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hat Is This List" sheetId="1" r:id="rId3"/>
    <sheet state="visible" name="Notable Human Trafficking Arres" sheetId="2" r:id="rId4"/>
    <sheet state="visible" name="Pedophiles" sheetId="3" r:id="rId5"/>
    <sheet state="visible" name="QDrops" sheetId="4" r:id="rId6"/>
    <sheet state="visible" name="2016 Notable Human Trafficking " sheetId="5" r:id="rId7"/>
    <sheet state="visible" name="ArticlesLinks of Interest" sheetId="6" r:id="rId8"/>
  </sheets>
  <definedNames>
    <definedName localSheetId="3" name="IndictmentsAutoData2">QDrops!$R$84:$T$2596</definedName>
    <definedName localSheetId="2" name="IndictmentsAutoData2">Pedophiles!$O$8:$Q$3006</definedName>
    <definedName localSheetId="1" name="IndictmentsAutoData">'Notable Human Trafficking Arres'!$O$4:$Q$4657</definedName>
    <definedName hidden="1" localSheetId="1" name="Z_6F77D639_6DBE_4A73_82B8_76ACDC53E60F_.wvu.FilterData">'Notable Human Trafficking Arres'!$A$3:$U$2113</definedName>
    <definedName hidden="1" localSheetId="2" name="Z_6F77D639_6DBE_4A73_82B8_76ACDC53E60F_.wvu.FilterData">Pedophiles!$A$3:$U$2029</definedName>
    <definedName hidden="1" localSheetId="3" name="Z_6F77D639_6DBE_4A73_82B8_76ACDC53E60F_.wvu.FilterData">QDrops!$A$3:$X$1619</definedName>
    <definedName hidden="1" localSheetId="1" name="Z_4483C7C5_39AD_481B_8B5C_9828FE8855DD_.wvu.FilterData">'Notable Human Trafficking Arres'!$A$3:$U$2113</definedName>
    <definedName hidden="1" localSheetId="2" name="Z_4483C7C5_39AD_481B_8B5C_9828FE8855DD_.wvu.FilterData">Pedophiles!$A$3:$U$2029</definedName>
    <definedName hidden="1" localSheetId="3" name="Z_4483C7C5_39AD_481B_8B5C_9828FE8855DD_.wvu.FilterData">QDrops!$A$3:$X$1619</definedName>
  </definedNames>
  <calcPr/>
  <customWorkbookViews>
    <customWorkbookView activeSheetId="0" maximized="1" windowHeight="0" windowWidth="0" guid="{6F77D639-6DBE-4A73-82B8-76ACDC53E60F}" name="Duplicates"/>
    <customWorkbookView activeSheetId="0" maximized="1" windowHeight="0" windowWidth="0" guid="{4483C7C5-39AD-481B-8B5C-9828FE8855DD}" name="Working View 1"/>
  </customWorkbookViews>
</workbook>
</file>

<file path=xl/comments1.xml><?xml version="1.0" encoding="utf-8"?>
<comments xmlns:r="http://schemas.openxmlformats.org/officeDocument/2006/relationships" xmlns="http://schemas.openxmlformats.org/spreadsheetml/2006/main">
  <authors>
    <author/>
  </authors>
  <commentList>
    <comment authorId="0" ref="G3">
      <text>
        <t xml:space="preserve">"Unknown"s are counted as 1</t>
      </text>
    </comment>
    <comment authorId="0" ref="O3">
      <text>
        <t xml:space="preserve">❔ = soft default ("multiple" in name field)
❓ = hard default (name mismatch)</t>
      </text>
    </comment>
  </commentList>
</comments>
</file>

<file path=xl/comments2.xml><?xml version="1.0" encoding="utf-8"?>
<comments xmlns:r="http://schemas.openxmlformats.org/officeDocument/2006/relationships" xmlns="http://schemas.openxmlformats.org/spreadsheetml/2006/main">
  <authors>
    <author/>
  </authors>
  <commentList>
    <comment authorId="0" ref="G3">
      <text>
        <t xml:space="preserve">"Unknown"s are counted as 1</t>
      </text>
    </comment>
  </commentList>
</comments>
</file>

<file path=xl/comments3.xml><?xml version="1.0" encoding="utf-8"?>
<comments xmlns:r="http://schemas.openxmlformats.org/officeDocument/2006/relationships" xmlns="http://schemas.openxmlformats.org/spreadsheetml/2006/main">
  <authors>
    <author/>
  </authors>
  <commentList>
    <comment authorId="0" ref="G3">
      <text>
        <t xml:space="preserve">"Unknown"s are counted as 1</t>
      </text>
    </comment>
  </commentList>
</comments>
</file>

<file path=xl/sharedStrings.xml><?xml version="1.0" encoding="utf-8"?>
<sst xmlns="http://schemas.openxmlformats.org/spreadsheetml/2006/main" count="37905" uniqueCount="11555">
  <si>
    <t xml:space="preserve">This list is a compilation of arrests for Human/Sex Trafficking/ Child Porn (CP) since Donald Trump took office January 20, 2017. To understand what qualifies as Human Trafficking please refer to the graphic below.  </t>
  </si>
  <si>
    <t>To those who have been utilizing the spreadsheet for their websites/articles-it would be GREATLY appreciated if you would credit the work accordingly. To those who have asked and given credit, thank you! May God bless ALL of you!-@ArrestAnon</t>
  </si>
  <si>
    <t>40,000 ft view- In putting this list together, it's important to note that MANY cases have been sitting for years without sentencing. Not only are the longstanding cases being processed, but there is also a considerable increase in the number of arrests that have taken place since @POTUS @realDonaldTrump took office. Additionally the time frame from arrest to sentencing has been expedited significantly.</t>
  </si>
  <si>
    <t>You will also find in this book that I have begun a comparison using the same sources for pre- Donald Trump for 2016 and eventually 2015 if time allows.</t>
  </si>
  <si>
    <t>Indictment List</t>
  </si>
  <si>
    <t>Resignation List</t>
  </si>
  <si>
    <t>Resignation &amp; Indictment Lists</t>
  </si>
  <si>
    <t>Name</t>
  </si>
  <si>
    <t>Date of Announcement</t>
  </si>
  <si>
    <t>Arrest Start Date</t>
  </si>
  <si>
    <t>Arrest End Date</t>
  </si>
  <si>
    <t>Photo</t>
  </si>
  <si>
    <t>Helper</t>
  </si>
  <si>
    <t>Country</t>
  </si>
  <si>
    <t>State</t>
  </si>
  <si>
    <t>Arresting Agencies Involved</t>
  </si>
  <si>
    <t>Comments</t>
  </si>
  <si>
    <t>Source / Links</t>
  </si>
  <si>
    <t>Additional Source / Links</t>
  </si>
  <si>
    <t>Docket</t>
  </si>
  <si>
    <t>Court Listener</t>
  </si>
  <si>
    <t>Arrest Start Month</t>
  </si>
  <si>
    <t>Arrest Start Year</t>
  </si>
  <si>
    <t>Duplicates</t>
  </si>
  <si>
    <t>Nationality</t>
  </si>
  <si>
    <t>Link Archive</t>
  </si>
  <si>
    <t>Photo Archive</t>
  </si>
  <si>
    <t>Photo Direct Link</t>
  </si>
  <si>
    <t>QDrop</t>
  </si>
  <si>
    <t>Steven Tucker</t>
  </si>
  <si>
    <t>January 2017</t>
  </si>
  <si>
    <t>Y</t>
  </si>
  <si>
    <t>Unknown</t>
  </si>
  <si>
    <t>US</t>
  </si>
  <si>
    <t>NH</t>
  </si>
  <si>
    <t>Sex trafficking of a minor</t>
  </si>
  <si>
    <t>https://www.justice.gov/opa/pr/new-hampshire-man-indicted-sex-trafficking-minor-connection-interstate-prostitution</t>
  </si>
  <si>
    <t>https://www.wmur.com/article/man-pleads-guilty-for-trafficking-minor-for-sex/12504090</t>
  </si>
  <si>
    <t>https://archive.fo/Nh0Wk</t>
  </si>
  <si>
    <t>https://archive.fo/nXpBk</t>
  </si>
  <si>
    <t>Multiple</t>
  </si>
  <si>
    <t>N</t>
  </si>
  <si>
    <t>MI</t>
  </si>
  <si>
    <t>Detroit Auto Show-Sex trafficking &amp; sex trafficking of minors</t>
  </si>
  <si>
    <t>https://www.clickondetroit.com/news/defenders/2-children-saved-22-people-arrested-for-human-trafficking-during-detroit-auto-show_</t>
  </si>
  <si>
    <t>https://archive.fo/4sni3</t>
  </si>
  <si>
    <t>February 14, 2017</t>
  </si>
  <si>
    <t>FL</t>
  </si>
  <si>
    <t>Operation Child Guardian</t>
  </si>
  <si>
    <t>http://www.theledger.com/news/20170215/polk-sheriff-grady-judd-announces-42-child-pornography-related-arrests</t>
  </si>
  <si>
    <t>https://archive.fo/n74KW</t>
  </si>
  <si>
    <t>May 2017</t>
  </si>
  <si>
    <t>Sex trafficking</t>
  </si>
  <si>
    <t>https://www.palmbeachpost.com/news/crime--law/aronberg-credits-task-force-with-rise-human-trafficking-arrests/NKstO7vpVzyZHzxM5GVjcJ/</t>
  </si>
  <si>
    <t>Multiple-Listed in Article</t>
  </si>
  <si>
    <t>NJ</t>
  </si>
  <si>
    <t>Operation Safety Net</t>
  </si>
  <si>
    <t>February 5 2017</t>
  </si>
  <si>
    <t>National Johns Suppression Initiative - National Super Bowl Sex Trafficking Sting 2017</t>
  </si>
  <si>
    <t>Iordan Bossev</t>
  </si>
  <si>
    <t>January 20, 2017</t>
  </si>
  <si>
    <t>LA</t>
  </si>
  <si>
    <t>Project Safe Childhood -CP and Traveling w/ Minor for Sexual Conduct</t>
  </si>
  <si>
    <t>https://www.fbi.gov/contact-us/field-offices/albany/news/press-releases/louisiana-man-pleads-guilty-to-traveling-with-minor-to-engage-in-illicit-sexual-conduct</t>
  </si>
  <si>
    <t>https://www.justice.gov/usao-ndny/pr/louisiana-man-sentenced-6-years-child-sex-and-child-pornography-crimes</t>
  </si>
  <si>
    <t>http://archive.is/n6zOG</t>
  </si>
  <si>
    <t>http://archive.is/d7azJ</t>
  </si>
  <si>
    <t>Steven Wayne Newman</t>
  </si>
  <si>
    <t>OR</t>
  </si>
  <si>
    <t>Project Safe Childhood-CP distribution &amp; related charges</t>
  </si>
  <si>
    <t>https://www.justice.gov/usao-or/pr/icymi-shutdown-updates-federal-court-oregon</t>
  </si>
  <si>
    <t>https://www.courtlistener.com/docket/7599958/united-states-v-newman/</t>
  </si>
  <si>
    <t>http://archive.is/abIE7</t>
  </si>
  <si>
    <t>https://archive.fo/aRrfx</t>
  </si>
  <si>
    <t>Anastasia Vandergriff (Poynter et al)</t>
  </si>
  <si>
    <t>KY</t>
  </si>
  <si>
    <t>Project Safe Childhood-CP production &amp; related charges</t>
  </si>
  <si>
    <t>https://www.justice.gov/usao-edky/pr/mercer-county-woman-pleads-guilty-production-child-pornography</t>
  </si>
  <si>
    <t>https://www.amnews.com/2019/03/05/two-mercer-residents-plead-guilty-to-producing-child-porn/</t>
  </si>
  <si>
    <t>http://archive.fo/Mm3uR</t>
  </si>
  <si>
    <t>http://archive.fo/yvJhu</t>
  </si>
  <si>
    <t>Rafael Poynter</t>
  </si>
  <si>
    <t>http://archive.fo/0N4nQ</t>
  </si>
  <si>
    <t>Torrvez Lamarcus Caldwell</t>
  </si>
  <si>
    <t>January 24, 2017</t>
  </si>
  <si>
    <t>AL</t>
  </si>
  <si>
    <t>https://www.fbi.gov/contact-us/field-offices/birmingham/news/press-releases/us-marshals-arrest-jefferson-county-man-for-sex-trafficking-of-a-minor</t>
  </si>
  <si>
    <t>https://archive.fo/KZbkx</t>
  </si>
  <si>
    <t>January 27, 2017</t>
  </si>
  <si>
    <t>TN</t>
  </si>
  <si>
    <t>Operation Someone Like Me / MATA CEO Ron Garrison Arrested</t>
  </si>
  <si>
    <t>http://www.localmemphis.com/news/local-news/tbi-announces-42-arrests-in-human-trafficking-operation/646262689</t>
  </si>
  <si>
    <t>Brian Folks</t>
  </si>
  <si>
    <t>NY</t>
  </si>
  <si>
    <t>Sex trafficking combined with drug offenses</t>
  </si>
  <si>
    <t>https://www.justice.gov/usao-vt/pr/new-york-winooski-man-charged-five-counts-sex-trafficking</t>
  </si>
  <si>
    <t>Elvis Henry Idada</t>
  </si>
  <si>
    <t>January 25, 2017</t>
  </si>
  <si>
    <t>GA</t>
  </si>
  <si>
    <t>CP related charges</t>
  </si>
  <si>
    <t>https://www.cbp.gov/newsroom/local-media-release/atlanta-cbp-arrest-boston-traveler-child-exploitation-charge</t>
  </si>
  <si>
    <t>Christopher Ridder</t>
  </si>
  <si>
    <t>CP Charges</t>
  </si>
  <si>
    <t>https://www.justice.gov/usao-wdny/pr/albion-man-arrested-child-pornography-charges</t>
  </si>
  <si>
    <t>Charles Bertsch</t>
  </si>
  <si>
    <t>January 26, 2017</t>
  </si>
  <si>
    <t>MD</t>
  </si>
  <si>
    <t xml:space="preserve">Project Safe Childhood-CP distribution </t>
  </si>
  <si>
    <t>https://www.justice.gov/usao-md/pr/laurel-man-pleads-guilty-distribution-child-pornography</t>
  </si>
  <si>
    <t>https://www.justice.gov/usao-md/pr/laurel-man-sentenced-nine-years-federal-prison-distribution-child-pornography</t>
  </si>
  <si>
    <t>January 29, 2017</t>
  </si>
  <si>
    <t>CA</t>
  </si>
  <si>
    <t>Operation Reclaim and Rebuild</t>
  </si>
  <si>
    <t xml:space="preserve">http://www.latimes.com/local/california/la-me-ln-human-trafficking-20180130-story.html </t>
  </si>
  <si>
    <t>http://www.crimevoice.com/2017/02/02/3-day-human-trafficking-task-force-operation-reclaim-rebuild-arrests-474-suspects/</t>
  </si>
  <si>
    <t>PA</t>
  </si>
  <si>
    <t>9 year old Rescued</t>
  </si>
  <si>
    <t>http://www.lehighvalleylive.com/news/index.ssf/2017/01/bucks_man_is_latest_charged_in.html</t>
  </si>
  <si>
    <t>Jason Harry Bishop</t>
  </si>
  <si>
    <t>Project Safe Childhood-CP related charges</t>
  </si>
  <si>
    <t>https://www.justice.gov/usao-wdmi/pr/2019_0206_Bishop</t>
  </si>
  <si>
    <t>https://www.courtlistener.com/docket/7693267/united-states-v-bishop/</t>
  </si>
  <si>
    <t>February 2017</t>
  </si>
  <si>
    <t>-</t>
  </si>
  <si>
    <t>OH</t>
  </si>
  <si>
    <t>International Adoption Agency Sale,Kidnapping Exploitation</t>
  </si>
  <si>
    <t>http://www.cleveland.com/court-justice/index.ssf/2017/02/fbi_raids_strongsville-based_i.html</t>
  </si>
  <si>
    <t>February 1, 2017</t>
  </si>
  <si>
    <t>India</t>
  </si>
  <si>
    <t>https://www.aljazeera.com/news/2017/02/heads-adoption-centre-arrested-trafficking-170221131949243.html</t>
  </si>
  <si>
    <t>Raymorris Asencio / Briana Sparkman</t>
  </si>
  <si>
    <t>May 2, 2017</t>
  </si>
  <si>
    <t>MS</t>
  </si>
  <si>
    <t>Sex trafficking of a minor via Backpage.com</t>
  </si>
  <si>
    <t>http://www.wdam.com/story/35347668/2-hub-city-residents-charged-with-child-sex-trafficking</t>
  </si>
  <si>
    <t>Nicholas Garowski</t>
  </si>
  <si>
    <t>Project Safe Childhood-Subsitute teacher arrested for CP</t>
  </si>
  <si>
    <t>http://pittsburgh.cbslocal.com/2017/10/04/west-allegheny-substitute-teacher-child-porn-charge/</t>
  </si>
  <si>
    <t>Vincent Graham</t>
  </si>
  <si>
    <t>November 2017</t>
  </si>
  <si>
    <t>ME</t>
  </si>
  <si>
    <t>Sex trafficking &amp; related charges</t>
  </si>
  <si>
    <t>https://www.justice.gov/usao-me/pr/new-york-man-indicted-sex-trafficking-and-drug-charges</t>
  </si>
  <si>
    <t>Raymond Larry Edward Kennedy</t>
  </si>
  <si>
    <t>MT</t>
  </si>
  <si>
    <t>https://www.ice.gov/news/releases/former-us-air-force-member-montana-admits-child-sexual-exploitation-charges</t>
  </si>
  <si>
    <t>Noah Ray Evans</t>
  </si>
  <si>
    <t>TX</t>
  </si>
  <si>
    <t>https://www.justice.gov/usao-ndtx/pr/red-oak-man-sentenced-170-months-child-pornography-charge</t>
  </si>
  <si>
    <t>Russell Jan</t>
  </si>
  <si>
    <t>Project Safe Childhood. Charges of CP and child exploitation of at least 4 minor children</t>
  </si>
  <si>
    <t>https://www.justice.gov/usao-wdtn/pr/west-tennessee-man-sentenced-110-months-federal-prison-possession-and-receipt-child</t>
  </si>
  <si>
    <t>Daveon Brantley / Amber Brinson</t>
  </si>
  <si>
    <t>Backpage.com- Sex trafficking of a minor/Production of CP</t>
  </si>
  <si>
    <t>https://www.justice.gov/usao-ndga/pr/couple-sentenced-sex-trafficking-13-year-old-girl</t>
  </si>
  <si>
    <t>Shane Courtney</t>
  </si>
  <si>
    <t>https://www.justice.gov/usao-mt/pr/great-falls-man-sentenced-possession-child-pornography</t>
  </si>
  <si>
    <t>Raymorris Ascensio</t>
  </si>
  <si>
    <t>http://www.wdam.com/story/38753760/hattiesburg-man-sentenced-to-30-years-for-human-trafficking</t>
  </si>
  <si>
    <t>https://archive.fo/d4iZq</t>
  </si>
  <si>
    <t>https://archive.fo/htfCL</t>
  </si>
  <si>
    <t>Daniel I Miller</t>
  </si>
  <si>
    <t>KS</t>
  </si>
  <si>
    <t>https://www.kansas.com/news/local/crime/article216907705.html , https://www.justice.gov/usao-ndny/pr/delaware-county-man-pleads-guilty-child-pornography-offenses</t>
  </si>
  <si>
    <t>http://archive.is/QNgcI</t>
  </si>
  <si>
    <t>http://archive.is/1XOfZ</t>
  </si>
  <si>
    <t>William Harvey Gulkis</t>
  </si>
  <si>
    <t>October 2017</t>
  </si>
  <si>
    <t>https://www.justice.gov/usao-mdfl/pr/producer-child-pornography-sentenced-more-nineteen-years-federal-prison</t>
  </si>
  <si>
    <t>http://archive.is/2o07Y</t>
  </si>
  <si>
    <t>http://archive.is/He3PK</t>
  </si>
  <si>
    <t>Daquanjra Tasha White</t>
  </si>
  <si>
    <t>NC</t>
  </si>
  <si>
    <t xml:space="preserve">Sex trafficking of minors </t>
  </si>
  <si>
    <t>http://www.fayobserver.com/news/20180912/fayetteville-woman-sentenced-in-sex-trafficking</t>
  </si>
  <si>
    <t>https://www.wral.com/fayetteville-woman-sentenced-to-12-years-in-prison-for-sex-trafficking-girls/17840310/</t>
  </si>
  <si>
    <t>http://archive.is/AEBd8</t>
  </si>
  <si>
    <t>http://archive.is/En2oV</t>
  </si>
  <si>
    <t>Christopher Collins</t>
  </si>
  <si>
    <t>VA</t>
  </si>
  <si>
    <t>https://www.justice.gov/usao-wdva/pr/buena-vista-man-sentenced-federal-child-pornography-charge</t>
  </si>
  <si>
    <t>http://archive.is/7qjrC</t>
  </si>
  <si>
    <t>http://archive.is/eIWwt</t>
  </si>
  <si>
    <t>Allen Young</t>
  </si>
  <si>
    <t>IL</t>
  </si>
  <si>
    <t>https://www.justice.gov/usao-ndil/pr/west-suburban-sex-trafficker-sentenced-21-years-federal-prison</t>
  </si>
  <si>
    <t>http://www.wlsam.com/2017/02/15/oak-park-man-indicted-on-child-sex-trafficking-charges/</t>
  </si>
  <si>
    <t>http://archive.is/9jCJb</t>
  </si>
  <si>
    <t>February 2, 2017</t>
  </si>
  <si>
    <t>Child Sex Trafficking of 3 minors/production &amp; distribution of CP</t>
  </si>
  <si>
    <t>https://www.justice.gov/usao-edpa/pr/four-people-charged-sex-trafficking-minors-philadelphia</t>
  </si>
  <si>
    <t>Luis Miguel Macias</t>
  </si>
  <si>
    <t>February 3, 2017</t>
  </si>
  <si>
    <t>NM</t>
  </si>
  <si>
    <t>Human smuggling</t>
  </si>
  <si>
    <t>https://www.cbp.gov/newsroom/local-media-release/border-patrol-agents-foil-two-human-smuggling-attempts-nm</t>
  </si>
  <si>
    <t>http://archive.is/f9hsX</t>
  </si>
  <si>
    <t>Meredith Lee Wilkins</t>
  </si>
  <si>
    <t>February 4, 2017</t>
  </si>
  <si>
    <t>https://www.demingheadlight.com/story/news/2017/02/08/deming-agents-halt-alleged-human-trafficker/97661614/</t>
  </si>
  <si>
    <t>https://archive.fo/Oh8sS</t>
  </si>
  <si>
    <t>https://archive.fo/txCzx</t>
  </si>
  <si>
    <t>Richard Leon Engbretson</t>
  </si>
  <si>
    <t>SD</t>
  </si>
  <si>
    <t>https://www.justice.gov/usao-sd/pr/yankton-man-sentenced-10-years-possession-child-pornography</t>
  </si>
  <si>
    <t>http://archive.is/DoyMz</t>
  </si>
  <si>
    <t>February 5, 2017</t>
  </si>
  <si>
    <t>Haiti</t>
  </si>
  <si>
    <t>Child Sex Trafficking Ring Including Missionaries</t>
  </si>
  <si>
    <t>http://sentinel.ht/2017/02/06/haiti-police-rescue-31-girls-child-trafficking-sting/</t>
  </si>
  <si>
    <t>Christian Moylan</t>
  </si>
  <si>
    <t>February 6, 2017</t>
  </si>
  <si>
    <t>Project Safe Childhood-CP related charges &amp; enticement of a minor</t>
  </si>
  <si>
    <t>https://www.justice.gov/usao-md/pr/somerset-county-man-sentenced-10-years-federal-prison-attempted-coercion-and-enticement</t>
  </si>
  <si>
    <t>https://ux.freep.com/story/news/local/maryland/2017/02/07/child-porn-arrest-made-somerset-county/97587910/</t>
  </si>
  <si>
    <t>https://www.courtlistener.com/docket/7504683/united-states-v-moylan/</t>
  </si>
  <si>
    <t>http://archive.is/G6eug</t>
  </si>
  <si>
    <t>http://archive.is/V0dIk</t>
  </si>
  <si>
    <t>Joshua Landry</t>
  </si>
  <si>
    <t>February 8, 2017</t>
  </si>
  <si>
    <t>https://www.justice.gov/usao-wdla/pr/morgan-city-man-sentenced-63-months-prison-possessing-child-pornography</t>
  </si>
  <si>
    <t>Richard Kraemer</t>
  </si>
  <si>
    <t>WI</t>
  </si>
  <si>
    <t>Project Safe Childhood-CP Related charges</t>
  </si>
  <si>
    <t>https://www.justice.gov/usao-edwi/pr/former-glenbeulah-wi-man-sentenced-133-months-federal-prison-possession-child</t>
  </si>
  <si>
    <t>http://archive.is/eUBIr</t>
  </si>
  <si>
    <t>http://archive.is/RNOcs</t>
  </si>
  <si>
    <t>Alexander Greaux-Gomez</t>
  </si>
  <si>
    <t>PR</t>
  </si>
  <si>
    <t>Operation Predator-CP production &amp; related charges</t>
  </si>
  <si>
    <t>https://www.ice.gov/news/releases/former-puerto-rican-olympic-athlete-coach-found-guilty-sexual-enticement-minor</t>
  </si>
  <si>
    <t>https://www.dailymail.co.uk/news/article-7069351/Ex-Olympian-41-track-coach-coerced-15-year-old-student-having-sex-him.html</t>
  </si>
  <si>
    <t>http://archive.fo/LNkVT</t>
  </si>
  <si>
    <t>http://archive.fo/l90wx</t>
  </si>
  <si>
    <t>Bryan Osborne</t>
  </si>
  <si>
    <t>February 9, 2017</t>
  </si>
  <si>
    <t>Sex Trafficking/Recruiting minors to engage sexual acts</t>
  </si>
  <si>
    <t>https://www.justice.gov/usao-ndil/pr/chicago-man-charged-sex-trafficking-recruiting-minors-engage-sex-acts , https://www.justice.gov/usao-ndil/pr/chicago-man-sentenced-22-years-prison-recruiting-minors-engage-sex-acts</t>
  </si>
  <si>
    <t>http://archive.is/VOcYv</t>
  </si>
  <si>
    <t>Unnamed</t>
  </si>
  <si>
    <t>February 10, 2017</t>
  </si>
  <si>
    <t>AZ</t>
  </si>
  <si>
    <t>https://www.cbp.gov/newsroom/local-media-release/trunk-smuggling-attempts-stopped</t>
  </si>
  <si>
    <t>Jesse Furse</t>
  </si>
  <si>
    <t>USAF Lieutenant arrest for CP related charges</t>
  </si>
  <si>
    <t>https://www.justice.gov/usao-nm/pr/lieutenant-kirtland-air-force-base-pleads-guilty-federal-child-pornography-charges</t>
  </si>
  <si>
    <t>http://archive.is/YLWJR</t>
  </si>
  <si>
    <t>http://archive.is/jVT15</t>
  </si>
  <si>
    <t>Raymond Kilchenstein</t>
  </si>
  <si>
    <t>https://www.justice.gov/usao-md/pr/essex-sex-offender-sentenced-over-12-years-federal-prison-transportation-child</t>
  </si>
  <si>
    <t>http://archive.is/Fek7W</t>
  </si>
  <si>
    <t>http://archive.is/ZW5yb</t>
  </si>
  <si>
    <t>Willie Blackmon / Lindsey Hutto</t>
  </si>
  <si>
    <t>February 18, 2018</t>
  </si>
  <si>
    <t>Project Safe Childhood-Sex trafficking of minors</t>
  </si>
  <si>
    <t>http://www.hannapub.com/ouachitacitizen/news/local_state_headlines/two-child-sex-trafficking-suspects-apprehended/article_1f904234-f92f-11e6-920c-3fc635d68b13.html</t>
  </si>
  <si>
    <t>https://www.justice.gov/usao-sdms/pr/sex-trafficker-minors-found-guilty-federal-jury  https://www.justice.gov/usao-sdms/pr/sex-trafficker-minors-sentenced-32-years-federal-prison</t>
  </si>
  <si>
    <t>http://archive.is/6sC2b</t>
  </si>
  <si>
    <t>http://archive.is/XvSNV</t>
  </si>
  <si>
    <t>Justin &amp; Jessica Crandall</t>
  </si>
  <si>
    <t>February 13, 2017</t>
  </si>
  <si>
    <t>https://www.justice.gov/usao-ndny/pr/delaware-county-couple-sentenced-sexual-exploitation-17-month-old-child</t>
  </si>
  <si>
    <t>http://archive.is/uhA1p</t>
  </si>
  <si>
    <t>http://archive.is/4WZGp</t>
  </si>
  <si>
    <t>February 15, 2017</t>
  </si>
  <si>
    <t>https://www.cbp.gov/newsroom/local-media-release/border-patrol-agents-arrest-us-citizen-caught-smuggling-4-illegal</t>
  </si>
  <si>
    <t>Misty Weathers</t>
  </si>
  <si>
    <t>February 16, 2017</t>
  </si>
  <si>
    <t>OK</t>
  </si>
  <si>
    <t>Sex trafficking of a minor &amp; CP production &amp; related charges</t>
  </si>
  <si>
    <t>https://www.justice.gov/usao-ndok/pr/federal-grand-jury-indictments-announced</t>
  </si>
  <si>
    <t>http://www.newson6.com/story/34521360/woman-arrested-in-tulsa-undercover-child-pornography-prostitution-sting</t>
  </si>
  <si>
    <t>https://www.courtlistener.com/docket/7672864/united-states-v-weathers/</t>
  </si>
  <si>
    <t>February 17, 2017</t>
  </si>
  <si>
    <t>https://www.cbp.gov/newsroom/local-media-release/permanent-resident-alien-arrested-transporting-undocumented-aliens</t>
  </si>
  <si>
    <t>February 21, 2017</t>
  </si>
  <si>
    <t>https://www.cbp.gov/newsroom/local-media-release/agents-stop-2-illegal-immigration-attempts</t>
  </si>
  <si>
    <t>Corey D Frasher</t>
  </si>
  <si>
    <t>February 22, 2017</t>
  </si>
  <si>
    <t>MO</t>
  </si>
  <si>
    <t>https://www.justice.gov/usao-wdmo/pr/springfield-man-sentenced-35-years-child-sexual-exploitation-illegal-firearm</t>
  </si>
  <si>
    <t>https://www.news-leader.com/story/news/crime/2018/10/25/springfield-man-made-child-porn-sleeping-kids/1760881002/</t>
  </si>
  <si>
    <t>Robert William Surdel</t>
  </si>
  <si>
    <t>NV</t>
  </si>
  <si>
    <t>https://www.justice.gov/usao-nv/pr/henderson-man-sentenced-nine-years-prison-receipt-and-possession-over-47000-images-and</t>
  </si>
  <si>
    <t>https://www.courtlistener.com/docket/7157259/united-states-v-surdel/</t>
  </si>
  <si>
    <t>Michael Correia</t>
  </si>
  <si>
    <t>February 23, 2017</t>
  </si>
  <si>
    <t>NE</t>
  </si>
  <si>
    <t>https://www.justice.gov/usao-ne/pr/massachusetts-man-sentenced-receiving-child-pornography</t>
  </si>
  <si>
    <t>https://www.courtlistener.com/docket/6267455/united-states-v-correia/</t>
  </si>
  <si>
    <t>Kenneth Ronald Jones</t>
  </si>
  <si>
    <t>February 27, 2017</t>
  </si>
  <si>
    <t>https://www.justice.gov/usao-wdmo/pr/columbia-man-indicted-more-charges-related-sex-trafficking-additional-victims</t>
  </si>
  <si>
    <t>https://www.justice.gov/usao-wdmo/pr/columbia-man-sentenced-15-years-child-sex-trafficking-0</t>
  </si>
  <si>
    <t>Prostitution Operation Arrest</t>
  </si>
  <si>
    <t>https://www.justice.gov/usao-wdmo/pr/two-more-columbia-men-charged-related-prostitution-operation</t>
  </si>
  <si>
    <t>Ronald Caryl</t>
  </si>
  <si>
    <t>February 28, 2017</t>
  </si>
  <si>
    <t>https://www.justice.gov/usao-wdny/pr/silver-springs-man-arrested-pornography-charge</t>
  </si>
  <si>
    <t>https://www.justice.gov/usao-wdny/pr/silver-springs-man-going-prison-over-16-years-following-conviction-child-pornography</t>
  </si>
  <si>
    <t>Lawrence Jones</t>
  </si>
  <si>
    <t>February 28, 2018</t>
  </si>
  <si>
    <t>Exploitation &amp; Trafficking a minor</t>
  </si>
  <si>
    <t>http://www.wtol.com/story/34414687/toledo-man-arrested-on-federal-child-sex-trafficking-charges</t>
  </si>
  <si>
    <t>Justin Haynes</t>
  </si>
  <si>
    <t>Project Safe Childhood-CP Related Offenses</t>
  </si>
  <si>
    <t>https://www.justice.gov/usao-ne/pr/papillion-man-sentenced-66-months-receiving-child-pornography</t>
  </si>
  <si>
    <t>Johnny Ray Matlock</t>
  </si>
  <si>
    <t>March 1, 2017</t>
  </si>
  <si>
    <t>Backpage.com-Sex trafficking</t>
  </si>
  <si>
    <t>https://www.beaumontenterprise.com/news/article/Silsbee-man-indicted-for-human-trafficking-10969617.php</t>
  </si>
  <si>
    <t>Marshall Belden</t>
  </si>
  <si>
    <t>https://www.justice.gov/usao-ndoh/pr/marshall-belden-canton-indicted-child-pornography-charges</t>
  </si>
  <si>
    <t>https://www.fbi.gov/contact-us/field-offices/cleveland/news/press-releases/canton-man-sentenced-to-more-than-eight-years-in-prison-for-child-pornography-crimes</t>
  </si>
  <si>
    <t>Marco Barraza</t>
  </si>
  <si>
    <t>https://www.justice.gov/usao-wdmo/pr/springfield-man-sentenced-17-years-child-pornography</t>
  </si>
  <si>
    <t>Beau Thomas Upton</t>
  </si>
  <si>
    <t>WA</t>
  </si>
  <si>
    <t>https://www.justice.gov/usao-edwa/pr/richland-man-sentenced-21-years-federal-prison-and-40-years-supervision-child</t>
  </si>
  <si>
    <t>Zayne Kent Barbre</t>
  </si>
  <si>
    <t>https://www.justice.gov/usao-edwa/pr/richland-man-sentenced-28-years-federal-prison-producing-and-distributing-child</t>
  </si>
  <si>
    <t>https://www.tri-cityherald.com/news/local/crime/article220202410.html</t>
  </si>
  <si>
    <t>https://archive.fo/pIN1f</t>
  </si>
  <si>
    <t>https://archive.fo/pKY71</t>
  </si>
  <si>
    <t>Daniel Spurgeion</t>
  </si>
  <si>
    <t>Sexual abuse of a minor / sex trafficking</t>
  </si>
  <si>
    <t>https://www.dailymail.co.uk/news/article-4298146/Parents-charged-700-sex-abuse-counts.html</t>
  </si>
  <si>
    <t>https://archive.vn/mEo8P</t>
  </si>
  <si>
    <t>https://archive.vn/nG39w</t>
  </si>
  <si>
    <t>Jenise Spurgeon</t>
  </si>
  <si>
    <t xml:space="preserve">https://www.dailymail.co.uk/news/article-4298146/Parents-charged-700-sex-abuse-counts.html </t>
  </si>
  <si>
    <t>https://archive.vn/bU3Xx</t>
  </si>
  <si>
    <t>Donnie Brett Butcher</t>
  </si>
  <si>
    <t>https://www.fbi.gov/contact-us/field-offices/kansascity/news/press-releases/kansas-city-man-sentenced-for-child-pornography</t>
  </si>
  <si>
    <t>https://www.justice.gov/usao-wdmo/pr/kc-man-sentenced-child-pornography</t>
  </si>
  <si>
    <t>Cheyne Martin Potrafka</t>
  </si>
  <si>
    <t>https://www.justice.gov/usao-ednc/pr/burgaw-man-sentenced-more-18-years-child-pornography-offense</t>
  </si>
  <si>
    <t>https://www.courtlistener.com/docket/7524671/united-states-v-potrafka/</t>
  </si>
  <si>
    <t>Dennis Michael Kerr</t>
  </si>
  <si>
    <t>https://www.justice.gov/usao-wdpa/pr/meadville-pa-man-pleads-guilty-project-safe-childhood-case</t>
  </si>
  <si>
    <t>https://www.meadvilletribune.com/news/local_news/meadville-man-indicted-federally-on-sexual-exploitation-of-children-charges/article_66bc7c7f-643e-59ba-a3a3-83819088aded.html</t>
  </si>
  <si>
    <t>David Wayne Young / Misty Dawn Baisden</t>
  </si>
  <si>
    <t>WV</t>
  </si>
  <si>
    <t>Sex trafficking of minors / Distribution of CP</t>
  </si>
  <si>
    <t>https://www.justice.gov/usao-sdwv/pr/kentucky-man-pleads-guilty-sex-trafficking-minor</t>
  </si>
  <si>
    <t>https://www.justice.gov/usao-sdwv/pr/multiple-project-safe-childhood-psc-defendants-appear-federal-court</t>
  </si>
  <si>
    <t>Antonio Rasheed Benjamin</t>
  </si>
  <si>
    <t>March 2017</t>
  </si>
  <si>
    <t>Sex trafficking of minors</t>
  </si>
  <si>
    <t>https://www.justice.gov/usao-sdtx/pr/houston-man-gets-massive-sentence-sex-trafficking-minors-commercial-sex</t>
  </si>
  <si>
    <t>Leroy Christopher Orbeck</t>
  </si>
  <si>
    <t>2nd Deg.Murder,Child Prostitution, Sex Trafficking</t>
  </si>
  <si>
    <t>https://www.usnews.com/news/best-states/arizona/articles/2018-03-21/man-accused-of-sex-trafficking-in-phoenix-gets-prison-term</t>
  </si>
  <si>
    <t>Kenndric Roberts</t>
  </si>
  <si>
    <t>Sex trafficking/imprisonment</t>
  </si>
  <si>
    <t>https://www.ajc.com/news/crime--law/sandy-springs-man-charged-with-human-trafficking-says-falsely-imprisoned/v3hchDJHezJPlqSY6PiliN/</t>
  </si>
  <si>
    <t>Hollis Lee Ball</t>
  </si>
  <si>
    <t>April 2017</t>
  </si>
  <si>
    <t>https://www.justice.gov/usao-mdpa/pr/virginia-man-sentenced-over-19-years-imprisonment-production-child-pornography</t>
  </si>
  <si>
    <t>Justin K Phelps</t>
  </si>
  <si>
    <t>https://www.justice.gov/usao-edtn/pr/child-predator-sentenced-300-months-enticement-and-child-pornography-offenses</t>
  </si>
  <si>
    <t>Larry Lewis Hudson</t>
  </si>
  <si>
    <t>https://www.justice.gov/usao-or/pr/sandy-child-molester-sentenced-over-18-years-federal-prison-online-enticement-and-child</t>
  </si>
  <si>
    <t>Loren G Warner</t>
  </si>
  <si>
    <t>Project Safe Childhood-CP , enticement &amp; related charges</t>
  </si>
  <si>
    <t>https://www.justice.gov/usao-wdny/pr/california-man-sentenced-child-pornography-charge</t>
  </si>
  <si>
    <t>David B Lang</t>
  </si>
  <si>
    <t>March 2, 2017</t>
  </si>
  <si>
    <t>https://www.mercurynews.com/2017/03/02/chief-financial-officer-of-santa-clara-youth-organization-arrested-on-child-porn-charge/</t>
  </si>
  <si>
    <t>Isiah Campbell</t>
  </si>
  <si>
    <t>March 3, 2017</t>
  </si>
  <si>
    <t>Human trafficking</t>
  </si>
  <si>
    <t>https://www.mtdemocrat.com/news/man-convicted-of-pimping-pandering/</t>
  </si>
  <si>
    <t>Naeem Lateef Odums</t>
  </si>
  <si>
    <t>March 7, 2017</t>
  </si>
  <si>
    <t>https://www.ice.gov/news/releases/man-indicted-sex-trafficking-woman-9-years</t>
  </si>
  <si>
    <t>Abigail Del Angel</t>
  </si>
  <si>
    <t>March 8, 2017</t>
  </si>
  <si>
    <t>https://www.cbp.gov/newsroom/local-media-release/known-smuggler-arrested-and-sentenced-after-inter-agency-operation</t>
  </si>
  <si>
    <t>Sen. Ralph Allan Lee Shortey</t>
  </si>
  <si>
    <t>March 9, 2017</t>
  </si>
  <si>
    <t>Former OK Senator pleads guilty to child sex trafficking</t>
  </si>
  <si>
    <t xml:space="preserve">https://www.justice.gov/usao-wdok/pr/former-state-senator-pleads-guilty-child-sex-trafficking </t>
  </si>
  <si>
    <t>https://www.justice.gov/usao-wdok/pr/former-oklahoma-state-senator-ordered-pay-over-125000-child-victim , https://heavy.com/news/2017/03/oklahoma-republican-ralph-shortey-teenage-boy/</t>
  </si>
  <si>
    <t>https://archive.vn/g4XSA</t>
  </si>
  <si>
    <t>Gabriel Thomas Shaffer</t>
  </si>
  <si>
    <t>CP Distribution &amp; related charges</t>
  </si>
  <si>
    <t>https://www.courtlistener.com/docket/14562602/parties/united-states-v-shaffer/</t>
  </si>
  <si>
    <t xml:space="preserve">http://archive.fo/9pYzF </t>
  </si>
  <si>
    <t>March 14, 2017</t>
  </si>
  <si>
    <t>https://www.cbp.gov/newsroom/local-media-release/man-arrested-border-allegedly-smuggling-4-undocumented-chinese</t>
  </si>
  <si>
    <t>Michael Rushmer</t>
  </si>
  <si>
    <t>Project Safe Childhood-CP &amp; Exploitation of a minor</t>
  </si>
  <si>
    <t>https://www.justice.gov/usao-ndny/pr/johnson-city-man-arrested-sexual-exploitation-minor , https://www.justice.gov/usao-ndny/pr/johnson-city-man-sentenced-300-months-sexually-exploiting-child-and-child-pornography</t>
  </si>
  <si>
    <t>https://www.courtlistener.com/?q=&amp;type=r&amp;order_by=score+desc&amp;docket_number=3%3A18-mj-00131&amp;court=nynd</t>
  </si>
  <si>
    <t>Michael Gullinese</t>
  </si>
  <si>
    <t>https://www.justice.gov/usao-ndny/pr/albany-sex-offender-sentenced-20-years-child-pornography-offenses</t>
  </si>
  <si>
    <t>Melvin &amp; Melaney Pully</t>
  </si>
  <si>
    <t>March 15, 2017</t>
  </si>
  <si>
    <t>http://www.abc12.com/content/news/Saginaw-couple-in-custody-accused-of-human-trafficking-416240463.html</t>
  </si>
  <si>
    <t>Timothy Boerger</t>
  </si>
  <si>
    <t>IN</t>
  </si>
  <si>
    <t>https://fox59.com/2017/03/15/court-records-over-28000-child-porn-images-found-on-fort-wayne-mans-computer/</t>
  </si>
  <si>
    <t>Shane Michael Aurand</t>
  </si>
  <si>
    <t>March 16, 2017</t>
  </si>
  <si>
    <t>CP Production/Distribution</t>
  </si>
  <si>
    <t>https://www.justice.gov/usao-wdny/pr/gowanda-man-pleads-guilty-distribution-child-pornography</t>
  </si>
  <si>
    <t>https://www.justice.gov/usao-wdny/pr/gowanda-man-sentenced-child-pornography-charge</t>
  </si>
  <si>
    <t>Randy Alan Chaplis</t>
  </si>
  <si>
    <t>MA</t>
  </si>
  <si>
    <t>https://www.justice.gov/usao-ma/pr/boylston-man-sentenced-child-pornography-charges</t>
  </si>
  <si>
    <t>Jason Bonds</t>
  </si>
  <si>
    <t>VT</t>
  </si>
  <si>
    <t>https://www.justice.gov/usao-vt/pr/child-sex-offender-sentenced-possession-child-pornography</t>
  </si>
  <si>
    <t>https://www.reformer.com/stories/man-pleads-guilty-to-lewd-and-lascivious-charge,540389</t>
  </si>
  <si>
    <t>Kyle Stephen Thompson</t>
  </si>
  <si>
    <t>March 17, 2017</t>
  </si>
  <si>
    <t>https://www.justice.gov/usao-md/pr/montgomery-county-man-convicted-federal-jury-producing-child-pornography</t>
  </si>
  <si>
    <t>https://breaking911.com/just-in-maryland-man-gets-420-years-in-prison-for-filming-himself-sexually-abusing-3-toddlers/</t>
  </si>
  <si>
    <t>Charles Tranter</t>
  </si>
  <si>
    <t>https://www.justice.gov/usao-ndin/pr/woodburn-man-sentenced-60-months-prison</t>
  </si>
  <si>
    <t>Theodore William Symonds</t>
  </si>
  <si>
    <t>March 23, 2017</t>
  </si>
  <si>
    <t>Project Safe Childhood-Sex trafficking of a minor. CP production &amp; related</t>
  </si>
  <si>
    <t>https://www.justice.gov/usao-sdfl/pr/man-sentenced-more-17-years-prison-traveling-dominican-republic-engage-sex-acts-minors</t>
  </si>
  <si>
    <t>https://www.courtlistener.com/docket/7183418/united-states-v-symonds/</t>
  </si>
  <si>
    <t>Josue Eduardo Cota</t>
  </si>
  <si>
    <t>https://www.ice.gov/news/releases/douglas-man-sentenced-60-years-prison-production-and-distribution-child-pornography</t>
  </si>
  <si>
    <t>http://www.tucsonnewsnow.com/2019/02/14/former-corrections-officer-sentenced-years-child-pornography/</t>
  </si>
  <si>
    <t>https://archive.fo/LMsdL</t>
  </si>
  <si>
    <t>https://archive.fo/yPjds</t>
  </si>
  <si>
    <t>March 29, 2017</t>
  </si>
  <si>
    <t>MN</t>
  </si>
  <si>
    <t xml:space="preserve">Backpage.com-Sex trafficking  </t>
  </si>
  <si>
    <t>http://www.startribune.com/east-metro-authorities-bust-expansive-sophisticated-sex-trafficking-ring/417482183/</t>
  </si>
  <si>
    <t>Shawn Whitaker</t>
  </si>
  <si>
    <t>https://www.daytondailynews.com/news/crime--law/troy-man-faces-years-for-producing-porn-with-girls-aged-and/KCcFL7Kgw93e17Sk0H4LcO/</t>
  </si>
  <si>
    <t>William Trefzger / Bruce Bemer / Robert King</t>
  </si>
  <si>
    <t>March 30, 2017</t>
  </si>
  <si>
    <t>CT</t>
  </si>
  <si>
    <t>https://www.wtnh.com/news/crime/arrests-made-in-danbury-human-trafficking-ring/1068799273</t>
  </si>
  <si>
    <t>Barry Paul Manthe / Ronald James Clark</t>
  </si>
  <si>
    <t>https://www.courtlistener.com/docket/7806836/united-states-v-manthe/</t>
  </si>
  <si>
    <t>Reginald Alexander</t>
  </si>
  <si>
    <t>http://swoknews.com/local/trafficking-case-leads-first-week-docket</t>
  </si>
  <si>
    <t>Dalian Washington / Akeem Beazer</t>
  </si>
  <si>
    <t>March 31, 2017</t>
  </si>
  <si>
    <t>DE</t>
  </si>
  <si>
    <t>https://www.justice.gov/usao-de/pr/us-air-force-service-members-charged-sex-offenses-involving-minor</t>
  </si>
  <si>
    <t>Brendan Eiler</t>
  </si>
  <si>
    <t>April 1, 2017</t>
  </si>
  <si>
    <t>https://www.southbendtribune.com/news/publicsafety/mishawaka-man-arrested-charged-in-child-porn-investigation/article_8f35e2b0-42ef-50c4-b8d8-5dd50ed3bdfd.html</t>
  </si>
  <si>
    <t>Steven E. Ritter</t>
  </si>
  <si>
    <t>https://www.cincinnati.com/story/news/crime/crime-and-courts/2019/04/10/documents-sharonville-man-had-girl-crack-cocaine-delivered-him/3425987002/</t>
  </si>
  <si>
    <t>https://www.justice.gov/usao-sdoh/pr/local-man-sentenced-8-years-prison-sex-trafficking-minor</t>
  </si>
  <si>
    <t>https://www.courtlistener.com/docket/6475058/united-states-v-ritter/</t>
  </si>
  <si>
    <t>http://archive.fo/mBCCq</t>
  </si>
  <si>
    <t>http://archive.fo/nEhC7</t>
  </si>
  <si>
    <t>Kelby Fowler</t>
  </si>
  <si>
    <t>IA</t>
  </si>
  <si>
    <t>https://www.justice.gov/usao-ndia/pr/man-who-emailed-video-teenager-being-raped-sentenced-federal-prison</t>
  </si>
  <si>
    <t>Zerrell Fuentes</t>
  </si>
  <si>
    <t>https://www.justice.gov/usao-wdnc/pr/sex-trafficker-three-underage-girls-sentenced-30-years</t>
  </si>
  <si>
    <t>https://www.wccbcharlotte.com/2017/04/24/charlotte-man-along-wife-mother-charged-conspiracy-sex-traffic-minors/pic/352613/</t>
  </si>
  <si>
    <t>https://archive.vn/LZonF</t>
  </si>
  <si>
    <t>Tanya Fuentes</t>
  </si>
  <si>
    <t>April,</t>
  </si>
  <si>
    <t>https://archive.vn/KvwuZ</t>
  </si>
  <si>
    <t>Brianna Wright</t>
  </si>
  <si>
    <t>David Kalna</t>
  </si>
  <si>
    <t>http://www.wfmj.com/story/38027580/youngstown-man-accused-of-trafficking-15-year-old-girl</t>
  </si>
  <si>
    <t>Christian Don’Tae Hood / Abdul Bangura</t>
  </si>
  <si>
    <t>https://www.justice.gov/opa/pr/two-men-convicted-sex-trafficking-15-year-old-girl</t>
  </si>
  <si>
    <t>Zachary Steven Blizzard</t>
  </si>
  <si>
    <t>https://www.ice.gov/news/releases/human-smuggler-tennessee-sentenced-south-texas-4-years-federal-prison-using</t>
  </si>
  <si>
    <t>Adam Vargas</t>
  </si>
  <si>
    <t>Project Safe Childhood-Repeat offender. CP related charges.</t>
  </si>
  <si>
    <t>https://www.justice.gov/usao-sdtx/pr/local-man-gets-25-years-child-pornography-convictions</t>
  </si>
  <si>
    <t>Erik Christopher Dunham</t>
  </si>
  <si>
    <t>US /Thailand</t>
  </si>
  <si>
    <t>Killed March 2, 2018.</t>
  </si>
  <si>
    <t>https://www.azcentral.com/story/news/local/scottsdale-breaking/2018/03/03/scottsdale-police-man-killed-homeland-security-erik-dunham-convicted-human-trafficking/391961002/</t>
  </si>
  <si>
    <t>February 2018</t>
  </si>
  <si>
    <t>Unkown</t>
  </si>
  <si>
    <t>8 prisoners at Ft.Dix arrested for CP related charges while serviing sentences for CP</t>
  </si>
  <si>
    <t>https://www.justice.gov/usao-nj/pr/federal-inmate-admits-possessing-images-child-sexual-abuse-while-prison</t>
  </si>
  <si>
    <t>Eric Furzland</t>
  </si>
  <si>
    <t>Project Safe Childhood - Repeat Sex Offender/CP related charges</t>
  </si>
  <si>
    <t>https://www.justice.gov/usao-sdtx/pr/registered-sex-offender-heads-prison-again</t>
  </si>
  <si>
    <t>Daniel Dale Barton</t>
  </si>
  <si>
    <t>Project Safe Childhood-Pastor arrested on CP related charges</t>
  </si>
  <si>
    <t>https://www.justice.gov/usao-mdfl/pr/former-brevard-county-pastor-sentenced-seven-years-receiving-child-pornography</t>
  </si>
  <si>
    <t>James Russell Green, Jr</t>
  </si>
  <si>
    <t>Project Safe Childhood-HS Swim coach-Production of CP</t>
  </si>
  <si>
    <t>http://www.kansascity.com/news/local/crime/article210328019.html</t>
  </si>
  <si>
    <t>https://www.justice.gov/usao-wdmo/pr/former-high-school-teacher-swim-coach-indicted-child-pornography</t>
  </si>
  <si>
    <t>Erik M Smith</t>
  </si>
  <si>
    <t>Inmate found w/ CP at Ft Dix</t>
  </si>
  <si>
    <t>https://www.justice.gov/usao-nj/pr/federal-inmate-sentenced-151-months-prison-possessing-images-child-sexual-abuse-while</t>
  </si>
  <si>
    <t>Kristopher Pylant</t>
  </si>
  <si>
    <t>CP Production</t>
  </si>
  <si>
    <t>https://www.justice.gov/usao-edpa/pr/delaware-county-man-sentenced-30-years-federal-prison-manufacturing-and-possessing</t>
  </si>
  <si>
    <t>Jorge Reyes</t>
  </si>
  <si>
    <t>CO</t>
  </si>
  <si>
    <t>http://www.newslocker.com/en-us/region/colorado/man-sentenced-to-24-years-for-soliciting-child-prostitutes-on-facebook/</t>
  </si>
  <si>
    <t>Cederrick Monshod Shaquil Clarkson /Kentrell Davis</t>
  </si>
  <si>
    <t>August 2017</t>
  </si>
  <si>
    <t>https://www.cbs19.tv/article/news/shreveport-men-sentenced-to-federal-prison-for-running-prostitution-enterprise-in-tyler-hotel/501-565666003</t>
  </si>
  <si>
    <t>Denton Jerome</t>
  </si>
  <si>
    <t>http://www.chicagotribune.com/suburbs/post-tribune/news/ct-ptb-attempted-sex-trafficking-sentence-st-0621-story.html</t>
  </si>
  <si>
    <t>Spencer Lovato</t>
  </si>
  <si>
    <t>https://www.justice.gov/usao-nm/pr/clovis-man-pleads-guilty-distributing-and-receiving-child-pornography</t>
  </si>
  <si>
    <t>Anthony Monjure</t>
  </si>
  <si>
    <t>AR</t>
  </si>
  <si>
    <t>https://www.justice.gov/usao-wdar/pr/benton-county-sex-offender-sentenced-10-years-federal-prison-child-pornography</t>
  </si>
  <si>
    <t>https://www.courtlistener.com/docket/7013596/united-states-v-monjure/</t>
  </si>
  <si>
    <t>Ryan Michael Spencer / Bryan Petersen</t>
  </si>
  <si>
    <t>https://www.justice.gov/usao-ndca/pr/bay-area-babysitter-and-camp-counselor-pleads-guilty-child-pornography-conspiracy</t>
  </si>
  <si>
    <t>https://www.ksbw.com/article/aptos-babysitter-traded-child-porn-with-tiburon-babysitter-court-docs-state/9633925</t>
  </si>
  <si>
    <t>Christopher Chase</t>
  </si>
  <si>
    <t>April 2, 2017</t>
  </si>
  <si>
    <t>https://www.justice.gov/usao-wdny/pr/williamsville-man-pleads-guilty-child-pornography-charge-0</t>
  </si>
  <si>
    <t>Adam Scott Pike</t>
  </si>
  <si>
    <t>AK</t>
  </si>
  <si>
    <t>Project Safe Childhood-CP &amp; travel w/intent to have sex w/a minor</t>
  </si>
  <si>
    <t>https://www.justice.gov/usao-ak/pr/traveler-sentenced-attempting-have-sex-child</t>
  </si>
  <si>
    <t>Jorge Castillo</t>
  </si>
  <si>
    <t>https://www.justice.gov/usao-dc/pr/california-couple-sentenced-prison-terms-federal-child-exploitation-charges</t>
  </si>
  <si>
    <t>https://ktla.com/2019/02/28/inglewood-couple-sentenced-after-pleading-guilty-to-federal-child-exploitation-charges/</t>
  </si>
  <si>
    <t>https://www.courtlistener.com/?q=&amp;type=r&amp;order_by=score+desc&amp;docket_number=1%3A17-cr-00239&amp;court=dcd</t>
  </si>
  <si>
    <t>Katherine Briones</t>
  </si>
  <si>
    <t>Dana Cain</t>
  </si>
  <si>
    <t>April 5, 2017</t>
  </si>
  <si>
    <t>https://www.cleveland.com/north-ridgeville/index.ssf/2017/12/north_ridgeville_man_charged_w.html</t>
  </si>
  <si>
    <t>Billy Dunn</t>
  </si>
  <si>
    <t>Apri 13,2017</t>
  </si>
  <si>
    <t>April 6 2017</t>
  </si>
  <si>
    <t>Member of Tharpe Cartel</t>
  </si>
  <si>
    <t>http://southsidemessenger.com/dunn-gets-one-year-found-guilty-on-all-counts-19-years-suspended/</t>
  </si>
  <si>
    <t>Walter Gross</t>
  </si>
  <si>
    <t>April 6, 2017</t>
  </si>
  <si>
    <t>https://www.justice.gov/usao-ndin/pr/fort-wayne-man-sentenced-120-months-prison</t>
  </si>
  <si>
    <t>Anthony Haynes</t>
  </si>
  <si>
    <t>April 7, 2017</t>
  </si>
  <si>
    <t>Project Safe Childhood- Sex trafficking of a minor &amp; related charges</t>
  </si>
  <si>
    <t>https://www.justice.gov/usao-ndoh/pr/jury-finds-toledo-pastor-guilty-sex-trafficking-minor-and-other-crimes</t>
  </si>
  <si>
    <t>https://www.cbsnews.com/news/two-pastors-arrested-for-sex-crimes-against-children/</t>
  </si>
  <si>
    <t>https://archive.fo/7E4Mv</t>
  </si>
  <si>
    <t xml:space="preserve">Cordell Jenkins  </t>
  </si>
  <si>
    <t>Christopher Martinelli</t>
  </si>
  <si>
    <t>April 13, 2017</t>
  </si>
  <si>
    <t>https://www.syracuse.com/crime/index.ssf/2017/04/syracuse_man_charged_as_repeat_child_porn_offender.html</t>
  </si>
  <si>
    <t>https://www.justice.gov/usao-ndny/pr/syracuse-man-pleads-guilty-child-pornography-charges</t>
  </si>
  <si>
    <t>David Nelson</t>
  </si>
  <si>
    <t>https://www.justice.gov/usao-nj/pr/ocean-county-man-sentenced-70-months-prison-distributing-images-child-sexual-abuse</t>
  </si>
  <si>
    <t>https://www.nj.com/ocean/2018/04/toms_river_man_accused_of_using_kik_to_distribute.html</t>
  </si>
  <si>
    <t>http://archive.fo/Vvd3l</t>
  </si>
  <si>
    <t>Alexander Jordan Miller</t>
  </si>
  <si>
    <t>April 10, 2017</t>
  </si>
  <si>
    <t xml:space="preserve">Project Safe Childhood-CP Production/distribution </t>
  </si>
  <si>
    <t>https://www.sacbee.com/news/local/crime/article143746169.html</t>
  </si>
  <si>
    <t>Hernandez &amp; Alvarez Acosta / Jaimie Riano</t>
  </si>
  <si>
    <t>April 11, 2017</t>
  </si>
  <si>
    <t>Sex trafficking of minors via Backpage.com</t>
  </si>
  <si>
    <t>https://www.justice.gov/usao-ndga/pr/three-men-charged-sex-trafficking-minors-georgia-florida-and-tennessee</t>
  </si>
  <si>
    <t>Amin Ricker</t>
  </si>
  <si>
    <t>Project Safe Childhood-Aggravated sexual abuse of a minor &amp; CP related charges</t>
  </si>
  <si>
    <t xml:space="preserve">https://www.justice.gov/usao-sd/pr/jury-finds-pierre-man-guilty-7-felony-counts-related-aggravated-sexual-abuse-child  </t>
  </si>
  <si>
    <t>LizMarie Rivera-Torres / Anthony Ferris</t>
  </si>
  <si>
    <t>April 17, 2017</t>
  </si>
  <si>
    <t>Project Safe Childhood - Sex trafficking of minors</t>
  </si>
  <si>
    <t>https://www.justice.gov/usao-edpa/pr/philadelphia-pair-charged-sex-trafficking</t>
  </si>
  <si>
    <t>Joshua Ryan Miller</t>
  </si>
  <si>
    <t>April 19, 2017</t>
  </si>
  <si>
    <t>CP Related charges</t>
  </si>
  <si>
    <t>http://www.wsfa.com/story/35191301/opelika-man-arrested-on-child-pornography-charges</t>
  </si>
  <si>
    <t>Luis Cesar Avalos-Hernandez / Alvaro Cruz-Suarez / Giovanni Arrelola-Villalobos,</t>
  </si>
  <si>
    <t>https://www.ice.gov/news/releases/3-houston-area-men-charged-human-smuggling</t>
  </si>
  <si>
    <t>Ryan Ray Tetirick</t>
  </si>
  <si>
    <t>https://www.justice.gov/usao-nv/pr/carson-city-man-sentenced-10-years-prison-possession-child-pornography</t>
  </si>
  <si>
    <t>Timothy Nolan</t>
  </si>
  <si>
    <t>April 20,2017</t>
  </si>
  <si>
    <t>KY Judge / Sex trafficking of a minor</t>
  </si>
  <si>
    <t>https://www.thedailybeast.com/trump-supporting-ex-judge-arrested-for-child-sex-crime</t>
  </si>
  <si>
    <t>https://archive.vn/yoLFu</t>
  </si>
  <si>
    <t>https://archive.vn/zrqGb</t>
  </si>
  <si>
    <t>Betty Jo &amp; James David Eckenberger</t>
  </si>
  <si>
    <t>April 24, 2017</t>
  </si>
  <si>
    <t>Project Safe Childhood-CP Production/distribution</t>
  </si>
  <si>
    <t>https://fox43.com/2017/04/24/grand-jury-indicts-perry-county-couple-on-child-pornography-charges/</t>
  </si>
  <si>
    <t>Ronald Gobenciong</t>
  </si>
  <si>
    <t>https://www.justice.gov/usao-ndil/pr/bolingbrook-man-arrested-child-pornography-charge-allegedly-enticing-underage-boy  https://www.justice.gov/usao-ndil/pr/bolingbrook-man-sentenced-19-years-federal-prison-engaging-sexual-conduct-underage-boys</t>
  </si>
  <si>
    <t xml:space="preserve"> Sarah Jayne Garland (Weathers)</t>
  </si>
  <si>
    <t>April 22, 2017</t>
  </si>
  <si>
    <t>http://www.newson6.com/story/35220474/tulsas-most-wanted-arrested-for-human-trafficking</t>
  </si>
  <si>
    <t>https://www.cbp.gov/newsroom/local-media-release/border-patrol-nabs-human-smugglers</t>
  </si>
  <si>
    <t>April 26, 2017</t>
  </si>
  <si>
    <t>https://www.cbp.gov/newsroom/local-media-release/human-smuggling-attempt-stopped-immigration-checkpoint</t>
  </si>
  <si>
    <t>Michael Lowe/Joshua Rose</t>
  </si>
  <si>
    <t>April 26 2017</t>
  </si>
  <si>
    <t>Project Safe Childhood</t>
  </si>
  <si>
    <t>https://www.justice.gov/opa/pr/two-alabama-men-arrested-and-indicted-sex-trafficking-charges</t>
  </si>
  <si>
    <t>Paul Fabrizio Solis</t>
  </si>
  <si>
    <t>Project Safe Childhood - Production/possession of CP</t>
  </si>
  <si>
    <t>https://www.justice.gov/usao-mdfl/pr/bradenton-man-sentenced-16-years-federal-prison-producing-and-possessing-child</t>
  </si>
  <si>
    <t>Mario Collins / Paulette Clayton</t>
  </si>
  <si>
    <t>April 27, 2017</t>
  </si>
  <si>
    <t>https://hottytoddy.com/2017/05/03/opd-arrests-two-oxford-human-trafficking-charges-fbi-involved/</t>
  </si>
  <si>
    <t>Sean Lillibridge</t>
  </si>
  <si>
    <t>April 29, 2017</t>
  </si>
  <si>
    <t>https://www.nbc4i.com/news/nasa-employee-arrested-on-child-pornography-charges/1064718770</t>
  </si>
  <si>
    <t>Jerimiah Montel</t>
  </si>
  <si>
    <t>https://www.justice.gov/usao-ndin/pr/fort-wayne-man-sentenced-15-years</t>
  </si>
  <si>
    <t>Anthony Quin Hodges</t>
  </si>
  <si>
    <t>https://www.justice.gov/usao-wdmo/pr/fulton-man-sentenced-child-pornography</t>
  </si>
  <si>
    <t>Roam Savage Chandler</t>
  </si>
  <si>
    <t>Backpage.com - Sex Trafficking a minor and soliciting for prostitution</t>
  </si>
  <si>
    <t>https://www.justice.gov/usao-mt/pr/missoula-man-sentenced-sex-trafficking-minor</t>
  </si>
  <si>
    <t>Carl Burdick</t>
  </si>
  <si>
    <t>Sex trafficking a minor</t>
  </si>
  <si>
    <t>https://www.justice.gov/usao-wdny/pr/henderson-man-pleads-guilty-sex-trafficking-charge</t>
  </si>
  <si>
    <t>Devonte Lamonte Lucas</t>
  </si>
  <si>
    <t>https://www.justice.gov/usao-wdpa/pr/erie-man-pleads-guilty-sex-trafficking-two-minor-victims</t>
  </si>
  <si>
    <t>Jerrica Ann Renee Teehee Lackey</t>
  </si>
  <si>
    <t>CP/Exploitation</t>
  </si>
  <si>
    <t>https://www.posttruthfacts.com/okla-woman-sentenced-to-25-years-for-molesting-toddler-and-sending-video-to-online-boyfriend/</t>
  </si>
  <si>
    <t>Stephen Hallett</t>
  </si>
  <si>
    <t>https://www.justice.gov/usao-nj/pr/bergen-county-new-jersey-man-sentenced-63-months-prison-purchasing-live-webcam-shows</t>
  </si>
  <si>
    <t>Jason Jorgenson</t>
  </si>
  <si>
    <t>https://www.justice.gov/usao-sd/pr/sioux-falls-man-sentenced-30-years-distribution-and-receipt-child-pornography</t>
  </si>
  <si>
    <t>Shagna Battle</t>
  </si>
  <si>
    <t>May 2018</t>
  </si>
  <si>
    <t>https://www.abc27.com/news/local/harrisburg/harrisburg-man-gets-prison-for-running-prostitution-business/1344621282</t>
  </si>
  <si>
    <t>Richard C Miller</t>
  </si>
  <si>
    <t>https://www.justice.gov/usao-wdny/pr/forestville-man-pleads-guilty-child-pornography-charges  https://www.justice.gov/usao-wdny/pr/two-forestville-men-indicted-multiple-child-pornography-and-witness-tampering-charg , https://www.justice.gov/usao-wdny/pr/forestville-man-sentenced-20-years-prison-following-child-pornography-convictiones</t>
  </si>
  <si>
    <t>Dalton Wayne Woods</t>
  </si>
  <si>
    <t>July 2018</t>
  </si>
  <si>
    <t>https://www.justice.gov/usao-edok/pr/roff-man-pleads-guilty-possession-material-involving-sexual-exploitation-minors</t>
  </si>
  <si>
    <t>Frank Crawford III</t>
  </si>
  <si>
    <t>September 2018</t>
  </si>
  <si>
    <t>https://www.justice.gov/usao-md/pr/illegal-alien-previously-convicted-sex-offender-and-two-others-plead-guilty-or-are</t>
  </si>
  <si>
    <t>https://www.justice.gov/usao-md/pr/former-army-soldier-sentenced-12-years-federal-prison-production-child-pornography</t>
  </si>
  <si>
    <t>Maksim Stefanyuk</t>
  </si>
  <si>
    <t>https://www.justice.gov/usao-sd/pr/repeat-sex-offender-sioux-falls-sentenced-distributing-child-pornography-and-failure-0</t>
  </si>
  <si>
    <t>Mauro Veliz</t>
  </si>
  <si>
    <t>Project Safe Childhood-Sex trafficking of a minor</t>
  </si>
  <si>
    <t>https://www.justice.gov/usao-az/pr/california-man-sentenced-8-years-prison-conspiracy-commit-sex-trafficking-minor</t>
  </si>
  <si>
    <t>Nathan R Kosmatine</t>
  </si>
  <si>
    <t>June 2017</t>
  </si>
  <si>
    <t>https://www.justice.gov/usao-wdpa/pr/erie-man-pleads-guilty-child-pornography-charges   https://www.justice.gov/usao-wdpa/pr/erie-man-sentenced-nearly-7-years-federal-prison-violating-laws-relating-sexual</t>
  </si>
  <si>
    <t>Dustin W Kewley</t>
  </si>
  <si>
    <t>ND</t>
  </si>
  <si>
    <t>Project Safe Childhood--CP production &amp; related charges</t>
  </si>
  <si>
    <t>https://www.justice.gov/usao-nd/pr/fargo-nd-man-sentenced-35-years-multiple-offenses-involving-transportation-one-year-old</t>
  </si>
  <si>
    <t>Donnie Lee Jackson</t>
  </si>
  <si>
    <t>https://www.justice.gov/usao-wdny/pr/rochester-man-faces-20-years-prison-after-pleading-guilty-child-pornography-charge , https://www.justice.gov/usao-wdny/pr/rochester-man-faces-20-years-prison-after-pleading-guilty-child-pornography-charge</t>
  </si>
  <si>
    <t>Johne Lee Owens II</t>
  </si>
  <si>
    <t>https://www.justice.gov/usao-nv/pr/north-las-vegas-man-sentenced-10-years-prison-distributing-child-pornography-social-media</t>
  </si>
  <si>
    <t>https://www.reviewjournal.com/crime/sex-crimes/north-las-vegas-man-gets-10-year-sentence-in-child-porn-case-1585063/</t>
  </si>
  <si>
    <t>Multiple (named in article)</t>
  </si>
  <si>
    <t>May 10, 2017</t>
  </si>
  <si>
    <t>https://nypost.com/2017/05/02/13-year-old-girl-held-against-her-will-sold-for-sex-police/</t>
  </si>
  <si>
    <t>https://kywnewsradio.radio.com/articles/news/police-5-convicted-human-trafficking-sexual-assault-14-year-old-girl</t>
  </si>
  <si>
    <t>Bruce A Harvey</t>
  </si>
  <si>
    <t>May 3, 2017</t>
  </si>
  <si>
    <t>Project Safe Childhood-County Detective arrest for CP production/exploitation</t>
  </si>
  <si>
    <t>https://www.justice.gov/usao-wdva/pr/former-madison-county-detective-sentenced-sexually-exploiting-minors</t>
  </si>
  <si>
    <t>Fang Wang</t>
  </si>
  <si>
    <t>May 4, 2017</t>
  </si>
  <si>
    <t>Sex trafficking via Backpage.com</t>
  </si>
  <si>
    <t>https://www.ice.gov/news/releases/6-arrested-joint-operation-targeting-organized-crime-prostitution-ring</t>
  </si>
  <si>
    <t>Yongguang Wu</t>
  </si>
  <si>
    <t>Yunzhong Chen</t>
  </si>
  <si>
    <t>Yaoan He,</t>
  </si>
  <si>
    <t>Zhaofeng Zhang</t>
  </si>
  <si>
    <t>Steven Thompson</t>
  </si>
  <si>
    <t>Eric Zyn Ho / Bryan Mathew Otero</t>
  </si>
  <si>
    <t>Trafficking of a minor/conspiracy to produce CP</t>
  </si>
  <si>
    <t>https://www.justice.gov/usao-sdoh/pr/two-cincinnati-individuals-plead-guilty-conspiracy-sex-trafficking-child</t>
  </si>
  <si>
    <t>Jeffrey E Roberts</t>
  </si>
  <si>
    <t>CP related charges &amp; child enticement</t>
  </si>
  <si>
    <t>https://www.justice.gov/usao-ndga/pr/defendant-sentenced-attempted-child-enticement-and-possession-child-pornography</t>
  </si>
  <si>
    <t>Jason James Neiheisel</t>
  </si>
  <si>
    <t>May 5, 2017</t>
  </si>
  <si>
    <t>https://www.justice.gov/usao-mdfl/pr/jacksonville-man-sentenced-seven-years-federal-prison-distributing-child-sex-abuse</t>
  </si>
  <si>
    <t>https://www.justice.gov/usao-mdfl/pr/federal-jury-finds-jacksonville-man-guilty-distributing-child-sex-abuse-videos-0</t>
  </si>
  <si>
    <t>Johnathon Deontre Smith</t>
  </si>
  <si>
    <t>May 8, 2017</t>
  </si>
  <si>
    <t>https://www.inforney.com/texas/dallas-man-arrested-on-federal-child-sex-trafficking-charge/article_05ce19f1-a4d5-5c34-a540-5096b01a9949.html</t>
  </si>
  <si>
    <t>Chad Knowlton</t>
  </si>
  <si>
    <t>https://poststar.com/news/local/crime-and-courts/police-queensbury-man-had-child-porn/article_3b0ee846-fd97-5c0d-881e-6999498d3bd1.html</t>
  </si>
  <si>
    <t>https://www.justice.gov/usao-ndny/pr/queensbury-man-sentenced-180-months-child-pornography-offenses</t>
  </si>
  <si>
    <t>Jim Sideras</t>
  </si>
  <si>
    <t>https://www.argusleader.com/story/news/crime/2018/09/12/sioux-falls-fire-chief-jim-sideras-arrest-roland-jahn-child-pornography/1269206002/</t>
  </si>
  <si>
    <t>Travis Howard White</t>
  </si>
  <si>
    <t>May 11, 2017</t>
  </si>
  <si>
    <t>CP Production &amp; related charges</t>
  </si>
  <si>
    <t>https://www.justice.gov/usao-wdmo/pr/independence-man-sentenced-16-years-producing-child-pornography</t>
  </si>
  <si>
    <t>https://www.kansascity.com/news/local/crime/article150088337.html</t>
  </si>
  <si>
    <t>Michael Berenson</t>
  </si>
  <si>
    <t>https://www.justice.gov/usao-edmi/pr/washington-state-man-was-sentenced-55-years-child-exploitation-charges</t>
  </si>
  <si>
    <t>https://www.seattlepi.com/local/crime/article/FBI-Men-lured-girls-into-online-chat-11140477.php</t>
  </si>
  <si>
    <t>http://archive.fo/ukVke</t>
  </si>
  <si>
    <t>Keith J Bleau</t>
  </si>
  <si>
    <t>May 16, 2017</t>
  </si>
  <si>
    <t>https://www.justice.gov/usao-ndny/pr/johnsonville-man-charged-receiving-and-possessing-child-pornography</t>
  </si>
  <si>
    <t>Abdul Jaleel Dar</t>
  </si>
  <si>
    <t>May 18, 2018</t>
  </si>
  <si>
    <t>https://www.cbp.gov/newsroom/local-media-release/philadelphia-cbp-arrests-fugitive-kansas-felony-child-sexual</t>
  </si>
  <si>
    <t>Robert Ray Richmond</t>
  </si>
  <si>
    <t>https://www.justice.gov/usao-wdny/pr/batavia-man-pleads-guilty-viewing-child-pornography-local-library</t>
  </si>
  <si>
    <t>https://www.thedailynewsonline.com/bdn01/child-porn-in-library-case-now-in-federal-court-20171005</t>
  </si>
  <si>
    <t>http://archive.fo/s5Htf</t>
  </si>
  <si>
    <t>Anthony Weiner</t>
  </si>
  <si>
    <t>CP related charges / Sexting a minor</t>
  </si>
  <si>
    <t>https://nypost.com/2017/05/19/anthony-weiner-will-plead-guilty-to-sexting-with-a-15-year-old-girl/</t>
  </si>
  <si>
    <t>https://www.wwaytv3.com/2017/09/25/anthony-weiner-sentenced-to-21-months-in-sexting-case/</t>
  </si>
  <si>
    <t>https://archive.vn/sAn15</t>
  </si>
  <si>
    <t>https://archive.vn/9Rgjc</t>
  </si>
  <si>
    <t>Debra Kerouac</t>
  </si>
  <si>
    <t>May 24, 2017</t>
  </si>
  <si>
    <t>https://www.justice.gov/usao-nh/pr/manchester-resident-pleads-guilty-producing-child-pornography</t>
  </si>
  <si>
    <t>Jason Keiser</t>
  </si>
  <si>
    <t>May 25, 2017</t>
  </si>
  <si>
    <t>https://www.justice.gov/usao-mdpa/pr/carbon-county-man-sentenced-over-22-years-prison-sexual-exploitation-children</t>
  </si>
  <si>
    <t>Keith Willette</t>
  </si>
  <si>
    <t>https://www.justice.gov/usao-edca/pr/former-el-dorado-county-gymnastics-coach-charged-attempting-produce-child-pornography</t>
  </si>
  <si>
    <t>https://fox40.com/2017/05/26/former-gymnastics-instructor-arrested-for-child-molestation/</t>
  </si>
  <si>
    <t>https://www.courtlistener.com/docket/15565833/united-states-v-willette/</t>
  </si>
  <si>
    <t>https://tribfox40.files.wordpress.com/2017/05/keith-willette-54.jpg?quality=85&amp;strip=all&amp;strip=all</t>
  </si>
  <si>
    <t>Alexander Pedraza</t>
  </si>
  <si>
    <t>May 26, 2017</t>
  </si>
  <si>
    <t>https://www.justice.gov/usao-ct/pr/east-hartford-man-pleads-guilty-sex-trafficking-minor</t>
  </si>
  <si>
    <t>Terrance Goldberg</t>
  </si>
  <si>
    <t>https://www.justice.gov/usao-edca/pr/minnesota-man-sentenced-16-years-prison-receipt-and-distribution-child-pornography</t>
  </si>
  <si>
    <t>Sterling Jones</t>
  </si>
  <si>
    <t>May 31, 2017</t>
  </si>
  <si>
    <t>https://www.justice.gov/usao-wdny/pr/lockport-man-arrested-child-pornography-charges</t>
  </si>
  <si>
    <t>Patrick Lawrence Trottie</t>
  </si>
  <si>
    <t>http://www.sao4th.com/patrick-trottie-arrest-human-trafficking/</t>
  </si>
  <si>
    <t>Gary S Bridgewater</t>
  </si>
  <si>
    <t>https://www.ajc.com/news/crime--law/prominent-community-figure-facing-child-porn-charges/HGSynNKQOlXWe276SthpnM/</t>
  </si>
  <si>
    <t>Frank A Dunn</t>
  </si>
  <si>
    <t>https://www.justice.gov/usao-md/pr/montgomery-county-man-pleads-guilty-possession-child-pornography</t>
  </si>
  <si>
    <t>https://www.courtlistener.com/docket/7427508/united-states-v-dunn/</t>
  </si>
  <si>
    <t>Alderman Thomas Katsiantonis</t>
  </si>
  <si>
    <t>June 1, 2017</t>
  </si>
  <si>
    <t>Pedo Kats' Pizza shops owner</t>
  </si>
  <si>
    <t>https://steemit.com/pizzagate/@titusfrost/the-start-of-actual-pizzagate-arrests</t>
  </si>
  <si>
    <t>Michael David Mitchell</t>
  </si>
  <si>
    <t>https://www.justice.gov/usao-ks/pr/ottawa-man-sentenced-seeking-child-mother-sex</t>
  </si>
  <si>
    <t>http://www.kmbc.com/article/ottawa-man-accused-of-attempted-child-sex-trafficking/10017416</t>
  </si>
  <si>
    <t>Moayad Heider Mohammad Aldari</t>
  </si>
  <si>
    <t>https://www.ice.gov/news/releases/jordanian-man-pleads-guilty-conspiracy-smuggle-yemenis-and-other-aliens-us</t>
  </si>
  <si>
    <t>Jordan</t>
  </si>
  <si>
    <t>Abdul Basier Hashimi</t>
  </si>
  <si>
    <t>https://www.justice.gov/usao-edca/pr/elk-grove-man-arrested-sex-trafficking-child</t>
  </si>
  <si>
    <t>https://www.justice.gov/usao-edca/pr/elk-grove-man-sentenced-over-12-years-prison-sex-trafficking-child</t>
  </si>
  <si>
    <t>Human trafficking arrests</t>
  </si>
  <si>
    <t>http://www.duluthnewstribune.com/news/4291129-19-arrested-minnesota-human-trafficking-sting-10-victims-rescued-officials-say</t>
  </si>
  <si>
    <t>Markell Quashan Sweargin</t>
  </si>
  <si>
    <t>https://www.ice.gov/news/releases/texas-man-pleads-guilty-transporting-woman-new-mexico-prostitution</t>
  </si>
  <si>
    <t>Thomas Edward Abney</t>
  </si>
  <si>
    <t>Project Safe Childhood- CP Production &amp; Transportation</t>
  </si>
  <si>
    <t>https://www.justice.gov/usao-mdfl/pr/lake-county-man-sentenced-40-years-production-and-transportation-child-pornography</t>
  </si>
  <si>
    <t>Robert Meachum</t>
  </si>
  <si>
    <t>http://www.goshennews.com/news/local_news/sentence-decided-in-child-porn-case/article_2046ba6e-1449-5773-a336-cfd8e0d4b58e.html</t>
  </si>
  <si>
    <t>Andrew Lee Thompson II /Delberta Rose McKenzie /Rachel Lynn Robillard</t>
  </si>
  <si>
    <t>Sex trafficking a minor across state lines</t>
  </si>
  <si>
    <t>https://www.justice.gov/usao-edva/pr/pimp-sentenced-25-years-sex-trafficking-minor</t>
  </si>
  <si>
    <t>Douglas Dane Jones</t>
  </si>
  <si>
    <t>CP related charges and sexual abuse of a minor</t>
  </si>
  <si>
    <t>https://www.justice.gov/usao-az/pr/tsaile-man-sentenced-20-years-imprisonment-sexual-abuse-minor-and-child-pornography</t>
  </si>
  <si>
    <t>Reagan Conception</t>
  </si>
  <si>
    <t>https://www.timesledger.com/stories/2018/16/guiltyplea_2018_04_20_q.html</t>
  </si>
  <si>
    <t>Crystal Lilly/ Dekenndrick Lekeith Ross</t>
  </si>
  <si>
    <t>https://tylerpaper.com/news/local/tyler-woman-pleads-guilty-to-human-trafficking-sentenced-to-three/article_0257bc34-584b-11e8-a88d-37bc45b1fd95.html</t>
  </si>
  <si>
    <t>Celeste Chambers / Kevin Wyatt</t>
  </si>
  <si>
    <t>http://www.wtxl.com/news/trial-continues-for-woman-in-sex-trafficking-of-child-in/article_fe20b344-aaa0-11e7-905d-e3a2a1424e93.html</t>
  </si>
  <si>
    <t>David L Adams</t>
  </si>
  <si>
    <t>https://www.justice.gov/usao-ndin/pr/lafayette-man-sentenced-78-months-prison</t>
  </si>
  <si>
    <t>https://www.jconline.com/story/news/crime/2018/08/15/lafayette-man-sentenced-federal-court-child-porn/997625002/</t>
  </si>
  <si>
    <t>https://www.courtlistener.com/docket/7101037/united-states-v-adams/</t>
  </si>
  <si>
    <t>https://archive.fo/HDqto</t>
  </si>
  <si>
    <t>https://archive.fo/CyBdy</t>
  </si>
  <si>
    <t>John William Hall</t>
  </si>
  <si>
    <t>https://www.justice.gov/usao-ndfl/pr/pensacola-sex-offender-sentenced-40-years-receipt-child-pornography</t>
  </si>
  <si>
    <t>https://www.courtlistener.com/docket/6317502/united-states-v-hall/</t>
  </si>
  <si>
    <t>Anthony Martin</t>
  </si>
  <si>
    <t>CP production &amp; related charges</t>
  </si>
  <si>
    <t>https://www.justice.gov/usao-edva/pr/man-sentenced-coercion-and-enticement-minor</t>
  </si>
  <si>
    <t>Christopher G Brenner</t>
  </si>
  <si>
    <t>https://www.justice.gov/usao-wdmo/pr/riverside-man-sentenced-child-pornography</t>
  </si>
  <si>
    <t>Nathan Mark Williams</t>
  </si>
  <si>
    <t>June2017</t>
  </si>
  <si>
    <t>https://www.justice.gov/usao-wdpa/pr/mckean-pa-man-pleads-guilty-charges-relating-sexual-exploitation-children</t>
  </si>
  <si>
    <t>https://www.justice.gov/usao-wdpa/pr/mckean-pa-man-indicted-child-exploitation-charges</t>
  </si>
  <si>
    <t>Roy Allen Nichols</t>
  </si>
  <si>
    <t>September 2017</t>
  </si>
  <si>
    <t>https://www.justice.gov/usao-ndoh/pr/van-wert-man-indicted-child-pornography-0</t>
  </si>
  <si>
    <t>https://www.justice.gov/usao-ndoh/pr/registered-sex-offender-van-wert-sentenced-19-years-prison-downloading-images-young</t>
  </si>
  <si>
    <t>Jason Novoa</t>
  </si>
  <si>
    <t>https://www.justice.gov/usao-ndny/pr/ballston-spa-man-sentenced-120-months-child-pornography-offenses</t>
  </si>
  <si>
    <t>https://www.courtlistener.com/docket/7460933/united-states-v-jason-novoa/</t>
  </si>
  <si>
    <t>Benjamin Gagnon</t>
  </si>
  <si>
    <t>June 6, 2017</t>
  </si>
  <si>
    <t>CP distribution &amp; related charges</t>
  </si>
  <si>
    <t>https://www.justice.gov/usao-me/pr/keene-man-sentenced-20-years-sexually-exploiting-child</t>
  </si>
  <si>
    <t>https://www.sentinelsource.com/news/local/keene-man-accused-of-soliciting-sex-acts-from-a-child/article_ad587491-968b-5de5-b25c-cd4e778f912b.html</t>
  </si>
  <si>
    <t>https://web.archive.org/web/20190415152545/https://www.sentinelsource.com/news/local_crime_reports/keene-man-gets-two-decade-sentence-for-sexually-exploiting-child/article_10b04c40-bb81-5e85-a003-e7bdfac9da7a.html</t>
  </si>
  <si>
    <t>http://archive.fo/DO5Nb</t>
  </si>
  <si>
    <t>David Ray Pelfrey</t>
  </si>
  <si>
    <t>Project Safe Childhood-CP production/distribution/solicitation of a minor</t>
  </si>
  <si>
    <t>http://www.herald-dispatch.com/news/huntington-man-indicted-on-sex-trafficking-charge/article_e9af9da6-6217-5f49-8351-d1e0576ae03c.html</t>
  </si>
  <si>
    <t>Albert Rich</t>
  </si>
  <si>
    <t>Sex trafficking of minors / Sex trafficking</t>
  </si>
  <si>
    <t>https://www.eastbaytimes.com/2018/05/22/oakland-human-trafficker-who-burned-tortured-victims-found-guilty-on-all-charges/</t>
  </si>
  <si>
    <t>June 7, 2017</t>
  </si>
  <si>
    <t>https://www.cbp.gov/newsroom/local-media-release/human-smuggling-attempt-stopped-immigration-checkpoint-0</t>
  </si>
  <si>
    <t>May 2, 2018</t>
  </si>
  <si>
    <t>US/MX</t>
  </si>
  <si>
    <t>Mexican Nationals extradicted for sex trafficking charges</t>
  </si>
  <si>
    <t>http://whiteplains.dailyvoice.com/news/mexican-nationals-extradited-to-new-york-on-sex-trafficking-charges/736636/</t>
  </si>
  <si>
    <t>Michael Zeug / Unnamed</t>
  </si>
  <si>
    <t>June 9, 2017</t>
  </si>
  <si>
    <t>Operation Guardian Angel- Sex trafficking</t>
  </si>
  <si>
    <t>https://minnesota.cbslocal.com/2017/06/12/redwood-county-prostitution-sting-arrests/</t>
  </si>
  <si>
    <t>Austin Jones</t>
  </si>
  <si>
    <t>June 12, 2017</t>
  </si>
  <si>
    <t>https://www.justice.gov/usao-ndil/pr/suburban-musician-pleads-guilty-child-pornography-charge-enticing-underage-girls, https://www.ice.gov/news/releases/chicago-area-musician-sentenced-10-years-federal-prison-enticing-underage-girls</t>
  </si>
  <si>
    <t>https://www.usatoday.com/story/life/people/2017/06/13/singer-child-porn-charges/102832406/</t>
  </si>
  <si>
    <t>http://archive.is/FSyuT</t>
  </si>
  <si>
    <t>http://archive.fo/1cK3Q</t>
  </si>
  <si>
    <t>Craig Dwayne Edwards / Melissa Lee Simpkins</t>
  </si>
  <si>
    <t>http://www.reflector.com/Crime-and-Rescue/2017/06/17/Search-warrant-women-fed-drugs-beaten-into-prostitution.html</t>
  </si>
  <si>
    <t>Elton Vallare</t>
  </si>
  <si>
    <t>https://www.justice.gov/usao-wdtx/pr/jury-convicts-san-antonio-man-federal-child-pornography-charges-0 , https://www.justice.gov/usao-wdtx/pr/san-antonio-man-sentenced-federal-prison-distribution-receipt-and-possession-child</t>
  </si>
  <si>
    <t>James Edward Warren</t>
  </si>
  <si>
    <t>June 14, 2017</t>
  </si>
  <si>
    <t>https://www.clarionledger.com/story/news/2017/06/15/man-wanted-human-trafficking-charges-alabama-caught-hinds-county/401207001/</t>
  </si>
  <si>
    <t>Kevin D Jenkins</t>
  </si>
  <si>
    <t>https://www.justice.gov/usao-sd/pr/rapid-city-man-indicted-commercial-sex-trafficking</t>
  </si>
  <si>
    <t>William Pierce Washington / William Pierce Washington Jr</t>
  </si>
  <si>
    <t>Brothers arrested sex trafficking of minors</t>
  </si>
  <si>
    <t>https://www.justice.gov/usao-sdoh/pr/two-brothers-charged-sex-trafficking-children</t>
  </si>
  <si>
    <t>Michael Robert Heinrich</t>
  </si>
  <si>
    <t>https://www.justice.gov/usao-wdpa/pr/erie-man-charged-producing-possessing-child-pornography  https://www.justice.gov/usao-wdpa/pr/erie-county-man-pleads-guilty-child-exploitation-charges , https://www.justice.gov/usao-wdpa/pr/former-girard-pa-man-sentenced-15-years-prison-producing-sexually-explicit-photos-young</t>
  </si>
  <si>
    <t>Micah Vickery</t>
  </si>
  <si>
    <t>July 2017</t>
  </si>
  <si>
    <t>SC</t>
  </si>
  <si>
    <t>https://www.justice.gov/usao-sc/pr/greenville-man-pleads-guilty-child-porn-charges-1</t>
  </si>
  <si>
    <t>https://www.justice.gov/usao-sc/pr/federal-grand-jury-indictments-50</t>
  </si>
  <si>
    <t>June 16, 2017</t>
  </si>
  <si>
    <t>https://napavalleyregister.com/news/local/napa-police-make-arrests-related-to-child-pornography/article_9f8398c4-4395-519a-b667-0f7731e74512.html</t>
  </si>
  <si>
    <t>Alfonso Navarrete</t>
  </si>
  <si>
    <t>Child abuse/CP production/distribution</t>
  </si>
  <si>
    <t>https://www.justice.gov/usao-nm/pr/albuquerque-man-pleads-guilty-child-sexual-abuse-and-child-pornography-charges</t>
  </si>
  <si>
    <t>June 19, 2017</t>
  </si>
  <si>
    <t>https://www.cbp.gov/newsroom/local-media-release/laredo-sector-border-patrol-assists-rescue-44-illegal-aliens-trailer</t>
  </si>
  <si>
    <t>Stephen P Lynch</t>
  </si>
  <si>
    <t>https://www.justice.gov/usao-sdtx/pr/kingwood-resident-gets-35-years-sexual-exploitation-child</t>
  </si>
  <si>
    <t>Gregory Lee</t>
  </si>
  <si>
    <t>Teacher arrested on CP charges</t>
  </si>
  <si>
    <t>http://dublinohiousa.gov/newsroom/former-dublin-teacher-arrested-on-federal-child-pornography-charges/</t>
  </si>
  <si>
    <t>Igor Rosenow</t>
  </si>
  <si>
    <t>https://www.justice.gov/usao-sdca/pr/san-diego-man-sentenced-25-years-federal-prison-child-pornography-offenses</t>
  </si>
  <si>
    <t>https://www.10news.com/news/local-news/san-diego-man-sentenced-for-sex-with-minors-child-porn-offenses</t>
  </si>
  <si>
    <t>https://archive.vn/DklPu</t>
  </si>
  <si>
    <t>Brennan McNeil</t>
  </si>
  <si>
    <t>June 21, 2017</t>
  </si>
  <si>
    <t>CP production</t>
  </si>
  <si>
    <t>https://www.justice.gov/usao-ndny/pr/albany-man-pleads-guilty-producing-child-pornography</t>
  </si>
  <si>
    <t>Ronald Craig Lowman</t>
  </si>
  <si>
    <t>https://www.dcourier.com/news/2018/jun/09/former-police-officer-facing-child-prostitution-ch/</t>
  </si>
  <si>
    <t>Marquez Domingo Lopez</t>
  </si>
  <si>
    <t>June 22, 2017</t>
  </si>
  <si>
    <t>http://www.startribune.com/brooklyn-park-man-charged-with-forcing-15-year-old-girl-to-have-sex-with-10-to-15-men/485866621/</t>
  </si>
  <si>
    <t>Kevin C. Baker</t>
  </si>
  <si>
    <t>https://www.justice.gov/usao-sdin/pr/plainfield-man-sentenced-35-years-sexual-exploitation-child</t>
  </si>
  <si>
    <t>Roger Erik Splettstoeszer</t>
  </si>
  <si>
    <t>https://www.justice.gov/usao-mn/pr/federal-jury-finds-ironton-man-guilty-distribution-receipt-and-possession-child</t>
  </si>
  <si>
    <t>https://www.brainerddispatch.com/news/crime-and-courts/4435368-ironton-man-found-guilty-child-pornography-charges</t>
  </si>
  <si>
    <t>https://archive.fo/DOZJe</t>
  </si>
  <si>
    <t>https://archive.fo/6AjaF</t>
  </si>
  <si>
    <t>June 28, 2017</t>
  </si>
  <si>
    <t>https://www.cbp.gov/newsroom/local-media-release/woman-arrested-smuggling-man-trunk</t>
  </si>
  <si>
    <t>July 31 2017</t>
  </si>
  <si>
    <t>National Johns Suppression Initiative 2017</t>
  </si>
  <si>
    <t xml:space="preserve">https://govbanknotes.wordpress.com/2017/08/05/massive-us-sex-trafficking-bust-ensnares-over-1000-including-law-enforcement-and-clergy/#more-3254  
</t>
  </si>
  <si>
    <t>Gary F Beals</t>
  </si>
  <si>
    <t>https://www.justice.gov/usao-cdil/pr/indiana-man-sentenced-66-years-prison-child-sexual-exploitation-travel-illinois-engage</t>
  </si>
  <si>
    <t>Carlos Bell</t>
  </si>
  <si>
    <t>June 30, 2017</t>
  </si>
  <si>
    <t>CP production /assault &amp; related charges</t>
  </si>
  <si>
    <t>http://www.fox5dc.com/news/local-news/hiv-positive-charles-county-sex-assault-suspect-had-additional-involvement-with-youth-police-say</t>
  </si>
  <si>
    <t>Richard Seeger</t>
  </si>
  <si>
    <t>https://www.justice.gov/usao-ndin/pr/lafayette-man-sentenced-78-months-prison-0</t>
  </si>
  <si>
    <t>https://www.courtlistener.com/docket/7308943/united-states-v-seeger/</t>
  </si>
  <si>
    <t xml:space="preserve">Dkyle Jamal Bridges </t>
  </si>
  <si>
    <t>https://www.justice.gov/usao-edpa/pr/three-convicted-trial-sex-trafficking-minors-and-others</t>
  </si>
  <si>
    <t>https://www.courtlistener.com/?q=&amp;type=r&amp;order_by=score+desc&amp;docket_number=2%3A18-cr-00193&amp;court=paed</t>
  </si>
  <si>
    <t>Philip Daniel Love</t>
  </si>
  <si>
    <t>!</t>
  </si>
  <si>
    <t>https://www.ice.gov/news/releases/tucson-man-sentenced-90-years-prison-production-and-distribution-child-pornography</t>
  </si>
  <si>
    <t>https://kvoa.com/news/local-news/2019/05/08/tucsonan-gets-90-years-in-prison-for-producing-distributing-child-porn/</t>
  </si>
  <si>
    <t>https://web.archive.org/web/20190726160144/https://kvoa.com/news/local-news/2019/05/08/tucsonan-gets-90-years-in-prison-for-producing-distributing-child-porn/</t>
  </si>
  <si>
    <t>http://archive.fo/t21mI</t>
  </si>
  <si>
    <t>Robert Barrie</t>
  </si>
  <si>
    <t>RI</t>
  </si>
  <si>
    <t>https://www.justice.gov/usao-ri/pr/rhode-island-man-facing-15-40-years-prison-child-pornography-charges</t>
  </si>
  <si>
    <t>Anthony Jones</t>
  </si>
  <si>
    <t xml:space="preserve"> Kristian Jones</t>
  </si>
  <si>
    <t>Maria Candelaria Losoya</t>
  </si>
  <si>
    <t>https://www.ice.gov/news/releases/south-texas-woman-pleads-guilty-sex-trafficking-9-year-old-girl</t>
  </si>
  <si>
    <t>https://www.kiiitv.com/article/news/crime/woman-accused-of-trafficking-nine-year-old-for-sex-enters-plea/461085085</t>
  </si>
  <si>
    <t>Michael DeBlanc</t>
  </si>
  <si>
    <t>Project Safe Childhood-Possession/Distribution of CP</t>
  </si>
  <si>
    <t>https://www.justice.gov/usao-wdla/pr/carencro-man-sentenced-7-years-prison-possessing-child-pornography</t>
  </si>
  <si>
    <t>https://archive.fo/phbcw</t>
  </si>
  <si>
    <t>https://archive.fo/S49EE</t>
  </si>
  <si>
    <t>Morgan Summerlin / Richard Office / Alfredo Trejo</t>
  </si>
  <si>
    <t>http://wgntv.com/2018/05/08/mom-admits-she-let-men-rape-daughters-ages-5-and-6-in-exchange-for-money/</t>
  </si>
  <si>
    <t>William De Vries</t>
  </si>
  <si>
    <t>SA</t>
  </si>
  <si>
    <t>ICE arrest-835 year sentence for CP production/distribution over 20 yrs</t>
  </si>
  <si>
    <t>https://www.ice.gov/news/releases/ice-orchestrates-innovative-dvc-technology-trial-south-african-pedophile</t>
  </si>
  <si>
    <t>https://www.enca.com/south-africa/details-surrounding-sas-child-pornographer-laid-bare-in-court</t>
  </si>
  <si>
    <t>South Africa</t>
  </si>
  <si>
    <t>Christopher Bryan Smith</t>
  </si>
  <si>
    <t>https://www.justice.gov/usao-sdms/pr/biloxi-man-sentenced-over-nine-years-federal-prison-possession-child-pornography</t>
  </si>
  <si>
    <t>Willie Lampley</t>
  </si>
  <si>
    <t>https://www.justice.gov/usao-edtx/pr/beaumont-man-guilty-child-pornography-violations</t>
  </si>
  <si>
    <t>https://www.justice.gov/usao-edtx/pr/beaumont-man-sentenced-child-pornography-violations</t>
  </si>
  <si>
    <t>https://www.courtlistener.com/docket/6551932/united-states-v-lampley/</t>
  </si>
  <si>
    <t>David Buie</t>
  </si>
  <si>
    <t>https://www.justice.gov/usao-wdmo/pr/prior-sex-offender-sentenced-10-years-child-sexual-obscenity</t>
  </si>
  <si>
    <t>Jimmy Orlando Varela-Reyes</t>
  </si>
  <si>
    <t>Gregg Donshik</t>
  </si>
  <si>
    <t>https://www.miamiherald.com/news/local/education/article220307895.html</t>
  </si>
  <si>
    <t>https://www.justice.gov/usao-sdfl/pr/broward-county-teacher-pleads-guilty-possessing-child-pornography</t>
  </si>
  <si>
    <t>https://www.courtlistener.com/docket/7789573/united-states-v-donshik/</t>
  </si>
  <si>
    <t>Ivan Madrigal Zamora</t>
  </si>
  <si>
    <t>Human smuggling &amp; forced labor</t>
  </si>
  <si>
    <t>https://www.justice.gov/usao-sdfl/pr/cuban-national-sentenced-more-10-years-labor-trafficking-and-alien-smuggling https://www.justice.gov/usao-sdfl/pr/cuban-national-pleads-guilty-labor-trafficking-and-alien-smuggling</t>
  </si>
  <si>
    <t>https://www.courtlistener.com/docket/6733967/united-states-v-zamora/</t>
  </si>
  <si>
    <t>Cuba</t>
  </si>
  <si>
    <t>Scott Pieritz</t>
  </si>
  <si>
    <t>Project Safe Childhood-Sex trafficking of minors, CP production &amp; related charges</t>
  </si>
  <si>
    <t>https://www.justice.gov/opa/pr/virginia-man-sentenced-30-years-prison-enticement-receipt-and-possession-child-pornography</t>
  </si>
  <si>
    <t>https://www.courtlistener.com/docket/6757218/united-states-v-pieritz/</t>
  </si>
  <si>
    <t>Matthew Ridenour</t>
  </si>
  <si>
    <t>https://www.justice.gov/usao-ndin/pr/mishawaka-man-sentenced-180-months-prison</t>
  </si>
  <si>
    <t>https://www.wndu.com/content/news/Mishawaka-man-charged-with-child-exploitation-possession-of-child-pornography-436372913.html</t>
  </si>
  <si>
    <t>https://www.courtlistener.com/docket/6431694/united-states-v-ridenour/</t>
  </si>
  <si>
    <t>Victor Zelaya-Funez</t>
  </si>
  <si>
    <t>https://www.justice.gov/usao-mdla/pr/illegal-alien-sentenced-federal-prison-sexual-exploitation-minor-and-possession-child</t>
  </si>
  <si>
    <t>July 5, 2017</t>
  </si>
  <si>
    <t>https://www.cbp.gov/newsroom/local-media-release/mexican-woman-found-hiding-trunk-compact-car</t>
  </si>
  <si>
    <t>Harry Miller</t>
  </si>
  <si>
    <t>July 7, 2017</t>
  </si>
  <si>
    <t>http://host.madison.com/wsj/news/local/courts/man-charged-with-human-trafficking-after-women-say-their-addictions/article_f32107e4-2415-5c7d-bfa5-bba5e6714673.html</t>
  </si>
  <si>
    <t>Walter Brown</t>
  </si>
  <si>
    <t>Project Safe Childhood-sexual exploitation of a minor &amp; related charges</t>
  </si>
  <si>
    <t>https://www.justice.gov/usao-ma/pr/ware-man-pleads-guilty-sexual-exploitation-charges , https://www.justice.gov/usao-ma/pr/ware-man-sentenced-15-years-prison-sex-trafficking-and-sexual-exploitation-minor</t>
  </si>
  <si>
    <t>https://www.masslive.com/news/2017/09/pair_from_monson_ware_indicted.html</t>
  </si>
  <si>
    <t>https://archive.vn/trbsL</t>
  </si>
  <si>
    <t>https://archive.vn/TOrOs</t>
  </si>
  <si>
    <t>Claire Poole</t>
  </si>
  <si>
    <t>https://archive.vn/nKT4d</t>
  </si>
  <si>
    <t>Nathaniel Guru Thompson</t>
  </si>
  <si>
    <t>July 10, 2017</t>
  </si>
  <si>
    <t>https://www.justice.gov/usao-wdnc/pr/repeat-offender-sentenced-15-years-child-pornography</t>
  </si>
  <si>
    <t>https://www.courtlistener.com/docket/6351252/united-states-v-thompson/</t>
  </si>
  <si>
    <t>Sam Cynamon</t>
  </si>
  <si>
    <t>https://www.justice.gov/usao-nj/pr/monroe-township-new-jersey-man-sentenced-10-years-prison-possession-child-pornography</t>
  </si>
  <si>
    <t>https://www.justice.gov/usao-nj/pr/union-county-man-charged-possessing-child-pornography</t>
  </si>
  <si>
    <t>Steven Brzezinski</t>
  </si>
  <si>
    <t>July 11, 2017</t>
  </si>
  <si>
    <t>https://www.justice.gov/usao-wdny/pr/tonawanda-man-admits-receiving-child-pornography</t>
  </si>
  <si>
    <t>https://www.wkbw.com/news/tonawanda-man-who-stole-from-his-church-pleads-guilty-to-child-pornography-charges</t>
  </si>
  <si>
    <t>David Wills</t>
  </si>
  <si>
    <t>https://www.justice.gov/usao-sdtx/pr/jury-convicts-local-businessman-long-term-sex-trafficking-minor , https://www.ice.gov/news/releases/southeast-texas-businessman-sentenced-life-prison-sex-trafficking-young-girl-follo , https://www.justice.gov/usao-sdtx/pr/businessman-gets-life-sentence-long-term-sex-trafficking-young-girl wing</t>
  </si>
  <si>
    <t>https://www.animals24-7.org/2019/10/08/child-sex-case-against-david-wills-ex-humane-exec-goes-to-federal-jury/ , https://www.caller.com/story/news/crime/2020/09/22/former-rockport-business-man-sentenced-life-sex-trafficking/3493003001/</t>
  </si>
  <si>
    <t>https://archive.vn/wip/6lmWd</t>
  </si>
  <si>
    <t>https://archive.vn/kcG9A</t>
  </si>
  <si>
    <t>Cameron Fairley</t>
  </si>
  <si>
    <t>July 17, 2017</t>
  </si>
  <si>
    <t>http://www.kplctv.com/story/35903567/cyber-crime-unit-sulphur-man-arrested-on-over-100-counts-of-child-pornography</t>
  </si>
  <si>
    <t>Andrew Goldberg</t>
  </si>
  <si>
    <t>July 18, 2017</t>
  </si>
  <si>
    <t>Project Safe Childhood-CP distribution/exploitation</t>
  </si>
  <si>
    <t>https://www.justice.gov/usao-mdfl/pr/sanford-man-sentenced-more-30-years-child-sexual-exploitation-offenses</t>
  </si>
  <si>
    <t>Clinton Campbell</t>
  </si>
  <si>
    <t>July 18 2017</t>
  </si>
  <si>
    <t>Project Safe Childhood- CP distribution &amp; related charges</t>
  </si>
  <si>
    <t>https://www.justice.gov/usao-wdmo/pr/mansfield-man-sentenced-13-years-child-pornography</t>
  </si>
  <si>
    <t>https://www.courtlistener.com/docket/6420846/united-states-v-campbell/</t>
  </si>
  <si>
    <t>William Patrick King</t>
  </si>
  <si>
    <t>https://www.justice.gov/usao-ak/pr/serial-sex-offender-sentenced-alaska-and-florida-serve-total-43-years-federal-prison</t>
  </si>
  <si>
    <t>Scott Anderson / Braden Voss</t>
  </si>
  <si>
    <t>July 19, 2017</t>
  </si>
  <si>
    <t>Child sex trafficking</t>
  </si>
  <si>
    <t>http://www.wibw.com/content/news/2-Topeka-men-accused-of-child-sex-crimes-face-human-trafficking-charges-436817553.html</t>
  </si>
  <si>
    <t>Charles Ellis Jr</t>
  </si>
  <si>
    <t>July 20, 2017</t>
  </si>
  <si>
    <t>http://wtvr.com/2017/07/21/charles-ellis-jr-arrested-on-child-porn-charges/</t>
  </si>
  <si>
    <t>Omar Santiago-Muniz</t>
  </si>
  <si>
    <t>https://www.justice.gov/usao-mdpa/pr/montgomery-county-man-guilty-producing-child-pornography</t>
  </si>
  <si>
    <t>https://www.media.pa.gov/Pages/PA-State-Police-Details.aspx?newsid=301</t>
  </si>
  <si>
    <t>Bingbing Li / Linan Tian</t>
  </si>
  <si>
    <t>July 21, 2017</t>
  </si>
  <si>
    <t>Sex &amp; labor trafficking</t>
  </si>
  <si>
    <t>http://www.ksla.com/story/35940469/2-charged-with-human-trafficking-after-shreveport-massage-parlor-raid</t>
  </si>
  <si>
    <t>Ronny Peters</t>
  </si>
  <si>
    <t>https://www.kansascity.com/news/local/crime/article163261123.html</t>
  </si>
  <si>
    <t>Christopher Ray Faella</t>
  </si>
  <si>
    <t>https://www.justice.gov/usao-mdfl/pr/palm-bay-man-sentenced-14-years-receipt-and-possession-child-pornography</t>
  </si>
  <si>
    <t>https://www.courtlistener.com/docket/6789329/united-states-v-faella/</t>
  </si>
  <si>
    <t>http://archive.fo/9jr7L</t>
  </si>
  <si>
    <t>James Bradley</t>
  </si>
  <si>
    <t>July 23, 2017</t>
  </si>
  <si>
    <t>https://www.ksat.com/news/truck-driver-james-bradley-to-be-sentenced-in-human-smuggling-case</t>
  </si>
  <si>
    <t>https://www.ice.gov/news/releases/federal-alien-smuggling-charge-filed-san-antonio-against-driver-tractor-trailer-when</t>
  </si>
  <si>
    <t>Pedro Silva Segura</t>
  </si>
  <si>
    <t>July 24, 2017</t>
  </si>
  <si>
    <t>https://www.mysanantonio.com/news/local/article/Man-accused-in-fatal-July-smuggling-case-not-12216530.php</t>
  </si>
  <si>
    <t>Raymond Liddy</t>
  </si>
  <si>
    <t>July 25, 2017</t>
  </si>
  <si>
    <t>CA Deputy Attorney General Arrested</t>
  </si>
  <si>
    <t>http://www.cbs8.com/story/35982148/california-state-prosecutor-charged-with-child-pornography</t>
  </si>
  <si>
    <t>https://www.nbcsandiego.com/news/local/g-gordon-liddys-son-sentenced-5-years-probation-for-possessing-child-porn/2398636/</t>
  </si>
  <si>
    <t>https://archive.vn/FCL4N</t>
  </si>
  <si>
    <t>https://archive.vn/h4LGP</t>
  </si>
  <si>
    <t>Peter Farnum</t>
  </si>
  <si>
    <t>July 26, 2017</t>
  </si>
  <si>
    <t>https://www.justice.gov/usao-ndny/pr/former-sheriff-s-deputy-sentenced-87-months-possessing-child-pornography</t>
  </si>
  <si>
    <t>https://www.timesunion.com/7dayarchive/article/Sheriff-deputy-arrested-on-child-porn-charges-11438380.php</t>
  </si>
  <si>
    <t>http://archive.fo/BaM4h</t>
  </si>
  <si>
    <t>http://archive.fo/O17hE</t>
  </si>
  <si>
    <t>Kristina Koehn / Chance Tyler Hood</t>
  </si>
  <si>
    <t>July 27, 2017</t>
  </si>
  <si>
    <t>Exploitation / Conspiricy to produce CP</t>
  </si>
  <si>
    <t>http://www.newson6.com/story/35986540/two-arrested-for-sexual-abuse-of-4-year-old-girl-sapulpa-police-say</t>
  </si>
  <si>
    <t>Rescued includes 8 minors trafficked throughout CA</t>
  </si>
  <si>
    <t>http://tularecounty.ca.gov/sheriff/index.cfm/media/news-releases/update-third-human-trafficking-suspect-arrested/</t>
  </si>
  <si>
    <t>Solicitation of minor</t>
  </si>
  <si>
    <t>http://www.kiiitv.com/article/news/crime/three-men-arrested-for-soliciting-minors-for-sexual-purposes/459936449</t>
  </si>
  <si>
    <t>Charles C Thornton</t>
  </si>
  <si>
    <t>https://www.justice.gov/usao-mdfl/pr/nassau-county-man-sentenced-23-years-federal-prison-producing-child-pornography-using</t>
  </si>
  <si>
    <t>https://www.actionnewsjax.com/news/local/nassau-man-arrested-on-child-porn-charges-accused-of-secretly-recording-minors-in-his-yulee-home/574878834</t>
  </si>
  <si>
    <t>Andrew J Stone</t>
  </si>
  <si>
    <t>July 28, 2017</t>
  </si>
  <si>
    <t>https://www.justice.gov/usao-cdil/pr/ohio-man-pleads-guilty-child-sex-charges-involving-minors-multiple-states</t>
  </si>
  <si>
    <t>https://www.justice.gov/usao-cdil/pr/ohio-man-sentenced-35-years-prison-sex-crimes-against-minor-girls-multiple-states</t>
  </si>
  <si>
    <t>https://www.cbp.gov/newsroom/local-media-release/man-dies-during-cross-border-trek-smuggler-arrested</t>
  </si>
  <si>
    <t>August 3 2017</t>
  </si>
  <si>
    <t xml:space="preserve">Operation Someone Like Me   </t>
  </si>
  <si>
    <t>https://tbinewsroom.com/2017/08/15/11-men-facing-felony-charges-as-a-result-of-kingsport-human-trafficking-operation/</t>
  </si>
  <si>
    <t>Sex trafficking of minors &amp; other sex related charges</t>
  </si>
  <si>
    <t>https://www.justice.gov/usao-sdtx/pr/12-charged-two-galveston-domestic-sex-trafficking-cases</t>
  </si>
  <si>
    <t>Sex trafficking of minors &amp; CP related charges</t>
  </si>
  <si>
    <t>https://www.justice.gov/usao-sd/pr/sex-trafficking-operation-results-arrests-0</t>
  </si>
  <si>
    <t>John H. Dickerson</t>
  </si>
  <si>
    <t>https://www.justice.gov/usao-ks/pr/wichita-man-sentenced-trafficking-17-year-old-sex</t>
  </si>
  <si>
    <t>Michael Kellar</t>
  </si>
  <si>
    <t>Project Safe Childhood-Conspiracy to produce CP</t>
  </si>
  <si>
    <t>https://www.justice.gov/usao-wdwa/pr/tacoma-man-caught-texting-plane-about-molesting-children-sentenced-15-years-prison</t>
  </si>
  <si>
    <t>Gail Lynn Burnworth</t>
  </si>
  <si>
    <t>Joshua Davis</t>
  </si>
  <si>
    <t>https://www.justice.gov/usao-wdwi/pr/chippewa-falls-man-sentenced-37-months-child-pornography-charge</t>
  </si>
  <si>
    <t>https://www.courtlistener.com/docket/6348995/united-states-v-davis-joshua/</t>
  </si>
  <si>
    <t>Darrell Freeze</t>
  </si>
  <si>
    <t>https://www.justice.gov/usao-sdtx/pr/pettus-man-gets-more-30-years-online-solicitation-minors</t>
  </si>
  <si>
    <t>Alisa Kimber / Kimbler</t>
  </si>
  <si>
    <t>https://www.justice.gov/usao-sdtx/pr/sweeny-man-convicted-sex-trafficking-minors</t>
  </si>
  <si>
    <t>https://www.chron.com/neighborhood/bayarea/news/article/12-charged-in-Galveston-area-sex-trafficking-cases-11750510.php#photo-13676022  , http://thefacts.com/free_share/article_302fb6e9-d8aa-5a67-8c4b-d8d10724dff6.html</t>
  </si>
  <si>
    <t>http://archive.fo/3zAXr</t>
  </si>
  <si>
    <t>Eric Weiler</t>
  </si>
  <si>
    <t>CP production , possession of destructive devices &amp; related charges</t>
  </si>
  <si>
    <t>https://www.justice.gov/usao-ndin/pr/laporte-man-charged , https://www.justice.gov/usao-ndin/pr/laporte-man-sentenced-60-years-prison</t>
  </si>
  <si>
    <t>https://abc7chicago.com/indiana-man-who-allegedly-tried-to-blow-up-neighbors-car-charged-with-child-porn-/3352655/</t>
  </si>
  <si>
    <t>https://www.courtlistener.com/docket/6553080/united-states-v-weiler/</t>
  </si>
  <si>
    <t>Omar Gonzalez-Herrera</t>
  </si>
  <si>
    <t>Joshua Adam Schulte</t>
  </si>
  <si>
    <t>Former CIA engineer-CP related charges</t>
  </si>
  <si>
    <t>https://www.telegraph.co.uk/news/2018/05/16/former-cia-engineer-joshua-schulte-suspected-leaking-thousands/</t>
  </si>
  <si>
    <t>Robert Shane Apgar</t>
  </si>
  <si>
    <t>CP related charges &amp; bomb threat</t>
  </si>
  <si>
    <t>https://kfor.com/2018/09/18/oklahoma-city-man-sentenced-to-nearly-20-years-for-bomb-threat-and-child-pornography/</t>
  </si>
  <si>
    <t>Ian Silver-Eck</t>
  </si>
  <si>
    <t>https://www.justice.gov/usao-ma/pr/revere-man-pleads-guilty-child-pornography-charge</t>
  </si>
  <si>
    <t>David R Parker</t>
  </si>
  <si>
    <t>Project Safe Childhood-Sex trafficking of a minor,CP production &amp; related charges</t>
  </si>
  <si>
    <t>https://www.justice.gov/usao-mdpa/pr/monroe-county-man-sentenced-30-years-imprisonment-sex-trafficking-minor-0</t>
  </si>
  <si>
    <t>https://www.lehighvalleylive.com/news/index.ssf/2017/08/furry_party_sex_trafficker_agr.html</t>
  </si>
  <si>
    <t>http://archive.is/hWU3y</t>
  </si>
  <si>
    <t>https://archive.fo/kXQdf</t>
  </si>
  <si>
    <t>Jamel Goddard</t>
  </si>
  <si>
    <t>August 8, 2017</t>
  </si>
  <si>
    <t>Sex trafficking enterprise of minors &amp; other offenses</t>
  </si>
  <si>
    <t>https://www.justice.gov/usao-sdny/pr/bronx-man-charged-manhattan-federal-court-sex-trafficking-minors-and-other-offenses</t>
  </si>
  <si>
    <t>Kevin Carney</t>
  </si>
  <si>
    <t>https://www.justice.gov/usao-sd/pr/connecticut-man-sentenced-8-years-attempted-receipt-child-pornography</t>
  </si>
  <si>
    <t>https://www.ksfy.com/content/news/Sturgis-Rally-undercover-sex-stings-nab-at-least-8-suspects-440725413.html</t>
  </si>
  <si>
    <t>http://archive.fo/cE4EH</t>
  </si>
  <si>
    <t>Rowell Flora</t>
  </si>
  <si>
    <t>https://www.justice.gov/usao-wdtx/pr/former-us-air-force-staff-sergeant-sentenced-40-years-federal-prison-receipt-and</t>
  </si>
  <si>
    <t>Michael J Mann</t>
  </si>
  <si>
    <t>August 4, 2017</t>
  </si>
  <si>
    <t>Cole Christian</t>
  </si>
  <si>
    <t>DC</t>
  </si>
  <si>
    <t>https://www.justice.gov/usao-dc/pr/district-man-sentenced-37-months-prison-possession-child-pornography</t>
  </si>
  <si>
    <t>https://www.courtlistener.com/?q=&amp;type=r&amp;order_by=score+desc&amp;docket_number=1%3A18-cr-00104&amp;court=dcd</t>
  </si>
  <si>
    <t>Jaime Breckenridge</t>
  </si>
  <si>
    <t>August 5, 2017</t>
  </si>
  <si>
    <t>https://www.justice.gov/usao-cdil/pr/champaign-man-sentenced-eight-years-prison-distribution-possession-child-pornography</t>
  </si>
  <si>
    <t>Kenneth Scott Boyd</t>
  </si>
  <si>
    <t>https://www.justice.gov/usao-wdpa/pr/altoona-man-facing-child-pornography-distribution-and-possession-charges</t>
  </si>
  <si>
    <t>https://www.justice.gov/usao-wdpa/pr/altoona-man-sentenced-6-years-prison-distribution-child-pornography</t>
  </si>
  <si>
    <t>Jonathan Breslin</t>
  </si>
  <si>
    <t>August 9, 2017</t>
  </si>
  <si>
    <t>https://www.justice.gov/usao-ri/pr/westerly-resident-admits-child-pornography-charges-0</t>
  </si>
  <si>
    <t>https://www.justice.gov/usao-ri/pr/westerly-resident-sentenced-87-months-prison-child-pornography-charges</t>
  </si>
  <si>
    <t>Roland Chick Akum</t>
  </si>
  <si>
    <t>October 3, 2017</t>
  </si>
  <si>
    <t>https://www.justice.gov/usao-md/pr/silver-spring-man-pleads-guilty-sex-trafficking-two-minors</t>
  </si>
  <si>
    <t>https://www.courtlistener.com/docket/7148255/united-states-v-akum/</t>
  </si>
  <si>
    <t>Eric Page</t>
  </si>
  <si>
    <t>Justin Carl Wong</t>
  </si>
  <si>
    <t>August 10, 2017</t>
  </si>
  <si>
    <t>https://www.justice.gov/usao-ma/pr/canadian-national-sentenced-15-years-prison-sexually-exploiting-two-children</t>
  </si>
  <si>
    <t>August 11, 2017</t>
  </si>
  <si>
    <t>https://www.cbp.gov/newsroom/local-media-release/two-men-found-hiding-trunk-compact-car</t>
  </si>
  <si>
    <t>Leedente Darrell Brown</t>
  </si>
  <si>
    <t>https://www.justice.gov/usao-edva/pr/child-sexual-predator-sentenced-27-years-prison</t>
  </si>
  <si>
    <t>https://pilotonline.com/news/local/crime/article_0ec465a2-6057-11e9-afbf-43f1ceb774ed.html</t>
  </si>
  <si>
    <t>http://archive.fo/w4r7l</t>
  </si>
  <si>
    <t>http://archive.fo/Di0gg</t>
  </si>
  <si>
    <t>Joseph Church</t>
  </si>
  <si>
    <t>Angela Marks</t>
  </si>
  <si>
    <t>Jamaal Crane</t>
  </si>
  <si>
    <t>Norris Moon</t>
  </si>
  <si>
    <t>Christopher Walton</t>
  </si>
  <si>
    <t>Thomas O Haynes</t>
  </si>
  <si>
    <t>https://www.justice.gov/usao-sc/pr/west-virginia-man-sentenced-five-years-prison-distributing-and-possessing-child</t>
  </si>
  <si>
    <t>https://www.rapsheets.org/southcarolina/northcharleston-jail/HAYNES_THOMAS/0001568562</t>
  </si>
  <si>
    <t>Denziel S Burke</t>
  </si>
  <si>
    <t>Project Safe Childhood-Backpage.com -Sex trafficking of a minor</t>
  </si>
  <si>
    <t>https://www.justice.gov/usao-sdca/pr/four-defendants-receive-significant-sentences-child-exploitation-crimes</t>
  </si>
  <si>
    <t>Kenneth Bigler</t>
  </si>
  <si>
    <t>August 14, 2017</t>
  </si>
  <si>
    <t>Comothial Harper</t>
  </si>
  <si>
    <t>August 16, 2017</t>
  </si>
  <si>
    <t>https://www.ice.gov/news/releases/hsi-el-paso-special-agents-discover-23-illegal-aliens-250-pounds-marijuana-tractor</t>
  </si>
  <si>
    <t>Wesley W Norris</t>
  </si>
  <si>
    <t>https://www.justice.gov/usao-wdmo/pr/licking-man-sentenced-12-years-child-pornography</t>
  </si>
  <si>
    <t>http://www.archive.thelickingnews.com/featured/wesley-norris-arrested-on-child-pornography-charges/</t>
  </si>
  <si>
    <t>https://www.courtlistener.com/docket/6256893/united-states-v-norris/</t>
  </si>
  <si>
    <t>Roger Wallach</t>
  </si>
  <si>
    <t>August 17, 2017</t>
  </si>
  <si>
    <t>https://www.phillymag.com/news/2017/08/29/roger-wallach-child-porn/</t>
  </si>
  <si>
    <t>David Hardman</t>
  </si>
  <si>
    <t>Project Safe Childhood-CP &amp; related charges</t>
  </si>
  <si>
    <t>https://www.justice.gov/usao-mdfl/pr/melbourne-man-sentenced-thirty-years-sexually-exploiting-minors-and-assaulting-federal</t>
  </si>
  <si>
    <t>August 19, 2017</t>
  </si>
  <si>
    <t>https://www.cbp.gov/newsroom/local-media-release/60-illegal-aliens-locked-frigid-trailer-rescued-checkpoint-agents</t>
  </si>
  <si>
    <t>Shawn Bunnell</t>
  </si>
  <si>
    <t>https://www.justice.gov/usao-ndny/pr/utica-man-pleads-guilty-child-pornography-charges  https://www.justice.gov/usao-ndny/pr/utica-man-sentenced-50-years-prison-transporting-and-possessing-child-pornography</t>
  </si>
  <si>
    <t>https://www.syracuse.com/crime/index.ssf/2017/08/utica_sex_offender_charged_with_taking_illicit_photos_of_2-year-old_girl.html</t>
  </si>
  <si>
    <t>https://www.courtlistener.com/?q=&amp;type=r&amp;order_by=score+desc&amp;docket_number=5%3A18-cr-00035&amp;court=nynd</t>
  </si>
  <si>
    <t>Charles, Thomas, Edwin Emery</t>
  </si>
  <si>
    <t>August 21, 2017</t>
  </si>
  <si>
    <t>3 Brothers spent majority of lives abusing children arrested</t>
  </si>
  <si>
    <t>https://www.kiro7.com/news/local/police-brothers-in-their-70s-80s-arrested-in-child-sex-abuse-investigation/596258669</t>
  </si>
  <si>
    <t>Jordan Jobe</t>
  </si>
  <si>
    <t>August 23, 2017</t>
  </si>
  <si>
    <t>CP distribution</t>
  </si>
  <si>
    <t>http://kfor.com/2017/08/24/edmond-man-accused-of-distributing-child-pornography/</t>
  </si>
  <si>
    <t>August 24, 2017</t>
  </si>
  <si>
    <t>https://www.sctimes.com/story/news/local/2017/08/26/4-charged-after-17-year-old-girl-reports-sex-trafficking-st-cloud/603625001/</t>
  </si>
  <si>
    <t>August 27, 2017</t>
  </si>
  <si>
    <t>http://www.fox9.com/news/new-ulm-juvenile-prostitution-sting-leads-to-eight-arrests</t>
  </si>
  <si>
    <t>Jesse Lauren Van Orsow</t>
  </si>
  <si>
    <t>ID</t>
  </si>
  <si>
    <t>Project Safe Childhood-Travel w/intent to have sex w/ a minor</t>
  </si>
  <si>
    <t>https://www.justice.gov/usao-id/pr/spokane-man-sent-prison-traveling-idaho-have-sex-minor</t>
  </si>
  <si>
    <t>Owen J Drew</t>
  </si>
  <si>
    <t>August 25, 2017</t>
  </si>
  <si>
    <t>https://www.justice.gov/usao-ne/pr/nebraska-man-sentenced-prison-receipt-child-pornography</t>
  </si>
  <si>
    <t>Alexis Gonzalez</t>
  </si>
  <si>
    <t>August 28, 2017</t>
  </si>
  <si>
    <t>https://www.northjersey.com/story/news/crime/2017/07/28/hackensack-man-arrested-child-porn-case/518344001/</t>
  </si>
  <si>
    <t>https://www.cbp.gov/newsroom/local-media-release/man-found-trunk-car-immigration-checkpoint</t>
  </si>
  <si>
    <t>August 29, 2017</t>
  </si>
  <si>
    <t>https://www.justice.gov/usao-mdfl/pr/maryland-convicted-sex-offender-sentenced-35-years-committing-another-sex-offense</t>
  </si>
  <si>
    <t>https://www.justice.gov/usao-mdfl/pr/two-time-sex-offender-pleads-guilty-attempted-production-child-pornography</t>
  </si>
  <si>
    <t>https://www.courtlistener.com/docket/6497306/united-states-v-king/</t>
  </si>
  <si>
    <t>Glenroy Heywood</t>
  </si>
  <si>
    <t>August 30, 2017</t>
  </si>
  <si>
    <t>Project Safe Childhood-Enticing a minor for commercial sex</t>
  </si>
  <si>
    <t>https://www.justice.gov/usao-nm/pr/albuquerque-surgeon-pleads-guilty-obstructing-enforcement-child-sex-trafficking-laws</t>
  </si>
  <si>
    <t>Jeffrey Farrell Davis</t>
  </si>
  <si>
    <t>Project Safe Childhood-Sex trafficking of a minor &amp; related charges</t>
  </si>
  <si>
    <t>https://www.justice.gov/usao-ndfl/pr/gainesville-man-sentenced-120-months-prison-obtaining-minor-commercial-sex</t>
  </si>
  <si>
    <t>https://www.denverpost.com/2017/08/30/alleged-florida-child-sex-trafficker-pornographer-arrested-denver/</t>
  </si>
  <si>
    <t>http://archive.fo/gptEo</t>
  </si>
  <si>
    <t>Stanley Hagan</t>
  </si>
  <si>
    <t>Project Safe Childhood- CP related charges</t>
  </si>
  <si>
    <t>https://www.justice.gov/usao-mdfl/pr/jacksonville-man-sentenced-five-years-federal-prison-receiving-child-sex-abuse-images</t>
  </si>
  <si>
    <t>https://www.courtlistener.com/docket/6849283/united-states-v-hagan/</t>
  </si>
  <si>
    <t>Rick W. Nelson</t>
  </si>
  <si>
    <t>https://www.timesunion.com/news/article/Stillwater-mayor-admits-child-porn-charges-12828948.php</t>
  </si>
  <si>
    <t>https://archive.vn/gWyeA</t>
  </si>
  <si>
    <t>https://archive.vn/OVaJu</t>
  </si>
  <si>
    <t>https://archive.vn/LNbHp</t>
  </si>
  <si>
    <t>Travun Eugen-Jani Baskerville</t>
  </si>
  <si>
    <t>August 31, 2017</t>
  </si>
  <si>
    <t>Sex trafficking of a minor &amp; murder</t>
  </si>
  <si>
    <t>https://www.mlive.com/news/detroit/index.ssf/2017/08/man_killed_by_pimp_during_date.html</t>
  </si>
  <si>
    <t>https://www.cbp.gov/newsroom/local-media-release/border-patrol-k9-alerts-illegal-aliens-hiding-trunk</t>
  </si>
  <si>
    <t>Neal Tilton</t>
  </si>
  <si>
    <t>https://www.justice.gov/usao-id/pr/boise-man-sentenced-15-years-prison-distribution-child-pornography</t>
  </si>
  <si>
    <t>https://www.idahostatesman.com/news/local/article198571049.html</t>
  </si>
  <si>
    <t>https://www.courtlistener.com/docket/6588248/united-states-v-tilton/</t>
  </si>
  <si>
    <t>Anthonio Dicentes</t>
  </si>
  <si>
    <t>September 1, 2017</t>
  </si>
  <si>
    <t>https://www.justice.gov/usao-me/pr/former-hodgdon-man-sentenced-40-months-possessing-child-pornography</t>
  </si>
  <si>
    <t>Operation Guardians of Innocence-CP distribution &amp; related charges</t>
  </si>
  <si>
    <t>http://www.fox13news.com/news/local-news/polk-county-announces-arrests-in-operation-guardians-of-innocence</t>
  </si>
  <si>
    <t>Billy R. Edwards / Darwin Moises Amador-Zepeda</t>
  </si>
  <si>
    <t>https://www.rocketcitynow.com/news/two-men-indicted-on-child-sex-trafficking-charges-involving-a-minor/871141433</t>
  </si>
  <si>
    <t>Daniel O'Brien</t>
  </si>
  <si>
    <t>https://www.justice.gov/usao-nv/pr/wellington-nevada-man-sentenced-over-12-years-prison-distribution-child-pornography</t>
  </si>
  <si>
    <t>Phillip Miller</t>
  </si>
  <si>
    <t>Project Safe Childhood - CP related charges</t>
  </si>
  <si>
    <t>https://www.justice.gov/usao-ak/pr/kenai-man-sentenced-possession-child-pornography</t>
  </si>
  <si>
    <t>Walter Forsberg</t>
  </si>
  <si>
    <t xml:space="preserve">https://www.ktva.com/story/37369367/teen-charged-arrested-on-child-porn-charges-troopers-say </t>
  </si>
  <si>
    <t>https://web.archive.org/web/20190416035711/https://www.ktva.com/story/37369367/teen-charged-arrested-on-child-porn-charges-troopers-say</t>
  </si>
  <si>
    <t>Dane William Anderson/Mark Christopher Klein/Samuel Heineman</t>
  </si>
  <si>
    <t>https://thegoldwater.com/news/17370-DOJ-s-Project-Safe-Childhood-3-Pedophiles-in-International-Child-Pornography-Ring</t>
  </si>
  <si>
    <t>Kenneth Fischer</t>
  </si>
  <si>
    <t>Teacher arrested for CP Production &amp; Related charges</t>
  </si>
  <si>
    <t>https://www.justice.gov/usao-md/pr/former-carroll-county-public-school-teacher-pleads-guilty-production-child-pornography</t>
  </si>
  <si>
    <t>http://www.carrollcountytimes.com/news/education/cc-kenneth-fischer-more-charges-20180504-story.html</t>
  </si>
  <si>
    <t>David Maclean</t>
  </si>
  <si>
    <t>https://www.justice.gov/usao-nh/pr/swanzey-man-sentenced-63-months-possessing-child-pornography</t>
  </si>
  <si>
    <t>https://www.courtlistener.com/docket/7294219/united-states-v-maclean/</t>
  </si>
  <si>
    <t>Cody Clark</t>
  </si>
  <si>
    <t>September 2, 2017</t>
  </si>
  <si>
    <t>https://www.justice.gov/usao-vt/pr/bristol-man-sentenced-receipt-child-pornography</t>
  </si>
  <si>
    <t>I. Williams, D. Davis, C.Canterbury</t>
  </si>
  <si>
    <t>September 6, 2017</t>
  </si>
  <si>
    <t>https://breaking911.com/feds-maryland-man-sex-trafficked-minors-made-rap-album-brag/</t>
  </si>
  <si>
    <t>James Clay Russell</t>
  </si>
  <si>
    <t>September 8, 2017</t>
  </si>
  <si>
    <t>https://www.justice.gov/usao-wdpa/pr/pittsburgh-man-charged-possessing-and-distributing-sexual-images-children</t>
  </si>
  <si>
    <t>September 10, 2017</t>
  </si>
  <si>
    <t>https://www.cbp.gov/newsroom/local-media-release/agents-find-3-illegal-immigrants-under-floorboard-2-trunk</t>
  </si>
  <si>
    <t>Joseph Charles Desorbo Jr</t>
  </si>
  <si>
    <t>September 8, 2018</t>
  </si>
  <si>
    <t>Project Safe Childhood . Known offender. CP related charges</t>
  </si>
  <si>
    <t>https://www.justice.gov/usao-mdfl/pr/seminole-county-man-sentenced-17-years-possessing-child-pornography</t>
  </si>
  <si>
    <t>https://www.courtlistener.com/docket/6222833/united-states-v-desorbo-jr/</t>
  </si>
  <si>
    <t>https://www.cbp.gov/newsroom/local-media-release/immigration-checkpoints-help-stop-two-human-smugglers</t>
  </si>
  <si>
    <t>Randy Sheltra</t>
  </si>
  <si>
    <t>Project Safe Childhood-Enticement of a minor, CP related charges</t>
  </si>
  <si>
    <t>https://www.justice.gov/usao-vt/pr/alburgh-man-convicted-child-exploitation-offenses</t>
  </si>
  <si>
    <t>Gordon Bagnesch</t>
  </si>
  <si>
    <t>September 17, 2017</t>
  </si>
  <si>
    <t>https://www.keloland.com/news/hospital-worker-faces-child-porn-charges-in-rapid-city/1373925525</t>
  </si>
  <si>
    <t>Danny Ray Lowe</t>
  </si>
  <si>
    <t>Project Safe Childhood-Attempted sex trafficking of a minor</t>
  </si>
  <si>
    <t>https://www.justice.gov/usao-ak/pr/anchorage-man-sentenced-16-years-federal-prison-attempted-sex-trafficking-and</t>
  </si>
  <si>
    <t>September 13, 2017</t>
  </si>
  <si>
    <t>https://www.cbp.gov/newsroom/local-media-release/border-patrol-arrest-5-thanks-citizen-s-call</t>
  </si>
  <si>
    <t>Adam Robert Miller</t>
  </si>
  <si>
    <t>https://www.justice.gov/usao-md/pr/baltimore-county-man-pleads-guilty-distribution-transportation-and-possession-child</t>
  </si>
  <si>
    <t>https://www.justice.gov/usao-md/pr/baltimore-man-sentenced-10-years-federal-prison-distribution-transportation-and</t>
  </si>
  <si>
    <t>Bailegh Noelle Coleman / Rajheem Kwamaine Roddey</t>
  </si>
  <si>
    <t>September 14, 2017</t>
  </si>
  <si>
    <t>https://www.justice.gov/usao-ndfl/pr/two-charged-sex-trafficking-minor</t>
  </si>
  <si>
    <t>Samuel Dexter Ray</t>
  </si>
  <si>
    <t>September 15, 2017</t>
  </si>
  <si>
    <t>https://www.justice.gov/usao-mdnc/pr/alamance-county-man-sentenced-child-pornography-charge</t>
  </si>
  <si>
    <t>https://www.courtlistener.com/docket/6820551/united-states-v-ray/</t>
  </si>
  <si>
    <t>https://www.cbp.gov/newsroom/local-media-release/human-smuggler-stopped-troopers-border-patrol</t>
  </si>
  <si>
    <t>Erin Alexis Sebert</t>
  </si>
  <si>
    <t>September 17, 2018</t>
  </si>
  <si>
    <t>http://www.vagazette.com/news/va-vg-york-teenagers-accused-prostitution-concealed-weapon-20180917-story.html</t>
  </si>
  <si>
    <t>https://www.cbp.gov/newsroom/local-media-release/yuma-sector-border-patrol-arrest-four-attempting-circumvent-immigration</t>
  </si>
  <si>
    <t>Ryan Ulman</t>
  </si>
  <si>
    <t>September 18, 2017</t>
  </si>
  <si>
    <t xml:space="preserve">CP production/distribution </t>
  </si>
  <si>
    <t>https://www.clickondetroit.com/news/livonia-modeling-agency-owner-charged-with-luring-young-girls-for-child-porn</t>
  </si>
  <si>
    <t>https://www.cbp.gov/newsroom/local-media-release/military-police-border-patrol-stop-human-smuggling-attempt</t>
  </si>
  <si>
    <t>https://www.cbp.gov/newsroom/local-media-release/tucson-woman-arrested-i-19-immigration-checkpoint</t>
  </si>
  <si>
    <t>September 19, 2017</t>
  </si>
  <si>
    <t>https://www.cbp.gov/newsroom/local-media-release/agents-find-meth-illegal-aliens-hidden-vehicles</t>
  </si>
  <si>
    <t>Antionne Washington</t>
  </si>
  <si>
    <t>September 20, 2017</t>
  </si>
  <si>
    <t xml:space="preserve">Human trafficking </t>
  </si>
  <si>
    <t>https://www.desmoinesregister.com/story/news/crime-and-courts/2018/08/02/man-convicted-sex-trafficking-prostitution-following-arrest-iowa-hotel/890290002/</t>
  </si>
  <si>
    <t>Michael R. Goeller</t>
  </si>
  <si>
    <t>https://www.justice.gov/usao-wdmo/pr/former-st-joseph-scout-leader-sentenced-distributing-child-pornography</t>
  </si>
  <si>
    <t>https://www.kq2.com/content/news/Former-St-Joseph-scout-leader-sentenced-for-distributing-child-pornography-508768101.html</t>
  </si>
  <si>
    <t>http://archive.fo/Psdu2</t>
  </si>
  <si>
    <t>http://archive.fo/aUTRC</t>
  </si>
  <si>
    <t>Dwayne Stinson</t>
  </si>
  <si>
    <t>September 21, 2017</t>
  </si>
  <si>
    <t>https://www.justice.gov/opa/pr/virginia-man-indicted-production-child-pornography</t>
  </si>
  <si>
    <t>Craig David</t>
  </si>
  <si>
    <t>Project Safe Childhood-Louisianna Officer arrested for CP</t>
  </si>
  <si>
    <t>http://www.myarklamiss.com/news/local-news/louisiana-officer-arrested-for-carnal-knowledge-other-charges/816511912</t>
  </si>
  <si>
    <t>Darren Townsend / Pearl Coffey</t>
  </si>
  <si>
    <t>September 22, 2017</t>
  </si>
  <si>
    <t>https://www.cleveland.com/metro/index.ssf/2017/09/akron_couple_indicted_on_human.html</t>
  </si>
  <si>
    <t>Luther Floyd</t>
  </si>
  <si>
    <t>September 24, 2017</t>
  </si>
  <si>
    <t>https://www.justice.gov/usao-ndms/pr/luther-floyd-booneville-sentenced-attempted-creation-child-pornography</t>
  </si>
  <si>
    <t>https://www.wcbi.com/booneville-man-arrested-child-molestation-charges/</t>
  </si>
  <si>
    <t>Eric Komar</t>
  </si>
  <si>
    <t>September 25, 2017</t>
  </si>
  <si>
    <t>Jewish Children's Musician -CP possession/distribution</t>
  </si>
  <si>
    <t>https://thegoldwater.com/news/8638-Popular-Jewish-Children-s-Musician-Eric-Komar-Busted-for-Child-Pornography-in-New-Jersey</t>
  </si>
  <si>
    <t>https://www.justice.gov/usao-nj/pr/children-s-singersongwriter-sentenced-82-months-prison-receipt-child-pornography</t>
  </si>
  <si>
    <t>Silky Clark</t>
  </si>
  <si>
    <t>Backpage.com-Sex trafficking of a minor</t>
  </si>
  <si>
    <t>http://www.wkyt.com/content/news/Kentucky-man-arrested-for-human-trafficking-involving-juvenile-447736933.html</t>
  </si>
  <si>
    <t>Nikolas Carroll Watkins</t>
  </si>
  <si>
    <t>https://www.recordnet.com/news/20170926/valley-springs-man-arrested-in-federal-child-pornography-case</t>
  </si>
  <si>
    <t>https://www.justice.gov/usao-edca/pr/valley-springs-man-sentenced-25-years</t>
  </si>
  <si>
    <t>September 27, 2017</t>
  </si>
  <si>
    <t>https://www.cbp.gov/newsroom/local-media-release/border-patrol-k9-finds-3-hiding-trunk</t>
  </si>
  <si>
    <t>Nehemiah Lafoe</t>
  </si>
  <si>
    <t>Project Safe Childhood-Child exploitation/CP production</t>
  </si>
  <si>
    <t>September 28, 2017</t>
  </si>
  <si>
    <t>https://www.cbp.gov/newsroom/local-media-release/border-patrol-agents-rescue-3-illegal-aliens-hidden-compartment-arrest</t>
  </si>
  <si>
    <t>Marcus Antonio Redick</t>
  </si>
  <si>
    <t>September 29, 2017</t>
  </si>
  <si>
    <t>Sex trafficking of a minor for Interstate Commerce</t>
  </si>
  <si>
    <t>https://www.justice.gov/usao-ndca/pr/richmond-man-charged-sex-trafficking-force-threats-force-fraud-and-coercion</t>
  </si>
  <si>
    <t>September 30, 2017</t>
  </si>
  <si>
    <t>Sex trafficking of a minor / sex trafficking</t>
  </si>
  <si>
    <t>http://www.mankatofreepress.com/news/local_news/six-arrested-in-juvenile-prostitution-sting/article_3748bc56-a791-11e7-b7be-3bc5c5402cd1.html</t>
  </si>
  <si>
    <t>Brandon Hileman</t>
  </si>
  <si>
    <t>https://www.justice.gov/usao-wdmo/pr/former-teacher-pleads-guilty-child-pornography  https://www.justice.gov/usao-wdmo/pr/former-teacher-sentenced-child-pornography</t>
  </si>
  <si>
    <t>https://www.ozarksfirst.com/news/man-arrested-for-possession-of-child-pornography/821824749</t>
  </si>
  <si>
    <t>https://www.springhappenings.com/constables-conclude-huge-undercover-prostitution-human-trafficking-operating-yielding-44-arrests-and-recovering-4-female-victims/</t>
  </si>
  <si>
    <t>James Struensee</t>
  </si>
  <si>
    <t>http://www.nwitimes.com/news/local/lake/dyer-man-pleads-guilty-to-child-pornography-charges/article_23182fd4-4987-57bf-adef-50db7fa82069.html</t>
  </si>
  <si>
    <t>Blake Steckel</t>
  </si>
  <si>
    <t>Sex trafficking of minor, production of CP, transporting for prostitution</t>
  </si>
  <si>
    <t>https://www.justice.gov/usao-ndil/pr/wisconsin-man-indicted-sex-trafficking-charges-allegedly-transporting-minor-chicago</t>
  </si>
  <si>
    <t>Parameswaran Somasundaram / Sundram Allagan</t>
  </si>
  <si>
    <t>GU</t>
  </si>
  <si>
    <t>https://www.postguam.com/news/local/child-porn-case-unsealed/article_420995d2-c84f-11e7-b5dd-57d2756bb8e5.html</t>
  </si>
  <si>
    <t>Robert Barteau</t>
  </si>
  <si>
    <t>https://www.justice.gov/usao-edmo/pr/st-louis-man-sentenced-child-pornography-charges</t>
  </si>
  <si>
    <t>Andres Fernando Cabezas</t>
  </si>
  <si>
    <t>Project Safe Childhood - Middle School teacher arrested for CP and enticement</t>
  </si>
  <si>
    <t>https://www.justice.gov/usao-mdfl/pr/former-middle-school-teacher-sentenced-over-12-years-receipt-child-pornography</t>
  </si>
  <si>
    <t>Mark Anthony Barrett</t>
  </si>
  <si>
    <t>https://www.justice.gov/usao-wdmo/pr/liberty-man-sentenced-child-pornography</t>
  </si>
  <si>
    <t>Dennis Scott Kent</t>
  </si>
  <si>
    <t>CP Possession</t>
  </si>
  <si>
    <t>https://www.justice.gov/usao-wdmi/pr/2018_0302_Kent</t>
  </si>
  <si>
    <t>Archbishop Anthony Apuron</t>
  </si>
  <si>
    <t>N/A</t>
  </si>
  <si>
    <t>Guam</t>
  </si>
  <si>
    <t>Removed as Archbishop</t>
  </si>
  <si>
    <t>https://www.catholicculture.org/news/headlines/index.cfm?storyid=36030</t>
  </si>
  <si>
    <t>Adam Williams</t>
  </si>
  <si>
    <t>https://www.justice.gov/usao-wdny/pr/burt-man-going-prison-five-years-possession-child-pornography</t>
  </si>
  <si>
    <t>Jerry Wilkinson</t>
  </si>
  <si>
    <t>CP Possession/distribution</t>
  </si>
  <si>
    <t>https://www.justice.gov/usao-sdoh/pr/amelia-man-pleads-guilty-distributing-and-receiving-child-pornography</t>
  </si>
  <si>
    <t>https://www.courtlistener.com/docket/6265839/united-states-v-wilkinson/</t>
  </si>
  <si>
    <t>Neal Edmond Brown</t>
  </si>
  <si>
    <t xml:space="preserve">TX education employee possession of pre-pubescent CP. </t>
  </si>
  <si>
    <t>https://www.justice.gov/usao-ndtx/pr/canyon-texas-man-sentenced-135-months-federal-prison-child-pornography-offense</t>
  </si>
  <si>
    <t>Jesse Courtemanche</t>
  </si>
  <si>
    <t>CP Related Charges 15+ yrs of content</t>
  </si>
  <si>
    <t>https://www.justice.gov/usao-edva/pr/man-sentenced-prison-receiving-child-pornography</t>
  </si>
  <si>
    <t>https://wtkr.com/2018/04/10/norfolk-man-sentenced-to-prison-for-receiving-child-pornography/</t>
  </si>
  <si>
    <t>https://archive.fo/m6UjH</t>
  </si>
  <si>
    <t>https://archive.fo/tFBsd</t>
  </si>
  <si>
    <t>Juan Martin Rosales</t>
  </si>
  <si>
    <t>Project Safe Childhood-CP producation &amp; related charges</t>
  </si>
  <si>
    <t>https://www.justice.gov/usao-nm/pr/dona-ana-county-man-pleads-guilty-federal-child-pornography-charges</t>
  </si>
  <si>
    <t>https://www.justice.gov/usao-nm/pr/dona-ana-county-man-arraigned-federal-child-pornography-charges</t>
  </si>
  <si>
    <t>https://www.courtlistener.com/docket/13564471/united-states-v-rosales/</t>
  </si>
  <si>
    <t>Brazil</t>
  </si>
  <si>
    <t>Light in Childhood 1-Aided by US intel</t>
  </si>
  <si>
    <t>http://daijidubai.com/news/newsDisplay.aspx?newsID=509954</t>
  </si>
  <si>
    <t>Joshua Hansen</t>
  </si>
  <si>
    <t>https://www.justice.gov/usao-ndfl/pr/alachua-county-man-sentenced-360-months-prison-federal-child-pornography-and-firearm</t>
  </si>
  <si>
    <t>https://www.courtlistener.com/docket/6827716/united-states-v-hansen/</t>
  </si>
  <si>
    <t>Newell Mowry</t>
  </si>
  <si>
    <t>https://www.justice.gov/usao-me/pr/new-jersey-man-sentenced-10-years-possessing-child-pornography</t>
  </si>
  <si>
    <t>https://www.courtlistener.com/docket/7562656/united-states-v-mowry/</t>
  </si>
  <si>
    <t>Victor Eduardo Acevedo-Ventura</t>
  </si>
  <si>
    <t>http://www.krgv.com/story/39030728/man-sentenced-to-4-years-in-failed-human-smuggling-case</t>
  </si>
  <si>
    <t>Charles Moran Jr</t>
  </si>
  <si>
    <t>https://www.justice.gov/usao-edky/pr/grant-county-man-sentenced-14-years-distributing-and-possessing-child-pornography</t>
  </si>
  <si>
    <t>Thomas Mahoney</t>
  </si>
  <si>
    <t>https://www.justice.gov/usao-wdwa/pr/bothell-man-pleads-guilty-sex-crimes-involving-14-year-old-child</t>
  </si>
  <si>
    <t>https://www.courtlistener.com/docket/6558561/united-states-v-mahoney/</t>
  </si>
  <si>
    <t>John Jordan Lundberg</t>
  </si>
  <si>
    <t>https://www.justice.gov/usao-wdmo/pr/iowa-sex-offender-sentenced-15-years-attempting-produce-child-pornography</t>
  </si>
  <si>
    <t>http://www.columbiatribune.com/news/20180924/iowa-sex-offender-arrested-in-sting-pleads-guilty-in-federal-court</t>
  </si>
  <si>
    <t>Trebor Conolly</t>
  </si>
  <si>
    <t>https://www.justice.gov/usao-wdny/pr/geneva-man-sentenced-receipt-child-pornography</t>
  </si>
  <si>
    <t>Sgt Ron Mitchell Dunbar (Mitchell-Chavez et al)</t>
  </si>
  <si>
    <t>https://www.armytimes.com/news/your-army/2018/10/18/nco-at-fort-bliss-sentenced-to-60-years-in-prison-for-child-sexual-abuse-and-pornography/</t>
  </si>
  <si>
    <t>https://www.justice.gov/usao-wdtx/pr/us-army-sergeant-ft-bliss-sentenced-60-years-federal-prison</t>
  </si>
  <si>
    <t>https://www.courtlistener.com/?q=&amp;type=r&amp;order_by=score+desc&amp;docket_number=3%3A17-cr-02286&amp;court=txwd</t>
  </si>
  <si>
    <t>Jeremiah Armstrong</t>
  </si>
  <si>
    <t>https://www.justice.gov/usao-sdoh/pr/preble-county-man-sentenced-possessing-child-pornography</t>
  </si>
  <si>
    <t>Lucas Nichols</t>
  </si>
  <si>
    <t>https://www.justice.gov/usao-edtn/pr/lucas-anthony-nichols-sentenced-262-months-child-pornography-offenses</t>
  </si>
  <si>
    <t>https://mugshots.com/Current-Events/LUCAS-NICHOLS.161610067.html</t>
  </si>
  <si>
    <t>https://www.courtlistener.com/docket/7061366/united-states-v-nichols-tv2/</t>
  </si>
  <si>
    <t>https://www.justice.gov/usao-edmi/pr/eight-men-sentenced-their-roles-international-child-pornography-production-ring</t>
  </si>
  <si>
    <t>https://www.freep.com/story/news/local/michigan/detroit/2018/12/05/christian-maire-online-child-porn/2208890002/</t>
  </si>
  <si>
    <t>Cammron Robinson</t>
  </si>
  <si>
    <t>https://www.justice.gov/usao-ndny/pr/new-paltz-man-pleads-guilty-sexually-exploiting-four-children , https://www.fbi.gov/contact-us/field-offices/albany/news/press-releases/new-paltz-man-sentenced-to-30-years-for-sexually-exploiting-four-children</t>
  </si>
  <si>
    <t>https://www.wwnytv.com/story/36684160/feds-charge-man-with-sexual-exploitation-of-carthage-boy</t>
  </si>
  <si>
    <t>October 2, 2017</t>
  </si>
  <si>
    <t>Gang sex trafficking minors</t>
  </si>
  <si>
    <t>https://www.fbi.gov/contact-us/field-offices/seattle/news/press-releases/tacoma-area-task-forces-disrupt-gang-members-trafficking-minors-for-sexual-exploitation</t>
  </si>
  <si>
    <t>Robert Franke III</t>
  </si>
  <si>
    <t>https://www.justice.gov/usao-edar/pr/jacksonville-man-sentenced-30-years-prison-production-child-pornography</t>
  </si>
  <si>
    <t>Adrian Brooks</t>
  </si>
  <si>
    <t>October 4, 2017</t>
  </si>
  <si>
    <t xml:space="preserve">Leader of sex trafficking enterprise including minors- Backpage.com </t>
  </si>
  <si>
    <t>https://www.justice.gov/usao-sdny/pr/bronx-man-charged-manhattan-federal-court-sex-trafficking-minors-and-other-related</t>
  </si>
  <si>
    <t>https://www.cbp.gov/newsroom/local-media-release/laredo-sector-border-patrol-agents-arrest-juvenile-smugglers</t>
  </si>
  <si>
    <t>Kenneth Butler</t>
  </si>
  <si>
    <t>October 5, 2017</t>
  </si>
  <si>
    <t>3rd Pastor Arrested for sex trafficking of minors-See also Cordell Jenkins / Anthony Haynes</t>
  </si>
  <si>
    <t>http://www.wtol.com/story/36526031/toledo-pastor-arrested-charged-with-sex-trafficking</t>
  </si>
  <si>
    <t>Anthony Cotter</t>
  </si>
  <si>
    <t>https://www.ktts.com/news/local-news/feds-accuse-springfield-man-of-running-online-child-porn-chat-group</t>
  </si>
  <si>
    <t>Ryan Lin</t>
  </si>
  <si>
    <t>Project Safe Childhood-CP possession &amp; cyberstalking</t>
  </si>
  <si>
    <t>https://www.justice.gov/usao-ma/pr/newton-man-sentenced-over-17-years-prison-extensive-cyberstalking-campaign</t>
  </si>
  <si>
    <t>https://www.justice.gov/usao-ma/pr/newton-man-charged-24-additional-offenses-associated-cyberstalking-former-housemate</t>
  </si>
  <si>
    <t>https://www.courtlistener.com/?q=&amp;type=r&amp;order_by=score+desc&amp;docket_number=1%3A18-cr-10092&amp;court=mad</t>
  </si>
  <si>
    <t>Michael Clayton / Ramiro Hernandez</t>
  </si>
  <si>
    <t>https://www.justice.gov/usao-wdmi/pr/2018_1023_Clayton_Hernandez</t>
  </si>
  <si>
    <t>https://www.woodtv.com/news/kalamazoo-and-battle-creek/girlfriend-of-sex-trafficker-accused-of-threats-faces-prison/1257248509</t>
  </si>
  <si>
    <t>https://www.courtlistener.com/?q=&amp;type=r&amp;order_by=score+desc&amp;docket_number=1%3A17-cr-00230&amp;court=miwd</t>
  </si>
  <si>
    <t>October 7, 2017</t>
  </si>
  <si>
    <t>https://www.cbp.gov/newsroom/local-media-release/border-patrol-stops-2-human-smuggling-vehicles</t>
  </si>
  <si>
    <t>Alberto Alavarado-Castro</t>
  </si>
  <si>
    <t>https://www.usnews.com/news/best-states/vermont/articles/2018-10-02/2-sentenced-for-roles-in-quebec-vermont-human-smuggling-case</t>
  </si>
  <si>
    <t>Randall Ray Ward</t>
  </si>
  <si>
    <t>October 9, 2017</t>
  </si>
  <si>
    <t>http://www.wbbjtv.com/2017/10/09/jackson-man-arrested-human-trafficking-charges/</t>
  </si>
  <si>
    <t>October 16 2017</t>
  </si>
  <si>
    <t>Operation No Tricks, No Treats</t>
  </si>
  <si>
    <t>http://nbc4i.com/2017/10/19/doctors-and-cops-among-277-arrested-in-human-trafficking-online-prostitution-sting-in-florida/</t>
  </si>
  <si>
    <t>Brian David Boersma</t>
  </si>
  <si>
    <t>October 10, 2017</t>
  </si>
  <si>
    <t>Kidnapping and attempt to sex traffic minors</t>
  </si>
  <si>
    <t>https://www.justice.gov/usao-ndal/pr/decatur-man-indicted-kidnapping-child-sex-trafficking-charges</t>
  </si>
  <si>
    <t>Bobby Paul Edwards</t>
  </si>
  <si>
    <t>Human trafficking/forced labor</t>
  </si>
  <si>
    <t>https://www.myhorrynews.com/news/crime/conway-man-pleads-guilty-to-forced-labor-charge/article_790d14aa-69cb-11e8-81b0-ef0214d4d64d.html</t>
  </si>
  <si>
    <t>Jeffrey Scott Beard</t>
  </si>
  <si>
    <t>October 11, 2017</t>
  </si>
  <si>
    <t>http://pkbpolice.com/child-pornography-arrest-2/</t>
  </si>
  <si>
    <t>Philip Ahr</t>
  </si>
  <si>
    <t>CP distribution and related charges - Town Commission President</t>
  </si>
  <si>
    <t>http://www.philly.com/philly/news/crime/radnor-township-commissioners-president-phil-ahr-charged-with-child-sexual-abuse-20171011.html</t>
  </si>
  <si>
    <t>https://www.justice.gov/usao-edpa/pr/former-radnor-township-board-commissioners-president-indicted</t>
  </si>
  <si>
    <t xml:space="preserve">https://archive.vn/92WzX </t>
  </si>
  <si>
    <t>https://archive.vn/SyaXY</t>
  </si>
  <si>
    <t>Anthony Weber</t>
  </si>
  <si>
    <t>https://www.justice.gov/usao-wdny/pr/grand-island-man-pleads-guilty-child-pornography-charge</t>
  </si>
  <si>
    <t>Eddie Charles Larue</t>
  </si>
  <si>
    <t>https://www.justice.gov/usao-sdtx/pr/missouri-city-man-sentenced-having-trafficked-12-year-old-girl-sex</t>
  </si>
  <si>
    <t>https://www.chron.com/news/houston-texas/article/Missouri-City-man-charged-with-sex-trafficking-12269462.php#photo-1297009</t>
  </si>
  <si>
    <t>http://archive.fo/Ru8YE</t>
  </si>
  <si>
    <t>http://archive.fo/stgH0</t>
  </si>
  <si>
    <t>October 15 2017</t>
  </si>
  <si>
    <t xml:space="preserve">US </t>
  </si>
  <si>
    <t>500+</t>
  </si>
  <si>
    <t>Operation Cross Country XI-Youngest Victim 3 months old</t>
  </si>
  <si>
    <t>http://www.myrtlebeachonline.com/news/local/crime/article179497181.html#storylink=cpy , https://www.nbcnews.com/news/us-news/84-children-rescued-120-human-traffickers-arrested-across-u-s-n812156</t>
  </si>
  <si>
    <t>October 13, 2017</t>
  </si>
  <si>
    <t>3 Arrests connected to HT operation</t>
  </si>
  <si>
    <t>https://www.fbi.gov/contact-us/field-offices/boston/news/press-releases/three-arrested-in-connection-with-human-trafficking-operation</t>
  </si>
  <si>
    <t>Stephen McGrath</t>
  </si>
  <si>
    <t>https://www.justice.gov/usao-md/pr/rockville-man-who-posed-modeling-agent-obtain-sexually-explicit-images-minor-female</t>
  </si>
  <si>
    <t>October 15, 2017</t>
  </si>
  <si>
    <t>https://www.cbp.gov/newsroom/local-media-release/agents-arrest-3-us-citizens-human-smuggling</t>
  </si>
  <si>
    <t>https://www.cbp.gov/newsroom/local-media-release/border-patrol-agents-stop-human-smuggling-attempt</t>
  </si>
  <si>
    <t>William Michael Fields, Jr</t>
  </si>
  <si>
    <t>https://www.justice.gov/usao-edky/pr/former-harrison-county-constable-and-paris-firefighter-sentenced-420-months-using-minor</t>
  </si>
  <si>
    <t>Pierre Lagrone (Sanders et al)</t>
  </si>
  <si>
    <t>October 17, 2017</t>
  </si>
  <si>
    <t>Backpage.com - Sex trafficking of minors / sex trafficking</t>
  </si>
  <si>
    <t>https://www.justice.gov/usao-ndtx/pr/eight-men-arrested-federal-child-sex-trafficking-charges</t>
  </si>
  <si>
    <t>https://www.dallasnews.com/news/crime/2017/10/17/8-men-arrested-charges-trafficked-children-sex-dallas-fort-worth-area</t>
  </si>
  <si>
    <t>Robert Roseberry (Sanders et al)</t>
  </si>
  <si>
    <t>Herman Sanders</t>
  </si>
  <si>
    <t>Reginald Smith (Sanders et al)</t>
  </si>
  <si>
    <t>Demarcus Davis (Sanders et al)</t>
  </si>
  <si>
    <t>Dentrell Davis (Sanders et al)</t>
  </si>
  <si>
    <t>Cederrick Clarkson (Sanders et al)</t>
  </si>
  <si>
    <t>Teroderrick Watts (Sanders et al)</t>
  </si>
  <si>
    <t>Charles Poltenson</t>
  </si>
  <si>
    <t>CP related charges / Child Exploitation</t>
  </si>
  <si>
    <t>http://www.localsyr.com/news/local-news/salina-man-admits-to-recording-child-porn-by-telling-victims-he-was-a-16-year-old-boy/839571462</t>
  </si>
  <si>
    <t>Damian Barbarito Romero</t>
  </si>
  <si>
    <t>https://www.justice.gov/usao-edla/pr/new-orleans-man-indicted-possessing-child-pornography</t>
  </si>
  <si>
    <t>https://www.justice.gov/usao-edla/pr/new-orleans-resident-sentenced-78-months-imprisonment-after-previously-pleading-guilty</t>
  </si>
  <si>
    <t>Steven Moffis</t>
  </si>
  <si>
    <t>https://www.justice.gov/usao-wdmo/pr/willow-springs-man-indicted-child-pornography</t>
  </si>
  <si>
    <t>https://www.courtlistener.com/docket/7813792/united-states-v-moffis/</t>
  </si>
  <si>
    <t>Mark Barnwell</t>
  </si>
  <si>
    <t>October 18, 2017</t>
  </si>
  <si>
    <t>https://www.justice.gov/opa/pr/texas-man-indicted-sextorting-minors-illinois</t>
  </si>
  <si>
    <t>https://www.justice.gov/usao-cdil/pr/texas-sex-offender-sentenced-35-years-prison-sextorting-minors-eight-states-28-minors</t>
  </si>
  <si>
    <t>Stephen Salamak</t>
  </si>
  <si>
    <t>October 19, 2017</t>
  </si>
  <si>
    <t>https://www.northjersey.com/story/news/crime/2017/10/20/lodi-prison-guard-tried-meet-8-year-old-girl-had-child-porn-feds-say/781995001/</t>
  </si>
  <si>
    <t>https://www.justice.gov/usao-nj/pr/former-new-jersey-corrections-officer-sentenced-five-years-prison-receipt-child</t>
  </si>
  <si>
    <t>October 22, 2017</t>
  </si>
  <si>
    <t>https://www.cbp.gov/newsroom/local-media-release/border-patrol-agents-arrest-us-man-human-smuggling</t>
  </si>
  <si>
    <t>Gary K Pinkowski</t>
  </si>
  <si>
    <t>https://www.justice.gov/usao-md/pr/previously-convicted-sex-offender-sentenced-24-years-federal-prison-possession-child</t>
  </si>
  <si>
    <t>Jonathan Derek Riley</t>
  </si>
  <si>
    <t>October 24, 2017</t>
  </si>
  <si>
    <t>http://www.nvdaily.com/news/local-news/2017/10/area-man-faces-child-pornography-charges/</t>
  </si>
  <si>
    <t>Nicholas McAteer</t>
  </si>
  <si>
    <t>Ret NYPD Sex Crimes Lt Commander Serial Child Sex Offender</t>
  </si>
  <si>
    <t>http://verifiedpolitics.com/retired-nypd-sex-crimes-officer-just-got-exposed-serial-child-sex-offender/</t>
  </si>
  <si>
    <t>William L Blessett</t>
  </si>
  <si>
    <t>https://www.justice.gov/usao-edca/pr/north-highlands-man-convicted-possessing-child-pornography, https://www.justice.gov/usao-edca/pr/north-highlands-man-sentenced-20-years-prison-possessing-child-pornography</t>
  </si>
  <si>
    <t>https://www.sacbee.com/latest-news/article201823579.html</t>
  </si>
  <si>
    <t>https://www.courtlistener.com/docket/6318107/united-states-v-blessett/</t>
  </si>
  <si>
    <t>Kayla Lenthall</t>
  </si>
  <si>
    <t>October 25, 2017</t>
  </si>
  <si>
    <t>http://www.timescall.com/news/crime/ci_31402934/police-make-arrest-suspected-prostitution-at-longmont-massage</t>
  </si>
  <si>
    <t>https://www.cbp.gov/newsroom/local-media-release/tucson-man-arrested-smuggling-mexican-national</t>
  </si>
  <si>
    <t>Roger Forwood</t>
  </si>
  <si>
    <t>Zachary Benoit</t>
  </si>
  <si>
    <t>https://www.justice.gov/usao-nh/pr/canaan-man-pleads-guilty-transporting-and-possessing-child-pornography , https://www.justice.gov/usao-nh/pr/canaan-man-sentenced-156-months-transporting-and-possessing-child-pornography</t>
  </si>
  <si>
    <t>https://www.wmur.com/article/canaan-man-arrested-for-alleged-child-pornography-possession/13055410</t>
  </si>
  <si>
    <t>https://www.courtlistener.com/docket/7428456/united-states-v-benoit/</t>
  </si>
  <si>
    <t>James Robert Bonnette</t>
  </si>
  <si>
    <t>https://www.justice.gov/usao-ednc/pr/hubert-man-sentenced-more-15-years-imprisonment-child-pornography-charges</t>
  </si>
  <si>
    <t>Kenneth Nelson</t>
  </si>
  <si>
    <t>October 27, 2017</t>
  </si>
  <si>
    <t>https://texarkanafyi.com/texarkana-man-arrested-human-trafficking-underage-girls/</t>
  </si>
  <si>
    <t>October 28, 2017</t>
  </si>
  <si>
    <t>https://www.cbp.gov/newsroom/local-media-release/border-patrol-stops-multiple-human-smugglers</t>
  </si>
  <si>
    <t>Rickey D. Brown, Jr</t>
  </si>
  <si>
    <t>https://www.justice.gov/usao-ndin/pr/man-sentenced-30-years-prison</t>
  </si>
  <si>
    <t>https://www.nwitimes.com/news/local/crime-and-courts/hobart-man-indicted-on-charges-of-child-pornography-production-possession/article_05c88bd9-354e-5387-a8c3-85b850d5fca5.html</t>
  </si>
  <si>
    <t>http://archive.fo/rs7Vd</t>
  </si>
  <si>
    <t>http://archive.fo/fG7Je</t>
  </si>
  <si>
    <t>Jason  R Fain</t>
  </si>
  <si>
    <t>https://www.justice.gov/usao-mdfl/pr/jacksonville-man-arrested-federal-charge-possessing-child-pornography , https://www.justice.gov/usao-mdfl/pr/jury-convicts-jacksonville-man-possessing-child-sex-abuse-videos-and , https://www.justice.gov/usao-mdfl/pr/jacksonville-man-sentenced-six-years-prison-possessing-child-sex-abuse-videos-and-images</t>
  </si>
  <si>
    <t>https://www.courtlistener.com/docket/14684190/united-states-v-fain/</t>
  </si>
  <si>
    <t>Fetahe Makonnen</t>
  </si>
  <si>
    <t>https://www.justice.gov/usao-ri/pr/massachusetts-man-charged-travelling-interstate-commerce-transport-child-pornography   https://www.justice.gov/usao-ri/pr/mass-man-sentenced-child-pornography-charges</t>
  </si>
  <si>
    <t>https://www.courtlistener.com/docket/7309805/united-states-v-makonnen/</t>
  </si>
  <si>
    <t>Harshinder Bhatia</t>
  </si>
  <si>
    <t>October 30, 2017</t>
  </si>
  <si>
    <t xml:space="preserve">Labor trafficking  </t>
  </si>
  <si>
    <t>https://www.ice.gov/news/releases/owner-milwaukee-area-gas-stations-charged-forced-labor-trafficking</t>
  </si>
  <si>
    <t>https://fox6now.com/2017/10/30/indicted-owner-of-several-milwaukee-gas-stations-accused-of-forcing-indian-woman-to-work/</t>
  </si>
  <si>
    <t>William Matthew Napolitano</t>
  </si>
  <si>
    <t>October 31, 2017</t>
  </si>
  <si>
    <t>CP production, distribution &amp; related charges</t>
  </si>
  <si>
    <t>https://www.justice.gov/usao-mdfl/pr/federal-judge-sentences-former-pasco-county-schools-transportation-manager-life-federal    https://www.justice.gov/usao-mdfl/pr/federal-grand-jury-returns-superseding-indictment-charging-former-pasco-county-schools</t>
  </si>
  <si>
    <t>https://www.wric.com/news/backpack-contents-lead-to-child-porn-charges-for-florida-school-employee/1078056198</t>
  </si>
  <si>
    <t>https://www.courtlistener.com/docket/6651908/united-states-v-napolitano/</t>
  </si>
  <si>
    <t>Richard Wolfe</t>
  </si>
  <si>
    <t>https://www.justice.gov/usao-wdny/pr/rochester-truck-driver-and-photographer-pleads-guilty-possession-child-porngraphy</t>
  </si>
  <si>
    <t>Cody Nathan Patterson</t>
  </si>
  <si>
    <t>https://www.justice.gov/usao-nv/pr/northern-california-man-sentenced-prison-receipt-and-distribution-over-1000-images-child</t>
  </si>
  <si>
    <t>Randy Rance</t>
  </si>
  <si>
    <t>Novermber 1, 2017</t>
  </si>
  <si>
    <t>https://www.kentonbee.com/news/2017-11-01/Local_News/Town_man_arrested_on_child_porn_charges.html</t>
  </si>
  <si>
    <t>November 1, 2017</t>
  </si>
  <si>
    <t>https://www.cbp.gov/newsroom/local-media-release/agents-arrest-armed-tucson-man-smuggling</t>
  </si>
  <si>
    <t>William Jay Clark</t>
  </si>
  <si>
    <t>https://www.justice.gov/usao-wdpa/pr/johnstown-man-charged-possessing-child-pornography</t>
  </si>
  <si>
    <t>https://www.courtlistener.com/docket/6947270/united-states-v-clark/</t>
  </si>
  <si>
    <t>Darren J Salgado</t>
  </si>
  <si>
    <t>https://www.justice.gov/usao-wdpa/pr/dubois-man-charged-possessing-and-distributing-child-pornography</t>
  </si>
  <si>
    <t>Robert Dobbins</t>
  </si>
  <si>
    <t>Distribution of CP</t>
  </si>
  <si>
    <t>http://wtkr.com/2017/11/17/hampton-city-employee-accused-of-distributing-child-pornography-and-he-was-already-on-the-sex-offender-registry/</t>
  </si>
  <si>
    <t>https://www.justice.gov/usao-edva/pr/man-indicted-child-pornography-charges</t>
  </si>
  <si>
    <t>Kenneth Larrechea</t>
  </si>
  <si>
    <t>https://www.justice.gov/usao-wdmo/pr/former-marshall-man-pleads-guilty-child-pornography-faces-13-years-prison</t>
  </si>
  <si>
    <t>Kurtis Walter</t>
  </si>
  <si>
    <t>https://www.justice.gov/usao-ndny/pr/troy-man-sentenced-78-months-distributing-and-receiving-child-pornography</t>
  </si>
  <si>
    <t>Johnnie Gresham</t>
  </si>
  <si>
    <t>https://www.justice.gov/usao-mdpa/pr/west-virginia-man-charged-producing-child-pornography-and-online-enticement-minor</t>
  </si>
  <si>
    <t>Brandon Jacob Cochran</t>
  </si>
  <si>
    <t>Project Safe Childhood- CP Production</t>
  </si>
  <si>
    <t>https://www.justice.gov/usao-wdmi/pr/2018_0205_Cochran</t>
  </si>
  <si>
    <t>https://www.courtlistener.com/docket/6266937/united-states-v-cochran/</t>
  </si>
  <si>
    <t>Damian Quillinan</t>
  </si>
  <si>
    <t>https://www.justice.gov/usao-ndny/pr/ballston-spa-man-sentenced-96-months-child-pornography-offenses-0</t>
  </si>
  <si>
    <t>Daniel Medina-Acosta /Arturo Rocha-Guajardo</t>
  </si>
  <si>
    <t>http://valleycentral.com/news/local/two-sentenced-to-prison-for-human-smuggling</t>
  </si>
  <si>
    <t>Shawna Baxter</t>
  </si>
  <si>
    <t>Human trafficking arrest</t>
  </si>
  <si>
    <t>http://www.nbc15.com/content/news/Complaint-Woman-injected-runaways-with-meth-forced-man-into-prostitution-481476691.html</t>
  </si>
  <si>
    <t>Ryan Andrew Chambers</t>
  </si>
  <si>
    <t>https://www.justice.gov/usao-id/pr/boise-man-sentenced-20-years-prison-possession-child-pornography</t>
  </si>
  <si>
    <t>https://www.courtlistener.com/docket/6727391/united-states-v-chambers/</t>
  </si>
  <si>
    <t>Christopher Robert Woods</t>
  </si>
  <si>
    <t>https://www.justice.gov/usao-wdpa/pr/butler-county-man-admits-possessing-child-pornography</t>
  </si>
  <si>
    <t>https://www.courtlistener.com/?q=&amp;type=r&amp;order_by=score+desc&amp;docket_number=2%3A17-cr-00313&amp;court=pawd</t>
  </si>
  <si>
    <t>Tommy Findley</t>
  </si>
  <si>
    <t>https://www.palmbeachpost.com/news/crime--law/boynton-man-convicted-taking-lewd-videos-teen-family-member/OOVGA1qe7ASuD0sd706xOL/</t>
  </si>
  <si>
    <t>Christopher Kruse</t>
  </si>
  <si>
    <t>https://www.justice.gov/usao-me/pr/skowhegan-man-pleads-guilty-receipt-and-possession-child-pornography</t>
  </si>
  <si>
    <t>https://www.centralmaine.com/2018/10/26/former-skowhegan-planning-board-member-pleads-guilty-to-child-porn-charges/</t>
  </si>
  <si>
    <t>Adam Cadle</t>
  </si>
  <si>
    <t>https://www.justice.gov/usao-wdpa/pr/pittsburgh-man-sentenced-5-years-prison-possessing-and-distributing-child-pornography</t>
  </si>
  <si>
    <t>Jonathan S Boynton</t>
  </si>
  <si>
    <t>https://www.justice.gov/usao-wdpa/pr/erie-man-received-and-possessed-child-pornography   https://www.justice.gov/usao-wdpa/pr/erie-man-sentenced-5-years-prison-crimes-relating-sexual-exploitation-children</t>
  </si>
  <si>
    <t>https://www.courtlistener.com/docket/6947298/united-states-v-boynton/</t>
  </si>
  <si>
    <t>Rex T Kendall</t>
  </si>
  <si>
    <t>https://www.justice.gov/usao-mt/pr/deer-lodge-man-sentenced-child-pornography-case</t>
  </si>
  <si>
    <t>https://www.courtlistener.com/docket/7883754/united-states-v-kendall/</t>
  </si>
  <si>
    <t>Thomas Andrew Malotte</t>
  </si>
  <si>
    <t>https://www.justice.gov/usao-edtn/pr/thomas-andrew-malotte-sentenced-130-months-federal-prison-posession-child-pornography</t>
  </si>
  <si>
    <t>https://www.courtlistener.com/docket/7151901/united-states-v-malotte-tv2/</t>
  </si>
  <si>
    <t>Kurt Cannamela</t>
  </si>
  <si>
    <t>https://www.justice.gov/usao-mdtn/pr/two-middle-tennessee-men-sentenced-federal-prison-child-exploitation-crimes</t>
  </si>
  <si>
    <t>https://www.courtlistener.com/docket/7594599/united-states-v-cannamela/</t>
  </si>
  <si>
    <t>Raymond Wayne Eugene Hall</t>
  </si>
  <si>
    <t>https://www.justice.gov/usao-sdia/pr/des-moines-child-pornographer-and-sex-abuser-sentenced-40-years-prison</t>
  </si>
  <si>
    <t>https://www.courtlistener.com/docket/13541254/united-states-v-hall/</t>
  </si>
  <si>
    <t>Gabriel Allen Goss</t>
  </si>
  <si>
    <t>December 2017</t>
  </si>
  <si>
    <t>https://www.justice.gov/usao-wdnc/pr/buncombe-county-man-sentenced-28-years-producing-child-pornography</t>
  </si>
  <si>
    <t>https://www.courtlistener.com/docket/6715136/united-states-v-goss/</t>
  </si>
  <si>
    <t>John A Coburn</t>
  </si>
  <si>
    <t>https://www.justice.gov/usao-wdnc/pr/burke-county-man-sentenced-20-years-transporting-child-pornography</t>
  </si>
  <si>
    <t>https://www.courtlistener.com/docket/7002702/united-states-v-coburn/</t>
  </si>
  <si>
    <t>John Edwin Kuhnel</t>
  </si>
  <si>
    <t>https://www.justice.gov/usao-mn/pr/elk-river-man-sentenced-17-years-prison-child-pornography</t>
  </si>
  <si>
    <t>November 2, 2017</t>
  </si>
  <si>
    <t>https://www.cbp.gov/newsroom/local-media-release/border-patrol-arrests-multiple-suspects-alien-smuggling-scheme</t>
  </si>
  <si>
    <t>Jerome Wilson</t>
  </si>
  <si>
    <t>https://www.justice.gov/usao-wdmo/pr/former-camden-county-deputy-indicted-child-pornography</t>
  </si>
  <si>
    <t>https://www.krmsradio.com/breaking-news-former-deputy-leonard-wilson-turns-self-in-to-authorities/</t>
  </si>
  <si>
    <t>Charles Thomas Barbarotta</t>
  </si>
  <si>
    <t>November 3, 2017</t>
  </si>
  <si>
    <t>Sex trafficking, sexual exploitation of a minor, fraud</t>
  </si>
  <si>
    <t>https://www.justice.gov/usao-ndoh/pr/norwalk-man-indicted-sex-trafficking-sexual-exploitation-minors-and-fraud</t>
  </si>
  <si>
    <t>https://www.fbi.gov/contact-us/field-offices/cleveland/news/press-releases/norwalk-man-sentenced-to-20-years-in-prison-for-sex-trafficking-after-fraudulently-inducing-teen-girls-into-engaging-in-sexually-explicit-conduct</t>
  </si>
  <si>
    <t>Joshua Lange</t>
  </si>
  <si>
    <t>https://www.justice.gov/usao-cdil/pr/trial-scheduled-tolono-man-indicted-charges-sexual-exploitation-child-possession-child</t>
  </si>
  <si>
    <t>https://www.justice.gov/usao-cdil/pr/champaign-county-man-serve-45-years-prison-sexual-exploitation-children</t>
  </si>
  <si>
    <t>https://www.courtlistener.com/docket/6672558/united-states-v-lange/</t>
  </si>
  <si>
    <t>Brian Kaelble</t>
  </si>
  <si>
    <t>https://www.justice.gov/usao-mn/pr/registered-sex-offender-sentenced-17-years-prison-child-pornography-0</t>
  </si>
  <si>
    <t>https://www.courtlistener.com/docket/7618052/united-states-v-kaelble/</t>
  </si>
  <si>
    <t>November 5, 2017</t>
  </si>
  <si>
    <t>https://www.cbp.gov/newsroom/local-media-release/border-patrol-arrests-5-people-human-smuggling</t>
  </si>
  <si>
    <t>Eugene Joseph Martinez</t>
  </si>
  <si>
    <t>http://www.lubbockonline.com/crime-and-courts/news/local-news/2017-11-05/lubbock-man-arrested-federal-child-pornography-charge</t>
  </si>
  <si>
    <t>November 10 2017</t>
  </si>
  <si>
    <t>Chad,Mali,Mauritania, Niger and Senegal.</t>
  </si>
  <si>
    <t>Interpol Op.Most suspects women.</t>
  </si>
  <si>
    <t>Colin Germain</t>
  </si>
  <si>
    <t>November 7, 2017</t>
  </si>
  <si>
    <t>https://www.justice.gov/usao-vt/pr/new-haven-man-charged-distribution-child-pornography-and-assault-federal-officer</t>
  </si>
  <si>
    <t>Keith Liwanag</t>
  </si>
  <si>
    <t>https://www.ice.gov/news/releases/queens-man-sentenced-15-years-producing-child-pornography    https://www.justice.gov/usao-edny/pr/queens-man-sentenced-15-years-imprisonment-producing-child-pornography</t>
  </si>
  <si>
    <t xml:space="preserve">https://www.nydailynews.com/new-york/queens/queens-bodybuilder-busted-persuading-women-child-porn-article-1.3622409 </t>
  </si>
  <si>
    <t>https://www.courtlistener.com/docket/7641997/united-states-v-liwanag/</t>
  </si>
  <si>
    <t>https://archive.fo/UPUMy</t>
  </si>
  <si>
    <t>https://archive.fo/PCBI5</t>
  </si>
  <si>
    <t>Abhijeet Das</t>
  </si>
  <si>
    <t>November 8, 2017</t>
  </si>
  <si>
    <t>https://www.post-gazette.com/local/city/2017/11/09/Abhijeet-Das-Point-Breeze-child-pornography-University-Pittsburgh-graduate-student-chat-room-uploads/stories/201711090138</t>
  </si>
  <si>
    <t>Joseph Pangelinan Jr</t>
  </si>
  <si>
    <t>November 13,2017</t>
  </si>
  <si>
    <t>Operation Hidden Guardian</t>
  </si>
  <si>
    <t>https://gbi.georgia.gov/press-releases/2018-03-16/76-arrested-multi-state-child-exploitation-operation-named-%E2%80%9Coperation</t>
  </si>
  <si>
    <t>William Millett</t>
  </si>
  <si>
    <t>November 9, 2017</t>
  </si>
  <si>
    <t>https://www.justice.gov/usao-ct/pr/groton-man-sentenced-5-years-prison-child-pornography-offense</t>
  </si>
  <si>
    <t>https://www.courtlistener.com/docket/7265850/united-states-v-millett/</t>
  </si>
  <si>
    <t>https://www.cbp.gov/newsroom/local-media-release/rio-grande-valley-agents-rescue-26-illegal-aliens-checkpoint</t>
  </si>
  <si>
    <t>November 12, 2017</t>
  </si>
  <si>
    <t>https://www.cbp.gov/newsroom/local-media-release/border-patrol-stops-smuggling-attempts-naco-az</t>
  </si>
  <si>
    <t>Roland Kyzer</t>
  </si>
  <si>
    <t>November 13, 2017</t>
  </si>
  <si>
    <t>https://www.pressconnects.com/story/news/public-safety/2017/11/13/twice-convicted-southern-tier-sex-offender-indicted-federal-child-porn-charges/856340001/</t>
  </si>
  <si>
    <t>Timothy Reeves</t>
  </si>
  <si>
    <t>Project Safe Childhood-Exploitation of a child</t>
  </si>
  <si>
    <t>https://www.justice.gov/usao-sdin/pr/hamilton-county-metropolitan-child-exploitation-task-force-members-recognized-operation</t>
  </si>
  <si>
    <t>https://www.courtlistener.com/docket/7964315/united-states-v-reeves/</t>
  </si>
  <si>
    <t>Jason Frye</t>
  </si>
  <si>
    <t>Project Safe Childhood-transport of CP &amp; related charges</t>
  </si>
  <si>
    <t>https://www.courtlistener.com/docket/8040267/united-states-v-frye/</t>
  </si>
  <si>
    <t>Luqman Gotti aka Timothy Pennington</t>
  </si>
  <si>
    <t>https://www.justice.gov/usao-ct/pr/manchester-man-charged-child-pornography-offenses , https://www.justice.gov/usao-ct/pr/manchester-man-sentenced-80-months-prison-child-exploitation-offense</t>
  </si>
  <si>
    <t>https://www.justice.gov/usao-ct/pr/manchester-man-pleads-guilty-child-exploitation-offense , https://www.justice.gov/usao-ct/pr/manchester-man-sentenced-80-months-prison-child-exploitation-offense</t>
  </si>
  <si>
    <t>https://www.courtlistener.com/docket/6761055/united-states-v-gotti/</t>
  </si>
  <si>
    <t>November 14, 2017</t>
  </si>
  <si>
    <t>Backpage.com Sex trafficking of minors /Sex trafficking ring bust</t>
  </si>
  <si>
    <t>https://thegoldwater.com/news/24373-Undercover-FBI-Sting-Brings-Down-California-Child-Sex-Trafficking-and-Child-Porn-Operation</t>
  </si>
  <si>
    <t>Curtis Pethley</t>
  </si>
  <si>
    <t>November 15, 2017</t>
  </si>
  <si>
    <t>https://www.justice.gov/usao-wdwi/pr/grand-jury-returns-indictments-68</t>
  </si>
  <si>
    <t>https://www.courtlistener.com/docket/6781369/united-states-v-pethley-curtis/</t>
  </si>
  <si>
    <t>Isai Sanchez</t>
  </si>
  <si>
    <t>https://www.justice.gov/usao-ednc/pr/wilmington-man-indicted-child-pornography-charges-0</t>
  </si>
  <si>
    <t>http://www.ktre.com/story/36858295/man-faces-child-porn-charges</t>
  </si>
  <si>
    <t>Pryce Elijah Demars</t>
  </si>
  <si>
    <t>Project Safe Childhood-CP distribution</t>
  </si>
  <si>
    <t>https://www.justice.gov/usao-mdfl/pr/jacksonville-man-arrested-and-indicted-distributing-child-sex-abuse-videos  https://www.justice.gov/usao-mdfl/pr/jacksonville-man-sentenced-20-years-distributing-child-sex-abuse-videos-over-internet</t>
  </si>
  <si>
    <t>https://www.courtlistener.com/docket/6853542/united-states-v-demars/</t>
  </si>
  <si>
    <t>Dustin Hansen</t>
  </si>
  <si>
    <t>https://www.1011now.com/content/news/Lincoln-man-sentenced-to-8-years-for-child-pornography-485669441.html</t>
  </si>
  <si>
    <t>https://www.justice.gov/usao-ne/pr/december-2017-grand-jury</t>
  </si>
  <si>
    <t>https://www.courtlistener.com/docket/6254544/united-states-v-hansen/</t>
  </si>
  <si>
    <t>November 16, 2017</t>
  </si>
  <si>
    <t>https://www.cbp.gov/newsroom/local-media-release/agents-arrest-tucson-residents-human-smuggling</t>
  </si>
  <si>
    <t>Juan Carlos Ramon</t>
  </si>
  <si>
    <t>Project Safe Childhood-CP production</t>
  </si>
  <si>
    <t>https://www.justice.gov/usao-or/pr/portland-man-sentenced-15-years-federal-prison-sexually-exploiting-two-children</t>
  </si>
  <si>
    <t>Travis E Fleming</t>
  </si>
  <si>
    <t>Nobember 16, 2017</t>
  </si>
  <si>
    <t>https://www.justice.gov/usao-wdmo/pr/kc-sex-offender-sentenced-15-years-child-pornography</t>
  </si>
  <si>
    <t>https://www.courtlistener.com/docket/7909552/united-states-v-fleming/</t>
  </si>
  <si>
    <t>Michael Anthony Portanova</t>
  </si>
  <si>
    <t>November 17, 2017</t>
  </si>
  <si>
    <t>https://www.citizensvoice.com/news/police-child-porn-convict-says-oh-well-downloads-more-1.2269256</t>
  </si>
  <si>
    <t>https://www.justice.gov/usao-mdpa/pr/luzerne-county-man-sentenced-15-years-imprisonment-receiving-child-pornography https://www.justice.gov/usao-mdpa/pr/west-hazleton-man-guilty-receiving-child-pornography</t>
  </si>
  <si>
    <t>https://web.archive.org/web/20180112071117/https://www.citizensvoice.com/news/police-child-porn-convict-says-oh-well-downloads-more-1.2269256</t>
  </si>
  <si>
    <t>https://web.archive.org/web/20190321212951/https://www.citizensvoice.com/polopoly_fs/1.2269255.1520696200!/fileImage/httpImage/image.jpg_gen/derivatives/landscape_335/image.jpg</t>
  </si>
  <si>
    <t>Michael Barrett Cason</t>
  </si>
  <si>
    <t>Project Safe Childhood-Transporting a minor for prostitution</t>
  </si>
  <si>
    <t>https://www.justice.gov/usao-wdmo/pr/california-man-pleads-guilty-transporting-minor-prostitution</t>
  </si>
  <si>
    <t>Eleuterio Flores</t>
  </si>
  <si>
    <t>November 19, 2017</t>
  </si>
  <si>
    <t>https://www.justice.gov/usao-wdar/pr/springdale-man-sentenced-over-21-years-federal-prison-online-enticement-minor</t>
  </si>
  <si>
    <t>https://5newsonline.com/2017/11/19/springdale-man-arrested-for-child-sex-trafficking/</t>
  </si>
  <si>
    <t>Stephen Michael Truax Jr</t>
  </si>
  <si>
    <t>November 20, 2017</t>
  </si>
  <si>
    <t>https://www.pnj.com/story/news/crime/2017/11/20/fdle-pensacola-man-had-more-than-200-child-pornography-videos/882524001/</t>
  </si>
  <si>
    <t>Roland Yockel II</t>
  </si>
  <si>
    <t>November 21, 2017</t>
  </si>
  <si>
    <t>https://www.justice.gov/usao-wdny/pr/brockport-kindergarten-teacher-arrested-child-pornography-charges-investigators-looking</t>
  </si>
  <si>
    <t>https://www.democratandchronicle.com/story/news/2017/11/21/brockport-kindergarten-teacher-allegedly-possessed-child-porn/887242001/</t>
  </si>
  <si>
    <t>Joseph Marcus</t>
  </si>
  <si>
    <t>https://www.justice.gov/usao-edpa/pr/easton-man-charged-receipt-and-possession-child-pornography</t>
  </si>
  <si>
    <t>https://www.courtlistener.com/?q=&amp;type=r&amp;order_by=score+desc&amp;docket_number=5%3A17-cr-00613&amp;court=paed</t>
  </si>
  <si>
    <t>Justin L Boyer</t>
  </si>
  <si>
    <t>https://www.fox23.com/news/creek-county-deputies-find-hundreds-of-pornographic-images-of-children-on-mans-snapchat-account/651583306</t>
  </si>
  <si>
    <t>https://www.justice.gov/usao-ndok/pr/sapulpa-man-sentenced-producing-child-pornography-text-messaging</t>
  </si>
  <si>
    <t>Jamin Fletcher</t>
  </si>
  <si>
    <t>https://www.nonpareilonline.com/news/crime/ex-bluffs-employee-guilty-of-child-porn-charges/article_07194474-4a75-11e8-861a-9b9693697ef2.html</t>
  </si>
  <si>
    <t>https://www.justice.gov/usao-sdia/pr/council-bluffs-man-sentenced-108-months-prison-distribution-and-receipt-child</t>
  </si>
  <si>
    <t>http://www.kdrv.com/content/news/485443411.html</t>
  </si>
  <si>
    <t>India Tykeyah-Najee Cuyler</t>
  </si>
  <si>
    <t>https://www.justice.gov/usao-sc/pr/columbia-woman-pleads-federal-charge-enticing-minor-engage-sexual-activity</t>
  </si>
  <si>
    <t>Freddie Emerson Crockett</t>
  </si>
  <si>
    <t>https://www.justice.gov/usao-md/pr/maryland-sex-offender-sentenced-10-years-federal-prison-possession-child-pornography</t>
  </si>
  <si>
    <t>https://www.courtlistener.com/docket/8080116/united-states-v-crockett/</t>
  </si>
  <si>
    <t>Dominic Roach</t>
  </si>
  <si>
    <t>November 22, 2017</t>
  </si>
  <si>
    <t>https://lancasteronline.com/news/local/da-man-found-guilty-of-all-counts-in-first-human/article_b3f488c2-b81e-11e8-8741-d7c1b7e3520c.html</t>
  </si>
  <si>
    <t>https://www.wgal.com/article/man-sentenced-to-up-to-36-years-prison-for-operating-human-trafficking-ring/25321529</t>
  </si>
  <si>
    <t>Gary Shawn Haynes Jr.</t>
  </si>
  <si>
    <t>https://www.justice.gov/usao-sdtx/pr/local-rapper-sent-federal-prison-sex-trafficking-minor</t>
  </si>
  <si>
    <t>https://www.click2houston.com/news/3-charged-after-teen-rescued-from-prostitution-at-houston-motel-authorities-say</t>
  </si>
  <si>
    <t>https://archive.vn/SJOzE</t>
  </si>
  <si>
    <t>Tabbetha Mangis</t>
  </si>
  <si>
    <t>Jaimian Sims</t>
  </si>
  <si>
    <t>https://archive.vn/WUsCq</t>
  </si>
  <si>
    <t>November 28, 2017</t>
  </si>
  <si>
    <t>https://www.cbp.gov/newsroom/local-media-release/teen-smuggler-arrested-after-fleeing-immigration-checkpoint</t>
  </si>
  <si>
    <t>Shawn DeWitt</t>
  </si>
  <si>
    <t>https://www.justice.gov/usao-ndin/pr/jury-finds-lafayette-man-guilty-producing-and-distributing-child-pornography</t>
  </si>
  <si>
    <t>https://www.justice.gov/usao-ndin/pr/lafayette-indiana-man-sentenced-30-years-prison</t>
  </si>
  <si>
    <t>https://www.courtlistener.com/docket/6438885/united-states-v-dewitt/</t>
  </si>
  <si>
    <t>Jake M Damron</t>
  </si>
  <si>
    <t>November 29, 2017</t>
  </si>
  <si>
    <t>https://www.justice.gov/usao-sdoh/pr/hamilton-township-man-charged-distributing-child-pornography-five-year-old</t>
  </si>
  <si>
    <t>Tracy Wayne Crosby</t>
  </si>
  <si>
    <t>Sex trafficking of a minor/ CP related charges</t>
  </si>
  <si>
    <t>http://www.jacksonville.com/news/georgia/2017-12-07/ware-county-teacher-charged-sex-trafficking-minor</t>
  </si>
  <si>
    <t>Alston Orlando Leroy Williams</t>
  </si>
  <si>
    <t>Sex and labor trafficking including minors</t>
  </si>
  <si>
    <t>https://www.justice.gov/usao-sdfl/pr/lake-worth-man-indicted-federal-charges-sex-and-labor-trafficking</t>
  </si>
  <si>
    <t>https://www.justice.gov/usao-sdfl/pr/jury-convicts-lake-worth-resident-sex-trafficking-and-obstruction</t>
  </si>
  <si>
    <t>Richard Lee Dixon</t>
  </si>
  <si>
    <t>November 30, 2017</t>
  </si>
  <si>
    <t>https://patch.com/texas/dallas-ftworth/suspect-arrested-sex-trafficking-15-year-old-girl</t>
  </si>
  <si>
    <t>December 1, 2017</t>
  </si>
  <si>
    <t>https://www.cbp.gov/newsroom/local-media-release/phoenix-couple-arrested-smuggling-man-trunk</t>
  </si>
  <si>
    <t>Donald Baldi</t>
  </si>
  <si>
    <t>https://www.courierpostonline.com/story/news/2017/12/11/charles-borrelli-donald-baldi-child-porn-charges-camden-county/941830001/</t>
  </si>
  <si>
    <t>Labor trafficking of minors at egg farm</t>
  </si>
  <si>
    <t>https://www.justice.gov/usao-ndoh/pr/indictment-unsealed-charging-additional-man-labor-trafficking-conspiracy-forced-minors</t>
  </si>
  <si>
    <t>Cody Patterson</t>
  </si>
  <si>
    <t>Michael Lee</t>
  </si>
  <si>
    <t>https://www.justice.gov/usao-ma/pr/randolph-man-indicted-child-pornography-charges</t>
  </si>
  <si>
    <t>https://www.justice.gov/usao-ma/pr/randolph-man-charged-child-pornography-offenses</t>
  </si>
  <si>
    <t>Romeo Valentin Sanchez</t>
  </si>
  <si>
    <t>Project Safe Childhood-CP &amp; enticement charges</t>
  </si>
  <si>
    <t>https://www.justice.gov/usao-mdfl/pr/federal-jury-finds-registered-sex-offender-guilty-enticing-two-middle-school-children, https://www.justice.gov/usao-mdfl/pr/registered-sex-offender-sentenced-life-federal-prison-enticing-two-children</t>
  </si>
  <si>
    <t>https://www.courtlistener.com/docket/6540789/united-states-v-sanchez/</t>
  </si>
  <si>
    <t>Andrew Paul Schmidt</t>
  </si>
  <si>
    <t>Michael James Collins</t>
  </si>
  <si>
    <t>Project Safe Childhood-Travel w/intent to engage a minor in sexual conduct</t>
  </si>
  <si>
    <t>https://www.justice.gov/usao-wdmo/pr/fulton-sex-offender-pleads-guilty-transporting-13-year-old-victim-missouri-sex   https://www.justice.gov/usao-wdmo/pr/fulton-sex-offender-sentenced-15-years-transporting-13-year-old-victim-missouri-sex</t>
  </si>
  <si>
    <t>Patrick Harris</t>
  </si>
  <si>
    <t>https://www.justice.gov/usao-wdtn/pr/collierville-man-sentenced-80-months-imprisonment-possession-child-pornography</t>
  </si>
  <si>
    <t>Eddy Florence</t>
  </si>
  <si>
    <t xml:space="preserve">Sex trafficking of minors  </t>
  </si>
  <si>
    <t>https://www.timesledger.com/stories/2018/22/ridgewoodpimp_2018_06_01_q.html</t>
  </si>
  <si>
    <t>Todd Walsh</t>
  </si>
  <si>
    <t>https://www.justice.gov/usao-nj/pr/hudson-county-new-jersey-man-admits-distributing-child-pornography</t>
  </si>
  <si>
    <t>William Shenette</t>
  </si>
  <si>
    <t>https://www.justice.gov/usao-ma/pr/webster-man-pleads-guilty-possessing-child-pornography</t>
  </si>
  <si>
    <t>Dakkar Young</t>
  </si>
  <si>
    <t>https://www.justice.gov/usao-wdny/pr/tonawanda-man-sentenced-distributing-child-pornography</t>
  </si>
  <si>
    <t>William Joseph McClenathan</t>
  </si>
  <si>
    <t>2017</t>
  </si>
  <si>
    <t>https://www.justice.gov/usao-mdfl/pr/florida-man-sentenced-20-years-distributing-child-pornography</t>
  </si>
  <si>
    <t>https://www.courtlistener.com/docket/6612152/united-states-v-mcclenathan/</t>
  </si>
  <si>
    <t>https://archive.fo/xLRp0</t>
  </si>
  <si>
    <t>https://archive.fo/dtYjT</t>
  </si>
  <si>
    <t>Mark Brookbank</t>
  </si>
  <si>
    <t>April 2018</t>
  </si>
  <si>
    <t>http://www.theglobaldispatch.com/kentucky-ice-arrest-ryan-brock-for-producing-child-porn-now-sentenced-to-30-years-27128/</t>
  </si>
  <si>
    <t>Nathan Kelley</t>
  </si>
  <si>
    <t>August 2018</t>
  </si>
  <si>
    <t>https://www.justice.gov/usao-sdwv/pr/wood-county-man-pleads-guilty-child-pornography</t>
  </si>
  <si>
    <t>https://www.courtlistener.com/docket/6479152/united-states-v-kelley/</t>
  </si>
  <si>
    <t>Donald Rowley</t>
  </si>
  <si>
    <t>https://www.justice.gov/usao-sdfl/pr/port-st-lucie-man-sentenced-14-years-prison-possessing-child-pornography</t>
  </si>
  <si>
    <t>https://www.courtlistener.com/?q=&amp;type=r&amp;order_by=score+desc&amp;docket_number=9%3A18-cr-80025&amp;court=flsd</t>
  </si>
  <si>
    <t>Edward Paul Cragg</t>
  </si>
  <si>
    <t>https://www.justice.gov/usao-edca/pr/turlock-man-sentenced-20-years-prison-trafficking-child-pornography</t>
  </si>
  <si>
    <t>Hakeem James Hughes</t>
  </si>
  <si>
    <t>https://www.ice.gov/news/releases/stowe-man-sentenced-18-years-imprisonment-child-exploitation-offenses</t>
  </si>
  <si>
    <t>Dusten Shawn Cottrell</t>
  </si>
  <si>
    <t>https://www.justice.gov/usao-sdwv/pr/wirt-county-man-sentenced-12-years-federal-prison-child-pornography-and-firearm</t>
  </si>
  <si>
    <t>https://www.courtlistener.com/docket/6478988/united-states-v-cottrell/</t>
  </si>
  <si>
    <t>Timothy Marquez</t>
  </si>
  <si>
    <t>https://www.justice.gov/usao-nm/pr/grant-county-man-facing-federal-child-pornography-charges</t>
  </si>
  <si>
    <t>Austin McMahill</t>
  </si>
  <si>
    <t>https://www.justice.gov/usao-wdar/pr/arkansas-man-sentenced-30-years-federal-prison-sexually-exploiting-minors</t>
  </si>
  <si>
    <t>https://www.courtlistener.com/docket/7090009/united-states-v-mcmahill/</t>
  </si>
  <si>
    <t>Calvin Dugan</t>
  </si>
  <si>
    <t>https://www.justice.gov/usao-ne/pr/lincoln-man-sentenced-possession-child-pornography-3</t>
  </si>
  <si>
    <t>https://www.courtlistener.com/docket/6271583/united-states-v-dugan/</t>
  </si>
  <si>
    <t>Yazmani Gomez-Sandoval</t>
  </si>
  <si>
    <t>https://www.justice.gov/usao-id/pr/gooding-man-sentenced-20-years-prison-distribution-child-pornography</t>
  </si>
  <si>
    <t>https://www.courtlistener.com/docket/6894732/united-states-v-gomez-sandoval/</t>
  </si>
  <si>
    <t>Dustin Ray Spears</t>
  </si>
  <si>
    <t>https://www.justice.gov/usao-wdla/pr/tennessee-man-sentenced-more-8-years-receiving-child-pornography-louisiana-minor</t>
  </si>
  <si>
    <t>https://www.bustedmugshots.com/tennessee/chattanooga/dustin-ray-spears/208648812</t>
  </si>
  <si>
    <t>https://www.courtlistener.com/docket/7550179/united-states-v-spears/</t>
  </si>
  <si>
    <t>Keith E Taylor</t>
  </si>
  <si>
    <t>https://www.justice.gov/usao-md/pr/baltimore-county-man-who-enticed-children-send-him-sexually-explicit-videos-themselves-0</t>
  </si>
  <si>
    <t>https://patch.com/maryland/perryhall/kingsville-child-pornographer-admitted-online-crimes</t>
  </si>
  <si>
    <t>James Armes</t>
  </si>
  <si>
    <t>January 2018</t>
  </si>
  <si>
    <t>https://www.justice.gov/usao-wdky/pr/grayson-county-man-pleads-guilty-production-distribution-and-possession-child-porn, https://www.justice.gov/usao-wdky/pr/grayson-co-man-sentenced-50-years-production-distribution-and-possession-child-porn</t>
  </si>
  <si>
    <t>http://www.wave3.com/story/38209827/graphic-kentucky-man-accused-of-making-child-porn-could-face-400-year-sentence/</t>
  </si>
  <si>
    <t>https://www.courtlistener.com/docket/6543399/united-states-v-armes/</t>
  </si>
  <si>
    <t>http://archive.fo/cOwhe</t>
  </si>
  <si>
    <t>http://archive.fo/qFQuB</t>
  </si>
  <si>
    <t>Robert Anthony Smith</t>
  </si>
  <si>
    <t>https://www.justice.gov/usao-mdga/pr/macon-educator-sentenced-90-months-prison-possessing-hundreds-child-pornography-images</t>
  </si>
  <si>
    <t>https://www.courtlistener.com/docket/6943384/united-states-v-smith/</t>
  </si>
  <si>
    <t>Aaron Marxsen</t>
  </si>
  <si>
    <t>https://www.justice.gov/usao-ne/pr/omaha-man-sentenced-six-years-distributing-child-pornography</t>
  </si>
  <si>
    <t>https://www.courtlistener.com/docket/6601319/united-states-v-marxsen/</t>
  </si>
  <si>
    <t>Marcus Ryan Howell</t>
  </si>
  <si>
    <t>https://www.ice.gov/news/releases/southeast-texas-man-sentenced-more-12-years-prison-distributing-possessing-child</t>
  </si>
  <si>
    <t>Decmber 3, 2017</t>
  </si>
  <si>
    <t>https://www.cbp.gov/newsroom/local-media-release/12-illegal-aliens-discovered-checkpoint</t>
  </si>
  <si>
    <t>December 4, 2017</t>
  </si>
  <si>
    <t>https://www.cbp.gov/newsroom/local-media-release/cbp-air-and-marine-agents-stop-attempt-smuggle-15-people-coast-san</t>
  </si>
  <si>
    <t xml:space="preserve">https://www.justice.gov/usao-wdky/pr/fort-knox-soldier-pleads-guilty-production-child-porn-parent-transportation-and </t>
  </si>
  <si>
    <t>https://www.justice.gov/usao-wdky/pr/federal-collaboration-produced-real-time-results-360-month-sentence-production</t>
  </si>
  <si>
    <t>https://www.courtlistener.com/docket/6539036/united-states-v-schmidt/</t>
  </si>
  <si>
    <t>Thomas William Barnes</t>
  </si>
  <si>
    <t>December 5, 2017</t>
  </si>
  <si>
    <t>Former DCF spokesman arrested on CP related charges</t>
  </si>
  <si>
    <t>http://www.bradenton.com/news/local/crime/article188098474.html</t>
  </si>
  <si>
    <t>Robert Kuhn</t>
  </si>
  <si>
    <t>https://www.justice.gov/usao-sdia/pr/west-des-moines-store-owner-charged-attempted-production-child-pornography</t>
  </si>
  <si>
    <t>https://www.kcci.com/article/west-des-moines-shop-owner-indicted-for-attempted-production-of-child-porn/14108174</t>
  </si>
  <si>
    <t>https://www.courtlistener.com/docket/6485345/united-states-v-kuhn/</t>
  </si>
  <si>
    <t>Cameron Fox</t>
  </si>
  <si>
    <t>https://www.justice.gov/usao-edca/pr/rocklin-man-charged-enticing-minor-online-sexual-purposes-and-producing-and-possessing . https://www.justice.gov/usao-edca/pr/rocklin-man-sentenced-20-years-prison-distributing-child-pornography</t>
  </si>
  <si>
    <t>https://www.courtlistener.com/docket/6256264/united-states-v-fox/</t>
  </si>
  <si>
    <t>Jacob Aaron Schaffran</t>
  </si>
  <si>
    <t>https://www.justice.gov/usao-cdca/pr/inland-empire-man-faces-federal-child-exploitation-charges-after-posting-internet-ad</t>
  </si>
  <si>
    <t>https://www.courtlistener.com/docket/7107194/united-states-v-schaffran/</t>
  </si>
  <si>
    <t>David Rodriguez Sr</t>
  </si>
  <si>
    <t>https://www.victoriaadvocate.com/counties/jury-finds-man-guilty-of-human-smuggling/article_83b9d2e0-86e4-11e8-b93d-d707ad84779c.html</t>
  </si>
  <si>
    <t>December 6, 2017</t>
  </si>
  <si>
    <t>https://www.cbp.gov/newsroom/local-media-release/border-patrol-agents-arrest-mesa-couple-smuggling</t>
  </si>
  <si>
    <t>https://www.cbp.gov/newsroom/local-media-release/border-patrol-agent-stops-vehicle-hauling-illegal-aliens</t>
  </si>
  <si>
    <t>Clay Aaron Rasp</t>
  </si>
  <si>
    <t>https://www.justice.gov/usao-mdpa/pr/fulton-county-man-sentenced-over-17-years-imprisonment-distribution-child-pornography</t>
  </si>
  <si>
    <t>Pedro Perez</t>
  </si>
  <si>
    <t>https://www.nwitimes.com/news/local/crime-and-courts/police-lansing-man-charged-with-child-porn-possession-released-on/article_c7faca7b-75ce-5e4d-8081-7b6896e0ce8a.html</t>
  </si>
  <si>
    <t>Ronald Feder</t>
  </si>
  <si>
    <t>December 7, 2017</t>
  </si>
  <si>
    <t>https://www.justice.gov/usao-ndil/pr/north-suburban-man-arrested-child-pornography-charges-while-bond-prior-child , https://www.ice.gov/news/releases/chicago-area-man-sentenced-25-years-child-pornography-charges</t>
  </si>
  <si>
    <t>Richard Silvestri</t>
  </si>
  <si>
    <t>https://www.justice.gov/usao-nh/pr/seabrook-resident-pleads-guilty-producing-child-pornography</t>
  </si>
  <si>
    <t>https://www.justice.gov/usao-nh/pr/seabrook-resident-sent-federal-prison-50-years-producing-child-pornography</t>
  </si>
  <si>
    <t>https://www.courtlistener.com/docket/7129037/united-states-v-silvestri/</t>
  </si>
  <si>
    <t>Charles Borelli</t>
  </si>
  <si>
    <t>December 8, 2017</t>
  </si>
  <si>
    <t>Child Protection Agency Employee Arrest  for CP</t>
  </si>
  <si>
    <t>https://thegoldwater.com/news/14065-Philadelphia-Child-Protection-Agency-Employee-Now-Charged-with-Child-Pornography</t>
  </si>
  <si>
    <t>Jeffrey Bernecky</t>
  </si>
  <si>
    <t>Sex offender on probation arrested for CP related charges</t>
  </si>
  <si>
    <t>https://www.justice.gov/usao-wdny/pr/pittsford-man-pleads-guilty-child-pornography-charges</t>
  </si>
  <si>
    <t>Uriel Gonzalez-Perez</t>
  </si>
  <si>
    <t>https://www.ice.gov/news/releases/douglas-man-sentenced-over-10-years-imprisonment-child-pornography-false-statements</t>
  </si>
  <si>
    <t>Richard Rodriguez Gray</t>
  </si>
  <si>
    <t>Backpage.com Child sex trafficking</t>
  </si>
  <si>
    <t>https://www.justice.gov/usao-sdfl/pr/backpage-pimp-sentenced-fifteen-years-sex-trafficking-minor</t>
  </si>
  <si>
    <t>Duhamel Cassagnol</t>
  </si>
  <si>
    <t>https://www.justice.gov/usao-ma/pr/milton-man-pleads-guilty-sex-trafficking</t>
  </si>
  <si>
    <t>https://www.justice.gov/usao-ma/pr/milton-man-and-connecticut-woman-arrested-sex-trafficking</t>
  </si>
  <si>
    <t>Genelva Whaley</t>
  </si>
  <si>
    <t>https://www.courtlistener.com/docket/6542383/united-states-v-whaley/</t>
  </si>
  <si>
    <t>Luis de Jesus Rodriguez</t>
  </si>
  <si>
    <t>https://www.justice.gov/usao-sdtx/pr/houston-bounty-hunter-and-others-indicted-international-sex-trafficking-conspiracy</t>
  </si>
  <si>
    <t>https://www.chron.com/news/houston-texas/article/Houston-couple-indicted-in-international-sex-12417081.php   https://www.courthousenews.com/texas-bounty-hunter-accused-of-sex-trafficking/</t>
  </si>
  <si>
    <t>https://www.courtlistener.com/?q=&amp;type=r&amp;order_by=score+desc&amp;docket_number=4%3A17-cr-00724&amp;court=txsd</t>
  </si>
  <si>
    <t>http://archive.fo/QipN7</t>
  </si>
  <si>
    <t>http://archive.fo/41ujS</t>
  </si>
  <si>
    <t>Helen Leon Mesa (Rodriguez et al)</t>
  </si>
  <si>
    <t>http://archive.fo/avKYB</t>
  </si>
  <si>
    <t>December 9, 2017</t>
  </si>
  <si>
    <t>https://www.cbp.gov/newsroom/local-media-release/tucson-teenagers-speed-away-agents-people-trunk</t>
  </si>
  <si>
    <t>Ralph Colamussi / Roberto Villanueva</t>
  </si>
  <si>
    <t>December 11, 2017</t>
  </si>
  <si>
    <t>Forced labor</t>
  </si>
  <si>
    <t>https://www.ice.gov/news/releases/former-owner-and-manager-long-island-catering-hall-pleads-guilty-forced-labor-charges</t>
  </si>
  <si>
    <t>https://www.newsday.com/long-island/crime/thatched-cottage-indictment-forced-labor-1.15417374</t>
  </si>
  <si>
    <t>Stephen Sluss</t>
  </si>
  <si>
    <t>https://wchstv.com/news/local/putnam-county-lawyer-arrested-on-federal-child-pornography-charge</t>
  </si>
  <si>
    <t>Richard William Lockley / Joshua L Rogers</t>
  </si>
  <si>
    <t>Production &amp; Distribution of CP</t>
  </si>
  <si>
    <t>https://breaking911.com/florida-man-arrested-relation-missing-teenage-girl/</t>
  </si>
  <si>
    <t>Michael James Hodges</t>
  </si>
  <si>
    <t>December 12, 2017</t>
  </si>
  <si>
    <t>https://www.freep.com/story/news/local/michigan/2017/12/13/man-charged-selling-16-year-old-sex-western-michigan/948432001/</t>
  </si>
  <si>
    <t>Thaddus Caves</t>
  </si>
  <si>
    <t>Project Safe Childhood-CP possession</t>
  </si>
  <si>
    <t>https://www.justice.gov/usao-ndok/pr/oklahoma-man-indicted-receipt-and-possession-child-pornography</t>
  </si>
  <si>
    <t>Ryan Lee Christoph</t>
  </si>
  <si>
    <t>https://www.justice.gov/usao-wdmo/pr/springfield-man-indicted-sexual-exploitation-minor</t>
  </si>
  <si>
    <t>https://www.justice.gov/usao-wdmo/pr/springfield-man-sentenced-20-years-sexual-exploitation-child</t>
  </si>
  <si>
    <t>https://www.courtlistener.com/docket/6258428/united-states-v-christoph/</t>
  </si>
  <si>
    <t>https://www.cbp.gov/newsroom/local-media-release/douglas-resident-arrested-human-smuggling</t>
  </si>
  <si>
    <t>https://www.cbp.gov/newsroom/local-media-release/yuma-bp-agents-arrest-11-involved-alien-smuggling</t>
  </si>
  <si>
    <t>Nicholas Evanoff</t>
  </si>
  <si>
    <t>December 13, 2017</t>
  </si>
  <si>
    <t>Police Officer possession of CP</t>
  </si>
  <si>
    <t>https://www.crescent-news.com/on_the_wire/editors_pick/napoleon-police-officer-indicted-on-child-pornography-charge/article_dc0e7612-6290-59e8-b727-4605e8ad0f64.html</t>
  </si>
  <si>
    <t>William F Haynes</t>
  </si>
  <si>
    <t>https://www.justice.gov/usao-sc/pr/easley-man-pleads-guilty-child-porn-charges</t>
  </si>
  <si>
    <t>Monica Merlin Morales / Tion Makeise Foster</t>
  </si>
  <si>
    <t xml:space="preserve">Project Safe Childhood-Sex trafficking a minor  </t>
  </si>
  <si>
    <t>https://www.justice.gov/usao-edca/pr/mendocino-county-woman-pleads-guilty-sex-trafficking-minor</t>
  </si>
  <si>
    <t>https://www.justice.gov/usao-edca/pr/man-sentenced-over-12-years-sex-trafficking-minor</t>
  </si>
  <si>
    <t>Genard Toney</t>
  </si>
  <si>
    <t>https://www.justice.gov/usao-wdmo/pr/springfield-man-indicted-attempting-produce-child-pornography</t>
  </si>
  <si>
    <t>https://www.justice.gov/usao-wdmo/pr/springfield-man-sentenced-30-years-producing-distributing-child-pornography</t>
  </si>
  <si>
    <t>https://www.courtlistener.com/docket/6420982/united-states-v-toney/</t>
  </si>
  <si>
    <t>John F Rindt</t>
  </si>
  <si>
    <t>https://www.justice.gov/usao-wdwa/pr/former-jblm-soldier-sentenced-15-years-prison-production-child-pornography</t>
  </si>
  <si>
    <t>John G. Stroming</t>
  </si>
  <si>
    <t>https://www.justice.gov/usao-ndny/pr/repeat-columbia-county-sex-offender-found-guilty-sexually-exploiting-child , https://www.justice.gov/usao-ndny/pr/columbia-county-sex-offender-sentenced-35-years-sexually-exploiting-child</t>
  </si>
  <si>
    <t>https://www.courtlistener.com/docket/7402064/united-states-v-stroming/</t>
  </si>
  <si>
    <t>Ruben Guillermo Ulloa</t>
  </si>
  <si>
    <t>December 15, 2017</t>
  </si>
  <si>
    <t>https://www.justice.gov/usao-sdtx/pr/former-teacher-arrested-production-child-pornography</t>
  </si>
  <si>
    <t>https://www.courtlistener.com/docket/6649878/united-states-v-ulloa/</t>
  </si>
  <si>
    <t>Christopher Lawrence</t>
  </si>
  <si>
    <t>Project Safe Childhood - Sex trafficking of a minor across multiple state lines</t>
  </si>
  <si>
    <t>https://www.justice.gov/usao-edca/pr/chico-man-charged-sex-trafficking-minor , https://www.justice.gov/usao-edca/pr/chico-man-sentenced-14-years-prison-sex-trafficking-minor-and-distribution</t>
  </si>
  <si>
    <t>Ronald E Taylor / Kimberly A Sanford</t>
  </si>
  <si>
    <t>https://www.justice.gov/usao-wdmo/pr/two-california-residents-indicted-sex-trafficking-six-victims</t>
  </si>
  <si>
    <t>James Ripberger</t>
  </si>
  <si>
    <t>https://www.justice.gov/usao-ct/pr/glastonbury-man-charged-child-exploitation-offense</t>
  </si>
  <si>
    <t>Randall Hughes</t>
  </si>
  <si>
    <t>https://www.justice.gov/usao-ne/pr/lincoln-man-sentenced-production-child-pornography</t>
  </si>
  <si>
    <t>https://journalstar.com/news/local/911/grand-jury-indicts-lincoln-man-accused-of-child-sex-assault/article_7539e7d0-e66e-5636-965f-19d432d1d177.html</t>
  </si>
  <si>
    <t>https://www.courtlistener.com/?q=&amp;type=r&amp;order_by=score+desc&amp;docket_number=4%3A18-cr-03004&amp;court=ned</t>
  </si>
  <si>
    <t>Shenandoah West Moneypenny / Shawn Dale Sanders</t>
  </si>
  <si>
    <t>December 18, 2017</t>
  </si>
  <si>
    <t>Project Safe Childhood- Trafficking of a minor</t>
  </si>
  <si>
    <t>https://www.justice.gov/usao-ndtx/pr/two-men-remain-federal-custody-federal-complaint-sex-trafficking-middle-school-student</t>
  </si>
  <si>
    <t>Cornell Devore Rhymes</t>
  </si>
  <si>
    <t>Project Safe Childhood-Trafficking of a minor</t>
  </si>
  <si>
    <t>https://www.justice.gov/usao-edva/pr/sex-trafficker-sentenced-15-years-prison</t>
  </si>
  <si>
    <t>https://www.pacermonitor.com/public/case/23516341/USA_v_Rhymes</t>
  </si>
  <si>
    <t>https://www.courtlistener.com/docket/14487556/united-states-v-rhymes/</t>
  </si>
  <si>
    <t>December 19, 2017</t>
  </si>
  <si>
    <t>https://www.cbp.gov/newsroom/local-media-release/border-patrol-agents-stop-human-smuggling-attempt-0</t>
  </si>
  <si>
    <t>Jennifer Coviello</t>
  </si>
  <si>
    <t>https://www.justice.gov/usao-sdny/pr/woman-charged-white-plains-federal-court-sex-trafficking-minor</t>
  </si>
  <si>
    <t>https://www.courtlistener.com/docket/6523686/united-states-v-coviello/</t>
  </si>
  <si>
    <t>Fredrick Brown</t>
  </si>
  <si>
    <t>Project Safe Childhood- Multiple women trafficked by force incl. minors</t>
  </si>
  <si>
    <t>https://www.justice.gov/usao-mdpa/pr/monroe-county-man-charged-sex-and-drug-trafficking  https://www.justice.gov/usao-mdpa/pr/monroe-county-man-convicted-sex-and-drug-trafficking</t>
  </si>
  <si>
    <t>https://www.courtlistener.com/docket/14727717/united-states-v-brown/</t>
  </si>
  <si>
    <t>Paul W Christmann</t>
  </si>
  <si>
    <t>https://www.justice.gov/usao-ndil/pr/lake-hills-man-indicted-child-pornography-charges</t>
  </si>
  <si>
    <t>https://www.courtlistener.com/docket/6255796/united-states-v-christmann/</t>
  </si>
  <si>
    <t>Cody J Cogley</t>
  </si>
  <si>
    <t>https://www.justice.gov/usao-ak/pr/anchorage-man-sentenced-child-pornography-crimes-0</t>
  </si>
  <si>
    <t>https://www.adn.com/alaska-news/crime-courts/2017/12/20/anchorage-man-arrested-on-child-pornography-charges-may-have-local-victims-police-say/</t>
  </si>
  <si>
    <t>https://www.courtlistener.com/docket/6768126/united-states-v-cogley/</t>
  </si>
  <si>
    <t>http://archive.fo/zxeTJ</t>
  </si>
  <si>
    <t>http://archive.fo/hcxze</t>
  </si>
  <si>
    <t>Howard Collier</t>
  </si>
  <si>
    <t>Sex trafficking including of minors</t>
  </si>
  <si>
    <t>https://ktxs.com/news/abilene/warrant-elderly-abilene-man-charged-in-human-trafficking-case-had-5-million-in-gold</t>
  </si>
  <si>
    <t>Tahir Gregory</t>
  </si>
  <si>
    <t>https://www.casino.org/news/atlantic-city-human-trafficker-gets-15-years-for-fentanyl-in-tropicana/</t>
  </si>
  <si>
    <t>https://archive.vn/5WC8w</t>
  </si>
  <si>
    <t>https://archive.vn/6Zh9d</t>
  </si>
  <si>
    <t>John Michael Fowler</t>
  </si>
  <si>
    <t>December 20, 2017</t>
  </si>
  <si>
    <t>https://www.justice.gov/usao-md/pr/randallstown-man-indicted-possession-and-production-child-pornography</t>
  </si>
  <si>
    <t>https://foxbaltimore.com/news/local/randallstown-man-indicted-on-child-porn-charges</t>
  </si>
  <si>
    <t>Ron Hale</t>
  </si>
  <si>
    <t>https://www.commercialappeal.com/story/news/2017/12/20/southaven-alderman-ronnie-hale-charged-child-pornography/966238001/</t>
  </si>
  <si>
    <t>https://www.justice.gov/usao-ndms/pr/former-southaven-alderman-sentenced-transportation-child-pornography</t>
  </si>
  <si>
    <t>https://www.courtlistener.com/?q=&amp;type=r&amp;order_by=score+desc&amp;docket_number=3%3A17-cr-00143&amp;court=msnd</t>
  </si>
  <si>
    <t>Andrew Adams</t>
  </si>
  <si>
    <t>https://www.ktbs.com/news/shreveport-city-court-prosecutor-arrested-fired/article_8c9bb7fc-e671-11e7-b72b-6b59211c150f.html</t>
  </si>
  <si>
    <t>http://archive.fo/yXm1t</t>
  </si>
  <si>
    <t>Scott Wayne</t>
  </si>
  <si>
    <t>http://www.mcall.com/news/police/mc-pol-bethlehem-police-charge-easton-man-child-porn-sharing-20171221-story.html</t>
  </si>
  <si>
    <t>Olga Patricia Reyes / Leslie Chavira</t>
  </si>
  <si>
    <t>Smuggling of minors</t>
  </si>
  <si>
    <t>https://www.justice.gov/usao-sdtx/pr/women-charged-transporting-four-mexican-national-minors</t>
  </si>
  <si>
    <t>https://www.ice.gov/news/releases/2-south-texas-women-charged-transporting-4-mexican-national-minors-us</t>
  </si>
  <si>
    <t>Anthony Vega-Lobato</t>
  </si>
  <si>
    <t>December 21, 2017</t>
  </si>
  <si>
    <t>https://www.justice.gov/usao-ndca/pr/watsonville-man-charged-production-distribution-receipt-and-possession-child</t>
  </si>
  <si>
    <t>https://www.courtlistener.com/docket/6277350/united-states-v-vega/</t>
  </si>
  <si>
    <t>December 24, 2017</t>
  </si>
  <si>
    <t>https://www.cbp.gov/newsroom/local-media-release/willcox-agents-thwart-two-human-smuggling-events-over-holiday-weekend</t>
  </si>
  <si>
    <t>https://www.cbp.gov/newsroom/local-media-release/woman-arrested-immigration-checkpoint-human-smuggling</t>
  </si>
  <si>
    <t>https://www.cbp.gov/newsroom/local-media-release/fleeing-smuggler-fires-shots-border-patrol-agents-christmas-eve</t>
  </si>
  <si>
    <t>Melanie Denae Williams aka Pretty Hoe</t>
  </si>
  <si>
    <t>December 24 2017</t>
  </si>
  <si>
    <t>https://nypost.com/2018/03/13/prostitute-known-as-pretty-hoe-charged-in-sex-trafficking/amp/</t>
  </si>
  <si>
    <t>https://www.justice.gov/usao-cdca/pr/los-angeles-woman-sentenced-15-years-prison-federal-sex-trafficking-offense</t>
  </si>
  <si>
    <t>https://www.courtlistener.com/docket/7249042/united-states-v-williams/</t>
  </si>
  <si>
    <t>Michael Paige Palmer</t>
  </si>
  <si>
    <t>https://www.justice.gov/usao-mdfl/pr/virginia-man-sentenced-more-eight-years-transporting-and-possessing-child-pornography</t>
  </si>
  <si>
    <t>https://www.courtlistener.com/docket/7654365/united-states-v-palmer/</t>
  </si>
  <si>
    <t>Elan Daniel Seagraves</t>
  </si>
  <si>
    <t>December 25, 2017</t>
  </si>
  <si>
    <t>https://www.sacbee.com/news/local/crime/article213931619.html</t>
  </si>
  <si>
    <t>Roberto Ramirez</t>
  </si>
  <si>
    <t>December 27, 2017</t>
  </si>
  <si>
    <t>https://www.justice.gov/usao-az/pr/tucson-man-charged-alien-smuggling-high-speed-flight-assaults-federal-officers-and</t>
  </si>
  <si>
    <t>https://www.ice.gov/news/releases/tucson-man-charged-alien-smuggling-high-speed-flight-assault-federal-officer-and</t>
  </si>
  <si>
    <t>Zachariah Jacob Schultz</t>
  </si>
  <si>
    <t>http://www.ksfy.com/content/news/Man-arrested-on-10-counts-of-child-pornography-466831823.html</t>
  </si>
  <si>
    <t>December 28, 2017</t>
  </si>
  <si>
    <t>Smuggling of minor</t>
  </si>
  <si>
    <t>https://www.cbp.gov/newsroom/local-media-release/laredo-sector-border-patrol-agents-rescue-5-year-old-child-during</t>
  </si>
  <si>
    <t>December 29, 2017</t>
  </si>
  <si>
    <t>https://www.cbp.gov/newsroom/local-media-release/nogales-bp-agents-stop-human-smuggling-attempt</t>
  </si>
  <si>
    <t>Sean Andrew Duncan</t>
  </si>
  <si>
    <t>CP &amp; counterterrorism obstruction related charges</t>
  </si>
  <si>
    <t>https://www.justice.gov/opa/pr/virginia-man-sentenced-obstructing-counterterrorism-investigation</t>
  </si>
  <si>
    <t>https://triblive.com/usworld/world/13133912-74/clues-to-how-sean-andrew-duncan-went-from-classic-teenage-boy-to</t>
  </si>
  <si>
    <t>https://www.courtlistener.com/docket/6304870/united-states-v-duncan/</t>
  </si>
  <si>
    <t>Cole Ryan Marshall</t>
  </si>
  <si>
    <t>https://www.justice.gov/usao-wdmo/pr/kansas-man-sentenced-18-years-producing-child-pornography</t>
  </si>
  <si>
    <t>https://www.courtlistener.com/docket/6304098/united-states-v-marshall/</t>
  </si>
  <si>
    <t>Milton Wrenn</t>
  </si>
  <si>
    <t>https://www.justice.gov/usao-mdga/pr/federal-grand-jury-returns-indictments-charging-23-individuals</t>
  </si>
  <si>
    <t>https://www.wctv.tv/content/news/GBI-arrests-Moultrie-man-on-child-porn-charges-467218713.html</t>
  </si>
  <si>
    <t>https://www.courtlistener.com/docket/14797236/united-states-v-wrenn/</t>
  </si>
  <si>
    <t>Habbib Muhammed</t>
  </si>
  <si>
    <t>December 30, 2017</t>
  </si>
  <si>
    <t>https://www.cbp.gov/newsroom/local-media-release/one-mission-cbp-components-stop-human-smuggling-attempt-near-champlain</t>
  </si>
  <si>
    <t>https://www.courtlistener.com/docket/8007203/united-states-v-muhammed/</t>
  </si>
  <si>
    <t>December 31, 2017</t>
  </si>
  <si>
    <t>https://www.cbp.gov/newsroom/local-media-release/willcox-border-patrol-k9-team-find-2-aliens-trunk</t>
  </si>
  <si>
    <t>Cody D Davis</t>
  </si>
  <si>
    <t>https://www.justice.gov/usao-ndfl/pr/tallahassee-man-indicted-federal-child-pornography-offenses</t>
  </si>
  <si>
    <t>Eduardo Pereira / Marcia Tiago</t>
  </si>
  <si>
    <t>Operation Florida Phoenix Human Smuggling</t>
  </si>
  <si>
    <t>https://www.nbcmiami.com/news/local/North-Miami-Couple-Face-Money-Laundering-Charges-Related-to-Sophisticated-Human-Smuggling-Ring-470978363.html</t>
  </si>
  <si>
    <t>Ricky Turner</t>
  </si>
  <si>
    <t>http://www.swnewsmedia.com/lakeshore_weekly/news/public_safety/man-behind-sex-trafficking-operation-in-minnetonka-ricky-turner-pleads/article_8808a5f1-5a3b-5d44-a9d9-cb7900a56c81.html</t>
  </si>
  <si>
    <t>Nolan Brand</t>
  </si>
  <si>
    <t>https://www.justice.gov/usao-sdin/pr/former-muncie-area-volleyball-coach-federally-charged-sexual-exploitation-case</t>
  </si>
  <si>
    <t>https://fox59.com/2018/01/25/former-muncie-coach-faces-federal-child-exploitation-charge-after-second-victim-is-discovered/</t>
  </si>
  <si>
    <t>January 30, 2018</t>
  </si>
  <si>
    <t>http://ktla.com/2018/01/30/officials-announce-510-arrests-in-statewide-human-trafficking-crackdown/</t>
  </si>
  <si>
    <t>Robert Matthew Jimenez</t>
  </si>
  <si>
    <t>Project Safe Childhood-CP related charges/exploitation</t>
  </si>
  <si>
    <t>https://www.justice.gov/usao-sdtx/pr/houston-man-convicted-multiple-child-pornography-charges</t>
  </si>
  <si>
    <t>Justin Beard</t>
  </si>
  <si>
    <t>http://www.ozarksfirst.com/news/branson-man-pleads-guilty-to-offering-to-hire-minors-for-sex-during-super-bowl-week/1197297707</t>
  </si>
  <si>
    <t>Donte Alexander Barr aka Tavon Williams</t>
  </si>
  <si>
    <t>http://baltimore.cbslocal.com/2018/06/04/alleged-sex-trafficker-baltimore/</t>
  </si>
  <si>
    <t>July 5, 2018</t>
  </si>
  <si>
    <t>http://www.theplainsman.com/article/2018/07/two-more-men-arrested-in-connection-to-auburn-human-trafficking-rape-investigation</t>
  </si>
  <si>
    <t>https://www.local10.com/news/florida/miami-dade/9-men-teen-arrested-this-year-in-child-porn-bust-in-miami-dade-county</t>
  </si>
  <si>
    <t>John William McMahon</t>
  </si>
  <si>
    <t>https://www.justice.gov/usao-nh/pr/hampton-man-pleads-guilty-distribution-child-pornography , https://www.justice.gov/usao-nh/pr/hampton-man-sentenced-84-months-distribution-child-pornography</t>
  </si>
  <si>
    <t>Keith D Cook</t>
  </si>
  <si>
    <t>https://www.justice.gov/usao-sc/pr/greer-man-sentenced-10-years-federal-prison-child-pornography-charge</t>
  </si>
  <si>
    <t>Christopher Lee Myers</t>
  </si>
  <si>
    <t>https://www.justice.gov/usao-ndwv/pr/berkeley-county-man-sentenced-more-8-years-child-pornography-charge</t>
  </si>
  <si>
    <t>http://www.journal-news.net/news/local-news/2018/08/bunker-hill-man-admits-to-child-porn-possession/</t>
  </si>
  <si>
    <t>https://www.courtlistener.com/?q=&amp;type=r&amp;order_by=score+desc&amp;docket_number=3%3A18-cr-00048&amp;court=wvnd</t>
  </si>
  <si>
    <t>Donnie Taylor</t>
  </si>
  <si>
    <t>http://www.timesnews.net/Law-Enforcement/2018/08/22/Paramedic-sentenced-in-federal-child-porn-case.html</t>
  </si>
  <si>
    <t>Bill Lawrence Jr</t>
  </si>
  <si>
    <t>https://www.ice.gov/news/releases/missouri-sex-offender-sentenced-15-years-federal-prison-latest-child-pornography</t>
  </si>
  <si>
    <t>Ian Michael Toothman</t>
  </si>
  <si>
    <t>https://www.justice.gov/usao-ndwv/pr/monongalia-county-man-admits-child-pornography-production  https://www.justice.gov/usao-ndwv/pr/monongalia-county-man-sentenced-child-pornography-production</t>
  </si>
  <si>
    <t>https://www.wvnews.com/news/wvnews/plea-hearing-put-on-hold-in-child-porn-case-involving/article_d65037cb-3189-5b78-9896-017d7b6370e2.htmlhttps://www.wboy.com/news/crime/lewis-county-man-faces-more-than-20-years-in-prison-on-child-pornography-charge/1833854566</t>
  </si>
  <si>
    <t>https://www.courtlistener.com/docket/7682103/united-states-v-toothman/</t>
  </si>
  <si>
    <t>https://web.archive.org/web/20190402152523/https://www.wboy.com/news/crime/lewis-county-man-faces-more-than-20-years-in-prison-on-child-pornography-charge/1833854566</t>
  </si>
  <si>
    <t>http://archive.fo/3qJtk</t>
  </si>
  <si>
    <t>M. Dolberry/ D. Simpson / R. Morris</t>
  </si>
  <si>
    <t>https://www.kesq.com/news/two-arrested-for-alleged-role-in-human-sex-trafficking-ring-that-included-numerous-minors/790638373</t>
  </si>
  <si>
    <t>Thomas James Burke</t>
  </si>
  <si>
    <t>https://www.justice.gov/usao-edva/pr/dinwiddie-county-man-sentenced-prison-child-pornography</t>
  </si>
  <si>
    <t>Project Safe Childhood-CP Production &amp; related charges</t>
  </si>
  <si>
    <t>https://www.justice.gov/usao-sdwv/pr/cabell-county-man-sentenced-18-years-prison-producing-child-pornography</t>
  </si>
  <si>
    <t>https://www.courtlistener.com/docket/6375621/united-states-v-pelfrey/</t>
  </si>
  <si>
    <t>Jeffrey S Seaton</t>
  </si>
  <si>
    <t>https://www.justice.gov/usao-wdmo/pr/nixa-man-sentenced-12-years-child-pornography</t>
  </si>
  <si>
    <t>https://www.courtlistener.com/docket/6421280/united-states-v-seaton/</t>
  </si>
  <si>
    <t>Joseph Martin</t>
  </si>
  <si>
    <t>June 2018</t>
  </si>
  <si>
    <t>https://www.justice.gov/usao-wdla/pr/arnaudville-man-sentenced-90-years-prison-producing-child-pornography</t>
  </si>
  <si>
    <t>https://www.klfy.com/news/local/arnaudville-man-sentenced-for-90-years-in-prison-for-producing-child-pornography/1602299773</t>
  </si>
  <si>
    <t>Sean Timothy O’Neill</t>
  </si>
  <si>
    <t>UT</t>
  </si>
  <si>
    <t>Project Safe Childhood-CP &amp; enticement of a minor</t>
  </si>
  <si>
    <t>https://www.justice.gov/usao-ut/pr/child-predator-used-facebook-moved-michigan-hurricane-and-bought-home-efforts-induce</t>
  </si>
  <si>
    <t>https://www.courtlistener.com/docket/6491168/united-states-v-oneill/</t>
  </si>
  <si>
    <t>David Blasczak</t>
  </si>
  <si>
    <t>https://www.justice.gov/usao-wdny/pr/newark-physician-sentenced-21-years-federal-prison-child-exploitation-offenses  https://www.justice.gov/usao-wdny/pr/newark-physician-arrested-child-pornography-charges</t>
  </si>
  <si>
    <t>http://baddoctordatabase.tumblr.com/post/169887141357/dr-david-blasczak</t>
  </si>
  <si>
    <t>https://www.courtlistener.com/?q=&amp;type=r&amp;order_by=score+desc&amp;docket_number=6%3A18-cr-06107&amp;court=nywd</t>
  </si>
  <si>
    <t>Matthew Jones</t>
  </si>
  <si>
    <t>https://www.justice.gov/usao-sdoh/pr/kettering-man-pleads-guilty-producing-child-pornography</t>
  </si>
  <si>
    <t>https://www.courtlistener.com/docket/6297565/united-states-v-jones/</t>
  </si>
  <si>
    <t>Paul Jumroon</t>
  </si>
  <si>
    <t>https://www.justice.gov/usao-or/pr/oregon-restaurant-owner-sentenced-prison-connection-immigration-related-forced-labor</t>
  </si>
  <si>
    <t>http://www.columbian.com/news/2018/feb/15/ridgefield-restaurateur-pleads-guilty-to-forced-labor-in-federal-court/</t>
  </si>
  <si>
    <t>https://www.courtlistener.com/docket/7424360/united-states-v-jumroon/</t>
  </si>
  <si>
    <t>Ryan Grasha</t>
  </si>
  <si>
    <t>https://www.justice.gov/usao-wdpa/pr/pittsburgh-man-pleads-guilty-child-exploitation-charge</t>
  </si>
  <si>
    <t>Sean David Sigler</t>
  </si>
  <si>
    <t>January 2, 2018</t>
  </si>
  <si>
    <t>http://www.latimes.com/socal/burbank-leader/news/tn-blr-me-sigler-indictment-20180601-story.html</t>
  </si>
  <si>
    <t>https://www.justice.gov/usao-cdca/pr/burbank-elementary-school-teacher-indicted-producing-child-pornography-and-enticement</t>
  </si>
  <si>
    <t>Ben J Hilkemeyer</t>
  </si>
  <si>
    <t>January 3, 2018</t>
  </si>
  <si>
    <t>https://www.justice.gov/usao-wdmo/pr/jefferson-city-man-indicted-child-pornography</t>
  </si>
  <si>
    <t>https://www.courtlistener.com/docket/7457182/united-states-v-hilkemeyer/</t>
  </si>
  <si>
    <t>Michael Esposito</t>
  </si>
  <si>
    <t xml:space="preserve">January 3, </t>
  </si>
  <si>
    <t>Production of CP</t>
  </si>
  <si>
    <t>https://www.fbi.gov/contact-us/field-offices/neworleans/news/press-releases/baton-rouge-man-arrested-by-fbi-and-charged-with-attempted-production-of-child-pornography</t>
  </si>
  <si>
    <t>Jamar Drummer</t>
  </si>
  <si>
    <t>https://www.facebook.com/23ABCBakersfield/posts/1416254488484190</t>
  </si>
  <si>
    <t>https://www.kget.com/news/local-news/man-pleads-no-contest-to-enticing-a-teenage-girl-into-prostitution/1297125818</t>
  </si>
  <si>
    <t>Slade Williams</t>
  </si>
  <si>
    <t>January 4, 2018</t>
  </si>
  <si>
    <t>https://www.justice.gov/usao-ndoh/pr/madison-man-charged-child-pornography-crimes</t>
  </si>
  <si>
    <t>https://www.courtlistener.com/?q=&amp;type=r&amp;order_by=score+desc&amp;docket_number=4%3A18-cr-00004&amp;court=ohnd</t>
  </si>
  <si>
    <t>Eric W. Beard</t>
  </si>
  <si>
    <t>Sexual exploitation of children</t>
  </si>
  <si>
    <t>https://www.justice.gov/usao-ndoh/pr/wooster-man-indicted-sexually-exploiting-children</t>
  </si>
  <si>
    <t>https://www.courtlistener.com/?q=&amp;type=r&amp;order_by=score+desc&amp;docket_number=5%3A18-cr-00005&amp;court=ohnd</t>
  </si>
  <si>
    <t>Rodrigo Rodriguez</t>
  </si>
  <si>
    <t>https://www.justice.gov/usao-wdtx/pr/del-rio-man-sentenced-20-years-federal-prison-production-child-pornography</t>
  </si>
  <si>
    <t>Jason M. VanBuren</t>
  </si>
  <si>
    <t>January 9, 2018</t>
  </si>
  <si>
    <t>https://www.justice.gov/usao-ndny/pr/cobleskill-man-arrested-receipt-and-possession-child-pornography , https://www.justice.gov/usao-ndny/pr/cobleskill-man-sentenced-15-years-child-pornography-offenses</t>
  </si>
  <si>
    <t>https://www.courtlistener.com/docket/6260248/united-states-v-vanburen/</t>
  </si>
  <si>
    <t>https://www.cbp.gov/newsroom/local-media-release/willcox-k9-team-find-2-people-hiding-trunk-immigration-checkpoint</t>
  </si>
  <si>
    <t>Jason Solomon</t>
  </si>
  <si>
    <t>January 9,2018</t>
  </si>
  <si>
    <t>Project Safe Childhood-CP Distribution</t>
  </si>
  <si>
    <t>https://www.justice.gov/usao-edca/pr/stockton-man-charged-distributing-child-pornography, https://www.justice.gov/usao-edca/pr/stockton-man-sentenced-9-years-prison-distributing-child-pornography</t>
  </si>
  <si>
    <t>https://www.justice.gov/usao-edca/pr/stockton-man-pleads-guilty-distributing-child-pornography</t>
  </si>
  <si>
    <t>https://www.courtlistener.com/docket/6278560/united-states-v-solomon/</t>
  </si>
  <si>
    <t>Phillip R. Durachinsky</t>
  </si>
  <si>
    <t>January 10, 2018</t>
  </si>
  <si>
    <t>CP production /computer fraud &amp; abuse &amp; related charges</t>
  </si>
  <si>
    <t>https://www.justice.gov/usao-ndoh/pr/north-royalton-man-charged-16-count-indictment-creating-and-installing-malware</t>
  </si>
  <si>
    <t>https://www.courtlistener.com/?q=&amp;type=r&amp;order_by=score+desc&amp;docket_number=1%3A18-cr-00022&amp;court=ohnd</t>
  </si>
  <si>
    <t>Scott W. Sulik</t>
  </si>
  <si>
    <t>https://www.justice.gov/usao-edky/pr/versailles-man-convicted-possessing-sexually-explicit-images-children</t>
  </si>
  <si>
    <t>https://archive.fo/mHJ6D</t>
  </si>
  <si>
    <t>https://archive.fo/pqhJP</t>
  </si>
  <si>
    <t>Reginald Desean Love</t>
  </si>
  <si>
    <t>Project Safe Childhood-CP pruduction &amp; related charges</t>
  </si>
  <si>
    <t>https://www.justice.gov/usao-sdtx/pr/previous-sex-offender-sent-prison-again-after-recording-minor-during-oral-sex</t>
  </si>
  <si>
    <t>Christopher Raciti</t>
  </si>
  <si>
    <t>https://www.nwitimes.com/news/local/crime-and-courts/former-st-john-resident-charged-with-child-pornography-possession/article_28aabedb-9a2b-5bca-93c2-238fde3985d8.html</t>
  </si>
  <si>
    <t>Kayla Simpson</t>
  </si>
  <si>
    <t>http://www.wibw.com/content/news/Junction-City-woman-indicted-for-producing-child-porn-468643963.html</t>
  </si>
  <si>
    <t>https://www.justice.gov/usao-ks/pr/indictment-junction-city-woman-produced-child-pornography</t>
  </si>
  <si>
    <t>Karl Rogers</t>
  </si>
  <si>
    <t>January 11, 2018</t>
  </si>
  <si>
    <t>https://www.fbi.gov/contact-us/field-offices/cleveland/news/press-releases/willard-man-indicted-for-child-pornography-crimes      https://www.justice.gov/usao-ndoh/pr/jury-convicts-willard-man-receiving-child-pornography, https://www.justice.gov/usao-ndoh/pr/men-lima-and-willard-sentenced-prison-child-pornography-crimes</t>
  </si>
  <si>
    <t>https://www.courtlistener.com/docket/6504835/united-states-v-rogers/</t>
  </si>
  <si>
    <t>Luis Fernando Moreno</t>
  </si>
  <si>
    <t>https://www.justice.gov/usao-nm/pr/texas-man-pleads-guilty-federal-production-child-pornography-charges-new-mexico</t>
  </si>
  <si>
    <t>https://www.courtlistener.com/docket/6737893/united-states-v-moreno/</t>
  </si>
  <si>
    <t>Terry Kris Brentlinger</t>
  </si>
  <si>
    <t>https://www.richmond.com/news/local/crime/child-porn-suspect-who-fired-shot-during-police-search-of/article_d21613e8-7ceb-53b8-8e15-993cf72e7081.html</t>
  </si>
  <si>
    <t>Devontray Quintera Bass (Robinson et al)</t>
  </si>
  <si>
    <t>July 25, 2018</t>
  </si>
  <si>
    <t>CP production, sex trafficking of minors</t>
  </si>
  <si>
    <t>http://www.kwtx.com/content/news/Local-man-held-without-bond-in-sex-trafficking-child-porn-case-490286121.html</t>
  </si>
  <si>
    <t>Riheem Rexdual Robinson</t>
  </si>
  <si>
    <t>https://www.justice.gov/usao-wdtx/pr/temple-man-sentenced-federal-prison-sex-trafficking-two-minors</t>
  </si>
  <si>
    <t xml:space="preserve">http://www.kwtx.com/content/news/Local-man-held-without-bond-in-sex-trafficking-child-porn-case-490286121.html </t>
  </si>
  <si>
    <t>January</t>
  </si>
  <si>
    <t>https://archive.vn/wip/vogKF</t>
  </si>
  <si>
    <t>Timothy Burnette</t>
  </si>
  <si>
    <t>https://www.justice.gov/usao-mdga/pr/oconee-county-high-school-janitor-sentenced-51-months-prison-recording-video-minors</t>
  </si>
  <si>
    <t>http://www.wuga.org/post/oconee-county-custodian-arrested-accused-recording-girls-locker-room#stream/0</t>
  </si>
  <si>
    <t>https://www.courtlistener.com/docket/7322740/united-states-v-burnette/</t>
  </si>
  <si>
    <t>Victor Cortez Shelton</t>
  </si>
  <si>
    <t>January 12, 2018</t>
  </si>
  <si>
    <t>http://knsiradio.com/news/local-news/police-man-pimped-woman-jail</t>
  </si>
  <si>
    <t>Jeremy Batey</t>
  </si>
  <si>
    <t>January 14, 2018</t>
  </si>
  <si>
    <t>https://www.justice.gov/usao-ndok/pr/federal-grand-jury-criminal-indictments-announced-42</t>
  </si>
  <si>
    <t>https://www.tulsaworld.com/news/crimewatch/tahlequah-man-arrested-on-allegations-of-using-snapchat-to-solicit/article_68b2993d-52aa-5f04-9089-088a1a4574c1.html</t>
  </si>
  <si>
    <t>https://www.cbp.gov/newsroom/local-media-release/douglas-agents-arrest-4-human-smuggling-attempt</t>
  </si>
  <si>
    <t>January 16, 2018</t>
  </si>
  <si>
    <t>https://www.cbp.gov/newsroom/local-media-release/nogales-border-patrol-k9-team-find-2-aliens-trunk</t>
  </si>
  <si>
    <t>Kenneth Slater</t>
  </si>
  <si>
    <t>https://www.justice.gov/usao-cdil/pr/paxton-man-sentenced-10-years-prison-receipt-possession-child-pornography</t>
  </si>
  <si>
    <t>https://www.courtlistener.com/docket/7457947/united-states-v-slater/</t>
  </si>
  <si>
    <t>Scott Joseph Payne</t>
  </si>
  <si>
    <t>January 17,2018</t>
  </si>
  <si>
    <t>Project Safe Childhood- CP and exploitation of minors</t>
  </si>
  <si>
    <t>https://www.justice.gov/usao-wdpa/pr/mckeesport-man-facing-multiple-charges-relating-sexual-exploitation-minors , https://www.justice.gov/usao-wdpa/pr/mckeesport-sex-offender-admits-coercing-minor-engage-illegal-sexual-activity-and , https://www.justice.gov/usao-wdpa/pr/convicted-child-sex-offender-sentenced-18-years-federal-prison-child-sexual</t>
  </si>
  <si>
    <t>https://www.shorenewsnetwork.com/2020/12/17/mckeesport-man-on-probation-used-kik-app-to-pose-as-girl-to-lure-teenage-boys-for-sex-gets-18-years/</t>
  </si>
  <si>
    <t>https://www.courtlistener.com/docket/7121610/united-states-v-payne/</t>
  </si>
  <si>
    <t>https://archive.vn/1yqV0</t>
  </si>
  <si>
    <t>https://archive.vn/3DKXo</t>
  </si>
  <si>
    <t>James A Guthrie III</t>
  </si>
  <si>
    <t>January 17, 2018</t>
  </si>
  <si>
    <t>https://www.justice.gov/usao-wdmo/pr/eldon-man-indicted-child-sexual-exploitation</t>
  </si>
  <si>
    <t>https://www.justice.gov/usao-wdmo/pr/eldon-man-pleads-guilty-child-sexual-exploitation</t>
  </si>
  <si>
    <t>Christopher R Buse</t>
  </si>
  <si>
    <t>https://www.justice.gov/usao-sdil/pr/former-ofallon-illinois-resident-indicted-receipt-child-pornography</t>
  </si>
  <si>
    <t>https://www.justice.gov/usao-sdil/pr/former-ofallon-resident-pleads-guilty-receiving-child-pornography</t>
  </si>
  <si>
    <t>https://www.courtlistener.com/docket/8091644/united-states-v-buse/</t>
  </si>
  <si>
    <t>David Foster</t>
  </si>
  <si>
    <t>January 25, 2018</t>
  </si>
  <si>
    <t>https://www.justice.gov/usao-sd/pr/pierre-man-charged-receipt-distribution-and-possession-child-pornography</t>
  </si>
  <si>
    <t>Keith Perry</t>
  </si>
  <si>
    <t>https://www.mlive.com/news/ann-arbor/index.ssf/2018/03/sneaky_pimp_arrested_at_ann_ar.html</t>
  </si>
  <si>
    <t>Pierce Morrow</t>
  </si>
  <si>
    <t>January 18, 2018</t>
  </si>
  <si>
    <t>https://www.fbi.gov/contact-us/field-offices/portland/news/press-releases/fbi-arrests-bend-man-on-child-pornography-charge , https://www.justice.gov/usao-or/pr/bend-man-pleads-guilty-distribution-child-pornography</t>
  </si>
  <si>
    <t>Michael Llorca</t>
  </si>
  <si>
    <t>https://www.justice.gov/usao-ri/pr/registered-sex-offender-pleads-guilty-possessing-child-pornography-0</t>
  </si>
  <si>
    <t>Andrew M. Soloman</t>
  </si>
  <si>
    <t>Police chief arrest on CP related charges</t>
  </si>
  <si>
    <t>https://www.justice.gov/usao-ndoh/pr/police-chief-village-mahoning-county-indicted-child-pornography-charges</t>
  </si>
  <si>
    <t>https://www.courtlistener.com/docket/6529985/united-states-v-soloman/</t>
  </si>
  <si>
    <t>https://www.cbp.gov/newsroom/local-media-release/k9-team-finds-2-illegal-aliens-vehicle-trunk</t>
  </si>
  <si>
    <t>Joshua Brackett</t>
  </si>
  <si>
    <t>January 19, 2018</t>
  </si>
  <si>
    <t>Project Safe Childhood- CP possession &amp; distribution charges</t>
  </si>
  <si>
    <t>https://www.justice.gov/usao-ndny/pr/gansevoort-man-arrested-distribution-and-possession-child-pornography</t>
  </si>
  <si>
    <t>https://www.courtlistener.com/docket/7246327/united-states-v-brackett/</t>
  </si>
  <si>
    <t>Erik Deemer</t>
  </si>
  <si>
    <t>January 20, 2018</t>
  </si>
  <si>
    <t>CP charges while in child adoption process</t>
  </si>
  <si>
    <t>http://www.ibtimes.com/florida-man-arrested-child-porn-while-trying-adopt-child-2643419</t>
  </si>
  <si>
    <t>Maria Navarrete-De Grubich</t>
  </si>
  <si>
    <t>http://www.themonitor.com/news/local/article_2380b326-5e3f-11e8-bf1d-5318dcd95e90.html</t>
  </si>
  <si>
    <t>David P Vier</t>
  </si>
  <si>
    <t>WY</t>
  </si>
  <si>
    <t>Sex trafficking of a minor &amp; related charges</t>
  </si>
  <si>
    <t>https://www.justice.gov/usao-wy/pr/washington-man-sentenced-15-years-prison-interstate-transportation-minors-intent-engage</t>
  </si>
  <si>
    <t>https://www.courtlistener.com/docket/7363071/united-states-v-vier/</t>
  </si>
  <si>
    <t>Hiran Sanchez</t>
  </si>
  <si>
    <t>January 22, 2018</t>
  </si>
  <si>
    <t>https://www.justice.gov/usao-ct/pr/hartford-man-admits-sex-trafficking-two-minors https://www.justice.gov/usao-ct/pr/hartford-man-charged-sex-trafficking-2-minors</t>
  </si>
  <si>
    <t>Daniel Chetelat</t>
  </si>
  <si>
    <t>January 23, 2018</t>
  </si>
  <si>
    <t>Possession &amp; Distribution of CP</t>
  </si>
  <si>
    <t>http://www.baltimoresun.com/news/maryland/harford/aegis/ph-ag-child-porn-arrest-0124-story.html</t>
  </si>
  <si>
    <t>Thomas Broussard</t>
  </si>
  <si>
    <t>https://www.justice.gov/usao-edla/pr/houma-man-pleads-guilty-receiving-child-pornography</t>
  </si>
  <si>
    <t>Stephen Forsley / Liu Yang</t>
  </si>
  <si>
    <t>January 24, 2018</t>
  </si>
  <si>
    <t>Human trafficking at 2 massage parlors</t>
  </si>
  <si>
    <t>https://www.bostonglobe.com/metro/2018/01/24/springfield-pair-charged-with-human-trafficking-massage-parlors/ycyMG7c3V5vLBdBZecLQQM/story.html</t>
  </si>
  <si>
    <t>https://www.cbp.gov/newsroom/local-media-release/agents-arrest-2-daca-recipients-involvement-human-smuggling</t>
  </si>
  <si>
    <t>Eric P. Laube</t>
  </si>
  <si>
    <t>CP Possession &amp; Distribution</t>
  </si>
  <si>
    <t>https://www.justice.gov/usao-wdny/pr/canandaigua-man-arrested-child-pornography-charges</t>
  </si>
  <si>
    <t>Amanda Ruth Schweitzer</t>
  </si>
  <si>
    <t>Project Safe Childhood-Joplin teacher arrested on CP production/exploitation</t>
  </si>
  <si>
    <t>https://www.justice.gov/usao-wdmo/pr/former-joplin-teacher-indicted-sexual-exploitation-minor , https://www.justice.gov/usao-wdmo/pr/former-joplin-teacher-pleads-guilty-enticing-minor-sex-faces-least-10-years-prison</t>
  </si>
  <si>
    <t>https://www.courtlistener.com/docket/6285723/united-states-v-schweitzer/</t>
  </si>
  <si>
    <t>Henry Babin</t>
  </si>
  <si>
    <r>
      <rPr/>
      <t xml:space="preserve">https://www.justice.gov/usao-mdla/pr/gonzales-man-pleads-guilty-federal-court-possession-chid-pornography , </t>
    </r>
    <r>
      <rPr>
        <color rgb="FF1155CC"/>
        <u/>
      </rPr>
      <t>https://www.justice.gov/usao-mdla/pr/child-pornographer-sentenced-60-months-federal-prison</t>
    </r>
  </si>
  <si>
    <t>https://www.courtlistener.com/docket/14926042/united-states-v-babin/</t>
  </si>
  <si>
    <t>Seth Elred Perricone</t>
  </si>
  <si>
    <t>January 26, 2018</t>
  </si>
  <si>
    <t>https://www.fbi.gov/contact-us/field-offices/sanantonio/news/press-releases/canyon-lake-man-arrested-on-federal-child-pornography-distribution-charge</t>
  </si>
  <si>
    <t>https://www.cbp.gov/newsroom/local-media-release/laredo-sector-border-patrol-agents-rescue-76-illegal-aliens-tractor</t>
  </si>
  <si>
    <t>February 3, 2018</t>
  </si>
  <si>
    <t>Sex Trafficking arrests including solitation of minors</t>
  </si>
  <si>
    <t>https://www.kare11.com/article/news/sex-sting-leads-to-arrests-trafficking-rescues/89-515620928</t>
  </si>
  <si>
    <t>David Scott Romesburg II / Fay Romesburg</t>
  </si>
  <si>
    <t>https://m.sfgate.com/news/bayarea/article/Santa-Rosa-Mother-Son-Plead-Not-Guilty-To-13101885.php</t>
  </si>
  <si>
    <t>Lex Bennett Goodwin</t>
  </si>
  <si>
    <t>https://www.ice.gov/news/releases/federal-jury-convicts-pocatello-man-producing-child-pornography , https://www.ice.gov/news/releases/pocatello-man-sentenced-100-years-prison-producing-child-pornography</t>
  </si>
  <si>
    <t>Mark Bartz</t>
  </si>
  <si>
    <t>January 29, 2018</t>
  </si>
  <si>
    <t>https://www.justice.gov/usao-wdwi/pr/grand-jury-returns-indictments-72</t>
  </si>
  <si>
    <t>https://www.weau.com/content/news/Clark-County-man-charged-with-creating-and-trading-child-pornography-471677504.html</t>
  </si>
  <si>
    <t>https://www.courtlistener.com/docket/6731019/united-states-v-bartz-mark/</t>
  </si>
  <si>
    <t>https://www.cbp.gov/newsroom/local-media-release/border-patrol-agents-arrest-daca-recipient-human-smuggling</t>
  </si>
  <si>
    <t>Robert Dean Mason</t>
  </si>
  <si>
    <t>https://www.justice.gov/usao-co/pr/boulder-man-sentenced-federal-prison-possession-child-pornography</t>
  </si>
  <si>
    <t>https://www.courtlistener.com/?q=&amp;type=r&amp;order_by=score+desc&amp;docket_number=1%3A18-cr-00055&amp;court=cod</t>
  </si>
  <si>
    <t>https://www.cbp.gov/newsroom/local-media-release/rio-rico-man-arrested-smuggling-illegal-aliens-trunk</t>
  </si>
  <si>
    <t>https://www.cbp.gov/newsroom/local-media-release/nogales-border-patrol-k9-team-finds-2-aliens-trunk</t>
  </si>
  <si>
    <t>https://www.cbp.gov/newsroom/local-media-release/local-woman-caught-smuggling-son-tow</t>
  </si>
  <si>
    <t>Craig H Lipinski</t>
  </si>
  <si>
    <t>https://www.justice.gov/usao-mdfl/pr/jacksonville-man-sentenced-more-eight-years-receiving-child-pornography-over-internet</t>
  </si>
  <si>
    <t>https://www.justice.gov/usao-mdfl/pr/jacksonville-sex-offender-ordered-pay-12000-restitution-victims-child-sexual</t>
  </si>
  <si>
    <t>https://www.courtlistener.com/docket/6624040/united-states-v-lipinski/</t>
  </si>
  <si>
    <t>Tommy Ray Garcia</t>
  </si>
  <si>
    <t>https://www.ice.gov/news/releases/south-texas-man-sentenced-30-years-producing-child-pornography, https://www.justice.gov/usao-wdtx/pr/san-antonio-man-sentenced-30-years-federal-prison-production-child-pornography</t>
  </si>
  <si>
    <t>https://www.ksat.com/news/sa-man-sentenced-to-30-years-for-producing-child-porn-sharing-videos-on-social-media</t>
  </si>
  <si>
    <t>https://www.courtlistener.com/docket/6780204/united-states-v-garcia/</t>
  </si>
  <si>
    <t>http://archive.fo/WGH9j</t>
  </si>
  <si>
    <t>http://archive.fo/jb3wA</t>
  </si>
  <si>
    <t>January 31, 2018</t>
  </si>
  <si>
    <t>https://www.cbp.gov/newsroom/local-media-release/laredo-sector-border-patrol-agents-arrest-daca-recipient</t>
  </si>
  <si>
    <t>William T. Hopmeier</t>
  </si>
  <si>
    <t>http://www.kmov.com/story/37442713/des-peres-man-facing-child-porn-charges-pleads-not-guilty , https://www.justice.gov/usao-edmo/pr/des-peres-man-sentenced-15-years-prison-production-child-pornography</t>
  </si>
  <si>
    <t>https://www.courtlistener.com/?q=&amp;type=r&amp;order_by=score+desc&amp;docket_number=4%3A18-cr-00082&amp;court=moed</t>
  </si>
  <si>
    <t>Andrew Winters / Zanae Jones</t>
  </si>
  <si>
    <t>June 13, 2018</t>
  </si>
  <si>
    <t>Sex trafficking including of a minor</t>
  </si>
  <si>
    <t>http://richmondstandard.com/crime/2018/06/27/pimp-and-his-business-manager-busted-for-human-trafficking-on-23rd-street/</t>
  </si>
  <si>
    <t>Ryan Antrim</t>
  </si>
  <si>
    <t>https://www.justice.gov/usao-edpa/pr/allentown-man-sentenced-20-years-prison-distribution-receipt-and-possession-child</t>
  </si>
  <si>
    <t>John Dale Lohr</t>
  </si>
  <si>
    <t>February 1, 2018</t>
  </si>
  <si>
    <t>CP distribution and related charges</t>
  </si>
  <si>
    <t>http://www.times-news.com/news/local_news/frostburg-man-arrested-on-child-pornography-distribution-charges/article_5f2862bd-c6b4-59c7-8768-26df0592e181.html</t>
  </si>
  <si>
    <t>https://www.cbp.gov/newsroom/local-media-release/dhs-arrests-fugitive-human-smuggler</t>
  </si>
  <si>
    <t>Justin Shayne Robinson / Markus Jakeem Plummer</t>
  </si>
  <si>
    <t>Sex trafficking a minor by force</t>
  </si>
  <si>
    <t>https://www.justice.gov/usao-edva/pr/man-pleads-guilty-sex-trafficking-minor-force</t>
  </si>
  <si>
    <t>Donald Loyd Birdsong</t>
  </si>
  <si>
    <t>CP related charges &amp; enticement of a minor</t>
  </si>
  <si>
    <t>https://www.courtlistener.com/docket/6353243/united-states-v-birdsong/</t>
  </si>
  <si>
    <t>Lawrence Quignon</t>
  </si>
  <si>
    <t>https://www.justice.gov/usao-ne/pr/february-grand-jury-1</t>
  </si>
  <si>
    <t>https://www.omaha.com/news/crime/omaha-man-gets--year-prison-sentence-in-child-porn/article_5444bc5b-789e-50f4-a17a-3fe9aec7a7a4.html</t>
  </si>
  <si>
    <t>https://www.courtlistener.com/docket/8163780/united-states-v-quignon/</t>
  </si>
  <si>
    <t>Christopher M. Arguelles</t>
  </si>
  <si>
    <t>https://www.justice.gov/usao-ndfl/pr/pensacola-registered-sex-offender-sentenced-125-years-prison-possession-child</t>
  </si>
  <si>
    <t>https://www.pnj.com/story/news/2019/02/13/pensacola-man-sentenced-after-cellphone-provider-finds-child-porn/2864195002/</t>
  </si>
  <si>
    <t>https://www.courtlistener.com/docket/6517171/united-states-v-arguelles/</t>
  </si>
  <si>
    <t>https://archive.fo/dA59v</t>
  </si>
  <si>
    <t>https://archive.fo/CbLya</t>
  </si>
  <si>
    <t>Nichols / Kerr / Shorter</t>
  </si>
  <si>
    <t>February 27, 2018</t>
  </si>
  <si>
    <t>http://www.wacotrib.com/news/police/rd-suspect-arrested-in-human-trafficking-investigation/article_b6205bad-7736-5bce-87b0-7aca359a4314.html</t>
  </si>
  <si>
    <t>Sex trafficking ring bust</t>
  </si>
  <si>
    <t>http://www.kptv.com/story/37626279/sheriff-18-men-arrested-in-human-trafficking-mission-in-washington-county</t>
  </si>
  <si>
    <t>Jamiell Sims / Arthur Taylor / Jordan Capone</t>
  </si>
  <si>
    <t>http://www.poconorecord.com/news/20180619/sims-guilty-of-sex-trafficking-drug-crimes</t>
  </si>
  <si>
    <t>Anthony Rhoden</t>
  </si>
  <si>
    <t>https://www.justice.gov/usao-wdar/pr/fayetteville-sex-offender-sentenced-12-years-federal-prison-child-pornography</t>
  </si>
  <si>
    <t>https://www.courtlistener.com/docket/14774783/united-states-v-rhoden/</t>
  </si>
  <si>
    <t>Craig Williams</t>
  </si>
  <si>
    <t>https://www.justice.gov/usao-sdwv/pr/wood-county-man-sentenced-possessing-child-pornography</t>
  </si>
  <si>
    <t>https://www.courtlistener.com/docket/7282901/united-states-v-williams/</t>
  </si>
  <si>
    <t>Matthew Joseph Lucio</t>
  </si>
  <si>
    <t>https://www.justice.gov/usao-sdtx/pr/corpus-christi-man-gets-life-prison-multiple-sexual-exploitation-crimes</t>
  </si>
  <si>
    <t>https://www.courtlistener.com/docket/7164934/united-states-v-lucio/</t>
  </si>
  <si>
    <t>http://www.abc12.com/content/news/491546521.html</t>
  </si>
  <si>
    <t>Richard Celestino</t>
  </si>
  <si>
    <t>https://www.justice.gov/usao-cdca/pr/federal-prosecutors-bring-child-pornography-and-other-exploitation-cases-part-ongoing</t>
  </si>
  <si>
    <t>https://www.courtlistener.com/?q=&amp;type=r&amp;order_by=score+desc&amp;docket_number=2%3A18-cr-00199&amp;court=cacd</t>
  </si>
  <si>
    <t>Robert Daniel Mullins</t>
  </si>
  <si>
    <t>https://www.justice.gov/usao-sdwv/pr/kanawha-county-man-sentenced-30-years-federal-prison-producing-child-pornography</t>
  </si>
  <si>
    <t>https://www.courtlistener.com/docket/7464246/united-states-v-mullins/</t>
  </si>
  <si>
    <t>Jose Osvaldo Melendez-Rojas / Rosalio Melendez-Rojas</t>
  </si>
  <si>
    <t>http://www.nydailynews.com/new-york/ny-metro-feds-extradite-mexican-sex-trafficking-brothers-20181019-story.html</t>
  </si>
  <si>
    <t>https://www.ice.gov/news/releases/2-brothers-extradited-us-mexico-face-sex-trafficking-charges</t>
  </si>
  <si>
    <t>Jose A Hendricks</t>
  </si>
  <si>
    <t>https://www.justice.gov/usao-wdnc/pr/online-distributor-child-pornography-sentenced-165-years</t>
  </si>
  <si>
    <t>Jack Carl Rice</t>
  </si>
  <si>
    <t>https://www.justice.gov/usao-ndwv/pr/randolph-county-man-sentenced-child-porn-charge</t>
  </si>
  <si>
    <t>Christopher Arguelles</t>
  </si>
  <si>
    <t>https://www.justice.gov/usao-ndfl/pr/pensacola-registered-sex-offender-guilty-new-child-pornography-charges</t>
  </si>
  <si>
    <t>Robert Dean Caesar</t>
  </si>
  <si>
    <t>http://www.thecranberryeagle.com/article/20180512/CRAN0101/705129726/-1/CRAN</t>
  </si>
  <si>
    <t>https://www.justice.gov/usao-edpa/pr/chester-county-man-indicted-production-receipt-and-possession-child-pornography</t>
  </si>
  <si>
    <t>Germaine Moore</t>
  </si>
  <si>
    <t>https://www.justice.gov/usao-mdal/pr/millbrook-man-sentenced-50-years-prison-production-child-pornography</t>
  </si>
  <si>
    <t>https://www.montgomeryadvertiser.com/story/news/crime/2018/03/27/hes-monster-federal-charges-filed-viral-child-porn-case/462078002/</t>
  </si>
  <si>
    <t>https://www.courtlistener.com/docket/6615881/united-states-v-moore/</t>
  </si>
  <si>
    <t>Kyle D Ritsema</t>
  </si>
  <si>
    <t>https://www.justice.gov/usao-mdfl/pr/former-pasco-county-assistant-principal-pleads-guilty-producing-distributing-and</t>
  </si>
  <si>
    <t>https://www.wfla.com/news/pasco-county/pasco-school-district-stunned-by-federal-child-porn-charges-against-assistant-principal/1030553399</t>
  </si>
  <si>
    <t>https://www.courtlistener.com/?q=&amp;type=r&amp;order_by=score+desc&amp;docket_number=8%3A18-cr-00068&amp;court=flmd</t>
  </si>
  <si>
    <t>Jonathan Paul Holden</t>
  </si>
  <si>
    <t>https://www.justice.gov/usao-edwa/pr/spokane-man-sentenced-20-years-federal-prison-child-exploitation-offenses-across</t>
  </si>
  <si>
    <t>https://www.courtlistener.com/docket/7234573/united-states-v-holden/</t>
  </si>
  <si>
    <t>Janel Saphire Trahan</t>
  </si>
  <si>
    <t>https://www.justice.gov/usao-edtx/pr/jasper-county-woman-sentenced-production-child-pornography</t>
  </si>
  <si>
    <t>https://www.courtlistener.com/docket/7655870/united-states-v-trahan/</t>
  </si>
  <si>
    <t>Michael Portanova</t>
  </si>
  <si>
    <t>https://www.justice.gov/usao-mdpa/pr/luzerne-county-man-sentenced-15-years-imprisonment-receiving-child-pornography</t>
  </si>
  <si>
    <t>Michael  J Collier</t>
  </si>
  <si>
    <t>December 2018</t>
  </si>
  <si>
    <t>https://www.justice.gov/usao-ak/pr/anchorage-man-sentenced-federal-prison-distribution-child-pornography</t>
  </si>
  <si>
    <t>https://www.ktva.com/story/39649260/anchorage-man-indicted-on-child-porn-charges</t>
  </si>
  <si>
    <t>https://www.courtlistener.com/docket/8397103/united-states-v-collier/</t>
  </si>
  <si>
    <t>http://archive.fo/esTK1</t>
  </si>
  <si>
    <t>http://archive.fo/dKJhM</t>
  </si>
  <si>
    <t>Yun Escamilla</t>
  </si>
  <si>
    <t>February 2 2018</t>
  </si>
  <si>
    <t>International Sex Trafficking</t>
  </si>
  <si>
    <t>https://www.sacbee.com/news/local/crime/article197946819.html</t>
  </si>
  <si>
    <t>Irvin Munoz-Diaz /Candido Emanuel Noriega-Quezada</t>
  </si>
  <si>
    <t>February 2, 2018</t>
  </si>
  <si>
    <t>https://www.justice.gov/usao-vt/pr/two-men-charged-alien-smuggling</t>
  </si>
  <si>
    <t>Father W. Thomas Faucher</t>
  </si>
  <si>
    <t>Allegations for over 40 yrs w/no arrest.CP,LSD at priests homes</t>
  </si>
  <si>
    <t>https://thegoldwater.com/news/18449-New-Allegations-For-Former-Priest-Found-With-Child-Porn-LSD-And-Ecstasy</t>
  </si>
  <si>
    <t>https://www.foxnews.com/us/retired-priest-who-fought-against-child-sex-abuse-arrested-for-child-pornography-report</t>
  </si>
  <si>
    <t>http://archive.fo/WAkgS</t>
  </si>
  <si>
    <t>http://archive.fo/9oZty</t>
  </si>
  <si>
    <t>https://www.cbp.gov/newsroom/local-media-release/tucson-man-arrested-smuggling-6-aliens</t>
  </si>
  <si>
    <t>February 4, 2018</t>
  </si>
  <si>
    <t>https://www.cbp.gov/newsroom/local-media-release/agents-thwart-another-human-smuggling-attempt</t>
  </si>
  <si>
    <t>February 13 2017</t>
  </si>
  <si>
    <t>Human trafficking ring bust</t>
  </si>
  <si>
    <t>http://www.ksbw.com/article/8-girls-rescued-from-salinas-human-trafficking-ring/18203879</t>
  </si>
  <si>
    <t>Joseph A Heath Jr</t>
  </si>
  <si>
    <t>https://www.justice.gov/usao-wdny/pr/man-who-used-free-wi-fi-rochester-laundromat-download-child-porn-going-prison</t>
  </si>
  <si>
    <t>William H. Noble / Charles W Bush/ Jacob Good</t>
  </si>
  <si>
    <t>February 5, 2018</t>
  </si>
  <si>
    <t>https://www.justice.gov/usao-nj/pr/three-inmates-fort-dix-federal-prison-arrested-distributing-and-possessing-images-child</t>
  </si>
  <si>
    <t>https://www.justice.gov/usao-nj/pr/federal-inmate-fort-dix-sentenced-additional-10-years-possessing-images-and-videos-child</t>
  </si>
  <si>
    <t>Shane Ragsdale</t>
  </si>
  <si>
    <t>http://www.hutchpost.com/hutchinson-man-arrested-on-federal-indictment/</t>
  </si>
  <si>
    <t>https://www.justice.gov/usao-ks/pr/kansas-man-charged-distributing-child-porn</t>
  </si>
  <si>
    <t>https://www.courtlistener.com/docket/6457326/united-states-v-ragsdale/</t>
  </si>
  <si>
    <t>February 6, 2018</t>
  </si>
  <si>
    <t>UK</t>
  </si>
  <si>
    <t>Human Trafficking arrests N. London/E.Sussex</t>
  </si>
  <si>
    <t>https://news.sky.com/story/dawn-raids-on-suspected-people-trafficking-gang-sees-arrests-in-cleveland-london-and-east-sussex-11238635</t>
  </si>
  <si>
    <t>Matthew Lee Lane</t>
  </si>
  <si>
    <t>https://www.justice.gov/usao-edwa/pr/youth-baseball-umpire-sentenced-over-17-years-federal-prison-distribution-and-receipt</t>
  </si>
  <si>
    <t>Timothy Joe Rogers</t>
  </si>
  <si>
    <t>https://www.justice.gov/usao-ks/pr/kansas-man-charged-sex-trafficking</t>
  </si>
  <si>
    <t>https://www.courtlistener.com/docket/6526895/united-states-v-rogers/</t>
  </si>
  <si>
    <t>Alfredo Maysonet-Galarza</t>
  </si>
  <si>
    <t>February 7, 2018</t>
  </si>
  <si>
    <t>https://www.justice.gov/usao-pr/pr/cbp-officer-indicted-and-arrested-child-pornography ,https://www.justice.gov/usao-pr/pr/former-federal-law-enforcement-officer-sentenced-108-months-distribution-and-possession</t>
  </si>
  <si>
    <t>https://www.courtlistener.com/docket/14826559/united-states-v-maysonet-galarza/</t>
  </si>
  <si>
    <t>Quinn Haworth</t>
  </si>
  <si>
    <t>https://www.wishtv.com/news/local-news/white-co-man-arrested-for-child-exploitation/1064030336</t>
  </si>
  <si>
    <t>Frank Steven Wietecha, Jr</t>
  </si>
  <si>
    <t>https://www.justice.gov/usao-co/pr/weld-county-man-sentenced-over-10-years-federal-prison-possession-child-pornography</t>
  </si>
  <si>
    <t>https://www.courtlistener.com/docket/6323411/united-states-v-wietecha-jr/</t>
  </si>
  <si>
    <t>Robert MacGregor</t>
  </si>
  <si>
    <t>https://www.justice.gov/usao-ri/pr/registered-sex-offender-sentenced-10-years-prison-possessing-child-pornography https://www.justice.gov/usao-ri/pr/registered-sex-offender-lifetime-federal-supervised-release-admits-possessing-child</t>
  </si>
  <si>
    <t>https://www.courtlistener.com/docket/6543566/united-states-v-macgregor/</t>
  </si>
  <si>
    <t>Christopher Hamlett</t>
  </si>
  <si>
    <t>February 8, 2018</t>
  </si>
  <si>
    <t>https://www.justice.gov/usao-ct/pr/hartford-man-arrested-sex-trafficking-minor , https://www.justice.gov/usao-ct/pr/hartford-man-sentenced-15-years-federal-prison-sex-trafficking-minors-child-pornography</t>
  </si>
  <si>
    <t>https://www.justice.gov/usao-ct/pr/hartford-man-guilty-sex-trafficking-minors-child-pornography-offenses</t>
  </si>
  <si>
    <t>https://www.courtlistener.com/docket/6307950/united-states-v-hamlett/</t>
  </si>
  <si>
    <t>Brandon David Cuddihe</t>
  </si>
  <si>
    <t>https://www.justice.gov/usao-wdmo/pr/new-york-man-posed-teen-girl-online-tricked-children-sending-him-nude-photos , https://www.fbi.gov/contact-us/field-offices/kansascity/news/press-releases/new-york-man-sentenced-to-30-years-for-attempting-to-produce-child-pornography</t>
  </si>
  <si>
    <t>https://bustednewspaper.com/mo-greene-brandon-david-cuddihe-2018-02-08-090100/</t>
  </si>
  <si>
    <t>Jeffrey S Baunach</t>
  </si>
  <si>
    <t>February 9, 2018</t>
  </si>
  <si>
    <t>https://www.justice.gov/usao-wdky/pr/louisville-man-pleads-guilty-attempted-enticement-distribution-and-possession-child</t>
  </si>
  <si>
    <t>https://www.bereaonline.com/2018/02/beshear-jefferson-county-man-arrested-for-allegedly-seeking-sex-with-minor/</t>
  </si>
  <si>
    <t>https://www.courtlistener.com/docket/6898993/united-states-v-baunach/</t>
  </si>
  <si>
    <t>Jay B Rosman</t>
  </si>
  <si>
    <t>https://ux.news-press.com/story/news/crime/2018/02/13/lee-circuit-judge-jay-rosman-resigns-following-alleged-prostitution-accusation/335069002/</t>
  </si>
  <si>
    <t>http://archive.fo/oysb4</t>
  </si>
  <si>
    <t>http://archive.fo/GeeDe</t>
  </si>
  <si>
    <t>Howard Cornibe</t>
  </si>
  <si>
    <t>https://ux.news-press.com/story/news/2018/02/12/lee-county-judge-one-6-men-arrested-naples-prostitution-sting/329835002/</t>
  </si>
  <si>
    <t>http://archive.fo/DFWgL</t>
  </si>
  <si>
    <t>Patrick Boll</t>
  </si>
  <si>
    <t>Peter Bradshaw</t>
  </si>
  <si>
    <t>William Darmoh</t>
  </si>
  <si>
    <t>Richard Cecil</t>
  </si>
  <si>
    <t>Cameron Carlucci</t>
  </si>
  <si>
    <t>https://www.justice.gov/usao-edpa/pr/former-pediatric-medical-assistant-pleads-guilty-child-sexual-exploitation , https://www.fbi.gov/contact-us/field-offices/philadelphia/news/press-releases/former-pediatric-medical-assistant-sentenced-to-12-years-in-child-sexual-exploitation-case</t>
  </si>
  <si>
    <t>https://www.newsweek.com/pennsylvania-philadelphia-cameron-carlucci-child-pornography-guilty-prison-1337046</t>
  </si>
  <si>
    <t>http://archive.fo/bqQkw</t>
  </si>
  <si>
    <t>February 16 2018</t>
  </si>
  <si>
    <t>ICE Arrests of Illegal immigrants w/known felonies</t>
  </si>
  <si>
    <t>https://www.statesman.com/news/breaking-news/breaking-more-than-140-arrested-during-texas-immigration-enforcement-operation-mid-february/OVArcBv8UKr3rZne60ZqOI/</t>
  </si>
  <si>
    <t>Lavelleous Purcell / Gloria Palmer</t>
  </si>
  <si>
    <t>February 12, 2018</t>
  </si>
  <si>
    <t>https://www.justice.gov/usao-sdny/pr/sex-trafficker-lavelleous-purcell-aka-king-casino-aka-mike-hill-sentenced-18-years https://www.justice.gov/usao-sdny/pr/two-defendants-charged-manhattan-federal-court-sex-trafficking-and-other-offenses</t>
  </si>
  <si>
    <t>https://www.courtlistener.com/?q=&amp;type=r&amp;order_by=score+desc&amp;docket_number=1%3A18-cr-00081&amp;court=nysd</t>
  </si>
  <si>
    <t>Daniel Teed</t>
  </si>
  <si>
    <t>Known child sex trafficker arrested after fleeing</t>
  </si>
  <si>
    <t>https://www.usmarshals.gov/news/chron/2018/021418.htm</t>
  </si>
  <si>
    <t>Mark Hoeltzel</t>
  </si>
  <si>
    <t>https://www.justice.gov/usao-edmi/pr/former-university-michigan-doctor-sentenced-child-exploitation-charges</t>
  </si>
  <si>
    <t>https://www.detroitnews.com/story/news/local/detroit-city/2018/02/12/ex-university-michigan-doctor-charged-child-porn-case/110343392/</t>
  </si>
  <si>
    <t>https://www.courtlistener.com/docket/7568895/united-states-v-hoeltzel/</t>
  </si>
  <si>
    <t>Lancelot Paul Litchman</t>
  </si>
  <si>
    <t>February 13, 2018</t>
  </si>
  <si>
    <t>https://www.justice.gov/usao-sdny/pr/bronx-man-charged-possessing-and-distributing-child-pornography</t>
  </si>
  <si>
    <t>https://www.justice.gov/usao-sdny/pr/bronx-man-sentenced-10-years-prison-possessing-child-pornography</t>
  </si>
  <si>
    <t>Andrew David Phillips</t>
  </si>
  <si>
    <t>https://www.justice.gov/usao-ednc/pr/franklinton-man-sentenced-distribution-child-pornography</t>
  </si>
  <si>
    <t>https://www.courtlistener.com/docket/6923905/united-states-v-phillips/</t>
  </si>
  <si>
    <t>https://www.cbp.gov/newsroom/local-media-release/woman-caught-smuggling-agents-provide-aid-injured</t>
  </si>
  <si>
    <t>Ricardo Barrios-Calderon / Alfredo Santiago-Rosario</t>
  </si>
  <si>
    <t>February 14, 2018</t>
  </si>
  <si>
    <t>CP Related Offenses</t>
  </si>
  <si>
    <t>https://www.justice.gov/usao-pr/pr/two-arrested-child-pornography-charges , https://www.justice.gov/usao-pr/pr/individual-sentenced-25-years-prison-production-child-pornography</t>
  </si>
  <si>
    <t>https://www.courtlistener.com/docket/7071553/united-states-v-santiago-rosario/</t>
  </si>
  <si>
    <t xml:space="preserve"> Alfredo Santiago-Rosario</t>
  </si>
  <si>
    <t>https://www.justice.gov/usao-pr/pr/two-arrested-child-pornography-charges</t>
  </si>
  <si>
    <t>Clinton &amp; Clifford Pappadakis</t>
  </si>
  <si>
    <t>February 22, 2018</t>
  </si>
  <si>
    <t>Twin brothers/coaches arrested for CP &amp; molestation charges</t>
  </si>
  <si>
    <t>http://abc7news.com/twin-brothers-arrested-for-child-porn-a-week-apart-in-san-jose/3127064/</t>
  </si>
  <si>
    <t>Mark A Richards</t>
  </si>
  <si>
    <t>Project Safe Childhood-CP Advertising/Distributing</t>
  </si>
  <si>
    <t>https://www.justice.gov/usao-edca/pr/sacramento-man-indicted-advertising-and-distributing-child-pornography</t>
  </si>
  <si>
    <t>https://www.courtlistener.com/docket/6910038/united-states-v-richards/</t>
  </si>
  <si>
    <t>William Brinson Ball</t>
  </si>
  <si>
    <t>https://www.justice.gov/usao-mdfl/pr/former-middle-school-teacher-sentenced-more-21-years-after-traveling-dubai-florida-have</t>
  </si>
  <si>
    <t>https://www.courtlistener.com/docket/6757112/united-states-v-ball/</t>
  </si>
  <si>
    <t>February 17, 2018</t>
  </si>
  <si>
    <t>Backpage .com - Human trafficking bust including minors</t>
  </si>
  <si>
    <t>http://www.crossville-chronicle.com/news/local_news/arrested-in-putnam-county-human-trafficking-operation/article_ac479cf6-5a16-11e8-9733-77313b97e4f3.html</t>
  </si>
  <si>
    <t>https://www.usnews.com/news/best-states/new-mexico/articles/2018-02-16/new-mexico-authorities-6-charged-in-sex-trafficking-ring</t>
  </si>
  <si>
    <t>Robert Allen Beck</t>
  </si>
  <si>
    <t>February 16, 2018</t>
  </si>
  <si>
    <t>Substitute teacher arrested on CP charges</t>
  </si>
  <si>
    <t>http://www.wfmd.com/2018/02/16/former-fcps-substitute-teacher-arrested-on-child-pornography-charges/</t>
  </si>
  <si>
    <t>Adam Daniel Young</t>
  </si>
  <si>
    <t>Project Safe Childhood- CP possession</t>
  </si>
  <si>
    <t>https://www.justice.gov/usao-mdfl/pr/bradenton-man-sentenced-more-10-years-federal-prison-downloading-child-pornography</t>
  </si>
  <si>
    <t>http://www.bradenton.com/news/local/crime/article201186504.html</t>
  </si>
  <si>
    <t>https://www.courtlistener.com/docket/6664618/united-states-v-young/</t>
  </si>
  <si>
    <t>Brent Cotman</t>
  </si>
  <si>
    <t>https://www.justice.gov/usao-wdpa/pr/beaver-county-man-charged-distributing-and-possessing-child-pornography , https://www.justice.gov/usao-wdpa/pr/judge-sentences-rochester-pa-man-5-years-prison-texting-images-depicting-sexual</t>
  </si>
  <si>
    <t>http://www.timesonline.com/news/20180328/rochester-man-faces-trial-in-child-porn-texting-case</t>
  </si>
  <si>
    <t>https://www.courtlistener.com/docket/7516302/united-states-v-cotman/</t>
  </si>
  <si>
    <t>Lee Roy Alejandrez</t>
  </si>
  <si>
    <t xml:space="preserve">Human smuggling </t>
  </si>
  <si>
    <t>http://www.brownsvilleherald.com/news/valley/two-year-sentence-for-rgc-man-in-human-smuggling-case/article_423c2b97-a622-5a8e-baf2-8929f2aab027.html</t>
  </si>
  <si>
    <t>Keron Woods-Henderson</t>
  </si>
  <si>
    <t>Child trafficking arrest</t>
  </si>
  <si>
    <t>http://www.kvue.com/article/news/crime/suspect-arrested-after-sex-trafficking-a-girl-in-austin-police-say/269-521498947</t>
  </si>
  <si>
    <t>Richard Ortiz / Gabriella Colon / Rabbi Aryeh Goodman</t>
  </si>
  <si>
    <t>February 24, 2018</t>
  </si>
  <si>
    <t>Sex trafficking a child on backpage.com  Rabbi one of customers</t>
  </si>
  <si>
    <t>https://www.justice.gov/usao-nj/pr/three-people-charged-sex-trafficking-child</t>
  </si>
  <si>
    <t>http://www.fox32chicago.com/news/national/couple-pleads-guilty-to-sex-trafficking-child</t>
  </si>
  <si>
    <t>Monte Chaix</t>
  </si>
  <si>
    <t>February 20, 2018</t>
  </si>
  <si>
    <t>https://www.justice.gov/usao-nv/pr/dayton-man-sentenced-six-years-prison-receipt-child-pornography</t>
  </si>
  <si>
    <t>Roy David Melancon</t>
  </si>
  <si>
    <t>https://www.justice.gov/usao-edla/pr/independence-man-pleads-guilty-receipt-child-pornography</t>
  </si>
  <si>
    <t>Dustin L Bishop</t>
  </si>
  <si>
    <t>https://www.justice.gov/usao-ednc/pr/raleigh-man-sentenced-10-years-imprisonment-child-pornography-charges</t>
  </si>
  <si>
    <t>Aviel Li Goodman</t>
  </si>
  <si>
    <t>February 21, 2018</t>
  </si>
  <si>
    <t>Project Safe Childhood-Psychiatrist in possession of CP</t>
  </si>
  <si>
    <t>http://www.psychsearch.net/aviel-li-goodman/</t>
  </si>
  <si>
    <t>https://www.justice.gov/usao-mn/pr/saint-paul-psychiatrist-arrested-and-charged-receipt-child-pornography</t>
  </si>
  <si>
    <t>David Medina</t>
  </si>
  <si>
    <t>Project Safe Childhood-CP possession/distribution</t>
  </si>
  <si>
    <t>https://www.justice.gov/usao-sdtx/pr/corpus-christi-man-arrested-child-pornography-charges</t>
  </si>
  <si>
    <t>https://www.justice.gov/usao-sdtx/pr/local-man-admits-distributing-child-pornography-charges</t>
  </si>
  <si>
    <t>https://www.courtlistener.com/docket/6607016/united-states-v-medina/</t>
  </si>
  <si>
    <t>James L Wainright</t>
  </si>
  <si>
    <t>https://www.justice.gov/usao-wdmo/pr/joplin-man-indicted-attempting-produce-child-pornography</t>
  </si>
  <si>
    <t>https://www.courtlistener.com/docket/7387954/united-states-v-wainright/</t>
  </si>
  <si>
    <t>Christopher Paul Chmela</t>
  </si>
  <si>
    <t>https://www.justice.gov/usao-wdmo/pr/republic-sex-offender-indicted-sexual-exploitation-minor</t>
  </si>
  <si>
    <t>https://www.courtlistener.com/docket/7208613/united-states-v-chmela/</t>
  </si>
  <si>
    <t>Larry Guidry</t>
  </si>
  <si>
    <t>https://www.justice.gov/usao-wdla/pr/scott-man-sentenced-67-months-prison-uploading-child-pornography-dropbox-account</t>
  </si>
  <si>
    <t>https://www.courtlistener.com/docket/6921670/united-states-v-guidry/</t>
  </si>
  <si>
    <t>Nicholas Garcia</t>
  </si>
  <si>
    <t>https://www.justice.gov/usao-edla/pr/houma-man-sentenced-105-months-possession-child-pornography https://www.justice.gov/usao-edla/pr/houma-man-pleads-guilty-possessing-child-pornography</t>
  </si>
  <si>
    <t>https://www.courtlistener.com/docket/6750398/united-states-v-garcia/</t>
  </si>
  <si>
    <t>Gabriel Valencia</t>
  </si>
  <si>
    <t>https://www.justice.gov/usao-wdmo/pr/excelsior-springs-man-sentenced-child-pornography</t>
  </si>
  <si>
    <t>https://www.courtlistener.com/docket/7800001/united-states-v-valencia/</t>
  </si>
  <si>
    <t>Alan Campbell aka Alan Nolan</t>
  </si>
  <si>
    <t>https://www.justice.gov/usao-sd/pr/rapid-city-man-sentenced-internet-crime-0</t>
  </si>
  <si>
    <t>Parker Pendergraph</t>
  </si>
  <si>
    <t>https://www.justice.gov/usao-sdtx/pr/assistant-school-band-director-arrested-child-pornography-charges</t>
  </si>
  <si>
    <t>https://www.kiiitv.com/article/news/local/ccisd-band-teacher-arrested-for-child-pornography/503-522313917</t>
  </si>
  <si>
    <t>https://www.courtlistener.com/docket/6926680/united-states-v-pendergraph/</t>
  </si>
  <si>
    <t>Harry E Rivers (Williams et al)</t>
  </si>
  <si>
    <t>Sex trafficking &amp; sex trafficking of a minor</t>
  </si>
  <si>
    <t>https://www.justice.gov/usao-md/pr/two-delaware-men-indicted-sex-trafficking-child-force-fraud-and-coercion  https://www.justice.gov/usao-md/pr/two-delaware-men-plead-guilty-sex-trafficking-15-year-old-girl , https://www.justice.gov/usao-md/pr/delaware-man-sentenced-12-years-federal-prison-conspiring-commit-sex-trafficking-15-year</t>
  </si>
  <si>
    <t>https://baltimore.cbslocal.com/2018/02/22/sex-trafficking-of-a-child-charges/</t>
  </si>
  <si>
    <t>http://archive.fo/ceOZr</t>
  </si>
  <si>
    <t xml:space="preserve">Steven M Williams </t>
  </si>
  <si>
    <t>https://www.justice.gov/usao-md/pr/two-delaware-men-indicted-sex-trafficking-child-force-fraud-and-coercion  https://www.justice.gov/usao-md/pr/two-delaware-men-plead-guilty-sex-trafficking-15-year-old-girl</t>
  </si>
  <si>
    <t>Rosalio Perez</t>
  </si>
  <si>
    <t>March 12, 2018</t>
  </si>
  <si>
    <t>https://www.justice.gov/usao-ne/pr/omaha-man-sentenced-10-years-possessing-child-pornography https://www.justice.gov/usao-ne/pr/february-grand-jury-1</t>
  </si>
  <si>
    <t>https://www.courtlistener.com/docket/6331515/united-states-v-perez/</t>
  </si>
  <si>
    <t>Brian High</t>
  </si>
  <si>
    <t>https://www.justice.gov/usao-edpa/pr/bucks-county-man-charged-receipt-and-possession-child-porn</t>
  </si>
  <si>
    <t>https://www.courtlistener.com/docket/6994088/united-states-v-high/</t>
  </si>
  <si>
    <t xml:space="preserve">Joshua Carey </t>
  </si>
  <si>
    <t>https://www.justice.gov/usao-ndny/pr/delaware-county-man-and-schoharie-county-woman-arrested-child-sexual-exploitation , https://www.justice.gov/usao-ndny/pr/delaware-county-man-and-schoharie-county-woman-senten , https://www.fbi.gov/contact-us/field-offices/albany/news/press-releases/delaware-county-man-and-schoharie-county-woman-sentenced-for-sexual-exploitation-of-a-childced-sexual-exploitation-child</t>
  </si>
  <si>
    <t>https://www.courtlistener.com/?q=&amp;type=r&amp;order_by=score+desc&amp;docket_number=3%3A18-mj-00099&amp;court=nynd</t>
  </si>
  <si>
    <t>Ariel Machia</t>
  </si>
  <si>
    <t>Sarah Peters</t>
  </si>
  <si>
    <t>https://konniemoments.com/2018/07/13/houston-woman-gets-40-years-in-prison-for-trafficking-her-toddler-sarah-marie-peters-was-busted-trying-to-sell-her-2-year-old-daughter-for-sex/</t>
  </si>
  <si>
    <t>Christopher Raymond Lopez</t>
  </si>
  <si>
    <t>https://www.justice.gov/usao-nm/pr/previously-convicted-sex-offender-albuquerque-pleads-guilty-federal-child-pornography-0</t>
  </si>
  <si>
    <t>https://www.courtlistener.com/docket/14644115/united-states-v-lopez/</t>
  </si>
  <si>
    <t>David C. Hogue</t>
  </si>
  <si>
    <t>February 23, 2018</t>
  </si>
  <si>
    <t>Repeat CP related charges</t>
  </si>
  <si>
    <t>http://www.bnd.com/news/local/article201758574.html</t>
  </si>
  <si>
    <t>https://www.cbp.gov/newsroom/local-media-release/laredo-sector-border-patrol-agents-rescue-22-illegal-aliens-box-truck</t>
  </si>
  <si>
    <t>https://www.cbp.gov/newsroom/local-media-release/laredo-sector-border-patrol-agents-rescue-17-illegal-aliens-box-truck</t>
  </si>
  <si>
    <t>https://www.cbp.gov/newsroom/local-media-release/operation-stonegarden-results-arrest-human-smugglers-and-aliens</t>
  </si>
  <si>
    <t>https://www.cbp.gov/newsroom/local-media-release/willcox-border-patrol-k9-finds-two-illegal-aliens-trunk</t>
  </si>
  <si>
    <t>Rev Robert DeLand</t>
  </si>
  <si>
    <t>February 26, 2018</t>
  </si>
  <si>
    <t>Arrest led to raid of Catholic Diocese properties in MI</t>
  </si>
  <si>
    <t>http://www.abc12.com/content/news/Saginaw-Catholic-priest-Robert-DeLand-arraigned-on-multiple-sex-charges-475183223.html</t>
  </si>
  <si>
    <t>https://www.cbp.gov/newsroom/local-media-release/yuma-sector-foils-multiple-human-smuggling-attempts</t>
  </si>
  <si>
    <t>Joseph Lavern Harris</t>
  </si>
  <si>
    <t>https://www.ice.gov/news/releases/rigby-man-pleads-guilty-sexual-exploitation-minor-child  https://www.justice.gov/usao-id/pr/rigby-man-pleads-guilty-sexual-exploitation-minor-child</t>
  </si>
  <si>
    <t>Christopher &amp; Sarah Almaguer</t>
  </si>
  <si>
    <t>https://www.justice.gov/usao-wdtx/pr/killeen-husband-and-wife-plead-guilty-federal-child-exploitation-charges</t>
  </si>
  <si>
    <t>http://kdhnews.com/news/crime/anonymous-tip-led-to-arrest-of-killeen-child-sex-abusers/article_b3c31aa2-de17-11e8-ba45-ab3c39b24577.html</t>
  </si>
  <si>
    <t>Michelle M Syler</t>
  </si>
  <si>
    <t>https://www.justice.gov/usao-ndny/pr/albany-woman-charged-distributing-and-receiving-child-pornography, https://www.justice.gov/usao-ndny/pr/albany-woman-sentenced-120-months-child-pornography-conviction</t>
  </si>
  <si>
    <t>https://www.courtlistener.com/docket/8389916/united-states-v-syler/</t>
  </si>
  <si>
    <t>Johnell Carter / Christian Dixon / Jazmin Manuel</t>
  </si>
  <si>
    <t>https://www.justice.gov/usao-ks/pr/wichita-man-and-woman-charged-string-armed-robberies</t>
  </si>
  <si>
    <t>https://www.justice.gov/usao-ks/pr/sentence-prison-wichita-man-convicted-sex-trafficking</t>
  </si>
  <si>
    <t>https://www.courtlistener.com/?q=&amp;type=r&amp;order_by=score+desc&amp;docket_number=6%3A18-cr-10027&amp;court=ksd</t>
  </si>
  <si>
    <t>Wesley Kenneth McVay</t>
  </si>
  <si>
    <t>https://www.orlandosentinel.com/news/breaking-news/os-wesley-mcvay-sex-offender-20180301-story.html</t>
  </si>
  <si>
    <t>https://www.justice.gov/usao-mdfl/pr/orange-county-man-sentenced-seventeen-years-receipt-child-pornography</t>
  </si>
  <si>
    <t>https://www.courtlistener.com/docket/6655425/united-states-v-mcvay/</t>
  </si>
  <si>
    <t>Shawn Bradley</t>
  </si>
  <si>
    <t>https://www.justice.gov/usao-sdoh/pr/miami-county-man-charged-producing-child-pornography</t>
  </si>
  <si>
    <t>https://www.justice.gov/usao-sdoh/pr/miami-county-man-sentenced-25-years-prison-recording-sexual-abuse-two-minors</t>
  </si>
  <si>
    <t>https://www.courtlistener.com/docket/6484647/united-states-v-bradley/</t>
  </si>
  <si>
    <t>Derek Indivero</t>
  </si>
  <si>
    <t>Enticement of a minor &amp; CP charges</t>
  </si>
  <si>
    <t>https://www.justice.gov/usao-ndny/pr/syracuse-man-arrested-child-sex-enticement-charges</t>
  </si>
  <si>
    <t>https://www.courtlistener.com/?q=&amp;type=r&amp;order_by=score+desc&amp;docket_number=5%3A18-mj-00111&amp;court=nynd</t>
  </si>
  <si>
    <t>February</t>
  </si>
  <si>
    <t>Rick Crawford</t>
  </si>
  <si>
    <t>http://www.news-journalonline.com/sports/20180830/in-child-sex-case-former-nascar-driver-rick-crawford-found-guilty</t>
  </si>
  <si>
    <t>Tyler Ulm</t>
  </si>
  <si>
    <t>https://www.justice.gov/usao-sdoh/pr/local-man-pleads-guilty-sexually-abusing-toddlers-while-registered-sex-offender , https://www.justice.gov/usao-sdoh/pr/local-man-sentenced-60-years-prison-sexually-abusing-toddlers-while-registered-sex</t>
  </si>
  <si>
    <t>https://www.daytondailynews.com/news/crime--law/dayton-man-sentenced-years-prison-for-child-sex-abuse/GysypOvP83ByEIfkve5y1M/</t>
  </si>
  <si>
    <t>https://www.courtlistener.com/docket/6353865/united-states-v-ulm/</t>
  </si>
  <si>
    <t>https://archive.vn/6lska</t>
  </si>
  <si>
    <t>https://archive.vn/INrWc</t>
  </si>
  <si>
    <t>Luis Angel Vicente Martir Gudiel</t>
  </si>
  <si>
    <t>Project Safe Childhood-Kidnapping,CP production &amp; related charges</t>
  </si>
  <si>
    <t>https://www.justice.gov/usao-nv/pr/arizona-man-sentenced-over-11-years-prison-kidnapping-girl-and-transporting-and</t>
  </si>
  <si>
    <t>Robert T Donelon</t>
  </si>
  <si>
    <t>March 2018</t>
  </si>
  <si>
    <t>https://www.justice.gov/usao-mdpa/pr/york-county-man-charged-child-exploitation-offenses , https://www.justice.gov/usao-mdpa/pr/york-county-man-sentenced-96-months-prison-child-exploitation-offenses</t>
  </si>
  <si>
    <t>https://www.courtlistener.com/docket/15047568/united-states-v-donelon/</t>
  </si>
  <si>
    <t>Joshua A O'Brian</t>
  </si>
  <si>
    <t>https://www.justice.gov/usao-ndoh/pr/men-chardon-and-cleveland-charged-child-pornography-crimes</t>
  </si>
  <si>
    <t>https://www.courtlistener.com/docket/8226408/united-states-v-obrian/</t>
  </si>
  <si>
    <t>David M Richards</t>
  </si>
  <si>
    <t>https://www.courtlistener.com/?q=&amp;type=r&amp;order_by=score+desc&amp;docket_number=1%3A18-cr-00131&amp;court=ohnd</t>
  </si>
  <si>
    <t>Amos Kiprop Koech / Dakota James Lafave</t>
  </si>
  <si>
    <t>https://www.justice.gov/usao-mn/pr/activities-us-attorney-s-office-during-lapse-appropriations</t>
  </si>
  <si>
    <t>https://www.fox21online.com/2019/01/23/two-duluth-men-convicted-of-trafficking-teenage-girl-for-sex/</t>
  </si>
  <si>
    <t>https://www.courtlistener.com/docket/7743134/united-states-v-goodman/</t>
  </si>
  <si>
    <t>https://archive.fo/0GA63</t>
  </si>
  <si>
    <t>https://archive.fo/EbfJM</t>
  </si>
  <si>
    <t>James L Holland</t>
  </si>
  <si>
    <t>https://www.justice.gov/usao-wdky/pr/monroe-county-man-sentenced-possession-child-porn</t>
  </si>
  <si>
    <t>https://www.courtlistener.com/docket/6594452/united-states-v-holland/</t>
  </si>
  <si>
    <t>Joseph Harvey (Miller et al)</t>
  </si>
  <si>
    <t>https://www.justice.gov/usao-wdny/pr/forestville-man-pleads-guilty-child-pornography-charges  https://www.justice.gov/usao-wdny/pr/two-forestville-men-indicted-multiple-child-pornography-and-witness-tampering-charges</t>
  </si>
  <si>
    <t>Gilbert Davila Jr</t>
  </si>
  <si>
    <t>https://www.justice.gov/usao-nv/pr/prior-hands-sex-offender-convicted-possession-child-pornography , https://www.justice.gov/usao-nv/pr/las-vegas-sex-offender-sentenced-20-years-prison-possession-child-pornography</t>
  </si>
  <si>
    <t>https://www.courtlistener.com/docket/6386499/united-states-v-davila/</t>
  </si>
  <si>
    <t>David Shalam</t>
  </si>
  <si>
    <t>https://www.justice.gov/usao-sdny/pr/brooklyn-man-pleads-guilty-producing-child-pornography</t>
  </si>
  <si>
    <t>Operation Southern Impact II-CP related charges</t>
  </si>
  <si>
    <t>https://www.fox5atlanta.com/news/child-porn-busts-nets-34-arrests-in-georgia</t>
  </si>
  <si>
    <t>http://wuga.org/term/operation-southern-impact-ii</t>
  </si>
  <si>
    <t>James Brady</t>
  </si>
  <si>
    <t>March 1, 2018</t>
  </si>
  <si>
    <t>https://www.justice.gov/usao-ndny/pr/columbia-county-man-arrested-child-pornography-charges , https://www.justice.gov/usao-ndny/pr/columbia-county-man-sentenced-78-months-child-pornography-convictions</t>
  </si>
  <si>
    <t>Michael B Stephens Jr</t>
  </si>
  <si>
    <t>http://fox2now.com/2018/03/22/red-bud-man-pleads-guilty-to-child-porn-charges/</t>
  </si>
  <si>
    <t>Spain</t>
  </si>
  <si>
    <t>Nigerian Trafficking Gang Arrests.Largest in Europol</t>
  </si>
  <si>
    <t>http://www.bbc.com/news/world-africa-43514125</t>
  </si>
  <si>
    <t>TX - NM</t>
  </si>
  <si>
    <t>Dreamers' participating in human trafficking arrested</t>
  </si>
  <si>
    <t>https://www.elpasotimes.com/story/news/crime/2018/03/26/dreamers-arrested-smuggling-violent-crime-daca-immigration-border-human-trafficking-assault-dwi/459153002/</t>
  </si>
  <si>
    <t>William Hemphill</t>
  </si>
  <si>
    <t>https://www.justice.gov/usao-edva/pr/repeat-offender-sentenced-prison-child-pornography</t>
  </si>
  <si>
    <t>https://www.courtlistener.com/?q=&amp;type=r&amp;order_by=score+desc&amp;docket_number=1%3A18-cr-00414&amp;court=vaed</t>
  </si>
  <si>
    <t>Travis J Varble</t>
  </si>
  <si>
    <t>https://www.justice.gov/usao-sdil/pr/alton-man-admits-producing-distributing-child-pornography , https://www.justice.gov/usao-sdil/pr/alton-man-sentenced-more-33-years-federal-prison-live-streaming-sexual-abuse-child</t>
  </si>
  <si>
    <t>https://www.courtlistener.com/docket/6374693/united-states-v-varble/</t>
  </si>
  <si>
    <t>Daniel B. Fleischer</t>
  </si>
  <si>
    <t>https://www.justice.gov/usao-ndoh/pr/youngstown-man-charged-sharing-images-young-children-being-sexually-assaulted</t>
  </si>
  <si>
    <t>Michael Dziatkowicz</t>
  </si>
  <si>
    <t>https://www.justice.gov/usao-ndwv/pr/hancock-county-man-admits-child-pornography-charge</t>
  </si>
  <si>
    <t>https://www.courtlistener.com/docket/6501462/united-states-v-dziatkowicz/</t>
  </si>
  <si>
    <t>Willie James Johnson</t>
  </si>
  <si>
    <t>Project Safe Childhood-Sex trafficking a minor &amp; drug trafficking</t>
  </si>
  <si>
    <t>https://www.justice.gov/usao-mdpa/pr/kutztown-man-charged-sex-trafficking-minor-and-drug-trafficking</t>
  </si>
  <si>
    <t>https://www.courtlistener.com/docket/7803880/united-states-v-johnson/</t>
  </si>
  <si>
    <t>Charles Edward Smith / Michael Joseph Clark</t>
  </si>
  <si>
    <t>May 31, 2018</t>
  </si>
  <si>
    <t>https://www.justice.gov/usao-sdfl/pr/two-men-sentenced-18-and-19-year-prison-terms-conspiracy-commit-sex-trafficking-minor</t>
  </si>
  <si>
    <t>https://www.mypalmbeachpost.com/news/crime--law/new-two-palm-beach-county-men-accused-sex-trafficking-involving-minor/qwFURSzytfG6yALCCQi5AL/</t>
  </si>
  <si>
    <t>https://www.courtlistener.com/?q=&amp;type=r&amp;order_by=score+desc&amp;docket_number=9%3A18-cr-80062&amp;court=flsd</t>
  </si>
  <si>
    <t xml:space="preserve">Heather McDorman </t>
  </si>
  <si>
    <t>https://www.justice.gov/usao-sdtx/pr/local-man-sentenced-multiple-child-exploitation-charges</t>
  </si>
  <si>
    <t>http://cw39.com/2018/03/21/channelview-man-convicted-of-multiple-charges-after-caught-with-thousands-of-child-pornographic-images/</t>
  </si>
  <si>
    <t>https://www.courtlistener.com/docket/6822138/united-states-v-banda/</t>
  </si>
  <si>
    <t>Heather McDorman (Hamby et al)</t>
  </si>
  <si>
    <t>https://www.justice.gov/usao-edmo/pr/barnhart-woman-pleads-guilty-production-child-pornography-charges , https://www.justice.gov/usao-edmo/pr/judge-sentences-jefferson-county-woman-production-child-pornography-charges</t>
  </si>
  <si>
    <t>https://www.dailymail.co.uk/news/article-7090815/Pedophile-woman-live-streamed-sexual-abuse-four-year-old-boy-blamed-boyfriend.html</t>
  </si>
  <si>
    <t>https://archive.vn/lfOEt</t>
  </si>
  <si>
    <t>https://archive.vn/pgdqw</t>
  </si>
  <si>
    <t>Zachary Hamby</t>
  </si>
  <si>
    <t xml:space="preserve">https://www.dailymail.co.uk/news/article-7090815/Pedophile-woman-live-streamed-sexual-abuse-four-year-old-boy-blamed-boyfriend.html </t>
  </si>
  <si>
    <t xml:space="preserve">https://archive.vn/lfOEt </t>
  </si>
  <si>
    <t>https://archive.vn/C7xDT</t>
  </si>
  <si>
    <t>Operation Broken Heart-Online Child Sex Offenders-CP Production &amp; Child Abuse</t>
  </si>
  <si>
    <t>https://www.justice.gov/opa/pr/more-2300-suspected-online-child-sex-offenders-arrested-during-operation-broken-heart</t>
  </si>
  <si>
    <t>Chadwick Rice</t>
  </si>
  <si>
    <t>https://www.justice.gov/usao-ndal/pr/registered-sex-offender-sentenced-distribution-child-pornography</t>
  </si>
  <si>
    <t>Germaine Coulter / Elizabeth Andrade</t>
  </si>
  <si>
    <t>https://www.justice.gov/usao-wdok/pr/oklahoma-city-pair-charged-child-sex-trafficking</t>
  </si>
  <si>
    <t>http://www.edmondsun.com/news/prostitution-ring-targets-santa-fe-students/article_e07be414-23f2-11e8-9b32-ffcbb9a0f9aa.html</t>
  </si>
  <si>
    <t>David Tjader</t>
  </si>
  <si>
    <t>https://www.justice.gov/usao-wdwi/pr/douglas-county-man-sentenced-84-months-child-pornography-charge</t>
  </si>
  <si>
    <t>Jarold Calkins</t>
  </si>
  <si>
    <t>http://www.readingeagle.com/ap/article/ex-monroe-judge-pleads-guilty-in-prostitution-investigation</t>
  </si>
  <si>
    <t>Jeffrey Harney</t>
  </si>
  <si>
    <t>https://www.justice.gov/usao-edky/pr/ft-mitchell-man-sentenced-97-months-receipt-child-pornography</t>
  </si>
  <si>
    <t>Antonio Wright</t>
  </si>
  <si>
    <t>https://www.justice.gov/usao-md/pr/baltimore-man-pleads-guilty-enticing-minor-produce-child-pornography</t>
  </si>
  <si>
    <t>William I Isaac</t>
  </si>
  <si>
    <t>https://www.justice.gov/usao-sdil/pr/distributing-and-receiving-child-pornography-leads-federal-prison-time-st-clair-county</t>
  </si>
  <si>
    <t>https://www.courtlistener.com/docket/14778970/united-states-v-isaac/</t>
  </si>
  <si>
    <t>Brandon Jock</t>
  </si>
  <si>
    <t>https://www.justice.gov/usao-ndny/pr/massena-man-sentenced-30-years-child-pornography-offenses</t>
  </si>
  <si>
    <t>https://www.courtlistener.com/?q=&amp;type=r&amp;order_by=score+desc&amp;docket_number=8%3A18-cr-00064&amp;court=nynd</t>
  </si>
  <si>
    <t>Yoon  Kim / Taehee Kim</t>
  </si>
  <si>
    <t>Novmber 20, 2018</t>
  </si>
  <si>
    <t>https://www.justice.gov/usao-ma/pr/virginia-couple-pleads-guilty-operating-interstate-prostitution-ring</t>
  </si>
  <si>
    <t>https://www.courtlistener.com/docket/8214865/united-states-v-kim/</t>
  </si>
  <si>
    <t>Cherokee Steward</t>
  </si>
  <si>
    <t>https://www.justice.gov/usao-wdar/pr/gentry-man-sentenced-14-years-federal-prison-distributing-child-pornography-online</t>
  </si>
  <si>
    <t>https://www.courtlistener.com/docket/7097321/united-states-v-steward/</t>
  </si>
  <si>
    <t>Oscar Carter / Shelby Summer Brown</t>
  </si>
  <si>
    <t>Project Safe Childhood- Sex trafficking of a minor</t>
  </si>
  <si>
    <t>https://www.justice.gov/usao-wdpa/pr/tulsa-couple-indicted-child-sex-trafficking-charges</t>
  </si>
  <si>
    <t>https://www.courtlistener.com/?q=&amp;type=r&amp;order_by=score+desc&amp;docket_number=2%3A18-cr-00141&amp;court=pawd</t>
  </si>
  <si>
    <t>Steven Streit</t>
  </si>
  <si>
    <t>https://www.justice.gov/usao-nv/pr/sparks-resident-sentenced-over-12-years-prison-coercion-and-enticement-child</t>
  </si>
  <si>
    <t>https://www.courtlistener.com/docket/8392122/united-states-v-streit/</t>
  </si>
  <si>
    <t>Edward Earl Daniels</t>
  </si>
  <si>
    <t>https://www.justice.gov/usao-ndms/pr/oxford-native-sentenced-15-years-prison-human-trafficking</t>
  </si>
  <si>
    <t>Mark Alan Stoneking</t>
  </si>
  <si>
    <t>https://www.justice.gov/usao-nv/pr/ohio-man-pleads-guilty-distributing-child-pornography-over-twitter</t>
  </si>
  <si>
    <t>March</t>
  </si>
  <si>
    <t>David Patrick Seilheimer</t>
  </si>
  <si>
    <t>https://www.justice.gov/usao-edca/pr/sacramento-man-indicted-possessing-child-pornography</t>
  </si>
  <si>
    <t>John P Cutler</t>
  </si>
  <si>
    <t>CP related charges /previous sex offender</t>
  </si>
  <si>
    <t>http://www.oleantimesherald.com/news/delevan-man-pleads-guilty-to-child-porn-charge/article_7e6410b6-1f57-11e8-baed-3ba23968088b.html</t>
  </si>
  <si>
    <t>James Coy Whitaker</t>
  </si>
  <si>
    <t>https://www.justice.gov/usao-edmi/pr/fairfield-ohio-man-was-sentenced-child-pornography-charges</t>
  </si>
  <si>
    <t>https://www.courtlistener.com/docket/7788600/united-states-v-whitaker/</t>
  </si>
  <si>
    <t>March 5, 2018</t>
  </si>
  <si>
    <t>https://www.cbp.gov/newsroom/local-media-release/laredo-sector-border-patrol-agents-assist-rescue-15-illegal-aliens</t>
  </si>
  <si>
    <t>Michael Krepp</t>
  </si>
  <si>
    <t>March 6, 2018</t>
  </si>
  <si>
    <t>Registered sex offender arrest on CP related charges</t>
  </si>
  <si>
    <t>https://www.justice.gov/usao-wdny/pr/rochester-man-arrested-child-pornography-charges</t>
  </si>
  <si>
    <t>https://www.justice.gov/usao-wdny/pr/rochester-man-sentenced-child-pornography-charge-0</t>
  </si>
  <si>
    <t>Tyler Hargrave</t>
  </si>
  <si>
    <t>https://www.justice.gov/usao-ndny/pr/st-lawrence-county-man-arrested-child-pornography-charges</t>
  </si>
  <si>
    <t>https://www.courtlistener.com/docket/6326930/united-states-v-hargrave/</t>
  </si>
  <si>
    <t>Richardo Leodoro Urbina</t>
  </si>
  <si>
    <t>Project Safe Childhood-sex trafficking of a minor</t>
  </si>
  <si>
    <t>https://www.justice.gov/usao-wdmi/pr/2019_0923_Urbina</t>
  </si>
  <si>
    <t>https://www.courtlistener.com/?q=&amp;type=r&amp;order_by=score+desc&amp;docket_number=1%3A18-cr-00051&amp;court=miwd</t>
  </si>
  <si>
    <t>https://www.cbp.gov/newsroom/local-media-release/laredo-sector-border-patrol-agents-rescue-seven-illegal-aliens-during</t>
  </si>
  <si>
    <t>Jeffrey Litteral</t>
  </si>
  <si>
    <t>March 7, 2018</t>
  </si>
  <si>
    <t>Secret Service employee arrested with CP</t>
  </si>
  <si>
    <t>https://www.newsmax.com/newsfront/secret-service-child-porn/2018/03/08/id/847518/</t>
  </si>
  <si>
    <t>Bryan Duncan</t>
  </si>
  <si>
    <t>https://www.justice.gov/usao-ks/pr/convicted-sex-offender-sentenced-possessing-child-porn</t>
  </si>
  <si>
    <t>Ryan Edward Offineer</t>
  </si>
  <si>
    <t>https://www.justice.gov/usao-edok/pr/muldrow-man-sentenced-120-months-8500-restitution-possession-material-involving-sexual</t>
  </si>
  <si>
    <t>https://arklahoma.blogspot.com/2018/06/muldrow-man-indicted-by-federal-grand.html</t>
  </si>
  <si>
    <t>Darry K Williams/ Nashonda C Sykes</t>
  </si>
  <si>
    <t>https://www.stltoday.com/news/local/crime-and-courts/pair-admit-forcing-jefferson-county-woman-into-prostitution-in-st/article_689b14af-4c22-550f-8acf-ac33efc9181b.html</t>
  </si>
  <si>
    <t>James A Chapman</t>
  </si>
  <si>
    <t>March 8, 2018</t>
  </si>
  <si>
    <t>https://www.justice.gov/usao-wdny/pr/jamestown-man-pleads-guilty-production-and-possession-child-pornography</t>
  </si>
  <si>
    <t>http://wnynewsnow.com/2018/03/08/man-known-as-fatz-indicted-on-federal-sex-trafficking-charges/ , https://www.justice.gov/usao-wdny/pr/jamestown-man-pleads-guilty-production-and-possession-child-pornography</t>
  </si>
  <si>
    <t>Jeremy Scott Clark</t>
  </si>
  <si>
    <t>Project Safe Childhood-CP distribution by County High School teacher</t>
  </si>
  <si>
    <t>https://www.justice.gov/usao-mdfl/pr/duval-county-high-school-teacher-arrested-and-charged-distribution-child-pornography</t>
  </si>
  <si>
    <t>https://www.courtlistener.com/docket/7220051/united-states-v-clark/</t>
  </si>
  <si>
    <t>David Taylor</t>
  </si>
  <si>
    <t>Project Safe Childhood-CP production &amp; transporting a minor for sex</t>
  </si>
  <si>
    <t>https://www.justice.gov/usao-mdpa/pr/new-jersey-man-indicted-transporting-minor-sex-and-production-child-pornography</t>
  </si>
  <si>
    <t>Joey Wong Hernandez</t>
  </si>
  <si>
    <t>https://www.justice.gov/usao-ndca/pr/san-francisco-man-sentenced-15-years-prison-production-and-possession-child-pornography</t>
  </si>
  <si>
    <t>https://www.courtlistener.com/docket/6556297/united-states-v-hernandez/</t>
  </si>
  <si>
    <t>Nicholas Allen Blain</t>
  </si>
  <si>
    <t>http://www.nwfdailynews.com/news/20180309/crestview-man-arrested-on-multiple-child-porn-charges</t>
  </si>
  <si>
    <t>Jonathan Monson</t>
  </si>
  <si>
    <t>Project Safe Childhood-CP production, distribution &amp; related charges</t>
  </si>
  <si>
    <t>https://www.justice.gov/usao-ma/pr/granby-man-arrested-sexually-exploiting-child , https://www.justice.gov/usao-ma/pr/federal-jury-convicts-granby-man-child-exploitation</t>
  </si>
  <si>
    <t>https://www.courtlistener.com/docket/6865542/united-states-v-monson/</t>
  </si>
  <si>
    <t>March 9, 2018</t>
  </si>
  <si>
    <t>https://www.cbp.gov/newsroom/local-media-release/border-patrol-agents-arrest-ms-13-gang-member-human-smuggling</t>
  </si>
  <si>
    <t>https://azdailysun.com/news/local/underage-prostitution-sting-by-flagstaff-police-nabs/article_398abb47-9aa8-5488-987c-4a26415af687.html</t>
  </si>
  <si>
    <t>Randy Hames</t>
  </si>
  <si>
    <t>March 10, 2018</t>
  </si>
  <si>
    <t>http://cullmantoday.com/2018/03/10/cullman-attorney-randy-hames-arrested-again/</t>
  </si>
  <si>
    <t>March 10 2018</t>
  </si>
  <si>
    <t>Nigeria</t>
  </si>
  <si>
    <t>Lagos</t>
  </si>
  <si>
    <t>https://www.thisdaylive.com/index.php/2018/03/20/lagos-police-arrests-two-for-sex-trafficking-rescue-victims/</t>
  </si>
  <si>
    <t>Christopher Almaguer</t>
  </si>
  <si>
    <t>https://www.justice.gov/usao-wdtx/pr/killeen-husband-and-wife-sentenced-60-years-federal-prison-child-sexual-exploitation</t>
  </si>
  <si>
    <t>https://scallywagandvagabond.com/2018/11/christopher-almaguer-sarah-rashelle-almaguer-child-abuse/</t>
  </si>
  <si>
    <t>https://www.courtlistener.com/?q=&amp;type=r&amp;order_by=score+desc&amp;docket_number=6%3A18-cr-00069&amp;court=txwd</t>
  </si>
  <si>
    <t>http://archive.fo/8Q1da</t>
  </si>
  <si>
    <t>http://archive.fo/Z6hIJ</t>
  </si>
  <si>
    <t>Sarah Rashelle Almaguer</t>
  </si>
  <si>
    <t>Gregory S Stephen</t>
  </si>
  <si>
    <t>March 13, 2018</t>
  </si>
  <si>
    <t>https://www.justice.gov/usao-sdia/pr/former-youth-basketball-coach-pleads-guilty-sexual-exploitation-children-possession-and   https://www.justice.gov/usao-ndia/pr/monticello-man-charged-transportation-child-pornography , https://www.fbi.gov/contact-us/field-offices/omaha/news/press-releases/former-youth-basketball-coach-sentenced-to-180-years-in-prison-for-sexual-exploitation-of-children-possession-and-transportation-of-child-pornography</t>
  </si>
  <si>
    <t>https://www.desmoinesregister.com/story/news/crime-and-courts/2018/03/13/former-iowa-aau-coach-greg-stephen-arrested-child-porn-charge/421030002/</t>
  </si>
  <si>
    <t>https://www.courtlistener.com/docket/7775073/united-states-v-stephen/</t>
  </si>
  <si>
    <t>http://archive.fo/yeBPy</t>
  </si>
  <si>
    <t>http://archive.fo/THib8</t>
  </si>
  <si>
    <t>Aaron Pauly</t>
  </si>
  <si>
    <t>https://www.justice.gov/usao-sdoh/pr/champaign-county-man-pleads-guilty-producing-child-pornography</t>
  </si>
  <si>
    <t>https://www.courtlistener.com/docket/6619268/united-states-v-pauly/</t>
  </si>
  <si>
    <t>Steven Vaillancourt II</t>
  </si>
  <si>
    <t>https://www.justice.gov/usao-nm/pr/las-cruces-man-pleads-guilty-federal-child-pornography-charges-0</t>
  </si>
  <si>
    <t>https://www.justice.gov/usao-nm/pr/las-cruces-man-arraigned-federal-child-pornography-charges</t>
  </si>
  <si>
    <t>https://www.courtlistener.com/docket/14658047/united-states-v-vaillancourt/</t>
  </si>
  <si>
    <t>Pedro Zamora</t>
  </si>
  <si>
    <t>https://www.justice.gov/usao-ks/pr/leavenworth-man-sentenced-10-years-child-pornography</t>
  </si>
  <si>
    <t>https://www.courtlistener.com/docket/6850826/united-states-v-zamora/</t>
  </si>
  <si>
    <t>Kenneth Wayne Spencer</t>
  </si>
  <si>
    <t>https://www.justice.gov/usao-wdpa/pr/former-erie-man-pleads-guilty-receipt-and-possession-child-pornography</t>
  </si>
  <si>
    <t>https://www.courtlistener.com/docket/7343802/united-states-v-spencer/</t>
  </si>
  <si>
    <t>Benjamin Grace</t>
  </si>
  <si>
    <t>https://www.justice.gov/usao-ks/pr/registered-sex-offender-goes-back-prison-possessing-child-pornography</t>
  </si>
  <si>
    <t>https://www.courtlistener.com/docket/6480579/united-states-v-grace/</t>
  </si>
  <si>
    <t>Sean Dean</t>
  </si>
  <si>
    <t>https://www.justice.gov/usao-md/pr/baltimore-pimp-pleads-guilty-conspiring-commit-sex-trafficking-child</t>
  </si>
  <si>
    <t>https://www.courtlistener.com/?q=&amp;type=r&amp;order_by=score+desc&amp;docket_number=8%3A18-cr-00145&amp;court=mdd</t>
  </si>
  <si>
    <t>Gerald Dawayne Marshall (Dean et al)</t>
  </si>
  <si>
    <t>James Kivisto</t>
  </si>
  <si>
    <t>March 14, 2018</t>
  </si>
  <si>
    <t>https://usatodayhss.com/2018/gymnastics-center-owner-jailed-after-hidden-camera-found-in-bathroom</t>
  </si>
  <si>
    <t>March 15, 2018</t>
  </si>
  <si>
    <t>Sexual exploitation of minors</t>
  </si>
  <si>
    <t>http://thetandd.com/news/local/state-and-regional/arrested-across-s-c-as-part-of-multistate-child-exploitation/article_2e8634cc-6dd2-52c4-9aa8-bd368e6be450.html</t>
  </si>
  <si>
    <t>March 15 2018</t>
  </si>
  <si>
    <t>http://norwalkreflector.com/Law-Enforcement/2018/03/15/Four-people-arrested-on-charges-of</t>
  </si>
  <si>
    <t>https://www.cbp.gov/newsroom/local-media-release/nogales-border-patrol-k9-finds-2-illegal-aliens-trunk</t>
  </si>
  <si>
    <t>https://www.bostonglobe.com/metro/2018/03/16/five-suspects-arrested-for-operating-interstate-prostitution-ring-out-high-end-apartments/XcUqCliQdSxrnV24BTd7OP/story.html</t>
  </si>
  <si>
    <t xml:space="preserve">Sex trafficking </t>
  </si>
  <si>
    <t>https://dailyglib.com/twelve-arrested-in-san-diego-sex-trafficking-sting/</t>
  </si>
  <si>
    <t>https://www.cbp.gov/newsroom/local-media-release/border-patrol-agents-arrest-two-us-felons-alien-smuggling</t>
  </si>
  <si>
    <t>Thomas Christopher Mares</t>
  </si>
  <si>
    <t>Possession of over 700,000 CP images</t>
  </si>
  <si>
    <t>https://www.coloradoan.com/story/news/2018/03/26/police-fort-collins-man-possessed-700-000-child-porn-files/459781002/</t>
  </si>
  <si>
    <t xml:space="preserve">Keneon Fitzroy Isaac </t>
  </si>
  <si>
    <t>https://www.justice.gov/usao-mdfl/pr/brevard-man-sentenced-80-years-committing-sex-crimes-against-children</t>
  </si>
  <si>
    <t>https://www.courtlistener.com/docket/7667932/united-states-v-isaac/</t>
  </si>
  <si>
    <t>http://archive.fo/Bhwgf</t>
  </si>
  <si>
    <t>Anders York</t>
  </si>
  <si>
    <t>https://www.justice.gov/usao-ne/pr/omaha-man-sentenced-possessing-child-pornography-0</t>
  </si>
  <si>
    <t>https://www.courtlistener.com/docket/6955056/united-states-v-york/</t>
  </si>
  <si>
    <t>Daniel Justin Mahan</t>
  </si>
  <si>
    <t>https://www.justice.gov/usao-edla/pr/ponchatoula-man-indicted-receipt-materials-involving-sexual-exploitation-minors  https://www.justice.gov/usao-edla/pr/ponchatoula-man-pleads-guilty-receipt-materials-involving-sexual-exploitation-minors  https://www.justice.gov/usao-edla/pr/ponchatoula-man-sentenced-receipt-materials-involving-sexual-exploitation-minors-and</t>
  </si>
  <si>
    <t>https://www.courtlistener.com/docket/6898344/united-states-v-mahan/</t>
  </si>
  <si>
    <t>https://www.masslive.com/news/boston/index.ssf/2018/06/suspects_in_interstate_prostit.html</t>
  </si>
  <si>
    <t>Daler Mehnd</t>
  </si>
  <si>
    <t>March 16 2018</t>
  </si>
  <si>
    <t>Trafficking women from India to US</t>
  </si>
  <si>
    <t>https://www.cp24.com/world/indian-singer-daler-mehndi-convicted-of-trafficking-jobseekers-to-america-1.3845619</t>
  </si>
  <si>
    <t>Donald J Oosterbaan</t>
  </si>
  <si>
    <t>March 16, 2018</t>
  </si>
  <si>
    <t>http://www.mlive.com/news/grand-rapids/index.ssf/2018/03/man_accused_of_downloading_chi.html</t>
  </si>
  <si>
    <t>https://www.cbp.gov/newsroom/local-media-release/border-patrol-finds-two-illegal-aliens-trunk-after-pursuit</t>
  </si>
  <si>
    <t>Skydance MacMahon</t>
  </si>
  <si>
    <t>https://nworeport.me/2018/07/09/former-hillary-clinton-state-dept-employee-pleads-guilty-to-child-rape/</t>
  </si>
  <si>
    <t>https://www.justice.gov/usao-edva/pr/former-state-department-employee-sentenced-producing-child-pornography</t>
  </si>
  <si>
    <t>https://www.courtlistener.com/docket/7257983/united-states-v-macmahon/</t>
  </si>
  <si>
    <t>March 18 2018</t>
  </si>
  <si>
    <t>Operation Ore UK/US FBI Assist.</t>
  </si>
  <si>
    <t>http://www.dailymail.co.uk/news/article-151784/50-police-officers-arrested-child-porn-raids.html</t>
  </si>
  <si>
    <t>Carmen Melari Ferrufino Perdomo</t>
  </si>
  <si>
    <t>March 18, 2018</t>
  </si>
  <si>
    <t>https://www.justice.gov/usao-vt/pr/north-carolina-woman-charged-alien-smuggling   https://www.justice.gov/usao-vt/pr/north-carolina-woman-sentenced-four-months-alien-smuggling</t>
  </si>
  <si>
    <t>https://www.courtlistener.com/docket/7123435/united-states-v-ferrufino-perdomo/</t>
  </si>
  <si>
    <t>Italy</t>
  </si>
  <si>
    <t>Sex trafficking arrests</t>
  </si>
  <si>
    <t>http://www.nwaonline.com/news/2018/mar/20/migrant-rescuers-ship-seized-italy/?news-world</t>
  </si>
  <si>
    <t>March 19, 2018</t>
  </si>
  <si>
    <t>http://www.wctv.tv/content/news/Three-arrested-in-Orlando-for-human-trafficking-drugs-477318303.html</t>
  </si>
  <si>
    <t>March 20, 2018</t>
  </si>
  <si>
    <t>Taiwan</t>
  </si>
  <si>
    <t>http://www.taipeitimes.com/News/front/archives/2018/03/21/2003689710</t>
  </si>
  <si>
    <t>Sam Thomas Knight</t>
  </si>
  <si>
    <t>San Diego Sherriff Arrested for child molestation</t>
  </si>
  <si>
    <t>http://www.cbs8.com/story/37787877/san-diego-sheriffs-deputy-faces-molestation-charges</t>
  </si>
  <si>
    <t>Jeremy Smith</t>
  </si>
  <si>
    <t>March 21, 2018</t>
  </si>
  <si>
    <t>https://www.justice.gov/usao-ndwv/pr/harrison-county-man-admits-child-pornography-charge</t>
  </si>
  <si>
    <t>https://usatodayhss.com/2018/jeremy-smith-coach-possession-child-porn</t>
  </si>
  <si>
    <t>Irving Marquez</t>
  </si>
  <si>
    <t>https://www.justice.gov/usao-wdtx/pr/el-paso-man-sentenced-20-years-federal-prison-receipt-and-distribution-child-1</t>
  </si>
  <si>
    <t>https://www.courtlistener.com/docket/7073882/united-states-v-marquez/</t>
  </si>
  <si>
    <t>Xaver Boston</t>
  </si>
  <si>
    <t>March 22, 2018</t>
  </si>
  <si>
    <t>US Army Reserve Soldier-Trafficking/Prostitution incl minor</t>
  </si>
  <si>
    <t>https://www.justice.gov/usao-wdnc/pr/us-army-reserve-soldier-arrested-and-charged-sex-trafficking-and-related-offenses-0</t>
  </si>
  <si>
    <t>https://www.courtlistener.com/docket/6353328/united-states-v-boston/</t>
  </si>
  <si>
    <t>Bryan Prather / Maumau Benner</t>
  </si>
  <si>
    <t>Teens arrested for CP possession</t>
  </si>
  <si>
    <t>http://www.abc17news.com/news/two-teens-arrested-for-child-porn-in-pulaski-county/719603558</t>
  </si>
  <si>
    <t>https://www.cbp.gov/newsroom/media-releases/all?field_date_release_value%5Bmin%5D%5Byear%5D=2018&amp;field_date_release_value%5Bmin%5D%5Bmonth%5D=1&amp;field_date_release_value%5Bmin%5D%5Bday%5D=2&amp;field_date_release_value%5Bmax%5D%5Byear%5D=2019&amp;field_date_release_value%5Bmax%5D%5Bmonth%5D=1&amp;field_date_release_value%5Bmax%5D%5Bday%5D=2&amp;field_newsroom_type_tid_1=All&amp;body_value=&amp;page=80</t>
  </si>
  <si>
    <t>Dennis J Kenniker</t>
  </si>
  <si>
    <t>Possession of CP</t>
  </si>
  <si>
    <t>https://www.azcentral.com/story/news/local/chandler/2018/04/03/chandler-man-arrested-suspicion-possessing-child-pornography/483963002/</t>
  </si>
  <si>
    <t>Christopher Michael Picher</t>
  </si>
  <si>
    <t>https://www.justice.gov/usao-mdfl/pr/jacksonville-man-pleads-guilty-receiving-child-sex-abuse-videos-and-images-over</t>
  </si>
  <si>
    <t>https://www.justice.gov/usao-mdfl/pr/jacksonville-man-sentenced-more-12-years-federal-prison-downloading-child-sex-abuse</t>
  </si>
  <si>
    <t>March 23, 2018</t>
  </si>
  <si>
    <t>https://www.cbp.gov/newsroom/local-media-release/border-patrol-agents-foil-weekend-smuggling-attempts</t>
  </si>
  <si>
    <t>https://www.cbp.gov/newsroom/local-media-release/border-patrol-arrests-two-us-citizens-phoenix-caught-smuggling-humans</t>
  </si>
  <si>
    <t>Leon Leavell</t>
  </si>
  <si>
    <t>March 24, 2018</t>
  </si>
  <si>
    <t>https://www.10tv.com/article/columbus-city-schools-principal-charged-soliciting</t>
  </si>
  <si>
    <t>Keith Raniere</t>
  </si>
  <si>
    <t>March 26, 2018</t>
  </si>
  <si>
    <t>Sex trafficking, forced labor &amp; related charges</t>
  </si>
  <si>
    <t>https://www.justice.gov/usao-edny/pr/founder-nxivm-purported-self-help-organization-and-five-others-charged-superseding</t>
  </si>
  <si>
    <t>https://www.justice.gov/usao-edny/pr/founder-nxivm-purported-self-help-organization-based-albany-ny-arrested-sex-trafficking</t>
  </si>
  <si>
    <t>Bidyadhar Panda</t>
  </si>
  <si>
    <t>Attached to arrest March 16, 2018</t>
  </si>
  <si>
    <t>http://odishatv.in/odisha/body-slider/human-trafficking-four-girls-rescued-from-rourkela-284462</t>
  </si>
  <si>
    <t>Canada</t>
  </si>
  <si>
    <t>http://www.680news.com/2018/03/26/2-charged-third-wanted-york-human-trafficking/</t>
  </si>
  <si>
    <t>https://www.cbp.gov/newsroom/local-media-release/hereford-man-endangers-ten-human-smuggling</t>
  </si>
  <si>
    <t>3 drivers arrested for human smuggling</t>
  </si>
  <si>
    <t>https://www.derbynewsjournal.com/2018/04/18/border-patrol-agents-find-38-migrants-smuggled-in-trucks/</t>
  </si>
  <si>
    <t>Anthony Bellisario</t>
  </si>
  <si>
    <t>https://www.justice.gov/usao-wdpa/pr/robinson-twp-man-pleads-guilty-international-investigation-darknet-sale-child</t>
  </si>
  <si>
    <t>Gui You Wu</t>
  </si>
  <si>
    <t>March 27, 2018</t>
  </si>
  <si>
    <t>https://www.justice.gov/usao-sdny/pr/manhattan-us-attorney-announces-arrests-operators-multi-state-prostitution-ring</t>
  </si>
  <si>
    <t>https://breaking911.com/manhattan-u-s-attorney-announces-arrests-of-operators-of-multi-state-prostitution-ring/</t>
  </si>
  <si>
    <t>https://www.justice.gov/usao-sdny/press-release/file/1046471/download</t>
  </si>
  <si>
    <t>http://archive.fo/nQVsy</t>
  </si>
  <si>
    <t>You Mei Chen (Wu et al)</t>
  </si>
  <si>
    <t>Guixia Wu (Wu et al)</t>
  </si>
  <si>
    <t>Hong Zhong (Wu et al)</t>
  </si>
  <si>
    <t>John O'Donnell</t>
  </si>
  <si>
    <t>https://www.justice.gov/usao-wdpa/pr/verona-man-charged-multiple-counts-violating-child-exploitation-laws</t>
  </si>
  <si>
    <t>https://www.justice.gov/usao-wdpa/pr/penn-hills-man-admits-producing-distributing-and-possessing-child-pornography</t>
  </si>
  <si>
    <t>Spencer E. Steckman</t>
  </si>
  <si>
    <t>Project Safe Childhood-Navy employee charged w/ production &amp; distribution of CP</t>
  </si>
  <si>
    <t>https://www.justice.gov/usao-md/pr/military-employee-charged-child-pornography-offenses,https://www.justice.gov/usao-md/pr/navy-employee-sentenced-40-years-federal-prison-child-pornography-offenses-involving</t>
  </si>
  <si>
    <t>https://www.fbi.gov/contact-us/field-offices/baltimore/news/press-releases/military-employee-charged-with-child-pornography-offenses</t>
  </si>
  <si>
    <t>https://neareport.com/2018/03/28/four-arrested-child-porn-jonesboro/</t>
  </si>
  <si>
    <t>Taylor Vanderploeg</t>
  </si>
  <si>
    <t>March 28, 2018</t>
  </si>
  <si>
    <t>https://www.justice.gov/usao-cdil/pr/repeat-sex-offender-indicted-charges-receipt-and-possession-child-pornography</t>
  </si>
  <si>
    <t>https://www.courtlistener.com/docket/7098394/united-states-v-vanderploeg/</t>
  </si>
  <si>
    <t>Jerry Hochstetler</t>
  </si>
  <si>
    <t>https://www.news-shield.com/police_beat/courthouse_news/article_a6db5f02-328c-11e8-adf9-d314625498bf.html</t>
  </si>
  <si>
    <t>https://web.archive.org/web/20190220192059/https://www.news-shield.com/police_beat/courthouse_news/article_a6db5f02-328c-11e8-adf9-d314625498bf.html</t>
  </si>
  <si>
    <t>http://archive.fo/Mi9bg</t>
  </si>
  <si>
    <t>Darren Coleman</t>
  </si>
  <si>
    <t>June 8, 2018</t>
  </si>
  <si>
    <t>https://www.justice.gov/usao-sdia/pr/seven-des-moines-individuals-charged-sex-trafficking</t>
  </si>
  <si>
    <t>https://www.desmoinesregister.com/story/news/crime-and-courts/2018/06/11/7-des-moines-residents-charged-sex-trafficking-feds-des-moines-sexual-prostitution-iowa-texas/692264002/</t>
  </si>
  <si>
    <t>Sarina Williams (Coleman et al)</t>
  </si>
  <si>
    <t>Mark Carter (Coleman et al)</t>
  </si>
  <si>
    <t>Stephen Cobb (Coleman et al)</t>
  </si>
  <si>
    <t>Julyen Singleton (Coleman et al)</t>
  </si>
  <si>
    <t>Ronzell Williams (Coleman et al)</t>
  </si>
  <si>
    <t>Arturo Rodriquez Salazar</t>
  </si>
  <si>
    <t>https://wtop.com/prince-georges-county/2018/03/police-arrest-prince-georges-co-man-on-child-porn-charges/</t>
  </si>
  <si>
    <t>Shyniquah Lightner / Malik Hudson</t>
  </si>
  <si>
    <t>https://www.justice.gov/usao-edpa/pr/philadelphia-duo-charged-sex-trafficking-minor</t>
  </si>
  <si>
    <t>https://www.cbp.gov/newsroom/local-media-release/nogales-border-patrol-agents-finds-2-illegal-aliens-trunk</t>
  </si>
  <si>
    <t>Wyatt Snavely / Jack Dagett</t>
  </si>
  <si>
    <t>https://www.justice.gov/usao-wdmo/pr/two-joplin-men-indicted-child-pornography</t>
  </si>
  <si>
    <t>https://www.courtlistener.com/docket/6420191/united-states-v-snavely/</t>
  </si>
  <si>
    <t>Steven Brown</t>
  </si>
  <si>
    <t>https://www.justice.gov/usao-wdwi/pr/grand-jury-returns-indictments-75</t>
  </si>
  <si>
    <t>https://www.courtlistener.com/docket/6803046/united-states-v-brown-steven/</t>
  </si>
  <si>
    <t>https://www.cbp.gov/newsroom/local-media-release/bisbee-woman-arrested-sunday-human-smuggling</t>
  </si>
  <si>
    <t>Leon Harrison</t>
  </si>
  <si>
    <t>https://www.justice.gov/usao-md/pr/washington-dc-commercial-sex-customer-pleads-guilty-sex-trafficking-minor</t>
  </si>
  <si>
    <t>https://www.capitalgazette.com/news/for_the_record/ac-cn-odenton-minor-arrest-0210-story.html</t>
  </si>
  <si>
    <t>http://archive.fo/ziQCa</t>
  </si>
  <si>
    <t>http://archive.fo/ozvqS</t>
  </si>
  <si>
    <t>https://www.justice.gov/usao-sdoh/pr/local-man-indicted-16-charges-related-sex-crimes-against-children-child-pornography</t>
  </si>
  <si>
    <t>https://fox45now.com/news/local/investigators-ask-for-info-from-potential-victims-after-dayton-man-indicted-for-child-porn</t>
  </si>
  <si>
    <t>Glenn Ranger</t>
  </si>
  <si>
    <t>https://www.justice.gov/usao-md/pr/anne-arundel-county-man-sentenced-40-years-federal-prison-sexually-abusing-minor-produce</t>
  </si>
  <si>
    <t>http://baltimore.cbslocal.com/2018/04/05/child-porn-auction-storage-unit/</t>
  </si>
  <si>
    <t>Randi Brooke Creef</t>
  </si>
  <si>
    <t>https://www.justice.gov/usao-edva/pr/woman-pleads-guilty-meth-conspiracy-and-prostitution-charges</t>
  </si>
  <si>
    <t>https://www.courtlistener.com/docket/7675620/united-states-v-anderson/</t>
  </si>
  <si>
    <t>Mohamed Toure / Denise Cros-Toure</t>
  </si>
  <si>
    <t>Forced labor trafficking</t>
  </si>
  <si>
    <t>https://www.justice.gov/opa/pr/couple-convicted-forcing-young-west-african-girl-labor-their-southlake-texas-home-16-years</t>
  </si>
  <si>
    <t>https://www.star-telegram.com/news/local/community/fort-worth/article224070415.html</t>
  </si>
  <si>
    <t>April 1, 2018</t>
  </si>
  <si>
    <t>https://www.cbp.gov/newsroom/local-media-release/cbp-thwarts-human-smuggling-attempt-hidalgo-international-bridge</t>
  </si>
  <si>
    <t>Backpage.com</t>
  </si>
  <si>
    <t>https://www.justice.gov/opa/pr/backpage-s-co-founder-and-ceo-well-several-backpage-related-corporate-entities-enter-guilty</t>
  </si>
  <si>
    <t>https://www.courtlistener.com/?q=&amp;type=r&amp;order_by=score+desc&amp;docket_number=2%3A18-cr-00465&amp;court=azd</t>
  </si>
  <si>
    <t>Various</t>
  </si>
  <si>
    <t>Human Trafficking Arrests in 13 Caribbean / Latin American Countries</t>
  </si>
  <si>
    <t>http://www.bbc.com/news/world-latin-america-43941143</t>
  </si>
  <si>
    <t>Phillip Mark Reinhart</t>
  </si>
  <si>
    <t>http://mankatotimes.com/2018/04/11/phillip-mark-reinhart-facing-charges-for-child-pornography/</t>
  </si>
  <si>
    <t>https://archive.fo/30ASX</t>
  </si>
  <si>
    <t>https://archive.fo/hRU6k</t>
  </si>
  <si>
    <t>Clark Downs</t>
  </si>
  <si>
    <t>https://www.justice.gov/usao-ndfl/pr/port-saint-joe-man-convicted-producing-and-possessing-child-pornography</t>
  </si>
  <si>
    <t>Danilo Fernandez</t>
  </si>
  <si>
    <t>Project Safe Childhood-Army recruiter arrest for CP production /related/enticement</t>
  </si>
  <si>
    <t>https://www.mypalmbeachpost.com/news/crime--law/new-army-recruiter-dwyer-high-arrested-child-pornography-charges/tkehk7isoYA4Vvu7B35GAK/</t>
  </si>
  <si>
    <t>May 24, 2018</t>
  </si>
  <si>
    <t>http://cbs12.com/news/local/3-men-charged-in-human-trafficking-investigation</t>
  </si>
  <si>
    <t>May 25, 2018</t>
  </si>
  <si>
    <t>http://ktar.com/story/2080566/border-patrol-makes-170-human-smuggling-arrests-near-yuma/</t>
  </si>
  <si>
    <t>James Stoddard</t>
  </si>
  <si>
    <t>https://www.justice.gov/usao-ma/pr/worcester-man-charged-child-pornography-offense</t>
  </si>
  <si>
    <t>https://www.justice.gov/usao-ma/pr/worcester-man-pleads-guilty-child-pornography-offense</t>
  </si>
  <si>
    <t>https://www.courtlistener.com/docket/7122023/united-states-v-stoddard/</t>
  </si>
  <si>
    <t>http://www.times-news.com/news/local_news/charged-in-cumberland-area-prostitution-sting/article_364d582a-758b-11e8-af9d-e3a703f3d7ab.html</t>
  </si>
  <si>
    <t>Richard Jeviah Graham</t>
  </si>
  <si>
    <t>https://patch.com/california/lakeelsinore-wildomar/man-accused-pimping-out-teen-rivco-motel</t>
  </si>
  <si>
    <t>Torrance Smothers</t>
  </si>
  <si>
    <t>https://www.racinecountyeye.com/racine-man-forced-woman-to-have-sex-and-do-drugs-da-says/</t>
  </si>
  <si>
    <t>Saul Aguilar-Andres</t>
  </si>
  <si>
    <t>Project Safe Childhood-CP production &amp; distribution</t>
  </si>
  <si>
    <t>https://www.justice.gov/usao-edky/pr/lexington-man-sentenced-50-years-using-two-minors-produce-child-pornography</t>
  </si>
  <si>
    <t>https://www.wtvq.com/2018/07/23/lexington-man-serve-50-years-child-pornography/</t>
  </si>
  <si>
    <t>Salaam Moore</t>
  </si>
  <si>
    <t>https://newsok.com/article/5604171/dismissed-human-trafficking-maiming-case-gets-refiled-by-oklahoma-county-prosecutors</t>
  </si>
  <si>
    <t>Anthony W Hornbaker</t>
  </si>
  <si>
    <t>https://www.justice.gov/usao-wdpa/pr/judge-sentences-somerset-man-10-years-prison-possessing-child-pornography</t>
  </si>
  <si>
    <t>https://www.courtlistener.com/docket/7569620/united-states-v-hornbaker/</t>
  </si>
  <si>
    <t>https://www.justice.gov/usao-edok/pr/muldrow-man-pleads-guilty-possession-material-involving-sexual-exploitation-minors-0</t>
  </si>
  <si>
    <t>Mark Rohrer</t>
  </si>
  <si>
    <t>https://www.justice.gov/usao-ct/pr/west-hartford-man-admits-downloading-child-pornography-dark-web-site   https://www.justice.gov/usao-ct/pr/west-hartford-man-sentenced-5-years-prison-downloading-child-pornography-dark-web</t>
  </si>
  <si>
    <t>Andrew Stephen Lund</t>
  </si>
  <si>
    <t>https://www.justice.gov/usao-edca/pr/former-elementary-school-teacher-charged-attempted-enticement-minor-and-viewing-child</t>
  </si>
  <si>
    <t>Benjamin Varieur</t>
  </si>
  <si>
    <t>https://www.justice.gov/usao-ndny/pr/saratoga-springs-man-admits-receiving-child-pornography-over-encrypted-messaging   https://www.justice.gov/usao-ndny/pr/albany-county-man-sentenced-108-months-distributing-child-pornography-over-encrypted</t>
  </si>
  <si>
    <t>https://www.spotlightnews.com/towns/colonie/2018/04/26/two-men-from-saratoga-and-colonie-arrested-for-child-pornography/</t>
  </si>
  <si>
    <t>https://www.courtlistener.com/docket/7915162/united-states-v-varieur/</t>
  </si>
  <si>
    <t>http://archive.fo/qlNVQ</t>
  </si>
  <si>
    <t>https://web.archive.org/web/20190329211752/https://i1.wp.com/www.spotlightnews.com/wp-content/uploads/2018/04/varieur-e1524763527811-150x150.jpg?zoom=1.25&amp;resize=150%2C150&amp;ssl=1</t>
  </si>
  <si>
    <t>Derek Boprey</t>
  </si>
  <si>
    <t>November 9, 2018</t>
  </si>
  <si>
    <t>https://www.justice.gov/usao-ndny/pr/albany-county-man-admits-distributing-child-pornography-over-encrypted-messaging   https://www.justice.gov/usao-ndny/pr/albany-county-man-sentenced-108-months-distributing-child-pornography-over-encrypted</t>
  </si>
  <si>
    <t>https://www.courtlistener.com/docket/8160868/united-states-v-boprey/</t>
  </si>
  <si>
    <t>http://archive.fo/FfM9U</t>
  </si>
  <si>
    <t>Ogleva C Mowell</t>
  </si>
  <si>
    <t>https://www.justice.gov/usao-edtn/pr/ogleva-charles-mowell-sentenced-70-months-child-pornography-offenses</t>
  </si>
  <si>
    <t>Anthony Deordio</t>
  </si>
  <si>
    <t>https://www.justice.gov/usao-ma/pr/north-adams-man-charged-child-exploitation , https://www.justice.gov/usao-ma/pr/north-adams-man-sentenced-60-years-prison-child-exploitation-offenses</t>
  </si>
  <si>
    <t>https://www.mass.gov/news/deordio-held-on-bail-on-pornography-charges</t>
  </si>
  <si>
    <t>https://www.courtlistener.com/docket/15421157/united-states-v-deordio/</t>
  </si>
  <si>
    <t>James T Cobb</t>
  </si>
  <si>
    <t>https://www.justice.gov/usao-ndwv/pr/marion-county-man-admits-child-pornography-charge   https://www.justice.gov/usao-ndwv/pr/marion-county-man-sentenced-child-pornography-charge</t>
  </si>
  <si>
    <t>https://www.courtlistener.com/?q=&amp;type=r&amp;order_by=score+desc&amp;docket_number=1%3A18-cr-00033&amp;court=wvnd</t>
  </si>
  <si>
    <t>Roy Breedlove</t>
  </si>
  <si>
    <t>https://www.justice.gov/usao-wdar/pr/ozark-sex-offender-sentenced-10-years-federal-prison-child-pornography</t>
  </si>
  <si>
    <t>https://www.courtlistener.com/docket/6546947/united-states-v-breedlove/</t>
  </si>
  <si>
    <t>David Bills</t>
  </si>
  <si>
    <t>https://www.justice.gov/usao-wdny/pr/cleveland-man-sentenced-child-pornography-charge</t>
  </si>
  <si>
    <t>Austin Marek</t>
  </si>
  <si>
    <t>https://www.justice.gov/usao-ndia/pr/anamosa-man-sentenced-over-eleven-years-federal-prison-possessing-child-pornography</t>
  </si>
  <si>
    <t>https://www.justice.gov/usao-ndia/pr/anamosa-man-pleads-guilty-possession-child-pornography</t>
  </si>
  <si>
    <t>https://www.courtlistener.com/docket/7034863/united-states-v-marek/</t>
  </si>
  <si>
    <t>Daniel Villafane-Lozada</t>
  </si>
  <si>
    <t>https://www.justice.gov/usao-wdny/pr/cassadaga-man-pleads-guilty-child-pornography-charge</t>
  </si>
  <si>
    <t>Kaybaun Rodgers</t>
  </si>
  <si>
    <t>https://www.justice.gov/usao-ndca/pr/oakland-man-sentenced-more-10-years-prison-sex-trafficking-minor</t>
  </si>
  <si>
    <t>https://www.eastbaytimes.com/2018/09/05/oakland-man-sentenced-in-sex-trafficking-of-teen/</t>
  </si>
  <si>
    <t>https://www.courtlistener.com/docket/7586001/united-states-v-rodgers/</t>
  </si>
  <si>
    <t>Charles Gann</t>
  </si>
  <si>
    <t>https://www.justice.gov/usao-ks/pr/great-bend-man-sentenced-13-years-distributing-child-porn</t>
  </si>
  <si>
    <t>http://www.hutchnews.com/news/20181127/great-bend-man-receives-nearly-14-years-for-possessing-child-porn</t>
  </si>
  <si>
    <t>https://www.courtlistener.com/docket/6446372/united-states-v-gann/</t>
  </si>
  <si>
    <t>Veronica Ofelia Magallanes (Magallanes et al)</t>
  </si>
  <si>
    <t>https://www.justice.gov/usao-sdtx/pr/local-family-sentenced-money-laundering-conspiracy</t>
  </si>
  <si>
    <t>https://www.courtlistener.com/?q=&amp;type=r&amp;order_by=score+desc&amp;docket_number=1%3A18-cr-00225&amp;court=txsd</t>
  </si>
  <si>
    <t>Bertha Alicia Magallanes (Magallanes et al)</t>
  </si>
  <si>
    <t>Paloma Garcia (Magallanes et al)</t>
  </si>
  <si>
    <t>Jose Alfredo Magallanes (Magallanes et al)</t>
  </si>
  <si>
    <t>Jesus Magallanes (Magallanes et al)</t>
  </si>
  <si>
    <t>Rosa Maria Alvarado-Munoz (Magallanes et al)</t>
  </si>
  <si>
    <t>Jon T Wilkins</t>
  </si>
  <si>
    <t>https://www.justice.gov/usao-edva/pr/former-bank-executive-guilty-receiving-child-porn-dark-web</t>
  </si>
  <si>
    <t>https://www.deepdotweb.com/2019/01/01/playpen-member-admits-downloading-child-pornography-in-federal-court/</t>
  </si>
  <si>
    <t>Matthew A Switzer</t>
  </si>
  <si>
    <t>https://www.justice.gov/usao-wdpa/pr/grove-city-man-produced-child-pornography</t>
  </si>
  <si>
    <t>Louis Gagne McGill / Nelson Medina Ortiz</t>
  </si>
  <si>
    <t>Production of CP &amp; attempted transport of a minor</t>
  </si>
  <si>
    <t>http://www.foronoticioso.com/fn/federal-charges-for-attempted-production-of-child-pornography-attempted-sexual-enticement-of-a-minor-and-attempted-transportation-of-a-minor/</t>
  </si>
  <si>
    <t>https://www.cbp.gov/newsroom/local-media-release/laredo-sector-border-patrol-agents-rescue-35-illegal-aliens-tractor</t>
  </si>
  <si>
    <t>Melissa Grimaldo</t>
  </si>
  <si>
    <t>April 2, 2018</t>
  </si>
  <si>
    <t>Smuggling of a minor</t>
  </si>
  <si>
    <t>https://www.justice.gov/usao-sdtx/pr/woman-sent-prison-smuggling-minor-child-united-states</t>
  </si>
  <si>
    <t>https://www.courtlistener.com/?q=&amp;type=r&amp;order_by=score+desc&amp;docket_number=1%3A18-cr-00262&amp;court=txsd</t>
  </si>
  <si>
    <t>Joseph DeLeon Cruz</t>
  </si>
  <si>
    <t>Dennis Michael Hogan</t>
  </si>
  <si>
    <t>https://www.justice.gov/usao-edwa/pr/child-sex-tourist-sentenced-15-years-federal-prison-child-pornography-and-child</t>
  </si>
  <si>
    <t>Cricket Darlene Kimbrough</t>
  </si>
  <si>
    <t>Trafficking sex parties in exchange for drugs</t>
  </si>
  <si>
    <t>http://www.enewscourier.com/news/local_news/human-trafficking-arrest-lcso-says-athens-woman-organized-sex-parties/article_3041ad9a-377f-11e8-9966-5f15ad4ddefc.html</t>
  </si>
  <si>
    <t>Adam Armstrong</t>
  </si>
  <si>
    <t>Project Safe Childhood-Sexual exploitation of a child</t>
  </si>
  <si>
    <t>https://www.courtlistener.com/docket/7431600/united-states-v-armstrong/</t>
  </si>
  <si>
    <t>Stephen Joseph Everhardt</t>
  </si>
  <si>
    <t>April 3, 2018</t>
  </si>
  <si>
    <t>https://www.fbi.gov/contact-us/field-offices/neworleans/news/press-releases/baton-rouge-man-arrested-charged-with-distribution-and-possession-of-child-pornography   https://www.justice.gov/usao-mdla/pr/child-predator-sentenced-97-months-federal-prison</t>
  </si>
  <si>
    <t>https://www.courtlistener.com/docket/8154048/united-states-v-everhardt/</t>
  </si>
  <si>
    <t>April 4, 2018</t>
  </si>
  <si>
    <t>AUS</t>
  </si>
  <si>
    <t>Deputy Principal + 19 arrested in CP ring bust</t>
  </si>
  <si>
    <t>https://au.news.yahoo.com/deputy-principal-among-20-men-arrested-in-alleged-child-porn-ring-39726598.html</t>
  </si>
  <si>
    <t>Edward William Weekley</t>
  </si>
  <si>
    <t>Possession &amp; distribution of CP</t>
  </si>
  <si>
    <t>http://news.maryland.gov/msp/2018/04/04/anne-arundel-county-man-arrested-on-child-pornography-charges/</t>
  </si>
  <si>
    <t>Timothy Yates</t>
  </si>
  <si>
    <t>https://www.justice.gov/usao-nj/pr/comic-book-artist-admits-distribution-child-pornography</t>
  </si>
  <si>
    <t>William Earl Barrett</t>
  </si>
  <si>
    <t>April 5, 2018</t>
  </si>
  <si>
    <t>http://www.orlandosentinel.com/news/breaking-news/os-disney-worker-child-porn-arrest-20180405-story.html</t>
  </si>
  <si>
    <t>Nicholas Stengel</t>
  </si>
  <si>
    <t>April 6, 2018</t>
  </si>
  <si>
    <t>Registered sex offender found with nearly 1M CP images</t>
  </si>
  <si>
    <t>https://twitter.com/MacFarlaneNews/status/982352552447565825</t>
  </si>
  <si>
    <t>Randy Colucci</t>
  </si>
  <si>
    <t>https://www.justice.gov/usao-wdny/pr/niagara-falls-man-arrested-charged-receipt-and-possession-child-pornography , https://www.justice.gov/usao-wdny/pr/niagara-falls-man-going-prison-possessing-child-pornography</t>
  </si>
  <si>
    <t>Rashad Russell</t>
  </si>
  <si>
    <t>https://www.justice.gov/usao-nj/pr/south-carolina-man-admits-distribution-child-pornography</t>
  </si>
  <si>
    <t>https://www.justice.gov/usao-nj/pr/south-carolina-man-charged-distribution-child-pornography</t>
  </si>
  <si>
    <t>James Larkin (Lacey)</t>
  </si>
  <si>
    <t>Backpage.com-FBI Raid &amp; Seizure-Sex trafficking, sex trafficking of a minor</t>
  </si>
  <si>
    <t>https://www.justice.gov/opa/pr/justice-department-leads-effort-seize-backpagecom-internet-s-leading-forum-prostitution-ads</t>
  </si>
  <si>
    <t>https://www.courtlistener.com/docket/6358216/united-states-v-lacey/</t>
  </si>
  <si>
    <t>Michael Lacey</t>
  </si>
  <si>
    <t>Scott Spear (Lacey)</t>
  </si>
  <si>
    <t>John "Jed" Brunst (Lacey)</t>
  </si>
  <si>
    <t>Daniel Hyer (Lacey)</t>
  </si>
  <si>
    <t>Andrew Padilla (Lacey)</t>
  </si>
  <si>
    <t>Jaala Joye Vaught (Lacey)</t>
  </si>
  <si>
    <t>Robert B Kesling</t>
  </si>
  <si>
    <t>April 7, 2018</t>
  </si>
  <si>
    <t>http://www.trentonian.com/article/TT/20180407/NEWS/180409825</t>
  </si>
  <si>
    <t>Monsignor Carlo Alberto Capella</t>
  </si>
  <si>
    <t>Vatican</t>
  </si>
  <si>
    <t>Vatican diplomat arrest on CP charges based on US Intel 8/2017</t>
  </si>
  <si>
    <t>https://www.theguardian.com/world/2018/apr/07/vatican-arrests-own-diplomat-on-suspicion-of-child-abuse-images</t>
  </si>
  <si>
    <t>Distribution of CA and CP</t>
  </si>
  <si>
    <t>https://www.justice.gov/usao-nj/pr/ocean-county-new-jersey-man-charged-distributing-images-child-sexual-abuse</t>
  </si>
  <si>
    <t>https://www.justice.gov/usao-nj/pr/ocean-county-man-admits-distributing-images-child-sexual-abuse</t>
  </si>
  <si>
    <t>Peter John Dalgish</t>
  </si>
  <si>
    <t>April 8, 2018</t>
  </si>
  <si>
    <t>Nepal</t>
  </si>
  <si>
    <t>Canadian UN worker arrested for pedophile charges</t>
  </si>
  <si>
    <t>http://www.newsweek.com/former-senior-united-nations-official-facing-pedophilia-charges-nepal-876783</t>
  </si>
  <si>
    <t>Bonnie Hughes / John Kohlmeier</t>
  </si>
  <si>
    <t>April 9, 2018</t>
  </si>
  <si>
    <t>Exploitation of 10 yr old/ Distribution of CP</t>
  </si>
  <si>
    <t>https://www.justice.gov/usao-wdny/pr/rochester-couple-charged-sexually-exploiting-10-year-old-child   https://www.justice.gov/usao-wdny/pr/rochester-man-pleads-guilty-sexually-exploiting-child , https://www.fbi.gov/contact-us/field-offices/buffalo/news/press-releases/rochester-woman-sentenced-for-production-of-child-pornography</t>
  </si>
  <si>
    <t>https://www.justice.gov/usao-wdny/pr/rochester-woman-pleads-guilty-production-child-pornography</t>
  </si>
  <si>
    <t>Thomas Sadler</t>
  </si>
  <si>
    <t>CP Production &amp; Distribution</t>
  </si>
  <si>
    <t>http://wtkr.com/2018/04/10/man-arrested-after-month-long-child-pornography-investigation-in-isle-of-wight/</t>
  </si>
  <si>
    <t>Jordan Ryan Turner</t>
  </si>
  <si>
    <t>Project Safe Childhood- CP production &amp; related charges</t>
  </si>
  <si>
    <t>https://www.justice.gov/usao-edky/pr/bell-county-man-indicted-child-pornography , https://www.justice.gov/usao-edky/pr/middlesboro-man-sentenced-188-months-attempted-production-child-pornography</t>
  </si>
  <si>
    <t>https://www.courtlistener.com/docket/8452421/united-states-v-turner/</t>
  </si>
  <si>
    <t>John Golom</t>
  </si>
  <si>
    <t>April 10, 2018</t>
  </si>
  <si>
    <t>https://www.justice.gov/usao-mdpa/pr/florida-man-charged-sex-trafficking</t>
  </si>
  <si>
    <t>https://www.courtlistener.com/docket/15496484/united-states-v-golom/</t>
  </si>
  <si>
    <t>Daniel Palmitessa</t>
  </si>
  <si>
    <t>https://www.justice.gov/usao-mdpa/pr/stroudsburg-man-indicted-child-pornography-charges</t>
  </si>
  <si>
    <t>http://www.poconorecord.com/news/20180420/accused-predators-bail-set-at-15-million</t>
  </si>
  <si>
    <t>Keron Eugene Lucious</t>
  </si>
  <si>
    <t>https://www.justice.gov/usao-nm/pr/fourth-defendant-pleads-guilty-federal-charges-commercial-sex-trafficking-ring</t>
  </si>
  <si>
    <t>James Keenan</t>
  </si>
  <si>
    <t>April 11, 2018</t>
  </si>
  <si>
    <t>Sex trafficking of a minor by former NJ cop</t>
  </si>
  <si>
    <t>https://thefreethoughtproject.com/nj-cop-arrested-for-sex-trafficking-teen/</t>
  </si>
  <si>
    <t>Zachary Ballinger</t>
  </si>
  <si>
    <t>Project Safe Childhood-Exploitation of a chile</t>
  </si>
  <si>
    <t>https://www.courtlistener.com/docket/6422444/united-states-v-ballinger/</t>
  </si>
  <si>
    <t>Roger Dale Boshers</t>
  </si>
  <si>
    <t>CP &amp; enticement of a minor</t>
  </si>
  <si>
    <t>https://www.justice.gov/usao-ndca/pr/san-francisco-man-sentenced-twelve-and-half-years-prison-scheme-use-internet-entice</t>
  </si>
  <si>
    <t>https://www.courtlistener.com/docket/7007919/united-states-v-boshers/</t>
  </si>
  <si>
    <t>Gary DeLynn Linder</t>
  </si>
  <si>
    <t>April 12, 2018</t>
  </si>
  <si>
    <t>TSA Employee Child Exploitation / CP related charges</t>
  </si>
  <si>
    <t>https://www.justice.gov/usao-sdfl/pr/tsa-employee-arrested-and-charged-attempted-production-child-pornography</t>
  </si>
  <si>
    <t>https://www.justice.gov/usao-sdfl/pr/tsa-employee-sentenced-15-years-prison-attempted-production-child-pornography-and</t>
  </si>
  <si>
    <t>https://www.courtlistener.com/docket/6972164/united-states-v-linder/</t>
  </si>
  <si>
    <t>Sex trafficking of minors across state lines</t>
  </si>
  <si>
    <t>https://www.usnews.com/news/best-states/new-mexico/articles/2018-04-12/8-accused-of-sex-trafficking-minors-in-arizona-new-mexico</t>
  </si>
  <si>
    <t>https://upnorthlive.com/news/local/10-men-charged-after-prostitution-sting-in-grand-traverse-county</t>
  </si>
  <si>
    <t>Jonathan Oldale</t>
  </si>
  <si>
    <t>April 13, 2018</t>
  </si>
  <si>
    <t>https://www.justice.gov/usao-md/pr/chevy-chase-man-charged-production-child-pornography-arrested   https://www.justice.gov/usao-md/pr/chevy-chase-man-who-secretly-videotaped-children-his-home-sentenced-20-years-federal</t>
  </si>
  <si>
    <t>http://www.fox5dc.com/news/local-news/chevy-chase-man-accused-of-holding-splash-parties-filming-dozens-of-children-undressed</t>
  </si>
  <si>
    <t>https://www.courtlistener.com/?q=&amp;type=r&amp;order_by=score+desc&amp;docket_number=8%3A18-cr-00545&amp;court=mdd</t>
  </si>
  <si>
    <t>https://www.cbp.gov/newsroom/local-media-release/laredo-sector-border-patrol-agents-rescue-six-illegal-aliens</t>
  </si>
  <si>
    <t>Brad Gaskin</t>
  </si>
  <si>
    <t>http://www.cbs46.com/story/37995178/man-arrested-for-sex-trafficking-victim-rescued</t>
  </si>
  <si>
    <t>Aaron Quackenbush</t>
  </si>
  <si>
    <t>April 16, 2018</t>
  </si>
  <si>
    <t>https://www.justice.gov/usao-nv/pr/reno-man-sentenced-seven-years-prison-receipt-child-pornography</t>
  </si>
  <si>
    <t>https://lasvegassun.com/news/2018/dec/19/reno-man-sentenced-to-7-years-on-receipt-of-child/</t>
  </si>
  <si>
    <t>https://www.courtlistener.com/docket/6365850/united-states-v-quackenbush/</t>
  </si>
  <si>
    <t>Richard Bailey</t>
  </si>
  <si>
    <t>April 17, 2018</t>
  </si>
  <si>
    <t>https://www.justice.gov/usao-me/pr/gardiner-man-sentenced-25-years-producing-and-possessing-child-pornography</t>
  </si>
  <si>
    <t>https://www.centralmaine.com/2018/04/26/gardiner-man-accused-of-producing-child-pornography/</t>
  </si>
  <si>
    <t>https://www.courtlistener.com/docket/6666949/united-states-v-bailey/</t>
  </si>
  <si>
    <t>April 18, 2018</t>
  </si>
  <si>
    <t>Germany</t>
  </si>
  <si>
    <t>Germany's biggest ever raid on Thai human trafficking</t>
  </si>
  <si>
    <t>http://www.scmp.com/news/world/europe/article/2142321/germany-smashes-massive-thai-sex-trafficking-ring-biggest-ever</t>
  </si>
  <si>
    <t>Kevin Hutchinson</t>
  </si>
  <si>
    <t>April 19, 2018</t>
  </si>
  <si>
    <t>Orange Cty Deputy arrested w/7G of CP</t>
  </si>
  <si>
    <t>https:// www.clickorlando.com/news/orange-county-deputy-arrested-on-child-porn-charge-feds-say</t>
  </si>
  <si>
    <t>Jose Cortes</t>
  </si>
  <si>
    <t>https://www.justice.gov/usao-ri/pr/central-falls-resident-detained-child-pornography-production-possession-charges</t>
  </si>
  <si>
    <t>https://www.courtlistener.com/docket/6785618/united-states-v-cortes/</t>
  </si>
  <si>
    <t>Kriz Mike Nunez</t>
  </si>
  <si>
    <t>https://www.nbcbayarea.com/news/local/SF-Police-DA-Announce-Arrest-of-Human-Trafficking-Suspect-484910491.html</t>
  </si>
  <si>
    <t>David Weaks</t>
  </si>
  <si>
    <t>https://www.justice.gov/usao-sdca/pr/former-sdusd-teacher-sentenced-receipt-child-pornography https://www.justice.gov/usao-sdca/pr/san-diego-unified-school-teacher-charged-distribution-child-pornography</t>
  </si>
  <si>
    <t>https://www.nbcsandiego.com/news/local/Computer-Thumb-Drives-Could-Yield-New-Evidence-Against-Child-Porn-Suspect-486082511.html</t>
  </si>
  <si>
    <t>https://www.courtlistener.com/docket/6369122/united-states-v-weaks/</t>
  </si>
  <si>
    <t>http://archive.fo/Feijk</t>
  </si>
  <si>
    <t>http://archive.fo/4gazY</t>
  </si>
  <si>
    <t>Allison Mack</t>
  </si>
  <si>
    <t>April 20, 2018</t>
  </si>
  <si>
    <t>Human trafficking, sex trafficking, forced labor &amp; related charges</t>
  </si>
  <si>
    <t>https://www.justice.gov/usao-edny/pr/founder-nxivm-purported-self-help-organization-and-actor-indicted-sex-trafficking-and</t>
  </si>
  <si>
    <t>Eric Bower</t>
  </si>
  <si>
    <t>http://wnep.com/2018/04/20/bloomsburg-mayor-arrested-for-attempting-to-solicit-prostitutes/</t>
  </si>
  <si>
    <t>Armando Vargas</t>
  </si>
  <si>
    <t>Wanted by US Marshalls for human smuggling</t>
  </si>
  <si>
    <t>https://www.lmtonline.com/local/crime/article/Man-wanted-for-smuggling-humans-busted-in-Laredo-12850396.php</t>
  </si>
  <si>
    <t>https://www.cbp.gov/newsroom/local-media-release/laredo-sector-border-patrol-agents-rescue-59-illegal-aliens-tractor</t>
  </si>
  <si>
    <t>April 22, 2018</t>
  </si>
  <si>
    <t>https://www.cbp.gov/newsroom/local-media-release/agents-foil-smuggling-attempt-arrest-gang-member</t>
  </si>
  <si>
    <t>Taroy Lakeith Ireland / Leshea Lucetia Pearl Marie</t>
  </si>
  <si>
    <t>April 23, 2018</t>
  </si>
  <si>
    <t>https://www.mercurynews.com/2018/04/23/human-trafficking-suspects-arrested-near-san-bruno-mall/</t>
  </si>
  <si>
    <t>John Middlemiss Palmer</t>
  </si>
  <si>
    <t>https://thegoldwater.com/news/23891-Texas-Pediatrician-Arrested-After-Caught-with-Child-Pornography-Stash-in-Office</t>
  </si>
  <si>
    <t>https://www.cbp.gov/newsroom/local-media-release/two-suspects-arrested-alien-smuggling</t>
  </si>
  <si>
    <t>Amber McMains / Jovan Hibberts</t>
  </si>
  <si>
    <t>http://www.princewilliamtimes.com/news/two-charged-with-sex-trafficking-in-manassas-area/article_5d8d380a-4d69-11e8-95f1-c38ed2d8de39.html</t>
  </si>
  <si>
    <t>http://www.themonitor.com/news/local/article_3351161e-4e82-11e8-9c91-ef9f49ffcff1.html</t>
  </si>
  <si>
    <t>Charles Guyer</t>
  </si>
  <si>
    <t>https://www.justice.gov/usao-ndny/pr/repeat-johnstown-sex-offender-pleads-guilty-child-pornography-charges</t>
  </si>
  <si>
    <t>Steven G. Peterson</t>
  </si>
  <si>
    <t>https://www.justice.gov/usao-ne/pr/grand-island-man-convicted-receipt-child-pornography-0</t>
  </si>
  <si>
    <t>Benjamin J. Varieur</t>
  </si>
  <si>
    <t>April 25, 2018</t>
  </si>
  <si>
    <t>https://www.justice.gov/usao-ndny/pr/saratoga-springs-man-arrested-receipt-child-pornography</t>
  </si>
  <si>
    <t>Derek Carlson</t>
  </si>
  <si>
    <t>https://www.justice.gov/usao-wdny/pr/indiana-man-sentenced-10-years-prison-child-pornography-charge</t>
  </si>
  <si>
    <t>Miguel Pagan</t>
  </si>
  <si>
    <t>https://www.justice.gov/usao-de/pr/wilmington-man-receives-210-month-prison-sentence-possessing-child-pornography</t>
  </si>
  <si>
    <t>John Snow</t>
  </si>
  <si>
    <t>https://www.justice.gov/usao-mdpa/pr/manchester-man-indicted-impersonating-deputy-us-marshal-order-commit-child-exploitation</t>
  </si>
  <si>
    <t>https://fox43.com/2018/11/06/man-accused-of-posing-as-u-s-marshal-to-get-teen-to-perform-sex-acts-with-him-indicted-on-federal-charges/</t>
  </si>
  <si>
    <t>Christopher Kinney</t>
  </si>
  <si>
    <t>April 26, 2018</t>
  </si>
  <si>
    <t>https://www.justice.gov/usao-ri/pr/warren-man-arraigned-attempted-enticement-child-pornography-charges</t>
  </si>
  <si>
    <t>Ryan Shephard</t>
  </si>
  <si>
    <t>https://www.petoskeynews.com/news/crime/gaylord-doctor-arrested-on-soliciting-prostitution-narcotic-charges/article_860cd74a-a34d-58d6-b623-0410d82314c4.html</t>
  </si>
  <si>
    <t>Christopher Hoyt</t>
  </si>
  <si>
    <t>https://www.justice.gov/usao-ndny/pr/oswego-county-man-pleads-guilty-child-pornography-offenses</t>
  </si>
  <si>
    <t>https://www.syracuse.com/crime/2018/04/police_oswego_county_man_arrested_for_having_child_porn.html</t>
  </si>
  <si>
    <t>https://archive.vn/wip/PVMok</t>
  </si>
  <si>
    <t>April 30, 2018</t>
  </si>
  <si>
    <t>https://www.cbp.gov/newsroom/local-media-release/car-chase-ends-seven-arrested-smuggling-attempt</t>
  </si>
  <si>
    <t>Anthony D Stagnitta</t>
  </si>
  <si>
    <t>https://www.justice.gov/usao-mdfl/pr/unf-student-arrested-and-charged-distributing-child-sex-abuse-videos-over-internet</t>
  </si>
  <si>
    <t>https://www.courtlistener.com/docket/6440798/united-states-v-stagnitta/</t>
  </si>
  <si>
    <t>Antonio Young</t>
  </si>
  <si>
    <t>http://www.newsherald.com/news/20180509/bay-county-man-arrested-for-sex-trafficking</t>
  </si>
  <si>
    <t>David Roy Jones</t>
  </si>
  <si>
    <t>https://www.justice.gov/usao-wdny/pr/former-rochester-resident-pleads-guilty-producing-child-pornography</t>
  </si>
  <si>
    <t xml:space="preserve">https://nydailyrecord.com/2018/05/18/former-rochester-man-charged-with-child-pornography/ </t>
  </si>
  <si>
    <t>https://archive.vn/K76SA</t>
  </si>
  <si>
    <t>William Francis Walsh IV</t>
  </si>
  <si>
    <t>https://www.justice.gov/usao-sdca/pr/vista-man-sentenced-more-17-years-prison-child-pornography-offenses</t>
  </si>
  <si>
    <t>Operation Guardians of Innocence II-CP distribution &amp; related charges</t>
  </si>
  <si>
    <t>http://www.polksheriff.org/news-investigations/polk-county-news/2018/06/05/undercover-child-pornography-investigation-operations-guardians-of-innocence-ii-results-in-11-arrests</t>
  </si>
  <si>
    <t>Project Safe Summer-Sex trafficking of minors &amp; related charges</t>
  </si>
  <si>
    <t>https://www.dailywire.com/news/31651/atlanta-sex-trafficking-sting-results-hundreds-ryan-saavedra</t>
  </si>
  <si>
    <t>http://www.kwtx.com/content/news/Grand-jury-indicts-woman-arrested-in-joint-massage-parlor-raids-485413991.html</t>
  </si>
  <si>
    <t>Michael Walpole</t>
  </si>
  <si>
    <t>https://www.justice.gov/usao-edpa/pr/philadelphia-man-sentenced-17-years-manufacturing-child-pornography</t>
  </si>
  <si>
    <t>https://www.courtlistener.com/docket/8055881/united-states-v-walpole/</t>
  </si>
  <si>
    <t>Christopher &amp; Danielle Glotfelty</t>
  </si>
  <si>
    <t>https://www.justice.gov/usao-nm/pr/albuquerque-man-pleads-guilty-federal-production-child-pornography-charges</t>
  </si>
  <si>
    <t>John Honnigford</t>
  </si>
  <si>
    <t>https://www.justice.gov/usao-sdin/pr/former-evansville-physician-sentenced-five-years-federal-prison-possessing-child</t>
  </si>
  <si>
    <t>https://www.14news.com/2019/10/01/former-evansville-doctor-changes-plea-federal-pornography-charge/</t>
  </si>
  <si>
    <t>https://archive.vn/67hyk</t>
  </si>
  <si>
    <t>Kenneth Minnick</t>
  </si>
  <si>
    <t>https://www.justice.gov/usao-mdfl/pr/fort-myers-man-sentenced-twenty-years-receiving-and-possessing-child-pornography</t>
  </si>
  <si>
    <t>https://www.courtlistener.com/docket/6630330/united-states-v-minnick/</t>
  </si>
  <si>
    <t>Kevin Scott Smith</t>
  </si>
  <si>
    <t>https://www.justice.gov/usao-mdnc/pr/man-sentenced-after-being-caught-child-pornography-moore-county</t>
  </si>
  <si>
    <t>https://www.courtlistener.com/docket/6443879/united-states-v-smith/</t>
  </si>
  <si>
    <t>Jeffrey Townsend</t>
  </si>
  <si>
    <t>https://www.justice.gov/usao-ndok/pr/two-men-plead-guilty-child-pornography-offenses</t>
  </si>
  <si>
    <t>https://www.courtlistener.com/docket/13418637/united-states-v-townsend/</t>
  </si>
  <si>
    <t>Scott Frederick Arterbury</t>
  </si>
  <si>
    <t>https://www.courtlistener.com/docket/6381313/united-states-v-arterbury/</t>
  </si>
  <si>
    <t>Donald A Delateur</t>
  </si>
  <si>
    <t>Operation Broken Heart-CP related charges</t>
  </si>
  <si>
    <t>https://www.justice.gov/usao-wdwa/pr/olympia-washington-man-prior-conviction-possessing-images-child-rape-and-abuse</t>
  </si>
  <si>
    <t>https://www.courtlistener.com/docket/7299287/united-states-v-delateur/</t>
  </si>
  <si>
    <t>Andrew Steiskal</t>
  </si>
  <si>
    <t>https://www.justice.gov/usao-wdwi/pr/grand-jury-returns-three-indictments-2, https://www.justice.gov/usao-wdwi/pr/man-sentenced-15-years-producing-child-pornography https://www.justice.gov/usao-wdwi/pr/grand-jury-returns-three-indictments-2</t>
  </si>
  <si>
    <t>https://www.courtlistener.com/docket/6978420/united-states-v-steiskal-andrew/</t>
  </si>
  <si>
    <t>Manuel Diaz</t>
  </si>
  <si>
    <t>https://www.justice.gov/usao-sdtx/pr/convicted-sex-offender-detained-new-child-porn-charge, https://www.justice.gov/usao-sdtx/pr/registered-sex-offender-sentenced-distribution-child-pornography-after-viewing</t>
  </si>
  <si>
    <t>https://www.courtlistener.com/docket/6887326/united-states-v-diaz/</t>
  </si>
  <si>
    <t>Michael Scott Grenninger</t>
  </si>
  <si>
    <t>Project Safe Childhood-CP Production/Enticement of minor for prostitution</t>
  </si>
  <si>
    <t>https://www.justice.gov/usao-mdpa/pr/lock-haven-man-indicted-production-child-pornography-and-enticing-minors-engage</t>
  </si>
  <si>
    <t>Robert Abacan / Frances Abacan</t>
  </si>
  <si>
    <t>https://www.justice.gov/usao-mdga/pr/federal-grand-jury-returns-fourteen-indictments</t>
  </si>
  <si>
    <t>https://www.courtlistener.com/?q=&amp;type=r&amp;order_by=score+desc&amp;docket_number=7%3A18-cr-00020&amp;court=gamd</t>
  </si>
  <si>
    <t>Thomas Goodman</t>
  </si>
  <si>
    <t>https://www.justice.gov/usao-ri/pr/warwick-man-detained-charges-producing-possessing-child-pornography   https://www.justice.gov/usao-ri/pr/warwick-man-sentenced-260-years-federal-prison-producing-and-possessing-child-pornography</t>
  </si>
  <si>
    <t>https://www.courtlistener.com/docket/7985782/united-states-v-goodman/</t>
  </si>
  <si>
    <t>Kenneth Wayne Burk</t>
  </si>
  <si>
    <t>https://www.justice.gov/opa/pr/virginia-man-indicted-multiple-counts-producing-child-pornography</t>
  </si>
  <si>
    <t>https://www.justice.gov/opa/pr/virginia-man-sentenced-25-years-prison-producing-images-himself-sexually-abusing-child</t>
  </si>
  <si>
    <t>Luca DaPra</t>
  </si>
  <si>
    <t>https://www.justice.gov/usao-edwi/pr/green-bay-man-charged-child-pornography-offenses</t>
  </si>
  <si>
    <t>https://www.courtlistener.com/docket/6861254/united-states-v-dapra/</t>
  </si>
  <si>
    <t>Juan Carlos Carmona</t>
  </si>
  <si>
    <t>https://www.justice.gov/usao-ks/pr/wichita-pharmacy-owner-indicted-rx-opioid-case</t>
  </si>
  <si>
    <t>David Wayne McDaniel</t>
  </si>
  <si>
    <t>https://www.justice.gov/usao-sdwv/pr/charleston-man-pleads-guilty-child-pornography-charge</t>
  </si>
  <si>
    <t>https://www.courtlistener.com/docket/6442616/united-states-v-mcdaniel/</t>
  </si>
  <si>
    <t>D. Fairchild / J Szuba / M. Allen</t>
  </si>
  <si>
    <t>November 2018</t>
  </si>
  <si>
    <t>https://www.justice.gov/usao-sdoh/pr/three-ohio-men-charged-case-involving-sexual-abuse-toddlers</t>
  </si>
  <si>
    <t>https://www.newarkadvocate.com/story/news/local/2018/11/26/licking-county-men-plea-guilty-child-pornography-case-charges/2112800002/</t>
  </si>
  <si>
    <t>https://www.courtlistener.com/docket/8070880/united-states-v-fairchild/</t>
  </si>
  <si>
    <t>Matthew Ceasar Ferguson /Joshua Malik Coleman</t>
  </si>
  <si>
    <t>Project Safe Neighborhoods-CP production &amp; related charges</t>
  </si>
  <si>
    <t>https://www.justice.gov/usao-wdva/pr/two-danville-men-plead-guilty-child-pornography-charge</t>
  </si>
  <si>
    <t>https://www.courtlistener.com/?q=&amp;type=r&amp;order_by=score+desc&amp;docket_number=4%3A18-cr-00009&amp;court=vawd</t>
  </si>
  <si>
    <t>Edward Lee Daughenbaugh</t>
  </si>
  <si>
    <t>https://www.justice.gov/usao-wdla/pr/deridder-man-sentenced-10-years-prison-second-conviction-child-pornography</t>
  </si>
  <si>
    <t>https://www.courtlistener.com/docket/7173890/united-states-v-daughenbaugh/</t>
  </si>
  <si>
    <t>Joseph Harris</t>
  </si>
  <si>
    <t>https://www.justice.gov/usao-edny/pr/brooklyn-man-indicted-sex-trafficking-and-possessing-firearm</t>
  </si>
  <si>
    <t>https://www.courtlistener.com/docket/8398707/united-states-v-harris/</t>
  </si>
  <si>
    <t>Devin Wolfe</t>
  </si>
  <si>
    <t>https://www.justice.gov/usao-sdwv/pr/roane-county-man-sentenced-federal-prison-child-pornography-crime</t>
  </si>
  <si>
    <t>https://www.courtlistener.com/?q=&amp;type=r&amp;order_by=score+desc&amp;docket_number=2%3A18-cr-00104&amp;court=wvsd</t>
  </si>
  <si>
    <t>Courtland Barnes</t>
  </si>
  <si>
    <t>https://www.justice.gov/usao-ednc/pr/wilson-man-sentenced-receipt-and-possession-child-pornography</t>
  </si>
  <si>
    <t>http://www.wilsontimes.com/stories/child-porn-convict-gets-federal-sentence,159408</t>
  </si>
  <si>
    <t>https://www.courtlistener.com/docket/6518903/united-states-v-barnes/</t>
  </si>
  <si>
    <t>Steven Nowell</t>
  </si>
  <si>
    <t>https://www.justice.gov/usao-edva/pr/prostitution-customer-sentenced-sexually-exploiting-two-minor-girls</t>
  </si>
  <si>
    <t>Joshua Box</t>
  </si>
  <si>
    <t>https://www.justice.gov/usao-wdar/pr/fayetteville-man-sentenced-15-years-federal-rison-receiving-and-possession-child</t>
  </si>
  <si>
    <t>https://www.courtlistener.com/docket/7121694/united-states-v-box/</t>
  </si>
  <si>
    <t>Michael W Collius</t>
  </si>
  <si>
    <t>https://www.justice.gov/usao-ednc/pr/warren-county-man-sentenced-6-years-imprisonment-child-pornography-charges</t>
  </si>
  <si>
    <t>Jacob Quinlan Navarrette</t>
  </si>
  <si>
    <t>https://www.justice.gov/usao-edok/pr/eufaula-man-sentenced-78-months-3000-restitution-possession-material-involving-sexual</t>
  </si>
  <si>
    <t>Jason E. Holmes</t>
  </si>
  <si>
    <t>https://www.justice.gov/usao-edva/pr/former-leesburg-resident-pleads-guilty-child-pornography-offense</t>
  </si>
  <si>
    <t>Michael Reynolds</t>
  </si>
  <si>
    <t>https://web.archive.org/web/20190104025638/https://lacrossetribune.com/news/local/crime-and-courts/arcadia-child-molester-gets-years-for-possessing-child-pornography/article_31c9bc78-d24c-5dea-a822-6e34a3cd2e7c.html</t>
  </si>
  <si>
    <t>http://archive.fo/IBttz</t>
  </si>
  <si>
    <t>Jose A Zubia</t>
  </si>
  <si>
    <t>May 1, 2018</t>
  </si>
  <si>
    <t>https://www.justice.gov/usao-wdtx/pr/midland-man-sentenced-30-years-federal-prison-attempting-entice-child-distribution</t>
  </si>
  <si>
    <t>https://rightwingtribune.com/2018/12/09/out-of-texas-news/</t>
  </si>
  <si>
    <t>https://www.courtlistener.com/docket/6903415/united-states-v-zubia/</t>
  </si>
  <si>
    <t>Kenneth J Monahan</t>
  </si>
  <si>
    <t>https://www.justice.gov/usao-ndny/pr/menands-man-charged-possessing-child-pornography , https://www.justice.gov/usao-ndny/pr/menands-man-sentenced-8-years-child-pornography-offenses</t>
  </si>
  <si>
    <t>https://www.justice.gov/usao-wdny/pr/former-rochester-resident-going-prison-20-years-producing-child-pornography</t>
  </si>
  <si>
    <t>Frank W Maile</t>
  </si>
  <si>
    <t>https://www.justice.gov/usao-nj/pr/new-egypt-new-jersey-man-arrested-charge-production-child-pornography-abroad , https://www.justice.gov/usao-nj/pr/mercer-county-man-indicted-production-child-pornography-abroad-illicit-sexual-conduct</t>
  </si>
  <si>
    <t>https://www.justice.gov/usao-nj/pr/new-egypt-new-jersey-man-arrested-charge-production-child-pornography-abroad</t>
  </si>
  <si>
    <t>https://www.courtlistener.com/docket/7000098/united-states-v-maile/</t>
  </si>
  <si>
    <t>Wyatt Max Snavely</t>
  </si>
  <si>
    <t>Jack D Daggett</t>
  </si>
  <si>
    <t>https://www.courtlistener.com/?q=&amp;type=r&amp;order_by=score+desc&amp;docket_number=3%3A18-cr-05017&amp;court=mowd</t>
  </si>
  <si>
    <t>Operation Safe Summer</t>
  </si>
  <si>
    <t>https://www.fbi.gov/contact-us/field-offices/atlanta/news/press-releases/fbi-announces-results-of-operation-safe-summer</t>
  </si>
  <si>
    <t>Brianna Starkes</t>
  </si>
  <si>
    <t>https://spectrumlocalnews.com/tx/san-antonio/news/2018/05/02/teen-accused-of-enticing-minors-into-prostitution-in-san-antonio-</t>
  </si>
  <si>
    <t>Chase Christopher Kent /Chloe Elizabeth Kent</t>
  </si>
  <si>
    <t>May 8, 2018</t>
  </si>
  <si>
    <t>http://www.wacotrib.com/news/police/married-couple-indicted-in-sexual-assault-trafficking-of-girl/article_35fbb112-6fc1-5234-9014-a3a311158fad.html</t>
  </si>
  <si>
    <t>http://www.newsandtribune.com/news/human-trafficking-victims-identified-in-clark-county-operation/article_b06aba64-4e51-11e8-894b-b3a55a1ce83a.html</t>
  </si>
  <si>
    <t>Unnamed parents</t>
  </si>
  <si>
    <t>May 7, 2018</t>
  </si>
  <si>
    <t>http://krwg.org/post/child-welfare-workers-leave-amid-child-prostitution-probe</t>
  </si>
  <si>
    <t>Patrick Barron</t>
  </si>
  <si>
    <t>http://cleveland.cbslocal.com/video/category/news/3856643-man-busted-for-prostitution-in-beechview/</t>
  </si>
  <si>
    <t>Paul Edward Lee, Jr</t>
  </si>
  <si>
    <t>Project Safe Childhood-CP solicitation</t>
  </si>
  <si>
    <t>https://www.justice.gov/usao-mdfl/pr/sexual-predator-arrested-and-charged-solicitation-child-pornography-over-internet , https://www.justice.gov/usao-mdfl/pr/jury-convicts-sexual-predator-soliciting-child-sex-abuse-videos-using-cellphone</t>
  </si>
  <si>
    <t>https://www.courtlistener.com/docket/6596723/united-states-v-lee-jr/</t>
  </si>
  <si>
    <t>Justin Watson</t>
  </si>
  <si>
    <t>https://www.news-leader.com/story/news/crime/2018/05/03/former-missouri-highway-patrol-trooper-indicted-child-porn-charge/576657002/</t>
  </si>
  <si>
    <t>James Stewart / Teri Sanchez</t>
  </si>
  <si>
    <t>May 3, 2018</t>
  </si>
  <si>
    <t>https://www.lcsun-news.com/story/news/local/2018/05/04/police-arrest-mother-girl-suspected-being-forced-into-prostitution/580928002/</t>
  </si>
  <si>
    <t>Emanuel Mois</t>
  </si>
  <si>
    <t>https://www.justice.gov/usao-edca/pr/citrus-heights-man-indicted-receipt-child-pornography</t>
  </si>
  <si>
    <t>https://www.justice.gov/usao-edca/pr/citrus-heights-man-pleads-guilty-receipt-child-pornography</t>
  </si>
  <si>
    <t>Aaron Lester / Antonio King Jr</t>
  </si>
  <si>
    <t>http://www.kvoa.com/story/38155815/child-prostitution-bust-in-tucson</t>
  </si>
  <si>
    <t>Yehudi Manzano</t>
  </si>
  <si>
    <t>https://www.justice.gov/usao-ct/pr/waterbury-man-charged-child-pornography-offenses</t>
  </si>
  <si>
    <t>https://www.courtlistener.com/?q=&amp;type=r&amp;order_by=score+desc&amp;docket_number=3%3A18-cr-00095&amp;court=ctd</t>
  </si>
  <si>
    <t>Dustin Trey Miyakawa</t>
  </si>
  <si>
    <t>HI</t>
  </si>
  <si>
    <t>CP distribution &amp; child exploitation</t>
  </si>
  <si>
    <t>https://www.justice.gov/usao-hi/pr/honolulu-man-indicted-soliciting-commercial-sex-act-minor</t>
  </si>
  <si>
    <t>Christopher H Meza</t>
  </si>
  <si>
    <t>https://www.justice.gov/usao-nm/pr/deming-man-arrested-federal-child-pornography-charges-0</t>
  </si>
  <si>
    <t>Christopher Hernandez Meza</t>
  </si>
  <si>
    <t>https://www.justice.gov/usao-nm/pr/deming-man-pleads-guilty-federal-child-pornography-charge</t>
  </si>
  <si>
    <t>Milton Sumrell</t>
  </si>
  <si>
    <t>https://www.justice.gov/usao-ndfl/pr/tallahassee-man-sentenced-180-months-production-child-pornography</t>
  </si>
  <si>
    <t>https://www.justice.gov/usao-ndfl/pr/tallahassee-man-charged-committing-federal-child-pornography-crimes</t>
  </si>
  <si>
    <t>Mark Buechler</t>
  </si>
  <si>
    <t>https://www.justice.gov/usao-wdny/pr/henrietta-man-pleads-guilty-producing-child-pornography</t>
  </si>
  <si>
    <t>Derrick Joseph Rady</t>
  </si>
  <si>
    <t>Project Safe Childhood.Father engaged daughter in CP/Distribution</t>
  </si>
  <si>
    <t>https://www.justice.gov/usao-nv/pr/reno-man-pleads-guilty-sexual-exploitation-infant-daughter</t>
  </si>
  <si>
    <t>May 6, 2018</t>
  </si>
  <si>
    <t>http://www.wlky.com/article/lmpd-makes-multiple-arrests-during-human-trafficking-sting/20199552</t>
  </si>
  <si>
    <t>Jerimeah Bessolo-Marsh</t>
  </si>
  <si>
    <t>May 4, 2018</t>
  </si>
  <si>
    <t>https://www.eastbaytimes.com/2018/05/07/contra-costa-man-charged-with-trafficking-teen-girl-from-yolo-county-producing-child-porn/</t>
  </si>
  <si>
    <t>Fares Al Rashed</t>
  </si>
  <si>
    <t>http://www.dailydemocrat.com/article/NI/20180712/NEWS/180719936</t>
  </si>
  <si>
    <t>Lixiang Chen</t>
  </si>
  <si>
    <t>May 5, 2018</t>
  </si>
  <si>
    <t>Sex trafficking Arrest</t>
  </si>
  <si>
    <t>https://www.wkyc.com/article/news/crime/2-nc-women-lived-in-spa-operating-as-prostitution-front-sheriff/95-549206987</t>
  </si>
  <si>
    <t>Jared Adam Britt /Michelle Lynn McGinnis-Camut</t>
  </si>
  <si>
    <t>http://www.tribdem.com/news/johnstown-couple-accused-of-kidnapping-prostitution/article_ca637bbe-5274-11e8-ae18-c7effcf5c852.html</t>
  </si>
  <si>
    <t>Steven Derek Dukes</t>
  </si>
  <si>
    <t>https://www.justice.gov/usao-mdga/pr/mauk-man-pleads-guilty-child-pornography-charge</t>
  </si>
  <si>
    <t>https://www.justice.gov/usao-mdga/pr/mauk-man-sentenced-121-months-child-porn-charges</t>
  </si>
  <si>
    <t>https://www.courtlistener.com/docket/6616319/united-states-v-dukes/</t>
  </si>
  <si>
    <t>Jason Ford</t>
  </si>
  <si>
    <t>https://www.justice.gov/usao-sdfl/pr/alabama-man-pretending-be-college-softball-coach-sentenced-15-years-prison-attempting https://www.justice.gov/usao-sdfl/pr/alabama-man-pretending-be-college-softball-coach-pleads-guilty-south-florida-producing</t>
  </si>
  <si>
    <t>https://www.miamiherald.com/news/state/florida/article222354745.html</t>
  </si>
  <si>
    <t>https://www.courtlistener.com/docket/7099498/united-states-v-ford/</t>
  </si>
  <si>
    <t>http://archive.fo/23phN</t>
  </si>
  <si>
    <t>Dishay Henderson</t>
  </si>
  <si>
    <t>https://www.ice.gov/news/releases/tallahassee-man-sentenced-25-years-sex-trafficking-minor</t>
  </si>
  <si>
    <t>https://www.wctv.tv/2020/07/30/tallahassee-man-sentenced-to-25-years-in-prison-for-sex-trafficking-of-a-minor/</t>
  </si>
  <si>
    <t>https://archive.vn/wip/QVVzV</t>
  </si>
  <si>
    <t>https://archive.vn/wip/RFRwg</t>
  </si>
  <si>
    <t>Derek Clemens</t>
  </si>
  <si>
    <t>https://www.justice.gov/usao-ndia/pr/evansdale-man-pleads-guilty-receiving-child-pornography</t>
  </si>
  <si>
    <t>Erica Shante Reviere</t>
  </si>
  <si>
    <t>http://www.wnct.com/news/local-news/first-on-9-pitt-co-check-point-nabs-fugitive-wanted-for-sex-trafficking-of-a-child/1163402348</t>
  </si>
  <si>
    <t>Mihirbhai Patel</t>
  </si>
  <si>
    <t>http://www.dailyjournal.net/2018/05/08/man_arrested_of_charges_of_soliciting_minors_for_prostitution/</t>
  </si>
  <si>
    <t>https://www.cbp.gov/newsroom/local-media-release/phoenix-couple-arrested-human-smuggling</t>
  </si>
  <si>
    <t>https://www.cbp.gov/newsroom/local-media-release/border-patrol-agents-arrest-sex-offender-human-smuggling-attempt</t>
  </si>
  <si>
    <t>Cindy Lenette Gutierrez</t>
  </si>
  <si>
    <t>http://www.sandiegouniontribune.com/news/courts/sd-me-chinese-smuggled-20180606-story.html</t>
  </si>
  <si>
    <t>Seth M Rector</t>
  </si>
  <si>
    <t>https://www.justice.gov/usao-edwi/pr/appleton-man-sentenced-possession-child-pornography</t>
  </si>
  <si>
    <t>https://www.courtlistener.com/?q=&amp;type=r&amp;order_by=score+desc&amp;docket_number=1%3A18-cr-00103&amp;court=wied</t>
  </si>
  <si>
    <t>Kenneth Viggo Albertsen</t>
  </si>
  <si>
    <t>Thailand</t>
  </si>
  <si>
    <t>US Retiree in Thailand arrested for selling sex w/Myanmar women for 10 yrs</t>
  </si>
  <si>
    <t>http://www.scmp.com/news/asia/southeast-asia/article/2145179/american-retiree-accused-running-sex-tours-thailand-myanmar</t>
  </si>
  <si>
    <t>https://www.tallahassee.com/story/news/2018/05/09/second-man-charged-trafficking-missing-teens/594617002/</t>
  </si>
  <si>
    <t>Richard Edward Alexander</t>
  </si>
  <si>
    <t>CP/Sexual assault</t>
  </si>
  <si>
    <t>http://www.kolotv.com/content/news/Fallon-man-arrested-for-child-pornography-and-sexual-assault-482216311.html</t>
  </si>
  <si>
    <t>http://www.kgns.tv/content/news/Four-men-in-San-Antonio-arrested-in--482832351.html</t>
  </si>
  <si>
    <t>Amanda Errin Hunt (Baggott et al)</t>
  </si>
  <si>
    <t>https://www.justice.gov/usao-wdmo/pr/el-dorado-springs-woman-new-jersey-man-indicted-producing-child-pornography</t>
  </si>
  <si>
    <t>https://www.courtlistener.com/?q=&amp;type=r&amp;order_by=score+desc&amp;docket_number=6%3A19-cr-03056&amp;court=mowd</t>
  </si>
  <si>
    <t>Daniel Thomas Baggott</t>
  </si>
  <si>
    <t>Marvin Perry, Jr (Henderson et al)</t>
  </si>
  <si>
    <t>https://www.wtxl.com/news/second-tallahassee-man-arrested-for-trafficking-having-sex-with-two/article_6c8e2264-3b45-11e8-99e9-c32036aa0f80.html</t>
  </si>
  <si>
    <t>https://archive.vn/V0KPL</t>
  </si>
  <si>
    <t>https://archive.vn/wip/6IkxX</t>
  </si>
  <si>
    <t>Eddie Leon Williams</t>
  </si>
  <si>
    <t>May 9, 2018</t>
  </si>
  <si>
    <t>http://www.wacotrib.com/news/courts_and_trials/waco-man-indicted-on-human-trafficking-charges/article_489fb1f3-5a4f-5be4-82db-384311528bed.html</t>
  </si>
  <si>
    <t>http://www.chattanoogan.com/2018/5/10/368547/6-Arrested-In-East-Lake-In-Prostitution.aspx</t>
  </si>
  <si>
    <t>Shawn Callwood</t>
  </si>
  <si>
    <t>USVI</t>
  </si>
  <si>
    <t>https://www.justice.gov/usao-vi/pr/st-thomas-boat-captain-arrested-charges-smuggling-illegal-aliens-dominican-republic-and</t>
  </si>
  <si>
    <t>http://www.virginislandsdailynews.com/news/prosecutors-outline-criminal-history-of-captain-charged-in-smuggling-bid/article_34fc4d2e-18a2-5786-8fdb-b8cec8fb14a8.html</t>
  </si>
  <si>
    <t>https://www.courtlistener.com/docket/7293286/united-states-v-callwood/</t>
  </si>
  <si>
    <t>https://www.cbp.gov/newsroom/local-media-release/amo-stops-private-vessel-transporting-5-aliens-near-st-john</t>
  </si>
  <si>
    <t>Raysean Williams</t>
  </si>
  <si>
    <t>Operation Predator-Sex trafficking of a minor</t>
  </si>
  <si>
    <t>https://www.justice.gov/usao-ri/pr/two-indicted-allegedly-sex-trafficking-minor , https://www.ice.gov/news/releases/ice-hsi-boston-investigation-brings-10-year-prison-sentence-rhode-island-child-sex</t>
  </si>
  <si>
    <t>https://mugshots.com/Current-Events/REYSEAN-WILLIAMS.153738921.html</t>
  </si>
  <si>
    <t>http://archive.fo/hOfTH</t>
  </si>
  <si>
    <t>http://archive.fo/xrCsc</t>
  </si>
  <si>
    <t>Leandro Gomes</t>
  </si>
  <si>
    <t>Frank Miles III</t>
  </si>
  <si>
    <t>https://www.justice.gov/usao-mdfl/pr/rockledge-man-sentenced-30-years-committing-sex-crimes-against-children</t>
  </si>
  <si>
    <t>https://www.floridatoday.com/story/news/crime/2018/12/21/melbourne-man-sentenced-30-years-enticing-minor-child-pornography/2385422002/</t>
  </si>
  <si>
    <t>https://www.courtlistener.com/docket/7555257/united-states-v-miles/</t>
  </si>
  <si>
    <t>Mark Irizarry</t>
  </si>
  <si>
    <t>May 10, 2018</t>
  </si>
  <si>
    <t>https://www.justice.gov/usao-sdny/pr/bronx-man-sentenced-20-years-prison-possession-and-distribution-child-pornography-and</t>
  </si>
  <si>
    <t>https://www.courtlistener.com/?q=&amp;type=r&amp;order_by=score+desc&amp;docket_number=1%3A18-cr-00005&amp;court=nysd</t>
  </si>
  <si>
    <t>Jay Robert Sebben</t>
  </si>
  <si>
    <t>https://www.justice.gov/usao-sdia/pr/waukee-man-sentenced-130-months-prison-receipt-child-pornography</t>
  </si>
  <si>
    <t>https://ktvo.com/live/iowa-guard-it-specialist-sentenced-for-having-thousands-of-child-porn-images</t>
  </si>
  <si>
    <t>https://www.courtlistener.com/docket/6593005/united-states-v-sebben/</t>
  </si>
  <si>
    <t>https://archive.fo/h7i67</t>
  </si>
  <si>
    <t>May 12 2017</t>
  </si>
  <si>
    <t>https://tbinewsroom.com/2017/05/12/twelve-arrested-in-operation-someone-like-me-in-dyersburg/</t>
  </si>
  <si>
    <t>Joleen Marie Gambardella</t>
  </si>
  <si>
    <t>May 11, 2018</t>
  </si>
  <si>
    <t>https://www.timesleader.com/news/703607/woman-charged-with-promoting-prostitution-child-endangerment</t>
  </si>
  <si>
    <t>Patrick Monahan / Kenneth McLay</t>
  </si>
  <si>
    <t>https://www.wabi.tv/content/news/Two-Old-Town-men-sent-to-prison-for-child-porn-arrested-again-for-same-crime-482401851.html</t>
  </si>
  <si>
    <t>https://www.justice.gov/usao-me/pr/old-town-man-pleads-guilty-distribution-and-possession-child-pornography   https://www.justice.gov/usao-me/pr/old-town-man-sentenced-20-years-distribution-and-possession-child-pornography   https://www.justice.gov/usao-me/pr/old-town-man-sentenced-35-years-sexual-exploitation-children-and-distribution-and</t>
  </si>
  <si>
    <t>https://www.courtlistener.com/docket/7843765/united-states-v-mclay/</t>
  </si>
  <si>
    <t>Rosalvo Caetano</t>
  </si>
  <si>
    <t>May 12, 2018</t>
  </si>
  <si>
    <t>https://www.justice.gov/usao-ndny/pr/brazilian-man-sentenced-illegal-alien-smuggling</t>
  </si>
  <si>
    <t>https://www.courtlistener.com/docket/6832142/united-states-v-caetano/</t>
  </si>
  <si>
    <t>Deepak Deshpande</t>
  </si>
  <si>
    <t>Project Safe Childhood-Sexual exploitation of a minor</t>
  </si>
  <si>
    <t>https://www.justice.gov/usao-mdfl/pr/california-man-sentenced-life-federal-prison-sexually-exploiting-minor-orlando</t>
  </si>
  <si>
    <t>https://www.courtlistener.com/docket/7067887/united-states-v-deshpande/</t>
  </si>
  <si>
    <t>Rudy Lopez / Timmon Crenshaw</t>
  </si>
  <si>
    <t>May 13, 2018</t>
  </si>
  <si>
    <t>http://abc30.com/madera-police-arrest-2-men-for-sex-trafficking-/3469952/</t>
  </si>
  <si>
    <t>https://www.cbp.gov/newsroom/local-media-release/border-patrol-agents-arrest-four-mexican-nationals-crammed-trunk-over</t>
  </si>
  <si>
    <t>https://www.cbp.gov/newsroom/local-media-release/two-men-arrested-smuggling-salvadorian-national-trunk</t>
  </si>
  <si>
    <t>Ferrell Walker</t>
  </si>
  <si>
    <t>May 14, 2018</t>
  </si>
  <si>
    <t>http://www.valdostadailytimes.com/news/local_news/quitman-man-returns-to-prison-on-child-porn-violation/article_42b1fb5f-919c-587a-8238-a45bd59dc9e0.html</t>
  </si>
  <si>
    <t>Dianna Viator</t>
  </si>
  <si>
    <t>http://www.nola.com/crime/index.ssf/2018/05/woman_accused_of_sex_trafficki.html</t>
  </si>
  <si>
    <t>https://www.cbp.gov/newsroom/local-media-release/tucson-woman-arrested-smuggling-people-trunk</t>
  </si>
  <si>
    <t>Michael Nelson</t>
  </si>
  <si>
    <t>May 15, 2018</t>
  </si>
  <si>
    <t>http://whotv.com/2018/05/15/man-charged-with-sex-trafficking-at-flying-j-in-altoona-officials-warn-problem-is-getting-worse/</t>
  </si>
  <si>
    <t>Keith Cannon Keller</t>
  </si>
  <si>
    <t>http://thecount.com/2018/05/15/keith-cannon-keller-fl-man-claims-smoked-meth-with-14-year-old-girl-to-keep-her-off-streets/</t>
  </si>
  <si>
    <t>Richard Belden</t>
  </si>
  <si>
    <t>Project Safe Childhood-CP distribution &amp; charges (Possession of 58 terabytes of CP)</t>
  </si>
  <si>
    <t>https://www.justice.gov/usao-edtx/pr/collin-county-man-sentenced-35-years-child-pornography-violations</t>
  </si>
  <si>
    <t xml:space="preserve">http://www.fox4news.com/news/allen-man-busted-with-58-terabytes-of-child-porn </t>
  </si>
  <si>
    <t>https://archive.vn/PkL8A</t>
  </si>
  <si>
    <t>Shirley Sparks</t>
  </si>
  <si>
    <t>http://www.tuscaloosanews.com/news/20180517/tuscaloosa-police-charge-laquinta-inn-manager-with-human-trafficking</t>
  </si>
  <si>
    <t>Rody Bowden</t>
  </si>
  <si>
    <t>May 16, 2018</t>
  </si>
  <si>
    <t>https://www.justice.gov/usao-md/pr/prince-george-s-county-man-indicted-charges-sex-trafficking-and-sexual-exploitation-minor</t>
  </si>
  <si>
    <t>Michael Gerald Moody</t>
  </si>
  <si>
    <t>https://www.justice.gov/usao-edva/pr/man-pleads-guilty-producing-and-distributing-child-pornography</t>
  </si>
  <si>
    <t>Andre Alan Thorpe</t>
  </si>
  <si>
    <t>https://www.justice.gov/usao-ednc/pr/roxboro-man-sentenced-child-exploitation-offenses</t>
  </si>
  <si>
    <t>https://www.courtlistener.com/docket/6744764/united-states-v-thorpe/</t>
  </si>
  <si>
    <t>https://www.mysanantonio.com/news/local/crime/article/Police-6-suspects-arrested-in-San-Antonio-12925752.php</t>
  </si>
  <si>
    <t>Jason Christopher Davis</t>
  </si>
  <si>
    <t>http://kfoxtv.com/news/local/border-patrol-agent-arrested-for-possession-of-child-porn</t>
  </si>
  <si>
    <t>https://www.justice.gov/usao-nm/pr/former-supervisory-us-border-patrol-agent-pleads-guilty-federal-child-pornography-charge</t>
  </si>
  <si>
    <t>https://www.courtlistener.com/docket/15683367/united-states-v-davis/</t>
  </si>
  <si>
    <t>http://www.crimevoice.com/2018/05/22/human-trafficking-operation-rescued-two-juveniles-arrested-26/</t>
  </si>
  <si>
    <t>Dashawn Webster</t>
  </si>
  <si>
    <t>May 20, 2018</t>
  </si>
  <si>
    <t>https://www.justice.gov/usao-edva/pr/man-sentenced-24-years-producing-images-child-sexual-abuse</t>
  </si>
  <si>
    <t>http://wtkr.com/2018/05/23/portsmouth-man-put-copyright-symbol-on-homemade-child-porn-feds-say/</t>
  </si>
  <si>
    <t>May 17, 2018</t>
  </si>
  <si>
    <t>https://www.cbp.gov/newsroom/local-media-release/amo-usbp-pursues-vehicle-and-arrests-five</t>
  </si>
  <si>
    <t>http://ktxs.com/news/abilene/10-arrested-abilene-police-target-johns-in-undercover-prostitution-sting</t>
  </si>
  <si>
    <t>Paul Doucet</t>
  </si>
  <si>
    <t>https://www.justice.gov/usao-wdwi/pr/la-crosse-county-man-sentenced-10-years-possessing-child-pornography</t>
  </si>
  <si>
    <t>https://www.courtlistener.com/docket/7191576/united-states-v-doucet-paul/</t>
  </si>
  <si>
    <t>Taylor T Sullivan</t>
  </si>
  <si>
    <t>https://www.justice.gov/usao-wdny/pr/elmira-man-pleads-guilty-receipt-child-pornography</t>
  </si>
  <si>
    <t>Light in Childhood 2-Aided by US intel</t>
  </si>
  <si>
    <t>http://www.business-standard.com/article/pti-stories/police-arrest-251-seize-child-pornography-in-brazil-raids-118051800093_1.html</t>
  </si>
  <si>
    <t>Taiwan Reed / Rickiya Ronice Fulcher</t>
  </si>
  <si>
    <t>https://www.pe.com/2018/05/19/2-arrested-on-suspicion-of-human-trafficking-pimping-in-riverside/</t>
  </si>
  <si>
    <t>http://www.modbee.com/latest-news/article211529869.html</t>
  </si>
  <si>
    <t>https://www.cbp.gov/newsroom/local-media-release/agents-arrest-19-year-old-smuggler-immigration-checkpoint-near-three</t>
  </si>
  <si>
    <t>Matthew Lee Humphries</t>
  </si>
  <si>
    <t>May 19, 2018</t>
  </si>
  <si>
    <t>https://www.forsythnews.com/local/crime-courts/north-forsyth-man-denied-bond-alleged-child-trafficking-charges/</t>
  </si>
  <si>
    <t>Xzaivier McGee / Dasha Smith</t>
  </si>
  <si>
    <t>http://www.fresnobee.com/news/local/crime/article211779599.html</t>
  </si>
  <si>
    <t xml:space="preserve">Unnamed </t>
  </si>
  <si>
    <t>http://www.breitbart.com/texas/2018/05/20/human-smugglers-lead-border-patrol-agents-on-pursuit-with-migrants-locked-in-trunk/</t>
  </si>
  <si>
    <t>https://www.cbp.gov/newsroom/local-media-release/i-19-immigration-checkpoint-agents-arrest-3-women-human-smuggling</t>
  </si>
  <si>
    <t>Byron Richards</t>
  </si>
  <si>
    <t>http://www.wafb.com/story/38237811/baton-rouge-man-accused-of-rape-human-trafficking-of-teenager-with-mental-disability</t>
  </si>
  <si>
    <t>Human smuggling-3 Cuban nationals.MS13 member was one of migrants</t>
  </si>
  <si>
    <t>http://www.breitbart.com/texas/2018/05/23/three-cuban-nationals-accused-of-human-smuggling-in-south-texas/</t>
  </si>
  <si>
    <t>Neal Braden</t>
  </si>
  <si>
    <t>May 21, 2018</t>
  </si>
  <si>
    <t>https://www.justice.gov/usao-ndny/pr/florida-truck-driver-pleads-guilty-child-pornography-charges</t>
  </si>
  <si>
    <t>https://www.courtlistener.com/docket/6829212/united-states-v-braden/</t>
  </si>
  <si>
    <t>Justin Stephen Martinez</t>
  </si>
  <si>
    <t>https://www.justice.gov/usao-sdia/pr/pottawattamie-county-man-sentenced-receipt-child-pornography</t>
  </si>
  <si>
    <t>https://www.courtlistener.com/docket/14887065/united-states-v-martinez/</t>
  </si>
  <si>
    <t>Joseph &amp; Kanyarat Fetterman</t>
  </si>
  <si>
    <t>https://www.navytimes.com/news/your-navy/2018/05/21/sailor-wife-accused-of-running-prostitution-ring-out-of-oklahoma-massage-parlor/</t>
  </si>
  <si>
    <t>Dustin Clark</t>
  </si>
  <si>
    <t>June 1, 2018</t>
  </si>
  <si>
    <t>Operation Pipeline-Sex trafficking</t>
  </si>
  <si>
    <t>http://www.newswest9.com/story/38329905/mpd-conducts-undercover-operation-dozens-arrested-for-prostitution</t>
  </si>
  <si>
    <t>May 22, 2018</t>
  </si>
  <si>
    <t>https://patch.com/texas/round-rock/3-round-rock-residents-charged-promoting-prostitution</t>
  </si>
  <si>
    <t>http://abc6onyourside.com/news/nation-world/88-undocumented-immigrants-found-inside-tractor-trailer-in-texas-05-24-2018</t>
  </si>
  <si>
    <t>https://www.justice.gov/usao-ednc/pr/wilmington-man-sentenced-10-years-imprisonment-after-police-seize-his-cache-child</t>
  </si>
  <si>
    <t>https://www.courtlistener.com/docket/6870130/united-states-v-sanchez/</t>
  </si>
  <si>
    <t>Feliciano Felipe Diaz-Estrada</t>
  </si>
  <si>
    <t>https://www.justice.gov/usao-ndny/pr/mexican-citizen-sentenced-smuggling-illegal-alien</t>
  </si>
  <si>
    <t>https://www.courtlistener.com/?q=&amp;type=r&amp;order_by=score+desc&amp;docket_number=8%3A18-cr-00219&amp;court=nynd</t>
  </si>
  <si>
    <t>Jerry Matthew Berry</t>
  </si>
  <si>
    <t>https://www.justice.gov/usao-ndok/pr/tulsa-man-admits-creating-sexually-violent-images-children-using-photographs-downloaded</t>
  </si>
  <si>
    <t>https://www.tulsaworld.com/news/crimewatch/tulsa-man-arrested-on-child-pornography-complaints/article_2dcd0323-ccfe-581b-824f-9f9f6b84a3c5.html</t>
  </si>
  <si>
    <t>https://www.courtlistener.com/docket/7672863/united-states-v-berry/</t>
  </si>
  <si>
    <t>May 23, 2018</t>
  </si>
  <si>
    <t>https://www.abc10.com/article/news/local/12-arrested-in-sacramento-county-human-trafficking-sting/103-558031339</t>
  </si>
  <si>
    <t>http://www.knssradio.com/articles/another-sting-operation-s-broadway-wichita</t>
  </si>
  <si>
    <t>https://www.ice.gov/news/releases/39-illegal-aliens-discovered-south-texas-human-smuggler-stash-house</t>
  </si>
  <si>
    <t>Shelly Hayes</t>
  </si>
  <si>
    <t>https://www.tristatehomepage.com/news/local-news/ohio-co-mom-indicted-for-human-trafficking-sexual-abuse-charges/1354901293</t>
  </si>
  <si>
    <t>Kashamba John / Tyler Bachtel</t>
  </si>
  <si>
    <t>https://www.stl.news/pennsylvania-human-traffickers-lured-victim-forced-prostitution-now-face-federal-charges/127543/</t>
  </si>
  <si>
    <t>https://www.justice.gov/usao-edpa/pr/two-charged-sex-trafficking-force-one-defendant-remains-large</t>
  </si>
  <si>
    <t>https://www.courtlistener.com/?q=&amp;type=r&amp;order_by=score+desc&amp;docket_number=2%3A18-mj-00685&amp;court=paed</t>
  </si>
  <si>
    <t>David Williams</t>
  </si>
  <si>
    <t>http://ktla.com/2018/05/29/san-bernardino-man-sentenced-to-10-years-for-sex-trafficking-of-19-year-old/</t>
  </si>
  <si>
    <t>Ronald Manns Seaman, Jr.</t>
  </si>
  <si>
    <t>https://www.justice.gov/usao-mdfl/pr/tampa-man-sentenced-30-years-producing-child-pornography-7-year-old-boy</t>
  </si>
  <si>
    <t>Scott Stephen Howard</t>
  </si>
  <si>
    <t>https://www.justice.gov/usao-edca/pr/yuba-city-man-charged-receipt-child-pornography</t>
  </si>
  <si>
    <t>https://www.courtlistener.com/docket/6929198/united-states-v-howard/</t>
  </si>
  <si>
    <t>Willie Dishon Matthew Obadiah</t>
  </si>
  <si>
    <t>https://www.justice.gov/usao-sdfl/pr/32-year-old-north-carolina-resident-pleads-guilty-sex-trafficking-minor</t>
  </si>
  <si>
    <t>https://www.thenorthwestern.com/story/news/crime/2018/05/25/human-trafficking-oshkosh-police-arrest-man-26-irving-avenue/645196002/</t>
  </si>
  <si>
    <t>May 26, 2018</t>
  </si>
  <si>
    <t>https://www.wftv.com/news/local/daytona-beach-prostitution-sting-nets-17-arrests-over-holiday-weekend/757800288</t>
  </si>
  <si>
    <t>https://www.palmbeachpost.com/news/crime--law/three-arrested-human-trafficking-prostitution-charges-west-palm/eZ0S2hqGl0Dbmz6OjgoIFI/</t>
  </si>
  <si>
    <t>Cornelius Antoine Green / Amanda Gail Shelby</t>
  </si>
  <si>
    <t>http://www.ksfy.com/content/news/Two-from-Indiana-arrested-in-Sioux-Falls-for-promoting-prostitution-484002331.html</t>
  </si>
  <si>
    <t>Travis E Walker</t>
  </si>
  <si>
    <t>May 29, 2018</t>
  </si>
  <si>
    <t>https://www.justice.gov/usao-sdoh/pr/local-man-charged-producing-child-pornography, https://www.justice.gov/usao-sdoh/pr/local-man-pleads-guilty-creating-child-pornography-through-sexual-abuse-toddler</t>
  </si>
  <si>
    <t>https://www.stl.news/ohio-news-daytontravis-e-walkerlocal-man-charged-producing-child-pornography/129410/</t>
  </si>
  <si>
    <t>https://www.courtlistener.com/docket/6915923/united-states-v-walker/</t>
  </si>
  <si>
    <t>https://www.cbp.gov/newsroom/local-media-release/tractor-trailer-smuggling-attempts-continue-rio-grande-valley</t>
  </si>
  <si>
    <t>Eric Rauch</t>
  </si>
  <si>
    <t>Sex trafficking of a minor &amp; distribution of porn to minor</t>
  </si>
  <si>
    <t>https://www.sbsun.com/2018/05/31/big-bear-city-man-suspected-of-pandering-minor-for-prostitution-pleads-not-guilty-to-charges/</t>
  </si>
  <si>
    <t>Anthony Curato</t>
  </si>
  <si>
    <t>May 30, 2018</t>
  </si>
  <si>
    <t>https://www.justice.gov/usao-nj/pr/monmouth-county-man-charged-production-child-pornography</t>
  </si>
  <si>
    <t>https://www.courtlistener.com/docket/7412242/united-states-v-curato/</t>
  </si>
  <si>
    <t>Kevin Connor Armitage</t>
  </si>
  <si>
    <t>Project Safe Chilhood-Interstate travel to have sex w/a minor</t>
  </si>
  <si>
    <t>https://www.justice.gov/usao-wdmo/pr/former-university-professor-sentenced-traveling-missouri-sex-minor</t>
  </si>
  <si>
    <t>https://www.courtlistener.com/?q=&amp;type=r&amp;order_by=score+desc&amp;docket_number=4%3A18-cr-00165&amp;court=mowd</t>
  </si>
  <si>
    <t>Edward Lee</t>
  </si>
  <si>
    <t>https://www.nbcmiami.com/news/local/Police-Man-in-Miami-Dade-Jail-Forced-Teen-Into-Prostitution-484079911.html</t>
  </si>
  <si>
    <t>Stephen Henderson</t>
  </si>
  <si>
    <t>https://www.palmbeachpost.com/news/breaking-news/port-lucie-man-arrested-for-child-porn-faces-counts/WhyTqHHDO2taKKBYra5F0O/</t>
  </si>
  <si>
    <t>Robert Soares</t>
  </si>
  <si>
    <t>https://www.justice.gov/usao-ri/pr/cranston-man-held-state-kidnapping-domestic-violence-charges-charged-federal-court</t>
  </si>
  <si>
    <t>https://www.justice.gov/usao-ri/pr/east-providence-resident-detained-allegedly-receiving-and-possessing-child-pornography</t>
  </si>
  <si>
    <t>https://www.courtlistener.com/docket/7915683/united-states-v-soares/</t>
  </si>
  <si>
    <t>Sex trafficking arrests &amp; related charges</t>
  </si>
  <si>
    <t>https://www.pleasantonweekly.com/news/2018/06/01/pleasanton-police-arrest-11-in-prostitution-sting</t>
  </si>
  <si>
    <t>Matthew Gregory</t>
  </si>
  <si>
    <t>https://www.justice.gov/usao-edmo/pr/bridgeton-man-pleads-guilty-possession-child-pornography-charges</t>
  </si>
  <si>
    <t>https://www.courtlistener.com/docket/6613245/united-states-v-gregory/</t>
  </si>
  <si>
    <t>Kenneth Christian Javi Garcia</t>
  </si>
  <si>
    <t>https://www.justice.gov/usao-mdfl/pr/fort-myers-man-sentenced-six-years-distributing-child-pornography</t>
  </si>
  <si>
    <t>https://www.courtlistener.com/docket/7079870/united-states-v-garcia/</t>
  </si>
  <si>
    <t>Corey J Hayes</t>
  </si>
  <si>
    <t>https://www.justice.gov/usao-ne/pr/falls-city-man-sentenced-child-pornography-charges</t>
  </si>
  <si>
    <t>https://www.courtlistener.com/docket/7262223/united-states-v-hayes/</t>
  </si>
  <si>
    <t>Matthew Slaughter</t>
  </si>
  <si>
    <t>https://www.justice.gov/usao-wdwi/pr/grand-jury-returns-indictments-charging-child-pornography-tax-drug-gun-and-immigration</t>
  </si>
  <si>
    <t>Jonathan D Murphy</t>
  </si>
  <si>
    <t>https://www.fbi.gov/contact-us/field-offices/portland/news/press-releases/the-dalles-man-sentenced-to-seven-years-in-federal-prison-for-transporting-and-possessing-child-pornography</t>
  </si>
  <si>
    <t>Ryan Davis</t>
  </si>
  <si>
    <t>https://www.justice.gov/usao-edpa/pr/west-chester-university-student-indicted-child-pornography-charges</t>
  </si>
  <si>
    <t>https://www.courtlistener.com/?q=&amp;type=r&amp;order_by=score+desc&amp;docket_number=2%3A18-cr-00229&amp;court=paed</t>
  </si>
  <si>
    <t>Yehven Lysak</t>
  </si>
  <si>
    <t>https://www.cbp.gov/newsroom/local-media-release/cbp-stops-human-smuggling-attempt-peace-bridge</t>
  </si>
  <si>
    <t>Zhi Lin / Yali Yang / Peng Li</t>
  </si>
  <si>
    <t>Human/Labor trafficking arrests</t>
  </si>
  <si>
    <t>http://www.kwtx.com/content/news/Deputies-health-department-workers-serve-warrant-at-local-restaurant-484292581.html</t>
  </si>
  <si>
    <t>David Johnson</t>
  </si>
  <si>
    <t>CP distribution &amp; related charges - 6.6 million files</t>
  </si>
  <si>
    <t>http://westchester.news12.com/story/38326564/da-sini-amityville-man-arrested-in-massive-child-porn-bust</t>
  </si>
  <si>
    <t>Paul Delavan Knoke</t>
  </si>
  <si>
    <t>https://www.justice.gov/usao-wdnc/pr/retired-air-force-lieutenant-colonel-sentenced-15-years-child-pornography-charges</t>
  </si>
  <si>
    <t>https://www.courtlistener.com/docket/7059614/united-states-v-knoke/</t>
  </si>
  <si>
    <t>Michael Gutierrez</t>
  </si>
  <si>
    <t>https://www.justice.gov/usao-nh/pr/california-resident-sentenced-25-years-producing-child-pornography</t>
  </si>
  <si>
    <t>https://www.wcax.com/content/news/496586771.html</t>
  </si>
  <si>
    <t>https://www.courtlistener.com/docket/6739844/united-states-v-gutierrez/</t>
  </si>
  <si>
    <t>Austin Lloyd</t>
  </si>
  <si>
    <t>https://www.justice.gov/usao-ndoh/pr/six-men-indicted-crimes-related-child-pornography-or-child-exploitation</t>
  </si>
  <si>
    <t>https://www.courtlistener.com/?q=&amp;type=r&amp;order_by=score+desc&amp;docket_number=5%3A18-cr-00336&amp;court=ohnd</t>
  </si>
  <si>
    <t>Nicholas Snyder</t>
  </si>
  <si>
    <t>https://www.courtlistener.com/docket/7299477/united-states-v-snyder/</t>
  </si>
  <si>
    <t>Justin McKnight</t>
  </si>
  <si>
    <t>https://www.courtlistener.com/docket/7304693/united-states-v-mcknight/</t>
  </si>
  <si>
    <t>Allen Bernhardt</t>
  </si>
  <si>
    <t>https://www.courtlistener.com/docket/7304972/united-states-v-bernhardt/</t>
  </si>
  <si>
    <t>Jason Warner</t>
  </si>
  <si>
    <t>https://www.courtlistener.com/?q=&amp;type=r&amp;order_by=score+desc&amp;docket_number=5%3A18-cr-00335&amp;court=ohnd</t>
  </si>
  <si>
    <t>Brandon Koko</t>
  </si>
  <si>
    <t>https://www.nbcsandiego.com/news/local/Boyfriend-Arrested-Accused-of-Selling-Underage-Girlfriend-for-Sex-487298311.html</t>
  </si>
  <si>
    <t>Gregory Marshall</t>
  </si>
  <si>
    <t>https://www.justice.gov/usao-wdmo/pr/kentucky-truck-driver-prior-sex-offender-indicted-child-pornography</t>
  </si>
  <si>
    <t>https://www.courtlistener.com/?q=&amp;type=r&amp;order_by=score+desc&amp;docket_number=6%3A18-mj-02036&amp;court=mowd</t>
  </si>
  <si>
    <t>Sonam Tsering / Zhaxi Taxing</t>
  </si>
  <si>
    <t>http://www.phayul.com/news/tools/print.aspx?id=39275</t>
  </si>
  <si>
    <t xml:space="preserve">Elias Serrano    </t>
  </si>
  <si>
    <t>June 30, 2018</t>
  </si>
  <si>
    <t>https://www.elpasotimes.com/story/news/immigration/2018/07/14/undocumented-immigrants-human-smugglers-arrested-el-paso-area-raids-ice-stash-houses/784191002/</t>
  </si>
  <si>
    <t>https://www.ice.gov/news/releases/hsi-el-paso-border-patrol-agents-arrest-18-alien-smugglers-117-illegal-aliens-seize</t>
  </si>
  <si>
    <t>https://www.courtlistener.com/docket/7414362/united-states-v-serrano/</t>
  </si>
  <si>
    <t>Jesus Briseno</t>
  </si>
  <si>
    <t>https://www.courtlistener.com/docket/7418603/united-states-v-briseno/</t>
  </si>
  <si>
    <t>July 31, 2018</t>
  </si>
  <si>
    <t>https://www.click2houston.com/news/68-men-arrested-on-prostitution-charges-in-june-july-2018-hpd-says</t>
  </si>
  <si>
    <t>Dillon Wicks</t>
  </si>
  <si>
    <t>Operation Predator-CP related charges</t>
  </si>
  <si>
    <t>https://www.ice.gov/news/releases/wyoming-man-sentenced-5-years-federal-prison-distributing-child-pornography</t>
  </si>
  <si>
    <t>Michael Farber</t>
  </si>
  <si>
    <t>https://www.courtlistener.com/docket/7015555/united-states-v-farber/</t>
  </si>
  <si>
    <t>Edward Anthony Contes</t>
  </si>
  <si>
    <t>https://www.courtlistener.com/docket/7315905/united-states-v-contes/</t>
  </si>
  <si>
    <t>Samuel Lasala</t>
  </si>
  <si>
    <t>August 23, 2018</t>
  </si>
  <si>
    <t>https://www.justice.gov/usao-nj/pr/former-employee-new-jersey-university-admits-distributing-images-child-pornography-over</t>
  </si>
  <si>
    <t>https://themontclarion.org/feature-story/former-montclair-state-employee-pleads-guilty-to-distributing-child-pornography/</t>
  </si>
  <si>
    <t>Shea Smith</t>
  </si>
  <si>
    <t>https://www.justice.gov/usao-ndin/pr/fort-wayne-man-sentenced-78-months-prison</t>
  </si>
  <si>
    <t>https://www.courtlistener.com/docket/7648370/united-states-v-smith/</t>
  </si>
  <si>
    <t>Jeffrey L Harris</t>
  </si>
  <si>
    <t>https://www.justice.gov/usao-sc/pr/pickens-man-pleads-guilty-child-porn-charges</t>
  </si>
  <si>
    <t>Carrie Marie Minton</t>
  </si>
  <si>
    <t>Project Safe Chldhood-CP production &amp; attempted kidnapping</t>
  </si>
  <si>
    <t>https://www.justice.gov/usao-sdga/pr/final-defendant-sentenced-federal-prison-production-child-pornography</t>
  </si>
  <si>
    <t>Dennis Weston</t>
  </si>
  <si>
    <t>https://www.justice.gov/usao-ak/pr/former-employee-alaska-dept-juvenile-justice-charged-possession-child-pornography , https://www.justice.gov/usao-ak/pr/former-deputy-director-alaska-dept-juvenile-justice-sentenced-possession-child</t>
  </si>
  <si>
    <t>https://www.adn.com/alaska-news/crime-courts/2018/10/18/former-mclaughlin-youth-center-superintendent-charged-with-possession-of-child-pornography/</t>
  </si>
  <si>
    <t>https://www.courtlistener.com/?q=&amp;type=r&amp;order_by=score+desc&amp;docket_number=3%3A18-cr-00123&amp;court=akd</t>
  </si>
  <si>
    <t>Jose Sanchez</t>
  </si>
  <si>
    <t>https://www.justice.gov/usao-id/pr/boise-man-sentenced-30-months-prison-access-intent-view-child-pornography</t>
  </si>
  <si>
    <t>https://www.courtlistener.com/docket/7285267/united-states-v-sanchez/</t>
  </si>
  <si>
    <t>David Gilbert</t>
  </si>
  <si>
    <t>https://www.justice.gov/usao-mdfl/pr/sex-offender-sentenced-14-years-possession-child-pornography</t>
  </si>
  <si>
    <t>https://www.floridatoday.com/story/news/crime/2018/12/10/merritt-island-man-sentenced-14-years-federal-prison-child-porn/2270403002/</t>
  </si>
  <si>
    <t>https://www.courtlistener.com/docket/7515884/united-states-v-gilbert/</t>
  </si>
  <si>
    <t>December 18, 2018</t>
  </si>
  <si>
    <t>https://www.justice.gov/usao-sdny/pr/us-attorney-announces-charges-against-19-defendants-sex-trafficking-minor-girls-and</t>
  </si>
  <si>
    <t>https://www.courtlistener.com/docket/7590762/united-states-v-dupigny/</t>
  </si>
  <si>
    <t>Hubert Dupigny</t>
  </si>
  <si>
    <t>https://www.justice.gov/usao-sdny/pr/us-attorney-announces-charges-against-19-defendants-sex-trafficking-minor-girls-and , https://www.justice.gov/usao-sdny/pr/hubert-dupigny-convicted-manhattan-federal-court-sex-trafficking-offenses</t>
  </si>
  <si>
    <t>Troy George Skinner</t>
  </si>
  <si>
    <t>https://www.justice.gov/usao-edva/pr/new-zealand-man-indicted-kidnapping-and-child-pornography</t>
  </si>
  <si>
    <t>https://www.wric.com/news/crime/new-zealand-man-indicted-for-child-porn-kidnapping-in-case-involving-goochland-minor/1760238920</t>
  </si>
  <si>
    <t>NZ</t>
  </si>
  <si>
    <t>Kirk David Blank</t>
  </si>
  <si>
    <t>https://www.justice.gov/usao-mdfl/pr/largo-man-sentenced-transporting-child-pornography</t>
  </si>
  <si>
    <t>https://www.courtlistener.com/docket/7003001/united-states-v-blank/</t>
  </si>
  <si>
    <t>June 2, 2018</t>
  </si>
  <si>
    <t>https://www.cbp.gov/newsroom/local-media-release/border-patrol-agents-foil-drug-and-human-smuggling-attempts</t>
  </si>
  <si>
    <t>https://www.cbp.gov/newsroom/local-media-release/tucson-teens-arrested-smuggling-illegal-aliens</t>
  </si>
  <si>
    <t>Thomas Morgan</t>
  </si>
  <si>
    <t>http://wajr.com/accused-prostitute-pimp-arrested-in-morgantown/</t>
  </si>
  <si>
    <t>http://www.kyma.com/news/yuma-border-agents-foil-drug-and-human-smuggling-attempts/749618341</t>
  </si>
  <si>
    <t>June 3, 2018</t>
  </si>
  <si>
    <t>http://www.providencejournal.com/news/20180606/central-falls-police-release-names-of-17-people-arrested-in-prostitution-sting</t>
  </si>
  <si>
    <t>June 4, 2018</t>
  </si>
  <si>
    <t>https://www.cbp.gov/newsroom/local-media-release/laredo-sector-border-patrol-agents-thwart-illegal-alien-smuggling-south</t>
  </si>
  <si>
    <t>https://www.cbp.gov/newsroom/local-media-release/laredo-sector-border-patrols-agents-rescue-six-illegal-aliens-trapped</t>
  </si>
  <si>
    <t>Karl Messner</t>
  </si>
  <si>
    <t>https://www.justice.gov/usao-nh/pr/weare-man-pleads-guilty-possession-child-pornography</t>
  </si>
  <si>
    <t>https://www.courtlistener.com/docket/7006500/united-states-v-messner/</t>
  </si>
  <si>
    <t>Donald Trosclair</t>
  </si>
  <si>
    <t>https://www.justice.gov/usao-edla/pr/jefferson-man-pleads-guilty-receipt-child-pornography</t>
  </si>
  <si>
    <t>https://www.justice.gov/usao-edla/pr/jefferson-man-sentenced-97-months-prison-after-previously-pleading-guilty-receipt-child</t>
  </si>
  <si>
    <t>https://www.courtlistener.com/docket/7034300/united-states-v-trosclair/</t>
  </si>
  <si>
    <t>June 5, 2018</t>
  </si>
  <si>
    <t xml:space="preserve">Massage parlor arrests-Sex trafficking </t>
  </si>
  <si>
    <t>http://www.kansascity.com/news/local/crime/article212609314.html</t>
  </si>
  <si>
    <t>Sam Lindsey Massette / Krystina Marie Pickersgill</t>
  </si>
  <si>
    <t>http://www.pressdemocrat.com/news/8407582-181/lake-county-couple-arrested-for?sba=AAS</t>
  </si>
  <si>
    <t>David Flores-Torres</t>
  </si>
  <si>
    <t>https://www.justice.gov/usao-wdny/pr/mexican-man-pleads-guilty-child-pornography-charge</t>
  </si>
  <si>
    <t>Mexico</t>
  </si>
  <si>
    <t>Kenneth B Hanger</t>
  </si>
  <si>
    <t>https://www.justice.gov/usao-mdfl/pr/st-augustine-sex-offender-pleads-guilty-federal-charge-attempted</t>
  </si>
  <si>
    <t>Dale Gordon Black</t>
  </si>
  <si>
    <t>https://www.justice.gov/usao-edwa/pr/30-year-prison-term-production-child-pornography , https://www.justice.gov/usao-edwa/pr/city-richland-police-department-and-city-kennewick-police-department-receive-over , https://www.justice.gov/usao-edwa/pr/400000-restitution-ordered-two-minor-victims-production-child-pornography-case</t>
  </si>
  <si>
    <t>https://keprtv.com/news/local/kennewick-man-gets-30-years-in-prison-for-producing-child-porn</t>
  </si>
  <si>
    <t>https://www.courtlistener.com/docket/7066088/united-states-v-black/</t>
  </si>
  <si>
    <t>https://archive.vn/DkqE6</t>
  </si>
  <si>
    <t>https://archive.vn/RbKSt</t>
  </si>
  <si>
    <t>Marvin L Bishop, II</t>
  </si>
  <si>
    <t>https://www.justice.gov/usao-ndin/pr/oklahoma-long-haul-trucker-sentenced-27-years-prison</t>
  </si>
  <si>
    <t>Kevin Herring</t>
  </si>
  <si>
    <t>https://www.justice.gov/usao-ndia/pr/cedar-rapids-man-sentenced-32-years-federal-prison-sexually-exploiting-child</t>
  </si>
  <si>
    <t>https://www.courtlistener.com/docket/7494331/united-states-v-herring/</t>
  </si>
  <si>
    <t>Richard Russo</t>
  </si>
  <si>
    <t>June 6, 2018</t>
  </si>
  <si>
    <t>Project Safe Childhood-CBP paralegal arrest for CP related charges</t>
  </si>
  <si>
    <t>https://www.justice.gov/usao-sdfl/pr/us-customs-and-border-protection-paralegal-faces-federal-child-pornography-charges</t>
  </si>
  <si>
    <t>https://www.courtlistener.com/docket/6991766/united-states-v-russo/</t>
  </si>
  <si>
    <t>Nickolias Sauceda</t>
  </si>
  <si>
    <t>https://www.justice.gov/usao-wdtx/pr/el-paso-man-sentenced-30-years-federal-prison-production-child-pornography</t>
  </si>
  <si>
    <t>https://www.elpasotimes.com/story/news/2019/04/26/el-paso-texas-man-gets-30-years-child-porn-case-army-soldier/3580264002/</t>
  </si>
  <si>
    <t>https://www.courtlistener.com/docket/7081501/united-states-v-sauceda/</t>
  </si>
  <si>
    <t>http://archive.is/eSLC6</t>
  </si>
  <si>
    <t>http://archive.fo/4EafZ</t>
  </si>
  <si>
    <t>Brian Northup</t>
  </si>
  <si>
    <t>https://www.justice.gov/usao-ndny/pr/hudson-man-pleads-guilty-child-pornography-charges , https://www.justice.gov/usao-ndny/pr/hudson-man-sentenced-42-months-accessing-child-pornography</t>
  </si>
  <si>
    <t>Anthony Dale Smith</t>
  </si>
  <si>
    <t>https://www.justice.gov/usao-wdmo/pr/appleton-city-man-sentenced-child-pornography</t>
  </si>
  <si>
    <t>http://www.kgns.tv/content/news/Border-Patrol-agents-prevent-human-smuggling-attempt--484796451.html</t>
  </si>
  <si>
    <t>https://www.cbp.gov/newsroom/local-media-release/dangerous-human-smuggling-attempts-stopped-sr-80-immigration-checkpoint</t>
  </si>
  <si>
    <t>https://patch.com/oregon/hillsboro/37-people-caught-multi-agency-sex-trafficking-sting</t>
  </si>
  <si>
    <t>Nikolas Rose</t>
  </si>
  <si>
    <t>June 7, 2018</t>
  </si>
  <si>
    <t>https://patch.com/california/napavalley/pimp-arrested-prostitutes-detained-napa-county-sting</t>
  </si>
  <si>
    <t>Ying Chromaster</t>
  </si>
  <si>
    <t>https://www.dallasnews.com/news/crime/2018/06/13/owner-massage-parlor-near-2-tarrant-county-schools-arrested-prostitution-charge</t>
  </si>
  <si>
    <t>Joshua Glen Box</t>
  </si>
  <si>
    <t>http://www.foxnews.com/us/2018/06/14/convicted-sex-offender-arrested-for-allegedly-possessing-child-pornography.html</t>
  </si>
  <si>
    <t>Ryan Russell Parks</t>
  </si>
  <si>
    <t>https://www.justice.gov/usao-md/pr/baltimore-pimp-sentenced-20-years-federal-prison-after-being-convicted-trial-charges-sex</t>
  </si>
  <si>
    <t>Hector Hinojosa‑Cisneros</t>
  </si>
  <si>
    <t>https://www.justice.gov/usao-edca/pr/former-marine-and-taft-resident-sentenced-12-years-prison-child-pornography-offense</t>
  </si>
  <si>
    <t>https://www.courtlistener.com/docket/7094174/united-states-v-hinojosa-cisneros/</t>
  </si>
  <si>
    <t>Matthew Wolny</t>
  </si>
  <si>
    <t>https://www.justice.gov/usao-nj/pr/egg-harbor-township-new-jersey-man-admits-receiving-child-pornography</t>
  </si>
  <si>
    <t>https://www.justice.gov/usao-nj/pr/egg-harbor-township-new-jersey-man-charged-receipt-child-pornography</t>
  </si>
  <si>
    <t>Andrew Harris aka Bobby Erik Smith</t>
  </si>
  <si>
    <t>https://www.10tv.com/article/advocates-victims-human-trafficking-relieved-notorious-pimp-central-ohio-streets</t>
  </si>
  <si>
    <t>Richard Lynn Wisecup</t>
  </si>
  <si>
    <t>https://www.desmoinesregister.com/story/news/crime-and-courts/2018/06/09/human-trafficking-des-moines-richard-lynn-wisecup-underage-girl-sexual-abuse/687782002/</t>
  </si>
  <si>
    <t>https://www.cbp.gov/newsroom/local-media-release/laredo-sector-border-patrol-halts-smuggling-attempt</t>
  </si>
  <si>
    <t>Cody Fay</t>
  </si>
  <si>
    <t>https://www.azcentral.com/story/news/local/gilbert-breaking/2018/06/08/gilbert-police-arrest-man-child-sex-trafficking-case/687240002/</t>
  </si>
  <si>
    <t>June 10, 2018</t>
  </si>
  <si>
    <t>http://www.1011now.com/content/news/7-Central-Nebraska-men-arrested-for-solicitation-in-undercover-sting-485318901.html</t>
  </si>
  <si>
    <t>Breanna Brown (Coleman et al)</t>
  </si>
  <si>
    <t>Alex They Maya-Dimas</t>
  </si>
  <si>
    <t>https://www.justice.gov/usao-ks/pr/driver-suv-11-illegal-immigrants-pleads-guilty-federal-charge</t>
  </si>
  <si>
    <t>https://www.courtlistener.com/docket/7073453/united-states-v-maya-dimas/</t>
  </si>
  <si>
    <t>Ma Li Vanskike  (Li et al)</t>
  </si>
  <si>
    <t>https://www.justice.gov/usao-ks/pr/indictments-five-massage-parlor-operators-were-engaged-prostitution</t>
  </si>
  <si>
    <t>http://www.hutchpost.com/5-indicted-in-multi-million-dollar-kansas-prostitution-bust/</t>
  </si>
  <si>
    <t>https://www.courtlistener.com/docket/7054356/united-states-v-li/</t>
  </si>
  <si>
    <t>http://archive.fo/70fEX</t>
  </si>
  <si>
    <t>http://archive.fo/ImVfB</t>
  </si>
  <si>
    <t>Weiling Nielsen (Li et al)</t>
  </si>
  <si>
    <t>http://archive.fo/M7hHO</t>
  </si>
  <si>
    <t>Erik Nielsen (Li et al)</t>
  </si>
  <si>
    <t>Lian Hua Li (Li et al)</t>
  </si>
  <si>
    <t>Michael Mills (Li et al)</t>
  </si>
  <si>
    <t>Human smuffling</t>
  </si>
  <si>
    <t>https://www.cbp.gov/newsroom/local-media-release/laredo-sector-border-patrol-agents-stop-smuggling-event-involving-eight</t>
  </si>
  <si>
    <t>https://www.cbp.gov/newsroom/local-media-release/two-united-states-citizens-arrested-human-smuggling-border-patrol</t>
  </si>
  <si>
    <t>Hong Wang / Hanfeng Zhang / Xiaoxia Lin</t>
  </si>
  <si>
    <t>http://wjla.com/news/local/3-arrested-human-trafficking-massage-parlors-md</t>
  </si>
  <si>
    <t>Lorenzo Darrell Hatcher / Lamyia Ieshia-Pamela Sneed</t>
  </si>
  <si>
    <t>June 11, 2018</t>
  </si>
  <si>
    <t>https://www.detroitnews.com/story/news/local/wayne-county/2018/06/11/two-metro-detroiters-human-trafficking-ohio-woman/691406002/</t>
  </si>
  <si>
    <t>Juan Aaron Garza / Guillermo Antonio Reyna-Garcia</t>
  </si>
  <si>
    <t>https://www.lmtonline.com/local/crime/article/Two-men-arrested-in-smuggling-attempt-in-south-12983896.php#photo-15700218</t>
  </si>
  <si>
    <t xml:space="preserve">William Richard Hilliard, Jr., </t>
  </si>
  <si>
    <t>https://www.justice.gov/usao-wdnc/pr/yacht-owner-pleads-guilty-child-pornography-secretly-recording-nude-videos-minors , https://www.justice.gov/usao-wdnc/pr/yacht-owner-sentenced-35-years-secretly-recording-nude-videos-minors</t>
  </si>
  <si>
    <t>https://www.dailymail.co.uk/news/article-6949793/Owner-boat-named-Yachts-O-Trouble-admits-filming-underage-girls-aboard-showered.html</t>
  </si>
  <si>
    <t>https://www.courtlistener.com/docket/13755898/united-states-v-hilliard/</t>
  </si>
  <si>
    <t>http://archive.fo/hKXCT</t>
  </si>
  <si>
    <t>http://archive.fo/zEr5p</t>
  </si>
  <si>
    <t>Carrie Songer</t>
  </si>
  <si>
    <t>June 12, 2018</t>
  </si>
  <si>
    <t>https://tylerpaper.com/news/local/lone-oak-woman-arrested-in-gregg-county-on-child-sex/article_74edda14-7572-11e8-ae22-8bcf1d9334c5.html</t>
  </si>
  <si>
    <t>Joseph Marchesini</t>
  </si>
  <si>
    <t>https://www.justice.gov/usao-sdia/pr/des-moines-man-sentenced-188-months-prison-distribution-child-pornography</t>
  </si>
  <si>
    <t>https://www.courtlistener.com/docket/13541146/united-states-v-marchesini/</t>
  </si>
  <si>
    <t>https://www.ice.gov/news/releases/more-50-illegal-aliens-discovered-inside-tractor-trailer-san-antonio</t>
  </si>
  <si>
    <t>Carlos Santiago Gomez</t>
  </si>
  <si>
    <t>https://www.justice.gov/usao-nj/pr/atlantic-county-new-jersey-man-arrested-child-pornography-charges</t>
  </si>
  <si>
    <t>https://www.justice.gov/usao-nj/pr/atlantic-county-new-jersey-man-admits-distributing-images-child-sexual-abuse</t>
  </si>
  <si>
    <t>Danny Ray Salzer</t>
  </si>
  <si>
    <t>https://www.justice.gov/usao-nv/pr/las-vegas-man-sentenced-nearly-18-years-prison-child-sexual-exploitation-and-possession</t>
  </si>
  <si>
    <t>https://www.courtlistener.com/docket/8153371/united-states-v-salzer/</t>
  </si>
  <si>
    <t>Jeffrey H. Ernisse</t>
  </si>
  <si>
    <t>https://www.justice.gov/news?f%5B0%5D=field_pr_date%3A2019&amp;f%5B1%5D=field_pr_topic%3A1201</t>
  </si>
  <si>
    <t>https://www.wbay.com/content/news/Sheboygan-man-indicted-for-making-child-porn-in-Philippines-485384541.html</t>
  </si>
  <si>
    <t>http://archive.fo/6KIbo</t>
  </si>
  <si>
    <t>http://archive.fo/DdHkw</t>
  </si>
  <si>
    <t>Gerardo Javier Carreon</t>
  </si>
  <si>
    <t>http://www.krgv.com/story/38429970/man-charged-with-smuggling-previously-convicted-for-same-crime</t>
  </si>
  <si>
    <t>https://www.ice.gov/news/releases/south-texas-man-sentenced-70-months-transporting-illegal-aliens-inside-tractor-trailer</t>
  </si>
  <si>
    <t>Alfred Spaulding</t>
  </si>
  <si>
    <t>http://www.ocala.com/news/20180613/shooting-suspect-now-charged-with-human-trafficking</t>
  </si>
  <si>
    <t>Richard Joseph Schwartz Ives</t>
  </si>
  <si>
    <t>http://www.stegenherald.com/news/st-louis-man-arrested-in-county-for-patronizing-prostitution-with/article_885ecee4-6fde-11e8-99ec-ff9e761148e1.html</t>
  </si>
  <si>
    <t>Angela Meadows / Joshua Dickson</t>
  </si>
  <si>
    <t>http://www.altoonamirror.com/news/local-news/2018/06/child-porn-ring-suspects-arrested/</t>
  </si>
  <si>
    <t>Daniel Santana / Sandra Santana-Soto</t>
  </si>
  <si>
    <t>https://www.justice.gov/usao-ndny/pr/men-plead-guilty-transportation-illegal-aliens</t>
  </si>
  <si>
    <t>https://www.courtlistener.com/?q=&amp;type=r&amp;order_by=score+desc&amp;docket_number=8%3A18-cr-00327&amp;court=nynd</t>
  </si>
  <si>
    <t>June 14, 2018</t>
  </si>
  <si>
    <t>https://www.ice.gov/news/releases/47-illegal-aliens-discovered-south-texas-human-smuggler-stash-house</t>
  </si>
  <si>
    <t>Desmond Kintwana Bethany / Bailey Jane Hance</t>
  </si>
  <si>
    <t>https://www.wfaa.com/article/news/crime/dallas-couple-at-helm-of-alleged-sex-trafficking-ring-arrested/287-564508594</t>
  </si>
  <si>
    <t>Kishan and Chanra Modugumudi</t>
  </si>
  <si>
    <t>https://www.indiatoday.in/movies/regional-cinema/story/indian-couple-arrested-for-running-tollywood-sex-racket-in-us-1260002-2018-06-14</t>
  </si>
  <si>
    <t>Nicholas &amp; Stephanie Harris</t>
  </si>
  <si>
    <t>http://www.katc.com/story/38437365/denham-springs-couple-arrested-on-human-trafficking-of-undocumented-immigrants</t>
  </si>
  <si>
    <t>Michael Paul Marshall</t>
  </si>
  <si>
    <t>https://www.thedailytimes.com/news/greenback-man-accused-of-soliciting-teen-girl/article_0a8cf3cc-29e1-54be-baeb-e92439f26a67.html</t>
  </si>
  <si>
    <t>Donald Jeffrey Beasley</t>
  </si>
  <si>
    <t>http://www.thetimesnews.com/news/20180618/burlington-man-faces-drug-prostitution-charges</t>
  </si>
  <si>
    <t>Steven Hadley Hassan</t>
  </si>
  <si>
    <t>https://www.justice.gov/usao-md/pr/former-foreign-service-officer-sentenced-40-years-federal-prison-production-and</t>
  </si>
  <si>
    <t>https://www.courtlistener.com/?q=&amp;type=r&amp;order_by=score+desc&amp;docket_number=1%3A18-cr-00330&amp;court=mdd</t>
  </si>
  <si>
    <t>Geekin Ng</t>
  </si>
  <si>
    <t>June 15, 2018</t>
  </si>
  <si>
    <t>https://patch.com/massachusetts/quincy/quincy-man-charged-sex-trafficking</t>
  </si>
  <si>
    <t>Anthony Chiccini</t>
  </si>
  <si>
    <t>https://www.justice.gov/usao-edpa/pr/philadelphia-man-indicted-child-pornography-charges-0</t>
  </si>
  <si>
    <t>https://www.courtlistener.com/?q=&amp;type=r&amp;order_by=score+desc&amp;docket_number=2%3A18-cr-00255&amp;court=paed</t>
  </si>
  <si>
    <t>Patrick K. McDowell / Jayquan Monteiro</t>
  </si>
  <si>
    <t>http://yarmouth.wickedlocal.com/news/20180619/dennis-man-accused-in-human-trafficking-operation</t>
  </si>
  <si>
    <t>Russell Young</t>
  </si>
  <si>
    <t>https://www.justice.gov/usao-nm/pr/previously-convicted-sex-offender-albuquerque-facing-new-federal-child-pornography</t>
  </si>
  <si>
    <t>https://www.justice.gov/usao-nm/pr/previously-convicted-sex-offender-albuquerque-pleads-guilty-federal-child-pornography</t>
  </si>
  <si>
    <t>George Robert Everhart</t>
  </si>
  <si>
    <t>https://www.wkrn.com/news/crime-tracker/east-tennessee-man-arrested-on-child-porn-charges/1257260990</t>
  </si>
  <si>
    <t>June 16, 2018</t>
  </si>
  <si>
    <t>https://www.azcentral.com/story/news/local/arizona-breaking/2018/06/19/arizona-border-agents-find-18-migrants-being-smuggled-box-truck/716822002/</t>
  </si>
  <si>
    <t>Lavelle Dinkins / 'Kayne'</t>
  </si>
  <si>
    <t>June 17, 2018</t>
  </si>
  <si>
    <t>https://www.wpxi.com/news/top-stories/2-men-facing-charges-in-connection-with-sex-trafficking-case-1/771678792</t>
  </si>
  <si>
    <t>https://apnews.com/ee7bcc19acbd4a13aff7bcbf04f3cfcd/5-charged-in-'smuggling-scheme'-after-fatal-crash-in-Texas</t>
  </si>
  <si>
    <t>https://www.cbp.gov/newsroom/local-media-release/border-patrol-agents-find-18-illegal-aliens-inside-utility-truck</t>
  </si>
  <si>
    <t>Rudy Gomez / Johana Gomez</t>
  </si>
  <si>
    <t>https://www.ice.gov/news/releases/federal-criminal-complaint-filed-against-driver-and-4-others-involved-south-texas</t>
  </si>
  <si>
    <t>Jaykumar Bhakta</t>
  </si>
  <si>
    <t>June 18, 2018</t>
  </si>
  <si>
    <t>http://ktxs.com/news/abilene/apd-arrest-8-in-undercover-sting</t>
  </si>
  <si>
    <t>Tony Davis</t>
  </si>
  <si>
    <t>June 19, 2018</t>
  </si>
  <si>
    <t>https://www.courierpostonline.com/story/news/crime/2018/06/19/tony-davis-camden-sex-trafficking-washington-twp/716604002/</t>
  </si>
  <si>
    <t>Carlos Castillo</t>
  </si>
  <si>
    <t>https://www.justice.gov/usao-cdca/pr/former-orange-county-social-worker-pleads-guilty-federal-charge-he-distributed-child</t>
  </si>
  <si>
    <t>https://www.msn.com/en-us/news/local/dcfs-employee-arrested-accused-of-possessing-child-pornography/ar-AAyW1J6</t>
  </si>
  <si>
    <t>Ryan Rusty Rodriguez</t>
  </si>
  <si>
    <t>https://www.justice.gov/usao-mdfl/pr/federal-jury-finds-orlando-man-guilty-distributing-receiving-and-possessing-child  , https://www.justice.gov/usao-mdfl/pr/orlando-man-sentenced-18-years-distributing-receiving-and-possessing-images-and-videos</t>
  </si>
  <si>
    <t>Luis Herman Idarraga</t>
  </si>
  <si>
    <t>http://veronews.com/2018/06/21/man-arrested-20-counts-child-pornography/</t>
  </si>
  <si>
    <t>Gordon Napier Muldrow</t>
  </si>
  <si>
    <t>CP related charge</t>
  </si>
  <si>
    <t>http://www.foxcarolina.com/story/38480743/sc-atty-general-pickens-co-man-arrested-on-child-porn-charge</t>
  </si>
  <si>
    <t>Robert Elmer Kerr</t>
  </si>
  <si>
    <t>https://www.justice.gov/usao-ndtx/pr/ndtx-round-february-18</t>
  </si>
  <si>
    <t>June 20, 2018</t>
  </si>
  <si>
    <t>http://myfox28columbus.com/news/local/prositution-bust-on-west-side-nets-hookers-and-johns</t>
  </si>
  <si>
    <t>http://www.journal-news.net/news/local-news/2018/06/local-man-hit-with-prostitution-charge/</t>
  </si>
  <si>
    <t>Mark J Bretz</t>
  </si>
  <si>
    <t>https://www.justice.gov/usao-wdpa/pr/former-erie-resident-charged-violating-federal-laws-regaarding-sexual-exploitation , https://www.justice.gov/usao-wdpa/pr/former-erie-resident-pleads-guilty-project-safe-childhood-prosecution</t>
  </si>
  <si>
    <t>http://www.goerie.com/news/20180627/erie-man-charged-in-federal-sextortion-case#</t>
  </si>
  <si>
    <t>Kevin Safford</t>
  </si>
  <si>
    <t>October 23, 2018</t>
  </si>
  <si>
    <t>https://www.justice.gov/usao-ndny/pr/amsterdam-man-pleads-guilty-child-pornography-charges</t>
  </si>
  <si>
    <t>https://www.justice.gov/usao-ndny/pr/amsterdam-man-sentenced-child-pornography-charges</t>
  </si>
  <si>
    <t>Ronald Sherman</t>
  </si>
  <si>
    <t>June 21, 2018</t>
  </si>
  <si>
    <t>https://www.local10.com/news/florida/broward/broward-county-middle-school-teacher-arrested-on-child-pornography-charges</t>
  </si>
  <si>
    <t>Aaron Vroman</t>
  </si>
  <si>
    <t>https://www.justice.gov/usao-ndny/pr/watervliet-man-sentenced-15-years-sexually-exploiting-child-0</t>
  </si>
  <si>
    <t>Andrew Hallock</t>
  </si>
  <si>
    <t>https://www.justice.gov/usao-sd/pr/rapid-city-man-indicted-internet-transfer-obscene-material</t>
  </si>
  <si>
    <t>https://www.courtlistener.com/docket/7220663/united-states-v-hallock/</t>
  </si>
  <si>
    <t>Evelio Balcazar-Correa</t>
  </si>
  <si>
    <t>June 22, 2018</t>
  </si>
  <si>
    <t>https://www.justice.gov/usao-vt/pr/six-individuals-charged-cross-border-human-smuggling-event</t>
  </si>
  <si>
    <t>https://www.courtlistener.com/docket/7308770/united-states-v-balcazar-correa/</t>
  </si>
  <si>
    <t>https://www.cbp.gov/newsroom/local-media-release/laredo-sector-border-patrol-agents-discover-illegal-aliens-concealed</t>
  </si>
  <si>
    <t>Christopher Emerson</t>
  </si>
  <si>
    <t>Project Safe Childhood-Enticement &amp; CP related charges</t>
  </si>
  <si>
    <t>https://www.justice.gov/usao-sdtx/pr/former-teacher-gets-10-years-two-child-pornography-related-convictions</t>
  </si>
  <si>
    <t>Laura Olguin Mercado</t>
  </si>
  <si>
    <t>https://www.justice.gov/usao-ndny/pr/mexican-citizen-admits-transportation-illegal-aliens</t>
  </si>
  <si>
    <t>https://www.courtlistener.com/docket/8400059/united-states-v-olguin-mercado/</t>
  </si>
  <si>
    <t>June 23, 2018</t>
  </si>
  <si>
    <t>https://www.cbp.gov/newsroom/local-media-release/child-smuggler-arrested-rio-grande-valley</t>
  </si>
  <si>
    <t>https://www.breitbart.com/texas/2018/06/26/7-year-old-unaccompanied-migrant-found-with-smuggler-in-texas-80-miles-from-border/</t>
  </si>
  <si>
    <t>June 24, 2018</t>
  </si>
  <si>
    <t>http://rockrivertimes.com/2018/06/27/police-nab-4-men-in-undercover-sex-sting/</t>
  </si>
  <si>
    <t>June 25, 2018</t>
  </si>
  <si>
    <t>https://www.cbp.gov/newsroom/national-media-release/daca-recipient-arrested-alien-smuggling</t>
  </si>
  <si>
    <t>Joel Davis</t>
  </si>
  <si>
    <t>June 26, 2018</t>
  </si>
  <si>
    <t>CP &amp; child abuse related charges</t>
  </si>
  <si>
    <t>https://www.justice.gov/usao-sdny/pr/manhattan-man-arrested-child-pornography-enticing-minor-have-sex</t>
  </si>
  <si>
    <t>http://www.dailymail.co.uk/news/article-5890179/Anti-child-abuse-advocate-arrested-trying-sex-kids.html</t>
  </si>
  <si>
    <t>https://www.courtlistener.com/docket/7934385/united-states-v-davis/</t>
  </si>
  <si>
    <t>https://www.kget.com/news/local-news/bakersfield-man-arrested-for-smuggling-2-immigrants-illegally/1266572640</t>
  </si>
  <si>
    <t>James Raymond Hill</t>
  </si>
  <si>
    <t>http://www.knopnews2.com/content/news/Mitchell-man-arrested-in-Human-Trafficking-Task-Force-operation-486721181.html</t>
  </si>
  <si>
    <t>Michael E. Caricofe</t>
  </si>
  <si>
    <t>Sex trafficking of a minor/molestation</t>
  </si>
  <si>
    <t>https://www.newsleader.com/story/news/local/2018/06/27/staunton-man-facing-molestation-prostitution-charges/737518002/</t>
  </si>
  <si>
    <t>Charles G Hollman</t>
  </si>
  <si>
    <t>http://archive.fo/IZwPD</t>
  </si>
  <si>
    <t>Adam Leone</t>
  </si>
  <si>
    <t>https://www.justice.gov/usao-wdny/pr/long-island-man-going-prison-child-pornography-charge</t>
  </si>
  <si>
    <t>Joseph Blake Ballard</t>
  </si>
  <si>
    <t>June 27, 2018</t>
  </si>
  <si>
    <t>http://www.oc-breeze.com/2018/06/27/123400_man-charged-with-pimping-pandering-two-women-while-out-on-bail/</t>
  </si>
  <si>
    <t>Douglas Hersey</t>
  </si>
  <si>
    <t>http://www.wcax.com/content/news/Vermont-EMT-charged-with-sex-assault-human-trafficking-486741891.html</t>
  </si>
  <si>
    <t>http://firststateupdate.com/2018/06/seven-arrested-in-alban-park-prostitution-sting/</t>
  </si>
  <si>
    <t>https://www.cbp.gov/newsroom/local-media-release/laredo-sector-border-patrol-agents-discover-illegal-aliens-concealed-0</t>
  </si>
  <si>
    <t>John Ray Langley</t>
  </si>
  <si>
    <t>https://www.chron.com/news/article/Former-Brazoria-County-lieutenant-indicted-on-13034701.php</t>
  </si>
  <si>
    <t>June 28, 2018</t>
  </si>
  <si>
    <t>http://www.kwch.com/content/news/WPD-12-arrested-in-Broadway--487027631.html</t>
  </si>
  <si>
    <t>http://wpdh.com/hudson-valley-prostitution-sting-leads-to-7-arrests/</t>
  </si>
  <si>
    <t>http://www.mysuncoast.com/news/five-men-arrested-in-prostitution-operation-along-north-tamiami-trail/article_1f31edf6-7e30-11e8-9f7b-837a2d5bad10.html</t>
  </si>
  <si>
    <t>Daren Watts</t>
  </si>
  <si>
    <t>https://www.justice.gov/usao-wdmo/pr/springfield-man-sentenced-20-years-sexual-exploitation-child-0</t>
  </si>
  <si>
    <t>Jerome Edison / Erica Spencer</t>
  </si>
  <si>
    <t>http://www.courant.com/news/connecticut/hc-windsor-human-trafficking-0828-story.html</t>
  </si>
  <si>
    <t>Joel T Augard</t>
  </si>
  <si>
    <t>https://www.justice.gov/usao-sdia/pr/former-des-moines-resident-sentenced-40-years-prison-child-pornography-offenses</t>
  </si>
  <si>
    <t>https://www.courtlistener.com/docket/13541389/united-states-v-augard/</t>
  </si>
  <si>
    <t>June 29, 2018</t>
  </si>
  <si>
    <t>http://www.kgns.tv/content/news/Border-Patrol-rescues-10-Brazilians-from-tractor-trailer-486966371.html</t>
  </si>
  <si>
    <t>Tien Luong / Nip Mihn Tsi</t>
  </si>
  <si>
    <t>https://www.wsoctv.com/news/local/police-arrest-two-suspects-at-davidson-nail-salon-charged-with-human-trafficking/779050104</t>
  </si>
  <si>
    <t>Jeremy Kelley</t>
  </si>
  <si>
    <t>https://www.justice.gov/usao-sdin/pr/high-school-assistant-track-coach-faces-federal-child-sexual-exploitation-and , https://www.justice.gov/usao-sdin/pr/former-attica-high-school-assistant-track-coach-sentenced-24-years-federal-prison</t>
  </si>
  <si>
    <t>https://www.courtlistener.com/docket/7715161/united-states-v-kelley/</t>
  </si>
  <si>
    <t>https://www.cbp.gov/newsroom/local-media-release/laredo-sector-border-patrol-agents-arrest-illegal-aliens-concealed</t>
  </si>
  <si>
    <t>Esmeralda Garza</t>
  </si>
  <si>
    <t>Sale of children</t>
  </si>
  <si>
    <t>http://www.foxnews.com/us/2018/07/04/texas-mother-arrested-for-allegedly-selling-young-children.html</t>
  </si>
  <si>
    <t>Terry Blanks</t>
  </si>
  <si>
    <t>https://www.gillettenewsrecord.com/news/wyoming/article_84569c20-b9e8-5453-99d7-2d0061586b4f.html</t>
  </si>
  <si>
    <t>William McFadden</t>
  </si>
  <si>
    <t>http://www.starbeacon.com/news/local_news/convicted-child-rapist-arrested-in-child-porn-sting/article_68bcf13b-2ecc-5918-aaa8-2b09042e51c0.html</t>
  </si>
  <si>
    <t>https://www.cbp.gov/newsroom/local-media-release/border-patrol-k9-teams-help-stop-human-smuggling</t>
  </si>
  <si>
    <t>https://www.cbp.gov/newsroom/national-media-release/border-patrol-agents-rescue-64-illegal-aliens-trapped-tractor</t>
  </si>
  <si>
    <t>July 1, 2018</t>
  </si>
  <si>
    <t>https://www.cbp.gov/newsroom/local-media-release/twelve-discovered-tractor-trailer-rio-grande-valley</t>
  </si>
  <si>
    <t>Sharif El-Battouty</t>
  </si>
  <si>
    <t>Project Safe Childhoos-CP production &amp; related charges</t>
  </si>
  <si>
    <t>https://www.justice.gov/usao-edpa/pr/new-york-man-sentenced-30-years-prison-engaging-child-exploitation-enterprise</t>
  </si>
  <si>
    <t>Christian Brennan</t>
  </si>
  <si>
    <t>https://www.justice.gov/opa/pr/ten-men-sentenced-prison-their-roles-child-exploitation-enterprise-and-conspiracy</t>
  </si>
  <si>
    <t>Keith E Hook</t>
  </si>
  <si>
    <t xml:space="preserve">https://www.justice.gov/usao-ndny/pr/border-patrol-agent-arrested-distribution-child-pornography </t>
  </si>
  <si>
    <t>Chester Devin Leban</t>
  </si>
  <si>
    <t>https://www.justice.gov/usao-ndtx/pr/fort-worth-man-sentenced-30-years-sexual-exploitation-infant</t>
  </si>
  <si>
    <t>https://www.wsav.com/investigates/crime-safety/savannah-police-arrest-16-in-prostitution-stings/1323538940</t>
  </si>
  <si>
    <t>William P Keller</t>
  </si>
  <si>
    <t>https://www.justice.gov/usao-sdil/pr/child-pornography-leads-10-year-sentence-centralia-man</t>
  </si>
  <si>
    <t>https://www.courtlistener.com/docket/7560984/united-states-v-keller/</t>
  </si>
  <si>
    <t>David Lehman</t>
  </si>
  <si>
    <t>https://www.justice.gov/usao-ks/pr/kck-man-sentenced-distributing-child-pornography</t>
  </si>
  <si>
    <t>https://www.courtlistener.com/docket/7493133/united-states-v-lehman/</t>
  </si>
  <si>
    <t>James Gailey</t>
  </si>
  <si>
    <t>https://www.justice.gov/usao-ndia/pr/storm-lake-man-convicted-receiving-child-pornography , https://www.justice.gov/usao-ndia/pr/storm-lake-man-sentenced-federal-prison-receiving-child-pornography</t>
  </si>
  <si>
    <t>https://www.courtlistener.com/docket/7792293/united-states-v-gailey/</t>
  </si>
  <si>
    <t>Kerry Kennedy</t>
  </si>
  <si>
    <t>https://www.justice.gov/usao-edky/pr/boone-county-man-sentenced-12-years-transporting-child-pornography</t>
  </si>
  <si>
    <t>Vincenzo (Vincent) G. Savarese</t>
  </si>
  <si>
    <t>https://www.justice.gov/usao-mdfl/pr/sex-offender-sentenced-fifteen-years-child-pornography-offenses-violating-supervised</t>
  </si>
  <si>
    <t>https://www.courtlistener.com/docket/7411271/united-states-v-savarese/</t>
  </si>
  <si>
    <t>Nicholas Hughes</t>
  </si>
  <si>
    <t>https://www.justice.gov/usao-ndfl/pr/tallahassee-music-teacher-sentenced-240-months-prison-enticing-minor-and-child</t>
  </si>
  <si>
    <t>https://www.tallahassee.com/story/news/2017/11/15/former-wakulla-teacher-charged-sex-crimes/866110001/</t>
  </si>
  <si>
    <t>http://archive.fo/P4M9M</t>
  </si>
  <si>
    <t>http://archive.fo/2Tsms</t>
  </si>
  <si>
    <t>Colby Ray Cochran</t>
  </si>
  <si>
    <t>https://www.justice.gov/usao-mdga/pr/federal-grand-jury-returns-indictments-charging-67-individuals , https://www.fbi.gov/contact-us/field-offices/atlanta/news/press-releases/210-months-prison-sentence-for-oregon-sex-offender-caught-luring-threatening-young-columbus-girl-online</t>
  </si>
  <si>
    <t>Christopher Tator</t>
  </si>
  <si>
    <t>2018</t>
  </si>
  <si>
    <t>https://www.justice.gov/usao-edva/pr/convicted-sex-offender-pleads-guilty-child-pornography-charge</t>
  </si>
  <si>
    <t>https://www.courtlistener.com/docket/7547025/united-states-v-tator/</t>
  </si>
  <si>
    <t>Trevor Palladino</t>
  </si>
  <si>
    <t>https://www.justice.gov/usao-nh/pr/former-milford-youth-coach-pleads-guilty-possessing-child-pornography</t>
  </si>
  <si>
    <t>https://www.courtlistener.com/docket/7561178/united-states-v-palladino/</t>
  </si>
  <si>
    <t>Daniel P Diaz</t>
  </si>
  <si>
    <t>https://www.courtlistener.com/docket/7415053/united-states-v-diaz/</t>
  </si>
  <si>
    <t>Aaron Greene</t>
  </si>
  <si>
    <t>https://www.justice.gov/usao-wdar/pr/arkansas-man-sentenced-over-23-years-federal-prison-sexually-exploiting-minors-online</t>
  </si>
  <si>
    <t>https://www.courtlistener.com/docket/7668749/united-states-v-greene/</t>
  </si>
  <si>
    <t>Sean Blackwell</t>
  </si>
  <si>
    <t>https://www.justice.gov/usao-wdny/pr/gates-man-pleads-guilty-child-pornography-charge</t>
  </si>
  <si>
    <t>https://www.democratandchronicle.com/story/news/2019/02/23/sean-blackwell-gates-pleads-guilty-child-pornography-possession/2963054002/</t>
  </si>
  <si>
    <t>Richard Rood</t>
  </si>
  <si>
    <t>https://www.justice.gov/usao-ndca/pr/eureka-man-sentenced-12-years-prison-possessing-child-pornography</t>
  </si>
  <si>
    <t>https://www.courtlistener.com/docket/7425350/united-states-v-rood/</t>
  </si>
  <si>
    <t>David Edward De Vere</t>
  </si>
  <si>
    <t>https://www.justice.gov/opa/pr/former-virginia-federal-employee-sentenced-more-17-years-prison-producing-child-pornography</t>
  </si>
  <si>
    <t>https://www.courtlistener.com/?q=&amp;type=r&amp;order_by=score+desc&amp;docket_number=1%3A18-cr-00345&amp;court=vaed</t>
  </si>
  <si>
    <t>Ryan Kluth</t>
  </si>
  <si>
    <t>https://www.justice.gov/usao-ndoh/pr/operation-darkness-falls-results-arrest-one-most-prolific-dark-net-fentanyl-vendors</t>
  </si>
  <si>
    <t>https://www.courtlistener.com/?q=&amp;type=r&amp;order_by=score+desc&amp;docket_number=3%3A18-cr-00359&amp;court=ohnd</t>
  </si>
  <si>
    <t>Christopher Morrison</t>
  </si>
  <si>
    <t>https://www.justice.gov/usao-wdpa/pr/bellevue-man-admits-possessing-child-pornography , https://www.justice.gov/usao-wdpa/pr/bellevue-man-sentenced-possessing-child-pornography</t>
  </si>
  <si>
    <t>https://www.courtlistener.com/docket/14587660/united-states-v-morrison/</t>
  </si>
  <si>
    <t>Kayla Parker / David Carbonaro</t>
  </si>
  <si>
    <t>October 16, 2018</t>
  </si>
  <si>
    <t>http://www.fox29.com/news/local-news/woman-charged-with-using-3-year-old-daughter-to-create-child-porn-in-upper-darby</t>
  </si>
  <si>
    <t>Joseph Farris / Felicia Mulkey</t>
  </si>
  <si>
    <t>July 2, 2018</t>
  </si>
  <si>
    <t>http://www.kbtx.com/content/news/Two-arrested-for-child-pornography-sexual-assault-of-a-child-487162941.html</t>
  </si>
  <si>
    <t>Damon Beverly</t>
  </si>
  <si>
    <t>https://www.highlandnews.net/news/public_safety/san-jacinto-man-charged-in-human-trafficking-case/article_c88ce608-806f-11e8-8b60-737416e2ebb0.html</t>
  </si>
  <si>
    <t>https://www.cbp.gov/newsroom/local-media-release/immigration-checkpoint-arrests-leads-rescue-children</t>
  </si>
  <si>
    <t>Andrew Shonk</t>
  </si>
  <si>
    <t>https://www.justice.gov/usao-ndoh/pr/former-school-it-manager-sentenced-11-years-prison-having-child-pornography https://www.justice.gov/usao-ndoh/pr/andrew-shonk-indicted-child-pornography-charges</t>
  </si>
  <si>
    <t>http://www.cleveland19.com/story/38569341/former-hudson-city-schools-it-manager-arrested-on-child-porn-charges/</t>
  </si>
  <si>
    <t>https://www.courtlistener.com/?q=&amp;type=r&amp;order_by=score+desc&amp;docket_number=5%3A18-cr-00361&amp;court=ohnd</t>
  </si>
  <si>
    <t>http://archive.fo/hXs3l</t>
  </si>
  <si>
    <t>http://archive.fo/BkPox</t>
  </si>
  <si>
    <t>John Goelz</t>
  </si>
  <si>
    <t>July 3, 2018</t>
  </si>
  <si>
    <t>CP related charges &amp; child exploitation</t>
  </si>
  <si>
    <t>https://www.justice.gov/usao-sdin/pr/high-school-swim-coach-receives-200-months-sexually-exploiting-student-athlete</t>
  </si>
  <si>
    <t>https://hilite.org/58422/news/press-release-chs-swim-coach-john-goelz-faces-sexual-exploitation-charges/</t>
  </si>
  <si>
    <t>https://www.courtlistener.com/docket/8098734/united-states-v-goelz/</t>
  </si>
  <si>
    <t>Jade Tiffany Laurezo</t>
  </si>
  <si>
    <t>https://www.justice.gov/usao-nm/pr/filipino-woman-arrested-federal-child-pornography-charges</t>
  </si>
  <si>
    <t>https://www.courtlistener.com/?q=&amp;type=r&amp;order_by=score+desc&amp;docket_number=5%3A18-cr-03413&amp;court=nmd</t>
  </si>
  <si>
    <t>Timothy Friel</t>
  </si>
  <si>
    <t>Ronald Hulongbayan</t>
  </si>
  <si>
    <t>http://www.timescall.com/longmont-local-news/ci_31996626/longmont-man-arrested-suspicion-child-sex-trafficking-solicitation</t>
  </si>
  <si>
    <t>Benjamin Parker Childs</t>
  </si>
  <si>
    <t>https://www.wcbcradio.com/?archiv=frostburg-man-arrested-for-solicitation-of-prostitution</t>
  </si>
  <si>
    <t>Edith Lucio / Nancy Melendez</t>
  </si>
  <si>
    <t>https://www.victoriaadvocate.com/counties/jackson/women-suspected-of-human-smuggling/article_2457529a-80a5-11e8-b622-1fc9058ec7ab.html</t>
  </si>
  <si>
    <t>Rosten Martin / Anabel Torres Martinez</t>
  </si>
  <si>
    <t>http://www.wtvm.com/story/38589139/several-arrested-on-pimping-prostitution-charges-in-columbus</t>
  </si>
  <si>
    <t>Christophes Tomasello</t>
  </si>
  <si>
    <t>https://foxillinois.com/news/local/mattoon-police-man-attacked-prostitution-suspect-with-metal-wrench</t>
  </si>
  <si>
    <t>Chico Allen</t>
  </si>
  <si>
    <t>https://www.cbs42.com/news/crime/birmingham-man-charged-with-trafficking-meth-also-under-investigation-for-alleged-human-trafficking/1297166767</t>
  </si>
  <si>
    <t>July 8, 2018</t>
  </si>
  <si>
    <t>https://www.cbp.gov/newsroom/local-media-release/smugglers-desperate-attempt-sends-six-hospital-rio-grande-valley</t>
  </si>
  <si>
    <t xml:space="preserve">Luis Bonilla-Hernandez </t>
  </si>
  <si>
    <t>https://www.justice.gov/usao-edva/pr/two-men-convicted-running-prostitution-business-northern-virginia</t>
  </si>
  <si>
    <t>https://patch.com/virginia/ashburn/prostitution-ring-busted-loudoun-county-police</t>
  </si>
  <si>
    <t>http://archive.fo/ONdvP</t>
  </si>
  <si>
    <t>http://archive.fo/dwmH7</t>
  </si>
  <si>
    <t>Eliazar Duran-Mota</t>
  </si>
  <si>
    <t>http://archive.fo/TQhiz</t>
  </si>
  <si>
    <t>Charles Krusac / Ronald Hellman</t>
  </si>
  <si>
    <t>August 3, 2018</t>
  </si>
  <si>
    <t>https://www.wkbn.com/news/local-news/authorities-at-least-80-women-subjected-to-human-trafficking-in-mahoning-county/1349513187</t>
  </si>
  <si>
    <t>https://www.whiznews.com/2018/10/police-human-trafficking-suspect-apparently-kills-self/</t>
  </si>
  <si>
    <t>Russell Ruth</t>
  </si>
  <si>
    <t>July 9, 2018</t>
  </si>
  <si>
    <t>https://www.justice.gov/usao-wdny/pr/former-boy-scout-employee-arrested-charged-possession-child-pornography</t>
  </si>
  <si>
    <t>https://thegoldwater.com/news/30814-Yahoo-Turns-In-Boy-Scouts-Leader-for-Possession-of-Child-Pornography</t>
  </si>
  <si>
    <t>https://www.cbp.gov/newsroom/local-media-release/del-rio-sector-border-patrol-agents-arrest-32-illegal-aliens-2</t>
  </si>
  <si>
    <t>Jarred Carrell</t>
  </si>
  <si>
    <t>https://www.justice.gov/usao-edla/pr/thibodaux-man-indicted-receipt-child-pornography</t>
  </si>
  <si>
    <t>Lt. Cmdr. Joseph R. Nelson</t>
  </si>
  <si>
    <t>Bahrain</t>
  </si>
  <si>
    <t>https://taskandpurpose.com/navy-desertion-sex-trafficking-bahrain/</t>
  </si>
  <si>
    <t>July 10, 2018</t>
  </si>
  <si>
    <t>https://www.breitbart.com/texas/2018/07/10/human-smuggler-sends-6-to-hospital-after-high-speed-chase/</t>
  </si>
  <si>
    <t>Mark Prindle</t>
  </si>
  <si>
    <t>https://www.justice.gov/usao-wdpa/pr/erie-man-charged-receiving-and-possessing-child-pornography</t>
  </si>
  <si>
    <t>http://www.goerie.com/news/20180710/millcreek-man-indicted-on-child-pornography-charges</t>
  </si>
  <si>
    <t>https://www.courtlistener.com/docket/7402085/united-states-v-prindle/</t>
  </si>
  <si>
    <t>https://www.cbp.gov/newsroom/local-media-release/laredo-sector-border-patrol-agents-discover-illegal-aliens-hidden</t>
  </si>
  <si>
    <t>http://www.kgns.tv/content/news/Border-Patrol-agents-foil-two-illegal-smuggling-attempts-487904741.html</t>
  </si>
  <si>
    <t>Angel Ming Lin</t>
  </si>
  <si>
    <t>https://www.newsobserver.com/latest-news/article214683300.html</t>
  </si>
  <si>
    <t>https://www.cbp.gov/newsroom/local-media-release/border-patrol-arrests-kansas-man-smuggling-two-and-recover-stolen</t>
  </si>
  <si>
    <t>Nikolas Caver</t>
  </si>
  <si>
    <t>https://www.vvng.com/adelanto-man-arrested-for-pimping-runaway-teen-girls-at-hesperia-truck-stop/</t>
  </si>
  <si>
    <t>July 11, 2018</t>
  </si>
  <si>
    <t>http://www.baltimoresun.com/news/maryland/howard/ph-ho-cf-sting-arrests-0711-story.html</t>
  </si>
  <si>
    <t>Timothy O'Connell</t>
  </si>
  <si>
    <t>https://www.justice.gov/usao-edpa/pr/former-villanova-university-campus-ministry-official-sentenced-6-years-prison-child</t>
  </si>
  <si>
    <t xml:space="preserve">http://www.fox29.com/news/villanovauniversitycampus-ministry-staff-member-charged-with-child-porn#/ </t>
  </si>
  <si>
    <t>https://www.courtlistener.com/?q=&amp;type=r&amp;order_by=score+desc&amp;docket_number=2%3A19-cr-00005&amp;court=paed</t>
  </si>
  <si>
    <t>https://archive.vn/B05fV</t>
  </si>
  <si>
    <t>Brian A. Salvado</t>
  </si>
  <si>
    <t>https://www.justice.gov/usao-mdpa/pr/chambersburg-man-sentenced-20-years-imprisonment-child-exploitation-offenses</t>
  </si>
  <si>
    <t>https://www.cbp.gov/newsroom/local-media-release/yuma-sector-immigration-checkpoint-agents-arrest-26-human-smuggling</t>
  </si>
  <si>
    <t>Yevgen Rizanov / Ksenia Khodukina</t>
  </si>
  <si>
    <t>https://nypost.com/2018/07/18/husband-and-wife-duo-busted-in-high-end-russian-hooker-ring/</t>
  </si>
  <si>
    <t>William Lawrence Taylor</t>
  </si>
  <si>
    <t>https://www.justice.gov/usao-wdky/pr/repeat-child-sex-offender-sentenced-10-years-prison https://www.justice.gov/usao-wdky/pr/repeat-child-sex-offender-pleads-guilty-possessing-child-porn</t>
  </si>
  <si>
    <t>https://www.courtlistener.com/docket/7515449/united-states-v-taylor/</t>
  </si>
  <si>
    <t>David Milliner</t>
  </si>
  <si>
    <t>July 12, 2018</t>
  </si>
  <si>
    <t>https://www.justice.gov/usao-edpa/pr/phony-prince-charged-committing-child-sex-offenses , https://www.justice.gov/usao-edpa/pr/fake-prince-philadelphia-pleads-guilty-child-exploitation-crimes</t>
  </si>
  <si>
    <t>http://www.philly.com/philly/news/pennsylvania/philadelphia/david-milliner-child-pornography-prince-daniel-david-derothschild-arrest-philadelphia-20180802.html</t>
  </si>
  <si>
    <t>https://www.courtlistener.com/docket/7484594/united-states-v-milliner/</t>
  </si>
  <si>
    <t>Brian Fuchs</t>
  </si>
  <si>
    <t>https://www.justice.gov/usao-ks/pr/lawrence-man-sentenced-12-years-distributing-child-pornography</t>
  </si>
  <si>
    <t>https://www.justice.gov/usao-ks/pr/kansas-men-charged-distributing-child-porn</t>
  </si>
  <si>
    <t>https://www.courtlistener.com/docket/7417959/united-states-v-fuchs/</t>
  </si>
  <si>
    <t>Duane Allen</t>
  </si>
  <si>
    <t>https://www.courtlistener.com/docket/7417958/united-states-v-allen/</t>
  </si>
  <si>
    <t>https://www.heraldmailmedia.com/news/tri_state/west_virginia/five-charged-in-solicitation-of-prostitution-sting-in-martinsburg-w/article_e0fb7dea-86ae-11e8-bf7e-13c138028c56.html</t>
  </si>
  <si>
    <t>https://tucson.com/news/local/kansas-man-arrested-on-suspicion-of-human-smuggling-south-of/article_48bf1474-8618-11e8-ac54-03e1d814985d.html</t>
  </si>
  <si>
    <t>https://prescottenews.com/index.php/news/current-news/item/32246-three-men-arrested-in-prostitution-sting</t>
  </si>
  <si>
    <t>https://www.mercedsunstar.com/news/local/crime/article214961310.html</t>
  </si>
  <si>
    <t>Freddrick Johnson</t>
  </si>
  <si>
    <t>https://www.wjtv.com/news/17-year-old-girl-rescued-from-human-trafficking/1308322607</t>
  </si>
  <si>
    <t>Simon Walker</t>
  </si>
  <si>
    <t>https://www.justice.gov/opa/pr/man-sentenced-advertising-videos-and-images-children-being-sexually-abused , https://www.justice.gov/opa/pr/washington-man-pleads-guilty-advertising-videos-and-images-children-being-sexually-abused</t>
  </si>
  <si>
    <t>James Highfield</t>
  </si>
  <si>
    <t>July 13, 2018</t>
  </si>
  <si>
    <t>https://www.justice.gov/usao-nm/pr/previously-convicted-sex-offender-albuquerque-arraigned-federal-child-pornography-charges</t>
  </si>
  <si>
    <t>Bradley S. Roenfeldt</t>
  </si>
  <si>
    <t>https://www.justice.gov/usao-ne/pr/omaha-man-sentenced-180-months-child-pornography-offense</t>
  </si>
  <si>
    <t>July 14, 2018</t>
  </si>
  <si>
    <t>https://www.cbp.gov/newsroom/local-media-release/laredo-sector-border-patrol-agents-intercept-smuggling-case-involving</t>
  </si>
  <si>
    <t>Matthew Washkewicz</t>
  </si>
  <si>
    <t>July 16, 2018</t>
  </si>
  <si>
    <t>https://www.news4jax.com/news/florida/st-johns-county/trove-of-child-porn-found-on-federal-workers-flash-drive</t>
  </si>
  <si>
    <t>Maxwell Isley Phillips</t>
  </si>
  <si>
    <t>July 17, 2018</t>
  </si>
  <si>
    <t>http://www.wdam.com/story/38668019/gulfport-man-arrested-on-human-trafficking-charges</t>
  </si>
  <si>
    <t>Genhua Zhou / Baoping Wu</t>
  </si>
  <si>
    <t>https://www.cbs17.com/news/local-news/moore-county-massage-parlor-employees-arrested-on-prostitution-charges/1308110160</t>
  </si>
  <si>
    <t>Roderick Lemar Phillips</t>
  </si>
  <si>
    <t>http://www.wgnsradio.com/prostitution-investigation-lands-two-in-jail-cms-46351</t>
  </si>
  <si>
    <t>Venus Rhodes</t>
  </si>
  <si>
    <t>https://www.heraldmailmedia.com/news/tri_state/pennsylvania/chambersburg-police-woman-charged-with-promoting-prostitution/article_99927fd6-e643-5778-a5a4-e588d5887810.html</t>
  </si>
  <si>
    <t>https://www.nwitimes.com/news/local/crime-and-courts/men-arrested-in-prostitution-sting-along-state-line-avenue-in/article_efe95f8e-bc99-5f57-80ef-5b80aa56a994.html#1</t>
  </si>
  <si>
    <t>Dannie Curlee</t>
  </si>
  <si>
    <t>https://www.justice.gov/usao-sdms/pr/picayune-man-pleads-guilty-producing-images-minor-engaged-sexually-explicit-conduct</t>
  </si>
  <si>
    <t>https://www.sunherald.com/news/local/article215021875.html</t>
  </si>
  <si>
    <t>https://web.archive.org/web/20190816002826/https://www.sunherald.com/news/local/article215021875.html</t>
  </si>
  <si>
    <t>https://web.archive.org/web/20190816002748/https://www.sunherald.com/latest-news/2ji46l/picture215021880/alternates/LANDSCAPE_1140/MUG%20Dannie%20Curlee.jpg</t>
  </si>
  <si>
    <t>James Wesley Barnes</t>
  </si>
  <si>
    <t>https://www.justice.gov/usao-ndok/pr/federal-grand-jury-criminal-indictments-announced-48 , https://www.justice.gov/usao-ndok/pr/tulsa-child-predator-sentenced-15-years-prison</t>
  </si>
  <si>
    <t>Philip Popa Jr</t>
  </si>
  <si>
    <t>https://www.justice.gov/usao-ndoh/pr/stark-county-man-indicted-receiving-and-having-child-pornography</t>
  </si>
  <si>
    <t>https://newsymom.com/2018/07/23/stark-county-man-faces-child-pornography-charges/</t>
  </si>
  <si>
    <t>https://www.courtlistener.com/?q=&amp;type=r&amp;order_by=score+desc&amp;docket_number=5%3A18-cr-00448&amp;court=ohnd</t>
  </si>
  <si>
    <t>Jeremey A Bennett</t>
  </si>
  <si>
    <t>https://www.justice.gov/usao-sc/pr/federal-grand-jury-indictments-77</t>
  </si>
  <si>
    <t>https://www.goupstate.com/news/20180727/enoree-man-faces-20-charges-related-to-child-pornography</t>
  </si>
  <si>
    <t>Michael Carlos Mitchell</t>
  </si>
  <si>
    <t>https://www.justice.gov/usao-mn/pr/two-child-predators-sentenced-federal-prison</t>
  </si>
  <si>
    <t>https://www.courtlistener.com/docket/14873572/united-states-v-larson/</t>
  </si>
  <si>
    <t>Anthony Franklin</t>
  </si>
  <si>
    <t>July 18, 2018</t>
  </si>
  <si>
    <t>https://thegoldwater.com/news/31619-ICE-and-Homeland-Security-Bust-Chicago-Pedophile-on-Federal-Child-Porn-Distribution-Charges</t>
  </si>
  <si>
    <t>https://www.breitbart.com/texas/2018/07/18/border-patrol-discovers-20-migrants-packed-into-cargo-truck-in-south-texas/</t>
  </si>
  <si>
    <t>Jesus Dozal-Castillo</t>
  </si>
  <si>
    <t>https://www.cbp.gov/newsroom/local-media-release/multi-agency-collaboration-leads-arrest-one-yuma-sector-s-most-wanted</t>
  </si>
  <si>
    <t>https://www.courtlistener.com/docket/7468509/united-states-v-castillo/</t>
  </si>
  <si>
    <t>Robert Rose</t>
  </si>
  <si>
    <t>https://www.justice.gov/usao-ne/pr/guide-rock-man-sentenced-possession-child-pornography</t>
  </si>
  <si>
    <t>T. White / C.Jackson / S. Ramos</t>
  </si>
  <si>
    <t>July 19, 2018</t>
  </si>
  <si>
    <t>http://www.fox35orlando.com/news/local-news/three-arrested-for-human-trafficking-child-under-18</t>
  </si>
  <si>
    <t>Stephen Cote</t>
  </si>
  <si>
    <t>https://www.justice.gov/usao-ma/pr/westfield-man-pleads-guilty-child-pornography-offenses</t>
  </si>
  <si>
    <t>https://thegoldwater.com/news/31829-Massachusetts-Most-Wanted-Pedo-for-Child-Porn-Arrested-in-New-Jersey</t>
  </si>
  <si>
    <t>https://fox43.com/2018/07/30/10-men-facing-charges-after-prostitution-sting-in-lancaster/</t>
  </si>
  <si>
    <t>Scott Pierson</t>
  </si>
  <si>
    <t>https://www.justice.gov/usao-ct/pr/federal-employee-pleads-guilty-child-pornography-offense</t>
  </si>
  <si>
    <t>Samuel Mendez-Garcia</t>
  </si>
  <si>
    <t>https://www.justice.gov/usao-ri/pr/providence-man-admits-possessing-hundreds-videos-and-images-child-pornography</t>
  </si>
  <si>
    <t>Bradley Voth</t>
  </si>
  <si>
    <t>https://www.justice.gov/usao-wdmo/pr/kansas-man-indicted-traveling-illicit-sex-minor</t>
  </si>
  <si>
    <t>https://www.courtlistener.com/docket/7614585/united-states-v-voth/</t>
  </si>
  <si>
    <t>William Bresee</t>
  </si>
  <si>
    <t>https://www.justice.gov/usao-ks/pr/guilty-plea-worker-children-s-facility-distributed-child-porn  https://www.justice.gov/usao-ks/pr/miami-county-man-sentenced-distributing-child-porn</t>
  </si>
  <si>
    <t>https://www.courtlistener.com/docket/7473165/united-states-v-bresee/</t>
  </si>
  <si>
    <t>Terrell Eady</t>
  </si>
  <si>
    <t>https://www.justice.gov/usao-mdfl/pr/tampa-man-sentenced-twenty-years-producing-child-pornography-minors-he-met-online</t>
  </si>
  <si>
    <t>https://www.courtlistener.com/docket/7312708/united-states-v-eady/</t>
  </si>
  <si>
    <t>Monica Howard/Dylan Madkins/Donald Handlin Jr</t>
  </si>
  <si>
    <t>July 20. 2018</t>
  </si>
  <si>
    <t>http://www.ktre.com/story/38939467/affidavit-nacogdoches-woman-helped-2-men-hold-sexual-assault-victim-against-will</t>
  </si>
  <si>
    <t>Michael Drzal</t>
  </si>
  <si>
    <t>https://www.justice.gov/usao-ct/pr/bridgeport-man-sentenced-additional-prison-time-violating-supervise-release</t>
  </si>
  <si>
    <t>July 24, 2018</t>
  </si>
  <si>
    <t>https://www.breitbart.com/texas/2018/07/24/daca-recipient-busted-for-human-smuggling-says-border-patrol/</t>
  </si>
  <si>
    <t>http://www.kgns.tv/content/news/Smuggler-arrested-for-allegedly-conceal-two-Inside-duffle-bags--489067451.html</t>
  </si>
  <si>
    <t>Earl T. Cook, Jr</t>
  </si>
  <si>
    <t>https://www.justice.gov/usao-mdpa/pr/new-cumberland-man-sentenced-five-years-imprisonment-receipt-child-pornography</t>
  </si>
  <si>
    <t>Clare Bronfman (Raniere [et al])</t>
  </si>
  <si>
    <t>https://www.documentcloud.org/documents/4616910-Nxivm-Indictment-S-1.html</t>
  </si>
  <si>
    <t>Kathy Russell (Raniere [et al])</t>
  </si>
  <si>
    <t>Lauren Salzman (Raniere [et al])</t>
  </si>
  <si>
    <t>Nancy Salzman (Raniere [et al])</t>
  </si>
  <si>
    <t>Brandon Martin / Tameko Lindo</t>
  </si>
  <si>
    <t>https://www.stl.news/new-york-news-manhattan-u-s-attorney-announces-money-laundering-charges-operators-nationwide-prostitution-enterprise-seizure-online-escort-website/147652/</t>
  </si>
  <si>
    <t>Marvin Glenn Mitchell</t>
  </si>
  <si>
    <t>http://www.kptv.com/story/38728614/portland-man-suspected-of-sex-trafficking-arrested-in-clark-county</t>
  </si>
  <si>
    <t>Richard Danell Dunston</t>
  </si>
  <si>
    <t>https://www.sctimes.com/story/news/local/2018/07/26/st-cloud-man-trafficked-victim-raise-funds-domestic-abuse-defense/841436002/</t>
  </si>
  <si>
    <t>LaCrystal Renae Crawford/Tyrone Allen/James Cornelius Harris</t>
  </si>
  <si>
    <t>August 2, 2018</t>
  </si>
  <si>
    <t>http://www.trussvilletribune.com/2018/08/03/3-arrested-in-birmingham-on-human-trafficking-charges/</t>
  </si>
  <si>
    <t>https://www.cbp.gov/newsroom/local-media-release/border-patrol-and-air-and-marine-operations-team-interdict-alien</t>
  </si>
  <si>
    <t>Dao Thi Holley</t>
  </si>
  <si>
    <t>https://myfox8.com/2018/07/26/73-year-old-woman-accused-of-teaming-up-with-winston-salem-woman-and-running-massage-parlor-that-was-a-front-for-prostitution/</t>
  </si>
  <si>
    <t>Alfred Peoples</t>
  </si>
  <si>
    <t>https://www.mypalmbeachpost.com/news/crime--law/new-lake-worth-man-accused-lewd-behavior-human-trafficking-victim/zFdefFO1oEFLHIcmrOri6N/</t>
  </si>
  <si>
    <t>August 1, 2018</t>
  </si>
  <si>
    <t>https://docs.google.com/spreadsheets/d/1MAnZZoD7y5Ydwx2rSrZualrZTNUYDY7gozTXkT0YUOs/edit#gid=0</t>
  </si>
  <si>
    <t>August 26, 2018</t>
  </si>
  <si>
    <t>National Johns Suppression Initiative-Sex trafficking</t>
  </si>
  <si>
    <t>https://abc7chicago.com/more-than-450-arrested-in-national-sex-buyer-sting-84-in-illinois/4093121/</t>
  </si>
  <si>
    <t>https://www.wsaw.com/content/news/Human-trafficking-operation-yields-19-arrests-and-409-warnings-in-Brown-County-493420111.html</t>
  </si>
  <si>
    <t>Charles Orlando</t>
  </si>
  <si>
    <t>https://www.justice.gov/usao-edpa/pr/aston-township-man-indicted-manufacturing-child-pornography</t>
  </si>
  <si>
    <t>https://www.delcotimes.com/news/aston-man-charged-with-producing-child-porn/article_032b072e-b796-11e8-a32e-ffd7bedea647.html</t>
  </si>
  <si>
    <t>https://www.courtlistener.com/?q=&amp;type=r&amp;order_by=score+desc&amp;docket_number=2%3A18-cr-00505&amp;court=paed</t>
  </si>
  <si>
    <t>Cody Clines Adkins</t>
  </si>
  <si>
    <t>https://www.justice.gov/usao-sdms/pr/jackson-man-serve-60-years-federal-prison-producing-and-possessing-child-pornography</t>
  </si>
  <si>
    <t>https://www.courtlistener.com/docket/7521169/united-states-v-adkins/</t>
  </si>
  <si>
    <t xml:space="preserve">Brian Richardson </t>
  </si>
  <si>
    <t>July 26, 2018</t>
  </si>
  <si>
    <t>https://kfor.com/2018/07/26/police-investigate-officer-involved-shooting-in-moore/</t>
  </si>
  <si>
    <t>George Karkantzelis</t>
  </si>
  <si>
    <t>https://www.justice.gov/usao-nj/pr/cliffside-park-new-jersey-man-charged-distributing-images-child-sexual-abuse</t>
  </si>
  <si>
    <t>July 29, 2018</t>
  </si>
  <si>
    <t>Columbia</t>
  </si>
  <si>
    <t>Operation Vesta-Sex trafficking &amp; sex trafficking of minors</t>
  </si>
  <si>
    <t>https://josdaily.com/2018/08/03/liliana-del-carmen-campos-puello/</t>
  </si>
  <si>
    <t>https://www.ice.gov/news/releases/18-arrested-largest-anti-human-trafficking-operation-colombian-history</t>
  </si>
  <si>
    <t>Adrian Batt/Wallace Slatinsky/Keith Mahan</t>
  </si>
  <si>
    <t>https://fox17online.com/2018/08/27/state-police-arrest-3-men-on-child-pornography-charges/</t>
  </si>
  <si>
    <t>Robert Kirk</t>
  </si>
  <si>
    <t>July 27, 2018</t>
  </si>
  <si>
    <t>https://www.justice.gov/usao-ndny/pr/schenectady-man-arrested-receipt-and-distribution-child-pornography , https://www.justice.gov/usao-ndny/pr/schenectady-county-man-sentenced-40-years-sexually-exploiting-child</t>
  </si>
  <si>
    <t>Toan Nguyen</t>
  </si>
  <si>
    <t>http://www.kxii.com/content/news/Arrest-made-in-Denison-prostitution-investigation-489349341.html</t>
  </si>
  <si>
    <t>https://cbs6albany.com/news/local/clifton-park-prostitution-sting-nets-9-arrests</t>
  </si>
  <si>
    <t>https://www.cbp.gov/newsroom/local-media-release/rio-grande-valley-border-patrol-continues-encounter-dangerous-smuggling</t>
  </si>
  <si>
    <t>July 28, 2018</t>
  </si>
  <si>
    <t>https://www.cbp.gov/newsroom/local-media-release/rio-grande-valley-border-patrol-disrupts-two-stash-houses-and-four</t>
  </si>
  <si>
    <t>https://www.coloradoan.com/story/news/2018/08/03/fort-collins-police-conduct-prostitution-sting-attracting-hundreds-effort-reduce-trafficking/898817002/</t>
  </si>
  <si>
    <t>https://patch.com/arizona/tucson/tucson-teens-nabbed-human-smuggling</t>
  </si>
  <si>
    <t>https://www.cbp.gov/newsroom/local-media-release/two-tucson-teens-caught-smuggling-humans</t>
  </si>
  <si>
    <t>John Titow</t>
  </si>
  <si>
    <t>August 4, 2018</t>
  </si>
  <si>
    <t>https://www.pe.com/2018/08/11/registered-sex-offender-arrested-for-soliciting-prostitution-services-of-minor-in-riverside/</t>
  </si>
  <si>
    <t>July 30, 2018</t>
  </si>
  <si>
    <t>July 20, 2018</t>
  </si>
  <si>
    <t>http://www.kgns.tv/content/news/Border-Patrol-foils-human-smuggling-attempt-in-south-Laredo-489668031.html</t>
  </si>
  <si>
    <t>http://www.kvoa.com/story/38781830/gang-member-arrested-on-human-smuggling-charges</t>
  </si>
  <si>
    <t>Bradley Richmond</t>
  </si>
  <si>
    <t>https://www.wkrn.com/news/kentucky-child-pornography-suspect-arrested-in-bedford-county/1336072584</t>
  </si>
  <si>
    <t>https://www.cbp.gov/newsroom/local-media-release/border-patrol-agents-arrest-gang-member-smuggling-aliens</t>
  </si>
  <si>
    <t>Jason David Kimball</t>
  </si>
  <si>
    <t>https://www.ksat.com/news/man-arrested-charged-with-compelling-prostitution-police-say</t>
  </si>
  <si>
    <t>Kevin J Newell</t>
  </si>
  <si>
    <t>https://observer-reporter.com/news/localnews/new-jersey-man-arrested-in-north-strabane-human-trafficking-case/article_d2d9f916-9523-11e8-8476-13d8d511121e.html</t>
  </si>
  <si>
    <t>Sean Ralston Feanny</t>
  </si>
  <si>
    <t>http://www.orlandosentinel.com/news/breaking-news/os-ocoee-man-child-pornography-20180731-story.html</t>
  </si>
  <si>
    <t>Jeffrey Stanley</t>
  </si>
  <si>
    <t>https://www.justice.gov/usao-ndoh/pr/ashtabula-man-indicted-child-pornography-charges</t>
  </si>
  <si>
    <t>https://fox8.com/2018/08/01/person-of-interest-in-disappearance-murder-of-ashtabula-woman-arrested-on-child-porn-complaint/</t>
  </si>
  <si>
    <t>https://www.courtlistener.com/docket/7578774/united-states-v-stanley/</t>
  </si>
  <si>
    <t>https://www.cbp.gov/newsroom/local-media-release/two-hour-border-patrolchase-ends-near-san-diego</t>
  </si>
  <si>
    <t>http://www.kpcw.org/post/california-man-transporting-8-illegal-immigrants-charged-human-trafficking#stream/0</t>
  </si>
  <si>
    <t>Juan Pablo Sanchez Delgado</t>
  </si>
  <si>
    <t>Labor trafficking &amp; human smuggling</t>
  </si>
  <si>
    <t>https://www.ice.gov/news/releases/nebraska-illegal-alien-pleads-guilty-conspiracy-harbor-illegal-aliens</t>
  </si>
  <si>
    <t>https://www.ketv.com/article/federal-indictments-in-ice-raid-reveals-dollar8-million-money-laundering-scheme/22691654</t>
  </si>
  <si>
    <t>Antonio De Jesus Castro</t>
  </si>
  <si>
    <t>Magdalena Castro Benitez</t>
  </si>
  <si>
    <t>Alma Hernandez Moreno</t>
  </si>
  <si>
    <t>Anayancy Castro Hernandez</t>
  </si>
  <si>
    <t>Fabian Castro</t>
  </si>
  <si>
    <t>Suni Sarahi Sanchez Delgado</t>
  </si>
  <si>
    <t>Osvaldo Sanchez Delgado</t>
  </si>
  <si>
    <t>John Christopher Good</t>
  </si>
  <si>
    <t>Aracely Heredia Martinez</t>
  </si>
  <si>
    <t>Eric Beringer</t>
  </si>
  <si>
    <t>Christopher Thurlow</t>
  </si>
  <si>
    <t>Mayra P. Jimenez Castellon</t>
  </si>
  <si>
    <t>Asiyadeth Jimenez Castellon</t>
  </si>
  <si>
    <t>John Glidden</t>
  </si>
  <si>
    <t>Jaime Garcia Cota</t>
  </si>
  <si>
    <t>Lillian Ajin</t>
  </si>
  <si>
    <t>Leonidas N. Mavrogenis, Jr.</t>
  </si>
  <si>
    <t>https://www.ice.gov/news/releases/massachusetts-man-sentenced-5-years-federal-prison-distributing-child-pornography</t>
  </si>
  <si>
    <t>Alexis Rivera Castillo</t>
  </si>
  <si>
    <t>Attempted Sex trafficking of minors</t>
  </si>
  <si>
    <t>https://www.fbi.gov/contact-us/field-offices/sanjuan/news/press-releases/federal-charges-for-attempted-sexual-trafficking-of-children</t>
  </si>
  <si>
    <t>Travis Walker</t>
  </si>
  <si>
    <t>https://bklyner.com/sex-trafficking-indictment/</t>
  </si>
  <si>
    <t>John Hunt</t>
  </si>
  <si>
    <t>https://www.justice.gov/usao-ndia/pr/cedar-rapids-man-charged-sexual-exploitation-child-possession-child-pornography-and</t>
  </si>
  <si>
    <t>https://www.thegazette.com/subject/news/public-safety/cedar-rapids-man-to-stay-in-jail-on-sexual-exploitation-child-porn-charges-20180801</t>
  </si>
  <si>
    <t>Paul Crowder / April Glaze</t>
  </si>
  <si>
    <t>http://www.journalreview.com/news/article_ee379b3c-968b-11e8-970a-1b2cfea3f4be.html</t>
  </si>
  <si>
    <t>Isaac &amp; Lourdes Suero</t>
  </si>
  <si>
    <t>https://bangordailynews.com/2018/08/03/news/york/biddeford-man-woman-accused-of-sex-trafficking/</t>
  </si>
  <si>
    <t>Jay Walter Sall</t>
  </si>
  <si>
    <t>CP &amp; enticement charges</t>
  </si>
  <si>
    <t>https://www.justice.gov/usao-sdfl/pr/miami-beach-resident-sentenced-20-years-prison-attempting-entice-minor-engage-sexual</t>
  </si>
  <si>
    <t>https://www.miamiherald.com/news/local/crime/article226719489.html</t>
  </si>
  <si>
    <t>https://www.courtlistener.com/docket/14657791/united-states-v-sall/</t>
  </si>
  <si>
    <t>Michael Butler</t>
  </si>
  <si>
    <t>https://www.justice.gov/usao-ndoh/pr/two-men-indicted-child-pornography-offenses</t>
  </si>
  <si>
    <t>https://www.courtlistener.com/?q=&amp;type=r&amp;order_by=score+desc&amp;docket_number=3%3A18-cr-00438&amp;court=ohnd</t>
  </si>
  <si>
    <t xml:space="preserve">Michael Crawford  </t>
  </si>
  <si>
    <t>https://www.courtlistener.com/docket/7627274/united-states-v-crawford/</t>
  </si>
  <si>
    <t>Robert Bungert</t>
  </si>
  <si>
    <t>https://www.justice.gov/usao-sd/pr/sex-trafficking-operation-results-arrests-1</t>
  </si>
  <si>
    <t>https://www.courtlistener.com/docket/7709770/united-states-v-bungert/</t>
  </si>
  <si>
    <t>Zam Mung</t>
  </si>
  <si>
    <t>https://www.justice.gov/usao-sd/pr/sex-trafficking-operation-results-arrests-1  https://www.justice.gov/usao-sd/pr/rapid-city-man-found-guilty-attempted-commercial-sex-trafficking-children , https://www.justice.gov/usao-sd/pr/rapid-city-man-sentenced-10-years-prison-attempted-sex-trafficking</t>
  </si>
  <si>
    <t>https://www.courtlistener.com/docket/7709766/united-states-v-mung/</t>
  </si>
  <si>
    <t>Jeremiah Stertz</t>
  </si>
  <si>
    <t>https://www.courtlistener.com/docket/7710383/united-states-v-stertz/</t>
  </si>
  <si>
    <t>Paul Heib</t>
  </si>
  <si>
    <t>https://www.courtlistener.com/docket/7710398/united-states-v-heib/</t>
  </si>
  <si>
    <t>Connor Harmon</t>
  </si>
  <si>
    <t>https://www.justice.gov/usao-sd/pr/sex-trafficking-operation-results-arrests-1 , https://www.justice.gov/usao-sd/pr/sturgis-man-sentenced-attempted-receipt-child-pornography</t>
  </si>
  <si>
    <t>https://www.courtlistener.com/docket/7710395/united-states-v-harmon/</t>
  </si>
  <si>
    <t>Adam Myosky</t>
  </si>
  <si>
    <t>https://www.justice.gov/usao-sd/pr/sturgis-man-sentenced-attempted-receipt-child-pornography-0</t>
  </si>
  <si>
    <t>William G. Weekley</t>
  </si>
  <si>
    <t>https://www.justice.gov/usao-sdoh/pr/six-ohio-men-charged-crimes-related-sexually-abusing-children-creating-child , https://www.justice.gov/usao-sdoh/pr/seven-ohio-men-sentenced-prison-crimes-related-sexually-abusing-children-creating-child</t>
  </si>
  <si>
    <t>Timothy F Sullivan (Weekley et al)</t>
  </si>
  <si>
    <t>Franklin E Perry (Weekley et al)</t>
  </si>
  <si>
    <t>Brian S Perkins (Weekley et al)</t>
  </si>
  <si>
    <t>Grant Michalski (Weekley et al)</t>
  </si>
  <si>
    <t>https://www.courtlistener.com/docket/8126071/united-states-v-michalski/</t>
  </si>
  <si>
    <t>Eric Zevely (Weekley et al)</t>
  </si>
  <si>
    <t>https://www.justice.gov/usao-sdoh/pr/columbus-man-pleads-guilty-creating-child-pornography-sexually-abusing-10-year-old-girl</t>
  </si>
  <si>
    <t>Jordan I. Makowski (Weekley et al)</t>
  </si>
  <si>
    <t>https://www.justice.gov/usao-sdoh/pr/seven-ohio-men-sentenced-prison-crimes-related-sexually-abusing-children-creating-child</t>
  </si>
  <si>
    <t>Ibrahim Dirweesh</t>
  </si>
  <si>
    <t>https://www.justice.gov/usao-wdny/pr/man-arrested-peace-bridge-child-pornography-charges</t>
  </si>
  <si>
    <t>Robert Hosler</t>
  </si>
  <si>
    <t>Project Safe Childhood-Attempted Sex trafficking of a minor</t>
  </si>
  <si>
    <t>https://www.justice.gov/usao-wdwi/pr/texas-man-charged-using-email-text-messages-attempt-obtain-minor-sexual-activity, https://www.justice.gov/usao-wdwi/pr/texas-man-sentenced-10-years-traveling-wisconsin-illegal-sexual-activity-minor</t>
  </si>
  <si>
    <t>https://www.courtlistener.com/docket/7873521/united-states-v-hosler-robert/</t>
  </si>
  <si>
    <t>Operation Zeus-CP related charges</t>
  </si>
  <si>
    <t>https://thegoldwater.com/news/37361-Texas-Law-Agencies-Take-Down-12-Pedophiles-in-Child-Porn-Ring-via-Operation-Zeus</t>
  </si>
  <si>
    <t>August 31, 2018</t>
  </si>
  <si>
    <t>https://www.chron.com/news/houston-texas/houston/article/Houston-police-arrest-54-suspects-on-prostitution-13253442.php#photo-16221189</t>
  </si>
  <si>
    <t>Jason Junek</t>
  </si>
  <si>
    <t>https://www.justice.gov/usao-edwi/pr/hortonville-man-receives-15-year-sentence-sexual-exploitation-minors</t>
  </si>
  <si>
    <t>https://www.courtlistener.com/docket/7618469/united-states-v-junek/</t>
  </si>
  <si>
    <t>Rene Flores-Calderon</t>
  </si>
  <si>
    <t>https://www.ice.gov/news/releases/previously-removed-mexican-man-pleads-guilty-missouri-transporting-illegal-aliens-re</t>
  </si>
  <si>
    <t>Eddie Sowells</t>
  </si>
  <si>
    <t>http://www.kxxv.com/story/38798275/man-arrested-for-trafficking-after-police-say-he-was-pimping-women-in-waco-area</t>
  </si>
  <si>
    <t>Peter &amp; Jennifer Giove</t>
  </si>
  <si>
    <t>https://baltimore.cbslocal.com/2018/08/02/child-porn-arrests/</t>
  </si>
  <si>
    <t>Jeffery &amp; Barbara Barrett</t>
  </si>
  <si>
    <t>https://www.dallasnews.com/news/crime/2018/08/09/texas-couple-accused-using-adopted-children-slave-labor-run-puppy-mill</t>
  </si>
  <si>
    <t>Operation Red Rose-Sex trafficking of a minor</t>
  </si>
  <si>
    <t>https://www.fresnobee.com/news/local/crime/article216281190.html</t>
  </si>
  <si>
    <t>August 12, 2018</t>
  </si>
  <si>
    <t>http://www.brainerddispatch.com/news/crime-and-courts/4486334-six-arrested-sturgis-motorcycle-rally-sex-sting</t>
  </si>
  <si>
    <t>https://www.cbp.gov/newsroom/local-media-release/rio-grande-valley-border-patrol-agents-arrest-child-smuggler</t>
  </si>
  <si>
    <t>Benjamin H. Cole</t>
  </si>
  <si>
    <t>https://www.justice.gov/usao-wdmo/pr/neosho-sex-offender-sentenced-15-years-child-pornography</t>
  </si>
  <si>
    <t>Corey Nolden / Tayanna Johnson</t>
  </si>
  <si>
    <t>August 9, 2018</t>
  </si>
  <si>
    <t>http://www.wnem.com/story/38849287/man-nicknamed-murder-charged-with-sex-trafficking-a-15-year-old</t>
  </si>
  <si>
    <t>Rafael Montano/Ivan Ulises Zamora/Jonathan Deanda</t>
  </si>
  <si>
    <t>August 6, 2018</t>
  </si>
  <si>
    <t>https://ktla.com/2018/08/10/3-men-charged-with-sex-trafficking-of-2-teenage-girls-in-orange-county/</t>
  </si>
  <si>
    <t>Salvatore Lawrence Bruno</t>
  </si>
  <si>
    <t>https://www.justice.gov/usao-sdia/pr/pottawattamie-county-man-sentenced-prison-possession-child-pornography</t>
  </si>
  <si>
    <t>https://www.courtlistener.com/docket/14765509/united-states-v-bruno/</t>
  </si>
  <si>
    <t>Yerdinson Rodriguez-Tavarez</t>
  </si>
  <si>
    <t>https://www.justice.gov/usao-sdms/pr/dominican-republic-citizen-pleads-guilty-human-smuggling</t>
  </si>
  <si>
    <t>https://www.courtlistener.com/docket/7727917/united-states-v-rodriguez-tavarez/</t>
  </si>
  <si>
    <t>Darrell Henry Adam</t>
  </si>
  <si>
    <t>https://www.justice.gov/usao-sc/pr/rock-hill-man-sentenced-25-years-federal-prison-child-pornography-case</t>
  </si>
  <si>
    <t>August 7, 2018</t>
  </si>
  <si>
    <t>https://kristv.com/news/local-news/2018/08/07/10505/</t>
  </si>
  <si>
    <t>https://www.cbp.gov/newsroom/local-media-release/rio-grande-valley-sector-border-patrol-agents-disrupt-eight-human</t>
  </si>
  <si>
    <t>Preston Bell</t>
  </si>
  <si>
    <t>https://kywnewsradio.radio.com/articles/news/man-charged-promoting-prostitution-16-year-old-girl-backpagecom</t>
  </si>
  <si>
    <t>Marcus Brown</t>
  </si>
  <si>
    <t>https://www.justice.gov/usao-wdny/pr/rochester-man-pleads-guilty-sex-trafficking-minors</t>
  </si>
  <si>
    <t>Ray Davis (Brown et al)</t>
  </si>
  <si>
    <t>Richard Spillane</t>
  </si>
  <si>
    <t>August 8, 2018</t>
  </si>
  <si>
    <t>https://www.justice.gov/usao-wdok/pr/oklahoma-city-man-indicted-producing-and-receiving-child-pornography</t>
  </si>
  <si>
    <t>https://www.justice.gov/usao-wdok/pr/oklahoma-city-man-sentenced-30-years-prison-producing-child-pornography</t>
  </si>
  <si>
    <t>https://www.courtlistener.com/docket/7614615/united-states-v-spillane/</t>
  </si>
  <si>
    <t>https://www.timesunion.com/news/article/8-arrested-in-Colonie-prostitution-sting-13144876.php</t>
  </si>
  <si>
    <t>Edward Bonek</t>
  </si>
  <si>
    <t>https://www.nj.com/middlesex/index.ssf/2018/08/nj_high_school_principal_shared_child_porn_cops_say.html</t>
  </si>
  <si>
    <t>David Ohmar Harris</t>
  </si>
  <si>
    <t>https://www.justice.gov/usao-wdwi/pr/las-vegas-man-charged-producing-child-pornography-and-extortion-threats-stalking</t>
  </si>
  <si>
    <t>https://www.cbp.gov/newsroom/local-media-release/14-illegal-aliens-apprehended-after-border-patrol-encounters-two-trucks</t>
  </si>
  <si>
    <t>Zhixin Lai / Qin Liang</t>
  </si>
  <si>
    <t>https://hcnews.com/pages/updates/massage-parlors-busted-for-prostitution/</t>
  </si>
  <si>
    <t>https://www.cbp.gov/newsroom/local-media-release/tractor-trailer-smuggling-attempt-foiled-rio-grande-valley-sector</t>
  </si>
  <si>
    <t>Tyquan Henderson</t>
  </si>
  <si>
    <t>http://theforumnewsgroup.com/2018/08/16/jamaica-man-charged-with-pimping-out-teen-girl/</t>
  </si>
  <si>
    <t>Jason Lee Sarabia</t>
  </si>
  <si>
    <t>https://www.justice.gov/usao-wdtx/pr/san-antonio-man-sentenced-federal-prison-child-pornography-charges-0</t>
  </si>
  <si>
    <t>Anthony Joseph Culotta</t>
  </si>
  <si>
    <t>August 10, 2018</t>
  </si>
  <si>
    <t>https://www.justice.gov/usao-mdfl/pr/former-nasa-contractor-pleads-guilty-receipt-child-pornography https://www.justice.gov/usao-mdfl/pr/nasa-contractor-arrested-possession-child-pornography</t>
  </si>
  <si>
    <t>https://www.orlandosentinel.com/business/os-bz-nasa-child-pornography-guilty-20190227-story.html</t>
  </si>
  <si>
    <t>https://www.courtlistener.com/docket/15040491/united-states-v-culotta-jr/</t>
  </si>
  <si>
    <t>http://archive.fo/NcfC5</t>
  </si>
  <si>
    <t>Jason DiSanto</t>
  </si>
  <si>
    <t>https://www.justice.gov/usao-nj/pr/monmouth-county-new-jersey-man-sentenced-five-years-prison-receiving-child-pornography</t>
  </si>
  <si>
    <t>https://www.cbp.gov/newsroom/local-media-release/yuma-sector-border-patrol-arrest-united-states-citizen-human-smuggling</t>
  </si>
  <si>
    <t>https://www.cbp.gov/newsroom/local-media-release/smuggler-bails-vehicle-later-arrested-usbp</t>
  </si>
  <si>
    <t>August 11, 2018</t>
  </si>
  <si>
    <t>https://www.cbp.gov/newsroom/local-media-release/laredo-sector-border-patrol-agents-rescue-78-illegal-aliens-inside</t>
  </si>
  <si>
    <t>http://www.kgns.tv/content/news/Border-Patrol-agents-foil-alleged-human-smuggling-attempt-490715641.html</t>
  </si>
  <si>
    <t>Us</t>
  </si>
  <si>
    <t>https://www.cbp.gov/newsroom/local-media-release/2-phoenix-women-flee-border-patrol-agents-later-arrested</t>
  </si>
  <si>
    <t>Joseph Zanco</t>
  </si>
  <si>
    <t>August 13, 2018</t>
  </si>
  <si>
    <t>https://www.justice.gov/usao-edny/pr/massapequa-high-school-teacher-charged-transportation-and-possession-child-pornography</t>
  </si>
  <si>
    <t>https://www.nbcnewyork.com/news/local/Massapequa-High-School-Teacher-Arrested-Child-Porn-Charges-490763651.html</t>
  </si>
  <si>
    <t>https://www.cbp.gov/newsroom/local-media-release/border-patrol-agents-foil-human-smuggling-attempt-0</t>
  </si>
  <si>
    <t>Tara Ponceroff</t>
  </si>
  <si>
    <t>August 14, 2018</t>
  </si>
  <si>
    <t>https://www.justice.gov/usao-ndwv/pr/monongalia-county-woman-admits-child-pornography-charge https://www.justice.gov/usao-ndwv/pr/monongalia-county-woman-appears-child-pornography-charges</t>
  </si>
  <si>
    <t>https://www.wdtv.com/content/news/Morgantown-woman-facing-multiple-child-pornography-charges-490946591.html</t>
  </si>
  <si>
    <t>http://archive.fo/ABm1b</t>
  </si>
  <si>
    <t>http://archive.fo/Pvmff</t>
  </si>
  <si>
    <t>http://www.vvdailypress.com/news/20180816/eight-johns-arrested-in-prostitution-operation-at-hesperia-motel</t>
  </si>
  <si>
    <t>Domingo Coleman</t>
  </si>
  <si>
    <t>August 15, 2018</t>
  </si>
  <si>
    <t>https://www.wsoctv.com/news/local/man-accused-of-sexual-assault-forcing-victim-into-prostitution-to-appear-in-court/813485237</t>
  </si>
  <si>
    <t>https://www.cbp.gov/newsroom/local-media-release/two-pursuits-two-days-usbp-agents-arrest-10-people</t>
  </si>
  <si>
    <t>Zachary Wayne Newberry</t>
  </si>
  <si>
    <t>https://www.justice.gov/usao-ndok/pr/claremore-man-sentenced-30-years-prison-sexually-exploiting-child</t>
  </si>
  <si>
    <t>https://www.tulsaworld.com/homepagelatest/man-arrested-on-sexual-abuse-and-child-pornography-complaints-after/article_c177de16-2980-588b-8a78-9bf469622251.html</t>
  </si>
  <si>
    <t>https://www.courtlistener.com/docket/7974724/united-states-v-newberry/</t>
  </si>
  <si>
    <t>Domingo Diaz</t>
  </si>
  <si>
    <t>https://www.wpbf.com/article/update-prostitution-ring-busted-in-west-palm-beach/22752155</t>
  </si>
  <si>
    <t>August 16, 2018</t>
  </si>
  <si>
    <t>https://www.keloland.com/news/local-news/two-massage-parlors-operating-without-licenses-in-sioux-falls/1376305879</t>
  </si>
  <si>
    <t>Glenwood Brown</t>
  </si>
  <si>
    <t>https://www.sfchronicle.com/news/crime/article/Man-accused-of-sex-trafficking-in-9-states-13160572.php</t>
  </si>
  <si>
    <t>Jason Gibson</t>
  </si>
  <si>
    <t>https://www.courant.com/breaking-news/hc-br-fromer-uconn-professor-arrested-child-porn-20180907-story.html</t>
  </si>
  <si>
    <t>https://www.cbp.gov/newsroom/local-media-release/operation-stonegarden-cochise-county-stops-smuggling-attempt</t>
  </si>
  <si>
    <t>John W Hudson</t>
  </si>
  <si>
    <t>https://www.pinalcentral.com/casa_grande_dispatch/area_news/registered-sex-offender-arrested-in-cg-for-child-porn/article_5b7a5df6-186d-5f4d-9b9f-82e3e491c100.html</t>
  </si>
  <si>
    <t>August 17, 2018</t>
  </si>
  <si>
    <t>https://www.cbp.gov/newsroom/local-media-release/smuggler-attempts-evade-checkpoint-agents-rio-grande-valley</t>
  </si>
  <si>
    <t>Andries Snyman</t>
  </si>
  <si>
    <t>Transportation of obscene matter</t>
  </si>
  <si>
    <t>https://www.justice.gov/usao-sd/pr/south-african-man-sentenced-transportation-obscene-matter</t>
  </si>
  <si>
    <t>https://www.justice.gov/usao-ndny/pr/cobleskill-man-sentenced-15-years-child-pornography-offenses</t>
  </si>
  <si>
    <t>https://www.courtlistener.com/docket/8021037/united-states-v-vanburen/</t>
  </si>
  <si>
    <t>Derek Sheehan</t>
  </si>
  <si>
    <t>https://www.justice.gov/usao-ma/pr/norwell-man-indicted-sexual-exploitation-children</t>
  </si>
  <si>
    <t>https://www.justice.gov/usao-ma/pr/former-youth-football-coach-charged-sexual-exploitation-children</t>
  </si>
  <si>
    <t>https://www.courtlistener.com/?q=&amp;type=r&amp;order_by=score+desc&amp;docket_number=1%3A18-cr-10391&amp;court=mad</t>
  </si>
  <si>
    <t>Dustan Setner</t>
  </si>
  <si>
    <t>August 20, 2018</t>
  </si>
  <si>
    <t>https://www.justice.gov/usao-ndil/pr/suburban-man-charged-sharing-child-pornography</t>
  </si>
  <si>
    <t>https://www.courtlistener.com/docket/7722203/united-states-v-setner/</t>
  </si>
  <si>
    <t>Taylor Haynes</t>
  </si>
  <si>
    <t>https://www.justice.gov/usao-mdla/pr/gonzales-man-sentenced-198-months-federal-prison-child-pornography</t>
  </si>
  <si>
    <t>http://206.124.223.114/NewWorld.InmateInquiry/AsensionParish/Inmate/Detail/-318336 , https://archive.vn/TbG5F</t>
  </si>
  <si>
    <t>https://archive.vn/xZYkl</t>
  </si>
  <si>
    <t>https://archive.vn/uA1G0</t>
  </si>
  <si>
    <t>David Minnichelli</t>
  </si>
  <si>
    <t>Project Safe Chldhood-CP production &amp; related charges</t>
  </si>
  <si>
    <t>https://www.cbp.gov/newsroom/local-media-release/border-patrol-disrupts-smuggling-attempt-rio-grande-valley</t>
  </si>
  <si>
    <t>https://www.wsbradio.com/news/crime--law/marietta-police-rescue-teen-from-human-trafficking-operation/JqPOc5DmR6PxXGr8fgxzQP/</t>
  </si>
  <si>
    <t>Richard Dzionara-Norsen</t>
  </si>
  <si>
    <t>https://www.justice.gov/usao-wdny/pr/brighton-ny-man-arrested-child-pornography-charges , https://www.justice.gov/usao-wdny/pr/federal-jury-convicts-brighton-man-multiple-child-pornography-charges</t>
  </si>
  <si>
    <t>Mark Cortez Spicer / Phylicia Marie King</t>
  </si>
  <si>
    <t>August 21, 2018</t>
  </si>
  <si>
    <t>https://www.wbtw.com/crime/grand-strand-crime/man-arrested-warrants-for-woman-in-myrtle-beach-human-trafficking-case-involving-teen-girl/1386092829</t>
  </si>
  <si>
    <t>Warren Anderson</t>
  </si>
  <si>
    <t>https://www.masslive.com/news/index.ssf/2018/08/massachusetts_high_school_teac.html</t>
  </si>
  <si>
    <t>https://www.justice.gov/usao-ma/pr/high-school-teacher-charged-child-pornography-offenses</t>
  </si>
  <si>
    <t>https://www.thespec.com/news-story/8853460-girl-rescued-from-burlington-hotel-in-alleged-sex-trafficking-case/</t>
  </si>
  <si>
    <t>https://www.cbp.gov/newsroom/local-media-release/border-patrol-arrests-alien-smuggler-after-failing-yield</t>
  </si>
  <si>
    <t>https://www.cbp.gov/newsroom/local-media-release/operation-blazing-sands-nets-first-arrest</t>
  </si>
  <si>
    <t>Gerald Dewayne Jennings</t>
  </si>
  <si>
    <t>http://www.ocala.com/news/20180822/ocala-man-charged-with-20-counts-of-child-porn</t>
  </si>
  <si>
    <t>https://www.kyma.com/news/border-patrol-operation-blazing-sands-make-arrests-in-human-smuggle-attempt/785311069</t>
  </si>
  <si>
    <t>https://www.cbp.gov/newsroom/local-media-release/laredo-sector-border-patrol-agents-apprehend-18-illegal-aliens-inside</t>
  </si>
  <si>
    <t>Renee Collins / William Thomas</t>
  </si>
  <si>
    <t>https://wgntv.com/2018/08/23/missouri-mother-accused-of-selling-disabled-daughter-for-sex/</t>
  </si>
  <si>
    <t>https://www.cbp.gov/newsroom/local-media-release/cbp-hidalgo-seizes-cocaine-worth-500k-arrests-child-smuggler</t>
  </si>
  <si>
    <t>Carl Masters (Masters et al)</t>
  </si>
  <si>
    <t>Project Safe Childhood-Child exploitation enterprise &amp; CP related charges</t>
  </si>
  <si>
    <t>https://www.justice.gov/usao-edpa/pr/members-nationwide-child-exploitation-enterprise-sentenced-prison</t>
  </si>
  <si>
    <t>https://allongeorgia.com/national-news/members-of-nationwide-child-exploitation-enterprise-sentenced-to-prison/</t>
  </si>
  <si>
    <t>https://www.courtlistener.com/?q=&amp;type=r&amp;order_by=score+desc&amp;docket_number=2%3A18-cr-00352&amp;court=paed</t>
  </si>
  <si>
    <t>Andrew Dowdle (Masters et al)</t>
  </si>
  <si>
    <t>https://allongeorgia.com/national-news/members-of-nationwide-child-exploitation-enterprise-sentenced-to-prison/ , https://www.nny360.com/news/undertaker-charged-over-child-porn-seen-online/article_4edbf32e-a6de-56ca-adc8-6332338661f3.html</t>
  </si>
  <si>
    <t>https://archive.vn/wip/l2G7p</t>
  </si>
  <si>
    <t>Ric Crossfield (Masters et al)</t>
  </si>
  <si>
    <t>Hanford Chiu</t>
  </si>
  <si>
    <t>August 22, 2018</t>
  </si>
  <si>
    <t>https://www.justice.gov/usao-ma/pr/brighton-man-charged-child-pornography-offenses</t>
  </si>
  <si>
    <t>https://www.courtlistener.com/docket/7796239/united-states-v-chiu/</t>
  </si>
  <si>
    <t>Benjamin Jakes-Johnson</t>
  </si>
  <si>
    <t>https://www.justice.gov/usao-ndny/pr/jury-convicts-repeat-offender-distributing-attempting-receive-and-possessing-child , https://www.justice.gov/usao-ndny/pr/repeat-offender-sentenced-212-months-child-pornography-crimes</t>
  </si>
  <si>
    <t>Myung Hee Lim / Shun Zi Li</t>
  </si>
  <si>
    <t>http://www.fox5atlanta.com/news/officials-2-women-arrested-during-massage-parlor-sting-operation</t>
  </si>
  <si>
    <t>Mark Cook</t>
  </si>
  <si>
    <t>https://www.wftv.com/news/local/osceola-church-employee-arrested-on-child-pornography-charges-deputies-say/817676724</t>
  </si>
  <si>
    <t>Galen R Kountz</t>
  </si>
  <si>
    <t>https://www.al.com/news/index.ssf/2018/08/navy_man_arrested_on_child_por.html</t>
  </si>
  <si>
    <t>Xavier Morales</t>
  </si>
  <si>
    <t>https://www.clickorlando.com/news/orlando-man-arrested-on-child-pornography-molestation-charges</t>
  </si>
  <si>
    <t>https://www.cbp.gov/newsroom/local-media-release/laredo-sector-border-patrol-agents-arrest-assaultive-illegal-alien</t>
  </si>
  <si>
    <t>Kurt Castaldo</t>
  </si>
  <si>
    <t>http://www.sun-sentinel.com/local/palm-beach/fl-pn-pbso-child-porn-arrest-20180824-story.html</t>
  </si>
  <si>
    <t>https://www.breitbart.com/texas/2018/08/27/daca-recipient-arrested-for-alleged-human-smuggling-in-texas/</t>
  </si>
  <si>
    <t>Dianna Garza</t>
  </si>
  <si>
    <t>https://www.justice.gov/usao-sdtx/pr/jury-convicts-los-fresnos-woman-alien-smuggling</t>
  </si>
  <si>
    <t>https://www.courtlistener.com/docket/7912212/united-states-v-garza/</t>
  </si>
  <si>
    <t>Daniel M. Passero, Jr</t>
  </si>
  <si>
    <t>https://www.justice.gov/usao-ndny/pr/jury-finds-herkimer-county-man-guilty-receipt-and-possession-child-pornography , https://www.justice.gov/usao-ndny/pr/herkimer-county-man-sentenced-20-years-child-pornography-offenses</t>
  </si>
  <si>
    <t>https://www.courtlistener.com/?q=&amp;type=r&amp;order_by=score+desc&amp;docket_number=5%3A18-cr-00263&amp;court=nynd</t>
  </si>
  <si>
    <t>David Barnett</t>
  </si>
  <si>
    <t>https://www.fox23.com/news/man-charged-in-connection-with-using-dating-app-for-human-trafficking-in-tulsa/819144211</t>
  </si>
  <si>
    <t>Ren-Quan Zheng</t>
  </si>
  <si>
    <t>Sex trafficking/human smuggling</t>
  </si>
  <si>
    <t>https://www.centexproud.com/news/local/human-trafficking-raid-at-local-spa/1391081862</t>
  </si>
  <si>
    <t>Corey Barraclough</t>
  </si>
  <si>
    <t>https://www.northjersey.com/story/news/crime/2018/08/23/northvale-nj-man-arrested-possession-child-pornography/1077611002/</t>
  </si>
  <si>
    <t>Multimple (some named in article)</t>
  </si>
  <si>
    <t>August 24, 2018</t>
  </si>
  <si>
    <t>Set trafficking</t>
  </si>
  <si>
    <t>http://www.kwch.com/content/news/SWAT-team-responds-to-situation-in-SW-Wichita--491636561.html</t>
  </si>
  <si>
    <t>Angel Rey Andaverde</t>
  </si>
  <si>
    <t>https://myfox8.com/2018/08/24/lexington-man-arrested-on-human-trafficking-after-13-year-old-reports-sexual-encounters-drugs/</t>
  </si>
  <si>
    <t>https://www.cbp.gov/newsroom/local-media-release/operation-blazing-sands-yields-arrest-three-more-smugglers</t>
  </si>
  <si>
    <t>https://www.cbp.gov/newsroom/local-media-release/high-risks-high-speeds-encountered-border-patrol-checkpoints-rio-grande</t>
  </si>
  <si>
    <t>http://www.kwtx.com/content/news/Local-solicitation-operation-leads-to-three-arrests-492950741.html</t>
  </si>
  <si>
    <t>Kevin Gorbsky</t>
  </si>
  <si>
    <t>https://www.justice.gov/usao-md/pr/army-captain-indicted-charges-enticement-minor-engage-unlawful-sexual-activity-and</t>
  </si>
  <si>
    <t>https://baltimore.cbslocal.com/2018/08/24/army-captain-indicted-on-charges-of-enticing-minor-to-engage-in-unlawful-sexual-activity-transferring-obscene-material-to-a-minor/</t>
  </si>
  <si>
    <t>Terry Chase White</t>
  </si>
  <si>
    <t>https://www.justice.gov/usao-wdpa/pr/erie-man-charged-receiving-and-possessing-child-pornography-0   https://www.justice.gov/usao-wdpa/pr/former-erie-resident-pleads-guilty-project-safe-childhood-case</t>
  </si>
  <si>
    <t>Paul Estus</t>
  </si>
  <si>
    <t>https://www.justice.gov/usao-ri/pr/westerly-resident-federal-supervised-release-child-pornography-conviction-charged</t>
  </si>
  <si>
    <t>https://www.courtlistener.com/docket/7915171/united-states-v-estus/</t>
  </si>
  <si>
    <t>https://www.cbp.gov/newsroom/local-media-release/yuma-sector-border-patrol-arrests-two-us-citizens-human-smuggling-event</t>
  </si>
  <si>
    <t>http://www.wfsb.com/story/38961962/eight-arrested-in-human-trafficking-sting-in-enfield</t>
  </si>
  <si>
    <t>Mark Brueggemann</t>
  </si>
  <si>
    <t>https://www.justice.gov/usao-sdil/pr/former-waterloo-resident-pleads-guilty-receiving-child-pornography</t>
  </si>
  <si>
    <t>https://www.bnd.com/news/local/crime/article217411600.html</t>
  </si>
  <si>
    <t>https://www.courtlistener.com/docket/7896922/united-states-v-brueggemann/</t>
  </si>
  <si>
    <t>https://www.cbp.gov/newsroom/local-media-release/border-patrol-arrests-man-convicted-attempted-murder-smuggling-charges</t>
  </si>
  <si>
    <t>http://www.kgns.tv/content/news/Border-Patrol-agents-find-illegal-immigrant-inside-windjammer-491783521.html</t>
  </si>
  <si>
    <t>August 27, 2018</t>
  </si>
  <si>
    <t>https://fox5sandiego.com/2018/08/27/19-arrested-in-suspected-smuggling-attempt/</t>
  </si>
  <si>
    <t>Christopher Gardiner</t>
  </si>
  <si>
    <t>https://www.justice.gov/usao-nj/pr/union-county-new-jersey-man-charged-distribution-child-pornography, https://www.justice.gov/usao-nj/pr/union-county-registered-sex-offender-admits-distribution-child-pornography-and-online</t>
  </si>
  <si>
    <t>https://www.cbp.gov/newsroom/local-media-release/yuma-sector-s-immigration-checkpoints-continue-interdict-human-and</t>
  </si>
  <si>
    <t>https://www.cbp.gov/newsroom/local-media-release/border-patrol-agents-discover-20-illegal-aliens-hidden-semi-truck</t>
  </si>
  <si>
    <t>https://www.cbp.gov/newsroom/local-media-release/border-patrol-and-homeland-security-investigations-rescue-illegal</t>
  </si>
  <si>
    <t>August 30, 2018</t>
  </si>
  <si>
    <t>https://www.kvia.com/crime/sisd-teacher-among-13-charged-after-prostitution-sting/790835254</t>
  </si>
  <si>
    <t>August 28, 2018</t>
  </si>
  <si>
    <t>https://www.cbp.gov/newsroom/local-media-release/operation-blazing-sands-continues-curtail-smuggling-attempts</t>
  </si>
  <si>
    <t>Stephen Chase Clark</t>
  </si>
  <si>
    <t>https://www.justice.gov/usao-edtx/pr/collin-county-man-guilty-child-exploitation-violations</t>
  </si>
  <si>
    <t>Barry Goldstein</t>
  </si>
  <si>
    <t>August 29, 2018</t>
  </si>
  <si>
    <t>https://www.justice.gov/usao-nj/pr/bergen-county-new-jersey-man-arrested-child-pornography-charges</t>
  </si>
  <si>
    <t>https://www.cbp.gov/newsroom/local-media-release/laredo-sector-border-patrol-agents-rescue-62-illegal-aliens</t>
  </si>
  <si>
    <t>Nicolas Tamayo / Francisco Santos-Luna</t>
  </si>
  <si>
    <t>https://www.justice.gov/usao-ndny/pr/rhode-island-men-arrested-alien-smuggling</t>
  </si>
  <si>
    <t>https://www.courtlistener.com/?q=&amp;type=r&amp;order_by=score+desc&amp;docket_number=8%3A18-cr-00323&amp;court=nynd</t>
  </si>
  <si>
    <t>Barbara Jean Hutchinson</t>
  </si>
  <si>
    <t>https://www.lmtonline.com/border-mexico/article/Truck-driver-charged-in-smuggling-attempt-of-62-13234839.php</t>
  </si>
  <si>
    <t>Russell Cherry</t>
  </si>
  <si>
    <t>https://www.justice.gov/usao-ak/pr/anchorage-child-psychologist-sentenced-possession-child-pornography</t>
  </si>
  <si>
    <t>https://www.courtlistener.com/docket/7233383/united-states-v-cherry/</t>
  </si>
  <si>
    <t>Miguel Wheeler</t>
  </si>
  <si>
    <t>https://www.justice.gov/usao-ndoh/pr/former-ride-operator-cleveland-childrens-park-indicted-child-exploitation</t>
  </si>
  <si>
    <t>https://www.courtlistener.com/docket/7778990/united-states-v-wheeler/</t>
  </si>
  <si>
    <t>https://www.cbp.gov/newsroom/local-media-release/operation-blazing-sands-leads-arrests-three-more-smugglers</t>
  </si>
  <si>
    <t>Cecil Hutchinson III</t>
  </si>
  <si>
    <t>https://www.dailyrepublic.com/all-dr-news/solano-news/fairfield/napa-authorities-nab-fairfield-man-in-sex-trafficking-sting-operation/comment-page-1/</t>
  </si>
  <si>
    <t>Isreal Sanchez</t>
  </si>
  <si>
    <t>https://www.courtlistener.com/docket/7778059/united-states-v-sanchez/</t>
  </si>
  <si>
    <t>Stephen D Geltmacher</t>
  </si>
  <si>
    <t>https://www.eveningsun.com/story/news/2018/11/07/adams-county-reading-township-man-images-videos-child-sexual-abuse-cellphone-child-porn/1921117002/</t>
  </si>
  <si>
    <t>Henry Alvarez Flores</t>
  </si>
  <si>
    <t>https://www.justice.gov/usao-sdfl/pr/davie-resident-sentenced-40-years-prison-enticing-minors-engage-sexual-acts-and</t>
  </si>
  <si>
    <t>https://www.courtlistener.com/docket/7778900/united-states-v-alvarez-flores/</t>
  </si>
  <si>
    <t>Charles Chavis</t>
  </si>
  <si>
    <t>https://www.courtlistener.com/docket/7787132/united-states-v-chavis/</t>
  </si>
  <si>
    <t>Efren Alvarez</t>
  </si>
  <si>
    <t>Labor trafficking</t>
  </si>
  <si>
    <t>https://www.fresnobee.com/news/local/crime/article217677925.html</t>
  </si>
  <si>
    <t>Trironn KiddAllenn</t>
  </si>
  <si>
    <t>https://www.dailyrepublic.com/all-dr-news/solano-news/vacaville/human-trafficking-sting-leads-to-2-county-chase-mans-arrest/</t>
  </si>
  <si>
    <t>Trevor Crawford</t>
  </si>
  <si>
    <t>http://www.wbrz.com/news/man-arrested-for-sex-trafficking-a-juvenile/</t>
  </si>
  <si>
    <t>Fred Lewis</t>
  </si>
  <si>
    <t>https://www.abqjournal.com/1217224/gallup-police-arrest-human-trafficking-suspect.html</t>
  </si>
  <si>
    <t>Conoly Freddie &amp; Andre Anthony Franklin</t>
  </si>
  <si>
    <t>https://www.nbcsandiego.com/news/local/Father-and-Son-Accused-of-Attempting-to-Pick-Up-Minor-For-Prostitution-in-National-City-492907601.html</t>
  </si>
  <si>
    <t>Operation Grossting-Sex trafficking of minors &amp; related charges</t>
  </si>
  <si>
    <t>https://mesapd.blogspot.com/2018/09/operation-degrossting-child-sex-crimes.html</t>
  </si>
  <si>
    <t>Jarrett Lea</t>
  </si>
  <si>
    <t>https://www.justice.gov/usao-edpa/pr/north-carolina-man-sentenced-17-years-engaging-internet-based-child-pornography , https://www.justice.gov/opa/pr/ten-men-sentenced-prison-their-roles-child-exploitation-enterprise-and-conspiracy</t>
  </si>
  <si>
    <t>https://www.newsbreak.com/north-carolina/charlotte/news/2074616920066/north-carolina-man-gets-17-years-for-child-porn-conspiracy-on-discord</t>
  </si>
  <si>
    <t>https://archive.vn/wip/UeKhn</t>
  </si>
  <si>
    <t>https://archive.vn/U8Vur</t>
  </si>
  <si>
    <t>Rene Camacho</t>
  </si>
  <si>
    <t>https://www.ice.gov/news/releases/third-human-smuggler-sentenced-prison-operating-houston-stash-house-ring</t>
  </si>
  <si>
    <t>Donald H Hobbs</t>
  </si>
  <si>
    <t>https://www.justice.gov/usao-ndms/pr/two-north-mississippi-men-sentenced-production-child-pornography</t>
  </si>
  <si>
    <t>Jose Wilfredo Morales-Carpio</t>
  </si>
  <si>
    <t>https://www.justice.gov/usao-wdar/pr/rogers-man-sentenced-over-7-years-federal-prison-child-pornography-0</t>
  </si>
  <si>
    <t>https://www.courtlistener.com/docket/8163800/united-states-v-morales-carpio/</t>
  </si>
  <si>
    <t>Stephen D French</t>
  </si>
  <si>
    <t>https://www.justice.gov/usao-wdmo/pr/columbia-man-indicted-child-pornography</t>
  </si>
  <si>
    <t>https://www.courtlistener.com/docket/7902440/united-states-v-french/</t>
  </si>
  <si>
    <t>Barton George Scott</t>
  </si>
  <si>
    <t>http://www.startribune.com/federal-charges-35-year-old-sex-offender-produced-child-porn-hacked-25-snapchat-accounts/494537631/</t>
  </si>
  <si>
    <t>https://www.justice.gov/usao-mn/pr/twenty-six-count-indictment-charges-convicted-sex-offender-computer-hacking-producing</t>
  </si>
  <si>
    <t>William Brian Smith</t>
  </si>
  <si>
    <t>https://www.justice.gov/usao-ndtx/pr/ndtx-roundup-192019</t>
  </si>
  <si>
    <t>https://www.courtlistener.com/docket/7427114/united-states-v-smith/</t>
  </si>
  <si>
    <t>Joseph Isaiah Woodson, Jr</t>
  </si>
  <si>
    <t>https://www.justice.gov/usao-sdfl/pr/man-convicted-trial-miami-orchestrating-snapchat-sextortion-ring-targeted-children , https://www.justice.gov/usao-sdfl/pr/man-sentenced-50-years-prison-orchestrating-snapchat-sextortion-ring-targeted-children</t>
  </si>
  <si>
    <t>https://www.courtlistener.com/docket/14655071/united-states-v-woodson/</t>
  </si>
  <si>
    <t>Online solicitation of a minor</t>
  </si>
  <si>
    <t>https://www.nbcdfw.com/news/local/CPS-Worker-Nabbed-in-Online-Sex-Sting-494621091.html</t>
  </si>
  <si>
    <t>http://www.krgv.com/story/39196526/human-smugglers-targeting-popular-fishing-spot-in-cameron-co</t>
  </si>
  <si>
    <t>Eric Birkedahl</t>
  </si>
  <si>
    <t>https://www.justice.gov/usao-wdny/pr/rochester-man-pleads-guilty-possession-child-pornography-1</t>
  </si>
  <si>
    <t>Justin Giesey</t>
  </si>
  <si>
    <t>https://www.justice.gov/usao-ndwv/pr/ohio-county-man-admits-child-pornography-charge https://www.justice.gov/usao-ndwv/pr/ohio-county-man-sentenced-child-pornography-charge</t>
  </si>
  <si>
    <t>https://www.courtlistener.com/docket/7801325/united-states-v-giesey/</t>
  </si>
  <si>
    <t>Jordan James</t>
  </si>
  <si>
    <t>https://www.justice.gov/usao-mdpa/pr/former-carlisle-man-sentenced-eight-years-imprisonment-distribution-child-pornography</t>
  </si>
  <si>
    <t>Ammar Atef Alahdali</t>
  </si>
  <si>
    <t>https://www.justice.gov/opa/pr/foreign-national-pleads-guilty-downloading-child-pornography-dark-web-exchange-cryptocurrency</t>
  </si>
  <si>
    <t>Duane Turman</t>
  </si>
  <si>
    <t>https://www.justice.gov/usao-mt/pr/flathead-county-man-admits-sexual-exploitation-charge</t>
  </si>
  <si>
    <t>Igor Kolosha</t>
  </si>
  <si>
    <t>https://www.justice.gov/usao-ndok/pr/collinsville-man-admits-possessing-child-pornography-depicting-very-young-children</t>
  </si>
  <si>
    <t>William Borges</t>
  </si>
  <si>
    <t>October 2018</t>
  </si>
  <si>
    <t>https://www.justice.gov/usao-or/pr/otis-oregon-man-pleads-guilty-distributing-child-pornography-using-dropbox</t>
  </si>
  <si>
    <t>Jacob Langston Maclin</t>
  </si>
  <si>
    <t>https://www.justice.gov/usao-ndoh/pr/men-university-heights-and-lorain-indicted-child-pornography-crimes</t>
  </si>
  <si>
    <t>https://www.courtlistener.com/?q=&amp;type=r&amp;order_by=score+desc&amp;docket_number=1%3A18-cr-00561&amp;court=ohnd</t>
  </si>
  <si>
    <t>Buddy Young</t>
  </si>
  <si>
    <t>https://www.courtlistener.com/docket/7939334/united-states-v-young/</t>
  </si>
  <si>
    <t>Mark Ringland</t>
  </si>
  <si>
    <t>https://www.justice.gov/usao-ne/pr/omaha-man-convicted-receiving-child-pornography</t>
  </si>
  <si>
    <t>September 2, 2018</t>
  </si>
  <si>
    <t>https://www.cbp.gov/newsroom/local-media-release/border-patrol-agents-foil-human-smuggling-attempt-ih-35-checkpoint</t>
  </si>
  <si>
    <t>https://www.cbp.gov/newsroom/local-media-release/armed-rio-rico-mother-takes-4-kids-ride-while-smuggling-alien</t>
  </si>
  <si>
    <t>https://www.cbp.gov/newsroom/local-media-release/rio-grande-valley-sector-border-patrol-k-9-s-stop-three-smuggling</t>
  </si>
  <si>
    <t>September 3, 2018</t>
  </si>
  <si>
    <t>https://www.cbp.gov/newsroom/local-media-release/sierra-vista-woman-caught-smuggling-6-illegal-aliens-jetta</t>
  </si>
  <si>
    <t>https://www.bensonnews-sun.com/news/article_b4d3f542-b12b-11e8-bf09-e7d155d085a6.html</t>
  </si>
  <si>
    <t>September 4, 2018</t>
  </si>
  <si>
    <t>https://www.cbp.gov/newsroom/local-media-release/hereford-woman-arrested-smuggling-after-fleeing-border-patrol-agents</t>
  </si>
  <si>
    <t>September 5, 2018</t>
  </si>
  <si>
    <t>https://tucson.com/news/state-and-regional/rio-rico-woman-accused-of-human-smuggling-with-kids-in/article_71ef5d26-b120-11e8-b7dc-87aeadf94cea.html#anchor_item_1</t>
  </si>
  <si>
    <t>Robert Dudukovich</t>
  </si>
  <si>
    <t>https://www.justice.gov/usao-ct/pr/ohio-man-charged-child-pornography-offenses</t>
  </si>
  <si>
    <t>Logan Ray McCauley</t>
  </si>
  <si>
    <t>https://www.justice.gov/usao-edva/pr/jury-convicts-man-producing-child-pornography</t>
  </si>
  <si>
    <t>https://www.loudountimes.com/news/hamilton-man-charged-for-producing-child-porn/article_36fdc6b8-b20a-11e8-a422-a32db5a3e416.html</t>
  </si>
  <si>
    <t>Anthony J Barry</t>
  </si>
  <si>
    <t>https://www.justice.gov/usao-mdnc/pr/kannapolis-man-sentenced-production-child-pornography-case</t>
  </si>
  <si>
    <t>https://www.courtlistener.com/docket/7759019/united-states-v-barry/</t>
  </si>
  <si>
    <t>https://www.cbp.gov/newsroom/local-media-release/border-patrol-agents-rescue-55-illegal-aliens-tractor-trailer</t>
  </si>
  <si>
    <t>Amanda Ford / Jason D Norman</t>
  </si>
  <si>
    <t>September 30, 2018</t>
  </si>
  <si>
    <t>http://www.thetimesnews.com/news/20181001/woman-charged-in-burlington-human-trafficking-case</t>
  </si>
  <si>
    <t>Logan Roy McCauley</t>
  </si>
  <si>
    <t>https://www.justice.gov/usao-edva/pr/man-sentenced-prison-producing-child-pornography</t>
  </si>
  <si>
    <t>Nicholas Pecil</t>
  </si>
  <si>
    <t>https://www.justice.gov/usao-nj/pr/union-county-man-sentenced-88-months-prison-possessing-and-distributing-child-pornography</t>
  </si>
  <si>
    <t>Alex Primitibo Campos</t>
  </si>
  <si>
    <t>September 5</t>
  </si>
  <si>
    <t>https://www.courtlistener.com/docket/7779791/united-states-v-campos/</t>
  </si>
  <si>
    <t>William Gates</t>
  </si>
  <si>
    <t>September 6, 2018</t>
  </si>
  <si>
    <t>https://www.justice.gov/usao-ma/pr/burlington-man-arrested-possessing-child-pornography</t>
  </si>
  <si>
    <t>Edward Thomas Parsons</t>
  </si>
  <si>
    <t>https://www.justice.gov/opa/pr/defense-department-employee-sentenced-prison-receipt-child-pornography</t>
  </si>
  <si>
    <t>https://toresays.com/2019/04/08/obama-shut-down-child-porn-investigation-implicating-many-politicians-3-letter-agency-officials/</t>
  </si>
  <si>
    <t>https://www.courtlistener.com/docket/7817618/united-states-v-parsons/</t>
  </si>
  <si>
    <t>http://archive.fo/DIDpb</t>
  </si>
  <si>
    <t>http://www.sunjournal.com/lewiston-prostitution-sting-nets-two-more/</t>
  </si>
  <si>
    <t>D. Southern/R. Witcher / B. Koepnick</t>
  </si>
  <si>
    <t>http://www.bdtonline.com/news/three-men-arrested-during-prostitution-sting-operation/article_fefce998-b307-11e8-83b3-fbecb14d6bc3.html</t>
  </si>
  <si>
    <t>Carlos Carreon</t>
  </si>
  <si>
    <t>https://thegoldwater.com/news/36491-Texas-Children-s-Hospital-Physician-Arrested-for-Child-Pornography</t>
  </si>
  <si>
    <t>https://www.cbp.gov/newsroom/local-media-release/checkpoint-agents-stop-alien-smuggling-attempt-rio-grande-valley</t>
  </si>
  <si>
    <t>Robert Joe Hennings</t>
  </si>
  <si>
    <t>https://www.justice.gov/usao-sdia/pr/des-moines-man-sentenced-20-years-prison-child-pornography-offense</t>
  </si>
  <si>
    <t>September 7, 2018</t>
  </si>
  <si>
    <t>https://www.mystateline.com/news/seven-men-arrested-in-rockford-prostitution-sweep/1425345540</t>
  </si>
  <si>
    <t>Joshua, Noel,Gerlen,and Carlina Gamos</t>
  </si>
  <si>
    <t>Sex &amp; labor trafficking &amp; related charges</t>
  </si>
  <si>
    <t>https://www.kron4.com/news/bay-area/daycare-owners-charged-with-human-trafficking-labor-exploitation/1425509240</t>
  </si>
  <si>
    <t>David Jones</t>
  </si>
  <si>
    <t>https://www.theadvocate.com/new_orleans/news/crime_police/article_52f01ff8-b541-11e8-981d-97910dd19770.html</t>
  </si>
  <si>
    <t>Taryn Goin Naidoo</t>
  </si>
  <si>
    <t>https://www.justice.gov/usao-sdms/pr/diamondhead-man-sentenced-over-14-years-prison-possessing-massive-amount-child</t>
  </si>
  <si>
    <t>Kevin Konen</t>
  </si>
  <si>
    <t>https://www.justice.gov/usao/pr/2019_0415_Konen</t>
  </si>
  <si>
    <t>https://www.lansingstatejournal.com/story/news/local/2018/09/10/grand-ledge-man-charged-after-child-pornography-investigation/1260676002/</t>
  </si>
  <si>
    <t>https://www.courtlistener.com/docket/8187033/united-states-v-konen/</t>
  </si>
  <si>
    <t>http://archive.fo/FZD1n</t>
  </si>
  <si>
    <t>http://archive.fo/r8jN0</t>
  </si>
  <si>
    <t>Lawrence Stone</t>
  </si>
  <si>
    <t>https://www.justice.gov/usao-mdpa/pr/scranton-man-charged-producing-and-transporting-child-pornography</t>
  </si>
  <si>
    <t>https://wnep.com/2018/09/07/scranton-man-locked-up-on-child-pornography-charges/</t>
  </si>
  <si>
    <t>Douglas James Allmon</t>
  </si>
  <si>
    <t>Project Safe Childhood-Enticement of a minor</t>
  </si>
  <si>
    <t>Michael Szwarc</t>
  </si>
  <si>
    <t>https://www.justice.gov/usao-ct/pr/hartford-resident-charged-child-exploitation-offense</t>
  </si>
  <si>
    <t>https://www.courtlistener.com/docket/14860750/united-states-v-szwarc/</t>
  </si>
  <si>
    <t>https://www.cbp.gov/newsroom/local-media-release/operation-blazing-sands-arrests-another-alien-smuggler</t>
  </si>
  <si>
    <t>September 9, 2018</t>
  </si>
  <si>
    <t>https://www.cbp.gov/newsroom/local-media-release/border-patrol-agents-discover-illegal-aliens-hidden-semi-trailer</t>
  </si>
  <si>
    <t>http://www.kgns.tv/content/news/Border-Patrol-agents-rescue-nearly-50-illegal-immigrants-during-smuggling-attempt-492932811.html</t>
  </si>
  <si>
    <t>September 10, 2018</t>
  </si>
  <si>
    <t>http://www.recordonline.com/news/20180910/8-charged-in-child-sex-sting</t>
  </si>
  <si>
    <t>Eunkyung Kim</t>
  </si>
  <si>
    <t>https://www.detroitnews.com/story/news/local/wayne-county/2018/09/10/dearborn-spa-owner-busted-prostitution/1252801002/</t>
  </si>
  <si>
    <t>Harry D Dawson</t>
  </si>
  <si>
    <t>https://www.justice.gov/usao-sdin/pr/new-richmond-indiana-man-faces-sexual-exploitation-child-charges</t>
  </si>
  <si>
    <t>https://www.courtlistener.com/docket/7905879/united-states-v-dawson/</t>
  </si>
  <si>
    <t>Mark Ashcroft</t>
  </si>
  <si>
    <t>http://www.wtvy.com/content/news/Bonifay-man-charged-with-288-counts-of-child-porn-492973531.html</t>
  </si>
  <si>
    <t>Matthew Kulikowski</t>
  </si>
  <si>
    <t>https://www.justice.gov/usao-ma/pr/whitman-man-charged-child-pornography-offenses , https://www.justice.gov/usao-ma/pr/whitman-man-sentenced-child-pornography-offenses</t>
  </si>
  <si>
    <t>Nicholas James Stacy</t>
  </si>
  <si>
    <t>September 11, 2018</t>
  </si>
  <si>
    <t>https://www.justice.gov/usao-or/pr/clackamas-man-accused-possessing-and-transporting-child-pornography</t>
  </si>
  <si>
    <t>https://www.courtlistener.com/docket/14749729/united-states-v-stacy/</t>
  </si>
  <si>
    <t>T. Blakemore / D. Gonzales / P. Hurtado</t>
  </si>
  <si>
    <t>https://www.star-telegram.com/news/local/crime/article218293850.html</t>
  </si>
  <si>
    <t>https://www.cbp.gov/newsroom/local-media-release/illegal-aliens-found-hiding-windjammer</t>
  </si>
  <si>
    <t>Bryan Rosenthal</t>
  </si>
  <si>
    <t>https://www.dailywire.com/news/35895/president-california-childrens-charity-arrested-hank-berrien</t>
  </si>
  <si>
    <t>Demarvin Bernard Franklin</t>
  </si>
  <si>
    <t>September 12, 2018</t>
  </si>
  <si>
    <t>http://www.wlbt.com/2018/09/13/mbi-makes-human-trafficking-arrest/</t>
  </si>
  <si>
    <t>Genaro Cabeza / Richard Saya</t>
  </si>
  <si>
    <t>http://www.telegram.com/news/20180913/worcester-sex-trafficking-case-genaro-cabeza-held-without-bail-50k-bail-set-for-richard-saya</t>
  </si>
  <si>
    <t>https://abc7ny.com/7-nypd-officers-due-in-court-accused-in-prostitution-ring/4224928/</t>
  </si>
  <si>
    <t>https://www.cbp.gov/newsroom/local-media-release/another-alien-smuggler-arrested-during-operation-blazing-sands</t>
  </si>
  <si>
    <t>Rodney Grant Sullivan</t>
  </si>
  <si>
    <t>Project Safe Chldhood-CP related charges</t>
  </si>
  <si>
    <t>https://www.justice.gov/usao-edmo/pr/st-louis-county-man-sentenced-10-years-possession-child-pornography</t>
  </si>
  <si>
    <t>https://www.courtlistener.com/docket/7871442/united-states-v-sullivan/</t>
  </si>
  <si>
    <t>Jeffrey Stoneburner II</t>
  </si>
  <si>
    <t>https://www.justice.gov/usao-ndin/pr/south-bend-indiana-man-sentenced-4</t>
  </si>
  <si>
    <t>https://www.courtlistener.com/docket/7893439/united-states-v-stoneburner/</t>
  </si>
  <si>
    <t>Bradley Robert Segert</t>
  </si>
  <si>
    <t>September 13, 2018</t>
  </si>
  <si>
    <t>https://www.justice.gov/opa/pr/indiana-man-indicted-conspiracy-receive-and-distribute-child-pornography</t>
  </si>
  <si>
    <t>https://www.courtlistener.com/docket/7877174/united-states-v-segert-do-not-file-in-this-case-file-in-case-118-cr-340/</t>
  </si>
  <si>
    <t>Artavius Horne</t>
  </si>
  <si>
    <t>https://www.justice.gov/usao-edpa/pr/philadelphia-man-sentenced-45-years-sex-trafficking-children-northeast-philadelphia</t>
  </si>
  <si>
    <t>https://www.kbtx.com/content/news/Four-men-arrested-in-Bryan-PD-undercover-prostitution-sting-493346951.html</t>
  </si>
  <si>
    <t>Hayden Ricks</t>
  </si>
  <si>
    <t>https://www.justice.gov/usao-edtx/pr/plano-man-guilty-child-pornography-violations</t>
  </si>
  <si>
    <t>https://www.courtlistener.com/docket/8037694/united-states-v-ricks/</t>
  </si>
  <si>
    <t>Carlos J Cordova-Sanabria/Lester A Morales-Moran/Elmer E Juarez-Franco/Daniel Garcia-Cruz</t>
  </si>
  <si>
    <t>https://www.justice.gov/usao-vt/pr/four-guatemalan-nationals-charged-alien-smuggling-event</t>
  </si>
  <si>
    <t>https://www.courtlistener.com/?q=&amp;type=r&amp;order_by=score+desc&amp;docket_number=2%3A18-mj-00128&amp;court=vtd</t>
  </si>
  <si>
    <t>John E Zeretzke</t>
  </si>
  <si>
    <t>https://www.justice.gov/usao-cdca/pr/federal-prosecutors-bring-child-pornography-and-other-exploitation-cases-part-ongoing , https://www.justice.gov/usao-cdca/pr/ventura-man-and-former-music-teacher-pleads-guilty-federal-criminal-charge-production</t>
  </si>
  <si>
    <t>https://lompocrecord.com/news/local/crime-and-courts/founder-of-flutes-across-the-world-music-program-indicted-on/article_f633d291-23c0-5499-a0f9-ea79617fc95c.html , https://www.loscerritosnews.net/2020/08/14/former-music-teacher-john-zeretzke-pleads-guilty-to-child-pornography-charge/</t>
  </si>
  <si>
    <t>https://archive.vn/wip/0mlIy</t>
  </si>
  <si>
    <t>https://archive.vn/DpNti</t>
  </si>
  <si>
    <t>Gregory Lisby</t>
  </si>
  <si>
    <t>https://www.justice.gov/usao-ma/pr/former-holyoke-teacher-pleads-guilty-possession-child-pornography , https://www.fbi.gov/contact-us/field-offices/boston/news/press-releases/former-holyoke-teacher-sentenced-for-possession-of-child-po , https://www.justice.gov/usao-ma/pr/former-holyoke-teacher-sentenced-possession-child-pornographyrnography</t>
  </si>
  <si>
    <t>Amber Decker / Logan Decker</t>
  </si>
  <si>
    <t>https://www.justice.gov/usao-ndny/pr/married-couple-indicted-conspiracy-sexually-exploit-two-year-old-child , https://www.justice.gov/usao-ndny/pr/jefferson-county-woman-sentenced-sexual-exploitation-crimes , https://www.justice.gov/usao-ndny/pr/former-jefferson-county-man-sentenced-sexual-exploitation-crimes , https://www.justice.gov/usao-ndny/pr/former-jefferson-county-man-sentenced-sexual-exploitation-crimes</t>
  </si>
  <si>
    <t>https://cnycentral.com/news/local/depuites-jefferson-co-woman-arrested-for-sexual-assault-against-a-child</t>
  </si>
  <si>
    <t>Karey Michael Goolsby</t>
  </si>
  <si>
    <t>September 14, 2018</t>
  </si>
  <si>
    <t>https://www.click2houston.com/news/child-porn-suspect-tells-investigators-they-will-find-stuff-they-dont-like-deputies-say</t>
  </si>
  <si>
    <t>Matthew Bailer</t>
  </si>
  <si>
    <t>https://www.justice.gov/usao-wdny/pr/jamestown-man-arrested-charged-possession-child-pornography , https://www.justice.gov/usao-wdny/pr/jamestown-man-pleads-guilty-child-porngraphy-charge , https://www.justice.gov/usao-wdny/pr/jamestown-man-going-prison-12-12-years-receiving-and-possessing-child-pornography</t>
  </si>
  <si>
    <t>https://www.justice.gov/usao-wdny/pr/jamestown-man-indicted-child-pornography-charges</t>
  </si>
  <si>
    <t>Daniel O'Connor Jr</t>
  </si>
  <si>
    <t>Project Safe Childhood-CP production (unsealed complaint)</t>
  </si>
  <si>
    <r>
      <rPr/>
      <t xml:space="preserve">https://www.justice.gov/usao-ma/pr/east-bridgewater-man-arrested-producing-child-pornography , </t>
    </r>
    <r>
      <rPr>
        <color rgb="FF1155CC"/>
        <u/>
      </rPr>
      <t>https://www.justice.gov/usao-ma/pr/east-bridgewater-man-sentenced-production-distribution-and-possession-child-pornography</t>
    </r>
  </si>
  <si>
    <t>https://www.justice.gov/usao-ma/pr/east-bridgewater-man-indicted-child-pornography-charges</t>
  </si>
  <si>
    <t>https://www.courtlistener.com/docket/7917137/united-states-v-oconnor-jr/</t>
  </si>
  <si>
    <t>Scott Aikens</t>
  </si>
  <si>
    <t>https://www.justice.gov/usao-wdny/pr/clymer-school-teacher-charged-possession-child-pornography</t>
  </si>
  <si>
    <t>http://www.post-journal.com/news/latest-news/2018/09/125-pm-teacher-accused-of-chid-porn-possession-granted-house-arrest/</t>
  </si>
  <si>
    <t>Patrick McManus</t>
  </si>
  <si>
    <t>http://www.witn.com/content/news/Charlotte-man-arrested-on-human-trafficking-charges-493410661.html</t>
  </si>
  <si>
    <t>https://www.cbp.gov/newsroom/local-media-release/smugglers-endanger-illegal-aliens-while-attempting-slip-past-agents</t>
  </si>
  <si>
    <t>https://www.cbp.gov/newsroom/local-media-release/semi-truck-drivers-arrested-alien-smuggling</t>
  </si>
  <si>
    <t>Billy Harman Dunn Jr</t>
  </si>
  <si>
    <t>September 15, 2018</t>
  </si>
  <si>
    <t>https://www.justice.gov/usao-edny/pr/texas-man-charged-enticing-15-year-old-girl-travel-interstate-engage-sexual-activity</t>
  </si>
  <si>
    <t>https://www.kwtx.com/content/news/NY-runaway-found-in-Central-Texas-1-arrested-on-trafficking-charges-493520871.html</t>
  </si>
  <si>
    <t>https://www.courtlistener.com/docket/8421829/united-states-v-dunn/</t>
  </si>
  <si>
    <t>Troy Wayne Davis</t>
  </si>
  <si>
    <t>https://www.justice.gov/usao-sdia/pr/eldon-man-sentenced-thirty-years-prison-transportation-child-pornography</t>
  </si>
  <si>
    <t>Nathan Powe / Samantha Morgan</t>
  </si>
  <si>
    <t>September 16, 2018</t>
  </si>
  <si>
    <t>Sex trafficking of a minor, CP production &amp; related charges</t>
  </si>
  <si>
    <t>https://www.wtok.com/content/news/Couple-arrested-for-child-pornography-and-human-trafficking-493425831.html</t>
  </si>
  <si>
    <t>Barry Register</t>
  </si>
  <si>
    <t>https://5newsonline.com/2018/09/18/police-lowell-man-forced-woman-into-prostitution/</t>
  </si>
  <si>
    <t>https://www.cbp.gov/newsroom/local-media-release/juvenile-wrecks-failed-smuggling-attempt-rio-grande-valley</t>
  </si>
  <si>
    <t>Peter Jewell-Reigel</t>
  </si>
  <si>
    <t>https://www.wausaudailyherald.com/story/news/2018/10/11/child-porn-case-wausau-man-charged-receiving-images-text/1604371002/</t>
  </si>
  <si>
    <t>Arthur Roberts</t>
  </si>
  <si>
    <t>September 18, 2018</t>
  </si>
  <si>
    <t>https://www.laconiadailysun.com/news/local/local-man-charged-with-multiple-sex-crimes/article_9843748e-ba9a-11e8-b522-f761a8616e30.html</t>
  </si>
  <si>
    <t>Multiple (mostly unnamed in article)</t>
  </si>
  <si>
    <t>Sex trafficking including a minor</t>
  </si>
  <si>
    <t>https://losangeles.cbslocal.com/2018/09/19/compton-human-trafficking/</t>
  </si>
  <si>
    <t>Roger Orich</t>
  </si>
  <si>
    <t>September 23, 2018</t>
  </si>
  <si>
    <t>https://www.nwitimes.com/news/local/crime-and-courts/man-charged-with-possessing-child-porn-in-hammond/article_4eee4a2e-2b7d-576a-9001-2a3843986d04.html#1</t>
  </si>
  <si>
    <t>Jason Matthew Perdue</t>
  </si>
  <si>
    <t>https://www.justice.gov/usao-wdmo/pr/mountain-view-man-sentenced-15-years-attempted-enticement-minor-sex</t>
  </si>
  <si>
    <t>Joseph Natale</t>
  </si>
  <si>
    <t>https://www.courtlistener.com/docket/7918837/united-states-v-natale/</t>
  </si>
  <si>
    <t>Jonathan Deutsch</t>
  </si>
  <si>
    <t>September 19, 2018</t>
  </si>
  <si>
    <t>https://www.justice.gov/usao-edny/pr/brooklyn-high-school-teacher-charged-production-child-pornography</t>
  </si>
  <si>
    <t>https://newyork.cbslocal.com/2018/09/20/teacher-pleads-not-guilty-to-child-porn/</t>
  </si>
  <si>
    <t>https://www.courtlistener.com/docket/8359525/united-states-v-deutsch/</t>
  </si>
  <si>
    <t>Harlon David Prater</t>
  </si>
  <si>
    <t>https://www.justice.gov/usao-mdfl/pr/duval-man-sentenced-80-years-producing-photographs-his-sexual-assault-infant-and</t>
  </si>
  <si>
    <t>https://www.shorenewsnetwork.com/2020/11/21/duval-man-sexually-assaulted-infant-shared-photos-to-others-on-social-media/</t>
  </si>
  <si>
    <t>https://archive.vn/wip/rGNp9</t>
  </si>
  <si>
    <t>https://archive.vn/eR8dt</t>
  </si>
  <si>
    <t>Gerald Johnson</t>
  </si>
  <si>
    <t>https://www.wfmynews2.com/article/news/crime/nc-grocery-store-becomes-scene-of-human-trafficking-bust/83-596359659</t>
  </si>
  <si>
    <t>Dr Xie Keping</t>
  </si>
  <si>
    <t>https://www.ntd.tv/2018/09/19/star-chinese-scientist-in-texas-faces-child-pornography-charge/</t>
  </si>
  <si>
    <t>https://www.cbp.gov/newsroom/national-media-release/four-trunk-smuggling-attempts-within-8-hours</t>
  </si>
  <si>
    <t>https://www.cbp.gov/newsroom/local-media-release/border-patrol-intercept-four-alien-smuggling-attempts-rio-grande-valley</t>
  </si>
  <si>
    <t>Jaquorey Rashawn Carter</t>
  </si>
  <si>
    <t>https://www.justice.gov/usao-edca/pr/sacramento-man-convicted-sex-trafficking-child-and-sex-trafficking-force-fraud-or , https://www.justice.gov/usao-edca/pr/sacramento-man-sentenced-14-years-prison-sex-trafficking</t>
  </si>
  <si>
    <t>Dain Justin Adams</t>
  </si>
  <si>
    <t>https://www.justice.gov/usao-nm/pr/roswell-man-charged-federal-child-pornography-offenses , https://www.justice.gov/usao-nm/pr/jury-las-cruces-nm-convicts-man-roswell-nm-federal-child-pornography-charges</t>
  </si>
  <si>
    <t>https://www.courtlistener.com/docket/7902772/united-states-v-adams/</t>
  </si>
  <si>
    <t>James H Huffman</t>
  </si>
  <si>
    <t>September 20, 2018</t>
  </si>
  <si>
    <t>https://www.justice.gov/usao-sdin/pr/bloomington-man-indicted-possession-child-pornography-0</t>
  </si>
  <si>
    <t>Nikko Adolfo Perez</t>
  </si>
  <si>
    <t>https://www.justice.gov/usao-edca/pr/atwater-man-pleads-guilty-offenses-related-sexual-exploitation-children-through-social</t>
  </si>
  <si>
    <t>Christopher Shawn Potter</t>
  </si>
  <si>
    <t>https://www.justice.gov/usao-mdfl/pr/former-clay-county-high-school-teacher-arrested-and-charged-distribution-child, https://www.justice.gov/usao-mdfl/pr/former-clay-county-high-school-teacher-pleads-guilty-distributing-child-sex-abuse-video</t>
  </si>
  <si>
    <t>Douglas Fountain</t>
  </si>
  <si>
    <t>https://www.justice.gov/usao-ndny/pr/colonie-man-charged-sexually-exploiting-child , https://www.justice.gov/usao-ndny/pr/albany-county-man-sentenced-80-years-child-sexual-exploitation-offenses</t>
  </si>
  <si>
    <t>Trey Escareno</t>
  </si>
  <si>
    <t>https://www.justice.gov/usao-sdtx/pr/robstown-man-receives-significant-sentence-child-pornography-conviction</t>
  </si>
  <si>
    <t>https://www.courtlistener.com/docket/7874730/united-states-v-escareno/</t>
  </si>
  <si>
    <t>Arthur Perrault</t>
  </si>
  <si>
    <t>Project Safe Childhood-Child Sexual Abuse &amp; related charges</t>
  </si>
  <si>
    <t>https://www.justice.gov/usao-nm/pr/federal-jury-convicts-arthur-perrault-federal-child-sexual-abuse-charges</t>
  </si>
  <si>
    <t>https://www.abqjournal.com/1080959/church-records-show-1970-abuse-allegation-roiled-st-pius.html</t>
  </si>
  <si>
    <t>http://archive.fo/kLIDM</t>
  </si>
  <si>
    <t>http://archive.fo/zFHRQ</t>
  </si>
  <si>
    <t>https://www.cbp.gov/newsroom/local-media-release/border-patrol-agents-discover-illegal-aliens-hidden-trailer</t>
  </si>
  <si>
    <t>https://www.cbp.gov/newsroom/local-media-release/border-patrol-agents-stop-box-truck-smuggling-attempt</t>
  </si>
  <si>
    <t>https://www.cbp.gov/newsroom/local-media-release/border-patrol-agents-prevent-human-smuggling-attempt-involving-two</t>
  </si>
  <si>
    <t>September 21, 2018</t>
  </si>
  <si>
    <t>https://www.independent.com/news/2018/sep/26/prostitution-sting-arrests-17-goleta/</t>
  </si>
  <si>
    <t>Kyle Giering</t>
  </si>
  <si>
    <t>https://www.abc27.com/news/local/man-charged-with-human-trafficking-waives-charges/1520032446</t>
  </si>
  <si>
    <t>Charles A. Hewitt</t>
  </si>
  <si>
    <t>https://www.justice.gov/usao-cdil/pr/sex-offender-indicted-federal-charges-child-sexual-exploitation</t>
  </si>
  <si>
    <t>https://www.courtlistener.com/docket/8041126/united-states-v-hewitt/</t>
  </si>
  <si>
    <t>David Bailey/Matthew Toole/Talia Furman/Jayme LaPointe</t>
  </si>
  <si>
    <t>CP production &amp; conspiracy charges</t>
  </si>
  <si>
    <t>https://defensemaven.io/bluelivesmatter/news/four-arrested-for-planning-to-abduct-rape-torture-random-child-to-death-rex5tOfHukyqH3dRZOy0sQ/</t>
  </si>
  <si>
    <t>Andy E Crook</t>
  </si>
  <si>
    <t>Project Safe Childhood-travel w/intent for sexual relations w/ a minor &amp; CP related charges</t>
  </si>
  <si>
    <t>https://www.justice.gov/usao-wdmo/pr/grain-valley-man-pleads-guilty-child-pornography-sexual-exploitation</t>
  </si>
  <si>
    <t>Charles T. Stelljes</t>
  </si>
  <si>
    <t>September 22, 2018</t>
  </si>
  <si>
    <t>https://www.wmdt.com/2018/09/two-people-facing-drug-and-prostitution-charges-in-delaware/</t>
  </si>
  <si>
    <t>https://www.cbp.gov/newsroom/local-media-release/nogales-teens-arrested-smuggling-people-trunk</t>
  </si>
  <si>
    <t>Yali Cai</t>
  </si>
  <si>
    <t>https://www.cbs17.com/news/7-women-arrested-in-prostitution-stings-at-2-massage-parlors-in-virginia/1487792601</t>
  </si>
  <si>
    <t>Mark David Franklin</t>
  </si>
  <si>
    <t>https://www.justice.gov/usao-md/pr/ellicott-city-man-pleads-guilty-federal-charge-attempted-possession-child-pornography</t>
  </si>
  <si>
    <t>James Earl Roberson</t>
  </si>
  <si>
    <t>September 24, 2018</t>
  </si>
  <si>
    <t>https://www.dothaneagle.com/news/crime_court/dothan-man-arrested-for-soliciting-prostitution/article_fdfb77fe-c008-11e8-ba2a-a32b769cf9e6.html</t>
  </si>
  <si>
    <t>Rev. Andrzej Pawel Skrzypiec</t>
  </si>
  <si>
    <t>https://www.idahostatejournal.com/news/local/catholic-priest-charged-with-patronizing-a-prostitute/article_f56cb17f-7289-574c-97ca-9068cd96655c.html</t>
  </si>
  <si>
    <t>Jonathan Sandoval-Lepe</t>
  </si>
  <si>
    <t>https://www.justice.gov/usao-cdca/pr/long-beach-man-sentenced-10-years-federal-prison-traveling-mexico-engage-illicit-sexual</t>
  </si>
  <si>
    <t>http://lasdnewsroom.org/article_layout_1.aspx?id=294</t>
  </si>
  <si>
    <t>https://www.courtlistener.com/?q=&amp;type=r&amp;order_by=score+desc&amp;docket_number=2%3A18-cr-00624&amp;court=cacd</t>
  </si>
  <si>
    <t>David St. George</t>
  </si>
  <si>
    <t>September 25, 2018</t>
  </si>
  <si>
    <t>CP production &amp; related charges  including child rape</t>
  </si>
  <si>
    <t>https://thegoldwater.com/news/38121-Boston-Philharmonic-Orchestra-Director-Arrested-for-Child-Porn-and-Rape-of-1-Year-Old</t>
  </si>
  <si>
    <t>https://www.justice.gov/usao-ma/pr/boston-philharmonic-orchestra-artistic-director-arrested-child-pornography</t>
  </si>
  <si>
    <t>https://www.courtlistener.com/?q=&amp;type=r&amp;order_by=score+desc&amp;docket_number=1%3A19-cr-10059&amp;court=mad</t>
  </si>
  <si>
    <t>Amanda Yamauchi &amp; Unnamed</t>
  </si>
  <si>
    <t>https://www.havasunews.com/news/ice-havasu-sex-trafficking-bust-started-with-citizen-complaints/article_6d819dbc-c151-11e8-a5da-afae4328f0ca.html</t>
  </si>
  <si>
    <t>https://news4sanantonio.com/news/local/foot-prints-lead-agents-to-human-smuggling-operation</t>
  </si>
  <si>
    <t>D Wittwer / D Heidenreich / O Flores-Vazquez</t>
  </si>
  <si>
    <t>https://www.justice.gov/usao-ndil/pr/three-rockford-area-men-charged-child-pornography-indictments , https://www.justice.gov/usao-ndil/pr/rockford-man-pleads-guilty-child-pornagraphy-charges , https://www.justice.gov/usao-ndil/pr/rockford-man-sentenced-12-years-federal-prison-child-pornography-charges</t>
  </si>
  <si>
    <t>https://www.courtlistener.com/docket/7767833/united-states-v-flores-vazquez/</t>
  </si>
  <si>
    <t>https://www.kusi.com/border-patrol-intercepts-suspected-human-smuggling-boat-off-la-jolla-coast/</t>
  </si>
  <si>
    <t>https://www.citizensvoice.com/news/county-residents-arrested-in-prostitution-sting-1.2391059</t>
  </si>
  <si>
    <t>A Manzano / K Dunn / P Davis</t>
  </si>
  <si>
    <t>October 1, 2018</t>
  </si>
  <si>
    <t>https://www.kxly.com/news/two-others-arrested-in-spokane-for-role-in-alleged-human-trafficking-operation/802227348</t>
  </si>
  <si>
    <t>September 26, 2018</t>
  </si>
  <si>
    <t>https://www.kfdi.com/news/prostitution-sting-leads-to-8-arrests</t>
  </si>
  <si>
    <t>https://www.westernmassnews.com/news/arrested-following-prostitution-investigation-in-springfield/article_b8a9c836-c265-11e8-bd10-eb723bba11bb.html</t>
  </si>
  <si>
    <t>http://www.championnewspapers.com/news/article_f695cc2a-c29d-11e8-a51d-1f9adae13b97.html</t>
  </si>
  <si>
    <t>John Forsythe</t>
  </si>
  <si>
    <t>https://www.dailycall.com/news/46852/sex-offender-charged-with-compelling-prostitution</t>
  </si>
  <si>
    <t>Pascal Calogero III</t>
  </si>
  <si>
    <t>https://www.justice.gov/usao-edla/pr/metairie-man-pleads-guilty-conspiracy-commit-sex-trafficking-14-year-old-female ,https://www.justice.gov/usao-edla/pr/metairie-man-sentenced-121-months-imprisonment-after-previously-pleading-guilty</t>
  </si>
  <si>
    <t>http://www.fox8live.com/2018/09/26/son-former-la-supreme-court-justice-charged-with-human-trafficking/</t>
  </si>
  <si>
    <t>https://www.courtlistener.com/?q=&amp;type=r&amp;order_by=score+desc&amp;docket_number=2%3A18-cr-00203&amp;court=laed</t>
  </si>
  <si>
    <t>Dustin Randall</t>
  </si>
  <si>
    <t>https://www.justice.gov/usao-nv/pr/las-vegas-man-sentenced-eight-years-prison-trading-child-pornography-over-instant</t>
  </si>
  <si>
    <t>Marvin Woods</t>
  </si>
  <si>
    <t>https://www.sfgate.com/news/bayarea/article/Richmond-Man-Arrested-On-Suspicion-Of-Attempted-13267173.php</t>
  </si>
  <si>
    <t>Rose Beth Litzky</t>
  </si>
  <si>
    <t>https://www.justice.gov/usao-mdfl/pr/palm-bay-woman-convicted-production-child-pornography , https://www.justice.gov/usao-mdfl/pr/palm-bay-woman-sentenced-30-years-sexually-exploiting-children</t>
  </si>
  <si>
    <t>Christopher Strinden</t>
  </si>
  <si>
    <t>September 27, 2018</t>
  </si>
  <si>
    <t>https://www.courtlistener.com/?q=&amp;type=r&amp;order_by=score+desc&amp;docket_number=2%3A18-cr-00477&amp;court=cacd</t>
  </si>
  <si>
    <t>Justin Schobey</t>
  </si>
  <si>
    <t>https://www.courtlistener.com/docket/15046624/united-states-v-schobey/</t>
  </si>
  <si>
    <t>Jorge De Los Santos</t>
  </si>
  <si>
    <t>Fernando Vazquez Garcia</t>
  </si>
  <si>
    <t>https://www.courtlistener.com/docket/7047635/united-states-v-pham/</t>
  </si>
  <si>
    <t>Kenneth R Smith</t>
  </si>
  <si>
    <t>https://www.courtlistener.com/docket/7217997/united-states-v-smith/</t>
  </si>
  <si>
    <t>Nathan Pham</t>
  </si>
  <si>
    <t>Bradley M Cox</t>
  </si>
  <si>
    <t>https://www.justice.gov/usao-ndin/pr/kokomo-man-charged , https://www.justice.gov/usao-ndin/pr/kokomo-man-convicted-after-five-day-jury-trial</t>
  </si>
  <si>
    <t>https://fortwaynesnbc.com/2019/02/28/feds-kokomo-man-uses-facebook-in-sextortion-plot/</t>
  </si>
  <si>
    <t>https://www.courtlistener.com/docket/7942211/united-states-v-cox/</t>
  </si>
  <si>
    <t>https://archive.vn/wip/De4Gs</t>
  </si>
  <si>
    <t>Multiple (unnamed)</t>
  </si>
  <si>
    <t>Operation MISafeKid- Recoverd missing children from child/sex trafficking</t>
  </si>
  <si>
    <t>https://www.kwch.com/content/news/123-missing-Michigan-children-recovered-during-1-day-operation-496292201.html</t>
  </si>
  <si>
    <t>Travis Beach</t>
  </si>
  <si>
    <t>https://www.kitsapdailynews.com/news/bremerton-man-charged-with-hiring-underage-prostitute/</t>
  </si>
  <si>
    <t>Eric F Rosser</t>
  </si>
  <si>
    <t>https://www.justice.gov/usao-mt/pr/washington-man-sentenced-10-years-child-porn-case</t>
  </si>
  <si>
    <t>https://missoulian.com/news/state-and-regional/child-porn-suspect-arrested-in-montana-went-from-john-mellencamp/article_f9c62fa3-9593-5f33-a68b-5c489b3689c6.html</t>
  </si>
  <si>
    <t>https://www.courtlistener.com/docket/8011479/united-states-v-rosser/</t>
  </si>
  <si>
    <t>https://web.archive.org/web/20181016223244/https://missoulian.com/news/state-and-regional/child-porn-suspect-arrested-in-montana-went-from-john-mellencamp/article_f9c62fa3-9593-5f33-a68b-5c489b3689c6.html</t>
  </si>
  <si>
    <t>http://archive.fo/Qyafb</t>
  </si>
  <si>
    <t>Dennis J Hudson</t>
  </si>
  <si>
    <t>https://www.justice.gov/usao-ndal/pr/center-point-man-indicted-producing-distributing-child-pornography, https://www.justice.gov/usao-ndal/pr/center-point-man-sentenced-50-years-producing-distributing-child-pornography</t>
  </si>
  <si>
    <t>https://www.tuscaloosanews.com/news/20180927/prosecutors-alabama-man-made-child-porn-shared-it-online</t>
  </si>
  <si>
    <t>https://www.cbp.gov/newsroom/local-media-release/border-patrol-agents-arrest-tucson-man-smuggling-11-illegal-aliens</t>
  </si>
  <si>
    <t>Kenneth Morphis</t>
  </si>
  <si>
    <t>https://www.click2houston.com/news/new-caney-isd-substitute-teacher-arrested-on-child-porn-charges</t>
  </si>
  <si>
    <t>Jimmy Carter Kim</t>
  </si>
  <si>
    <t>September 28, 2018</t>
  </si>
  <si>
    <t>https://www.justice.gov/usao-nv/pr/north-las-vegas-man-charged-kidnapping-and-sexually-exploiting-14-year-old-arizona-girl</t>
  </si>
  <si>
    <t>https://www.courtlistener.com/docket/7958737/united-states-v-kim/</t>
  </si>
  <si>
    <t>Cleon Erick Williams/ Tyrone Singletary</t>
  </si>
  <si>
    <t>https://www.wtsp.com/article/news/crime/st-pete-men-charged-with-human-trafficking-after-allegedly-paying-teens-for-sex/67-599213820</t>
  </si>
  <si>
    <t>September 29, 2018</t>
  </si>
  <si>
    <t>https://www.cbp.gov/newsroom/local-media-release/laredo-sector-border-patrol-agents-apprehend-13-illegal-aliens-inside</t>
  </si>
  <si>
    <t>John R Butler</t>
  </si>
  <si>
    <t>https://oilcitywyo.com/emergency/2018/10/02/missing-man-found-in-nebraska-arrested-for-soliciting-prostitution/</t>
  </si>
  <si>
    <t>https://www.cbp.gov/newsroom/local-media-release/local-tucson-man-arrested-smuggling-people-trunk</t>
  </si>
  <si>
    <t>https://kvoa.com/ap-arizona-news/2018/10/02/arizona-man-accused-of-smuggling-3-migrants-in-trunk-of-car/</t>
  </si>
  <si>
    <t>https://www.cbp.gov/newsroom/local-media-release/del-rio-sector-border-patrol-agents-arrest-3-failed-smuggling-attempt</t>
  </si>
  <si>
    <t>https://www.cbp.gov/newsroom/local-media-release/rio-grande-valley-border-patrol-intercepts-two-alien-smuggling-attempts</t>
  </si>
  <si>
    <t>Ashley Goodrich</t>
  </si>
  <si>
    <t>https://www.itemlive.com/2018/09/29/lynn-woman-charged-in-connection-with-child-trafficking-at-saugus-group-home/</t>
  </si>
  <si>
    <t>https://www.kgns.tv/content/news/Border-Patrol-agents-find-three-illegal-immigrants-during-inspection-494908651.html</t>
  </si>
  <si>
    <t>Alexander Seegar</t>
  </si>
  <si>
    <t>https://www.justice.gov/usao-wdny/pr/darien-center-man-charged-receiving-child-pornography ,  https://www.justice.gov/usao-wdny/pr/darien-center-man-sentenced-receiving-child-pornography-young-girls</t>
  </si>
  <si>
    <t>Ty Lee Treddenbarger</t>
  </si>
  <si>
    <t>https://www.justice.gov/usao-wdwa/pr/former-bowling-coach-pleads-guilty-production-child-pornography</t>
  </si>
  <si>
    <t>Levi William Welker</t>
  </si>
  <si>
    <t>https://www.justice.gov/usao-ndok/pr/tulsa-man-convicted-child-pornography-enticing-minors-and-trying-hide-his-crimes</t>
  </si>
  <si>
    <t>Lonnie Lawrence Mercer</t>
  </si>
  <si>
    <t>https://www.justice.gov/usao-mdfl/pr/jacksonville-man-sentenced-20-years-sexually-exploiting-child</t>
  </si>
  <si>
    <t>Christopher Frater</t>
  </si>
  <si>
    <t>https://www.justice.gov/usao-ndoh/pr/lima-man-indicted-child-pornography-crimes</t>
  </si>
  <si>
    <t>https://www.courtlistener.com/docket/7977798/united-states-v-frater/</t>
  </si>
  <si>
    <t>Riley Thomas Griffin</t>
  </si>
  <si>
    <t>https://www.justice.gov/usao-ndoh/pr/michigan-man-indicted-attempting-engage-sex-acts-child</t>
  </si>
  <si>
    <t>https://www.courtlistener.com/docket/7977794/united-states-v-griffin/</t>
  </si>
  <si>
    <t>Kyle B Olson</t>
  </si>
  <si>
    <t>https://www.justice.gov/usao-wdwi/pr/grand-jury-returns-indictments-charging-child-pornography-fraud-crimes , https://www.justice.gov/usao-wdwi/pr/la-crosse-man-sentenced-4-years-possessing-child-pornography</t>
  </si>
  <si>
    <t>https://www.courtlistener.com/docket/8020352/united-states-v-olson-kyle/</t>
  </si>
  <si>
    <t>https://www.justice.gov/usao-wdwi/pr/grand-jury-returns-indictments-charging-child-pornography-fraud-crimes</t>
  </si>
  <si>
    <t>https://www.courtlistener.com/docket/8020806/united-states-v-jewell-reigel-peter/</t>
  </si>
  <si>
    <t>Kaleb Wilson</t>
  </si>
  <si>
    <t>https://www.justice.gov/usao-wdmo/pr/joplin-man-charged-child-pornography</t>
  </si>
  <si>
    <t>https://www.courtlistener.com/docket/8158771/united-states-v-wilson/</t>
  </si>
  <si>
    <t>Sean R Evansen</t>
  </si>
  <si>
    <t>https://www.justice.gov/usao-edwi/pr/algoma-sex-offender-indicted-ib-child-pornography-charges</t>
  </si>
  <si>
    <t>Lennie Perry</t>
  </si>
  <si>
    <t>https://www.justice.gov/usao-ndil/pr/federal-indictment-charges-chicago-man-sex-trafficking-several-children-0</t>
  </si>
  <si>
    <t>https://www.courtlistener.com/docket/8054280/united-states-v-perry/</t>
  </si>
  <si>
    <t>David J Cottrell</t>
  </si>
  <si>
    <t>https://www.justice.gov/usao-ndil/pr/federal-grand-jury-indicts-north-suburban-man-child-pornography-and-extortion-charges</t>
  </si>
  <si>
    <t>https://www.courtlistener.com/docket/8064779/united-states-v-cottrell/</t>
  </si>
  <si>
    <t>Anna Marie Gomez</t>
  </si>
  <si>
    <t>https://www.justice.gov/usao-ndal/pr/marshall-county-woman-indicted-producing-child-pornography</t>
  </si>
  <si>
    <t>Rufino Valldovinos-Ramirez</t>
  </si>
  <si>
    <t>https://www.justice.gov/usao-wdtn/pr/federal-grand-jury-returns-ten-count-indictment-against-driver-illegally-transporting-0</t>
  </si>
  <si>
    <t>Hares Fakoor</t>
  </si>
  <si>
    <t>https://www.justice.gov/usao-edva/pr/man-pleads-guilty-downloading-child-pornography</t>
  </si>
  <si>
    <t>https://www.courtlistener.com/?q=&amp;type=r&amp;order_by=score+desc&amp;docket_number=1%3A18-cr-00355&amp;court=vaed</t>
  </si>
  <si>
    <t>Roberto Oquendo</t>
  </si>
  <si>
    <t>https://www.justice.gov/usao-mdfl/pr/brevard-county-man-pleads-guilty-producing-child-pornography</t>
  </si>
  <si>
    <t>Jack Ulrich, Jr</t>
  </si>
  <si>
    <t>https://www.justice.gov/usao-wdpa/pr/natrona-heights-sex-offender-pleads-guilty-possessing-sexually-exploitive-material</t>
  </si>
  <si>
    <t>Gabriel Dominguez</t>
  </si>
  <si>
    <t>https://www.justice.gov/usao-sdfl/pr/hialeah-resident-sentenced-twenty-years-prison-distributing-and-possessing-child</t>
  </si>
  <si>
    <t>https://www.courtlistener.com/docket/14567050/united-states-v-dominguez/</t>
  </si>
  <si>
    <t>James Lockhart</t>
  </si>
  <si>
    <t>https://www.justice.gov/usao-mdfl/pr/bradenton-man-pleads-guilty-producing-sex-abuse-video-series-one-year-old</t>
  </si>
  <si>
    <t>https://www.wfla.com/8-on-your-side/investigations/bradenton-man-accused-of-creating-child-porn-video-of-2-year-old-family-member/1520394451</t>
  </si>
  <si>
    <t>https://web.archive.org/web/20190415163152/https://www.wfla.com/8-on-your-side/investigations/bradenton-man-accused-of-creating-child-porn-video-of-2-year-old-family-member/1520394451</t>
  </si>
  <si>
    <t>http://archive.fo/oUptp</t>
  </si>
  <si>
    <t>Daniel Roy Mace</t>
  </si>
  <si>
    <t>https://www.justice.gov/usao-sdwv/pr/federal-jury-finds-parkersburg-man-guilty-child-pornography-crimes-and-witness , https://www.justice.gov/usao-sdwv/pr/parkersburg-man-convicted-trial-child-pornography-crimes-and-witness-tampering</t>
  </si>
  <si>
    <t>https://www.courtlistener.com/docket/7989752/united-states-v-mace/</t>
  </si>
  <si>
    <t>Shixun Lan</t>
  </si>
  <si>
    <t>October 2, 2018</t>
  </si>
  <si>
    <t>https://www.voiceofalexandria.com/news/state/charges-woodbury-massage-parlor-was-a-front-for-prostitution/article_1b876b34-c667-11e8-919f-ab89d58988e1.html</t>
  </si>
  <si>
    <t>https://www.cbp.gov/newsroom/local-media-release/usbp-agents-arrest-2-teens-smuggling-stolen-truck</t>
  </si>
  <si>
    <t>Rene Henderson</t>
  </si>
  <si>
    <t>https://www.sbsun.com/2018/10/03/woman-arrested-in-fontana-suspected-of-trafficking-and-abusing-a-minor/</t>
  </si>
  <si>
    <t>James Thomas Butler</t>
  </si>
  <si>
    <t>https://www.justice.gov/usao-mdfl/pr/jacksonville-sexual-predator-charged-child-pornography-production-offenses</t>
  </si>
  <si>
    <t>https://thegoldwater.com/news/38607-Jacksonville-FBI-Raid-Leads-to-Arrest-in-Child-Porn-Distribution-Ring</t>
  </si>
  <si>
    <t>https://www.courtlistener.com/docket/14512671/united-states-v-butler/</t>
  </si>
  <si>
    <t>https://www.cbp.gov/newsroom/local-media-release/despite-threatening-conditions-smugglers-continue-risk-migrant-lives</t>
  </si>
  <si>
    <t>Matthew J Kite</t>
  </si>
  <si>
    <t>October 3, 2018</t>
  </si>
  <si>
    <t>https://www.justice.gov/usao-wdpa/pr/jefferson-county-man-charged-receiving-and-possessing-child-pornography</t>
  </si>
  <si>
    <t>https://www.courtlistener.com/docket/7974657/united-states-v-kite/</t>
  </si>
  <si>
    <t>William C Read</t>
  </si>
  <si>
    <t>https://www.justice.gov/usao-wdny/pr/bath-man-charged-enticing-minor-online</t>
  </si>
  <si>
    <t>Joseph Broderick</t>
  </si>
  <si>
    <t>https://signalscv.com/2018/10/human-trafficking-operation-nets-two-arrests/</t>
  </si>
  <si>
    <t>Anthony Helsel</t>
  </si>
  <si>
    <t>https://www.justice.gov/usao-wdmo/pr/two-joplin-men-one-former-police-officer-charged-child-sexual-exploitation , https://www.justice.gov/usao-wdmo/pr/joplin-man-sentenced-life-prison-sexual-exploitation-4-year-old-child</t>
  </si>
  <si>
    <t>http://www.joplinglobe.com/news/local_news/former-police-officer-second-joplin-man-charged-in-child-pornography/article_df6a608a-d7a2-51ca-a507-7f177cee139b.html</t>
  </si>
  <si>
    <t>https://www.courtlistener.com/docket/8079378/united-states-v-helsel/</t>
  </si>
  <si>
    <t>Gary McKinney</t>
  </si>
  <si>
    <t>https://www.justice.gov/usao-wdmo/pr/two-joplin-men-one-former-police-officer-charged-child-sexual-exploitation , https://www.justice.gov/usao-wdmo/pr/former-joplin-police-officer-pleads-guilty-child-pornography</t>
  </si>
  <si>
    <t>https://www.courtlistener.com/docket/8079376/united-states-v-mckinney/</t>
  </si>
  <si>
    <t>Maurice Neal</t>
  </si>
  <si>
    <t>https://www.justice.gov/usao-edpa/pr/serial-child-predator-philadelphia-sentenced-25-years-producing-child-pornography</t>
  </si>
  <si>
    <t>Shui Mei Ching</t>
  </si>
  <si>
    <t>October 4, 2018</t>
  </si>
  <si>
    <t>https://www.havasunews.com/news/new-arrest-made-in-havasu-bullhead-human-trafficking-case/article_1cb811bc-c869-11e8-b842-374f245edcf6.html</t>
  </si>
  <si>
    <t>Anthony Lozowski</t>
  </si>
  <si>
    <t>Child exploitation related charges</t>
  </si>
  <si>
    <t>https://www.fbi.gov/contact-us/field-offices/portland/news/press-releases/fbi-arrests-troutdale-man-on-sexual-exploitation-charges</t>
  </si>
  <si>
    <t>Alan Longmore</t>
  </si>
  <si>
    <t>https://www.justice.gov/usao-ndny/pr/fayetteville-man-arrested-receipt-child-pornography , https://www.justice.gov/usao-ndny/pr/fayetteville-man-pleads-guilty-receipt-and-possession-child-pornography , https://www.justice.gov/usao-ndny/pr/fayetteville-man-sentenced-16-years-receipt-and-possession-child-pornography</t>
  </si>
  <si>
    <t>https://www.courtlistener.com/?q=&amp;type=r&amp;order_by=score+desc&amp;docket_number=5%3A18-mj-00580&amp;court=nynd</t>
  </si>
  <si>
    <t>Nestor Ramirez</t>
  </si>
  <si>
    <t>https://www.courtlistener.com/docket/14982953/united-states-v-ramirez/</t>
  </si>
  <si>
    <t>Victor Manuel Diaz Romo</t>
  </si>
  <si>
    <t>Eric Ingram</t>
  </si>
  <si>
    <t>https://www.justice.gov/usao-cdil/pr/tazewell-county-man-indicted-charges-receiving-child-pornography</t>
  </si>
  <si>
    <t>https://www.cbp.gov/newsroom/local-media-release/us-border-patrol-thwarts-attempt-avoid-inspection-baudette-minnesota</t>
  </si>
  <si>
    <t>Shane Allen Edgerly</t>
  </si>
  <si>
    <t>https://www.justice.gov/usao-vt/pr/vermont-man-charged-child-pornography , https://www.justice.gov/usao-vt/pr/shane-allen-edgerly-sentenced-possession-child-pornography</t>
  </si>
  <si>
    <t>https://www.courtlistener.com/?q=&amp;type=r&amp;order_by=score+desc&amp;docket_number=5%3A18-cr-00124&amp;court=vtd</t>
  </si>
  <si>
    <t>Stephen Lavery</t>
  </si>
  <si>
    <t>https://www.justice.gov/usao-sdoh/pr/kettering-man-sentenced-more-5-years-prison-possessing-child-pornography</t>
  </si>
  <si>
    <t>Lucion Banks</t>
  </si>
  <si>
    <t>October 5, 2018</t>
  </si>
  <si>
    <t>https://calcoasttimes.com/2018/10/09/slo-police-catch-pimp-trafficking-14-year-old-girl/</t>
  </si>
  <si>
    <t>October 6, 2018</t>
  </si>
  <si>
    <t>https://www.cbp.gov/newsroom/local-media-release/yuma-sector-border-patrol-arrests-three-after-vehicle-flees-immigration</t>
  </si>
  <si>
    <t>Narcis Gabriel Burcea</t>
  </si>
  <si>
    <t>https://www.justice.gov/usao-ndny/pr/michigan-man-arrested-alien-smuggling</t>
  </si>
  <si>
    <t>https://www.courtlistener.com/docket/8142676/united-states-v-burcea/</t>
  </si>
  <si>
    <t>https://www.cbp.gov/newsroom/local-media-release/rio-grande-valley-border-patrol-intercepts-alien-smuggling-attempts</t>
  </si>
  <si>
    <t>October 7, 2018</t>
  </si>
  <si>
    <t>https://www.cbp.gov/newsroom/local-media-release/border-patrol-agents-discover-illegal-aliens-refrigerated-trailer</t>
  </si>
  <si>
    <t>https://lakelandobserver.com/10-suffocate-in-truck-in-us-human-trafficking/196479/</t>
  </si>
  <si>
    <t>Tyler Powers</t>
  </si>
  <si>
    <t>https://www.justice.gov/usao-sd/pr/brookings-man-charged-distribution-and-receipt-child-pornography</t>
  </si>
  <si>
    <t>Abigail Contreras /Jesus Rodriguez</t>
  </si>
  <si>
    <t>October 8, 2018</t>
  </si>
  <si>
    <t>https://www.kwtx.com/content/news/Bellmead--Teens-charged-with-human-smuggling-after-I-35-traffic-stop-496355381.html?ref=381</t>
  </si>
  <si>
    <t>October 9, 2018</t>
  </si>
  <si>
    <t>https://www.cbp.gov/newsroom/local-media-release/tucson-couple-caught-smuggling-after-fleeing-checkpoint</t>
  </si>
  <si>
    <t>Aaron Bruins</t>
  </si>
  <si>
    <t>https://www.kxan.com/news/local/austin/man-arrested-for-allegedly-forcing-a-deaf-woman-into-prostitution/1515032988</t>
  </si>
  <si>
    <t>Martin Nicholson</t>
  </si>
  <si>
    <t>https://www.justice.gov/usao-ndny/pr/syracuse-man-arrested-child-pornography-charges , https://www.justice.gov/usao-ndny/pr/onondaga-county-man-pleads-guilty-sexual-exploitation-charge , https://www.justice.gov/usao-ndny/pr/onondaga-county-man-sentenced-sexual-exploitation-conviction</t>
  </si>
  <si>
    <t>https://www.courtlistener.com/?q=&amp;type=r&amp;order_by=score+desc&amp;docket_number=5%3A18-mj-00592&amp;court=nynd</t>
  </si>
  <si>
    <t>Tori Brothers-Helton /Anthony John Miller</t>
  </si>
  <si>
    <t>October 10, 2018</t>
  </si>
  <si>
    <t>http://www.monroenews.com/news/20181010/human-trafficking-worst-case-in-monroe</t>
  </si>
  <si>
    <t>Andrea Beck</t>
  </si>
  <si>
    <t>https://www.kfyrtv.com/content/news/Pair-charged-with-trafficking-a-woman-to-North-Dakota-for-prostitution-496706461.html</t>
  </si>
  <si>
    <t>Christopher Goodin</t>
  </si>
  <si>
    <t>https://www.fbi.gov/contact-us/field-offices/cleveland/news/press-releases/elyria-man-federally-charged-with-receiving-and-distributing-child-pornography</t>
  </si>
  <si>
    <t>https://www.justice.gov/usao-ndoh/pr/elyria-man-indicted-sexually-exploiting-child-utah-and-related-child-pornography-crimes</t>
  </si>
  <si>
    <t>Matthew Urquhart</t>
  </si>
  <si>
    <t>October 11, 2018</t>
  </si>
  <si>
    <t>https://www.justice.gov/usao-wdny/pr/seneca-falls-man-arrested-charged-receipt-and-possession-child-pornography , https://www.justice.gov/usao-wdny/pr/seneca-falls-man-sentenced-possession-child-pornography</t>
  </si>
  <si>
    <t>David Aaron Drake</t>
  </si>
  <si>
    <t>https://www.justice.gov/usao-ndal/pr/federal-grand-jury-indicts-birmingham-college-student-child-pornography-charges</t>
  </si>
  <si>
    <t>https://www.al.com/crime/2018/10/birmingham-19-year-old-arrested-on-child-porn-charges-involving-young-boys.html</t>
  </si>
  <si>
    <t>http://archive.fo/0VvAM</t>
  </si>
  <si>
    <t>http://archive.fo/bEQL4</t>
  </si>
  <si>
    <t>James Jaster / Lori Jackson / Elaine Hellman</t>
  </si>
  <si>
    <t>http://www.vindy.com/news/2018/oct/12/more-people-sought-human-trafficking-indictment-cu/?nw</t>
  </si>
  <si>
    <t>https://kfor.com/2018/10/11/teenager-arrested-for-trafficking-teen-girl/</t>
  </si>
  <si>
    <t>Rusty Quirk / Megan McCoy</t>
  </si>
  <si>
    <t>October 12, 2018</t>
  </si>
  <si>
    <t>https://thegoldwater.com/news/39209-Louisiana-Couple-Charged-with-170-Counts-in-Child-Pornography-Conspiracy</t>
  </si>
  <si>
    <t>https://www.cbp.gov/newsroom/local-media-release/laredo-sector-border-patrol-rescues-24-subjects-smuggled-truck</t>
  </si>
  <si>
    <t>Ronald Roscoe</t>
  </si>
  <si>
    <t>Project Safe Childhood-CP , enticement of a minor &amp; related charges</t>
  </si>
  <si>
    <t>https://www.justice.gov/usao-ndfl/pr/michigan-sex-offender-pleads-guilty-traveling-destin-have-sex-minor</t>
  </si>
  <si>
    <t>Jonathan Riggs/Jackie &amp; Laura Underwood</t>
  </si>
  <si>
    <t>October 15, 2018</t>
  </si>
  <si>
    <t>http://www.wave3.com/2018/10/16/arrested-human-trafficking-charges-green-county/</t>
  </si>
  <si>
    <t>October 17, 2018</t>
  </si>
  <si>
    <t>Operation Cross Country-Sex trafficking of a minor &amp; related charges</t>
  </si>
  <si>
    <t>https://www.detroitnews.com/story/news/local/detroit-city/2017/10/18/12-children-arrests-8-pimps/778312001/</t>
  </si>
  <si>
    <t>David Greathouse</t>
  </si>
  <si>
    <t>https://www.justice.gov/usao-ndoh/pr/men-avon-lake-concord-and-ravenna-indicted-child-pornography-crimes</t>
  </si>
  <si>
    <t>https://www.ohio.com/news/20181017/fbi-says-child-pornography-found-at-ravenna-home</t>
  </si>
  <si>
    <t>https://www.courtlistener.com/docket/8169288/united-states-v-greathouse/</t>
  </si>
  <si>
    <t>Justin Thomas Chapman</t>
  </si>
  <si>
    <t>https://www.justice.gov/usao-mn/pr/brooklyn-center-man-sentenced-15-years-prison-distributing-child-pornography</t>
  </si>
  <si>
    <t>https://www.courtlistener.com/docket/8047797/united-states-v-chapman/</t>
  </si>
  <si>
    <t>Christopher Benson</t>
  </si>
  <si>
    <t>https://www.justice.gov/usao-wdtx/pr/federal-judge-waco-hands-down-prison-terms-project-safe-childhood-defendants</t>
  </si>
  <si>
    <t>https://www.breitbart.com/border/2018/10/18/50-migrants-arrested-in-south-texas-smuggling-attempts/</t>
  </si>
  <si>
    <t>https://www.cbp.gov/newsroom/local-media-release/border-patrol-agents-apprehend-37-checkpoint-smuggling-attempt</t>
  </si>
  <si>
    <t>Juan Branch</t>
  </si>
  <si>
    <t>https://www.nola.com/crime/2018/10/man-accused-of-trafficking-took-females-to-new-orleans-to-make-some-money-for-mardi-gras-warrant.html</t>
  </si>
  <si>
    <t>Nick Hochmouth</t>
  </si>
  <si>
    <t>https://dailygazette.com/article/2018/10/18/troopers-assistant-scout-master-air-national-guard-member-possessed-child-pornography</t>
  </si>
  <si>
    <t>Wade Clifton Pfarr</t>
  </si>
  <si>
    <t>Operation Guardian Angel: Sex trafficking of a minor</t>
  </si>
  <si>
    <t>https://www.am1100theflag.com/news/2601-fargo-man-arrested-human-trafficking-sting</t>
  </si>
  <si>
    <t>Matthew R. Osuba</t>
  </si>
  <si>
    <t>https://www.justice.gov/usao-ndny/pr/saugerties-man-sentenced-70-years-child-sexual-exploitation-offenses</t>
  </si>
  <si>
    <t>Blake Adam Austin</t>
  </si>
  <si>
    <t>https://www.justice.gov/usao-ks/pr/topeka-man-sentenced-cyberstalking-child-pornography</t>
  </si>
  <si>
    <t>Cecil Gunnells</t>
  </si>
  <si>
    <t>https://www.justice.gov/usao-ne/pr/omaha-man-convicted-possession-child-pornography</t>
  </si>
  <si>
    <t>Mark Brinkman</t>
  </si>
  <si>
    <t>Sex trafficking &amp; minor abuse charges</t>
  </si>
  <si>
    <t>https://www.kktv.com/content/news/Colorado-massage-parlor-under-investigation-for-prostitution--497874671.html</t>
  </si>
  <si>
    <t>Johnathan Bowman/Larry L Donaldson/Aurthur W Valentine,</t>
  </si>
  <si>
    <t>https://www.wowktv.com/news/local-news/4-arrested-after-prostitution-sting-in-charleston/1533206275</t>
  </si>
  <si>
    <t>https://www.eagletribune.com/news/merrimack_valley/third-recent-lawrence-prostitution-sting-nets-arrests/article_f3b12aa6-59d3-5623-81e2-c90313a68924.html</t>
  </si>
  <si>
    <t>https://www.cbp.gov/newsroom/local-media-release/eight-arrested-attempted-human-smuggling-event</t>
  </si>
  <si>
    <t>Nathan Michael McInnis</t>
  </si>
  <si>
    <t>https://www.justice.gov/usao-wdnc/pr/rutherford-co-resident-sentenced-13-years-distribution-child-pornography</t>
  </si>
  <si>
    <t>Robert Bozeman</t>
  </si>
  <si>
    <t>October 18, 2018</t>
  </si>
  <si>
    <t>https://whdh.com/news/quincy-human-trafficking-attempted-murder-suspect-held-without-bail/</t>
  </si>
  <si>
    <t>https://www.cbp.gov/newsroom/local-media-release/border-patrol-agents-find-four-illegal-aliens-concealed-toolbox</t>
  </si>
  <si>
    <t xml:space="preserve">Aaron Martinez </t>
  </si>
  <si>
    <t>https://www.palmbeachpost.com/news/20181019/men-accused-of-trafficking-kids-adults-in-palm-beach-county</t>
  </si>
  <si>
    <t>Keto Postemus</t>
  </si>
  <si>
    <t>https://www.kyma.com/news/9-illegal-immigrants-found-hidden-inside-tractor-trailer-s-cargo/812377304</t>
  </si>
  <si>
    <t>https://www.cbp.gov/newsroom/local-media-release/border-patrol-discover-9-undocumented-immigrants-inside-tractor-trailer</t>
  </si>
  <si>
    <t>https://www.cbp.gov/newsroom/local-media-release/local-man-caught-smuggling-5-illegal-aliens-car-gun</t>
  </si>
  <si>
    <t>Thomas Arthur Rittenhouse</t>
  </si>
  <si>
    <t>https://www.justice.gov/usao-wdnc/pr/federal-jury-convicts-boone-nc-man-transporting-and-possessing-child-pornography , https://www.justice.gov/usao-wdnc/pr/federal-judge-sentences-boone-nc-man-20-years-transporting-and-possessing-child</t>
  </si>
  <si>
    <t>Brandon Perkins</t>
  </si>
  <si>
    <t>October 19, 2018</t>
  </si>
  <si>
    <t>http://www.journalgazette.net/article/20181019/WEB/181019793</t>
  </si>
  <si>
    <t>Jordan Frederic Schemmel</t>
  </si>
  <si>
    <t>https://www.justice.gov/usao-mdfl/pr/jacksonville-high-school-teacher-arrested-and-federally-charged-distribution-child , https://www.justice.gov/usao-mdfl/pr/former-jacksonville-high-school-teacher-sentenced-more-9-years-distributing-child</t>
  </si>
  <si>
    <t>https://www.news4jax.com/news/jacksonville-high-school-teacher-charged-with-distribution-of-child-porn</t>
  </si>
  <si>
    <t>https://www.courtlistener.com/docket/14512040/united-states-v-schemmel/</t>
  </si>
  <si>
    <t>https://archive.vn/n1RFt</t>
  </si>
  <si>
    <t>https://kvoa.com/news/local-news/2018/10/19/local-man-caught-smuggling-illegal-immigrants/</t>
  </si>
  <si>
    <t>October 20, 2018</t>
  </si>
  <si>
    <t>https://www.cbp.gov/newsroom/local-media-release/yuma-sector-border-patrol-thwarts-multiple-smuggling-attempts</t>
  </si>
  <si>
    <t>October 21, 2018</t>
  </si>
  <si>
    <t>https://www.cbp.gov/newsroom/local-media-release/amo-stops-vessel-four-aliens-crossing-illegally-near-st-john</t>
  </si>
  <si>
    <t>October 22, 2018</t>
  </si>
  <si>
    <t>https://www.cbp.gov/newsroom/local-media-release/usbp-k9-finds-two-people-trunk-checkpoint</t>
  </si>
  <si>
    <t>Brice Todman</t>
  </si>
  <si>
    <t>https://www.justice.gov/usao-vi/pr/st-john-man-arrested-smuggling-illegal-aliens-dominican-republic-argentina-and-venezuela</t>
  </si>
  <si>
    <t>Christopher Golden</t>
  </si>
  <si>
    <t>https://www.justice.gov/usao-sd/pr/box-elder-man-found-guilty-receipt-and-possession-child-pornography</t>
  </si>
  <si>
    <t>https://www.cbp.gov/newsroom/local-media-release/border-patrol-agents-find-16-illegal-aliens-inside-box-truck</t>
  </si>
  <si>
    <t>Howard Joseph Vorder Bruegge, III</t>
  </si>
  <si>
    <t>https://www.tampabay.com/news/courts/criminal/Canadian-Mounties-assist-in-child-porn-case-against-Hillsborough-Community-College-professo   938</t>
  </si>
  <si>
    <t>https://www.justice.gov/usao-mdfl/pr/hillsborough-community-college-professor-arrested-and-charged-possession-and  https://www.justice.gov/usao-mdfl/pr/former-hillsborough-community-college-professor-pleads-guilty-possession-and</t>
  </si>
  <si>
    <t>http://archive.fo/a39Dq</t>
  </si>
  <si>
    <t>http://archive.fo/3sNud</t>
  </si>
  <si>
    <t>Logan Gienger</t>
  </si>
  <si>
    <t>https://www.justice.gov/usao-sd/pr/rapid-city-man-sentenced-attempted-receipt-child-pornography-3</t>
  </si>
  <si>
    <t>Christopher Howerton</t>
  </si>
  <si>
    <t>October 24, 2018</t>
  </si>
  <si>
    <t>https://www.justice.gov/usao-edva/pr/suffolk-man-sentenced-prison-child-pornography</t>
  </si>
  <si>
    <t>https://virginia.arrests.org/Arrests/Christopher_Howerton_38725682/</t>
  </si>
  <si>
    <t>Amaris Mae Wyman</t>
  </si>
  <si>
    <t>https://www.justice.gov/usao-wdmi/pr/2019_0912_Wyman</t>
  </si>
  <si>
    <t>https://www.courtlistener.com/docket/8099560/united-states-v-wyman/</t>
  </si>
  <si>
    <t>Ashu Joshi</t>
  </si>
  <si>
    <t>https://www.justice.gov/usao-edmo/pr/st-louis-doctor-pleads-guilty-distribution-child-pornography , https://www.justice.gov/usao-edmo/pr/judge-sentences-st-louis-doctor-distribution-child-pornography</t>
  </si>
  <si>
    <t>https://fox2now.com/news/missouri/sunset-hills-doctor-admits-to-child-pornography-possession/ , https://www.stltoday.com/news/local/crime-and-courts/st-louis-county-doctor-concocted-sham-marriage-to-dodge-child-porn-charges-lawyer-says/article_daaca764-2496-5dbd-ba68-ebd173f8d785.html</t>
  </si>
  <si>
    <t>https://archive.vn/wip/raj0k</t>
  </si>
  <si>
    <t>https://archive.vn/wip/CWkcj</t>
  </si>
  <si>
    <t>Eric Canchola</t>
  </si>
  <si>
    <t>October 25, 2018</t>
  </si>
  <si>
    <t>https://www.justice.gov/usao-ndil/pr/creston-man-indicted-child-pornography-charges</t>
  </si>
  <si>
    <t>https://www.courtlistener.com/docket/8086667/united-states-v-canchola/</t>
  </si>
  <si>
    <t>Robert Christopher England,</t>
  </si>
  <si>
    <t>https://www.justice.gov/usao-edky/pr/middlesboro-man-convicted-child-pornography-charges</t>
  </si>
  <si>
    <t>Christina B. Mitchell</t>
  </si>
  <si>
    <t>https://www.justice.gov/usao-edky/pr/south-carolina-man-pleads-guilt-production-and-receipt-child-pornography</t>
  </si>
  <si>
    <t>Jonathan Edward Manigault (Mitchell et al)</t>
  </si>
  <si>
    <t>https://www.justice.gov/usao-edky/pr/south-carolina-man-pleads-guilt-production-and-receipt-child-pornography , https://www.justice.gov/usao-edky/pr/south-carolina-man-sentenced-40-years-production-and-receipt-child-pornography</t>
  </si>
  <si>
    <t>https://www.cbp.gov/newsroom/local-media-release/border-patrol-stops-tractor-trailer-finds-9-immigrants-inside</t>
  </si>
  <si>
    <t>October 27, 2018</t>
  </si>
  <si>
    <t>https://www.cbp.gov/newsroom/local-media-release/yuma-sector-border-patrol-halts-human-smuggling-attempt</t>
  </si>
  <si>
    <t>David Grunden</t>
  </si>
  <si>
    <t>October 30, 2018</t>
  </si>
  <si>
    <t>https://www.fbi.gov/contact-us/field-offices/cleveland/news/press-releases/arrest-made-in-child-pornography-case</t>
  </si>
  <si>
    <t>https://www.justice.gov/usao-ndoh/pr/lisbon-man-indicted-child-pornography-crimes-0 https://www.justice.gov/usao-ndoh/pr/lisbon-man-arrested-and-charged-soliciting-adults-have-sex-children</t>
  </si>
  <si>
    <t>Terry Gutshall</t>
  </si>
  <si>
    <t>https://www.fbi.gov/contact-us/field-offices/cleveland/news/press-releases/mansfield-man-arrested-for-child-pornography</t>
  </si>
  <si>
    <t>https://www.justice.gov/usao-ndoh/pr/men-mansfield-and-curtice-indicted-child-pornography-crimes</t>
  </si>
  <si>
    <t>https://www.courtlistener.com/?q=&amp;type=r&amp;order_by=score+desc&amp;docket_number=1%3A18-cr-00702&amp;court=ohnd</t>
  </si>
  <si>
    <t>Bryan J Cooney</t>
  </si>
  <si>
    <t>https://www.justice.gov/usao-mdfl/pr/former-emergency-medical-technician-pleads-guilty-possession-child-pornography</t>
  </si>
  <si>
    <t>https://www.mynews13.com/fl/orlando/news/2019/03/21/ex-emt-faces-federal-prison-for-child-porn</t>
  </si>
  <si>
    <t>http://archive.fo/3aqP6</t>
  </si>
  <si>
    <t>http://archive.fo/sNLfs</t>
  </si>
  <si>
    <t>https://www.cbp.gov/newsroom/local-media-release/us-teenager-arrested-human-smuggling</t>
  </si>
  <si>
    <t>Dillon Boyington</t>
  </si>
  <si>
    <t>October 31, 2018</t>
  </si>
  <si>
    <t>https://www.justice.gov/usao-wdny/pr/gates-man-arrested-attempting-have-have-sex-14-year-old-child</t>
  </si>
  <si>
    <t>https://www.justice.gov/usao-wdny/pr/gates-man-who-attempted-lure-teenager-sex-pleads-guilty</t>
  </si>
  <si>
    <t>Ishi Woney</t>
  </si>
  <si>
    <t>https://www.justice.gov/usao-sdny/pr/individual-arrested-sex-trafficking-and-other-offenses-connection-missing-person</t>
  </si>
  <si>
    <t>https://www.courtlistener.com/docket/8127995/united-states-v-woney/</t>
  </si>
  <si>
    <t>Charles S Leis</t>
  </si>
  <si>
    <t>Project Safe Childhood-CP &amp; enticement related charges</t>
  </si>
  <si>
    <t>https://www.justice.gov/usao-mdfl/pr/retired-navy-service-member-pleads-guilty-attempted-enticement-minors-engage-sexual</t>
  </si>
  <si>
    <t>http://www.madisonfl.net/blog/retired-navy-service-member-charles-s-leis-pleads-guilty-to-attempted-enticement-of-minors-to-engage-in-sexual-activity-and-possession-of-child-pornography/</t>
  </si>
  <si>
    <t>Elijah Winchester</t>
  </si>
  <si>
    <t>https://www.justice.gov/usao-wdpa/pr/beaver-county-man-charged-possessing-child-porn-videos , https://www.justice.gov/usao-wdpa/pr/beaver-county-man-sentenced-10-years-prison-possessing-videos-him-sexually-exploiting</t>
  </si>
  <si>
    <t>https://www.courtlistener.com/docket/8105933/united-states-v-winchester/</t>
  </si>
  <si>
    <t>Jordan Bridges</t>
  </si>
  <si>
    <t>Kenneth Betts</t>
  </si>
  <si>
    <t>https://www.justice.gov/usao-wdky/pr/former-lmpd-officer-pleads-guilty-enticing-minors-distribution-and-possession-child</t>
  </si>
  <si>
    <t>https://www.whas11.com/article/news/crime/ex-lmpd-officer-kenneth-betts-pleads-guilty-to-explorer-program-sex-crimes/417-618428184</t>
  </si>
  <si>
    <t>Marqueal Bonds</t>
  </si>
  <si>
    <t>https://www.justice.gov/usao-edpa/pr/chicago-man-pleads-guilty-engaging-internet-based-child-exploitation-enterprise-and , https://www.justice.gov/usao-edpa/pr/chicago-man-sentenced-22-years-engaging-nationwide-online-child-exploitation-enterprise</t>
  </si>
  <si>
    <t>https://www.courtlistener.com/?q=&amp;type=r&amp;order_by=score+desc&amp;docket_number=2%3A19-cr-00128&amp;court=paed</t>
  </si>
  <si>
    <t>Shaun M Stoneham</t>
  </si>
  <si>
    <t>https://www.courtlistener.com/docket/8170484/united-states-v-stoneham/</t>
  </si>
  <si>
    <t>Sean P McElhatten</t>
  </si>
  <si>
    <t>https://www.courtlistener.com/docket/8169884/united-states-v-mcelhatten/</t>
  </si>
  <si>
    <t>Daniel Rehman</t>
  </si>
  <si>
    <t>https://www.justice.gov/usao-wdmo/pr/joplin-man-charged-child-pornography-0</t>
  </si>
  <si>
    <t>https://www.courtlistener.com/docket/8202823/united-states-v-rehman-bfont-colorreddo-not-file-in-this-case/</t>
  </si>
  <si>
    <t>Stuart Ravn</t>
  </si>
  <si>
    <t>https://www.justice.gov/usao-ak/pr/anchorage-man-charged-possession-child-pornography</t>
  </si>
  <si>
    <t>https://www.courtlistener.com/docket/14643626/united-states-v-ravn/</t>
  </si>
  <si>
    <t>John R Garrett</t>
  </si>
  <si>
    <t>https://www.courtlistener.com/docket/8217261/united-states-v-garrett/</t>
  </si>
  <si>
    <t>Jose Carillo-Estupinan</t>
  </si>
  <si>
    <t>November 21, 2018 November 21, 2018</t>
  </si>
  <si>
    <t>November 21, 2018</t>
  </si>
  <si>
    <t>http://www.wtoc.com/2018/11/21/bluffton-man-arrested-after-admitting-uploading-child-pornography/</t>
  </si>
  <si>
    <t>Robert Lee Johnson</t>
  </si>
  <si>
    <t>https://www.justice.gov/usao-mdpa/pr/york-county-man-indicted-sex-trafficking</t>
  </si>
  <si>
    <t>Albert Larry Jr</t>
  </si>
  <si>
    <t>https://www.justice.gov/usao-ndil/pr/federal-indictment-charges-suburban-man-sex-trafficking</t>
  </si>
  <si>
    <t>https://www.courtlistener.com/docket/8169301/united-states-v-larry/</t>
  </si>
  <si>
    <t>Jeffrey Porch</t>
  </si>
  <si>
    <t>https://www.justice.gov/usao-wdpa/pr/pittsburgh-man-indicted-charges-relating-sexual-exploitation-minors , https://www.justice.gov/usao-wdpa/pr/pittsburgh-man-pleads-guilty-producing-pornographic-photos-children</t>
  </si>
  <si>
    <t>https://www.courtlistener.com/docket/8431418/united-states-v-porch/</t>
  </si>
  <si>
    <t>John David Martin</t>
  </si>
  <si>
    <t>https://www.justice.gov/usao-wdpa/pr/bradford-county-man-admits-possessing-child-pornography   https://www.justice.gov/usao-wdpa/pr/bradford-county-man-sentenced-possessing-child-pornography</t>
  </si>
  <si>
    <t>https://www.courtlistener.com/docket/8411205/united-states-v-martin/</t>
  </si>
  <si>
    <t>Jesse Porter</t>
  </si>
  <si>
    <t>November  2018</t>
  </si>
  <si>
    <t>Project Safe Chldhood-CP distribution &amp; related charges</t>
  </si>
  <si>
    <t>https://www.justice.gov/usao-wdpa/pr/elk-county-man-facing-multiple-child-pornography-charges</t>
  </si>
  <si>
    <t>Zachary S Gauthier</t>
  </si>
  <si>
    <t>Project Safe Childhood-Transportation of a minor to engage sexual conduct , CP related charges</t>
  </si>
  <si>
    <t>https://www.justice.gov/usao-edwi/pr/manitowoc-county-man-who-absconded-extended-supervision-vehicular-homicide-charges</t>
  </si>
  <si>
    <t>https://www.courtlistener.com/?q=&amp;type=r&amp;order_by=score+desc&amp;docket_number=1%3A19-cr-00017&amp;court=wied</t>
  </si>
  <si>
    <t>Carlos Arturo Rodezno-Quintanilla</t>
  </si>
  <si>
    <t>Project Safe Childhood-Transport of a minor for sexual purposes</t>
  </si>
  <si>
    <t>https://www.justice.gov/usao-edva/pr/illegal-alien-pleads-guilty-transporting-minor-sexual-purposes</t>
  </si>
  <si>
    <t>David Hughes</t>
  </si>
  <si>
    <t>https://www.justice.gov/usao-vt/pr/rutland-man-charged-production-and-possession-child-pornography , https://www.justice.gov/usao-vt/pr/rutland-man-sentenced-possession-child-pornography</t>
  </si>
  <si>
    <t>https://www.courtlistener.com/docket/14587828/united-states-v-hughes/</t>
  </si>
  <si>
    <t>Kevin Douglas Jenkins</t>
  </si>
  <si>
    <t>https://www.justice.gov/usao-sdms/pr/pelahatchie-man-pleads-guilty-producing-child-pornography, https://www.justice.gov/usao-sdms/pr/pelahatchie-man-sentenced-over-21-years-prison-producing-child-pornography</t>
  </si>
  <si>
    <t>http://www.wlbt.com/2019/01/29/pelahatchie-man-pleads-guilty-making-child-pornography/</t>
  </si>
  <si>
    <t>https://www.courtlistener.com/docket/8145377/united-states-v-jenkins/</t>
  </si>
  <si>
    <t>William Gauvin</t>
  </si>
  <si>
    <t>November 1, 2018</t>
  </si>
  <si>
    <t>Project Safe Childhood-CP &amp; Sex trafficking of a minor</t>
  </si>
  <si>
    <t>https://www.justice.gov/usao-ct/pr/massachusetts-man-sentenced-5-years-prison-paying-minor-engage-sexual-activity-over-skype</t>
  </si>
  <si>
    <t>https://wilton.dailyvoice.com/news/man-admits-paying-minor-to-perform-sex-acts-over-skype/742475/</t>
  </si>
  <si>
    <t>https://www.courtlistener.com/docket/14664033/united-states-v-gauvin/</t>
  </si>
  <si>
    <t>November</t>
  </si>
  <si>
    <t>Randall Tilton</t>
  </si>
  <si>
    <t>https://www.justice.gov/usao-ct/pr/navy-mechanic-admits-sexually-assaulting-7-young-girls-producing-child-pornography</t>
  </si>
  <si>
    <t>https://www.theday.com/article/20201207/NWS04/201209569</t>
  </si>
  <si>
    <t>https://archive.vn/BnqSO</t>
  </si>
  <si>
    <t>Thomas Close</t>
  </si>
  <si>
    <t>https://www.justice.gov/usao-ndoh/pr/richland-county-boy-scout-official-arrested-and-charged-production-child-pornography</t>
  </si>
  <si>
    <t>https://www.wkbn.com/news/ohio/northern-ohio-boy-scout-leader-accused-of-recording-children-changing/1573926476</t>
  </si>
  <si>
    <t>Helen Kim</t>
  </si>
  <si>
    <t>https://www.justice.gov/usao-ndtx/pr/sting-operation-nabs-spa-proprietor-mongering-illicit-sex</t>
  </si>
  <si>
    <t>Eugene Latrell McNeely</t>
  </si>
  <si>
    <t>https://www.justice.gov/usao-ndca/pr/east-bay-man-sentenced-14-years-prison-transporting-minor-across-state-lines-prostitute</t>
  </si>
  <si>
    <t>Michael Jonathan Pankey</t>
  </si>
  <si>
    <t>https://www.justice.gov/usao-edmi/pr/detroit-man-sentenced-40-years-child-exploitation-crimes</t>
  </si>
  <si>
    <t>https://www.clickondetroit.com/news/detroit-man-sentenced-to-prison-after-admitting-to-molesting-taking-explicit-photos-of-child</t>
  </si>
  <si>
    <t>http://archive.fo/02zWK</t>
  </si>
  <si>
    <t>http://archive.fo/aJf7l</t>
  </si>
  <si>
    <t>Jamie Brock Grubb</t>
  </si>
  <si>
    <t>https://www.justice.gov/usao-mt/pr/bozeman-man-admits-child-porn-cyberstalking-charges</t>
  </si>
  <si>
    <t>https://kpax.com/news/crime-and-courts/2019/02/01/bozeman-man-admits-child-porn-cyberstalking-charges/</t>
  </si>
  <si>
    <t>November 4, 2018</t>
  </si>
  <si>
    <t>https://www.cbp.gov/newsroom/local-media-release/border-patrol-utilizes-new-immobilization-device-stop-fleeing-vehicle</t>
  </si>
  <si>
    <t>Harry 'HL' Moody</t>
  </si>
  <si>
    <t>November 5, 2018</t>
  </si>
  <si>
    <t>https://milnenews.com/2018/11/28/former-chairman-for-the-democratic-party-charged-with-distribution-of-child-pornography/</t>
  </si>
  <si>
    <t>https://www.justice.gov/usao-edar/pr/little-rock-man-arrested-child-pornography-charges-following-online-investigation</t>
  </si>
  <si>
    <t>https://archive.vn/Bz346</t>
  </si>
  <si>
    <t>https://archive.vn/wip/CajRe</t>
  </si>
  <si>
    <t>November 6, 2018</t>
  </si>
  <si>
    <t>https://www.cbp.gov/newsroom/local-media-release/border-patrol-agents-arrest-suspected-driver-smuggling-case</t>
  </si>
  <si>
    <t>Richard John Massey</t>
  </si>
  <si>
    <t>https://www.justice.gov/usao-sdia/pr/council-bluffs-man-arrested-sex-trafficking-minor , https://www.justice.gov/usao-sdia/pr/council-bluffs-man-sentenced-travel-intent-engage-illicit-sexual-conduct</t>
  </si>
  <si>
    <t>https://www.courtlistener.com/docket/8152718/united-states-v-massey/</t>
  </si>
  <si>
    <t>Wayne Benjamin Wasson</t>
  </si>
  <si>
    <t>https://www.justice.gov/usao-ks/pr/registered-sex-offender-kansas-convicted-federal-child-porn-charges</t>
  </si>
  <si>
    <t>John Bryan Snow</t>
  </si>
  <si>
    <t>Project Safe Childhood-Impersonating a US Marshal, CP production &amp; related charges</t>
  </si>
  <si>
    <t>https://www.justice.gov/usao-mdpa/pr/york-county-man-sentenced-fifteen-years-producing-child-pornography-and-impersonating</t>
  </si>
  <si>
    <t xml:space="preserve">https://archive.vn/?run=1&amp;url=https://www.ydr.com/story/news/crime/2018/11/06/york-county-man-indicted-impersonating-us-marshal-child-exploitation/1905968002/https://truecrimedaily.com/2020/11/16/pennsylvania-man-posing-as-u-s-marshal-forced-sex-acts-on-teen-for-undercover-training/ , </t>
  </si>
  <si>
    <t>https://archive.vn/wip/oQiWe</t>
  </si>
  <si>
    <t>https://archive.vn/gWdIF</t>
  </si>
  <si>
    <t>https://www.cbp.gov/newsroom/local-media-release/border-patrol-foils-dangerous-human-smuggling-incident</t>
  </si>
  <si>
    <t>Gregory Graffeo</t>
  </si>
  <si>
    <t>November 7, 2018</t>
  </si>
  <si>
    <t>https://katc.com/news/around-acadiana/lafayette-parish/2018/11/08/police-3-arrested-on-child-porn-charges-in-lafayette-parish/</t>
  </si>
  <si>
    <t>James Early</t>
  </si>
  <si>
    <t>https://www.justice.gov/usao-sdny/pr/pennsylvania-man-sentenced-25-years-prison-his-sexual-enticement-sullivan-county-minor</t>
  </si>
  <si>
    <t>Bobby Melancon</t>
  </si>
  <si>
    <t>William David Turley</t>
  </si>
  <si>
    <t>https://www.justice.gov/usao-sdca/pr/attorney-sentenced-46-months-enticement-and-coercion-engage-prostitution</t>
  </si>
  <si>
    <t>https://timesofsandiego.com/crime/2020/03/02/san-diego-lawyer-gets-46-month-term-for-sex-via-sugardaddymeet-com/</t>
  </si>
  <si>
    <t>https://archive.vn/TwXrK</t>
  </si>
  <si>
    <t>https://archive.vn/kcWRN</t>
  </si>
  <si>
    <t>Trevor Engle</t>
  </si>
  <si>
    <t>https://www.justice.gov/usao-wdla/pr/lafayette-man-pleads-guilty-possessing-300-child-pornography-images-cell-phone</t>
  </si>
  <si>
    <t>Tracy Todd Presson</t>
  </si>
  <si>
    <t>https://www.justice.gov/usao-wdmo/pr/gainesville-man-pleads-guilty-sexual-exploitation-minor</t>
  </si>
  <si>
    <t>James Traband</t>
  </si>
  <si>
    <t>https://www.justice.gov/usao-edpa/pr/previously-convicted-sex-offender-sentenced-decades-federal-prison-distribution-and</t>
  </si>
  <si>
    <t>https://www.courtlistener.com/?q=&amp;type=r&amp;order_by=score+desc&amp;docket_number=2%3A18-cr-00506&amp;court=paed</t>
  </si>
  <si>
    <t>Michael B. Clark</t>
  </si>
  <si>
    <t>https://www.justice.gov/usao-edky/pr/independence-man-sentenced-192-months-distributing-child-pornography</t>
  </si>
  <si>
    <t>George R Jeffery</t>
  </si>
  <si>
    <t xml:space="preserve">https://www.dailymail.co.uk/news/article-6383669/Georgia-lawyer-accused-sexually-exploiting-children.html </t>
  </si>
  <si>
    <t>https://www.justice.gov/usao-mdga/pr/federal-grand-jury-returns-indictment-charging-monroe-man , https://www.justice.gov/usao-mdga/pr/former-walton-co-probate-judge-sentenced-15-years-prison-attempted-online-enticement-0</t>
  </si>
  <si>
    <t>https://archive.vn/vcOpr</t>
  </si>
  <si>
    <t>https://archive.vn/7EN1t</t>
  </si>
  <si>
    <t>Joshua Bemis</t>
  </si>
  <si>
    <t>https://www.justice.gov/usao-ma/pr/natick-man-arrested-child-pornography</t>
  </si>
  <si>
    <t>Lothar Krauth</t>
  </si>
  <si>
    <t>https://www.justice.gov/usao-mt/pr/great-falls-man-charged-child-pornography-case   https://www.ice.gov/news/releases/montana-man-81-admits-possessing-child-pornography</t>
  </si>
  <si>
    <t>https://thegoldwater.com/news/43583-Montana-80-Yr-Old-Catholic-Priest-Busted-for-400-Images-and-210-DVDs-of-Child-Porn</t>
  </si>
  <si>
    <t>https://www.cbp.gov/newsroom/local-media-release/border-patrol-agents-discover-illegal-aliens-refrigerated-trailer-0</t>
  </si>
  <si>
    <t>https://www.cbp.gov/newsroom/local-media-release/pursuit-ensues-border-patrol-checkpoint-and-yields-52-illegal-aliens</t>
  </si>
  <si>
    <t>November 11, 2018</t>
  </si>
  <si>
    <t>https://www.cbp.gov/newsroom/local-media-release/us-border-patrol-stops-2-human-smuggling-attempts</t>
  </si>
  <si>
    <t>Anupam Biswas</t>
  </si>
  <si>
    <t>November 12, 2018</t>
  </si>
  <si>
    <t>https://www.justice.gov/usao-sdny/pr/acting-us-attorney-charges-former-westchester-resident-distributing-and-possessing</t>
  </si>
  <si>
    <t>https://www.courtlistener.com/docket/6674299/united-states-v-biswas/</t>
  </si>
  <si>
    <t>Marcus Henry Benjamin</t>
  </si>
  <si>
    <t>https://www.justice.gov/usao-sdia/pr/iowa-city-man-sentenced-90-months-prison-receiving-child-pornography</t>
  </si>
  <si>
    <t>https://www.courtlistener.com/docket/14503314/united-states-v-benjamin/</t>
  </si>
  <si>
    <t>Simon Hessler</t>
  </si>
  <si>
    <t>https://www.justice.gov/usao-ct/pr/ellington-man-pleads-guilty-producing-child-pornography , https://www.justice.gov/usao-ct/pr/ellington-man-sentenced-nearly-29-years-federal-prison-child-exploitation-offenses</t>
  </si>
  <si>
    <t>https://www.nbcconnecticut.com/news/local/ellington-man-accused-of-having-sex-dungeon-pleads-guilty-to-federal-charges/2193282/</t>
  </si>
  <si>
    <t>https://archive.vn/wip/Hka0w</t>
  </si>
  <si>
    <t>https://archive.vn/XgPfh</t>
  </si>
  <si>
    <t>Marcos Perez Almonte</t>
  </si>
  <si>
    <t>November 14, 2018</t>
  </si>
  <si>
    <t>https://www.fbi.gov/contact-us/field-offices/sanjuan/news/press-releases/federal-charges-for-attempted-sexual-trafficking-of-children-1</t>
  </si>
  <si>
    <t>Jose Carrillo</t>
  </si>
  <si>
    <t>November 15, 2018</t>
  </si>
  <si>
    <t>https://www.justice.gov/usao-edpa/pr/oxford-man-indicted-trafficking-child-pornography</t>
  </si>
  <si>
    <t>https://www.courtlistener.com/?q=&amp;type=r&amp;order_by=score+desc&amp;docket_number=2%3A18-cr-00522&amp;court=paed</t>
  </si>
  <si>
    <t>Thomas Cross / Desiree Daigle</t>
  </si>
  <si>
    <t>https://www.justice.gov/usao-ma/pr/amesbury-man-and-salisbury-woman-arrested-child-pornography-offenses-including-production</t>
  </si>
  <si>
    <t>https://www.courtlistener.com/?q=&amp;type=r&amp;order_by=score+desc&amp;docket_number=1%3A18-cr-10472&amp;court=mad</t>
  </si>
  <si>
    <t>Jace Faugno</t>
  </si>
  <si>
    <t>November 16, 2018</t>
  </si>
  <si>
    <t>https://www.justice.gov/usao-sdil/pr/st-louis-man-indicted-child-pornography</t>
  </si>
  <si>
    <t>https://www.firefightingnews.com/airman-firefighter-is-accused-of-distributing-child-porn-from-work/</t>
  </si>
  <si>
    <t>https://www.cbp.gov/newsroom/local-media-release/tempe-men-arrested-willcox-alien-smuggling</t>
  </si>
  <si>
    <t>Raymond Gliottone</t>
  </si>
  <si>
    <t>https://www.justice.gov/usao-ri/pr/two-arrested-enticement-child-pornography-charges</t>
  </si>
  <si>
    <t>Joseph Patrick Mosher</t>
  </si>
  <si>
    <t>https://www.justice.gov/usao-edtx/pr/carrollton-man-indicted-child-sexual-exploitation-violations</t>
  </si>
  <si>
    <t>https://dfw.cbslocal.com/2018/11/28/man-accused-secretly-filming-boys/</t>
  </si>
  <si>
    <t>November 19, 2018</t>
  </si>
  <si>
    <t>https://www.cbp.gov/newsroom/local-media-release/border-patrol-agents-find-3-human-smuggling-attempt</t>
  </si>
  <si>
    <t>Nader Ahmed</t>
  </si>
  <si>
    <t>November 20, 2018</t>
  </si>
  <si>
    <t>https://www.justice.gov/usao-nj/pr/hudson-county-man-charged-distributing-child-pornography</t>
  </si>
  <si>
    <t>Paul Stabile Jr</t>
  </si>
  <si>
    <t>https://www.justice.gov/usao-ri/pr/two-arrested-enticement-child-pornography-charges, https://www.justice.gov/usao-ri/pr/cranston-man-sentenced-more-12-years-enticing-minors-online</t>
  </si>
  <si>
    <t>https://www.courtlistener.com/docket/15671949/united-states-v-stabile-jr/</t>
  </si>
  <si>
    <t>https://www.cbp.gov/newsroom/local-media-release/border-patrol-agents-uncover-smuggling-attempt</t>
  </si>
  <si>
    <t>Hector Vinicio Howell-Calvo</t>
  </si>
  <si>
    <t>November 23, 2018</t>
  </si>
  <si>
    <t>https://www.justice.gov/usao-ndny/pr/canadian-resident-arrested-alien-smuggling</t>
  </si>
  <si>
    <t>November 25, 2018</t>
  </si>
  <si>
    <t>https://www.cbp.gov/newsroom/local-media-release/phoenix-man-arrested-human-smuggling</t>
  </si>
  <si>
    <t>Robert Chapline</t>
  </si>
  <si>
    <t>https://www.justice.gov/usao-wdny/pr/hamburg-man-pleads-guilty-production-child-pornography</t>
  </si>
  <si>
    <t>Arthur Gurbey</t>
  </si>
  <si>
    <t>November 27, 2018</t>
  </si>
  <si>
    <t>https://www.justice.gov/usao-ndny/pr/green-island-man-arrested-child-pornography-charges , https://www.justice.gov/usao-ndny/pr/green-island-man-pleads-guilty-receipt-and-possession-child-pornography</t>
  </si>
  <si>
    <t>https://www.courtlistener.com/docket/8405979/united-states-v-gurbey/</t>
  </si>
  <si>
    <t>Clifford Mecham Jr</t>
  </si>
  <si>
    <t>https://www.justice.gov/usao-sdtx/pr/septuagenarian-heads-prison-possessing-over-30k-images-morphed-child-pornography</t>
  </si>
  <si>
    <t>https://www.courtlistener.com/?q=&amp;type=r&amp;order_by=score+desc&amp;docket_number=2%3A18-cr-01339&amp;court=txsd</t>
  </si>
  <si>
    <t>Daniel Arlie Nash</t>
  </si>
  <si>
    <t>https://www.docketbird.com/court-documents/USA-v-Nash/ORDER-OF-DETENTION-as-to-Daniel-Arlie-Nash-Signed-by-Magistrate-Judge-Deborah-M-Fine-on-11-29-2018/azd-3:2018-cr-08262-1114498-00015</t>
  </si>
  <si>
    <t>Daren W. Phillips</t>
  </si>
  <si>
    <t>https://www.justice.gov/usao-nv/pr/reno-man-pleads-guilty-possessing-nearly-4800-images-and-videos-child-pornography , https://www.justice.gov/usao-nv/pr/reno-man-sentenced-prison-possessing-thousands-images-and-videos-child-sexual-abuse</t>
  </si>
  <si>
    <t>Oscar Sepulveda</t>
  </si>
  <si>
    <t>https://www.justice.gov/usao-ndca/pr/bay-area-man-sentenced-nine-years-prison-distributing-and-possessing-child-pornography</t>
  </si>
  <si>
    <t>Kyle Wallace</t>
  </si>
  <si>
    <t>November 30, 2018</t>
  </si>
  <si>
    <t>https://www.justice.gov/usao-mdfl/pr/tampa-man-charged-enticing-children-video-game-system-create-and-send-child-pornography</t>
  </si>
  <si>
    <t>https://www.courtlistener.com/docket/14875530/united-states-v-wallace/</t>
  </si>
  <si>
    <t>James Rapier</t>
  </si>
  <si>
    <t>https://www.justice.gov/usao-sdoh/pr/35-year-sentence-habitual-sex-offender-who-produced-child-pornography</t>
  </si>
  <si>
    <t>https://www.courtlistener.com/docket/14500047/united-states-v-rapier/</t>
  </si>
  <si>
    <t>Brianna N Stanley</t>
  </si>
  <si>
    <t>https://www.breitbart.com/border/2018/12/04/nc-teacher-accused-of-sex-with-12-year-old-student-child-pornography/</t>
  </si>
  <si>
    <t>Anh Duong</t>
  </si>
  <si>
    <t>https://www.justice.gov/usao-edla/pr/woman-charged-transportation-individuals-interstate-commerce-prostitution</t>
  </si>
  <si>
    <t>Yusnier Perez-Canet</t>
  </si>
  <si>
    <t>https://www.justice.gov/usao-ndoh/pr/california-man-indicted-transporting-five-illegal-aliens</t>
  </si>
  <si>
    <t>https://www.courtlistener.com/docket/8357844/united-states-v-perez-canet/</t>
  </si>
  <si>
    <t>Chase Franklin Ramos</t>
  </si>
  <si>
    <t>https://www.justice.gov/usao-wdky/pr/louisville-man-sentenced-25-years-advertising-transporting-and-possessing-child</t>
  </si>
  <si>
    <t>https://www.courtlistener.com/docket/8364519/united-states-v-ramos/</t>
  </si>
  <si>
    <t>Sean Michael Fryer</t>
  </si>
  <si>
    <t>https://www.justice.gov/usao-mdpa/pr/wyoming-county-man-charged-child-exploitation-crimes</t>
  </si>
  <si>
    <t>https://m.wcexaminer.com/news/man-charged-with-child-exploitation-1.2423466</t>
  </si>
  <si>
    <t>Dustin Davis</t>
  </si>
  <si>
    <t>https://www.justice.gov/usao-ndoh/pr/lima-man-indicted-child-pornography-offenses , https://www.justice.gov/usao-ndoh/pr/men-lima-and-willard-sentenced-prison-child-pornography-crimes</t>
  </si>
  <si>
    <t>https://www.courtlistener.com/docket/8403265/united-states-v-davis/</t>
  </si>
  <si>
    <t>Corena Marie Mountain Chief</t>
  </si>
  <si>
    <t>Sex trafficking and sexual abuse of a minor</t>
  </si>
  <si>
    <t>https://www.greatfallstribune.com/story/news/2018/12/06/great-falls-montana-child-sex-trafficking-abuse-crime/2228598002/</t>
  </si>
  <si>
    <t>https://www.yahoo.com/news/extremely-disturbing-montana-woman-gets-035111592.html</t>
  </si>
  <si>
    <t>https://archive.vn/wip/JwPAD</t>
  </si>
  <si>
    <t>https://archive.vn/wip/kkH3g</t>
  </si>
  <si>
    <t>Eugene Edwin Sherbondy</t>
  </si>
  <si>
    <t>Sex traffickng of a minor</t>
  </si>
  <si>
    <t xml:space="preserve">https://www.greatfallstribune.com/story/news/2018/12/06/great-falls-montana-child-sex-trafficking-abuse-crime/2228598002/ </t>
  </si>
  <si>
    <t>https://archive.vn/pQKa5</t>
  </si>
  <si>
    <t>Joshua Clutter</t>
  </si>
  <si>
    <t>https://www.justice.gov/usao-ne/pr/lincoln-man-sentenced-10-years-child-pornography</t>
  </si>
  <si>
    <t>Darryl Wayne Griffin Sr</t>
  </si>
  <si>
    <t>https://www.justice.gov/usao-sdms/pr/carriere-man-pleads-guilty-child-pornography-charges</t>
  </si>
  <si>
    <t>Jack Lee</t>
  </si>
  <si>
    <t>https://www.justice.gov/usao-ne/pr/omaha-man-sentenced-66-months-transporting-child-pornography</t>
  </si>
  <si>
    <t>Edd Scafidel Jr</t>
  </si>
  <si>
    <t>https://www.justice.gov/usao-edla/pr/ponchatoula-man-pleads-guilty-receiving-child-pornography</t>
  </si>
  <si>
    <t>Robert Milton Kimber II</t>
  </si>
  <si>
    <t>https://www.justice.gov/usao-sdia/pr/iowa-man-sentenced-prison-possession-child-pornography</t>
  </si>
  <si>
    <t>https://www.courtlistener.com/docket/13541489/united-states-v-kimber/</t>
  </si>
  <si>
    <t>Brandon Hall</t>
  </si>
  <si>
    <t>https://www.justice.gov/usao-wdla/pr/former-fort-polk-soldier-sentenced-15-years-federal-prison-producing-child-pornography</t>
  </si>
  <si>
    <t>Todd Matthew Jones</t>
  </si>
  <si>
    <t>https://www.justice.gov/usao-mdga/pr/augusta-man-pleads-guilty-columbus-child-sexual-abuse-case</t>
  </si>
  <si>
    <t>Gerald Allen Beaudeaux</t>
  </si>
  <si>
    <t>https://www.justice.gov/usao-wdla/pr/cybertip-report-leads-lengthy-prison-sentence-vinton-resident</t>
  </si>
  <si>
    <t>Jason Schwartz</t>
  </si>
  <si>
    <t>https://www.justice.gov/usao-wdny/pr/rochester-man-pleads-guilty-possession-child-pornography-4</t>
  </si>
  <si>
    <t>Jonathan Young/Dick Myers/Clifton Smith</t>
  </si>
  <si>
    <t>December 3, 2018</t>
  </si>
  <si>
    <t>https://www.wsbtv.com/news/local/cobb-county/8-arrested-in-prostitution-undercover-sex-sting-at-metro-atlanta-hotel/882581640</t>
  </si>
  <si>
    <t>David Vogelpohl</t>
  </si>
  <si>
    <t>https://www.justice.gov/usao-ndia/pr/california-man-charged-sexual-exploitation-child</t>
  </si>
  <si>
    <t>https://www.kimt.com/content/news/Man-charged-with-sexual-exploitation-of-child-in-connection-to-Mason-City-case-501892761.html</t>
  </si>
  <si>
    <t>https://www.courtlistener.com/docket/8405182/united-states-v-vogelpohl/</t>
  </si>
  <si>
    <t>Brian Orlandella</t>
  </si>
  <si>
    <t>https://www.justice.gov/usao-ma/pr/lynn-district-court-assistant-chief-probation-officer-arrested-sexually-exploiting-child</t>
  </si>
  <si>
    <t>https://www.wcvb.com/article/feds-accuse-probation-officer-of-child-sex-crimes/25384378</t>
  </si>
  <si>
    <t>https://www.courtlistener.com/?q=&amp;type=r&amp;order_by=score+desc&amp;docket_number=1%3A19-cr-10010&amp;court=mad</t>
  </si>
  <si>
    <t>Larry Jamieson</t>
  </si>
  <si>
    <t>http://www.surfsantamonica.com/ssm_site/the_lookout/news/News-2018/December-2018/12_05_2018_Santa_Monica_Big_Blue_Bus_Superintendent_Arrested_for_Possessing_Child_Pornography.html</t>
  </si>
  <si>
    <t>http://archive.fo/uH1EZ</t>
  </si>
  <si>
    <t>http://archive.fo/gQHrC</t>
  </si>
  <si>
    <t>Lt Col Willie Newson</t>
  </si>
  <si>
    <t>December 4, 2018</t>
  </si>
  <si>
    <t>https://thefreethoughtproject.com/air-force-colonel-busted-fbi-child-sting/</t>
  </si>
  <si>
    <t>David Tyler Wilson</t>
  </si>
  <si>
    <t>https://www.justice.gov/usao-edtn/pr/oliver-springs-man-sentenced-262-months-prison-production-and-possession-child</t>
  </si>
  <si>
    <t>https://www.courtlistener.com/docket/8363095/united-states-v-wilson-rlj2/</t>
  </si>
  <si>
    <t>Craig Gillum</t>
  </si>
  <si>
    <t>https://www.justice.gov/usao-edar/pr/tennessee-man-sentenced-23-years-prison-production-child-pornography-involving-arkansas</t>
  </si>
  <si>
    <t>Steven Perry</t>
  </si>
  <si>
    <t>December 5, 2018</t>
  </si>
  <si>
    <t>https://www.justice.gov/usao-ndin/pr/elkhart-man-indicted-possession-and-transportation-child-pornography</t>
  </si>
  <si>
    <t>Justin Hobbie</t>
  </si>
  <si>
    <t>December 6, 2018</t>
  </si>
  <si>
    <t>https://www.justice.gov/usao-ndny/pr/otsego-county-man-arrested-receipt-and-distribution-child-pornography , https://www.justice.gov/usao-ndny/pr/former-cooperstown-teacher-sentenced-200-months-prison-sexually-exploiting-three</t>
  </si>
  <si>
    <t>https://www.thedailystar.com/news/local_news/former-cooperstown-teacher-sentenced-in-child-pornography-case/article_31b67e5e-5b18-5bcb-abcd-270275bb47e8.html</t>
  </si>
  <si>
    <t>https://archive.vn/wip/pIRUH</t>
  </si>
  <si>
    <t>https://archive.vn/eZwJp</t>
  </si>
  <si>
    <t>Robert Gonzalez</t>
  </si>
  <si>
    <t>https://www.justice.gov/usao-wdny/pr/rochester-man-accused-taking-14-yo-girl-nyc-illegally-charged-production-child</t>
  </si>
  <si>
    <t>John Dauenhauer</t>
  </si>
  <si>
    <t>https://www.justice.gov/usao-ndny/pr/liverpool-man-sentenced-20-years-second-child-pornography-conviction</t>
  </si>
  <si>
    <t>https://www.courtlistener.com/?q=&amp;type=r&amp;order_by=score+desc&amp;docket_number=5%3A18-cr-00381&amp;court=nynd</t>
  </si>
  <si>
    <t>David Dehus II /Samantha Miller /Dustin Speakman</t>
  </si>
  <si>
    <t>December 7, 2018</t>
  </si>
  <si>
    <t>https://www.10tv.com/article/12-women-found-columbus-home-identified-possible-victims-human-trafficking</t>
  </si>
  <si>
    <t>Bhavin Patel</t>
  </si>
  <si>
    <t>https://www.justice.gov/usao-nj/pr/indian-national-arrested-and-charged-smuggling-foreign-nationals-united-states-commercial</t>
  </si>
  <si>
    <t>Michael Schamach</t>
  </si>
  <si>
    <t>CP &amp; enticement related charges</t>
  </si>
  <si>
    <t>https://www.justice.gov/usao-edpa/pr/bucks-county-man-detained-enticement-and-attempted-manufacture-child-pornography</t>
  </si>
  <si>
    <t>https://www.courtlistener.com/docket/8448459/united-states-v-schamach/</t>
  </si>
  <si>
    <t>December 9, 2018</t>
  </si>
  <si>
    <t>https://www.cbp.gov/newsroom/local-media-release/sonoita-border-patrol-stops-two-smuggling-attempts</t>
  </si>
  <si>
    <t>Eric C Hacker</t>
  </si>
  <si>
    <t>December 12, 2018</t>
  </si>
  <si>
    <t>https://www.justice.gov/usao-wdmo/pr/kc-man-indicted-child-pornography-arrested-after-stand-police</t>
  </si>
  <si>
    <t>https://www.washingtontimes.com/news/2018/dec/13/child-porn-suspect-caught-after-standoff-near-poli/</t>
  </si>
  <si>
    <t>https://www.courtlistener.com/docket/8402793/united-states-v-hacker/</t>
  </si>
  <si>
    <t>Jake A Cruse</t>
  </si>
  <si>
    <t>https://www.justice.gov/usao-ndny/pr/schaghticoke-man-arrested-transportation-child-pornography https://www.justice.gov/usao-ndny/pr/troy-man-pleads-guilty-child-pornography-charges-0 , https://www.justice.gov/usao-ndny/pr/troy-man-sentenced-125-months-distributing-child-pornography</t>
  </si>
  <si>
    <t>https://www.courtlistener.com/docket/8409868/united-states-v-cruse/</t>
  </si>
  <si>
    <t>Cody Robert Schoh</t>
  </si>
  <si>
    <t>https://www.justice.gov/usao-mdfl/pr/palm-harbor-man-sentenced-federal-prison-receiving-and-possessing-child-sex-abuse</t>
  </si>
  <si>
    <t>https://www.courtlistener.com/docket/14511625/united-states-v-schoh/</t>
  </si>
  <si>
    <t>Shou Chao Li / Derong Miao</t>
  </si>
  <si>
    <t>December 13, 2018</t>
  </si>
  <si>
    <t>https://www.justice.gov/opa/pr/defendants-charged-multiple-counts-related-interstate-prostitution-and-sex-trafficking</t>
  </si>
  <si>
    <t>https://www.courtlistener.com/?q=&amp;type=r&amp;order_by=score+desc&amp;docket_number=2%3A18-cr-00178&amp;court=med</t>
  </si>
  <si>
    <t>Robert Wilfred Boevingloh</t>
  </si>
  <si>
    <t>https://www.justice.gov/usao-edmo/pr/sullivan-man-pleads-guilty-receipt-child-pornography-charges</t>
  </si>
  <si>
    <t>https://www.courtlistener.com/docket/8410730/united-states-v-boevingloh/</t>
  </si>
  <si>
    <t>John Vicencio Vinoya</t>
  </si>
  <si>
    <t>Project Safe Childhodd-Enticement of a minor &amp; CP related charges</t>
  </si>
  <si>
    <t>https://www.justice.gov/usao-ndca/pr/bay-area-man-sentenced-six-years-prison-attempted-receipt-child-pornography</t>
  </si>
  <si>
    <t>Julian Hernandez-Gonzalez</t>
  </si>
  <si>
    <t>December 14, 2018</t>
  </si>
  <si>
    <t>https://www.fbi.gov/contact-us/field-offices/sanjuan/news/press-releases/federal-charges-for-possession-and-distribution-of-child-pornography-against-julian-hernandez-gonzalez</t>
  </si>
  <si>
    <t xml:space="preserve">Elbert Riascos </t>
  </si>
  <si>
    <t>December 15, 2018</t>
  </si>
  <si>
    <t>http://dpsweb.dps.louisiana.gov/lspnewsr.nsf/db14d4e0632f509686256c76005182da/5384b3110721d4d3862583690076851b?OpenDocument</t>
  </si>
  <si>
    <t>Jovan Martin</t>
  </si>
  <si>
    <t>December</t>
  </si>
  <si>
    <t>Sean Michael Howell</t>
  </si>
  <si>
    <t>https://www.justice.gov/usao-sdal/pr/mobile-man-pleads-guilty-producing-child-pornography</t>
  </si>
  <si>
    <t>https://www.fox10tv.com/news/mobile-teen-facing-multiple-sex-abuse-charges-in-saraland-indicted-in-federal-court/article_bf1f83dc-28b2-11e9-b5f2-8742215422d7.html</t>
  </si>
  <si>
    <t>https://archive.vn/wip/lXv2j</t>
  </si>
  <si>
    <t>https://archive.vn/wip/yMbeZ</t>
  </si>
  <si>
    <t>Elizabeth Kaye Haway</t>
  </si>
  <si>
    <t>https://www.justice.gov/usao-sdwv/pr/wheeling-man-pleads-guilty-conspiracy-produce-child-pornography , https://www.justice.gov/usao-sdwv/pr/project-safe-childhood-princeton-woman-pleads-guilty-conspiracy-distribute-child , https://www.justice.gov/usao-sdwv/pr/princeton-woman-sentenced-20-years-federal-prison-conspiracy-distribute-child</t>
  </si>
  <si>
    <t>https://www.wdtv.com/2020/12/15/west-virginia-woman-sentenced-to-20-years-in-child-porn-case/</t>
  </si>
  <si>
    <t>https://archive.vn/wip/l826t</t>
  </si>
  <si>
    <t>https://archive.vn/lo698</t>
  </si>
  <si>
    <t>Randall Lee Peggs (Haway et al)</t>
  </si>
  <si>
    <t>https://www.justice.gov/usao-sdwv/pr/wheeling-man-pleads-guilty-conspiracy-produce-child-pornography  , https://www.justice.gov/usao-sdwv/pr/wheeling-man-sentenced-15-years-federal-prison-conspiracy-produce-child-pornography</t>
  </si>
  <si>
    <t>James Gabany</t>
  </si>
  <si>
    <t>December 17, 2018</t>
  </si>
  <si>
    <t>https://www.justice.gov/usao-nj/pr/colonia-new-jersey-man-charged-distributing-images-child-sexual-abuse</t>
  </si>
  <si>
    <t>Stephen P. Langlois, Jr</t>
  </si>
  <si>
    <t>https://www.justice.gov/usao-ri/pr/warwick-man-sentenced-possessing-child-pornography-downloaded-dark-web</t>
  </si>
  <si>
    <t>https://www.courtlistener.com/docket/8420888/united-states-v-langlois/</t>
  </si>
  <si>
    <t>Luke De Roy Krieger</t>
  </si>
  <si>
    <t>https://www.justice.gov/usao-or/pr/washington-county-sheriffs-office-civilian-employee-accused-enticing-minor-online-and</t>
  </si>
  <si>
    <t>https://www.courtlistener.com/docket/8436259/united-states-v-krieger/</t>
  </si>
  <si>
    <t>James Umbaugh</t>
  </si>
  <si>
    <t>https://www.justice.gov/usao-ndil/pr/machesney-park-man-arrested-child-pornography-charge</t>
  </si>
  <si>
    <t>https://www.courtlistener.com/docket/8437087/united-states-v-umbaugh/</t>
  </si>
  <si>
    <t>Stacy Newline</t>
  </si>
  <si>
    <t>https://www.justice.gov/usao-ndin/pr/merrillville-man-sentenced-78-months-prison</t>
  </si>
  <si>
    <t>https://www.nwitimes.com/news/local/crime-and-courts/gary-man-accused-of-child-pornography-possession-arrested-after-bonding/article_7b0a8cfc-f073-5e44-b7fb-f7f3706a6f2b.html</t>
  </si>
  <si>
    <t>https://www.courtlistener.com/docket/7559436/united-states-v-newlin/</t>
  </si>
  <si>
    <t>http://archive.fo/p9W5z</t>
  </si>
  <si>
    <t>Dennis A. Jones</t>
  </si>
  <si>
    <t>https://www.justice.gov/usao-ndin/pr/lafayette-man-sentenced-70-months-prison-possession-child-pornography</t>
  </si>
  <si>
    <t>https://www.courtlistener.com/docket/8426396/united-states-v-jones/</t>
  </si>
  <si>
    <t>Jason Wickett</t>
  </si>
  <si>
    <t>https://www.justice.gov/usao-sdia/pr/little-sioux-man-sentenced-200-months-prison-child-pornography</t>
  </si>
  <si>
    <t>Tyler Lewis Watson</t>
  </si>
  <si>
    <t>https://www.justice.gov/usao-cdil/pr/illinois-man-sentenced-production-child-pornography</t>
  </si>
  <si>
    <t>Gary Kendall</t>
  </si>
  <si>
    <t>https://www.justice.gov/usao-edky/pr/raceland-man-sentenced-120-months-possession-child-pornography</t>
  </si>
  <si>
    <t>https://www.cbp.gov/newsroom/local-media-release/border-patrol-agents-thwart-human-smuggling-attempt-0</t>
  </si>
  <si>
    <t>https://www.cbp.gov/newsroom/local-media-release/border-patrol-canine-detects-illegal-aliens-trunk</t>
  </si>
  <si>
    <t>Jerry James</t>
  </si>
  <si>
    <t>https://www.justice.gov/usao-ndin/pr/hobart-man-sentenced-20-years-prison</t>
  </si>
  <si>
    <t>Alexander Bebris</t>
  </si>
  <si>
    <t>December 20, 2018</t>
  </si>
  <si>
    <t>https://www.justice.gov/usao-edwi/pr/neenah-man-arrested-federal-child-pornography-charges</t>
  </si>
  <si>
    <t>https://www.nbc26.com/news/local-news/former-police-chief-and-sheriff-candidate-pleads-guilty-child-pornography-charges</t>
  </si>
  <si>
    <t>https://www.courtlistener.com/docket/14653196/united-states-v-bebris/</t>
  </si>
  <si>
    <t>https://archive.vn/kQA6l</t>
  </si>
  <si>
    <t>https://archive.vn/XiAIn</t>
  </si>
  <si>
    <t>Brian Parks Moore</t>
  </si>
  <si>
    <t>https://www.justice.gov/usao-wdnc/pr/matthews-nc-man-sentenced-more-15-years-prison-child-pornography</t>
  </si>
  <si>
    <t>Gregory Clive Burke</t>
  </si>
  <si>
    <t>Project Safe Childhood-Enticement of a minor &amp; CP related charges</t>
  </si>
  <si>
    <t>https://www.justice.gov/usao-mdfl/pr/brevard-county-man-sentenced-eighteen-years-federal-prison-enticement-minor</t>
  </si>
  <si>
    <t>Jonathan Deshon Alexander</t>
  </si>
  <si>
    <t>https://www.justice.gov/usao-sdtx/pr/houston-man-heads-prison-two-child-porn-convictions</t>
  </si>
  <si>
    <t>https://www.courtlistener.com/docket/8412810/united-states-v-alexander/</t>
  </si>
  <si>
    <t>Alejandro Aurioles</t>
  </si>
  <si>
    <t>https://www.justice.gov/usao-wdar/pr/hot-springs-man-sentenced-over-8-years-federal-prison-child-pornography-offense</t>
  </si>
  <si>
    <t>David Scott</t>
  </si>
  <si>
    <t>https://www.justice.gov/usao-mdpa/pr/luzerne-county-man-was-sentenced-120-months-imprisonment-sexual-exploitation-children</t>
  </si>
  <si>
    <t>William Coleman</t>
  </si>
  <si>
    <t>https://www.ice.gov/news/releases/sex-trafficker-sentenced-more-15-years-after-joint-ice-federal-and-local-investigation</t>
  </si>
  <si>
    <t>Benjamin Taylor White</t>
  </si>
  <si>
    <t>https://www.justice.gov/usao-edva/pr/man-pleads-guilty-production-child-pornography-0</t>
  </si>
  <si>
    <t>https://southsidedaily.com/local-news/2019/03/21/this-virginia-beach-man-had-thousands-of-photos-and-videos-of-child-porn/</t>
  </si>
  <si>
    <t>http://archive.fo/2ig8o</t>
  </si>
  <si>
    <t>http://archive.fo/PtBVI</t>
  </si>
  <si>
    <t>Justin David Brown</t>
  </si>
  <si>
    <t>https://www.justice.gov/usao-wy/pr/teamwork-between-state-and-federal-agents-nets-substantial-sentneces-exploitation</t>
  </si>
  <si>
    <t>https://www.courtlistener.com/docket/14783026/united-states-v-cotter/</t>
  </si>
  <si>
    <t>Noel A McFadden</t>
  </si>
  <si>
    <t>January 2019</t>
  </si>
  <si>
    <t>CP distribution &amp; enticement of a minor</t>
  </si>
  <si>
    <t>https://www.justice.gov/usao-ndok/pr/federal-grand-jury-criminal-indictments-announced-41</t>
  </si>
  <si>
    <t>Trevor James Thompson</t>
  </si>
  <si>
    <t>Alan Sigfred Andersen</t>
  </si>
  <si>
    <t>https://www.justice.gov/usao-ednc/pr/united-states-attorney-s-office-hard-work-during-government-shutdown</t>
  </si>
  <si>
    <t>https://www.courtlistener.com/?q=&amp;type=r&amp;order_by=score+desc&amp;docket_number=2%3A19-cr-00001&amp;court=nced</t>
  </si>
  <si>
    <t>https://www.courtlistener.com/docket/14859785/united-states-v-bonnette/</t>
  </si>
  <si>
    <t>Joseph Holland</t>
  </si>
  <si>
    <t>https://www.justice.gov/usao-me/pr/portland-man-pleads-guilty-possessing-child-pornography-1</t>
  </si>
  <si>
    <t>https://www.courtlistener.com/docket/15566813/united-states-v-holland/</t>
  </si>
  <si>
    <t>Michael King</t>
  </si>
  <si>
    <t>https://www.justice.gov/usao-mdga/pr/former-pelham-georgia-resident-sentenced-15-years-federal-prison-distributing-child</t>
  </si>
  <si>
    <t>Luis O. Rodriguez</t>
  </si>
  <si>
    <t>https://www.justice.gov/usao-nv/pr/two-reno-residents-sentenced-possession-child-pornography</t>
  </si>
  <si>
    <t>Elvis Pichardo Hernandez</t>
  </si>
  <si>
    <t>https://www.justice.gov/usao-edva/pr/sex-traffickers-sentenced-combined-81-years-prison</t>
  </si>
  <si>
    <t>Dominican Republic/US</t>
  </si>
  <si>
    <t>Jose David Reyes-Gonzalez</t>
  </si>
  <si>
    <t xml:space="preserve">https://www.justice.gov/usao-edva/pr/sex-traffickers-sentenced-combined-81-years-prison </t>
  </si>
  <si>
    <t>Daniel Palacios Rodriguez</t>
  </si>
  <si>
    <t>Alexandra Guzman-Beato</t>
  </si>
  <si>
    <t>Fatima Ventura Perez</t>
  </si>
  <si>
    <t>Coercion and enticement of a minor for sex trafficking</t>
  </si>
  <si>
    <t>Paul Glen Hamilton Jr</t>
  </si>
  <si>
    <t>https://www.justice.gov/usao-ndwv/pr/maryland-man-indicted-child-pornography-charge</t>
  </si>
  <si>
    <t>John James Ramirez</t>
  </si>
  <si>
    <t>https://www.justice.gov/usao-sdia/pr/davenport-man-sentenced-prison-child-pornography-offenses</t>
  </si>
  <si>
    <t>Mark D Gould</t>
  </si>
  <si>
    <t>Project Safe Childhood-Travel w/intent to have sexual relations w/a minor &amp; CP distribution &amp; related charges</t>
  </si>
  <si>
    <t>https://www.justice.gov/usao-edtn/pr/washington-state-man-sentenced-child-exploitation-tennessee</t>
  </si>
  <si>
    <t>Patrick McMahon</t>
  </si>
  <si>
    <t xml:space="preserve">https://www.justice.gov/usao-co/pr/calhan-school-teacher-sentenced-nearly-4-years-federal-prison-possession-child </t>
  </si>
  <si>
    <t>https://denver.cbslocal.com/2020/11/10/patrick-mcmahon-child-pornography-ex-wife-laptop-colorado-teacher-ellicott-high-schoo-calhan/</t>
  </si>
  <si>
    <t>https://archive.vn/wip/JRx8o</t>
  </si>
  <si>
    <t>https://archive.vn/jbyIl</t>
  </si>
  <si>
    <t>Kenneth Herd</t>
  </si>
  <si>
    <t>https://www.justice.gov/usao-ks/pr/former-kansas-man-sentenced-child-pornography</t>
  </si>
  <si>
    <t>Vernon Lee Millican</t>
  </si>
  <si>
    <t>https://www.justice.gov/usao-wdtx/pr/leakey-man-arrested-and-charged-production-child-pornography , https://www.justice.gov/usao-wdtx/pr/former-del-rio-sector-us-border-patrol-agent-pleads-guilty-production-and-posses , https://www.justice.gov/usao-wdtx/pr/former-del-rio-sector-us-border-patrol-agent-sentenced-federal-prison-production-andsion</t>
  </si>
  <si>
    <t>https://www.courtlistener.com/docket/14603620/united-states-v-millican/</t>
  </si>
  <si>
    <t>Jason Gerade Harris, Jr.</t>
  </si>
  <si>
    <t>https://www.justice.gov/usao-wdpa/pr/former-wilkinsburg-man-sentenced-prison-possessing-images-and-videos-showing-sexual</t>
  </si>
  <si>
    <t>https://www.courtlistener.com/docket/15056260/united-states-v-harris-jr/</t>
  </si>
  <si>
    <t>Brian K Rubenaker</t>
  </si>
  <si>
    <t>https://www.justice.gov/usao-wdwa/pr/repeat-sex-offender-sentenced-ten-years-prison-possession-images-child-rape-and</t>
  </si>
  <si>
    <t>Donna Pham</t>
  </si>
  <si>
    <t>https://www.justice.gov/usao-wdny/pr/canadian-woman-pleads-guilty-involving-attempt-smuggle-alien-car-trunk</t>
  </si>
  <si>
    <t>Jason Matthew Zeller</t>
  </si>
  <si>
    <t>January 7, 2019</t>
  </si>
  <si>
    <t>https://www.fbi.gov/contact-us/field-offices/neworleans/news/press-releases/us-marshals-arrest-child-pornographer-and-registered-sex-offender---jason-matthew-zeller-in-florida , https://www.justice.gov/usao-mdfl/pr/repeat-sex-offender-who-possessed-child-pornography-and-failed-register-sex-offender</t>
  </si>
  <si>
    <t>https://wgno.com/2019/01/08/us-marshals-arrest-registered-sex-offender-for-child-pornography/</t>
  </si>
  <si>
    <t>Timothy Tyler Segich</t>
  </si>
  <si>
    <t>https://www.justice.gov/usao-sd/pr/sioux-falls-man-sentenced-attempted-receipt-child-pornography</t>
  </si>
  <si>
    <t>Daniel Doyle</t>
  </si>
  <si>
    <t>Project Safe Childhood-Transport of CP</t>
  </si>
  <si>
    <t>https://www.courtlistener.com/docket/14642562/united-states-v-doyle/</t>
  </si>
  <si>
    <t>Shawn Thomas Conrad</t>
  </si>
  <si>
    <t>https://www.justice.gov/usao-mt/pr/former-us-fish-and-wildlife-service-employee-admits-possessing-child-pornography</t>
  </si>
  <si>
    <t>https://www.courtlistener.com/?q=&amp;type=r&amp;order_by=score+desc&amp;docket_number=1%3A18-cr-00151&amp;court=mtd</t>
  </si>
  <si>
    <t>Russell Dean Hill</t>
  </si>
  <si>
    <t>https://www.justice.gov/usao-edtx/pr/hopkins-county-man-sentenced-child-sexual-exploitation-violations</t>
  </si>
  <si>
    <t>https://www.courtlistener.com/docket/14962449/united-states-v-hill/</t>
  </si>
  <si>
    <t>William Bazemore</t>
  </si>
  <si>
    <t>https://www.justice.gov/usao-sdny/pr/three-members-trafficking-organization-charged-manhattan-federal-court-racketeering-sex</t>
  </si>
  <si>
    <t>Kenneth Wade Reinhold</t>
  </si>
  <si>
    <t>https://www.justice.gov/usao-ednc/pr/holly-ridge-man-sentenced-production-child-pornography</t>
  </si>
  <si>
    <t>https://www.courtlistener.com/docket/14665891/united-states-v-reinhold/</t>
  </si>
  <si>
    <t>John McCurdy</t>
  </si>
  <si>
    <t>https://www.justice.gov/usao-mdga/pr/thepedoman-sentenced-prison-possession-child-porn</t>
  </si>
  <si>
    <t>https://www.courtlistener.com/docket/14981753/united-states-v-mccurdy/</t>
  </si>
  <si>
    <t>Warren Bryant</t>
  </si>
  <si>
    <t xml:space="preserve">https://www.justice.gov/usao-sdny/pr/three-members-trafficking-organization-charged-manhattan-federal-court-racketeering-sex </t>
  </si>
  <si>
    <t>Marquis Jackson</t>
  </si>
  <si>
    <t>Stephen Scott Meals, Jr.</t>
  </si>
  <si>
    <t>https://www.ice.gov/news/releases/southeast-texas-man-who-wanted-marry-child-victim-sentenced-50-years-prison-producing</t>
  </si>
  <si>
    <t>Alexander Witt</t>
  </si>
  <si>
    <t>https://www.justice.gov/usao-edva/pr/man-sentenced-prison-production-child-pornography</t>
  </si>
  <si>
    <t>Eric Eugene Smith</t>
  </si>
  <si>
    <t>https://www.justice.gov/usao-ndwv/pr/berkeley-county-man-sentenced-child-pornography</t>
  </si>
  <si>
    <t>https://www.courtlistener.com/?q=&amp;type=r&amp;order_by=score+desc&amp;docket_number=3%3A19-cr-00004&amp;court=wvnd</t>
  </si>
  <si>
    <t>John D. Salisbury</t>
  </si>
  <si>
    <t>https://www.justice.gov/usao-ndny/pr/montgomery-county-man-sentenced-30-years-producing-and-transporting-child-pornography</t>
  </si>
  <si>
    <t>https://www.courtlistener.com/docket/14902899/united-states-v-salisbury/</t>
  </si>
  <si>
    <t>Parris Guyton</t>
  </si>
  <si>
    <t>https://www.justice.gov/usao-edmo/pr/east-saint-louis-man-sentenced-216-months-prison-child-pornography</t>
  </si>
  <si>
    <t>Danielle Sebenick</t>
  </si>
  <si>
    <t>Operation Predator-CP distribution &amp; related charges</t>
  </si>
  <si>
    <t>https://www.ice.gov/news/releases/former-childrens-swim-school-employee-pleads-guilty-child-pornography-charges</t>
  </si>
  <si>
    <t>https://patch.com/pennsylvania/uppermoreland/ex-employee-montco-childrens-swim-school-had-child-porn-feds</t>
  </si>
  <si>
    <t>http://archive.fo/iXqaS</t>
  </si>
  <si>
    <t>Ruben Alfonso Cautino-Latoni</t>
  </si>
  <si>
    <t>https://www.justice.gov/usao-pr/pr/four-arrested-child-pornography-charges</t>
  </si>
  <si>
    <t>https://www.wapa.tv/noticias/locales/arrestan-a-miembro-de-la-guardia-nacional-por-pornografia-infantil_20131122444013.html</t>
  </si>
  <si>
    <t>https://www.courtlistener.com/docket/14716356/united-states-v-cautino-latoni/</t>
  </si>
  <si>
    <t>http://archive.fo/g5kjK</t>
  </si>
  <si>
    <t>Jorge A. Perez-Ninham</t>
  </si>
  <si>
    <t>https://www.courtlistener.com/docket/14625610/united-states-v-perez-ninham/</t>
  </si>
  <si>
    <t>Christian Alexis Velazquez-Nieves</t>
  </si>
  <si>
    <t>https://www.courtlistener.com/docket/14698622/united-states-v-velazquez-nieves/</t>
  </si>
  <si>
    <t>Samuel Mendoza-Reyes</t>
  </si>
  <si>
    <t>https://www.courtlistener.com/docket/14590821/united-states-v-mendoza-reyes/</t>
  </si>
  <si>
    <t>Victor Gonzalez</t>
  </si>
  <si>
    <t>Project Safe Childhood-Sex trafficking of a minor, CP production &amp; related charges</t>
  </si>
  <si>
    <t>https://www.justice.gov/usao-sdny/pr/westchester-man-sentenced-19-years-white-plains-federal-court-sex-trafficking-minors</t>
  </si>
  <si>
    <t>https://www.courtlistener.com/docket/14982275/united-states-v-gonzalez/</t>
  </si>
  <si>
    <t>Hui Ling Sun</t>
  </si>
  <si>
    <t>January 15, 2019</t>
  </si>
  <si>
    <t>https://www.justice.gov/usao-or/pr/nationwide-sting-operation-targets-illegal-asian-brothels-six-indicted-racketeering</t>
  </si>
  <si>
    <t>https://www.courtlistener.com/docket/14710221/united-states-v-sun/</t>
  </si>
  <si>
    <t>Zongtao Chen aka Mark Chen/Weixuan Zhou aka Marco Zhou/Yan Wang aka Sarah Wang/Chaodan Wang/Ting Fu</t>
  </si>
  <si>
    <t>https://www.courtlistener.com/?q=&amp;type=r&amp;order_by=score+desc&amp;docket_number=3%3A18-cr-00559&amp;court=ord</t>
  </si>
  <si>
    <t>James Minter</t>
  </si>
  <si>
    <t>https://www.justice.gov/usao-ks/pr/repeat-sex-offender-sentenced-distributing-child-pornography</t>
  </si>
  <si>
    <t>Jaylyn Marquice Bell</t>
  </si>
  <si>
    <t>https://www.justice.gov/usao-wdok/pr/pimp-who-recorded-sex-child-victim-sentenced-18-years-prison</t>
  </si>
  <si>
    <t>https://www.courtlistener.com/docket/14660807/united-states-v-bell/</t>
  </si>
  <si>
    <t xml:space="preserve">James Glenn Fulcher </t>
  </si>
  <si>
    <t>https://www.justice.gov/usao-sdtx/pr/conroe-man-hit-huge-60-year-sentence</t>
  </si>
  <si>
    <t>McKenzie Kyle Hellman / Kayla Nicole Thomas</t>
  </si>
  <si>
    <t>January 20, 2019</t>
  </si>
  <si>
    <t>CP Production, murder &amp;  related charges</t>
  </si>
  <si>
    <t>https://www.wfla.com/amp/national/police-toddler-who-died-was-sexual-physical-abuse-victim/1713494611</t>
  </si>
  <si>
    <t>Jared Ross Boswell</t>
  </si>
  <si>
    <t>CP &amp; stalking related charges</t>
  </si>
  <si>
    <t>https://www.justice.gov/usao-mn/pr/cass-county-man-charged-stalking-child-pornography</t>
  </si>
  <si>
    <t>David Nestor</t>
  </si>
  <si>
    <t>February 7, 2019</t>
  </si>
  <si>
    <t>https://www.justice.gov/usao-ndoh/pr/men-navarre-and-huron-indicted-child-pornography-charges</t>
  </si>
  <si>
    <t>https://www.courtlistener.com/?q=&amp;type=r&amp;order_by=score+desc&amp;docket_number=5%3A19-cr-00066&amp;court=ohnd</t>
  </si>
  <si>
    <t xml:space="preserve">Cristian Jose Castro </t>
  </si>
  <si>
    <t>https://www.justice.gov/usao-sdtx/pr/laredoan-pleads-guilty-child-pornography-charge</t>
  </si>
  <si>
    <t>https://www.courtlistener.com/docket/14758529/united-states-v-castro/</t>
  </si>
  <si>
    <t>Troy French</t>
  </si>
  <si>
    <t>https://www.justice.gov/usao-ndia/pr/cedar-rapids-man-sentenced-two-years-federal-prison-possessing-child-pornography</t>
  </si>
  <si>
    <t>https://www.courtlistener.com/docket/15026057/united-states-v-french/</t>
  </si>
  <si>
    <t>Andrew Tyler Molina</t>
  </si>
  <si>
    <t>https://www.justice.gov/usao-ndtx/pr/ndtx-round-august-28-september-3</t>
  </si>
  <si>
    <t>Christopher Joe Stamper</t>
  </si>
  <si>
    <t>https://www.justice.gov/usao-wdla/pr/monroe-man-sentenced-20-years-federal-prison-receiving-child-pornography</t>
  </si>
  <si>
    <t xml:space="preserve">Multiple  </t>
  </si>
  <si>
    <t>February 2, 2019</t>
  </si>
  <si>
    <t>Sex trafficking &amp; sex trafficking of minors</t>
  </si>
  <si>
    <t>https://fox6now.com/2019/02/05/fbi-169-arrests-in-11-day-human-trafficking-sting-leading-up-to-super-bowl-liii/</t>
  </si>
  <si>
    <t>Michael Liedtke</t>
  </si>
  <si>
    <t>https://www.justice.gov/usao-ndil/pr/streamwood-man-admits-enticing-underage-boy-produce-sexually-explicit-videos , https://www.justice.gov/usao-ndil/pr/streamwood-man-sentenced-nearly-7-years-prison-enticing-underage-boy-produce-sexually</t>
  </si>
  <si>
    <t>https://patch.com/illinois/wheaton/volleyball-coach-charged-videotaping-kids-bathroom</t>
  </si>
  <si>
    <t>https://www.courtlistener.com/docket/14996931/united-states-v-liedtke/</t>
  </si>
  <si>
    <t>http://archive.fo/Dbznn</t>
  </si>
  <si>
    <t>http://archive.fo/Eeen4</t>
  </si>
  <si>
    <t>Christopher Merchant</t>
  </si>
  <si>
    <t>Project Safe Childhood-CP related charges &amp; travel w/intent to engage in illicit sexual conduct w/ a minor</t>
  </si>
  <si>
    <t>https://www.justice.gov/usao-ri/pr/youth-coach-charged-interstate-travel-engage-illicit-sexual-conduct-transferring-obscene</t>
  </si>
  <si>
    <t>https://turnto10.com/news/local/baseball-coach-accused-of-soliciting-a-child-over-the-internet</t>
  </si>
  <si>
    <t>Linda Paolini</t>
  </si>
  <si>
    <t>https://www.justice.gov/usao-edpa/pr/philadelphia-woman-indicted-child-pornography-and-online-enticement-charges , https://www.justice.gov/usao-edpa/pr/philadelphia-woman-pleads-guilty-charges-child-enticement-manufacturing-child , https://www.justice.gov/usao-edpa/pr/philadelphia-woman-sentenced-35-years-enticing-and-inducing-child-produce-child</t>
  </si>
  <si>
    <t>https://www.courtlistener.com/?q=&amp;type=r&amp;order_by=score+desc&amp;docket_number=2%3A19-cr-00162&amp;court=paed</t>
  </si>
  <si>
    <t>January 29, 2019</t>
  </si>
  <si>
    <t>https://www.cbp.gov/newsroom/local-media-release/smuggling-attempt-stopped-yuma-sector-border-patrol</t>
  </si>
  <si>
    <t>Glen Lanchester</t>
  </si>
  <si>
    <t>https://www.justice.gov/usao-nh/pr/manchester-man-pleads-guilty-sexual-exploitation-minor</t>
  </si>
  <si>
    <t>https://manchesterinklink.com/man-arrested-for-production-of-child-pornography/ ,  https://manchesterinklink.com/city-man-pleads-guilty-to-child-exploitation-after-2018-discovery-of-images-taken-with-spy-cams/</t>
  </si>
  <si>
    <t>https://archive.vn/X0D0Y</t>
  </si>
  <si>
    <t>https://archive.vn/cUDe2</t>
  </si>
  <si>
    <t>Stephen Edward Torres</t>
  </si>
  <si>
    <t>https://www.justice.gov/usao-sdtx/pr/houston-man-gets-significant-time-sexually-exploiting-young-children</t>
  </si>
  <si>
    <t>https://www.courtlistener.com/?q=&amp;type=r&amp;order_by=score+desc&amp;docket_number=4%3A19-cr-00068&amp;court=txsd</t>
  </si>
  <si>
    <t>Andrew Wigfall</t>
  </si>
  <si>
    <t>https://www.justice.gov/usao-sdil/pr/st-clair-county-man-charged-producing-child-pornography</t>
  </si>
  <si>
    <t>https://web.archive.org/web/20190401230449/https://fox2now.com/2019/01/29/east-st-louis-man-charged-with-child-pornography/</t>
  </si>
  <si>
    <t>http://archive.fo/I3pgO</t>
  </si>
  <si>
    <t>Robert Arnold Koester</t>
  </si>
  <si>
    <t>January 30, 2019</t>
  </si>
  <si>
    <t>https://www.fbi.gov/contact-us/field-offices/portland/news/press-releases/man-charged-with-dozens-of-sexual-assault-counts-in-oregon-and-california</t>
  </si>
  <si>
    <t>José Antonio Luna Benscome</t>
  </si>
  <si>
    <t>https://www.justice.gov/usao-edpa/pr/philadelphia-man-sentenced-30-years-sexually-abusing-and-recording-abuse-four-year-old</t>
  </si>
  <si>
    <t>January 31, 2019</t>
  </si>
  <si>
    <t>https://www.cbp.gov/newsroom/local-media-release/laredo-sector-border-patrol-stops-smuggling-attempt-checkpoint</t>
  </si>
  <si>
    <t>Justin Madia</t>
  </si>
  <si>
    <t>https://www.justice.gov/usao-nj/pr/bergen-county-new-jersey-man-charged-receiving-child-pornography</t>
  </si>
  <si>
    <t>https://fox2now.com/2019/01/29/east-st-louis-man-charged-with-child-pornography/</t>
  </si>
  <si>
    <t>John Childs</t>
  </si>
  <si>
    <t>https://patch.com/massachusetts/waltham/john-childs-jw-childs-charged-florida-prostitution-sting</t>
  </si>
  <si>
    <t>https://www.dailymail.co.uk/news/article-6736493/Billionaire-equity-firm-owner-John-Childs-wanted-Florida-spa-prostitution-charges.html</t>
  </si>
  <si>
    <t>https://archive.fo/iRzPB</t>
  </si>
  <si>
    <t>Randy Tremfer</t>
  </si>
  <si>
    <t>https://www.justice.gov/usao-ndny/pr/syracuse-man-pleads-guilty-uploading-child-pornography-facebook</t>
  </si>
  <si>
    <t>https://www.syracuse.com/crime/2021/01/syracuse-sex-offender-pleads-guilty-to-uploading-child-porn-to-facebook.html</t>
  </si>
  <si>
    <t>https://archive.vn/oHf24</t>
  </si>
  <si>
    <t>https://archive.vn/09fE6</t>
  </si>
  <si>
    <t>Edward C. Wright</t>
  </si>
  <si>
    <t>Scott C House</t>
  </si>
  <si>
    <t>https://www.justice.gov/usao-mdtn/pr/gallatin-man-sentenced-crimes-involving-sexual-exploitation-children</t>
  </si>
  <si>
    <t>Daniel Strickland</t>
  </si>
  <si>
    <t>https://www.justice.gov/usao-ndga/pr/murray-county-man-pleads-guilty-producing-child-pornography</t>
  </si>
  <si>
    <t>Mark H. King</t>
  </si>
  <si>
    <t>https://www.justice.gov/usao-ne/pr/omaha-man-sentenced-84-months-distribution-child-pornography</t>
  </si>
  <si>
    <t>Dylan Matthew Deling</t>
  </si>
  <si>
    <t>https://www.justice.gov/usao-mn/pr/registered-sex-offender-charged-sextortion-case  ,  https://www.justice.gov/usao-mn/pr/registered-sex-offender-sentenced-35-years-prison-sextorting-more-40-minors</t>
  </si>
  <si>
    <t>https://www.sciotocountydailynews.com/facebook-child-porn-blackmail/</t>
  </si>
  <si>
    <t>https://archive.vn/wip/4VrIa</t>
  </si>
  <si>
    <t>https://archive.vn/28QK8</t>
  </si>
  <si>
    <t>Matthew John Jurado</t>
  </si>
  <si>
    <t>https://www.justice.gov/usao-edtn/pr/convicted-sex-offender-sentenced-distribution-child-pornography-another</t>
  </si>
  <si>
    <t>Jordan Coffman</t>
  </si>
  <si>
    <t>https://www.courtlistener.com/docket/14857910/united-states-v-coffman/</t>
  </si>
  <si>
    <t>Ernest B Ray</t>
  </si>
  <si>
    <t>https://www.justice.gov/usao-edky/pr/pikeville-man-sentenced-156-months-human-trafficking-charges</t>
  </si>
  <si>
    <t>https://www.wymt.com/2020/07/17/pike-county-property-owner-sentenced-to-prison-for-sex-trafficking-of-minors/</t>
  </si>
  <si>
    <t>https://archive.vn/yQqzZ</t>
  </si>
  <si>
    <t>https://archive.vn/ZwpZ2</t>
  </si>
  <si>
    <t>Michael Adam Muth</t>
  </si>
  <si>
    <t>https://www.justice.gov/usao-sdia/pr/iowa-man-sentenced-144-months-prison-transporting-and-possession-child-pornography</t>
  </si>
  <si>
    <t>Previously deported child sex offender</t>
  </si>
  <si>
    <t>https://www.cbp.gov/newsroom/local-media-release/tucson-sector-agents-arrest-two-sex-offenders-separate-weekend-events</t>
  </si>
  <si>
    <t>El Salvador</t>
  </si>
  <si>
    <t>Michael A. Brazielle</t>
  </si>
  <si>
    <t>Operation Net Nanny-Sex trafficking of a minor</t>
  </si>
  <si>
    <t>http://ourrescue.org/blog/operation-net-nanny-22-arrests-in-thurston-county/</t>
  </si>
  <si>
    <t>http://archive.fo/EYTp9</t>
  </si>
  <si>
    <t>Jesse D. Jones</t>
  </si>
  <si>
    <t>Daniel M. Kennedy,</t>
  </si>
  <si>
    <t>John D. Henderson,</t>
  </si>
  <si>
    <t>James E. Stillwell</t>
  </si>
  <si>
    <t>Jason L. Koster,</t>
  </si>
  <si>
    <t>Regan F, Lane-Smith</t>
  </si>
  <si>
    <t>Robert L. Kelley</t>
  </si>
  <si>
    <t>Greg E. Decker</t>
  </si>
  <si>
    <t>Charles A. Yates</t>
  </si>
  <si>
    <t>Lamar A. Smith</t>
  </si>
  <si>
    <t>Jonas M. Davis</t>
  </si>
  <si>
    <t>Jeffrey A. LeClair</t>
  </si>
  <si>
    <t>Todd L. Schock</t>
  </si>
  <si>
    <t>William John Tyler Smith</t>
  </si>
  <si>
    <t>Joshua A. Garcia</t>
  </si>
  <si>
    <t>John R. Greenfield</t>
  </si>
  <si>
    <t>Raymond M. Suarez</t>
  </si>
  <si>
    <t>Curtis Pouncy</t>
  </si>
  <si>
    <t>Jason P. D. Boozer</t>
  </si>
  <si>
    <t>Quenton Parker</t>
  </si>
  <si>
    <t>Tomas Miguel Mateo</t>
  </si>
  <si>
    <t>https://www.ice.gov/news/releases/ice-discovers-67-illegal-aliens-including-6-unaccompanied-teens-deplorable-conditions</t>
  </si>
  <si>
    <t>Guatemala</t>
  </si>
  <si>
    <t>Cody Swinnerton</t>
  </si>
  <si>
    <t>https://www.justice.gov/usao-ndoh/pr/berea-man-charged-after-he-allegedly-contacted-several-children-between-ages-12-and-15</t>
  </si>
  <si>
    <t>Adam Hosie</t>
  </si>
  <si>
    <t>https://www.justice.gov/usao-wdpa/pr/beaver-county-man-charged-possessing-sexual-images-and-videos-children , https://www.justice.gov/usao-wdpa/pr/beaver-county-man-sentenced-5-years-prison-possessing-child-pornography</t>
  </si>
  <si>
    <t>https://www.courtlistener.com/docket/14834298/united-states-v-hosie/</t>
  </si>
  <si>
    <t>Ezequiel Christopher Barragan</t>
  </si>
  <si>
    <t>https://www.justice.gov/usao-cdca/pr/oc-man-charged-producing-child-pornography-and-child-sex-tourism-allegedly-engaging , https://www.justice.gov/usao-cdca/pr/orange-county-man-sentenced-15-years-federal-prison-traveling-china-engage-illicit https://www.justice.gov/usao-cdca/pr/oc-man-charged-producing-child-pornography-and-child-sex-tourism-allegedly-engaging</t>
  </si>
  <si>
    <t>https://mynewsla.com/orange-county/2018/02/03/former-oc-teacher-indicted-federal-grand-jury-sex-tourism-charge/</t>
  </si>
  <si>
    <t>https://www.courtlistener.com/docket/6351593/united-states-v-barragan/</t>
  </si>
  <si>
    <t>http://archive.fo/Zd6fh</t>
  </si>
  <si>
    <t>http://archive.fo/XUtDk</t>
  </si>
  <si>
    <t>Benjamin Joost Bogard</t>
  </si>
  <si>
    <t>https://www.justice.gov/usao-wdtx/pr/new-braunfels-man-sentenced-80-months-federal-prison-possession-child-pornography</t>
  </si>
  <si>
    <t>https://www.courtlistener.com/?q=&amp;type=r&amp;order_by=score+desc&amp;docket_number=5%3A19-cr-00106&amp;court=txwd</t>
  </si>
  <si>
    <t>Cornell D.A, Johnson</t>
  </si>
  <si>
    <t>https://www.justice.gov/usao-cdil/pr/decatur-man-faces-multiple-charges-sexual-exploitation-children</t>
  </si>
  <si>
    <t>http://thexradio.com/news/78-local-news/38101-decatur-man-charged-w-child-exploitation-and-pornography</t>
  </si>
  <si>
    <t>https://www.courtlistener.com/docket/14907005/united-states-v-johnson/</t>
  </si>
  <si>
    <t>http://archive.fo/pcsOY</t>
  </si>
  <si>
    <t>http://archive.fo/OPNek</t>
  </si>
  <si>
    <t>Bryan Rogers / Unnamed</t>
  </si>
  <si>
    <t>February 4, 2019</t>
  </si>
  <si>
    <t>https://www.justice.gov/usao-wdwi/pr/madison-man-charged-sexual-exploitation-child   https://www.justice.gov/usao-wdwi/pr/grand-jury-returns-indictments-82</t>
  </si>
  <si>
    <t>https://www.crimeonline.com/2019/02/04/breaking-man-accused-of-taking-teen-girl-over-700-miles-from-home-charged-with-sexual-exploitation-after-her-father-is-charged-with-rape/</t>
  </si>
  <si>
    <t>http://archive.fo/XUVQl</t>
  </si>
  <si>
    <t>http://archive.fo/yhBqZ</t>
  </si>
  <si>
    <t>Destiny Mears /Jayson Figueroa /Cordarrell Roudolph</t>
  </si>
  <si>
    <t>http://dpsweb.dps.louisiana.gov/lspnewsr.nsf/adc616dfb7087e6286256c76004db773/0988d734b479d1eb86258398006b234c?OpenDocument</t>
  </si>
  <si>
    <t>http://www.fox8live.com/2019/02/05/three-suspects-arrested-sex-trafficking-teen/</t>
  </si>
  <si>
    <t>Marty Keith Larson</t>
  </si>
  <si>
    <t>Scott Matthew Trischler</t>
  </si>
  <si>
    <t>https://www.justice.gov/usao-edca/pr/indiana-man-charged-sexual-exploitation-involving-minor-madera-county, https://www.justice.gov/usao-ndin/pr/fort-wayne-man-sentenced-to15-years-prison</t>
  </si>
  <si>
    <t>https://www.courtlistener.com/docket/14566902/united-states-v-trischler/</t>
  </si>
  <si>
    <t>Andrew Chu</t>
  </si>
  <si>
    <t>February 5, 2019</t>
  </si>
  <si>
    <t>https://www.justice.gov/usao-nj/pr/union-county-new-jersey-man-charged-receiving-child-pornography</t>
  </si>
  <si>
    <t>Carl Scott Ruger</t>
  </si>
  <si>
    <t>https://www.justice.gov/usao-sdga/pr/three-men-admit-producing-child-pornography</t>
  </si>
  <si>
    <t>Steven Carme</t>
  </si>
  <si>
    <t>February 6, 2019</t>
  </si>
  <si>
    <t>https://www.justice.gov/usao-ma/pr/marstons-mills-man-arrested-child-pornography-offense</t>
  </si>
  <si>
    <t>Christopher Nebling</t>
  </si>
  <si>
    <t>https://www.justice.gov/usao-wdar/pr/springdale-man-sentenced-30-years-federal-prison-producing-child-pornography</t>
  </si>
  <si>
    <t>https://www.courtlistener.com/docket/14776918/united-states-v-nebling/</t>
  </si>
  <si>
    <t>James Millette</t>
  </si>
  <si>
    <t>https://www.justice.gov/usao-edpa/pr/reading-pa-man-sentenced-19-years-stockpile-200000-images-child-pornography</t>
  </si>
  <si>
    <t>Romello Dequaes Lee</t>
  </si>
  <si>
    <t>https://www.justice.gov/usao-sdtx/pr/houston-man-convicted-sex-trafficking-minors</t>
  </si>
  <si>
    <t>John Michael Whitehead</t>
  </si>
  <si>
    <t>https://www.justice.gov/usao-mt/pr/belgrade-man-sentenced-20-years-prison-child-porn-crimes</t>
  </si>
  <si>
    <t>Jim Lundi</t>
  </si>
  <si>
    <t>https://www.justice.gov/usao-sdfl/pr/miami-resident-sentenced-25-years-prison-sex-trafficking-minor</t>
  </si>
  <si>
    <t>https://www.courtlistener.com/docket/14733728/united-states-v-lundi/</t>
  </si>
  <si>
    <t>Michael Alex Miller</t>
  </si>
  <si>
    <t>https://www.justice.gov/usao-sdms/pr/gulfport-man-pleads-guilty-accessing-child-pornography , https://www.fbi.gov/contact-us/field-offices/jackson/news/press-releases/gulfport-man-sentenced-to-almost-six-years-in-federal-prison-for-accessing-child-pornography</t>
  </si>
  <si>
    <t>William M Bell</t>
  </si>
  <si>
    <t>https://www.justice.gov/usao-cdil/pr/st-joseph-man-indicted-child-pornography-charges , https://www.justice.gov/usao-cdil/pr/st-joseph-man-sentenced-seven-years-prison-child-pornography-crimes</t>
  </si>
  <si>
    <t>https://herald-review.com/news/local/crime-and-courts/former-monticello-school-district-employee-indicted-on-child-pornography-charges/article_629c9b15-1b01-5e5c-992b-274966bd7385.html</t>
  </si>
  <si>
    <t>https://www.courtlistener.com/docket/14672726/united-states-v-bell/</t>
  </si>
  <si>
    <t>https://archive.fo/wdPsE</t>
  </si>
  <si>
    <t>Derek Edward Thomas</t>
  </si>
  <si>
    <t>Project Safe Childhood-Sexual abuse of a child and CP charges</t>
  </si>
  <si>
    <t>https://www.justice.gov/usao-edva/pr/man-sentenced-sexually-abusing-child-and-child-pornography</t>
  </si>
  <si>
    <t>Travis Sanders</t>
  </si>
  <si>
    <t>https://www.justice.gov/usao-wdny/pr/former-jamestown-resident-charged-receipt-and-distribution-child-pornography</t>
  </si>
  <si>
    <t>https://www.wkbw.com/news/local-news/former-jamestown-man-arrested-on-child-pornography-charges, https://thejuniorhockeynews.com/the-death-pool-na3hl-head-coach-arrested-for-child-porn/</t>
  </si>
  <si>
    <t>https://archive.fo/Cy5V6</t>
  </si>
  <si>
    <t>https://archive.fo/4hKmQ</t>
  </si>
  <si>
    <t>Tyrin B Davis</t>
  </si>
  <si>
    <t>https://www.justice.gov/usao-ndoh/pr/euclid-man-arrested-after-he-directed-13-year-old-girl-send-him-nude-photos-herself-and</t>
  </si>
  <si>
    <t>Vorarut Vorasiangsuk</t>
  </si>
  <si>
    <t>https://www.justice.gov/usao-mdfl/pr/orlando-healthcare-worker-convicted-receipt-and-possession-child-pornography, https://www.justice.gov/usao-mdfl/pr/former-hospital-worker-sentenced-14-years-child-pornography-offenses</t>
  </si>
  <si>
    <t>https://www.courtlistener.com/docket/14555447/united-states-v-vorasiangsuk/</t>
  </si>
  <si>
    <t>William Derek Williams</t>
  </si>
  <si>
    <t>https://www.justice.gov/usao-wdmo/pr/cameron-high-school-teacher-indicted-producing-child-pornography</t>
  </si>
  <si>
    <t>https://www.kansascity.com/news/local/crime/article226245055.html</t>
  </si>
  <si>
    <t>https://archive.fo/YAfTN</t>
  </si>
  <si>
    <t>https://archive.fo/odAi9</t>
  </si>
  <si>
    <t>Travis Elconin</t>
  </si>
  <si>
    <t>https://www.justice.gov/usao-cdca/pr/former-nanny-sentenced-30-years-federal-prison-producing-child-pornography-multiple</t>
  </si>
  <si>
    <t>https://www.courtlistener.com/docket/14585178/united-states-v-elconin/</t>
  </si>
  <si>
    <t>James Hamilton</t>
  </si>
  <si>
    <t>https://www.justice.gov/usao-edky/pr/fort-thomas-man-sentenced-90-months-distribution-child-pornography</t>
  </si>
  <si>
    <t>Blake Spears</t>
  </si>
  <si>
    <t>https://www.justice.gov/usao-ndny/pr/guilderland-man-arrested-child-pornography-charges, https://www.justice.gov/usao-ndny/pr/guilderland-man-indicted-sexually-exploiting-child , https://www.justice.gov/usao-ndny/pr/guilderland-man-pleads-guilty-sexually-exploiting-child</t>
  </si>
  <si>
    <t>https://www.courtlistener.com/docket/14674645/united-states-v-spears/</t>
  </si>
  <si>
    <t>Heber Obed Hernandez-Martinez</t>
  </si>
  <si>
    <t>https://www.cbp.gov/newsroom/local-media-release/border-patrol-arrests-previously-deported-sex-offender-0</t>
  </si>
  <si>
    <t>Matthew Eric Dolven</t>
  </si>
  <si>
    <t>n</t>
  </si>
  <si>
    <t>https://www.justice.gov/usao-mn/pr/chippewa-county-man-sentenced-30-years-prison-producing-images-child-sexual-abuse</t>
  </si>
  <si>
    <t>https://www.courtlistener.com/docket/14742951/united-states-v-dolven/</t>
  </si>
  <si>
    <t>Jacob Tunison</t>
  </si>
  <si>
    <t>https://www.justice.gov/usao-wdny/pr/olean-man-arrested-production-child-pornography , https://www.fbi.gov/contact-us/field-offices/buffalo/news/press-releases/olean-man-pleads-guilty-to-receipt-of-child-pornograph, https://www.justice.gov/usao-wdny/pr/olean-man-going-prison-more-15-years-receipt-child-pornographyy</t>
  </si>
  <si>
    <t>Walter Read</t>
  </si>
  <si>
    <t>https://www.justice.gov/usao-vt/pr/east-dorset-man-charged-second-federal-child-pornography-crime</t>
  </si>
  <si>
    <t>https://www.courtlistener.com/docket/14867760/united-states-v-read/</t>
  </si>
  <si>
    <t>Stephen Bayne Fields, Jr.</t>
  </si>
  <si>
    <t>https://www.justice.gov/usao-md/pr/towson-man-sentenced-12-years-federal-prison-distribution-child-pornography , https://www.justice.gov/usao-edky/pr/former-harrison-county-constable-convicted-using-minor-produce-sexually-explicit-images</t>
  </si>
  <si>
    <t>https://www.courtlistener.com/?q=&amp;type=r&amp;order_by=score+desc&amp;docket_number=1%3A19-cr-00085&amp;court=mdd</t>
  </si>
  <si>
    <t>Archie Kissling</t>
  </si>
  <si>
    <t>https://www.justice.gov/usao-edpa/pr/delaware-county-man-sentenced-35-years-sexually-abusing-and-recording-abuse-young-boy</t>
  </si>
  <si>
    <t>Marek Grigsby</t>
  </si>
  <si>
    <t>https://www.justice.gov/usao-sdoh/pr/centerville-man-sentenced-more-27-years-prison-creating-obscene-sexually-abusive-videos</t>
  </si>
  <si>
    <t>https://www.cbp.gov/newsroom/local-media-release/yuma-agents-arrest-armed-smuggler-and-continue-be-overwhelmed</t>
  </si>
  <si>
    <t>https://www.cbp.gov/newsroom/local-media-release/yuma-agents-recover-second-gun-human-smugglers-less-48-hours</t>
  </si>
  <si>
    <t>Gary L Boyle</t>
  </si>
  <si>
    <t>https://www.justice.gov/usao-cdil/pr/decatur-area-man-charged-federal-child-sexual-exploitation-possession-child-pornography , https://www.justice.gov/usao-cdil/pr/decatur-man-serve-90-years-prison-child-sex-crimes</t>
  </si>
  <si>
    <t>https://www.courtlistener.com/docket/14780769/united-states-v-boyle/</t>
  </si>
  <si>
    <t>Phillip R. Andrews</t>
  </si>
  <si>
    <t>https://www.justice.gov/usao-nh/pr/gilford-man-sentenced-84-months-transportation-child-pornography</t>
  </si>
  <si>
    <t>John Jackson</t>
  </si>
  <si>
    <t>https://www.justice.gov/usao-vi/pr/federal-authorities-arrested-st-thomas-boxer-producing-child-pornography</t>
  </si>
  <si>
    <t>http://www.virginislandsnewsonline.com/en/news/feds-arrest-usvi-boxer-john-a-jackson-for-producing-child-porn-/</t>
  </si>
  <si>
    <t>http://archive.fo/eVhJm</t>
  </si>
  <si>
    <t>http://archive.fo/qHhVl</t>
  </si>
  <si>
    <t>Edy Giovanni Fuentes-Alvarado / Kenia Yamileth Gomez-Caballero</t>
  </si>
  <si>
    <t>https://www.justice.gov/usao-sdca/pr/asylum-seekers-charged-alien-smuggling</t>
  </si>
  <si>
    <t>https://www.courtlistener.com/?q=&amp;type=r&amp;order_by=score+desc&amp;docket_number=3%3A19-mj-00808&amp;court=casd</t>
  </si>
  <si>
    <t>Gary James Dokulil</t>
  </si>
  <si>
    <t>https://www.justice.gov/usao-mn/pr/maplewood-man-sentenced-160-months-prison-distribution-child-pornography-passport-fraud</t>
  </si>
  <si>
    <t>Andrew Nicholas</t>
  </si>
  <si>
    <t>https://www.justice.gov/usao-nj/pr/gloucester-county-man-admits-sexual-exploitation-children-and-distribution-child</t>
  </si>
  <si>
    <t>Gabriel Fournier</t>
  </si>
  <si>
    <t>https://www.justice.gov/usao-edmi/pr/detroit-man-arrested-production-possession-child-pornography</t>
  </si>
  <si>
    <t>https://www.courtlistener.com/docket/15696243/united-states-v-fournier/</t>
  </si>
  <si>
    <t>Michael Paul Murphy</t>
  </si>
  <si>
    <t>https://www.justice.gov/usao-ks/pr/pittsburg-man-sentenced-27-years-producing-child-porn</t>
  </si>
  <si>
    <t>Michael Moran</t>
  </si>
  <si>
    <t>https://www.justice.gov/usao-wdpa/pr/south-park-man-charged-possessing-and-distributing-child-pornography</t>
  </si>
  <si>
    <t>https://www.courtlistener.com/docket/14868645/united-states-v-moran/</t>
  </si>
  <si>
    <t>Lorenzo Randall</t>
  </si>
  <si>
    <t>https://www.justice.gov/usao-sdny/pr/us-attorney-announces-charges-against-11-defendants-sex-trafficking-and-related</t>
  </si>
  <si>
    <t>https://patch.com/new-york/bayshore/11-long-islanders-charged-human-trafficking-takedown</t>
  </si>
  <si>
    <t>https://www.courtlistener.com/?q=&amp;type=r&amp;order_by=score+desc&amp;docket_number=1%3A19-cr-00131&amp;court=nysd</t>
  </si>
  <si>
    <t>http://archive.fo/tTwI9</t>
  </si>
  <si>
    <t>Justin Rivera (Randall et al)</t>
  </si>
  <si>
    <t>Dwayne Conley (Randall et al)</t>
  </si>
  <si>
    <t>Ricarda Diamond (Randall et al)</t>
  </si>
  <si>
    <t>Brian Smith (Randall et al)</t>
  </si>
  <si>
    <t>Carl Andrews (Randall et al)</t>
  </si>
  <si>
    <t>Geraldine Faustin (Randall et al)</t>
  </si>
  <si>
    <t>Franklin Francisco (Randall et al)</t>
  </si>
  <si>
    <t>Anthony Darby (Randall et al)</t>
  </si>
  <si>
    <t>Kari Parker (Randall et al)</t>
  </si>
  <si>
    <t>Magen Moreau (Randall et al)</t>
  </si>
  <si>
    <t>Michael Lawrence Garcia-Torres</t>
  </si>
  <si>
    <t>https://www.justice.gov/usao-ndal/pr/bessemer-man-pleads-guilty-child-pornography-charges</t>
  </si>
  <si>
    <t>Kevin Daniel Mongold , Jr.</t>
  </si>
  <si>
    <t>https://www.justice.gov/usao-md/pr/baltimore-county-man-sentenced-23-years-federal-prison-production-child-pornography</t>
  </si>
  <si>
    <t>Edwin Edgardo Tercero</t>
  </si>
  <si>
    <t>https://www.cbp.gov/newsroom/local-media-release/operation-stonegarden-results-arrest-suspected-human-smuggler</t>
  </si>
  <si>
    <t>https://www.courtlistener.com/docket/14586870/united-states-v-tercero/</t>
  </si>
  <si>
    <t>Honduras</t>
  </si>
  <si>
    <t>https://www.cbp.gov/newsroom/local-media-release/yuma-sector-canine-team-halts-human-smuggling-attempt</t>
  </si>
  <si>
    <t>Andrew Campbell</t>
  </si>
  <si>
    <t>https://www.justice.gov/usao-wdny/pr/albion-man-charged-possessing-child-pornography, https://www.justice.gov/usao-wdny/pr/albion-man-pleads-guilty-possessing-child-pornography</t>
  </si>
  <si>
    <t>https://www.justice.gov/usao-nj/pr/gloucester-county-new-jersey-man-charged-sexual-exploitation-children-and-distribution , https://www.justice.gov/usao-nj/pr/gloucester-county-man-admits-sexual-exploitation-children-and-distribution-child</t>
  </si>
  <si>
    <t>Charles Victor Kopfstein-Penk</t>
  </si>
  <si>
    <t>Jeffrey Alan Dinkel</t>
  </si>
  <si>
    <t>https://www.justice.gov/usao-mdfl/pr/fort-myers-man-sentenced-more-six-years-possessing-child-sex-abuse-images-and-videos</t>
  </si>
  <si>
    <t>Bruce Singer</t>
  </si>
  <si>
    <t>https://www.justice.gov/usao-ma/pr/southampton-man-pleads-guilty-child-pornography-offenses</t>
  </si>
  <si>
    <t>James Keener</t>
  </si>
  <si>
    <t>https://www.justice.gov/usao-ndwv/pr/fairmont-man-admits-child-pornography-charge</t>
  </si>
  <si>
    <t>William Barratt</t>
  </si>
  <si>
    <t>https://www.justice.gov/usao-mdpa/pr/luzerne-county-man-sentenced-five-years-imprisonment-receiving-child-pornography</t>
  </si>
  <si>
    <t>https://www.timesleader.com/news/799024/sugarloaf-man-gets-federal-prison-in-child-porn-case</t>
  </si>
  <si>
    <t>https://archive.vn/wip/4402K</t>
  </si>
  <si>
    <t>https://archive.vn/UlFRs</t>
  </si>
  <si>
    <t>Casey Kountze</t>
  </si>
  <si>
    <t>https://www.justice.gov/usao-ne/pr/omaha-man-sentenced-66-months-distributing-child-pornography</t>
  </si>
  <si>
    <t>https://www.courtlistener.com/docket/14919010/united-states-v-kountze/</t>
  </si>
  <si>
    <t>Robert L. Hudson</t>
  </si>
  <si>
    <t>https://www.justice.gov/usao-sdoh/pr/west-carrolton-man-sentenced-16-years-prison-receiving-images-sexual-abuse-children</t>
  </si>
  <si>
    <t>Devin L. Ashford</t>
  </si>
  <si>
    <t>https://www.justice.gov/usao-ne/pr/federal-jury-convicts-lincoln-man-sex-trafficking-and-child-exploitation , https://www.justice.gov/usao-ne/pr/march-grand-jury-2 , https://www.justice.gov/usao-ne/pr/lincoln-man-sentenced-47-years-trafficking-minors</t>
  </si>
  <si>
    <t>https://www.wowt.com/2020/08/13/lincoln-man-convicted-on-four-counts-in-sex-trafficking-case/</t>
  </si>
  <si>
    <t>https://archive.vn/i6PZN</t>
  </si>
  <si>
    <t>https://archive.vn/h4aY6</t>
  </si>
  <si>
    <t>Kirk Grubler</t>
  </si>
  <si>
    <t>https://www.justice.gov/usao-ndwv/pr/ohio-county-man-admits-child-pornography-charge-0</t>
  </si>
  <si>
    <t>Concepcion Malinek</t>
  </si>
  <si>
    <t>Forced labor, human trafficking</t>
  </si>
  <si>
    <t>https://www.ice.gov/news/releases/chicago-area-woman-pleads-guilty-federal-labor-trafficking</t>
  </si>
  <si>
    <t>https://chicago.suntimes.com/crime/2020/7/28/21345615/woman-accused-keeping-guatemalan-immigrants-home-admits-forced-labor , https://www.usatoday.com/story/news/nation/2020/07/29/woman-accused-keeping-guatemala-immigrants-basement-pleads-guilty/5535070002/</t>
  </si>
  <si>
    <t>https://archive.vn/KU9DV</t>
  </si>
  <si>
    <t>https://archive.vn/E3c3p</t>
  </si>
  <si>
    <t>Jeremy McQuage</t>
  </si>
  <si>
    <t>https://www.justice.gov/usao-wdnc/pr/anson-county-man-sentenced-more-13-years-child-pornography</t>
  </si>
  <si>
    <t>Cory D. Preitauer</t>
  </si>
  <si>
    <t>https://www.justice.gov/usao-ne/pr/north-platte-man-receives-40-year-sentence-production-child-pornography-0</t>
  </si>
  <si>
    <t>Dylan Blake LaPlant</t>
  </si>
  <si>
    <t>https://www.justice.gov/usao-mt/pr/informational-federal-court-arraignments-39, https://www.justice.gov/usao-mt/pr/browning-man-sentenced-five-years-prison-distributing-receiving-child-pornography</t>
  </si>
  <si>
    <t>https://www.courtlistener.com/docket/14942363/united-states-v-laplant/</t>
  </si>
  <si>
    <t>Torrie Chermaine Austin</t>
  </si>
  <si>
    <t>https://www.justice.gov/usao-sdfl/pr/martin-county-man-pleads-guilty-producing-videos-sexual-exploitation-minor</t>
  </si>
  <si>
    <t>https://www.courtlistener.com/docket/14846771/united-states-v-austin/</t>
  </si>
  <si>
    <t>Brian Louk</t>
  </si>
  <si>
    <t>https://www.justice.gov/usao-ndoh/pr/elyria-man-indicted-child-pornography-charges</t>
  </si>
  <si>
    <t>https://www.courtlistener.com/docket/14607552/united-states-v-louk/</t>
  </si>
  <si>
    <t>https://www.cbp.gov/newsroom/local-media-release/tandem-vehicle-smuggling-attempt-stopped-border-patrol</t>
  </si>
  <si>
    <t>David Gfeller</t>
  </si>
  <si>
    <t>https://www.justice.gov/usao-wdny/pr/palmyra-man-arrested-multiple-child-pornography-charges , https://www.justice.gov/usao-wdny/pr/palmyra-man-going-prison-15-years-producing-child-pornography</t>
  </si>
  <si>
    <t>https://waynetimes.com/news/palmyra-man-charged-with-production-distribution-receipt-and-possession-of-child-pornography/</t>
  </si>
  <si>
    <t>http://archive.fo/vpvIv</t>
  </si>
  <si>
    <t>http://archive.fo/IeaVb</t>
  </si>
  <si>
    <t>Bruce R Sturtz</t>
  </si>
  <si>
    <t>https://www.justice.gov/usao-md/pr/gaithersburg-sex-offender-indicted-federal-charges-possession-and-distribution-child , https://www.justice.gov/usao-md/pr/gaithersburg-sex-offender-pleads-guilty-federal-charge-possession-child-pornography</t>
  </si>
  <si>
    <t>Kelly Stephen Ratcliffe</t>
  </si>
  <si>
    <t>https://www.justice.gov/usao-mdfl/pr/pinellas-county-man-sentenced-more-nine-years-receiving-and-possessing-child-sex-abuse</t>
  </si>
  <si>
    <t>https://www.courtlistener.com/docket/14622160/united-states-v-ratcliffe/</t>
  </si>
  <si>
    <t>Colum Patrick Moran Jr</t>
  </si>
  <si>
    <t>https://www.justice.gov/usao-mdfl/pr/jacksonville-man-arrested-and-charged-soliciting-child-pornography-internet-blog</t>
  </si>
  <si>
    <t>https://www.courtlistener.com/docket/14758349/united-states-v-moran/</t>
  </si>
  <si>
    <t>Moeun Yoeun</t>
  </si>
  <si>
    <t>https://www.justice.gov/usao-wdwa/pr/active-duty-soldier-jblm-arrested-charges-he-traveled-foreign-country-sex-children</t>
  </si>
  <si>
    <t>https://www.courtlistener.com/docket/14872078/united-states-v-yoeun/</t>
  </si>
  <si>
    <t>James John Edwards</t>
  </si>
  <si>
    <t>https://www.justice.gov/usao-mdfl/pr/brevard-county-man-convicted-possession-child-pornography , https://www.justice.gov/usao-mdfl/pr/brevard-man-sentenced-9-years-possession-child-pornography</t>
  </si>
  <si>
    <t>https://www.courtlistener.com/docket/14623515/united-states-v-edwards/</t>
  </si>
  <si>
    <t>Benjamin E Walter</t>
  </si>
  <si>
    <t>https://www.justice.gov/usao-ndal/pr/alabama-man-indicted-allegedly-producing-child-pornography</t>
  </si>
  <si>
    <t>https://www.cbp.gov/newsroom/local-media-release/border-patrol-disrupts-alien-smuggling-event-upstate-new-york</t>
  </si>
  <si>
    <t>Michael Alan White</t>
  </si>
  <si>
    <t>https://www.justice.gov/usao-sdia/pr/iowa-city-man-sentenced-federal-prison-receipt-child-pornography</t>
  </si>
  <si>
    <t>Ricardo Dale Alva</t>
  </si>
  <si>
    <t>https://www.justice.gov/usao-sdga/pr/appling-man-indicted-possession-child-pornography</t>
  </si>
  <si>
    <t>https://www.cbp.gov/newsroom/local-media-release/human-smuggling-attempt-semi-tractor-trailer-thwarted-bp-checkpoint</t>
  </si>
  <si>
    <t>Alexander Oliveira</t>
  </si>
  <si>
    <t>https://www.justice.gov/usao-ct/pr/stamford-man-sentenced-8-years-distributing-images-child-sexual-abuse-other-offenses</t>
  </si>
  <si>
    <t>Jacquolyn Walls-Land</t>
  </si>
  <si>
    <t>https://www.justice.gov/usao-edky/pr/boyle-county-woman-pleads-guilty-production-child-pornography , https://www.justice.gov/usao-edky/pr/boyle-county-woman-sentenced-270-months-production-child-pornography</t>
  </si>
  <si>
    <t>https://lex18.com/news/covering-kentucky/2019/03/09/boyle-co-pair-indicted-on-child-porn-charges/</t>
  </si>
  <si>
    <t>http://archive.fo/leTww</t>
  </si>
  <si>
    <t>http://archive.fo/79gIA</t>
  </si>
  <si>
    <t>Richard Derringer</t>
  </si>
  <si>
    <t>https://www.justice.gov/usao-edky/pr/boyle-county-woman-sentenced-270-months-production-child-pornography https://www.justice.gov/usao-edky/pr/boyle-county-man-sentenced-life-prison-production-child-pornography-and-distribution https://www.justice.gov/usao-edky/pr/boyle-county-man-sentenced-life-prison-100-years-production-child-pornography-and https://www.justice.gov/usao-edky/pr/boyle-county-man-sentenced-100-years-prision-production-child-pornography-and https://www.justice.gov/usao-edky/pr/boyle-county-man-convicted-production-child-pornography-and-distribution https://www.justice.gov/usao-edky/pr/boyle-county-woman-pleads-guilty-production-child-pornography</t>
  </si>
  <si>
    <t>http://archive.fo/q1TfB</t>
  </si>
  <si>
    <t>Bruce Williams</t>
  </si>
  <si>
    <t>https://www.justice.gov/usao-ndny/pr/rensselaer-man-sentenced-20-years-distribution-and-receipt-child-pornography</t>
  </si>
  <si>
    <t>https://www.courtlistener.com/?q=&amp;type=r&amp;order_by=score+desc&amp;docket_number=1%3A19-cr-00074&amp;court=nynd</t>
  </si>
  <si>
    <t>Gianluca Quagliaroli</t>
  </si>
  <si>
    <t>https://www.justice.gov/usao-sdms/pr/ex-keesler-airman-sentenced-over-ten-years-federal-prison-child-pornography-0</t>
  </si>
  <si>
    <t>https://www.cbp.gov/newsroom/local-media-release/technology-thwarts-human-smuggler-immigration-checkpoint</t>
  </si>
  <si>
    <t>Eric Tran Thai</t>
  </si>
  <si>
    <t>https://www.justice.gov/usao-ma/pr/boston-man-arrested-sexual-exploitation-children , https://www.justice.gov/usao-ma/pr/boston-man-pleads-guilty-possession-child-pornography</t>
  </si>
  <si>
    <t>Jeffrey Shreve</t>
  </si>
  <si>
    <t>John Carl Sanders</t>
  </si>
  <si>
    <t>https://www.justice.gov/usao-sd/pr/box-elder-man-sentenced-prison-enticing-minor-using-internet</t>
  </si>
  <si>
    <t>John Robert Wright, III</t>
  </si>
  <si>
    <t>https://www.justice.gov/usao-md/pr/sex-offender-sentenced-30-years-federal-prison-production-child-pornography</t>
  </si>
  <si>
    <t>Gary Whisner</t>
  </si>
  <si>
    <t>https://www.justice.gov/usao-wdpa/pr/pittsburgh-child-pornography-distributor-sentenced-more-9-years-prison</t>
  </si>
  <si>
    <t>Angel M Gomez</t>
  </si>
  <si>
    <t>https://www.justice.gov/usao-ndny/pr/schoharie-county-man-arrested-distribution-child-pornography</t>
  </si>
  <si>
    <t>https://www.courtlistener.com/docket/14687881/united-states-v-gomez/</t>
  </si>
  <si>
    <t>Austin Pratt</t>
  </si>
  <si>
    <t>https://www.justice.gov/usao-wdny/pr/school-athletic-trainer-charged-enticing-minor-and-production-child-pornography, https://www.justice.gov/usao-wdny/pr/grand-jury-indicts-former-school-athletic-trainer-multiple-charges-including-enticing</t>
  </si>
  <si>
    <t>https://www.democratandchronicle.com/story/news/2019/03/13/austin-pratt-geneseo-school-athletic-trainer-charged-enticing-minor-and-producing-child-porn/3155720002/</t>
  </si>
  <si>
    <t>http://archive.fo/CgDtj</t>
  </si>
  <si>
    <t>http://archive.fo/N2DFi</t>
  </si>
  <si>
    <t>Justin Bower Neisler</t>
  </si>
  <si>
    <t>https://www.justice.gov/usao-co/pr/denver-doctor-charged-transportation-child-pornography-and-federal-custody   https://www.justice.gov/usao-co/pr/additional-federal-charges-added-against-denver-doctor-justin-neisler-production-child , https://www.justice.gov/usao-co/pr/denver-doctor-justin-neisler-sentenced-twenty-three-years-federal-prison-producing-child</t>
  </si>
  <si>
    <t>https://fox61.com/2019/03/28/denver-doctor-arrested-on-child-porn-charges-allegedly-filmed-his-patients/  https://www.denverpost.com/2019/03/26/denver-doctor-justin-neisler-child-pornography/   https://www.justice.gov/usao-co/pr/denver-doctor-charged-transportation-child-pornography-and-federal-custody ,https://www.justice.gov/usao-co/pr/denver-doctor-justin-neisler-pleads-guilty-producing-child-pornography</t>
  </si>
  <si>
    <t>https://www.courtlistener.com/docket/14897563/united-states-v-neisler/</t>
  </si>
  <si>
    <t>http://archive.fo/k8wCc</t>
  </si>
  <si>
    <t>https://web.archive.org/web/20190330001412/https://i0.wp.com/www.denverpost.com/wp-content/uploads/2019/03/yb35amvqjvptvn3hhlho.jpg?fit=620%2C9999px&amp;ssl=1/</t>
  </si>
  <si>
    <t>Joshua Davis Loucks</t>
  </si>
  <si>
    <t>https://www.justice.gov/usao-wdpa/pr/former-erie-resident-indicted-charges-relating-sexual-exploitation-children , https://www.justice.gov/usao-wdpa/pr/former-erie-man-pleads-guilty-12-counts-producing-child-pornography</t>
  </si>
  <si>
    <t>https://www.courtlistener.com/docket/14684038/united-states-v-loucks/</t>
  </si>
  <si>
    <t>Mark Miller</t>
  </si>
  <si>
    <t>https://www.justice.gov/usao-nj/pr/hunterdon-county-new-jersey-man-charged-distributing-images-child-sexual-abuse</t>
  </si>
  <si>
    <t xml:space="preserve"> Anildar Valdimir Roblero-Gomez</t>
  </si>
  <si>
    <t>https://www.justice.gov/usao-ndny/pr/mexican-citizen-arrested-child-pornography-charges , https://www.justice.gov/usao-ndny/pr/ellisburg-man-sentenced-federal-child-pornography-charges</t>
  </si>
  <si>
    <t>https://www.courtlistener.com/?q=&amp;type=r&amp;order_by=score+desc&amp;docket_number=5%3A19-mj-00150&amp;court=nynd</t>
  </si>
  <si>
    <t>Jorge Alvarez</t>
  </si>
  <si>
    <t>https://www.justice.gov/usao-wdny/pr/california-man-arrested-production-child-pornography</t>
  </si>
  <si>
    <t>Candis Sue Marie Wynn / Daniel Robert Parker</t>
  </si>
  <si>
    <t>https://www.justice.gov/usao-ndoh/pr/pair-mahoning-valley-indicted-sexually-exploiting-minor-0</t>
  </si>
  <si>
    <t>https://www.courtlistener.com/?q=&amp;type=r&amp;order_by=score+desc&amp;docket_number=4%3A19-cr-00151&amp;court=ohnd</t>
  </si>
  <si>
    <t>http://archive.fo/JEdpB</t>
  </si>
  <si>
    <t>http://archive.fo/VqdBA</t>
  </si>
  <si>
    <t>Michael Chapman</t>
  </si>
  <si>
    <t>https://www.justice.gov/usao-ma/pr/worcester-man-charged-possessing-child-pornography, https://www.justice.gov/usao-ma/pr/worcester-man-pleads-guilty-child-pornography-offenses</t>
  </si>
  <si>
    <t>https://www.courtlistener.com/?q=&amp;type=r&amp;order_by=score+desc&amp;docket_number=4%3A19-mj-04173&amp;court=mad</t>
  </si>
  <si>
    <t>Benjamin Campbell</t>
  </si>
  <si>
    <t>https://www.justice.gov/usao-ndwv/pr/martinsburg-man-admits-child-pornography-charge</t>
  </si>
  <si>
    <t>https://www.courtlistener.com/?q=&amp;type=r&amp;order_by=score+desc&amp;docket_number=3%3A19-cr-00016&amp;court=wvnd</t>
  </si>
  <si>
    <t>Jennifer Sandoval</t>
  </si>
  <si>
    <t>https://www.rgj.com/story/news/crime/2019/03/15/reno-woman-allegedly-involved-sex-trafficking/3177974002/</t>
  </si>
  <si>
    <t>http://archive.fo/NfrfK</t>
  </si>
  <si>
    <t>http://archive.fo/aNrDI</t>
  </si>
  <si>
    <t>https://www.cbp.gov/newsroom/local-media-release/nogales-bp-agents-stop-smuggling-attempt</t>
  </si>
  <si>
    <t>William Rolen</t>
  </si>
  <si>
    <t>https://www.justice.gov/usao-ndia/pr/new-hampton-man-charged-child-sexual-exploitation-offenses</t>
  </si>
  <si>
    <t>Xavier Lee</t>
  </si>
  <si>
    <t>Sex trafficking of a minor/ CP production &amp; related charges</t>
  </si>
  <si>
    <t>https://www.justice.gov/usao-md/pr/cecil-county-pimp-indicted-federal-charges-including-sex-trafficking-child-production</t>
  </si>
  <si>
    <t>https://www.courtlistener.com/docket/14845952/united-states-v-lee/</t>
  </si>
  <si>
    <t>Hashim J. McCullough</t>
  </si>
  <si>
    <t>https://www.justice.gov/usao-wdny/pr/rochester-daycare-worker-arrested-charged-attempting-have-sex-minor</t>
  </si>
  <si>
    <t>https://www.democratandchronicle.com/story/news/2019/03/15/hashim-mccullough-lewis-street-ymca-rochester-sex-solicitation-teenager/3177333002/</t>
  </si>
  <si>
    <t>http://archive.fo/sbAhd</t>
  </si>
  <si>
    <t>http://archive.fo/ng0h6</t>
  </si>
  <si>
    <t>https://www.cbp.gov/newsroom/local-media-release/fence-breach-leads-human-smuggling-case</t>
  </si>
  <si>
    <t>Bryce Carter Studebaker</t>
  </si>
  <si>
    <t>https://www.justice.gov/usao-edca/pr/us-air-force-member-charged-producing-and-receiving-child-pornography</t>
  </si>
  <si>
    <t>https://www.courtlistener.com/docket/14796232/united-states-v-studebaker/</t>
  </si>
  <si>
    <t>Otis Ray Mays</t>
  </si>
  <si>
    <t>https://www.justice.gov/usao-mn/pr/minneapolis-man-charged-wire-fraud-child-pornography , https://www.justice.gov/usao-mn/pr/minneapolis-man-pleads-guilty-wire-fraud-child-pornography</t>
  </si>
  <si>
    <t>https://www.courtlistener.com/docket/14717022/united-states-v-mays-jr/</t>
  </si>
  <si>
    <t>Travis Allen Larkin</t>
  </si>
  <si>
    <t>https://www.justice.gov/usao-ne/pr/lincoln-man-sentenced-human-trafficking-sting</t>
  </si>
  <si>
    <t>Kaden Sylvester</t>
  </si>
  <si>
    <t>https://www.justice.gov/usao-wdny/pr/rochester-man-convicted-enticing-minor-online-going-prison-12-years</t>
  </si>
  <si>
    <t>Michael J Kurtz</t>
  </si>
  <si>
    <t>https://www.justice.gov/usao-ndny/pr/albany-man-charged-distributing-and-receiving-child-pornography</t>
  </si>
  <si>
    <t>https://www.courtlistener.com/docket/14741870/united-states-v-kurtz/</t>
  </si>
  <si>
    <t>Andrew Hilmar Sanchez</t>
  </si>
  <si>
    <t>https://www.justice.gov/usao-wdtn/pr/hardin-county-man-indicted-production-child-pornography-and-possession-child</t>
  </si>
  <si>
    <t>Cory R. Proplesch</t>
  </si>
  <si>
    <t>Project Safe Childhood-Cyberstalking &amp; CP related charges</t>
  </si>
  <si>
    <t>https://www.justice.gov/usao-ne/pr/la-vista-man-sentenced-cyberstalking-and-child-pornography</t>
  </si>
  <si>
    <t>James K. Young</t>
  </si>
  <si>
    <t>https://www.justice.gov/usao-sdil/pr/st-clair-county-man-pleads-guilty-receiving-child-pornography</t>
  </si>
  <si>
    <t>https://www.courtlistener.com/docket/14759879/united-states-v-young/</t>
  </si>
  <si>
    <t>Ángel Gabriel Díaz-Rosado</t>
  </si>
  <si>
    <t>https://www.justice.gov/usao-pr/pr/youth-basketball-coach-arrested-attempted-production-child-pornography-and-coercion-and</t>
  </si>
  <si>
    <t>https://www.courtlistener.com/docket/14886487/united-states-v-diaz-rosado/</t>
  </si>
  <si>
    <t>Delshawn K. Trueheart</t>
  </si>
  <si>
    <t>https://www.justice.gov/usao-wdny/pr/buffalo-photographer-arrested-charged-possession-child-pornography   https://www.justice.gov/usao-wdny/pr/buffalo-photographer-facing-additional-charge-production-child-pornography</t>
  </si>
  <si>
    <t>Ronald Walsh</t>
  </si>
  <si>
    <t>https://www.justice.gov/usao-ma/pr/taunton-man-sentenced-child-pornography-offenses</t>
  </si>
  <si>
    <t>Robert William Cotter</t>
  </si>
  <si>
    <t>Keon Aspaas</t>
  </si>
  <si>
    <t>https://www.justice.gov/usao-ak/pr/eagle-river-man-sentenced-15-years-federal-prison-sexual-exploitation-minor-production</t>
  </si>
  <si>
    <t>Sean Patrick Farrelly</t>
  </si>
  <si>
    <t>https://www.justice.gov/usao-mdfl/pr/flagler-county-man-indicted-sex-trafficking-minor</t>
  </si>
  <si>
    <t>http://www.newsdaytonabeach.com/wndb-news/flagler-man-indicted-for-sex-trafficking-of-a-minor/</t>
  </si>
  <si>
    <t>https://www.courtlistener.com/docket/14765109/united-states-v-farrelly/</t>
  </si>
  <si>
    <t>http://archive.fo/c6i8R</t>
  </si>
  <si>
    <t>http://archive.fo/lKkiL</t>
  </si>
  <si>
    <t>Eric Eoin Marques</t>
  </si>
  <si>
    <t>https://www.justice.gov/usao-md/pr/alleged-dark-web-child-pornography-facilitator-extradited-united-states-face-federal , https://www.justice.gov/usao-md/pr/dark-web-child-pornography-facilitator-pleads-guilty-federal-charge-conspiracy-advertise</t>
  </si>
  <si>
    <t>https://heavy.com/news/2019/03/eric-eoin-marques/   https://www.rte.ie/news/analysis-and-comment/2019/0322/1037999-eric-eoin-marques/  https://www.irishtimes.com/news/crime-and-law/why-irishman-is-to-be-extradited-to-us-on-child-pornography-charges-1.3832931</t>
  </si>
  <si>
    <t>US/Ireland</t>
  </si>
  <si>
    <t>http://archive.fo/uKfVm</t>
  </si>
  <si>
    <t>http://archive.fo/04LgR</t>
  </si>
  <si>
    <t>Alcides Acosta-Euceda</t>
  </si>
  <si>
    <t>Aggravated sexual abuse of a minor</t>
  </si>
  <si>
    <t>https://www.ice.gov/news/releases/ice-new-york-arrests-previously-removed-salvadoran-national-sex-offender</t>
  </si>
  <si>
    <t>Jason Gatlin</t>
  </si>
  <si>
    <t>https://www.justice.gov/usao-sdfl/pr/42-year-old-convicted-sex-trafficking-minor-production-child-pornography-and-witness, https://www.justice.gov/usao-sdfl/pr/miami-resident-sentenced-life-prison-sex-trafficking-minor-producing-child-pornography</t>
  </si>
  <si>
    <t>https://www.courtlistener.com/docket/14809730/united-states-v-gatlin/</t>
  </si>
  <si>
    <t>Matthew Murphy</t>
  </si>
  <si>
    <t>https://www.justice.gov/usao-ma/pr/whitman-man-arrested-sexually-exploiting-children</t>
  </si>
  <si>
    <t>Christopher David Muggler</t>
  </si>
  <si>
    <t>https://www.justice.gov/usao-wdnc/pr/former-school-teacher-sentenced-six-years-receiving-child-pornography , https://www.justice.gov/usao-wdnc/pr/former-school-teacher-sentenced-six-years-receiving-child-pornography</t>
  </si>
  <si>
    <t>https://www.charlotteobserver.com/news/local/crime/article244795917.html</t>
  </si>
  <si>
    <t>https://archive.vn/wip/b2Aeo</t>
  </si>
  <si>
    <t>https://archive.vn/wip/0gz2p</t>
  </si>
  <si>
    <t>Brock A. Likens</t>
  </si>
  <si>
    <t>https://www.justice.gov/usao-ndny/pr/chenango-county-man-sentenced-78-months-child-pornography-convictions</t>
  </si>
  <si>
    <t>https://www.courtlistener.com/?q=&amp;type=r&amp;order_by=score+desc&amp;docket_number=3%3A19-cr-00111&amp;court=nynd</t>
  </si>
  <si>
    <t>James K Young</t>
  </si>
  <si>
    <t>https://www.justice.gov/usao-sdil/pr/st-clair-county-man-charged-distributing-and-receiving-child-pornography</t>
  </si>
  <si>
    <t xml:space="preserve"> John Michael Raley</t>
  </si>
  <si>
    <t>https://www.justice.gov/usao-md/pr/silver-spring-sex-offender-pleads-guilty-possession-child-pornography</t>
  </si>
  <si>
    <t>Josiah Raul Mosqueda</t>
  </si>
  <si>
    <t>https://www.justice.gov/usao-mn/pr/volunteer-and-former-employee-minneapolis-charter-school-charged-sexually-exploiting , https://www.justice.gov/usao-mn/pr/volunteer-and-former-employee-minneapolis-charter-school-sentenced-20-years-prison-child</t>
  </si>
  <si>
    <t>https://alphanewsmn.com/former-mpls-school-teacher-and-volunteer-charged-with-sexual-exploitation-of-minors/</t>
  </si>
  <si>
    <t>https://www.courtlistener.com/docket/14814044/united-states-v-mosqueda/</t>
  </si>
  <si>
    <t>http://archive.fo/lEiby</t>
  </si>
  <si>
    <t>http://archive.fo/kBDaR</t>
  </si>
  <si>
    <t>Brandon  W. Junge</t>
  </si>
  <si>
    <t>https://www.justice.gov/usao-sdil/pr/randolph-county-man-charged-transportation-and-possession-child-pornography-and</t>
  </si>
  <si>
    <t>Paul Joseph Wilson</t>
  </si>
  <si>
    <t>https://www.justice.gov/opa/pr/former-employee-dc-school-admits-transporting-child-pornography-across-state-lines-and</t>
  </si>
  <si>
    <t>https://www.wusa9.com/article/news/local/dc/former-st-albans-dorm-master-sentenced-for-transporting-sadistic-child-porn-images/65-66560f13-03a6-423b-b45e-9105dd60484d</t>
  </si>
  <si>
    <t>https://www.courtlistener.com/?q=&amp;type=r&amp;order_by=score+desc&amp;docket_number=1%3A19-cr-00102&amp;court=vaed</t>
  </si>
  <si>
    <t>http://archive.fo/OOXtq</t>
  </si>
  <si>
    <t>http://archive.fo/wuf8V</t>
  </si>
  <si>
    <t>John Ontko</t>
  </si>
  <si>
    <t>https://www.justice.gov/usao-ndwv/pr/morgantown-man-admits-child-pornography-charge</t>
  </si>
  <si>
    <t>https://www.cbp.gov/newsroom/local-media-release/convicted-felon-arrested-smuggling-three-illegal-aliens</t>
  </si>
  <si>
    <t>https://www.cbp.gov/newsroom/local-media-release/checkpoint-agents-stop-big-rig-smuggling-attempt-rio-grande-valley</t>
  </si>
  <si>
    <t>https://www.ice.gov/news/releases/ice-arrests-suspected-human-smuggler-54-illegal-aliens-el-paso-smuggling-stash-house</t>
  </si>
  <si>
    <t>Dylan T Flanigan</t>
  </si>
  <si>
    <t>https://www.justice.gov/usao-ndoh/pr/lorain-man-indicted-child-pornography-charges</t>
  </si>
  <si>
    <t>https://www.ksdk.com/article/news/local/shiloh-man-arrested-on-child-porn-charges/49449630</t>
  </si>
  <si>
    <t>https://www.courtlistener.com/docket/14819985/united-states-v-flanigan/</t>
  </si>
  <si>
    <t>Marc Lionel Lewis</t>
  </si>
  <si>
    <t>https://www.justice.gov/usao-mdfl/pr/jacksonville-man-pleads-guilty-distributing-child-sex-abuse-photos-over-internet</t>
  </si>
  <si>
    <t>Joshua Landicho</t>
  </si>
  <si>
    <t>https://www.fbi.gov/contact-us/field-offices/sanjuan/news/press-releases/arrest-of-joshua-landicho-and-trevor-l-doyle-for-attempted-sex-traffickingsexual-enticement-of-a-minor</t>
  </si>
  <si>
    <t>Nicholas Scott Campbell</t>
  </si>
  <si>
    <t>https://www.justice.gov/usao-mn/pr/otsego-man-sentenced-28-years-prison-production-child-pornography</t>
  </si>
  <si>
    <t>https://www.courtlistener.com/docket/14935572/united-states-v-campbell/</t>
  </si>
  <si>
    <t>https://www.cbp.gov/newsroom/local-media-release/woman-flees-border-patrol-checkpoint-two-illegal-aliens-trunk</t>
  </si>
  <si>
    <t>Diego Felipe Juan</t>
  </si>
  <si>
    <t>https://www.justice.gov/usao-ndia/pr/doon-iowa-man-sentenced-federal-prison-distributing-child-pornography</t>
  </si>
  <si>
    <t>Kevin James Forestier, Jr.</t>
  </si>
  <si>
    <t>https://www.justice.gov/usao-wdla/pr/scott-resident-sentenced-possession-child-pornography</t>
  </si>
  <si>
    <t>Louis Broadway-Phillips</t>
  </si>
  <si>
    <t>https://www.ice.gov/news/releases/arizona-sex-trafficker-sentenced-10-years-prison</t>
  </si>
  <si>
    <t>https://archive.vn/wip/Y2yZI</t>
  </si>
  <si>
    <t>Jason Monast</t>
  </si>
  <si>
    <t>https://www.justice.gov/usao-mdpa/pr/new-bedford-massachusetts-man-sentenced-25-years-imprisonment-child-pornography-charges</t>
  </si>
  <si>
    <t>John Shover</t>
  </si>
  <si>
    <t>https://www.justice.gov/usao-mdpa/pr/perry-county-man-sentenced-more-24-years-imprisonment-production-child-pornography</t>
  </si>
  <si>
    <t>Benjamin Adam McDonald</t>
  </si>
  <si>
    <t>https://www.justice.gov/usao-ndms/pr/desoto-county-man-sentenced-prison-possession-child-pornography</t>
  </si>
  <si>
    <t>https://www.ksla.com/2019/06/17/operation-broken-heart-arrested-mississippi-sex-crimes-against-children/</t>
  </si>
  <si>
    <t>http://archive.fo/WyPP4</t>
  </si>
  <si>
    <t>Richard Hunt Moore Jr.</t>
  </si>
  <si>
    <t>https://www.justice.gov/usao-sdga/pr/three-men-admit-producing-child-pornography , https://www.justice.gov/usao-sdga/pr/hephzibah-man-sentenced-22-years-federal-prison-producing-child-pornography</t>
  </si>
  <si>
    <t>https://www.courtlistener.com/docket/15619577/united-states-v-moore/</t>
  </si>
  <si>
    <t>Brian Garbe</t>
  </si>
  <si>
    <t>https://www.justice.gov/usao-wdwi/pr/grand-jury-returns-indictments-85</t>
  </si>
  <si>
    <t>https://www.courtlistener.com/docket/14993205/united-states-v-garbe-brian/</t>
  </si>
  <si>
    <t>Ariya Mangsanhanh</t>
  </si>
  <si>
    <t>https://www.justice.gov/usao-ndia/pr/storm-lake-iowa-man-sentenced-federal-prison-child-pornography</t>
  </si>
  <si>
    <t>James Snell</t>
  </si>
  <si>
    <t>Sexual exploitation of a child &amp; related charges</t>
  </si>
  <si>
    <t>https://www.justice.gov/usao-mt/pr/informational-federal-court-arraignments-41 ,https://www.justice.gov/usao-mt/pr/fort-belknap-man-sentenced-22-years-sexually-abusing-girl</t>
  </si>
  <si>
    <t>https://www.courtlistener.com/docket/14942432/united-states-v-snell/</t>
  </si>
  <si>
    <t>Bradley Smith</t>
  </si>
  <si>
    <t>https://www.justice.gov/usao-vt/pr/para-educator-charged-possession-child-pornography</t>
  </si>
  <si>
    <t>https://vtdigger.org/2019/04/02/first-grade-teachers-aide-charged-possession-child-pornography/</t>
  </si>
  <si>
    <t>http://archive.fo/xepZQ</t>
  </si>
  <si>
    <t>http://archive.fo/9GpBS</t>
  </si>
  <si>
    <t>https://www.cbp.gov/newsroom/local-media-release/border-patrol-stops-two-smuggling-attempts-fleeing-vehicles</t>
  </si>
  <si>
    <t xml:space="preserve"> Samuel Vazquez-Morales</t>
  </si>
  <si>
    <t>https://www.justice.gov/usao-sdtx/pr/young-undocumented-alien-admits-transporting-chinese-and-brazilian-nationals</t>
  </si>
  <si>
    <t>https://www.courtlistener.com/docket/14992208/united-states-v-vazquez-morales/</t>
  </si>
  <si>
    <t>https://www.cbp.gov/newsroom/local-media-release/border-patrol-stops-smuggling-attempt-near-hogansburg</t>
  </si>
  <si>
    <t>Mahkya Searles</t>
  </si>
  <si>
    <t>https://www.justice.gov/usao-ndny/pr/tioga-county-man-sentenced-109-months-receipt-and-possession-child-pornography</t>
  </si>
  <si>
    <t>https://www.courtlistener.com/?q=&amp;type=r&amp;order_by=score+desc&amp;docket_number=3%3A19-cr-00136&amp;court=nynd</t>
  </si>
  <si>
    <t>Gabriel Cardenas-Richar,</t>
  </si>
  <si>
    <t>https://www.cbp.gov/newsroom/local-media-release/16-arrested-human-smuggling-attempt-near-comstock</t>
  </si>
  <si>
    <t>https://www.courtlistener.com/docket/15039156/united-states-v-cardenas-richar/</t>
  </si>
  <si>
    <t>Jason A Early</t>
  </si>
  <si>
    <t>https://www.justice.gov/usao-wdpa/pr/uniontown-man-possessed-hundreds-pornographic-images-and-videos-children</t>
  </si>
  <si>
    <t>Mark S Bartles</t>
  </si>
  <si>
    <t xml:space="preserve">Project Safe Childhood-CP related charges </t>
  </si>
  <si>
    <t>https://www.justice.gov/usao-md/pr/previously-convicted-sex-offender-sentenced-10-years-federal-prison-possession-child</t>
  </si>
  <si>
    <t>https://www.courtlistener.com/?q=&amp;type=r&amp;order_by=score+desc&amp;docket_number=8%3A19-cr-00258&amp;court=mdd</t>
  </si>
  <si>
    <t>Joseph Gaudreau</t>
  </si>
  <si>
    <t>https://www.justice.gov/usao-nh/pr/somersworth-man-pleads-guilty-child-pornography-crimes</t>
  </si>
  <si>
    <t>Mance Lee Ruvolo</t>
  </si>
  <si>
    <t>https://www.justice.gov/usao-wdnc/pr/asheville-resident-sentenced-14-years-transporting-child-pornography</t>
  </si>
  <si>
    <t>Joel Aguilar Villanueva</t>
  </si>
  <si>
    <t>https://www.justice.gov/usao-nm/pr/las-cruces-middle-school-principal-arrested-federal-child-pornography-charges</t>
  </si>
  <si>
    <t>https://www.elpasotimes.com/story/news/2019/04/04/zia-middle-school-las-cruces-principal-arrested-child-sex-crimes/3366108002/</t>
  </si>
  <si>
    <t>http://archive.fo/Vdynj</t>
  </si>
  <si>
    <t>http://archive.fo/84SAG</t>
  </si>
  <si>
    <t>Ryan Daniel Crawford</t>
  </si>
  <si>
    <t>https://www.justice.gov/usao-wdmo/pr/former-youth-pastor-indicted-producing-child-pornography</t>
  </si>
  <si>
    <t>https://blackchristiannews.com/2017/12/missouri-youth-pastor-ryan-crawford-charged-with-5-counts-of-child-molestation/</t>
  </si>
  <si>
    <t>https://www.courtlistener.com/docket/14816271/united-states-v-crawford/</t>
  </si>
  <si>
    <t>http://archive.fo/6OUg4</t>
  </si>
  <si>
    <t>http://archive.fo/Gi97K</t>
  </si>
  <si>
    <t>Orlando Baires-Cartagena</t>
  </si>
  <si>
    <t>https://www.justice.gov/usao-edwa/pr/foreign-national-indicted-allegedly-receiving-and-possessing-child-pornography-and</t>
  </si>
  <si>
    <t>https://www.courtlistener.com/?q=&amp;type=r&amp;order_by=score+desc&amp;docket_number=2%3A19-cr-00070&amp;court=waed</t>
  </si>
  <si>
    <t>Jonathan Schweitzer</t>
  </si>
  <si>
    <t>https://www.justice.gov/usao-sdny/pr/bronx-high-school-teacher-charged-possession-and-distribution-child-pornography</t>
  </si>
  <si>
    <t>https://www.nydailynews.com/new-york/nyc-crime/ny-perv-teacher-arrested-20190403-khguruonxnbujglmjr3lxyc6xu-story.html</t>
  </si>
  <si>
    <t>https://www.courtlistener.com/docket/15703738/united-states-v-schweitzer/</t>
  </si>
  <si>
    <t>http://archive.fo/q60dV</t>
  </si>
  <si>
    <t>http://archive.fo/fkZ1W</t>
  </si>
  <si>
    <t>Jeremy Okieth Kyle</t>
  </si>
  <si>
    <t>https://www.justice.gov/usao-edtx/pr/upshur-county-convicted-sex-offender-indicted-child-sexual-exploitation-violations-0</t>
  </si>
  <si>
    <t>https://www.courtlistener.com/?q=&amp;type=r&amp;order_by=score+desc&amp;docket_number=6%3A19-cr-00018&amp;court=txed</t>
  </si>
  <si>
    <t>https://archive.vn/tuKOL</t>
  </si>
  <si>
    <t>Jesse Sloane</t>
  </si>
  <si>
    <t>https://www.justice.gov/usao-mdla/pr/denham-springs-man-sentenced-68-months-federal-prison-receipt-child-pornography</t>
  </si>
  <si>
    <t>Abdiaziz Mohamed Ali</t>
  </si>
  <si>
    <t>https://www.dcclothesline.com/2019/04/13/minnesota-names-of-the-58-suspects-in-massive-child-sex-and-trafficking-sting-28-child-victims-rescued/</t>
  </si>
  <si>
    <t>http://archive.fo/bRr41</t>
  </si>
  <si>
    <t>Mohamed Shaker Abd Elbeiali</t>
  </si>
  <si>
    <t>Mohamed Mohamed-Abdulazeez</t>
  </si>
  <si>
    <t>Dawud Aman Usman</t>
  </si>
  <si>
    <t>Yetbar Asefa Adere</t>
  </si>
  <si>
    <t>Mohamed Adam Omar</t>
  </si>
  <si>
    <t>Marcus Odarbeh</t>
  </si>
  <si>
    <t>Deokumar Sampaul (AKA Sampant)</t>
  </si>
  <si>
    <t>Murey Lloyd Ulferts</t>
  </si>
  <si>
    <t>Sanyii Joseph Aga</t>
  </si>
  <si>
    <t>Myishia Standberry</t>
  </si>
  <si>
    <t>Gashaw Bekele Tefera</t>
  </si>
  <si>
    <t>Cha Thai</t>
  </si>
  <si>
    <t>Fon Akumawah Tse</t>
  </si>
  <si>
    <t>Maximilian John Anderson</t>
  </si>
  <si>
    <t>Ryan Todd Burt</t>
  </si>
  <si>
    <t>Jeffrey Jerrard Clark</t>
  </si>
  <si>
    <t>Anthony Thomas Cummings</t>
  </si>
  <si>
    <t>Prince Dahn</t>
  </si>
  <si>
    <t>Demarcus Davon Davis</t>
  </si>
  <si>
    <t>Adrian C. Edwards</t>
  </si>
  <si>
    <t>Eric Raymon Fink</t>
  </si>
  <si>
    <t>Antonio Adolfo Flores</t>
  </si>
  <si>
    <t>Manuel Rolando Loja Gallegos</t>
  </si>
  <si>
    <t>Brian Paul Gardner</t>
  </si>
  <si>
    <t>Matthew Randolph Giesen</t>
  </si>
  <si>
    <t>Corey Jordan Hanson</t>
  </si>
  <si>
    <t>Niklas Fuqiang Heine</t>
  </si>
  <si>
    <t>Justin John Joseph Hocevar</t>
  </si>
  <si>
    <t>Ivan Petrov Ivanov</t>
  </si>
  <si>
    <t>Raj Kumar Jana</t>
  </si>
  <si>
    <t>Frank Ray Johnson</t>
  </si>
  <si>
    <t>Alex Cortez Lofton</t>
  </si>
  <si>
    <t>Robert John Manuel</t>
  </si>
  <si>
    <t>Angel Maranon-Garcia</t>
  </si>
  <si>
    <t>Todd Brian Mellgren</t>
  </si>
  <si>
    <t>Sammy Lee Mitchell, Jr.</t>
  </si>
  <si>
    <t>Calvin Heath Nelson</t>
  </si>
  <si>
    <t>Deshon Anthony Nelson</t>
  </si>
  <si>
    <t>Leonardo Patrick Oconnor O’Brien</t>
  </si>
  <si>
    <t>Shannon Owen-Pearson</t>
  </si>
  <si>
    <t>Verqisha Elizabeth Powers</t>
  </si>
  <si>
    <t>William Rudolph Proa</t>
  </si>
  <si>
    <t>Angel Recino, Jr.</t>
  </si>
  <si>
    <t>Jay Kyle Roberts</t>
  </si>
  <si>
    <t>William Guillen Santamaria</t>
  </si>
  <si>
    <t>Pang See</t>
  </si>
  <si>
    <t>Christopher Simmons, Jr</t>
  </si>
  <si>
    <t>Mark Alexander Slatten</t>
  </si>
  <si>
    <t>Benhort Eliazar Huamani Sosa</t>
  </si>
  <si>
    <t>Jordan Hunter Cole Vos</t>
  </si>
  <si>
    <t>Hunter Sky Blue Whirlwind Horse</t>
  </si>
  <si>
    <t>Ronald Paul Zelinsky, Jr.</t>
  </si>
  <si>
    <t>Aiyanna Neekoile Avent</t>
  </si>
  <si>
    <t>Marcellus Dwayne Braswell</t>
  </si>
  <si>
    <t>Eugene Ellis Brown, Jr.</t>
  </si>
  <si>
    <t>Joseph Lee Bunce</t>
  </si>
  <si>
    <t>Su Vang</t>
  </si>
  <si>
    <t>Xai Vang</t>
  </si>
  <si>
    <t>David Edward Nowak</t>
  </si>
  <si>
    <t>https://www.justice.gov/usao-sdfl/pr/delray-beach-doctor-sentenced-prison-and-ordered-pay-restitution-federal-child</t>
  </si>
  <si>
    <t>https://www.courtlistener.com/docket/14909437/united-states-v-nowak/</t>
  </si>
  <si>
    <t>Shozo Tanaka</t>
  </si>
  <si>
    <t>https://www.justice.gov/usao-wdtx/pr/temple-man-sentenced-40-years-federal-prison-production-and-possession-child</t>
  </si>
  <si>
    <t>Brian Alan Jones</t>
  </si>
  <si>
    <t>https://www.justice.gov/usao-mdfl/pr/lady-lake-man-indicted-producing-child-pornography</t>
  </si>
  <si>
    <t>Christopher M. Sammons</t>
  </si>
  <si>
    <t>https://www.justice.gov/usao-sdoh/pr/westerville-man-charged-sexually-exploiting-five-year-old</t>
  </si>
  <si>
    <t>https://www.courtlistener.com/docket/14989793/united-states-v-sammons/</t>
  </si>
  <si>
    <t>Jordan Winczuk</t>
  </si>
  <si>
    <t>https://www.justice.gov/usao-ma/pr/new-jersey-sex-offender-charged-attempted-production-child-pornography</t>
  </si>
  <si>
    <t>https://www.courtlistener.com/docket/14875397/united-states-v-winczuk/</t>
  </si>
  <si>
    <t>Paige Cagle</t>
  </si>
  <si>
    <t>https://www.justice.gov/usao-edky/pr/lexington-woman-sentenced-300-months-production-child-pornography , https://www.justice.gov/usao-edky/pr/lexington-woman-pleads-guilty-production-child-pornography</t>
  </si>
  <si>
    <t>https://www.fourstateshomepage.com/news/local-news/former-joplin-woman-sentenced-in-child-pornography-case/</t>
  </si>
  <si>
    <t>https://archive.vn/H1RJk</t>
  </si>
  <si>
    <t>https://archive.vn/dVacQ</t>
  </si>
  <si>
    <t>Alyson Brooke Saunders</t>
  </si>
  <si>
    <t>https://www.ice.gov/news/releases/greensboro-daycare-employee-arrested-child-exploitation-charges</t>
  </si>
  <si>
    <t>http://archive.fo/P8igq</t>
  </si>
  <si>
    <t>https://web.archive.org/web/20190415194246/https://i0.wp.com/metro.co.uk/wp-content/uploads/2019/04/1-301a.jpg?quality=90&amp;strip=all&amp;zoom=1&amp;resize=540%2C605&amp;ssl=1</t>
  </si>
  <si>
    <t>https://www.cbp.gov/newsroom/local-media-release/el-paso-border-patrol-agents-apprehend-nine-vehicle-failed-yield-new</t>
  </si>
  <si>
    <t>Quondall D. Davis,</t>
  </si>
  <si>
    <t>Project Safe Childhood-Sex trafficking of minors &amp; adults</t>
  </si>
  <si>
    <t>https://www.justice.gov/usao-wdny/pr/rochester-man-charged-sex-trafficking-minors-and-adults , https://www.justice.gov/usao-wdny/pr/rochester-man-pleads-guilty-sex-trafficking-minors-money</t>
  </si>
  <si>
    <t>Jerry Wayne Hamilton Jr</t>
  </si>
  <si>
    <t xml:space="preserve">Enticement of a minor </t>
  </si>
  <si>
    <t>https://www.justice.gov/usao-ndal/pr/federal-grand-jury-indicts-sylacauga-man-attempted-child-enticement</t>
  </si>
  <si>
    <t>http://archive.fo/nsCq9</t>
  </si>
  <si>
    <t>http://archive.fo/IViNJ</t>
  </si>
  <si>
    <t>Michael Glenn Chope</t>
  </si>
  <si>
    <t>https://www.justice.gov/usao-mdfl/pr/orange-park-man-charged-production-child-pornography</t>
  </si>
  <si>
    <t>https://www.courtlistener.com/docket/14921926/united-states-v-chope/</t>
  </si>
  <si>
    <t>Guillermo Torres-Acevedo</t>
  </si>
  <si>
    <t>Project Safe Childhood-Transport of a minor across state lines for sex</t>
  </si>
  <si>
    <t>https://www.justice.gov/usao-wdny/pr/batavia-man-charged-transporting-minor-across-state-lines-sex , https://www.justice.gov/usao-wdny/pr/batavia-man-sentenced-enticement-charge</t>
  </si>
  <si>
    <t>https://www.thedailynewsonline.com/bdn01/batavia-man-charged-with-transporting-a-minor-across-state-lines-for-sex-20190410</t>
  </si>
  <si>
    <t>http://archive.fo/0U92V</t>
  </si>
  <si>
    <t>http://archive.fo/bEved</t>
  </si>
  <si>
    <t>Skyler M Durbin</t>
  </si>
  <si>
    <t>https://www.justice.gov/usao-cdil/pr/adams-county-man-indicted-child-pornography-charges</t>
  </si>
  <si>
    <t>https://www.courtlistener.com/docket/14871407/united-states-v-durbin/</t>
  </si>
  <si>
    <t>Warren Alan Baxter</t>
  </si>
  <si>
    <t>https://www.justice.gov/usao-mdfl/pr/cape-coral-man-sentenced-8-years-possession-child-pornography</t>
  </si>
  <si>
    <t>https://www.courtlistener.com/docket/14917345/united-states-v-baxter/</t>
  </si>
  <si>
    <t>Christopher M. Perry/Sarah R. Gates (Perry et al)</t>
  </si>
  <si>
    <t>https://www.justice.gov/usao-ndny/pr/two-cortland-county-residents-arrested-child-exploitation-charges , https://www.justice.gov/usao-ndny/pr/cortland-county-man-sentenced-45-years-child-sexual-exploitation</t>
  </si>
  <si>
    <t>https://cortlandvoice.com/2019/05/06/a-look-at-local-statistics-on-sexual-abuse-in-light-of-recent-arrests/</t>
  </si>
  <si>
    <t>https://www.courtlistener.com/?q=&amp;type=r&amp;order_by=score+desc&amp;docket_number=5%3A19-mj-00230&amp;court=nynd</t>
  </si>
  <si>
    <t>http://archive.fo/GxVPA</t>
  </si>
  <si>
    <t>http://archive.fo/tAMPh</t>
  </si>
  <si>
    <t>Carlos A Garcia Valentin</t>
  </si>
  <si>
    <t>https://www.fbi.gov/contact-us/field-offices/sanjuan/news/press-releases/arrest-of-carlos-a-garcia-valentin-for-production-and-possession-of-child-pornography</t>
  </si>
  <si>
    <t>Brian David Lemoine</t>
  </si>
  <si>
    <t>https://www.fbi.gov/contact-us/field-offices/neworleans/news/press-releases/livonia-man-arrested-charged-with-possession-of-child-pornography</t>
  </si>
  <si>
    <t>Kevin Belcher</t>
  </si>
  <si>
    <t>https://www.fbi.gov/contact-us/field-offices/lasvegas/news/press-releases/arrest-of-kevin-belcher-for-child-sex-trafficking</t>
  </si>
  <si>
    <t>http://archive.fo/8ZWpe</t>
  </si>
  <si>
    <t>http://archive.fo/EksuA</t>
  </si>
  <si>
    <t>Heriberto Lerma</t>
  </si>
  <si>
    <t>https://www.ice.gov/news/releases/south-texas-man-convicted-smuggling-27-illegal-aliens-back-tractor-trailer</t>
  </si>
  <si>
    <t>Justin Richard Testani</t>
  </si>
  <si>
    <t>Project Safe Childhood-sexual exploitation of a minor</t>
  </si>
  <si>
    <t>https://www.justice.gov/usao-mdfl/pr/orange-city-man-who-sextorted-multiple-minors-sentenced-60-years</t>
  </si>
  <si>
    <t>https://www.al.com/news/birmingham/2019/04/florida-man-19-charged-with-sexual-extortion-stalking-of-trussville-14-year-old-he-met-online.html</t>
  </si>
  <si>
    <t>https://archive.vn/yUw94</t>
  </si>
  <si>
    <t>https://archive.vn/ajRLp</t>
  </si>
  <si>
    <t>Vance Allan Misel</t>
  </si>
  <si>
    <t>https://www.justice.gov/usao-sdia/pr/des-moines-man-sentenced-nine-years-prison-possession-child-pornography</t>
  </si>
  <si>
    <t>Jaime Prieto</t>
  </si>
  <si>
    <t>https://www.cbp.gov/newsroom/local-media-release/border-patrol-agents-new-york-foil-smuggling-attempts-and-arrest</t>
  </si>
  <si>
    <t>https://www.courtlistener.com/docket/15702241/united-states-v-prieto/</t>
  </si>
  <si>
    <t>Ecuador</t>
  </si>
  <si>
    <t>Scot D Petrie</t>
  </si>
  <si>
    <t>Sex trafficking related charges</t>
  </si>
  <si>
    <t>https://www.justice.gov/usao-mt/pr/informational-federal-court-arraignments-43</t>
  </si>
  <si>
    <t>https://ktvq.com/news/crime-watch/2019/04/16/man-charged-with-running-prostitution-ring-at-2-billings-massage-spas/</t>
  </si>
  <si>
    <t>Luis Alfredo Delacruz</t>
  </si>
  <si>
    <t>Human smuggling &amp; related charges</t>
  </si>
  <si>
    <t>https://www.ice.gov/news/releases/chicago-area-man-indicted-charges-smuggling-transporting-and-harboring-illegal-aliens</t>
  </si>
  <si>
    <t>Steven Gasiorek</t>
  </si>
  <si>
    <t>https://www.justice.gov/usao-wdny/pr/substitute-teacher-and-coach-arrested-and-charged-possession-child-pornography</t>
  </si>
  <si>
    <t>https://www.wkbw.com/news/local-news/substitute-teacher-busted-on-child-porn-charges</t>
  </si>
  <si>
    <t>http://archive.fo/gdkBj</t>
  </si>
  <si>
    <t>http://archive.fo/rZkNi</t>
  </si>
  <si>
    <t>Jesus Rodriguez</t>
  </si>
  <si>
    <t>Project Safe Childhood-CP production/sex w/ a minor &amp; related charges</t>
  </si>
  <si>
    <t>https://www.justice.gov/usao-edwa/pr/child-exploitation-offender-sentenced-14-years-federal-prison</t>
  </si>
  <si>
    <t>https://www.tri-cityherald.com/news/local/crime/article229694394.html</t>
  </si>
  <si>
    <t>https://archive.vn/JORY0</t>
  </si>
  <si>
    <t>https://archive.vn/wip/dBuYD</t>
  </si>
  <si>
    <t>Mark Wesley Schmit</t>
  </si>
  <si>
    <t>https://www.justice.gov/usao-mdfl/pr/jacksonville-man-pleads-guilty-distributing-child-pornography , https://www.justice.gov/usao-mdfl/pr/jacksonville-man-sentenced-20-years-prison-distributing-child-pornography</t>
  </si>
  <si>
    <t>https://www.courtlistener.com/docket/14995746/united-states-v-schmit/</t>
  </si>
  <si>
    <t>Eric Jobe</t>
  </si>
  <si>
    <t>https://www.justice.gov/usao-wdtn/pr/obion-county-man-indicted-child-pornography-offenses</t>
  </si>
  <si>
    <t>George Malcolm Hargrove</t>
  </si>
  <si>
    <t>https://www.justice.gov/usao-wdnc/pr/charlotte-man-sentenced-17-years-child-pornography</t>
  </si>
  <si>
    <t>Brian Scott Harden</t>
  </si>
  <si>
    <t>https://www.justice.gov/usao-wdnc/pr/hendersonville-nc-man-sentenced-175-years-prison-distributing-child-pornography</t>
  </si>
  <si>
    <t>Lawrence C. Berry/ Brittany E. Berry (Berry et al)</t>
  </si>
  <si>
    <t>https://www.justice.gov/usao-ndny/pr/two-cortland-county-residents-arrested-child-exploitation-charges-0</t>
  </si>
  <si>
    <t>https://cortlandvoice.com/2019/04/18/second-cortland-couple-in-u-s-court-for-child-exploitation/ , https://www.justice.gov/usao-ndny/pr/cortland-county-woman-pleads-guilty-sexually-exploiting-child</t>
  </si>
  <si>
    <t>http://archive.fo/Z84nH</t>
  </si>
  <si>
    <t>http://archive.fo/XK1hX</t>
  </si>
  <si>
    <t>Robert L Hayes</t>
  </si>
  <si>
    <t>https://www.justice.gov/usao-mdpa/pr/harrisburg-man-charged-possession-child-pornography , https://www.justice.gov/usao-mdpa/pr/harrisburg-man-sentenced-10-years-imprisonment-child-exploitation</t>
  </si>
  <si>
    <t>Steven R Iseman</t>
  </si>
  <si>
    <t>https://www.justice.gov/usao-mdpa/pr/york-man-charged-child-exploitation-offenses</t>
  </si>
  <si>
    <t>Robert Corleto</t>
  </si>
  <si>
    <t>https://www.justice.gov/usao-nh/pr/hudson-man-pleads-guilty-sexual-exploitation-minor</t>
  </si>
  <si>
    <t>Peter Sebastian Felix</t>
  </si>
  <si>
    <t>https://www.ice.gov/news/releases/ice-el-paso-special-agents-arrest-local-man-child-pornography-charges</t>
  </si>
  <si>
    <t>Jeremy L Cruz</t>
  </si>
  <si>
    <t>https://www.justice.gov/usao-ndoh/pr/elyria-man-arrested-child-pornography-charges-after-search-missing-juvenile</t>
  </si>
  <si>
    <t>Craig M Schaber</t>
  </si>
  <si>
    <t>Project Safe Childhood-sex trafficking of minors</t>
  </si>
  <si>
    <t>https://www.fbi.gov/contact-us/field-offices/cincinnati/news/press-releases/marion-man-sentenced-to-more-than-21-years-in-prison-for-attempted-sex-trafficking-of-minors</t>
  </si>
  <si>
    <t>https://www.marionstar.com/story/news/crime/2019/10/17/marion-man-caught-trying-have-sex-girls-sex-trafficking-probe/4009327002/</t>
  </si>
  <si>
    <t>https://archive.vn/VEXFl</t>
  </si>
  <si>
    <t>https://archive.vn/v1DfZ</t>
  </si>
  <si>
    <t>George De Macedo-Gonzales</t>
  </si>
  <si>
    <t>https://www.cbp.gov/newsroom/local-media-release/border-patrol-agents-new-york-foil-smuggling-attempts-and-arrest-0</t>
  </si>
  <si>
    <t>Matthew Tassin</t>
  </si>
  <si>
    <t>https://www.justice.gov/usao-sdfl/pr/palm-beach-gardens-man-sentenced-20-years-federal-prison-federal-child-pornography</t>
  </si>
  <si>
    <t>https://www.courtlistener.com/docket/14982351/united-states-v-tassin/</t>
  </si>
  <si>
    <t>Robson Gustavo Morales Santos</t>
  </si>
  <si>
    <t>https://www.justice.gov/usao-wdnc/pr/citizen-guatemala-sentenced-eight-years-prison-child-pornography-charges</t>
  </si>
  <si>
    <t>https://www.courtlistener.com/docket/14988249/united-states-v-morales-santos/</t>
  </si>
  <si>
    <t>James Strohm</t>
  </si>
  <si>
    <t>https://www.justice.gov/usao-edpa/pr/philadelphia-police-officer-charged-distribution-child-pornography , https://www.justice.gov/usao-edpa/pr/philadelphia-police-officer-sentenced-14-years-prison-distributing-child-pornography</t>
  </si>
  <si>
    <t>Monis Irfan</t>
  </si>
  <si>
    <t>Project Safe Childhood-enticement of a minor &amp; CP related charges</t>
  </si>
  <si>
    <t>https://www.justice.gov/usao-edva/pr/man-indicted-child-sexual-exploitation-charges, https://www.justice.gov/usao-edva/pr/former-elementary-school-teacher-s-assistant-sentenced-child-exploitation-crimes</t>
  </si>
  <si>
    <t>https://www.wusa9.com/article/news/local/virginia/police-former-substitute-teacher-agreed-to-trade-child-porn-photos-for-sex-with-young-child/65-6cc30fed-ee5b-43a8-9d4c-3a74bc10b2c0</t>
  </si>
  <si>
    <t>http://archive.fo/ucFJj</t>
  </si>
  <si>
    <t>http://archive.fo/QgOeB</t>
  </si>
  <si>
    <t>https://www.cbp.gov/newsroom/local-media-release/border-patrol-agents-northeastern-new-york-foil-smuggling-event</t>
  </si>
  <si>
    <t>https://www.cbp.gov/newsroom/local-media-release/mobile-usbp-local-law-enforcement-nab-narcotics-human-smuggler</t>
  </si>
  <si>
    <t>https://www.cbp.gov/newsroom/local-media-release/human-smuggler-s-life-saved-after-being-arrested</t>
  </si>
  <si>
    <t>https://www.cbp.gov/newsroom/local-media-release/laredo-sector-border-patrol-agents-rescue-66-tractor-trailer</t>
  </si>
  <si>
    <t>Kenneth Houck</t>
  </si>
  <si>
    <t>https://www.justice.gov/usao-ndny/pr/syracuse-man-indicted-possession-child-pornography</t>
  </si>
  <si>
    <t>Darren Kamnitzer</t>
  </si>
  <si>
    <t>https://www.justice.gov/usao-sdoh/pr/blacklick-man-sentenced-25-years-prison-posing-online-teenage-internet-start-coerce-10</t>
  </si>
  <si>
    <t>https://www.courtlistener.com/docket/15053045/united-states-v-kamnitzer/</t>
  </si>
  <si>
    <t>Eric Allard</t>
  </si>
  <si>
    <t>https://www.justice.gov/usao-wdpa/pr/monongahela-man-pleads-guilty-possessing-sexual-images-and-videos-children</t>
  </si>
  <si>
    <t>https://www.courtlistener.com/docket/15637311/united-states-v-allard/</t>
  </si>
  <si>
    <t>Ronald Tai Young Moon Jr</t>
  </si>
  <si>
    <t>https://www.justice.gov/usao-ndal/pr/superseding-indictment-filed-against-vestavia-hills-doctor-additional-charges-produci-0 , https://www.justice.gov/usao-ndal/pr/federal-jury-convicts-vestavia-hills-doctor-charges-producing-and-possessing-child-0 , https://www.justice.gov/usao-ndal/pr/vestavia-hills-doctor-sentenced-30-years-prison-producing-and-possessing-child</t>
  </si>
  <si>
    <t>https://www.al.com/news/birmingham/2019/10/vestavia-hills-doctor-indicted-on-more-federal-child-pornography-charges.html</t>
  </si>
  <si>
    <t>https://archive.vn/KWiTM</t>
  </si>
  <si>
    <t>https://archive.vn/AcXIu</t>
  </si>
  <si>
    <t>Robert A. Hebert</t>
  </si>
  <si>
    <t>https://www.justice.gov/usao-wdla/pr/monroe-man-sentenced-child-exploitation</t>
  </si>
  <si>
    <t>Claude Martin Johnson IV</t>
  </si>
  <si>
    <t>https://www.justice.gov/usao-sdga/pr/augusta-man-gets-prison-time-possession-child-pornography</t>
  </si>
  <si>
    <t>Angel DeJesus Torres</t>
  </si>
  <si>
    <t>https://www.ice.gov/news/releases/mexican-man-arrested-south-texas-child-pornography-charges</t>
  </si>
  <si>
    <t>https://www.justice.gov/usao-sdtx/pr/mexican-citizen-arrested-child-pornography-charges</t>
  </si>
  <si>
    <t>https://www.courtlistener.com/docket/15658439/united-states-v-torres/</t>
  </si>
  <si>
    <t>Mark W Peppers</t>
  </si>
  <si>
    <t>https://www.justice.gov/usao-ndin/pr/south-bend-indiana-man-sentenced-10-years-prison-0</t>
  </si>
  <si>
    <t>https://www.courtlistener.com/docket/15044066/united-states-v-peppers/</t>
  </si>
  <si>
    <t>Jesse Allen Nichols</t>
  </si>
  <si>
    <t>https://www.justice.gov/usao-sdms/pr/gulfport-man-pleads-guilty-transporting-images-minors-engaged-sexually-explicit-conduct</t>
  </si>
  <si>
    <t>https://www.courtlistener.com/docket/15041154/united-states-v-nichols/</t>
  </si>
  <si>
    <t>Jason Van Hoesen</t>
  </si>
  <si>
    <t>https://www.justice.gov/usao-co/pr/mountain-village-man-pleads-guilty-possession-child-pornography , https://www.justice.gov/usao-co/pr/mountain-village-man-sentenced-over-7-years-federal-prison-possession-child-pornography</t>
  </si>
  <si>
    <t>https://www.cbp.gov/newsroom/local-media-release/yuma-sector-border-patrol-intercepts-two-human-smuggling-attempts</t>
  </si>
  <si>
    <t>Brian Douglas Cook</t>
  </si>
  <si>
    <t>https://www.justice.gov/usao-ndok/pr/four-defendants-headed-prison-project-safe-childhood-cases</t>
  </si>
  <si>
    <t>William Lee Potts</t>
  </si>
  <si>
    <t>https://www.justice.gov/usao-wdmo/pr/joplin-man-indicted-producing-child-pornography-0</t>
  </si>
  <si>
    <t>https://www.courtlistener.com/docket/15068982/united-states-v-potts/</t>
  </si>
  <si>
    <t>Austin Ballew</t>
  </si>
  <si>
    <t>https://www.justice.gov/usao-ks/pr/montgomery-county-man-pleads-guilty-sexually-exploiting-minors</t>
  </si>
  <si>
    <t>Juan Antonio Perez</t>
  </si>
  <si>
    <t>https://www.ice.gov/news/releases/georgia-business-owner-illegal-alien-charged-exploiting-illegal-workers</t>
  </si>
  <si>
    <t>Charles Jay Eglet</t>
  </si>
  <si>
    <t>https://www.justice.gov/usao-edwa/pr/high-school-football-coach-sentenced-270-months-federal-prison-sexual-exploitation-14</t>
  </si>
  <si>
    <t>https://www.khq.com/news/court-docs-former-ferris-football-coach-accused-of-having-sex-with-second-underage-girl/article_468e9a6e-0fc3-11e9-8383-6f7c840e2bf3.html</t>
  </si>
  <si>
    <t>https://archive.vn/wip/WhAZ9</t>
  </si>
  <si>
    <t>https://archive.vn/wip/5Fx6o</t>
  </si>
  <si>
    <t>Juan Rivera</t>
  </si>
  <si>
    <t>https://www.justice.gov/usao-edwa/pr/moses-lake-man-sentenced-20-years-federal-prison-child-pornography-charges</t>
  </si>
  <si>
    <t>James Verne Russell</t>
  </si>
  <si>
    <t>https://www.justice.gov/usao-wdmi/pr/2020_1020_Russell</t>
  </si>
  <si>
    <t>https://www.wzzm13.com/article/news/crime/former-teacher-sentenced-child-exploitation/69-505c6306-19fa-4ca5-a4fb-8e631afbdfcd</t>
  </si>
  <si>
    <t>https://archive.vn/aTjOy</t>
  </si>
  <si>
    <t>https://archive.vn/c8S6F</t>
  </si>
  <si>
    <t>Rusty J Rose</t>
  </si>
  <si>
    <t>https://www.justice.gov/usao-wdmo/pr/springfield-man-sentenced-12-years-child-pornography-0</t>
  </si>
  <si>
    <t>Zachary Sean Layne</t>
  </si>
  <si>
    <t>https://www.justice.gov/usao-edtx/pr/wylie-texas-man-sentenced-after-admitting-distributing-child-pornography-and-0</t>
  </si>
  <si>
    <t xml:space="preserve">Christopher Coffer </t>
  </si>
  <si>
    <t>https://www.justice.gov/usao-ndoh/pr/men-mansfield-and-perry-indicted-child-pornography-charges</t>
  </si>
  <si>
    <t>https://www.courtlistener.com/?q=&amp;type=r&amp;order_by=score+desc&amp;docket_number=1%3A19-cr-00282&amp;court=ohnd</t>
  </si>
  <si>
    <t>Henry Wood</t>
  </si>
  <si>
    <t>https://www.justice.gov/usao-ndin/pr/north-judson-indiana-man-sentenced-14-years-prison</t>
  </si>
  <si>
    <t>Stanley Simms</t>
  </si>
  <si>
    <t>https://www.fbi.gov/contact-us/field-offices/miami/news/press-releases/alleged-child-pornography-suspect-in-custody , https://www.justice.gov/usao-sdfl/pr/broward-county-fugitive-apprehended-and-sentenced-8-years-prison-possessing-child</t>
  </si>
  <si>
    <t>Joseph A. Porter</t>
  </si>
  <si>
    <t>https://www.justice.gov/usao-ne/pr/omaha-man-sentenced-90-months-distributing-child-pornography</t>
  </si>
  <si>
    <t>https://www.cbp.gov/newsroom/local-media-release/border-patrol-agents-rescue-over-100-people-locked-trailer</t>
  </si>
  <si>
    <t>Richard Stephen Terry</t>
  </si>
  <si>
    <t>Project Safe Childhood-CP &amp; attempted enticement of a minor</t>
  </si>
  <si>
    <t>https://www.justice.gov/usao-mdfl/pr/convicted-sex-offender-sentenced-10-years-federal-prison-attempting-entice-minor-engage</t>
  </si>
  <si>
    <t>Sean R. Sullivan</t>
  </si>
  <si>
    <t>https://www.justice.gov/usao-wdny/pr/rochester-man-arrested-charged-production-and-possession-child-pornography , https://www.justice.gov/usao-wdny/pr/rochester-man-pleads-guilty-production-child-pornography , https://www.justice.gov/usao-wdny/pr/rochester-man-going-prison-16-years-production-child-pornography</t>
  </si>
  <si>
    <t>Chad Smartwood</t>
  </si>
  <si>
    <t>https://www.justice.gov/usao-ndny/pr/broome-county-man-arrested-child-exploitation-charges</t>
  </si>
  <si>
    <t>https://www.courtlistener.com/docket/15073344/united-states-v-swartwood/</t>
  </si>
  <si>
    <t>William Don Dollarhide</t>
  </si>
  <si>
    <t>https://www.justice.gov/usao-wdok/pr/registered-sex-offender-convicted-producing-child-pornography</t>
  </si>
  <si>
    <t>Timothy Myers</t>
  </si>
  <si>
    <t>https://www.justice.gov/usao-wdny/pr/new-jersey-man-indicted-child-pornography-cyberstalking-charges , https://www.justice.gov/usao-wdny/pr/new-jersey-man-pleads-guilty-child-pornography-cyberstalking-charges</t>
  </si>
  <si>
    <t>Terry L. Shellenberger</t>
  </si>
  <si>
    <t>https://www.justice.gov/usao-ndny/pr/repeat-albany-sex-offender-pleads-guilty-child-pornography-possession , https://www.justice.gov/usao-ndny/pr/repeat-albany-sex-offender-sentenced-139-months</t>
  </si>
  <si>
    <t>https://www.courtlistener.com/docket/15443781/united-states-v-shellenberger/</t>
  </si>
  <si>
    <t>Dakota Casey</t>
  </si>
  <si>
    <t>https://www.justice.gov/usao-wdny/pr/indiana-man-pleads-guilty-child-pornography-charge</t>
  </si>
  <si>
    <t>Alexander Massari</t>
  </si>
  <si>
    <t>https://www.justice.gov/usao-md/pr/previously-convicted-sex-offender-sentenced-more-19-years-federal-prison-distribution</t>
  </si>
  <si>
    <t>https://www.courtlistener.com/docket/15497833/united-states-v-massari/</t>
  </si>
  <si>
    <t>Dustin Red Legs</t>
  </si>
  <si>
    <t>https://www.justice.gov/usao-sd/pr/jury-finds-eagle-butte-man-guilty-multiple-charges , https://www.justice.gov/usao-sd/pr/eagle-butte-man-charged-sexual-exploitation-child-and-possession-child-pornography , https://www.justice.gov/usao-sd/pr/eagle-butte-man-sentenced-sexual-exploitation-child-and-possession-child-pornography</t>
  </si>
  <si>
    <t>Ruben Gallegos Loera</t>
  </si>
  <si>
    <t>https://www.justice.gov/usao-wdtx/pr/carrizo-springs-man-sentenced-200-months-federal-prison-setting-hidden-camera-videotape</t>
  </si>
  <si>
    <t>https://www.courtlistener.com/docket/15620973/united-states-v-loera/</t>
  </si>
  <si>
    <t>Eric Kurrelmeyer</t>
  </si>
  <si>
    <t>https://www.justice.gov/usao-wdwi/pr/grand-jury-returns-indictments-86 , https://www.justice.gov/usao-wdwi/pr/pierce-county-resident-sentenced-12-years-distributing-child-pornography</t>
  </si>
  <si>
    <t>https://www.courtlistener.com/docket/15576768/united-states-v-kurrelmeyer-eric/</t>
  </si>
  <si>
    <t>Kory Lee Doyle</t>
  </si>
  <si>
    <t>https://www.justice.gov/usao-wdny/pr/warsaw-man-sentenced-three-years-prison-possession-child-pornography</t>
  </si>
  <si>
    <t>Aaron Olson</t>
  </si>
  <si>
    <t>https://www.justice.gov/usao-ndia/pr/nora-springs-man-charged-child-sexual-exploitation-offenses , https://www.justice.gov/usao-ndia/pr/nora-springs-man-sentenced-40-years-federal-prison-child-sexual-exploitation-offenses</t>
  </si>
  <si>
    <t>Donald McFall</t>
  </si>
  <si>
    <t>https://www.justice.gov/usao-mdga/pr/registered-sex-offender-sentenced-prison-possessing-child-pornography</t>
  </si>
  <si>
    <t>Sean Fiore</t>
  </si>
  <si>
    <t xml:space="preserve">Project Safe Childhood-Murder for hire, CP related charges </t>
  </si>
  <si>
    <t>https://www.justice.gov/usao-vt/pr/former-nurse-indicted-murder-hire-conspiracy-kidnap-and-murder-person-overseas-child , https://www.justice.gov/usao-vt/pr/eight-men-face-child-pornography-related-charges</t>
  </si>
  <si>
    <t>https://vtdigger.org/2019/05/29/8-charged-child-pornography-crackdown/</t>
  </si>
  <si>
    <t>https://archive.vn/wpbn1</t>
  </si>
  <si>
    <t>Christopher Zamarripa</t>
  </si>
  <si>
    <t>https://www.justice.gov/usao-wdtx/pr/kerrville-man-sentenced-460-months-federal-prison-cyberstalking-and-possession-child</t>
  </si>
  <si>
    <t>David Delaney</t>
  </si>
  <si>
    <t>https://www.justice.gov/usao-co/pr/former-police-officer-sentenced-10-years-federal-prison-possession-child-pornography</t>
  </si>
  <si>
    <t>Raul E Villalva</t>
  </si>
  <si>
    <t>https://www.justice.gov/usao-wdmo/pr/kc-resident-sentenced-20-years-child-pornography</t>
  </si>
  <si>
    <t>Brandon James Jotblad</t>
  </si>
  <si>
    <t>https://www.justice.gov/usao-mn/pr/st-paul-man-sentenced-10-years-prison-child-pornography</t>
  </si>
  <si>
    <t>Roy Nellsch</t>
  </si>
  <si>
    <t>Project Safe Childhood-Kidnapping &amp; CP related charges</t>
  </si>
  <si>
    <t>https://www.justice.gov/usao-mdtn/pr/long-haul-trucker-indicted-kidnapping-and-child-pornography-crimes</t>
  </si>
  <si>
    <t>Willis Steven Smith</t>
  </si>
  <si>
    <t>https://www.courtlistener.com/docket/15685376/united-states-v-smith/</t>
  </si>
  <si>
    <t>James Gaharan</t>
  </si>
  <si>
    <t>https://www.justice.gov/usao-wdla/pr/wdla-news-round-0</t>
  </si>
  <si>
    <t>https://www.kplctv.com/story/38272340/lagrange-teacher-accused-of-having-sexual-relationship-with-student/</t>
  </si>
  <si>
    <t>https://archive.vn/G4Wdh</t>
  </si>
  <si>
    <t>https://archive.vn/JageF</t>
  </si>
  <si>
    <t>Wayne Emerson Nixon</t>
  </si>
  <si>
    <t>https://www.justice.gov/usao-wy/pr/activity-united-states-attorneys-office-30</t>
  </si>
  <si>
    <t>Richard Blong</t>
  </si>
  <si>
    <t>https://www.ice.gov/news/releases/pennsylvania-man-charged-enticement-manufacturing-child-pornography , https://www.justice.gov/usao-edpa/pr/horsham-man-charged-enticement-manufacturing-child-pornography</t>
  </si>
  <si>
    <t>http://www.theglobaldispatch.com/child-predator-richard-blong-charged-after-luring-teen-girls-on-facebook-to-sexual-encounters/</t>
  </si>
  <si>
    <t>https://www.courtlistener.com/?q=&amp;type=r&amp;order_by=score+desc&amp;docket_number=2%3A19-cr-00302&amp;court=paed</t>
  </si>
  <si>
    <t>http://archive.fo/HeFpt</t>
  </si>
  <si>
    <t>http://archive.fo/vkbpR</t>
  </si>
  <si>
    <t>Logan Nedo</t>
  </si>
  <si>
    <t>https://www.justice.gov/usao-wdny/pr/irondequoit-man-arrested-charged-production-and-possession-child-pornography , https://www.justice.gov/usao-wdny/pr/irondequoit-man-pleads-guilty-production-child-pornography , https://www.justice.gov/usao-wdny/pr/irondequoit-man-going-prison-30-years-producing-child-pornography</t>
  </si>
  <si>
    <t>https://www.rochesterfirst.com/crime/irondequoit-man-sentenced-to-30-years-for-production-of-child-pornography/</t>
  </si>
  <si>
    <t>https://archive.vn/wip/IeJXT</t>
  </si>
  <si>
    <t>https://archive.vn/wip/FQGR9</t>
  </si>
  <si>
    <t>Daryl Miller</t>
  </si>
  <si>
    <t>https://www.justice.gov/usao-ks/pr/shawnee-man-sentenced-5-years-buying-child-porn-site-membership</t>
  </si>
  <si>
    <t>Charles Junious Adams</t>
  </si>
  <si>
    <t xml:space="preserve">https://www.justice.gov/usao-wdmo/pr/new-york-man-pleads-guilty-child-sexual-exploitation-missouri-sisters </t>
  </si>
  <si>
    <t>David Dwayne Weaver</t>
  </si>
  <si>
    <t>https://www.justice.gov/usao-sdoh/pr/two-dayton-men-sentenced-federal-prison-time-possessing-child-pornography</t>
  </si>
  <si>
    <t>Samuel Phillips</t>
  </si>
  <si>
    <t>https://www.justice.gov/usao-wdwa/pr/former-tacoma-resident-pleads-guilty-production-images-child-rape-and-abuse</t>
  </si>
  <si>
    <t>Jerry Zweitzig</t>
  </si>
  <si>
    <t>Operation Predator-CP reltated charges &amp; enticement of a minor</t>
  </si>
  <si>
    <r>
      <rPr>
        <color rgb="FF000000"/>
      </rPr>
      <t xml:space="preserve"> , </t>
    </r>
    <r>
      <rPr>
        <color rgb="FF1155CC"/>
        <u/>
      </rPr>
      <t>https://www.justice.gov/usao-edpa/pr/former-hatboro-pastor-sentenced-200-years-sexually-abusing-and-recording-abuse-infant</t>
    </r>
  </si>
  <si>
    <t>https://patch.com/pennsylvania/horsham/ex-hatboro-pastor-abused-infant-gets-200-years</t>
  </si>
  <si>
    <t>https://archive.vn/wip/X0LWn</t>
  </si>
  <si>
    <t>https://archive.vn/wip/rOKov</t>
  </si>
  <si>
    <t>Alec Gibson</t>
  </si>
  <si>
    <t>https://www.justice.gov/usao-ndia/pr/sergeant-bluff-man-sentenced-federal-prison-child-pornography-conviction</t>
  </si>
  <si>
    <t>David Paul Farrar</t>
  </si>
  <si>
    <t>https://www.justice.gov/usao-mt/pr/plains-main-admits-child-pornography-crimes-0</t>
  </si>
  <si>
    <t>Rungrot Phimthong</t>
  </si>
  <si>
    <t>https://www.justice.gov/usao-wdny/pr/rush-man-pleads-guilty-possession-child-pornography</t>
  </si>
  <si>
    <t>James Stevens</t>
  </si>
  <si>
    <t>https://www.justice.gov/usao-wdtx/pr/temple-man-sentenced-200-months-federal-prison-possession-child-pornography</t>
  </si>
  <si>
    <t>Ryan S Hernandez</t>
  </si>
  <si>
    <t>https://www.justice.gov/usao-wdwa/pr/california-man-who-hacked-nintendo-servers-steal-video-games-and-other-proprietary</t>
  </si>
  <si>
    <t>David King</t>
  </si>
  <si>
    <t>https://www.justice.gov/usao-wdtx/pr/odessa-man-pleads-guilty-federal-child-pornography-production-charge</t>
  </si>
  <si>
    <t>https://www.newswest9.com/article/news/local/odessa-minister-rearrested-for-continuous-sexual-abuse-of-child/513-bf1b9088-169d-4f3d-9b55-c8cda1c712ae</t>
  </si>
  <si>
    <t>http://archive.is/wazfF</t>
  </si>
  <si>
    <t>http://archive.fo/cEI6Q</t>
  </si>
  <si>
    <t>John C. Dellarocco, Jr.</t>
  </si>
  <si>
    <t>https://www.justice.gov/usao-edpa/pr/delaware-county-child-predator-sentenced-20-years-prison ,https://www.justice.gov/usao-edpa/pr/delaware-county-man-indicted-multiple-child-exploitation-charges</t>
  </si>
  <si>
    <t>James C Wolfe</t>
  </si>
  <si>
    <t>https://www.justice.gov/usao-wdky/pr/jury-convicts-campbellsville-man-child-porn-charges , https://www.justice.gov/usao-wdky/pr/two-men-sentenced-child-exploitation-cases</t>
  </si>
  <si>
    <t>https://www.courtlistener.com/docket/14957607/united-states-v-wolfe/</t>
  </si>
  <si>
    <t>Charles Casey Garner</t>
  </si>
  <si>
    <t>https://www.justice.gov/usao-mdpa/pr/luzerne-county-man-guilty-receiving-child-pornography</t>
  </si>
  <si>
    <t>Shane Guay</t>
  </si>
  <si>
    <t>https://www.justice.gov/usao-wdny/pr/olean-man-indicted-seeking-naked-pictures-young-girls-social-media</t>
  </si>
  <si>
    <t>Joseph Chojnacki</t>
  </si>
  <si>
    <t>https://www.justice.gov/usao-wdny/pr/nys-corrections-officer-charged-receipt-and-possession-child-pornography ,  https://www.justice.gov/usao-wdny/pr/former-new-york-state-corrections-officer-going-prison-five-years-child-pornography</t>
  </si>
  <si>
    <t>Gregory Raymond Parris</t>
  </si>
  <si>
    <t>https://www.justice.gov/usao-wdtx/pr/san-antonio-man-sentenced-30-years-federal-prison-distribution-and-possession-child</t>
  </si>
  <si>
    <t>Stuart Adams</t>
  </si>
  <si>
    <t>https://www.justice.gov/usao-edar/pr/carlisle-man-sentenced-15-years-prison-distribution-child-pornography</t>
  </si>
  <si>
    <t>Luis Berrios-Trinidad</t>
  </si>
  <si>
    <t>https://www.justice.gov/usao-mdfl/pr/tampa-man-sentenced-more-11-years-prison-sex-trafficking-minors , https://www.justice.gov/usao-mdfl/pr/tampa-man-arrested-and-charged-trafficking-two-teen-girls</t>
  </si>
  <si>
    <t>Andres Rafael Viola</t>
  </si>
  <si>
    <t>https://www.ice.gov/news/releases/ice-local-law-enforcement-investigate-las-vegas-man-child-sexual-exploitation-man , https://www.justice.gov/usao-nv/pr/argentine-citizen-sentenced-35-years-prison-child-sexual-exploitation-and-distribution</t>
  </si>
  <si>
    <t>Argentina</t>
  </si>
  <si>
    <t>Steven Lee McBride</t>
  </si>
  <si>
    <t>https://www.justice.gov/usao-wdwa/pr/registered-sex-offender-pleads-guilty-producing-child-pornography , https://www.ice.gov/news/releases/ice-local-law-enforcement-investigation-reveals-registered-sex-offender-exploited</t>
  </si>
  <si>
    <t>Jackson Yaro Young</t>
  </si>
  <si>
    <t>https://www.justice.gov/usao-sdia/pr/kalona-man-sentenced-25-years-prison-child-pornography-charges</t>
  </si>
  <si>
    <t xml:space="preserve"> Emmett J. Rogers</t>
  </si>
  <si>
    <t>https://www.justice.gov/usao-cdil/pr/trial-date-set-decatur-man-charged-child-sexual-exploitation-and-child-pornography , https://www.justice.gov/usao-cdil/pr/decatur-sex-offender-sentenced-22-12-years-prison-sexual-exploitation-child-and-child</t>
  </si>
  <si>
    <t>Adrian Fierros</t>
  </si>
  <si>
    <t>https://www.justice.gov/usao-sdfl/pr/california-man-sentenced-30-years-federal-prison-child-pornography-crimes</t>
  </si>
  <si>
    <t>Kenneth R Hyatt</t>
  </si>
  <si>
    <t>https://www.justice.gov/usao-ndin/pr/claypool-man-sentenced-over-24-years-prison</t>
  </si>
  <si>
    <t>Paul Hodson</t>
  </si>
  <si>
    <t>https://www.justice.gov/usao-ma/pr/former-new-bedford-police-officer-sentenced-child-pornography-offenses , https://www.justice.gov/usao-ma/pr/new-bedford-police-officer-indicted-child-pornography-offenses</t>
  </si>
  <si>
    <t>https://wbsm.com/former-new-bedford-cop-sentenced-for-child-porn/</t>
  </si>
  <si>
    <t>https://archive.vn/wip/wrBR1</t>
  </si>
  <si>
    <t>https://archive.vn/wip/QyT9y</t>
  </si>
  <si>
    <t>John Michael Ward</t>
  </si>
  <si>
    <t>https://baptistnews.com/article/another-southern-baptist-minister-charged-with-child-abuse/</t>
  </si>
  <si>
    <t>https://archive.vn/mO977</t>
  </si>
  <si>
    <t>https://archive.vn/Msuxt</t>
  </si>
  <si>
    <t xml:space="preserve">James Edward Groover, II </t>
  </si>
  <si>
    <t>https://www.justice.gov/usao-mdfl/pr/sex-offender-sentenced-more-15-years-sexually-exploiting-children</t>
  </si>
  <si>
    <t>Denny Minix</t>
  </si>
  <si>
    <t>https://www.justice.gov/usao-ndin/pr/repeat-sex-offender-sentenced-25-years-prison</t>
  </si>
  <si>
    <t>Shelby Garigen</t>
  </si>
  <si>
    <t>https://www.justice.gov/usao-wdny/pr/former-clarence-center-soccer-trainer-pleads-guilty-child-pornography-charge , https://www.justice.gov/usao-wdny/pr/former-clarence-center-soccer-trainer-going-prison-following-child-pornography</t>
  </si>
  <si>
    <t>Jack Hiller</t>
  </si>
  <si>
    <t>https://www.justice.gov/usao-ndny/pr/broome-county-man-sentenced-36-months-possessing-child-pornography</t>
  </si>
  <si>
    <t>Timothy Gary Williams</t>
  </si>
  <si>
    <t>https://www.justice.gov/usao-edva/pr/portsmouth-man-pleads-guilty-child-sex-trafficking</t>
  </si>
  <si>
    <t>Tyler Garnett</t>
  </si>
  <si>
    <t>https://www.justice.gov/usao-me/pr/westbrook-man-pleads-guilty-child-sexual-exploitation-offense , https://www.justice.gov/usao-me/pr/westbrook-man-sentenced-child-sexual-exploitation-offense</t>
  </si>
  <si>
    <t>Christopher Johnson</t>
  </si>
  <si>
    <t>https://www.justice.gov/usao-wdny/pr/rochester-man-going-prison-10-years-child-pornography-charge</t>
  </si>
  <si>
    <t>Aaron Bohannon</t>
  </si>
  <si>
    <t>https://www.justice.gov/usao-ndny/pr/utica-man-pleads-guilty-child-exploitation-charges , https://www.justice.gov/usao-ndny/pr/utica-man-arrested-child-pornography-charges , https://www.justice.gov/usao-ndny/pr/utica-man-sentenced-20-years-sexual-exploitation-child-and-distributing-child</t>
  </si>
  <si>
    <t>Derek Loyd Ward</t>
  </si>
  <si>
    <t>Kyle Paul Vance</t>
  </si>
  <si>
    <t>https://www.justice.gov/usao-wdar/pr/washington-state-man-sentenced-over-17-years-federal-prison-child-exploitation</t>
  </si>
  <si>
    <t>Thomas Hill</t>
  </si>
  <si>
    <t>https://www.justice.gov/usao-mdfl/pr/hillsborough-county-man-sentenced-19-years-enticement-minor-and-production-child</t>
  </si>
  <si>
    <t>Jeffrey Martin</t>
  </si>
  <si>
    <t>https://www.justice.gov/usao-wdny/pr/horseheads-man-prior-rape-conviction-pleads-guilty-receipt-child-pornography</t>
  </si>
  <si>
    <t>https://www.stargazette.com/story/news/public-safety/2020/09/17/horseheads-man-faces-40-years-prison-after-child-porn-guilty-plea/3484083001/</t>
  </si>
  <si>
    <t>https://archive.vn/wip/bYF5i</t>
  </si>
  <si>
    <t>Justin Channell</t>
  </si>
  <si>
    <t>https://www.justice.gov/usao-wdny/pr/rochester-man-going-back-prison-decade-possession-child-pornography</t>
  </si>
  <si>
    <t>David Mearis</t>
  </si>
  <si>
    <t>https://www.justice.gov/usao-sdtx/pr/houston-man-gets-life-trafficking-girls-sex</t>
  </si>
  <si>
    <t>https://www.sfchronicle.com/news/houston-texas/houston/article/Texas-pimp-convicted-gets-life-sentence-in-15861650.php</t>
  </si>
  <si>
    <t>https://archive.vn/6waK5</t>
  </si>
  <si>
    <t>https://archive.vn/8BuMt</t>
  </si>
  <si>
    <t>John A. Duncan</t>
  </si>
  <si>
    <t>https://www.justice.gov/usao-ne/pr/omaha-man-sentenced-221-months-child-pornography</t>
  </si>
  <si>
    <t>Zackary McFerren</t>
  </si>
  <si>
    <t>https://www.justice.gov/usao-nj/pr/camden-county-man-admits-sending-obscene-images-minors</t>
  </si>
  <si>
    <t>Craig Alex Levin</t>
  </si>
  <si>
    <t>https://www.justice.gov/usao-edpa/pr/montgomery-county-man-indicted-traveling-philippines-have-sex-children</t>
  </si>
  <si>
    <t>John Flinn</t>
  </si>
  <si>
    <t>https://www.justice.gov/usao-ndny/pr/former-resident-canastota-pleads-guilty-sexual-exploitation-child</t>
  </si>
  <si>
    <t>https://www.syracuse.com/crime/2020/11/man-admits-making-child-porn-taking-lewd-photos-of-6-year-old-child-in-madison-county.html</t>
  </si>
  <si>
    <t>Brent Rawson</t>
  </si>
  <si>
    <t>https://www.justice.gov/usao-sdia/pr/council-bluffs-man-sentenced-over-15-years-prison-receipt-child-pornography</t>
  </si>
  <si>
    <t>Andrew Leo Schafer</t>
  </si>
  <si>
    <t>Project Safe Childhood-Child Exploitaion related charges</t>
  </si>
  <si>
    <t>https://www.justice.gov/usao-mdga/pr/sentencing-and-guilty-plea-two-operation-end-game-child-sexual-exploitation-cases</t>
  </si>
  <si>
    <t>Fredrick Lamar Smith</t>
  </si>
  <si>
    <t>Gregory H Markham</t>
  </si>
  <si>
    <t>https://www.justice.gov/usao-sdia/pr/carter-lake-man-sentenced-drug-and-child-pornography-charges</t>
  </si>
  <si>
    <t>Bilal Mohammad Siddiqui</t>
  </si>
  <si>
    <t>https://www.justice.gov/usao-md/pr/catonsville-man-pleads-guilty-federal-charges-sexual-exploitation-children-and , https://www.justice.gov/usao-md/pr/catonsville-man-sentenced-24-years-federal-prison-sexual-exploitation-children-and</t>
  </si>
  <si>
    <t>Casey Adam Parker</t>
  </si>
  <si>
    <t>https://www.justice.gov/usao-ndok/pr/four-defendants-headed-prison-project-safe-childhood-cases , https://www.justice.gov/usao-ndok/pr/two-men-sentenced-attempted-enticement-and-receipt-child-pornography-0</t>
  </si>
  <si>
    <t>George A Nader</t>
  </si>
  <si>
    <t>Project Safe Childhood-Transportation of a minor &amp; CP related charges</t>
  </si>
  <si>
    <t>https://www.justice.gov/usao-edva/pr/man-arrested-transporting-images-child-sexual-abuse</t>
  </si>
  <si>
    <t>https://www.dailymail.co.uk/news/article-8464635/Mueller-witness-George-Nader-gets-10-years-prison-child-sex-trafficking-child-porn.html</t>
  </si>
  <si>
    <t>US/Lebanon</t>
  </si>
  <si>
    <t>http://archive.vn/SsmBN</t>
  </si>
  <si>
    <t>http://archive.vn/ttUpM</t>
  </si>
  <si>
    <t>Jeffrey Epstein</t>
  </si>
  <si>
    <t>Project Safe Childhood-Sex trafficking of minors &amp; related charges</t>
  </si>
  <si>
    <t>https://www.justice.gov/usao-sdny/pr/jeffrey-epstein-charged-manhattan-federal-court-sex-trafficking-minors</t>
  </si>
  <si>
    <t>https://www.foxnews.com/us/billionaire-jeffrey-epstein-arrested-and-charged-with-sex-trafficking</t>
  </si>
  <si>
    <t>http://archive.fo/vibyB</t>
  </si>
  <si>
    <t>http://archive.fo/sLMoe</t>
  </si>
  <si>
    <t>Matthew Poese</t>
  </si>
  <si>
    <t>https://www.justice.gov/usao-wdpa/pr/erie-county-man-pleads-guilty-possessing-computer-images-child-pornography</t>
  </si>
  <si>
    <t>http://www.wfmj.com/story/40810076/ymcas-former-camp-fitch-executive-director-facing-child-pornography-charge</t>
  </si>
  <si>
    <t>http://archive.fo/WiDtc</t>
  </si>
  <si>
    <t>http://archive.fo/RwxhI</t>
  </si>
  <si>
    <t>Nicolas Edward Wilson</t>
  </si>
  <si>
    <t>https://www.justice.gov/usao-sd/pr/minnesota-man-indicted-child-pornography-charges , https://www.justice.gov/usao-sd/pr/minnesota-man-sentenced-175-years-child-pornography</t>
  </si>
  <si>
    <t>Christopher Rossman</t>
  </si>
  <si>
    <t xml:space="preserve">https://www.justice.gov/usao-ks/pr/kansas-priest-sentenced-possessing-child-pornography , https://www.justice.gov/usao-ks/pr/kansas-priest-pleads-guilty-possessing-child-pornography </t>
  </si>
  <si>
    <t>https://www.kake.com/story/42373399/kansas-priest-sentenced-to-over-3-years-in-federal-prison-for-possession-of-child-pornography</t>
  </si>
  <si>
    <t>https://archive.vn/bmFXK</t>
  </si>
  <si>
    <t>https://archive.vn/B2FnN</t>
  </si>
  <si>
    <t>Jonathan Brownlee</t>
  </si>
  <si>
    <t>https://www.justice.gov/usao-mdpa/pr/monroe-county-man-charged-possession-child-pornography , https://www.justice.gov/usao-mdpa/pr/monroe-county-man-guilty-possessing-child-pornography  , https://www.justice.gov/usao-mdpa/pr/monroe-county-man-sentenced-10-years-imprisonment-possessing-child-pornography</t>
  </si>
  <si>
    <t>Joshua Robert Hein</t>
  </si>
  <si>
    <t>https://www.justice.gov/usao-sd/pr/yankton-man-sentenced-transportation-child-pornography , https://www.justice.gov/usao-sd/pr/multiple-defendants-indicted-child-pornography</t>
  </si>
  <si>
    <t>Robert Norris Forehand</t>
  </si>
  <si>
    <t>https://www.justice.gov/usao-wdnc/pr/repeat-offender-sentenced-more-10-years-child-pornography</t>
  </si>
  <si>
    <t>Michael L. Travers</t>
  </si>
  <si>
    <t>https://www.justice.gov/usao-ut/pr/pandemic-shutdown-not-stopping-child-exploitation-cases-according-utah-federal</t>
  </si>
  <si>
    <t>Corey Daniel Vessar</t>
  </si>
  <si>
    <t>https://www.justice.gov/usao-ndok/pr/final-operation-independence-day-defendant-pleads-guilty-attempted-receipt-child</t>
  </si>
  <si>
    <t>Rogelio Hernandez Rodriguez</t>
  </si>
  <si>
    <t>https://www.justice.gov/usao-ndok/pr/mexican-national-sentenced-600-months-sex-crimes-against-child</t>
  </si>
  <si>
    <t>Devion Cumbie</t>
  </si>
  <si>
    <t>https://www.justice.gov/usao-edar/pr/jury-finds-little-rock-man-guilty-extortion-and-production-child-pornography , https://www.justice.gov/usao-edar/pr/little-rock-man-sentenced-25-years-prison-extortion-and-production-child-pornography</t>
  </si>
  <si>
    <t>Kayan Frazier</t>
  </si>
  <si>
    <t>https://www.justice.gov/usao-nj/pr/former-njdcpp-employee-charged-production-child-pornography , https://www.justice.gov/usao-nj/pr/former-njdcpp-employee-admits-production-child-pornography</t>
  </si>
  <si>
    <t>https://nypost.com/2021/02/08/ex-nj-child-protective-worker-admits-making-child-porn-feds/</t>
  </si>
  <si>
    <t>https://archive.vn/wip/UNYMQ</t>
  </si>
  <si>
    <t>https://archive.vn/wip/xfYoS</t>
  </si>
  <si>
    <t>Paul Morales Castillo</t>
  </si>
  <si>
    <t>https://www.justice.gov/usao-sdia/pr/west-des-moines-man-sentenced-eighteen-years-prison-transportation-child-pornography</t>
  </si>
  <si>
    <t>Michael Richard Hanson</t>
  </si>
  <si>
    <t>https://www.justice.gov/usao-sd/pr/rapid-city-man-sentenced-federal-prison-receipt-child-pornography , https://www.justice.gov/usao-sd/pr/rapid-city-man-indicted-child-pornography-charges-4</t>
  </si>
  <si>
    <t>Pedro Aguirre-Nunez</t>
  </si>
  <si>
    <t>https://www.justice.gov/usao-wdla/pr/illegal-alien-sentenced-producing-child-pornography</t>
  </si>
  <si>
    <t>Michael Scott Porter</t>
  </si>
  <si>
    <t>https://www.justice.gov/usao-edva/pr/former-newport-news-teacher-sentenced-child-pornography</t>
  </si>
  <si>
    <t>Joseph Corbett</t>
  </si>
  <si>
    <t>https://www.justice.gov/usao-ma/pr/danvers-man-sentenced-possession-child-pornography</t>
  </si>
  <si>
    <t>Jeffrey R. Cummings, Jr.</t>
  </si>
  <si>
    <t>https://www.justice.gov/usao-md/pr/previously-convicted-sex-offender-pleads-guilty-federal-charge-enticement-minor-engage</t>
  </si>
  <si>
    <t>Enrique Sánchez Hernández</t>
  </si>
  <si>
    <t>https://www.justice.gov/usao-pr/pr/r-o-grande-man-sentenced-17-years-prison-production-child-pornography</t>
  </si>
  <si>
    <t>Wesley David Gilreath</t>
  </si>
  <si>
    <t>https://www.justice.gov/usao-co/pr/boulder-man-pleads-guilty-possession-child-pornography , https://www.justice.gov/usao-co/pr/boulder-man-sentenced-possessing-tens-thousands-images-and-videos-child-pornography</t>
  </si>
  <si>
    <t>https://www.thedenverchannel.com/news/crime/boulder-man-sentenced-to-more-than-15-years-in-prison-for-possession-of-child-porn</t>
  </si>
  <si>
    <t>https://archive.vn/ZU4X7</t>
  </si>
  <si>
    <t>https://archive.vn/PbJMP</t>
  </si>
  <si>
    <t>Jeffrey L. Bacon</t>
  </si>
  <si>
    <t>https://www.justice.gov/usao-ct/pr/bristol-man-charged-federal-child-exploitation-offenses , https://www.justice.gov/usao-ct/pr/bristol-man-pleads-guilty-child-pornography-offense</t>
  </si>
  <si>
    <t>James S. Brink</t>
  </si>
  <si>
    <t>https://www.justice.gov/usao-ne/pr/nebraska-city-man-sentenced-child-pornography</t>
  </si>
  <si>
    <t>Cort W Davis</t>
  </si>
  <si>
    <t>https://www.justice.gov/usao-edwi/pr/registered-sex-offender-sentenced-25-years-prison-sex-offenses-against-two-minors-one</t>
  </si>
  <si>
    <t>John Maasen</t>
  </si>
  <si>
    <t>https://www.justice.gov/usao-edca/pr/yuba-county-man-pleads-guilty-possession-child-pornography , https://www.justice.gov/usao-edca/pr/olivehurst-man-arrested-receipt-child-pornography , https://www.justice.gov/usao-edca/pr/yuba-county-man-sentenced-10-years-prison-possession-child-pornography</t>
  </si>
  <si>
    <t>William Hamann</t>
  </si>
  <si>
    <t>Sex trafficking of a minor/CP production &amp; related charges</t>
  </si>
  <si>
    <t>https://www.fbi.gov/contact-us/field-offices/portland/news/press-releases/former-eugene-elementary-school-teacher-pleads-guilty-for-sexually-abusing-15-year-old</t>
  </si>
  <si>
    <t>https://breaking911.com/former-first-grade-teacher-pleads-guilty-to-sex-trafficking/</t>
  </si>
  <si>
    <t>https://archive.vn/wip/9c5ka</t>
  </si>
  <si>
    <t>https://archive.vn/wip/Xq48b</t>
  </si>
  <si>
    <t>Joseph Lee Fultz</t>
  </si>
  <si>
    <t>https://www.justice.gov/usao-sdia/pr/des-moines-man-sentenced-27-years-prison-production-child-pornography</t>
  </si>
  <si>
    <t>https://www.msn.com/en-us/news/crime/iowa-man-sentenced-on-production-of-child-pornography-charges/ar-BB1bPgrs</t>
  </si>
  <si>
    <t>https://archive.vn/KKFxn</t>
  </si>
  <si>
    <t>https://archive.vn/xV0kH</t>
  </si>
  <si>
    <t>Brian Matthew Sigouin</t>
  </si>
  <si>
    <t>https://www.justice.gov/usao-sdfl/pr/boca-raton-man-sentenced-federal-child-pornography-charges</t>
  </si>
  <si>
    <t>https://www.cbp.gov/newsroom/local-media-release/armed-tucson-man-arrested-human-smuggling</t>
  </si>
  <si>
    <t>Delshawn Trueheart</t>
  </si>
  <si>
    <t>https://www.justice.gov/usao-wdny/pr/buffalo-photographer-pleads-guilty-production-child-pornography</t>
  </si>
  <si>
    <t>https://www.wgrz.com/article/news/crime/buffalo-photographer-arrested-and-charged-with-possessing-child-porn/71-21cf6adc-cef2-4b43-b1a6-e27ab52bda1b</t>
  </si>
  <si>
    <t>https://archive.vn/thVxp</t>
  </si>
  <si>
    <t>Michelle Gschlect formerly known as Richard Gschlecht</t>
  </si>
  <si>
    <t>https://www.justice.gov/usao-ct/pr/former-new-haven-resident-admits-possessing-child-sex-abuse-images</t>
  </si>
  <si>
    <t>Sydney Crandon</t>
  </si>
  <si>
    <t>Projecct Safe Childhood-Sex trafficking of a minor &amp; related charges</t>
  </si>
  <si>
    <t>https://www.justice.gov/usao-ednc/pr/florida-woman-sentenced-sex-trafficking-minor</t>
  </si>
  <si>
    <t>Daniel W. Miller</t>
  </si>
  <si>
    <t>https://www.justice.gov/usao-ndny/pr/delaware-county-man-pleads-guilty-child-pornography-offenses</t>
  </si>
  <si>
    <t>Pasquale T. Salas</t>
  </si>
  <si>
    <t>https://www.justice.gov/usao-ma/pr/texas-deputy-sheriff-charged-sexual-exploitation-minor, https://www.justice.gov/usao-ma/pr/texas-deputy-sheriff-charged-sexual-exploitation-minor , https://www.justice.gov/usao-ma/pr/texas-deputy-sheriff-sentenced-over-18-years-prison-sexual-exploitation-child-and</t>
  </si>
  <si>
    <t>https://www.click2houston.com/news/local-deputy-accused-of-cyberstalking-girl-from-massachusetts-via-video-game</t>
  </si>
  <si>
    <t>http://archive.fo/Tqp1I</t>
  </si>
  <si>
    <t>http://archive.fo/i3Kq4</t>
  </si>
  <si>
    <t>James Robert Wissmann, IV</t>
  </si>
  <si>
    <t>https://www.justice.gov/usao-md/pr/baltimore-police-officer-pleads-guilty-federal-charge-possession-child-pornography , https://www.justice.gov/usao-md/pr/former-baltimore-police-officer-sentenced-more-six-years-prison-federal-charge-possession</t>
  </si>
  <si>
    <t>Darrick Bell</t>
  </si>
  <si>
    <t>https://www.ice.gov/news/releases/nearly-3-year-manhunt-ends-arrest-hsi-most-wanted-fugitive</t>
  </si>
  <si>
    <t>http://archive.fo/qqoG5</t>
  </si>
  <si>
    <t>Sean Henry White Bremmer</t>
  </si>
  <si>
    <t>CP related charges &amp; sexual abuse of a minor</t>
  </si>
  <si>
    <t>https://www.justice.gov/usao-mt/pr/informational-federal-court-arraignments-54</t>
  </si>
  <si>
    <t>Carlos Brewer</t>
  </si>
  <si>
    <t>https://www.ice.gov/news/releases/pocatello-man-sentenced-over-19-years-federal-prison-receipt-child-pornography</t>
  </si>
  <si>
    <t>Clifford A. Bullock</t>
  </si>
  <si>
    <t>https://www.justice.gov/usao-nh/pr/nottingham-man-pleads-guilty-child-pornography-crime</t>
  </si>
  <si>
    <t>Kenneth Williamson</t>
  </si>
  <si>
    <t>https://www.justice.gov/usao-sd/pr/rapid-city-man-sentenced-attempted-receipt-child-pornography-2</t>
  </si>
  <si>
    <t>Caleb Brown</t>
  </si>
  <si>
    <t>Project Safe Childhood-Travel w/ intent to engage in sex w/ a minor, CP production, &amp; related charges</t>
  </si>
  <si>
    <t>https://www.justice.gov/usao-ri/pr/new-york-man-admits-traveling-rhode-island-engage-sex-minor</t>
  </si>
  <si>
    <t>Josef Pettit</t>
  </si>
  <si>
    <t>https://www.justice.gov/usao-sd/pr/minnesota-man-sentenced-attempted-possession-child-pornography</t>
  </si>
  <si>
    <t>Justin Westby</t>
  </si>
  <si>
    <t>https://www.justice.gov/usao-sd/pr/wall-man-sentenced-attempted-receipt-child-pornography</t>
  </si>
  <si>
    <t>Ryan Joel Shilling</t>
  </si>
  <si>
    <t>https://www.justice.gov/usao-wdla/pr/shreveport-man-attempting-sell-sexually-explicit-images-through-social-media-platform</t>
  </si>
  <si>
    <t>Lucious James Roy et al</t>
  </si>
  <si>
    <t>https://www.justice.gov/usao-edca/pr/stockton-man-and-woman-charged-sex-trafficking-child</t>
  </si>
  <si>
    <t>https://www.kptv.com/news/missing-california-teen-found-in-medford-motel-arrested-on-sex/article_c307e630-7694-11e9-8f04-df413e98d762.html</t>
  </si>
  <si>
    <t>http://archive.fo/zYhV0</t>
  </si>
  <si>
    <t>http://archive.fo/UXZXv</t>
  </si>
  <si>
    <t>Dawniel Santangelo (Roy et al)</t>
  </si>
  <si>
    <t>James Hardcastle</t>
  </si>
  <si>
    <t>https://www.justice.gov/usao-edpa/pr/former-bucks-county-youth-basketball-coach-sentenced-20-years-child-exploitation</t>
  </si>
  <si>
    <t>Ryan Decarolis</t>
  </si>
  <si>
    <t>https://www.justice.gov/usao-ma/pr/fitchburg-man-arrested-child-pornography-charges , https://www.justice.gov/usao-ma/pr/fitchburg-man-pleads-guilty-child-pornography-charges , https://www.justice.gov/usao-ma/pr/fitchburg-man-sentenced-38-years-prison-child-exploitation-offenses</t>
  </si>
  <si>
    <t>https://www.cbp.gov/newsroom/local-media-release/border-patrol-prevents-human-smuggling-attempt</t>
  </si>
  <si>
    <t>https://www.cbp.gov/newsroom/local-media-release/border-patrol-arrests-wanted-man-handgun-during-human-smuggling-attempt</t>
  </si>
  <si>
    <t>https://www.cbp.gov/newsroom/local-media-release/cbp-stops-human-smuggling-attempt</t>
  </si>
  <si>
    <t>Jordan Cole Laws</t>
  </si>
  <si>
    <t>https://www.justice.gov/usao-wdnc/pr/convicted-sex-offender-sentenced-12-years-possessing-child-pornography</t>
  </si>
  <si>
    <t>Adam Lee Reitz</t>
  </si>
  <si>
    <t>https://www.justice.gov/usao-mn/pr/rochester-man-sentenced-27-years-prison-producing-child-pornography</t>
  </si>
  <si>
    <t>Shahla Marie Thompson (Reitz et al)</t>
  </si>
  <si>
    <t>Charles Morancey</t>
  </si>
  <si>
    <t>Interstate travel to have sex with a minor &amp; CP related charges</t>
  </si>
  <si>
    <t>https://www.justice.gov/usao-ri/pr/warwick-man-charged-interstate-travel-engage-sex-minor-receipt-child-pornography</t>
  </si>
  <si>
    <t>Augustin Gallegos</t>
  </si>
  <si>
    <t>https://www.justice.gov/usao-nm/pr/portales-man-indicted-federal-production-child-pornography-charge</t>
  </si>
  <si>
    <t>https://www.9thda.com/single-post/2019/05/17/Portales-Man-Arrested-in-Texico-Kidnapping-of-9-Year-Old-Female#!</t>
  </si>
  <si>
    <t>https://web.archive.org/web/*/https://www.9thda.com/single-post/2019/05/17/Portales-Man-Arrested-in-Texico-Kidnapping-of-9-Year-Old-Female</t>
  </si>
  <si>
    <t>https://web.archive.org/web/20190814233727/https://static.wixstatic.com/media/d6f511_4ac89f19f055419b96fc0c563431c056~mv2.jpg/v1/fill/w_363,h_204,al_c,q_80,usm_0.66_1.00_0.01/d6f511_4ac89f19f055419b96fc0c563431c056~mv2.webp</t>
  </si>
  <si>
    <t>Yohanna Gonzalez-McFarlane</t>
  </si>
  <si>
    <t>STT</t>
  </si>
  <si>
    <t>Human smuggling, sex trafficking</t>
  </si>
  <si>
    <t>https://www.ice.gov/news/releases/hsi-st-thomas-arrests-dominican-national-alien-smuggling-prostitution-scheme</t>
  </si>
  <si>
    <t>https://stthomassource.com/content/2019/08/08/underground-nightclub-operator-arrested-on-prostitution-charge/</t>
  </si>
  <si>
    <t>https://www.cbp.gov/newsroom/local-media-release/illegal-immigrants-found-locked-semi-trailer</t>
  </si>
  <si>
    <t>Gary Lee Long</t>
  </si>
  <si>
    <t>https://www.justice.gov/usao-edky/pr/bracken-county-man-sentenced-180-months-receiving-child-pornography</t>
  </si>
  <si>
    <t>Scott Lynn Garland</t>
  </si>
  <si>
    <t>https://www.justice.gov/usao-co/pr/aurora-man-sentenced-10-years-federal-prison-possession-child-pornography</t>
  </si>
  <si>
    <t>https://www.fox21news.com/news/state/aurora-man-sentenced-to-federal-prison-for-possessing-child-porn/</t>
  </si>
  <si>
    <t>https://archive.vn/wip/b221F</t>
  </si>
  <si>
    <t>Patrick Estes</t>
  </si>
  <si>
    <t>https://www.justice.gov/usao-edmo/pr/franklin-county-man-indicted-charges-attempted-enticement-minor-and-soliciting-child</t>
  </si>
  <si>
    <t>Michael Christianson</t>
  </si>
  <si>
    <t>https://www.justice.gov/usao-ndin/pr/laporte-man-charged-transportation-child-pornography</t>
  </si>
  <si>
    <t>https://www.nwitimes.com/news/man-allegedly-tries-to-publish-explicit-children-s-books-leads/article_0c8e78ca-fcf1-5037-9b1f-a0b0736ec540.html</t>
  </si>
  <si>
    <t>http://archive.fo/uB7Ne</t>
  </si>
  <si>
    <t>Michael T. Sutherin</t>
  </si>
  <si>
    <t>https://www.justice.gov/usao-sdoh/pr/columbus-man-charged-coercing-minor-girls-online , https://www.justice.gov/usao-sdoh/pr/columbus-man-offers-guilty-plea-coercing-minor-girls-nationwide-sending-sexually</t>
  </si>
  <si>
    <t>Nicholas Salvadore Cochran</t>
  </si>
  <si>
    <t>Operation Independence Day-Sex trafficking of a minor</t>
  </si>
  <si>
    <t>https://www.justice.gov/usao-sdoh/pr/lima-man-sentenced-nearly-42-years-prison-sex-trafficking-minor-girl , https://www.justice.gov/usao-sdoh/pr/lima-man-charged-sex-trafficking-minor-girl</t>
  </si>
  <si>
    <t>https://www.cbp.gov/newsroom/local-media-release/border-patrol-agents-arrest-12-illegal-aliens-3-smugglers-2-failed</t>
  </si>
  <si>
    <t>US, Mexico</t>
  </si>
  <si>
    <t>Thomas Dustin Daughtry</t>
  </si>
  <si>
    <t>https://www.justice.gov/usao-ndok/pr/federal-grand-jury-indictments-announced-1</t>
  </si>
  <si>
    <t>https://ktul.com/news/local/us-attorney-fbi-announce-results-of-operation-independence-day</t>
  </si>
  <si>
    <t>Carnell Lovette Matthews</t>
  </si>
  <si>
    <t>Lucas Shane Vann</t>
  </si>
  <si>
    <t>Carl Thomas Spaeth</t>
  </si>
  <si>
    <t>Project Safe Childhood-Attempted Enticement of a minor &amp; CP related charges</t>
  </si>
  <si>
    <t>https://www.justice.gov/usao-ndok/pr/federal-grand-jury-indictments-announced-1, https://www.justice.gov/usao-ndok/pr/broken-arrow-man-sentenced-attempted-receipt-child-pornography</t>
  </si>
  <si>
    <t>Krent Jeffrey Haight</t>
  </si>
  <si>
    <t>https://www.justice.gov/usao-wdpa/pr/pittsburgh-man-charged-distribution-and-possession-child-porn-images-and-videos , https://www.justice.gov/usao-wdpa/pr/pittsburgh-man-admits-possessing-hundreds-images-and-videos-children-engaged-sexually</t>
  </si>
  <si>
    <t>Bennie Schuck II</t>
  </si>
  <si>
    <t>https://www.justice.gov/usao-sdin/pr/federal-authorities-uncover-sexual-abuse-and-online-exploitation</t>
  </si>
  <si>
    <t>https://fox59.com/news/crimetracker/indianapolis-man-woman-admit-to-sexually-abusing-young-girl-doj-says/</t>
  </si>
  <si>
    <t>Amber Talley</t>
  </si>
  <si>
    <t>Thang Minh Van</t>
  </si>
  <si>
    <t>https://www.fbi.gov/contact-us/field-offices/portland/news/press-releases/the-fbi-and-benton-co-sheriffs-office-arrest-corvallis-man-on-child-porn-charge</t>
  </si>
  <si>
    <t>https://www.gazettetimes.com/news/local/benton-county-fbi-arrest-corvallis-man-on-federal-child-porn/article_a50c5174-c8c1-572c-812e-95b4ea29e199.html</t>
  </si>
  <si>
    <t>August</t>
  </si>
  <si>
    <t>Craig A. Gruden</t>
  </si>
  <si>
    <t>https://www.justice.gov/usao-ndoh/pr/willowick-man-indicted-child-pornography-charges</t>
  </si>
  <si>
    <t>Lucas Antonio Nord</t>
  </si>
  <si>
    <t>https://www.justice.gov/usao-sdtx/pr/local-man-who-attempted-entice-50-boys-gets-significant-prison-sentence , https://www.ice.gov/news/releases/corpus-christi-man-sentenced-more-16-years-prison-producing-child-pornography</t>
  </si>
  <si>
    <t>Daniel Eric Merida</t>
  </si>
  <si>
    <t>https://www.justice.gov/usao-ks/pr/indictment-registered-sex-offender-produced-distributed-child-pornography</t>
  </si>
  <si>
    <t>http://www.kten.com/story/41699522/kansas-sex-offender-sentenced-to-50-years-for-child-porn</t>
  </si>
  <si>
    <t>https://kake.images.worldnow.com/images/18679238_G.jpg?auto=webp&amp;disable=upscale&amp;width=800&amp;lastEditedDate=20190815103425</t>
  </si>
  <si>
    <t>Sean Russell Gertsch</t>
  </si>
  <si>
    <t>https://www.justice.gov/usao-sd/pr/sturgis-man-sentenced-child-pornography-charge</t>
  </si>
  <si>
    <t>Jakob Nieves</t>
  </si>
  <si>
    <t>https://www.justice.gov/usao-ma/pr/lawrence-resident-charged-sexually-exploiting-children , https://www.justice.gov/usao-ma/pr/lawrence-resident-pleads-guilty-sexual-exploitation-charges</t>
  </si>
  <si>
    <t>https://christiansfortruth.com/transgender-activist-facing-50-years-in-prison-for-raping-4-year-old-girl-on-video/</t>
  </si>
  <si>
    <t>https://christiansfortruth.com/wp-content/uploads/2019/08/transgender-man-rapes-child.jpg</t>
  </si>
  <si>
    <t>Joseph Price</t>
  </si>
  <si>
    <t>https://www.justice.gov/usao-sdca/pr/child-sex-trafficker-receives-fifteen-years-federal-prison</t>
  </si>
  <si>
    <t>Daniel Mullan</t>
  </si>
  <si>
    <t>Project Safe Childhood-CP related charges &amp; transport of a minor for sexual activity</t>
  </si>
  <si>
    <t>https://www.justice.gov/usao-edny/pr/long-island-man-extradited-ireland-face-child-pornography-and-sexual-exploitation</t>
  </si>
  <si>
    <t>https://www.nbcnewyork.com/news/local/Daniel-Mullan-Long-Island-Child-Pornography-Sex-Charge-Arrest-Ireland-Extradition-547286691.html</t>
  </si>
  <si>
    <t>https://archive.fo/xsWgD</t>
  </si>
  <si>
    <t>https://archive.fo/X8VGG</t>
  </si>
  <si>
    <t>Jose Miguel Melendez-Rojas</t>
  </si>
  <si>
    <t>https://www.ice.gov/news/releases/mexican-man-extradited-united-states-face-sex-trafficking-charges</t>
  </si>
  <si>
    <t>https://dailylash.com/mexican-sex-trafficking-minors-extradited-to-u-s/</t>
  </si>
  <si>
    <t>https://dailylash.com/wp-content/uploads/2019/08/Jose-Miguel-Melendez-Rojas_2.jpg</t>
  </si>
  <si>
    <t>https://www.justice.gov/usao-ndok/pr/operation-independence-day-arrest-results-guilty-plea</t>
  </si>
  <si>
    <t>Tyler L. Foote</t>
  </si>
  <si>
    <t>https://www.justice.gov/usao-cdil/pr/mattoon-man-sentenced-decade-federal-prison-trafficking-child-pornography , https://www.justice.gov/usao-cdil/pr/mattoon-man-charged-transportation-possession-child-pornography</t>
  </si>
  <si>
    <t>Jack Brian LaForte</t>
  </si>
  <si>
    <t>https://www.justice.gov/usao-wdpa/pr/former-monessen-school-bus-driver-pleads-guilty-possessing-videos-showing-sexual https://www.justice.gov/usao-wdpa/pr/us-attorney-s-office-and-project-safe-childhood-partners-announce-highlights-ongoing https://www.justice.gov/usao-wdpa/pr/former-school-bus-driver-charged-possession-videos-and-images-minors-engaged-sexually</t>
  </si>
  <si>
    <t>Trevor C. Maaske</t>
  </si>
  <si>
    <t>https://www.justice.gov/usao-ne/pr/loomis-man-sentenced-12-years-distributing-child-pornography</t>
  </si>
  <si>
    <t>William Jon Patric Ebert</t>
  </si>
  <si>
    <t>https://www.justice.gov/usao-wdnc/pr/federal-jury-convicts-boone-nc-man-child-pornography</t>
  </si>
  <si>
    <t>Pedro Gonzalez, Jr</t>
  </si>
  <si>
    <t>https://www.justice.gov/usao-wdtx/pr/uvalde-man-sentenced-federal-prison-possession-child-pornography</t>
  </si>
  <si>
    <t>Melissa Madera</t>
  </si>
  <si>
    <t>https://www.justice.gov/usao-edpa/pr/reading-pa-woman-pleads-guilty-sex-trafficking-children</t>
  </si>
  <si>
    <t>https://www.wfmz.com/news/area/berks/reading-woman-admits-to-trafficking-children-for-sex/article_21f9370e-eeec-11ea-a46e-aba3e9459e82.html</t>
  </si>
  <si>
    <t>https://archive.vn/wip/m5qGx</t>
  </si>
  <si>
    <t>https://archive.vn/zT5Td</t>
  </si>
  <si>
    <t>Dustin Lee Norman</t>
  </si>
  <si>
    <t>https://www.justice.gov/usao-ndfl/pr/levy-county-man-sentenced-19-years-prison-sextortion-washington-teen-and-possession</t>
  </si>
  <si>
    <t>William Dan Powell</t>
  </si>
  <si>
    <t>https://www.justice.gov/usao-edca/pr/redding-man-charged-child-pornography-offenses</t>
  </si>
  <si>
    <t>Joe Dean Spradlin</t>
  </si>
  <si>
    <t>https://www.justice.gov/usao-sdtx/pr/texan-sent-prison-involvement-distribution-child-pornography-dropbox</t>
  </si>
  <si>
    <t>https://www.pacermonitor.com/public/case/30263109/USA_v_Spradlin</t>
  </si>
  <si>
    <t>Gary Zeitvogel</t>
  </si>
  <si>
    <t>https://www.justice.gov/usao-wdny/pr/gates-man-arrested-child-pornography-charges , https://www.justice.gov/usao-wdny/pr/gates-man-going-prison-decade-receiving-child-pornography</t>
  </si>
  <si>
    <t>Isaac Bissell</t>
  </si>
  <si>
    <t>https://www.justice.gov/usao-me/pr/palmyra-man-pleads-guilty-accessing-child-pornography</t>
  </si>
  <si>
    <t>Adam Scott Barnes</t>
  </si>
  <si>
    <t>https://www.justice.gov/usao-ne/pr/omaha-man-sentenced-300-months-production-child-pornography</t>
  </si>
  <si>
    <t xml:space="preserve"> Michael James Hidlebaugh</t>
  </si>
  <si>
    <t>`</t>
  </si>
  <si>
    <t>https://www.justice.gov/usao-sdia/pr/perry-man-sentenced-federal-prison-child-pornography-offense</t>
  </si>
  <si>
    <t>Jeffrey Wehs</t>
  </si>
  <si>
    <t>https://www.justice.gov/usao-wdny/pr/rochester-man-pleads-guilty-possession-child-pornography-3 , https://www.justice.gov/usao-wdny/pr/rochester-man-sentenced-possession-child-porngraphy</t>
  </si>
  <si>
    <t>Jordan Dunn</t>
  </si>
  <si>
    <t>https://www.justice.gov/usao-wdny/pr/rochester-man-pleads-guilty-receiving-child-pornography-1 , https://www.justice.gov/usao-wdny/pr/rochester-man-going-prison-six-years-following-child-pornography-conviction</t>
  </si>
  <si>
    <t>Michael Brandstrom</t>
  </si>
  <si>
    <t>https://www.justice.gov/usao-sdia/pr/council-bluffs-man-sentenced-40-years-prison-child-pornography-offenses</t>
  </si>
  <si>
    <t>Bradley D Hall</t>
  </si>
  <si>
    <t>https://www.justice.gov/usao-edky/pr/somerset-man-pleads-guilty-production-child-pornography , https://www.justice.gov/usao-edky/pr/somerset-man-sentenced-408-months-production-child-pornography</t>
  </si>
  <si>
    <t>Enoch Fields</t>
  </si>
  <si>
    <t>https://www.justice.gov/usao-sd/pr/sioux-falls-man-sentenced-possession-child-pornography</t>
  </si>
  <si>
    <t>David Jon Kindle</t>
  </si>
  <si>
    <t>https://www.justice.gov/usao-sd/pr/sioux-falls-man-sentenced-25-years-production</t>
  </si>
  <si>
    <t>Andrew John Dick</t>
  </si>
  <si>
    <t>https://www.justice.gov/usao-edky/pr/somerset-man-sentenced-120-months-possessing-child-pornography</t>
  </si>
  <si>
    <t>Levi Alexander Walters</t>
  </si>
  <si>
    <t>https://www.justice.gov/usao-sdin/pr/bartholomew-county-man-sentenced-30-years-federal-prison-sexual-exploitation-child</t>
  </si>
  <si>
    <t>George Daniel McGavitt</t>
  </si>
  <si>
    <t>https://www.justice.gov/usao-sdtx/pr/magnolia-man-gets-life-exploiting-young-female-he-met-and-communicated-roblox-and</t>
  </si>
  <si>
    <t>John D. Lagle</t>
  </si>
  <si>
    <t>https://www.justice.gov/usao-sdoh/pr/muskingum-county-man-who-owned-collection-child-pornography-children-s-underwear</t>
  </si>
  <si>
    <t xml:space="preserve">Luke Vuittonet </t>
  </si>
  <si>
    <t>https://www.justice.gov/usao-wdny/pr/pittsford-man-pleads-guilty-production-child-pornography</t>
  </si>
  <si>
    <t>https://www.whec.com/news/man-indicted-for-sex-assault-of-13-year-old-in-perinton/5485849/</t>
  </si>
  <si>
    <t>https://archive.vn/iRNIj</t>
  </si>
  <si>
    <t>https://archive.vn/wip/1zLov</t>
  </si>
  <si>
    <t>Sean Gleason</t>
  </si>
  <si>
    <t>https://www.justice.gov/usao-ma/pr/dennis-port-man-pleads-guilty-child-pornography-charges</t>
  </si>
  <si>
    <t>Michael Pulliam</t>
  </si>
  <si>
    <t>https://www.justice.gov/usao-wdpa/pr/us-attorney-s-office-and-project-safe-childhood-partners-announce-highlights-ongoing , https://www.justice.gov/usao-wdpa/pr/fayette-county-man-prior-child-porn-conviction-pleads-possessing-1000-s-images</t>
  </si>
  <si>
    <t>Antony Eugene Woody</t>
  </si>
  <si>
    <t>https://www.justice.gov/usao-mdfl/pr/orange-park-man-arrested-and-charged-offering-child-sex-abuse-images-sale-over-internet</t>
  </si>
  <si>
    <t>Zhi Tian Lang</t>
  </si>
  <si>
    <t>Project Safe Childhood-CP &amp; extortion related charges</t>
  </si>
  <si>
    <t>https://www.justice.gov/usao-md/pr/gaithersburg-man-pleads-guilty-federal-charges-receipt-child-pornography-and-extortion , https://www.justice.gov/usao-md/pr/gaithersburg-man-sentenced-14-years-federal-prison-receipt-child-pornography-and</t>
  </si>
  <si>
    <t>https://www.cbp.gov/newsroom/local-media-release/yuma-sector-agents-discover-eight-illegal-aliens-concealed-boat-being</t>
  </si>
  <si>
    <t>Gabriel Albala</t>
  </si>
  <si>
    <t>https://www.justice.gov/usao-sdfl/pr/former-police-officer-sentenced-prison-term-possession-child-pornography</t>
  </si>
  <si>
    <t>Peter Hingston</t>
  </si>
  <si>
    <t>https://www.justice.gov/usao-wdny/pr/city-honors-teacher-arrested-sexual-exploitation-and-child-pornography-charges , https://www.justice.gov/usao-wdny/pr/former-city-honors-teacher-indicted-child-pornography-charges</t>
  </si>
  <si>
    <t>https://www.wivb.com/news/crime/buffalo-city-honors-teacher-arrested-on-charges-related-to-child-pornography/</t>
  </si>
  <si>
    <t>https://www.wivb.com/wp-content/uploads/sites/97/2019/09/Peter-Hingston-2.jpg</t>
  </si>
  <si>
    <t>Justin Travis Taylor</t>
  </si>
  <si>
    <t>https://www.justice.gov/usao-edva/pr/newport-news-man-charged-production-child-pornography-1</t>
  </si>
  <si>
    <t>Jason Brian Goff</t>
  </si>
  <si>
    <t>https://www.justice.gov/usao-mdfl/pr/janitor-local-high-school-pleads-guilty-attempting-produce-child-pornography-secretly , https://www.justice.gov/usao-mdfl/pr/high-school-janitor-charged-filming-students-girls-locker-room</t>
  </si>
  <si>
    <t>Raymond Reid Collins, Jr.</t>
  </si>
  <si>
    <t>https://www.justice.gov/usao-sdny/pr/new-jersey-man-sentenced-18-months-prison-possessing-child-pornography</t>
  </si>
  <si>
    <t>David Wayne Mears</t>
  </si>
  <si>
    <t>Septmber 17, 2019</t>
  </si>
  <si>
    <t>https://www.justice.gov/usao-sdtx/pr/federal-jury-convicts-houston-man-trafficking-girls-sex</t>
  </si>
  <si>
    <t>Jasper E. Shook</t>
  </si>
  <si>
    <t>https://www.justice.gov/usao-ndwv/pr/grant-county-man-admits-child-pornography-charges</t>
  </si>
  <si>
    <t>Johnathan R Umphlett</t>
  </si>
  <si>
    <t>https://www.justice.gov/usao-wdwa/pr/two-registered-sex-offenders-plead-guilty-separate-cases-possession-images-child-rape</t>
  </si>
  <si>
    <t>Jeremy Schenck</t>
  </si>
  <si>
    <t>https://www.justice.gov/usao-wdwi/pr/madison-man-sentenced-20-years-producing-child-pornography , https://www.justice.gov/usao-wdwi/pr/grand-jury-returns-indictments-92</t>
  </si>
  <si>
    <t>Diorian Smith</t>
  </si>
  <si>
    <t>https://www.justice.gov/usao-wdwi/pr/madison-man-sentenced-96-months-possessing-child-pornography</t>
  </si>
  <si>
    <t>Daryl Sumeriski</t>
  </si>
  <si>
    <t>https://www.justice.gov/usao-wdny/pr/batavia-man-going-prison-five-years-after-being-caught-child-pornography-halfway-house , https://www.justice.gov/usao-wdny/pr/batavia-man-caught-child-pornography-halfway-house-pleads-guilty</t>
  </si>
  <si>
    <t>Michael Reece Johnson, Jr.</t>
  </si>
  <si>
    <t>Project Safe Childhood-Travel w/intent to engage sexual conduct w/a minor &amp; CP related charges</t>
  </si>
  <si>
    <t>https://www.justice.gov/usao-sdwv/pr/project-safe-childhood-two-appear-federal-court-child-pornography-crimes</t>
  </si>
  <si>
    <t>Hunter Morgan Uhde</t>
  </si>
  <si>
    <t>https://www.justice.gov/usao-sdia/pr/thornton-man-sentenced-160-months-prison-child-pornography-offenses</t>
  </si>
  <si>
    <t>Tyler Foreman</t>
  </si>
  <si>
    <t>Child exploitation &amp; enticement of a minor</t>
  </si>
  <si>
    <t>https://www.justice.gov/usao-ndoh/pr/marion-man-charged-child-exploitation-after-he-allegedly-induced-13-year-old-engage</t>
  </si>
  <si>
    <t>Scott T Blood</t>
  </si>
  <si>
    <t>https://www.justice.gov/usao-wdwi/pr/monona-man-sentenced-12-years-child-pornography-charges-secretly-recording-minors</t>
  </si>
  <si>
    <t>Thomas Stemmer</t>
  </si>
  <si>
    <t>https://www.justice.gov/usao-ma/pr/chicopee-man-indicted-child-pornography-charges-0</t>
  </si>
  <si>
    <t>Thomas Whitney</t>
  </si>
  <si>
    <t>https://www.justice.gov/usao-nh/pr/barrington-man-pleads-guilty-production-child-pornography</t>
  </si>
  <si>
    <t>Herve Plasse</t>
  </si>
  <si>
    <t>https://www.justice.gov/usao-ma/pr/chicopee-man-indicted-child-pornography-charges</t>
  </si>
  <si>
    <t>William Meyer</t>
  </si>
  <si>
    <t>https://www.justice.gov/usao-ndia/pr/cedar-rapids-man-pleads-guilty-sexual-exploitation-children , https://www.justice.gov/usao-ndia/pr/cedar-rapids-man-sentenced-30-years-federal-prison-sexual-exploitation-children</t>
  </si>
  <si>
    <t>Peter R. Kiwitt</t>
  </si>
  <si>
    <t>https://www.justice.gov/usao-wdny/pr/rochester-man-charged-sex-trafficking-minor-and-possession-child-pornography , https://www.justice.gov/usao-wdny/pr/federal-grand-jury-charges-rochester-man-sex-trafficking-enticement-and-possession</t>
  </si>
  <si>
    <t>Aaron Gatewood</t>
  </si>
  <si>
    <t>https://www.justice.gov/usao-wdar/pr/elkins-man-sentenced-over-33-years-federal-prison-sexual-exploitation-minor</t>
  </si>
  <si>
    <t>Ronald W. Zenga</t>
  </si>
  <si>
    <t>https://www.justice.gov/usao-ri/pr/naval-officer-indicted-transportation-and-enticement-minor-child-pornography-charges , https://www.justice.gov/usao-ri/pr/naval-pilot-admits-coercing-minor-child-pornography-charges</t>
  </si>
  <si>
    <t>http://www.thenewportbuzz.com/middletown-man-pleads-guilty-to-coercing-a-minor-child-pornography-charges/26431</t>
  </si>
  <si>
    <t>https://archive.vn/wip/i2Kwq</t>
  </si>
  <si>
    <t>https://archive.vn/wip/HDpU5</t>
  </si>
  <si>
    <t>Joseph Williams</t>
  </si>
  <si>
    <t>https://www.justice.gov/usao-ndny/pr/watertown-man-pleads-guilty-distribution-receipt-and-possession-child-pornography , https://www.justice.gov/usao-ndny/pr/watertown-man-sentenced-160-months-distribution-receipt-and-possession-child</t>
  </si>
  <si>
    <t>Shawn Everett Daly</t>
  </si>
  <si>
    <t>https://www.justice.gov/usao-wdpa/pr/defendant-pleads-guilty-distributing-and-receiving-child-pornography</t>
  </si>
  <si>
    <t>Rex Doane</t>
  </si>
  <si>
    <t>https://www.justice.gov/usao-edky/pr/pulaski-county-man-sentenced-292-months-production-child-pornography</t>
  </si>
  <si>
    <t>Jimmy Dwayne Leger,</t>
  </si>
  <si>
    <t>https://www.justice.gov/usao-ks/pr/lyon-county-man-pleads-guilty-possessing-child-porn</t>
  </si>
  <si>
    <t>Christopher O’Sullivan</t>
  </si>
  <si>
    <t>https://www.justice.gov/usao-edpa/pr/philadelphia-middle-school-teacher-charged-child-sexual-exploitation</t>
  </si>
  <si>
    <t>https://philadelphia.cbslocal.com/2019/09/27/us-attorneys-office-philadelphia-middle-school-teacher-sexually-coerced-12-year-old-boy/</t>
  </si>
  <si>
    <t>Kenneth Gianatasio</t>
  </si>
  <si>
    <t>https://www.justice.gov/usao-ma/pr/worcester-man-arrested-possession-child-pornography</t>
  </si>
  <si>
    <t>John Michael Raley</t>
  </si>
  <si>
    <t>Shawn Richard Seburn</t>
  </si>
  <si>
    <t>https://www.justice.gov/usao-ks/pr/indictment-former-immigration-officer-pretended-be-ice-supervisor</t>
  </si>
  <si>
    <t>John Dean Hopkins</t>
  </si>
  <si>
    <t>Derek Wallace Johnson</t>
  </si>
  <si>
    <t>https://www.ice.gov/news/releases/receiving-distributing-child-pornography-sends-montana-man-prison</t>
  </si>
  <si>
    <t>Alvaro Castillo</t>
  </si>
  <si>
    <t>https://www.justice.gov/opa/pr/colorado-man-convicted-production-transportation-and-possession-child-pornography</t>
  </si>
  <si>
    <t>William Adam Jonathan Smith</t>
  </si>
  <si>
    <t>https://www.ice.gov/news/releases/ice-hsi-dallas-led-investigation-results-denton-man-receiving-15-year-sentence</t>
  </si>
  <si>
    <t>Charity Cantu</t>
  </si>
  <si>
    <t>Matthew Miller</t>
  </si>
  <si>
    <t>https://www.justice.gov/usao-ndal/pr/tuscaloosa-man-sentenced-600-years-prison-sexual-exploitation-children</t>
  </si>
  <si>
    <t>https://www.wistv.com/2020/10/02/tuscaloosa-man-sentenced-years-sexual-exploitation-children/</t>
  </si>
  <si>
    <t>https://archive.vn/oKMxA</t>
  </si>
  <si>
    <t>https://archive.vn/wip/pAJIK</t>
  </si>
  <si>
    <t>James Coney</t>
  </si>
  <si>
    <t>https://www.justice.gov/usao-wdwi/pr/grand-jury-returns-indictments-rock-county-man-charged-complaint</t>
  </si>
  <si>
    <t>Kyle A. Riggs</t>
  </si>
  <si>
    <t>https://www.justice.gov/usao-wdwi/pr/fort-atkinson-man-sentenced-150-months-distributing-child-pornography</t>
  </si>
  <si>
    <t>Keith Eric Saunders</t>
  </si>
  <si>
    <t>https://www.justice.gov/usao-wdnc/pr/fake-model-scout-sentenced-19-years-producing-child-pornography</t>
  </si>
  <si>
    <t>https://www.msn.com/en-us/news/crime/brevard-man-posing-a-model-scout-sentenced-for-producing-child-pornography/ar-BB1bQXUo</t>
  </si>
  <si>
    <t>https://archive.vn/wip/Xt2kL</t>
  </si>
  <si>
    <t>https://img-s-msn-com.akamaized.net/tenant/amp/entityid/BB1bR63n.img?h=704&amp;w=1248&amp;m=6&amp;q=60&amp;o=f&amp;l=f&amp;x=505&amp;y=309</t>
  </si>
  <si>
    <t>Clarence Michael Ransom</t>
  </si>
  <si>
    <t>Project Safe Childhood-Kidnapping/ CP production &amp; related charges</t>
  </si>
  <si>
    <t>https://www.justice.gov/usao-nm/pr/previously-convicted-sex-offender-pleads-guilty-federal-child-pornography-and , https://www.justice.gov/usao-nm/pr/previously-convicted-sex-offender-sentenced-35-years-federal-prison-child-pornography-and</t>
  </si>
  <si>
    <t>William Lockwood</t>
  </si>
  <si>
    <t>https://www.justice.gov/usao-ks/pr/kc-man-pleads-guilty-child-porn-charge-could-send-him-prison-12-years , https://www.justice.gov/usao-ks/pr/missouri-man-prior-child-sex-conviction-sentenced-possessing-child-porn-kansas</t>
  </si>
  <si>
    <t>Enticement of a minor &amp; CP related charges</t>
  </si>
  <si>
    <t>https://www.justice.gov/usao-ndok/pr/federal-grand-jury-criminal-indictments-announced-62 , https://www.justice.gov/usao-ndok/pr/two-men-arrested-during-operation-independence-day-plead-guilty</t>
  </si>
  <si>
    <t>Robert W. Wood</t>
  </si>
  <si>
    <t>https://www.justice.gov/usao-wdny/pr/corning-man-pleads-guilty-possession-child-pornography-0 , https://www.justice.gov/usao-wdny/pr/corning-man-going-prison-more-12-years-possession-child-pornography</t>
  </si>
  <si>
    <t>Christopher Ernest Martinez  (Hubbard et al)</t>
  </si>
  <si>
    <t>https://www.justice.gov/usao-wdtx/pr/midland-man-sentenced-statutory-maximum-80-years-federal-prison-child-pornography</t>
  </si>
  <si>
    <t>Kelsey Renee Hubbard (Hubbard et al)</t>
  </si>
  <si>
    <t>Jonathan Roberts</t>
  </si>
  <si>
    <t>https://www.justice.gov/usao-ndin/pr/warsaw-indiana-man-sentenced-0</t>
  </si>
  <si>
    <t>David Todd Beresky</t>
  </si>
  <si>
    <t>https://www.justice.gov/usao-wdmo/pr/springfield-sex-offender-sentenced-10-years-child-pornography</t>
  </si>
  <si>
    <t>Bradley Omar Jeffrey-Moe</t>
  </si>
  <si>
    <t>https://www.justice.gov/usao-edva/pr/jury-convicts-man-receiving-and-possessing-images-child-sexual-abuse</t>
  </si>
  <si>
    <t>Timothy Wayne Carnelison Jr</t>
  </si>
  <si>
    <t>https://www.justice.gov/usao-wdmo/pr/forsyth-sex-offender-sentenced-20-years-child-pornography</t>
  </si>
  <si>
    <t>Columbus Donavan Jeffrey</t>
  </si>
  <si>
    <t>https://www.justice.gov/usao-mdfl/pr/jacksonville-man-charged-producing-images-depicting-sexual-abuse-child , https://www.justice.gov/usao-mdfl/pr/jacksonville-man-pleads-guilty-producing-photos-himself-he-sexually-abused-11-year-old</t>
  </si>
  <si>
    <t>Nicholas Robillard</t>
  </si>
  <si>
    <t>https://www.justice.gov/usao-ma/pr/north-attleboro-man-pleads-guilty-child-pornography-offenses , https://www.justice.gov/usao-ma/pr/north-attleboro-man-indicted-child-pornography-offenses</t>
  </si>
  <si>
    <t>Thomas Michael Mannion, Jr.</t>
  </si>
  <si>
    <t>https://www.justice.gov/usao-md/pr/former-baltimore-county-correctional-officer-pleads-guilty-federal-court-two-counts , https://www.justice.gov/usao-md/pr/former-baltimore-county-correctional-officer-sentenced-more-33-years-federal-prison-two</t>
  </si>
  <si>
    <t>Eric Rundstrom</t>
  </si>
  <si>
    <t>https://www.justice.gov/usao-ct/pr/wallingford-man-charged-child-pornography-offenses , https://www.justice.gov/usao-ct/pr/wallingford-man-admits-downloading-child-pornography-internet</t>
  </si>
  <si>
    <t>Thomas Ingrassia</t>
  </si>
  <si>
    <t>https://www.justice.gov/usao-wdny/pr/webster-man-pleads-guilty-possession-child-pornography-0</t>
  </si>
  <si>
    <t>Sean Humby</t>
  </si>
  <si>
    <t>https://www.justice.gov/usao-wdny/pr/convicted-felon-pleads-guilty-child-pornography-charge</t>
  </si>
  <si>
    <t>Chansellor Ormon Hill</t>
  </si>
  <si>
    <t>https://www.justice.gov/usao-ndtx/pr/grapevine-child-sexual-predator-sentenced-20-years</t>
  </si>
  <si>
    <t>https://crimeinformer.com/arrestArticle/Texas/52983 , https://www.wfaa.com/article/news/crime/it-makes-me-sick-parents-concerned-after-alleged-child-predator-out-on-bond-despite-3-arrests-in-2-months/287-a151d902-f0a0-4226-b51d-ee0a40011e8b</t>
  </si>
  <si>
    <t>https://archive.vn/wip/pJ8rT</t>
  </si>
  <si>
    <t>https://archive.vn/wip/PnsRf</t>
  </si>
  <si>
    <t>Paul Petersen</t>
  </si>
  <si>
    <t>https://www.justice.gov/usao-wdar/pr/arizona-adoption-attorney-arrested-adoption-fraud-and-alien-smuggling https://www.justice.gov/usao-wdar/pr/email-address-created-questions-pertaining-victims-affected-arrest-paul-petersen</t>
  </si>
  <si>
    <t>https://www.npr.org/2019/10/09/768533784/arizona-official-arrested-in-multi-million-dollar-baby-mill-adoption-fraud-schem</t>
  </si>
  <si>
    <t>http://archive.vn/WOue4</t>
  </si>
  <si>
    <t>http://archive.vn/wip/GarmG</t>
  </si>
  <si>
    <t>Maki Takehisa (Petersen et al)</t>
  </si>
  <si>
    <t>Brian Gregan</t>
  </si>
  <si>
    <t>https://www.justice.gov/usao-ct/pr/windsor-locks-man-pleads-guilty-child-pornography-offense , https://www.justice.gov/usao-ct/pr/windsor-locks-man-sentenced-5-years-federal-prison-child-pornography-offense</t>
  </si>
  <si>
    <t>Mark Felner</t>
  </si>
  <si>
    <t>https://www.justice.gov/usao-ct/pr/clinton-man-pleads-guilty-federal-child-pornography-charge , https://www.justice.gov/usao-ct/pr/clinton-man-sentenced-5-years-federal-prison-child-exploitation-offense</t>
  </si>
  <si>
    <t>Terry Lajeunesse</t>
  </si>
  <si>
    <t>https://www.justice.gov/usao-ndny/pr/warren-county-man-charged-possessing-child-pornography</t>
  </si>
  <si>
    <t>Todd Joseph Simmerman</t>
  </si>
  <si>
    <t>https://www.justice.gov/usao-mdfl/pr/repeat-sex-offender-sentenced-60-years-sexually-exploiting-children</t>
  </si>
  <si>
    <t>https://www.justice.gov/usao-md/pr/former-montgomery-county-music-teacher-sentenced-more-four-years-federal-prison</t>
  </si>
  <si>
    <t>Brandon Kramer</t>
  </si>
  <si>
    <t>https://www.justice.gov/usao-ndin/pr/goshen-man-sentenced-over-15-years-prison</t>
  </si>
  <si>
    <t>Benigno Gonzalez-Mendoza</t>
  </si>
  <si>
    <t>https://www.justice.gov/usao-nj/pr/jersey-city-new-jersey-man-charged-receipt-child-pornography</t>
  </si>
  <si>
    <t>Héctor Emmanuel Soto</t>
  </si>
  <si>
    <t>https://www.fbi.gov/contact-us/field-offices/sanjuan/news/press-releases/arrest-of-hctor-e-soto</t>
  </si>
  <si>
    <t>Michael James Pratt</t>
  </si>
  <si>
    <t>Sex trafficking- Porn production</t>
  </si>
  <si>
    <t>https://www.justice.gov/usao-sdca/pr/girlsdoporn-owners-and-employees-charged-sex-trafficking-conspiracy , https://www.justice.gov/usao-sdca/pr/cameraman-pleads-guilty-girlsdoporn-sex-trafficking-conspiracy</t>
  </si>
  <si>
    <t>https://archive.vn/wip/xUDR9</t>
  </si>
  <si>
    <t>Matthew Isaac Wolfe (Pratt et al)</t>
  </si>
  <si>
    <t>Ruben Andre Garcia (Pratt et al)</t>
  </si>
  <si>
    <t>Valorie Moser (Pratt et al)</t>
  </si>
  <si>
    <t>Amberlyn Dee Nored (Pratt et al)</t>
  </si>
  <si>
    <t>Theodore Wilfred Gyi (Pratt et al)</t>
  </si>
  <si>
    <t>Phillip Christopher Lytton</t>
  </si>
  <si>
    <t>https://www.justice.gov/usao-sdia/pr/des-moines-man-sentenced-prison-possession-child-pornography</t>
  </si>
  <si>
    <t>Milton Forsberg</t>
  </si>
  <si>
    <t>https://www.justice.gov/usao-cdil/pr/former-boy-scout-troop-leader-sentenced-6-12-years-federal-prison-child-pornography , https://www.justice.gov/usao-cdil/pr/former-boy-scout-troop-leader-indicted-charges-trafficking-child-pornography</t>
  </si>
  <si>
    <t>https://www.wcia.com/news/man-with-ties-to-boy-scouts-arrested-on-child-porn-charges/</t>
  </si>
  <si>
    <t>https://archive.vn/ppRoj</t>
  </si>
  <si>
    <t>https://archive.vn/wip/lnG9a</t>
  </si>
  <si>
    <t>Donavon Oliphant</t>
  </si>
  <si>
    <t>https://www.justice.gov/usao-nj/pr/iowa-man-admits-producing-and-possessing-child-pornography</t>
  </si>
  <si>
    <t>https://www.thegazette.com/subject/news/public-safety/donovan-oliphant-child-pornography-iowa-new-jersey-20191017</t>
  </si>
  <si>
    <t>https://archive.vn/NVswz</t>
  </si>
  <si>
    <t>Justin D Beatty</t>
  </si>
  <si>
    <t>https://www.justice.gov/usao-ndal/pr/former-madison-county-man-arrested-child-pornography-charges</t>
  </si>
  <si>
    <t>Bryant Dale Voss</t>
  </si>
  <si>
    <t>https://www.justice.gov/usao-sdia/pr/west-des-moines-man-sentenced-six-years-prison-possession-child-pornography</t>
  </si>
  <si>
    <t>Timothy James Hallows</t>
  </si>
  <si>
    <t>https://www.justice.gov/usao-ut/pr/hallows-sentenced-46-months-federal-prison-after-pleading-guilty-possession-child</t>
  </si>
  <si>
    <t>Craig A. White</t>
  </si>
  <si>
    <t>https://www.justice.gov/usao-ndoh/pr/eastlake-man-indicted-federal-court-child-pornography-charges</t>
  </si>
  <si>
    <t>Zachary Feeterman</t>
  </si>
  <si>
    <t>https://www.justice.gov/usao-wdny/pr/level-1-sex-offender-charged-possession-child-pornography</t>
  </si>
  <si>
    <t>Anthony Donal Short</t>
  </si>
  <si>
    <t>https://www.justice.gov/usao-wdmi/pr/2020_0318_Short</t>
  </si>
  <si>
    <t>James Franklin Young</t>
  </si>
  <si>
    <t>https://www.justice.gov/usao-wdpa/pr/pittsburgh-man-charged-receiving-and-possessing-child-pornography , https://www.justice.gov/usao-wdpa/pr/pittsburgh-man-pleads-guilty-federal-child-sexual-exploitation-charges</t>
  </si>
  <si>
    <t>Keith H. Rivera</t>
  </si>
  <si>
    <t>https://www.justice.gov/usao-ne/pr/kimball-man-sentenced-possession-child-pornography</t>
  </si>
  <si>
    <t>Alan Noltensmeyer</t>
  </si>
  <si>
    <t>https://www.justice.gov/usao-ks/pr/overland-park-man-pleads-guilty-possessing-child-pornography-0</t>
  </si>
  <si>
    <t>James O'Brien</t>
  </si>
  <si>
    <t>https://www.justice.gov/usao-ndny/pr/broome-county-repeat-offender-sentenced-over-18-years-prison-child-pornography-crimes</t>
  </si>
  <si>
    <t>John Allan Swayze</t>
  </si>
  <si>
    <t>https://www.justice.gov/usao-mdpa/pr/york-county-man-charged-child-exploitation-offenses-0</t>
  </si>
  <si>
    <t>Philip B Gilbert</t>
  </si>
  <si>
    <t>https://www.justice.gov/usao-wdwa/pr/issaquah-washington-man-pleads-guilty-possession-images-child-rape-and-molestation , https://www.ice.gov/news/releases/ice-local-law-enforcement-partner-investigation-results-30-month-sentence-issaquah-man</t>
  </si>
  <si>
    <t>Roger Allen Bellini</t>
  </si>
  <si>
    <t>https://www.justice.gov/opa/pr/virginia-man-pleads-guilty-enticement-child-pornography-charges</t>
  </si>
  <si>
    <t>https://www.cbp.gov/newsroom/national-media-release/smugglers-endanger-lives-trying-evade-border-patrol</t>
  </si>
  <si>
    <t>Matthew Kummer</t>
  </si>
  <si>
    <t>https://www.justice.gov/usao-wdwi/pr/minocqua-man-sentenced-10-years-possessing-child-pornography</t>
  </si>
  <si>
    <t>Christopher Charles Hirst</t>
  </si>
  <si>
    <t>https://www.justice.gov/usao-sdwv/pr/two-project-safe-childhood-defendants-plead-guilty , https://www.justice.gov/usao-sdwv/pr/putnam-county-man-sentenced-10-years-federal-prison-child-pornography-offense</t>
  </si>
  <si>
    <t>Jesse Beltran</t>
  </si>
  <si>
    <t>https://www.justice.gov/usao-cdca/pr/la-county-man-previously-convicted-child-sex-abuse-pleads-guilty-federal-child</t>
  </si>
  <si>
    <t>Daniel C. Runion</t>
  </si>
  <si>
    <t>https://www.justice.gov/usao-sdwv/pr/whitesville-man-sentenced-more-12-years-federal-prison-second-child-pornography-offense , https://www.justice.gov/usao-sdwv/pr/whitesville-man-pleads-guilty-federal-gun-charge</t>
  </si>
  <si>
    <t>Kyle M. Desroche</t>
  </si>
  <si>
    <t>https://www.justice.gov/usao-nh/pr/brentwood-man-pleads-guilty-distribution-child-pornography , https://www.justice.gov/usao-nh/pr/brentwood-man-sentenced-120-months-distribution-child-pornography</t>
  </si>
  <si>
    <t>Daniel Wayne Benner</t>
  </si>
  <si>
    <t>https://www.justice.gov/usao-edca/pr/orangevale-man-charged-distribution-child-pornography</t>
  </si>
  <si>
    <t>Francisco Sanchez</t>
  </si>
  <si>
    <t>https://www.justice.gov/usao-cdca/pr/koreatown-man-arrested-federal-charges-he-coerced-girls-he-met-online-sending-him , https://www.justice.gov/usao-cdca/pr/koreatown-man-sentenced-17-years-prison-coercing-girls-he-met-online-sending-him</t>
  </si>
  <si>
    <t>Dale Knapinski</t>
  </si>
  <si>
    <t>https://www.justice.gov/usao-wdwa/pr/woodinville-water-commissioner-pleads-guilty-possession-child-pornography-0</t>
  </si>
  <si>
    <t>https://www.q13fox.com/news/woodinville-water-commissioner-pleads-guilty-to-possessing-280-child-rape-images</t>
  </si>
  <si>
    <t>https://archive.vn/ezJ5L</t>
  </si>
  <si>
    <t>https://archive.vn/5VIVR</t>
  </si>
  <si>
    <t>Thomas Alan Arthur</t>
  </si>
  <si>
    <t>Project Safe Childhood-Trafficking obscene material representing sexual abuse of children</t>
  </si>
  <si>
    <t>https://www.justice.gov/opa/pr/man-convicted-multiple-obscenity-crimes-involving-children</t>
  </si>
  <si>
    <t xml:space="preserve"> Andrew Neil Smith</t>
  </si>
  <si>
    <t>https://www.justice.gov/usao-id/pr/caldwell-man-sentenced-25-years-federal-prison-producing-child-pornography</t>
  </si>
  <si>
    <t>Darnell Edwards</t>
  </si>
  <si>
    <t>https://www.justice.gov/usao-edca/pr/two-indicted-after-investigation-reports-sex-trafficking-desert-star-motel</t>
  </si>
  <si>
    <t>Jay Edward Thompson</t>
  </si>
  <si>
    <t>Project Safe Childhood-Attempted enticement of a minor</t>
  </si>
  <si>
    <t>https://www.justice.gov/usao-wdar/pr/winslow-man-sentenced-10-years-federal-prison-attempted-enticement-minor</t>
  </si>
  <si>
    <t>Anthony Layton Moody</t>
  </si>
  <si>
    <t>https://www.justice.gov/usao-edtn/pr/elizabethton-man-sentenced-distribution-child-pornography</t>
  </si>
  <si>
    <t>Daniel Cooke</t>
  </si>
  <si>
    <t>https://www.justice.gov/usao-ndin/pr/illinois-man-sentenced-20-years-prison</t>
  </si>
  <si>
    <t>Jonathan Kassay</t>
  </si>
  <si>
    <t>https://www.justice.gov/usao-ndin/pr/granger-indiana-man-sentenced-30-years-prison</t>
  </si>
  <si>
    <t>Nicholas Vuksinich</t>
  </si>
  <si>
    <t>https://www.justice.gov/usao-edca/pr/sacramento-man-sentenced-over-17-years-prison-producing-child-pornography</t>
  </si>
  <si>
    <t>https://www.sacbee.com/news/local/crime/article247936885.html</t>
  </si>
  <si>
    <t>https://archive.vn/wip/iNL6r</t>
  </si>
  <si>
    <t>Louis Ackerman Jr.</t>
  </si>
  <si>
    <t>https://www.justice.gov/usao-ma/pr/duxbury-man-sentenced-child-pornography-charge</t>
  </si>
  <si>
    <t>Travis Butler</t>
  </si>
  <si>
    <t>https://www.justice.gov/usao-ndfl/pr/pensacola-registered-sex-offender-sentenced-life-imprisonment-new-child-sex-crimes</t>
  </si>
  <si>
    <t>https://www.wtxl.com/news/local-news/pensacola-registered-sex-offender-gets-life-sentence-for-new-child-sex-crimes</t>
  </si>
  <si>
    <t>https://archive.vn/zDxmk</t>
  </si>
  <si>
    <t>https://archive.vn/wip/nRxal</t>
  </si>
  <si>
    <t>Michael J. Truesdail</t>
  </si>
  <si>
    <t>https://www.justice.gov/usao-wdny/pr/ithaca-man-facing-multiple-child-pornography-charges , https://www.justice.gov/usao-wdny/pr/montour-falls-man-pleads-guilty-possessing-child-pornography , https://www.justice.gov/usao-wdny/pr/montour-falls-man-going-prison-possessing-child-pornography</t>
  </si>
  <si>
    <t>Matthew David Lambert</t>
  </si>
  <si>
    <t>https://www.justice.gov/usao-sdwv/pr/three-defendants-plead-guilty-federal-court-sex-offenses-involving-minors , https://www.justice.gov/usao-sdwv/pr/greenbrier-county-man-sentenced-federal-prison-sex-offense-involving-minor</t>
  </si>
  <si>
    <t>John Schulenburg</t>
  </si>
  <si>
    <t>https://www.justice.gov/usao-nj/pr/somerset-county-man-arrested-child-pornography-charges</t>
  </si>
  <si>
    <t>Jared Tyler Olivier</t>
  </si>
  <si>
    <t>https://www.justice.gov/usao-wdla/pr/lafayette-man-sentenced-federal-prison-transportation-child-pornography</t>
  </si>
  <si>
    <t>Edgar Johan Diaz-Colon</t>
  </si>
  <si>
    <t>https://www.justice.gov/usao-mdfl/pr/zephyrhills-man-sentenced-150-years-sexually-exploiting-multiple-young-children</t>
  </si>
  <si>
    <t>https://www.cbs17.com/news/man-recorded-himself-molesting-3-year-old-girl-florida-deputies-say/</t>
  </si>
  <si>
    <t>https://archive.vn/C5BRu</t>
  </si>
  <si>
    <t>https://archive.vn/M406r</t>
  </si>
  <si>
    <t>Joseph Emery Menard</t>
  </si>
  <si>
    <t>https://www.justice.gov/usao-wdla/pr/rayne-man-history-committing-sexual-crimes-sentenced-federal-court</t>
  </si>
  <si>
    <t>Richard Brian Biemuller</t>
  </si>
  <si>
    <t>Sex trafficking of children</t>
  </si>
  <si>
    <t>https://www.fbi.gov/contact-us/field-offices/sanjuan/news/press-releases/arrest-of-richard-brian-biemuller</t>
  </si>
  <si>
    <t>Shawn Andrew Andersen</t>
  </si>
  <si>
    <t>https://www.justice.gov/usao-mt/pr/informational-federal-court-arraignments-65 , https://www.justice.gov/usao-mt/pr/cut-bank-man-sentenced-child-pornography-firearms-crimes</t>
  </si>
  <si>
    <t>John T. Perugini</t>
  </si>
  <si>
    <t>https://www.justice.gov/usao-ct/pr/waterbury-man-pleads-guilty-possessing-child-sex-abuse-images</t>
  </si>
  <si>
    <t>Titus Miller</t>
  </si>
  <si>
    <t>https://www.justice.gov/usao-ne/pr/grand-jury-indicts-lincoln-man-producing-child-pornography , https://www.justice.gov/usao-ne/pr/former-lincoln-daycare-worker-pleads-guilty-producing-child-pornography , https://www.justice.gov/usao-ne/pr/lincoln-man-receives-100-year-sentence-producing-child-pornography</t>
  </si>
  <si>
    <t>Edward Lee Raiburn</t>
  </si>
  <si>
    <t>https://www.justice.gov/usao-sdia/pr/oklahoma-man-sentenced-30-years-federal-prison-child-exploitation-offense</t>
  </si>
  <si>
    <t>Lydia Brynn Christensen</t>
  </si>
  <si>
    <t>https://www.justice.gov/usao-wdtx/pr/temple-woman-pleads-guilty-possessing-and-distributing-child-pornography , https://www.justice.gov/usao-wdtx/pr/temple-woman-pleads-guilty-possessing-and-distributing-child-pornography , https://www.justice.gov/usao-wdtx/pr/temple-woman-sentenced-more-15-years-federal-prison-possessing-and-distributing-child</t>
  </si>
  <si>
    <t>William M. Jones</t>
  </si>
  <si>
    <t>https://www.justice.gov/usao-wdpa/pr/somerset-county-man-sentenced-11-years-prison-violating-federal-child-exploitation-and , https://www.justice.gov/usao-wdpa/pr/convicted-child-molester-pleads-guilty-johnstown-pa-possessing-child-pornography</t>
  </si>
  <si>
    <t>Lazaro Eugene Velasquez</t>
  </si>
  <si>
    <t>https://www.justice.gov/usao-sdtx/pr/man-homemade-sex-doll-ordered-federal-prison-child-pornography-charge</t>
  </si>
  <si>
    <t>Gilbert Joseph Swann, III</t>
  </si>
  <si>
    <t>https://www.justice.gov/usao-mdpa/pr/york-county-man-charged-child-exploitation-offenses-1</t>
  </si>
  <si>
    <t>Michael David Mathisen</t>
  </si>
  <si>
    <t>Joshua D. Walsh</t>
  </si>
  <si>
    <t>https://www.justice.gov/usao-ne/pr/lincoln-man-convicted-receipt-and-distribution-child-pornography</t>
  </si>
  <si>
    <t>Theron Charles Barron</t>
  </si>
  <si>
    <t>https://www.justice.gov/usao-cdca/pr/inland-empire-man-sentenced-10-years-federal-prison-third-conviction-possessing-child</t>
  </si>
  <si>
    <t>Brendan J. Eardly</t>
  </si>
  <si>
    <t>https://www.justice.gov/usao-sdoh/pr/registered-sex-offender-pleads-guilty-enticing-young-men-produce-child-pornography</t>
  </si>
  <si>
    <t>Alex Asino</t>
  </si>
  <si>
    <t>Project Safe Childhood-Sex trafficking of a minor/CP production &amp; related charges</t>
  </si>
  <si>
    <t>https://www.justice.gov/usao-ak/pr/anchorage-sex-offender-arrested-and-detained-after-continued-child-exploitation-conduct</t>
  </si>
  <si>
    <t>Jeremy Garey</t>
  </si>
  <si>
    <t>https://www.justice.gov/usao-edky/pr/burlington-man-indicted-child-pornography-charges</t>
  </si>
  <si>
    <t>Lane Joseph Winters</t>
  </si>
  <si>
    <t>Attempted exploitation of a child</t>
  </si>
  <si>
    <t>https://www.fbi.gov/contact-us/field-offices/cleveland/news/press-releases/shelby-ohio-man-arrested-for-attempting-to-sexually-exploit-a-child</t>
  </si>
  <si>
    <t>Arejae Gangob Medina</t>
  </si>
  <si>
    <t>https://www.justice.gov/usao-wdok/pr/pennsylvania-man-sentenced-serve-292-months-federal-prison-child-sexual-enticement</t>
  </si>
  <si>
    <t>Jack Underwood</t>
  </si>
  <si>
    <t>https://www.justice.gov/usao-nj/pr/atlantic-county-man-admits-possession-child-pornography</t>
  </si>
  <si>
    <t>Benjamin Franklin Thomas</t>
  </si>
  <si>
    <t>https://www.justice.gov/usao-sdwv/pr/cedar-grove-man-sentenced-federal-prison-child-pornography-crime</t>
  </si>
  <si>
    <t>Vincent Colunga</t>
  </si>
  <si>
    <t>https://www.justice.gov/usao-wdny/pr/rochester-man-going-prison-possession-child-pornography</t>
  </si>
  <si>
    <t>Rolando Cifuentes-Lopez</t>
  </si>
  <si>
    <t xml:space="preserve">https://www.justice.gov/usao-wdok/pr/two-oklahoma-city-men-plead-guilty-child-sex-trafficking https://www.justice.gov/usao-wdok/pr/two-men-charged-child-sex-trafficking, https://www.justice.gov/usao-wdok/pr/two-oklahoma-city-men-plead-guilty-child-sex-trafficking  </t>
  </si>
  <si>
    <t>Eri Cifuentes-Lopez</t>
  </si>
  <si>
    <t xml:space="preserve">https://www.justice.gov/usao-wdok/pr/two-oklahoma-city-men-plead-guilty-child-sex-trafficking https://www.justice.gov/usao-wdok/pr/two-men-charged-child-sex-trafficking , https://www.justice.gov/usao-wdok/pr/two-oklahoma-city-men-plead-guilty-child-sex-trafficking </t>
  </si>
  <si>
    <t>Carl Loomis</t>
  </si>
  <si>
    <t>https://www.justice.gov/usao-me/pr/gorham-man-pleads-guilty-receiving-and-possessing-child-pornography</t>
  </si>
  <si>
    <t>Zachary Marra</t>
  </si>
  <si>
    <t>Wade Preston Streeter</t>
  </si>
  <si>
    <t>https://www.justice.gov/usao-edmi/pr/tugboat-owner-charged-production-possession-and-receipt-child-pornography</t>
  </si>
  <si>
    <t>Joshua T. Haynes</t>
  </si>
  <si>
    <t>https://www.justice.gov/usao-sdwv/pr/three-defendants-plead-guilty-federal-court-sex-offenses-involving-minors , https://www.justice.gov/usao-sdwv/pr/man-sentenced-federal-prison-sex-offense-involving-minor</t>
  </si>
  <si>
    <t>Alan Tabish</t>
  </si>
  <si>
    <t>https://www.justice.gov/usao-edva/pr/man-pleads-guilty-multiple-child-exploitation-offenses , https://www.justice.gov/usao-edva/pr/man-sentenced-over-10-years-child-exploitation-crimes</t>
  </si>
  <si>
    <t>Jonathan Daniel Neece</t>
  </si>
  <si>
    <t>https://www.heralddemocrat.com/news/20200423/former-sex-offender-counselor-gets-50-years-for-child-porn</t>
  </si>
  <si>
    <t>https://archive.vn/wip/UY6g8</t>
  </si>
  <si>
    <t>Frank Salerno</t>
  </si>
  <si>
    <t>https://www.justice.gov/usao-wdny/pr/massachusetts-man-going-prison-15-years-child-pornography-charge</t>
  </si>
  <si>
    <t>Daniel Nathan West</t>
  </si>
  <si>
    <t>https://www.justice.gov/usao-ndok/pr/claremore-man-sentenced-78-months-prison-child-pornography</t>
  </si>
  <si>
    <t>Marco Viscomi’s</t>
  </si>
  <si>
    <t>https://www.justice.gov/usao-edva/pr/former-medical-student-pleads-guilty-online-sextortion-scheme</t>
  </si>
  <si>
    <t>https://www.pilotonline.com/news/crime/vp-nw-canadian-extradition-viscomi-20200106-azg6n2bgavce7b4uva74ffl37q-story.html , https://www.msn.com/en-us/news/crime/canadian-man-pleads-guilty-in-e2-80-98sextortion-e2-80-99-case-involving-virginia-beach-sisters/ar-BB17ViWi</t>
  </si>
  <si>
    <t>https://archive.vn/PZgxO</t>
  </si>
  <si>
    <t>https://archive.vn/R4Azc</t>
  </si>
  <si>
    <t>Jason Michael Musgrove</t>
  </si>
  <si>
    <t>https://www.justice.gov/usao-sdga/pr/us-army-major-convicted-federal-charge-producing-child-pornography , https://www.justice.gov/usao-sdga/pr/us-army-major-sentenced-three-decades-federal-prison-production-child-pornography</t>
  </si>
  <si>
    <t>https://www.msn.com/en-us/news/crime/us-army-major-pleads-guilty-to-child-pornography-charge/ar-BB18GmBL</t>
  </si>
  <si>
    <t>https://archive.vn/Y7YTG</t>
  </si>
  <si>
    <t>https://archive.vn/bWD6m</t>
  </si>
  <si>
    <t>Richard Gabriel Piedra Ordonez</t>
  </si>
  <si>
    <t>Project Safe Childhood-Travel w/ intent to have sex w/ a minor/CP related charges</t>
  </si>
  <si>
    <t>https://www.justice.gov/usao-nj/pr/new-york-hire-vehicle-driver-admits-federal-sex-crimes</t>
  </si>
  <si>
    <t>Robert K. Hopkins</t>
  </si>
  <si>
    <t>https://www.justice.gov/usao-ne/pr/central-city-man-receives-30-year-sentence-production-child-pornography</t>
  </si>
  <si>
    <t>Jeffrey Maciejewski</t>
  </si>
  <si>
    <t>https://www.justice.gov/usao-wdny/pr/former-substitute-teacher-pleads-guilty-possession-child-pornography , https://www.justice.gov/usao-wdny/pr/former-substitute-teacher-sentenced-possession-child-pornography</t>
  </si>
  <si>
    <t>Jessie C. Comeaux</t>
  </si>
  <si>
    <t>https://www.justice.gov/usao-wdla/pr/kaplan-sex-offender-sentenced-7-years-federal-prison-possessing-child-pornography</t>
  </si>
  <si>
    <t>Earl Frederic Owens</t>
  </si>
  <si>
    <t>https://www.justice.gov/usao-mdfl/pr/jacksonville-man-pleads-guilty-distributing-child-sexual-abuse-images-using-social</t>
  </si>
  <si>
    <t>Michael David Harrison</t>
  </si>
  <si>
    <t>https://www.justice.gov/usao-mdfl/pr/sex-offender-convicted-transporting-child-pornography</t>
  </si>
  <si>
    <t>Charles Bennett Salter, III</t>
  </si>
  <si>
    <t>https://www.justice.gov/usao-mdal/pr/montgomery-man-sentenced-ten-years-prison-possession-child-pornography</t>
  </si>
  <si>
    <t>Mark Curtis, Jr.</t>
  </si>
  <si>
    <t>https://www.justice.gov/usao-ndia/pr/dubuque-man-who-possessed-over-25000-images-child-pornography-sentenced-federal-prison , https://www.justice.gov/usao-ndia/pr/60-year-old-dubuque-man-who-persuaded-teenager-send-him-nude-photos-sentenced-federal</t>
  </si>
  <si>
    <t>Timothy Allen Horwath</t>
  </si>
  <si>
    <t>https://www.justice.gov/usao-edca/pr/retired-chp-officer-redding-charged-receipt-child-pornography</t>
  </si>
  <si>
    <t>Richard Beyer</t>
  </si>
  <si>
    <t>https://www.justice.gov/usao-sdfl/pr/seventy-five-year-old-man-pleads-guilty-possessing-child-pornography, https://www.justice.gov/usao-sdfl/pr/former-elementary-school-principal-sentenced-97-months-prison-possessing-child</t>
  </si>
  <si>
    <t>Kellen Thomas Donelson</t>
  </si>
  <si>
    <t>https://www.justice.gov/usao-edva/pr/former-music-teacher-sentenced-producing-images-child-sexual-abuse</t>
  </si>
  <si>
    <t>https://www.nbc12.com/2020/09/28/former-rps-music-teacher-sentenced-producing-child-pornography/</t>
  </si>
  <si>
    <t>https://archive.vn/iRNjv</t>
  </si>
  <si>
    <t>https://archive.vn/uDNvu</t>
  </si>
  <si>
    <t>Philip M. Close</t>
  </si>
  <si>
    <t>https://www.justice.gov/usao-wdny/pr/rochester-music-teacher-charged-production-child-pornography , https://www.justice.gov/usao-wdny/pr/federal-grand-jury-indicts-rochester-music-teacher-74-counts-including-61-counts</t>
  </si>
  <si>
    <t>https://www.democratandchronicle.com/story/news/2019/12/09/close-school-of-music-teacher-philip-charged-with-filming-students-in-bathroom-parma-ny/2631354001/</t>
  </si>
  <si>
    <t>https://archive.vn/NOOS3</t>
  </si>
  <si>
    <t>https://archive.vn/C5tHL</t>
  </si>
  <si>
    <t>Tate Donovan Pilger</t>
  </si>
  <si>
    <t>https://www.justice.gov/usao-sdia/pr/council-bluffs-man-sentenced-prison-possession-child-pornography</t>
  </si>
  <si>
    <t>Emilio Daniel Dillon</t>
  </si>
  <si>
    <t>https://www.justice.gov/usao-sdia/pr/muscatine-man-sentenced-prison-receipt-child-pornography</t>
  </si>
  <si>
    <t>Shayne David Yates</t>
  </si>
  <si>
    <t>https://www.justice.gov/usao-ndia/pr/hinton-man-federal-prison-child-pornography-conviction</t>
  </si>
  <si>
    <t>Carl Anthony</t>
  </si>
  <si>
    <t>N Y</t>
  </si>
  <si>
    <t>Project Safe Childhood- Attempted CP production &amp; related charges</t>
  </si>
  <si>
    <t>https://www.justice.gov/usao-wdny/pr/niagara-falls-man-arrested-child-pornograhy-charge , https://www.justice.gov/usao-wdny/pr/niagara-falls-man-indicted-multiple-child-pornography-charges-and-fleeing-western</t>
  </si>
  <si>
    <t>Edgar Arevalo-Lara</t>
  </si>
  <si>
    <t>https://www.justice.gov/usao-sdtx/pr/foreign-traveler-convicted-bringing-child-pornography</t>
  </si>
  <si>
    <t>Terry George Zimmerman</t>
  </si>
  <si>
    <t>https://www.justice.gov/usao-mdfl/pr/federal-jury-convicts-lady-lake-man-possessing-child-pornography</t>
  </si>
  <si>
    <t>Brett Jarad Monroe</t>
  </si>
  <si>
    <t>https://www.justice.gov/usao-ndtx/pr/former-arlington-pastor-sentenced-more-24-years-child-exploitation , https://www.justice.gov/usao-ndtx/pr/former-arlington-pastor-sentenced-more-24-years-child-exploitation</t>
  </si>
  <si>
    <t>Troy Dewayne Daniels</t>
  </si>
  <si>
    <t>https://www.justice.gov/usao-edtx/pr/bowie-county-man-guilty-distributing-child-pornography , https://www.justice.gov/usao-edtx/pr/bowie-county-man-sentenced-prison-distribution-child-pornography</t>
  </si>
  <si>
    <t>Aaron Kirk Woolman</t>
  </si>
  <si>
    <t>https://www.justice.gov/usao-mdfl/pr/idaho-man-pleads-guilty-attempting-solicit-sexual-abuse-images-9-year-old-child , https://www.justice.gov/usao-mdfl/pr/idaho-man-arrested-and-charged-soliciting-child-sex-abuse-images-ov , https://www.justice.gov/usao-mdfl/pr/idaho-man-sentenced-10-years-federal-prison-attempting-solicit-sexual-abuse-images-9er-internet</t>
  </si>
  <si>
    <t>Robert Severance</t>
  </si>
  <si>
    <t>https://www.justice.gov/usao-nh/pr/manchester-man-pleads-guilty-child-pornography-crimes</t>
  </si>
  <si>
    <t>Jason Keller</t>
  </si>
  <si>
    <t>https://www.justice.gov/usao-ct/pr/michigan-man-living-philippines-pleads-guilty-child-exploitation-offense</t>
  </si>
  <si>
    <t>Bryan Wesley Petitt</t>
  </si>
  <si>
    <t>https://www.justice.gov/usao-edva/pr/man-sentenced-producing-images-child-sexual-abuse , https://www.justice.gov/usao-edva/pr/man-pleads-guilty-producing-image-child-sexual-abuse</t>
  </si>
  <si>
    <t>https://www.wavy.com/news/local-news/norfolk/27-year-old-man-accused-of-attempting-to-take-indecent-liberties-with-children/</t>
  </si>
  <si>
    <t>https://archive.vn/f5dKo</t>
  </si>
  <si>
    <t>https://archive.vn/6CF3q</t>
  </si>
  <si>
    <t>Jacob Delaney</t>
  </si>
  <si>
    <t>https://www.justice.gov/usao-ndny/pr/long-island-man-charged-possessing-child-pornography-new-paltz</t>
  </si>
  <si>
    <t>Gabriel Trevino</t>
  </si>
  <si>
    <t>https://www.justice.gov/usao-edmo/pr/franklin-county-man-pleads-guilty-production-child-pornography</t>
  </si>
  <si>
    <t>Christopher Espinoza</t>
  </si>
  <si>
    <t>https://www.justice.gov/usao-edca/pr/carmichael-man-indicted-sexually-exploiting-minors</t>
  </si>
  <si>
    <t>Project Safe Childhood-Attempted enticement of a minor, CP production &amp; related charges</t>
  </si>
  <si>
    <t>https://www.justice.gov/usao-edva/pr/man-pleads-guilty-producing-image-child-sexual-abuse</t>
  </si>
  <si>
    <t>https://www.wavy.com/news/local-news/norfolk/virginia-man-pleads-guilty-to-production-of-child-pornography-attempted-enticement-of-minor/ , https://www.wavy.com/news/local-news/norfolk/27-year-old-man-accused-of-attempting-to-take-indecent-liberties-with-children/</t>
  </si>
  <si>
    <t>https://archive.vn/HFonv</t>
  </si>
  <si>
    <t>https://archive.vn/j7nZx</t>
  </si>
  <si>
    <t>Christian Michael Stutes</t>
  </si>
  <si>
    <t>Project Safe Childhood-Attempted enticement of a minor, CP distribution &amp; related charges</t>
  </si>
  <si>
    <t>https://www.justice.gov/usao-wdny/pr/teachers-aide-arrested-attempting-have-sex-minor-child</t>
  </si>
  <si>
    <t>https://13wham.com/news/local/teachers-aide-employed-at-local-daycare-facility-facing-child-porn-enticement-charges</t>
  </si>
  <si>
    <t xml:space="preserve">https://archive.vn/b2bDB </t>
  </si>
  <si>
    <t>Daniel A. Betty</t>
  </si>
  <si>
    <t>https://www.justice.gov/usao-cdil/pr/decatur-man-serve-22-years-federal-prison-sexual-exploitation-child</t>
  </si>
  <si>
    <t>Nikolas John Larson</t>
  </si>
  <si>
    <t>https://www.justice.gov/usao-sd/pr/rapid-city-man-indicted-child-pornography-charges-5</t>
  </si>
  <si>
    <t>Ryan Michael Kannett</t>
  </si>
  <si>
    <t>https://www.justice.gov/usao-ndca/pr/fairfax-man-charged-possession-child-pornography</t>
  </si>
  <si>
    <t>Jose Rivera, Jr.</t>
  </si>
  <si>
    <t>https://www.justice.gov/usao-mdfl/pr/kissimmee-man-sentenced-nine-years-distributing-child-sex-abuse-images</t>
  </si>
  <si>
    <t>Nicholas Rockwell</t>
  </si>
  <si>
    <t>https://www.justice.gov/usao-ndny/pr/ulster-county-man-pleads-guilty-child-pornography-offenses</t>
  </si>
  <si>
    <t>Brandon Ward</t>
  </si>
  <si>
    <t>https://www.justice.gov/usao-edla/pr/covington-man-pleads-guilty-distribution-child-sexual-abuse-material</t>
  </si>
  <si>
    <t>Daniel Joseph Feliciano</t>
  </si>
  <si>
    <t>https://www.ice.gov/news/releases/ice-homeland-security-investigations-yields-child-pornography-producer-25-year-prison</t>
  </si>
  <si>
    <t>https://www.mercurynews.com/2020/07/01/pleasant-hill-man-who-molested-kids-possessed-thousands-of-child-porn-files-gets-25-years/</t>
  </si>
  <si>
    <t>https://archive.vn/wip/CIUII</t>
  </si>
  <si>
    <t>https://archive.vn/EOeJ6</t>
  </si>
  <si>
    <t>John James Shore, IV</t>
  </si>
  <si>
    <t>https://www.fbi.gov/contact-us/field-offices/portland/news/press-releases/beaverton-man-pleads-guilty-to-distributing-child-pornography</t>
  </si>
  <si>
    <t>Douglas Eugene Saltsman</t>
  </si>
  <si>
    <t>https://kutv.com/news/local/exclusive-former-friends-shocked-by-utah-tech-ceo-found-with-13k-child-porn-files</t>
  </si>
  <si>
    <t>https://archive.vn/56VO4</t>
  </si>
  <si>
    <t>https://archive.vn/wip/LNCNI</t>
  </si>
  <si>
    <t>Jeremiah Taylor</t>
  </si>
  <si>
    <t>https://www.justice.gov/usao-sdwv/pr/ex-marshall-university-football-player-sentenced-federal-prison-child-pornography-crime</t>
  </si>
  <si>
    <t>https://www.wsaz.com/content/news/Former-Marshall-football-player-arrested-on--566441201.html , https://www.wsaz.com/2020/10/20/former-marshall-football-player-sentenced-for-child-porn-admission/</t>
  </si>
  <si>
    <t>https://archive.vn/wip/vAiLH</t>
  </si>
  <si>
    <t>https://archive.vn/2alNd</t>
  </si>
  <si>
    <t>David Hay</t>
  </si>
  <si>
    <t>https://www.justice.gov/usao-edwi/pr/former-tomah-and-kettle-moraine-high-school-principal-charged-child-enticement-and , https://www.justice.gov/usao-edwi/pr/former-wisconsin-and-new-york-city-schools-official-pleads-guilty-child-pornography</t>
  </si>
  <si>
    <t>Christopher Raiche</t>
  </si>
  <si>
    <t>https://www.justice.gov/usao-me/pr/skowhegan-man-pleads-guilty-child-exploitation-crimes</t>
  </si>
  <si>
    <t>https://www.msn.com/en-us/news/crime/skowhegan-man-pleads-guilty-to-child-pornography-charges/ar-BB1c4vhv</t>
  </si>
  <si>
    <t>https://archive.vn/NJmqH</t>
  </si>
  <si>
    <t>https://archive.vn/OL1ro</t>
  </si>
  <si>
    <t>Juan Ordenas-Lucas</t>
  </si>
  <si>
    <t>https://www.justice.gov/usao-wdar/pr/springdale-man-sentenced-over-22-years-federal-prison-sexual-exploitation-child</t>
  </si>
  <si>
    <t>Martin Nieves Huizar</t>
  </si>
  <si>
    <t>https://www.justice.gov/usao-edva/pr/former-sailor-sentenced-prison-child-exploitation-crime</t>
  </si>
  <si>
    <t>Luke Gagnon</t>
  </si>
  <si>
    <t>https://www.justice.gov/usao-ma/pr/west-springfield-man-pleads-guilty-child-pornography-charges</t>
  </si>
  <si>
    <t>Operation Reclaim and Rebuils</t>
  </si>
  <si>
    <t>https://www.dailynews.com/2020/02/05/southern-california-law-enforcement-agencies-take-part-in-operation-combating-human-trafficking-500-plus-arrested/</t>
  </si>
  <si>
    <t>Shawn Kuhse</t>
  </si>
  <si>
    <t>https://www.justice.gov/usao-ndia/pr/iowa-man-sentenced-over-six-years-federal-prison-receiving-child-pornography</t>
  </si>
  <si>
    <t>https://www.kcrg.com/2020/09/25/iowa-man-sentenced-to-over-six-years-in-federal-prison-for-receiving-child-pornography/</t>
  </si>
  <si>
    <t>https://archive.vn/wip/r7gB7</t>
  </si>
  <si>
    <t>https://archive.vn/CQBNp</t>
  </si>
  <si>
    <t xml:space="preserve"> Prentice C. Hollingsworth</t>
  </si>
  <si>
    <t>Project Safe Childhood-Attempted sex trafficking of a minor &amp; related charges</t>
  </si>
  <si>
    <t>https://www.justice.gov/usao-wdwa/pr/felon-living-federal-half-way-house-indicted-attempted-sex-trafficking-minor</t>
  </si>
  <si>
    <t>David Franklin Browder, III</t>
  </si>
  <si>
    <t>https://www.justice.gov/usao-mdga/pr/registered-child-sex-offender-sentenced-ten-years-prison-posssessing-child-pornography</t>
  </si>
  <si>
    <t>https://wgxa.tv/news/local/court-repeat-sex-offender-houston-county-uploaded-child-pornography-to-messaging-app-kik</t>
  </si>
  <si>
    <t>https://archive.vn/XwwtQ</t>
  </si>
  <si>
    <t>https://archive.vn/LKwhR</t>
  </si>
  <si>
    <t>Emily Sarah Conner</t>
  </si>
  <si>
    <t>James Alan Sievers</t>
  </si>
  <si>
    <t>https://www.justice.gov/usao-ndia/pr/storm-lake-man-federal-prison-child-pornography-conviction</t>
  </si>
  <si>
    <t>https://kwwl.com/2020/12/10/storm-lake-man-sentenced-to-federal-prison-for-child-pornography-conviction/</t>
  </si>
  <si>
    <t>https://archive.vn/wip/6ujvd</t>
  </si>
  <si>
    <t>https://archive.vn/7wYvU</t>
  </si>
  <si>
    <t>Corey Baker</t>
  </si>
  <si>
    <t>https://www.justice.gov/usao-ndny/pr/ulster-county-man-sentenced-100-months-distributing-child-pornography</t>
  </si>
  <si>
    <t>Reece Christopher Depew</t>
  </si>
  <si>
    <t>https://www.justice.gov/usao-mdfl/pr/jacksonville-man-indicted-distributing-child-sex-abuse-images-over-internet</t>
  </si>
  <si>
    <t>Aaron McDowell</t>
  </si>
  <si>
    <t>https://www.justice.gov/usao-ks/pr/salina-man-pleads-guilty-distributing-child-porn</t>
  </si>
  <si>
    <t>https://sunflowerstateradio.com/2020/01/28/child-porn-charges-added-to-threat-charge-against-salina-man/ , https://archive.vn/C9139</t>
  </si>
  <si>
    <t>https://archive.vn/C9139</t>
  </si>
  <si>
    <t>https://archive.vn/Q1mhw</t>
  </si>
  <si>
    <t>Darren Eugene Matthews</t>
  </si>
  <si>
    <t>https://www.justice.gov/usao-wdnc/pr/catawba-county-man-sentenced-65-years-child-pornography</t>
  </si>
  <si>
    <t>Jose Lenin Parra Camargo</t>
  </si>
  <si>
    <t>https://www.justice.gov/usao-edva/pr/arlington-man-sentenced-coercion-and-sexual-abuse-child</t>
  </si>
  <si>
    <t>Christopher Brown</t>
  </si>
  <si>
    <t>Exploitation of a minor &amp; CP related charges</t>
  </si>
  <si>
    <t>https://www.justice.gov/usao-mt/pr/former-assistant-basketball-coach-charged-sexual-exploitation-child , https://www.justice.gov/usao-mt/pr/box-elder-man-admits-child-porn-sexual-abuse-minor-charges</t>
  </si>
  <si>
    <t>Garry Weatherbie</t>
  </si>
  <si>
    <t>https://www.justice.gov/usao-sdoh/pr/warren-county-man-sentenced-10-years-prison-possessing-hundreds-images-child-rape</t>
  </si>
  <si>
    <t>Gunner Scott Young</t>
  </si>
  <si>
    <t>https://www.justice.gov/usao-ndwv/pr/morgan-county-man-indicted-child-pornography-charge ,  https://www.justice.gov/usao-ndwv/pr/morgan-county-man-admits-child-pornography-charge</t>
  </si>
  <si>
    <t>Nicholas J. Veerkamp</t>
  </si>
  <si>
    <t>https://www.justice.gov/usao-sdoh/pr/colerain-township-man-charged-sexually-exploiting-minor-while-probation-different-sex</t>
  </si>
  <si>
    <t>Tyrone Cannon</t>
  </si>
  <si>
    <t>https://www.justice.gov/usao-ndoh/pr/toledo-ohio-man-indicted-and-arrested-sex-trafficking-juveniles</t>
  </si>
  <si>
    <t>Timothy B. Pease</t>
  </si>
  <si>
    <t>Project Safe Childhood-Transportation of CP</t>
  </si>
  <si>
    <t>https://www.justice.gov/usao-ndny/pr/kirkville-man-charged-transportation-child-pornography</t>
  </si>
  <si>
    <t>Anthony Michael Mileo</t>
  </si>
  <si>
    <t>https://www.justice.gov/usao-md/pr/former-law-enforcement-officer-pleads-guilty-federal-charge-possession-child-pornography</t>
  </si>
  <si>
    <t>https://baltimore.cbslocal.com/2020/12/21/former-maryland-police-officer-anthony-mileo-pleads-guilty-to-child-pornography-possession/</t>
  </si>
  <si>
    <t>https://archive.vn/lHqUR</t>
  </si>
  <si>
    <t>https://archive.vn/yv57x</t>
  </si>
  <si>
    <t>Joshua Sattora / Rebecca Woodin</t>
  </si>
  <si>
    <t>https://www.justice.gov/usao-wdny/pr/two-rochester-residents-charged-production-receipt-distribution-and-possession-child</t>
  </si>
  <si>
    <t>Robert J Mosley</t>
  </si>
  <si>
    <t>https://www.justice.gov/usao-ct/pr/bridgeport-resident-charged-possessing-and-trading-images-depicting-sexual-abuse-children</t>
  </si>
  <si>
    <t>David A Hay</t>
  </si>
  <si>
    <t>https://www.justice.gov/usao-edwi/pr/former-wisconsin-and-new-york-city-schools-official-sentenced-child-pornography-charge</t>
  </si>
  <si>
    <t>https://www.fox6now.com/news/nyc-man-with-wisconsin-ties-gets-60-months-in-prison-for-child-porn</t>
  </si>
  <si>
    <t>https://archive.vn/wip/ReOVG</t>
  </si>
  <si>
    <t>https://archive.vn/gR9k2</t>
  </si>
  <si>
    <t>Brendon Rothrock</t>
  </si>
  <si>
    <t>https://www.justice.gov/usao-mdpa/pr/north-carolina-man-charged-child-exploitation-crimes</t>
  </si>
  <si>
    <t>David M. Kruchten</t>
  </si>
  <si>
    <t>https://www.justice.gov/usao-wdwi/pr/grand-jury-returns-indictments-102</t>
  </si>
  <si>
    <t>https://wkow.com/2020/08/19/former-madison-east-teacher-faces-new-child-pornography-charges/</t>
  </si>
  <si>
    <t>https://archive.vn/mfYkB</t>
  </si>
  <si>
    <t>https://archive.vn/olilZ</t>
  </si>
  <si>
    <t>James Gould, Jr.</t>
  </si>
  <si>
    <t>https://www.justice.gov/usao-ndca/pr/san-jose-man-sentenced-ten-years-prison-possession-child-pornography</t>
  </si>
  <si>
    <t>Samuel Arthur Thompson</t>
  </si>
  <si>
    <t>https://www.justice.gov/usao-mdfl/pr/st-johns-county-registered-sex-offender-charged-receiving-child-sex-abuse-images</t>
  </si>
  <si>
    <t>https://www.jacksonville.com/news/20200213/sex-offender-indicted-after-jaguars-jumbotron-malfunction-investigation</t>
  </si>
  <si>
    <t>https://archive.vn/HAep3</t>
  </si>
  <si>
    <t>Mike Barry Brior</t>
  </si>
  <si>
    <t>https://www.ice.gov/news/releases/former-longtime-employee-orange-unified-school-district-sentenced-6-years-prison</t>
  </si>
  <si>
    <t>https://www.courtlistener.com/docket/16908496/united-states-v-brior/</t>
  </si>
  <si>
    <t>Scotty Dale Johnson</t>
  </si>
  <si>
    <t>https://www.justice.gov/usao-edky/pr/madison-county-man-indicted-offenses-involving-sexually-explicit-images-minors</t>
  </si>
  <si>
    <t>Donteh Mone Devoe</t>
  </si>
  <si>
    <t>https://www.justice.gov/usao-ak/pr/anchorage-motivational-speaker-indicted-federal-child-pornography-charges</t>
  </si>
  <si>
    <t>Glenn K. Smith</t>
  </si>
  <si>
    <t>https://www.justice.gov/usao-wdny/pr/webster-man-pleads-guilty-child-pornography-charge</t>
  </si>
  <si>
    <t>https://www.cbp.gov/newsroom/local-media-release/human-smugglers-plans-go-awry-rio-grande-valley</t>
  </si>
  <si>
    <t>Ryan David Miller</t>
  </si>
  <si>
    <t>https://www.justice.gov/usao-ndok/pr/sapulpa-man-sentenced-sexually-abusing-two-children-and-sharing-photographs-abuse</t>
  </si>
  <si>
    <t>Paul Hovorka</t>
  </si>
  <si>
    <t>https://www.justice.gov/usao-sd/pr/tyndall-man-charged-receipt-and-distribution-child-pornography , https://www.justice.gov/usao-sd/pr/tyndall-man-sentenced-possession-child-pornography</t>
  </si>
  <si>
    <t>Orlando Lopez</t>
  </si>
  <si>
    <t>Project Safe Childhood-Travel w/intent to engage sexual conduct w/a minor, CP production &amp; related charges</t>
  </si>
  <si>
    <t>https://www.justice.gov/usao-edny/pr/queens-man-indicted-sexual-exploitation-and-child-pornography-charges</t>
  </si>
  <si>
    <t>https://www.pix11.com/news/local-news/queens/queens-man-accused-of-sexually-abusing-children-police-believe-there-are-additional-victims</t>
  </si>
  <si>
    <t>https://archive.vn/MkNk9</t>
  </si>
  <si>
    <t>https://archive.vn/Y9sxP</t>
  </si>
  <si>
    <t>Damon Lechtenberg</t>
  </si>
  <si>
    <t>https://www.justice.gov/usao-wdla/pr/lake-charles-man-sentenced-child-pornography-charges</t>
  </si>
  <si>
    <t>Donald Gibson</t>
  </si>
  <si>
    <t>Project Safe Childhood-Travel w/intent to engage sexual conduct w/a minor, CP distribution &amp; related charges</t>
  </si>
  <si>
    <t>https://www.justice.gov/usao-ma/pr/new-hampshire-man-arrested-child-exploitation-charges , https://www.justice.gov/usao-ma/pr/new-hampshire-man-pleads-guilty-child-exploitation-charges</t>
  </si>
  <si>
    <t>Pritkumar Tarunkumar Patel</t>
  </si>
  <si>
    <t>Project Safe Childhood-Cyberstalking, CP related charges</t>
  </si>
  <si>
    <t>https://www.justice.gov/usao-ri/pr/new-jersey-man-sentenced-cyberstalking-receiving-child-pornography</t>
  </si>
  <si>
    <t>https://www.providencejournal.com/news/20200206/nj-man-charged-with-coercing-ri-girls-to-send-him-nude-photos-then-threatening-them , https://fallriverreporter.com/man-guilty-on-cyberstalking-child-pornography-charges-concerning-3-rhode-island-minors-1/</t>
  </si>
  <si>
    <t>https://archive.vn/ZyFrT</t>
  </si>
  <si>
    <t>https://archive.vn/rhjSD</t>
  </si>
  <si>
    <t>Larry D Foley</t>
  </si>
  <si>
    <t>https://www.justice.gov/usao-edky/pr/berea-man-indicted-child-pornography-crimes , https://www.justice.gov/usao-edky/pr/berea-man-pleads-guilty-producing-child-pornography , https://www.justice.gov/usao-edky/pr/berea-man-sentenced-360-months-producing-child-pornography</t>
  </si>
  <si>
    <t>Thomas Winkelbach</t>
  </si>
  <si>
    <t>https://www.justice.gov/usao-sdoh/pr/cincinnati-man-charged-sexually-exploiting-toddler , https://www.justice.gov/usao-sdoh/pr/man-pleads-guilty-sexual-exploitation-toddler , https://www.justice.gov/usao-sdoh/pr/cincinnati-man-sentenced-20-years-prison-sexually-exploiting-toddler</t>
  </si>
  <si>
    <t>Jeffrey Adam Jepson</t>
  </si>
  <si>
    <t>https://www.justice.gov/usao-wdpa/pr/former-erie-man-facing-child-exploitation-charges</t>
  </si>
  <si>
    <t>Christopher Hanna</t>
  </si>
  <si>
    <t>https://www.fbi.gov/contact-us/field-offices/cleveland/news/press-releases/the-cleveland-fbi-announce-the-arrest-of-christopher-hanna-for-child-pornography</t>
  </si>
  <si>
    <t>Jennifer Mae Hutchens</t>
  </si>
  <si>
    <t>https://www.justice.gov/usao-edva/pr/jury-convicts-man-producing-images-child-sexual-abuse</t>
  </si>
  <si>
    <t>Ángel Miguel Rivera-Quiñones</t>
  </si>
  <si>
    <t>https://www.justice.gov/usao-pr/pr/ponce-man-arrested-charges-child-pornography</t>
  </si>
  <si>
    <t>Bruce “Arki” Brown</t>
  </si>
  <si>
    <t>https://www.justice.gov/usao-ma/pr/dorchester-man-charged-sex-trafficking</t>
  </si>
  <si>
    <t>Daniel Lee Boose</t>
  </si>
  <si>
    <t>https://www.justice.gov/usao-mdpa/pr/gettysburg-man-charged-receipt-and-possession-child-pornography</t>
  </si>
  <si>
    <t>Kelly L Turney</t>
  </si>
  <si>
    <t>https://www.justice.gov/usao-edwi/pr/menominee-man-indicted-possession-child-pornography-menominee-indian-reservation</t>
  </si>
  <si>
    <t>Marcin Stanislaw Garbacz</t>
  </si>
  <si>
    <t>Project Safe Childhood-Illegal sexual conduct &amp; CP related charges</t>
  </si>
  <si>
    <t>https://www.justice.gov/usao-sd/pr/convicted-embezzler-charged-illegal-sexual-conduct-and-possession-child-pornography</t>
  </si>
  <si>
    <t>Derek Robert Seely</t>
  </si>
  <si>
    <t>https://www.justice.gov/usao-wdnc/pr/waxhaw-nc-man-sentenced-30-years-producing-child-pornography</t>
  </si>
  <si>
    <t>https://www.pacermonitor.com/public/case/33083551/USA_v_Seely</t>
  </si>
  <si>
    <t>Hugh B Fowler</t>
  </si>
  <si>
    <t>https://www.justice.gov/usao-ndil/pr/chicago-man-arrested-child-pornography-charge-allegedly-enticing-underage-girl-produce</t>
  </si>
  <si>
    <t>Jeremy Joel López</t>
  </si>
  <si>
    <t>https://www.justice.gov/usao-pr/pr/orocovis-man-arrested-massachusetts-charges-child-pornography</t>
  </si>
  <si>
    <t>Andrew Wheeler</t>
  </si>
  <si>
    <t>https://www.justice.gov/usao-cdil/pr/three-bloomington-men-indicted-charges-child-sex-trafficking-child-pornography</t>
  </si>
  <si>
    <t>Craig M. Killmeyer</t>
  </si>
  <si>
    <t>https://www.justice.gov/usao-mdpa/pr/gettysburg-man-charged-receipt-and-distribution-child-pornography</t>
  </si>
  <si>
    <t>Matthew Joseph Gammill</t>
  </si>
  <si>
    <t>https://www.justice.gov/usao-ks/pr/grand-jury-indicts-kansas-man-who-fled-troopers</t>
  </si>
  <si>
    <t>Keith Mussenden</t>
  </si>
  <si>
    <t>Paroject Safe Childhood-Attemped exploitation of a minor</t>
  </si>
  <si>
    <t>https://www.justice.gov/usao-ndny/pr/schenectady-man-charged-attempted-child-exploitation</t>
  </si>
  <si>
    <t>Teon Williams</t>
  </si>
  <si>
    <t>Jahquan Howard</t>
  </si>
  <si>
    <t>Kevin Van Pelt</t>
  </si>
  <si>
    <t>https://www.justice.gov/usao-nj/pr/ocean-county-man-charged-online-enticement-minor-and-possession-child-pornography</t>
  </si>
  <si>
    <t>Jayson Knox</t>
  </si>
  <si>
    <t>Project Safe Childhood-Child exploitation &amp; CP related charges</t>
  </si>
  <si>
    <t>https://www.justice.gov/usao-ak/pr/former-kivalina-teacher-arrested-and-charged-child-exploitation-crimes</t>
  </si>
  <si>
    <t>Edward Lee Thomas</t>
  </si>
  <si>
    <t>https://www.justice.gov/usao-sdms/pr/perkinston-man-pleads-guilty-producing-child-pornography</t>
  </si>
  <si>
    <t>Randall Eugene Bateman</t>
  </si>
  <si>
    <t>https://www.justice.gov/usao-mdtn/pr/bon-aqua-man-sentenced-federal-prison-child-pornography-crime</t>
  </si>
  <si>
    <t>Michael Riley</t>
  </si>
  <si>
    <t>https://www.justice.gov/usao-wdpa/pr/pittsburgh-man-pleads-guilty-child-sexual-exploitation-charges , https://www.justice.gov/usao-wdpa/pr/pittsburgh-man-sentenced-six-years-receiving-child-sexual-abuse-material-0</t>
  </si>
  <si>
    <t>Lenoard Riley</t>
  </si>
  <si>
    <t>https://www.justice.gov/usao-edky/pr/danville-man-pleads-guilty-child-pornography-charge</t>
  </si>
  <si>
    <t>Jeremy Crinkey</t>
  </si>
  <si>
    <t>https://www.justice.gov/usao-ndwv/pr/wheeling-man-admits-child-pornography-charge , https://www.justice.gov/usao-ndwv/pr/wheeling-man-sentenced-child-pornography-charge</t>
  </si>
  <si>
    <t>https://www.wtrf.com/ohio-county/wheeling-man-admits-to-child-pornography-charge/</t>
  </si>
  <si>
    <t>https://archive.vn/i8pLI</t>
  </si>
  <si>
    <t>https://bad-boys.us/?q=crinkey</t>
  </si>
  <si>
    <t>Timothy Woll</t>
  </si>
  <si>
    <t>https://www.justice.gov/usao-edpa/pr/former-cumru-township-police-lieutenant-pleads-guilty-child-pornography-offenses</t>
  </si>
  <si>
    <t>Larry Porter</t>
  </si>
  <si>
    <t>Project Safe Childhood-Sex trafficking of minors/CP production &amp; related charges</t>
  </si>
  <si>
    <t>https://www.justice.gov/usao-sdoh/pr/nine-arrested-charged-federally-connection-human-trafficking-operation-involving-drugs</t>
  </si>
  <si>
    <t xml:space="preserve">https://dailycaller.com/2020/06/24/ohio-child-sex-trafficking-drug-addicted-mothers-larry-dean-porter/ </t>
  </si>
  <si>
    <t>http://archive.vn/4cyUS</t>
  </si>
  <si>
    <t>http://archive.vn/XDRMm</t>
  </si>
  <si>
    <t>Denna Sue Porter (Porter et al)</t>
  </si>
  <si>
    <t>Crystal D Porter ( Porter et al)</t>
  </si>
  <si>
    <t>Frank Andrews (Porter et al)</t>
  </si>
  <si>
    <t>David Cole (Porter et al)</t>
  </si>
  <si>
    <t>Wayne Porter (Porter et al</t>
  </si>
  <si>
    <t>Joshua Aldridge (Porter et al)</t>
  </si>
  <si>
    <t>Charity Rawlins (Porter et al)</t>
  </si>
  <si>
    <t xml:space="preserve">http://archive.vn/4cyUS </t>
  </si>
  <si>
    <t>Ronnie Rollins (Porter et al)</t>
  </si>
  <si>
    <t>Daniel Seibert</t>
  </si>
  <si>
    <t>https://www.justice.gov/usao-cdca/pr/oc-man-arrested-charges-traveling-out-state-engage-illicit-sexual-acts-minors-and , https://www.ice.gov/news/releases/orange-county-man-sentenced-more-24-years-prison-sexually-abusing-minors-following</t>
  </si>
  <si>
    <t>Patrick Woodyard</t>
  </si>
  <si>
    <t>https://www.justice.gov/usao-mdfl/pr/st-augustine-man-sentenced-more-fifteen-years-federal-prison-offenses-involving-images</t>
  </si>
  <si>
    <t>Nicholas Woodyard</t>
  </si>
  <si>
    <t>Jonathan Devon Price</t>
  </si>
  <si>
    <t>https://www.justice.gov/usao-sdca/pr/north-park-gang-member-who-was-previously-convicted-rico-pleads-guilty-sex-trafficking</t>
  </si>
  <si>
    <t>Kevin Hewlett</t>
  </si>
  <si>
    <t>https://www.justice.gov/usao-edva/pr/man-indicted-producing-images-child-sexual-abuse , https://www.justice.gov/usao-edva/pr/jury-convicts-man-producing-images-child-sexual-abuse-0</t>
  </si>
  <si>
    <t>Ryan D Miller</t>
  </si>
  <si>
    <t>https://www.justice.gov/usao-ndok/pr/federal-grand-jury-indictments-announced-3</t>
  </si>
  <si>
    <t>Billy Dean Smith</t>
  </si>
  <si>
    <t>https://www.justice.gov/usao-mt/pr/informational-federal-court-arraignments-79 , https://www.justice.gov/usao-mt/pr/big-arm-man-admits-making-sexually-explicit-videos-minor-girl</t>
  </si>
  <si>
    <t>Michael Peyton Gunn</t>
  </si>
  <si>
    <t>https://www.justice.gov/usao-sdga/pr/evans-man-indicted-production-possession-child-pornography</t>
  </si>
  <si>
    <t>Brandon Kidder</t>
  </si>
  <si>
    <t>https://www.justice.gov/usao-wdny/pr/alden-man-arrested-charged-possession-and-receipt-child-pornigraphy</t>
  </si>
  <si>
    <t>Dana Lindstrom</t>
  </si>
  <si>
    <t>Project Safe Childhood-Child exploitation related charges</t>
  </si>
  <si>
    <t>https://www.justice.gov/usao-wdpa/pr/erie-man-charged-producing-child-pornography-videos</t>
  </si>
  <si>
    <t>Virgil J Dupree, Jr</t>
  </si>
  <si>
    <t>https://www.justice.gov/usao-ndga/pr/sixty-one-year-old-polk-county-man-who-met-teenage-girls-online-indicted-multiple</t>
  </si>
  <si>
    <t>Anthony Young</t>
  </si>
  <si>
    <t>https://www.justice.gov/usao-sdny/pr/brooklyn-man-sentenced-20-years-prison-conspiring-sex-traffic-minor-victims</t>
  </si>
  <si>
    <t>Garry Bienvenue</t>
  </si>
  <si>
    <t>https://www.justice.gov/usao-ma/pr/attleboro-man-indicted-child-pornography-charges</t>
  </si>
  <si>
    <t>Michael Rahim Mohammad</t>
  </si>
  <si>
    <t>https://www.washingtonpost.com/local/legal-issues/website-selling-real-rape-and-child-pornography-videos-shut-down-after-arrest-in-netherlands-us-justice-department-says/2020/03/12/5f9f02ce-6471-11ea-acca-80c22bbee96f_story.html</t>
  </si>
  <si>
    <t>NL</t>
  </si>
  <si>
    <t>John Morgan</t>
  </si>
  <si>
    <t>https://www.justice.gov/usao-ndny/pr/gloversville-man-charged-distributing-child-pornography</t>
  </si>
  <si>
    <t>Andrew Christian Hammock</t>
  </si>
  <si>
    <t>https://www.justice.gov/usao-mdfl/pr/city-margate-police-officer-charged-soliciting-minor-visual-depictions-sexually</t>
  </si>
  <si>
    <t>https://www.thebexarcountyjail.com/in-the-news/officer-arrested-on-child-pornography-charge/</t>
  </si>
  <si>
    <t>https://archive.vn/wip/2c1gz</t>
  </si>
  <si>
    <t>https://archive.vn/6nFjl</t>
  </si>
  <si>
    <t>William Johnson Springer</t>
  </si>
  <si>
    <t>https://www.justice.gov/usao-edtx/pr/bowie-county-sex-offender-indicted-possession-child-pornography , https://www.justice.gov/usao-edtx/pr/bowie-county-sex-offender-guilty-again-possessing-child-pornography</t>
  </si>
  <si>
    <t>Willie Humes</t>
  </si>
  <si>
    <t>https://www.justice.gov/usao-mdfl/pr/orlando-man-sentenced-nine-years-federal-prison-and-lifetime-supervision-receiving</t>
  </si>
  <si>
    <t>Dustin Chadwick Herhold</t>
  </si>
  <si>
    <t>https://www.justice.gov/usao-ndia/pr/man-who-solicited-nudes-children-online-sentenced-federal-prison</t>
  </si>
  <si>
    <t>Christian Importuna</t>
  </si>
  <si>
    <t>https://www.justice.gov/usao-nj/pr/monmouth-county-man-charged-producing-and-distributing-child-pornography</t>
  </si>
  <si>
    <t>Multiple Unnamed</t>
  </si>
  <si>
    <t>Child sexual abuse ring taken down</t>
  </si>
  <si>
    <t>https://www.europol.europa.eu/newsroom/news/90-suspects-identified-in-major-online-child-sexual-abuse-operation</t>
  </si>
  <si>
    <t>Australia</t>
  </si>
  <si>
    <t>https://www.theage.com.au/national/victoria/children-rescued-three-victorians-arrested-in-alleged-global-child-abuse-ring-bust-20200420-p54lco.html</t>
  </si>
  <si>
    <t>Oludare Oluwabusi</t>
  </si>
  <si>
    <t>https://www.justice.gov/usao-sdga/pr/evans-man-indicted-possession-child-pornography</t>
  </si>
  <si>
    <t>Cesar Vales II</t>
  </si>
  <si>
    <t>Operation Covid Crackdown-Solicitation of a minor &amp; related charges</t>
  </si>
  <si>
    <t>https://www.dailymail.co.uk/news/article-8250169/Police-arrest-30-pedophiles-just-one-Virginia-county-Covid-crackdown.html?ito=social-twitter_dailymailus</t>
  </si>
  <si>
    <t>https://www.nydailynews.com/news/crime/ny-operation-covid-crackdown-nabs-thirty-suspected-sex-predators-20200422-u7ueldnisbhsfiipk77awx56wi-story.html</t>
  </si>
  <si>
    <t>https://archive.vn/OtY4S</t>
  </si>
  <si>
    <t>Halmar Lizama Henriquez</t>
  </si>
  <si>
    <t>Juan Moreno Colindres</t>
  </si>
  <si>
    <t>Moises Aguilar Cano</t>
  </si>
  <si>
    <t>Renzo Portal</t>
  </si>
  <si>
    <t>Zachary Kearns</t>
  </si>
  <si>
    <t>Carlos Deras Lopez</t>
  </si>
  <si>
    <t>Franklin Galvez</t>
  </si>
  <si>
    <t>Jose Argueta Amaya</t>
  </si>
  <si>
    <t>Mohamed Mansaray</t>
  </si>
  <si>
    <t>Pedro Gonzalez</t>
  </si>
  <si>
    <t>Yuson Joshi</t>
  </si>
  <si>
    <t>Operation Covid Crackdown-Solicitation of a minor, CP distribution, &amp; related charges</t>
  </si>
  <si>
    <t>Carlos Giron-Reyes</t>
  </si>
  <si>
    <t>Eric Womack</t>
  </si>
  <si>
    <t>Jean Pardo Pesantes</t>
  </si>
  <si>
    <t>Jose Mejia Carabantes</t>
  </si>
  <si>
    <t>Nelson Sosa Grande</t>
  </si>
  <si>
    <t>Xavier Jackson</t>
  </si>
  <si>
    <t>Alfonso Diaz-Martinez</t>
  </si>
  <si>
    <t>Concepcion Gonzalez</t>
  </si>
  <si>
    <t>Japher Flores Arriaza</t>
  </si>
  <si>
    <t>Kumar Bhandari</t>
  </si>
  <si>
    <t>Nelson Diaz Ramos</t>
  </si>
  <si>
    <t>Tod Rehm</t>
  </si>
  <si>
    <t>Adam Wheeling</t>
  </si>
  <si>
    <t>Jonathan Madison</t>
  </si>
  <si>
    <t>https://www.justice.gov/usao-sdca/pr/san-diego-man-pleads-guilty-sex-trafficking-children</t>
  </si>
  <si>
    <t>Christopher Barnard</t>
  </si>
  <si>
    <t>James Rosenberger</t>
  </si>
  <si>
    <t>Kirrolos Guirguis</t>
  </si>
  <si>
    <t>Naga Bollina</t>
  </si>
  <si>
    <t>Thomas Kuglin</t>
  </si>
  <si>
    <t>Jonathan E. Tillman</t>
  </si>
  <si>
    <t>https://www.justice.gov/usao-wdwi/pr/rice-lake-man-sentenced-10-years-possessing-child-pornography</t>
  </si>
  <si>
    <t>Douglas O. Mynatt</t>
  </si>
  <si>
    <t>https://www.justice.gov/usao-cdil/pr/federal-grand-jury-indicts-former-urbana-university-high-school-teacher-girls-cross , https://www.justice.gov/usao-cdil/pr/former-urbana-university-high-school-teacher-coach-sentenced-10-years-prison-child</t>
  </si>
  <si>
    <t>Michael Darnell Ramsey</t>
  </si>
  <si>
    <t>https://www.justice.gov/usao-sdwv/pr/greenbrier-county-man-pleads-guilty-attempted-sex-trafficking-minor , https://www.justice.gov/usao-sdwv/pr/greenbrier-county-man-sentenced-more-11-years-federal-prison-attempted-sex-trafficking</t>
  </si>
  <si>
    <t>Richard Lee King</t>
  </si>
  <si>
    <t>https://www.justice.gov/usao-edok/pr/chouteau-man-pleads-guilty-possession-and-distribution-material-involving-sexual</t>
  </si>
  <si>
    <t>Scott Andrew Clark</t>
  </si>
  <si>
    <t>Dayton Jones</t>
  </si>
  <si>
    <t>https://www.justice.gov/usao-wdky/pr/dayton-jones-charged-us-attorney-production-child-porn</t>
  </si>
  <si>
    <t>Justin Chavis</t>
  </si>
  <si>
    <t>https://www.justice.gov/usao-sc/pr/williston-man-arrested-federal-criminal-complaint-child-exploitation-child-pornography</t>
  </si>
  <si>
    <t>Jon DeTemple</t>
  </si>
  <si>
    <t>https://www.justice.gov/usao-wdpa/pr/washington-county-man-possessed-sexually-explicit-videos-and-images-minors</t>
  </si>
  <si>
    <t>Jonathon R. Cassatt</t>
  </si>
  <si>
    <t>https://www.justice.gov/usao-wdny/pr/niagara-falls-man-indicted-federal-grand-jury-producing-child-pornography</t>
  </si>
  <si>
    <t>Kevin A. Kovacs</t>
  </si>
  <si>
    <t>https://www.justice.gov/usao-sdoh/pr/us-attorney-devillers-statement-arrest-former-dare-police-officer</t>
  </si>
  <si>
    <t>https://www.daytondailynews.com/news/crime--law/former-beavercreek-dare-officer-arrested-child-porn-case/h7KXTnV3ZNJotheJOcVB4M/</t>
  </si>
  <si>
    <t>https://archive.vn/BNcsC</t>
  </si>
  <si>
    <t>https://archive.vn/3vQTm</t>
  </si>
  <si>
    <t>Caleb D Jordan</t>
  </si>
  <si>
    <t>https://www.justice.gov/usao-mdtn/pr/mount-juliet-man-facing-child-pornography-charges</t>
  </si>
  <si>
    <t>William Hines</t>
  </si>
  <si>
    <t>https://www.justice.gov/usao-ndny/pr/former-hoosick-falls-resident-charged-receipt-and-possession-child-pornography</t>
  </si>
  <si>
    <t>Peter Gilbert</t>
  </si>
  <si>
    <t>https://www.justice.gov/usao-edpa/pr/delaware-county-man-arrested-manufacturing-and-distributing-child-pornography</t>
  </si>
  <si>
    <t>James Oliver Young</t>
  </si>
  <si>
    <t>https://www.justice.gov/usao-wdny/pr/man-and-woman-charged-production-child-pornography</t>
  </si>
  <si>
    <t>James Russian</t>
  </si>
  <si>
    <t>https://www.justice.gov/usao-cdil/pr/indictments-charge-two-men-separate-cases-alleged-attempted-child-sex-crimes</t>
  </si>
  <si>
    <t>Rebecca Wilson</t>
  </si>
  <si>
    <t>https://www.justice.gov/usao-wdny/pr/man-and-woman-charged-production-child-pornography , https://www.justice.gov/usao-wdny/pr/rochester-woman-pleads-guilty-production-child-pornography-involving-8-and-5-year-old</t>
  </si>
  <si>
    <t>Patrick M. Kain</t>
  </si>
  <si>
    <t>https://www.justice.gov/usao-ndny/pr/chenango-county-man-arrested-child-exploitation-charges</t>
  </si>
  <si>
    <t>Trent S Davis</t>
  </si>
  <si>
    <t>Project Safe Childhood-Travel w/intent to engage in sexual activity w/a minor, CP related charges</t>
  </si>
  <si>
    <t>https://www.justice.gov/usao-sdwv/pr/project-safe-childhood-huntington-man-pleads-guilty-child-pornography-offense</t>
  </si>
  <si>
    <t>Justin Swift</t>
  </si>
  <si>
    <t>https://www.justice.gov/usao-wdmo/pr/independence-man-charged-child-pornography</t>
  </si>
  <si>
    <t>https://www.justice.gov/usao-sdga/pr/federal-criminal-complaint-charges-evans-man-possession-child-pornography</t>
  </si>
  <si>
    <t>McKenna Danilo Bernardo</t>
  </si>
  <si>
    <t>https://www.justice.gov/usao-wdwa/pr/three-registered-sex-offenders-indicted-possessing-images-child-rape-and-abuse</t>
  </si>
  <si>
    <t>Jason Allen Legg</t>
  </si>
  <si>
    <t>Project Safe Childhood-Rape of a minor &amp; CP related charges</t>
  </si>
  <si>
    <t>Nabor Molina</t>
  </si>
  <si>
    <t>Operation Guardians of Innocence V-CP related charges</t>
  </si>
  <si>
    <t>https://www.polksheriff.org/news-investigations/polk-county-news/2020/06/16/sixteen-suspects-arrested-during-operation-guardians-of-innocence-v-for-possession-of-child-pornography</t>
  </si>
  <si>
    <t xml:space="preserve">https://www.wfla.com/news/polk-county/soon-sheriff-grady-judd-to-speak-on-16-charged-in-child-pornography-investigation/ </t>
  </si>
  <si>
    <t>http://archive.vn/GmHzs</t>
  </si>
  <si>
    <t>http://archive.vn/wip/uU1RQ</t>
  </si>
  <si>
    <t>Joshua Charles Johnson</t>
  </si>
  <si>
    <t>http://archive.vn/wip/qjaW5</t>
  </si>
  <si>
    <t>Stephen Lilly</t>
  </si>
  <si>
    <t>http://archive.vn/wip/3Wjnr</t>
  </si>
  <si>
    <t>Julian Strong</t>
  </si>
  <si>
    <t>http://archive.vn/wip/jKtOz</t>
  </si>
  <si>
    <t>Justin Hazan</t>
  </si>
  <si>
    <t>http://archive.vn/wip/4xLv9</t>
  </si>
  <si>
    <t>Arlandres Sims</t>
  </si>
  <si>
    <t>http://archive.vn/SmjVh</t>
  </si>
  <si>
    <t>Edgardo Acevedo Cancela</t>
  </si>
  <si>
    <t>http://archive.vn/wip/2btTv</t>
  </si>
  <si>
    <t>Monty Cottengain</t>
  </si>
  <si>
    <t>http://archive.vn/wip/pHIOn</t>
  </si>
  <si>
    <t>Landen Ulrich</t>
  </si>
  <si>
    <t>http://archive.vn/wip/8IpyV</t>
  </si>
  <si>
    <t>John Aziz</t>
  </si>
  <si>
    <t>http://archive.vn/wip/ABjgo</t>
  </si>
  <si>
    <t>Herberto Santiago</t>
  </si>
  <si>
    <t>http://archive.vn/wip/SV0AT</t>
  </si>
  <si>
    <t>Scott Michael Bradley</t>
  </si>
  <si>
    <t>http://archive.vn/wip/cAkxl</t>
  </si>
  <si>
    <t>Gary Bennett II</t>
  </si>
  <si>
    <t>http://archive.vn/wip/tBpfT</t>
  </si>
  <si>
    <t>Evan Sharpe</t>
  </si>
  <si>
    <t>http://archive.vn/wip/kdr9E</t>
  </si>
  <si>
    <t>Jonathon Richard</t>
  </si>
  <si>
    <t>http://archive.vn/wip/xaA9X</t>
  </si>
  <si>
    <t>Jose Vertoli Llanes</t>
  </si>
  <si>
    <t>http://archive.vn/wip/qBT1r</t>
  </si>
  <si>
    <t>Michael W. Fritchen</t>
  </si>
  <si>
    <t>Miguel Angel Jimenez</t>
  </si>
  <si>
    <t>Stephen Thomas Parshall</t>
  </si>
  <si>
    <t>https://www.justice.gov/usao-nv/pr/additional-charge-child-sexual-exploitation-filed-against-las-vegas-man-who-allegedly</t>
  </si>
  <si>
    <t>Harold Bryan Declet-Rivera</t>
  </si>
  <si>
    <t>Project Safe Childhood-CP possession &amp; attempted enticement of a minor &amp; related charges</t>
  </si>
  <si>
    <t>https://www.justice.gov/usao-pr/pr/united-states-attorney-s-office-indicts-14-cases-and-21-defendants</t>
  </si>
  <si>
    <t>Jonathan Neal Sexton</t>
  </si>
  <si>
    <t>https://www.justice.gov/usao-wdva/pr/bristol-virginia-man-arrested-federal-child-exploitation-charges , https://www.fbi.gov/contact-us/field-offices/richmond/news/press-releases/bristol-virginia-man-sentenced-on-child-pornography-charges</t>
  </si>
  <si>
    <t>William Shane Berg</t>
  </si>
  <si>
    <t>https://www.justice.gov/usao-wdmo/pr/springfield-man-charged-producing-child-pornography-sexually-abusing-three-teens</t>
  </si>
  <si>
    <t>Anthony Dwayne Boldt</t>
  </si>
  <si>
    <t>https://www.justice.gov/usao-mt/pr/producing-possessing-child-pornography-sends-glendive-man-prison-40-years</t>
  </si>
  <si>
    <t xml:space="preserve"> Christopher Darnell Owens</t>
  </si>
  <si>
    <t>Attempted sex trafficking of  minor</t>
  </si>
  <si>
    <t>https://www.justice.gov/usao-ndtx/pr/ndtx-roundup-amarillo-grand-jury-1</t>
  </si>
  <si>
    <t>Hannah Edwards</t>
  </si>
  <si>
    <t>Luis Perez-Rodriguez</t>
  </si>
  <si>
    <t>https://www.justice.gov/usao-edpa/pr/allentown-man-arrested-manufacturing-child-pornography</t>
  </si>
  <si>
    <t>Jerry Stearns</t>
  </si>
  <si>
    <t>https://www.justice.gov/usao-wdny/pr/prior-sex-offender-charged-receipt-and-possession-child-pornography</t>
  </si>
  <si>
    <t>Gary T Baker</t>
  </si>
  <si>
    <t>https://www.justice.gov/usao-wdny/pr/amherst-man-convicted-just-three-months-ago-state-child-sex-charge-caught-possessing</t>
  </si>
  <si>
    <t>Christian Ruffin</t>
  </si>
  <si>
    <t>https://www.justice.gov/usao-ednc/pr/christian-ruffin-raleigh-indicted-child-pornography-charges</t>
  </si>
  <si>
    <t>Kelly Wayne Smith</t>
  </si>
  <si>
    <t>https://www.justice.gov/usao-edpa/pr/allentown-man-arrested-distribution-child-pornography-and-weapons-charges</t>
  </si>
  <si>
    <t>Cameron Hayes</t>
  </si>
  <si>
    <t>https://www.justice.gov/usao-ednc/pr/cameron-hayes-raleigh-indicted-child-pornography-charges</t>
  </si>
  <si>
    <t>Jason Boyet</t>
  </si>
  <si>
    <t>https://www.justice.gov/usao-edla/pr/ponchatoula-man-charged-distribution-child-pornography , https://www.fbi.gov/contact-us/field-offices/neworleans/news/press-releases/ponchatoula-man-pleads-guilty-to-distribution-of-child-sexual-abuse-material</t>
  </si>
  <si>
    <t>David Craig Martin</t>
  </si>
  <si>
    <t>Project Safe Childhood-Child molestation, CP related charges</t>
  </si>
  <si>
    <t>Samuel Johnson</t>
  </si>
  <si>
    <t>https://www.justice.gov/usao-ndtx/pr/ndtx-roundup-may-13-19</t>
  </si>
  <si>
    <t>Thomas James Heiner</t>
  </si>
  <si>
    <t>https://www.justice.gov/usao-ndok/pr/marijuana-distributor-charged-sex-trafficking-child-0</t>
  </si>
  <si>
    <t>Abel Ambrocio</t>
  </si>
  <si>
    <t>https://www.justice.gov/usao-edva/pr/alexandria-man-arrested-sexually-exploiting-two-children</t>
  </si>
  <si>
    <t>Chadtaun Brown</t>
  </si>
  <si>
    <t>https://www.cbp.gov/newsroom/national-media-release/border-patrol-arrests-individual-felony-kidnappinghuman-trafficking</t>
  </si>
  <si>
    <t xml:space="preserve">Travis Ryan Pritchard </t>
  </si>
  <si>
    <t>https://www.justice.gov/usao-mdfl/pr/former-clay-county-sheriff-s-deputy-pleads-guilty-producing-and-possessing-child-sexual</t>
  </si>
  <si>
    <t>Matthew Barber</t>
  </si>
  <si>
    <t>https://www.justice.gov/usao-wdny/pr/federal-grand-jury-indicts-batavia-man-found-thousands-images-and-videos-child</t>
  </si>
  <si>
    <t>James Diggins</t>
  </si>
  <si>
    <t xml:space="preserve">https://www.justice.gov/usao-ri/pr/residence-searched-warwick-man-arrested-child-pornography-charges ,  https://www.justice.gov/usao-ri/pr/two-indicted-child-sex-exploitation-charges                                                                                                                                                                                                                                 </t>
  </si>
  <si>
    <t>Rebecca Owens</t>
  </si>
  <si>
    <t>https://www.justice.gov/usao-wdpa/pr/pitcairn-woman-pleads-guilty-child-sexual-exploitation-charge</t>
  </si>
  <si>
    <t>https://www.cbp.gov/newsroom/local-media-release/sex-offender-human-smuggler-arrested-border-patrol</t>
  </si>
  <si>
    <t>William Wellington Hooper, Jr.</t>
  </si>
  <si>
    <t>https://www.justice.gov/usao-edva/pr/jury-convicts-man-producing-images-child-sexual-abuse , https://www.justice.gov/usao-edva/pr/man-indicted-conspiracy-produce-images-child-sexual-abuse</t>
  </si>
  <si>
    <t>Thomas D Johnson</t>
  </si>
  <si>
    <t>https://www.justice.gov/usao-ndoh/pr/toledo-man-indicted-distribution-child-pornography-and-exploitation-minor</t>
  </si>
  <si>
    <t>Brian Wade Eddy</t>
  </si>
  <si>
    <t>https://www.justice.gov/usao-wdok/pr/former-tinker-afb-employee-and-reserve-air-force-colonel-pleads-guilty-accessing-and</t>
  </si>
  <si>
    <t>Eike Blohm</t>
  </si>
  <si>
    <t>https://www.justice.gov/usao-vt/pr/uvm-er-doctor-indicted-production-child-pornography</t>
  </si>
  <si>
    <t>https://www.cbp.gov/newsroom/local-media-release/border-patrol-nabs-sex-offender-and-armed-smugglers-over-memorial</t>
  </si>
  <si>
    <t>Rodney Allen Patterson</t>
  </si>
  <si>
    <t>https://www.justice.gov/usao-wdtn/pr/registered-sex-offender-indicted-federal-child-exploitation-offenses</t>
  </si>
  <si>
    <t>https://www.cbp.gov/newsroom/local-media-release/human-smuggler-convicted-sex-offender-arrested-border-patrol</t>
  </si>
  <si>
    <t>Caleb Hickman</t>
  </si>
  <si>
    <t>Zachary Rogers</t>
  </si>
  <si>
    <t>https://www.justice.gov/usao-wdny/pr/amherst-man-who-fled-country-following-search-warrant-pleads-guilty-possession-child</t>
  </si>
  <si>
    <t>Andrew T. Whitehouse</t>
  </si>
  <si>
    <t>https://www.justice.gov/usao-ut/pr/complaint-unsealed-charging-man-distribution-heroin-possession-distribution-child</t>
  </si>
  <si>
    <t>Brandon Eric Navarrete</t>
  </si>
  <si>
    <t>https://www.justice.gov/usao-nv/pr/reno-resident-indicted-possession-receipt-and-distribution-thousands-images-child</t>
  </si>
  <si>
    <t>Ismael Valdez</t>
  </si>
  <si>
    <t>https://www.justice.gov/usao-nm/pr/man-las-cruces-new-mexico-faces-federal-child-pornography-charges</t>
  </si>
  <si>
    <t>Jonathan Thonton</t>
  </si>
  <si>
    <t>https://www.justice.gov/usao-edca/pr/stockton-man-charged-sexual-exploitation-minor</t>
  </si>
  <si>
    <t>Herbert Dewayne Reyes</t>
  </si>
  <si>
    <t xml:space="preserve">https://www.justice.gov/usao-ndok/pr/federal-grand-jury-criminal-indictments-announced-68 </t>
  </si>
  <si>
    <t>Kevin Edward Swarthout</t>
  </si>
  <si>
    <t>https://www.justice.gov/usao-ndok/pr/federal-grand-jury-criminal-indictments-announced-68  , https://www.justice.gov/usao-ndok/pr/tulsa-man-sentenced-possession-and-distribution-child-pornography</t>
  </si>
  <si>
    <t>Daniel Brent Woodson</t>
  </si>
  <si>
    <t xml:space="preserve">https://www.justice.gov/usao-ndok/pr/federal-grand-jury-criminal-indictments-announced-68   </t>
  </si>
  <si>
    <t>Akinola Akinlapa</t>
  </si>
  <si>
    <t>https://www.justice.gov/usao-ri/pr/high-school-student-charged-coercion-and-sexual-exploitation-minor</t>
  </si>
  <si>
    <t>Thomas Cross</t>
  </si>
  <si>
    <t>https://www.justice.gov/usao-ma/pr/amesbury-man-previously-charged-child-pornography-offenses-re-arrested-violating</t>
  </si>
  <si>
    <t>Christopher Ryan Christian Counts</t>
  </si>
  <si>
    <t>https://www.justice.gov/usao-sdwv/pr/charleston-man-pleads-guilty-possession-child-pornography</t>
  </si>
  <si>
    <t>Brandon Frank Stricker</t>
  </si>
  <si>
    <t>https://www.justice.gov/usao-mt/pr/billings-man-charged-coercion-minors-child-pornography-investigation</t>
  </si>
  <si>
    <t>Robert Alan Thompson</t>
  </si>
  <si>
    <t>https://www.justice.gov/usao-wdky/pr/hardin-county-teacher-charged-federally-child-exploitation</t>
  </si>
  <si>
    <t>Scott Eckrote</t>
  </si>
  <si>
    <t>https://www.justice.gov/usao-ndny/pr/washington-county-man-charged-distributing-and-possessing-child-pornography</t>
  </si>
  <si>
    <t>Ronald Arthur Blain</t>
  </si>
  <si>
    <t>https://www.justice.gov/usao-wy/pr/activity-united-states-attorneys-office-35</t>
  </si>
  <si>
    <t>Curtis J. Baldwin</t>
  </si>
  <si>
    <t>https://www.justice.gov/usao-wdmo/pr/former-teacher-pleads-guilty-sexually-exploiting-student</t>
  </si>
  <si>
    <t>Luis Marquez-Diaz</t>
  </si>
  <si>
    <t>https://www.fbi.gov/contact-us/field-offices/sanjuan/news/press-releases/arrest-of-luis-marquez-diaz</t>
  </si>
  <si>
    <t>Jonathan Weiss aka Ian_Jameson</t>
  </si>
  <si>
    <t>https://www.justice.gov/usao-sdny/pr/us-attorney-charges-middletown-man-sexual-exploitation-minors</t>
  </si>
  <si>
    <t>Ross Lopata</t>
  </si>
  <si>
    <t>https://www.justice.gov/usao-ma/pr/springfield-man-charged-child-pornography-offenses</t>
  </si>
  <si>
    <t>Andrew Lynch, a/k/a Gregory O’Neil</t>
  </si>
  <si>
    <t>https://www.justice.gov/usao-wdny/pr/florida-man-alleged-have-terrorized-underage-victim-online-indicted-child-pornography</t>
  </si>
  <si>
    <t>Steven J. McLendon</t>
  </si>
  <si>
    <t>https://www.justice.gov/usao-ndfl/pr/registered-sex-offender-pensacola-arrested-new-federal-child-pornography-offenses</t>
  </si>
  <si>
    <t>https://www.justice.gov/usao-mt/pr/informational-federal-court-arraignments-89 , https://www.justice.gov/usao-mt/pr/glendive-man-admits-making-child-pornography-videos</t>
  </si>
  <si>
    <t>Filippo Parlagreco</t>
  </si>
  <si>
    <t>https://www.justice.gov/usao-edva/pr/man-arrested-sextortion-scheme-involving-minor-children</t>
  </si>
  <si>
    <t>Charles Poole</t>
  </si>
  <si>
    <t>https://www.justice.gov/usao-mdfl/pr/hudson-man-indicted-production-receipt-and-possession-child-pornography</t>
  </si>
  <si>
    <t>https://www.cbp.gov/newsroom/local-media-release/astute-agents-halt-smugglers-checkpoint-rio-grande-valley</t>
  </si>
  <si>
    <t>Anthony Hadden</t>
  </si>
  <si>
    <t>https://www.justice.gov/usao-ndny/pr/ulster-county-man-charged-distributing-and-possessing-child-pornography</t>
  </si>
  <si>
    <t>James Paredes Andrada</t>
  </si>
  <si>
    <t>https://www.justice.gov/usao-wdpa/pr/edinboro-pa-man-indicted-project-safe-childhood-case</t>
  </si>
  <si>
    <t>David Lyons</t>
  </si>
  <si>
    <t>https://www.justice.gov/usao-wdpa/pr/erie-man-facing-charges-relating-sexual-exploitation-minors</t>
  </si>
  <si>
    <t>https://www.cbp.gov/newsroom/local-media-release/yuma-sector-agents-arrest-driver-and-two-illegal-aliens-attempting</t>
  </si>
  <si>
    <t>https://www.cbp.gov/newsroom/local-media-release/usbp-foils-elaborate-human-smuggling-plot</t>
  </si>
  <si>
    <t>James Edward Monogan, III</t>
  </si>
  <si>
    <t>https://www.justice.gov/usao-mdga/pr/former-uga-professor-pleads-guilty-project-safe-childhood-investigation</t>
  </si>
  <si>
    <t>https://www.onlineathens.com/story/news/2020/12/16/former-uga-political-science-professor-pleads-guilty-child-porn-case/3921574001/</t>
  </si>
  <si>
    <t>https://archive.vn/hxGqG</t>
  </si>
  <si>
    <t>https://archive.vn/7Q0f5</t>
  </si>
  <si>
    <t>https://www.cbp.gov/newsroom/local-media-release/yuma-bp-collaborates-cabeza-prieta-wildlife-officer-thwart-human-0</t>
  </si>
  <si>
    <t>Timothy Mackey</t>
  </si>
  <si>
    <t>https://www.justice.gov/usao-edca/pr/south-lake-tahoe-man-charged-distribution-child-pornography</t>
  </si>
  <si>
    <t>Jonathan Michael Thornton</t>
  </si>
  <si>
    <t>https://www.justice.gov/usao-edca/pr/two-stockton-residents-charged-sexual-exploitation-minor</t>
  </si>
  <si>
    <t>Katherine Leann Herrera</t>
  </si>
  <si>
    <t xml:space="preserve">https://www.justice.gov/usao-edca/pr/two-stockton-residents-charged-sexual-exploitation-minor </t>
  </si>
  <si>
    <t>Sebastian Sale</t>
  </si>
  <si>
    <t>https://www.justice.gov/usao-cdil/pr/pekin-ill-couple-indicted-charges-child-sexual-exploitation</t>
  </si>
  <si>
    <t>Rachel Miller</t>
  </si>
  <si>
    <t xml:space="preserve">https://www.justice.gov/usao-cdil/pr/pekin-ill-couple-indicted-charges-child-sexual-exploitation </t>
  </si>
  <si>
    <t>https://www.cbp.gov/newsroom/local-media-release/border-patrol-foils-several-human-smuggling-attempts</t>
  </si>
  <si>
    <t>Tayanna Bowman</t>
  </si>
  <si>
    <t>https://www.justice.gov/usao-edpa/pr/philadelphia-woman-who-worked-children-multiple-locations-arrested-distributing-child</t>
  </si>
  <si>
    <t>https://www.delcotimes.com/news/daycare-worker-busted-for-child-pornography/article_75de0c8a-b280-11ea-b517-671db80e321e.html</t>
  </si>
  <si>
    <t>http://archive.vn/nAClM</t>
  </si>
  <si>
    <t>Richard Alvarado</t>
  </si>
  <si>
    <t>https://www.justice.gov/usao-ndny/pr/oswego-man-charged-distributing-child-pornography</t>
  </si>
  <si>
    <t>Martin E. McKeever</t>
  </si>
  <si>
    <t>https://www.justice.gov/usao-edwi/pr/oshkosh-man-arrested-federal-child-pornography-distribution-charges</t>
  </si>
  <si>
    <t>Matthew Dion</t>
  </si>
  <si>
    <t>https://www.justice.gov/usao-nh/pr/beford-man-arrested-producing-child-pornography</t>
  </si>
  <si>
    <t>Joseph J. Punderson</t>
  </si>
  <si>
    <t>https://www.justice.gov/usao-nj/pr/ocean-county-man-charged-receipt-and-possession-child-pornography</t>
  </si>
  <si>
    <t>https://www.cbp.gov/newsroom/local-media-release/yuma-sector-agents-apprehend-multiple-illegal-aliens-two-smuggling</t>
  </si>
  <si>
    <t>https://www.cbp.gov/newsroom/local-media-release/bp-arrests-smuggler-hiding-migrant-truck-toolbox</t>
  </si>
  <si>
    <t>Tamara Stanley</t>
  </si>
  <si>
    <t>https://www.justice.gov/usao-wdwa/pr/grays-harbor-county-woman-charged-production-child-pornography</t>
  </si>
  <si>
    <t>Charles F Browne</t>
  </si>
  <si>
    <t>https://www.justice.gov/usao-nj/pr/new-jersey-man-arrested-receiving-child-pornography-and-concealing-objects-impede-fbi</t>
  </si>
  <si>
    <t>Ryan Hamilton</t>
  </si>
  <si>
    <t>https://www.justice.gov/usao-wdny/pr/bath-man-nys-parole-arrested-child-porngraphy-charge</t>
  </si>
  <si>
    <t>Shawn M Connors Jr</t>
  </si>
  <si>
    <t>https://www.justice.gov/usao-wy/pr/activity-united-states-attorneys-office-28</t>
  </si>
  <si>
    <t>Matthew Kasper</t>
  </si>
  <si>
    <t>https://www.victoriaadvocate.com/news/crime/victoria-man-arrested-on-federal-child-porn-charges-after-joint-investigation/article_c4308a28-bae8-11ea-bbde-b77652affdb6.html</t>
  </si>
  <si>
    <t>http://archive.vn/rbvhb</t>
  </si>
  <si>
    <t>https://www.cbp.gov/newsroom/local-media-release/maritime-investigation-leads-arrests-weekend-apprehensions-included</t>
  </si>
  <si>
    <t>https://www.cbp.gov/newsroom/local-media-release/border-patrol-agents-prevent-human-smuggling-attempt-checkpoint#</t>
  </si>
  <si>
    <t>Kayln E Hoggat</t>
  </si>
  <si>
    <t>https://www.justice.gov/usao-sdil/pr/fbi-undercover-operation-leads-federal-charges-14-men-attempting-meet-minors-sex</t>
  </si>
  <si>
    <t>Nicholas Wright</t>
  </si>
  <si>
    <t xml:space="preserve">https://www.justice.gov/usao-sdil/pr/fbi-undercover-operation-leads-federal-charges-14-men-attempting-meet-minors-sex </t>
  </si>
  <si>
    <t>Vallie F Zeller</t>
  </si>
  <si>
    <t>Rian Harold Ishikawa</t>
  </si>
  <si>
    <t>https://www.justice.gov/usao-hi/pr/former-little-league-softball-coach-charged-producing-child-pornography-and-possessing</t>
  </si>
  <si>
    <t>https://www.cbp.gov/newsroom/local-media-release/border-patrol-intercepts-another-sizable-human-smuggling-event</t>
  </si>
  <si>
    <t>https://www.cbp.gov/newsroom/local-media-release/yuma-sector-foils-attempted-smuggling-large-group-illegal-aliens</t>
  </si>
  <si>
    <t>https://www.cbp.gov/newsroom/local-media-release/human-smuggling-event-concealed-compartment-foiled</t>
  </si>
  <si>
    <t>https://www.cbp.gov/newsroom/local-media-release/laredo-sector-border-patrol-agents-continue-halt-human-smuggling-cases</t>
  </si>
  <si>
    <t>Daniel Ellsworth Janssen</t>
  </si>
  <si>
    <t>https://www.justice.gov/usao-sdtx/pr/registered-sex-offender-heads-prison-after-distributing-child-pornography</t>
  </si>
  <si>
    <t>Isaac Lasalle Hernández</t>
  </si>
  <si>
    <t>https://www.justice.gov/usao-pr/pr/united-states-attorney-s-office-indicts-6-cases-and-9-defendants</t>
  </si>
  <si>
    <t>Terry Ray Carter</t>
  </si>
  <si>
    <t>https://www.justice.gov/usao-ndtx/pr/north-texas-child-predator-sentenced-50-years-prison</t>
  </si>
  <si>
    <t>Johnathan Scott Mason</t>
  </si>
  <si>
    <t>https://www.justice.gov/usao-edky/pr/bourbon-county-man-pleads-guilty-producing-child-pornography</t>
  </si>
  <si>
    <t>Robert D McWilliams</t>
  </si>
  <si>
    <t>Sex trafficking of a minor, CP &amp; related charges</t>
  </si>
  <si>
    <t>https://www.msn.com/en-us/news/world/ohio-priest-indicted-on-charges-of-child-pornography-and-juvenile-sex-trafficking-us-attorney-says/ar-BB16huSn</t>
  </si>
  <si>
    <t>https://archive.vn/2CRtB</t>
  </si>
  <si>
    <t>https://archive.vn/U1vko</t>
  </si>
  <si>
    <t>William D. Schaffer</t>
  </si>
  <si>
    <t>https://www.justice.gov/usao-ndoh/pr/wellington-man-charged-possession-and-transportation-child-pornography</t>
  </si>
  <si>
    <t>Travis Bronson</t>
  </si>
  <si>
    <t>https://www.justice.gov/usao-ks/pr/topeka-city-employee-indicted-federal-child-porn-charges</t>
  </si>
  <si>
    <t>Charles Shepherd</t>
  </si>
  <si>
    <t>Bryan C. Mileikis</t>
  </si>
  <si>
    <t>https://www.justice.gov/usao-ma/pr/bourne-man-charged-child-pornography-offenses , https://www.justice.gov/usao-ma/pr/bourne-man-indicted-child-pornography-offenses</t>
  </si>
  <si>
    <t>Brian Kunze</t>
  </si>
  <si>
    <t>https://www.justice.gov/usao-ndin/pr/former-wheeler-high-school-teacher , https://www.fbi.gov/contact-us/field-offices/indianapolis/news/press-releases/former-wheeler-hs-teacher-sentenced-to-144-months-in-prison</t>
  </si>
  <si>
    <t>https://www.nwitimes.com/news/update-wheeler-teacher-threatened-girls-grade-for-nude-photos-feds-say/article_11575fbc-e8e4-5b44-9925-3d91b00f92dc.html</t>
  </si>
  <si>
    <t>https://archive.vn/wip/8R2sS</t>
  </si>
  <si>
    <t>https://archive.vn/nL1GW</t>
  </si>
  <si>
    <t>Samuel Aaron Leonard</t>
  </si>
  <si>
    <t>https://www.ice.gov/news/releases/florida-man-federally-charged-production-child-pornography-and-enticement-minor-result</t>
  </si>
  <si>
    <t>Zydia Saunders</t>
  </si>
  <si>
    <t>https://www.actionnewsnow.com/content/news/Marysville-woman-arrested-on-suspicion-of-sex-trafficking-a-minor-571665241.html</t>
  </si>
  <si>
    <t>https://archive.vn/wip/bLEbv</t>
  </si>
  <si>
    <t>https://archive.vn/wip/CrDBy</t>
  </si>
  <si>
    <t>Ghislaine Maxwell</t>
  </si>
  <si>
    <t>Enticement of minors to travel to engage in illegal sexual activity &amp; related charges</t>
  </si>
  <si>
    <t>https://www.justice.gov/usao-sdny/pr/ghislaine-maxwell-charged-manhattan-federal-court-conspiring-jeffrey-epstein-sexually</t>
  </si>
  <si>
    <t>https://www.msn.com/en-gb/news/world/ghislaine-maxwell-to-appear-in-court-as-fresh-details-of-arrest-emerge/ar-BB16mec0</t>
  </si>
  <si>
    <t>http://archive.vn/wip/CJ6xV</t>
  </si>
  <si>
    <t>http://archive.vn/wip/IZ4B5</t>
  </si>
  <si>
    <t>Garrett B. Bowden</t>
  </si>
  <si>
    <t>https://www.newburyportnews.com/news/local_news/newbury-police-charge-maine-man-in-online-child-pornography-case/article_bc24010e-2e1f-55cd-a2ef-8228ea514b5b.html</t>
  </si>
  <si>
    <t>https://archive.vn/wip/RAOXM</t>
  </si>
  <si>
    <t>https://www.cbp.gov/newsroom/local-media-release/border-patrol-agents-continue-disrupt-alien-smuggling-attempts-rgv</t>
  </si>
  <si>
    <t>https://www.cbp.gov/newsroom/local-media-release/yuma-sector-bp-apprehends-21-illegal-aliens</t>
  </si>
  <si>
    <t>https://www.cbp.gov/newsroom/local-media-release/border-patrol-intercepts-human-smuggling-attempt</t>
  </si>
  <si>
    <t>https://www.cbp.gov/newsroom/local-media-release/yuma-sector-bp-arrests-california-daca-recipient-human-smuggling</t>
  </si>
  <si>
    <t>https://kyma.com/news/top-stories/2020/07/06/border-patrol-arrests-convicted-sex-offender-accused-of-human-smuggling/</t>
  </si>
  <si>
    <t>https://archive.vn/h8kAc</t>
  </si>
  <si>
    <t>https://archive.vn/FGkYa</t>
  </si>
  <si>
    <t>Ronald P Ortega</t>
  </si>
  <si>
    <t>https://www.justice.gov/usao-edwi/pr/15-year-prison-sentence-indiana-man-who-travelled-wisconsin-meet-child-sex-and</t>
  </si>
  <si>
    <t>Matthew Michael Walter</t>
  </si>
  <si>
    <t>https://www.justice.gov/usao-wdpa/pr/altoona-man-indicted-receiving-and-possessing-images-and-videos-showing-sexual</t>
  </si>
  <si>
    <t>https://www.cbp.gov/newsroom/local-media-release/teens-arrested-border-patrol-attempt-smuggle-23-aliens-semi-truck</t>
  </si>
  <si>
    <t>https://www.cbp.gov/newsroom/national-media-release/extra-baggage-leads-failed-human-smuggling-attempt</t>
  </si>
  <si>
    <t>Raymond Castro/David Arroyo/Xerxes Sangco</t>
  </si>
  <si>
    <t>https://www.reviewjournal.com/crime/sex-crimes/3-arrested-in-las-vegas-prostitution-online-sting-2069760/</t>
  </si>
  <si>
    <t>https://archive.vn/VdxN2</t>
  </si>
  <si>
    <t>https://archive.vn/yIcqL</t>
  </si>
  <si>
    <t>Daniel Peggs</t>
  </si>
  <si>
    <t xml:space="preserve">https://www.justice.gov/usao-wdwi/pr/grand-jury-returns-indictments-100 </t>
  </si>
  <si>
    <t>Alan J. Liphart</t>
  </si>
  <si>
    <t>https://www.justice.gov/usao-wdwi/pr/grand-jury-returns-indictments-100</t>
  </si>
  <si>
    <t>Michael Sebastian</t>
  </si>
  <si>
    <t>https://www.justice.gov/usao-ma/pr/american-man-charged-exploiting-children-laos</t>
  </si>
  <si>
    <t>Edward Alan Hardin</t>
  </si>
  <si>
    <t>https://www.justice.gov/usao-mdfl/pr/pomona-park-man-indicted-sex-trafficking-children-and-online-enticement-engage-unlawful</t>
  </si>
  <si>
    <t>Christopher L. Bailey</t>
  </si>
  <si>
    <t>https://www.justice.gov/usao-cdil/pr/four-east-central-illinois-men-charged-trafficking-child-pornography</t>
  </si>
  <si>
    <t>Robert McGuire</t>
  </si>
  <si>
    <t xml:space="preserve">https://www.justice.gov/usao-ct/pr/easton-man-charged-producing-images-child-sex-abuse </t>
  </si>
  <si>
    <t>https://www.ctpost.com/policereports/article/A-danger-to-the-community-Accused-child-15405366.php</t>
  </si>
  <si>
    <t>https://archive.vn/vdVEj</t>
  </si>
  <si>
    <t>https://archive.vn/I5fRG</t>
  </si>
  <si>
    <t>Tyler D. Jeffrey</t>
  </si>
  <si>
    <t xml:space="preserve">https://www.justice.gov/usao-cdil/pr/four-east-central-illinois-men-charged-trafficking-child-pornography </t>
  </si>
  <si>
    <t>William K. Armstrong</t>
  </si>
  <si>
    <t>https://www.justice.gov/usao-cdil/pr/four-east-central-illinois-men-charged-trafficking-child-pornography , https://www.justice.gov/usao-cdil/pr/rantoul-man-sentenced-7-12-years-prison-trafficking-possession-child-pornography</t>
  </si>
  <si>
    <t>Dwayne White</t>
  </si>
  <si>
    <t>Bradley Edward Corley</t>
  </si>
  <si>
    <t>https://www.justice.gov/usao-edla/pr/marrero-man-convicted-2006-child-pornography-possession-charged-again-receipt-and</t>
  </si>
  <si>
    <t>Douglass Gordon Doggett</t>
  </si>
  <si>
    <t>https://www.justice.gov/usao-ak/pr/anchorage-man-charged-federal-child-pornography-crimes</t>
  </si>
  <si>
    <t>Joshua Matthew Davidson</t>
  </si>
  <si>
    <t>Human trafficking, kidnapping &amp; related charges</t>
  </si>
  <si>
    <t>https://www.al.com/news/2020/07/former-alabama-officer-facing-human-trafficking-charges-jailed-in-new-hampshire.html</t>
  </si>
  <si>
    <t>https://archive.vn/wip/mmvza</t>
  </si>
  <si>
    <t>https://www.cbp.gov/newsroom/local-media-release/yuma-sector-thwarts-numerous-human-smuggling-attempts</t>
  </si>
  <si>
    <t xml:space="preserve">https://www.cbp.gov/newsroom/local-media-release/yuma-sector-thwarts-numerous-human-smuggling-attempts </t>
  </si>
  <si>
    <t>https://www.cbp.gov/newsroom/local-media-release/border-patrol-encounters-another-commercial-vehicle-involved-human</t>
  </si>
  <si>
    <t>Edward Gray</t>
  </si>
  <si>
    <t>https://www.mtdemocrat.com/news/human-trafficking-suspect-arrested/</t>
  </si>
  <si>
    <t>https://archive.vn/ovmwK</t>
  </si>
  <si>
    <t>https://archive.vn/bGHj4</t>
  </si>
  <si>
    <t>https://www.cbp.gov/newsroom/local-media-release/coordinated-efforts-produce-major-arrests</t>
  </si>
  <si>
    <t>US , Cuba</t>
  </si>
  <si>
    <t>Shesleah</t>
  </si>
  <si>
    <t>CP &amp; related charges</t>
  </si>
  <si>
    <t>https://www.dailystar.co.uk/news/world-news/cam-girl-pleads-not-guilty-22351507</t>
  </si>
  <si>
    <t>https://archive.vn/P3LGL</t>
  </si>
  <si>
    <t>https://archive.vn/XmoLC</t>
  </si>
  <si>
    <t>Angel Ortiz-Perez</t>
  </si>
  <si>
    <t>https://www.clickorlando.com/news/local/2020/07/15/2-men-arrested-in-orange-county-human-trafficking-case/</t>
  </si>
  <si>
    <t>https://archive.vn/89rBa</t>
  </si>
  <si>
    <t>https://archive.vn/qheEf</t>
  </si>
  <si>
    <t>Antonio Rivera-Soto</t>
  </si>
  <si>
    <t xml:space="preserve">https://www.clickorlando.com/news/local/2020/07/15/2-men-arrested-in-orange-county-human-trafficking-case </t>
  </si>
  <si>
    <t xml:space="preserve">https://archive.vn/89rBa </t>
  </si>
  <si>
    <t xml:space="preserve">https://archive.vn/qheEf </t>
  </si>
  <si>
    <t>https://www.cbp.gov/newsroom/local-media-release/cbp-officers-save-mexican-national-non-factory-compartment-vehicle</t>
  </si>
  <si>
    <t>Kyler Colten Cook</t>
  </si>
  <si>
    <t>https://www.justice.gov/usao-ndia/pr/carroll-man-pleads-guilty-receipt-child-pornography , https://www.justice.gov/usao-ndia/pr/carroll-man-sentenced-federal-prison-receipt-child-pornography</t>
  </si>
  <si>
    <t>https://www.justice.gov/usao-nj/pr/somerset-county-man-indicted-child-pornography-charges</t>
  </si>
  <si>
    <t>Thomas Andreozzi</t>
  </si>
  <si>
    <t>https://www.justice.gov/usao-ri/pr/registered-sex-offender-charged-distributing-and-possessing-child-pornography , https://www.justice.gov/usao-ri/pr/grand-jury-indicts-registered-sex-offender-child-pornography-charges</t>
  </si>
  <si>
    <t>Richard Reyes Trigo</t>
  </si>
  <si>
    <t>https://www.justice.gov/usao-sdtx/pr/houston-man-indicted-exploiting-toddler</t>
  </si>
  <si>
    <t>Joey Leroy Barton</t>
  </si>
  <si>
    <t>https://www.justice.gov/usao-wdpa/pr/charleroi-man-indicted-charges-relating-sexual-exploitation-minor</t>
  </si>
  <si>
    <t>David Paul Robinson</t>
  </si>
  <si>
    <t>https://www.ice.gov/news/releases/pennsylvania-state-police-ice-hsi-philadelphia-arrest-man-child-exploitation-charges , https://www.justice.gov/usao-mdpa/pr/franklin-county-man-charged-production-images-depicting-sexual-abuse-child</t>
  </si>
  <si>
    <t>Zachary L. Duchesne</t>
  </si>
  <si>
    <t>https://www.justice.gov/usao-ndny/pr/saratoga-county-man-arrested-child-pornography-possession-charge</t>
  </si>
  <si>
    <t>Grady Paul Gaston III</t>
  </si>
  <si>
    <t>Sex trafficking, incest, CP, &amp; related charges</t>
  </si>
  <si>
    <t>https://whnt.com/news/athens/man-arrested-on-drug-charges-now-facing-63-additional-charges-including-child-porn-human-trafficking-in-limestone-county/</t>
  </si>
  <si>
    <t>https://archive.vn/wip/NfymB</t>
  </si>
  <si>
    <t>Brian Thomas</t>
  </si>
  <si>
    <t>https://www.justice.gov/usao-wdny/pr/elmira-man-charged-multiple-child-pornography-charges , https://www.justice.gov/usao-wdny/pr/elmira-man-pleads-guilty-possessing-child-pornography</t>
  </si>
  <si>
    <t>Angel Gabriel Casarez-Rodriguez</t>
  </si>
  <si>
    <t>https://www.cbp.gov/newsroom/local-media-release/border-patrol-agents-thwart-dangerous-smuggling-attempt</t>
  </si>
  <si>
    <t>https://www.cbp.gov/newsroom/local-media-release/border-patrol-thwarts-two-sizable-human-smuggling-attempts</t>
  </si>
  <si>
    <t>https://www.justice.gov/usao-wdny/pr/alexander-man-arrested-charged-production-child-pornography</t>
  </si>
  <si>
    <t>Matthew Holland</t>
  </si>
  <si>
    <t>https://www.justice.gov/usao-wdny/pr/former-newark-high-school-faculty-member-charged-multiple-counts-child-pornography , https://www.justice.gov/usao-wdny/pr/former-newark-high-school-faculty-member-returned-western-district-new-york-face-child</t>
  </si>
  <si>
    <t>https://www.loudountimes.com/news/new-york-man-charged-with-child-pornography-enticement-of-loudoun-minor-taken-into-federal-custody/article_fe410c28-cdc7-11ea-aa26-8f7f8a29aa14.html</t>
  </si>
  <si>
    <t>https://archive.vn/XCBvo</t>
  </si>
  <si>
    <t>https://archive.vn/tdaUy</t>
  </si>
  <si>
    <t>Daniel Korbin Sterling Thomas</t>
  </si>
  <si>
    <t>https://www.wistv.com/2020/07/21/standoff-ends-mans-arrest-sex-trafficking-connection-missing-columbia-juvenile/</t>
  </si>
  <si>
    <t>https://archive.vn/wip/2fQBz</t>
  </si>
  <si>
    <t>https://archive.vn/wip/7s9E2</t>
  </si>
  <si>
    <t>Jacob Kolonis</t>
  </si>
  <si>
    <t>https://www.justice.gov/usao-wdpa/pr/blair-county-man-charged-sextortion-production-material-depicting-sexual-exploitation</t>
  </si>
  <si>
    <t>Jamie Otis Southern</t>
  </si>
  <si>
    <t xml:space="preserve">N </t>
  </si>
  <si>
    <t>https://www.justice.gov/usao-sdwv/pr/virginia-man-pleads-guilty-attempted-sex-trafficking-minor</t>
  </si>
  <si>
    <t>Thomas Kopach</t>
  </si>
  <si>
    <t>https://www.justice.gov/usao-ndny/pr/saratoga-county-man-charged-transporting-child-pornography</t>
  </si>
  <si>
    <t>Sergio Luiz Cruz Esparza</t>
  </si>
  <si>
    <t>https://www.justice.gov/usao-ndca/pr/bay-point-man-charged-and-detained-charges-distributing-child-pornography</t>
  </si>
  <si>
    <t>https://www.cbp.gov/newsroom/local-media-release/busy-day-border-patrol-yields-significant-apprehensions</t>
  </si>
  <si>
    <t>Joseph Werwath</t>
  </si>
  <si>
    <t>https://www.justice.gov/usao-ndil/pr/registered-sex-offender-chicago-charged-possessing-child-pornography</t>
  </si>
  <si>
    <t>Andrew Perrine</t>
  </si>
  <si>
    <t>https://www.justice.gov/usao-ndok/pr/former-teacher-pleads-guilty-child-pornography-charges</t>
  </si>
  <si>
    <t>https://tulsaworld.com/news/local/crime-and-courts/tulsa-preschool-teacher-arrested-on-child-pornography-peeping-tom-complaints/article_60a67508-bce0-575e-8e5b-f5cb16948e13.html</t>
  </si>
  <si>
    <t>https://archive.vn/IGCZn</t>
  </si>
  <si>
    <t>https://archive.vn/Q1U4V</t>
  </si>
  <si>
    <t>Gregory Samuel Mancini</t>
  </si>
  <si>
    <t xml:space="preserve">Project Safe Childhood-Engaging in illicit sex &amp; CP related charges </t>
  </si>
  <si>
    <t>https://www.justice.gov/usao-wdpa/pr/erie-man-facing-charges-related-sexual-exploitation-children</t>
  </si>
  <si>
    <t>https://www.msn.com/en-us/news/crime/ex-barber-teacher-prep-coach-charged-with-child-porn/ar-BB1718SJ</t>
  </si>
  <si>
    <t>https://archive.vn/Gt5CM</t>
  </si>
  <si>
    <t>https://archive.vn/wNpsb</t>
  </si>
  <si>
    <t>William Aaron Doty, Jr.</t>
  </si>
  <si>
    <t>https://www.fbi.gov/contact-us/field-offices/cleveland/news/press-releases/fbi-cleveland-announces-arrest-in-child-sex-crimes-case</t>
  </si>
  <si>
    <t>Jesse Laino</t>
  </si>
  <si>
    <t>https://www.justice.gov/usao-ma/pr/auburn-man-charged-possession-child-pornography , https://www.justice.gov/usao-ma/pr/auburn-man-indicted-possession-child-pornography</t>
  </si>
  <si>
    <t>Richard Earl Jenkins, Jr.</t>
  </si>
  <si>
    <t>https://www.justice.gov/usao-mdfl/pr/jacksonville-man-indicted-production-child-pornography</t>
  </si>
  <si>
    <t>https://www.cbp.gov/newsroom/local-media-release/tractor-trailer-human-smuggler-arrested-border-patrol-0</t>
  </si>
  <si>
    <t>Bruce Brown</t>
  </si>
  <si>
    <t>https://www.justice.gov/usao-ma/pr/dorchester-man-charged-second-superseding-indictment-sex-trafficking-over-15-year-period</t>
  </si>
  <si>
    <t>Muriel Close</t>
  </si>
  <si>
    <t xml:space="preserve">https://www.justice.gov/usao-ma/pr/dorchester-man-charged-second-superseding-indictment-sex-trafficking-over-15-year-period </t>
  </si>
  <si>
    <t>Craig Marranca</t>
  </si>
  <si>
    <t>https://www.justice.gov/usao-wdny/pr/local-hospital-nurse-charged-distribution-and-possession-child-pornography</t>
  </si>
  <si>
    <t>Ryan Beaulieu</t>
  </si>
  <si>
    <t>https://www.fbi.gov/contact-us/field-offices/albany/news/press-releases/convicted-sex-offender-from-underhill-charged-with-possessing-child-pornography</t>
  </si>
  <si>
    <t>https://www.cbp.gov/newsroom/local-media-release/border-patrol-intercepts-human-smuggling-attempts</t>
  </si>
  <si>
    <t xml:space="preserve">https://www.cbp.gov/newsroom/local-media-release/border-patrol-intercepts-human-smuggling-attempts </t>
  </si>
  <si>
    <t>Darnell Fulton</t>
  </si>
  <si>
    <t>Project Safe Childhood-Forced labor, transport of a minor to engage in sexual activity</t>
  </si>
  <si>
    <t>https://www.justice.gov/usao-wdla/pr/pineville-man-charged-forced-labor-and-transporting-minor-intent-engage-criminal-sexual</t>
  </si>
  <si>
    <t>Timothy J. Bush</t>
  </si>
  <si>
    <t>https://www.justice.gov/usao-ndny/pr/fort-edward-man-charged-attempted-sex-trafficking-child</t>
  </si>
  <si>
    <t>Francis Hughes</t>
  </si>
  <si>
    <t>https://www.justice.gov/usao-sdny/pr/acting-us-attorney-announces-arrest-65-year-old-pastor-receipt-child-pornography</t>
  </si>
  <si>
    <t>https://abc7ny.com/pastor-arrested-francis-hughes-minor-child-porn/6341516/</t>
  </si>
  <si>
    <t>https://archive.vn/wip/3lkuD</t>
  </si>
  <si>
    <t>https://archive.vn/zxl2v</t>
  </si>
  <si>
    <t>Anthony A. Atkins</t>
  </si>
  <si>
    <t>https://www.justice.gov/usao-wdwi/pr/grand-jury-returns-indictments-101</t>
  </si>
  <si>
    <t>Dwayne Jackson</t>
  </si>
  <si>
    <t>https://www.wvlt.tv/2020/07/29/teen-found-hiding-in-attic-of-nc-home-faces-human-trafficking-charges/</t>
  </si>
  <si>
    <t>https://archive.vn/wip/z1zbU</t>
  </si>
  <si>
    <t>https://archive.vn/A4ecB</t>
  </si>
  <si>
    <t>David Roberts</t>
  </si>
  <si>
    <t>https://gazette.com/news/man-arrested-in-sexual-assaults-human-trafficking/article_f285b1f0-d20d-11ea-b159-bba0ffee377b.html</t>
  </si>
  <si>
    <t>https://archive.vn/cjjxd</t>
  </si>
  <si>
    <t>https://archive.vn/PNX9W</t>
  </si>
  <si>
    <t>Juan Benavidez</t>
  </si>
  <si>
    <t>https://www.justice.gov/usao-wdtx/pr/fbi-arrests-san-antonio-man-distribution-child-pornography</t>
  </si>
  <si>
    <t>Daniel Lee Collins</t>
  </si>
  <si>
    <t xml:space="preserve">https://www.justice.gov/usao-ndtx/pr/dallas-police-officer-charged-child-sexual-exploitation </t>
  </si>
  <si>
    <t>https://www.fox19.com/2020/08/22/fmr-dallas-police-officer-pleads-guilty-possession-sadistic-child-porn/</t>
  </si>
  <si>
    <t>https://archive.vn/wip/hxjGo</t>
  </si>
  <si>
    <t>https://archive.vn/wip/Idi6r</t>
  </si>
  <si>
    <t>Dylan Colby Nichols Dobbs</t>
  </si>
  <si>
    <t>http://www.crimevoice.com/2020/07/31/human-trafficking-12/</t>
  </si>
  <si>
    <t>https://archive.vn/qdhqj</t>
  </si>
  <si>
    <t>https://archive.vn/siBrH</t>
  </si>
  <si>
    <t>Robert Wharton</t>
  </si>
  <si>
    <t>https://www.justice.gov/usao-ma/pr/cambridge-man-charged-receipt-and-possession-child-pornography , https://www.fbi.gov/contact-us/field-offices/boston/news/press-releases/cambridge-man-pleads-guilty-to-receipt-and-possession-of-child-pornography</t>
  </si>
  <si>
    <t>https://www.cambridgeday.com/2020/07/30/man-charged-with-possessing-child-pornography/</t>
  </si>
  <si>
    <t>https://archive.vn/wip/Ij1qY</t>
  </si>
  <si>
    <t>Michael Daughtry</t>
  </si>
  <si>
    <t>Operation Small Talk-CP possession &amp; related charges</t>
  </si>
  <si>
    <t>https://teamhcso.com/News/PressRelease/7cde94c2-4faa-4642-beea-387498dc0fd1/20-235-(2)</t>
  </si>
  <si>
    <t>https://archive.vn/wip/e7Y97</t>
  </si>
  <si>
    <t>https://archive.vn/wip/yvlvj</t>
  </si>
  <si>
    <t xml:space="preserve">https://teamhcso.com/News/PressRelease/7cde94c2-4faa-4642-beea-387498dc0fd1/20-235-(2) </t>
  </si>
  <si>
    <t xml:space="preserve">https://archive.vn/wip/e7Y97 </t>
  </si>
  <si>
    <t>https://archive.vn/wip/alSYD</t>
  </si>
  <si>
    <t>Chad Michaels</t>
  </si>
  <si>
    <t>Operation Small Talk-Traveling w/intent to solicit a minor in illegal sexual activity &amp; related charges</t>
  </si>
  <si>
    <t>https://archive.vn/wip/3bJHp</t>
  </si>
  <si>
    <t>David Moreno</t>
  </si>
  <si>
    <t>https://archive.vn/wip/21uqG</t>
  </si>
  <si>
    <t>Dominick Passeretti</t>
  </si>
  <si>
    <t xml:space="preserve">https://archive.vn/wip/21uqG </t>
  </si>
  <si>
    <t>Jose Rodriguez Jr</t>
  </si>
  <si>
    <t xml:space="preserve">https://archive.vn/wip/21uqG  </t>
  </si>
  <si>
    <t>Sergio Rosales</t>
  </si>
  <si>
    <t>https://archive.vn/wip/0LU8z</t>
  </si>
  <si>
    <t>Alaa Alameh</t>
  </si>
  <si>
    <t xml:space="preserve">https://teamhcso.com/News/PressRelease/7cde94c2-4faa-4642-beea-387498dc0fd1/20-235-(2)   </t>
  </si>
  <si>
    <t xml:space="preserve">https://archive.vn/wip/e7Y97  </t>
  </si>
  <si>
    <t>https://archive.vn/yvlvj</t>
  </si>
  <si>
    <t>Dale L. Bauwens II</t>
  </si>
  <si>
    <t>Operation Kick Boxer-CP distribution &amp; related charges</t>
  </si>
  <si>
    <t>https://www.justice.gov/usao-edwi/pr/arizona-man-charged-distribution-child-pornography-part-operation-kick-boxer</t>
  </si>
  <si>
    <t>Michael Irons</t>
  </si>
  <si>
    <t>https://www.justice.gov/usao-ma/pr/gardner-man-arrested-possession-child-pornography</t>
  </si>
  <si>
    <t xml:space="preserve">Ryan Dale McWhorter </t>
  </si>
  <si>
    <t>Project Safe Childhood-Attempted enticement of a minor, CP related charges</t>
  </si>
  <si>
    <t>https://www.justice.gov/usao-sdtx/pr/college-station-man-admits-guilt-multiple-charges-under-project-safe-childhood</t>
  </si>
  <si>
    <t>https://www.fox44news.com/news/local-news/college-station-man-pleads-guilty-in-child-pornography-case/</t>
  </si>
  <si>
    <t>https://archive.vn/MawXJ</t>
  </si>
  <si>
    <t>https://archive.vn/Z1Ra6</t>
  </si>
  <si>
    <t>Aaron Crawford</t>
  </si>
  <si>
    <t>https://www.justice.gov/usao-md/pr/prince-george-s-county-man-indicted-federal-charges-enticement-minor-engage-sexual</t>
  </si>
  <si>
    <t>https://www.cbp.gov/newsroom/local-media-release/stuck-tractor-trailer-leads-failed-human-smuggling-attempt</t>
  </si>
  <si>
    <t>Vincent J. Siravo</t>
  </si>
  <si>
    <t>https://www.justice.gov/usao-ri/pr/registered-sex-offender-held-child-pornography-charges-0 , https://www.justice.gov/usao-ri/pr/registered-sex-offender-sentenced-10-years-prison-possessing-child-pornography-0</t>
  </si>
  <si>
    <t>https://www.cbp.gov/newsroom/local-media-release/border-patrol-agents-arrest-us-citizen-attempting-smuggle-illegal</t>
  </si>
  <si>
    <t>https://www.cbp.gov/newsroom/local-media-release/human-smugglers-continue-endanger-lives-illegal-aliens</t>
  </si>
  <si>
    <t>Andrew Drechsel</t>
  </si>
  <si>
    <t>https://www.justice.gov/usao-nj/pr/florida-man-charged-child-sex-offenses-new-jersey</t>
  </si>
  <si>
    <t>Moises Orlando Zelaya-Veliz</t>
  </si>
  <si>
    <t>https://www.justice.gov/usao-edva/pr/ms-13-members-and-associates-arrested-sex-trafficking-minor</t>
  </si>
  <si>
    <t>https://www.foxnews.com/us/11-ms-13-members-arrested-sex-trafficking-girl-13</t>
  </si>
  <si>
    <t>https://archive.vn/wip/TMN1v</t>
  </si>
  <si>
    <t>Sioni Alexander Bonilla Gonzalez</t>
  </si>
  <si>
    <t xml:space="preserve">https://www.justice.gov/usao-edva/pr/ms-13-members-and-associates-arrested-sex-trafficking-minor </t>
  </si>
  <si>
    <t xml:space="preserve">https://www.foxnews.com/us/11-ms-13-members-arrested-sex-trafficking-girl-13 </t>
  </si>
  <si>
    <t>Carlos Jose Turicios Villatoro</t>
  </si>
  <si>
    <t>Jose Eliezar Molina-Veliz</t>
  </si>
  <si>
    <t>Santos Ernesto Gutierrez Castro</t>
  </si>
  <si>
    <t>Luis Alberto Gonzales</t>
  </si>
  <si>
    <t>Reina Elizabeth Hernandez</t>
  </si>
  <si>
    <t>Nelson Ezequiel Caballero Portillo</t>
  </si>
  <si>
    <t>Gilberto Morales</t>
  </si>
  <si>
    <t>Jonathan Rafael Zelaya-Veliz</t>
  </si>
  <si>
    <t>Orlando Alexis Salmeron Funez</t>
  </si>
  <si>
    <t>Jonathan James Rodriguez</t>
  </si>
  <si>
    <t>https://www.justice.gov/usao-edca/pr/tuolumne-county-man-charged-receipt-and-distribution-material-involving-sexual</t>
  </si>
  <si>
    <t>David Dorst</t>
  </si>
  <si>
    <t>https://www.justice.gov/usao-ndwv/pr/ohio-man-admits-soliciting-minor-child-pornography</t>
  </si>
  <si>
    <t>Malikai Willis</t>
  </si>
  <si>
    <t>https://www.justice.gov/usao-sdoh/pr/federal-grand-jury-indicts-hamilton-man-sexually-trafficking-exploiting-teen</t>
  </si>
  <si>
    <t>https://www.cincinnati.com/story/news/2020/08/05/feds-hamilton-man-indicted-solicited-anderson-high-school-student-sex/3303340001/</t>
  </si>
  <si>
    <t>https://archive.vn/wip/7a9TN</t>
  </si>
  <si>
    <t>https://archive.vn/wip/LItxd</t>
  </si>
  <si>
    <t>https://www.cbp.gov/newsroom/local-media-release/human-smuggling-attempts-continue-laredo-sector</t>
  </si>
  <si>
    <t>https://www.cbp.gov/newsroom/local-media-release/border-patrol-halted-another-human-smuggling-attempt-commercial-vehicle</t>
  </si>
  <si>
    <t>https://www.cbp.gov/newsroom/local-media-release/three-human-smuggling-attempts-lead-arrest-14-illegal-aliens</t>
  </si>
  <si>
    <t>Gary Stensland</t>
  </si>
  <si>
    <t>WAS</t>
  </si>
  <si>
    <t>https://www.justice.gov/usao-wdwa/pr/seattle-man-charged-transporting-minor-prostitution-or-illegal-sexual-activity</t>
  </si>
  <si>
    <t>https://www.cbp.gov/newsroom/local-media-release/three-us-citizens-arrested-smuggling-52-illegal-aliens-stake-bed-truck</t>
  </si>
  <si>
    <t xml:space="preserve">https://www.cbp.gov/newsroom/local-media-release/three-us-citizens-arrested-smuggling-52-illegal-aliens-stake-bed-truck </t>
  </si>
  <si>
    <t>https://www.cbp.gov/newsroom/local-media-release/border-patrol-stops-dangerous-human-smuggling-attempt-0</t>
  </si>
  <si>
    <t>Anthony Xavier Antwon</t>
  </si>
  <si>
    <t>https://www.stripes.com/news/us/three-texas-soldiers-arrested-in-child-prostitution-sting-near-fort-hood-1.640811</t>
  </si>
  <si>
    <t>https://archive.vn/rstfl</t>
  </si>
  <si>
    <t>https://archive.vn/DPIra</t>
  </si>
  <si>
    <t>Timmy Jones Jr.</t>
  </si>
  <si>
    <t xml:space="preserve">https://www.stripes.com/news/us/three-texas-soldiers-arrested-in-child-prostitution-sting-near-fort-hood-1.640811 </t>
  </si>
  <si>
    <t xml:space="preserve">https://archive.vn/rstfl </t>
  </si>
  <si>
    <t xml:space="preserve">https://archive.vn/DPIra </t>
  </si>
  <si>
    <t>Pierre Jean</t>
  </si>
  <si>
    <t>https://www.cbp.gov/newsroom/local-media-release/tractor-trailer-human-smuggler-arrested-border-patrol-1</t>
  </si>
  <si>
    <t>https://www.cbp.gov/newsroom/local-media-release/law-enforcement-agencies-working-together-stop-human-smuggling-attempt</t>
  </si>
  <si>
    <t>Benjamin Joseph Roggenbuck</t>
  </si>
  <si>
    <t>https://www.justice.gov/usao-mn/pr/thief-river-falls-man-indicted-child-pornography-charges , https://www.justice.gov/usao-mn/pr/thief-river-falls-man-pleads-guilty-child-pornography-charges</t>
  </si>
  <si>
    <t>https://www.valleynewslive.com/2020/08/11/after-being-arrested-on-state-charges-minnesota-man-indicted-on-federal-charges-related-to-child-porn/</t>
  </si>
  <si>
    <t>https://archive.vn/3dIHe</t>
  </si>
  <si>
    <t>https://archive.vn/KS1mJ</t>
  </si>
  <si>
    <t>Samuel Kurp</t>
  </si>
  <si>
    <t>https://www.fbi.gov/contact-us/field-offices/cleveland/news/press-releases/ohio-man-charged-with-child-sexual-abuse-and-child-pornography</t>
  </si>
  <si>
    <t>https://www.wtol.com/article/news/crime/elmore-pd-officer-sam-kurp-arrested-by-fbi-following-investigation-of-distributing-child-pornography/512-ed31aed6-78f5-4632-905e-64c3ad8a9d79</t>
  </si>
  <si>
    <t>https://archive.vn/H4suI</t>
  </si>
  <si>
    <t>https://archive.vn/e0pYV</t>
  </si>
  <si>
    <t>Patrick Shaknitz</t>
  </si>
  <si>
    <t>https://www.justice.gov/usao-edpa/pr/bucks-county-man-charged-distribution-child-pornography</t>
  </si>
  <si>
    <t>Tyler Bradley Wirth</t>
  </si>
  <si>
    <t>https://www.justice.gov/usao-wdmo/pr/st-joseph-man-charged-producing-child-pornography</t>
  </si>
  <si>
    <t>Alexander Carnahan</t>
  </si>
  <si>
    <t>https://www.justice.gov/usao-wdny/pr/randolph-man-charged-production-child-pornography</t>
  </si>
  <si>
    <t>https://www.justice.gov/usao-ma/pr/bourne-man-indicted-child-pornography-offenses</t>
  </si>
  <si>
    <t>Robert Lee Goodwill, Jr</t>
  </si>
  <si>
    <t>https://www.justice.gov/usao-sd/pr/eight-men-arrested-sex-trafficking-operation</t>
  </si>
  <si>
    <t>Kevin William Clements</t>
  </si>
  <si>
    <t>David Wayne Aring</t>
  </si>
  <si>
    <t>https://www.justice.gov/usao-ndfl/pr/florida-attorney-pleads-guilty-receiving-child-pornography</t>
  </si>
  <si>
    <t>https://www.tallahassee.com/story/news/local/2020/11/25/former-dbpr-lawyer-pleads-guilty-federal-child-pornography-case/6421896002/</t>
  </si>
  <si>
    <t>https://archive.vn/wip/drrI8</t>
  </si>
  <si>
    <t>https://archive.vn/et6JP</t>
  </si>
  <si>
    <t>Robert Jasso</t>
  </si>
  <si>
    <t>https://www.justice.gov/usao-nm/pr/las-cruces-man-charged-using-internet-attempt-entice-minor-sex</t>
  </si>
  <si>
    <t>https://www.msn.com/en-us/news/crime/las-cruces-man-arrested-for-allegedly-attempting-to-entice-two-teens-into-sexual-activity/ar-BB18E4tI</t>
  </si>
  <si>
    <t>https://archive.vn/caqjh</t>
  </si>
  <si>
    <t>https://archive.vn/0op7i</t>
  </si>
  <si>
    <t>https://www.cbp.gov/newsroom/local-media-release/multi-agency-cooperation-foils-several-human-smuggling-attempts</t>
  </si>
  <si>
    <t>Cristinel Luigi Popescu</t>
  </si>
  <si>
    <t>https://www.justice.gov/usao-sdca/pr/suspected-international-alien-smuggler-extradited-united-states-romania</t>
  </si>
  <si>
    <t xml:space="preserve">https://global.foreignaffairs.co.nz/2020/08/18/mil-osi-usa-suspected-international-alien-smuggler-extradited-to-the-united-states-from-romania </t>
  </si>
  <si>
    <t>Romania</t>
  </si>
  <si>
    <t>https://archive.vn/tPeOP</t>
  </si>
  <si>
    <t>https://archive.vn/Knlci</t>
  </si>
  <si>
    <t>Tyler Townsend</t>
  </si>
  <si>
    <t>https://www.wpxi.com/news/trending/texas-middle-school-band-teacher-accused-secretly-recording-students/ASM2GNSKO5FF5DC73LDU2Y2TVY/</t>
  </si>
  <si>
    <t>https://archive.vn/wip/c1Oh4</t>
  </si>
  <si>
    <t>https://archive.vn/DHNH7</t>
  </si>
  <si>
    <t>James L. Williams</t>
  </si>
  <si>
    <t>https://www.justice.gov/usao-cdil/pr/charleston-ill-man-charged-child-sex-crimes-ordered-remain-custody</t>
  </si>
  <si>
    <t>https://www.wandtv.com/news/judge-cites-extreme-danger-posed-by-child-porn-suspect-orders-he-stay-in-u-s/article_58e3ed64-e0d6-11ea-b912-eb4720bb0333.html</t>
  </si>
  <si>
    <t>https://archive.vn/yGeLX</t>
  </si>
  <si>
    <t>https://archive.vn/EuZX8</t>
  </si>
  <si>
    <t>Derek Michael Mason</t>
  </si>
  <si>
    <t>https://www.justice.gov/usao-sd/pr/watertown-man-charged-receipt-distribution-and-transportation-child-pornography</t>
  </si>
  <si>
    <t>Dustyn Wayne Olmstead</t>
  </si>
  <si>
    <t>https://www.justice.gov/usao-wdmi/pr/2020_0821_Olmstead , https://www.justice.gov/usao-wdmi/pr/2020_0821_Olmstead</t>
  </si>
  <si>
    <t>https://www.wzzm13.com/article/news/crime/accused-sex-predator-contacted-saugatuck-student-on-her-school-laptop/69-612eb234-1b56-4830-94d3-d5792f183ee5</t>
  </si>
  <si>
    <t>https://archive.vn/Vpn5Y</t>
  </si>
  <si>
    <t>Preston Harmon</t>
  </si>
  <si>
    <t>CP,  Stalking of a minor &amp; related charges</t>
  </si>
  <si>
    <t>https://www.kait8.com/2020/08/15/man-arrested-sexual-solicitation-minor-case/</t>
  </si>
  <si>
    <t>https://www.newsbreak.com/arkansas/jonesboro/news/2041539109987/jonesboro-man-arrested-in-sexual-indecency-with-a-child-case</t>
  </si>
  <si>
    <t>https://archive.vn/wip/4gs5T</t>
  </si>
  <si>
    <t>https://archive.vn/wip/Y292q</t>
  </si>
  <si>
    <t>Vincent Michael Perez</t>
  </si>
  <si>
    <t>https://www.justice.gov/usao-sd/pr/watertown-man-charged-receipt-distribution-and-transportation-child-pornography-0</t>
  </si>
  <si>
    <t>Anthony Dialo Holmes</t>
  </si>
  <si>
    <t>https://www.justice.gov/usao-sd/pr/clark-man-charged-receipt-and-distribution-child-pornography</t>
  </si>
  <si>
    <t>Michael Zacharias</t>
  </si>
  <si>
    <t>https://www.fbi.gov/contact-us/field-offices/cleveland/news/press-releases/the-fbi-announces-the-federal-arrest-of-michael-zacharias , https://www.justice.gov/usao-ndoh/pr/findlay-area-priest-indicted-charges-sex-trafficking-and-coercion</t>
  </si>
  <si>
    <t>https://www.foxnews.com/us/ohio-priest-arrested-sex-trafficking-charges</t>
  </si>
  <si>
    <t>https://archive.vn/Gtf68</t>
  </si>
  <si>
    <t>https://archive.vn/31gu6</t>
  </si>
  <si>
    <t>Kendall Guyton</t>
  </si>
  <si>
    <t>https://www.justice.gov/usao-ndil/pr/federal-indictment-charges-two-men-sex-trafficking</t>
  </si>
  <si>
    <t>Gregory Ingram</t>
  </si>
  <si>
    <t>https://www.cbp.gov/newsroom/local-media-release/border-patrol-encounters-another-callous-human-smuggling-attempt</t>
  </si>
  <si>
    <t>Thomas Lester Hazouri</t>
  </si>
  <si>
    <t xml:space="preserve">https://www.justice.gov/usao-mdfl/pr/jacksonville-elementary-school-teacher-arrested-and-charged-distribution-child-sexual </t>
  </si>
  <si>
    <t xml:space="preserve">https://www.jacksonville.com/story/news/crime/2020/08/19/council-president-hazouris-son-arrested-child-porn-charges/5614210002/ </t>
  </si>
  <si>
    <t>https://archive.vn/wip/1WaXB</t>
  </si>
  <si>
    <t>https://archive.vn/CiQyf</t>
  </si>
  <si>
    <t>Gavin Collins</t>
  </si>
  <si>
    <t>https://www.justice.gov/usao-ndwv/pr/hancock-county-man-facing-child-pornography-charges</t>
  </si>
  <si>
    <t>https://www.cbp.gov/newsroom/local-media-release/yuma-sector-agents-thwart-smuggling-attempt-10-illegal-aliens-passenger</t>
  </si>
  <si>
    <t>Patrick George Jackson</t>
  </si>
  <si>
    <t>https://www.justice.gov/usao-ut/pr/jackson-sentenced-10-years-federal-prison-possession-child-pornography-conviction , https://www.justice.gov/usao-ut/pr/jackson-sentenced-10-years-federal-prison-possession-child-pornography-conviction</t>
  </si>
  <si>
    <t>David Pettigrew</t>
  </si>
  <si>
    <t>https://www.ice.gov/news/releases/former-pastor-north-texas-man-charged-child-pornography-related-offenses-ice</t>
  </si>
  <si>
    <t>https://www.foxnews.com/us/head-pastor-texas-church-indicted-child-pornography</t>
  </si>
  <si>
    <t>https://archive.vn/WHh8d</t>
  </si>
  <si>
    <t>https://archive.vn/N3gYj</t>
  </si>
  <si>
    <t>Chad Michael Rider (Pettigrew et al)</t>
  </si>
  <si>
    <t>https://www.msn.com/en-us/news/crime/collin-county-man-denison-pastor-arrested-for-child-porn/ar-BB18rg0m</t>
  </si>
  <si>
    <t>https://archive.vn/wip/fUpcG</t>
  </si>
  <si>
    <t>https://archive.vn/wip/DspAE</t>
  </si>
  <si>
    <t>Joel Lindsay / Joseph Pina</t>
  </si>
  <si>
    <t>https://www.justice.gov/usao-ct/pr/east-hartford-men-charged-sex-trafficking-minor-victim</t>
  </si>
  <si>
    <t>Jamaica / US</t>
  </si>
  <si>
    <t>Daniel Rubel</t>
  </si>
  <si>
    <t>https://www.justice.gov/usao-wdny/pr/kenmore-man-charged-production-and-possession-child-pornography</t>
  </si>
  <si>
    <t>Francisco Xavier Ortiz-Colón</t>
  </si>
  <si>
    <t>https://www.justice.gov/usao-pr/pr/22-year-old-man-indicted-and-arrested-charges-child-pornography</t>
  </si>
  <si>
    <t>Joel Greenberg</t>
  </si>
  <si>
    <t>https://www.orlandosentinel.com/news/seminole-county/os-ne-seminole-county-tax-collector-greenberg-fake-ids-minors-20200821-lqt6id6sijbdrj2l7xo6cimz5y-story.html</t>
  </si>
  <si>
    <t>https://archive.vn/wBFZU</t>
  </si>
  <si>
    <t>https://archive.vn/wip/bO17v</t>
  </si>
  <si>
    <t>https://www.cbp.gov/newsroom/local-media-release/rgv-checkpoint-agents-stop-big-rig-smuggling-attempt</t>
  </si>
  <si>
    <t>Javon Opoku</t>
  </si>
  <si>
    <t>https://www.justice.gov/usao-sdtx/pr/houstonian-state-bond-ordered-federal-custody</t>
  </si>
  <si>
    <t>https://www.cbp.gov/newsroom/local-media-release/usbp-partners-foil-maritime-smuggling-attempt</t>
  </si>
  <si>
    <t>https://www.cbp.gov/newsroom/local-media-release/joint-efforts-leads-multiple-stash-house-disruptions-rgv</t>
  </si>
  <si>
    <t>Kiara Nunez</t>
  </si>
  <si>
    <t>https://www.fbi.gov/contact-us/field-offices/miami/news/press-releases/fbi-announces-two-sex-trafficking-arrests</t>
  </si>
  <si>
    <t>https://www.khou.com/article/news/national/broward-county-sex-trafficking-women-arrested/67-a51e6eb5-6c3f-41c3-acb2-c85229642134</t>
  </si>
  <si>
    <t>https://archive.vn/WBEtc</t>
  </si>
  <si>
    <t>https://archive.vn/z6i5V/image</t>
  </si>
  <si>
    <t>Alexandra Ramirez</t>
  </si>
  <si>
    <t>Jerald Ungerer</t>
  </si>
  <si>
    <t>https://www.justice.gov/usao-mdpa/pr/pike-county-man-charged-production-child-pornography</t>
  </si>
  <si>
    <t>https://www.wnep.com/article/news/local/pike-county/child-pornography-abuse-lords-valley/523-a4c3c644-1a72-4008-b8d0-581005349fbf</t>
  </si>
  <si>
    <t>https://archive.vn/wip/32pNP</t>
  </si>
  <si>
    <t>https://archive.vn/wip/fcXQ6</t>
  </si>
  <si>
    <t>Richard J. Potter, Jr</t>
  </si>
  <si>
    <t>https://www.justice.gov/usao-ndny/pr/cayuga-county-man-charged-receipt-child-pornography-and-possession-firearm-felon</t>
  </si>
  <si>
    <t>https://www.cbp.gov/newsroom/local-media-release/smuggling-attempts-continue-fail</t>
  </si>
  <si>
    <t>Robert H. King</t>
  </si>
  <si>
    <t>Project Safe Childhood-Enticement of a minor, CP distribution &amp; related charges</t>
  </si>
  <si>
    <t>https://www.justice.gov/usao-ri/pr/registered-sex-offender-detained-solicitation-child-pornography-charges</t>
  </si>
  <si>
    <t>Daniel May</t>
  </si>
  <si>
    <t>Operation Home Alone 2-enticement of a minor for sexual exploitation</t>
  </si>
  <si>
    <t>https://www.ice.gov/news/releases/ice-joins-law-enforcement-making-numerous-arrests-related-child-sexual-exploitation</t>
  </si>
  <si>
    <t>Matthew Salley</t>
  </si>
  <si>
    <t>Matthew C. Ostrowski</t>
  </si>
  <si>
    <t>https://www.justice.gov/usao-wdny/pr/north-tonawanda-man-charged-possession-child-pornography</t>
  </si>
  <si>
    <t>Christopher Bryant</t>
  </si>
  <si>
    <t xml:space="preserve">https://www.justice.gov/usao-nm/pr/ruidoso-police-officer-charged-sending-child-pornography-email ,  https://www.justice.gov/usao-nm/pr/fort-stanton-man-pleads-guilty-possession-child-pornography                                                                                                                                                                                                                                                                                                                                                                                                                                                       </t>
  </si>
  <si>
    <t>William Schock</t>
  </si>
  <si>
    <t>https://www.justice.gov/usao-ri/pr/south-kingstown-man-ordered-home-confinement-child-pornography-charges</t>
  </si>
  <si>
    <t>Cameron Hennelly</t>
  </si>
  <si>
    <t>https://www.justice.gov/usao-ndny/pr/saratoga-county-man-charged-distribution-child-pornography-0</t>
  </si>
  <si>
    <t>Matthew Roy Lawson</t>
  </si>
  <si>
    <t xml:space="preserve">https://www.justice.gov/usao-edok/pr/forty-two-individuals-indicted-august-september-grand-juries  </t>
  </si>
  <si>
    <t xml:space="preserve">Operation Patriot-Human trafficking </t>
  </si>
  <si>
    <t>https://www.ice.gov/news/releases/ice-local-law-enforcement-agencies-announce-results-operation-targeting-sex</t>
  </si>
  <si>
    <t>https://www.cbp.gov/newsroom/local-media-release/el-paso-sector-september-stash-house-busts</t>
  </si>
  <si>
    <t>https://www.cbp.gov/newsroom/local-media-release/el-centro-sector-agents-arrest-34-two-separate-smuggling-events</t>
  </si>
  <si>
    <t>Jared Daily</t>
  </si>
  <si>
    <t>https://www.justice.gov/usao-ndia/pr/belle-plaine-man-pleads-guilty-accessing-child-pornography</t>
  </si>
  <si>
    <t>Roderick Glenn Houston, Jr.</t>
  </si>
  <si>
    <t>https://www.justice.gov/usao-wdok/pr/oklahoma-city-man-convicted-child-sex-trafficking</t>
  </si>
  <si>
    <t>Joshua Lynn Lugert</t>
  </si>
  <si>
    <t>https://www.justice.gov/usao-sd/pr/sioux-falls-man-charged-receipt-distribution-and-transportation-child-pornography</t>
  </si>
  <si>
    <t>Gary Rocky Jones</t>
  </si>
  <si>
    <t>https://www.justice.gov/usao-md/pr/baltimore-man-indicted-federal-charges-possession-and-distribution-child-pornography</t>
  </si>
  <si>
    <t>Jeffrey D. Pierce</t>
  </si>
  <si>
    <t>https://www.justice.gov/usao-ks/pr/high-school-coach-topeka-charged-sexual-exploitation-minors</t>
  </si>
  <si>
    <t>https://www.kshb.com/news/crime/topeka-high-school-coach-faces-child-pornography-charges</t>
  </si>
  <si>
    <t>https://archive.vn/FCuiI</t>
  </si>
  <si>
    <t>https://archive.vn/tQt6J</t>
  </si>
  <si>
    <t>Christopher Butts</t>
  </si>
  <si>
    <t>https://www.azcentral.com/story/news/local/arizona-breaking/2020/09/09/former-mcso-detective-arrested-again-child-exploitation-charges/5765879002/</t>
  </si>
  <si>
    <t>https://archive.vn/wip/jkjrz</t>
  </si>
  <si>
    <t>https://archive.vn/wip/yeiFD</t>
  </si>
  <si>
    <t xml:space="preserve"> Kention Obryan Johnson</t>
  </si>
  <si>
    <t>https://www.ice.gov/news/releases/2-north-texas-men-indicted-child-sex-trafficking-following-ice-investigation</t>
  </si>
  <si>
    <t>Sergio Trinidad Carvajal</t>
  </si>
  <si>
    <t xml:space="preserve"> Cody Burgess</t>
  </si>
  <si>
    <t>https://www.justice.gov/usao-wdny/pr/dansville-man-arrested-facing-multiple-child-pornography-charges</t>
  </si>
  <si>
    <t>Ryan Kellerman</t>
  </si>
  <si>
    <t>William Hayes</t>
  </si>
  <si>
    <t>Project Safe Childhood-Attempted CP production &amp; related charges</t>
  </si>
  <si>
    <t>https://www.justice.gov/usao-cdca/pr/ventura-county-man-arrested-federal-indictment-alleged-attempted-enticement-minors</t>
  </si>
  <si>
    <t>Thomas Layman Binford</t>
  </si>
  <si>
    <t>Project Safe Childhood- Attempted nticement of a minor, CP &amp; related charges</t>
  </si>
  <si>
    <t>https://www.justice.gov/usao-edca/pr/clovis-man-charged-attempted-online-enticement-minor-engage-illegal-sex-acts-and</t>
  </si>
  <si>
    <t>Thomas J. Bowles</t>
  </si>
  <si>
    <t>Sex trafficking of a child</t>
  </si>
  <si>
    <t>https://www.justice.gov/usao-edmo/pr/grand-jury-indicts-st-charles-county-man-sex-trafficking-child</t>
  </si>
  <si>
    <t>Kurt Batucan Sheldon</t>
  </si>
  <si>
    <t>https://www.ice.gov/news/releases/county-library-employee-arrested-child-exploitation-production , https://www.justice.gov/usao-mdfl/pr/putnam-county-library-employee-indicted-charges-production-and-distribution-child</t>
  </si>
  <si>
    <t>https://www.justice.gov/usao-mdfl/pr/jacksonville-elementary-school-teacher-arrested-and-charged-distribution-child-sexual</t>
  </si>
  <si>
    <t>https://www.jacksonville.com/story/news/crime/2020/08/19/council-president-hazouris-son-arrested-child-porn-charges/5614210002/</t>
  </si>
  <si>
    <t>Timothy Lloyd Blaney</t>
  </si>
  <si>
    <t>https://www.justice.gov/usao-edmo/pr/grand-jury-indicts-pevely-man-production-child-pornography</t>
  </si>
  <si>
    <t>Vincent Kiejzo</t>
  </si>
  <si>
    <t>https://www.justice.gov/usao-ma/pr/milford-man-arrested-possession-child-pornography , https://www.justice.gov/usao-ma/pr/former-milford-teacher-indicted-possession-child-pornography-charge</t>
  </si>
  <si>
    <t>Marcus Street</t>
  </si>
  <si>
    <t>https://www.justice.gov/usao-md/pr/baltimore-man-facing-federal-indictment-production-child-pornography</t>
  </si>
  <si>
    <t>Cameron Michael Pittman</t>
  </si>
  <si>
    <t>https://www.ice.gov/news/releases/southeast-texas-registered-sex-offender-admits-receiving-child-pornography , https://www.ice.gov/news/releases/registered-sex-offender-southeast-texas-sentenced-17-years-prison-child-pornography</t>
  </si>
  <si>
    <t>https://www.justice.gov/usao-ndia/pr/belle-plaine-man-charged-distributing-receiving-and-accessing-child-pornography</t>
  </si>
  <si>
    <t>Brice Gage Watkins</t>
  </si>
  <si>
    <t>https://www.usmarshals.gov/news/chron/2020/091020.htm</t>
  </si>
  <si>
    <t xml:space="preserve">https://www.foxnews.com/us/texas-marshals-fugitive-molesting-6-month-old </t>
  </si>
  <si>
    <t>https://archive.vn/wip/Zk5Wa</t>
  </si>
  <si>
    <t>https://archive.vn/wip/b9K8Q</t>
  </si>
  <si>
    <t>Neil A Frank</t>
  </si>
  <si>
    <t>Project Safe Childhood- Enticement of a minor, CP &amp; related charges</t>
  </si>
  <si>
    <t>https://www.justice.gov/usao-edwi/pr/registered-sex-offender-indicted-child-related-sex-crimes</t>
  </si>
  <si>
    <t>Reza Sahami</t>
  </si>
  <si>
    <t>https://www.ice.gov/news/releases/ice-brazil-federal-police-arrest-alleged-leader-major-human-smuggling-organization</t>
  </si>
  <si>
    <t>https://cis.org/Bensman/Iranian-Migrants-Busted-Iran-Threatens-Hit-US-Assassinating-Top-General</t>
  </si>
  <si>
    <t>Iran</t>
  </si>
  <si>
    <t>https://archive.vn/wip/cbR9N</t>
  </si>
  <si>
    <t xml:space="preserve">Matthew Enhoffer </t>
  </si>
  <si>
    <t>https://www.justice.gov/usao-mdfl/pr/former-police-officer-sentenced-8-years-distribution-and-possession-child-pornography</t>
  </si>
  <si>
    <t>https://www.tampabay.com/news/crime/2020/10/21/former-st-pete-cop-gets-8-years-for-child-porn/</t>
  </si>
  <si>
    <t>https://archive.vn/wip/7Y3Bt</t>
  </si>
  <si>
    <t>https://archive.vn/6WoAM</t>
  </si>
  <si>
    <t>Andre Michael Felts</t>
  </si>
  <si>
    <t>https://www.justice.gov/opa/pr/philadelphia-men-charged-child-sex-trafficking</t>
  </si>
  <si>
    <t>Kevin Michael Francis</t>
  </si>
  <si>
    <t>Ryan Keel</t>
  </si>
  <si>
    <t>John Cody Klingman</t>
  </si>
  <si>
    <t>https://www.justice.gov/usao-sd/pr/box-elder-man-indicted-child-pornography-charges-0</t>
  </si>
  <si>
    <t>https://www.cbp.gov/newsroom/local-media-release/chaparral-stash-house-case-nets-57-people</t>
  </si>
  <si>
    <t>Tyrone Johnson</t>
  </si>
  <si>
    <t>https://www.justice.gov/usao-ndin/pr/us-attorney-kirsch-reminds-parents-about-online-predators-recent-indictments</t>
  </si>
  <si>
    <t>Troy Kidwell</t>
  </si>
  <si>
    <t>Project Safe Childhood-CP enticement of a minor &amp; CP related charges</t>
  </si>
  <si>
    <t>Stephen Coleman</t>
  </si>
  <si>
    <t>Jeremiah  "Jerry" Harris</t>
  </si>
  <si>
    <t>https://www.justice.gov/usao-ndil/pr/naperville-man-arrested-federal-child-pornography-charge-allegedly-enticing-underage , https://www.fbi.gov/contact-us/field-offices/chicago/news/press-releases/fbi-chicago-seeks-victim-information-in-jerry-harris-investigation</t>
  </si>
  <si>
    <t xml:space="preserve">https://www.dailymail.co.uk/news/article-8744767/Cheers-Jerry-Harris-arrested-child-pornography-charges.html </t>
  </si>
  <si>
    <t xml:space="preserve">https://archive.vn/0fAby </t>
  </si>
  <si>
    <t xml:space="preserve">https://archive.vn/wip/p8Jm1 </t>
  </si>
  <si>
    <t>Ramon Zelaya</t>
  </si>
  <si>
    <t>https://www.justice.gov/usao-nj/pr/hudson-county-man-charged-trafficking-child-pornography</t>
  </si>
  <si>
    <t>Jayson E. Wright</t>
  </si>
  <si>
    <t>https://www.justice.gov/usao-mdga/pr/valdosta-couple-indicted-child-pornography-production-charges-law-enforcement-open</t>
  </si>
  <si>
    <t>https://www.wctv.tv/2020/09/22/lowndes-co-sheriff-urges-parents-of-possible-victims-in-child-porn-case-to-come-forward/ , https://www.albanyherald.com/news/former-valdosta-scout-leaders-arrested-on-child-porn-charges/article_318b17e6-fa72-11ea-9741-b349c425f2bb.html</t>
  </si>
  <si>
    <t>https://archive.vn/TtRS3</t>
  </si>
  <si>
    <t>https://archive.vn/6iw5J</t>
  </si>
  <si>
    <t>Kara E. Wright</t>
  </si>
  <si>
    <t>https://www.cbp.gov/newsroom/local-media-release/us-citizens-arrested-smuggling-two-mexican-nationals-trunk-car</t>
  </si>
  <si>
    <t>Michael Mayhew</t>
  </si>
  <si>
    <t>https://www.justice.gov/usao-ndny/pr/rome-man-charged-sexually-exploiting-child</t>
  </si>
  <si>
    <t>https://www.cbp.gov/newsroom/local-media-release/yuma-sector-border-patrol-agents-thwart-human-smuggling-attempt</t>
  </si>
  <si>
    <t>Dylan Koerner</t>
  </si>
  <si>
    <t>https://www.justice.gov/usao-ct/pr/man-admits-using-kik-solicit-receive-and-distribute-child-pornography , https://www.justice.gov/usao-ct/pr/teacher-who-used-kik-solicit-receive-and-distribute-child-pornography-sentenced-70-months</t>
  </si>
  <si>
    <t>Joseph Teasdale</t>
  </si>
  <si>
    <t>https://www.justice.gov/usao-wdpa/pr/mckeesport-man-charged-possessing-images-minors-engaged-sexually-explicit-conduct</t>
  </si>
  <si>
    <t>Thomas O’Bryan</t>
  </si>
  <si>
    <t>https://www.justice.gov/usao-ndny/pr/kingston-resident-charged-distributing-child-pornography</t>
  </si>
  <si>
    <t>Andrew Davis</t>
  </si>
  <si>
    <t>https://www.justice.gov/usao-ndal/pr/west-virginia-man-indicted-child-exploitation-charges</t>
  </si>
  <si>
    <t>Brian Grinnell</t>
  </si>
  <si>
    <t>https://www.justice.gov/usao-ct/pr/ohio-man-charged-posing-teen-receiving-sexually-explicit-videos-minor-posting-tiktok</t>
  </si>
  <si>
    <t>Bernard Andrew Wagner, Jr.</t>
  </si>
  <si>
    <t>Project Safe Childhood-Attempted exploitation of a minor</t>
  </si>
  <si>
    <t>https://www.justice.gov/usao-sd/pr/spearfish-man-charged-sexual-exploitation-minor</t>
  </si>
  <si>
    <t>Mauricio Calderon</t>
  </si>
  <si>
    <t>https://www.justice.gov/usao-nj/pr/essex-county-man-charged-distribution-and-possession-child-pornography</t>
  </si>
  <si>
    <t>Josue Gamaliel Vidal Quintanilla</t>
  </si>
  <si>
    <t>https://www.ice.gov/news/releases/ice-arrests-inland-empire-man-who-teaches-san-bernardino-middle-school-federal-child</t>
  </si>
  <si>
    <t>Andrew James Sarnowski</t>
  </si>
  <si>
    <t>https://www.justice.gov/usao-edca/pr/kern-county-man-charged-production-distribution-and-receipt-child-pornography</t>
  </si>
  <si>
    <t xml:space="preserve">Gregory Thomas Garcia </t>
  </si>
  <si>
    <t>https://www.justice.gov/usao-mdfl/pr/orange-park-man-charged-sex-trafficking-child-after-traveling-meet-child-sex</t>
  </si>
  <si>
    <t>Robert Duus</t>
  </si>
  <si>
    <t>https://www.justice.gov/usao-mdpa/pr/monroe-county-man-charged-attempted-online-enticement-and-sex-trafficking-child</t>
  </si>
  <si>
    <t>Philip Schmaldinst</t>
  </si>
  <si>
    <t>Project Safe Childhood-Attempted enticement &amp; sex trafficking of a minor</t>
  </si>
  <si>
    <t>https://www.justice.gov/usao-mdpa/pr/lehigh-county-man-charged-attempted-online-enticement-and-sex-trafficking-child</t>
  </si>
  <si>
    <t>Lorenz Quiambao</t>
  </si>
  <si>
    <t>https://www.justice.gov/usao-mdpa/pr/easton-man-charged-attempted-online-enticement-and-sex-trafficking-child</t>
  </si>
  <si>
    <t>David St. Jacques</t>
  </si>
  <si>
    <t>https://www.justice.gov/usao-ma/pr/wareham-man-charged-possession-child-pornography , https://www.justice.gov/usao-ma/pr/wareham-man-indicted-charge-possession-child-pornography</t>
  </si>
  <si>
    <t>https://www.cbp.gov/newsroom/local-media-release/more-100-people-smuggled-commercial-trailer</t>
  </si>
  <si>
    <t>Ian Charles Schenkel</t>
  </si>
  <si>
    <t>https://www.latimes.com/california/story/2020-10-06/orange-county-da-announces-child-prostitution-charges-against-ceo</t>
  </si>
  <si>
    <t>https://losangeles.cbslocal.com/2020/10/06/ceo-halliburton-international-foods-charged-prostitution-2-teenage-girls/</t>
  </si>
  <si>
    <t>https://archive.vn/BQKdo</t>
  </si>
  <si>
    <t>https://archive.vn/wip/qCm9I</t>
  </si>
  <si>
    <t>Amanda Emilia Perez</t>
  </si>
  <si>
    <t xml:space="preserve">https://archive.vn/BQKdo </t>
  </si>
  <si>
    <t>Damion Phillip Gress</t>
  </si>
  <si>
    <t>https://www.justice.gov/usao-mdpa/pr/franklin-county-man-charged-child-exploitation-offenses</t>
  </si>
  <si>
    <t>Jesus Modesto Sanchez</t>
  </si>
  <si>
    <t>Project Safe Childhood- travel w/ intent to have sex w/ a minor &amp; CP related charges</t>
  </si>
  <si>
    <t>https://www.justice.gov/usao-nj/pr/three-men-charged-federal-sex-crimes-after-attempting-sexual-contact-children-they-met</t>
  </si>
  <si>
    <t xml:space="preserve"> Steven Shawn Smith</t>
  </si>
  <si>
    <t>Project Safe Childhood-Exploitation/coercion of a minor</t>
  </si>
  <si>
    <t>https://www.justice.gov/usao-sdoh/pr/miamisburg-man-pleads-guilty-coercing-minors-online</t>
  </si>
  <si>
    <t>https://www.cbp.gov/newsroom/local-media-release/rgv-agents-foil-five-smuggling-attempts-0</t>
  </si>
  <si>
    <t>Operation Autumn Hope-Sex trafficking/ trafficking of a minor</t>
  </si>
  <si>
    <t>https://www.cincinnati.com/story/news/2020/10/26/177-arrested-largest-human-trafficking-sting-ohio-history/6041197002/</t>
  </si>
  <si>
    <t>https://archive.vn/hzKzc</t>
  </si>
  <si>
    <t>Christopher John Streeter</t>
  </si>
  <si>
    <t>https://www.justice.gov/usao-mdfl/pr/florida-man-who-financed-and-patronized-child-sex-trafficking-ring-philippines</t>
  </si>
  <si>
    <t>https://www.wtsp.com/article/news/crime/tampa-bay-man-sentence/67-96ef3802-9b31-4ead-b130-563cecc3ed46</t>
  </si>
  <si>
    <t>https://archive.vn/wip/1HaRC</t>
  </si>
  <si>
    <t xml:space="preserve">Jordan Jysae Pulido  / Roberto Santana Jimenez </t>
  </si>
  <si>
    <t>https://www.justice.gov/usao-mdfl/pr/father-and-son-charged-relation-scheme-transport-minor-between-croatia-and-florida</t>
  </si>
  <si>
    <t>Philip Raymond</t>
  </si>
  <si>
    <t>https://www.justice.gov/usao-ma/pr/marlborough-man-charged-child-exploitation-offenses</t>
  </si>
  <si>
    <t>https://www.masslive.com/worcester/2020/02/philip-raymond-accused-of-raping-and-videotaping-11-girls-who-ranged-from-4-to-12-years-old-da-says.html</t>
  </si>
  <si>
    <t>https://archive.vn/wip/8RKam</t>
  </si>
  <si>
    <t>https://archive.vn/wip/Yq73q</t>
  </si>
  <si>
    <t>https://www.cbp.gov/newsroom/local-media-release/combined-effort-law-enforcement-agencies-closes-stash-house</t>
  </si>
  <si>
    <t>https://www.cbp.gov/newsroom/local-media-release/another-human-smuggling-attempt-utilizing-belly-dump-trailer</t>
  </si>
  <si>
    <t>https://www.justice.gov/usao-ri/pr/registered-sex-offender-faces-10-years-prison-possessing-child-pornography</t>
  </si>
  <si>
    <t>https://www.cbp.gov/newsroom/local-media-release/duo-s-false-wall-human-smuggling-attempt-foiled</t>
  </si>
  <si>
    <t>Todd Eric Mumma</t>
  </si>
  <si>
    <t>https://www.justice.gov/usao-edca/pr/fresno-man-charged-offenses-involving-sexual-exploitation-minors</t>
  </si>
  <si>
    <t>Daniel Porrazzo</t>
  </si>
  <si>
    <t>https://www.justice.gov/usao-ndny/pr/saratoga-county-man-charged-possession-child-pornography</t>
  </si>
  <si>
    <t>Adrian Kyle Benjamin</t>
  </si>
  <si>
    <t>https://www.justice.gov/usao-ndca/pr/san-mateo-resident-charged-receipt-child-pornography</t>
  </si>
  <si>
    <t>https://www.cbp.gov/newsroom/local-media-release/human-smuggling-attempt-stopped-and-stolen-vehicle-recovered</t>
  </si>
  <si>
    <t>https://www.cbp.gov/newsroom/local-media-release/thirteen-people-smuggled-sealed-cardboard-boxes</t>
  </si>
  <si>
    <t>https://www.cbp.gov/newsroom/local-media-release/bp-stops-dangerous-human-smuggling-attempt</t>
  </si>
  <si>
    <t>https://www.cbp.gov/newsroom/local-media-release/rio-grande-valley-checkpoint-agents-stop-human-smuggling-attempt</t>
  </si>
  <si>
    <t>Cody Allen Green</t>
  </si>
  <si>
    <t>https://www.justice.gov/usao-sd/pr/box-elder-man-indicted-sexual-exploitation-minor</t>
  </si>
  <si>
    <t>Matthew Joseph Gourley</t>
  </si>
  <si>
    <t>https://www.justice.gov/usao-wdpa/pr/pittsburgh-man-indicted-project-safe-childhood-case</t>
  </si>
  <si>
    <t>https://www.cbp.gov/newsroom/local-media-release/human-smuggling-attempt-ends-rollover-accident</t>
  </si>
  <si>
    <t>David Cerasuolo</t>
  </si>
  <si>
    <t>https://www.justice.gov/usao-ma/pr/plainville-man-indicted-child-enticement-and-child-pornography-offenses</t>
  </si>
  <si>
    <t>Michael Anthony Butler Jr</t>
  </si>
  <si>
    <t>https://www.justice.gov/usao-edca/pr/sacramento-man-arrested-sex-trafficking-child</t>
  </si>
  <si>
    <t>Jeffrey Lofstead</t>
  </si>
  <si>
    <t>https://www.justice.gov/usao-nv/pr/northern-california-man-indicted-attempted-child-sex-trafficking</t>
  </si>
  <si>
    <t>https://www.msn.com/en-us/news/crime/lake-tahoe-man-charged-with-attempted-child-sex-trafficking/ar-BB1bNpJ9</t>
  </si>
  <si>
    <t>https://archive.vn/wip/8oFql</t>
  </si>
  <si>
    <t>https://archive.vn/KQE2n</t>
  </si>
  <si>
    <t>https://www.cbp.gov/newsroom/local-media-release/border-patrol-discovers-100-individuals-being-smuggled-commercial</t>
  </si>
  <si>
    <t>https://www.cbp.gov/newsroom/local-media-release/law-enforcement-partnerships-ruin-smugglers-day</t>
  </si>
  <si>
    <t>Santos Teodoro AC-Salazar / Olga Choc Laj</t>
  </si>
  <si>
    <t>Child labor trafficking</t>
  </si>
  <si>
    <t>https://www.ice.gov/news/releases/suburban-chicago-couple-charged-child-labor-trafficking</t>
  </si>
  <si>
    <t>https://chicago.suntimes.com/2020/10/2/21498999/guatemalan-couple-kept-two-girls-slaves-aurora</t>
  </si>
  <si>
    <t>https://archive.vn/wip/XmUqn</t>
  </si>
  <si>
    <t>https://archive.vn/LAUeo</t>
  </si>
  <si>
    <t xml:space="preserve"> Christopher Michael David</t>
  </si>
  <si>
    <t>https://www.justice.gov/usao-ndca/pr/washington-state-resident-charged-distribution-child-pornography-after-allegedly</t>
  </si>
  <si>
    <t>Child/Human smuggling</t>
  </si>
  <si>
    <t>https://www.cbp.gov/newsroom/local-media-release/two-human-smuggling-cases-linked-and-child-reunited-parents</t>
  </si>
  <si>
    <t xml:space="preserve"> Jorge Javier Marrero Gerena</t>
  </si>
  <si>
    <t>https://www.justice.gov/usao-pr/pr/jorge-javier-marrero-gerena-arrested-charges-child-pornography</t>
  </si>
  <si>
    <t>https://www.presenciapr.com/tag/jorge-javier-marrero-gerena/</t>
  </si>
  <si>
    <t>https://archive.vn/wip/GzMlG</t>
  </si>
  <si>
    <t>https://archive.vn/g6Hc3</t>
  </si>
  <si>
    <t>Justin Palmer</t>
  </si>
  <si>
    <t>https://www.justice.gov/usao-edar/pr/jonesboro-man-arrested-allegedly-producing-child-pornography</t>
  </si>
  <si>
    <t>https://www.kait8.com/2020/10/14/fbi-arrests-jonesboro-man-little-rock-suspicion-child-porn/</t>
  </si>
  <si>
    <t>https://archive.vn/wip/6MZZg</t>
  </si>
  <si>
    <t>Michael M. Rapa</t>
  </si>
  <si>
    <t>https://www.justice.gov/usao-sdil/pr/fairview-heights-man-charged-child-pornography-possession</t>
  </si>
  <si>
    <t>Spencer Hughes</t>
  </si>
  <si>
    <t>https://www.justice.gov/usao-ma/pr/massachusetts-man-arrested-child-pornography-charges</t>
  </si>
  <si>
    <t>https://www.cbp.gov/newsroom/local-media-release/packed-trunks-multiple-human-smuggling-attempts-stopped-checkpoint</t>
  </si>
  <si>
    <t>Quentin Anthony Blount</t>
  </si>
  <si>
    <t>Project Safe Childhood- attempted sex trafficking of a minor</t>
  </si>
  <si>
    <t>William Jeffery</t>
  </si>
  <si>
    <t>https://www.justice.gov/usao-ednc/pr/william-jeffery-raleigh-indicted-child-pornography-charge</t>
  </si>
  <si>
    <t>https://www.cbp.gov/newsroom/local-media-release/us-citizens-arrested-smuggling-two-mexican-nationals-trunk-car-0</t>
  </si>
  <si>
    <t>https://www.cbp.gov/newsroom/local-media-release/rgv-agents-disrupt-five-human-smuggling-attempts-48-hours</t>
  </si>
  <si>
    <t xml:space="preserve">Hussein Mohamed Sobbih Fatouh </t>
  </si>
  <si>
    <t>https://www.ice.gov/news/releases/ice-brazil-federal-police-partnership-lead-arrest-human-smuggler</t>
  </si>
  <si>
    <t>Egypt/Lebannon</t>
  </si>
  <si>
    <t>Michael Mearan</t>
  </si>
  <si>
    <t>https://www.cincinnati.com/story/news/2020/10/24/untouchable-attorney-charged-sex-trafficking/6023108002/</t>
  </si>
  <si>
    <t>https://archive.vn/E7Hbo</t>
  </si>
  <si>
    <t>https://archive.vn/gw1MJ</t>
  </si>
  <si>
    <t>Reid Etheridge, / Alicia Cronkhite</t>
  </si>
  <si>
    <t>https://www.justice.gov/usao-sdtx/pr/two-indicted-multiple-counts-child-exploitation</t>
  </si>
  <si>
    <t>John Stuart</t>
  </si>
  <si>
    <t>https://www.justice.gov/usao-wdny/pr/cheektowaga-man-arrested-charged-possessing-child-pornography-growing-marijuana-and</t>
  </si>
  <si>
    <t>Evan C. Pasicznyk</t>
  </si>
  <si>
    <t>https://www.justice.gov/usao-edwi/pr/eau-claire-man-arrested-operation-kick-boxer-child-pornography-distribution-charges</t>
  </si>
  <si>
    <t>Robert Arthur Ginder</t>
  </si>
  <si>
    <t>https://www.justice.gov/usao-mdfl/pr/nassau-county-fire-and-rescue-employee-arrested-and-charged-accessing-intent-view-child</t>
  </si>
  <si>
    <t>Owen Batista</t>
  </si>
  <si>
    <t>https://www.justice.gov/usao-ri/pr/warwick-man-detained-charges-possessing-and-distributing-child-pornography</t>
  </si>
  <si>
    <t>Robert Klemt</t>
  </si>
  <si>
    <t>https://www.justice.gov/usao-nj/pr/registered-sex-offender-charged-wth-possession-child-pornography</t>
  </si>
  <si>
    <t>Jayson Fernandez Butay</t>
  </si>
  <si>
    <t>https://www.justice.gov/usao-edca/pr/sacramento-man-indicted-production-and-possession-child-pornography</t>
  </si>
  <si>
    <t>Calvin Henry Sampson, III</t>
  </si>
  <si>
    <t>https://www.justice.gov/usao-md/pr/baltimore-man-indicted-maryland-federal-charges-production-and-possession-child</t>
  </si>
  <si>
    <t>https://baltimore.cbslocal.com/2020/10/27/calvin-sampson-iii-indicted-on-federal-child-pornography-charges/</t>
  </si>
  <si>
    <t>https://archive.vn/20UWl</t>
  </si>
  <si>
    <t>https://archive.vn/1YfVE</t>
  </si>
  <si>
    <t>Joseph Ganaro</t>
  </si>
  <si>
    <t>https://www.justice.gov/usao-nj/pr/bergen-county-man-charged-distribution-images-child-sexual-abuse</t>
  </si>
  <si>
    <t>Craig M. Mulvey</t>
  </si>
  <si>
    <t>https://www.justice.gov/usao-ri/pr/newport-resident-detained-child-pornography-charges</t>
  </si>
  <si>
    <t>Saeed Mustapha Moussa</t>
  </si>
  <si>
    <t>https://www.justice.gov/usao-ct/pr/east-hartford-man-charged-making-cell-phone-videos-him-sexually-assaulting-child</t>
  </si>
  <si>
    <t>Hunter Jacob James Hope</t>
  </si>
  <si>
    <t>https://www.justice.gov/usao-edok/pr/forty-nine-individuals-indicted-october-november-and-december-2020-federal-grand-juries</t>
  </si>
  <si>
    <t>Joseph Edward Schwenk</t>
  </si>
  <si>
    <t>https://www.justice.gov/usao-wdpa/pr/union-city-pa-man-indicted-child-sex-exploitation-charges</t>
  </si>
  <si>
    <t>Craig A Mulvey</t>
  </si>
  <si>
    <t>https://www.justice.gov/usao-ri/pr/second-arrest-newport-three-days-child-pornography-charges</t>
  </si>
  <si>
    <t>William H. Normandin</t>
  </si>
  <si>
    <t>Philip Frost</t>
  </si>
  <si>
    <t>https://www.justice.gov/usao-ct/pr/sex-offender-pleads-guilty-child-exploitation-offense</t>
  </si>
  <si>
    <t>Ronald Alexander Rodriguez-Paz / Eva Estrada Juarez</t>
  </si>
  <si>
    <t>Forced labor of a minor</t>
  </si>
  <si>
    <t>https://www.justice.gov/usao-ndok/pr/federal-grand-jury-indictments-announced-november-2020</t>
  </si>
  <si>
    <t>Marvin Leverine Arnett, Jr</t>
  </si>
  <si>
    <t>Michael David Jackson</t>
  </si>
  <si>
    <t>Jimmy Ray Mendenhall Jr</t>
  </si>
  <si>
    <t>Clayton Jacob Waldon</t>
  </si>
  <si>
    <t>https://www.justice.gov/usao-ndok/pr/federal-grand-jury-b-indictments-announced-november</t>
  </si>
  <si>
    <t>Multiple (to be named later as time allows)</t>
  </si>
  <si>
    <t>Operation Stolen Innocence-Sex trafficking of a minor</t>
  </si>
  <si>
    <t>https://www.justice.gov/usao-ndfl/pr/more-170-charged-following-large-scale-human-trafficking-investigation</t>
  </si>
  <si>
    <t>https://nypost.com/2020/11/18/nearly-200-arrested-in-florida-child-sex-trafficking-bust/</t>
  </si>
  <si>
    <t>https://archive.vn/ndFRH</t>
  </si>
  <si>
    <t>Michael Schechterly</t>
  </si>
  <si>
    <t>CP related charges &amp; sexual assault of a minor</t>
  </si>
  <si>
    <t>https://nypost.com/2020/11/03/pennsylvania-judge-accused-of-sexually-abusing-12-year-old-boy/?utm_medium=SocialFlow&amp;utm_campaign=SocialFlow&amp;utm_source=NYPTwitter</t>
  </si>
  <si>
    <t>https://archive.vn/wip/ADCiz</t>
  </si>
  <si>
    <t>https://archive.vn/wip/PxBwD</t>
  </si>
  <si>
    <t>https://www.justice.gov/usao-mdfl/pr/nassau-county-fire-and-rescue-employee-indicted-three-counts-receipt-child-exploitation</t>
  </si>
  <si>
    <t>AL-Penyo Brooks</t>
  </si>
  <si>
    <t>https://www.justice.gov/usao-wdwa/pr/kent-washington-man-charged-sex-trafficking-juvenile</t>
  </si>
  <si>
    <t>Ryan Matthew Holden</t>
  </si>
  <si>
    <t>https://www.justice.gov/usao-wdpa/pr/erie-man-indicted-child-sexual-exploitation-charges-1</t>
  </si>
  <si>
    <t>Ryan J. Millican</t>
  </si>
  <si>
    <t>Project Safe Childhood-CP possession &amp; destructive device charges</t>
  </si>
  <si>
    <t>https://www.justice.gov/usao-edva/pr/man-charged-illegal-possession-firearm-and-destructive-device</t>
  </si>
  <si>
    <t>Bryan Anthony Hale</t>
  </si>
  <si>
    <t>https://www.justice.gov/usao-ks/pr/indictment-convicted-sex-offender-sexually-exploited-minor</t>
  </si>
  <si>
    <t>Thomas Love, Jr</t>
  </si>
  <si>
    <t>https://www.justice.gov/usao-ndny/pr/amsterdam-man-charged-distributing-child-pornography</t>
  </si>
  <si>
    <t>Thomas John Winston</t>
  </si>
  <si>
    <t>https://www.justice.gov/usao-ndwv/pr/monongalia-county-man-indicted-child-pornography-charge</t>
  </si>
  <si>
    <t>US/S America</t>
  </si>
  <si>
    <t>Operation Protected Childhood VII - CP production, distribution &amp; related charges</t>
  </si>
  <si>
    <t>https://www.ice.gov/news/releases/ice-international-partners-arrest-113-child-predators</t>
  </si>
  <si>
    <t>US/South America</t>
  </si>
  <si>
    <t>Christopher Rondeau</t>
  </si>
  <si>
    <t>https://www.justice.gov/usao-ma/pr/convicted-felon-arrested-federal-child-pornography-charge , https://www.justice.gov/usao-ma/pr/convicted-felon-indicted-federal-child-pornography-charge</t>
  </si>
  <si>
    <t>Robert Wayne Roady</t>
  </si>
  <si>
    <t>https://www.justice.gov/usao-or/pr/roseburg-man-accused-attempted-sexual-exploitation-child</t>
  </si>
  <si>
    <t>Arthur Jay Traxler, Jr.</t>
  </si>
  <si>
    <t>https://www.justice.gov/usao-mdfl/pr/michigan-man-ordered-detained-pending-child-sexual-exploitation-charges</t>
  </si>
  <si>
    <t>Denzel Renyal Michael Loyd</t>
  </si>
  <si>
    <t>https://www.justice.gov/usao-nv/pr/las-vegas-man-indicted-human-trafficking-case-allegedly-coercing-and-enticing-four</t>
  </si>
  <si>
    <t>https://www.8newsnow.com/news/local-news/las-vegas-man-faces-federal-charges-of-sex-trafficking-sexual-exploitation/</t>
  </si>
  <si>
    <t>https://archive.vn/gwTzc</t>
  </si>
  <si>
    <t>https://archive.vn/iCdAA</t>
  </si>
  <si>
    <t>James Cadwell</t>
  </si>
  <si>
    <t>https://www.justice.gov/usao-sd/pr/fort-pierre-man-indicted-child-pornography-charges</t>
  </si>
  <si>
    <t>Antonio Del Prado</t>
  </si>
  <si>
    <t>https://www.justice.gov/usao-nj/pr/essex-county-man-charged-producing-child-pornography</t>
  </si>
  <si>
    <t>https://www.cbp.gov/newsroom/local-media-release/human-smuggling-attempts-result-102-apprehensions-rio-grande-valley</t>
  </si>
  <si>
    <t>Randell Adsit</t>
  </si>
  <si>
    <t>https://www.justice.gov/usao-ndny/pr/lewis-county-man-arrested-child-pornography-charges</t>
  </si>
  <si>
    <t>Markell Smith</t>
  </si>
  <si>
    <t>https://www.justice.gov/usao-wdpa/pr/pittsburgh-man-indicted-child-sexual-exploitation-and-sextortion-charges</t>
  </si>
  <si>
    <t>Matthew Goyder</t>
  </si>
  <si>
    <t>https://www.justice.gov/usao-edca/pr/folsom-man-indicted-sexually-exploiting-minors</t>
  </si>
  <si>
    <t>https://www.cbp.gov/newsroom/local-media-release/2-us-citizens-arrested-attempting-smuggle-illegal-aliens</t>
  </si>
  <si>
    <t>Stephen Tisch</t>
  </si>
  <si>
    <t>https://www.justice.gov/usao-nj/pr/repeat-offender-charged-distribution-and-possession-child-pornography</t>
  </si>
  <si>
    <t>https://www.cbp.gov/newsroom/local-media-release/human-smuggling-attempts-result-74-apprehensions-rio-grande-valley</t>
  </si>
  <si>
    <t>Andrew Ramey</t>
  </si>
  <si>
    <t>https://www.justice.gov/usao-nj/pr/repeat-offender-charged-distribution-and-possession-child-pornography-0</t>
  </si>
  <si>
    <t>Trent Drexel Howard</t>
  </si>
  <si>
    <t>https://www.justice.gov/usao-edwa/pr/tri-cities-man-extradited-kazakhstan-eastern-district-washington-order-face-child</t>
  </si>
  <si>
    <t>Brian Anthony Gilbert</t>
  </si>
  <si>
    <t>https://www.justice.gov/usao-md/pr/prince-george-s-county-man-indicted-maryland-federal-charges-sexually-exploiting-two</t>
  </si>
  <si>
    <t>Ryan Maher</t>
  </si>
  <si>
    <t>https://www.justice.gov/usao-ndny/pr/onondaga-county-man-arrested-child-pornography-charges-1</t>
  </si>
  <si>
    <t>Segundo Reascos-Rodriguez</t>
  </si>
  <si>
    <t>https://www.justice.gov/usao-wdny/pr/buffalo-man-arrested-charged-production-and-receipt-child-pornography</t>
  </si>
  <si>
    <t>https://www.cbp.gov/newsroom/local-media-release/welfare-check-leads-human-smuggling-arrests</t>
  </si>
  <si>
    <t>https://www.cbp.gov/newsroom/local-media-release/border-patrol-k9-alerts-illegal-aliens-trunk-0</t>
  </si>
  <si>
    <t>https://www.cbp.gov/newsroom/local-media-release/law-enforcement-agencies-collaborate-thwart-multiple-smuggling-attempts</t>
  </si>
  <si>
    <t>https://www.cbp.gov/newsroom/local-media-release/border-patrol-foils-flatbed-trailer-human-smuggling-attempt</t>
  </si>
  <si>
    <t>Cody Dillon Hogan</t>
  </si>
  <si>
    <t>https://www.justice.gov/usao-mdfl/pr/arkansas-man-arrested-attempting-induce-molestation-9-year-old-and-producing-child-sex</t>
  </si>
  <si>
    <t>https://www.cbp.gov/newsroom/local-media-release/2-illegal-aliens-found-hiding-trunk-immigration-checkpoint</t>
  </si>
  <si>
    <t>Andrew Neal</t>
  </si>
  <si>
    <t>Project Safe Childhood-Cyberstalking, CP production &amp; related charges</t>
  </si>
  <si>
    <t>https://www.justice.gov/usao-wdny/pr/missouri-man-facing-child-pornography-and-cyberstalking-charges</t>
  </si>
  <si>
    <t>Dyllan Barber</t>
  </si>
  <si>
    <t>https://www.justice.gov/usao-wdny/pr/little-valley-man-arrested-charged-production-child-pornography-and-cyberstalking</t>
  </si>
  <si>
    <t>Brian Lamphier</t>
  </si>
  <si>
    <t>Project Safe Childhood-Sex traffickng of a minor, CP distribution &amp; related charges</t>
  </si>
  <si>
    <t>https://www.justice.gov/usao-wdwi/pr/two-grand-jury-indictments-unsealed</t>
  </si>
  <si>
    <t>Nichole Cyr</t>
  </si>
  <si>
    <t>https://www.justice.gov/usao-ma/pr/fall-river-woman-charged-sexual-exploitation-children</t>
  </si>
  <si>
    <t>Oliver Smith</t>
  </si>
  <si>
    <t>https://www.justice.gov/usao-ma/pr/sutton-man-charged-child-pornography-possession , https://www.justice.gov/usao-ma/pr/sutton-man-indicted-child-pornography-possession-charge</t>
  </si>
  <si>
    <t>US/Sweden</t>
  </si>
  <si>
    <t>https://www.cbp.gov/newsroom/local-media-release/border-patrol-finds-more-20-people-crammed-van</t>
  </si>
  <si>
    <t>Dominique Laron Morgan;/Rontaysha Leann Cox/Treveon Marquise Cato</t>
  </si>
  <si>
    <t>https://www.justice.gov/usao-ndok/pr/federal-grand-jury-indictments-announced-december</t>
  </si>
  <si>
    <t>Operation No Safe Haven Plus- Human smuggling, Exploitation, Sex trafficking &amp; related charges</t>
  </si>
  <si>
    <t>https://www.ice.gov/news/releases/ice-arrests-21-across-us-during-operation-no-safe-haven-plus</t>
  </si>
  <si>
    <t>https://www.cbp.gov/newsroom/local-media-release/multiple-agencies-collaborate-stop-human-smuggling-scheme</t>
  </si>
  <si>
    <t>Darryl K. Green</t>
  </si>
  <si>
    <t>https://www.justice.gov/usao-edwi/pr/green-bay-man-indicted-human-trafficking-and-production-child-pornography-charges</t>
  </si>
  <si>
    <t>Robert Jesus Blancas</t>
  </si>
  <si>
    <t>https://www.justice.gov/usao-ndca/pr/member-boogaloo-movement-group-charged-enticement-minor-engage-sexual-activity</t>
  </si>
  <si>
    <t>Nicholas Bryan Swank</t>
  </si>
  <si>
    <t>Project Safe Childhood-Attempted enticement of a minor &amp; CP related charges</t>
  </si>
  <si>
    <t>https://www.justice.gov/usao-cdil/pr/nine-men-indicted-child-sex-crimes-charges-resulting-rock-island-fbi-investigation</t>
  </si>
  <si>
    <t>Douglas L. Christensen</t>
  </si>
  <si>
    <t>William McCandless</t>
  </si>
  <si>
    <t>https://www.justice.gov/usao-edpa/pr/former-desales-university-catholic-priest-indicted-child-pornography-offenses</t>
  </si>
  <si>
    <t>https://www.msn.com/en-us/news/crime/rev-william-mccandless-former-desales-university-catholic-priest-adviser-to-monaco-s-royal-family-indicted-on-child-porn-charges/ar-BB1bBMt9</t>
  </si>
  <si>
    <t>https://archive.vn/wip/Lnhy4</t>
  </si>
  <si>
    <t>https://archive.vn/W9hK3</t>
  </si>
  <si>
    <t>Domenique Dequon Hines</t>
  </si>
  <si>
    <t>https://www.justice.gov/usao-ma/pr/illinois-man-charged-production-child-pornography</t>
  </si>
  <si>
    <t>Paul Alexander</t>
  </si>
  <si>
    <t>https://www.dailymail.co.uk/news/article-9021847/Private-jet-CEO-57-arrested-sex-trafficking-children-New-York-City.html</t>
  </si>
  <si>
    <t>https://archive.vn/ZHwDS</t>
  </si>
  <si>
    <t>https://archive.vn/0EUY6</t>
  </si>
  <si>
    <t>https://www.ice.gov/news/releases/ice-assists-brazil-arrests-10-human-smugglers</t>
  </si>
  <si>
    <t>Michael Regan</t>
  </si>
  <si>
    <t>https://www.justice.gov/usao-wdny/pr/rochester-man-arrested-charged-production-child-pornography-and-enticement-minor</t>
  </si>
  <si>
    <t>Jasmin Osteen</t>
  </si>
  <si>
    <t>https://www.justice.gov/usao-wdny/pr/jamestown-woman-arrested-charged-sex-trafficking-two-minors</t>
  </si>
  <si>
    <t>https://www.cbp.gov/newsroom/local-media-release/border-patrol-apprehends-over-200-individuals-being-smuggled-commercial</t>
  </si>
  <si>
    <t>https://www.cbp.gov/newsroom/local-media-release/laredo-sector-border-patrol-prevents-human-smuggling-event-flatbed</t>
  </si>
  <si>
    <t>Ryan J. McConnell</t>
  </si>
  <si>
    <t>https://www.justice.gov/usao-sdoh/pr/cincinnati-man-who-allegedly-advertised-online-babysitting-jobs-arrested-federal-child</t>
  </si>
  <si>
    <t>Marc Nunez</t>
  </si>
  <si>
    <t>https://www.justice.gov/usao-ndca/pr/san-francisco-substitute-teacher-charged-possession-child-pornography</t>
  </si>
  <si>
    <t>https://www.cbp.gov/newsroom/local-media-release/agents-vehicle-stop-results-stash-house-bust</t>
  </si>
  <si>
    <t>Nicholas Corsale-Althawabta</t>
  </si>
  <si>
    <t>https://www.justice.gov/usao-nj/pr/bergen-county-man-charged-distribution-and-possession-child-pornography</t>
  </si>
  <si>
    <t>https://www.cbp.gov/newsroom/local-media-release/laredo-sector-border-patrol-and-duval-county-sheriff-s-department</t>
  </si>
  <si>
    <t>Loren Olsen</t>
  </si>
  <si>
    <t>https://www.justice.gov/usao-ks/pr/mcpherson-county-man-charged-producing-child-pornography</t>
  </si>
  <si>
    <t>https://salinapost.com/posts/f95f4d82-1813-46a3-9c64-8951cbc4a813</t>
  </si>
  <si>
    <t>https://archive.vn/zc8D1</t>
  </si>
  <si>
    <t>https://archive.vn/cHNgK</t>
  </si>
  <si>
    <t>Gregory Joiner</t>
  </si>
  <si>
    <t>https://tbinewsroom.com/2020/12/12/joint-human-trafficking-operation-results-in-more-than-a-dozen-arrests/</t>
  </si>
  <si>
    <t>https://archive.vn/SJrFQ</t>
  </si>
  <si>
    <t xml:space="preserve">Thomas Baggenstoss </t>
  </si>
  <si>
    <t xml:space="preserve">https://archive.vn/SJrFQ </t>
  </si>
  <si>
    <t>Rubelino Velasquez Salas</t>
  </si>
  <si>
    <t>William Fugate</t>
  </si>
  <si>
    <t>Jerome Stewart</t>
  </si>
  <si>
    <t>Michael Scarlett</t>
  </si>
  <si>
    <t>Khadim Gueye</t>
  </si>
  <si>
    <t>Sibley Evans</t>
  </si>
  <si>
    <t>Aurelio Hernandez</t>
  </si>
  <si>
    <t>Thomas Cochran</t>
  </si>
  <si>
    <t>Nicholas Underwood</t>
  </si>
  <si>
    <t>Bersain Velasquez</t>
  </si>
  <si>
    <t>Qu’darius Smith</t>
  </si>
  <si>
    <t>Nelvin Cruz-Cruz</t>
  </si>
  <si>
    <t>Dat Tat Ho / anh Ngoc Nguyen</t>
  </si>
  <si>
    <t>https://www.ice.gov/news/releases/2-arrested-human-smuggling-conspiracy-and-defrauding-us-government-agencies</t>
  </si>
  <si>
    <t>US/Vietnam</t>
  </si>
  <si>
    <t>https://www.cbp.gov/newsroom/local-media-release/usbp-partners-foil-human-smugglers</t>
  </si>
  <si>
    <t>Geoffrey Hines</t>
  </si>
  <si>
    <t>https://www.justice.gov/usao-edpa/pr/delaware-county-man-detained-child-pornography-charges-preying-young-boys-over-online</t>
  </si>
  <si>
    <t>https://6abc.com/upper-darby-pa-pennsylvania-child-porn/6202266/</t>
  </si>
  <si>
    <t>https://archive.vn/GHjaS</t>
  </si>
  <si>
    <t>https://archive.vn/wip/s04NJ</t>
  </si>
  <si>
    <t>Robert Eccleston</t>
  </si>
  <si>
    <t>https://www.justice.gov/usao-ct/pr/state-court-victim-advocate-charged-distributing-child-sexual-abuse-material</t>
  </si>
  <si>
    <t>https://www.cbp.gov/newsroom/local-media-release/28-arrested-during-2-foiled-maritime-smuggling-events</t>
  </si>
  <si>
    <t>Muharem Dzidic</t>
  </si>
  <si>
    <t>https://www.kold.com/2020/12/14/phoenix-police-chandler-police-arrest-men-online-sex-crimes-investigation/</t>
  </si>
  <si>
    <t>https://archive.vn/czqOg</t>
  </si>
  <si>
    <t>https://archive.vn/wip/twYAC</t>
  </si>
  <si>
    <t>Ivan Lopez</t>
  </si>
  <si>
    <t xml:space="preserve">https://archive.vn/czqOg </t>
  </si>
  <si>
    <t>Richard Fisher</t>
  </si>
  <si>
    <t>Jorge Camou</t>
  </si>
  <si>
    <t>Kristian Valenzuela</t>
  </si>
  <si>
    <t>Clifford Passmore</t>
  </si>
  <si>
    <t>Edmundo Nolasco</t>
  </si>
  <si>
    <t>Allan Sabo</t>
  </si>
  <si>
    <t>Thomas Garcia</t>
  </si>
  <si>
    <t>Luis Menjares</t>
  </si>
  <si>
    <t xml:space="preserve">Jarvis Reed </t>
  </si>
  <si>
    <t>Kody Nicholas Bohac</t>
  </si>
  <si>
    <t>https://www.justice.gov/usao-sdtx/pr/walker-county-man-faces-child-pornography-and-cyberstalking-charges</t>
  </si>
  <si>
    <t>Peter J. Nygard</t>
  </si>
  <si>
    <t>Project Safe Childhood-Sex trafficking/Sex trafficking of a minor &amp; related charges</t>
  </si>
  <si>
    <t>https://www.justice.gov/usao-sdny/pr/canadian-fashion-executive-peter-j-nygard-charged-sex-trafficking-and-racketeering</t>
  </si>
  <si>
    <t>https://www.theguardian.com/world/2020/dec/15/peter-nygard-canadian-fashion-mogul-arrested</t>
  </si>
  <si>
    <t>Finland</t>
  </si>
  <si>
    <t>https://archive.vn/dQ6sl</t>
  </si>
  <si>
    <t>https://archive.vn/wip/8NSCw</t>
  </si>
  <si>
    <t>Kenton King</t>
  </si>
  <si>
    <t>Project Safe Childhood-Attempted sex trafficing of a minor &amp; related charges</t>
  </si>
  <si>
    <t>https://www.justice.gov/usao-nv/pr/us-attorneys-office-and-fbi-announce-federal-charges-and-arrests-december-2020-human</t>
  </si>
  <si>
    <t>Paul Fest</t>
  </si>
  <si>
    <t>https://www.justice.gov/usao-ma/pr/boston-man-arrested-federal-child-pornography-charge</t>
  </si>
  <si>
    <t>Admilson Pires</t>
  </si>
  <si>
    <t>https://www.justice.gov/usao-ma/pr/randolph-man-arrested-sex-trafficking-minor</t>
  </si>
  <si>
    <t xml:space="preserve">Kody Nicholas Bohac </t>
  </si>
  <si>
    <t>https://www.cbp.gov/newsroom/local-media-release/bp-arrests-smuggler-3-rental-car-trunk</t>
  </si>
  <si>
    <t>Wally Roy Carter</t>
  </si>
  <si>
    <t>https://www.justice.gov/usao-ak/pr/kotzebue-man-arrested-sex-trafficking-minor , https://www.justice.gov/usao-ak/pr/kotzebue-man-indicted-sex-trafficking-minor</t>
  </si>
  <si>
    <t>David Rubel</t>
  </si>
  <si>
    <t>https://www.justice.gov/usao-wdny/pr/grand-jury-indicts-kenmore-man-multiple-charges-production-receipt-and-possession-child</t>
  </si>
  <si>
    <t>Evan Taylor</t>
  </si>
  <si>
    <t>https://www.justice.gov/usao-cdil/pr/springfield-man-indicted-alleged-sexual-exploitation-children</t>
  </si>
  <si>
    <t>Chester Hammond</t>
  </si>
  <si>
    <t>https://www.justice.gov/usao-ndny/pr/manlius-man-arrested-child-pornography-charges</t>
  </si>
  <si>
    <t>Thomas Holbert</t>
  </si>
  <si>
    <t>https://www.justice.gov/usao-ne/pr/four-omaha-men-indicted-sex-trafficking-minors</t>
  </si>
  <si>
    <t>Lance Harper</t>
  </si>
  <si>
    <t>Dalonte Foard</t>
  </si>
  <si>
    <t>Glenn Whitney</t>
  </si>
  <si>
    <t>Joshua Dean Fish</t>
  </si>
  <si>
    <t>https://www.justice.gov/usao-mt/pr/helena-man-appears-allegations-sexually-exploiting-children-and-receiving-child</t>
  </si>
  <si>
    <t>https://www.cbp.gov/newsroom/local-media-release/border-patrol-arrests-armed-smugglers</t>
  </si>
  <si>
    <t>Charles Augrom, III</t>
  </si>
  <si>
    <t>https://www.justice.gov/usao-wdny/pr/bath-man-arrested-charged-receipt-and-distribution-child-pornography</t>
  </si>
  <si>
    <t>https://www.mytwintiers.com/crime/bath-man-charged-with-distributing-child-pornography-previously-convicted-twice/</t>
  </si>
  <si>
    <t>https://archive.vn/wip/Eppfn</t>
  </si>
  <si>
    <t>https://archive.vn/DmKeG</t>
  </si>
  <si>
    <t>https://www.cbp.gov/newsroom/local-media-release/two-arrested-aliens-concealed-car-trunk</t>
  </si>
  <si>
    <t>https://www.cbp.gov/newsroom/local-media-release/border-patrol-stops-human-smuggling-attempt-refrigerated-trailer</t>
  </si>
  <si>
    <t>Michael Geoffroy</t>
  </si>
  <si>
    <t>https://www.justice.gov/usao-ma/pr/chicopee-man-indicted-child-pornography-offenses</t>
  </si>
  <si>
    <t>Lawrence Legault</t>
  </si>
  <si>
    <t>https://www.ice.gov/news/releases/ice-assists-arrest-alleged-child-predator</t>
  </si>
  <si>
    <t>Michael Greco</t>
  </si>
  <si>
    <t>Project Safe Childhood-Attempted sex trafficking of a minor &amp; CP related charges</t>
  </si>
  <si>
    <t>https://www.justice.gov/usao-wdny/pr/spencerport-man-pleads-guilty-child-pornography-charge-after-attempting-have-sex-13</t>
  </si>
  <si>
    <t>Jose Zafra</t>
  </si>
  <si>
    <t>https://www.fbi.gov/contact-us/field-offices/newyork/news/press-releases/fbi-asks-for-assistance-in-identifying-possible-victims-in-child-pornography-investigation</t>
  </si>
  <si>
    <t>https://archive.vn/wip/LWbp1</t>
  </si>
  <si>
    <t>https://www.fbi.gov/image-repository/jose_zafra.jpg/@@images/image/high</t>
  </si>
  <si>
    <t>https://www.cbp.gov/newsroom/local-media-release/dangerous-trend-weapons-being-encountered-laredo-border-patrol</t>
  </si>
  <si>
    <t>Al-Fahim Medina</t>
  </si>
  <si>
    <t>https://www.justice.gov/usao-nj/pr/burlington-county-man-arrested-child-pornography-charge</t>
  </si>
  <si>
    <t>Brodrick Keith Rhodes</t>
  </si>
  <si>
    <t>https://www.ice.gov/news/releases/ice-hsi-led-investigation-results-south-texas-grand-jury-indicting-houston-man</t>
  </si>
  <si>
    <t xml:space="preserve">Timothy J. Tetzlaff </t>
  </si>
  <si>
    <t>https://www.justice.gov/usao-edwi/pr/manitowoc-man-indicted-crimes-against-underage-children</t>
  </si>
  <si>
    <t>https://fox11online.com/news/local/mishicot-man-charged-with-crimes-against-underage-children</t>
  </si>
  <si>
    <t>https://archive.vn/t3t3l</t>
  </si>
  <si>
    <t>https://archive.vn/UJtto</t>
  </si>
  <si>
    <t>Jason Paul White</t>
  </si>
  <si>
    <t>https://www.justice.gov/usao-ndtx/pr/lubbock-dentist-charged-child-pornography-crimes</t>
  </si>
  <si>
    <t>https://www.msn.com/en-us/news/crime/preliminary-hearings-in-jason-white-child-porn-allegations-set-for-jan-20-in-lubbock/ar-BB1cTPF2</t>
  </si>
  <si>
    <t>https://archive.vn/wip/S7XhM</t>
  </si>
  <si>
    <t>https://archive.vn/wip/5WCus</t>
  </si>
  <si>
    <t>Derek Muñoz González</t>
  </si>
  <si>
    <t>https://www.fbi.gov/contact-us/field-offices/sanjuan/news/press-releases/arrest-of-derek-muoz-gonzlez</t>
  </si>
  <si>
    <t>Gary Wilson</t>
  </si>
  <si>
    <t>https://www.justice.gov/usao-ndil/pr/rockford-man-indicted-child-pornography-charges-1</t>
  </si>
  <si>
    <t>https://www.cbp.gov/newsroom/local-media-release/border-patrol-foils-another-human-smuggling-attempt-box-truck</t>
  </si>
  <si>
    <t>Patrick Plummer</t>
  </si>
  <si>
    <t>Project Safe Childhood-Travelling w/intent to have sex w/ a minor &amp; CP related charges</t>
  </si>
  <si>
    <t>https://www.justice.gov/usao-ma/pr/maine-man-arrested-child-exploitation-charges</t>
  </si>
  <si>
    <t>Jeffrey Clark</t>
  </si>
  <si>
    <t>https://www.justice.gov/usao-wdny/pr/bath-man-arrested-trafficking-child-pornography</t>
  </si>
  <si>
    <t>Ryan Osinski</t>
  </si>
  <si>
    <t>https://www.justice.gov/usao-nj/pr/camden-county-man-charged-distributing-child-pornography</t>
  </si>
  <si>
    <t>https://www.cbp.gov/newsroom/local-media-release/laredo-sector-border-patrol-interdicts-several-human-smuggling-attempts</t>
  </si>
  <si>
    <t>Stanley Joseph Weaver</t>
  </si>
  <si>
    <t>https://www.justice.gov/usao-mdga/pr/indictment-unsealed-child-pornography-investigation</t>
  </si>
  <si>
    <t>https://www.ice.gov/news/releases/hsi-australian-federal-police-identify-245-victims-child-exploitation-predator-posing</t>
  </si>
  <si>
    <t xml:space="preserve">Timothy Lee Tyler </t>
  </si>
  <si>
    <t>https://www.justice.gov/usao-sdtx/pr/local-man-charged-coercing-minor-engage-sexual-conduct</t>
  </si>
  <si>
    <t>Tanner Bryce Real</t>
  </si>
  <si>
    <t>https://www.justice.gov/usao-wdtx/pr/converse-man-indicted-production-child-pornography</t>
  </si>
  <si>
    <t>Project Safe Childhood-Drug, firearm &amp; CP related charges</t>
  </si>
  <si>
    <t>https://www.justice.gov/usao-wdny/pr/federal-grand-jury-indicts-cheektowaga-man-charges-receiving-and-possessing-child</t>
  </si>
  <si>
    <t>Ryan Christian Vermilion</t>
  </si>
  <si>
    <t>https://www.justice.gov/usao-ndin/pr/former-marion-high-school-guidance-counselor-indicted</t>
  </si>
  <si>
    <t>Jatinbhai Naresh Bhakta</t>
  </si>
  <si>
    <t>https://www.bakersfield.com/news/feds-indict-owner-general-manager-of-desert-star-motel-on-union-avenue/article_b5682b56-61d0-11eb-aa63-4b7017fa7d1d.html</t>
  </si>
  <si>
    <t>https://archive.vn/wip/D9UQB</t>
  </si>
  <si>
    <t>Roy Gene Drees</t>
  </si>
  <si>
    <t>Nikolas Cook</t>
  </si>
  <si>
    <t>https://www.justice.gov/usao-sdfl/pr/martin-county-resident-detained-charges-child-exploitation</t>
  </si>
  <si>
    <t>https://www.ice.gov/news/releases/ice-hsi-dallas-arrests-man-trafficking-14-year-old</t>
  </si>
  <si>
    <t>https://www.cbp.gov/newsroom/local-media-release/laredo-sector-border-patrol-stops-human-smuggling-attempt</t>
  </si>
  <si>
    <t>Operation Volunteer Strong</t>
  </si>
  <si>
    <t>https://www.usmarshals.gov/news/chron/2021/030321.htm</t>
  </si>
  <si>
    <t>Andrew Vallone</t>
  </si>
  <si>
    <t>https://www.justice.gov/usao-wdny/pr/tonawanda-man-arrested-child-pornography-charge-after-hidden-camera-discovered</t>
  </si>
  <si>
    <t>https://www.cbp.gov/newsroom/local-media-release/arizona-dpsyuma-sector-border-patrol-thwart-human-smuggling-attempt</t>
  </si>
  <si>
    <t>Richard Curtis</t>
  </si>
  <si>
    <t>https://www.justice.gov/usao-ndny/pr/baldwinsville-man-charged-receiving-child-pornography</t>
  </si>
  <si>
    <t>https://www.cbp.gov/newsroom/local-media-release/laredo-sector-border-patrol-apprehends-sex-offender-within-two-human</t>
  </si>
  <si>
    <t>Christopher Sinfield</t>
  </si>
  <si>
    <t>https://www.justice.gov/usao-wdwa/pr/four-seattle-area-men-indicted-seeking-sexually-assault-children-during-fbi-online</t>
  </si>
  <si>
    <t>Marcus William Lowe</t>
  </si>
  <si>
    <t>Jonathan Eugene Grantham</t>
  </si>
  <si>
    <t xml:space="preserve">Project Safe Childhood-Transporting a minor across state lines for prostitution </t>
  </si>
  <si>
    <t>https://www.justice.gov/usao-sdga/pr/teacher-charged-federal-complaint-transporting-minor-sex</t>
  </si>
  <si>
    <t>https://www.wjbf.com/news/crime-news/graniteville-man-charged-for-allegedly-transporting-a-minor-across-state-lines-for-sex/</t>
  </si>
  <si>
    <t>https://archive.vn/wip/BeBHP</t>
  </si>
  <si>
    <t>https://archive.vn/wip/qvgwx</t>
  </si>
  <si>
    <t>https://www.cbp.gov/newsroom/local-media-release/air-and-marine-operations-interdicts-vessel-sea-and-us-border-patrol</t>
  </si>
  <si>
    <t>https://www.cbp.gov/newsroom/local-media-release/canine-detects-3-illegal-aliens-hiding-trunk-immigration-checkpoint</t>
  </si>
  <si>
    <t>https://www.cbp.gov/newsroom/local-media-release/driver-flees-usbp-later-arrested</t>
  </si>
  <si>
    <t>Alexander Wiese</t>
  </si>
  <si>
    <t>https://www.ice.gov/news/releases/ice-hsi-portland-arrests-ex-camp-instructor-child-exploitation-material</t>
  </si>
  <si>
    <t>Prentiss Madden</t>
  </si>
  <si>
    <t>CP related charges &amp; animal abuse</t>
  </si>
  <si>
    <t>https://www.thesun.co.uk/news/14382238/prentiss-madden-vet-sex-with-dogs/</t>
  </si>
  <si>
    <t>https://archive.ph/wip/UI2MQ</t>
  </si>
  <si>
    <t>https://archive.ph/wip/6u2YP</t>
  </si>
  <si>
    <t>Totals</t>
  </si>
  <si>
    <t>To those who have been utilizing the spreadsheet for their websites/articles-it would be greatly appreciated if you would credit the work accordingly. To those who have asked and given credit, thank you! May God bless ALL of you!-@ArrestAnon</t>
  </si>
  <si>
    <t>Gerald Ryan Davis</t>
  </si>
  <si>
    <t>Project Safe Childhood-Travel w/intent to engage in sexual conduct &amp; related charges</t>
  </si>
  <si>
    <t>https://www.justice.gov/usao-or/pr/st-helens-man-sentenced-13-years-federal-prison-sexually-assaulting-minor , https://www.justice.gov/usao-or/pr/st-helens-man-sentenced-13-years-federal-prison-sexually-assaulting-minor</t>
  </si>
  <si>
    <t>Lawrence James Halamek</t>
  </si>
  <si>
    <t>Project Safe Childhood-Transport of a minor for sexual conduct</t>
  </si>
  <si>
    <t>https://www.justice.gov/usao-az/pr/safford-man-convicted-transportation-minor-intent-engage-criminal-sexual-activity , https://www.justice.gov/usao-az/pr/safford-man-sentenced-35-years-transportation-minor-intent-engage-criminal-sexual</t>
  </si>
  <si>
    <t>https://www.eacourier.com/news/new-charges-in-case-of-december-amber-alert/article_9f31c28a-0391-11e7-a6d9-5bc263a0455a.html</t>
  </si>
  <si>
    <t>http://archive.fo/xYU0L</t>
  </si>
  <si>
    <t>http://archive.fo/EeS4V</t>
  </si>
  <si>
    <t>Stanley Patrick Weber</t>
  </si>
  <si>
    <t>Aggrivated sexual abuse of a minor</t>
  </si>
  <si>
    <t>https://rapidcityjournal.com/news/local/former-pine-ridge-pediatrician-charged-with-sexual-abuse-against-minors/article_4d6688dd-bcee-5412-b983-82ee63347261.html</t>
  </si>
  <si>
    <t>http://archive.fo/FS2Db</t>
  </si>
  <si>
    <t>Kenneth Lewis Barrett</t>
  </si>
  <si>
    <t>Attempted sexual contact with a minor</t>
  </si>
  <si>
    <t>https://www.oregonlive.com/pacific-northwest-news/2017/03/oregon_mayor_accused_of_solici.html</t>
  </si>
  <si>
    <t>https://archive.vn/FcI5N</t>
  </si>
  <si>
    <t>https://archive.vn/wip/FWE18</t>
  </si>
  <si>
    <t>Patrick Karl Tate</t>
  </si>
  <si>
    <t>Project Safe Childhood-Enticement of a minor &amp; related charges</t>
  </si>
  <si>
    <t>https://www.justice.gov/usao-edar/pr/roland-man-sentenced-ten-years-prison-attempted-enticement-minor-engage-sex</t>
  </si>
  <si>
    <t>Bryan James Hogle</t>
  </si>
  <si>
    <t>https://www.justice.gov/usao-nd/pr/las-vegas-nv-man-sentenced-45-years-offenses-involving-transportation-one-year-old-child</t>
  </si>
  <si>
    <t>Fredy Hernandez-Gomez</t>
  </si>
  <si>
    <t>https://www.justice.gov/usao-nv/pr/las-vegas-man-sentenced-eight-years-prison-soliciting-and-receiving-sexually-explicit</t>
  </si>
  <si>
    <t>https://www.courtlistener.com/docket/8079422/united-states-v-hernandez-gomez/</t>
  </si>
  <si>
    <t>Andrew Cunningham</t>
  </si>
  <si>
    <t>https://www.justice.gov/usao-ct/pr/windsor-man-sentenced-18-years-federal-prison-enticing-minor-engage-sex</t>
  </si>
  <si>
    <t>https://www.courtlistener.com/docket/14634152/united-states-v-cunningham/</t>
  </si>
  <si>
    <t>Donald Threatt</t>
  </si>
  <si>
    <t>https://www.justice.gov/usao-edca/pr/fairfield-man-sentenced-over-17-years-prison-attempted-online-enticement-minor</t>
  </si>
  <si>
    <t>May</t>
  </si>
  <si>
    <t>Nathan Yellow Lodge</t>
  </si>
  <si>
    <t>Sexual abuse of a minor</t>
  </si>
  <si>
    <t>https://www.justice.gov/usao-nd/pr/north-dakota-us-attorney-s-office-announces-recent-indictments-and-sentencing-sexual</t>
  </si>
  <si>
    <t>https://www.courtlistener.com/docket/13585054/united-states-v-lone-bear/</t>
  </si>
  <si>
    <t>June</t>
  </si>
  <si>
    <t>David George Hopkins</t>
  </si>
  <si>
    <t>Project safe childhood-Travel w/intent to engage in sexual conduct &amp; related charges</t>
  </si>
  <si>
    <t>https://www.justice.gov/usao-or/pr/jury-convicts-san-diego-man-traveling-portland-sex-minor , https://www.justice.gov/usao-or/pr/san-diego-man-sentenced-16-years-federal-prison-traveling-portland-sex-minor</t>
  </si>
  <si>
    <t>https://www.courtlistener.com/docket/8129970/united-states-v-hopkins/</t>
  </si>
  <si>
    <t>Clint Edwards</t>
  </si>
  <si>
    <t>https://www.justice.gov/usao-sdny/pr/new-windsor-man-sentenced-20-years-prison-child-enticement</t>
  </si>
  <si>
    <t>https://www.courtlistener.com/?q=&amp;type=r&amp;order_by=score+desc&amp;docket_number=7%3A18-cr-00163&amp;court=nysd</t>
  </si>
  <si>
    <t>Thomas McLucky Hammond</t>
  </si>
  <si>
    <t>Project Safe Childhood-Attempted sexual contact w/a minor</t>
  </si>
  <si>
    <t>https://www.justice.gov/usao-ri/pr/east-side-realtor-convicted-attempting-engage-sex-minor</t>
  </si>
  <si>
    <t>https://www.courtlistener.com/docket/7145029/united-states-v-hammond/</t>
  </si>
  <si>
    <t>Jaelen Thunder Bull</t>
  </si>
  <si>
    <t>Abusive sexual contact of a minor</t>
  </si>
  <si>
    <t>https://www.justice.gov/usao-sd/pr/allen-man-sentenced-sexual-contact-minor</t>
  </si>
  <si>
    <t>Daniel Rowland</t>
  </si>
  <si>
    <t>Project Safe Childhood-Child sexual exploitation</t>
  </si>
  <si>
    <t>https://www.justice.gov/usao-wdmo/pr/springfield-man-sentenced-10-years-child-sexual-exploitation</t>
  </si>
  <si>
    <t>http://www.the-standard.org/news/msu-employee-pleads-not-guilty-after-sexually-explicit-statements-sent/article_e0f4764c-6bfe-11e7-9dc6-5b29ae19c1d1.html</t>
  </si>
  <si>
    <t>https://web.archive.org/web/20190403193248/http://www.the-standard.org/news/msu-employee-pleads-not-guilty-after-sexually-explicit-statements-sent/article_e0f4764c-6bfe-11e7-9dc6-5b29ae19c1d1.html</t>
  </si>
  <si>
    <t>http://archive.fo/7h9wN</t>
  </si>
  <si>
    <t>Adam Christopher Boyd</t>
  </si>
  <si>
    <t>Project Safe Childhood-Sexual abuse of a minor</t>
  </si>
  <si>
    <t xml:space="preserve">https://www.justice.gov/usao-ma/pr/mississippi-man-pleads-guilty-sexual-abuse-minor-cruise-ship  , https://www.justice.gov/usao-ma/pr/mississippi-man-sentenced-sexually-assaulting-minor-cruise-ship </t>
  </si>
  <si>
    <t>Dwayne L. Schutt</t>
  </si>
  <si>
    <t>Sexual assault of a child, intentional child abuse</t>
  </si>
  <si>
    <t>https://omaha.com/news/crime/mayor-of-randolph-nebraska-is-accused-of-sexually-assaulting-a-child/article_21aa08a1-410a-57cc-afb8-6c41cce778d4.html</t>
  </si>
  <si>
    <t xml:space="preserve">https://archive.vn/XljM1 </t>
  </si>
  <si>
    <t xml:space="preserve">https://archive.vn/99YZH </t>
  </si>
  <si>
    <t>Justin S Hunt</t>
  </si>
  <si>
    <t>https://www.justice.gov/usao-mdfl/pr/jury-convicts-florida-man-attempting-entice-minor-engage-sexual-activity-and-attempting</t>
  </si>
  <si>
    <t>John C Fortner</t>
  </si>
  <si>
    <t>https://www.justice.gov/usao-sdoh/pr/registered-sex-offender-sentenced-20-years-prison-attempting-coerce-minor</t>
  </si>
  <si>
    <t>Dale Kenyon</t>
  </si>
  <si>
    <t>Abusive sexual contact of a minor &amp; related charges</t>
  </si>
  <si>
    <t>https://www.nny360.com/news/former-clayton-mayor-pleads-guilty-to-sex-crime/article_c43768f9-e52a-551a-bd1d-0c8bcd80a353.html</t>
  </si>
  <si>
    <t>https://archive.vn/LbJyH</t>
  </si>
  <si>
    <t>https://archive.vn/E4fia</t>
  </si>
  <si>
    <t>https://archive.vn/4HzHw</t>
  </si>
  <si>
    <t>Donald F Bollinger</t>
  </si>
  <si>
    <t>https://www.justice.gov/usao-sdtx/pr/texas-man-sentenced-engaging-illicit-sexual-conduct-foreign-places-minor</t>
  </si>
  <si>
    <t>Logan Procell</t>
  </si>
  <si>
    <t>https://www.justice.gov/usao-ma/pr/louisiana-teacher-pleads-guilty-child-enticement</t>
  </si>
  <si>
    <t>https://fallriverreporter.com/teacher-pleads-guilty-to-enticement-of-11-year-old-massachusetts-girl/</t>
  </si>
  <si>
    <t>http://archive.fo/ORX03</t>
  </si>
  <si>
    <t>http://archive.fo/obYA0</t>
  </si>
  <si>
    <t>Quentin Peter Bruguier, Jr.,</t>
  </si>
  <si>
    <t>https://www.justice.gov/usao-sd/pr/lake-andes-man-charged-sexual-abuse-offenses-involving-children-appears-federal-court</t>
  </si>
  <si>
    <t>https://www.justice.gov/usao-sd/pr/life-federal-prison-former-tribal-official-convicted-15-counts-sexual-abuse-crimes</t>
  </si>
  <si>
    <t>Billie Gene Spears</t>
  </si>
  <si>
    <t>Project Safe Childhood-Travel w/intent to engage sexual conduct w/a minor</t>
  </si>
  <si>
    <t>https://www.justice.gov/usao-edky/pr/tennessee-man-sentenced-300-months-crossing-state-line-engage-sex-minor</t>
  </si>
  <si>
    <t>https://www.wtvq.com/2019/02/14/tn-man-gets-25-year-sentence-seeking-sex-minor/</t>
  </si>
  <si>
    <t>https://archive.fo/NiMFf</t>
  </si>
  <si>
    <t>https://archive.fo/ozDsX</t>
  </si>
  <si>
    <t>Matthew C Riley</t>
  </si>
  <si>
    <t>Project Safe Childhood-Transfer of obscene material to a minor</t>
  </si>
  <si>
    <t>https://www.justice.gov/usao-ri/pr/former-police-officer-indicted-arraigned-obscenity-charge   https://www.justice.gov/usao-ri/pr/former-police-officer-sentenced-transferring-obscene-material-minor</t>
  </si>
  <si>
    <t>https://turnto10.com/news/local/former-narragansett-police-officer-pleads-guilty-to-pornography-charge</t>
  </si>
  <si>
    <t>http://archive.fo/dv4lM</t>
  </si>
  <si>
    <t>http://archive.fo/pTwGt</t>
  </si>
  <si>
    <t>Stephen Mendoza Arellano</t>
  </si>
  <si>
    <t>https://www.justice.gov/usao-nm/pr/former-youth-minister-las-cruces-sentenced-71-months</t>
  </si>
  <si>
    <t>https://www.lcsun-news.com/story/news/crime/2018/04/11/ex-las-cruces-youth-minister-pleads-guilty-sex-crimes/505270002/</t>
  </si>
  <si>
    <t>https://www.courtlistener.com/docket/14853325/united-states-v-arellano/</t>
  </si>
  <si>
    <t>http://archive.fo/rc99R</t>
  </si>
  <si>
    <t>http://archive.fo/py20s</t>
  </si>
  <si>
    <t>Justimiano Perez Diaz</t>
  </si>
  <si>
    <t xml:space="preserve">Enticement of a minor  </t>
  </si>
  <si>
    <t>https://www.justice.gov/usao-edok/pr/seven-individuals-indicted-november-federal-grand-jury</t>
  </si>
  <si>
    <t>Rodney Flucas</t>
  </si>
  <si>
    <t>Transport of a minor to engage in criminal sexual conduct</t>
  </si>
  <si>
    <t>https://www.justice.gov/usao-edca/pr/stockton-man-sentenced-life-prison-long-term-sexual-abuse-minors-including-his-own https://www.justice.gov/usao-edca/pr/stockton-special-education-teacher-charged-transporting-16-year-old-girl-oregon</t>
  </si>
  <si>
    <t>https://fox40.com/2018/09/20/special-education-teacher-convicted-of-extensive-sexual-abuse-involving-his-daughters/  https://fox40.com/2019/02/12/stockton-man-sentenced-to-life-in-prison-for-sexually-abusing-minors-including-his-own-children/</t>
  </si>
  <si>
    <t>https://www.courtlistener.com/docket/6269760/united-states-v-flucas/</t>
  </si>
  <si>
    <t>https://web.archive.org/web/20190214144042/https://fox40.com/2019/02/12/stockton-man-sentenced-to-life-in-prison-for-sexually-abusing-minors-including-his-own-children/</t>
  </si>
  <si>
    <t>http://archive.fo/0VrAG</t>
  </si>
  <si>
    <t>Floye Preston Miller</t>
  </si>
  <si>
    <t>https://www.justice.gov/usao-edok/pr/ada-man-charged-enticement-minor</t>
  </si>
  <si>
    <t>Michael Louis McCarron</t>
  </si>
  <si>
    <t>https://www.justice.gov/usao-gu/pr/michael-louis-mccarron-sentenced-federal-prison-attempted-enticement-and-transfer-obscene</t>
  </si>
  <si>
    <t xml:space="preserve"> Justin Paul Keener</t>
  </si>
  <si>
    <t>https://www.justice.gov/usao-md/pr/patuxent-river-man-pleads-guilty-federal-charges-abusive-sexual-contact-two-children</t>
  </si>
  <si>
    <t>Alastair Lee Stewart</t>
  </si>
  <si>
    <t>https://www.justice.gov/usao-wdpa/pr/arkansas-man-admits-coercing-minor-engage-illegally-sexual-activity</t>
  </si>
  <si>
    <t>Mewael Berhane</t>
  </si>
  <si>
    <t>https://www.justice.gov/usao-ndga/pr/stone-mountain-man-sentenced-arranging-have-sex-minor</t>
  </si>
  <si>
    <t>Douglas Peacock</t>
  </si>
  <si>
    <t>November 10, 2017</t>
  </si>
  <si>
    <t>Illicit sexual conduct with a minor</t>
  </si>
  <si>
    <t>https://www.justice.gov/usao-ndca/pr/u-s-citizen-detained-charges-traveling-foreign-country-and-engaging-illicit-sexual</t>
  </si>
  <si>
    <t>https://www.courtlistener.com/docket/7456417/united-states-v-peacock/</t>
  </si>
  <si>
    <t>William Pruitt</t>
  </si>
  <si>
    <t>https://www.justice.gov/usao-mdga/pr/elementary-school-custodian-and-bus-driver-found-guilty-child-sex-enticement</t>
  </si>
  <si>
    <t>https://www.courtlistener.com/docket/7474773/united-states-v-pruitt/</t>
  </si>
  <si>
    <t>Daniel Jason Wnek</t>
  </si>
  <si>
    <t>Enticement of a minor</t>
  </si>
  <si>
    <t>https://www.justice.gov/usao-ndoh/pr/canadian-man-sentenced-11-years-prison-sending-scores-messages-over-social-media</t>
  </si>
  <si>
    <t>https://torontosun.com/news/crime/toronto-man-posed-as-boy-14-tried-to-seduce-ohio-girl-11-fbi</t>
  </si>
  <si>
    <t>https://www.courtlistener.com/docket/7613374/united-states-v-wnek/</t>
  </si>
  <si>
    <t>CAN</t>
  </si>
  <si>
    <t>https://archive.fo/VqhFs</t>
  </si>
  <si>
    <t>https://archive.fo/tmB9c</t>
  </si>
  <si>
    <t xml:space="preserve">Alexander Davis </t>
  </si>
  <si>
    <t>Travel w/intent to engage sexual conduct w/a minor</t>
  </si>
  <si>
    <t>https://www.justice.gov/usao-edpa/pr/man-guilty-attempted-enticement-minor-and-travel-intent-engage-illicit-sexual-conduct</t>
  </si>
  <si>
    <t>https://www.courtlistener.com/?q=&amp;type=r&amp;order_by=score+desc&amp;docket_number=5%3A18-cr-00105&amp;court=paed</t>
  </si>
  <si>
    <t>Mitchell O Smith</t>
  </si>
  <si>
    <t>Abusive sexual contact of a chld &lt;10 YO</t>
  </si>
  <si>
    <t>https://www.justice.gov/usao-md/pr/member-us-air-force-pleads-guilty-abusive-sexual-contact-child</t>
  </si>
  <si>
    <t>https://www.courtlistener.com/?q=&amp;type=r&amp;order_by=score+desc&amp;docket_number=8%3A17-cr-00625&amp;court=mdd</t>
  </si>
  <si>
    <t>Henri Michelle Piette</t>
  </si>
  <si>
    <t>https://www.justice.gov/usao-edok/pr/defendant-sentenced-life-imprisonment-1997-kidnapping-traveling-intent-engage-sexual , https://www.justice.gov/usao-edok/pr/defendant-guilty-1997-kidnapping-and-traveling-intent-engage-sexual-act-juvenile</t>
  </si>
  <si>
    <t>https://www.9news.com.au/world/world-news-henri-michelle-piette-jailed-for-rape-and-kidnap-of-stepdaughter-rosalynn-mcginnis/4d6626af-7830-42a4-a1aa-4e39c5e17056</t>
  </si>
  <si>
    <t>https://archive.vn/opKlk</t>
  </si>
  <si>
    <t>https://archive.vn/rxJnp</t>
  </si>
  <si>
    <t>Evan Burgess</t>
  </si>
  <si>
    <t>Project Safe Childhood-Travel to engage in sexual conduct with a minor</t>
  </si>
  <si>
    <t>https://www.inquirer.com/philly/news/crime/montco-karate-teacher-accused-by-feds-of-molesting-students-is-denied-bail-20171211.html</t>
  </si>
  <si>
    <t>https://archive.vn/xM89E</t>
  </si>
  <si>
    <t>https://archive.vn/9ctKZ</t>
  </si>
  <si>
    <t>Daniel Fleischauer</t>
  </si>
  <si>
    <t>Entcement of a minor</t>
  </si>
  <si>
    <t>https://www.justice.gov/usao-ct/pr/north-branford-man-admits-enticing-girls-engage-sexual-activity-through-online-apps</t>
  </si>
  <si>
    <t>Johnny Wayne Harjo Jr</t>
  </si>
  <si>
    <t>https://www.justice.gov/usao-edok/pr/okemah-man-pleads-guilty-aggravated-sexual-abuse-minor</t>
  </si>
  <si>
    <t>John Joseph Wallace, Jr</t>
  </si>
  <si>
    <t>Project Safe Childhood-sexual abuse of a minor &amp; related charges</t>
  </si>
  <si>
    <t>https://www.justice.gov/usao-or/pr/former-madras-police-officer-sentenced-six-years-federal-prison-repeated-sexual-abuse</t>
  </si>
  <si>
    <t>https://www.courtlistener.com/docket/6837396/united-states-v-wallace/</t>
  </si>
  <si>
    <t>Emmanuel D Abdon</t>
  </si>
  <si>
    <t>https://www.justice.gov/usao-sdil/pr/florida-resident-who-traveled-illinois-sex-13-year-old-girl-sentenced-20-years</t>
  </si>
  <si>
    <t>https://www.courtlistener.com/?q=&amp;type=r&amp;order_by=score+desc&amp;docket_number=3%3A18-cr-30021&amp;court=ilsd</t>
  </si>
  <si>
    <t>Terry Allen Miles</t>
  </si>
  <si>
    <t>Travel w/intent to engage sexual conduct w/a minor &amp; related charges</t>
  </si>
  <si>
    <t>https://www.justice.gov/usao-wdtx/pr/jury-convicts-round-rock-man-kidnapping-two-sisters-december-2017-and-federal-sex</t>
  </si>
  <si>
    <t>https://www.thedenverchannel.com/news/crime/texas-man-facing-kidnapping-charges-after-colorado-arrest</t>
  </si>
  <si>
    <t>https://archive.fo/xoqQu</t>
  </si>
  <si>
    <t>https://archive.fo/lCqEv</t>
  </si>
  <si>
    <t>Mario Escalante Sr</t>
  </si>
  <si>
    <t>https://www.justice.gov/usao-edwi/pr/keshena-man-sentenced-36-months-prison-sexual-abuse-child-menominee-indian-reservation</t>
  </si>
  <si>
    <t>https://www.courtlistener.com/docket/7278507/united-states-v-escalante/</t>
  </si>
  <si>
    <t>Harold Lee Redhouse</t>
  </si>
  <si>
    <t>https://www.justice.gov/usao-nm/pr/navajo-man-coyote-canyon-sentenced-18-years-federal-child-sexual-abuse-conviction</t>
  </si>
  <si>
    <t>https://www.courtlistener.com/docket/14748271/united-states-v-redhouse/</t>
  </si>
  <si>
    <t>Matthew D Lincoln</t>
  </si>
  <si>
    <t>https://www.justice.gov/usao-wdny/pr/henrietta-swim-coach-arrested-traveling-meet-16-year-old-girl-sex</t>
  </si>
  <si>
    <t>https://www.ibtimes.com/sting-operation-arrests-swim-coach-carrying-teddy-bear-chocolates-undercover-teen-2654644</t>
  </si>
  <si>
    <t>https://www.courtlistener.com/?q=&amp;type=r&amp;order_by=score+desc&amp;docket_number=6%3A18-mj-04010&amp;court=nywd</t>
  </si>
  <si>
    <t>Vincente Montalvo-Rodriguez</t>
  </si>
  <si>
    <t>Unknonw</t>
  </si>
  <si>
    <t>https://www.courtlistener.com/docket/6359809/united-states-v-montalvo-rodriguez/</t>
  </si>
  <si>
    <t>Oliver Whitewing-Saul</t>
  </si>
  <si>
    <t>https://www.justice.gov/usao-ne/pr/winnebago-man-sentenced-sexual-abuse-minor-0</t>
  </si>
  <si>
    <t>https://www.courtlistener.com/docket/6329954/united-states-v-whitewing-saul/</t>
  </si>
  <si>
    <t>Kevin Vigil</t>
  </si>
  <si>
    <t>https://www.justice.gov/usao-nm/pr/espa-ola-man-sentenced-30-years-sexually-abusing-child-indian-country</t>
  </si>
  <si>
    <t>Sylanus Flute</t>
  </si>
  <si>
    <t>https://www.justice.gov/usao-sd/pr/agency-village-man-charged-aggravated-sexual-abuse-child</t>
  </si>
  <si>
    <t>David Morales-Zenquis</t>
  </si>
  <si>
    <t>https://www.justice.gov/usao-pr/pr/guilty-pleas-and-sentences</t>
  </si>
  <si>
    <t>Thomas Lawton Evans Jr</t>
  </si>
  <si>
    <t>Aggravated sexual abuse of a minor &lt;12YO &amp; related charges</t>
  </si>
  <si>
    <t>https://www.justice.gov/usao-sc/pr/thomas-lawton-evans-jr-enters-guilty-plea-federal-court   https://www.justice.gov/usao-sc/pr/thomas-lawton-evans-jr-sentenced-three-consecutive-life-terms-federal-prison</t>
  </si>
  <si>
    <t>https://www.courtlistener.com/docket/6333527/united-states-v-evans/</t>
  </si>
  <si>
    <t>Jeffrey Weber</t>
  </si>
  <si>
    <t>https://www.justice.gov/usao-sdny/pr/long-island-home-school-tutor-charged-enticement</t>
  </si>
  <si>
    <t>Ricardo D Minor</t>
  </si>
  <si>
    <t>https://www.justice.gov/usao-sdil/pr/cahokia-resident-charged-child-exploitation-offenses-and-tampering-witness</t>
  </si>
  <si>
    <t>Jeffrey Pittman</t>
  </si>
  <si>
    <t>https://www.ice.gov/news/releases/former-texas-am-forest-service-firefighter-ordered-serve-30-years-sexual-assaulting</t>
  </si>
  <si>
    <t>https://thegoldenhammer.net/pittman-pleads-guilty-to-sexual-abuse-of-child-sentenced-to-30-years-prison/</t>
  </si>
  <si>
    <t>http://archive.fo/yXIWe</t>
  </si>
  <si>
    <t>http://archive.fo/j3JIa</t>
  </si>
  <si>
    <t>James Blue</t>
  </si>
  <si>
    <t>https://www.justice.gov/usao-sd/pr/chamberlain-man-charged-sexual-abuse</t>
  </si>
  <si>
    <t>https://www.courtlistener.com/docket/6921527/united-states-v-blue/</t>
  </si>
  <si>
    <t>Mirza Afzal Hussain</t>
  </si>
  <si>
    <t>https://www.justice.gov/usao-mdfl/pr/federal-jury-finds-brandon-man-who-tried-turn-12-year-old-relative-his-child-wife</t>
  </si>
  <si>
    <t>https://www.justtherealnews.com/2019/01/28/federal-jury-finds-brandon-man-who-tried-to-turn-12-year-old-relative-into-his-child-wife-guilty/</t>
  </si>
  <si>
    <t>http://archive.fo/7OhIN</t>
  </si>
  <si>
    <t>Peter James Hufferd</t>
  </si>
  <si>
    <t>https://www.ice.gov/news/releases/registered-sex-offender-sentenced-14-years-prison-enticing-minors-social-media</t>
  </si>
  <si>
    <t>Peter Robert Bobal</t>
  </si>
  <si>
    <t>https://www.justice.gov/usao-sdfl/pr/hallandale-resident-sentenced-20-years-prison-enticing-minor-while-convicted-sex</t>
  </si>
  <si>
    <t>https://www.miamiherald.com/news/local/crime/article226537685.html</t>
  </si>
  <si>
    <t>https://www.courtlistener.com/docket/6669685/united-states-v-bobal/</t>
  </si>
  <si>
    <t>http://archive.fo/KRze0</t>
  </si>
  <si>
    <t>http://archive.fo/poSSq</t>
  </si>
  <si>
    <t>Steven D Hathaway</t>
  </si>
  <si>
    <t>https://www.justice.gov/usao-wdny/pr/madison-county-man-pleads-guilty-child-pornography-charge https://www.justice.gov/usao-wdny/pr/madison-county-ny-man-arrested-charged-enticement</t>
  </si>
  <si>
    <t>Bruce Dragonfly</t>
  </si>
  <si>
    <t>https://www.justice.gov/usao-mt/pr/browning-man-sentenced-16-years-sexually-abusing-giving-meth-minor</t>
  </si>
  <si>
    <t>https://www.greatfallstribune.com/story/news/crime/2018/04/09/federal-officials-arrest-browning-montana-man-enticing-minors-methamphetamine-sex-abuse/499365002/</t>
  </si>
  <si>
    <t>https://www.courtlistener.com/?q=&amp;type=r&amp;order_by=score+desc&amp;docket_number=4%3A18-cr-00030&amp;court=mtd</t>
  </si>
  <si>
    <t>http://archive.fo/9v67I</t>
  </si>
  <si>
    <t>Amy Adkins</t>
  </si>
  <si>
    <t>https://www.justice.gov/usao-sdwv/pr/teacher-sentenced-five-years-federal-prison-traveling-have-sex-student-and-selling</t>
  </si>
  <si>
    <t>Sarah Norton</t>
  </si>
  <si>
    <t>https://www.justice.gov/usao-edpa/pr/connecticut-woman-charged-enticing-minor-and-traveling-pennsylvania-sexual-encounter , https://www.justice.gov/usao-edpa/pr/connecticut-mother-convicted-traveling-pennsylvania-attempt-have-sex-14-year-old-boy , https://www.justice.gov/usao-edpa/pr/connecticut-mother-three-sentenced-14-years-traveling-pennsylvania-attempt-have-sex</t>
  </si>
  <si>
    <t>https://www.courtlistener.com/?q=&amp;type=r&amp;order_by=score+desc&amp;docket_number=5%3A18-cr-00171&amp;court=paed</t>
  </si>
  <si>
    <t>April</t>
  </si>
  <si>
    <t>Tadashi Mitchell Harvey</t>
  </si>
  <si>
    <t>https://www.justice.gov/usao-az/pr/teacher-sentenced-21-years-prison-molesting-kindergarten-students</t>
  </si>
  <si>
    <t>http://ktar.com/story/2308242/gilbert-man-sentenced-to-21-years-in-prison-for-molesting-tribal-students/?nid=6&amp;sid=1246982</t>
  </si>
  <si>
    <t>https://www.courtlistener.com/docket/6513529/united-states-v-harvey/</t>
  </si>
  <si>
    <t>Ernest Bewanika</t>
  </si>
  <si>
    <t xml:space="preserve">Abusive sexual contact of a minor </t>
  </si>
  <si>
    <t>https://www.justice.gov/usao-nm/pr/zuni-pueblo-man-pleads-guilty-child-sexual-abuse-charges</t>
  </si>
  <si>
    <t>https://www.courtlistener.com/docket/14598650/united-states-v-bewanika/</t>
  </si>
  <si>
    <t>Alan Asbell</t>
  </si>
  <si>
    <t>us</t>
  </si>
  <si>
    <t>https://www.justice.gov/usao-mdga/pr/retired-navy-vet-sentenced-120-months-prison-attempted-online-enticement-minor</t>
  </si>
  <si>
    <t>https://taskandpurpose.com/disabled-navy-vet-turned-georgia-cop-caught-in-online-child-sex-sting-at-robins-air-force-base</t>
  </si>
  <si>
    <t>https://www.courtlistener.com/docket/6945715/united-states-v-asbell/</t>
  </si>
  <si>
    <t>http://archive.fo/ZCGrz</t>
  </si>
  <si>
    <t>Brendan Chandler</t>
  </si>
  <si>
    <t>Attempted enticement of a minor</t>
  </si>
  <si>
    <t>https://www.justice.gov/usao-ndny/pr/glenville-man-charged-attempted-coercion-and-enticement-minor</t>
  </si>
  <si>
    <t>https://www.courtlistener.com/docket/7280749/united-states-v-chandler/</t>
  </si>
  <si>
    <t>Gildardo Perez-Reyes</t>
  </si>
  <si>
    <t>https://www.justice.gov/usao-sdtx/pr/guatemalan-man-sentenced-transporting-minor-intent-engage-sexual-activity</t>
  </si>
  <si>
    <t>https://www.courtlistener.com/?q=&amp;type=r&amp;order_by=score+desc&amp;docket_number=1%3A18-cr-00588&amp;court=txsd</t>
  </si>
  <si>
    <t>Liam Heim</t>
  </si>
  <si>
    <t>April 27, 2018</t>
  </si>
  <si>
    <t>https://www.justice.gov/usao-edpa/pr/florida-man-charged-traveling-across-state-lines-sex-minor</t>
  </si>
  <si>
    <t>Ryan Edward Mausner</t>
  </si>
  <si>
    <t>https://www.justice.gov/usao-wdmo/pr/colorado-man-pleads-guilty-enticing-minor-illicit-sex</t>
  </si>
  <si>
    <t>Marc Punzalan</t>
  </si>
  <si>
    <t>Project Safe Childhood-Attempted sexual exploitation &amp; related charges</t>
  </si>
  <si>
    <t>https://www.justice.gov/usao-mdpa/pr/maryland-man-indicted-cyberstalking-and-attempted-sexual-exploitation-child</t>
  </si>
  <si>
    <t>Roy Brushbreaker III</t>
  </si>
  <si>
    <t>https://www.justice.gov/usao-sd/pr/white-river-man-indicted-aggravated-sexual-abuse-child , https://www.fbi.gov/contact-us/field-offices/minneapolis/news/press-releases/white-river-man-sentenced-for-abusive-sexual-contact-1</t>
  </si>
  <si>
    <t>Lawrence Martin Jr</t>
  </si>
  <si>
    <t>https://www.justice.gov/usao-sd/pr/nebraska-man-sentenced-sexual-abuse-minor</t>
  </si>
  <si>
    <t>https://www.courtlistener.com/docket/6866135/united-states-v-martin/</t>
  </si>
  <si>
    <t>Benjamin Michael Tschirhart</t>
  </si>
  <si>
    <t>https://www.justice.gov/usao-mdfl/pr/texas-man-who-traveled-tampa-have-sex-12-year-old-girl-sentenced-11-years-federal</t>
  </si>
  <si>
    <t>https://www.courtlistener.com/docket/6891293/united-states-v-tschirhart/</t>
  </si>
  <si>
    <t>Glenn Varrin</t>
  </si>
  <si>
    <t>https://www.justice.gov/usao-ndfl/pr/man-sentenced-120-months-prison-attempted-enticement-minor</t>
  </si>
  <si>
    <t>https://www.courtlistener.com/docket/7711696/united-states-v-varrin/</t>
  </si>
  <si>
    <t>Mychal Thomas Damon</t>
  </si>
  <si>
    <t>https://www.justice.gov/usao-mt/pr/former-tribal-police-officer-admits-child-abuse-fort-peck-reservation</t>
  </si>
  <si>
    <t>James R Vance</t>
  </si>
  <si>
    <t>https://www.justice.gov/usao-wdmo/pr/alabama-man-pleads-guilty-enticing-minor-sex , https://www.justice.gov/usao-wdmo/pr/alabama-man-sentenced-10-years-child-exploitation</t>
  </si>
  <si>
    <t>https://www.courtlistener.com/docket/6574622/united-states-v-vance/</t>
  </si>
  <si>
    <t>Travis Wilmoth</t>
  </si>
  <si>
    <t>https://www.justice.gov/usao-md/pr/north-carolina-man-pleads-guilty-traveling-engage-sexual-conduct-minor</t>
  </si>
  <si>
    <t>https://www.justice.gov/usao-md/pr/north-carolina-man-sentenced-nine-years-federal-prison-traveling-maryland-engage-sexual</t>
  </si>
  <si>
    <t>Charlie P Conant</t>
  </si>
  <si>
    <t>https://www.justice.gov/usao-wdny/pr/syracuse-man-sentenced-attempting-have-sex-minor</t>
  </si>
  <si>
    <t>https://www.justice.gov/usao-wdny/pr/syracuse-man-pleads-guilty-attempting-have-sex-minor</t>
  </si>
  <si>
    <t>Cody J Hansen</t>
  </si>
  <si>
    <t>https://www.justice.gov/usao-ri/pr/mass-man-indicted-attempted-enticement-minor-travel-engage-illicit-sex-attempting</t>
  </si>
  <si>
    <t>https://www.courtlistener.com/docket/6863387/united-states-v-hansen/</t>
  </si>
  <si>
    <t>https://www.justice.gov/usao-wdmo/pr/former-university-professor-pleads-guilty-traveling-missouri-sex-minor</t>
  </si>
  <si>
    <t>https://www.nydailynews.com/news/crime/ny-news-professor-indicted-sex-girl-20180629-story.html</t>
  </si>
  <si>
    <t>http://archive.fo/od8e8</t>
  </si>
  <si>
    <t>http://archive.fo/0F7Ra</t>
  </si>
  <si>
    <t>Project Safe Childhood-travel w/intent to engage sexual conduct w/a minor</t>
  </si>
  <si>
    <t>https://www.justice.gov/usao-wdmo/pr/colorado-man-indicted-attempted-sexual-exploitation-minor</t>
  </si>
  <si>
    <t>Kenneth Mitchell Fongers</t>
  </si>
  <si>
    <t>https://www.justice.gov/usao-wdtn/pr/us-attorney-announces-indictment-sixteen-individuals-federal-firearms-charges-ten-are</t>
  </si>
  <si>
    <t>https://www.courtlistener.com/docket/8341877/united-states-v-fongers/</t>
  </si>
  <si>
    <t>James G Smith</t>
  </si>
  <si>
    <t>https://www.courtlistener.com/docket/7862088/united-states-v-smith/</t>
  </si>
  <si>
    <t>Elvin Castron-Murcia</t>
  </si>
  <si>
    <t>Project Safe Childhood-Transport of a minor for sex</t>
  </si>
  <si>
    <t>https://www.justice.gov/usao-ndfl/pr/honduran-man-pleads-guilty-transporting-local-minor-out-state-sex</t>
  </si>
  <si>
    <t>Andrew Pitts</t>
  </si>
  <si>
    <t>https://www.courtlistener.com/?q=&amp;type=r&amp;order_by=score+desc&amp;docket_number=4%3A18-cr-00338&amp;court=ohnd</t>
  </si>
  <si>
    <t xml:space="preserve">June </t>
  </si>
  <si>
    <t>Finis Ewin Hill aka "Pete" Hill</t>
  </si>
  <si>
    <t>https://www.justice.gov/usao-wdtn/pr/gibson-county-man-supervised-release-indicted-child-exploitation-charges</t>
  </si>
  <si>
    <t>https://www.courtlistener.com/docket/8345138/united-states-v-hill/</t>
  </si>
  <si>
    <t>Ivan Small Bear</t>
  </si>
  <si>
    <t>https://www.justice.gov/usao-sd/pr/mission-man-charged-aggravated-sexual-abuse-child-0</t>
  </si>
  <si>
    <t>Donald Lee Blackbird</t>
  </si>
  <si>
    <t>Attempted sexual abuse of a minor</t>
  </si>
  <si>
    <t>https://www.justice.gov/usao-edok/pr/vian-man-pleads-guilty-attempted-sexual-abuse-minor</t>
  </si>
  <si>
    <t>Robert Patrick King</t>
  </si>
  <si>
    <t>https://www.justice.gov/usao-ndok/pr/virginia-man-pleads-guilty-sexual-exploitation-child-under-military-extraterritorial</t>
  </si>
  <si>
    <t>https://www.justice.gov/usao-ndok/pr/former-military-dependent-sentenced-sexual-exploitation-child</t>
  </si>
  <si>
    <t>Jeremy Aungie</t>
  </si>
  <si>
    <t xml:space="preserve">Aggravated sexual abuse of a child  </t>
  </si>
  <si>
    <t>https://www.justice.gov/usao-sd/pr/wagner-man-sentenced-35-years-sexual-abuse</t>
  </si>
  <si>
    <t>https://www.courtlistener.com/docket/7104237/united-states-v-aungie/</t>
  </si>
  <si>
    <t>Juan Ramon Vasquez</t>
  </si>
  <si>
    <t>Rape of a minor</t>
  </si>
  <si>
    <t>https://www.justice.gov/usao-edpa/pr/defendant-who-raped-child-because-philadelphia-s-sanctuary-city-policies-sentenced</t>
  </si>
  <si>
    <t>Jeremy Wayne Martinez</t>
  </si>
  <si>
    <t>https://www.justice.gov/usao-edky/pr/cynthiana-man-sentenced-210-months-attempting-entice-minors-engage-sexual-activity</t>
  </si>
  <si>
    <t>Jonathan Berrier</t>
  </si>
  <si>
    <t>Project Safe Childhood-Enticement &amp;Travel w/intent to engage sexual conduct w/a minor</t>
  </si>
  <si>
    <t>https://www.justice.gov/usao-edar/pr/north-carolina-man-sentenced-15-years-prison-enticing-arkansas-minor-engage-sexual</t>
  </si>
  <si>
    <t>Orlando L Webber</t>
  </si>
  <si>
    <t>Project Safe Childhood-Interstate stalking</t>
  </si>
  <si>
    <t>https://www.justice.gov/usao-sdin/pr/mississippi-man-faces-interstate-stalking-charges-five-year-long-crime-against</t>
  </si>
  <si>
    <t>Jesse Rodriguez</t>
  </si>
  <si>
    <t>https://www.justice.gov/usao-sdny/pr/former-federal-inspector-arrested-attempted-child-enticement</t>
  </si>
  <si>
    <t>https://www.courtlistener.com/docket/7428236/united-states-v-rodriguez/</t>
  </si>
  <si>
    <t>July</t>
  </si>
  <si>
    <t>Victor Alfonso Vasquez</t>
  </si>
  <si>
    <t>https://www.justice.gov/usao-wdmo/pr/carthage-sex-offender-pleads-guilty-after-impregnating-14-year-old-victim , Victor Alfonso Vasquez</t>
  </si>
  <si>
    <t>Elmer Yellow Hair III</t>
  </si>
  <si>
    <t>https://www.justice.gov/usao-sd/pr/pine-ridge-man-sentenced-sexual-abuse-minor-2</t>
  </si>
  <si>
    <t>https://www.courtlistener.com/docket/7507880/united-states-v-yellow-hair/</t>
  </si>
  <si>
    <t>Brian Cushman</t>
  </si>
  <si>
    <t>CP &amp; exploitation of a minor</t>
  </si>
  <si>
    <t>https://www.justice.gov/usao-sdin/pr/ingalls-indiana-fire-chief-faces-federal-child-exploitation-charges</t>
  </si>
  <si>
    <t>https://fox59.com/2018/07/27/former-ingalls-fire-chief-faces-federal-charges-for-having-sexually-explicit-images-of-minor-on-phone-investigators-say/</t>
  </si>
  <si>
    <t>https://www.courtlistener.com/docket/8357158/united-states-v-cushman/</t>
  </si>
  <si>
    <t>Blake Lee Bissell</t>
  </si>
  <si>
    <t>https://www.justice.gov/usao-wdla/pr/haughton-man-sentenced-90-months-federal-prison-persuading-minor-engage-illegal-sexual</t>
  </si>
  <si>
    <t>Royce Wade Lander</t>
  </si>
  <si>
    <t>https://www.justice.gov/usao-ndtx/pr/new-mexico-man-convicted-amarillo-minor-sex-case</t>
  </si>
  <si>
    <t>https://www.courtlistener.com/docket/14547103/united-states-v-lander/</t>
  </si>
  <si>
    <t>Jeffery Goldstein</t>
  </si>
  <si>
    <t>Project Safe Childhood-Voyeurism charges</t>
  </si>
  <si>
    <t>https://www.justice.gov/usao-nj/pr/hoboken-man-charged-secretly-photographing-minor-cruise-ship</t>
  </si>
  <si>
    <t>Larry Woods</t>
  </si>
  <si>
    <t>WS</t>
  </si>
  <si>
    <t>https://www.justice.gov/usao-wdwi/pr/grand-jury-returns-indictments-78</t>
  </si>
  <si>
    <t>https://www.courtlistener.com/docket/7714429/united-states-v-woods-larry/</t>
  </si>
  <si>
    <t>Brian D Wickersham</t>
  </si>
  <si>
    <t>https://www.justice.gov/usao-edwi/pr/registered-sex-offender-indicted-child-sex-offenses-faces-mandatory-life-sentence , https://www.justice.gov/usao-edwi/pr/registered-sex-offender-sentenced-20-years-prison-child-enticement</t>
  </si>
  <si>
    <t>https://www.courtlistener.com/?q=&amp;type=r&amp;order_by=score+desc&amp;docket_number=1%3A18-cr-00173&amp;court=wied</t>
  </si>
  <si>
    <t>Matthew Neberman</t>
  </si>
  <si>
    <t>https://www.justice.gov/usao-ndia/pr/former-cedar-falls-man-sentenced-27-months-federal-prison-attempted-transfer-obscene</t>
  </si>
  <si>
    <t>https://www.courtlistener.com/docket/8114192/united-states-v-neberman/</t>
  </si>
  <si>
    <t>Roland J Brant</t>
  </si>
  <si>
    <t>Abusive sexual contact of a minor &lt;12YO &amp; related charges</t>
  </si>
  <si>
    <t>https://www.justice.gov/usao-sd/pr/minnesota-man-charged-aggravated-sexual-abuse-child</t>
  </si>
  <si>
    <t>Kenneth Earle Ewing</t>
  </si>
  <si>
    <t>https://www.justice.gov/usao-ndwv/pr/maryland-man-sentenced-more-12-years-transporting-minor-across-state-lines-sex</t>
  </si>
  <si>
    <t>https://www.courtlistener.com/docket/7105182/united-states-v-ewing/</t>
  </si>
  <si>
    <t>Timothy Reddin</t>
  </si>
  <si>
    <t>https://www.justice.gov/usao-wdar/pr/fayetteville-sex-offender-sentenced-10-years-federal-prison-attempted-online-enticement</t>
  </si>
  <si>
    <t>https://www.courtlistener.com/docket/14544183/united-states-v-reddin/</t>
  </si>
  <si>
    <t>Darick McPherson</t>
  </si>
  <si>
    <t>https://www.justice.gov/usao-sdga/pr/south-carolina-man-sentenced-prison-taking-minor-across-state-line-sex</t>
  </si>
  <si>
    <t>Joseph A Defilippi</t>
  </si>
  <si>
    <t>https://www.justice.gov/usao-ndny/pr/western-massachusetts-man-charged-traveling-meet-minor-sex , https://www.justice.gov/usao-ndny/pr/massachusetts-man-sentenced-136-months-attempted-online-enticement-minor</t>
  </si>
  <si>
    <t>Mohammed Abdul Malek</t>
  </si>
  <si>
    <t>https://www.justice.gov/usao-mdfl/pr/former-department-defense-employee-pleads-guilty-attempting-entice-minor-engage-sexual   https://www.justice.gov/usao-mdfl/pr/former-department-defense-employee-sentenced-ten-years-attempting-entice-minor-engage</t>
  </si>
  <si>
    <t>https://www.news4jax.com/news/former-dod-employee-pleads-guilty-in-child-enticement-case</t>
  </si>
  <si>
    <t>https://www.courtlistener.com/docket/7791463/united-states-v-malek/</t>
  </si>
  <si>
    <t>David Moses Seaboy</t>
  </si>
  <si>
    <t>https://www.justice.gov/usao-sd/pr/peever-man-charged-aggravated-sexual-abuse-child</t>
  </si>
  <si>
    <t>Richard Gerald Caudill</t>
  </si>
  <si>
    <t>Michael D McNeil</t>
  </si>
  <si>
    <t>https://www.justice.gov/usao-mdfl/pr/mayport-navy-lieutenant-pleads-guilty-using-internet-entice-and-meet-child-engage</t>
  </si>
  <si>
    <t>https://www.wtsp.com/article/news/local/florida/navy-lieutenant-accused-of-trying-to-have-sex-with-12-year-old-child-with-a-handicap/67-623588518</t>
  </si>
  <si>
    <t>http://www.webcitation.org/77deWgbvV</t>
  </si>
  <si>
    <t>http://archive.fo/qpT74</t>
  </si>
  <si>
    <t>Andrew Steven Newport</t>
  </si>
  <si>
    <t>https://www.justice.gov/usao-sdia/pr/pottawattamie-county-man-sentenced-coercion-and-enticement-minor</t>
  </si>
  <si>
    <t>https://www.courtlistener.com/docket/14926481/united-states-v-thomas/</t>
  </si>
  <si>
    <t>Richard  "Bitsy" Smith</t>
  </si>
  <si>
    <t>https://www.justice.gov/usao-mt/pr/judge-sentences-browning-man-prison-sex-abuse-minor</t>
  </si>
  <si>
    <t>https://www.courtlistener.com/docket/14549097/united-states-v-smith/</t>
  </si>
  <si>
    <t>Elliot Brave</t>
  </si>
  <si>
    <t>Aggravated sexual abuse of minors</t>
  </si>
  <si>
    <t>https://www.justice.gov/usao-sd/pr/mission-man-charged-aggravated-sexual-abuse-child-1 , https://www.justice.gov/usao-sd/pr/mission-man-sentenced-abusive-sexual-contact-1</t>
  </si>
  <si>
    <t>https://www.courtlistener.com/docket/7864574/united-states-v-brave/</t>
  </si>
  <si>
    <t>September</t>
  </si>
  <si>
    <t>Angelo Ashley</t>
  </si>
  <si>
    <t>Aggravated sexual abuse of a child &lt;12YO</t>
  </si>
  <si>
    <t>https://www.justice.gov/usao-sd/pr/cherry-creek-man-charged-aggravated-sexual-abuse-child , https://www.justice.gov/usao-sd/pr/cherry-creek-man-sentenced-sexual-abuse-person-incapable-consent</t>
  </si>
  <si>
    <t>https://www.courtlistener.com/docket/7863924/united-states-v-ashley/</t>
  </si>
  <si>
    <t>Roger Moran</t>
  </si>
  <si>
    <t>https://www.justice.gov/usao-sd/pr/white-river-man-indicted-sexual-abuse-charges</t>
  </si>
  <si>
    <t>Bo Lane</t>
  </si>
  <si>
    <t>https://www.justice.gov/usao-az/pr/navajo-man-sentenced-36-years-prison-seven-counts-aggravated-sexual-abuse-child</t>
  </si>
  <si>
    <t>Mark Randy Magee</t>
  </si>
  <si>
    <t>uS</t>
  </si>
  <si>
    <t>Transfer of obscene material to a minor</t>
  </si>
  <si>
    <t>https://www.justice.gov/usao-sdms/pr/purvis-man-sentenced-10-months-sending-obscenematerial-minor</t>
  </si>
  <si>
    <t>https://www.courtlistener.com/docket/7831639/united-states-v-magee/</t>
  </si>
  <si>
    <t>Jeremy Custer</t>
  </si>
  <si>
    <t>https://www.justice.gov/usao-wdny/pr/chenango-county-man-pleads-guilty-trying-have-sex-13-year-old-girl</t>
  </si>
  <si>
    <t>Douglas Wayne Kemp</t>
  </si>
  <si>
    <t>https://www.justice.gov/usao-ndoh/pr/toledo-man-indicted-attempting-coerce-minor-sex</t>
  </si>
  <si>
    <t>https://www.courtlistener.com/docket/7981505/united-states-v-kemp/</t>
  </si>
  <si>
    <t>October</t>
  </si>
  <si>
    <t>Joel Michael Max</t>
  </si>
  <si>
    <t>https://www.justice.gov/usao-sd/pr/sisseton-man-charged-aggravated-sexual-abuse-child-appears-federal-court</t>
  </si>
  <si>
    <t>Robert Dowty</t>
  </si>
  <si>
    <t>https://www.justice.gov/usao-sd/pr/pine-ridge-man-found-guilty-aggravated-sexual-abuse-minor</t>
  </si>
  <si>
    <t>https://www.courtlistener.com/docket/8075283/united-states-v-dowty/</t>
  </si>
  <si>
    <t>Jonathan Jensen</t>
  </si>
  <si>
    <t>https://www.justice.gov/usao-mdga/pr/federal-grand-jury-returns-indictments-charging-6-individuals</t>
  </si>
  <si>
    <t>https://www.courtlistener.com/docket/8081424/united-states-v-jensen/</t>
  </si>
  <si>
    <t>Chance Lone Bear</t>
  </si>
  <si>
    <t>Kerry Sloan</t>
  </si>
  <si>
    <t>https://www.justice.gov/usao-ndok/pr/federal-grand-jury-criminal-indictments-announced-50   https://www.justice.gov/usao-ndok/pr/texas-track-coach-pleads-guilty-assaulting-minor-during-college-visit-tulsa</t>
  </si>
  <si>
    <t>https://www.tulsaworld.com/news/local/crime-and-courts/former-coach-pleads-guilty-to-federal-sex-crimes-charge-after/article_bbb95438-cfd3-5099-994b-77d7d33d1a41.html</t>
  </si>
  <si>
    <t>https://www.courtlistener.com/docket/8039403/united-states-v-sloan/</t>
  </si>
  <si>
    <t>https://web.archive.org/web/20190415162316/https://www.tulsaworld.com/news/local/crime-and-courts/former-coach-pleads-guilty-to-federal-sex-crimes-charge-after/article_bbb95438-cfd3-5099-994b-77d7d33d1a41.html</t>
  </si>
  <si>
    <t>http://archive.fo/7cVKI</t>
  </si>
  <si>
    <t>Scott Riley Hall</t>
  </si>
  <si>
    <t>https://www.justice.gov/usao-ndtx/pr/high-school-art-teacher-charged-following-sexual-relationship-16-year-old-student</t>
  </si>
  <si>
    <t>https://www.dallasnews.com/news/crime/2018/10/03/texas-teacher-dreamed-rolling-around-bed-student-told-mom-wasnt-predator-feds-say</t>
  </si>
  <si>
    <t>Jean Fouad Yazbek</t>
  </si>
  <si>
    <t>https://www.justice.gov/usao-nh/pr/massachusetts-man-pleads-guilty-traveling-new-hampshire-engage-illicit-sexual-conduct</t>
  </si>
  <si>
    <t>Alexander N Barter</t>
  </si>
  <si>
    <t>Coercion &amp; enticement of a minor</t>
  </si>
  <si>
    <t>https://www.justice.gov/usao-edtx/pr/shelby-county-man-arrested-child-exploitation-charges</t>
  </si>
  <si>
    <t>https://www.khou.com/article/news/local/texas/e-texas-man-arrested-in-plot-to-rape-murder-and-eat-girl/285-609075589</t>
  </si>
  <si>
    <t>James Seeley</t>
  </si>
  <si>
    <t>Octobber 24, 2018</t>
  </si>
  <si>
    <t>https://www.justice.gov/usao-ndny/pr/queensbury-man-arrested-attempting-entice-minor , https://www.justice.gov/usao-ndny/pr/sex-offender-sentenced-262-months-attempting-entice-minor</t>
  </si>
  <si>
    <t>https://www.courtlistener.com/docket/14789743/united-states-v-seeley/</t>
  </si>
  <si>
    <t>Brian Ray Dunlap</t>
  </si>
  <si>
    <t>https://www.justice.gov/usao-mdfl/pr/st-augustine-man-charged-using-internet-entice-and-meet-child-engage-sexual-activity</t>
  </si>
  <si>
    <t>Luther R Nash</t>
  </si>
  <si>
    <t>https://www.justice.gov/usao-ndoh/pr/wooster-man-indicted-attempting-induce-what-he-believed-was-13-year-old-boy-have-sex</t>
  </si>
  <si>
    <t>https://www.courtlistener.com/docket/8408913/united-states-v-nash/</t>
  </si>
  <si>
    <t>Urbano Vazquez</t>
  </si>
  <si>
    <t>Sexual abuse of a child</t>
  </si>
  <si>
    <t>https://www.justice.gov/usao-dc/pr/district-clergy-member-found-guilty-multiple-counts-child-sexual-abuse</t>
  </si>
  <si>
    <t>https://beta.washingtonpost.com/local/public-safety/three-teens-allege-abuse-by-catholic-priest-in-dc-court-papers/2018/11/08/4c941e58-e36c-11e8-8f5f-a55347f48762_story.html?noredirect=on</t>
  </si>
  <si>
    <t>http://archive.fo/AsOZa</t>
  </si>
  <si>
    <t>http://archive.fo/aPuzO</t>
  </si>
  <si>
    <t>Jose Manuel Santos</t>
  </si>
  <si>
    <t>November 2, 2018</t>
  </si>
  <si>
    <t>Entcement of a minor &amp; related charges</t>
  </si>
  <si>
    <t>https://www.justice.gov/usao-ct/pr/bridgeport-man-charged-child-exploitation-offenses , https://www.justice.gov/usao-ct/pr/bus-driver-pleads-guilty-child-enticement-offense , https://www.justice.gov/usao-ct/pr/bus-driver-sentenced-19-years-federal-prison-child-enticement-offense-planning-murder</t>
  </si>
  <si>
    <t>https://dailyvoice.com/connecticut/westport/news/school-bus-driver-charged-with-sexually-soliciting-teenage-passenger/744181/</t>
  </si>
  <si>
    <t>Terry Clement Blaine</t>
  </si>
  <si>
    <t>Abusive sexual contact of a child</t>
  </si>
  <si>
    <t>https://www.justice.gov/usao-sd/pr/lake-andes-man-sentenced-abusive-sexual-contact-child</t>
  </si>
  <si>
    <t>https://www.courtlistener.com/docket/8143306/united-states-v-blaine/</t>
  </si>
  <si>
    <t>https://www.justice.gov/usao-mdfl/pr/st-augustine-man-sentenced-more-14-years-federal-prison-attempting-entice-two-young</t>
  </si>
  <si>
    <t>https://www.courtlistener.com/docket/14512679/united-states-v-dunlap/</t>
  </si>
  <si>
    <t>Daniel Wayne Little, II</t>
  </si>
  <si>
    <t>Project Safe Childhood-Entcement of a minor &amp; related charges</t>
  </si>
  <si>
    <t>https://www.justice.gov/usao-edtx/pr/michigan-man-sentenced-coercion-and-enticement-child-east-texas</t>
  </si>
  <si>
    <t>https://www.courtlistener.com/docket/15005999/united-states-v-little/</t>
  </si>
  <si>
    <t>Michael Varian</t>
  </si>
  <si>
    <t>https://www.justice.gov/usao-ndny/pr/troy-man-arrested-attempted-enticement-and-coercion-minor , https://www.justice.gov/usao-ndny/pr/troy-man-sentenced-121-months-attempted-online-enticement-minor</t>
  </si>
  <si>
    <t>https://www.courtlistener.com/docket/14748209/united-states-v-varian/</t>
  </si>
  <si>
    <t>Romer J Jaure</t>
  </si>
  <si>
    <t>https://www.justice.gov/usao-mt/pr/informational-federal-court-arraignments-28 ,https://www.justice.gov/usao-mt/pr/busby-man-sentenced-prison-sexually-abusing-minor</t>
  </si>
  <si>
    <t>https://www.courtlistener.com/?q=&amp;type=r&amp;order_by=score+desc&amp;docket_number=1%3A18-cr-00148&amp;court=mtd</t>
  </si>
  <si>
    <t>James Jensen</t>
  </si>
  <si>
    <t>Enticement of a minor for sexual activity</t>
  </si>
  <si>
    <t>https://www.justice.gov/usao-mt/pr/former-custer-county-high-school-athletic-trainer-charged-coercion</t>
  </si>
  <si>
    <t>https://krtv.com/news/crime-and-courts/2018/12/21/jensen-charged-with-coercion-and-enticement-of-minors-to-engage-in-sexual-activity/</t>
  </si>
  <si>
    <t>Brandon Iron Shell</t>
  </si>
  <si>
    <t>https://www.justice.gov/usao-sd/pr/cherry-creek-man-charged-child-sexual-abuse-child-abuse-and-assault-dangerous-weapon</t>
  </si>
  <si>
    <t>https://www.courtlistener.com/?q=&amp;type=r&amp;order_by=score+desc&amp;docket_number=3%3A18-cr-30165&amp;court=sdd</t>
  </si>
  <si>
    <t>Storm Gaylord Blue</t>
  </si>
  <si>
    <t>https://www.justice.gov/usao-sd/pr/sisseton-man-charged-aggravated-sexual-abuse-child-appears-federal-court-0</t>
  </si>
  <si>
    <t>https://www.courtlistener.com/docket/14604852/united-states-v-blue/</t>
  </si>
  <si>
    <t>Kenneth B Hendricks</t>
  </si>
  <si>
    <t>Abusive sexual contact of minors</t>
  </si>
  <si>
    <t>https://www.justice.gov/usao-sdoh/pr/priest-charged-sexually-abusing-filipino-boys</t>
  </si>
  <si>
    <t>https://www.courtlistener.com/docket/8364328/united-states-v-hendricks/</t>
  </si>
  <si>
    <t>Jacob Gardea</t>
  </si>
  <si>
    <t>https://www.justice.gov/usao-wdnc/pr/new-mexico-man-sentenced-15-years-transporting-minor-intent-engage-sexual-activity</t>
  </si>
  <si>
    <t>Brandon Lee Dietz</t>
  </si>
  <si>
    <t>https://www.justice.gov/usao-wdky/pr/teacher-federal-custody-after-seeking-sex-minor</t>
  </si>
  <si>
    <t>https://www.courtlistener.com/docket/8433414/united-states-v-dietz/</t>
  </si>
  <si>
    <t>Jeffrey Scott Cooper</t>
  </si>
  <si>
    <t>https://www.justice.gov/usao-ndok/pr/federal-grand-jury-criminal-indictments-announced-53</t>
  </si>
  <si>
    <t>Julian Tail</t>
  </si>
  <si>
    <t>Project Safe Childhood-Abusive sexual contact of a minor</t>
  </si>
  <si>
    <t>https://www.justice.gov/usao-sd/pr/man-porcupine-sentenced-two-years-prison-abusive-sexual-contact</t>
  </si>
  <si>
    <t>Bruce Ward</t>
  </si>
  <si>
    <t>https://www.justice.gov/usao-sdwv/pr/five-defendants-plead-guilty-federal-court-traveling-have-sex-minors</t>
  </si>
  <si>
    <t>https://www.courtlistener.com/docket/14608959/united-states-v-ward/</t>
  </si>
  <si>
    <t>Amish Jayant Patel</t>
  </si>
  <si>
    <t>https://www.justice.gov/usao-ri/pr/new-jersey-man-sentenced-interstate-travel-engage-illicit-sex</t>
  </si>
  <si>
    <t>Kevin Christopher Oldland</t>
  </si>
  <si>
    <t>https://www.justice.gov/usao-wdpa/pr/judge-sentences-man-10-years-prison-project-safe-childhood-case</t>
  </si>
  <si>
    <t>https://www.courtlistener.com/docket/14974221/united-states-v-oldland/</t>
  </si>
  <si>
    <t>Sachin Aji Bhaskar</t>
  </si>
  <si>
    <t>https://www.justice.gov/usao-wdny/pr/man-india-student-visa-pleads-guilty-sexual-enticement-minor , https://www.justice.gov/usao-wdny/pr/defendant-going-prison-20-years-coercing-11-year-old-have-sex</t>
  </si>
  <si>
    <t>Owen Cordell Smith</t>
  </si>
  <si>
    <t>January 18, 2019</t>
  </si>
  <si>
    <t>Project Safe Childhood-Aggravated sexual abuse of a minor</t>
  </si>
  <si>
    <t>https://www.justice.gov/usao-nd/pr/bismarck-man-indicted-multiple-child-sexual-abuse-charges-fort-berthold-indian</t>
  </si>
  <si>
    <t>https://www.courtlistener.com/docket/14556907/united-states-v-smith/</t>
  </si>
  <si>
    <t>Andrew Al Littleman</t>
  </si>
  <si>
    <t>https://www.justice.gov/usao-az/pr/tuba-city-man-sentenced-prison-sexually-abusing-minor-and-possessing-methamphetamine</t>
  </si>
  <si>
    <t>Dee Hawk Moran</t>
  </si>
  <si>
    <t>January 23, 2019</t>
  </si>
  <si>
    <t>https://www.justice.gov/usao-sd/pr/eagle-butte-man-charged-sexual-abuse-minor-1</t>
  </si>
  <si>
    <t>Jesse James Leader Charge</t>
  </si>
  <si>
    <t>https://www.justice.gov/usao-sd/pr/rosebud-man-sentenced-abusive-sexual-contact-5</t>
  </si>
  <si>
    <t>https://www.courtlistener.com/docket/14892839/united-states-v-leader-charge/</t>
  </si>
  <si>
    <t>Brandon Wood</t>
  </si>
  <si>
    <t>https://www.justice.gov/usao-wdky/pr/former-lmpd-officer-pleads-guilty-attempted-enticement</t>
  </si>
  <si>
    <t>https://www.courier-journal.com/story/news/crime/2019/01/28/ex-louisville-police-officer-charged-attempting-entice-minor/2703126002/</t>
  </si>
  <si>
    <t>Joey Michael King</t>
  </si>
  <si>
    <t>https://www.justice.gov/usao-sdwv/pr/two-project-safe-childhood-defendants-plead-guilty</t>
  </si>
  <si>
    <t>John Daniel Nielsen, Sr</t>
  </si>
  <si>
    <t>https://www.justice.gov/usao-sdia/pr/omaha-man-sentenced-prison-travel-intent-engage-sex-minor</t>
  </si>
  <si>
    <t>Daniel S. Dixon Jr. Tubby</t>
  </si>
  <si>
    <t>https://www.justice.gov/usao-sdms/pr/choctaw-man-pleads-guilty-sexual-abuse-minor-0</t>
  </si>
  <si>
    <t>Mack Doak / Jaycee Doak</t>
  </si>
  <si>
    <t>Project Safe Childhood-Sexual exploitation &amp; sexual abuse of a minor</t>
  </si>
  <si>
    <t>https://www.justice.gov/usao-sdal/pr/husband-and-wife-sentenced-child-sex-abuse-case-husband-receives-40-years-prison-wife</t>
  </si>
  <si>
    <t>https://www.fox10tv.com/news/mobile_county/alabama-husband-wife-sentenced-for-the-sexual-abuse-of-their-adopted-children/article_8ad2987a-0cb0-11ea-b0e1-c742f3bd86d2.html</t>
  </si>
  <si>
    <t>https://archive.vn/yG5t1</t>
  </si>
  <si>
    <t>https://archive.vn/r8olv</t>
  </si>
  <si>
    <t>Micky Rife</t>
  </si>
  <si>
    <t>Project Safe Childhood-Illicit sexual conduct w/a minor while traveling</t>
  </si>
  <si>
    <t>https://www.justice.gov/opa/pr/kentucky-man-sentenced-prison-engaging-illicit-sexual-conduct-while-traveling-and-residing</t>
  </si>
  <si>
    <t>Douglas Scott Phillips</t>
  </si>
  <si>
    <t>https://www.justice.gov/usao-mdfl/pr/georgia-man-indicted-federal-charge-using-internet-attempting-entice-child-engage</t>
  </si>
  <si>
    <t>Seth Weidemann</t>
  </si>
  <si>
    <t>https://www.justice.gov/usao-ndga/pr/truck-driver-sentenced-17-years-prison-traveling-atlanta-engage-sex-acts-child</t>
  </si>
  <si>
    <t>Gabriel Murillo</t>
  </si>
  <si>
    <t>https://www.justice.gov/usao-wdny/pr/california-man-arrested-getting-plane-rochester-have-sex-minor , https://www.justice.gov/usao-wdny/pr/california-man-who-attempted-have-sex-12-year-old-child-going-prison-10-years</t>
  </si>
  <si>
    <t>John Curley</t>
  </si>
  <si>
    <t>https://www.justice.gov/usao-ndny/pr/vermont-man-charged-attempting-meet-minor-sex , https://www.justice.gov/usao-ndny/pr/vermont-man-sentenced-57-months-attempting-meet-minor-sex</t>
  </si>
  <si>
    <t>https://www.courtlistener.com/docket/14590692/united-states-v-curley/</t>
  </si>
  <si>
    <t>Michael John Davidson</t>
  </si>
  <si>
    <t>Project Safe Childhood- Attempted enticement of a minor</t>
  </si>
  <si>
    <t>https://www.justice.gov/usao-edky/pr/california-man-sentenced-120-months-attempted-online-enticement-minor</t>
  </si>
  <si>
    <t>Devin Herman</t>
  </si>
  <si>
    <t>https://www.justice.gov/usao-ndga/pr/georgia-man-sentenced-traveling-atlanta-have-sex-eleven-year-old-child</t>
  </si>
  <si>
    <t>Jeffrey Judd</t>
  </si>
  <si>
    <t>https://www.justice.gov/usao-wdpa/pr/ohio-man-charged-traveling-pennsylvania-sex-mino , https://www.justice.gov/usao-wdpa/pr/former-ohio-resident-admits-traveling-engage-illegal-sexual-activity , https://www.justice.gov/usao-wdpa/pr/ohio-man-who-came-pa-seeking-sex-teen-sentenced-4-years-federal-prison</t>
  </si>
  <si>
    <t>http://www.wfmj.com/story/40034647/vienna-man-accused-of-going-to-hermitage-for-sex-with-minor</t>
  </si>
  <si>
    <t>http://archive.fo/uz2u8</t>
  </si>
  <si>
    <t>Eric Bland</t>
  </si>
  <si>
    <t>https://www.justice.gov/usao-ne/pr/missouri-man-sentenced-10-years-child-enticement</t>
  </si>
  <si>
    <t>Jack Preston Coversup</t>
  </si>
  <si>
    <t>https://www.justice.gov/usao-mt/pr/informational-federal-court-arraignments-39</t>
  </si>
  <si>
    <t>https://www.courtlistener.com/?q=&amp;type=r&amp;order_by=score+desc&amp;docket_number=1%3A19-cr-00015&amp;court=mtd</t>
  </si>
  <si>
    <t>Kevin Hassan Prósperes-Sosa</t>
  </si>
  <si>
    <t>Project Safe Childhood-Cyberstalking</t>
  </si>
  <si>
    <t>https://www.justice.gov/usao-pr/pr/kevin-hassan-pr-speres-sosa-arrested-cyberstalking-and-threatening-interstate</t>
  </si>
  <si>
    <t>https://www.courtlistener.com/docket/14737228/united-states-v-prosperes-sosa/</t>
  </si>
  <si>
    <t>Ryan Scott Kibble</t>
  </si>
  <si>
    <t>WB</t>
  </si>
  <si>
    <t>https://www.justice.gov/usao-sdwv/pr/five-defendants-plead-guilty-federal-court-traveling-have-sex-minors , https://www.justice.gov/usao-sdwv/pr/project-safe-childhood-two-defendants-sentenced-federal-prison-traveling-have-sex</t>
  </si>
  <si>
    <t>https://www.courtlistener.com/docket/14748683/united-states-v-kibble/</t>
  </si>
  <si>
    <t>Juan Luis Rosario Rivera</t>
  </si>
  <si>
    <t>https://www.fbi.gov/contact-us/field-offices/sanjuan/news/press-releases/federal-charges-for-transportation-of-a-minor-with-intent-to-engage-in-sexual-activity</t>
  </si>
  <si>
    <t>Chad Pease / Julia Pease</t>
  </si>
  <si>
    <t>https://www.justice.gov/usao-sd/pr/couple-charged-aiding-and-abetting-sexual-abuse-minor</t>
  </si>
  <si>
    <t>Yvon Loretto</t>
  </si>
  <si>
    <t>https://www.fbi.gov/contact-us/field-offices/albuquerque/news/press-releases/fbi-media-alert-nambe-pueblo-man-charged-federally-with-aggravated-sexual-abuse</t>
  </si>
  <si>
    <t>Thomas Wilson Parks, Jr.</t>
  </si>
  <si>
    <t>https://www.justice.gov/usao-sdwv/pr/project-safe-childhood-two-defendants-sentenced-federal-prison-traveling-have-sex</t>
  </si>
  <si>
    <t>https://www.courtlistener.com/docket/14748679/united-states-v-parks/</t>
  </si>
  <si>
    <t>Jose Enrique Saldana Perez</t>
  </si>
  <si>
    <t>https://www.fbi.gov/contact-us/field-offices/sanjuan/news/press-releases/arrest-of-jose-e-saldana-perez-for-transportation-of-a-minor-to-engage-in-criminal-sexual-activity</t>
  </si>
  <si>
    <t>Nolan Nishida</t>
  </si>
  <si>
    <t>https://www.justice.gov/usao-hi/pr/maui-man-sentenced-10-years-prison-attempted-sexual-enticement-14-year-old-girl-0</t>
  </si>
  <si>
    <t>Rene Gloria</t>
  </si>
  <si>
    <t>https://www.justice.gov/opa/pr/texas-man-indicted-charges-kidnapping-two-children-and-other-offenses</t>
  </si>
  <si>
    <t>http://www.kcbd.com/2019/03/20/clovis-man-indicted-lubbock-kidnapping-cyber-stalking-enticement-minors/</t>
  </si>
  <si>
    <t>http://archive.fo/LObye</t>
  </si>
  <si>
    <t>http://archive.fo/aoQWT</t>
  </si>
  <si>
    <t>Cole S Crocker</t>
  </si>
  <si>
    <t>https://www.justice.gov/usao-wdtx/pr/jury-finds-midland-man-guilty-attempted-online-enticement-minor</t>
  </si>
  <si>
    <t>James Dean Kalani Goeas</t>
  </si>
  <si>
    <t>https://www.justice.gov/usao-hi/pr/former-police-officer-pleads-guilty-attempted-unlawful-sexual-enticement-13-year-old-boy , https://www.justice.gov/usao-hi/pr/retired-police-officer-sentenced-10-years-his-attempted-unlawful-sexual-enticement-13</t>
  </si>
  <si>
    <t>Zachariah Fredrickson</t>
  </si>
  <si>
    <t>https://www.justice.gov/usao-hi/pr/man-pleads-guilty-attempted-sexual-enticement-13-year-old-girl , https://www.justice.gov/usao-hi/pr/man-sentenced-ten-years-prison-attempted-sexual-enticement-13-year-old-girl</t>
  </si>
  <si>
    <t>Jesus Maldonado</t>
  </si>
  <si>
    <t>https://www.justice.gov/usao-ri/pr/sex-offender-detained-attempting-entice-minor-transmit-obscene-material-minor</t>
  </si>
  <si>
    <t>https://www.courtlistener.com/docket/14990519/united-states-v-maldonado/</t>
  </si>
  <si>
    <t>Trevor Leslie Doyle</t>
  </si>
  <si>
    <t>https://www.cbc.ca/news/canada/new-brunswick/trevor-doyle-puerto-rico-1.5091195</t>
  </si>
  <si>
    <t>http://archive.fo/kcgjs</t>
  </si>
  <si>
    <t>https://web.archive.org/web/20190417185106/https://i.cbc.ca/1.5085822.1554456180!/fileImage/httpImage/image.jpg_gen/derivatives/16x9_780/trevor-doyle.jpg</t>
  </si>
  <si>
    <t>Tyrus Eugene Brockie</t>
  </si>
  <si>
    <t>https://www.justice.gov/usao-mt/pr/informational-federal-court-arraignments-42</t>
  </si>
  <si>
    <t>Jeremy OKieth Kyle aka Corey Webster</t>
  </si>
  <si>
    <t>https://www.justice.gov/usao-edtx/pr/upshur-county-convicted-sex-offender-indicted-child-sexual-exploitation-violations</t>
  </si>
  <si>
    <t>David Wayne Kane</t>
  </si>
  <si>
    <t>https://www.cbp.gov/newsroom/local-media-release/cbp-arrests-subject-wanted-sexual-abuse-minor</t>
  </si>
  <si>
    <t>Jerry Wayne Hamilton</t>
  </si>
  <si>
    <t>Joseph L. Hughes</t>
  </si>
  <si>
    <t>https://www.justice.gov/usao-sdil/pr/missouri-man-charged-enticing-illinois-minor-traveling-engage-illicit-sexual-conduct , https://www.justice.gov/usao-sdil/pr/st-louis-man-pleads-guilty-enticement-sex-illinois-minor</t>
  </si>
  <si>
    <t>https://www.courtlistener.com/docket/15038717/united-states-v-hughes/</t>
  </si>
  <si>
    <t>Kristopher Meacham</t>
  </si>
  <si>
    <t>https://www.justice.gov/usao-ndin/pr/gary-man-sentenced-120-months-prison</t>
  </si>
  <si>
    <t>Cory Shane Disotell</t>
  </si>
  <si>
    <t>Project Safe Childhood-Transportation of a minor to engage sexual conduct</t>
  </si>
  <si>
    <t>https://www.justice.gov/usao-wdla/pr/port-barre-man-pleads-guilty-transportation-minor-intent-engage-criminal-sexual , https://www.justice.gov/usao-wdla/pr/port-barre-man-sentenced-21-years-transporting-minor-out-state-sex</t>
  </si>
  <si>
    <t>Brian L Turek</t>
  </si>
  <si>
    <t>April 24, 2019</t>
  </si>
  <si>
    <t>https://www.justice.gov/usao-wdpa/pr/pittsburgh-man-charged-coercion-and-enticement-minor</t>
  </si>
  <si>
    <t>https://www.courtlistener.com/docket/14999346/united-states-v-turek/</t>
  </si>
  <si>
    <t>Thomas Perry Stultz</t>
  </si>
  <si>
    <t>https://www.justice.gov/usao-wdpa/pr/ross-township-man-sentenced-10-years-attempted-coercion-minor-sex , https://www.justice.gov/usao-wdpa/pr/ross-twp-man-illegally-used-internet-and-his-cell-phone-attempt-meet-14-year-old-boy</t>
  </si>
  <si>
    <t>Dylan Neill</t>
  </si>
  <si>
    <t>https://www.justice.gov/usao-me/pr/sanford-man-pleads-guilty-transferring-obscene-material-minor</t>
  </si>
  <si>
    <t>https://www.courtlistener.com/docket/15040753/united-states-v-neill/</t>
  </si>
  <si>
    <t>Roger Decoteau</t>
  </si>
  <si>
    <t>https://www.justice.gov/usao-nd/pr/turtle-mountain-indian-reservation-man-sentenced-30-years-federal-prison-sexually-abusing</t>
  </si>
  <si>
    <t>Adam Rene Rodriguez</t>
  </si>
  <si>
    <t>https://www.justice.gov/usao-edtx/pr/tarrant-county-man-guilty-child-coercion-and-enticement-violation</t>
  </si>
  <si>
    <t>https://www.courtlistener.com/docket/15081545/united-states-v-rodriguez/</t>
  </si>
  <si>
    <t>Timothy Dwayne Parker</t>
  </si>
  <si>
    <t>https://www.justice.gov/usao-ndok/pr/federal-grand-jury-criminal-indictments-announced-57</t>
  </si>
  <si>
    <t>Robert Sean Thomas Davis</t>
  </si>
  <si>
    <t>Alan Dennis Wolff</t>
  </si>
  <si>
    <t>https://www.fbi.gov/contact-us/field-offices/atlanta/news/press-releases/210-months-prison-sentence-for-oregon-sex-offender-caught-luring-threatening-young-columbus-girl-online</t>
  </si>
  <si>
    <t>Wayne Arthur Silsbee</t>
  </si>
  <si>
    <t>Sexual abuse of a minor &amp; related charges</t>
  </si>
  <si>
    <t xml:space="preserve">https://www.fbi.gov/contact-us/field-offices/portland/news/press-releases/man-on-the-run-for-23-years-turns-himself-in-to-oregon-city-police </t>
  </si>
  <si>
    <t>Theodore Taylor, Jr</t>
  </si>
  <si>
    <t>https://www.justice.gov/usao-sd/pr/eagle-butte-man-sentenced-multiple-charges</t>
  </si>
  <si>
    <t>Ryan Palmieri</t>
  </si>
  <si>
    <t>https://www.justice.gov/usao-edmo/pr/judge-sentences-charleston-south-carolina-man-80-months-prison-child-enticement</t>
  </si>
  <si>
    <t>Donald E. Ward</t>
  </si>
  <si>
    <t>https://www.justice.gov/usao-sdwv/pr/ohio-man-sentenced-traveling-meet-minor-sex-0</t>
  </si>
  <si>
    <t>https://www.courtlistener.com/docket/15653931/united-states-v-ward/</t>
  </si>
  <si>
    <t>Peter Bright</t>
  </si>
  <si>
    <t>https://www.justice.gov/usao-sdny/pr/former-journalist-convicted-trial-attempted-child-enticement</t>
  </si>
  <si>
    <t>https://heavy.com/news/2019/06/peter-bright-dr-pizza/ , https://www.dailydot.com/layer8/peter-bright-charged-soliciting-sex-minors/,  https://nymag.com/intelligencer/2020/02/drpizza-trial-peter-bright-trial-ends-in-hung-jury.html</t>
  </si>
  <si>
    <t>https://archive.vn/xzBlQ</t>
  </si>
  <si>
    <t>https://archive.vn/qUl7k</t>
  </si>
  <si>
    <t>Gary Wayne Lilly</t>
  </si>
  <si>
    <t>https://www.justice.gov/usao-sdwv/pr/five-defendants-plead-guilty-federal-court-traveling-have-sex-minors , https://www.justice.gov/usao-sdwv/pr/raleigh-county-man-sentenced-sex-offense-involving-minor</t>
  </si>
  <si>
    <t>Garrith Bitsilly</t>
  </si>
  <si>
    <t>https://www.justice.gov/usao-nm/pr/member-navajo-nation-sentenced-five-years-prison-abusive-sexual-contact-indian-country</t>
  </si>
  <si>
    <t>Jonathan Matthew Taylor</t>
  </si>
  <si>
    <t>Kenneth Lee Boston</t>
  </si>
  <si>
    <t>Michael Willins</t>
  </si>
  <si>
    <t>https://www.justice.gov/usao-edar/pr/jury-finds-memphis-man-guilty-attempted-enticement-and-traveling-sex-child</t>
  </si>
  <si>
    <t>Ronnie White Mountain</t>
  </si>
  <si>
    <t>https://www.justice.gov/usao-sd/pr/north-dakota-man-sentenced-aggravated-sexual-abuse-child-and-incest</t>
  </si>
  <si>
    <t>Davin Seth Waters</t>
  </si>
  <si>
    <t>https://www.justice.gov/usao-ndtx/pr/amarillo-area-child-predator-sentenced-life</t>
  </si>
  <si>
    <t>https://www.kcbd.com/2020/06/26/amarillo-area-child-predator-sentenced-life-prison/</t>
  </si>
  <si>
    <t>http://archive.vn/vzBIQ</t>
  </si>
  <si>
    <t>http://archive.vn/xEVKe</t>
  </si>
  <si>
    <t>Yoel Oberlander</t>
  </si>
  <si>
    <t>Project Safe Childhood- Sexual abuse of a minor &amp; related charges</t>
  </si>
  <si>
    <t>https://www.justice.gov/usao-nj/pr/registered-sex-offender-sentenced-one-year-jail-term-violating-terms-supervised-release</t>
  </si>
  <si>
    <t>Arun Dhavamani</t>
  </si>
  <si>
    <t>https://www.justice.gov/usao-sdwv/pr/two-men-sentenced-traveling-engage-sex-minor</t>
  </si>
  <si>
    <t>Jeffrey William Sexton, Jr.</t>
  </si>
  <si>
    <t>https://www.justice.gov/usao-sdwv/pr/federal-jury-finds-virginia-man-guilty-sex-offense-involving-minor , https://www.justice.gov/usao-sdwv/pr/two-men-sentenced-traveling-engage-sex-minor</t>
  </si>
  <si>
    <t>Joseph Daniel Kelly</t>
  </si>
  <si>
    <t>Operation End Game-Travel w/intent to engage sexual conduct w/ a minor</t>
  </si>
  <si>
    <t>https://www.justice.gov/usao-mdga/pr/sentencings-operation-end-game-child-exploitation-investigation , https://www.justice.gov/usao-mdga/pr/op-end-game-defendants-sentenced-seeking-sex-minors-online</t>
  </si>
  <si>
    <t>https://archive.vn/sWTRB</t>
  </si>
  <si>
    <t>https://archive.vn/cHwyu</t>
  </si>
  <si>
    <t>Casey Austin Desmuke</t>
  </si>
  <si>
    <t>Project Safe Childhood-Enticement of a minor to engage in sexual activity</t>
  </si>
  <si>
    <t>https://www.justice.gov/usao-sdga/pr/liberty-county-man-sentenced-federal-prison-enticing-child-sexual-activity</t>
  </si>
  <si>
    <t>Jeriah Mast</t>
  </si>
  <si>
    <t>https://christiannews.net/2019/07/03/amish-mennonite-aid-worker-who-fled-to-us-over-rape-of-boys-in-haiti-indicted-by-grand-jury-on-sex-abuse-charges-in-ohio/</t>
  </si>
  <si>
    <t>http://archive.fo/zh7C6</t>
  </si>
  <si>
    <t>http://archive.fo/d8akS</t>
  </si>
  <si>
    <t>Damon Whitebreast</t>
  </si>
  <si>
    <t>Project Safe Childhood-Rape of a minor</t>
  </si>
  <si>
    <t>https://www.justice.gov/usao-ndia/pr/man-who-raped-child-sent-federal-prison-decade</t>
  </si>
  <si>
    <t>Thomas Kyle Williams</t>
  </si>
  <si>
    <t>https://www.justice.gov/usao-ndok/pr/sand-springs-man-sentenced-10-years-attempted-coercion-and-enticement-minor-0</t>
  </si>
  <si>
    <t>Gregory Dow</t>
  </si>
  <si>
    <t>Project Safe Childhood- Aggravated sexual abuse of a minor &amp; related charges</t>
  </si>
  <si>
    <t>https://www.justice.gov/usao-edpa/pr/lancaster-man-pleads-guilty-charges-sexually-abusing-children-kenyan-orphanage , https://www.fbi.gov/contact-us/field-offices/philadelphia/news/press-releases/lancaster-man-pleads-guilty-to-charges-of-sexually-abus , https://www.justice.gov/opa/pr/man-sentenced-engaging-illicit-sexual-conduct-minors-republic-kenyaing-children-in-a-kenyan-orphanage</t>
  </si>
  <si>
    <t>Anthony Cory Plante</t>
  </si>
  <si>
    <t>https://www.justice.gov/usao-sd/pr/rapid-city-man-charged-aggravated-sexual-abuse-minor</t>
  </si>
  <si>
    <t>James Hughes Morriss</t>
  </si>
  <si>
    <t>https://www.justice.gov/usao-mdga/pr/former-georgia-youth-softball-umpire-pleads-guilty-child-sexual-exploitation-case , https://www.fbi.gov/contact-us/field-offices/atlanta/news/press-releases/former-georgia-youth-softball-umpire-sentenced-in-child-sexual-exploitation-case-judge-orders-no-contact-with-children , https://www.justice.gov/usao-mdga/pr/op-end-game-defendants-sentenced-seeking-sex-minors-online</t>
  </si>
  <si>
    <t>https://www.gwinnettdailypost.com/local/dacula-youth-umpire-removed-from-position-following-arrest-in-gbi/article_0cdcee32-b3cf-11e9-84dd-6b868cc2f160.html</t>
  </si>
  <si>
    <t xml:space="preserve"> John Wesley Ambrose</t>
  </si>
  <si>
    <t>Operation End Game-Attempted enticement of a minor</t>
  </si>
  <si>
    <t>https://www.justice.gov/usao-mdga/pr/op-end-game-defendant-sentenced-seeking-sex-minor-online , https://www.justice.gov/usao-mdga/pr/op-end-game-defendants-sentenced-seeking-sex-minors-online</t>
  </si>
  <si>
    <t>Steven Daniel Tutor</t>
  </si>
  <si>
    <t>https://www.justice.gov/usao-sdms/pr/ridgeland-man-sentenced-10-years-prison-attempted-enticement-minor</t>
  </si>
  <si>
    <t>Kyle Brackman</t>
  </si>
  <si>
    <t>Project Safe Childhood- Enticement of a minor</t>
  </si>
  <si>
    <t>https://www.justice.gov/usao-ndoh/pr/fulton-county-man-indicted-allegedly-attempting-coerce-15-year-old-girl-sexual-activity</t>
  </si>
  <si>
    <t>John David Martinez</t>
  </si>
  <si>
    <t>https://www.justice.gov/usao-ndtx/pr/lubbock-county-man-convicted-enticement-11-year-old-niece</t>
  </si>
  <si>
    <t xml:space="preserve">Mandrell Ray Roberts </t>
  </si>
  <si>
    <t>https://www.justice.gov/usao-edok/pr/okmulgee-man-sentenced-120-months-two-counts-abusive-sexual-contact-indian-country</t>
  </si>
  <si>
    <t>Cory Ryan Day</t>
  </si>
  <si>
    <t>Project Safe Childhood-Travel w/intent to engage sexual conduct w/a minor &amp; related charges</t>
  </si>
  <si>
    <t>https://www.justice.gov/usao-edtn/pr/cory-ryan-day-sentenced-enticement-child-sexual-purposes-and-traveling-intent-illicit</t>
  </si>
  <si>
    <t>Japher Rajab</t>
  </si>
  <si>
    <t>https://www.justice.gov/usao-sd/pr/rapid-city-man-found-guilty-attempting-entice-minor-using-internet , https://www.justice.gov/usao-sd/pr/wyoming-man-sentenced-10-years-prison-attempted-enticement-minor</t>
  </si>
  <si>
    <t>Nathan Lee Kempter</t>
  </si>
  <si>
    <t>Project Safe Childhood-Interstate travel, enticement of a minor &amp; related charges</t>
  </si>
  <si>
    <t>https://www.justice.gov/usao-ne/pr/colorado-man-found-guilty-interstate-travel-and-enticement-minor</t>
  </si>
  <si>
    <t>John Timothy Whicher</t>
  </si>
  <si>
    <t>Sexual conduct w/ a minor in a foreign place</t>
  </si>
  <si>
    <t>https://www.justice.gov/usao-wdwa/pr/port-townsend-washington-man-arrested-engaging-illicit-sexual-conduct-foreign-place</t>
  </si>
  <si>
    <t>Recep Sandikci</t>
  </si>
  <si>
    <t>https://www.justice.gov/usao-ndny/pr/new-jersey-man-pleads-guilty-traveling-albany-area-have-sex-thirteen-year-old-girl</t>
  </si>
  <si>
    <t>WIilliam Art Guoladdle, Sr</t>
  </si>
  <si>
    <t>https://www.justice.gov/usao-wdok/pr/weatherford-man-sentenced-78-months-federal-prison-abusive-sexual-contact-child-indian</t>
  </si>
  <si>
    <t>Jeffrey Charles Johnson</t>
  </si>
  <si>
    <t>https://www.justice.gov/usao-wdmo/pr/columbia-man-sentenced-15-years-attempting-entice-minor-illicit-sex</t>
  </si>
  <si>
    <t>Ira Little Bear</t>
  </si>
  <si>
    <t>https://www.justice.gov/usao-sd/pr/rapid-city-man-pleads-not-guilty-sexual-abuse-juveniles</t>
  </si>
  <si>
    <t>Ryan Joseph Cantrell</t>
  </si>
  <si>
    <t>https://www.justice.gov/usao-mt/pr/informational-federal-court-arraignments-53</t>
  </si>
  <si>
    <t>Cesar Agusto Guerrero, Jr</t>
  </si>
  <si>
    <t>https://www.justice.gov/usao-sdoh/pr/local-pastor-charged-coercing-minor-female , https://www.justice.gov/usao-sdoh/pr/local-pastor-pleads-guilty-coercion-and-enticement-involving-minor-parishioner , https://www.justice.gov/usao-sdoh/pr/local-pastor-sentenced-10-years-prison-sexually-coercing-minor-parishioner</t>
  </si>
  <si>
    <t>https://www.fox19.com/2021/01/26/former-pastor-sentenced-years-sex-crimes-against-minor-prosecutor-says/</t>
  </si>
  <si>
    <t>http://archive.fo/SJDJT</t>
  </si>
  <si>
    <t>http://archive.fo/SiqRU</t>
  </si>
  <si>
    <t>Jason Ray Smith</t>
  </si>
  <si>
    <t>https://www.justice.gov/usao-ndok/pr/federal-grand-jury-indictments-announced-1 , https://www.justice.gov/usao-ndok/pr/two-men-arrested-during-operation-independence-day-plead-guilty</t>
  </si>
  <si>
    <t>Joseph Hamilton</t>
  </si>
  <si>
    <t>https://www.justice.gov/usao-wdpa/pr/pittsburgh-man-charged-attempted-coercion-minor-sex , https://www.justice.gov/usao-wdpa/pr/pittsburgh-man-attempted-coerce-minor-have-sex , https://www.justice.gov/usao-wdpa/pr/former-pittsburgh-man-sentenced-15-years-prison-attempted-coercion-minor-sex</t>
  </si>
  <si>
    <t>Carl Ray Smith</t>
  </si>
  <si>
    <t>https://www.justice.gov/usao-edok/pr/okmulgee-man-sentenced-45-months-abusive-sexual-contact-child-under-12-0</t>
  </si>
  <si>
    <t>Gerald Joseph Braud, Jr.</t>
  </si>
  <si>
    <t>https://www.justice.gov/usao-mdla/pr/gonzales-man-sentenced-180-months-federal-prison-coersion-and-enticement-minor</t>
  </si>
  <si>
    <t>Dameon Kerk Allen</t>
  </si>
  <si>
    <t>https://www.justice.gov/usao-mdfl/pr/jury-convicts-florida-man-attempting-entice-minor-engage-sexual-activity , https://www.justice.gov/usao-mdfl/pr/florida-man-sentenced-10-years-attempting-entice-minor-engage-sexual-activity</t>
  </si>
  <si>
    <t>Thomas L Bishop</t>
  </si>
  <si>
    <t>https://www.justice.gov/usao-cdil/pr/champaign-man-sentenced-nine-years-prison-attempted-enticement-minor</t>
  </si>
  <si>
    <t>Phillip Little Hoop</t>
  </si>
  <si>
    <t>Sexual abusie of a child</t>
  </si>
  <si>
    <t>https://www.justice.gov/usao-sd/pr/rosebud-man-indicted-aggravated-sexual-abuse-child</t>
  </si>
  <si>
    <t>Wayne King</t>
  </si>
  <si>
    <t>https://www.justice.gov/usao-wdar/pr/harrison-man-sentenced-10-years-federal-prison-attempted-enticement-minor</t>
  </si>
  <si>
    <t>Nathan Roger Belcher</t>
  </si>
  <si>
    <t>https://www.justice.gov/usao-wdmo/pr/carl-junction-man-pleads-guilty-transporting-minor-illegal-sexual-activity</t>
  </si>
  <si>
    <t>https://www.courtlistener.com/docket/7899492/united-states-v-belcher/</t>
  </si>
  <si>
    <t>Scott Royal</t>
  </si>
  <si>
    <t>https://www.justice.gov/usao-wdar/pr/fayetteville-man-sentenced-10-years-federal-prison-attempted-enticement-minor</t>
  </si>
  <si>
    <t>William Bear Robe</t>
  </si>
  <si>
    <t>https://www.justice.gov/usao-sd/pr/nebraska-man-charged-aggravated-sexual-abuse-minor</t>
  </si>
  <si>
    <t>Dennis Cotto-Alvarado</t>
  </si>
  <si>
    <t>https://www.justice.gov/usao-pr/pr/girl-s-softball-coach-indicted-transportation-minor-intent-engage-criminal-sexual</t>
  </si>
  <si>
    <t>Jay Scott Cloutier</t>
  </si>
  <si>
    <t>https://www.justice.gov/usao-ndny/pr/maine-man-charged-attempted-sex-offenses-against-minor</t>
  </si>
  <si>
    <t>Larry Nathaniel</t>
  </si>
  <si>
    <t>Abusive Sexual contact w/ a minor</t>
  </si>
  <si>
    <t>https://www.justice.gov/usao-nm/pr/navajo-man-pleads-guilty-sexually-abusing-child</t>
  </si>
  <si>
    <t>Sanjay Lama</t>
  </si>
  <si>
    <t>https://www.justice.gov/usao-mdfl/pr/nepalese-citizen-arrested-and-charged-attempting-entice-and-meet-12-year-old-child</t>
  </si>
  <si>
    <t>Juan Carlos Morales-Pedraza</t>
  </si>
  <si>
    <t>Travel w/ intent to engage sexual conduct w/a minor &amp; related charges</t>
  </si>
  <si>
    <t>https://www.justice.gov/usao-nj/pr/passaic-county-man-charged-kidnapping-minor-and-transporting-her-ohio-engage-sexual</t>
  </si>
  <si>
    <t>Vince Edward Lasane</t>
  </si>
  <si>
    <t>https://www.ice.gov/news/releases/registered-sex-offender-convicted-child-sex-crimes</t>
  </si>
  <si>
    <t>Jeffrey Aronofsky</t>
  </si>
  <si>
    <t>https://www.justice.gov/usao-mdfl/pr/orlando-man-sentenced-20-years-attempting-sexually-entice-8-year-old-child</t>
  </si>
  <si>
    <t>Terrell Armstead</t>
  </si>
  <si>
    <t>https://www.justice.gov/usao-dc/pr/maryland-man-convicted-sex-trafficking-force-fraud-and-coercion</t>
  </si>
  <si>
    <t>Arthur James Mann</t>
  </si>
  <si>
    <t>https://www.justice.gov/usao-ndok/pr/federal-grand-jury-criminal-indictments-announced-62 , https://www.justice.gov/usao-ndok/pr/two-men-sentenced-attempted-enticement-and-receipt-child-pornography-0</t>
  </si>
  <si>
    <t>Carlito Santiago Santos</t>
  </si>
  <si>
    <t>https://www.justice.gov/usao-ndtx/pr/abilene-man-convicted-trial-enticing-minor-engage-sexual-activity</t>
  </si>
  <si>
    <t>Thomas Monti</t>
  </si>
  <si>
    <t>Project Safe Childhood-Travel w/intent to sexually abuse a minor</t>
  </si>
  <si>
    <t>https://www.justice.gov/usao-edva/pr/tennessee-man-sentenced-traveling-virginia-sexually-abuse-minors</t>
  </si>
  <si>
    <t>David Vance</t>
  </si>
  <si>
    <t>Child molestation</t>
  </si>
  <si>
    <t>https://www.sanluisobispo.com/news/local/crime/article235897227.html</t>
  </si>
  <si>
    <t>Clint Baer</t>
  </si>
  <si>
    <t>https://www.justice.gov/usao-edmo/pr/centralia-missouri-police-officer-charged-engaging-illicit-sexual-conduct-minor-0 , October 7, 2019</t>
  </si>
  <si>
    <t>https://www.stltoday.com/news/local/crime-and-courts/rural-missouri-cop-caught-in-fbi-sting-in-wentzville-trying/article_ee71feb8-edae-5737-b7d1-668c664c3605.html</t>
  </si>
  <si>
    <t>https://bloximages.newyork1.vip.townnews.com/stltoday.com/content/tncms/assets/v3/editorial/e/af/eafa30cd-0baf-594e-b6f0-4187a7e855f1/5d9e0d633b8c9.image.jpg?resize=225%2C193</t>
  </si>
  <si>
    <t>Tommy Lee Jenkins</t>
  </si>
  <si>
    <t>https://www.justice.gov/usao-edwi/pr/former-oshkosh-resident-charged-federal-court-walking-indianapolis-suburb-wisconsin , https://www.justice.gov/usao-edwi/pr/man-travelled-indiana-wisconsin-engage-sexual-activity-14-year-old-pleads- , https://www.justice.gov/usao-edwi/pr/indiana-man-who-trekked-foot-meet-wisconsin-minor-sentenced-ten-years-federal-prisonguilty</t>
  </si>
  <si>
    <t>Gary Ryan</t>
  </si>
  <si>
    <t>https://www.justice.gov/usao-ndny/pr/registered-sex-offender-charged-aggravated-sexual-abuse</t>
  </si>
  <si>
    <t>Asa Nall</t>
  </si>
  <si>
    <t>https://www.justice.gov/usao-mdfl/pr/jury-convicts-largo-man-attempting-entice-minor-engage-sexual-activity</t>
  </si>
  <si>
    <t>Montoryon Harris</t>
  </si>
  <si>
    <t>https://www.justice.gov/usao-wdmo/pr/kansas-sex-offender-pleads-guilty-illicit-sex-child</t>
  </si>
  <si>
    <t>Scott Cohen</t>
  </si>
  <si>
    <t>Project Safe Childhood-Child exploitation</t>
  </si>
  <si>
    <t>https://www.justice.gov/usao-ct/pr/dentist-charged-child-exploitation-offenses</t>
  </si>
  <si>
    <t>https://dailyvoice.com/connecticut/darien/news/fairfield-county-dentist-charged-with-child-exploitation-offenses-after-instagram-investigation/778260/</t>
  </si>
  <si>
    <t xml:space="preserve">https://archive.vn/JdeSW </t>
  </si>
  <si>
    <t xml:space="preserve">https://archive.vn/lFeuY </t>
  </si>
  <si>
    <t>Randal Wise</t>
  </si>
  <si>
    <t>https://www.justice.gov/usao-nj/pr/indiana-man-charged-attempted-online-enticement-child-engage-criminal-sexual-conduct</t>
  </si>
  <si>
    <t>Michael David Kirk</t>
  </si>
  <si>
    <t>https://www.justice.gov/usao-hi/pr/man-sentenced-ten-years-prison-attempted-sexual-enticement-minors</t>
  </si>
  <si>
    <t>Eric Butler</t>
  </si>
  <si>
    <t>Nobember, 2019</t>
  </si>
  <si>
    <t>https://www.justice.gov/usao-wdar/pr/northwest-arkansas-man-sentenced-over-11-years-federal-prison-attempted-enticement</t>
  </si>
  <si>
    <t>Thomas R. Alt</t>
  </si>
  <si>
    <t>https://www.justice.gov/usao-cdil/pr/nine-central-illinois-men-arrested-fbi-springfield-operation-charged-attempted</t>
  </si>
  <si>
    <t>Thomas Bauer</t>
  </si>
  <si>
    <t>Jacob N. Beeney</t>
  </si>
  <si>
    <t>Travis Koch</t>
  </si>
  <si>
    <t>Patrick Lanan</t>
  </si>
  <si>
    <t>Tyler D. Lee</t>
  </si>
  <si>
    <t>Keith Madson</t>
  </si>
  <si>
    <t>Hector Martinez</t>
  </si>
  <si>
    <t>Bernard Waibel</t>
  </si>
  <si>
    <t>Robert J. Kapishkowit</t>
  </si>
  <si>
    <t>https://www.justice.gov/usao-edwi/pr/menominee-man-charged-sexual-abuse-minor</t>
  </si>
  <si>
    <t>Leticia Lowery</t>
  </si>
  <si>
    <t>https://www.oxygen.com/crime-news/leticia-lowery-ex-texas-teacher-gets-20-years-for-sexually-abusing-teens</t>
  </si>
  <si>
    <t>https://archive.vn/wip/7E3cj</t>
  </si>
  <si>
    <t>https://archive.vn/wip/8HIc0</t>
  </si>
  <si>
    <t>Michael Wilson</t>
  </si>
  <si>
    <t>Project Safe Childhood-Coercing of a minor for sex</t>
  </si>
  <si>
    <t>https://www.justice.gov/usao-sdga/pr/man-indicted-coercing-minors-sex-wife-accused-trying-persuade-victim-recant , https://www.justice.gov/usao-sdga/pr/richmond-hill-man-admits-attempted-child-sexual-coercion ,  https://www.justice.gov/usao-sdga/pr/bryan-county-man-sentenced-federal-prison-attempted-coercion-child-sexual-activity</t>
  </si>
  <si>
    <t>https://www.ajc.com/news/crime--law/internet-fortune-tellers-from-georgia-indicted-child-sex-tampering-charges/05sqXos1EYxYUWhDmswogO/</t>
  </si>
  <si>
    <t>https://archive.vn/GtAQp</t>
  </si>
  <si>
    <t>https://archive.vn/RD8TG</t>
  </si>
  <si>
    <t>Lori Wilson</t>
  </si>
  <si>
    <t>https://www.justice.gov/usao-sdga/pr/man-indicted-coercing-minors-sex-wife-accused-trying-persuade-victim-recant</t>
  </si>
  <si>
    <t>Brad Eugene Collins, Jr.</t>
  </si>
  <si>
    <t>https://www.fbi.gov/contact-us/field-offices/sanjuan/news/press-releases/arrest-of-brad-eugene-collins-jr</t>
  </si>
  <si>
    <t>Michael Dean Johnson</t>
  </si>
  <si>
    <t>https://www.justice.gov/usao-sd/pr/pukwana-man-charged-abusive-sexual-contact-child</t>
  </si>
  <si>
    <t>Michael Don Billups,</t>
  </si>
  <si>
    <t>Project Safe Childhood-Transportation of a minor to engage sexual conduct  &amp; related charges</t>
  </si>
  <si>
    <t>https://www.justice.gov/usao-ndtx/pr/west-texas-child-predator-sentenced-life-federal-prison</t>
  </si>
  <si>
    <t>https://www.msn.com/en-us/news/crime/seminole-man-sentenced-to-life-in-prison-for-sexually-abusing-boy-in-multiple-states/ar-BB1c3F8L</t>
  </si>
  <si>
    <t>https://archive.vn/wip/fZJA4</t>
  </si>
  <si>
    <t>https://archive.vn/FC30q</t>
  </si>
  <si>
    <t>Joshua Kevin Laxton</t>
  </si>
  <si>
    <t>https://www.justice.gov/usao-sdwv/pr/three-defendants-plead-guilty-federal-court-sex-offenses-involving-minors , https://www.justice.gov/usao-sdwv/pr/mercer-county-man-sentenced-federal-prison-sex-offense</t>
  </si>
  <si>
    <t>William Sage</t>
  </si>
  <si>
    <t>https://www.justice.gov/usao-ndga/pr/fbi-sting-operation-nabs-four-men-charged-attempting-entice-minors-engage-sexual</t>
  </si>
  <si>
    <t>Rolando Hernandes</t>
  </si>
  <si>
    <t>Mark Hanna</t>
  </si>
  <si>
    <t>James Daniel Stinchcomb</t>
  </si>
  <si>
    <t>Barry Allen Gabelman</t>
  </si>
  <si>
    <t>https://www.justice.gov/usao-nv/pr/las-vegas-man-indicted-child-exploitation-violations</t>
  </si>
  <si>
    <t>Christopher Allen Carmichael</t>
  </si>
  <si>
    <t>https://www.justice.gov/usao-ak/pr/bethel-elementary-principal-arrested-and-charged-attempted-coercion-and-enticement-minor</t>
  </si>
  <si>
    <t>https://www.ktuu.com/content/news/Former-Bethel-elementary-school-principal-indicted-on-two-new-charges-569733501.html</t>
  </si>
  <si>
    <t>https://archive.vn/44oD3</t>
  </si>
  <si>
    <t>https://archive.vn/Tior4</t>
  </si>
  <si>
    <t>Charles Hustis</t>
  </si>
  <si>
    <t>https://www.justice.gov/usao-sdny/pr/former-cold-spring-public-official-and-teacher-arrested-attempted-child-enticement</t>
  </si>
  <si>
    <t>https://www.theexaminernews.com/former-cold-spring-trustee-arrested-by-fbi-for-attempting-to-lure-teen/</t>
  </si>
  <si>
    <t>https://archive.vn/zmpOE</t>
  </si>
  <si>
    <t>https://archive.vn/ZsIy5</t>
  </si>
  <si>
    <t>Renad Bautista</t>
  </si>
  <si>
    <t>https://www.justice.gov/usao-wdpa/pr/nevada-man-indicted-attempted-coercion-minor-and-travel-sex-charges</t>
  </si>
  <si>
    <t>Jose Cruz Naranjo Silva</t>
  </si>
  <si>
    <t>Committing lewd or lascivious act with a child</t>
  </si>
  <si>
    <t>https://www.fbi.gov/contact-us/field-offices/sacramento/news/press-releases/sacramento-fugitive-extradited-from-mexico</t>
  </si>
  <si>
    <t>Christopher Bald Eagle</t>
  </si>
  <si>
    <t>Transportation of a minor to engage sexual conduct</t>
  </si>
  <si>
    <t>https://www.justice.gov/usao-sd/pr/rapid-city-man-indicted-kidnapping-juvenile</t>
  </si>
  <si>
    <t>Cecil Long</t>
  </si>
  <si>
    <t>Aggravated sexual abuse of a child</t>
  </si>
  <si>
    <t>https://www.justice.gov/usao-sd/pr/flandreau-man-charged-aggravated-sexual-abuse-child</t>
  </si>
  <si>
    <t>Kraig David Van Winkle</t>
  </si>
  <si>
    <t xml:space="preserve">https://www.justice.gov/usao-wdtx/pr/schertz-man-indicted-kidnapping-child-exploitation </t>
  </si>
  <si>
    <t>Franklin Love McDaniel</t>
  </si>
  <si>
    <t>https://www.justice.gov/usao-sd/pr/georgia-man-indicted-sexual-exploitation-minors</t>
  </si>
  <si>
    <t>Kyle Ellery</t>
  </si>
  <si>
    <t>https://www.justice.gov/usao-ks/pr/indictment-honduran-citizen-attacked-immigration-officers</t>
  </si>
  <si>
    <t>William Scott Smith</t>
  </si>
  <si>
    <t>https://www.justice.gov/usao-edky/pr/maysville-man-pleads-guilty-attempted-enticement-minor</t>
  </si>
  <si>
    <t>Charles Richeards Jr</t>
  </si>
  <si>
    <t>https://www.justice.gov/usao-sd/pr/pine-ridge-man-charged-aggravated-sexual-abuse</t>
  </si>
  <si>
    <t>Conrad Good Voice, Jr</t>
  </si>
  <si>
    <t>https://www.justice.gov/usao-sd/pr/sicangu-village-man-indicted-aggravated-sexual-abuse</t>
  </si>
  <si>
    <t>Jason Leonard Valdivia</t>
  </si>
  <si>
    <t>https://www.justice.gov/usao-edtn/pr/truck-driver-sentenced-25-years-prison-sexually-assaulting-minors-during-cross-countr-0</t>
  </si>
  <si>
    <t>Joseph Dallas Spotted Horse</t>
  </si>
  <si>
    <t>https://www.justice.gov/usao-sd/pr/mclaughlin-man-charged-abusive-sexual-contact-child</t>
  </si>
  <si>
    <t>Randy Eignor</t>
  </si>
  <si>
    <t>https://www.justice.gov/usao-ndny/pr/rotterdam-man-arrested-attempted-enticement-and-coercion-minor , https://www.justice.gov/usao-ndny/pr/rotterdam-man-pleads-guilty-attempted-online-enticement-minor</t>
  </si>
  <si>
    <t>Joshua T. Koenig</t>
  </si>
  <si>
    <t>https://www.justice.gov/usao-cdil/pr/15-central-illinois-men-arrested-fbi-operation-kankakee-area</t>
  </si>
  <si>
    <t>Jody L. Lagesse</t>
  </si>
  <si>
    <t xml:space="preserve">https://www.justice.gov/usao-cdil/pr/15-central-illinois-men-arrested-fbi-operation-kankakee-area </t>
  </si>
  <si>
    <t>Shane R. Ferris</t>
  </si>
  <si>
    <t>Nick Vincent Senor</t>
  </si>
  <si>
    <t>Dale Martin Alvin Scering</t>
  </si>
  <si>
    <t>Robert Shawn Anderson</t>
  </si>
  <si>
    <t>Bryan Rossi</t>
  </si>
  <si>
    <t>Timothy Lyle Dean</t>
  </si>
  <si>
    <t>Matthew T. Gribbon</t>
  </si>
  <si>
    <t>Project Safe Childhood-Attempted enticement of a minor &amp; related charges</t>
  </si>
  <si>
    <t>Ryan I. Woodruff</t>
  </si>
  <si>
    <t>Anmol Chugh</t>
  </si>
  <si>
    <t>Kyren Williams</t>
  </si>
  <si>
    <t>Cole Montgomery</t>
  </si>
  <si>
    <t>Joseph Adam Longanecker</t>
  </si>
  <si>
    <t>Jazzie Simmons</t>
  </si>
  <si>
    <t>Wayne Dale Epps, Jr.</t>
  </si>
  <si>
    <t xml:space="preserve">https://www.justice.gov/usao-mdfl/pr/jacksonville-man-arrested-and-charged-attempting-entice-and-meet-12-year-old-child </t>
  </si>
  <si>
    <t>Brian Kosanovich</t>
  </si>
  <si>
    <t>https://www.justice.gov/usao-edva/pr/firefighter-pleads-guilty-attempted-coercion-and-enticement-minor</t>
  </si>
  <si>
    <t>Richard Franklin Jensen, III</t>
  </si>
  <si>
    <t>https://www.justice.gov/usao-mdfl/pr/georgia-attorney-sentenced-more-12-years-attempting-entice-minor-engage-sexual-activity</t>
  </si>
  <si>
    <t>Mikel Bradley Smith</t>
  </si>
  <si>
    <t>https://www.justice.gov/usao-sdwv/pr/ohio-man-pleads-guilty-sex-offense-involving-minors , https://www.justice.gov/usao-sdwv/pr/two-men-sentenced-federal-prison-sex-offenses-involving-minors</t>
  </si>
  <si>
    <t>Thomas Donald Boatright</t>
  </si>
  <si>
    <t>Project Safe Childhood- Enticement of a minor &amp; related charges</t>
  </si>
  <si>
    <t>https://www.justice.gov/usao-sdia/pr/council-bluffs-man-pleads-guilty-coercion-and-enticement-foreign-exchange-students</t>
  </si>
  <si>
    <t>Austin Smith</t>
  </si>
  <si>
    <t>https://www.justice.gov/usao-or/pr/warm-springs-man-charged-aggravated-sexual-abuse-minor-additional-victims-sought</t>
  </si>
  <si>
    <t>Aungsun Naywin</t>
  </si>
  <si>
    <t>https://www.justice.gov/usao-edtn/pr/indiana-man-charged-traveling-tennessee-have-sex-13-year-old-child</t>
  </si>
  <si>
    <t>Adam Swift</t>
  </si>
  <si>
    <t>https://www.justice.gov/usao-sd/pr/box-elder-man-charged-attempting-entice-minor-using-internet</t>
  </si>
  <si>
    <t>Joseph McGrain</t>
  </si>
  <si>
    <t>https://www.justice.gov/usao-wdny/pr/greee-man-arrested-and-charged-enticing-minor-engage-sexual-activity</t>
  </si>
  <si>
    <t>Matthew John Dietz</t>
  </si>
  <si>
    <t>https://www.fbi.gov/contact-us/field-offices/detroit/news/press-releases/wanted-fbi-fugitive-matthew-dietz-captured-in-alpena-michigan</t>
  </si>
  <si>
    <t>https://archive.vn/wip/5X9KP</t>
  </si>
  <si>
    <t>Roy James Smith</t>
  </si>
  <si>
    <t>https://www.kalb.com/content/news/Glenmora-man-arrested-for-100-counts-of-rape-of-victim-under-age-of-13-569703281.html</t>
  </si>
  <si>
    <t>https://archive.vn/efiE2</t>
  </si>
  <si>
    <t>https://archive.vn/Ajrak</t>
  </si>
  <si>
    <t>Manuel Oppenheimer</t>
  </si>
  <si>
    <t>https://www.justice.gov/usao-wdnc/pr/brooklyn-man-charged-traveling-charlotte-engage-sexual-activity-minor-appears-federal</t>
  </si>
  <si>
    <t>Bryan P. Krynicki</t>
  </si>
  <si>
    <t>https://www.justice.gov/usao-ndny/pr/western-massachusetts-man-charged-traveling-and-intending-meet-minor-sex</t>
  </si>
  <si>
    <t>Larry Richard Dickerson</t>
  </si>
  <si>
    <t>https://www.justice.gov/usao-sdoh/pr/lancaster-man-pleads-guilty-attempting-sexually-coerce-minor</t>
  </si>
  <si>
    <t>Peter N. Allen</t>
  </si>
  <si>
    <t>https://www.justice.gov/usao-ndny/pr/pennsylvania-man-arrested-attempted-enticement-and-coercion-minor</t>
  </si>
  <si>
    <t>Jimmy Andrés Díaz Rosa</t>
  </si>
  <si>
    <t>Reinaldo Rodríguez Colón</t>
  </si>
  <si>
    <t xml:space="preserve">Fernando Miguel Velázquez-Pérez </t>
  </si>
  <si>
    <t>Sean Matthew Williams</t>
  </si>
  <si>
    <t>https://www.justice.gov/usao-ndia/pr/edgerton-wisconsin-man-sentenced-federal-prison-enticement-child</t>
  </si>
  <si>
    <t>J Scott Moretti</t>
  </si>
  <si>
    <t>Child molestation related charges</t>
  </si>
  <si>
    <t>https://www.washingtonpost.com/crime-law/2020/05/07/former-top-state-department-official-arrested-child-molestation-charges/</t>
  </si>
  <si>
    <t>https://archive.vn/MOYsB</t>
  </si>
  <si>
    <t>https://archive.vn/wip/Qkm55</t>
  </si>
  <si>
    <t>Jerrell West</t>
  </si>
  <si>
    <t>https://www.fbi.gov/contact-us/field-offices/stlouis/news/press-releases/arkansas-man-charged-with-traveling-to-missouri-with-intent-to-have-sex-with-minor</t>
  </si>
  <si>
    <t>Ricky Joe Cornish Jr.</t>
  </si>
  <si>
    <t>https://www.justice.gov/usao-edky/pr/frankfort-man-sentenced-120-months-attempting-entice-minor-online</t>
  </si>
  <si>
    <t>Chaminda Prabhath Palliyaguru</t>
  </si>
  <si>
    <t>Rape of a minor child &lt;13</t>
  </si>
  <si>
    <t>https://www.fbi.gov/contact-us/field-offices/cincinnati/news/press-releases/chaminda-prabhath-palliyaguru-wanted-for-allegedly-raping-a-child-victim-in-franklin-county-now-in-custody</t>
  </si>
  <si>
    <t>https://archive.vn/RyLlH</t>
  </si>
  <si>
    <t>https://archive.vn/BUQbi</t>
  </si>
  <si>
    <t>https://www.justice.gov/usao-nm/pr/las-cruces-man-pleads-guilty-attempted-coercion-and-enticement-minor</t>
  </si>
  <si>
    <t>Jerald Sells</t>
  </si>
  <si>
    <t>https://www.justice.gov/usao-sdal/pr/mobile-man-sentenced-forty-years-prison-child-sex-abuse-case</t>
  </si>
  <si>
    <t>Eugene Enrique Torres</t>
  </si>
  <si>
    <t>https://www.justice.gov/usao-sdwv/pr/fayette-county-man-pleads-guilty-attempted-enticement-minor , https://www.justice.gov/usao-sdwv/pr/fayette-county-man-sentenced-15-years-federal-prison-attempted-enticement-minor</t>
  </si>
  <si>
    <t>Panama</t>
  </si>
  <si>
    <t>Nathan Landrum</t>
  </si>
  <si>
    <t>Project Safe Childhood-Entricement of a minor &amp; related charges</t>
  </si>
  <si>
    <t xml:space="preserve">https://www.justice.gov/usao-ndia/pr/iowa-man-who-used-facebook-messenger-entice-12-year-old-sexual-activity-pleads-guilty </t>
  </si>
  <si>
    <t>https://www.justice.gov/usao-nm/pr/member-navajo-nation-newcomb-new-mexico-pleads-guilty-abusive-sexual-contact-indian , https://www.justice.gov/usao-nm/pr/member-navajo-nation-newcomb-new-mexico-pleads-guilty-abusive-sexual-contact-indian</t>
  </si>
  <si>
    <t>James A Diggs</t>
  </si>
  <si>
    <t>Unknownn</t>
  </si>
  <si>
    <t>https://www.justice.gov/usao-nj/pr/somerset-county-man-charged-online-enticement-minor-and-traveling-overseas-engage</t>
  </si>
  <si>
    <t>Bruce A. Wakker</t>
  </si>
  <si>
    <t>https://www.justice.gov/usao-ndny/pr/syracuse-man-charged-attempted-enticement-minor</t>
  </si>
  <si>
    <t>Robert Shiflet</t>
  </si>
  <si>
    <t>https://www.justice.gov/usao-edar/pr/former-youth-pastor-charged-multiple-sex-crimes , https://www.justice.gov/usao-edar/pr/former-youth-pastor-pleads-guilty-transporting-minors-sexual-activity</t>
  </si>
  <si>
    <t>Shannon Kuchler</t>
  </si>
  <si>
    <t>https://www.justice.gov/usao-wdtx/pr/san-antonio-man-charged-transporting-minor-living-boston-texas-engage-sexual-relations</t>
  </si>
  <si>
    <t>Robert McAdam</t>
  </si>
  <si>
    <t>https://www.justice.gov/usao-ndny/pr/vermont-man-charged-traveling-meet-minor-sex</t>
  </si>
  <si>
    <t>Neil Streich</t>
  </si>
  <si>
    <t>https://www.justice.gov/usao-ri/pr/north-kingstown-man-charged-transferring-obscene-material-minor</t>
  </si>
  <si>
    <t>Guillermo Martinez-Pedraza</t>
  </si>
  <si>
    <t>Sexual assauld of a child</t>
  </si>
  <si>
    <t>https://www.cbp.gov/newsroom/local-media-release/laredo-sector-border-patrol-continues-apprehend-child-molesters</t>
  </si>
  <si>
    <t>http://archive.vn/wip/FQJ6w</t>
  </si>
  <si>
    <t>Juan Francisco Leal-Coronado</t>
  </si>
  <si>
    <t>Indecency with a child</t>
  </si>
  <si>
    <t xml:space="preserve">https://www.cbp.gov/newsroom/local-media-release/laredo-sector-border-patrol-continues-apprehend-child-molesters </t>
  </si>
  <si>
    <t>http://archive.vn/nv2L1</t>
  </si>
  <si>
    <t>Cesar Lopez-Pinon</t>
  </si>
  <si>
    <t>Molestation of a minor</t>
  </si>
  <si>
    <t>http://archive.vn/wip/PYC86</t>
  </si>
  <si>
    <t>Tzu Fan Chen</t>
  </si>
  <si>
    <t>https://www.justice.gov/usao-ndtx/pr/plano-man-convicted-enticing-12-year-old-girl</t>
  </si>
  <si>
    <t>Jason Jay Tallbull</t>
  </si>
  <si>
    <t>https://www.justice.gov/usao-mt/pr/lame-deer-man-admits-attempting-sexual-abuse-minor , https://www.justice.gov/usao-mt/pr/lame-deer-man-sentenced-more-10-years-prison-attempted-sexual-abuse-minor</t>
  </si>
  <si>
    <t>Brett Brimberry</t>
  </si>
  <si>
    <t>Richard L Britt</t>
  </si>
  <si>
    <t>Urich Gaines</t>
  </si>
  <si>
    <t>Kevin Kamler</t>
  </si>
  <si>
    <t>Brian Lotz</t>
  </si>
  <si>
    <t>Anthony Parrish</t>
  </si>
  <si>
    <t>Philip M Reis</t>
  </si>
  <si>
    <t>Gerald S Sewell</t>
  </si>
  <si>
    <t>James R Sears</t>
  </si>
  <si>
    <t>Travis Shubert</t>
  </si>
  <si>
    <t>Preston Thomas</t>
  </si>
  <si>
    <t>Ehab Sadeek</t>
  </si>
  <si>
    <t>https://www.justice.gov/usao-sdtx/pr/egyptian-national-charged-committing-offenses-against-south-texas-minor</t>
  </si>
  <si>
    <t>Priscilla Vogelbacher</t>
  </si>
  <si>
    <t>https://www.justice.gov/usao-wdny/pr/ohio-resident-indicted-charges-enticement-and-having-sex-minor</t>
  </si>
  <si>
    <t>Lazaro Benito Rocha</t>
  </si>
  <si>
    <t>Operation Ceberus-Attemped enticement of a minor</t>
  </si>
  <si>
    <t>https://www.ice.gov/news/releases/former-southeast-texas-elementary-teacher-admits-explicit-sexual-conversations-minors , https://www.justice.gov/usao-sdtx/pr/former-elementary-teacher-imprisoned-explicit-sexual-conversations-originating</t>
  </si>
  <si>
    <t>Ricardo Ortiz</t>
  </si>
  <si>
    <t>https://www.fbi.gov/contact-us/field-offices/elpaso/news/press-releases/joint-fbi-tx-dps-and-ep-county-constables-office-announce-the-results-of-operation-cerberus</t>
  </si>
  <si>
    <t>Steven Orozco</t>
  </si>
  <si>
    <t>Cayetano Lopez</t>
  </si>
  <si>
    <t>Anthony Tew</t>
  </si>
  <si>
    <t>Alfredo Ramos</t>
  </si>
  <si>
    <t>Mark Coleman</t>
  </si>
  <si>
    <t>https://www.justice.gov/usao-sdms/pr/former-jackson-police-officer-charged-enticement-minor-and-obstruction-investigation</t>
  </si>
  <si>
    <t>https://www.wlbt.com/2020/07/20/ex-jackson-police-officer-indicted-federal-charges-related-may-child-exploitation-arrest/</t>
  </si>
  <si>
    <t>https://archive.vn/unATl</t>
  </si>
  <si>
    <t>https://archive.vn/7Sfv4</t>
  </si>
  <si>
    <t>https://www.justice.gov/usao-ma/pr/plainville-man-charged-enticement-minor</t>
  </si>
  <si>
    <t>Kevin Lee Farmer</t>
  </si>
  <si>
    <t>Aggravated sexual abuse of a minor &amp; related charges</t>
  </si>
  <si>
    <t>https://www.justice.gov/usao-sd/pr/agency-village-man-charged-six-counts-aggravated-sexual-abuse-child-and-six-counts</t>
  </si>
  <si>
    <t>Chazzman K. Chung</t>
  </si>
  <si>
    <t>https://www.justice.gov/usao-ct/pr/navy-technician-sentenced-prison-sexually-abusing-minor-groton-sub-base</t>
  </si>
  <si>
    <t>Richard O’Hara</t>
  </si>
  <si>
    <t>https://www.justice.gov/usao-ndny/pr/broome-county-man-arrested-charges-attempted-coercion-and-enticement-minor</t>
  </si>
  <si>
    <t>Meighan O’Donnell</t>
  </si>
  <si>
    <t>Project Safe Childhood-Aggravated sexual abuse of a child</t>
  </si>
  <si>
    <t>https://www.justice.gov/usao-sdga/pr/former-fort-stewart-resident-indicted-federal-charges-sexual-abuse-child</t>
  </si>
  <si>
    <t>Brian Botsford</t>
  </si>
  <si>
    <t>https://www.justice.gov/usao-ndny/pr/troy-man-charged-attempted-enticement-child</t>
  </si>
  <si>
    <t>Cody Wayne Hopkins</t>
  </si>
  <si>
    <t>Michael Ray Hudson</t>
  </si>
  <si>
    <t>Travis John McDonald</t>
  </si>
  <si>
    <t>William Nicholas Riley</t>
  </si>
  <si>
    <t>Darren Wilber Harrison</t>
  </si>
  <si>
    <t>Christopher Covey Dale Truax</t>
  </si>
  <si>
    <t>Thomas Squires</t>
  </si>
  <si>
    <t>https://www.justice.gov/usao-ndny/pr/greene-county-man-charged-attempted-enticement-child</t>
  </si>
  <si>
    <t>Donald Ray Gardner</t>
  </si>
  <si>
    <t>https://www.justice.gov/usao-mt/pr/informational-federal-court-arraignments-94</t>
  </si>
  <si>
    <t>Jacob Gorman</t>
  </si>
  <si>
    <t>https://www.justice.gov/usao-ndny/pr/tioga-county-man-charged-attempted-enticement-child , https://www.justice.gov/usao-ndny/pr/tioga-county-man-pleads-guilty-attempted-online-enticement-minor-0</t>
  </si>
  <si>
    <t>Charles E. Brinkley</t>
  </si>
  <si>
    <t>https://www.justice.gov/usao-cdil/pr/ten-men-arrested-charged-attempted-enticement-child-engage-sexual-activity</t>
  </si>
  <si>
    <t>Rafael Mercado Berrios, aka Jose Berrios</t>
  </si>
  <si>
    <t xml:space="preserve">https://www.justice.gov/usao-cdil/pr/ten-men-arrested-charged-attempted-enticement-child-engage-sexual-activity </t>
  </si>
  <si>
    <t>Zachary Jones</t>
  </si>
  <si>
    <t>James Simons, Jr.</t>
  </si>
  <si>
    <t>Matthew Faubel</t>
  </si>
  <si>
    <t>Jason King</t>
  </si>
  <si>
    <t>Matthew Wetzel</t>
  </si>
  <si>
    <t>Shondell Hodges</t>
  </si>
  <si>
    <t>Stacey Furlow</t>
  </si>
  <si>
    <t>James Hammonds</t>
  </si>
  <si>
    <t>JImcy McGirt</t>
  </si>
  <si>
    <t>https://www.justice.gov/usao-edok/pr/forty-two-individuals-indicted-august-september-grand-juries , https://www.justice.gov/usao-edok/pr/jimcy-mcgirt-found-guilty-aggravated-sexual-abuse-abusive-sexual-contact-indian-country</t>
  </si>
  <si>
    <t>Jayce Michael Mosquito</t>
  </si>
  <si>
    <t xml:space="preserve">https://www.justice.gov/usao-edok/pr/forty-two-individuals-indicted-august-september-grand-juries </t>
  </si>
  <si>
    <t>Joshua Dale Armstrong</t>
  </si>
  <si>
    <t>https://www.justice.gov/usao-ndok/pr/federal-grand-jury-hands-down-more-60-indictments-september , https://www.justice.gov/usao-ndok/pr/tulsa-man-pleads-guilty-sexually-abusing-child-indian-country</t>
  </si>
  <si>
    <t>Operation Saints and Sinners-Sexual abuse of a minor</t>
  </si>
  <si>
    <t>https://www.usmarshals.gov/news/chron/2020/100620a.htm</t>
  </si>
  <si>
    <t>Jason Hernandez</t>
  </si>
  <si>
    <t>https://www.ice.gov/news/releases/south-texas-man-sentenced-more-11-years-enticing-minor-social-media</t>
  </si>
  <si>
    <t>Bradley Don Goodin</t>
  </si>
  <si>
    <t>https://www.justice.gov/usao-ndok/pr/federal-grand-jury-hands-down-more-60-indictments-september</t>
  </si>
  <si>
    <t>Solomon Lamont Horsechief</t>
  </si>
  <si>
    <t>Earnest Lee Pittman, Jr</t>
  </si>
  <si>
    <t>https://www.justice.gov/usao-mdpa/pr/cresco-man-indicted-online-child-enticement</t>
  </si>
  <si>
    <t>Timothy Carter</t>
  </si>
  <si>
    <t>https://www.justice.gov/usao-wdny/pr/geneva-man-charged-enticement-minor</t>
  </si>
  <si>
    <t>McKean Walton</t>
  </si>
  <si>
    <t>Sexual assault of a child</t>
  </si>
  <si>
    <t>https://www.justice.gov/usao-co/pr/former-executive-officer-southern-ute-indian-tribe-indicted-sexual-assault-child</t>
  </si>
  <si>
    <t>Verlin Old Horse</t>
  </si>
  <si>
    <t>https://www.justice.gov/usao-sd/pr/kyle-man-indicted-sexual-abuse-minor</t>
  </si>
  <si>
    <t>Robert Hadden</t>
  </si>
  <si>
    <t>https://www.justice.gov/usao-sdny/pr/former-obstetriciangynecologist-robert-hadden-charged-manhattan-federal-court-sexually</t>
  </si>
  <si>
    <t>https://wsvn.com/news/us-world/new-york-gynecologist-charged-with-six-federal-sex-abuse-counts/</t>
  </si>
  <si>
    <t>https://archive.vn/EwbzZ</t>
  </si>
  <si>
    <t>https://archive.vn/OOjTi</t>
  </si>
  <si>
    <t>Dawson Donner</t>
  </si>
  <si>
    <t>https://www.justice.gov/usao-sd/pr/fort-thompson-man-charged-sexual-abuse-minor-0</t>
  </si>
  <si>
    <t xml:space="preserve"> Jeremiah Elijah Jim / Bryan Bull</t>
  </si>
  <si>
    <t>https://www.justice.gov/usao-nm/pr/two-navajo-men-charged-sexual-abuse-minor-indian-country</t>
  </si>
  <si>
    <t>Carl Francis Martin, a/k/a Roy Martin</t>
  </si>
  <si>
    <t>https://www.justice.gov/usao-sd/pr/pine-ridge-man-charged-aggravated-sexual-abuse-minor</t>
  </si>
  <si>
    <t>Ryan Kee Jones</t>
  </si>
  <si>
    <t>https://www.justice.gov/usao-nm/pr/member-navajo-nation-charged-sexual-abuse-minor-indian-country</t>
  </si>
  <si>
    <t>Troy Douglas Blaylock, Sr</t>
  </si>
  <si>
    <t>https://www.justice.gov/usao-nm/pr/mescalero-man-charged-aggravated-sexual-abuse-child</t>
  </si>
  <si>
    <t>James Palmucci</t>
  </si>
  <si>
    <t xml:space="preserve">https://www.winknews.com/2020/09/22/charlotte-county-man-faces-83-charges-of-crimes-against-children/ </t>
  </si>
  <si>
    <t>https://archive.vn/Lr8EG</t>
  </si>
  <si>
    <t>https://archive.vn/wip/LTlwF</t>
  </si>
  <si>
    <t>Eduardo Silva</t>
  </si>
  <si>
    <t>https://www.justice.gov/usao-nj/pr/new-york-man-charged-attempted-illegal-sexual-conduct-minor</t>
  </si>
  <si>
    <t>Vernon Schermerhorn III</t>
  </si>
  <si>
    <t>https://www.justice.gov/usao-wdny/pr/albany-county-man-arrested-charged-attempted-enticement-minor</t>
  </si>
  <si>
    <t>Edward Ray Loretto</t>
  </si>
  <si>
    <t>https://www.justice.gov/usao-nm/pr/member-pueblo-jemez-faces-charges-sexual-abuse-minor</t>
  </si>
  <si>
    <t>Coalton Payne Guinn</t>
  </si>
  <si>
    <t>https://www.justice.gov/usao-ndok/pr/federal-grand-jury-b-indictments-announced-october</t>
  </si>
  <si>
    <t>Casey Brandon Peterson</t>
  </si>
  <si>
    <t xml:space="preserve">https://www.justice.gov/usao-ndok/pr/federal-grand-jury-b-indictments-announced-october </t>
  </si>
  <si>
    <t>Ryan Lee</t>
  </si>
  <si>
    <t xml:space="preserve">Project Safe Childhood- attempted enticement of a minor &amp; txfr of obscene material </t>
  </si>
  <si>
    <t xml:space="preserve">https://www.justice.gov/usao-nj/pr/three-men-charged-federal-sex-crimes-after-attempting-sexual-contact-children-they-met </t>
  </si>
  <si>
    <t>Robert William Perry II</t>
  </si>
  <si>
    <t>https://www.justice.gov/usao-ndok/pr/federal-grand-jury-indictments-announced-5</t>
  </si>
  <si>
    <t>Max Paul Levine</t>
  </si>
  <si>
    <t>Project Safe Childhood-Transportation of a minor across state lines to engage sexual conduct  &amp; related charges</t>
  </si>
  <si>
    <t>https://www.justice.gov/usao-ndwv/pr/new-york-man-admits-taking-west-virginia-teen-across-state-lines-sex</t>
  </si>
  <si>
    <t>Austin Stevens</t>
  </si>
  <si>
    <t>Aggravated sexual abuse of a minor, murder, &amp; related charges</t>
  </si>
  <si>
    <t>https://breaking911.com/deeply-disturbing-father-raped-10-month-old-daughter-to-death-da-says/</t>
  </si>
  <si>
    <t>https://archive.vn/hqMk9</t>
  </si>
  <si>
    <t>https://archive.vn/ploBl</t>
  </si>
  <si>
    <t>Eduardo Guerrero</t>
  </si>
  <si>
    <t>Sexual conduct w/ a minor</t>
  </si>
  <si>
    <t>https://www.usmarshals.gov/news/chron/2020/100320.htm</t>
  </si>
  <si>
    <t>Brandon Lindemann, a/k/a Brandon Lindeman</t>
  </si>
  <si>
    <t>https://www.justice.gov/usao-sd/pr/rapid-city-man-charged-sexual-abuse-0</t>
  </si>
  <si>
    <t>Matthew Peters</t>
  </si>
  <si>
    <t>https://www.justice.gov/usao-ndny/pr/sex-offender-arrested-menands-attempting-entice-child</t>
  </si>
  <si>
    <t>Yeison Lopez-Martinez</t>
  </si>
  <si>
    <t>https://www.justice.gov/usao-wdny/pr/guatemalan-man-indicted-enticement-charge-and-transporting-minor-have-sex</t>
  </si>
  <si>
    <t xml:space="preserve"> Carlos Alberto Arrieta Rojas</t>
  </si>
  <si>
    <t>https://www.fbi.gov/contact-us/field-offices/sanjuan/news/press-releases/arrest-of-carlos-alberto-arrieta-rojas</t>
  </si>
  <si>
    <t>Tomy J. Fitton</t>
  </si>
  <si>
    <t>https://www.justice.gov/usao-ri/pr/pawtucket-man-indicted-arraigned-alleged-attempted-enticement-minor</t>
  </si>
  <si>
    <t>William Meier</t>
  </si>
  <si>
    <t>https://www.justice.gov/usao-ct/pr/norwich-man-charged-child-exploitation-offenses</t>
  </si>
  <si>
    <t>Jdawaun Grant</t>
  </si>
  <si>
    <t>https://wreg.com/news/men-accused-of-enticing-minors-for-sex-arrested-by-mississippi-police/</t>
  </si>
  <si>
    <t>Damien Kelso</t>
  </si>
  <si>
    <t>Stephen Shipps</t>
  </si>
  <si>
    <t>https://www.ice.gov/news/releases/former-university-michigan-professor-indicted-charges-child-exploitation-minor</t>
  </si>
  <si>
    <t>Stephen Ross</t>
  </si>
  <si>
    <t>https://www.justice.gov/usao-sd/pr/flandreau-man-charged-sexual-abuse-minor</t>
  </si>
  <si>
    <t>Travis Dray Stewart</t>
  </si>
  <si>
    <t>Ricky Dewayne Stone</t>
  </si>
  <si>
    <t>Oscar Manuel Cabrera-Westerheidy</t>
  </si>
  <si>
    <t>Chandos Bemus</t>
  </si>
  <si>
    <t>https://www.justice.gov/usao-ndoh/pr/michigan-man-charged-traveling-toledo-engage-sexual-conduct-minor-0</t>
  </si>
  <si>
    <t>Carl Gene Ortner</t>
  </si>
  <si>
    <t>Sexual abuse of a minor &amp; unrelated charges</t>
  </si>
  <si>
    <t>https://www.justice.gov/usao-ndok/pr/quapaw-man-charged-sexual-abuse-minor-and-possessing-parts-protected-eagles</t>
  </si>
  <si>
    <t>Nathan L. Troup</t>
  </si>
  <si>
    <t>https://www.justice.gov/usao-wdpa/pr/meadville-resident-indicted-child-sexual-exploitation-offenses</t>
  </si>
  <si>
    <t xml:space="preserve">Rafael Ceba-Garcia </t>
  </si>
  <si>
    <t>https://www.ice.gov/news/releases/ice-arrests-fugitive-child-sexual-predator-during-targeted-enforcement-operation</t>
  </si>
  <si>
    <t>Brandon Galvez / Jose Serrano-Ramos</t>
  </si>
  <si>
    <t>Project Safe Childhood- Attempted transportation of a minor to engage sexual conduct  &amp; related charges</t>
  </si>
  <si>
    <t>https://www.justice.gov/usao-sdtx/pr/two-men-indicted-attempting-transport-minor-victim-texas-louisiana-sex</t>
  </si>
  <si>
    <t>David Lettieri</t>
  </si>
  <si>
    <t>https://www.justice.gov/usao-wdny/pr/broome-county-man-arrested-charged-traveling-wyoming-county-attempt-have-sex-13-year</t>
  </si>
  <si>
    <t>Juan Ubaldo Guerra</t>
  </si>
  <si>
    <t>https://www.ice.gov/news/releases/ice-lodges-detainer-man-accused-child-sex-assault</t>
  </si>
  <si>
    <t>Thomas John Boukamp</t>
  </si>
  <si>
    <t>https://www.justice.gov/usao-ndtx/pr/michigan-man-charged-transporting-minor-criminal-sexual-activity</t>
  </si>
  <si>
    <t>Timothy M. Zukoski</t>
  </si>
  <si>
    <t>https://www.justice.gov/usao-wdmo/pr/ohio-man-indicted-traveling-kc-meet-child-victim-sex</t>
  </si>
  <si>
    <t>Steven Lockhart</t>
  </si>
  <si>
    <t>https://www.justice.gov/usao-ndwv/pr/wood-county-man-indicted-violations-against-minor</t>
  </si>
  <si>
    <t>Charles Walter Christopher</t>
  </si>
  <si>
    <t>Michael Robert McKinney</t>
  </si>
  <si>
    <t xml:space="preserve">https://www.justice.gov/usao-cdil/pr/nine-men-indicted-child-sex-crimes-charges-resulting-rock-island-fbi-investigation </t>
  </si>
  <si>
    <t>Joseph Allen Wilcher</t>
  </si>
  <si>
    <t>Jeffrey Alan Bosaw</t>
  </si>
  <si>
    <t>Damien Pernell Shepherd</t>
  </si>
  <si>
    <t>Douglas Michael Speer</t>
  </si>
  <si>
    <t>Richard Buffalo</t>
  </si>
  <si>
    <t>https://www.justice.gov/usao-wdny/pr/salamanca-man-arrested-attempting-have-sex-14-year-old-girl</t>
  </si>
  <si>
    <t>Dean Picariello</t>
  </si>
  <si>
    <t>https://www.justice.gov/usao-ndny/pr/westchester-man-arrested-menands-child-enticement-charge</t>
  </si>
  <si>
    <t>Steve Rosado</t>
  </si>
  <si>
    <t>https://www.justice.gov/usao-sdny/pr/defendant-charged-attempted-enticement-12-year-old-and-9-year-old-girls</t>
  </si>
  <si>
    <t>Okokipe Jones</t>
  </si>
  <si>
    <t>https://www.justice.gov/usao-sd/pr/lake-traverse-man-charged-aggravated-sexual-abuse-child</t>
  </si>
  <si>
    <t>Christian Cruz</t>
  </si>
  <si>
    <t>Rape of a child/incest &amp; related charges</t>
  </si>
  <si>
    <t>https://www.usmarshals.gov/news/chron/2020/121820.htm</t>
  </si>
  <si>
    <t>James Allen Farrow</t>
  </si>
  <si>
    <t>https://www.justice.gov/usao-edok/pr/three-individuals-indicted-january-2021-federal-grand-jury</t>
  </si>
  <si>
    <t>Sexual assault of a minor</t>
  </si>
  <si>
    <t>https://www.cbp.gov/newsroom/local-media-release/border-patrol-agents-arrest-man-wanted-sex-crimes</t>
  </si>
  <si>
    <t>Kidnapping , sexual assault of a minor &amp; related charges</t>
  </si>
  <si>
    <t>https://www.cbp.gov/newsroom/local-media-release/bp-arrests-fugitive-wanted-mexico</t>
  </si>
  <si>
    <t>Pedro Sanchez-Valladares</t>
  </si>
  <si>
    <t>Indecemt liberties with a child</t>
  </si>
  <si>
    <t>https://www.cbp.gov/newsroom/local-media-release/del-rio-sector-border-patrol-agents-make-significant-arrests-over</t>
  </si>
  <si>
    <t>Jesus Trejo-Garcia</t>
  </si>
  <si>
    <t xml:space="preserve"> Lewd / Lascivious Acts with a Child</t>
  </si>
  <si>
    <t>https://www.cbp.gov/newsroom/local-media-release/convicted-sex-offender-previously-deported-arrested-romeo</t>
  </si>
  <si>
    <t>https://archive.vn/wip/PfjLX</t>
  </si>
  <si>
    <t>Mauricio Delgado</t>
  </si>
  <si>
    <t>https://www.cbp.gov/newsroom/local-media-release/laredo-cbp-officers-apprehend-fugitive-sought-child-sexual-assault</t>
  </si>
  <si>
    <t>Arturo Vasquez Tovar</t>
  </si>
  <si>
    <t>https://www.cbp.gov/newsroom/local-media-release/laredo-cbp-officers-apprehend-fugitive-sought-sexual-assault-child</t>
  </si>
  <si>
    <t>https://www.cbp.gov/newsroom/local-media-release/usbp-arrests-convicted-sex-offender-0</t>
  </si>
  <si>
    <t>Sex w/ a minor</t>
  </si>
  <si>
    <t>https://www.cbp.gov/newsroom/local-media-release/yuma-agents-apprehend-sex-offender</t>
  </si>
  <si>
    <t>Tristan Warner</t>
  </si>
  <si>
    <t>https://www.justice.gov/usao-ndny/pr/new-jersey-man-charged-traveling-across-state-lines-intending-engage-sexual-conduct</t>
  </si>
  <si>
    <t>Oscar Daniel Munoz-Valdez</t>
  </si>
  <si>
    <t>https://www.ice.gov/news/releases/ice-arrests-2-registered-sex-offenders-who-preyed-children-neighboring-communities</t>
  </si>
  <si>
    <t>Pedro Antonio Hernandez-Aparicio</t>
  </si>
  <si>
    <t xml:space="preserve">https://www.ice.gov/news/releases/ice-arrests-2-registered-sex-offenders-who-preyed-children-neighboring-communities </t>
  </si>
  <si>
    <t>James Darius Caje</t>
  </si>
  <si>
    <t>https://www.justice.gov/usao-nm/pr/mescalero-man-charged-sexual-abuse-child</t>
  </si>
  <si>
    <t>Kenil Leonel Iriarte-Banegas</t>
  </si>
  <si>
    <t>Rape of a minor &amp; related charges</t>
  </si>
  <si>
    <t xml:space="preserve">https://www.usmarshals.gov/news/chron/2021/012721.htm </t>
  </si>
  <si>
    <t>Eduardo Bernal-Nava</t>
  </si>
  <si>
    <t>Sexual abuse of a child &amp; related charges</t>
  </si>
  <si>
    <t xml:space="preserve">https://www.cbp.gov/newsroom/local-media-release/del-rio-border-patrol-agents-arrest-convicted-sex-offender </t>
  </si>
  <si>
    <t>Kokou Domkpo</t>
  </si>
  <si>
    <t>https://www.cbp.gov/newsroom/local-media-release/dulles-cbp-arrests-nebraska-man-wanted-nebraska-charges-sexual-assault</t>
  </si>
  <si>
    <t>Togo/US</t>
  </si>
  <si>
    <t>Juan Miguel Bustos Jr.,</t>
  </si>
  <si>
    <t>https://www.cbp.gov/newsroom/local-media-release/20-year-old-man-arrested-charges-sexual-assault-child-donna</t>
  </si>
  <si>
    <t>Eril Lainez-Corea</t>
  </si>
  <si>
    <t>https://www.cbp.gov/newsroom/local-media-release/law-enforcement-cooperation-laredo-sector-leads-arrest-child-sex</t>
  </si>
  <si>
    <t>Christopher Capozza</t>
  </si>
  <si>
    <t>https://www.justice.gov/usao-mdpa/pr/connecticut-man-charged-transportation-and-interstate-travel-intent-engage-criminal</t>
  </si>
  <si>
    <t>Eric Hogan</t>
  </si>
  <si>
    <t xml:space="preserve">https://www.justice.gov/usao-wdwa/pr/four-seattle-area-men-indicted-seeking-sexually-assault-children-during-fbi-online </t>
  </si>
  <si>
    <t>Justice Galloway</t>
  </si>
  <si>
    <t>https://www.cbp.gov/newsroom/local-media-release/cbp-officers-arrest-three-men-sought-crimes-against-children</t>
  </si>
  <si>
    <t>Sexual intercourse w/ a minor</t>
  </si>
  <si>
    <t>Primitivo Rico Garza</t>
  </si>
  <si>
    <t>Child indecency</t>
  </si>
  <si>
    <t>https://www.cbp.gov/newsroom/local-media-release/cbp-field-operations-hidalgo-international-bridge-arrests-man-wanted-1</t>
  </si>
  <si>
    <t>Arrest/Charges       Start Date</t>
  </si>
  <si>
    <t>Party</t>
  </si>
  <si>
    <t>Title</t>
  </si>
  <si>
    <t>Deceased</t>
  </si>
  <si>
    <t>Gerry Studds</t>
  </si>
  <si>
    <t>D</t>
  </si>
  <si>
    <t>US Rep</t>
  </si>
  <si>
    <t>Censured by the House of Representatives after he admitted to an inappropriate relationship with a 17-year-old page</t>
  </si>
  <si>
    <t>https://www.washingtontimes.com/news/2017/dec/10/gerry-studds-forgiven-by-democrats-for-preying-on-/</t>
  </si>
  <si>
    <t>https://news.google.com/newspapers?nid=336&amp;dat=19830721&amp;id=qLYyAAAAIBAJ&amp;sjid=C4MDAAAAIBAJ&amp;pg=1743,2087320 , https://web.archive.org/web/20061103154727/http://www.time.com/time/magazine/article/0,9171,953990-1,00.html</t>
  </si>
  <si>
    <t>https://archive.vn/cdHHK</t>
  </si>
  <si>
    <t>https://archive.vn/ShotD</t>
  </si>
  <si>
    <t>Rodney Mullin</t>
  </si>
  <si>
    <t>Cty Dem Party Chair</t>
  </si>
  <si>
    <t>Resigned amid child pornography allegations</t>
  </si>
  <si>
    <t>http://www.freerepublic.com/focus/f-news/1402657/posts</t>
  </si>
  <si>
    <t>https://archive.vn/WHo5v</t>
  </si>
  <si>
    <t>Andrew Douglas Reed</t>
  </si>
  <si>
    <t>Dem Activist</t>
  </si>
  <si>
    <t>Pleaded guilty to a multiple counts of 2nd-degree sexual exploitation of a minor for producing child pornography</t>
  </si>
  <si>
    <t>http://www.ashevilledailyplanet.com/events/540-police-blotter-for-november-8-2006</t>
  </si>
  <si>
    <t xml:space="preserve">https://theacru.org/2006/12/12/aclu_protection_of_a_pedophile/ , http://www.freerepublic.com/focus/f-news/1743737/posts </t>
  </si>
  <si>
    <t>https://archive.vn/dXFWd</t>
  </si>
  <si>
    <t>Stephen Jabbour</t>
  </si>
  <si>
    <t>Plead guilty to possession and receiving over half a million child pornographic images</t>
  </si>
  <si>
    <t>https://www.ice.gov/news/releases/south-texas-attorney-and-former-democratic-chair-sentenced-14-years-receiving</t>
  </si>
  <si>
    <t>https://www.victoriaadvocate.com/news/local/local-democratic-party-chairman-pleads-not-guilty-after-being-arrested-on-child-porn-charges/article_e368c096-6dd7-5bbc-8fe9-67ca75bda924.html</t>
  </si>
  <si>
    <t>https://archive.vn/wip/hcIQG</t>
  </si>
  <si>
    <t>https://archive.vn/e7oPi</t>
  </si>
  <si>
    <t>Keith Farnham</t>
  </si>
  <si>
    <t>State Rep</t>
  </si>
  <si>
    <t>Resigned and was charged with possession of child pornography and has been accused of bragging at an online site about sexually molesting a 6-year-old girl</t>
  </si>
  <si>
    <t>https://www.nbcchicago.com/news/local/former-state-rep-keith-farnham-pleads-guilty-to-child-porn-charges/1990627/</t>
  </si>
  <si>
    <t>https://archive.vn/NCHIo</t>
  </si>
  <si>
    <t>https://archive.vn/ezEJH</t>
  </si>
  <si>
    <t>https://archive.vn/U3OAS</t>
  </si>
  <si>
    <t>Joe Morrisey</t>
  </si>
  <si>
    <t>State Delegate</t>
  </si>
  <si>
    <t>Indicted on charges connected to his relationship with a 17-year-old girl and was charged with supervisory indecent liberties with a minor, electronic solicitation of a minor, possession of child pornography and distribution of child pornography</t>
  </si>
  <si>
    <t>https://www.nbc12.com/story/25906280/grand-jury-indicts-del-joe-morrissey-for-relationship-with-teen/</t>
  </si>
  <si>
    <t xml:space="preserve">https://www.dailywire.com/news/virginia-democrats-just-voted-man-previously-ashe-schow , https://archive.vn/5jPTe </t>
  </si>
  <si>
    <t>https://archive.vn/c5rja</t>
  </si>
  <si>
    <t>https://archive.vn/wBhrZ</t>
  </si>
  <si>
    <t>David J. Roberts</t>
  </si>
  <si>
    <t>City Employee</t>
  </si>
  <si>
    <t>Sentenced to federal prison for producing and possessing child pornography including placing hidden cameras in the bedrooms and bathrooms at a home he shared with two minor female victims</t>
  </si>
  <si>
    <t>https://www.tribstar.com/news/local_news/former-city-employee-arrested-on-child-pornography-charges/article_414c85e7-4e42-5175-adf4-e2932c58eb33.html</t>
  </si>
  <si>
    <t>https://www.tribstar.com/news/former-city-official-sentenced-to-15-years-in-federal-child-pornography-plea/article_9c59be94-33fe-11e7-bc0a-bff62fd39939.html</t>
  </si>
  <si>
    <t>https://archive.vn/wip/yM8GZ</t>
  </si>
  <si>
    <t>https://archive.vn/OBi77</t>
  </si>
  <si>
    <t>Terry Bean</t>
  </si>
  <si>
    <t>Dem fundraiser/DNC budget &amp; finance committee</t>
  </si>
  <si>
    <t>Arrested on charges of sodomy and sex abuse in a case involving a 15-year-old boy and when the alleged victim declined to testify, and the judge dismissed the case</t>
  </si>
  <si>
    <t>https://www.washingtontimes.com/news/2014/nov/25/gay-rights-activist-charged-with-sex-abuse-of-boy-/</t>
  </si>
  <si>
    <t>https://www.foxnews.com/politics/obama-fundraiser-donor-facing-sex-abuse-charges</t>
  </si>
  <si>
    <t>https://archive.vn/Xkl2I</t>
  </si>
  <si>
    <t>https://archive.vn/wip/lbl9D</t>
  </si>
  <si>
    <t>Charles Wade</t>
  </si>
  <si>
    <t>BLM organizer</t>
  </si>
  <si>
    <t>Arrested and charged with human trafficking and underage prostitution</t>
  </si>
  <si>
    <t>https://heavy.com/news/2016/05/charles-wade-black-lives-matter-activist-twitter-arrested-arrested-17-year-old-girl-help-or-hush/</t>
  </si>
  <si>
    <t>https://archive.vn/OPaXj</t>
  </si>
  <si>
    <t>https://archive.vn/uRURl</t>
  </si>
  <si>
    <t>https://archive.vn/nBlPo</t>
  </si>
  <si>
    <t>Christopher Wright</t>
  </si>
  <si>
    <t>Mayor</t>
  </si>
  <si>
    <t>Indicted on the charges of aggravated child molestation, aggravated sodomy, rape, child molestation and statutory rape of an 11-year-old boy and a 12-year-old girl</t>
  </si>
  <si>
    <t>https://valdostatoday.com/news-2/region/2016/06/georgia-mayor-indicted-on-child-sex-charges/</t>
  </si>
  <si>
    <t>https://www.walb.com/story/34324072/ex-dawson-mayor-sentenced-on-sex-convictions/</t>
  </si>
  <si>
    <t>https://archive.vn/dvoGQ</t>
  </si>
  <si>
    <t>https://archive.vn/ta5kl</t>
  </si>
  <si>
    <t>Richard Keenan</t>
  </si>
  <si>
    <t>Former Mayor</t>
  </si>
  <si>
    <t>Given a life sentence in jail for raping a 4-year-old girl</t>
  </si>
  <si>
    <t>https://www.independent.co.uk/news/world/americas/child-rape-richard-keenan-hubbard-mayor-ohio-not-guilty-charges-a7288946.html</t>
  </si>
  <si>
    <t>https://archive.vn/CYfmt , https://archive.vn/Gbaoy</t>
  </si>
  <si>
    <t>https://archive.vn/A8jau</t>
  </si>
  <si>
    <t>https://archive.vn/IZ9HV</t>
  </si>
  <si>
    <t>Anthony Silva</t>
  </si>
  <si>
    <t>Charged with providing alcohol to young adults during a game of strip poker that included a 16-year-old boy at a camp for underprivileged children run by the mayor</t>
  </si>
  <si>
    <t>https://www.capradio.org/articles/2016/08/04/stockton-mayor-anthony-silva-arrested/</t>
  </si>
  <si>
    <t>https://archive.vn/tschJ</t>
  </si>
  <si>
    <t>https://archive.vn/oTnpb</t>
  </si>
  <si>
    <t>https://archive.vn/xxoy5</t>
  </si>
  <si>
    <t>Mark Benavides</t>
  </si>
  <si>
    <t>Attorney</t>
  </si>
  <si>
    <t>Charged with having sex with a minor, inducing a child under 18 to have sex and compelling prostitution of at least nine legal clients and possession of child pornography</t>
  </si>
  <si>
    <t>https://news4sanantonio.com/news/local/local-attorney-accused-of-sexual-assault-of-a-child</t>
  </si>
  <si>
    <t>https://archive.vn/86N0d</t>
  </si>
  <si>
    <t>https://archive.vn/pNobj</t>
  </si>
  <si>
    <t>https://archive.vn/QtnBm</t>
  </si>
  <si>
    <t>Donald Briggs</t>
  </si>
  <si>
    <t>Arrested and charged with inappropriate sexual contact with a person younger than 17</t>
  </si>
  <si>
    <t>https://patch.com/new-york/midhudsonvalley/former-millbrook-mayor-accused-having-sex-minor</t>
  </si>
  <si>
    <t>https://www.dutchessny.gov/Departments/Sheriff/sheriff-news-2016_31821.htm</t>
  </si>
  <si>
    <t>https://archive.vn/z19Zm</t>
  </si>
  <si>
    <t>https://archive.vn/MQPb2</t>
  </si>
  <si>
    <t>Arrested for setting up a meeting to have sex with a 14-year-old girl who turned out to be a police officer</t>
  </si>
  <si>
    <t>Arrested and charged with four counts of felony third-degree sexual assault of a child and one count of intentional child abuse</t>
  </si>
  <si>
    <t>https://archive.vn/XljM1</t>
  </si>
  <si>
    <t>https://archive.vn/99YZH</t>
  </si>
  <si>
    <t>R</t>
  </si>
  <si>
    <t>Plead guilty to five counts of possession of child pornography of children less than 16 years of age</t>
  </si>
  <si>
    <t xml:space="preserve">https://www.timesunion.com/news/article/Stillwater-mayor-admits-child-porn-charges-12828948.php </t>
  </si>
  <si>
    <t xml:space="preserve">https://archive.vn/gWyeA , https://archive.vn/wip/S3OIB </t>
  </si>
  <si>
    <t xml:space="preserve">https://archive.vn/OVaJu </t>
  </si>
  <si>
    <t xml:space="preserve">https://archive.vn/LNbHp </t>
  </si>
  <si>
    <t>Indicted for sexual acts against a teenager</t>
  </si>
  <si>
    <t>Twsp Commission President</t>
  </si>
  <si>
    <t>Resigned from his position after being charged with possession of child pornography and abusing children between 2 and 6 years-old</t>
  </si>
  <si>
    <t xml:space="preserve">http://www.philly.com/philly/news/crime/radnor-township-commissioners-president-phil-ahr-charged-with-child-sexual-abuse-20171011.html  </t>
  </si>
  <si>
    <t>https://archive.vn/92WzX</t>
  </si>
  <si>
    <t>Fmr Chair/Spokesperson AR Dem Party</t>
  </si>
  <si>
    <t>Charged with distribution and possession of child pornography</t>
  </si>
  <si>
    <t xml:space="preserve">https://milnenews.com/2018/11/28/former-chairman-for-the-democratic-party-charged-with-distribution-of-child-pornography/ </t>
  </si>
  <si>
    <t>ED-AR 4:18-cr-00650</t>
  </si>
  <si>
    <t>Strom Thurmond</t>
  </si>
  <si>
    <t>Fmr US Senator/Fmr SC Gov</t>
  </si>
  <si>
    <t>Notable racist, had sex with a 15-year old black girl which produced a child</t>
  </si>
  <si>
    <t>https://www.historynet.com/strom-thurmond-meets-his-daughter.htm</t>
  </si>
  <si>
    <t>https://www.nytimes.com/2003/12/16/us/thurmond-kin-acknowledge-black-daughter.html</t>
  </si>
  <si>
    <t>https://archive.vn/XvbaL</t>
  </si>
  <si>
    <t>https://archive.vn/rWygW</t>
  </si>
  <si>
    <t>Robert Bauman</t>
  </si>
  <si>
    <t>Charged with having sex with a 16-year-old boy he picked up at a gay bar</t>
  </si>
  <si>
    <t>https://people.com/archive/a-former-congressman-once-a-staunch-foe-of-gay-rights-confronts-his-own-homosexuality-vol-20-no-12/</t>
  </si>
  <si>
    <t>https://archive.vn/QsD5Q</t>
  </si>
  <si>
    <t>https://archive.vn/wip/x7WLl</t>
  </si>
  <si>
    <t>Daniel Crane</t>
  </si>
  <si>
    <t>Dad sex with a female minor working as a congressional page</t>
  </si>
  <si>
    <t>https://web.archive.org/web/20061103154727/http://www.time.com/time/magazine/article/0,9171,953990-1,00.html</t>
  </si>
  <si>
    <t>https://news.google.com/newspapers?nid=336&amp;dat=19830721&amp;id=qLYyAAAAIBAJ&amp;sjid=C4MDAAAAIBAJ&amp;pg=1743,2087320</t>
  </si>
  <si>
    <t>https://archive.vn/B3KdO</t>
  </si>
  <si>
    <t>Beverly Russell</t>
  </si>
  <si>
    <t>Christian Coalition leader</t>
  </si>
  <si>
    <t>Admitted to an incestuous relationship with his step daughter</t>
  </si>
  <si>
    <t>http://content.time.com/time/magazine/article/0,9171,134423,00.html</t>
  </si>
  <si>
    <t>https://apnews.com/5873b4b3601ff1fb4e618b29b198b6b3 , https://www.newsweek.com/condemned-life-182468 , https://web.archive.org/web/20150526142649/https://www.nytimes.com/1995/07/09/us/mother-who-killed-loss-betrayal-and-a-search-for-a-fairy-tale-life.html?pagewanted=2</t>
  </si>
  <si>
    <t>https://archive.vn/TU7Fn</t>
  </si>
  <si>
    <t>Donald 'Buz' Lukens</t>
  </si>
  <si>
    <t>Found guilty of having sex with a female minor and sentenced to one month in jail</t>
  </si>
  <si>
    <t>https://apnews.com/5d04fdade7935d70e0aabd00f2f877bd</t>
  </si>
  <si>
    <t>https://www.washingtonexaminer.com/crime-history-rep-lukens-guilty-of-sex-with-girl</t>
  </si>
  <si>
    <t>https://archive.vn/94Phw</t>
  </si>
  <si>
    <t>https://archive.vn/2kZkG</t>
  </si>
  <si>
    <t xml:space="preserve">Howard Scott Heldreth </t>
  </si>
  <si>
    <t>Anti abortion Activist</t>
  </si>
  <si>
    <t>Is a convicted child rapist in Florida.</t>
  </si>
  <si>
    <t>https://web.archive.org/web/20200208045047/https://interstateq.com/archives/2771/</t>
  </si>
  <si>
    <t>https://shadowproof.com/2008/07/27/nc-antigay-operation-save-america-totes-convicted-child-rapist-to-charlotte-pride/</t>
  </si>
  <si>
    <t>https://archive.vn/EVlM3</t>
  </si>
  <si>
    <t>Nicholas Morency</t>
  </si>
  <si>
    <t>Pleaded guilty to possessing child pornography on his computer and offering a bounty to anybody who murders an abortion doctor</t>
  </si>
  <si>
    <t>https://www.deseret.com/2001/3/10/19574225/n-j-man-pleads-guilty-to-internet-porn-charges</t>
  </si>
  <si>
    <t>https://archive.vn/uM7cC</t>
  </si>
  <si>
    <t>Mark A. Grethen</t>
  </si>
  <si>
    <t>Rep Activist</t>
  </si>
  <si>
    <t>Convicted on six counts of sex crimes involving children</t>
  </si>
  <si>
    <t>https://www.washingtonpost.com/archive/politics/2002/02/15/a-biography-restates-its-assets/a7c56e29-f0b8-441b-b0d1-367108e5ebd6/</t>
  </si>
  <si>
    <t>https://mugshots.com/US-States/Virginia/Richmond-County-VA/Richmond/Mark-A-Grethen.69242924.html</t>
  </si>
  <si>
    <t>https://archive.vn/OGKew</t>
  </si>
  <si>
    <t>https://archive.vn/clOuS</t>
  </si>
  <si>
    <t>Tom Shortridge</t>
  </si>
  <si>
    <t>Rep Camp Consultant</t>
  </si>
  <si>
    <t>Sentenced to three years probation for taking nude photographs of a 15-year old girl</t>
  </si>
  <si>
    <t>http://archive.easyreadernews.com/archives/news2001/0621/rb%20Shortridge.php</t>
  </si>
  <si>
    <t>https://archive.vn/tEcLg</t>
  </si>
  <si>
    <t>https://archive.vn/wip/hjsU2</t>
  </si>
  <si>
    <t>Randal David Ankeney</t>
  </si>
  <si>
    <t>Pleaded guilty to attempted sexual assault on a child</t>
  </si>
  <si>
    <t>https://www.denverpost.com/2006/10/05/ex-activist-faces-new-child-sex-assault-counts/</t>
  </si>
  <si>
    <t>https://www.coloradoindependent.com/2008/01/28/onetime-rising-gop-star-back-to-prison-for-sex-assaults/</t>
  </si>
  <si>
    <t>https://archive.vn/XZoVt</t>
  </si>
  <si>
    <t>https://archive.vn/mrAwv</t>
  </si>
  <si>
    <t>Richard Anthony Delgaudio</t>
  </si>
  <si>
    <t>GOP Fundraiser</t>
  </si>
  <si>
    <t>Found guilty of child porn charges and paying two teenage girls to pose for sexual photos</t>
  </si>
  <si>
    <t>https://www.baltimoresun.com/news/bs-xpm-2003-04-24-0304240083-story.html</t>
  </si>
  <si>
    <t>https://www.washingtonpost.com/archive/local/2003/04/24/gop-activist-admits-to-child-porn/5af2adf0-bec8-4a10-b061-014de679422a/</t>
  </si>
  <si>
    <t>https://archive.vn/s5VCa</t>
  </si>
  <si>
    <t>https://archive.vn/wip/hTB5N</t>
  </si>
  <si>
    <t>Edison Misla Aldarondo</t>
  </si>
  <si>
    <t>PR Speakr of the House</t>
  </si>
  <si>
    <t>sentenced to 10 years in prison for raping his daughter between the ages of 9 and 17</t>
  </si>
  <si>
    <t>http://www.puertorico-herald.org/issues/2002/vol6n33/MislaRape-en.html</t>
  </si>
  <si>
    <t>https://www.orlandosentinel.com/news/os-xpm-2004-11-18-0411180074-story.html</t>
  </si>
  <si>
    <t>https://archive.vn/4h5KW</t>
  </si>
  <si>
    <t>https://archive.vn/wip/tRaws</t>
  </si>
  <si>
    <t>David Swartz</t>
  </si>
  <si>
    <t>Ex Cty Commissioner</t>
  </si>
  <si>
    <t>Pleaded guilty to molesting two girls under the age of 11 and was sentenced to 8 years in prison</t>
  </si>
  <si>
    <t>http://lanternproject.org.uk/library/child-abuse-arrests-and-court-cases/child-abuse-arrests-trials-and-proceedings/ex-county-commissioner-admits-sexual-abuse-of-girl/</t>
  </si>
  <si>
    <t>https://www.beaconjournal.com/article/20120928/NEWS/309289396 , https://www.bailbondshq.com/ohio/ohsex-inmate-Swartz/1536787</t>
  </si>
  <si>
    <t>https://archive.vn/hMMNY</t>
  </si>
  <si>
    <t>https://archive.vn/wip/nSvBp</t>
  </si>
  <si>
    <t>Mark Pazuhanich</t>
  </si>
  <si>
    <t>Cty DA /Judge</t>
  </si>
  <si>
    <t>Pleaded no contest to fondling a 10-year old girl and was sentenced to 10 years probation</t>
  </si>
  <si>
    <t>https://www.policeprostitutionandpolitics.com/pdfs_all/COPS_DAS_JUDGES_PEDOPHILES_CHILD_PORN/2003%20Mark%20Pazuhanich%20%7C%20%20Judge%20%20Monroe%20County%20PA/Pennsylvania:%20Judge%20And%20Fondling%20-%20New%20York%20Times.pdf</t>
  </si>
  <si>
    <t>https://www.poconorecord.com/article/20040718/News/912299980</t>
  </si>
  <si>
    <t>https://web.archive.org/web/20200730055110/https://www.poconorecord.com/article/20040718/news/912299980</t>
  </si>
  <si>
    <t>https://archive.vn/5uhkI</t>
  </si>
  <si>
    <t>Peter N. Dibble</t>
  </si>
  <si>
    <t>Selectman</t>
  </si>
  <si>
    <t>Pleaded no contest to having an inappropriate relationship with a 13-year-old girl</t>
  </si>
  <si>
    <t>https://www.nytimes.com/2004/04/18/nyregion/embroiled-first-selectman-takes-leave.html#</t>
  </si>
  <si>
    <t>https://archive.vn/S82Yg</t>
  </si>
  <si>
    <t>Michael Hintz</t>
  </si>
  <si>
    <t>Youth Pastor</t>
  </si>
  <si>
    <t>Whom George W. Bush commended during the 2004 presidential campaign, surrendered to police after admitting to a sexual affair with a female juvenile</t>
  </si>
  <si>
    <t>http://54.68.35.114/en/2004/12/305430.shtml</t>
  </si>
  <si>
    <t>https://web.archive.org/web/20200403203401/https://www.wowt.com/home/headlines/1137247.html</t>
  </si>
  <si>
    <t>https://archive.vn/BoiDL</t>
  </si>
  <si>
    <t xml:space="preserve">Jeffrey Patti </t>
  </si>
  <si>
    <t>Cty Rep Party Chair</t>
  </si>
  <si>
    <t>Arrested for distributing a video clip of a 5-year-old girl being raped</t>
  </si>
  <si>
    <t>https://www.nj.com/ledgerarchives/2005/01/state_police_seize_29_in_distr.html</t>
  </si>
  <si>
    <t>https://www.nj.com/ledgerarchives/2005/01/cops_say_jersey_suspects_sough.html</t>
  </si>
  <si>
    <t>https://archive.vn/v8ELq</t>
  </si>
  <si>
    <t>https://archive.vn/Wn7Cy</t>
  </si>
  <si>
    <t>Jeff Rosato</t>
  </si>
  <si>
    <t>Dem Sen Aide</t>
  </si>
  <si>
    <t>Plead guilty to charges of trading in child pornography</t>
  </si>
  <si>
    <t>https://www.pasadenastarnews.com/2008/11/13/fired-aide-to-sen-boxer-faces-child-porn-charges/</t>
  </si>
  <si>
    <t>https://thehill.com/blogs/blog-briefing-room/news/lawmaker-news/36155-former-boxer-aide-sentenced-on-child-porn-charges , https://archives.fbi.gov/archives/washingtondc/press-releases/2009/wfo012909.htm</t>
  </si>
  <si>
    <t>https://archive.vn/ImKZc</t>
  </si>
  <si>
    <t>https://archive.vn/HbCaS</t>
  </si>
  <si>
    <t>Neil Cohen</t>
  </si>
  <si>
    <t>State Assemblyman</t>
  </si>
  <si>
    <t>Convicted of possession and distribution of child pornography</t>
  </si>
  <si>
    <t>https://www.nbcnewyork.com/local/ex-nj-lawmaker-indicted-on-child-porn-charges/1857943/</t>
  </si>
  <si>
    <t>https://www.nydailynews.com/news/national/ex-nj-lawmaker-neil-cohen-fought-child-porn-sentenced-5-years-child-porn-crimes-article-1.450258</t>
  </si>
  <si>
    <t>https://archive.vn/wip/H7djb</t>
  </si>
  <si>
    <t>https://archive.vn/Gam5q</t>
  </si>
  <si>
    <t>Ralph Shortey</t>
  </si>
  <si>
    <t>Stete Senator</t>
  </si>
  <si>
    <t>Indicted on four counts of human trafficking and child pornography</t>
  </si>
  <si>
    <t>https://heavy.com/news/2017/03/oklahoma-republican-ralph-shortey-teenage-boy/</t>
  </si>
  <si>
    <t>https://www.justice.gov/usao-wdok/pr/former-state-senator-pleads-guilty-child-sex-trafficking , https://www.nbcnews.com/news/us-news/former-oklahoma-state-senator-sentenced-15-years-child-sex-trafficking-n910516</t>
  </si>
  <si>
    <t>https://archive.vn/xyjh7</t>
  </si>
  <si>
    <t>Dean Westlake</t>
  </si>
  <si>
    <t>Resigned from his seat after the media published a report alleging he fathered a child with a 16-year-old girl when he was 28</t>
  </si>
  <si>
    <t>https://web.archive.org/web/20200421080709/https://www.ktva.com/story/36984173/rural-rep-dean-westlake-accused-of-sexual-misconduct</t>
  </si>
  <si>
    <t>https://www.adn.com/politics/alaska-legislature/2017/12/08/seven-aides-at-alaska-capitol-say-legislator-made-unwanted-advances-and-comments   , https://www.adn.com/politics/alaska-legislature/2017/12/15/rep-westlake-embattled-by-sexual-harassment-allegations-will-resign/</t>
  </si>
  <si>
    <t>https://archive.vn/nrZO8</t>
  </si>
  <si>
    <t>KY Trump Camp Chair / Fmr Judge</t>
  </si>
  <si>
    <t>Pled guilty to child sex trafficking and on February 11, 2018 he was sentenced to serve 20 years in prison</t>
  </si>
  <si>
    <t>https://thehill.com/blogs/blog-briefing-room/386454-former-kentucky-judge-given-20-years-in-prison-for-human-trafficking</t>
  </si>
  <si>
    <t>Tony Cárdenas</t>
  </si>
  <si>
    <t>Being sued in LA County for allegedly sexually abused a 16-year-old girl</t>
  </si>
  <si>
    <t>https://www.rollcall.com/2018/05/04/cardenas-member-of-democratic-leadership-denies-allegations-of-child-sex-abuse/</t>
  </si>
  <si>
    <t>https://www.rollcall.com/2019/01/15/woman-suing-rep-tony-cardenas-for-sexual-abuse-makes-her-name-public-inspired-by-christine-blasey-ford/ , https://www.dailynews.com/2019/07/03/sexual-assault-suit-against-la-area-rep-tony-cardenas-dropped/</t>
  </si>
  <si>
    <t>https://archive.vn/wip/qyyVY</t>
  </si>
  <si>
    <t>https://archive.vn/P3pxH</t>
  </si>
  <si>
    <t>John Butler</t>
  </si>
  <si>
    <t>Activist</t>
  </si>
  <si>
    <t>Richard Gardner</t>
  </si>
  <si>
    <t>Molestation of daughters</t>
  </si>
  <si>
    <t>Jack W. Gardner</t>
  </si>
  <si>
    <t>Councilman and former Marine</t>
  </si>
  <si>
    <t>convicted of molesting a 13-year old girl</t>
  </si>
  <si>
    <t>Mark Harris</t>
  </si>
  <si>
    <t>City Councilman</t>
  </si>
  <si>
    <t>“good military man” and “church goer,” was convicted of repeatedly having sex with an 11-year-old girl and sentenced to 12 years in prison.</t>
  </si>
  <si>
    <t>Paul Ingram</t>
  </si>
  <si>
    <t>Cty Rep Party Chair/Cty Sherriff</t>
  </si>
  <si>
    <t>Pleaded guilty to six counts of raping his daughters and served 14 years in federal prison</t>
  </si>
  <si>
    <t>http://www.religioustolerance.org/ra_ingra.htm</t>
  </si>
  <si>
    <t>https://web.archive.org/web/20031221184737/http://members.aol.com/ingramorg/</t>
  </si>
  <si>
    <t>https://archive.vn/CXedh</t>
  </si>
  <si>
    <t>https://archive.vn/wip/KilIE</t>
  </si>
  <si>
    <t>John Hathaway</t>
  </si>
  <si>
    <t>US Senate Candidate</t>
  </si>
  <si>
    <t>Accused of having sex with his 12-year old baby sitter and withdrew his candidacy after the allegations were reported in the media</t>
  </si>
  <si>
    <t>https://www.nytimes.com/1996/06/06/us/politics-the-senate-maine-candidate-again-faces-1990-child-sex-accusation.html?login=email&amp;auth=login-email</t>
  </si>
  <si>
    <t>https://apnews.com/e533f324f726e8912a05c44f612a7bb7</t>
  </si>
  <si>
    <t>https://archive.vn/fMyk8</t>
  </si>
  <si>
    <t>Jon Grunseth</t>
  </si>
  <si>
    <t>Businessman/Governor canidate</t>
  </si>
  <si>
    <t>Went swimming in the nude with four underage girls, including his daughter</t>
  </si>
  <si>
    <t xml:space="preserve">https://www.chicagotribune.com/news/ct-xpm-1990-10-26-9003290919-story.html </t>
  </si>
  <si>
    <t xml:space="preserve">https://archive.vn/oVgdq </t>
  </si>
  <si>
    <t xml:space="preserve">https://archive.vn/RGzER </t>
  </si>
  <si>
    <t xml:space="preserve">https://archive.vn/D7YvQ </t>
  </si>
  <si>
    <t>Nicholas Elizondo</t>
  </si>
  <si>
    <t>Director of the “Young Republican Federation”</t>
  </si>
  <si>
    <t>Molested his 6-year old daughter and was sentenced to six years in prison</t>
  </si>
  <si>
    <t xml:space="preserve">https://www.nydailynews.com/news/crime/sex-offender-dad-sole-custody-daughter-6-article-1.1385837 </t>
  </si>
  <si>
    <t xml:space="preserve">https://bakersfieldnow.com/news/local/registered-sex-offender-keeps-custody-of-daughter </t>
  </si>
  <si>
    <t xml:space="preserve">https://web.archive.org/web/20130701225615/https://www.nydailynews.com/news/crime/sex-offender-dad-sole-custody-daughter-6-article-1.1385837 </t>
  </si>
  <si>
    <t xml:space="preserve">https://archive.vn/xTqmV </t>
  </si>
  <si>
    <t>Earl Kimmerling</t>
  </si>
  <si>
    <t>Anti gay Activist</t>
  </si>
  <si>
    <t>Sentenced to 40 years in prison for molesting an 8-year old girl after he attempted to stop a gay couple from adopting her</t>
  </si>
  <si>
    <t>https://www.chicagotribune.com/news/ct-xpm-2000-02-10-0002100308-story.html</t>
  </si>
  <si>
    <t>https://www.indystar.com/in-depth/news/investigations/2019/04/24/ashleys-story-ashley-peterson-reveals-her-abuse-and-loses-everyone-she-loves/3496426002/</t>
  </si>
  <si>
    <t>https://archive.vn/puEqY</t>
  </si>
  <si>
    <t>https://archive.vn/5eSlO</t>
  </si>
  <si>
    <t xml:space="preserve">Merrill Robert Barter </t>
  </si>
  <si>
    <t>County Commissioner</t>
  </si>
  <si>
    <t>Pleaded guilty to unlawful sexual contact and assault on a teenage boy</t>
  </si>
  <si>
    <t>https://boothbayregister.maine.com/1999-04-15/barter_pleads_guilty.html</t>
  </si>
  <si>
    <t xml:space="preserve">https://archive.vn/rP98i </t>
  </si>
  <si>
    <t>Keola Childs</t>
  </si>
  <si>
    <t>Fmr Councilman</t>
  </si>
  <si>
    <t>Pleaded guilty to molesting a male child</t>
  </si>
  <si>
    <t>http://archives.starbulletin.com/2000/07/20/news/briefs.html</t>
  </si>
  <si>
    <t>http://the.honoluluadvertiser.com/article/2007/Oct/08/ln/hawaii710080338.html</t>
  </si>
  <si>
    <t>https://archive.vn/Ctq8r</t>
  </si>
  <si>
    <t>Marty Glickman</t>
  </si>
  <si>
    <t>Taken into custody by Florida police on four counts of unlawful sexual activity with an underage girl and one count of delivering the drug LSD</t>
  </si>
  <si>
    <t xml:space="preserve">https://mugshots.com/US-States/Florida/Leon-County-FL/Marty-Glickman.6683229.html </t>
  </si>
  <si>
    <t>https://www.gettyimages.com/detail/news-photo/marty-glickman-a-supporter-of-republican-presidential-news-photo/51582398</t>
  </si>
  <si>
    <t>https://archive.vn/FcNDh</t>
  </si>
  <si>
    <t>Kevin Coan</t>
  </si>
  <si>
    <t>Cty Election Official</t>
  </si>
  <si>
    <t>Sentenced to two years probation for soliciting sex over the internet from a 14-year old girl</t>
  </si>
  <si>
    <t>https://qconline.com/news/illinois/police-child-porn-found-on-election-official-s-computer/article_1fb3b1f5-8a33-5c10-beb0-33d093750956.html</t>
  </si>
  <si>
    <t>https://www.cbsnews.com/news/scandals-mar-st-louis-vote/</t>
  </si>
  <si>
    <t>https://archive.vn/18jeY</t>
  </si>
  <si>
    <t>Parker J. Bena</t>
  </si>
  <si>
    <t>Activist / Lobbyist</t>
  </si>
  <si>
    <t>Pleaded guilty to possession of child pornography on his home computer and was sentenced to 30 months in federal prison and fined $18,000</t>
  </si>
  <si>
    <t>https://www.columbiatribune.com/article/20140402/News/304029859</t>
  </si>
  <si>
    <t>https://www.plainsite.org/dockets/6q93rbud/virginia-eastern-district-court/usa-v-bena/</t>
  </si>
  <si>
    <t>https://archive.vn/9PXlf</t>
  </si>
  <si>
    <t>https://archive.vn/wip/ZQx6i</t>
  </si>
  <si>
    <t>Howard L. Brooks</t>
  </si>
  <si>
    <t>Rep Legislative Aide</t>
  </si>
  <si>
    <t>Charged with molesting a 12-year old boy and possession of child pornography</t>
  </si>
  <si>
    <t xml:space="preserve">https://web.archive.org/web/20200317023350/https://www.latimes.com/archives/la-xpm-2002-aug-20-me-brooks20-story.html </t>
  </si>
  <si>
    <t xml:space="preserve">https://www.latimes.com/archives/la-xpm-2001-nov-22-me-7130-story.html </t>
  </si>
  <si>
    <t>https://archive.vn/raSBk</t>
  </si>
  <si>
    <t>Larry Jack Schwarz</t>
  </si>
  <si>
    <t>Parole Board Officer / Fmr CO State Representative</t>
  </si>
  <si>
    <t>Fired after child pornography was found in his possession</t>
  </si>
  <si>
    <t>https://www.prisonlegalnews.org/news/2002/jul/15/colorado-parole-board-member-busted-for-child-porn/</t>
  </si>
  <si>
    <t>https://coloradocentralmagazine.com/state-official-in-wetmore-target-of-porn-investigation/ , http://www.freerepublic.com/focus/f-news/1188689/posts</t>
  </si>
  <si>
    <t xml:space="preserve">https://archive.vn/06DL3 </t>
  </si>
  <si>
    <t>Keith Westmoreland</t>
  </si>
  <si>
    <t>Arrested on seven felony counts of lewd and lascivious exhibition to girls under the age of 16 (i.e. exposing himself to children)</t>
  </si>
  <si>
    <t>https://www.gainesville.com/article/LK/20020618/News/604172277/GS</t>
  </si>
  <si>
    <t>https://wcyb.com/news/local/former-kingsport-resident-disney-channel-star-charged-with-child-sex-crimes , ps://archive.vn/ZeMaq</t>
  </si>
  <si>
    <t>https://archive.vn/kzIT0</t>
  </si>
  <si>
    <t>Robin Vanderwall</t>
  </si>
  <si>
    <t>Strategist / Citadel Military College graduate</t>
  </si>
  <si>
    <t>Convicted in Virginia on five counts of soliciting sex from boys and girls over the internet.</t>
  </si>
  <si>
    <t>https://www.sourcewatch.org/index.php/Robin_Vanderwall , https://jlusa.org/leader/robin-w-vander-wall/</t>
  </si>
  <si>
    <t>https://archive.vn/C5AlL</t>
  </si>
  <si>
    <t xml:space="preserve">https://archive.vn/C5AlL </t>
  </si>
  <si>
    <t xml:space="preserve">https://archive.vn/6a7t2 </t>
  </si>
  <si>
    <t>John Burt</t>
  </si>
  <si>
    <t>Charged with sexual misconduct involving a 15-year old girl</t>
  </si>
  <si>
    <t>https://www.wtsp.com/article/news/local/abortion-protester-jailed-after-losing-molestation-appeal/67-396184349</t>
  </si>
  <si>
    <t>https://www.splcenter.org/fighting-hate/intelligence-report/2003/florida-abortion-foe-charged-molestation</t>
  </si>
  <si>
    <t>https://archive.vn/zPCAL</t>
  </si>
  <si>
    <t>https://archive.vn/i0yB2</t>
  </si>
  <si>
    <t>Craig Stephen White</t>
  </si>
  <si>
    <t>Pastor</t>
  </si>
  <si>
    <t>Demanded a return to traditional values, was sentenced to jail after offering $20 to a 14-year-old boy for permission to perform oral sex on him</t>
  </si>
  <si>
    <t>https://www.offenderradar.com/offender-details/craig-stephen-white-of-pennsylvania-221490</t>
  </si>
  <si>
    <r>
      <rPr/>
      <t xml:space="preserve">https://www.thedp.com/article/2004/01/brother_stephen_convicted_of_soliciting_sex , </t>
    </r>
    <r>
      <rPr>
        <color rgb="FF1155CC"/>
        <u/>
      </rPr>
      <t>https://archive.vn/wip/y6nJ8</t>
    </r>
  </si>
  <si>
    <t>https://archive.vn/phdLU</t>
  </si>
  <si>
    <t>https://archive.vn/Ngq1R</t>
  </si>
  <si>
    <t>Jon Matthews</t>
  </si>
  <si>
    <t>Talk Show Host</t>
  </si>
  <si>
    <t>Pleaded guilty to exposing his genitals to an 11 year old gir</t>
  </si>
  <si>
    <t>https://www.chron.com/news/houston-texas/article/Ex-radio-host-pleads-guilty-to-child-indecency-1627887.php</t>
  </si>
  <si>
    <t>https://www.chron.com/news/houston-texas/article/Ex-Houston-talk-show-host-gets-3-year-term-1658279.php , https://www.chron.com/news/houston-texas/article/Ex-radio-host-in-indecency-case-may-go-to-prison-1856782.php</t>
  </si>
  <si>
    <t>https://archive.vn/4dYOd</t>
  </si>
  <si>
    <t>https://archive.vn/wip/T4kix</t>
  </si>
  <si>
    <t>Fred C. Smeltzer, Jr.</t>
  </si>
  <si>
    <t>Pleaded no contest to raping a 15 year-old girl and served 6-months in prison</t>
  </si>
  <si>
    <t xml:space="preserve">https://www.wgal.com/article/council-accepts-resignation-of-member-imprisoned-for-rape/6189408 </t>
  </si>
  <si>
    <t xml:space="preserve">https://www.offenderradar.com/offender-details/fred-charles-smeltzer-jr-of-pennsylvania-236629 </t>
  </si>
  <si>
    <t xml:space="preserve">https://archive.vn/m1VdT </t>
  </si>
  <si>
    <t xml:space="preserve">https://archive.vn/xLDE0 </t>
  </si>
  <si>
    <t>Roman Polanski</t>
  </si>
  <si>
    <t>Activist/Donor/Director</t>
  </si>
  <si>
    <t>Fled the country after pleading guilty to statutory rape of a 13-year-old girl</t>
  </si>
  <si>
    <t xml:space="preserve">https://apnews.com/e087fdee79e74caf99caa27edd8a8887/A-timeline-of-Roman-Polanski&amp; </t>
  </si>
  <si>
    <t>https://archive.vn/QHGaV</t>
  </si>
  <si>
    <t xml:space="preserve">https://archive.vn/yxd69 </t>
  </si>
  <si>
    <t>Fred Richmond</t>
  </si>
  <si>
    <t>Congressman</t>
  </si>
  <si>
    <t>Arrested in Washington D.C. for soliciting sex from a 16-year-old boy.</t>
  </si>
  <si>
    <t xml:space="preserve">https://www.upi.com/Archives/1982/10/06/Suicide-left-love-message-in-ex-congressmans-flat/5358402724800/ </t>
  </si>
  <si>
    <t xml:space="preserve">https://www.nytimes.com/1982/11/11/nyregion/richmond-sentenced-to-a-year-and-a-day-and-fined-20000.html </t>
  </si>
  <si>
    <t xml:space="preserve">https://archive.vn/I2AeM </t>
  </si>
  <si>
    <t xml:space="preserve">https://archive.vn/QldjD </t>
  </si>
  <si>
    <t>Gus Savage</t>
  </si>
  <si>
    <t>Investigated by the Democrat-controlled House Committee on Ethics for attempting to rape an underage female Peace Corps volunteer in Zaire. The Committee concluded that while the events did occur his apology was sufficient and took no further action</t>
  </si>
  <si>
    <t xml:space="preserve">https://www.nytimes.com/1989/07/20/us/lawmaker-is-accused-of-sexual-impropriety.html </t>
  </si>
  <si>
    <t xml:space="preserve">https://archive.vn/KLbIm </t>
  </si>
  <si>
    <t xml:space="preserve">https://archive.vn/QEoS8 </t>
  </si>
  <si>
    <t>George Jacko</t>
  </si>
  <si>
    <t>State Senator</t>
  </si>
  <si>
    <t xml:space="preserve"> Found guilty of sexual harassment of an underage legislative page</t>
  </si>
  <si>
    <t xml:space="preserve">https://mustreadalaska.com/george-jacko-to-dean-westlake/#:~:text=George%20Jacko%20of%20Pedro%20Bay,Little%20in%20February%20of%201993 </t>
  </si>
  <si>
    <t xml:space="preserve">https://archive.vn/QUTZf </t>
  </si>
  <si>
    <t xml:space="preserve">https://archive.vn/S8HOg </t>
  </si>
  <si>
    <t xml:space="preserve">https://archive.vn/wip/FpRow </t>
  </si>
  <si>
    <t>Mel Reynolds</t>
  </si>
  <si>
    <t>Resigned from Congress after he was convicted of statutory rape of a 16-year-old campaign volunteer</t>
  </si>
  <si>
    <t>https://www.nytimes.com/1995/08/23/us/congressman-convicted-of-sexual-assault.html</t>
  </si>
  <si>
    <t xml:space="preserve">https://archive.vn/C9qzL </t>
  </si>
  <si>
    <t xml:space="preserve">https://archive.vn/NAwVF </t>
  </si>
  <si>
    <t>Richard A. Dasen Sr.</t>
  </si>
  <si>
    <t>Benefactor of conservative Christian groups</t>
  </si>
  <si>
    <t>Charged with rape for allegedly paying a 15-year old girl for sex. Dasen, 62, who is married with grown children and several grandchildren, has allegedly told police that over the past decade he paid more than $1 million to have sex with a large number of young women.</t>
  </si>
  <si>
    <t xml:space="preserve">https://missoulian.com/news/kalispell-businessman-richard-dasen-charged-with-14-prostitution-related-crimes/article_f04ce8a9-fa02-54fa-addd-267d2357a4a9.html#:~:text=Dasen%20is%2C%20however%2C%20charged%20with,sex%2Dfor%2Dmoney%20relationships </t>
  </si>
  <si>
    <t xml:space="preserve">https://archive.vn/n040m </t>
  </si>
  <si>
    <t xml:space="preserve">https://archive.vn/4DIFa </t>
  </si>
  <si>
    <t>Neil Goldschmidt</t>
  </si>
  <si>
    <t>Governor</t>
  </si>
  <si>
    <t>After being caught by a newspaper, publicly admitted to having a past sexual relationship with a 13-year-old girl after the statute of limitations on the rape charges had expired</t>
  </si>
  <si>
    <t xml:space="preserve">https://www.oregonlive.com/politics/2004/05/goldschmidt_confesses_70s_sexu.html </t>
  </si>
  <si>
    <t xml:space="preserve">https://infoweb.newsbank.com/apps/news/document-view?p=AMNEWS&amp;docref=news/102B12B10B6AA13D&amp;f=basic </t>
  </si>
  <si>
    <t xml:space="preserve">https://archive.vn/HtocZ </t>
  </si>
  <si>
    <t>https://archive.vn/YkdEO</t>
  </si>
  <si>
    <t>Bernie Ward</t>
  </si>
  <si>
    <t>Radio host</t>
  </si>
  <si>
    <t>Plead guilty to one count of sending child pornography over the Internet</t>
  </si>
  <si>
    <t xml:space="preserve">https://www.sfgate.com/bayarea/article/Dominatrix-reported-Bernie-Ward-police-say-3227977.php </t>
  </si>
  <si>
    <t>https://www.mercurynews.com/2008/08/28/former-talk-show-host-sentenced-to-more-than-seven-years-in-prison/</t>
  </si>
  <si>
    <t>https://archive.vn/tZ5H</t>
  </si>
  <si>
    <t xml:space="preserve">https://archive.vn/qt6Hm </t>
  </si>
  <si>
    <t>Gary Becker</t>
  </si>
  <si>
    <t>Mayor of Racine</t>
  </si>
  <si>
    <t>Convicted of attempted child seduction, child pornography, and other child sex crimes</t>
  </si>
  <si>
    <t xml:space="preserve">https://archive.jsonline.com/news/wisconsin/37577089.html/#:~:text=A%20former%20Racine%20alderman%2C%20Becker,to%20problems%20in%20southeastern%20Wisconsin </t>
  </si>
  <si>
    <t>https://journaltimes.com/news/local/breaking/becker-gets-prison/article_f2da4790-2711-11df-bdde-001cc4c03286.html</t>
  </si>
  <si>
    <t xml:space="preserve">https://archive.vn/1lumm </t>
  </si>
  <si>
    <t xml:space="preserve">https://archive.vn/Ydvkh </t>
  </si>
  <si>
    <t>James Cafferty</t>
  </si>
  <si>
    <t>State Department official</t>
  </si>
  <si>
    <t>Pleaded guilty to one count of transportation of child pornography.</t>
  </si>
  <si>
    <t xml:space="preserve">https://federalcrimesblog.com/2011/10/21/special-agent-james-charles-cafferty-indicted-for-alleged-possession-and-receipt-of-child-pornography/ </t>
  </si>
  <si>
    <t xml:space="preserve">https://www.tampabay.com/news/courts/criminal/former-state-department-agent-gets-seven-years-on-child-porn-charge/1227079/ </t>
  </si>
  <si>
    <t xml:space="preserve">https://archive.vn/WFaO8 </t>
  </si>
  <si>
    <t xml:space="preserve">https://archive.vn/fJN5Y </t>
  </si>
  <si>
    <t>Carl Carey</t>
  </si>
  <si>
    <t>State Department Official</t>
  </si>
  <si>
    <t>Under Hillary Clinton’s state department, was arrested on ten counts of child porn possession</t>
  </si>
  <si>
    <t xml:space="preserve">https://wjla.com/news/local/carl-carey-arrested-on-child-porn-charges-74734 </t>
  </si>
  <si>
    <t xml:space="preserve">https://archive.vn/aIP6N </t>
  </si>
  <si>
    <t xml:space="preserve">https://archive.vn/wip/Vqu4C </t>
  </si>
  <si>
    <t>Andrew Myers</t>
  </si>
  <si>
    <t xml:space="preserve">State Representative candidate </t>
  </si>
  <si>
    <t>Convicted for possession of child pornography and enticing children</t>
  </si>
  <si>
    <t xml:space="preserve">https://www.telegram.com/article/20130910/news/309109797 </t>
  </si>
  <si>
    <t xml:space="preserve">https://www.bostonherald.com/2012/08/22/scoutmaster-arrested-on-porn-charges/ </t>
  </si>
  <si>
    <t xml:space="preserve">https://archive.vn/U50xa </t>
  </si>
  <si>
    <t xml:space="preserve">https://archive.vn/hJPH4 </t>
  </si>
  <si>
    <t>James Cameron</t>
  </si>
  <si>
    <t>Asst Atty General</t>
  </si>
  <si>
    <t>Sentenced to just over 15 years in federal prison for seven counts of child porn possession, receipt and transmission</t>
  </si>
  <si>
    <t xml:space="preserve">https://www.justice.gov/usao-me/pr/james-cameron-sentenced-15-and-34-years-child-pornography-and-contempt-charges </t>
  </si>
  <si>
    <t xml:space="preserve">https://mugshots.com/Current-Events/James-Cameron.30378222.html </t>
  </si>
  <si>
    <t xml:space="preserve">https://archive.vn/iaIVt </t>
  </si>
  <si>
    <t xml:space="preserve">https://archive.vn/emExP </t>
  </si>
  <si>
    <t>Daniel Rosen</t>
  </si>
  <si>
    <t>Under Hillary Clinton’s state department, was arrested and charged with allegedly soliciting sex from a minor over the internet</t>
  </si>
  <si>
    <t xml:space="preserve">https://www.huffpost.com/entry/daniel-rosen-soliciting-sex-from-minor_n_6749184 </t>
  </si>
  <si>
    <t xml:space="preserve">https://archive.vn/BBjTt </t>
  </si>
  <si>
    <t xml:space="preserve">https://archive.vn/lPwTp </t>
  </si>
  <si>
    <t>Jared Fogle</t>
  </si>
  <si>
    <t>Activist/Donor/Subway Spokesperson</t>
  </si>
  <si>
    <t>Convicted of distribution and receipt of child pornography and traveling to engage in illicit sexual conduct with a minor</t>
  </si>
  <si>
    <t>https://www.justice.gov/usao-sdin/pr/jared-fogle-charged-child-pornography-distribution-and-repeatedly-engaging-commercial</t>
  </si>
  <si>
    <t>https://www.abqjournal.com/630702/fogle-to-plead-guilty-to-sex-acts-with-minors-child-porn.html</t>
  </si>
  <si>
    <t xml:space="preserve">https://archive.vn/wip/oXgg5 </t>
  </si>
  <si>
    <t xml:space="preserve">https://archive.vn/wip/2rUTO </t>
  </si>
  <si>
    <t>Jacob Schwartz</t>
  </si>
  <si>
    <t>Activist and aid to NYC Mayor De Blasio</t>
  </si>
  <si>
    <t>Arrested on possession of 3,000+ child pornographic images</t>
  </si>
  <si>
    <t xml:space="preserve">https://www.amny.com/news/district-leaders-son-busted/ </t>
  </si>
  <si>
    <t xml:space="preserve">https://nypost.com/2019/05/28/former-de-blasio-staffer-pleads-guilty-to-child-porn-possession/ </t>
  </si>
  <si>
    <t xml:space="preserve">https://archive.vn/dor9B </t>
  </si>
  <si>
    <t xml:space="preserve">https://archive.vn/bKk0c </t>
  </si>
  <si>
    <t>US Rep / Mayoral candidate</t>
  </si>
  <si>
    <t>Transferring obscene material to a minor as part of a plea agreement for sexted and sending Twitter DMs to underage girls as young as 15</t>
  </si>
  <si>
    <t xml:space="preserve">https://nypost.com/2017/05/19/anthony-weiner-will-plead-guilty-to-sexting-with-a-15-year-old-girl/ </t>
  </si>
  <si>
    <t>https://www.breitbart.com/politics/2020/04/01/fitton-weiner-timeline-how-the-fbi-gave-hillary-cover-during-the-election/</t>
  </si>
  <si>
    <t xml:space="preserve">https://archive.vn/sAn15 </t>
  </si>
  <si>
    <t xml:space="preserve">https://archive.vn/9Rgjc </t>
  </si>
  <si>
    <t>Ed Murray</t>
  </si>
  <si>
    <t>Seattle Mayor</t>
  </si>
  <si>
    <t>Resigned after multiple accusations of child sexual abuse were levied against him including by family members</t>
  </si>
  <si>
    <t xml:space="preserve">https://www.seattletimes.com/seattle-news/politics/seattle-mayor-ed-murray-resigns-after-fifth-child-sex-abuse-allegation/ </t>
  </si>
  <si>
    <t xml:space="preserve">https://www.seattletimes.com/seattle-news/times-watchdog/mayor-ed-murray-sexually-abused-foster-son-child-welfare-investigator-found-in-1984/ </t>
  </si>
  <si>
    <t xml:space="preserve">https://archive.vn/Pklp8 </t>
  </si>
  <si>
    <t xml:space="preserve">https://archive.vn/wip/XcgeP </t>
  </si>
  <si>
    <t>Deputy Atty Gen</t>
  </si>
  <si>
    <t>Arrested for possession of child pornography</t>
  </si>
  <si>
    <t>https://www.cbs8.com/article/news/california-state-prosecutor-charged-with-child-pornography/509-0dba8089-e80e-4037-88e5-5b2011fb415c</t>
  </si>
  <si>
    <t>Russell Simmons</t>
  </si>
  <si>
    <t>Activist / Actor</t>
  </si>
  <si>
    <t>Sued based on an allegation of sexual assault where he coerced an underage model for sex</t>
  </si>
  <si>
    <t xml:space="preserve">https://abc7.com/russell-simmons-sex-assault-sexual-misconduct/2670162/ </t>
  </si>
  <si>
    <t>https://www.rollingstone.com/music/music-news/russell-simmons-sexual-assault-allegations-a-timeline-202515/</t>
  </si>
  <si>
    <t xml:space="preserve">https://archive.vn/PFmH5 </t>
  </si>
  <si>
    <t xml:space="preserve">https://www.rollingstone.com/wp-content/uploads/2018/06/russell-simmons-timeline-4a787624-1546-4372-acd6-eaa0b43fb98a.jpg?resize=1800,1200&amp;w=1200 </t>
  </si>
  <si>
    <t>Harvey Weinstein</t>
  </si>
  <si>
    <t xml:space="preserve">Donor/Activist,/Hollywood producer </t>
  </si>
  <si>
    <t>Prosecuted and civilly sued for years of sexual abuse (that was well known “secret” in Hollywood) including underage sexual activities with aspiring female actresses</t>
  </si>
  <si>
    <t>https://www.nytimes.com/2020/03/06/nyregion/harvey-weinstein-sentencing.html</t>
  </si>
  <si>
    <t>https://www.haaretz.com/us-news/four-more-women-including-minor-accuse-weinstein-of-sexual-assault-in-ny-lawsuit-1.8885690</t>
  </si>
  <si>
    <t xml:space="preserve">https://archive.vn/3kGbD </t>
  </si>
  <si>
    <t xml:space="preserve">https://archive.vn/tGa4e </t>
  </si>
  <si>
    <t>Asia Argento,</t>
  </si>
  <si>
    <t>Activist/#metoo proponent</t>
  </si>
  <si>
    <t>Settled a lawsuit for sexual harassment stemming from sexual activities with an underage actor</t>
  </si>
  <si>
    <t>https://www.latimes.com/local/lanow/la-me-ln-asia-argento-allegation-20180821-story.html</t>
  </si>
  <si>
    <t>https://www.dailymail.co.uk/news/article-6086009/Asia-Argento-admits-DID-sex-17-year-old-Jimmy-Bennett-texts.html</t>
  </si>
  <si>
    <t>US/Italian</t>
  </si>
  <si>
    <t xml:space="preserve">https://archive.vn/Gggei </t>
  </si>
  <si>
    <t>https://archive.vn/vLB2U</t>
  </si>
  <si>
    <t>Billionaire/Dem Donor</t>
  </si>
  <si>
    <t xml:space="preserve"> Ran an underage child sex brothel and was convicted of soliciting underage girls for prostitution</t>
  </si>
  <si>
    <t>https://www.foxnews.com/us/billionaire-jeffrey-epstein-arrested-and-charged-with-sex-trafficking https://www.huffpost.com/entry/jeffrey-epstein-timeline_n_5d2763c8e4b02a5a5d57857f</t>
  </si>
  <si>
    <t>https://archive.vn/vibyB</t>
  </si>
  <si>
    <t>https://archive.vn/sLMoe</t>
  </si>
  <si>
    <t>9.22.2018 I decided to put this list together as time allows me, to give a comparison to arrests that have taken place in 2016 and early 2017 prior to when @POTUS @realDonaldTrump took office.</t>
  </si>
  <si>
    <t># Arrested</t>
  </si>
  <si>
    <t># Rescued</t>
  </si>
  <si>
    <t>Alexander Burton Blake</t>
  </si>
  <si>
    <t>January 6, 2016</t>
  </si>
  <si>
    <t>https://www.justice.gov/usao-wdny/pr/cheektowaga-man-charged-possession-and-distribution-child-pornography</t>
  </si>
  <si>
    <t>https://www.9and10news.com/2016/01/06/grand-traverse-county-deputies-arrest-two-for-human-trafficking-prostitution/</t>
  </si>
  <si>
    <t>Steven Callis</t>
  </si>
  <si>
    <t>Photo in article</t>
  </si>
  <si>
    <t>https://wtvr.com/2016/01/06/stephen-callis-sex-trafficking-of-children-charge/</t>
  </si>
  <si>
    <t>January 5, 2016</t>
  </si>
  <si>
    <t>https://www.rgj.com/story/news/crime/2016/01/07/12-women-rescued-puget-sound-human-trafficking-bust/78423470/</t>
  </si>
  <si>
    <t>Dwayne  Hairston/ Eric Williams</t>
  </si>
  <si>
    <t>Photos in article</t>
  </si>
  <si>
    <t>https://www.wtnh.com/news/crime/9-arrested-in-hartford-in-connection-with-kidnapping-human-trafficking-of-teen_20180416080729597/1123886794</t>
  </si>
  <si>
    <t>Juan Jones</t>
  </si>
  <si>
    <t>January 5, 2026</t>
  </si>
  <si>
    <t>https://www.justice.gov/usao-wdmo/pr/former-greene-county-sheriffs-deputy-charged-child-porn</t>
  </si>
  <si>
    <t>Gregory Alexander Hines /Keith Bernard Lewis</t>
  </si>
  <si>
    <t>January 8, 2016</t>
  </si>
  <si>
    <t xml:space="preserve">Backpage.com-Sex trafficking </t>
  </si>
  <si>
    <t>https://www.news-press.com/story/news/crime/2016/01/11/men-jailed-after-sexually-trafficking-4-collier-women-ccso-say/78645640/</t>
  </si>
  <si>
    <t>Daytron Hoefer</t>
  </si>
  <si>
    <t>January 12, 2016</t>
  </si>
  <si>
    <t>Backpage.com- Sex trafficking of a minor</t>
  </si>
  <si>
    <t>https://www.thestate.com/news/local/article54317085.html</t>
  </si>
  <si>
    <t>http://www.foxnews.com/us/2016/01/12/women-rescued-from-human-traffickers-in-wyo-after-one-mouthed-help-me-to-cops.html</t>
  </si>
  <si>
    <t>James Anthony Bee</t>
  </si>
  <si>
    <t>January 11, 2016</t>
  </si>
  <si>
    <t>https://www.justice.gov/usao-wdmo/pr/raytown-man-indicted-child-porn</t>
  </si>
  <si>
    <t>Domingo Jesus Sardaneta</t>
  </si>
  <si>
    <t>https://www.kwtx.com/content/news/Waco-Man-Jailed-For-Human-Trafficking-For-Sex-365181391.html</t>
  </si>
  <si>
    <t>Christopher Orgeron</t>
  </si>
  <si>
    <t>January 14, 2016</t>
  </si>
  <si>
    <t>https://www.justice.gov/usao-edla/pr/harvey-man-indicted-and-arrested-child-pornography-charges</t>
  </si>
  <si>
    <t>Mark Payton/Tasha McElrafth</t>
  </si>
  <si>
    <t>https://www.dailybulletin.com/2016/01/15/couple-arrested-on-human-trafficking-charges-in-pomona/</t>
  </si>
  <si>
    <t>Jose Alvarado</t>
  </si>
  <si>
    <t>January 15, 2016</t>
  </si>
  <si>
    <t>https://www.justice.gov/usao-wdny/pr/irondequoit-man-indicted-charged-sexually-exploiting-15-year-old</t>
  </si>
  <si>
    <t>Victoran Faulk</t>
  </si>
  <si>
    <t>January 16, 2016</t>
  </si>
  <si>
    <t>https://www.wtvq.com/2016/01/07/undefined-66/</t>
  </si>
  <si>
    <t>https://mynewsla.com/orange-county/2016/01/18/4-human-trafficking-suspects-arrested-in-orange-county/</t>
  </si>
  <si>
    <t>Kyla Norby</t>
  </si>
  <si>
    <t>https://www.justice.gov/usao-nm/pr/hobbs-woman-arrested-federal-production-and-distribution-child-pornography-charges</t>
  </si>
  <si>
    <t>Tracy Ann Smith / Christopher Peck</t>
  </si>
  <si>
    <t>January 19, 2016</t>
  </si>
  <si>
    <t>Project Safe Childhood - CP production &amp; related charges</t>
  </si>
  <si>
    <t>https://www.justice.gov/usao-wdmo/pr/springfield-man-woman-indicted-producing-child-porn</t>
  </si>
  <si>
    <t>Morgan Palmer / Daylin Fay</t>
  </si>
  <si>
    <t>https://www.tulsaworld.com/news/crimewatch/two-arrested-on-human-trafficking-complaints-after-police-respond-to/article_947430de-626d-5417-9a09-f0921ad456a3.html</t>
  </si>
  <si>
    <t>Crystal Lynn Sweigart</t>
  </si>
  <si>
    <t>January 20, 2016</t>
  </si>
  <si>
    <t>https://lancasteronline.com/news/local/mount-joy-woman-again-charged-with-operating-prostitution-business-from/article_2dcce4d4-bf0a-11e5-a7af-1b65a5c8365b.html</t>
  </si>
  <si>
    <t>https://www.coladaily.com/2016/01/20/102118/</t>
  </si>
  <si>
    <t>Anthony Samuel Long</t>
  </si>
  <si>
    <t>http://www.cjonline.com/news/2016-01-20/man-arrested-human-trafficking-case-makes-first-appearance</t>
  </si>
  <si>
    <t>Saulo Mazariegos</t>
  </si>
  <si>
    <t>January 21, 2016</t>
  </si>
  <si>
    <t>https://abc7.com/news/4-arrested-for-prostitution-pimping-in-moreno-valley/1171444/</t>
  </si>
  <si>
    <t>Dennis Prince</t>
  </si>
  <si>
    <t>https://www.justice.gov/usao-wdmo/pr/battlefield-man-pleads-guilty-child-porn</t>
  </si>
  <si>
    <t>Cody Lee Davidson</t>
  </si>
  <si>
    <t>January 26, 2016</t>
  </si>
  <si>
    <t>https://www.justice.gov/usao-wdmo/pr/raytown-man-charged-distributing-child-porn</t>
  </si>
  <si>
    <t>Demerous E. Foxworth</t>
  </si>
  <si>
    <t>January 27, 2016</t>
  </si>
  <si>
    <t xml:space="preserve">Project Safe Childhood-Sex trafficking of a minor </t>
  </si>
  <si>
    <t>https://www.justice.gov/usao-sdil/pr/centreville-man-indicted-commercial-sex-trafficking-minor</t>
  </si>
  <si>
    <t>Harold Jack Lucas</t>
  </si>
  <si>
    <t>January 22, 2016</t>
  </si>
  <si>
    <t>http://www.lowellsun.com/breakingnews/ci_29444952/lowell-man-facing-human-trafficking-charges-held-high</t>
  </si>
  <si>
    <t>Paul L Sipeer,</t>
  </si>
  <si>
    <t>https://www.justice.gov/usao-wdmo/pr/duenweg-sex-offender-charged-online-child-sex-shows</t>
  </si>
  <si>
    <t>January 28, 2016</t>
  </si>
  <si>
    <t>https://missionlocal.org/2016/01/sf-mission-police-officers-arrest-human-trafficking-suspects/</t>
  </si>
  <si>
    <t>Operation Reclaim &amp; Rebuild-Sex trafficking of minors</t>
  </si>
  <si>
    <t>https://losangeles.cbslocal.com/2016/01/28/12-children-rescued-in-sex-trafficking-sting-that-nets-198-arrests-lapd-says/</t>
  </si>
  <si>
    <t>https://www.yourcentralvalley.com/news/human-trafficking-suspects-arrested/350156779</t>
  </si>
  <si>
    <t>Michael Caraher</t>
  </si>
  <si>
    <t>https://www.justice.gov/usao-ndny/pr/morrisville-man-arrested-receipt-and-possession-child-pornography</t>
  </si>
  <si>
    <t>Ahmad Hasan</t>
  </si>
  <si>
    <t>Backpage.com-CP Distribution, sex trafficking of a minor</t>
  </si>
  <si>
    <t>https://www.siouxlandproud.com/news/local-news/sioux-city-man-arrested-after-year-long-federal-human-trafficking-investigation/350907648</t>
  </si>
  <si>
    <t>Quincy Bright / Brittany Gray-Bright</t>
  </si>
  <si>
    <t>https://www.thestate.com/news/local/crime/article57795838.html</t>
  </si>
  <si>
    <t>Steven Ciccone</t>
  </si>
  <si>
    <t>February 5, 2016</t>
  </si>
  <si>
    <t>https://www.fbi.gov/contact-us/field-offices/cleveland/news/press-releases/kent-ohio-man-arrested-on-child-pornography-charges</t>
  </si>
  <si>
    <t>Ukedrian Tyrell Anderson</t>
  </si>
  <si>
    <t>February 4, 2016</t>
  </si>
  <si>
    <t>https://www.everythinglubbock.com/news/local-news/lubbock-man-arrested-human-trafficking-charge/358328109</t>
  </si>
  <si>
    <t>January 31, 2016</t>
  </si>
  <si>
    <t>RI  MA</t>
  </si>
  <si>
    <t>Backpage.com- Sex trafficking</t>
  </si>
  <si>
    <t>https://patch.com/massachusetts/milford-ma/milford-john-among-13-arrested-backpagecom-prostitution-sting-ri</t>
  </si>
  <si>
    <t>Tekera Symone Scot</t>
  </si>
  <si>
    <t>https://www.kron4.com/news/woman-arrested-in-milpitas-for-human-trafficking-of-a-minor/1033048165</t>
  </si>
  <si>
    <t>Bruce Stevenson</t>
  </si>
  <si>
    <t>https://www.wwlp.com/news/crime/new-york-man-arrested-in-chicopee-for-human-trafficking/1043562109</t>
  </si>
  <si>
    <t>Jibri Thomas</t>
  </si>
  <si>
    <t>http://www.staradvertiser.com/2016/02/05/breaking-news/man-accused-of-forcing-fort-bragg-soldier-into-prostitution/</t>
  </si>
  <si>
    <t>Cole Wolak</t>
  </si>
  <si>
    <t>February 3, 2016</t>
  </si>
  <si>
    <t>http://www.cleveland19.com/story/31156361/east-canton-man-arrested-on-child-pornography-charges/</t>
  </si>
  <si>
    <t>Darrell Wayne Ayers</t>
  </si>
  <si>
    <t>February 6, 2016</t>
  </si>
  <si>
    <t>https://www.cbs17.com/news/ex-deputy-director-of-nc-justice-academy-busted-on-prostitution-charge/1080735519</t>
  </si>
  <si>
    <t>Henry Reyna</t>
  </si>
  <si>
    <t>https://www.breitbart.com/texas/2016/02/07/texas-man-charged-with-sex-trafficking-15-year-old-girl/</t>
  </si>
  <si>
    <t>TN GA</t>
  </si>
  <si>
    <t>Operation Watchful Guardians-Sex trafficking,sex trafficking of a minor</t>
  </si>
  <si>
    <t>https://www.wkrn.com/news/tennessee-georgia-authorities-crack-down-on-sex-trafficking/1091509960</t>
  </si>
  <si>
    <t>Joseph Lombardo</t>
  </si>
  <si>
    <t>February 9, 2016</t>
  </si>
  <si>
    <t>https://www.justice.gov/usao-wdny/pr/lancaster-man-arrested-multiple-child-pornography-charges</t>
  </si>
  <si>
    <t>Peter Blazejcyk</t>
  </si>
  <si>
    <t>February 12, 2016</t>
  </si>
  <si>
    <t>https://www.fbi.gov/contact-us/field-offices/detroit/news/press-releases/fbi-makes-child-pornography-arrest</t>
  </si>
  <si>
    <t>Matthew McCray</t>
  </si>
  <si>
    <t>February 10, 2016</t>
  </si>
  <si>
    <t>https://www.justice.gov/usao-ndin/pr/matthew-mccray-indicted-possession-and-production-child-pornography</t>
  </si>
  <si>
    <t>Richard Lee Doerr, III</t>
  </si>
  <si>
    <t>https://www.justice.gov/usao-sdil/pr/east-carondelet-man-charged-possession-distribution-and-receipt-child-pornography</t>
  </si>
  <si>
    <t>Bart Hernandez</t>
  </si>
  <si>
    <t>February 19, 2016</t>
  </si>
  <si>
    <t>https://www.seattlepi.com/sports/baseball/article/Report-Mariners-CF-Leonys-Martin-s-agent-6842631.php#</t>
  </si>
  <si>
    <t>Donald Ray Pafford</t>
  </si>
  <si>
    <t>https://www.justice.gov/usao-edmo/pr/marion-county-man-indicted-child-pornography-charges</t>
  </si>
  <si>
    <t>Lester Tucker / Janice Scott</t>
  </si>
  <si>
    <t>January 2016</t>
  </si>
  <si>
    <t>https://www.kgwn.tv/home/headlines/Couple-pleads-not-guilty-to-human-trafficking-charges-369858081.html</t>
  </si>
  <si>
    <t>Deonte Caraway</t>
  </si>
  <si>
    <t>https://www.justice.gov/usao-md/pr/former-aide-prince-george-s-county-elementary-school-facing-federal-and-state-charges</t>
  </si>
  <si>
    <t>Steven Raymond Foster</t>
  </si>
  <si>
    <t>February 24, 2016</t>
  </si>
  <si>
    <t>https://www.justice.gov/usao-ak/pr/juneau-man-indicted-distribution-child-pornography</t>
  </si>
  <si>
    <t>Pedro Cruz</t>
  </si>
  <si>
    <t>https://www.justice.gov/usao-wdny/pr/rochester-man-charged-possession-and-receipt-child-pornography</t>
  </si>
  <si>
    <t>Tony O Miller</t>
  </si>
  <si>
    <t>https://www.justice.gov/usao-wdtn/pr/former-selmer-police-lieutenant-indicted-federal-child-pornography-charges</t>
  </si>
  <si>
    <t>Trashon Autman</t>
  </si>
  <si>
    <t>Ferbruary 22, 2016</t>
  </si>
  <si>
    <t>February 22, 2016</t>
  </si>
  <si>
    <t>https://www.fbi.gov/contact-us/field-offices/cleveland/news/press-releases/toledo-man-arrested-on-child-prostitution-charge</t>
  </si>
  <si>
    <t>Ladarius Jamar Watts</t>
  </si>
  <si>
    <t>March 1, 2016</t>
  </si>
  <si>
    <t>https://www.al.com/news/birmingham/index.ssf/2016/03/man_28_took_woman_to_pelham_ho.html</t>
  </si>
  <si>
    <t>Chudy &amp; Sandra Nsobundu</t>
  </si>
  <si>
    <t>Human / Labor Trafficking</t>
  </si>
  <si>
    <t>https://abc13.com/news/federal-grand-jury-indicts-katy-couple-accused-of-enslaving-nanny/1226029/</t>
  </si>
  <si>
    <t>Jahil Mitchell/Paul Wells/Christopher Stewart</t>
  </si>
  <si>
    <t>https://www.kcra.com/article/3-men-13-women-arrested-in-fairfield-human-trafficking/6427459</t>
  </si>
  <si>
    <t>Evan Matthew Lawbaugh</t>
  </si>
  <si>
    <t>March 2, 2016</t>
  </si>
  <si>
    <t>https://fox43.com/2016/03/02/waynesboro-man-indicted-on-child-pornography-charges-involving-an-infant/</t>
  </si>
  <si>
    <t>Clif Seaway /Tammy LaMere /Tammy Martin</t>
  </si>
  <si>
    <t>https://www.justice.gov/usao-ndny/pr/three-adults-charged-sexual-exploitaion-children</t>
  </si>
  <si>
    <t>Eli Traufield</t>
  </si>
  <si>
    <t>March 4, 2016</t>
  </si>
  <si>
    <t>https://www.justice.gov/usao-co/pr/red-feather-lakes-resident-indicted-and-ordered-held-without-bond-distribution-and</t>
  </si>
  <si>
    <t>Dennis Boyle</t>
  </si>
  <si>
    <t>https://www.justice.gov/usao-edca/pr/orangevale-man-arrested-today-child-pornography-charges</t>
  </si>
  <si>
    <t>https://www.al.com/news/montgomery/index.ssf/2016/03/7_south_alabama_men_arrested_i.html</t>
  </si>
  <si>
    <t>Nathaniel Lee Thompson</t>
  </si>
  <si>
    <t>March 3, 2016</t>
  </si>
  <si>
    <t>https://www.washingtonpost.com/local/public-safety/man-who-fled-from-police-arrested-in-trafficking-of-underage-girl/2016/03/05/695be2fc-e2fa-11e5-9c36-e1902f6b6571_story.html?noredirect=on&amp;utm_term=.124dc5465e8e</t>
  </si>
  <si>
    <t>James Bell</t>
  </si>
  <si>
    <t>March 7, 2016</t>
  </si>
  <si>
    <t>https://www.wbaltv.com/article/n-y-man-charged-with-human-trafficking-in-anne-arundel-county/7099334</t>
  </si>
  <si>
    <t>Joseph Deandre Edward</t>
  </si>
  <si>
    <t>https://mynewsla.com/orange-county/2016/03/07/anaheim-man-accused-of-trying-to-pimp-undercover-officer/</t>
  </si>
  <si>
    <t>https://mynewsla.com/crime/2016/03/09/20-year-old-female-human-trafficking-victim-rescued-from-buena-park-motel/</t>
  </si>
  <si>
    <t>March 9, 2016</t>
  </si>
  <si>
    <t>https://www.thehour.com/norwalk/article/Police-Multiple-prostitution-arrests-have-human-8019485.php</t>
  </si>
  <si>
    <t>Grant Wojahn</t>
  </si>
  <si>
    <t>February 8, 2016</t>
  </si>
  <si>
    <t>https://www.justice.gov/usao-ndil/pr/loves-park-man-indicted-child-pornography-charges</t>
  </si>
  <si>
    <t>March 11, 2016</t>
  </si>
  <si>
    <t>https://turnto10.com/news/local/17-people-arrested-after-human-trafficking-sting-in-cranston</t>
  </si>
  <si>
    <t>Christopher Walsh</t>
  </si>
  <si>
    <t>March 10, 2016</t>
  </si>
  <si>
    <t>https://www.justice.gov/usao-nj/pr/mercer-county-new-jersey-school-bus-driver-arrested-charges-distributing-images-child</t>
  </si>
  <si>
    <t>Martel Valencia-Cortez</t>
  </si>
  <si>
    <t>http://www.sandiegouniontribune.com/sdut-wanted-human-smuggler-turns-himself-in-2016mar11-story.html</t>
  </si>
  <si>
    <t>Kasity &amp; Christopher Hill / Amy Ferrell</t>
  </si>
  <si>
    <t>March 15, 2016</t>
  </si>
  <si>
    <t>https://newschannel9.com/news/local/3-individuals-charged-in-tbi-juvenile-human-trafficking-investigation</t>
  </si>
  <si>
    <t>Tyler Hale / Jennifer Pope</t>
  </si>
  <si>
    <t>March 17, 2016</t>
  </si>
  <si>
    <t>https://www.wtvy.com/content/news/FDLE-arrests-Fort-Walton-Beach-pair-for-human-trafficking-372467712.html</t>
  </si>
  <si>
    <t>March 16, 2016</t>
  </si>
  <si>
    <t>Operation Backpage-Sex trafficking</t>
  </si>
  <si>
    <t>https://mynbc15.com/news/local/13-arrested-in-operation-backpage-prostitution</t>
  </si>
  <si>
    <t>Louis Francis Bradley</t>
  </si>
  <si>
    <t>https://www.justice.gov/usao-md/pr/maryland-man-allegedly-paid-people-philippines-send-child-pornography</t>
  </si>
  <si>
    <t>Jason Kopp / Emily Oberst</t>
  </si>
  <si>
    <t>March 18, 2016</t>
  </si>
  <si>
    <t>https://www.justice.gov/usao-ndny/pr/two-arrested-child-sexual-exploitation</t>
  </si>
  <si>
    <t>James Glenn Dukes</t>
  </si>
  <si>
    <t>March 20, 2016</t>
  </si>
  <si>
    <t>https://www.fbi.gov/contact-us/field-offices/jackson/news/press-releases/fbi-agents-arrest-brandon-man-on-child-pornography-charges</t>
  </si>
  <si>
    <t>Jacob Guang Yang</t>
  </si>
  <si>
    <t>March 22, 2016</t>
  </si>
  <si>
    <t>https://www.kwtx.com/content/news/Deputies-raid-local-massage-parlors-in-human-trafficking-crackdown-373133771.html</t>
  </si>
  <si>
    <t>Rene Cruz Mesa</t>
  </si>
  <si>
    <t>March 23, 2016</t>
  </si>
  <si>
    <t>https://kobi5.com/news/man-answers-escort-ad-arrested-at-west-linn-police-station-24228/</t>
  </si>
  <si>
    <t>http://www.thesunchronicle.com/news/local_news/mansfield-man-among-arrested-in-human-trafficking-sting-in-seekonk/article_b631006e-7430-55e3-af96-25b41b1b7048.html</t>
  </si>
  <si>
    <t>Jack E Grubb</t>
  </si>
  <si>
    <t>https://www.kansascity.com/news/local/crime/article67788857.html</t>
  </si>
  <si>
    <t>Brandi Leonard / Richard Hennis</t>
  </si>
  <si>
    <t>March 24, 2016</t>
  </si>
  <si>
    <t>https://www.justice.gov/usao-co/pr/colorado-woman-and-man-arrested-and-charged-production-and-transportation-child</t>
  </si>
  <si>
    <t>March 25, 2016</t>
  </si>
  <si>
    <t>https://www.yourcentralvalley.com/news/seven-prostitutes-arrested-at-a-hotel-in-porterville/410061865</t>
  </si>
  <si>
    <t>John Allen Chumley</t>
  </si>
  <si>
    <t>Project Save Childhood-CP production, distribution &amp; related charges</t>
  </si>
  <si>
    <t>https://www.justice.gov/usao-sdtx/pr/alleged-child-pornographer-deemed-danger-community-and-ordered-custody</t>
  </si>
  <si>
    <t>Lisa Glass</t>
  </si>
  <si>
    <t>February 2016</t>
  </si>
  <si>
    <t>https://www.news4jax.com/news/local/jacksonville/jacksonville-woman-indicted-on-child-sex-trafficking-charge</t>
  </si>
  <si>
    <t>Jeffrey Wright /Thomas Tran /Nianying Xie</t>
  </si>
  <si>
    <t>March 2016</t>
  </si>
  <si>
    <t>https://www.yourconroenews.com/news/article/Third-indicted-in-human-trafficking-bust-9480208.php</t>
  </si>
  <si>
    <t>Kevin Acosta</t>
  </si>
  <si>
    <t>March 29, 2016</t>
  </si>
  <si>
    <t>https://www.justice.gov/usao-sdny/pr/bronx-man-arrested-sexual-exploitation-enticement-extortion-and-child-pornography</t>
  </si>
  <si>
    <t>Matthew Graves</t>
  </si>
  <si>
    <t>March 21, 2016</t>
  </si>
  <si>
    <t>https://www.justice.gov/usao-wdky/pr/louisville-man-detained-pending-charges-advertising-receipt-and-transportation-child</t>
  </si>
  <si>
    <t>Gregory Jerome Lee</t>
  </si>
  <si>
    <t>March 30, 2016</t>
  </si>
  <si>
    <t>http://www.cullmantimes.com/news/cullman-county-man-indicted-on-federal-child-porn-charges/article_44fd5914-f6cc-11e5-a580-738746018fbe.html</t>
  </si>
  <si>
    <t>Anthony Quinton Quesinberry</t>
  </si>
  <si>
    <t>March 31, 2016</t>
  </si>
  <si>
    <t>https://www.justice.gov/usao-wdtx/pr/us-army-specialist-arrested-federal-child-porn-distribution-charge</t>
  </si>
  <si>
    <t>James Lyndon McFadin</t>
  </si>
  <si>
    <t>April 1, 2016</t>
  </si>
  <si>
    <t>https://www.justice.gov/usao-wdmo/pr/neosho-man-indicted-producing-child-porn</t>
  </si>
  <si>
    <t>Ricky Lee Richardson</t>
  </si>
  <si>
    <t>April 4, 2016</t>
  </si>
  <si>
    <t>Project Safe Childhood-Sex trafficking of a minor, CP related charges</t>
  </si>
  <si>
    <t>https://www.justice.gov/usao-edca/pr/stockton-man-charged-sex-trafficking-minor</t>
  </si>
  <si>
    <t>Joseph Kurowski / Jose Cisneros</t>
  </si>
  <si>
    <t>April 7, 2016</t>
  </si>
  <si>
    <t>CP Production, distribution &amp; related charges</t>
  </si>
  <si>
    <t>James Smith</t>
  </si>
  <si>
    <t>https://www.justice.gov/usao-ma/pr/northampton-man-charged-child-exploitation-offense</t>
  </si>
  <si>
    <t>James Wilson</t>
  </si>
  <si>
    <t>March 30, 2018</t>
  </si>
  <si>
    <t>https://ktul.com/news/local/union-band-instructor-arrested-on-child-pornography-complaints</t>
  </si>
  <si>
    <t>https://www.justice.gov/usao-ndok/pr/federal-grand-jury-criminal-indictments-announced-33</t>
  </si>
  <si>
    <t>Robert G Landsbach</t>
  </si>
  <si>
    <t>October 5, 2016</t>
  </si>
  <si>
    <t>https://www.dailyamerican.com/news/local/somerset/stoystown-man-charged-with-child-porn/article_2a611bf6-8bd5-11e6-9612-d3101c855da3.html</t>
  </si>
  <si>
    <t>Brandon Deavers</t>
  </si>
  <si>
    <t>October 19, 2016</t>
  </si>
  <si>
    <t>https://www.komu.com/news/columbia-man-arrested-for-possession-of-child-pornography-82522</t>
  </si>
  <si>
    <t>Scott Wroten</t>
  </si>
  <si>
    <t>December 13, 2016</t>
  </si>
  <si>
    <t>http://www.medina-gazette.com/Medina-County/2016/12/13/Brunswick-man-faces-state-federal-charges-in-child-porn-case.html</t>
  </si>
  <si>
    <t>James Denney</t>
  </si>
  <si>
    <t>December 21, 2016</t>
  </si>
  <si>
    <t>https://www.wlwt.com/article/feds-confiscate-evidence-during-investigation-at-anderson-twp-home/8524855</t>
  </si>
  <si>
    <t>Maricel Capitaine</t>
  </si>
  <si>
    <t>January 2, 2017</t>
  </si>
  <si>
    <t>https://www.wesh.com/article/sex-trafficking-arrest-made-in-brevard-county/8559155</t>
  </si>
  <si>
    <t>Joaquin Perez Urbano / Paula Rojas Zarte</t>
  </si>
  <si>
    <t>January 3, 2017</t>
  </si>
  <si>
    <t>http://www.greenepublishing.com/two-more-arrested-in-human-trafficking-ring/</t>
  </si>
  <si>
    <t>Ronald Kyle Hartman / David Michael Monrean</t>
  </si>
  <si>
    <t>https://www.justice.gov/usao-wdpa/pr/two-new-castle-men-charged-sex-trafficking-minor-producing-child-pornography</t>
  </si>
  <si>
    <t>Jonathan Sebert</t>
  </si>
  <si>
    <t>January 4, 2017</t>
  </si>
  <si>
    <t>https://www.justice.gov/usao-ndia/pr/clarion-man-charged-child-sexual-exploitation-offenses</t>
  </si>
  <si>
    <t>William Allen Patterson</t>
  </si>
  <si>
    <t>August 10, 2016</t>
  </si>
  <si>
    <t>https://www.justice.gov/usao-nm/pr/alamogordo-man-pleads-guilty-federal-child-pornography-charge</t>
  </si>
  <si>
    <t>December 2016</t>
  </si>
  <si>
    <t>http://www.bemidjipioneer.com/news/4194040-crime-grant-fight-human-trafficking-leads-9-arrests-bemidji</t>
  </si>
  <si>
    <t>Gerald Ortega / Brandon Edmondson</t>
  </si>
  <si>
    <t>January 6, 2017</t>
  </si>
  <si>
    <t>https://www.eastbaytimes.com/2017/01/06/pittsburg-two-charged-with-human-trafficking-of-minors/</t>
  </si>
  <si>
    <t>Mark Anthony Hamauei</t>
  </si>
  <si>
    <t>October 2016</t>
  </si>
  <si>
    <t>https://www.justice.gov/usao-sdtx/pr/corpus-christi-man-convicted-production-child-pornography-0</t>
  </si>
  <si>
    <t>Brian Keeling</t>
  </si>
  <si>
    <t>https://www.justice.gov/usao-ndoh/pr/cleveland-man-indicted-child-pornography-charges-0</t>
  </si>
  <si>
    <t>Robert Acker</t>
  </si>
  <si>
    <t xml:space="preserve">September 1, 2016 </t>
  </si>
  <si>
    <t>September 1, 2016</t>
  </si>
  <si>
    <t>https://www.justice.gov/usao-wdny/pr/cheektowaga-man-pleads-guilty-possession-child-pornography</t>
  </si>
  <si>
    <t>Raymond L Ross Jr / Gene R Engberg</t>
  </si>
  <si>
    <t>http://www.salina.com/6623a63a-b067-5004-9616-8a28b4a16172.html</t>
  </si>
  <si>
    <t>Montrell Daquan Austin/Erica Shante Reviere/Diamante Holme</t>
  </si>
  <si>
    <t>January 8, 2017</t>
  </si>
  <si>
    <t>https://www.wral.com/three-charged-fourth-sought-in-fayetteville-human-trafficking-operation/16418717/</t>
  </si>
  <si>
    <t>Kevin Graham Conlon</t>
  </si>
  <si>
    <t>https://www.justice.gov/usao-md/pr/cockeysville-man-facing-federal-charges-production-and-distribution-child-pornography</t>
  </si>
  <si>
    <t>Acie Cole</t>
  </si>
  <si>
    <t>Sex trafficking, sex trafficking of a minor &amp; related charges</t>
  </si>
  <si>
    <t>https://www.sbsun.com/2017/01/10/victorville-man-jailed-suspected-in-human-trafficking-case/</t>
  </si>
  <si>
    <t>December 8, 2016</t>
  </si>
  <si>
    <t>January 10, 2017</t>
  </si>
  <si>
    <t>http://www.newbernsj.com/news/20170111/craven-county-sheriffs-office-nets-10-in-human-trafficking-bust</t>
  </si>
  <si>
    <t>Anthony Boone</t>
  </si>
  <si>
    <t>December 31, 2016</t>
  </si>
  <si>
    <t>https://www.pennlive.com/news/2017/01/man_charged_with_human_traffic.html</t>
  </si>
  <si>
    <t>Operation Temptation- Sex trafficking</t>
  </si>
  <si>
    <t>https://newschannel9.com/news/local/operation-temptation-leads-to-23-arrests-in-bradley-county</t>
  </si>
  <si>
    <t>Yuet &amp; Kim Chow</t>
  </si>
  <si>
    <t>September 2016</t>
  </si>
  <si>
    <t>https://www.dailymail.co.uk/news/article-4115170/Married-couple-indicted-human-trafficking-prostitution-charges-running-underground-brothel-Boston-home.html</t>
  </si>
  <si>
    <t>Andrew Danny Freeman</t>
  </si>
  <si>
    <t>https://www.kansascity.com/news/local/crime/article126191084.html</t>
  </si>
  <si>
    <t>Asia Jones / Percy Stanley</t>
  </si>
  <si>
    <t>January 11, 2017</t>
  </si>
  <si>
    <t>https://www.keyt.com/news/crime/couple-arrested-in-ventura-for-human-sex-trafficking/267256248</t>
  </si>
  <si>
    <t>Chauncey Scott Price</t>
  </si>
  <si>
    <t>January 12, 2017</t>
  </si>
  <si>
    <t>https://www.coloradoan.com/story/news/2017/01/13/johnstown-police-share-details-trafficking-sting/96552572/</t>
  </si>
  <si>
    <t>Scott Mitchell Cohen</t>
  </si>
  <si>
    <t>https://www.justice.gov/usao-wdwa/pr/registered-sex-offender-two-prior-convictions-sentenced-15-years-prison-receipt-images</t>
  </si>
  <si>
    <t>Michael Randol</t>
  </si>
  <si>
    <t>https://www.wxyz.com/news/man-accused-of-helping-to-run-drug-sex-trafficking-enterprise-out-of-detroit-hotel</t>
  </si>
  <si>
    <t>Brandon &amp; Leon Walker / Gilbert Martinez</t>
  </si>
  <si>
    <t>January 13, 2017</t>
  </si>
  <si>
    <t>January 14, 2017</t>
  </si>
  <si>
    <t xml:space="preserve">N/A </t>
  </si>
  <si>
    <t>https://wnep.com/2017/01/17/prostitution-sting-in-poconos-highlights-human-trafficking-problem/</t>
  </si>
  <si>
    <t>Irvin Randall Newswanger</t>
  </si>
  <si>
    <t>https://www.justice.gov/usao-edpa/pr/lancaster-man-charged-possesion-and-distribution-child-pornography</t>
  </si>
  <si>
    <t>Thomas Albright</t>
  </si>
  <si>
    <t>https://www.justice.gov/usao-ndny/pr/marlboro-resident-arrested-child-pornography-charges</t>
  </si>
  <si>
    <t>Isaac Lynn Williams</t>
  </si>
  <si>
    <t>January 1, 2017</t>
  </si>
  <si>
    <t>January 16, 2017</t>
  </si>
  <si>
    <t>http://theexaminer.com/stories/news/man-accused-human-trafficking-texas-apprehended-overseas</t>
  </si>
  <si>
    <t>Frank Brooks</t>
  </si>
  <si>
    <t>January 18, 2017</t>
  </si>
  <si>
    <t>https://www.theadvocate.com/baton_rouge/news/crime_police/article_c182e356-ddd4-11e6-94c6-93f7a8e2cd5b.html</t>
  </si>
  <si>
    <t>Amy Floyd Morgan /  Rama Raji Erramraju</t>
  </si>
  <si>
    <t>January 17, 2017</t>
  </si>
  <si>
    <t>https://www.al.com/news/birmingham/index.ssf/2017/01/mom_accused_of_delivering_daug.html</t>
  </si>
  <si>
    <t>Patcharin Koibuchi / Erik Dunham</t>
  </si>
  <si>
    <t>April 2016</t>
  </si>
  <si>
    <t>https://www.theglobaldispatch.com/arizona-woman-patcharin-koibuchi-sentenced-in-human-trafficking-smuggling-case-17258/</t>
  </si>
  <si>
    <t>Kevin Scott Morris</t>
  </si>
  <si>
    <t>https://www.justice.gov/usao-ndtx/pr/kaufman-county-man-who-filmed-young-boys-and-claimed-be-film-director-film-production</t>
  </si>
  <si>
    <t>Jose Diego Gonzales</t>
  </si>
  <si>
    <t>July 2016</t>
  </si>
  <si>
    <t>https://www.justice.gov/usao-ndtx/pr/fort-worth-man-sentenced-20-years-federal-prison-child-pornography-conviction</t>
  </si>
  <si>
    <t>Devin Lee Peterson</t>
  </si>
  <si>
    <t>January 18, 0207</t>
  </si>
  <si>
    <t>https://www.justice.gov/usao-ak/pr/wasilla-man-indicted-federal-child-pornography-charges</t>
  </si>
  <si>
    <t>Hsin Chieh "Jerry" Wang + 4 Unnamed</t>
  </si>
  <si>
    <t>August 4, 2016</t>
  </si>
  <si>
    <t>Backpage.com-Sex trafficking, sex trafficking of a minor &amp; related charges</t>
  </si>
  <si>
    <t>https://www.vcstar.com/story/news/courts/2017/01/19/mastermind-prostitution-ring-pleads-guilty/96796242/</t>
  </si>
  <si>
    <t>Jay Gaccione</t>
  </si>
  <si>
    <t>November 4, 2016</t>
  </si>
  <si>
    <t>https://www.justice.gov/usao-ri/pr/indictment-alleges-child-pornography-production-distribution</t>
  </si>
  <si>
    <t xml:space="preserve"> Juan Carlos Giraldo</t>
  </si>
  <si>
    <t>January 19, 2017</t>
  </si>
  <si>
    <t>https://mynewsla.com/orange-county/2017/01/19/pimps-a-delivery-man-hes-behind-bars-now-on-felony-charges-from-santa-ana-bust/</t>
  </si>
  <si>
    <t>Barshay Reqwan Dunbar</t>
  </si>
  <si>
    <t>October 28, 2016</t>
  </si>
  <si>
    <t>http://www.tribdem.com/news/leader-of-alleged-human-trafficking-ring-to-stand-trial/article_771875d6-dec6-11e6-8c96-fb255ef03c02.html</t>
  </si>
  <si>
    <t>https://www.masslive.com/news/worcester/index.ssf/2017/01/10_men_arrested_in_northboroug.html</t>
  </si>
  <si>
    <t>Rasheen Lamonte Adams / Chicha Nakita Harris</t>
  </si>
  <si>
    <t>http://www.mohavedailynews.com/news/couple-indicted-on-trafficking-charge/article_313e3060-dede-11e6-9f8a-d35f91b5d183.html</t>
  </si>
  <si>
    <t>Link to this workbook:</t>
  </si>
  <si>
    <t>www.humantraffickingarrest.info</t>
  </si>
  <si>
    <t>https://docs.google.com/spreadsheets/d/1MAnZZoD7y5Ydwx2rSrZualrZTNUYDY7gozTXkT0YUOs/edit?usp=sharing</t>
  </si>
  <si>
    <t>Violent Crimes Against Children</t>
  </si>
  <si>
    <t>https://www.fbi.gov/investigate/violent-crime/cac/violent-crimes-against-children-news</t>
  </si>
  <si>
    <t>DOJ Project Safe Childhood</t>
  </si>
  <si>
    <t>https://www.justice.gov/psc</t>
  </si>
  <si>
    <t>Global Incident Map of Human Trafficking</t>
  </si>
  <si>
    <t>http://human.globalincidentmap.com/</t>
  </si>
  <si>
    <t>Fellow List Makers:</t>
  </si>
  <si>
    <t>Notable Resignations:</t>
  </si>
  <si>
    <t>https://www.resignation.info/</t>
  </si>
  <si>
    <t>https://docs.google.com/spreadsheets/d/1B-95giwldeKgsd0nYiw_sEaSf4kGNLZgEIvEhL2mVAw/edit#gid=0</t>
  </si>
  <si>
    <t>Sealed Indictments</t>
  </si>
  <si>
    <t>https://drive.google.com/drive/folders/1KPh2ASFggwF1XVnVpDB3mtwvwlH71om6</t>
  </si>
  <si>
    <t>Dataset of 93 FJC District Cases w/Dockets/maps/links</t>
  </si>
  <si>
    <t>https://bad-boys.us</t>
  </si>
  <si>
    <t>Notable Sites:</t>
  </si>
  <si>
    <t>QResearch Search -8Ch/8kun</t>
  </si>
  <si>
    <t>https://qresear.ch/</t>
  </si>
  <si>
    <t>Deep State Mapping Project</t>
  </si>
  <si>
    <t>https://www.dylanlouismonroe.com/deep-state-mapping-project.html</t>
  </si>
  <si>
    <t>QMap</t>
  </si>
  <si>
    <t>http://irc.qclearancearchive.net/02.%20QMaps/Q%20Anon%20-%20The%20Storm%20-%20X.pdf</t>
  </si>
  <si>
    <t>Q Proofs</t>
  </si>
  <si>
    <t>https://www.qproofs.com/</t>
  </si>
  <si>
    <t>Notable Deaths</t>
  </si>
  <si>
    <t>https://deathcas.es/</t>
  </si>
  <si>
    <t>Deaths-Holistic Doctors</t>
  </si>
  <si>
    <t>Deaths-Scientists</t>
  </si>
  <si>
    <t>Deep Timeline</t>
  </si>
  <si>
    <t>Shooters - US Mass Shootings 1982-2018</t>
  </si>
  <si>
    <t>https://docs.google.com/spreadsheets/d/1b9o6uDO18sLxBqPwl_Gh9bnhW-ev_dABH83M5Vb5L8o/edit#gid=0</t>
  </si>
  <si>
    <t>Dates of Interest</t>
  </si>
  <si>
    <t>Backpage Ads Closes</t>
  </si>
  <si>
    <t>http://www.bcatpa.org/backpage/</t>
  </si>
  <si>
    <t>FBI Raid on European Adoption Agency</t>
  </si>
  <si>
    <t>https://madworldnews.com/fbi-raids-ohio-adoption-agency/</t>
  </si>
  <si>
    <t>American Airlines trains it's 120,000 employees to combat Human Trafficking</t>
  </si>
  <si>
    <t>https://www.dallasnews.com/business/american-airlines/2017/08/07/american-airlines-120000-employees-will-looking-combat-child-sex-trafficking</t>
  </si>
  <si>
    <t>POTUS Exectutive Order blocking property of persons involved in human rights abuses/corruption</t>
  </si>
  <si>
    <t>https://www.whitehouse.gov/presidential-actions/executive-order-blocking-property-persons-involved-serious-human-rights-abuse-corruption/</t>
  </si>
  <si>
    <t>Backpage Raid -93 Indictments/7 charged</t>
  </si>
  <si>
    <t>https://www.usatoday.com/story/news/nation-now/2018/04/07/backpage-prostitution-charges/495701002/</t>
  </si>
  <si>
    <t>https://www.azcentral.com/story/news/local/arizona-investigations/2018/04/06/backpage-executive-michael-lacey-indicted-prostitution-charges/310430001/</t>
  </si>
  <si>
    <t>POTUS signs 1865 - Allow States and Victims to Fight Online Sex Trafficking Act of 2017</t>
  </si>
  <si>
    <t>https://www.whitehouse.gov/briefings-statements/president-donald-j-trump-signs-h-r-1865-law/</t>
  </si>
  <si>
    <t>Fed Prosecuter Body Found-Pioneer in Fight against Child Exploitation</t>
  </si>
  <si>
    <t>https://truepundit.com/federal-prosecutors-body-pulled-from-river-was-doj-pioneer-in-fight-against-child-exploitation-porn/</t>
  </si>
  <si>
    <t>TX-150 arrests in 2018 for sex trafficking-(photos)</t>
  </si>
  <si>
    <t>https://patch.com/texas/houston/34-arrests-made-april-hpd-vice-sex-crimes</t>
  </si>
  <si>
    <t xml:space="preserve">POTUS signs S1311-Abolish Human Trafficking Act of 2017 </t>
  </si>
  <si>
    <t>https://www.whitehouse.gov/briefings-statements/bill-announcement-10/</t>
  </si>
  <si>
    <t>POTUS proclamation on National Slavery &amp; Human Trafficking Prevention Month</t>
  </si>
  <si>
    <t>https://www.whitehouse.gov/presidential-actions/presidential-proclamation-national-slavery-human-trafficking-prevention-month-2019/</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</si>
</sst>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mmm&quot; &quot;d&quot;, &quot;yyyy"/>
    <numFmt numFmtId="165" formatCode="mmmm&quot;, &quot;yyyy"/>
    <numFmt numFmtId="166" formatCode="mmmm yyyy"/>
    <numFmt numFmtId="167" formatCode="mmmm d, yyyy"/>
    <numFmt numFmtId="168" formatCode="mmmm d yyyy"/>
    <numFmt numFmtId="169" formatCode="mmm d, yyyy"/>
  </numFmts>
  <fonts count="153">
    <font>
      <sz val="10.0"/>
      <color rgb="FF000000"/>
      <name val="Arial"/>
    </font>
    <font>
      <b/>
      <sz val="11.0"/>
      <color rgb="FFFF0000"/>
      <name val="Arial"/>
    </font>
    <font>
      <b/>
      <sz val="14.0"/>
      <color rgb="FF000000"/>
      <name val="Arial"/>
    </font>
    <font>
      <sz val="14.0"/>
      <color rgb="FF0000FF"/>
    </font>
    <font>
      <b/>
      <sz val="12.0"/>
    </font>
    <font>
      <b/>
    </font>
    <font>
      <color rgb="FFFFFFFF"/>
    </font>
    <font/>
    <font>
      <b/>
      <sz val="10.0"/>
      <color rgb="FF000000"/>
      <name val="Arial"/>
    </font>
    <font>
      <b/>
      <u/>
      <color rgb="FFFFFFFF"/>
    </font>
    <font>
      <b/>
      <u/>
      <color rgb="FF000000"/>
    </font>
    <font>
      <b/>
      <color rgb="FF000000"/>
    </font>
    <font>
      <sz val="11.0"/>
      <color rgb="FF000000"/>
      <name val="Inconsolata"/>
    </font>
    <font>
      <sz val="10.0"/>
    </font>
    <font>
      <u/>
      <color rgb="FF0000FF"/>
    </font>
    <font>
      <u/>
      <color rgb="FF0000FF"/>
    </font>
    <font>
      <sz val="11.0"/>
      <color rgb="FF000000"/>
      <name val="Arial"/>
    </font>
    <font>
      <u/>
      <sz val="11.0"/>
      <color rgb="FF000000"/>
      <name val="Arial"/>
    </font>
    <font>
      <color rgb="FF0000FF"/>
    </font>
    <font>
      <u/>
      <color rgb="FF0000FF"/>
    </font>
    <font>
      <u/>
      <color rgb="FF0000FF"/>
    </font>
    <font>
      <sz val="10.0"/>
      <name val="Arial"/>
    </font>
    <font>
      <u/>
      <sz val="10.0"/>
      <color rgb="FF0000FF"/>
      <name val="Arial"/>
    </font>
    <font>
      <u/>
      <sz val="10.0"/>
      <color rgb="FF0000FF"/>
      <name val="Arial"/>
    </font>
    <font>
      <u/>
      <sz val="10.0"/>
      <color rgb="FF0000FF"/>
      <name val="Arial"/>
    </font>
    <font>
      <u/>
      <color rgb="FF0000FF"/>
    </font>
    <font>
      <u/>
      <sz val="10.0"/>
      <color rgb="FF0000FF"/>
    </font>
    <font>
      <color rgb="FF000000"/>
    </font>
    <font>
      <u/>
      <sz val="10.0"/>
      <color rgb="FF0000FF"/>
    </font>
    <font>
      <sz val="10.0"/>
      <color rgb="FF232323"/>
      <name val="Arial"/>
    </font>
    <font>
      <u/>
      <sz val="10.0"/>
      <color rgb="FF0000FF"/>
    </font>
    <font>
      <sz val="10.0"/>
      <color rgb="FF111111"/>
      <name val="Arial"/>
    </font>
    <font>
      <u/>
      <color rgb="FF0000FF"/>
    </font>
    <font>
      <sz val="10.0"/>
      <color rgb="FF171E24"/>
      <name val="Arial"/>
    </font>
    <font>
      <u/>
      <sz val="10.0"/>
      <color rgb="FF0000FF"/>
    </font>
    <font>
      <sz val="10.0"/>
      <color rgb="FF666666"/>
      <name val="Arial"/>
    </font>
    <font>
      <u/>
      <color rgb="FF0000FF"/>
    </font>
    <font>
      <u/>
      <sz val="10.0"/>
      <color rgb="FF0000FF"/>
      <name val="Arial"/>
    </font>
    <font>
      <u/>
      <sz val="12.0"/>
      <color rgb="FF0000FF"/>
      <name val="&quot;Times New Roman&quot;"/>
    </font>
    <font>
      <sz val="10.0"/>
      <color rgb="FF333333"/>
      <name val="Sourcesansproregular"/>
    </font>
    <font>
      <sz val="10.0"/>
      <color rgb="FF333333"/>
      <name val="Arial"/>
    </font>
    <font>
      <u/>
      <color rgb="FF1155CC"/>
    </font>
    <font>
      <u/>
      <color rgb="FF0000FF"/>
    </font>
    <font>
      <u/>
      <color rgb="FF0000FF"/>
    </font>
    <font>
      <u/>
      <sz val="11.0"/>
      <color rgb="FF000000"/>
      <name val="Arial"/>
    </font>
    <font>
      <u/>
      <sz val="10.0"/>
      <color rgb="FF171E24"/>
      <name val="Arial"/>
    </font>
    <font>
      <name val="Arial"/>
    </font>
    <font>
      <u/>
      <color rgb="FF1155CC"/>
      <name val="Arial"/>
    </font>
    <font>
      <u/>
      <sz val="11.0"/>
      <color rgb="FF000000"/>
      <name val="Arial"/>
    </font>
    <font>
      <u/>
      <color rgb="FF0000FF"/>
    </font>
    <font>
      <sz val="10.0"/>
      <color rgb="FF222222"/>
      <name val="Arial"/>
    </font>
    <font>
      <u/>
      <color rgb="FF000000"/>
    </font>
    <font>
      <u/>
      <color rgb="FF0000FF"/>
    </font>
    <font>
      <u/>
      <color rgb="FF0000FF"/>
    </font>
    <font>
      <u/>
      <color rgb="FF0000FF"/>
    </font>
    <font>
      <u/>
      <color rgb="FF0000FF"/>
    </font>
    <font>
      <u/>
      <color rgb="FF0000FF"/>
    </font>
    <font>
      <u/>
      <sz val="10.0"/>
      <color rgb="FF1155CC"/>
    </font>
    <font>
      <sz val="12.0"/>
      <name val="&quot;Times New Roman&quot;"/>
    </font>
    <font>
      <u/>
      <color rgb="FF0000FF"/>
    </font>
    <font>
      <u/>
      <color rgb="FF0000FF"/>
      <name val="Arial"/>
    </font>
    <font>
      <u/>
      <color rgb="FF0000FF"/>
      <name val="Arial"/>
    </font>
    <font>
      <u/>
      <sz val="10.0"/>
      <color rgb="FF0000FF"/>
      <name val="&quot;Times New Roman&quot;"/>
    </font>
    <font>
      <u/>
      <color rgb="FF0000FF"/>
    </font>
    <font>
      <u/>
      <sz val="10.0"/>
      <color rgb="FF0000FF"/>
    </font>
    <font>
      <sz val="10.0"/>
      <color rgb="FF0000FF"/>
      <name val="Arial"/>
    </font>
    <font>
      <u/>
      <color rgb="FF0000FF"/>
    </font>
    <font>
      <u/>
      <color rgb="FF0000FF"/>
    </font>
    <font>
      <color rgb="FF000000"/>
      <name val="Arial"/>
    </font>
    <font>
      <u/>
      <color rgb="FF0000FF"/>
    </font>
    <font>
      <color rgb="FF171E24"/>
      <name val="Arial"/>
    </font>
    <font>
      <u/>
      <color rgb="FF0000FF"/>
      <name val="Arial"/>
    </font>
    <font>
      <sz val="11.0"/>
    </font>
    <font>
      <sz val="10.0"/>
      <color rgb="FF2B2B2B"/>
      <name val="Arial"/>
    </font>
    <font>
      <u/>
      <sz val="10.0"/>
      <color rgb="FF0000FF"/>
      <name val="Arial"/>
    </font>
    <font>
      <u/>
      <sz val="10.0"/>
      <color rgb="FF0000FF"/>
    </font>
    <font>
      <u/>
      <sz val="10.0"/>
      <color rgb="FF0000FF"/>
    </font>
    <font>
      <u/>
      <sz val="10.0"/>
      <color rgb="FF0000FF"/>
    </font>
    <font>
      <u/>
      <color rgb="FF0000FF"/>
      <name val="Arial"/>
    </font>
    <font>
      <u/>
      <color rgb="FF0000FF"/>
      <name val="Arial"/>
    </font>
    <font>
      <u/>
      <color rgb="FF0000FF"/>
      <name val="Arial"/>
    </font>
    <font>
      <sz val="10.0"/>
      <color rgb="FF000000"/>
    </font>
    <font>
      <u/>
      <sz val="10.0"/>
      <color rgb="FFFFFFFF"/>
      <name val="Arial"/>
    </font>
    <font>
      <u/>
      <sz val="10.0"/>
      <color rgb="FF1155CC"/>
    </font>
    <font>
      <u/>
      <color rgb="FF0000FF"/>
      <name val="Arial"/>
    </font>
    <font>
      <u/>
      <color rgb="FF00A651"/>
      <name val="Georgia"/>
    </font>
    <font>
      <color rgb="FF000000"/>
      <name val="Roboto"/>
    </font>
    <font>
      <sz val="10.0"/>
      <color rgb="FF464646"/>
      <name val="Arial"/>
    </font>
    <font>
      <u/>
      <color rgb="FF1155CC"/>
      <name val="Arial"/>
    </font>
    <font>
      <u/>
      <color rgb="FFFFFFFF"/>
      <name val="Arial"/>
    </font>
    <font>
      <u/>
      <color rgb="FF1155CC"/>
      <name val="Arial"/>
    </font>
    <font>
      <sz val="10.0"/>
      <color rgb="FF414135"/>
      <name val="Arial"/>
    </font>
    <font>
      <sz val="10.0"/>
      <color rgb="FF171B03"/>
      <name val="Arial"/>
    </font>
    <font>
      <sz val="10.0"/>
      <color rgb="FF171B03"/>
      <name val="Helvetica"/>
    </font>
    <font>
      <u/>
      <color rgb="FF0000FF"/>
    </font>
    <font>
      <sz val="10.0"/>
      <color rgb="FF444444"/>
      <name val="Arial"/>
    </font>
    <font>
      <u/>
      <color rgb="FF0000FF"/>
      <name val="Arial"/>
    </font>
    <font>
      <color rgb="FF444444"/>
      <name val="Arial"/>
    </font>
    <font>
      <u/>
      <color rgb="FF0000FF"/>
      <name val="Arial"/>
    </font>
    <font>
      <color rgb="FF0000FF"/>
      <name val="Arial"/>
    </font>
    <font>
      <u/>
      <sz val="10.0"/>
      <color rgb="FF0000FF"/>
      <name val="Arial"/>
    </font>
    <font>
      <u/>
      <sz val="10.0"/>
      <color rgb="FFFFFFFF"/>
    </font>
    <font>
      <sz val="10.0"/>
      <color rgb="FF45444A"/>
      <name val="Arial"/>
    </font>
    <font>
      <u/>
      <sz val="10.0"/>
      <color rgb="FF1155CC"/>
      <name val="Arial"/>
    </font>
    <font>
      <u/>
      <sz val="10.0"/>
      <color rgb="FF0000FF"/>
      <name val="Arial"/>
    </font>
    <font>
      <u/>
      <color rgb="FF1155CC"/>
    </font>
    <font>
      <sz val="11.0"/>
      <color rgb="FF171E24"/>
      <name val="Arial"/>
    </font>
    <font>
      <u/>
      <color rgb="FFFFFFFF"/>
    </font>
    <font>
      <u/>
      <color rgb="FF0000FF"/>
    </font>
    <font>
      <u/>
      <color rgb="FF0000FF"/>
    </font>
    <font>
      <u/>
      <color rgb="FF000000"/>
    </font>
    <font>
      <u/>
      <color rgb="FF1155CC"/>
      <name val="Arial"/>
    </font>
    <font>
      <u/>
      <name val="Arial"/>
    </font>
    <font>
      <u/>
      <color rgb="FF0000FF"/>
      <name val="Arial"/>
    </font>
    <font>
      <sz val="11.0"/>
      <color rgb="FF171E24"/>
      <name val="Georgia"/>
    </font>
    <font>
      <u/>
      <color rgb="FF1155CC"/>
    </font>
    <font>
      <b/>
      <u/>
      <color rgb="FF000000"/>
    </font>
    <font>
      <b/>
      <u/>
      <color rgb="FF000000"/>
    </font>
    <font>
      <color rgb="FFFFFFFF"/>
      <name val="Arial"/>
    </font>
    <font>
      <sz val="11.0"/>
      <color rgb="FFFFFFFF"/>
      <name val="Inconsolata"/>
    </font>
    <font>
      <u/>
      <color rgb="FFFFFFFF"/>
      <name val="Arial"/>
    </font>
    <font>
      <u/>
      <color rgb="FFFFFFFF"/>
      <name val="Arial"/>
    </font>
    <font>
      <u/>
      <color rgb="FFFFFFFF"/>
      <name val="Arial"/>
    </font>
    <font>
      <u/>
      <sz val="10.0"/>
      <color rgb="FF0000FF"/>
    </font>
    <font>
      <u/>
      <color rgb="FF0000FF"/>
    </font>
    <font>
      <u/>
      <color rgb="FF0000FF"/>
    </font>
    <font>
      <u/>
      <color rgb="FF0000FF"/>
    </font>
    <font>
      <u/>
      <sz val="11.0"/>
      <color rgb="FF000000"/>
      <name val="Arial"/>
    </font>
    <font>
      <sz val="10.0"/>
      <name val="&quot;Times New Roman&quot;"/>
    </font>
    <font>
      <sz val="10.0"/>
      <color rgb="FF1155CC"/>
    </font>
    <font>
      <u/>
      <color rgb="FF0000FF"/>
      <name val="Arial"/>
    </font>
    <font>
      <u/>
      <color rgb="FF1155CC"/>
      <name val="Arial"/>
    </font>
    <font>
      <u/>
      <color rgb="FF1155CC"/>
      <name val="Arial"/>
    </font>
    <font>
      <b/>
      <u/>
      <color rgb="FF000000"/>
    </font>
    <font>
      <u/>
      <color rgb="FF000000"/>
    </font>
    <font>
      <u/>
      <color rgb="FF000000"/>
    </font>
    <font>
      <b/>
      <name val="Arial"/>
    </font>
    <font>
      <color rgb="FF4A4A4A"/>
      <name val="Arial"/>
    </font>
    <font>
      <color rgb="FF333333"/>
      <name val="Arial"/>
    </font>
    <font>
      <u/>
      <sz val="10.0"/>
      <color rgb="FF0000FF"/>
      <name val="Arial"/>
    </font>
    <font>
      <u/>
      <sz val="10.0"/>
      <color rgb="FF0000FF"/>
      <name val="Arial"/>
    </font>
    <font>
      <color rgb="FF333333"/>
      <name val="Benton Sans"/>
    </font>
    <font>
      <color rgb="FF414141"/>
      <name val="Arial"/>
    </font>
    <font>
      <color rgb="FF555555"/>
      <name val="Arial"/>
    </font>
    <font>
      <color rgb="FF232323"/>
      <name val="Arial"/>
    </font>
    <font>
      <color rgb="FF474747"/>
      <name val="Arial"/>
    </font>
    <font>
      <u/>
      <sz val="10.0"/>
      <color rgb="FF0000FF"/>
      <name val="Arial"/>
    </font>
    <font>
      <color rgb="FF666666"/>
      <name val="Arial"/>
    </font>
    <font>
      <b/>
      <sz val="12.0"/>
      <color rgb="FFFF0000"/>
    </font>
    <font>
      <u/>
      <color rgb="FF1155CC"/>
      <name val="Roboto"/>
    </font>
    <font>
      <b/>
      <color rgb="FFFF0000"/>
    </font>
    <font>
      <u/>
      <color rgb="FF0000FF"/>
    </font>
    <font>
      <u/>
      <color rgb="FF0000FF"/>
    </font>
  </fonts>
  <fills count="13">
    <fill>
      <patternFill patternType="none"/>
    </fill>
    <fill>
      <patternFill patternType="lightGray"/>
    </fill>
    <fill>
      <patternFill patternType="solid">
        <fgColor rgb="FF00AEEF"/>
        <bgColor rgb="FF00AEEF"/>
      </patternFill>
    </fill>
    <fill>
      <patternFill patternType="solid">
        <fgColor rgb="FF00A651"/>
        <bgColor rgb="FF00A651"/>
      </patternFill>
    </fill>
    <fill>
      <patternFill patternType="solid">
        <fgColor rgb="FFFFF000"/>
        <bgColor rgb="FFFFF000"/>
      </patternFill>
    </fill>
    <fill>
      <patternFill patternType="solid">
        <fgColor rgb="FFFFFFFF"/>
        <bgColor rgb="FFFFFFFF"/>
      </patternFill>
    </fill>
    <fill>
      <patternFill patternType="solid">
        <fgColor rgb="FFB7E1CD"/>
        <bgColor rgb="FFB7E1CD"/>
      </patternFill>
    </fill>
    <fill>
      <patternFill patternType="solid">
        <fgColor rgb="FF00FFFF"/>
        <bgColor rgb="FF00FFFF"/>
      </patternFill>
    </fill>
    <fill>
      <patternFill patternType="solid">
        <fgColor rgb="FFFF9900"/>
        <bgColor rgb="FFFF9900"/>
      </patternFill>
    </fill>
    <fill>
      <patternFill patternType="solid">
        <fgColor rgb="FFF8F9F4"/>
        <bgColor rgb="FFF8F9F4"/>
      </patternFill>
    </fill>
    <fill>
      <patternFill patternType="solid">
        <fgColor rgb="FFFAFAFA"/>
        <bgColor rgb="FFFAFAFA"/>
      </patternFill>
    </fill>
    <fill>
      <patternFill patternType="solid">
        <fgColor rgb="FFFBFBFB"/>
        <bgColor rgb="FFFBFBFB"/>
      </patternFill>
    </fill>
    <fill>
      <patternFill patternType="solid">
        <fgColor rgb="FFE0E0E0"/>
        <bgColor rgb="FFE0E0E0"/>
      </patternFill>
    </fill>
  </fills>
  <borders count="5">
    <border/>
    <border>
      <left style="thin">
        <color rgb="FF000000"/>
      </left>
      <right style="thin">
        <color rgb="FF000000"/>
      </right>
      <top style="thin">
        <color rgb="FF000000"/>
      </top>
      <bottom style="thin">
        <color rgb="FF000000"/>
      </bottom>
    </border>
    <border>
      <right/>
    </border>
    <border>
      <bottom style="thin">
        <color rgb="FF000000"/>
      </bottom>
    </border>
    <border>
      <left style="thin">
        <color rgb="FF000000"/>
      </left>
      <right style="thin">
        <color rgb="FF000000"/>
      </right>
      <bottom style="thin">
        <color rgb="FF000000"/>
      </bottom>
    </border>
  </borders>
  <cellStyleXfs count="1">
    <xf borderId="0" fillId="0" fontId="0" numFmtId="0" applyAlignment="1" applyFont="1"/>
  </cellStyleXfs>
  <cellXfs count="454">
    <xf borderId="0" fillId="0" fontId="0" numFmtId="0" xfId="0" applyAlignment="1" applyFont="1">
      <alignment readingOrder="0" shrinkToFit="0" vertical="bottom" wrapText="0"/>
    </xf>
    <xf borderId="0" fillId="0" fontId="1" numFmtId="0" xfId="0" applyAlignment="1" applyFont="1">
      <alignment horizontal="left" readingOrder="0" shrinkToFit="0" vertical="top" wrapText="1"/>
    </xf>
    <xf borderId="0" fillId="0" fontId="2" numFmtId="0" xfId="0" applyAlignment="1" applyFont="1">
      <alignment horizontal="left" readingOrder="0" shrinkToFit="0" vertical="top" wrapText="1"/>
    </xf>
    <xf borderId="0" fillId="0" fontId="3" numFmtId="0" xfId="0" applyAlignment="1" applyFont="1">
      <alignment horizontal="left" readingOrder="0" shrinkToFit="0" wrapText="1"/>
    </xf>
    <xf borderId="0" fillId="0" fontId="4" numFmtId="0" xfId="0" applyAlignment="1" applyFont="1">
      <alignment readingOrder="0"/>
    </xf>
    <xf borderId="0" fillId="0" fontId="3" numFmtId="164" xfId="0" applyAlignment="1" applyFont="1" applyNumberFormat="1">
      <alignment horizontal="left" readingOrder="0" shrinkToFit="0" wrapText="1"/>
    </xf>
    <xf borderId="0" fillId="0" fontId="5" numFmtId="0" xfId="0" applyAlignment="1" applyFont="1">
      <alignment horizontal="left" readingOrder="0" shrinkToFit="0" wrapText="0"/>
    </xf>
    <xf borderId="0" fillId="0" fontId="5" numFmtId="0" xfId="0" applyAlignment="1" applyFont="1">
      <alignment horizontal="left" shrinkToFit="0" wrapText="0"/>
    </xf>
    <xf borderId="0" fillId="0" fontId="5" numFmtId="0" xfId="0" applyAlignment="1" applyFont="1">
      <alignment horizontal="left"/>
    </xf>
    <xf borderId="0" fillId="2" fontId="6" numFmtId="164" xfId="0" applyAlignment="1" applyFill="1" applyFont="1" applyNumberFormat="1">
      <alignment horizontal="left" readingOrder="0"/>
    </xf>
    <xf borderId="0" fillId="2" fontId="6" numFmtId="49" xfId="0" applyAlignment="1" applyFont="1" applyNumberFormat="1">
      <alignment horizontal="left" readingOrder="0"/>
    </xf>
    <xf borderId="0" fillId="3" fontId="6" numFmtId="0" xfId="0" applyAlignment="1" applyFill="1" applyFont="1">
      <alignment horizontal="left" readingOrder="0"/>
    </xf>
    <xf borderId="0" fillId="4" fontId="7" numFmtId="0" xfId="0" applyAlignment="1" applyFill="1" applyFont="1">
      <alignment horizontal="left" readingOrder="0"/>
    </xf>
    <xf borderId="0" fillId="5" fontId="7" numFmtId="0" xfId="0" applyAlignment="1" applyFill="1" applyFont="1">
      <alignment horizontal="left" readingOrder="0"/>
    </xf>
    <xf borderId="0" fillId="0" fontId="7" numFmtId="0" xfId="0" applyAlignment="1" applyFont="1">
      <alignment horizontal="left" readingOrder="0" shrinkToFit="0" wrapText="0"/>
    </xf>
    <xf borderId="0" fillId="0" fontId="7" numFmtId="0" xfId="0" applyAlignment="1" applyFont="1">
      <alignment horizontal="left" shrinkToFit="0" wrapText="0"/>
    </xf>
    <xf borderId="0" fillId="0" fontId="7" numFmtId="0" xfId="0" applyAlignment="1" applyFont="1">
      <alignment horizontal="left"/>
    </xf>
    <xf borderId="1" fillId="0" fontId="5" numFmtId="0" xfId="0" applyAlignment="1" applyBorder="1" applyFont="1">
      <alignment horizontal="left" readingOrder="0"/>
    </xf>
    <xf borderId="1" fillId="0" fontId="5" numFmtId="164" xfId="0" applyAlignment="1" applyBorder="1" applyFont="1" applyNumberFormat="1">
      <alignment horizontal="left" readingOrder="0" shrinkToFit="0" wrapText="1"/>
    </xf>
    <xf borderId="1" fillId="0" fontId="5" numFmtId="49" xfId="0" applyAlignment="1" applyBorder="1" applyFont="1" applyNumberFormat="1">
      <alignment horizontal="left" readingOrder="0"/>
    </xf>
    <xf borderId="0" fillId="5" fontId="8" numFmtId="0" xfId="0" applyAlignment="1" applyFont="1">
      <alignment shrinkToFit="0" wrapText="1"/>
    </xf>
    <xf borderId="1" fillId="0" fontId="5" numFmtId="0" xfId="0" applyAlignment="1" applyBorder="1" applyFont="1">
      <alignment horizontal="left" readingOrder="0" shrinkToFit="0" wrapText="1"/>
    </xf>
    <xf borderId="1" fillId="0" fontId="5" numFmtId="0" xfId="0" applyAlignment="1" applyBorder="1" applyFont="1">
      <alignment horizontal="right" readingOrder="0"/>
    </xf>
    <xf borderId="1" fillId="0" fontId="5" numFmtId="0" xfId="0" applyAlignment="1" applyBorder="1" applyFont="1">
      <alignment horizontal="left" readingOrder="0" shrinkToFit="0" wrapText="0"/>
    </xf>
    <xf borderId="1" fillId="2" fontId="9" numFmtId="0" xfId="0" applyAlignment="1" applyBorder="1" applyFont="1">
      <alignment horizontal="left" shrinkToFit="0" wrapText="1"/>
    </xf>
    <xf borderId="1" fillId="4" fontId="10" numFmtId="0" xfId="0" applyAlignment="1" applyBorder="1" applyFont="1">
      <alignment shrinkToFit="0" wrapText="1"/>
    </xf>
    <xf borderId="1" fillId="0" fontId="11" numFmtId="0" xfId="0" applyAlignment="1" applyBorder="1" applyFont="1">
      <alignment horizontal="left" readingOrder="0" shrinkToFit="0" wrapText="1"/>
    </xf>
    <xf borderId="1" fillId="6" fontId="11" numFmtId="0" xfId="0" applyAlignment="1" applyBorder="1" applyFill="1" applyFont="1">
      <alignment horizontal="left" readingOrder="0" shrinkToFit="0" wrapText="1"/>
    </xf>
    <xf borderId="1" fillId="0" fontId="11" numFmtId="0" xfId="0" applyAlignment="1" applyBorder="1" applyFont="1">
      <alignment horizontal="left" readingOrder="0" shrinkToFit="0" wrapText="0"/>
    </xf>
    <xf borderId="0" fillId="0" fontId="11" numFmtId="0" xfId="0" applyAlignment="1" applyFont="1">
      <alignment horizontal="left" readingOrder="0" shrinkToFit="0" wrapText="1"/>
    </xf>
    <xf borderId="0" fillId="5" fontId="7" numFmtId="164" xfId="0" applyAlignment="1" applyFont="1" applyNumberFormat="1">
      <alignment horizontal="left" readingOrder="0"/>
    </xf>
    <xf borderId="0" fillId="5" fontId="7" numFmtId="165" xfId="0" applyAlignment="1" applyFont="1" applyNumberFormat="1">
      <alignment horizontal="left" readingOrder="0"/>
    </xf>
    <xf borderId="0" fillId="5" fontId="7" numFmtId="49" xfId="0" applyAlignment="1" applyFont="1" applyNumberFormat="1">
      <alignment horizontal="left" readingOrder="0"/>
    </xf>
    <xf borderId="0" fillId="5" fontId="12" numFmtId="0" xfId="0" applyAlignment="1" applyFont="1">
      <alignment horizontal="right"/>
    </xf>
    <xf borderId="0" fillId="5" fontId="13" numFmtId="0" xfId="0" applyAlignment="1" applyFont="1">
      <alignment horizontal="left" readingOrder="0"/>
    </xf>
    <xf borderId="0" fillId="5" fontId="14" numFmtId="0" xfId="0" applyAlignment="1" applyFont="1">
      <alignment horizontal="left" readingOrder="0" shrinkToFit="0" wrapText="0"/>
    </xf>
    <xf borderId="0" fillId="0" fontId="15" numFmtId="0" xfId="0" applyAlignment="1" applyFont="1">
      <alignment horizontal="left" readingOrder="0" shrinkToFit="0" wrapText="0"/>
    </xf>
    <xf borderId="0" fillId="0" fontId="7" numFmtId="0" xfId="0" applyAlignment="1" applyFont="1">
      <alignment horizontal="left" readingOrder="0"/>
    </xf>
    <xf borderId="0" fillId="5" fontId="16" numFmtId="0" xfId="0" applyAlignment="1" applyFont="1">
      <alignment horizontal="left" readingOrder="0"/>
    </xf>
    <xf borderId="0" fillId="5" fontId="17" numFmtId="0" xfId="0" applyAlignment="1" applyFont="1">
      <alignment horizontal="left" readingOrder="0" shrinkToFit="0" wrapText="0"/>
    </xf>
    <xf borderId="0" fillId="5" fontId="16" numFmtId="0" xfId="0" applyAlignment="1" applyFont="1">
      <alignment horizontal="left" readingOrder="0" shrinkToFit="0" wrapText="0"/>
    </xf>
    <xf borderId="0" fillId="5" fontId="7" numFmtId="0" xfId="0" applyAlignment="1" applyFont="1">
      <alignment horizontal="left" readingOrder="0"/>
    </xf>
    <xf borderId="0" fillId="5" fontId="7" numFmtId="49" xfId="0" applyFont="1" applyNumberFormat="1"/>
    <xf borderId="0" fillId="5" fontId="12" numFmtId="0" xfId="0" applyAlignment="1" applyFont="1">
      <alignment horizontal="right" readingOrder="0"/>
    </xf>
    <xf borderId="0" fillId="5" fontId="18" numFmtId="0" xfId="0" applyAlignment="1" applyFont="1">
      <alignment horizontal="left" readingOrder="0" shrinkToFit="0" wrapText="0"/>
    </xf>
    <xf borderId="0" fillId="5" fontId="19" numFmtId="0" xfId="0" applyAlignment="1" applyFont="1">
      <alignment horizontal="left" readingOrder="0" shrinkToFit="0" wrapText="0"/>
    </xf>
    <xf borderId="0" fillId="0" fontId="20" numFmtId="0" xfId="0" applyAlignment="1" applyFont="1">
      <alignment readingOrder="0" shrinkToFit="0" wrapText="0"/>
    </xf>
    <xf borderId="0" fillId="0" fontId="21" numFmtId="0" xfId="0" applyAlignment="1" applyFont="1">
      <alignment horizontal="left" readingOrder="0"/>
    </xf>
    <xf borderId="0" fillId="0" fontId="21" numFmtId="164" xfId="0" applyAlignment="1" applyFont="1" applyNumberFormat="1">
      <alignment horizontal="left" readingOrder="0"/>
    </xf>
    <xf borderId="0" fillId="0" fontId="21" numFmtId="49" xfId="0" applyAlignment="1" applyFont="1" applyNumberFormat="1">
      <alignment horizontal="left" readingOrder="0"/>
    </xf>
    <xf borderId="0" fillId="5" fontId="16" numFmtId="0" xfId="0" applyAlignment="1" applyFont="1">
      <alignment horizontal="right" readingOrder="0"/>
    </xf>
    <xf borderId="0" fillId="0" fontId="22" numFmtId="0" xfId="0" applyAlignment="1" applyFont="1">
      <alignment horizontal="left" readingOrder="0" shrinkToFit="0" wrapText="0"/>
    </xf>
    <xf borderId="0" fillId="0" fontId="21" numFmtId="0" xfId="0" applyAlignment="1" applyFont="1">
      <alignment horizontal="left" readingOrder="0" shrinkToFit="0" wrapText="0"/>
    </xf>
    <xf borderId="0" fillId="0" fontId="23" numFmtId="0" xfId="0" applyAlignment="1" applyFont="1">
      <alignment horizontal="left"/>
    </xf>
    <xf borderId="0" fillId="0" fontId="24" numFmtId="0" xfId="0" applyAlignment="1" applyFont="1">
      <alignment horizontal="left" readingOrder="0"/>
    </xf>
    <xf borderId="0" fillId="0" fontId="21" numFmtId="0" xfId="0" applyAlignment="1" applyFont="1">
      <alignment horizontal="left"/>
    </xf>
    <xf borderId="0" fillId="5" fontId="7" numFmtId="0" xfId="0" applyAlignment="1" applyFont="1">
      <alignment horizontal="left" readingOrder="0" shrinkToFit="0" wrapText="0"/>
    </xf>
    <xf borderId="0" fillId="0" fontId="25" numFmtId="0" xfId="0" applyAlignment="1" applyFont="1">
      <alignment horizontal="left"/>
    </xf>
    <xf borderId="0" fillId="0" fontId="13" numFmtId="0" xfId="0" applyAlignment="1" applyFont="1">
      <alignment horizontal="left" readingOrder="0"/>
    </xf>
    <xf borderId="0" fillId="0" fontId="13" numFmtId="164" xfId="0" applyAlignment="1" applyFont="1" applyNumberFormat="1">
      <alignment horizontal="left" readingOrder="0"/>
    </xf>
    <xf borderId="0" fillId="0" fontId="13" numFmtId="49" xfId="0" applyAlignment="1" applyFont="1" applyNumberFormat="1">
      <alignment horizontal="left" readingOrder="0"/>
    </xf>
    <xf borderId="0" fillId="0" fontId="26" numFmtId="0" xfId="0" applyAlignment="1" applyFont="1">
      <alignment horizontal="left" readingOrder="0" shrinkToFit="0" wrapText="0"/>
    </xf>
    <xf borderId="0" fillId="0" fontId="13" numFmtId="0" xfId="0" applyAlignment="1" applyFont="1">
      <alignment horizontal="left"/>
    </xf>
    <xf borderId="0" fillId="5" fontId="21" numFmtId="0" xfId="0" applyAlignment="1" applyFont="1">
      <alignment horizontal="right" readingOrder="0"/>
    </xf>
    <xf borderId="0" fillId="0" fontId="7" numFmtId="0" xfId="0" applyAlignment="1" applyFont="1">
      <alignment horizontal="left" readingOrder="0"/>
    </xf>
    <xf borderId="0" fillId="5" fontId="27" numFmtId="0" xfId="0" applyAlignment="1" applyFont="1">
      <alignment horizontal="left" readingOrder="0"/>
    </xf>
    <xf borderId="0" fillId="5" fontId="27" numFmtId="164" xfId="0" applyAlignment="1" applyFont="1" applyNumberFormat="1">
      <alignment horizontal="left" readingOrder="0"/>
    </xf>
    <xf borderId="0" fillId="5" fontId="27" numFmtId="165" xfId="0" applyAlignment="1" applyFont="1" applyNumberFormat="1">
      <alignment horizontal="left" readingOrder="0"/>
    </xf>
    <xf borderId="0" fillId="5" fontId="27" numFmtId="49" xfId="0" applyAlignment="1" applyFont="1" applyNumberFormat="1">
      <alignment horizontal="left" readingOrder="0"/>
    </xf>
    <xf borderId="0" fillId="0" fontId="27" numFmtId="0" xfId="0" applyAlignment="1" applyFont="1">
      <alignment horizontal="left" shrinkToFit="0" wrapText="0"/>
    </xf>
    <xf borderId="0" fillId="0" fontId="27" numFmtId="0" xfId="0" applyAlignment="1" applyFont="1">
      <alignment horizontal="left" readingOrder="0"/>
    </xf>
    <xf borderId="0" fillId="0" fontId="27" numFmtId="0" xfId="0" applyAlignment="1" applyFont="1">
      <alignment horizontal="left" readingOrder="0"/>
    </xf>
    <xf borderId="0" fillId="0" fontId="27" numFmtId="0" xfId="0" applyAlignment="1" applyFont="1">
      <alignment horizontal="left"/>
    </xf>
    <xf borderId="0" fillId="5" fontId="13" numFmtId="164" xfId="0" applyAlignment="1" applyFont="1" applyNumberFormat="1">
      <alignment horizontal="left" readingOrder="0"/>
    </xf>
    <xf borderId="0" fillId="5" fontId="13" numFmtId="165" xfId="0" applyAlignment="1" applyFont="1" applyNumberFormat="1">
      <alignment horizontal="left" readingOrder="0"/>
    </xf>
    <xf borderId="0" fillId="5" fontId="13" numFmtId="49" xfId="0" applyAlignment="1" applyFont="1" applyNumberFormat="1">
      <alignment horizontal="left" readingOrder="0"/>
    </xf>
    <xf borderId="0" fillId="5" fontId="28" numFmtId="0" xfId="0" applyAlignment="1" applyFont="1">
      <alignment horizontal="left" readingOrder="0" shrinkToFit="0" wrapText="0"/>
    </xf>
    <xf borderId="0" fillId="0" fontId="13" numFmtId="0" xfId="0" applyAlignment="1" applyFont="1">
      <alignment horizontal="left" shrinkToFit="0" wrapText="0"/>
    </xf>
    <xf borderId="0" fillId="0" fontId="7" numFmtId="0" xfId="0" applyAlignment="1" applyFont="1">
      <alignment readingOrder="0"/>
    </xf>
    <xf borderId="0" fillId="0" fontId="13" numFmtId="165" xfId="0" applyAlignment="1" applyFont="1" applyNumberFormat="1">
      <alignment horizontal="left" readingOrder="0"/>
    </xf>
    <xf borderId="0" fillId="0" fontId="13" numFmtId="0" xfId="0" applyAlignment="1" applyFont="1">
      <alignment horizontal="left" readingOrder="0" shrinkToFit="0" wrapText="0"/>
    </xf>
    <xf borderId="0" fillId="0" fontId="29" numFmtId="0" xfId="0" applyAlignment="1" applyFont="1">
      <alignment readingOrder="0"/>
    </xf>
    <xf borderId="0" fillId="5" fontId="7" numFmtId="0" xfId="0" applyAlignment="1" applyFont="1">
      <alignment horizontal="left"/>
    </xf>
    <xf borderId="0" fillId="0" fontId="30" numFmtId="0" xfId="0" applyAlignment="1" applyFont="1">
      <alignment horizontal="left"/>
    </xf>
    <xf borderId="0" fillId="0" fontId="13" numFmtId="0" xfId="0" applyAlignment="1" applyFont="1">
      <alignment horizontal="left" readingOrder="0"/>
    </xf>
    <xf borderId="0" fillId="5" fontId="31" numFmtId="0" xfId="0" applyAlignment="1" applyFont="1">
      <alignment horizontal="left" readingOrder="0"/>
    </xf>
    <xf borderId="0" fillId="0" fontId="32" numFmtId="0" xfId="0" applyAlignment="1" applyFont="1">
      <alignment horizontal="left" readingOrder="0"/>
    </xf>
    <xf borderId="0" fillId="5" fontId="33" numFmtId="0" xfId="0" applyAlignment="1" applyFont="1">
      <alignment readingOrder="0"/>
    </xf>
    <xf borderId="0" fillId="0" fontId="34" numFmtId="0" xfId="0" applyAlignment="1" applyFont="1">
      <alignment horizontal="left" readingOrder="0"/>
    </xf>
    <xf borderId="0" fillId="0" fontId="21" numFmtId="165" xfId="0" applyAlignment="1" applyFont="1" applyNumberFormat="1">
      <alignment horizontal="left" readingOrder="0"/>
    </xf>
    <xf borderId="0" fillId="0" fontId="35" numFmtId="0" xfId="0" applyAlignment="1" applyFont="1">
      <alignment readingOrder="0"/>
    </xf>
    <xf borderId="0" fillId="0" fontId="7" numFmtId="0" xfId="0" applyAlignment="1" applyFont="1">
      <alignment horizontal="left"/>
    </xf>
    <xf borderId="0" fillId="5" fontId="7" numFmtId="164" xfId="0" applyAlignment="1" applyFont="1" applyNumberFormat="1">
      <alignment horizontal="left"/>
    </xf>
    <xf borderId="0" fillId="5" fontId="7" numFmtId="49" xfId="0" applyAlignment="1" applyFont="1" applyNumberFormat="1">
      <alignment horizontal="left"/>
    </xf>
    <xf borderId="0" fillId="5" fontId="7" numFmtId="0" xfId="0" applyAlignment="1" applyFont="1">
      <alignment horizontal="left"/>
    </xf>
    <xf borderId="0" fillId="0" fontId="7" numFmtId="0" xfId="0" applyAlignment="1" applyFont="1">
      <alignment horizontal="left" shrinkToFit="0" wrapText="0"/>
    </xf>
    <xf borderId="0" fillId="5" fontId="16" numFmtId="0" xfId="0" applyAlignment="1" applyFont="1">
      <alignment horizontal="left"/>
    </xf>
    <xf borderId="0" fillId="5" fontId="16" numFmtId="0" xfId="0" applyAlignment="1" applyFont="1">
      <alignment horizontal="left" shrinkToFit="0" wrapText="0"/>
    </xf>
    <xf borderId="0" fillId="5" fontId="7" numFmtId="165" xfId="0" applyAlignment="1" applyFont="1" applyNumberFormat="1">
      <alignment horizontal="left"/>
    </xf>
    <xf borderId="0" fillId="0" fontId="7" numFmtId="164" xfId="0" applyAlignment="1" applyFont="1" applyNumberFormat="1">
      <alignment horizontal="left" readingOrder="0"/>
    </xf>
    <xf borderId="0" fillId="0" fontId="7" numFmtId="165" xfId="0" applyAlignment="1" applyFont="1" applyNumberFormat="1">
      <alignment horizontal="left" readingOrder="0"/>
    </xf>
    <xf borderId="0" fillId="0" fontId="7" numFmtId="166" xfId="0" applyAlignment="1" applyFont="1" applyNumberFormat="1">
      <alignment horizontal="left" readingOrder="0"/>
    </xf>
    <xf borderId="0" fillId="0" fontId="7" numFmtId="0" xfId="0" applyAlignment="1" applyFont="1">
      <alignment shrinkToFit="0" wrapText="0"/>
    </xf>
    <xf borderId="0" fillId="0" fontId="36" numFmtId="0" xfId="0" applyAlignment="1" applyFont="1">
      <alignment readingOrder="0"/>
    </xf>
    <xf borderId="0" fillId="0" fontId="7" numFmtId="0" xfId="0" applyAlignment="1" applyFont="1">
      <alignment horizontal="left" readingOrder="0" shrinkToFit="0" wrapText="0"/>
    </xf>
    <xf borderId="0" fillId="5" fontId="37" numFmtId="0" xfId="0" applyAlignment="1" applyFont="1">
      <alignment readingOrder="0" shrinkToFit="0" wrapText="0"/>
    </xf>
    <xf borderId="0" fillId="0" fontId="7" numFmtId="0" xfId="0" applyAlignment="1" applyFont="1">
      <alignment readingOrder="0" shrinkToFit="0" wrapText="0"/>
    </xf>
    <xf borderId="0" fillId="5" fontId="38" numFmtId="0" xfId="0" applyAlignment="1" applyFont="1">
      <alignment horizontal="left" readingOrder="0" shrinkToFit="0" wrapText="0"/>
    </xf>
    <xf borderId="0" fillId="5" fontId="39" numFmtId="0" xfId="0" applyAlignment="1" applyFill="1" applyFont="1">
      <alignment readingOrder="0"/>
    </xf>
    <xf borderId="0" fillId="5" fontId="40" numFmtId="0" xfId="0" applyAlignment="1" applyFont="1">
      <alignment readingOrder="0"/>
    </xf>
    <xf quotePrefix="1" borderId="0" fillId="5" fontId="7" numFmtId="0" xfId="0" applyAlignment="1" applyFont="1">
      <alignment horizontal="left" readingOrder="0"/>
    </xf>
    <xf borderId="0" fillId="5" fontId="41" numFmtId="0" xfId="0" applyAlignment="1" applyFont="1">
      <alignment horizontal="left" readingOrder="0" shrinkToFit="0" wrapText="0"/>
    </xf>
    <xf borderId="0" fillId="0" fontId="0" numFmtId="0" xfId="0" applyAlignment="1" applyFont="1">
      <alignment readingOrder="0"/>
    </xf>
    <xf borderId="0" fillId="5" fontId="7" numFmtId="0" xfId="0" applyAlignment="1" applyFont="1">
      <alignment horizontal="left" readingOrder="0" vertical="bottom"/>
    </xf>
    <xf borderId="0" fillId="5" fontId="7" numFmtId="164" xfId="0" applyAlignment="1" applyFont="1" applyNumberFormat="1">
      <alignment horizontal="left" readingOrder="0" vertical="bottom"/>
    </xf>
    <xf borderId="0" fillId="5" fontId="7" numFmtId="165" xfId="0" applyAlignment="1" applyFont="1" applyNumberFormat="1">
      <alignment horizontal="left" readingOrder="0" vertical="bottom"/>
    </xf>
    <xf borderId="0" fillId="5" fontId="7" numFmtId="49" xfId="0" applyAlignment="1" applyFont="1" applyNumberFormat="1">
      <alignment horizontal="left" readingOrder="0" vertical="bottom"/>
    </xf>
    <xf borderId="0" fillId="5" fontId="42" numFmtId="0" xfId="0" applyAlignment="1" applyFont="1">
      <alignment horizontal="left" readingOrder="0" shrinkToFit="0" vertical="bottom" wrapText="0"/>
    </xf>
    <xf borderId="0" fillId="0" fontId="43" numFmtId="0" xfId="0" applyAlignment="1" applyFont="1">
      <alignment horizontal="left" readingOrder="0" shrinkToFit="0" vertical="bottom" wrapText="0"/>
    </xf>
    <xf borderId="0" fillId="0" fontId="7" numFmtId="0" xfId="0" applyAlignment="1" applyFont="1">
      <alignment horizontal="left" vertical="bottom"/>
    </xf>
    <xf borderId="0" fillId="0" fontId="7" numFmtId="0" xfId="0" applyAlignment="1" applyFont="1">
      <alignment readingOrder="0" shrinkToFit="0" wrapText="0"/>
    </xf>
    <xf borderId="0" fillId="5" fontId="44" numFmtId="0" xfId="0" applyAlignment="1" applyFont="1">
      <alignment horizontal="left" readingOrder="0" shrinkToFit="0" wrapText="0"/>
    </xf>
    <xf borderId="0" fillId="5" fontId="45" numFmtId="0" xfId="0" applyAlignment="1" applyFont="1">
      <alignment readingOrder="0" shrinkToFit="0" wrapText="0"/>
    </xf>
    <xf borderId="0" fillId="5" fontId="13" numFmtId="0" xfId="0" applyAlignment="1" applyFont="1">
      <alignment horizontal="left" readingOrder="0" shrinkToFit="0" wrapText="0"/>
    </xf>
    <xf borderId="0" fillId="0" fontId="46" numFmtId="0" xfId="0" applyAlignment="1" applyFont="1">
      <alignment readingOrder="0" vertical="bottom"/>
    </xf>
    <xf borderId="0" fillId="0" fontId="46" numFmtId="164" xfId="0" applyAlignment="1" applyFont="1" applyNumberFormat="1">
      <alignment vertical="bottom"/>
    </xf>
    <xf borderId="0" fillId="0" fontId="46" numFmtId="164" xfId="0" applyAlignment="1" applyFont="1" applyNumberFormat="1">
      <alignment horizontal="left" readingOrder="0" vertical="bottom"/>
    </xf>
    <xf borderId="0" fillId="0" fontId="46" numFmtId="49" xfId="0" applyAlignment="1" applyFont="1" applyNumberFormat="1">
      <alignment vertical="bottom"/>
    </xf>
    <xf borderId="0" fillId="0" fontId="46" numFmtId="0" xfId="0" applyAlignment="1" applyFont="1">
      <alignment vertical="bottom"/>
    </xf>
    <xf borderId="0" fillId="0" fontId="46" numFmtId="0" xfId="0" applyAlignment="1" applyFont="1">
      <alignment horizontal="left" vertical="bottom"/>
    </xf>
    <xf borderId="0" fillId="5" fontId="12" numFmtId="0" xfId="0" applyAlignment="1" applyFont="1">
      <alignment horizontal="right" vertical="bottom"/>
    </xf>
    <xf borderId="0" fillId="0" fontId="47" numFmtId="0" xfId="0" applyAlignment="1" applyFont="1">
      <alignment shrinkToFit="0" vertical="bottom" wrapText="0"/>
    </xf>
    <xf borderId="0" fillId="0" fontId="46" numFmtId="0" xfId="0" applyAlignment="1" applyFont="1">
      <alignment shrinkToFit="0" vertical="bottom" wrapText="0"/>
    </xf>
    <xf borderId="0" fillId="0" fontId="46" numFmtId="0" xfId="0" applyAlignment="1" applyFont="1">
      <alignment vertical="bottom"/>
    </xf>
    <xf borderId="0" fillId="5" fontId="46" numFmtId="0" xfId="0" applyAlignment="1" applyFont="1">
      <alignment vertical="bottom"/>
    </xf>
    <xf borderId="0" fillId="5" fontId="48" numFmtId="0" xfId="0" applyAlignment="1" applyFont="1">
      <alignment shrinkToFit="0" vertical="bottom" wrapText="0"/>
    </xf>
    <xf borderId="0" fillId="5" fontId="46" numFmtId="0" xfId="0" applyAlignment="1" applyFont="1">
      <alignment shrinkToFit="0" vertical="bottom" wrapText="0"/>
    </xf>
    <xf borderId="0" fillId="0" fontId="46" numFmtId="164" xfId="0" applyAlignment="1" applyFont="1" applyNumberFormat="1">
      <alignment horizontal="left" vertical="bottom"/>
    </xf>
    <xf borderId="0" fillId="0" fontId="46" numFmtId="0" xfId="0" applyAlignment="1" applyFont="1">
      <alignment shrinkToFit="0" vertical="bottom" wrapText="0"/>
    </xf>
    <xf borderId="0" fillId="0" fontId="21" numFmtId="0" xfId="0" applyAlignment="1" applyFont="1">
      <alignment horizontal="left" shrinkToFit="0" wrapText="0"/>
    </xf>
    <xf borderId="0" fillId="0" fontId="49" numFmtId="0" xfId="0" applyAlignment="1" applyFont="1">
      <alignment readingOrder="0" shrinkToFit="0" wrapText="0"/>
    </xf>
    <xf borderId="0" fillId="5" fontId="50" numFmtId="0" xfId="0" applyAlignment="1" applyFont="1">
      <alignment readingOrder="0"/>
    </xf>
    <xf borderId="0" fillId="0" fontId="51" numFmtId="0" xfId="0" applyAlignment="1" applyFont="1">
      <alignment horizontal="left" readingOrder="0"/>
    </xf>
    <xf borderId="0" fillId="5" fontId="7" numFmtId="166" xfId="0" applyAlignment="1" applyFont="1" applyNumberFormat="1">
      <alignment horizontal="left" readingOrder="0"/>
    </xf>
    <xf borderId="0" fillId="0" fontId="7" numFmtId="49" xfId="0" applyAlignment="1" applyFont="1" applyNumberFormat="1">
      <alignment horizontal="left" readingOrder="0"/>
    </xf>
    <xf borderId="0" fillId="0" fontId="7" numFmtId="164" xfId="0" applyAlignment="1" applyFont="1" applyNumberFormat="1">
      <alignment horizontal="left"/>
    </xf>
    <xf borderId="0" fillId="0" fontId="7" numFmtId="49" xfId="0" applyAlignment="1" applyFont="1" applyNumberFormat="1">
      <alignment horizontal="left"/>
    </xf>
    <xf borderId="0" fillId="0" fontId="52" numFmtId="0" xfId="0" applyAlignment="1" applyFont="1">
      <alignment horizontal="left" shrinkToFit="0" wrapText="0"/>
    </xf>
    <xf borderId="0" fillId="5" fontId="18" numFmtId="0" xfId="0" applyAlignment="1" applyFont="1">
      <alignment horizontal="left" readingOrder="0" shrinkToFit="0" wrapText="0"/>
    </xf>
    <xf borderId="0" fillId="5" fontId="7" numFmtId="0" xfId="0" applyAlignment="1" applyFont="1">
      <alignment horizontal="left" shrinkToFit="0" wrapText="0"/>
    </xf>
    <xf borderId="0" fillId="5" fontId="53" numFmtId="0" xfId="0" applyAlignment="1" applyFont="1">
      <alignment horizontal="left" readingOrder="0"/>
    </xf>
    <xf borderId="0" fillId="5" fontId="7" numFmtId="0" xfId="0" applyAlignment="1" applyFont="1">
      <alignment horizontal="left" readingOrder="0"/>
    </xf>
    <xf borderId="0" fillId="7" fontId="7" numFmtId="0" xfId="0" applyAlignment="1" applyFill="1" applyFont="1">
      <alignment horizontal="left"/>
    </xf>
    <xf borderId="0" fillId="7" fontId="7" numFmtId="164" xfId="0" applyAlignment="1" applyFont="1" applyNumberFormat="1">
      <alignment horizontal="left"/>
    </xf>
    <xf borderId="0" fillId="7" fontId="7" numFmtId="49" xfId="0" applyAlignment="1" applyFont="1" applyNumberFormat="1">
      <alignment horizontal="left"/>
    </xf>
    <xf borderId="0" fillId="7" fontId="7" numFmtId="0" xfId="0" applyAlignment="1" applyFont="1">
      <alignment horizontal="left" readingOrder="0"/>
    </xf>
    <xf borderId="0" fillId="7" fontId="7" numFmtId="0" xfId="0" applyAlignment="1" applyFont="1">
      <alignment horizontal="left" readingOrder="0" shrinkToFit="0" wrapText="0"/>
    </xf>
    <xf borderId="0" fillId="5" fontId="7" numFmtId="0" xfId="0" applyAlignment="1" applyFont="1">
      <alignment horizontal="left" readingOrder="0" shrinkToFit="0" wrapText="0"/>
    </xf>
    <xf borderId="0" fillId="7" fontId="54" numFmtId="0" xfId="0" applyAlignment="1" applyFont="1">
      <alignment horizontal="left" shrinkToFit="0" wrapText="0"/>
    </xf>
    <xf borderId="0" fillId="0" fontId="7" numFmtId="167" xfId="0" applyAlignment="1" applyFont="1" applyNumberFormat="1">
      <alignment horizontal="left" readingOrder="0"/>
    </xf>
    <xf borderId="0" fillId="0" fontId="55" numFmtId="0" xfId="0" applyFont="1"/>
    <xf borderId="0" fillId="7" fontId="7" numFmtId="165" xfId="0" applyAlignment="1" applyFont="1" applyNumberFormat="1">
      <alignment horizontal="left"/>
    </xf>
    <xf borderId="0" fillId="7" fontId="56" numFmtId="0" xfId="0" applyAlignment="1" applyFont="1">
      <alignment horizontal="left" readingOrder="0" shrinkToFit="0" wrapText="0"/>
    </xf>
    <xf borderId="0" fillId="7" fontId="7" numFmtId="0" xfId="0" applyAlignment="1" applyFont="1">
      <alignment horizontal="left" shrinkToFit="0" wrapText="0"/>
    </xf>
    <xf borderId="0" fillId="0" fontId="57" numFmtId="0" xfId="0" applyAlignment="1" applyFont="1">
      <alignment horizontal="left" readingOrder="0" shrinkToFit="0" wrapText="0"/>
    </xf>
    <xf borderId="0" fillId="5" fontId="58" numFmtId="0" xfId="0" applyAlignment="1" applyFont="1">
      <alignment horizontal="left" readingOrder="0" shrinkToFit="0" wrapText="0"/>
    </xf>
    <xf borderId="0" fillId="7" fontId="7" numFmtId="0" xfId="0" applyFont="1"/>
    <xf borderId="0" fillId="7" fontId="7" numFmtId="164" xfId="0" applyFont="1" applyNumberFormat="1"/>
    <xf borderId="0" fillId="7" fontId="7" numFmtId="49" xfId="0" applyFont="1" applyNumberFormat="1"/>
    <xf borderId="0" fillId="7" fontId="7" numFmtId="0" xfId="0" applyAlignment="1" applyFont="1">
      <alignment readingOrder="0"/>
    </xf>
    <xf borderId="0" fillId="7" fontId="59" numFmtId="0" xfId="0" applyAlignment="1" applyFont="1">
      <alignment shrinkToFit="0" wrapText="0"/>
    </xf>
    <xf borderId="0" fillId="7" fontId="7" numFmtId="0" xfId="0" applyAlignment="1" applyFont="1">
      <alignment shrinkToFit="0" wrapText="0"/>
    </xf>
    <xf borderId="0" fillId="0" fontId="60" numFmtId="0" xfId="0" applyAlignment="1" applyFont="1">
      <alignment vertical="bottom"/>
    </xf>
    <xf borderId="0" fillId="0" fontId="61" numFmtId="0" xfId="0" applyAlignment="1" applyFont="1">
      <alignment readingOrder="0" vertical="bottom"/>
    </xf>
    <xf borderId="0" fillId="0" fontId="46" numFmtId="0" xfId="0" applyAlignment="1" applyFont="1">
      <alignment horizontal="left" readingOrder="0" vertical="bottom"/>
    </xf>
    <xf borderId="0" fillId="5" fontId="62" numFmtId="0" xfId="0" applyAlignment="1" applyFont="1">
      <alignment horizontal="left" readingOrder="0" shrinkToFit="0" wrapText="0"/>
    </xf>
    <xf quotePrefix="1" borderId="0" fillId="0" fontId="63" numFmtId="0" xfId="0" applyAlignment="1" applyFont="1">
      <alignment horizontal="left" readingOrder="0" shrinkToFit="0" wrapText="0"/>
    </xf>
    <xf borderId="0" fillId="0" fontId="18" numFmtId="0" xfId="0" applyAlignment="1" applyFont="1">
      <alignment horizontal="left" readingOrder="0" shrinkToFit="0" wrapText="0"/>
    </xf>
    <xf borderId="0" fillId="0" fontId="0" numFmtId="0" xfId="0" applyAlignment="1" applyFont="1">
      <alignment horizontal="left" readingOrder="0"/>
    </xf>
    <xf borderId="0" fillId="0" fontId="13" numFmtId="165" xfId="0" applyAlignment="1" applyFont="1" applyNumberFormat="1">
      <alignment horizontal="left" shrinkToFit="0" wrapText="0"/>
    </xf>
    <xf borderId="0" fillId="0" fontId="64" numFmtId="165" xfId="0" applyAlignment="1" applyFont="1" applyNumberFormat="1">
      <alignment horizontal="left" readingOrder="0"/>
    </xf>
    <xf borderId="0" fillId="0" fontId="13" numFmtId="165" xfId="0" applyAlignment="1" applyFont="1" applyNumberFormat="1">
      <alignment horizontal="left"/>
    </xf>
    <xf borderId="0" fillId="5" fontId="16" numFmtId="165" xfId="0" applyAlignment="1" applyFont="1" applyNumberFormat="1">
      <alignment horizontal="left" readingOrder="0" shrinkToFit="0" wrapText="0"/>
    </xf>
    <xf borderId="0" fillId="5" fontId="16" numFmtId="165" xfId="0" applyAlignment="1" applyFont="1" applyNumberFormat="1">
      <alignment horizontal="left" readingOrder="0"/>
    </xf>
    <xf borderId="0" fillId="5" fontId="65" numFmtId="0" xfId="0" applyAlignment="1" applyFont="1">
      <alignment readingOrder="0" shrinkToFit="0" wrapText="0"/>
    </xf>
    <xf borderId="0" fillId="8" fontId="7" numFmtId="0" xfId="0" applyAlignment="1" applyFill="1" applyFont="1">
      <alignment horizontal="left"/>
    </xf>
    <xf borderId="0" fillId="8" fontId="7" numFmtId="164" xfId="0" applyAlignment="1" applyFont="1" applyNumberFormat="1">
      <alignment horizontal="left"/>
    </xf>
    <xf borderId="0" fillId="8" fontId="7" numFmtId="49" xfId="0" applyAlignment="1" applyFont="1" applyNumberFormat="1">
      <alignment horizontal="left"/>
    </xf>
    <xf borderId="0" fillId="8" fontId="7" numFmtId="0" xfId="0" applyAlignment="1" applyFont="1">
      <alignment horizontal="left" readingOrder="0"/>
    </xf>
    <xf borderId="0" fillId="8" fontId="66" numFmtId="0" xfId="0" applyAlignment="1" applyFont="1">
      <alignment horizontal="left" readingOrder="0" shrinkToFit="0" wrapText="0"/>
    </xf>
    <xf borderId="0" fillId="8" fontId="67" numFmtId="0" xfId="0" applyAlignment="1" applyFont="1">
      <alignment horizontal="left" shrinkToFit="0" wrapText="0"/>
    </xf>
    <xf borderId="0" fillId="5" fontId="33" numFmtId="0" xfId="0" applyAlignment="1" applyFont="1">
      <alignment horizontal="left" readingOrder="0"/>
    </xf>
    <xf borderId="0" fillId="5" fontId="68" numFmtId="0" xfId="0" applyAlignment="1" applyFont="1">
      <alignment horizontal="left" readingOrder="0" shrinkToFit="0" wrapText="0"/>
    </xf>
    <xf borderId="0" fillId="0" fontId="69" numFmtId="0" xfId="0" applyAlignment="1" applyFont="1">
      <alignment horizontal="left" readingOrder="0" shrinkToFit="0" wrapText="0"/>
    </xf>
    <xf borderId="0" fillId="5" fontId="70" numFmtId="0" xfId="0" applyAlignment="1" applyFont="1">
      <alignment readingOrder="0" vertical="bottom"/>
    </xf>
    <xf borderId="0" fillId="0" fontId="46" numFmtId="165" xfId="0" applyAlignment="1" applyFont="1" applyNumberFormat="1">
      <alignment horizontal="left" readingOrder="0" vertical="bottom"/>
    </xf>
    <xf borderId="0" fillId="0" fontId="46" numFmtId="49" xfId="0" applyAlignment="1" applyFont="1" applyNumberFormat="1">
      <alignment readingOrder="0" vertical="bottom"/>
    </xf>
    <xf borderId="0" fillId="5" fontId="71" numFmtId="0" xfId="0" applyAlignment="1" applyFont="1">
      <alignment shrinkToFit="0" vertical="bottom" wrapText="0"/>
    </xf>
    <xf borderId="0" fillId="0" fontId="46" numFmtId="0" xfId="0" applyAlignment="1" applyFont="1">
      <alignment horizontal="left" readingOrder="0" vertical="bottom"/>
    </xf>
    <xf borderId="0" fillId="5" fontId="7" numFmtId="0" xfId="0" applyAlignment="1" applyFont="1">
      <alignment horizontal="left" shrinkToFit="0" wrapText="0"/>
    </xf>
    <xf borderId="0" fillId="0" fontId="7" numFmtId="0" xfId="0" applyAlignment="1" applyFont="1">
      <alignment horizontal="right" readingOrder="0"/>
    </xf>
    <xf borderId="0" fillId="0" fontId="72" numFmtId="0" xfId="0" applyAlignment="1" applyFont="1">
      <alignment horizontal="left" readingOrder="0"/>
    </xf>
    <xf borderId="0" fillId="0" fontId="13" numFmtId="0" xfId="0" applyAlignment="1" applyFont="1">
      <alignment horizontal="left" readingOrder="0" shrinkToFit="0" wrapText="0"/>
    </xf>
    <xf borderId="0" fillId="5" fontId="7" numFmtId="0" xfId="0" applyAlignment="1" applyFont="1">
      <alignment horizontal="left" shrinkToFit="0" wrapText="0"/>
    </xf>
    <xf borderId="0" fillId="5" fontId="73" numFmtId="0" xfId="0" applyAlignment="1" applyFont="1">
      <alignment readingOrder="0"/>
    </xf>
    <xf borderId="0" fillId="5" fontId="74" numFmtId="0" xfId="0" applyAlignment="1" applyFont="1">
      <alignment readingOrder="0" shrinkToFit="0" wrapText="0"/>
    </xf>
    <xf borderId="0" fillId="0" fontId="7" numFmtId="166" xfId="0" applyAlignment="1" applyFont="1" applyNumberFormat="1">
      <alignment horizontal="left"/>
    </xf>
    <xf borderId="0" fillId="9" fontId="70" numFmtId="0" xfId="0" applyAlignment="1" applyFill="1" applyFont="1">
      <alignment readingOrder="0"/>
    </xf>
    <xf borderId="0" fillId="5" fontId="75" numFmtId="0" xfId="0" applyAlignment="1" applyFont="1">
      <alignment horizontal="left" readingOrder="0"/>
    </xf>
    <xf borderId="0" fillId="0" fontId="13" numFmtId="49" xfId="0" applyAlignment="1" applyFont="1" applyNumberFormat="1">
      <alignment horizontal="left"/>
    </xf>
    <xf borderId="0" fillId="0" fontId="18" numFmtId="0" xfId="0" applyAlignment="1" applyFont="1">
      <alignment horizontal="left" readingOrder="0" shrinkToFit="0" wrapText="0"/>
    </xf>
    <xf borderId="0" fillId="0" fontId="76" numFmtId="165" xfId="0" applyAlignment="1" applyFont="1" applyNumberFormat="1">
      <alignment horizontal="left"/>
    </xf>
    <xf borderId="0" fillId="0" fontId="12" numFmtId="0" xfId="0" applyAlignment="1" applyFont="1">
      <alignment horizontal="right"/>
    </xf>
    <xf borderId="0" fillId="7" fontId="13" numFmtId="0" xfId="0" applyAlignment="1" applyFont="1">
      <alignment horizontal="left" readingOrder="0"/>
    </xf>
    <xf borderId="0" fillId="7" fontId="77" numFmtId="0" xfId="0" applyAlignment="1" applyFont="1">
      <alignment horizontal="left" readingOrder="0" shrinkToFit="0" wrapText="0"/>
    </xf>
    <xf borderId="0" fillId="0" fontId="7" numFmtId="164" xfId="0" applyAlignment="1" applyFont="1" applyNumberFormat="1">
      <alignment horizontal="left" readingOrder="0" shrinkToFit="0" wrapText="1"/>
    </xf>
    <xf borderId="0" fillId="0" fontId="7" numFmtId="0" xfId="0" applyAlignment="1" applyFont="1">
      <alignment horizontal="left" readingOrder="0" shrinkToFit="0" wrapText="1"/>
    </xf>
    <xf borderId="0" fillId="0" fontId="6" numFmtId="0" xfId="0" applyAlignment="1" applyFont="1">
      <alignment horizontal="left" readingOrder="0" shrinkToFit="0" wrapText="1"/>
    </xf>
    <xf borderId="0" fillId="0" fontId="27" numFmtId="0" xfId="0" applyAlignment="1" applyFont="1">
      <alignment shrinkToFit="0" wrapText="1"/>
    </xf>
    <xf borderId="0" fillId="0" fontId="78" numFmtId="0" xfId="0" applyAlignment="1" applyFont="1">
      <alignment readingOrder="0" shrinkToFit="0" vertical="bottom" wrapText="0"/>
    </xf>
    <xf borderId="0" fillId="0" fontId="46" numFmtId="167" xfId="0" applyAlignment="1" applyFont="1" applyNumberFormat="1">
      <alignment shrinkToFit="0" vertical="bottom" wrapText="0"/>
    </xf>
    <xf borderId="0" fillId="0" fontId="79" numFmtId="49" xfId="0" applyAlignment="1" applyFont="1" applyNumberFormat="1">
      <alignment vertical="bottom"/>
    </xf>
    <xf borderId="0" fillId="0" fontId="80" numFmtId="49" xfId="0" applyAlignment="1" applyFont="1" applyNumberFormat="1">
      <alignment readingOrder="0" vertical="bottom"/>
    </xf>
    <xf borderId="0" fillId="0" fontId="81" numFmtId="0" xfId="0" applyAlignment="1" applyFont="1">
      <alignment horizontal="left" readingOrder="0" shrinkToFit="0" wrapText="0"/>
    </xf>
    <xf borderId="0" fillId="0" fontId="21" numFmtId="0" xfId="0" applyAlignment="1" applyFont="1">
      <alignment horizontal="left" readingOrder="0"/>
    </xf>
    <xf borderId="0" fillId="0" fontId="82" numFmtId="0" xfId="0" applyAlignment="1" applyFont="1">
      <alignment horizontal="left" readingOrder="0" shrinkToFit="0" wrapText="0"/>
    </xf>
    <xf borderId="0" fillId="5" fontId="33" numFmtId="0" xfId="0" applyAlignment="1" applyFont="1">
      <alignment readingOrder="0"/>
    </xf>
    <xf borderId="0" fillId="0" fontId="83" numFmtId="0" xfId="0" applyAlignment="1" applyFont="1">
      <alignment horizontal="left" readingOrder="0" shrinkToFit="0" wrapText="0"/>
    </xf>
    <xf borderId="0" fillId="0" fontId="46" numFmtId="165" xfId="0" applyAlignment="1" applyFont="1" applyNumberFormat="1">
      <alignment horizontal="left" vertical="bottom"/>
    </xf>
    <xf borderId="0" fillId="5" fontId="16" numFmtId="0" xfId="0" applyAlignment="1" applyFont="1">
      <alignment vertical="bottom"/>
    </xf>
    <xf borderId="0" fillId="5" fontId="16" numFmtId="0" xfId="0" applyAlignment="1" applyFont="1">
      <alignment shrinkToFit="0" vertical="bottom" wrapText="0"/>
    </xf>
    <xf borderId="0" fillId="5" fontId="12" numFmtId="0" xfId="0" applyAlignment="1" applyFont="1">
      <alignment horizontal="right" readingOrder="0" vertical="bottom"/>
    </xf>
    <xf borderId="0" fillId="5" fontId="16" numFmtId="0" xfId="0" applyAlignment="1" applyFont="1">
      <alignment readingOrder="0" vertical="bottom"/>
    </xf>
    <xf borderId="0" fillId="0" fontId="46" numFmtId="0" xfId="0" applyAlignment="1" applyFont="1">
      <alignment readingOrder="0" shrinkToFit="0" vertical="bottom" wrapText="0"/>
    </xf>
    <xf borderId="0" fillId="5" fontId="84" numFmtId="0" xfId="0" applyAlignment="1" applyFont="1">
      <alignment readingOrder="0" shrinkToFit="0" vertical="bottom" wrapText="0"/>
    </xf>
    <xf borderId="0" fillId="9" fontId="85" numFmtId="0" xfId="0" applyAlignment="1" applyFont="1">
      <alignment readingOrder="0" shrinkToFit="0" wrapText="0"/>
    </xf>
    <xf borderId="0" fillId="5" fontId="86" numFmtId="0" xfId="0" applyAlignment="1" applyFont="1">
      <alignment readingOrder="0"/>
    </xf>
    <xf borderId="0" fillId="5" fontId="87" numFmtId="0" xfId="0" applyAlignment="1" applyFont="1">
      <alignment readingOrder="0"/>
    </xf>
    <xf borderId="0" fillId="0" fontId="72" numFmtId="0" xfId="0" applyAlignment="1" applyFont="1">
      <alignment readingOrder="0"/>
    </xf>
    <xf borderId="0" fillId="0" fontId="13" numFmtId="0" xfId="0" applyAlignment="1" applyFont="1">
      <alignment horizontal="left"/>
    </xf>
    <xf borderId="0" fillId="0" fontId="13" numFmtId="164" xfId="0" applyAlignment="1" applyFont="1" applyNumberFormat="1">
      <alignment horizontal="left"/>
    </xf>
    <xf borderId="0" fillId="0" fontId="13" numFmtId="0" xfId="0" applyAlignment="1" applyFont="1">
      <alignment horizontal="left" shrinkToFit="0" wrapText="0"/>
    </xf>
    <xf borderId="0" fillId="0" fontId="88" numFmtId="0" xfId="0" applyAlignment="1" applyFont="1">
      <alignment readingOrder="0" shrinkToFit="0" vertical="bottom" wrapText="0"/>
    </xf>
    <xf borderId="0" fillId="0" fontId="89" numFmtId="0" xfId="0" applyAlignment="1" applyFont="1">
      <alignment readingOrder="0" shrinkToFit="0" vertical="bottom" wrapText="0"/>
    </xf>
    <xf borderId="2" fillId="0" fontId="13" numFmtId="0" xfId="0" applyAlignment="1" applyBorder="1" applyFont="1">
      <alignment horizontal="left" shrinkToFit="0" wrapText="0"/>
    </xf>
    <xf borderId="0" fillId="7" fontId="13" numFmtId="164" xfId="0" applyAlignment="1" applyFont="1" applyNumberFormat="1">
      <alignment horizontal="left" readingOrder="0"/>
    </xf>
    <xf borderId="0" fillId="7" fontId="13" numFmtId="165" xfId="0" applyAlignment="1" applyFont="1" applyNumberFormat="1">
      <alignment horizontal="left" readingOrder="0"/>
    </xf>
    <xf borderId="0" fillId="7" fontId="13" numFmtId="49" xfId="0" applyAlignment="1" applyFont="1" applyNumberFormat="1">
      <alignment horizontal="left" readingOrder="0"/>
    </xf>
    <xf borderId="0" fillId="0" fontId="7" numFmtId="164" xfId="0" applyFont="1" applyNumberFormat="1"/>
    <xf borderId="0" fillId="0" fontId="90" numFmtId="0" xfId="0" applyAlignment="1" applyFont="1">
      <alignment shrinkToFit="0" vertical="bottom" wrapText="0"/>
    </xf>
    <xf borderId="0" fillId="5" fontId="91" numFmtId="0" xfId="0" applyAlignment="1" applyFont="1">
      <alignment readingOrder="0"/>
    </xf>
    <xf borderId="0" fillId="5" fontId="92" numFmtId="0" xfId="0" applyAlignment="1" applyFont="1">
      <alignment readingOrder="0"/>
    </xf>
    <xf borderId="0" fillId="5" fontId="93" numFmtId="0" xfId="0" applyAlignment="1" applyFont="1">
      <alignment readingOrder="0"/>
    </xf>
    <xf borderId="0" fillId="0" fontId="13" numFmtId="0" xfId="0" applyAlignment="1" applyFont="1">
      <alignment horizontal="left" readingOrder="0" shrinkToFit="0" wrapText="0"/>
    </xf>
    <xf borderId="0" fillId="7" fontId="94" numFmtId="0" xfId="0" applyAlignment="1" applyFont="1">
      <alignment horizontal="left" readingOrder="0" shrinkToFit="0" wrapText="0"/>
    </xf>
    <xf borderId="0" fillId="5" fontId="73" numFmtId="0" xfId="0" applyAlignment="1" applyFont="1">
      <alignment readingOrder="0" shrinkToFit="0" wrapText="0"/>
    </xf>
    <xf borderId="0" fillId="5" fontId="95" numFmtId="0" xfId="0" applyAlignment="1" applyFont="1">
      <alignment readingOrder="0"/>
    </xf>
    <xf borderId="0" fillId="5" fontId="70" numFmtId="0" xfId="0" applyAlignment="1" applyFont="1">
      <alignment horizontal="left" readingOrder="0" vertical="bottom"/>
    </xf>
    <xf borderId="0" fillId="5" fontId="96" numFmtId="0" xfId="0" applyAlignment="1" applyFont="1">
      <alignment readingOrder="0" shrinkToFit="0" vertical="bottom" wrapText="0"/>
    </xf>
    <xf borderId="0" fillId="5" fontId="40" numFmtId="0" xfId="0" applyAlignment="1" applyFont="1">
      <alignment readingOrder="0"/>
    </xf>
    <xf borderId="0" fillId="5" fontId="97" numFmtId="0" xfId="0" applyAlignment="1" applyFont="1">
      <alignment readingOrder="0" vertical="bottom"/>
    </xf>
    <xf borderId="0" fillId="5" fontId="98" numFmtId="0" xfId="0" applyAlignment="1" applyFont="1">
      <alignment readingOrder="0" shrinkToFit="0" wrapText="0"/>
    </xf>
    <xf borderId="0" fillId="5" fontId="99" numFmtId="0" xfId="0" applyAlignment="1" applyFont="1">
      <alignment readingOrder="0" shrinkToFit="0" wrapText="0"/>
    </xf>
    <xf borderId="0" fillId="5" fontId="97" numFmtId="0" xfId="0" applyAlignment="1" applyFont="1">
      <alignment vertical="bottom"/>
    </xf>
    <xf borderId="0" fillId="0" fontId="100" numFmtId="0" xfId="0" applyAlignment="1" applyFont="1">
      <alignment readingOrder="0" shrinkToFit="0" wrapText="0"/>
    </xf>
    <xf borderId="0" fillId="5" fontId="33" numFmtId="164" xfId="0" applyAlignment="1" applyFont="1" applyNumberFormat="1">
      <alignment horizontal="left" readingOrder="0"/>
    </xf>
    <xf borderId="0" fillId="0" fontId="101" numFmtId="0" xfId="0" applyAlignment="1" applyFont="1">
      <alignment horizontal="left" readingOrder="0" shrinkToFit="0" wrapText="0"/>
    </xf>
    <xf borderId="0" fillId="0" fontId="7" numFmtId="0" xfId="0" applyAlignment="1" applyFont="1">
      <alignment horizontal="right"/>
    </xf>
    <xf borderId="0" fillId="0" fontId="21" numFmtId="164" xfId="0" applyAlignment="1" applyFont="1" applyNumberFormat="1">
      <alignment horizontal="left"/>
    </xf>
    <xf borderId="0" fillId="0" fontId="21" numFmtId="49" xfId="0" applyAlignment="1" applyFont="1" applyNumberFormat="1">
      <alignment horizontal="left"/>
    </xf>
    <xf borderId="0" fillId="0" fontId="21" numFmtId="0" xfId="0" applyAlignment="1" applyFont="1">
      <alignment horizontal="left"/>
    </xf>
    <xf borderId="0" fillId="5" fontId="102" numFmtId="0" xfId="0" applyAlignment="1" applyFont="1">
      <alignment readingOrder="0"/>
    </xf>
    <xf borderId="0" fillId="0" fontId="21" numFmtId="0" xfId="0" applyAlignment="1" applyFont="1">
      <alignment horizontal="left" shrinkToFit="0" wrapText="0"/>
    </xf>
    <xf borderId="0" fillId="5" fontId="21" numFmtId="0" xfId="0" applyAlignment="1" applyFont="1">
      <alignment horizontal="right"/>
    </xf>
    <xf borderId="0" fillId="0" fontId="103" numFmtId="0" xfId="0" applyAlignment="1" applyFont="1">
      <alignment horizontal="left" readingOrder="0" shrinkToFit="0" wrapText="0"/>
    </xf>
    <xf borderId="0" fillId="5" fontId="40" numFmtId="164" xfId="0" applyAlignment="1" applyFont="1" applyNumberFormat="1">
      <alignment readingOrder="0"/>
    </xf>
    <xf borderId="0" fillId="0" fontId="21" numFmtId="164" xfId="0" applyAlignment="1" applyFont="1" applyNumberFormat="1">
      <alignment horizontal="left" readingOrder="0" shrinkToFit="0" wrapText="0"/>
    </xf>
    <xf borderId="0" fillId="0" fontId="104" numFmtId="164" xfId="0" applyAlignment="1" applyFont="1" applyNumberFormat="1">
      <alignment horizontal="left"/>
    </xf>
    <xf borderId="0" fillId="5" fontId="16" numFmtId="164" xfId="0" applyAlignment="1" applyFont="1" applyNumberFormat="1">
      <alignment horizontal="left" readingOrder="0" shrinkToFit="0" wrapText="0"/>
    </xf>
    <xf borderId="0" fillId="5" fontId="16" numFmtId="164" xfId="0" applyAlignment="1" applyFont="1" applyNumberFormat="1">
      <alignment horizontal="left" readingOrder="0"/>
    </xf>
    <xf borderId="0" fillId="5" fontId="33" numFmtId="0" xfId="0" applyAlignment="1" applyFont="1">
      <alignment readingOrder="0" shrinkToFit="0" wrapText="0"/>
    </xf>
    <xf borderId="0" fillId="5" fontId="40" numFmtId="0" xfId="0" applyAlignment="1" applyFont="1">
      <alignment horizontal="left" readingOrder="0"/>
    </xf>
    <xf borderId="0" fillId="0" fontId="105" numFmtId="0" xfId="0" applyAlignment="1" applyFont="1">
      <alignment readingOrder="0" shrinkToFit="0" wrapText="0"/>
    </xf>
    <xf borderId="0" fillId="5" fontId="7" numFmtId="0" xfId="0" applyAlignment="1" applyFont="1">
      <alignment readingOrder="0" shrinkToFit="0" wrapText="0"/>
    </xf>
    <xf borderId="0" fillId="5" fontId="7" numFmtId="0" xfId="0" applyAlignment="1" applyFont="1">
      <alignment readingOrder="0"/>
    </xf>
    <xf borderId="0" fillId="0" fontId="7" numFmtId="0" xfId="0" applyFont="1"/>
    <xf borderId="0" fillId="5" fontId="106" numFmtId="0" xfId="0" applyAlignment="1" applyFont="1">
      <alignment readingOrder="0"/>
    </xf>
    <xf borderId="0" fillId="0" fontId="107" numFmtId="0" xfId="0" applyAlignment="1" applyFont="1">
      <alignment readingOrder="0" shrinkToFit="0" wrapText="0"/>
    </xf>
    <xf borderId="0" fillId="0" fontId="7" numFmtId="0" xfId="0" applyAlignment="1" applyFont="1">
      <alignment shrinkToFit="0" wrapText="0"/>
    </xf>
    <xf borderId="0" fillId="5" fontId="33" numFmtId="0" xfId="0" applyFont="1"/>
    <xf borderId="0" fillId="0" fontId="7" numFmtId="10" xfId="0" applyAlignment="1" applyFont="1" applyNumberFormat="1">
      <alignment readingOrder="0" shrinkToFit="0" wrapText="0"/>
    </xf>
    <xf borderId="0" fillId="0" fontId="7" numFmtId="10" xfId="0" applyAlignment="1" applyFont="1" applyNumberFormat="1">
      <alignment shrinkToFit="0" wrapText="0"/>
    </xf>
    <xf borderId="0" fillId="0" fontId="108" numFmtId="10" xfId="0" applyAlignment="1" applyFont="1" applyNumberFormat="1">
      <alignment readingOrder="0" shrinkToFit="0" wrapText="0"/>
    </xf>
    <xf borderId="0" fillId="0" fontId="7" numFmtId="164" xfId="0" applyAlignment="1" applyFont="1" applyNumberFormat="1">
      <alignment readingOrder="0"/>
    </xf>
    <xf borderId="0" fillId="0" fontId="7" numFmtId="0" xfId="0" applyAlignment="1" applyFont="1">
      <alignment readingOrder="0"/>
    </xf>
    <xf borderId="0" fillId="0" fontId="7" numFmtId="0" xfId="0" applyAlignment="1" applyFont="1">
      <alignment readingOrder="0" shrinkToFit="0" wrapText="0"/>
    </xf>
    <xf borderId="0" fillId="0" fontId="109" numFmtId="0" xfId="0" applyAlignment="1" applyFont="1">
      <alignment readingOrder="0" shrinkToFit="0" wrapText="0"/>
    </xf>
    <xf borderId="0" fillId="0" fontId="110" numFmtId="0" xfId="0" applyAlignment="1" applyFont="1">
      <alignment readingOrder="0" shrinkToFit="0" wrapText="0"/>
    </xf>
    <xf borderId="0" fillId="5" fontId="33" numFmtId="0" xfId="0" applyAlignment="1" applyFont="1">
      <alignment horizontal="left"/>
    </xf>
    <xf borderId="0" fillId="5" fontId="33" numFmtId="0" xfId="0" applyAlignment="1" applyFont="1">
      <alignment horizontal="left" readingOrder="0" shrinkToFit="0" wrapText="0"/>
    </xf>
    <xf borderId="0" fillId="0" fontId="46" numFmtId="0" xfId="0" applyAlignment="1" applyFont="1">
      <alignment horizontal="right" vertical="bottom"/>
    </xf>
    <xf borderId="0" fillId="0" fontId="46" numFmtId="164" xfId="0" applyAlignment="1" applyFont="1" applyNumberFormat="1">
      <alignment readingOrder="0" vertical="bottom"/>
    </xf>
    <xf borderId="0" fillId="0" fontId="46" numFmtId="0" xfId="0" applyAlignment="1" applyFont="1">
      <alignment readingOrder="0" vertical="bottom"/>
    </xf>
    <xf borderId="0" fillId="0" fontId="46" numFmtId="0" xfId="0" applyAlignment="1" applyFont="1">
      <alignment horizontal="right" readingOrder="0" vertical="bottom"/>
    </xf>
    <xf borderId="0" fillId="0" fontId="46" numFmtId="0" xfId="0" applyAlignment="1" applyFont="1">
      <alignment readingOrder="0" shrinkToFit="0" vertical="bottom" wrapText="0"/>
    </xf>
    <xf borderId="0" fillId="0" fontId="111" numFmtId="0" xfId="0" applyAlignment="1" applyFont="1">
      <alignment readingOrder="0" shrinkToFit="0" vertical="bottom" wrapText="0"/>
    </xf>
    <xf borderId="0" fillId="0" fontId="112" numFmtId="0" xfId="0" applyAlignment="1" applyFont="1">
      <alignment readingOrder="0" vertical="bottom"/>
    </xf>
    <xf borderId="0" fillId="0" fontId="113" numFmtId="0" xfId="0" applyAlignment="1" applyFont="1">
      <alignment vertical="bottom"/>
    </xf>
    <xf borderId="0" fillId="5" fontId="70" numFmtId="0" xfId="0" applyAlignment="1" applyFont="1">
      <alignment vertical="bottom"/>
    </xf>
    <xf borderId="0" fillId="0" fontId="7" numFmtId="0" xfId="0" applyAlignment="1" applyFont="1">
      <alignment horizontal="left" readingOrder="0"/>
    </xf>
    <xf borderId="0" fillId="5" fontId="114" numFmtId="0" xfId="0" applyAlignment="1" applyFont="1">
      <alignment readingOrder="0"/>
    </xf>
    <xf borderId="0" fillId="0" fontId="7" numFmtId="164" xfId="0" applyAlignment="1" applyFont="1" applyNumberFormat="1">
      <alignment readingOrder="0" shrinkToFit="0" wrapText="0"/>
    </xf>
    <xf borderId="0" fillId="0" fontId="115" numFmtId="164" xfId="0" applyAlignment="1" applyFont="1" applyNumberFormat="1">
      <alignment readingOrder="0" shrinkToFit="0" wrapText="0"/>
    </xf>
    <xf borderId="0" fillId="5" fontId="16" numFmtId="164" xfId="0" applyAlignment="1" applyFont="1" applyNumberFormat="1">
      <alignment horizontal="left"/>
    </xf>
    <xf borderId="0" fillId="0" fontId="7" numFmtId="164" xfId="0" applyAlignment="1" applyFont="1" applyNumberFormat="1">
      <alignment shrinkToFit="0" wrapText="0"/>
    </xf>
    <xf borderId="0" fillId="5" fontId="16" numFmtId="49" xfId="0" applyAlignment="1" applyFont="1" applyNumberFormat="1">
      <alignment horizontal="left" readingOrder="0"/>
    </xf>
    <xf borderId="0" fillId="5" fontId="16" numFmtId="166" xfId="0" applyAlignment="1" applyFont="1" applyNumberFormat="1">
      <alignment horizontal="left" readingOrder="0"/>
    </xf>
    <xf borderId="0" fillId="0" fontId="4" numFmtId="164" xfId="0" applyAlignment="1" applyFont="1" applyNumberFormat="1">
      <alignment horizontal="left" readingOrder="0"/>
    </xf>
    <xf borderId="0" fillId="0" fontId="4" numFmtId="0" xfId="0" applyAlignment="1" applyFont="1">
      <alignment horizontal="left" readingOrder="0"/>
    </xf>
    <xf borderId="0" fillId="0" fontId="4" numFmtId="0" xfId="0" applyAlignment="1" applyFont="1">
      <alignment horizontal="left"/>
    </xf>
    <xf borderId="0" fillId="5" fontId="7" numFmtId="0" xfId="0" applyAlignment="1" applyFont="1">
      <alignment horizontal="right" readingOrder="0"/>
    </xf>
    <xf borderId="0" fillId="0" fontId="4" numFmtId="49" xfId="0" applyAlignment="1" applyFont="1" applyNumberFormat="1">
      <alignment horizontal="left" readingOrder="0"/>
    </xf>
    <xf borderId="0" fillId="0" fontId="7" numFmtId="164" xfId="0" applyAlignment="1" applyFont="1" applyNumberFormat="1">
      <alignment horizontal="left" readingOrder="0"/>
    </xf>
    <xf borderId="0" fillId="5" fontId="7" numFmtId="164" xfId="0" applyAlignment="1" applyFont="1" applyNumberFormat="1">
      <alignment horizontal="left" readingOrder="0"/>
    </xf>
    <xf borderId="0" fillId="0" fontId="116" numFmtId="0" xfId="0" applyAlignment="1" applyFont="1">
      <alignment readingOrder="0"/>
    </xf>
    <xf borderId="0" fillId="0" fontId="117" numFmtId="0" xfId="0" applyAlignment="1" applyFont="1">
      <alignment readingOrder="0" shrinkToFit="0" wrapText="0"/>
    </xf>
    <xf borderId="0" fillId="0" fontId="27" numFmtId="0" xfId="0" applyAlignment="1" applyFont="1">
      <alignment horizontal="left" readingOrder="0" shrinkToFit="0" wrapText="0"/>
    </xf>
    <xf borderId="0" fillId="5" fontId="7" numFmtId="164" xfId="0" applyAlignment="1" applyFont="1" applyNumberFormat="1">
      <alignment horizontal="left"/>
    </xf>
    <xf borderId="0" fillId="5" fontId="16" numFmtId="0" xfId="0" applyAlignment="1" applyFont="1">
      <alignment horizontal="right"/>
    </xf>
    <xf borderId="0" fillId="5" fontId="13" numFmtId="0" xfId="0" applyAlignment="1" applyFont="1">
      <alignment horizontal="left"/>
    </xf>
    <xf borderId="0" fillId="2" fontId="118" numFmtId="0" xfId="0" applyAlignment="1" applyFont="1">
      <alignment horizontal="left" vertical="bottom"/>
    </xf>
    <xf borderId="0" fillId="2" fontId="46" numFmtId="167" xfId="0" applyAlignment="1" applyFont="1" applyNumberFormat="1">
      <alignment horizontal="left" vertical="bottom"/>
    </xf>
    <xf borderId="0" fillId="2" fontId="118" numFmtId="165" xfId="0" applyAlignment="1" applyFont="1" applyNumberFormat="1">
      <alignment horizontal="left" vertical="bottom"/>
    </xf>
    <xf borderId="0" fillId="2" fontId="46" numFmtId="49" xfId="0" applyAlignment="1" applyFont="1" applyNumberFormat="1">
      <alignment horizontal="left" vertical="bottom"/>
    </xf>
    <xf borderId="0" fillId="2" fontId="119" numFmtId="0" xfId="0" applyAlignment="1" applyFont="1">
      <alignment horizontal="right" vertical="bottom"/>
    </xf>
    <xf borderId="0" fillId="2" fontId="120" numFmtId="0" xfId="0" applyAlignment="1" applyFont="1">
      <alignment horizontal="left" shrinkToFit="0" vertical="bottom" wrapText="0"/>
    </xf>
    <xf borderId="0" fillId="2" fontId="46" numFmtId="0" xfId="0" applyAlignment="1" applyFont="1">
      <alignment horizontal="left" vertical="bottom"/>
    </xf>
    <xf borderId="0" fillId="2" fontId="121" numFmtId="0" xfId="0" applyAlignment="1" applyFont="1">
      <alignment horizontal="left" vertical="bottom"/>
    </xf>
    <xf borderId="0" fillId="2" fontId="122" numFmtId="0" xfId="0" applyAlignment="1" applyFont="1">
      <alignment horizontal="left" readingOrder="0" vertical="bottom"/>
    </xf>
    <xf borderId="0" fillId="2" fontId="118" numFmtId="0" xfId="0" applyAlignment="1" applyFont="1">
      <alignment horizontal="left" readingOrder="0" vertical="bottom"/>
    </xf>
    <xf borderId="0" fillId="5" fontId="46" numFmtId="0" xfId="0" applyAlignment="1" applyFont="1">
      <alignment horizontal="left" vertical="bottom"/>
    </xf>
    <xf borderId="0" fillId="0" fontId="13" numFmtId="167" xfId="0" applyAlignment="1" applyFont="1" applyNumberFormat="1">
      <alignment horizontal="left" readingOrder="0"/>
    </xf>
    <xf borderId="0" fillId="0" fontId="123" numFmtId="49" xfId="0" applyAlignment="1" applyFont="1" applyNumberFormat="1">
      <alignment horizontal="left" readingOrder="0"/>
    </xf>
    <xf borderId="0" fillId="0" fontId="21" numFmtId="167" xfId="0" applyAlignment="1" applyFont="1" applyNumberFormat="1">
      <alignment horizontal="left" readingOrder="0"/>
    </xf>
    <xf borderId="0" fillId="5" fontId="40" numFmtId="0" xfId="0" applyAlignment="1" applyFont="1">
      <alignment readingOrder="0"/>
    </xf>
    <xf borderId="0" fillId="0" fontId="124" numFmtId="0" xfId="0" applyAlignment="1" applyFont="1">
      <alignment horizontal="left" readingOrder="0"/>
    </xf>
    <xf borderId="0" fillId="5" fontId="33" numFmtId="164" xfId="0" applyAlignment="1" applyFont="1" applyNumberFormat="1">
      <alignment readingOrder="0"/>
    </xf>
    <xf borderId="0" fillId="0" fontId="125" numFmtId="164" xfId="0" applyAlignment="1" applyFont="1" applyNumberFormat="1">
      <alignment horizontal="left" readingOrder="0"/>
    </xf>
    <xf borderId="0" fillId="0" fontId="126" numFmtId="164" xfId="0" applyAlignment="1" applyFont="1" applyNumberFormat="1">
      <alignment horizontal="left"/>
    </xf>
    <xf borderId="0" fillId="5" fontId="16" numFmtId="164" xfId="0" applyAlignment="1" applyFont="1" applyNumberFormat="1">
      <alignment horizontal="left" shrinkToFit="0" wrapText="0"/>
    </xf>
    <xf borderId="0" fillId="5" fontId="127" numFmtId="164" xfId="0" applyAlignment="1" applyFont="1" applyNumberFormat="1">
      <alignment horizontal="left" readingOrder="0" shrinkToFit="0" wrapText="0"/>
    </xf>
    <xf borderId="0" fillId="5" fontId="33" numFmtId="164" xfId="0" applyAlignment="1" applyFont="1" applyNumberFormat="1">
      <alignment readingOrder="0" shrinkToFit="0" wrapText="0"/>
    </xf>
    <xf borderId="0" fillId="5" fontId="33" numFmtId="0" xfId="0" applyAlignment="1" applyFont="1">
      <alignment readingOrder="0" shrinkToFit="0" wrapText="0"/>
    </xf>
    <xf borderId="0" fillId="5" fontId="7" numFmtId="164" xfId="0" applyAlignment="1" applyFont="1" applyNumberFormat="1">
      <alignment horizontal="left"/>
    </xf>
    <xf borderId="0" fillId="5" fontId="7" numFmtId="164" xfId="0" applyAlignment="1" applyFont="1" applyNumberFormat="1">
      <alignment horizontal="left" readingOrder="0"/>
    </xf>
    <xf borderId="0" fillId="5" fontId="7" numFmtId="0" xfId="0" applyAlignment="1" applyFont="1">
      <alignment horizontal="left" readingOrder="0"/>
    </xf>
    <xf borderId="0" fillId="5" fontId="16" numFmtId="0" xfId="0" applyAlignment="1" applyFont="1">
      <alignment horizontal="right" readingOrder="0"/>
    </xf>
    <xf borderId="0" fillId="5" fontId="13" numFmtId="0" xfId="0" applyAlignment="1" applyFont="1">
      <alignment horizontal="left" readingOrder="0"/>
    </xf>
    <xf borderId="0" fillId="0" fontId="7" numFmtId="0" xfId="0" applyAlignment="1" applyFont="1">
      <alignment readingOrder="0" shrinkToFit="0" wrapText="0"/>
    </xf>
    <xf borderId="0" fillId="0" fontId="7" numFmtId="164" xfId="0" applyAlignment="1" applyFont="1" applyNumberFormat="1">
      <alignment readingOrder="0" shrinkToFit="0" wrapText="0"/>
    </xf>
    <xf borderId="0" fillId="0" fontId="7" numFmtId="164" xfId="0" applyAlignment="1" applyFont="1" applyNumberFormat="1">
      <alignment horizontal="left"/>
    </xf>
    <xf borderId="0" fillId="0" fontId="7" numFmtId="164" xfId="0" applyAlignment="1" applyFont="1" applyNumberFormat="1">
      <alignment horizontal="left" readingOrder="0"/>
    </xf>
    <xf borderId="0" fillId="5" fontId="16" numFmtId="164" xfId="0" applyAlignment="1" applyFont="1" applyNumberFormat="1">
      <alignment horizontal="left"/>
    </xf>
    <xf borderId="0" fillId="5" fontId="16" numFmtId="164" xfId="0" applyAlignment="1" applyFont="1" applyNumberFormat="1">
      <alignment horizontal="left" readingOrder="0"/>
    </xf>
    <xf borderId="0" fillId="5" fontId="16" numFmtId="0" xfId="0" applyAlignment="1" applyFont="1">
      <alignment horizontal="left" readingOrder="0"/>
    </xf>
    <xf borderId="0" fillId="5" fontId="16" numFmtId="164" xfId="0" applyAlignment="1" applyFont="1" applyNumberFormat="1">
      <alignment horizontal="left" readingOrder="0" shrinkToFit="0" wrapText="0"/>
    </xf>
    <xf borderId="0" fillId="5" fontId="16" numFmtId="164" xfId="0" applyAlignment="1" applyFont="1" applyNumberFormat="1">
      <alignment horizontal="left" shrinkToFit="0" wrapText="0"/>
    </xf>
    <xf borderId="0" fillId="0" fontId="27" numFmtId="0" xfId="0" applyAlignment="1" applyFont="1">
      <alignment readingOrder="0" shrinkToFit="0" wrapText="0"/>
    </xf>
    <xf borderId="0" fillId="0" fontId="7" numFmtId="0" xfId="0" applyAlignment="1" applyFont="1">
      <alignment horizontal="left" readingOrder="0"/>
    </xf>
    <xf borderId="0" fillId="0" fontId="39" numFmtId="0" xfId="0" applyAlignment="1" applyFont="1">
      <alignment readingOrder="0"/>
    </xf>
    <xf borderId="0" fillId="0" fontId="7" numFmtId="0" xfId="0" applyAlignment="1" applyFont="1">
      <alignment horizontal="left" readingOrder="0" vertical="bottom"/>
    </xf>
    <xf borderId="0" fillId="0" fontId="7" numFmtId="164" xfId="0" applyAlignment="1" applyFont="1" applyNumberFormat="1">
      <alignment horizontal="left" readingOrder="0" vertical="bottom"/>
    </xf>
    <xf borderId="0" fillId="0" fontId="7" numFmtId="49" xfId="0" applyAlignment="1" applyFont="1" applyNumberFormat="1">
      <alignment horizontal="left" readingOrder="0" vertical="bottom"/>
    </xf>
    <xf borderId="0" fillId="0" fontId="7" numFmtId="0" xfId="0" applyAlignment="1" applyFont="1">
      <alignment horizontal="left" readingOrder="0" shrinkToFit="0" vertical="bottom" wrapText="0"/>
    </xf>
    <xf borderId="0" fillId="0" fontId="7" numFmtId="0" xfId="0" applyAlignment="1" applyFont="1">
      <alignment horizontal="left" readingOrder="0" shrinkToFit="0" wrapText="0"/>
    </xf>
    <xf borderId="0" fillId="0" fontId="33" numFmtId="0" xfId="0" applyAlignment="1" applyFont="1">
      <alignment readingOrder="0"/>
    </xf>
    <xf borderId="0" fillId="0" fontId="58" numFmtId="0" xfId="0" applyAlignment="1" applyFont="1">
      <alignment horizontal="left" readingOrder="0" shrinkToFit="0" wrapText="0"/>
    </xf>
    <xf borderId="0" fillId="0" fontId="128" numFmtId="0" xfId="0" applyAlignment="1" applyFont="1">
      <alignment horizontal="left" readingOrder="0" shrinkToFit="0" wrapText="0"/>
    </xf>
    <xf borderId="0" fillId="0" fontId="7" numFmtId="164" xfId="0" applyFont="1" applyNumberFormat="1"/>
    <xf borderId="0" fillId="0" fontId="7" numFmtId="49" xfId="0" applyFont="1" applyNumberFormat="1"/>
    <xf borderId="0" fillId="0" fontId="7" numFmtId="164" xfId="0" applyAlignment="1" applyFont="1" applyNumberFormat="1">
      <alignment horizontal="left"/>
    </xf>
    <xf borderId="0" fillId="0" fontId="7" numFmtId="168" xfId="0" applyAlignment="1" applyFont="1" applyNumberFormat="1">
      <alignment horizontal="left" readingOrder="0"/>
    </xf>
    <xf borderId="0" fillId="0" fontId="7" numFmtId="168" xfId="0" applyAlignment="1" applyFont="1" applyNumberFormat="1">
      <alignment horizontal="left"/>
    </xf>
    <xf borderId="0" fillId="0" fontId="7" numFmtId="167" xfId="0" applyAlignment="1" applyFont="1" applyNumberFormat="1">
      <alignment horizontal="left"/>
    </xf>
    <xf borderId="0" fillId="5" fontId="16" numFmtId="167" xfId="0" applyAlignment="1" applyFont="1" applyNumberFormat="1">
      <alignment horizontal="left" readingOrder="0"/>
    </xf>
    <xf borderId="0" fillId="0" fontId="27" numFmtId="164" xfId="0" applyAlignment="1" applyFont="1" applyNumberFormat="1">
      <alignment horizontal="left" readingOrder="0"/>
    </xf>
    <xf borderId="0" fillId="0" fontId="27" numFmtId="49" xfId="0" applyAlignment="1" applyFont="1" applyNumberFormat="1">
      <alignment horizontal="left" readingOrder="0"/>
    </xf>
    <xf borderId="0" fillId="0" fontId="13" numFmtId="169" xfId="0" applyAlignment="1" applyFont="1" applyNumberFormat="1">
      <alignment horizontal="left" readingOrder="0"/>
    </xf>
    <xf borderId="0" fillId="0" fontId="46" numFmtId="167" xfId="0" applyAlignment="1" applyFont="1" applyNumberFormat="1">
      <alignment horizontal="left" vertical="bottom"/>
    </xf>
    <xf borderId="0" fillId="0" fontId="65" numFmtId="0" xfId="0" applyAlignment="1" applyFont="1">
      <alignment readingOrder="0" shrinkToFit="0" wrapText="0"/>
    </xf>
    <xf borderId="0" fillId="0" fontId="93" numFmtId="0" xfId="0" applyAlignment="1" applyFont="1">
      <alignment readingOrder="0"/>
    </xf>
    <xf borderId="0" fillId="0" fontId="73" numFmtId="0" xfId="0" applyAlignment="1" applyFont="1">
      <alignment readingOrder="0"/>
    </xf>
    <xf borderId="0" fillId="0" fontId="65" numFmtId="0" xfId="0" applyAlignment="1" applyFont="1">
      <alignment readingOrder="0" shrinkToFit="0" wrapText="0"/>
    </xf>
    <xf borderId="0" fillId="0" fontId="46" numFmtId="167" xfId="0" applyAlignment="1" applyFont="1" applyNumberFormat="1">
      <alignment vertical="bottom"/>
    </xf>
    <xf borderId="0" fillId="0" fontId="95" numFmtId="0" xfId="0" applyAlignment="1" applyFont="1">
      <alignment readingOrder="0"/>
    </xf>
    <xf borderId="0" fillId="0" fontId="40" numFmtId="0" xfId="0" applyAlignment="1" applyFont="1">
      <alignment readingOrder="0"/>
    </xf>
    <xf borderId="0" fillId="0" fontId="87" numFmtId="0" xfId="0" applyAlignment="1" applyFont="1">
      <alignment readingOrder="0"/>
    </xf>
    <xf borderId="0" fillId="0" fontId="129" numFmtId="0" xfId="0" applyAlignment="1" applyFont="1">
      <alignment horizontal="left" readingOrder="0" shrinkToFit="0" wrapText="0"/>
    </xf>
    <xf borderId="0" fillId="0" fontId="70" numFmtId="0" xfId="0" applyAlignment="1" applyFont="1">
      <alignment readingOrder="0" vertical="bottom"/>
    </xf>
    <xf borderId="0" fillId="0" fontId="130" numFmtId="0" xfId="0" applyAlignment="1" applyFont="1">
      <alignment shrinkToFit="0" vertical="bottom" wrapText="0"/>
    </xf>
    <xf borderId="0" fillId="0" fontId="70" numFmtId="0" xfId="0" applyAlignment="1" applyFont="1">
      <alignment horizontal="left" readingOrder="0" vertical="bottom"/>
    </xf>
    <xf borderId="2" fillId="0" fontId="46" numFmtId="0" xfId="0" applyAlignment="1" applyBorder="1" applyFont="1">
      <alignment readingOrder="0" vertical="bottom"/>
    </xf>
    <xf borderId="2" fillId="0" fontId="131" numFmtId="0" xfId="0" applyAlignment="1" applyBorder="1" applyFont="1">
      <alignment shrinkToFit="0" vertical="bottom" wrapText="0"/>
    </xf>
    <xf borderId="0" fillId="0" fontId="132" numFmtId="0" xfId="0" applyAlignment="1" applyFont="1">
      <alignment shrinkToFit="0" vertical="bottom" wrapText="0"/>
    </xf>
    <xf borderId="0" fillId="0" fontId="99" numFmtId="0" xfId="0" applyAlignment="1" applyFont="1">
      <alignment readingOrder="0" shrinkToFit="0" wrapText="0"/>
    </xf>
    <xf borderId="0" fillId="0" fontId="33" numFmtId="167" xfId="0" applyAlignment="1" applyFont="1" applyNumberFormat="1">
      <alignment horizontal="left" readingOrder="0"/>
    </xf>
    <xf borderId="0" fillId="0" fontId="13" numFmtId="166" xfId="0" applyAlignment="1" applyFont="1" applyNumberFormat="1">
      <alignment horizontal="left" readingOrder="0"/>
    </xf>
    <xf borderId="0" fillId="0" fontId="31" numFmtId="0" xfId="0" applyAlignment="1" applyFont="1">
      <alignment horizontal="left" readingOrder="0"/>
    </xf>
    <xf borderId="1" fillId="0" fontId="5" numFmtId="49" xfId="0" applyAlignment="1" applyBorder="1" applyFont="1" applyNumberFormat="1">
      <alignment horizontal="left" readingOrder="0" shrinkToFit="0" wrapText="1"/>
    </xf>
    <xf borderId="1" fillId="2" fontId="133" numFmtId="0" xfId="0" applyAlignment="1" applyBorder="1" applyFont="1">
      <alignment horizontal="left" shrinkToFit="0" wrapText="1"/>
    </xf>
    <xf borderId="0" fillId="0" fontId="134" numFmtId="0" xfId="0" applyAlignment="1" applyFont="1">
      <alignment readingOrder="0" shrinkToFit="0" wrapText="0"/>
    </xf>
    <xf borderId="0" fillId="0" fontId="135" numFmtId="0" xfId="0" applyAlignment="1" applyFont="1">
      <alignment readingOrder="0"/>
    </xf>
    <xf borderId="0" fillId="0" fontId="7" numFmtId="0" xfId="0" applyAlignment="1" applyFont="1">
      <alignment readingOrder="0" shrinkToFit="0" wrapText="0"/>
    </xf>
    <xf borderId="0" fillId="0" fontId="27" numFmtId="0" xfId="0" applyAlignment="1" applyFont="1">
      <alignment readingOrder="0"/>
    </xf>
    <xf borderId="0" fillId="0" fontId="27" numFmtId="0" xfId="0" applyAlignment="1" applyFont="1">
      <alignment readingOrder="0" shrinkToFit="0" wrapText="0"/>
    </xf>
    <xf borderId="0" fillId="0" fontId="46" numFmtId="0" xfId="0" applyFont="1"/>
    <xf borderId="0" fillId="0" fontId="1" numFmtId="0" xfId="0" applyAlignment="1" applyFont="1">
      <alignment horizontal="left" readingOrder="0" shrinkToFit="0" vertical="center" wrapText="1"/>
    </xf>
    <xf borderId="0" fillId="0" fontId="5" numFmtId="0" xfId="0" applyAlignment="1" applyFont="1">
      <alignment horizontal="left" readingOrder="0"/>
    </xf>
    <xf borderId="3" fillId="0" fontId="46" numFmtId="0" xfId="0" applyAlignment="1" applyBorder="1" applyFont="1">
      <alignment vertical="bottom"/>
    </xf>
    <xf borderId="0" fillId="0" fontId="5" numFmtId="0" xfId="0" applyAlignment="1" applyFont="1">
      <alignment horizontal="left" readingOrder="0" shrinkToFit="0" wrapText="1"/>
    </xf>
    <xf borderId="4" fillId="6" fontId="136" numFmtId="0" xfId="0" applyAlignment="1" applyBorder="1" applyFont="1">
      <alignment vertical="bottom"/>
    </xf>
    <xf borderId="0" fillId="5" fontId="46" numFmtId="164" xfId="0" applyAlignment="1" applyFont="1" applyNumberFormat="1">
      <alignment vertical="bottom"/>
    </xf>
    <xf borderId="0" fillId="5" fontId="137" numFmtId="164" xfId="0" applyAlignment="1" applyFont="1" applyNumberFormat="1">
      <alignment vertical="bottom"/>
    </xf>
    <xf borderId="0" fillId="10" fontId="138" numFmtId="164" xfId="0" applyAlignment="1" applyFill="1" applyFont="1" applyNumberFormat="1">
      <alignment vertical="bottom"/>
    </xf>
    <xf borderId="0" fillId="5" fontId="68" numFmtId="164" xfId="0" applyAlignment="1" applyFont="1" applyNumberFormat="1">
      <alignment vertical="bottom"/>
    </xf>
    <xf borderId="0" fillId="5" fontId="138" numFmtId="164" xfId="0" applyAlignment="1" applyFont="1" applyNumberFormat="1">
      <alignment vertical="bottom"/>
    </xf>
    <xf borderId="0" fillId="11" fontId="68" numFmtId="164" xfId="0" applyAlignment="1" applyFill="1" applyFont="1" applyNumberFormat="1">
      <alignment vertical="bottom"/>
    </xf>
    <xf borderId="0" fillId="11" fontId="139" numFmtId="0" xfId="0" applyAlignment="1" applyFont="1">
      <alignment readingOrder="0"/>
    </xf>
    <xf borderId="0" fillId="12" fontId="97" numFmtId="164" xfId="0" applyAlignment="1" applyFill="1" applyFont="1" applyNumberFormat="1">
      <alignment vertical="bottom"/>
    </xf>
    <xf borderId="0" fillId="5" fontId="70" numFmtId="164" xfId="0" applyAlignment="1" applyFont="1" applyNumberFormat="1">
      <alignment vertical="bottom"/>
    </xf>
    <xf borderId="0" fillId="5" fontId="140" numFmtId="0" xfId="0" applyAlignment="1" applyFont="1">
      <alignment readingOrder="0"/>
    </xf>
    <xf borderId="0" fillId="5" fontId="141" numFmtId="164" xfId="0" applyAlignment="1" applyFont="1" applyNumberFormat="1">
      <alignment vertical="bottom"/>
    </xf>
    <xf borderId="0" fillId="5" fontId="142" numFmtId="164" xfId="0" applyAlignment="1" applyFont="1" applyNumberFormat="1">
      <alignment vertical="bottom"/>
    </xf>
    <xf borderId="0" fillId="5" fontId="143" numFmtId="164" xfId="0" applyAlignment="1" applyFont="1" applyNumberFormat="1">
      <alignment vertical="bottom"/>
    </xf>
    <xf borderId="0" fillId="0" fontId="144" numFmtId="167" xfId="0" applyAlignment="1" applyFont="1" applyNumberFormat="1">
      <alignment vertical="bottom"/>
    </xf>
    <xf borderId="0" fillId="5" fontId="138" numFmtId="167" xfId="0" applyAlignment="1" applyFont="1" applyNumberFormat="1">
      <alignment vertical="bottom"/>
    </xf>
    <xf borderId="0" fillId="5" fontId="70" numFmtId="167" xfId="0" applyAlignment="1" applyFont="1" applyNumberFormat="1">
      <alignment vertical="bottom"/>
    </xf>
    <xf borderId="0" fillId="5" fontId="145" numFmtId="167" xfId="0" applyAlignment="1" applyFont="1" applyNumberFormat="1">
      <alignment vertical="bottom"/>
    </xf>
    <xf borderId="0" fillId="10" fontId="138" numFmtId="167" xfId="0" applyAlignment="1" applyFont="1" applyNumberFormat="1">
      <alignment vertical="bottom"/>
    </xf>
    <xf borderId="0" fillId="10" fontId="146" numFmtId="0" xfId="0" applyAlignment="1" applyFont="1">
      <alignment readingOrder="0"/>
    </xf>
    <xf borderId="0" fillId="5" fontId="147" numFmtId="167" xfId="0" applyAlignment="1" applyFont="1" applyNumberFormat="1">
      <alignment vertical="bottom"/>
    </xf>
    <xf borderId="0" fillId="5" fontId="97" numFmtId="167" xfId="0" applyAlignment="1" applyFont="1" applyNumberFormat="1">
      <alignment vertical="bottom"/>
    </xf>
    <xf borderId="0" fillId="0" fontId="46" numFmtId="164" xfId="0" applyAlignment="1" applyFont="1" applyNumberFormat="1">
      <alignment vertical="bottom"/>
    </xf>
    <xf borderId="0" fillId="0" fontId="148" numFmtId="0" xfId="0" applyAlignment="1" applyFont="1">
      <alignment readingOrder="0"/>
    </xf>
    <xf borderId="0" fillId="5" fontId="149" numFmtId="0" xfId="0" applyAlignment="1" applyFont="1">
      <alignment readingOrder="0"/>
    </xf>
    <xf borderId="0" fillId="0" fontId="5" numFmtId="0" xfId="0" applyAlignment="1" applyFont="1">
      <alignment readingOrder="0"/>
    </xf>
    <xf borderId="0" fillId="0" fontId="150" numFmtId="0" xfId="0" applyAlignment="1" applyFont="1">
      <alignment readingOrder="0"/>
    </xf>
    <xf borderId="0" fillId="0" fontId="7" numFmtId="0" xfId="0" applyAlignment="1" applyFont="1">
      <alignment readingOrder="0"/>
    </xf>
    <xf borderId="0" fillId="0" fontId="150" numFmtId="0" xfId="0" applyAlignment="1" applyFont="1">
      <alignment horizontal="left" readingOrder="0"/>
    </xf>
    <xf borderId="0" fillId="5" fontId="5" numFmtId="0" xfId="0" applyAlignment="1" applyFont="1">
      <alignment readingOrder="0"/>
    </xf>
    <xf borderId="0" fillId="5" fontId="151" numFmtId="0" xfId="0" applyAlignment="1" applyFont="1">
      <alignment readingOrder="0"/>
    </xf>
    <xf borderId="0" fillId="0" fontId="5" numFmtId="0" xfId="0" applyFont="1"/>
    <xf borderId="0" fillId="0" fontId="7" numFmtId="0" xfId="0" applyAlignment="1" applyFont="1">
      <alignment readingOrder="0" shrinkToFit="0" wrapText="1"/>
    </xf>
    <xf borderId="0" fillId="0" fontId="152" numFmtId="0" xfId="0" applyAlignment="1" applyFont="1">
      <alignment readingOrder="0"/>
    </xf>
  </cellXfs>
  <cellStyles count="1">
    <cellStyle xfId="0" name="Normal" builtinId="0"/>
  </cellStyles>
  <dxfs count="5">
    <dxf>
      <font>
        <color rgb="FFFFFFFF"/>
      </font>
      <fill>
        <patternFill patternType="solid">
          <fgColor rgb="FF00A651"/>
          <bgColor rgb="FF00A651"/>
        </patternFill>
      </fill>
      <border/>
    </dxf>
    <dxf>
      <font>
        <color rgb="FF000000"/>
      </font>
      <fill>
        <patternFill patternType="solid">
          <fgColor rgb="FFFFF000"/>
          <bgColor rgb="FFFFF000"/>
        </patternFill>
      </fill>
      <border/>
    </dxf>
    <dxf>
      <font>
        <color rgb="FFFFFFFF"/>
      </font>
      <fill>
        <patternFill patternType="solid">
          <fgColor rgb="FF00AEEF"/>
          <bgColor rgb="FF00AEEF"/>
        </patternFill>
      </fill>
      <border/>
    </dxf>
    <dxf>
      <font/>
      <fill>
        <patternFill patternType="solid">
          <fgColor rgb="FFFFF000"/>
          <bgColor rgb="FFFFF000"/>
        </patternFill>
      </fill>
      <border/>
    </dxf>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10</xdr:row>
      <xdr:rowOff>0</xdr:rowOff>
    </xdr:from>
    <xdr:ext cx="3438525" cy="3419475"/>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92" Type="http://schemas.openxmlformats.org/officeDocument/2006/relationships/hyperlink" Target="https://www.justice.gov/usao-cdil/pr/indiana-man-sentenced-66-years-prison-child-sexual-exploitation-travel-illinois-engage" TargetMode="External"/><Relationship Id="rId391" Type="http://schemas.openxmlformats.org/officeDocument/2006/relationships/hyperlink" Target="http://www.crimevoice.com/2017/02/02/3-day-human-trafficking-task-force-operation-reclaim-rebuild-arrests-474-suspects/" TargetMode="External"/><Relationship Id="rId390" Type="http://schemas.openxmlformats.org/officeDocument/2006/relationships/hyperlink" Target="https://govbanknotes.wordpress.com/2017/08/05/massive-us-sex-trafficking-bust-ensnares-over-1000-including-law-enforcement-and-clergy/" TargetMode="External"/><Relationship Id="rId2180" Type="http://schemas.openxmlformats.org/officeDocument/2006/relationships/hyperlink" Target="https://www.cbp.gov/newsroom/national-media-release/daca-recipient-arrested-alien-smuggling" TargetMode="External"/><Relationship Id="rId2181" Type="http://schemas.openxmlformats.org/officeDocument/2006/relationships/hyperlink" Target="https://www.justice.gov/usao-sdny/pr/manhattan-man-arrested-child-pornography-enticing-minor-have-sex" TargetMode="External"/><Relationship Id="rId2182" Type="http://schemas.openxmlformats.org/officeDocument/2006/relationships/hyperlink" Target="http://www.dailymail.co.uk/news/article-5890179/Anti-child-abuse-advocate-arrested-trying-sex-kids.html" TargetMode="External"/><Relationship Id="rId2183" Type="http://schemas.openxmlformats.org/officeDocument/2006/relationships/hyperlink" Target="https://www.courtlistener.com/docket/7934385/united-states-v-davis/" TargetMode="External"/><Relationship Id="rId385" Type="http://schemas.openxmlformats.org/officeDocument/2006/relationships/hyperlink" Target="https://www.justice.gov/usao-mn/pr/federal-jury-finds-ironton-man-guilty-distribution-receipt-and-possession-child" TargetMode="External"/><Relationship Id="rId2184" Type="http://schemas.openxmlformats.org/officeDocument/2006/relationships/hyperlink" Target="https://www.kget.com/news/local-news/bakersfield-man-arrested-for-smuggling-2-immigrants-illegally/1266572640" TargetMode="External"/><Relationship Id="rId384" Type="http://schemas.openxmlformats.org/officeDocument/2006/relationships/hyperlink" Target="https://www.justice.gov/usao-sdin/pr/plainfield-man-sentenced-35-years-sexual-exploitation-child" TargetMode="External"/><Relationship Id="rId2185" Type="http://schemas.openxmlformats.org/officeDocument/2006/relationships/hyperlink" Target="http://www.knopnews2.com/content/news/Mitchell-man-arrested-in-Human-Trafficking-Task-Force-operation-486721181.html" TargetMode="External"/><Relationship Id="rId383" Type="http://schemas.openxmlformats.org/officeDocument/2006/relationships/hyperlink" Target="http://www.startribune.com/brooklyn-park-man-charged-with-forcing-15-year-old-girl-to-have-sex-with-10-to-15-men/485866621/" TargetMode="External"/><Relationship Id="rId2186" Type="http://schemas.openxmlformats.org/officeDocument/2006/relationships/hyperlink" Target="https://www.newsleader.com/story/news/local/2018/06/27/staunton-man-facing-molestation-prostitution-charges/737518002/" TargetMode="External"/><Relationship Id="rId382" Type="http://schemas.openxmlformats.org/officeDocument/2006/relationships/hyperlink" Target="https://www.dcourier.com/news/2018/jun/09/former-police-officer-facing-child-prostitution-ch/" TargetMode="External"/><Relationship Id="rId2187" Type="http://schemas.openxmlformats.org/officeDocument/2006/relationships/hyperlink" Target="http://archive.fo/IZwPD" TargetMode="External"/><Relationship Id="rId389" Type="http://schemas.openxmlformats.org/officeDocument/2006/relationships/hyperlink" Target="https://www.cbp.gov/newsroom/local-media-release/woman-arrested-smuggling-man-trunk" TargetMode="External"/><Relationship Id="rId2188" Type="http://schemas.openxmlformats.org/officeDocument/2006/relationships/hyperlink" Target="https://www.justice.gov/usao-wdny/pr/long-island-man-going-prison-child-pornography-charge" TargetMode="External"/><Relationship Id="rId388" Type="http://schemas.openxmlformats.org/officeDocument/2006/relationships/hyperlink" Target="https://archive.fo/6AjaF" TargetMode="External"/><Relationship Id="rId2189" Type="http://schemas.openxmlformats.org/officeDocument/2006/relationships/hyperlink" Target="http://www.oc-breeze.com/2018/06/27/123400_man-charged-with-pimping-pandering-two-women-while-out-on-bail/" TargetMode="External"/><Relationship Id="rId387" Type="http://schemas.openxmlformats.org/officeDocument/2006/relationships/hyperlink" Target="https://archive.fo/DOZJe" TargetMode="External"/><Relationship Id="rId386" Type="http://schemas.openxmlformats.org/officeDocument/2006/relationships/hyperlink" Target="https://www.brainerddispatch.com/news/crime-and-courts/4435368-ironton-man-found-guilty-child-pornography-charges" TargetMode="External"/><Relationship Id="rId381" Type="http://schemas.openxmlformats.org/officeDocument/2006/relationships/hyperlink" Target="https://www.justice.gov/usao-ndny/pr/albany-man-pleads-guilty-producing-child-pornography" TargetMode="External"/><Relationship Id="rId380" Type="http://schemas.openxmlformats.org/officeDocument/2006/relationships/hyperlink" Target="https://archive.vn/DklPu" TargetMode="External"/><Relationship Id="rId379" Type="http://schemas.openxmlformats.org/officeDocument/2006/relationships/hyperlink" Target="https://www.10news.com/news/local-news/san-diego-man-sentenced-for-sex-with-minors-child-porn-offenses" TargetMode="External"/><Relationship Id="rId2170" Type="http://schemas.openxmlformats.org/officeDocument/2006/relationships/hyperlink" Target="https://www.courtlistener.com/docket/7220663/united-states-v-hallock/" TargetMode="External"/><Relationship Id="rId2171" Type="http://schemas.openxmlformats.org/officeDocument/2006/relationships/hyperlink" Target="https://www.justice.gov/usao-vt/pr/six-individuals-charged-cross-border-human-smuggling-event" TargetMode="External"/><Relationship Id="rId2172" Type="http://schemas.openxmlformats.org/officeDocument/2006/relationships/hyperlink" Target="https://www.courtlistener.com/docket/7308770/united-states-v-balcazar-correa/" TargetMode="External"/><Relationship Id="rId374" Type="http://schemas.openxmlformats.org/officeDocument/2006/relationships/hyperlink" Target="https://www.justice.gov/usao-nm/pr/albuquerque-man-pleads-guilty-child-sexual-abuse-and-child-pornography-charges" TargetMode="External"/><Relationship Id="rId2173" Type="http://schemas.openxmlformats.org/officeDocument/2006/relationships/hyperlink" Target="https://www.cbp.gov/newsroom/local-media-release/laredo-sector-border-patrol-agents-discover-illegal-aliens-concealed" TargetMode="External"/><Relationship Id="rId373" Type="http://schemas.openxmlformats.org/officeDocument/2006/relationships/hyperlink" Target="https://napavalleyregister.com/news/local/napa-police-make-arrests-related-to-child-pornography/article_9f8398c4-4395-519a-b667-0f7731e74512.html" TargetMode="External"/><Relationship Id="rId2174" Type="http://schemas.openxmlformats.org/officeDocument/2006/relationships/hyperlink" Target="https://www.justice.gov/usao-sdtx/pr/former-teacher-gets-10-years-two-child-pornography-related-convictions" TargetMode="External"/><Relationship Id="rId372" Type="http://schemas.openxmlformats.org/officeDocument/2006/relationships/hyperlink" Target="https://www.justice.gov/usao-sc/pr/federal-grand-jury-indictments-50" TargetMode="External"/><Relationship Id="rId2175" Type="http://schemas.openxmlformats.org/officeDocument/2006/relationships/hyperlink" Target="https://www.justice.gov/usao-ndny/pr/mexican-citizen-admits-transportation-illegal-aliens" TargetMode="External"/><Relationship Id="rId371" Type="http://schemas.openxmlformats.org/officeDocument/2006/relationships/hyperlink" Target="https://www.justice.gov/usao-sc/pr/greenville-man-pleads-guilty-child-porn-charges-1" TargetMode="External"/><Relationship Id="rId2176" Type="http://schemas.openxmlformats.org/officeDocument/2006/relationships/hyperlink" Target="https://www.courtlistener.com/docket/8400059/united-states-v-olguin-mercado/" TargetMode="External"/><Relationship Id="rId378" Type="http://schemas.openxmlformats.org/officeDocument/2006/relationships/hyperlink" Target="https://www.justice.gov/usao-sdca/pr/san-diego-man-sentenced-25-years-federal-prison-child-pornography-offenses" TargetMode="External"/><Relationship Id="rId2177" Type="http://schemas.openxmlformats.org/officeDocument/2006/relationships/hyperlink" Target="https://www.cbp.gov/newsroom/local-media-release/child-smuggler-arrested-rio-grande-valley" TargetMode="External"/><Relationship Id="rId377" Type="http://schemas.openxmlformats.org/officeDocument/2006/relationships/hyperlink" Target="http://dublinohiousa.gov/newsroom/former-dublin-teacher-arrested-on-federal-child-pornography-charges/" TargetMode="External"/><Relationship Id="rId2178" Type="http://schemas.openxmlformats.org/officeDocument/2006/relationships/hyperlink" Target="https://www.breitbart.com/texas/2018/06/26/7-year-old-unaccompanied-migrant-found-with-smuggler-in-texas-80-miles-from-border/" TargetMode="External"/><Relationship Id="rId376" Type="http://schemas.openxmlformats.org/officeDocument/2006/relationships/hyperlink" Target="https://www.justice.gov/usao-sdtx/pr/kingwood-resident-gets-35-years-sexual-exploitation-child" TargetMode="External"/><Relationship Id="rId2179" Type="http://schemas.openxmlformats.org/officeDocument/2006/relationships/hyperlink" Target="http://rockrivertimes.com/2018/06/27/police-nab-4-men-in-undercover-sex-sting/" TargetMode="External"/><Relationship Id="rId375" Type="http://schemas.openxmlformats.org/officeDocument/2006/relationships/hyperlink" Target="https://www.cbp.gov/newsroom/local-media-release/laredo-sector-border-patrol-assists-rescue-44-illegal-aliens-trailer" TargetMode="External"/><Relationship Id="rId2190" Type="http://schemas.openxmlformats.org/officeDocument/2006/relationships/hyperlink" Target="http://www.wcax.com/content/news/Vermont-EMT-charged-with-sex-assault-human-trafficking-486741891.html" TargetMode="External"/><Relationship Id="rId2191" Type="http://schemas.openxmlformats.org/officeDocument/2006/relationships/hyperlink" Target="http://firststateupdate.com/2018/06/seven-arrested-in-alban-park-prostitution-sting/" TargetMode="External"/><Relationship Id="rId2192" Type="http://schemas.openxmlformats.org/officeDocument/2006/relationships/hyperlink" Target="https://www.cbp.gov/newsroom/local-media-release/laredo-sector-border-patrol-agents-discover-illegal-aliens-concealed-0" TargetMode="External"/><Relationship Id="rId2193" Type="http://schemas.openxmlformats.org/officeDocument/2006/relationships/hyperlink" Target="https://www.chron.com/news/article/Former-Brazoria-County-lieutenant-indicted-on-13034701.php" TargetMode="External"/><Relationship Id="rId2194" Type="http://schemas.openxmlformats.org/officeDocument/2006/relationships/hyperlink" Target="http://www.kwch.com/content/news/WPD-12-arrested-in-Broadway--487027631.html" TargetMode="External"/><Relationship Id="rId396" Type="http://schemas.openxmlformats.org/officeDocument/2006/relationships/hyperlink" Target="https://www.justice.gov/usao-edpa/pr/three-convicted-trial-sex-trafficking-minors-and-others" TargetMode="External"/><Relationship Id="rId2195" Type="http://schemas.openxmlformats.org/officeDocument/2006/relationships/hyperlink" Target="http://wpdh.com/hudson-valley-prostitution-sting-leads-to-7-arrests/" TargetMode="External"/><Relationship Id="rId395" Type="http://schemas.openxmlformats.org/officeDocument/2006/relationships/hyperlink" Target="https://www.courtlistener.com/docket/7308943/united-states-v-seeger/" TargetMode="External"/><Relationship Id="rId2196" Type="http://schemas.openxmlformats.org/officeDocument/2006/relationships/hyperlink" Target="http://www.mysuncoast.com/news/five-men-arrested-in-prostitution-operation-along-north-tamiami-trail/article_1f31edf6-7e30-11e8-9f7b-837a2d5bad10.html" TargetMode="External"/><Relationship Id="rId394" Type="http://schemas.openxmlformats.org/officeDocument/2006/relationships/hyperlink" Target="https://www.justice.gov/usao-ndin/pr/lafayette-man-sentenced-78-months-prison-0" TargetMode="External"/><Relationship Id="rId2197" Type="http://schemas.openxmlformats.org/officeDocument/2006/relationships/hyperlink" Target="https://www.justice.gov/usao-wdmo/pr/springfield-man-sentenced-20-years-sexual-exploitation-child-0" TargetMode="External"/><Relationship Id="rId393" Type="http://schemas.openxmlformats.org/officeDocument/2006/relationships/hyperlink" Target="http://www.fox5dc.com/news/local-news/hiv-positive-charles-county-sex-assault-suspect-had-additional-involvement-with-youth-police-say" TargetMode="External"/><Relationship Id="rId2198" Type="http://schemas.openxmlformats.org/officeDocument/2006/relationships/hyperlink" Target="http://www.courant.com/news/connecticut/hc-windsor-human-trafficking-0828-story.html" TargetMode="External"/><Relationship Id="rId2199" Type="http://schemas.openxmlformats.org/officeDocument/2006/relationships/hyperlink" Target="https://www.justice.gov/usao-sdia/pr/former-des-moines-resident-sentenced-40-years-prison-child-pornography-offenses" TargetMode="External"/><Relationship Id="rId399" Type="http://schemas.openxmlformats.org/officeDocument/2006/relationships/hyperlink" Target="https://kvoa.com/news/local-news/2019/05/08/tucsonan-gets-90-years-in-prison-for-producing-distributing-child-porn/" TargetMode="External"/><Relationship Id="rId398" Type="http://schemas.openxmlformats.org/officeDocument/2006/relationships/hyperlink" Target="https://www.ice.gov/news/releases/tucson-man-sentenced-90-years-prison-production-and-distribution-child-pornography" TargetMode="External"/><Relationship Id="rId397" Type="http://schemas.openxmlformats.org/officeDocument/2006/relationships/hyperlink" Target="https://www.courtlistener.com/?q=&amp;type=r&amp;order_by=score+desc&amp;docket_number=2%3A18-cr-00193&amp;court=paed" TargetMode="External"/><Relationship Id="rId1730" Type="http://schemas.openxmlformats.org/officeDocument/2006/relationships/hyperlink" Target="https://archive.vn/wip/PVMok" TargetMode="External"/><Relationship Id="rId1731" Type="http://schemas.openxmlformats.org/officeDocument/2006/relationships/hyperlink" Target="https://www.cbp.gov/newsroom/local-media-release/car-chase-ends-seven-arrested-smuggling-attempt" TargetMode="External"/><Relationship Id="rId1732" Type="http://schemas.openxmlformats.org/officeDocument/2006/relationships/hyperlink" Target="https://www.justice.gov/usao-mdfl/pr/unf-student-arrested-and-charged-distributing-child-sex-abuse-videos-over-internet" TargetMode="External"/><Relationship Id="rId1733" Type="http://schemas.openxmlformats.org/officeDocument/2006/relationships/hyperlink" Target="https://www.courtlistener.com/docket/6440798/united-states-v-stagnitta/" TargetMode="External"/><Relationship Id="rId1734" Type="http://schemas.openxmlformats.org/officeDocument/2006/relationships/hyperlink" Target="http://www.newsherald.com/news/20180509/bay-county-man-arrested-for-sex-trafficking" TargetMode="External"/><Relationship Id="rId1735" Type="http://schemas.openxmlformats.org/officeDocument/2006/relationships/hyperlink" Target="https://www.justice.gov/usao-wdny/pr/former-rochester-resident-pleads-guilty-producing-child-pornography" TargetMode="External"/><Relationship Id="rId1736" Type="http://schemas.openxmlformats.org/officeDocument/2006/relationships/hyperlink" Target="https://nydailyrecord.com/2018/05/18/former-rochester-man-charged-with-child-pornography/" TargetMode="External"/><Relationship Id="rId1737" Type="http://schemas.openxmlformats.org/officeDocument/2006/relationships/hyperlink" Target="https://archive.vn/K76SA" TargetMode="External"/><Relationship Id="rId1738" Type="http://schemas.openxmlformats.org/officeDocument/2006/relationships/hyperlink" Target="https://www.justice.gov/usao-sdca/pr/vista-man-sentenced-more-17-years-prison-child-pornography-offenses" TargetMode="External"/><Relationship Id="rId1739" Type="http://schemas.openxmlformats.org/officeDocument/2006/relationships/hyperlink" Target="http://www.polksheriff.org/news-investigations/polk-county-news/2018/06/05/undercover-child-pornography-investigation-operations-guardians-of-innocence-ii-results-in-11-arrests" TargetMode="External"/><Relationship Id="rId1720" Type="http://schemas.openxmlformats.org/officeDocument/2006/relationships/hyperlink" Target="https://www.justice.gov/usao-ne/pr/grand-island-man-convicted-receipt-child-pornography-0" TargetMode="External"/><Relationship Id="rId1721" Type="http://schemas.openxmlformats.org/officeDocument/2006/relationships/hyperlink" Target="https://www.justice.gov/usao-ndny/pr/saratoga-springs-man-arrested-receipt-child-pornography" TargetMode="External"/><Relationship Id="rId1722" Type="http://schemas.openxmlformats.org/officeDocument/2006/relationships/hyperlink" Target="https://www.justice.gov/usao-wdny/pr/indiana-man-sentenced-10-years-prison-child-pornography-charge" TargetMode="External"/><Relationship Id="rId1723" Type="http://schemas.openxmlformats.org/officeDocument/2006/relationships/hyperlink" Target="https://www.justice.gov/usao-de/pr/wilmington-man-receives-210-month-prison-sentence-possessing-child-pornography" TargetMode="External"/><Relationship Id="rId1724" Type="http://schemas.openxmlformats.org/officeDocument/2006/relationships/hyperlink" Target="https://www.justice.gov/usao-mdpa/pr/manchester-man-indicted-impersonating-deputy-us-marshal-order-commit-child-exploitation" TargetMode="External"/><Relationship Id="rId1725" Type="http://schemas.openxmlformats.org/officeDocument/2006/relationships/hyperlink" Target="https://fox43.com/2018/11/06/man-accused-of-posing-as-u-s-marshal-to-get-teen-to-perform-sex-acts-with-him-indicted-on-federal-charges/" TargetMode="External"/><Relationship Id="rId1726" Type="http://schemas.openxmlformats.org/officeDocument/2006/relationships/hyperlink" Target="https://www.justice.gov/usao-ri/pr/warren-man-arraigned-attempted-enticement-child-pornography-charges" TargetMode="External"/><Relationship Id="rId1727" Type="http://schemas.openxmlformats.org/officeDocument/2006/relationships/hyperlink" Target="https://www.petoskeynews.com/news/crime/gaylord-doctor-arrested-on-soliciting-prostitution-narcotic-charges/article_860cd74a-a34d-58d6-b623-0410d82314c4.html" TargetMode="External"/><Relationship Id="rId1728" Type="http://schemas.openxmlformats.org/officeDocument/2006/relationships/hyperlink" Target="https://www.justice.gov/usao-ndny/pr/oswego-county-man-pleads-guilty-child-pornography-offenses" TargetMode="External"/><Relationship Id="rId1729" Type="http://schemas.openxmlformats.org/officeDocument/2006/relationships/hyperlink" Target="https://www.syracuse.com/crime/2018/04/police_oswego_county_man_arrested_for_having_child_porn.html" TargetMode="External"/><Relationship Id="rId1752" Type="http://schemas.openxmlformats.org/officeDocument/2006/relationships/hyperlink" Target="https://www.justice.gov/usao-ndok/pr/two-men-plead-guilty-child-pornography-offenses" TargetMode="External"/><Relationship Id="rId1753" Type="http://schemas.openxmlformats.org/officeDocument/2006/relationships/hyperlink" Target="https://www.courtlistener.com/docket/13418637/united-states-v-townsend/" TargetMode="External"/><Relationship Id="rId1754" Type="http://schemas.openxmlformats.org/officeDocument/2006/relationships/hyperlink" Target="https://www.justice.gov/usao-ndok/pr/two-men-plead-guilty-child-pornography-offenses" TargetMode="External"/><Relationship Id="rId1755" Type="http://schemas.openxmlformats.org/officeDocument/2006/relationships/hyperlink" Target="https://www.courtlistener.com/docket/6381313/united-states-v-arterbury/" TargetMode="External"/><Relationship Id="rId1756" Type="http://schemas.openxmlformats.org/officeDocument/2006/relationships/hyperlink" Target="https://www.justice.gov/usao-wdwa/pr/olympia-washington-man-prior-conviction-possessing-images-child-rape-and-abuse" TargetMode="External"/><Relationship Id="rId1757" Type="http://schemas.openxmlformats.org/officeDocument/2006/relationships/hyperlink" Target="https://www.courtlistener.com/docket/7299287/united-states-v-delateur/" TargetMode="External"/><Relationship Id="rId1758" Type="http://schemas.openxmlformats.org/officeDocument/2006/relationships/hyperlink" Target="https://www.courtlistener.com/docket/6978420/united-states-v-steiskal-andrew/" TargetMode="External"/><Relationship Id="rId1759" Type="http://schemas.openxmlformats.org/officeDocument/2006/relationships/hyperlink" Target="https://www.courtlistener.com/docket/6887326/united-states-v-diaz/" TargetMode="External"/><Relationship Id="rId1750" Type="http://schemas.openxmlformats.org/officeDocument/2006/relationships/hyperlink" Target="https://www.justice.gov/usao-mdnc/pr/man-sentenced-after-being-caught-child-pornography-moore-county" TargetMode="External"/><Relationship Id="rId1751" Type="http://schemas.openxmlformats.org/officeDocument/2006/relationships/hyperlink" Target="https://www.courtlistener.com/docket/6443879/united-states-v-smith/" TargetMode="External"/><Relationship Id="rId1741" Type="http://schemas.openxmlformats.org/officeDocument/2006/relationships/hyperlink" Target="http://www.kwtx.com/content/news/Grand-jury-indicts-woman-arrested-in-joint-massage-parlor-raids-485413991.html" TargetMode="External"/><Relationship Id="rId1742" Type="http://schemas.openxmlformats.org/officeDocument/2006/relationships/hyperlink" Target="https://www.justice.gov/usao-edpa/pr/philadelphia-man-sentenced-17-years-manufacturing-child-pornography" TargetMode="External"/><Relationship Id="rId1743" Type="http://schemas.openxmlformats.org/officeDocument/2006/relationships/hyperlink" Target="https://www.courtlistener.com/docket/8055881/united-states-v-walpole/" TargetMode="External"/><Relationship Id="rId1744" Type="http://schemas.openxmlformats.org/officeDocument/2006/relationships/hyperlink" Target="https://www.justice.gov/usao-nm/pr/albuquerque-man-pleads-guilty-federal-production-child-pornography-charges" TargetMode="External"/><Relationship Id="rId1745" Type="http://schemas.openxmlformats.org/officeDocument/2006/relationships/hyperlink" Target="https://www.justice.gov/usao-sdin/pr/former-evansville-physician-sentenced-five-years-federal-prison-possessing-child" TargetMode="External"/><Relationship Id="rId1746" Type="http://schemas.openxmlformats.org/officeDocument/2006/relationships/hyperlink" Target="https://www.14news.com/2019/10/01/former-evansville-doctor-changes-plea-federal-pornography-charge/" TargetMode="External"/><Relationship Id="rId1747" Type="http://schemas.openxmlformats.org/officeDocument/2006/relationships/hyperlink" Target="https://archive.vn/67hyk" TargetMode="External"/><Relationship Id="rId1748" Type="http://schemas.openxmlformats.org/officeDocument/2006/relationships/hyperlink" Target="https://www.justice.gov/usao-mdfl/pr/fort-myers-man-sentenced-twenty-years-receiving-and-possessing-child-pornography" TargetMode="External"/><Relationship Id="rId1749" Type="http://schemas.openxmlformats.org/officeDocument/2006/relationships/hyperlink" Target="https://www.courtlistener.com/docket/6630330/united-states-v-minnick/" TargetMode="External"/><Relationship Id="rId1740" Type="http://schemas.openxmlformats.org/officeDocument/2006/relationships/hyperlink" Target="https://www.dailywire.com/news/31651/atlanta-sex-trafficking-sting-results-hundreds-ryan-saavedra" TargetMode="External"/><Relationship Id="rId1710" Type="http://schemas.openxmlformats.org/officeDocument/2006/relationships/hyperlink" Target="http://wnep.com/2018/04/20/bloomsburg-mayor-arrested-for-attempting-to-solicit-prostitutes/" TargetMode="External"/><Relationship Id="rId1711" Type="http://schemas.openxmlformats.org/officeDocument/2006/relationships/hyperlink" Target="https://www.lmtonline.com/local/crime/article/Man-wanted-for-smuggling-humans-busted-in-Laredo-12850396.php" TargetMode="External"/><Relationship Id="rId1712" Type="http://schemas.openxmlformats.org/officeDocument/2006/relationships/hyperlink" Target="https://www.cbp.gov/newsroom/local-media-release/laredo-sector-border-patrol-agents-rescue-59-illegal-aliens-tractor" TargetMode="External"/><Relationship Id="rId1713" Type="http://schemas.openxmlformats.org/officeDocument/2006/relationships/hyperlink" Target="https://www.cbp.gov/newsroom/local-media-release/agents-foil-smuggling-attempt-arrest-gang-member" TargetMode="External"/><Relationship Id="rId1714" Type="http://schemas.openxmlformats.org/officeDocument/2006/relationships/hyperlink" Target="https://www.mercurynews.com/2018/04/23/human-trafficking-suspects-arrested-near-san-bruno-mall/" TargetMode="External"/><Relationship Id="rId1715" Type="http://schemas.openxmlformats.org/officeDocument/2006/relationships/hyperlink" Target="https://thegoldwater.com/news/23891-Texas-Pediatrician-Arrested-After-Caught-with-Child-Pornography-Stash-in-Office" TargetMode="External"/><Relationship Id="rId1716" Type="http://schemas.openxmlformats.org/officeDocument/2006/relationships/hyperlink" Target="https://www.cbp.gov/newsroom/local-media-release/two-suspects-arrested-alien-smuggling" TargetMode="External"/><Relationship Id="rId1717" Type="http://schemas.openxmlformats.org/officeDocument/2006/relationships/hyperlink" Target="http://www.princewilliamtimes.com/news/two-charged-with-sex-trafficking-in-manassas-area/article_5d8d380a-4d69-11e8-95f1-c38ed2d8de39.html" TargetMode="External"/><Relationship Id="rId1718" Type="http://schemas.openxmlformats.org/officeDocument/2006/relationships/hyperlink" Target="http://www.themonitor.com/news/local/article_3351161e-4e82-11e8-9c91-ef9f49ffcff1.html" TargetMode="External"/><Relationship Id="rId1719" Type="http://schemas.openxmlformats.org/officeDocument/2006/relationships/hyperlink" Target="https://www.justice.gov/usao-ndny/pr/repeat-johnstown-sex-offender-pleads-guilty-child-pornography-charges" TargetMode="External"/><Relationship Id="rId1700" Type="http://schemas.openxmlformats.org/officeDocument/2006/relationships/hyperlink" Target="http://www.scmp.com/news/world/europe/article/2142321/germany-smashes-massive-thai-sex-trafficking-ring-biggest-ever" TargetMode="External"/><Relationship Id="rId1701" Type="http://schemas.openxmlformats.org/officeDocument/2006/relationships/hyperlink" Target="https://www.justice.gov/usao-ri/pr/central-falls-resident-detained-child-pornography-production-possession-charges" TargetMode="External"/><Relationship Id="rId1702" Type="http://schemas.openxmlformats.org/officeDocument/2006/relationships/hyperlink" Target="https://www.courtlistener.com/docket/6785618/united-states-v-cortes/" TargetMode="External"/><Relationship Id="rId1703" Type="http://schemas.openxmlformats.org/officeDocument/2006/relationships/hyperlink" Target="https://www.nbcbayarea.com/news/local/SF-Police-DA-Announce-Arrest-of-Human-Trafficking-Suspect-484910491.html" TargetMode="External"/><Relationship Id="rId1704" Type="http://schemas.openxmlformats.org/officeDocument/2006/relationships/hyperlink" Target="https://www.nbcsandiego.com/news/local/Computer-Thumb-Drives-Could-Yield-New-Evidence-Against-Child-Porn-Suspect-486082511.html" TargetMode="External"/><Relationship Id="rId1705" Type="http://schemas.openxmlformats.org/officeDocument/2006/relationships/hyperlink" Target="https://www.courtlistener.com/docket/6369122/united-states-v-weaks/" TargetMode="External"/><Relationship Id="rId1706" Type="http://schemas.openxmlformats.org/officeDocument/2006/relationships/hyperlink" Target="http://archive.fo/Feijk" TargetMode="External"/><Relationship Id="rId1707" Type="http://schemas.openxmlformats.org/officeDocument/2006/relationships/hyperlink" Target="http://archive.fo/4gazY" TargetMode="External"/><Relationship Id="rId1708" Type="http://schemas.openxmlformats.org/officeDocument/2006/relationships/hyperlink" Target="https://www.justice.gov/usao-edny/pr/founder-nxivm-purported-self-help-organization-and-actor-indicted-sex-trafficking-and" TargetMode="External"/><Relationship Id="rId1709" Type="http://schemas.openxmlformats.org/officeDocument/2006/relationships/hyperlink" Target="https://www.justice.gov/usao-edny/pr/founder-nxivm-purported-self-help-organization-and-actor-indicted-sex-trafficking-and" TargetMode="External"/><Relationship Id="rId40" Type="http://schemas.openxmlformats.org/officeDocument/2006/relationships/hyperlink" Target="http://www.cleveland.com/court-justice/index.ssf/2017/02/fbi_raids_strongsville-based_i.html" TargetMode="External"/><Relationship Id="rId3513" Type="http://schemas.openxmlformats.org/officeDocument/2006/relationships/hyperlink" Target="https://www.courtlistener.com/docket/14684038/united-states-v-loucks/" TargetMode="External"/><Relationship Id="rId4844" Type="http://schemas.openxmlformats.org/officeDocument/2006/relationships/hyperlink" Target="https://www.justice.gov/usao-mdpa/pr/easton-man-charged-attempted-online-enticement-and-sex-trafficking-child" TargetMode="External"/><Relationship Id="rId3512" Type="http://schemas.openxmlformats.org/officeDocument/2006/relationships/hyperlink" Target="https://web.archive.org/web/20190330001412/https://i0.wp.com/www.denverpost.com/wp-content/uploads/2019/03/yb35amvqjvptvn3hhlho.jpg?fit=620%2C9999px&amp;ssl=1/" TargetMode="External"/><Relationship Id="rId4843" Type="http://schemas.openxmlformats.org/officeDocument/2006/relationships/hyperlink" Target="https://www.cbp.gov/newsroom/local-media-release/combined-effort-law-enforcement-agencies-closes-stash-house" TargetMode="External"/><Relationship Id="rId42" Type="http://schemas.openxmlformats.org/officeDocument/2006/relationships/hyperlink" Target="http://www.wdam.com/story/35347668/2-hub-city-residents-charged-with-child-sex-trafficking" TargetMode="External"/><Relationship Id="rId3515" Type="http://schemas.openxmlformats.org/officeDocument/2006/relationships/hyperlink" Target="https://www.courtlistener.com/?q=&amp;type=r&amp;order_by=score+desc&amp;docket_number=5%3A19-mj-00150&amp;court=nynd" TargetMode="External"/><Relationship Id="rId4846" Type="http://schemas.openxmlformats.org/officeDocument/2006/relationships/hyperlink" Target="https://www.justice.gov/usao-ri/pr/registered-sex-offender-faces-10-years-prison-possessing-child-pornography" TargetMode="External"/><Relationship Id="rId41" Type="http://schemas.openxmlformats.org/officeDocument/2006/relationships/hyperlink" Target="https://www.aljazeera.com/news/2017/02/heads-adoption-centre-arrested-trafficking-170221131949243.html" TargetMode="External"/><Relationship Id="rId3514" Type="http://schemas.openxmlformats.org/officeDocument/2006/relationships/hyperlink" Target="https://www.justice.gov/usao-nj/pr/hunterdon-county-new-jersey-man-charged-distributing-images-child-sexual-abuse" TargetMode="External"/><Relationship Id="rId4845" Type="http://schemas.openxmlformats.org/officeDocument/2006/relationships/hyperlink" Target="https://www.cbp.gov/newsroom/local-media-release/another-human-smuggling-attempt-utilizing-belly-dump-trailer" TargetMode="External"/><Relationship Id="rId44" Type="http://schemas.openxmlformats.org/officeDocument/2006/relationships/hyperlink" Target="https://www.justice.gov/usao-me/pr/new-york-man-indicted-sex-trafficking-and-drug-charges" TargetMode="External"/><Relationship Id="rId3517" Type="http://schemas.openxmlformats.org/officeDocument/2006/relationships/hyperlink" Target="https://www.justice.gov/usao-ndoh/pr/pair-mahoning-valley-indicted-sexually-exploiting-minor-0" TargetMode="External"/><Relationship Id="rId4848" Type="http://schemas.openxmlformats.org/officeDocument/2006/relationships/hyperlink" Target="https://www.justice.gov/usao-edca/pr/fresno-man-charged-offenses-involving-sexual-exploitation-minors" TargetMode="External"/><Relationship Id="rId43" Type="http://schemas.openxmlformats.org/officeDocument/2006/relationships/hyperlink" Target="http://pittsburgh.cbslocal.com/2017/10/04/west-allegheny-substitute-teacher-child-porn-charge/" TargetMode="External"/><Relationship Id="rId3516" Type="http://schemas.openxmlformats.org/officeDocument/2006/relationships/hyperlink" Target="https://www.justice.gov/usao-wdny/pr/california-man-arrested-production-child-pornography" TargetMode="External"/><Relationship Id="rId4847" Type="http://schemas.openxmlformats.org/officeDocument/2006/relationships/hyperlink" Target="https://www.cbp.gov/newsroom/local-media-release/duo-s-false-wall-human-smuggling-attempt-foiled" TargetMode="External"/><Relationship Id="rId46" Type="http://schemas.openxmlformats.org/officeDocument/2006/relationships/hyperlink" Target="https://www.justice.gov/usao-ndtx/pr/red-oak-man-sentenced-170-months-child-pornography-charge" TargetMode="External"/><Relationship Id="rId3519" Type="http://schemas.openxmlformats.org/officeDocument/2006/relationships/hyperlink" Target="http://archive.fo/JEdpB" TargetMode="External"/><Relationship Id="rId45" Type="http://schemas.openxmlformats.org/officeDocument/2006/relationships/hyperlink" Target="https://www.ice.gov/news/releases/former-us-air-force-member-montana-admits-child-sexual-exploitation-charges" TargetMode="External"/><Relationship Id="rId3518" Type="http://schemas.openxmlformats.org/officeDocument/2006/relationships/hyperlink" Target="https://www.courtlistener.com/?q=&amp;type=r&amp;order_by=score+desc&amp;docket_number=4%3A19-cr-00151&amp;court=ohnd" TargetMode="External"/><Relationship Id="rId4849" Type="http://schemas.openxmlformats.org/officeDocument/2006/relationships/hyperlink" Target="https://www.justice.gov/usao-ndny/pr/saratoga-county-man-charged-possession-child-pornography" TargetMode="External"/><Relationship Id="rId48" Type="http://schemas.openxmlformats.org/officeDocument/2006/relationships/hyperlink" Target="https://www.justice.gov/usao-ndga/pr/couple-sentenced-sex-trafficking-13-year-old-girl" TargetMode="External"/><Relationship Id="rId47" Type="http://schemas.openxmlformats.org/officeDocument/2006/relationships/hyperlink" Target="https://www.justice.gov/usao-wdtn/pr/west-tennessee-man-sentenced-110-months-federal-prison-possession-and-receipt-child" TargetMode="External"/><Relationship Id="rId49" Type="http://schemas.openxmlformats.org/officeDocument/2006/relationships/hyperlink" Target="https://www.justice.gov/usao-mt/pr/great-falls-man-sentenced-possession-child-pornography" TargetMode="External"/><Relationship Id="rId4840" Type="http://schemas.openxmlformats.org/officeDocument/2006/relationships/hyperlink" Target="https://www.masslive.com/worcester/2020/02/philip-raymond-accused-of-raping-and-videotaping-11-girls-who-ranged-from-4-to-12-years-old-da-says.html" TargetMode="External"/><Relationship Id="rId3511" Type="http://schemas.openxmlformats.org/officeDocument/2006/relationships/hyperlink" Target="http://archive.fo/k8wCc" TargetMode="External"/><Relationship Id="rId4842" Type="http://schemas.openxmlformats.org/officeDocument/2006/relationships/hyperlink" Target="https://archive.vn/wip/Yq73q" TargetMode="External"/><Relationship Id="rId3510" Type="http://schemas.openxmlformats.org/officeDocument/2006/relationships/hyperlink" Target="https://www.courtlistener.com/docket/14897563/united-states-v-neisler/" TargetMode="External"/><Relationship Id="rId4841" Type="http://schemas.openxmlformats.org/officeDocument/2006/relationships/hyperlink" Target="https://archive.vn/wip/8RKam" TargetMode="External"/><Relationship Id="rId3502" Type="http://schemas.openxmlformats.org/officeDocument/2006/relationships/hyperlink" Target="https://www.justice.gov/usao-sd/pr/box-elder-man-sentenced-prison-enticing-minor-using-internet" TargetMode="External"/><Relationship Id="rId4833" Type="http://schemas.openxmlformats.org/officeDocument/2006/relationships/hyperlink" Target="https://www.cincinnati.com/story/news/2020/10/26/177-arrested-largest-human-trafficking-sting-ohio-history/6041197002/" TargetMode="External"/><Relationship Id="rId3501" Type="http://schemas.openxmlformats.org/officeDocument/2006/relationships/hyperlink" Target="https://www.justice.gov/usao-ri/pr/registered-sex-offender-pleads-guilty-possessing-child-pornography-0" TargetMode="External"/><Relationship Id="rId4832" Type="http://schemas.openxmlformats.org/officeDocument/2006/relationships/hyperlink" Target="https://www.cbp.gov/newsroom/local-media-release/rgv-agents-foil-five-smuggling-attempts-0" TargetMode="External"/><Relationship Id="rId31" Type="http://schemas.openxmlformats.org/officeDocument/2006/relationships/hyperlink" Target="https://www.cbp.gov/newsroom/local-media-release/atlanta-cbp-arrest-boston-traveler-child-exploitation-charge" TargetMode="External"/><Relationship Id="rId3504" Type="http://schemas.openxmlformats.org/officeDocument/2006/relationships/hyperlink" Target="https://www.justice.gov/usao-wdpa/pr/pittsburgh-child-pornography-distributor-sentenced-more-9-years-prison" TargetMode="External"/><Relationship Id="rId4835" Type="http://schemas.openxmlformats.org/officeDocument/2006/relationships/hyperlink" Target="https://www.justice.gov/usao-mdfl/pr/florida-man-who-financed-and-patronized-child-sex-trafficking-ring-philippines" TargetMode="External"/><Relationship Id="rId30" Type="http://schemas.openxmlformats.org/officeDocument/2006/relationships/hyperlink" Target="https://www.justice.gov/usao-vt/pr/new-york-winooski-man-charged-five-counts-sex-trafficking" TargetMode="External"/><Relationship Id="rId3503" Type="http://schemas.openxmlformats.org/officeDocument/2006/relationships/hyperlink" Target="https://www.justice.gov/usao-md/pr/sex-offender-sentenced-30-years-federal-prison-production-child-pornography" TargetMode="External"/><Relationship Id="rId4834" Type="http://schemas.openxmlformats.org/officeDocument/2006/relationships/hyperlink" Target="https://archive.vn/hzKzc" TargetMode="External"/><Relationship Id="rId33" Type="http://schemas.openxmlformats.org/officeDocument/2006/relationships/hyperlink" Target="https://www.justice.gov/usao-md/pr/laurel-man-pleads-guilty-distribution-child-pornography" TargetMode="External"/><Relationship Id="rId3506" Type="http://schemas.openxmlformats.org/officeDocument/2006/relationships/hyperlink" Target="https://www.courtlistener.com/docket/14687881/united-states-v-gomez/" TargetMode="External"/><Relationship Id="rId4837" Type="http://schemas.openxmlformats.org/officeDocument/2006/relationships/hyperlink" Target="https://archive.vn/wip/1HaRC" TargetMode="External"/><Relationship Id="rId32" Type="http://schemas.openxmlformats.org/officeDocument/2006/relationships/hyperlink" Target="https://www.justice.gov/usao-wdny/pr/albion-man-arrested-child-pornography-charges" TargetMode="External"/><Relationship Id="rId3505" Type="http://schemas.openxmlformats.org/officeDocument/2006/relationships/hyperlink" Target="https://www.justice.gov/usao-ndny/pr/schoharie-county-man-arrested-distribution-child-pornography" TargetMode="External"/><Relationship Id="rId4836" Type="http://schemas.openxmlformats.org/officeDocument/2006/relationships/hyperlink" Target="https://www.wtsp.com/article/news/crime/tampa-bay-man-sentence/67-96ef3802-9b31-4ead-b130-563cecc3ed46" TargetMode="External"/><Relationship Id="rId35" Type="http://schemas.openxmlformats.org/officeDocument/2006/relationships/hyperlink" Target="http://www.latimes.com/local/california/la-me-ln-human-trafficking-20180130-story.html" TargetMode="External"/><Relationship Id="rId3508" Type="http://schemas.openxmlformats.org/officeDocument/2006/relationships/hyperlink" Target="http://archive.fo/CgDtj" TargetMode="External"/><Relationship Id="rId4839" Type="http://schemas.openxmlformats.org/officeDocument/2006/relationships/hyperlink" Target="https://www.justice.gov/usao-ma/pr/marlborough-man-charged-child-exploitation-offenses" TargetMode="External"/><Relationship Id="rId34" Type="http://schemas.openxmlformats.org/officeDocument/2006/relationships/hyperlink" Target="https://www.justice.gov/usao-md/pr/laurel-man-sentenced-nine-years-federal-prison-distribution-child-pornography" TargetMode="External"/><Relationship Id="rId3507" Type="http://schemas.openxmlformats.org/officeDocument/2006/relationships/hyperlink" Target="https://www.democratandchronicle.com/story/news/2019/03/13/austin-pratt-geneseo-school-athletic-trainer-charged-enticing-minor-and-producing-child-porn/3155720002/" TargetMode="External"/><Relationship Id="rId4838" Type="http://schemas.openxmlformats.org/officeDocument/2006/relationships/hyperlink" Target="https://www.justice.gov/usao-mdfl/pr/father-and-son-charged-relation-scheme-transport-minor-between-croatia-and-florida" TargetMode="External"/><Relationship Id="rId3509" Type="http://schemas.openxmlformats.org/officeDocument/2006/relationships/hyperlink" Target="http://archive.fo/N2DFi" TargetMode="External"/><Relationship Id="rId37" Type="http://schemas.openxmlformats.org/officeDocument/2006/relationships/hyperlink" Target="http://www.lehighvalleylive.com/news/index.ssf/2017/01/bucks_man_is_latest_charged_in.html" TargetMode="External"/><Relationship Id="rId36" Type="http://schemas.openxmlformats.org/officeDocument/2006/relationships/hyperlink" Target="http://www.crimevoice.com/2017/02/02/3-day-human-trafficking-task-force-operation-reclaim-rebuild-arrests-474-suspects/" TargetMode="External"/><Relationship Id="rId39" Type="http://schemas.openxmlformats.org/officeDocument/2006/relationships/hyperlink" Target="https://www.courtlistener.com/docket/7693267/united-states-v-bishop/" TargetMode="External"/><Relationship Id="rId38" Type="http://schemas.openxmlformats.org/officeDocument/2006/relationships/hyperlink" Target="https://www.justice.gov/usao-wdmi/pr/2019_0206_Bishop" TargetMode="External"/><Relationship Id="rId3500" Type="http://schemas.openxmlformats.org/officeDocument/2006/relationships/hyperlink" Target="https://www.cbp.gov/newsroom/local-media-release/technology-thwarts-human-smuggler-immigration-checkpoint" TargetMode="External"/><Relationship Id="rId4831" Type="http://schemas.openxmlformats.org/officeDocument/2006/relationships/hyperlink" Target="https://www.justice.gov/usao-sdoh/pr/miamisburg-man-pleads-guilty-coercing-minors-online" TargetMode="External"/><Relationship Id="rId4830" Type="http://schemas.openxmlformats.org/officeDocument/2006/relationships/hyperlink" Target="https://www.justice.gov/usao-mdpa/pr/franklin-county-man-charged-child-exploitation-offenses" TargetMode="External"/><Relationship Id="rId2203" Type="http://schemas.openxmlformats.org/officeDocument/2006/relationships/hyperlink" Target="https://www.courtlistener.com/docket/7715161/united-states-v-kelley/" TargetMode="External"/><Relationship Id="rId3535" Type="http://schemas.openxmlformats.org/officeDocument/2006/relationships/hyperlink" Target="http://archive.fo/ng0h6" TargetMode="External"/><Relationship Id="rId4866" Type="http://schemas.openxmlformats.org/officeDocument/2006/relationships/hyperlink" Target="https://www.ice.gov/news/releases/suburban-chicago-couple-charged-child-labor-trafficking" TargetMode="External"/><Relationship Id="rId2204" Type="http://schemas.openxmlformats.org/officeDocument/2006/relationships/hyperlink" Target="https://www.cbp.gov/newsroom/local-media-release/laredo-sector-border-patrol-agents-arrest-illegal-aliens-concealed" TargetMode="External"/><Relationship Id="rId3534" Type="http://schemas.openxmlformats.org/officeDocument/2006/relationships/hyperlink" Target="http://archive.fo/sbAhd" TargetMode="External"/><Relationship Id="rId4865" Type="http://schemas.openxmlformats.org/officeDocument/2006/relationships/hyperlink" Target="https://www.cbp.gov/newsroom/local-media-release/law-enforcement-partnerships-ruin-smugglers-day" TargetMode="External"/><Relationship Id="rId20" Type="http://schemas.openxmlformats.org/officeDocument/2006/relationships/hyperlink" Target="https://www.amnews.com/2019/03/05/two-mercer-residents-plead-guilty-to-producing-child-porn/" TargetMode="External"/><Relationship Id="rId2205" Type="http://schemas.openxmlformats.org/officeDocument/2006/relationships/hyperlink" Target="http://www.foxnews.com/us/2018/07/04/texas-mother-arrested-for-allegedly-selling-young-children.html" TargetMode="External"/><Relationship Id="rId3537" Type="http://schemas.openxmlformats.org/officeDocument/2006/relationships/hyperlink" Target="https://www.justice.gov/usao-edca/pr/us-air-force-member-charged-producing-and-receiving-child-pornography" TargetMode="External"/><Relationship Id="rId4868" Type="http://schemas.openxmlformats.org/officeDocument/2006/relationships/hyperlink" Target="https://archive.vn/wip/XmUqn" TargetMode="External"/><Relationship Id="rId2206" Type="http://schemas.openxmlformats.org/officeDocument/2006/relationships/hyperlink" Target="https://www.gillettenewsrecord.com/news/wyoming/article_84569c20-b9e8-5453-99d7-2d0061586b4f.html" TargetMode="External"/><Relationship Id="rId3536" Type="http://schemas.openxmlformats.org/officeDocument/2006/relationships/hyperlink" Target="https://www.cbp.gov/newsroom/local-media-release/fence-breach-leads-human-smuggling-case" TargetMode="External"/><Relationship Id="rId4867" Type="http://schemas.openxmlformats.org/officeDocument/2006/relationships/hyperlink" Target="https://chicago.suntimes.com/2020/10/2/21498999/guatemalan-couple-kept-two-girls-slaves-aurora" TargetMode="External"/><Relationship Id="rId22" Type="http://schemas.openxmlformats.org/officeDocument/2006/relationships/hyperlink" Target="http://archive.fo/yvJhu" TargetMode="External"/><Relationship Id="rId2207" Type="http://schemas.openxmlformats.org/officeDocument/2006/relationships/hyperlink" Target="http://www.starbeacon.com/news/local_news/convicted-child-rapist-arrested-in-child-porn-sting/article_68bcf13b-2ecc-5918-aaa8-2b09042e51c0.html" TargetMode="External"/><Relationship Id="rId3539" Type="http://schemas.openxmlformats.org/officeDocument/2006/relationships/hyperlink" Target="https://www.courtlistener.com/docket/14717022/united-states-v-mays-jr/" TargetMode="External"/><Relationship Id="rId21" Type="http://schemas.openxmlformats.org/officeDocument/2006/relationships/hyperlink" Target="http://archive.fo/Mm3uR" TargetMode="External"/><Relationship Id="rId2208" Type="http://schemas.openxmlformats.org/officeDocument/2006/relationships/hyperlink" Target="https://www.cbp.gov/newsroom/local-media-release/border-patrol-k9-teams-help-stop-human-smuggling" TargetMode="External"/><Relationship Id="rId3538" Type="http://schemas.openxmlformats.org/officeDocument/2006/relationships/hyperlink" Target="https://www.courtlistener.com/docket/14796232/united-states-v-studebaker/" TargetMode="External"/><Relationship Id="rId4869" Type="http://schemas.openxmlformats.org/officeDocument/2006/relationships/hyperlink" Target="https://archive.vn/LAUeo" TargetMode="External"/><Relationship Id="rId24" Type="http://schemas.openxmlformats.org/officeDocument/2006/relationships/hyperlink" Target="https://www.amnews.com/2019/03/05/two-mercer-residents-plead-guilty-to-producing-child-porn/" TargetMode="External"/><Relationship Id="rId2209" Type="http://schemas.openxmlformats.org/officeDocument/2006/relationships/hyperlink" Target="https://www.cbp.gov/newsroom/national-media-release/border-patrol-agents-rescue-64-illegal-aliens-trapped-tractor" TargetMode="External"/><Relationship Id="rId23" Type="http://schemas.openxmlformats.org/officeDocument/2006/relationships/hyperlink" Target="https://www.justice.gov/usao-edky/pr/mercer-county-woman-pleads-guilty-production-child-pornography" TargetMode="External"/><Relationship Id="rId26" Type="http://schemas.openxmlformats.org/officeDocument/2006/relationships/hyperlink" Target="http://archive.fo/0N4nQ" TargetMode="External"/><Relationship Id="rId25" Type="http://schemas.openxmlformats.org/officeDocument/2006/relationships/hyperlink" Target="http://archive.fo/Mm3uR" TargetMode="External"/><Relationship Id="rId28" Type="http://schemas.openxmlformats.org/officeDocument/2006/relationships/hyperlink" Target="https://archive.fo/KZbkx" TargetMode="External"/><Relationship Id="rId4860" Type="http://schemas.openxmlformats.org/officeDocument/2006/relationships/hyperlink" Target="https://www.justice.gov/usao-nv/pr/northern-california-man-indicted-attempted-child-sex-trafficking" TargetMode="External"/><Relationship Id="rId27" Type="http://schemas.openxmlformats.org/officeDocument/2006/relationships/hyperlink" Target="https://www.fbi.gov/contact-us/field-offices/birmingham/news/press-releases/us-marshals-arrest-jefferson-county-man-for-sex-trafficking-of-a-minor" TargetMode="External"/><Relationship Id="rId3531" Type="http://schemas.openxmlformats.org/officeDocument/2006/relationships/hyperlink" Target="https://www.courtlistener.com/docket/14845952/united-states-v-lee/" TargetMode="External"/><Relationship Id="rId4862" Type="http://schemas.openxmlformats.org/officeDocument/2006/relationships/hyperlink" Target="https://archive.vn/wip/8oFql" TargetMode="External"/><Relationship Id="rId29" Type="http://schemas.openxmlformats.org/officeDocument/2006/relationships/hyperlink" Target="http://www.localmemphis.com/news/local-news/tbi-announces-42-arrests-in-human-trafficking-operation/646262689" TargetMode="External"/><Relationship Id="rId2200" Type="http://schemas.openxmlformats.org/officeDocument/2006/relationships/hyperlink" Target="https://www.courtlistener.com/docket/13541389/united-states-v-augard/" TargetMode="External"/><Relationship Id="rId3530" Type="http://schemas.openxmlformats.org/officeDocument/2006/relationships/hyperlink" Target="https://www.justice.gov/usao-md/pr/cecil-county-pimp-indicted-federal-charges-including-sex-trafficking-child-production" TargetMode="External"/><Relationship Id="rId4861" Type="http://schemas.openxmlformats.org/officeDocument/2006/relationships/hyperlink" Target="https://www.msn.com/en-us/news/crime/lake-tahoe-man-charged-with-attempted-child-sex-trafficking/ar-BB1bNpJ9" TargetMode="External"/><Relationship Id="rId2201" Type="http://schemas.openxmlformats.org/officeDocument/2006/relationships/hyperlink" Target="http://www.kgns.tv/content/news/Border-Patrol-rescues-10-Brazilians-from-tractor-trailer-486966371.html" TargetMode="External"/><Relationship Id="rId3533" Type="http://schemas.openxmlformats.org/officeDocument/2006/relationships/hyperlink" Target="https://www.democratandchronicle.com/story/news/2019/03/15/hashim-mccullough-lewis-street-ymca-rochester-sex-solicitation-teenager/3177333002/" TargetMode="External"/><Relationship Id="rId4864" Type="http://schemas.openxmlformats.org/officeDocument/2006/relationships/hyperlink" Target="https://www.cbp.gov/newsroom/local-media-release/border-patrol-discovers-100-individuals-being-smuggled-commercial" TargetMode="External"/><Relationship Id="rId2202" Type="http://schemas.openxmlformats.org/officeDocument/2006/relationships/hyperlink" Target="https://www.wsoctv.com/news/local/police-arrest-two-suspects-at-davidson-nail-salon-charged-with-human-trafficking/779050104" TargetMode="External"/><Relationship Id="rId3532" Type="http://schemas.openxmlformats.org/officeDocument/2006/relationships/hyperlink" Target="https://www.justice.gov/usao-wdny/pr/rochester-daycare-worker-arrested-charged-attempting-have-sex-minor" TargetMode="External"/><Relationship Id="rId4863" Type="http://schemas.openxmlformats.org/officeDocument/2006/relationships/hyperlink" Target="https://archive.vn/KQE2n" TargetMode="External"/><Relationship Id="rId3524" Type="http://schemas.openxmlformats.org/officeDocument/2006/relationships/hyperlink" Target="https://www.courtlistener.com/?q=&amp;type=r&amp;order_by=score+desc&amp;docket_number=3%3A19-cr-00016&amp;court=wvnd" TargetMode="External"/><Relationship Id="rId4855" Type="http://schemas.openxmlformats.org/officeDocument/2006/relationships/hyperlink" Target="https://www.justice.gov/usao-sd/pr/box-elder-man-indicted-sexual-exploitation-minor" TargetMode="External"/><Relationship Id="rId3523" Type="http://schemas.openxmlformats.org/officeDocument/2006/relationships/hyperlink" Target="https://www.justice.gov/usao-ndwv/pr/martinsburg-man-admits-child-pornography-charge" TargetMode="External"/><Relationship Id="rId4854" Type="http://schemas.openxmlformats.org/officeDocument/2006/relationships/hyperlink" Target="https://www.cbp.gov/newsroom/local-media-release/rio-grande-valley-checkpoint-agents-stop-human-smuggling-attempt" TargetMode="External"/><Relationship Id="rId3526" Type="http://schemas.openxmlformats.org/officeDocument/2006/relationships/hyperlink" Target="http://archive.fo/NfrfK" TargetMode="External"/><Relationship Id="rId4857" Type="http://schemas.openxmlformats.org/officeDocument/2006/relationships/hyperlink" Target="https://www.cbp.gov/newsroom/local-media-release/human-smuggling-attempt-ends-rollover-accident" TargetMode="External"/><Relationship Id="rId3525" Type="http://schemas.openxmlformats.org/officeDocument/2006/relationships/hyperlink" Target="https://www.rgj.com/story/news/crime/2019/03/15/reno-woman-allegedly-involved-sex-trafficking/3177974002/" TargetMode="External"/><Relationship Id="rId4856" Type="http://schemas.openxmlformats.org/officeDocument/2006/relationships/hyperlink" Target="https://www.justice.gov/usao-wdpa/pr/pittsburgh-man-indicted-project-safe-childhood-case" TargetMode="External"/><Relationship Id="rId11" Type="http://schemas.openxmlformats.org/officeDocument/2006/relationships/hyperlink" Target="https://www.fbi.gov/contact-us/field-offices/albany/news/press-releases/louisiana-man-pleads-guilty-to-traveling-with-minor-to-engage-in-illicit-sexual-conduct" TargetMode="External"/><Relationship Id="rId3528" Type="http://schemas.openxmlformats.org/officeDocument/2006/relationships/hyperlink" Target="https://www.cbp.gov/newsroom/local-media-release/nogales-bp-agents-stop-smuggling-attempt" TargetMode="External"/><Relationship Id="rId4859" Type="http://schemas.openxmlformats.org/officeDocument/2006/relationships/hyperlink" Target="https://www.justice.gov/usao-edca/pr/sacramento-man-arrested-sex-trafficking-child" TargetMode="External"/><Relationship Id="rId10" Type="http://schemas.openxmlformats.org/officeDocument/2006/relationships/hyperlink" Target="https://www.palmbeachpost.com/news/crime--law/aronberg-credits-task-force-with-rise-human-trafficking-arrests/NKstO7vpVzyZHzxM5GVjcJ/" TargetMode="External"/><Relationship Id="rId3527" Type="http://schemas.openxmlformats.org/officeDocument/2006/relationships/hyperlink" Target="http://archive.fo/aNrDI" TargetMode="External"/><Relationship Id="rId4858" Type="http://schemas.openxmlformats.org/officeDocument/2006/relationships/hyperlink" Target="https://www.justice.gov/usao-ma/pr/plainville-man-indicted-child-enticement-and-child-pornography-offenses" TargetMode="External"/><Relationship Id="rId13" Type="http://schemas.openxmlformats.org/officeDocument/2006/relationships/hyperlink" Target="http://archive.is/n6zOG" TargetMode="External"/><Relationship Id="rId12" Type="http://schemas.openxmlformats.org/officeDocument/2006/relationships/hyperlink" Target="https://www.justice.gov/usao-ndny/pr/louisiana-man-sentenced-6-years-child-sex-and-child-pornography-crimes" TargetMode="External"/><Relationship Id="rId3529" Type="http://schemas.openxmlformats.org/officeDocument/2006/relationships/hyperlink" Target="https://www.justice.gov/usao-ndia/pr/new-hampton-man-charged-child-sexual-exploitation-offenses" TargetMode="External"/><Relationship Id="rId15" Type="http://schemas.openxmlformats.org/officeDocument/2006/relationships/hyperlink" Target="https://www.justice.gov/usao-or/pr/icymi-shutdown-updates-federal-court-oregon" TargetMode="External"/><Relationship Id="rId14" Type="http://schemas.openxmlformats.org/officeDocument/2006/relationships/hyperlink" Target="http://archive.is/d7azJ" TargetMode="External"/><Relationship Id="rId17" Type="http://schemas.openxmlformats.org/officeDocument/2006/relationships/hyperlink" Target="http://archive.is/abIE7" TargetMode="External"/><Relationship Id="rId16" Type="http://schemas.openxmlformats.org/officeDocument/2006/relationships/hyperlink" Target="https://www.courtlistener.com/docket/7599958/united-states-v-newman/" TargetMode="External"/><Relationship Id="rId19" Type="http://schemas.openxmlformats.org/officeDocument/2006/relationships/hyperlink" Target="https://www.justice.gov/usao-edky/pr/mercer-county-woman-pleads-guilty-production-child-pornography" TargetMode="External"/><Relationship Id="rId3520" Type="http://schemas.openxmlformats.org/officeDocument/2006/relationships/hyperlink" Target="http://archive.fo/VqdBA" TargetMode="External"/><Relationship Id="rId4851" Type="http://schemas.openxmlformats.org/officeDocument/2006/relationships/hyperlink" Target="https://www.cbp.gov/newsroom/local-media-release/human-smuggling-attempt-stopped-and-stolen-vehicle-recovered" TargetMode="External"/><Relationship Id="rId18" Type="http://schemas.openxmlformats.org/officeDocument/2006/relationships/hyperlink" Target="https://archive.fo/aRrfx" TargetMode="External"/><Relationship Id="rId4850" Type="http://schemas.openxmlformats.org/officeDocument/2006/relationships/hyperlink" Target="https://www.justice.gov/usao-ndca/pr/san-mateo-resident-charged-receipt-child-pornography" TargetMode="External"/><Relationship Id="rId3522" Type="http://schemas.openxmlformats.org/officeDocument/2006/relationships/hyperlink" Target="https://www.justice.gov/usao-wdny/pr/california-man-arrested-production-child-pornography" TargetMode="External"/><Relationship Id="rId4853" Type="http://schemas.openxmlformats.org/officeDocument/2006/relationships/hyperlink" Target="https://www.cbp.gov/newsroom/local-media-release/bp-stops-dangerous-human-smuggling-attempt" TargetMode="External"/><Relationship Id="rId3521" Type="http://schemas.openxmlformats.org/officeDocument/2006/relationships/hyperlink" Target="https://www.courtlistener.com/?q=&amp;type=r&amp;order_by=score+desc&amp;docket_number=4%3A19-mj-04173&amp;court=mad" TargetMode="External"/><Relationship Id="rId4852" Type="http://schemas.openxmlformats.org/officeDocument/2006/relationships/hyperlink" Target="https://www.cbp.gov/newsroom/local-media-release/thirteen-people-smuggled-sealed-cardboard-boxes" TargetMode="External"/><Relationship Id="rId84" Type="http://schemas.openxmlformats.org/officeDocument/2006/relationships/hyperlink" Target="https://www.justice.gov/usao-edwi/pr/former-glenbeulah-wi-man-sentenced-133-months-federal-prison-possession-child" TargetMode="External"/><Relationship Id="rId1774" Type="http://schemas.openxmlformats.org/officeDocument/2006/relationships/hyperlink" Target="https://www.justice.gov/usao-wdva/pr/two-danville-men-plead-guilty-child-pornography-charge" TargetMode="External"/><Relationship Id="rId4800" Type="http://schemas.openxmlformats.org/officeDocument/2006/relationships/hyperlink" Target="https://www.justice.gov/usao-sd/pr/box-elder-man-indicted-child-pornography-charges-0" TargetMode="External"/><Relationship Id="rId83" Type="http://schemas.openxmlformats.org/officeDocument/2006/relationships/hyperlink" Target="https://www.justice.gov/usao-wdla/pr/morgan-city-man-sentenced-63-months-prison-possessing-child-pornography" TargetMode="External"/><Relationship Id="rId1775" Type="http://schemas.openxmlformats.org/officeDocument/2006/relationships/hyperlink" Target="https://www.courtlistener.com/?q=&amp;type=r&amp;order_by=score+desc&amp;docket_number=4%3A18-cr-00009&amp;court=vawd" TargetMode="External"/><Relationship Id="rId86" Type="http://schemas.openxmlformats.org/officeDocument/2006/relationships/hyperlink" Target="http://archive.is/RNOcs" TargetMode="External"/><Relationship Id="rId1776" Type="http://schemas.openxmlformats.org/officeDocument/2006/relationships/hyperlink" Target="https://www.justice.gov/usao-wdla/pr/deridder-man-sentenced-10-years-prison-second-conviction-child-pornography" TargetMode="External"/><Relationship Id="rId4802" Type="http://schemas.openxmlformats.org/officeDocument/2006/relationships/hyperlink" Target="https://www.justice.gov/usao-ndin/pr/us-attorney-kirsch-reminds-parents-about-online-predators-recent-indictments" TargetMode="External"/><Relationship Id="rId85" Type="http://schemas.openxmlformats.org/officeDocument/2006/relationships/hyperlink" Target="http://archive.is/eUBIr" TargetMode="External"/><Relationship Id="rId1777" Type="http://schemas.openxmlformats.org/officeDocument/2006/relationships/hyperlink" Target="https://www.courtlistener.com/docket/7173890/united-states-v-daughenbaugh/" TargetMode="External"/><Relationship Id="rId4801" Type="http://schemas.openxmlformats.org/officeDocument/2006/relationships/hyperlink" Target="https://www.cbp.gov/newsroom/local-media-release/chaparral-stash-house-case-nets-57-people" TargetMode="External"/><Relationship Id="rId88" Type="http://schemas.openxmlformats.org/officeDocument/2006/relationships/hyperlink" Target="https://www.dailymail.co.uk/news/article-7069351/Ex-Olympian-41-track-coach-coerced-15-year-old-student-having-sex-him.html" TargetMode="External"/><Relationship Id="rId1778" Type="http://schemas.openxmlformats.org/officeDocument/2006/relationships/hyperlink" Target="https://www.justice.gov/usao-edny/pr/brooklyn-man-indicted-sex-trafficking-and-possessing-firearm" TargetMode="External"/><Relationship Id="rId4804" Type="http://schemas.openxmlformats.org/officeDocument/2006/relationships/hyperlink" Target="https://archive.vn/0fAby" TargetMode="External"/><Relationship Id="rId87" Type="http://schemas.openxmlformats.org/officeDocument/2006/relationships/hyperlink" Target="https://www.ice.gov/news/releases/former-puerto-rican-olympic-athlete-coach-found-guilty-sexual-enticement-minor" TargetMode="External"/><Relationship Id="rId1779" Type="http://schemas.openxmlformats.org/officeDocument/2006/relationships/hyperlink" Target="https://www.courtlistener.com/docket/8398707/united-states-v-harris/" TargetMode="External"/><Relationship Id="rId4803" Type="http://schemas.openxmlformats.org/officeDocument/2006/relationships/hyperlink" Target="https://www.dailymail.co.uk/news/article-8744767/Cheers-Jerry-Harris-arrested-child-pornography-charges.html" TargetMode="External"/><Relationship Id="rId4806" Type="http://schemas.openxmlformats.org/officeDocument/2006/relationships/hyperlink" Target="https://www.justice.gov/usao-nj/pr/hudson-county-man-charged-trafficking-child-pornography" TargetMode="External"/><Relationship Id="rId89" Type="http://schemas.openxmlformats.org/officeDocument/2006/relationships/hyperlink" Target="http://archive.fo/LNkVT" TargetMode="External"/><Relationship Id="rId4805" Type="http://schemas.openxmlformats.org/officeDocument/2006/relationships/hyperlink" Target="https://archive.vn/wip/p8Jm1" TargetMode="External"/><Relationship Id="rId4808" Type="http://schemas.openxmlformats.org/officeDocument/2006/relationships/hyperlink" Target="https://archive.vn/TtRS3" TargetMode="External"/><Relationship Id="rId4807" Type="http://schemas.openxmlformats.org/officeDocument/2006/relationships/hyperlink" Target="https://www.justice.gov/usao-mdga/pr/valdosta-couple-indicted-child-pornography-production-charges-law-enforcement-open" TargetMode="External"/><Relationship Id="rId4809" Type="http://schemas.openxmlformats.org/officeDocument/2006/relationships/hyperlink" Target="https://archive.vn/6iw5J" TargetMode="External"/><Relationship Id="rId80" Type="http://schemas.openxmlformats.org/officeDocument/2006/relationships/hyperlink" Target="https://www.courtlistener.com/docket/7504683/united-states-v-moylan/" TargetMode="External"/><Relationship Id="rId82" Type="http://schemas.openxmlformats.org/officeDocument/2006/relationships/hyperlink" Target="http://archive.is/V0dIk" TargetMode="External"/><Relationship Id="rId81" Type="http://schemas.openxmlformats.org/officeDocument/2006/relationships/hyperlink" Target="http://archive.is/G6eug" TargetMode="External"/><Relationship Id="rId1770" Type="http://schemas.openxmlformats.org/officeDocument/2006/relationships/hyperlink" Target="https://www.courtlistener.com/docket/6442616/united-states-v-mcdaniel/" TargetMode="External"/><Relationship Id="rId1771" Type="http://schemas.openxmlformats.org/officeDocument/2006/relationships/hyperlink" Target="https://www.justice.gov/usao-sdoh/pr/three-ohio-men-charged-case-involving-sexual-abuse-toddlers" TargetMode="External"/><Relationship Id="rId1772" Type="http://schemas.openxmlformats.org/officeDocument/2006/relationships/hyperlink" Target="https://www.newarkadvocate.com/story/news/local/2018/11/26/licking-county-men-plea-guilty-child-pornography-case-charges/2112800002/" TargetMode="External"/><Relationship Id="rId1773" Type="http://schemas.openxmlformats.org/officeDocument/2006/relationships/hyperlink" Target="https://www.courtlistener.com/docket/8070880/united-states-v-fairchild/" TargetMode="External"/><Relationship Id="rId73" Type="http://schemas.openxmlformats.org/officeDocument/2006/relationships/hyperlink" Target="https://archive.fo/Oh8sS" TargetMode="External"/><Relationship Id="rId1763" Type="http://schemas.openxmlformats.org/officeDocument/2006/relationships/hyperlink" Target="https://www.courtlistener.com/docket/7985782/united-states-v-goodman/" TargetMode="External"/><Relationship Id="rId72" Type="http://schemas.openxmlformats.org/officeDocument/2006/relationships/hyperlink" Target="https://www.demingheadlight.com/story/news/2017/02/08/deming-agents-halt-alleged-human-trafficker/97661614/" TargetMode="External"/><Relationship Id="rId1764" Type="http://schemas.openxmlformats.org/officeDocument/2006/relationships/hyperlink" Target="https://www.justice.gov/opa/pr/virginia-man-indicted-multiple-counts-producing-child-pornography" TargetMode="External"/><Relationship Id="rId75" Type="http://schemas.openxmlformats.org/officeDocument/2006/relationships/hyperlink" Target="https://www.justice.gov/usao-sd/pr/yankton-man-sentenced-10-years-possession-child-pornography" TargetMode="External"/><Relationship Id="rId1765" Type="http://schemas.openxmlformats.org/officeDocument/2006/relationships/hyperlink" Target="https://www.justice.gov/opa/pr/virginia-man-sentenced-25-years-prison-producing-images-himself-sexually-abusing-child" TargetMode="External"/><Relationship Id="rId74" Type="http://schemas.openxmlformats.org/officeDocument/2006/relationships/hyperlink" Target="https://archive.fo/txCzx" TargetMode="External"/><Relationship Id="rId1766" Type="http://schemas.openxmlformats.org/officeDocument/2006/relationships/hyperlink" Target="https://www.justice.gov/usao-edwi/pr/green-bay-man-charged-child-pornography-offenses" TargetMode="External"/><Relationship Id="rId77" Type="http://schemas.openxmlformats.org/officeDocument/2006/relationships/hyperlink" Target="http://sentinel.ht/2017/02/06/haiti-police-rescue-31-girls-child-trafficking-sting/" TargetMode="External"/><Relationship Id="rId1767" Type="http://schemas.openxmlformats.org/officeDocument/2006/relationships/hyperlink" Target="https://www.courtlistener.com/docket/6861254/united-states-v-dapra/" TargetMode="External"/><Relationship Id="rId76" Type="http://schemas.openxmlformats.org/officeDocument/2006/relationships/hyperlink" Target="http://archive.is/DoyMz" TargetMode="External"/><Relationship Id="rId1768" Type="http://schemas.openxmlformats.org/officeDocument/2006/relationships/hyperlink" Target="https://www.justice.gov/usao-ks/pr/wichita-pharmacy-owner-indicted-rx-opioid-case" TargetMode="External"/><Relationship Id="rId79" Type="http://schemas.openxmlformats.org/officeDocument/2006/relationships/hyperlink" Target="https://ux.freep.com/story/news/local/maryland/2017/02/07/child-porn-arrest-made-somerset-county/97587910/" TargetMode="External"/><Relationship Id="rId1769" Type="http://schemas.openxmlformats.org/officeDocument/2006/relationships/hyperlink" Target="https://www.justice.gov/usao-sdwv/pr/charleston-man-pleads-guilty-child-pornography-charge" TargetMode="External"/><Relationship Id="rId78" Type="http://schemas.openxmlformats.org/officeDocument/2006/relationships/hyperlink" Target="https://www.justice.gov/usao-md/pr/somerset-county-man-sentenced-10-years-federal-prison-attempted-coercion-and-enticement" TargetMode="External"/><Relationship Id="rId71" Type="http://schemas.openxmlformats.org/officeDocument/2006/relationships/hyperlink" Target="https://www.cbp.gov/newsroom/local-media-release/border-patrol-agents-foil-two-human-smuggling-attempts-nm" TargetMode="External"/><Relationship Id="rId70" Type="http://schemas.openxmlformats.org/officeDocument/2006/relationships/hyperlink" Target="http://archive.is/f9hsX" TargetMode="External"/><Relationship Id="rId1760" Type="http://schemas.openxmlformats.org/officeDocument/2006/relationships/hyperlink" Target="https://www.justice.gov/usao-mdpa/pr/lock-haven-man-indicted-production-child-pornography-and-enticing-minors-engage" TargetMode="External"/><Relationship Id="rId1761" Type="http://schemas.openxmlformats.org/officeDocument/2006/relationships/hyperlink" Target="https://www.justice.gov/usao-mdga/pr/federal-grand-jury-returns-fourteen-indictments" TargetMode="External"/><Relationship Id="rId1762" Type="http://schemas.openxmlformats.org/officeDocument/2006/relationships/hyperlink" Target="https://www.courtlistener.com/?q=&amp;type=r&amp;order_by=score+desc&amp;docket_number=7%3A18-cr-00020&amp;court=gamd" TargetMode="External"/><Relationship Id="rId62" Type="http://schemas.openxmlformats.org/officeDocument/2006/relationships/hyperlink" Target="https://www.justice.gov/usao-wdva/pr/buena-vista-man-sentenced-federal-child-pornography-charge" TargetMode="External"/><Relationship Id="rId1796" Type="http://schemas.openxmlformats.org/officeDocument/2006/relationships/hyperlink" Target="https://www.courtlistener.com/docket/6903415/united-states-v-zubia/" TargetMode="External"/><Relationship Id="rId4822" Type="http://schemas.openxmlformats.org/officeDocument/2006/relationships/hyperlink" Target="https://www.justice.gov/usao-mdpa/pr/lehigh-county-man-charged-attempted-online-enticement-and-sex-trafficking-child" TargetMode="External"/><Relationship Id="rId61" Type="http://schemas.openxmlformats.org/officeDocument/2006/relationships/hyperlink" Target="http://archive.is/En2oV" TargetMode="External"/><Relationship Id="rId1797" Type="http://schemas.openxmlformats.org/officeDocument/2006/relationships/hyperlink" Target="https://www.justice.gov/usao-wdny/pr/former-rochester-resident-going-prison-20-years-producing-child-pornography" TargetMode="External"/><Relationship Id="rId4821" Type="http://schemas.openxmlformats.org/officeDocument/2006/relationships/hyperlink" Target="https://www.justice.gov/usao-mdpa/pr/monroe-county-man-charged-attempted-online-enticement-and-sex-trafficking-child" TargetMode="External"/><Relationship Id="rId64" Type="http://schemas.openxmlformats.org/officeDocument/2006/relationships/hyperlink" Target="http://archive.is/eIWwt" TargetMode="External"/><Relationship Id="rId1798" Type="http://schemas.openxmlformats.org/officeDocument/2006/relationships/hyperlink" Target="https://www.justice.gov/usao-nj/pr/new-egypt-new-jersey-man-arrested-charge-production-child-pornography-abroad" TargetMode="External"/><Relationship Id="rId4824" Type="http://schemas.openxmlformats.org/officeDocument/2006/relationships/hyperlink" Target="https://www.cbp.gov/newsroom/local-media-release/more-100-people-smuggled-commercial-trailer" TargetMode="External"/><Relationship Id="rId63" Type="http://schemas.openxmlformats.org/officeDocument/2006/relationships/hyperlink" Target="http://archive.is/7qjrC" TargetMode="External"/><Relationship Id="rId1799" Type="http://schemas.openxmlformats.org/officeDocument/2006/relationships/hyperlink" Target="https://www.courtlistener.com/docket/7000098/united-states-v-maile/" TargetMode="External"/><Relationship Id="rId4823" Type="http://schemas.openxmlformats.org/officeDocument/2006/relationships/hyperlink" Target="https://www.justice.gov/usao-mdpa/pr/easton-man-charged-attempted-online-enticement-and-sex-trafficking-child" TargetMode="External"/><Relationship Id="rId66" Type="http://schemas.openxmlformats.org/officeDocument/2006/relationships/hyperlink" Target="http://www.wlsam.com/2017/02/15/oak-park-man-indicted-on-child-sex-trafficking-charges/" TargetMode="External"/><Relationship Id="rId4826" Type="http://schemas.openxmlformats.org/officeDocument/2006/relationships/hyperlink" Target="https://losangeles.cbslocal.com/2020/10/06/ceo-halliburton-international-foods-charged-prostitution-2-teenage-girls/" TargetMode="External"/><Relationship Id="rId65" Type="http://schemas.openxmlformats.org/officeDocument/2006/relationships/hyperlink" Target="https://www.justice.gov/usao-ndil/pr/west-suburban-sex-trafficker-sentenced-21-years-federal-prison" TargetMode="External"/><Relationship Id="rId4825" Type="http://schemas.openxmlformats.org/officeDocument/2006/relationships/hyperlink" Target="https://www.latimes.com/california/story/2020-10-06/orange-county-da-announces-child-prostitution-charges-against-ceo" TargetMode="External"/><Relationship Id="rId68" Type="http://schemas.openxmlformats.org/officeDocument/2006/relationships/hyperlink" Target="https://www.justice.gov/usao-edpa/pr/four-people-charged-sex-trafficking-minors-philadelphia" TargetMode="External"/><Relationship Id="rId4828" Type="http://schemas.openxmlformats.org/officeDocument/2006/relationships/hyperlink" Target="https://archive.vn/wip/qCm9I" TargetMode="External"/><Relationship Id="rId67" Type="http://schemas.openxmlformats.org/officeDocument/2006/relationships/hyperlink" Target="http://archive.is/9jCJb" TargetMode="External"/><Relationship Id="rId4827" Type="http://schemas.openxmlformats.org/officeDocument/2006/relationships/hyperlink" Target="https://archive.vn/BQKdo" TargetMode="External"/><Relationship Id="rId4829" Type="http://schemas.openxmlformats.org/officeDocument/2006/relationships/hyperlink" Target="https://archive.vn/BQKdo" TargetMode="External"/><Relationship Id="rId60" Type="http://schemas.openxmlformats.org/officeDocument/2006/relationships/hyperlink" Target="http://archive.is/AEBd8" TargetMode="External"/><Relationship Id="rId69" Type="http://schemas.openxmlformats.org/officeDocument/2006/relationships/hyperlink" Target="https://www.cbp.gov/newsroom/local-media-release/border-patrol-agents-foil-two-human-smuggling-attempts-nm" TargetMode="External"/><Relationship Id="rId1790" Type="http://schemas.openxmlformats.org/officeDocument/2006/relationships/hyperlink" Target="https://www.justice.gov/usao-edva/pr/former-leesburg-resident-pleads-guilty-child-pornography-offense" TargetMode="External"/><Relationship Id="rId1791" Type="http://schemas.openxmlformats.org/officeDocument/2006/relationships/hyperlink" Target="https://web.archive.org/web/20190104025638/https://lacrossetribune.com/news/local/crime-and-courts/arcadia-child-molester-gets-years-for-possessing-child-pornography/article_31c9bc78-d24c-5dea-a822-6e34a3cd2e7c.html" TargetMode="External"/><Relationship Id="rId1792" Type="http://schemas.openxmlformats.org/officeDocument/2006/relationships/hyperlink" Target="https://web.archive.org/web/20190104025638/https://lacrossetribune.com/news/local/crime-and-courts/arcadia-child-molester-gets-years-for-possessing-child-pornography/article_31c9bc78-d24c-5dea-a822-6e34a3cd2e7c.html" TargetMode="External"/><Relationship Id="rId1793" Type="http://schemas.openxmlformats.org/officeDocument/2006/relationships/hyperlink" Target="http://archive.fo/IBttz" TargetMode="External"/><Relationship Id="rId1794" Type="http://schemas.openxmlformats.org/officeDocument/2006/relationships/hyperlink" Target="https://www.justice.gov/usao-wdtx/pr/midland-man-sentenced-30-years-federal-prison-attempting-entice-child-distribution" TargetMode="External"/><Relationship Id="rId4820" Type="http://schemas.openxmlformats.org/officeDocument/2006/relationships/hyperlink" Target="https://www.justice.gov/usao-mdfl/pr/orange-park-man-charged-sex-trafficking-child-after-traveling-meet-child-sex" TargetMode="External"/><Relationship Id="rId1795" Type="http://schemas.openxmlformats.org/officeDocument/2006/relationships/hyperlink" Target="https://rightwingtribune.com/2018/12/09/out-of-texas-news/" TargetMode="External"/><Relationship Id="rId51" Type="http://schemas.openxmlformats.org/officeDocument/2006/relationships/hyperlink" Target="https://archive.fo/d4iZq" TargetMode="External"/><Relationship Id="rId1785" Type="http://schemas.openxmlformats.org/officeDocument/2006/relationships/hyperlink" Target="https://www.justice.gov/usao-edva/pr/prostitution-customer-sentenced-sexually-exploiting-two-minor-girls" TargetMode="External"/><Relationship Id="rId4811" Type="http://schemas.openxmlformats.org/officeDocument/2006/relationships/hyperlink" Target="https://www.justice.gov/usao-ndny/pr/rome-man-charged-sexually-exploiting-child" TargetMode="External"/><Relationship Id="rId50" Type="http://schemas.openxmlformats.org/officeDocument/2006/relationships/hyperlink" Target="http://www.wdam.com/story/38753760/hattiesburg-man-sentenced-to-30-years-for-human-trafficking" TargetMode="External"/><Relationship Id="rId1786" Type="http://schemas.openxmlformats.org/officeDocument/2006/relationships/hyperlink" Target="https://www.justice.gov/usao-wdar/pr/fayetteville-man-sentenced-15-years-federal-rison-receiving-and-possession-child" TargetMode="External"/><Relationship Id="rId4810" Type="http://schemas.openxmlformats.org/officeDocument/2006/relationships/hyperlink" Target="https://www.cbp.gov/newsroom/local-media-release/us-citizens-arrested-smuggling-two-mexican-nationals-trunk-car" TargetMode="External"/><Relationship Id="rId53" Type="http://schemas.openxmlformats.org/officeDocument/2006/relationships/hyperlink" Target="http://archive.is/QNgcI" TargetMode="External"/><Relationship Id="rId1787" Type="http://schemas.openxmlformats.org/officeDocument/2006/relationships/hyperlink" Target="https://www.courtlistener.com/docket/7121694/united-states-v-box/" TargetMode="External"/><Relationship Id="rId4813" Type="http://schemas.openxmlformats.org/officeDocument/2006/relationships/hyperlink" Target="https://www.justice.gov/usao-wdpa/pr/mckeesport-man-charged-possessing-images-minors-engaged-sexually-explicit-conduct" TargetMode="External"/><Relationship Id="rId52" Type="http://schemas.openxmlformats.org/officeDocument/2006/relationships/hyperlink" Target="https://archive.fo/htfCL" TargetMode="External"/><Relationship Id="rId1788" Type="http://schemas.openxmlformats.org/officeDocument/2006/relationships/hyperlink" Target="https://www.justice.gov/usao-ednc/pr/warren-county-man-sentenced-6-years-imprisonment-child-pornography-charges" TargetMode="External"/><Relationship Id="rId4812" Type="http://schemas.openxmlformats.org/officeDocument/2006/relationships/hyperlink" Target="https://www.cbp.gov/newsroom/local-media-release/yuma-sector-border-patrol-agents-thwart-human-smuggling-attempt" TargetMode="External"/><Relationship Id="rId55" Type="http://schemas.openxmlformats.org/officeDocument/2006/relationships/hyperlink" Target="https://www.justice.gov/usao-mdfl/pr/producer-child-pornography-sentenced-more-nineteen-years-federal-prison" TargetMode="External"/><Relationship Id="rId1789" Type="http://schemas.openxmlformats.org/officeDocument/2006/relationships/hyperlink" Target="https://www.justice.gov/usao-edok/pr/eufaula-man-sentenced-78-months-3000-restitution-possession-material-involving-sexual" TargetMode="External"/><Relationship Id="rId4815" Type="http://schemas.openxmlformats.org/officeDocument/2006/relationships/hyperlink" Target="https://www.justice.gov/usao-ndal/pr/west-virginia-man-indicted-child-exploitation-charges" TargetMode="External"/><Relationship Id="rId54" Type="http://schemas.openxmlformats.org/officeDocument/2006/relationships/hyperlink" Target="http://archive.is/1XOfZ" TargetMode="External"/><Relationship Id="rId4814" Type="http://schemas.openxmlformats.org/officeDocument/2006/relationships/hyperlink" Target="https://www.justice.gov/usao-ndny/pr/kingston-resident-charged-distributing-child-pornography" TargetMode="External"/><Relationship Id="rId57" Type="http://schemas.openxmlformats.org/officeDocument/2006/relationships/hyperlink" Target="http://archive.is/He3PK" TargetMode="External"/><Relationship Id="rId4817" Type="http://schemas.openxmlformats.org/officeDocument/2006/relationships/hyperlink" Target="https://www.justice.gov/usao-nj/pr/essex-county-man-charged-distribution-and-possession-child-pornography" TargetMode="External"/><Relationship Id="rId56" Type="http://schemas.openxmlformats.org/officeDocument/2006/relationships/hyperlink" Target="http://archive.is/2o07Y" TargetMode="External"/><Relationship Id="rId4816" Type="http://schemas.openxmlformats.org/officeDocument/2006/relationships/hyperlink" Target="https://www.justice.gov/usao-sd/pr/spearfish-man-charged-sexual-exploitation-minor" TargetMode="External"/><Relationship Id="rId4819" Type="http://schemas.openxmlformats.org/officeDocument/2006/relationships/hyperlink" Target="https://www.justice.gov/usao-edca/pr/kern-county-man-charged-production-distribution-and-receipt-child-pornography" TargetMode="External"/><Relationship Id="rId4818" Type="http://schemas.openxmlformats.org/officeDocument/2006/relationships/hyperlink" Target="https://www.ice.gov/news/releases/ice-arrests-inland-empire-man-who-teaches-san-bernardino-middle-school-federal-child" TargetMode="External"/><Relationship Id="rId59" Type="http://schemas.openxmlformats.org/officeDocument/2006/relationships/hyperlink" Target="https://www.wral.com/fayetteville-woman-sentenced-to-12-years-in-prison-for-sex-trafficking-girls/17840310/" TargetMode="External"/><Relationship Id="rId58" Type="http://schemas.openxmlformats.org/officeDocument/2006/relationships/hyperlink" Target="http://www.fayobserver.com/news/20180912/fayetteville-woman-sentenced-in-sex-trafficking" TargetMode="External"/><Relationship Id="rId1780" Type="http://schemas.openxmlformats.org/officeDocument/2006/relationships/hyperlink" Target="https://www.justice.gov/usao-sdwv/pr/roane-county-man-sentenced-federal-prison-child-pornography-crime" TargetMode="External"/><Relationship Id="rId1781" Type="http://schemas.openxmlformats.org/officeDocument/2006/relationships/hyperlink" Target="https://www.courtlistener.com/?q=&amp;type=r&amp;order_by=score+desc&amp;docket_number=2%3A18-cr-00104&amp;court=wvsd" TargetMode="External"/><Relationship Id="rId1782" Type="http://schemas.openxmlformats.org/officeDocument/2006/relationships/hyperlink" Target="https://www.justice.gov/usao-ednc/pr/wilson-man-sentenced-receipt-and-possession-child-pornography" TargetMode="External"/><Relationship Id="rId1783" Type="http://schemas.openxmlformats.org/officeDocument/2006/relationships/hyperlink" Target="http://www.wilsontimes.com/stories/child-porn-convict-gets-federal-sentence,159408" TargetMode="External"/><Relationship Id="rId1784" Type="http://schemas.openxmlformats.org/officeDocument/2006/relationships/hyperlink" Target="https://www.courtlistener.com/docket/6518903/united-states-v-barnes/" TargetMode="External"/><Relationship Id="rId2269" Type="http://schemas.openxmlformats.org/officeDocument/2006/relationships/hyperlink" Target="https://www.cbp.gov/newsroom/local-media-release/smugglers-desperate-attempt-sends-six-hospital-rio-grande-valley" TargetMode="External"/><Relationship Id="rId349" Type="http://schemas.openxmlformats.org/officeDocument/2006/relationships/hyperlink" Target="https://www.justice.gov/usao-wdmo/pr/riverside-man-sentenced-child-pornography" TargetMode="External"/><Relationship Id="rId348" Type="http://schemas.openxmlformats.org/officeDocument/2006/relationships/hyperlink" Target="https://www.justice.gov/usao-edva/pr/man-sentenced-coercion-and-enticement-minor" TargetMode="External"/><Relationship Id="rId347" Type="http://schemas.openxmlformats.org/officeDocument/2006/relationships/hyperlink" Target="https://www.courtlistener.com/docket/6317502/united-states-v-hall/" TargetMode="External"/><Relationship Id="rId346" Type="http://schemas.openxmlformats.org/officeDocument/2006/relationships/hyperlink" Target="https://www.justice.gov/usao-ndfl/pr/pensacola-sex-offender-sentenced-40-years-receipt-child-pornography" TargetMode="External"/><Relationship Id="rId3591" Type="http://schemas.openxmlformats.org/officeDocument/2006/relationships/hyperlink" Target="https://www.justice.gov/usao-mn/pr/otsego-man-sentenced-28-years-prison-production-child-pornography" TargetMode="External"/><Relationship Id="rId2260" Type="http://schemas.openxmlformats.org/officeDocument/2006/relationships/hyperlink" Target="https://www.justice.gov/usao-nm/pr/filipino-woman-arrested-federal-child-pornography-charges" TargetMode="External"/><Relationship Id="rId3590" Type="http://schemas.openxmlformats.org/officeDocument/2006/relationships/hyperlink" Target="https://www.fbi.gov/contact-us/field-offices/sanjuan/news/press-releases/arrest-of-joshua-landicho-and-trevor-l-doyle-for-attempted-sex-traffickingsexual-enticement-of-a-minor" TargetMode="External"/><Relationship Id="rId341" Type="http://schemas.openxmlformats.org/officeDocument/2006/relationships/hyperlink" Target="https://www.justice.gov/usao-ndin/pr/lafayette-man-sentenced-78-months-prison" TargetMode="External"/><Relationship Id="rId2261" Type="http://schemas.openxmlformats.org/officeDocument/2006/relationships/hyperlink" Target="https://www.courtlistener.com/?q=&amp;type=r&amp;order_by=score+desc&amp;docket_number=5%3A18-cr-03413&amp;court=nmd" TargetMode="External"/><Relationship Id="rId3593" Type="http://schemas.openxmlformats.org/officeDocument/2006/relationships/hyperlink" Target="https://www.cbp.gov/newsroom/local-media-release/woman-flees-border-patrol-checkpoint-two-illegal-aliens-trunk" TargetMode="External"/><Relationship Id="rId340" Type="http://schemas.openxmlformats.org/officeDocument/2006/relationships/hyperlink" Target="http://www.wtxl.com/news/trial-continues-for-woman-in-sex-trafficking-of-child-in/article_fe20b344-aaa0-11e7-905d-e3a2a1424e93.html" TargetMode="External"/><Relationship Id="rId2262" Type="http://schemas.openxmlformats.org/officeDocument/2006/relationships/hyperlink" Target="https://www.justice.gov/opa/pr/ten-men-sentenced-prison-their-roles-child-exploitation-enterprise-and-conspiracy" TargetMode="External"/><Relationship Id="rId3592" Type="http://schemas.openxmlformats.org/officeDocument/2006/relationships/hyperlink" Target="https://www.courtlistener.com/docket/14935572/united-states-v-campbell/" TargetMode="External"/><Relationship Id="rId2263" Type="http://schemas.openxmlformats.org/officeDocument/2006/relationships/hyperlink" Target="http://www.timescall.com/longmont-local-news/ci_31996626/longmont-man-arrested-suspicion-child-sex-trafficking-solicitation" TargetMode="External"/><Relationship Id="rId3595" Type="http://schemas.openxmlformats.org/officeDocument/2006/relationships/hyperlink" Target="https://www.justice.gov/usao-wdla/pr/scott-resident-sentenced-possession-child-pornography" TargetMode="External"/><Relationship Id="rId2264" Type="http://schemas.openxmlformats.org/officeDocument/2006/relationships/hyperlink" Target="https://www.wcbcradio.com/?archiv=frostburg-man-arrested-for-solicitation-of-prostitution" TargetMode="External"/><Relationship Id="rId3594" Type="http://schemas.openxmlformats.org/officeDocument/2006/relationships/hyperlink" Target="https://www.justice.gov/usao-ndia/pr/doon-iowa-man-sentenced-federal-prison-distributing-child-pornography" TargetMode="External"/><Relationship Id="rId345" Type="http://schemas.openxmlformats.org/officeDocument/2006/relationships/hyperlink" Target="https://archive.fo/CyBdy" TargetMode="External"/><Relationship Id="rId2265" Type="http://schemas.openxmlformats.org/officeDocument/2006/relationships/hyperlink" Target="https://www.victoriaadvocate.com/counties/jackson/women-suspected-of-human-smuggling/article_2457529a-80a5-11e8-b622-1fc9058ec7ab.html" TargetMode="External"/><Relationship Id="rId3597" Type="http://schemas.openxmlformats.org/officeDocument/2006/relationships/hyperlink" Target="https://archive.vn/wip/Y2yZI" TargetMode="External"/><Relationship Id="rId344" Type="http://schemas.openxmlformats.org/officeDocument/2006/relationships/hyperlink" Target="https://archive.fo/HDqto" TargetMode="External"/><Relationship Id="rId2266" Type="http://schemas.openxmlformats.org/officeDocument/2006/relationships/hyperlink" Target="http://www.wtvm.com/story/38589139/several-arrested-on-pimping-prostitution-charges-in-columbus" TargetMode="External"/><Relationship Id="rId3596" Type="http://schemas.openxmlformats.org/officeDocument/2006/relationships/hyperlink" Target="https://www.ice.gov/news/releases/arizona-sex-trafficker-sentenced-10-years-prison" TargetMode="External"/><Relationship Id="rId343" Type="http://schemas.openxmlformats.org/officeDocument/2006/relationships/hyperlink" Target="https://www.courtlistener.com/docket/7101037/united-states-v-adams/" TargetMode="External"/><Relationship Id="rId2267" Type="http://schemas.openxmlformats.org/officeDocument/2006/relationships/hyperlink" Target="https://foxillinois.com/news/local/mattoon-police-man-attacked-prostitution-suspect-with-metal-wrench" TargetMode="External"/><Relationship Id="rId3599" Type="http://schemas.openxmlformats.org/officeDocument/2006/relationships/hyperlink" Target="https://www.justice.gov/usao-mdpa/pr/perry-county-man-sentenced-more-24-years-imprisonment-production-child-pornography" TargetMode="External"/><Relationship Id="rId342" Type="http://schemas.openxmlformats.org/officeDocument/2006/relationships/hyperlink" Target="https://www.jconline.com/story/news/crime/2018/08/15/lafayette-man-sentenced-federal-court-child-porn/997625002/" TargetMode="External"/><Relationship Id="rId2268" Type="http://schemas.openxmlformats.org/officeDocument/2006/relationships/hyperlink" Target="https://www.cbs42.com/news/crime/birmingham-man-charged-with-trafficking-meth-also-under-investigation-for-alleged-human-trafficking/1297166767" TargetMode="External"/><Relationship Id="rId3598" Type="http://schemas.openxmlformats.org/officeDocument/2006/relationships/hyperlink" Target="https://www.justice.gov/usao-mdpa/pr/new-bedford-massachusetts-man-sentenced-25-years-imprisonment-child-pornography-charges" TargetMode="External"/><Relationship Id="rId2258" Type="http://schemas.openxmlformats.org/officeDocument/2006/relationships/hyperlink" Target="https://hilite.org/58422/news/press-release-chs-swim-coach-john-goelz-faces-sexual-exploitation-charges/" TargetMode="External"/><Relationship Id="rId2259" Type="http://schemas.openxmlformats.org/officeDocument/2006/relationships/hyperlink" Target="https://www.courtlistener.com/docket/8098734/united-states-v-goelz/" TargetMode="External"/><Relationship Id="rId3589" Type="http://schemas.openxmlformats.org/officeDocument/2006/relationships/hyperlink" Target="https://www.justice.gov/usao-mdfl/pr/jacksonville-man-pleads-guilty-distributing-child-sex-abuse-photos-over-internet" TargetMode="External"/><Relationship Id="rId338" Type="http://schemas.openxmlformats.org/officeDocument/2006/relationships/hyperlink" Target="https://www.timesledger.com/stories/2018/16/guiltyplea_2018_04_20_q.html" TargetMode="External"/><Relationship Id="rId337" Type="http://schemas.openxmlformats.org/officeDocument/2006/relationships/hyperlink" Target="https://www.justice.gov/usao-az/pr/tsaile-man-sentenced-20-years-imprisonment-sexual-abuse-minor-and-child-pornography" TargetMode="External"/><Relationship Id="rId336" Type="http://schemas.openxmlformats.org/officeDocument/2006/relationships/hyperlink" Target="https://www.justice.gov/usao-edva/pr/pimp-sentenced-25-years-sex-trafficking-minor" TargetMode="External"/><Relationship Id="rId335" Type="http://schemas.openxmlformats.org/officeDocument/2006/relationships/hyperlink" Target="http://www.goshennews.com/news/local_news/sentence-decided-in-child-porn-case/article_2046ba6e-1449-5773-a336-cfd8e0d4b58e.html" TargetMode="External"/><Relationship Id="rId3580" Type="http://schemas.openxmlformats.org/officeDocument/2006/relationships/hyperlink" Target="http://archive.fo/wuf8V" TargetMode="External"/><Relationship Id="rId339" Type="http://schemas.openxmlformats.org/officeDocument/2006/relationships/hyperlink" Target="https://tylerpaper.com/news/local/tyler-woman-pleads-guilty-to-human-trafficking-sentenced-to-three/article_0257bc34-584b-11e8-a88d-37bc45b1fd95.html" TargetMode="External"/><Relationship Id="rId330" Type="http://schemas.openxmlformats.org/officeDocument/2006/relationships/hyperlink" Target="https://www.justice.gov/usao-edca/pr/elk-grove-man-arrested-sex-trafficking-child" TargetMode="External"/><Relationship Id="rId2250" Type="http://schemas.openxmlformats.org/officeDocument/2006/relationships/hyperlink" Target="http://www.kbtx.com/content/news/Two-arrested-for-child-pornography-sexual-assault-of-a-child-487162941.html" TargetMode="External"/><Relationship Id="rId3582" Type="http://schemas.openxmlformats.org/officeDocument/2006/relationships/hyperlink" Target="https://www.justice.gov/usao-ndwv/pr/morgantown-man-admits-child-pornography-charge" TargetMode="External"/><Relationship Id="rId2251" Type="http://schemas.openxmlformats.org/officeDocument/2006/relationships/hyperlink" Target="https://www.highlandnews.net/news/public_safety/san-jacinto-man-charged-in-human-trafficking-case/article_c88ce608-806f-11e8-8b60-737416e2ebb0.html" TargetMode="External"/><Relationship Id="rId3581" Type="http://schemas.openxmlformats.org/officeDocument/2006/relationships/hyperlink" Target="https://www.courtlistener.com/docket/14741870/united-states-v-kurtz/" TargetMode="External"/><Relationship Id="rId2252" Type="http://schemas.openxmlformats.org/officeDocument/2006/relationships/hyperlink" Target="https://www.cbp.gov/newsroom/local-media-release/immigration-checkpoint-arrests-leads-rescue-children" TargetMode="External"/><Relationship Id="rId3584" Type="http://schemas.openxmlformats.org/officeDocument/2006/relationships/hyperlink" Target="https://www.cbp.gov/newsroom/local-media-release/checkpoint-agents-stop-big-rig-smuggling-attempt-rio-grande-valley" TargetMode="External"/><Relationship Id="rId2253" Type="http://schemas.openxmlformats.org/officeDocument/2006/relationships/hyperlink" Target="http://www.cleveland19.com/story/38569341/former-hudson-city-schools-it-manager-arrested-on-child-porn-charges/" TargetMode="External"/><Relationship Id="rId3583" Type="http://schemas.openxmlformats.org/officeDocument/2006/relationships/hyperlink" Target="https://www.cbp.gov/newsroom/local-media-release/convicted-felon-arrested-smuggling-three-illegal-aliens" TargetMode="External"/><Relationship Id="rId334" Type="http://schemas.openxmlformats.org/officeDocument/2006/relationships/hyperlink" Target="https://www.justice.gov/usao-mdfl/pr/lake-county-man-sentenced-40-years-production-and-transportation-child-pornography" TargetMode="External"/><Relationship Id="rId2254" Type="http://schemas.openxmlformats.org/officeDocument/2006/relationships/hyperlink" Target="https://www.courtlistener.com/?q=&amp;type=r&amp;order_by=score+desc&amp;docket_number=5%3A18-cr-00361&amp;court=ohnd" TargetMode="External"/><Relationship Id="rId3586" Type="http://schemas.openxmlformats.org/officeDocument/2006/relationships/hyperlink" Target="https://www.justice.gov/usao-ndoh/pr/lorain-man-indicted-child-pornography-charges" TargetMode="External"/><Relationship Id="rId333" Type="http://schemas.openxmlformats.org/officeDocument/2006/relationships/hyperlink" Target="https://www.ice.gov/news/releases/texas-man-pleads-guilty-transporting-woman-new-mexico-prostitution" TargetMode="External"/><Relationship Id="rId2255" Type="http://schemas.openxmlformats.org/officeDocument/2006/relationships/hyperlink" Target="http://archive.fo/hXs3l" TargetMode="External"/><Relationship Id="rId3585" Type="http://schemas.openxmlformats.org/officeDocument/2006/relationships/hyperlink" Target="https://www.ice.gov/news/releases/ice-arrests-suspected-human-smuggler-54-illegal-aliens-el-paso-smuggling-stash-house" TargetMode="External"/><Relationship Id="rId332" Type="http://schemas.openxmlformats.org/officeDocument/2006/relationships/hyperlink" Target="http://www.duluthnewstribune.com/news/4291129-19-arrested-minnesota-human-trafficking-sting-10-victims-rescued-officials-say" TargetMode="External"/><Relationship Id="rId2256" Type="http://schemas.openxmlformats.org/officeDocument/2006/relationships/hyperlink" Target="http://archive.fo/BkPox" TargetMode="External"/><Relationship Id="rId3588" Type="http://schemas.openxmlformats.org/officeDocument/2006/relationships/hyperlink" Target="https://www.courtlistener.com/docket/14819985/united-states-v-flanigan/" TargetMode="External"/><Relationship Id="rId331" Type="http://schemas.openxmlformats.org/officeDocument/2006/relationships/hyperlink" Target="https://www.justice.gov/usao-edca/pr/elk-grove-man-sentenced-over-12-years-prison-sex-trafficking-child" TargetMode="External"/><Relationship Id="rId2257" Type="http://schemas.openxmlformats.org/officeDocument/2006/relationships/hyperlink" Target="https://www.justice.gov/usao-sdin/pr/high-school-swim-coach-receives-200-months-sexually-exploiting-student-athlete" TargetMode="External"/><Relationship Id="rId3587" Type="http://schemas.openxmlformats.org/officeDocument/2006/relationships/hyperlink" Target="https://www.ksdk.com/article/news/local/shiloh-man-arrested-on-child-porn-charges/49449630" TargetMode="External"/><Relationship Id="rId370" Type="http://schemas.openxmlformats.org/officeDocument/2006/relationships/hyperlink" Target="https://www.justice.gov/usao-sdoh/pr/two-brothers-charged-sex-trafficking-children" TargetMode="External"/><Relationship Id="rId369" Type="http://schemas.openxmlformats.org/officeDocument/2006/relationships/hyperlink" Target="https://www.justice.gov/usao-sd/pr/rapid-city-man-indicted-commercial-sex-trafficking" TargetMode="External"/><Relationship Id="rId368" Type="http://schemas.openxmlformats.org/officeDocument/2006/relationships/hyperlink" Target="https://www.clarionledger.com/story/news/2017/06/15/man-wanted-human-trafficking-charges-alabama-caught-hinds-county/401207001/" TargetMode="External"/><Relationship Id="rId2280" Type="http://schemas.openxmlformats.org/officeDocument/2006/relationships/hyperlink" Target="https://www.justice.gov/usao-wdny/pr/former-boy-scout-employee-arrested-charged-possession-child-pornography" TargetMode="External"/><Relationship Id="rId2281" Type="http://schemas.openxmlformats.org/officeDocument/2006/relationships/hyperlink" Target="https://thegoldwater.com/news/30814-Yahoo-Turns-In-Boy-Scouts-Leader-for-Possession-of-Child-Pornography" TargetMode="External"/><Relationship Id="rId2282" Type="http://schemas.openxmlformats.org/officeDocument/2006/relationships/hyperlink" Target="https://www.cbp.gov/newsroom/local-media-release/del-rio-sector-border-patrol-agents-arrest-32-illegal-aliens-2" TargetMode="External"/><Relationship Id="rId363" Type="http://schemas.openxmlformats.org/officeDocument/2006/relationships/hyperlink" Target="http://whiteplains.dailyvoice.com/news/mexican-nationals-extradited-to-new-york-on-sex-trafficking-charges/736636/" TargetMode="External"/><Relationship Id="rId2283" Type="http://schemas.openxmlformats.org/officeDocument/2006/relationships/hyperlink" Target="https://www.justice.gov/usao-edla/pr/thibodaux-man-indicted-receipt-child-pornography" TargetMode="External"/><Relationship Id="rId362" Type="http://schemas.openxmlformats.org/officeDocument/2006/relationships/hyperlink" Target="https://www.cbp.gov/newsroom/local-media-release/human-smuggling-attempt-stopped-immigration-checkpoint-0" TargetMode="External"/><Relationship Id="rId2284" Type="http://schemas.openxmlformats.org/officeDocument/2006/relationships/hyperlink" Target="https://taskandpurpose.com/navy-desertion-sex-trafficking-bahrain/" TargetMode="External"/><Relationship Id="rId361" Type="http://schemas.openxmlformats.org/officeDocument/2006/relationships/hyperlink" Target="https://www.eastbaytimes.com/2018/05/22/oakland-human-trafficker-who-burned-tortured-victims-found-guilty-on-all-charges/" TargetMode="External"/><Relationship Id="rId2285" Type="http://schemas.openxmlformats.org/officeDocument/2006/relationships/hyperlink" Target="https://www.breitbart.com/texas/2018/07/10/human-smuggler-sends-6-to-hospital-after-high-speed-chase/" TargetMode="External"/><Relationship Id="rId360" Type="http://schemas.openxmlformats.org/officeDocument/2006/relationships/hyperlink" Target="http://www.herald-dispatch.com/news/huntington-man-indicted-on-sex-trafficking-charge/article_e9af9da6-6217-5f49-8351-d1e0576ae03c.html" TargetMode="External"/><Relationship Id="rId2286" Type="http://schemas.openxmlformats.org/officeDocument/2006/relationships/hyperlink" Target="https://www.justice.gov/usao-wdpa/pr/erie-man-charged-receiving-and-possessing-child-pornography" TargetMode="External"/><Relationship Id="rId367" Type="http://schemas.openxmlformats.org/officeDocument/2006/relationships/hyperlink" Target="http://www.reflector.com/Crime-and-Rescue/2017/06/17/Search-warrant-women-fed-drugs-beaten-into-prostitution.html" TargetMode="External"/><Relationship Id="rId2287" Type="http://schemas.openxmlformats.org/officeDocument/2006/relationships/hyperlink" Target="http://www.goerie.com/news/20180710/millcreek-man-indicted-on-child-pornography-charges" TargetMode="External"/><Relationship Id="rId366" Type="http://schemas.openxmlformats.org/officeDocument/2006/relationships/hyperlink" Target="http://archive.fo/1cK3Q" TargetMode="External"/><Relationship Id="rId2288" Type="http://schemas.openxmlformats.org/officeDocument/2006/relationships/hyperlink" Target="https://www.courtlistener.com/docket/7402085/united-states-v-prindle/" TargetMode="External"/><Relationship Id="rId365" Type="http://schemas.openxmlformats.org/officeDocument/2006/relationships/hyperlink" Target="http://archive.is/FSyuT" TargetMode="External"/><Relationship Id="rId2289" Type="http://schemas.openxmlformats.org/officeDocument/2006/relationships/hyperlink" Target="https://www.cbp.gov/newsroom/local-media-release/laredo-sector-border-patrol-agents-discover-illegal-aliens-hidden" TargetMode="External"/><Relationship Id="rId364" Type="http://schemas.openxmlformats.org/officeDocument/2006/relationships/hyperlink" Target="https://minnesota.cbslocal.com/2017/06/12/redwood-county-prostitution-sting-arrests/" TargetMode="External"/><Relationship Id="rId95" Type="http://schemas.openxmlformats.org/officeDocument/2006/relationships/hyperlink" Target="http://archive.is/jVT15" TargetMode="External"/><Relationship Id="rId94" Type="http://schemas.openxmlformats.org/officeDocument/2006/relationships/hyperlink" Target="http://archive.is/YLWJR" TargetMode="External"/><Relationship Id="rId97" Type="http://schemas.openxmlformats.org/officeDocument/2006/relationships/hyperlink" Target="http://archive.is/Fek7W" TargetMode="External"/><Relationship Id="rId96" Type="http://schemas.openxmlformats.org/officeDocument/2006/relationships/hyperlink" Target="https://www.justice.gov/usao-md/pr/essex-sex-offender-sentenced-over-12-years-federal-prison-transportation-child" TargetMode="External"/><Relationship Id="rId99" Type="http://schemas.openxmlformats.org/officeDocument/2006/relationships/hyperlink" Target="http://www.hannapub.com/ouachitacitizen/news/local_state_headlines/two-child-sex-trafficking-suspects-apprehended/article_1f904234-f92f-11e6-920c-3fc635d68b13.html" TargetMode="External"/><Relationship Id="rId98" Type="http://schemas.openxmlformats.org/officeDocument/2006/relationships/hyperlink" Target="http://archive.is/ZW5yb" TargetMode="External"/><Relationship Id="rId91" Type="http://schemas.openxmlformats.org/officeDocument/2006/relationships/hyperlink" Target="http://archive.is/VOcYv" TargetMode="External"/><Relationship Id="rId90" Type="http://schemas.openxmlformats.org/officeDocument/2006/relationships/hyperlink" Target="http://archive.fo/l90wx" TargetMode="External"/><Relationship Id="rId93" Type="http://schemas.openxmlformats.org/officeDocument/2006/relationships/hyperlink" Target="https://www.justice.gov/usao-nm/pr/lieutenant-kirtland-air-force-base-pleads-guilty-federal-child-pornography-charges" TargetMode="External"/><Relationship Id="rId92" Type="http://schemas.openxmlformats.org/officeDocument/2006/relationships/hyperlink" Target="https://www.cbp.gov/newsroom/local-media-release/trunk-smuggling-attempts-stopped" TargetMode="External"/><Relationship Id="rId359" Type="http://schemas.openxmlformats.org/officeDocument/2006/relationships/hyperlink" Target="http://archive.fo/DO5Nb" TargetMode="External"/><Relationship Id="rId358" Type="http://schemas.openxmlformats.org/officeDocument/2006/relationships/hyperlink" Target="https://web.archive.org/web/20190415152545/https://www.sentinelsource.com/news/local_crime_reports/keene-man-gets-two-decade-sentence-for-sexually-exploiting-child/article_10b04c40-bb81-5e85-a003-e7bdfac9da7a.html" TargetMode="External"/><Relationship Id="rId357" Type="http://schemas.openxmlformats.org/officeDocument/2006/relationships/hyperlink" Target="https://www.sentinelsource.com/news/local/keene-man-accused-of-soliciting-sex-acts-from-a-child/article_ad587491-968b-5de5-b25c-cd4e778f912b.html" TargetMode="External"/><Relationship Id="rId2270" Type="http://schemas.openxmlformats.org/officeDocument/2006/relationships/hyperlink" Target="https://www.justice.gov/usao-edva/pr/two-men-convicted-running-prostitution-business-northern-virginia" TargetMode="External"/><Relationship Id="rId2271" Type="http://schemas.openxmlformats.org/officeDocument/2006/relationships/hyperlink" Target="https://patch.com/virginia/ashburn/prostitution-ring-busted-loudoun-county-police" TargetMode="External"/><Relationship Id="rId352" Type="http://schemas.openxmlformats.org/officeDocument/2006/relationships/hyperlink" Target="https://www.justice.gov/usao-ndoh/pr/van-wert-man-indicted-child-pornography-0" TargetMode="External"/><Relationship Id="rId2272" Type="http://schemas.openxmlformats.org/officeDocument/2006/relationships/hyperlink" Target="http://archive.fo/ONdvP" TargetMode="External"/><Relationship Id="rId351" Type="http://schemas.openxmlformats.org/officeDocument/2006/relationships/hyperlink" Target="https://www.justice.gov/usao-wdpa/pr/mckean-pa-man-indicted-child-exploitation-charges" TargetMode="External"/><Relationship Id="rId2273" Type="http://schemas.openxmlformats.org/officeDocument/2006/relationships/hyperlink" Target="http://archive.fo/dwmH7" TargetMode="External"/><Relationship Id="rId350" Type="http://schemas.openxmlformats.org/officeDocument/2006/relationships/hyperlink" Target="https://www.justice.gov/usao-wdpa/pr/mckean-pa-man-pleads-guilty-charges-relating-sexual-exploitation-children" TargetMode="External"/><Relationship Id="rId2274" Type="http://schemas.openxmlformats.org/officeDocument/2006/relationships/hyperlink" Target="https://www.justice.gov/usao-edva/pr/two-men-convicted-running-prostitution-business-northern-virginia" TargetMode="External"/><Relationship Id="rId2275" Type="http://schemas.openxmlformats.org/officeDocument/2006/relationships/hyperlink" Target="https://patch.com/virginia/ashburn/prostitution-ring-busted-loudoun-county-police" TargetMode="External"/><Relationship Id="rId356" Type="http://schemas.openxmlformats.org/officeDocument/2006/relationships/hyperlink" Target="https://www.justice.gov/usao-me/pr/keene-man-sentenced-20-years-sexually-exploiting-child" TargetMode="External"/><Relationship Id="rId2276" Type="http://schemas.openxmlformats.org/officeDocument/2006/relationships/hyperlink" Target="http://archive.fo/ONdvP" TargetMode="External"/><Relationship Id="rId355" Type="http://schemas.openxmlformats.org/officeDocument/2006/relationships/hyperlink" Target="https://www.courtlistener.com/docket/7460933/united-states-v-jason-novoa/" TargetMode="External"/><Relationship Id="rId2277" Type="http://schemas.openxmlformats.org/officeDocument/2006/relationships/hyperlink" Target="http://archive.fo/TQhiz" TargetMode="External"/><Relationship Id="rId354" Type="http://schemas.openxmlformats.org/officeDocument/2006/relationships/hyperlink" Target="https://www.justice.gov/usao-ndny/pr/ballston-spa-man-sentenced-120-months-child-pornography-offenses" TargetMode="External"/><Relationship Id="rId2278" Type="http://schemas.openxmlformats.org/officeDocument/2006/relationships/hyperlink" Target="https://www.wkbn.com/news/local-news/authorities-at-least-80-women-subjected-to-human-trafficking-in-mahoning-county/1349513187" TargetMode="External"/><Relationship Id="rId353" Type="http://schemas.openxmlformats.org/officeDocument/2006/relationships/hyperlink" Target="https://www.justice.gov/usao-ndoh/pr/registered-sex-offender-van-wert-sentenced-19-years-prison-downloading-images-young" TargetMode="External"/><Relationship Id="rId2279" Type="http://schemas.openxmlformats.org/officeDocument/2006/relationships/hyperlink" Target="https://www.whiznews.com/2018/10/police-human-trafficking-suspect-apparently-kills-self/" TargetMode="External"/><Relationship Id="rId2225" Type="http://schemas.openxmlformats.org/officeDocument/2006/relationships/hyperlink" Target="https://www.justice.gov/usao-edky/pr/boone-county-man-sentenced-12-years-transporting-child-pornography" TargetMode="External"/><Relationship Id="rId3557" Type="http://schemas.openxmlformats.org/officeDocument/2006/relationships/hyperlink" Target="http://archive.fo/c6i8R" TargetMode="External"/><Relationship Id="rId4888" Type="http://schemas.openxmlformats.org/officeDocument/2006/relationships/hyperlink" Target="https://www.cincinnati.com/story/news/2020/10/24/untouchable-attorney-charged-sex-trafficking/6023108002/" TargetMode="External"/><Relationship Id="rId2226" Type="http://schemas.openxmlformats.org/officeDocument/2006/relationships/hyperlink" Target="https://www.justice.gov/usao-mdfl/pr/sex-offender-sentenced-fifteen-years-child-pornography-offenses-violating-supervised" TargetMode="External"/><Relationship Id="rId3556" Type="http://schemas.openxmlformats.org/officeDocument/2006/relationships/hyperlink" Target="https://www.courtlistener.com/docket/14765109/united-states-v-farrelly/" TargetMode="External"/><Relationship Id="rId4887" Type="http://schemas.openxmlformats.org/officeDocument/2006/relationships/hyperlink" Target="https://www.ice.gov/news/releases/ice-brazil-federal-police-partnership-lead-arrest-human-smuggler" TargetMode="External"/><Relationship Id="rId2227" Type="http://schemas.openxmlformats.org/officeDocument/2006/relationships/hyperlink" Target="https://www.courtlistener.com/docket/7411271/united-states-v-savarese/" TargetMode="External"/><Relationship Id="rId3559" Type="http://schemas.openxmlformats.org/officeDocument/2006/relationships/hyperlink" Target="http://archive.fo/uKfVm" TargetMode="External"/><Relationship Id="rId2228" Type="http://schemas.openxmlformats.org/officeDocument/2006/relationships/hyperlink" Target="https://www.justice.gov/usao-ndfl/pr/tallahassee-music-teacher-sentenced-240-months-prison-enticing-minor-and-child" TargetMode="External"/><Relationship Id="rId3558" Type="http://schemas.openxmlformats.org/officeDocument/2006/relationships/hyperlink" Target="http://archive.fo/lKkiL" TargetMode="External"/><Relationship Id="rId4889" Type="http://schemas.openxmlformats.org/officeDocument/2006/relationships/hyperlink" Target="https://archive.vn/E7Hbo" TargetMode="External"/><Relationship Id="rId2229" Type="http://schemas.openxmlformats.org/officeDocument/2006/relationships/hyperlink" Target="https://www.tallahassee.com/story/news/2017/11/15/former-wakulla-teacher-charged-sex-crimes/866110001/" TargetMode="External"/><Relationship Id="rId305" Type="http://schemas.openxmlformats.org/officeDocument/2006/relationships/hyperlink" Target="https://www.cbp.gov/newsroom/local-media-release/philadelphia-cbp-arrests-fugitive-kansas-felony-child-sexual" TargetMode="External"/><Relationship Id="rId304" Type="http://schemas.openxmlformats.org/officeDocument/2006/relationships/hyperlink" Target="https://www.justice.gov/usao-ndny/pr/johnsonville-man-charged-receiving-and-possessing-child-pornography" TargetMode="External"/><Relationship Id="rId303" Type="http://schemas.openxmlformats.org/officeDocument/2006/relationships/hyperlink" Target="http://archive.fo/ukVke" TargetMode="External"/><Relationship Id="rId302" Type="http://schemas.openxmlformats.org/officeDocument/2006/relationships/hyperlink" Target="https://www.seattlepi.com/local/crime/article/FBI-Men-lured-girls-into-online-chat-11140477.php" TargetMode="External"/><Relationship Id="rId309" Type="http://schemas.openxmlformats.org/officeDocument/2006/relationships/hyperlink" Target="https://nypost.com/2017/05/19/anthony-weiner-will-plead-guilty-to-sexting-with-a-15-year-old-girl/" TargetMode="External"/><Relationship Id="rId308" Type="http://schemas.openxmlformats.org/officeDocument/2006/relationships/hyperlink" Target="http://archive.fo/s5Htf" TargetMode="External"/><Relationship Id="rId307" Type="http://schemas.openxmlformats.org/officeDocument/2006/relationships/hyperlink" Target="https://www.thedailynewsonline.com/bdn01/child-porn-in-library-case-now-in-federal-court-20171005" TargetMode="External"/><Relationship Id="rId306" Type="http://schemas.openxmlformats.org/officeDocument/2006/relationships/hyperlink" Target="https://www.justice.gov/usao-wdny/pr/batavia-man-pleads-guilty-viewing-child-pornography-local-library" TargetMode="External"/><Relationship Id="rId4880" Type="http://schemas.openxmlformats.org/officeDocument/2006/relationships/hyperlink" Target="https://www.justice.gov/usao-sdil/pr/fairview-heights-man-charged-child-pornography-possession" TargetMode="External"/><Relationship Id="rId3551" Type="http://schemas.openxmlformats.org/officeDocument/2006/relationships/hyperlink" Target="https://www.justice.gov/usao-wy/pr/teamwork-between-state-and-federal-agents-nets-substantial-sentneces-exploitation" TargetMode="External"/><Relationship Id="rId4882" Type="http://schemas.openxmlformats.org/officeDocument/2006/relationships/hyperlink" Target="https://www.cbp.gov/newsroom/local-media-release/packed-trunks-multiple-human-smuggling-attempts-stopped-checkpoint" TargetMode="External"/><Relationship Id="rId2220" Type="http://schemas.openxmlformats.org/officeDocument/2006/relationships/hyperlink" Target="https://www.justice.gov/usao-sdil/pr/child-pornography-leads-10-year-sentence-centralia-man" TargetMode="External"/><Relationship Id="rId3550" Type="http://schemas.openxmlformats.org/officeDocument/2006/relationships/hyperlink" Target="https://www.justice.gov/usao-ma/pr/taunton-man-sentenced-child-pornography-offenses" TargetMode="External"/><Relationship Id="rId4881" Type="http://schemas.openxmlformats.org/officeDocument/2006/relationships/hyperlink" Target="https://www.justice.gov/usao-ma/pr/massachusetts-man-arrested-child-pornography-charges" TargetMode="External"/><Relationship Id="rId301" Type="http://schemas.openxmlformats.org/officeDocument/2006/relationships/hyperlink" Target="https://www.justice.gov/usao-edmi/pr/washington-state-man-was-sentenced-55-years-child-exploitation-charges" TargetMode="External"/><Relationship Id="rId2221" Type="http://schemas.openxmlformats.org/officeDocument/2006/relationships/hyperlink" Target="https://www.courtlistener.com/docket/7560984/united-states-v-keller/" TargetMode="External"/><Relationship Id="rId3553" Type="http://schemas.openxmlformats.org/officeDocument/2006/relationships/hyperlink" Target="https://www.justice.gov/usao-ak/pr/eagle-river-man-sentenced-15-years-federal-prison-sexual-exploitation-minor-production" TargetMode="External"/><Relationship Id="rId4884" Type="http://schemas.openxmlformats.org/officeDocument/2006/relationships/hyperlink" Target="https://www.justice.gov/usao-ednc/pr/william-jeffery-raleigh-indicted-child-pornography-charge" TargetMode="External"/><Relationship Id="rId300" Type="http://schemas.openxmlformats.org/officeDocument/2006/relationships/hyperlink" Target="https://www.justice.gov/usao-wdmo/pr/independence-man-sentenced-16-years-producing-child-pornography" TargetMode="External"/><Relationship Id="rId2222" Type="http://schemas.openxmlformats.org/officeDocument/2006/relationships/hyperlink" Target="https://www.justice.gov/usao-ks/pr/kck-man-sentenced-distributing-child-pornography" TargetMode="External"/><Relationship Id="rId3552" Type="http://schemas.openxmlformats.org/officeDocument/2006/relationships/hyperlink" Target="https://www.courtlistener.com/docket/14783026/united-states-v-cotter/" TargetMode="External"/><Relationship Id="rId4883" Type="http://schemas.openxmlformats.org/officeDocument/2006/relationships/hyperlink" Target="https://www.justice.gov/usao-nj/pr/three-men-charged-federal-sex-crimes-after-attempting-sexual-contact-children-they-met" TargetMode="External"/><Relationship Id="rId2223" Type="http://schemas.openxmlformats.org/officeDocument/2006/relationships/hyperlink" Target="https://www.courtlistener.com/docket/7493133/united-states-v-lehman/" TargetMode="External"/><Relationship Id="rId3555" Type="http://schemas.openxmlformats.org/officeDocument/2006/relationships/hyperlink" Target="http://www.newsdaytonabeach.com/wndb-news/flagler-man-indicted-for-sex-trafficking-of-a-minor/" TargetMode="External"/><Relationship Id="rId4886" Type="http://schemas.openxmlformats.org/officeDocument/2006/relationships/hyperlink" Target="https://www.cbp.gov/newsroom/local-media-release/rgv-agents-disrupt-five-human-smuggling-attempts-48-hours" TargetMode="External"/><Relationship Id="rId2224" Type="http://schemas.openxmlformats.org/officeDocument/2006/relationships/hyperlink" Target="https://www.courtlistener.com/docket/7792293/united-states-v-gailey/" TargetMode="External"/><Relationship Id="rId3554" Type="http://schemas.openxmlformats.org/officeDocument/2006/relationships/hyperlink" Target="https://www.justice.gov/usao-mdfl/pr/flagler-county-man-indicted-sex-trafficking-minor" TargetMode="External"/><Relationship Id="rId4885" Type="http://schemas.openxmlformats.org/officeDocument/2006/relationships/hyperlink" Target="https://www.cbp.gov/newsroom/local-media-release/us-citizens-arrested-smuggling-two-mexican-nationals-trunk-car-0" TargetMode="External"/><Relationship Id="rId2214" Type="http://schemas.openxmlformats.org/officeDocument/2006/relationships/hyperlink" Target="https://www.justice.gov/opa/pr/ten-men-sentenced-prison-their-roles-child-exploitation-enterprise-and-conspiracy" TargetMode="External"/><Relationship Id="rId3546" Type="http://schemas.openxmlformats.org/officeDocument/2006/relationships/hyperlink" Target="https://www.justice.gov/usao-sdil/pr/st-clair-county-man-pleads-guilty-receiving-child-pornography" TargetMode="External"/><Relationship Id="rId4877" Type="http://schemas.openxmlformats.org/officeDocument/2006/relationships/hyperlink" Target="https://www.justice.gov/usao-edar/pr/jonesboro-man-arrested-allegedly-producing-child-pornography" TargetMode="External"/><Relationship Id="rId2215" Type="http://schemas.openxmlformats.org/officeDocument/2006/relationships/hyperlink" Target="https://www.justice.gov/usao-ndny/pr/border-patrol-agent-arrested-distribution-child-pornography" TargetMode="External"/><Relationship Id="rId3545" Type="http://schemas.openxmlformats.org/officeDocument/2006/relationships/hyperlink" Target="https://www.justice.gov/usao-ne/pr/la-vista-man-sentenced-cyberstalking-and-child-pornography" TargetMode="External"/><Relationship Id="rId4876" Type="http://schemas.openxmlformats.org/officeDocument/2006/relationships/hyperlink" Target="https://www.cbp.gov/newsroom/local-media-release/border-patrol-discovers-100-individuals-being-smuggled-commercial" TargetMode="External"/><Relationship Id="rId2216" Type="http://schemas.openxmlformats.org/officeDocument/2006/relationships/hyperlink" Target="https://www.justice.gov/usao-ndtx/pr/fort-worth-man-sentenced-30-years-sexual-exploitation-infant" TargetMode="External"/><Relationship Id="rId3548" Type="http://schemas.openxmlformats.org/officeDocument/2006/relationships/hyperlink" Target="https://www.justice.gov/usao-pr/pr/youth-basketball-coach-arrested-attempted-production-child-pornography-and-coercion-and" TargetMode="External"/><Relationship Id="rId4879" Type="http://schemas.openxmlformats.org/officeDocument/2006/relationships/hyperlink" Target="https://archive.vn/wip/6MZZg" TargetMode="External"/><Relationship Id="rId2217" Type="http://schemas.openxmlformats.org/officeDocument/2006/relationships/hyperlink" Target="https://www.cbp.gov/newsroom/national-media-release/border-patrol-agents-rescue-64-illegal-aliens-trapped-tractor" TargetMode="External"/><Relationship Id="rId3547" Type="http://schemas.openxmlformats.org/officeDocument/2006/relationships/hyperlink" Target="https://www.courtlistener.com/docket/14759879/united-states-v-young/" TargetMode="External"/><Relationship Id="rId4878" Type="http://schemas.openxmlformats.org/officeDocument/2006/relationships/hyperlink" Target="https://www.kait8.com/2020/10/14/fbi-arrests-jonesboro-man-little-rock-suspicion-child-porn/" TargetMode="External"/><Relationship Id="rId2218" Type="http://schemas.openxmlformats.org/officeDocument/2006/relationships/hyperlink" Target="https://www.cbp.gov/newsroom/national-media-release/border-patrol-agents-rescue-64-illegal-aliens-trapped-tractor" TargetMode="External"/><Relationship Id="rId2219" Type="http://schemas.openxmlformats.org/officeDocument/2006/relationships/hyperlink" Target="https://www.wsav.com/investigates/crime-safety/savannah-police-arrest-16-in-prostitution-stings/1323538940" TargetMode="External"/><Relationship Id="rId3549" Type="http://schemas.openxmlformats.org/officeDocument/2006/relationships/hyperlink" Target="https://www.courtlistener.com/docket/14886487/united-states-v-diaz-rosado/" TargetMode="External"/><Relationship Id="rId3540" Type="http://schemas.openxmlformats.org/officeDocument/2006/relationships/hyperlink" Target="https://www.justice.gov/usao-ne/pr/lincoln-man-sentenced-human-trafficking-sting" TargetMode="External"/><Relationship Id="rId4871" Type="http://schemas.openxmlformats.org/officeDocument/2006/relationships/hyperlink" Target="https://www.cbp.gov/newsroom/local-media-release/two-human-smuggling-cases-linked-and-child-reunited-parents" TargetMode="External"/><Relationship Id="rId4870" Type="http://schemas.openxmlformats.org/officeDocument/2006/relationships/hyperlink" Target="https://www.justice.gov/usao-ndca/pr/washington-state-resident-charged-distribution-child-pornography-after-allegedly" TargetMode="External"/><Relationship Id="rId2210" Type="http://schemas.openxmlformats.org/officeDocument/2006/relationships/hyperlink" Target="https://www.cbp.gov/newsroom/national-media-release/border-patrol-agents-rescue-64-illegal-aliens-trapped-tractor" TargetMode="External"/><Relationship Id="rId3542" Type="http://schemas.openxmlformats.org/officeDocument/2006/relationships/hyperlink" Target="https://www.justice.gov/usao-ndny/pr/albany-man-charged-distributing-and-receiving-child-pornography" TargetMode="External"/><Relationship Id="rId4873" Type="http://schemas.openxmlformats.org/officeDocument/2006/relationships/hyperlink" Target="https://www.presenciapr.com/tag/jorge-javier-marrero-gerena/" TargetMode="External"/><Relationship Id="rId2211" Type="http://schemas.openxmlformats.org/officeDocument/2006/relationships/hyperlink" Target="https://www.cbp.gov/newsroom/national-media-release/border-patrol-agents-rescue-64-illegal-aliens-trapped-tractor" TargetMode="External"/><Relationship Id="rId3541" Type="http://schemas.openxmlformats.org/officeDocument/2006/relationships/hyperlink" Target="https://www.justice.gov/usao-wdny/pr/rochester-man-convicted-enticing-minor-online-going-prison-12-years" TargetMode="External"/><Relationship Id="rId4872" Type="http://schemas.openxmlformats.org/officeDocument/2006/relationships/hyperlink" Target="https://www.justice.gov/usao-pr/pr/jorge-javier-marrero-gerena-arrested-charges-child-pornography" TargetMode="External"/><Relationship Id="rId2212" Type="http://schemas.openxmlformats.org/officeDocument/2006/relationships/hyperlink" Target="https://www.cbp.gov/newsroom/local-media-release/twelve-discovered-tractor-trailer-rio-grande-valley" TargetMode="External"/><Relationship Id="rId3544" Type="http://schemas.openxmlformats.org/officeDocument/2006/relationships/hyperlink" Target="https://www.justice.gov/usao-wdtn/pr/hardin-county-man-indicted-production-child-pornography-and-possession-child" TargetMode="External"/><Relationship Id="rId4875" Type="http://schemas.openxmlformats.org/officeDocument/2006/relationships/hyperlink" Target="https://archive.vn/g6Hc3" TargetMode="External"/><Relationship Id="rId2213" Type="http://schemas.openxmlformats.org/officeDocument/2006/relationships/hyperlink" Target="https://www.justice.gov/usao-edpa/pr/new-york-man-sentenced-30-years-prison-engaging-child-exploitation-enterprise" TargetMode="External"/><Relationship Id="rId3543" Type="http://schemas.openxmlformats.org/officeDocument/2006/relationships/hyperlink" Target="https://www.courtlistener.com/docket/14741870/united-states-v-kurtz/" TargetMode="External"/><Relationship Id="rId4874" Type="http://schemas.openxmlformats.org/officeDocument/2006/relationships/hyperlink" Target="https://archive.vn/wip/GzMlG" TargetMode="External"/><Relationship Id="rId2247" Type="http://schemas.openxmlformats.org/officeDocument/2006/relationships/hyperlink" Target="https://www.courtlistener.com/?q=&amp;type=r&amp;order_by=score+desc&amp;docket_number=3%3A18-cr-00359&amp;court=ohnd" TargetMode="External"/><Relationship Id="rId3579" Type="http://schemas.openxmlformats.org/officeDocument/2006/relationships/hyperlink" Target="http://archive.fo/OOXtq" TargetMode="External"/><Relationship Id="rId2248" Type="http://schemas.openxmlformats.org/officeDocument/2006/relationships/hyperlink" Target="https://www.courtlistener.com/docket/14587660/united-states-v-morrison/" TargetMode="External"/><Relationship Id="rId3578" Type="http://schemas.openxmlformats.org/officeDocument/2006/relationships/hyperlink" Target="https://www.courtlistener.com/?q=&amp;type=r&amp;order_by=score+desc&amp;docket_number=1%3A19-cr-00102&amp;court=vaed" TargetMode="External"/><Relationship Id="rId2249" Type="http://schemas.openxmlformats.org/officeDocument/2006/relationships/hyperlink" Target="http://www.fox29.com/news/local-news/woman-charged-with-using-3-year-old-daughter-to-create-child-porn-in-upper-darby" TargetMode="External"/><Relationship Id="rId327" Type="http://schemas.openxmlformats.org/officeDocument/2006/relationships/hyperlink" Target="https://www.justice.gov/usao-ks/pr/ottawa-man-sentenced-seeking-child-mother-sex" TargetMode="External"/><Relationship Id="rId326" Type="http://schemas.openxmlformats.org/officeDocument/2006/relationships/hyperlink" Target="https://steemit.com/pizzagate/@titusfrost/the-start-of-actual-pizzagate-arrests" TargetMode="External"/><Relationship Id="rId325" Type="http://schemas.openxmlformats.org/officeDocument/2006/relationships/hyperlink" Target="https://wp.me/p4Jhbb-bf7" TargetMode="External"/><Relationship Id="rId324" Type="http://schemas.openxmlformats.org/officeDocument/2006/relationships/hyperlink" Target="https://www.courtlistener.com/docket/7427508/united-states-v-dunn/" TargetMode="External"/><Relationship Id="rId329" Type="http://schemas.openxmlformats.org/officeDocument/2006/relationships/hyperlink" Target="https://www.ice.gov/news/releases/jordanian-man-pleads-guilty-conspiracy-smuggle-yemenis-and-other-aliens-us" TargetMode="External"/><Relationship Id="rId328" Type="http://schemas.openxmlformats.org/officeDocument/2006/relationships/hyperlink" Target="http://www.kmbc.com/article/ottawa-man-accused-of-attempted-child-sex-trafficking/10017416" TargetMode="External"/><Relationship Id="rId3571" Type="http://schemas.openxmlformats.org/officeDocument/2006/relationships/hyperlink" Target="https://alphanewsmn.com/former-mpls-school-teacher-and-volunteer-charged-with-sexual-exploitation-of-minors/" TargetMode="External"/><Relationship Id="rId2240" Type="http://schemas.openxmlformats.org/officeDocument/2006/relationships/hyperlink" Target="https://www.justice.gov/usao-wdny/pr/gates-man-pleads-guilty-child-pornography-charge" TargetMode="External"/><Relationship Id="rId3570" Type="http://schemas.openxmlformats.org/officeDocument/2006/relationships/hyperlink" Target="https://www.justice.gov/usao-md/pr/silver-spring-sex-offender-pleads-guilty-possession-child-pornography" TargetMode="External"/><Relationship Id="rId2241" Type="http://schemas.openxmlformats.org/officeDocument/2006/relationships/hyperlink" Target="https://www.democratandchronicle.com/story/news/2019/02/23/sean-blackwell-gates-pleads-guilty-child-pornography-possession/2963054002/" TargetMode="External"/><Relationship Id="rId3573" Type="http://schemas.openxmlformats.org/officeDocument/2006/relationships/hyperlink" Target="http://archive.fo/lEiby" TargetMode="External"/><Relationship Id="rId2242" Type="http://schemas.openxmlformats.org/officeDocument/2006/relationships/hyperlink" Target="https://www.justice.gov/usao-ndca/pr/eureka-man-sentenced-12-years-prison-possessing-child-pornography" TargetMode="External"/><Relationship Id="rId3572" Type="http://schemas.openxmlformats.org/officeDocument/2006/relationships/hyperlink" Target="https://www.courtlistener.com/docket/14814044/united-states-v-mosqueda/" TargetMode="External"/><Relationship Id="rId323" Type="http://schemas.openxmlformats.org/officeDocument/2006/relationships/hyperlink" Target="https://www.justice.gov/usao-md/pr/montgomery-county-man-pleads-guilty-possession-child-pornography" TargetMode="External"/><Relationship Id="rId2243" Type="http://schemas.openxmlformats.org/officeDocument/2006/relationships/hyperlink" Target="https://www.courtlistener.com/docket/7425350/united-states-v-rood/" TargetMode="External"/><Relationship Id="rId3575" Type="http://schemas.openxmlformats.org/officeDocument/2006/relationships/hyperlink" Target="https://www.justice.gov/usao-sdil/pr/randolph-county-man-charged-transportation-and-possession-child-pornography-and" TargetMode="External"/><Relationship Id="rId322" Type="http://schemas.openxmlformats.org/officeDocument/2006/relationships/hyperlink" Target="https://www.ajc.com/news/crime--law/prominent-community-figure-facing-child-porn-charges/HGSynNKQOlXWe276SthpnM/" TargetMode="External"/><Relationship Id="rId2244" Type="http://schemas.openxmlformats.org/officeDocument/2006/relationships/hyperlink" Target="https://www.justice.gov/opa/pr/former-virginia-federal-employee-sentenced-more-17-years-prison-producing-child-pornography" TargetMode="External"/><Relationship Id="rId3574" Type="http://schemas.openxmlformats.org/officeDocument/2006/relationships/hyperlink" Target="http://archive.fo/kBDaR" TargetMode="External"/><Relationship Id="rId321" Type="http://schemas.openxmlformats.org/officeDocument/2006/relationships/hyperlink" Target="http://www.sao4th.com/patrick-trottie-arrest-human-trafficking/" TargetMode="External"/><Relationship Id="rId2245" Type="http://schemas.openxmlformats.org/officeDocument/2006/relationships/hyperlink" Target="https://www.courtlistener.com/?q=&amp;type=r&amp;order_by=score+desc&amp;docket_number=1%3A18-cr-00345&amp;court=vaed" TargetMode="External"/><Relationship Id="rId3577" Type="http://schemas.openxmlformats.org/officeDocument/2006/relationships/hyperlink" Target="https://www.wusa9.com/article/news/local/dc/former-st-albans-dorm-master-sentenced-for-transporting-sadistic-child-porn-images/65-66560f13-03a6-423b-b45e-9105dd60484d" TargetMode="External"/><Relationship Id="rId320" Type="http://schemas.openxmlformats.org/officeDocument/2006/relationships/hyperlink" Target="https://www.justice.gov/usao-wdny/pr/lockport-man-arrested-child-pornography-charges" TargetMode="External"/><Relationship Id="rId2246" Type="http://schemas.openxmlformats.org/officeDocument/2006/relationships/hyperlink" Target="https://www.justice.gov/usao-ndoh/pr/operation-darkness-falls-results-arrest-one-most-prolific-dark-net-fentanyl-vendors" TargetMode="External"/><Relationship Id="rId3576" Type="http://schemas.openxmlformats.org/officeDocument/2006/relationships/hyperlink" Target="https://www.justice.gov/opa/pr/former-employee-dc-school-admits-transporting-child-pornography-across-state-lines-and" TargetMode="External"/><Relationship Id="rId2236" Type="http://schemas.openxmlformats.org/officeDocument/2006/relationships/hyperlink" Target="https://www.justice.gov/usao-cdca/pr/federal-prosecutors-bring-child-pornography-and-other-exploitation-cases-part-ongoing" TargetMode="External"/><Relationship Id="rId3568" Type="http://schemas.openxmlformats.org/officeDocument/2006/relationships/hyperlink" Target="https://www.courtlistener.com/?q=&amp;type=r&amp;order_by=score+desc&amp;docket_number=3%3A19-cr-00111&amp;court=nynd" TargetMode="External"/><Relationship Id="rId4899" Type="http://schemas.openxmlformats.org/officeDocument/2006/relationships/hyperlink" Target="https://baltimore.cbslocal.com/2020/10/27/calvin-sampson-iii-indicted-on-federal-child-pornography-charges/" TargetMode="External"/><Relationship Id="rId2237" Type="http://schemas.openxmlformats.org/officeDocument/2006/relationships/hyperlink" Target="https://www.courtlistener.com/docket/7415053/united-states-v-diaz/" TargetMode="External"/><Relationship Id="rId3567" Type="http://schemas.openxmlformats.org/officeDocument/2006/relationships/hyperlink" Target="https://www.justice.gov/usao-ndny/pr/chenango-county-man-sentenced-78-months-child-pornography-convictions" TargetMode="External"/><Relationship Id="rId4898" Type="http://schemas.openxmlformats.org/officeDocument/2006/relationships/hyperlink" Target="https://www.justice.gov/usao-md/pr/baltimore-man-indicted-maryland-federal-charges-production-and-possession-child" TargetMode="External"/><Relationship Id="rId2238" Type="http://schemas.openxmlformats.org/officeDocument/2006/relationships/hyperlink" Target="https://www.justice.gov/usao-wdar/pr/arkansas-man-sentenced-over-23-years-federal-prison-sexually-exploiting-minors-online" TargetMode="External"/><Relationship Id="rId2239" Type="http://schemas.openxmlformats.org/officeDocument/2006/relationships/hyperlink" Target="https://www.courtlistener.com/docket/7668749/united-states-v-greene/" TargetMode="External"/><Relationship Id="rId3569" Type="http://schemas.openxmlformats.org/officeDocument/2006/relationships/hyperlink" Target="https://www.justice.gov/usao-sdil/pr/st-clair-county-man-charged-distributing-and-receiving-child-pornography" TargetMode="External"/><Relationship Id="rId316" Type="http://schemas.openxmlformats.org/officeDocument/2006/relationships/hyperlink" Target="https://www.courtlistener.com/docket/15565833/united-states-v-willette/" TargetMode="External"/><Relationship Id="rId315" Type="http://schemas.openxmlformats.org/officeDocument/2006/relationships/hyperlink" Target="https://fox40.com/2017/05/26/former-gymnastics-instructor-arrested-for-child-molestation/" TargetMode="External"/><Relationship Id="rId314" Type="http://schemas.openxmlformats.org/officeDocument/2006/relationships/hyperlink" Target="https://www.justice.gov/usao-edca/pr/former-el-dorado-county-gymnastics-coach-charged-attempting-produce-child-pornography" TargetMode="External"/><Relationship Id="rId313" Type="http://schemas.openxmlformats.org/officeDocument/2006/relationships/hyperlink" Target="https://www.justice.gov/usao-mdpa/pr/carbon-county-man-sentenced-over-22-years-prison-sexual-exploitation-children" TargetMode="External"/><Relationship Id="rId319" Type="http://schemas.openxmlformats.org/officeDocument/2006/relationships/hyperlink" Target="https://www.justice.gov/usao-edca/pr/minnesota-man-sentenced-16-years-prison-receipt-and-distribution-child-pornography" TargetMode="External"/><Relationship Id="rId318" Type="http://schemas.openxmlformats.org/officeDocument/2006/relationships/hyperlink" Target="https://www.justice.gov/usao-ct/pr/east-hartford-man-pleads-guilty-sex-trafficking-minor" TargetMode="External"/><Relationship Id="rId317" Type="http://schemas.openxmlformats.org/officeDocument/2006/relationships/hyperlink" Target="https://tribfox40.files.wordpress.com/2017/05/keith-willette-54.jpg?quality=85&amp;strip=all&amp;strip=all" TargetMode="External"/><Relationship Id="rId3560" Type="http://schemas.openxmlformats.org/officeDocument/2006/relationships/hyperlink" Target="http://archive.fo/04LgR" TargetMode="External"/><Relationship Id="rId4891" Type="http://schemas.openxmlformats.org/officeDocument/2006/relationships/hyperlink" Target="https://www.justice.gov/usao-sdtx/pr/two-indicted-multiple-counts-child-exploitation" TargetMode="External"/><Relationship Id="rId4890" Type="http://schemas.openxmlformats.org/officeDocument/2006/relationships/hyperlink" Target="https://archive.vn/gw1MJ" TargetMode="External"/><Relationship Id="rId2230" Type="http://schemas.openxmlformats.org/officeDocument/2006/relationships/hyperlink" Target="http://archive.fo/P4M9M" TargetMode="External"/><Relationship Id="rId3562" Type="http://schemas.openxmlformats.org/officeDocument/2006/relationships/hyperlink" Target="https://www.courtlistener.com/docket/14809730/united-states-v-gatlin/" TargetMode="External"/><Relationship Id="rId4893" Type="http://schemas.openxmlformats.org/officeDocument/2006/relationships/hyperlink" Target="https://www.justice.gov/usao-edwi/pr/eau-claire-man-arrested-operation-kick-boxer-child-pornography-distribution-charges" TargetMode="External"/><Relationship Id="rId2231" Type="http://schemas.openxmlformats.org/officeDocument/2006/relationships/hyperlink" Target="http://archive.fo/2Tsms" TargetMode="External"/><Relationship Id="rId3561" Type="http://schemas.openxmlformats.org/officeDocument/2006/relationships/hyperlink" Target="https://www.ice.gov/news/releases/ice-new-york-arrests-previously-removed-salvadoran-national-sex-offender" TargetMode="External"/><Relationship Id="rId4892" Type="http://schemas.openxmlformats.org/officeDocument/2006/relationships/hyperlink" Target="https://www.justice.gov/usao-wdny/pr/cheektowaga-man-arrested-charged-possessing-child-pornography-growing-marijuana-and" TargetMode="External"/><Relationship Id="rId312" Type="http://schemas.openxmlformats.org/officeDocument/2006/relationships/hyperlink" Target="https://www.justice.gov/usao-nh/pr/manchester-resident-pleads-guilty-producing-child-pornography" TargetMode="External"/><Relationship Id="rId2232" Type="http://schemas.openxmlformats.org/officeDocument/2006/relationships/hyperlink" Target="https://www.justice.gov/usao-edva/pr/convicted-sex-offender-pleads-guilty-child-pornography-charge" TargetMode="External"/><Relationship Id="rId3564" Type="http://schemas.openxmlformats.org/officeDocument/2006/relationships/hyperlink" Target="https://www.charlotteobserver.com/news/local/crime/article244795917.html" TargetMode="External"/><Relationship Id="rId4895" Type="http://schemas.openxmlformats.org/officeDocument/2006/relationships/hyperlink" Target="https://www.justice.gov/usao-ri/pr/warwick-man-detained-charges-possessing-and-distributing-child-pornography" TargetMode="External"/><Relationship Id="rId311" Type="http://schemas.openxmlformats.org/officeDocument/2006/relationships/hyperlink" Target="https://archive.vn/sAn15" TargetMode="External"/><Relationship Id="rId2233" Type="http://schemas.openxmlformats.org/officeDocument/2006/relationships/hyperlink" Target="https://www.courtlistener.com/docket/7547025/united-states-v-tator/" TargetMode="External"/><Relationship Id="rId3563" Type="http://schemas.openxmlformats.org/officeDocument/2006/relationships/hyperlink" Target="https://www.justice.gov/usao-ma/pr/whitman-man-arrested-sexually-exploiting-children" TargetMode="External"/><Relationship Id="rId4894" Type="http://schemas.openxmlformats.org/officeDocument/2006/relationships/hyperlink" Target="https://www.justice.gov/usao-mdfl/pr/nassau-county-fire-and-rescue-employee-arrested-and-charged-accessing-intent-view-child" TargetMode="External"/><Relationship Id="rId310" Type="http://schemas.openxmlformats.org/officeDocument/2006/relationships/hyperlink" Target="https://www.wwaytv3.com/2017/09/25/anthony-weiner-sentenced-to-21-months-in-sexting-case/" TargetMode="External"/><Relationship Id="rId2234" Type="http://schemas.openxmlformats.org/officeDocument/2006/relationships/hyperlink" Target="https://www.justice.gov/usao-nh/pr/former-milford-youth-coach-pleads-guilty-possessing-child-pornography" TargetMode="External"/><Relationship Id="rId3566" Type="http://schemas.openxmlformats.org/officeDocument/2006/relationships/hyperlink" Target="https://archive.vn/wip/0gz2p" TargetMode="External"/><Relationship Id="rId4897" Type="http://schemas.openxmlformats.org/officeDocument/2006/relationships/hyperlink" Target="https://www.justice.gov/usao-edca/pr/sacramento-man-indicted-production-and-possession-child-pornography" TargetMode="External"/><Relationship Id="rId2235" Type="http://schemas.openxmlformats.org/officeDocument/2006/relationships/hyperlink" Target="https://www.courtlistener.com/docket/7561178/united-states-v-palladino/" TargetMode="External"/><Relationship Id="rId3565" Type="http://schemas.openxmlformats.org/officeDocument/2006/relationships/hyperlink" Target="https://archive.vn/wip/b2Aeo" TargetMode="External"/><Relationship Id="rId4896" Type="http://schemas.openxmlformats.org/officeDocument/2006/relationships/hyperlink" Target="https://www.justice.gov/usao-nj/pr/registered-sex-offender-charged-wth-possession-child-pornography" TargetMode="External"/><Relationship Id="rId4040" Type="http://schemas.openxmlformats.org/officeDocument/2006/relationships/hyperlink" Target="https://www.justice.gov/usao-ndtx/pr/grapevine-child-sexual-predator-sentenced-20-years" TargetMode="External"/><Relationship Id="rId4042" Type="http://schemas.openxmlformats.org/officeDocument/2006/relationships/hyperlink" Target="https://archive.vn/wip/PnsRf" TargetMode="External"/><Relationship Id="rId4041" Type="http://schemas.openxmlformats.org/officeDocument/2006/relationships/hyperlink" Target="https://archive.vn/wip/pJ8rT" TargetMode="External"/><Relationship Id="rId4044" Type="http://schemas.openxmlformats.org/officeDocument/2006/relationships/hyperlink" Target="http://archive.vn/WOue4" TargetMode="External"/><Relationship Id="rId4043" Type="http://schemas.openxmlformats.org/officeDocument/2006/relationships/hyperlink" Target="https://www.npr.org/2019/10/09/768533784/arizona-official-arrested-in-multi-million-dollar-baby-mill-adoption-fraud-schem" TargetMode="External"/><Relationship Id="rId4046" Type="http://schemas.openxmlformats.org/officeDocument/2006/relationships/hyperlink" Target="https://www.npr.org/2019/10/09/768533784/arizona-official-arrested-in-multi-million-dollar-baby-mill-adoption-fraud-schem" TargetMode="External"/><Relationship Id="rId4045" Type="http://schemas.openxmlformats.org/officeDocument/2006/relationships/hyperlink" Target="http://archive.vn/wip/GarmG" TargetMode="External"/><Relationship Id="rId4048" Type="http://schemas.openxmlformats.org/officeDocument/2006/relationships/hyperlink" Target="https://www.justice.gov/usao-ndny/pr/warren-county-man-charged-possessing-child-pornography" TargetMode="External"/><Relationship Id="rId4047" Type="http://schemas.openxmlformats.org/officeDocument/2006/relationships/hyperlink" Target="http://archive.vn/WOue4" TargetMode="External"/><Relationship Id="rId4049" Type="http://schemas.openxmlformats.org/officeDocument/2006/relationships/hyperlink" Target="https://www.justice.gov/usao-mdfl/pr/repeat-sex-offender-sentenced-60-years-sexually-exploiting-children" TargetMode="External"/><Relationship Id="rId4031" Type="http://schemas.openxmlformats.org/officeDocument/2006/relationships/hyperlink" Target="https://archive.vn/wip/Xt2kL" TargetMode="External"/><Relationship Id="rId4030" Type="http://schemas.openxmlformats.org/officeDocument/2006/relationships/hyperlink" Target="https://www.msn.com/en-us/news/crime/brevard-man-posing-a-model-scout-sentenced-for-producing-child-pornography/ar-BB1bQXUo" TargetMode="External"/><Relationship Id="rId297" Type="http://schemas.openxmlformats.org/officeDocument/2006/relationships/hyperlink" Target="https://poststar.com/news/local/crime-and-courts/police-queensbury-man-had-child-porn/article_3b0ee846-fd97-5c0d-881e-6999498d3bd1.html" TargetMode="External"/><Relationship Id="rId4033" Type="http://schemas.openxmlformats.org/officeDocument/2006/relationships/hyperlink" Target="https://www.justice.gov/usao-wdtx/pr/midland-man-sentenced-statutory-maximum-80-years-federal-prison-child-pornography" TargetMode="External"/><Relationship Id="rId296" Type="http://schemas.openxmlformats.org/officeDocument/2006/relationships/hyperlink" Target="https://www.inforney.com/texas/dallas-man-arrested-on-federal-child-sex-trafficking-charge/article_05ce19f1-a4d5-5c34-a540-5096b01a9949.html" TargetMode="External"/><Relationship Id="rId4032" Type="http://schemas.openxmlformats.org/officeDocument/2006/relationships/hyperlink" Target="https://img-s-msn-com.akamaized.net/tenant/amp/entityid/BB1bR63n.img?h=704&amp;w=1248&amp;m=6&amp;q=60&amp;o=f&amp;l=f&amp;x=505&amp;y=309" TargetMode="External"/><Relationship Id="rId295" Type="http://schemas.openxmlformats.org/officeDocument/2006/relationships/hyperlink" Target="https://www.justice.gov/usao-mdfl/pr/federal-jury-finds-jacksonville-man-guilty-distributing-child-sex-abuse-videos-0" TargetMode="External"/><Relationship Id="rId4035" Type="http://schemas.openxmlformats.org/officeDocument/2006/relationships/hyperlink" Target="https://www.justice.gov/usao-wdmo/pr/springfield-sex-offender-sentenced-10-years-child-pornography" TargetMode="External"/><Relationship Id="rId294" Type="http://schemas.openxmlformats.org/officeDocument/2006/relationships/hyperlink" Target="https://www.justice.gov/usao-mdfl/pr/jacksonville-man-sentenced-seven-years-federal-prison-distributing-child-sex-abuse" TargetMode="External"/><Relationship Id="rId4034" Type="http://schemas.openxmlformats.org/officeDocument/2006/relationships/hyperlink" Target="https://www.justice.gov/usao-ndin/pr/warsaw-indiana-man-sentenced-0" TargetMode="External"/><Relationship Id="rId4037" Type="http://schemas.openxmlformats.org/officeDocument/2006/relationships/hyperlink" Target="https://www.justice.gov/usao-wdmo/pr/forsyth-sex-offender-sentenced-20-years-child-pornography" TargetMode="External"/><Relationship Id="rId4036" Type="http://schemas.openxmlformats.org/officeDocument/2006/relationships/hyperlink" Target="https://www.justice.gov/usao-edva/pr/jury-convicts-man-receiving-and-possessing-images-child-sexual-abuse" TargetMode="External"/><Relationship Id="rId299" Type="http://schemas.openxmlformats.org/officeDocument/2006/relationships/hyperlink" Target="https://www.argusleader.com/story/news/crime/2018/09/12/sioux-falls-fire-chief-jim-sideras-arrest-roland-jahn-child-pornography/1269206002/" TargetMode="External"/><Relationship Id="rId4039" Type="http://schemas.openxmlformats.org/officeDocument/2006/relationships/hyperlink" Target="https://www.justice.gov/usao-wdny/pr/convicted-felon-pleads-guilty-child-pornography-charge" TargetMode="External"/><Relationship Id="rId298" Type="http://schemas.openxmlformats.org/officeDocument/2006/relationships/hyperlink" Target="https://www.justice.gov/usao-ndny/pr/queensbury-man-sentenced-180-months-child-pornography-offenses" TargetMode="External"/><Relationship Id="rId4038" Type="http://schemas.openxmlformats.org/officeDocument/2006/relationships/hyperlink" Target="https://www.justice.gov/usao-wdny/pr/webster-man-pleads-guilty-possession-child-pornography-0" TargetMode="External"/><Relationship Id="rId4060" Type="http://schemas.openxmlformats.org/officeDocument/2006/relationships/hyperlink" Target="https://www.thegazette.com/subject/news/public-safety/donovan-oliphant-child-pornography-iowa-new-jersey-20191017" TargetMode="External"/><Relationship Id="rId4062" Type="http://schemas.openxmlformats.org/officeDocument/2006/relationships/hyperlink" Target="https://www.justice.gov/usao-ndal/pr/former-madison-county-man-arrested-child-pornography-charges" TargetMode="External"/><Relationship Id="rId4061" Type="http://schemas.openxmlformats.org/officeDocument/2006/relationships/hyperlink" Target="https://archive.vn/NVswz" TargetMode="External"/><Relationship Id="rId4064" Type="http://schemas.openxmlformats.org/officeDocument/2006/relationships/hyperlink" Target="https://www.justice.gov/usao-ndoh/pr/eastlake-man-indicted-federal-court-child-pornography-charges" TargetMode="External"/><Relationship Id="rId4063" Type="http://schemas.openxmlformats.org/officeDocument/2006/relationships/hyperlink" Target="https://www.justice.gov/usao-sdia/pr/west-des-moines-man-sentenced-six-years-prison-possession-child-pornography" TargetMode="External"/><Relationship Id="rId4066" Type="http://schemas.openxmlformats.org/officeDocument/2006/relationships/hyperlink" Target="https://www.justice.gov/usao-wdmi/pr/2020_0318_Short" TargetMode="External"/><Relationship Id="rId4065" Type="http://schemas.openxmlformats.org/officeDocument/2006/relationships/hyperlink" Target="https://www.justice.gov/usao-wdny/pr/level-1-sex-offender-charged-possession-child-pornography" TargetMode="External"/><Relationship Id="rId4068" Type="http://schemas.openxmlformats.org/officeDocument/2006/relationships/hyperlink" Target="https://www.justice.gov/usao-ks/pr/overland-park-man-pleads-guilty-possessing-child-pornography-0" TargetMode="External"/><Relationship Id="rId4067" Type="http://schemas.openxmlformats.org/officeDocument/2006/relationships/hyperlink" Target="https://www.justice.gov/usao-ne/pr/kimball-man-sentenced-possession-child-pornography" TargetMode="External"/><Relationship Id="rId4069" Type="http://schemas.openxmlformats.org/officeDocument/2006/relationships/hyperlink" Target="https://www.justice.gov/usao-ndny/pr/broome-county-repeat-offender-sentenced-over-18-years-prison-child-pornography-crimes" TargetMode="External"/><Relationship Id="rId4051" Type="http://schemas.openxmlformats.org/officeDocument/2006/relationships/hyperlink" Target="https://www.justice.gov/usao-ndin/pr/goshen-man-sentenced-over-15-years-prison" TargetMode="External"/><Relationship Id="rId4050" Type="http://schemas.openxmlformats.org/officeDocument/2006/relationships/hyperlink" Target="https://www.justice.gov/usao-md/pr/former-montgomery-county-music-teacher-sentenced-more-four-years-federal-prison" TargetMode="External"/><Relationship Id="rId4053" Type="http://schemas.openxmlformats.org/officeDocument/2006/relationships/hyperlink" Target="https://www.fbi.gov/contact-us/field-offices/sanjuan/news/press-releases/arrest-of-hctor-e-soto" TargetMode="External"/><Relationship Id="rId4052" Type="http://schemas.openxmlformats.org/officeDocument/2006/relationships/hyperlink" Target="https://www.justice.gov/usao-nj/pr/jersey-city-new-jersey-man-charged-receipt-child-pornography" TargetMode="External"/><Relationship Id="rId4055" Type="http://schemas.openxmlformats.org/officeDocument/2006/relationships/hyperlink" Target="https://www.justice.gov/usao-sdia/pr/des-moines-man-sentenced-prison-possession-child-pornography" TargetMode="External"/><Relationship Id="rId4054" Type="http://schemas.openxmlformats.org/officeDocument/2006/relationships/hyperlink" Target="https://archive.vn/wip/xUDR9" TargetMode="External"/><Relationship Id="rId4057" Type="http://schemas.openxmlformats.org/officeDocument/2006/relationships/hyperlink" Target="https://archive.vn/ppRoj" TargetMode="External"/><Relationship Id="rId4056" Type="http://schemas.openxmlformats.org/officeDocument/2006/relationships/hyperlink" Target="https://www.wcia.com/news/man-with-ties-to-boy-scouts-arrested-on-child-porn-charges/" TargetMode="External"/><Relationship Id="rId4059" Type="http://schemas.openxmlformats.org/officeDocument/2006/relationships/hyperlink" Target="https://www.justice.gov/usao-nj/pr/iowa-man-admits-producing-and-possessing-child-pornography" TargetMode="External"/><Relationship Id="rId4058" Type="http://schemas.openxmlformats.org/officeDocument/2006/relationships/hyperlink" Target="https://archive.vn/wip/lnG9a" TargetMode="External"/><Relationship Id="rId4008" Type="http://schemas.openxmlformats.org/officeDocument/2006/relationships/hyperlink" Target="https://www.justice.gov/usao-wdar/pr/elkins-man-sentenced-over-33-years-federal-prison-sexual-exploitation-minor" TargetMode="External"/><Relationship Id="rId4007" Type="http://schemas.openxmlformats.org/officeDocument/2006/relationships/hyperlink" Target="https://www.justice.gov/usao-ma/pr/chicopee-man-indicted-child-pornography-charges" TargetMode="External"/><Relationship Id="rId4009" Type="http://schemas.openxmlformats.org/officeDocument/2006/relationships/hyperlink" Target="http://www.thenewportbuzz.com/middletown-man-pleads-guilty-to-coercing-a-minor-child-pornography-charges/26431" TargetMode="External"/><Relationship Id="rId271" Type="http://schemas.openxmlformats.org/officeDocument/2006/relationships/hyperlink" Target="https://www.posttruthfacts.com/okla-woman-sentenced-to-25-years-for-molesting-toddler-and-sending-video-to-online-boyfriend/" TargetMode="External"/><Relationship Id="rId270" Type="http://schemas.openxmlformats.org/officeDocument/2006/relationships/hyperlink" Target="https://www.justice.gov/usao-wdpa/pr/erie-man-pleads-guilty-sex-trafficking-two-minor-victims" TargetMode="External"/><Relationship Id="rId269" Type="http://schemas.openxmlformats.org/officeDocument/2006/relationships/hyperlink" Target="https://www.justice.gov/usao-wdny/pr/henderson-man-pleads-guilty-sex-trafficking-charge" TargetMode="External"/><Relationship Id="rId264" Type="http://schemas.openxmlformats.org/officeDocument/2006/relationships/hyperlink" Target="https://hottytoddy.com/2017/05/03/opd-arrests-two-oxford-human-trafficking-charges-fbi-involved/" TargetMode="External"/><Relationship Id="rId4000" Type="http://schemas.openxmlformats.org/officeDocument/2006/relationships/hyperlink" Target="https://www.justice.gov/usao-wdwi/pr/madison-man-sentenced-96-months-possessing-child-pornography" TargetMode="External"/><Relationship Id="rId263" Type="http://schemas.openxmlformats.org/officeDocument/2006/relationships/hyperlink" Target="https://www.justice.gov/usao-mdfl/pr/bradenton-man-sentenced-16-years-federal-prison-producing-and-possessing-child" TargetMode="External"/><Relationship Id="rId262" Type="http://schemas.openxmlformats.org/officeDocument/2006/relationships/hyperlink" Target="https://www.justice.gov/opa/pr/two-alabama-men-arrested-and-indicted-sex-trafficking-charges" TargetMode="External"/><Relationship Id="rId4002" Type="http://schemas.openxmlformats.org/officeDocument/2006/relationships/hyperlink" Target="https://www.justice.gov/usao-sdia/pr/thornton-man-sentenced-160-months-prison-child-pornography-offenses" TargetMode="External"/><Relationship Id="rId261" Type="http://schemas.openxmlformats.org/officeDocument/2006/relationships/hyperlink" Target="https://www.cbp.gov/newsroom/local-media-release/human-smuggling-attempt-stopped-immigration-checkpoint" TargetMode="External"/><Relationship Id="rId4001" Type="http://schemas.openxmlformats.org/officeDocument/2006/relationships/hyperlink" Target="https://www.justice.gov/usao-sdwv/pr/project-safe-childhood-two-appear-federal-court-child-pornography-crimes" TargetMode="External"/><Relationship Id="rId268" Type="http://schemas.openxmlformats.org/officeDocument/2006/relationships/hyperlink" Target="https://www.justice.gov/usao-mt/pr/missoula-man-sentenced-sex-trafficking-minor" TargetMode="External"/><Relationship Id="rId4004" Type="http://schemas.openxmlformats.org/officeDocument/2006/relationships/hyperlink" Target="https://www.justice.gov/usao-wdwi/pr/monona-man-sentenced-12-years-child-pornography-charges-secretly-recording-minors" TargetMode="External"/><Relationship Id="rId267" Type="http://schemas.openxmlformats.org/officeDocument/2006/relationships/hyperlink" Target="https://www.justice.gov/usao-wdmo/pr/fulton-man-sentenced-child-pornography" TargetMode="External"/><Relationship Id="rId4003" Type="http://schemas.openxmlformats.org/officeDocument/2006/relationships/hyperlink" Target="https://www.justice.gov/usao-ndoh/pr/marion-man-charged-child-exploitation-after-he-allegedly-induced-13-year-old-engage" TargetMode="External"/><Relationship Id="rId266" Type="http://schemas.openxmlformats.org/officeDocument/2006/relationships/hyperlink" Target="https://www.justice.gov/usao-ndin/pr/fort-wayne-man-sentenced-15-years" TargetMode="External"/><Relationship Id="rId4006" Type="http://schemas.openxmlformats.org/officeDocument/2006/relationships/hyperlink" Target="https://www.justice.gov/usao-nh/pr/barrington-man-pleads-guilty-production-child-pornography" TargetMode="External"/><Relationship Id="rId265" Type="http://schemas.openxmlformats.org/officeDocument/2006/relationships/hyperlink" Target="https://www.nbc4i.com/news/nasa-employee-arrested-on-child-pornography-charges/1064718770" TargetMode="External"/><Relationship Id="rId4005" Type="http://schemas.openxmlformats.org/officeDocument/2006/relationships/hyperlink" Target="https://www.justice.gov/usao-ma/pr/chicopee-man-indicted-child-pornography-charges-0" TargetMode="External"/><Relationship Id="rId260" Type="http://schemas.openxmlformats.org/officeDocument/2006/relationships/hyperlink" Target="https://www.cbp.gov/newsroom/local-media-release/border-patrol-nabs-human-smugglers" TargetMode="External"/><Relationship Id="rId259" Type="http://schemas.openxmlformats.org/officeDocument/2006/relationships/hyperlink" Target="https://www.courtlistener.com/docket/7672864/united-states-v-weathers/" TargetMode="External"/><Relationship Id="rId258" Type="http://schemas.openxmlformats.org/officeDocument/2006/relationships/hyperlink" Target="http://www.newson6.com/story/35220474/tulsas-most-wanted-arrested-for-human-trafficking" TargetMode="External"/><Relationship Id="rId2290" Type="http://schemas.openxmlformats.org/officeDocument/2006/relationships/hyperlink" Target="https://www.cbp.gov/newsroom/local-media-release/laredo-sector-border-patrol-agents-discover-illegal-aliens-hidden" TargetMode="External"/><Relationship Id="rId2291" Type="http://schemas.openxmlformats.org/officeDocument/2006/relationships/hyperlink" Target="http://www.kgns.tv/content/news/Border-Patrol-agents-foil-two-illegal-smuggling-attempts-487904741.html" TargetMode="External"/><Relationship Id="rId2292" Type="http://schemas.openxmlformats.org/officeDocument/2006/relationships/hyperlink" Target="https://www.newsobserver.com/latest-news/article214683300.html" TargetMode="External"/><Relationship Id="rId2293" Type="http://schemas.openxmlformats.org/officeDocument/2006/relationships/hyperlink" Target="https://www.cbp.gov/newsroom/local-media-release/border-patrol-arrests-kansas-man-smuggling-two-and-recover-stolen" TargetMode="External"/><Relationship Id="rId253" Type="http://schemas.openxmlformats.org/officeDocument/2006/relationships/hyperlink" Target="https://www.thedailybeast.com/trump-supporting-ex-judge-arrested-for-child-sex-crime" TargetMode="External"/><Relationship Id="rId2294" Type="http://schemas.openxmlformats.org/officeDocument/2006/relationships/hyperlink" Target="https://www.vvng.com/adelanto-man-arrested-for-pimping-runaway-teen-girls-at-hesperia-truck-stop/" TargetMode="External"/><Relationship Id="rId252" Type="http://schemas.openxmlformats.org/officeDocument/2006/relationships/hyperlink" Target="https://www.justice.gov/usao-nv/pr/carson-city-man-sentenced-10-years-prison-possession-child-pornography" TargetMode="External"/><Relationship Id="rId2295" Type="http://schemas.openxmlformats.org/officeDocument/2006/relationships/hyperlink" Target="http://www.baltimoresun.com/news/maryland/howard/ph-ho-cf-sting-arrests-0711-story.html" TargetMode="External"/><Relationship Id="rId251" Type="http://schemas.openxmlformats.org/officeDocument/2006/relationships/hyperlink" Target="https://www.ice.gov/news/releases/3-houston-area-men-charged-human-smuggling" TargetMode="External"/><Relationship Id="rId2296" Type="http://schemas.openxmlformats.org/officeDocument/2006/relationships/hyperlink" Target="https://www.justice.gov/usao-edpa/pr/former-villanova-university-campus-ministry-official-sentenced-6-years-prison-child" TargetMode="External"/><Relationship Id="rId250" Type="http://schemas.openxmlformats.org/officeDocument/2006/relationships/hyperlink" Target="http://www.wsfa.com/story/35191301/opelika-man-arrested-on-child-pornography-charges" TargetMode="External"/><Relationship Id="rId2297" Type="http://schemas.openxmlformats.org/officeDocument/2006/relationships/hyperlink" Target="http://www.fox29.com/news/villanovauniversitycampus-ministry-staff-member-charged-with-child-porn" TargetMode="External"/><Relationship Id="rId257" Type="http://schemas.openxmlformats.org/officeDocument/2006/relationships/hyperlink" Target="https://www.justice.gov/usao-ndok/pr/federal-grand-jury-indictments-announced" TargetMode="External"/><Relationship Id="rId2298" Type="http://schemas.openxmlformats.org/officeDocument/2006/relationships/hyperlink" Target="https://www.courtlistener.com/?q=&amp;type=r&amp;order_by=score+desc&amp;docket_number=2%3A19-cr-00005&amp;court=paed" TargetMode="External"/><Relationship Id="rId256" Type="http://schemas.openxmlformats.org/officeDocument/2006/relationships/hyperlink" Target="https://fox43.com/2017/04/24/grand-jury-indicts-perry-county-couple-on-child-pornography-charges/" TargetMode="External"/><Relationship Id="rId2299" Type="http://schemas.openxmlformats.org/officeDocument/2006/relationships/hyperlink" Target="https://archive.vn/B05fV" TargetMode="External"/><Relationship Id="rId255" Type="http://schemas.openxmlformats.org/officeDocument/2006/relationships/hyperlink" Target="https://archive.vn/zrqGb" TargetMode="External"/><Relationship Id="rId254" Type="http://schemas.openxmlformats.org/officeDocument/2006/relationships/hyperlink" Target="https://archive.vn/yoLFu" TargetMode="External"/><Relationship Id="rId4029" Type="http://schemas.openxmlformats.org/officeDocument/2006/relationships/hyperlink" Target="https://www.justice.gov/usao-wdnc/pr/fake-model-scout-sentenced-19-years-producing-child-pornography" TargetMode="External"/><Relationship Id="rId293" Type="http://schemas.openxmlformats.org/officeDocument/2006/relationships/hyperlink" Target="https://www.justice.gov/usao-ndga/pr/defendant-sentenced-attempted-child-enticement-and-possession-child-pornography" TargetMode="External"/><Relationship Id="rId292" Type="http://schemas.openxmlformats.org/officeDocument/2006/relationships/hyperlink" Target="https://www.justice.gov/usao-sdoh/pr/two-cincinnati-individuals-plead-guilty-conspiracy-sex-trafficking-child" TargetMode="External"/><Relationship Id="rId291" Type="http://schemas.openxmlformats.org/officeDocument/2006/relationships/hyperlink" Target="https://www.ice.gov/news/releases/6-arrested-joint-operation-targeting-organized-crime-prostitution-ring" TargetMode="External"/><Relationship Id="rId290" Type="http://schemas.openxmlformats.org/officeDocument/2006/relationships/hyperlink" Target="https://www.ice.gov/news/releases/6-arrested-joint-operation-targeting-organized-crime-prostitution-ring" TargetMode="External"/><Relationship Id="rId4020" Type="http://schemas.openxmlformats.org/officeDocument/2006/relationships/hyperlink" Target="https://www.ice.gov/news/releases/receiving-distributing-child-pornography-sends-montana-man-prison" TargetMode="External"/><Relationship Id="rId286" Type="http://schemas.openxmlformats.org/officeDocument/2006/relationships/hyperlink" Target="https://www.ice.gov/news/releases/6-arrested-joint-operation-targeting-organized-crime-prostitution-ring" TargetMode="External"/><Relationship Id="rId4022" Type="http://schemas.openxmlformats.org/officeDocument/2006/relationships/hyperlink" Target="https://www.ice.gov/news/releases/ice-hsi-dallas-led-investigation-results-denton-man-receiving-15-year-sentence" TargetMode="External"/><Relationship Id="rId285" Type="http://schemas.openxmlformats.org/officeDocument/2006/relationships/hyperlink" Target="https://www.justice.gov/usao-wdva/pr/former-madison-county-detective-sentenced-sexually-exploiting-minors" TargetMode="External"/><Relationship Id="rId4021" Type="http://schemas.openxmlformats.org/officeDocument/2006/relationships/hyperlink" Target="https://www.justice.gov/opa/pr/colorado-man-convicted-production-transportation-and-possession-child-pornography" TargetMode="External"/><Relationship Id="rId284" Type="http://schemas.openxmlformats.org/officeDocument/2006/relationships/hyperlink" Target="https://kywnewsradio.radio.com/articles/news/police-5-convicted-human-trafficking-sexual-assault-14-year-old-girl" TargetMode="External"/><Relationship Id="rId4024" Type="http://schemas.openxmlformats.org/officeDocument/2006/relationships/hyperlink" Target="https://www.wistv.com/2020/10/02/tuscaloosa-man-sentenced-years-sexual-exploitation-children/" TargetMode="External"/><Relationship Id="rId283" Type="http://schemas.openxmlformats.org/officeDocument/2006/relationships/hyperlink" Target="https://nypost.com/2017/05/02/13-year-old-girl-held-against-her-will-sold-for-sex-police/" TargetMode="External"/><Relationship Id="rId4023" Type="http://schemas.openxmlformats.org/officeDocument/2006/relationships/hyperlink" Target="https://www.justice.gov/usao-ndal/pr/tuscaloosa-man-sentenced-600-years-prison-sexual-exploitation-children" TargetMode="External"/><Relationship Id="rId4026" Type="http://schemas.openxmlformats.org/officeDocument/2006/relationships/hyperlink" Target="https://archive.vn/wip/pAJIK" TargetMode="External"/><Relationship Id="rId289" Type="http://schemas.openxmlformats.org/officeDocument/2006/relationships/hyperlink" Target="https://www.ice.gov/news/releases/6-arrested-joint-operation-targeting-organized-crime-prostitution-ring" TargetMode="External"/><Relationship Id="rId4025" Type="http://schemas.openxmlformats.org/officeDocument/2006/relationships/hyperlink" Target="https://archive.vn/oKMxA" TargetMode="External"/><Relationship Id="rId288" Type="http://schemas.openxmlformats.org/officeDocument/2006/relationships/hyperlink" Target="https://www.ice.gov/news/releases/6-arrested-joint-operation-targeting-organized-crime-prostitution-ring" TargetMode="External"/><Relationship Id="rId4028" Type="http://schemas.openxmlformats.org/officeDocument/2006/relationships/hyperlink" Target="https://www.justice.gov/usao-wdwi/pr/fort-atkinson-man-sentenced-150-months-distributing-child-pornography" TargetMode="External"/><Relationship Id="rId287" Type="http://schemas.openxmlformats.org/officeDocument/2006/relationships/hyperlink" Target="https://www.ice.gov/news/releases/6-arrested-joint-operation-targeting-organized-crime-prostitution-ring" TargetMode="External"/><Relationship Id="rId4027" Type="http://schemas.openxmlformats.org/officeDocument/2006/relationships/hyperlink" Target="https://www.justice.gov/usao-wdwi/pr/grand-jury-returns-indictments-rock-county-man-charged-complaint" TargetMode="External"/><Relationship Id="rId4019" Type="http://schemas.openxmlformats.org/officeDocument/2006/relationships/hyperlink" Target="https://www.justice.gov/usao-ks/pr/indictment-former-immigration-officer-pretended-be-ice-supervisor" TargetMode="External"/><Relationship Id="rId4018" Type="http://schemas.openxmlformats.org/officeDocument/2006/relationships/hyperlink" Target="https://www.justice.gov/usao-md/pr/silver-spring-sex-offender-pleads-guilty-possession-child-pornography" TargetMode="External"/><Relationship Id="rId282" Type="http://schemas.openxmlformats.org/officeDocument/2006/relationships/hyperlink" Target="https://www.reviewjournal.com/crime/sex-crimes/north-las-vegas-man-gets-10-year-sentence-in-child-porn-case-1585063/" TargetMode="External"/><Relationship Id="rId281" Type="http://schemas.openxmlformats.org/officeDocument/2006/relationships/hyperlink" Target="https://www.justice.gov/usao-nv/pr/north-las-vegas-man-sentenced-10-years-prison-distributing-child-pornography-social-media" TargetMode="External"/><Relationship Id="rId280" Type="http://schemas.openxmlformats.org/officeDocument/2006/relationships/hyperlink" Target="https://www.justice.gov/usao-nd/pr/fargo-nd-man-sentenced-35-years-multiple-offenses-involving-transportation-one-year-old" TargetMode="External"/><Relationship Id="rId275" Type="http://schemas.openxmlformats.org/officeDocument/2006/relationships/hyperlink" Target="https://www.justice.gov/usao-edok/pr/roff-man-pleads-guilty-possession-material-involving-sexual-exploitation-minors" TargetMode="External"/><Relationship Id="rId4011" Type="http://schemas.openxmlformats.org/officeDocument/2006/relationships/hyperlink" Target="https://archive.vn/wip/HDpU5" TargetMode="External"/><Relationship Id="rId274" Type="http://schemas.openxmlformats.org/officeDocument/2006/relationships/hyperlink" Target="https://www.abc27.com/news/local/harrisburg/harrisburg-man-gets-prison-for-running-prostitution-business/1344621282" TargetMode="External"/><Relationship Id="rId4010" Type="http://schemas.openxmlformats.org/officeDocument/2006/relationships/hyperlink" Target="https://archive.vn/wip/i2Kwq" TargetMode="External"/><Relationship Id="rId273" Type="http://schemas.openxmlformats.org/officeDocument/2006/relationships/hyperlink" Target="https://www.justice.gov/usao-sd/pr/sioux-falls-man-sentenced-30-years-distribution-and-receipt-child-pornography" TargetMode="External"/><Relationship Id="rId4013" Type="http://schemas.openxmlformats.org/officeDocument/2006/relationships/hyperlink" Target="https://www.justice.gov/usao-edky/pr/pulaski-county-man-sentenced-292-months-production-child-pornography" TargetMode="External"/><Relationship Id="rId272" Type="http://schemas.openxmlformats.org/officeDocument/2006/relationships/hyperlink" Target="https://www.justice.gov/usao-nj/pr/bergen-county-new-jersey-man-sentenced-63-months-prison-purchasing-live-webcam-shows" TargetMode="External"/><Relationship Id="rId4012" Type="http://schemas.openxmlformats.org/officeDocument/2006/relationships/hyperlink" Target="https://www.justice.gov/usao-wdpa/pr/defendant-pleads-guilty-distributing-and-receiving-child-pornography" TargetMode="External"/><Relationship Id="rId279" Type="http://schemas.openxmlformats.org/officeDocument/2006/relationships/hyperlink" Target="https://www.justice.gov/usao-az/pr/california-man-sentenced-8-years-prison-conspiracy-commit-sex-trafficking-minor" TargetMode="External"/><Relationship Id="rId4015" Type="http://schemas.openxmlformats.org/officeDocument/2006/relationships/hyperlink" Target="https://www.justice.gov/usao-edpa/pr/philadelphia-middle-school-teacher-charged-child-sexual-exploitation" TargetMode="External"/><Relationship Id="rId278" Type="http://schemas.openxmlformats.org/officeDocument/2006/relationships/hyperlink" Target="https://www.justice.gov/usao-sd/pr/repeat-sex-offender-sioux-falls-sentenced-distributing-child-pornography-and-failure-0" TargetMode="External"/><Relationship Id="rId4014" Type="http://schemas.openxmlformats.org/officeDocument/2006/relationships/hyperlink" Target="https://www.justice.gov/usao-ks/pr/lyon-county-man-pleads-guilty-possessing-child-porn" TargetMode="External"/><Relationship Id="rId277" Type="http://schemas.openxmlformats.org/officeDocument/2006/relationships/hyperlink" Target="https://www.justice.gov/usao-md/pr/former-army-soldier-sentenced-12-years-federal-prison-production-child-pornography" TargetMode="External"/><Relationship Id="rId4017" Type="http://schemas.openxmlformats.org/officeDocument/2006/relationships/hyperlink" Target="https://www.justice.gov/usao-ma/pr/worcester-man-arrested-possession-child-pornography" TargetMode="External"/><Relationship Id="rId276" Type="http://schemas.openxmlformats.org/officeDocument/2006/relationships/hyperlink" Target="https://www.justice.gov/usao-md/pr/illegal-alien-previously-convicted-sex-offender-and-two-others-plead-guilty-or-are" TargetMode="External"/><Relationship Id="rId4016" Type="http://schemas.openxmlformats.org/officeDocument/2006/relationships/hyperlink" Target="https://philadelphia.cbslocal.com/2019/09/27/us-attorneys-office-philadelphia-middle-school-teacher-sexually-coerced-12-year-old-boy/" TargetMode="External"/><Relationship Id="rId1851" Type="http://schemas.openxmlformats.org/officeDocument/2006/relationships/hyperlink" Target="http://www.kgns.tv/content/news/Four-men-in-San-Antonio-arrested-in--482832351.html" TargetMode="External"/><Relationship Id="rId1852" Type="http://schemas.openxmlformats.org/officeDocument/2006/relationships/hyperlink" Target="https://www.courtlistener.com/?q=&amp;type=r&amp;order_by=score+desc&amp;docket_number=6%3A19-cr-03056&amp;court=mowd" TargetMode="External"/><Relationship Id="rId1853" Type="http://schemas.openxmlformats.org/officeDocument/2006/relationships/hyperlink" Target="https://www.courtlistener.com/?q=&amp;type=r&amp;order_by=score+desc&amp;docket_number=6%3A19-cr-03056&amp;court=mowd" TargetMode="External"/><Relationship Id="rId1854" Type="http://schemas.openxmlformats.org/officeDocument/2006/relationships/hyperlink" Target="https://www.wtxl.com/news/second-tallahassee-man-arrested-for-trafficking-having-sex-with-two/article_6c8e2264-3b45-11e8-99e9-c32036aa0f80.html" TargetMode="External"/><Relationship Id="rId1855" Type="http://schemas.openxmlformats.org/officeDocument/2006/relationships/hyperlink" Target="https://archive.vn/V0KPL" TargetMode="External"/><Relationship Id="rId1856" Type="http://schemas.openxmlformats.org/officeDocument/2006/relationships/hyperlink" Target="https://archive.vn/wip/6IkxX" TargetMode="External"/><Relationship Id="rId1857" Type="http://schemas.openxmlformats.org/officeDocument/2006/relationships/hyperlink" Target="http://www.wacotrib.com/news/courts_and_trials/waco-man-indicted-on-human-trafficking-charges/article_489fb1f3-5a4f-5be4-82db-384311528bed.html" TargetMode="External"/><Relationship Id="rId1858" Type="http://schemas.openxmlformats.org/officeDocument/2006/relationships/hyperlink" Target="http://www.chattanoogan.com/2018/5/10/368547/6-Arrested-In-East-Lake-In-Prostitution.aspx" TargetMode="External"/><Relationship Id="rId1859" Type="http://schemas.openxmlformats.org/officeDocument/2006/relationships/hyperlink" Target="https://www.justice.gov/usao-vi/pr/st-thomas-boat-captain-arrested-charges-smuggling-illegal-aliens-dominican-republic-and" TargetMode="External"/><Relationship Id="rId1850" Type="http://schemas.openxmlformats.org/officeDocument/2006/relationships/hyperlink" Target="http://www.kolotv.com/content/news/Fallon-man-arrested-for-child-pornography-and-sexual-assault-482216311.html" TargetMode="External"/><Relationship Id="rId1840" Type="http://schemas.openxmlformats.org/officeDocument/2006/relationships/hyperlink" Target="https://www.justice.gov/usao-ndia/pr/evansdale-man-pleads-guilty-receiving-child-pornography" TargetMode="External"/><Relationship Id="rId1841" Type="http://schemas.openxmlformats.org/officeDocument/2006/relationships/hyperlink" Target="http://www.wnct.com/news/local-news/first-on-9-pitt-co-check-point-nabs-fugitive-wanted-for-sex-trafficking-of-a-child/1163402348" TargetMode="External"/><Relationship Id="rId1842" Type="http://schemas.openxmlformats.org/officeDocument/2006/relationships/hyperlink" Target="http://www.dailyjournal.net/2018/05/08/man_arrested_of_charges_of_soliciting_minors_for_prostitution/" TargetMode="External"/><Relationship Id="rId1843" Type="http://schemas.openxmlformats.org/officeDocument/2006/relationships/hyperlink" Target="https://www.cbp.gov/newsroom/local-media-release/phoenix-couple-arrested-human-smuggling" TargetMode="External"/><Relationship Id="rId1844" Type="http://schemas.openxmlformats.org/officeDocument/2006/relationships/hyperlink" Target="https://www.cbp.gov/newsroom/local-media-release/border-patrol-agents-arrest-sex-offender-human-smuggling-attempt" TargetMode="External"/><Relationship Id="rId1845" Type="http://schemas.openxmlformats.org/officeDocument/2006/relationships/hyperlink" Target="http://www.sandiegouniontribune.com/news/courts/sd-me-chinese-smuggled-20180606-story.html" TargetMode="External"/><Relationship Id="rId1846" Type="http://schemas.openxmlformats.org/officeDocument/2006/relationships/hyperlink" Target="https://www.justice.gov/usao-edwi/pr/appleton-man-sentenced-possession-child-pornography" TargetMode="External"/><Relationship Id="rId1847" Type="http://schemas.openxmlformats.org/officeDocument/2006/relationships/hyperlink" Target="https://www.courtlistener.com/?q=&amp;type=r&amp;order_by=score+desc&amp;docket_number=1%3A18-cr-00103&amp;court=wied" TargetMode="External"/><Relationship Id="rId1848" Type="http://schemas.openxmlformats.org/officeDocument/2006/relationships/hyperlink" Target="http://www.scmp.com/news/asia/southeast-asia/article/2145179/american-retiree-accused-running-sex-tours-thailand-myanmar" TargetMode="External"/><Relationship Id="rId1849" Type="http://schemas.openxmlformats.org/officeDocument/2006/relationships/hyperlink" Target="https://www.tallahassee.com/story/news/2018/05/09/second-man-charged-trafficking-missing-teens/594617002/" TargetMode="External"/><Relationship Id="rId1873" Type="http://schemas.openxmlformats.org/officeDocument/2006/relationships/hyperlink" Target="https://ktvo.com/live/iowa-guard-it-specialist-sentenced-for-having-thousands-of-child-porn-images" TargetMode="External"/><Relationship Id="rId1874" Type="http://schemas.openxmlformats.org/officeDocument/2006/relationships/hyperlink" Target="https://www.courtlistener.com/docket/6593005/united-states-v-sebben/" TargetMode="External"/><Relationship Id="rId1875" Type="http://schemas.openxmlformats.org/officeDocument/2006/relationships/hyperlink" Target="https://archive.fo/h7i67" TargetMode="External"/><Relationship Id="rId4901" Type="http://schemas.openxmlformats.org/officeDocument/2006/relationships/hyperlink" Target="https://archive.vn/1YfVE" TargetMode="External"/><Relationship Id="rId1876" Type="http://schemas.openxmlformats.org/officeDocument/2006/relationships/hyperlink" Target="https://tbinewsroom.com/2017/05/12/twelve-arrested-in-operation-someone-like-me-in-dyersburg/" TargetMode="External"/><Relationship Id="rId4900" Type="http://schemas.openxmlformats.org/officeDocument/2006/relationships/hyperlink" Target="https://archive.vn/20UWl" TargetMode="External"/><Relationship Id="rId1877" Type="http://schemas.openxmlformats.org/officeDocument/2006/relationships/hyperlink" Target="https://www.timesleader.com/news/703607/woman-charged-with-promoting-prostitution-child-endangerment" TargetMode="External"/><Relationship Id="rId4903" Type="http://schemas.openxmlformats.org/officeDocument/2006/relationships/hyperlink" Target="https://www.justice.gov/usao-ri/pr/newport-resident-detained-child-pornography-charges" TargetMode="External"/><Relationship Id="rId1878" Type="http://schemas.openxmlformats.org/officeDocument/2006/relationships/hyperlink" Target="https://www.wabi.tv/content/news/Two-Old-Town-men-sent-to-prison-for-child-porn-arrested-again-for-same-crime-482401851.html" TargetMode="External"/><Relationship Id="rId4902" Type="http://schemas.openxmlformats.org/officeDocument/2006/relationships/hyperlink" Target="https://www.justice.gov/usao-nj/pr/bergen-county-man-charged-distribution-images-child-sexual-abuse" TargetMode="External"/><Relationship Id="rId1879" Type="http://schemas.openxmlformats.org/officeDocument/2006/relationships/hyperlink" Target="https://www.courtlistener.com/docket/7843765/united-states-v-mclay/" TargetMode="External"/><Relationship Id="rId4905" Type="http://schemas.openxmlformats.org/officeDocument/2006/relationships/hyperlink" Target="https://www.justice.gov/usao-edok/pr/forty-nine-individuals-indicted-october-november-and-december-2020-federal-grand-juries" TargetMode="External"/><Relationship Id="rId4904" Type="http://schemas.openxmlformats.org/officeDocument/2006/relationships/hyperlink" Target="https://www.justice.gov/usao-ct/pr/east-hartford-man-charged-making-cell-phone-videos-him-sexually-assaulting-child" TargetMode="External"/><Relationship Id="rId4907" Type="http://schemas.openxmlformats.org/officeDocument/2006/relationships/hyperlink" Target="https://www.justice.gov/usao-ri/pr/second-arrest-newport-three-days-child-pornography-charges" TargetMode="External"/><Relationship Id="rId4906" Type="http://schemas.openxmlformats.org/officeDocument/2006/relationships/hyperlink" Target="https://www.justice.gov/usao-wdpa/pr/union-city-pa-man-indicted-child-sex-exploitation-charges" TargetMode="External"/><Relationship Id="rId4909" Type="http://schemas.openxmlformats.org/officeDocument/2006/relationships/hyperlink" Target="https://www.justice.gov/usao-edok/pr/forty-nine-individuals-indicted-october-november-and-december-2020-federal-grand-juries" TargetMode="External"/><Relationship Id="rId4908" Type="http://schemas.openxmlformats.org/officeDocument/2006/relationships/hyperlink" Target="https://www.justice.gov/usao-ct/pr/sex-offender-pleads-guilty-child-exploitation-offense" TargetMode="External"/><Relationship Id="rId1870" Type="http://schemas.openxmlformats.org/officeDocument/2006/relationships/hyperlink" Target="https://www.justice.gov/usao-sdny/pr/bronx-man-sentenced-20-years-prison-possession-and-distribution-child-pornography-and" TargetMode="External"/><Relationship Id="rId1871" Type="http://schemas.openxmlformats.org/officeDocument/2006/relationships/hyperlink" Target="https://www.courtlistener.com/?q=&amp;type=r&amp;order_by=score+desc&amp;docket_number=1%3A18-cr-00005&amp;court=nysd" TargetMode="External"/><Relationship Id="rId1872" Type="http://schemas.openxmlformats.org/officeDocument/2006/relationships/hyperlink" Target="https://www.justice.gov/usao-sdia/pr/waukee-man-sentenced-130-months-prison-receipt-child-pornography" TargetMode="External"/><Relationship Id="rId1862" Type="http://schemas.openxmlformats.org/officeDocument/2006/relationships/hyperlink" Target="https://www.cbp.gov/newsroom/local-media-release/amo-stops-private-vessel-transporting-5-aliens-near-st-john" TargetMode="External"/><Relationship Id="rId1863" Type="http://schemas.openxmlformats.org/officeDocument/2006/relationships/hyperlink" Target="https://mugshots.com/Current-Events/REYSEAN-WILLIAMS.153738921.html" TargetMode="External"/><Relationship Id="rId1864" Type="http://schemas.openxmlformats.org/officeDocument/2006/relationships/hyperlink" Target="http://archive.fo/hOfTH" TargetMode="External"/><Relationship Id="rId1865" Type="http://schemas.openxmlformats.org/officeDocument/2006/relationships/hyperlink" Target="http://archive.fo/xrCsc" TargetMode="External"/><Relationship Id="rId1866" Type="http://schemas.openxmlformats.org/officeDocument/2006/relationships/hyperlink" Target="https://www.justice.gov/usao-mdfl/pr/rockledge-man-sentenced-30-years-committing-sex-crimes-against-children" TargetMode="External"/><Relationship Id="rId1867" Type="http://schemas.openxmlformats.org/officeDocument/2006/relationships/hyperlink" Target="https://www.floridatoday.com/story/news/crime/2018/12/21/melbourne-man-sentenced-30-years-enticing-minor-child-pornography/2385422002/" TargetMode="External"/><Relationship Id="rId1868" Type="http://schemas.openxmlformats.org/officeDocument/2006/relationships/hyperlink" Target="https://www.courtlistener.com/docket/7555257/united-states-v-miles/" TargetMode="External"/><Relationship Id="rId1869" Type="http://schemas.openxmlformats.org/officeDocument/2006/relationships/hyperlink" Target="https://www.justice.gov/usao-sdny/pr/bronx-man-sentenced-20-years-prison-possession-and-distribution-child-pornography-and" TargetMode="External"/><Relationship Id="rId1860" Type="http://schemas.openxmlformats.org/officeDocument/2006/relationships/hyperlink" Target="http://www.virginislandsdailynews.com/news/prosecutors-outline-criminal-history-of-captain-charged-in-smuggling-bid/article_34fc4d2e-18a2-5786-8fdb-b8cec8fb14a8.html" TargetMode="External"/><Relationship Id="rId1861" Type="http://schemas.openxmlformats.org/officeDocument/2006/relationships/hyperlink" Target="https://www.courtlistener.com/docket/7293286/united-states-v-callwood/" TargetMode="External"/><Relationship Id="rId1810" Type="http://schemas.openxmlformats.org/officeDocument/2006/relationships/hyperlink" Target="https://www.courtlistener.com/docket/6596723/united-states-v-lee-jr/" TargetMode="External"/><Relationship Id="rId1811" Type="http://schemas.openxmlformats.org/officeDocument/2006/relationships/hyperlink" Target="https://www.news-leader.com/story/news/crime/2018/05/03/former-missouri-highway-patrol-trooper-indicted-child-porn-charge/576657002/" TargetMode="External"/><Relationship Id="rId1812" Type="http://schemas.openxmlformats.org/officeDocument/2006/relationships/hyperlink" Target="https://www.lcsun-news.com/story/news/local/2018/05/04/police-arrest-mother-girl-suspected-being-forced-into-prostitution/580928002/" TargetMode="External"/><Relationship Id="rId1813" Type="http://schemas.openxmlformats.org/officeDocument/2006/relationships/hyperlink" Target="https://www.justice.gov/usao-edca/pr/citrus-heights-man-indicted-receipt-child-pornography" TargetMode="External"/><Relationship Id="rId1814" Type="http://schemas.openxmlformats.org/officeDocument/2006/relationships/hyperlink" Target="https://www.justice.gov/usao-edca/pr/citrus-heights-man-pleads-guilty-receipt-child-pornography" TargetMode="External"/><Relationship Id="rId1815" Type="http://schemas.openxmlformats.org/officeDocument/2006/relationships/hyperlink" Target="http://www.kvoa.com/story/38155815/child-prostitution-bust-in-tucson" TargetMode="External"/><Relationship Id="rId1816" Type="http://schemas.openxmlformats.org/officeDocument/2006/relationships/hyperlink" Target="https://www.justice.gov/usao-ct/pr/waterbury-man-charged-child-pornography-offenses" TargetMode="External"/><Relationship Id="rId1817" Type="http://schemas.openxmlformats.org/officeDocument/2006/relationships/hyperlink" Target="https://www.courtlistener.com/?q=&amp;type=r&amp;order_by=score+desc&amp;docket_number=3%3A18-cr-00095&amp;court=ctd" TargetMode="External"/><Relationship Id="rId1818" Type="http://schemas.openxmlformats.org/officeDocument/2006/relationships/hyperlink" Target="https://www.justice.gov/usao-hi/pr/honolulu-man-indicted-soliciting-commercial-sex-act-minor" TargetMode="External"/><Relationship Id="rId1819" Type="http://schemas.openxmlformats.org/officeDocument/2006/relationships/hyperlink" Target="https://www.justice.gov/usao-nm/pr/deming-man-arrested-federal-child-pornography-charges-0" TargetMode="External"/><Relationship Id="rId4080" Type="http://schemas.openxmlformats.org/officeDocument/2006/relationships/hyperlink" Target="https://www.justice.gov/usao-id/pr/caldwell-man-sentenced-25-years-federal-prison-producing-child-pornography" TargetMode="External"/><Relationship Id="rId4082" Type="http://schemas.openxmlformats.org/officeDocument/2006/relationships/hyperlink" Target="https://www.justice.gov/usao-edtn/pr/elizabethton-man-sentenced-distribution-child-pornography" TargetMode="External"/><Relationship Id="rId4081" Type="http://schemas.openxmlformats.org/officeDocument/2006/relationships/hyperlink" Target="https://www.justice.gov/usao-edca/pr/two-indicted-after-investigation-reports-sex-trafficking-desert-star-motel" TargetMode="External"/><Relationship Id="rId4084" Type="http://schemas.openxmlformats.org/officeDocument/2006/relationships/hyperlink" Target="https://www.justice.gov/usao-ndin/pr/granger-indiana-man-sentenced-30-years-prison" TargetMode="External"/><Relationship Id="rId4083" Type="http://schemas.openxmlformats.org/officeDocument/2006/relationships/hyperlink" Target="https://www.justice.gov/usao-ndin/pr/illinois-man-sentenced-20-years-prison" TargetMode="External"/><Relationship Id="rId4086" Type="http://schemas.openxmlformats.org/officeDocument/2006/relationships/hyperlink" Target="https://www.sacbee.com/news/local/crime/article247936885.html" TargetMode="External"/><Relationship Id="rId4085" Type="http://schemas.openxmlformats.org/officeDocument/2006/relationships/hyperlink" Target="https://www.justice.gov/usao-edca/pr/sacramento-man-sentenced-over-17-years-prison-producing-child-pornography" TargetMode="External"/><Relationship Id="rId4088" Type="http://schemas.openxmlformats.org/officeDocument/2006/relationships/hyperlink" Target="https://www.justice.gov/usao-ma/pr/duxbury-man-sentenced-child-pornography-charge" TargetMode="External"/><Relationship Id="rId4087" Type="http://schemas.openxmlformats.org/officeDocument/2006/relationships/hyperlink" Target="https://archive.vn/wip/iNL6r" TargetMode="External"/><Relationship Id="rId4089" Type="http://schemas.openxmlformats.org/officeDocument/2006/relationships/hyperlink" Target="https://www.wtxl.com/news/local-news/pensacola-registered-sex-offender-gets-life-sentence-for-new-child-sex-crimes" TargetMode="External"/><Relationship Id="rId1800" Type="http://schemas.openxmlformats.org/officeDocument/2006/relationships/hyperlink" Target="https://www.justice.gov/usao-wdmo/pr/two-joplin-men-indicted-child-pornography" TargetMode="External"/><Relationship Id="rId1801" Type="http://schemas.openxmlformats.org/officeDocument/2006/relationships/hyperlink" Target="https://www.courtlistener.com/docket/6420191/united-states-v-snavely/" TargetMode="External"/><Relationship Id="rId1802" Type="http://schemas.openxmlformats.org/officeDocument/2006/relationships/hyperlink" Target="https://www.justice.gov/usao-wdmo/pr/two-joplin-men-indicted-child-pornography" TargetMode="External"/><Relationship Id="rId1803" Type="http://schemas.openxmlformats.org/officeDocument/2006/relationships/hyperlink" Target="https://www.courtlistener.com/?q=&amp;type=r&amp;order_by=score+desc&amp;docket_number=3%3A18-cr-05017&amp;court=mowd" TargetMode="External"/><Relationship Id="rId1804" Type="http://schemas.openxmlformats.org/officeDocument/2006/relationships/hyperlink" Target="https://www.fbi.gov/contact-us/field-offices/atlanta/news/press-releases/fbi-announces-results-of-operation-safe-summer" TargetMode="External"/><Relationship Id="rId1805" Type="http://schemas.openxmlformats.org/officeDocument/2006/relationships/hyperlink" Target="https://spectrumlocalnews.com/tx/san-antonio/news/2018/05/02/teen-accused-of-enticing-minors-into-prostitution-in-san-antonio-" TargetMode="External"/><Relationship Id="rId1806" Type="http://schemas.openxmlformats.org/officeDocument/2006/relationships/hyperlink" Target="http://www.wacotrib.com/news/police/married-couple-indicted-in-sexual-assault-trafficking-of-girl/article_35fbb112-6fc1-5234-9014-a3a311158fad.html" TargetMode="External"/><Relationship Id="rId1807" Type="http://schemas.openxmlformats.org/officeDocument/2006/relationships/hyperlink" Target="http://www.newsandtribune.com/news/human-trafficking-victims-identified-in-clark-county-operation/article_b06aba64-4e51-11e8-894b-b3a55a1ce83a.html" TargetMode="External"/><Relationship Id="rId1808" Type="http://schemas.openxmlformats.org/officeDocument/2006/relationships/hyperlink" Target="http://krwg.org/post/child-welfare-workers-leave-amid-child-prostitution-probe" TargetMode="External"/><Relationship Id="rId1809" Type="http://schemas.openxmlformats.org/officeDocument/2006/relationships/hyperlink" Target="http://cleveland.cbslocal.com/video/category/news/3856643-man-busted-for-prostitution-in-beechview/" TargetMode="External"/><Relationship Id="rId4071" Type="http://schemas.openxmlformats.org/officeDocument/2006/relationships/hyperlink" Target="https://www.justice.gov/opa/pr/virginia-man-pleads-guilty-enticement-child-pornography-charges" TargetMode="External"/><Relationship Id="rId4070" Type="http://schemas.openxmlformats.org/officeDocument/2006/relationships/hyperlink" Target="https://www.justice.gov/usao-mdpa/pr/york-county-man-charged-child-exploitation-offenses-0" TargetMode="External"/><Relationship Id="rId4073" Type="http://schemas.openxmlformats.org/officeDocument/2006/relationships/hyperlink" Target="https://www.justice.gov/usao-wdwi/pr/minocqua-man-sentenced-10-years-possessing-child-pornography" TargetMode="External"/><Relationship Id="rId4072" Type="http://schemas.openxmlformats.org/officeDocument/2006/relationships/hyperlink" Target="https://www.cbp.gov/newsroom/national-media-release/smugglers-endanger-lives-trying-evade-border-patrol" TargetMode="External"/><Relationship Id="rId4075" Type="http://schemas.openxmlformats.org/officeDocument/2006/relationships/hyperlink" Target="https://www.justice.gov/usao-edca/pr/orangevale-man-charged-distribution-child-pornography" TargetMode="External"/><Relationship Id="rId4074" Type="http://schemas.openxmlformats.org/officeDocument/2006/relationships/hyperlink" Target="https://www.justice.gov/usao-cdca/pr/la-county-man-previously-convicted-child-sex-abuse-pleads-guilty-federal-child" TargetMode="External"/><Relationship Id="rId4077" Type="http://schemas.openxmlformats.org/officeDocument/2006/relationships/hyperlink" Target="https://www.q13fox.com/news/woodinville-water-commissioner-pleads-guilty-to-possessing-280-child-rape-images" TargetMode="External"/><Relationship Id="rId4076" Type="http://schemas.openxmlformats.org/officeDocument/2006/relationships/hyperlink" Target="https://www.justice.gov/usao-wdwa/pr/woodinville-water-commissioner-pleads-guilty-possession-child-pornography-0" TargetMode="External"/><Relationship Id="rId4079" Type="http://schemas.openxmlformats.org/officeDocument/2006/relationships/hyperlink" Target="https://archive.vn/5VIVR" TargetMode="External"/><Relationship Id="rId4078" Type="http://schemas.openxmlformats.org/officeDocument/2006/relationships/hyperlink" Target="https://archive.vn/ezJ5L" TargetMode="External"/><Relationship Id="rId1830" Type="http://schemas.openxmlformats.org/officeDocument/2006/relationships/hyperlink" Target="https://www.justice.gov/usao-mdga/pr/mauk-man-pleads-guilty-child-pornography-charge" TargetMode="External"/><Relationship Id="rId1831" Type="http://schemas.openxmlformats.org/officeDocument/2006/relationships/hyperlink" Target="https://www.justice.gov/usao-mdga/pr/mauk-man-sentenced-121-months-child-porn-charges" TargetMode="External"/><Relationship Id="rId1832" Type="http://schemas.openxmlformats.org/officeDocument/2006/relationships/hyperlink" Target="https://www.courtlistener.com/docket/6616319/united-states-v-dukes/" TargetMode="External"/><Relationship Id="rId1833" Type="http://schemas.openxmlformats.org/officeDocument/2006/relationships/hyperlink" Target="https://www.miamiherald.com/news/state/florida/article222354745.html" TargetMode="External"/><Relationship Id="rId1834" Type="http://schemas.openxmlformats.org/officeDocument/2006/relationships/hyperlink" Target="https://www.courtlistener.com/docket/7099498/united-states-v-ford/" TargetMode="External"/><Relationship Id="rId1835" Type="http://schemas.openxmlformats.org/officeDocument/2006/relationships/hyperlink" Target="http://archive.fo/23phN" TargetMode="External"/><Relationship Id="rId1836" Type="http://schemas.openxmlformats.org/officeDocument/2006/relationships/hyperlink" Target="https://www.ice.gov/news/releases/tallahassee-man-sentenced-25-years-sex-trafficking-minor" TargetMode="External"/><Relationship Id="rId1837" Type="http://schemas.openxmlformats.org/officeDocument/2006/relationships/hyperlink" Target="https://www.wctv.tv/2020/07/30/tallahassee-man-sentenced-to-25-years-in-prison-for-sex-trafficking-of-a-minor/" TargetMode="External"/><Relationship Id="rId1838" Type="http://schemas.openxmlformats.org/officeDocument/2006/relationships/hyperlink" Target="https://archive.vn/wip/QVVzV" TargetMode="External"/><Relationship Id="rId1839" Type="http://schemas.openxmlformats.org/officeDocument/2006/relationships/hyperlink" Target="https://archive.vn/wip/RFRwg" TargetMode="External"/><Relationship Id="rId1820" Type="http://schemas.openxmlformats.org/officeDocument/2006/relationships/hyperlink" Target="https://www.justice.gov/usao-nm/pr/deming-man-pleads-guilty-federal-child-pornography-charge" TargetMode="External"/><Relationship Id="rId1821" Type="http://schemas.openxmlformats.org/officeDocument/2006/relationships/hyperlink" Target="https://www.justice.gov/usao-ndfl/pr/tallahassee-man-sentenced-180-months-production-child-pornography" TargetMode="External"/><Relationship Id="rId1822" Type="http://schemas.openxmlformats.org/officeDocument/2006/relationships/hyperlink" Target="https://www.justice.gov/usao-ndfl/pr/tallahassee-man-charged-committing-federal-child-pornography-crimes" TargetMode="External"/><Relationship Id="rId1823" Type="http://schemas.openxmlformats.org/officeDocument/2006/relationships/hyperlink" Target="https://www.justice.gov/usao-wdny/pr/henrietta-man-pleads-guilty-producing-child-pornography" TargetMode="External"/><Relationship Id="rId1824" Type="http://schemas.openxmlformats.org/officeDocument/2006/relationships/hyperlink" Target="https://www.justice.gov/usao-nv/pr/reno-man-pleads-guilty-sexual-exploitation-infant-daughter" TargetMode="External"/><Relationship Id="rId1825" Type="http://schemas.openxmlformats.org/officeDocument/2006/relationships/hyperlink" Target="http://www.wlky.com/article/lmpd-makes-multiple-arrests-during-human-trafficking-sting/20199552" TargetMode="External"/><Relationship Id="rId1826" Type="http://schemas.openxmlformats.org/officeDocument/2006/relationships/hyperlink" Target="https://www.eastbaytimes.com/2018/05/07/contra-costa-man-charged-with-trafficking-teen-girl-from-yolo-county-producing-child-porn/" TargetMode="External"/><Relationship Id="rId1827" Type="http://schemas.openxmlformats.org/officeDocument/2006/relationships/hyperlink" Target="http://www.dailydemocrat.com/article/NI/20180712/NEWS/180719936" TargetMode="External"/><Relationship Id="rId1828" Type="http://schemas.openxmlformats.org/officeDocument/2006/relationships/hyperlink" Target="https://www.wkyc.com/article/news/crime/2-nc-women-lived-in-spa-operating-as-prostitution-front-sheriff/95-549206987" TargetMode="External"/><Relationship Id="rId1829" Type="http://schemas.openxmlformats.org/officeDocument/2006/relationships/hyperlink" Target="http://www.tribdem.com/news/johnstown-couple-accused-of-kidnapping-prostitution/article_ca637bbe-5274-11e8-ae18-c7effcf5c852.html" TargetMode="External"/><Relationship Id="rId4091" Type="http://schemas.openxmlformats.org/officeDocument/2006/relationships/hyperlink" Target="https://archive.vn/wip/nRxal" TargetMode="External"/><Relationship Id="rId4090" Type="http://schemas.openxmlformats.org/officeDocument/2006/relationships/hyperlink" Target="https://archive.vn/zDxmk" TargetMode="External"/><Relationship Id="rId4093" Type="http://schemas.openxmlformats.org/officeDocument/2006/relationships/hyperlink" Target="https://www.justice.gov/usao-wdla/pr/lafayette-man-sentenced-federal-prison-transportation-child-pornography" TargetMode="External"/><Relationship Id="rId4092" Type="http://schemas.openxmlformats.org/officeDocument/2006/relationships/hyperlink" Target="https://www.justice.gov/usao-nj/pr/somerset-county-man-arrested-child-pornography-charges" TargetMode="External"/><Relationship Id="rId4095" Type="http://schemas.openxmlformats.org/officeDocument/2006/relationships/hyperlink" Target="https://www.cbs17.com/news/man-recorded-himself-molesting-3-year-old-girl-florida-deputies-say/" TargetMode="External"/><Relationship Id="rId4094" Type="http://schemas.openxmlformats.org/officeDocument/2006/relationships/hyperlink" Target="https://www.justice.gov/usao-mdfl/pr/zephyrhills-man-sentenced-150-years-sexually-exploiting-multiple-young-children" TargetMode="External"/><Relationship Id="rId4097" Type="http://schemas.openxmlformats.org/officeDocument/2006/relationships/hyperlink" Target="https://archive.vn/M406r" TargetMode="External"/><Relationship Id="rId4096" Type="http://schemas.openxmlformats.org/officeDocument/2006/relationships/hyperlink" Target="https://archive.vn/C5BRu" TargetMode="External"/><Relationship Id="rId4099" Type="http://schemas.openxmlformats.org/officeDocument/2006/relationships/hyperlink" Target="https://www.fbi.gov/contact-us/field-offices/sanjuan/news/press-releases/arrest-of-richard-brian-biemuller" TargetMode="External"/><Relationship Id="rId4098" Type="http://schemas.openxmlformats.org/officeDocument/2006/relationships/hyperlink" Target="https://www.justice.gov/usao-wdla/pr/rayne-man-history-committing-sexual-crimes-sentenced-federal-court" TargetMode="External"/><Relationship Id="rId2302" Type="http://schemas.openxmlformats.org/officeDocument/2006/relationships/hyperlink" Target="https://nypost.com/2018/07/18/husband-and-wife-duo-busted-in-high-end-russian-hooker-ring/" TargetMode="External"/><Relationship Id="rId3634" Type="http://schemas.openxmlformats.org/officeDocument/2006/relationships/hyperlink" Target="https://www.courtlistener.com/docket/15703738/united-states-v-schweitzer/" TargetMode="External"/><Relationship Id="rId4965" Type="http://schemas.openxmlformats.org/officeDocument/2006/relationships/hyperlink" Target="https://archive.vn/ZHwDS" TargetMode="External"/><Relationship Id="rId2303" Type="http://schemas.openxmlformats.org/officeDocument/2006/relationships/hyperlink" Target="https://www.courtlistener.com/docket/7515449/united-states-v-taylor/" TargetMode="External"/><Relationship Id="rId3633" Type="http://schemas.openxmlformats.org/officeDocument/2006/relationships/hyperlink" Target="https://www.justice.gov/usao-sdny/pr/bronx-high-school-teacher-charged-possession-and-distribution-child-pornography" TargetMode="External"/><Relationship Id="rId4964" Type="http://schemas.openxmlformats.org/officeDocument/2006/relationships/hyperlink" Target="https://www.dailymail.co.uk/news/article-9021847/Private-jet-CEO-57-arrested-sex-trafficking-children-New-York-City.html" TargetMode="External"/><Relationship Id="rId2304" Type="http://schemas.openxmlformats.org/officeDocument/2006/relationships/hyperlink" Target="http://www.philly.com/philly/news/pennsylvania/philadelphia/david-milliner-child-pornography-prince-daniel-david-derothschild-arrest-philadelphia-20180802.html" TargetMode="External"/><Relationship Id="rId3636" Type="http://schemas.openxmlformats.org/officeDocument/2006/relationships/hyperlink" Target="http://archive.fo/fkZ1W" TargetMode="External"/><Relationship Id="rId4967" Type="http://schemas.openxmlformats.org/officeDocument/2006/relationships/hyperlink" Target="https://www.ice.gov/news/releases/ice-assists-brazil-arrests-10-human-smugglers" TargetMode="External"/><Relationship Id="rId2305" Type="http://schemas.openxmlformats.org/officeDocument/2006/relationships/hyperlink" Target="https://www.courtlistener.com/docket/7484594/united-states-v-milliner/" TargetMode="External"/><Relationship Id="rId3635" Type="http://schemas.openxmlformats.org/officeDocument/2006/relationships/hyperlink" Target="http://archive.fo/q60dV" TargetMode="External"/><Relationship Id="rId4966" Type="http://schemas.openxmlformats.org/officeDocument/2006/relationships/hyperlink" Target="https://archive.vn/0EUY6" TargetMode="External"/><Relationship Id="rId2306" Type="http://schemas.openxmlformats.org/officeDocument/2006/relationships/hyperlink" Target="https://www.justice.gov/usao-ks/pr/lawrence-man-sentenced-12-years-distributing-child-pornography" TargetMode="External"/><Relationship Id="rId3638" Type="http://schemas.openxmlformats.org/officeDocument/2006/relationships/hyperlink" Target="https://www.courtlistener.com/?q=&amp;type=r&amp;order_by=score+desc&amp;docket_number=6%3A19-cr-00018&amp;court=txed" TargetMode="External"/><Relationship Id="rId4969" Type="http://schemas.openxmlformats.org/officeDocument/2006/relationships/hyperlink" Target="https://www.justice.gov/usao-wdny/pr/jamestown-woman-arrested-charged-sex-trafficking-two-minors" TargetMode="External"/><Relationship Id="rId2307" Type="http://schemas.openxmlformats.org/officeDocument/2006/relationships/hyperlink" Target="https://www.justice.gov/usao-ks/pr/kansas-men-charged-distributing-child-porn" TargetMode="External"/><Relationship Id="rId3637" Type="http://schemas.openxmlformats.org/officeDocument/2006/relationships/hyperlink" Target="https://www.justice.gov/usao-edtx/pr/upshur-county-convicted-sex-offender-indicted-child-sexual-exploitation-violations-0" TargetMode="External"/><Relationship Id="rId4968" Type="http://schemas.openxmlformats.org/officeDocument/2006/relationships/hyperlink" Target="https://www.justice.gov/usao-wdny/pr/rochester-man-arrested-charged-production-child-pornography-and-enticement-minor" TargetMode="External"/><Relationship Id="rId2308" Type="http://schemas.openxmlformats.org/officeDocument/2006/relationships/hyperlink" Target="https://www.courtlistener.com/docket/7417959/united-states-v-fuchs/" TargetMode="External"/><Relationship Id="rId2309" Type="http://schemas.openxmlformats.org/officeDocument/2006/relationships/hyperlink" Target="https://www.justice.gov/usao-ks/pr/kansas-men-charged-distributing-child-porn" TargetMode="External"/><Relationship Id="rId3639" Type="http://schemas.openxmlformats.org/officeDocument/2006/relationships/hyperlink" Target="https://archive.vn/tuKOL" TargetMode="External"/><Relationship Id="rId3630" Type="http://schemas.openxmlformats.org/officeDocument/2006/relationships/hyperlink" Target="http://archive.fo/6OUg4" TargetMode="External"/><Relationship Id="rId4961" Type="http://schemas.openxmlformats.org/officeDocument/2006/relationships/hyperlink" Target="https://archive.vn/wip/Lnhy4" TargetMode="External"/><Relationship Id="rId4960" Type="http://schemas.openxmlformats.org/officeDocument/2006/relationships/hyperlink" Target="https://www.msn.com/en-us/news/crime/rev-william-mccandless-former-desales-university-catholic-priest-adviser-to-monaco-s-royal-family-indicted-on-child-porn-charges/ar-BB1bBMt9" TargetMode="External"/><Relationship Id="rId2300" Type="http://schemas.openxmlformats.org/officeDocument/2006/relationships/hyperlink" Target="https://www.justice.gov/usao-mdpa/pr/chambersburg-man-sentenced-20-years-imprisonment-child-exploitation-offenses" TargetMode="External"/><Relationship Id="rId3632" Type="http://schemas.openxmlformats.org/officeDocument/2006/relationships/hyperlink" Target="https://www.courtlistener.com/?q=&amp;type=r&amp;order_by=score+desc&amp;docket_number=2%3A19-cr-00070&amp;court=waed" TargetMode="External"/><Relationship Id="rId4963" Type="http://schemas.openxmlformats.org/officeDocument/2006/relationships/hyperlink" Target="https://www.justice.gov/usao-ma/pr/illinois-man-charged-production-child-pornography" TargetMode="External"/><Relationship Id="rId2301" Type="http://schemas.openxmlformats.org/officeDocument/2006/relationships/hyperlink" Target="https://www.cbp.gov/newsroom/local-media-release/yuma-sector-immigration-checkpoint-agents-arrest-26-human-smuggling" TargetMode="External"/><Relationship Id="rId3631" Type="http://schemas.openxmlformats.org/officeDocument/2006/relationships/hyperlink" Target="https://www.justice.gov/usao-edwa/pr/foreign-national-indicted-allegedly-receiving-and-possessing-child-pornography-and" TargetMode="External"/><Relationship Id="rId4962" Type="http://schemas.openxmlformats.org/officeDocument/2006/relationships/hyperlink" Target="https://archive.vn/W9hK3" TargetMode="External"/><Relationship Id="rId3623" Type="http://schemas.openxmlformats.org/officeDocument/2006/relationships/hyperlink" Target="https://www.justice.gov/usao-nh/pr/somersworth-man-pleads-guilty-child-pornography-crimes" TargetMode="External"/><Relationship Id="rId4954" Type="http://schemas.openxmlformats.org/officeDocument/2006/relationships/hyperlink" Target="https://www.justice.gov/usao-ndok/pr/federal-grand-jury-indictments-announced-december" TargetMode="External"/><Relationship Id="rId3622" Type="http://schemas.openxmlformats.org/officeDocument/2006/relationships/hyperlink" Target="https://www.courtlistener.com/?q=&amp;type=r&amp;order_by=score+desc&amp;docket_number=8%3A19-cr-00258&amp;court=mdd" TargetMode="External"/><Relationship Id="rId4953" Type="http://schemas.openxmlformats.org/officeDocument/2006/relationships/hyperlink" Target="https://www.cbp.gov/newsroom/local-media-release/border-patrol-finds-more-20-people-crammed-van" TargetMode="External"/><Relationship Id="rId3625" Type="http://schemas.openxmlformats.org/officeDocument/2006/relationships/hyperlink" Target="https://www.justice.gov/usao-nm/pr/las-cruces-middle-school-principal-arrested-federal-child-pornography-charges" TargetMode="External"/><Relationship Id="rId4956" Type="http://schemas.openxmlformats.org/officeDocument/2006/relationships/hyperlink" Target="https://www.cbp.gov/newsroom/local-media-release/multiple-agencies-collaborate-stop-human-smuggling-scheme" TargetMode="External"/><Relationship Id="rId3624" Type="http://schemas.openxmlformats.org/officeDocument/2006/relationships/hyperlink" Target="https://www.justice.gov/usao-wdnc/pr/asheville-resident-sentenced-14-years-transporting-child-pornography" TargetMode="External"/><Relationship Id="rId4955" Type="http://schemas.openxmlformats.org/officeDocument/2006/relationships/hyperlink" Target="https://www.ice.gov/news/releases/ice-arrests-21-across-us-during-operation-no-safe-haven-plus" TargetMode="External"/><Relationship Id="rId3627" Type="http://schemas.openxmlformats.org/officeDocument/2006/relationships/hyperlink" Target="http://archive.fo/Vdynj" TargetMode="External"/><Relationship Id="rId4958" Type="http://schemas.openxmlformats.org/officeDocument/2006/relationships/hyperlink" Target="https://www.justice.gov/usao-ndca/pr/member-boogaloo-movement-group-charged-enticement-minor-engage-sexual-activity" TargetMode="External"/><Relationship Id="rId3626" Type="http://schemas.openxmlformats.org/officeDocument/2006/relationships/hyperlink" Target="https://www.elpasotimes.com/story/news/2019/04/04/zia-middle-school-las-cruces-principal-arrested-child-sex-crimes/3366108002/" TargetMode="External"/><Relationship Id="rId4957" Type="http://schemas.openxmlformats.org/officeDocument/2006/relationships/hyperlink" Target="https://www.justice.gov/usao-edwi/pr/green-bay-man-indicted-human-trafficking-and-production-child-pornography-charges" TargetMode="External"/><Relationship Id="rId3629" Type="http://schemas.openxmlformats.org/officeDocument/2006/relationships/hyperlink" Target="https://www.courtlistener.com/docket/14816271/united-states-v-crawford/" TargetMode="External"/><Relationship Id="rId3628" Type="http://schemas.openxmlformats.org/officeDocument/2006/relationships/hyperlink" Target="http://archive.fo/84SAG" TargetMode="External"/><Relationship Id="rId4959" Type="http://schemas.openxmlformats.org/officeDocument/2006/relationships/hyperlink" Target="https://www.justice.gov/usao-edpa/pr/former-desales-university-catholic-priest-indicted-child-pornography-offenses" TargetMode="External"/><Relationship Id="rId4950" Type="http://schemas.openxmlformats.org/officeDocument/2006/relationships/hyperlink" Target="https://www.justice.gov/usao-wdny/pr/missouri-man-facing-child-pornography-and-cyberstalking-charges" TargetMode="External"/><Relationship Id="rId3621" Type="http://schemas.openxmlformats.org/officeDocument/2006/relationships/hyperlink" Target="https://www.justice.gov/usao-md/pr/previously-convicted-sex-offender-sentenced-10-years-federal-prison-possession-child" TargetMode="External"/><Relationship Id="rId4952" Type="http://schemas.openxmlformats.org/officeDocument/2006/relationships/hyperlink" Target="https://www.justice.gov/usao-ma/pr/fall-river-woman-charged-sexual-exploitation-children" TargetMode="External"/><Relationship Id="rId3620" Type="http://schemas.openxmlformats.org/officeDocument/2006/relationships/hyperlink" Target="https://www.justice.gov/usao-wdpa/pr/uniontown-man-possessed-hundreds-pornographic-images-and-videos-children" TargetMode="External"/><Relationship Id="rId4951" Type="http://schemas.openxmlformats.org/officeDocument/2006/relationships/hyperlink" Target="https://www.justice.gov/usao-wdwi/pr/two-grand-jury-indictments-unsealed" TargetMode="External"/><Relationship Id="rId2324" Type="http://schemas.openxmlformats.org/officeDocument/2006/relationships/hyperlink" Target="https://www.nwitimes.com/news/local/crime-and-courts/men-arrested-in-prostitution-sting-along-state-line-avenue-in/article_efe95f8e-bc99-5f57-80ef-5b80aa56a994.html" TargetMode="External"/><Relationship Id="rId3656" Type="http://schemas.openxmlformats.org/officeDocument/2006/relationships/hyperlink" Target="https://www.cbp.gov/newsroom/local-media-release/el-paso-border-patrol-agents-apprehend-nine-vehicle-failed-yield-new" TargetMode="External"/><Relationship Id="rId4987" Type="http://schemas.openxmlformats.org/officeDocument/2006/relationships/hyperlink" Target="https://archive.vn/SJrFQ" TargetMode="External"/><Relationship Id="rId2325" Type="http://schemas.openxmlformats.org/officeDocument/2006/relationships/hyperlink" Target="https://www.justice.gov/usao-sdms/pr/picayune-man-pleads-guilty-producing-images-minor-engaged-sexually-explicit-conduct" TargetMode="External"/><Relationship Id="rId3655" Type="http://schemas.openxmlformats.org/officeDocument/2006/relationships/hyperlink" Target="https://web.archive.org/web/20190415194246/https://i0.wp.com/metro.co.uk/wp-content/uploads/2019/04/1-301a.jpg?quality=90&amp;strip=all&amp;zoom=1&amp;resize=540%2C605&amp;ssl=1" TargetMode="External"/><Relationship Id="rId4986" Type="http://schemas.openxmlformats.org/officeDocument/2006/relationships/hyperlink" Target="https://archive.vn/SJrFQ" TargetMode="External"/><Relationship Id="rId2326" Type="http://schemas.openxmlformats.org/officeDocument/2006/relationships/hyperlink" Target="https://www.sunherald.com/news/local/article215021875.html" TargetMode="External"/><Relationship Id="rId3658" Type="http://schemas.openxmlformats.org/officeDocument/2006/relationships/hyperlink" Target="http://archive.fo/nsCq9" TargetMode="External"/><Relationship Id="rId4989" Type="http://schemas.openxmlformats.org/officeDocument/2006/relationships/hyperlink" Target="https://archive.vn/SJrFQ" TargetMode="External"/><Relationship Id="rId2327" Type="http://schemas.openxmlformats.org/officeDocument/2006/relationships/hyperlink" Target="https://web.archive.org/web/20190816002826/https://www.sunherald.com/news/local/article215021875.html" TargetMode="External"/><Relationship Id="rId3657" Type="http://schemas.openxmlformats.org/officeDocument/2006/relationships/hyperlink" Target="https://www.justice.gov/usao-ndal/pr/federal-grand-jury-indicts-sylacauga-man-attempted-child-enticement" TargetMode="External"/><Relationship Id="rId4988" Type="http://schemas.openxmlformats.org/officeDocument/2006/relationships/hyperlink" Target="https://archive.vn/SJrFQ" TargetMode="External"/><Relationship Id="rId2328" Type="http://schemas.openxmlformats.org/officeDocument/2006/relationships/hyperlink" Target="https://web.archive.org/web/20190816002748/https://www.sunherald.com/latest-news/2ji46l/picture215021880/alternates/LANDSCAPE_1140/MUG%20Dannie%20Curlee.jpg" TargetMode="External"/><Relationship Id="rId2329" Type="http://schemas.openxmlformats.org/officeDocument/2006/relationships/hyperlink" Target="https://www.justice.gov/usao-ndoh/pr/stark-county-man-indicted-receiving-and-having-child-pornography" TargetMode="External"/><Relationship Id="rId3659" Type="http://schemas.openxmlformats.org/officeDocument/2006/relationships/hyperlink" Target="http://archive.fo/IViNJ" TargetMode="External"/><Relationship Id="rId3650" Type="http://schemas.openxmlformats.org/officeDocument/2006/relationships/hyperlink" Target="https://www.fourstateshomepage.com/news/local-news/former-joplin-woman-sentenced-in-child-pornography-case/" TargetMode="External"/><Relationship Id="rId4981" Type="http://schemas.openxmlformats.org/officeDocument/2006/relationships/hyperlink" Target="https://tbinewsroom.com/2020/12/12/joint-human-trafficking-operation-results-in-more-than-a-dozen-arrests/" TargetMode="External"/><Relationship Id="rId4980" Type="http://schemas.openxmlformats.org/officeDocument/2006/relationships/hyperlink" Target="https://archive.vn/cHNgK" TargetMode="External"/><Relationship Id="rId2320" Type="http://schemas.openxmlformats.org/officeDocument/2006/relationships/hyperlink" Target="http://www.wdam.com/story/38668019/gulfport-man-arrested-on-human-trafficking-charges" TargetMode="External"/><Relationship Id="rId3652" Type="http://schemas.openxmlformats.org/officeDocument/2006/relationships/hyperlink" Target="https://archive.vn/dVacQ" TargetMode="External"/><Relationship Id="rId4983" Type="http://schemas.openxmlformats.org/officeDocument/2006/relationships/hyperlink" Target="https://archive.vn/SJrFQ" TargetMode="External"/><Relationship Id="rId2321" Type="http://schemas.openxmlformats.org/officeDocument/2006/relationships/hyperlink" Target="https://www.cbs17.com/news/local-news/moore-county-massage-parlor-employees-arrested-on-prostitution-charges/1308110160" TargetMode="External"/><Relationship Id="rId3651" Type="http://schemas.openxmlformats.org/officeDocument/2006/relationships/hyperlink" Target="https://archive.vn/H1RJk" TargetMode="External"/><Relationship Id="rId4982" Type="http://schemas.openxmlformats.org/officeDocument/2006/relationships/hyperlink" Target="https://archive.vn/SJrFQ" TargetMode="External"/><Relationship Id="rId2322" Type="http://schemas.openxmlformats.org/officeDocument/2006/relationships/hyperlink" Target="http://www.wgnsradio.com/prostitution-investigation-lands-two-in-jail-cms-46351" TargetMode="External"/><Relationship Id="rId3654" Type="http://schemas.openxmlformats.org/officeDocument/2006/relationships/hyperlink" Target="http://archive.fo/P8igq" TargetMode="External"/><Relationship Id="rId4985" Type="http://schemas.openxmlformats.org/officeDocument/2006/relationships/hyperlink" Target="https://archive.vn/SJrFQ" TargetMode="External"/><Relationship Id="rId2323" Type="http://schemas.openxmlformats.org/officeDocument/2006/relationships/hyperlink" Target="https://www.heraldmailmedia.com/news/tri_state/pennsylvania/chambersburg-police-woman-charged-with-promoting-prostitution/article_99927fd6-e643-5778-a5a4-e588d5887810.html" TargetMode="External"/><Relationship Id="rId3653" Type="http://schemas.openxmlformats.org/officeDocument/2006/relationships/hyperlink" Target="https://www.ice.gov/news/releases/greensboro-daycare-employee-arrested-child-exploitation-charges" TargetMode="External"/><Relationship Id="rId4984" Type="http://schemas.openxmlformats.org/officeDocument/2006/relationships/hyperlink" Target="https://archive.vn/SJrFQ" TargetMode="External"/><Relationship Id="rId2313" Type="http://schemas.openxmlformats.org/officeDocument/2006/relationships/hyperlink" Target="https://prescottenews.com/index.php/news/current-news/item/32246-three-men-arrested-in-prostitution-sting" TargetMode="External"/><Relationship Id="rId3645" Type="http://schemas.openxmlformats.org/officeDocument/2006/relationships/hyperlink" Target="https://www.justice.gov/usao-mdfl/pr/lady-lake-man-indicted-producing-child-pornography" TargetMode="External"/><Relationship Id="rId4976" Type="http://schemas.openxmlformats.org/officeDocument/2006/relationships/hyperlink" Target="https://www.cbp.gov/newsroom/local-media-release/laredo-sector-border-patrol-and-duval-county-sheriff-s-department" TargetMode="External"/><Relationship Id="rId2314" Type="http://schemas.openxmlformats.org/officeDocument/2006/relationships/hyperlink" Target="https://www.mercedsunstar.com/news/local/crime/article214961310.html" TargetMode="External"/><Relationship Id="rId3644" Type="http://schemas.openxmlformats.org/officeDocument/2006/relationships/hyperlink" Target="https://www.courtlistener.com/docket/14909437/united-states-v-nowak/" TargetMode="External"/><Relationship Id="rId4975" Type="http://schemas.openxmlformats.org/officeDocument/2006/relationships/hyperlink" Target="https://www.justice.gov/usao-nj/pr/bergen-county-man-charged-distribution-and-possession-child-pornography" TargetMode="External"/><Relationship Id="rId2315" Type="http://schemas.openxmlformats.org/officeDocument/2006/relationships/hyperlink" Target="https://www.wjtv.com/news/17-year-old-girl-rescued-from-human-trafficking/1308322607" TargetMode="External"/><Relationship Id="rId3647" Type="http://schemas.openxmlformats.org/officeDocument/2006/relationships/hyperlink" Target="https://www.courtlistener.com/docket/14989793/united-states-v-sammons/" TargetMode="External"/><Relationship Id="rId4978" Type="http://schemas.openxmlformats.org/officeDocument/2006/relationships/hyperlink" Target="https://salinapost.com/posts/f95f4d82-1813-46a3-9c64-8951cbc4a813" TargetMode="External"/><Relationship Id="rId2316" Type="http://schemas.openxmlformats.org/officeDocument/2006/relationships/hyperlink" Target="https://www.justice.gov/usao-nm/pr/previously-convicted-sex-offender-albuquerque-arraigned-federal-child-pornography-charges" TargetMode="External"/><Relationship Id="rId3646" Type="http://schemas.openxmlformats.org/officeDocument/2006/relationships/hyperlink" Target="https://www.justice.gov/usao-sdoh/pr/westerville-man-charged-sexually-exploiting-five-year-old" TargetMode="External"/><Relationship Id="rId4977" Type="http://schemas.openxmlformats.org/officeDocument/2006/relationships/hyperlink" Target="https://www.justice.gov/usao-ks/pr/mcpherson-county-man-charged-producing-child-pornography" TargetMode="External"/><Relationship Id="rId2317" Type="http://schemas.openxmlformats.org/officeDocument/2006/relationships/hyperlink" Target="https://www.justice.gov/usao-ne/pr/omaha-man-sentenced-180-months-child-pornography-offense" TargetMode="External"/><Relationship Id="rId3649" Type="http://schemas.openxmlformats.org/officeDocument/2006/relationships/hyperlink" Target="https://www.courtlistener.com/docket/14875397/united-states-v-winczuk/" TargetMode="External"/><Relationship Id="rId2318" Type="http://schemas.openxmlformats.org/officeDocument/2006/relationships/hyperlink" Target="https://www.cbp.gov/newsroom/local-media-release/laredo-sector-border-patrol-agents-intercept-smuggling-case-involving" TargetMode="External"/><Relationship Id="rId3648" Type="http://schemas.openxmlformats.org/officeDocument/2006/relationships/hyperlink" Target="https://www.justice.gov/usao-ma/pr/new-jersey-sex-offender-charged-attempted-production-child-pornography" TargetMode="External"/><Relationship Id="rId4979" Type="http://schemas.openxmlformats.org/officeDocument/2006/relationships/hyperlink" Target="https://archive.vn/zc8D1" TargetMode="External"/><Relationship Id="rId2319" Type="http://schemas.openxmlformats.org/officeDocument/2006/relationships/hyperlink" Target="https://www.news4jax.com/news/florida/st-johns-county/trove-of-child-porn-found-on-federal-workers-flash-drive" TargetMode="External"/><Relationship Id="rId4970" Type="http://schemas.openxmlformats.org/officeDocument/2006/relationships/hyperlink" Target="https://www.cbp.gov/newsroom/local-media-release/border-patrol-apprehends-over-200-individuals-being-smuggled-commercial" TargetMode="External"/><Relationship Id="rId3641" Type="http://schemas.openxmlformats.org/officeDocument/2006/relationships/hyperlink" Target="https://www.dcclothesline.com/2019/04/13/minnesota-names-of-the-58-suspects-in-massive-child-sex-and-trafficking-sting-28-child-victims-rescued/" TargetMode="External"/><Relationship Id="rId4972" Type="http://schemas.openxmlformats.org/officeDocument/2006/relationships/hyperlink" Target="https://www.justice.gov/usao-sdoh/pr/cincinnati-man-who-allegedly-advertised-online-babysitting-jobs-arrested-federal-child" TargetMode="External"/><Relationship Id="rId2310" Type="http://schemas.openxmlformats.org/officeDocument/2006/relationships/hyperlink" Target="https://www.courtlistener.com/docket/7417958/united-states-v-allen/" TargetMode="External"/><Relationship Id="rId3640" Type="http://schemas.openxmlformats.org/officeDocument/2006/relationships/hyperlink" Target="https://www.justice.gov/usao-mdla/pr/denham-springs-man-sentenced-68-months-federal-prison-receipt-child-pornography" TargetMode="External"/><Relationship Id="rId4971" Type="http://schemas.openxmlformats.org/officeDocument/2006/relationships/hyperlink" Target="https://www.cbp.gov/newsroom/local-media-release/laredo-sector-border-patrol-prevents-human-smuggling-event-flatbed" TargetMode="External"/><Relationship Id="rId2311" Type="http://schemas.openxmlformats.org/officeDocument/2006/relationships/hyperlink" Target="https://www.heraldmailmedia.com/news/tri_state/west_virginia/five-charged-in-solicitation-of-prostitution-sting-in-martinsburg-w/article_e0fb7dea-86ae-11e8-bf7e-13c138028c56.html" TargetMode="External"/><Relationship Id="rId3643" Type="http://schemas.openxmlformats.org/officeDocument/2006/relationships/hyperlink" Target="https://www.justice.gov/usao-sdfl/pr/delray-beach-doctor-sentenced-prison-and-ordered-pay-restitution-federal-child" TargetMode="External"/><Relationship Id="rId4974" Type="http://schemas.openxmlformats.org/officeDocument/2006/relationships/hyperlink" Target="https://www.cbp.gov/newsroom/local-media-release/agents-vehicle-stop-results-stash-house-bust" TargetMode="External"/><Relationship Id="rId2312" Type="http://schemas.openxmlformats.org/officeDocument/2006/relationships/hyperlink" Target="https://tucson.com/news/local/kansas-man-arrested-on-suspicion-of-human-smuggling-south-of/article_48bf1474-8618-11e8-ac54-03e1d814985d.html" TargetMode="External"/><Relationship Id="rId3642" Type="http://schemas.openxmlformats.org/officeDocument/2006/relationships/hyperlink" Target="http://archive.fo/bRr41" TargetMode="External"/><Relationship Id="rId4973" Type="http://schemas.openxmlformats.org/officeDocument/2006/relationships/hyperlink" Target="https://www.justice.gov/usao-ndca/pr/san-francisco-substitute-teacher-charged-possession-child-pornography" TargetMode="External"/><Relationship Id="rId1895" Type="http://schemas.openxmlformats.org/officeDocument/2006/relationships/hyperlink" Target="https://archive.vn/PkL8A" TargetMode="External"/><Relationship Id="rId4921" Type="http://schemas.openxmlformats.org/officeDocument/2006/relationships/hyperlink" Target="https://www.justice.gov/usao-ks/pr/indictment-convicted-sex-offender-sexually-exploited-minor" TargetMode="External"/><Relationship Id="rId1896" Type="http://schemas.openxmlformats.org/officeDocument/2006/relationships/hyperlink" Target="http://www.tuscaloosanews.com/news/20180517/tuscaloosa-police-charge-laquinta-inn-manager-with-human-trafficking" TargetMode="External"/><Relationship Id="rId4920" Type="http://schemas.openxmlformats.org/officeDocument/2006/relationships/hyperlink" Target="https://www.justice.gov/usao-edva/pr/man-charged-illegal-possession-firearm-and-destructive-device" TargetMode="External"/><Relationship Id="rId1897" Type="http://schemas.openxmlformats.org/officeDocument/2006/relationships/hyperlink" Target="https://www.justice.gov/usao-md/pr/prince-george-s-county-man-indicted-charges-sex-trafficking-and-sexual-exploitation-minor" TargetMode="External"/><Relationship Id="rId4923" Type="http://schemas.openxmlformats.org/officeDocument/2006/relationships/hyperlink" Target="https://www.justice.gov/usao-ndwv/pr/monongalia-county-man-indicted-child-pornography-charge" TargetMode="External"/><Relationship Id="rId1898" Type="http://schemas.openxmlformats.org/officeDocument/2006/relationships/hyperlink" Target="https://www.justice.gov/usao-edva/pr/man-pleads-guilty-producing-and-distributing-child-pornography" TargetMode="External"/><Relationship Id="rId4922" Type="http://schemas.openxmlformats.org/officeDocument/2006/relationships/hyperlink" Target="https://www.justice.gov/usao-ndny/pr/amsterdam-man-charged-distributing-child-pornography" TargetMode="External"/><Relationship Id="rId1899" Type="http://schemas.openxmlformats.org/officeDocument/2006/relationships/hyperlink" Target="https://www.justice.gov/usao-ednc/pr/roxboro-man-sentenced-child-exploitation-offenses" TargetMode="External"/><Relationship Id="rId4925" Type="http://schemas.openxmlformats.org/officeDocument/2006/relationships/hyperlink" Target="https://www.justice.gov/usao-or/pr/roseburg-man-accused-attempted-sexual-exploitation-child" TargetMode="External"/><Relationship Id="rId4924" Type="http://schemas.openxmlformats.org/officeDocument/2006/relationships/hyperlink" Target="https://www.ice.gov/news/releases/ice-international-partners-arrest-113-child-predators" TargetMode="External"/><Relationship Id="rId4927" Type="http://schemas.openxmlformats.org/officeDocument/2006/relationships/hyperlink" Target="https://www.justice.gov/usao-nv/pr/las-vegas-man-indicted-human-trafficking-case-allegedly-coercing-and-enticing-four" TargetMode="External"/><Relationship Id="rId4926" Type="http://schemas.openxmlformats.org/officeDocument/2006/relationships/hyperlink" Target="https://www.justice.gov/usao-mdfl/pr/michigan-man-ordered-detained-pending-child-sexual-exploitation-charges" TargetMode="External"/><Relationship Id="rId4929" Type="http://schemas.openxmlformats.org/officeDocument/2006/relationships/hyperlink" Target="https://archive.vn/gwTzc" TargetMode="External"/><Relationship Id="rId4928" Type="http://schemas.openxmlformats.org/officeDocument/2006/relationships/hyperlink" Target="https://www.8newsnow.com/news/local-news/las-vegas-man-faces-federal-charges-of-sex-trafficking-sexual-exploitation/" TargetMode="External"/><Relationship Id="rId1890" Type="http://schemas.openxmlformats.org/officeDocument/2006/relationships/hyperlink" Target="http://whotv.com/2018/05/15/man-charged-with-sex-trafficking-at-flying-j-in-altoona-officials-warn-problem-is-getting-worse/" TargetMode="External"/><Relationship Id="rId1891" Type="http://schemas.openxmlformats.org/officeDocument/2006/relationships/hyperlink" Target="http://thecount.com/2018/05/15/keith-cannon-keller-fl-man-claims-smoked-meth-with-14-year-old-girl-to-keep-her-off-streets/" TargetMode="External"/><Relationship Id="rId1892" Type="http://schemas.openxmlformats.org/officeDocument/2006/relationships/hyperlink" Target="https://www.justice.gov/usao-edtx/pr/collin-county-man-sentenced-35-years-child-pornography-violations" TargetMode="External"/><Relationship Id="rId1893" Type="http://schemas.openxmlformats.org/officeDocument/2006/relationships/hyperlink" Target="http://www.fox4news.com/news/allen-man-busted-with-58-terabytes-of-child-porn" TargetMode="External"/><Relationship Id="rId1894" Type="http://schemas.openxmlformats.org/officeDocument/2006/relationships/hyperlink" Target="https://archive.vn/PkL8A" TargetMode="External"/><Relationship Id="rId1884" Type="http://schemas.openxmlformats.org/officeDocument/2006/relationships/hyperlink" Target="http://abc30.com/madera-police-arrest-2-men-for-sex-trafficking-/3469952/" TargetMode="External"/><Relationship Id="rId4910" Type="http://schemas.openxmlformats.org/officeDocument/2006/relationships/hyperlink" Target="https://www.justice.gov/usao-ndok/pr/federal-grand-jury-b-indictments-announced-november" TargetMode="External"/><Relationship Id="rId1885" Type="http://schemas.openxmlformats.org/officeDocument/2006/relationships/hyperlink" Target="https://www.cbp.gov/newsroom/local-media-release/border-patrol-agents-arrest-four-mexican-nationals-crammed-trunk-over" TargetMode="External"/><Relationship Id="rId1886" Type="http://schemas.openxmlformats.org/officeDocument/2006/relationships/hyperlink" Target="https://www.cbp.gov/newsroom/local-media-release/two-men-arrested-smuggling-salvadorian-national-trunk" TargetMode="External"/><Relationship Id="rId4912" Type="http://schemas.openxmlformats.org/officeDocument/2006/relationships/hyperlink" Target="https://nypost.com/2020/11/18/nearly-200-arrested-in-florida-child-sex-trafficking-bust/" TargetMode="External"/><Relationship Id="rId1887" Type="http://schemas.openxmlformats.org/officeDocument/2006/relationships/hyperlink" Target="http://www.valdostadailytimes.com/news/local_news/quitman-man-returns-to-prison-on-child-porn-violation/article_42b1fb5f-919c-587a-8238-a45bd59dc9e0.html" TargetMode="External"/><Relationship Id="rId4911" Type="http://schemas.openxmlformats.org/officeDocument/2006/relationships/hyperlink" Target="https://www.justice.gov/usao-ndfl/pr/more-170-charged-following-large-scale-human-trafficking-investigation" TargetMode="External"/><Relationship Id="rId1888" Type="http://schemas.openxmlformats.org/officeDocument/2006/relationships/hyperlink" Target="http://www.nola.com/crime/index.ssf/2018/05/woman_accused_of_sex_trafficki.html" TargetMode="External"/><Relationship Id="rId4914" Type="http://schemas.openxmlformats.org/officeDocument/2006/relationships/hyperlink" Target="https://nypost.com/2020/11/03/pennsylvania-judge-accused-of-sexually-abusing-12-year-old-boy/?utm_medium=SocialFlow&amp;utm_campaign=SocialFlow&amp;utm_source=NYPTwitter" TargetMode="External"/><Relationship Id="rId1889" Type="http://schemas.openxmlformats.org/officeDocument/2006/relationships/hyperlink" Target="https://www.cbp.gov/newsroom/local-media-release/tucson-woman-arrested-smuggling-people-trunk" TargetMode="External"/><Relationship Id="rId4913" Type="http://schemas.openxmlformats.org/officeDocument/2006/relationships/hyperlink" Target="https://archive.vn/ndFRH" TargetMode="External"/><Relationship Id="rId4916" Type="http://schemas.openxmlformats.org/officeDocument/2006/relationships/hyperlink" Target="https://archive.vn/wip/PxBwD" TargetMode="External"/><Relationship Id="rId4915" Type="http://schemas.openxmlformats.org/officeDocument/2006/relationships/hyperlink" Target="https://archive.vn/wip/ADCiz" TargetMode="External"/><Relationship Id="rId4918" Type="http://schemas.openxmlformats.org/officeDocument/2006/relationships/hyperlink" Target="https://www.justice.gov/usao-wdwa/pr/kent-washington-man-charged-sex-trafficking-juvenile" TargetMode="External"/><Relationship Id="rId4917" Type="http://schemas.openxmlformats.org/officeDocument/2006/relationships/hyperlink" Target="https://www.justice.gov/usao-mdfl/pr/nassau-county-fire-and-rescue-employee-indicted-three-counts-receipt-child-exploitation" TargetMode="External"/><Relationship Id="rId4919" Type="http://schemas.openxmlformats.org/officeDocument/2006/relationships/hyperlink" Target="https://www.justice.gov/usao-wdpa/pr/erie-man-indicted-child-sexual-exploitation-charges-1" TargetMode="External"/><Relationship Id="rId1880" Type="http://schemas.openxmlformats.org/officeDocument/2006/relationships/hyperlink" Target="https://www.justice.gov/usao-ndny/pr/brazilian-man-sentenced-illegal-alien-smuggling" TargetMode="External"/><Relationship Id="rId1881" Type="http://schemas.openxmlformats.org/officeDocument/2006/relationships/hyperlink" Target="https://www.courtlistener.com/docket/6832142/united-states-v-caetano/" TargetMode="External"/><Relationship Id="rId1882" Type="http://schemas.openxmlformats.org/officeDocument/2006/relationships/hyperlink" Target="https://www.justice.gov/usao-mdfl/pr/california-man-sentenced-life-federal-prison-sexually-exploiting-minor-orlando" TargetMode="External"/><Relationship Id="rId1883" Type="http://schemas.openxmlformats.org/officeDocument/2006/relationships/hyperlink" Target="https://www.courtlistener.com/docket/7067887/united-states-v-deshpande/" TargetMode="External"/><Relationship Id="rId3612" Type="http://schemas.openxmlformats.org/officeDocument/2006/relationships/hyperlink" Target="https://www.cbp.gov/newsroom/local-media-release/border-patrol-stops-two-smuggling-attempts-fleeing-vehicles" TargetMode="External"/><Relationship Id="rId4943" Type="http://schemas.openxmlformats.org/officeDocument/2006/relationships/hyperlink" Target="https://www.justice.gov/usao-ndny/pr/onondaga-county-man-arrested-child-pornography-charges-1" TargetMode="External"/><Relationship Id="rId3611" Type="http://schemas.openxmlformats.org/officeDocument/2006/relationships/hyperlink" Target="http://archive.fo/9GpBS" TargetMode="External"/><Relationship Id="rId4942" Type="http://schemas.openxmlformats.org/officeDocument/2006/relationships/hyperlink" Target="https://www.justice.gov/usao-md/pr/prince-george-s-county-man-indicted-maryland-federal-charges-sexually-exploiting-two" TargetMode="External"/><Relationship Id="rId3614" Type="http://schemas.openxmlformats.org/officeDocument/2006/relationships/hyperlink" Target="https://www.courtlistener.com/docket/14992208/united-states-v-vazquez-morales/" TargetMode="External"/><Relationship Id="rId4945" Type="http://schemas.openxmlformats.org/officeDocument/2006/relationships/hyperlink" Target="https://www.cbp.gov/newsroom/local-media-release/welfare-check-leads-human-smuggling-arrests" TargetMode="External"/><Relationship Id="rId3613" Type="http://schemas.openxmlformats.org/officeDocument/2006/relationships/hyperlink" Target="https://www.justice.gov/usao-sdtx/pr/young-undocumented-alien-admits-transporting-chinese-and-brazilian-nationals" TargetMode="External"/><Relationship Id="rId4944" Type="http://schemas.openxmlformats.org/officeDocument/2006/relationships/hyperlink" Target="https://www.justice.gov/usao-wdny/pr/buffalo-man-arrested-charged-production-and-receipt-child-pornography" TargetMode="External"/><Relationship Id="rId3616" Type="http://schemas.openxmlformats.org/officeDocument/2006/relationships/hyperlink" Target="https://www.justice.gov/usao-ndny/pr/tioga-county-man-sentenced-109-months-receipt-and-possession-child-pornography" TargetMode="External"/><Relationship Id="rId4947" Type="http://schemas.openxmlformats.org/officeDocument/2006/relationships/hyperlink" Target="https://www.cbp.gov/newsroom/local-media-release/law-enforcement-agencies-collaborate-thwart-multiple-smuggling-attempts" TargetMode="External"/><Relationship Id="rId3615" Type="http://schemas.openxmlformats.org/officeDocument/2006/relationships/hyperlink" Target="https://www.cbp.gov/newsroom/local-media-release/border-patrol-stops-smuggling-attempt-near-hogansburg" TargetMode="External"/><Relationship Id="rId4946" Type="http://schemas.openxmlformats.org/officeDocument/2006/relationships/hyperlink" Target="https://www.cbp.gov/newsroom/local-media-release/border-patrol-k9-alerts-illegal-aliens-trunk-0" TargetMode="External"/><Relationship Id="rId3618" Type="http://schemas.openxmlformats.org/officeDocument/2006/relationships/hyperlink" Target="https://www.cbp.gov/newsroom/local-media-release/16-arrested-human-smuggling-attempt-near-comstock" TargetMode="External"/><Relationship Id="rId4949" Type="http://schemas.openxmlformats.org/officeDocument/2006/relationships/hyperlink" Target="https://www.cbp.gov/newsroom/local-media-release/2-illegal-aliens-found-hiding-trunk-immigration-checkpoint" TargetMode="External"/><Relationship Id="rId3617" Type="http://schemas.openxmlformats.org/officeDocument/2006/relationships/hyperlink" Target="https://www.courtlistener.com/?q=&amp;type=r&amp;order_by=score+desc&amp;docket_number=3%3A19-cr-00136&amp;court=nynd" TargetMode="External"/><Relationship Id="rId4948" Type="http://schemas.openxmlformats.org/officeDocument/2006/relationships/hyperlink" Target="https://www.cbp.gov/newsroom/local-media-release/border-patrol-foils-flatbed-trailer-human-smuggling-attempt" TargetMode="External"/><Relationship Id="rId3619" Type="http://schemas.openxmlformats.org/officeDocument/2006/relationships/hyperlink" Target="https://www.courtlistener.com/docket/15039156/united-states-v-cardenas-richar/" TargetMode="External"/><Relationship Id="rId3610" Type="http://schemas.openxmlformats.org/officeDocument/2006/relationships/hyperlink" Target="http://archive.fo/xepZQ" TargetMode="External"/><Relationship Id="rId4941" Type="http://schemas.openxmlformats.org/officeDocument/2006/relationships/hyperlink" Target="https://www.justice.gov/usao-edwa/pr/tri-cities-man-extradited-kazakhstan-eastern-district-washington-order-face-child" TargetMode="External"/><Relationship Id="rId4940" Type="http://schemas.openxmlformats.org/officeDocument/2006/relationships/hyperlink" Target="https://www.justice.gov/usao-nj/pr/repeat-offender-charged-distribution-and-possession-child-pornography-0" TargetMode="External"/><Relationship Id="rId3601" Type="http://schemas.openxmlformats.org/officeDocument/2006/relationships/hyperlink" Target="https://www.ksla.com/2019/06/17/operation-broken-heart-arrested-mississippi-sex-crimes-against-children/" TargetMode="External"/><Relationship Id="rId4932" Type="http://schemas.openxmlformats.org/officeDocument/2006/relationships/hyperlink" Target="https://www.justice.gov/usao-nj/pr/essex-county-man-charged-producing-child-pornography" TargetMode="External"/><Relationship Id="rId3600" Type="http://schemas.openxmlformats.org/officeDocument/2006/relationships/hyperlink" Target="https://www.justice.gov/usao-ndms/pr/desoto-county-man-sentenced-prison-possession-child-pornography" TargetMode="External"/><Relationship Id="rId4931" Type="http://schemas.openxmlformats.org/officeDocument/2006/relationships/hyperlink" Target="https://www.justice.gov/usao-sd/pr/fort-pierre-man-indicted-child-pornography-charges" TargetMode="External"/><Relationship Id="rId3603" Type="http://schemas.openxmlformats.org/officeDocument/2006/relationships/hyperlink" Target="https://www.courtlistener.com/docket/15619577/united-states-v-moore/" TargetMode="External"/><Relationship Id="rId4934" Type="http://schemas.openxmlformats.org/officeDocument/2006/relationships/hyperlink" Target="https://www.justice.gov/usao-ndny/pr/lewis-county-man-arrested-child-pornography-charges" TargetMode="External"/><Relationship Id="rId3602" Type="http://schemas.openxmlformats.org/officeDocument/2006/relationships/hyperlink" Target="http://archive.fo/WyPP4" TargetMode="External"/><Relationship Id="rId4933" Type="http://schemas.openxmlformats.org/officeDocument/2006/relationships/hyperlink" Target="https://www.cbp.gov/newsroom/local-media-release/human-smuggling-attempts-result-102-apprehensions-rio-grande-valley" TargetMode="External"/><Relationship Id="rId3605" Type="http://schemas.openxmlformats.org/officeDocument/2006/relationships/hyperlink" Target="https://www.courtlistener.com/docket/14993205/united-states-v-garbe-brian/" TargetMode="External"/><Relationship Id="rId4936" Type="http://schemas.openxmlformats.org/officeDocument/2006/relationships/hyperlink" Target="https://www.justice.gov/usao-edca/pr/folsom-man-indicted-sexually-exploiting-minors" TargetMode="External"/><Relationship Id="rId3604" Type="http://schemas.openxmlformats.org/officeDocument/2006/relationships/hyperlink" Target="https://www.justice.gov/usao-wdwi/pr/grand-jury-returns-indictments-85" TargetMode="External"/><Relationship Id="rId4935" Type="http://schemas.openxmlformats.org/officeDocument/2006/relationships/hyperlink" Target="https://www.justice.gov/usao-wdpa/pr/pittsburgh-man-indicted-child-sexual-exploitation-and-sextortion-charges" TargetMode="External"/><Relationship Id="rId3607" Type="http://schemas.openxmlformats.org/officeDocument/2006/relationships/hyperlink" Target="https://www.courtlistener.com/docket/14942432/united-states-v-snell/" TargetMode="External"/><Relationship Id="rId4938" Type="http://schemas.openxmlformats.org/officeDocument/2006/relationships/hyperlink" Target="https://www.justice.gov/usao-nj/pr/repeat-offender-charged-distribution-and-possession-child-pornography" TargetMode="External"/><Relationship Id="rId3606" Type="http://schemas.openxmlformats.org/officeDocument/2006/relationships/hyperlink" Target="https://www.justice.gov/usao-ndia/pr/storm-lake-iowa-man-sentenced-federal-prison-child-pornography" TargetMode="External"/><Relationship Id="rId4937" Type="http://schemas.openxmlformats.org/officeDocument/2006/relationships/hyperlink" Target="https://www.cbp.gov/newsroom/local-media-release/2-us-citizens-arrested-attempting-smuggle-illegal-aliens" TargetMode="External"/><Relationship Id="rId3609" Type="http://schemas.openxmlformats.org/officeDocument/2006/relationships/hyperlink" Target="https://vtdigger.org/2019/04/02/first-grade-teachers-aide-charged-possession-child-pornography/" TargetMode="External"/><Relationship Id="rId3608" Type="http://schemas.openxmlformats.org/officeDocument/2006/relationships/hyperlink" Target="https://www.justice.gov/usao-vt/pr/para-educator-charged-possession-child-pornography" TargetMode="External"/><Relationship Id="rId4939" Type="http://schemas.openxmlformats.org/officeDocument/2006/relationships/hyperlink" Target="https://www.cbp.gov/newsroom/local-media-release/human-smuggling-attempts-result-74-apprehensions-rio-grande-valley" TargetMode="External"/><Relationship Id="rId4930" Type="http://schemas.openxmlformats.org/officeDocument/2006/relationships/hyperlink" Target="https://archive.vn/iCdAA" TargetMode="External"/><Relationship Id="rId1059" Type="http://schemas.openxmlformats.org/officeDocument/2006/relationships/hyperlink" Target="http://baddoctordatabase.tumblr.com/post/169887141357/dr-david-blasczak" TargetMode="External"/><Relationship Id="rId228" Type="http://schemas.openxmlformats.org/officeDocument/2006/relationships/hyperlink" Target="https://www.justice.gov/usao-dc/pr/california-couple-sentenced-prison-terms-federal-child-exploitation-charges" TargetMode="External"/><Relationship Id="rId227" Type="http://schemas.openxmlformats.org/officeDocument/2006/relationships/hyperlink" Target="https://www.justice.gov/usao-ak/pr/traveler-sentenced-attempting-have-sex-child" TargetMode="External"/><Relationship Id="rId226" Type="http://schemas.openxmlformats.org/officeDocument/2006/relationships/hyperlink" Target="https://www.justice.gov/usao-wdny/pr/williamsville-man-pleads-guilty-child-pornography-charge-0" TargetMode="External"/><Relationship Id="rId225" Type="http://schemas.openxmlformats.org/officeDocument/2006/relationships/hyperlink" Target="https://www.ksbw.com/article/aptos-babysitter-traded-child-porn-with-tiburon-babysitter-court-docs-state/9633925" TargetMode="External"/><Relationship Id="rId2380" Type="http://schemas.openxmlformats.org/officeDocument/2006/relationships/hyperlink" Target="https://www.justice.gov/usao-nj/pr/cliffside-park-new-jersey-man-charged-distributing-images-child-sexual-abuse" TargetMode="External"/><Relationship Id="rId229" Type="http://schemas.openxmlformats.org/officeDocument/2006/relationships/hyperlink" Target="https://ktla.com/2019/02/28/inglewood-couple-sentenced-after-pleading-guilty-to-federal-child-exploitation-charges/" TargetMode="External"/><Relationship Id="rId1050" Type="http://schemas.openxmlformats.org/officeDocument/2006/relationships/hyperlink" Target="https://www.justice.gov/usao-edva/pr/dinwiddie-county-man-sentenced-prison-child-pornography" TargetMode="External"/><Relationship Id="rId2381" Type="http://schemas.openxmlformats.org/officeDocument/2006/relationships/hyperlink" Target="https://josdaily.com/2018/08/03/liliana-del-carmen-campos-puello/" TargetMode="External"/><Relationship Id="rId220" Type="http://schemas.openxmlformats.org/officeDocument/2006/relationships/hyperlink" Target="http://www.chicagotribune.com/suburbs/post-tribune/news/ct-ptb-attempted-sex-trafficking-sentence-st-0621-story.html" TargetMode="External"/><Relationship Id="rId1051" Type="http://schemas.openxmlformats.org/officeDocument/2006/relationships/hyperlink" Target="https://www.justice.gov/usao-sdwv/pr/cabell-county-man-sentenced-18-years-prison-producing-child-pornography" TargetMode="External"/><Relationship Id="rId2382" Type="http://schemas.openxmlformats.org/officeDocument/2006/relationships/hyperlink" Target="https://www.ice.gov/news/releases/18-arrested-largest-anti-human-trafficking-operation-colombian-history" TargetMode="External"/><Relationship Id="rId1052" Type="http://schemas.openxmlformats.org/officeDocument/2006/relationships/hyperlink" Target="https://www.courtlistener.com/docket/6375621/united-states-v-pelfrey/" TargetMode="External"/><Relationship Id="rId2383" Type="http://schemas.openxmlformats.org/officeDocument/2006/relationships/hyperlink" Target="https://fox17online.com/2018/08/27/state-police-arrest-3-men-on-child-pornography-charges/" TargetMode="External"/><Relationship Id="rId1053" Type="http://schemas.openxmlformats.org/officeDocument/2006/relationships/hyperlink" Target="https://www.justice.gov/usao-wdmo/pr/nixa-man-sentenced-12-years-child-pornography" TargetMode="External"/><Relationship Id="rId2384" Type="http://schemas.openxmlformats.org/officeDocument/2006/relationships/hyperlink" Target="http://www.kxii.com/content/news/Arrest-made-in-Denison-prostitution-investigation-489349341.html" TargetMode="External"/><Relationship Id="rId1054" Type="http://schemas.openxmlformats.org/officeDocument/2006/relationships/hyperlink" Target="https://www.courtlistener.com/docket/6421280/united-states-v-seaton/" TargetMode="External"/><Relationship Id="rId2385" Type="http://schemas.openxmlformats.org/officeDocument/2006/relationships/hyperlink" Target="https://cbs6albany.com/news/local/clifton-park-prostitution-sting-nets-9-arrests" TargetMode="External"/><Relationship Id="rId224" Type="http://schemas.openxmlformats.org/officeDocument/2006/relationships/hyperlink" Target="https://www.justice.gov/usao-ndca/pr/bay-area-babysitter-and-camp-counselor-pleads-guilty-child-pornography-conspiracy" TargetMode="External"/><Relationship Id="rId1055" Type="http://schemas.openxmlformats.org/officeDocument/2006/relationships/hyperlink" Target="https://www.justice.gov/usao-wdla/pr/arnaudville-man-sentenced-90-years-prison-producing-child-pornography" TargetMode="External"/><Relationship Id="rId2386" Type="http://schemas.openxmlformats.org/officeDocument/2006/relationships/hyperlink" Target="https://www.cbp.gov/newsroom/local-media-release/rio-grande-valley-border-patrol-continues-encounter-dangerous-smuggling" TargetMode="External"/><Relationship Id="rId223" Type="http://schemas.openxmlformats.org/officeDocument/2006/relationships/hyperlink" Target="https://www.courtlistener.com/docket/7013596/united-states-v-monjure/" TargetMode="External"/><Relationship Id="rId1056" Type="http://schemas.openxmlformats.org/officeDocument/2006/relationships/hyperlink" Target="https://www.klfy.com/news/local/arnaudville-man-sentenced-for-90-years-in-prison-for-producing-child-pornography/1602299773" TargetMode="External"/><Relationship Id="rId2387" Type="http://schemas.openxmlformats.org/officeDocument/2006/relationships/hyperlink" Target="https://www.cbp.gov/newsroom/local-media-release/rio-grande-valley-border-patrol-disrupts-two-stash-houses-and-four" TargetMode="External"/><Relationship Id="rId222" Type="http://schemas.openxmlformats.org/officeDocument/2006/relationships/hyperlink" Target="https://www.justice.gov/usao-wdar/pr/benton-county-sex-offender-sentenced-10-years-federal-prison-child-pornography" TargetMode="External"/><Relationship Id="rId1057" Type="http://schemas.openxmlformats.org/officeDocument/2006/relationships/hyperlink" Target="https://www.justice.gov/usao-ut/pr/child-predator-used-facebook-moved-michigan-hurricane-and-bought-home-efforts-induce" TargetMode="External"/><Relationship Id="rId2388" Type="http://schemas.openxmlformats.org/officeDocument/2006/relationships/hyperlink" Target="https://www.cbp.gov/newsroom/local-media-release/rio-grande-valley-border-patrol-disrupts-two-stash-houses-and-four" TargetMode="External"/><Relationship Id="rId221" Type="http://schemas.openxmlformats.org/officeDocument/2006/relationships/hyperlink" Target="https://www.justice.gov/usao-nm/pr/clovis-man-pleads-guilty-distributing-and-receiving-child-pornography" TargetMode="External"/><Relationship Id="rId1058" Type="http://schemas.openxmlformats.org/officeDocument/2006/relationships/hyperlink" Target="https://www.courtlistener.com/docket/6491168/united-states-v-oneill/" TargetMode="External"/><Relationship Id="rId2389" Type="http://schemas.openxmlformats.org/officeDocument/2006/relationships/hyperlink" Target="https://www.coloradoan.com/story/news/2018/08/03/fort-collins-police-conduct-prostitution-sting-attracting-hundreds-effort-reduce-trafficking/898817002/" TargetMode="External"/><Relationship Id="rId1048" Type="http://schemas.openxmlformats.org/officeDocument/2006/relationships/hyperlink" Target="http://archive.fo/3qJtk" TargetMode="External"/><Relationship Id="rId2379" Type="http://schemas.openxmlformats.org/officeDocument/2006/relationships/hyperlink" Target="https://kfor.com/2018/07/26/police-investigate-officer-involved-shooting-in-moore/" TargetMode="External"/><Relationship Id="rId1049" Type="http://schemas.openxmlformats.org/officeDocument/2006/relationships/hyperlink" Target="https://www.kesq.com/news/two-arrested-for-alleged-role-in-human-sex-trafficking-ring-that-included-numerous-minors/790638373" TargetMode="External"/><Relationship Id="rId217" Type="http://schemas.openxmlformats.org/officeDocument/2006/relationships/hyperlink" Target="https://www.justice.gov/usao-edpa/pr/delaware-county-man-sentenced-30-years-federal-prison-manufacturing-and-possessing" TargetMode="External"/><Relationship Id="rId216" Type="http://schemas.openxmlformats.org/officeDocument/2006/relationships/hyperlink" Target="https://www.justice.gov/usao-nj/pr/federal-inmate-sentenced-151-months-prison-possessing-images-child-sexual-abuse-while" TargetMode="External"/><Relationship Id="rId215" Type="http://schemas.openxmlformats.org/officeDocument/2006/relationships/hyperlink" Target="https://www.justice.gov/usao-wdmo/pr/former-high-school-teacher-swim-coach-indicted-child-pornography" TargetMode="External"/><Relationship Id="rId214" Type="http://schemas.openxmlformats.org/officeDocument/2006/relationships/hyperlink" Target="http://www.kansascity.com/news/local/crime/article210328019.html" TargetMode="External"/><Relationship Id="rId219" Type="http://schemas.openxmlformats.org/officeDocument/2006/relationships/hyperlink" Target="https://www.cbs19.tv/article/news/shreveport-men-sentenced-to-federal-prison-for-running-prostitution-enterprise-in-tyler-hotel/501-565666003" TargetMode="External"/><Relationship Id="rId218" Type="http://schemas.openxmlformats.org/officeDocument/2006/relationships/hyperlink" Target="http://www.newslocker.com/en-us/region/colorado/man-sentenced-to-24-years-for-soliciting-child-prostitutes-on-facebook/" TargetMode="External"/><Relationship Id="rId2370" Type="http://schemas.openxmlformats.org/officeDocument/2006/relationships/hyperlink" Target="https://www.mypalmbeachpost.com/news/crime--law/new-lake-worth-man-accused-lewd-behavior-human-trafficking-victim/zFdefFO1oEFLHIcmrOri6N/" TargetMode="External"/><Relationship Id="rId1040" Type="http://schemas.openxmlformats.org/officeDocument/2006/relationships/hyperlink" Target="https://www.justice.gov/usao-ndwv/pr/berkeley-county-man-sentenced-more-8-years-child-pornography-charge" TargetMode="External"/><Relationship Id="rId2371" Type="http://schemas.openxmlformats.org/officeDocument/2006/relationships/hyperlink" Target="https://docs.google.com/spreadsheets/d/1MAnZZoD7y5Ydwx2rSrZualrZTNUYDY7gozTXkT0YUOs/edit" TargetMode="External"/><Relationship Id="rId1041" Type="http://schemas.openxmlformats.org/officeDocument/2006/relationships/hyperlink" Target="http://www.journal-news.net/news/local-news/2018/08/bunker-hill-man-admits-to-child-porn-possession/" TargetMode="External"/><Relationship Id="rId2372" Type="http://schemas.openxmlformats.org/officeDocument/2006/relationships/hyperlink" Target="https://abc7chicago.com/more-than-450-arrested-in-national-sex-buyer-sting-84-in-illinois/4093121/" TargetMode="External"/><Relationship Id="rId1042" Type="http://schemas.openxmlformats.org/officeDocument/2006/relationships/hyperlink" Target="https://www.courtlistener.com/?q=&amp;type=r&amp;order_by=score+desc&amp;docket_number=3%3A18-cr-00048&amp;court=wvnd" TargetMode="External"/><Relationship Id="rId2373" Type="http://schemas.openxmlformats.org/officeDocument/2006/relationships/hyperlink" Target="https://www.wsaw.com/content/news/Human-trafficking-operation-yields-19-arrests-and-409-warnings-in-Brown-County-493420111.html" TargetMode="External"/><Relationship Id="rId1043" Type="http://schemas.openxmlformats.org/officeDocument/2006/relationships/hyperlink" Target="http://www.timesnews.net/Law-Enforcement/2018/08/22/Paramedic-sentenced-in-federal-child-porn-case.html" TargetMode="External"/><Relationship Id="rId2374" Type="http://schemas.openxmlformats.org/officeDocument/2006/relationships/hyperlink" Target="https://www.justice.gov/usao-edpa/pr/aston-township-man-indicted-manufacturing-child-pornography" TargetMode="External"/><Relationship Id="rId213" Type="http://schemas.openxmlformats.org/officeDocument/2006/relationships/hyperlink" Target="https://www.justice.gov/usao-mdfl/pr/former-brevard-county-pastor-sentenced-seven-years-receiving-child-pornography" TargetMode="External"/><Relationship Id="rId1044" Type="http://schemas.openxmlformats.org/officeDocument/2006/relationships/hyperlink" Target="https://www.ice.gov/news/releases/missouri-sex-offender-sentenced-15-years-federal-prison-latest-child-pornography" TargetMode="External"/><Relationship Id="rId2375" Type="http://schemas.openxmlformats.org/officeDocument/2006/relationships/hyperlink" Target="https://www.delcotimes.com/news/aston-man-charged-with-producing-child-porn/article_032b072e-b796-11e8-a32e-ffd7bedea647.html" TargetMode="External"/><Relationship Id="rId212" Type="http://schemas.openxmlformats.org/officeDocument/2006/relationships/hyperlink" Target="https://www.justice.gov/usao-sdtx/pr/registered-sex-offender-heads-prison-again" TargetMode="External"/><Relationship Id="rId1045" Type="http://schemas.openxmlformats.org/officeDocument/2006/relationships/hyperlink" Target="https://www.wvnews.com/news/wvnews/plea-hearing-put-on-hold-in-child-porn-case-involving/article_d65037cb-3189-5b78-9896-017d7b6370e2.htmlhttps://www.wboy.com/news/crime/lewis-county-man-faces-more-than-20-years-in-prison-on-child-pornography-charge/1833854566" TargetMode="External"/><Relationship Id="rId2376" Type="http://schemas.openxmlformats.org/officeDocument/2006/relationships/hyperlink" Target="https://www.courtlistener.com/?q=&amp;type=r&amp;order_by=score+desc&amp;docket_number=2%3A18-cr-00505&amp;court=paed" TargetMode="External"/><Relationship Id="rId211" Type="http://schemas.openxmlformats.org/officeDocument/2006/relationships/hyperlink" Target="https://www.justice.gov/usao-nj/pr/federal-inmate-admits-possessing-images-child-sexual-abuse-while-prison" TargetMode="External"/><Relationship Id="rId1046" Type="http://schemas.openxmlformats.org/officeDocument/2006/relationships/hyperlink" Target="https://www.courtlistener.com/docket/7682103/united-states-v-toothman/" TargetMode="External"/><Relationship Id="rId2377" Type="http://schemas.openxmlformats.org/officeDocument/2006/relationships/hyperlink" Target="https://www.justice.gov/usao-sdms/pr/jackson-man-serve-60-years-federal-prison-producing-and-possessing-child-pornography" TargetMode="External"/><Relationship Id="rId210" Type="http://schemas.openxmlformats.org/officeDocument/2006/relationships/hyperlink" Target="https://www.azcentral.com/story/news/local/scottsdale-breaking/2018/03/03/scottsdale-police-man-killed-homeland-security-erik-dunham-convicted-human-trafficking/391961002/" TargetMode="External"/><Relationship Id="rId1047" Type="http://schemas.openxmlformats.org/officeDocument/2006/relationships/hyperlink" Target="https://web.archive.org/web/20190402152523/https://www.wboy.com/news/crime/lewis-county-man-faces-more-than-20-years-in-prison-on-child-pornography-charge/1833854566" TargetMode="External"/><Relationship Id="rId2378" Type="http://schemas.openxmlformats.org/officeDocument/2006/relationships/hyperlink" Target="https://www.courtlistener.com/docket/7521169/united-states-v-adkins/" TargetMode="External"/><Relationship Id="rId4107" Type="http://schemas.openxmlformats.org/officeDocument/2006/relationships/hyperlink" Target="https://www.justice.gov/usao-sdoh/pr/registered-sex-offender-pleads-guilty-enticing-young-men-produce-child-pornography" TargetMode="External"/><Relationship Id="rId4106" Type="http://schemas.openxmlformats.org/officeDocument/2006/relationships/hyperlink" Target="https://www.justice.gov/usao-cdca/pr/inland-empire-man-sentenced-10-years-federal-prison-third-conviction-possessing-child" TargetMode="External"/><Relationship Id="rId4109" Type="http://schemas.openxmlformats.org/officeDocument/2006/relationships/hyperlink" Target="https://www.justice.gov/usao-edky/pr/burlington-man-indicted-child-pornography-charges" TargetMode="External"/><Relationship Id="rId4108" Type="http://schemas.openxmlformats.org/officeDocument/2006/relationships/hyperlink" Target="https://www.justice.gov/usao-ak/pr/anchorage-sex-offender-arrested-and-detained-after-continued-child-exploitation-conduct" TargetMode="External"/><Relationship Id="rId249" Type="http://schemas.openxmlformats.org/officeDocument/2006/relationships/hyperlink" Target="https://www.justice.gov/usao-edpa/pr/philadelphia-pair-charged-sex-trafficking" TargetMode="External"/><Relationship Id="rId248" Type="http://schemas.openxmlformats.org/officeDocument/2006/relationships/hyperlink" Target="https://www.justice.gov/usao-ndga/pr/three-men-charged-sex-trafficking-minors-georgia-florida-and-tennessee" TargetMode="External"/><Relationship Id="rId247" Type="http://schemas.openxmlformats.org/officeDocument/2006/relationships/hyperlink" Target="https://www.sacbee.com/news/local/crime/article143746169.html" TargetMode="External"/><Relationship Id="rId1070" Type="http://schemas.openxmlformats.org/officeDocument/2006/relationships/hyperlink" Target="https://www.courtlistener.com/docket/7457182/united-states-v-hilkemeyer/" TargetMode="External"/><Relationship Id="rId1071" Type="http://schemas.openxmlformats.org/officeDocument/2006/relationships/hyperlink" Target="https://www.fbi.gov/contact-us/field-offices/neworleans/news/press-releases/baton-rouge-man-arrested-by-fbi-and-charged-with-attempted-production-of-child-pornography" TargetMode="External"/><Relationship Id="rId1072" Type="http://schemas.openxmlformats.org/officeDocument/2006/relationships/hyperlink" Target="https://www.facebook.com/23ABCBakersfield/posts/1416254488484190" TargetMode="External"/><Relationship Id="rId242" Type="http://schemas.openxmlformats.org/officeDocument/2006/relationships/hyperlink" Target="https://www.syracuse.com/crime/index.ssf/2017/04/syracuse_man_charged_as_repeat_child_porn_offender.html" TargetMode="External"/><Relationship Id="rId1073" Type="http://schemas.openxmlformats.org/officeDocument/2006/relationships/hyperlink" Target="https://www.kget.com/news/local-news/man-pleads-no-contest-to-enticing-a-teenage-girl-into-prostitution/1297125818" TargetMode="External"/><Relationship Id="rId241" Type="http://schemas.openxmlformats.org/officeDocument/2006/relationships/hyperlink" Target="https://archive.fo/7E4Mv" TargetMode="External"/><Relationship Id="rId1074" Type="http://schemas.openxmlformats.org/officeDocument/2006/relationships/hyperlink" Target="https://www.justice.gov/usao-ndoh/pr/madison-man-charged-child-pornography-crimes" TargetMode="External"/><Relationship Id="rId240" Type="http://schemas.openxmlformats.org/officeDocument/2006/relationships/hyperlink" Target="https://www.cbsnews.com/news/two-pastors-arrested-for-sex-crimes-against-children/" TargetMode="External"/><Relationship Id="rId1075" Type="http://schemas.openxmlformats.org/officeDocument/2006/relationships/hyperlink" Target="https://www.courtlistener.com/?q=&amp;type=r&amp;order_by=score+desc&amp;docket_number=4%3A18-cr-00004&amp;court=ohnd" TargetMode="External"/><Relationship Id="rId4101" Type="http://schemas.openxmlformats.org/officeDocument/2006/relationships/hyperlink" Target="https://www.justice.gov/usao-sdia/pr/oklahoma-man-sentenced-30-years-federal-prison-child-exploitation-offense" TargetMode="External"/><Relationship Id="rId1076" Type="http://schemas.openxmlformats.org/officeDocument/2006/relationships/hyperlink" Target="https://www.justice.gov/usao-ndoh/pr/wooster-man-indicted-sexually-exploiting-children" TargetMode="External"/><Relationship Id="rId4100" Type="http://schemas.openxmlformats.org/officeDocument/2006/relationships/hyperlink" Target="https://www.justice.gov/usao-ct/pr/waterbury-man-pleads-guilty-possessing-child-sex-abuse-images" TargetMode="External"/><Relationship Id="rId246" Type="http://schemas.openxmlformats.org/officeDocument/2006/relationships/hyperlink" Target="http://archive.fo/Vvd3l" TargetMode="External"/><Relationship Id="rId1077" Type="http://schemas.openxmlformats.org/officeDocument/2006/relationships/hyperlink" Target="https://www.courtlistener.com/?q=&amp;type=r&amp;order_by=score+desc&amp;docket_number=5%3A18-cr-00005&amp;court=ohnd" TargetMode="External"/><Relationship Id="rId4103" Type="http://schemas.openxmlformats.org/officeDocument/2006/relationships/hyperlink" Target="https://www.justice.gov/usao-mdpa/pr/york-county-man-charged-child-exploitation-offenses-1" TargetMode="External"/><Relationship Id="rId245" Type="http://schemas.openxmlformats.org/officeDocument/2006/relationships/hyperlink" Target="https://www.nj.com/ocean/2018/04/toms_river_man_accused_of_using_kik_to_distribute.html" TargetMode="External"/><Relationship Id="rId1078" Type="http://schemas.openxmlformats.org/officeDocument/2006/relationships/hyperlink" Target="https://www.justice.gov/usao-wdtx/pr/del-rio-man-sentenced-20-years-federal-prison-production-child-pornography" TargetMode="External"/><Relationship Id="rId4102" Type="http://schemas.openxmlformats.org/officeDocument/2006/relationships/hyperlink" Target="https://www.justice.gov/usao-sdtx/pr/man-homemade-sex-doll-ordered-federal-prison-child-pornography-charge" TargetMode="External"/><Relationship Id="rId244" Type="http://schemas.openxmlformats.org/officeDocument/2006/relationships/hyperlink" Target="https://www.justice.gov/usao-nj/pr/ocean-county-man-sentenced-70-months-prison-distributing-images-child-sexual-abuse" TargetMode="External"/><Relationship Id="rId1079" Type="http://schemas.openxmlformats.org/officeDocument/2006/relationships/hyperlink" Target="https://www.courtlistener.com/docket/6260248/united-states-v-vanburen/" TargetMode="External"/><Relationship Id="rId4105" Type="http://schemas.openxmlformats.org/officeDocument/2006/relationships/hyperlink" Target="https://www.justice.gov/usao-ne/pr/lincoln-man-convicted-receipt-and-distribution-child-pornography" TargetMode="External"/><Relationship Id="rId243" Type="http://schemas.openxmlformats.org/officeDocument/2006/relationships/hyperlink" Target="https://www.justice.gov/usao-ndny/pr/syracuse-man-pleads-guilty-child-pornography-charges" TargetMode="External"/><Relationship Id="rId4104" Type="http://schemas.openxmlformats.org/officeDocument/2006/relationships/hyperlink" Target="https://www.justice.gov/usao-wdwa/pr/two-registered-sex-offenders-plead-guilty-separate-cases-possession-images-child-rape" TargetMode="External"/><Relationship Id="rId239" Type="http://schemas.openxmlformats.org/officeDocument/2006/relationships/hyperlink" Target="https://archive.fo/7E4Mv" TargetMode="External"/><Relationship Id="rId238" Type="http://schemas.openxmlformats.org/officeDocument/2006/relationships/hyperlink" Target="https://www.cbsnews.com/news/two-pastors-arrested-for-sex-crimes-against-children/" TargetMode="External"/><Relationship Id="rId237" Type="http://schemas.openxmlformats.org/officeDocument/2006/relationships/hyperlink" Target="https://www.justice.gov/usao-ndoh/pr/jury-finds-toledo-pastor-guilty-sex-trafficking-minor-and-other-crimes" TargetMode="External"/><Relationship Id="rId236" Type="http://schemas.openxmlformats.org/officeDocument/2006/relationships/hyperlink" Target="https://www.justice.gov/usao-ndin/pr/fort-wayne-man-sentenced-120-months-prison" TargetMode="External"/><Relationship Id="rId2390" Type="http://schemas.openxmlformats.org/officeDocument/2006/relationships/hyperlink" Target="https://patch.com/arizona/tucson/tucson-teens-nabbed-human-smuggling" TargetMode="External"/><Relationship Id="rId1060" Type="http://schemas.openxmlformats.org/officeDocument/2006/relationships/hyperlink" Target="https://www.courtlistener.com/?q=&amp;type=r&amp;order_by=score+desc&amp;docket_number=6%3A18-cr-06107&amp;court=nywd" TargetMode="External"/><Relationship Id="rId2391" Type="http://schemas.openxmlformats.org/officeDocument/2006/relationships/hyperlink" Target="https://www.cbp.gov/newsroom/local-media-release/rio-grande-valley-border-patrol-continues-encounter-dangerous-smuggling" TargetMode="External"/><Relationship Id="rId1061" Type="http://schemas.openxmlformats.org/officeDocument/2006/relationships/hyperlink" Target="https://www.justice.gov/usao-sdoh/pr/kettering-man-pleads-guilty-producing-child-pornography" TargetMode="External"/><Relationship Id="rId2392" Type="http://schemas.openxmlformats.org/officeDocument/2006/relationships/hyperlink" Target="https://www.cbp.gov/newsroom/local-media-release/rio-grande-valley-border-patrol-disrupts-two-stash-houses-and-four" TargetMode="External"/><Relationship Id="rId231" Type="http://schemas.openxmlformats.org/officeDocument/2006/relationships/hyperlink" Target="https://www.justice.gov/usao-dc/pr/california-couple-sentenced-prison-terms-federal-child-exploitation-charges" TargetMode="External"/><Relationship Id="rId1062" Type="http://schemas.openxmlformats.org/officeDocument/2006/relationships/hyperlink" Target="https://www.courtlistener.com/docket/6297565/united-states-v-jones/" TargetMode="External"/><Relationship Id="rId2393" Type="http://schemas.openxmlformats.org/officeDocument/2006/relationships/hyperlink" Target="https://www.cbp.gov/newsroom/local-media-release/two-tucson-teens-caught-smuggling-humans" TargetMode="External"/><Relationship Id="rId230" Type="http://schemas.openxmlformats.org/officeDocument/2006/relationships/hyperlink" Target="https://www.courtlistener.com/?q=&amp;type=r&amp;order_by=score+desc&amp;docket_number=1%3A17-cr-00239&amp;court=dcd" TargetMode="External"/><Relationship Id="rId1063" Type="http://schemas.openxmlformats.org/officeDocument/2006/relationships/hyperlink" Target="https://www.justice.gov/usao-or/pr/oregon-restaurant-owner-sentenced-prison-connection-immigration-related-forced-labor" TargetMode="External"/><Relationship Id="rId2394" Type="http://schemas.openxmlformats.org/officeDocument/2006/relationships/hyperlink" Target="https://www.pe.com/2018/08/11/registered-sex-offender-arrested-for-soliciting-prostitution-services-of-minor-in-riverside/" TargetMode="External"/><Relationship Id="rId1064" Type="http://schemas.openxmlformats.org/officeDocument/2006/relationships/hyperlink" Target="http://www.columbian.com/news/2018/feb/15/ridgefield-restaurateur-pleads-guilty-to-forced-labor-in-federal-court/" TargetMode="External"/><Relationship Id="rId2395" Type="http://schemas.openxmlformats.org/officeDocument/2006/relationships/hyperlink" Target="https://www.cbp.gov/newsroom/local-media-release/rio-grande-valley-border-patrol-disrupts-two-stash-houses-and-four" TargetMode="External"/><Relationship Id="rId1065" Type="http://schemas.openxmlformats.org/officeDocument/2006/relationships/hyperlink" Target="https://www.courtlistener.com/docket/7424360/united-states-v-jumroon/" TargetMode="External"/><Relationship Id="rId2396" Type="http://schemas.openxmlformats.org/officeDocument/2006/relationships/hyperlink" Target="http://www.kgns.tv/content/news/Border-Patrol-foils-human-smuggling-attempt-in-south-Laredo-489668031.html" TargetMode="External"/><Relationship Id="rId235" Type="http://schemas.openxmlformats.org/officeDocument/2006/relationships/hyperlink" Target="http://southsidemessenger.com/dunn-gets-one-year-found-guilty-on-all-counts-19-years-suspended/" TargetMode="External"/><Relationship Id="rId1066" Type="http://schemas.openxmlformats.org/officeDocument/2006/relationships/hyperlink" Target="https://www.justice.gov/usao-wdpa/pr/pittsburgh-man-pleads-guilty-child-exploitation-charge" TargetMode="External"/><Relationship Id="rId2397" Type="http://schemas.openxmlformats.org/officeDocument/2006/relationships/hyperlink" Target="http://www.kvoa.com/story/38781830/gang-member-arrested-on-human-smuggling-charges" TargetMode="External"/><Relationship Id="rId234" Type="http://schemas.openxmlformats.org/officeDocument/2006/relationships/hyperlink" Target="https://www.cleveland.com/north-ridgeville/index.ssf/2017/12/north_ridgeville_man_charged_w.html" TargetMode="External"/><Relationship Id="rId1067" Type="http://schemas.openxmlformats.org/officeDocument/2006/relationships/hyperlink" Target="http://www.latimes.com/socal/burbank-leader/news/tn-blr-me-sigler-indictment-20180601-story.html" TargetMode="External"/><Relationship Id="rId2398" Type="http://schemas.openxmlformats.org/officeDocument/2006/relationships/hyperlink" Target="https://www.wkrn.com/news/kentucky-child-pornography-suspect-arrested-in-bedford-county/1336072584" TargetMode="External"/><Relationship Id="rId233" Type="http://schemas.openxmlformats.org/officeDocument/2006/relationships/hyperlink" Target="https://www.courtlistener.com/?q=&amp;type=r&amp;order_by=score+desc&amp;docket_number=1%3A17-cr-00239&amp;court=dcd" TargetMode="External"/><Relationship Id="rId1068" Type="http://schemas.openxmlformats.org/officeDocument/2006/relationships/hyperlink" Target="https://www.justice.gov/usao-cdca/pr/burbank-elementary-school-teacher-indicted-producing-child-pornography-and-enticement" TargetMode="External"/><Relationship Id="rId2399" Type="http://schemas.openxmlformats.org/officeDocument/2006/relationships/hyperlink" Target="https://www.cbp.gov/newsroom/local-media-release/border-patrol-agents-arrest-gang-member-smuggling-aliens" TargetMode="External"/><Relationship Id="rId232" Type="http://schemas.openxmlformats.org/officeDocument/2006/relationships/hyperlink" Target="https://ktla.com/2019/02/28/inglewood-couple-sentenced-after-pleading-guilty-to-federal-child-exploitation-charges/" TargetMode="External"/><Relationship Id="rId1069" Type="http://schemas.openxmlformats.org/officeDocument/2006/relationships/hyperlink" Target="https://www.justice.gov/usao-wdmo/pr/jefferson-city-man-indicted-child-pornography" TargetMode="External"/><Relationship Id="rId1015" Type="http://schemas.openxmlformats.org/officeDocument/2006/relationships/hyperlink" Target="https://www.cbp.gov/newsroom/local-media-release/laredo-sector-border-patrol-agents-rescue-5-year-old-child-during" TargetMode="External"/><Relationship Id="rId2346" Type="http://schemas.openxmlformats.org/officeDocument/2006/relationships/hyperlink" Target="https://www.justice.gov/usao-wdmo/pr/kansas-man-indicted-traveling-illicit-sex-minor" TargetMode="External"/><Relationship Id="rId3678" Type="http://schemas.openxmlformats.org/officeDocument/2006/relationships/hyperlink" Target="https://www.ice.gov/news/releases/south-texas-man-convicted-smuggling-27-illegal-aliens-back-tractor-trailer" TargetMode="External"/><Relationship Id="rId1016" Type="http://schemas.openxmlformats.org/officeDocument/2006/relationships/hyperlink" Target="https://www.cbp.gov/newsroom/local-media-release/nogales-bp-agents-stop-human-smuggling-attempt" TargetMode="External"/><Relationship Id="rId2347" Type="http://schemas.openxmlformats.org/officeDocument/2006/relationships/hyperlink" Target="https://www.courtlistener.com/docket/7614585/united-states-v-voth/" TargetMode="External"/><Relationship Id="rId3677" Type="http://schemas.openxmlformats.org/officeDocument/2006/relationships/hyperlink" Target="http://archive.fo/EksuA" TargetMode="External"/><Relationship Id="rId1017" Type="http://schemas.openxmlformats.org/officeDocument/2006/relationships/hyperlink" Target="https://www.justice.gov/opa/pr/virginia-man-sentenced-obstructing-counterterrorism-investigation" TargetMode="External"/><Relationship Id="rId2348" Type="http://schemas.openxmlformats.org/officeDocument/2006/relationships/hyperlink" Target="https://www.courtlistener.com/docket/7473165/united-states-v-bresee/" TargetMode="External"/><Relationship Id="rId1018" Type="http://schemas.openxmlformats.org/officeDocument/2006/relationships/hyperlink" Target="https://triblive.com/usworld/world/13133912-74/clues-to-how-sean-andrew-duncan-went-from-classic-teenage-boy-to" TargetMode="External"/><Relationship Id="rId2349" Type="http://schemas.openxmlformats.org/officeDocument/2006/relationships/hyperlink" Target="https://www.justice.gov/usao-mdfl/pr/tampa-man-sentenced-twenty-years-producing-child-pornography-minors-he-met-online" TargetMode="External"/><Relationship Id="rId3679" Type="http://schemas.openxmlformats.org/officeDocument/2006/relationships/hyperlink" Target="https://www.justice.gov/usao-mdfl/pr/orange-city-man-who-sextorted-multiple-minors-sentenced-60-years" TargetMode="External"/><Relationship Id="rId1019" Type="http://schemas.openxmlformats.org/officeDocument/2006/relationships/hyperlink" Target="https://www.courtlistener.com/docket/6304870/united-states-v-duncan/" TargetMode="External"/><Relationship Id="rId3670" Type="http://schemas.openxmlformats.org/officeDocument/2006/relationships/hyperlink" Target="https://www.courtlistener.com/?q=&amp;type=r&amp;order_by=score+desc&amp;docket_number=5%3A19-mj-00230&amp;court=nynd" TargetMode="External"/><Relationship Id="rId2340" Type="http://schemas.openxmlformats.org/officeDocument/2006/relationships/hyperlink" Target="https://www.justice.gov/usao-ne/pr/guide-rock-man-sentenced-possession-child-pornography" TargetMode="External"/><Relationship Id="rId3672" Type="http://schemas.openxmlformats.org/officeDocument/2006/relationships/hyperlink" Target="http://archive.fo/tAMPh" TargetMode="External"/><Relationship Id="rId1010" Type="http://schemas.openxmlformats.org/officeDocument/2006/relationships/hyperlink" Target="https://www.courtlistener.com/docket/7654365/united-states-v-palmer/" TargetMode="External"/><Relationship Id="rId2341" Type="http://schemas.openxmlformats.org/officeDocument/2006/relationships/hyperlink" Target="http://www.fox35orlando.com/news/local-news/three-arrested-for-human-trafficking-child-under-18" TargetMode="External"/><Relationship Id="rId3671" Type="http://schemas.openxmlformats.org/officeDocument/2006/relationships/hyperlink" Target="http://archive.fo/GxVPA" TargetMode="External"/><Relationship Id="rId1011" Type="http://schemas.openxmlformats.org/officeDocument/2006/relationships/hyperlink" Target="https://www.sacbee.com/news/local/crime/article213931619.html" TargetMode="External"/><Relationship Id="rId2342" Type="http://schemas.openxmlformats.org/officeDocument/2006/relationships/hyperlink" Target="https://www.justice.gov/usao-ma/pr/westfield-man-pleads-guilty-child-pornography-offenses" TargetMode="External"/><Relationship Id="rId3674" Type="http://schemas.openxmlformats.org/officeDocument/2006/relationships/hyperlink" Target="https://www.fbi.gov/contact-us/field-offices/neworleans/news/press-releases/livonia-man-arrested-charged-with-possession-of-child-pornography" TargetMode="External"/><Relationship Id="rId1012" Type="http://schemas.openxmlformats.org/officeDocument/2006/relationships/hyperlink" Target="https://www.justice.gov/usao-az/pr/tucson-man-charged-alien-smuggling-high-speed-flight-assaults-federal-officers-and" TargetMode="External"/><Relationship Id="rId2343" Type="http://schemas.openxmlformats.org/officeDocument/2006/relationships/hyperlink" Target="https://fox43.com/2018/07/30/10-men-facing-charges-after-prostitution-sting-in-lancaster/" TargetMode="External"/><Relationship Id="rId3673" Type="http://schemas.openxmlformats.org/officeDocument/2006/relationships/hyperlink" Target="https://www.fbi.gov/contact-us/field-offices/sanjuan/news/press-releases/arrest-of-carlos-a-garcia-valentin-for-production-and-possession-of-child-pornography" TargetMode="External"/><Relationship Id="rId1013" Type="http://schemas.openxmlformats.org/officeDocument/2006/relationships/hyperlink" Target="https://www.ice.gov/news/releases/tucson-man-charged-alien-smuggling-high-speed-flight-assault-federal-officer-and" TargetMode="External"/><Relationship Id="rId2344" Type="http://schemas.openxmlformats.org/officeDocument/2006/relationships/hyperlink" Target="https://www.justice.gov/usao-ct/pr/federal-employee-pleads-guilty-child-pornography-offense" TargetMode="External"/><Relationship Id="rId3676" Type="http://schemas.openxmlformats.org/officeDocument/2006/relationships/hyperlink" Target="http://archive.fo/8ZWpe" TargetMode="External"/><Relationship Id="rId1014" Type="http://schemas.openxmlformats.org/officeDocument/2006/relationships/hyperlink" Target="http://www.ksfy.com/content/news/Man-arrested-on-10-counts-of-child-pornography-466831823.html" TargetMode="External"/><Relationship Id="rId2345" Type="http://schemas.openxmlformats.org/officeDocument/2006/relationships/hyperlink" Target="https://www.justice.gov/usao-ri/pr/providence-man-admits-possessing-hundreds-videos-and-images-child-pornography" TargetMode="External"/><Relationship Id="rId3675" Type="http://schemas.openxmlformats.org/officeDocument/2006/relationships/hyperlink" Target="https://www.fbi.gov/contact-us/field-offices/lasvegas/news/press-releases/arrest-of-kevin-belcher-for-child-sex-trafficking" TargetMode="External"/><Relationship Id="rId1004" Type="http://schemas.openxmlformats.org/officeDocument/2006/relationships/hyperlink" Target="https://www.cbp.gov/newsroom/local-media-release/woman-arrested-immigration-checkpoint-human-smuggling" TargetMode="External"/><Relationship Id="rId2335" Type="http://schemas.openxmlformats.org/officeDocument/2006/relationships/hyperlink" Target="https://www.courtlistener.com/docket/14873572/united-states-v-larson/" TargetMode="External"/><Relationship Id="rId3667" Type="http://schemas.openxmlformats.org/officeDocument/2006/relationships/hyperlink" Target="https://www.justice.gov/usao-mdfl/pr/cape-coral-man-sentenced-8-years-possession-child-pornography" TargetMode="External"/><Relationship Id="rId4998" Type="http://schemas.openxmlformats.org/officeDocument/2006/relationships/hyperlink" Target="https://www.justice.gov/usao-sd/pr/convicted-embezzler-charged-illegal-sexual-conduct-and-possession-child-pornography" TargetMode="External"/><Relationship Id="rId1005" Type="http://schemas.openxmlformats.org/officeDocument/2006/relationships/hyperlink" Target="https://www.cbp.gov/newsroom/local-media-release/fleeing-smuggler-fires-shots-border-patrol-agents-christmas-eve" TargetMode="External"/><Relationship Id="rId2336" Type="http://schemas.openxmlformats.org/officeDocument/2006/relationships/hyperlink" Target="https://thegoldwater.com/news/31619-ICE-and-Homeland-Security-Bust-Chicago-Pedophile-on-Federal-Child-Porn-Distribution-Charges" TargetMode="External"/><Relationship Id="rId3666" Type="http://schemas.openxmlformats.org/officeDocument/2006/relationships/hyperlink" Target="https://www.courtlistener.com/docket/14871407/united-states-v-durbin/" TargetMode="External"/><Relationship Id="rId4997" Type="http://schemas.openxmlformats.org/officeDocument/2006/relationships/hyperlink" Target="https://www.cbp.gov/newsroom/local-media-release/usbp-partners-foil-human-smugglers" TargetMode="External"/><Relationship Id="rId1006" Type="http://schemas.openxmlformats.org/officeDocument/2006/relationships/hyperlink" Target="https://nypost.com/2018/03/13/prostitute-known-as-pretty-hoe-charged-in-sex-trafficking/amp/" TargetMode="External"/><Relationship Id="rId2337" Type="http://schemas.openxmlformats.org/officeDocument/2006/relationships/hyperlink" Target="https://www.breitbart.com/texas/2018/07/18/border-patrol-discovers-20-migrants-packed-into-cargo-truck-in-south-texas/" TargetMode="External"/><Relationship Id="rId3669" Type="http://schemas.openxmlformats.org/officeDocument/2006/relationships/hyperlink" Target="https://cortlandvoice.com/2019/05/06/a-look-at-local-statistics-on-sexual-abuse-in-light-of-recent-arrests/" TargetMode="External"/><Relationship Id="rId1007" Type="http://schemas.openxmlformats.org/officeDocument/2006/relationships/hyperlink" Target="https://www.justice.gov/usao-cdca/pr/los-angeles-woman-sentenced-15-years-prison-federal-sex-trafficking-offense" TargetMode="External"/><Relationship Id="rId2338" Type="http://schemas.openxmlformats.org/officeDocument/2006/relationships/hyperlink" Target="https://www.cbp.gov/newsroom/local-media-release/multi-agency-collaboration-leads-arrest-one-yuma-sector-s-most-wanted" TargetMode="External"/><Relationship Id="rId3668" Type="http://schemas.openxmlformats.org/officeDocument/2006/relationships/hyperlink" Target="https://www.courtlistener.com/docket/14917345/united-states-v-baxter/" TargetMode="External"/><Relationship Id="rId4999" Type="http://schemas.openxmlformats.org/officeDocument/2006/relationships/hyperlink" Target="https://www.justice.gov/usao-edpa/pr/delaware-county-man-detained-child-pornography-charges-preying-young-boys-over-online" TargetMode="External"/><Relationship Id="rId1008" Type="http://schemas.openxmlformats.org/officeDocument/2006/relationships/hyperlink" Target="https://www.courtlistener.com/docket/7249042/united-states-v-williams/" TargetMode="External"/><Relationship Id="rId2339" Type="http://schemas.openxmlformats.org/officeDocument/2006/relationships/hyperlink" Target="https://www.courtlistener.com/docket/7468509/united-states-v-castillo/" TargetMode="External"/><Relationship Id="rId1009" Type="http://schemas.openxmlformats.org/officeDocument/2006/relationships/hyperlink" Target="https://www.justice.gov/usao-mdfl/pr/virginia-man-sentenced-more-eight-years-transporting-and-possessing-child-pornography" TargetMode="External"/><Relationship Id="rId4990" Type="http://schemas.openxmlformats.org/officeDocument/2006/relationships/hyperlink" Target="https://archive.vn/SJrFQ" TargetMode="External"/><Relationship Id="rId3661" Type="http://schemas.openxmlformats.org/officeDocument/2006/relationships/hyperlink" Target="https://www.courtlistener.com/docket/14921926/united-states-v-chope/" TargetMode="External"/><Relationship Id="rId4992" Type="http://schemas.openxmlformats.org/officeDocument/2006/relationships/hyperlink" Target="https://archive.vn/SJrFQ" TargetMode="External"/><Relationship Id="rId2330" Type="http://schemas.openxmlformats.org/officeDocument/2006/relationships/hyperlink" Target="https://newsymom.com/2018/07/23/stark-county-man-faces-child-pornography-charges/" TargetMode="External"/><Relationship Id="rId3660" Type="http://schemas.openxmlformats.org/officeDocument/2006/relationships/hyperlink" Target="https://www.justice.gov/usao-mdfl/pr/orange-park-man-charged-production-child-pornography" TargetMode="External"/><Relationship Id="rId4991" Type="http://schemas.openxmlformats.org/officeDocument/2006/relationships/hyperlink" Target="https://archive.vn/SJrFQ" TargetMode="External"/><Relationship Id="rId1000" Type="http://schemas.openxmlformats.org/officeDocument/2006/relationships/hyperlink" Target="https://www.ice.gov/news/releases/2-south-texas-women-charged-transporting-4-mexican-national-minors-us" TargetMode="External"/><Relationship Id="rId2331" Type="http://schemas.openxmlformats.org/officeDocument/2006/relationships/hyperlink" Target="https://www.courtlistener.com/?q=&amp;type=r&amp;order_by=score+desc&amp;docket_number=5%3A18-cr-00448&amp;court=ohnd" TargetMode="External"/><Relationship Id="rId3663" Type="http://schemas.openxmlformats.org/officeDocument/2006/relationships/hyperlink" Target="http://archive.fo/0U92V" TargetMode="External"/><Relationship Id="rId4994" Type="http://schemas.openxmlformats.org/officeDocument/2006/relationships/hyperlink" Target="https://archive.vn/SJrFQ" TargetMode="External"/><Relationship Id="rId1001" Type="http://schemas.openxmlformats.org/officeDocument/2006/relationships/hyperlink" Target="https://www.justice.gov/usao-ndca/pr/watsonville-man-charged-production-distribution-receipt-and-possession-child" TargetMode="External"/><Relationship Id="rId2332" Type="http://schemas.openxmlformats.org/officeDocument/2006/relationships/hyperlink" Target="https://www.justice.gov/usao-sc/pr/federal-grand-jury-indictments-77" TargetMode="External"/><Relationship Id="rId3662" Type="http://schemas.openxmlformats.org/officeDocument/2006/relationships/hyperlink" Target="https://www.thedailynewsonline.com/bdn01/batavia-man-charged-with-transporting-a-minor-across-state-lines-for-sex-20190410" TargetMode="External"/><Relationship Id="rId4993" Type="http://schemas.openxmlformats.org/officeDocument/2006/relationships/hyperlink" Target="https://archive.vn/SJrFQ" TargetMode="External"/><Relationship Id="rId1002" Type="http://schemas.openxmlformats.org/officeDocument/2006/relationships/hyperlink" Target="https://www.courtlistener.com/docket/6277350/united-states-v-vega/" TargetMode="External"/><Relationship Id="rId2333" Type="http://schemas.openxmlformats.org/officeDocument/2006/relationships/hyperlink" Target="https://www.goupstate.com/news/20180727/enoree-man-faces-20-charges-related-to-child-pornography" TargetMode="External"/><Relationship Id="rId3665" Type="http://schemas.openxmlformats.org/officeDocument/2006/relationships/hyperlink" Target="https://www.justice.gov/usao-cdil/pr/adams-county-man-indicted-child-pornography-charges" TargetMode="External"/><Relationship Id="rId4996" Type="http://schemas.openxmlformats.org/officeDocument/2006/relationships/hyperlink" Target="https://www.ice.gov/news/releases/2-arrested-human-smuggling-conspiracy-and-defrauding-us-government-agencies" TargetMode="External"/><Relationship Id="rId1003" Type="http://schemas.openxmlformats.org/officeDocument/2006/relationships/hyperlink" Target="https://www.cbp.gov/newsroom/local-media-release/willcox-agents-thwart-two-human-smuggling-events-over-holiday-weekend" TargetMode="External"/><Relationship Id="rId2334" Type="http://schemas.openxmlformats.org/officeDocument/2006/relationships/hyperlink" Target="https://www.justice.gov/usao-mn/pr/two-child-predators-sentenced-federal-prison" TargetMode="External"/><Relationship Id="rId3664" Type="http://schemas.openxmlformats.org/officeDocument/2006/relationships/hyperlink" Target="http://archive.fo/bEved" TargetMode="External"/><Relationship Id="rId4995" Type="http://schemas.openxmlformats.org/officeDocument/2006/relationships/hyperlink" Target="https://archive.vn/SJrFQ" TargetMode="External"/><Relationship Id="rId1037" Type="http://schemas.openxmlformats.org/officeDocument/2006/relationships/hyperlink" Target="http://www.theplainsman.com/article/2018/07/two-more-men-arrested-in-connection-to-auburn-human-trafficking-rape-investigation" TargetMode="External"/><Relationship Id="rId2368" Type="http://schemas.openxmlformats.org/officeDocument/2006/relationships/hyperlink" Target="https://www.cbp.gov/newsroom/local-media-release/border-patrol-and-air-and-marine-operations-team-interdict-alien" TargetMode="External"/><Relationship Id="rId1038" Type="http://schemas.openxmlformats.org/officeDocument/2006/relationships/hyperlink" Target="https://www.local10.com/news/florida/miami-dade/9-men-teen-arrested-this-year-in-child-porn-bust-in-miami-dade-county" TargetMode="External"/><Relationship Id="rId2369" Type="http://schemas.openxmlformats.org/officeDocument/2006/relationships/hyperlink" Target="https://myfox8.com/2018/07/26/73-year-old-woman-accused-of-teaming-up-with-winston-salem-woman-and-running-massage-parlor-that-was-a-front-for-prostitution/" TargetMode="External"/><Relationship Id="rId3699" Type="http://schemas.openxmlformats.org/officeDocument/2006/relationships/hyperlink" Target="https://www.justice.gov/usao-wdnc/pr/hendersonville-nc-man-sentenced-175-years-prison-distributing-child-pornography" TargetMode="External"/><Relationship Id="rId1039" Type="http://schemas.openxmlformats.org/officeDocument/2006/relationships/hyperlink" Target="https://www.justice.gov/usao-sc/pr/greer-man-sentenced-10-years-federal-prison-child-pornography-charge" TargetMode="External"/><Relationship Id="rId206" Type="http://schemas.openxmlformats.org/officeDocument/2006/relationships/hyperlink" Target="http://www.wfmj.com/story/38027580/youngstown-man-accused-of-trafficking-15-year-old-girl" TargetMode="External"/><Relationship Id="rId205" Type="http://schemas.openxmlformats.org/officeDocument/2006/relationships/hyperlink" Target="https://archive.vn/LZonF" TargetMode="External"/><Relationship Id="rId204" Type="http://schemas.openxmlformats.org/officeDocument/2006/relationships/hyperlink" Target="https://www.wccbcharlotte.com/2017/04/24/charlotte-man-along-wife-mother-charged-conspiracy-sex-traffic-minors/pic/352613/" TargetMode="External"/><Relationship Id="rId203" Type="http://schemas.openxmlformats.org/officeDocument/2006/relationships/hyperlink" Target="https://www.justice.gov/usao-wdnc/pr/sex-trafficker-three-underage-girls-sentenced-30-years" TargetMode="External"/><Relationship Id="rId209" Type="http://schemas.openxmlformats.org/officeDocument/2006/relationships/hyperlink" Target="https://www.justice.gov/usao-sdtx/pr/local-man-gets-25-years-child-pornography-convictions" TargetMode="External"/><Relationship Id="rId208" Type="http://schemas.openxmlformats.org/officeDocument/2006/relationships/hyperlink" Target="https://www.ice.gov/news/releases/human-smuggler-tennessee-sentenced-south-texas-4-years-federal-prison-using" TargetMode="External"/><Relationship Id="rId3690" Type="http://schemas.openxmlformats.org/officeDocument/2006/relationships/hyperlink" Target="https://www.wkbw.com/news/local-news/substitute-teacher-busted-on-child-porn-charges" TargetMode="External"/><Relationship Id="rId207" Type="http://schemas.openxmlformats.org/officeDocument/2006/relationships/hyperlink" Target="https://www.justice.gov/opa/pr/two-men-convicted-sex-trafficking-15-year-old-girl" TargetMode="External"/><Relationship Id="rId2360" Type="http://schemas.openxmlformats.org/officeDocument/2006/relationships/hyperlink" Target="https://www.justice.gov/usao-edny/pr/founder-nxivm-purported-self-help-organization-and-five-others-charged-superseding" TargetMode="External"/><Relationship Id="rId3692" Type="http://schemas.openxmlformats.org/officeDocument/2006/relationships/hyperlink" Target="http://archive.fo/rZkNi" TargetMode="External"/><Relationship Id="rId1030" Type="http://schemas.openxmlformats.org/officeDocument/2006/relationships/hyperlink" Target="http://www.swnewsmedia.com/lakeshore_weekly/news/public_safety/man-behind-sex-trafficking-operation-in-minnetonka-ricky-turner-pleads/article_8808a5f1-5a3b-5d44-a9d9-cb7900a56c81.html" TargetMode="External"/><Relationship Id="rId2361" Type="http://schemas.openxmlformats.org/officeDocument/2006/relationships/hyperlink" Target="https://www.documentcloud.org/documents/4616910-Nxivm-Indictment-S-1.html" TargetMode="External"/><Relationship Id="rId3691" Type="http://schemas.openxmlformats.org/officeDocument/2006/relationships/hyperlink" Target="http://archive.fo/gdkBj" TargetMode="External"/><Relationship Id="rId1031" Type="http://schemas.openxmlformats.org/officeDocument/2006/relationships/hyperlink" Target="https://www.justice.gov/usao-sdin/pr/former-muncie-area-volleyball-coach-federally-charged-sexual-exploitation-case" TargetMode="External"/><Relationship Id="rId2362" Type="http://schemas.openxmlformats.org/officeDocument/2006/relationships/hyperlink" Target="https://www.justice.gov/usao-edny/pr/founder-nxivm-purported-self-help-organization-and-five-others-charged-superseding" TargetMode="External"/><Relationship Id="rId3694" Type="http://schemas.openxmlformats.org/officeDocument/2006/relationships/hyperlink" Target="https://www.tri-cityherald.com/news/local/crime/article229694394.html" TargetMode="External"/><Relationship Id="rId1032" Type="http://schemas.openxmlformats.org/officeDocument/2006/relationships/hyperlink" Target="https://fox59.com/2018/01/25/former-muncie-coach-faces-federal-child-exploitation-charge-after-second-victim-is-discovered/" TargetMode="External"/><Relationship Id="rId2363" Type="http://schemas.openxmlformats.org/officeDocument/2006/relationships/hyperlink" Target="https://www.documentcloud.org/documents/4616910-Nxivm-Indictment-S-1.html" TargetMode="External"/><Relationship Id="rId3693" Type="http://schemas.openxmlformats.org/officeDocument/2006/relationships/hyperlink" Target="https://www.justice.gov/usao-edwa/pr/child-exploitation-offender-sentenced-14-years-federal-prison" TargetMode="External"/><Relationship Id="rId202" Type="http://schemas.openxmlformats.org/officeDocument/2006/relationships/hyperlink" Target="https://archive.vn/KvwuZ" TargetMode="External"/><Relationship Id="rId1033" Type="http://schemas.openxmlformats.org/officeDocument/2006/relationships/hyperlink" Target="http://ktla.com/2018/01/30/officials-announce-510-arrests-in-statewide-human-trafficking-crackdown/" TargetMode="External"/><Relationship Id="rId2364" Type="http://schemas.openxmlformats.org/officeDocument/2006/relationships/hyperlink" Target="https://www.stl.news/new-york-news-manhattan-u-s-attorney-announces-money-laundering-charges-operators-nationwide-prostitution-enterprise-seizure-online-escort-website/147652/" TargetMode="External"/><Relationship Id="rId3696" Type="http://schemas.openxmlformats.org/officeDocument/2006/relationships/hyperlink" Target="https://www.courtlistener.com/docket/14995746/united-states-v-schmit/" TargetMode="External"/><Relationship Id="rId201" Type="http://schemas.openxmlformats.org/officeDocument/2006/relationships/hyperlink" Target="https://archive.vn/LZonF" TargetMode="External"/><Relationship Id="rId1034" Type="http://schemas.openxmlformats.org/officeDocument/2006/relationships/hyperlink" Target="https://www.justice.gov/usao-sdtx/pr/houston-man-convicted-multiple-child-pornography-charges" TargetMode="External"/><Relationship Id="rId2365" Type="http://schemas.openxmlformats.org/officeDocument/2006/relationships/hyperlink" Target="http://www.kptv.com/story/38728614/portland-man-suspected-of-sex-trafficking-arrested-in-clark-county" TargetMode="External"/><Relationship Id="rId3695" Type="http://schemas.openxmlformats.org/officeDocument/2006/relationships/hyperlink" Target="https://archive.vn/JORY0" TargetMode="External"/><Relationship Id="rId200" Type="http://schemas.openxmlformats.org/officeDocument/2006/relationships/hyperlink" Target="https://www.wccbcharlotte.com/2017/04/24/charlotte-man-along-wife-mother-charged-conspiracy-sex-traffic-minors/pic/352613/" TargetMode="External"/><Relationship Id="rId1035" Type="http://schemas.openxmlformats.org/officeDocument/2006/relationships/hyperlink" Target="http://www.ozarksfirst.com/news/branson-man-pleads-guilty-to-offering-to-hire-minors-for-sex-during-super-bowl-week/1197297707" TargetMode="External"/><Relationship Id="rId2366" Type="http://schemas.openxmlformats.org/officeDocument/2006/relationships/hyperlink" Target="https://www.sctimes.com/story/news/local/2018/07/26/st-cloud-man-trafficked-victim-raise-funds-domestic-abuse-defense/841436002/" TargetMode="External"/><Relationship Id="rId3698" Type="http://schemas.openxmlformats.org/officeDocument/2006/relationships/hyperlink" Target="https://www.justice.gov/usao-wdnc/pr/charlotte-man-sentenced-17-years-child-pornography" TargetMode="External"/><Relationship Id="rId1036" Type="http://schemas.openxmlformats.org/officeDocument/2006/relationships/hyperlink" Target="http://baltimore.cbslocal.com/2018/06/04/alleged-sex-trafficker-baltimore/" TargetMode="External"/><Relationship Id="rId2367" Type="http://schemas.openxmlformats.org/officeDocument/2006/relationships/hyperlink" Target="http://www.trussvilletribune.com/2018/08/03/3-arrested-in-birmingham-on-human-trafficking-charges/" TargetMode="External"/><Relationship Id="rId3697" Type="http://schemas.openxmlformats.org/officeDocument/2006/relationships/hyperlink" Target="https://www.justice.gov/usao-wdtn/pr/obion-county-man-indicted-child-pornography-offenses" TargetMode="External"/><Relationship Id="rId1026" Type="http://schemas.openxmlformats.org/officeDocument/2006/relationships/hyperlink" Target="https://www.courtlistener.com/docket/8007203/united-states-v-muhammed/" TargetMode="External"/><Relationship Id="rId2357" Type="http://schemas.openxmlformats.org/officeDocument/2006/relationships/hyperlink" Target="https://www.documentcloud.org/documents/4616910-Nxivm-Indictment-S-1.html" TargetMode="External"/><Relationship Id="rId3689" Type="http://schemas.openxmlformats.org/officeDocument/2006/relationships/hyperlink" Target="https://www.justice.gov/usao-wdny/pr/substitute-teacher-and-coach-arrested-and-charged-possession-child-pornography" TargetMode="External"/><Relationship Id="rId1027" Type="http://schemas.openxmlformats.org/officeDocument/2006/relationships/hyperlink" Target="https://www.cbp.gov/newsroom/local-media-release/willcox-border-patrol-k9-team-find-2-aliens-trunk" TargetMode="External"/><Relationship Id="rId2358" Type="http://schemas.openxmlformats.org/officeDocument/2006/relationships/hyperlink" Target="https://www.justice.gov/usao-edny/pr/founder-nxivm-purported-self-help-organization-and-five-others-charged-superseding" TargetMode="External"/><Relationship Id="rId3688" Type="http://schemas.openxmlformats.org/officeDocument/2006/relationships/hyperlink" Target="https://www.ice.gov/news/releases/chicago-area-man-indicted-charges-smuggling-transporting-and-harboring-illegal-aliens" TargetMode="External"/><Relationship Id="rId1028" Type="http://schemas.openxmlformats.org/officeDocument/2006/relationships/hyperlink" Target="https://www.justice.gov/usao-ndfl/pr/tallahassee-man-indicted-federal-child-pornography-offenses" TargetMode="External"/><Relationship Id="rId2359" Type="http://schemas.openxmlformats.org/officeDocument/2006/relationships/hyperlink" Target="https://www.documentcloud.org/documents/4616910-Nxivm-Indictment-S-1.html" TargetMode="External"/><Relationship Id="rId1029" Type="http://schemas.openxmlformats.org/officeDocument/2006/relationships/hyperlink" Target="https://www.nbcmiami.com/news/local/North-Miami-Couple-Face-Money-Laundering-Charges-Related-to-Sophisticated-Human-Smuggling-Ring-470978363.html" TargetMode="External"/><Relationship Id="rId3681" Type="http://schemas.openxmlformats.org/officeDocument/2006/relationships/hyperlink" Target="https://archive.vn/yUw94" TargetMode="External"/><Relationship Id="rId2350" Type="http://schemas.openxmlformats.org/officeDocument/2006/relationships/hyperlink" Target="https://www.courtlistener.com/docket/7312708/united-states-v-eady/" TargetMode="External"/><Relationship Id="rId3680" Type="http://schemas.openxmlformats.org/officeDocument/2006/relationships/hyperlink" Target="https://www.al.com/news/birmingham/2019/04/florida-man-19-charged-with-sexual-extortion-stalking-of-trussville-14-year-old-he-met-online.html" TargetMode="External"/><Relationship Id="rId1020" Type="http://schemas.openxmlformats.org/officeDocument/2006/relationships/hyperlink" Target="https://www.justice.gov/usao-wdmo/pr/kansas-man-sentenced-18-years-producing-child-pornography" TargetMode="External"/><Relationship Id="rId2351" Type="http://schemas.openxmlformats.org/officeDocument/2006/relationships/hyperlink" Target="http://www.ktre.com/story/38939467/affidavit-nacogdoches-woman-helped-2-men-hold-sexual-assault-victim-against-will" TargetMode="External"/><Relationship Id="rId3683" Type="http://schemas.openxmlformats.org/officeDocument/2006/relationships/hyperlink" Target="https://www.justice.gov/usao-sdia/pr/des-moines-man-sentenced-nine-years-prison-possession-child-pornography" TargetMode="External"/><Relationship Id="rId1021" Type="http://schemas.openxmlformats.org/officeDocument/2006/relationships/hyperlink" Target="https://www.courtlistener.com/docket/6304098/united-states-v-marshall/" TargetMode="External"/><Relationship Id="rId2352" Type="http://schemas.openxmlformats.org/officeDocument/2006/relationships/hyperlink" Target="https://www.justice.gov/usao-ct/pr/bridgeport-man-sentenced-additional-prison-time-violating-supervise-release" TargetMode="External"/><Relationship Id="rId3682" Type="http://schemas.openxmlformats.org/officeDocument/2006/relationships/hyperlink" Target="https://archive.vn/ajRLp" TargetMode="External"/><Relationship Id="rId1022" Type="http://schemas.openxmlformats.org/officeDocument/2006/relationships/hyperlink" Target="https://www.justice.gov/usao-mdga/pr/federal-grand-jury-returns-indictments-charging-23-individuals" TargetMode="External"/><Relationship Id="rId2353" Type="http://schemas.openxmlformats.org/officeDocument/2006/relationships/hyperlink" Target="https://www.breitbart.com/texas/2018/07/24/daca-recipient-busted-for-human-smuggling-says-border-patrol/" TargetMode="External"/><Relationship Id="rId3685" Type="http://schemas.openxmlformats.org/officeDocument/2006/relationships/hyperlink" Target="https://www.courtlistener.com/docket/15702241/united-states-v-prieto/" TargetMode="External"/><Relationship Id="rId1023" Type="http://schemas.openxmlformats.org/officeDocument/2006/relationships/hyperlink" Target="https://www.wctv.tv/content/news/GBI-arrests-Moultrie-man-on-child-porn-charges-467218713.html" TargetMode="External"/><Relationship Id="rId2354" Type="http://schemas.openxmlformats.org/officeDocument/2006/relationships/hyperlink" Target="http://www.kgns.tv/content/news/Smuggler-arrested-for-allegedly-conceal-two-Inside-duffle-bags--489067451.html" TargetMode="External"/><Relationship Id="rId3684" Type="http://schemas.openxmlformats.org/officeDocument/2006/relationships/hyperlink" Target="https://www.cbp.gov/newsroom/local-media-release/border-patrol-agents-new-york-foil-smuggling-attempts-and-arrest" TargetMode="External"/><Relationship Id="rId1024" Type="http://schemas.openxmlformats.org/officeDocument/2006/relationships/hyperlink" Target="https://www.courtlistener.com/docket/14797236/united-states-v-wrenn/" TargetMode="External"/><Relationship Id="rId2355" Type="http://schemas.openxmlformats.org/officeDocument/2006/relationships/hyperlink" Target="https://www.justice.gov/usao-mdpa/pr/new-cumberland-man-sentenced-five-years-imprisonment-receipt-child-pornography" TargetMode="External"/><Relationship Id="rId3687" Type="http://schemas.openxmlformats.org/officeDocument/2006/relationships/hyperlink" Target="https://ktvq.com/news/crime-watch/2019/04/16/man-charged-with-running-prostitution-ring-at-2-billings-massage-spas/" TargetMode="External"/><Relationship Id="rId1025" Type="http://schemas.openxmlformats.org/officeDocument/2006/relationships/hyperlink" Target="https://www.cbp.gov/newsroom/local-media-release/one-mission-cbp-components-stop-human-smuggling-attempt-near-champlain" TargetMode="External"/><Relationship Id="rId2356" Type="http://schemas.openxmlformats.org/officeDocument/2006/relationships/hyperlink" Target="https://www.justice.gov/usao-edny/pr/founder-nxivm-purported-self-help-organization-and-five-others-charged-superseding" TargetMode="External"/><Relationship Id="rId3686" Type="http://schemas.openxmlformats.org/officeDocument/2006/relationships/hyperlink" Target="https://www.justice.gov/usao-mt/pr/informational-federal-court-arraignments-43" TargetMode="External"/><Relationship Id="rId4161" Type="http://schemas.openxmlformats.org/officeDocument/2006/relationships/hyperlink" Target="https://www.justice.gov/usao-ndca/pr/fairfax-man-charged-possession-child-pornography" TargetMode="External"/><Relationship Id="rId4160" Type="http://schemas.openxmlformats.org/officeDocument/2006/relationships/hyperlink" Target="https://www.justice.gov/usao-sd/pr/rapid-city-man-indicted-child-pornography-charges-5" TargetMode="External"/><Relationship Id="rId4163" Type="http://schemas.openxmlformats.org/officeDocument/2006/relationships/hyperlink" Target="https://www.justice.gov/usao-ndny/pr/ulster-county-man-pleads-guilty-child-pornography-offenses" TargetMode="External"/><Relationship Id="rId4162" Type="http://schemas.openxmlformats.org/officeDocument/2006/relationships/hyperlink" Target="https://www.justice.gov/usao-mdfl/pr/kissimmee-man-sentenced-nine-years-distributing-child-sex-abuse-images" TargetMode="External"/><Relationship Id="rId4165" Type="http://schemas.openxmlformats.org/officeDocument/2006/relationships/hyperlink" Target="https://www.ice.gov/news/releases/ice-homeland-security-investigations-yields-child-pornography-producer-25-year-prison" TargetMode="External"/><Relationship Id="rId4164" Type="http://schemas.openxmlformats.org/officeDocument/2006/relationships/hyperlink" Target="https://www.justice.gov/usao-edla/pr/covington-man-pleads-guilty-distribution-child-sexual-abuse-material" TargetMode="External"/><Relationship Id="rId4167" Type="http://schemas.openxmlformats.org/officeDocument/2006/relationships/hyperlink" Target="https://archive.vn/wip/CIUII" TargetMode="External"/><Relationship Id="rId4166" Type="http://schemas.openxmlformats.org/officeDocument/2006/relationships/hyperlink" Target="https://www.mercurynews.com/2020/07/01/pleasant-hill-man-who-molested-kids-possessed-thousands-of-child-porn-files-gets-25-years/" TargetMode="External"/><Relationship Id="rId4169" Type="http://schemas.openxmlformats.org/officeDocument/2006/relationships/hyperlink" Target="https://www.fbi.gov/contact-us/field-offices/portland/news/press-releases/beaverton-man-pleads-guilty-to-distributing-child-pornography" TargetMode="External"/><Relationship Id="rId4168" Type="http://schemas.openxmlformats.org/officeDocument/2006/relationships/hyperlink" Target="https://archive.vn/EOeJ6" TargetMode="External"/><Relationship Id="rId4150" Type="http://schemas.openxmlformats.org/officeDocument/2006/relationships/hyperlink" Target="https://archive.vn/6CF3q" TargetMode="External"/><Relationship Id="rId4152" Type="http://schemas.openxmlformats.org/officeDocument/2006/relationships/hyperlink" Target="https://www.justice.gov/usao-edmo/pr/franklin-county-man-pleads-guilty-production-child-pornography" TargetMode="External"/><Relationship Id="rId4151" Type="http://schemas.openxmlformats.org/officeDocument/2006/relationships/hyperlink" Target="https://www.justice.gov/usao-ndny/pr/long-island-man-charged-possessing-child-pornography-new-paltz" TargetMode="External"/><Relationship Id="rId4154" Type="http://schemas.openxmlformats.org/officeDocument/2006/relationships/hyperlink" Target="https://www.justice.gov/usao-edva/pr/man-pleads-guilty-producing-image-child-sexual-abuse" TargetMode="External"/><Relationship Id="rId4153" Type="http://schemas.openxmlformats.org/officeDocument/2006/relationships/hyperlink" Target="https://www.justice.gov/usao-edca/pr/carmichael-man-indicted-sexually-exploiting-minors" TargetMode="External"/><Relationship Id="rId4156" Type="http://schemas.openxmlformats.org/officeDocument/2006/relationships/hyperlink" Target="https://archive.vn/j7nZx" TargetMode="External"/><Relationship Id="rId4155" Type="http://schemas.openxmlformats.org/officeDocument/2006/relationships/hyperlink" Target="https://archive.vn/HFonv" TargetMode="External"/><Relationship Id="rId4158" Type="http://schemas.openxmlformats.org/officeDocument/2006/relationships/hyperlink" Target="https://archive.vn/b2bDB" TargetMode="External"/><Relationship Id="rId4157" Type="http://schemas.openxmlformats.org/officeDocument/2006/relationships/hyperlink" Target="https://archive.vn/b2bDB" TargetMode="External"/><Relationship Id="rId4159" Type="http://schemas.openxmlformats.org/officeDocument/2006/relationships/hyperlink" Target="https://www.justice.gov/usao-cdil/pr/decatur-man-serve-22-years-federal-prison-sexual-exploitation-child" TargetMode="External"/><Relationship Id="rId1910" Type="http://schemas.openxmlformats.org/officeDocument/2006/relationships/hyperlink" Target="https://www.justice.gov/usao-wdwi/pr/la-crosse-county-man-sentenced-10-years-possessing-child-pornography" TargetMode="External"/><Relationship Id="rId1911" Type="http://schemas.openxmlformats.org/officeDocument/2006/relationships/hyperlink" Target="https://www.courtlistener.com/docket/7191576/united-states-v-doucet-paul/" TargetMode="External"/><Relationship Id="rId1912" Type="http://schemas.openxmlformats.org/officeDocument/2006/relationships/hyperlink" Target="https://www.justice.gov/usao-wdny/pr/elmira-man-pleads-guilty-receipt-child-pornography" TargetMode="External"/><Relationship Id="rId1913" Type="http://schemas.openxmlformats.org/officeDocument/2006/relationships/hyperlink" Target="http://www.business-standard.com/article/pti-stories/police-arrest-251-seize-child-pornography-in-brazil-raids-118051800093_1.html" TargetMode="External"/><Relationship Id="rId1914" Type="http://schemas.openxmlformats.org/officeDocument/2006/relationships/hyperlink" Target="https://www.pe.com/2018/05/19/2-arrested-on-suspicion-of-human-trafficking-pimping-in-riverside/" TargetMode="External"/><Relationship Id="rId1915" Type="http://schemas.openxmlformats.org/officeDocument/2006/relationships/hyperlink" Target="http://www.modbee.com/latest-news/article211529869.html" TargetMode="External"/><Relationship Id="rId1916" Type="http://schemas.openxmlformats.org/officeDocument/2006/relationships/hyperlink" Target="https://www.cbp.gov/newsroom/local-media-release/agents-arrest-19-year-old-smuggler-immigration-checkpoint-near-three" TargetMode="External"/><Relationship Id="rId1917" Type="http://schemas.openxmlformats.org/officeDocument/2006/relationships/hyperlink" Target="https://www.forsythnews.com/local/crime-courts/north-forsyth-man-denied-bond-alleged-child-trafficking-charges/" TargetMode="External"/><Relationship Id="rId1918" Type="http://schemas.openxmlformats.org/officeDocument/2006/relationships/hyperlink" Target="http://www.fresnobee.com/news/local/crime/article211779599.html" TargetMode="External"/><Relationship Id="rId1919" Type="http://schemas.openxmlformats.org/officeDocument/2006/relationships/hyperlink" Target="http://www.breitbart.com/texas/2018/05/20/human-smugglers-lead-border-patrol-agents-on-pursuit-with-migrants-locked-in-trunk/" TargetMode="External"/><Relationship Id="rId4181" Type="http://schemas.openxmlformats.org/officeDocument/2006/relationships/hyperlink" Target="https://www.justice.gov/usao-edva/pr/former-sailor-sentenced-prison-child-exploitation-crime" TargetMode="External"/><Relationship Id="rId4180" Type="http://schemas.openxmlformats.org/officeDocument/2006/relationships/hyperlink" Target="https://www.justice.gov/usao-wdar/pr/springdale-man-sentenced-over-22-years-federal-prison-sexual-exploitation-child" TargetMode="External"/><Relationship Id="rId4183" Type="http://schemas.openxmlformats.org/officeDocument/2006/relationships/hyperlink" Target="https://www.dailynews.com/2020/02/05/southern-california-law-enforcement-agencies-take-part-in-operation-combating-human-trafficking-500-plus-arrested/" TargetMode="External"/><Relationship Id="rId4182" Type="http://schemas.openxmlformats.org/officeDocument/2006/relationships/hyperlink" Target="https://www.justice.gov/usao-ma/pr/west-springfield-man-pleads-guilty-child-pornography-charges" TargetMode="External"/><Relationship Id="rId4185" Type="http://schemas.openxmlformats.org/officeDocument/2006/relationships/hyperlink" Target="https://www.kcrg.com/2020/09/25/iowa-man-sentenced-to-over-six-years-in-federal-prison-for-receiving-child-pornography/" TargetMode="External"/><Relationship Id="rId4184" Type="http://schemas.openxmlformats.org/officeDocument/2006/relationships/hyperlink" Target="https://www.justice.gov/usao-ndia/pr/iowa-man-sentenced-over-six-years-federal-prison-receiving-child-pornography" TargetMode="External"/><Relationship Id="rId4187" Type="http://schemas.openxmlformats.org/officeDocument/2006/relationships/hyperlink" Target="https://archive.vn/CQBNp" TargetMode="External"/><Relationship Id="rId4186" Type="http://schemas.openxmlformats.org/officeDocument/2006/relationships/hyperlink" Target="https://archive.vn/wip/r7gB7" TargetMode="External"/><Relationship Id="rId4189" Type="http://schemas.openxmlformats.org/officeDocument/2006/relationships/hyperlink" Target="https://www.justice.gov/usao-mdga/pr/registered-child-sex-offender-sentenced-ten-years-prison-posssessing-child-pornography" TargetMode="External"/><Relationship Id="rId4188" Type="http://schemas.openxmlformats.org/officeDocument/2006/relationships/hyperlink" Target="https://www.justice.gov/usao-wdwa/pr/felon-living-federal-half-way-house-indicted-attempted-sex-trafficking-minor" TargetMode="External"/><Relationship Id="rId1900" Type="http://schemas.openxmlformats.org/officeDocument/2006/relationships/hyperlink" Target="https://www.courtlistener.com/docket/6744764/united-states-v-thorpe/" TargetMode="External"/><Relationship Id="rId1901" Type="http://schemas.openxmlformats.org/officeDocument/2006/relationships/hyperlink" Target="https://www.mysanantonio.com/news/local/crime/article/Police-6-suspects-arrested-in-San-Antonio-12925752.php" TargetMode="External"/><Relationship Id="rId1902" Type="http://schemas.openxmlformats.org/officeDocument/2006/relationships/hyperlink" Target="http://kfoxtv.com/news/local/border-patrol-agent-arrested-for-possession-of-child-porn" TargetMode="External"/><Relationship Id="rId1903" Type="http://schemas.openxmlformats.org/officeDocument/2006/relationships/hyperlink" Target="https://www.justice.gov/usao-nm/pr/former-supervisory-us-border-patrol-agent-pleads-guilty-federal-child-pornography-charge" TargetMode="External"/><Relationship Id="rId1904" Type="http://schemas.openxmlformats.org/officeDocument/2006/relationships/hyperlink" Target="https://www.courtlistener.com/docket/15683367/united-states-v-davis/" TargetMode="External"/><Relationship Id="rId1905" Type="http://schemas.openxmlformats.org/officeDocument/2006/relationships/hyperlink" Target="http://www.crimevoice.com/2018/05/22/human-trafficking-operation-rescued-two-juveniles-arrested-26/" TargetMode="External"/><Relationship Id="rId1906" Type="http://schemas.openxmlformats.org/officeDocument/2006/relationships/hyperlink" Target="https://www.justice.gov/usao-edva/pr/man-sentenced-24-years-producing-images-child-sexual-abuse" TargetMode="External"/><Relationship Id="rId1907" Type="http://schemas.openxmlformats.org/officeDocument/2006/relationships/hyperlink" Target="http://wtkr.com/2018/05/23/portsmouth-man-put-copyright-symbol-on-homemade-child-porn-feds-say/" TargetMode="External"/><Relationship Id="rId1908" Type="http://schemas.openxmlformats.org/officeDocument/2006/relationships/hyperlink" Target="https://www.cbp.gov/newsroom/local-media-release/amo-usbp-pursues-vehicle-and-arrests-five" TargetMode="External"/><Relationship Id="rId1909" Type="http://schemas.openxmlformats.org/officeDocument/2006/relationships/hyperlink" Target="http://ktxs.com/news/abilene/10-arrested-abilene-police-target-johns-in-undercover-prostitution-sting" TargetMode="External"/><Relationship Id="rId4170" Type="http://schemas.openxmlformats.org/officeDocument/2006/relationships/hyperlink" Target="https://kutv.com/news/local/exclusive-former-friends-shocked-by-utah-tech-ceo-found-with-13k-child-porn-files" TargetMode="External"/><Relationship Id="rId4172" Type="http://schemas.openxmlformats.org/officeDocument/2006/relationships/hyperlink" Target="https://archive.vn/wip/LNCNI" TargetMode="External"/><Relationship Id="rId4171" Type="http://schemas.openxmlformats.org/officeDocument/2006/relationships/hyperlink" Target="https://archive.vn/56VO4" TargetMode="External"/><Relationship Id="rId4174" Type="http://schemas.openxmlformats.org/officeDocument/2006/relationships/hyperlink" Target="https://archive.vn/wip/vAiLH" TargetMode="External"/><Relationship Id="rId4173" Type="http://schemas.openxmlformats.org/officeDocument/2006/relationships/hyperlink" Target="https://www.justice.gov/usao-sdwv/pr/ex-marshall-university-football-player-sentenced-federal-prison-child-pornography-crime" TargetMode="External"/><Relationship Id="rId4176" Type="http://schemas.openxmlformats.org/officeDocument/2006/relationships/hyperlink" Target="https://www.justice.gov/usao-me/pr/skowhegan-man-pleads-guilty-child-exploitation-crimes" TargetMode="External"/><Relationship Id="rId4175" Type="http://schemas.openxmlformats.org/officeDocument/2006/relationships/hyperlink" Target="https://archive.vn/2alNd" TargetMode="External"/><Relationship Id="rId4178" Type="http://schemas.openxmlformats.org/officeDocument/2006/relationships/hyperlink" Target="https://archive.vn/NJmqH" TargetMode="External"/><Relationship Id="rId4177" Type="http://schemas.openxmlformats.org/officeDocument/2006/relationships/hyperlink" Target="https://www.msn.com/en-us/news/crime/skowhegan-man-pleads-guilty-to-child-pornography-charges/ar-BB1c4vhv" TargetMode="External"/><Relationship Id="rId4179" Type="http://schemas.openxmlformats.org/officeDocument/2006/relationships/hyperlink" Target="https://archive.vn/OL1ro" TargetMode="External"/><Relationship Id="rId4129" Type="http://schemas.openxmlformats.org/officeDocument/2006/relationships/hyperlink" Target="https://www.justice.gov/usao-ne/pr/central-city-man-receives-30-year-sentence-production-child-pornography" TargetMode="External"/><Relationship Id="rId4128" Type="http://schemas.openxmlformats.org/officeDocument/2006/relationships/hyperlink" Target="https://www.justice.gov/usao-nj/pr/new-york-hire-vehicle-driver-admits-federal-sex-crimes" TargetMode="External"/><Relationship Id="rId1090" Type="http://schemas.openxmlformats.org/officeDocument/2006/relationships/hyperlink" Target="http://www.wibw.com/content/news/Junction-City-woman-indicted-for-producing-child-porn-468643963.html" TargetMode="External"/><Relationship Id="rId1091" Type="http://schemas.openxmlformats.org/officeDocument/2006/relationships/hyperlink" Target="https://www.justice.gov/usao-ks/pr/indictment-junction-city-woman-produced-child-pornography" TargetMode="External"/><Relationship Id="rId1092" Type="http://schemas.openxmlformats.org/officeDocument/2006/relationships/hyperlink" Target="https://www.courtlistener.com/docket/6504835/united-states-v-rogers/" TargetMode="External"/><Relationship Id="rId1093" Type="http://schemas.openxmlformats.org/officeDocument/2006/relationships/hyperlink" Target="https://www.justice.gov/usao-nm/pr/texas-man-pleads-guilty-federal-production-child-pornography-charges-new-mexico" TargetMode="External"/><Relationship Id="rId1094" Type="http://schemas.openxmlformats.org/officeDocument/2006/relationships/hyperlink" Target="https://www.courtlistener.com/docket/6737893/united-states-v-moreno/" TargetMode="External"/><Relationship Id="rId1095" Type="http://schemas.openxmlformats.org/officeDocument/2006/relationships/hyperlink" Target="https://www.richmond.com/news/local/crime/child-porn-suspect-who-fired-shot-during-police-search-of/article_d21613e8-7ceb-53b8-8e15-993cf72e7081.html" TargetMode="External"/><Relationship Id="rId4121" Type="http://schemas.openxmlformats.org/officeDocument/2006/relationships/hyperlink" Target="https://www.justice.gov/usao-ndok/pr/claremore-man-sentenced-78-months-prison-child-pornography" TargetMode="External"/><Relationship Id="rId1096" Type="http://schemas.openxmlformats.org/officeDocument/2006/relationships/hyperlink" Target="http://www.kwtx.com/content/news/Local-man-held-without-bond-in-sex-trafficking-child-porn-case-490286121.html" TargetMode="External"/><Relationship Id="rId4120" Type="http://schemas.openxmlformats.org/officeDocument/2006/relationships/hyperlink" Target="https://www.justice.gov/usao-wdny/pr/massachusetts-man-going-prison-15-years-child-pornography-charge" TargetMode="External"/><Relationship Id="rId1097" Type="http://schemas.openxmlformats.org/officeDocument/2006/relationships/hyperlink" Target="https://www.justice.gov/usao-wdtx/pr/temple-man-sentenced-federal-prison-sex-trafficking-two-minors" TargetMode="External"/><Relationship Id="rId4123" Type="http://schemas.openxmlformats.org/officeDocument/2006/relationships/hyperlink" Target="https://archive.vn/PZgxO" TargetMode="External"/><Relationship Id="rId1098" Type="http://schemas.openxmlformats.org/officeDocument/2006/relationships/hyperlink" Target="http://www.kwtx.com/content/news/Local-man-held-without-bond-in-sex-trafficking-child-porn-case-490286121.html" TargetMode="External"/><Relationship Id="rId4122" Type="http://schemas.openxmlformats.org/officeDocument/2006/relationships/hyperlink" Target="https://www.justice.gov/usao-edva/pr/former-medical-student-pleads-guilty-online-sextortion-scheme" TargetMode="External"/><Relationship Id="rId1099" Type="http://schemas.openxmlformats.org/officeDocument/2006/relationships/hyperlink" Target="https://archive.vn/wip/vogKF" TargetMode="External"/><Relationship Id="rId4125" Type="http://schemas.openxmlformats.org/officeDocument/2006/relationships/hyperlink" Target="https://www.msn.com/en-us/news/crime/us-army-major-pleads-guilty-to-child-pornography-charge/ar-BB18GmBL" TargetMode="External"/><Relationship Id="rId4124" Type="http://schemas.openxmlformats.org/officeDocument/2006/relationships/hyperlink" Target="https://archive.vn/R4Azc" TargetMode="External"/><Relationship Id="rId4127" Type="http://schemas.openxmlformats.org/officeDocument/2006/relationships/hyperlink" Target="https://archive.vn/bWD6m" TargetMode="External"/><Relationship Id="rId4126" Type="http://schemas.openxmlformats.org/officeDocument/2006/relationships/hyperlink" Target="https://archive.vn/Y7YTG" TargetMode="External"/><Relationship Id="rId4118" Type="http://schemas.openxmlformats.org/officeDocument/2006/relationships/hyperlink" Target="https://www.heralddemocrat.com/news/20200423/former-sex-offender-counselor-gets-50-years-for-child-porn" TargetMode="External"/><Relationship Id="rId4117" Type="http://schemas.openxmlformats.org/officeDocument/2006/relationships/hyperlink" Target="https://www.justice.gov/usao-edmi/pr/tugboat-owner-charged-production-possession-and-receipt-child-pornography" TargetMode="External"/><Relationship Id="rId4119" Type="http://schemas.openxmlformats.org/officeDocument/2006/relationships/hyperlink" Target="https://archive.vn/wip/UY6g8" TargetMode="External"/><Relationship Id="rId1080" Type="http://schemas.openxmlformats.org/officeDocument/2006/relationships/hyperlink" Target="https://www.cbp.gov/newsroom/local-media-release/willcox-k9-team-find-2-people-hiding-trunk-immigration-checkpoint" TargetMode="External"/><Relationship Id="rId1081" Type="http://schemas.openxmlformats.org/officeDocument/2006/relationships/hyperlink" Target="https://www.justice.gov/usao-edca/pr/stockton-man-pleads-guilty-distributing-child-pornography" TargetMode="External"/><Relationship Id="rId1082" Type="http://schemas.openxmlformats.org/officeDocument/2006/relationships/hyperlink" Target="https://www.courtlistener.com/docket/6278560/united-states-v-solomon/" TargetMode="External"/><Relationship Id="rId1083" Type="http://schemas.openxmlformats.org/officeDocument/2006/relationships/hyperlink" Target="https://www.justice.gov/usao-ndoh/pr/north-royalton-man-charged-16-count-indictment-creating-and-installing-malware" TargetMode="External"/><Relationship Id="rId1084" Type="http://schemas.openxmlformats.org/officeDocument/2006/relationships/hyperlink" Target="https://www.courtlistener.com/?q=&amp;type=r&amp;order_by=score+desc&amp;docket_number=1%3A18-cr-00022&amp;court=ohnd" TargetMode="External"/><Relationship Id="rId4110" Type="http://schemas.openxmlformats.org/officeDocument/2006/relationships/hyperlink" Target="https://www.fbi.gov/contact-us/field-offices/cleveland/news/press-releases/shelby-ohio-man-arrested-for-attempting-to-sexually-exploit-a-child" TargetMode="External"/><Relationship Id="rId1085" Type="http://schemas.openxmlformats.org/officeDocument/2006/relationships/hyperlink" Target="https://www.justice.gov/usao-edky/pr/versailles-man-convicted-possessing-sexually-explicit-images-children" TargetMode="External"/><Relationship Id="rId1086" Type="http://schemas.openxmlformats.org/officeDocument/2006/relationships/hyperlink" Target="https://archive.fo/mHJ6D" TargetMode="External"/><Relationship Id="rId4112" Type="http://schemas.openxmlformats.org/officeDocument/2006/relationships/hyperlink" Target="https://www.justice.gov/usao-nj/pr/atlantic-county-man-admits-possession-child-pornography" TargetMode="External"/><Relationship Id="rId1087" Type="http://schemas.openxmlformats.org/officeDocument/2006/relationships/hyperlink" Target="https://archive.fo/pqhJP" TargetMode="External"/><Relationship Id="rId4111" Type="http://schemas.openxmlformats.org/officeDocument/2006/relationships/hyperlink" Target="https://www.justice.gov/usao-wdok/pr/pennsylvania-man-sentenced-serve-292-months-federal-prison-child-sexual-enticement" TargetMode="External"/><Relationship Id="rId1088" Type="http://schemas.openxmlformats.org/officeDocument/2006/relationships/hyperlink" Target="https://www.justice.gov/usao-sdtx/pr/previous-sex-offender-sent-prison-again-after-recording-minor-during-oral-sex" TargetMode="External"/><Relationship Id="rId4114" Type="http://schemas.openxmlformats.org/officeDocument/2006/relationships/hyperlink" Target="https://www.justice.gov/usao-wdny/pr/rochester-man-going-prison-possession-child-pornography" TargetMode="External"/><Relationship Id="rId1089" Type="http://schemas.openxmlformats.org/officeDocument/2006/relationships/hyperlink" Target="https://www.nwitimes.com/news/local/crime-and-courts/former-st-john-resident-charged-with-child-pornography-possession/article_28aabedb-9a2b-5bca-93c2-238fde3985d8.html" TargetMode="External"/><Relationship Id="rId4113" Type="http://schemas.openxmlformats.org/officeDocument/2006/relationships/hyperlink" Target="https://www.justice.gov/usao-sdwv/pr/cedar-grove-man-sentenced-federal-prison-child-pornography-crime" TargetMode="External"/><Relationship Id="rId4116" Type="http://schemas.openxmlformats.org/officeDocument/2006/relationships/hyperlink" Target="https://www.justice.gov/usao-sdoh/pr/two-dayton-men-sentenced-federal-prison-time-possessing-child-pornography" TargetMode="External"/><Relationship Id="rId4115" Type="http://schemas.openxmlformats.org/officeDocument/2006/relationships/hyperlink" Target="https://www.justice.gov/usao-me/pr/gorham-man-pleads-guilty-receiving-and-possessing-child-pornography" TargetMode="External"/><Relationship Id="rId4141" Type="http://schemas.openxmlformats.org/officeDocument/2006/relationships/hyperlink" Target="https://archive.vn/C5tHL" TargetMode="External"/><Relationship Id="rId4140" Type="http://schemas.openxmlformats.org/officeDocument/2006/relationships/hyperlink" Target="https://archive.vn/NOOS3" TargetMode="External"/><Relationship Id="rId4143" Type="http://schemas.openxmlformats.org/officeDocument/2006/relationships/hyperlink" Target="https://www.justice.gov/usao-ndia/pr/hinton-man-federal-prison-child-pornography-conviction" TargetMode="External"/><Relationship Id="rId4142" Type="http://schemas.openxmlformats.org/officeDocument/2006/relationships/hyperlink" Target="https://www.justice.gov/usao-sdia/pr/council-bluffs-man-sentenced-prison-possession-child-pornography" TargetMode="External"/><Relationship Id="rId4145" Type="http://schemas.openxmlformats.org/officeDocument/2006/relationships/hyperlink" Target="https://www.justice.gov/usao-mdfl/pr/federal-jury-convicts-lady-lake-man-possessing-child-pornography" TargetMode="External"/><Relationship Id="rId4144" Type="http://schemas.openxmlformats.org/officeDocument/2006/relationships/hyperlink" Target="https://www.justice.gov/usao-sdtx/pr/foreign-traveler-convicted-bringing-child-pornography" TargetMode="External"/><Relationship Id="rId4147" Type="http://schemas.openxmlformats.org/officeDocument/2006/relationships/hyperlink" Target="https://www.justice.gov/usao-ct/pr/michigan-man-living-philippines-pleads-guilty-child-exploitation-offense" TargetMode="External"/><Relationship Id="rId4146" Type="http://schemas.openxmlformats.org/officeDocument/2006/relationships/hyperlink" Target="https://www.justice.gov/usao-nh/pr/manchester-man-pleads-guilty-child-pornography-crimes" TargetMode="External"/><Relationship Id="rId4149" Type="http://schemas.openxmlformats.org/officeDocument/2006/relationships/hyperlink" Target="https://archive.vn/f5dKo" TargetMode="External"/><Relationship Id="rId4148" Type="http://schemas.openxmlformats.org/officeDocument/2006/relationships/hyperlink" Target="https://www.wavy.com/news/local-news/norfolk/27-year-old-man-accused-of-attempting-to-take-indecent-liberties-with-children/" TargetMode="External"/><Relationship Id="rId4139" Type="http://schemas.openxmlformats.org/officeDocument/2006/relationships/hyperlink" Target="https://www.democratandchronicle.com/story/news/2019/12/09/close-school-of-music-teacher-philip-charged-with-filming-students-in-bathroom-parma-ny/2631354001/" TargetMode="External"/><Relationship Id="rId4130" Type="http://schemas.openxmlformats.org/officeDocument/2006/relationships/hyperlink" Target="https://www.justice.gov/usao-wdla/pr/kaplan-sex-offender-sentenced-7-years-federal-prison-possessing-child-pornography" TargetMode="External"/><Relationship Id="rId4132" Type="http://schemas.openxmlformats.org/officeDocument/2006/relationships/hyperlink" Target="https://www.justice.gov/usao-mdfl/pr/sex-offender-convicted-transporting-child-pornography" TargetMode="External"/><Relationship Id="rId4131" Type="http://schemas.openxmlformats.org/officeDocument/2006/relationships/hyperlink" Target="https://www.justice.gov/usao-mdfl/pr/jacksonville-man-pleads-guilty-distributing-child-sexual-abuse-images-using-social" TargetMode="External"/><Relationship Id="rId4134" Type="http://schemas.openxmlformats.org/officeDocument/2006/relationships/hyperlink" Target="https://www.justice.gov/usao-edca/pr/retired-chp-officer-redding-charged-receipt-child-pornography" TargetMode="External"/><Relationship Id="rId4133" Type="http://schemas.openxmlformats.org/officeDocument/2006/relationships/hyperlink" Target="https://www.justice.gov/usao-mdal/pr/montgomery-man-sentenced-ten-years-prison-possession-child-pornography" TargetMode="External"/><Relationship Id="rId4136" Type="http://schemas.openxmlformats.org/officeDocument/2006/relationships/hyperlink" Target="https://www.nbc12.com/2020/09/28/former-rps-music-teacher-sentenced-producing-child-pornography/" TargetMode="External"/><Relationship Id="rId4135" Type="http://schemas.openxmlformats.org/officeDocument/2006/relationships/hyperlink" Target="https://www.justice.gov/usao-edva/pr/former-music-teacher-sentenced-producing-images-child-sexual-abuse" TargetMode="External"/><Relationship Id="rId4138" Type="http://schemas.openxmlformats.org/officeDocument/2006/relationships/hyperlink" Target="https://archive.vn/uDNvu" TargetMode="External"/><Relationship Id="rId4137" Type="http://schemas.openxmlformats.org/officeDocument/2006/relationships/hyperlink" Target="https://archive.vn/iRNjv" TargetMode="External"/><Relationship Id="rId1972" Type="http://schemas.openxmlformats.org/officeDocument/2006/relationships/hyperlink" Target="https://www.courtlistener.com/docket/7262223/united-states-v-hayes/" TargetMode="External"/><Relationship Id="rId1973" Type="http://schemas.openxmlformats.org/officeDocument/2006/relationships/hyperlink" Target="https://www.justice.gov/usao-wdwi/pr/grand-jury-returns-indictments-charging-child-pornography-tax-drug-gun-and-immigration" TargetMode="External"/><Relationship Id="rId1974" Type="http://schemas.openxmlformats.org/officeDocument/2006/relationships/hyperlink" Target="https://www.fbi.gov/contact-us/field-offices/portland/news/press-releases/the-dalles-man-sentenced-to-seven-years-in-federal-prison-for-transporting-and-possessing-child-pornography" TargetMode="External"/><Relationship Id="rId1975" Type="http://schemas.openxmlformats.org/officeDocument/2006/relationships/hyperlink" Target="https://www.justice.gov/usao-edpa/pr/west-chester-university-student-indicted-child-pornography-charges" TargetMode="External"/><Relationship Id="rId1976" Type="http://schemas.openxmlformats.org/officeDocument/2006/relationships/hyperlink" Target="https://www.courtlistener.com/?q=&amp;type=r&amp;order_by=score+desc&amp;docket_number=2%3A18-cr-00229&amp;court=paed" TargetMode="External"/><Relationship Id="rId1977" Type="http://schemas.openxmlformats.org/officeDocument/2006/relationships/hyperlink" Target="https://www.cbp.gov/newsroom/local-media-release/cbp-stops-human-smuggling-attempt-peace-bridge" TargetMode="External"/><Relationship Id="rId1978" Type="http://schemas.openxmlformats.org/officeDocument/2006/relationships/hyperlink" Target="http://www.kwtx.com/content/news/Deputies-health-department-workers-serve-warrant-at-local-restaurant-484292581.html" TargetMode="External"/><Relationship Id="rId1979" Type="http://schemas.openxmlformats.org/officeDocument/2006/relationships/hyperlink" Target="http://westchester.news12.com/story/38326564/da-sini-amityville-man-arrested-in-massive-child-porn-bust" TargetMode="External"/><Relationship Id="rId1970" Type="http://schemas.openxmlformats.org/officeDocument/2006/relationships/hyperlink" Target="https://www.courtlistener.com/docket/7079870/united-states-v-garcia/" TargetMode="External"/><Relationship Id="rId1971" Type="http://schemas.openxmlformats.org/officeDocument/2006/relationships/hyperlink" Target="https://www.justice.gov/usao-ne/pr/falls-city-man-sentenced-child-pornography-charges" TargetMode="External"/><Relationship Id="rId1961" Type="http://schemas.openxmlformats.org/officeDocument/2006/relationships/hyperlink" Target="https://www.nbcmiami.com/news/local/Police-Man-in-Miami-Dade-Jail-Forced-Teen-Into-Prostitution-484079911.html" TargetMode="External"/><Relationship Id="rId1962" Type="http://schemas.openxmlformats.org/officeDocument/2006/relationships/hyperlink" Target="https://www.palmbeachpost.com/news/breaking-news/port-lucie-man-arrested-for-child-porn-faces-counts/WhyTqHHDO2taKKBYra5F0O/" TargetMode="External"/><Relationship Id="rId1963" Type="http://schemas.openxmlformats.org/officeDocument/2006/relationships/hyperlink" Target="https://www.justice.gov/usao-ri/pr/cranston-man-held-state-kidnapping-domestic-violence-charges-charged-federal-court" TargetMode="External"/><Relationship Id="rId1964" Type="http://schemas.openxmlformats.org/officeDocument/2006/relationships/hyperlink" Target="https://www.justice.gov/usao-ri/pr/east-providence-resident-detained-allegedly-receiving-and-possessing-child-pornography" TargetMode="External"/><Relationship Id="rId1965" Type="http://schemas.openxmlformats.org/officeDocument/2006/relationships/hyperlink" Target="https://www.courtlistener.com/docket/7915683/united-states-v-soares/" TargetMode="External"/><Relationship Id="rId1966" Type="http://schemas.openxmlformats.org/officeDocument/2006/relationships/hyperlink" Target="https://www.pleasantonweekly.com/news/2018/06/01/pleasanton-police-arrest-11-in-prostitution-sting" TargetMode="External"/><Relationship Id="rId1967" Type="http://schemas.openxmlformats.org/officeDocument/2006/relationships/hyperlink" Target="https://www.justice.gov/usao-edmo/pr/bridgeton-man-pleads-guilty-possession-child-pornography-charges" TargetMode="External"/><Relationship Id="rId1968" Type="http://schemas.openxmlformats.org/officeDocument/2006/relationships/hyperlink" Target="https://www.courtlistener.com/docket/6613245/united-states-v-gregory/" TargetMode="External"/><Relationship Id="rId1969" Type="http://schemas.openxmlformats.org/officeDocument/2006/relationships/hyperlink" Target="https://www.justice.gov/usao-mdfl/pr/fort-myers-man-sentenced-six-years-distributing-child-pornography" TargetMode="External"/><Relationship Id="rId1960" Type="http://schemas.openxmlformats.org/officeDocument/2006/relationships/hyperlink" Target="https://www.courtlistener.com/?q=&amp;type=r&amp;order_by=score+desc&amp;docket_number=4%3A18-cr-00165&amp;court=mowd" TargetMode="External"/><Relationship Id="rId1994" Type="http://schemas.openxmlformats.org/officeDocument/2006/relationships/hyperlink" Target="https://www.courtlistener.com/?q=&amp;type=r&amp;order_by=score+desc&amp;docket_number=5%3A18-cr-00335&amp;court=ohnd" TargetMode="External"/><Relationship Id="rId1995" Type="http://schemas.openxmlformats.org/officeDocument/2006/relationships/hyperlink" Target="https://www.nbcsandiego.com/news/local/Boyfriend-Arrested-Accused-of-Selling-Underage-Girlfriend-for-Sex-487298311.html" TargetMode="External"/><Relationship Id="rId1996" Type="http://schemas.openxmlformats.org/officeDocument/2006/relationships/hyperlink" Target="https://www.justice.gov/usao-wdmo/pr/kentucky-truck-driver-prior-sex-offender-indicted-child-pornography" TargetMode="External"/><Relationship Id="rId1997" Type="http://schemas.openxmlformats.org/officeDocument/2006/relationships/hyperlink" Target="https://www.courtlistener.com/?q=&amp;type=r&amp;order_by=score+desc&amp;docket_number=6%3A18-mj-02036&amp;court=mowd" TargetMode="External"/><Relationship Id="rId1998" Type="http://schemas.openxmlformats.org/officeDocument/2006/relationships/hyperlink" Target="http://www.phayul.com/news/tools/print.aspx?id=39275" TargetMode="External"/><Relationship Id="rId1999" Type="http://schemas.openxmlformats.org/officeDocument/2006/relationships/hyperlink" Target="https://www.elpasotimes.com/story/news/immigration/2018/07/14/undocumented-immigrants-human-smugglers-arrested-el-paso-area-raids-ice-stash-houses/784191002/" TargetMode="External"/><Relationship Id="rId1990" Type="http://schemas.openxmlformats.org/officeDocument/2006/relationships/hyperlink" Target="https://www.courtlistener.com/docket/7304693/united-states-v-mcknight/" TargetMode="External"/><Relationship Id="rId1991" Type="http://schemas.openxmlformats.org/officeDocument/2006/relationships/hyperlink" Target="https://www.justice.gov/usao-ndoh/pr/six-men-indicted-crimes-related-child-pornography-or-child-exploitation" TargetMode="External"/><Relationship Id="rId1992" Type="http://schemas.openxmlformats.org/officeDocument/2006/relationships/hyperlink" Target="https://www.courtlistener.com/docket/7304972/united-states-v-bernhardt/" TargetMode="External"/><Relationship Id="rId1993" Type="http://schemas.openxmlformats.org/officeDocument/2006/relationships/hyperlink" Target="https://www.justice.gov/usao-ndoh/pr/six-men-indicted-crimes-related-child-pornography-or-child-exploitation" TargetMode="External"/><Relationship Id="rId1983" Type="http://schemas.openxmlformats.org/officeDocument/2006/relationships/hyperlink" Target="https://www.wcax.com/content/news/496586771.html" TargetMode="External"/><Relationship Id="rId1984" Type="http://schemas.openxmlformats.org/officeDocument/2006/relationships/hyperlink" Target="https://www.courtlistener.com/docket/6739844/united-states-v-gutierrez/" TargetMode="External"/><Relationship Id="rId1985" Type="http://schemas.openxmlformats.org/officeDocument/2006/relationships/hyperlink" Target="https://www.justice.gov/usao-ndoh/pr/six-men-indicted-crimes-related-child-pornography-or-child-exploitation" TargetMode="External"/><Relationship Id="rId1986" Type="http://schemas.openxmlformats.org/officeDocument/2006/relationships/hyperlink" Target="https://www.courtlistener.com/?q=&amp;type=r&amp;order_by=score+desc&amp;docket_number=5%3A18-cr-00336&amp;court=ohnd" TargetMode="External"/><Relationship Id="rId1987" Type="http://schemas.openxmlformats.org/officeDocument/2006/relationships/hyperlink" Target="https://www.justice.gov/usao-ndoh/pr/six-men-indicted-crimes-related-child-pornography-or-child-exploitation" TargetMode="External"/><Relationship Id="rId1988" Type="http://schemas.openxmlformats.org/officeDocument/2006/relationships/hyperlink" Target="https://www.courtlistener.com/docket/7299477/united-states-v-snyder/" TargetMode="External"/><Relationship Id="rId1989" Type="http://schemas.openxmlformats.org/officeDocument/2006/relationships/hyperlink" Target="https://www.justice.gov/usao-ndoh/pr/six-men-indicted-crimes-related-child-pornography-or-child-exploitation" TargetMode="External"/><Relationship Id="rId1980" Type="http://schemas.openxmlformats.org/officeDocument/2006/relationships/hyperlink" Target="https://www.justice.gov/usao-wdnc/pr/retired-air-force-lieutenant-colonel-sentenced-15-years-child-pornography-charges" TargetMode="External"/><Relationship Id="rId1981" Type="http://schemas.openxmlformats.org/officeDocument/2006/relationships/hyperlink" Target="https://www.courtlistener.com/docket/7059614/united-states-v-knoke/" TargetMode="External"/><Relationship Id="rId1982" Type="http://schemas.openxmlformats.org/officeDocument/2006/relationships/hyperlink" Target="https://www.justice.gov/usao-nh/pr/california-resident-sentenced-25-years-producing-child-pornography" TargetMode="External"/><Relationship Id="rId1930" Type="http://schemas.openxmlformats.org/officeDocument/2006/relationships/hyperlink" Target="http://abc6onyourside.com/news/nation-world/88-undocumented-immigrants-found-inside-tractor-trailer-in-texas-05-24-2018" TargetMode="External"/><Relationship Id="rId1931" Type="http://schemas.openxmlformats.org/officeDocument/2006/relationships/hyperlink" Target="https://www.justice.gov/usao-ednc/pr/wilmington-man-sentenced-10-years-imprisonment-after-police-seize-his-cache-child" TargetMode="External"/><Relationship Id="rId1932" Type="http://schemas.openxmlformats.org/officeDocument/2006/relationships/hyperlink" Target="https://www.courtlistener.com/docket/6870130/united-states-v-sanchez/" TargetMode="External"/><Relationship Id="rId1933" Type="http://schemas.openxmlformats.org/officeDocument/2006/relationships/hyperlink" Target="https://www.courtlistener.com/?q=&amp;type=r&amp;order_by=score+desc&amp;docket_number=8%3A18-cr-00219&amp;court=nynd" TargetMode="External"/><Relationship Id="rId1934" Type="http://schemas.openxmlformats.org/officeDocument/2006/relationships/hyperlink" Target="https://www.justice.gov/usao-ndok/pr/tulsa-man-admits-creating-sexually-violent-images-children-using-photographs-downloaded" TargetMode="External"/><Relationship Id="rId1935" Type="http://schemas.openxmlformats.org/officeDocument/2006/relationships/hyperlink" Target="https://www.tulsaworld.com/news/crimewatch/tulsa-man-arrested-on-child-pornography-complaints/article_2dcd0323-ccfe-581b-824f-9f9f6b84a3c5.html" TargetMode="External"/><Relationship Id="rId1936" Type="http://schemas.openxmlformats.org/officeDocument/2006/relationships/hyperlink" Target="https://www.courtlistener.com/docket/7672863/united-states-v-berry/" TargetMode="External"/><Relationship Id="rId1937" Type="http://schemas.openxmlformats.org/officeDocument/2006/relationships/hyperlink" Target="https://www.abc10.com/article/news/local/12-arrested-in-sacramento-county-human-trafficking-sting/103-558031339" TargetMode="External"/><Relationship Id="rId1938" Type="http://schemas.openxmlformats.org/officeDocument/2006/relationships/hyperlink" Target="http://www.knssradio.com/articles/another-sting-operation-s-broadway-wichita" TargetMode="External"/><Relationship Id="rId1939" Type="http://schemas.openxmlformats.org/officeDocument/2006/relationships/hyperlink" Target="https://www.ice.gov/news/releases/39-illegal-aliens-discovered-south-texas-human-smuggler-stash-house" TargetMode="External"/><Relationship Id="rId1920" Type="http://schemas.openxmlformats.org/officeDocument/2006/relationships/hyperlink" Target="https://www.cbp.gov/newsroom/local-media-release/i-19-immigration-checkpoint-agents-arrest-3-women-human-smuggling" TargetMode="External"/><Relationship Id="rId1921" Type="http://schemas.openxmlformats.org/officeDocument/2006/relationships/hyperlink" Target="http://www.wafb.com/story/38237811/baton-rouge-man-accused-of-rape-human-trafficking-of-teenager-with-mental-disability" TargetMode="External"/><Relationship Id="rId1922" Type="http://schemas.openxmlformats.org/officeDocument/2006/relationships/hyperlink" Target="http://www.breitbart.com/texas/2018/05/23/three-cuban-nationals-accused-of-human-smuggling-in-south-texas/" TargetMode="External"/><Relationship Id="rId1923" Type="http://schemas.openxmlformats.org/officeDocument/2006/relationships/hyperlink" Target="https://www.justice.gov/usao-ndny/pr/florida-truck-driver-pleads-guilty-child-pornography-charges" TargetMode="External"/><Relationship Id="rId1924" Type="http://schemas.openxmlformats.org/officeDocument/2006/relationships/hyperlink" Target="https://www.courtlistener.com/docket/6829212/united-states-v-braden/" TargetMode="External"/><Relationship Id="rId1925" Type="http://schemas.openxmlformats.org/officeDocument/2006/relationships/hyperlink" Target="https://www.justice.gov/usao-sdia/pr/pottawattamie-county-man-sentenced-receipt-child-pornography" TargetMode="External"/><Relationship Id="rId1926" Type="http://schemas.openxmlformats.org/officeDocument/2006/relationships/hyperlink" Target="https://www.courtlistener.com/docket/14887065/united-states-v-martinez/" TargetMode="External"/><Relationship Id="rId1927" Type="http://schemas.openxmlformats.org/officeDocument/2006/relationships/hyperlink" Target="https://www.navytimes.com/news/your-navy/2018/05/21/sailor-wife-accused-of-running-prostitution-ring-out-of-oklahoma-massage-parlor/" TargetMode="External"/><Relationship Id="rId1928" Type="http://schemas.openxmlformats.org/officeDocument/2006/relationships/hyperlink" Target="http://www.newswest9.com/story/38329905/mpd-conducts-undercover-operation-dozens-arrested-for-prostitution" TargetMode="External"/><Relationship Id="rId1929" Type="http://schemas.openxmlformats.org/officeDocument/2006/relationships/hyperlink" Target="https://patch.com/texas/round-rock/3-round-rock-residents-charged-promoting-prostitution" TargetMode="External"/><Relationship Id="rId4190" Type="http://schemas.openxmlformats.org/officeDocument/2006/relationships/hyperlink" Target="https://wgxa.tv/news/local/court-repeat-sex-offender-houston-county-uploaded-child-pornography-to-messaging-app-kik" TargetMode="External"/><Relationship Id="rId4192" Type="http://schemas.openxmlformats.org/officeDocument/2006/relationships/hyperlink" Target="https://archive.vn/LKwhR" TargetMode="External"/><Relationship Id="rId4191" Type="http://schemas.openxmlformats.org/officeDocument/2006/relationships/hyperlink" Target="https://archive.vn/XwwtQ" TargetMode="External"/><Relationship Id="rId4194" Type="http://schemas.openxmlformats.org/officeDocument/2006/relationships/hyperlink" Target="https://www.justice.gov/usao-ndia/pr/storm-lake-man-federal-prison-child-pornography-conviction" TargetMode="External"/><Relationship Id="rId4193" Type="http://schemas.openxmlformats.org/officeDocument/2006/relationships/hyperlink" Target="https://www.justice.gov/usao-ndtx/pr/fort-worth-man-sentenced-30-years-sexual-exploitation-infant" TargetMode="External"/><Relationship Id="rId4196" Type="http://schemas.openxmlformats.org/officeDocument/2006/relationships/hyperlink" Target="https://archive.vn/wip/6ujvd" TargetMode="External"/><Relationship Id="rId4195" Type="http://schemas.openxmlformats.org/officeDocument/2006/relationships/hyperlink" Target="https://kwwl.com/2020/12/10/storm-lake-man-sentenced-to-federal-prison-for-child-pornography-conviction/" TargetMode="External"/><Relationship Id="rId4198" Type="http://schemas.openxmlformats.org/officeDocument/2006/relationships/hyperlink" Target="https://www.justice.gov/usao-ndny/pr/ulster-county-man-sentenced-100-months-distributing-child-pornography" TargetMode="External"/><Relationship Id="rId4197" Type="http://schemas.openxmlformats.org/officeDocument/2006/relationships/hyperlink" Target="https://archive.vn/7wYvU" TargetMode="External"/><Relationship Id="rId4199" Type="http://schemas.openxmlformats.org/officeDocument/2006/relationships/hyperlink" Target="https://www.justice.gov/usao-ks/pr/salina-man-pleads-guilty-distributing-child-porn" TargetMode="External"/><Relationship Id="rId1950" Type="http://schemas.openxmlformats.org/officeDocument/2006/relationships/hyperlink" Target="https://www.wftv.com/news/local/daytona-beach-prostitution-sting-nets-17-arrests-over-holiday-weekend/757800288" TargetMode="External"/><Relationship Id="rId1951" Type="http://schemas.openxmlformats.org/officeDocument/2006/relationships/hyperlink" Target="https://www.palmbeachpost.com/news/crime--law/three-arrested-human-trafficking-prostitution-charges-west-palm/eZ0S2hqGl0Dbmz6OjgoIFI/" TargetMode="External"/><Relationship Id="rId1952" Type="http://schemas.openxmlformats.org/officeDocument/2006/relationships/hyperlink" Target="http://www.ksfy.com/content/news/Two-from-Indiana-arrested-in-Sioux-Falls-for-promoting-prostitution-484002331.html" TargetMode="External"/><Relationship Id="rId1953" Type="http://schemas.openxmlformats.org/officeDocument/2006/relationships/hyperlink" Target="https://www.stl.news/ohio-news-daytontravis-e-walkerlocal-man-charged-producing-child-pornography/129410/" TargetMode="External"/><Relationship Id="rId1954" Type="http://schemas.openxmlformats.org/officeDocument/2006/relationships/hyperlink" Target="https://www.courtlistener.com/docket/6915923/united-states-v-walker/" TargetMode="External"/><Relationship Id="rId1955" Type="http://schemas.openxmlformats.org/officeDocument/2006/relationships/hyperlink" Target="https://www.cbp.gov/newsroom/local-media-release/tractor-trailer-smuggling-attempts-continue-rio-grande-valley" TargetMode="External"/><Relationship Id="rId1956" Type="http://schemas.openxmlformats.org/officeDocument/2006/relationships/hyperlink" Target="https://www.sbsun.com/2018/05/31/big-bear-city-man-suspected-of-pandering-minor-for-prostitution-pleads-not-guilty-to-charges/" TargetMode="External"/><Relationship Id="rId1957" Type="http://schemas.openxmlformats.org/officeDocument/2006/relationships/hyperlink" Target="https://www.justice.gov/usao-nj/pr/monmouth-county-man-charged-production-child-pornography" TargetMode="External"/><Relationship Id="rId1958" Type="http://schemas.openxmlformats.org/officeDocument/2006/relationships/hyperlink" Target="https://www.courtlistener.com/docket/7412242/united-states-v-curato/" TargetMode="External"/><Relationship Id="rId1959" Type="http://schemas.openxmlformats.org/officeDocument/2006/relationships/hyperlink" Target="https://www.justice.gov/usao-wdmo/pr/former-university-professor-sentenced-traveling-missouri-sex-minor" TargetMode="External"/><Relationship Id="rId1940" Type="http://schemas.openxmlformats.org/officeDocument/2006/relationships/hyperlink" Target="https://www.tristatehomepage.com/news/local-news/ohio-co-mom-indicted-for-human-trafficking-sexual-abuse-charges/1354901293" TargetMode="External"/><Relationship Id="rId1941" Type="http://schemas.openxmlformats.org/officeDocument/2006/relationships/hyperlink" Target="https://www.stl.news/pennsylvania-human-traffickers-lured-victim-forced-prostitution-now-face-federal-charges/127543/" TargetMode="External"/><Relationship Id="rId1942" Type="http://schemas.openxmlformats.org/officeDocument/2006/relationships/hyperlink" Target="https://www.justice.gov/usao-edpa/pr/two-charged-sex-trafficking-force-one-defendant-remains-large" TargetMode="External"/><Relationship Id="rId1943" Type="http://schemas.openxmlformats.org/officeDocument/2006/relationships/hyperlink" Target="https://www.courtlistener.com/?q=&amp;type=r&amp;order_by=score+desc&amp;docket_number=2%3A18-mj-00685&amp;court=paed" TargetMode="External"/><Relationship Id="rId1944" Type="http://schemas.openxmlformats.org/officeDocument/2006/relationships/hyperlink" Target="http://ktla.com/2018/05/29/san-bernardino-man-sentenced-to-10-years-for-sex-trafficking-of-19-year-old/" TargetMode="External"/><Relationship Id="rId1945" Type="http://schemas.openxmlformats.org/officeDocument/2006/relationships/hyperlink" Target="https://www.justice.gov/usao-mdfl/pr/tampa-man-sentenced-30-years-producing-child-pornography-7-year-old-boy" TargetMode="External"/><Relationship Id="rId1946" Type="http://schemas.openxmlformats.org/officeDocument/2006/relationships/hyperlink" Target="https://www.justice.gov/usao-edca/pr/yuba-city-man-charged-receipt-child-pornography" TargetMode="External"/><Relationship Id="rId1947" Type="http://schemas.openxmlformats.org/officeDocument/2006/relationships/hyperlink" Target="https://www.courtlistener.com/docket/6929198/united-states-v-howard/" TargetMode="External"/><Relationship Id="rId1948" Type="http://schemas.openxmlformats.org/officeDocument/2006/relationships/hyperlink" Target="https://www.justice.gov/usao-sdfl/pr/32-year-old-north-carolina-resident-pleads-guilty-sex-trafficking-minor" TargetMode="External"/><Relationship Id="rId1949" Type="http://schemas.openxmlformats.org/officeDocument/2006/relationships/hyperlink" Target="https://www.thenorthwestern.com/story/news/crime/2018/05/25/human-trafficking-oshkosh-police-arrest-man-26-irving-avenue/645196002/" TargetMode="External"/><Relationship Id="rId2423" Type="http://schemas.openxmlformats.org/officeDocument/2006/relationships/hyperlink" Target="https://www.justice.gov/usao-ndoh/pr/two-men-indicted-child-pornography-offenses" TargetMode="External"/><Relationship Id="rId3755" Type="http://schemas.openxmlformats.org/officeDocument/2006/relationships/hyperlink" Target="https://www.justice.gov/usao-edtx/pr/wylie-texas-man-sentenced-after-admitting-distributing-child-pornography-and-0" TargetMode="External"/><Relationship Id="rId2424" Type="http://schemas.openxmlformats.org/officeDocument/2006/relationships/hyperlink" Target="https://www.courtlistener.com/docket/7627274/united-states-v-crawford/" TargetMode="External"/><Relationship Id="rId3754" Type="http://schemas.openxmlformats.org/officeDocument/2006/relationships/hyperlink" Target="https://www.justice.gov/usao-wdmo/pr/springfield-man-sentenced-12-years-child-pornography-0" TargetMode="External"/><Relationship Id="rId2425" Type="http://schemas.openxmlformats.org/officeDocument/2006/relationships/hyperlink" Target="https://www.justice.gov/usao-sd/pr/sex-trafficking-operation-results-arrests-1" TargetMode="External"/><Relationship Id="rId3757" Type="http://schemas.openxmlformats.org/officeDocument/2006/relationships/hyperlink" Target="https://www.courtlistener.com/?q=&amp;type=r&amp;order_by=score+desc&amp;docket_number=1%3A19-cr-00282&amp;court=ohnd" TargetMode="External"/><Relationship Id="rId2426" Type="http://schemas.openxmlformats.org/officeDocument/2006/relationships/hyperlink" Target="https://www.courtlistener.com/docket/7709770/united-states-v-bungert/" TargetMode="External"/><Relationship Id="rId3756" Type="http://schemas.openxmlformats.org/officeDocument/2006/relationships/hyperlink" Target="https://www.justice.gov/usao-ndoh/pr/men-mansfield-and-perry-indicted-child-pornography-charges" TargetMode="External"/><Relationship Id="rId2427" Type="http://schemas.openxmlformats.org/officeDocument/2006/relationships/hyperlink" Target="https://www.courtlistener.com/docket/7709766/united-states-v-mung/" TargetMode="External"/><Relationship Id="rId3759" Type="http://schemas.openxmlformats.org/officeDocument/2006/relationships/hyperlink" Target="https://www.justice.gov/usao-ne/pr/omaha-man-sentenced-90-months-distributing-child-pornography" TargetMode="External"/><Relationship Id="rId2428" Type="http://schemas.openxmlformats.org/officeDocument/2006/relationships/hyperlink" Target="https://www.justice.gov/usao-sd/pr/sex-trafficking-operation-results-arrests-1" TargetMode="External"/><Relationship Id="rId3758" Type="http://schemas.openxmlformats.org/officeDocument/2006/relationships/hyperlink" Target="https://www.justice.gov/usao-ndin/pr/north-judson-indiana-man-sentenced-14-years-prison" TargetMode="External"/><Relationship Id="rId2429" Type="http://schemas.openxmlformats.org/officeDocument/2006/relationships/hyperlink" Target="https://www.courtlistener.com/docket/7710383/united-states-v-stertz/" TargetMode="External"/><Relationship Id="rId509" Type="http://schemas.openxmlformats.org/officeDocument/2006/relationships/hyperlink" Target="https://www.justice.gov/usao-ri/pr/westerly-resident-sentenced-87-months-prison-child-pornography-charges" TargetMode="External"/><Relationship Id="rId508" Type="http://schemas.openxmlformats.org/officeDocument/2006/relationships/hyperlink" Target="https://www.justice.gov/usao-ri/pr/westerly-resident-admits-child-pornography-charges-0" TargetMode="External"/><Relationship Id="rId503" Type="http://schemas.openxmlformats.org/officeDocument/2006/relationships/hyperlink" Target="https://www.justice.gov/usao-dc/pr/district-man-sentenced-37-months-prison-possession-child-pornography" TargetMode="External"/><Relationship Id="rId502" Type="http://schemas.openxmlformats.org/officeDocument/2006/relationships/hyperlink" Target="https://www.justice.gov/usao-cdil/pr/indiana-man-sentenced-66-years-prison-child-sexual-exploitation-travel-illinois-engage" TargetMode="External"/><Relationship Id="rId501" Type="http://schemas.openxmlformats.org/officeDocument/2006/relationships/hyperlink" Target="https://www.justice.gov/usao-wdtx/pr/former-us-air-force-staff-sergeant-sentenced-40-years-federal-prison-receipt-and" TargetMode="External"/><Relationship Id="rId500" Type="http://schemas.openxmlformats.org/officeDocument/2006/relationships/hyperlink" Target="http://archive.fo/cE4EH" TargetMode="External"/><Relationship Id="rId507" Type="http://schemas.openxmlformats.org/officeDocument/2006/relationships/hyperlink" Target="https://www.justice.gov/usao-wdpa/pr/altoona-man-sentenced-6-years-prison-distribution-child-pornography" TargetMode="External"/><Relationship Id="rId506" Type="http://schemas.openxmlformats.org/officeDocument/2006/relationships/hyperlink" Target="https://www.justice.gov/usao-wdpa/pr/altoona-man-facing-child-pornography-distribution-and-possession-charges" TargetMode="External"/><Relationship Id="rId505" Type="http://schemas.openxmlformats.org/officeDocument/2006/relationships/hyperlink" Target="https://www.justice.gov/usao-cdil/pr/champaign-man-sentenced-eight-years-prison-distribution-possession-child-pornography" TargetMode="External"/><Relationship Id="rId504" Type="http://schemas.openxmlformats.org/officeDocument/2006/relationships/hyperlink" Target="https://www.courtlistener.com/?q=&amp;type=r&amp;order_by=score+desc&amp;docket_number=1%3A18-cr-00104&amp;court=dcd" TargetMode="External"/><Relationship Id="rId3751" Type="http://schemas.openxmlformats.org/officeDocument/2006/relationships/hyperlink" Target="https://www.wzzm13.com/article/news/crime/former-teacher-sentenced-child-exploitation/69-505c6306-19fa-4ca5-a4fb-8e631afbdfcd" TargetMode="External"/><Relationship Id="rId2420" Type="http://schemas.openxmlformats.org/officeDocument/2006/relationships/hyperlink" Target="https://www.courtlistener.com/docket/14657791/united-states-v-sall/" TargetMode="External"/><Relationship Id="rId3750" Type="http://schemas.openxmlformats.org/officeDocument/2006/relationships/hyperlink" Target="https://www.justice.gov/usao-wdmi/pr/2020_1020_Russell" TargetMode="External"/><Relationship Id="rId2421" Type="http://schemas.openxmlformats.org/officeDocument/2006/relationships/hyperlink" Target="https://www.justice.gov/usao-ndoh/pr/two-men-indicted-child-pornography-offenses" TargetMode="External"/><Relationship Id="rId3753" Type="http://schemas.openxmlformats.org/officeDocument/2006/relationships/hyperlink" Target="https://archive.vn/c8S6F" TargetMode="External"/><Relationship Id="rId2422" Type="http://schemas.openxmlformats.org/officeDocument/2006/relationships/hyperlink" Target="https://www.courtlistener.com/?q=&amp;type=r&amp;order_by=score+desc&amp;docket_number=3%3A18-cr-00438&amp;court=ohnd" TargetMode="External"/><Relationship Id="rId3752" Type="http://schemas.openxmlformats.org/officeDocument/2006/relationships/hyperlink" Target="https://archive.vn/aTjOy" TargetMode="External"/><Relationship Id="rId2412" Type="http://schemas.openxmlformats.org/officeDocument/2006/relationships/hyperlink" Target="https://www.fbi.gov/contact-us/field-offices/sanjuan/news/press-releases/federal-charges-for-attempted-sexual-trafficking-of-children" TargetMode="External"/><Relationship Id="rId3744" Type="http://schemas.openxmlformats.org/officeDocument/2006/relationships/hyperlink" Target="https://www.ice.gov/news/releases/georgia-business-owner-illegal-alien-charged-exploiting-illegal-workers" TargetMode="External"/><Relationship Id="rId2413" Type="http://schemas.openxmlformats.org/officeDocument/2006/relationships/hyperlink" Target="https://bklyner.com/sex-trafficking-indictment/" TargetMode="External"/><Relationship Id="rId3743" Type="http://schemas.openxmlformats.org/officeDocument/2006/relationships/hyperlink" Target="https://www.justice.gov/usao-ks/pr/montgomery-county-man-pleads-guilty-sexually-exploiting-minors" TargetMode="External"/><Relationship Id="rId2414" Type="http://schemas.openxmlformats.org/officeDocument/2006/relationships/hyperlink" Target="https://www.justice.gov/usao-ndia/pr/cedar-rapids-man-charged-sexual-exploitation-child-possession-child-pornography-and" TargetMode="External"/><Relationship Id="rId3746" Type="http://schemas.openxmlformats.org/officeDocument/2006/relationships/hyperlink" Target="https://www.khq.com/news/court-docs-former-ferris-football-coach-accused-of-having-sex-with-second-underage-girl/article_468e9a6e-0fc3-11e9-8383-6f7c840e2bf3.html" TargetMode="External"/><Relationship Id="rId2415" Type="http://schemas.openxmlformats.org/officeDocument/2006/relationships/hyperlink" Target="https://www.thegazette.com/subject/news/public-safety/cedar-rapids-man-to-stay-in-jail-on-sexual-exploitation-child-porn-charges-20180801" TargetMode="External"/><Relationship Id="rId3745" Type="http://schemas.openxmlformats.org/officeDocument/2006/relationships/hyperlink" Target="https://www.justice.gov/usao-edwa/pr/high-school-football-coach-sentenced-270-months-federal-prison-sexual-exploitation-14" TargetMode="External"/><Relationship Id="rId2416" Type="http://schemas.openxmlformats.org/officeDocument/2006/relationships/hyperlink" Target="http://www.journalreview.com/news/article_ee379b3c-968b-11e8-970a-1b2cfea3f4be.html" TargetMode="External"/><Relationship Id="rId3748" Type="http://schemas.openxmlformats.org/officeDocument/2006/relationships/hyperlink" Target="https://archive.vn/wip/5Fx6o" TargetMode="External"/><Relationship Id="rId2417" Type="http://schemas.openxmlformats.org/officeDocument/2006/relationships/hyperlink" Target="https://bangordailynews.com/2018/08/03/news/york/biddeford-man-woman-accused-of-sex-trafficking/" TargetMode="External"/><Relationship Id="rId3747" Type="http://schemas.openxmlformats.org/officeDocument/2006/relationships/hyperlink" Target="https://archive.vn/wip/WhAZ9" TargetMode="External"/><Relationship Id="rId2418" Type="http://schemas.openxmlformats.org/officeDocument/2006/relationships/hyperlink" Target="https://www.justice.gov/usao-sdfl/pr/miami-beach-resident-sentenced-20-years-prison-attempting-entice-minor-engage-sexual" TargetMode="External"/><Relationship Id="rId2419" Type="http://schemas.openxmlformats.org/officeDocument/2006/relationships/hyperlink" Target="https://www.miamiherald.com/news/local/crime/article226719489.html" TargetMode="External"/><Relationship Id="rId3749" Type="http://schemas.openxmlformats.org/officeDocument/2006/relationships/hyperlink" Target="https://www.justice.gov/usao-edwa/pr/moses-lake-man-sentenced-20-years-federal-prison-child-pornography-charges" TargetMode="External"/><Relationship Id="rId3740" Type="http://schemas.openxmlformats.org/officeDocument/2006/relationships/hyperlink" Target="https://www.justice.gov/usao-ndok/pr/four-defendants-headed-prison-project-safe-childhood-cases" TargetMode="External"/><Relationship Id="rId2410" Type="http://schemas.openxmlformats.org/officeDocument/2006/relationships/hyperlink" Target="https://www.ketv.com/article/federal-indictments-in-ice-raid-reveals-dollar8-million-money-laundering-scheme/22691654" TargetMode="External"/><Relationship Id="rId3742" Type="http://schemas.openxmlformats.org/officeDocument/2006/relationships/hyperlink" Target="https://www.courtlistener.com/docket/15068982/united-states-v-potts/" TargetMode="External"/><Relationship Id="rId2411" Type="http://schemas.openxmlformats.org/officeDocument/2006/relationships/hyperlink" Target="https://www.ice.gov/news/releases/massachusetts-man-sentenced-5-years-federal-prison-distributing-child-pornography" TargetMode="External"/><Relationship Id="rId3741" Type="http://schemas.openxmlformats.org/officeDocument/2006/relationships/hyperlink" Target="https://www.justice.gov/usao-wdmo/pr/joplin-man-indicted-producing-child-pornography-0" TargetMode="External"/><Relationship Id="rId1114" Type="http://schemas.openxmlformats.org/officeDocument/2006/relationships/hyperlink" Target="https://www.justice.gov/usao-wdmo/pr/eldon-man-indicted-child-sexual-exploitation" TargetMode="External"/><Relationship Id="rId2445" Type="http://schemas.openxmlformats.org/officeDocument/2006/relationships/hyperlink" Target="https://www.justice.gov/usao-wdny/pr/man-arrested-peace-bridge-child-pornography-charges" TargetMode="External"/><Relationship Id="rId3777" Type="http://schemas.openxmlformats.org/officeDocument/2006/relationships/hyperlink" Target="https://www.justice.gov/usao-wdmo/pr/kc-resident-sentenced-20-years-child-pornography" TargetMode="External"/><Relationship Id="rId1115" Type="http://schemas.openxmlformats.org/officeDocument/2006/relationships/hyperlink" Target="https://www.justice.gov/usao-wdmo/pr/eldon-man-pleads-guilty-child-sexual-exploitation" TargetMode="External"/><Relationship Id="rId2446" Type="http://schemas.openxmlformats.org/officeDocument/2006/relationships/hyperlink" Target="https://www.courtlistener.com/docket/7873521/united-states-v-hosler-robert/" TargetMode="External"/><Relationship Id="rId3776" Type="http://schemas.openxmlformats.org/officeDocument/2006/relationships/hyperlink" Target="https://www.justice.gov/usao-co/pr/former-police-officer-sentenced-10-years-federal-prison-possession-child-pornography" TargetMode="External"/><Relationship Id="rId1116" Type="http://schemas.openxmlformats.org/officeDocument/2006/relationships/hyperlink" Target="https://www.justice.gov/usao-sdil/pr/former-ofallon-illinois-resident-indicted-receipt-child-pornography" TargetMode="External"/><Relationship Id="rId2447" Type="http://schemas.openxmlformats.org/officeDocument/2006/relationships/hyperlink" Target="https://thegoldwater.com/news/37361-Texas-Law-Agencies-Take-Down-12-Pedophiles-in-Child-Porn-Ring-via-Operation-Zeus" TargetMode="External"/><Relationship Id="rId3779" Type="http://schemas.openxmlformats.org/officeDocument/2006/relationships/hyperlink" Target="https://www.justice.gov/usao-mdtn/pr/long-haul-trucker-indicted-kidnapping-and-child-pornography-crimes" TargetMode="External"/><Relationship Id="rId1117" Type="http://schemas.openxmlformats.org/officeDocument/2006/relationships/hyperlink" Target="https://www.justice.gov/usao-sdil/pr/former-ofallon-resident-pleads-guilty-receiving-child-pornography" TargetMode="External"/><Relationship Id="rId2448" Type="http://schemas.openxmlformats.org/officeDocument/2006/relationships/hyperlink" Target="https://www.chron.com/news/houston-texas/houston/article/Houston-police-arrest-54-suspects-on-prostitution-13253442.php" TargetMode="External"/><Relationship Id="rId3778" Type="http://schemas.openxmlformats.org/officeDocument/2006/relationships/hyperlink" Target="https://www.justice.gov/usao-mn/pr/st-paul-man-sentenced-10-years-prison-child-pornography" TargetMode="External"/><Relationship Id="rId1118" Type="http://schemas.openxmlformats.org/officeDocument/2006/relationships/hyperlink" Target="https://www.courtlistener.com/docket/8091644/united-states-v-buse/" TargetMode="External"/><Relationship Id="rId2449" Type="http://schemas.openxmlformats.org/officeDocument/2006/relationships/hyperlink" Target="https://www.justice.gov/usao-edwi/pr/hortonville-man-receives-15-year-sentence-sexual-exploitation-minors" TargetMode="External"/><Relationship Id="rId1119" Type="http://schemas.openxmlformats.org/officeDocument/2006/relationships/hyperlink" Target="https://www.justice.gov/usao-sd/pr/pierre-man-charged-receipt-distribution-and-possession-child-pornography" TargetMode="External"/><Relationship Id="rId525" Type="http://schemas.openxmlformats.org/officeDocument/2006/relationships/hyperlink" Target="http://archive.fo/3zAXr" TargetMode="External"/><Relationship Id="rId524" Type="http://schemas.openxmlformats.org/officeDocument/2006/relationships/hyperlink" Target="https://www.justice.gov/usao-sdtx/pr/sweeny-man-convicted-sex-trafficking-minors" TargetMode="External"/><Relationship Id="rId523" Type="http://schemas.openxmlformats.org/officeDocument/2006/relationships/hyperlink" Target="http://archive.fo/3zAXr" TargetMode="External"/><Relationship Id="rId522" Type="http://schemas.openxmlformats.org/officeDocument/2006/relationships/hyperlink" Target="https://www.justice.gov/usao-sdtx/pr/sweeny-man-convicted-sex-trafficking-minors" TargetMode="External"/><Relationship Id="rId529" Type="http://schemas.openxmlformats.org/officeDocument/2006/relationships/hyperlink" Target="http://archive.fo/3zAXr" TargetMode="External"/><Relationship Id="rId528" Type="http://schemas.openxmlformats.org/officeDocument/2006/relationships/hyperlink" Target="https://www.justice.gov/usao-sdtx/pr/sweeny-man-convicted-sex-trafficking-minors" TargetMode="External"/><Relationship Id="rId527" Type="http://schemas.openxmlformats.org/officeDocument/2006/relationships/hyperlink" Target="http://archive.fo/3zAXr" TargetMode="External"/><Relationship Id="rId526" Type="http://schemas.openxmlformats.org/officeDocument/2006/relationships/hyperlink" Target="https://www.justice.gov/usao-sdtx/pr/sweeny-man-convicted-sex-trafficking-minors" TargetMode="External"/><Relationship Id="rId3771" Type="http://schemas.openxmlformats.org/officeDocument/2006/relationships/hyperlink" Target="https://www.justice.gov/usao-wdny/pr/warsaw-man-sentenced-three-years-prison-possession-child-pornography" TargetMode="External"/><Relationship Id="rId2440" Type="http://schemas.openxmlformats.org/officeDocument/2006/relationships/hyperlink" Target="https://www.courtlistener.com/docket/8126071/united-states-v-michalski/" TargetMode="External"/><Relationship Id="rId3770" Type="http://schemas.openxmlformats.org/officeDocument/2006/relationships/hyperlink" Target="https://www.courtlistener.com/docket/15576768/united-states-v-kurrelmeyer-eric/" TargetMode="External"/><Relationship Id="rId521" Type="http://schemas.openxmlformats.org/officeDocument/2006/relationships/hyperlink" Target="http://archive.fo/3zAXr" TargetMode="External"/><Relationship Id="rId1110" Type="http://schemas.openxmlformats.org/officeDocument/2006/relationships/hyperlink" Target="https://www.shorenewsnetwork.com/2020/12/17/mckeesport-man-on-probation-used-kik-app-to-pose-as-girl-to-lure-teenage-boys-for-sex-gets-18-years/" TargetMode="External"/><Relationship Id="rId2441" Type="http://schemas.openxmlformats.org/officeDocument/2006/relationships/hyperlink" Target="https://www.justice.gov/usao-sdoh/pr/six-ohio-men-charged-crimes-related-sexually-abusing-children-creating-child" TargetMode="External"/><Relationship Id="rId3773" Type="http://schemas.openxmlformats.org/officeDocument/2006/relationships/hyperlink" Target="https://vtdigger.org/2019/05/29/8-charged-child-pornography-crackdown/" TargetMode="External"/><Relationship Id="rId520" Type="http://schemas.openxmlformats.org/officeDocument/2006/relationships/hyperlink" Target="https://www.justice.gov/usao-sdtx/pr/sweeny-man-convicted-sex-trafficking-minors" TargetMode="External"/><Relationship Id="rId1111" Type="http://schemas.openxmlformats.org/officeDocument/2006/relationships/hyperlink" Target="https://www.courtlistener.com/docket/7121610/united-states-v-payne/" TargetMode="External"/><Relationship Id="rId2442" Type="http://schemas.openxmlformats.org/officeDocument/2006/relationships/hyperlink" Target="https://www.justice.gov/usao-sdoh/pr/columbus-man-pleads-guilty-creating-child-pornography-sexually-abusing-10-year-old-girl" TargetMode="External"/><Relationship Id="rId3772" Type="http://schemas.openxmlformats.org/officeDocument/2006/relationships/hyperlink" Target="https://www.justice.gov/usao-mdga/pr/registered-sex-offender-sentenced-prison-possessing-child-pornography" TargetMode="External"/><Relationship Id="rId1112" Type="http://schemas.openxmlformats.org/officeDocument/2006/relationships/hyperlink" Target="https://archive.vn/1yqV0" TargetMode="External"/><Relationship Id="rId2443" Type="http://schemas.openxmlformats.org/officeDocument/2006/relationships/hyperlink" Target="https://www.justice.gov/usao-sdoh/pr/seven-ohio-men-sentenced-prison-crimes-related-sexually-abusing-children-creating-child" TargetMode="External"/><Relationship Id="rId3775" Type="http://schemas.openxmlformats.org/officeDocument/2006/relationships/hyperlink" Target="https://www.justice.gov/usao-wdtx/pr/kerrville-man-sentenced-460-months-federal-prison-cyberstalking-and-possession-child" TargetMode="External"/><Relationship Id="rId1113" Type="http://schemas.openxmlformats.org/officeDocument/2006/relationships/hyperlink" Target="https://archive.vn/3DKXo" TargetMode="External"/><Relationship Id="rId2444" Type="http://schemas.openxmlformats.org/officeDocument/2006/relationships/hyperlink" Target="https://www.courtlistener.com/docket/8126071/united-states-v-michalski/" TargetMode="External"/><Relationship Id="rId3774" Type="http://schemas.openxmlformats.org/officeDocument/2006/relationships/hyperlink" Target="https://archive.vn/wpbn1" TargetMode="External"/><Relationship Id="rId1103" Type="http://schemas.openxmlformats.org/officeDocument/2006/relationships/hyperlink" Target="http://knsiradio.com/news/local-news/police-man-pimped-woman-jail" TargetMode="External"/><Relationship Id="rId2434" Type="http://schemas.openxmlformats.org/officeDocument/2006/relationships/hyperlink" Target="https://www.courtlistener.com/docket/7709770/united-states-v-bungert/" TargetMode="External"/><Relationship Id="rId3766" Type="http://schemas.openxmlformats.org/officeDocument/2006/relationships/hyperlink" Target="https://www.justice.gov/usao-md/pr/previously-convicted-sex-offender-sentenced-more-19-years-federal-prison-distribution" TargetMode="External"/><Relationship Id="rId1104" Type="http://schemas.openxmlformats.org/officeDocument/2006/relationships/hyperlink" Target="https://www.justice.gov/usao-ndok/pr/federal-grand-jury-criminal-indictments-announced-42" TargetMode="External"/><Relationship Id="rId2435" Type="http://schemas.openxmlformats.org/officeDocument/2006/relationships/hyperlink" Target="https://www.justice.gov/usao-sd/pr/sturgis-man-sentenced-attempted-receipt-child-pornography-0" TargetMode="External"/><Relationship Id="rId3765" Type="http://schemas.openxmlformats.org/officeDocument/2006/relationships/hyperlink" Target="https://www.justice.gov/usao-wdny/pr/indiana-man-pleads-guilty-child-pornography-charge" TargetMode="External"/><Relationship Id="rId1105" Type="http://schemas.openxmlformats.org/officeDocument/2006/relationships/hyperlink" Target="https://www.tulsaworld.com/news/crimewatch/tahlequah-man-arrested-on-allegations-of-using-snapchat-to-solicit/article_68b2993d-52aa-5f04-9089-088a1a4574c1.html" TargetMode="External"/><Relationship Id="rId2436" Type="http://schemas.openxmlformats.org/officeDocument/2006/relationships/hyperlink" Target="https://www.justice.gov/usao-sdoh/pr/six-ohio-men-charged-crimes-related-sexually-abusing-children-creating-child" TargetMode="External"/><Relationship Id="rId3768" Type="http://schemas.openxmlformats.org/officeDocument/2006/relationships/hyperlink" Target="https://www.justice.gov/usao-wdtx/pr/carrizo-springs-man-sentenced-200-months-federal-prison-setting-hidden-camera-videotape" TargetMode="External"/><Relationship Id="rId1106" Type="http://schemas.openxmlformats.org/officeDocument/2006/relationships/hyperlink" Target="https://www.cbp.gov/newsroom/local-media-release/douglas-agents-arrest-4-human-smuggling-attempt" TargetMode="External"/><Relationship Id="rId2437" Type="http://schemas.openxmlformats.org/officeDocument/2006/relationships/hyperlink" Target="https://www.justice.gov/usao-sdoh/pr/six-ohio-men-charged-crimes-related-sexually-abusing-children-creating-child" TargetMode="External"/><Relationship Id="rId3767" Type="http://schemas.openxmlformats.org/officeDocument/2006/relationships/hyperlink" Target="https://www.courtlistener.com/docket/15497833/united-states-v-massari/" TargetMode="External"/><Relationship Id="rId1107" Type="http://schemas.openxmlformats.org/officeDocument/2006/relationships/hyperlink" Target="https://www.cbp.gov/newsroom/local-media-release/nogales-border-patrol-k9-team-find-2-aliens-trunk" TargetMode="External"/><Relationship Id="rId2438" Type="http://schemas.openxmlformats.org/officeDocument/2006/relationships/hyperlink" Target="https://www.justice.gov/usao-sdoh/pr/six-ohio-men-charged-crimes-related-sexually-abusing-children-creating-child" TargetMode="External"/><Relationship Id="rId1108" Type="http://schemas.openxmlformats.org/officeDocument/2006/relationships/hyperlink" Target="https://www.justice.gov/usao-cdil/pr/paxton-man-sentenced-10-years-prison-receipt-possession-child-pornography" TargetMode="External"/><Relationship Id="rId2439" Type="http://schemas.openxmlformats.org/officeDocument/2006/relationships/hyperlink" Target="https://www.justice.gov/usao-sdoh/pr/six-ohio-men-charged-crimes-related-sexually-abusing-children-creating-child" TargetMode="External"/><Relationship Id="rId3769" Type="http://schemas.openxmlformats.org/officeDocument/2006/relationships/hyperlink" Target="https://www.courtlistener.com/docket/15620973/united-states-v-loera/" TargetMode="External"/><Relationship Id="rId1109" Type="http://schemas.openxmlformats.org/officeDocument/2006/relationships/hyperlink" Target="https://www.courtlistener.com/docket/7457947/united-states-v-slater/" TargetMode="External"/><Relationship Id="rId519" Type="http://schemas.openxmlformats.org/officeDocument/2006/relationships/hyperlink" Target="http://archive.fo/Di0gg" TargetMode="External"/><Relationship Id="rId514" Type="http://schemas.openxmlformats.org/officeDocument/2006/relationships/hyperlink" Target="https://www.justice.gov/usao-ma/pr/canadian-national-sentenced-15-years-prison-sexually-exploiting-two-children" TargetMode="External"/><Relationship Id="rId513" Type="http://schemas.openxmlformats.org/officeDocument/2006/relationships/hyperlink" Target="http://archive.fo/3zAXr" TargetMode="External"/><Relationship Id="rId512" Type="http://schemas.openxmlformats.org/officeDocument/2006/relationships/hyperlink" Target="https://www.justice.gov/usao-sdtx/pr/sweeny-man-convicted-sex-trafficking-minors" TargetMode="External"/><Relationship Id="rId511" Type="http://schemas.openxmlformats.org/officeDocument/2006/relationships/hyperlink" Target="https://www.courtlistener.com/docket/7148255/united-states-v-akum/" TargetMode="External"/><Relationship Id="rId518" Type="http://schemas.openxmlformats.org/officeDocument/2006/relationships/hyperlink" Target="http://archive.fo/w4r7l" TargetMode="External"/><Relationship Id="rId517" Type="http://schemas.openxmlformats.org/officeDocument/2006/relationships/hyperlink" Target="https://pilotonline.com/news/local/crime/article_0ec465a2-6057-11e9-afbf-43f1ceb774ed.html" TargetMode="External"/><Relationship Id="rId516" Type="http://schemas.openxmlformats.org/officeDocument/2006/relationships/hyperlink" Target="https://www.justice.gov/usao-edva/pr/child-sexual-predator-sentenced-27-years-prison" TargetMode="External"/><Relationship Id="rId515" Type="http://schemas.openxmlformats.org/officeDocument/2006/relationships/hyperlink" Target="https://www.cbp.gov/newsroom/local-media-release/two-men-found-hiding-trunk-compact-car" TargetMode="External"/><Relationship Id="rId3760" Type="http://schemas.openxmlformats.org/officeDocument/2006/relationships/hyperlink" Target="https://www.cbp.gov/newsroom/local-media-release/border-patrol-agents-rescue-over-100-people-locked-trailer" TargetMode="External"/><Relationship Id="rId510" Type="http://schemas.openxmlformats.org/officeDocument/2006/relationships/hyperlink" Target="https://www.justice.gov/usao-md/pr/silver-spring-man-pleads-guilty-sex-trafficking-two-minors" TargetMode="External"/><Relationship Id="rId2430" Type="http://schemas.openxmlformats.org/officeDocument/2006/relationships/hyperlink" Target="https://www.justice.gov/usao-sd/pr/sex-trafficking-operation-results-arrests-1" TargetMode="External"/><Relationship Id="rId3762" Type="http://schemas.openxmlformats.org/officeDocument/2006/relationships/hyperlink" Target="https://www.courtlistener.com/docket/15073344/united-states-v-swartwood/" TargetMode="External"/><Relationship Id="rId1100" Type="http://schemas.openxmlformats.org/officeDocument/2006/relationships/hyperlink" Target="https://www.justice.gov/usao-mdga/pr/oconee-county-high-school-janitor-sentenced-51-months-prison-recording-video-minors" TargetMode="External"/><Relationship Id="rId2431" Type="http://schemas.openxmlformats.org/officeDocument/2006/relationships/hyperlink" Target="https://www.courtlistener.com/docket/7710398/united-states-v-heib/" TargetMode="External"/><Relationship Id="rId3761" Type="http://schemas.openxmlformats.org/officeDocument/2006/relationships/hyperlink" Target="https://www.justice.gov/usao-ndny/pr/broome-county-man-arrested-child-exploitation-charges" TargetMode="External"/><Relationship Id="rId1101" Type="http://schemas.openxmlformats.org/officeDocument/2006/relationships/hyperlink" Target="http://www.wuga.org/post/oconee-county-custodian-arrested-accused-recording-girls-locker-room" TargetMode="External"/><Relationship Id="rId2432" Type="http://schemas.openxmlformats.org/officeDocument/2006/relationships/hyperlink" Target="https://www.courtlistener.com/docket/7710395/united-states-v-harmon/" TargetMode="External"/><Relationship Id="rId3764" Type="http://schemas.openxmlformats.org/officeDocument/2006/relationships/hyperlink" Target="https://www.courtlistener.com/docket/15443781/united-states-v-shellenberger/" TargetMode="External"/><Relationship Id="rId1102" Type="http://schemas.openxmlformats.org/officeDocument/2006/relationships/hyperlink" Target="https://www.courtlistener.com/docket/7322740/united-states-v-burnette/" TargetMode="External"/><Relationship Id="rId2433" Type="http://schemas.openxmlformats.org/officeDocument/2006/relationships/hyperlink" Target="https://www.justice.gov/usao-sd/pr/sex-trafficking-operation-results-arrests-1" TargetMode="External"/><Relationship Id="rId3763" Type="http://schemas.openxmlformats.org/officeDocument/2006/relationships/hyperlink" Target="https://www.justice.gov/usao-wdok/pr/registered-sex-offender-convicted-producing-child-pornography" TargetMode="External"/><Relationship Id="rId3711" Type="http://schemas.openxmlformats.org/officeDocument/2006/relationships/hyperlink" Target="https://www.cbp.gov/newsroom/local-media-release/border-patrol-agents-new-york-foil-smuggling-attempts-and-arrest-0" TargetMode="External"/><Relationship Id="rId3710" Type="http://schemas.openxmlformats.org/officeDocument/2006/relationships/hyperlink" Target="https://archive.vn/v1DfZ" TargetMode="External"/><Relationship Id="rId3713" Type="http://schemas.openxmlformats.org/officeDocument/2006/relationships/hyperlink" Target="https://www.justice.gov/usao-wdnc/pr/citizen-guatemala-sentenced-eight-years-prison-child-pornography-charges" TargetMode="External"/><Relationship Id="rId3712" Type="http://schemas.openxmlformats.org/officeDocument/2006/relationships/hyperlink" Target="https://www.courtlistener.com/docket/14982351/united-states-v-tassin/" TargetMode="External"/><Relationship Id="rId3715" Type="http://schemas.openxmlformats.org/officeDocument/2006/relationships/hyperlink" Target="https://www.wusa9.com/article/news/local/virginia/police-former-substitute-teacher-agreed-to-trade-child-porn-photos-for-sex-with-young-child/65-6cc30fed-ee5b-43a8-9d4c-3a74bc10b2c0" TargetMode="External"/><Relationship Id="rId3714" Type="http://schemas.openxmlformats.org/officeDocument/2006/relationships/hyperlink" Target="https://www.courtlistener.com/docket/14988249/united-states-v-morales-santos/" TargetMode="External"/><Relationship Id="rId3717" Type="http://schemas.openxmlformats.org/officeDocument/2006/relationships/hyperlink" Target="http://archive.fo/QgOeB" TargetMode="External"/><Relationship Id="rId3716" Type="http://schemas.openxmlformats.org/officeDocument/2006/relationships/hyperlink" Target="http://archive.fo/ucFJj" TargetMode="External"/><Relationship Id="rId3719" Type="http://schemas.openxmlformats.org/officeDocument/2006/relationships/hyperlink" Target="https://www.cbp.gov/newsroom/local-media-release/mobile-usbp-local-law-enforcement-nab-narcotics-human-smuggler" TargetMode="External"/><Relationship Id="rId3718" Type="http://schemas.openxmlformats.org/officeDocument/2006/relationships/hyperlink" Target="https://www.cbp.gov/newsroom/local-media-release/border-patrol-agents-northeastern-new-york-foil-smuggling-event" TargetMode="External"/><Relationship Id="rId3700" Type="http://schemas.openxmlformats.org/officeDocument/2006/relationships/hyperlink" Target="https://www.justice.gov/usao-ndny/pr/two-cortland-county-residents-arrested-child-exploitation-charges-0" TargetMode="External"/><Relationship Id="rId3702" Type="http://schemas.openxmlformats.org/officeDocument/2006/relationships/hyperlink" Target="http://archive.fo/XK1hX" TargetMode="External"/><Relationship Id="rId3701" Type="http://schemas.openxmlformats.org/officeDocument/2006/relationships/hyperlink" Target="http://archive.fo/Z84nH" TargetMode="External"/><Relationship Id="rId3704" Type="http://schemas.openxmlformats.org/officeDocument/2006/relationships/hyperlink" Target="https://www.justice.gov/usao-nh/pr/hudson-man-pleads-guilty-sexual-exploitation-minor" TargetMode="External"/><Relationship Id="rId3703" Type="http://schemas.openxmlformats.org/officeDocument/2006/relationships/hyperlink" Target="https://www.justice.gov/usao-mdpa/pr/york-man-charged-child-exploitation-offenses" TargetMode="External"/><Relationship Id="rId3706" Type="http://schemas.openxmlformats.org/officeDocument/2006/relationships/hyperlink" Target="https://www.justice.gov/usao-ndoh/pr/elyria-man-arrested-child-pornography-charges-after-search-missing-juvenile" TargetMode="External"/><Relationship Id="rId3705" Type="http://schemas.openxmlformats.org/officeDocument/2006/relationships/hyperlink" Target="https://www.ice.gov/news/releases/ice-el-paso-special-agents-arrest-local-man-child-pornography-charges" TargetMode="External"/><Relationship Id="rId3708" Type="http://schemas.openxmlformats.org/officeDocument/2006/relationships/hyperlink" Target="https://www.marionstar.com/story/news/crime/2019/10/17/marion-man-caught-trying-have-sex-girls-sex-trafficking-probe/4009327002/" TargetMode="External"/><Relationship Id="rId3707" Type="http://schemas.openxmlformats.org/officeDocument/2006/relationships/hyperlink" Target="https://www.fbi.gov/contact-us/field-offices/cincinnati/news/press-releases/marion-man-sentenced-to-more-than-21-years-in-prison-for-attempted-sex-trafficking-of-minors" TargetMode="External"/><Relationship Id="rId3709" Type="http://schemas.openxmlformats.org/officeDocument/2006/relationships/hyperlink" Target="https://archive.vn/VEXFl" TargetMode="External"/><Relationship Id="rId2401" Type="http://schemas.openxmlformats.org/officeDocument/2006/relationships/hyperlink" Target="https://observer-reporter.com/news/localnews/new-jersey-man-arrested-in-north-strabane-human-trafficking-case/article_d2d9f916-9523-11e8-8476-13d8d511121e.html" TargetMode="External"/><Relationship Id="rId3733" Type="http://schemas.openxmlformats.org/officeDocument/2006/relationships/hyperlink" Target="https://www.courtlistener.com/docket/15658439/united-states-v-torres/" TargetMode="External"/><Relationship Id="rId2402" Type="http://schemas.openxmlformats.org/officeDocument/2006/relationships/hyperlink" Target="http://www.orlandosentinel.com/news/breaking-news/os-ocoee-man-child-pornography-20180731-story.html" TargetMode="External"/><Relationship Id="rId3732" Type="http://schemas.openxmlformats.org/officeDocument/2006/relationships/hyperlink" Target="https://www.justice.gov/usao-sdtx/pr/mexican-citizen-arrested-child-pornography-charges" TargetMode="External"/><Relationship Id="rId2403" Type="http://schemas.openxmlformats.org/officeDocument/2006/relationships/hyperlink" Target="https://www.justice.gov/usao-ndoh/pr/ashtabula-man-indicted-child-pornography-charges" TargetMode="External"/><Relationship Id="rId3735" Type="http://schemas.openxmlformats.org/officeDocument/2006/relationships/hyperlink" Target="https://www.courtlistener.com/docket/15044066/united-states-v-peppers/" TargetMode="External"/><Relationship Id="rId2404" Type="http://schemas.openxmlformats.org/officeDocument/2006/relationships/hyperlink" Target="https://fox8.com/2018/08/01/person-of-interest-in-disappearance-murder-of-ashtabula-woman-arrested-on-child-porn-complaint/" TargetMode="External"/><Relationship Id="rId3734" Type="http://schemas.openxmlformats.org/officeDocument/2006/relationships/hyperlink" Target="https://www.justice.gov/usao-ndin/pr/south-bend-indiana-man-sentenced-10-years-prison-0" TargetMode="External"/><Relationship Id="rId2405" Type="http://schemas.openxmlformats.org/officeDocument/2006/relationships/hyperlink" Target="https://www.courtlistener.com/docket/7578774/united-states-v-stanley/" TargetMode="External"/><Relationship Id="rId3737" Type="http://schemas.openxmlformats.org/officeDocument/2006/relationships/hyperlink" Target="https://www.courtlistener.com/docket/15041154/united-states-v-nichols/" TargetMode="External"/><Relationship Id="rId2406" Type="http://schemas.openxmlformats.org/officeDocument/2006/relationships/hyperlink" Target="https://www.cbp.gov/newsroom/local-media-release/two-hour-border-patrolchase-ends-near-san-diego" TargetMode="External"/><Relationship Id="rId3736" Type="http://schemas.openxmlformats.org/officeDocument/2006/relationships/hyperlink" Target="https://www.justice.gov/usao-sdms/pr/gulfport-man-pleads-guilty-transporting-images-minors-engaged-sexually-explicit-conduct" TargetMode="External"/><Relationship Id="rId2407" Type="http://schemas.openxmlformats.org/officeDocument/2006/relationships/hyperlink" Target="http://www.kpcw.org/post/california-man-transporting-8-illegal-immigrants-charged-human-trafficking" TargetMode="External"/><Relationship Id="rId3739" Type="http://schemas.openxmlformats.org/officeDocument/2006/relationships/hyperlink" Target="https://www.cbp.gov/newsroom/local-media-release/yuma-sector-border-patrol-intercepts-two-human-smuggling-attempts" TargetMode="External"/><Relationship Id="rId2408" Type="http://schemas.openxmlformats.org/officeDocument/2006/relationships/hyperlink" Target="https://www.ice.gov/news/releases/nebraska-illegal-alien-pleads-guilty-conspiracy-harbor-illegal-aliens" TargetMode="External"/><Relationship Id="rId3738" Type="http://schemas.openxmlformats.org/officeDocument/2006/relationships/hyperlink" Target="https://www.cbp.gov/newsroom/local-media-release/yuma-sector-border-patrol-intercepts-two-human-smuggling-attempts" TargetMode="External"/><Relationship Id="rId2409" Type="http://schemas.openxmlformats.org/officeDocument/2006/relationships/hyperlink" Target="https://www.ketv.com/article/federal-indictments-in-ice-raid-reveals-dollar8-million-money-laundering-scheme/22691654" TargetMode="External"/><Relationship Id="rId3731" Type="http://schemas.openxmlformats.org/officeDocument/2006/relationships/hyperlink" Target="https://www.ice.gov/news/releases/mexican-man-arrested-south-texas-child-pornography-charges" TargetMode="External"/><Relationship Id="rId2400" Type="http://schemas.openxmlformats.org/officeDocument/2006/relationships/hyperlink" Target="https://www.ksat.com/news/man-arrested-charged-with-compelling-prostitution-police-say" TargetMode="External"/><Relationship Id="rId3730" Type="http://schemas.openxmlformats.org/officeDocument/2006/relationships/hyperlink" Target="https://www.justice.gov/usao-sdga/pr/augusta-man-gets-prison-time-possession-child-pornography" TargetMode="External"/><Relationship Id="rId3722" Type="http://schemas.openxmlformats.org/officeDocument/2006/relationships/hyperlink" Target="https://www.justice.gov/usao-sdoh/pr/blacklick-man-sentenced-25-years-prison-posing-online-teenage-internet-start-coerce-10" TargetMode="External"/><Relationship Id="rId3721" Type="http://schemas.openxmlformats.org/officeDocument/2006/relationships/hyperlink" Target="https://www.justice.gov/usao-ndny/pr/syracuse-man-indicted-possession-child-pornography" TargetMode="External"/><Relationship Id="rId3724" Type="http://schemas.openxmlformats.org/officeDocument/2006/relationships/hyperlink" Target="https://www.justice.gov/usao-wdpa/pr/monongahela-man-pleads-guilty-possessing-sexual-images-and-videos-children" TargetMode="External"/><Relationship Id="rId3723" Type="http://schemas.openxmlformats.org/officeDocument/2006/relationships/hyperlink" Target="https://www.courtlistener.com/docket/15053045/united-states-v-kamnitzer/" TargetMode="External"/><Relationship Id="rId3726" Type="http://schemas.openxmlformats.org/officeDocument/2006/relationships/hyperlink" Target="https://www.al.com/news/birmingham/2019/10/vestavia-hills-doctor-indicted-on-more-federal-child-pornography-charges.html" TargetMode="External"/><Relationship Id="rId3725" Type="http://schemas.openxmlformats.org/officeDocument/2006/relationships/hyperlink" Target="https://www.courtlistener.com/docket/15637311/united-states-v-allard/" TargetMode="External"/><Relationship Id="rId3728" Type="http://schemas.openxmlformats.org/officeDocument/2006/relationships/hyperlink" Target="https://archive.vn/AcXIu" TargetMode="External"/><Relationship Id="rId3727" Type="http://schemas.openxmlformats.org/officeDocument/2006/relationships/hyperlink" Target="https://archive.vn/KWiTM" TargetMode="External"/><Relationship Id="rId3729" Type="http://schemas.openxmlformats.org/officeDocument/2006/relationships/hyperlink" Target="https://www.justice.gov/usao-wdla/pr/monroe-man-sentenced-child-exploitation" TargetMode="External"/><Relationship Id="rId3720" Type="http://schemas.openxmlformats.org/officeDocument/2006/relationships/hyperlink" Target="https://www.cbp.gov/newsroom/local-media-release/human-smuggler-s-life-saved-after-being-arrested" TargetMode="External"/><Relationship Id="rId4206" Type="http://schemas.openxmlformats.org/officeDocument/2006/relationships/hyperlink" Target="https://www.justice.gov/usao-ndoh/pr/toledo-ohio-man-indicted-and-arrested-sex-trafficking-juveniles" TargetMode="External"/><Relationship Id="rId4205" Type="http://schemas.openxmlformats.org/officeDocument/2006/relationships/hyperlink" Target="https://www.justice.gov/usao-sdoh/pr/colerain-township-man-charged-sexually-exploiting-minor-while-probation-different-sex" TargetMode="External"/><Relationship Id="rId4208" Type="http://schemas.openxmlformats.org/officeDocument/2006/relationships/hyperlink" Target="https://www.justice.gov/usao-md/pr/former-law-enforcement-officer-pleads-guilty-federal-charge-possession-child-pornography" TargetMode="External"/><Relationship Id="rId4207" Type="http://schemas.openxmlformats.org/officeDocument/2006/relationships/hyperlink" Target="https://www.justice.gov/usao-ndny/pr/kirkville-man-charged-transportation-child-pornography" TargetMode="External"/><Relationship Id="rId590" Type="http://schemas.openxmlformats.org/officeDocument/2006/relationships/hyperlink" Target="https://www.cbp.gov/newsroom/local-media-release/border-patrol-arrest-5-thanks-citizen-s-call" TargetMode="External"/><Relationship Id="rId4209" Type="http://schemas.openxmlformats.org/officeDocument/2006/relationships/hyperlink" Target="https://baltimore.cbslocal.com/2020/12/21/former-maryland-police-officer-anthony-mileo-pleads-guilty-to-child-pornography-possession/" TargetMode="External"/><Relationship Id="rId589" Type="http://schemas.openxmlformats.org/officeDocument/2006/relationships/hyperlink" Target="https://www.justice.gov/usao-ak/pr/anchorage-man-sentenced-16-years-federal-prison-attempted-sex-trafficking-and" TargetMode="External"/><Relationship Id="rId588" Type="http://schemas.openxmlformats.org/officeDocument/2006/relationships/hyperlink" Target="https://www.keloland.com/news/hospital-worker-faces-child-porn-charges-in-rapid-city/1373925525" TargetMode="External"/><Relationship Id="rId1170" Type="http://schemas.openxmlformats.org/officeDocument/2006/relationships/hyperlink" Target="https://www.pnj.com/story/news/2019/02/13/pensacola-man-sentenced-after-cellphone-provider-finds-child-porn/2864195002/" TargetMode="External"/><Relationship Id="rId1171" Type="http://schemas.openxmlformats.org/officeDocument/2006/relationships/hyperlink" Target="https://www.courtlistener.com/docket/6517171/united-states-v-arguelles/" TargetMode="External"/><Relationship Id="rId583" Type="http://schemas.openxmlformats.org/officeDocument/2006/relationships/hyperlink" Target="https://www.cbp.gov/newsroom/local-media-release/agents-find-3-illegal-immigrants-under-floorboard-2-trunk" TargetMode="External"/><Relationship Id="rId1172" Type="http://schemas.openxmlformats.org/officeDocument/2006/relationships/hyperlink" Target="https://archive.fo/dA59v" TargetMode="External"/><Relationship Id="rId582" Type="http://schemas.openxmlformats.org/officeDocument/2006/relationships/hyperlink" Target="https://www.justice.gov/usao-wdpa/pr/pittsburgh-man-charged-possessing-and-distributing-sexual-images-children" TargetMode="External"/><Relationship Id="rId1173" Type="http://schemas.openxmlformats.org/officeDocument/2006/relationships/hyperlink" Target="https://archive.fo/CbLya" TargetMode="External"/><Relationship Id="rId581" Type="http://schemas.openxmlformats.org/officeDocument/2006/relationships/hyperlink" Target="https://breaking911.com/feds-maryland-man-sex-trafficked-minors-made-rap-album-brag/" TargetMode="External"/><Relationship Id="rId1174" Type="http://schemas.openxmlformats.org/officeDocument/2006/relationships/hyperlink" Target="http://www.wacotrib.com/news/police/rd-suspect-arrested-in-human-trafficking-investigation/article_b6205bad-7736-5bce-87b0-7aca359a4314.html" TargetMode="External"/><Relationship Id="rId4200" Type="http://schemas.openxmlformats.org/officeDocument/2006/relationships/hyperlink" Target="https://archive.vn/C9139" TargetMode="External"/><Relationship Id="rId580" Type="http://schemas.openxmlformats.org/officeDocument/2006/relationships/hyperlink" Target="https://www.justice.gov/usao-vt/pr/bristol-man-sentenced-receipt-child-pornography" TargetMode="External"/><Relationship Id="rId1175" Type="http://schemas.openxmlformats.org/officeDocument/2006/relationships/hyperlink" Target="http://www.kptv.com/story/37626279/sheriff-18-men-arrested-in-human-trafficking-mission-in-washington-county" TargetMode="External"/><Relationship Id="rId587" Type="http://schemas.openxmlformats.org/officeDocument/2006/relationships/hyperlink" Target="https://www.justice.gov/usao-vt/pr/alburgh-man-convicted-child-exploitation-offenses" TargetMode="External"/><Relationship Id="rId1176" Type="http://schemas.openxmlformats.org/officeDocument/2006/relationships/hyperlink" Target="http://www.poconorecord.com/news/20180619/sims-guilty-of-sex-trafficking-drug-crimes" TargetMode="External"/><Relationship Id="rId4202" Type="http://schemas.openxmlformats.org/officeDocument/2006/relationships/hyperlink" Target="https://www.justice.gov/usao-wdnc/pr/catawba-county-man-sentenced-65-years-child-pornography" TargetMode="External"/><Relationship Id="rId586" Type="http://schemas.openxmlformats.org/officeDocument/2006/relationships/hyperlink" Target="https://www.cbp.gov/newsroom/local-media-release/immigration-checkpoints-help-stop-two-human-smugglers" TargetMode="External"/><Relationship Id="rId1177" Type="http://schemas.openxmlformats.org/officeDocument/2006/relationships/hyperlink" Target="https://www.justice.gov/usao-wdar/pr/fayetteville-sex-offender-sentenced-12-years-federal-prison-child-pornography" TargetMode="External"/><Relationship Id="rId4201" Type="http://schemas.openxmlformats.org/officeDocument/2006/relationships/hyperlink" Target="https://archive.vn/Q1mhw" TargetMode="External"/><Relationship Id="rId585" Type="http://schemas.openxmlformats.org/officeDocument/2006/relationships/hyperlink" Target="https://www.courtlistener.com/docket/6222833/united-states-v-desorbo-jr/" TargetMode="External"/><Relationship Id="rId1178" Type="http://schemas.openxmlformats.org/officeDocument/2006/relationships/hyperlink" Target="https://www.courtlistener.com/docket/14774783/united-states-v-rhoden/" TargetMode="External"/><Relationship Id="rId4204" Type="http://schemas.openxmlformats.org/officeDocument/2006/relationships/hyperlink" Target="https://www.justice.gov/usao-sdoh/pr/warren-county-man-sentenced-10-years-prison-possessing-hundreds-images-child-rape" TargetMode="External"/><Relationship Id="rId584" Type="http://schemas.openxmlformats.org/officeDocument/2006/relationships/hyperlink" Target="https://www.justice.gov/usao-mdfl/pr/seminole-county-man-sentenced-17-years-possessing-child-pornography" TargetMode="External"/><Relationship Id="rId1179" Type="http://schemas.openxmlformats.org/officeDocument/2006/relationships/hyperlink" Target="https://www.justice.gov/usao-sdwv/pr/wood-county-man-sentenced-possessing-child-pornography" TargetMode="External"/><Relationship Id="rId4203" Type="http://schemas.openxmlformats.org/officeDocument/2006/relationships/hyperlink" Target="https://www.justice.gov/usao-edva/pr/arlington-man-sentenced-coercion-and-sexual-abuse-child" TargetMode="External"/><Relationship Id="rId1169" Type="http://schemas.openxmlformats.org/officeDocument/2006/relationships/hyperlink" Target="https://www.justice.gov/usao-ndfl/pr/pensacola-registered-sex-offender-sentenced-125-years-prison-possession-child" TargetMode="External"/><Relationship Id="rId579" Type="http://schemas.openxmlformats.org/officeDocument/2006/relationships/hyperlink" Target="https://www.courtlistener.com/docket/7294219/united-states-v-maclean/" TargetMode="External"/><Relationship Id="rId578" Type="http://schemas.openxmlformats.org/officeDocument/2006/relationships/hyperlink" Target="https://www.justice.gov/usao-nh/pr/swanzey-man-sentenced-63-months-possessing-child-pornography" TargetMode="External"/><Relationship Id="rId577" Type="http://schemas.openxmlformats.org/officeDocument/2006/relationships/hyperlink" Target="http://www.carrollcountytimes.com/news/education/cc-kenneth-fischer-more-charges-20180504-story.html" TargetMode="External"/><Relationship Id="rId2490" Type="http://schemas.openxmlformats.org/officeDocument/2006/relationships/hyperlink" Target="https://www.cbp.gov/newsroom/local-media-release/laredo-sector-border-patrol-agents-rescue-78-illegal-aliens-inside" TargetMode="External"/><Relationship Id="rId1160" Type="http://schemas.openxmlformats.org/officeDocument/2006/relationships/hyperlink" Target="http://richmondstandard.com/crime/2018/06/27/pimp-and-his-business-manager-busted-for-human-trafficking-on-23rd-street/" TargetMode="External"/><Relationship Id="rId2491" Type="http://schemas.openxmlformats.org/officeDocument/2006/relationships/hyperlink" Target="http://www.kgns.tv/content/news/Border-Patrol-agents-foil-alleged-human-smuggling-attempt-490715641.html" TargetMode="External"/><Relationship Id="rId572" Type="http://schemas.openxmlformats.org/officeDocument/2006/relationships/hyperlink" Target="https://www.justice.gov/usao-nv/pr/wellington-nevada-man-sentenced-over-12-years-prison-distribution-child-pornography" TargetMode="External"/><Relationship Id="rId1161" Type="http://schemas.openxmlformats.org/officeDocument/2006/relationships/hyperlink" Target="https://www.justice.gov/usao-edpa/pr/allentown-man-sentenced-20-years-prison-distribution-receipt-and-possession-child" TargetMode="External"/><Relationship Id="rId2492" Type="http://schemas.openxmlformats.org/officeDocument/2006/relationships/hyperlink" Target="https://www.cbp.gov/newsroom/local-media-release/2-phoenix-women-flee-border-patrol-agents-later-arrested" TargetMode="External"/><Relationship Id="rId571" Type="http://schemas.openxmlformats.org/officeDocument/2006/relationships/hyperlink" Target="https://www.rocketcitynow.com/news/two-men-indicted-on-child-sex-trafficking-charges-involving-a-minor/871141433" TargetMode="External"/><Relationship Id="rId1162" Type="http://schemas.openxmlformats.org/officeDocument/2006/relationships/hyperlink" Target="http://www.times-news.com/news/local_news/frostburg-man-arrested-on-child-pornography-distribution-charges/article_5f2862bd-c6b4-59c7-8768-26df0592e181.html" TargetMode="External"/><Relationship Id="rId2493" Type="http://schemas.openxmlformats.org/officeDocument/2006/relationships/hyperlink" Target="https://www.justice.gov/usao-edny/pr/massapequa-high-school-teacher-charged-transportation-and-possession-child-pornography" TargetMode="External"/><Relationship Id="rId570" Type="http://schemas.openxmlformats.org/officeDocument/2006/relationships/hyperlink" Target="http://www.fox13news.com/news/local-news/polk-county-announces-arrests-in-operation-guardians-of-innocence" TargetMode="External"/><Relationship Id="rId1163" Type="http://schemas.openxmlformats.org/officeDocument/2006/relationships/hyperlink" Target="https://www.cbp.gov/newsroom/local-media-release/dhs-arrests-fugitive-human-smuggler" TargetMode="External"/><Relationship Id="rId2494" Type="http://schemas.openxmlformats.org/officeDocument/2006/relationships/hyperlink" Target="https://www.nbcnewyork.com/news/local/Massapequa-High-School-Teacher-Arrested-Child-Porn-Charges-490763651.html" TargetMode="External"/><Relationship Id="rId1164" Type="http://schemas.openxmlformats.org/officeDocument/2006/relationships/hyperlink" Target="https://www.justice.gov/usao-edva/pr/man-pleads-guilty-sex-trafficking-minor-force" TargetMode="External"/><Relationship Id="rId2495" Type="http://schemas.openxmlformats.org/officeDocument/2006/relationships/hyperlink" Target="https://www.cbp.gov/newsroom/local-media-release/border-patrol-agents-foil-human-smuggling-attempt-0" TargetMode="External"/><Relationship Id="rId576" Type="http://schemas.openxmlformats.org/officeDocument/2006/relationships/hyperlink" Target="https://www.justice.gov/usao-md/pr/former-carroll-county-public-school-teacher-pleads-guilty-production-child-pornography" TargetMode="External"/><Relationship Id="rId1165" Type="http://schemas.openxmlformats.org/officeDocument/2006/relationships/hyperlink" Target="https://www.courtlistener.com/docket/6353243/united-states-v-birdsong/" TargetMode="External"/><Relationship Id="rId2496" Type="http://schemas.openxmlformats.org/officeDocument/2006/relationships/hyperlink" Target="https://www.wdtv.com/content/news/Morgantown-woman-facing-multiple-child-pornography-charges-490946591.html" TargetMode="External"/><Relationship Id="rId575" Type="http://schemas.openxmlformats.org/officeDocument/2006/relationships/hyperlink" Target="https://thegoldwater.com/news/17370-DOJ-s-Project-Safe-Childhood-3-Pedophiles-in-International-Child-Pornography-Ring" TargetMode="External"/><Relationship Id="rId1166" Type="http://schemas.openxmlformats.org/officeDocument/2006/relationships/hyperlink" Target="https://www.justice.gov/usao-ne/pr/february-grand-jury-1" TargetMode="External"/><Relationship Id="rId2497" Type="http://schemas.openxmlformats.org/officeDocument/2006/relationships/hyperlink" Target="http://archive.fo/ABm1b" TargetMode="External"/><Relationship Id="rId574" Type="http://schemas.openxmlformats.org/officeDocument/2006/relationships/hyperlink" Target="https://web.archive.org/web/20190416035711/https://www.ktva.com/story/37369367/teen-charged-arrested-on-child-porn-charges-troopers-say" TargetMode="External"/><Relationship Id="rId1167" Type="http://schemas.openxmlformats.org/officeDocument/2006/relationships/hyperlink" Target="https://www.omaha.com/news/crime/omaha-man-gets--year-prison-sentence-in-child-porn/article_5444bc5b-789e-50f4-a17a-3fe9aec7a7a4.html" TargetMode="External"/><Relationship Id="rId2498" Type="http://schemas.openxmlformats.org/officeDocument/2006/relationships/hyperlink" Target="http://archive.fo/Pvmff" TargetMode="External"/><Relationship Id="rId573" Type="http://schemas.openxmlformats.org/officeDocument/2006/relationships/hyperlink" Target="https://www.justice.gov/usao-ak/pr/kenai-man-sentenced-possession-child-pornography" TargetMode="External"/><Relationship Id="rId1168" Type="http://schemas.openxmlformats.org/officeDocument/2006/relationships/hyperlink" Target="https://www.courtlistener.com/docket/8163780/united-states-v-quignon/" TargetMode="External"/><Relationship Id="rId2499" Type="http://schemas.openxmlformats.org/officeDocument/2006/relationships/hyperlink" Target="http://www.vvdailypress.com/news/20180816/eight-johns-arrested-in-prostitution-operation-at-hesperia-motel" TargetMode="External"/><Relationship Id="rId4228" Type="http://schemas.openxmlformats.org/officeDocument/2006/relationships/hyperlink" Target="https://www.ice.gov/news/releases/former-longtime-employee-orange-unified-school-district-sentenced-6-years-prison" TargetMode="External"/><Relationship Id="rId4227" Type="http://schemas.openxmlformats.org/officeDocument/2006/relationships/hyperlink" Target="https://archive.vn/HAep3" TargetMode="External"/><Relationship Id="rId4229" Type="http://schemas.openxmlformats.org/officeDocument/2006/relationships/hyperlink" Target="https://www.courtlistener.com/docket/16908496/united-states-v-brior/" TargetMode="External"/><Relationship Id="rId1190" Type="http://schemas.openxmlformats.org/officeDocument/2006/relationships/hyperlink" Target="https://www.justice.gov/usao-wdnc/pr/online-distributor-child-pornography-sentenced-165-years" TargetMode="External"/><Relationship Id="rId1191" Type="http://schemas.openxmlformats.org/officeDocument/2006/relationships/hyperlink" Target="https://www.justice.gov/usao-ndwv/pr/randolph-county-man-sentenced-child-porn-charge" TargetMode="External"/><Relationship Id="rId1192" Type="http://schemas.openxmlformats.org/officeDocument/2006/relationships/hyperlink" Target="https://www.justice.gov/usao-ndfl/pr/pensacola-registered-sex-offender-guilty-new-child-pornography-charges" TargetMode="External"/><Relationship Id="rId1193" Type="http://schemas.openxmlformats.org/officeDocument/2006/relationships/hyperlink" Target="https://www.justice.gov/usao-ndfl/pr/pensacola-registered-sex-offender-sentenced-125-years-prison-possession-child" TargetMode="External"/><Relationship Id="rId1194" Type="http://schemas.openxmlformats.org/officeDocument/2006/relationships/hyperlink" Target="https://www.courtlistener.com/docket/6517171/united-states-v-arguelles/" TargetMode="External"/><Relationship Id="rId4220" Type="http://schemas.openxmlformats.org/officeDocument/2006/relationships/hyperlink" Target="https://wkow.com/2020/08/19/former-madison-east-teacher-faces-new-child-pornography-charges/" TargetMode="External"/><Relationship Id="rId1195" Type="http://schemas.openxmlformats.org/officeDocument/2006/relationships/hyperlink" Target="http://www.thecranberryeagle.com/article/20180512/CRAN0101/705129726/-1/CRAN" TargetMode="External"/><Relationship Id="rId1196" Type="http://schemas.openxmlformats.org/officeDocument/2006/relationships/hyperlink" Target="https://www.justice.gov/usao-edpa/pr/chester-county-man-indicted-production-receipt-and-possession-child-pornography" TargetMode="External"/><Relationship Id="rId4222" Type="http://schemas.openxmlformats.org/officeDocument/2006/relationships/hyperlink" Target="https://archive.vn/olilZ" TargetMode="External"/><Relationship Id="rId1197" Type="http://schemas.openxmlformats.org/officeDocument/2006/relationships/hyperlink" Target="https://www.justice.gov/usao-mdal/pr/millbrook-man-sentenced-50-years-prison-production-child-pornography" TargetMode="External"/><Relationship Id="rId4221" Type="http://schemas.openxmlformats.org/officeDocument/2006/relationships/hyperlink" Target="https://archive.vn/mfYkB" TargetMode="External"/><Relationship Id="rId1198" Type="http://schemas.openxmlformats.org/officeDocument/2006/relationships/hyperlink" Target="https://www.montgomeryadvertiser.com/story/news/crime/2018/03/27/hes-monster-federal-charges-filed-viral-child-porn-case/462078002/" TargetMode="External"/><Relationship Id="rId4224" Type="http://schemas.openxmlformats.org/officeDocument/2006/relationships/hyperlink" Target="https://www.justice.gov/usao-mdfl/pr/st-johns-county-registered-sex-offender-charged-receiving-child-sex-abuse-images" TargetMode="External"/><Relationship Id="rId1199" Type="http://schemas.openxmlformats.org/officeDocument/2006/relationships/hyperlink" Target="https://www.courtlistener.com/docket/6615881/united-states-v-moore/" TargetMode="External"/><Relationship Id="rId4223" Type="http://schemas.openxmlformats.org/officeDocument/2006/relationships/hyperlink" Target="https://www.justice.gov/usao-ndca/pr/san-jose-man-sentenced-ten-years-prison-possession-child-pornography" TargetMode="External"/><Relationship Id="rId4226" Type="http://schemas.openxmlformats.org/officeDocument/2006/relationships/hyperlink" Target="https://archive.vn/HAep3" TargetMode="External"/><Relationship Id="rId4225" Type="http://schemas.openxmlformats.org/officeDocument/2006/relationships/hyperlink" Target="https://www.jacksonville.com/news/20200213/sex-offender-indicted-after-jaguars-jumbotron-malfunction-investigation" TargetMode="External"/><Relationship Id="rId4217" Type="http://schemas.openxmlformats.org/officeDocument/2006/relationships/hyperlink" Target="https://archive.vn/gR9k2" TargetMode="External"/><Relationship Id="rId4216" Type="http://schemas.openxmlformats.org/officeDocument/2006/relationships/hyperlink" Target="https://archive.vn/wip/ReOVG" TargetMode="External"/><Relationship Id="rId4219" Type="http://schemas.openxmlformats.org/officeDocument/2006/relationships/hyperlink" Target="https://www.justice.gov/usao-wdwi/pr/grand-jury-returns-indictments-102" TargetMode="External"/><Relationship Id="rId4218" Type="http://schemas.openxmlformats.org/officeDocument/2006/relationships/hyperlink" Target="https://www.justice.gov/usao-mdpa/pr/north-carolina-man-charged-child-exploitation-crimes" TargetMode="External"/><Relationship Id="rId599" Type="http://schemas.openxmlformats.org/officeDocument/2006/relationships/hyperlink" Target="https://www.clickondetroit.com/news/livonia-modeling-agency-owner-charged-with-luring-young-girls-for-child-porn" TargetMode="External"/><Relationship Id="rId1180" Type="http://schemas.openxmlformats.org/officeDocument/2006/relationships/hyperlink" Target="https://www.courtlistener.com/docket/7282901/united-states-v-williams/" TargetMode="External"/><Relationship Id="rId1181" Type="http://schemas.openxmlformats.org/officeDocument/2006/relationships/hyperlink" Target="https://www.justice.gov/usao-sdtx/pr/corpus-christi-man-gets-life-prison-multiple-sexual-exploitation-crimes" TargetMode="External"/><Relationship Id="rId1182" Type="http://schemas.openxmlformats.org/officeDocument/2006/relationships/hyperlink" Target="https://www.courtlistener.com/docket/7164934/united-states-v-lucio/" TargetMode="External"/><Relationship Id="rId594" Type="http://schemas.openxmlformats.org/officeDocument/2006/relationships/hyperlink" Target="https://www.justice.gov/usao-mdnc/pr/alamance-county-man-sentenced-child-pornography-charge" TargetMode="External"/><Relationship Id="rId1183" Type="http://schemas.openxmlformats.org/officeDocument/2006/relationships/hyperlink" Target="http://www.abc12.com/content/news/491546521.html" TargetMode="External"/><Relationship Id="rId593" Type="http://schemas.openxmlformats.org/officeDocument/2006/relationships/hyperlink" Target="https://www.justice.gov/usao-ndfl/pr/two-charged-sex-trafficking-minor" TargetMode="External"/><Relationship Id="rId1184" Type="http://schemas.openxmlformats.org/officeDocument/2006/relationships/hyperlink" Target="https://www.justice.gov/usao-cdca/pr/federal-prosecutors-bring-child-pornography-and-other-exploitation-cases-part-ongoing" TargetMode="External"/><Relationship Id="rId592" Type="http://schemas.openxmlformats.org/officeDocument/2006/relationships/hyperlink" Target="https://www.justice.gov/usao-md/pr/baltimore-man-sentenced-10-years-federal-prison-distribution-transportation-and" TargetMode="External"/><Relationship Id="rId1185" Type="http://schemas.openxmlformats.org/officeDocument/2006/relationships/hyperlink" Target="https://www.courtlistener.com/?q=&amp;type=r&amp;order_by=score+desc&amp;docket_number=2%3A18-cr-00199&amp;court=cacd" TargetMode="External"/><Relationship Id="rId4211" Type="http://schemas.openxmlformats.org/officeDocument/2006/relationships/hyperlink" Target="https://archive.vn/yv57x" TargetMode="External"/><Relationship Id="rId591" Type="http://schemas.openxmlformats.org/officeDocument/2006/relationships/hyperlink" Target="https://www.justice.gov/usao-md/pr/baltimore-county-man-pleads-guilty-distribution-transportation-and-possession-child" TargetMode="External"/><Relationship Id="rId1186" Type="http://schemas.openxmlformats.org/officeDocument/2006/relationships/hyperlink" Target="https://www.justice.gov/usao-sdwv/pr/kanawha-county-man-sentenced-30-years-federal-prison-producing-child-pornography" TargetMode="External"/><Relationship Id="rId4210" Type="http://schemas.openxmlformats.org/officeDocument/2006/relationships/hyperlink" Target="https://archive.vn/lHqUR" TargetMode="External"/><Relationship Id="rId598" Type="http://schemas.openxmlformats.org/officeDocument/2006/relationships/hyperlink" Target="https://www.cbp.gov/newsroom/local-media-release/yuma-sector-border-patrol-arrest-four-attempting-circumvent-immigration" TargetMode="External"/><Relationship Id="rId1187" Type="http://schemas.openxmlformats.org/officeDocument/2006/relationships/hyperlink" Target="https://www.courtlistener.com/docket/7464246/united-states-v-mullins/" TargetMode="External"/><Relationship Id="rId4213" Type="http://schemas.openxmlformats.org/officeDocument/2006/relationships/hyperlink" Target="https://www.justice.gov/usao-ct/pr/bridgeport-resident-charged-possessing-and-trading-images-depicting-sexual-abuse-children" TargetMode="External"/><Relationship Id="rId597" Type="http://schemas.openxmlformats.org/officeDocument/2006/relationships/hyperlink" Target="http://www.vagazette.com/news/va-vg-york-teenagers-accused-prostitution-concealed-weapon-20180917-story.html" TargetMode="External"/><Relationship Id="rId1188" Type="http://schemas.openxmlformats.org/officeDocument/2006/relationships/hyperlink" Target="http://www.nydailynews.com/new-york/ny-metro-feds-extradite-mexican-sex-trafficking-brothers-20181019-story.html" TargetMode="External"/><Relationship Id="rId4212" Type="http://schemas.openxmlformats.org/officeDocument/2006/relationships/hyperlink" Target="https://www.justice.gov/usao-wdny/pr/two-rochester-residents-charged-production-receipt-distribution-and-possession-child" TargetMode="External"/><Relationship Id="rId596" Type="http://schemas.openxmlformats.org/officeDocument/2006/relationships/hyperlink" Target="https://www.cbp.gov/newsroom/local-media-release/human-smuggler-stopped-troopers-border-patrol" TargetMode="External"/><Relationship Id="rId1189" Type="http://schemas.openxmlformats.org/officeDocument/2006/relationships/hyperlink" Target="https://www.ice.gov/news/releases/2-brothers-extradited-us-mexico-face-sex-trafficking-charges" TargetMode="External"/><Relationship Id="rId4215" Type="http://schemas.openxmlformats.org/officeDocument/2006/relationships/hyperlink" Target="https://www.fox6now.com/news/nyc-man-with-wisconsin-ties-gets-60-months-in-prison-for-child-porn" TargetMode="External"/><Relationship Id="rId595" Type="http://schemas.openxmlformats.org/officeDocument/2006/relationships/hyperlink" Target="https://www.courtlistener.com/docket/6820551/united-states-v-ray/" TargetMode="External"/><Relationship Id="rId4214" Type="http://schemas.openxmlformats.org/officeDocument/2006/relationships/hyperlink" Target="https://www.justice.gov/usao-edwi/pr/former-wisconsin-and-new-york-city-schools-official-sentenced-child-pornography-charge" TargetMode="External"/><Relationship Id="rId1136" Type="http://schemas.openxmlformats.org/officeDocument/2006/relationships/hyperlink" Target="https://www.courtlistener.com/docket/6285723/united-states-v-schweitzer/" TargetMode="External"/><Relationship Id="rId2467" Type="http://schemas.openxmlformats.org/officeDocument/2006/relationships/hyperlink" Target="https://www.cbp.gov/newsroom/local-media-release/rio-grande-valley-sector-border-patrol-agents-disrupt-eight-human" TargetMode="External"/><Relationship Id="rId3799" Type="http://schemas.openxmlformats.org/officeDocument/2006/relationships/hyperlink" Target="https://patch.com/pennsylvania/horsham/ex-hatboro-pastor-abused-infant-gets-200-years" TargetMode="External"/><Relationship Id="rId1137" Type="http://schemas.openxmlformats.org/officeDocument/2006/relationships/hyperlink" Target="https://www.justice.gov/usao-mdla/pr/child-pornographer-sentenced-60-months-federal-prison" TargetMode="External"/><Relationship Id="rId2468" Type="http://schemas.openxmlformats.org/officeDocument/2006/relationships/hyperlink" Target="https://www.cbp.gov/newsroom/local-media-release/rio-grande-valley-sector-border-patrol-agents-disrupt-eight-human" TargetMode="External"/><Relationship Id="rId3798" Type="http://schemas.openxmlformats.org/officeDocument/2006/relationships/hyperlink" Target="https://www.justice.gov/usao-edpa/pr/former-hatboro-pastor-sentenced-200-years-sexually-abusing-and-recording-abuse-infant" TargetMode="External"/><Relationship Id="rId1138" Type="http://schemas.openxmlformats.org/officeDocument/2006/relationships/hyperlink" Target="https://www.courtlistener.com/docket/14926042/united-states-v-babin/" TargetMode="External"/><Relationship Id="rId2469" Type="http://schemas.openxmlformats.org/officeDocument/2006/relationships/hyperlink" Target="https://www.cbp.gov/newsroom/local-media-release/rio-grande-valley-sector-border-patrol-agents-disrupt-eight-human" TargetMode="External"/><Relationship Id="rId1139" Type="http://schemas.openxmlformats.org/officeDocument/2006/relationships/hyperlink" Target="https://www.fbi.gov/contact-us/field-offices/sanantonio/news/press-releases/canyon-lake-man-arrested-on-federal-child-pornography-distribution-charge" TargetMode="External"/><Relationship Id="rId547" Type="http://schemas.openxmlformats.org/officeDocument/2006/relationships/hyperlink" Target="https://www.justice.gov/usao-id/pr/spokane-man-sent-prison-traveling-idaho-have-sex-minor" TargetMode="External"/><Relationship Id="rId546" Type="http://schemas.openxmlformats.org/officeDocument/2006/relationships/hyperlink" Target="http://www.fox9.com/news/new-ulm-juvenile-prostitution-sting-leads-to-eight-arrests" TargetMode="External"/><Relationship Id="rId545" Type="http://schemas.openxmlformats.org/officeDocument/2006/relationships/hyperlink" Target="https://www.sctimes.com/story/news/local/2017/08/26/4-charged-after-17-year-old-girl-reports-sex-trafficking-st-cloud/603625001/" TargetMode="External"/><Relationship Id="rId544" Type="http://schemas.openxmlformats.org/officeDocument/2006/relationships/hyperlink" Target="http://kfor.com/2017/08/24/edmond-man-accused-of-distributing-child-pornography/" TargetMode="External"/><Relationship Id="rId549" Type="http://schemas.openxmlformats.org/officeDocument/2006/relationships/hyperlink" Target="https://www.northjersey.com/story/news/crime/2017/07/28/hackensack-man-arrested-child-porn-case/518344001/" TargetMode="External"/><Relationship Id="rId548" Type="http://schemas.openxmlformats.org/officeDocument/2006/relationships/hyperlink" Target="https://www.justice.gov/usao-ne/pr/nebraska-man-sentenced-prison-receipt-child-pornography" TargetMode="External"/><Relationship Id="rId3791" Type="http://schemas.openxmlformats.org/officeDocument/2006/relationships/hyperlink" Target="https://www.rochesterfirst.com/crime/irondequoit-man-sentenced-to-30-years-for-production-of-child-pornography/" TargetMode="External"/><Relationship Id="rId2460" Type="http://schemas.openxmlformats.org/officeDocument/2006/relationships/hyperlink" Target="https://ktla.com/2018/08/10/3-men-charged-with-sex-trafficking-of-2-teenage-girls-in-orange-county/" TargetMode="External"/><Relationship Id="rId3790" Type="http://schemas.openxmlformats.org/officeDocument/2006/relationships/hyperlink" Target="http://archive.fo/vkbpR" TargetMode="External"/><Relationship Id="rId1130" Type="http://schemas.openxmlformats.org/officeDocument/2006/relationships/hyperlink" Target="https://www.courtlistener.com/docket/7363071/united-states-v-vier/" TargetMode="External"/><Relationship Id="rId2461" Type="http://schemas.openxmlformats.org/officeDocument/2006/relationships/hyperlink" Target="https://www.justice.gov/usao-sdia/pr/pottawattamie-county-man-sentenced-prison-possession-child-pornography" TargetMode="External"/><Relationship Id="rId3793" Type="http://schemas.openxmlformats.org/officeDocument/2006/relationships/hyperlink" Target="https://archive.vn/wip/FQGR9" TargetMode="External"/><Relationship Id="rId1131" Type="http://schemas.openxmlformats.org/officeDocument/2006/relationships/hyperlink" Target="http://www.baltimoresun.com/news/maryland/harford/aegis/ph-ag-child-porn-arrest-0124-story.html" TargetMode="External"/><Relationship Id="rId2462" Type="http://schemas.openxmlformats.org/officeDocument/2006/relationships/hyperlink" Target="https://www.courtlistener.com/docket/14765509/united-states-v-bruno/" TargetMode="External"/><Relationship Id="rId3792" Type="http://schemas.openxmlformats.org/officeDocument/2006/relationships/hyperlink" Target="https://archive.vn/wip/IeJXT" TargetMode="External"/><Relationship Id="rId543" Type="http://schemas.openxmlformats.org/officeDocument/2006/relationships/hyperlink" Target="https://www.kiro7.com/news/local/police-brothers-in-their-70s-80s-arrested-in-child-sex-abuse-investigation/596258669" TargetMode="External"/><Relationship Id="rId1132" Type="http://schemas.openxmlformats.org/officeDocument/2006/relationships/hyperlink" Target="https://www.justice.gov/usao-edla/pr/houma-man-pleads-guilty-receiving-child-pornography" TargetMode="External"/><Relationship Id="rId2463" Type="http://schemas.openxmlformats.org/officeDocument/2006/relationships/hyperlink" Target="https://www.justice.gov/usao-sdms/pr/dominican-republic-citizen-pleads-guilty-human-smuggling" TargetMode="External"/><Relationship Id="rId3795" Type="http://schemas.openxmlformats.org/officeDocument/2006/relationships/hyperlink" Target="https://www.justice.gov/usao-wdmo/pr/new-york-man-pleads-guilty-child-sexual-exploitation-missouri-sisters" TargetMode="External"/><Relationship Id="rId542" Type="http://schemas.openxmlformats.org/officeDocument/2006/relationships/hyperlink" Target="https://www.courtlistener.com/?q=&amp;type=r&amp;order_by=score+desc&amp;docket_number=5%3A18-cr-00035&amp;court=nynd" TargetMode="External"/><Relationship Id="rId1133" Type="http://schemas.openxmlformats.org/officeDocument/2006/relationships/hyperlink" Target="https://www.bostonglobe.com/metro/2018/01/24/springfield-pair-charged-with-human-trafficking-massage-parlors/ycyMG7c3V5vLBdBZecLQQM/story.html" TargetMode="External"/><Relationship Id="rId2464" Type="http://schemas.openxmlformats.org/officeDocument/2006/relationships/hyperlink" Target="https://www.courtlistener.com/docket/7727917/united-states-v-rodriguez-tavarez/" TargetMode="External"/><Relationship Id="rId3794" Type="http://schemas.openxmlformats.org/officeDocument/2006/relationships/hyperlink" Target="https://www.justice.gov/usao-ks/pr/shawnee-man-sentenced-5-years-buying-child-porn-site-membership" TargetMode="External"/><Relationship Id="rId541" Type="http://schemas.openxmlformats.org/officeDocument/2006/relationships/hyperlink" Target="https://www.syracuse.com/crime/index.ssf/2017/08/utica_sex_offender_charged_with_taking_illicit_photos_of_2-year-old_girl.html" TargetMode="External"/><Relationship Id="rId1134" Type="http://schemas.openxmlformats.org/officeDocument/2006/relationships/hyperlink" Target="https://www.cbp.gov/newsroom/local-media-release/agents-arrest-2-daca-recipients-involvement-human-smuggling" TargetMode="External"/><Relationship Id="rId2465" Type="http://schemas.openxmlformats.org/officeDocument/2006/relationships/hyperlink" Target="https://www.justice.gov/usao-sc/pr/rock-hill-man-sentenced-25-years-federal-prison-child-pornography-case" TargetMode="External"/><Relationship Id="rId3797" Type="http://schemas.openxmlformats.org/officeDocument/2006/relationships/hyperlink" Target="https://www.justice.gov/usao-wdwa/pr/former-tacoma-resident-pleads-guilty-production-images-child-rape-and-abuse" TargetMode="External"/><Relationship Id="rId540" Type="http://schemas.openxmlformats.org/officeDocument/2006/relationships/hyperlink" Target="https://www.cbp.gov/newsroom/local-media-release/60-illegal-aliens-locked-frigid-trailer-rescued-checkpoint-agents" TargetMode="External"/><Relationship Id="rId1135" Type="http://schemas.openxmlformats.org/officeDocument/2006/relationships/hyperlink" Target="https://www.justice.gov/usao-wdny/pr/canandaigua-man-arrested-child-pornography-charges" TargetMode="External"/><Relationship Id="rId2466" Type="http://schemas.openxmlformats.org/officeDocument/2006/relationships/hyperlink" Target="https://kristv.com/news/local-news/2018/08/07/10505/" TargetMode="External"/><Relationship Id="rId3796" Type="http://schemas.openxmlformats.org/officeDocument/2006/relationships/hyperlink" Target="https://www.justice.gov/usao-sdoh/pr/two-dayton-men-sentenced-federal-prison-time-possessing-child-pornography" TargetMode="External"/><Relationship Id="rId1125" Type="http://schemas.openxmlformats.org/officeDocument/2006/relationships/hyperlink" Target="https://www.justice.gov/usao-ndny/pr/gansevoort-man-arrested-distribution-and-possession-child-pornography" TargetMode="External"/><Relationship Id="rId2456" Type="http://schemas.openxmlformats.org/officeDocument/2006/relationships/hyperlink" Target="http://www.brainerddispatch.com/news/crime-and-courts/4486334-six-arrested-sturgis-motorcycle-rally-sex-sting" TargetMode="External"/><Relationship Id="rId3788" Type="http://schemas.openxmlformats.org/officeDocument/2006/relationships/hyperlink" Target="https://www.courtlistener.com/?q=&amp;type=r&amp;order_by=score+desc&amp;docket_number=2%3A19-cr-00302&amp;court=paed" TargetMode="External"/><Relationship Id="rId1126" Type="http://schemas.openxmlformats.org/officeDocument/2006/relationships/hyperlink" Target="https://www.courtlistener.com/docket/7246327/united-states-v-brackett/" TargetMode="External"/><Relationship Id="rId2457" Type="http://schemas.openxmlformats.org/officeDocument/2006/relationships/hyperlink" Target="https://www.cbp.gov/newsroom/local-media-release/rio-grande-valley-border-patrol-agents-arrest-child-smuggler" TargetMode="External"/><Relationship Id="rId3787" Type="http://schemas.openxmlformats.org/officeDocument/2006/relationships/hyperlink" Target="http://www.theglobaldispatch.com/child-predator-richard-blong-charged-after-luring-teen-girls-on-facebook-to-sexual-encounters/" TargetMode="External"/><Relationship Id="rId1127" Type="http://schemas.openxmlformats.org/officeDocument/2006/relationships/hyperlink" Target="http://www.ibtimes.com/florida-man-arrested-child-porn-while-trying-adopt-child-2643419" TargetMode="External"/><Relationship Id="rId2458" Type="http://schemas.openxmlformats.org/officeDocument/2006/relationships/hyperlink" Target="https://www.justice.gov/usao-wdmo/pr/neosho-sex-offender-sentenced-15-years-child-pornography" TargetMode="External"/><Relationship Id="rId1128" Type="http://schemas.openxmlformats.org/officeDocument/2006/relationships/hyperlink" Target="http://www.themonitor.com/news/local/article_2380b326-5e3f-11e8-bf1d-5318dcd95e90.html" TargetMode="External"/><Relationship Id="rId2459" Type="http://schemas.openxmlformats.org/officeDocument/2006/relationships/hyperlink" Target="http://www.wnem.com/story/38849287/man-nicknamed-murder-charged-with-sex-trafficking-a-15-year-old" TargetMode="External"/><Relationship Id="rId3789" Type="http://schemas.openxmlformats.org/officeDocument/2006/relationships/hyperlink" Target="http://archive.fo/HeFpt" TargetMode="External"/><Relationship Id="rId1129" Type="http://schemas.openxmlformats.org/officeDocument/2006/relationships/hyperlink" Target="https://www.justice.gov/usao-wy/pr/washington-man-sentenced-15-years-prison-interstate-transportation-minors-intent-engage" TargetMode="External"/><Relationship Id="rId536" Type="http://schemas.openxmlformats.org/officeDocument/2006/relationships/hyperlink" Target="http://www.archive.thelickingnews.com/featured/wesley-norris-arrested-on-child-pornography-charges/" TargetMode="External"/><Relationship Id="rId535" Type="http://schemas.openxmlformats.org/officeDocument/2006/relationships/hyperlink" Target="https://www.justice.gov/usao-wdmo/pr/licking-man-sentenced-12-years-child-pornography" TargetMode="External"/><Relationship Id="rId534" Type="http://schemas.openxmlformats.org/officeDocument/2006/relationships/hyperlink" Target="https://www.ice.gov/news/releases/hsi-el-paso-special-agents-discover-23-illegal-aliens-250-pounds-marijuana-tractor" TargetMode="External"/><Relationship Id="rId533" Type="http://schemas.openxmlformats.org/officeDocument/2006/relationships/hyperlink" Target="https://www.justice.gov/usao-sdca/pr/four-defendants-receive-significant-sentences-child-exploitation-crimes" TargetMode="External"/><Relationship Id="rId539" Type="http://schemas.openxmlformats.org/officeDocument/2006/relationships/hyperlink" Target="https://www.justice.gov/usao-mdfl/pr/melbourne-man-sentenced-thirty-years-sexually-exploiting-minors-and-assaulting-federal" TargetMode="External"/><Relationship Id="rId538" Type="http://schemas.openxmlformats.org/officeDocument/2006/relationships/hyperlink" Target="https://www.phillymag.com/news/2017/08/29/roger-wallach-child-porn/" TargetMode="External"/><Relationship Id="rId537" Type="http://schemas.openxmlformats.org/officeDocument/2006/relationships/hyperlink" Target="https://www.courtlistener.com/docket/6256893/united-states-v-norris/" TargetMode="External"/><Relationship Id="rId3780" Type="http://schemas.openxmlformats.org/officeDocument/2006/relationships/hyperlink" Target="https://www.justice.gov/usao-wy/pr/teamwork-between-state-and-federal-agents-nets-substantial-sentneces-exploitation" TargetMode="External"/><Relationship Id="rId2450" Type="http://schemas.openxmlformats.org/officeDocument/2006/relationships/hyperlink" Target="https://www.courtlistener.com/docket/7618469/united-states-v-junek/" TargetMode="External"/><Relationship Id="rId3782" Type="http://schemas.openxmlformats.org/officeDocument/2006/relationships/hyperlink" Target="https://www.justice.gov/usao-wdla/pr/wdla-news-round-0" TargetMode="External"/><Relationship Id="rId1120" Type="http://schemas.openxmlformats.org/officeDocument/2006/relationships/hyperlink" Target="https://www.mlive.com/news/ann-arbor/index.ssf/2018/03/sneaky_pimp_arrested_at_ann_ar.html" TargetMode="External"/><Relationship Id="rId2451" Type="http://schemas.openxmlformats.org/officeDocument/2006/relationships/hyperlink" Target="https://www.ice.gov/news/releases/previously-removed-mexican-man-pleads-guilty-missouri-transporting-illegal-aliens-re" TargetMode="External"/><Relationship Id="rId3781" Type="http://schemas.openxmlformats.org/officeDocument/2006/relationships/hyperlink" Target="https://www.courtlistener.com/docket/15685376/united-states-v-smith/" TargetMode="External"/><Relationship Id="rId532" Type="http://schemas.openxmlformats.org/officeDocument/2006/relationships/hyperlink" Target="https://www.justice.gov/usao-sdca/pr/four-defendants-receive-significant-sentences-child-exploitation-crimes" TargetMode="External"/><Relationship Id="rId1121" Type="http://schemas.openxmlformats.org/officeDocument/2006/relationships/hyperlink" Target="https://www.justice.gov/usao-ri/pr/registered-sex-offender-pleads-guilty-possessing-child-pornography-0" TargetMode="External"/><Relationship Id="rId2452" Type="http://schemas.openxmlformats.org/officeDocument/2006/relationships/hyperlink" Target="http://www.kxxv.com/story/38798275/man-arrested-for-trafficking-after-police-say-he-was-pimping-women-in-waco-area" TargetMode="External"/><Relationship Id="rId3784" Type="http://schemas.openxmlformats.org/officeDocument/2006/relationships/hyperlink" Target="https://archive.vn/G4Wdh" TargetMode="External"/><Relationship Id="rId531" Type="http://schemas.openxmlformats.org/officeDocument/2006/relationships/hyperlink" Target="https://www.rapsheets.org/southcarolina/northcharleston-jail/HAYNES_THOMAS/0001568562" TargetMode="External"/><Relationship Id="rId1122" Type="http://schemas.openxmlformats.org/officeDocument/2006/relationships/hyperlink" Target="https://www.justice.gov/usao-ndoh/pr/police-chief-village-mahoning-county-indicted-child-pornography-charges" TargetMode="External"/><Relationship Id="rId2453" Type="http://schemas.openxmlformats.org/officeDocument/2006/relationships/hyperlink" Target="https://baltimore.cbslocal.com/2018/08/02/child-porn-arrests/" TargetMode="External"/><Relationship Id="rId3783" Type="http://schemas.openxmlformats.org/officeDocument/2006/relationships/hyperlink" Target="https://www.kplctv.com/story/38272340/lagrange-teacher-accused-of-having-sexual-relationship-with-student/" TargetMode="External"/><Relationship Id="rId530" Type="http://schemas.openxmlformats.org/officeDocument/2006/relationships/hyperlink" Target="https://www.justice.gov/usao-sc/pr/west-virginia-man-sentenced-five-years-prison-distributing-and-possessing-child" TargetMode="External"/><Relationship Id="rId1123" Type="http://schemas.openxmlformats.org/officeDocument/2006/relationships/hyperlink" Target="https://www.courtlistener.com/docket/6529985/united-states-v-soloman/" TargetMode="External"/><Relationship Id="rId2454" Type="http://schemas.openxmlformats.org/officeDocument/2006/relationships/hyperlink" Target="https://www.dallasnews.com/news/crime/2018/08/09/texas-couple-accused-using-adopted-children-slave-labor-run-puppy-mill" TargetMode="External"/><Relationship Id="rId3786" Type="http://schemas.openxmlformats.org/officeDocument/2006/relationships/hyperlink" Target="https://www.justice.gov/usao-wy/pr/activity-united-states-attorneys-office-30" TargetMode="External"/><Relationship Id="rId1124" Type="http://schemas.openxmlformats.org/officeDocument/2006/relationships/hyperlink" Target="https://www.cbp.gov/newsroom/local-media-release/k9-team-finds-2-illegal-aliens-vehicle-trunk" TargetMode="External"/><Relationship Id="rId2455" Type="http://schemas.openxmlformats.org/officeDocument/2006/relationships/hyperlink" Target="https://www.fresnobee.com/news/local/crime/article216281190.html" TargetMode="External"/><Relationship Id="rId3785" Type="http://schemas.openxmlformats.org/officeDocument/2006/relationships/hyperlink" Target="https://archive.vn/JageF" TargetMode="External"/><Relationship Id="rId1158" Type="http://schemas.openxmlformats.org/officeDocument/2006/relationships/hyperlink" Target="https://www.cbp.gov/newsroom/local-media-release/laredo-sector-border-patrol-agents-arrest-daca-recipient" TargetMode="External"/><Relationship Id="rId2489" Type="http://schemas.openxmlformats.org/officeDocument/2006/relationships/hyperlink" Target="https://www.cbp.gov/newsroom/local-media-release/smuggler-bails-vehicle-later-arrested-usbp" TargetMode="External"/><Relationship Id="rId1159" Type="http://schemas.openxmlformats.org/officeDocument/2006/relationships/hyperlink" Target="https://www.courtlistener.com/?q=&amp;type=r&amp;order_by=score+desc&amp;docket_number=4%3A18-cr-00082&amp;court=moed" TargetMode="External"/><Relationship Id="rId569" Type="http://schemas.openxmlformats.org/officeDocument/2006/relationships/hyperlink" Target="https://www.justice.gov/usao-me/pr/former-hodgdon-man-sentenced-40-months-possessing-child-pornography" TargetMode="External"/><Relationship Id="rId568" Type="http://schemas.openxmlformats.org/officeDocument/2006/relationships/hyperlink" Target="https://www.courtlistener.com/docket/6588248/united-states-v-tilton/" TargetMode="External"/><Relationship Id="rId567" Type="http://schemas.openxmlformats.org/officeDocument/2006/relationships/hyperlink" Target="https://www.idahostatesman.com/news/local/article198571049.html" TargetMode="External"/><Relationship Id="rId566" Type="http://schemas.openxmlformats.org/officeDocument/2006/relationships/hyperlink" Target="https://www.justice.gov/usao-id/pr/boise-man-sentenced-15-years-prison-distribution-child-pornography" TargetMode="External"/><Relationship Id="rId2480" Type="http://schemas.openxmlformats.org/officeDocument/2006/relationships/hyperlink" Target="https://hcnews.com/pages/updates/massage-parlors-busted-for-prostitution/" TargetMode="External"/><Relationship Id="rId561" Type="http://schemas.openxmlformats.org/officeDocument/2006/relationships/hyperlink" Target="https://archive.vn/gWyeA" TargetMode="External"/><Relationship Id="rId1150" Type="http://schemas.openxmlformats.org/officeDocument/2006/relationships/hyperlink" Target="https://www.cbp.gov/newsroom/local-media-release/local-woman-caught-smuggling-son-tow" TargetMode="External"/><Relationship Id="rId2481" Type="http://schemas.openxmlformats.org/officeDocument/2006/relationships/hyperlink" Target="https://www.cbp.gov/newsroom/local-media-release/tractor-trailer-smuggling-attempt-foiled-rio-grande-valley-sector" TargetMode="External"/><Relationship Id="rId560" Type="http://schemas.openxmlformats.org/officeDocument/2006/relationships/hyperlink" Target="https://www.timesunion.com/news/article/Stillwater-mayor-admits-child-porn-charges-12828948.php" TargetMode="External"/><Relationship Id="rId1151" Type="http://schemas.openxmlformats.org/officeDocument/2006/relationships/hyperlink" Target="https://www.justice.gov/usao-mdfl/pr/jacksonville-man-sentenced-more-eight-years-receiving-child-pornography-over-internet" TargetMode="External"/><Relationship Id="rId2482" Type="http://schemas.openxmlformats.org/officeDocument/2006/relationships/hyperlink" Target="http://theforumnewsgroup.com/2018/08/16/jamaica-man-charged-with-pimping-out-teen-girl/" TargetMode="External"/><Relationship Id="rId1152" Type="http://schemas.openxmlformats.org/officeDocument/2006/relationships/hyperlink" Target="https://www.justice.gov/usao-mdfl/pr/jacksonville-sex-offender-ordered-pay-12000-restitution-victims-child-sexual" TargetMode="External"/><Relationship Id="rId2483" Type="http://schemas.openxmlformats.org/officeDocument/2006/relationships/hyperlink" Target="https://www.justice.gov/usao-wdtx/pr/san-antonio-man-sentenced-federal-prison-child-pornography-charges-0" TargetMode="External"/><Relationship Id="rId1153" Type="http://schemas.openxmlformats.org/officeDocument/2006/relationships/hyperlink" Target="https://www.courtlistener.com/docket/6624040/united-states-v-lipinski/" TargetMode="External"/><Relationship Id="rId2484" Type="http://schemas.openxmlformats.org/officeDocument/2006/relationships/hyperlink" Target="https://www.orlandosentinel.com/business/os-bz-nasa-child-pornography-guilty-20190227-story.html" TargetMode="External"/><Relationship Id="rId565" Type="http://schemas.openxmlformats.org/officeDocument/2006/relationships/hyperlink" Target="https://www.cbp.gov/newsroom/local-media-release/border-patrol-k9-alerts-illegal-aliens-hiding-trunk" TargetMode="External"/><Relationship Id="rId1154" Type="http://schemas.openxmlformats.org/officeDocument/2006/relationships/hyperlink" Target="https://www.ksat.com/news/sa-man-sentenced-to-30-years-for-producing-child-porn-sharing-videos-on-social-media" TargetMode="External"/><Relationship Id="rId2485" Type="http://schemas.openxmlformats.org/officeDocument/2006/relationships/hyperlink" Target="https://www.courtlistener.com/docket/15040491/united-states-v-culotta-jr/" TargetMode="External"/><Relationship Id="rId564" Type="http://schemas.openxmlformats.org/officeDocument/2006/relationships/hyperlink" Target="https://www.mlive.com/news/detroit/index.ssf/2017/08/man_killed_by_pimp_during_date.html" TargetMode="External"/><Relationship Id="rId1155" Type="http://schemas.openxmlformats.org/officeDocument/2006/relationships/hyperlink" Target="https://www.courtlistener.com/docket/6780204/united-states-v-garcia/" TargetMode="External"/><Relationship Id="rId2486" Type="http://schemas.openxmlformats.org/officeDocument/2006/relationships/hyperlink" Target="http://archive.fo/NcfC5" TargetMode="External"/><Relationship Id="rId563" Type="http://schemas.openxmlformats.org/officeDocument/2006/relationships/hyperlink" Target="https://archive.vn/LNbHp" TargetMode="External"/><Relationship Id="rId1156" Type="http://schemas.openxmlformats.org/officeDocument/2006/relationships/hyperlink" Target="http://archive.fo/WGH9j" TargetMode="External"/><Relationship Id="rId2487" Type="http://schemas.openxmlformats.org/officeDocument/2006/relationships/hyperlink" Target="https://www.justice.gov/usao-nj/pr/monmouth-county-new-jersey-man-sentenced-five-years-prison-receiving-child-pornography" TargetMode="External"/><Relationship Id="rId562" Type="http://schemas.openxmlformats.org/officeDocument/2006/relationships/hyperlink" Target="https://archive.vn/OVaJu" TargetMode="External"/><Relationship Id="rId1157" Type="http://schemas.openxmlformats.org/officeDocument/2006/relationships/hyperlink" Target="http://archive.fo/jb3wA" TargetMode="External"/><Relationship Id="rId2488" Type="http://schemas.openxmlformats.org/officeDocument/2006/relationships/hyperlink" Target="https://www.cbp.gov/newsroom/local-media-release/yuma-sector-border-patrol-arrest-united-states-citizen-human-smuggling" TargetMode="External"/><Relationship Id="rId1147" Type="http://schemas.openxmlformats.org/officeDocument/2006/relationships/hyperlink" Target="https://www.courtlistener.com/?q=&amp;type=r&amp;order_by=score+desc&amp;docket_number=1%3A18-cr-00055&amp;court=cod" TargetMode="External"/><Relationship Id="rId2478" Type="http://schemas.openxmlformats.org/officeDocument/2006/relationships/hyperlink" Target="https://www.justice.gov/usao-wdwi/pr/las-vegas-man-charged-producing-child-pornography-and-extortion-threats-stalking" TargetMode="External"/><Relationship Id="rId1148" Type="http://schemas.openxmlformats.org/officeDocument/2006/relationships/hyperlink" Target="https://www.cbp.gov/newsroom/local-media-release/rio-rico-man-arrested-smuggling-illegal-aliens-trunk" TargetMode="External"/><Relationship Id="rId2479" Type="http://schemas.openxmlformats.org/officeDocument/2006/relationships/hyperlink" Target="https://www.cbp.gov/newsroom/local-media-release/14-illegal-aliens-apprehended-after-border-patrol-encounters-two-trucks" TargetMode="External"/><Relationship Id="rId1149" Type="http://schemas.openxmlformats.org/officeDocument/2006/relationships/hyperlink" Target="https://www.cbp.gov/newsroom/local-media-release/nogales-border-patrol-k9-team-finds-2-aliens-trunk" TargetMode="External"/><Relationship Id="rId558" Type="http://schemas.openxmlformats.org/officeDocument/2006/relationships/hyperlink" Target="https://www.justice.gov/usao-mdfl/pr/jacksonville-man-sentenced-five-years-federal-prison-receiving-child-sex-abuse-images" TargetMode="External"/><Relationship Id="rId557" Type="http://schemas.openxmlformats.org/officeDocument/2006/relationships/hyperlink" Target="http://archive.fo/gptEo" TargetMode="External"/><Relationship Id="rId556" Type="http://schemas.openxmlformats.org/officeDocument/2006/relationships/hyperlink" Target="https://www.denverpost.com/2017/08/30/alleged-florida-child-sex-trafficker-pornographer-arrested-denver/" TargetMode="External"/><Relationship Id="rId555" Type="http://schemas.openxmlformats.org/officeDocument/2006/relationships/hyperlink" Target="https://www.justice.gov/usao-ndfl/pr/gainesville-man-sentenced-120-months-prison-obtaining-minor-commercial-sex" TargetMode="External"/><Relationship Id="rId559" Type="http://schemas.openxmlformats.org/officeDocument/2006/relationships/hyperlink" Target="https://www.courtlistener.com/docket/6849283/united-states-v-hagan/" TargetMode="External"/><Relationship Id="rId550" Type="http://schemas.openxmlformats.org/officeDocument/2006/relationships/hyperlink" Target="https://www.cbp.gov/newsroom/local-media-release/man-found-trunk-car-immigration-checkpoint" TargetMode="External"/><Relationship Id="rId2470" Type="http://schemas.openxmlformats.org/officeDocument/2006/relationships/hyperlink" Target="https://www.cbp.gov/newsroom/local-media-release/rio-grande-valley-sector-border-patrol-agents-disrupt-eight-human" TargetMode="External"/><Relationship Id="rId1140" Type="http://schemas.openxmlformats.org/officeDocument/2006/relationships/hyperlink" Target="https://www.cbp.gov/newsroom/local-media-release/laredo-sector-border-patrol-agents-rescue-76-illegal-aliens-tractor" TargetMode="External"/><Relationship Id="rId2471" Type="http://schemas.openxmlformats.org/officeDocument/2006/relationships/hyperlink" Target="https://kywnewsradio.radio.com/articles/news/man-charged-promoting-prostitution-16-year-old-girl-backpagecom" TargetMode="External"/><Relationship Id="rId1141" Type="http://schemas.openxmlformats.org/officeDocument/2006/relationships/hyperlink" Target="https://www.kare11.com/article/news/sex-sting-leads-to-arrests-trafficking-rescues/89-515620928" TargetMode="External"/><Relationship Id="rId2472" Type="http://schemas.openxmlformats.org/officeDocument/2006/relationships/hyperlink" Target="https://www.justice.gov/usao-wdny/pr/rochester-man-pleads-guilty-sex-trafficking-minors" TargetMode="External"/><Relationship Id="rId1142" Type="http://schemas.openxmlformats.org/officeDocument/2006/relationships/hyperlink" Target="https://m.sfgate.com/news/bayarea/article/Santa-Rosa-Mother-Son-Plead-Not-Guilty-To-13101885.php" TargetMode="External"/><Relationship Id="rId2473" Type="http://schemas.openxmlformats.org/officeDocument/2006/relationships/hyperlink" Target="https://www.justice.gov/usao-wdok/pr/oklahoma-city-man-indicted-producing-and-receiving-child-pornography" TargetMode="External"/><Relationship Id="rId554" Type="http://schemas.openxmlformats.org/officeDocument/2006/relationships/hyperlink" Target="https://www.justice.gov/usao-nm/pr/albuquerque-surgeon-pleads-guilty-obstructing-enforcement-child-sex-trafficking-laws" TargetMode="External"/><Relationship Id="rId1143" Type="http://schemas.openxmlformats.org/officeDocument/2006/relationships/hyperlink" Target="https://www.weau.com/content/news/Clark-County-man-charged-with-creating-and-trading-child-pornography-471677504.html" TargetMode="External"/><Relationship Id="rId2474" Type="http://schemas.openxmlformats.org/officeDocument/2006/relationships/hyperlink" Target="https://www.justice.gov/usao-wdok/pr/oklahoma-city-man-sentenced-30-years-prison-producing-child-pornography" TargetMode="External"/><Relationship Id="rId553" Type="http://schemas.openxmlformats.org/officeDocument/2006/relationships/hyperlink" Target="https://www.courtlistener.com/docket/6497306/united-states-v-king/" TargetMode="External"/><Relationship Id="rId1144" Type="http://schemas.openxmlformats.org/officeDocument/2006/relationships/hyperlink" Target="https://www.courtlistener.com/docket/6731019/united-states-v-bartz-mark/" TargetMode="External"/><Relationship Id="rId2475" Type="http://schemas.openxmlformats.org/officeDocument/2006/relationships/hyperlink" Target="https://www.courtlistener.com/docket/7614615/united-states-v-spillane/" TargetMode="External"/><Relationship Id="rId552" Type="http://schemas.openxmlformats.org/officeDocument/2006/relationships/hyperlink" Target="https://www.justice.gov/usao-mdfl/pr/two-time-sex-offender-pleads-guilty-attempted-production-child-pornography" TargetMode="External"/><Relationship Id="rId1145" Type="http://schemas.openxmlformats.org/officeDocument/2006/relationships/hyperlink" Target="https://www.cbp.gov/newsroom/local-media-release/border-patrol-agents-arrest-daca-recipient-human-smuggling" TargetMode="External"/><Relationship Id="rId2476" Type="http://schemas.openxmlformats.org/officeDocument/2006/relationships/hyperlink" Target="https://www.timesunion.com/news/article/8-arrested-in-Colonie-prostitution-sting-13144876.php" TargetMode="External"/><Relationship Id="rId551" Type="http://schemas.openxmlformats.org/officeDocument/2006/relationships/hyperlink" Target="https://www.justice.gov/usao-mdfl/pr/maryland-convicted-sex-offender-sentenced-35-years-committing-another-sex-offense" TargetMode="External"/><Relationship Id="rId1146" Type="http://schemas.openxmlformats.org/officeDocument/2006/relationships/hyperlink" Target="https://www.justice.gov/usao-co/pr/boulder-man-sentenced-federal-prison-possession-child-pornography" TargetMode="External"/><Relationship Id="rId2477" Type="http://schemas.openxmlformats.org/officeDocument/2006/relationships/hyperlink" Target="https://www.nj.com/middlesex/index.ssf/2018/08/nj_high_school_principal_shared_child_porn_cops_say.html" TargetMode="External"/><Relationship Id="rId4280" Type="http://schemas.openxmlformats.org/officeDocument/2006/relationships/hyperlink" Target="https://www.justice.gov/usao-mdfl/pr/st-augustine-man-sentenced-more-fifteen-years-federal-prison-offenses-involving-images" TargetMode="External"/><Relationship Id="rId4282" Type="http://schemas.openxmlformats.org/officeDocument/2006/relationships/hyperlink" Target="https://www.justice.gov/usao-ndok/pr/federal-grand-jury-indictments-announced-3" TargetMode="External"/><Relationship Id="rId4281" Type="http://schemas.openxmlformats.org/officeDocument/2006/relationships/hyperlink" Target="https://www.justice.gov/usao-sdca/pr/north-park-gang-member-who-was-previously-convicted-rico-pleads-guilty-sex-trafficking" TargetMode="External"/><Relationship Id="rId4284" Type="http://schemas.openxmlformats.org/officeDocument/2006/relationships/hyperlink" Target="https://www.justice.gov/usao-wdny/pr/alden-man-arrested-charged-possession-and-receipt-child-pornigraphy" TargetMode="External"/><Relationship Id="rId4283" Type="http://schemas.openxmlformats.org/officeDocument/2006/relationships/hyperlink" Target="https://www.justice.gov/usao-sdga/pr/evans-man-indicted-production-possession-child-pornography" TargetMode="External"/><Relationship Id="rId4286" Type="http://schemas.openxmlformats.org/officeDocument/2006/relationships/hyperlink" Target="https://www.justice.gov/usao-ndga/pr/sixty-one-year-old-polk-county-man-who-met-teenage-girls-online-indicted-multiple" TargetMode="External"/><Relationship Id="rId4285" Type="http://schemas.openxmlformats.org/officeDocument/2006/relationships/hyperlink" Target="https://www.justice.gov/usao-wdpa/pr/erie-man-charged-producing-child-pornography-videos" TargetMode="External"/><Relationship Id="rId4288" Type="http://schemas.openxmlformats.org/officeDocument/2006/relationships/hyperlink" Target="https://www.justice.gov/usao-ma/pr/attleboro-man-indicted-child-pornography-charges" TargetMode="External"/><Relationship Id="rId4287" Type="http://schemas.openxmlformats.org/officeDocument/2006/relationships/hyperlink" Target="https://www.justice.gov/usao-sdny/pr/brooklyn-man-sentenced-20-years-prison-conspiring-sex-traffic-minor-victims" TargetMode="External"/><Relationship Id="rId4289" Type="http://schemas.openxmlformats.org/officeDocument/2006/relationships/hyperlink" Target="https://www.washingtonpost.com/local/legal-issues/website-selling-real-rape-and-child-pornography-videos-shut-down-after-arrest-in-netherlands-us-justice-department-says/2020/03/12/5f9f02ce-6471-11ea-acca-80c22bbee96f_story.html" TargetMode="External"/><Relationship Id="rId4271" Type="http://schemas.openxmlformats.org/officeDocument/2006/relationships/hyperlink" Target="https://dailycaller.com/2020/06/24/ohio-child-sex-trafficking-drug-addicted-mothers-larry-dean-porter/" TargetMode="External"/><Relationship Id="rId4270" Type="http://schemas.openxmlformats.org/officeDocument/2006/relationships/hyperlink" Target="https://dailycaller.com/2020/06/24/ohio-child-sex-trafficking-drug-addicted-mothers-larry-dean-porter/" TargetMode="External"/><Relationship Id="rId4273" Type="http://schemas.openxmlformats.org/officeDocument/2006/relationships/hyperlink" Target="https://dailycaller.com/2020/06/24/ohio-child-sex-trafficking-drug-addicted-mothers-larry-dean-porter/" TargetMode="External"/><Relationship Id="rId4272" Type="http://schemas.openxmlformats.org/officeDocument/2006/relationships/hyperlink" Target="https://dailycaller.com/2020/06/24/ohio-child-sex-trafficking-drug-addicted-mothers-larry-dean-porter/" TargetMode="External"/><Relationship Id="rId4275" Type="http://schemas.openxmlformats.org/officeDocument/2006/relationships/hyperlink" Target="https://dailycaller.com/2020/06/24/ohio-child-sex-trafficking-drug-addicted-mothers-larry-dean-porter/" TargetMode="External"/><Relationship Id="rId4274" Type="http://schemas.openxmlformats.org/officeDocument/2006/relationships/hyperlink" Target="https://dailycaller.com/2020/06/24/ohio-child-sex-trafficking-drug-addicted-mothers-larry-dean-porter/" TargetMode="External"/><Relationship Id="rId4277" Type="http://schemas.openxmlformats.org/officeDocument/2006/relationships/hyperlink" Target="http://archive.vn/4cyUS" TargetMode="External"/><Relationship Id="rId4276" Type="http://schemas.openxmlformats.org/officeDocument/2006/relationships/hyperlink" Target="https://dailycaller.com/2020/06/24/ohio-child-sex-trafficking-drug-addicted-mothers-larry-dean-porter/" TargetMode="External"/><Relationship Id="rId4279" Type="http://schemas.openxmlformats.org/officeDocument/2006/relationships/hyperlink" Target="http://archive.vn/4cyUS" TargetMode="External"/><Relationship Id="rId4278" Type="http://schemas.openxmlformats.org/officeDocument/2006/relationships/hyperlink" Target="https://dailycaller.com/2020/06/24/ohio-child-sex-trafficking-drug-addicted-mothers-larry-dean-porter/" TargetMode="External"/><Relationship Id="rId4291" Type="http://schemas.openxmlformats.org/officeDocument/2006/relationships/hyperlink" Target="https://www.thebexarcountyjail.com/in-the-news/officer-arrested-on-child-pornography-charge/" TargetMode="External"/><Relationship Id="rId4290" Type="http://schemas.openxmlformats.org/officeDocument/2006/relationships/hyperlink" Target="https://www.justice.gov/usao-ndny/pr/gloversville-man-charged-distributing-child-pornography" TargetMode="External"/><Relationship Id="rId4293" Type="http://schemas.openxmlformats.org/officeDocument/2006/relationships/hyperlink" Target="https://archive.vn/6nFjl" TargetMode="External"/><Relationship Id="rId4292" Type="http://schemas.openxmlformats.org/officeDocument/2006/relationships/hyperlink" Target="https://archive.vn/wip/2c1gz" TargetMode="External"/><Relationship Id="rId4295" Type="http://schemas.openxmlformats.org/officeDocument/2006/relationships/hyperlink" Target="https://www.justice.gov/usao-ndia/pr/man-who-solicited-nudes-children-online-sentenced-federal-prison" TargetMode="External"/><Relationship Id="rId4294" Type="http://schemas.openxmlformats.org/officeDocument/2006/relationships/hyperlink" Target="https://www.justice.gov/usao-mdfl/pr/orlando-man-sentenced-nine-years-federal-prison-and-lifetime-supervision-receiving" TargetMode="External"/><Relationship Id="rId4297" Type="http://schemas.openxmlformats.org/officeDocument/2006/relationships/hyperlink" Target="https://www.europol.europa.eu/newsroom/news/90-suspects-identified-in-major-online-child-sexual-abuse-operation" TargetMode="External"/><Relationship Id="rId4296" Type="http://schemas.openxmlformats.org/officeDocument/2006/relationships/hyperlink" Target="https://www.justice.gov/usao-nj/pr/monmouth-county-man-charged-producing-and-distributing-child-pornography" TargetMode="External"/><Relationship Id="rId4299" Type="http://schemas.openxmlformats.org/officeDocument/2006/relationships/hyperlink" Target="https://www.justice.gov/usao-sdga/pr/evans-man-indicted-possession-child-pornography" TargetMode="External"/><Relationship Id="rId4298" Type="http://schemas.openxmlformats.org/officeDocument/2006/relationships/hyperlink" Target="https://www.theage.com.au/national/victoria/children-rescued-three-victorians-arrested-in-alleged-global-child-abuse-ring-bust-20200420-p54lco.html" TargetMode="External"/><Relationship Id="rId4249" Type="http://schemas.openxmlformats.org/officeDocument/2006/relationships/hyperlink" Target="https://www.justice.gov/usao-edwi/pr/menominee-man-indicted-possession-child-pornography-menominee-indian-reservation" TargetMode="External"/><Relationship Id="rId4240" Type="http://schemas.openxmlformats.org/officeDocument/2006/relationships/hyperlink" Target="https://www.justice.gov/usao-ri/pr/new-jersey-man-sentenced-cyberstalking-receiving-child-pornography" TargetMode="External"/><Relationship Id="rId4242" Type="http://schemas.openxmlformats.org/officeDocument/2006/relationships/hyperlink" Target="https://archive.vn/rhjSD" TargetMode="External"/><Relationship Id="rId4241" Type="http://schemas.openxmlformats.org/officeDocument/2006/relationships/hyperlink" Target="https://archive.vn/ZyFrT" TargetMode="External"/><Relationship Id="rId4244" Type="http://schemas.openxmlformats.org/officeDocument/2006/relationships/hyperlink" Target="https://www.fbi.gov/contact-us/field-offices/cleveland/news/press-releases/the-cleveland-fbi-announce-the-arrest-of-christopher-hanna-for-child-pornography" TargetMode="External"/><Relationship Id="rId4243" Type="http://schemas.openxmlformats.org/officeDocument/2006/relationships/hyperlink" Target="https://www.justice.gov/usao-wdpa/pr/former-erie-man-facing-child-exploitation-charges" TargetMode="External"/><Relationship Id="rId4246" Type="http://schemas.openxmlformats.org/officeDocument/2006/relationships/hyperlink" Target="https://www.justice.gov/usao-pr/pr/ponce-man-arrested-charges-child-pornography" TargetMode="External"/><Relationship Id="rId4245" Type="http://schemas.openxmlformats.org/officeDocument/2006/relationships/hyperlink" Target="https://www.justice.gov/usao-edva/pr/jury-convicts-man-producing-images-child-sexual-abuse" TargetMode="External"/><Relationship Id="rId4248" Type="http://schemas.openxmlformats.org/officeDocument/2006/relationships/hyperlink" Target="https://www.justice.gov/usao-mdpa/pr/gettysburg-man-charged-receipt-and-possession-child-pornography" TargetMode="External"/><Relationship Id="rId4247" Type="http://schemas.openxmlformats.org/officeDocument/2006/relationships/hyperlink" Target="https://www.justice.gov/usao-ma/pr/dorchester-man-charged-sex-trafficking" TargetMode="External"/><Relationship Id="rId4239" Type="http://schemas.openxmlformats.org/officeDocument/2006/relationships/hyperlink" Target="https://www.justice.gov/usao-wdla/pr/lake-charles-man-sentenced-child-pornography-charges" TargetMode="External"/><Relationship Id="rId4238" Type="http://schemas.openxmlformats.org/officeDocument/2006/relationships/hyperlink" Target="https://archive.vn/Y9sxP" TargetMode="External"/><Relationship Id="rId495" Type="http://schemas.openxmlformats.org/officeDocument/2006/relationships/hyperlink" Target="http://archive.is/hWU3y" TargetMode="External"/><Relationship Id="rId4231" Type="http://schemas.openxmlformats.org/officeDocument/2006/relationships/hyperlink" Target="https://www.justice.gov/usao-ak/pr/anchorage-motivational-speaker-indicted-federal-child-pornography-charges" TargetMode="External"/><Relationship Id="rId494" Type="http://schemas.openxmlformats.org/officeDocument/2006/relationships/hyperlink" Target="https://www.lehighvalleylive.com/news/index.ssf/2017/08/furry_party_sex_trafficker_agr.html" TargetMode="External"/><Relationship Id="rId4230" Type="http://schemas.openxmlformats.org/officeDocument/2006/relationships/hyperlink" Target="https://www.justice.gov/usao-edky/pr/madison-county-man-indicted-offenses-involving-sexually-explicit-images-minors" TargetMode="External"/><Relationship Id="rId493" Type="http://schemas.openxmlformats.org/officeDocument/2006/relationships/hyperlink" Target="https://www.justice.gov/usao-mdpa/pr/monroe-county-man-sentenced-30-years-imprisonment-sex-trafficking-minor-0" TargetMode="External"/><Relationship Id="rId4233" Type="http://schemas.openxmlformats.org/officeDocument/2006/relationships/hyperlink" Target="https://www.cbp.gov/newsroom/local-media-release/human-smugglers-plans-go-awry-rio-grande-valley" TargetMode="External"/><Relationship Id="rId492" Type="http://schemas.openxmlformats.org/officeDocument/2006/relationships/hyperlink" Target="https://www.justice.gov/usao-ma/pr/revere-man-pleads-guilty-child-pornography-charge" TargetMode="External"/><Relationship Id="rId4232" Type="http://schemas.openxmlformats.org/officeDocument/2006/relationships/hyperlink" Target="https://www.justice.gov/usao-wdny/pr/webster-man-pleads-guilty-child-pornography-charge" TargetMode="External"/><Relationship Id="rId499" Type="http://schemas.openxmlformats.org/officeDocument/2006/relationships/hyperlink" Target="https://www.ksfy.com/content/news/Sturgis-Rally-undercover-sex-stings-nab-at-least-8-suspects-440725413.html" TargetMode="External"/><Relationship Id="rId4235" Type="http://schemas.openxmlformats.org/officeDocument/2006/relationships/hyperlink" Target="https://www.justice.gov/usao-edny/pr/queens-man-indicted-sexual-exploitation-and-child-pornography-charges" TargetMode="External"/><Relationship Id="rId498" Type="http://schemas.openxmlformats.org/officeDocument/2006/relationships/hyperlink" Target="https://www.justice.gov/usao-sd/pr/connecticut-man-sentenced-8-years-attempted-receipt-child-pornography" TargetMode="External"/><Relationship Id="rId4234" Type="http://schemas.openxmlformats.org/officeDocument/2006/relationships/hyperlink" Target="https://www.justice.gov/usao-ndok/pr/sapulpa-man-sentenced-sexually-abusing-two-children-and-sharing-photographs-abuse" TargetMode="External"/><Relationship Id="rId497" Type="http://schemas.openxmlformats.org/officeDocument/2006/relationships/hyperlink" Target="https://www.justice.gov/usao-sdny/pr/bronx-man-charged-manhattan-federal-court-sex-trafficking-minors-and-other-offenses" TargetMode="External"/><Relationship Id="rId4237" Type="http://schemas.openxmlformats.org/officeDocument/2006/relationships/hyperlink" Target="https://archive.vn/MkNk9" TargetMode="External"/><Relationship Id="rId496" Type="http://schemas.openxmlformats.org/officeDocument/2006/relationships/hyperlink" Target="https://archive.fo/kXQdf" TargetMode="External"/><Relationship Id="rId4236" Type="http://schemas.openxmlformats.org/officeDocument/2006/relationships/hyperlink" Target="https://www.pix11.com/news/local-news/queens/queens-man-accused-of-sexually-abusing-children-police-believe-there-are-additional-victims" TargetMode="External"/><Relationship Id="rId4260" Type="http://schemas.openxmlformats.org/officeDocument/2006/relationships/hyperlink" Target="https://www.justice.gov/usao-nj/pr/ocean-county-man-charged-online-enticement-minor-and-possession-child-pornography" TargetMode="External"/><Relationship Id="rId4262" Type="http://schemas.openxmlformats.org/officeDocument/2006/relationships/hyperlink" Target="https://www.justice.gov/usao-sdms/pr/perkinston-man-pleads-guilty-producing-child-pornography" TargetMode="External"/><Relationship Id="rId4261" Type="http://schemas.openxmlformats.org/officeDocument/2006/relationships/hyperlink" Target="https://www.justice.gov/usao-ak/pr/former-kivalina-teacher-arrested-and-charged-child-exploitation-crimes" TargetMode="External"/><Relationship Id="rId4264" Type="http://schemas.openxmlformats.org/officeDocument/2006/relationships/hyperlink" Target="https://www.justice.gov/usao-edky/pr/danville-man-pleads-guilty-child-pornography-charge" TargetMode="External"/><Relationship Id="rId4263" Type="http://schemas.openxmlformats.org/officeDocument/2006/relationships/hyperlink" Target="https://www.justice.gov/usao-mdtn/pr/bon-aqua-man-sentenced-federal-prison-child-pornography-crime" TargetMode="External"/><Relationship Id="rId4266" Type="http://schemas.openxmlformats.org/officeDocument/2006/relationships/hyperlink" Target="https://archive.vn/i8pLI" TargetMode="External"/><Relationship Id="rId4265" Type="http://schemas.openxmlformats.org/officeDocument/2006/relationships/hyperlink" Target="https://www.wtrf.com/ohio-county/wheeling-man-admits-to-child-pornography-charge/" TargetMode="External"/><Relationship Id="rId4268" Type="http://schemas.openxmlformats.org/officeDocument/2006/relationships/hyperlink" Target="https://www.justice.gov/usao-edpa/pr/former-cumru-township-police-lieutenant-pleads-guilty-child-pornography-offenses" TargetMode="External"/><Relationship Id="rId4267" Type="http://schemas.openxmlformats.org/officeDocument/2006/relationships/hyperlink" Target="https://bad-boys.us/?q=crinkey" TargetMode="External"/><Relationship Id="rId4269" Type="http://schemas.openxmlformats.org/officeDocument/2006/relationships/hyperlink" Target="https://dailycaller.com/2020/06/24/ohio-child-sex-trafficking-drug-addicted-mothers-larry-dean-porter/" TargetMode="External"/><Relationship Id="rId4251" Type="http://schemas.openxmlformats.org/officeDocument/2006/relationships/hyperlink" Target="https://www.justice.gov/usao-wdnc/pr/waxhaw-nc-man-sentenced-30-years-producing-child-pornography" TargetMode="External"/><Relationship Id="rId4250" Type="http://schemas.openxmlformats.org/officeDocument/2006/relationships/hyperlink" Target="https://www.justice.gov/usao-sd/pr/convicted-embezzler-charged-illegal-sexual-conduct-and-possession-child-pornography" TargetMode="External"/><Relationship Id="rId4253" Type="http://schemas.openxmlformats.org/officeDocument/2006/relationships/hyperlink" Target="https://www.justice.gov/usao-ndil/pr/chicago-man-arrested-child-pornography-charge-allegedly-enticing-underage-girl-produce" TargetMode="External"/><Relationship Id="rId4252" Type="http://schemas.openxmlformats.org/officeDocument/2006/relationships/hyperlink" Target="https://www.pacermonitor.com/public/case/33083551/USA_v_Seely" TargetMode="External"/><Relationship Id="rId4255" Type="http://schemas.openxmlformats.org/officeDocument/2006/relationships/hyperlink" Target="https://www.justice.gov/usao-cdil/pr/three-bloomington-men-indicted-charges-child-sex-trafficking-child-pornography" TargetMode="External"/><Relationship Id="rId4254" Type="http://schemas.openxmlformats.org/officeDocument/2006/relationships/hyperlink" Target="https://www.justice.gov/usao-pr/pr/orocovis-man-arrested-massachusetts-charges-child-pornography" TargetMode="External"/><Relationship Id="rId4257" Type="http://schemas.openxmlformats.org/officeDocument/2006/relationships/hyperlink" Target="https://www.justice.gov/usao-ks/pr/grand-jury-indicts-kansas-man-who-fled-troopers" TargetMode="External"/><Relationship Id="rId4256" Type="http://schemas.openxmlformats.org/officeDocument/2006/relationships/hyperlink" Target="https://www.justice.gov/usao-mdpa/pr/gettysburg-man-charged-receipt-and-distribution-child-pornography" TargetMode="External"/><Relationship Id="rId4259" Type="http://schemas.openxmlformats.org/officeDocument/2006/relationships/hyperlink" Target="https://www.justice.gov/usao-cdil/pr/three-bloomington-men-indicted-charges-child-sex-trafficking-child-pornography" TargetMode="External"/><Relationship Id="rId4258" Type="http://schemas.openxmlformats.org/officeDocument/2006/relationships/hyperlink" Target="https://www.justice.gov/usao-ndny/pr/schenectady-man-charged-attempted-child-exploitation" TargetMode="External"/><Relationship Id="rId3810" Type="http://schemas.openxmlformats.org/officeDocument/2006/relationships/hyperlink" Target="http://archive.fo/cEI6Q" TargetMode="External"/><Relationship Id="rId3812" Type="http://schemas.openxmlformats.org/officeDocument/2006/relationships/hyperlink" Target="https://www.justice.gov/usao-sdga/pr/three-men-admit-producing-child-pornography" TargetMode="External"/><Relationship Id="rId3811" Type="http://schemas.openxmlformats.org/officeDocument/2006/relationships/hyperlink" Target="https://www.courtlistener.com/docket/14957607/united-states-v-wolfe/" TargetMode="External"/><Relationship Id="rId3814" Type="http://schemas.openxmlformats.org/officeDocument/2006/relationships/hyperlink" Target="https://www.justice.gov/usao-wdny/pr/olean-man-indicted-seeking-naked-pictures-young-girls-social-media" TargetMode="External"/><Relationship Id="rId3813" Type="http://schemas.openxmlformats.org/officeDocument/2006/relationships/hyperlink" Target="https://www.justice.gov/usao-mdpa/pr/luzerne-county-man-guilty-receiving-child-pornography" TargetMode="External"/><Relationship Id="rId3816" Type="http://schemas.openxmlformats.org/officeDocument/2006/relationships/hyperlink" Target="https://www.justice.gov/usao-edar/pr/carlisle-man-sentenced-15-years-prison-distribution-child-pornography" TargetMode="External"/><Relationship Id="rId3815" Type="http://schemas.openxmlformats.org/officeDocument/2006/relationships/hyperlink" Target="https://www.justice.gov/usao-wdtx/pr/san-antonio-man-sentenced-30-years-federal-prison-distribution-and-possession-child" TargetMode="External"/><Relationship Id="rId3818" Type="http://schemas.openxmlformats.org/officeDocument/2006/relationships/hyperlink" Target="https://www.justice.gov/usao-sdfl/pr/california-man-sentenced-30-years-federal-prison-child-pornography-crimes" TargetMode="External"/><Relationship Id="rId3817" Type="http://schemas.openxmlformats.org/officeDocument/2006/relationships/hyperlink" Target="https://www.justice.gov/usao-sdia/pr/kalona-man-sentenced-25-years-prison-child-pornography-charges" TargetMode="External"/><Relationship Id="rId3819" Type="http://schemas.openxmlformats.org/officeDocument/2006/relationships/hyperlink" Target="https://www.justice.gov/usao-ndin/pr/claypool-man-sentenced-over-24-years-prison" TargetMode="External"/><Relationship Id="rId3801" Type="http://schemas.openxmlformats.org/officeDocument/2006/relationships/hyperlink" Target="https://archive.vn/wip/rOKov" TargetMode="External"/><Relationship Id="rId3800" Type="http://schemas.openxmlformats.org/officeDocument/2006/relationships/hyperlink" Target="https://archive.vn/wip/X0LWn" TargetMode="External"/><Relationship Id="rId3803" Type="http://schemas.openxmlformats.org/officeDocument/2006/relationships/hyperlink" Target="https://www.justice.gov/usao-mt/pr/plains-main-admits-child-pornography-crimes-0" TargetMode="External"/><Relationship Id="rId3802" Type="http://schemas.openxmlformats.org/officeDocument/2006/relationships/hyperlink" Target="https://www.justice.gov/usao-ndia/pr/sergeant-bluff-man-sentenced-federal-prison-child-pornography-conviction" TargetMode="External"/><Relationship Id="rId3805" Type="http://schemas.openxmlformats.org/officeDocument/2006/relationships/hyperlink" Target="https://www.justice.gov/usao-wdtx/pr/temple-man-sentenced-200-months-federal-prison-possession-child-pornography" TargetMode="External"/><Relationship Id="rId3804" Type="http://schemas.openxmlformats.org/officeDocument/2006/relationships/hyperlink" Target="https://www.justice.gov/usao-wdny/pr/rush-man-pleads-guilty-possession-child-pornography" TargetMode="External"/><Relationship Id="rId3807" Type="http://schemas.openxmlformats.org/officeDocument/2006/relationships/hyperlink" Target="https://www.justice.gov/usao-wdtx/pr/odessa-man-pleads-guilty-federal-child-pornography-production-charge" TargetMode="External"/><Relationship Id="rId3806" Type="http://schemas.openxmlformats.org/officeDocument/2006/relationships/hyperlink" Target="https://www.justice.gov/usao-wdwa/pr/california-man-who-hacked-nintendo-servers-steal-video-games-and-other-proprietary" TargetMode="External"/><Relationship Id="rId3809" Type="http://schemas.openxmlformats.org/officeDocument/2006/relationships/hyperlink" Target="http://archive.is/wazfF" TargetMode="External"/><Relationship Id="rId3808" Type="http://schemas.openxmlformats.org/officeDocument/2006/relationships/hyperlink" Target="https://www.newswest9.com/article/news/local/odessa-minister-rearrested-for-continuous-sexual-abuse-of-child/513-bf1b9088-169d-4f3d-9b55-c8cda1c712ae" TargetMode="External"/><Relationship Id="rId1213" Type="http://schemas.openxmlformats.org/officeDocument/2006/relationships/hyperlink" Target="https://www.foxnews.com/us/retired-priest-who-fought-against-child-sex-abuse-arrested-for-child-pornography-report" TargetMode="External"/><Relationship Id="rId2544" Type="http://schemas.openxmlformats.org/officeDocument/2006/relationships/hyperlink" Target="https://www.courtlistener.com/?q=&amp;type=r&amp;order_by=score+desc&amp;docket_number=2%3A18-cr-00352&amp;court=paed" TargetMode="External"/><Relationship Id="rId3876" Type="http://schemas.openxmlformats.org/officeDocument/2006/relationships/hyperlink" Target="https://www.justice.gov/usao-md/pr/previously-convicted-sex-offender-pleads-guilty-federal-charge-enticement-minor-engage" TargetMode="External"/><Relationship Id="rId1214" Type="http://schemas.openxmlformats.org/officeDocument/2006/relationships/hyperlink" Target="http://archive.fo/WAkgS" TargetMode="External"/><Relationship Id="rId2545" Type="http://schemas.openxmlformats.org/officeDocument/2006/relationships/hyperlink" Target="https://www.justice.gov/usao-ma/pr/brighton-man-charged-child-pornography-offenses" TargetMode="External"/><Relationship Id="rId3875" Type="http://schemas.openxmlformats.org/officeDocument/2006/relationships/hyperlink" Target="https://www.justice.gov/usao-ma/pr/danvers-man-sentenced-possession-child-pornography" TargetMode="External"/><Relationship Id="rId1215" Type="http://schemas.openxmlformats.org/officeDocument/2006/relationships/hyperlink" Target="http://archive.fo/9oZty" TargetMode="External"/><Relationship Id="rId2546" Type="http://schemas.openxmlformats.org/officeDocument/2006/relationships/hyperlink" Target="https://www.courtlistener.com/docket/7796239/united-states-v-chiu/" TargetMode="External"/><Relationship Id="rId3878" Type="http://schemas.openxmlformats.org/officeDocument/2006/relationships/hyperlink" Target="https://www.thedenverchannel.com/news/crime/boulder-man-sentenced-to-more-than-15-years-in-prison-for-possession-of-child-porn" TargetMode="External"/><Relationship Id="rId1216" Type="http://schemas.openxmlformats.org/officeDocument/2006/relationships/hyperlink" Target="https://www.cbp.gov/newsroom/local-media-release/tucson-man-arrested-smuggling-6-aliens" TargetMode="External"/><Relationship Id="rId2547" Type="http://schemas.openxmlformats.org/officeDocument/2006/relationships/hyperlink" Target="http://www.fox5atlanta.com/news/officials-2-women-arrested-during-massage-parlor-sting-operation" TargetMode="External"/><Relationship Id="rId3877" Type="http://schemas.openxmlformats.org/officeDocument/2006/relationships/hyperlink" Target="https://www.justice.gov/usao-pr/pr/r-o-grande-man-sentenced-17-years-prison-production-child-pornography" TargetMode="External"/><Relationship Id="rId1217" Type="http://schemas.openxmlformats.org/officeDocument/2006/relationships/hyperlink" Target="https://www.cbp.gov/newsroom/local-media-release/agents-thwart-another-human-smuggling-attempt" TargetMode="External"/><Relationship Id="rId2548" Type="http://schemas.openxmlformats.org/officeDocument/2006/relationships/hyperlink" Target="https://www.wftv.com/news/local/osceola-church-employee-arrested-on-child-pornography-charges-deputies-say/817676724" TargetMode="External"/><Relationship Id="rId1218" Type="http://schemas.openxmlformats.org/officeDocument/2006/relationships/hyperlink" Target="http://www.ksbw.com/article/8-girls-rescued-from-salinas-human-trafficking-ring/18203879" TargetMode="External"/><Relationship Id="rId2549" Type="http://schemas.openxmlformats.org/officeDocument/2006/relationships/hyperlink" Target="https://www.al.com/news/index.ssf/2018/08/navy_man_arrested_on_child_por.html" TargetMode="External"/><Relationship Id="rId3879" Type="http://schemas.openxmlformats.org/officeDocument/2006/relationships/hyperlink" Target="https://archive.vn/ZU4X7" TargetMode="External"/><Relationship Id="rId1219" Type="http://schemas.openxmlformats.org/officeDocument/2006/relationships/hyperlink" Target="https://www.justice.gov/usao-wdny/pr/man-who-used-free-wi-fi-rochester-laundromat-download-child-porn-going-prison" TargetMode="External"/><Relationship Id="rId3870" Type="http://schemas.openxmlformats.org/officeDocument/2006/relationships/hyperlink" Target="https://nypost.com/2021/02/08/ex-nj-child-protective-worker-admits-making-child-porn-feds/" TargetMode="External"/><Relationship Id="rId2540" Type="http://schemas.openxmlformats.org/officeDocument/2006/relationships/hyperlink" Target="https://www.courtlistener.com/?q=&amp;type=r&amp;order_by=score+desc&amp;docket_number=2%3A18-cr-00352&amp;court=paed" TargetMode="External"/><Relationship Id="rId3872" Type="http://schemas.openxmlformats.org/officeDocument/2006/relationships/hyperlink" Target="https://archive.vn/wip/xfYoS" TargetMode="External"/><Relationship Id="rId1210" Type="http://schemas.openxmlformats.org/officeDocument/2006/relationships/hyperlink" Target="https://www.sacbee.com/news/local/crime/article197946819.html" TargetMode="External"/><Relationship Id="rId2541" Type="http://schemas.openxmlformats.org/officeDocument/2006/relationships/hyperlink" Target="https://www.courtlistener.com/?q=&amp;type=r&amp;order_by=score+desc&amp;docket_number=2%3A18-cr-00352&amp;court=paed" TargetMode="External"/><Relationship Id="rId3871" Type="http://schemas.openxmlformats.org/officeDocument/2006/relationships/hyperlink" Target="https://archive.vn/wip/UNYMQ" TargetMode="External"/><Relationship Id="rId1211" Type="http://schemas.openxmlformats.org/officeDocument/2006/relationships/hyperlink" Target="https://www.justice.gov/usao-vt/pr/two-men-charged-alien-smuggling" TargetMode="External"/><Relationship Id="rId2542" Type="http://schemas.openxmlformats.org/officeDocument/2006/relationships/hyperlink" Target="https://archive.vn/wip/l2G7p" TargetMode="External"/><Relationship Id="rId3874" Type="http://schemas.openxmlformats.org/officeDocument/2006/relationships/hyperlink" Target="https://www.justice.gov/usao-edva/pr/former-newport-news-teacher-sentenced-child-pornography" TargetMode="External"/><Relationship Id="rId1212" Type="http://schemas.openxmlformats.org/officeDocument/2006/relationships/hyperlink" Target="https://thegoldwater.com/news/18449-New-Allegations-For-Former-Priest-Found-With-Child-Porn-LSD-And-Ecstasy" TargetMode="External"/><Relationship Id="rId2543" Type="http://schemas.openxmlformats.org/officeDocument/2006/relationships/hyperlink" Target="https://allongeorgia.com/national-news/members-of-nationwide-child-exploitation-enterprise-sentenced-to-prison/" TargetMode="External"/><Relationship Id="rId3873" Type="http://schemas.openxmlformats.org/officeDocument/2006/relationships/hyperlink" Target="https://www.justice.gov/usao-sdia/pr/west-des-moines-man-sentenced-eighteen-years-prison-transportation-child-pornography" TargetMode="External"/><Relationship Id="rId1202" Type="http://schemas.openxmlformats.org/officeDocument/2006/relationships/hyperlink" Target="https://www.courtlistener.com/?q=&amp;type=r&amp;order_by=score+desc&amp;docket_number=8%3A18-cr-00068&amp;court=flmd" TargetMode="External"/><Relationship Id="rId2533" Type="http://schemas.openxmlformats.org/officeDocument/2006/relationships/hyperlink" Target="http://www.ocala.com/news/20180822/ocala-man-charged-with-20-counts-of-child-porn" TargetMode="External"/><Relationship Id="rId3865" Type="http://schemas.openxmlformats.org/officeDocument/2006/relationships/hyperlink" Target="https://archive.vn/B2FnN" TargetMode="External"/><Relationship Id="rId1203" Type="http://schemas.openxmlformats.org/officeDocument/2006/relationships/hyperlink" Target="https://www.justice.gov/usao-edwa/pr/spokane-man-sentenced-20-years-federal-prison-child-exploitation-offenses-across" TargetMode="External"/><Relationship Id="rId2534" Type="http://schemas.openxmlformats.org/officeDocument/2006/relationships/hyperlink" Target="https://www.kyma.com/news/border-patrol-operation-blazing-sands-make-arrests-in-human-smuggle-attempt/785311069" TargetMode="External"/><Relationship Id="rId3864" Type="http://schemas.openxmlformats.org/officeDocument/2006/relationships/hyperlink" Target="https://archive.vn/bmFXK" TargetMode="External"/><Relationship Id="rId1204" Type="http://schemas.openxmlformats.org/officeDocument/2006/relationships/hyperlink" Target="https://www.courtlistener.com/docket/7234573/united-states-v-holden/" TargetMode="External"/><Relationship Id="rId2535" Type="http://schemas.openxmlformats.org/officeDocument/2006/relationships/hyperlink" Target="https://www.cbp.gov/newsroom/local-media-release/laredo-sector-border-patrol-agents-apprehend-18-illegal-aliens-inside" TargetMode="External"/><Relationship Id="rId3867" Type="http://schemas.openxmlformats.org/officeDocument/2006/relationships/hyperlink" Target="https://www.justice.gov/usao-ut/pr/pandemic-shutdown-not-stopping-child-exploitation-cases-according-utah-federal" TargetMode="External"/><Relationship Id="rId1205" Type="http://schemas.openxmlformats.org/officeDocument/2006/relationships/hyperlink" Target="https://www.justice.gov/usao-edtx/pr/jasper-county-woman-sentenced-production-child-pornography" TargetMode="External"/><Relationship Id="rId2536" Type="http://schemas.openxmlformats.org/officeDocument/2006/relationships/hyperlink" Target="https://wgntv.com/2018/08/23/missouri-mother-accused-of-selling-disabled-daughter-for-sex/" TargetMode="External"/><Relationship Id="rId3866" Type="http://schemas.openxmlformats.org/officeDocument/2006/relationships/hyperlink" Target="https://www.justice.gov/usao-wdnc/pr/repeat-offender-sentenced-more-10-years-child-pornography" TargetMode="External"/><Relationship Id="rId1206" Type="http://schemas.openxmlformats.org/officeDocument/2006/relationships/hyperlink" Target="https://www.courtlistener.com/docket/7655870/united-states-v-trahan/" TargetMode="External"/><Relationship Id="rId2537" Type="http://schemas.openxmlformats.org/officeDocument/2006/relationships/hyperlink" Target="https://www.cbp.gov/newsroom/local-media-release/cbp-hidalgo-seizes-cocaine-worth-500k-arrests-child-smuggler" TargetMode="External"/><Relationship Id="rId3869" Type="http://schemas.openxmlformats.org/officeDocument/2006/relationships/hyperlink" Target="https://www.justice.gov/usao-ndok/pr/mexican-national-sentenced-600-months-sex-crimes-against-child" TargetMode="External"/><Relationship Id="rId1207" Type="http://schemas.openxmlformats.org/officeDocument/2006/relationships/hyperlink" Target="https://www.justice.gov/usao-mdpa/pr/luzerne-county-man-sentenced-15-years-imprisonment-receiving-child-pornography" TargetMode="External"/><Relationship Id="rId2538" Type="http://schemas.openxmlformats.org/officeDocument/2006/relationships/hyperlink" Target="https://www.justice.gov/usao-edpa/pr/members-nationwide-child-exploitation-enterprise-sentenced-prison" TargetMode="External"/><Relationship Id="rId3868" Type="http://schemas.openxmlformats.org/officeDocument/2006/relationships/hyperlink" Target="https://www.justice.gov/usao-ndok/pr/final-operation-independence-day-defendant-pleads-guilty-attempted-receipt-child" TargetMode="External"/><Relationship Id="rId1208" Type="http://schemas.openxmlformats.org/officeDocument/2006/relationships/hyperlink" Target="https://www.courtlistener.com/docket/8397103/united-states-v-collier/" TargetMode="External"/><Relationship Id="rId2539" Type="http://schemas.openxmlformats.org/officeDocument/2006/relationships/hyperlink" Target="https://allongeorgia.com/national-news/members-of-nationwide-child-exploitation-enterprise-sentenced-to-prison/" TargetMode="External"/><Relationship Id="rId1209" Type="http://schemas.openxmlformats.org/officeDocument/2006/relationships/hyperlink" Target="http://archive.fo/esTK1" TargetMode="External"/><Relationship Id="rId3861" Type="http://schemas.openxmlformats.org/officeDocument/2006/relationships/hyperlink" Target="http://archive.fo/WiDtc" TargetMode="External"/><Relationship Id="rId2530" Type="http://schemas.openxmlformats.org/officeDocument/2006/relationships/hyperlink" Target="https://www.thespec.com/news-story/8853460-girl-rescued-from-burlington-hotel-in-alleged-sex-trafficking-case/" TargetMode="External"/><Relationship Id="rId3860" Type="http://schemas.openxmlformats.org/officeDocument/2006/relationships/hyperlink" Target="http://www.wfmj.com/story/40810076/ymcas-former-camp-fitch-executive-director-facing-child-pornography-charge" TargetMode="External"/><Relationship Id="rId1200" Type="http://schemas.openxmlformats.org/officeDocument/2006/relationships/hyperlink" Target="https://www.justice.gov/usao-mdfl/pr/former-pasco-county-assistant-principal-pleads-guilty-producing-distributing-and" TargetMode="External"/><Relationship Id="rId2531" Type="http://schemas.openxmlformats.org/officeDocument/2006/relationships/hyperlink" Target="https://www.cbp.gov/newsroom/local-media-release/border-patrol-arrests-alien-smuggler-after-failing-yield" TargetMode="External"/><Relationship Id="rId3863" Type="http://schemas.openxmlformats.org/officeDocument/2006/relationships/hyperlink" Target="https://www.kake.com/story/42373399/kansas-priest-sentenced-to-over-3-years-in-federal-prison-for-possession-of-child-pornography" TargetMode="External"/><Relationship Id="rId1201" Type="http://schemas.openxmlformats.org/officeDocument/2006/relationships/hyperlink" Target="https://www.wfla.com/news/pasco-county/pasco-school-district-stunned-by-federal-child-porn-charges-against-assistant-principal/1030553399" TargetMode="External"/><Relationship Id="rId2532" Type="http://schemas.openxmlformats.org/officeDocument/2006/relationships/hyperlink" Target="https://www.cbp.gov/newsroom/local-media-release/operation-blazing-sands-nets-first-arrest" TargetMode="External"/><Relationship Id="rId3862" Type="http://schemas.openxmlformats.org/officeDocument/2006/relationships/hyperlink" Target="http://archive.fo/RwxhI" TargetMode="External"/><Relationship Id="rId1235" Type="http://schemas.openxmlformats.org/officeDocument/2006/relationships/hyperlink" Target="https://www.courtlistener.com/docket/6307950/united-states-v-hamlett/" TargetMode="External"/><Relationship Id="rId2566" Type="http://schemas.openxmlformats.org/officeDocument/2006/relationships/hyperlink" Target="https://baltimore.cbslocal.com/2018/08/24/army-captain-indicted-on-charges-of-enticing-minor-to-engage-in-unlawful-sexual-activity-transferring-obscene-material-to-a-minor/" TargetMode="External"/><Relationship Id="rId3898" Type="http://schemas.openxmlformats.org/officeDocument/2006/relationships/hyperlink" Target="https://www.click2houston.com/news/local-deputy-accused-of-cyberstalking-girl-from-massachusetts-via-video-game" TargetMode="External"/><Relationship Id="rId1236" Type="http://schemas.openxmlformats.org/officeDocument/2006/relationships/hyperlink" Target="https://bustednewspaper.com/mo-greene-brandon-david-cuddihe-2018-02-08-090100/" TargetMode="External"/><Relationship Id="rId2567" Type="http://schemas.openxmlformats.org/officeDocument/2006/relationships/hyperlink" Target="https://www.justice.gov/usao-ri/pr/westerly-resident-federal-supervised-release-child-pornography-conviction-charged" TargetMode="External"/><Relationship Id="rId3897" Type="http://schemas.openxmlformats.org/officeDocument/2006/relationships/hyperlink" Target="https://www.justice.gov/usao-ndny/pr/delaware-county-man-pleads-guilty-child-pornography-offenses" TargetMode="External"/><Relationship Id="rId1237" Type="http://schemas.openxmlformats.org/officeDocument/2006/relationships/hyperlink" Target="https://www.justice.gov/usao-wdky/pr/louisville-man-pleads-guilty-attempted-enticement-distribution-and-possession-child" TargetMode="External"/><Relationship Id="rId2568" Type="http://schemas.openxmlformats.org/officeDocument/2006/relationships/hyperlink" Target="https://www.courtlistener.com/docket/7915171/united-states-v-estus/" TargetMode="External"/><Relationship Id="rId1238" Type="http://schemas.openxmlformats.org/officeDocument/2006/relationships/hyperlink" Target="https://www.bereaonline.com/2018/02/beshear-jefferson-county-man-arrested-for-allegedly-seeking-sex-with-minor/" TargetMode="External"/><Relationship Id="rId2569" Type="http://schemas.openxmlformats.org/officeDocument/2006/relationships/hyperlink" Target="https://www.cbp.gov/newsroom/local-media-release/yuma-sector-border-patrol-arrests-two-us-citizens-human-smuggling-event" TargetMode="External"/><Relationship Id="rId3899" Type="http://schemas.openxmlformats.org/officeDocument/2006/relationships/hyperlink" Target="http://archive.fo/Tqp1I" TargetMode="External"/><Relationship Id="rId1239" Type="http://schemas.openxmlformats.org/officeDocument/2006/relationships/hyperlink" Target="https://www.courtlistener.com/docket/6898993/united-states-v-baunach/" TargetMode="External"/><Relationship Id="rId409" Type="http://schemas.openxmlformats.org/officeDocument/2006/relationships/hyperlink" Target="https://www.justice.gov/usao-wdla/pr/carencro-man-sentenced-7-years-prison-possessing-child-pornography" TargetMode="External"/><Relationship Id="rId404" Type="http://schemas.openxmlformats.org/officeDocument/2006/relationships/hyperlink" Target="https://www.courtlistener.com/?q=&amp;type=r&amp;order_by=score+desc&amp;docket_number=2%3A18-cr-00193&amp;court=paed" TargetMode="External"/><Relationship Id="rId403" Type="http://schemas.openxmlformats.org/officeDocument/2006/relationships/hyperlink" Target="https://www.justice.gov/usao-edpa/pr/three-convicted-trial-sex-trafficking-minors-and-others" TargetMode="External"/><Relationship Id="rId402" Type="http://schemas.openxmlformats.org/officeDocument/2006/relationships/hyperlink" Target="https://www.justice.gov/usao-ri/pr/rhode-island-man-facing-15-40-years-prison-child-pornography-charges" TargetMode="External"/><Relationship Id="rId401" Type="http://schemas.openxmlformats.org/officeDocument/2006/relationships/hyperlink" Target="http://archive.fo/t21mI" TargetMode="External"/><Relationship Id="rId408" Type="http://schemas.openxmlformats.org/officeDocument/2006/relationships/hyperlink" Target="https://www.kiiitv.com/article/news/crime/woman-accused-of-trafficking-nine-year-old-for-sex-enters-plea/461085085" TargetMode="External"/><Relationship Id="rId407" Type="http://schemas.openxmlformats.org/officeDocument/2006/relationships/hyperlink" Target="https://www.ice.gov/news/releases/south-texas-woman-pleads-guilty-sex-trafficking-9-year-old-girl" TargetMode="External"/><Relationship Id="rId406" Type="http://schemas.openxmlformats.org/officeDocument/2006/relationships/hyperlink" Target="https://www.courtlistener.com/?q=&amp;type=r&amp;order_by=score+desc&amp;docket_number=2%3A18-cr-00193&amp;court=paed" TargetMode="External"/><Relationship Id="rId405" Type="http://schemas.openxmlformats.org/officeDocument/2006/relationships/hyperlink" Target="https://www.justice.gov/usao-edpa/pr/three-convicted-trial-sex-trafficking-minors-and-others" TargetMode="External"/><Relationship Id="rId3890" Type="http://schemas.openxmlformats.org/officeDocument/2006/relationships/hyperlink" Target="https://www.justice.gov/usao-sdfl/pr/boca-raton-man-sentenced-federal-child-pornography-charges" TargetMode="External"/><Relationship Id="rId2560" Type="http://schemas.openxmlformats.org/officeDocument/2006/relationships/hyperlink" Target="http://www.kwch.com/content/news/SWAT-team-responds-to-situation-in-SW-Wichita--491636561.html" TargetMode="External"/><Relationship Id="rId3892" Type="http://schemas.openxmlformats.org/officeDocument/2006/relationships/hyperlink" Target="https://www.justice.gov/usao-wdny/pr/buffalo-photographer-pleads-guilty-production-child-pornography" TargetMode="External"/><Relationship Id="rId1230" Type="http://schemas.openxmlformats.org/officeDocument/2006/relationships/hyperlink" Target="https://www.wishtv.com/news/local-news/white-co-man-arrested-for-child-exploitation/1064030336" TargetMode="External"/><Relationship Id="rId2561" Type="http://schemas.openxmlformats.org/officeDocument/2006/relationships/hyperlink" Target="https://myfox8.com/2018/08/24/lexington-man-arrested-on-human-trafficking-after-13-year-old-reports-sexual-encounters-drugs/" TargetMode="External"/><Relationship Id="rId3891" Type="http://schemas.openxmlformats.org/officeDocument/2006/relationships/hyperlink" Target="https://www.cbp.gov/newsroom/local-media-release/armed-tucson-man-arrested-human-smuggling" TargetMode="External"/><Relationship Id="rId400" Type="http://schemas.openxmlformats.org/officeDocument/2006/relationships/hyperlink" Target="https://web.archive.org/web/20190726160144/https://kvoa.com/news/local-news/2019/05/08/tucsonan-gets-90-years-in-prison-for-producing-distributing-child-porn/" TargetMode="External"/><Relationship Id="rId1231" Type="http://schemas.openxmlformats.org/officeDocument/2006/relationships/hyperlink" Target="https://www.justice.gov/usao-co/pr/weld-county-man-sentenced-over-10-years-federal-prison-possession-child-pornography" TargetMode="External"/><Relationship Id="rId2562" Type="http://schemas.openxmlformats.org/officeDocument/2006/relationships/hyperlink" Target="https://www.cbp.gov/newsroom/local-media-release/operation-blazing-sands-yields-arrest-three-more-smugglers" TargetMode="External"/><Relationship Id="rId3894" Type="http://schemas.openxmlformats.org/officeDocument/2006/relationships/hyperlink" Target="https://archive.vn/thVxp" TargetMode="External"/><Relationship Id="rId1232" Type="http://schemas.openxmlformats.org/officeDocument/2006/relationships/hyperlink" Target="https://www.courtlistener.com/docket/6323411/united-states-v-wietecha-jr/" TargetMode="External"/><Relationship Id="rId2563" Type="http://schemas.openxmlformats.org/officeDocument/2006/relationships/hyperlink" Target="https://www.cbp.gov/newsroom/local-media-release/high-risks-high-speeds-encountered-border-patrol-checkpoints-rio-grande" TargetMode="External"/><Relationship Id="rId3893" Type="http://schemas.openxmlformats.org/officeDocument/2006/relationships/hyperlink" Target="https://www.wgrz.com/article/news/crime/buffalo-photographer-arrested-and-charged-with-possessing-child-porn/71-21cf6adc-cef2-4b43-b1a6-e27ab52bda1b" TargetMode="External"/><Relationship Id="rId1233" Type="http://schemas.openxmlformats.org/officeDocument/2006/relationships/hyperlink" Target="https://www.courtlistener.com/docket/6543566/united-states-v-macgregor/" TargetMode="External"/><Relationship Id="rId2564" Type="http://schemas.openxmlformats.org/officeDocument/2006/relationships/hyperlink" Target="http://www.kwtx.com/content/news/Local-solicitation-operation-leads-to-three-arrests-492950741.html" TargetMode="External"/><Relationship Id="rId3896" Type="http://schemas.openxmlformats.org/officeDocument/2006/relationships/hyperlink" Target="https://www.justice.gov/usao-ednc/pr/florida-woman-sentenced-sex-trafficking-minor" TargetMode="External"/><Relationship Id="rId1234" Type="http://schemas.openxmlformats.org/officeDocument/2006/relationships/hyperlink" Target="https://www.justice.gov/usao-ct/pr/hartford-man-guilty-sex-trafficking-minors-child-pornography-offenses" TargetMode="External"/><Relationship Id="rId2565" Type="http://schemas.openxmlformats.org/officeDocument/2006/relationships/hyperlink" Target="https://www.justice.gov/usao-md/pr/army-captain-indicted-charges-enticement-minor-engage-unlawful-sexual-activity-and" TargetMode="External"/><Relationship Id="rId3895" Type="http://schemas.openxmlformats.org/officeDocument/2006/relationships/hyperlink" Target="https://www.justice.gov/usao-ct/pr/former-new-haven-resident-admits-possessing-child-sex-abuse-images" TargetMode="External"/><Relationship Id="rId1224" Type="http://schemas.openxmlformats.org/officeDocument/2006/relationships/hyperlink" Target="https://www.courtlistener.com/docket/6457326/united-states-v-ragsdale/" TargetMode="External"/><Relationship Id="rId2555" Type="http://schemas.openxmlformats.org/officeDocument/2006/relationships/hyperlink" Target="https://www.courtlistener.com/docket/7912212/united-states-v-garza/" TargetMode="External"/><Relationship Id="rId3887" Type="http://schemas.openxmlformats.org/officeDocument/2006/relationships/hyperlink" Target="https://www.msn.com/en-us/news/crime/iowa-man-sentenced-on-production-of-child-pornography-charges/ar-BB1bPgrs" TargetMode="External"/><Relationship Id="rId1225" Type="http://schemas.openxmlformats.org/officeDocument/2006/relationships/hyperlink" Target="https://news.sky.com/story/dawn-raids-on-suspected-people-trafficking-gang-sees-arrests-in-cleveland-london-and-east-sussex-11238635" TargetMode="External"/><Relationship Id="rId2556" Type="http://schemas.openxmlformats.org/officeDocument/2006/relationships/hyperlink" Target="https://www.courtlistener.com/?q=&amp;type=r&amp;order_by=score+desc&amp;docket_number=5%3A18-cr-00263&amp;court=nynd" TargetMode="External"/><Relationship Id="rId3886" Type="http://schemas.openxmlformats.org/officeDocument/2006/relationships/hyperlink" Target="https://www.justice.gov/usao-sdia/pr/des-moines-man-sentenced-27-years-prison-production-child-pornography" TargetMode="External"/><Relationship Id="rId1226" Type="http://schemas.openxmlformats.org/officeDocument/2006/relationships/hyperlink" Target="https://www.justice.gov/usao-edwa/pr/youth-baseball-umpire-sentenced-over-17-years-federal-prison-distribution-and-receipt" TargetMode="External"/><Relationship Id="rId2557" Type="http://schemas.openxmlformats.org/officeDocument/2006/relationships/hyperlink" Target="https://www.fox23.com/news/man-charged-in-connection-with-using-dating-app-for-human-trafficking-in-tulsa/819144211" TargetMode="External"/><Relationship Id="rId3889" Type="http://schemas.openxmlformats.org/officeDocument/2006/relationships/hyperlink" Target="https://archive.vn/xV0kH" TargetMode="External"/><Relationship Id="rId1227" Type="http://schemas.openxmlformats.org/officeDocument/2006/relationships/hyperlink" Target="https://www.justice.gov/usao-ks/pr/kansas-man-charged-sex-trafficking" TargetMode="External"/><Relationship Id="rId2558" Type="http://schemas.openxmlformats.org/officeDocument/2006/relationships/hyperlink" Target="https://www.centexproud.com/news/local/human-trafficking-raid-at-local-spa/1391081862" TargetMode="External"/><Relationship Id="rId3888" Type="http://schemas.openxmlformats.org/officeDocument/2006/relationships/hyperlink" Target="https://archive.vn/KKFxn" TargetMode="External"/><Relationship Id="rId1228" Type="http://schemas.openxmlformats.org/officeDocument/2006/relationships/hyperlink" Target="https://www.courtlistener.com/docket/6526895/united-states-v-rogers/" TargetMode="External"/><Relationship Id="rId2559" Type="http://schemas.openxmlformats.org/officeDocument/2006/relationships/hyperlink" Target="https://www.northjersey.com/story/news/crime/2018/08/23/northvale-nj-man-arrested-possession-child-pornography/1077611002/" TargetMode="External"/><Relationship Id="rId1229" Type="http://schemas.openxmlformats.org/officeDocument/2006/relationships/hyperlink" Target="https://www.courtlistener.com/docket/14826559/united-states-v-maysonet-galarza/" TargetMode="External"/><Relationship Id="rId3881" Type="http://schemas.openxmlformats.org/officeDocument/2006/relationships/hyperlink" Target="https://www.justice.gov/usao-ne/pr/nebraska-city-man-sentenced-child-pornography" TargetMode="External"/><Relationship Id="rId2550" Type="http://schemas.openxmlformats.org/officeDocument/2006/relationships/hyperlink" Target="https://www.clickorlando.com/news/orlando-man-arrested-on-child-pornography-molestation-charges" TargetMode="External"/><Relationship Id="rId3880" Type="http://schemas.openxmlformats.org/officeDocument/2006/relationships/hyperlink" Target="https://archive.vn/PbJMP" TargetMode="External"/><Relationship Id="rId1220" Type="http://schemas.openxmlformats.org/officeDocument/2006/relationships/hyperlink" Target="https://www.justice.gov/usao-nj/pr/three-inmates-fort-dix-federal-prison-arrested-distributing-and-possessing-images-child" TargetMode="External"/><Relationship Id="rId2551" Type="http://schemas.openxmlformats.org/officeDocument/2006/relationships/hyperlink" Target="https://www.cbp.gov/newsroom/local-media-release/laredo-sector-border-patrol-agents-arrest-assaultive-illegal-alien" TargetMode="External"/><Relationship Id="rId3883" Type="http://schemas.openxmlformats.org/officeDocument/2006/relationships/hyperlink" Target="https://www.fbi.gov/contact-us/field-offices/portland/news/press-releases/former-eugene-elementary-school-teacher-pleads-guilty-for-sexually-abusing-15-year-old" TargetMode="External"/><Relationship Id="rId1221" Type="http://schemas.openxmlformats.org/officeDocument/2006/relationships/hyperlink" Target="https://www.justice.gov/usao-nj/pr/federal-inmate-fort-dix-sentenced-additional-10-years-possessing-images-and-videos-child" TargetMode="External"/><Relationship Id="rId2552" Type="http://schemas.openxmlformats.org/officeDocument/2006/relationships/hyperlink" Target="http://www.sun-sentinel.com/local/palm-beach/fl-pn-pbso-child-porn-arrest-20180824-story.html" TargetMode="External"/><Relationship Id="rId3882" Type="http://schemas.openxmlformats.org/officeDocument/2006/relationships/hyperlink" Target="https://www.justice.gov/usao-edwi/pr/registered-sex-offender-sentenced-25-years-prison-sex-offenses-against-two-minors-one" TargetMode="External"/><Relationship Id="rId1222" Type="http://schemas.openxmlformats.org/officeDocument/2006/relationships/hyperlink" Target="http://www.hutchpost.com/hutchinson-man-arrested-on-federal-indictment/" TargetMode="External"/><Relationship Id="rId2553" Type="http://schemas.openxmlformats.org/officeDocument/2006/relationships/hyperlink" Target="https://www.breitbart.com/texas/2018/08/27/daca-recipient-arrested-for-alleged-human-smuggling-in-texas/" TargetMode="External"/><Relationship Id="rId3885" Type="http://schemas.openxmlformats.org/officeDocument/2006/relationships/hyperlink" Target="https://archive.vn/wip/Xq48b" TargetMode="External"/><Relationship Id="rId1223" Type="http://schemas.openxmlformats.org/officeDocument/2006/relationships/hyperlink" Target="https://www.justice.gov/usao-ks/pr/kansas-man-charged-distributing-child-porn" TargetMode="External"/><Relationship Id="rId2554" Type="http://schemas.openxmlformats.org/officeDocument/2006/relationships/hyperlink" Target="https://www.justice.gov/usao-sdtx/pr/jury-convicts-los-fresnos-woman-alien-smuggling" TargetMode="External"/><Relationship Id="rId3884" Type="http://schemas.openxmlformats.org/officeDocument/2006/relationships/hyperlink" Target="https://archive.vn/wip/9c5ka" TargetMode="External"/><Relationship Id="rId2500" Type="http://schemas.openxmlformats.org/officeDocument/2006/relationships/hyperlink" Target="https://www.wsoctv.com/news/local/man-accused-of-sexual-assault-forcing-victim-into-prostitution-to-appear-in-court/813485237" TargetMode="External"/><Relationship Id="rId3832" Type="http://schemas.openxmlformats.org/officeDocument/2006/relationships/hyperlink" Target="https://www.justice.gov/usao-wdtx/pr/federal-judge-waco-hands-down-prison-terms-project-safe-childhood-defendants" TargetMode="External"/><Relationship Id="rId2501" Type="http://schemas.openxmlformats.org/officeDocument/2006/relationships/hyperlink" Target="https://www.cbp.gov/newsroom/local-media-release/two-pursuits-two-days-usbp-agents-arrest-10-people" TargetMode="External"/><Relationship Id="rId3831" Type="http://schemas.openxmlformats.org/officeDocument/2006/relationships/hyperlink" Target="https://www.justice.gov/usao-wdny/pr/rochester-man-going-prison-10-years-child-pornography-charge" TargetMode="External"/><Relationship Id="rId2502" Type="http://schemas.openxmlformats.org/officeDocument/2006/relationships/hyperlink" Target="https://www.cbp.gov/newsroom/local-media-release/two-pursuits-two-days-usbp-agents-arrest-10-people" TargetMode="External"/><Relationship Id="rId3834" Type="http://schemas.openxmlformats.org/officeDocument/2006/relationships/hyperlink" Target="https://www.justice.gov/usao-mdfl/pr/hillsborough-county-man-sentenced-19-years-enticement-minor-and-production-child" TargetMode="External"/><Relationship Id="rId2503" Type="http://schemas.openxmlformats.org/officeDocument/2006/relationships/hyperlink" Target="https://www.justice.gov/usao-ndok/pr/claremore-man-sentenced-30-years-prison-sexually-exploiting-child" TargetMode="External"/><Relationship Id="rId3833" Type="http://schemas.openxmlformats.org/officeDocument/2006/relationships/hyperlink" Target="https://www.justice.gov/usao-wdar/pr/washington-state-man-sentenced-over-17-years-federal-prison-child-exploitation" TargetMode="External"/><Relationship Id="rId2504" Type="http://schemas.openxmlformats.org/officeDocument/2006/relationships/hyperlink" Target="https://www.tulsaworld.com/homepagelatest/man-arrested-on-sexual-abuse-and-child-pornography-complaints-after/article_c177de16-2980-588b-8a78-9bf469622251.html" TargetMode="External"/><Relationship Id="rId3836" Type="http://schemas.openxmlformats.org/officeDocument/2006/relationships/hyperlink" Target="https://www.stargazette.com/story/news/public-safety/2020/09/17/horseheads-man-faces-40-years-prison-after-child-porn-guilty-plea/3484083001/" TargetMode="External"/><Relationship Id="rId2505" Type="http://schemas.openxmlformats.org/officeDocument/2006/relationships/hyperlink" Target="https://www.courtlistener.com/docket/7974724/united-states-v-newberry/" TargetMode="External"/><Relationship Id="rId3835" Type="http://schemas.openxmlformats.org/officeDocument/2006/relationships/hyperlink" Target="https://www.justice.gov/usao-wdny/pr/horseheads-man-prior-rape-conviction-pleads-guilty-receipt-child-pornography" TargetMode="External"/><Relationship Id="rId2506" Type="http://schemas.openxmlformats.org/officeDocument/2006/relationships/hyperlink" Target="https://www.wpbf.com/article/update-prostitution-ring-busted-in-west-palm-beach/22752155" TargetMode="External"/><Relationship Id="rId3838" Type="http://schemas.openxmlformats.org/officeDocument/2006/relationships/hyperlink" Target="https://www.justice.gov/usao-wdny/pr/rochester-man-going-back-prison-decade-possession-child-pornography" TargetMode="External"/><Relationship Id="rId2507" Type="http://schemas.openxmlformats.org/officeDocument/2006/relationships/hyperlink" Target="https://www.keloland.com/news/local-news/two-massage-parlors-operating-without-licenses-in-sioux-falls/1376305879" TargetMode="External"/><Relationship Id="rId3837" Type="http://schemas.openxmlformats.org/officeDocument/2006/relationships/hyperlink" Target="https://archive.vn/wip/bYF5i" TargetMode="External"/><Relationship Id="rId2508" Type="http://schemas.openxmlformats.org/officeDocument/2006/relationships/hyperlink" Target="https://www.sfchronicle.com/news/crime/article/Man-accused-of-sex-trafficking-in-9-states-13160572.php" TargetMode="External"/><Relationship Id="rId2509" Type="http://schemas.openxmlformats.org/officeDocument/2006/relationships/hyperlink" Target="https://www.courant.com/breaking-news/hc-br-fromer-uconn-professor-arrested-child-porn-20180907-story.html" TargetMode="External"/><Relationship Id="rId3839" Type="http://schemas.openxmlformats.org/officeDocument/2006/relationships/hyperlink" Target="https://www.justice.gov/usao-sdtx/pr/houston-man-gets-life-trafficking-girls-sex" TargetMode="External"/><Relationship Id="rId3830" Type="http://schemas.openxmlformats.org/officeDocument/2006/relationships/hyperlink" Target="https://www.justice.gov/usao-edva/pr/portsmouth-man-pleads-guilty-child-sex-trafficking" TargetMode="External"/><Relationship Id="rId3821" Type="http://schemas.openxmlformats.org/officeDocument/2006/relationships/hyperlink" Target="https://archive.vn/wip/wrBR1" TargetMode="External"/><Relationship Id="rId3820" Type="http://schemas.openxmlformats.org/officeDocument/2006/relationships/hyperlink" Target="https://wbsm.com/former-new-bedford-cop-sentenced-for-child-porn/" TargetMode="External"/><Relationship Id="rId3823" Type="http://schemas.openxmlformats.org/officeDocument/2006/relationships/hyperlink" Target="https://www.justice.gov/usao-wdla/pr/wdla-news-round-0" TargetMode="External"/><Relationship Id="rId3822" Type="http://schemas.openxmlformats.org/officeDocument/2006/relationships/hyperlink" Target="https://archive.vn/wip/QyT9y" TargetMode="External"/><Relationship Id="rId3825" Type="http://schemas.openxmlformats.org/officeDocument/2006/relationships/hyperlink" Target="https://archive.vn/mO977" TargetMode="External"/><Relationship Id="rId3824" Type="http://schemas.openxmlformats.org/officeDocument/2006/relationships/hyperlink" Target="https://baptistnews.com/article/another-southern-baptist-minister-charged-with-child-abuse/" TargetMode="External"/><Relationship Id="rId3827" Type="http://schemas.openxmlformats.org/officeDocument/2006/relationships/hyperlink" Target="https://www.justice.gov/usao-mdfl/pr/sex-offender-sentenced-more-15-years-sexually-exploiting-children" TargetMode="External"/><Relationship Id="rId3826" Type="http://schemas.openxmlformats.org/officeDocument/2006/relationships/hyperlink" Target="https://archive.vn/Msuxt" TargetMode="External"/><Relationship Id="rId3829" Type="http://schemas.openxmlformats.org/officeDocument/2006/relationships/hyperlink" Target="https://www.justice.gov/usao-ndny/pr/broome-county-man-sentenced-36-months-possessing-child-pornography" TargetMode="External"/><Relationship Id="rId3828" Type="http://schemas.openxmlformats.org/officeDocument/2006/relationships/hyperlink" Target="https://www.justice.gov/usao-ndin/pr/repeat-sex-offender-sentenced-25-years-prison" TargetMode="External"/><Relationship Id="rId2522" Type="http://schemas.openxmlformats.org/officeDocument/2006/relationships/hyperlink" Target="https://archive.vn/xZYkl" TargetMode="External"/><Relationship Id="rId3854" Type="http://schemas.openxmlformats.org/officeDocument/2006/relationships/hyperlink" Target="http://archive.vn/ttUpM" TargetMode="External"/><Relationship Id="rId2523" Type="http://schemas.openxmlformats.org/officeDocument/2006/relationships/hyperlink" Target="https://archive.vn/uA1G0" TargetMode="External"/><Relationship Id="rId3853" Type="http://schemas.openxmlformats.org/officeDocument/2006/relationships/hyperlink" Target="http://archive.vn/SsmBN" TargetMode="External"/><Relationship Id="rId2524" Type="http://schemas.openxmlformats.org/officeDocument/2006/relationships/hyperlink" Target="https://www.justice.gov/opa/pr/ten-men-sentenced-prison-their-roles-child-exploitation-enterprise-and-conspiracy" TargetMode="External"/><Relationship Id="rId3856" Type="http://schemas.openxmlformats.org/officeDocument/2006/relationships/hyperlink" Target="https://www.foxnews.com/us/billionaire-jeffrey-epstein-arrested-and-charged-with-sex-trafficking" TargetMode="External"/><Relationship Id="rId2525" Type="http://schemas.openxmlformats.org/officeDocument/2006/relationships/hyperlink" Target="https://www.cbp.gov/newsroom/local-media-release/border-patrol-disrupts-smuggling-attempt-rio-grande-valley" TargetMode="External"/><Relationship Id="rId3855" Type="http://schemas.openxmlformats.org/officeDocument/2006/relationships/hyperlink" Target="https://www.justice.gov/usao-sdny/pr/jeffrey-epstein-charged-manhattan-federal-court-sex-trafficking-minors" TargetMode="External"/><Relationship Id="rId2526" Type="http://schemas.openxmlformats.org/officeDocument/2006/relationships/hyperlink" Target="https://www.wsbradio.com/news/crime--law/marietta-police-rescue-teen-from-human-trafficking-operation/JqPOc5DmR6PxXGr8fgxzQP/" TargetMode="External"/><Relationship Id="rId3858" Type="http://schemas.openxmlformats.org/officeDocument/2006/relationships/hyperlink" Target="http://archive.fo/sLMoe" TargetMode="External"/><Relationship Id="rId2527" Type="http://schemas.openxmlformats.org/officeDocument/2006/relationships/hyperlink" Target="https://www.wbtw.com/crime/grand-strand-crime/man-arrested-warrants-for-woman-in-myrtle-beach-human-trafficking-case-involving-teen-girl/1386092829" TargetMode="External"/><Relationship Id="rId3857" Type="http://schemas.openxmlformats.org/officeDocument/2006/relationships/hyperlink" Target="http://archive.fo/vibyB" TargetMode="External"/><Relationship Id="rId2528" Type="http://schemas.openxmlformats.org/officeDocument/2006/relationships/hyperlink" Target="https://www.masslive.com/news/index.ssf/2018/08/massachusetts_high_school_teac.html" TargetMode="External"/><Relationship Id="rId2529" Type="http://schemas.openxmlformats.org/officeDocument/2006/relationships/hyperlink" Target="https://www.justice.gov/usao-ma/pr/high-school-teacher-charged-child-pornography-offenses" TargetMode="External"/><Relationship Id="rId3859" Type="http://schemas.openxmlformats.org/officeDocument/2006/relationships/hyperlink" Target="https://www.justice.gov/usao-wdpa/pr/erie-county-man-pleads-guilty-possessing-computer-images-child-pornography" TargetMode="External"/><Relationship Id="rId3850" Type="http://schemas.openxmlformats.org/officeDocument/2006/relationships/hyperlink" Target="https://www.justice.gov/usao-sdia/pr/carter-lake-man-sentenced-drug-and-child-pornography-charges" TargetMode="External"/><Relationship Id="rId2520" Type="http://schemas.openxmlformats.org/officeDocument/2006/relationships/hyperlink" Target="https://www.courtlistener.com/docket/7722203/united-states-v-setner/" TargetMode="External"/><Relationship Id="rId3852" Type="http://schemas.openxmlformats.org/officeDocument/2006/relationships/hyperlink" Target="https://www.dailymail.co.uk/news/article-8464635/Mueller-witness-George-Nader-gets-10-years-prison-child-sex-trafficking-child-porn.html" TargetMode="External"/><Relationship Id="rId2521" Type="http://schemas.openxmlformats.org/officeDocument/2006/relationships/hyperlink" Target="https://www.justice.gov/usao-mdla/pr/gonzales-man-sentenced-198-months-federal-prison-child-pornography" TargetMode="External"/><Relationship Id="rId3851" Type="http://schemas.openxmlformats.org/officeDocument/2006/relationships/hyperlink" Target="https://www.justice.gov/usao-edva/pr/man-arrested-transporting-images-child-sexual-abuse" TargetMode="External"/><Relationship Id="rId2511" Type="http://schemas.openxmlformats.org/officeDocument/2006/relationships/hyperlink" Target="https://www.pinalcentral.com/casa_grande_dispatch/area_news/registered-sex-offender-arrested-in-cg-for-child-porn/article_5b7a5df6-186d-5f4d-9b9f-82e3e491c100.html" TargetMode="External"/><Relationship Id="rId3843" Type="http://schemas.openxmlformats.org/officeDocument/2006/relationships/hyperlink" Target="https://www.justice.gov/usao-ne/pr/omaha-man-sentenced-221-months-child-pornography" TargetMode="External"/><Relationship Id="rId2512" Type="http://schemas.openxmlformats.org/officeDocument/2006/relationships/hyperlink" Target="https://www.cbp.gov/newsroom/local-media-release/smuggler-attempts-evade-checkpoint-agents-rio-grande-valley" TargetMode="External"/><Relationship Id="rId3842" Type="http://schemas.openxmlformats.org/officeDocument/2006/relationships/hyperlink" Target="https://archive.vn/8BuMt" TargetMode="External"/><Relationship Id="rId2513" Type="http://schemas.openxmlformats.org/officeDocument/2006/relationships/hyperlink" Target="https://www.justice.gov/usao-sd/pr/south-african-man-sentenced-transportation-obscene-matter" TargetMode="External"/><Relationship Id="rId3845" Type="http://schemas.openxmlformats.org/officeDocument/2006/relationships/hyperlink" Target="https://www.justice.gov/usao-edpa/pr/montgomery-county-man-indicted-traveling-philippines-have-sex-children" TargetMode="External"/><Relationship Id="rId2514" Type="http://schemas.openxmlformats.org/officeDocument/2006/relationships/hyperlink" Target="https://www.justice.gov/usao-ndny/pr/cobleskill-man-sentenced-15-years-child-pornography-offenses" TargetMode="External"/><Relationship Id="rId3844" Type="http://schemas.openxmlformats.org/officeDocument/2006/relationships/hyperlink" Target="https://www.justice.gov/usao-nj/pr/camden-county-man-admits-sending-obscene-images-minors" TargetMode="External"/><Relationship Id="rId2515" Type="http://schemas.openxmlformats.org/officeDocument/2006/relationships/hyperlink" Target="https://www.courtlistener.com/docket/8021037/united-states-v-vanburen/" TargetMode="External"/><Relationship Id="rId3847" Type="http://schemas.openxmlformats.org/officeDocument/2006/relationships/hyperlink" Target="https://www.syracuse.com/crime/2020/11/man-admits-making-child-porn-taking-lewd-photos-of-6-year-old-child-in-madison-county.html" TargetMode="External"/><Relationship Id="rId2516" Type="http://schemas.openxmlformats.org/officeDocument/2006/relationships/hyperlink" Target="https://www.justice.gov/usao-ma/pr/norwell-man-indicted-sexual-exploitation-children" TargetMode="External"/><Relationship Id="rId3846" Type="http://schemas.openxmlformats.org/officeDocument/2006/relationships/hyperlink" Target="https://www.justice.gov/usao-ndny/pr/former-resident-canastota-pleads-guilty-sexual-exploitation-child" TargetMode="External"/><Relationship Id="rId2517" Type="http://schemas.openxmlformats.org/officeDocument/2006/relationships/hyperlink" Target="https://www.justice.gov/usao-ma/pr/former-youth-football-coach-charged-sexual-exploitation-children" TargetMode="External"/><Relationship Id="rId3849" Type="http://schemas.openxmlformats.org/officeDocument/2006/relationships/hyperlink" Target="https://www.justice.gov/usao-mdga/pr/sentencing-and-guilty-plea-two-operation-end-game-child-sexual-exploitation-cases" TargetMode="External"/><Relationship Id="rId2518" Type="http://schemas.openxmlformats.org/officeDocument/2006/relationships/hyperlink" Target="https://www.courtlistener.com/?q=&amp;type=r&amp;order_by=score+desc&amp;docket_number=1%3A18-cr-10391&amp;court=mad" TargetMode="External"/><Relationship Id="rId3848" Type="http://schemas.openxmlformats.org/officeDocument/2006/relationships/hyperlink" Target="https://www.justice.gov/usao-sdia/pr/council-bluffs-man-sentenced-over-15-years-prison-receipt-child-pornography" TargetMode="External"/><Relationship Id="rId2519" Type="http://schemas.openxmlformats.org/officeDocument/2006/relationships/hyperlink" Target="https://www.justice.gov/usao-ndil/pr/suburban-man-charged-sharing-child-pornography" TargetMode="External"/><Relationship Id="rId3841" Type="http://schemas.openxmlformats.org/officeDocument/2006/relationships/hyperlink" Target="https://archive.vn/6waK5" TargetMode="External"/><Relationship Id="rId2510" Type="http://schemas.openxmlformats.org/officeDocument/2006/relationships/hyperlink" Target="https://www.cbp.gov/newsroom/local-media-release/operation-stonegarden-cochise-county-stops-smuggling-attempt" TargetMode="External"/><Relationship Id="rId3840" Type="http://schemas.openxmlformats.org/officeDocument/2006/relationships/hyperlink" Target="https://www.sfchronicle.com/news/houston-texas/houston/article/Texas-pimp-convicted-gets-life-sentence-in-15861650.php" TargetMode="External"/><Relationship Id="rId4327" Type="http://schemas.openxmlformats.org/officeDocument/2006/relationships/hyperlink" Target="http://archive.vn/GmHzs" TargetMode="External"/><Relationship Id="rId4326" Type="http://schemas.openxmlformats.org/officeDocument/2006/relationships/hyperlink" Target="https://www.wfla.com/news/polk-county/soon-sheriff-grady-judd-to-speak-on-16-charged-in-child-pornography-investigation/" TargetMode="External"/><Relationship Id="rId4329" Type="http://schemas.openxmlformats.org/officeDocument/2006/relationships/hyperlink" Target="https://www.wfla.com/news/polk-county/soon-sheriff-grady-judd-to-speak-on-16-charged-in-child-pornography-investigation/" TargetMode="External"/><Relationship Id="rId4328" Type="http://schemas.openxmlformats.org/officeDocument/2006/relationships/hyperlink" Target="http://archive.vn/wip/uU1RQ" TargetMode="External"/><Relationship Id="rId469" Type="http://schemas.openxmlformats.org/officeDocument/2006/relationships/hyperlink" Target="http://archive.fo/O17hE" TargetMode="External"/><Relationship Id="rId468" Type="http://schemas.openxmlformats.org/officeDocument/2006/relationships/hyperlink" Target="http://archive.fo/BaM4h" TargetMode="External"/><Relationship Id="rId467" Type="http://schemas.openxmlformats.org/officeDocument/2006/relationships/hyperlink" Target="https://www.timesunion.com/7dayarchive/article/Sheriff-deputy-arrested-on-child-porn-charges-11438380.php" TargetMode="External"/><Relationship Id="rId1290" Type="http://schemas.openxmlformats.org/officeDocument/2006/relationships/hyperlink" Target="https://www.justice.gov/usao-sdtx/pr/corpus-christi-man-arrested-child-pornography-charges" TargetMode="External"/><Relationship Id="rId1291" Type="http://schemas.openxmlformats.org/officeDocument/2006/relationships/hyperlink" Target="https://www.justice.gov/usao-sdtx/pr/local-man-admits-distributing-child-pornography-charges" TargetMode="External"/><Relationship Id="rId1292" Type="http://schemas.openxmlformats.org/officeDocument/2006/relationships/hyperlink" Target="https://www.courtlistener.com/docket/6607016/united-states-v-medina/" TargetMode="External"/><Relationship Id="rId462" Type="http://schemas.openxmlformats.org/officeDocument/2006/relationships/hyperlink" Target="http://www.cbs8.com/story/35982148/california-state-prosecutor-charged-with-child-pornography" TargetMode="External"/><Relationship Id="rId1293" Type="http://schemas.openxmlformats.org/officeDocument/2006/relationships/hyperlink" Target="https://www.justice.gov/usao-wdmo/pr/joplin-man-indicted-attempting-produce-child-pornography" TargetMode="External"/><Relationship Id="rId461" Type="http://schemas.openxmlformats.org/officeDocument/2006/relationships/hyperlink" Target="https://www.mysanantonio.com/news/local/article/Man-accused-in-fatal-July-smuggling-case-not-12216530.php" TargetMode="External"/><Relationship Id="rId1294" Type="http://schemas.openxmlformats.org/officeDocument/2006/relationships/hyperlink" Target="https://www.courtlistener.com/docket/7387954/united-states-v-wainright/" TargetMode="External"/><Relationship Id="rId460" Type="http://schemas.openxmlformats.org/officeDocument/2006/relationships/hyperlink" Target="https://www.ice.gov/news/releases/federal-alien-smuggling-charge-filed-san-antonio-against-driver-tractor-trailer-when" TargetMode="External"/><Relationship Id="rId1295" Type="http://schemas.openxmlformats.org/officeDocument/2006/relationships/hyperlink" Target="https://www.justice.gov/usao-wdmo/pr/republic-sex-offender-indicted-sexual-exploitation-minor" TargetMode="External"/><Relationship Id="rId4321" Type="http://schemas.openxmlformats.org/officeDocument/2006/relationships/hyperlink" Target="https://www.justice.gov/usao-sdwv/pr/project-safe-childhood-huntington-man-pleads-guilty-child-pornography-offense" TargetMode="External"/><Relationship Id="rId1296" Type="http://schemas.openxmlformats.org/officeDocument/2006/relationships/hyperlink" Target="https://www.courtlistener.com/docket/7208613/united-states-v-chmela/" TargetMode="External"/><Relationship Id="rId4320" Type="http://schemas.openxmlformats.org/officeDocument/2006/relationships/hyperlink" Target="https://www.justice.gov/usao-ndny/pr/chenango-county-man-arrested-child-exploitation-charges" TargetMode="External"/><Relationship Id="rId466" Type="http://schemas.openxmlformats.org/officeDocument/2006/relationships/hyperlink" Target="https://www.justice.gov/usao-ndny/pr/former-sheriff-s-deputy-sentenced-87-months-possessing-child-pornography" TargetMode="External"/><Relationship Id="rId1297" Type="http://schemas.openxmlformats.org/officeDocument/2006/relationships/hyperlink" Target="https://www.justice.gov/usao-wdla/pr/scott-man-sentenced-67-months-prison-uploading-child-pornography-dropbox-account" TargetMode="External"/><Relationship Id="rId4323" Type="http://schemas.openxmlformats.org/officeDocument/2006/relationships/hyperlink" Target="https://www.justice.gov/usao-sdga/pr/federal-criminal-complaint-charges-evans-man-possession-child-pornography" TargetMode="External"/><Relationship Id="rId465" Type="http://schemas.openxmlformats.org/officeDocument/2006/relationships/hyperlink" Target="https://archive.vn/h4LGP" TargetMode="External"/><Relationship Id="rId1298" Type="http://schemas.openxmlformats.org/officeDocument/2006/relationships/hyperlink" Target="https://www.courtlistener.com/docket/6921670/united-states-v-guidry/" TargetMode="External"/><Relationship Id="rId4322" Type="http://schemas.openxmlformats.org/officeDocument/2006/relationships/hyperlink" Target="https://www.justice.gov/usao-wdmo/pr/independence-man-charged-child-pornography" TargetMode="External"/><Relationship Id="rId464" Type="http://schemas.openxmlformats.org/officeDocument/2006/relationships/hyperlink" Target="https://archive.vn/FCL4N" TargetMode="External"/><Relationship Id="rId1299" Type="http://schemas.openxmlformats.org/officeDocument/2006/relationships/hyperlink" Target="https://www.courtlistener.com/docket/6750398/united-states-v-garcia/" TargetMode="External"/><Relationship Id="rId4325" Type="http://schemas.openxmlformats.org/officeDocument/2006/relationships/hyperlink" Target="https://www.polksheriff.org/news-investigations/polk-county-news/2020/06/16/sixteen-suspects-arrested-during-operation-guardians-of-innocence-v-for-possession-of-child-pornography" TargetMode="External"/><Relationship Id="rId463" Type="http://schemas.openxmlformats.org/officeDocument/2006/relationships/hyperlink" Target="https://www.nbcsandiego.com/news/local/g-gordon-liddys-son-sentenced-5-years-probation-for-possessing-child-porn/2398636/" TargetMode="External"/><Relationship Id="rId4324" Type="http://schemas.openxmlformats.org/officeDocument/2006/relationships/hyperlink" Target="https://www.justice.gov/usao-wdwa/pr/three-registered-sex-offenders-indicted-possessing-images-child-rape-and-abuse" TargetMode="External"/><Relationship Id="rId4316" Type="http://schemas.openxmlformats.org/officeDocument/2006/relationships/hyperlink" Target="https://www.justice.gov/usao-mdtn/pr/mount-juliet-man-facing-child-pornography-charges" TargetMode="External"/><Relationship Id="rId4315" Type="http://schemas.openxmlformats.org/officeDocument/2006/relationships/hyperlink" Target="https://archive.vn/3vQTm" TargetMode="External"/><Relationship Id="rId4318" Type="http://schemas.openxmlformats.org/officeDocument/2006/relationships/hyperlink" Target="https://www.justice.gov/usao-wdny/pr/man-and-woman-charged-production-child-pornography" TargetMode="External"/><Relationship Id="rId4317" Type="http://schemas.openxmlformats.org/officeDocument/2006/relationships/hyperlink" Target="https://www.justice.gov/usao-edpa/pr/delaware-county-man-arrested-manufacturing-and-distributing-child-pornography" TargetMode="External"/><Relationship Id="rId4319" Type="http://schemas.openxmlformats.org/officeDocument/2006/relationships/hyperlink" Target="https://www.justice.gov/usao-cdil/pr/indictments-charge-two-men-separate-cases-alleged-attempted-child-sex-crimes" TargetMode="External"/><Relationship Id="rId459" Type="http://schemas.openxmlformats.org/officeDocument/2006/relationships/hyperlink" Target="https://www.ksat.com/news/truck-driver-james-bradley-to-be-sentenced-in-human-smuggling-case" TargetMode="External"/><Relationship Id="rId458" Type="http://schemas.openxmlformats.org/officeDocument/2006/relationships/hyperlink" Target="http://archive.fo/9jr7L" TargetMode="External"/><Relationship Id="rId457" Type="http://schemas.openxmlformats.org/officeDocument/2006/relationships/hyperlink" Target="https://www.courtlistener.com/docket/6789329/united-states-v-faella/" TargetMode="External"/><Relationship Id="rId456" Type="http://schemas.openxmlformats.org/officeDocument/2006/relationships/hyperlink" Target="https://www.justice.gov/usao-mdfl/pr/palm-bay-man-sentenced-14-years-receipt-and-possession-child-pornography" TargetMode="External"/><Relationship Id="rId1280" Type="http://schemas.openxmlformats.org/officeDocument/2006/relationships/hyperlink" Target="https://www.courtlistener.com/docket/7516302/united-states-v-cotman/" TargetMode="External"/><Relationship Id="rId1281" Type="http://schemas.openxmlformats.org/officeDocument/2006/relationships/hyperlink" Target="http://www.brownsvilleherald.com/news/valley/two-year-sentence-for-rgc-man-in-human-smuggling-case/article_423c2b97-a622-5a8e-baf2-8929f2aab027.html" TargetMode="External"/><Relationship Id="rId451" Type="http://schemas.openxmlformats.org/officeDocument/2006/relationships/hyperlink" Target="http://wtvr.com/2017/07/21/charles-ellis-jr-arrested-on-child-porn-charges/" TargetMode="External"/><Relationship Id="rId1282" Type="http://schemas.openxmlformats.org/officeDocument/2006/relationships/hyperlink" Target="http://www.kvue.com/article/news/crime/suspect-arrested-after-sex-trafficking-a-girl-in-austin-police-say/269-521498947" TargetMode="External"/><Relationship Id="rId450" Type="http://schemas.openxmlformats.org/officeDocument/2006/relationships/hyperlink" Target="http://www.wibw.com/content/news/2-Topeka-men-accused-of-child-sex-crimes-face-human-trafficking-charges-436817553.html" TargetMode="External"/><Relationship Id="rId1283" Type="http://schemas.openxmlformats.org/officeDocument/2006/relationships/hyperlink" Target="https://www.justice.gov/usao-nj/pr/three-people-charged-sex-trafficking-child" TargetMode="External"/><Relationship Id="rId1284" Type="http://schemas.openxmlformats.org/officeDocument/2006/relationships/hyperlink" Target="http://www.fox32chicago.com/news/national/couple-pleads-guilty-to-sex-trafficking-child" TargetMode="External"/><Relationship Id="rId4310" Type="http://schemas.openxmlformats.org/officeDocument/2006/relationships/hyperlink" Target="https://www.justice.gov/usao-wdpa/pr/washington-county-man-possessed-sexually-explicit-videos-and-images-minors" TargetMode="External"/><Relationship Id="rId1285" Type="http://schemas.openxmlformats.org/officeDocument/2006/relationships/hyperlink" Target="https://www.justice.gov/usao-nv/pr/dayton-man-sentenced-six-years-prison-receipt-child-pornography" TargetMode="External"/><Relationship Id="rId455" Type="http://schemas.openxmlformats.org/officeDocument/2006/relationships/hyperlink" Target="https://www.kansascity.com/news/local/crime/article163261123.html" TargetMode="External"/><Relationship Id="rId1286" Type="http://schemas.openxmlformats.org/officeDocument/2006/relationships/hyperlink" Target="https://www.justice.gov/usao-edla/pr/independence-man-pleads-guilty-receipt-child-pornography" TargetMode="External"/><Relationship Id="rId4312" Type="http://schemas.openxmlformats.org/officeDocument/2006/relationships/hyperlink" Target="https://www.justice.gov/usao-sdoh/pr/us-attorney-devillers-statement-arrest-former-dare-police-officer" TargetMode="External"/><Relationship Id="rId454" Type="http://schemas.openxmlformats.org/officeDocument/2006/relationships/hyperlink" Target="http://www.ksla.com/story/35940469/2-charged-with-human-trafficking-after-shreveport-massage-parlor-raid" TargetMode="External"/><Relationship Id="rId1287" Type="http://schemas.openxmlformats.org/officeDocument/2006/relationships/hyperlink" Target="https://www.justice.gov/usao-ednc/pr/raleigh-man-sentenced-10-years-imprisonment-child-pornography-charges" TargetMode="External"/><Relationship Id="rId4311" Type="http://schemas.openxmlformats.org/officeDocument/2006/relationships/hyperlink" Target="https://www.justice.gov/usao-wdny/pr/niagara-falls-man-indicted-federal-grand-jury-producing-child-pornography" TargetMode="External"/><Relationship Id="rId453" Type="http://schemas.openxmlformats.org/officeDocument/2006/relationships/hyperlink" Target="https://www.media.pa.gov/Pages/PA-State-Police-Details.aspx?newsid=301" TargetMode="External"/><Relationship Id="rId1288" Type="http://schemas.openxmlformats.org/officeDocument/2006/relationships/hyperlink" Target="http://www.psychsearch.net/aviel-li-goodman/" TargetMode="External"/><Relationship Id="rId4314" Type="http://schemas.openxmlformats.org/officeDocument/2006/relationships/hyperlink" Target="https://archive.vn/BNcsC" TargetMode="External"/><Relationship Id="rId452" Type="http://schemas.openxmlformats.org/officeDocument/2006/relationships/hyperlink" Target="https://www.justice.gov/usao-mdpa/pr/montgomery-county-man-guilty-producing-child-pornography" TargetMode="External"/><Relationship Id="rId1289" Type="http://schemas.openxmlformats.org/officeDocument/2006/relationships/hyperlink" Target="https://www.justice.gov/usao-mn/pr/saint-paul-psychiatrist-arrested-and-charged-receipt-child-pornography" TargetMode="External"/><Relationship Id="rId4313" Type="http://schemas.openxmlformats.org/officeDocument/2006/relationships/hyperlink" Target="https://www.daytondailynews.com/news/crime--law/former-beavercreek-dare-officer-arrested-child-porn-case/h7KXTnV3ZNJotheJOcVB4M/" TargetMode="External"/><Relationship Id="rId3018" Type="http://schemas.openxmlformats.org/officeDocument/2006/relationships/hyperlink" Target="http://archive.fo/02zWK" TargetMode="External"/><Relationship Id="rId4349" Type="http://schemas.openxmlformats.org/officeDocument/2006/relationships/hyperlink" Target="https://www.wfla.com/news/polk-county/soon-sheriff-grady-judd-to-speak-on-16-charged-in-child-pornography-investigation/" TargetMode="External"/><Relationship Id="rId3017" Type="http://schemas.openxmlformats.org/officeDocument/2006/relationships/hyperlink" Target="https://www.clickondetroit.com/news/detroit-man-sentenced-to-prison-after-admitting-to-molesting-taking-explicit-photos-of-child" TargetMode="External"/><Relationship Id="rId4348" Type="http://schemas.openxmlformats.org/officeDocument/2006/relationships/hyperlink" Target="http://archive.vn/wip/SV0AT" TargetMode="External"/><Relationship Id="rId3019" Type="http://schemas.openxmlformats.org/officeDocument/2006/relationships/hyperlink" Target="http://archive.fo/aJf7l" TargetMode="External"/><Relationship Id="rId491" Type="http://schemas.openxmlformats.org/officeDocument/2006/relationships/hyperlink" Target="https://kfor.com/2018/09/18/oklahoma-city-man-sentenced-to-nearly-20-years-for-bomb-threat-and-child-pornography/" TargetMode="External"/><Relationship Id="rId490" Type="http://schemas.openxmlformats.org/officeDocument/2006/relationships/hyperlink" Target="https://www.telegraph.co.uk/news/2018/05/16/former-cia-engineer-joshua-schulte-suspected-leaking-thousands/" TargetMode="External"/><Relationship Id="rId489" Type="http://schemas.openxmlformats.org/officeDocument/2006/relationships/hyperlink" Target="https://www.courtlistener.com/docket/6553080/united-states-v-weiler/" TargetMode="External"/><Relationship Id="rId484" Type="http://schemas.openxmlformats.org/officeDocument/2006/relationships/hyperlink" Target="https://www.courtlistener.com/docket/6348995/united-states-v-davis-joshua/" TargetMode="External"/><Relationship Id="rId3010" Type="http://schemas.openxmlformats.org/officeDocument/2006/relationships/hyperlink" Target="https://www.courtlistener.com/docket/8145377/united-states-v-jenkins/" TargetMode="External"/><Relationship Id="rId4341" Type="http://schemas.openxmlformats.org/officeDocument/2006/relationships/hyperlink" Target="https://www.wfla.com/news/polk-county/soon-sheriff-grady-judd-to-speak-on-16-charged-in-child-pornography-investigation/" TargetMode="External"/><Relationship Id="rId483" Type="http://schemas.openxmlformats.org/officeDocument/2006/relationships/hyperlink" Target="https://www.justice.gov/usao-wdwi/pr/chippewa-falls-man-sentenced-37-months-child-pornography-charge" TargetMode="External"/><Relationship Id="rId4340" Type="http://schemas.openxmlformats.org/officeDocument/2006/relationships/hyperlink" Target="http://archive.vn/wip/2btTv" TargetMode="External"/><Relationship Id="rId482" Type="http://schemas.openxmlformats.org/officeDocument/2006/relationships/hyperlink" Target="https://www.justice.gov/usao-wdwa/pr/tacoma-man-caught-texting-plane-about-molesting-children-sentenced-15-years-prison" TargetMode="External"/><Relationship Id="rId3012" Type="http://schemas.openxmlformats.org/officeDocument/2006/relationships/hyperlink" Target="https://www.justice.gov/usao-ct/pr/navy-mechanic-admits-sexually-assaulting-7-young-girls-producing-child-pornography" TargetMode="External"/><Relationship Id="rId4343" Type="http://schemas.openxmlformats.org/officeDocument/2006/relationships/hyperlink" Target="https://www.wfla.com/news/polk-county/soon-sheriff-grady-judd-to-speak-on-16-charged-in-child-pornography-investigation/" TargetMode="External"/><Relationship Id="rId481" Type="http://schemas.openxmlformats.org/officeDocument/2006/relationships/hyperlink" Target="https://www.justice.gov/usao-ks/pr/wichita-man-sentenced-trafficking-17-year-old-sex" TargetMode="External"/><Relationship Id="rId3011" Type="http://schemas.openxmlformats.org/officeDocument/2006/relationships/hyperlink" Target="https://www.courtlistener.com/docket/14664033/united-states-v-gauvin/" TargetMode="External"/><Relationship Id="rId4342" Type="http://schemas.openxmlformats.org/officeDocument/2006/relationships/hyperlink" Target="http://archive.vn/wip/pHIOn" TargetMode="External"/><Relationship Id="rId488" Type="http://schemas.openxmlformats.org/officeDocument/2006/relationships/hyperlink" Target="https://abc7chicago.com/indiana-man-who-allegedly-tried-to-blow-up-neighbors-car-charged-with-child-porn-/3352655/" TargetMode="External"/><Relationship Id="rId3014" Type="http://schemas.openxmlformats.org/officeDocument/2006/relationships/hyperlink" Target="https://archive.vn/BnqSO" TargetMode="External"/><Relationship Id="rId4345" Type="http://schemas.openxmlformats.org/officeDocument/2006/relationships/hyperlink" Target="https://www.wfla.com/news/polk-county/soon-sheriff-grady-judd-to-speak-on-16-charged-in-child-pornography-investigation/" TargetMode="External"/><Relationship Id="rId487" Type="http://schemas.openxmlformats.org/officeDocument/2006/relationships/hyperlink" Target="http://archive.fo/3zAXr" TargetMode="External"/><Relationship Id="rId3013" Type="http://schemas.openxmlformats.org/officeDocument/2006/relationships/hyperlink" Target="https://www.theday.com/article/20201207/NWS04/201209569" TargetMode="External"/><Relationship Id="rId4344" Type="http://schemas.openxmlformats.org/officeDocument/2006/relationships/hyperlink" Target="http://archive.vn/wip/8IpyV" TargetMode="External"/><Relationship Id="rId486" Type="http://schemas.openxmlformats.org/officeDocument/2006/relationships/hyperlink" Target="https://www.justice.gov/usao-sdtx/pr/sweeny-man-convicted-sex-trafficking-minors" TargetMode="External"/><Relationship Id="rId3016" Type="http://schemas.openxmlformats.org/officeDocument/2006/relationships/hyperlink" Target="https://www.justice.gov/usao-edmi/pr/detroit-man-sentenced-40-years-child-exploitation-crimes" TargetMode="External"/><Relationship Id="rId4347" Type="http://schemas.openxmlformats.org/officeDocument/2006/relationships/hyperlink" Target="https://www.wfla.com/news/polk-county/soon-sheriff-grady-judd-to-speak-on-16-charged-in-child-pornography-investigation/" TargetMode="External"/><Relationship Id="rId485" Type="http://schemas.openxmlformats.org/officeDocument/2006/relationships/hyperlink" Target="https://www.justice.gov/usao-sdtx/pr/pettus-man-gets-more-30-years-online-solicitation-minors" TargetMode="External"/><Relationship Id="rId3015" Type="http://schemas.openxmlformats.org/officeDocument/2006/relationships/hyperlink" Target="https://www.justice.gov/usao-ndca/pr/east-bay-man-sentenced-14-years-prison-transporting-minor-across-state-lines-prostitute" TargetMode="External"/><Relationship Id="rId4346" Type="http://schemas.openxmlformats.org/officeDocument/2006/relationships/hyperlink" Target="http://archive.vn/wip/ABjgo" TargetMode="External"/><Relationship Id="rId3007" Type="http://schemas.openxmlformats.org/officeDocument/2006/relationships/hyperlink" Target="https://www.justice.gov/usao-edva/pr/illegal-alien-pleads-guilty-transporting-minor-sexual-purposes" TargetMode="External"/><Relationship Id="rId4338" Type="http://schemas.openxmlformats.org/officeDocument/2006/relationships/hyperlink" Target="http://archive.vn/SmjVh" TargetMode="External"/><Relationship Id="rId3006" Type="http://schemas.openxmlformats.org/officeDocument/2006/relationships/hyperlink" Target="https://www.courtlistener.com/?q=&amp;type=r&amp;order_by=score+desc&amp;docket_number=1%3A19-cr-00017&amp;court=wied" TargetMode="External"/><Relationship Id="rId4337" Type="http://schemas.openxmlformats.org/officeDocument/2006/relationships/hyperlink" Target="https://www.wfla.com/news/polk-county/soon-sheriff-grady-judd-to-speak-on-16-charged-in-child-pornography-investigation/" TargetMode="External"/><Relationship Id="rId3009" Type="http://schemas.openxmlformats.org/officeDocument/2006/relationships/hyperlink" Target="http://www.wlbt.com/2019/01/29/pelahatchie-man-pleads-guilty-making-child-pornography/" TargetMode="External"/><Relationship Id="rId3008" Type="http://schemas.openxmlformats.org/officeDocument/2006/relationships/hyperlink" Target="https://www.courtlistener.com/docket/14587828/united-states-v-hughes/" TargetMode="External"/><Relationship Id="rId4339" Type="http://schemas.openxmlformats.org/officeDocument/2006/relationships/hyperlink" Target="https://www.wfla.com/news/polk-county/soon-sheriff-grady-judd-to-speak-on-16-charged-in-child-pornography-investigation/" TargetMode="External"/><Relationship Id="rId480" Type="http://schemas.openxmlformats.org/officeDocument/2006/relationships/hyperlink" Target="https://www.justice.gov/usao-sd/pr/sex-trafficking-operation-results-arrests-0" TargetMode="External"/><Relationship Id="rId479" Type="http://schemas.openxmlformats.org/officeDocument/2006/relationships/hyperlink" Target="https://www.justice.gov/usao-sdtx/pr/12-charged-two-galveston-domestic-sex-trafficking-cases" TargetMode="External"/><Relationship Id="rId478" Type="http://schemas.openxmlformats.org/officeDocument/2006/relationships/hyperlink" Target="https://tbinewsroom.com/2017/08/15/11-men-facing-felony-charges-as-a-result-of-kingsport-human-trafficking-operation/" TargetMode="External"/><Relationship Id="rId473" Type="http://schemas.openxmlformats.org/officeDocument/2006/relationships/hyperlink" Target="https://www.justice.gov/usao-mdfl/pr/nassau-county-man-sentenced-23-years-federal-prison-producing-child-pornography-using" TargetMode="External"/><Relationship Id="rId4330" Type="http://schemas.openxmlformats.org/officeDocument/2006/relationships/hyperlink" Target="http://archive.vn/wip/qjaW5" TargetMode="External"/><Relationship Id="rId472" Type="http://schemas.openxmlformats.org/officeDocument/2006/relationships/hyperlink" Target="http://www.kiiitv.com/article/news/crime/three-men-arrested-for-soliciting-minors-for-sexual-purposes/459936449" TargetMode="External"/><Relationship Id="rId471" Type="http://schemas.openxmlformats.org/officeDocument/2006/relationships/hyperlink" Target="http://tularecounty.ca.gov/sheriff/index.cfm/media/news-releases/update-third-human-trafficking-suspect-arrested/" TargetMode="External"/><Relationship Id="rId3001" Type="http://schemas.openxmlformats.org/officeDocument/2006/relationships/hyperlink" Target="https://www.courtlistener.com/docket/8169301/united-states-v-larry/" TargetMode="External"/><Relationship Id="rId4332" Type="http://schemas.openxmlformats.org/officeDocument/2006/relationships/hyperlink" Target="http://archive.vn/wip/3Wjnr" TargetMode="External"/><Relationship Id="rId470" Type="http://schemas.openxmlformats.org/officeDocument/2006/relationships/hyperlink" Target="http://www.newson6.com/story/35986540/two-arrested-for-sexual-abuse-of-4-year-old-girl-sapulpa-police-say" TargetMode="External"/><Relationship Id="rId3000" Type="http://schemas.openxmlformats.org/officeDocument/2006/relationships/hyperlink" Target="https://www.justice.gov/usao-ndil/pr/federal-indictment-charges-suburban-man-sex-trafficking" TargetMode="External"/><Relationship Id="rId4331" Type="http://schemas.openxmlformats.org/officeDocument/2006/relationships/hyperlink" Target="https://www.wfla.com/news/polk-county/soon-sheriff-grady-judd-to-speak-on-16-charged-in-child-pornography-investigation/" TargetMode="External"/><Relationship Id="rId477" Type="http://schemas.openxmlformats.org/officeDocument/2006/relationships/hyperlink" Target="https://www.cbp.gov/newsroom/local-media-release/man-dies-during-cross-border-trek-smuggler-arrested" TargetMode="External"/><Relationship Id="rId3003" Type="http://schemas.openxmlformats.org/officeDocument/2006/relationships/hyperlink" Target="https://www.courtlistener.com/docket/8411205/united-states-v-martin/" TargetMode="External"/><Relationship Id="rId4334" Type="http://schemas.openxmlformats.org/officeDocument/2006/relationships/hyperlink" Target="http://archive.vn/wip/jKtOz" TargetMode="External"/><Relationship Id="rId476" Type="http://schemas.openxmlformats.org/officeDocument/2006/relationships/hyperlink" Target="https://www.justice.gov/usao-cdil/pr/ohio-man-sentenced-35-years-prison-sex-crimes-against-minor-girls-multiple-states" TargetMode="External"/><Relationship Id="rId3002" Type="http://schemas.openxmlformats.org/officeDocument/2006/relationships/hyperlink" Target="https://www.courtlistener.com/docket/8431418/united-states-v-porch/" TargetMode="External"/><Relationship Id="rId4333" Type="http://schemas.openxmlformats.org/officeDocument/2006/relationships/hyperlink" Target="https://www.wfla.com/news/polk-county/soon-sheriff-grady-judd-to-speak-on-16-charged-in-child-pornography-investigation/" TargetMode="External"/><Relationship Id="rId475" Type="http://schemas.openxmlformats.org/officeDocument/2006/relationships/hyperlink" Target="https://www.justice.gov/usao-cdil/pr/ohio-man-pleads-guilty-child-sex-charges-involving-minors-multiple-states" TargetMode="External"/><Relationship Id="rId3005" Type="http://schemas.openxmlformats.org/officeDocument/2006/relationships/hyperlink" Target="https://www.justice.gov/usao-edwi/pr/manitowoc-county-man-who-absconded-extended-supervision-vehicular-homicide-charges" TargetMode="External"/><Relationship Id="rId4336" Type="http://schemas.openxmlformats.org/officeDocument/2006/relationships/hyperlink" Target="http://archive.vn/wip/4xLv9" TargetMode="External"/><Relationship Id="rId474" Type="http://schemas.openxmlformats.org/officeDocument/2006/relationships/hyperlink" Target="https://www.actionnewsjax.com/news/local/nassau-man-arrested-on-child-porn-charges-accused-of-secretly-recording-minors-in-his-yulee-home/574878834" TargetMode="External"/><Relationship Id="rId3004" Type="http://schemas.openxmlformats.org/officeDocument/2006/relationships/hyperlink" Target="https://www.justice.gov/usao-wdpa/pr/elk-county-man-facing-multiple-child-pornography-charges" TargetMode="External"/><Relationship Id="rId4335" Type="http://schemas.openxmlformats.org/officeDocument/2006/relationships/hyperlink" Target="https://www.wfla.com/news/polk-county/soon-sheriff-grady-judd-to-speak-on-16-charged-in-child-pornography-investigation/" TargetMode="External"/><Relationship Id="rId1257" Type="http://schemas.openxmlformats.org/officeDocument/2006/relationships/hyperlink" Target="https://www.usmarshals.gov/news/chron/2018/021418.htm" TargetMode="External"/><Relationship Id="rId2588" Type="http://schemas.openxmlformats.org/officeDocument/2006/relationships/hyperlink" Target="https://www.justice.gov/usao-ak/pr/anchorage-child-psychologist-sentenced-possession-child-pornography" TargetMode="External"/><Relationship Id="rId1258" Type="http://schemas.openxmlformats.org/officeDocument/2006/relationships/hyperlink" Target="https://www.justice.gov/usao-edmi/pr/former-university-michigan-doctor-sentenced-child-exploitation-charges" TargetMode="External"/><Relationship Id="rId2589" Type="http://schemas.openxmlformats.org/officeDocument/2006/relationships/hyperlink" Target="https://www.courtlistener.com/docket/7233383/united-states-v-cherry/" TargetMode="External"/><Relationship Id="rId1259" Type="http://schemas.openxmlformats.org/officeDocument/2006/relationships/hyperlink" Target="https://www.detroitnews.com/story/news/local/detroit-city/2018/02/12/ex-university-michigan-doctor-charged-child-porn-case/110343392/" TargetMode="External"/><Relationship Id="rId426" Type="http://schemas.openxmlformats.org/officeDocument/2006/relationships/hyperlink" Target="https://www.courtlistener.com/docket/6757218/united-states-v-pieritz/" TargetMode="External"/><Relationship Id="rId425" Type="http://schemas.openxmlformats.org/officeDocument/2006/relationships/hyperlink" Target="https://www.justice.gov/opa/pr/virginia-man-sentenced-30-years-prison-enticement-receipt-and-possession-child-pornography" TargetMode="External"/><Relationship Id="rId424" Type="http://schemas.openxmlformats.org/officeDocument/2006/relationships/hyperlink" Target="https://www.courtlistener.com/docket/6733967/united-states-v-zamora/" TargetMode="External"/><Relationship Id="rId423" Type="http://schemas.openxmlformats.org/officeDocument/2006/relationships/hyperlink" Target="https://www.courtlistener.com/docket/7789573/united-states-v-donshik/" TargetMode="External"/><Relationship Id="rId429" Type="http://schemas.openxmlformats.org/officeDocument/2006/relationships/hyperlink" Target="https://www.courtlistener.com/docket/6431694/united-states-v-ridenour/" TargetMode="External"/><Relationship Id="rId428" Type="http://schemas.openxmlformats.org/officeDocument/2006/relationships/hyperlink" Target="https://www.wndu.com/content/news/Mishawaka-man-charged-with-child-exploitation-possession-of-child-pornography-436372913.html" TargetMode="External"/><Relationship Id="rId427" Type="http://schemas.openxmlformats.org/officeDocument/2006/relationships/hyperlink" Target="https://www.justice.gov/usao-ndin/pr/mishawaka-man-sentenced-180-months-prison" TargetMode="External"/><Relationship Id="rId2580" Type="http://schemas.openxmlformats.org/officeDocument/2006/relationships/hyperlink" Target="https://www.cbp.gov/newsroom/local-media-release/border-patrol-and-homeland-security-investigations-rescue-illegal" TargetMode="External"/><Relationship Id="rId1250" Type="http://schemas.openxmlformats.org/officeDocument/2006/relationships/hyperlink" Target="http://archive.fo/DFWgL" TargetMode="External"/><Relationship Id="rId2581" Type="http://schemas.openxmlformats.org/officeDocument/2006/relationships/hyperlink" Target="https://www.kvia.com/crime/sisd-teacher-among-13-charged-after-prostitution-sting/790835254" TargetMode="External"/><Relationship Id="rId1251" Type="http://schemas.openxmlformats.org/officeDocument/2006/relationships/hyperlink" Target="https://ux.news-press.com/story/news/2018/02/12/lee-county-judge-one-6-men-arrested-naples-prostitution-sting/329835002/" TargetMode="External"/><Relationship Id="rId2582" Type="http://schemas.openxmlformats.org/officeDocument/2006/relationships/hyperlink" Target="https://www.cbp.gov/newsroom/local-media-release/operation-blazing-sands-continues-curtail-smuggling-attempts" TargetMode="External"/><Relationship Id="rId1252" Type="http://schemas.openxmlformats.org/officeDocument/2006/relationships/hyperlink" Target="http://archive.fo/DFWgL" TargetMode="External"/><Relationship Id="rId2583" Type="http://schemas.openxmlformats.org/officeDocument/2006/relationships/hyperlink" Target="https://www.justice.gov/usao-edtx/pr/collin-county-man-guilty-child-exploitation-violations" TargetMode="External"/><Relationship Id="rId422" Type="http://schemas.openxmlformats.org/officeDocument/2006/relationships/hyperlink" Target="https://www.justice.gov/usao-sdfl/pr/broward-county-teacher-pleads-guilty-possessing-child-pornography" TargetMode="External"/><Relationship Id="rId1253" Type="http://schemas.openxmlformats.org/officeDocument/2006/relationships/hyperlink" Target="https://www.newsweek.com/pennsylvania-philadelphia-cameron-carlucci-child-pornography-guilty-prison-1337046" TargetMode="External"/><Relationship Id="rId2584" Type="http://schemas.openxmlformats.org/officeDocument/2006/relationships/hyperlink" Target="https://www.justice.gov/usao-nj/pr/bergen-county-new-jersey-man-arrested-child-pornography-charges" TargetMode="External"/><Relationship Id="rId421" Type="http://schemas.openxmlformats.org/officeDocument/2006/relationships/hyperlink" Target="https://www.miamiherald.com/news/local/education/article220307895.html" TargetMode="External"/><Relationship Id="rId1254" Type="http://schemas.openxmlformats.org/officeDocument/2006/relationships/hyperlink" Target="http://archive.fo/bqQkw" TargetMode="External"/><Relationship Id="rId2585" Type="http://schemas.openxmlformats.org/officeDocument/2006/relationships/hyperlink" Target="https://www.cbp.gov/newsroom/local-media-release/laredo-sector-border-patrol-agents-rescue-62-illegal-aliens" TargetMode="External"/><Relationship Id="rId420" Type="http://schemas.openxmlformats.org/officeDocument/2006/relationships/hyperlink" Target="https://www.justice.gov/usao-md/pr/illegal-alien-previously-convicted-sex-offender-and-two-others-plead-guilty-or-are" TargetMode="External"/><Relationship Id="rId1255" Type="http://schemas.openxmlformats.org/officeDocument/2006/relationships/hyperlink" Target="https://www.statesman.com/news/breaking-news/breaking-more-than-140-arrested-during-texas-immigration-enforcement-operation-mid-february/OVArcBv8UKr3rZne60ZqOI/" TargetMode="External"/><Relationship Id="rId2586" Type="http://schemas.openxmlformats.org/officeDocument/2006/relationships/hyperlink" Target="https://www.courtlistener.com/?q=&amp;type=r&amp;order_by=score+desc&amp;docket_number=8%3A18-cr-00323&amp;court=nynd" TargetMode="External"/><Relationship Id="rId1256" Type="http://schemas.openxmlformats.org/officeDocument/2006/relationships/hyperlink" Target="https://www.courtlistener.com/?q=&amp;type=r&amp;order_by=score+desc&amp;docket_number=1%3A18-cr-00081&amp;court=nysd" TargetMode="External"/><Relationship Id="rId2587" Type="http://schemas.openxmlformats.org/officeDocument/2006/relationships/hyperlink" Target="https://www.lmtonline.com/border-mexico/article/Truck-driver-charged-in-smuggling-attempt-of-62-13234839.php" TargetMode="External"/><Relationship Id="rId1246" Type="http://schemas.openxmlformats.org/officeDocument/2006/relationships/hyperlink" Target="http://archive.fo/DFWgL" TargetMode="External"/><Relationship Id="rId2577" Type="http://schemas.openxmlformats.org/officeDocument/2006/relationships/hyperlink" Target="https://fox5sandiego.com/2018/08/27/19-arrested-in-suspected-smuggling-attempt/" TargetMode="External"/><Relationship Id="rId1247" Type="http://schemas.openxmlformats.org/officeDocument/2006/relationships/hyperlink" Target="https://ux.news-press.com/story/news/2018/02/12/lee-county-judge-one-6-men-arrested-naples-prostitution-sting/329835002/" TargetMode="External"/><Relationship Id="rId2578" Type="http://schemas.openxmlformats.org/officeDocument/2006/relationships/hyperlink" Target="https://www.cbp.gov/newsroom/local-media-release/yuma-sector-s-immigration-checkpoints-continue-interdict-human-and" TargetMode="External"/><Relationship Id="rId1248" Type="http://schemas.openxmlformats.org/officeDocument/2006/relationships/hyperlink" Target="http://archive.fo/DFWgL" TargetMode="External"/><Relationship Id="rId2579" Type="http://schemas.openxmlformats.org/officeDocument/2006/relationships/hyperlink" Target="https://www.cbp.gov/newsroom/local-media-release/border-patrol-agents-discover-20-illegal-aliens-hidden-semi-truck" TargetMode="External"/><Relationship Id="rId1249" Type="http://schemas.openxmlformats.org/officeDocument/2006/relationships/hyperlink" Target="https://ux.news-press.com/story/news/2018/02/12/lee-county-judge-one-6-men-arrested-naples-prostitution-sting/329835002/" TargetMode="External"/><Relationship Id="rId415" Type="http://schemas.openxmlformats.org/officeDocument/2006/relationships/hyperlink" Target="https://www.justice.gov/usao-sdms/pr/biloxi-man-sentenced-over-nine-years-federal-prison-possession-child-pornography" TargetMode="External"/><Relationship Id="rId414" Type="http://schemas.openxmlformats.org/officeDocument/2006/relationships/hyperlink" Target="https://www.enca.com/south-africa/details-surrounding-sas-child-pornographer-laid-bare-in-court" TargetMode="External"/><Relationship Id="rId413" Type="http://schemas.openxmlformats.org/officeDocument/2006/relationships/hyperlink" Target="https://www.ice.gov/news/releases/ice-orchestrates-innovative-dvc-technology-trial-south-african-pedophile" TargetMode="External"/><Relationship Id="rId412" Type="http://schemas.openxmlformats.org/officeDocument/2006/relationships/hyperlink" Target="http://wgntv.com/2018/05/08/mom-admits-she-let-men-rape-daughters-ages-5-and-6-in-exchange-for-money/" TargetMode="External"/><Relationship Id="rId419" Type="http://schemas.openxmlformats.org/officeDocument/2006/relationships/hyperlink" Target="https://www.justice.gov/usao-wdmo/pr/prior-sex-offender-sentenced-10-years-child-sexual-obscenity" TargetMode="External"/><Relationship Id="rId418" Type="http://schemas.openxmlformats.org/officeDocument/2006/relationships/hyperlink" Target="https://www.courtlistener.com/docket/6551932/united-states-v-lampley/" TargetMode="External"/><Relationship Id="rId417" Type="http://schemas.openxmlformats.org/officeDocument/2006/relationships/hyperlink" Target="https://www.justice.gov/usao-edtx/pr/beaumont-man-sentenced-child-pornography-violations" TargetMode="External"/><Relationship Id="rId416" Type="http://schemas.openxmlformats.org/officeDocument/2006/relationships/hyperlink" Target="https://www.justice.gov/usao-edtx/pr/beaumont-man-guilty-child-pornography-violations" TargetMode="External"/><Relationship Id="rId2570" Type="http://schemas.openxmlformats.org/officeDocument/2006/relationships/hyperlink" Target="http://www.wfsb.com/story/38961962/eight-arrested-in-human-trafficking-sting-in-enfield" TargetMode="External"/><Relationship Id="rId1240" Type="http://schemas.openxmlformats.org/officeDocument/2006/relationships/hyperlink" Target="https://ux.news-press.com/story/news/crime/2018/02/13/lee-circuit-judge-jay-rosman-resigns-following-alleged-prostitution-accusation/335069002/" TargetMode="External"/><Relationship Id="rId2571" Type="http://schemas.openxmlformats.org/officeDocument/2006/relationships/hyperlink" Target="https://www.justice.gov/usao-sdil/pr/former-waterloo-resident-pleads-guilty-receiving-child-pornography" TargetMode="External"/><Relationship Id="rId1241" Type="http://schemas.openxmlformats.org/officeDocument/2006/relationships/hyperlink" Target="http://archive.fo/oysb4" TargetMode="External"/><Relationship Id="rId2572" Type="http://schemas.openxmlformats.org/officeDocument/2006/relationships/hyperlink" Target="https://www.bnd.com/news/local/crime/article217411600.html" TargetMode="External"/><Relationship Id="rId411" Type="http://schemas.openxmlformats.org/officeDocument/2006/relationships/hyperlink" Target="https://archive.fo/S49EE" TargetMode="External"/><Relationship Id="rId1242" Type="http://schemas.openxmlformats.org/officeDocument/2006/relationships/hyperlink" Target="http://archive.fo/GeeDe" TargetMode="External"/><Relationship Id="rId2573" Type="http://schemas.openxmlformats.org/officeDocument/2006/relationships/hyperlink" Target="https://www.courtlistener.com/docket/7896922/united-states-v-brueggemann/" TargetMode="External"/><Relationship Id="rId410" Type="http://schemas.openxmlformats.org/officeDocument/2006/relationships/hyperlink" Target="https://archive.fo/phbcw" TargetMode="External"/><Relationship Id="rId1243" Type="http://schemas.openxmlformats.org/officeDocument/2006/relationships/hyperlink" Target="https://ux.news-press.com/story/news/2018/02/12/lee-county-judge-one-6-men-arrested-naples-prostitution-sting/329835002/" TargetMode="External"/><Relationship Id="rId2574" Type="http://schemas.openxmlformats.org/officeDocument/2006/relationships/hyperlink" Target="https://www.cbp.gov/newsroom/local-media-release/border-patrol-arrests-man-convicted-attempted-murder-smuggling-charges" TargetMode="External"/><Relationship Id="rId1244" Type="http://schemas.openxmlformats.org/officeDocument/2006/relationships/hyperlink" Target="http://archive.fo/DFWgL" TargetMode="External"/><Relationship Id="rId2575" Type="http://schemas.openxmlformats.org/officeDocument/2006/relationships/hyperlink" Target="http://www.kgns.tv/content/news/Border-Patrol-agents-find-illegal-immigrant-inside-windjammer-491783521.html" TargetMode="External"/><Relationship Id="rId1245" Type="http://schemas.openxmlformats.org/officeDocument/2006/relationships/hyperlink" Target="https://ux.news-press.com/story/news/2018/02/12/lee-county-judge-one-6-men-arrested-naples-prostitution-sting/329835002/" TargetMode="External"/><Relationship Id="rId2576" Type="http://schemas.openxmlformats.org/officeDocument/2006/relationships/hyperlink" Target="https://www.cbp.gov/newsroom/local-media-release/high-risks-high-speeds-encountered-border-patrol-checkpoints-rio-grande" TargetMode="External"/><Relationship Id="rId1279" Type="http://schemas.openxmlformats.org/officeDocument/2006/relationships/hyperlink" Target="http://www.timesonline.com/news/20180328/rochester-man-faces-trial-in-child-porn-texting-case" TargetMode="External"/><Relationship Id="rId4305" Type="http://schemas.openxmlformats.org/officeDocument/2006/relationships/hyperlink" Target="https://www.justice.gov/usao-wdwi/pr/rice-lake-man-sentenced-10-years-possessing-child-pornography" TargetMode="External"/><Relationship Id="rId4304" Type="http://schemas.openxmlformats.org/officeDocument/2006/relationships/hyperlink" Target="https://www.justice.gov/usao-sdca/pr/san-diego-man-pleads-guilty-sex-trafficking-children" TargetMode="External"/><Relationship Id="rId4307" Type="http://schemas.openxmlformats.org/officeDocument/2006/relationships/hyperlink" Target="https://www.justice.gov/usao-ut/pr/pandemic-shutdown-not-stopping-child-exploitation-cases-according-utah-federal" TargetMode="External"/><Relationship Id="rId4306" Type="http://schemas.openxmlformats.org/officeDocument/2006/relationships/hyperlink" Target="https://www.justice.gov/usao-edok/pr/chouteau-man-pleads-guilty-possession-and-distribution-material-involving-sexual" TargetMode="External"/><Relationship Id="rId4309" Type="http://schemas.openxmlformats.org/officeDocument/2006/relationships/hyperlink" Target="https://www.justice.gov/usao-sc/pr/williston-man-arrested-federal-criminal-complaint-child-exploitation-child-pornography" TargetMode="External"/><Relationship Id="rId4308" Type="http://schemas.openxmlformats.org/officeDocument/2006/relationships/hyperlink" Target="https://www.justice.gov/usao-wdky/pr/dayton-jones-charged-us-attorney-production-child-porn" TargetMode="External"/><Relationship Id="rId448" Type="http://schemas.openxmlformats.org/officeDocument/2006/relationships/hyperlink" Target="https://www.courtlistener.com/docket/6420846/united-states-v-campbell/" TargetMode="External"/><Relationship Id="rId447" Type="http://schemas.openxmlformats.org/officeDocument/2006/relationships/hyperlink" Target="https://www.justice.gov/usao-wdmo/pr/mansfield-man-sentenced-13-years-child-pornography" TargetMode="External"/><Relationship Id="rId446" Type="http://schemas.openxmlformats.org/officeDocument/2006/relationships/hyperlink" Target="https://www.justice.gov/usao-mdfl/pr/sanford-man-sentenced-more-30-years-child-sexual-exploitation-offenses" TargetMode="External"/><Relationship Id="rId445" Type="http://schemas.openxmlformats.org/officeDocument/2006/relationships/hyperlink" Target="http://www.kplctv.com/story/35903567/cyber-crime-unit-sulphur-man-arrested-on-over-100-counts-of-child-pornography" TargetMode="External"/><Relationship Id="rId449" Type="http://schemas.openxmlformats.org/officeDocument/2006/relationships/hyperlink" Target="https://www.justice.gov/usao-ak/pr/serial-sex-offender-sentenced-alaska-and-florida-serve-total-43-years-federal-prison" TargetMode="External"/><Relationship Id="rId1270" Type="http://schemas.openxmlformats.org/officeDocument/2006/relationships/hyperlink" Target="https://www.courtlistener.com/docket/6910038/united-states-v-richards/" TargetMode="External"/><Relationship Id="rId440" Type="http://schemas.openxmlformats.org/officeDocument/2006/relationships/hyperlink" Target="https://www.justice.gov/usao-nj/pr/union-county-man-charged-possessing-child-pornography" TargetMode="External"/><Relationship Id="rId1271" Type="http://schemas.openxmlformats.org/officeDocument/2006/relationships/hyperlink" Target="https://www.justice.gov/usao-mdfl/pr/former-middle-school-teacher-sentenced-more-21-years-after-traveling-dubai-florida-have" TargetMode="External"/><Relationship Id="rId1272" Type="http://schemas.openxmlformats.org/officeDocument/2006/relationships/hyperlink" Target="https://www.courtlistener.com/docket/6757112/united-states-v-ball/" TargetMode="External"/><Relationship Id="rId1273" Type="http://schemas.openxmlformats.org/officeDocument/2006/relationships/hyperlink" Target="http://www.crossville-chronicle.com/news/local_news/arrested-in-putnam-county-human-trafficking-operation/article_ac479cf6-5a16-11e8-9733-77313b97e4f3.html" TargetMode="External"/><Relationship Id="rId1274" Type="http://schemas.openxmlformats.org/officeDocument/2006/relationships/hyperlink" Target="https://www.usnews.com/news/best-states/new-mexico/articles/2018-02-16/new-mexico-authorities-6-charged-in-sex-trafficking-ring" TargetMode="External"/><Relationship Id="rId444" Type="http://schemas.openxmlformats.org/officeDocument/2006/relationships/hyperlink" Target="https://archive.vn/kcG9A" TargetMode="External"/><Relationship Id="rId1275" Type="http://schemas.openxmlformats.org/officeDocument/2006/relationships/hyperlink" Target="http://www.wfmd.com/2018/02/16/former-fcps-substitute-teacher-arrested-on-child-pornography-charges/" TargetMode="External"/><Relationship Id="rId4301" Type="http://schemas.openxmlformats.org/officeDocument/2006/relationships/hyperlink" Target="https://www.nydailynews.com/news/crime/ny-operation-covid-crackdown-nabs-thirty-suspected-sex-predators-20200422-u7ueldnisbhsfiipk77awx56wi-story.html" TargetMode="External"/><Relationship Id="rId443" Type="http://schemas.openxmlformats.org/officeDocument/2006/relationships/hyperlink" Target="https://archive.vn/wip/6lmWd" TargetMode="External"/><Relationship Id="rId1276" Type="http://schemas.openxmlformats.org/officeDocument/2006/relationships/hyperlink" Target="https://www.justice.gov/usao-mdfl/pr/bradenton-man-sentenced-more-10-years-federal-prison-downloading-child-pornography" TargetMode="External"/><Relationship Id="rId4300" Type="http://schemas.openxmlformats.org/officeDocument/2006/relationships/hyperlink" Target="https://www.dailymail.co.uk/news/article-8250169/Police-arrest-30-pedophiles-just-one-Virginia-county-Covid-crackdown.html?ito=social-twitter_dailymailus" TargetMode="External"/><Relationship Id="rId442" Type="http://schemas.openxmlformats.org/officeDocument/2006/relationships/hyperlink" Target="https://www.wkbw.com/news/tonawanda-man-who-stole-from-his-church-pleads-guilty-to-child-pornography-charges" TargetMode="External"/><Relationship Id="rId1277" Type="http://schemas.openxmlformats.org/officeDocument/2006/relationships/hyperlink" Target="http://www.bradenton.com/news/local/crime/article201186504.html" TargetMode="External"/><Relationship Id="rId4303" Type="http://schemas.openxmlformats.org/officeDocument/2006/relationships/hyperlink" Target="https://www.dailymail.co.uk/news/article-8250169/Police-arrest-30-pedophiles-just-one-Virginia-county-Covid-crackdown.html?ito=social-twitter_dailymailus" TargetMode="External"/><Relationship Id="rId441" Type="http://schemas.openxmlformats.org/officeDocument/2006/relationships/hyperlink" Target="https://www.justice.gov/usao-wdny/pr/tonawanda-man-admits-receiving-child-pornography" TargetMode="External"/><Relationship Id="rId1278" Type="http://schemas.openxmlformats.org/officeDocument/2006/relationships/hyperlink" Target="https://www.courtlistener.com/docket/6664618/united-states-v-young/" TargetMode="External"/><Relationship Id="rId4302" Type="http://schemas.openxmlformats.org/officeDocument/2006/relationships/hyperlink" Target="https://archive.vn/OtY4S" TargetMode="External"/><Relationship Id="rId1268" Type="http://schemas.openxmlformats.org/officeDocument/2006/relationships/hyperlink" Target="http://abc7news.com/twin-brothers-arrested-for-child-porn-a-week-apart-in-san-jose/3127064/" TargetMode="External"/><Relationship Id="rId2599" Type="http://schemas.openxmlformats.org/officeDocument/2006/relationships/hyperlink" Target="https://www.justice.gov/usao-ri/pr/east-providence-resident-detained-allegedly-receiving-and-possessing-child-pornography" TargetMode="External"/><Relationship Id="rId1269" Type="http://schemas.openxmlformats.org/officeDocument/2006/relationships/hyperlink" Target="https://www.justice.gov/usao-edca/pr/sacramento-man-indicted-advertising-and-distributing-child-pornography" TargetMode="External"/><Relationship Id="rId437" Type="http://schemas.openxmlformats.org/officeDocument/2006/relationships/hyperlink" Target="https://www.justice.gov/usao-wdnc/pr/repeat-offender-sentenced-15-years-child-pornography" TargetMode="External"/><Relationship Id="rId436" Type="http://schemas.openxmlformats.org/officeDocument/2006/relationships/hyperlink" Target="https://archive.vn/nKT4d" TargetMode="External"/><Relationship Id="rId435" Type="http://schemas.openxmlformats.org/officeDocument/2006/relationships/hyperlink" Target="https://archive.vn/trbsL" TargetMode="External"/><Relationship Id="rId434" Type="http://schemas.openxmlformats.org/officeDocument/2006/relationships/hyperlink" Target="https://archive.vn/TOrOs" TargetMode="External"/><Relationship Id="rId439" Type="http://schemas.openxmlformats.org/officeDocument/2006/relationships/hyperlink" Target="https://www.justice.gov/usao-nj/pr/monroe-township-new-jersey-man-sentenced-10-years-prison-possession-child-pornography" TargetMode="External"/><Relationship Id="rId438" Type="http://schemas.openxmlformats.org/officeDocument/2006/relationships/hyperlink" Target="https://www.courtlistener.com/docket/6351252/united-states-v-thompson/" TargetMode="External"/><Relationship Id="rId2590" Type="http://schemas.openxmlformats.org/officeDocument/2006/relationships/hyperlink" Target="https://www.justice.gov/usao-ndoh/pr/former-ride-operator-cleveland-childrens-park-indicted-child-exploitation" TargetMode="External"/><Relationship Id="rId1260" Type="http://schemas.openxmlformats.org/officeDocument/2006/relationships/hyperlink" Target="https://www.courtlistener.com/docket/7568895/united-states-v-hoeltzel/" TargetMode="External"/><Relationship Id="rId2591" Type="http://schemas.openxmlformats.org/officeDocument/2006/relationships/hyperlink" Target="https://www.courtlistener.com/docket/7778990/united-states-v-wheeler/" TargetMode="External"/><Relationship Id="rId1261" Type="http://schemas.openxmlformats.org/officeDocument/2006/relationships/hyperlink" Target="https://www.justice.gov/usao-sdny/pr/bronx-man-charged-possessing-and-distributing-child-pornography" TargetMode="External"/><Relationship Id="rId2592" Type="http://schemas.openxmlformats.org/officeDocument/2006/relationships/hyperlink" Target="https://www.cbp.gov/newsroom/local-media-release/operation-blazing-sands-leads-arrests-three-more-smugglers" TargetMode="External"/><Relationship Id="rId1262" Type="http://schemas.openxmlformats.org/officeDocument/2006/relationships/hyperlink" Target="https://www.justice.gov/usao-sdny/pr/bronx-man-sentenced-10-years-prison-possessing-child-pornography" TargetMode="External"/><Relationship Id="rId2593" Type="http://schemas.openxmlformats.org/officeDocument/2006/relationships/hyperlink" Target="https://www.dailyrepublic.com/all-dr-news/solano-news/fairfield/napa-authorities-nab-fairfield-man-in-sex-trafficking-sting-operation/comment-page-1/" TargetMode="External"/><Relationship Id="rId1263" Type="http://schemas.openxmlformats.org/officeDocument/2006/relationships/hyperlink" Target="https://www.justice.gov/usao-ednc/pr/franklinton-man-sentenced-distribution-child-pornography" TargetMode="External"/><Relationship Id="rId2594" Type="http://schemas.openxmlformats.org/officeDocument/2006/relationships/hyperlink" Target="https://www.justice.gov/usao-cdca/pr/federal-prosecutors-bring-child-pornography-and-other-exploitation-cases-part-ongoing" TargetMode="External"/><Relationship Id="rId433" Type="http://schemas.openxmlformats.org/officeDocument/2006/relationships/hyperlink" Target="https://archive.vn/trbsL" TargetMode="External"/><Relationship Id="rId1264" Type="http://schemas.openxmlformats.org/officeDocument/2006/relationships/hyperlink" Target="https://www.courtlistener.com/docket/6923905/united-states-v-phillips/" TargetMode="External"/><Relationship Id="rId2595" Type="http://schemas.openxmlformats.org/officeDocument/2006/relationships/hyperlink" Target="https://www.courtlistener.com/docket/7778059/united-states-v-sanchez/" TargetMode="External"/><Relationship Id="rId432" Type="http://schemas.openxmlformats.org/officeDocument/2006/relationships/hyperlink" Target="http://host.madison.com/wsj/news/local/courts/man-charged-with-human-trafficking-after-women-say-their-addictions/article_f32107e4-2415-5c7d-bfa5-bba5e6714673.html" TargetMode="External"/><Relationship Id="rId1265" Type="http://schemas.openxmlformats.org/officeDocument/2006/relationships/hyperlink" Target="https://www.cbp.gov/newsroom/local-media-release/woman-caught-smuggling-agents-provide-aid-injured" TargetMode="External"/><Relationship Id="rId2596" Type="http://schemas.openxmlformats.org/officeDocument/2006/relationships/hyperlink" Target="https://www.eveningsun.com/story/news/2018/11/07/adams-county-reading-township-man-images-videos-child-sexual-abuse-cellphone-child-porn/1921117002/" TargetMode="External"/><Relationship Id="rId431" Type="http://schemas.openxmlformats.org/officeDocument/2006/relationships/hyperlink" Target="https://www.cbp.gov/newsroom/local-media-release/mexican-woman-found-hiding-trunk-compact-car" TargetMode="External"/><Relationship Id="rId1266" Type="http://schemas.openxmlformats.org/officeDocument/2006/relationships/hyperlink" Target="https://www.courtlistener.com/docket/7071553/united-states-v-santiago-rosario/" TargetMode="External"/><Relationship Id="rId2597" Type="http://schemas.openxmlformats.org/officeDocument/2006/relationships/hyperlink" Target="https://www.justice.gov/usao-sdfl/pr/davie-resident-sentenced-40-years-prison-enticing-minors-engage-sexual-acts-and" TargetMode="External"/><Relationship Id="rId430" Type="http://schemas.openxmlformats.org/officeDocument/2006/relationships/hyperlink" Target="https://www.justice.gov/usao-mdla/pr/illegal-alien-sentenced-federal-prison-sexual-exploitation-minor-and-possession-child" TargetMode="External"/><Relationship Id="rId1267" Type="http://schemas.openxmlformats.org/officeDocument/2006/relationships/hyperlink" Target="https://www.courtlistener.com/docket/7071553/united-states-v-santiago-rosario/" TargetMode="External"/><Relationship Id="rId2598" Type="http://schemas.openxmlformats.org/officeDocument/2006/relationships/hyperlink" Target="https://www.courtlistener.com/docket/7778900/united-states-v-alvarez-flores/" TargetMode="External"/><Relationship Id="rId3070" Type="http://schemas.openxmlformats.org/officeDocument/2006/relationships/hyperlink" Target="https://dfw.cbslocal.com/2018/11/28/man-accused-secretly-filming-boys/" TargetMode="External"/><Relationship Id="rId3072" Type="http://schemas.openxmlformats.org/officeDocument/2006/relationships/hyperlink" Target="https://www.justice.gov/usao-nj/pr/hudson-county-man-charged-distributing-child-pornography" TargetMode="External"/><Relationship Id="rId3071" Type="http://schemas.openxmlformats.org/officeDocument/2006/relationships/hyperlink" Target="https://www.cbp.gov/newsroom/local-media-release/border-patrol-agents-find-3-human-smuggling-attempt" TargetMode="External"/><Relationship Id="rId3074" Type="http://schemas.openxmlformats.org/officeDocument/2006/relationships/hyperlink" Target="https://www.cbp.gov/newsroom/local-media-release/border-patrol-agents-uncover-smuggling-attempt" TargetMode="External"/><Relationship Id="rId3073" Type="http://schemas.openxmlformats.org/officeDocument/2006/relationships/hyperlink" Target="https://www.courtlistener.com/docket/15671949/united-states-v-stabile-jr/" TargetMode="External"/><Relationship Id="rId3076" Type="http://schemas.openxmlformats.org/officeDocument/2006/relationships/hyperlink" Target="https://www.cbp.gov/newsroom/local-media-release/phoenix-man-arrested-human-smuggling" TargetMode="External"/><Relationship Id="rId3075" Type="http://schemas.openxmlformats.org/officeDocument/2006/relationships/hyperlink" Target="https://www.justice.gov/usao-ndny/pr/canadian-resident-arrested-alien-smuggling" TargetMode="External"/><Relationship Id="rId3078" Type="http://schemas.openxmlformats.org/officeDocument/2006/relationships/hyperlink" Target="https://www.courtlistener.com/docket/8405979/united-states-v-gurbey/" TargetMode="External"/><Relationship Id="rId3077" Type="http://schemas.openxmlformats.org/officeDocument/2006/relationships/hyperlink" Target="https://www.justice.gov/usao-wdny/pr/hamburg-man-pleads-guilty-production-child-pornography" TargetMode="External"/><Relationship Id="rId3079" Type="http://schemas.openxmlformats.org/officeDocument/2006/relationships/hyperlink" Target="https://www.justice.gov/usao-sdtx/pr/septuagenarian-heads-prison-possessing-over-30k-images-morphed-child-pornography" TargetMode="External"/><Relationship Id="rId4390" Type="http://schemas.openxmlformats.org/officeDocument/2006/relationships/hyperlink" Target="https://www.justice.gov/usao-edca/pr/stockton-man-charged-sexual-exploitation-minor" TargetMode="External"/><Relationship Id="rId3061" Type="http://schemas.openxmlformats.org/officeDocument/2006/relationships/hyperlink" Target="https://www.courtlistener.com/?q=&amp;type=r&amp;order_by=score+desc&amp;docket_number=2%3A18-cr-00522&amp;court=paed" TargetMode="External"/><Relationship Id="rId4392" Type="http://schemas.openxmlformats.org/officeDocument/2006/relationships/hyperlink" Target="https://www.justice.gov/usao-ndok/pr/federal-grand-jury-criminal-indictments-announced-68" TargetMode="External"/><Relationship Id="rId3060" Type="http://schemas.openxmlformats.org/officeDocument/2006/relationships/hyperlink" Target="https://www.justice.gov/usao-edpa/pr/oxford-man-indicted-trafficking-child-pornography" TargetMode="External"/><Relationship Id="rId4391" Type="http://schemas.openxmlformats.org/officeDocument/2006/relationships/hyperlink" Target="https://www.justice.gov/usao-ndok/pr/federal-grand-jury-criminal-indictments-announced-68" TargetMode="External"/><Relationship Id="rId3063" Type="http://schemas.openxmlformats.org/officeDocument/2006/relationships/hyperlink" Target="https://www.justice.gov/usao-ma/pr/amesbury-man-and-salisbury-woman-arrested-child-pornography-offenses-including-production" TargetMode="External"/><Relationship Id="rId4394" Type="http://schemas.openxmlformats.org/officeDocument/2006/relationships/hyperlink" Target="https://www.justice.gov/usao-ma/pr/amesbury-man-previously-charged-child-pornography-offenses-re-arrested-violating" TargetMode="External"/><Relationship Id="rId3062" Type="http://schemas.openxmlformats.org/officeDocument/2006/relationships/hyperlink" Target="https://www.cbp.gov/newsroom/local-media-release/us-border-patrol-stops-2-human-smuggling-attempts" TargetMode="External"/><Relationship Id="rId4393" Type="http://schemas.openxmlformats.org/officeDocument/2006/relationships/hyperlink" Target="https://www.justice.gov/usao-ri/pr/high-school-student-charged-coercion-and-sexual-exploitation-minor" TargetMode="External"/><Relationship Id="rId3065" Type="http://schemas.openxmlformats.org/officeDocument/2006/relationships/hyperlink" Target="https://www.justice.gov/usao-sdil/pr/st-louis-man-indicted-child-pornography" TargetMode="External"/><Relationship Id="rId4396" Type="http://schemas.openxmlformats.org/officeDocument/2006/relationships/hyperlink" Target="https://www.justice.gov/usao-mt/pr/billings-man-charged-coercion-minors-child-pornography-investigation" TargetMode="External"/><Relationship Id="rId3064" Type="http://schemas.openxmlformats.org/officeDocument/2006/relationships/hyperlink" Target="https://www.courtlistener.com/?q=&amp;type=r&amp;order_by=score+desc&amp;docket_number=1%3A18-cr-10472&amp;court=mad" TargetMode="External"/><Relationship Id="rId4395" Type="http://schemas.openxmlformats.org/officeDocument/2006/relationships/hyperlink" Target="https://www.justice.gov/usao-sdwv/pr/charleston-man-pleads-guilty-possession-child-pornography" TargetMode="External"/><Relationship Id="rId3067" Type="http://schemas.openxmlformats.org/officeDocument/2006/relationships/hyperlink" Target="https://www.cbp.gov/newsroom/local-media-release/tempe-men-arrested-willcox-alien-smuggling" TargetMode="External"/><Relationship Id="rId4398" Type="http://schemas.openxmlformats.org/officeDocument/2006/relationships/hyperlink" Target="https://www.justice.gov/usao-ndny/pr/washington-county-man-charged-distributing-and-possessing-child-pornography" TargetMode="External"/><Relationship Id="rId3066" Type="http://schemas.openxmlformats.org/officeDocument/2006/relationships/hyperlink" Target="https://www.firefightingnews.com/airman-firefighter-is-accused-of-distributing-child-porn-from-work/" TargetMode="External"/><Relationship Id="rId4397" Type="http://schemas.openxmlformats.org/officeDocument/2006/relationships/hyperlink" Target="https://www.justice.gov/usao-wdky/pr/hardin-county-teacher-charged-federally-child-exploitation" TargetMode="External"/><Relationship Id="rId3069" Type="http://schemas.openxmlformats.org/officeDocument/2006/relationships/hyperlink" Target="https://www.justice.gov/usao-edtx/pr/carrollton-man-indicted-child-sexual-exploitation-violations" TargetMode="External"/><Relationship Id="rId3068" Type="http://schemas.openxmlformats.org/officeDocument/2006/relationships/hyperlink" Target="https://www.justice.gov/usao-ri/pr/two-arrested-enticement-child-pornography-charges" TargetMode="External"/><Relationship Id="rId4399" Type="http://schemas.openxmlformats.org/officeDocument/2006/relationships/hyperlink" Target="https://www.justice.gov/usao-wy/pr/activity-united-states-attorneys-office-35" TargetMode="External"/><Relationship Id="rId3090" Type="http://schemas.openxmlformats.org/officeDocument/2006/relationships/hyperlink" Target="https://www.courtlistener.com/docket/8357844/united-states-v-perez-canet/" TargetMode="External"/><Relationship Id="rId3092" Type="http://schemas.openxmlformats.org/officeDocument/2006/relationships/hyperlink" Target="https://www.courtlistener.com/docket/8364519/united-states-v-ramos/" TargetMode="External"/><Relationship Id="rId3091" Type="http://schemas.openxmlformats.org/officeDocument/2006/relationships/hyperlink" Target="https://www.justice.gov/usao-wdky/pr/louisville-man-sentenced-25-years-advertising-transporting-and-possessing-child" TargetMode="External"/><Relationship Id="rId3094" Type="http://schemas.openxmlformats.org/officeDocument/2006/relationships/hyperlink" Target="https://m.wcexaminer.com/news/man-charged-with-child-exploitation-1.2423466" TargetMode="External"/><Relationship Id="rId3093" Type="http://schemas.openxmlformats.org/officeDocument/2006/relationships/hyperlink" Target="https://www.justice.gov/usao-mdpa/pr/wyoming-county-man-charged-child-exploitation-crimes" TargetMode="External"/><Relationship Id="rId3096" Type="http://schemas.openxmlformats.org/officeDocument/2006/relationships/hyperlink" Target="https://www.greatfallstribune.com/story/news/2018/12/06/great-falls-montana-child-sex-trafficking-abuse-crime/2228598002/" TargetMode="External"/><Relationship Id="rId3095" Type="http://schemas.openxmlformats.org/officeDocument/2006/relationships/hyperlink" Target="https://www.courtlistener.com/docket/8403265/united-states-v-davis/" TargetMode="External"/><Relationship Id="rId3098" Type="http://schemas.openxmlformats.org/officeDocument/2006/relationships/hyperlink" Target="https://archive.vn/wip/JwPAD" TargetMode="External"/><Relationship Id="rId3097" Type="http://schemas.openxmlformats.org/officeDocument/2006/relationships/hyperlink" Target="https://www.yahoo.com/news/extremely-disturbing-montana-woman-gets-035111592.html" TargetMode="External"/><Relationship Id="rId3099" Type="http://schemas.openxmlformats.org/officeDocument/2006/relationships/hyperlink" Target="https://archive.vn/wip/kkH3g" TargetMode="External"/><Relationship Id="rId3081" Type="http://schemas.openxmlformats.org/officeDocument/2006/relationships/hyperlink" Target="https://www.docketbird.com/court-documents/USA-v-Nash/ORDER-OF-DETENTION-as-to-Daniel-Arlie-Nash-Signed-by-Magistrate-Judge-Deborah-M-Fine-on-11-29-2018/azd-3:2018-cr-08262-1114498-00015" TargetMode="External"/><Relationship Id="rId3080" Type="http://schemas.openxmlformats.org/officeDocument/2006/relationships/hyperlink" Target="https://www.courtlistener.com/?q=&amp;type=r&amp;order_by=score+desc&amp;docket_number=2%3A18-cr-01339&amp;court=txsd" TargetMode="External"/><Relationship Id="rId3083" Type="http://schemas.openxmlformats.org/officeDocument/2006/relationships/hyperlink" Target="https://www.justice.gov/usao-mdfl/pr/tampa-man-charged-enticing-children-video-game-system-create-and-send-child-pornography" TargetMode="External"/><Relationship Id="rId3082" Type="http://schemas.openxmlformats.org/officeDocument/2006/relationships/hyperlink" Target="https://www.justice.gov/usao-ndca/pr/bay-area-man-sentenced-nine-years-prison-distributing-and-possessing-child-pornography" TargetMode="External"/><Relationship Id="rId3085" Type="http://schemas.openxmlformats.org/officeDocument/2006/relationships/hyperlink" Target="https://www.justice.gov/usao-sdoh/pr/35-year-sentence-habitual-sex-offender-who-produced-child-pornography" TargetMode="External"/><Relationship Id="rId3084" Type="http://schemas.openxmlformats.org/officeDocument/2006/relationships/hyperlink" Target="https://www.courtlistener.com/docket/14875530/united-states-v-wallace/" TargetMode="External"/><Relationship Id="rId3087" Type="http://schemas.openxmlformats.org/officeDocument/2006/relationships/hyperlink" Target="https://www.breitbart.com/border/2018/12/04/nc-teacher-accused-of-sex-with-12-year-old-student-child-pornography/" TargetMode="External"/><Relationship Id="rId3086" Type="http://schemas.openxmlformats.org/officeDocument/2006/relationships/hyperlink" Target="https://www.courtlistener.com/docket/14500047/united-states-v-rapier/" TargetMode="External"/><Relationship Id="rId3089" Type="http://schemas.openxmlformats.org/officeDocument/2006/relationships/hyperlink" Target="https://www.justice.gov/usao-ndoh/pr/california-man-indicted-transporting-five-illegal-aliens" TargetMode="External"/><Relationship Id="rId3088" Type="http://schemas.openxmlformats.org/officeDocument/2006/relationships/hyperlink" Target="https://www.justice.gov/usao-edla/pr/woman-charged-transportation-individuals-interstate-commerce-prostitution" TargetMode="External"/><Relationship Id="rId3039" Type="http://schemas.openxmlformats.org/officeDocument/2006/relationships/hyperlink" Target="https://www.justice.gov/usao-wdla/pr/lafayette-man-pleads-guilty-possessing-300-child-pornography-images-cell-phone" TargetMode="External"/><Relationship Id="rId1" Type="http://schemas.openxmlformats.org/officeDocument/2006/relationships/comments" Target="../comments1.xml"/><Relationship Id="rId2" Type="http://schemas.openxmlformats.org/officeDocument/2006/relationships/hyperlink" Target="https://www.justice.gov/opa/pr/new-hampshire-man-indicted-sex-trafficking-minor-connection-interstate-prostitution" TargetMode="External"/><Relationship Id="rId3" Type="http://schemas.openxmlformats.org/officeDocument/2006/relationships/hyperlink" Target="https://www.wmur.com/article/man-pleads-guilty-for-trafficking-minor-for-sex/12504090" TargetMode="External"/><Relationship Id="rId4" Type="http://schemas.openxmlformats.org/officeDocument/2006/relationships/hyperlink" Target="https://archive.fo/Nh0Wk" TargetMode="External"/><Relationship Id="rId3030" Type="http://schemas.openxmlformats.org/officeDocument/2006/relationships/hyperlink" Target="https://www.justice.gov/usao-mdpa/pr/york-county-man-sentenced-fifteen-years-producing-child-pornography-and-impersonating" TargetMode="External"/><Relationship Id="rId4361" Type="http://schemas.openxmlformats.org/officeDocument/2006/relationships/hyperlink" Target="https://www.justice.gov/usao-wdmo/pr/springfield-man-charged-producing-child-pornography-sexually-abusing-three-teens" TargetMode="External"/><Relationship Id="rId4360" Type="http://schemas.openxmlformats.org/officeDocument/2006/relationships/hyperlink" Target="https://www.justice.gov/usao-nv/pr/additional-charge-child-sexual-exploitation-filed-against-las-vegas-man-who-allegedly" TargetMode="External"/><Relationship Id="rId9" Type="http://schemas.openxmlformats.org/officeDocument/2006/relationships/hyperlink" Target="https://archive.fo/n74KW" TargetMode="External"/><Relationship Id="rId3032" Type="http://schemas.openxmlformats.org/officeDocument/2006/relationships/hyperlink" Target="https://archive.vn/gWdIF" TargetMode="External"/><Relationship Id="rId4363" Type="http://schemas.openxmlformats.org/officeDocument/2006/relationships/hyperlink" Target="https://www.justice.gov/usao-ndtx/pr/ndtx-roundup-amarillo-grand-jury-1" TargetMode="External"/><Relationship Id="rId3031" Type="http://schemas.openxmlformats.org/officeDocument/2006/relationships/hyperlink" Target="https://archive.vn/wip/oQiWe" TargetMode="External"/><Relationship Id="rId4362" Type="http://schemas.openxmlformats.org/officeDocument/2006/relationships/hyperlink" Target="https://www.justice.gov/usao-mt/pr/producing-possessing-child-pornography-sends-glendive-man-prison-40-years" TargetMode="External"/><Relationship Id="rId3034" Type="http://schemas.openxmlformats.org/officeDocument/2006/relationships/hyperlink" Target="https://www.justice.gov/usao-sdny/pr/pennsylvania-man-sentenced-25-years-prison-his-sexual-enticement-sullivan-county-minor" TargetMode="External"/><Relationship Id="rId4365" Type="http://schemas.openxmlformats.org/officeDocument/2006/relationships/hyperlink" Target="https://www.justice.gov/usao-edpa/pr/allentown-man-arrested-manufacturing-child-pornography" TargetMode="External"/><Relationship Id="rId3033" Type="http://schemas.openxmlformats.org/officeDocument/2006/relationships/hyperlink" Target="https://www.cbp.gov/newsroom/local-media-release/border-patrol-foils-dangerous-human-smuggling-incident" TargetMode="External"/><Relationship Id="rId4364" Type="http://schemas.openxmlformats.org/officeDocument/2006/relationships/hyperlink" Target="https://www.justice.gov/usao-ndtx/pr/ndtx-roundup-amarillo-grand-jury-1" TargetMode="External"/><Relationship Id="rId5" Type="http://schemas.openxmlformats.org/officeDocument/2006/relationships/hyperlink" Target="https://archive.fo/nXpBk" TargetMode="External"/><Relationship Id="rId3036" Type="http://schemas.openxmlformats.org/officeDocument/2006/relationships/hyperlink" Target="https://timesofsandiego.com/crime/2020/03/02/san-diego-lawyer-gets-46-month-term-for-sex-via-sugardaddymeet-com/" TargetMode="External"/><Relationship Id="rId4367" Type="http://schemas.openxmlformats.org/officeDocument/2006/relationships/hyperlink" Target="https://www.justice.gov/usao-wdny/pr/amherst-man-convicted-just-three-months-ago-state-child-sex-charge-caught-possessing" TargetMode="External"/><Relationship Id="rId6" Type="http://schemas.openxmlformats.org/officeDocument/2006/relationships/hyperlink" Target="https://www.clickondetroit.com/news/defenders/2-children-saved-22-people-arrested-for-human-trafficking-during-detroit-auto-show_" TargetMode="External"/><Relationship Id="rId3035" Type="http://schemas.openxmlformats.org/officeDocument/2006/relationships/hyperlink" Target="https://www.justice.gov/usao-sdca/pr/attorney-sentenced-46-months-enticement-and-coercion-engage-prostitution" TargetMode="External"/><Relationship Id="rId4366" Type="http://schemas.openxmlformats.org/officeDocument/2006/relationships/hyperlink" Target="https://www.justice.gov/usao-wdny/pr/prior-sex-offender-charged-receipt-and-possession-child-pornography" TargetMode="External"/><Relationship Id="rId7" Type="http://schemas.openxmlformats.org/officeDocument/2006/relationships/hyperlink" Target="https://archive.fo/4sni3" TargetMode="External"/><Relationship Id="rId3038" Type="http://schemas.openxmlformats.org/officeDocument/2006/relationships/hyperlink" Target="https://archive.vn/kcWRN" TargetMode="External"/><Relationship Id="rId4369" Type="http://schemas.openxmlformats.org/officeDocument/2006/relationships/hyperlink" Target="https://www.justice.gov/usao-edpa/pr/allentown-man-arrested-distribution-child-pornography-and-weapons-charges" TargetMode="External"/><Relationship Id="rId8" Type="http://schemas.openxmlformats.org/officeDocument/2006/relationships/hyperlink" Target="http://www.theledger.com/news/20170215/polk-sheriff-grady-judd-announces-42-child-pornography-related-arrests" TargetMode="External"/><Relationship Id="rId3037" Type="http://schemas.openxmlformats.org/officeDocument/2006/relationships/hyperlink" Target="https://archive.vn/TwXrK" TargetMode="External"/><Relationship Id="rId4368" Type="http://schemas.openxmlformats.org/officeDocument/2006/relationships/hyperlink" Target="https://www.justice.gov/usao-ednc/pr/christian-ruffin-raleigh-indicted-child-pornography-charges" TargetMode="External"/><Relationship Id="rId3029" Type="http://schemas.openxmlformats.org/officeDocument/2006/relationships/hyperlink" Target="https://www.justice.gov/usao-ks/pr/registered-sex-offender-kansas-convicted-federal-child-porn-charges" TargetMode="External"/><Relationship Id="rId3028" Type="http://schemas.openxmlformats.org/officeDocument/2006/relationships/hyperlink" Target="https://www.courtlistener.com/docket/8152718/united-states-v-massey/" TargetMode="External"/><Relationship Id="rId4359" Type="http://schemas.openxmlformats.org/officeDocument/2006/relationships/hyperlink" Target="https://www.justice.gov/usao-ut/pr/pandemic-shutdown-not-stopping-child-exploitation-cases-according-utah-federal" TargetMode="External"/><Relationship Id="rId4350" Type="http://schemas.openxmlformats.org/officeDocument/2006/relationships/hyperlink" Target="http://archive.vn/wip/cAkxl" TargetMode="External"/><Relationship Id="rId3021" Type="http://schemas.openxmlformats.org/officeDocument/2006/relationships/hyperlink" Target="https://kpax.com/news/crime-and-courts/2019/02/01/bozeman-man-admits-child-porn-cyberstalking-charges/" TargetMode="External"/><Relationship Id="rId4352" Type="http://schemas.openxmlformats.org/officeDocument/2006/relationships/hyperlink" Target="http://archive.vn/wip/tBpfT" TargetMode="External"/><Relationship Id="rId3020" Type="http://schemas.openxmlformats.org/officeDocument/2006/relationships/hyperlink" Target="https://www.justice.gov/usao-mt/pr/bozeman-man-admits-child-porn-cyberstalking-charges" TargetMode="External"/><Relationship Id="rId4351" Type="http://schemas.openxmlformats.org/officeDocument/2006/relationships/hyperlink" Target="https://www.wfla.com/news/polk-county/soon-sheriff-grady-judd-to-speak-on-16-charged-in-child-pornography-investigation/" TargetMode="External"/><Relationship Id="rId3023" Type="http://schemas.openxmlformats.org/officeDocument/2006/relationships/hyperlink" Target="https://milnenews.com/2018/11/28/former-chairman-for-the-democratic-party-charged-with-distribution-of-child-pornography/" TargetMode="External"/><Relationship Id="rId4354" Type="http://schemas.openxmlformats.org/officeDocument/2006/relationships/hyperlink" Target="http://archive.vn/wip/kdr9E" TargetMode="External"/><Relationship Id="rId3022" Type="http://schemas.openxmlformats.org/officeDocument/2006/relationships/hyperlink" Target="https://www.cbp.gov/newsroom/local-media-release/border-patrol-utilizes-new-immobilization-device-stop-fleeing-vehicle" TargetMode="External"/><Relationship Id="rId4353" Type="http://schemas.openxmlformats.org/officeDocument/2006/relationships/hyperlink" Target="https://www.wfla.com/news/polk-county/soon-sheriff-grady-judd-to-speak-on-16-charged-in-child-pornography-investigation/" TargetMode="External"/><Relationship Id="rId3025" Type="http://schemas.openxmlformats.org/officeDocument/2006/relationships/hyperlink" Target="https://archive.vn/Bz346" TargetMode="External"/><Relationship Id="rId4356" Type="http://schemas.openxmlformats.org/officeDocument/2006/relationships/hyperlink" Target="http://archive.vn/wip/xaA9X" TargetMode="External"/><Relationship Id="rId3024" Type="http://schemas.openxmlformats.org/officeDocument/2006/relationships/hyperlink" Target="https://www.justice.gov/usao-edar/pr/little-rock-man-arrested-child-pornography-charges-following-online-investigation" TargetMode="External"/><Relationship Id="rId4355" Type="http://schemas.openxmlformats.org/officeDocument/2006/relationships/hyperlink" Target="https://www.wfla.com/news/polk-county/soon-sheriff-grady-judd-to-speak-on-16-charged-in-child-pornography-investigation/" TargetMode="External"/><Relationship Id="rId3027" Type="http://schemas.openxmlformats.org/officeDocument/2006/relationships/hyperlink" Target="https://www.cbp.gov/newsroom/local-media-release/border-patrol-agents-arrest-suspected-driver-smuggling-case" TargetMode="External"/><Relationship Id="rId4358" Type="http://schemas.openxmlformats.org/officeDocument/2006/relationships/hyperlink" Target="http://archive.vn/wip/qBT1r" TargetMode="External"/><Relationship Id="rId3026" Type="http://schemas.openxmlformats.org/officeDocument/2006/relationships/hyperlink" Target="https://archive.vn/wip/CajRe" TargetMode="External"/><Relationship Id="rId4357" Type="http://schemas.openxmlformats.org/officeDocument/2006/relationships/hyperlink" Target="https://www.wfla.com/news/polk-county/soon-sheriff-grady-judd-to-speak-on-16-charged-in-child-pornography-investigation/" TargetMode="External"/><Relationship Id="rId3050" Type="http://schemas.openxmlformats.org/officeDocument/2006/relationships/hyperlink" Target="https://www.cbp.gov/newsroom/local-media-release/pursuit-ensues-border-patrol-checkpoint-and-yields-52-illegal-aliens" TargetMode="External"/><Relationship Id="rId4381" Type="http://schemas.openxmlformats.org/officeDocument/2006/relationships/hyperlink" Target="https://www.justice.gov/usao-vt/pr/uvm-er-doctor-indicted-production-child-pornography" TargetMode="External"/><Relationship Id="rId4380" Type="http://schemas.openxmlformats.org/officeDocument/2006/relationships/hyperlink" Target="https://www.justice.gov/usao-wdok/pr/former-tinker-afb-employee-and-reserve-air-force-colonel-pleads-guilty-accessing-and" TargetMode="External"/><Relationship Id="rId3052" Type="http://schemas.openxmlformats.org/officeDocument/2006/relationships/hyperlink" Target="https://www.justice.gov/usao-sdny/pr/acting-us-attorney-charges-former-westchester-resident-distributing-and-possessing" TargetMode="External"/><Relationship Id="rId4383" Type="http://schemas.openxmlformats.org/officeDocument/2006/relationships/hyperlink" Target="https://www.justice.gov/usao-wdtn/pr/registered-sex-offender-indicted-federal-child-exploitation-offenses" TargetMode="External"/><Relationship Id="rId3051" Type="http://schemas.openxmlformats.org/officeDocument/2006/relationships/hyperlink" Target="https://www.cbp.gov/newsroom/local-media-release/us-border-patrol-stops-2-human-smuggling-attempts" TargetMode="External"/><Relationship Id="rId4382" Type="http://schemas.openxmlformats.org/officeDocument/2006/relationships/hyperlink" Target="https://www.cbp.gov/newsroom/local-media-release/border-patrol-nabs-sex-offender-and-armed-smugglers-over-memorial" TargetMode="External"/><Relationship Id="rId3054" Type="http://schemas.openxmlformats.org/officeDocument/2006/relationships/hyperlink" Target="https://www.justice.gov/usao-sdia/pr/iowa-city-man-sentenced-90-months-prison-receiving-child-pornography" TargetMode="External"/><Relationship Id="rId4385" Type="http://schemas.openxmlformats.org/officeDocument/2006/relationships/hyperlink" Target="https://www.justice.gov/usao-cdil/pr/indictments-charge-two-men-separate-cases-alleged-attempted-child-sex-crimes" TargetMode="External"/><Relationship Id="rId3053" Type="http://schemas.openxmlformats.org/officeDocument/2006/relationships/hyperlink" Target="https://www.courtlistener.com/docket/6674299/united-states-v-biswas/" TargetMode="External"/><Relationship Id="rId4384" Type="http://schemas.openxmlformats.org/officeDocument/2006/relationships/hyperlink" Target="https://www.cbp.gov/newsroom/local-media-release/human-smuggler-convicted-sex-offender-arrested-border-patrol" TargetMode="External"/><Relationship Id="rId3056" Type="http://schemas.openxmlformats.org/officeDocument/2006/relationships/hyperlink" Target="https://www.nbcconnecticut.com/news/local/ellington-man-accused-of-having-sex-dungeon-pleads-guilty-to-federal-charges/2193282/" TargetMode="External"/><Relationship Id="rId4387" Type="http://schemas.openxmlformats.org/officeDocument/2006/relationships/hyperlink" Target="https://www.justice.gov/usao-ut/pr/complaint-unsealed-charging-man-distribution-heroin-possession-distribution-child" TargetMode="External"/><Relationship Id="rId3055" Type="http://schemas.openxmlformats.org/officeDocument/2006/relationships/hyperlink" Target="https://www.courtlistener.com/docket/14503314/united-states-v-benjamin/" TargetMode="External"/><Relationship Id="rId4386" Type="http://schemas.openxmlformats.org/officeDocument/2006/relationships/hyperlink" Target="https://www.justice.gov/usao-wdny/pr/amherst-man-who-fled-country-following-search-warrant-pleads-guilty-possession-child" TargetMode="External"/><Relationship Id="rId3058" Type="http://schemas.openxmlformats.org/officeDocument/2006/relationships/hyperlink" Target="https://archive.vn/XgPfh" TargetMode="External"/><Relationship Id="rId4389" Type="http://schemas.openxmlformats.org/officeDocument/2006/relationships/hyperlink" Target="https://www.justice.gov/usao-nm/pr/man-las-cruces-new-mexico-faces-federal-child-pornography-charges" TargetMode="External"/><Relationship Id="rId3057" Type="http://schemas.openxmlformats.org/officeDocument/2006/relationships/hyperlink" Target="https://archive.vn/wip/Hka0w" TargetMode="External"/><Relationship Id="rId4388" Type="http://schemas.openxmlformats.org/officeDocument/2006/relationships/hyperlink" Target="https://www.justice.gov/usao-nv/pr/reno-resident-indicted-possession-receipt-and-distribution-thousands-images-child" TargetMode="External"/><Relationship Id="rId3059" Type="http://schemas.openxmlformats.org/officeDocument/2006/relationships/hyperlink" Target="https://www.fbi.gov/contact-us/field-offices/sanjuan/news/press-releases/federal-charges-for-attempted-sexual-trafficking-of-children-1" TargetMode="External"/><Relationship Id="rId4370" Type="http://schemas.openxmlformats.org/officeDocument/2006/relationships/hyperlink" Target="https://www.justice.gov/usao-ednc/pr/cameron-hayes-raleigh-indicted-child-pornography-charges" TargetMode="External"/><Relationship Id="rId3041" Type="http://schemas.openxmlformats.org/officeDocument/2006/relationships/hyperlink" Target="https://www.justice.gov/usao-edpa/pr/previously-convicted-sex-offender-sentenced-decades-federal-prison-distribution-and" TargetMode="External"/><Relationship Id="rId4372" Type="http://schemas.openxmlformats.org/officeDocument/2006/relationships/hyperlink" Target="https://www.justice.gov/usao-ndok/pr/marijuana-distributor-charged-sex-trafficking-child-0" TargetMode="External"/><Relationship Id="rId3040" Type="http://schemas.openxmlformats.org/officeDocument/2006/relationships/hyperlink" Target="https://www.justice.gov/usao-wdmo/pr/gainesville-man-pleads-guilty-sexual-exploitation-minor" TargetMode="External"/><Relationship Id="rId4371" Type="http://schemas.openxmlformats.org/officeDocument/2006/relationships/hyperlink" Target="https://www.justice.gov/usao-ndtx/pr/ndtx-roundup-may-13-19" TargetMode="External"/><Relationship Id="rId3043" Type="http://schemas.openxmlformats.org/officeDocument/2006/relationships/hyperlink" Target="https://www.justice.gov/usao-edky/pr/independence-man-sentenced-192-months-distributing-child-pornography" TargetMode="External"/><Relationship Id="rId4374" Type="http://schemas.openxmlformats.org/officeDocument/2006/relationships/hyperlink" Target="https://www.cbp.gov/newsroom/national-media-release/border-patrol-arrests-individual-felony-kidnappinghuman-trafficking" TargetMode="External"/><Relationship Id="rId3042" Type="http://schemas.openxmlformats.org/officeDocument/2006/relationships/hyperlink" Target="https://www.courtlistener.com/?q=&amp;type=r&amp;order_by=score+desc&amp;docket_number=2%3A18-cr-00506&amp;court=paed" TargetMode="External"/><Relationship Id="rId4373" Type="http://schemas.openxmlformats.org/officeDocument/2006/relationships/hyperlink" Target="https://www.justice.gov/usao-edva/pr/alexandria-man-arrested-sexually-exploiting-two-children" TargetMode="External"/><Relationship Id="rId3045" Type="http://schemas.openxmlformats.org/officeDocument/2006/relationships/hyperlink" Target="https://archive.vn/vcOpr" TargetMode="External"/><Relationship Id="rId4376" Type="http://schemas.openxmlformats.org/officeDocument/2006/relationships/hyperlink" Target="https://www.justice.gov/usao-wdny/pr/federal-grand-jury-indicts-batavia-man-found-thousands-images-and-videos-child" TargetMode="External"/><Relationship Id="rId3044" Type="http://schemas.openxmlformats.org/officeDocument/2006/relationships/hyperlink" Target="https://www.dailymail.co.uk/news/article-6383669/Georgia-lawyer-accused-sexually-exploiting-children.html" TargetMode="External"/><Relationship Id="rId4375" Type="http://schemas.openxmlformats.org/officeDocument/2006/relationships/hyperlink" Target="https://www.justice.gov/usao-mdfl/pr/former-clay-county-sheriff-s-deputy-pleads-guilty-producing-and-possessing-child-sexual" TargetMode="External"/><Relationship Id="rId3047" Type="http://schemas.openxmlformats.org/officeDocument/2006/relationships/hyperlink" Target="https://www.justice.gov/usao-ma/pr/natick-man-arrested-child-pornography" TargetMode="External"/><Relationship Id="rId4378" Type="http://schemas.openxmlformats.org/officeDocument/2006/relationships/hyperlink" Target="https://www.cbp.gov/newsroom/local-media-release/sex-offender-human-smuggler-arrested-border-patrol" TargetMode="External"/><Relationship Id="rId3046" Type="http://schemas.openxmlformats.org/officeDocument/2006/relationships/hyperlink" Target="https://archive.vn/7EN1t" TargetMode="External"/><Relationship Id="rId4377" Type="http://schemas.openxmlformats.org/officeDocument/2006/relationships/hyperlink" Target="https://www.justice.gov/usao-wdpa/pr/pitcairn-woman-pleads-guilty-child-sexual-exploitation-charge" TargetMode="External"/><Relationship Id="rId3049" Type="http://schemas.openxmlformats.org/officeDocument/2006/relationships/hyperlink" Target="https://www.cbp.gov/newsroom/local-media-release/border-patrol-agents-discover-illegal-aliens-refrigerated-trailer-0" TargetMode="External"/><Relationship Id="rId3048" Type="http://schemas.openxmlformats.org/officeDocument/2006/relationships/hyperlink" Target="https://thegoldwater.com/news/43583-Montana-80-Yr-Old-Catholic-Priest-Busted-for-400-Images-and-210-DVDs-of-Child-Porn" TargetMode="External"/><Relationship Id="rId4379" Type="http://schemas.openxmlformats.org/officeDocument/2006/relationships/hyperlink" Target="https://www.justice.gov/usao-ndoh/pr/toledo-man-indicted-distribution-child-pornography-and-exploitation-minor" TargetMode="External"/><Relationship Id="rId3911" Type="http://schemas.openxmlformats.org/officeDocument/2006/relationships/hyperlink" Target="https://www.justice.gov/usao-edca/pr/stockton-man-and-woman-charged-sex-trafficking-child" TargetMode="External"/><Relationship Id="rId3910" Type="http://schemas.openxmlformats.org/officeDocument/2006/relationships/hyperlink" Target="https://www.justice.gov/usao-wdla/pr/shreveport-man-attempting-sell-sexually-explicit-images-through-social-media-platform" TargetMode="External"/><Relationship Id="rId3913" Type="http://schemas.openxmlformats.org/officeDocument/2006/relationships/hyperlink" Target="http://archive.fo/zYhV0" TargetMode="External"/><Relationship Id="rId3912" Type="http://schemas.openxmlformats.org/officeDocument/2006/relationships/hyperlink" Target="https://www.kptv.com/news/missing-california-teen-found-in-medford-motel-arrested-on-sex/article_c307e630-7694-11e9-8f04-df413e98d762.html" TargetMode="External"/><Relationship Id="rId3915" Type="http://schemas.openxmlformats.org/officeDocument/2006/relationships/hyperlink" Target="https://www.kptv.com/news/missing-california-teen-found-in-medford-motel-arrested-on-sex/article_c307e630-7694-11e9-8f04-df413e98d762.html" TargetMode="External"/><Relationship Id="rId3914" Type="http://schemas.openxmlformats.org/officeDocument/2006/relationships/hyperlink" Target="http://archive.fo/UXZXv" TargetMode="External"/><Relationship Id="rId3917" Type="http://schemas.openxmlformats.org/officeDocument/2006/relationships/hyperlink" Target="http://archive.fo/UXZXv" TargetMode="External"/><Relationship Id="rId3916" Type="http://schemas.openxmlformats.org/officeDocument/2006/relationships/hyperlink" Target="http://archive.fo/zYhV0" TargetMode="External"/><Relationship Id="rId3919" Type="http://schemas.openxmlformats.org/officeDocument/2006/relationships/hyperlink" Target="https://www.cbp.gov/newsroom/local-media-release/border-patrol-prevents-human-smuggling-attempt" TargetMode="External"/><Relationship Id="rId3918" Type="http://schemas.openxmlformats.org/officeDocument/2006/relationships/hyperlink" Target="https://www.justice.gov/usao-edpa/pr/former-bucks-county-youth-basketball-coach-sentenced-20-years-child-exploitation" TargetMode="External"/><Relationship Id="rId3900" Type="http://schemas.openxmlformats.org/officeDocument/2006/relationships/hyperlink" Target="http://archive.fo/i3Kq4" TargetMode="External"/><Relationship Id="rId3902" Type="http://schemas.openxmlformats.org/officeDocument/2006/relationships/hyperlink" Target="http://archive.fo/qqoG5" TargetMode="External"/><Relationship Id="rId3901" Type="http://schemas.openxmlformats.org/officeDocument/2006/relationships/hyperlink" Target="https://www.ice.gov/news/releases/nearly-3-year-manhunt-ends-arrest-hsi-most-wanted-fugitive" TargetMode="External"/><Relationship Id="rId3904" Type="http://schemas.openxmlformats.org/officeDocument/2006/relationships/hyperlink" Target="https://www.ice.gov/news/releases/pocatello-man-sentenced-over-19-years-federal-prison-receipt-child-pornography" TargetMode="External"/><Relationship Id="rId3903" Type="http://schemas.openxmlformats.org/officeDocument/2006/relationships/hyperlink" Target="https://www.justice.gov/usao-mt/pr/informational-federal-court-arraignments-54" TargetMode="External"/><Relationship Id="rId3906" Type="http://schemas.openxmlformats.org/officeDocument/2006/relationships/hyperlink" Target="https://www.justice.gov/usao-sd/pr/rapid-city-man-sentenced-attempted-receipt-child-pornography-2" TargetMode="External"/><Relationship Id="rId3905" Type="http://schemas.openxmlformats.org/officeDocument/2006/relationships/hyperlink" Target="https://www.justice.gov/usao-nh/pr/nottingham-man-pleads-guilty-child-pornography-crime" TargetMode="External"/><Relationship Id="rId3908" Type="http://schemas.openxmlformats.org/officeDocument/2006/relationships/hyperlink" Target="https://www.justice.gov/usao-sd/pr/minnesota-man-sentenced-attempted-possession-child-pornography" TargetMode="External"/><Relationship Id="rId3907" Type="http://schemas.openxmlformats.org/officeDocument/2006/relationships/hyperlink" Target="https://www.justice.gov/usao-ri/pr/new-york-man-admits-traveling-rhode-island-engage-sex-minor" TargetMode="External"/><Relationship Id="rId3909" Type="http://schemas.openxmlformats.org/officeDocument/2006/relationships/hyperlink" Target="https://www.justice.gov/usao-sd/pr/wall-man-sentenced-attempted-receipt-child-pornography" TargetMode="External"/><Relationship Id="rId3931" Type="http://schemas.openxmlformats.org/officeDocument/2006/relationships/hyperlink" Target="https://stthomassource.com/content/2019/08/08/underground-nightclub-operator-arrested-on-prostitution-charge/" TargetMode="External"/><Relationship Id="rId2600" Type="http://schemas.openxmlformats.org/officeDocument/2006/relationships/hyperlink" Target="https://www.courtlistener.com/docket/7787132/united-states-v-chavis/" TargetMode="External"/><Relationship Id="rId3930" Type="http://schemas.openxmlformats.org/officeDocument/2006/relationships/hyperlink" Target="https://www.ice.gov/news/releases/hsi-st-thomas-arrests-dominican-national-alien-smuggling-prostitution-scheme" TargetMode="External"/><Relationship Id="rId2601" Type="http://schemas.openxmlformats.org/officeDocument/2006/relationships/hyperlink" Target="https://www.fresnobee.com/news/local/crime/article217677925.html" TargetMode="External"/><Relationship Id="rId3933" Type="http://schemas.openxmlformats.org/officeDocument/2006/relationships/hyperlink" Target="https://www.justice.gov/usao-edky/pr/bracken-county-man-sentenced-180-months-receiving-child-pornography" TargetMode="External"/><Relationship Id="rId2602" Type="http://schemas.openxmlformats.org/officeDocument/2006/relationships/hyperlink" Target="https://www.dailyrepublic.com/all-dr-news/solano-news/vacaville/human-trafficking-sting-leads-to-2-county-chase-mans-arrest/" TargetMode="External"/><Relationship Id="rId3932" Type="http://schemas.openxmlformats.org/officeDocument/2006/relationships/hyperlink" Target="https://www.cbp.gov/newsroom/local-media-release/illegal-immigrants-found-locked-semi-trailer" TargetMode="External"/><Relationship Id="rId2603" Type="http://schemas.openxmlformats.org/officeDocument/2006/relationships/hyperlink" Target="http://www.wbrz.com/news/man-arrested-for-sex-trafficking-a-juvenile/" TargetMode="External"/><Relationship Id="rId3935" Type="http://schemas.openxmlformats.org/officeDocument/2006/relationships/hyperlink" Target="https://www.fox21news.com/news/state/aurora-man-sentenced-to-federal-prison-for-possessing-child-porn/" TargetMode="External"/><Relationship Id="rId2604" Type="http://schemas.openxmlformats.org/officeDocument/2006/relationships/hyperlink" Target="https://www.abqjournal.com/1217224/gallup-police-arrest-human-trafficking-suspect.html" TargetMode="External"/><Relationship Id="rId3934" Type="http://schemas.openxmlformats.org/officeDocument/2006/relationships/hyperlink" Target="https://www.justice.gov/usao-co/pr/aurora-man-sentenced-10-years-federal-prison-possession-child-pornography" TargetMode="External"/><Relationship Id="rId2605" Type="http://schemas.openxmlformats.org/officeDocument/2006/relationships/hyperlink" Target="https://www.nbcsandiego.com/news/local/Father-and-Son-Accused-of-Attempting-to-Pick-Up-Minor-For-Prostitution-in-National-City-492907601.html" TargetMode="External"/><Relationship Id="rId3937" Type="http://schemas.openxmlformats.org/officeDocument/2006/relationships/hyperlink" Target="https://www.justice.gov/usao-edmo/pr/franklin-county-man-indicted-charges-attempted-enticement-minor-and-soliciting-child" TargetMode="External"/><Relationship Id="rId2606" Type="http://schemas.openxmlformats.org/officeDocument/2006/relationships/hyperlink" Target="https://mesapd.blogspot.com/2018/09/operation-degrossting-child-sex-crimes.html" TargetMode="External"/><Relationship Id="rId3936" Type="http://schemas.openxmlformats.org/officeDocument/2006/relationships/hyperlink" Target="https://archive.vn/wip/b221F" TargetMode="External"/><Relationship Id="rId808" Type="http://schemas.openxmlformats.org/officeDocument/2006/relationships/hyperlink" Target="https://www.courtlistener.com/docket/7265850/united-states-v-millett/" TargetMode="External"/><Relationship Id="rId2607" Type="http://schemas.openxmlformats.org/officeDocument/2006/relationships/hyperlink" Target="https://www.newsbreak.com/north-carolina/charlotte/news/2074616920066/north-carolina-man-gets-17-years-for-child-porn-conspiracy-on-discord" TargetMode="External"/><Relationship Id="rId3939" Type="http://schemas.openxmlformats.org/officeDocument/2006/relationships/hyperlink" Target="https://www.nwitimes.com/news/man-allegedly-tries-to-publish-explicit-children-s-books-leads/article_0c8e78ca-fcf1-5037-9b1f-a0b0736ec540.html" TargetMode="External"/><Relationship Id="rId807" Type="http://schemas.openxmlformats.org/officeDocument/2006/relationships/hyperlink" Target="https://www.justice.gov/usao-ct/pr/groton-man-sentenced-5-years-prison-child-pornography-offense" TargetMode="External"/><Relationship Id="rId2608" Type="http://schemas.openxmlformats.org/officeDocument/2006/relationships/hyperlink" Target="https://archive.vn/wip/UeKhn" TargetMode="External"/><Relationship Id="rId3938" Type="http://schemas.openxmlformats.org/officeDocument/2006/relationships/hyperlink" Target="https://www.justice.gov/usao-ndin/pr/laporte-man-charged-transportation-child-pornography" TargetMode="External"/><Relationship Id="rId806" Type="http://schemas.openxmlformats.org/officeDocument/2006/relationships/hyperlink" Target="https://gbi.georgia.gov/press-releases/2018-03-16/76-arrested-multi-state-child-exploitation-operation-named-%E2%80%9Coperation" TargetMode="External"/><Relationship Id="rId2609" Type="http://schemas.openxmlformats.org/officeDocument/2006/relationships/hyperlink" Target="https://archive.vn/U8Vur" TargetMode="External"/><Relationship Id="rId805" Type="http://schemas.openxmlformats.org/officeDocument/2006/relationships/hyperlink" Target="https://www.postguam.com/news/local/child-porn-case-unsealed/article_420995d2-c84f-11e7-b5dd-57d2756bb8e5.html" TargetMode="External"/><Relationship Id="rId809" Type="http://schemas.openxmlformats.org/officeDocument/2006/relationships/hyperlink" Target="https://www.cbp.gov/newsroom/local-media-release/rio-grande-valley-agents-rescue-26-illegal-aliens-checkpoint" TargetMode="External"/><Relationship Id="rId800" Type="http://schemas.openxmlformats.org/officeDocument/2006/relationships/hyperlink" Target="https://www.nydailynews.com/new-york/queens/queens-bodybuilder-busted-persuading-women-child-porn-article-1.3622409" TargetMode="External"/><Relationship Id="rId804" Type="http://schemas.openxmlformats.org/officeDocument/2006/relationships/hyperlink" Target="https://www.post-gazette.com/local/city/2017/11/09/Abhijeet-Das-Point-Breeze-child-pornography-University-Pittsburgh-graduate-student-chat-room-uploads/stories/201711090138" TargetMode="External"/><Relationship Id="rId803" Type="http://schemas.openxmlformats.org/officeDocument/2006/relationships/hyperlink" Target="https://archive.fo/PCBI5" TargetMode="External"/><Relationship Id="rId802" Type="http://schemas.openxmlformats.org/officeDocument/2006/relationships/hyperlink" Target="https://archive.fo/UPUMy" TargetMode="External"/><Relationship Id="rId801" Type="http://schemas.openxmlformats.org/officeDocument/2006/relationships/hyperlink" Target="https://www.courtlistener.com/docket/7641997/united-states-v-liwanag/" TargetMode="External"/><Relationship Id="rId3920" Type="http://schemas.openxmlformats.org/officeDocument/2006/relationships/hyperlink" Target="https://www.cbp.gov/newsroom/local-media-release/border-patrol-arrests-wanted-man-handgun-during-human-smuggling-attempt" TargetMode="External"/><Relationship Id="rId3922" Type="http://schemas.openxmlformats.org/officeDocument/2006/relationships/hyperlink" Target="https://www.justice.gov/usao-wdnc/pr/convicted-sex-offender-sentenced-12-years-possessing-child-pornography" TargetMode="External"/><Relationship Id="rId3921" Type="http://schemas.openxmlformats.org/officeDocument/2006/relationships/hyperlink" Target="https://www.cbp.gov/newsroom/local-media-release/cbp-stops-human-smuggling-attempt" TargetMode="External"/><Relationship Id="rId3924" Type="http://schemas.openxmlformats.org/officeDocument/2006/relationships/hyperlink" Target="https://www.justice.gov/usao-mn/pr/rochester-man-sentenced-27-years-prison-producing-child-pornography" TargetMode="External"/><Relationship Id="rId3923" Type="http://schemas.openxmlformats.org/officeDocument/2006/relationships/hyperlink" Target="https://www.justice.gov/usao-mn/pr/rochester-man-sentenced-27-years-prison-producing-child-pornography" TargetMode="External"/><Relationship Id="rId3926" Type="http://schemas.openxmlformats.org/officeDocument/2006/relationships/hyperlink" Target="https://www.justice.gov/usao-nm/pr/portales-man-indicted-federal-production-child-pornography-charge" TargetMode="External"/><Relationship Id="rId3925" Type="http://schemas.openxmlformats.org/officeDocument/2006/relationships/hyperlink" Target="https://www.justice.gov/usao-ri/pr/warwick-man-charged-interstate-travel-engage-sex-minor-receipt-child-pornography" TargetMode="External"/><Relationship Id="rId3928" Type="http://schemas.openxmlformats.org/officeDocument/2006/relationships/hyperlink" Target="https://web.archive.org/web/*/https://www.9thda.com/single-post/2019/05/17/Portales-Man-Arrested-in-Texico-Kidnapping-of-9-Year-Old-Female" TargetMode="External"/><Relationship Id="rId3927" Type="http://schemas.openxmlformats.org/officeDocument/2006/relationships/hyperlink" Target="https://www.9thda.com/single-post/2019/05/17/Portales-Man-Arrested-in-Texico-Kidnapping-of-9-Year-Old-Female" TargetMode="External"/><Relationship Id="rId3929" Type="http://schemas.openxmlformats.org/officeDocument/2006/relationships/hyperlink" Target="https://web.archive.org/web/20190814233727/https://static.wixstatic.com/media/d6f511_4ac89f19f055419b96fc0c563431c056~mv2.jpg/v1/fill/w_363,h_204,al_c,q_80,usm_0.66_1.00_0.01/d6f511_4ac89f19f055419b96fc0c563431c056~mv2.webp" TargetMode="External"/><Relationship Id="rId1334" Type="http://schemas.openxmlformats.org/officeDocument/2006/relationships/hyperlink" Target="https://www.courtlistener.com/docket/6484647/united-states-v-bradley/" TargetMode="External"/><Relationship Id="rId2665" Type="http://schemas.openxmlformats.org/officeDocument/2006/relationships/hyperlink" Target="https://www.mystateline.com/news/seven-men-arrested-in-rockford-prostitution-sweep/1425345540" TargetMode="External"/><Relationship Id="rId3997" Type="http://schemas.openxmlformats.org/officeDocument/2006/relationships/hyperlink" Target="https://www.justice.gov/usao-sdtx/pr/federal-jury-convicts-houston-man-trafficking-girls-sex" TargetMode="External"/><Relationship Id="rId1335" Type="http://schemas.openxmlformats.org/officeDocument/2006/relationships/hyperlink" Target="https://www.courtlistener.com/?q=&amp;type=r&amp;order_by=score+desc&amp;docket_number=5%3A18-mj-00111&amp;court=nynd" TargetMode="External"/><Relationship Id="rId2666" Type="http://schemas.openxmlformats.org/officeDocument/2006/relationships/hyperlink" Target="https://www.kron4.com/news/bay-area/daycare-owners-charged-with-human-trafficking-labor-exploitation/1425509240" TargetMode="External"/><Relationship Id="rId3996" Type="http://schemas.openxmlformats.org/officeDocument/2006/relationships/hyperlink" Target="https://www.justice.gov/usao-sdny/pr/new-jersey-man-sentenced-18-months-prison-possessing-child-pornography" TargetMode="External"/><Relationship Id="rId1336" Type="http://schemas.openxmlformats.org/officeDocument/2006/relationships/hyperlink" Target="http://www.news-journalonline.com/sports/20180830/in-child-sex-case-former-nascar-driver-rick-crawford-found-guilty" TargetMode="External"/><Relationship Id="rId2667" Type="http://schemas.openxmlformats.org/officeDocument/2006/relationships/hyperlink" Target="https://www.theadvocate.com/new_orleans/news/crime_police/article_52f01ff8-b541-11e8-981d-97910dd19770.html" TargetMode="External"/><Relationship Id="rId3999" Type="http://schemas.openxmlformats.org/officeDocument/2006/relationships/hyperlink" Target="https://www.justice.gov/usao-wdwa/pr/two-registered-sex-offenders-plead-guilty-separate-cases-possession-images-child-rape" TargetMode="External"/><Relationship Id="rId1337" Type="http://schemas.openxmlformats.org/officeDocument/2006/relationships/hyperlink" Target="https://www.daytondailynews.com/news/crime--law/dayton-man-sentenced-years-prison-for-child-sex-abuse/GysypOvP83ByEIfkve5y1M/" TargetMode="External"/><Relationship Id="rId2668" Type="http://schemas.openxmlformats.org/officeDocument/2006/relationships/hyperlink" Target="https://www.justice.gov/usao-sdms/pr/diamondhead-man-sentenced-over-14-years-prison-possessing-massive-amount-child" TargetMode="External"/><Relationship Id="rId3998" Type="http://schemas.openxmlformats.org/officeDocument/2006/relationships/hyperlink" Target="https://www.justice.gov/usao-ndwv/pr/grant-county-man-admits-child-pornography-charges" TargetMode="External"/><Relationship Id="rId1338" Type="http://schemas.openxmlformats.org/officeDocument/2006/relationships/hyperlink" Target="https://www.courtlistener.com/docket/6353865/united-states-v-ulm/" TargetMode="External"/><Relationship Id="rId2669" Type="http://schemas.openxmlformats.org/officeDocument/2006/relationships/hyperlink" Target="https://www.justice.gov/usao/pr/2019_0415_Konen" TargetMode="External"/><Relationship Id="rId1339" Type="http://schemas.openxmlformats.org/officeDocument/2006/relationships/hyperlink" Target="https://archive.vn/6lska" TargetMode="External"/><Relationship Id="rId745" Type="http://schemas.openxmlformats.org/officeDocument/2006/relationships/hyperlink" Target="https://fox6now.com/2017/10/30/indicted-owner-of-several-milwaukee-gas-stations-accused-of-forcing-indian-woman-to-work/" TargetMode="External"/><Relationship Id="rId744" Type="http://schemas.openxmlformats.org/officeDocument/2006/relationships/hyperlink" Target="https://www.ice.gov/news/releases/owner-milwaukee-area-gas-stations-charged-forced-labor-trafficking" TargetMode="External"/><Relationship Id="rId743" Type="http://schemas.openxmlformats.org/officeDocument/2006/relationships/hyperlink" Target="https://www.courtlistener.com/docket/7309805/united-states-v-makonnen/" TargetMode="External"/><Relationship Id="rId742" Type="http://schemas.openxmlformats.org/officeDocument/2006/relationships/hyperlink" Target="https://www.courtlistener.com/docket/14684190/united-states-v-fain/" TargetMode="External"/><Relationship Id="rId749" Type="http://schemas.openxmlformats.org/officeDocument/2006/relationships/hyperlink" Target="https://www.justice.gov/usao-nv/pr/northern-california-man-sentenced-prison-receipt-and-distribution-over-1000-images-child" TargetMode="External"/><Relationship Id="rId748" Type="http://schemas.openxmlformats.org/officeDocument/2006/relationships/hyperlink" Target="https://www.justice.gov/usao-wdny/pr/rochester-truck-driver-and-photographer-pleads-guilty-possession-child-porngraphy" TargetMode="External"/><Relationship Id="rId747" Type="http://schemas.openxmlformats.org/officeDocument/2006/relationships/hyperlink" Target="https://www.courtlistener.com/docket/6651908/united-states-v-napolitano/" TargetMode="External"/><Relationship Id="rId746" Type="http://schemas.openxmlformats.org/officeDocument/2006/relationships/hyperlink" Target="https://www.wric.com/news/backpack-contents-lead-to-child-porn-charges-for-florida-school-employee/1078056198" TargetMode="External"/><Relationship Id="rId3991" Type="http://schemas.openxmlformats.org/officeDocument/2006/relationships/hyperlink" Target="https://www.cbp.gov/newsroom/local-media-release/yuma-sector-agents-discover-eight-illegal-aliens-concealed-boat-being" TargetMode="External"/><Relationship Id="rId2660" Type="http://schemas.openxmlformats.org/officeDocument/2006/relationships/hyperlink" Target="http://www.sunjournal.com/lewiston-prostitution-sting-nets-two-more/" TargetMode="External"/><Relationship Id="rId3990" Type="http://schemas.openxmlformats.org/officeDocument/2006/relationships/hyperlink" Target="https://www.justice.gov/usao-mdfl/pr/orange-park-man-arrested-and-charged-offering-child-sex-abuse-images-sale-over-internet" TargetMode="External"/><Relationship Id="rId741" Type="http://schemas.openxmlformats.org/officeDocument/2006/relationships/hyperlink" Target="http://archive.fo/fG7Je" TargetMode="External"/><Relationship Id="rId1330" Type="http://schemas.openxmlformats.org/officeDocument/2006/relationships/hyperlink" Target="https://www.justice.gov/usao-mdfl/pr/orange-county-man-sentenced-seventeen-years-receipt-child-pornography" TargetMode="External"/><Relationship Id="rId2661" Type="http://schemas.openxmlformats.org/officeDocument/2006/relationships/hyperlink" Target="http://www.bdtonline.com/news/three-men-arrested-during-prostitution-sting-operation/article_fefce998-b307-11e8-83b3-fbecb14d6bc3.html" TargetMode="External"/><Relationship Id="rId3993" Type="http://schemas.openxmlformats.org/officeDocument/2006/relationships/hyperlink" Target="https://www.wivb.com/news/crime/buffalo-city-honors-teacher-arrested-on-charges-related-to-child-pornography/" TargetMode="External"/><Relationship Id="rId740" Type="http://schemas.openxmlformats.org/officeDocument/2006/relationships/hyperlink" Target="http://archive.fo/rs7Vd" TargetMode="External"/><Relationship Id="rId1331" Type="http://schemas.openxmlformats.org/officeDocument/2006/relationships/hyperlink" Target="https://www.courtlistener.com/docket/6655425/united-states-v-mcvay/" TargetMode="External"/><Relationship Id="rId2662" Type="http://schemas.openxmlformats.org/officeDocument/2006/relationships/hyperlink" Target="https://thegoldwater.com/news/36491-Texas-Children-s-Hospital-Physician-Arrested-for-Child-Pornography" TargetMode="External"/><Relationship Id="rId3992" Type="http://schemas.openxmlformats.org/officeDocument/2006/relationships/hyperlink" Target="https://www.justice.gov/usao-sdfl/pr/former-police-officer-sentenced-prison-term-possession-child-pornography" TargetMode="External"/><Relationship Id="rId1332" Type="http://schemas.openxmlformats.org/officeDocument/2006/relationships/hyperlink" Target="https://www.justice.gov/usao-sdoh/pr/miami-county-man-charged-producing-child-pornography" TargetMode="External"/><Relationship Id="rId2663" Type="http://schemas.openxmlformats.org/officeDocument/2006/relationships/hyperlink" Target="https://www.cbp.gov/newsroom/local-media-release/checkpoint-agents-stop-alien-smuggling-attempt-rio-grande-valley" TargetMode="External"/><Relationship Id="rId3995" Type="http://schemas.openxmlformats.org/officeDocument/2006/relationships/hyperlink" Target="https://www.justice.gov/usao-edva/pr/newport-news-man-charged-production-child-pornography-1" TargetMode="External"/><Relationship Id="rId1333" Type="http://schemas.openxmlformats.org/officeDocument/2006/relationships/hyperlink" Target="https://www.justice.gov/usao-sdoh/pr/miami-county-man-sentenced-25-years-prison-recording-sexual-abuse-two-minors" TargetMode="External"/><Relationship Id="rId2664" Type="http://schemas.openxmlformats.org/officeDocument/2006/relationships/hyperlink" Target="https://www.justice.gov/usao-sdia/pr/des-moines-man-sentenced-20-years-prison-child-pornography-offense" TargetMode="External"/><Relationship Id="rId3994" Type="http://schemas.openxmlformats.org/officeDocument/2006/relationships/hyperlink" Target="https://www.wivb.com/wp-content/uploads/sites/97/2019/09/Peter-Hingston-2.jpg" TargetMode="External"/><Relationship Id="rId1323" Type="http://schemas.openxmlformats.org/officeDocument/2006/relationships/hyperlink" Target="https://www.justice.gov/usao-wdtx/pr/killeen-husband-and-wife-plead-guilty-federal-child-exploitation-charges" TargetMode="External"/><Relationship Id="rId2654" Type="http://schemas.openxmlformats.org/officeDocument/2006/relationships/hyperlink" Target="https://www.courtlistener.com/docket/7779791/united-states-v-campos/" TargetMode="External"/><Relationship Id="rId3986" Type="http://schemas.openxmlformats.org/officeDocument/2006/relationships/hyperlink" Target="https://www.whec.com/news/man-indicted-for-sex-assault-of-13-year-old-in-perinton/5485849/" TargetMode="External"/><Relationship Id="rId1324" Type="http://schemas.openxmlformats.org/officeDocument/2006/relationships/hyperlink" Target="http://kdhnews.com/news/crime/anonymous-tip-led-to-arrest-of-killeen-child-sex-abusers/article_b3c31aa2-de17-11e8-ba45-ab3c39b24577.html" TargetMode="External"/><Relationship Id="rId2655" Type="http://schemas.openxmlformats.org/officeDocument/2006/relationships/hyperlink" Target="https://www.justice.gov/usao-ma/pr/burlington-man-arrested-possessing-child-pornography" TargetMode="External"/><Relationship Id="rId3985" Type="http://schemas.openxmlformats.org/officeDocument/2006/relationships/hyperlink" Target="https://www.justice.gov/usao-wdny/pr/pittsford-man-pleads-guilty-production-child-pornography" TargetMode="External"/><Relationship Id="rId1325" Type="http://schemas.openxmlformats.org/officeDocument/2006/relationships/hyperlink" Target="https://www.courtlistener.com/docket/8389916/united-states-v-syler/" TargetMode="External"/><Relationship Id="rId2656" Type="http://schemas.openxmlformats.org/officeDocument/2006/relationships/hyperlink" Target="https://www.justice.gov/opa/pr/defense-department-employee-sentenced-prison-receipt-child-pornography" TargetMode="External"/><Relationship Id="rId3988" Type="http://schemas.openxmlformats.org/officeDocument/2006/relationships/hyperlink" Target="https://archive.vn/wip/1zLov" TargetMode="External"/><Relationship Id="rId1326" Type="http://schemas.openxmlformats.org/officeDocument/2006/relationships/hyperlink" Target="https://www.justice.gov/usao-ks/pr/wichita-man-and-woman-charged-string-armed-robberies" TargetMode="External"/><Relationship Id="rId2657" Type="http://schemas.openxmlformats.org/officeDocument/2006/relationships/hyperlink" Target="https://toresays.com/2019/04/08/obama-shut-down-child-porn-investigation-implicating-many-politicians-3-letter-agency-officials/" TargetMode="External"/><Relationship Id="rId3987" Type="http://schemas.openxmlformats.org/officeDocument/2006/relationships/hyperlink" Target="https://archive.vn/iRNIj" TargetMode="External"/><Relationship Id="rId1327" Type="http://schemas.openxmlformats.org/officeDocument/2006/relationships/hyperlink" Target="https://www.justice.gov/usao-ks/pr/sentence-prison-wichita-man-convicted-sex-trafficking" TargetMode="External"/><Relationship Id="rId2658" Type="http://schemas.openxmlformats.org/officeDocument/2006/relationships/hyperlink" Target="https://www.courtlistener.com/docket/7817618/united-states-v-parsons/" TargetMode="External"/><Relationship Id="rId1328" Type="http://schemas.openxmlformats.org/officeDocument/2006/relationships/hyperlink" Target="https://www.courtlistener.com/?q=&amp;type=r&amp;order_by=score+desc&amp;docket_number=6%3A18-cr-10027&amp;court=ksd" TargetMode="External"/><Relationship Id="rId2659" Type="http://schemas.openxmlformats.org/officeDocument/2006/relationships/hyperlink" Target="http://archive.fo/DIDpb" TargetMode="External"/><Relationship Id="rId3989" Type="http://schemas.openxmlformats.org/officeDocument/2006/relationships/hyperlink" Target="https://www.justice.gov/usao-ma/pr/dennis-port-man-pleads-guilty-child-pornography-charges" TargetMode="External"/><Relationship Id="rId1329" Type="http://schemas.openxmlformats.org/officeDocument/2006/relationships/hyperlink" Target="https://www.orlandosentinel.com/news/breaking-news/os-wesley-mcvay-sex-offender-20180301-story.html" TargetMode="External"/><Relationship Id="rId739" Type="http://schemas.openxmlformats.org/officeDocument/2006/relationships/hyperlink" Target="https://www.nwitimes.com/news/local/crime-and-courts/hobart-man-indicted-on-charges-of-child-pornography-production-possession/article_05c88bd9-354e-5387-a8c3-85b850d5fca5.html" TargetMode="External"/><Relationship Id="rId734" Type="http://schemas.openxmlformats.org/officeDocument/2006/relationships/hyperlink" Target="https://www.courtlistener.com/docket/7428456/united-states-v-benoit/" TargetMode="External"/><Relationship Id="rId733" Type="http://schemas.openxmlformats.org/officeDocument/2006/relationships/hyperlink" Target="https://www.wmur.com/article/canaan-man-arrested-for-alleged-child-pornography-possession/13055410" TargetMode="External"/><Relationship Id="rId732" Type="http://schemas.openxmlformats.org/officeDocument/2006/relationships/hyperlink" Target="https://www.justice.gov/usao-md/pr/illegal-alien-previously-convicted-sex-offender-and-two-others-plead-guilty-or-are" TargetMode="External"/><Relationship Id="rId731" Type="http://schemas.openxmlformats.org/officeDocument/2006/relationships/hyperlink" Target="https://www.cbp.gov/newsroom/local-media-release/tucson-man-arrested-smuggling-mexican-national" TargetMode="External"/><Relationship Id="rId738" Type="http://schemas.openxmlformats.org/officeDocument/2006/relationships/hyperlink" Target="https://www.justice.gov/usao-ndin/pr/man-sentenced-30-years-prison" TargetMode="External"/><Relationship Id="rId737" Type="http://schemas.openxmlformats.org/officeDocument/2006/relationships/hyperlink" Target="https://www.cbp.gov/newsroom/local-media-release/border-patrol-stops-multiple-human-smugglers" TargetMode="External"/><Relationship Id="rId736" Type="http://schemas.openxmlformats.org/officeDocument/2006/relationships/hyperlink" Target="https://texarkanafyi.com/texarkana-man-arrested-human-trafficking-underage-girls/" TargetMode="External"/><Relationship Id="rId735" Type="http://schemas.openxmlformats.org/officeDocument/2006/relationships/hyperlink" Target="https://www.justice.gov/usao-ednc/pr/hubert-man-sentenced-more-15-years-imprisonment-child-pornography-charges" TargetMode="External"/><Relationship Id="rId3980" Type="http://schemas.openxmlformats.org/officeDocument/2006/relationships/hyperlink" Target="https://www.justice.gov/usao-sd/pr/sioux-falls-man-sentenced-25-years-production" TargetMode="External"/><Relationship Id="rId730" Type="http://schemas.openxmlformats.org/officeDocument/2006/relationships/hyperlink" Target="http://www.timescall.com/news/crime/ci_31402934/police-make-arrest-suspected-prostitution-at-longmont-massage" TargetMode="External"/><Relationship Id="rId2650" Type="http://schemas.openxmlformats.org/officeDocument/2006/relationships/hyperlink" Target="http://www.thetimesnews.com/news/20181001/woman-charged-in-burlington-human-trafficking-case" TargetMode="External"/><Relationship Id="rId3982" Type="http://schemas.openxmlformats.org/officeDocument/2006/relationships/hyperlink" Target="https://www.justice.gov/usao-sdin/pr/bartholomew-county-man-sentenced-30-years-federal-prison-sexual-exploitation-child" TargetMode="External"/><Relationship Id="rId1320" Type="http://schemas.openxmlformats.org/officeDocument/2006/relationships/hyperlink" Target="https://www.cbp.gov/newsroom/local-media-release/willcox-border-patrol-k9-finds-two-illegal-aliens-trunk" TargetMode="External"/><Relationship Id="rId2651" Type="http://schemas.openxmlformats.org/officeDocument/2006/relationships/hyperlink" Target="https://www.justice.gov/usao-edva/pr/man-sentenced-prison-producing-child-pornography" TargetMode="External"/><Relationship Id="rId3981" Type="http://schemas.openxmlformats.org/officeDocument/2006/relationships/hyperlink" Target="https://www.justice.gov/usao-edky/pr/somerset-man-sentenced-120-months-possessing-child-pornography" TargetMode="External"/><Relationship Id="rId1321" Type="http://schemas.openxmlformats.org/officeDocument/2006/relationships/hyperlink" Target="http://www.abc12.com/content/news/Saginaw-Catholic-priest-Robert-DeLand-arraigned-on-multiple-sex-charges-475183223.html" TargetMode="External"/><Relationship Id="rId2652" Type="http://schemas.openxmlformats.org/officeDocument/2006/relationships/hyperlink" Target="https://www.justice.gov/usao-nj/pr/union-county-man-sentenced-88-months-prison-possessing-and-distributing-child-pornography" TargetMode="External"/><Relationship Id="rId3984" Type="http://schemas.openxmlformats.org/officeDocument/2006/relationships/hyperlink" Target="https://www.justice.gov/usao-sdoh/pr/muskingum-county-man-who-owned-collection-child-pornography-children-s-underwear" TargetMode="External"/><Relationship Id="rId1322" Type="http://schemas.openxmlformats.org/officeDocument/2006/relationships/hyperlink" Target="https://www.cbp.gov/newsroom/local-media-release/yuma-sector-foils-multiple-human-smuggling-attempts" TargetMode="External"/><Relationship Id="rId2653" Type="http://schemas.openxmlformats.org/officeDocument/2006/relationships/hyperlink" Target="https://www.justice.gov/usao-cdca/pr/federal-prosecutors-bring-child-pornography-and-other-exploitation-cases-part-ongoing" TargetMode="External"/><Relationship Id="rId3983" Type="http://schemas.openxmlformats.org/officeDocument/2006/relationships/hyperlink" Target="https://www.justice.gov/usao-sdtx/pr/magnolia-man-gets-life-exploiting-young-female-he-met-and-communicated-roblox-and" TargetMode="External"/><Relationship Id="rId1356" Type="http://schemas.openxmlformats.org/officeDocument/2006/relationships/hyperlink" Target="https://www.fox5atlanta.com/news/child-porn-busts-nets-34-arrests-in-georgia" TargetMode="External"/><Relationship Id="rId2687" Type="http://schemas.openxmlformats.org/officeDocument/2006/relationships/hyperlink" Target="http://www.wtvy.com/content/news/Bonifay-man-charged-with-288-counts-of-child-porn-492973531.html" TargetMode="External"/><Relationship Id="rId1357" Type="http://schemas.openxmlformats.org/officeDocument/2006/relationships/hyperlink" Target="http://wuga.org/term/operation-southern-impact-ii" TargetMode="External"/><Relationship Id="rId2688" Type="http://schemas.openxmlformats.org/officeDocument/2006/relationships/hyperlink" Target="https://www.justice.gov/usao-or/pr/clackamas-man-accused-possessing-and-transporting-child-pornography" TargetMode="External"/><Relationship Id="rId1358" Type="http://schemas.openxmlformats.org/officeDocument/2006/relationships/hyperlink" Target="http://fox2now.com/2018/03/22/red-bud-man-pleads-guilty-to-child-porn-charges/" TargetMode="External"/><Relationship Id="rId2689" Type="http://schemas.openxmlformats.org/officeDocument/2006/relationships/hyperlink" Target="https://www.courtlistener.com/docket/14749729/united-states-v-stacy/" TargetMode="External"/><Relationship Id="rId1359" Type="http://schemas.openxmlformats.org/officeDocument/2006/relationships/hyperlink" Target="http://www.bbc.com/news/world-africa-43514125" TargetMode="External"/><Relationship Id="rId767" Type="http://schemas.openxmlformats.org/officeDocument/2006/relationships/hyperlink" Target="https://www.justice.gov/usao-wdpa/pr/butler-county-man-admits-possessing-child-pornography" TargetMode="External"/><Relationship Id="rId766" Type="http://schemas.openxmlformats.org/officeDocument/2006/relationships/hyperlink" Target="https://www.courtlistener.com/docket/6727391/united-states-v-chambers/" TargetMode="External"/><Relationship Id="rId765" Type="http://schemas.openxmlformats.org/officeDocument/2006/relationships/hyperlink" Target="https://www.justice.gov/usao-id/pr/boise-man-sentenced-20-years-prison-possession-child-pornography" TargetMode="External"/><Relationship Id="rId764" Type="http://schemas.openxmlformats.org/officeDocument/2006/relationships/hyperlink" Target="http://www.nbc15.com/content/news/Complaint-Woman-injected-runaways-with-meth-forced-man-into-prostitution-481476691.html" TargetMode="External"/><Relationship Id="rId769" Type="http://schemas.openxmlformats.org/officeDocument/2006/relationships/hyperlink" Target="https://www.palmbeachpost.com/news/crime--law/boynton-man-convicted-taking-lewd-videos-teen-family-member/OOVGA1qe7ASuD0sd706xOL/" TargetMode="External"/><Relationship Id="rId768" Type="http://schemas.openxmlformats.org/officeDocument/2006/relationships/hyperlink" Target="https://www.courtlistener.com/?q=&amp;type=r&amp;order_by=score+desc&amp;docket_number=2%3A17-cr-00313&amp;court=pawd" TargetMode="External"/><Relationship Id="rId2680" Type="http://schemas.openxmlformats.org/officeDocument/2006/relationships/hyperlink" Target="https://www.cbp.gov/newsroom/local-media-release/operation-blazing-sands-arrests-another-alien-smuggler" TargetMode="External"/><Relationship Id="rId1350" Type="http://schemas.openxmlformats.org/officeDocument/2006/relationships/hyperlink" Target="https://archive.fo/0GA63" TargetMode="External"/><Relationship Id="rId2681" Type="http://schemas.openxmlformats.org/officeDocument/2006/relationships/hyperlink" Target="https://www.cbp.gov/newsroom/local-media-release/border-patrol-agents-discover-illegal-aliens-hidden-semi-trailer" TargetMode="External"/><Relationship Id="rId1351" Type="http://schemas.openxmlformats.org/officeDocument/2006/relationships/hyperlink" Target="https://archive.fo/EbfJM" TargetMode="External"/><Relationship Id="rId2682" Type="http://schemas.openxmlformats.org/officeDocument/2006/relationships/hyperlink" Target="http://www.kgns.tv/content/news/Border-Patrol-agents-rescue-nearly-50-illegal-immigrants-during-smuggling-attempt-492932811.html" TargetMode="External"/><Relationship Id="rId763" Type="http://schemas.openxmlformats.org/officeDocument/2006/relationships/hyperlink" Target="http://valleycentral.com/news/local/two-sentenced-to-prison-for-human-smuggling" TargetMode="External"/><Relationship Id="rId1352" Type="http://schemas.openxmlformats.org/officeDocument/2006/relationships/hyperlink" Target="https://www.justice.gov/usao-wdky/pr/monroe-county-man-sentenced-possession-child-porn" TargetMode="External"/><Relationship Id="rId2683" Type="http://schemas.openxmlformats.org/officeDocument/2006/relationships/hyperlink" Target="http://www.recordonline.com/news/20180910/8-charged-in-child-sex-sting" TargetMode="External"/><Relationship Id="rId762" Type="http://schemas.openxmlformats.org/officeDocument/2006/relationships/hyperlink" Target="https://www.justice.gov/usao-ndny/pr/ballston-spa-man-sentenced-96-months-child-pornography-offenses-0" TargetMode="External"/><Relationship Id="rId1353" Type="http://schemas.openxmlformats.org/officeDocument/2006/relationships/hyperlink" Target="https://www.courtlistener.com/docket/6594452/united-states-v-holland/" TargetMode="External"/><Relationship Id="rId2684" Type="http://schemas.openxmlformats.org/officeDocument/2006/relationships/hyperlink" Target="https://www.detroitnews.com/story/news/local/wayne-county/2018/09/10/dearborn-spa-owner-busted-prostitution/1252801002/" TargetMode="External"/><Relationship Id="rId761" Type="http://schemas.openxmlformats.org/officeDocument/2006/relationships/hyperlink" Target="https://www.courtlistener.com/docket/6266937/united-states-v-cochran/" TargetMode="External"/><Relationship Id="rId1354" Type="http://schemas.openxmlformats.org/officeDocument/2006/relationships/hyperlink" Target="https://www.courtlistener.com/docket/6386499/united-states-v-davila/" TargetMode="External"/><Relationship Id="rId2685" Type="http://schemas.openxmlformats.org/officeDocument/2006/relationships/hyperlink" Target="https://www.justice.gov/usao-sdin/pr/new-richmond-indiana-man-faces-sexual-exploitation-child-charges" TargetMode="External"/><Relationship Id="rId760" Type="http://schemas.openxmlformats.org/officeDocument/2006/relationships/hyperlink" Target="https://www.justice.gov/usao-wdmi/pr/2018_0205_Cochran" TargetMode="External"/><Relationship Id="rId1355" Type="http://schemas.openxmlformats.org/officeDocument/2006/relationships/hyperlink" Target="https://www.justice.gov/usao-sdny/pr/brooklyn-man-pleads-guilty-producing-child-pornography" TargetMode="External"/><Relationship Id="rId2686" Type="http://schemas.openxmlformats.org/officeDocument/2006/relationships/hyperlink" Target="https://www.courtlistener.com/docket/7905879/united-states-v-dawson/" TargetMode="External"/><Relationship Id="rId1345" Type="http://schemas.openxmlformats.org/officeDocument/2006/relationships/hyperlink" Target="https://www.justice.gov/usao-ndoh/pr/men-chardon-and-cleveland-charged-child-pornography-crimes" TargetMode="External"/><Relationship Id="rId2676" Type="http://schemas.openxmlformats.org/officeDocument/2006/relationships/hyperlink" Target="https://www.justice.gov/usao-sdwv/pr/multiple-project-safe-childhood-psc-defendants-appear-federal-court" TargetMode="External"/><Relationship Id="rId1346" Type="http://schemas.openxmlformats.org/officeDocument/2006/relationships/hyperlink" Target="https://www.courtlistener.com/?q=&amp;type=r&amp;order_by=score+desc&amp;docket_number=1%3A18-cr-00131&amp;court=ohnd" TargetMode="External"/><Relationship Id="rId2677" Type="http://schemas.openxmlformats.org/officeDocument/2006/relationships/hyperlink" Target="https://www.courtlistener.com/docket/6479152/united-states-v-kelley/" TargetMode="External"/><Relationship Id="rId1347" Type="http://schemas.openxmlformats.org/officeDocument/2006/relationships/hyperlink" Target="https://www.justice.gov/usao-mn/pr/activities-us-attorney-s-office-during-lapse-appropriations" TargetMode="External"/><Relationship Id="rId2678" Type="http://schemas.openxmlformats.org/officeDocument/2006/relationships/hyperlink" Target="https://www.justice.gov/usao-ct/pr/hartford-resident-charged-child-exploitation-offense" TargetMode="External"/><Relationship Id="rId1348" Type="http://schemas.openxmlformats.org/officeDocument/2006/relationships/hyperlink" Target="https://www.fox21online.com/2019/01/23/two-duluth-men-convicted-of-trafficking-teenage-girl-for-sex/" TargetMode="External"/><Relationship Id="rId2679" Type="http://schemas.openxmlformats.org/officeDocument/2006/relationships/hyperlink" Target="https://www.courtlistener.com/docket/14860750/united-states-v-szwarc/" TargetMode="External"/><Relationship Id="rId1349" Type="http://schemas.openxmlformats.org/officeDocument/2006/relationships/hyperlink" Target="https://www.courtlistener.com/docket/7743134/united-states-v-goodman/" TargetMode="External"/><Relationship Id="rId756" Type="http://schemas.openxmlformats.org/officeDocument/2006/relationships/hyperlink" Target="https://www.justice.gov/usao-edva/pr/man-indicted-child-pornography-charges" TargetMode="External"/><Relationship Id="rId755" Type="http://schemas.openxmlformats.org/officeDocument/2006/relationships/hyperlink" Target="http://wtkr.com/2017/11/17/hampton-city-employee-accused-of-distributing-child-pornography-and-he-was-already-on-the-sex-offender-registry/" TargetMode="External"/><Relationship Id="rId754" Type="http://schemas.openxmlformats.org/officeDocument/2006/relationships/hyperlink" Target="https://www.justice.gov/usao-wdpa/pr/dubois-man-charged-possessing-and-distributing-child-pornography" TargetMode="External"/><Relationship Id="rId753" Type="http://schemas.openxmlformats.org/officeDocument/2006/relationships/hyperlink" Target="https://www.courtlistener.com/docket/6947270/united-states-v-clark/" TargetMode="External"/><Relationship Id="rId759" Type="http://schemas.openxmlformats.org/officeDocument/2006/relationships/hyperlink" Target="https://www.justice.gov/usao-mdpa/pr/west-virginia-man-charged-producing-child-pornography-and-online-enticement-minor" TargetMode="External"/><Relationship Id="rId758" Type="http://schemas.openxmlformats.org/officeDocument/2006/relationships/hyperlink" Target="https://www.justice.gov/usao-ndny/pr/troy-man-sentenced-78-months-distributing-and-receiving-child-pornography" TargetMode="External"/><Relationship Id="rId757" Type="http://schemas.openxmlformats.org/officeDocument/2006/relationships/hyperlink" Target="https://www.justice.gov/usao-wdmo/pr/former-marshall-man-pleads-guilty-child-pornography-faces-13-years-prison" TargetMode="External"/><Relationship Id="rId2670" Type="http://schemas.openxmlformats.org/officeDocument/2006/relationships/hyperlink" Target="https://www.lansingstatejournal.com/story/news/local/2018/09/10/grand-ledge-man-charged-after-child-pornography-investigation/1260676002/" TargetMode="External"/><Relationship Id="rId1340" Type="http://schemas.openxmlformats.org/officeDocument/2006/relationships/hyperlink" Target="https://archive.vn/INrWc" TargetMode="External"/><Relationship Id="rId2671" Type="http://schemas.openxmlformats.org/officeDocument/2006/relationships/hyperlink" Target="https://www.courtlistener.com/docket/8187033/united-states-v-konen/" TargetMode="External"/><Relationship Id="rId752" Type="http://schemas.openxmlformats.org/officeDocument/2006/relationships/hyperlink" Target="https://www.justice.gov/usao-wdpa/pr/johnstown-man-charged-possessing-child-pornography" TargetMode="External"/><Relationship Id="rId1341" Type="http://schemas.openxmlformats.org/officeDocument/2006/relationships/hyperlink" Target="https://www.justice.gov/usao-nv/pr/arizona-man-sentenced-over-11-years-prison-kidnapping-girl-and-transporting-and" TargetMode="External"/><Relationship Id="rId2672" Type="http://schemas.openxmlformats.org/officeDocument/2006/relationships/hyperlink" Target="http://archive.fo/FZD1n" TargetMode="External"/><Relationship Id="rId751" Type="http://schemas.openxmlformats.org/officeDocument/2006/relationships/hyperlink" Target="https://www.cbp.gov/newsroom/local-media-release/agents-arrest-armed-tucson-man-smuggling" TargetMode="External"/><Relationship Id="rId1342" Type="http://schemas.openxmlformats.org/officeDocument/2006/relationships/hyperlink" Target="https://www.courtlistener.com/docket/15047568/united-states-v-donelon/" TargetMode="External"/><Relationship Id="rId2673" Type="http://schemas.openxmlformats.org/officeDocument/2006/relationships/hyperlink" Target="http://archive.fo/r8jN0" TargetMode="External"/><Relationship Id="rId750" Type="http://schemas.openxmlformats.org/officeDocument/2006/relationships/hyperlink" Target="https://www.kentonbee.com/news/2017-11-01/Local_News/Town_man_arrested_on_child_porn_charges.html" TargetMode="External"/><Relationship Id="rId1343" Type="http://schemas.openxmlformats.org/officeDocument/2006/relationships/hyperlink" Target="https://www.justice.gov/usao-ndoh/pr/men-chardon-and-cleveland-charged-child-pornography-crimes" TargetMode="External"/><Relationship Id="rId2674" Type="http://schemas.openxmlformats.org/officeDocument/2006/relationships/hyperlink" Target="https://www.justice.gov/usao-mdpa/pr/scranton-man-charged-producing-and-transporting-child-pornography" TargetMode="External"/><Relationship Id="rId1344" Type="http://schemas.openxmlformats.org/officeDocument/2006/relationships/hyperlink" Target="https://www.courtlistener.com/docket/8226408/united-states-v-obrian/" TargetMode="External"/><Relationship Id="rId2675" Type="http://schemas.openxmlformats.org/officeDocument/2006/relationships/hyperlink" Target="https://wnep.com/2018/09/07/scranton-man-locked-up-on-child-pornography-charges/" TargetMode="External"/><Relationship Id="rId2621" Type="http://schemas.openxmlformats.org/officeDocument/2006/relationships/hyperlink" Target="https://www.nbcdfw.com/news/local/CPS-Worker-Nabbed-in-Online-Sex-Sting-494621091.html" TargetMode="External"/><Relationship Id="rId3953" Type="http://schemas.openxmlformats.org/officeDocument/2006/relationships/hyperlink" Target="https://christiansfortruth.com/transgender-activist-facing-50-years-in-prison-for-raping-4-year-old-girl-on-video/" TargetMode="External"/><Relationship Id="rId2622" Type="http://schemas.openxmlformats.org/officeDocument/2006/relationships/hyperlink" Target="http://www.krgv.com/story/39196526/human-smugglers-targeting-popular-fishing-spot-in-cameron-co" TargetMode="External"/><Relationship Id="rId3952" Type="http://schemas.openxmlformats.org/officeDocument/2006/relationships/hyperlink" Target="https://www.justice.gov/usao-sd/pr/sturgis-man-sentenced-child-pornography-charge" TargetMode="External"/><Relationship Id="rId2623" Type="http://schemas.openxmlformats.org/officeDocument/2006/relationships/hyperlink" Target="https://www.justice.gov/usao-wdny/pr/rochester-man-pleads-guilty-possession-child-pornography-1" TargetMode="External"/><Relationship Id="rId3955" Type="http://schemas.openxmlformats.org/officeDocument/2006/relationships/hyperlink" Target="https://www.justice.gov/usao-sdca/pr/child-sex-trafficker-receives-fifteen-years-federal-prison" TargetMode="External"/><Relationship Id="rId2624" Type="http://schemas.openxmlformats.org/officeDocument/2006/relationships/hyperlink" Target="https://www.courtlistener.com/docket/7801325/united-states-v-giesey/" TargetMode="External"/><Relationship Id="rId3954" Type="http://schemas.openxmlformats.org/officeDocument/2006/relationships/hyperlink" Target="https://christiansfortruth.com/wp-content/uploads/2019/08/transgender-man-rapes-child.jpg" TargetMode="External"/><Relationship Id="rId2625" Type="http://schemas.openxmlformats.org/officeDocument/2006/relationships/hyperlink" Target="https://www.justice.gov/usao-mdpa/pr/former-carlisle-man-sentenced-eight-years-imprisonment-distribution-child-pornography" TargetMode="External"/><Relationship Id="rId3957" Type="http://schemas.openxmlformats.org/officeDocument/2006/relationships/hyperlink" Target="https://www.nbcnewyork.com/news/local/Daniel-Mullan-Long-Island-Child-Pornography-Sex-Charge-Arrest-Ireland-Extradition-547286691.html" TargetMode="External"/><Relationship Id="rId2626" Type="http://schemas.openxmlformats.org/officeDocument/2006/relationships/hyperlink" Target="https://www.justice.gov/opa/pr/foreign-national-pleads-guilty-downloading-child-pornography-dark-web-exchange-cryptocurrency" TargetMode="External"/><Relationship Id="rId3956" Type="http://schemas.openxmlformats.org/officeDocument/2006/relationships/hyperlink" Target="https://www.justice.gov/usao-edny/pr/long-island-man-extradited-ireland-face-child-pornography-and-sexual-exploitation" TargetMode="External"/><Relationship Id="rId2627" Type="http://schemas.openxmlformats.org/officeDocument/2006/relationships/hyperlink" Target="https://www.justice.gov/usao-mt/pr/flathead-county-man-admits-sexual-exploitation-charge" TargetMode="External"/><Relationship Id="rId3959" Type="http://schemas.openxmlformats.org/officeDocument/2006/relationships/hyperlink" Target="https://archive.fo/X8VGG" TargetMode="External"/><Relationship Id="rId2628" Type="http://schemas.openxmlformats.org/officeDocument/2006/relationships/hyperlink" Target="https://www.justice.gov/usao-ndok/pr/collinsville-man-admits-possessing-child-pornography-depicting-very-young-children" TargetMode="External"/><Relationship Id="rId3958" Type="http://schemas.openxmlformats.org/officeDocument/2006/relationships/hyperlink" Target="https://archive.fo/xsWgD" TargetMode="External"/><Relationship Id="rId709" Type="http://schemas.openxmlformats.org/officeDocument/2006/relationships/hyperlink" Target="https://www.justice.gov/usao-ndtx/pr/eight-men-arrested-federal-child-sex-trafficking-charges" TargetMode="External"/><Relationship Id="rId2629" Type="http://schemas.openxmlformats.org/officeDocument/2006/relationships/hyperlink" Target="https://www.justice.gov/usao-or/pr/otis-oregon-man-pleads-guilty-distributing-child-pornography-using-dropbox" TargetMode="External"/><Relationship Id="rId708" Type="http://schemas.openxmlformats.org/officeDocument/2006/relationships/hyperlink" Target="https://www.dallasnews.com/news/crime/2017/10/17/8-men-arrested-charges-trafficked-children-sex-dallas-fort-worth-area" TargetMode="External"/><Relationship Id="rId707" Type="http://schemas.openxmlformats.org/officeDocument/2006/relationships/hyperlink" Target="https://www.justice.gov/usao-ndtx/pr/eight-men-arrested-federal-child-sex-trafficking-charges" TargetMode="External"/><Relationship Id="rId706" Type="http://schemas.openxmlformats.org/officeDocument/2006/relationships/hyperlink" Target="https://www.dallasnews.com/news/crime/2017/10/17/8-men-arrested-charges-trafficked-children-sex-dallas-fort-worth-area" TargetMode="External"/><Relationship Id="rId701" Type="http://schemas.openxmlformats.org/officeDocument/2006/relationships/hyperlink" Target="https://www.justice.gov/usao-ndtx/pr/eight-men-arrested-federal-child-sex-trafficking-charges" TargetMode="External"/><Relationship Id="rId700" Type="http://schemas.openxmlformats.org/officeDocument/2006/relationships/hyperlink" Target="https://www.dallasnews.com/news/crime/2017/10/17/8-men-arrested-charges-trafficked-children-sex-dallas-fort-worth-area" TargetMode="External"/><Relationship Id="rId705" Type="http://schemas.openxmlformats.org/officeDocument/2006/relationships/hyperlink" Target="https://www.justice.gov/usao-ndtx/pr/eight-men-arrested-federal-child-sex-trafficking-charges" TargetMode="External"/><Relationship Id="rId704" Type="http://schemas.openxmlformats.org/officeDocument/2006/relationships/hyperlink" Target="https://www.dallasnews.com/news/crime/2017/10/17/8-men-arrested-charges-trafficked-children-sex-dallas-fort-worth-area" TargetMode="External"/><Relationship Id="rId703" Type="http://schemas.openxmlformats.org/officeDocument/2006/relationships/hyperlink" Target="https://www.justice.gov/usao-ndtx/pr/eight-men-arrested-federal-child-sex-trafficking-charges" TargetMode="External"/><Relationship Id="rId702" Type="http://schemas.openxmlformats.org/officeDocument/2006/relationships/hyperlink" Target="https://www.dallasnews.com/news/crime/2017/10/17/8-men-arrested-charges-trafficked-children-sex-dallas-fort-worth-area" TargetMode="External"/><Relationship Id="rId3951" Type="http://schemas.openxmlformats.org/officeDocument/2006/relationships/hyperlink" Target="https://www.justice.gov/usao-ndoh/pr/willowick-man-indicted-child-pornography-charges" TargetMode="External"/><Relationship Id="rId2620" Type="http://schemas.openxmlformats.org/officeDocument/2006/relationships/hyperlink" Target="https://www.courtlistener.com/docket/14655071/united-states-v-woodson/" TargetMode="External"/><Relationship Id="rId3950" Type="http://schemas.openxmlformats.org/officeDocument/2006/relationships/hyperlink" Target="https://www.gazettetimes.com/news/local/benton-county-fbi-arrest-corvallis-man-on-federal-child-porn/article_a50c5174-c8c1-572c-812e-95b4ea29e199.html" TargetMode="External"/><Relationship Id="rId2610" Type="http://schemas.openxmlformats.org/officeDocument/2006/relationships/hyperlink" Target="https://www.ice.gov/news/releases/third-human-smuggler-sentenced-prison-operating-houston-stash-house-ring" TargetMode="External"/><Relationship Id="rId3942" Type="http://schemas.openxmlformats.org/officeDocument/2006/relationships/hyperlink" Target="https://www.justice.gov/usao-ndok/pr/federal-grand-jury-indictments-announced-1" TargetMode="External"/><Relationship Id="rId2611" Type="http://schemas.openxmlformats.org/officeDocument/2006/relationships/hyperlink" Target="https://www.justice.gov/usao-ndms/pr/two-north-mississippi-men-sentenced-production-child-pornography" TargetMode="External"/><Relationship Id="rId3941" Type="http://schemas.openxmlformats.org/officeDocument/2006/relationships/hyperlink" Target="https://www.cbp.gov/newsroom/local-media-release/border-patrol-agents-arrest-12-illegal-aliens-3-smugglers-2-failed" TargetMode="External"/><Relationship Id="rId2612" Type="http://schemas.openxmlformats.org/officeDocument/2006/relationships/hyperlink" Target="https://www.justice.gov/usao-wdar/pr/rogers-man-sentenced-over-7-years-federal-prison-child-pornography-0" TargetMode="External"/><Relationship Id="rId3944" Type="http://schemas.openxmlformats.org/officeDocument/2006/relationships/hyperlink" Target="https://www.justice.gov/usao-ndok/pr/federal-grand-jury-indictments-announced-1" TargetMode="External"/><Relationship Id="rId2613" Type="http://schemas.openxmlformats.org/officeDocument/2006/relationships/hyperlink" Target="https://www.courtlistener.com/docket/8163800/united-states-v-morales-carpio/" TargetMode="External"/><Relationship Id="rId3943" Type="http://schemas.openxmlformats.org/officeDocument/2006/relationships/hyperlink" Target="https://www.justice.gov/usao-ndok/pr/federal-grand-jury-indictments-announced-1" TargetMode="External"/><Relationship Id="rId2614" Type="http://schemas.openxmlformats.org/officeDocument/2006/relationships/hyperlink" Target="https://www.justice.gov/usao-wdmo/pr/columbia-man-indicted-child-pornography" TargetMode="External"/><Relationship Id="rId3946" Type="http://schemas.openxmlformats.org/officeDocument/2006/relationships/hyperlink" Target="https://www.justice.gov/usao-sdin/pr/federal-authorities-uncover-sexual-abuse-and-online-exploitation" TargetMode="External"/><Relationship Id="rId2615" Type="http://schemas.openxmlformats.org/officeDocument/2006/relationships/hyperlink" Target="https://www.courtlistener.com/docket/7902440/united-states-v-french/" TargetMode="External"/><Relationship Id="rId3945" Type="http://schemas.openxmlformats.org/officeDocument/2006/relationships/hyperlink" Target="https://ktul.com/news/local/us-attorney-fbi-announce-results-of-operation-independence-day" TargetMode="External"/><Relationship Id="rId2616" Type="http://schemas.openxmlformats.org/officeDocument/2006/relationships/hyperlink" Target="http://www.startribune.com/federal-charges-35-year-old-sex-offender-produced-child-porn-hacked-25-snapchat-accounts/494537631/" TargetMode="External"/><Relationship Id="rId3948" Type="http://schemas.openxmlformats.org/officeDocument/2006/relationships/hyperlink" Target="https://fox59.com/news/crimetracker/indianapolis-man-woman-admit-to-sexually-abusing-young-girl-doj-says/" TargetMode="External"/><Relationship Id="rId2617" Type="http://schemas.openxmlformats.org/officeDocument/2006/relationships/hyperlink" Target="https://www.justice.gov/usao-mn/pr/twenty-six-count-indictment-charges-convicted-sex-offender-computer-hacking-producing" TargetMode="External"/><Relationship Id="rId3947" Type="http://schemas.openxmlformats.org/officeDocument/2006/relationships/hyperlink" Target="https://fox59.com/news/crimetracker/indianapolis-man-woman-admit-to-sexually-abusing-young-girl-doj-says/" TargetMode="External"/><Relationship Id="rId2618" Type="http://schemas.openxmlformats.org/officeDocument/2006/relationships/hyperlink" Target="https://www.justice.gov/usao-ndtx/pr/ndtx-roundup-192019" TargetMode="External"/><Relationship Id="rId2619" Type="http://schemas.openxmlformats.org/officeDocument/2006/relationships/hyperlink" Target="https://www.courtlistener.com/docket/7427114/united-states-v-smith/" TargetMode="External"/><Relationship Id="rId3949" Type="http://schemas.openxmlformats.org/officeDocument/2006/relationships/hyperlink" Target="https://www.fbi.gov/contact-us/field-offices/portland/news/press-releases/the-fbi-and-benton-co-sheriffs-office-arrest-corvallis-man-on-child-porn-charge" TargetMode="External"/><Relationship Id="rId3940" Type="http://schemas.openxmlformats.org/officeDocument/2006/relationships/hyperlink" Target="http://archive.fo/uB7Ne" TargetMode="External"/><Relationship Id="rId1312" Type="http://schemas.openxmlformats.org/officeDocument/2006/relationships/hyperlink" Target="https://www.courtlistener.com/?q=&amp;type=r&amp;order_by=score+desc&amp;docket_number=3%3A18-mj-00099&amp;court=nynd" TargetMode="External"/><Relationship Id="rId2643" Type="http://schemas.openxmlformats.org/officeDocument/2006/relationships/hyperlink" Target="https://tucson.com/news/state-and-regional/rio-rico-woman-accused-of-human-smuggling-with-kids-in/article_71ef5d26-b120-11e8-b7dc-87aeadf94cea.html" TargetMode="External"/><Relationship Id="rId3975" Type="http://schemas.openxmlformats.org/officeDocument/2006/relationships/hyperlink" Target="https://www.justice.gov/usao-me/pr/palmyra-man-pleads-guilty-accessing-child-pornography" TargetMode="External"/><Relationship Id="rId1313" Type="http://schemas.openxmlformats.org/officeDocument/2006/relationships/hyperlink" Target="https://konniemoments.com/2018/07/13/houston-woman-gets-40-years-in-prison-for-trafficking-her-toddler-sarah-marie-peters-was-busted-trying-to-sell-her-2-year-old-daughter-for-sex/" TargetMode="External"/><Relationship Id="rId2644" Type="http://schemas.openxmlformats.org/officeDocument/2006/relationships/hyperlink" Target="https://www.justice.gov/usao-ct/pr/ohio-man-charged-child-pornography-offenses" TargetMode="External"/><Relationship Id="rId3974" Type="http://schemas.openxmlformats.org/officeDocument/2006/relationships/hyperlink" Target="https://www.pacermonitor.com/public/case/30263109/USA_v_Spradlin" TargetMode="External"/><Relationship Id="rId1314" Type="http://schemas.openxmlformats.org/officeDocument/2006/relationships/hyperlink" Target="https://www.justice.gov/usao-nm/pr/previously-convicted-sex-offender-albuquerque-pleads-guilty-federal-child-pornography-0" TargetMode="External"/><Relationship Id="rId2645" Type="http://schemas.openxmlformats.org/officeDocument/2006/relationships/hyperlink" Target="https://www.justice.gov/usao-edva/pr/jury-convicts-man-producing-child-pornography" TargetMode="External"/><Relationship Id="rId3977" Type="http://schemas.openxmlformats.org/officeDocument/2006/relationships/hyperlink" Target="https://www.justice.gov/usao-sdia/pr/perry-man-sentenced-federal-prison-child-pornography-offense" TargetMode="External"/><Relationship Id="rId1315" Type="http://schemas.openxmlformats.org/officeDocument/2006/relationships/hyperlink" Target="https://www.courtlistener.com/docket/14644115/united-states-v-lopez/" TargetMode="External"/><Relationship Id="rId2646" Type="http://schemas.openxmlformats.org/officeDocument/2006/relationships/hyperlink" Target="https://www.loudountimes.com/news/hamilton-man-charged-for-producing-child-porn/article_36fdc6b8-b20a-11e8-a422-a32db5a3e416.html" TargetMode="External"/><Relationship Id="rId3976" Type="http://schemas.openxmlformats.org/officeDocument/2006/relationships/hyperlink" Target="https://www.justice.gov/usao-ne/pr/omaha-man-sentenced-300-months-production-child-pornography" TargetMode="External"/><Relationship Id="rId1316" Type="http://schemas.openxmlformats.org/officeDocument/2006/relationships/hyperlink" Target="http://www.bnd.com/news/local/article201758574.html" TargetMode="External"/><Relationship Id="rId2647" Type="http://schemas.openxmlformats.org/officeDocument/2006/relationships/hyperlink" Target="https://www.justice.gov/usao-mdnc/pr/kannapolis-man-sentenced-production-child-pornography-case" TargetMode="External"/><Relationship Id="rId3979" Type="http://schemas.openxmlformats.org/officeDocument/2006/relationships/hyperlink" Target="https://www.justice.gov/usao-sd/pr/sioux-falls-man-sentenced-possession-child-pornography" TargetMode="External"/><Relationship Id="rId1317" Type="http://schemas.openxmlformats.org/officeDocument/2006/relationships/hyperlink" Target="https://www.cbp.gov/newsroom/local-media-release/laredo-sector-border-patrol-agents-rescue-22-illegal-aliens-box-truck" TargetMode="External"/><Relationship Id="rId2648" Type="http://schemas.openxmlformats.org/officeDocument/2006/relationships/hyperlink" Target="https://www.courtlistener.com/docket/7759019/united-states-v-barry/" TargetMode="External"/><Relationship Id="rId3978" Type="http://schemas.openxmlformats.org/officeDocument/2006/relationships/hyperlink" Target="https://www.justice.gov/usao-sdia/pr/council-bluffs-man-sentenced-40-years-prison-child-pornography-offenses" TargetMode="External"/><Relationship Id="rId1318" Type="http://schemas.openxmlformats.org/officeDocument/2006/relationships/hyperlink" Target="https://www.cbp.gov/newsroom/local-media-release/laredo-sector-border-patrol-agents-rescue-17-illegal-aliens-box-truck" TargetMode="External"/><Relationship Id="rId2649" Type="http://schemas.openxmlformats.org/officeDocument/2006/relationships/hyperlink" Target="https://www.cbp.gov/newsroom/local-media-release/border-patrol-agents-rescue-55-illegal-aliens-tractor-trailer" TargetMode="External"/><Relationship Id="rId1319" Type="http://schemas.openxmlformats.org/officeDocument/2006/relationships/hyperlink" Target="https://www.cbp.gov/newsroom/local-media-release/operation-stonegarden-results-arrest-human-smugglers-and-aliens" TargetMode="External"/><Relationship Id="rId729" Type="http://schemas.openxmlformats.org/officeDocument/2006/relationships/hyperlink" Target="https://www.courtlistener.com/docket/6318107/united-states-v-blessett/" TargetMode="External"/><Relationship Id="rId728" Type="http://schemas.openxmlformats.org/officeDocument/2006/relationships/hyperlink" Target="https://www.sacbee.com/latest-news/article201823579.html" TargetMode="External"/><Relationship Id="rId723" Type="http://schemas.openxmlformats.org/officeDocument/2006/relationships/hyperlink" Target="https://www.justice.gov/usao-nj/pr/former-new-jersey-corrections-officer-sentenced-five-years-prison-receipt-child" TargetMode="External"/><Relationship Id="rId722" Type="http://schemas.openxmlformats.org/officeDocument/2006/relationships/hyperlink" Target="https://www.northjersey.com/story/news/crime/2017/10/20/lodi-prison-guard-tried-meet-8-year-old-girl-had-child-porn-feds-say/781995001/" TargetMode="External"/><Relationship Id="rId721" Type="http://schemas.openxmlformats.org/officeDocument/2006/relationships/hyperlink" Target="https://www.justice.gov/usao-cdil/pr/texas-sex-offender-sentenced-35-years-prison-sextorting-minors-eight-states-28-minors" TargetMode="External"/><Relationship Id="rId720" Type="http://schemas.openxmlformats.org/officeDocument/2006/relationships/hyperlink" Target="https://www.justice.gov/opa/pr/texas-man-indicted-sextorting-minors-illinois" TargetMode="External"/><Relationship Id="rId727" Type="http://schemas.openxmlformats.org/officeDocument/2006/relationships/hyperlink" Target="http://verifiedpolitics.com/retired-nypd-sex-crimes-officer-just-got-exposed-serial-child-sex-offender/" TargetMode="External"/><Relationship Id="rId726" Type="http://schemas.openxmlformats.org/officeDocument/2006/relationships/hyperlink" Target="http://www.nvdaily.com/news/local-news/2017/10/area-man-faces-child-pornography-charges/" TargetMode="External"/><Relationship Id="rId725" Type="http://schemas.openxmlformats.org/officeDocument/2006/relationships/hyperlink" Target="https://www.justice.gov/usao-md/pr/previously-convicted-sex-offender-sentenced-24-years-federal-prison-possession-child" TargetMode="External"/><Relationship Id="rId724" Type="http://schemas.openxmlformats.org/officeDocument/2006/relationships/hyperlink" Target="https://www.cbp.gov/newsroom/local-media-release/border-patrol-agents-arrest-us-man-human-smuggling" TargetMode="External"/><Relationship Id="rId3971" Type="http://schemas.openxmlformats.org/officeDocument/2006/relationships/hyperlink" Target="https://www.justice.gov/usao-ndfl/pr/levy-county-man-sentenced-19-years-prison-sextortion-washington-teen-and-possession" TargetMode="External"/><Relationship Id="rId2640" Type="http://schemas.openxmlformats.org/officeDocument/2006/relationships/hyperlink" Target="https://www.cbp.gov/newsroom/local-media-release/sierra-vista-woman-caught-smuggling-6-illegal-aliens-jetta" TargetMode="External"/><Relationship Id="rId3970" Type="http://schemas.openxmlformats.org/officeDocument/2006/relationships/hyperlink" Target="https://archive.vn/zT5Td" TargetMode="External"/><Relationship Id="rId1310" Type="http://schemas.openxmlformats.org/officeDocument/2006/relationships/hyperlink" Target="https://www.courtlistener.com/docket/6994088/united-states-v-high/" TargetMode="External"/><Relationship Id="rId2641" Type="http://schemas.openxmlformats.org/officeDocument/2006/relationships/hyperlink" Target="https://www.bensonnews-sun.com/news/article_b4d3f542-b12b-11e8-bf09-e7d155d085a6.html" TargetMode="External"/><Relationship Id="rId3973" Type="http://schemas.openxmlformats.org/officeDocument/2006/relationships/hyperlink" Target="https://www.justice.gov/usao-sdtx/pr/texan-sent-prison-involvement-distribution-child-pornography-dropbox" TargetMode="External"/><Relationship Id="rId1311" Type="http://schemas.openxmlformats.org/officeDocument/2006/relationships/hyperlink" Target="https://www.courtlistener.com/?q=&amp;type=r&amp;order_by=score+desc&amp;docket_number=3%3A18-mj-00099&amp;court=nynd" TargetMode="External"/><Relationship Id="rId2642" Type="http://schemas.openxmlformats.org/officeDocument/2006/relationships/hyperlink" Target="https://www.cbp.gov/newsroom/local-media-release/hereford-woman-arrested-smuggling-after-fleeing-border-patrol-agents" TargetMode="External"/><Relationship Id="rId3972" Type="http://schemas.openxmlformats.org/officeDocument/2006/relationships/hyperlink" Target="https://www.justice.gov/usao-edca/pr/redding-man-charged-child-pornography-offenses" TargetMode="External"/><Relationship Id="rId1301" Type="http://schemas.openxmlformats.org/officeDocument/2006/relationships/hyperlink" Target="https://www.courtlistener.com/docket/7800001/united-states-v-valencia/" TargetMode="External"/><Relationship Id="rId2632" Type="http://schemas.openxmlformats.org/officeDocument/2006/relationships/hyperlink" Target="https://www.justice.gov/usao-ndoh/pr/men-university-heights-and-lorain-indicted-child-pornography-crimes" TargetMode="External"/><Relationship Id="rId3964" Type="http://schemas.openxmlformats.org/officeDocument/2006/relationships/hyperlink" Target="https://www.justice.gov/usao-ne/pr/loomis-man-sentenced-12-years-distributing-child-pornography" TargetMode="External"/><Relationship Id="rId1302" Type="http://schemas.openxmlformats.org/officeDocument/2006/relationships/hyperlink" Target="https://www.justice.gov/usao-sd/pr/rapid-city-man-sentenced-internet-crime-0" TargetMode="External"/><Relationship Id="rId2633" Type="http://schemas.openxmlformats.org/officeDocument/2006/relationships/hyperlink" Target="https://www.courtlistener.com/docket/7939334/united-states-v-young/" TargetMode="External"/><Relationship Id="rId3963" Type="http://schemas.openxmlformats.org/officeDocument/2006/relationships/hyperlink" Target="https://www.justice.gov/usao-ndok/pr/operation-independence-day-arrest-results-guilty-plea" TargetMode="External"/><Relationship Id="rId1303" Type="http://schemas.openxmlformats.org/officeDocument/2006/relationships/hyperlink" Target="https://www.justice.gov/usao-sdtx/pr/assistant-school-band-director-arrested-child-pornography-charges" TargetMode="External"/><Relationship Id="rId2634" Type="http://schemas.openxmlformats.org/officeDocument/2006/relationships/hyperlink" Target="https://www.justice.gov/usao-ne/pr/omaha-man-convicted-receiving-child-pornography" TargetMode="External"/><Relationship Id="rId3966" Type="http://schemas.openxmlformats.org/officeDocument/2006/relationships/hyperlink" Target="https://www.justice.gov/usao-wdtx/pr/uvalde-man-sentenced-federal-prison-possession-child-pornography" TargetMode="External"/><Relationship Id="rId1304" Type="http://schemas.openxmlformats.org/officeDocument/2006/relationships/hyperlink" Target="https://www.kiiitv.com/article/news/local/ccisd-band-teacher-arrested-for-child-pornography/503-522313917" TargetMode="External"/><Relationship Id="rId2635" Type="http://schemas.openxmlformats.org/officeDocument/2006/relationships/hyperlink" Target="https://www.cbp.gov/newsroom/local-media-release/border-patrol-agents-foil-human-smuggling-attempt-ih-35-checkpoint" TargetMode="External"/><Relationship Id="rId3965" Type="http://schemas.openxmlformats.org/officeDocument/2006/relationships/hyperlink" Target="https://www.justice.gov/usao-wdnc/pr/federal-jury-convicts-boone-nc-man-child-pornography" TargetMode="External"/><Relationship Id="rId1305" Type="http://schemas.openxmlformats.org/officeDocument/2006/relationships/hyperlink" Target="https://www.courtlistener.com/docket/6926680/united-states-v-pendergraph/" TargetMode="External"/><Relationship Id="rId2636" Type="http://schemas.openxmlformats.org/officeDocument/2006/relationships/hyperlink" Target="https://www.cbp.gov/newsroom/local-media-release/armed-rio-rico-mother-takes-4-kids-ride-while-smuggling-alien" TargetMode="External"/><Relationship Id="rId3968" Type="http://schemas.openxmlformats.org/officeDocument/2006/relationships/hyperlink" Target="https://www.wfmz.com/news/area/berks/reading-woman-admits-to-trafficking-children-for-sex/article_21f9370e-eeec-11ea-a46e-aba3e9459e82.html" TargetMode="External"/><Relationship Id="rId1306" Type="http://schemas.openxmlformats.org/officeDocument/2006/relationships/hyperlink" Target="https://baltimore.cbslocal.com/2018/02/22/sex-trafficking-of-a-child-charges/" TargetMode="External"/><Relationship Id="rId2637" Type="http://schemas.openxmlformats.org/officeDocument/2006/relationships/hyperlink" Target="https://www.cbp.gov/newsroom/local-media-release/rio-grande-valley-sector-border-patrol-k-9-s-stop-three-smuggling" TargetMode="External"/><Relationship Id="rId3967" Type="http://schemas.openxmlformats.org/officeDocument/2006/relationships/hyperlink" Target="https://www.justice.gov/usao-edpa/pr/reading-pa-woman-pleads-guilty-sex-trafficking-children" TargetMode="External"/><Relationship Id="rId1307" Type="http://schemas.openxmlformats.org/officeDocument/2006/relationships/hyperlink" Target="http://archive.fo/ceOZr" TargetMode="External"/><Relationship Id="rId2638" Type="http://schemas.openxmlformats.org/officeDocument/2006/relationships/hyperlink" Target="https://www.cbp.gov/newsroom/local-media-release/rio-grande-valley-sector-border-patrol-k-9-s-stop-three-smuggling" TargetMode="External"/><Relationship Id="rId1308" Type="http://schemas.openxmlformats.org/officeDocument/2006/relationships/hyperlink" Target="https://www.courtlistener.com/docket/6331515/united-states-v-perez/" TargetMode="External"/><Relationship Id="rId2639" Type="http://schemas.openxmlformats.org/officeDocument/2006/relationships/hyperlink" Target="https://www.cbp.gov/newsroom/local-media-release/rio-grande-valley-sector-border-patrol-k-9-s-stop-three-smuggling" TargetMode="External"/><Relationship Id="rId3969" Type="http://schemas.openxmlformats.org/officeDocument/2006/relationships/hyperlink" Target="https://archive.vn/wip/m5qGx" TargetMode="External"/><Relationship Id="rId1309" Type="http://schemas.openxmlformats.org/officeDocument/2006/relationships/hyperlink" Target="https://www.justice.gov/usao-edpa/pr/bucks-county-man-charged-receipt-and-possession-child-porn" TargetMode="External"/><Relationship Id="rId719" Type="http://schemas.openxmlformats.org/officeDocument/2006/relationships/hyperlink" Target="https://www.courtlistener.com/docket/7813792/united-states-v-moffis/" TargetMode="External"/><Relationship Id="rId718" Type="http://schemas.openxmlformats.org/officeDocument/2006/relationships/hyperlink" Target="https://www.justice.gov/usao-wdmo/pr/willow-springs-man-indicted-child-pornography" TargetMode="External"/><Relationship Id="rId717" Type="http://schemas.openxmlformats.org/officeDocument/2006/relationships/hyperlink" Target="https://www.justice.gov/usao-edla/pr/new-orleans-resident-sentenced-78-months-imprisonment-after-previously-pleading-guilty" TargetMode="External"/><Relationship Id="rId712" Type="http://schemas.openxmlformats.org/officeDocument/2006/relationships/hyperlink" Target="https://www.dallasnews.com/news/crime/2017/10/17/8-men-arrested-charges-trafficked-children-sex-dallas-fort-worth-area" TargetMode="External"/><Relationship Id="rId711" Type="http://schemas.openxmlformats.org/officeDocument/2006/relationships/hyperlink" Target="https://www.justice.gov/usao-ndtx/pr/eight-men-arrested-federal-child-sex-trafficking-charges" TargetMode="External"/><Relationship Id="rId710" Type="http://schemas.openxmlformats.org/officeDocument/2006/relationships/hyperlink" Target="https://www.dallasnews.com/news/crime/2017/10/17/8-men-arrested-charges-trafficked-children-sex-dallas-fort-worth-area" TargetMode="External"/><Relationship Id="rId716" Type="http://schemas.openxmlformats.org/officeDocument/2006/relationships/hyperlink" Target="https://www.justice.gov/usao-edla/pr/new-orleans-man-indicted-possessing-child-pornography" TargetMode="External"/><Relationship Id="rId715" Type="http://schemas.openxmlformats.org/officeDocument/2006/relationships/hyperlink" Target="http://www.localsyr.com/news/local-news/salina-man-admits-to-recording-child-porn-by-telling-victims-he-was-a-16-year-old-boy/839571462" TargetMode="External"/><Relationship Id="rId714" Type="http://schemas.openxmlformats.org/officeDocument/2006/relationships/hyperlink" Target="https://www.dallasnews.com/news/crime/2017/10/17/8-men-arrested-charges-trafficked-children-sex-dallas-fort-worth-area" TargetMode="External"/><Relationship Id="rId713" Type="http://schemas.openxmlformats.org/officeDocument/2006/relationships/hyperlink" Target="https://www.justice.gov/usao-ndtx/pr/eight-men-arrested-federal-child-sex-trafficking-charges" TargetMode="External"/><Relationship Id="rId3960" Type="http://schemas.openxmlformats.org/officeDocument/2006/relationships/hyperlink" Target="https://www.ice.gov/news/releases/mexican-man-extradited-united-states-face-sex-trafficking-charges" TargetMode="External"/><Relationship Id="rId2630" Type="http://schemas.openxmlformats.org/officeDocument/2006/relationships/hyperlink" Target="https://www.justice.gov/usao-ndoh/pr/men-university-heights-and-lorain-indicted-child-pornography-crimes" TargetMode="External"/><Relationship Id="rId3962" Type="http://schemas.openxmlformats.org/officeDocument/2006/relationships/hyperlink" Target="https://dailylash.com/wp-content/uploads/2019/08/Jose-Miguel-Melendez-Rojas_2.jpg" TargetMode="External"/><Relationship Id="rId1300" Type="http://schemas.openxmlformats.org/officeDocument/2006/relationships/hyperlink" Target="https://www.justice.gov/usao-wdmo/pr/excelsior-springs-man-sentenced-child-pornography" TargetMode="External"/><Relationship Id="rId2631" Type="http://schemas.openxmlformats.org/officeDocument/2006/relationships/hyperlink" Target="https://www.courtlistener.com/?q=&amp;type=r&amp;order_by=score+desc&amp;docket_number=1%3A18-cr-00561&amp;court=ohnd" TargetMode="External"/><Relationship Id="rId3961" Type="http://schemas.openxmlformats.org/officeDocument/2006/relationships/hyperlink" Target="https://dailylash.com/mexican-sex-trafficking-minors-extradited-to-u-s/" TargetMode="External"/><Relationship Id="rId3117" Type="http://schemas.openxmlformats.org/officeDocument/2006/relationships/hyperlink" Target="https://www.justice.gov/usao-ma/pr/lynn-district-court-assistant-chief-probation-officer-arrested-sexually-exploiting-child" TargetMode="External"/><Relationship Id="rId4448" Type="http://schemas.openxmlformats.org/officeDocument/2006/relationships/hyperlink" Target="https://www.justice.gov/usao-sdil/pr/fbi-undercover-operation-leads-federal-charges-14-men-attempting-meet-minors-sex" TargetMode="External"/><Relationship Id="rId3116" Type="http://schemas.openxmlformats.org/officeDocument/2006/relationships/hyperlink" Target="https://www.courtlistener.com/docket/8405182/united-states-v-vogelpohl/" TargetMode="External"/><Relationship Id="rId4447" Type="http://schemas.openxmlformats.org/officeDocument/2006/relationships/hyperlink" Target="https://www.justice.gov/usao-sdil/pr/fbi-undercover-operation-leads-federal-charges-14-men-attempting-meet-minors-sex" TargetMode="External"/><Relationship Id="rId3119" Type="http://schemas.openxmlformats.org/officeDocument/2006/relationships/hyperlink" Target="https://www.courtlistener.com/?q=&amp;type=r&amp;order_by=score+desc&amp;docket_number=1%3A19-cr-10010&amp;court=mad" TargetMode="External"/><Relationship Id="rId3118" Type="http://schemas.openxmlformats.org/officeDocument/2006/relationships/hyperlink" Target="https://www.wcvb.com/article/feds-accuse-probation-officer-of-child-sex-crimes/25384378" TargetMode="External"/><Relationship Id="rId4449" Type="http://schemas.openxmlformats.org/officeDocument/2006/relationships/hyperlink" Target="https://www.justice.gov/usao-hi/pr/former-little-league-softball-coach-charged-producing-child-pornography-and-possessing" TargetMode="External"/><Relationship Id="rId4440" Type="http://schemas.openxmlformats.org/officeDocument/2006/relationships/hyperlink" Target="https://www.justice.gov/usao-wy/pr/activity-united-states-attorneys-office-28" TargetMode="External"/><Relationship Id="rId3111" Type="http://schemas.openxmlformats.org/officeDocument/2006/relationships/hyperlink" Target="https://www.justice.gov/usao-mdga/pr/augusta-man-pleads-guilty-columbus-child-sexual-abuse-case" TargetMode="External"/><Relationship Id="rId4442" Type="http://schemas.openxmlformats.org/officeDocument/2006/relationships/hyperlink" Target="http://archive.vn/rbvhb" TargetMode="External"/><Relationship Id="rId3110" Type="http://schemas.openxmlformats.org/officeDocument/2006/relationships/hyperlink" Target="https://www.justice.gov/usao-wdla/pr/former-fort-polk-soldier-sentenced-15-years-federal-prison-producing-child-pornography" TargetMode="External"/><Relationship Id="rId4441" Type="http://schemas.openxmlformats.org/officeDocument/2006/relationships/hyperlink" Target="https://www.victoriaadvocate.com/news/crime/victoria-man-arrested-on-federal-child-porn-charges-after-joint-investigation/article_c4308a28-bae8-11ea-bbde-b77652affdb6.html" TargetMode="External"/><Relationship Id="rId3113" Type="http://schemas.openxmlformats.org/officeDocument/2006/relationships/hyperlink" Target="https://www.wsbtv.com/news/local/cobb-county/8-arrested-in-prostitution-undercover-sex-sting-at-metro-atlanta-hotel/882581640" TargetMode="External"/><Relationship Id="rId4444" Type="http://schemas.openxmlformats.org/officeDocument/2006/relationships/hyperlink" Target="https://www.cbp.gov/newsroom/local-media-release/maritime-investigation-leads-arrests-weekend-apprehensions-included" TargetMode="External"/><Relationship Id="rId3112" Type="http://schemas.openxmlformats.org/officeDocument/2006/relationships/hyperlink" Target="https://www.justice.gov/usao-wdla/pr/cybertip-report-leads-lengthy-prison-sentence-vinton-resident" TargetMode="External"/><Relationship Id="rId4443" Type="http://schemas.openxmlformats.org/officeDocument/2006/relationships/hyperlink" Target="https://www.cbp.gov/newsroom/local-media-release/maritime-investigation-leads-arrests-weekend-apprehensions-included" TargetMode="External"/><Relationship Id="rId3115" Type="http://schemas.openxmlformats.org/officeDocument/2006/relationships/hyperlink" Target="https://www.kimt.com/content/news/Man-charged-with-sexual-exploitation-of-child-in-connection-to-Mason-City-case-501892761.html" TargetMode="External"/><Relationship Id="rId4446" Type="http://schemas.openxmlformats.org/officeDocument/2006/relationships/hyperlink" Target="https://www.justice.gov/usao-sdil/pr/fbi-undercover-operation-leads-federal-charges-14-men-attempting-meet-minors-sex" TargetMode="External"/><Relationship Id="rId3114" Type="http://schemas.openxmlformats.org/officeDocument/2006/relationships/hyperlink" Target="https://www.justice.gov/usao-ndia/pr/california-man-charged-sexual-exploitation-child" TargetMode="External"/><Relationship Id="rId4445" Type="http://schemas.openxmlformats.org/officeDocument/2006/relationships/hyperlink" Target="https://www.cbp.gov/newsroom/local-media-release/border-patrol-agents-prevent-human-smuggling-attempt-checkpoint" TargetMode="External"/><Relationship Id="rId3106" Type="http://schemas.openxmlformats.org/officeDocument/2006/relationships/hyperlink" Target="https://www.justice.gov/usao-ne/pr/omaha-man-sentenced-66-months-transporting-child-pornography" TargetMode="External"/><Relationship Id="rId4437" Type="http://schemas.openxmlformats.org/officeDocument/2006/relationships/hyperlink" Target="https://www.justice.gov/usao-wdwa/pr/grays-harbor-county-woman-charged-production-child-pornography" TargetMode="External"/><Relationship Id="rId3105" Type="http://schemas.openxmlformats.org/officeDocument/2006/relationships/hyperlink" Target="https://www.justice.gov/usao-sdms/pr/carriere-man-pleads-guilty-child-pornography-charges" TargetMode="External"/><Relationship Id="rId4436" Type="http://schemas.openxmlformats.org/officeDocument/2006/relationships/hyperlink" Target="https://www.cbp.gov/newsroom/local-media-release/bp-arrests-smuggler-hiding-migrant-truck-toolbox" TargetMode="External"/><Relationship Id="rId3108" Type="http://schemas.openxmlformats.org/officeDocument/2006/relationships/hyperlink" Target="https://www.justice.gov/usao-sdia/pr/iowa-man-sentenced-prison-possession-child-pornography" TargetMode="External"/><Relationship Id="rId4439" Type="http://schemas.openxmlformats.org/officeDocument/2006/relationships/hyperlink" Target="https://www.justice.gov/usao-wdny/pr/bath-man-nys-parole-arrested-child-porngraphy-charge" TargetMode="External"/><Relationship Id="rId3107" Type="http://schemas.openxmlformats.org/officeDocument/2006/relationships/hyperlink" Target="https://www.justice.gov/usao-edla/pr/ponchatoula-man-pleads-guilty-receiving-child-pornography" TargetMode="External"/><Relationship Id="rId4438" Type="http://schemas.openxmlformats.org/officeDocument/2006/relationships/hyperlink" Target="https://www.justice.gov/usao-nj/pr/new-jersey-man-arrested-receiving-child-pornography-and-concealing-objects-impede-fbi" TargetMode="External"/><Relationship Id="rId3109" Type="http://schemas.openxmlformats.org/officeDocument/2006/relationships/hyperlink" Target="https://www.courtlistener.com/docket/13541489/united-states-v-kimber/" TargetMode="External"/><Relationship Id="rId3100" Type="http://schemas.openxmlformats.org/officeDocument/2006/relationships/hyperlink" Target="https://www.greatfallstribune.com/story/news/2018/12/06/great-falls-montana-child-sex-trafficking-abuse-crime/2228598002/" TargetMode="External"/><Relationship Id="rId4431" Type="http://schemas.openxmlformats.org/officeDocument/2006/relationships/hyperlink" Target="https://www.justice.gov/usao-edwi/pr/oshkosh-man-arrested-federal-child-pornography-distribution-charges" TargetMode="External"/><Relationship Id="rId4430" Type="http://schemas.openxmlformats.org/officeDocument/2006/relationships/hyperlink" Target="https://www.justice.gov/usao-ndny/pr/oswego-man-charged-distributing-child-pornography" TargetMode="External"/><Relationship Id="rId3102" Type="http://schemas.openxmlformats.org/officeDocument/2006/relationships/hyperlink" Target="https://archive.vn/wip/JwPAD" TargetMode="External"/><Relationship Id="rId4433" Type="http://schemas.openxmlformats.org/officeDocument/2006/relationships/hyperlink" Target="https://www.justice.gov/usao-nj/pr/ocean-county-man-charged-receipt-and-possession-child-pornography" TargetMode="External"/><Relationship Id="rId3101" Type="http://schemas.openxmlformats.org/officeDocument/2006/relationships/hyperlink" Target="https://www.yahoo.com/news/extremely-disturbing-montana-woman-gets-035111592.html" TargetMode="External"/><Relationship Id="rId4432" Type="http://schemas.openxmlformats.org/officeDocument/2006/relationships/hyperlink" Target="https://www.justice.gov/usao-nh/pr/beford-man-arrested-producing-child-pornography" TargetMode="External"/><Relationship Id="rId3104" Type="http://schemas.openxmlformats.org/officeDocument/2006/relationships/hyperlink" Target="https://www.justice.gov/usao-ne/pr/lincoln-man-sentenced-10-years-child-pornography" TargetMode="External"/><Relationship Id="rId4435" Type="http://schemas.openxmlformats.org/officeDocument/2006/relationships/hyperlink" Target="https://www.cbp.gov/newsroom/local-media-release/yuma-sector-agents-apprehend-multiple-illegal-aliens-two-smuggling" TargetMode="External"/><Relationship Id="rId3103" Type="http://schemas.openxmlformats.org/officeDocument/2006/relationships/hyperlink" Target="https://archive.vn/pQKa5" TargetMode="External"/><Relationship Id="rId4434" Type="http://schemas.openxmlformats.org/officeDocument/2006/relationships/hyperlink" Target="https://www.cbp.gov/newsroom/local-media-release/yuma-sector-agents-apprehend-multiple-illegal-aliens-two-smuggling" TargetMode="External"/><Relationship Id="rId3139" Type="http://schemas.openxmlformats.org/officeDocument/2006/relationships/hyperlink" Target="https://www.cbp.gov/newsroom/local-media-release/sonoita-border-patrol-stops-two-smuggling-attempts" TargetMode="External"/><Relationship Id="rId3138" Type="http://schemas.openxmlformats.org/officeDocument/2006/relationships/hyperlink" Target="https://www.cbp.gov/newsroom/local-media-release/sonoita-border-patrol-stops-two-smuggling-attempts" TargetMode="External"/><Relationship Id="rId4469" Type="http://schemas.openxmlformats.org/officeDocument/2006/relationships/hyperlink" Target="https://archive.vn/wip/CrDBy" TargetMode="External"/><Relationship Id="rId4460" Type="http://schemas.openxmlformats.org/officeDocument/2006/relationships/hyperlink" Target="https://archive.vn/U1vko" TargetMode="External"/><Relationship Id="rId3131" Type="http://schemas.openxmlformats.org/officeDocument/2006/relationships/hyperlink" Target="https://www.justice.gov/usao-wdny/pr/rochester-man-accused-taking-14-yo-girl-nyc-illegally-charged-production-child" TargetMode="External"/><Relationship Id="rId4462" Type="http://schemas.openxmlformats.org/officeDocument/2006/relationships/hyperlink" Target="https://www.justice.gov/usao-ks/pr/topeka-city-employee-indicted-federal-child-porn-charges" TargetMode="External"/><Relationship Id="rId3130" Type="http://schemas.openxmlformats.org/officeDocument/2006/relationships/hyperlink" Target="https://archive.vn/eZwJp" TargetMode="External"/><Relationship Id="rId4461" Type="http://schemas.openxmlformats.org/officeDocument/2006/relationships/hyperlink" Target="https://www.justice.gov/usao-ndoh/pr/wellington-man-charged-possession-and-transportation-child-pornography" TargetMode="External"/><Relationship Id="rId3133" Type="http://schemas.openxmlformats.org/officeDocument/2006/relationships/hyperlink" Target="https://www.courtlistener.com/?q=&amp;type=r&amp;order_by=score+desc&amp;docket_number=5%3A18-cr-00381&amp;court=nynd" TargetMode="External"/><Relationship Id="rId4464" Type="http://schemas.openxmlformats.org/officeDocument/2006/relationships/hyperlink" Target="https://archive.vn/wip/8R2sS" TargetMode="External"/><Relationship Id="rId3132" Type="http://schemas.openxmlformats.org/officeDocument/2006/relationships/hyperlink" Target="https://www.justice.gov/usao-ndny/pr/liverpool-man-sentenced-20-years-second-child-pornography-conviction" TargetMode="External"/><Relationship Id="rId4463" Type="http://schemas.openxmlformats.org/officeDocument/2006/relationships/hyperlink" Target="https://www.nwitimes.com/news/update-wheeler-teacher-threatened-girls-grade-for-nude-photos-feds-say/article_11575fbc-e8e4-5b44-9925-3d91b00f92dc.html" TargetMode="External"/><Relationship Id="rId3135" Type="http://schemas.openxmlformats.org/officeDocument/2006/relationships/hyperlink" Target="https://www.justice.gov/usao-nj/pr/indian-national-arrested-and-charged-smuggling-foreign-nationals-united-states-commercial" TargetMode="External"/><Relationship Id="rId4466" Type="http://schemas.openxmlformats.org/officeDocument/2006/relationships/hyperlink" Target="https://www.ice.gov/news/releases/florida-man-federally-charged-production-child-pornography-and-enticement-minor-result" TargetMode="External"/><Relationship Id="rId3134" Type="http://schemas.openxmlformats.org/officeDocument/2006/relationships/hyperlink" Target="https://www.10tv.com/article/12-women-found-columbus-home-identified-possible-victims-human-trafficking" TargetMode="External"/><Relationship Id="rId4465" Type="http://schemas.openxmlformats.org/officeDocument/2006/relationships/hyperlink" Target="https://archive.vn/nL1GW" TargetMode="External"/><Relationship Id="rId3137" Type="http://schemas.openxmlformats.org/officeDocument/2006/relationships/hyperlink" Target="https://www.courtlistener.com/docket/8448459/united-states-v-schamach/" TargetMode="External"/><Relationship Id="rId4468" Type="http://schemas.openxmlformats.org/officeDocument/2006/relationships/hyperlink" Target="https://archive.vn/wip/bLEbv" TargetMode="External"/><Relationship Id="rId3136" Type="http://schemas.openxmlformats.org/officeDocument/2006/relationships/hyperlink" Target="https://www.justice.gov/usao-edpa/pr/bucks-county-man-detained-enticement-and-attempted-manufacture-child-pornography" TargetMode="External"/><Relationship Id="rId4467" Type="http://schemas.openxmlformats.org/officeDocument/2006/relationships/hyperlink" Target="https://www.actionnewsnow.com/content/news/Marysville-woman-arrested-on-suspicion-of-sex-trafficking-a-minor-571665241.html" TargetMode="External"/><Relationship Id="rId3128" Type="http://schemas.openxmlformats.org/officeDocument/2006/relationships/hyperlink" Target="https://www.thedailystar.com/news/local_news/former-cooperstown-teacher-sentenced-in-child-pornography-case/article_31b67e5e-5b18-5bcb-abcd-270275bb47e8.html" TargetMode="External"/><Relationship Id="rId4459" Type="http://schemas.openxmlformats.org/officeDocument/2006/relationships/hyperlink" Target="https://archive.vn/2CRtB" TargetMode="External"/><Relationship Id="rId3127" Type="http://schemas.openxmlformats.org/officeDocument/2006/relationships/hyperlink" Target="https://www.justice.gov/usao-ndin/pr/elkhart-man-indicted-possession-and-transportation-child-pornography" TargetMode="External"/><Relationship Id="rId4458" Type="http://schemas.openxmlformats.org/officeDocument/2006/relationships/hyperlink" Target="https://www.msn.com/en-us/news/world/ohio-priest-indicted-on-charges-of-child-pornography-and-juvenile-sex-trafficking-us-attorney-says/ar-BB16huSn" TargetMode="External"/><Relationship Id="rId3129" Type="http://schemas.openxmlformats.org/officeDocument/2006/relationships/hyperlink" Target="https://archive.vn/wip/pIRUH" TargetMode="External"/><Relationship Id="rId3120" Type="http://schemas.openxmlformats.org/officeDocument/2006/relationships/hyperlink" Target="http://www.surfsantamonica.com/ssm_site/the_lookout/news/News-2018/December-2018/12_05_2018_Santa_Monica_Big_Blue_Bus_Superintendent_Arrested_for_Possessing_Child_Pornography.html" TargetMode="External"/><Relationship Id="rId4451" Type="http://schemas.openxmlformats.org/officeDocument/2006/relationships/hyperlink" Target="https://www.cbp.gov/newsroom/local-media-release/yuma-sector-foils-attempted-smuggling-large-group-illegal-aliens" TargetMode="External"/><Relationship Id="rId4450" Type="http://schemas.openxmlformats.org/officeDocument/2006/relationships/hyperlink" Target="https://www.cbp.gov/newsroom/local-media-release/border-patrol-intercepts-another-sizable-human-smuggling-event" TargetMode="External"/><Relationship Id="rId3122" Type="http://schemas.openxmlformats.org/officeDocument/2006/relationships/hyperlink" Target="http://archive.fo/gQHrC" TargetMode="External"/><Relationship Id="rId4453" Type="http://schemas.openxmlformats.org/officeDocument/2006/relationships/hyperlink" Target="https://www.cbp.gov/newsroom/local-media-release/laredo-sector-border-patrol-agents-continue-halt-human-smuggling-cases" TargetMode="External"/><Relationship Id="rId3121" Type="http://schemas.openxmlformats.org/officeDocument/2006/relationships/hyperlink" Target="http://archive.fo/uH1EZ" TargetMode="External"/><Relationship Id="rId4452" Type="http://schemas.openxmlformats.org/officeDocument/2006/relationships/hyperlink" Target="https://www.cbp.gov/newsroom/local-media-release/human-smuggling-event-concealed-compartment-foiled" TargetMode="External"/><Relationship Id="rId3124" Type="http://schemas.openxmlformats.org/officeDocument/2006/relationships/hyperlink" Target="https://www.justice.gov/usao-edtn/pr/oliver-springs-man-sentenced-262-months-prison-production-and-possession-child" TargetMode="External"/><Relationship Id="rId4455" Type="http://schemas.openxmlformats.org/officeDocument/2006/relationships/hyperlink" Target="https://www.justice.gov/usao-pr/pr/united-states-attorney-s-office-indicts-6-cases-and-9-defendants" TargetMode="External"/><Relationship Id="rId3123" Type="http://schemas.openxmlformats.org/officeDocument/2006/relationships/hyperlink" Target="https://thefreethoughtproject.com/air-force-colonel-busted-fbi-child-sting/" TargetMode="External"/><Relationship Id="rId4454" Type="http://schemas.openxmlformats.org/officeDocument/2006/relationships/hyperlink" Target="https://www.justice.gov/usao-sdtx/pr/registered-sex-offender-heads-prison-after-distributing-child-pornography" TargetMode="External"/><Relationship Id="rId3126" Type="http://schemas.openxmlformats.org/officeDocument/2006/relationships/hyperlink" Target="https://www.justice.gov/usao-edar/pr/tennessee-man-sentenced-23-years-prison-production-child-pornography-involving-arkansas" TargetMode="External"/><Relationship Id="rId4457" Type="http://schemas.openxmlformats.org/officeDocument/2006/relationships/hyperlink" Target="https://www.justice.gov/usao-edky/pr/bourbon-county-man-pleads-guilty-producing-child-pornography" TargetMode="External"/><Relationship Id="rId3125" Type="http://schemas.openxmlformats.org/officeDocument/2006/relationships/hyperlink" Target="https://www.courtlistener.com/docket/8363095/united-states-v-wilson-rlj2/" TargetMode="External"/><Relationship Id="rId4456" Type="http://schemas.openxmlformats.org/officeDocument/2006/relationships/hyperlink" Target="https://www.justice.gov/usao-ndtx/pr/north-texas-child-predator-sentenced-50-years-prison" TargetMode="External"/><Relationship Id="rId1378" Type="http://schemas.openxmlformats.org/officeDocument/2006/relationships/hyperlink" Target="https://www.dailymail.co.uk/news/article-7090815/Pedophile-woman-live-streamed-sexual-abuse-four-year-old-boy-blamed-boyfriend.html" TargetMode="External"/><Relationship Id="rId4404" Type="http://schemas.openxmlformats.org/officeDocument/2006/relationships/hyperlink" Target="https://www.justice.gov/usao-wdny/pr/florida-man-alleged-have-terrorized-underage-victim-online-indicted-child-pornography" TargetMode="External"/><Relationship Id="rId1379" Type="http://schemas.openxmlformats.org/officeDocument/2006/relationships/hyperlink" Target="https://archive.vn/lfOEt" TargetMode="External"/><Relationship Id="rId4403" Type="http://schemas.openxmlformats.org/officeDocument/2006/relationships/hyperlink" Target="https://www.justice.gov/usao-ma/pr/springfield-man-charged-child-pornography-offenses" TargetMode="External"/><Relationship Id="rId4406" Type="http://schemas.openxmlformats.org/officeDocument/2006/relationships/hyperlink" Target="https://www.justice.gov/usao-edva/pr/man-arrested-sextortion-scheme-involving-minor-children" TargetMode="External"/><Relationship Id="rId4405" Type="http://schemas.openxmlformats.org/officeDocument/2006/relationships/hyperlink" Target="https://www.justice.gov/usao-ndfl/pr/registered-sex-offender-pensacola-arrested-new-federal-child-pornography-offenses" TargetMode="External"/><Relationship Id="rId4408" Type="http://schemas.openxmlformats.org/officeDocument/2006/relationships/hyperlink" Target="https://www.cbp.gov/newsroom/local-media-release/astute-agents-halt-smugglers-checkpoint-rio-grande-valley" TargetMode="External"/><Relationship Id="rId4407" Type="http://schemas.openxmlformats.org/officeDocument/2006/relationships/hyperlink" Target="https://www.justice.gov/usao-mdfl/pr/hudson-man-indicted-production-receipt-and-possession-child-pornography" TargetMode="External"/><Relationship Id="rId4409" Type="http://schemas.openxmlformats.org/officeDocument/2006/relationships/hyperlink" Target="https://www.justice.gov/usao-ndny/pr/ulster-county-man-charged-distributing-and-possessing-child-pornography" TargetMode="External"/><Relationship Id="rId789" Type="http://schemas.openxmlformats.org/officeDocument/2006/relationships/hyperlink" Target="https://www.krmsradio.com/breaking-news-former-deputy-leonard-wilson-turns-self-in-to-authorities/" TargetMode="External"/><Relationship Id="rId788" Type="http://schemas.openxmlformats.org/officeDocument/2006/relationships/hyperlink" Target="https://www.justice.gov/usao-wdmo/pr/former-camden-county-deputy-indicted-child-pornography" TargetMode="External"/><Relationship Id="rId787" Type="http://schemas.openxmlformats.org/officeDocument/2006/relationships/hyperlink" Target="https://www.cbp.gov/newsroom/local-media-release/border-patrol-arrests-multiple-suspects-alien-smuggling-scheme" TargetMode="External"/><Relationship Id="rId786" Type="http://schemas.openxmlformats.org/officeDocument/2006/relationships/hyperlink" Target="https://www.justice.gov/usao-mn/pr/elk-river-man-sentenced-17-years-prison-child-pornography" TargetMode="External"/><Relationship Id="rId781" Type="http://schemas.openxmlformats.org/officeDocument/2006/relationships/hyperlink" Target="https://www.courtlistener.com/docket/13541254/united-states-v-hall/" TargetMode="External"/><Relationship Id="rId1370" Type="http://schemas.openxmlformats.org/officeDocument/2006/relationships/hyperlink" Target="https://www.mypalmbeachpost.com/news/crime--law/new-two-palm-beach-county-men-accused-sex-trafficking-involving-minor/qwFURSzytfG6yALCCQi5AL/" TargetMode="External"/><Relationship Id="rId780" Type="http://schemas.openxmlformats.org/officeDocument/2006/relationships/hyperlink" Target="https://www.justice.gov/usao-sdia/pr/des-moines-child-pornographer-and-sex-abuser-sentenced-40-years-prison" TargetMode="External"/><Relationship Id="rId1371" Type="http://schemas.openxmlformats.org/officeDocument/2006/relationships/hyperlink" Target="https://www.courtlistener.com/?q=&amp;type=r&amp;order_by=score+desc&amp;docket_number=9%3A18-cr-80062&amp;court=flsd" TargetMode="External"/><Relationship Id="rId1372" Type="http://schemas.openxmlformats.org/officeDocument/2006/relationships/hyperlink" Target="https://www.justice.gov/usao-sdtx/pr/local-man-sentenced-multiple-child-exploitation-charges" TargetMode="External"/><Relationship Id="rId1373" Type="http://schemas.openxmlformats.org/officeDocument/2006/relationships/hyperlink" Target="http://cw39.com/2018/03/21/channelview-man-convicted-of-multiple-charges-after-caught-with-thousands-of-child-pornographic-images/" TargetMode="External"/><Relationship Id="rId785" Type="http://schemas.openxmlformats.org/officeDocument/2006/relationships/hyperlink" Target="https://www.courtlistener.com/docket/7002702/united-states-v-coburn/" TargetMode="External"/><Relationship Id="rId1374" Type="http://schemas.openxmlformats.org/officeDocument/2006/relationships/hyperlink" Target="https://www.courtlistener.com/docket/6822138/united-states-v-banda/" TargetMode="External"/><Relationship Id="rId4400" Type="http://schemas.openxmlformats.org/officeDocument/2006/relationships/hyperlink" Target="https://www.justice.gov/usao-wdmo/pr/former-teacher-pleads-guilty-sexually-exploiting-student" TargetMode="External"/><Relationship Id="rId784" Type="http://schemas.openxmlformats.org/officeDocument/2006/relationships/hyperlink" Target="https://www.justice.gov/usao-wdnc/pr/burke-county-man-sentenced-20-years-transporting-child-pornography" TargetMode="External"/><Relationship Id="rId1375" Type="http://schemas.openxmlformats.org/officeDocument/2006/relationships/hyperlink" Target="https://www.dailymail.co.uk/news/article-7090815/Pedophile-woman-live-streamed-sexual-abuse-four-year-old-boy-blamed-boyfriend.html" TargetMode="External"/><Relationship Id="rId783" Type="http://schemas.openxmlformats.org/officeDocument/2006/relationships/hyperlink" Target="https://www.courtlistener.com/docket/6715136/united-states-v-goss/" TargetMode="External"/><Relationship Id="rId1376" Type="http://schemas.openxmlformats.org/officeDocument/2006/relationships/hyperlink" Target="https://archive.vn/lfOEt" TargetMode="External"/><Relationship Id="rId4402" Type="http://schemas.openxmlformats.org/officeDocument/2006/relationships/hyperlink" Target="https://www.justice.gov/usao-sdny/pr/us-attorney-charges-middletown-man-sexual-exploitation-minors" TargetMode="External"/><Relationship Id="rId782" Type="http://schemas.openxmlformats.org/officeDocument/2006/relationships/hyperlink" Target="https://www.justice.gov/usao-wdnc/pr/buncombe-county-man-sentenced-28-years-producing-child-pornography" TargetMode="External"/><Relationship Id="rId1377" Type="http://schemas.openxmlformats.org/officeDocument/2006/relationships/hyperlink" Target="https://archive.vn/pgdqw" TargetMode="External"/><Relationship Id="rId4401" Type="http://schemas.openxmlformats.org/officeDocument/2006/relationships/hyperlink" Target="https://www.fbi.gov/contact-us/field-offices/sanjuan/news/press-releases/arrest-of-luis-marquez-diaz" TargetMode="External"/><Relationship Id="rId1367" Type="http://schemas.openxmlformats.org/officeDocument/2006/relationships/hyperlink" Target="https://www.justice.gov/usao-mdpa/pr/kutztown-man-charged-sex-trafficking-minor-and-drug-trafficking" TargetMode="External"/><Relationship Id="rId2698" Type="http://schemas.openxmlformats.org/officeDocument/2006/relationships/hyperlink" Target="https://www.courtlistener.com/docket/7871442/united-states-v-sullivan/" TargetMode="External"/><Relationship Id="rId1368" Type="http://schemas.openxmlformats.org/officeDocument/2006/relationships/hyperlink" Target="https://www.courtlistener.com/docket/7803880/united-states-v-johnson/" TargetMode="External"/><Relationship Id="rId2699" Type="http://schemas.openxmlformats.org/officeDocument/2006/relationships/hyperlink" Target="https://www.justice.gov/usao-ndin/pr/south-bend-indiana-man-sentenced-4" TargetMode="External"/><Relationship Id="rId1369" Type="http://schemas.openxmlformats.org/officeDocument/2006/relationships/hyperlink" Target="https://www.justice.gov/usao-sdfl/pr/two-men-sentenced-18-and-19-year-prison-terms-conspiracy-commit-sex-trafficking-minor" TargetMode="External"/><Relationship Id="rId778" Type="http://schemas.openxmlformats.org/officeDocument/2006/relationships/hyperlink" Target="https://www.justice.gov/usao-mdtn/pr/two-middle-tennessee-men-sentenced-federal-prison-child-exploitation-crimes" TargetMode="External"/><Relationship Id="rId777" Type="http://schemas.openxmlformats.org/officeDocument/2006/relationships/hyperlink" Target="https://www.courtlistener.com/docket/7151901/united-states-v-malotte-tv2/" TargetMode="External"/><Relationship Id="rId776" Type="http://schemas.openxmlformats.org/officeDocument/2006/relationships/hyperlink" Target="https://www.justice.gov/usao-edtn/pr/thomas-andrew-malotte-sentenced-130-months-federal-prison-posession-child-pornography" TargetMode="External"/><Relationship Id="rId775" Type="http://schemas.openxmlformats.org/officeDocument/2006/relationships/hyperlink" Target="https://www.courtlistener.com/docket/7883754/united-states-v-kendall/" TargetMode="External"/><Relationship Id="rId779" Type="http://schemas.openxmlformats.org/officeDocument/2006/relationships/hyperlink" Target="https://www.courtlistener.com/docket/7594599/united-states-v-cannamela/" TargetMode="External"/><Relationship Id="rId770" Type="http://schemas.openxmlformats.org/officeDocument/2006/relationships/hyperlink" Target="https://www.justice.gov/usao-me/pr/skowhegan-man-pleads-guilty-receipt-and-possession-child-pornography" TargetMode="External"/><Relationship Id="rId2690" Type="http://schemas.openxmlformats.org/officeDocument/2006/relationships/hyperlink" Target="https://www.star-telegram.com/news/local/crime/article218293850.html" TargetMode="External"/><Relationship Id="rId1360" Type="http://schemas.openxmlformats.org/officeDocument/2006/relationships/hyperlink" Target="https://www.elpasotimes.com/story/news/crime/2018/03/26/dreamers-arrested-smuggling-violent-crime-daca-immigration-border-human-trafficking-assault-dwi/459153002/" TargetMode="External"/><Relationship Id="rId2691" Type="http://schemas.openxmlformats.org/officeDocument/2006/relationships/hyperlink" Target="https://www.cbp.gov/newsroom/local-media-release/illegal-aliens-found-hiding-windjammer" TargetMode="External"/><Relationship Id="rId1361" Type="http://schemas.openxmlformats.org/officeDocument/2006/relationships/hyperlink" Target="https://www.justice.gov/usao-edva/pr/repeat-offender-sentenced-prison-child-pornography" TargetMode="External"/><Relationship Id="rId2692" Type="http://schemas.openxmlformats.org/officeDocument/2006/relationships/hyperlink" Target="https://www.dailywire.com/news/35895/president-california-childrens-charity-arrested-hank-berrien" TargetMode="External"/><Relationship Id="rId1362" Type="http://schemas.openxmlformats.org/officeDocument/2006/relationships/hyperlink" Target="https://www.courtlistener.com/?q=&amp;type=r&amp;order_by=score+desc&amp;docket_number=1%3A18-cr-00414&amp;court=vaed" TargetMode="External"/><Relationship Id="rId2693" Type="http://schemas.openxmlformats.org/officeDocument/2006/relationships/hyperlink" Target="http://www.wlbt.com/2018/09/13/mbi-makes-human-trafficking-arrest/" TargetMode="External"/><Relationship Id="rId774" Type="http://schemas.openxmlformats.org/officeDocument/2006/relationships/hyperlink" Target="https://www.justice.gov/usao-mt/pr/deer-lodge-man-sentenced-child-pornography-case" TargetMode="External"/><Relationship Id="rId1363" Type="http://schemas.openxmlformats.org/officeDocument/2006/relationships/hyperlink" Target="https://www.courtlistener.com/docket/6374693/united-states-v-varble/" TargetMode="External"/><Relationship Id="rId2694" Type="http://schemas.openxmlformats.org/officeDocument/2006/relationships/hyperlink" Target="http://www.telegram.com/news/20180913/worcester-sex-trafficking-case-genaro-cabeza-held-without-bail-50k-bail-set-for-richard-saya" TargetMode="External"/><Relationship Id="rId773" Type="http://schemas.openxmlformats.org/officeDocument/2006/relationships/hyperlink" Target="https://www.courtlistener.com/docket/6947298/united-states-v-boynton/" TargetMode="External"/><Relationship Id="rId1364" Type="http://schemas.openxmlformats.org/officeDocument/2006/relationships/hyperlink" Target="https://www.justice.gov/usao-ndoh/pr/youngstown-man-charged-sharing-images-young-children-being-sexually-assaulted" TargetMode="External"/><Relationship Id="rId2695" Type="http://schemas.openxmlformats.org/officeDocument/2006/relationships/hyperlink" Target="https://abc7ny.com/7-nypd-officers-due-in-court-accused-in-prostitution-ring/4224928/" TargetMode="External"/><Relationship Id="rId772" Type="http://schemas.openxmlformats.org/officeDocument/2006/relationships/hyperlink" Target="https://www.justice.gov/usao-wdpa/pr/pittsburgh-man-sentenced-5-years-prison-possessing-and-distributing-child-pornography" TargetMode="External"/><Relationship Id="rId1365" Type="http://schemas.openxmlformats.org/officeDocument/2006/relationships/hyperlink" Target="https://www.justice.gov/usao-ndwv/pr/hancock-county-man-admits-child-pornography-charge" TargetMode="External"/><Relationship Id="rId2696" Type="http://schemas.openxmlformats.org/officeDocument/2006/relationships/hyperlink" Target="https://www.cbp.gov/newsroom/local-media-release/another-alien-smuggler-arrested-during-operation-blazing-sands" TargetMode="External"/><Relationship Id="rId771" Type="http://schemas.openxmlformats.org/officeDocument/2006/relationships/hyperlink" Target="https://www.centralmaine.com/2018/10/26/former-skowhegan-planning-board-member-pleads-guilty-to-child-porn-charges/" TargetMode="External"/><Relationship Id="rId1366" Type="http://schemas.openxmlformats.org/officeDocument/2006/relationships/hyperlink" Target="https://www.courtlistener.com/docket/6501462/united-states-v-dziatkowicz/" TargetMode="External"/><Relationship Id="rId2697" Type="http://schemas.openxmlformats.org/officeDocument/2006/relationships/hyperlink" Target="https://www.justice.gov/usao-edmo/pr/st-louis-county-man-sentenced-10-years-possession-child-pornography" TargetMode="External"/><Relationship Id="rId4426" Type="http://schemas.openxmlformats.org/officeDocument/2006/relationships/hyperlink" Target="https://www.delcotimes.com/news/daycare-worker-busted-for-child-pornography/article_75de0c8a-b280-11ea-b517-671db80e321e.html" TargetMode="External"/><Relationship Id="rId4425" Type="http://schemas.openxmlformats.org/officeDocument/2006/relationships/hyperlink" Target="https://www.justice.gov/usao-edpa/pr/philadelphia-woman-who-worked-children-multiple-locations-arrested-distributing-child" TargetMode="External"/><Relationship Id="rId4428" Type="http://schemas.openxmlformats.org/officeDocument/2006/relationships/hyperlink" Target="https://www.cbp.gov/newsroom/local-media-release/border-patrol-foils-several-human-smuggling-attempts" TargetMode="External"/><Relationship Id="rId4427" Type="http://schemas.openxmlformats.org/officeDocument/2006/relationships/hyperlink" Target="http://archive.vn/nAClM" TargetMode="External"/><Relationship Id="rId4429" Type="http://schemas.openxmlformats.org/officeDocument/2006/relationships/hyperlink" Target="https://www.cbp.gov/newsroom/local-media-release/border-patrol-foils-several-human-smuggling-attempts" TargetMode="External"/><Relationship Id="rId1390" Type="http://schemas.openxmlformats.org/officeDocument/2006/relationships/hyperlink" Target="https://www.courtlistener.com/docket/14778970/united-states-v-isaac/" TargetMode="External"/><Relationship Id="rId1391" Type="http://schemas.openxmlformats.org/officeDocument/2006/relationships/hyperlink" Target="https://www.justice.gov/usao-ndny/pr/massena-man-sentenced-30-years-child-pornography-offenses" TargetMode="External"/><Relationship Id="rId1392" Type="http://schemas.openxmlformats.org/officeDocument/2006/relationships/hyperlink" Target="https://www.courtlistener.com/?q=&amp;type=r&amp;order_by=score+desc&amp;docket_number=8%3A18-cr-00064&amp;court=nynd" TargetMode="External"/><Relationship Id="rId1393" Type="http://schemas.openxmlformats.org/officeDocument/2006/relationships/hyperlink" Target="https://www.justice.gov/usao-ma/pr/virginia-couple-pleads-guilty-operating-interstate-prostitution-ring" TargetMode="External"/><Relationship Id="rId1394" Type="http://schemas.openxmlformats.org/officeDocument/2006/relationships/hyperlink" Target="https://www.courtlistener.com/docket/8214865/united-states-v-kim/" TargetMode="External"/><Relationship Id="rId4420" Type="http://schemas.openxmlformats.org/officeDocument/2006/relationships/hyperlink" Target="https://www.justice.gov/usao-edca/pr/two-stockton-residents-charged-sexual-exploitation-minor" TargetMode="External"/><Relationship Id="rId1395" Type="http://schemas.openxmlformats.org/officeDocument/2006/relationships/hyperlink" Target="https://www.justice.gov/usao-wdar/pr/gentry-man-sentenced-14-years-federal-prison-distributing-child-pornography-online" TargetMode="External"/><Relationship Id="rId1396" Type="http://schemas.openxmlformats.org/officeDocument/2006/relationships/hyperlink" Target="https://www.courtlistener.com/docket/7097321/united-states-v-steward/" TargetMode="External"/><Relationship Id="rId4422" Type="http://schemas.openxmlformats.org/officeDocument/2006/relationships/hyperlink" Target="https://www.justice.gov/usao-cdil/pr/pekin-ill-couple-indicted-charges-child-sexual-exploitation" TargetMode="External"/><Relationship Id="rId1397" Type="http://schemas.openxmlformats.org/officeDocument/2006/relationships/hyperlink" Target="https://www.justice.gov/usao-wdpa/pr/tulsa-couple-indicted-child-sex-trafficking-charges" TargetMode="External"/><Relationship Id="rId4421" Type="http://schemas.openxmlformats.org/officeDocument/2006/relationships/hyperlink" Target="https://www.justice.gov/usao-edca/pr/two-stockton-residents-charged-sexual-exploitation-minor" TargetMode="External"/><Relationship Id="rId1398" Type="http://schemas.openxmlformats.org/officeDocument/2006/relationships/hyperlink" Target="https://www.courtlistener.com/?q=&amp;type=r&amp;order_by=score+desc&amp;docket_number=2%3A18-cr-00141&amp;court=pawd" TargetMode="External"/><Relationship Id="rId4424" Type="http://schemas.openxmlformats.org/officeDocument/2006/relationships/hyperlink" Target="https://www.cbp.gov/newsroom/local-media-release/border-patrol-foils-several-human-smuggling-attempts" TargetMode="External"/><Relationship Id="rId1399" Type="http://schemas.openxmlformats.org/officeDocument/2006/relationships/hyperlink" Target="https://www.justice.gov/usao-nv/pr/sparks-resident-sentenced-over-12-years-prison-coercion-and-enticement-child" TargetMode="External"/><Relationship Id="rId4423" Type="http://schemas.openxmlformats.org/officeDocument/2006/relationships/hyperlink" Target="https://www.justice.gov/usao-cdil/pr/pekin-ill-couple-indicted-charges-child-sexual-exploitation" TargetMode="External"/><Relationship Id="rId1389" Type="http://schemas.openxmlformats.org/officeDocument/2006/relationships/hyperlink" Target="https://www.justice.gov/usao-sdil/pr/distributing-and-receiving-child-pornography-leads-federal-prison-time-st-clair-county" TargetMode="External"/><Relationship Id="rId4415" Type="http://schemas.openxmlformats.org/officeDocument/2006/relationships/hyperlink" Target="https://www.onlineathens.com/story/news/2020/12/16/former-uga-political-science-professor-pleads-guilty-child-porn-case/3921574001/" TargetMode="External"/><Relationship Id="rId4414" Type="http://schemas.openxmlformats.org/officeDocument/2006/relationships/hyperlink" Target="https://www.justice.gov/usao-mdga/pr/former-uga-professor-pleads-guilty-project-safe-childhood-investigation" TargetMode="External"/><Relationship Id="rId4417" Type="http://schemas.openxmlformats.org/officeDocument/2006/relationships/hyperlink" Target="https://archive.vn/7Q0f5" TargetMode="External"/><Relationship Id="rId4416" Type="http://schemas.openxmlformats.org/officeDocument/2006/relationships/hyperlink" Target="https://archive.vn/hxGqG" TargetMode="External"/><Relationship Id="rId4419" Type="http://schemas.openxmlformats.org/officeDocument/2006/relationships/hyperlink" Target="https://www.justice.gov/usao-edca/pr/south-lake-tahoe-man-charged-distribution-child-pornography" TargetMode="External"/><Relationship Id="rId4418" Type="http://schemas.openxmlformats.org/officeDocument/2006/relationships/hyperlink" Target="https://www.cbp.gov/newsroom/local-media-release/yuma-bp-collaborates-cabeza-prieta-wildlife-officer-thwart-human-0" TargetMode="External"/><Relationship Id="rId799" Type="http://schemas.openxmlformats.org/officeDocument/2006/relationships/hyperlink" Target="https://www.justice.gov/usao-vt/pr/new-haven-man-charged-distribution-child-pornography-and-assault-federal-officer" TargetMode="External"/><Relationship Id="rId798" Type="http://schemas.openxmlformats.org/officeDocument/2006/relationships/hyperlink" Target="http://www.lubbockonline.com/crime-and-courts/news/local-news/2017-11-05/lubbock-man-arrested-federal-child-pornography-charge" TargetMode="External"/><Relationship Id="rId797" Type="http://schemas.openxmlformats.org/officeDocument/2006/relationships/hyperlink" Target="https://www.cbp.gov/newsroom/local-media-release/border-patrol-arrests-5-people-human-smuggling" TargetMode="External"/><Relationship Id="rId1380" Type="http://schemas.openxmlformats.org/officeDocument/2006/relationships/hyperlink" Target="https://archive.vn/C7xDT" TargetMode="External"/><Relationship Id="rId792" Type="http://schemas.openxmlformats.org/officeDocument/2006/relationships/hyperlink" Target="https://www.justice.gov/usao-cdil/pr/trial-scheduled-tolono-man-indicted-charges-sexual-exploitation-child-possession-child" TargetMode="External"/><Relationship Id="rId1381" Type="http://schemas.openxmlformats.org/officeDocument/2006/relationships/hyperlink" Target="https://www.justice.gov/opa/pr/more-2300-suspected-online-child-sex-offenders-arrested-during-operation-broken-heart" TargetMode="External"/><Relationship Id="rId791" Type="http://schemas.openxmlformats.org/officeDocument/2006/relationships/hyperlink" Target="https://www.fbi.gov/contact-us/field-offices/cleveland/news/press-releases/norwalk-man-sentenced-to-20-years-in-prison-for-sex-trafficking-after-fraudulently-inducing-teen-girls-into-engaging-in-sexually-explicit-conduct" TargetMode="External"/><Relationship Id="rId1382" Type="http://schemas.openxmlformats.org/officeDocument/2006/relationships/hyperlink" Target="https://www.justice.gov/usao-ndal/pr/registered-sex-offender-sentenced-distribution-child-pornography" TargetMode="External"/><Relationship Id="rId790" Type="http://schemas.openxmlformats.org/officeDocument/2006/relationships/hyperlink" Target="https://www.justice.gov/usao-ndoh/pr/norwalk-man-indicted-sex-trafficking-sexual-exploitation-minors-and-fraud" TargetMode="External"/><Relationship Id="rId1383" Type="http://schemas.openxmlformats.org/officeDocument/2006/relationships/hyperlink" Target="https://www.justice.gov/usao-wdok/pr/oklahoma-city-pair-charged-child-sex-trafficking" TargetMode="External"/><Relationship Id="rId1384" Type="http://schemas.openxmlformats.org/officeDocument/2006/relationships/hyperlink" Target="http://www.edmondsun.com/news/prostitution-ring-targets-santa-fe-students/article_e07be414-23f2-11e8-9b32-ffcbb9a0f9aa.html" TargetMode="External"/><Relationship Id="rId796" Type="http://schemas.openxmlformats.org/officeDocument/2006/relationships/hyperlink" Target="https://www.courtlistener.com/docket/7618052/united-states-v-kaelble/" TargetMode="External"/><Relationship Id="rId1385" Type="http://schemas.openxmlformats.org/officeDocument/2006/relationships/hyperlink" Target="https://www.justice.gov/usao-wdwi/pr/douglas-county-man-sentenced-84-months-child-pornography-charge" TargetMode="External"/><Relationship Id="rId4411" Type="http://schemas.openxmlformats.org/officeDocument/2006/relationships/hyperlink" Target="https://www.justice.gov/usao-wdpa/pr/erie-man-facing-charges-relating-sexual-exploitation-minors" TargetMode="External"/><Relationship Id="rId795" Type="http://schemas.openxmlformats.org/officeDocument/2006/relationships/hyperlink" Target="https://www.justice.gov/usao-mn/pr/registered-sex-offender-sentenced-17-years-prison-child-pornography-0" TargetMode="External"/><Relationship Id="rId1386" Type="http://schemas.openxmlformats.org/officeDocument/2006/relationships/hyperlink" Target="http://www.readingeagle.com/ap/article/ex-monroe-judge-pleads-guilty-in-prostitution-investigation" TargetMode="External"/><Relationship Id="rId4410" Type="http://schemas.openxmlformats.org/officeDocument/2006/relationships/hyperlink" Target="https://www.justice.gov/usao-wdpa/pr/edinboro-pa-man-indicted-project-safe-childhood-case" TargetMode="External"/><Relationship Id="rId794" Type="http://schemas.openxmlformats.org/officeDocument/2006/relationships/hyperlink" Target="https://www.courtlistener.com/docket/6672558/united-states-v-lange/" TargetMode="External"/><Relationship Id="rId1387" Type="http://schemas.openxmlformats.org/officeDocument/2006/relationships/hyperlink" Target="https://www.justice.gov/usao-edky/pr/ft-mitchell-man-sentenced-97-months-receipt-child-pornography" TargetMode="External"/><Relationship Id="rId4413" Type="http://schemas.openxmlformats.org/officeDocument/2006/relationships/hyperlink" Target="https://www.cbp.gov/newsroom/local-media-release/usbp-foils-elaborate-human-smuggling-plot" TargetMode="External"/><Relationship Id="rId793" Type="http://schemas.openxmlformats.org/officeDocument/2006/relationships/hyperlink" Target="https://www.justice.gov/usao-cdil/pr/champaign-county-man-serve-45-years-prison-sexual-exploitation-children" TargetMode="External"/><Relationship Id="rId1388" Type="http://schemas.openxmlformats.org/officeDocument/2006/relationships/hyperlink" Target="https://www.justice.gov/usao-md/pr/baltimore-man-pleads-guilty-enticing-minor-produce-child-pornography" TargetMode="External"/><Relationship Id="rId4412" Type="http://schemas.openxmlformats.org/officeDocument/2006/relationships/hyperlink" Target="https://www.cbp.gov/newsroom/local-media-release/yuma-sector-agents-arrest-driver-and-two-illegal-aliens-attempting" TargetMode="External"/><Relationship Id="rId3191" Type="http://schemas.openxmlformats.org/officeDocument/2006/relationships/hyperlink" Target="http://archive.fo/2ig8o" TargetMode="External"/><Relationship Id="rId3190" Type="http://schemas.openxmlformats.org/officeDocument/2006/relationships/hyperlink" Target="https://southsidedaily.com/local-news/2019/03/21/this-virginia-beach-man-had-thousands-of-photos-and-videos-of-child-porn/" TargetMode="External"/><Relationship Id="rId3193" Type="http://schemas.openxmlformats.org/officeDocument/2006/relationships/hyperlink" Target="https://www.justice.gov/usao-wy/pr/teamwork-between-state-and-federal-agents-nets-substantial-sentneces-exploitation" TargetMode="External"/><Relationship Id="rId3192" Type="http://schemas.openxmlformats.org/officeDocument/2006/relationships/hyperlink" Target="http://archive.fo/PtBVI" TargetMode="External"/><Relationship Id="rId3195" Type="http://schemas.openxmlformats.org/officeDocument/2006/relationships/hyperlink" Target="https://www.justice.gov/usao-ndok/pr/federal-grand-jury-criminal-indictments-announced-41" TargetMode="External"/><Relationship Id="rId3194" Type="http://schemas.openxmlformats.org/officeDocument/2006/relationships/hyperlink" Target="https://www.courtlistener.com/docket/14783026/united-states-v-cotter/" TargetMode="External"/><Relationship Id="rId3197" Type="http://schemas.openxmlformats.org/officeDocument/2006/relationships/hyperlink" Target="https://www.justice.gov/usao-ednc/pr/united-states-attorney-s-office-hard-work-during-government-shutdown" TargetMode="External"/><Relationship Id="rId3196" Type="http://schemas.openxmlformats.org/officeDocument/2006/relationships/hyperlink" Target="https://www.justice.gov/usao-ndok/pr/federal-grand-jury-criminal-indictments-announced-41" TargetMode="External"/><Relationship Id="rId3199" Type="http://schemas.openxmlformats.org/officeDocument/2006/relationships/hyperlink" Target="https://www.justice.gov/usao-ednc/pr/united-states-attorney-s-office-hard-work-during-government-shutdown" TargetMode="External"/><Relationship Id="rId3198" Type="http://schemas.openxmlformats.org/officeDocument/2006/relationships/hyperlink" Target="https://www.courtlistener.com/?q=&amp;type=r&amp;order_by=score+desc&amp;docket_number=2%3A19-cr-00001&amp;court=nced" TargetMode="External"/><Relationship Id="rId3180" Type="http://schemas.openxmlformats.org/officeDocument/2006/relationships/hyperlink" Target="https://www.courtlistener.com/docket/14653196/united-states-v-bebris/" TargetMode="External"/><Relationship Id="rId3182" Type="http://schemas.openxmlformats.org/officeDocument/2006/relationships/hyperlink" Target="https://archive.vn/XiAIn" TargetMode="External"/><Relationship Id="rId3181" Type="http://schemas.openxmlformats.org/officeDocument/2006/relationships/hyperlink" Target="https://archive.vn/kQA6l" TargetMode="External"/><Relationship Id="rId3184" Type="http://schemas.openxmlformats.org/officeDocument/2006/relationships/hyperlink" Target="https://www.justice.gov/usao-sdtx/pr/houston-man-heads-prison-two-child-porn-convictions" TargetMode="External"/><Relationship Id="rId3183" Type="http://schemas.openxmlformats.org/officeDocument/2006/relationships/hyperlink" Target="https://www.justice.gov/usao-mdfl/pr/brevard-county-man-sentenced-eighteen-years-federal-prison-enticement-minor" TargetMode="External"/><Relationship Id="rId3186" Type="http://schemas.openxmlformats.org/officeDocument/2006/relationships/hyperlink" Target="https://www.justice.gov/usao-wdar/pr/hot-springs-man-sentenced-over-8-years-federal-prison-child-pornography-offense" TargetMode="External"/><Relationship Id="rId3185" Type="http://schemas.openxmlformats.org/officeDocument/2006/relationships/hyperlink" Target="https://www.courtlistener.com/docket/8412810/united-states-v-alexander/" TargetMode="External"/><Relationship Id="rId3188" Type="http://schemas.openxmlformats.org/officeDocument/2006/relationships/hyperlink" Target="https://www.ice.gov/news/releases/sex-trafficker-sentenced-more-15-years-after-joint-ice-federal-and-local-investigation" TargetMode="External"/><Relationship Id="rId3187" Type="http://schemas.openxmlformats.org/officeDocument/2006/relationships/hyperlink" Target="https://www.justice.gov/usao-mdpa/pr/luzerne-county-man-was-sentenced-120-months-imprisonment-sexual-exploitation-children" TargetMode="External"/><Relationship Id="rId3189" Type="http://schemas.openxmlformats.org/officeDocument/2006/relationships/hyperlink" Target="https://www.justice.gov/usao-edva/pr/man-pleads-guilty-production-child-pornography-0" TargetMode="External"/><Relationship Id="rId4480" Type="http://schemas.openxmlformats.org/officeDocument/2006/relationships/hyperlink" Target="https://kyma.com/news/top-stories/2020/07/06/border-patrol-arrests-convicted-sex-offender-accused-of-human-smuggling/" TargetMode="External"/><Relationship Id="rId3151" Type="http://schemas.openxmlformats.org/officeDocument/2006/relationships/hyperlink" Target="https://www.fbi.gov/contact-us/field-offices/sanjuan/news/press-releases/federal-charges-for-possession-and-distribution-of-child-pornography-against-julian-hernandez-gonzalez" TargetMode="External"/><Relationship Id="rId4482" Type="http://schemas.openxmlformats.org/officeDocument/2006/relationships/hyperlink" Target="https://archive.vn/FGkYa" TargetMode="External"/><Relationship Id="rId3150" Type="http://schemas.openxmlformats.org/officeDocument/2006/relationships/hyperlink" Target="https://www.justice.gov/usao-ndca/pr/bay-area-man-sentenced-six-years-prison-attempted-receipt-child-pornography" TargetMode="External"/><Relationship Id="rId4481" Type="http://schemas.openxmlformats.org/officeDocument/2006/relationships/hyperlink" Target="https://archive.vn/h8kAc" TargetMode="External"/><Relationship Id="rId3153" Type="http://schemas.openxmlformats.org/officeDocument/2006/relationships/hyperlink" Target="https://www.fox10tv.com/news/mobile-teen-facing-multiple-sex-abuse-charges-in-saraland-indicted-in-federal-court/article_bf1f83dc-28b2-11e9-b5f2-8742215422d7.html" TargetMode="External"/><Relationship Id="rId4484" Type="http://schemas.openxmlformats.org/officeDocument/2006/relationships/hyperlink" Target="https://www.justice.gov/usao-wdpa/pr/altoona-man-indicted-receiving-and-possessing-images-and-videos-showing-sexual" TargetMode="External"/><Relationship Id="rId3152" Type="http://schemas.openxmlformats.org/officeDocument/2006/relationships/hyperlink" Target="http://dpsweb.dps.louisiana.gov/lspnewsr.nsf/db14d4e0632f509686256c76005182da/5384b3110721d4d3862583690076851b?OpenDocument" TargetMode="External"/><Relationship Id="rId4483" Type="http://schemas.openxmlformats.org/officeDocument/2006/relationships/hyperlink" Target="https://www.justice.gov/usao-edwi/pr/15-year-prison-sentence-indiana-man-who-travelled-wisconsin-meet-child-sex-and" TargetMode="External"/><Relationship Id="rId3155" Type="http://schemas.openxmlformats.org/officeDocument/2006/relationships/hyperlink" Target="https://archive.vn/wip/yMbeZ" TargetMode="External"/><Relationship Id="rId4486" Type="http://schemas.openxmlformats.org/officeDocument/2006/relationships/hyperlink" Target="https://www.cbp.gov/newsroom/national-media-release/extra-baggage-leads-failed-human-smuggling-attempt" TargetMode="External"/><Relationship Id="rId3154" Type="http://schemas.openxmlformats.org/officeDocument/2006/relationships/hyperlink" Target="https://archive.vn/wip/lXv2j" TargetMode="External"/><Relationship Id="rId4485" Type="http://schemas.openxmlformats.org/officeDocument/2006/relationships/hyperlink" Target="https://www.cbp.gov/newsroom/local-media-release/teens-arrested-border-patrol-attempt-smuggle-23-aliens-semi-truck" TargetMode="External"/><Relationship Id="rId3157" Type="http://schemas.openxmlformats.org/officeDocument/2006/relationships/hyperlink" Target="https://archive.vn/wip/l826t" TargetMode="External"/><Relationship Id="rId4488" Type="http://schemas.openxmlformats.org/officeDocument/2006/relationships/hyperlink" Target="https://archive.vn/VdxN2" TargetMode="External"/><Relationship Id="rId3156" Type="http://schemas.openxmlformats.org/officeDocument/2006/relationships/hyperlink" Target="https://www.wdtv.com/2020/12/15/west-virginia-woman-sentenced-to-20-years-in-child-porn-case/" TargetMode="External"/><Relationship Id="rId4487" Type="http://schemas.openxmlformats.org/officeDocument/2006/relationships/hyperlink" Target="https://www.reviewjournal.com/crime/sex-crimes/3-arrested-in-las-vegas-prostitution-online-sting-2069760/" TargetMode="External"/><Relationship Id="rId3159" Type="http://schemas.openxmlformats.org/officeDocument/2006/relationships/hyperlink" Target="https://www.justice.gov/usao-nj/pr/colonia-new-jersey-man-charged-distributing-images-child-sexual-abuse" TargetMode="External"/><Relationship Id="rId3158" Type="http://schemas.openxmlformats.org/officeDocument/2006/relationships/hyperlink" Target="https://archive.vn/lo698" TargetMode="External"/><Relationship Id="rId4489" Type="http://schemas.openxmlformats.org/officeDocument/2006/relationships/hyperlink" Target="https://archive.vn/yIcqL" TargetMode="External"/><Relationship Id="rId3149" Type="http://schemas.openxmlformats.org/officeDocument/2006/relationships/hyperlink" Target="https://www.courtlistener.com/docket/8410730/united-states-v-boevingloh/" TargetMode="External"/><Relationship Id="rId3140" Type="http://schemas.openxmlformats.org/officeDocument/2006/relationships/hyperlink" Target="https://www.justice.gov/usao-wdmo/pr/kc-man-indicted-child-pornography-arrested-after-stand-police" TargetMode="External"/><Relationship Id="rId4471" Type="http://schemas.openxmlformats.org/officeDocument/2006/relationships/hyperlink" Target="https://www.msn.com/en-gb/news/world/ghislaine-maxwell-to-appear-in-court-as-fresh-details-of-arrest-emerge/ar-BB16mec0" TargetMode="External"/><Relationship Id="rId4470" Type="http://schemas.openxmlformats.org/officeDocument/2006/relationships/hyperlink" Target="https://www.justice.gov/usao-sdny/pr/ghislaine-maxwell-charged-manhattan-federal-court-conspiring-jeffrey-epstein-sexually" TargetMode="External"/><Relationship Id="rId3142" Type="http://schemas.openxmlformats.org/officeDocument/2006/relationships/hyperlink" Target="https://www.courtlistener.com/docket/8402793/united-states-v-hacker/" TargetMode="External"/><Relationship Id="rId4473" Type="http://schemas.openxmlformats.org/officeDocument/2006/relationships/hyperlink" Target="http://archive.vn/wip/IZ4B5" TargetMode="External"/><Relationship Id="rId3141" Type="http://schemas.openxmlformats.org/officeDocument/2006/relationships/hyperlink" Target="https://www.washingtontimes.com/news/2018/dec/13/child-porn-suspect-caught-after-standoff-near-poli/" TargetMode="External"/><Relationship Id="rId4472" Type="http://schemas.openxmlformats.org/officeDocument/2006/relationships/hyperlink" Target="http://archive.vn/wip/CJ6xV" TargetMode="External"/><Relationship Id="rId3144" Type="http://schemas.openxmlformats.org/officeDocument/2006/relationships/hyperlink" Target="https://www.justice.gov/usao-mdfl/pr/palm-harbor-man-sentenced-federal-prison-receiving-and-possessing-child-sex-abuse" TargetMode="External"/><Relationship Id="rId4475" Type="http://schemas.openxmlformats.org/officeDocument/2006/relationships/hyperlink" Target="https://archive.vn/wip/RAOXM" TargetMode="External"/><Relationship Id="rId3143" Type="http://schemas.openxmlformats.org/officeDocument/2006/relationships/hyperlink" Target="https://www.courtlistener.com/docket/8409868/united-states-v-cruse/" TargetMode="External"/><Relationship Id="rId4474" Type="http://schemas.openxmlformats.org/officeDocument/2006/relationships/hyperlink" Target="https://www.newburyportnews.com/news/local_news/newbury-police-charge-maine-man-in-online-child-pornography-case/article_bc24010e-2e1f-55cd-a2ef-8228ea514b5b.html" TargetMode="External"/><Relationship Id="rId3146" Type="http://schemas.openxmlformats.org/officeDocument/2006/relationships/hyperlink" Target="https://www.justice.gov/opa/pr/defendants-charged-multiple-counts-related-interstate-prostitution-and-sex-trafficking" TargetMode="External"/><Relationship Id="rId4477" Type="http://schemas.openxmlformats.org/officeDocument/2006/relationships/hyperlink" Target="https://www.cbp.gov/newsroom/local-media-release/yuma-sector-bp-apprehends-21-illegal-aliens" TargetMode="External"/><Relationship Id="rId3145" Type="http://schemas.openxmlformats.org/officeDocument/2006/relationships/hyperlink" Target="https://www.courtlistener.com/docket/14511625/united-states-v-schoh/" TargetMode="External"/><Relationship Id="rId4476" Type="http://schemas.openxmlformats.org/officeDocument/2006/relationships/hyperlink" Target="https://www.cbp.gov/newsroom/local-media-release/border-patrol-agents-continue-disrupt-alien-smuggling-attempts-rgv" TargetMode="External"/><Relationship Id="rId3148" Type="http://schemas.openxmlformats.org/officeDocument/2006/relationships/hyperlink" Target="https://www.justice.gov/usao-edmo/pr/sullivan-man-pleads-guilty-receipt-child-pornography-charges" TargetMode="External"/><Relationship Id="rId4479" Type="http://schemas.openxmlformats.org/officeDocument/2006/relationships/hyperlink" Target="https://www.cbp.gov/newsroom/local-media-release/yuma-sector-bp-arrests-california-daca-recipient-human-smuggling" TargetMode="External"/><Relationship Id="rId3147" Type="http://schemas.openxmlformats.org/officeDocument/2006/relationships/hyperlink" Target="https://www.courtlistener.com/?q=&amp;type=r&amp;order_by=score+desc&amp;docket_number=2%3A18-cr-00178&amp;court=med" TargetMode="External"/><Relationship Id="rId4478" Type="http://schemas.openxmlformats.org/officeDocument/2006/relationships/hyperlink" Target="https://www.cbp.gov/newsroom/local-media-release/border-patrol-intercepts-human-smuggling-attempt" TargetMode="External"/><Relationship Id="rId3171" Type="http://schemas.openxmlformats.org/officeDocument/2006/relationships/hyperlink" Target="https://www.courtlistener.com/docket/8426396/united-states-v-jones/" TargetMode="External"/><Relationship Id="rId3170" Type="http://schemas.openxmlformats.org/officeDocument/2006/relationships/hyperlink" Target="https://www.justice.gov/usao-ndin/pr/lafayette-man-sentenced-70-months-prison-possession-child-pornography" TargetMode="External"/><Relationship Id="rId3173" Type="http://schemas.openxmlformats.org/officeDocument/2006/relationships/hyperlink" Target="https://www.justice.gov/usao-cdil/pr/illinois-man-sentenced-production-child-pornography" TargetMode="External"/><Relationship Id="rId3172" Type="http://schemas.openxmlformats.org/officeDocument/2006/relationships/hyperlink" Target="https://www.justice.gov/usao-sdia/pr/little-sioux-man-sentenced-200-months-prison-child-pornography" TargetMode="External"/><Relationship Id="rId3175" Type="http://schemas.openxmlformats.org/officeDocument/2006/relationships/hyperlink" Target="https://www.cbp.gov/newsroom/local-media-release/border-patrol-agents-thwart-human-smuggling-attempt-0" TargetMode="External"/><Relationship Id="rId3174" Type="http://schemas.openxmlformats.org/officeDocument/2006/relationships/hyperlink" Target="https://www.justice.gov/usao-edky/pr/raceland-man-sentenced-120-months-possession-child-pornography" TargetMode="External"/><Relationship Id="rId3177" Type="http://schemas.openxmlformats.org/officeDocument/2006/relationships/hyperlink" Target="https://www.justice.gov/usao-ndin/pr/hobart-man-sentenced-20-years-prison" TargetMode="External"/><Relationship Id="rId3176" Type="http://schemas.openxmlformats.org/officeDocument/2006/relationships/hyperlink" Target="https://www.cbp.gov/newsroom/local-media-release/border-patrol-canine-detects-illegal-aliens-trunk" TargetMode="External"/><Relationship Id="rId3179" Type="http://schemas.openxmlformats.org/officeDocument/2006/relationships/hyperlink" Target="https://www.nbc26.com/news/local-news/former-police-chief-and-sheriff-candidate-pleads-guilty-child-pornography-charges" TargetMode="External"/><Relationship Id="rId3178" Type="http://schemas.openxmlformats.org/officeDocument/2006/relationships/hyperlink" Target="https://www.justice.gov/usao-edwi/pr/neenah-man-arrested-federal-child-pornography-charges" TargetMode="External"/><Relationship Id="rId3160" Type="http://schemas.openxmlformats.org/officeDocument/2006/relationships/hyperlink" Target="https://www.justice.gov/usao-ri/pr/warwick-man-sentenced-possessing-child-pornography-downloaded-dark-web" TargetMode="External"/><Relationship Id="rId4491" Type="http://schemas.openxmlformats.org/officeDocument/2006/relationships/hyperlink" Target="https://www.justice.gov/usao-wdwi/pr/grand-jury-returns-indictments-100" TargetMode="External"/><Relationship Id="rId4490" Type="http://schemas.openxmlformats.org/officeDocument/2006/relationships/hyperlink" Target="https://www.justice.gov/usao-wdwi/pr/grand-jury-returns-indictments-100" TargetMode="External"/><Relationship Id="rId3162" Type="http://schemas.openxmlformats.org/officeDocument/2006/relationships/hyperlink" Target="https://www.justice.gov/usao-or/pr/washington-county-sheriffs-office-civilian-employee-accused-enticing-minor-online-and" TargetMode="External"/><Relationship Id="rId4493" Type="http://schemas.openxmlformats.org/officeDocument/2006/relationships/hyperlink" Target="https://www.justice.gov/usao-mdfl/pr/pomona-park-man-indicted-sex-trafficking-children-and-online-enticement-engage-unlawful" TargetMode="External"/><Relationship Id="rId3161" Type="http://schemas.openxmlformats.org/officeDocument/2006/relationships/hyperlink" Target="https://www.courtlistener.com/docket/8420888/united-states-v-langlois/" TargetMode="External"/><Relationship Id="rId4492" Type="http://schemas.openxmlformats.org/officeDocument/2006/relationships/hyperlink" Target="https://www.justice.gov/usao-ma/pr/american-man-charged-exploiting-children-laos" TargetMode="External"/><Relationship Id="rId3164" Type="http://schemas.openxmlformats.org/officeDocument/2006/relationships/hyperlink" Target="https://www.justice.gov/usao-ndil/pr/machesney-park-man-arrested-child-pornography-charge" TargetMode="External"/><Relationship Id="rId4495" Type="http://schemas.openxmlformats.org/officeDocument/2006/relationships/hyperlink" Target="https://www.justice.gov/usao-ct/pr/easton-man-charged-producing-images-child-sex-abuse" TargetMode="External"/><Relationship Id="rId3163" Type="http://schemas.openxmlformats.org/officeDocument/2006/relationships/hyperlink" Target="https://www.courtlistener.com/docket/8436259/united-states-v-krieger/" TargetMode="External"/><Relationship Id="rId4494" Type="http://schemas.openxmlformats.org/officeDocument/2006/relationships/hyperlink" Target="https://www.justice.gov/usao-cdil/pr/four-east-central-illinois-men-charged-trafficking-child-pornography" TargetMode="External"/><Relationship Id="rId3166" Type="http://schemas.openxmlformats.org/officeDocument/2006/relationships/hyperlink" Target="https://www.justice.gov/usao-ndin/pr/merrillville-man-sentenced-78-months-prison" TargetMode="External"/><Relationship Id="rId4497" Type="http://schemas.openxmlformats.org/officeDocument/2006/relationships/hyperlink" Target="https://archive.vn/vdVEj" TargetMode="External"/><Relationship Id="rId3165" Type="http://schemas.openxmlformats.org/officeDocument/2006/relationships/hyperlink" Target="https://www.courtlistener.com/docket/8437087/united-states-v-umbaugh/" TargetMode="External"/><Relationship Id="rId4496" Type="http://schemas.openxmlformats.org/officeDocument/2006/relationships/hyperlink" Target="https://www.ctpost.com/policereports/article/A-danger-to-the-community-Accused-child-15405366.php" TargetMode="External"/><Relationship Id="rId3168" Type="http://schemas.openxmlformats.org/officeDocument/2006/relationships/hyperlink" Target="https://www.courtlistener.com/docket/7559436/united-states-v-newlin/" TargetMode="External"/><Relationship Id="rId4499" Type="http://schemas.openxmlformats.org/officeDocument/2006/relationships/hyperlink" Target="https://www.justice.gov/usao-cdil/pr/four-east-central-illinois-men-charged-trafficking-child-pornography" TargetMode="External"/><Relationship Id="rId3167" Type="http://schemas.openxmlformats.org/officeDocument/2006/relationships/hyperlink" Target="https://www.nwitimes.com/news/local/crime-and-courts/gary-man-accused-of-child-pornography-possession-arrested-after-bonding/article_7b0a8cfc-f073-5e44-b7fb-f7f3706a6f2b.html" TargetMode="External"/><Relationship Id="rId4498" Type="http://schemas.openxmlformats.org/officeDocument/2006/relationships/hyperlink" Target="https://archive.vn/I5fRG" TargetMode="External"/><Relationship Id="rId3169" Type="http://schemas.openxmlformats.org/officeDocument/2006/relationships/hyperlink" Target="http://archive.fo/p9W5z" TargetMode="External"/><Relationship Id="rId2700" Type="http://schemas.openxmlformats.org/officeDocument/2006/relationships/hyperlink" Target="https://www.courtlistener.com/docket/7893439/united-states-v-stoneburner/" TargetMode="External"/><Relationship Id="rId2701" Type="http://schemas.openxmlformats.org/officeDocument/2006/relationships/hyperlink" Target="https://www.justice.gov/opa/pr/indiana-man-indicted-conspiracy-receive-and-distribute-child-pornography" TargetMode="External"/><Relationship Id="rId2702" Type="http://schemas.openxmlformats.org/officeDocument/2006/relationships/hyperlink" Target="https://www.courtlistener.com/docket/7877174/united-states-v-segert-do-not-file-in-this-case-file-in-case-118-cr-340/" TargetMode="External"/><Relationship Id="rId2703" Type="http://schemas.openxmlformats.org/officeDocument/2006/relationships/hyperlink" Target="https://www.justice.gov/usao-edpa/pr/philadelphia-man-sentenced-45-years-sex-trafficking-children-northeast-philadelphia" TargetMode="External"/><Relationship Id="rId2704" Type="http://schemas.openxmlformats.org/officeDocument/2006/relationships/hyperlink" Target="https://www.kbtx.com/content/news/Four-men-arrested-in-Bryan-PD-undercover-prostitution-sting-493346951.html" TargetMode="External"/><Relationship Id="rId2705" Type="http://schemas.openxmlformats.org/officeDocument/2006/relationships/hyperlink" Target="https://www.justice.gov/usao-edtx/pr/plano-man-guilty-child-pornography-violations" TargetMode="External"/><Relationship Id="rId2706" Type="http://schemas.openxmlformats.org/officeDocument/2006/relationships/hyperlink" Target="https://www.courtlistener.com/docket/8037694/united-states-v-ricks/" TargetMode="External"/><Relationship Id="rId2707" Type="http://schemas.openxmlformats.org/officeDocument/2006/relationships/hyperlink" Target="https://www.justice.gov/usao-vt/pr/four-guatemalan-nationals-charged-alien-smuggling-event" TargetMode="External"/><Relationship Id="rId2708" Type="http://schemas.openxmlformats.org/officeDocument/2006/relationships/hyperlink" Target="https://www.courtlistener.com/?q=&amp;type=r&amp;order_by=score+desc&amp;docket_number=2%3A18-mj-00128&amp;court=vtd" TargetMode="External"/><Relationship Id="rId2709" Type="http://schemas.openxmlformats.org/officeDocument/2006/relationships/hyperlink" Target="https://archive.vn/wip/0mlIy" TargetMode="External"/><Relationship Id="rId2720" Type="http://schemas.openxmlformats.org/officeDocument/2006/relationships/hyperlink" Target="https://www.cbp.gov/newsroom/local-media-release/smugglers-endanger-illegal-aliens-while-attempting-slip-past-agents" TargetMode="External"/><Relationship Id="rId2721" Type="http://schemas.openxmlformats.org/officeDocument/2006/relationships/hyperlink" Target="https://www.cbp.gov/newsroom/local-media-release/semi-truck-drivers-arrested-alien-smuggling" TargetMode="External"/><Relationship Id="rId2722" Type="http://schemas.openxmlformats.org/officeDocument/2006/relationships/hyperlink" Target="https://www.justice.gov/usao-edny/pr/texas-man-charged-enticing-15-year-old-girl-travel-interstate-engage-sexual-activity" TargetMode="External"/><Relationship Id="rId2723" Type="http://schemas.openxmlformats.org/officeDocument/2006/relationships/hyperlink" Target="https://www.kwtx.com/content/news/NY-runaway-found-in-Central-Texas-1-arrested-on-trafficking-charges-493520871.html" TargetMode="External"/><Relationship Id="rId2724" Type="http://schemas.openxmlformats.org/officeDocument/2006/relationships/hyperlink" Target="https://www.courtlistener.com/docket/8421829/united-states-v-dunn/" TargetMode="External"/><Relationship Id="rId2725" Type="http://schemas.openxmlformats.org/officeDocument/2006/relationships/hyperlink" Target="https://www.justice.gov/usao-sdia/pr/eldon-man-sentenced-thirty-years-prison-transportation-child-pornography" TargetMode="External"/><Relationship Id="rId2726" Type="http://schemas.openxmlformats.org/officeDocument/2006/relationships/hyperlink" Target="https://www.wtok.com/content/news/Couple-arrested-for-child-pornography-and-human-trafficking-493425831.html" TargetMode="External"/><Relationship Id="rId2727" Type="http://schemas.openxmlformats.org/officeDocument/2006/relationships/hyperlink" Target="https://5newsonline.com/2018/09/18/police-lowell-man-forced-woman-into-prostitution/" TargetMode="External"/><Relationship Id="rId2728" Type="http://schemas.openxmlformats.org/officeDocument/2006/relationships/hyperlink" Target="https://www.cbp.gov/newsroom/local-media-release/juvenile-wrecks-failed-smuggling-attempt-rio-grande-valley" TargetMode="External"/><Relationship Id="rId2729" Type="http://schemas.openxmlformats.org/officeDocument/2006/relationships/hyperlink" Target="https://www.wausaudailyherald.com/story/news/2018/10/11/child-porn-case-wausau-man-charged-receiving-images-text/1604371002/" TargetMode="External"/><Relationship Id="rId2710" Type="http://schemas.openxmlformats.org/officeDocument/2006/relationships/hyperlink" Target="https://archive.vn/DpNti" TargetMode="External"/><Relationship Id="rId2711" Type="http://schemas.openxmlformats.org/officeDocument/2006/relationships/hyperlink" Target="https://cnycentral.com/news/local/depuites-jefferson-co-woman-arrested-for-sexual-assault-against-a-child" TargetMode="External"/><Relationship Id="rId2712" Type="http://schemas.openxmlformats.org/officeDocument/2006/relationships/hyperlink" Target="https://www.click2houston.com/news/child-porn-suspect-tells-investigators-they-will-find-stuff-they-dont-like-deputies-say" TargetMode="External"/><Relationship Id="rId2713" Type="http://schemas.openxmlformats.org/officeDocument/2006/relationships/hyperlink" Target="https://www.justice.gov/usao-wdny/pr/jamestown-man-indicted-child-pornography-charges" TargetMode="External"/><Relationship Id="rId2714" Type="http://schemas.openxmlformats.org/officeDocument/2006/relationships/hyperlink" Target="https://www.justice.gov/usao-ma/pr/east-bridgewater-man-sentenced-production-distribution-and-possession-child-pornography" TargetMode="External"/><Relationship Id="rId2715" Type="http://schemas.openxmlformats.org/officeDocument/2006/relationships/hyperlink" Target="https://www.justice.gov/usao-ma/pr/east-bridgewater-man-indicted-child-pornography-charges" TargetMode="External"/><Relationship Id="rId2716" Type="http://schemas.openxmlformats.org/officeDocument/2006/relationships/hyperlink" Target="https://www.courtlistener.com/docket/7917137/united-states-v-oconnor-jr/" TargetMode="External"/><Relationship Id="rId2717" Type="http://schemas.openxmlformats.org/officeDocument/2006/relationships/hyperlink" Target="https://www.justice.gov/usao-wdny/pr/clymer-school-teacher-charged-possession-child-pornography" TargetMode="External"/><Relationship Id="rId2718" Type="http://schemas.openxmlformats.org/officeDocument/2006/relationships/hyperlink" Target="http://www.post-journal.com/news/latest-news/2018/09/125-pm-teacher-accused-of-chid-porn-possession-granted-house-arrest/" TargetMode="External"/><Relationship Id="rId2719" Type="http://schemas.openxmlformats.org/officeDocument/2006/relationships/hyperlink" Target="http://www.witn.com/content/news/Charlotte-man-arrested-on-human-trafficking-charges-493410661.html" TargetMode="External"/><Relationship Id="rId1455" Type="http://schemas.openxmlformats.org/officeDocument/2006/relationships/hyperlink" Target="https://www.courtlistener.com/?q=&amp;type=r&amp;order_by=score+desc&amp;docket_number=8%3A18-cr-00145&amp;court=mdd" TargetMode="External"/><Relationship Id="rId2786" Type="http://schemas.openxmlformats.org/officeDocument/2006/relationships/hyperlink" Target="https://www.kxly.com/news/two-others-arrested-in-spokane-for-role-in-alleged-human-trafficking-operation/802227348" TargetMode="External"/><Relationship Id="rId1456" Type="http://schemas.openxmlformats.org/officeDocument/2006/relationships/hyperlink" Target="https://www.courtlistener.com/?q=&amp;type=r&amp;order_by=score+desc&amp;docket_number=8%3A18-cr-00145&amp;court=mdd" TargetMode="External"/><Relationship Id="rId2787" Type="http://schemas.openxmlformats.org/officeDocument/2006/relationships/hyperlink" Target="https://www.kfdi.com/news/prostitution-sting-leads-to-8-arrests" TargetMode="External"/><Relationship Id="rId1457" Type="http://schemas.openxmlformats.org/officeDocument/2006/relationships/hyperlink" Target="https://usatodayhss.com/2018/gymnastics-center-owner-jailed-after-hidden-camera-found-in-bathroom" TargetMode="External"/><Relationship Id="rId2788" Type="http://schemas.openxmlformats.org/officeDocument/2006/relationships/hyperlink" Target="https://www.westernmassnews.com/news/arrested-following-prostitution-investigation-in-springfield/article_b8a9c836-c265-11e8-bd10-eb723bba11bb.html" TargetMode="External"/><Relationship Id="rId1458" Type="http://schemas.openxmlformats.org/officeDocument/2006/relationships/hyperlink" Target="http://thetandd.com/news/local/state-and-regional/arrested-across-s-c-as-part-of-multistate-child-exploitation/article_2e8634cc-6dd2-52c4-9aa8-bd368e6be450.html" TargetMode="External"/><Relationship Id="rId2789" Type="http://schemas.openxmlformats.org/officeDocument/2006/relationships/hyperlink" Target="http://www.championnewspapers.com/news/article_f695cc2a-c29d-11e8-a51d-1f9adae13b97.html" TargetMode="External"/><Relationship Id="rId1459" Type="http://schemas.openxmlformats.org/officeDocument/2006/relationships/hyperlink" Target="http://norwalkreflector.com/Law-Enforcement/2018/03/15/Four-people-arrested-on-charges-of" TargetMode="External"/><Relationship Id="rId629" Type="http://schemas.openxmlformats.org/officeDocument/2006/relationships/hyperlink" Target="https://www.justice.gov/usao-mdfl/pr/former-middle-school-teacher-sentenced-over-12-years-receipt-child-pornography" TargetMode="External"/><Relationship Id="rId624" Type="http://schemas.openxmlformats.org/officeDocument/2006/relationships/hyperlink" Target="https://www.springhappenings.com/constables-conclude-huge-undercover-prostitution-human-trafficking-operating-yielding-44-arrests-and-recovering-4-female-victims/" TargetMode="External"/><Relationship Id="rId623" Type="http://schemas.openxmlformats.org/officeDocument/2006/relationships/hyperlink" Target="https://www.ozarksfirst.com/news/man-arrested-for-possession-of-child-pornography/821824749" TargetMode="External"/><Relationship Id="rId622" Type="http://schemas.openxmlformats.org/officeDocument/2006/relationships/hyperlink" Target="http://www.mankatofreepress.com/news/local_news/six-arrested-in-juvenile-prostitution-sting/article_3748bc56-a791-11e7-b7be-3bc5c5402cd1.html" TargetMode="External"/><Relationship Id="rId621" Type="http://schemas.openxmlformats.org/officeDocument/2006/relationships/hyperlink" Target="https://www.justice.gov/usao-ndca/pr/richmond-man-charged-sex-trafficking-force-threats-force-fraud-and-coercion" TargetMode="External"/><Relationship Id="rId628" Type="http://schemas.openxmlformats.org/officeDocument/2006/relationships/hyperlink" Target="https://www.justice.gov/usao-edmo/pr/st-louis-man-sentenced-child-pornography-charges" TargetMode="External"/><Relationship Id="rId627" Type="http://schemas.openxmlformats.org/officeDocument/2006/relationships/hyperlink" Target="https://www.postguam.com/news/local/child-porn-case-unsealed/article_420995d2-c84f-11e7-b5dd-57d2756bb8e5.html" TargetMode="External"/><Relationship Id="rId626" Type="http://schemas.openxmlformats.org/officeDocument/2006/relationships/hyperlink" Target="https://www.justice.gov/usao-ndil/pr/wisconsin-man-indicted-sex-trafficking-charges-allegedly-transporting-minor-chicago" TargetMode="External"/><Relationship Id="rId625" Type="http://schemas.openxmlformats.org/officeDocument/2006/relationships/hyperlink" Target="http://www.nwitimes.com/news/local/lake/dyer-man-pleads-guilty-to-child-pornography-charges/article_23182fd4-4987-57bf-adef-50db7fa82069.html" TargetMode="External"/><Relationship Id="rId2780" Type="http://schemas.openxmlformats.org/officeDocument/2006/relationships/hyperlink" Target="https://www.courtlistener.com/?q=&amp;type=r&amp;order_by=score+desc&amp;docket_number=1%3A19-cr-10059&amp;court=mad" TargetMode="External"/><Relationship Id="rId1450" Type="http://schemas.openxmlformats.org/officeDocument/2006/relationships/hyperlink" Target="https://www.justice.gov/usao-wdpa/pr/former-erie-man-pleads-guilty-receipt-and-possession-child-pornography" TargetMode="External"/><Relationship Id="rId2781" Type="http://schemas.openxmlformats.org/officeDocument/2006/relationships/hyperlink" Target="https://www.havasunews.com/news/ice-havasu-sex-trafficking-bust-started-with-citizen-complaints/article_6d819dbc-c151-11e8-a5da-afae4328f0ca.html" TargetMode="External"/><Relationship Id="rId620" Type="http://schemas.openxmlformats.org/officeDocument/2006/relationships/hyperlink" Target="https://www.cbp.gov/newsroom/local-media-release/border-patrol-agents-rescue-3-illegal-aliens-hidden-compartment-arrest" TargetMode="External"/><Relationship Id="rId1451" Type="http://schemas.openxmlformats.org/officeDocument/2006/relationships/hyperlink" Target="https://www.courtlistener.com/docket/7343802/united-states-v-spencer/" TargetMode="External"/><Relationship Id="rId2782" Type="http://schemas.openxmlformats.org/officeDocument/2006/relationships/hyperlink" Target="https://news4sanantonio.com/news/local/foot-prints-lead-agents-to-human-smuggling-operation" TargetMode="External"/><Relationship Id="rId1452" Type="http://schemas.openxmlformats.org/officeDocument/2006/relationships/hyperlink" Target="https://www.justice.gov/usao-ks/pr/registered-sex-offender-goes-back-prison-possessing-child-pornography" TargetMode="External"/><Relationship Id="rId2783" Type="http://schemas.openxmlformats.org/officeDocument/2006/relationships/hyperlink" Target="https://www.courtlistener.com/docket/7767833/united-states-v-flores-vazquez/" TargetMode="External"/><Relationship Id="rId1453" Type="http://schemas.openxmlformats.org/officeDocument/2006/relationships/hyperlink" Target="https://www.courtlistener.com/docket/6480579/united-states-v-grace/" TargetMode="External"/><Relationship Id="rId2784" Type="http://schemas.openxmlformats.org/officeDocument/2006/relationships/hyperlink" Target="https://www.kusi.com/border-patrol-intercepts-suspected-human-smuggling-boat-off-la-jolla-coast/" TargetMode="External"/><Relationship Id="rId1454" Type="http://schemas.openxmlformats.org/officeDocument/2006/relationships/hyperlink" Target="https://www.justice.gov/usao-md/pr/baltimore-pimp-pleads-guilty-conspiring-commit-sex-trafficking-child" TargetMode="External"/><Relationship Id="rId2785" Type="http://schemas.openxmlformats.org/officeDocument/2006/relationships/hyperlink" Target="https://www.citizensvoice.com/news/county-residents-arrested-in-prostitution-sting-1.2391059" TargetMode="External"/><Relationship Id="rId1444" Type="http://schemas.openxmlformats.org/officeDocument/2006/relationships/hyperlink" Target="https://www.courtlistener.com/docket/6619268/united-states-v-pauly/" TargetMode="External"/><Relationship Id="rId2775" Type="http://schemas.openxmlformats.org/officeDocument/2006/relationships/hyperlink" Target="https://www.justice.gov/usao-cdca/pr/long-beach-man-sentenced-10-years-federal-prison-traveling-mexico-engage-illicit-sexual" TargetMode="External"/><Relationship Id="rId1445" Type="http://schemas.openxmlformats.org/officeDocument/2006/relationships/hyperlink" Target="https://www.justice.gov/usao-nm/pr/las-cruces-man-pleads-guilty-federal-child-pornography-charges-0" TargetMode="External"/><Relationship Id="rId2776" Type="http://schemas.openxmlformats.org/officeDocument/2006/relationships/hyperlink" Target="http://lasdnewsroom.org/article_layout_1.aspx?id=294" TargetMode="External"/><Relationship Id="rId1446" Type="http://schemas.openxmlformats.org/officeDocument/2006/relationships/hyperlink" Target="https://www.justice.gov/usao-nm/pr/las-cruces-man-arraigned-federal-child-pornography-charges" TargetMode="External"/><Relationship Id="rId2777" Type="http://schemas.openxmlformats.org/officeDocument/2006/relationships/hyperlink" Target="https://www.courtlistener.com/?q=&amp;type=r&amp;order_by=score+desc&amp;docket_number=2%3A18-cr-00624&amp;court=cacd" TargetMode="External"/><Relationship Id="rId1447" Type="http://schemas.openxmlformats.org/officeDocument/2006/relationships/hyperlink" Target="https://www.courtlistener.com/docket/14658047/united-states-v-vaillancourt/" TargetMode="External"/><Relationship Id="rId2778" Type="http://schemas.openxmlformats.org/officeDocument/2006/relationships/hyperlink" Target="https://thegoldwater.com/news/38121-Boston-Philharmonic-Orchestra-Director-Arrested-for-Child-Porn-and-Rape-of-1-Year-Old" TargetMode="External"/><Relationship Id="rId1448" Type="http://schemas.openxmlformats.org/officeDocument/2006/relationships/hyperlink" Target="https://www.justice.gov/usao-ks/pr/leavenworth-man-sentenced-10-years-child-pornography" TargetMode="External"/><Relationship Id="rId2779" Type="http://schemas.openxmlformats.org/officeDocument/2006/relationships/hyperlink" Target="https://www.justice.gov/usao-ma/pr/boston-philharmonic-orchestra-artistic-director-arrested-child-pornography" TargetMode="External"/><Relationship Id="rId1449" Type="http://schemas.openxmlformats.org/officeDocument/2006/relationships/hyperlink" Target="https://www.courtlistener.com/docket/6850826/united-states-v-zamora/" TargetMode="External"/><Relationship Id="rId619" Type="http://schemas.openxmlformats.org/officeDocument/2006/relationships/hyperlink" Target="https://www.justice.gov/usao-cdil/pr/indiana-man-sentenced-66-years-prison-child-sexual-exploitation-travel-illinois-engage" TargetMode="External"/><Relationship Id="rId618" Type="http://schemas.openxmlformats.org/officeDocument/2006/relationships/hyperlink" Target="https://www.cbp.gov/newsroom/local-media-release/border-patrol-k9-finds-3-hiding-trunk" TargetMode="External"/><Relationship Id="rId613" Type="http://schemas.openxmlformats.org/officeDocument/2006/relationships/hyperlink" Target="https://thegoldwater.com/news/8638-Popular-Jewish-Children-s-Musician-Eric-Komar-Busted-for-Child-Pornography-in-New-Jersey" TargetMode="External"/><Relationship Id="rId612" Type="http://schemas.openxmlformats.org/officeDocument/2006/relationships/hyperlink" Target="https://www.wcbi.com/booneville-man-arrested-child-molestation-charges/" TargetMode="External"/><Relationship Id="rId611" Type="http://schemas.openxmlformats.org/officeDocument/2006/relationships/hyperlink" Target="https://www.justice.gov/usao-ndms/pr/luther-floyd-booneville-sentenced-attempted-creation-child-pornography" TargetMode="External"/><Relationship Id="rId610" Type="http://schemas.openxmlformats.org/officeDocument/2006/relationships/hyperlink" Target="https://www.cleveland.com/metro/index.ssf/2017/09/akron_couple_indicted_on_human.html" TargetMode="External"/><Relationship Id="rId617" Type="http://schemas.openxmlformats.org/officeDocument/2006/relationships/hyperlink" Target="https://www.justice.gov/usao-edca/pr/valley-springs-man-sentenced-25-years" TargetMode="External"/><Relationship Id="rId616" Type="http://schemas.openxmlformats.org/officeDocument/2006/relationships/hyperlink" Target="https://www.recordnet.com/news/20170926/valley-springs-man-arrested-in-federal-child-pornography-case" TargetMode="External"/><Relationship Id="rId615" Type="http://schemas.openxmlformats.org/officeDocument/2006/relationships/hyperlink" Target="http://www.wkyt.com/content/news/Kentucky-man-arrested-for-human-trafficking-involving-juvenile-447736933.html" TargetMode="External"/><Relationship Id="rId614" Type="http://schemas.openxmlformats.org/officeDocument/2006/relationships/hyperlink" Target="https://www.justice.gov/usao-nj/pr/children-s-singersongwriter-sentenced-82-months-prison-receipt-child-pornography" TargetMode="External"/><Relationship Id="rId2770" Type="http://schemas.openxmlformats.org/officeDocument/2006/relationships/hyperlink" Target="https://www.cbp.gov/newsroom/local-media-release/nogales-teens-arrested-smuggling-people-trunk" TargetMode="External"/><Relationship Id="rId1440" Type="http://schemas.openxmlformats.org/officeDocument/2006/relationships/hyperlink" Target="https://www.courtlistener.com/docket/7775073/united-states-v-stephen/" TargetMode="External"/><Relationship Id="rId2771" Type="http://schemas.openxmlformats.org/officeDocument/2006/relationships/hyperlink" Target="https://www.cbs17.com/news/7-women-arrested-in-prostitution-stings-at-2-massage-parlors-in-virginia/1487792601" TargetMode="External"/><Relationship Id="rId1441" Type="http://schemas.openxmlformats.org/officeDocument/2006/relationships/hyperlink" Target="http://archive.fo/yeBPy" TargetMode="External"/><Relationship Id="rId2772" Type="http://schemas.openxmlformats.org/officeDocument/2006/relationships/hyperlink" Target="https://www.justice.gov/usao-md/pr/ellicott-city-man-pleads-guilty-federal-charge-attempted-possession-child-pornography" TargetMode="External"/><Relationship Id="rId1442" Type="http://schemas.openxmlformats.org/officeDocument/2006/relationships/hyperlink" Target="http://archive.fo/THib8" TargetMode="External"/><Relationship Id="rId2773" Type="http://schemas.openxmlformats.org/officeDocument/2006/relationships/hyperlink" Target="https://www.dothaneagle.com/news/crime_court/dothan-man-arrested-for-soliciting-prostitution/article_fdfb77fe-c008-11e8-ba2a-a32b769cf9e6.html" TargetMode="External"/><Relationship Id="rId1443" Type="http://schemas.openxmlformats.org/officeDocument/2006/relationships/hyperlink" Target="https://www.justice.gov/usao-sdoh/pr/champaign-county-man-pleads-guilty-producing-child-pornography" TargetMode="External"/><Relationship Id="rId2774" Type="http://schemas.openxmlformats.org/officeDocument/2006/relationships/hyperlink" Target="https://www.idahostatejournal.com/news/local/catholic-priest-charged-with-patronizing-a-prostitute/article_f56cb17f-7289-574c-97ca-9068cd96655c.html" TargetMode="External"/><Relationship Id="rId1477" Type="http://schemas.openxmlformats.org/officeDocument/2006/relationships/hyperlink" Target="https://www.courtlistener.com/docket/7257983/united-states-v-macmahon/" TargetMode="External"/><Relationship Id="rId4503" Type="http://schemas.openxmlformats.org/officeDocument/2006/relationships/hyperlink" Target="https://archive.vn/wip/mmvza" TargetMode="External"/><Relationship Id="rId1478" Type="http://schemas.openxmlformats.org/officeDocument/2006/relationships/hyperlink" Target="http://www.dailymail.co.uk/news/article-151784/50-police-officers-arrested-child-porn-raids.html" TargetMode="External"/><Relationship Id="rId4502" Type="http://schemas.openxmlformats.org/officeDocument/2006/relationships/hyperlink" Target="https://www.al.com/news/2020/07/former-alabama-officer-facing-human-trafficking-charges-jailed-in-new-hampshire.html" TargetMode="External"/><Relationship Id="rId1479" Type="http://schemas.openxmlformats.org/officeDocument/2006/relationships/hyperlink" Target="https://www.courtlistener.com/docket/7123435/united-states-v-ferrufino-perdomo/" TargetMode="External"/><Relationship Id="rId4505" Type="http://schemas.openxmlformats.org/officeDocument/2006/relationships/hyperlink" Target="https://www.cbp.gov/newsroom/local-media-release/yuma-sector-thwarts-numerous-human-smuggling-attempts" TargetMode="External"/><Relationship Id="rId4504" Type="http://schemas.openxmlformats.org/officeDocument/2006/relationships/hyperlink" Target="https://www.cbp.gov/newsroom/local-media-release/yuma-sector-thwarts-numerous-human-smuggling-attempts" TargetMode="External"/><Relationship Id="rId4507" Type="http://schemas.openxmlformats.org/officeDocument/2006/relationships/hyperlink" Target="https://www.cbp.gov/newsroom/local-media-release/border-patrol-encounters-another-commercial-vehicle-involved-human" TargetMode="External"/><Relationship Id="rId4506" Type="http://schemas.openxmlformats.org/officeDocument/2006/relationships/hyperlink" Target="https://www.cbp.gov/newsroom/local-media-release/yuma-sector-thwarts-numerous-human-smuggling-attempts" TargetMode="External"/><Relationship Id="rId4509" Type="http://schemas.openxmlformats.org/officeDocument/2006/relationships/hyperlink" Target="https://archive.vn/ovmwK" TargetMode="External"/><Relationship Id="rId4508" Type="http://schemas.openxmlformats.org/officeDocument/2006/relationships/hyperlink" Target="https://www.mtdemocrat.com/news/human-trafficking-suspect-arrested/" TargetMode="External"/><Relationship Id="rId646" Type="http://schemas.openxmlformats.org/officeDocument/2006/relationships/hyperlink" Target="https://www.courtlistener.com/docket/6827716/united-states-v-hansen/" TargetMode="External"/><Relationship Id="rId645" Type="http://schemas.openxmlformats.org/officeDocument/2006/relationships/hyperlink" Target="https://www.justice.gov/usao-ndfl/pr/alachua-county-man-sentenced-360-months-prison-federal-child-pornography-and-firearm" TargetMode="External"/><Relationship Id="rId644" Type="http://schemas.openxmlformats.org/officeDocument/2006/relationships/hyperlink" Target="http://daijidubai.com/news/newsDisplay.aspx?newsID=509954" TargetMode="External"/><Relationship Id="rId643" Type="http://schemas.openxmlformats.org/officeDocument/2006/relationships/hyperlink" Target="https://www.courtlistener.com/docket/13564471/united-states-v-rosales/" TargetMode="External"/><Relationship Id="rId649" Type="http://schemas.openxmlformats.org/officeDocument/2006/relationships/hyperlink" Target="http://www.krgv.com/story/39030728/man-sentenced-to-4-years-in-failed-human-smuggling-case" TargetMode="External"/><Relationship Id="rId648" Type="http://schemas.openxmlformats.org/officeDocument/2006/relationships/hyperlink" Target="https://www.courtlistener.com/docket/7562656/united-states-v-mowry/" TargetMode="External"/><Relationship Id="rId647" Type="http://schemas.openxmlformats.org/officeDocument/2006/relationships/hyperlink" Target="https://www.justice.gov/usao-me/pr/new-jersey-man-sentenced-10-years-possessing-child-pornography" TargetMode="External"/><Relationship Id="rId1470" Type="http://schemas.openxmlformats.org/officeDocument/2006/relationships/hyperlink" Target="https://www.courtlistener.com/docket/6898344/united-states-v-mahan/" TargetMode="External"/><Relationship Id="rId1471" Type="http://schemas.openxmlformats.org/officeDocument/2006/relationships/hyperlink" Target="https://www.masslive.com/news/boston/index.ssf/2018/06/suspects_in_interstate_prostit.html" TargetMode="External"/><Relationship Id="rId1472" Type="http://schemas.openxmlformats.org/officeDocument/2006/relationships/hyperlink" Target="https://www.cp24.com/world/indian-singer-daler-mehndi-convicted-of-trafficking-jobseekers-to-america-1.3845619" TargetMode="External"/><Relationship Id="rId642" Type="http://schemas.openxmlformats.org/officeDocument/2006/relationships/hyperlink" Target="https://www.justice.gov/usao-nm/pr/dona-ana-county-man-arraigned-federal-child-pornography-charges" TargetMode="External"/><Relationship Id="rId1473" Type="http://schemas.openxmlformats.org/officeDocument/2006/relationships/hyperlink" Target="http://www.mlive.com/news/grand-rapids/index.ssf/2018/03/man_accused_of_downloading_chi.html" TargetMode="External"/><Relationship Id="rId641" Type="http://schemas.openxmlformats.org/officeDocument/2006/relationships/hyperlink" Target="https://www.justice.gov/usao-nm/pr/dona-ana-county-man-pleads-guilty-federal-child-pornography-charges" TargetMode="External"/><Relationship Id="rId1474" Type="http://schemas.openxmlformats.org/officeDocument/2006/relationships/hyperlink" Target="https://www.cbp.gov/newsroom/local-media-release/border-patrol-finds-two-illegal-aliens-trunk-after-pursuit" TargetMode="External"/><Relationship Id="rId640" Type="http://schemas.openxmlformats.org/officeDocument/2006/relationships/hyperlink" Target="https://archive.fo/tFBsd" TargetMode="External"/><Relationship Id="rId1475" Type="http://schemas.openxmlformats.org/officeDocument/2006/relationships/hyperlink" Target="https://nworeport.me/2018/07/09/former-hillary-clinton-state-dept-employee-pleads-guilty-to-child-rape/" TargetMode="External"/><Relationship Id="rId4501" Type="http://schemas.openxmlformats.org/officeDocument/2006/relationships/hyperlink" Target="https://www.justice.gov/usao-ak/pr/anchorage-man-charged-federal-child-pornography-crimes" TargetMode="External"/><Relationship Id="rId1476" Type="http://schemas.openxmlformats.org/officeDocument/2006/relationships/hyperlink" Target="https://www.justice.gov/usao-edva/pr/former-state-department-employee-sentenced-producing-child-pornography" TargetMode="External"/><Relationship Id="rId4500" Type="http://schemas.openxmlformats.org/officeDocument/2006/relationships/hyperlink" Target="https://www.justice.gov/usao-edla/pr/marrero-man-convicted-2006-child-pornography-possession-charged-again-receipt-and" TargetMode="External"/><Relationship Id="rId1466" Type="http://schemas.openxmlformats.org/officeDocument/2006/relationships/hyperlink" Target="https://www.courtlistener.com/docket/7667932/united-states-v-isaac/" TargetMode="External"/><Relationship Id="rId2797" Type="http://schemas.openxmlformats.org/officeDocument/2006/relationships/hyperlink" Target="https://www.justice.gov/usao-cdca/pr/federal-prosecutors-bring-child-pornography-and-other-exploitation-cases-part-ongoing" TargetMode="External"/><Relationship Id="rId1467" Type="http://schemas.openxmlformats.org/officeDocument/2006/relationships/hyperlink" Target="http://archive.fo/Bhwgf" TargetMode="External"/><Relationship Id="rId2798" Type="http://schemas.openxmlformats.org/officeDocument/2006/relationships/hyperlink" Target="https://www.courtlistener.com/docket/15046624/united-states-v-schobey/" TargetMode="External"/><Relationship Id="rId1468" Type="http://schemas.openxmlformats.org/officeDocument/2006/relationships/hyperlink" Target="https://www.justice.gov/usao-ne/pr/omaha-man-sentenced-possessing-child-pornography-0" TargetMode="External"/><Relationship Id="rId2799" Type="http://schemas.openxmlformats.org/officeDocument/2006/relationships/hyperlink" Target="https://www.justice.gov/usao-cdca/pr/federal-prosecutors-bring-child-pornography-and-other-exploitation-cases-part-ongoing" TargetMode="External"/><Relationship Id="rId1469" Type="http://schemas.openxmlformats.org/officeDocument/2006/relationships/hyperlink" Target="https://www.courtlistener.com/docket/6955056/united-states-v-york/" TargetMode="External"/><Relationship Id="rId635" Type="http://schemas.openxmlformats.org/officeDocument/2006/relationships/hyperlink" Target="https://www.courtlistener.com/docket/6265839/united-states-v-wilkinson/" TargetMode="External"/><Relationship Id="rId634" Type="http://schemas.openxmlformats.org/officeDocument/2006/relationships/hyperlink" Target="https://www.justice.gov/usao-sdoh/pr/amelia-man-pleads-guilty-distributing-and-receiving-child-pornography" TargetMode="External"/><Relationship Id="rId633" Type="http://schemas.openxmlformats.org/officeDocument/2006/relationships/hyperlink" Target="https://www.justice.gov/usao-wdny/pr/burt-man-going-prison-five-years-possession-child-pornography" TargetMode="External"/><Relationship Id="rId632" Type="http://schemas.openxmlformats.org/officeDocument/2006/relationships/hyperlink" Target="https://www.catholicculture.org/news/headlines/index.cfm?storyid=36030" TargetMode="External"/><Relationship Id="rId639" Type="http://schemas.openxmlformats.org/officeDocument/2006/relationships/hyperlink" Target="https://archive.fo/m6UjH" TargetMode="External"/><Relationship Id="rId638" Type="http://schemas.openxmlformats.org/officeDocument/2006/relationships/hyperlink" Target="https://wtkr.com/2018/04/10/norfolk-man-sentenced-to-prison-for-receiving-child-pornography/" TargetMode="External"/><Relationship Id="rId637" Type="http://schemas.openxmlformats.org/officeDocument/2006/relationships/hyperlink" Target="https://www.justice.gov/usao-edva/pr/man-sentenced-prison-receiving-child-pornography" TargetMode="External"/><Relationship Id="rId636" Type="http://schemas.openxmlformats.org/officeDocument/2006/relationships/hyperlink" Target="https://www.justice.gov/usao-ndtx/pr/canyon-texas-man-sentenced-135-months-federal-prison-child-pornography-offense" TargetMode="External"/><Relationship Id="rId2790" Type="http://schemas.openxmlformats.org/officeDocument/2006/relationships/hyperlink" Target="https://www.dailycall.com/news/46852/sex-offender-charged-with-compelling-prostitution" TargetMode="External"/><Relationship Id="rId1460" Type="http://schemas.openxmlformats.org/officeDocument/2006/relationships/hyperlink" Target="https://www.cbp.gov/newsroom/local-media-release/nogales-border-patrol-k9-finds-2-illegal-aliens-trunk" TargetMode="External"/><Relationship Id="rId2791" Type="http://schemas.openxmlformats.org/officeDocument/2006/relationships/hyperlink" Target="http://www.fox8live.com/2018/09/26/son-former-la-supreme-court-justice-charged-with-human-trafficking/" TargetMode="External"/><Relationship Id="rId1461" Type="http://schemas.openxmlformats.org/officeDocument/2006/relationships/hyperlink" Target="https://www.bostonglobe.com/metro/2018/03/16/five-suspects-arrested-for-operating-interstate-prostitution-ring-out-high-end-apartments/XcUqCliQdSxrnV24BTd7OP/story.html" TargetMode="External"/><Relationship Id="rId2792" Type="http://schemas.openxmlformats.org/officeDocument/2006/relationships/hyperlink" Target="https://www.courtlistener.com/?q=&amp;type=r&amp;order_by=score+desc&amp;docket_number=2%3A18-cr-00203&amp;court=laed" TargetMode="External"/><Relationship Id="rId631" Type="http://schemas.openxmlformats.org/officeDocument/2006/relationships/hyperlink" Target="https://www.justice.gov/usao-wdmi/pr/2018_0302_Kent" TargetMode="External"/><Relationship Id="rId1462" Type="http://schemas.openxmlformats.org/officeDocument/2006/relationships/hyperlink" Target="https://dailyglib.com/twelve-arrested-in-san-diego-sex-trafficking-sting/" TargetMode="External"/><Relationship Id="rId2793" Type="http://schemas.openxmlformats.org/officeDocument/2006/relationships/hyperlink" Target="https://www.justice.gov/usao-nv/pr/las-vegas-man-sentenced-eight-years-prison-trading-child-pornography-over-instant" TargetMode="External"/><Relationship Id="rId630" Type="http://schemas.openxmlformats.org/officeDocument/2006/relationships/hyperlink" Target="https://www.justice.gov/usao-wdmo/pr/liberty-man-sentenced-child-pornography" TargetMode="External"/><Relationship Id="rId1463" Type="http://schemas.openxmlformats.org/officeDocument/2006/relationships/hyperlink" Target="https://www.cbp.gov/newsroom/local-media-release/border-patrol-agents-arrest-two-us-felons-alien-smuggling" TargetMode="External"/><Relationship Id="rId2794" Type="http://schemas.openxmlformats.org/officeDocument/2006/relationships/hyperlink" Target="https://www.sfgate.com/news/bayarea/article/Richmond-Man-Arrested-On-Suspicion-Of-Attempted-13267173.php" TargetMode="External"/><Relationship Id="rId1464" Type="http://schemas.openxmlformats.org/officeDocument/2006/relationships/hyperlink" Target="https://www.coloradoan.com/story/news/2018/03/26/police-fort-collins-man-possessed-700-000-child-porn-files/459781002/" TargetMode="External"/><Relationship Id="rId2795" Type="http://schemas.openxmlformats.org/officeDocument/2006/relationships/hyperlink" Target="https://www.justice.gov/usao-cdca/pr/federal-prosecutors-bring-child-pornography-and-other-exploitation-cases-part-ongoing" TargetMode="External"/><Relationship Id="rId1465" Type="http://schemas.openxmlformats.org/officeDocument/2006/relationships/hyperlink" Target="https://www.justice.gov/usao-mdfl/pr/brevard-man-sentenced-80-years-committing-sex-crimes-against-children" TargetMode="External"/><Relationship Id="rId2796" Type="http://schemas.openxmlformats.org/officeDocument/2006/relationships/hyperlink" Target="https://www.courtlistener.com/?q=&amp;type=r&amp;order_by=score+desc&amp;docket_number=2%3A18-cr-00477&amp;court=cacd" TargetMode="External"/><Relationship Id="rId1411" Type="http://schemas.openxmlformats.org/officeDocument/2006/relationships/hyperlink" Target="https://www.cbp.gov/newsroom/local-media-release/laredo-sector-border-patrol-agents-rescue-seven-illegal-aliens-during" TargetMode="External"/><Relationship Id="rId2742" Type="http://schemas.openxmlformats.org/officeDocument/2006/relationships/hyperlink" Target="https://archive.vn/eR8dt" TargetMode="External"/><Relationship Id="rId1412" Type="http://schemas.openxmlformats.org/officeDocument/2006/relationships/hyperlink" Target="https://www.newsmax.com/newsfront/secret-service-child-porn/2018/03/08/id/847518/" TargetMode="External"/><Relationship Id="rId2743" Type="http://schemas.openxmlformats.org/officeDocument/2006/relationships/hyperlink" Target="https://www.wfmynews2.com/article/news/crime/nc-grocery-store-becomes-scene-of-human-trafficking-bust/83-596359659" TargetMode="External"/><Relationship Id="rId1413" Type="http://schemas.openxmlformats.org/officeDocument/2006/relationships/hyperlink" Target="https://www.justice.gov/usao-ks/pr/convicted-sex-offender-sentenced-possessing-child-porn" TargetMode="External"/><Relationship Id="rId2744" Type="http://schemas.openxmlformats.org/officeDocument/2006/relationships/hyperlink" Target="https://www.ntd.tv/2018/09/19/star-chinese-scientist-in-texas-faces-child-pornography-charge/" TargetMode="External"/><Relationship Id="rId1414" Type="http://schemas.openxmlformats.org/officeDocument/2006/relationships/hyperlink" Target="https://www.justice.gov/usao-edok/pr/muldrow-man-sentenced-120-months-8500-restitution-possession-material-involving-sexual" TargetMode="External"/><Relationship Id="rId2745" Type="http://schemas.openxmlformats.org/officeDocument/2006/relationships/hyperlink" Target="https://www.cbp.gov/newsroom/national-media-release/four-trunk-smuggling-attempts-within-8-hours" TargetMode="External"/><Relationship Id="rId1415" Type="http://schemas.openxmlformats.org/officeDocument/2006/relationships/hyperlink" Target="https://arklahoma.blogspot.com/2018/06/muldrow-man-indicted-by-federal-grand.html" TargetMode="External"/><Relationship Id="rId2746" Type="http://schemas.openxmlformats.org/officeDocument/2006/relationships/hyperlink" Target="https://www.cbp.gov/newsroom/national-media-release/four-trunk-smuggling-attempts-within-8-hours" TargetMode="External"/><Relationship Id="rId1416" Type="http://schemas.openxmlformats.org/officeDocument/2006/relationships/hyperlink" Target="https://www.stltoday.com/news/local/crime-and-courts/pair-admit-forcing-jefferson-county-woman-into-prostitution-in-st/article_689b14af-4c22-550f-8acf-ac33efc9181b.html" TargetMode="External"/><Relationship Id="rId2747" Type="http://schemas.openxmlformats.org/officeDocument/2006/relationships/hyperlink" Target="https://www.cbp.gov/newsroom/national-media-release/four-trunk-smuggling-attempts-within-8-hours" TargetMode="External"/><Relationship Id="rId1417" Type="http://schemas.openxmlformats.org/officeDocument/2006/relationships/hyperlink" Target="https://www.justice.gov/usao-wdny/pr/jamestown-man-pleads-guilty-production-and-possession-child-pornography" TargetMode="External"/><Relationship Id="rId2748" Type="http://schemas.openxmlformats.org/officeDocument/2006/relationships/hyperlink" Target="https://www.cbp.gov/newsroom/national-media-release/four-trunk-smuggling-attempts-within-8-hours" TargetMode="External"/><Relationship Id="rId1418" Type="http://schemas.openxmlformats.org/officeDocument/2006/relationships/hyperlink" Target="https://www.justice.gov/usao-mdfl/pr/duval-county-high-school-teacher-arrested-and-charged-distribution-child-pornography" TargetMode="External"/><Relationship Id="rId2749" Type="http://schemas.openxmlformats.org/officeDocument/2006/relationships/hyperlink" Target="https://www.cbp.gov/newsroom/local-media-release/semi-truck-drivers-arrested-alien-smuggling" TargetMode="External"/><Relationship Id="rId1419" Type="http://schemas.openxmlformats.org/officeDocument/2006/relationships/hyperlink" Target="https://www.courtlistener.com/docket/7220051/united-states-v-clark/" TargetMode="External"/><Relationship Id="rId2740" Type="http://schemas.openxmlformats.org/officeDocument/2006/relationships/hyperlink" Target="https://www.shorenewsnetwork.com/2020/11/21/duval-man-sexually-assaulted-infant-shared-photos-to-others-on-social-media/" TargetMode="External"/><Relationship Id="rId1410" Type="http://schemas.openxmlformats.org/officeDocument/2006/relationships/hyperlink" Target="https://www.courtlistener.com/?q=&amp;type=r&amp;order_by=score+desc&amp;docket_number=1%3A18-cr-00051&amp;court=miwd" TargetMode="External"/><Relationship Id="rId2741" Type="http://schemas.openxmlformats.org/officeDocument/2006/relationships/hyperlink" Target="https://archive.vn/wip/rGNp9" TargetMode="External"/><Relationship Id="rId1400" Type="http://schemas.openxmlformats.org/officeDocument/2006/relationships/hyperlink" Target="https://www.courtlistener.com/docket/8392122/united-states-v-streit/" TargetMode="External"/><Relationship Id="rId2731" Type="http://schemas.openxmlformats.org/officeDocument/2006/relationships/hyperlink" Target="https://losangeles.cbslocal.com/2018/09/19/compton-human-trafficking/" TargetMode="External"/><Relationship Id="rId1401" Type="http://schemas.openxmlformats.org/officeDocument/2006/relationships/hyperlink" Target="https://www.justice.gov/usao-ndms/pr/oxford-native-sentenced-15-years-prison-human-trafficking" TargetMode="External"/><Relationship Id="rId2732" Type="http://schemas.openxmlformats.org/officeDocument/2006/relationships/hyperlink" Target="https://www.nwitimes.com/news/local/crime-and-courts/man-charged-with-possessing-child-porn-in-hammond/article_4eee4a2e-2b7d-576a-9001-2a3843986d04.html" TargetMode="External"/><Relationship Id="rId1402" Type="http://schemas.openxmlformats.org/officeDocument/2006/relationships/hyperlink" Target="https://www.justice.gov/usao-edmi/pr/fairfield-ohio-man-was-sentenced-child-pornography-charges" TargetMode="External"/><Relationship Id="rId2733" Type="http://schemas.openxmlformats.org/officeDocument/2006/relationships/hyperlink" Target="https://www.justice.gov/usao-wdmo/pr/mountain-view-man-sentenced-15-years-attempted-enticement-minor-sex" TargetMode="External"/><Relationship Id="rId1403" Type="http://schemas.openxmlformats.org/officeDocument/2006/relationships/hyperlink" Target="https://www.courtlistener.com/docket/7788600/united-states-v-whitaker/" TargetMode="External"/><Relationship Id="rId2734" Type="http://schemas.openxmlformats.org/officeDocument/2006/relationships/hyperlink" Target="https://www.justice.gov/usao-cdca/pr/federal-prosecutors-bring-child-pornography-and-other-exploitation-cases-part-ongoing" TargetMode="External"/><Relationship Id="rId1404" Type="http://schemas.openxmlformats.org/officeDocument/2006/relationships/hyperlink" Target="https://www.cbp.gov/newsroom/local-media-release/laredo-sector-border-patrol-agents-assist-rescue-15-illegal-aliens" TargetMode="External"/><Relationship Id="rId2735" Type="http://schemas.openxmlformats.org/officeDocument/2006/relationships/hyperlink" Target="https://www.courtlistener.com/docket/7918837/united-states-v-natale/" TargetMode="External"/><Relationship Id="rId1405" Type="http://schemas.openxmlformats.org/officeDocument/2006/relationships/hyperlink" Target="https://www.justice.gov/usao-wdny/pr/rochester-man-arrested-child-pornography-charges" TargetMode="External"/><Relationship Id="rId2736" Type="http://schemas.openxmlformats.org/officeDocument/2006/relationships/hyperlink" Target="https://www.justice.gov/usao-edny/pr/brooklyn-high-school-teacher-charged-production-child-pornography" TargetMode="External"/><Relationship Id="rId1406" Type="http://schemas.openxmlformats.org/officeDocument/2006/relationships/hyperlink" Target="https://www.justice.gov/usao-wdny/pr/rochester-man-sentenced-child-pornography-charge-0" TargetMode="External"/><Relationship Id="rId2737" Type="http://schemas.openxmlformats.org/officeDocument/2006/relationships/hyperlink" Target="https://newyork.cbslocal.com/2018/09/20/teacher-pleads-not-guilty-to-child-porn/" TargetMode="External"/><Relationship Id="rId1407" Type="http://schemas.openxmlformats.org/officeDocument/2006/relationships/hyperlink" Target="https://www.justice.gov/usao-ndny/pr/st-lawrence-county-man-arrested-child-pornography-charges" TargetMode="External"/><Relationship Id="rId2738" Type="http://schemas.openxmlformats.org/officeDocument/2006/relationships/hyperlink" Target="https://www.courtlistener.com/docket/8359525/united-states-v-deutsch/" TargetMode="External"/><Relationship Id="rId1408" Type="http://schemas.openxmlformats.org/officeDocument/2006/relationships/hyperlink" Target="https://www.courtlistener.com/docket/6326930/united-states-v-hargrave/" TargetMode="External"/><Relationship Id="rId2739" Type="http://schemas.openxmlformats.org/officeDocument/2006/relationships/hyperlink" Target="https://www.justice.gov/usao-mdfl/pr/duval-man-sentenced-80-years-producing-photographs-his-sexual-assault-infant-and" TargetMode="External"/><Relationship Id="rId1409" Type="http://schemas.openxmlformats.org/officeDocument/2006/relationships/hyperlink" Target="https://www.justice.gov/usao-wdmi/pr/2019_0923_Urbina" TargetMode="External"/><Relationship Id="rId2730" Type="http://schemas.openxmlformats.org/officeDocument/2006/relationships/hyperlink" Target="https://www.laconiadailysun.com/news/local/local-man-charged-with-multiple-sex-crimes/article_9843748e-ba9a-11e8-b522-f761a8616e30.html" TargetMode="External"/><Relationship Id="rId1433" Type="http://schemas.openxmlformats.org/officeDocument/2006/relationships/hyperlink" Target="http://archive.fo/Z6hIJ" TargetMode="External"/><Relationship Id="rId2764" Type="http://schemas.openxmlformats.org/officeDocument/2006/relationships/hyperlink" Target="https://www.abc27.com/news/local/man-charged-with-human-trafficking-waives-charges/1520032446" TargetMode="External"/><Relationship Id="rId1434" Type="http://schemas.openxmlformats.org/officeDocument/2006/relationships/hyperlink" Target="https://www.justice.gov/usao-wdtx/pr/killeen-husband-and-wife-sentenced-60-years-federal-prison-child-sexual-exploitation" TargetMode="External"/><Relationship Id="rId2765" Type="http://schemas.openxmlformats.org/officeDocument/2006/relationships/hyperlink" Target="https://www.justice.gov/usao-cdil/pr/sex-offender-indicted-federal-charges-child-sexual-exploitation" TargetMode="External"/><Relationship Id="rId1435" Type="http://schemas.openxmlformats.org/officeDocument/2006/relationships/hyperlink" Target="https://scallywagandvagabond.com/2018/11/christopher-almaguer-sarah-rashelle-almaguer-child-abuse/" TargetMode="External"/><Relationship Id="rId2766" Type="http://schemas.openxmlformats.org/officeDocument/2006/relationships/hyperlink" Target="https://www.courtlistener.com/docket/8041126/united-states-v-hewitt/" TargetMode="External"/><Relationship Id="rId1436" Type="http://schemas.openxmlformats.org/officeDocument/2006/relationships/hyperlink" Target="https://www.courtlistener.com/?q=&amp;type=r&amp;order_by=score+desc&amp;docket_number=6%3A18-cr-00069&amp;court=txwd" TargetMode="External"/><Relationship Id="rId2767" Type="http://schemas.openxmlformats.org/officeDocument/2006/relationships/hyperlink" Target="https://defensemaven.io/bluelivesmatter/news/four-arrested-for-planning-to-abduct-rape-torture-random-child-to-death-rex5tOfHukyqH3dRZOy0sQ/" TargetMode="External"/><Relationship Id="rId1437" Type="http://schemas.openxmlformats.org/officeDocument/2006/relationships/hyperlink" Target="http://archive.fo/8Q1da" TargetMode="External"/><Relationship Id="rId2768" Type="http://schemas.openxmlformats.org/officeDocument/2006/relationships/hyperlink" Target="https://www.justice.gov/usao-wdmo/pr/grain-valley-man-pleads-guilty-child-pornography-sexual-exploitation" TargetMode="External"/><Relationship Id="rId1438" Type="http://schemas.openxmlformats.org/officeDocument/2006/relationships/hyperlink" Target="http://archive.fo/Z6hIJ" TargetMode="External"/><Relationship Id="rId2769" Type="http://schemas.openxmlformats.org/officeDocument/2006/relationships/hyperlink" Target="https://www.wmdt.com/2018/09/two-people-facing-drug-and-prostitution-charges-in-delaware/" TargetMode="External"/><Relationship Id="rId1439" Type="http://schemas.openxmlformats.org/officeDocument/2006/relationships/hyperlink" Target="https://www.desmoinesregister.com/story/news/crime-and-courts/2018/03/13/former-iowa-aau-coach-greg-stephen-arrested-child-porn-charge/421030002/" TargetMode="External"/><Relationship Id="rId609" Type="http://schemas.openxmlformats.org/officeDocument/2006/relationships/hyperlink" Target="http://www.myarklamiss.com/news/local-news/louisiana-officer-arrested-for-carnal-knowledge-other-charges/816511912" TargetMode="External"/><Relationship Id="rId608" Type="http://schemas.openxmlformats.org/officeDocument/2006/relationships/hyperlink" Target="https://www.justice.gov/opa/pr/virginia-man-indicted-production-child-pornography" TargetMode="External"/><Relationship Id="rId607" Type="http://schemas.openxmlformats.org/officeDocument/2006/relationships/hyperlink" Target="http://archive.fo/aUTRC" TargetMode="External"/><Relationship Id="rId602" Type="http://schemas.openxmlformats.org/officeDocument/2006/relationships/hyperlink" Target="https://www.cbp.gov/newsroom/local-media-release/agents-find-meth-illegal-aliens-hidden-vehicles" TargetMode="External"/><Relationship Id="rId601" Type="http://schemas.openxmlformats.org/officeDocument/2006/relationships/hyperlink" Target="https://www.cbp.gov/newsroom/local-media-release/tucson-woman-arrested-i-19-immigration-checkpoint" TargetMode="External"/><Relationship Id="rId600" Type="http://schemas.openxmlformats.org/officeDocument/2006/relationships/hyperlink" Target="https://www.cbp.gov/newsroom/local-media-release/military-police-border-patrol-stop-human-smuggling-attempt" TargetMode="External"/><Relationship Id="rId606" Type="http://schemas.openxmlformats.org/officeDocument/2006/relationships/hyperlink" Target="http://archive.fo/Psdu2" TargetMode="External"/><Relationship Id="rId605" Type="http://schemas.openxmlformats.org/officeDocument/2006/relationships/hyperlink" Target="https://www.kq2.com/content/news/Former-St-Joseph-scout-leader-sentenced-for-distributing-child-pornography-508768101.html" TargetMode="External"/><Relationship Id="rId604" Type="http://schemas.openxmlformats.org/officeDocument/2006/relationships/hyperlink" Target="https://www.justice.gov/usao-wdmo/pr/former-st-joseph-scout-leader-sentenced-distributing-child-pornography" TargetMode="External"/><Relationship Id="rId603" Type="http://schemas.openxmlformats.org/officeDocument/2006/relationships/hyperlink" Target="https://www.desmoinesregister.com/story/news/crime-and-courts/2018/08/02/man-convicted-sex-trafficking-prostitution-following-arrest-iowa-hotel/890290002/" TargetMode="External"/><Relationship Id="rId2760" Type="http://schemas.openxmlformats.org/officeDocument/2006/relationships/hyperlink" Target="https://www.cbp.gov/newsroom/local-media-release/border-patrol-agents-discover-illegal-aliens-hidden-trailer" TargetMode="External"/><Relationship Id="rId1430" Type="http://schemas.openxmlformats.org/officeDocument/2006/relationships/hyperlink" Target="https://scallywagandvagabond.com/2018/11/christopher-almaguer-sarah-rashelle-almaguer-child-abuse/" TargetMode="External"/><Relationship Id="rId2761" Type="http://schemas.openxmlformats.org/officeDocument/2006/relationships/hyperlink" Target="https://www.cbp.gov/newsroom/local-media-release/border-patrol-agents-stop-box-truck-smuggling-attempt" TargetMode="External"/><Relationship Id="rId1431" Type="http://schemas.openxmlformats.org/officeDocument/2006/relationships/hyperlink" Target="https://www.courtlistener.com/?q=&amp;type=r&amp;order_by=score+desc&amp;docket_number=6%3A18-cr-00069&amp;court=txwd" TargetMode="External"/><Relationship Id="rId2762" Type="http://schemas.openxmlformats.org/officeDocument/2006/relationships/hyperlink" Target="https://www.cbp.gov/newsroom/local-media-release/border-patrol-agents-prevent-human-smuggling-attempt-involving-two" TargetMode="External"/><Relationship Id="rId1432" Type="http://schemas.openxmlformats.org/officeDocument/2006/relationships/hyperlink" Target="http://archive.fo/8Q1da" TargetMode="External"/><Relationship Id="rId2763" Type="http://schemas.openxmlformats.org/officeDocument/2006/relationships/hyperlink" Target="https://www.independent.com/news/2018/sep/26/prostitution-sting-arrests-17-goleta/" TargetMode="External"/><Relationship Id="rId1422" Type="http://schemas.openxmlformats.org/officeDocument/2006/relationships/hyperlink" Target="https://www.courtlistener.com/docket/6556297/united-states-v-hernandez/" TargetMode="External"/><Relationship Id="rId2753" Type="http://schemas.openxmlformats.org/officeDocument/2006/relationships/hyperlink" Target="https://www.justice.gov/usao-edca/pr/atwater-man-pleads-guilty-offenses-related-sexual-exploitation-children-through-social" TargetMode="External"/><Relationship Id="rId1423" Type="http://schemas.openxmlformats.org/officeDocument/2006/relationships/hyperlink" Target="http://www.nwfdailynews.com/news/20180309/crestview-man-arrested-on-multiple-child-porn-charges" TargetMode="External"/><Relationship Id="rId2754" Type="http://schemas.openxmlformats.org/officeDocument/2006/relationships/hyperlink" Target="https://www.justice.gov/usao-sdtx/pr/robstown-man-receives-significant-sentence-child-pornography-conviction" TargetMode="External"/><Relationship Id="rId1424" Type="http://schemas.openxmlformats.org/officeDocument/2006/relationships/hyperlink" Target="https://www.courtlistener.com/docket/6865542/united-states-v-monson/" TargetMode="External"/><Relationship Id="rId2755" Type="http://schemas.openxmlformats.org/officeDocument/2006/relationships/hyperlink" Target="https://www.courtlistener.com/docket/7874730/united-states-v-escareno/" TargetMode="External"/><Relationship Id="rId1425" Type="http://schemas.openxmlformats.org/officeDocument/2006/relationships/hyperlink" Target="https://www.cbp.gov/newsroom/local-media-release/border-patrol-agents-arrest-ms-13-gang-member-human-smuggling" TargetMode="External"/><Relationship Id="rId2756" Type="http://schemas.openxmlformats.org/officeDocument/2006/relationships/hyperlink" Target="https://www.justice.gov/usao-nm/pr/federal-jury-convicts-arthur-perrault-federal-child-sexual-abuse-charges" TargetMode="External"/><Relationship Id="rId1426" Type="http://schemas.openxmlformats.org/officeDocument/2006/relationships/hyperlink" Target="https://azdailysun.com/news/local/underage-prostitution-sting-by-flagstaff-police-nabs/article_398abb47-9aa8-5488-987c-4a26415af687.html" TargetMode="External"/><Relationship Id="rId2757" Type="http://schemas.openxmlformats.org/officeDocument/2006/relationships/hyperlink" Target="https://www.abqjournal.com/1080959/church-records-show-1970-abuse-allegation-roiled-st-pius.html" TargetMode="External"/><Relationship Id="rId1427" Type="http://schemas.openxmlformats.org/officeDocument/2006/relationships/hyperlink" Target="http://cullmantoday.com/2018/03/10/cullman-attorney-randy-hames-arrested-again/" TargetMode="External"/><Relationship Id="rId2758" Type="http://schemas.openxmlformats.org/officeDocument/2006/relationships/hyperlink" Target="http://archive.fo/kLIDM" TargetMode="External"/><Relationship Id="rId1428" Type="http://schemas.openxmlformats.org/officeDocument/2006/relationships/hyperlink" Target="https://www.thisdaylive.com/index.php/2018/03/20/lagos-police-arrests-two-for-sex-trafficking-rescue-victims/" TargetMode="External"/><Relationship Id="rId2759" Type="http://schemas.openxmlformats.org/officeDocument/2006/relationships/hyperlink" Target="http://archive.fo/zFHRQ" TargetMode="External"/><Relationship Id="rId1429" Type="http://schemas.openxmlformats.org/officeDocument/2006/relationships/hyperlink" Target="https://www.justice.gov/usao-wdtx/pr/killeen-husband-and-wife-sentenced-60-years-federal-prison-child-sexual-exploitation" TargetMode="External"/><Relationship Id="rId2750" Type="http://schemas.openxmlformats.org/officeDocument/2006/relationships/hyperlink" Target="https://www.cbp.gov/newsroom/local-media-release/border-patrol-intercept-four-alien-smuggling-attempts-rio-grande-valley" TargetMode="External"/><Relationship Id="rId1420" Type="http://schemas.openxmlformats.org/officeDocument/2006/relationships/hyperlink" Target="https://www.justice.gov/usao-mdpa/pr/new-jersey-man-indicted-transporting-minor-sex-and-production-child-pornography" TargetMode="External"/><Relationship Id="rId2751" Type="http://schemas.openxmlformats.org/officeDocument/2006/relationships/hyperlink" Target="https://www.courtlistener.com/docket/7902772/united-states-v-adams/" TargetMode="External"/><Relationship Id="rId1421" Type="http://schemas.openxmlformats.org/officeDocument/2006/relationships/hyperlink" Target="https://www.justice.gov/usao-ndca/pr/san-francisco-man-sentenced-15-years-prison-production-and-possession-child-pornography" TargetMode="External"/><Relationship Id="rId2752" Type="http://schemas.openxmlformats.org/officeDocument/2006/relationships/hyperlink" Target="https://www.justice.gov/usao-sdin/pr/bloomington-man-indicted-possession-child-pornography-0" TargetMode="External"/><Relationship Id="rId3238" Type="http://schemas.openxmlformats.org/officeDocument/2006/relationships/hyperlink" Target="https://www.justice.gov/usao-sdny/pr/three-members-trafficking-organization-charged-manhattan-federal-court-racketeering-sex" TargetMode="External"/><Relationship Id="rId4569" Type="http://schemas.openxmlformats.org/officeDocument/2006/relationships/hyperlink" Target="https://archive.vn/cjjxd" TargetMode="External"/><Relationship Id="rId3237" Type="http://schemas.openxmlformats.org/officeDocument/2006/relationships/hyperlink" Target="https://www.justice.gov/usao-sdny/pr/three-members-trafficking-organization-charged-manhattan-federal-court-racketeering-sex" TargetMode="External"/><Relationship Id="rId4568" Type="http://schemas.openxmlformats.org/officeDocument/2006/relationships/hyperlink" Target="https://gazette.com/news/man-arrested-in-sexual-assaults-human-trafficking/article_f285b1f0-d20d-11ea-b159-bba0ffee377b.html" TargetMode="External"/><Relationship Id="rId3239" Type="http://schemas.openxmlformats.org/officeDocument/2006/relationships/hyperlink" Target="https://www.ice.gov/news/releases/southeast-texas-man-who-wanted-marry-child-victim-sentenced-50-years-prison-producing" TargetMode="External"/><Relationship Id="rId3230" Type="http://schemas.openxmlformats.org/officeDocument/2006/relationships/hyperlink" Target="https://www.justice.gov/usao-edtx/pr/hopkins-county-man-sentenced-child-sexual-exploitation-violations" TargetMode="External"/><Relationship Id="rId4561" Type="http://schemas.openxmlformats.org/officeDocument/2006/relationships/hyperlink" Target="https://abc7ny.com/pastor-arrested-francis-hughes-minor-child-porn/6341516/" TargetMode="External"/><Relationship Id="rId4560" Type="http://schemas.openxmlformats.org/officeDocument/2006/relationships/hyperlink" Target="https://www.justice.gov/usao-sdny/pr/acting-us-attorney-announces-arrest-65-year-old-pastor-receipt-child-pornography" TargetMode="External"/><Relationship Id="rId3232" Type="http://schemas.openxmlformats.org/officeDocument/2006/relationships/hyperlink" Target="https://www.justice.gov/usao-sdny/pr/three-members-trafficking-organization-charged-manhattan-federal-court-racketeering-sex" TargetMode="External"/><Relationship Id="rId4563" Type="http://schemas.openxmlformats.org/officeDocument/2006/relationships/hyperlink" Target="https://archive.vn/zxl2v" TargetMode="External"/><Relationship Id="rId3231" Type="http://schemas.openxmlformats.org/officeDocument/2006/relationships/hyperlink" Target="https://www.courtlistener.com/docket/14962449/united-states-v-hill/" TargetMode="External"/><Relationship Id="rId4562" Type="http://schemas.openxmlformats.org/officeDocument/2006/relationships/hyperlink" Target="https://archive.vn/wip/3lkuD" TargetMode="External"/><Relationship Id="rId3234" Type="http://schemas.openxmlformats.org/officeDocument/2006/relationships/hyperlink" Target="https://www.courtlistener.com/docket/14665891/united-states-v-reinhold/" TargetMode="External"/><Relationship Id="rId4565" Type="http://schemas.openxmlformats.org/officeDocument/2006/relationships/hyperlink" Target="https://www.wvlt.tv/2020/07/29/teen-found-hiding-in-attic-of-nc-home-faces-human-trafficking-charges/" TargetMode="External"/><Relationship Id="rId3233" Type="http://schemas.openxmlformats.org/officeDocument/2006/relationships/hyperlink" Target="https://www.justice.gov/usao-ednc/pr/holly-ridge-man-sentenced-production-child-pornography" TargetMode="External"/><Relationship Id="rId4564" Type="http://schemas.openxmlformats.org/officeDocument/2006/relationships/hyperlink" Target="https://www.justice.gov/usao-wdwi/pr/grand-jury-returns-indictments-101" TargetMode="External"/><Relationship Id="rId3236" Type="http://schemas.openxmlformats.org/officeDocument/2006/relationships/hyperlink" Target="https://www.courtlistener.com/docket/14981753/united-states-v-mccurdy/" TargetMode="External"/><Relationship Id="rId4567" Type="http://schemas.openxmlformats.org/officeDocument/2006/relationships/hyperlink" Target="https://archive.vn/A4ecB" TargetMode="External"/><Relationship Id="rId3235" Type="http://schemas.openxmlformats.org/officeDocument/2006/relationships/hyperlink" Target="https://www.justice.gov/usao-mdga/pr/thepedoman-sentenced-prison-possession-child-porn" TargetMode="External"/><Relationship Id="rId4566" Type="http://schemas.openxmlformats.org/officeDocument/2006/relationships/hyperlink" Target="https://archive.vn/wip/z1zbU" TargetMode="External"/><Relationship Id="rId3227" Type="http://schemas.openxmlformats.org/officeDocument/2006/relationships/hyperlink" Target="https://www.courtlistener.com/docket/14642562/united-states-v-doyle/" TargetMode="External"/><Relationship Id="rId4558" Type="http://schemas.openxmlformats.org/officeDocument/2006/relationships/hyperlink" Target="https://www.justice.gov/usao-wdla/pr/pineville-man-charged-forced-labor-and-transporting-minor-intent-engage-criminal-sexual" TargetMode="External"/><Relationship Id="rId3226" Type="http://schemas.openxmlformats.org/officeDocument/2006/relationships/hyperlink" Target="https://www.justice.gov/usao-sdin/pr/hamilton-county-metropolitan-child-exploitation-task-force-members-recognized-operation" TargetMode="External"/><Relationship Id="rId4557" Type="http://schemas.openxmlformats.org/officeDocument/2006/relationships/hyperlink" Target="https://www.cbp.gov/newsroom/local-media-release/border-patrol-intercepts-human-smuggling-attempts" TargetMode="External"/><Relationship Id="rId3229" Type="http://schemas.openxmlformats.org/officeDocument/2006/relationships/hyperlink" Target="https://www.courtlistener.com/?q=&amp;type=r&amp;order_by=score+desc&amp;docket_number=1%3A18-cr-00151&amp;court=mtd" TargetMode="External"/><Relationship Id="rId3228" Type="http://schemas.openxmlformats.org/officeDocument/2006/relationships/hyperlink" Target="https://www.justice.gov/usao-mt/pr/former-us-fish-and-wildlife-service-employee-admits-possessing-child-pornography" TargetMode="External"/><Relationship Id="rId4559" Type="http://schemas.openxmlformats.org/officeDocument/2006/relationships/hyperlink" Target="https://www.justice.gov/usao-ndny/pr/fort-edward-man-charged-attempted-sex-trafficking-child" TargetMode="External"/><Relationship Id="rId699" Type="http://schemas.openxmlformats.org/officeDocument/2006/relationships/hyperlink" Target="https://www.justice.gov/usao-ndtx/pr/eight-men-arrested-federal-child-sex-trafficking-charges" TargetMode="External"/><Relationship Id="rId698" Type="http://schemas.openxmlformats.org/officeDocument/2006/relationships/hyperlink" Target="https://www.justice.gov/usao-edky/pr/former-harrison-county-constable-and-paris-firefighter-sentenced-420-months-using-minor" TargetMode="External"/><Relationship Id="rId693" Type="http://schemas.openxmlformats.org/officeDocument/2006/relationships/hyperlink" Target="http://archive.fo/stgH0" TargetMode="External"/><Relationship Id="rId4550" Type="http://schemas.openxmlformats.org/officeDocument/2006/relationships/hyperlink" Target="https://www.justice.gov/usao-mdfl/pr/jacksonville-man-indicted-production-child-pornography" TargetMode="External"/><Relationship Id="rId692" Type="http://schemas.openxmlformats.org/officeDocument/2006/relationships/hyperlink" Target="http://archive.fo/Ru8YE" TargetMode="External"/><Relationship Id="rId691" Type="http://schemas.openxmlformats.org/officeDocument/2006/relationships/hyperlink" Target="https://www.chron.com/news/houston-texas/article/Missouri-City-man-charged-with-sex-trafficking-12269462.php" TargetMode="External"/><Relationship Id="rId3221" Type="http://schemas.openxmlformats.org/officeDocument/2006/relationships/hyperlink" Target="https://www.courtlistener.com/docket/15056260/united-states-v-harris-jr/" TargetMode="External"/><Relationship Id="rId4552" Type="http://schemas.openxmlformats.org/officeDocument/2006/relationships/hyperlink" Target="https://www.justice.gov/usao-ma/pr/dorchester-man-charged-second-superseding-indictment-sex-trafficking-over-15-year-period" TargetMode="External"/><Relationship Id="rId690" Type="http://schemas.openxmlformats.org/officeDocument/2006/relationships/hyperlink" Target="https://www.justice.gov/usao-sdtx/pr/missouri-city-man-sentenced-having-trafficked-12-year-old-girl-sex" TargetMode="External"/><Relationship Id="rId3220" Type="http://schemas.openxmlformats.org/officeDocument/2006/relationships/hyperlink" Target="https://www.justice.gov/usao-wdpa/pr/former-wilkinsburg-man-sentenced-prison-possessing-images-and-videos-showing-sexual" TargetMode="External"/><Relationship Id="rId4551" Type="http://schemas.openxmlformats.org/officeDocument/2006/relationships/hyperlink" Target="https://www.cbp.gov/newsroom/local-media-release/tractor-trailer-human-smuggler-arrested-border-patrol-0" TargetMode="External"/><Relationship Id="rId697" Type="http://schemas.openxmlformats.org/officeDocument/2006/relationships/hyperlink" Target="https://www.cbp.gov/newsroom/local-media-release/border-patrol-agents-stop-human-smuggling-attempt" TargetMode="External"/><Relationship Id="rId3223" Type="http://schemas.openxmlformats.org/officeDocument/2006/relationships/hyperlink" Target="https://www.justice.gov/usao-wdny/pr/canadian-woman-pleads-guilty-involving-attempt-smuggle-alien-car-trunk" TargetMode="External"/><Relationship Id="rId4554" Type="http://schemas.openxmlformats.org/officeDocument/2006/relationships/hyperlink" Target="https://www.justice.gov/usao-wdny/pr/local-hospital-nurse-charged-distribution-and-possession-child-pornography" TargetMode="External"/><Relationship Id="rId696" Type="http://schemas.openxmlformats.org/officeDocument/2006/relationships/hyperlink" Target="https://www.cbp.gov/newsroom/local-media-release/agents-arrest-3-us-citizens-human-smuggling" TargetMode="External"/><Relationship Id="rId3222" Type="http://schemas.openxmlformats.org/officeDocument/2006/relationships/hyperlink" Target="https://www.justice.gov/usao-wdwa/pr/repeat-sex-offender-sentenced-ten-years-prison-possession-images-child-rape-and" TargetMode="External"/><Relationship Id="rId4553" Type="http://schemas.openxmlformats.org/officeDocument/2006/relationships/hyperlink" Target="https://www.justice.gov/usao-ma/pr/dorchester-man-charged-second-superseding-indictment-sex-trafficking-over-15-year-period" TargetMode="External"/><Relationship Id="rId695" Type="http://schemas.openxmlformats.org/officeDocument/2006/relationships/hyperlink" Target="https://www.justice.gov/usao-md/pr/rockville-man-who-posed-modeling-agent-obtain-sexually-explicit-images-minor-female" TargetMode="External"/><Relationship Id="rId3225" Type="http://schemas.openxmlformats.org/officeDocument/2006/relationships/hyperlink" Target="https://www.justice.gov/usao-sd/pr/sioux-falls-man-sentenced-attempted-receipt-child-pornography" TargetMode="External"/><Relationship Id="rId4556" Type="http://schemas.openxmlformats.org/officeDocument/2006/relationships/hyperlink" Target="https://www.cbp.gov/newsroom/local-media-release/border-patrol-intercepts-human-smuggling-attempts" TargetMode="External"/><Relationship Id="rId694" Type="http://schemas.openxmlformats.org/officeDocument/2006/relationships/hyperlink" Target="https://www.fbi.gov/contact-us/field-offices/boston/news/press-releases/three-arrested-in-connection-with-human-trafficking-operation" TargetMode="External"/><Relationship Id="rId3224" Type="http://schemas.openxmlformats.org/officeDocument/2006/relationships/hyperlink" Target="https://wgno.com/2019/01/08/us-marshals-arrest-registered-sex-offender-for-child-pornography/" TargetMode="External"/><Relationship Id="rId4555" Type="http://schemas.openxmlformats.org/officeDocument/2006/relationships/hyperlink" Target="https://www.fbi.gov/contact-us/field-offices/albany/news/press-releases/convicted-sex-offender-from-underhill-charged-with-possessing-child-pornography" TargetMode="External"/><Relationship Id="rId3259" Type="http://schemas.openxmlformats.org/officeDocument/2006/relationships/hyperlink" Target="http://archive.fo/g5kjK" TargetMode="External"/><Relationship Id="rId3250" Type="http://schemas.openxmlformats.org/officeDocument/2006/relationships/hyperlink" Target="https://www.courtlistener.com/docket/14716356/united-states-v-cautino-latoni/" TargetMode="External"/><Relationship Id="rId4581" Type="http://schemas.openxmlformats.org/officeDocument/2006/relationships/hyperlink" Target="https://teamhcso.com/News/PressRelease/7cde94c2-4faa-4642-beea-387498dc0fd1/20-235-(2)" TargetMode="External"/><Relationship Id="rId4580" Type="http://schemas.openxmlformats.org/officeDocument/2006/relationships/hyperlink" Target="https://archive.vn/wip/Ij1qY" TargetMode="External"/><Relationship Id="rId3252" Type="http://schemas.openxmlformats.org/officeDocument/2006/relationships/hyperlink" Target="https://www.justice.gov/usao-pr/pr/four-arrested-child-pornography-charges" TargetMode="External"/><Relationship Id="rId4583" Type="http://schemas.openxmlformats.org/officeDocument/2006/relationships/hyperlink" Target="https://archive.vn/wip/yvlvj" TargetMode="External"/><Relationship Id="rId3251" Type="http://schemas.openxmlformats.org/officeDocument/2006/relationships/hyperlink" Target="http://archive.fo/g5kjK" TargetMode="External"/><Relationship Id="rId4582" Type="http://schemas.openxmlformats.org/officeDocument/2006/relationships/hyperlink" Target="https://archive.vn/wip/e7Y97" TargetMode="External"/><Relationship Id="rId3254" Type="http://schemas.openxmlformats.org/officeDocument/2006/relationships/hyperlink" Target="https://www.courtlistener.com/docket/14625610/united-states-v-perez-ninham/" TargetMode="External"/><Relationship Id="rId4585" Type="http://schemas.openxmlformats.org/officeDocument/2006/relationships/hyperlink" Target="https://archive.vn/wip/e7Y97" TargetMode="External"/><Relationship Id="rId3253" Type="http://schemas.openxmlformats.org/officeDocument/2006/relationships/hyperlink" Target="https://www.wapa.tv/noticias/locales/arrestan-a-miembro-de-la-guardia-nacional-por-pornografia-infantil_20131122444013.html" TargetMode="External"/><Relationship Id="rId4584" Type="http://schemas.openxmlformats.org/officeDocument/2006/relationships/hyperlink" Target="https://teamhcso.com/News/PressRelease/7cde94c2-4faa-4642-beea-387498dc0fd1/20-235-(2)" TargetMode="External"/><Relationship Id="rId3256" Type="http://schemas.openxmlformats.org/officeDocument/2006/relationships/hyperlink" Target="https://www.justice.gov/usao-pr/pr/four-arrested-child-pornography-charges" TargetMode="External"/><Relationship Id="rId4587" Type="http://schemas.openxmlformats.org/officeDocument/2006/relationships/hyperlink" Target="https://teamhcso.com/News/PressRelease/7cde94c2-4faa-4642-beea-387498dc0fd1/20-235-(2)" TargetMode="External"/><Relationship Id="rId3255" Type="http://schemas.openxmlformats.org/officeDocument/2006/relationships/hyperlink" Target="http://archive.fo/g5kjK" TargetMode="External"/><Relationship Id="rId4586" Type="http://schemas.openxmlformats.org/officeDocument/2006/relationships/hyperlink" Target="https://archive.vn/wip/alSYD" TargetMode="External"/><Relationship Id="rId3258" Type="http://schemas.openxmlformats.org/officeDocument/2006/relationships/hyperlink" Target="https://www.courtlistener.com/docket/14698622/united-states-v-velazquez-nieves/" TargetMode="External"/><Relationship Id="rId4589" Type="http://schemas.openxmlformats.org/officeDocument/2006/relationships/hyperlink" Target="https://archive.vn/wip/3bJHp" TargetMode="External"/><Relationship Id="rId3257" Type="http://schemas.openxmlformats.org/officeDocument/2006/relationships/hyperlink" Target="https://www.wapa.tv/noticias/locales/arrestan-a-miembro-de-la-guardia-nacional-por-pornografia-infantil_20131122444013.html" TargetMode="External"/><Relationship Id="rId4588" Type="http://schemas.openxmlformats.org/officeDocument/2006/relationships/hyperlink" Target="https://archive.vn/wip/e7Y97" TargetMode="External"/><Relationship Id="rId3249" Type="http://schemas.openxmlformats.org/officeDocument/2006/relationships/hyperlink" Target="https://www.wapa.tv/noticias/locales/arrestan-a-miembro-de-la-guardia-nacional-por-pornografia-infantil_20131122444013.html" TargetMode="External"/><Relationship Id="rId3248" Type="http://schemas.openxmlformats.org/officeDocument/2006/relationships/hyperlink" Target="https://www.justice.gov/usao-pr/pr/four-arrested-child-pornography-charges" TargetMode="External"/><Relationship Id="rId4579" Type="http://schemas.openxmlformats.org/officeDocument/2006/relationships/hyperlink" Target="https://www.cambridgeday.com/2020/07/30/man-charged-with-possessing-child-pornography/" TargetMode="External"/><Relationship Id="rId4570" Type="http://schemas.openxmlformats.org/officeDocument/2006/relationships/hyperlink" Target="https://archive.vn/PNX9W" TargetMode="External"/><Relationship Id="rId3241" Type="http://schemas.openxmlformats.org/officeDocument/2006/relationships/hyperlink" Target="https://www.courtlistener.com/?q=&amp;type=r&amp;order_by=score+desc&amp;docket_number=3%3A19-cr-00004&amp;court=wvnd" TargetMode="External"/><Relationship Id="rId4572" Type="http://schemas.openxmlformats.org/officeDocument/2006/relationships/hyperlink" Target="https://www.justice.gov/usao-ndtx/pr/dallas-police-officer-charged-child-sexual-exploitation" TargetMode="External"/><Relationship Id="rId3240" Type="http://schemas.openxmlformats.org/officeDocument/2006/relationships/hyperlink" Target="https://www.justice.gov/usao-ndwv/pr/berkeley-county-man-sentenced-child-pornography" TargetMode="External"/><Relationship Id="rId4571" Type="http://schemas.openxmlformats.org/officeDocument/2006/relationships/hyperlink" Target="https://www.justice.gov/usao-wdtx/pr/fbi-arrests-san-antonio-man-distribution-child-pornography" TargetMode="External"/><Relationship Id="rId3243" Type="http://schemas.openxmlformats.org/officeDocument/2006/relationships/hyperlink" Target="https://www.courtlistener.com/docket/14902899/united-states-v-salisbury/" TargetMode="External"/><Relationship Id="rId4574" Type="http://schemas.openxmlformats.org/officeDocument/2006/relationships/hyperlink" Target="https://archive.vn/wip/hxjGo" TargetMode="External"/><Relationship Id="rId3242" Type="http://schemas.openxmlformats.org/officeDocument/2006/relationships/hyperlink" Target="https://www.justice.gov/usao-ndny/pr/montgomery-county-man-sentenced-30-years-producing-and-transporting-child-pornography" TargetMode="External"/><Relationship Id="rId4573" Type="http://schemas.openxmlformats.org/officeDocument/2006/relationships/hyperlink" Target="https://www.fox19.com/2020/08/22/fmr-dallas-police-officer-pleads-guilty-possession-sadistic-child-porn/" TargetMode="External"/><Relationship Id="rId3245" Type="http://schemas.openxmlformats.org/officeDocument/2006/relationships/hyperlink" Target="https://www.ice.gov/news/releases/former-childrens-swim-school-employee-pleads-guilty-child-pornography-charges" TargetMode="External"/><Relationship Id="rId4576" Type="http://schemas.openxmlformats.org/officeDocument/2006/relationships/hyperlink" Target="http://www.crimevoice.com/2020/07/31/human-trafficking-12/" TargetMode="External"/><Relationship Id="rId3244" Type="http://schemas.openxmlformats.org/officeDocument/2006/relationships/hyperlink" Target="https://www.justice.gov/usao-edmo/pr/east-saint-louis-man-sentenced-216-months-prison-child-pornography" TargetMode="External"/><Relationship Id="rId4575" Type="http://schemas.openxmlformats.org/officeDocument/2006/relationships/hyperlink" Target="https://archive.vn/wip/Idi6r" TargetMode="External"/><Relationship Id="rId3247" Type="http://schemas.openxmlformats.org/officeDocument/2006/relationships/hyperlink" Target="http://archive.fo/iXqaS" TargetMode="External"/><Relationship Id="rId4578" Type="http://schemas.openxmlformats.org/officeDocument/2006/relationships/hyperlink" Target="https://archive.vn/siBrH" TargetMode="External"/><Relationship Id="rId3246" Type="http://schemas.openxmlformats.org/officeDocument/2006/relationships/hyperlink" Target="https://patch.com/pennsylvania/uppermoreland/ex-employee-montco-childrens-swim-school-had-child-porn-feds" TargetMode="External"/><Relationship Id="rId4577" Type="http://schemas.openxmlformats.org/officeDocument/2006/relationships/hyperlink" Target="https://archive.vn/qdhqj" TargetMode="External"/><Relationship Id="rId1499" Type="http://schemas.openxmlformats.org/officeDocument/2006/relationships/hyperlink" Target="https://www.justice.gov/usao-edny/pr/founder-nxivm-purported-self-help-organization-based-albany-ny-arrested-sex-trafficking" TargetMode="External"/><Relationship Id="rId4525" Type="http://schemas.openxmlformats.org/officeDocument/2006/relationships/hyperlink" Target="https://whnt.com/news/athens/man-arrested-on-drug-charges-now-facing-63-additional-charges-including-child-porn-human-trafficking-in-limestone-county/" TargetMode="External"/><Relationship Id="rId4524" Type="http://schemas.openxmlformats.org/officeDocument/2006/relationships/hyperlink" Target="https://www.justice.gov/usao-ndny/pr/saratoga-county-man-arrested-child-pornography-possession-charge" TargetMode="External"/><Relationship Id="rId4527" Type="http://schemas.openxmlformats.org/officeDocument/2006/relationships/hyperlink" Target="https://www.cbp.gov/newsroom/local-media-release/border-patrol-agents-thwart-dangerous-smuggling-attempt" TargetMode="External"/><Relationship Id="rId4526" Type="http://schemas.openxmlformats.org/officeDocument/2006/relationships/hyperlink" Target="https://archive.vn/wip/NfymB" TargetMode="External"/><Relationship Id="rId4529" Type="http://schemas.openxmlformats.org/officeDocument/2006/relationships/hyperlink" Target="https://www.justice.gov/usao-wdny/pr/alexander-man-arrested-charged-production-child-pornography" TargetMode="External"/><Relationship Id="rId4528" Type="http://schemas.openxmlformats.org/officeDocument/2006/relationships/hyperlink" Target="https://www.cbp.gov/newsroom/local-media-release/border-patrol-thwarts-two-sizable-human-smuggling-attempts" TargetMode="External"/><Relationship Id="rId668" Type="http://schemas.openxmlformats.org/officeDocument/2006/relationships/hyperlink" Target="https://www.justice.gov/usao-sdny/pr/bronx-man-charged-manhattan-federal-court-sex-trafficking-minors-and-other-related" TargetMode="External"/><Relationship Id="rId667" Type="http://schemas.openxmlformats.org/officeDocument/2006/relationships/hyperlink" Target="https://www.justice.gov/usao-edar/pr/jacksonville-man-sentenced-30-years-prison-production-child-pornography" TargetMode="External"/><Relationship Id="rId666" Type="http://schemas.openxmlformats.org/officeDocument/2006/relationships/hyperlink" Target="https://www.fbi.gov/contact-us/field-offices/seattle/news/press-releases/tacoma-area-task-forces-disrupt-gang-members-trafficking-minors-for-sexual-exploitation" TargetMode="External"/><Relationship Id="rId665" Type="http://schemas.openxmlformats.org/officeDocument/2006/relationships/hyperlink" Target="https://www.wwnytv.com/story/36684160/feds-charge-man-with-sexual-exploitation-of-carthage-boy" TargetMode="External"/><Relationship Id="rId669" Type="http://schemas.openxmlformats.org/officeDocument/2006/relationships/hyperlink" Target="https://www.cbp.gov/newsroom/local-media-release/laredo-sector-border-patrol-agents-arrest-juvenile-smugglers" TargetMode="External"/><Relationship Id="rId1490" Type="http://schemas.openxmlformats.org/officeDocument/2006/relationships/hyperlink" Target="http://www.abc17news.com/news/two-teens-arrested-for-child-porn-in-pulaski-county/719603558" TargetMode="External"/><Relationship Id="rId660" Type="http://schemas.openxmlformats.org/officeDocument/2006/relationships/hyperlink" Target="https://www.justice.gov/usao-edtn/pr/lucas-anthony-nichols-sentenced-262-months-child-pornography-offenses" TargetMode="External"/><Relationship Id="rId1491" Type="http://schemas.openxmlformats.org/officeDocument/2006/relationships/hyperlink" Target="https://www.cbp.gov/newsroom/media-releases/all?field_date_release_value%5Bmin%5D%5Byear%5D=2018&amp;field_date_release_value%5Bmin%5D%5Bmonth%5D=1&amp;field_date_release_value%5Bmin%5D%5Bday%5D=2&amp;field_date_release_value%5Bmax%5D%5Byear%5D=2019&amp;field_date_release_value%5Bmax%5D%5Bmonth%5D=1&amp;field_date_release_value%5Bmax%5D%5Bday%5D=2&amp;field_newsroom_type_tid_1=All&amp;body_value=&amp;page=80" TargetMode="External"/><Relationship Id="rId1492" Type="http://schemas.openxmlformats.org/officeDocument/2006/relationships/hyperlink" Target="https://www.azcentral.com/story/news/local/chandler/2018/04/03/chandler-man-arrested-suspicion-possessing-child-pornography/483963002/" TargetMode="External"/><Relationship Id="rId1493" Type="http://schemas.openxmlformats.org/officeDocument/2006/relationships/hyperlink" Target="https://www.justice.gov/usao-mdfl/pr/jacksonville-man-pleads-guilty-receiving-child-sex-abuse-videos-and-images-over" TargetMode="External"/><Relationship Id="rId1494" Type="http://schemas.openxmlformats.org/officeDocument/2006/relationships/hyperlink" Target="https://www.justice.gov/usao-mdfl/pr/jacksonville-man-sentenced-more-12-years-federal-prison-downloading-child-sex-abuse" TargetMode="External"/><Relationship Id="rId664" Type="http://schemas.openxmlformats.org/officeDocument/2006/relationships/hyperlink" Target="https://www.freep.com/story/news/local/michigan/detroit/2018/12/05/christian-maire-online-child-porn/2208890002/" TargetMode="External"/><Relationship Id="rId1495" Type="http://schemas.openxmlformats.org/officeDocument/2006/relationships/hyperlink" Target="https://www.cbp.gov/newsroom/local-media-release/border-patrol-agents-foil-weekend-smuggling-attempts" TargetMode="External"/><Relationship Id="rId4521" Type="http://schemas.openxmlformats.org/officeDocument/2006/relationships/hyperlink" Target="https://www.cbp.gov/newsroom/local-media-release/cbp-officers-save-mexican-national-non-factory-compartment-vehicle" TargetMode="External"/><Relationship Id="rId663" Type="http://schemas.openxmlformats.org/officeDocument/2006/relationships/hyperlink" Target="https://www.justice.gov/usao-edmi/pr/eight-men-sentenced-their-roles-international-child-pornography-production-ring" TargetMode="External"/><Relationship Id="rId1496" Type="http://schemas.openxmlformats.org/officeDocument/2006/relationships/hyperlink" Target="https://www.cbp.gov/newsroom/local-media-release/border-patrol-arrests-two-us-citizens-phoenix-caught-smuggling-humans" TargetMode="External"/><Relationship Id="rId4520" Type="http://schemas.openxmlformats.org/officeDocument/2006/relationships/hyperlink" Target="https://archive.vn/qheEf" TargetMode="External"/><Relationship Id="rId662" Type="http://schemas.openxmlformats.org/officeDocument/2006/relationships/hyperlink" Target="https://www.courtlistener.com/docket/7061366/united-states-v-nichols-tv2/" TargetMode="External"/><Relationship Id="rId1497" Type="http://schemas.openxmlformats.org/officeDocument/2006/relationships/hyperlink" Target="https://www.10tv.com/article/columbus-city-schools-principal-charged-soliciting" TargetMode="External"/><Relationship Id="rId4523" Type="http://schemas.openxmlformats.org/officeDocument/2006/relationships/hyperlink" Target="https://www.justice.gov/usao-wdpa/pr/charleroi-man-indicted-charges-relating-sexual-exploitation-minor" TargetMode="External"/><Relationship Id="rId661" Type="http://schemas.openxmlformats.org/officeDocument/2006/relationships/hyperlink" Target="https://mugshots.com/Current-Events/LUCAS-NICHOLS.161610067.html" TargetMode="External"/><Relationship Id="rId1498" Type="http://schemas.openxmlformats.org/officeDocument/2006/relationships/hyperlink" Target="https://www.justice.gov/usao-edny/pr/founder-nxivm-purported-self-help-organization-and-five-others-charged-superseding" TargetMode="External"/><Relationship Id="rId4522" Type="http://schemas.openxmlformats.org/officeDocument/2006/relationships/hyperlink" Target="https://www.justice.gov/usao-nj/pr/somerset-county-man-indicted-child-pornography-charges" TargetMode="External"/><Relationship Id="rId1488" Type="http://schemas.openxmlformats.org/officeDocument/2006/relationships/hyperlink" Target="https://www.justice.gov/usao-wdnc/pr/us-army-reserve-soldier-arrested-and-charged-sex-trafficking-and-related-offenses-0" TargetMode="External"/><Relationship Id="rId4514" Type="http://schemas.openxmlformats.org/officeDocument/2006/relationships/hyperlink" Target="https://archive.vn/XmoLC" TargetMode="External"/><Relationship Id="rId1489" Type="http://schemas.openxmlformats.org/officeDocument/2006/relationships/hyperlink" Target="https://www.courtlistener.com/docket/6353328/united-states-v-boston/" TargetMode="External"/><Relationship Id="rId4513" Type="http://schemas.openxmlformats.org/officeDocument/2006/relationships/hyperlink" Target="https://archive.vn/P3LGL" TargetMode="External"/><Relationship Id="rId4516" Type="http://schemas.openxmlformats.org/officeDocument/2006/relationships/hyperlink" Target="https://archive.vn/89rBa" TargetMode="External"/><Relationship Id="rId4515" Type="http://schemas.openxmlformats.org/officeDocument/2006/relationships/hyperlink" Target="https://www.clickorlando.com/news/local/2020/07/15/2-men-arrested-in-orange-county-human-trafficking-case/" TargetMode="External"/><Relationship Id="rId4518" Type="http://schemas.openxmlformats.org/officeDocument/2006/relationships/hyperlink" Target="https://www.clickorlando.com/news/local/2020/07/15/2-men-arrested-in-orange-county-human-trafficking-case" TargetMode="External"/><Relationship Id="rId4517" Type="http://schemas.openxmlformats.org/officeDocument/2006/relationships/hyperlink" Target="https://archive.vn/qheEf" TargetMode="External"/><Relationship Id="rId4519" Type="http://schemas.openxmlformats.org/officeDocument/2006/relationships/hyperlink" Target="https://archive.vn/89rBa" TargetMode="External"/><Relationship Id="rId657" Type="http://schemas.openxmlformats.org/officeDocument/2006/relationships/hyperlink" Target="https://www.justice.gov/usao-wdtx/pr/us-army-sergeant-ft-bliss-sentenced-60-years-federal-prison" TargetMode="External"/><Relationship Id="rId656" Type="http://schemas.openxmlformats.org/officeDocument/2006/relationships/hyperlink" Target="https://www.armytimes.com/news/your-army/2018/10/18/nco-at-fort-bliss-sentenced-to-60-years-in-prison-for-child-sexual-abuse-and-pornography/" TargetMode="External"/><Relationship Id="rId655" Type="http://schemas.openxmlformats.org/officeDocument/2006/relationships/hyperlink" Target="https://www.justice.gov/usao-wdny/pr/geneva-man-sentenced-receipt-child-pornography" TargetMode="External"/><Relationship Id="rId654" Type="http://schemas.openxmlformats.org/officeDocument/2006/relationships/hyperlink" Target="http://www.columbiatribune.com/news/20180924/iowa-sex-offender-arrested-in-sting-pleads-guilty-in-federal-court" TargetMode="External"/><Relationship Id="rId659" Type="http://schemas.openxmlformats.org/officeDocument/2006/relationships/hyperlink" Target="https://www.justice.gov/usao-sdoh/pr/preble-county-man-sentenced-possessing-child-pornography" TargetMode="External"/><Relationship Id="rId658" Type="http://schemas.openxmlformats.org/officeDocument/2006/relationships/hyperlink" Target="https://www.courtlistener.com/?q=&amp;type=r&amp;order_by=score+desc&amp;docket_number=3%3A17-cr-02286&amp;court=txwd" TargetMode="External"/><Relationship Id="rId1480" Type="http://schemas.openxmlformats.org/officeDocument/2006/relationships/hyperlink" Target="http://www.nwaonline.com/news/2018/mar/20/migrant-rescuers-ship-seized-italy/?news-world" TargetMode="External"/><Relationship Id="rId1481" Type="http://schemas.openxmlformats.org/officeDocument/2006/relationships/hyperlink" Target="http://www.wctv.tv/content/news/Three-arrested-in-Orlando-for-human-trafficking-drugs-477318303.html" TargetMode="External"/><Relationship Id="rId1482" Type="http://schemas.openxmlformats.org/officeDocument/2006/relationships/hyperlink" Target="http://www.taipeitimes.com/News/front/archives/2018/03/21/2003689710" TargetMode="External"/><Relationship Id="rId1483" Type="http://schemas.openxmlformats.org/officeDocument/2006/relationships/hyperlink" Target="http://www.cbs8.com/story/37787877/san-diego-sheriffs-deputy-faces-molestation-charges" TargetMode="External"/><Relationship Id="rId653" Type="http://schemas.openxmlformats.org/officeDocument/2006/relationships/hyperlink" Target="https://www.justice.gov/usao-wdmo/pr/iowa-sex-offender-sentenced-15-years-attempting-produce-child-pornography" TargetMode="External"/><Relationship Id="rId1484" Type="http://schemas.openxmlformats.org/officeDocument/2006/relationships/hyperlink" Target="https://www.justice.gov/usao-ndwv/pr/harrison-county-man-admits-child-pornography-charge" TargetMode="External"/><Relationship Id="rId4510" Type="http://schemas.openxmlformats.org/officeDocument/2006/relationships/hyperlink" Target="https://archive.vn/bGHj4" TargetMode="External"/><Relationship Id="rId652" Type="http://schemas.openxmlformats.org/officeDocument/2006/relationships/hyperlink" Target="https://www.courtlistener.com/docket/6558561/united-states-v-mahoney/" TargetMode="External"/><Relationship Id="rId1485" Type="http://schemas.openxmlformats.org/officeDocument/2006/relationships/hyperlink" Target="https://usatodayhss.com/2018/jeremy-smith-coach-possession-child-porn" TargetMode="External"/><Relationship Id="rId651" Type="http://schemas.openxmlformats.org/officeDocument/2006/relationships/hyperlink" Target="https://www.justice.gov/usao-wdwa/pr/bothell-man-pleads-guilty-sex-crimes-involving-14-year-old-child" TargetMode="External"/><Relationship Id="rId1486" Type="http://schemas.openxmlformats.org/officeDocument/2006/relationships/hyperlink" Target="https://www.justice.gov/usao-wdtx/pr/el-paso-man-sentenced-20-years-federal-prison-receipt-and-distribution-child-1" TargetMode="External"/><Relationship Id="rId4512" Type="http://schemas.openxmlformats.org/officeDocument/2006/relationships/hyperlink" Target="https://www.dailystar.co.uk/news/world-news/cam-girl-pleads-not-guilty-22351507" TargetMode="External"/><Relationship Id="rId650" Type="http://schemas.openxmlformats.org/officeDocument/2006/relationships/hyperlink" Target="https://www.justice.gov/usao-edky/pr/grant-county-man-sentenced-14-years-distributing-and-possessing-child-pornography" TargetMode="External"/><Relationship Id="rId1487" Type="http://schemas.openxmlformats.org/officeDocument/2006/relationships/hyperlink" Target="https://www.courtlistener.com/docket/7073882/united-states-v-marquez/" TargetMode="External"/><Relationship Id="rId4511" Type="http://schemas.openxmlformats.org/officeDocument/2006/relationships/hyperlink" Target="https://www.cbp.gov/newsroom/local-media-release/coordinated-efforts-produce-major-arrests" TargetMode="External"/><Relationship Id="rId3216" Type="http://schemas.openxmlformats.org/officeDocument/2006/relationships/hyperlink" Target="https://archive.vn/wip/JRx8o" TargetMode="External"/><Relationship Id="rId4547" Type="http://schemas.openxmlformats.org/officeDocument/2006/relationships/hyperlink" Target="https://archive.vn/Gt5CM" TargetMode="External"/><Relationship Id="rId3215" Type="http://schemas.openxmlformats.org/officeDocument/2006/relationships/hyperlink" Target="https://denver.cbslocal.com/2020/11/10/patrick-mcmahon-child-pornography-ex-wife-laptop-colorado-teacher-ellicott-high-schoo-calhan/" TargetMode="External"/><Relationship Id="rId4546" Type="http://schemas.openxmlformats.org/officeDocument/2006/relationships/hyperlink" Target="https://www.msn.com/en-us/news/crime/ex-barber-teacher-prep-coach-charged-with-child-porn/ar-BB1718SJ" TargetMode="External"/><Relationship Id="rId3218" Type="http://schemas.openxmlformats.org/officeDocument/2006/relationships/hyperlink" Target="https://www.justice.gov/usao-ks/pr/former-kansas-man-sentenced-child-pornography" TargetMode="External"/><Relationship Id="rId4549" Type="http://schemas.openxmlformats.org/officeDocument/2006/relationships/hyperlink" Target="https://www.fbi.gov/contact-us/field-offices/cleveland/news/press-releases/fbi-cleveland-announces-arrest-in-child-sex-crimes-case" TargetMode="External"/><Relationship Id="rId3217" Type="http://schemas.openxmlformats.org/officeDocument/2006/relationships/hyperlink" Target="https://archive.vn/jbyIl" TargetMode="External"/><Relationship Id="rId4548" Type="http://schemas.openxmlformats.org/officeDocument/2006/relationships/hyperlink" Target="https://archive.vn/wNpsb" TargetMode="External"/><Relationship Id="rId3219" Type="http://schemas.openxmlformats.org/officeDocument/2006/relationships/hyperlink" Target="https://www.courtlistener.com/docket/14603620/united-states-v-millican/" TargetMode="External"/><Relationship Id="rId689" Type="http://schemas.openxmlformats.org/officeDocument/2006/relationships/hyperlink" Target="https://www.justice.gov/usao-wdny/pr/grand-island-man-pleads-guilty-child-pornography-charge" TargetMode="External"/><Relationship Id="rId688" Type="http://schemas.openxmlformats.org/officeDocument/2006/relationships/hyperlink" Target="https://archive.vn/SyaXY" TargetMode="External"/><Relationship Id="rId687" Type="http://schemas.openxmlformats.org/officeDocument/2006/relationships/hyperlink" Target="https://archive.vn/92WzX" TargetMode="External"/><Relationship Id="rId682" Type="http://schemas.openxmlformats.org/officeDocument/2006/relationships/hyperlink" Target="https://www.justice.gov/usao-ndal/pr/decatur-man-indicted-kidnapping-child-sex-trafficking-charges" TargetMode="External"/><Relationship Id="rId681" Type="http://schemas.openxmlformats.org/officeDocument/2006/relationships/hyperlink" Target="http://nbc4i.com/2017/10/19/doctors-and-cops-among-277-arrested-in-human-trafficking-online-prostitution-sting-in-florida/" TargetMode="External"/><Relationship Id="rId680" Type="http://schemas.openxmlformats.org/officeDocument/2006/relationships/hyperlink" Target="http://www.wbbjtv.com/2017/10/09/jackson-man-arrested-human-trafficking-charges/" TargetMode="External"/><Relationship Id="rId3210" Type="http://schemas.openxmlformats.org/officeDocument/2006/relationships/hyperlink" Target="https://www.justice.gov/usao-edva/pr/sex-traffickers-sentenced-combined-81-years-prison" TargetMode="External"/><Relationship Id="rId4541" Type="http://schemas.openxmlformats.org/officeDocument/2006/relationships/hyperlink" Target="https://www.justice.gov/usao-ndil/pr/registered-sex-offender-chicago-charged-possessing-child-pornography" TargetMode="External"/><Relationship Id="rId4540" Type="http://schemas.openxmlformats.org/officeDocument/2006/relationships/hyperlink" Target="https://www.cbp.gov/newsroom/local-media-release/busy-day-border-patrol-yields-significant-apprehensions" TargetMode="External"/><Relationship Id="rId686" Type="http://schemas.openxmlformats.org/officeDocument/2006/relationships/hyperlink" Target="https://www.justice.gov/usao-edpa/pr/former-radnor-township-board-commissioners-president-indicted" TargetMode="External"/><Relationship Id="rId3212" Type="http://schemas.openxmlformats.org/officeDocument/2006/relationships/hyperlink" Target="https://www.justice.gov/usao-sdia/pr/davenport-man-sentenced-prison-child-pornography-offenses" TargetMode="External"/><Relationship Id="rId4543" Type="http://schemas.openxmlformats.org/officeDocument/2006/relationships/hyperlink" Target="https://archive.vn/IGCZn" TargetMode="External"/><Relationship Id="rId685" Type="http://schemas.openxmlformats.org/officeDocument/2006/relationships/hyperlink" Target="http://www.philly.com/philly/news/crime/radnor-township-commissioners-president-phil-ahr-charged-with-child-sexual-abuse-20171011.html" TargetMode="External"/><Relationship Id="rId3211" Type="http://schemas.openxmlformats.org/officeDocument/2006/relationships/hyperlink" Target="https://www.justice.gov/usao-ndwv/pr/maryland-man-indicted-child-pornography-charge" TargetMode="External"/><Relationship Id="rId4542" Type="http://schemas.openxmlformats.org/officeDocument/2006/relationships/hyperlink" Target="https://www.justice.gov/usao-ndok/pr/former-teacher-pleads-guilty-child-pornography-charges" TargetMode="External"/><Relationship Id="rId684" Type="http://schemas.openxmlformats.org/officeDocument/2006/relationships/hyperlink" Target="http://pkbpolice.com/child-pornography-arrest-2/" TargetMode="External"/><Relationship Id="rId3214" Type="http://schemas.openxmlformats.org/officeDocument/2006/relationships/hyperlink" Target="https://www.justice.gov/usao-co/pr/calhan-school-teacher-sentenced-nearly-4-years-federal-prison-possession-child" TargetMode="External"/><Relationship Id="rId4545" Type="http://schemas.openxmlformats.org/officeDocument/2006/relationships/hyperlink" Target="https://www.justice.gov/usao-wdpa/pr/erie-man-facing-charges-related-sexual-exploitation-children" TargetMode="External"/><Relationship Id="rId683" Type="http://schemas.openxmlformats.org/officeDocument/2006/relationships/hyperlink" Target="https://www.myhorrynews.com/news/crime/conway-man-pleads-guilty-to-forced-labor-charge/article_790d14aa-69cb-11e8-81b0-ef0214d4d64d.html" TargetMode="External"/><Relationship Id="rId3213" Type="http://schemas.openxmlformats.org/officeDocument/2006/relationships/hyperlink" Target="https://www.justice.gov/usao-edtn/pr/washington-state-man-sentenced-child-exploitation-tennessee" TargetMode="External"/><Relationship Id="rId4544" Type="http://schemas.openxmlformats.org/officeDocument/2006/relationships/hyperlink" Target="https://archive.vn/Q1U4V" TargetMode="External"/><Relationship Id="rId3205" Type="http://schemas.openxmlformats.org/officeDocument/2006/relationships/hyperlink" Target="https://www.justice.gov/usao-edva/pr/sex-traffickers-sentenced-combined-81-years-prison" TargetMode="External"/><Relationship Id="rId4536" Type="http://schemas.openxmlformats.org/officeDocument/2006/relationships/hyperlink" Target="https://www.justice.gov/usao-wdpa/pr/blair-county-man-charged-sextortion-production-material-depicting-sexual-exploitation" TargetMode="External"/><Relationship Id="rId3204" Type="http://schemas.openxmlformats.org/officeDocument/2006/relationships/hyperlink" Target="https://www.justice.gov/usao-nv/pr/two-reno-residents-sentenced-possession-child-pornography" TargetMode="External"/><Relationship Id="rId4535" Type="http://schemas.openxmlformats.org/officeDocument/2006/relationships/hyperlink" Target="https://archive.vn/wip/7s9E2" TargetMode="External"/><Relationship Id="rId3207" Type="http://schemas.openxmlformats.org/officeDocument/2006/relationships/hyperlink" Target="https://www.justice.gov/usao-edva/pr/sex-traffickers-sentenced-combined-81-years-prison" TargetMode="External"/><Relationship Id="rId4538" Type="http://schemas.openxmlformats.org/officeDocument/2006/relationships/hyperlink" Target="https://www.justice.gov/usao-ndny/pr/saratoga-county-man-charged-transporting-child-pornography" TargetMode="External"/><Relationship Id="rId3206" Type="http://schemas.openxmlformats.org/officeDocument/2006/relationships/hyperlink" Target="https://www.justice.gov/usao-edva/pr/sex-traffickers-sentenced-combined-81-years-prison" TargetMode="External"/><Relationship Id="rId4537" Type="http://schemas.openxmlformats.org/officeDocument/2006/relationships/hyperlink" Target="https://www.justice.gov/usao-sdwv/pr/virginia-man-pleads-guilty-attempted-sex-trafficking-minor" TargetMode="External"/><Relationship Id="rId3209" Type="http://schemas.openxmlformats.org/officeDocument/2006/relationships/hyperlink" Target="https://www.justice.gov/usao-edva/pr/sex-traffickers-sentenced-combined-81-years-prison" TargetMode="External"/><Relationship Id="rId3208" Type="http://schemas.openxmlformats.org/officeDocument/2006/relationships/hyperlink" Target="https://www.justice.gov/usao-edva/pr/sex-traffickers-sentenced-combined-81-years-prison" TargetMode="External"/><Relationship Id="rId4539" Type="http://schemas.openxmlformats.org/officeDocument/2006/relationships/hyperlink" Target="https://www.justice.gov/usao-ndca/pr/bay-point-man-charged-and-detained-charges-distributing-child-pornography" TargetMode="External"/><Relationship Id="rId679" Type="http://schemas.openxmlformats.org/officeDocument/2006/relationships/hyperlink" Target="https://www.usnews.com/news/best-states/vermont/articles/2018-10-02/2-sentenced-for-roles-in-quebec-vermont-human-smuggling-case" TargetMode="External"/><Relationship Id="rId678" Type="http://schemas.openxmlformats.org/officeDocument/2006/relationships/hyperlink" Target="https://www.cbp.gov/newsroom/local-media-release/border-patrol-stops-2-human-smuggling-vehicles" TargetMode="External"/><Relationship Id="rId677" Type="http://schemas.openxmlformats.org/officeDocument/2006/relationships/hyperlink" Target="https://www.courtlistener.com/?q=&amp;type=r&amp;order_by=score+desc&amp;docket_number=1%3A17-cr-00230&amp;court=miwd" TargetMode="External"/><Relationship Id="rId676" Type="http://schemas.openxmlformats.org/officeDocument/2006/relationships/hyperlink" Target="https://www.woodtv.com/news/kalamazoo-and-battle-creek/girlfriend-of-sex-trafficker-accused-of-threats-faces-prison/1257248509" TargetMode="External"/><Relationship Id="rId671" Type="http://schemas.openxmlformats.org/officeDocument/2006/relationships/hyperlink" Target="https://www.ktts.com/news/local-news/feds-accuse-springfield-man-of-running-online-child-porn-chat-group" TargetMode="External"/><Relationship Id="rId670" Type="http://schemas.openxmlformats.org/officeDocument/2006/relationships/hyperlink" Target="http://www.wtol.com/story/36526031/toledo-pastor-arrested-charged-with-sex-trafficking" TargetMode="External"/><Relationship Id="rId4530" Type="http://schemas.openxmlformats.org/officeDocument/2006/relationships/hyperlink" Target="https://www.loudountimes.com/news/new-york-man-charged-with-child-pornography-enticement-of-loudoun-minor-taken-into-federal-custody/article_fe410c28-cdc7-11ea-aa26-8f7f8a29aa14.html" TargetMode="External"/><Relationship Id="rId675" Type="http://schemas.openxmlformats.org/officeDocument/2006/relationships/hyperlink" Target="https://www.justice.gov/usao-wdmi/pr/2018_1023_Clayton_Hernandez" TargetMode="External"/><Relationship Id="rId3201" Type="http://schemas.openxmlformats.org/officeDocument/2006/relationships/hyperlink" Target="https://www.justice.gov/usao-me/pr/portland-man-pleads-guilty-possessing-child-pornography-1" TargetMode="External"/><Relationship Id="rId4532" Type="http://schemas.openxmlformats.org/officeDocument/2006/relationships/hyperlink" Target="https://archive.vn/tdaUy" TargetMode="External"/><Relationship Id="rId674" Type="http://schemas.openxmlformats.org/officeDocument/2006/relationships/hyperlink" Target="https://www.courtlistener.com/?q=&amp;type=r&amp;order_by=score+desc&amp;docket_number=1%3A18-cr-10092&amp;court=mad" TargetMode="External"/><Relationship Id="rId3200" Type="http://schemas.openxmlformats.org/officeDocument/2006/relationships/hyperlink" Target="https://www.courtlistener.com/docket/14859785/united-states-v-bonnette/" TargetMode="External"/><Relationship Id="rId4531" Type="http://schemas.openxmlformats.org/officeDocument/2006/relationships/hyperlink" Target="https://archive.vn/XCBvo" TargetMode="External"/><Relationship Id="rId673" Type="http://schemas.openxmlformats.org/officeDocument/2006/relationships/hyperlink" Target="https://www.justice.gov/usao-ma/pr/newton-man-charged-24-additional-offenses-associated-cyberstalking-former-housemate" TargetMode="External"/><Relationship Id="rId3203" Type="http://schemas.openxmlformats.org/officeDocument/2006/relationships/hyperlink" Target="https://www.justice.gov/usao-mdga/pr/former-pelham-georgia-resident-sentenced-15-years-federal-prison-distributing-child" TargetMode="External"/><Relationship Id="rId4534" Type="http://schemas.openxmlformats.org/officeDocument/2006/relationships/hyperlink" Target="https://archive.vn/wip/2fQBz" TargetMode="External"/><Relationship Id="rId672" Type="http://schemas.openxmlformats.org/officeDocument/2006/relationships/hyperlink" Target="https://www.justice.gov/usao-ma/pr/newton-man-sentenced-over-17-years-prison-extensive-cyberstalking-campaign" TargetMode="External"/><Relationship Id="rId3202" Type="http://schemas.openxmlformats.org/officeDocument/2006/relationships/hyperlink" Target="https://www.courtlistener.com/docket/15566813/united-states-v-holland/" TargetMode="External"/><Relationship Id="rId4533" Type="http://schemas.openxmlformats.org/officeDocument/2006/relationships/hyperlink" Target="https://www.wistv.com/2020/07/21/standoff-ends-mans-arrest-sex-trafficking-connection-missing-columbia-juvenile/" TargetMode="External"/><Relationship Id="rId190" Type="http://schemas.openxmlformats.org/officeDocument/2006/relationships/hyperlink" Target="https://www.cincinnati.com/story/news/crime/crime-and-courts/2019/04/10/documents-sharonville-man-had-girl-crack-cocaine-delivered-him/3425987002/" TargetMode="External"/><Relationship Id="rId5019" Type="http://schemas.openxmlformats.org/officeDocument/2006/relationships/hyperlink" Target="https://www.justice.gov/usao-sdny/pr/canadian-fashion-executive-peter-j-nygard-charged-sex-trafficking-and-racketeering" TargetMode="External"/><Relationship Id="rId194" Type="http://schemas.openxmlformats.org/officeDocument/2006/relationships/hyperlink" Target="http://archive.fo/nEhC7" TargetMode="External"/><Relationship Id="rId193" Type="http://schemas.openxmlformats.org/officeDocument/2006/relationships/hyperlink" Target="http://archive.fo/mBCCq" TargetMode="External"/><Relationship Id="rId192" Type="http://schemas.openxmlformats.org/officeDocument/2006/relationships/hyperlink" Target="https://www.courtlistener.com/docket/6475058/united-states-v-ritter/" TargetMode="External"/><Relationship Id="rId191" Type="http://schemas.openxmlformats.org/officeDocument/2006/relationships/hyperlink" Target="https://www.justice.gov/usao-sdoh/pr/local-man-sentenced-8-years-prison-sex-trafficking-minor" TargetMode="External"/><Relationship Id="rId5010" Type="http://schemas.openxmlformats.org/officeDocument/2006/relationships/hyperlink" Target="https://archive.vn/czqOg" TargetMode="External"/><Relationship Id="rId187" Type="http://schemas.openxmlformats.org/officeDocument/2006/relationships/hyperlink" Target="http://swoknews.com/local/trafficking-case-leads-first-week-docket" TargetMode="External"/><Relationship Id="rId5013" Type="http://schemas.openxmlformats.org/officeDocument/2006/relationships/hyperlink" Target="https://archive.vn/czqOg" TargetMode="External"/><Relationship Id="rId186" Type="http://schemas.openxmlformats.org/officeDocument/2006/relationships/hyperlink" Target="https://www.courtlistener.com/docket/7806836/united-states-v-manthe/" TargetMode="External"/><Relationship Id="rId5014" Type="http://schemas.openxmlformats.org/officeDocument/2006/relationships/hyperlink" Target="https://archive.vn/czqOg" TargetMode="External"/><Relationship Id="rId185" Type="http://schemas.openxmlformats.org/officeDocument/2006/relationships/hyperlink" Target="https://www.justice.gov/usao-wdmo/pr/columbia-man-sentenced-15-years-child-sex-trafficking-0" TargetMode="External"/><Relationship Id="rId5011" Type="http://schemas.openxmlformats.org/officeDocument/2006/relationships/hyperlink" Target="https://archive.vn/czqOg" TargetMode="External"/><Relationship Id="rId184" Type="http://schemas.openxmlformats.org/officeDocument/2006/relationships/hyperlink" Target="https://www.justice.gov/usao-wdmo/pr/two-more-columbia-men-charged-related-prostitution-operation" TargetMode="External"/><Relationship Id="rId5012" Type="http://schemas.openxmlformats.org/officeDocument/2006/relationships/hyperlink" Target="https://archive.vn/czqOg" TargetMode="External"/><Relationship Id="rId5017" Type="http://schemas.openxmlformats.org/officeDocument/2006/relationships/hyperlink" Target="https://archive.vn/czqOg" TargetMode="External"/><Relationship Id="rId5018" Type="http://schemas.openxmlformats.org/officeDocument/2006/relationships/hyperlink" Target="https://www.justice.gov/usao-sdtx/pr/walker-county-man-faces-child-pornography-and-cyberstalking-charges" TargetMode="External"/><Relationship Id="rId189" Type="http://schemas.openxmlformats.org/officeDocument/2006/relationships/hyperlink" Target="https://www.southbendtribune.com/news/publicsafety/mishawaka-man-arrested-charged-in-child-porn-investigation/article_8f35e2b0-42ef-50c4-b8d8-5dd50ed3bdfd.html" TargetMode="External"/><Relationship Id="rId5015" Type="http://schemas.openxmlformats.org/officeDocument/2006/relationships/hyperlink" Target="https://archive.vn/czqOg" TargetMode="External"/><Relationship Id="rId188" Type="http://schemas.openxmlformats.org/officeDocument/2006/relationships/hyperlink" Target="https://www.justice.gov/usao-de/pr/us-air-force-service-members-charged-sex-offenses-involving-minor" TargetMode="External"/><Relationship Id="rId5016" Type="http://schemas.openxmlformats.org/officeDocument/2006/relationships/hyperlink" Target="https://archive.vn/czqOg" TargetMode="External"/><Relationship Id="rId5008" Type="http://schemas.openxmlformats.org/officeDocument/2006/relationships/hyperlink" Target="https://archive.vn/czqOg" TargetMode="External"/><Relationship Id="rId5009" Type="http://schemas.openxmlformats.org/officeDocument/2006/relationships/hyperlink" Target="https://archive.vn/czqOg" TargetMode="External"/><Relationship Id="rId183" Type="http://schemas.openxmlformats.org/officeDocument/2006/relationships/hyperlink" Target="https://www.wtnh.com/news/crime/arrests-made-in-danbury-human-trafficking-ring/1068799273" TargetMode="External"/><Relationship Id="rId182" Type="http://schemas.openxmlformats.org/officeDocument/2006/relationships/hyperlink" Target="https://www.daytondailynews.com/news/crime--law/troy-man-faces-years-for-producing-porn-with-girls-aged-and/KCcFL7Kgw93e17Sk0H4LcO/" TargetMode="External"/><Relationship Id="rId181" Type="http://schemas.openxmlformats.org/officeDocument/2006/relationships/hyperlink" Target="http://www.startribune.com/east-metro-authorities-bust-expansive-sophisticated-sex-trafficking-ring/417482183/" TargetMode="External"/><Relationship Id="rId180" Type="http://schemas.openxmlformats.org/officeDocument/2006/relationships/hyperlink" Target="https://archive.fo/yPjds" TargetMode="External"/><Relationship Id="rId176" Type="http://schemas.openxmlformats.org/officeDocument/2006/relationships/hyperlink" Target="https://www.courtlistener.com/docket/7183418/united-states-v-symonds/" TargetMode="External"/><Relationship Id="rId5002" Type="http://schemas.openxmlformats.org/officeDocument/2006/relationships/hyperlink" Target="https://archive.vn/wip/s04NJ" TargetMode="External"/><Relationship Id="rId175" Type="http://schemas.openxmlformats.org/officeDocument/2006/relationships/hyperlink" Target="https://www.justice.gov/usao-sdfl/pr/man-sentenced-more-17-years-prison-traveling-dominican-republic-engage-sex-acts-minors" TargetMode="External"/><Relationship Id="rId5003" Type="http://schemas.openxmlformats.org/officeDocument/2006/relationships/hyperlink" Target="https://www.justice.gov/usao-ct/pr/state-court-victim-advocate-charged-distributing-child-sexual-abuse-material" TargetMode="External"/><Relationship Id="rId174" Type="http://schemas.openxmlformats.org/officeDocument/2006/relationships/hyperlink" Target="https://www.justice.gov/usao-ndin/pr/woodburn-man-sentenced-60-months-prison" TargetMode="External"/><Relationship Id="rId5000" Type="http://schemas.openxmlformats.org/officeDocument/2006/relationships/hyperlink" Target="https://6abc.com/upper-darby-pa-pennsylvania-child-porn/6202266/" TargetMode="External"/><Relationship Id="rId173" Type="http://schemas.openxmlformats.org/officeDocument/2006/relationships/hyperlink" Target="https://breaking911.com/just-in-maryland-man-gets-420-years-in-prison-for-filming-himself-sexually-abusing-3-toddlers/" TargetMode="External"/><Relationship Id="rId5001" Type="http://schemas.openxmlformats.org/officeDocument/2006/relationships/hyperlink" Target="https://archive.vn/GHjaS" TargetMode="External"/><Relationship Id="rId5006" Type="http://schemas.openxmlformats.org/officeDocument/2006/relationships/hyperlink" Target="https://archive.vn/czqOg" TargetMode="External"/><Relationship Id="rId179" Type="http://schemas.openxmlformats.org/officeDocument/2006/relationships/hyperlink" Target="https://archive.fo/LMsdL" TargetMode="External"/><Relationship Id="rId5007" Type="http://schemas.openxmlformats.org/officeDocument/2006/relationships/hyperlink" Target="https://archive.vn/wip/twYAC" TargetMode="External"/><Relationship Id="rId178" Type="http://schemas.openxmlformats.org/officeDocument/2006/relationships/hyperlink" Target="http://www.tucsonnewsnow.com/2019/02/14/former-corrections-officer-sentenced-years-child-pornography/" TargetMode="External"/><Relationship Id="rId5004" Type="http://schemas.openxmlformats.org/officeDocument/2006/relationships/hyperlink" Target="https://www.cbp.gov/newsroom/local-media-release/28-arrested-during-2-foiled-maritime-smuggling-events" TargetMode="External"/><Relationship Id="rId177" Type="http://schemas.openxmlformats.org/officeDocument/2006/relationships/hyperlink" Target="https://www.ice.gov/news/releases/douglas-man-sentenced-60-years-prison-production-and-distribution-child-pornography" TargetMode="External"/><Relationship Id="rId5005" Type="http://schemas.openxmlformats.org/officeDocument/2006/relationships/hyperlink" Target="https://www.kold.com/2020/12/14/phoenix-police-chandler-police-arrest-men-online-sex-crimes-investigation/" TargetMode="External"/><Relationship Id="rId5031" Type="http://schemas.openxmlformats.org/officeDocument/2006/relationships/hyperlink" Target="https://www.justice.gov/usao-ne/pr/four-omaha-men-indicted-sex-trafficking-minors" TargetMode="External"/><Relationship Id="rId5032" Type="http://schemas.openxmlformats.org/officeDocument/2006/relationships/hyperlink" Target="https://www.justice.gov/usao-mt/pr/helena-man-appears-allegations-sexually-exploiting-children-and-receiving-child" TargetMode="External"/><Relationship Id="rId5030" Type="http://schemas.openxmlformats.org/officeDocument/2006/relationships/hyperlink" Target="https://www.justice.gov/usao-ndny/pr/manlius-man-arrested-child-pornography-charges" TargetMode="External"/><Relationship Id="rId5035" Type="http://schemas.openxmlformats.org/officeDocument/2006/relationships/hyperlink" Target="https://www.mytwintiers.com/crime/bath-man-charged-with-distributing-child-pornography-previously-convicted-twice/" TargetMode="External"/><Relationship Id="rId5036" Type="http://schemas.openxmlformats.org/officeDocument/2006/relationships/hyperlink" Target="https://archive.vn/wip/Eppfn" TargetMode="External"/><Relationship Id="rId5033" Type="http://schemas.openxmlformats.org/officeDocument/2006/relationships/hyperlink" Target="https://www.cbp.gov/newsroom/local-media-release/border-patrol-arrests-armed-smugglers" TargetMode="External"/><Relationship Id="rId5034" Type="http://schemas.openxmlformats.org/officeDocument/2006/relationships/hyperlink" Target="https://www.justice.gov/usao-wdny/pr/bath-man-arrested-charged-receipt-and-distribution-child-pornography" TargetMode="External"/><Relationship Id="rId5039" Type="http://schemas.openxmlformats.org/officeDocument/2006/relationships/hyperlink" Target="https://www.cbp.gov/newsroom/local-media-release/border-patrol-stops-human-smuggling-attempt-refrigerated-trailer" TargetMode="External"/><Relationship Id="rId5037" Type="http://schemas.openxmlformats.org/officeDocument/2006/relationships/hyperlink" Target="https://archive.vn/DmKeG" TargetMode="External"/><Relationship Id="rId5038" Type="http://schemas.openxmlformats.org/officeDocument/2006/relationships/hyperlink" Target="https://www.cbp.gov/newsroom/local-media-release/two-arrested-aliens-concealed-car-trunk" TargetMode="External"/><Relationship Id="rId5020" Type="http://schemas.openxmlformats.org/officeDocument/2006/relationships/hyperlink" Target="https://www.theguardian.com/world/2020/dec/15/peter-nygard-canadian-fashion-mogul-arrested" TargetMode="External"/><Relationship Id="rId5021" Type="http://schemas.openxmlformats.org/officeDocument/2006/relationships/hyperlink" Target="https://archive.vn/dQ6sl" TargetMode="External"/><Relationship Id="rId198" Type="http://schemas.openxmlformats.org/officeDocument/2006/relationships/hyperlink" Target="https://archive.vn/LZonF" TargetMode="External"/><Relationship Id="rId5024" Type="http://schemas.openxmlformats.org/officeDocument/2006/relationships/hyperlink" Target="https://www.justice.gov/usao-ma/pr/boston-man-arrested-federal-child-pornography-charge" TargetMode="External"/><Relationship Id="rId197" Type="http://schemas.openxmlformats.org/officeDocument/2006/relationships/hyperlink" Target="https://www.wccbcharlotte.com/2017/04/24/charlotte-man-along-wife-mother-charged-conspiracy-sex-traffic-minors/pic/352613/" TargetMode="External"/><Relationship Id="rId5025" Type="http://schemas.openxmlformats.org/officeDocument/2006/relationships/hyperlink" Target="https://www.justice.gov/usao-ma/pr/randolph-man-arrested-sex-trafficking-minor" TargetMode="External"/><Relationship Id="rId196" Type="http://schemas.openxmlformats.org/officeDocument/2006/relationships/hyperlink" Target="https://www.justice.gov/usao-wdnc/pr/sex-trafficker-three-underage-girls-sentenced-30-years" TargetMode="External"/><Relationship Id="rId5022" Type="http://schemas.openxmlformats.org/officeDocument/2006/relationships/hyperlink" Target="https://archive.vn/wip/8NSCw" TargetMode="External"/><Relationship Id="rId195" Type="http://schemas.openxmlformats.org/officeDocument/2006/relationships/hyperlink" Target="https://www.justice.gov/usao-ndia/pr/man-who-emailed-video-teenager-being-raped-sentenced-federal-prison" TargetMode="External"/><Relationship Id="rId5023" Type="http://schemas.openxmlformats.org/officeDocument/2006/relationships/hyperlink" Target="https://www.justice.gov/usao-nv/pr/us-attorneys-office-and-fbi-announce-federal-charges-and-arrests-december-2020-human" TargetMode="External"/><Relationship Id="rId5028" Type="http://schemas.openxmlformats.org/officeDocument/2006/relationships/hyperlink" Target="https://www.justice.gov/usao-wdny/pr/grand-jury-indicts-kenmore-man-multiple-charges-production-receipt-and-possession-child" TargetMode="External"/><Relationship Id="rId5029" Type="http://schemas.openxmlformats.org/officeDocument/2006/relationships/hyperlink" Target="https://www.justice.gov/usao-cdil/pr/springfield-man-indicted-alleged-sexual-exploitation-children" TargetMode="External"/><Relationship Id="rId5026" Type="http://schemas.openxmlformats.org/officeDocument/2006/relationships/hyperlink" Target="https://www.justice.gov/usao-sdtx/pr/walker-county-man-faces-child-pornography-and-cyberstalking-charges" TargetMode="External"/><Relationship Id="rId199" Type="http://schemas.openxmlformats.org/officeDocument/2006/relationships/hyperlink" Target="https://www.justice.gov/usao-wdnc/pr/sex-trafficker-three-underage-girls-sentenced-30-years" TargetMode="External"/><Relationship Id="rId5027" Type="http://schemas.openxmlformats.org/officeDocument/2006/relationships/hyperlink" Target="https://www.cbp.gov/newsroom/local-media-release/bp-arrests-smuggler-3-rental-car-trunk" TargetMode="External"/><Relationship Id="rId150" Type="http://schemas.openxmlformats.org/officeDocument/2006/relationships/hyperlink" Target="https://www.justice.gov/usao-mdpa/pr/virginia-man-sentenced-over-19-years-imprisonment-production-child-pornography" TargetMode="External"/><Relationship Id="rId149" Type="http://schemas.openxmlformats.org/officeDocument/2006/relationships/hyperlink" Target="https://www.ajc.com/news/crime--law/sandy-springs-man-charged-with-human-trafficking-says-falsely-imprisoned/v3hchDJHezJPlqSY6PiliN/" TargetMode="External"/><Relationship Id="rId148" Type="http://schemas.openxmlformats.org/officeDocument/2006/relationships/hyperlink" Target="https://www.usnews.com/news/best-states/arizona/articles/2018-03-21/man-accused-of-sex-trafficking-in-phoenix-gets-prison-term" TargetMode="External"/><Relationship Id="rId3270" Type="http://schemas.openxmlformats.org/officeDocument/2006/relationships/hyperlink" Target="https://www.justice.gov/usao-ks/pr/repeat-sex-offender-sentenced-distributing-child-pornography" TargetMode="External"/><Relationship Id="rId3272" Type="http://schemas.openxmlformats.org/officeDocument/2006/relationships/hyperlink" Target="https://www.courtlistener.com/docket/14660807/united-states-v-bell/" TargetMode="External"/><Relationship Id="rId3271" Type="http://schemas.openxmlformats.org/officeDocument/2006/relationships/hyperlink" Target="https://www.justice.gov/usao-wdok/pr/pimp-who-recorded-sex-child-victim-sentenced-18-years-prison" TargetMode="External"/><Relationship Id="rId143" Type="http://schemas.openxmlformats.org/officeDocument/2006/relationships/hyperlink" Target="https://www.justice.gov/usao-wdpa/pr/meadville-pa-man-pleads-guilty-project-safe-childhood-case" TargetMode="External"/><Relationship Id="rId3274" Type="http://schemas.openxmlformats.org/officeDocument/2006/relationships/hyperlink" Target="https://www.wfla.com/amp/national/police-toddler-who-died-was-sexual-physical-abuse-victim/1713494611" TargetMode="External"/><Relationship Id="rId142" Type="http://schemas.openxmlformats.org/officeDocument/2006/relationships/hyperlink" Target="https://www.courtlistener.com/docket/7524671/united-states-v-potrafka/" TargetMode="External"/><Relationship Id="rId3273" Type="http://schemas.openxmlformats.org/officeDocument/2006/relationships/hyperlink" Target="https://www.justice.gov/usao-sdtx/pr/conroe-man-hit-huge-60-year-sentence" TargetMode="External"/><Relationship Id="rId141" Type="http://schemas.openxmlformats.org/officeDocument/2006/relationships/hyperlink" Target="https://www.justice.gov/usao-ednc/pr/burgaw-man-sentenced-more-18-years-child-pornography-offense" TargetMode="External"/><Relationship Id="rId3276" Type="http://schemas.openxmlformats.org/officeDocument/2006/relationships/hyperlink" Target="https://www.justice.gov/usao-ndoh/pr/men-navarre-and-huron-indicted-child-pornography-charges" TargetMode="External"/><Relationship Id="rId140" Type="http://schemas.openxmlformats.org/officeDocument/2006/relationships/hyperlink" Target="https://www.justice.gov/usao-wdmo/pr/kc-man-sentenced-child-pornography" TargetMode="External"/><Relationship Id="rId3275" Type="http://schemas.openxmlformats.org/officeDocument/2006/relationships/hyperlink" Target="https://www.justice.gov/usao-mn/pr/cass-county-man-charged-stalking-child-pornography" TargetMode="External"/><Relationship Id="rId147" Type="http://schemas.openxmlformats.org/officeDocument/2006/relationships/hyperlink" Target="https://www.justice.gov/usao-sdtx/pr/houston-man-gets-massive-sentence-sex-trafficking-minors-commercial-sex" TargetMode="External"/><Relationship Id="rId3278" Type="http://schemas.openxmlformats.org/officeDocument/2006/relationships/hyperlink" Target="https://www.justice.gov/usao-sdtx/pr/laredoan-pleads-guilty-child-pornography-charge" TargetMode="External"/><Relationship Id="rId146" Type="http://schemas.openxmlformats.org/officeDocument/2006/relationships/hyperlink" Target="https://www.justice.gov/usao-sdwv/pr/multiple-project-safe-childhood-psc-defendants-appear-federal-court" TargetMode="External"/><Relationship Id="rId3277" Type="http://schemas.openxmlformats.org/officeDocument/2006/relationships/hyperlink" Target="https://www.courtlistener.com/?q=&amp;type=r&amp;order_by=score+desc&amp;docket_number=5%3A19-cr-00066&amp;court=ohnd" TargetMode="External"/><Relationship Id="rId145" Type="http://schemas.openxmlformats.org/officeDocument/2006/relationships/hyperlink" Target="https://www.justice.gov/usao-sdwv/pr/kentucky-man-pleads-guilty-sex-trafficking-minor" TargetMode="External"/><Relationship Id="rId144" Type="http://schemas.openxmlformats.org/officeDocument/2006/relationships/hyperlink" Target="https://www.meadvilletribune.com/news/local_news/meadville-man-indicted-federally-on-sexual-exploitation-of-children-charges/article_66bc7c7f-643e-59ba-a3a3-83819088aded.html" TargetMode="External"/><Relationship Id="rId3279" Type="http://schemas.openxmlformats.org/officeDocument/2006/relationships/hyperlink" Target="https://www.courtlistener.com/docket/14758529/united-states-v-castro/" TargetMode="External"/><Relationship Id="rId139" Type="http://schemas.openxmlformats.org/officeDocument/2006/relationships/hyperlink" Target="https://www.fbi.gov/contact-us/field-offices/kansascity/news/press-releases/kansas-city-man-sentenced-for-child-pornography" TargetMode="External"/><Relationship Id="rId138" Type="http://schemas.openxmlformats.org/officeDocument/2006/relationships/hyperlink" Target="https://archive.vn/bU3Xx" TargetMode="External"/><Relationship Id="rId137" Type="http://schemas.openxmlformats.org/officeDocument/2006/relationships/hyperlink" Target="https://archive.vn/mEo8P" TargetMode="External"/><Relationship Id="rId4590" Type="http://schemas.openxmlformats.org/officeDocument/2006/relationships/hyperlink" Target="https://teamhcso.com/News/PressRelease/7cde94c2-4faa-4642-beea-387498dc0fd1/20-235-(2)" TargetMode="External"/><Relationship Id="rId3261" Type="http://schemas.openxmlformats.org/officeDocument/2006/relationships/hyperlink" Target="https://www.wapa.tv/noticias/locales/arrestan-a-miembro-de-la-guardia-nacional-por-pornografia-infantil_20131122444013.html" TargetMode="External"/><Relationship Id="rId4592" Type="http://schemas.openxmlformats.org/officeDocument/2006/relationships/hyperlink" Target="https://archive.vn/wip/21uqG" TargetMode="External"/><Relationship Id="rId3260" Type="http://schemas.openxmlformats.org/officeDocument/2006/relationships/hyperlink" Target="https://www.justice.gov/usao-pr/pr/four-arrested-child-pornography-charges" TargetMode="External"/><Relationship Id="rId4591" Type="http://schemas.openxmlformats.org/officeDocument/2006/relationships/hyperlink" Target="https://archive.vn/wip/e7Y97" TargetMode="External"/><Relationship Id="rId132" Type="http://schemas.openxmlformats.org/officeDocument/2006/relationships/hyperlink" Target="https://archive.fo/pKY71" TargetMode="External"/><Relationship Id="rId3263" Type="http://schemas.openxmlformats.org/officeDocument/2006/relationships/hyperlink" Target="http://archive.fo/g5kjK" TargetMode="External"/><Relationship Id="rId4594" Type="http://schemas.openxmlformats.org/officeDocument/2006/relationships/hyperlink" Target="https://archive.vn/wip/e7Y97" TargetMode="External"/><Relationship Id="rId131" Type="http://schemas.openxmlformats.org/officeDocument/2006/relationships/hyperlink" Target="https://archive.fo/pIN1f" TargetMode="External"/><Relationship Id="rId3262" Type="http://schemas.openxmlformats.org/officeDocument/2006/relationships/hyperlink" Target="https://www.courtlistener.com/docket/14590821/united-states-v-mendoza-reyes/" TargetMode="External"/><Relationship Id="rId4593" Type="http://schemas.openxmlformats.org/officeDocument/2006/relationships/hyperlink" Target="https://teamhcso.com/News/PressRelease/7cde94c2-4faa-4642-beea-387498dc0fd1/20-235-(2)" TargetMode="External"/><Relationship Id="rId130" Type="http://schemas.openxmlformats.org/officeDocument/2006/relationships/hyperlink" Target="https://www.tri-cityherald.com/news/local/crime/article220202410.html" TargetMode="External"/><Relationship Id="rId3265" Type="http://schemas.openxmlformats.org/officeDocument/2006/relationships/hyperlink" Target="https://www.courtlistener.com/docket/14982275/united-states-v-gonzalez/" TargetMode="External"/><Relationship Id="rId4596" Type="http://schemas.openxmlformats.org/officeDocument/2006/relationships/hyperlink" Target="https://teamhcso.com/News/PressRelease/7cde94c2-4faa-4642-beea-387498dc0fd1/20-235-(2)" TargetMode="External"/><Relationship Id="rId3264" Type="http://schemas.openxmlformats.org/officeDocument/2006/relationships/hyperlink" Target="https://www.justice.gov/usao-sdny/pr/westchester-man-sentenced-19-years-white-plains-federal-court-sex-trafficking-minors" TargetMode="External"/><Relationship Id="rId4595" Type="http://schemas.openxmlformats.org/officeDocument/2006/relationships/hyperlink" Target="https://archive.vn/wip/21uqG" TargetMode="External"/><Relationship Id="rId136" Type="http://schemas.openxmlformats.org/officeDocument/2006/relationships/hyperlink" Target="https://www.dailymail.co.uk/news/article-4298146/Parents-charged-700-sex-abuse-counts.html" TargetMode="External"/><Relationship Id="rId3267" Type="http://schemas.openxmlformats.org/officeDocument/2006/relationships/hyperlink" Target="https://www.courtlistener.com/docket/14710221/united-states-v-sun/" TargetMode="External"/><Relationship Id="rId4598" Type="http://schemas.openxmlformats.org/officeDocument/2006/relationships/hyperlink" Target="https://archive.vn/wip/21uqG" TargetMode="External"/><Relationship Id="rId135" Type="http://schemas.openxmlformats.org/officeDocument/2006/relationships/hyperlink" Target="https://archive.vn/nG39w" TargetMode="External"/><Relationship Id="rId3266" Type="http://schemas.openxmlformats.org/officeDocument/2006/relationships/hyperlink" Target="https://www.justice.gov/usao-or/pr/nationwide-sting-operation-targets-illegal-asian-brothels-six-indicted-racketeering" TargetMode="External"/><Relationship Id="rId4597" Type="http://schemas.openxmlformats.org/officeDocument/2006/relationships/hyperlink" Target="https://archive.vn/wip/e7Y97" TargetMode="External"/><Relationship Id="rId134" Type="http://schemas.openxmlformats.org/officeDocument/2006/relationships/hyperlink" Target="https://archive.vn/mEo8P" TargetMode="External"/><Relationship Id="rId3269" Type="http://schemas.openxmlformats.org/officeDocument/2006/relationships/hyperlink" Target="https://www.courtlistener.com/?q=&amp;type=r&amp;order_by=score+desc&amp;docket_number=3%3A18-cr-00559&amp;court=ord" TargetMode="External"/><Relationship Id="rId133" Type="http://schemas.openxmlformats.org/officeDocument/2006/relationships/hyperlink" Target="https://www.dailymail.co.uk/news/article-4298146/Parents-charged-700-sex-abuse-counts.html" TargetMode="External"/><Relationship Id="rId3268" Type="http://schemas.openxmlformats.org/officeDocument/2006/relationships/hyperlink" Target="https://www.justice.gov/usao-or/pr/nationwide-sting-operation-targets-illegal-asian-brothels-six-indicted-racketeering" TargetMode="External"/><Relationship Id="rId4599" Type="http://schemas.openxmlformats.org/officeDocument/2006/relationships/hyperlink" Target="https://teamhcso.com/News/PressRelease/7cde94c2-4faa-4642-beea-387498dc0fd1/20-235-(2)" TargetMode="External"/><Relationship Id="rId172" Type="http://schemas.openxmlformats.org/officeDocument/2006/relationships/hyperlink" Target="https://www.justice.gov/usao-md/pr/montgomery-county-man-convicted-federal-jury-producing-child-pornography" TargetMode="External"/><Relationship Id="rId171" Type="http://schemas.openxmlformats.org/officeDocument/2006/relationships/hyperlink" Target="https://www.reformer.com/stories/man-pleads-guilty-to-lewd-and-lascivious-charge,540389" TargetMode="External"/><Relationship Id="rId170" Type="http://schemas.openxmlformats.org/officeDocument/2006/relationships/hyperlink" Target="https://www.justice.gov/usao-vt/pr/child-sex-offender-sentenced-possession-child-pornography" TargetMode="External"/><Relationship Id="rId3290" Type="http://schemas.openxmlformats.org/officeDocument/2006/relationships/hyperlink" Target="https://turnto10.com/news/local/baseball-coach-accused-of-soliciting-a-child-over-the-internet" TargetMode="External"/><Relationship Id="rId3292" Type="http://schemas.openxmlformats.org/officeDocument/2006/relationships/hyperlink" Target="https://www.cbp.gov/newsroom/local-media-release/smuggling-attempt-stopped-yuma-sector-border-patrol" TargetMode="External"/><Relationship Id="rId3291" Type="http://schemas.openxmlformats.org/officeDocument/2006/relationships/hyperlink" Target="https://www.courtlistener.com/?q=&amp;type=r&amp;order_by=score+desc&amp;docket_number=2%3A19-cr-00162&amp;court=paed" TargetMode="External"/><Relationship Id="rId3294" Type="http://schemas.openxmlformats.org/officeDocument/2006/relationships/hyperlink" Target="https://archive.vn/X0D0Y" TargetMode="External"/><Relationship Id="rId3293" Type="http://schemas.openxmlformats.org/officeDocument/2006/relationships/hyperlink" Target="https://www.justice.gov/usao-nh/pr/manchester-man-pleads-guilty-sexual-exploitation-minor" TargetMode="External"/><Relationship Id="rId165" Type="http://schemas.openxmlformats.org/officeDocument/2006/relationships/hyperlink" Target="http://www.abc12.com/content/news/Saginaw-couple-in-custody-accused-of-human-trafficking-416240463.html" TargetMode="External"/><Relationship Id="rId3296" Type="http://schemas.openxmlformats.org/officeDocument/2006/relationships/hyperlink" Target="https://www.justice.gov/usao-sdtx/pr/houston-man-gets-significant-time-sexually-exploiting-young-children" TargetMode="External"/><Relationship Id="rId164" Type="http://schemas.openxmlformats.org/officeDocument/2006/relationships/hyperlink" Target="https://www.justice.gov/usao-ndny/pr/albany-sex-offender-sentenced-20-years-child-pornography-offenses" TargetMode="External"/><Relationship Id="rId3295" Type="http://schemas.openxmlformats.org/officeDocument/2006/relationships/hyperlink" Target="https://archive.vn/cUDe2" TargetMode="External"/><Relationship Id="rId163" Type="http://schemas.openxmlformats.org/officeDocument/2006/relationships/hyperlink" Target="https://www.courtlistener.com/?q=&amp;type=r&amp;order_by=score+desc&amp;docket_number=3%3A18-mj-00131&amp;court=nynd" TargetMode="External"/><Relationship Id="rId3298" Type="http://schemas.openxmlformats.org/officeDocument/2006/relationships/hyperlink" Target="https://www.justice.gov/usao-sdil/pr/st-clair-county-man-charged-producing-child-pornography" TargetMode="External"/><Relationship Id="rId162" Type="http://schemas.openxmlformats.org/officeDocument/2006/relationships/hyperlink" Target="https://www.cbp.gov/newsroom/local-media-release/man-arrested-border-allegedly-smuggling-4-undocumented-chinese" TargetMode="External"/><Relationship Id="rId3297" Type="http://schemas.openxmlformats.org/officeDocument/2006/relationships/hyperlink" Target="https://www.courtlistener.com/?q=&amp;type=r&amp;order_by=score+desc&amp;docket_number=4%3A19-cr-00068&amp;court=txsd" TargetMode="External"/><Relationship Id="rId169" Type="http://schemas.openxmlformats.org/officeDocument/2006/relationships/hyperlink" Target="https://www.justice.gov/usao-ma/pr/boylston-man-sentenced-child-pornography-charges" TargetMode="External"/><Relationship Id="rId168" Type="http://schemas.openxmlformats.org/officeDocument/2006/relationships/hyperlink" Target="https://www.justice.gov/usao-wdny/pr/gowanda-man-sentenced-child-pornography-charge" TargetMode="External"/><Relationship Id="rId3299" Type="http://schemas.openxmlformats.org/officeDocument/2006/relationships/hyperlink" Target="https://web.archive.org/web/20190401230449/https://fox2now.com/2019/01/29/east-st-louis-man-charged-with-child-pornography/" TargetMode="External"/><Relationship Id="rId167" Type="http://schemas.openxmlformats.org/officeDocument/2006/relationships/hyperlink" Target="https://www.justice.gov/usao-wdny/pr/gowanda-man-pleads-guilty-distribution-child-pornography" TargetMode="External"/><Relationship Id="rId166" Type="http://schemas.openxmlformats.org/officeDocument/2006/relationships/hyperlink" Target="https://fox59.com/2017/03/15/court-records-over-28000-child-porn-images-found-on-fort-wayne-mans-computer/" TargetMode="External"/><Relationship Id="rId161" Type="http://schemas.openxmlformats.org/officeDocument/2006/relationships/hyperlink" Target="http://archive.fo/9pYzF" TargetMode="External"/><Relationship Id="rId160" Type="http://schemas.openxmlformats.org/officeDocument/2006/relationships/hyperlink" Target="https://www.courtlistener.com/docket/14562602/parties/united-states-v-shaffer/" TargetMode="External"/><Relationship Id="rId159" Type="http://schemas.openxmlformats.org/officeDocument/2006/relationships/hyperlink" Target="https://archive.vn/g4XSA" TargetMode="External"/><Relationship Id="rId3281" Type="http://schemas.openxmlformats.org/officeDocument/2006/relationships/hyperlink" Target="https://www.courtlistener.com/docket/15026057/united-states-v-french/" TargetMode="External"/><Relationship Id="rId3280" Type="http://schemas.openxmlformats.org/officeDocument/2006/relationships/hyperlink" Target="https://www.justice.gov/usao-ndia/pr/cedar-rapids-man-sentenced-two-years-federal-prison-possessing-child-pornography" TargetMode="External"/><Relationship Id="rId3283" Type="http://schemas.openxmlformats.org/officeDocument/2006/relationships/hyperlink" Target="https://www.justice.gov/usao-wdla/pr/monroe-man-sentenced-20-years-federal-prison-receiving-child-pornography" TargetMode="External"/><Relationship Id="rId3282" Type="http://schemas.openxmlformats.org/officeDocument/2006/relationships/hyperlink" Target="https://www.justice.gov/usao-ndtx/pr/ndtx-round-august-28-september-3" TargetMode="External"/><Relationship Id="rId154" Type="http://schemas.openxmlformats.org/officeDocument/2006/relationships/hyperlink" Target="https://www.mercurynews.com/2017/03/02/chief-financial-officer-of-santa-clara-youth-organization-arrested-on-child-porn-charge/" TargetMode="External"/><Relationship Id="rId3285" Type="http://schemas.openxmlformats.org/officeDocument/2006/relationships/hyperlink" Target="https://patch.com/illinois/wheaton/volleyball-coach-charged-videotaping-kids-bathroom" TargetMode="External"/><Relationship Id="rId153" Type="http://schemas.openxmlformats.org/officeDocument/2006/relationships/hyperlink" Target="https://www.justice.gov/usao-wdny/pr/california-man-sentenced-child-pornography-charge" TargetMode="External"/><Relationship Id="rId3284" Type="http://schemas.openxmlformats.org/officeDocument/2006/relationships/hyperlink" Target="https://fox6now.com/2019/02/05/fbi-169-arrests-in-11-day-human-trafficking-sting-leading-up-to-super-bowl-liii/" TargetMode="External"/><Relationship Id="rId152" Type="http://schemas.openxmlformats.org/officeDocument/2006/relationships/hyperlink" Target="https://www.justice.gov/usao-or/pr/sandy-child-molester-sentenced-over-18-years-federal-prison-online-enticement-and-child" TargetMode="External"/><Relationship Id="rId3287" Type="http://schemas.openxmlformats.org/officeDocument/2006/relationships/hyperlink" Target="http://archive.fo/Dbznn" TargetMode="External"/><Relationship Id="rId151" Type="http://schemas.openxmlformats.org/officeDocument/2006/relationships/hyperlink" Target="https://www.justice.gov/usao-edtn/pr/child-predator-sentenced-300-months-enticement-and-child-pornography-offenses" TargetMode="External"/><Relationship Id="rId3286" Type="http://schemas.openxmlformats.org/officeDocument/2006/relationships/hyperlink" Target="https://www.courtlistener.com/docket/14996931/united-states-v-liedtke/" TargetMode="External"/><Relationship Id="rId158" Type="http://schemas.openxmlformats.org/officeDocument/2006/relationships/hyperlink" Target="https://www.justice.gov/usao-wdok/pr/former-state-senator-pleads-guilty-child-sex-trafficking" TargetMode="External"/><Relationship Id="rId3289" Type="http://schemas.openxmlformats.org/officeDocument/2006/relationships/hyperlink" Target="https://www.justice.gov/usao-ri/pr/youth-coach-charged-interstate-travel-engage-illicit-sexual-conduct-transferring-obscene" TargetMode="External"/><Relationship Id="rId157" Type="http://schemas.openxmlformats.org/officeDocument/2006/relationships/hyperlink" Target="https://www.cbp.gov/newsroom/local-media-release/known-smuggler-arrested-and-sentenced-after-inter-agency-operation" TargetMode="External"/><Relationship Id="rId3288" Type="http://schemas.openxmlformats.org/officeDocument/2006/relationships/hyperlink" Target="http://archive.fo/Eeen4" TargetMode="External"/><Relationship Id="rId156" Type="http://schemas.openxmlformats.org/officeDocument/2006/relationships/hyperlink" Target="https://www.ice.gov/news/releases/man-indicted-sex-trafficking-woman-9-years" TargetMode="External"/><Relationship Id="rId155" Type="http://schemas.openxmlformats.org/officeDocument/2006/relationships/hyperlink" Target="https://www.mtdemocrat.com/news/man-convicted-of-pimping-pandering/" TargetMode="External"/><Relationship Id="rId2820" Type="http://schemas.openxmlformats.org/officeDocument/2006/relationships/hyperlink" Target="https://www.courtlistener.com/docket/7958737/united-states-v-kim/" TargetMode="External"/><Relationship Id="rId2821" Type="http://schemas.openxmlformats.org/officeDocument/2006/relationships/hyperlink" Target="https://www.wtsp.com/article/news/crime/st-pete-men-charged-with-human-trafficking-after-allegedly-paying-teens-for-sex/67-599213820" TargetMode="External"/><Relationship Id="rId2822" Type="http://schemas.openxmlformats.org/officeDocument/2006/relationships/hyperlink" Target="https://www.cbp.gov/newsroom/local-media-release/laredo-sector-border-patrol-agents-apprehend-13-illegal-aliens-inside" TargetMode="External"/><Relationship Id="rId2823" Type="http://schemas.openxmlformats.org/officeDocument/2006/relationships/hyperlink" Target="https://oilcitywyo.com/emergency/2018/10/02/missing-man-found-in-nebraska-arrested-for-soliciting-prostitution/" TargetMode="External"/><Relationship Id="rId2824" Type="http://schemas.openxmlformats.org/officeDocument/2006/relationships/hyperlink" Target="https://www.cbp.gov/newsroom/local-media-release/local-tucson-man-arrested-smuggling-people-trunk" TargetMode="External"/><Relationship Id="rId2825" Type="http://schemas.openxmlformats.org/officeDocument/2006/relationships/hyperlink" Target="https://kvoa.com/ap-arizona-news/2018/10/02/arizona-man-accused-of-smuggling-3-migrants-in-trunk-of-car/" TargetMode="External"/><Relationship Id="rId2826" Type="http://schemas.openxmlformats.org/officeDocument/2006/relationships/hyperlink" Target="https://www.cbp.gov/newsroom/local-media-release/del-rio-sector-border-patrol-agents-arrest-3-failed-smuggling-attempt" TargetMode="External"/><Relationship Id="rId2827" Type="http://schemas.openxmlformats.org/officeDocument/2006/relationships/hyperlink" Target="https://www.cbp.gov/newsroom/local-media-release/rio-grande-valley-border-patrol-intercepts-two-alien-smuggling-attempts" TargetMode="External"/><Relationship Id="rId2828" Type="http://schemas.openxmlformats.org/officeDocument/2006/relationships/hyperlink" Target="https://www.itemlive.com/2018/09/29/lynn-woman-charged-in-connection-with-child-trafficking-at-saugus-group-home/" TargetMode="External"/><Relationship Id="rId2829" Type="http://schemas.openxmlformats.org/officeDocument/2006/relationships/hyperlink" Target="https://www.kgns.tv/content/news/Border-Patrol-agents-find-three-illegal-immigrants-during-inspection-494908651.html" TargetMode="External"/><Relationship Id="rId5093" Type="http://schemas.openxmlformats.org/officeDocument/2006/relationships/hyperlink" Target="https://archive.ph/wip/UI2MQ" TargetMode="External"/><Relationship Id="rId5094" Type="http://schemas.openxmlformats.org/officeDocument/2006/relationships/hyperlink" Target="https://archive.ph/wip/6u2YP" TargetMode="External"/><Relationship Id="rId5091" Type="http://schemas.openxmlformats.org/officeDocument/2006/relationships/hyperlink" Target="https://www.ice.gov/news/releases/ice-hsi-portland-arrests-ex-camp-instructor-child-exploitation-material" TargetMode="External"/><Relationship Id="rId5092" Type="http://schemas.openxmlformats.org/officeDocument/2006/relationships/hyperlink" Target="https://www.thesun.co.uk/news/14382238/prentiss-madden-vet-sex-with-dogs/" TargetMode="External"/><Relationship Id="rId5095" Type="http://schemas.openxmlformats.org/officeDocument/2006/relationships/drawing" Target="../drawings/drawing2.xml"/><Relationship Id="rId5096" Type="http://schemas.openxmlformats.org/officeDocument/2006/relationships/vmlDrawing" Target="../drawings/vmlDrawing1.vml"/><Relationship Id="rId2810" Type="http://schemas.openxmlformats.org/officeDocument/2006/relationships/hyperlink" Target="https://www.kwch.com/content/news/123-missing-Michigan-children-recovered-during-1-day-operation-496292201.html" TargetMode="External"/><Relationship Id="rId2811" Type="http://schemas.openxmlformats.org/officeDocument/2006/relationships/hyperlink" Target="https://www.kitsapdailynews.com/news/bremerton-man-charged-with-hiring-underage-prostitute/" TargetMode="External"/><Relationship Id="rId2812" Type="http://schemas.openxmlformats.org/officeDocument/2006/relationships/hyperlink" Target="https://www.justice.gov/usao-mt/pr/washington-man-sentenced-10-years-child-porn-case" TargetMode="External"/><Relationship Id="rId2813" Type="http://schemas.openxmlformats.org/officeDocument/2006/relationships/hyperlink" Target="https://missoulian.com/news/state-and-regional/child-porn-suspect-arrested-in-montana-went-from-john-mellencamp/article_f9c62fa3-9593-5f33-a68b-5c489b3689c6.html" TargetMode="External"/><Relationship Id="rId2814" Type="http://schemas.openxmlformats.org/officeDocument/2006/relationships/hyperlink" Target="https://www.courtlistener.com/docket/8011479/united-states-v-rosser/" TargetMode="External"/><Relationship Id="rId2815" Type="http://schemas.openxmlformats.org/officeDocument/2006/relationships/hyperlink" Target="https://web.archive.org/web/20181016223244/https://missoulian.com/news/state-and-regional/child-porn-suspect-arrested-in-montana-went-from-john-mellencamp/article_f9c62fa3-9593-5f33-a68b-5c489b3689c6.html" TargetMode="External"/><Relationship Id="rId2816" Type="http://schemas.openxmlformats.org/officeDocument/2006/relationships/hyperlink" Target="http://archive.fo/Qyafb" TargetMode="External"/><Relationship Id="rId2817" Type="http://schemas.openxmlformats.org/officeDocument/2006/relationships/hyperlink" Target="https://www.cbp.gov/newsroom/local-media-release/border-patrol-agents-arrest-tucson-man-smuggling-11-illegal-aliens" TargetMode="External"/><Relationship Id="rId2818" Type="http://schemas.openxmlformats.org/officeDocument/2006/relationships/hyperlink" Target="https://www.click2houston.com/news/new-caney-isd-substitute-teacher-arrested-on-child-porn-charges" TargetMode="External"/><Relationship Id="rId2819" Type="http://schemas.openxmlformats.org/officeDocument/2006/relationships/hyperlink" Target="https://www.justice.gov/usao-nv/pr/north-las-vegas-man-charged-kidnapping-and-sexually-exploiting-14-year-old-arizona-girl" TargetMode="External"/><Relationship Id="rId5090" Type="http://schemas.openxmlformats.org/officeDocument/2006/relationships/hyperlink" Target="https://www.cbp.gov/newsroom/local-media-release/driver-flees-usbp-later-arrested" TargetMode="External"/><Relationship Id="rId5082" Type="http://schemas.openxmlformats.org/officeDocument/2006/relationships/hyperlink" Target="https://www.justice.gov/usao-wdwa/pr/four-seattle-area-men-indicted-seeking-sexually-assault-children-during-fbi-online" TargetMode="External"/><Relationship Id="rId5083" Type="http://schemas.openxmlformats.org/officeDocument/2006/relationships/hyperlink" Target="https://www.justice.gov/usao-wdwa/pr/four-seattle-area-men-indicted-seeking-sexually-assault-children-during-fbi-online" TargetMode="External"/><Relationship Id="rId5080" Type="http://schemas.openxmlformats.org/officeDocument/2006/relationships/hyperlink" Target="https://www.justice.gov/usao-ndny/pr/baldwinsville-man-charged-receiving-child-pornography" TargetMode="External"/><Relationship Id="rId5081" Type="http://schemas.openxmlformats.org/officeDocument/2006/relationships/hyperlink" Target="https://www.cbp.gov/newsroom/local-media-release/laredo-sector-border-patrol-apprehends-sex-offender-within-two-human" TargetMode="External"/><Relationship Id="rId5086" Type="http://schemas.openxmlformats.org/officeDocument/2006/relationships/hyperlink" Target="https://archive.vn/wip/BeBHP" TargetMode="External"/><Relationship Id="rId5087" Type="http://schemas.openxmlformats.org/officeDocument/2006/relationships/hyperlink" Target="https://archive.vn/wip/qvgwx" TargetMode="External"/><Relationship Id="rId5084" Type="http://schemas.openxmlformats.org/officeDocument/2006/relationships/hyperlink" Target="https://www.justice.gov/usao-sdga/pr/teacher-charged-federal-complaint-transporting-minor-sex" TargetMode="External"/><Relationship Id="rId5085" Type="http://schemas.openxmlformats.org/officeDocument/2006/relationships/hyperlink" Target="https://www.wjbf.com/news/crime-news/graniteville-man-charged-for-allegedly-transporting-a-minor-across-state-lines-for-sex/" TargetMode="External"/><Relationship Id="rId5088" Type="http://schemas.openxmlformats.org/officeDocument/2006/relationships/hyperlink" Target="https://www.cbp.gov/newsroom/local-media-release/air-and-marine-operations-interdicts-vessel-sea-and-us-border-patrol" TargetMode="External"/><Relationship Id="rId5089" Type="http://schemas.openxmlformats.org/officeDocument/2006/relationships/hyperlink" Target="https://www.cbp.gov/newsroom/local-media-release/canine-detects-3-illegal-aliens-hiding-trunk-immigration-checkpoint" TargetMode="External"/><Relationship Id="rId1510" Type="http://schemas.openxmlformats.org/officeDocument/2006/relationships/hyperlink" Target="https://breaking911.com/manhattan-u-s-attorney-announces-arrests-of-operators-of-multi-state-prostitution-ring/" TargetMode="External"/><Relationship Id="rId2841" Type="http://schemas.openxmlformats.org/officeDocument/2006/relationships/hyperlink" Target="https://www.courtlistener.com/docket/8158771/united-states-v-wilson/" TargetMode="External"/><Relationship Id="rId1511" Type="http://schemas.openxmlformats.org/officeDocument/2006/relationships/hyperlink" Target="https://www.justice.gov/usao-sdny/press-release/file/1046471/download" TargetMode="External"/><Relationship Id="rId2842" Type="http://schemas.openxmlformats.org/officeDocument/2006/relationships/hyperlink" Target="https://www.justice.gov/usao-edwi/pr/algoma-sex-offender-indicted-ib-child-pornography-charges" TargetMode="External"/><Relationship Id="rId1512" Type="http://schemas.openxmlformats.org/officeDocument/2006/relationships/hyperlink" Target="http://archive.fo/nQVsy" TargetMode="External"/><Relationship Id="rId2843" Type="http://schemas.openxmlformats.org/officeDocument/2006/relationships/hyperlink" Target="https://www.justice.gov/usao-ndil/pr/federal-indictment-charges-chicago-man-sex-trafficking-several-children-0" TargetMode="External"/><Relationship Id="rId1513" Type="http://schemas.openxmlformats.org/officeDocument/2006/relationships/hyperlink" Target="https://www.justice.gov/usao-sdny/pr/manhattan-us-attorney-announces-arrests-operators-multi-state-prostitution-ring" TargetMode="External"/><Relationship Id="rId2844" Type="http://schemas.openxmlformats.org/officeDocument/2006/relationships/hyperlink" Target="https://www.courtlistener.com/docket/8054280/united-states-v-perry/" TargetMode="External"/><Relationship Id="rId1514" Type="http://schemas.openxmlformats.org/officeDocument/2006/relationships/hyperlink" Target="https://breaking911.com/manhattan-u-s-attorney-announces-arrests-of-operators-of-multi-state-prostitution-ring/" TargetMode="External"/><Relationship Id="rId2845" Type="http://schemas.openxmlformats.org/officeDocument/2006/relationships/hyperlink" Target="https://www.justice.gov/usao-ndil/pr/federal-grand-jury-indicts-north-suburban-man-child-pornography-and-extortion-charges" TargetMode="External"/><Relationship Id="rId1515" Type="http://schemas.openxmlformats.org/officeDocument/2006/relationships/hyperlink" Target="https://www.justice.gov/usao-sdny/press-release/file/1046471/download" TargetMode="External"/><Relationship Id="rId2846" Type="http://schemas.openxmlformats.org/officeDocument/2006/relationships/hyperlink" Target="https://www.courtlistener.com/docket/8064779/united-states-v-cottrell/" TargetMode="External"/><Relationship Id="rId1516" Type="http://schemas.openxmlformats.org/officeDocument/2006/relationships/hyperlink" Target="http://archive.fo/nQVsy" TargetMode="External"/><Relationship Id="rId2847" Type="http://schemas.openxmlformats.org/officeDocument/2006/relationships/hyperlink" Target="https://www.justice.gov/usao-ndal/pr/marshall-county-woman-indicted-producing-child-pornography" TargetMode="External"/><Relationship Id="rId1517" Type="http://schemas.openxmlformats.org/officeDocument/2006/relationships/hyperlink" Target="https://www.justice.gov/usao-sdny/pr/manhattan-us-attorney-announces-arrests-operators-multi-state-prostitution-ring" TargetMode="External"/><Relationship Id="rId2848" Type="http://schemas.openxmlformats.org/officeDocument/2006/relationships/hyperlink" Target="https://www.justice.gov/usao-wdtn/pr/federal-grand-jury-returns-ten-count-indictment-against-driver-illegally-transporting-0" TargetMode="External"/><Relationship Id="rId1518" Type="http://schemas.openxmlformats.org/officeDocument/2006/relationships/hyperlink" Target="https://breaking911.com/manhattan-u-s-attorney-announces-arrests-of-operators-of-multi-state-prostitution-ring/" TargetMode="External"/><Relationship Id="rId2849" Type="http://schemas.openxmlformats.org/officeDocument/2006/relationships/hyperlink" Target="https://www.justice.gov/usao-edva/pr/man-pleads-guilty-downloading-child-pornography" TargetMode="External"/><Relationship Id="rId1519" Type="http://schemas.openxmlformats.org/officeDocument/2006/relationships/hyperlink" Target="https://www.justice.gov/usao-sdny/press-release/file/1046471/download" TargetMode="External"/><Relationship Id="rId2840" Type="http://schemas.openxmlformats.org/officeDocument/2006/relationships/hyperlink" Target="https://www.justice.gov/usao-wdmo/pr/joplin-man-charged-child-pornography" TargetMode="External"/><Relationship Id="rId2830" Type="http://schemas.openxmlformats.org/officeDocument/2006/relationships/hyperlink" Target="https://www.justice.gov/usao-wdwa/pr/former-bowling-coach-pleads-guilty-production-child-pornography" TargetMode="External"/><Relationship Id="rId1500" Type="http://schemas.openxmlformats.org/officeDocument/2006/relationships/hyperlink" Target="http://odishatv.in/odisha/body-slider/human-trafficking-four-girls-rescued-from-rourkela-284462" TargetMode="External"/><Relationship Id="rId2831" Type="http://schemas.openxmlformats.org/officeDocument/2006/relationships/hyperlink" Target="https://www.justice.gov/usao-ndok/pr/tulsa-man-convicted-child-pornography-enticing-minors-and-trying-hide-his-crimes" TargetMode="External"/><Relationship Id="rId1501" Type="http://schemas.openxmlformats.org/officeDocument/2006/relationships/hyperlink" Target="http://www.680news.com/2018/03/26/2-charged-third-wanted-york-human-trafficking/" TargetMode="External"/><Relationship Id="rId2832" Type="http://schemas.openxmlformats.org/officeDocument/2006/relationships/hyperlink" Target="https://www.justice.gov/usao-mdfl/pr/jacksonville-man-sentenced-20-years-sexually-exploiting-child" TargetMode="External"/><Relationship Id="rId1502" Type="http://schemas.openxmlformats.org/officeDocument/2006/relationships/hyperlink" Target="https://www.cbp.gov/newsroom/local-media-release/hereford-man-endangers-ten-human-smuggling" TargetMode="External"/><Relationship Id="rId2833" Type="http://schemas.openxmlformats.org/officeDocument/2006/relationships/hyperlink" Target="https://www.justice.gov/usao-ndoh/pr/lima-man-indicted-child-pornography-crimes" TargetMode="External"/><Relationship Id="rId1503" Type="http://schemas.openxmlformats.org/officeDocument/2006/relationships/hyperlink" Target="https://www.derbynewsjournal.com/2018/04/18/border-patrol-agents-find-38-migrants-smuggled-in-trucks/" TargetMode="External"/><Relationship Id="rId2834" Type="http://schemas.openxmlformats.org/officeDocument/2006/relationships/hyperlink" Target="https://www.courtlistener.com/docket/7977798/united-states-v-frater/" TargetMode="External"/><Relationship Id="rId1504" Type="http://schemas.openxmlformats.org/officeDocument/2006/relationships/hyperlink" Target="https://www.justice.gov/usao-wdpa/pr/robinson-twp-man-pleads-guilty-international-investigation-darknet-sale-child" TargetMode="External"/><Relationship Id="rId2835" Type="http://schemas.openxmlformats.org/officeDocument/2006/relationships/hyperlink" Target="https://www.justice.gov/usao-ndoh/pr/michigan-man-indicted-attempting-engage-sex-acts-child" TargetMode="External"/><Relationship Id="rId1505" Type="http://schemas.openxmlformats.org/officeDocument/2006/relationships/hyperlink" Target="https://www.justice.gov/usao-sdny/pr/manhattan-us-attorney-announces-arrests-operators-multi-state-prostitution-ring" TargetMode="External"/><Relationship Id="rId2836" Type="http://schemas.openxmlformats.org/officeDocument/2006/relationships/hyperlink" Target="https://www.courtlistener.com/docket/7977794/united-states-v-griffin/" TargetMode="External"/><Relationship Id="rId1506" Type="http://schemas.openxmlformats.org/officeDocument/2006/relationships/hyperlink" Target="https://breaking911.com/manhattan-u-s-attorney-announces-arrests-of-operators-of-multi-state-prostitution-ring/" TargetMode="External"/><Relationship Id="rId2837" Type="http://schemas.openxmlformats.org/officeDocument/2006/relationships/hyperlink" Target="https://www.courtlistener.com/docket/8020352/united-states-v-olson-kyle/" TargetMode="External"/><Relationship Id="rId1507" Type="http://schemas.openxmlformats.org/officeDocument/2006/relationships/hyperlink" Target="https://www.justice.gov/usao-sdny/press-release/file/1046471/download" TargetMode="External"/><Relationship Id="rId2838" Type="http://schemas.openxmlformats.org/officeDocument/2006/relationships/hyperlink" Target="https://www.justice.gov/usao-wdwi/pr/grand-jury-returns-indictments-charging-child-pornography-fraud-crimes" TargetMode="External"/><Relationship Id="rId1508" Type="http://schemas.openxmlformats.org/officeDocument/2006/relationships/hyperlink" Target="http://archive.fo/nQVsy" TargetMode="External"/><Relationship Id="rId2839" Type="http://schemas.openxmlformats.org/officeDocument/2006/relationships/hyperlink" Target="https://www.courtlistener.com/docket/8020806/united-states-v-jewell-reigel-peter/" TargetMode="External"/><Relationship Id="rId1509" Type="http://schemas.openxmlformats.org/officeDocument/2006/relationships/hyperlink" Target="https://www.justice.gov/usao-sdny/pr/manhattan-us-attorney-announces-arrests-operators-multi-state-prostitution-ring" TargetMode="External"/><Relationship Id="rId5050" Type="http://schemas.openxmlformats.org/officeDocument/2006/relationships/hyperlink" Target="https://fox11online.com/news/local/mishicot-man-charged-with-crimes-against-underage-children" TargetMode="External"/><Relationship Id="rId5053" Type="http://schemas.openxmlformats.org/officeDocument/2006/relationships/hyperlink" Target="https://www.justice.gov/usao-ndtx/pr/lubbock-dentist-charged-child-pornography-crimes" TargetMode="External"/><Relationship Id="rId5054" Type="http://schemas.openxmlformats.org/officeDocument/2006/relationships/hyperlink" Target="https://www.msn.com/en-us/news/crime/preliminary-hearings-in-jason-white-child-porn-allegations-set-for-jan-20-in-lubbock/ar-BB1cTPF2" TargetMode="External"/><Relationship Id="rId5051" Type="http://schemas.openxmlformats.org/officeDocument/2006/relationships/hyperlink" Target="https://archive.vn/t3t3l" TargetMode="External"/><Relationship Id="rId5052" Type="http://schemas.openxmlformats.org/officeDocument/2006/relationships/hyperlink" Target="https://archive.vn/UJtto" TargetMode="External"/><Relationship Id="rId5057" Type="http://schemas.openxmlformats.org/officeDocument/2006/relationships/hyperlink" Target="https://www.fbi.gov/contact-us/field-offices/sanjuan/news/press-releases/arrest-of-derek-muoz-gonzlez" TargetMode="External"/><Relationship Id="rId5058" Type="http://schemas.openxmlformats.org/officeDocument/2006/relationships/hyperlink" Target="https://www.justice.gov/usao-ndil/pr/rockford-man-indicted-child-pornography-charges-1" TargetMode="External"/><Relationship Id="rId5055" Type="http://schemas.openxmlformats.org/officeDocument/2006/relationships/hyperlink" Target="https://archive.vn/wip/S7XhM" TargetMode="External"/><Relationship Id="rId5056" Type="http://schemas.openxmlformats.org/officeDocument/2006/relationships/hyperlink" Target="https://archive.vn/wip/5WCus" TargetMode="External"/><Relationship Id="rId5059" Type="http://schemas.openxmlformats.org/officeDocument/2006/relationships/hyperlink" Target="https://www.cbp.gov/newsroom/local-media-release/border-patrol-foils-another-human-smuggling-attempt-box-truck" TargetMode="External"/><Relationship Id="rId5042" Type="http://schemas.openxmlformats.org/officeDocument/2006/relationships/hyperlink" Target="https://www.justice.gov/usao-wdny/pr/spencerport-man-pleads-guilty-child-pornography-charge-after-attempting-have-sex-13" TargetMode="External"/><Relationship Id="rId5043" Type="http://schemas.openxmlformats.org/officeDocument/2006/relationships/hyperlink" Target="https://www.fbi.gov/contact-us/field-offices/newyork/news/press-releases/fbi-asks-for-assistance-in-identifying-possible-victims-in-child-pornography-investigation" TargetMode="External"/><Relationship Id="rId5040" Type="http://schemas.openxmlformats.org/officeDocument/2006/relationships/hyperlink" Target="https://www.justice.gov/usao-ma/pr/chicopee-man-indicted-child-pornography-offenses" TargetMode="External"/><Relationship Id="rId5041" Type="http://schemas.openxmlformats.org/officeDocument/2006/relationships/hyperlink" Target="https://www.ice.gov/news/releases/ice-assists-arrest-alleged-child-predator" TargetMode="External"/><Relationship Id="rId5046" Type="http://schemas.openxmlformats.org/officeDocument/2006/relationships/hyperlink" Target="https://www.cbp.gov/newsroom/local-media-release/dangerous-trend-weapons-being-encountered-laredo-border-patrol" TargetMode="External"/><Relationship Id="rId5047" Type="http://schemas.openxmlformats.org/officeDocument/2006/relationships/hyperlink" Target="https://www.justice.gov/usao-nj/pr/burlington-county-man-arrested-child-pornography-charge" TargetMode="External"/><Relationship Id="rId5044" Type="http://schemas.openxmlformats.org/officeDocument/2006/relationships/hyperlink" Target="https://archive.vn/wip/LWbp1" TargetMode="External"/><Relationship Id="rId5045" Type="http://schemas.openxmlformats.org/officeDocument/2006/relationships/hyperlink" Target="https://www.fbi.gov/image-repository/jose_zafra.jpg/@@images/image/high" TargetMode="External"/><Relationship Id="rId5048" Type="http://schemas.openxmlformats.org/officeDocument/2006/relationships/hyperlink" Target="https://www.ice.gov/news/releases/ice-hsi-led-investigation-results-south-texas-grand-jury-indicting-houston-man" TargetMode="External"/><Relationship Id="rId5049" Type="http://schemas.openxmlformats.org/officeDocument/2006/relationships/hyperlink" Target="https://www.justice.gov/usao-edwi/pr/manitowoc-man-indicted-crimes-against-underage-children" TargetMode="External"/><Relationship Id="rId2800" Type="http://schemas.openxmlformats.org/officeDocument/2006/relationships/hyperlink" Target="https://www.courtlistener.com/?q=&amp;type=r&amp;order_by=score+desc&amp;docket_number=2%3A18-cr-00477&amp;court=cacd" TargetMode="External"/><Relationship Id="rId2801" Type="http://schemas.openxmlformats.org/officeDocument/2006/relationships/hyperlink" Target="https://www.justice.gov/usao-cdca/pr/federal-prosecutors-bring-child-pornography-and-other-exploitation-cases-part-ongoing" TargetMode="External"/><Relationship Id="rId2802" Type="http://schemas.openxmlformats.org/officeDocument/2006/relationships/hyperlink" Target="https://www.courtlistener.com/docket/7047635/united-states-v-pham/" TargetMode="External"/><Relationship Id="rId2803" Type="http://schemas.openxmlformats.org/officeDocument/2006/relationships/hyperlink" Target="https://www.justice.gov/usao-cdca/pr/federal-prosecutors-bring-child-pornography-and-other-exploitation-cases-part-ongoing" TargetMode="External"/><Relationship Id="rId2804" Type="http://schemas.openxmlformats.org/officeDocument/2006/relationships/hyperlink" Target="https://www.courtlistener.com/docket/7217997/united-states-v-smith/" TargetMode="External"/><Relationship Id="rId2805" Type="http://schemas.openxmlformats.org/officeDocument/2006/relationships/hyperlink" Target="https://www.justice.gov/usao-cdca/pr/federal-prosecutors-bring-child-pornography-and-other-exploitation-cases-part-ongoing" TargetMode="External"/><Relationship Id="rId2806" Type="http://schemas.openxmlformats.org/officeDocument/2006/relationships/hyperlink" Target="https://www.courtlistener.com/docket/7047635/united-states-v-pham/" TargetMode="External"/><Relationship Id="rId2807" Type="http://schemas.openxmlformats.org/officeDocument/2006/relationships/hyperlink" Target="https://fortwaynesnbc.com/2019/02/28/feds-kokomo-man-uses-facebook-in-sextortion-plot/" TargetMode="External"/><Relationship Id="rId2808" Type="http://schemas.openxmlformats.org/officeDocument/2006/relationships/hyperlink" Target="https://www.courtlistener.com/docket/7942211/united-states-v-cox/" TargetMode="External"/><Relationship Id="rId2809" Type="http://schemas.openxmlformats.org/officeDocument/2006/relationships/hyperlink" Target="https://archive.vn/wip/De4Gs" TargetMode="External"/><Relationship Id="rId5071" Type="http://schemas.openxmlformats.org/officeDocument/2006/relationships/hyperlink" Target="https://archive.vn/wip/D9UQB" TargetMode="External"/><Relationship Id="rId5072" Type="http://schemas.openxmlformats.org/officeDocument/2006/relationships/hyperlink" Target="https://www.bakersfield.com/news/feds-indict-owner-general-manager-of-desert-star-motel-on-union-avenue/article_b5682b56-61d0-11eb-aa63-4b7017fa7d1d.html" TargetMode="External"/><Relationship Id="rId5070" Type="http://schemas.openxmlformats.org/officeDocument/2006/relationships/hyperlink" Target="https://www.bakersfield.com/news/feds-indict-owner-general-manager-of-desert-star-motel-on-union-avenue/article_b5682b56-61d0-11eb-aa63-4b7017fa7d1d.html" TargetMode="External"/><Relationship Id="rId5075" Type="http://schemas.openxmlformats.org/officeDocument/2006/relationships/hyperlink" Target="https://www.ice.gov/news/releases/ice-hsi-dallas-arrests-man-trafficking-14-year-old" TargetMode="External"/><Relationship Id="rId5076" Type="http://schemas.openxmlformats.org/officeDocument/2006/relationships/hyperlink" Target="https://www.cbp.gov/newsroom/local-media-release/laredo-sector-border-patrol-stops-human-smuggling-attempt" TargetMode="External"/><Relationship Id="rId5073" Type="http://schemas.openxmlformats.org/officeDocument/2006/relationships/hyperlink" Target="https://archive.vn/wip/D9UQB" TargetMode="External"/><Relationship Id="rId5074" Type="http://schemas.openxmlformats.org/officeDocument/2006/relationships/hyperlink" Target="https://www.justice.gov/usao-sdfl/pr/martin-county-resident-detained-charges-child-exploitation" TargetMode="External"/><Relationship Id="rId5079" Type="http://schemas.openxmlformats.org/officeDocument/2006/relationships/hyperlink" Target="https://www.cbp.gov/newsroom/local-media-release/arizona-dpsyuma-sector-border-patrol-thwart-human-smuggling-attempt" TargetMode="External"/><Relationship Id="rId5077" Type="http://schemas.openxmlformats.org/officeDocument/2006/relationships/hyperlink" Target="https://www.usmarshals.gov/news/chron/2021/030321.htm" TargetMode="External"/><Relationship Id="rId5078" Type="http://schemas.openxmlformats.org/officeDocument/2006/relationships/hyperlink" Target="https://www.justice.gov/usao-wdny/pr/tonawanda-man-arrested-child-pornography-charge-after-hidden-camera-discovered" TargetMode="External"/><Relationship Id="rId5060" Type="http://schemas.openxmlformats.org/officeDocument/2006/relationships/hyperlink" Target="https://www.justice.gov/usao-ma/pr/maine-man-arrested-child-exploitation-charges" TargetMode="External"/><Relationship Id="rId5061" Type="http://schemas.openxmlformats.org/officeDocument/2006/relationships/hyperlink" Target="https://www.justice.gov/usao-wdny/pr/bath-man-arrested-trafficking-child-pornography" TargetMode="External"/><Relationship Id="rId5064" Type="http://schemas.openxmlformats.org/officeDocument/2006/relationships/hyperlink" Target="https://www.justice.gov/usao-mdga/pr/indictment-unsealed-child-pornography-investigation" TargetMode="External"/><Relationship Id="rId5065" Type="http://schemas.openxmlformats.org/officeDocument/2006/relationships/hyperlink" Target="https://www.ice.gov/news/releases/hsi-australian-federal-police-identify-245-victims-child-exploitation-predator-posing" TargetMode="External"/><Relationship Id="rId5062" Type="http://schemas.openxmlformats.org/officeDocument/2006/relationships/hyperlink" Target="https://www.justice.gov/usao-nj/pr/camden-county-man-charged-distributing-child-pornography" TargetMode="External"/><Relationship Id="rId5063" Type="http://schemas.openxmlformats.org/officeDocument/2006/relationships/hyperlink" Target="https://www.cbp.gov/newsroom/local-media-release/laredo-sector-border-patrol-interdicts-several-human-smuggling-attempts" TargetMode="External"/><Relationship Id="rId5068" Type="http://schemas.openxmlformats.org/officeDocument/2006/relationships/hyperlink" Target="https://www.justice.gov/usao-ndin/pr/former-marion-high-school-guidance-counselor-indicted" TargetMode="External"/><Relationship Id="rId5069" Type="http://schemas.openxmlformats.org/officeDocument/2006/relationships/hyperlink" Target="https://www.justice.gov/usao-edca/pr/two-indicted-after-investigation-reports-sex-trafficking-desert-star-motel" TargetMode="External"/><Relationship Id="rId5066" Type="http://schemas.openxmlformats.org/officeDocument/2006/relationships/hyperlink" Target="https://www.justice.gov/usao-wdtx/pr/converse-man-indicted-production-child-pornography" TargetMode="External"/><Relationship Id="rId5067" Type="http://schemas.openxmlformats.org/officeDocument/2006/relationships/hyperlink" Target="https://www.justice.gov/usao-wdny/pr/federal-grand-jury-indicts-cheektowaga-man-charges-receiving-and-possessing-child" TargetMode="External"/><Relationship Id="rId1576" Type="http://schemas.openxmlformats.org/officeDocument/2006/relationships/hyperlink" Target="https://www.justice.gov/usao-ma/pr/worcester-man-charged-child-pornography-offense" TargetMode="External"/><Relationship Id="rId4602" Type="http://schemas.openxmlformats.org/officeDocument/2006/relationships/hyperlink" Target="https://teamhcso.com/News/PressRelease/7cde94c2-4faa-4642-beea-387498dc0fd1/20-235-(2)" TargetMode="External"/><Relationship Id="rId1577" Type="http://schemas.openxmlformats.org/officeDocument/2006/relationships/hyperlink" Target="https://www.justice.gov/usao-ma/pr/worcester-man-pleads-guilty-child-pornography-offense" TargetMode="External"/><Relationship Id="rId4601" Type="http://schemas.openxmlformats.org/officeDocument/2006/relationships/hyperlink" Target="https://archive.vn/wip/0LU8z" TargetMode="External"/><Relationship Id="rId1578" Type="http://schemas.openxmlformats.org/officeDocument/2006/relationships/hyperlink" Target="https://www.courtlistener.com/docket/7122023/united-states-v-stoddard/" TargetMode="External"/><Relationship Id="rId4604" Type="http://schemas.openxmlformats.org/officeDocument/2006/relationships/hyperlink" Target="https://archive.vn/yvlvj" TargetMode="External"/><Relationship Id="rId1579" Type="http://schemas.openxmlformats.org/officeDocument/2006/relationships/hyperlink" Target="http://www.times-news.com/news/local_news/charged-in-cumberland-area-prostitution-sting/article_364d582a-758b-11e8-af9d-e3a703f3d7ab.html" TargetMode="External"/><Relationship Id="rId4603" Type="http://schemas.openxmlformats.org/officeDocument/2006/relationships/hyperlink" Target="https://archive.vn/wip/e7Y97" TargetMode="External"/><Relationship Id="rId4606" Type="http://schemas.openxmlformats.org/officeDocument/2006/relationships/hyperlink" Target="https://www.justice.gov/usao-ma/pr/gardner-man-arrested-possession-child-pornography" TargetMode="External"/><Relationship Id="rId4605" Type="http://schemas.openxmlformats.org/officeDocument/2006/relationships/hyperlink" Target="https://www.justice.gov/usao-edwi/pr/arizona-man-charged-distribution-child-pornography-part-operation-kick-boxer" TargetMode="External"/><Relationship Id="rId4608" Type="http://schemas.openxmlformats.org/officeDocument/2006/relationships/hyperlink" Target="https://www.fox44news.com/news/local-news/college-station-man-pleads-guilty-in-child-pornography-case/" TargetMode="External"/><Relationship Id="rId4607" Type="http://schemas.openxmlformats.org/officeDocument/2006/relationships/hyperlink" Target="https://www.justice.gov/usao-sdtx/pr/college-station-man-admits-guilt-multiple-charges-under-project-safe-childhood" TargetMode="External"/><Relationship Id="rId4609" Type="http://schemas.openxmlformats.org/officeDocument/2006/relationships/hyperlink" Target="https://archive.vn/MawXJ" TargetMode="External"/><Relationship Id="rId987" Type="http://schemas.openxmlformats.org/officeDocument/2006/relationships/hyperlink" Target="https://ktxs.com/news/abilene/warrant-elderly-abilene-man-charged-in-human-trafficking-case-had-5-million-in-gold" TargetMode="External"/><Relationship Id="rId986" Type="http://schemas.openxmlformats.org/officeDocument/2006/relationships/hyperlink" Target="http://archive.fo/hcxze" TargetMode="External"/><Relationship Id="rId985" Type="http://schemas.openxmlformats.org/officeDocument/2006/relationships/hyperlink" Target="http://archive.fo/zxeTJ" TargetMode="External"/><Relationship Id="rId984" Type="http://schemas.openxmlformats.org/officeDocument/2006/relationships/hyperlink" Target="https://www.courtlistener.com/docket/6768126/united-states-v-cogley/" TargetMode="External"/><Relationship Id="rId989" Type="http://schemas.openxmlformats.org/officeDocument/2006/relationships/hyperlink" Target="https://archive.vn/5WC8w" TargetMode="External"/><Relationship Id="rId988" Type="http://schemas.openxmlformats.org/officeDocument/2006/relationships/hyperlink" Target="https://www.casino.org/news/atlantic-city-human-trafficker-gets-15-years-for-fentanyl-in-tropicana/" TargetMode="External"/><Relationship Id="rId1570" Type="http://schemas.openxmlformats.org/officeDocument/2006/relationships/hyperlink" Target="https://archive.fo/30ASX" TargetMode="External"/><Relationship Id="rId1571" Type="http://schemas.openxmlformats.org/officeDocument/2006/relationships/hyperlink" Target="https://archive.fo/hRU6k" TargetMode="External"/><Relationship Id="rId983" Type="http://schemas.openxmlformats.org/officeDocument/2006/relationships/hyperlink" Target="https://www.adn.com/alaska-news/crime-courts/2017/12/20/anchorage-man-arrested-on-child-pornography-charges-may-have-local-victims-police-say/" TargetMode="External"/><Relationship Id="rId1572" Type="http://schemas.openxmlformats.org/officeDocument/2006/relationships/hyperlink" Target="https://www.justice.gov/usao-ndfl/pr/port-saint-joe-man-convicted-producing-and-possessing-child-pornography" TargetMode="External"/><Relationship Id="rId982" Type="http://schemas.openxmlformats.org/officeDocument/2006/relationships/hyperlink" Target="https://www.justice.gov/usao-ak/pr/anchorage-man-sentenced-child-pornography-crimes-0" TargetMode="External"/><Relationship Id="rId1573" Type="http://schemas.openxmlformats.org/officeDocument/2006/relationships/hyperlink" Target="https://www.mypalmbeachpost.com/news/crime--law/new-army-recruiter-dwyer-high-arrested-child-pornography-charges/tkehk7isoYA4Vvu7B35GAK/" TargetMode="External"/><Relationship Id="rId981" Type="http://schemas.openxmlformats.org/officeDocument/2006/relationships/hyperlink" Target="https://www.courtlistener.com/docket/6255796/united-states-v-christmann/" TargetMode="External"/><Relationship Id="rId1574" Type="http://schemas.openxmlformats.org/officeDocument/2006/relationships/hyperlink" Target="http://cbs12.com/news/local/3-men-charged-in-human-trafficking-investigation" TargetMode="External"/><Relationship Id="rId4600" Type="http://schemas.openxmlformats.org/officeDocument/2006/relationships/hyperlink" Target="https://archive.vn/wip/e7Y97" TargetMode="External"/><Relationship Id="rId980" Type="http://schemas.openxmlformats.org/officeDocument/2006/relationships/hyperlink" Target="https://www.justice.gov/usao-ndil/pr/lake-hills-man-indicted-child-pornography-charges" TargetMode="External"/><Relationship Id="rId1575" Type="http://schemas.openxmlformats.org/officeDocument/2006/relationships/hyperlink" Target="http://ktar.com/story/2080566/border-patrol-makes-170-human-smuggling-arrests-near-yuma/" TargetMode="External"/><Relationship Id="rId1565" Type="http://schemas.openxmlformats.org/officeDocument/2006/relationships/hyperlink" Target="https://www.courtlistener.com/?q=&amp;type=r&amp;order_by=score+desc&amp;docket_number=2%3A18-cr-00465&amp;court=azd" TargetMode="External"/><Relationship Id="rId2896" Type="http://schemas.openxmlformats.org/officeDocument/2006/relationships/hyperlink" Target="https://www.justice.gov/usao-sd/pr/brookings-man-charged-distribution-and-receipt-child-pornography" TargetMode="External"/><Relationship Id="rId1566" Type="http://schemas.openxmlformats.org/officeDocument/2006/relationships/hyperlink" Target="http://www.bbc.com/news/world-latin-america-43941143" TargetMode="External"/><Relationship Id="rId2897" Type="http://schemas.openxmlformats.org/officeDocument/2006/relationships/hyperlink" Target="https://www.kwtx.com/content/news/Bellmead--Teens-charged-with-human-smuggling-after-I-35-traffic-stop-496355381.html?ref=381" TargetMode="External"/><Relationship Id="rId1567" Type="http://schemas.openxmlformats.org/officeDocument/2006/relationships/hyperlink" Target="https://www.justice.gov/usao-mn/pr/activities-us-attorney-s-office-during-lapse-appropriations" TargetMode="External"/><Relationship Id="rId2898" Type="http://schemas.openxmlformats.org/officeDocument/2006/relationships/hyperlink" Target="https://www.cbp.gov/newsroom/local-media-release/tucson-couple-caught-smuggling-after-fleeing-checkpoint" TargetMode="External"/><Relationship Id="rId1568" Type="http://schemas.openxmlformats.org/officeDocument/2006/relationships/hyperlink" Target="http://mankatotimes.com/2018/04/11/phillip-mark-reinhart-facing-charges-for-child-pornography/" TargetMode="External"/><Relationship Id="rId2899" Type="http://schemas.openxmlformats.org/officeDocument/2006/relationships/hyperlink" Target="https://www.kxan.com/news/local/austin/man-arrested-for-allegedly-forcing-a-deaf-woman-into-prostitution/1515032988" TargetMode="External"/><Relationship Id="rId1569" Type="http://schemas.openxmlformats.org/officeDocument/2006/relationships/hyperlink" Target="https://www.courtlistener.com/docket/7743134/united-states-v-goodman/" TargetMode="External"/><Relationship Id="rId976" Type="http://schemas.openxmlformats.org/officeDocument/2006/relationships/hyperlink" Target="https://www.cbp.gov/newsroom/local-media-release/border-patrol-agents-stop-human-smuggling-attempt-0" TargetMode="External"/><Relationship Id="rId975" Type="http://schemas.openxmlformats.org/officeDocument/2006/relationships/hyperlink" Target="https://www.courtlistener.com/docket/14487556/united-states-v-rhymes/" TargetMode="External"/><Relationship Id="rId974" Type="http://schemas.openxmlformats.org/officeDocument/2006/relationships/hyperlink" Target="https://www.pacermonitor.com/public/case/23516341/USA_v_Rhymes" TargetMode="External"/><Relationship Id="rId973" Type="http://schemas.openxmlformats.org/officeDocument/2006/relationships/hyperlink" Target="https://www.justice.gov/usao-edva/pr/sex-trafficker-sentenced-15-years-prison" TargetMode="External"/><Relationship Id="rId979" Type="http://schemas.openxmlformats.org/officeDocument/2006/relationships/hyperlink" Target="https://www.courtlistener.com/docket/14727717/united-states-v-brown/" TargetMode="External"/><Relationship Id="rId978" Type="http://schemas.openxmlformats.org/officeDocument/2006/relationships/hyperlink" Target="https://www.courtlistener.com/docket/6523686/united-states-v-coviello/" TargetMode="External"/><Relationship Id="rId977" Type="http://schemas.openxmlformats.org/officeDocument/2006/relationships/hyperlink" Target="https://www.justice.gov/usao-sdny/pr/woman-charged-white-plains-federal-court-sex-trafficking-minor" TargetMode="External"/><Relationship Id="rId2890" Type="http://schemas.openxmlformats.org/officeDocument/2006/relationships/hyperlink" Target="https://www.cbp.gov/newsroom/local-media-release/yuma-sector-border-patrol-arrests-three-after-vehicle-flees-immigration" TargetMode="External"/><Relationship Id="rId1560" Type="http://schemas.openxmlformats.org/officeDocument/2006/relationships/hyperlink" Target="https://www.justice.gov/opa/pr/couple-convicted-forcing-young-west-african-girl-labor-their-southlake-texas-home-16-years" TargetMode="External"/><Relationship Id="rId2891" Type="http://schemas.openxmlformats.org/officeDocument/2006/relationships/hyperlink" Target="https://www.justice.gov/usao-ndny/pr/michigan-man-arrested-alien-smuggling" TargetMode="External"/><Relationship Id="rId972" Type="http://schemas.openxmlformats.org/officeDocument/2006/relationships/hyperlink" Target="https://www.justice.gov/usao-ndtx/pr/two-men-remain-federal-custody-federal-complaint-sex-trafficking-middle-school-student" TargetMode="External"/><Relationship Id="rId1561" Type="http://schemas.openxmlformats.org/officeDocument/2006/relationships/hyperlink" Target="https://www.star-telegram.com/news/local/community/fort-worth/article224070415.html" TargetMode="External"/><Relationship Id="rId2892" Type="http://schemas.openxmlformats.org/officeDocument/2006/relationships/hyperlink" Target="https://www.courtlistener.com/docket/8142676/united-states-v-burcea/" TargetMode="External"/><Relationship Id="rId971" Type="http://schemas.openxmlformats.org/officeDocument/2006/relationships/hyperlink" Target="https://www.courtlistener.com/?q=&amp;type=r&amp;order_by=score+desc&amp;docket_number=4%3A18-cr-03004&amp;court=ned" TargetMode="External"/><Relationship Id="rId1562" Type="http://schemas.openxmlformats.org/officeDocument/2006/relationships/hyperlink" Target="https://www.cbp.gov/newsroom/local-media-release/cbp-thwarts-human-smuggling-attempt-hidalgo-international-bridge" TargetMode="External"/><Relationship Id="rId2893" Type="http://schemas.openxmlformats.org/officeDocument/2006/relationships/hyperlink" Target="https://www.cbp.gov/newsroom/local-media-release/rio-grande-valley-border-patrol-intercepts-alien-smuggling-attempts" TargetMode="External"/><Relationship Id="rId970" Type="http://schemas.openxmlformats.org/officeDocument/2006/relationships/hyperlink" Target="https://journalstar.com/news/local/911/grand-jury-indicts-lincoln-man-accused-of-child-sex-assault/article_7539e7d0-e66e-5636-965f-19d432d1d177.html" TargetMode="External"/><Relationship Id="rId1563" Type="http://schemas.openxmlformats.org/officeDocument/2006/relationships/hyperlink" Target="http://backpage.com" TargetMode="External"/><Relationship Id="rId2894" Type="http://schemas.openxmlformats.org/officeDocument/2006/relationships/hyperlink" Target="https://www.cbp.gov/newsroom/local-media-release/border-patrol-agents-discover-illegal-aliens-refrigerated-trailer" TargetMode="External"/><Relationship Id="rId1564" Type="http://schemas.openxmlformats.org/officeDocument/2006/relationships/hyperlink" Target="https://www.justice.gov/opa/pr/backpage-s-co-founder-and-ceo-well-several-backpage-related-corporate-entities-enter-guilty" TargetMode="External"/><Relationship Id="rId2895" Type="http://schemas.openxmlformats.org/officeDocument/2006/relationships/hyperlink" Target="https://lakelandobserver.com/10-suffocate-in-truck-in-us-human-trafficking/196479/" TargetMode="External"/><Relationship Id="rId1598" Type="http://schemas.openxmlformats.org/officeDocument/2006/relationships/hyperlink" Target="https://www.mass.gov/news/deordio-held-on-bail-on-pornography-charges" TargetMode="External"/><Relationship Id="rId4624" Type="http://schemas.openxmlformats.org/officeDocument/2006/relationships/hyperlink" Target="https://archive.vn/wip/TMN1v" TargetMode="External"/><Relationship Id="rId1599" Type="http://schemas.openxmlformats.org/officeDocument/2006/relationships/hyperlink" Target="https://www.courtlistener.com/docket/15421157/united-states-v-deordio/" TargetMode="External"/><Relationship Id="rId4623" Type="http://schemas.openxmlformats.org/officeDocument/2006/relationships/hyperlink" Target="https://www.foxnews.com/us/11-ms-13-members-arrested-sex-trafficking-girl-13" TargetMode="External"/><Relationship Id="rId4626" Type="http://schemas.openxmlformats.org/officeDocument/2006/relationships/hyperlink" Target="https://www.foxnews.com/us/11-ms-13-members-arrested-sex-trafficking-girl-13" TargetMode="External"/><Relationship Id="rId4625" Type="http://schemas.openxmlformats.org/officeDocument/2006/relationships/hyperlink" Target="https://www.justice.gov/usao-edva/pr/ms-13-members-and-associates-arrested-sex-trafficking-minor" TargetMode="External"/><Relationship Id="rId4628" Type="http://schemas.openxmlformats.org/officeDocument/2006/relationships/hyperlink" Target="https://www.justice.gov/usao-edva/pr/ms-13-members-and-associates-arrested-sex-trafficking-minor" TargetMode="External"/><Relationship Id="rId4627" Type="http://schemas.openxmlformats.org/officeDocument/2006/relationships/hyperlink" Target="https://archive.vn/wip/TMN1v" TargetMode="External"/><Relationship Id="rId4629" Type="http://schemas.openxmlformats.org/officeDocument/2006/relationships/hyperlink" Target="https://www.foxnews.com/us/11-ms-13-members-arrested-sex-trafficking-girl-13" TargetMode="External"/><Relationship Id="rId1590" Type="http://schemas.openxmlformats.org/officeDocument/2006/relationships/hyperlink" Target="https://www.courtlistener.com/docket/7915162/united-states-v-varieur/" TargetMode="External"/><Relationship Id="rId1591" Type="http://schemas.openxmlformats.org/officeDocument/2006/relationships/hyperlink" Target="http://archive.fo/qlNVQ" TargetMode="External"/><Relationship Id="rId1592" Type="http://schemas.openxmlformats.org/officeDocument/2006/relationships/hyperlink" Target="https://web.archive.org/web/20190329211752/https://i1.wp.com/www.spotlightnews.com/wp-content/uploads/2018/04/varieur-e1524763527811-150x150.jpg?zoom=1.25&amp;resize=150%2C150&amp;ssl=1" TargetMode="External"/><Relationship Id="rId1593" Type="http://schemas.openxmlformats.org/officeDocument/2006/relationships/hyperlink" Target="https://www.spotlightnews.com/towns/colonie/2018/04/26/two-men-from-saratoga-and-colonie-arrested-for-child-pornography/" TargetMode="External"/><Relationship Id="rId1594" Type="http://schemas.openxmlformats.org/officeDocument/2006/relationships/hyperlink" Target="https://www.courtlistener.com/docket/8160868/united-states-v-boprey/" TargetMode="External"/><Relationship Id="rId4620" Type="http://schemas.openxmlformats.org/officeDocument/2006/relationships/hyperlink" Target="https://www.foxnews.com/us/11-ms-13-members-arrested-sex-trafficking-girl-13" TargetMode="External"/><Relationship Id="rId1595" Type="http://schemas.openxmlformats.org/officeDocument/2006/relationships/hyperlink" Target="http://archive.fo/qlNVQ" TargetMode="External"/><Relationship Id="rId1596" Type="http://schemas.openxmlformats.org/officeDocument/2006/relationships/hyperlink" Target="http://archive.fo/FfM9U" TargetMode="External"/><Relationship Id="rId4622" Type="http://schemas.openxmlformats.org/officeDocument/2006/relationships/hyperlink" Target="https://www.justice.gov/usao-edva/pr/ms-13-members-and-associates-arrested-sex-trafficking-minor" TargetMode="External"/><Relationship Id="rId1597" Type="http://schemas.openxmlformats.org/officeDocument/2006/relationships/hyperlink" Target="https://www.justice.gov/usao-edtn/pr/ogleva-charles-mowell-sentenced-70-months-child-pornography-offenses" TargetMode="External"/><Relationship Id="rId4621" Type="http://schemas.openxmlformats.org/officeDocument/2006/relationships/hyperlink" Target="https://archive.vn/wip/TMN1v" TargetMode="External"/><Relationship Id="rId1587" Type="http://schemas.openxmlformats.org/officeDocument/2006/relationships/hyperlink" Target="https://www.justice.gov/usao-edok/pr/muldrow-man-pleads-guilty-possession-material-involving-sexual-exploitation-minors-0" TargetMode="External"/><Relationship Id="rId4613" Type="http://schemas.openxmlformats.org/officeDocument/2006/relationships/hyperlink" Target="https://www.cbp.gov/newsroom/local-media-release/border-patrol-agents-arrest-us-citizen-attempting-smuggle-illegal" TargetMode="External"/><Relationship Id="rId1588" Type="http://schemas.openxmlformats.org/officeDocument/2006/relationships/hyperlink" Target="https://www.justice.gov/usao-edca/pr/former-elementary-school-teacher-charged-attempted-enticement-minor-and-viewing-child" TargetMode="External"/><Relationship Id="rId4612" Type="http://schemas.openxmlformats.org/officeDocument/2006/relationships/hyperlink" Target="https://www.cbp.gov/newsroom/local-media-release/stuck-tractor-trailer-leads-failed-human-smuggling-attempt" TargetMode="External"/><Relationship Id="rId1589" Type="http://schemas.openxmlformats.org/officeDocument/2006/relationships/hyperlink" Target="https://www.spotlightnews.com/towns/colonie/2018/04/26/two-men-from-saratoga-and-colonie-arrested-for-child-pornography/" TargetMode="External"/><Relationship Id="rId4615" Type="http://schemas.openxmlformats.org/officeDocument/2006/relationships/hyperlink" Target="https://www.justice.gov/usao-nj/pr/florida-man-charged-child-sex-offenses-new-jersey" TargetMode="External"/><Relationship Id="rId4614" Type="http://schemas.openxmlformats.org/officeDocument/2006/relationships/hyperlink" Target="https://www.cbp.gov/newsroom/local-media-release/human-smugglers-continue-endanger-lives-illegal-aliens" TargetMode="External"/><Relationship Id="rId4617" Type="http://schemas.openxmlformats.org/officeDocument/2006/relationships/hyperlink" Target="https://www.foxnews.com/us/11-ms-13-members-arrested-sex-trafficking-girl-13" TargetMode="External"/><Relationship Id="rId4616" Type="http://schemas.openxmlformats.org/officeDocument/2006/relationships/hyperlink" Target="https://www.justice.gov/usao-edva/pr/ms-13-members-and-associates-arrested-sex-trafficking-minor" TargetMode="External"/><Relationship Id="rId4619" Type="http://schemas.openxmlformats.org/officeDocument/2006/relationships/hyperlink" Target="https://www.justice.gov/usao-edva/pr/ms-13-members-and-associates-arrested-sex-trafficking-minor" TargetMode="External"/><Relationship Id="rId4618" Type="http://schemas.openxmlformats.org/officeDocument/2006/relationships/hyperlink" Target="https://archive.vn/wip/TMN1v" TargetMode="External"/><Relationship Id="rId998" Type="http://schemas.openxmlformats.org/officeDocument/2006/relationships/hyperlink" Target="http://www.mcall.com/news/police/mc-pol-bethlehem-police-charge-easton-man-child-porn-sharing-20171221-story.html" TargetMode="External"/><Relationship Id="rId997" Type="http://schemas.openxmlformats.org/officeDocument/2006/relationships/hyperlink" Target="http://archive.fo/yXm1t" TargetMode="External"/><Relationship Id="rId996" Type="http://schemas.openxmlformats.org/officeDocument/2006/relationships/hyperlink" Target="https://www.ktbs.com/news/shreveport-city-court-prosecutor-arrested-fired/article_8c9bb7fc-e671-11e7-b72b-6b59211c150f.html" TargetMode="External"/><Relationship Id="rId995" Type="http://schemas.openxmlformats.org/officeDocument/2006/relationships/hyperlink" Target="https://www.courtlistener.com/?q=&amp;type=r&amp;order_by=score+desc&amp;docket_number=3%3A17-cr-00143&amp;court=msnd" TargetMode="External"/><Relationship Id="rId999" Type="http://schemas.openxmlformats.org/officeDocument/2006/relationships/hyperlink" Target="https://www.justice.gov/usao-sdtx/pr/women-charged-transporting-four-mexican-national-minors" TargetMode="External"/><Relationship Id="rId990" Type="http://schemas.openxmlformats.org/officeDocument/2006/relationships/hyperlink" Target="https://archive.vn/6Zh9d" TargetMode="External"/><Relationship Id="rId1580" Type="http://schemas.openxmlformats.org/officeDocument/2006/relationships/hyperlink" Target="https://patch.com/california/lakeelsinore-wildomar/man-accused-pimping-out-teen-rivco-motel" TargetMode="External"/><Relationship Id="rId1581" Type="http://schemas.openxmlformats.org/officeDocument/2006/relationships/hyperlink" Target="https://www.racinecountyeye.com/racine-man-forced-woman-to-have-sex-and-do-drugs-da-says/" TargetMode="External"/><Relationship Id="rId1582" Type="http://schemas.openxmlformats.org/officeDocument/2006/relationships/hyperlink" Target="https://www.justice.gov/usao-edky/pr/lexington-man-sentenced-50-years-using-two-minors-produce-child-pornography" TargetMode="External"/><Relationship Id="rId994" Type="http://schemas.openxmlformats.org/officeDocument/2006/relationships/hyperlink" Target="https://www.justice.gov/usao-ndms/pr/former-southaven-alderman-sentenced-transportation-child-pornography" TargetMode="External"/><Relationship Id="rId1583" Type="http://schemas.openxmlformats.org/officeDocument/2006/relationships/hyperlink" Target="https://www.wtvq.com/2018/07/23/lexington-man-serve-50-years-child-pornography/" TargetMode="External"/><Relationship Id="rId993" Type="http://schemas.openxmlformats.org/officeDocument/2006/relationships/hyperlink" Target="https://www.commercialappeal.com/story/news/2017/12/20/southaven-alderman-ronnie-hale-charged-child-pornography/966238001/" TargetMode="External"/><Relationship Id="rId1584" Type="http://schemas.openxmlformats.org/officeDocument/2006/relationships/hyperlink" Target="https://newsok.com/article/5604171/dismissed-human-trafficking-maiming-case-gets-refiled-by-oklahoma-county-prosecutors" TargetMode="External"/><Relationship Id="rId992" Type="http://schemas.openxmlformats.org/officeDocument/2006/relationships/hyperlink" Target="https://foxbaltimore.com/news/local/randallstown-man-indicted-on-child-porn-charges" TargetMode="External"/><Relationship Id="rId1585" Type="http://schemas.openxmlformats.org/officeDocument/2006/relationships/hyperlink" Target="https://www.justice.gov/usao-wdpa/pr/judge-sentences-somerset-man-10-years-prison-possessing-child-pornography" TargetMode="External"/><Relationship Id="rId4611" Type="http://schemas.openxmlformats.org/officeDocument/2006/relationships/hyperlink" Target="https://www.justice.gov/usao-md/pr/prince-george-s-county-man-indicted-federal-charges-enticement-minor-engage-sexual" TargetMode="External"/><Relationship Id="rId991" Type="http://schemas.openxmlformats.org/officeDocument/2006/relationships/hyperlink" Target="https://www.justice.gov/usao-md/pr/randallstown-man-indicted-possession-and-production-child-pornography" TargetMode="External"/><Relationship Id="rId1586" Type="http://schemas.openxmlformats.org/officeDocument/2006/relationships/hyperlink" Target="https://www.courtlistener.com/docket/7569620/united-states-v-hornbaker/" TargetMode="External"/><Relationship Id="rId4610" Type="http://schemas.openxmlformats.org/officeDocument/2006/relationships/hyperlink" Target="https://archive.vn/Z1Ra6" TargetMode="External"/><Relationship Id="rId1532" Type="http://schemas.openxmlformats.org/officeDocument/2006/relationships/hyperlink" Target="https://www.justice.gov/usao-sdia/pr/seven-des-moines-individuals-charged-sex-trafficking" TargetMode="External"/><Relationship Id="rId2863" Type="http://schemas.openxmlformats.org/officeDocument/2006/relationships/hyperlink" Target="https://www.justice.gov/usao-mdfl/pr/jacksonville-sexual-predator-charged-child-pornography-production-offenses" TargetMode="External"/><Relationship Id="rId1533" Type="http://schemas.openxmlformats.org/officeDocument/2006/relationships/hyperlink" Target="https://www.desmoinesregister.com/story/news/crime-and-courts/2018/06/11/7-des-moines-residents-charged-sex-trafficking-feds-des-moines-sexual-prostitution-iowa-texas/692264002/" TargetMode="External"/><Relationship Id="rId2864" Type="http://schemas.openxmlformats.org/officeDocument/2006/relationships/hyperlink" Target="https://thegoldwater.com/news/38607-Jacksonville-FBI-Raid-Leads-to-Arrest-in-Child-Porn-Distribution-Ring" TargetMode="External"/><Relationship Id="rId1534" Type="http://schemas.openxmlformats.org/officeDocument/2006/relationships/hyperlink" Target="https://www.justice.gov/usao-sdia/pr/seven-des-moines-individuals-charged-sex-trafficking" TargetMode="External"/><Relationship Id="rId2865" Type="http://schemas.openxmlformats.org/officeDocument/2006/relationships/hyperlink" Target="https://www.courtlistener.com/docket/14512671/united-states-v-butler/" TargetMode="External"/><Relationship Id="rId1535" Type="http://schemas.openxmlformats.org/officeDocument/2006/relationships/hyperlink" Target="https://www.desmoinesregister.com/story/news/crime-and-courts/2018/06/11/7-des-moines-residents-charged-sex-trafficking-feds-des-moines-sexual-prostitution-iowa-texas/692264002/" TargetMode="External"/><Relationship Id="rId2866" Type="http://schemas.openxmlformats.org/officeDocument/2006/relationships/hyperlink" Target="https://www.cbp.gov/newsroom/local-media-release/despite-threatening-conditions-smugglers-continue-risk-migrant-lives" TargetMode="External"/><Relationship Id="rId1536" Type="http://schemas.openxmlformats.org/officeDocument/2006/relationships/hyperlink" Target="https://www.justice.gov/usao-sdia/pr/seven-des-moines-individuals-charged-sex-trafficking" TargetMode="External"/><Relationship Id="rId2867" Type="http://schemas.openxmlformats.org/officeDocument/2006/relationships/hyperlink" Target="https://www.justice.gov/usao-wdpa/pr/jefferson-county-man-charged-receiving-and-possessing-child-pornography" TargetMode="External"/><Relationship Id="rId1537" Type="http://schemas.openxmlformats.org/officeDocument/2006/relationships/hyperlink" Target="https://www.desmoinesregister.com/story/news/crime-and-courts/2018/06/11/7-des-moines-residents-charged-sex-trafficking-feds-des-moines-sexual-prostitution-iowa-texas/692264002/" TargetMode="External"/><Relationship Id="rId2868" Type="http://schemas.openxmlformats.org/officeDocument/2006/relationships/hyperlink" Target="https://www.courtlistener.com/docket/7974657/united-states-v-kite/" TargetMode="External"/><Relationship Id="rId1538" Type="http://schemas.openxmlformats.org/officeDocument/2006/relationships/hyperlink" Target="https://www.justice.gov/usao-sdia/pr/seven-des-moines-individuals-charged-sex-trafficking" TargetMode="External"/><Relationship Id="rId2869" Type="http://schemas.openxmlformats.org/officeDocument/2006/relationships/hyperlink" Target="https://www.justice.gov/usao-wdny/pr/bath-man-charged-enticing-minor-online" TargetMode="External"/><Relationship Id="rId1539" Type="http://schemas.openxmlformats.org/officeDocument/2006/relationships/hyperlink" Target="https://www.desmoinesregister.com/story/news/crime-and-courts/2018/06/11/7-des-moines-residents-charged-sex-trafficking-feds-des-moines-sexual-prostitution-iowa-texas/692264002/" TargetMode="External"/><Relationship Id="rId949" Type="http://schemas.openxmlformats.org/officeDocument/2006/relationships/hyperlink" Target="https://www.freep.com/story/news/local/michigan/2017/12/13/man-charged-selling-16-year-old-sex-western-michigan/948432001/" TargetMode="External"/><Relationship Id="rId948" Type="http://schemas.openxmlformats.org/officeDocument/2006/relationships/hyperlink" Target="https://breaking911.com/florida-man-arrested-relation-missing-teenage-girl/" TargetMode="External"/><Relationship Id="rId943" Type="http://schemas.openxmlformats.org/officeDocument/2006/relationships/hyperlink" Target="http://archive.fo/avKYB" TargetMode="External"/><Relationship Id="rId942" Type="http://schemas.openxmlformats.org/officeDocument/2006/relationships/hyperlink" Target="https://www.courtlistener.com/?q=&amp;type=r&amp;order_by=score+desc&amp;docket_number=4%3A17-cr-00724&amp;court=txsd" TargetMode="External"/><Relationship Id="rId941" Type="http://schemas.openxmlformats.org/officeDocument/2006/relationships/hyperlink" Target="https://www.justice.gov/usao-sdtx/pr/houston-bounty-hunter-and-others-indicted-international-sex-trafficking-conspiracy" TargetMode="External"/><Relationship Id="rId940" Type="http://schemas.openxmlformats.org/officeDocument/2006/relationships/hyperlink" Target="http://archive.fo/41ujS" TargetMode="External"/><Relationship Id="rId947" Type="http://schemas.openxmlformats.org/officeDocument/2006/relationships/hyperlink" Target="https://wchstv.com/news/local/putnam-county-lawyer-arrested-on-federal-child-pornography-charge" TargetMode="External"/><Relationship Id="rId946" Type="http://schemas.openxmlformats.org/officeDocument/2006/relationships/hyperlink" Target="https://www.newsday.com/long-island/crime/thatched-cottage-indictment-forced-labor-1.15417374" TargetMode="External"/><Relationship Id="rId945" Type="http://schemas.openxmlformats.org/officeDocument/2006/relationships/hyperlink" Target="https://www.ice.gov/news/releases/former-owner-and-manager-long-island-catering-hall-pleads-guilty-forced-labor-charges" TargetMode="External"/><Relationship Id="rId944" Type="http://schemas.openxmlformats.org/officeDocument/2006/relationships/hyperlink" Target="https://www.cbp.gov/newsroom/local-media-release/tucson-teenagers-speed-away-agents-people-trunk" TargetMode="External"/><Relationship Id="rId2860" Type="http://schemas.openxmlformats.org/officeDocument/2006/relationships/hyperlink" Target="https://www.voiceofalexandria.com/news/state/charges-woodbury-massage-parlor-was-a-front-for-prostitution/article_1b876b34-c667-11e8-919f-ab89d58988e1.html" TargetMode="External"/><Relationship Id="rId1530" Type="http://schemas.openxmlformats.org/officeDocument/2006/relationships/hyperlink" Target="https://www.justice.gov/usao-sdia/pr/seven-des-moines-individuals-charged-sex-trafficking" TargetMode="External"/><Relationship Id="rId2861" Type="http://schemas.openxmlformats.org/officeDocument/2006/relationships/hyperlink" Target="https://www.cbp.gov/newsroom/local-media-release/usbp-agents-arrest-2-teens-smuggling-stolen-truck" TargetMode="External"/><Relationship Id="rId1531" Type="http://schemas.openxmlformats.org/officeDocument/2006/relationships/hyperlink" Target="https://www.desmoinesregister.com/story/news/crime-and-courts/2018/06/11/7-des-moines-residents-charged-sex-trafficking-feds-des-moines-sexual-prostitution-iowa-texas/692264002/" TargetMode="External"/><Relationship Id="rId2862" Type="http://schemas.openxmlformats.org/officeDocument/2006/relationships/hyperlink" Target="https://www.sbsun.com/2018/10/03/woman-arrested-in-fontana-suspected-of-trafficking-and-abusing-a-minor/" TargetMode="External"/><Relationship Id="rId1521" Type="http://schemas.openxmlformats.org/officeDocument/2006/relationships/hyperlink" Target="https://www.justice.gov/usao-wdpa/pr/verona-man-charged-multiple-counts-violating-child-exploitation-laws" TargetMode="External"/><Relationship Id="rId2852" Type="http://schemas.openxmlformats.org/officeDocument/2006/relationships/hyperlink" Target="https://www.justice.gov/usao-wdpa/pr/natrona-heights-sex-offender-pleads-guilty-possessing-sexually-exploitive-material" TargetMode="External"/><Relationship Id="rId1522" Type="http://schemas.openxmlformats.org/officeDocument/2006/relationships/hyperlink" Target="https://www.justice.gov/usao-wdpa/pr/penn-hills-man-admits-producing-distributing-and-possessing-child-pornography" TargetMode="External"/><Relationship Id="rId2853" Type="http://schemas.openxmlformats.org/officeDocument/2006/relationships/hyperlink" Target="https://www.justice.gov/usao-sdfl/pr/hialeah-resident-sentenced-twenty-years-prison-distributing-and-possessing-child" TargetMode="External"/><Relationship Id="rId1523" Type="http://schemas.openxmlformats.org/officeDocument/2006/relationships/hyperlink" Target="https://www.justice.gov/usao-md/pr/military-employee-charged-child-pornography-offenses,https://www.justice.gov/usao-md/pr/navy-employee-sentenced-40-years-federal-prison-child-pornography-offenses-involving" TargetMode="External"/><Relationship Id="rId2854" Type="http://schemas.openxmlformats.org/officeDocument/2006/relationships/hyperlink" Target="https://www.courtlistener.com/docket/14567050/united-states-v-dominguez/" TargetMode="External"/><Relationship Id="rId1524" Type="http://schemas.openxmlformats.org/officeDocument/2006/relationships/hyperlink" Target="https://www.fbi.gov/contact-us/field-offices/baltimore/news/press-releases/military-employee-charged-with-child-pornography-offenses" TargetMode="External"/><Relationship Id="rId2855" Type="http://schemas.openxmlformats.org/officeDocument/2006/relationships/hyperlink" Target="https://www.justice.gov/usao-mdfl/pr/bradenton-man-pleads-guilty-producing-sex-abuse-video-series-one-year-old" TargetMode="External"/><Relationship Id="rId1525" Type="http://schemas.openxmlformats.org/officeDocument/2006/relationships/hyperlink" Target="https://neareport.com/2018/03/28/four-arrested-child-porn-jonesboro/" TargetMode="External"/><Relationship Id="rId2856" Type="http://schemas.openxmlformats.org/officeDocument/2006/relationships/hyperlink" Target="https://www.wfla.com/8-on-your-side/investigations/bradenton-man-accused-of-creating-child-porn-video-of-2-year-old-family-member/1520394451" TargetMode="External"/><Relationship Id="rId1526" Type="http://schemas.openxmlformats.org/officeDocument/2006/relationships/hyperlink" Target="https://www.justice.gov/usao-cdil/pr/repeat-sex-offender-indicted-charges-receipt-and-possession-child-pornography" TargetMode="External"/><Relationship Id="rId2857" Type="http://schemas.openxmlformats.org/officeDocument/2006/relationships/hyperlink" Target="https://web.archive.org/web/20190415163152/https://www.wfla.com/8-on-your-side/investigations/bradenton-man-accused-of-creating-child-porn-video-of-2-year-old-family-member/1520394451" TargetMode="External"/><Relationship Id="rId1527" Type="http://schemas.openxmlformats.org/officeDocument/2006/relationships/hyperlink" Target="https://www.courtlistener.com/docket/7098394/united-states-v-vanderploeg/" TargetMode="External"/><Relationship Id="rId2858" Type="http://schemas.openxmlformats.org/officeDocument/2006/relationships/hyperlink" Target="http://archive.fo/oUptp" TargetMode="External"/><Relationship Id="rId1528" Type="http://schemas.openxmlformats.org/officeDocument/2006/relationships/hyperlink" Target="https://www.news-shield.com/police_beat/courthouse_news/article_a6db5f02-328c-11e8-adf9-d314625498bf.html" TargetMode="External"/><Relationship Id="rId2859" Type="http://schemas.openxmlformats.org/officeDocument/2006/relationships/hyperlink" Target="https://www.courtlistener.com/docket/7989752/united-states-v-mace/" TargetMode="External"/><Relationship Id="rId1529" Type="http://schemas.openxmlformats.org/officeDocument/2006/relationships/hyperlink" Target="http://archive.fo/Mi9bg" TargetMode="External"/><Relationship Id="rId939" Type="http://schemas.openxmlformats.org/officeDocument/2006/relationships/hyperlink" Target="http://archive.fo/QipN7" TargetMode="External"/><Relationship Id="rId938" Type="http://schemas.openxmlformats.org/officeDocument/2006/relationships/hyperlink" Target="https://www.courtlistener.com/?q=&amp;type=r&amp;order_by=score+desc&amp;docket_number=4%3A17-cr-00724&amp;court=txsd" TargetMode="External"/><Relationship Id="rId937" Type="http://schemas.openxmlformats.org/officeDocument/2006/relationships/hyperlink" Target="https://www.justice.gov/usao-sdtx/pr/houston-bounty-hunter-and-others-indicted-international-sex-trafficking-conspiracy" TargetMode="External"/><Relationship Id="rId932" Type="http://schemas.openxmlformats.org/officeDocument/2006/relationships/hyperlink" Target="https://www.justice.gov/usao-sdfl/pr/backpage-pimp-sentenced-fifteen-years-sex-trafficking-minor" TargetMode="External"/><Relationship Id="rId931" Type="http://schemas.openxmlformats.org/officeDocument/2006/relationships/hyperlink" Target="https://www.ice.gov/news/releases/douglas-man-sentenced-over-10-years-imprisonment-child-pornography-false-statements" TargetMode="External"/><Relationship Id="rId930" Type="http://schemas.openxmlformats.org/officeDocument/2006/relationships/hyperlink" Target="https://www.justice.gov/usao-wdny/pr/pittsford-man-pleads-guilty-child-pornography-charges" TargetMode="External"/><Relationship Id="rId936" Type="http://schemas.openxmlformats.org/officeDocument/2006/relationships/hyperlink" Target="https://www.courtlistener.com/docket/6542383/united-states-v-whaley/" TargetMode="External"/><Relationship Id="rId935" Type="http://schemas.openxmlformats.org/officeDocument/2006/relationships/hyperlink" Target="https://www.justice.gov/usao-ma/pr/milton-man-and-connecticut-woman-arrested-sex-trafficking" TargetMode="External"/><Relationship Id="rId934" Type="http://schemas.openxmlformats.org/officeDocument/2006/relationships/hyperlink" Target="https://www.justice.gov/usao-ma/pr/milton-man-and-connecticut-woman-arrested-sex-trafficking" TargetMode="External"/><Relationship Id="rId933" Type="http://schemas.openxmlformats.org/officeDocument/2006/relationships/hyperlink" Target="https://www.justice.gov/usao-ma/pr/milton-man-pleads-guilty-sex-trafficking" TargetMode="External"/><Relationship Id="rId2850" Type="http://schemas.openxmlformats.org/officeDocument/2006/relationships/hyperlink" Target="https://www.courtlistener.com/?q=&amp;type=r&amp;order_by=score+desc&amp;docket_number=1%3A18-cr-00355&amp;court=vaed" TargetMode="External"/><Relationship Id="rId1520" Type="http://schemas.openxmlformats.org/officeDocument/2006/relationships/hyperlink" Target="http://archive.fo/nQVsy" TargetMode="External"/><Relationship Id="rId2851" Type="http://schemas.openxmlformats.org/officeDocument/2006/relationships/hyperlink" Target="https://www.justice.gov/usao-mdfl/pr/brevard-county-man-pleads-guilty-producing-child-pornography" TargetMode="External"/><Relationship Id="rId1554" Type="http://schemas.openxmlformats.org/officeDocument/2006/relationships/hyperlink" Target="https://www.justice.gov/usao-sdoh/pr/local-man-indicted-16-charges-related-sex-crimes-against-children-child-pornography" TargetMode="External"/><Relationship Id="rId2885" Type="http://schemas.openxmlformats.org/officeDocument/2006/relationships/hyperlink" Target="https://www.justice.gov/usao-cdil/pr/tazewell-county-man-indicted-charges-receiving-child-pornography" TargetMode="External"/><Relationship Id="rId1555" Type="http://schemas.openxmlformats.org/officeDocument/2006/relationships/hyperlink" Target="https://fox45now.com/news/local/investigators-ask-for-info-from-potential-victims-after-dayton-man-indicted-for-child-porn" TargetMode="External"/><Relationship Id="rId2886" Type="http://schemas.openxmlformats.org/officeDocument/2006/relationships/hyperlink" Target="https://www.cbp.gov/newsroom/local-media-release/us-border-patrol-thwarts-attempt-avoid-inspection-baudette-minnesota" TargetMode="External"/><Relationship Id="rId1556" Type="http://schemas.openxmlformats.org/officeDocument/2006/relationships/hyperlink" Target="https://www.justice.gov/usao-md/pr/anne-arundel-county-man-sentenced-40-years-federal-prison-sexually-abusing-minor-produce" TargetMode="External"/><Relationship Id="rId2887" Type="http://schemas.openxmlformats.org/officeDocument/2006/relationships/hyperlink" Target="https://www.courtlistener.com/?q=&amp;type=r&amp;order_by=score+desc&amp;docket_number=5%3A18-cr-00124&amp;court=vtd" TargetMode="External"/><Relationship Id="rId1557" Type="http://schemas.openxmlformats.org/officeDocument/2006/relationships/hyperlink" Target="http://baltimore.cbslocal.com/2018/04/05/child-porn-auction-storage-unit/" TargetMode="External"/><Relationship Id="rId2888" Type="http://schemas.openxmlformats.org/officeDocument/2006/relationships/hyperlink" Target="https://www.justice.gov/usao-sdoh/pr/kettering-man-sentenced-more-5-years-prison-possessing-child-pornography" TargetMode="External"/><Relationship Id="rId1558" Type="http://schemas.openxmlformats.org/officeDocument/2006/relationships/hyperlink" Target="https://www.justice.gov/usao-edva/pr/woman-pleads-guilty-meth-conspiracy-and-prostitution-charges" TargetMode="External"/><Relationship Id="rId2889" Type="http://schemas.openxmlformats.org/officeDocument/2006/relationships/hyperlink" Target="https://calcoasttimes.com/2018/10/09/slo-police-catch-pimp-trafficking-14-year-old-girl/" TargetMode="External"/><Relationship Id="rId1559" Type="http://schemas.openxmlformats.org/officeDocument/2006/relationships/hyperlink" Target="https://www.courtlistener.com/docket/7675620/united-states-v-anderson/" TargetMode="External"/><Relationship Id="rId965" Type="http://schemas.openxmlformats.org/officeDocument/2006/relationships/hyperlink" Target="https://www.justice.gov/usao-sdtx/pr/former-teacher-arrested-production-child-pornography" TargetMode="External"/><Relationship Id="rId964" Type="http://schemas.openxmlformats.org/officeDocument/2006/relationships/hyperlink" Target="https://www.courtlistener.com/docket/7402064/united-states-v-stroming/" TargetMode="External"/><Relationship Id="rId963" Type="http://schemas.openxmlformats.org/officeDocument/2006/relationships/hyperlink" Target="https://www.justice.gov/usao-wdwa/pr/former-jblm-soldier-sentenced-15-years-prison-production-child-pornography" TargetMode="External"/><Relationship Id="rId962" Type="http://schemas.openxmlformats.org/officeDocument/2006/relationships/hyperlink" Target="https://www.courtlistener.com/docket/6420982/united-states-v-toney/" TargetMode="External"/><Relationship Id="rId969" Type="http://schemas.openxmlformats.org/officeDocument/2006/relationships/hyperlink" Target="https://www.justice.gov/usao-ne/pr/lincoln-man-sentenced-production-child-pornography" TargetMode="External"/><Relationship Id="rId968" Type="http://schemas.openxmlformats.org/officeDocument/2006/relationships/hyperlink" Target="https://www.justice.gov/usao-ct/pr/glastonbury-man-charged-child-exploitation-offense" TargetMode="External"/><Relationship Id="rId967" Type="http://schemas.openxmlformats.org/officeDocument/2006/relationships/hyperlink" Target="https://www.justice.gov/usao-wdmo/pr/two-california-residents-indicted-sex-trafficking-six-victims" TargetMode="External"/><Relationship Id="rId966" Type="http://schemas.openxmlformats.org/officeDocument/2006/relationships/hyperlink" Target="https://www.courtlistener.com/docket/6649878/united-states-v-ulloa/" TargetMode="External"/><Relationship Id="rId2880" Type="http://schemas.openxmlformats.org/officeDocument/2006/relationships/hyperlink" Target="https://www.courtlistener.com/?q=&amp;type=r&amp;order_by=score+desc&amp;docket_number=5%3A18-mj-00580&amp;court=nynd" TargetMode="External"/><Relationship Id="rId961" Type="http://schemas.openxmlformats.org/officeDocument/2006/relationships/hyperlink" Target="https://www.justice.gov/usao-wdmo/pr/springfield-man-sentenced-30-years-producing-distributing-child-pornography" TargetMode="External"/><Relationship Id="rId1550" Type="http://schemas.openxmlformats.org/officeDocument/2006/relationships/hyperlink" Target="https://www.justice.gov/usao-md/pr/washington-dc-commercial-sex-customer-pleads-guilty-sex-trafficking-minor" TargetMode="External"/><Relationship Id="rId2881" Type="http://schemas.openxmlformats.org/officeDocument/2006/relationships/hyperlink" Target="https://www.justice.gov/usao-cdca/pr/federal-prosecutors-bring-child-pornography-and-other-exploitation-cases-part-ongoing" TargetMode="External"/><Relationship Id="rId960" Type="http://schemas.openxmlformats.org/officeDocument/2006/relationships/hyperlink" Target="https://www.justice.gov/usao-wdmo/pr/springfield-man-indicted-attempting-produce-child-pornography" TargetMode="External"/><Relationship Id="rId1551" Type="http://schemas.openxmlformats.org/officeDocument/2006/relationships/hyperlink" Target="https://www.capitalgazette.com/news/for_the_record/ac-cn-odenton-minor-arrest-0210-story.html" TargetMode="External"/><Relationship Id="rId2882" Type="http://schemas.openxmlformats.org/officeDocument/2006/relationships/hyperlink" Target="https://www.courtlistener.com/docket/14982953/united-states-v-ramirez/" TargetMode="External"/><Relationship Id="rId1552" Type="http://schemas.openxmlformats.org/officeDocument/2006/relationships/hyperlink" Target="http://archive.fo/ziQCa" TargetMode="External"/><Relationship Id="rId2883" Type="http://schemas.openxmlformats.org/officeDocument/2006/relationships/hyperlink" Target="https://www.justice.gov/usao-cdca/pr/federal-prosecutors-bring-child-pornography-and-other-exploitation-cases-part-ongoing" TargetMode="External"/><Relationship Id="rId1553" Type="http://schemas.openxmlformats.org/officeDocument/2006/relationships/hyperlink" Target="http://archive.fo/ozvqS" TargetMode="External"/><Relationship Id="rId2884" Type="http://schemas.openxmlformats.org/officeDocument/2006/relationships/hyperlink" Target="https://www.courtlistener.com/docket/7415053/united-states-v-diaz/" TargetMode="External"/><Relationship Id="rId1543" Type="http://schemas.openxmlformats.org/officeDocument/2006/relationships/hyperlink" Target="https://www.justice.gov/usao-edpa/pr/philadelphia-duo-charged-sex-trafficking-minor" TargetMode="External"/><Relationship Id="rId2874" Type="http://schemas.openxmlformats.org/officeDocument/2006/relationships/hyperlink" Target="http://www.joplinglobe.com/news/local_news/former-police-officer-second-joplin-man-charged-in-child-pornography/article_df6a608a-d7a2-51ca-a507-7f177cee139b.html" TargetMode="External"/><Relationship Id="rId1544" Type="http://schemas.openxmlformats.org/officeDocument/2006/relationships/hyperlink" Target="https://www.cbp.gov/newsroom/local-media-release/nogales-border-patrol-agents-finds-2-illegal-aliens-trunk" TargetMode="External"/><Relationship Id="rId2875" Type="http://schemas.openxmlformats.org/officeDocument/2006/relationships/hyperlink" Target="https://www.courtlistener.com/docket/8079376/united-states-v-mckinney/" TargetMode="External"/><Relationship Id="rId1545" Type="http://schemas.openxmlformats.org/officeDocument/2006/relationships/hyperlink" Target="https://www.justice.gov/usao-wdmo/pr/two-joplin-men-indicted-child-pornography" TargetMode="External"/><Relationship Id="rId2876" Type="http://schemas.openxmlformats.org/officeDocument/2006/relationships/hyperlink" Target="https://www.justice.gov/usao-edpa/pr/serial-child-predator-philadelphia-sentenced-25-years-producing-child-pornography" TargetMode="External"/><Relationship Id="rId1546" Type="http://schemas.openxmlformats.org/officeDocument/2006/relationships/hyperlink" Target="https://www.courtlistener.com/docket/6420191/united-states-v-snavely/" TargetMode="External"/><Relationship Id="rId2877" Type="http://schemas.openxmlformats.org/officeDocument/2006/relationships/hyperlink" Target="https://www.havasunews.com/news/new-arrest-made-in-havasu-bullhead-human-trafficking-case/article_1cb811bc-c869-11e8-b842-374f245edcf6.html" TargetMode="External"/><Relationship Id="rId1547" Type="http://schemas.openxmlformats.org/officeDocument/2006/relationships/hyperlink" Target="https://www.justice.gov/usao-wdwi/pr/grand-jury-returns-indictments-75" TargetMode="External"/><Relationship Id="rId2878" Type="http://schemas.openxmlformats.org/officeDocument/2006/relationships/hyperlink" Target="https://www.cbp.gov/newsroom/local-media-release/despite-threatening-conditions-smugglers-continue-risk-migrant-lives" TargetMode="External"/><Relationship Id="rId1548" Type="http://schemas.openxmlformats.org/officeDocument/2006/relationships/hyperlink" Target="https://www.courtlistener.com/docket/6803046/united-states-v-brown-steven/" TargetMode="External"/><Relationship Id="rId2879" Type="http://schemas.openxmlformats.org/officeDocument/2006/relationships/hyperlink" Target="https://www.fbi.gov/contact-us/field-offices/portland/news/press-releases/fbi-arrests-troutdale-man-on-sexual-exploitation-charges" TargetMode="External"/><Relationship Id="rId1549" Type="http://schemas.openxmlformats.org/officeDocument/2006/relationships/hyperlink" Target="https://www.cbp.gov/newsroom/local-media-release/bisbee-woman-arrested-sunday-human-smuggling" TargetMode="External"/><Relationship Id="rId959" Type="http://schemas.openxmlformats.org/officeDocument/2006/relationships/hyperlink" Target="https://www.justice.gov/usao-edca/pr/man-sentenced-over-12-years-sex-trafficking-minor" TargetMode="External"/><Relationship Id="rId954" Type="http://schemas.openxmlformats.org/officeDocument/2006/relationships/hyperlink" Target="https://www.cbp.gov/newsroom/local-media-release/douglas-resident-arrested-human-smuggling" TargetMode="External"/><Relationship Id="rId953" Type="http://schemas.openxmlformats.org/officeDocument/2006/relationships/hyperlink" Target="https://www.courtlistener.com/docket/6258428/united-states-v-christoph/" TargetMode="External"/><Relationship Id="rId952" Type="http://schemas.openxmlformats.org/officeDocument/2006/relationships/hyperlink" Target="https://www.justice.gov/usao-wdmo/pr/springfield-man-sentenced-20-years-sexual-exploitation-child" TargetMode="External"/><Relationship Id="rId951" Type="http://schemas.openxmlformats.org/officeDocument/2006/relationships/hyperlink" Target="https://www.justice.gov/usao-wdmo/pr/springfield-man-indicted-sexual-exploitation-minor" TargetMode="External"/><Relationship Id="rId958" Type="http://schemas.openxmlformats.org/officeDocument/2006/relationships/hyperlink" Target="https://www.justice.gov/usao-edca/pr/mendocino-county-woman-pleads-guilty-sex-trafficking-minor" TargetMode="External"/><Relationship Id="rId957" Type="http://schemas.openxmlformats.org/officeDocument/2006/relationships/hyperlink" Target="https://www.justice.gov/usao-sc/pr/easley-man-pleads-guilty-child-porn-charges" TargetMode="External"/><Relationship Id="rId956" Type="http://schemas.openxmlformats.org/officeDocument/2006/relationships/hyperlink" Target="https://www.crescent-news.com/on_the_wire/editors_pick/napoleon-police-officer-indicted-on-child-pornography-charge/article_dc0e7612-6290-59e8-b727-4605e8ad0f64.html" TargetMode="External"/><Relationship Id="rId955" Type="http://schemas.openxmlformats.org/officeDocument/2006/relationships/hyperlink" Target="https://www.cbp.gov/newsroom/local-media-release/yuma-bp-agents-arrest-11-involved-alien-smuggling" TargetMode="External"/><Relationship Id="rId950" Type="http://schemas.openxmlformats.org/officeDocument/2006/relationships/hyperlink" Target="https://www.justice.gov/usao-ndok/pr/oklahoma-man-indicted-receipt-and-possession-child-pornography" TargetMode="External"/><Relationship Id="rId2870" Type="http://schemas.openxmlformats.org/officeDocument/2006/relationships/hyperlink" Target="https://signalscv.com/2018/10/human-trafficking-operation-nets-two-arrests/" TargetMode="External"/><Relationship Id="rId1540" Type="http://schemas.openxmlformats.org/officeDocument/2006/relationships/hyperlink" Target="https://www.justice.gov/usao-sdia/pr/seven-des-moines-individuals-charged-sex-trafficking" TargetMode="External"/><Relationship Id="rId2871" Type="http://schemas.openxmlformats.org/officeDocument/2006/relationships/hyperlink" Target="https://www.cbp.gov/newsroom/local-media-release/despite-threatening-conditions-smugglers-continue-risk-migrant-lives" TargetMode="External"/><Relationship Id="rId1541" Type="http://schemas.openxmlformats.org/officeDocument/2006/relationships/hyperlink" Target="https://www.desmoinesregister.com/story/news/crime-and-courts/2018/06/11/7-des-moines-residents-charged-sex-trafficking-feds-des-moines-sexual-prostitution-iowa-texas/692264002/" TargetMode="External"/><Relationship Id="rId2872" Type="http://schemas.openxmlformats.org/officeDocument/2006/relationships/hyperlink" Target="http://www.joplinglobe.com/news/local_news/former-police-officer-second-joplin-man-charged-in-child-pornography/article_df6a608a-d7a2-51ca-a507-7f177cee139b.html" TargetMode="External"/><Relationship Id="rId1542" Type="http://schemas.openxmlformats.org/officeDocument/2006/relationships/hyperlink" Target="https://wtop.com/prince-georges-county/2018/03/police-arrest-prince-georges-co-man-on-child-porn-charges/" TargetMode="External"/><Relationship Id="rId2873" Type="http://schemas.openxmlformats.org/officeDocument/2006/relationships/hyperlink" Target="https://www.courtlistener.com/docket/8079378/united-states-v-helsel/" TargetMode="External"/><Relationship Id="rId2027" Type="http://schemas.openxmlformats.org/officeDocument/2006/relationships/hyperlink" Target="https://www.courtlistener.com/docket/7590762/united-states-v-dupigny/" TargetMode="External"/><Relationship Id="rId3359" Type="http://schemas.openxmlformats.org/officeDocument/2006/relationships/hyperlink" Target="https://www.justice.gov/usao-edpa/pr/reading-pa-man-sentenced-19-years-stockpile-200000-images-child-pornography" TargetMode="External"/><Relationship Id="rId2028" Type="http://schemas.openxmlformats.org/officeDocument/2006/relationships/hyperlink" Target="https://www.courtlistener.com/docket/7590762/united-states-v-dupigny/" TargetMode="External"/><Relationship Id="rId3358" Type="http://schemas.openxmlformats.org/officeDocument/2006/relationships/hyperlink" Target="https://www.courtlistener.com/docket/14776918/united-states-v-nebling/" TargetMode="External"/><Relationship Id="rId4689" Type="http://schemas.openxmlformats.org/officeDocument/2006/relationships/hyperlink" Target="https://archive.vn/et6JP" TargetMode="External"/><Relationship Id="rId2029" Type="http://schemas.openxmlformats.org/officeDocument/2006/relationships/hyperlink" Target="https://www.justice.gov/usao-edva/pr/new-zealand-man-indicted-kidnapping-and-child-pornography" TargetMode="External"/><Relationship Id="rId107" Type="http://schemas.openxmlformats.org/officeDocument/2006/relationships/hyperlink" Target="http://www.newson6.com/story/34521360/woman-arrested-in-tulsa-undercover-child-pornography-prostitution-sting" TargetMode="External"/><Relationship Id="rId106" Type="http://schemas.openxmlformats.org/officeDocument/2006/relationships/hyperlink" Target="https://www.justice.gov/usao-ndok/pr/federal-grand-jury-indictments-announced" TargetMode="External"/><Relationship Id="rId105" Type="http://schemas.openxmlformats.org/officeDocument/2006/relationships/hyperlink" Target="https://www.cbp.gov/newsroom/local-media-release/border-patrol-agents-arrest-us-citizen-caught-smuggling-4-illegal" TargetMode="External"/><Relationship Id="rId104" Type="http://schemas.openxmlformats.org/officeDocument/2006/relationships/hyperlink" Target="http://archive.is/4WZGp" TargetMode="External"/><Relationship Id="rId109" Type="http://schemas.openxmlformats.org/officeDocument/2006/relationships/hyperlink" Target="https://www.cbp.gov/newsroom/local-media-release/permanent-resident-alien-arrested-transporting-undocumented-aliens" TargetMode="External"/><Relationship Id="rId4680" Type="http://schemas.openxmlformats.org/officeDocument/2006/relationships/hyperlink" Target="https://www.justice.gov/usao-edpa/pr/bucks-county-man-charged-distribution-child-pornography" TargetMode="External"/><Relationship Id="rId108" Type="http://schemas.openxmlformats.org/officeDocument/2006/relationships/hyperlink" Target="https://www.courtlistener.com/docket/7672864/united-states-v-weathers/" TargetMode="External"/><Relationship Id="rId3351" Type="http://schemas.openxmlformats.org/officeDocument/2006/relationships/hyperlink" Target="https://www.justice.gov/usao-mn/pr/two-child-predators-sentenced-federal-prison" TargetMode="External"/><Relationship Id="rId4682" Type="http://schemas.openxmlformats.org/officeDocument/2006/relationships/hyperlink" Target="https://www.justice.gov/usao-wdny/pr/randolph-man-charged-production-child-pornography" TargetMode="External"/><Relationship Id="rId2020" Type="http://schemas.openxmlformats.org/officeDocument/2006/relationships/hyperlink" Target="https://www.courtlistener.com/?q=&amp;type=r&amp;order_by=score+desc&amp;docket_number=3%3A18-cr-00123&amp;court=akd" TargetMode="External"/><Relationship Id="rId3350" Type="http://schemas.openxmlformats.org/officeDocument/2006/relationships/hyperlink" Target="http://www.fox8live.com/2019/02/05/three-suspects-arrested-sex-trafficking-teen/" TargetMode="External"/><Relationship Id="rId4681" Type="http://schemas.openxmlformats.org/officeDocument/2006/relationships/hyperlink" Target="https://www.justice.gov/usao-wdmo/pr/st-joseph-man-charged-producing-child-pornography" TargetMode="External"/><Relationship Id="rId2021" Type="http://schemas.openxmlformats.org/officeDocument/2006/relationships/hyperlink" Target="https://www.justice.gov/usao-id/pr/boise-man-sentenced-30-months-prison-access-intent-view-child-pornography" TargetMode="External"/><Relationship Id="rId3353" Type="http://schemas.openxmlformats.org/officeDocument/2006/relationships/hyperlink" Target="https://www.courtlistener.com/docket/14566902/united-states-v-trischler/" TargetMode="External"/><Relationship Id="rId4684" Type="http://schemas.openxmlformats.org/officeDocument/2006/relationships/hyperlink" Target="https://www.justice.gov/usao-sd/pr/eight-men-arrested-sex-trafficking-operation" TargetMode="External"/><Relationship Id="rId2022" Type="http://schemas.openxmlformats.org/officeDocument/2006/relationships/hyperlink" Target="https://www.courtlistener.com/docket/7285267/united-states-v-sanchez/" TargetMode="External"/><Relationship Id="rId3352" Type="http://schemas.openxmlformats.org/officeDocument/2006/relationships/hyperlink" Target="https://www.courtlistener.com/docket/14873572/united-states-v-larson/" TargetMode="External"/><Relationship Id="rId4683" Type="http://schemas.openxmlformats.org/officeDocument/2006/relationships/hyperlink" Target="https://www.justice.gov/usao-ma/pr/bourne-man-indicted-child-pornography-offenses" TargetMode="External"/><Relationship Id="rId103" Type="http://schemas.openxmlformats.org/officeDocument/2006/relationships/hyperlink" Target="http://archive.is/uhA1p" TargetMode="External"/><Relationship Id="rId2023" Type="http://schemas.openxmlformats.org/officeDocument/2006/relationships/hyperlink" Target="https://www.justice.gov/usao-mdfl/pr/sex-offender-sentenced-14-years-possession-child-pornography" TargetMode="External"/><Relationship Id="rId3355" Type="http://schemas.openxmlformats.org/officeDocument/2006/relationships/hyperlink" Target="https://www.justice.gov/usao-sdga/pr/three-men-admit-producing-child-pornography" TargetMode="External"/><Relationship Id="rId4686" Type="http://schemas.openxmlformats.org/officeDocument/2006/relationships/hyperlink" Target="https://www.justice.gov/usao-ndfl/pr/florida-attorney-pleads-guilty-receiving-child-pornography" TargetMode="External"/><Relationship Id="rId102" Type="http://schemas.openxmlformats.org/officeDocument/2006/relationships/hyperlink" Target="https://www.justice.gov/usao-ndny/pr/delaware-county-couple-sentenced-sexual-exploitation-17-month-old-child" TargetMode="External"/><Relationship Id="rId2024" Type="http://schemas.openxmlformats.org/officeDocument/2006/relationships/hyperlink" Target="https://www.floridatoday.com/story/news/crime/2018/12/10/merritt-island-man-sentenced-14-years-federal-prison-child-porn/2270403002/" TargetMode="External"/><Relationship Id="rId3354" Type="http://schemas.openxmlformats.org/officeDocument/2006/relationships/hyperlink" Target="https://www.justice.gov/usao-nj/pr/union-county-new-jersey-man-charged-receiving-child-pornography" TargetMode="External"/><Relationship Id="rId4685" Type="http://schemas.openxmlformats.org/officeDocument/2006/relationships/hyperlink" Target="https://www.justice.gov/usao-sd/pr/eight-men-arrested-sex-trafficking-operation" TargetMode="External"/><Relationship Id="rId101" Type="http://schemas.openxmlformats.org/officeDocument/2006/relationships/hyperlink" Target="http://archive.is/XvSNV" TargetMode="External"/><Relationship Id="rId2025" Type="http://schemas.openxmlformats.org/officeDocument/2006/relationships/hyperlink" Target="https://www.courtlistener.com/docket/7515884/united-states-v-gilbert/" TargetMode="External"/><Relationship Id="rId3357" Type="http://schemas.openxmlformats.org/officeDocument/2006/relationships/hyperlink" Target="https://www.justice.gov/usao-wdar/pr/springdale-man-sentenced-30-years-federal-prison-producing-child-pornography" TargetMode="External"/><Relationship Id="rId4688" Type="http://schemas.openxmlformats.org/officeDocument/2006/relationships/hyperlink" Target="https://archive.vn/wip/drrI8" TargetMode="External"/><Relationship Id="rId100" Type="http://schemas.openxmlformats.org/officeDocument/2006/relationships/hyperlink" Target="http://archive.is/6sC2b" TargetMode="External"/><Relationship Id="rId2026" Type="http://schemas.openxmlformats.org/officeDocument/2006/relationships/hyperlink" Target="https://www.justice.gov/usao-sdny/pr/us-attorney-announces-charges-against-19-defendants-sex-trafficking-minor-girls-and" TargetMode="External"/><Relationship Id="rId3356" Type="http://schemas.openxmlformats.org/officeDocument/2006/relationships/hyperlink" Target="https://www.justice.gov/usao-ma/pr/marstons-mills-man-arrested-child-pornography-offense" TargetMode="External"/><Relationship Id="rId4687" Type="http://schemas.openxmlformats.org/officeDocument/2006/relationships/hyperlink" Target="https://www.tallahassee.com/story/news/local/2020/11/25/former-dbpr-lawyer-pleads-guilty-federal-child-pornography-case/6421896002/" TargetMode="External"/><Relationship Id="rId2016" Type="http://schemas.openxmlformats.org/officeDocument/2006/relationships/hyperlink" Target="https://www.courtlistener.com/docket/7648370/united-states-v-smith/" TargetMode="External"/><Relationship Id="rId3348" Type="http://schemas.openxmlformats.org/officeDocument/2006/relationships/hyperlink" Target="http://archive.fo/yhBqZ" TargetMode="External"/><Relationship Id="rId4679" Type="http://schemas.openxmlformats.org/officeDocument/2006/relationships/hyperlink" Target="https://archive.vn/e0pYV" TargetMode="External"/><Relationship Id="rId2017" Type="http://schemas.openxmlformats.org/officeDocument/2006/relationships/hyperlink" Target="https://www.justice.gov/usao-sc/pr/pickens-man-pleads-guilty-child-porn-charges" TargetMode="External"/><Relationship Id="rId3347" Type="http://schemas.openxmlformats.org/officeDocument/2006/relationships/hyperlink" Target="http://archive.fo/XUVQl" TargetMode="External"/><Relationship Id="rId4678" Type="http://schemas.openxmlformats.org/officeDocument/2006/relationships/hyperlink" Target="https://archive.vn/H4suI" TargetMode="External"/><Relationship Id="rId2018" Type="http://schemas.openxmlformats.org/officeDocument/2006/relationships/hyperlink" Target="https://www.justice.gov/usao-sdga/pr/final-defendant-sentenced-federal-prison-production-child-pornography" TargetMode="External"/><Relationship Id="rId2019" Type="http://schemas.openxmlformats.org/officeDocument/2006/relationships/hyperlink" Target="https://www.adn.com/alaska-news/crime-courts/2018/10/18/former-mclaughlin-youth-center-superintendent-charged-with-possession-of-child-pornography/" TargetMode="External"/><Relationship Id="rId3349" Type="http://schemas.openxmlformats.org/officeDocument/2006/relationships/hyperlink" Target="http://dpsweb.dps.louisiana.gov/lspnewsr.nsf/adc616dfb7087e6286256c76004db773/0988d734b479d1eb86258398006b234c?OpenDocument" TargetMode="External"/><Relationship Id="rId3340" Type="http://schemas.openxmlformats.org/officeDocument/2006/relationships/hyperlink" Target="https://www.courtlistener.com/?q=&amp;type=r&amp;order_by=score+desc&amp;docket_number=5%3A19-cr-00106&amp;court=txwd" TargetMode="External"/><Relationship Id="rId4671" Type="http://schemas.openxmlformats.org/officeDocument/2006/relationships/hyperlink" Target="https://www.cbp.gov/newsroom/local-media-release/tractor-trailer-human-smuggler-arrested-border-patrol-1" TargetMode="External"/><Relationship Id="rId4670" Type="http://schemas.openxmlformats.org/officeDocument/2006/relationships/hyperlink" Target="https://archive.vn/rstfl" TargetMode="External"/><Relationship Id="rId2010" Type="http://schemas.openxmlformats.org/officeDocument/2006/relationships/hyperlink" Target="https://www.courtlistener.com/docket/7015555/united-states-v-farber/" TargetMode="External"/><Relationship Id="rId3342" Type="http://schemas.openxmlformats.org/officeDocument/2006/relationships/hyperlink" Target="http://thexradio.com/news/78-local-news/38101-decatur-man-charged-w-child-exploitation-and-pornography" TargetMode="External"/><Relationship Id="rId4673" Type="http://schemas.openxmlformats.org/officeDocument/2006/relationships/hyperlink" Target="https://www.valleynewslive.com/2020/08/11/after-being-arrested-on-state-charges-minnesota-man-indicted-on-federal-charges-related-to-child-porn/" TargetMode="External"/><Relationship Id="rId2011" Type="http://schemas.openxmlformats.org/officeDocument/2006/relationships/hyperlink" Target="https://www.justice.gov/usao-cdca/pr/federal-prosecutors-bring-child-pornography-and-other-exploitation-cases-part-ongoing" TargetMode="External"/><Relationship Id="rId3341" Type="http://schemas.openxmlformats.org/officeDocument/2006/relationships/hyperlink" Target="https://www.justice.gov/usao-cdil/pr/decatur-man-faces-multiple-charges-sexual-exploitation-children" TargetMode="External"/><Relationship Id="rId4672" Type="http://schemas.openxmlformats.org/officeDocument/2006/relationships/hyperlink" Target="https://www.cbp.gov/newsroom/local-media-release/law-enforcement-agencies-working-together-stop-human-smuggling-attempt" TargetMode="External"/><Relationship Id="rId2012" Type="http://schemas.openxmlformats.org/officeDocument/2006/relationships/hyperlink" Target="https://www.courtlistener.com/docket/7315905/united-states-v-contes/" TargetMode="External"/><Relationship Id="rId3344" Type="http://schemas.openxmlformats.org/officeDocument/2006/relationships/hyperlink" Target="http://archive.fo/pcsOY" TargetMode="External"/><Relationship Id="rId4675" Type="http://schemas.openxmlformats.org/officeDocument/2006/relationships/hyperlink" Target="https://archive.vn/KS1mJ" TargetMode="External"/><Relationship Id="rId2013" Type="http://schemas.openxmlformats.org/officeDocument/2006/relationships/hyperlink" Target="https://www.justice.gov/usao-nj/pr/former-employee-new-jersey-university-admits-distributing-images-child-pornography-over" TargetMode="External"/><Relationship Id="rId3343" Type="http://schemas.openxmlformats.org/officeDocument/2006/relationships/hyperlink" Target="https://www.courtlistener.com/docket/14907005/united-states-v-johnson/" TargetMode="External"/><Relationship Id="rId4674" Type="http://schemas.openxmlformats.org/officeDocument/2006/relationships/hyperlink" Target="https://archive.vn/3dIHe" TargetMode="External"/><Relationship Id="rId2014" Type="http://schemas.openxmlformats.org/officeDocument/2006/relationships/hyperlink" Target="https://themontclarion.org/feature-story/former-montclair-state-employee-pleads-guilty-to-distributing-child-pornography/" TargetMode="External"/><Relationship Id="rId3346" Type="http://schemas.openxmlformats.org/officeDocument/2006/relationships/hyperlink" Target="https://www.crimeonline.com/2019/02/04/breaking-man-accused-of-taking-teen-girl-over-700-miles-from-home-charged-with-sexual-exploitation-after-her-father-is-charged-with-rape/" TargetMode="External"/><Relationship Id="rId4677" Type="http://schemas.openxmlformats.org/officeDocument/2006/relationships/hyperlink" Target="https://www.wtol.com/article/news/crime/elmore-pd-officer-sam-kurp-arrested-by-fbi-following-investigation-of-distributing-child-pornography/512-ed31aed6-78f5-4632-905e-64c3ad8a9d79" TargetMode="External"/><Relationship Id="rId2015" Type="http://schemas.openxmlformats.org/officeDocument/2006/relationships/hyperlink" Target="https://www.justice.gov/usao-ndin/pr/fort-wayne-man-sentenced-78-months-prison" TargetMode="External"/><Relationship Id="rId3345" Type="http://schemas.openxmlformats.org/officeDocument/2006/relationships/hyperlink" Target="http://archive.fo/OPNek" TargetMode="External"/><Relationship Id="rId4676" Type="http://schemas.openxmlformats.org/officeDocument/2006/relationships/hyperlink" Target="https://www.fbi.gov/contact-us/field-offices/cleveland/news/press-releases/ohio-man-charged-with-child-sexual-abuse-and-child-pornography" TargetMode="External"/><Relationship Id="rId2049" Type="http://schemas.openxmlformats.org/officeDocument/2006/relationships/hyperlink" Target="https://www.justice.gov/usao-mdfl/pr/st-augustine-sex-offender-pleads-guilty-federal-charge-attempted" TargetMode="External"/><Relationship Id="rId129" Type="http://schemas.openxmlformats.org/officeDocument/2006/relationships/hyperlink" Target="https://www.justice.gov/usao-edwa/pr/richland-man-sentenced-28-years-federal-prison-producing-and-distributing-child" TargetMode="External"/><Relationship Id="rId128" Type="http://schemas.openxmlformats.org/officeDocument/2006/relationships/hyperlink" Target="https://www.justice.gov/usao-edwa/pr/richland-man-sentenced-21-years-federal-prison-and-40-years-supervision-child" TargetMode="External"/><Relationship Id="rId127" Type="http://schemas.openxmlformats.org/officeDocument/2006/relationships/hyperlink" Target="https://www.justice.gov/usao-wdmo/pr/springfield-man-sentenced-17-years-child-pornography" TargetMode="External"/><Relationship Id="rId126" Type="http://schemas.openxmlformats.org/officeDocument/2006/relationships/hyperlink" Target="https://www.fbi.gov/contact-us/field-offices/cleveland/news/press-releases/canton-man-sentenced-to-more-than-eight-years-in-prison-for-child-pornography-crimes" TargetMode="External"/><Relationship Id="rId3371" Type="http://schemas.openxmlformats.org/officeDocument/2006/relationships/hyperlink" Target="https://www.courtlistener.com/docket/14555447/united-states-v-vorasiangsuk/" TargetMode="External"/><Relationship Id="rId2040" Type="http://schemas.openxmlformats.org/officeDocument/2006/relationships/hyperlink" Target="https://www.cbp.gov/newsroom/local-media-release/laredo-sector-border-patrols-agents-rescue-six-illegal-aliens-trapped" TargetMode="External"/><Relationship Id="rId3370" Type="http://schemas.openxmlformats.org/officeDocument/2006/relationships/hyperlink" Target="https://www.justice.gov/usao-ndoh/pr/euclid-man-arrested-after-he-directed-13-year-old-girl-send-him-nude-photos-herself-and" TargetMode="External"/><Relationship Id="rId121" Type="http://schemas.openxmlformats.org/officeDocument/2006/relationships/hyperlink" Target="https://www.justice.gov/usao-wdny/pr/silver-springs-man-going-prison-over-16-years-following-conviction-child-pornography" TargetMode="External"/><Relationship Id="rId2041" Type="http://schemas.openxmlformats.org/officeDocument/2006/relationships/hyperlink" Target="https://www.justice.gov/usao-nh/pr/weare-man-pleads-guilty-possession-child-pornography" TargetMode="External"/><Relationship Id="rId3373" Type="http://schemas.openxmlformats.org/officeDocument/2006/relationships/hyperlink" Target="https://www.kansascity.com/news/local/crime/article226245055.html" TargetMode="External"/><Relationship Id="rId120" Type="http://schemas.openxmlformats.org/officeDocument/2006/relationships/hyperlink" Target="https://www.justice.gov/usao-wdny/pr/silver-springs-man-arrested-pornography-charge" TargetMode="External"/><Relationship Id="rId2042" Type="http://schemas.openxmlformats.org/officeDocument/2006/relationships/hyperlink" Target="https://www.courtlistener.com/docket/7006500/united-states-v-messner/" TargetMode="External"/><Relationship Id="rId3372" Type="http://schemas.openxmlformats.org/officeDocument/2006/relationships/hyperlink" Target="https://www.justice.gov/usao-wdmo/pr/cameron-high-school-teacher-indicted-producing-child-pornography" TargetMode="External"/><Relationship Id="rId2043" Type="http://schemas.openxmlformats.org/officeDocument/2006/relationships/hyperlink" Target="https://www.justice.gov/usao-edla/pr/jefferson-man-pleads-guilty-receipt-child-pornography" TargetMode="External"/><Relationship Id="rId3375" Type="http://schemas.openxmlformats.org/officeDocument/2006/relationships/hyperlink" Target="https://archive.fo/odAi9" TargetMode="External"/><Relationship Id="rId2044" Type="http://schemas.openxmlformats.org/officeDocument/2006/relationships/hyperlink" Target="https://www.justice.gov/usao-edla/pr/jefferson-man-sentenced-97-months-prison-after-previously-pleading-guilty-receipt-child" TargetMode="External"/><Relationship Id="rId3374" Type="http://schemas.openxmlformats.org/officeDocument/2006/relationships/hyperlink" Target="https://archive.fo/YAfTN" TargetMode="External"/><Relationship Id="rId125" Type="http://schemas.openxmlformats.org/officeDocument/2006/relationships/hyperlink" Target="https://www.justice.gov/usao-ndoh/pr/marshall-belden-canton-indicted-child-pornography-charges" TargetMode="External"/><Relationship Id="rId2045" Type="http://schemas.openxmlformats.org/officeDocument/2006/relationships/hyperlink" Target="https://www.courtlistener.com/docket/7034300/united-states-v-trosclair/" TargetMode="External"/><Relationship Id="rId3377" Type="http://schemas.openxmlformats.org/officeDocument/2006/relationships/hyperlink" Target="https://www.courtlistener.com/docket/14585178/united-states-v-elconin/" TargetMode="External"/><Relationship Id="rId124" Type="http://schemas.openxmlformats.org/officeDocument/2006/relationships/hyperlink" Target="https://www.beaumontenterprise.com/news/article/Silsbee-man-indicted-for-human-trafficking-10969617.php" TargetMode="External"/><Relationship Id="rId2046" Type="http://schemas.openxmlformats.org/officeDocument/2006/relationships/hyperlink" Target="http://www.kansascity.com/news/local/crime/article212609314.html" TargetMode="External"/><Relationship Id="rId3376" Type="http://schemas.openxmlformats.org/officeDocument/2006/relationships/hyperlink" Target="https://www.justice.gov/usao-cdca/pr/former-nanny-sentenced-30-years-federal-prison-producing-child-pornography-multiple" TargetMode="External"/><Relationship Id="rId123" Type="http://schemas.openxmlformats.org/officeDocument/2006/relationships/hyperlink" Target="https://www.justice.gov/usao-ne/pr/papillion-man-sentenced-66-months-receiving-child-pornography" TargetMode="External"/><Relationship Id="rId2047" Type="http://schemas.openxmlformats.org/officeDocument/2006/relationships/hyperlink" Target="http://www.pressdemocrat.com/news/8407582-181/lake-county-couple-arrested-for?sba=AAS" TargetMode="External"/><Relationship Id="rId3379" Type="http://schemas.openxmlformats.org/officeDocument/2006/relationships/hyperlink" Target="https://www.courtlistener.com/docket/14674645/united-states-v-spears/" TargetMode="External"/><Relationship Id="rId122" Type="http://schemas.openxmlformats.org/officeDocument/2006/relationships/hyperlink" Target="http://www.wtol.com/story/34414687/toledo-man-arrested-on-federal-child-sex-trafficking-charges" TargetMode="External"/><Relationship Id="rId2048" Type="http://schemas.openxmlformats.org/officeDocument/2006/relationships/hyperlink" Target="https://www.justice.gov/usao-wdny/pr/mexican-man-pleads-guilty-child-pornography-charge" TargetMode="External"/><Relationship Id="rId3378" Type="http://schemas.openxmlformats.org/officeDocument/2006/relationships/hyperlink" Target="https://www.justice.gov/usao-edky/pr/fort-thomas-man-sentenced-90-months-distribution-child-pornography" TargetMode="External"/><Relationship Id="rId2038" Type="http://schemas.openxmlformats.org/officeDocument/2006/relationships/hyperlink" Target="http://www.providencejournal.com/news/20180606/central-falls-police-release-names-of-17-people-arrested-in-prostitution-sting" TargetMode="External"/><Relationship Id="rId2039" Type="http://schemas.openxmlformats.org/officeDocument/2006/relationships/hyperlink" Target="https://www.cbp.gov/newsroom/local-media-release/laredo-sector-border-patrol-agents-thwart-illegal-alien-smuggling-south" TargetMode="External"/><Relationship Id="rId3369" Type="http://schemas.openxmlformats.org/officeDocument/2006/relationships/hyperlink" Target="https://archive.fo/4hKmQ" TargetMode="External"/><Relationship Id="rId118" Type="http://schemas.openxmlformats.org/officeDocument/2006/relationships/hyperlink" Target="https://www.justice.gov/usao-wdmo/pr/columbia-man-sentenced-15-years-child-sex-trafficking-0" TargetMode="External"/><Relationship Id="rId117" Type="http://schemas.openxmlformats.org/officeDocument/2006/relationships/hyperlink" Target="https://www.justice.gov/usao-wdmo/pr/columbia-man-indicted-more-charges-related-sex-trafficking-additional-victims" TargetMode="External"/><Relationship Id="rId116" Type="http://schemas.openxmlformats.org/officeDocument/2006/relationships/hyperlink" Target="https://www.courtlistener.com/docket/6267455/united-states-v-correia/" TargetMode="External"/><Relationship Id="rId115" Type="http://schemas.openxmlformats.org/officeDocument/2006/relationships/hyperlink" Target="https://www.justice.gov/usao-ne/pr/massachusetts-man-sentenced-receiving-child-pornography" TargetMode="External"/><Relationship Id="rId3360" Type="http://schemas.openxmlformats.org/officeDocument/2006/relationships/hyperlink" Target="https://www.justice.gov/usao-mt/pr/belgrade-man-sentenced-20-years-prison-child-porn-crimes" TargetMode="External"/><Relationship Id="rId4691" Type="http://schemas.openxmlformats.org/officeDocument/2006/relationships/hyperlink" Target="https://www.msn.com/en-us/news/crime/las-cruces-man-arrested-for-allegedly-attempting-to-entice-two-teens-into-sexual-activity/ar-BB18E4tI" TargetMode="External"/><Relationship Id="rId119" Type="http://schemas.openxmlformats.org/officeDocument/2006/relationships/hyperlink" Target="https://www.justice.gov/usao-wdmo/pr/two-more-columbia-men-charged-related-prostitution-operation" TargetMode="External"/><Relationship Id="rId4690" Type="http://schemas.openxmlformats.org/officeDocument/2006/relationships/hyperlink" Target="https://www.justice.gov/usao-nm/pr/las-cruces-man-charged-using-internet-attempt-entice-minor-sex" TargetMode="External"/><Relationship Id="rId110" Type="http://schemas.openxmlformats.org/officeDocument/2006/relationships/hyperlink" Target="https://www.cbp.gov/newsroom/local-media-release/agents-stop-2-illegal-immigration-attempts" TargetMode="External"/><Relationship Id="rId2030" Type="http://schemas.openxmlformats.org/officeDocument/2006/relationships/hyperlink" Target="https://www.wric.com/news/crime/new-zealand-man-indicted-for-child-porn-kidnapping-in-case-involving-goochland-minor/1760238920" TargetMode="External"/><Relationship Id="rId3362" Type="http://schemas.openxmlformats.org/officeDocument/2006/relationships/hyperlink" Target="https://www.courtlistener.com/docket/14733728/united-states-v-lundi/" TargetMode="External"/><Relationship Id="rId4693" Type="http://schemas.openxmlformats.org/officeDocument/2006/relationships/hyperlink" Target="https://archive.vn/0op7i" TargetMode="External"/><Relationship Id="rId2031" Type="http://schemas.openxmlformats.org/officeDocument/2006/relationships/hyperlink" Target="https://www.justice.gov/usao-mdfl/pr/largo-man-sentenced-transporting-child-pornography" TargetMode="External"/><Relationship Id="rId3361" Type="http://schemas.openxmlformats.org/officeDocument/2006/relationships/hyperlink" Target="https://www.justice.gov/usao-sdfl/pr/miami-resident-sentenced-25-years-prison-sex-trafficking-minor" TargetMode="External"/><Relationship Id="rId4692" Type="http://schemas.openxmlformats.org/officeDocument/2006/relationships/hyperlink" Target="https://archive.vn/caqjh" TargetMode="External"/><Relationship Id="rId2032" Type="http://schemas.openxmlformats.org/officeDocument/2006/relationships/hyperlink" Target="https://www.courtlistener.com/docket/7003001/united-states-v-blank/" TargetMode="External"/><Relationship Id="rId3364" Type="http://schemas.openxmlformats.org/officeDocument/2006/relationships/hyperlink" Target="https://www.courtlistener.com/docket/14672726/united-states-v-bell/" TargetMode="External"/><Relationship Id="rId4695" Type="http://schemas.openxmlformats.org/officeDocument/2006/relationships/hyperlink" Target="https://www.justice.gov/usao-sdca/pr/suspected-international-alien-smuggler-extradited-united-states-romania" TargetMode="External"/><Relationship Id="rId2033" Type="http://schemas.openxmlformats.org/officeDocument/2006/relationships/hyperlink" Target="https://www.cbp.gov/newsroom/local-media-release/border-patrol-agents-foil-drug-and-human-smuggling-attempts" TargetMode="External"/><Relationship Id="rId3363" Type="http://schemas.openxmlformats.org/officeDocument/2006/relationships/hyperlink" Target="https://herald-review.com/news/local/crime-and-courts/former-monticello-school-district-employee-indicted-on-child-pornography-charges/article_629c9b15-1b01-5e5c-992b-274966bd7385.html" TargetMode="External"/><Relationship Id="rId4694" Type="http://schemas.openxmlformats.org/officeDocument/2006/relationships/hyperlink" Target="https://www.cbp.gov/newsroom/local-media-release/multi-agency-cooperation-foils-several-human-smuggling-attempts" TargetMode="External"/><Relationship Id="rId114" Type="http://schemas.openxmlformats.org/officeDocument/2006/relationships/hyperlink" Target="https://www.courtlistener.com/docket/7157259/united-states-v-surdel/" TargetMode="External"/><Relationship Id="rId2034" Type="http://schemas.openxmlformats.org/officeDocument/2006/relationships/hyperlink" Target="https://www.cbp.gov/newsroom/local-media-release/border-patrol-agents-foil-drug-and-human-smuggling-attempts" TargetMode="External"/><Relationship Id="rId3366" Type="http://schemas.openxmlformats.org/officeDocument/2006/relationships/hyperlink" Target="https://www.justice.gov/usao-edva/pr/man-sentenced-sexually-abusing-child-and-child-pornography" TargetMode="External"/><Relationship Id="rId4697" Type="http://schemas.openxmlformats.org/officeDocument/2006/relationships/hyperlink" Target="https://archive.vn/tPeOP" TargetMode="External"/><Relationship Id="rId113" Type="http://schemas.openxmlformats.org/officeDocument/2006/relationships/hyperlink" Target="https://www.justice.gov/usao-nv/pr/henderson-man-sentenced-nine-years-prison-receipt-and-possession-over-47000-images-and" TargetMode="External"/><Relationship Id="rId2035" Type="http://schemas.openxmlformats.org/officeDocument/2006/relationships/hyperlink" Target="https://www.cbp.gov/newsroom/local-media-release/tucson-teens-arrested-smuggling-illegal-aliens" TargetMode="External"/><Relationship Id="rId3365" Type="http://schemas.openxmlformats.org/officeDocument/2006/relationships/hyperlink" Target="https://archive.fo/wdPsE" TargetMode="External"/><Relationship Id="rId4696" Type="http://schemas.openxmlformats.org/officeDocument/2006/relationships/hyperlink" Target="https://global.foreignaffairs.co.nz/2020/08/18/mil-osi-usa-suspected-international-alien-smuggler-extradited-to-the-united-states-from-romania" TargetMode="External"/><Relationship Id="rId112" Type="http://schemas.openxmlformats.org/officeDocument/2006/relationships/hyperlink" Target="https://www.news-leader.com/story/news/crime/2018/10/25/springfield-man-made-child-porn-sleeping-kids/1760881002/" TargetMode="External"/><Relationship Id="rId2036" Type="http://schemas.openxmlformats.org/officeDocument/2006/relationships/hyperlink" Target="http://wajr.com/accused-prostitute-pimp-arrested-in-morgantown/" TargetMode="External"/><Relationship Id="rId3368" Type="http://schemas.openxmlformats.org/officeDocument/2006/relationships/hyperlink" Target="https://archive.fo/Cy5V6" TargetMode="External"/><Relationship Id="rId4699" Type="http://schemas.openxmlformats.org/officeDocument/2006/relationships/hyperlink" Target="https://www.wpxi.com/news/trending/texas-middle-school-band-teacher-accused-secretly-recording-students/ASM2GNSKO5FF5DC73LDU2Y2TVY/" TargetMode="External"/><Relationship Id="rId111" Type="http://schemas.openxmlformats.org/officeDocument/2006/relationships/hyperlink" Target="https://www.justice.gov/usao-wdmo/pr/springfield-man-sentenced-35-years-child-sexual-exploitation-illegal-firearm" TargetMode="External"/><Relationship Id="rId2037" Type="http://schemas.openxmlformats.org/officeDocument/2006/relationships/hyperlink" Target="http://www.kyma.com/news/yuma-border-agents-foil-drug-and-human-smuggling-attempts/749618341" TargetMode="External"/><Relationship Id="rId3367" Type="http://schemas.openxmlformats.org/officeDocument/2006/relationships/hyperlink" Target="https://www.justice.gov/usao-wdny/pr/former-jamestown-resident-charged-receipt-and-distribution-child-pornography" TargetMode="External"/><Relationship Id="rId4698" Type="http://schemas.openxmlformats.org/officeDocument/2006/relationships/hyperlink" Target="https://archive.vn/Knlci" TargetMode="External"/><Relationship Id="rId3315" Type="http://schemas.openxmlformats.org/officeDocument/2006/relationships/hyperlink" Target="https://www.justice.gov/usao-ndga/pr/murray-county-man-pleads-guilty-producing-child-pornography" TargetMode="External"/><Relationship Id="rId4646" Type="http://schemas.openxmlformats.org/officeDocument/2006/relationships/hyperlink" Target="https://www.justice.gov/usao-edva/pr/ms-13-members-and-associates-arrested-sex-trafficking-minor" TargetMode="External"/><Relationship Id="rId3314" Type="http://schemas.openxmlformats.org/officeDocument/2006/relationships/hyperlink" Target="https://www.justice.gov/usao-mdtn/pr/gallatin-man-sentenced-crimes-involving-sexual-exploitation-children" TargetMode="External"/><Relationship Id="rId4645" Type="http://schemas.openxmlformats.org/officeDocument/2006/relationships/hyperlink" Target="https://archive.vn/wip/TMN1v" TargetMode="External"/><Relationship Id="rId3317" Type="http://schemas.openxmlformats.org/officeDocument/2006/relationships/hyperlink" Target="https://www.sciotocountydailynews.com/facebook-child-porn-blackmail/" TargetMode="External"/><Relationship Id="rId4648" Type="http://schemas.openxmlformats.org/officeDocument/2006/relationships/hyperlink" Target="https://archive.vn/wip/TMN1v" TargetMode="External"/><Relationship Id="rId3316" Type="http://schemas.openxmlformats.org/officeDocument/2006/relationships/hyperlink" Target="https://www.justice.gov/usao-ne/pr/omaha-man-sentenced-84-months-distribution-child-pornography" TargetMode="External"/><Relationship Id="rId4647" Type="http://schemas.openxmlformats.org/officeDocument/2006/relationships/hyperlink" Target="https://www.foxnews.com/us/11-ms-13-members-arrested-sex-trafficking-girl-13" TargetMode="External"/><Relationship Id="rId3319" Type="http://schemas.openxmlformats.org/officeDocument/2006/relationships/hyperlink" Target="https://archive.vn/28QK8" TargetMode="External"/><Relationship Id="rId3318" Type="http://schemas.openxmlformats.org/officeDocument/2006/relationships/hyperlink" Target="https://archive.vn/wip/4VrIa" TargetMode="External"/><Relationship Id="rId4649" Type="http://schemas.openxmlformats.org/officeDocument/2006/relationships/hyperlink" Target="https://www.justice.gov/usao-edca/pr/tuolumne-county-man-charged-receipt-and-distribution-material-involving-sexual" TargetMode="External"/><Relationship Id="rId4640" Type="http://schemas.openxmlformats.org/officeDocument/2006/relationships/hyperlink" Target="https://www.justice.gov/usao-edva/pr/ms-13-members-and-associates-arrested-sex-trafficking-minor" TargetMode="External"/><Relationship Id="rId3311" Type="http://schemas.openxmlformats.org/officeDocument/2006/relationships/hyperlink" Target="https://archive.vn/oHf24" TargetMode="External"/><Relationship Id="rId4642" Type="http://schemas.openxmlformats.org/officeDocument/2006/relationships/hyperlink" Target="https://archive.vn/wip/TMN1v" TargetMode="External"/><Relationship Id="rId3310" Type="http://schemas.openxmlformats.org/officeDocument/2006/relationships/hyperlink" Target="https://www.syracuse.com/crime/2021/01/syracuse-sex-offender-pleads-guilty-to-uploading-child-porn-to-facebook.html" TargetMode="External"/><Relationship Id="rId4641" Type="http://schemas.openxmlformats.org/officeDocument/2006/relationships/hyperlink" Target="https://www.foxnews.com/us/11-ms-13-members-arrested-sex-trafficking-girl-13" TargetMode="External"/><Relationship Id="rId3313" Type="http://schemas.openxmlformats.org/officeDocument/2006/relationships/hyperlink" Target="https://www.justice.gov/usao-nv/pr/two-reno-residents-sentenced-possession-child-pornography" TargetMode="External"/><Relationship Id="rId4644" Type="http://schemas.openxmlformats.org/officeDocument/2006/relationships/hyperlink" Target="https://www.foxnews.com/us/11-ms-13-members-arrested-sex-trafficking-girl-13" TargetMode="External"/><Relationship Id="rId3312" Type="http://schemas.openxmlformats.org/officeDocument/2006/relationships/hyperlink" Target="https://archive.vn/09fE6" TargetMode="External"/><Relationship Id="rId4643" Type="http://schemas.openxmlformats.org/officeDocument/2006/relationships/hyperlink" Target="https://www.justice.gov/usao-edva/pr/ms-13-members-and-associates-arrested-sex-trafficking-minor" TargetMode="External"/><Relationship Id="rId3304" Type="http://schemas.openxmlformats.org/officeDocument/2006/relationships/hyperlink" Target="https://www.justice.gov/usao-nj/pr/bergen-county-new-jersey-man-charged-receiving-child-pornography" TargetMode="External"/><Relationship Id="rId4635" Type="http://schemas.openxmlformats.org/officeDocument/2006/relationships/hyperlink" Target="https://www.foxnews.com/us/11-ms-13-members-arrested-sex-trafficking-girl-13" TargetMode="External"/><Relationship Id="rId3303" Type="http://schemas.openxmlformats.org/officeDocument/2006/relationships/hyperlink" Target="https://www.cbp.gov/newsroom/local-media-release/laredo-sector-border-patrol-stops-smuggling-attempt-checkpoint" TargetMode="External"/><Relationship Id="rId4634" Type="http://schemas.openxmlformats.org/officeDocument/2006/relationships/hyperlink" Target="https://www.justice.gov/usao-edva/pr/ms-13-members-and-associates-arrested-sex-trafficking-minor" TargetMode="External"/><Relationship Id="rId3306" Type="http://schemas.openxmlformats.org/officeDocument/2006/relationships/hyperlink" Target="https://patch.com/massachusetts/waltham/john-childs-jw-childs-charged-florida-prostitution-sting" TargetMode="External"/><Relationship Id="rId4637" Type="http://schemas.openxmlformats.org/officeDocument/2006/relationships/hyperlink" Target="https://www.justice.gov/usao-edva/pr/ms-13-members-and-associates-arrested-sex-trafficking-minor" TargetMode="External"/><Relationship Id="rId3305" Type="http://schemas.openxmlformats.org/officeDocument/2006/relationships/hyperlink" Target="https://fox2now.com/2019/01/29/east-st-louis-man-charged-with-child-pornography/" TargetMode="External"/><Relationship Id="rId4636" Type="http://schemas.openxmlformats.org/officeDocument/2006/relationships/hyperlink" Target="https://archive.vn/wip/TMN1v" TargetMode="External"/><Relationship Id="rId3308" Type="http://schemas.openxmlformats.org/officeDocument/2006/relationships/hyperlink" Target="https://archive.fo/iRzPB" TargetMode="External"/><Relationship Id="rId4639" Type="http://schemas.openxmlformats.org/officeDocument/2006/relationships/hyperlink" Target="https://archive.vn/wip/TMN1v" TargetMode="External"/><Relationship Id="rId3307" Type="http://schemas.openxmlformats.org/officeDocument/2006/relationships/hyperlink" Target="https://www.dailymail.co.uk/news/article-6736493/Billionaire-equity-firm-owner-John-Childs-wanted-Florida-spa-prostitution-charges.html" TargetMode="External"/><Relationship Id="rId4638" Type="http://schemas.openxmlformats.org/officeDocument/2006/relationships/hyperlink" Target="https://www.foxnews.com/us/11-ms-13-members-arrested-sex-trafficking-girl-13" TargetMode="External"/><Relationship Id="rId3309" Type="http://schemas.openxmlformats.org/officeDocument/2006/relationships/hyperlink" Target="https://www.justice.gov/usao-ndny/pr/syracuse-man-pleads-guilty-uploading-child-pornography-facebook" TargetMode="External"/><Relationship Id="rId3300" Type="http://schemas.openxmlformats.org/officeDocument/2006/relationships/hyperlink" Target="http://archive.fo/I3pgO" TargetMode="External"/><Relationship Id="rId4631" Type="http://schemas.openxmlformats.org/officeDocument/2006/relationships/hyperlink" Target="https://www.justice.gov/usao-edva/pr/ms-13-members-and-associates-arrested-sex-trafficking-minor" TargetMode="External"/><Relationship Id="rId4630" Type="http://schemas.openxmlformats.org/officeDocument/2006/relationships/hyperlink" Target="https://archive.vn/wip/TMN1v" TargetMode="External"/><Relationship Id="rId3302" Type="http://schemas.openxmlformats.org/officeDocument/2006/relationships/hyperlink" Target="https://www.justice.gov/usao-edpa/pr/philadelphia-man-sentenced-30-years-sexually-abusing-and-recording-abuse-four-year-old" TargetMode="External"/><Relationship Id="rId4633" Type="http://schemas.openxmlformats.org/officeDocument/2006/relationships/hyperlink" Target="https://archive.vn/wip/TMN1v" TargetMode="External"/><Relationship Id="rId3301" Type="http://schemas.openxmlformats.org/officeDocument/2006/relationships/hyperlink" Target="https://www.fbi.gov/contact-us/field-offices/portland/news/press-releases/man-charged-with-dozens-of-sexual-assault-counts-in-oregon-and-california" TargetMode="External"/><Relationship Id="rId4632" Type="http://schemas.openxmlformats.org/officeDocument/2006/relationships/hyperlink" Target="https://www.foxnews.com/us/11-ms-13-members-arrested-sex-trafficking-girl-13" TargetMode="External"/><Relationship Id="rId2005" Type="http://schemas.openxmlformats.org/officeDocument/2006/relationships/hyperlink" Target="https://www.elpasotimes.com/story/news/immigration/2018/07/14/undocumented-immigrants-human-smugglers-arrested-el-paso-area-raids-ice-stash-houses/784191002/" TargetMode="External"/><Relationship Id="rId3337" Type="http://schemas.openxmlformats.org/officeDocument/2006/relationships/hyperlink" Target="http://archive.fo/Zd6fh" TargetMode="External"/><Relationship Id="rId4668" Type="http://schemas.openxmlformats.org/officeDocument/2006/relationships/hyperlink" Target="https://archive.vn/DPIra" TargetMode="External"/><Relationship Id="rId2006" Type="http://schemas.openxmlformats.org/officeDocument/2006/relationships/hyperlink" Target="https://www.ice.gov/news/releases/hsi-el-paso-border-patrol-agents-arrest-18-alien-smugglers-117-illegal-aliens-seize" TargetMode="External"/><Relationship Id="rId3336" Type="http://schemas.openxmlformats.org/officeDocument/2006/relationships/hyperlink" Target="https://www.courtlistener.com/docket/6351593/united-states-v-barragan/" TargetMode="External"/><Relationship Id="rId4667" Type="http://schemas.openxmlformats.org/officeDocument/2006/relationships/hyperlink" Target="https://archive.vn/rstfl" TargetMode="External"/><Relationship Id="rId2007" Type="http://schemas.openxmlformats.org/officeDocument/2006/relationships/hyperlink" Target="https://www.click2houston.com/news/68-men-arrested-on-prostitution-charges-in-june-july-2018-hpd-says" TargetMode="External"/><Relationship Id="rId3339" Type="http://schemas.openxmlformats.org/officeDocument/2006/relationships/hyperlink" Target="https://www.justice.gov/usao-wdtx/pr/new-braunfels-man-sentenced-80-months-federal-prison-possession-child-pornography" TargetMode="External"/><Relationship Id="rId2008" Type="http://schemas.openxmlformats.org/officeDocument/2006/relationships/hyperlink" Target="https://www.ice.gov/news/releases/wyoming-man-sentenced-5-years-federal-prison-distributing-child-pornography" TargetMode="External"/><Relationship Id="rId3338" Type="http://schemas.openxmlformats.org/officeDocument/2006/relationships/hyperlink" Target="http://archive.fo/XUtDk" TargetMode="External"/><Relationship Id="rId4669" Type="http://schemas.openxmlformats.org/officeDocument/2006/relationships/hyperlink" Target="https://www.stripes.com/news/us/three-texas-soldiers-arrested-in-child-prostitution-sting-near-fort-hood-1.640811" TargetMode="External"/><Relationship Id="rId2009" Type="http://schemas.openxmlformats.org/officeDocument/2006/relationships/hyperlink" Target="https://www.justice.gov/usao-cdca/pr/federal-prosecutors-bring-child-pornography-and-other-exploitation-cases-part-ongoing" TargetMode="External"/><Relationship Id="rId4660" Type="http://schemas.openxmlformats.org/officeDocument/2006/relationships/hyperlink" Target="https://www.cbp.gov/newsroom/local-media-release/three-us-citizens-arrested-smuggling-52-illegal-aliens-stake-bed-truck" TargetMode="External"/><Relationship Id="rId3331" Type="http://schemas.openxmlformats.org/officeDocument/2006/relationships/hyperlink" Target="http://archive.fo/EYTp9" TargetMode="External"/><Relationship Id="rId4662" Type="http://schemas.openxmlformats.org/officeDocument/2006/relationships/hyperlink" Target="https://www.cbp.gov/newsroom/local-media-release/border-patrol-stops-dangerous-human-smuggling-attempt-0" TargetMode="External"/><Relationship Id="rId2000" Type="http://schemas.openxmlformats.org/officeDocument/2006/relationships/hyperlink" Target="https://www.ice.gov/news/releases/hsi-el-paso-border-patrol-agents-arrest-18-alien-smugglers-117-illegal-aliens-seize" TargetMode="External"/><Relationship Id="rId3330" Type="http://schemas.openxmlformats.org/officeDocument/2006/relationships/hyperlink" Target="http://ourrescue.org/blog/operation-net-nanny-22-arrests-in-thurston-county/" TargetMode="External"/><Relationship Id="rId4661" Type="http://schemas.openxmlformats.org/officeDocument/2006/relationships/hyperlink" Target="https://www.cbp.gov/newsroom/local-media-release/three-us-citizens-arrested-smuggling-52-illegal-aliens-stake-bed-truck" TargetMode="External"/><Relationship Id="rId2001" Type="http://schemas.openxmlformats.org/officeDocument/2006/relationships/hyperlink" Target="https://www.courtlistener.com/docket/7414362/united-states-v-serrano/" TargetMode="External"/><Relationship Id="rId3333" Type="http://schemas.openxmlformats.org/officeDocument/2006/relationships/hyperlink" Target="https://www.justice.gov/usao-ndoh/pr/berea-man-charged-after-he-allegedly-contacted-several-children-between-ages-12-and-15" TargetMode="External"/><Relationship Id="rId4664" Type="http://schemas.openxmlformats.org/officeDocument/2006/relationships/hyperlink" Target="https://archive.vn/rstfl" TargetMode="External"/><Relationship Id="rId2002" Type="http://schemas.openxmlformats.org/officeDocument/2006/relationships/hyperlink" Target="https://www.elpasotimes.com/story/news/immigration/2018/07/14/undocumented-immigrants-human-smugglers-arrested-el-paso-area-raids-ice-stash-houses/784191002/" TargetMode="External"/><Relationship Id="rId3332" Type="http://schemas.openxmlformats.org/officeDocument/2006/relationships/hyperlink" Target="https://www.ice.gov/news/releases/ice-discovers-67-illegal-aliens-including-6-unaccompanied-teens-deplorable-conditions" TargetMode="External"/><Relationship Id="rId4663" Type="http://schemas.openxmlformats.org/officeDocument/2006/relationships/hyperlink" Target="https://www.stripes.com/news/us/three-texas-soldiers-arrested-in-child-prostitution-sting-near-fort-hood-1.640811" TargetMode="External"/><Relationship Id="rId2003" Type="http://schemas.openxmlformats.org/officeDocument/2006/relationships/hyperlink" Target="https://www.ice.gov/news/releases/hsi-el-paso-border-patrol-agents-arrest-18-alien-smugglers-117-illegal-aliens-seize" TargetMode="External"/><Relationship Id="rId3335" Type="http://schemas.openxmlformats.org/officeDocument/2006/relationships/hyperlink" Target="https://mynewsla.com/orange-county/2018/02/03/former-oc-teacher-indicted-federal-grand-jury-sex-tourism-charge/" TargetMode="External"/><Relationship Id="rId4666" Type="http://schemas.openxmlformats.org/officeDocument/2006/relationships/hyperlink" Target="https://www.stripes.com/news/us/three-texas-soldiers-arrested-in-child-prostitution-sting-near-fort-hood-1.640811" TargetMode="External"/><Relationship Id="rId2004" Type="http://schemas.openxmlformats.org/officeDocument/2006/relationships/hyperlink" Target="https://www.courtlistener.com/docket/7418603/united-states-v-briseno/" TargetMode="External"/><Relationship Id="rId3334" Type="http://schemas.openxmlformats.org/officeDocument/2006/relationships/hyperlink" Target="https://www.courtlistener.com/docket/14834298/united-states-v-hosie/" TargetMode="External"/><Relationship Id="rId4665" Type="http://schemas.openxmlformats.org/officeDocument/2006/relationships/hyperlink" Target="https://archive.vn/DPIra" TargetMode="External"/><Relationship Id="rId3326" Type="http://schemas.openxmlformats.org/officeDocument/2006/relationships/hyperlink" Target="https://archive.vn/ZwpZ2" TargetMode="External"/><Relationship Id="rId4657" Type="http://schemas.openxmlformats.org/officeDocument/2006/relationships/hyperlink" Target="https://www.cbp.gov/newsroom/local-media-release/three-human-smuggling-attempts-lead-arrest-14-illegal-aliens" TargetMode="External"/><Relationship Id="rId3325" Type="http://schemas.openxmlformats.org/officeDocument/2006/relationships/hyperlink" Target="https://archive.vn/yQqzZ" TargetMode="External"/><Relationship Id="rId4656" Type="http://schemas.openxmlformats.org/officeDocument/2006/relationships/hyperlink" Target="https://www.cbp.gov/newsroom/local-media-release/border-patrol-halted-another-human-smuggling-attempt-commercial-vehicle" TargetMode="External"/><Relationship Id="rId3328" Type="http://schemas.openxmlformats.org/officeDocument/2006/relationships/hyperlink" Target="https://www.cbp.gov/newsroom/local-media-release/tucson-sector-agents-arrest-two-sex-offenders-separate-weekend-events" TargetMode="External"/><Relationship Id="rId4659" Type="http://schemas.openxmlformats.org/officeDocument/2006/relationships/hyperlink" Target="https://www.justice.gov/usao-wdwa/pr/seattle-man-charged-transporting-minor-prostitution-or-illegal-sexual-activity" TargetMode="External"/><Relationship Id="rId3327" Type="http://schemas.openxmlformats.org/officeDocument/2006/relationships/hyperlink" Target="https://www.justice.gov/usao-sdia/pr/iowa-man-sentenced-144-months-prison-transporting-and-possession-child-pornography" TargetMode="External"/><Relationship Id="rId4658" Type="http://schemas.openxmlformats.org/officeDocument/2006/relationships/hyperlink" Target="https://www.cbp.gov/newsroom/local-media-release/three-human-smuggling-attempts-lead-arrest-14-illegal-aliens" TargetMode="External"/><Relationship Id="rId3329" Type="http://schemas.openxmlformats.org/officeDocument/2006/relationships/hyperlink" Target="https://www.cbp.gov/newsroom/local-media-release/tucson-sector-agents-arrest-two-sex-offenders-separate-weekend-events" TargetMode="External"/><Relationship Id="rId3320" Type="http://schemas.openxmlformats.org/officeDocument/2006/relationships/hyperlink" Target="https://www.justice.gov/usao-edtn/pr/convicted-sex-offender-sentenced-distribution-child-pornography-another" TargetMode="External"/><Relationship Id="rId4651" Type="http://schemas.openxmlformats.org/officeDocument/2006/relationships/hyperlink" Target="https://www.justice.gov/usao-sdoh/pr/federal-grand-jury-indicts-hamilton-man-sexually-trafficking-exploiting-teen" TargetMode="External"/><Relationship Id="rId4650" Type="http://schemas.openxmlformats.org/officeDocument/2006/relationships/hyperlink" Target="https://www.justice.gov/usao-ndwv/pr/ohio-man-admits-soliciting-minor-child-pornography" TargetMode="External"/><Relationship Id="rId3322" Type="http://schemas.openxmlformats.org/officeDocument/2006/relationships/hyperlink" Target="https://www.courtlistener.com/docket/14857910/united-states-v-coffman/" TargetMode="External"/><Relationship Id="rId4653" Type="http://schemas.openxmlformats.org/officeDocument/2006/relationships/hyperlink" Target="https://archive.vn/wip/7a9TN" TargetMode="External"/><Relationship Id="rId3321" Type="http://schemas.openxmlformats.org/officeDocument/2006/relationships/hyperlink" Target="https://www.justice.gov/usao-ndoh/pr/men-navarre-and-huron-indicted-child-pornography-charges" TargetMode="External"/><Relationship Id="rId4652" Type="http://schemas.openxmlformats.org/officeDocument/2006/relationships/hyperlink" Target="https://www.cincinnati.com/story/news/2020/08/05/feds-hamilton-man-indicted-solicited-anderson-high-school-student-sex/3303340001/" TargetMode="External"/><Relationship Id="rId3324" Type="http://schemas.openxmlformats.org/officeDocument/2006/relationships/hyperlink" Target="https://www.wymt.com/2020/07/17/pike-county-property-owner-sentenced-to-prison-for-sex-trafficking-of-minors/" TargetMode="External"/><Relationship Id="rId4655" Type="http://schemas.openxmlformats.org/officeDocument/2006/relationships/hyperlink" Target="https://www.cbp.gov/newsroom/local-media-release/human-smuggling-attempts-continue-laredo-sector" TargetMode="External"/><Relationship Id="rId3323" Type="http://schemas.openxmlformats.org/officeDocument/2006/relationships/hyperlink" Target="https://www.justice.gov/usao-edky/pr/pikeville-man-sentenced-156-months-human-trafficking-charges" TargetMode="External"/><Relationship Id="rId4654" Type="http://schemas.openxmlformats.org/officeDocument/2006/relationships/hyperlink" Target="https://archive.vn/wip/LItxd" TargetMode="External"/><Relationship Id="rId2090" Type="http://schemas.openxmlformats.org/officeDocument/2006/relationships/hyperlink" Target="http://archive.fo/ImVfB" TargetMode="External"/><Relationship Id="rId2091" Type="http://schemas.openxmlformats.org/officeDocument/2006/relationships/hyperlink" Target="https://www.justice.gov/usao-ks/pr/indictments-five-massage-parlor-operators-were-engaged-prostitution" TargetMode="External"/><Relationship Id="rId2092" Type="http://schemas.openxmlformats.org/officeDocument/2006/relationships/hyperlink" Target="http://www.hutchpost.com/5-indicted-in-multi-million-dollar-kansas-prostitution-bust/" TargetMode="External"/><Relationship Id="rId2093" Type="http://schemas.openxmlformats.org/officeDocument/2006/relationships/hyperlink" Target="https://www.courtlistener.com/docket/7054356/united-states-v-li/" TargetMode="External"/><Relationship Id="rId2094" Type="http://schemas.openxmlformats.org/officeDocument/2006/relationships/hyperlink" Target="http://archive.fo/70fEX" TargetMode="External"/><Relationship Id="rId2095" Type="http://schemas.openxmlformats.org/officeDocument/2006/relationships/hyperlink" Target="http://archive.fo/M7hHO" TargetMode="External"/><Relationship Id="rId2096" Type="http://schemas.openxmlformats.org/officeDocument/2006/relationships/hyperlink" Target="https://www.justice.gov/usao-ks/pr/indictments-five-massage-parlor-operators-were-engaged-prostitution" TargetMode="External"/><Relationship Id="rId2097" Type="http://schemas.openxmlformats.org/officeDocument/2006/relationships/hyperlink" Target="http://www.hutchpost.com/5-indicted-in-multi-million-dollar-kansas-prostitution-bust/" TargetMode="External"/><Relationship Id="rId2098" Type="http://schemas.openxmlformats.org/officeDocument/2006/relationships/hyperlink" Target="https://www.courtlistener.com/docket/7054356/united-states-v-li/" TargetMode="External"/><Relationship Id="rId2099" Type="http://schemas.openxmlformats.org/officeDocument/2006/relationships/hyperlink" Target="http://archive.fo/70fEX" TargetMode="External"/><Relationship Id="rId3391" Type="http://schemas.openxmlformats.org/officeDocument/2006/relationships/hyperlink" Target="https://www.justice.gov/usao-nh/pr/gilford-man-sentenced-84-months-transportation-child-pornography" TargetMode="External"/><Relationship Id="rId2060" Type="http://schemas.openxmlformats.org/officeDocument/2006/relationships/hyperlink" Target="https://www.elpasotimes.com/story/news/2019/04/26/el-paso-texas-man-gets-30-years-child-porn-case-army-soldier/3580264002/" TargetMode="External"/><Relationship Id="rId3390" Type="http://schemas.openxmlformats.org/officeDocument/2006/relationships/hyperlink" Target="https://www.courtlistener.com/docket/14780769/united-states-v-boyle/" TargetMode="External"/><Relationship Id="rId2061" Type="http://schemas.openxmlformats.org/officeDocument/2006/relationships/hyperlink" Target="https://www.courtlistener.com/docket/7081501/united-states-v-sauceda/" TargetMode="External"/><Relationship Id="rId3393" Type="http://schemas.openxmlformats.org/officeDocument/2006/relationships/hyperlink" Target="http://www.virginislandsnewsonline.com/en/news/feds-arrest-usvi-boxer-john-a-jackson-for-producing-child-porn-/" TargetMode="External"/><Relationship Id="rId2062" Type="http://schemas.openxmlformats.org/officeDocument/2006/relationships/hyperlink" Target="http://archive.is/eSLC6" TargetMode="External"/><Relationship Id="rId3392" Type="http://schemas.openxmlformats.org/officeDocument/2006/relationships/hyperlink" Target="https://www.justice.gov/usao-vi/pr/federal-authorities-arrested-st-thomas-boxer-producing-child-pornography" TargetMode="External"/><Relationship Id="rId2063" Type="http://schemas.openxmlformats.org/officeDocument/2006/relationships/hyperlink" Target="http://archive.fo/4EafZ" TargetMode="External"/><Relationship Id="rId3395" Type="http://schemas.openxmlformats.org/officeDocument/2006/relationships/hyperlink" Target="http://archive.fo/qHhVl" TargetMode="External"/><Relationship Id="rId2064" Type="http://schemas.openxmlformats.org/officeDocument/2006/relationships/hyperlink" Target="https://www.justice.gov/usao-wdmo/pr/appleton-city-man-sentenced-child-pornography" TargetMode="External"/><Relationship Id="rId3394" Type="http://schemas.openxmlformats.org/officeDocument/2006/relationships/hyperlink" Target="http://archive.fo/eVhJm" TargetMode="External"/><Relationship Id="rId2065" Type="http://schemas.openxmlformats.org/officeDocument/2006/relationships/hyperlink" Target="http://www.kgns.tv/content/news/Border-Patrol-agents-prevent-human-smuggling-attempt--484796451.html" TargetMode="External"/><Relationship Id="rId3397" Type="http://schemas.openxmlformats.org/officeDocument/2006/relationships/hyperlink" Target="https://www.courtlistener.com/?q=&amp;type=r&amp;order_by=score+desc&amp;docket_number=3%3A19-mj-00808&amp;court=casd" TargetMode="External"/><Relationship Id="rId2066" Type="http://schemas.openxmlformats.org/officeDocument/2006/relationships/hyperlink" Target="https://www.cbp.gov/newsroom/local-media-release/dangerous-human-smuggling-attempts-stopped-sr-80-immigration-checkpoint" TargetMode="External"/><Relationship Id="rId3396" Type="http://schemas.openxmlformats.org/officeDocument/2006/relationships/hyperlink" Target="https://www.justice.gov/usao-sdca/pr/asylum-seekers-charged-alien-smuggling" TargetMode="External"/><Relationship Id="rId2067" Type="http://schemas.openxmlformats.org/officeDocument/2006/relationships/hyperlink" Target="https://patch.com/oregon/hillsboro/37-people-caught-multi-agency-sex-trafficking-sting" TargetMode="External"/><Relationship Id="rId3399" Type="http://schemas.openxmlformats.org/officeDocument/2006/relationships/hyperlink" Target="https://www.justice.gov/usao-edmi/pr/detroit-man-arrested-production-possession-child-pornography" TargetMode="External"/><Relationship Id="rId2068" Type="http://schemas.openxmlformats.org/officeDocument/2006/relationships/hyperlink" Target="https://patch.com/california/napavalley/pimp-arrested-prostitutes-detained-napa-county-sting" TargetMode="External"/><Relationship Id="rId3398" Type="http://schemas.openxmlformats.org/officeDocument/2006/relationships/hyperlink" Target="https://www.justice.gov/usao-nj/pr/gloucester-county-man-admits-sexual-exploitation-children-and-distribution-child" TargetMode="External"/><Relationship Id="rId2069" Type="http://schemas.openxmlformats.org/officeDocument/2006/relationships/hyperlink" Target="https://www.dallasnews.com/news/crime/2018/06/13/owner-massage-parlor-near-2-tarrant-county-schools-arrested-prostitution-charge" TargetMode="External"/><Relationship Id="rId3380" Type="http://schemas.openxmlformats.org/officeDocument/2006/relationships/hyperlink" Target="https://www.cbp.gov/newsroom/local-media-release/border-patrol-arrests-previously-deported-sex-offender-0" TargetMode="External"/><Relationship Id="rId2050" Type="http://schemas.openxmlformats.org/officeDocument/2006/relationships/hyperlink" Target="https://keprtv.com/news/local/kennewick-man-gets-30-years-in-prison-for-producing-child-porn" TargetMode="External"/><Relationship Id="rId3382" Type="http://schemas.openxmlformats.org/officeDocument/2006/relationships/hyperlink" Target="https://www.courtlistener.com/docket/14742951/united-states-v-dolven/" TargetMode="External"/><Relationship Id="rId2051" Type="http://schemas.openxmlformats.org/officeDocument/2006/relationships/hyperlink" Target="https://www.courtlistener.com/docket/7066088/united-states-v-black/" TargetMode="External"/><Relationship Id="rId3381" Type="http://schemas.openxmlformats.org/officeDocument/2006/relationships/hyperlink" Target="https://www.justice.gov/usao-mn/pr/chippewa-county-man-sentenced-30-years-prison-producing-images-child-sexual-abuse" TargetMode="External"/><Relationship Id="rId2052" Type="http://schemas.openxmlformats.org/officeDocument/2006/relationships/hyperlink" Target="https://archive.vn/DkqE6" TargetMode="External"/><Relationship Id="rId3384" Type="http://schemas.openxmlformats.org/officeDocument/2006/relationships/hyperlink" Target="https://www.courtlistener.com/docket/14867760/united-states-v-read/" TargetMode="External"/><Relationship Id="rId2053" Type="http://schemas.openxmlformats.org/officeDocument/2006/relationships/hyperlink" Target="https://archive.vn/RbKSt" TargetMode="External"/><Relationship Id="rId3383" Type="http://schemas.openxmlformats.org/officeDocument/2006/relationships/hyperlink" Target="https://www.justice.gov/usao-vt/pr/east-dorset-man-charged-second-federal-child-pornography-crime" TargetMode="External"/><Relationship Id="rId2054" Type="http://schemas.openxmlformats.org/officeDocument/2006/relationships/hyperlink" Target="https://www.justice.gov/usao-ndin/pr/oklahoma-long-haul-trucker-sentenced-27-years-prison" TargetMode="External"/><Relationship Id="rId3386" Type="http://schemas.openxmlformats.org/officeDocument/2006/relationships/hyperlink" Target="https://www.justice.gov/usao-edpa/pr/delaware-county-man-sentenced-35-years-sexually-abusing-and-recording-abuse-young-boy" TargetMode="External"/><Relationship Id="rId2055" Type="http://schemas.openxmlformats.org/officeDocument/2006/relationships/hyperlink" Target="https://www.justice.gov/usao-ndia/pr/cedar-rapids-man-sentenced-32-years-federal-prison-sexually-exploiting-child" TargetMode="External"/><Relationship Id="rId3385" Type="http://schemas.openxmlformats.org/officeDocument/2006/relationships/hyperlink" Target="https://www.courtlistener.com/?q=&amp;type=r&amp;order_by=score+desc&amp;docket_number=1%3A19-cr-00085&amp;court=mdd" TargetMode="External"/><Relationship Id="rId2056" Type="http://schemas.openxmlformats.org/officeDocument/2006/relationships/hyperlink" Target="https://www.courtlistener.com/docket/7494331/united-states-v-herring/" TargetMode="External"/><Relationship Id="rId3388" Type="http://schemas.openxmlformats.org/officeDocument/2006/relationships/hyperlink" Target="https://www.cbp.gov/newsroom/local-media-release/yuma-agents-arrest-armed-smuggler-and-continue-be-overwhelmed" TargetMode="External"/><Relationship Id="rId2057" Type="http://schemas.openxmlformats.org/officeDocument/2006/relationships/hyperlink" Target="https://www.justice.gov/usao-sdfl/pr/us-customs-and-border-protection-paralegal-faces-federal-child-pornography-charges" TargetMode="External"/><Relationship Id="rId3387" Type="http://schemas.openxmlformats.org/officeDocument/2006/relationships/hyperlink" Target="https://www.justice.gov/usao-sdoh/pr/centerville-man-sentenced-more-27-years-prison-creating-obscene-sexually-abusive-videos" TargetMode="External"/><Relationship Id="rId2058" Type="http://schemas.openxmlformats.org/officeDocument/2006/relationships/hyperlink" Target="https://www.courtlistener.com/docket/6991766/united-states-v-russo/" TargetMode="External"/><Relationship Id="rId2059" Type="http://schemas.openxmlformats.org/officeDocument/2006/relationships/hyperlink" Target="https://www.justice.gov/usao-wdtx/pr/el-paso-man-sentenced-30-years-federal-prison-production-child-pornography" TargetMode="External"/><Relationship Id="rId3389" Type="http://schemas.openxmlformats.org/officeDocument/2006/relationships/hyperlink" Target="https://www.cbp.gov/newsroom/local-media-release/yuma-agents-recover-second-gun-human-smugglers-less-48-hours" TargetMode="External"/><Relationship Id="rId2080" Type="http://schemas.openxmlformats.org/officeDocument/2006/relationships/hyperlink" Target="https://www.azcentral.com/story/news/local/gilbert-breaking/2018/06/08/gilbert-police-arrest-man-child-sex-trafficking-case/687240002/" TargetMode="External"/><Relationship Id="rId2081" Type="http://schemas.openxmlformats.org/officeDocument/2006/relationships/hyperlink" Target="http://www.1011now.com/content/news/7-Central-Nebraska-men-arrested-for-solicitation-in-undercover-sting-485318901.html" TargetMode="External"/><Relationship Id="rId2082" Type="http://schemas.openxmlformats.org/officeDocument/2006/relationships/hyperlink" Target="https://www.justice.gov/usao-sdia/pr/seven-des-moines-individuals-charged-sex-trafficking" TargetMode="External"/><Relationship Id="rId2083" Type="http://schemas.openxmlformats.org/officeDocument/2006/relationships/hyperlink" Target="https://www.desmoinesregister.com/story/news/crime-and-courts/2018/06/11/7-des-moines-residents-charged-sex-trafficking-feds-des-moines-sexual-prostitution-iowa-texas/692264002/" TargetMode="External"/><Relationship Id="rId2084" Type="http://schemas.openxmlformats.org/officeDocument/2006/relationships/hyperlink" Target="https://www.justice.gov/usao-ks/pr/driver-suv-11-illegal-immigrants-pleads-guilty-federal-charge" TargetMode="External"/><Relationship Id="rId2085" Type="http://schemas.openxmlformats.org/officeDocument/2006/relationships/hyperlink" Target="https://www.courtlistener.com/docket/7073453/united-states-v-maya-dimas/" TargetMode="External"/><Relationship Id="rId2086" Type="http://schemas.openxmlformats.org/officeDocument/2006/relationships/hyperlink" Target="https://www.justice.gov/usao-ks/pr/indictments-five-massage-parlor-operators-were-engaged-prostitution" TargetMode="External"/><Relationship Id="rId2087" Type="http://schemas.openxmlformats.org/officeDocument/2006/relationships/hyperlink" Target="http://www.hutchpost.com/5-indicted-in-multi-million-dollar-kansas-prostitution-bust/" TargetMode="External"/><Relationship Id="rId2088" Type="http://schemas.openxmlformats.org/officeDocument/2006/relationships/hyperlink" Target="https://www.courtlistener.com/docket/7054356/united-states-v-li/" TargetMode="External"/><Relationship Id="rId2089" Type="http://schemas.openxmlformats.org/officeDocument/2006/relationships/hyperlink" Target="http://archive.fo/70fEX" TargetMode="External"/><Relationship Id="rId2070" Type="http://schemas.openxmlformats.org/officeDocument/2006/relationships/hyperlink" Target="http://www.foxnews.com/us/2018/06/14/convicted-sex-offender-arrested-for-allegedly-possessing-child-pornography.html" TargetMode="External"/><Relationship Id="rId2071" Type="http://schemas.openxmlformats.org/officeDocument/2006/relationships/hyperlink" Target="https://www.justice.gov/usao-md/pr/baltimore-pimp-sentenced-20-years-federal-prison-after-being-convicted-trial-charges-sex" TargetMode="External"/><Relationship Id="rId2072" Type="http://schemas.openxmlformats.org/officeDocument/2006/relationships/hyperlink" Target="https://www.justice.gov/usao-edca/pr/former-marine-and-taft-resident-sentenced-12-years-prison-child-pornography-offense" TargetMode="External"/><Relationship Id="rId2073" Type="http://schemas.openxmlformats.org/officeDocument/2006/relationships/hyperlink" Target="https://www.courtlistener.com/docket/7094174/united-states-v-hinojosa-cisneros/" TargetMode="External"/><Relationship Id="rId2074" Type="http://schemas.openxmlformats.org/officeDocument/2006/relationships/hyperlink" Target="https://www.justice.gov/usao-nj/pr/egg-harbor-township-new-jersey-man-admits-receiving-child-pornography" TargetMode="External"/><Relationship Id="rId2075" Type="http://schemas.openxmlformats.org/officeDocument/2006/relationships/hyperlink" Target="https://www.justice.gov/usao-nj/pr/egg-harbor-township-new-jersey-man-charged-receipt-child-pornography" TargetMode="External"/><Relationship Id="rId2076" Type="http://schemas.openxmlformats.org/officeDocument/2006/relationships/hyperlink" Target="https://www.10tv.com/article/advocates-victims-human-trafficking-relieved-notorious-pimp-central-ohio-streets" TargetMode="External"/><Relationship Id="rId2077" Type="http://schemas.openxmlformats.org/officeDocument/2006/relationships/hyperlink" Target="https://www.desmoinesregister.com/story/news/crime-and-courts/2018/06/09/human-trafficking-des-moines-richard-lynn-wisecup-underage-girl-sexual-abuse/687782002/" TargetMode="External"/><Relationship Id="rId2078" Type="http://schemas.openxmlformats.org/officeDocument/2006/relationships/hyperlink" Target="https://www.cbp.gov/newsroom/local-media-release/dangerous-human-smuggling-attempts-stopped-sr-80-immigration-checkpoint" TargetMode="External"/><Relationship Id="rId2079" Type="http://schemas.openxmlformats.org/officeDocument/2006/relationships/hyperlink" Target="https://www.cbp.gov/newsroom/local-media-release/laredo-sector-border-patrol-halts-smuggling-attempt" TargetMode="External"/><Relationship Id="rId2940" Type="http://schemas.openxmlformats.org/officeDocument/2006/relationships/hyperlink" Target="https://www.cbp.gov/newsroom/local-media-release/border-patrol-discover-9-undocumented-immigrants-inside-tractor-trailer" TargetMode="External"/><Relationship Id="rId1610" Type="http://schemas.openxmlformats.org/officeDocument/2006/relationships/hyperlink" Target="https://www.courtlistener.com/docket/7586001/united-states-v-rodgers/" TargetMode="External"/><Relationship Id="rId2941" Type="http://schemas.openxmlformats.org/officeDocument/2006/relationships/hyperlink" Target="https://www.cbp.gov/newsroom/local-media-release/local-man-caught-smuggling-5-illegal-aliens-car-gun" TargetMode="External"/><Relationship Id="rId1611" Type="http://schemas.openxmlformats.org/officeDocument/2006/relationships/hyperlink" Target="https://www.justice.gov/usao-ks/pr/great-bend-man-sentenced-13-years-distributing-child-porn" TargetMode="External"/><Relationship Id="rId2942" Type="http://schemas.openxmlformats.org/officeDocument/2006/relationships/hyperlink" Target="http://www.journalgazette.net/article/20181019/WEB/181019793" TargetMode="External"/><Relationship Id="rId1612" Type="http://schemas.openxmlformats.org/officeDocument/2006/relationships/hyperlink" Target="http://www.hutchnews.com/news/20181127/great-bend-man-receives-nearly-14-years-for-possessing-child-porn" TargetMode="External"/><Relationship Id="rId2943" Type="http://schemas.openxmlformats.org/officeDocument/2006/relationships/hyperlink" Target="https://www.news4jax.com/news/jacksonville-high-school-teacher-charged-with-distribution-of-child-porn" TargetMode="External"/><Relationship Id="rId1613" Type="http://schemas.openxmlformats.org/officeDocument/2006/relationships/hyperlink" Target="https://www.courtlistener.com/docket/6446372/united-states-v-gann/" TargetMode="External"/><Relationship Id="rId2944" Type="http://schemas.openxmlformats.org/officeDocument/2006/relationships/hyperlink" Target="https://www.courtlistener.com/docket/14512040/united-states-v-schemmel/" TargetMode="External"/><Relationship Id="rId1614" Type="http://schemas.openxmlformats.org/officeDocument/2006/relationships/hyperlink" Target="https://www.justice.gov/usao-sdtx/pr/local-family-sentenced-money-laundering-conspiracy" TargetMode="External"/><Relationship Id="rId2945" Type="http://schemas.openxmlformats.org/officeDocument/2006/relationships/hyperlink" Target="https://archive.vn/n1RFt" TargetMode="External"/><Relationship Id="rId1615" Type="http://schemas.openxmlformats.org/officeDocument/2006/relationships/hyperlink" Target="https://www.courtlistener.com/?q=&amp;type=r&amp;order_by=score+desc&amp;docket_number=1%3A18-cr-00225&amp;court=txsd" TargetMode="External"/><Relationship Id="rId2946" Type="http://schemas.openxmlformats.org/officeDocument/2006/relationships/hyperlink" Target="https://kvoa.com/news/local-news/2018/10/19/local-man-caught-smuggling-illegal-immigrants/" TargetMode="External"/><Relationship Id="rId1616" Type="http://schemas.openxmlformats.org/officeDocument/2006/relationships/hyperlink" Target="https://www.justice.gov/usao-sdtx/pr/local-family-sentenced-money-laundering-conspiracy" TargetMode="External"/><Relationship Id="rId2947" Type="http://schemas.openxmlformats.org/officeDocument/2006/relationships/hyperlink" Target="https://www.cbp.gov/newsroom/local-media-release/yuma-sector-border-patrol-thwarts-multiple-smuggling-attempts" TargetMode="External"/><Relationship Id="rId907" Type="http://schemas.openxmlformats.org/officeDocument/2006/relationships/hyperlink" Target="https://www.courtlistener.com/docket/6601319/united-states-v-marxsen/" TargetMode="External"/><Relationship Id="rId1617" Type="http://schemas.openxmlformats.org/officeDocument/2006/relationships/hyperlink" Target="https://www.courtlistener.com/?q=&amp;type=r&amp;order_by=score+desc&amp;docket_number=1%3A18-cr-00225&amp;court=txsd" TargetMode="External"/><Relationship Id="rId2948" Type="http://schemas.openxmlformats.org/officeDocument/2006/relationships/hyperlink" Target="https://www.cbp.gov/newsroom/local-media-release/amo-stops-vessel-four-aliens-crossing-illegally-near-st-john" TargetMode="External"/><Relationship Id="rId906" Type="http://schemas.openxmlformats.org/officeDocument/2006/relationships/hyperlink" Target="https://www.justice.gov/usao-ne/pr/omaha-man-sentenced-six-years-distributing-child-pornography" TargetMode="External"/><Relationship Id="rId1618" Type="http://schemas.openxmlformats.org/officeDocument/2006/relationships/hyperlink" Target="https://www.justice.gov/usao-sdtx/pr/local-family-sentenced-money-laundering-conspiracy" TargetMode="External"/><Relationship Id="rId2949" Type="http://schemas.openxmlformats.org/officeDocument/2006/relationships/hyperlink" Target="https://www.cbp.gov/newsroom/local-media-release/usbp-k9-finds-two-people-trunk-checkpoint" TargetMode="External"/><Relationship Id="rId905" Type="http://schemas.openxmlformats.org/officeDocument/2006/relationships/hyperlink" Target="https://www.courtlistener.com/docket/6943384/united-states-v-smith/" TargetMode="External"/><Relationship Id="rId1619" Type="http://schemas.openxmlformats.org/officeDocument/2006/relationships/hyperlink" Target="https://www.courtlistener.com/?q=&amp;type=r&amp;order_by=score+desc&amp;docket_number=1%3A18-cr-00225&amp;court=txsd" TargetMode="External"/><Relationship Id="rId904" Type="http://schemas.openxmlformats.org/officeDocument/2006/relationships/hyperlink" Target="https://www.justice.gov/usao-mdga/pr/macon-educator-sentenced-90-months-prison-possessing-hundreds-child-pornography-images" TargetMode="External"/><Relationship Id="rId909" Type="http://schemas.openxmlformats.org/officeDocument/2006/relationships/hyperlink" Target="https://www.cbp.gov/newsroom/local-media-release/12-illegal-aliens-discovered-checkpoint" TargetMode="External"/><Relationship Id="rId908" Type="http://schemas.openxmlformats.org/officeDocument/2006/relationships/hyperlink" Target="https://www.ice.gov/news/releases/southeast-texas-man-sentenced-more-12-years-prison-distributing-possessing-child" TargetMode="External"/><Relationship Id="rId903" Type="http://schemas.openxmlformats.org/officeDocument/2006/relationships/hyperlink" Target="http://archive.fo/qFQuB" TargetMode="External"/><Relationship Id="rId902" Type="http://schemas.openxmlformats.org/officeDocument/2006/relationships/hyperlink" Target="http://archive.fo/cOwhe" TargetMode="External"/><Relationship Id="rId901" Type="http://schemas.openxmlformats.org/officeDocument/2006/relationships/hyperlink" Target="https://www.courtlistener.com/docket/6543399/united-states-v-armes/" TargetMode="External"/><Relationship Id="rId900" Type="http://schemas.openxmlformats.org/officeDocument/2006/relationships/hyperlink" Target="http://www.wave3.com/story/38209827/graphic-kentucky-man-accused-of-making-child-porn-could-face-400-year-sentence/" TargetMode="External"/><Relationship Id="rId2930" Type="http://schemas.openxmlformats.org/officeDocument/2006/relationships/hyperlink" Target="https://www.justice.gov/usao-ne/pr/omaha-man-convicted-possession-child-pornography" TargetMode="External"/><Relationship Id="rId1600" Type="http://schemas.openxmlformats.org/officeDocument/2006/relationships/hyperlink" Target="https://www.courtlistener.com/?q=&amp;type=r&amp;order_by=score+desc&amp;docket_number=1%3A18-cr-00033&amp;court=wvnd" TargetMode="External"/><Relationship Id="rId2931" Type="http://schemas.openxmlformats.org/officeDocument/2006/relationships/hyperlink" Target="https://www.kktv.com/content/news/Colorado-massage-parlor-under-investigation-for-prostitution--497874671.html" TargetMode="External"/><Relationship Id="rId1601" Type="http://schemas.openxmlformats.org/officeDocument/2006/relationships/hyperlink" Target="https://www.justice.gov/usao-wdar/pr/ozark-sex-offender-sentenced-10-years-federal-prison-child-pornography" TargetMode="External"/><Relationship Id="rId2932" Type="http://schemas.openxmlformats.org/officeDocument/2006/relationships/hyperlink" Target="https://www.wowktv.com/news/local-news/4-arrested-after-prostitution-sting-in-charleston/1533206275" TargetMode="External"/><Relationship Id="rId1602" Type="http://schemas.openxmlformats.org/officeDocument/2006/relationships/hyperlink" Target="https://www.courtlistener.com/docket/6546947/united-states-v-breedlove/" TargetMode="External"/><Relationship Id="rId2933" Type="http://schemas.openxmlformats.org/officeDocument/2006/relationships/hyperlink" Target="https://www.eagletribune.com/news/merrimack_valley/third-recent-lawrence-prostitution-sting-nets-arrests/article_f3b12aa6-59d3-5623-81e2-c90313a68924.html" TargetMode="External"/><Relationship Id="rId1603" Type="http://schemas.openxmlformats.org/officeDocument/2006/relationships/hyperlink" Target="https://www.justice.gov/usao-wdny/pr/cleveland-man-sentenced-child-pornography-charge" TargetMode="External"/><Relationship Id="rId2934" Type="http://schemas.openxmlformats.org/officeDocument/2006/relationships/hyperlink" Target="https://www.cbp.gov/newsroom/local-media-release/eight-arrested-attempted-human-smuggling-event" TargetMode="External"/><Relationship Id="rId1604" Type="http://schemas.openxmlformats.org/officeDocument/2006/relationships/hyperlink" Target="https://www.justice.gov/usao-ndia/pr/anamosa-man-sentenced-over-eleven-years-federal-prison-possessing-child-pornography" TargetMode="External"/><Relationship Id="rId2935" Type="http://schemas.openxmlformats.org/officeDocument/2006/relationships/hyperlink" Target="https://www.justice.gov/usao-wdnc/pr/rutherford-co-resident-sentenced-13-years-distribution-child-pornography" TargetMode="External"/><Relationship Id="rId1605" Type="http://schemas.openxmlformats.org/officeDocument/2006/relationships/hyperlink" Target="https://www.justice.gov/usao-ndia/pr/anamosa-man-pleads-guilty-possession-child-pornography" TargetMode="External"/><Relationship Id="rId2936" Type="http://schemas.openxmlformats.org/officeDocument/2006/relationships/hyperlink" Target="https://whdh.com/news/quincy-human-trafficking-attempted-murder-suspect-held-without-bail/" TargetMode="External"/><Relationship Id="rId1606" Type="http://schemas.openxmlformats.org/officeDocument/2006/relationships/hyperlink" Target="https://www.courtlistener.com/docket/7034863/united-states-v-marek/" TargetMode="External"/><Relationship Id="rId2937" Type="http://schemas.openxmlformats.org/officeDocument/2006/relationships/hyperlink" Target="https://www.cbp.gov/newsroom/local-media-release/border-patrol-agents-find-four-illegal-aliens-concealed-toolbox" TargetMode="External"/><Relationship Id="rId1607" Type="http://schemas.openxmlformats.org/officeDocument/2006/relationships/hyperlink" Target="https://www.justice.gov/usao-wdny/pr/cassadaga-man-pleads-guilty-child-pornography-charge" TargetMode="External"/><Relationship Id="rId2938" Type="http://schemas.openxmlformats.org/officeDocument/2006/relationships/hyperlink" Target="https://www.palmbeachpost.com/news/20181019/men-accused-of-trafficking-kids-adults-in-palm-beach-county" TargetMode="External"/><Relationship Id="rId1608" Type="http://schemas.openxmlformats.org/officeDocument/2006/relationships/hyperlink" Target="https://www.justice.gov/usao-ndca/pr/oakland-man-sentenced-more-10-years-prison-sex-trafficking-minor" TargetMode="External"/><Relationship Id="rId2939" Type="http://schemas.openxmlformats.org/officeDocument/2006/relationships/hyperlink" Target="https://www.kyma.com/news/9-illegal-immigrants-found-hidden-inside-tractor-trailer-s-cargo/812377304" TargetMode="External"/><Relationship Id="rId1609" Type="http://schemas.openxmlformats.org/officeDocument/2006/relationships/hyperlink" Target="https://www.eastbaytimes.com/2018/09/05/oakland-man-sentenced-in-sex-trafficking-of-teen/" TargetMode="External"/><Relationship Id="rId1631" Type="http://schemas.openxmlformats.org/officeDocument/2006/relationships/hyperlink" Target="https://www.justice.gov/usao-sdtx/pr/woman-sent-prison-smuggling-minor-child-united-states" TargetMode="External"/><Relationship Id="rId2962" Type="http://schemas.openxmlformats.org/officeDocument/2006/relationships/hyperlink" Target="https://www.justice.gov/usao-ndil/pr/creston-man-indicted-child-pornography-charges" TargetMode="External"/><Relationship Id="rId1632" Type="http://schemas.openxmlformats.org/officeDocument/2006/relationships/hyperlink" Target="https://www.courtlistener.com/?q=&amp;type=r&amp;order_by=score+desc&amp;docket_number=1%3A18-cr-00262&amp;court=txsd" TargetMode="External"/><Relationship Id="rId2963" Type="http://schemas.openxmlformats.org/officeDocument/2006/relationships/hyperlink" Target="https://www.courtlistener.com/docket/8086667/united-states-v-canchola/" TargetMode="External"/><Relationship Id="rId1633" Type="http://schemas.openxmlformats.org/officeDocument/2006/relationships/hyperlink" Target="https://www.justice.gov/usao-sdca/pr/four-defendants-receive-significant-sentences-child-exploitation-crimes" TargetMode="External"/><Relationship Id="rId2964" Type="http://schemas.openxmlformats.org/officeDocument/2006/relationships/hyperlink" Target="https://www.justice.gov/usao-edky/pr/middlesboro-man-convicted-child-pornography-charges" TargetMode="External"/><Relationship Id="rId1634" Type="http://schemas.openxmlformats.org/officeDocument/2006/relationships/hyperlink" Target="https://www.justice.gov/usao-edwa/pr/child-sex-tourist-sentenced-15-years-federal-prison-child-pornography-and-child" TargetMode="External"/><Relationship Id="rId2965" Type="http://schemas.openxmlformats.org/officeDocument/2006/relationships/hyperlink" Target="https://www.justice.gov/usao-edky/pr/south-carolina-man-pleads-guilt-production-and-receipt-child-pornography" TargetMode="External"/><Relationship Id="rId1635" Type="http://schemas.openxmlformats.org/officeDocument/2006/relationships/hyperlink" Target="http://www.enewscourier.com/news/local_news/human-trafficking-arrest-lcso-says-athens-woman-organized-sex-parties/article_3041ad9a-377f-11e8-9966-5f15ad4ddefc.html" TargetMode="External"/><Relationship Id="rId2966" Type="http://schemas.openxmlformats.org/officeDocument/2006/relationships/hyperlink" Target="https://www.cbp.gov/newsroom/local-media-release/border-patrol-stops-tractor-trailer-finds-9-immigrants-inside" TargetMode="External"/><Relationship Id="rId1636" Type="http://schemas.openxmlformats.org/officeDocument/2006/relationships/hyperlink" Target="https://www.justice.gov/usao-sdin/pr/hamilton-county-metropolitan-child-exploitation-task-force-members-recognized-operation" TargetMode="External"/><Relationship Id="rId2967" Type="http://schemas.openxmlformats.org/officeDocument/2006/relationships/hyperlink" Target="https://www.cbp.gov/newsroom/local-media-release/yuma-sector-border-patrol-halts-human-smuggling-attempt" TargetMode="External"/><Relationship Id="rId1637" Type="http://schemas.openxmlformats.org/officeDocument/2006/relationships/hyperlink" Target="https://www.courtlistener.com/docket/7431600/united-states-v-armstrong/" TargetMode="External"/><Relationship Id="rId2968" Type="http://schemas.openxmlformats.org/officeDocument/2006/relationships/hyperlink" Target="https://www.fbi.gov/contact-us/field-offices/cleveland/news/press-releases/arrest-made-in-child-pornography-case" TargetMode="External"/><Relationship Id="rId1638" Type="http://schemas.openxmlformats.org/officeDocument/2006/relationships/hyperlink" Target="https://www.courtlistener.com/docket/8154048/united-states-v-everhardt/" TargetMode="External"/><Relationship Id="rId2969" Type="http://schemas.openxmlformats.org/officeDocument/2006/relationships/hyperlink" Target="https://www.fbi.gov/contact-us/field-offices/cleveland/news/press-releases/mansfield-man-arrested-for-child-pornography" TargetMode="External"/><Relationship Id="rId929" Type="http://schemas.openxmlformats.org/officeDocument/2006/relationships/hyperlink" Target="https://thegoldwater.com/news/14065-Philadelphia-Child-Protection-Agency-Employee-Now-Charged-with-Child-Pornography" TargetMode="External"/><Relationship Id="rId1639" Type="http://schemas.openxmlformats.org/officeDocument/2006/relationships/hyperlink" Target="https://au.news.yahoo.com/deputy-principal-among-20-men-arrested-in-alleged-child-porn-ring-39726598.html" TargetMode="External"/><Relationship Id="rId928" Type="http://schemas.openxmlformats.org/officeDocument/2006/relationships/hyperlink" Target="https://www.courtlistener.com/docket/7129037/united-states-v-silvestri/" TargetMode="External"/><Relationship Id="rId927" Type="http://schemas.openxmlformats.org/officeDocument/2006/relationships/hyperlink" Target="https://www.justice.gov/usao-nh/pr/seabrook-resident-sent-federal-prison-50-years-producing-child-pornography" TargetMode="External"/><Relationship Id="rId926" Type="http://schemas.openxmlformats.org/officeDocument/2006/relationships/hyperlink" Target="https://www.justice.gov/usao-nh/pr/seabrook-resident-pleads-guilty-producing-child-pornography" TargetMode="External"/><Relationship Id="rId921" Type="http://schemas.openxmlformats.org/officeDocument/2006/relationships/hyperlink" Target="https://www.victoriaadvocate.com/counties/jury-finds-man-guilty-of-human-smuggling/article_83b9d2e0-86e4-11e8-b93d-d707ad84779c.html" TargetMode="External"/><Relationship Id="rId920" Type="http://schemas.openxmlformats.org/officeDocument/2006/relationships/hyperlink" Target="https://www.courtlistener.com/docket/7107194/united-states-v-schaffran/" TargetMode="External"/><Relationship Id="rId925" Type="http://schemas.openxmlformats.org/officeDocument/2006/relationships/hyperlink" Target="https://www.nwitimes.com/news/local/crime-and-courts/police-lansing-man-charged-with-child-porn-possession-released-on/article_c7faca7b-75ce-5e4d-8081-7b6896e0ce8a.html" TargetMode="External"/><Relationship Id="rId924" Type="http://schemas.openxmlformats.org/officeDocument/2006/relationships/hyperlink" Target="https://www.justice.gov/usao-mdpa/pr/fulton-county-man-sentenced-over-17-years-imprisonment-distribution-child-pornography" TargetMode="External"/><Relationship Id="rId923" Type="http://schemas.openxmlformats.org/officeDocument/2006/relationships/hyperlink" Target="https://www.cbp.gov/newsroom/local-media-release/border-patrol-agent-stops-vehicle-hauling-illegal-aliens" TargetMode="External"/><Relationship Id="rId922" Type="http://schemas.openxmlformats.org/officeDocument/2006/relationships/hyperlink" Target="https://www.cbp.gov/newsroom/local-media-release/border-patrol-agents-arrest-mesa-couple-smuggling" TargetMode="External"/><Relationship Id="rId2960" Type="http://schemas.openxmlformats.org/officeDocument/2006/relationships/hyperlink" Target="https://archive.vn/wip/raj0k" TargetMode="External"/><Relationship Id="rId1630" Type="http://schemas.openxmlformats.org/officeDocument/2006/relationships/hyperlink" Target="https://www.cbp.gov/newsroom/local-media-release/laredo-sector-border-patrol-agents-rescue-35-illegal-aliens-tractor" TargetMode="External"/><Relationship Id="rId2961" Type="http://schemas.openxmlformats.org/officeDocument/2006/relationships/hyperlink" Target="https://archive.vn/wip/CWkcj" TargetMode="External"/><Relationship Id="rId1620" Type="http://schemas.openxmlformats.org/officeDocument/2006/relationships/hyperlink" Target="https://www.justice.gov/usao-sdtx/pr/local-family-sentenced-money-laundering-conspiracy" TargetMode="External"/><Relationship Id="rId2951" Type="http://schemas.openxmlformats.org/officeDocument/2006/relationships/hyperlink" Target="https://www.justice.gov/usao-sd/pr/box-elder-man-found-guilty-receipt-and-possession-child-pornography" TargetMode="External"/><Relationship Id="rId1621" Type="http://schemas.openxmlformats.org/officeDocument/2006/relationships/hyperlink" Target="https://www.courtlistener.com/?q=&amp;type=r&amp;order_by=score+desc&amp;docket_number=1%3A18-cr-00225&amp;court=txsd" TargetMode="External"/><Relationship Id="rId2952" Type="http://schemas.openxmlformats.org/officeDocument/2006/relationships/hyperlink" Target="https://www.cbp.gov/newsroom/local-media-release/border-patrol-agents-find-16-illegal-aliens-inside-box-truck" TargetMode="External"/><Relationship Id="rId1622" Type="http://schemas.openxmlformats.org/officeDocument/2006/relationships/hyperlink" Target="https://www.justice.gov/usao-sdtx/pr/local-family-sentenced-money-laundering-conspiracy" TargetMode="External"/><Relationship Id="rId2953" Type="http://schemas.openxmlformats.org/officeDocument/2006/relationships/hyperlink" Target="http://archive.fo/a39Dq" TargetMode="External"/><Relationship Id="rId1623" Type="http://schemas.openxmlformats.org/officeDocument/2006/relationships/hyperlink" Target="https://www.courtlistener.com/?q=&amp;type=r&amp;order_by=score+desc&amp;docket_number=1%3A18-cr-00225&amp;court=txsd" TargetMode="External"/><Relationship Id="rId2954" Type="http://schemas.openxmlformats.org/officeDocument/2006/relationships/hyperlink" Target="http://archive.fo/3sNud" TargetMode="External"/><Relationship Id="rId1624" Type="http://schemas.openxmlformats.org/officeDocument/2006/relationships/hyperlink" Target="https://www.justice.gov/usao-sdtx/pr/local-family-sentenced-money-laundering-conspiracy" TargetMode="External"/><Relationship Id="rId2955" Type="http://schemas.openxmlformats.org/officeDocument/2006/relationships/hyperlink" Target="https://www.justice.gov/usao-sd/pr/rapid-city-man-sentenced-attempted-receipt-child-pornography-3" TargetMode="External"/><Relationship Id="rId1625" Type="http://schemas.openxmlformats.org/officeDocument/2006/relationships/hyperlink" Target="https://www.courtlistener.com/?q=&amp;type=r&amp;order_by=score+desc&amp;docket_number=1%3A18-cr-00225&amp;court=txsd" TargetMode="External"/><Relationship Id="rId2956" Type="http://schemas.openxmlformats.org/officeDocument/2006/relationships/hyperlink" Target="https://www.justice.gov/usao-edva/pr/suffolk-man-sentenced-prison-child-pornography" TargetMode="External"/><Relationship Id="rId1626" Type="http://schemas.openxmlformats.org/officeDocument/2006/relationships/hyperlink" Target="https://www.justice.gov/usao-edva/pr/former-bank-executive-guilty-receiving-child-porn-dark-web" TargetMode="External"/><Relationship Id="rId2957" Type="http://schemas.openxmlformats.org/officeDocument/2006/relationships/hyperlink" Target="https://virginia.arrests.org/Arrests/Christopher_Howerton_38725682/" TargetMode="External"/><Relationship Id="rId1627" Type="http://schemas.openxmlformats.org/officeDocument/2006/relationships/hyperlink" Target="https://www.deepdotweb.com/2019/01/01/playpen-member-admits-downloading-child-pornography-in-federal-court/" TargetMode="External"/><Relationship Id="rId2958" Type="http://schemas.openxmlformats.org/officeDocument/2006/relationships/hyperlink" Target="https://www.justice.gov/usao-wdmi/pr/2019_0912_Wyman" TargetMode="External"/><Relationship Id="rId918" Type="http://schemas.openxmlformats.org/officeDocument/2006/relationships/hyperlink" Target="https://www.courtlistener.com/docket/6256264/united-states-v-fox/" TargetMode="External"/><Relationship Id="rId1628" Type="http://schemas.openxmlformats.org/officeDocument/2006/relationships/hyperlink" Target="https://www.justice.gov/usao-wdpa/pr/grove-city-man-produced-child-pornography" TargetMode="External"/><Relationship Id="rId2959" Type="http://schemas.openxmlformats.org/officeDocument/2006/relationships/hyperlink" Target="https://www.courtlistener.com/docket/8099560/united-states-v-wyman/" TargetMode="External"/><Relationship Id="rId917" Type="http://schemas.openxmlformats.org/officeDocument/2006/relationships/hyperlink" Target="https://www.courtlistener.com/docket/6485345/united-states-v-kuhn/" TargetMode="External"/><Relationship Id="rId1629" Type="http://schemas.openxmlformats.org/officeDocument/2006/relationships/hyperlink" Target="http://www.foronoticioso.com/fn/federal-charges-for-attempted-production-of-child-pornography-attempted-sexual-enticement-of-a-minor-and-attempted-transportation-of-a-minor/" TargetMode="External"/><Relationship Id="rId916" Type="http://schemas.openxmlformats.org/officeDocument/2006/relationships/hyperlink" Target="https://www.kcci.com/article/west-des-moines-shop-owner-indicted-for-attempted-production-of-child-porn/14108174" TargetMode="External"/><Relationship Id="rId915" Type="http://schemas.openxmlformats.org/officeDocument/2006/relationships/hyperlink" Target="https://www.justice.gov/usao-sdia/pr/west-des-moines-store-owner-charged-attempted-production-child-pornography" TargetMode="External"/><Relationship Id="rId919" Type="http://schemas.openxmlformats.org/officeDocument/2006/relationships/hyperlink" Target="https://www.justice.gov/usao-cdca/pr/inland-empire-man-faces-federal-child-exploitation-charges-after-posting-internet-ad" TargetMode="External"/><Relationship Id="rId910" Type="http://schemas.openxmlformats.org/officeDocument/2006/relationships/hyperlink" Target="https://www.cbp.gov/newsroom/local-media-release/cbp-air-and-marine-agents-stop-attempt-smuggle-15-people-coast-san" TargetMode="External"/><Relationship Id="rId914" Type="http://schemas.openxmlformats.org/officeDocument/2006/relationships/hyperlink" Target="http://www.bradenton.com/news/local/crime/article188098474.html" TargetMode="External"/><Relationship Id="rId913" Type="http://schemas.openxmlformats.org/officeDocument/2006/relationships/hyperlink" Target="https://www.courtlistener.com/docket/6539036/united-states-v-schmidt/" TargetMode="External"/><Relationship Id="rId912" Type="http://schemas.openxmlformats.org/officeDocument/2006/relationships/hyperlink" Target="https://www.justice.gov/usao-wdky/pr/federal-collaboration-produced-real-time-results-360-month-sentence-production" TargetMode="External"/><Relationship Id="rId911" Type="http://schemas.openxmlformats.org/officeDocument/2006/relationships/hyperlink" Target="https://www.justice.gov/usao-wdky/pr/fort-knox-soldier-pleads-guilty-production-child-porn-parent-transportation-and" TargetMode="External"/><Relationship Id="rId2950" Type="http://schemas.openxmlformats.org/officeDocument/2006/relationships/hyperlink" Target="https://www.justice.gov/usao-vi/pr/st-john-man-arrested-smuggling-illegal-aliens-dominican-republic-argentina-and-venezuela" TargetMode="External"/><Relationship Id="rId2900" Type="http://schemas.openxmlformats.org/officeDocument/2006/relationships/hyperlink" Target="https://www.courtlistener.com/?q=&amp;type=r&amp;order_by=score+desc&amp;docket_number=5%3A18-mj-00592&amp;court=nynd" TargetMode="External"/><Relationship Id="rId2901" Type="http://schemas.openxmlformats.org/officeDocument/2006/relationships/hyperlink" Target="http://www.monroenews.com/news/20181010/human-trafficking-worst-case-in-monroe" TargetMode="External"/><Relationship Id="rId2902" Type="http://schemas.openxmlformats.org/officeDocument/2006/relationships/hyperlink" Target="https://www.kfyrtv.com/content/news/Pair-charged-with-trafficking-a-woman-to-North-Dakota-for-prostitution-496706461.html" TargetMode="External"/><Relationship Id="rId2903" Type="http://schemas.openxmlformats.org/officeDocument/2006/relationships/hyperlink" Target="https://www.fbi.gov/contact-us/field-offices/cleveland/news/press-releases/elyria-man-federally-charged-with-receiving-and-distributing-child-pornography" TargetMode="External"/><Relationship Id="rId2904" Type="http://schemas.openxmlformats.org/officeDocument/2006/relationships/hyperlink" Target="https://www.justice.gov/usao-ndoh/pr/elyria-man-indicted-sexually-exploiting-child-utah-and-related-child-pornography-crimes" TargetMode="External"/><Relationship Id="rId2905" Type="http://schemas.openxmlformats.org/officeDocument/2006/relationships/hyperlink" Target="https://www.justice.gov/usao-ndal/pr/federal-grand-jury-indicts-birmingham-college-student-child-pornography-charges" TargetMode="External"/><Relationship Id="rId2906" Type="http://schemas.openxmlformats.org/officeDocument/2006/relationships/hyperlink" Target="https://www.al.com/crime/2018/10/birmingham-19-year-old-arrested-on-child-porn-charges-involving-young-boys.html" TargetMode="External"/><Relationship Id="rId2907" Type="http://schemas.openxmlformats.org/officeDocument/2006/relationships/hyperlink" Target="http://archive.fo/0VvAM" TargetMode="External"/><Relationship Id="rId2908" Type="http://schemas.openxmlformats.org/officeDocument/2006/relationships/hyperlink" Target="http://archive.fo/bEQL4" TargetMode="External"/><Relationship Id="rId2909" Type="http://schemas.openxmlformats.org/officeDocument/2006/relationships/hyperlink" Target="http://www.vindy.com/news/2018/oct/12/more-people-sought-human-trafficking-indictment-cu/?nw" TargetMode="External"/><Relationship Id="rId2920" Type="http://schemas.openxmlformats.org/officeDocument/2006/relationships/hyperlink" Target="https://www.justice.gov/usao-mn/pr/brooklyn-center-man-sentenced-15-years-prison-distributing-child-pornography" TargetMode="External"/><Relationship Id="rId2921" Type="http://schemas.openxmlformats.org/officeDocument/2006/relationships/hyperlink" Target="https://www.courtlistener.com/docket/8047797/united-states-v-chapman/" TargetMode="External"/><Relationship Id="rId2922" Type="http://schemas.openxmlformats.org/officeDocument/2006/relationships/hyperlink" Target="https://www.justice.gov/usao-wdtx/pr/federal-judge-waco-hands-down-prison-terms-project-safe-childhood-defendants" TargetMode="External"/><Relationship Id="rId2923" Type="http://schemas.openxmlformats.org/officeDocument/2006/relationships/hyperlink" Target="https://www.breitbart.com/border/2018/10/18/50-migrants-arrested-in-south-texas-smuggling-attempts/" TargetMode="External"/><Relationship Id="rId2924" Type="http://schemas.openxmlformats.org/officeDocument/2006/relationships/hyperlink" Target="https://www.cbp.gov/newsroom/local-media-release/border-patrol-agents-apprehend-37-checkpoint-smuggling-attempt" TargetMode="External"/><Relationship Id="rId2925" Type="http://schemas.openxmlformats.org/officeDocument/2006/relationships/hyperlink" Target="https://www.nola.com/crime/2018/10/man-accused-of-trafficking-took-females-to-new-orleans-to-make-some-money-for-mardi-gras-warrant.html" TargetMode="External"/><Relationship Id="rId2926" Type="http://schemas.openxmlformats.org/officeDocument/2006/relationships/hyperlink" Target="https://dailygazette.com/article/2018/10/18/troopers-assistant-scout-master-air-national-guard-member-possessed-child-pornography" TargetMode="External"/><Relationship Id="rId2927" Type="http://schemas.openxmlformats.org/officeDocument/2006/relationships/hyperlink" Target="https://www.am1100theflag.com/news/2601-fargo-man-arrested-human-trafficking-sting" TargetMode="External"/><Relationship Id="rId2928" Type="http://schemas.openxmlformats.org/officeDocument/2006/relationships/hyperlink" Target="https://www.justice.gov/usao-ndny/pr/saugerties-man-sentenced-70-years-child-sexual-exploitation-offenses" TargetMode="External"/><Relationship Id="rId2929" Type="http://schemas.openxmlformats.org/officeDocument/2006/relationships/hyperlink" Target="https://www.justice.gov/usao-ks/pr/topeka-man-sentenced-cyberstalking-child-pornography" TargetMode="External"/><Relationship Id="rId2910" Type="http://schemas.openxmlformats.org/officeDocument/2006/relationships/hyperlink" Target="https://www.cbp.gov/newsroom/local-media-release/rio-grande-valley-border-patrol-intercepts-alien-smuggling-attempts" TargetMode="External"/><Relationship Id="rId2911" Type="http://schemas.openxmlformats.org/officeDocument/2006/relationships/hyperlink" Target="https://kfor.com/2018/10/11/teenager-arrested-for-trafficking-teen-girl/" TargetMode="External"/><Relationship Id="rId2912" Type="http://schemas.openxmlformats.org/officeDocument/2006/relationships/hyperlink" Target="https://thegoldwater.com/news/39209-Louisiana-Couple-Charged-with-170-Counts-in-Child-Pornography-Conspiracy" TargetMode="External"/><Relationship Id="rId2913" Type="http://schemas.openxmlformats.org/officeDocument/2006/relationships/hyperlink" Target="https://www.cbp.gov/newsroom/local-media-release/laredo-sector-border-patrol-rescues-24-subjects-smuggled-truck" TargetMode="External"/><Relationship Id="rId2914" Type="http://schemas.openxmlformats.org/officeDocument/2006/relationships/hyperlink" Target="https://www.justice.gov/usao-ndfl/pr/michigan-sex-offender-pleads-guilty-traveling-destin-have-sex-minor" TargetMode="External"/><Relationship Id="rId2915" Type="http://schemas.openxmlformats.org/officeDocument/2006/relationships/hyperlink" Target="http://www.wave3.com/2018/10/16/arrested-human-trafficking-charges-green-county/" TargetMode="External"/><Relationship Id="rId2916" Type="http://schemas.openxmlformats.org/officeDocument/2006/relationships/hyperlink" Target="https://www.detroitnews.com/story/news/local/detroit-city/2017/10/18/12-children-arrests-8-pimps/778312001/" TargetMode="External"/><Relationship Id="rId2917" Type="http://schemas.openxmlformats.org/officeDocument/2006/relationships/hyperlink" Target="https://www.justice.gov/usao-ndoh/pr/men-avon-lake-concord-and-ravenna-indicted-child-pornography-crimes" TargetMode="External"/><Relationship Id="rId2918" Type="http://schemas.openxmlformats.org/officeDocument/2006/relationships/hyperlink" Target="https://www.ohio.com/news/20181017/fbi-says-child-pornography-found-at-ravenna-home" TargetMode="External"/><Relationship Id="rId2919" Type="http://schemas.openxmlformats.org/officeDocument/2006/relationships/hyperlink" Target="https://www.courtlistener.com/docket/8169288/united-states-v-greathouse/" TargetMode="External"/><Relationship Id="rId1697" Type="http://schemas.openxmlformats.org/officeDocument/2006/relationships/hyperlink" Target="https://www.justice.gov/usao-me/pr/gardiner-man-sentenced-25-years-producing-and-possessing-child-pornography" TargetMode="External"/><Relationship Id="rId4723" Type="http://schemas.openxmlformats.org/officeDocument/2006/relationships/hyperlink" Target="https://www.jacksonville.com/story/news/crime/2020/08/19/council-president-hazouris-son-arrested-child-porn-charges/5614210002/" TargetMode="External"/><Relationship Id="rId1698" Type="http://schemas.openxmlformats.org/officeDocument/2006/relationships/hyperlink" Target="https://www.centralmaine.com/2018/04/26/gardiner-man-accused-of-producing-child-pornography/" TargetMode="External"/><Relationship Id="rId4722" Type="http://schemas.openxmlformats.org/officeDocument/2006/relationships/hyperlink" Target="https://www.justice.gov/usao-mdfl/pr/jacksonville-elementary-school-teacher-arrested-and-charged-distribution-child-sexual" TargetMode="External"/><Relationship Id="rId1699" Type="http://schemas.openxmlformats.org/officeDocument/2006/relationships/hyperlink" Target="https://www.courtlistener.com/docket/6666949/united-states-v-bailey/" TargetMode="External"/><Relationship Id="rId4725" Type="http://schemas.openxmlformats.org/officeDocument/2006/relationships/hyperlink" Target="https://www.cbp.gov/newsroom/local-media-release/yuma-sector-agents-thwart-smuggling-attempt-10-illegal-aliens-passenger" TargetMode="External"/><Relationship Id="rId4724" Type="http://schemas.openxmlformats.org/officeDocument/2006/relationships/hyperlink" Target="https://www.justice.gov/usao-ndwv/pr/hancock-county-man-facing-child-pornography-charges" TargetMode="External"/><Relationship Id="rId4727" Type="http://schemas.openxmlformats.org/officeDocument/2006/relationships/hyperlink" Target="https://www.foxnews.com/us/head-pastor-texas-church-indicted-child-pornography" TargetMode="External"/><Relationship Id="rId4726" Type="http://schemas.openxmlformats.org/officeDocument/2006/relationships/hyperlink" Target="https://www.ice.gov/news/releases/former-pastor-north-texas-man-charged-child-pornography-related-offenses-ice" TargetMode="External"/><Relationship Id="rId4729" Type="http://schemas.openxmlformats.org/officeDocument/2006/relationships/hyperlink" Target="https://archive.vn/N3gYj" TargetMode="External"/><Relationship Id="rId4728" Type="http://schemas.openxmlformats.org/officeDocument/2006/relationships/hyperlink" Target="https://archive.vn/WHh8d" TargetMode="External"/><Relationship Id="rId866" Type="http://schemas.openxmlformats.org/officeDocument/2006/relationships/hyperlink" Target="https://www.justice.gov/usao-ma/pr/randolph-man-indicted-child-pornography-charges" TargetMode="External"/><Relationship Id="rId865" Type="http://schemas.openxmlformats.org/officeDocument/2006/relationships/hyperlink" Target="https://www.justice.gov/usao-nv/pr/northern-california-man-sentenced-prison-receipt-and-distribution-over-1000-images-child" TargetMode="External"/><Relationship Id="rId864" Type="http://schemas.openxmlformats.org/officeDocument/2006/relationships/hyperlink" Target="https://www.justice.gov/usao-ndoh/pr/indictment-unsealed-charging-additional-man-labor-trafficking-conspiracy-forced-minors" TargetMode="External"/><Relationship Id="rId863" Type="http://schemas.openxmlformats.org/officeDocument/2006/relationships/hyperlink" Target="https://www.courierpostonline.com/story/news/2017/12/11/charles-borrelli-donald-baldi-child-porn-charges-camden-county/941830001/" TargetMode="External"/><Relationship Id="rId869" Type="http://schemas.openxmlformats.org/officeDocument/2006/relationships/hyperlink" Target="https://www.justice.gov/usao-wdtn/pr/collierville-man-sentenced-80-months-imprisonment-possession-child-pornography" TargetMode="External"/><Relationship Id="rId868" Type="http://schemas.openxmlformats.org/officeDocument/2006/relationships/hyperlink" Target="https://www.courtlistener.com/docket/6540789/united-states-v-sanchez/" TargetMode="External"/><Relationship Id="rId867" Type="http://schemas.openxmlformats.org/officeDocument/2006/relationships/hyperlink" Target="https://www.justice.gov/usao-ma/pr/randolph-man-charged-child-pornography-offenses" TargetMode="External"/><Relationship Id="rId1690" Type="http://schemas.openxmlformats.org/officeDocument/2006/relationships/hyperlink" Target="http://www.fox5dc.com/news/local-news/chevy-chase-man-accused-of-holding-splash-parties-filming-dozens-of-children-undressed" TargetMode="External"/><Relationship Id="rId1691" Type="http://schemas.openxmlformats.org/officeDocument/2006/relationships/hyperlink" Target="https://www.courtlistener.com/?q=&amp;type=r&amp;order_by=score+desc&amp;docket_number=8%3A18-cr-00545&amp;court=mdd" TargetMode="External"/><Relationship Id="rId1692" Type="http://schemas.openxmlformats.org/officeDocument/2006/relationships/hyperlink" Target="https://www.cbp.gov/newsroom/local-media-release/laredo-sector-border-patrol-agents-rescue-six-illegal-aliens" TargetMode="External"/><Relationship Id="rId862" Type="http://schemas.openxmlformats.org/officeDocument/2006/relationships/hyperlink" Target="https://www.cbp.gov/newsroom/local-media-release/phoenix-couple-arrested-smuggling-man-trunk" TargetMode="External"/><Relationship Id="rId1693" Type="http://schemas.openxmlformats.org/officeDocument/2006/relationships/hyperlink" Target="http://www.cbs46.com/story/37995178/man-arrested-for-sex-trafficking-victim-rescued" TargetMode="External"/><Relationship Id="rId861" Type="http://schemas.openxmlformats.org/officeDocument/2006/relationships/hyperlink" Target="https://patch.com/texas/dallas-ftworth/suspect-arrested-sex-trafficking-15-year-old-girl" TargetMode="External"/><Relationship Id="rId1694" Type="http://schemas.openxmlformats.org/officeDocument/2006/relationships/hyperlink" Target="https://www.justice.gov/usao-nv/pr/reno-man-sentenced-seven-years-prison-receipt-child-pornography" TargetMode="External"/><Relationship Id="rId860" Type="http://schemas.openxmlformats.org/officeDocument/2006/relationships/hyperlink" Target="https://www.justice.gov/usao-sdfl/pr/jury-convicts-lake-worth-resident-sex-trafficking-and-obstruction" TargetMode="External"/><Relationship Id="rId1695" Type="http://schemas.openxmlformats.org/officeDocument/2006/relationships/hyperlink" Target="https://lasvegassun.com/news/2018/dec/19/reno-man-sentenced-to-7-years-on-receipt-of-child/" TargetMode="External"/><Relationship Id="rId4721" Type="http://schemas.openxmlformats.org/officeDocument/2006/relationships/hyperlink" Target="https://www.cbp.gov/newsroom/local-media-release/border-patrol-encounters-another-callous-human-smuggling-attempt" TargetMode="External"/><Relationship Id="rId1696" Type="http://schemas.openxmlformats.org/officeDocument/2006/relationships/hyperlink" Target="https://www.courtlistener.com/docket/6365850/united-states-v-quackenbush/" TargetMode="External"/><Relationship Id="rId4720" Type="http://schemas.openxmlformats.org/officeDocument/2006/relationships/hyperlink" Target="https://www.justice.gov/usao-ndil/pr/federal-indictment-charges-two-men-sex-trafficking" TargetMode="External"/><Relationship Id="rId1686" Type="http://schemas.openxmlformats.org/officeDocument/2006/relationships/hyperlink" Target="https://www.justice.gov/usao-sdfl/pr/tsa-employee-sentenced-15-years-prison-attempted-production-child-pornography-and" TargetMode="External"/><Relationship Id="rId4712" Type="http://schemas.openxmlformats.org/officeDocument/2006/relationships/hyperlink" Target="https://archive.vn/wip/4gs5T" TargetMode="External"/><Relationship Id="rId1687" Type="http://schemas.openxmlformats.org/officeDocument/2006/relationships/hyperlink" Target="https://www.courtlistener.com/docket/6972164/united-states-v-linder/" TargetMode="External"/><Relationship Id="rId4711" Type="http://schemas.openxmlformats.org/officeDocument/2006/relationships/hyperlink" Target="https://www.newsbreak.com/arkansas/jonesboro/news/2041539109987/jonesboro-man-arrested-in-sexual-indecency-with-a-child-case" TargetMode="External"/><Relationship Id="rId1688" Type="http://schemas.openxmlformats.org/officeDocument/2006/relationships/hyperlink" Target="https://www.usnews.com/news/best-states/new-mexico/articles/2018-04-12/8-accused-of-sex-trafficking-minors-in-arizona-new-mexico" TargetMode="External"/><Relationship Id="rId4714" Type="http://schemas.openxmlformats.org/officeDocument/2006/relationships/hyperlink" Target="https://www.justice.gov/usao-sd/pr/watertown-man-charged-receipt-distribution-and-transportation-child-pornography-0" TargetMode="External"/><Relationship Id="rId1689" Type="http://schemas.openxmlformats.org/officeDocument/2006/relationships/hyperlink" Target="https://upnorthlive.com/news/local/10-men-charged-after-prostitution-sting-in-grand-traverse-county" TargetMode="External"/><Relationship Id="rId4713" Type="http://schemas.openxmlformats.org/officeDocument/2006/relationships/hyperlink" Target="https://archive.vn/wip/Y292q" TargetMode="External"/><Relationship Id="rId4716" Type="http://schemas.openxmlformats.org/officeDocument/2006/relationships/hyperlink" Target="https://www.foxnews.com/us/ohio-priest-arrested-sex-trafficking-charges" TargetMode="External"/><Relationship Id="rId4715" Type="http://schemas.openxmlformats.org/officeDocument/2006/relationships/hyperlink" Target="https://www.justice.gov/usao-sd/pr/clark-man-charged-receipt-and-distribution-child-pornography" TargetMode="External"/><Relationship Id="rId4718" Type="http://schemas.openxmlformats.org/officeDocument/2006/relationships/hyperlink" Target="https://archive.vn/31gu6" TargetMode="External"/><Relationship Id="rId4717" Type="http://schemas.openxmlformats.org/officeDocument/2006/relationships/hyperlink" Target="https://archive.vn/Gtf68" TargetMode="External"/><Relationship Id="rId4719" Type="http://schemas.openxmlformats.org/officeDocument/2006/relationships/hyperlink" Target="https://www.justice.gov/usao-ndil/pr/federal-indictment-charges-two-men-sex-trafficking" TargetMode="External"/><Relationship Id="rId855" Type="http://schemas.openxmlformats.org/officeDocument/2006/relationships/hyperlink" Target="https://www.justice.gov/usao-ndin/pr/lafayette-indiana-man-sentenced-30-years-prison" TargetMode="External"/><Relationship Id="rId854" Type="http://schemas.openxmlformats.org/officeDocument/2006/relationships/hyperlink" Target="https://www.justice.gov/usao-ndin/pr/jury-finds-lafayette-man-guilty-producing-and-distributing-child-pornography" TargetMode="External"/><Relationship Id="rId853" Type="http://schemas.openxmlformats.org/officeDocument/2006/relationships/hyperlink" Target="https://www.cbp.gov/newsroom/local-media-release/teen-smuggler-arrested-after-fleeing-immigration-checkpoint" TargetMode="External"/><Relationship Id="rId852" Type="http://schemas.openxmlformats.org/officeDocument/2006/relationships/hyperlink" Target="https://archive.vn/WUsCq" TargetMode="External"/><Relationship Id="rId859" Type="http://schemas.openxmlformats.org/officeDocument/2006/relationships/hyperlink" Target="https://www.justice.gov/usao-sdfl/pr/lake-worth-man-indicted-federal-charges-sex-and-labor-trafficking" TargetMode="External"/><Relationship Id="rId858" Type="http://schemas.openxmlformats.org/officeDocument/2006/relationships/hyperlink" Target="http://www.jacksonville.com/news/georgia/2017-12-07/ware-county-teacher-charged-sex-trafficking-minor" TargetMode="External"/><Relationship Id="rId857" Type="http://schemas.openxmlformats.org/officeDocument/2006/relationships/hyperlink" Target="https://www.justice.gov/usao-sdoh/pr/hamilton-township-man-charged-distributing-child-pornography-five-year-old" TargetMode="External"/><Relationship Id="rId856" Type="http://schemas.openxmlformats.org/officeDocument/2006/relationships/hyperlink" Target="https://www.courtlistener.com/docket/6438885/united-states-v-dewitt/" TargetMode="External"/><Relationship Id="rId1680" Type="http://schemas.openxmlformats.org/officeDocument/2006/relationships/hyperlink" Target="https://thefreethoughtproject.com/nj-cop-arrested-for-sex-trafficking-teen/" TargetMode="External"/><Relationship Id="rId1681" Type="http://schemas.openxmlformats.org/officeDocument/2006/relationships/hyperlink" Target="https://www.justice.gov/usao-sdin/pr/hamilton-county-metropolitan-child-exploitation-task-force-members-recognized-operation" TargetMode="External"/><Relationship Id="rId851" Type="http://schemas.openxmlformats.org/officeDocument/2006/relationships/hyperlink" Target="https://archive.vn/SJOzE" TargetMode="External"/><Relationship Id="rId1682" Type="http://schemas.openxmlformats.org/officeDocument/2006/relationships/hyperlink" Target="https://www.courtlistener.com/docket/6422444/united-states-v-ballinger/" TargetMode="External"/><Relationship Id="rId850" Type="http://schemas.openxmlformats.org/officeDocument/2006/relationships/hyperlink" Target="https://www.justice.gov/usao-sdtx/pr/local-rapper-sent-federal-prison-sex-trafficking-minor" TargetMode="External"/><Relationship Id="rId1683" Type="http://schemas.openxmlformats.org/officeDocument/2006/relationships/hyperlink" Target="https://www.justice.gov/usao-ndca/pr/san-francisco-man-sentenced-twelve-and-half-years-prison-scheme-use-internet-entice" TargetMode="External"/><Relationship Id="rId1684" Type="http://schemas.openxmlformats.org/officeDocument/2006/relationships/hyperlink" Target="https://www.courtlistener.com/docket/7007919/united-states-v-boshers/" TargetMode="External"/><Relationship Id="rId4710" Type="http://schemas.openxmlformats.org/officeDocument/2006/relationships/hyperlink" Target="https://www.kait8.com/2020/08/15/man-arrested-sexual-solicitation-minor-case/" TargetMode="External"/><Relationship Id="rId1685" Type="http://schemas.openxmlformats.org/officeDocument/2006/relationships/hyperlink" Target="https://www.justice.gov/usao-sdfl/pr/tsa-employee-arrested-and-charged-attempted-production-child-pornography" TargetMode="External"/><Relationship Id="rId3414" Type="http://schemas.openxmlformats.org/officeDocument/2006/relationships/hyperlink" Target="http://archive.fo/tTwI9" TargetMode="External"/><Relationship Id="rId4745" Type="http://schemas.openxmlformats.org/officeDocument/2006/relationships/hyperlink" Target="https://www.khou.com/article/news/national/broward-county-sex-trafficking-women-arrested/67-a51e6eb5-6c3f-41c3-acb2-c85229642134" TargetMode="External"/><Relationship Id="rId3413" Type="http://schemas.openxmlformats.org/officeDocument/2006/relationships/hyperlink" Target="https://www.courtlistener.com/?q=&amp;type=r&amp;order_by=score+desc&amp;docket_number=1%3A19-cr-00131&amp;court=nysd" TargetMode="External"/><Relationship Id="rId4744" Type="http://schemas.openxmlformats.org/officeDocument/2006/relationships/hyperlink" Target="https://www.fbi.gov/contact-us/field-offices/miami/news/press-releases/fbi-announces-two-sex-trafficking-arrests" TargetMode="External"/><Relationship Id="rId3416" Type="http://schemas.openxmlformats.org/officeDocument/2006/relationships/hyperlink" Target="https://patch.com/new-york/bayshore/11-long-islanders-charged-human-trafficking-takedown" TargetMode="External"/><Relationship Id="rId4747" Type="http://schemas.openxmlformats.org/officeDocument/2006/relationships/hyperlink" Target="https://archive.vn/z6i5V/image" TargetMode="External"/><Relationship Id="rId3415" Type="http://schemas.openxmlformats.org/officeDocument/2006/relationships/hyperlink" Target="https://www.justice.gov/usao-sdny/pr/us-attorney-announces-charges-against-11-defendants-sex-trafficking-and-related" TargetMode="External"/><Relationship Id="rId4746" Type="http://schemas.openxmlformats.org/officeDocument/2006/relationships/hyperlink" Target="https://archive.vn/WBEtc" TargetMode="External"/><Relationship Id="rId3418" Type="http://schemas.openxmlformats.org/officeDocument/2006/relationships/hyperlink" Target="http://archive.fo/tTwI9" TargetMode="External"/><Relationship Id="rId4749" Type="http://schemas.openxmlformats.org/officeDocument/2006/relationships/hyperlink" Target="https://www.khou.com/article/news/national/broward-county-sex-trafficking-women-arrested/67-a51e6eb5-6c3f-41c3-acb2-c85229642134" TargetMode="External"/><Relationship Id="rId3417" Type="http://schemas.openxmlformats.org/officeDocument/2006/relationships/hyperlink" Target="https://www.courtlistener.com/?q=&amp;type=r&amp;order_by=score+desc&amp;docket_number=1%3A19-cr-00131&amp;court=nysd" TargetMode="External"/><Relationship Id="rId4748" Type="http://schemas.openxmlformats.org/officeDocument/2006/relationships/hyperlink" Target="https://www.fbi.gov/contact-us/field-offices/miami/news/press-releases/fbi-announces-two-sex-trafficking-arrests" TargetMode="External"/><Relationship Id="rId3419" Type="http://schemas.openxmlformats.org/officeDocument/2006/relationships/hyperlink" Target="https://www.justice.gov/usao-sdny/pr/us-attorney-announces-charges-against-11-defendants-sex-trafficking-and-related" TargetMode="External"/><Relationship Id="rId888" Type="http://schemas.openxmlformats.org/officeDocument/2006/relationships/hyperlink" Target="https://www.justice.gov/usao-nm/pr/grant-county-man-facing-federal-child-pornography-charges" TargetMode="External"/><Relationship Id="rId887" Type="http://schemas.openxmlformats.org/officeDocument/2006/relationships/hyperlink" Target="https://www.courtlistener.com/docket/6478988/united-states-v-cottrell/" TargetMode="External"/><Relationship Id="rId886" Type="http://schemas.openxmlformats.org/officeDocument/2006/relationships/hyperlink" Target="https://www.justice.gov/usao-sdwv/pr/wirt-county-man-sentenced-12-years-federal-prison-child-pornography-and-firearm" TargetMode="External"/><Relationship Id="rId885" Type="http://schemas.openxmlformats.org/officeDocument/2006/relationships/hyperlink" Target="https://www.ice.gov/news/releases/stowe-man-sentenced-18-years-imprisonment-child-exploitation-offenses" TargetMode="External"/><Relationship Id="rId889" Type="http://schemas.openxmlformats.org/officeDocument/2006/relationships/hyperlink" Target="https://www.justice.gov/usao-wdar/pr/arkansas-man-sentenced-30-years-federal-prison-sexually-exploiting-minors" TargetMode="External"/><Relationship Id="rId880" Type="http://schemas.openxmlformats.org/officeDocument/2006/relationships/hyperlink" Target="https://www.justice.gov/usao-sdwv/pr/multiple-project-safe-childhood-psc-defendants-appear-federal-court" TargetMode="External"/><Relationship Id="rId884" Type="http://schemas.openxmlformats.org/officeDocument/2006/relationships/hyperlink" Target="https://www.justice.gov/usao-edca/pr/turlock-man-sentenced-20-years-prison-trafficking-child-pornography" TargetMode="External"/><Relationship Id="rId3410" Type="http://schemas.openxmlformats.org/officeDocument/2006/relationships/hyperlink" Target="http://archive.fo/tTwI9" TargetMode="External"/><Relationship Id="rId4741" Type="http://schemas.openxmlformats.org/officeDocument/2006/relationships/hyperlink" Target="https://www.cbp.gov/newsroom/local-media-release/usbp-partners-foil-maritime-smuggling-attempt" TargetMode="External"/><Relationship Id="rId883" Type="http://schemas.openxmlformats.org/officeDocument/2006/relationships/hyperlink" Target="https://www.courtlistener.com/?q=&amp;type=r&amp;order_by=score+desc&amp;docket_number=9%3A18-cr-80025&amp;court=flsd" TargetMode="External"/><Relationship Id="rId4740" Type="http://schemas.openxmlformats.org/officeDocument/2006/relationships/hyperlink" Target="https://www.justice.gov/usao-sdtx/pr/houstonian-state-bond-ordered-federal-custody" TargetMode="External"/><Relationship Id="rId882" Type="http://schemas.openxmlformats.org/officeDocument/2006/relationships/hyperlink" Target="https://www.justice.gov/usao-sdfl/pr/port-st-lucie-man-sentenced-14-years-prison-possessing-child-pornography" TargetMode="External"/><Relationship Id="rId3412" Type="http://schemas.openxmlformats.org/officeDocument/2006/relationships/hyperlink" Target="https://patch.com/new-york/bayshore/11-long-islanders-charged-human-trafficking-takedown" TargetMode="External"/><Relationship Id="rId4743" Type="http://schemas.openxmlformats.org/officeDocument/2006/relationships/hyperlink" Target="https://www.cbp.gov/newsroom/local-media-release/joint-efforts-leads-multiple-stash-house-disruptions-rgv" TargetMode="External"/><Relationship Id="rId881" Type="http://schemas.openxmlformats.org/officeDocument/2006/relationships/hyperlink" Target="https://www.courtlistener.com/docket/6479152/united-states-v-kelley/" TargetMode="External"/><Relationship Id="rId3411" Type="http://schemas.openxmlformats.org/officeDocument/2006/relationships/hyperlink" Target="https://www.justice.gov/usao-sdny/pr/us-attorney-announces-charges-against-11-defendants-sex-trafficking-and-related" TargetMode="External"/><Relationship Id="rId4742" Type="http://schemas.openxmlformats.org/officeDocument/2006/relationships/hyperlink" Target="https://www.cbp.gov/newsroom/local-media-release/usbp-partners-foil-maritime-smuggling-attempt" TargetMode="External"/><Relationship Id="rId3403" Type="http://schemas.openxmlformats.org/officeDocument/2006/relationships/hyperlink" Target="https://www.courtlistener.com/docket/14868645/united-states-v-moran/" TargetMode="External"/><Relationship Id="rId4734" Type="http://schemas.openxmlformats.org/officeDocument/2006/relationships/hyperlink" Target="https://www.justice.gov/usao-wdny/pr/kenmore-man-charged-production-and-possession-child-pornography" TargetMode="External"/><Relationship Id="rId3402" Type="http://schemas.openxmlformats.org/officeDocument/2006/relationships/hyperlink" Target="https://www.justice.gov/usao-wdpa/pr/south-park-man-charged-possessing-and-distributing-child-pornography" TargetMode="External"/><Relationship Id="rId4733" Type="http://schemas.openxmlformats.org/officeDocument/2006/relationships/hyperlink" Target="https://www.justice.gov/usao-ct/pr/east-hartford-men-charged-sex-trafficking-minor-victim" TargetMode="External"/><Relationship Id="rId3405" Type="http://schemas.openxmlformats.org/officeDocument/2006/relationships/hyperlink" Target="https://patch.com/new-york/bayshore/11-long-islanders-charged-human-trafficking-takedown" TargetMode="External"/><Relationship Id="rId4736" Type="http://schemas.openxmlformats.org/officeDocument/2006/relationships/hyperlink" Target="https://www.orlandosentinel.com/news/seminole-county/os-ne-seminole-county-tax-collector-greenberg-fake-ids-minors-20200821-lqt6id6sijbdrj2l7xo6cimz5y-story.html" TargetMode="External"/><Relationship Id="rId3404" Type="http://schemas.openxmlformats.org/officeDocument/2006/relationships/hyperlink" Target="https://www.justice.gov/usao-sdny/pr/us-attorney-announces-charges-against-11-defendants-sex-trafficking-and-related" TargetMode="External"/><Relationship Id="rId4735" Type="http://schemas.openxmlformats.org/officeDocument/2006/relationships/hyperlink" Target="https://www.justice.gov/usao-pr/pr/22-year-old-man-indicted-and-arrested-charges-child-pornography" TargetMode="External"/><Relationship Id="rId3407" Type="http://schemas.openxmlformats.org/officeDocument/2006/relationships/hyperlink" Target="http://archive.fo/tTwI9" TargetMode="External"/><Relationship Id="rId4738" Type="http://schemas.openxmlformats.org/officeDocument/2006/relationships/hyperlink" Target="https://archive.vn/wip/bO17v" TargetMode="External"/><Relationship Id="rId3406" Type="http://schemas.openxmlformats.org/officeDocument/2006/relationships/hyperlink" Target="https://www.courtlistener.com/?q=&amp;type=r&amp;order_by=score+desc&amp;docket_number=1%3A19-cr-00131&amp;court=nysd" TargetMode="External"/><Relationship Id="rId4737" Type="http://schemas.openxmlformats.org/officeDocument/2006/relationships/hyperlink" Target="https://archive.vn/wBFZU" TargetMode="External"/><Relationship Id="rId3409" Type="http://schemas.openxmlformats.org/officeDocument/2006/relationships/hyperlink" Target="https://patch.com/new-york/bayshore/11-long-islanders-charged-human-trafficking-takedown" TargetMode="External"/><Relationship Id="rId3408" Type="http://schemas.openxmlformats.org/officeDocument/2006/relationships/hyperlink" Target="https://www.justice.gov/usao-sdny/pr/us-attorney-announces-charges-against-11-defendants-sex-trafficking-and-related" TargetMode="External"/><Relationship Id="rId4739" Type="http://schemas.openxmlformats.org/officeDocument/2006/relationships/hyperlink" Target="https://www.cbp.gov/newsroom/local-media-release/rgv-checkpoint-agents-stop-big-rig-smuggling-attempt" TargetMode="External"/><Relationship Id="rId877" Type="http://schemas.openxmlformats.org/officeDocument/2006/relationships/hyperlink" Target="https://archive.fo/dtYjT" TargetMode="External"/><Relationship Id="rId876" Type="http://schemas.openxmlformats.org/officeDocument/2006/relationships/hyperlink" Target="https://archive.fo/xLRp0" TargetMode="External"/><Relationship Id="rId875" Type="http://schemas.openxmlformats.org/officeDocument/2006/relationships/hyperlink" Target="https://www.courtlistener.com/docket/6612152/united-states-v-mcclenathan/" TargetMode="External"/><Relationship Id="rId874" Type="http://schemas.openxmlformats.org/officeDocument/2006/relationships/hyperlink" Target="https://www.justice.gov/usao-mdfl/pr/florida-man-sentenced-20-years-distributing-child-pornography" TargetMode="External"/><Relationship Id="rId879" Type="http://schemas.openxmlformats.org/officeDocument/2006/relationships/hyperlink" Target="https://www.justice.gov/usao-sdwv/pr/wood-county-man-pleads-guilty-child-pornography" TargetMode="External"/><Relationship Id="rId878" Type="http://schemas.openxmlformats.org/officeDocument/2006/relationships/hyperlink" Target="http://www.theglobaldispatch.com/kentucky-ice-arrest-ryan-brock-for-producing-child-porn-now-sentenced-to-30-years-27128/" TargetMode="External"/><Relationship Id="rId873" Type="http://schemas.openxmlformats.org/officeDocument/2006/relationships/hyperlink" Target="https://www.justice.gov/usao-wdny/pr/tonawanda-man-sentenced-distributing-child-pornography" TargetMode="External"/><Relationship Id="rId4730" Type="http://schemas.openxmlformats.org/officeDocument/2006/relationships/hyperlink" Target="https://www.msn.com/en-us/news/crime/collin-county-man-denison-pastor-arrested-for-child-porn/ar-BB18rg0m" TargetMode="External"/><Relationship Id="rId872" Type="http://schemas.openxmlformats.org/officeDocument/2006/relationships/hyperlink" Target="https://www.justice.gov/usao-ma/pr/webster-man-pleads-guilty-possessing-child-pornography" TargetMode="External"/><Relationship Id="rId871" Type="http://schemas.openxmlformats.org/officeDocument/2006/relationships/hyperlink" Target="https://www.justice.gov/usao-nj/pr/hudson-county-new-jersey-man-admits-distributing-child-pornography" TargetMode="External"/><Relationship Id="rId3401" Type="http://schemas.openxmlformats.org/officeDocument/2006/relationships/hyperlink" Target="https://www.justice.gov/usao-ks/pr/pittsburg-man-sentenced-27-years-producing-child-porn" TargetMode="External"/><Relationship Id="rId4732" Type="http://schemas.openxmlformats.org/officeDocument/2006/relationships/hyperlink" Target="https://archive.vn/wip/DspAE" TargetMode="External"/><Relationship Id="rId870" Type="http://schemas.openxmlformats.org/officeDocument/2006/relationships/hyperlink" Target="https://www.timesledger.com/stories/2018/22/ridgewoodpimp_2018_06_01_q.html" TargetMode="External"/><Relationship Id="rId3400" Type="http://schemas.openxmlformats.org/officeDocument/2006/relationships/hyperlink" Target="https://www.courtlistener.com/docket/15696243/united-states-v-fournier/" TargetMode="External"/><Relationship Id="rId4731" Type="http://schemas.openxmlformats.org/officeDocument/2006/relationships/hyperlink" Target="https://archive.vn/wip/fUpcG" TargetMode="External"/><Relationship Id="rId1653" Type="http://schemas.openxmlformats.org/officeDocument/2006/relationships/hyperlink" Target="https://www.justice.gov/opa/pr/justice-department-leads-effort-seize-backpagecom-internet-s-leading-forum-prostitution-ads" TargetMode="External"/><Relationship Id="rId2984" Type="http://schemas.openxmlformats.org/officeDocument/2006/relationships/hyperlink" Target="https://www.justice.gov/usao-ndms/pr/two-north-mississippi-men-sentenced-production-child-pornography" TargetMode="External"/><Relationship Id="rId1654" Type="http://schemas.openxmlformats.org/officeDocument/2006/relationships/hyperlink" Target="https://www.courtlistener.com/docket/6358216/united-states-v-lacey/" TargetMode="External"/><Relationship Id="rId2985" Type="http://schemas.openxmlformats.org/officeDocument/2006/relationships/hyperlink" Target="https://www.justice.gov/usao-wdky/pr/former-lmpd-officer-pleads-guilty-enticing-minors-distribution-and-possession-child" TargetMode="External"/><Relationship Id="rId1655" Type="http://schemas.openxmlformats.org/officeDocument/2006/relationships/hyperlink" Target="https://www.justice.gov/opa/pr/backpage-s-co-founder-and-ceo-well-several-backpage-related-corporate-entities-enter-guilty" TargetMode="External"/><Relationship Id="rId2986" Type="http://schemas.openxmlformats.org/officeDocument/2006/relationships/hyperlink" Target="https://www.whas11.com/article/news/crime/ex-lmpd-officer-kenneth-betts-pleads-guilty-to-explorer-program-sex-crimes/417-618428184" TargetMode="External"/><Relationship Id="rId1656" Type="http://schemas.openxmlformats.org/officeDocument/2006/relationships/hyperlink" Target="https://www.justice.gov/opa/pr/justice-department-leads-effort-seize-backpagecom-internet-s-leading-forum-prostitution-ads" TargetMode="External"/><Relationship Id="rId2987" Type="http://schemas.openxmlformats.org/officeDocument/2006/relationships/hyperlink" Target="https://www.courtlistener.com/?q=&amp;type=r&amp;order_by=score+desc&amp;docket_number=2%3A19-cr-00128&amp;court=paed" TargetMode="External"/><Relationship Id="rId1657" Type="http://schemas.openxmlformats.org/officeDocument/2006/relationships/hyperlink" Target="https://www.courtlistener.com/docket/6358216/united-states-v-lacey/" TargetMode="External"/><Relationship Id="rId2988" Type="http://schemas.openxmlformats.org/officeDocument/2006/relationships/hyperlink" Target="https://www.justice.gov/usao-ndoh/pr/men-avon-lake-concord-and-ravenna-indicted-child-pornography-crimes" TargetMode="External"/><Relationship Id="rId1658" Type="http://schemas.openxmlformats.org/officeDocument/2006/relationships/hyperlink" Target="https://www.justice.gov/opa/pr/backpage-s-co-founder-and-ceo-well-several-backpage-related-corporate-entities-enter-guilty" TargetMode="External"/><Relationship Id="rId2989" Type="http://schemas.openxmlformats.org/officeDocument/2006/relationships/hyperlink" Target="https://www.courtlistener.com/docket/8170484/united-states-v-stoneham/" TargetMode="External"/><Relationship Id="rId1659" Type="http://schemas.openxmlformats.org/officeDocument/2006/relationships/hyperlink" Target="https://www.justice.gov/opa/pr/justice-department-leads-effort-seize-backpagecom-internet-s-leading-forum-prostitution-ads" TargetMode="External"/><Relationship Id="rId829" Type="http://schemas.openxmlformats.org/officeDocument/2006/relationships/hyperlink" Target="https://www.citizensvoice.com/news/police-child-porn-convict-says-oh-well-downloads-more-1.2269256" TargetMode="External"/><Relationship Id="rId828" Type="http://schemas.openxmlformats.org/officeDocument/2006/relationships/hyperlink" Target="https://www.courtlistener.com/docket/7909552/united-states-v-fleming/" TargetMode="External"/><Relationship Id="rId827" Type="http://schemas.openxmlformats.org/officeDocument/2006/relationships/hyperlink" Target="https://www.justice.gov/usao-wdmo/pr/kc-sex-offender-sentenced-15-years-child-pornography" TargetMode="External"/><Relationship Id="rId822" Type="http://schemas.openxmlformats.org/officeDocument/2006/relationships/hyperlink" Target="https://www.courtlistener.com/docket/6853542/united-states-v-demars/" TargetMode="External"/><Relationship Id="rId821" Type="http://schemas.openxmlformats.org/officeDocument/2006/relationships/hyperlink" Target="http://www.ktre.com/story/36858295/man-faces-child-porn-charges" TargetMode="External"/><Relationship Id="rId820" Type="http://schemas.openxmlformats.org/officeDocument/2006/relationships/hyperlink" Target="https://www.justice.gov/usao-ednc/pr/wilmington-man-indicted-child-pornography-charges-0" TargetMode="External"/><Relationship Id="rId826" Type="http://schemas.openxmlformats.org/officeDocument/2006/relationships/hyperlink" Target="https://www.cbp.gov/newsroom/local-media-release/agents-arrest-tucson-residents-human-smuggling" TargetMode="External"/><Relationship Id="rId825" Type="http://schemas.openxmlformats.org/officeDocument/2006/relationships/hyperlink" Target="https://www.courtlistener.com/docket/6254544/united-states-v-hansen/" TargetMode="External"/><Relationship Id="rId824" Type="http://schemas.openxmlformats.org/officeDocument/2006/relationships/hyperlink" Target="https://www.justice.gov/usao-ne/pr/december-2017-grand-jury" TargetMode="External"/><Relationship Id="rId823" Type="http://schemas.openxmlformats.org/officeDocument/2006/relationships/hyperlink" Target="https://www.1011now.com/content/news/Lincoln-man-sentenced-to-8-years-for-child-pornography-485669441.html" TargetMode="External"/><Relationship Id="rId2980" Type="http://schemas.openxmlformats.org/officeDocument/2006/relationships/hyperlink" Target="https://www.courtlistener.com/docket/8127995/united-states-v-woney/" TargetMode="External"/><Relationship Id="rId1650" Type="http://schemas.openxmlformats.org/officeDocument/2006/relationships/hyperlink" Target="https://www.justice.gov/opa/pr/justice-department-leads-effort-seize-backpagecom-internet-s-leading-forum-prostitution-ads" TargetMode="External"/><Relationship Id="rId2981" Type="http://schemas.openxmlformats.org/officeDocument/2006/relationships/hyperlink" Target="https://www.justice.gov/usao-mdfl/pr/retired-navy-service-member-pleads-guilty-attempted-enticement-minors-engage-sexual" TargetMode="External"/><Relationship Id="rId1651" Type="http://schemas.openxmlformats.org/officeDocument/2006/relationships/hyperlink" Target="https://www.courtlistener.com/docket/6358216/united-states-v-lacey/" TargetMode="External"/><Relationship Id="rId2982" Type="http://schemas.openxmlformats.org/officeDocument/2006/relationships/hyperlink" Target="http://www.madisonfl.net/blog/retired-navy-service-member-charles-s-leis-pleads-guilty-to-attempted-enticement-of-minors-to-engage-in-sexual-activity-and-possession-of-child-pornography/" TargetMode="External"/><Relationship Id="rId1652" Type="http://schemas.openxmlformats.org/officeDocument/2006/relationships/hyperlink" Target="https://www.justice.gov/opa/pr/backpage-s-co-founder-and-ceo-well-several-backpage-related-corporate-entities-enter-guilty" TargetMode="External"/><Relationship Id="rId2983" Type="http://schemas.openxmlformats.org/officeDocument/2006/relationships/hyperlink" Target="https://www.courtlistener.com/docket/8105933/united-states-v-winchester/" TargetMode="External"/><Relationship Id="rId1642" Type="http://schemas.openxmlformats.org/officeDocument/2006/relationships/hyperlink" Target="http://www.orlandosentinel.com/news/breaking-news/os-disney-worker-child-porn-arrest-20180405-story.html" TargetMode="External"/><Relationship Id="rId2973" Type="http://schemas.openxmlformats.org/officeDocument/2006/relationships/hyperlink" Target="https://www.mynews13.com/fl/orlando/news/2019/03/21/ex-emt-faces-federal-prison-for-child-porn" TargetMode="External"/><Relationship Id="rId1643" Type="http://schemas.openxmlformats.org/officeDocument/2006/relationships/hyperlink" Target="https://twitter.com/MacFarlaneNews/status/982352552447565825" TargetMode="External"/><Relationship Id="rId2974" Type="http://schemas.openxmlformats.org/officeDocument/2006/relationships/hyperlink" Target="http://archive.fo/3aqP6" TargetMode="External"/><Relationship Id="rId1644" Type="http://schemas.openxmlformats.org/officeDocument/2006/relationships/hyperlink" Target="https://www.justice.gov/usao-nj/pr/south-carolina-man-admits-distribution-child-pornography" TargetMode="External"/><Relationship Id="rId2975" Type="http://schemas.openxmlformats.org/officeDocument/2006/relationships/hyperlink" Target="http://archive.fo/sNLfs" TargetMode="External"/><Relationship Id="rId1645" Type="http://schemas.openxmlformats.org/officeDocument/2006/relationships/hyperlink" Target="https://www.justice.gov/usao-nj/pr/south-carolina-man-charged-distribution-child-pornography" TargetMode="External"/><Relationship Id="rId2976" Type="http://schemas.openxmlformats.org/officeDocument/2006/relationships/hyperlink" Target="https://www.cbp.gov/newsroom/local-media-release/us-teenager-arrested-human-smuggling" TargetMode="External"/><Relationship Id="rId1646" Type="http://schemas.openxmlformats.org/officeDocument/2006/relationships/hyperlink" Target="https://www.justice.gov/opa/pr/backpage-s-co-founder-and-ceo-well-several-backpage-related-corporate-entities-enter-guilty" TargetMode="External"/><Relationship Id="rId2977" Type="http://schemas.openxmlformats.org/officeDocument/2006/relationships/hyperlink" Target="https://www.justice.gov/usao-wdny/pr/gates-man-arrested-attempting-have-have-sex-14-year-old-child" TargetMode="External"/><Relationship Id="rId1647" Type="http://schemas.openxmlformats.org/officeDocument/2006/relationships/hyperlink" Target="https://www.justice.gov/opa/pr/justice-department-leads-effort-seize-backpagecom-internet-s-leading-forum-prostitution-ads" TargetMode="External"/><Relationship Id="rId2978" Type="http://schemas.openxmlformats.org/officeDocument/2006/relationships/hyperlink" Target="https://www.justice.gov/usao-wdny/pr/gates-man-who-attempted-lure-teenager-sex-pleads-guilty" TargetMode="External"/><Relationship Id="rId1648" Type="http://schemas.openxmlformats.org/officeDocument/2006/relationships/hyperlink" Target="https://www.courtlistener.com/docket/6358216/united-states-v-lacey/" TargetMode="External"/><Relationship Id="rId2979" Type="http://schemas.openxmlformats.org/officeDocument/2006/relationships/hyperlink" Target="https://www.justice.gov/usao-sdny/pr/individual-arrested-sex-trafficking-and-other-offenses-connection-missing-person" TargetMode="External"/><Relationship Id="rId1649" Type="http://schemas.openxmlformats.org/officeDocument/2006/relationships/hyperlink" Target="https://www.justice.gov/opa/pr/backpage-s-co-founder-and-ceo-well-several-backpage-related-corporate-entities-enter-guilty" TargetMode="External"/><Relationship Id="rId819" Type="http://schemas.openxmlformats.org/officeDocument/2006/relationships/hyperlink" Target="https://www.courtlistener.com/docket/6781369/united-states-v-pethley-curtis/" TargetMode="External"/><Relationship Id="rId818" Type="http://schemas.openxmlformats.org/officeDocument/2006/relationships/hyperlink" Target="https://www.justice.gov/usao-wdwi/pr/grand-jury-returns-indictments-68" TargetMode="External"/><Relationship Id="rId817" Type="http://schemas.openxmlformats.org/officeDocument/2006/relationships/hyperlink" Target="https://thegoldwater.com/news/24373-Undercover-FBI-Sting-Brings-Down-California-Child-Sex-Trafficking-and-Child-Porn-Operation" TargetMode="External"/><Relationship Id="rId816" Type="http://schemas.openxmlformats.org/officeDocument/2006/relationships/hyperlink" Target="https://www.courtlistener.com/docket/6761055/united-states-v-gotti/" TargetMode="External"/><Relationship Id="rId811" Type="http://schemas.openxmlformats.org/officeDocument/2006/relationships/hyperlink" Target="https://www.pressconnects.com/story/news/public-safety/2017/11/13/twice-convicted-southern-tier-sex-offender-indicted-federal-child-porn-charges/856340001/" TargetMode="External"/><Relationship Id="rId810" Type="http://schemas.openxmlformats.org/officeDocument/2006/relationships/hyperlink" Target="https://www.cbp.gov/newsroom/local-media-release/border-patrol-stops-smuggling-attempts-naco-az" TargetMode="External"/><Relationship Id="rId815" Type="http://schemas.openxmlformats.org/officeDocument/2006/relationships/hyperlink" Target="https://www.courtlistener.com/docket/8040267/united-states-v-frye/" TargetMode="External"/><Relationship Id="rId814" Type="http://schemas.openxmlformats.org/officeDocument/2006/relationships/hyperlink" Target="https://www.justice.gov/usao-sdin/pr/hamilton-county-metropolitan-child-exploitation-task-force-members-recognized-operation" TargetMode="External"/><Relationship Id="rId813" Type="http://schemas.openxmlformats.org/officeDocument/2006/relationships/hyperlink" Target="https://www.courtlistener.com/docket/7964315/united-states-v-reeves/" TargetMode="External"/><Relationship Id="rId812" Type="http://schemas.openxmlformats.org/officeDocument/2006/relationships/hyperlink" Target="https://www.justice.gov/usao-sdin/pr/hamilton-county-metropolitan-child-exploitation-task-force-members-recognized-operation" TargetMode="External"/><Relationship Id="rId2970" Type="http://schemas.openxmlformats.org/officeDocument/2006/relationships/hyperlink" Target="https://www.justice.gov/usao-ndoh/pr/men-mansfield-and-curtice-indicted-child-pornography-crimes" TargetMode="External"/><Relationship Id="rId1640" Type="http://schemas.openxmlformats.org/officeDocument/2006/relationships/hyperlink" Target="http://news.maryland.gov/msp/2018/04/04/anne-arundel-county-man-arrested-on-child-pornography-charges/" TargetMode="External"/><Relationship Id="rId2971" Type="http://schemas.openxmlformats.org/officeDocument/2006/relationships/hyperlink" Target="https://www.courtlistener.com/?q=&amp;type=r&amp;order_by=score+desc&amp;docket_number=1%3A18-cr-00702&amp;court=ohnd" TargetMode="External"/><Relationship Id="rId1641" Type="http://schemas.openxmlformats.org/officeDocument/2006/relationships/hyperlink" Target="https://www.justice.gov/usao-nj/pr/comic-book-artist-admits-distribution-child-pornography" TargetMode="External"/><Relationship Id="rId2972" Type="http://schemas.openxmlformats.org/officeDocument/2006/relationships/hyperlink" Target="https://www.justice.gov/usao-mdfl/pr/former-emergency-medical-technician-pleads-guilty-possession-child-pornography" TargetMode="External"/><Relationship Id="rId1675" Type="http://schemas.openxmlformats.org/officeDocument/2006/relationships/hyperlink" Target="https://www.justice.gov/usao-mdpa/pr/florida-man-charged-sex-trafficking" TargetMode="External"/><Relationship Id="rId4701" Type="http://schemas.openxmlformats.org/officeDocument/2006/relationships/hyperlink" Target="https://archive.vn/DHNH7" TargetMode="External"/><Relationship Id="rId1676" Type="http://schemas.openxmlformats.org/officeDocument/2006/relationships/hyperlink" Target="https://www.courtlistener.com/docket/15496484/united-states-v-golom/" TargetMode="External"/><Relationship Id="rId4700" Type="http://schemas.openxmlformats.org/officeDocument/2006/relationships/hyperlink" Target="https://archive.vn/wip/c1Oh4" TargetMode="External"/><Relationship Id="rId1677" Type="http://schemas.openxmlformats.org/officeDocument/2006/relationships/hyperlink" Target="https://www.justice.gov/usao-mdpa/pr/stroudsburg-man-indicted-child-pornography-charges" TargetMode="External"/><Relationship Id="rId4703" Type="http://schemas.openxmlformats.org/officeDocument/2006/relationships/hyperlink" Target="https://www.wandtv.com/news/judge-cites-extreme-danger-posed-by-child-porn-suspect-orders-he-stay-in-u-s/article_58e3ed64-e0d6-11ea-b912-eb4720bb0333.html" TargetMode="External"/><Relationship Id="rId1678" Type="http://schemas.openxmlformats.org/officeDocument/2006/relationships/hyperlink" Target="http://www.poconorecord.com/news/20180420/accused-predators-bail-set-at-15-million" TargetMode="External"/><Relationship Id="rId4702" Type="http://schemas.openxmlformats.org/officeDocument/2006/relationships/hyperlink" Target="https://www.justice.gov/usao-cdil/pr/charleston-ill-man-charged-child-sex-crimes-ordered-remain-custody" TargetMode="External"/><Relationship Id="rId1679" Type="http://schemas.openxmlformats.org/officeDocument/2006/relationships/hyperlink" Target="https://www.justice.gov/usao-nm/pr/fourth-defendant-pleads-guilty-federal-charges-commercial-sex-trafficking-ring" TargetMode="External"/><Relationship Id="rId4705" Type="http://schemas.openxmlformats.org/officeDocument/2006/relationships/hyperlink" Target="https://archive.vn/EuZX8" TargetMode="External"/><Relationship Id="rId4704" Type="http://schemas.openxmlformats.org/officeDocument/2006/relationships/hyperlink" Target="https://archive.vn/yGeLX" TargetMode="External"/><Relationship Id="rId4707" Type="http://schemas.openxmlformats.org/officeDocument/2006/relationships/hyperlink" Target="https://www.justice.gov/usao-sd/pr/watertown-man-charged-receipt-distribution-and-transportation-child-pornography" TargetMode="External"/><Relationship Id="rId4706" Type="http://schemas.openxmlformats.org/officeDocument/2006/relationships/hyperlink" Target="https://www.cbp.gov/newsroom/local-media-release/multi-agency-cooperation-foils-several-human-smuggling-attempts" TargetMode="External"/><Relationship Id="rId4709" Type="http://schemas.openxmlformats.org/officeDocument/2006/relationships/hyperlink" Target="https://archive.vn/Vpn5Y" TargetMode="External"/><Relationship Id="rId4708" Type="http://schemas.openxmlformats.org/officeDocument/2006/relationships/hyperlink" Target="https://www.wzzm13.com/article/news/crime/accused-sex-predator-contacted-saugatuck-student-on-her-school-laptop/69-612eb234-1b56-4830-94d3-d5792f183ee5" TargetMode="External"/><Relationship Id="rId849" Type="http://schemas.openxmlformats.org/officeDocument/2006/relationships/hyperlink" Target="https://www.wgal.com/article/man-sentenced-to-up-to-36-years-prison-for-operating-human-trafficking-ring/25321529" TargetMode="External"/><Relationship Id="rId844" Type="http://schemas.openxmlformats.org/officeDocument/2006/relationships/hyperlink" Target="http://www.kdrv.com/content/news/485443411.html" TargetMode="External"/><Relationship Id="rId843" Type="http://schemas.openxmlformats.org/officeDocument/2006/relationships/hyperlink" Target="https://www.justice.gov/usao-sdia/pr/council-bluffs-man-sentenced-108-months-prison-distribution-and-receipt-child" TargetMode="External"/><Relationship Id="rId842" Type="http://schemas.openxmlformats.org/officeDocument/2006/relationships/hyperlink" Target="https://www.nonpareilonline.com/news/crime/ex-bluffs-employee-guilty-of-child-porn-charges/article_07194474-4a75-11e8-861a-9b9693697ef2.html" TargetMode="External"/><Relationship Id="rId841" Type="http://schemas.openxmlformats.org/officeDocument/2006/relationships/hyperlink" Target="https://www.justice.gov/usao-ndok/pr/sapulpa-man-sentenced-producing-child-pornography-text-messaging" TargetMode="External"/><Relationship Id="rId848" Type="http://schemas.openxmlformats.org/officeDocument/2006/relationships/hyperlink" Target="https://lancasteronline.com/news/local/da-man-found-guilty-of-all-counts-in-first-human/article_b3f488c2-b81e-11e8-8741-d7c1b7e3520c.html" TargetMode="External"/><Relationship Id="rId847" Type="http://schemas.openxmlformats.org/officeDocument/2006/relationships/hyperlink" Target="https://www.courtlistener.com/docket/8080116/united-states-v-crockett/" TargetMode="External"/><Relationship Id="rId846" Type="http://schemas.openxmlformats.org/officeDocument/2006/relationships/hyperlink" Target="https://www.justice.gov/usao-md/pr/maryland-sex-offender-sentenced-10-years-federal-prison-possession-child-pornography" TargetMode="External"/><Relationship Id="rId845" Type="http://schemas.openxmlformats.org/officeDocument/2006/relationships/hyperlink" Target="https://www.justice.gov/usao-sc/pr/columbia-woman-pleads-federal-charge-enticing-minor-engage-sexual-activity" TargetMode="External"/><Relationship Id="rId1670" Type="http://schemas.openxmlformats.org/officeDocument/2006/relationships/hyperlink" Target="https://www.justice.gov/usao-nj/pr/ocean-county-man-admits-distributing-images-child-sexual-abuse" TargetMode="External"/><Relationship Id="rId840" Type="http://schemas.openxmlformats.org/officeDocument/2006/relationships/hyperlink" Target="https://www.fox23.com/news/creek-county-deputies-find-hundreds-of-pornographic-images-of-children-on-mans-snapchat-account/651583306" TargetMode="External"/><Relationship Id="rId1671" Type="http://schemas.openxmlformats.org/officeDocument/2006/relationships/hyperlink" Target="http://www.newsweek.com/former-senior-united-nations-official-facing-pedophilia-charges-nepal-876783" TargetMode="External"/><Relationship Id="rId1672" Type="http://schemas.openxmlformats.org/officeDocument/2006/relationships/hyperlink" Target="https://www.justice.gov/usao-wdny/pr/rochester-woman-pleads-guilty-production-child-pornography" TargetMode="External"/><Relationship Id="rId1673" Type="http://schemas.openxmlformats.org/officeDocument/2006/relationships/hyperlink" Target="http://wtkr.com/2018/04/10/man-arrested-after-month-long-child-pornography-investigation-in-isle-of-wight/" TargetMode="External"/><Relationship Id="rId1674" Type="http://schemas.openxmlformats.org/officeDocument/2006/relationships/hyperlink" Target="https://www.courtlistener.com/docket/8452421/united-states-v-turner/" TargetMode="External"/><Relationship Id="rId1664" Type="http://schemas.openxmlformats.org/officeDocument/2006/relationships/hyperlink" Target="https://www.justice.gov/opa/pr/backpage-s-co-founder-and-ceo-well-several-backpage-related-corporate-entities-enter-guilty" TargetMode="External"/><Relationship Id="rId2995" Type="http://schemas.openxmlformats.org/officeDocument/2006/relationships/hyperlink" Target="https://www.courtlistener.com/docket/14643626/united-states-v-ravn/" TargetMode="External"/><Relationship Id="rId1665" Type="http://schemas.openxmlformats.org/officeDocument/2006/relationships/hyperlink" Target="https://www.justice.gov/opa/pr/justice-department-leads-effort-seize-backpagecom-internet-s-leading-forum-prostitution-ads" TargetMode="External"/><Relationship Id="rId2996" Type="http://schemas.openxmlformats.org/officeDocument/2006/relationships/hyperlink" Target="https://www.justice.gov/usao-ndoh/pr/men-mansfield-and-curtice-indicted-child-pornography-crimes" TargetMode="External"/><Relationship Id="rId1666" Type="http://schemas.openxmlformats.org/officeDocument/2006/relationships/hyperlink" Target="https://www.courtlistener.com/docket/6358216/united-states-v-lacey/" TargetMode="External"/><Relationship Id="rId2997" Type="http://schemas.openxmlformats.org/officeDocument/2006/relationships/hyperlink" Target="https://www.courtlistener.com/docket/8217261/united-states-v-garrett/" TargetMode="External"/><Relationship Id="rId1667" Type="http://schemas.openxmlformats.org/officeDocument/2006/relationships/hyperlink" Target="http://www.trentonian.com/article/TT/20180407/NEWS/180409825" TargetMode="External"/><Relationship Id="rId2998" Type="http://schemas.openxmlformats.org/officeDocument/2006/relationships/hyperlink" Target="http://www.wtoc.com/2018/11/21/bluffton-man-arrested-after-admitting-uploading-child-pornography/" TargetMode="External"/><Relationship Id="rId1668" Type="http://schemas.openxmlformats.org/officeDocument/2006/relationships/hyperlink" Target="https://www.theguardian.com/world/2018/apr/07/vatican-arrests-own-diplomat-on-suspicion-of-child-abuse-images" TargetMode="External"/><Relationship Id="rId2999" Type="http://schemas.openxmlformats.org/officeDocument/2006/relationships/hyperlink" Target="https://www.justice.gov/usao-mdpa/pr/york-county-man-indicted-sex-trafficking" TargetMode="External"/><Relationship Id="rId1669" Type="http://schemas.openxmlformats.org/officeDocument/2006/relationships/hyperlink" Target="https://www.justice.gov/usao-nj/pr/ocean-county-new-jersey-man-charged-distributing-images-child-sexual-abuse" TargetMode="External"/><Relationship Id="rId839" Type="http://schemas.openxmlformats.org/officeDocument/2006/relationships/hyperlink" Target="https://www.courtlistener.com/?q=&amp;type=r&amp;order_by=score+desc&amp;docket_number=5%3A17-cr-00613&amp;court=paed" TargetMode="External"/><Relationship Id="rId838" Type="http://schemas.openxmlformats.org/officeDocument/2006/relationships/hyperlink" Target="https://www.justice.gov/usao-edpa/pr/easton-man-charged-receipt-and-possession-child-pornography" TargetMode="External"/><Relationship Id="rId833" Type="http://schemas.openxmlformats.org/officeDocument/2006/relationships/hyperlink" Target="https://www.justice.gov/usao-wdar/pr/springdale-man-sentenced-over-21-years-federal-prison-online-enticement-minor" TargetMode="External"/><Relationship Id="rId832" Type="http://schemas.openxmlformats.org/officeDocument/2006/relationships/hyperlink" Target="https://www.justice.gov/usao-wdmo/pr/california-man-pleads-guilty-transporting-minor-prostitution" TargetMode="External"/><Relationship Id="rId831" Type="http://schemas.openxmlformats.org/officeDocument/2006/relationships/hyperlink" Target="https://web.archive.org/web/20190321212951/https://www.citizensvoice.com/polopoly_fs/1.2269255.1520696200!/fileImage/httpImage/image.jpg_gen/derivatives/landscape_335/image.jpg" TargetMode="External"/><Relationship Id="rId830" Type="http://schemas.openxmlformats.org/officeDocument/2006/relationships/hyperlink" Target="https://web.archive.org/web/20180112071117/https://www.citizensvoice.com/news/police-child-porn-convict-says-oh-well-downloads-more-1.2269256" TargetMode="External"/><Relationship Id="rId837" Type="http://schemas.openxmlformats.org/officeDocument/2006/relationships/hyperlink" Target="https://www.democratandchronicle.com/story/news/2017/11/21/brockport-kindergarten-teacher-allegedly-possessed-child-porn/887242001/" TargetMode="External"/><Relationship Id="rId836" Type="http://schemas.openxmlformats.org/officeDocument/2006/relationships/hyperlink" Target="https://www.justice.gov/usao-wdny/pr/brockport-kindergarten-teacher-arrested-child-pornography-charges-investigators-looking" TargetMode="External"/><Relationship Id="rId835" Type="http://schemas.openxmlformats.org/officeDocument/2006/relationships/hyperlink" Target="https://www.pnj.com/story/news/crime/2017/11/20/fdle-pensacola-man-had-more-than-200-child-pornography-videos/882524001/" TargetMode="External"/><Relationship Id="rId834" Type="http://schemas.openxmlformats.org/officeDocument/2006/relationships/hyperlink" Target="https://5newsonline.com/2017/11/19/springdale-man-arrested-for-child-sex-trafficking/" TargetMode="External"/><Relationship Id="rId2990" Type="http://schemas.openxmlformats.org/officeDocument/2006/relationships/hyperlink" Target="https://www.justice.gov/usao-ndoh/pr/men-avon-lake-concord-and-ravenna-indicted-child-pornography-crimes" TargetMode="External"/><Relationship Id="rId1660" Type="http://schemas.openxmlformats.org/officeDocument/2006/relationships/hyperlink" Target="https://www.courtlistener.com/docket/6358216/united-states-v-lacey/" TargetMode="External"/><Relationship Id="rId2991" Type="http://schemas.openxmlformats.org/officeDocument/2006/relationships/hyperlink" Target="https://www.courtlistener.com/docket/8169884/united-states-v-mcelhatten/" TargetMode="External"/><Relationship Id="rId1661" Type="http://schemas.openxmlformats.org/officeDocument/2006/relationships/hyperlink" Target="https://www.justice.gov/opa/pr/backpage-s-co-founder-and-ceo-well-several-backpage-related-corporate-entities-enter-guilty" TargetMode="External"/><Relationship Id="rId2992" Type="http://schemas.openxmlformats.org/officeDocument/2006/relationships/hyperlink" Target="https://www.justice.gov/usao-wdmo/pr/joplin-man-charged-child-pornography-0" TargetMode="External"/><Relationship Id="rId1662" Type="http://schemas.openxmlformats.org/officeDocument/2006/relationships/hyperlink" Target="https://www.justice.gov/opa/pr/justice-department-leads-effort-seize-backpagecom-internet-s-leading-forum-prostitution-ads" TargetMode="External"/><Relationship Id="rId2993" Type="http://schemas.openxmlformats.org/officeDocument/2006/relationships/hyperlink" Target="https://www.courtlistener.com/docket/8202823/united-states-v-rehman-bfont-colorreddo-not-file-in-this-case/" TargetMode="External"/><Relationship Id="rId1663" Type="http://schemas.openxmlformats.org/officeDocument/2006/relationships/hyperlink" Target="https://www.courtlistener.com/docket/6358216/united-states-v-lacey/" TargetMode="External"/><Relationship Id="rId2994" Type="http://schemas.openxmlformats.org/officeDocument/2006/relationships/hyperlink" Target="https://www.justice.gov/usao-ak/pr/anchorage-man-charged-possession-child-pornography" TargetMode="External"/><Relationship Id="rId2148" Type="http://schemas.openxmlformats.org/officeDocument/2006/relationships/hyperlink" Target="https://www.justice.gov/usao-nm/pr/previously-convicted-sex-offender-albuquerque-facing-new-federal-child-pornography" TargetMode="External"/><Relationship Id="rId2149" Type="http://schemas.openxmlformats.org/officeDocument/2006/relationships/hyperlink" Target="https://www.justice.gov/usao-nm/pr/previously-convicted-sex-offender-albuquerque-pleads-guilty-federal-child-pornography" TargetMode="External"/><Relationship Id="rId3479" Type="http://schemas.openxmlformats.org/officeDocument/2006/relationships/hyperlink" Target="http://archive.fo/IeaVb" TargetMode="External"/><Relationship Id="rId3470" Type="http://schemas.openxmlformats.org/officeDocument/2006/relationships/hyperlink" Target="https://www.justice.gov/usao-ne/pr/north-platte-man-receives-40-year-sentence-production-child-pornography-0" TargetMode="External"/><Relationship Id="rId2140" Type="http://schemas.openxmlformats.org/officeDocument/2006/relationships/hyperlink" Target="https://www.thedailytimes.com/news/greenback-man-accused-of-soliciting-teen-girl/article_0a8cf3cc-29e1-54be-baeb-e92439f26a67.html" TargetMode="External"/><Relationship Id="rId3472" Type="http://schemas.openxmlformats.org/officeDocument/2006/relationships/hyperlink" Target="https://www.justice.gov/usao-sdfl/pr/martin-county-man-pleads-guilty-producing-videos-sexual-exploitation-minor" TargetMode="External"/><Relationship Id="rId2141" Type="http://schemas.openxmlformats.org/officeDocument/2006/relationships/hyperlink" Target="http://www.thetimesnews.com/news/20180618/burlington-man-faces-drug-prostitution-charges" TargetMode="External"/><Relationship Id="rId3471" Type="http://schemas.openxmlformats.org/officeDocument/2006/relationships/hyperlink" Target="https://www.courtlistener.com/docket/14942363/united-states-v-laplant/" TargetMode="External"/><Relationship Id="rId2142" Type="http://schemas.openxmlformats.org/officeDocument/2006/relationships/hyperlink" Target="https://www.justice.gov/usao-md/pr/former-foreign-service-officer-sentenced-40-years-federal-prison-production-and" TargetMode="External"/><Relationship Id="rId3474" Type="http://schemas.openxmlformats.org/officeDocument/2006/relationships/hyperlink" Target="https://www.justice.gov/usao-ndoh/pr/elyria-man-indicted-child-pornography-charges" TargetMode="External"/><Relationship Id="rId2143" Type="http://schemas.openxmlformats.org/officeDocument/2006/relationships/hyperlink" Target="https://www.courtlistener.com/?q=&amp;type=r&amp;order_by=score+desc&amp;docket_number=1%3A18-cr-00330&amp;court=mdd" TargetMode="External"/><Relationship Id="rId3473" Type="http://schemas.openxmlformats.org/officeDocument/2006/relationships/hyperlink" Target="https://www.courtlistener.com/docket/14846771/united-states-v-austin/" TargetMode="External"/><Relationship Id="rId2144" Type="http://schemas.openxmlformats.org/officeDocument/2006/relationships/hyperlink" Target="https://patch.com/massachusetts/quincy/quincy-man-charged-sex-trafficking" TargetMode="External"/><Relationship Id="rId3476" Type="http://schemas.openxmlformats.org/officeDocument/2006/relationships/hyperlink" Target="https://www.cbp.gov/newsroom/local-media-release/tandem-vehicle-smuggling-attempt-stopped-border-patrol" TargetMode="External"/><Relationship Id="rId2145" Type="http://schemas.openxmlformats.org/officeDocument/2006/relationships/hyperlink" Target="https://www.justice.gov/usao-edpa/pr/philadelphia-man-indicted-child-pornography-charges-0" TargetMode="External"/><Relationship Id="rId3475" Type="http://schemas.openxmlformats.org/officeDocument/2006/relationships/hyperlink" Target="https://www.courtlistener.com/docket/14607552/united-states-v-louk/" TargetMode="External"/><Relationship Id="rId2146" Type="http://schemas.openxmlformats.org/officeDocument/2006/relationships/hyperlink" Target="https://www.courtlistener.com/?q=&amp;type=r&amp;order_by=score+desc&amp;docket_number=2%3A18-cr-00255&amp;court=paed" TargetMode="External"/><Relationship Id="rId3478" Type="http://schemas.openxmlformats.org/officeDocument/2006/relationships/hyperlink" Target="http://archive.fo/vpvIv" TargetMode="External"/><Relationship Id="rId2147" Type="http://schemas.openxmlformats.org/officeDocument/2006/relationships/hyperlink" Target="http://yarmouth.wickedlocal.com/news/20180619/dennis-man-accused-in-human-trafficking-operation" TargetMode="External"/><Relationship Id="rId3477" Type="http://schemas.openxmlformats.org/officeDocument/2006/relationships/hyperlink" Target="https://waynetimes.com/news/palmyra-man-charged-with-production-distribution-receipt-and-possession-of-child-pornography/" TargetMode="External"/><Relationship Id="rId2137" Type="http://schemas.openxmlformats.org/officeDocument/2006/relationships/hyperlink" Target="https://www.wfaa.com/article/news/crime/dallas-couple-at-helm-of-alleged-sex-trafficking-ring-arrested/287-564508594" TargetMode="External"/><Relationship Id="rId3469" Type="http://schemas.openxmlformats.org/officeDocument/2006/relationships/hyperlink" Target="https://www.justice.gov/usao-wdnc/pr/anson-county-man-sentenced-more-13-years-child-pornography" TargetMode="External"/><Relationship Id="rId2138" Type="http://schemas.openxmlformats.org/officeDocument/2006/relationships/hyperlink" Target="https://www.indiatoday.in/movies/regional-cinema/story/indian-couple-arrested-for-running-tollywood-sex-racket-in-us-1260002-2018-06-14" TargetMode="External"/><Relationship Id="rId3468" Type="http://schemas.openxmlformats.org/officeDocument/2006/relationships/hyperlink" Target="https://archive.vn/E3c3p" TargetMode="External"/><Relationship Id="rId4799" Type="http://schemas.openxmlformats.org/officeDocument/2006/relationships/hyperlink" Target="https://www.justice.gov/opa/pr/philadelphia-men-charged-child-sex-trafficking" TargetMode="External"/><Relationship Id="rId2139" Type="http://schemas.openxmlformats.org/officeDocument/2006/relationships/hyperlink" Target="http://www.katc.com/story/38437365/denham-springs-couple-arrested-on-human-trafficking-of-undocumented-immigrants" TargetMode="External"/><Relationship Id="rId4790" Type="http://schemas.openxmlformats.org/officeDocument/2006/relationships/hyperlink" Target="https://archive.vn/wip/b9K8Q" TargetMode="External"/><Relationship Id="rId3461" Type="http://schemas.openxmlformats.org/officeDocument/2006/relationships/hyperlink" Target="https://www.justice.gov/usao-sdoh/pr/west-carrolton-man-sentenced-16-years-prison-receiving-images-sexual-abuse-children" TargetMode="External"/><Relationship Id="rId4792" Type="http://schemas.openxmlformats.org/officeDocument/2006/relationships/hyperlink" Target="https://www.ice.gov/news/releases/ice-brazil-federal-police-arrest-alleged-leader-major-human-smuggling-organization" TargetMode="External"/><Relationship Id="rId2130" Type="http://schemas.openxmlformats.org/officeDocument/2006/relationships/hyperlink" Target="https://www.ice.gov/news/releases/south-texas-man-sentenced-70-months-transporting-illegal-aliens-inside-tractor-trailer" TargetMode="External"/><Relationship Id="rId3460" Type="http://schemas.openxmlformats.org/officeDocument/2006/relationships/hyperlink" Target="https://www.courtlistener.com/docket/14919010/united-states-v-kountze/" TargetMode="External"/><Relationship Id="rId4791" Type="http://schemas.openxmlformats.org/officeDocument/2006/relationships/hyperlink" Target="https://www.justice.gov/usao-edwi/pr/registered-sex-offender-indicted-child-related-sex-crimes" TargetMode="External"/><Relationship Id="rId2131" Type="http://schemas.openxmlformats.org/officeDocument/2006/relationships/hyperlink" Target="http://www.ocala.com/news/20180613/shooting-suspect-now-charged-with-human-trafficking" TargetMode="External"/><Relationship Id="rId3463" Type="http://schemas.openxmlformats.org/officeDocument/2006/relationships/hyperlink" Target="https://archive.vn/i6PZN" TargetMode="External"/><Relationship Id="rId4794" Type="http://schemas.openxmlformats.org/officeDocument/2006/relationships/hyperlink" Target="https://archive.vn/wip/cbR9N" TargetMode="External"/><Relationship Id="rId2132" Type="http://schemas.openxmlformats.org/officeDocument/2006/relationships/hyperlink" Target="http://www.stegenherald.com/news/st-louis-man-arrested-in-county-for-patronizing-prostitution-with/article_885ecee4-6fde-11e8-99ec-ff9e761148e1.html" TargetMode="External"/><Relationship Id="rId3462" Type="http://schemas.openxmlformats.org/officeDocument/2006/relationships/hyperlink" Target="https://www.wowt.com/2020/08/13/lincoln-man-convicted-on-four-counts-in-sex-trafficking-case/" TargetMode="External"/><Relationship Id="rId4793" Type="http://schemas.openxmlformats.org/officeDocument/2006/relationships/hyperlink" Target="https://cis.org/Bensman/Iranian-Migrants-Busted-Iran-Threatens-Hit-US-Assassinating-Top-General" TargetMode="External"/><Relationship Id="rId2133" Type="http://schemas.openxmlformats.org/officeDocument/2006/relationships/hyperlink" Target="http://www.altoonamirror.com/news/local-news/2018/06/child-porn-ring-suspects-arrested/" TargetMode="External"/><Relationship Id="rId3465" Type="http://schemas.openxmlformats.org/officeDocument/2006/relationships/hyperlink" Target="https://www.justice.gov/usao-ndwv/pr/ohio-county-man-admits-child-pornography-charge-0" TargetMode="External"/><Relationship Id="rId4796" Type="http://schemas.openxmlformats.org/officeDocument/2006/relationships/hyperlink" Target="https://www.tampabay.com/news/crime/2020/10/21/former-st-pete-cop-gets-8-years-for-child-porn/" TargetMode="External"/><Relationship Id="rId2134" Type="http://schemas.openxmlformats.org/officeDocument/2006/relationships/hyperlink" Target="https://www.justice.gov/usao-ndny/pr/men-plead-guilty-transportation-illegal-aliens" TargetMode="External"/><Relationship Id="rId3464" Type="http://schemas.openxmlformats.org/officeDocument/2006/relationships/hyperlink" Target="https://archive.vn/h4aY6" TargetMode="External"/><Relationship Id="rId4795" Type="http://schemas.openxmlformats.org/officeDocument/2006/relationships/hyperlink" Target="https://www.justice.gov/usao-mdfl/pr/former-police-officer-sentenced-8-years-distribution-and-possession-child-pornography" TargetMode="External"/><Relationship Id="rId2135" Type="http://schemas.openxmlformats.org/officeDocument/2006/relationships/hyperlink" Target="https://www.courtlistener.com/?q=&amp;type=r&amp;order_by=score+desc&amp;docket_number=8%3A18-cr-00327&amp;court=nynd" TargetMode="External"/><Relationship Id="rId3467" Type="http://schemas.openxmlformats.org/officeDocument/2006/relationships/hyperlink" Target="https://archive.vn/KU9DV" TargetMode="External"/><Relationship Id="rId4798" Type="http://schemas.openxmlformats.org/officeDocument/2006/relationships/hyperlink" Target="https://archive.vn/6WoAM" TargetMode="External"/><Relationship Id="rId2136" Type="http://schemas.openxmlformats.org/officeDocument/2006/relationships/hyperlink" Target="https://www.ice.gov/news/releases/47-illegal-aliens-discovered-south-texas-human-smuggler-stash-house" TargetMode="External"/><Relationship Id="rId3466" Type="http://schemas.openxmlformats.org/officeDocument/2006/relationships/hyperlink" Target="https://www.ice.gov/news/releases/chicago-area-woman-pleads-guilty-federal-labor-trafficking" TargetMode="External"/><Relationship Id="rId4797" Type="http://schemas.openxmlformats.org/officeDocument/2006/relationships/hyperlink" Target="https://archive.vn/wip/7Y3Bt" TargetMode="External"/><Relationship Id="rId3490" Type="http://schemas.openxmlformats.org/officeDocument/2006/relationships/hyperlink" Target="https://www.justice.gov/usao-sdga/pr/appling-man-indicted-possession-child-pornography" TargetMode="External"/><Relationship Id="rId2160" Type="http://schemas.openxmlformats.org/officeDocument/2006/relationships/hyperlink" Target="http://www.foxcarolina.com/story/38480743/sc-atty-general-pickens-co-man-arrested-on-child-porn-charge" TargetMode="External"/><Relationship Id="rId3492" Type="http://schemas.openxmlformats.org/officeDocument/2006/relationships/hyperlink" Target="https://www.justice.gov/usao-ct/pr/stamford-man-sentenced-8-years-distributing-images-child-sexual-abuse-other-offenses" TargetMode="External"/><Relationship Id="rId2161" Type="http://schemas.openxmlformats.org/officeDocument/2006/relationships/hyperlink" Target="https://www.justice.gov/usao-ndtx/pr/ndtx-round-february-18" TargetMode="External"/><Relationship Id="rId3491" Type="http://schemas.openxmlformats.org/officeDocument/2006/relationships/hyperlink" Target="https://www.cbp.gov/newsroom/local-media-release/human-smuggling-attempt-semi-tractor-trailer-thwarted-bp-checkpoint" TargetMode="External"/><Relationship Id="rId2162" Type="http://schemas.openxmlformats.org/officeDocument/2006/relationships/hyperlink" Target="http://myfox28columbus.com/news/local/prositution-bust-on-west-side-nets-hookers-and-johns" TargetMode="External"/><Relationship Id="rId3494" Type="http://schemas.openxmlformats.org/officeDocument/2006/relationships/hyperlink" Target="http://archive.fo/leTww" TargetMode="External"/><Relationship Id="rId2163" Type="http://schemas.openxmlformats.org/officeDocument/2006/relationships/hyperlink" Target="http://www.journal-news.net/news/local-news/2018/06/local-man-hit-with-prostitution-charge/" TargetMode="External"/><Relationship Id="rId3493" Type="http://schemas.openxmlformats.org/officeDocument/2006/relationships/hyperlink" Target="https://lex18.com/news/covering-kentucky/2019/03/09/boyle-co-pair-indicted-on-child-porn-charges/" TargetMode="External"/><Relationship Id="rId2164" Type="http://schemas.openxmlformats.org/officeDocument/2006/relationships/hyperlink" Target="http://www.goerie.com/news/20180627/erie-man-charged-in-federal-sextortion-case" TargetMode="External"/><Relationship Id="rId3496" Type="http://schemas.openxmlformats.org/officeDocument/2006/relationships/hyperlink" Target="http://archive.fo/q1TfB" TargetMode="External"/><Relationship Id="rId2165" Type="http://schemas.openxmlformats.org/officeDocument/2006/relationships/hyperlink" Target="https://www.justice.gov/usao-ndny/pr/amsterdam-man-pleads-guilty-child-pornography-charges" TargetMode="External"/><Relationship Id="rId3495" Type="http://schemas.openxmlformats.org/officeDocument/2006/relationships/hyperlink" Target="http://archive.fo/79gIA" TargetMode="External"/><Relationship Id="rId2166" Type="http://schemas.openxmlformats.org/officeDocument/2006/relationships/hyperlink" Target="https://www.justice.gov/usao-ndny/pr/amsterdam-man-sentenced-child-pornography-charges" TargetMode="External"/><Relationship Id="rId3498" Type="http://schemas.openxmlformats.org/officeDocument/2006/relationships/hyperlink" Target="https://www.courtlistener.com/?q=&amp;type=r&amp;order_by=score+desc&amp;docket_number=1%3A19-cr-00074&amp;court=nynd" TargetMode="External"/><Relationship Id="rId2167" Type="http://schemas.openxmlformats.org/officeDocument/2006/relationships/hyperlink" Target="https://www.local10.com/news/florida/broward/broward-county-middle-school-teacher-arrested-on-child-pornography-charges" TargetMode="External"/><Relationship Id="rId3497" Type="http://schemas.openxmlformats.org/officeDocument/2006/relationships/hyperlink" Target="https://www.justice.gov/usao-ndny/pr/rensselaer-man-sentenced-20-years-distribution-and-receipt-child-pornography" TargetMode="External"/><Relationship Id="rId2168" Type="http://schemas.openxmlformats.org/officeDocument/2006/relationships/hyperlink" Target="https://www.justice.gov/usao-ndny/pr/watervliet-man-sentenced-15-years-sexually-exploiting-child-0" TargetMode="External"/><Relationship Id="rId2169" Type="http://schemas.openxmlformats.org/officeDocument/2006/relationships/hyperlink" Target="https://www.justice.gov/usao-sd/pr/rapid-city-man-indicted-internet-transfer-obscene-material" TargetMode="External"/><Relationship Id="rId3499" Type="http://schemas.openxmlformats.org/officeDocument/2006/relationships/hyperlink" Target="https://www.justice.gov/usao-sdms/pr/ex-keesler-airman-sentenced-over-ten-years-federal-prison-child-pornography-0" TargetMode="External"/><Relationship Id="rId2159" Type="http://schemas.openxmlformats.org/officeDocument/2006/relationships/hyperlink" Target="http://veronews.com/2018/06/21/man-arrested-20-counts-child-pornography/" TargetMode="External"/><Relationship Id="rId3481" Type="http://schemas.openxmlformats.org/officeDocument/2006/relationships/hyperlink" Target="https://www.courtlistener.com/docket/14622160/united-states-v-ratcliffe/" TargetMode="External"/><Relationship Id="rId2150" Type="http://schemas.openxmlformats.org/officeDocument/2006/relationships/hyperlink" Target="https://www.wkrn.com/news/crime-tracker/east-tennessee-man-arrested-on-child-porn-charges/1257260990" TargetMode="External"/><Relationship Id="rId3480" Type="http://schemas.openxmlformats.org/officeDocument/2006/relationships/hyperlink" Target="https://www.justice.gov/usao-mdfl/pr/pinellas-county-man-sentenced-more-nine-years-receiving-and-possessing-child-sex-abuse" TargetMode="External"/><Relationship Id="rId2151" Type="http://schemas.openxmlformats.org/officeDocument/2006/relationships/hyperlink" Target="https://www.azcentral.com/story/news/local/arizona-breaking/2018/06/19/arizona-border-agents-find-18-migrants-being-smuggled-box-truck/716822002/" TargetMode="External"/><Relationship Id="rId3483" Type="http://schemas.openxmlformats.org/officeDocument/2006/relationships/hyperlink" Target="https://www.courtlistener.com/docket/14758349/united-states-v-moran/" TargetMode="External"/><Relationship Id="rId2152" Type="http://schemas.openxmlformats.org/officeDocument/2006/relationships/hyperlink" Target="https://www.wpxi.com/news/top-stories/2-men-facing-charges-in-connection-with-sex-trafficking-case-1/771678792" TargetMode="External"/><Relationship Id="rId3482" Type="http://schemas.openxmlformats.org/officeDocument/2006/relationships/hyperlink" Target="https://www.justice.gov/usao-mdfl/pr/jacksonville-man-arrested-and-charged-soliciting-child-pornography-internet-blog" TargetMode="External"/><Relationship Id="rId2153" Type="http://schemas.openxmlformats.org/officeDocument/2006/relationships/hyperlink" Target="https://apnews.com/ee7bcc19acbd4a13aff7bcbf04f3cfcd/5-charged-in-'smuggling-scheme'-after-fatal-crash-in-Texas" TargetMode="External"/><Relationship Id="rId3485" Type="http://schemas.openxmlformats.org/officeDocument/2006/relationships/hyperlink" Target="https://www.courtlistener.com/docket/14872078/united-states-v-yoeun/" TargetMode="External"/><Relationship Id="rId2154" Type="http://schemas.openxmlformats.org/officeDocument/2006/relationships/hyperlink" Target="https://www.cbp.gov/newsroom/local-media-release/border-patrol-agents-find-18-illegal-aliens-inside-utility-truck" TargetMode="External"/><Relationship Id="rId3484" Type="http://schemas.openxmlformats.org/officeDocument/2006/relationships/hyperlink" Target="https://www.justice.gov/usao-wdwa/pr/active-duty-soldier-jblm-arrested-charges-he-traveled-foreign-country-sex-children" TargetMode="External"/><Relationship Id="rId2155" Type="http://schemas.openxmlformats.org/officeDocument/2006/relationships/hyperlink" Target="https://www.ice.gov/news/releases/federal-criminal-complaint-filed-against-driver-and-4-others-involved-south-texas" TargetMode="External"/><Relationship Id="rId3487" Type="http://schemas.openxmlformats.org/officeDocument/2006/relationships/hyperlink" Target="https://www.justice.gov/usao-ndal/pr/alabama-man-indicted-allegedly-producing-child-pornography" TargetMode="External"/><Relationship Id="rId2156" Type="http://schemas.openxmlformats.org/officeDocument/2006/relationships/hyperlink" Target="http://ktxs.com/news/abilene/apd-arrest-8-in-undercover-sting" TargetMode="External"/><Relationship Id="rId3486" Type="http://schemas.openxmlformats.org/officeDocument/2006/relationships/hyperlink" Target="https://www.courtlistener.com/docket/14623515/united-states-v-edwards/" TargetMode="External"/><Relationship Id="rId2157" Type="http://schemas.openxmlformats.org/officeDocument/2006/relationships/hyperlink" Target="https://www.courierpostonline.com/story/news/crime/2018/06/19/tony-davis-camden-sex-trafficking-washington-twp/716604002/" TargetMode="External"/><Relationship Id="rId3489" Type="http://schemas.openxmlformats.org/officeDocument/2006/relationships/hyperlink" Target="https://www.justice.gov/usao-sdia/pr/iowa-city-man-sentenced-federal-prison-receipt-child-pornography" TargetMode="External"/><Relationship Id="rId2158" Type="http://schemas.openxmlformats.org/officeDocument/2006/relationships/hyperlink" Target="https://www.justice.gov/usao-cdca/pr/former-orange-county-social-worker-pleads-guilty-federal-charge-he-distributed-child" TargetMode="External"/><Relationship Id="rId3488" Type="http://schemas.openxmlformats.org/officeDocument/2006/relationships/hyperlink" Target="https://www.cbp.gov/newsroom/local-media-release/border-patrol-disrupts-alien-smuggling-event-upstate-new-york" TargetMode="External"/><Relationship Id="rId2104" Type="http://schemas.openxmlformats.org/officeDocument/2006/relationships/hyperlink" Target="https://www.justice.gov/usao-ks/pr/indictments-five-massage-parlor-operators-were-engaged-prostitution" TargetMode="External"/><Relationship Id="rId3436" Type="http://schemas.openxmlformats.org/officeDocument/2006/relationships/hyperlink" Target="https://patch.com/new-york/bayshore/11-long-islanders-charged-human-trafficking-takedown" TargetMode="External"/><Relationship Id="rId4767" Type="http://schemas.openxmlformats.org/officeDocument/2006/relationships/hyperlink" Target="https://www.justice.gov/usao-sd/pr/sioux-falls-man-charged-receipt-distribution-and-transportation-child-pornography" TargetMode="External"/><Relationship Id="rId2105" Type="http://schemas.openxmlformats.org/officeDocument/2006/relationships/hyperlink" Target="http://www.hutchpost.com/5-indicted-in-multi-million-dollar-kansas-prostitution-bust/" TargetMode="External"/><Relationship Id="rId3435" Type="http://schemas.openxmlformats.org/officeDocument/2006/relationships/hyperlink" Target="https://www.justice.gov/usao-sdny/pr/us-attorney-announces-charges-against-11-defendants-sex-trafficking-and-related" TargetMode="External"/><Relationship Id="rId4766" Type="http://schemas.openxmlformats.org/officeDocument/2006/relationships/hyperlink" Target="https://www.justice.gov/usao-wdok/pr/oklahoma-city-man-convicted-child-sex-trafficking" TargetMode="External"/><Relationship Id="rId2106" Type="http://schemas.openxmlformats.org/officeDocument/2006/relationships/hyperlink" Target="https://www.courtlistener.com/docket/7054356/united-states-v-li/" TargetMode="External"/><Relationship Id="rId3438" Type="http://schemas.openxmlformats.org/officeDocument/2006/relationships/hyperlink" Target="http://archive.fo/tTwI9" TargetMode="External"/><Relationship Id="rId4769" Type="http://schemas.openxmlformats.org/officeDocument/2006/relationships/hyperlink" Target="https://www.justice.gov/usao-ks/pr/high-school-coach-topeka-charged-sexual-exploitation-minors" TargetMode="External"/><Relationship Id="rId2107" Type="http://schemas.openxmlformats.org/officeDocument/2006/relationships/hyperlink" Target="http://archive.fo/70fEX" TargetMode="External"/><Relationship Id="rId3437" Type="http://schemas.openxmlformats.org/officeDocument/2006/relationships/hyperlink" Target="https://www.courtlistener.com/?q=&amp;type=r&amp;order_by=score+desc&amp;docket_number=1%3A19-cr-00131&amp;court=nysd" TargetMode="External"/><Relationship Id="rId4768" Type="http://schemas.openxmlformats.org/officeDocument/2006/relationships/hyperlink" Target="https://www.justice.gov/usao-md/pr/baltimore-man-indicted-federal-charges-possession-and-distribution-child-pornography" TargetMode="External"/><Relationship Id="rId2108" Type="http://schemas.openxmlformats.org/officeDocument/2006/relationships/hyperlink" Target="https://www.cbp.gov/newsroom/local-media-release/laredo-sector-border-patrol-agents-stop-smuggling-event-involving-eight" TargetMode="External"/><Relationship Id="rId2109" Type="http://schemas.openxmlformats.org/officeDocument/2006/relationships/hyperlink" Target="https://www.cbp.gov/newsroom/local-media-release/two-united-states-citizens-arrested-human-smuggling-border-patrol" TargetMode="External"/><Relationship Id="rId3439" Type="http://schemas.openxmlformats.org/officeDocument/2006/relationships/hyperlink" Target="https://www.justice.gov/usao-sdny/pr/us-attorney-announces-charges-against-11-defendants-sex-trafficking-and-related" TargetMode="External"/><Relationship Id="rId3430" Type="http://schemas.openxmlformats.org/officeDocument/2006/relationships/hyperlink" Target="http://archive.fo/tTwI9" TargetMode="External"/><Relationship Id="rId4761" Type="http://schemas.openxmlformats.org/officeDocument/2006/relationships/hyperlink" Target="https://www.justice.gov/usao-ri/pr/south-kingstown-man-ordered-home-confinement-child-pornography-charges" TargetMode="External"/><Relationship Id="rId4760" Type="http://schemas.openxmlformats.org/officeDocument/2006/relationships/hyperlink" Target="https://www.justice.gov/usao-wdny/pr/north-tonawanda-man-charged-possession-child-pornography" TargetMode="External"/><Relationship Id="rId2100" Type="http://schemas.openxmlformats.org/officeDocument/2006/relationships/hyperlink" Target="https://www.justice.gov/usao-ks/pr/indictments-five-massage-parlor-operators-were-engaged-prostitution" TargetMode="External"/><Relationship Id="rId3432" Type="http://schemas.openxmlformats.org/officeDocument/2006/relationships/hyperlink" Target="https://patch.com/new-york/bayshore/11-long-islanders-charged-human-trafficking-takedown" TargetMode="External"/><Relationship Id="rId4763" Type="http://schemas.openxmlformats.org/officeDocument/2006/relationships/hyperlink" Target="https://www.cbp.gov/newsroom/local-media-release/el-paso-sector-september-stash-house-busts" TargetMode="External"/><Relationship Id="rId2101" Type="http://schemas.openxmlformats.org/officeDocument/2006/relationships/hyperlink" Target="http://www.hutchpost.com/5-indicted-in-multi-million-dollar-kansas-prostitution-bust/" TargetMode="External"/><Relationship Id="rId3431" Type="http://schemas.openxmlformats.org/officeDocument/2006/relationships/hyperlink" Target="https://www.justice.gov/usao-sdny/pr/us-attorney-announces-charges-against-11-defendants-sex-trafficking-and-related" TargetMode="External"/><Relationship Id="rId4762" Type="http://schemas.openxmlformats.org/officeDocument/2006/relationships/hyperlink" Target="https://www.ice.gov/news/releases/ice-local-law-enforcement-agencies-announce-results-operation-targeting-sex" TargetMode="External"/><Relationship Id="rId2102" Type="http://schemas.openxmlformats.org/officeDocument/2006/relationships/hyperlink" Target="https://www.courtlistener.com/docket/7054356/united-states-v-li/" TargetMode="External"/><Relationship Id="rId3434" Type="http://schemas.openxmlformats.org/officeDocument/2006/relationships/hyperlink" Target="http://archive.fo/tTwI9" TargetMode="External"/><Relationship Id="rId4765" Type="http://schemas.openxmlformats.org/officeDocument/2006/relationships/hyperlink" Target="https://www.justice.gov/usao-ndia/pr/belle-plaine-man-pleads-guilty-accessing-child-pornography" TargetMode="External"/><Relationship Id="rId2103" Type="http://schemas.openxmlformats.org/officeDocument/2006/relationships/hyperlink" Target="http://archive.fo/70fEX" TargetMode="External"/><Relationship Id="rId3433" Type="http://schemas.openxmlformats.org/officeDocument/2006/relationships/hyperlink" Target="https://www.courtlistener.com/?q=&amp;type=r&amp;order_by=score+desc&amp;docket_number=1%3A19-cr-00131&amp;court=nysd" TargetMode="External"/><Relationship Id="rId4764" Type="http://schemas.openxmlformats.org/officeDocument/2006/relationships/hyperlink" Target="https://www.cbp.gov/newsroom/local-media-release/el-centro-sector-agents-arrest-34-two-separate-smuggling-events" TargetMode="External"/><Relationship Id="rId3425" Type="http://schemas.openxmlformats.org/officeDocument/2006/relationships/hyperlink" Target="https://www.courtlistener.com/?q=&amp;type=r&amp;order_by=score+desc&amp;docket_number=1%3A19-cr-00131&amp;court=nysd" TargetMode="External"/><Relationship Id="rId4756" Type="http://schemas.openxmlformats.org/officeDocument/2006/relationships/hyperlink" Target="https://www.justice.gov/usao-ndny/pr/cayuga-county-man-charged-receipt-child-pornography-and-possession-firearm-felon" TargetMode="External"/><Relationship Id="rId3424" Type="http://schemas.openxmlformats.org/officeDocument/2006/relationships/hyperlink" Target="https://patch.com/new-york/bayshore/11-long-islanders-charged-human-trafficking-takedown" TargetMode="External"/><Relationship Id="rId4755" Type="http://schemas.openxmlformats.org/officeDocument/2006/relationships/hyperlink" Target="https://archive.vn/wip/fcXQ6" TargetMode="External"/><Relationship Id="rId3427" Type="http://schemas.openxmlformats.org/officeDocument/2006/relationships/hyperlink" Target="https://www.justice.gov/usao-sdny/pr/us-attorney-announces-charges-against-11-defendants-sex-trafficking-and-related" TargetMode="External"/><Relationship Id="rId4758" Type="http://schemas.openxmlformats.org/officeDocument/2006/relationships/hyperlink" Target="https://www.justice.gov/usao-ri/pr/registered-sex-offender-detained-solicitation-child-pornography-charges" TargetMode="External"/><Relationship Id="rId3426" Type="http://schemas.openxmlformats.org/officeDocument/2006/relationships/hyperlink" Target="http://archive.fo/tTwI9" TargetMode="External"/><Relationship Id="rId4757" Type="http://schemas.openxmlformats.org/officeDocument/2006/relationships/hyperlink" Target="https://www.cbp.gov/newsroom/local-media-release/smuggling-attempts-continue-fail" TargetMode="External"/><Relationship Id="rId3429" Type="http://schemas.openxmlformats.org/officeDocument/2006/relationships/hyperlink" Target="https://www.courtlistener.com/?q=&amp;type=r&amp;order_by=score+desc&amp;docket_number=1%3A19-cr-00131&amp;court=nysd" TargetMode="External"/><Relationship Id="rId3428" Type="http://schemas.openxmlformats.org/officeDocument/2006/relationships/hyperlink" Target="https://patch.com/new-york/bayshore/11-long-islanders-charged-human-trafficking-takedown" TargetMode="External"/><Relationship Id="rId4759" Type="http://schemas.openxmlformats.org/officeDocument/2006/relationships/hyperlink" Target="https://www.ice.gov/news/releases/ice-joins-law-enforcement-making-numerous-arrests-related-child-sexual-exploitation" TargetMode="External"/><Relationship Id="rId899" Type="http://schemas.openxmlformats.org/officeDocument/2006/relationships/hyperlink" Target="https://patch.com/maryland/perryhall/kingsville-child-pornographer-admitted-online-crimes" TargetMode="External"/><Relationship Id="rId898" Type="http://schemas.openxmlformats.org/officeDocument/2006/relationships/hyperlink" Target="https://www.justice.gov/usao-md/pr/baltimore-county-man-who-enticed-children-send-him-sexually-explicit-videos-themselves-0" TargetMode="External"/><Relationship Id="rId897" Type="http://schemas.openxmlformats.org/officeDocument/2006/relationships/hyperlink" Target="https://www.courtlistener.com/docket/7550179/united-states-v-spears/" TargetMode="External"/><Relationship Id="rId896" Type="http://schemas.openxmlformats.org/officeDocument/2006/relationships/hyperlink" Target="https://www.bustedmugshots.com/tennessee/chattanooga/dustin-ray-spears/208648812" TargetMode="External"/><Relationship Id="rId891" Type="http://schemas.openxmlformats.org/officeDocument/2006/relationships/hyperlink" Target="https://www.justice.gov/usao-ne/pr/lincoln-man-sentenced-possession-child-pornography-3" TargetMode="External"/><Relationship Id="rId890" Type="http://schemas.openxmlformats.org/officeDocument/2006/relationships/hyperlink" Target="https://www.courtlistener.com/docket/7090009/united-states-v-mcmahill/" TargetMode="External"/><Relationship Id="rId4750" Type="http://schemas.openxmlformats.org/officeDocument/2006/relationships/hyperlink" Target="https://archive.vn/WBEtc" TargetMode="External"/><Relationship Id="rId895" Type="http://schemas.openxmlformats.org/officeDocument/2006/relationships/hyperlink" Target="https://www.justice.gov/usao-wdla/pr/tennessee-man-sentenced-more-8-years-receiving-child-pornography-louisiana-minor" TargetMode="External"/><Relationship Id="rId3421" Type="http://schemas.openxmlformats.org/officeDocument/2006/relationships/hyperlink" Target="https://www.courtlistener.com/?q=&amp;type=r&amp;order_by=score+desc&amp;docket_number=1%3A19-cr-00131&amp;court=nysd" TargetMode="External"/><Relationship Id="rId4752" Type="http://schemas.openxmlformats.org/officeDocument/2006/relationships/hyperlink" Target="https://www.justice.gov/usao-mdpa/pr/pike-county-man-charged-production-child-pornography" TargetMode="External"/><Relationship Id="rId894" Type="http://schemas.openxmlformats.org/officeDocument/2006/relationships/hyperlink" Target="https://www.courtlistener.com/docket/6894732/united-states-v-gomez-sandoval/" TargetMode="External"/><Relationship Id="rId3420" Type="http://schemas.openxmlformats.org/officeDocument/2006/relationships/hyperlink" Target="https://patch.com/new-york/bayshore/11-long-islanders-charged-human-trafficking-takedown" TargetMode="External"/><Relationship Id="rId4751" Type="http://schemas.openxmlformats.org/officeDocument/2006/relationships/hyperlink" Target="https://archive.vn/z6i5V/image" TargetMode="External"/><Relationship Id="rId893" Type="http://schemas.openxmlformats.org/officeDocument/2006/relationships/hyperlink" Target="https://www.justice.gov/usao-id/pr/gooding-man-sentenced-20-years-prison-distribution-child-pornography" TargetMode="External"/><Relationship Id="rId3423" Type="http://schemas.openxmlformats.org/officeDocument/2006/relationships/hyperlink" Target="https://www.justice.gov/usao-sdny/pr/us-attorney-announces-charges-against-11-defendants-sex-trafficking-and-related" TargetMode="External"/><Relationship Id="rId4754" Type="http://schemas.openxmlformats.org/officeDocument/2006/relationships/hyperlink" Target="https://archive.vn/wip/32pNP" TargetMode="External"/><Relationship Id="rId892" Type="http://schemas.openxmlformats.org/officeDocument/2006/relationships/hyperlink" Target="https://www.courtlistener.com/docket/6271583/united-states-v-dugan/" TargetMode="External"/><Relationship Id="rId3422" Type="http://schemas.openxmlformats.org/officeDocument/2006/relationships/hyperlink" Target="http://archive.fo/tTwI9" TargetMode="External"/><Relationship Id="rId4753" Type="http://schemas.openxmlformats.org/officeDocument/2006/relationships/hyperlink" Target="https://www.wnep.com/article/news/local/pike-county/child-pornography-abuse-lords-valley/523-a4c3c644-1a72-4008-b8d0-581005349fbf" TargetMode="External"/><Relationship Id="rId2126" Type="http://schemas.openxmlformats.org/officeDocument/2006/relationships/hyperlink" Target="https://www.wbay.com/content/news/Sheboygan-man-indicted-for-making-child-porn-in-Philippines-485384541.html" TargetMode="External"/><Relationship Id="rId3458" Type="http://schemas.openxmlformats.org/officeDocument/2006/relationships/hyperlink" Target="https://archive.vn/UlFRs" TargetMode="External"/><Relationship Id="rId4789" Type="http://schemas.openxmlformats.org/officeDocument/2006/relationships/hyperlink" Target="https://archive.vn/wip/Zk5Wa" TargetMode="External"/><Relationship Id="rId2127" Type="http://schemas.openxmlformats.org/officeDocument/2006/relationships/hyperlink" Target="http://archive.fo/6KIbo" TargetMode="External"/><Relationship Id="rId3457" Type="http://schemas.openxmlformats.org/officeDocument/2006/relationships/hyperlink" Target="https://archive.vn/wip/4402K" TargetMode="External"/><Relationship Id="rId4788" Type="http://schemas.openxmlformats.org/officeDocument/2006/relationships/hyperlink" Target="https://www.foxnews.com/us/texas-marshals-fugitive-molesting-6-month-old" TargetMode="External"/><Relationship Id="rId2128" Type="http://schemas.openxmlformats.org/officeDocument/2006/relationships/hyperlink" Target="http://archive.fo/DdHkw" TargetMode="External"/><Relationship Id="rId2129" Type="http://schemas.openxmlformats.org/officeDocument/2006/relationships/hyperlink" Target="http://www.krgv.com/story/38429970/man-charged-with-smuggling-previously-convicted-for-same-crime" TargetMode="External"/><Relationship Id="rId3459" Type="http://schemas.openxmlformats.org/officeDocument/2006/relationships/hyperlink" Target="https://www.justice.gov/usao-ne/pr/omaha-man-sentenced-66-months-distributing-child-pornography" TargetMode="External"/><Relationship Id="rId3450" Type="http://schemas.openxmlformats.org/officeDocument/2006/relationships/hyperlink" Target="https://www.courtlistener.com/docket/14586870/united-states-v-tercero/" TargetMode="External"/><Relationship Id="rId4781" Type="http://schemas.openxmlformats.org/officeDocument/2006/relationships/hyperlink" Target="https://www.jacksonville.com/story/news/crime/2020/08/19/council-president-hazouris-son-arrested-child-porn-charges/5614210002/" TargetMode="External"/><Relationship Id="rId4780" Type="http://schemas.openxmlformats.org/officeDocument/2006/relationships/hyperlink" Target="https://www.justice.gov/usao-mdfl/pr/jacksonville-elementary-school-teacher-arrested-and-charged-distribution-child-sexual" TargetMode="External"/><Relationship Id="rId2120" Type="http://schemas.openxmlformats.org/officeDocument/2006/relationships/hyperlink" Target="https://www.ice.gov/news/releases/more-50-illegal-aliens-discovered-inside-tractor-trailer-san-antonio" TargetMode="External"/><Relationship Id="rId3452" Type="http://schemas.openxmlformats.org/officeDocument/2006/relationships/hyperlink" Target="https://www.justice.gov/usao-mdfl/pr/fort-myers-man-sentenced-more-six-years-possessing-child-sex-abuse-images-and-videos" TargetMode="External"/><Relationship Id="rId4783" Type="http://schemas.openxmlformats.org/officeDocument/2006/relationships/hyperlink" Target="https://archive.vn/CiQyf" TargetMode="External"/><Relationship Id="rId2121" Type="http://schemas.openxmlformats.org/officeDocument/2006/relationships/hyperlink" Target="https://www.justice.gov/usao-nj/pr/atlantic-county-new-jersey-man-arrested-child-pornography-charges" TargetMode="External"/><Relationship Id="rId3451" Type="http://schemas.openxmlformats.org/officeDocument/2006/relationships/hyperlink" Target="https://www.cbp.gov/newsroom/local-media-release/yuma-sector-canine-team-halts-human-smuggling-attempt" TargetMode="External"/><Relationship Id="rId4782" Type="http://schemas.openxmlformats.org/officeDocument/2006/relationships/hyperlink" Target="https://archive.vn/wip/1WaXB" TargetMode="External"/><Relationship Id="rId2122" Type="http://schemas.openxmlformats.org/officeDocument/2006/relationships/hyperlink" Target="https://www.justice.gov/usao-nj/pr/atlantic-county-new-jersey-man-admits-distributing-images-child-sexual-abuse" TargetMode="External"/><Relationship Id="rId3454" Type="http://schemas.openxmlformats.org/officeDocument/2006/relationships/hyperlink" Target="https://www.justice.gov/usao-ndwv/pr/fairmont-man-admits-child-pornography-charge" TargetMode="External"/><Relationship Id="rId4785" Type="http://schemas.openxmlformats.org/officeDocument/2006/relationships/hyperlink" Target="https://www.justice.gov/usao-md/pr/baltimore-man-facing-federal-indictment-production-child-pornography" TargetMode="External"/><Relationship Id="rId2123" Type="http://schemas.openxmlformats.org/officeDocument/2006/relationships/hyperlink" Target="https://www.justice.gov/usao-nv/pr/las-vegas-man-sentenced-nearly-18-years-prison-child-sexual-exploitation-and-possession" TargetMode="External"/><Relationship Id="rId3453" Type="http://schemas.openxmlformats.org/officeDocument/2006/relationships/hyperlink" Target="https://www.justice.gov/usao-ma/pr/southampton-man-pleads-guilty-child-pornography-offenses" TargetMode="External"/><Relationship Id="rId4784" Type="http://schemas.openxmlformats.org/officeDocument/2006/relationships/hyperlink" Target="https://www.justice.gov/usao-edmo/pr/grand-jury-indicts-pevely-man-production-child-pornography" TargetMode="External"/><Relationship Id="rId2124" Type="http://schemas.openxmlformats.org/officeDocument/2006/relationships/hyperlink" Target="https://www.courtlistener.com/docket/8153371/united-states-v-salzer/" TargetMode="External"/><Relationship Id="rId3456" Type="http://schemas.openxmlformats.org/officeDocument/2006/relationships/hyperlink" Target="https://www.timesleader.com/news/799024/sugarloaf-man-gets-federal-prison-in-child-porn-case" TargetMode="External"/><Relationship Id="rId4787" Type="http://schemas.openxmlformats.org/officeDocument/2006/relationships/hyperlink" Target="https://www.usmarshals.gov/news/chron/2020/091020.htm" TargetMode="External"/><Relationship Id="rId2125" Type="http://schemas.openxmlformats.org/officeDocument/2006/relationships/hyperlink" Target="https://www.justice.gov/news?f%5B0%5D=field_pr_date%3A2019&amp;f%5B1%5D=field_pr_topic%3A1201" TargetMode="External"/><Relationship Id="rId3455" Type="http://schemas.openxmlformats.org/officeDocument/2006/relationships/hyperlink" Target="https://www.justice.gov/usao-mdpa/pr/luzerne-county-man-sentenced-five-years-imprisonment-receiving-child-pornography" TargetMode="External"/><Relationship Id="rId4786" Type="http://schemas.openxmlformats.org/officeDocument/2006/relationships/hyperlink" Target="https://www.justice.gov/usao-ndia/pr/belle-plaine-man-charged-distributing-receiving-and-accessing-child-pornography" TargetMode="External"/><Relationship Id="rId2115" Type="http://schemas.openxmlformats.org/officeDocument/2006/relationships/hyperlink" Target="http://archive.fo/hKXCT" TargetMode="External"/><Relationship Id="rId3447" Type="http://schemas.openxmlformats.org/officeDocument/2006/relationships/hyperlink" Target="https://www.justice.gov/usao-ndal/pr/bessemer-man-pleads-guilty-child-pornography-charges" TargetMode="External"/><Relationship Id="rId4778" Type="http://schemas.openxmlformats.org/officeDocument/2006/relationships/hyperlink" Target="https://www.justice.gov/usao-edca/pr/clovis-man-charged-attempted-online-enticement-minor-engage-illegal-sex-acts-and" TargetMode="External"/><Relationship Id="rId2116" Type="http://schemas.openxmlformats.org/officeDocument/2006/relationships/hyperlink" Target="http://archive.fo/zEr5p" TargetMode="External"/><Relationship Id="rId3446" Type="http://schemas.openxmlformats.org/officeDocument/2006/relationships/hyperlink" Target="http://archive.fo/tTwI9" TargetMode="External"/><Relationship Id="rId4777" Type="http://schemas.openxmlformats.org/officeDocument/2006/relationships/hyperlink" Target="https://www.justice.gov/usao-wdny/pr/dansville-man-arrested-facing-multiple-child-pornography-charges" TargetMode="External"/><Relationship Id="rId2117" Type="http://schemas.openxmlformats.org/officeDocument/2006/relationships/hyperlink" Target="https://tylerpaper.com/news/local/lone-oak-woman-arrested-in-gregg-county-on-child-sex/article_74edda14-7572-11e8-ae22-8bcf1d9334c5.html" TargetMode="External"/><Relationship Id="rId3449" Type="http://schemas.openxmlformats.org/officeDocument/2006/relationships/hyperlink" Target="https://www.cbp.gov/newsroom/local-media-release/operation-stonegarden-results-arrest-suspected-human-smuggler" TargetMode="External"/><Relationship Id="rId2118" Type="http://schemas.openxmlformats.org/officeDocument/2006/relationships/hyperlink" Target="https://www.justice.gov/usao-sdia/pr/des-moines-man-sentenced-188-months-prison-distribution-child-pornography" TargetMode="External"/><Relationship Id="rId3448" Type="http://schemas.openxmlformats.org/officeDocument/2006/relationships/hyperlink" Target="https://www.justice.gov/usao-md/pr/baltimore-county-man-sentenced-23-years-federal-prison-production-child-pornography" TargetMode="External"/><Relationship Id="rId4779" Type="http://schemas.openxmlformats.org/officeDocument/2006/relationships/hyperlink" Target="https://www.justice.gov/usao-edmo/pr/grand-jury-indicts-st-charles-county-man-sex-trafficking-child" TargetMode="External"/><Relationship Id="rId2119" Type="http://schemas.openxmlformats.org/officeDocument/2006/relationships/hyperlink" Target="https://www.courtlistener.com/docket/13541146/united-states-v-marchesini/" TargetMode="External"/><Relationship Id="rId4770" Type="http://schemas.openxmlformats.org/officeDocument/2006/relationships/hyperlink" Target="https://www.kshb.com/news/crime/topeka-high-school-coach-faces-child-pornography-charges" TargetMode="External"/><Relationship Id="rId3441" Type="http://schemas.openxmlformats.org/officeDocument/2006/relationships/hyperlink" Target="https://www.courtlistener.com/?q=&amp;type=r&amp;order_by=score+desc&amp;docket_number=1%3A19-cr-00131&amp;court=nysd" TargetMode="External"/><Relationship Id="rId4772" Type="http://schemas.openxmlformats.org/officeDocument/2006/relationships/hyperlink" Target="https://archive.vn/tQt6J" TargetMode="External"/><Relationship Id="rId2110" Type="http://schemas.openxmlformats.org/officeDocument/2006/relationships/hyperlink" Target="http://wjla.com/news/local/3-arrested-human-trafficking-massage-parlors-md" TargetMode="External"/><Relationship Id="rId3440" Type="http://schemas.openxmlformats.org/officeDocument/2006/relationships/hyperlink" Target="https://patch.com/new-york/bayshore/11-long-islanders-charged-human-trafficking-takedown" TargetMode="External"/><Relationship Id="rId4771" Type="http://schemas.openxmlformats.org/officeDocument/2006/relationships/hyperlink" Target="https://archive.vn/FCuiI" TargetMode="External"/><Relationship Id="rId2111" Type="http://schemas.openxmlformats.org/officeDocument/2006/relationships/hyperlink" Target="https://www.detroitnews.com/story/news/local/wayne-county/2018/06/11/two-metro-detroiters-human-trafficking-ohio-woman/691406002/" TargetMode="External"/><Relationship Id="rId3443" Type="http://schemas.openxmlformats.org/officeDocument/2006/relationships/hyperlink" Target="https://www.justice.gov/usao-sdny/pr/us-attorney-announces-charges-against-11-defendants-sex-trafficking-and-related" TargetMode="External"/><Relationship Id="rId4774" Type="http://schemas.openxmlformats.org/officeDocument/2006/relationships/hyperlink" Target="https://archive.vn/wip/jkjrz" TargetMode="External"/><Relationship Id="rId2112" Type="http://schemas.openxmlformats.org/officeDocument/2006/relationships/hyperlink" Target="https://www.lmtonline.com/local/crime/article/Two-men-arrested-in-smuggling-attempt-in-south-12983896.php" TargetMode="External"/><Relationship Id="rId3442" Type="http://schemas.openxmlformats.org/officeDocument/2006/relationships/hyperlink" Target="http://archive.fo/tTwI9" TargetMode="External"/><Relationship Id="rId4773" Type="http://schemas.openxmlformats.org/officeDocument/2006/relationships/hyperlink" Target="https://www.azcentral.com/story/news/local/arizona-breaking/2020/09/09/former-mcso-detective-arrested-again-child-exploitation-charges/5765879002/" TargetMode="External"/><Relationship Id="rId2113" Type="http://schemas.openxmlformats.org/officeDocument/2006/relationships/hyperlink" Target="https://www.dailymail.co.uk/news/article-6949793/Owner-boat-named-Yachts-O-Trouble-admits-filming-underage-girls-aboard-showered.html" TargetMode="External"/><Relationship Id="rId3445" Type="http://schemas.openxmlformats.org/officeDocument/2006/relationships/hyperlink" Target="https://www.courtlistener.com/?q=&amp;type=r&amp;order_by=score+desc&amp;docket_number=1%3A19-cr-00131&amp;court=nysd" TargetMode="External"/><Relationship Id="rId4776" Type="http://schemas.openxmlformats.org/officeDocument/2006/relationships/hyperlink" Target="https://www.ice.gov/news/releases/2-north-texas-men-indicted-child-sex-trafficking-following-ice-investigation" TargetMode="External"/><Relationship Id="rId2114" Type="http://schemas.openxmlformats.org/officeDocument/2006/relationships/hyperlink" Target="https://www.courtlistener.com/docket/13755898/united-states-v-hilliard/" TargetMode="External"/><Relationship Id="rId3444" Type="http://schemas.openxmlformats.org/officeDocument/2006/relationships/hyperlink" Target="https://patch.com/new-york/bayshore/11-long-islanders-charged-human-trafficking-takedown" TargetMode="External"/><Relationship Id="rId4775" Type="http://schemas.openxmlformats.org/officeDocument/2006/relationships/hyperlink" Target="https://archive.vn/wip/yeiFD" TargetMode="External"/></Relationships>
</file>

<file path=xl/worksheets/_rels/sheet3.xml.rels><?xml version="1.0" encoding="UTF-8" standalone="yes"?><Relationships xmlns="http://schemas.openxmlformats.org/package/2006/relationships"><Relationship Id="rId392" Type="http://schemas.openxmlformats.org/officeDocument/2006/relationships/hyperlink" Target="https://www.justice.gov/usao-mdfl/pr/nepalese-citizen-arrested-and-charged-attempting-entice-and-meet-12-year-old-child" TargetMode="External"/><Relationship Id="rId391" Type="http://schemas.openxmlformats.org/officeDocument/2006/relationships/hyperlink" Target="https://www.justice.gov/usao-nm/pr/navajo-man-pleads-guilty-sexually-abusing-child" TargetMode="External"/><Relationship Id="rId390" Type="http://schemas.openxmlformats.org/officeDocument/2006/relationships/hyperlink" Target="https://www.justice.gov/usao-ndny/pr/maine-man-charged-attempted-sex-offenses-against-minor" TargetMode="External"/><Relationship Id="rId385" Type="http://schemas.openxmlformats.org/officeDocument/2006/relationships/hyperlink" Target="https://www.justice.gov/usao-wdmo/pr/carl-junction-man-pleads-guilty-transporting-minor-illegal-sexual-activity" TargetMode="External"/><Relationship Id="rId384" Type="http://schemas.openxmlformats.org/officeDocument/2006/relationships/hyperlink" Target="https://www.justice.gov/usao-wdar/pr/harrison-man-sentenced-10-years-federal-prison-attempted-enticement-minor" TargetMode="External"/><Relationship Id="rId383" Type="http://schemas.openxmlformats.org/officeDocument/2006/relationships/hyperlink" Target="https://www.justice.gov/usao-sd/pr/rosebud-man-indicted-aggravated-sexual-abuse-child" TargetMode="External"/><Relationship Id="rId382" Type="http://schemas.openxmlformats.org/officeDocument/2006/relationships/hyperlink" Target="https://www.justice.gov/usao-cdil/pr/champaign-man-sentenced-nine-years-prison-attempted-enticement-minor" TargetMode="External"/><Relationship Id="rId389" Type="http://schemas.openxmlformats.org/officeDocument/2006/relationships/hyperlink" Target="https://www.justice.gov/usao-pr/pr/girl-s-softball-coach-indicted-transportation-minor-intent-engage-criminal-sexual" TargetMode="External"/><Relationship Id="rId388" Type="http://schemas.openxmlformats.org/officeDocument/2006/relationships/hyperlink" Target="https://www.justice.gov/usao-sd/pr/nebraska-man-charged-aggravated-sexual-abuse-minor" TargetMode="External"/><Relationship Id="rId387" Type="http://schemas.openxmlformats.org/officeDocument/2006/relationships/hyperlink" Target="https://www.justice.gov/usao-wdar/pr/fayetteville-man-sentenced-10-years-federal-prison-attempted-enticement-minor" TargetMode="External"/><Relationship Id="rId386" Type="http://schemas.openxmlformats.org/officeDocument/2006/relationships/hyperlink" Target="https://www.courtlistener.com/docket/7899492/united-states-v-belcher/" TargetMode="External"/><Relationship Id="rId381" Type="http://schemas.openxmlformats.org/officeDocument/2006/relationships/hyperlink" Target="https://www.justice.gov/usao-mdla/pr/gonzales-man-sentenced-180-months-federal-prison-coersion-and-enticement-minor" TargetMode="External"/><Relationship Id="rId380" Type="http://schemas.openxmlformats.org/officeDocument/2006/relationships/hyperlink" Target="https://www.justice.gov/usao-edok/pr/okmulgee-man-sentenced-45-months-abusive-sexual-contact-child-under-12-0" TargetMode="External"/><Relationship Id="rId379" Type="http://schemas.openxmlformats.org/officeDocument/2006/relationships/hyperlink" Target="https://www.justice.gov/usao-ndok/pr/federal-grand-jury-indictments-announced-1" TargetMode="External"/><Relationship Id="rId374" Type="http://schemas.openxmlformats.org/officeDocument/2006/relationships/hyperlink" Target="https://www.justice.gov/usao-sd/pr/rapid-city-man-pleads-not-guilty-sexual-abuse-juveniles" TargetMode="External"/><Relationship Id="rId373" Type="http://schemas.openxmlformats.org/officeDocument/2006/relationships/hyperlink" Target="https://www.justice.gov/usao-wdmo/pr/columbia-man-sentenced-15-years-attempting-entice-minor-illicit-sex" TargetMode="External"/><Relationship Id="rId372" Type="http://schemas.openxmlformats.org/officeDocument/2006/relationships/hyperlink" Target="https://www.justice.gov/usao-wdok/pr/weatherford-man-sentenced-78-months-federal-prison-abusive-sexual-contact-child-indian" TargetMode="External"/><Relationship Id="rId371" Type="http://schemas.openxmlformats.org/officeDocument/2006/relationships/hyperlink" Target="https://www.justice.gov/usao-ndny/pr/new-jersey-man-pleads-guilty-traveling-albany-area-have-sex-thirteen-year-old-girl" TargetMode="External"/><Relationship Id="rId378" Type="http://schemas.openxmlformats.org/officeDocument/2006/relationships/hyperlink" Target="http://archive.fo/SiqRU" TargetMode="External"/><Relationship Id="rId377" Type="http://schemas.openxmlformats.org/officeDocument/2006/relationships/hyperlink" Target="http://archive.fo/SJDJT" TargetMode="External"/><Relationship Id="rId376" Type="http://schemas.openxmlformats.org/officeDocument/2006/relationships/hyperlink" Target="https://www.fox19.com/2021/01/26/former-pastor-sentenced-years-sex-crimes-against-minor-prosecutor-says/" TargetMode="External"/><Relationship Id="rId375" Type="http://schemas.openxmlformats.org/officeDocument/2006/relationships/hyperlink" Target="https://www.justice.gov/usao-mt/pr/informational-federal-court-arraignments-53" TargetMode="External"/><Relationship Id="rId396" Type="http://schemas.openxmlformats.org/officeDocument/2006/relationships/hyperlink" Target="https://www.justice.gov/usao-dc/pr/maryland-man-convicted-sex-trafficking-force-fraud-and-coercion" TargetMode="External"/><Relationship Id="rId395" Type="http://schemas.openxmlformats.org/officeDocument/2006/relationships/hyperlink" Target="https://www.justice.gov/usao-mdfl/pr/orlando-man-sentenced-20-years-attempting-sexually-entice-8-year-old-child" TargetMode="External"/><Relationship Id="rId394" Type="http://schemas.openxmlformats.org/officeDocument/2006/relationships/hyperlink" Target="https://www.ice.gov/news/releases/registered-sex-offender-convicted-child-sex-crimes" TargetMode="External"/><Relationship Id="rId393" Type="http://schemas.openxmlformats.org/officeDocument/2006/relationships/hyperlink" Target="https://www.justice.gov/usao-nj/pr/passaic-county-man-charged-kidnapping-minor-and-transporting-her-ohio-engage-sexual" TargetMode="External"/><Relationship Id="rId399" Type="http://schemas.openxmlformats.org/officeDocument/2006/relationships/hyperlink" Target="https://www.sanluisobispo.com/news/local/crime/article235897227.html" TargetMode="External"/><Relationship Id="rId398" Type="http://schemas.openxmlformats.org/officeDocument/2006/relationships/hyperlink" Target="https://www.justice.gov/usao-edva/pr/tennessee-man-sentenced-traveling-virginia-sexually-abuse-minors" TargetMode="External"/><Relationship Id="rId397" Type="http://schemas.openxmlformats.org/officeDocument/2006/relationships/hyperlink" Target="https://www.justice.gov/usao-ndtx/pr/abilene-man-convicted-trial-enticing-minor-engage-sexual-activity" TargetMode="External"/><Relationship Id="rId40" Type="http://schemas.openxmlformats.org/officeDocument/2006/relationships/hyperlink" Target="http://archive.fo/obYA0" TargetMode="External"/><Relationship Id="rId42" Type="http://schemas.openxmlformats.org/officeDocument/2006/relationships/hyperlink" Target="https://www.justice.gov/usao-sd/pr/life-federal-prison-former-tribal-official-convicted-15-counts-sexual-abuse-crimes" TargetMode="External"/><Relationship Id="rId41" Type="http://schemas.openxmlformats.org/officeDocument/2006/relationships/hyperlink" Target="https://www.justice.gov/usao-sd/pr/lake-andes-man-charged-sexual-abuse-offenses-involving-children-appears-federal-court" TargetMode="External"/><Relationship Id="rId44" Type="http://schemas.openxmlformats.org/officeDocument/2006/relationships/hyperlink" Target="https://www.wtvq.com/2019/02/14/tn-man-gets-25-year-sentence-seeking-sex-minor/" TargetMode="External"/><Relationship Id="rId43" Type="http://schemas.openxmlformats.org/officeDocument/2006/relationships/hyperlink" Target="https://www.justice.gov/usao-edky/pr/tennessee-man-sentenced-300-months-crossing-state-line-engage-sex-minor" TargetMode="External"/><Relationship Id="rId46" Type="http://schemas.openxmlformats.org/officeDocument/2006/relationships/hyperlink" Target="https://archive.fo/ozDsX" TargetMode="External"/><Relationship Id="rId45" Type="http://schemas.openxmlformats.org/officeDocument/2006/relationships/hyperlink" Target="https://archive.fo/NiMFf" TargetMode="External"/><Relationship Id="rId48" Type="http://schemas.openxmlformats.org/officeDocument/2006/relationships/hyperlink" Target="http://archive.fo/dv4lM" TargetMode="External"/><Relationship Id="rId47" Type="http://schemas.openxmlformats.org/officeDocument/2006/relationships/hyperlink" Target="https://turnto10.com/news/local/former-narragansett-police-officer-pleads-guilty-to-pornography-charge" TargetMode="External"/><Relationship Id="rId49" Type="http://schemas.openxmlformats.org/officeDocument/2006/relationships/hyperlink" Target="http://archive.fo/pTwGt" TargetMode="External"/><Relationship Id="rId31" Type="http://schemas.openxmlformats.org/officeDocument/2006/relationships/hyperlink" Target="https://www.justice.gov/usao-sdoh/pr/registered-sex-offender-sentenced-20-years-prison-attempting-coerce-minor" TargetMode="External"/><Relationship Id="rId30" Type="http://schemas.openxmlformats.org/officeDocument/2006/relationships/hyperlink" Target="https://www.justice.gov/usao-sdoh/pr/registered-sex-offender-sentenced-20-years-prison-attempting-coerce-minor" TargetMode="External"/><Relationship Id="rId33" Type="http://schemas.openxmlformats.org/officeDocument/2006/relationships/hyperlink" Target="https://archive.vn/LbJyH" TargetMode="External"/><Relationship Id="rId32" Type="http://schemas.openxmlformats.org/officeDocument/2006/relationships/hyperlink" Target="https://www.nny360.com/news/former-clayton-mayor-pleads-guilty-to-sex-crime/article_c43768f9-e52a-551a-bd1d-0c8bcd80a353.html" TargetMode="External"/><Relationship Id="rId35" Type="http://schemas.openxmlformats.org/officeDocument/2006/relationships/hyperlink" Target="https://archive.vn/4HzHw" TargetMode="External"/><Relationship Id="rId34" Type="http://schemas.openxmlformats.org/officeDocument/2006/relationships/hyperlink" Target="https://archive.vn/E4fia" TargetMode="External"/><Relationship Id="rId37" Type="http://schemas.openxmlformats.org/officeDocument/2006/relationships/hyperlink" Target="https://www.justice.gov/usao-ma/pr/louisiana-teacher-pleads-guilty-child-enticement" TargetMode="External"/><Relationship Id="rId36" Type="http://schemas.openxmlformats.org/officeDocument/2006/relationships/hyperlink" Target="https://www.justice.gov/usao-sdtx/pr/texas-man-sentenced-engaging-illicit-sexual-conduct-foreign-places-minor" TargetMode="External"/><Relationship Id="rId39" Type="http://schemas.openxmlformats.org/officeDocument/2006/relationships/hyperlink" Target="http://archive.fo/ORX03" TargetMode="External"/><Relationship Id="rId38" Type="http://schemas.openxmlformats.org/officeDocument/2006/relationships/hyperlink" Target="https://fallriverreporter.com/teacher-pleads-guilty-to-enticement-of-11-year-old-massachusetts-girl/" TargetMode="External"/><Relationship Id="rId20" Type="http://schemas.openxmlformats.org/officeDocument/2006/relationships/hyperlink" Target="https://www.courtlistener.com/docket/7145029/united-states-v-hammond/" TargetMode="External"/><Relationship Id="rId22" Type="http://schemas.openxmlformats.org/officeDocument/2006/relationships/hyperlink" Target="https://www.justice.gov/usao-wdmo/pr/springfield-man-sentenced-10-years-child-sexual-exploitation" TargetMode="External"/><Relationship Id="rId21" Type="http://schemas.openxmlformats.org/officeDocument/2006/relationships/hyperlink" Target="https://www.justice.gov/usao-sd/pr/allen-man-sentenced-sexual-contact-minor" TargetMode="External"/><Relationship Id="rId24" Type="http://schemas.openxmlformats.org/officeDocument/2006/relationships/hyperlink" Target="https://web.archive.org/web/20190403193248/http://www.the-standard.org/news/msu-employee-pleads-not-guilty-after-sexually-explicit-statements-sent/article_e0f4764c-6bfe-11e7-9dc6-5b29ae19c1d1.html" TargetMode="External"/><Relationship Id="rId23" Type="http://schemas.openxmlformats.org/officeDocument/2006/relationships/hyperlink" Target="http://www.the-standard.org/news/msu-employee-pleads-not-guilty-after-sexually-explicit-statements-sent/article_e0f4764c-6bfe-11e7-9dc6-5b29ae19c1d1.html" TargetMode="External"/><Relationship Id="rId26" Type="http://schemas.openxmlformats.org/officeDocument/2006/relationships/hyperlink" Target="https://omaha.com/news/crime/mayor-of-randolph-nebraska-is-accused-of-sexually-assaulting-a-child/article_21aa08a1-410a-57cc-afb8-6c41cce778d4.html" TargetMode="External"/><Relationship Id="rId25" Type="http://schemas.openxmlformats.org/officeDocument/2006/relationships/hyperlink" Target="http://archive.fo/7h9wN" TargetMode="External"/><Relationship Id="rId28" Type="http://schemas.openxmlformats.org/officeDocument/2006/relationships/hyperlink" Target="https://archive.vn/99YZH" TargetMode="External"/><Relationship Id="rId27" Type="http://schemas.openxmlformats.org/officeDocument/2006/relationships/hyperlink" Target="https://archive.vn/XljM1" TargetMode="External"/><Relationship Id="rId29" Type="http://schemas.openxmlformats.org/officeDocument/2006/relationships/hyperlink" Target="https://www.justice.gov/usao-mdfl/pr/jury-convicts-florida-man-attempting-entice-minor-engage-sexual-activity-and-attempting" TargetMode="External"/><Relationship Id="rId11" Type="http://schemas.openxmlformats.org/officeDocument/2006/relationships/hyperlink" Target="https://www.courtlistener.com/docket/8079422/united-states-v-hernandez-gomez/" TargetMode="External"/><Relationship Id="rId10" Type="http://schemas.openxmlformats.org/officeDocument/2006/relationships/hyperlink" Target="https://www.justice.gov/usao-nv/pr/las-vegas-man-sentenced-eight-years-prison-soliciting-and-receiving-sexually-explicit" TargetMode="External"/><Relationship Id="rId13" Type="http://schemas.openxmlformats.org/officeDocument/2006/relationships/hyperlink" Target="https://www.justice.gov/usao-edca/pr/fairfield-man-sentenced-over-17-years-prison-attempted-online-enticement-minor" TargetMode="External"/><Relationship Id="rId12" Type="http://schemas.openxmlformats.org/officeDocument/2006/relationships/hyperlink" Target="https://www.courtlistener.com/docket/14634152/united-states-v-cunningham/" TargetMode="External"/><Relationship Id="rId15" Type="http://schemas.openxmlformats.org/officeDocument/2006/relationships/hyperlink" Target="https://www.courtlistener.com/docket/13585054/united-states-v-lone-bear/" TargetMode="External"/><Relationship Id="rId14" Type="http://schemas.openxmlformats.org/officeDocument/2006/relationships/hyperlink" Target="https://www.justice.gov/usao-nd/pr/north-dakota-us-attorney-s-office-announces-recent-indictments-and-sentencing-sexual" TargetMode="External"/><Relationship Id="rId17" Type="http://schemas.openxmlformats.org/officeDocument/2006/relationships/hyperlink" Target="https://www.justice.gov/usao-sdny/pr/new-windsor-man-sentenced-20-years-prison-child-enticement" TargetMode="External"/><Relationship Id="rId16" Type="http://schemas.openxmlformats.org/officeDocument/2006/relationships/hyperlink" Target="https://www.courtlistener.com/docket/8129970/united-states-v-hopkins/" TargetMode="External"/><Relationship Id="rId19" Type="http://schemas.openxmlformats.org/officeDocument/2006/relationships/hyperlink" Target="https://www.justice.gov/usao-ri/pr/east-side-realtor-convicted-attempting-engage-sex-minor" TargetMode="External"/><Relationship Id="rId18" Type="http://schemas.openxmlformats.org/officeDocument/2006/relationships/hyperlink" Target="https://www.courtlistener.com/?q=&amp;type=r&amp;order_by=score+desc&amp;docket_number=7%3A18-cr-00163&amp;court=nysd" TargetMode="External"/><Relationship Id="rId84" Type="http://schemas.openxmlformats.org/officeDocument/2006/relationships/hyperlink" Target="https://www.courtlistener.com/docket/6837396/united-states-v-wallace/" TargetMode="External"/><Relationship Id="rId83" Type="http://schemas.openxmlformats.org/officeDocument/2006/relationships/hyperlink" Target="https://www.justice.gov/usao-ct/pr/north-branford-man-admits-enticing-girls-engage-sexual-activity-through-online-apps" TargetMode="External"/><Relationship Id="rId86" Type="http://schemas.openxmlformats.org/officeDocument/2006/relationships/hyperlink" Target="https://www.courtlistener.com/?q=&amp;type=r&amp;order_by=score+desc&amp;docket_number=3%3A18-cr-30021&amp;court=ilsd" TargetMode="External"/><Relationship Id="rId85" Type="http://schemas.openxmlformats.org/officeDocument/2006/relationships/hyperlink" Target="https://www.justice.gov/usao-sdil/pr/florida-resident-who-traveled-illinois-sex-13-year-old-girl-sentenced-20-years" TargetMode="External"/><Relationship Id="rId88" Type="http://schemas.openxmlformats.org/officeDocument/2006/relationships/hyperlink" Target="https://www.thedenverchannel.com/news/crime/texas-man-facing-kidnapping-charges-after-colorado-arrest" TargetMode="External"/><Relationship Id="rId87" Type="http://schemas.openxmlformats.org/officeDocument/2006/relationships/hyperlink" Target="https://www.justice.gov/usao-wdtx/pr/jury-convicts-round-rock-man-kidnapping-two-sisters-december-2017-and-federal-sex" TargetMode="External"/><Relationship Id="rId89" Type="http://schemas.openxmlformats.org/officeDocument/2006/relationships/hyperlink" Target="https://archive.fo/xoqQu" TargetMode="External"/><Relationship Id="rId80" Type="http://schemas.openxmlformats.org/officeDocument/2006/relationships/hyperlink" Target="https://www.inquirer.com/philly/news/crime/montco-karate-teacher-accused-by-feds-of-molesting-students-is-denied-bail-20171211.html" TargetMode="External"/><Relationship Id="rId82" Type="http://schemas.openxmlformats.org/officeDocument/2006/relationships/hyperlink" Target="https://archive.vn/9ctKZ" TargetMode="External"/><Relationship Id="rId81" Type="http://schemas.openxmlformats.org/officeDocument/2006/relationships/hyperlink" Target="https://archive.vn/xM89E" TargetMode="External"/><Relationship Id="rId73" Type="http://schemas.openxmlformats.org/officeDocument/2006/relationships/hyperlink" Target="https://www.justice.gov/usao-edpa/pr/man-guilty-attempted-enticement-minor-and-travel-intent-engage-illicit-sexual-conduct" TargetMode="External"/><Relationship Id="rId72" Type="http://schemas.openxmlformats.org/officeDocument/2006/relationships/hyperlink" Target="https://archive.fo/tmB9c" TargetMode="External"/><Relationship Id="rId75" Type="http://schemas.openxmlformats.org/officeDocument/2006/relationships/hyperlink" Target="https://www.justice.gov/usao-md/pr/member-us-air-force-pleads-guilty-abusive-sexual-contact-child" TargetMode="External"/><Relationship Id="rId74" Type="http://schemas.openxmlformats.org/officeDocument/2006/relationships/hyperlink" Target="https://www.courtlistener.com/?q=&amp;type=r&amp;order_by=score+desc&amp;docket_number=5%3A18-cr-00105&amp;court=paed" TargetMode="External"/><Relationship Id="rId77" Type="http://schemas.openxmlformats.org/officeDocument/2006/relationships/hyperlink" Target="https://www.9news.com.au/world/world-news-henri-michelle-piette-jailed-for-rape-and-kidnap-of-stepdaughter-rosalynn-mcginnis/4d6626af-7830-42a4-a1aa-4e39c5e17056" TargetMode="External"/><Relationship Id="rId76" Type="http://schemas.openxmlformats.org/officeDocument/2006/relationships/hyperlink" Target="https://www.courtlistener.com/?q=&amp;type=r&amp;order_by=score+desc&amp;docket_number=8%3A17-cr-00625&amp;court=mdd" TargetMode="External"/><Relationship Id="rId79" Type="http://schemas.openxmlformats.org/officeDocument/2006/relationships/hyperlink" Target="https://archive.vn/rxJnp" TargetMode="External"/><Relationship Id="rId78" Type="http://schemas.openxmlformats.org/officeDocument/2006/relationships/hyperlink" Target="https://archive.vn/opKlk" TargetMode="External"/><Relationship Id="rId71" Type="http://schemas.openxmlformats.org/officeDocument/2006/relationships/hyperlink" Target="https://archive.fo/VqhFs" TargetMode="External"/><Relationship Id="rId70" Type="http://schemas.openxmlformats.org/officeDocument/2006/relationships/hyperlink" Target="https://www.courtlistener.com/docket/7613374/united-states-v-wnek/" TargetMode="External"/><Relationship Id="rId62" Type="http://schemas.openxmlformats.org/officeDocument/2006/relationships/hyperlink" Target="https://www.justice.gov/usao-wdpa/pr/arkansas-man-admits-coercing-minor-engage-illegally-sexual-activity" TargetMode="External"/><Relationship Id="rId61" Type="http://schemas.openxmlformats.org/officeDocument/2006/relationships/hyperlink" Target="https://www.justice.gov/usao-md/pr/patuxent-river-man-pleads-guilty-federal-charges-abusive-sexual-contact-two-children" TargetMode="External"/><Relationship Id="rId64" Type="http://schemas.openxmlformats.org/officeDocument/2006/relationships/hyperlink" Target="https://www.justice.gov/usao-ndca/pr/u-s-citizen-detained-charges-traveling-foreign-country-and-engaging-illicit-sexual" TargetMode="External"/><Relationship Id="rId63" Type="http://schemas.openxmlformats.org/officeDocument/2006/relationships/hyperlink" Target="https://www.justice.gov/usao-ndga/pr/stone-mountain-man-sentenced-arranging-have-sex-minor" TargetMode="External"/><Relationship Id="rId66" Type="http://schemas.openxmlformats.org/officeDocument/2006/relationships/hyperlink" Target="https://www.justice.gov/usao-mdga/pr/elementary-school-custodian-and-bus-driver-found-guilty-child-sex-enticement" TargetMode="External"/><Relationship Id="rId65" Type="http://schemas.openxmlformats.org/officeDocument/2006/relationships/hyperlink" Target="https://www.courtlistener.com/docket/7456417/united-states-v-peacock/" TargetMode="External"/><Relationship Id="rId68" Type="http://schemas.openxmlformats.org/officeDocument/2006/relationships/hyperlink" Target="https://www.justice.gov/usao-ndoh/pr/canadian-man-sentenced-11-years-prison-sending-scores-messages-over-social-media" TargetMode="External"/><Relationship Id="rId67" Type="http://schemas.openxmlformats.org/officeDocument/2006/relationships/hyperlink" Target="https://www.courtlistener.com/docket/7474773/united-states-v-pruitt/" TargetMode="External"/><Relationship Id="rId60" Type="http://schemas.openxmlformats.org/officeDocument/2006/relationships/hyperlink" Target="https://www.justice.gov/usao-gu/pr/michael-louis-mccarron-sentenced-federal-prison-attempted-enticement-and-transfer-obscene" TargetMode="External"/><Relationship Id="rId69" Type="http://schemas.openxmlformats.org/officeDocument/2006/relationships/hyperlink" Target="https://torontosun.com/news/crime/toronto-man-posed-as-boy-14-tried-to-seduce-ohio-girl-11-fbi" TargetMode="External"/><Relationship Id="rId51" Type="http://schemas.openxmlformats.org/officeDocument/2006/relationships/hyperlink" Target="https://www.lcsun-news.com/story/news/crime/2018/04/11/ex-las-cruces-youth-minister-pleads-guilty-sex-crimes/505270002/" TargetMode="External"/><Relationship Id="rId50" Type="http://schemas.openxmlformats.org/officeDocument/2006/relationships/hyperlink" Target="https://www.justice.gov/usao-nm/pr/former-youth-minister-las-cruces-sentenced-71-months" TargetMode="External"/><Relationship Id="rId53" Type="http://schemas.openxmlformats.org/officeDocument/2006/relationships/hyperlink" Target="http://archive.fo/rc99R" TargetMode="External"/><Relationship Id="rId52" Type="http://schemas.openxmlformats.org/officeDocument/2006/relationships/hyperlink" Target="https://www.courtlistener.com/docket/14853325/united-states-v-arellano/" TargetMode="External"/><Relationship Id="rId55" Type="http://schemas.openxmlformats.org/officeDocument/2006/relationships/hyperlink" Target="https://www.justice.gov/usao-edok/pr/seven-individuals-indicted-november-federal-grand-jury" TargetMode="External"/><Relationship Id="rId54" Type="http://schemas.openxmlformats.org/officeDocument/2006/relationships/hyperlink" Target="http://archive.fo/py20s" TargetMode="External"/><Relationship Id="rId57" Type="http://schemas.openxmlformats.org/officeDocument/2006/relationships/hyperlink" Target="https://web.archive.org/web/20190214144042/https://fox40.com/2019/02/12/stockton-man-sentenced-to-life-in-prison-for-sexually-abusing-minors-including-his-own-children/" TargetMode="External"/><Relationship Id="rId56" Type="http://schemas.openxmlformats.org/officeDocument/2006/relationships/hyperlink" Target="https://www.courtlistener.com/docket/6269760/united-states-v-flucas/" TargetMode="External"/><Relationship Id="rId59" Type="http://schemas.openxmlformats.org/officeDocument/2006/relationships/hyperlink" Target="https://www.justice.gov/usao-edok/pr/ada-man-charged-enticement-minor" TargetMode="External"/><Relationship Id="rId58" Type="http://schemas.openxmlformats.org/officeDocument/2006/relationships/hyperlink" Target="http://archive.fo/0VrAG" TargetMode="External"/><Relationship Id="rId349" Type="http://schemas.openxmlformats.org/officeDocument/2006/relationships/hyperlink" Target="https://www.justice.gov/usao-ndtx/pr/amarillo-area-child-predator-sentenced-life" TargetMode="External"/><Relationship Id="rId348" Type="http://schemas.openxmlformats.org/officeDocument/2006/relationships/hyperlink" Target="https://www.justice.gov/usao-sd/pr/north-dakota-man-sentenced-aggravated-sexual-abuse-child-and-incest" TargetMode="External"/><Relationship Id="rId347" Type="http://schemas.openxmlformats.org/officeDocument/2006/relationships/hyperlink" Target="https://www.justice.gov/usao-edar/pr/jury-finds-memphis-man-guilty-attempted-enticement-and-traveling-sex-child" TargetMode="External"/><Relationship Id="rId346" Type="http://schemas.openxmlformats.org/officeDocument/2006/relationships/hyperlink" Target="https://www.justice.gov/usao-sdwv/pr/five-defendants-plead-guilty-federal-court-traveling-have-sex-minors" TargetMode="External"/><Relationship Id="rId341" Type="http://schemas.openxmlformats.org/officeDocument/2006/relationships/hyperlink" Target="https://archive.vn/xzBlQ" TargetMode="External"/><Relationship Id="rId340" Type="http://schemas.openxmlformats.org/officeDocument/2006/relationships/hyperlink" Target="https://www.courtlistener.com/docket/15653931/united-states-v-ward/" TargetMode="External"/><Relationship Id="rId345" Type="http://schemas.openxmlformats.org/officeDocument/2006/relationships/hyperlink" Target="https://www.courtlistener.com/docket/14608959/united-states-v-ward/" TargetMode="External"/><Relationship Id="rId344" Type="http://schemas.openxmlformats.org/officeDocument/2006/relationships/hyperlink" Target="https://www.justice.gov/usao-sdwv/pr/five-defendants-plead-guilty-federal-court-traveling-have-sex-minors" TargetMode="External"/><Relationship Id="rId343" Type="http://schemas.openxmlformats.org/officeDocument/2006/relationships/hyperlink" Target="https://www.justice.gov/usao-nm/pr/member-navajo-nation-sentenced-five-years-prison-abusive-sexual-contact-indian-country" TargetMode="External"/><Relationship Id="rId342" Type="http://schemas.openxmlformats.org/officeDocument/2006/relationships/hyperlink" Target="https://archive.vn/qUl7k" TargetMode="External"/><Relationship Id="rId338" Type="http://schemas.openxmlformats.org/officeDocument/2006/relationships/hyperlink" Target="https://www.justice.gov/usao-edmo/pr/judge-sentences-charleston-south-carolina-man-80-months-prison-child-enticement" TargetMode="External"/><Relationship Id="rId337" Type="http://schemas.openxmlformats.org/officeDocument/2006/relationships/hyperlink" Target="https://www.justice.gov/usao-sd/pr/eagle-butte-man-sentenced-multiple-charges" TargetMode="External"/><Relationship Id="rId336" Type="http://schemas.openxmlformats.org/officeDocument/2006/relationships/hyperlink" Target="https://www.fbi.gov/contact-us/field-offices/portland/news/press-releases/man-on-the-run-for-23-years-turns-himself-in-to-oregon-city-police" TargetMode="External"/><Relationship Id="rId335" Type="http://schemas.openxmlformats.org/officeDocument/2006/relationships/hyperlink" Target="https://www.fbi.gov/contact-us/field-offices/atlanta/news/press-releases/210-months-prison-sentence-for-oregon-sex-offender-caught-luring-threatening-young-columbus-girl-online" TargetMode="External"/><Relationship Id="rId339" Type="http://schemas.openxmlformats.org/officeDocument/2006/relationships/hyperlink" Target="https://www.justice.gov/usao-sdwv/pr/ohio-man-sentenced-traveling-meet-minor-sex-0" TargetMode="External"/><Relationship Id="rId330" Type="http://schemas.openxmlformats.org/officeDocument/2006/relationships/hyperlink" Target="https://www.courtlistener.com/docket/15040753/united-states-v-neill/" TargetMode="External"/><Relationship Id="rId334" Type="http://schemas.openxmlformats.org/officeDocument/2006/relationships/hyperlink" Target="https://www.justice.gov/usao-ndok/pr/federal-grand-jury-criminal-indictments-announced-57" TargetMode="External"/><Relationship Id="rId333" Type="http://schemas.openxmlformats.org/officeDocument/2006/relationships/hyperlink" Target="https://www.courtlistener.com/docket/15081545/united-states-v-rodriguez/" TargetMode="External"/><Relationship Id="rId332" Type="http://schemas.openxmlformats.org/officeDocument/2006/relationships/hyperlink" Target="https://www.justice.gov/usao-edtx/pr/tarrant-county-man-guilty-child-coercion-and-enticement-violation" TargetMode="External"/><Relationship Id="rId331" Type="http://schemas.openxmlformats.org/officeDocument/2006/relationships/hyperlink" Target="https://www.justice.gov/usao-nd/pr/turtle-mountain-indian-reservation-man-sentenced-30-years-federal-prison-sexually-abusing" TargetMode="External"/><Relationship Id="rId370" Type="http://schemas.openxmlformats.org/officeDocument/2006/relationships/hyperlink" Target="https://www.justice.gov/usao-wdwa/pr/port-townsend-washington-man-arrested-engaging-illicit-sexual-conduct-foreign-place" TargetMode="External"/><Relationship Id="rId369" Type="http://schemas.openxmlformats.org/officeDocument/2006/relationships/hyperlink" Target="https://www.justice.gov/usao-ne/pr/colorado-man-found-guilty-interstate-travel-and-enticement-minor" TargetMode="External"/><Relationship Id="rId368" Type="http://schemas.openxmlformats.org/officeDocument/2006/relationships/hyperlink" Target="https://www.justice.gov/usao-edtn/pr/cory-ryan-day-sentenced-enticement-child-sexual-purposes-and-traveling-intent-illicit" TargetMode="External"/><Relationship Id="rId363" Type="http://schemas.openxmlformats.org/officeDocument/2006/relationships/hyperlink" Target="https://archive.vn/cHwyu" TargetMode="External"/><Relationship Id="rId362" Type="http://schemas.openxmlformats.org/officeDocument/2006/relationships/hyperlink" Target="https://archive.vn/sWTRB" TargetMode="External"/><Relationship Id="rId361" Type="http://schemas.openxmlformats.org/officeDocument/2006/relationships/hyperlink" Target="https://www.gwinnettdailypost.com/local/dacula-youth-umpire-removed-from-position-following-arrest-in-gbi/article_0cdcee32-b3cf-11e9-84dd-6b868cc2f160.html" TargetMode="External"/><Relationship Id="rId360" Type="http://schemas.openxmlformats.org/officeDocument/2006/relationships/hyperlink" Target="https://www.justice.gov/usao-sd/pr/rapid-city-man-charged-aggravated-sexual-abuse-minor" TargetMode="External"/><Relationship Id="rId367" Type="http://schemas.openxmlformats.org/officeDocument/2006/relationships/hyperlink" Target="https://www.justice.gov/usao-edok/pr/okmulgee-man-sentenced-120-months-two-counts-abusive-sexual-contact-indian-country" TargetMode="External"/><Relationship Id="rId366" Type="http://schemas.openxmlformats.org/officeDocument/2006/relationships/hyperlink" Target="https://www.justice.gov/usao-ndtx/pr/lubbock-county-man-convicted-enticement-11-year-old-niece" TargetMode="External"/><Relationship Id="rId365" Type="http://schemas.openxmlformats.org/officeDocument/2006/relationships/hyperlink" Target="https://www.justice.gov/usao-ndoh/pr/fulton-county-man-indicted-allegedly-attempting-coerce-15-year-old-girl-sexual-activity" TargetMode="External"/><Relationship Id="rId364" Type="http://schemas.openxmlformats.org/officeDocument/2006/relationships/hyperlink" Target="https://www.justice.gov/usao-sdms/pr/ridgeland-man-sentenced-10-years-prison-attempted-enticement-minor" TargetMode="External"/><Relationship Id="rId95" Type="http://schemas.openxmlformats.org/officeDocument/2006/relationships/hyperlink" Target="https://www.ibtimes.com/sting-operation-arrests-swim-coach-carrying-teddy-bear-chocolates-undercover-teen-2654644" TargetMode="External"/><Relationship Id="rId94" Type="http://schemas.openxmlformats.org/officeDocument/2006/relationships/hyperlink" Target="https://www.justice.gov/usao-wdny/pr/henrietta-swim-coach-arrested-traveling-meet-16-year-old-girl-sex" TargetMode="External"/><Relationship Id="rId97" Type="http://schemas.openxmlformats.org/officeDocument/2006/relationships/hyperlink" Target="https://www.justice.gov/usao-ne/pr/february-grand-jury-1" TargetMode="External"/><Relationship Id="rId96" Type="http://schemas.openxmlformats.org/officeDocument/2006/relationships/hyperlink" Target="https://www.courtlistener.com/?q=&amp;type=r&amp;order_by=score+desc&amp;docket_number=6%3A18-mj-04010&amp;court=nywd" TargetMode="External"/><Relationship Id="rId99" Type="http://schemas.openxmlformats.org/officeDocument/2006/relationships/hyperlink" Target="https://www.justice.gov/usao-ne/pr/winnebago-man-sentenced-sexual-abuse-minor-0" TargetMode="External"/><Relationship Id="rId98" Type="http://schemas.openxmlformats.org/officeDocument/2006/relationships/hyperlink" Target="https://www.courtlistener.com/docket/6359809/united-states-v-montalvo-rodriguez/" TargetMode="External"/><Relationship Id="rId91" Type="http://schemas.openxmlformats.org/officeDocument/2006/relationships/hyperlink" Target="https://www.courtlistener.com/docket/7278507/united-states-v-escalante/" TargetMode="External"/><Relationship Id="rId90" Type="http://schemas.openxmlformats.org/officeDocument/2006/relationships/hyperlink" Target="https://archive.fo/lCqEv" TargetMode="External"/><Relationship Id="rId93" Type="http://schemas.openxmlformats.org/officeDocument/2006/relationships/hyperlink" Target="https://www.courtlistener.com/docket/14748271/united-states-v-redhouse/" TargetMode="External"/><Relationship Id="rId92" Type="http://schemas.openxmlformats.org/officeDocument/2006/relationships/hyperlink" Target="https://www.justice.gov/usao-nm/pr/navajo-man-coyote-canyon-sentenced-18-years-federal-child-sexual-abuse-conviction" TargetMode="External"/><Relationship Id="rId359" Type="http://schemas.openxmlformats.org/officeDocument/2006/relationships/hyperlink" Target="https://www.justice.gov/usao-ndok/pr/sand-springs-man-sentenced-10-years-attempted-coercion-and-enticement-minor-0" TargetMode="External"/><Relationship Id="rId358" Type="http://schemas.openxmlformats.org/officeDocument/2006/relationships/hyperlink" Target="https://www.justice.gov/usao-ndia/pr/man-who-raped-child-sent-federal-prison-decade" TargetMode="External"/><Relationship Id="rId357" Type="http://schemas.openxmlformats.org/officeDocument/2006/relationships/hyperlink" Target="http://archive.fo/d8akS" TargetMode="External"/><Relationship Id="rId352" Type="http://schemas.openxmlformats.org/officeDocument/2006/relationships/hyperlink" Target="http://archive.vn/xEVKe" TargetMode="External"/><Relationship Id="rId351" Type="http://schemas.openxmlformats.org/officeDocument/2006/relationships/hyperlink" Target="http://archive.vn/vzBIQ" TargetMode="External"/><Relationship Id="rId350" Type="http://schemas.openxmlformats.org/officeDocument/2006/relationships/hyperlink" Target="https://www.kcbd.com/2020/06/26/amarillo-area-child-predator-sentenced-life-prison/" TargetMode="External"/><Relationship Id="rId356" Type="http://schemas.openxmlformats.org/officeDocument/2006/relationships/hyperlink" Target="http://archive.fo/zh7C6" TargetMode="External"/><Relationship Id="rId355" Type="http://schemas.openxmlformats.org/officeDocument/2006/relationships/hyperlink" Target="https://christiannews.net/2019/07/03/amish-mennonite-aid-worker-who-fled-to-us-over-rape-of-boys-in-haiti-indicted-by-grand-jury-on-sex-abuse-charges-in-ohio/" TargetMode="External"/><Relationship Id="rId354" Type="http://schemas.openxmlformats.org/officeDocument/2006/relationships/hyperlink" Target="https://www.justice.gov/usao-sdga/pr/liberty-county-man-sentenced-federal-prison-enticing-child-sexual-activity" TargetMode="External"/><Relationship Id="rId353" Type="http://schemas.openxmlformats.org/officeDocument/2006/relationships/hyperlink" Target="https://www.justice.gov/usao-sdwv/pr/two-men-sentenced-traveling-engage-sex-minor" TargetMode="External"/><Relationship Id="rId305" Type="http://schemas.openxmlformats.org/officeDocument/2006/relationships/hyperlink" Target="https://www.justice.gov/usao-sd/pr/couple-charged-aiding-and-abetting-sexual-abuse-minor" TargetMode="External"/><Relationship Id="rId304" Type="http://schemas.openxmlformats.org/officeDocument/2006/relationships/hyperlink" Target="https://www.fbi.gov/contact-us/field-offices/sanjuan/news/press-releases/federal-charges-for-transportation-of-a-minor-with-intent-to-engage-in-sexual-activity" TargetMode="External"/><Relationship Id="rId303" Type="http://schemas.openxmlformats.org/officeDocument/2006/relationships/hyperlink" Target="https://www.courtlistener.com/docket/14748683/united-states-v-kibble/" TargetMode="External"/><Relationship Id="rId302" Type="http://schemas.openxmlformats.org/officeDocument/2006/relationships/hyperlink" Target="https://www.courtlistener.com/docket/14737228/united-states-v-prosperes-sosa/" TargetMode="External"/><Relationship Id="rId309" Type="http://schemas.openxmlformats.org/officeDocument/2006/relationships/hyperlink" Target="https://www.fbi.gov/contact-us/field-offices/sanjuan/news/press-releases/arrest-of-jose-e-saldana-perez-for-transportation-of-a-minor-to-engage-in-criminal-sexual-activity" TargetMode="External"/><Relationship Id="rId308" Type="http://schemas.openxmlformats.org/officeDocument/2006/relationships/hyperlink" Target="https://www.courtlistener.com/docket/14748679/united-states-v-parks/" TargetMode="External"/><Relationship Id="rId307" Type="http://schemas.openxmlformats.org/officeDocument/2006/relationships/hyperlink" Target="https://www.justice.gov/usao-sdwv/pr/project-safe-childhood-two-defendants-sentenced-federal-prison-traveling-have-sex" TargetMode="External"/><Relationship Id="rId306" Type="http://schemas.openxmlformats.org/officeDocument/2006/relationships/hyperlink" Target="https://www.fbi.gov/contact-us/field-offices/albuquerque/news/press-releases/fbi-media-alert-nambe-pueblo-man-charged-federally-with-aggravated-sexual-abuse" TargetMode="External"/><Relationship Id="rId301" Type="http://schemas.openxmlformats.org/officeDocument/2006/relationships/hyperlink" Target="https://www.justice.gov/usao-pr/pr/kevin-hassan-pr-speres-sosa-arrested-cyberstalking-and-threatening-interstate" TargetMode="External"/><Relationship Id="rId300" Type="http://schemas.openxmlformats.org/officeDocument/2006/relationships/hyperlink" Target="https://www.courtlistener.com/?q=&amp;type=r&amp;order_by=score+desc&amp;docket_number=1%3A19-cr-00015&amp;court=mtd" TargetMode="External"/><Relationship Id="rId327" Type="http://schemas.openxmlformats.org/officeDocument/2006/relationships/hyperlink" Target="https://www.justice.gov/usao-wdpa/pr/pittsburgh-man-charged-coercion-and-enticement-minor" TargetMode="External"/><Relationship Id="rId326" Type="http://schemas.openxmlformats.org/officeDocument/2006/relationships/hyperlink" Target="https://www.justice.gov/usao-ndin/pr/gary-man-sentenced-120-months-prison" TargetMode="External"/><Relationship Id="rId325" Type="http://schemas.openxmlformats.org/officeDocument/2006/relationships/hyperlink" Target="https://www.courtlistener.com/docket/15038717/united-states-v-hughes/" TargetMode="External"/><Relationship Id="rId324" Type="http://schemas.openxmlformats.org/officeDocument/2006/relationships/hyperlink" Target="https://www.cbp.gov/newsroom/local-media-release/cbp-arrests-subject-wanted-sexual-abuse-minor" TargetMode="External"/><Relationship Id="rId329" Type="http://schemas.openxmlformats.org/officeDocument/2006/relationships/hyperlink" Target="https://www.justice.gov/usao-me/pr/sanford-man-pleads-guilty-transferring-obscene-material-minor" TargetMode="External"/><Relationship Id="rId328" Type="http://schemas.openxmlformats.org/officeDocument/2006/relationships/hyperlink" Target="https://www.courtlistener.com/docket/14999346/united-states-v-turek/" TargetMode="External"/><Relationship Id="rId323" Type="http://schemas.openxmlformats.org/officeDocument/2006/relationships/hyperlink" Target="https://www.justice.gov/usao-edtx/pr/upshur-county-convicted-sex-offender-indicted-child-sexual-exploitation-violations" TargetMode="External"/><Relationship Id="rId322" Type="http://schemas.openxmlformats.org/officeDocument/2006/relationships/hyperlink" Target="https://www.justice.gov/usao-mt/pr/informational-federal-court-arraignments-42" TargetMode="External"/><Relationship Id="rId321" Type="http://schemas.openxmlformats.org/officeDocument/2006/relationships/hyperlink" Target="https://web.archive.org/web/20190417185106/https://i.cbc.ca/1.5085822.1554456180!/fileImage/httpImage/image.jpg_gen/derivatives/16x9_780/trevor-doyle.jpg" TargetMode="External"/><Relationship Id="rId320" Type="http://schemas.openxmlformats.org/officeDocument/2006/relationships/hyperlink" Target="http://archive.fo/kcgjs" TargetMode="External"/><Relationship Id="rId316" Type="http://schemas.openxmlformats.org/officeDocument/2006/relationships/hyperlink" Target="https://www.justice.gov/usao-ri/pr/sex-offender-detained-attempting-entice-minor-transmit-obscene-material-minor" TargetMode="External"/><Relationship Id="rId315" Type="http://schemas.openxmlformats.org/officeDocument/2006/relationships/hyperlink" Target="https://www.justice.gov/usao-wdtx/pr/jury-finds-midland-man-guilty-attempted-online-enticement-minor" TargetMode="External"/><Relationship Id="rId314" Type="http://schemas.openxmlformats.org/officeDocument/2006/relationships/hyperlink" Target="http://archive.fo/aoQWT" TargetMode="External"/><Relationship Id="rId313" Type="http://schemas.openxmlformats.org/officeDocument/2006/relationships/hyperlink" Target="http://archive.fo/LObye" TargetMode="External"/><Relationship Id="rId319" Type="http://schemas.openxmlformats.org/officeDocument/2006/relationships/hyperlink" Target="https://www.cbc.ca/news/canada/new-brunswick/trevor-doyle-puerto-rico-1.5091195" TargetMode="External"/><Relationship Id="rId318" Type="http://schemas.openxmlformats.org/officeDocument/2006/relationships/hyperlink" Target="https://www.fbi.gov/contact-us/field-offices/sanjuan/news/press-releases/arrest-of-joshua-landicho-and-trevor-l-doyle-for-attempted-sex-traffickingsexual-enticement-of-a-minor" TargetMode="External"/><Relationship Id="rId317" Type="http://schemas.openxmlformats.org/officeDocument/2006/relationships/hyperlink" Target="https://www.courtlistener.com/docket/14990519/united-states-v-maldonado/" TargetMode="External"/><Relationship Id="rId312" Type="http://schemas.openxmlformats.org/officeDocument/2006/relationships/hyperlink" Target="http://www.kcbd.com/2019/03/20/clovis-man-indicted-lubbock-kidnapping-cyber-stalking-enticement-minors/" TargetMode="External"/><Relationship Id="rId311" Type="http://schemas.openxmlformats.org/officeDocument/2006/relationships/hyperlink" Target="https://www.justice.gov/opa/pr/texas-man-indicted-charges-kidnapping-two-children-and-other-offenses" TargetMode="External"/><Relationship Id="rId310" Type="http://schemas.openxmlformats.org/officeDocument/2006/relationships/hyperlink" Target="https://www.justice.gov/usao-hi/pr/maui-man-sentenced-10-years-prison-attempted-sexual-enticement-14-year-old-girl-0" TargetMode="External"/><Relationship Id="rId297" Type="http://schemas.openxmlformats.org/officeDocument/2006/relationships/hyperlink" Target="http://archive.fo/uz2u8" TargetMode="External"/><Relationship Id="rId296" Type="http://schemas.openxmlformats.org/officeDocument/2006/relationships/hyperlink" Target="http://www.wfmj.com/story/40034647/vienna-man-accused-of-going-to-hermitage-for-sex-with-minor" TargetMode="External"/><Relationship Id="rId295" Type="http://schemas.openxmlformats.org/officeDocument/2006/relationships/hyperlink" Target="https://www.justice.gov/usao-ndga/pr/georgia-man-sentenced-traveling-atlanta-have-sex-eleven-year-old-child" TargetMode="External"/><Relationship Id="rId294" Type="http://schemas.openxmlformats.org/officeDocument/2006/relationships/hyperlink" Target="https://www.justice.gov/usao-edky/pr/california-man-sentenced-120-months-attempted-online-enticement-minor" TargetMode="External"/><Relationship Id="rId299" Type="http://schemas.openxmlformats.org/officeDocument/2006/relationships/hyperlink" Target="https://www.justice.gov/usao-mt/pr/informational-federal-court-arraignments-39" TargetMode="External"/><Relationship Id="rId298" Type="http://schemas.openxmlformats.org/officeDocument/2006/relationships/hyperlink" Target="https://www.justice.gov/usao-ne/pr/missouri-man-sentenced-10-years-child-enticement" TargetMode="External"/><Relationship Id="rId271" Type="http://schemas.openxmlformats.org/officeDocument/2006/relationships/hyperlink" Target="https://www.courtlistener.com/docket/14608959/united-states-v-ward/" TargetMode="External"/><Relationship Id="rId270" Type="http://schemas.openxmlformats.org/officeDocument/2006/relationships/hyperlink" Target="https://www.justice.gov/usao-sdwv/pr/five-defendants-plead-guilty-federal-court-traveling-have-sex-minors" TargetMode="External"/><Relationship Id="rId269" Type="http://schemas.openxmlformats.org/officeDocument/2006/relationships/hyperlink" Target="https://www.justice.gov/usao-sd/pr/man-porcupine-sentenced-two-years-prison-abusive-sexual-contact" TargetMode="External"/><Relationship Id="rId264" Type="http://schemas.openxmlformats.org/officeDocument/2006/relationships/hyperlink" Target="https://www.courtlistener.com/docket/8364328/united-states-v-hendricks/" TargetMode="External"/><Relationship Id="rId263" Type="http://schemas.openxmlformats.org/officeDocument/2006/relationships/hyperlink" Target="https://www.justice.gov/usao-sdoh/pr/priest-charged-sexually-abusing-filipino-boys" TargetMode="External"/><Relationship Id="rId262" Type="http://schemas.openxmlformats.org/officeDocument/2006/relationships/hyperlink" Target="https://www.courtlistener.com/docket/14604852/united-states-v-blue/" TargetMode="External"/><Relationship Id="rId261" Type="http://schemas.openxmlformats.org/officeDocument/2006/relationships/hyperlink" Target="https://www.justice.gov/usao-sd/pr/sisseton-man-charged-aggravated-sexual-abuse-child-appears-federal-court-0" TargetMode="External"/><Relationship Id="rId268" Type="http://schemas.openxmlformats.org/officeDocument/2006/relationships/hyperlink" Target="https://www.justice.gov/usao-ndok/pr/federal-grand-jury-criminal-indictments-announced-53" TargetMode="External"/><Relationship Id="rId267" Type="http://schemas.openxmlformats.org/officeDocument/2006/relationships/hyperlink" Target="https://www.courtlistener.com/docket/8433414/united-states-v-dietz/" TargetMode="External"/><Relationship Id="rId266" Type="http://schemas.openxmlformats.org/officeDocument/2006/relationships/hyperlink" Target="https://www.justice.gov/usao-wdky/pr/teacher-federal-custody-after-seeking-sex-minor" TargetMode="External"/><Relationship Id="rId265" Type="http://schemas.openxmlformats.org/officeDocument/2006/relationships/hyperlink" Target="https://www.justice.gov/usao-wdnc/pr/new-mexico-man-sentenced-15-years-transporting-minor-intent-engage-sexual-activity" TargetMode="External"/><Relationship Id="rId260" Type="http://schemas.openxmlformats.org/officeDocument/2006/relationships/hyperlink" Target="https://www.courtlistener.com/?q=&amp;type=r&amp;order_by=score+desc&amp;docket_number=3%3A18-cr-30165&amp;court=sdd" TargetMode="External"/><Relationship Id="rId259" Type="http://schemas.openxmlformats.org/officeDocument/2006/relationships/hyperlink" Target="https://www.justice.gov/usao-sd/pr/cherry-creek-man-charged-child-sexual-abuse-child-abuse-and-assault-dangerous-weapon" TargetMode="External"/><Relationship Id="rId258" Type="http://schemas.openxmlformats.org/officeDocument/2006/relationships/hyperlink" Target="https://krtv.com/news/crime-and-courts/2018/12/21/jensen-charged-with-coercion-and-enticement-of-minors-to-engage-in-sexual-activity/" TargetMode="External"/><Relationship Id="rId253" Type="http://schemas.openxmlformats.org/officeDocument/2006/relationships/hyperlink" Target="https://www.justice.gov/usao-edtx/pr/michigan-man-sentenced-coercion-and-enticement-child-east-texas" TargetMode="External"/><Relationship Id="rId252" Type="http://schemas.openxmlformats.org/officeDocument/2006/relationships/hyperlink" Target="https://www.courtlistener.com/docket/14512679/united-states-v-dunlap/" TargetMode="External"/><Relationship Id="rId251" Type="http://schemas.openxmlformats.org/officeDocument/2006/relationships/hyperlink" Target="https://www.justice.gov/usao-mdfl/pr/st-augustine-man-sentenced-more-14-years-federal-prison-attempting-entice-two-young" TargetMode="External"/><Relationship Id="rId250" Type="http://schemas.openxmlformats.org/officeDocument/2006/relationships/hyperlink" Target="https://www.courtlistener.com/docket/8143306/united-states-v-blaine/" TargetMode="External"/><Relationship Id="rId257" Type="http://schemas.openxmlformats.org/officeDocument/2006/relationships/hyperlink" Target="https://www.justice.gov/usao-mt/pr/former-custer-county-high-school-athletic-trainer-charged-coercion" TargetMode="External"/><Relationship Id="rId256" Type="http://schemas.openxmlformats.org/officeDocument/2006/relationships/hyperlink" Target="https://www.courtlistener.com/?q=&amp;type=r&amp;order_by=score+desc&amp;docket_number=1%3A18-cr-00148&amp;court=mtd" TargetMode="External"/><Relationship Id="rId255" Type="http://schemas.openxmlformats.org/officeDocument/2006/relationships/hyperlink" Target="https://www.courtlistener.com/docket/14748209/united-states-v-varian/" TargetMode="External"/><Relationship Id="rId254" Type="http://schemas.openxmlformats.org/officeDocument/2006/relationships/hyperlink" Target="https://www.courtlistener.com/docket/15005999/united-states-v-little/" TargetMode="External"/><Relationship Id="rId293" Type="http://schemas.openxmlformats.org/officeDocument/2006/relationships/hyperlink" Target="https://www.courtlistener.com/docket/14590692/united-states-v-curley/" TargetMode="External"/><Relationship Id="rId292" Type="http://schemas.openxmlformats.org/officeDocument/2006/relationships/hyperlink" Target="https://www.justice.gov/usao-ndga/pr/truck-driver-sentenced-17-years-prison-traveling-atlanta-engage-sex-acts-child" TargetMode="External"/><Relationship Id="rId291" Type="http://schemas.openxmlformats.org/officeDocument/2006/relationships/hyperlink" Target="https://www.justice.gov/usao-mdfl/pr/georgia-man-indicted-federal-charge-using-internet-attempting-entice-child-engage" TargetMode="External"/><Relationship Id="rId290" Type="http://schemas.openxmlformats.org/officeDocument/2006/relationships/hyperlink" Target="https://www.justice.gov/opa/pr/kentucky-man-sentenced-prison-engaging-illicit-sexual-conduct-while-traveling-and-residing" TargetMode="External"/><Relationship Id="rId286" Type="http://schemas.openxmlformats.org/officeDocument/2006/relationships/hyperlink" Target="https://www.justice.gov/usao-sdal/pr/husband-and-wife-sentenced-child-sex-abuse-case-husband-receives-40-years-prison-wife" TargetMode="External"/><Relationship Id="rId285" Type="http://schemas.openxmlformats.org/officeDocument/2006/relationships/hyperlink" Target="https://www.justice.gov/usao-sdms/pr/choctaw-man-pleads-guilty-sexual-abuse-minor-0" TargetMode="External"/><Relationship Id="rId284" Type="http://schemas.openxmlformats.org/officeDocument/2006/relationships/hyperlink" Target="https://www.justice.gov/usao-sdia/pr/omaha-man-sentenced-prison-travel-intent-engage-sex-minor" TargetMode="External"/><Relationship Id="rId283" Type="http://schemas.openxmlformats.org/officeDocument/2006/relationships/hyperlink" Target="https://www.justice.gov/usao-sdwv/pr/two-project-safe-childhood-defendants-plead-guilty" TargetMode="External"/><Relationship Id="rId289" Type="http://schemas.openxmlformats.org/officeDocument/2006/relationships/hyperlink" Target="https://archive.vn/r8olv" TargetMode="External"/><Relationship Id="rId288" Type="http://schemas.openxmlformats.org/officeDocument/2006/relationships/hyperlink" Target="https://archive.vn/yG5t1" TargetMode="External"/><Relationship Id="rId287" Type="http://schemas.openxmlformats.org/officeDocument/2006/relationships/hyperlink" Target="https://www.fox10tv.com/news/mobile_county/alabama-husband-wife-sentenced-for-the-sexual-abuse-of-their-adopted-children/article_8ad2987a-0cb0-11ea-b0e1-c742f3bd86d2.html" TargetMode="External"/><Relationship Id="rId282" Type="http://schemas.openxmlformats.org/officeDocument/2006/relationships/hyperlink" Target="https://www.courier-journal.com/story/news/crime/2019/01/28/ex-louisville-police-officer-charged-attempting-entice-minor/2703126002/" TargetMode="External"/><Relationship Id="rId281" Type="http://schemas.openxmlformats.org/officeDocument/2006/relationships/hyperlink" Target="https://www.justice.gov/usao-wdky/pr/former-lmpd-officer-pleads-guilty-attempted-enticement" TargetMode="External"/><Relationship Id="rId280" Type="http://schemas.openxmlformats.org/officeDocument/2006/relationships/hyperlink" Target="https://www.courtlistener.com/docket/14892839/united-states-v-leader-charge/" TargetMode="External"/><Relationship Id="rId275" Type="http://schemas.openxmlformats.org/officeDocument/2006/relationships/hyperlink" Target="https://www.justice.gov/usao-nd/pr/bismarck-man-indicted-multiple-child-sexual-abuse-charges-fort-berthold-indian" TargetMode="External"/><Relationship Id="rId274" Type="http://schemas.openxmlformats.org/officeDocument/2006/relationships/hyperlink" Target="https://www.courtlistener.com/docket/14974221/united-states-v-oldland/" TargetMode="External"/><Relationship Id="rId273" Type="http://schemas.openxmlformats.org/officeDocument/2006/relationships/hyperlink" Target="https://www.justice.gov/usao-wdpa/pr/judge-sentences-man-10-years-prison-project-safe-childhood-case" TargetMode="External"/><Relationship Id="rId272" Type="http://schemas.openxmlformats.org/officeDocument/2006/relationships/hyperlink" Target="https://www.justice.gov/usao-ri/pr/new-jersey-man-sentenced-interstate-travel-engage-illicit-sex" TargetMode="External"/><Relationship Id="rId279" Type="http://schemas.openxmlformats.org/officeDocument/2006/relationships/hyperlink" Target="https://www.justice.gov/usao-sd/pr/rosebud-man-sentenced-abusive-sexual-contact-5" TargetMode="External"/><Relationship Id="rId278" Type="http://schemas.openxmlformats.org/officeDocument/2006/relationships/hyperlink" Target="https://www.justice.gov/usao-sd/pr/eagle-butte-man-charged-sexual-abuse-minor-1" TargetMode="External"/><Relationship Id="rId277" Type="http://schemas.openxmlformats.org/officeDocument/2006/relationships/hyperlink" Target="https://www.justice.gov/usao-az/pr/tuba-city-man-sentenced-prison-sexually-abusing-minor-and-possessing-methamphetamine" TargetMode="External"/><Relationship Id="rId276" Type="http://schemas.openxmlformats.org/officeDocument/2006/relationships/hyperlink" Target="https://www.courtlistener.com/docket/14556907/united-states-v-smith/" TargetMode="External"/><Relationship Id="rId228" Type="http://schemas.openxmlformats.org/officeDocument/2006/relationships/hyperlink" Target="https://www.justice.gov/usao-nd/pr/north-dakota-us-attorney-s-office-announces-recent-indictments-and-sentencing-sexual" TargetMode="External"/><Relationship Id="rId227" Type="http://schemas.openxmlformats.org/officeDocument/2006/relationships/hyperlink" Target="https://www.courtlistener.com/docket/8081424/united-states-v-jensen/" TargetMode="External"/><Relationship Id="rId226" Type="http://schemas.openxmlformats.org/officeDocument/2006/relationships/hyperlink" Target="https://www.justice.gov/usao-mdga/pr/federal-grand-jury-returns-indictments-charging-6-individuals" TargetMode="External"/><Relationship Id="rId225" Type="http://schemas.openxmlformats.org/officeDocument/2006/relationships/hyperlink" Target="https://www.courtlistener.com/docket/8075283/united-states-v-dowty/" TargetMode="External"/><Relationship Id="rId229" Type="http://schemas.openxmlformats.org/officeDocument/2006/relationships/hyperlink" Target="https://www.courtlistener.com/docket/13585054/united-states-v-lone-bear/" TargetMode="External"/><Relationship Id="rId220" Type="http://schemas.openxmlformats.org/officeDocument/2006/relationships/hyperlink" Target="https://www.justice.gov/usao-wdny/pr/chenango-county-man-pleads-guilty-trying-have-sex-13-year-old-girl" TargetMode="External"/><Relationship Id="rId224" Type="http://schemas.openxmlformats.org/officeDocument/2006/relationships/hyperlink" Target="https://www.justice.gov/usao-sd/pr/pine-ridge-man-found-guilty-aggravated-sexual-abuse-minor" TargetMode="External"/><Relationship Id="rId223" Type="http://schemas.openxmlformats.org/officeDocument/2006/relationships/hyperlink" Target="https://www.justice.gov/usao-sd/pr/sisseton-man-charged-aggravated-sexual-abuse-child-appears-federal-court" TargetMode="External"/><Relationship Id="rId222" Type="http://schemas.openxmlformats.org/officeDocument/2006/relationships/hyperlink" Target="https://www.courtlistener.com/docket/7981505/united-states-v-kemp/" TargetMode="External"/><Relationship Id="rId221" Type="http://schemas.openxmlformats.org/officeDocument/2006/relationships/hyperlink" Target="https://www.justice.gov/usao-ndoh/pr/toledo-man-indicted-attempting-coerce-minor-sex" TargetMode="External"/><Relationship Id="rId217" Type="http://schemas.openxmlformats.org/officeDocument/2006/relationships/hyperlink" Target="https://www.justice.gov/usao-az/pr/navajo-man-sentenced-36-years-prison-seven-counts-aggravated-sexual-abuse-child" TargetMode="External"/><Relationship Id="rId216" Type="http://schemas.openxmlformats.org/officeDocument/2006/relationships/hyperlink" Target="https://www.justice.gov/usao-sd/pr/white-river-man-indicted-sexual-abuse-charges" TargetMode="External"/><Relationship Id="rId215" Type="http://schemas.openxmlformats.org/officeDocument/2006/relationships/hyperlink" Target="https://www.courtlistener.com/docket/7863924/united-states-v-ashley/" TargetMode="External"/><Relationship Id="rId214" Type="http://schemas.openxmlformats.org/officeDocument/2006/relationships/hyperlink" Target="https://www.courtlistener.com/docket/7864574/united-states-v-brave/" TargetMode="External"/><Relationship Id="rId219" Type="http://schemas.openxmlformats.org/officeDocument/2006/relationships/hyperlink" Target="https://www.courtlistener.com/docket/7831639/united-states-v-magee/" TargetMode="External"/><Relationship Id="rId218" Type="http://schemas.openxmlformats.org/officeDocument/2006/relationships/hyperlink" Target="https://www.justice.gov/usao-sdms/pr/purvis-man-sentenced-10-months-sending-obscenematerial-minor" TargetMode="External"/><Relationship Id="rId213" Type="http://schemas.openxmlformats.org/officeDocument/2006/relationships/hyperlink" Target="https://www.courtlistener.com/docket/14549097/united-states-v-smith/" TargetMode="External"/><Relationship Id="rId212" Type="http://schemas.openxmlformats.org/officeDocument/2006/relationships/hyperlink" Target="https://www.justice.gov/usao-mt/pr/judge-sentences-browning-man-prison-sex-abuse-minor" TargetMode="External"/><Relationship Id="rId211" Type="http://schemas.openxmlformats.org/officeDocument/2006/relationships/hyperlink" Target="https://www.courtlistener.com/docket/14926481/united-states-v-thomas/" TargetMode="External"/><Relationship Id="rId210" Type="http://schemas.openxmlformats.org/officeDocument/2006/relationships/hyperlink" Target="https://www.justice.gov/usao-sdia/pr/pottawattamie-county-man-sentenced-coercion-and-enticement-minor" TargetMode="External"/><Relationship Id="rId249" Type="http://schemas.openxmlformats.org/officeDocument/2006/relationships/hyperlink" Target="https://www.justice.gov/usao-sd/pr/lake-andes-man-sentenced-abusive-sexual-contact-child" TargetMode="External"/><Relationship Id="rId248" Type="http://schemas.openxmlformats.org/officeDocument/2006/relationships/hyperlink" Target="https://dailyvoice.com/connecticut/westport/news/school-bus-driver-charged-with-sexually-soliciting-teenage-passenger/744181/" TargetMode="External"/><Relationship Id="rId247" Type="http://schemas.openxmlformats.org/officeDocument/2006/relationships/hyperlink" Target="http://archive.fo/aPuzO" TargetMode="External"/><Relationship Id="rId242" Type="http://schemas.openxmlformats.org/officeDocument/2006/relationships/hyperlink" Target="https://www.justice.gov/usao-ndoh/pr/wooster-man-indicted-attempting-induce-what-he-believed-was-13-year-old-boy-have-sex" TargetMode="External"/><Relationship Id="rId241" Type="http://schemas.openxmlformats.org/officeDocument/2006/relationships/hyperlink" Target="https://www.justice.gov/usao-mdfl/pr/st-augustine-man-charged-using-internet-entice-and-meet-child-engage-sexual-activity" TargetMode="External"/><Relationship Id="rId240" Type="http://schemas.openxmlformats.org/officeDocument/2006/relationships/hyperlink" Target="https://www.courtlistener.com/docket/14789743/united-states-v-seeley/" TargetMode="External"/><Relationship Id="rId246" Type="http://schemas.openxmlformats.org/officeDocument/2006/relationships/hyperlink" Target="http://archive.fo/AsOZa" TargetMode="External"/><Relationship Id="rId245" Type="http://schemas.openxmlformats.org/officeDocument/2006/relationships/hyperlink" Target="https://beta.washingtonpost.com/local/public-safety/three-teens-allege-abuse-by-catholic-priest-in-dc-court-papers/2018/11/08/4c941e58-e36c-11e8-8f5f-a55347f48762_story.html?noredirect=on" TargetMode="External"/><Relationship Id="rId244" Type="http://schemas.openxmlformats.org/officeDocument/2006/relationships/hyperlink" Target="https://www.justice.gov/usao-dc/pr/district-clergy-member-found-guilty-multiple-counts-child-sexual-abuse" TargetMode="External"/><Relationship Id="rId243" Type="http://schemas.openxmlformats.org/officeDocument/2006/relationships/hyperlink" Target="https://www.courtlistener.com/docket/8408913/united-states-v-nash/" TargetMode="External"/><Relationship Id="rId239" Type="http://schemas.openxmlformats.org/officeDocument/2006/relationships/hyperlink" Target="https://www.khou.com/article/news/local/texas/e-texas-man-arrested-in-plot-to-rape-murder-and-eat-girl/285-609075589" TargetMode="External"/><Relationship Id="rId238" Type="http://schemas.openxmlformats.org/officeDocument/2006/relationships/hyperlink" Target="https://www.justice.gov/usao-edtx/pr/shelby-county-man-arrested-child-exploitation-charges" TargetMode="External"/><Relationship Id="rId237" Type="http://schemas.openxmlformats.org/officeDocument/2006/relationships/hyperlink" Target="https://www.justice.gov/usao-nh/pr/massachusetts-man-pleads-guilty-traveling-new-hampshire-engage-illicit-sexual-conduct" TargetMode="External"/><Relationship Id="rId236" Type="http://schemas.openxmlformats.org/officeDocument/2006/relationships/hyperlink" Target="https://www.justice.gov/usao-nh/pr/massachusetts-man-pleads-guilty-traveling-new-hampshire-engage-illicit-sexual-conduct" TargetMode="External"/><Relationship Id="rId231" Type="http://schemas.openxmlformats.org/officeDocument/2006/relationships/hyperlink" Target="https://www.courtlistener.com/docket/8039403/united-states-v-sloan/" TargetMode="External"/><Relationship Id="rId230" Type="http://schemas.openxmlformats.org/officeDocument/2006/relationships/hyperlink" Target="https://www.tulsaworld.com/news/local/crime-and-courts/former-coach-pleads-guilty-to-federal-sex-crimes-charge-after/article_bbb95438-cfd3-5099-994b-77d7d33d1a41.html" TargetMode="External"/><Relationship Id="rId235" Type="http://schemas.openxmlformats.org/officeDocument/2006/relationships/hyperlink" Target="https://www.dallasnews.com/news/crime/2018/10/03/texas-teacher-dreamed-rolling-around-bed-student-told-mom-wasnt-predator-feds-say" TargetMode="External"/><Relationship Id="rId234" Type="http://schemas.openxmlformats.org/officeDocument/2006/relationships/hyperlink" Target="https://www.justice.gov/usao-ndtx/pr/high-school-art-teacher-charged-following-sexual-relationship-16-year-old-student" TargetMode="External"/><Relationship Id="rId233" Type="http://schemas.openxmlformats.org/officeDocument/2006/relationships/hyperlink" Target="http://archive.fo/7cVKI" TargetMode="External"/><Relationship Id="rId232" Type="http://schemas.openxmlformats.org/officeDocument/2006/relationships/hyperlink" Target="https://web.archive.org/web/20190415162316/https://www.tulsaworld.com/news/local/crime-and-courts/former-coach-pleads-guilty-to-federal-sex-crimes-charge-after/article_bbb95438-cfd3-5099-994b-77d7d33d1a41.html" TargetMode="External"/><Relationship Id="rId206" Type="http://schemas.openxmlformats.org/officeDocument/2006/relationships/hyperlink" Target="https://www.courtlistener.com/docket/6479152/united-states-v-kelley/" TargetMode="External"/><Relationship Id="rId205" Type="http://schemas.openxmlformats.org/officeDocument/2006/relationships/hyperlink" Target="https://www.justice.gov/usao-sdwv/pr/multiple-project-safe-childhood-psc-defendants-appear-federal-court" TargetMode="External"/><Relationship Id="rId204" Type="http://schemas.openxmlformats.org/officeDocument/2006/relationships/hyperlink" Target="https://www.justice.gov/usao-sd/pr/peever-man-charged-aggravated-sexual-abuse-child" TargetMode="External"/><Relationship Id="rId203" Type="http://schemas.openxmlformats.org/officeDocument/2006/relationships/hyperlink" Target="https://www.courtlistener.com/docket/7791463/united-states-v-malek/" TargetMode="External"/><Relationship Id="rId209" Type="http://schemas.openxmlformats.org/officeDocument/2006/relationships/hyperlink" Target="http://www.webcitation.org/77deWgbvV" TargetMode="External"/><Relationship Id="rId208" Type="http://schemas.openxmlformats.org/officeDocument/2006/relationships/hyperlink" Target="https://www.wtsp.com/article/news/local/florida/navy-lieutenant-accused-of-trying-to-have-sex-with-12-year-old-child-with-a-handicap/67-623588518" TargetMode="External"/><Relationship Id="rId207" Type="http://schemas.openxmlformats.org/officeDocument/2006/relationships/hyperlink" Target="https://www.justice.gov/usao-mdfl/pr/mayport-navy-lieutenant-pleads-guilty-using-internet-entice-and-meet-child-engage" TargetMode="External"/><Relationship Id="rId202" Type="http://schemas.openxmlformats.org/officeDocument/2006/relationships/hyperlink" Target="https://www.news4jax.com/news/former-dod-employee-pleads-guilty-in-child-enticement-case" TargetMode="External"/><Relationship Id="rId201" Type="http://schemas.openxmlformats.org/officeDocument/2006/relationships/hyperlink" Target="https://www.justice.gov/usao-sdga/pr/south-carolina-man-sentenced-prison-taking-minor-across-state-line-sex" TargetMode="External"/><Relationship Id="rId200" Type="http://schemas.openxmlformats.org/officeDocument/2006/relationships/hyperlink" Target="https://www.courtlistener.com/docket/14544183/united-states-v-reddin/" TargetMode="External"/><Relationship Id="rId509" Type="http://schemas.openxmlformats.org/officeDocument/2006/relationships/hyperlink" Target="https://www.wlbt.com/2020/07/20/ex-jackson-police-officer-indicted-federal-charges-related-may-child-exploitation-arrest/" TargetMode="External"/><Relationship Id="rId508" Type="http://schemas.openxmlformats.org/officeDocument/2006/relationships/hyperlink" Target="https://www.justice.gov/usao-sdms/pr/former-jackson-police-officer-charged-enticement-minor-and-obstruction-investigation" TargetMode="External"/><Relationship Id="rId503" Type="http://schemas.openxmlformats.org/officeDocument/2006/relationships/hyperlink" Target="https://www.justice.gov/usao-sdil/pr/fbi-undercover-operation-leads-federal-charges-14-men-attempting-meet-minors-sex" TargetMode="External"/><Relationship Id="rId502" Type="http://schemas.openxmlformats.org/officeDocument/2006/relationships/hyperlink" Target="https://www.justice.gov/usao-ndtx/pr/plano-man-convicted-enticing-12-year-old-girl" TargetMode="External"/><Relationship Id="rId501" Type="http://schemas.openxmlformats.org/officeDocument/2006/relationships/hyperlink" Target="http://archive.vn/wip/PYC86" TargetMode="External"/><Relationship Id="rId500" Type="http://schemas.openxmlformats.org/officeDocument/2006/relationships/hyperlink" Target="https://www.cbp.gov/newsroom/local-media-release/laredo-sector-border-patrol-continues-apprehend-child-molesters" TargetMode="External"/><Relationship Id="rId507" Type="http://schemas.openxmlformats.org/officeDocument/2006/relationships/hyperlink" Target="https://www.fbi.gov/contact-us/field-offices/elpaso/news/press-releases/joint-fbi-tx-dps-and-ep-county-constables-office-announce-the-results-of-operation-cerberus" TargetMode="External"/><Relationship Id="rId506" Type="http://schemas.openxmlformats.org/officeDocument/2006/relationships/hyperlink" Target="https://www.justice.gov/usao-wdny/pr/ohio-resident-indicted-charges-enticement-and-having-sex-minor" TargetMode="External"/><Relationship Id="rId505" Type="http://schemas.openxmlformats.org/officeDocument/2006/relationships/hyperlink" Target="https://www.justice.gov/usao-sdtx/pr/egyptian-national-charged-committing-offenses-against-south-texas-minor" TargetMode="External"/><Relationship Id="rId504" Type="http://schemas.openxmlformats.org/officeDocument/2006/relationships/hyperlink" Target="https://www.justice.gov/usao-sdil/pr/fbi-undercover-operation-leads-federal-charges-14-men-attempting-meet-minors-sex" TargetMode="External"/><Relationship Id="rId525" Type="http://schemas.openxmlformats.org/officeDocument/2006/relationships/hyperlink" Target="https://www.justice.gov/usao-mt/pr/informational-federal-court-arraignments-94" TargetMode="External"/><Relationship Id="rId524" Type="http://schemas.openxmlformats.org/officeDocument/2006/relationships/hyperlink" Target="https://www.justice.gov/usao-ndny/pr/greene-county-man-charged-attempted-enticement-child" TargetMode="External"/><Relationship Id="rId523" Type="http://schemas.openxmlformats.org/officeDocument/2006/relationships/hyperlink" Target="https://www.justice.gov/usao-sd/pr/eight-men-arrested-sex-trafficking-operation" TargetMode="External"/><Relationship Id="rId522" Type="http://schemas.openxmlformats.org/officeDocument/2006/relationships/hyperlink" Target="https://www.justice.gov/usao-sd/pr/eight-men-arrested-sex-trafficking-operation" TargetMode="External"/><Relationship Id="rId529" Type="http://schemas.openxmlformats.org/officeDocument/2006/relationships/hyperlink" Target="https://www.justice.gov/usao-cdil/pr/ten-men-arrested-charged-attempted-enticement-child-engage-sexual-activity" TargetMode="External"/><Relationship Id="rId528" Type="http://schemas.openxmlformats.org/officeDocument/2006/relationships/hyperlink" Target="https://www.justice.gov/usao-cdil/pr/ten-men-arrested-charged-attempted-enticement-child-engage-sexual-activity" TargetMode="External"/><Relationship Id="rId527" Type="http://schemas.openxmlformats.org/officeDocument/2006/relationships/hyperlink" Target="https://www.justice.gov/usao-cdil/pr/ten-men-arrested-charged-attempted-enticement-child-engage-sexual-activity" TargetMode="External"/><Relationship Id="rId526" Type="http://schemas.openxmlformats.org/officeDocument/2006/relationships/hyperlink" Target="https://www.justice.gov/usao-cdil/pr/ten-men-arrested-charged-attempted-enticement-child-engage-sexual-activity" TargetMode="External"/><Relationship Id="rId521" Type="http://schemas.openxmlformats.org/officeDocument/2006/relationships/hyperlink" Target="https://www.justice.gov/usao-sd/pr/eight-men-arrested-sex-trafficking-operation" TargetMode="External"/><Relationship Id="rId520" Type="http://schemas.openxmlformats.org/officeDocument/2006/relationships/hyperlink" Target="https://www.justice.gov/usao-sd/pr/eight-men-arrested-sex-trafficking-operation" TargetMode="External"/><Relationship Id="rId519" Type="http://schemas.openxmlformats.org/officeDocument/2006/relationships/hyperlink" Target="https://www.justice.gov/usao-sd/pr/eight-men-arrested-sex-trafficking-operation" TargetMode="External"/><Relationship Id="rId514" Type="http://schemas.openxmlformats.org/officeDocument/2006/relationships/hyperlink" Target="https://www.justice.gov/usao-ct/pr/navy-technician-sentenced-prison-sexually-abusing-minor-groton-sub-base" TargetMode="External"/><Relationship Id="rId513" Type="http://schemas.openxmlformats.org/officeDocument/2006/relationships/hyperlink" Target="https://www.justice.gov/usao-sd/pr/agency-village-man-charged-six-counts-aggravated-sexual-abuse-child-and-six-counts" TargetMode="External"/><Relationship Id="rId512" Type="http://schemas.openxmlformats.org/officeDocument/2006/relationships/hyperlink" Target="https://www.justice.gov/usao-ma/pr/plainville-man-charged-enticement-minor" TargetMode="External"/><Relationship Id="rId511" Type="http://schemas.openxmlformats.org/officeDocument/2006/relationships/hyperlink" Target="https://archive.vn/7Sfv4" TargetMode="External"/><Relationship Id="rId518" Type="http://schemas.openxmlformats.org/officeDocument/2006/relationships/hyperlink" Target="https://www.justice.gov/usao-sd/pr/eight-men-arrested-sex-trafficking-operation" TargetMode="External"/><Relationship Id="rId517" Type="http://schemas.openxmlformats.org/officeDocument/2006/relationships/hyperlink" Target="https://www.justice.gov/usao-ndny/pr/troy-man-charged-attempted-enticement-child" TargetMode="External"/><Relationship Id="rId516" Type="http://schemas.openxmlformats.org/officeDocument/2006/relationships/hyperlink" Target="https://www.justice.gov/usao-sdga/pr/former-fort-stewart-resident-indicted-federal-charges-sexual-abuse-child" TargetMode="External"/><Relationship Id="rId515" Type="http://schemas.openxmlformats.org/officeDocument/2006/relationships/hyperlink" Target="https://www.justice.gov/usao-ndny/pr/broome-county-man-arrested-charges-attempted-coercion-and-enticement-minor" TargetMode="External"/><Relationship Id="rId510" Type="http://schemas.openxmlformats.org/officeDocument/2006/relationships/hyperlink" Target="https://archive.vn/unATl" TargetMode="External"/><Relationship Id="rId590" Type="http://schemas.openxmlformats.org/officeDocument/2006/relationships/hyperlink" Target="https://www.justice.gov/usao-cdil/pr/nine-men-indicted-child-sex-crimes-charges-resulting-rock-island-fbi-investigation" TargetMode="External"/><Relationship Id="rId589" Type="http://schemas.openxmlformats.org/officeDocument/2006/relationships/hyperlink" Target="https://www.justice.gov/usao-cdil/pr/nine-men-indicted-child-sex-crimes-charges-resulting-rock-island-fbi-investigation" TargetMode="External"/><Relationship Id="rId588" Type="http://schemas.openxmlformats.org/officeDocument/2006/relationships/hyperlink" Target="https://www.justice.gov/usao-ndwv/pr/wood-county-man-indicted-violations-against-minor" TargetMode="External"/><Relationship Id="rId583" Type="http://schemas.openxmlformats.org/officeDocument/2006/relationships/hyperlink" Target="https://www.justice.gov/usao-sdtx/pr/two-men-indicted-attempting-transport-minor-victim-texas-louisiana-sex" TargetMode="External"/><Relationship Id="rId582" Type="http://schemas.openxmlformats.org/officeDocument/2006/relationships/hyperlink" Target="https://www.ice.gov/news/releases/ice-arrests-fugitive-child-sexual-predator-during-targeted-enforcement-operation" TargetMode="External"/><Relationship Id="rId581" Type="http://schemas.openxmlformats.org/officeDocument/2006/relationships/hyperlink" Target="https://www.justice.gov/usao-wdpa/pr/meadville-resident-indicted-child-sexual-exploitation-offenses" TargetMode="External"/><Relationship Id="rId580" Type="http://schemas.openxmlformats.org/officeDocument/2006/relationships/hyperlink" Target="https://www.justice.gov/usao-ndok/pr/quapaw-man-charged-sexual-abuse-minor-and-possessing-parts-protected-eagles" TargetMode="External"/><Relationship Id="rId587" Type="http://schemas.openxmlformats.org/officeDocument/2006/relationships/hyperlink" Target="https://www.justice.gov/usao-wdmo/pr/ohio-man-indicted-traveling-kc-meet-child-victim-sex" TargetMode="External"/><Relationship Id="rId586" Type="http://schemas.openxmlformats.org/officeDocument/2006/relationships/hyperlink" Target="https://www.justice.gov/usao-ndtx/pr/michigan-man-charged-transporting-minor-criminal-sexual-activity" TargetMode="External"/><Relationship Id="rId585" Type="http://schemas.openxmlformats.org/officeDocument/2006/relationships/hyperlink" Target="https://www.ice.gov/news/releases/ice-lodges-detainer-man-accused-child-sex-assault" TargetMode="External"/><Relationship Id="rId584" Type="http://schemas.openxmlformats.org/officeDocument/2006/relationships/hyperlink" Target="https://www.justice.gov/usao-wdny/pr/broome-county-man-arrested-charged-traveling-wyoming-county-attempt-have-sex-13-year" TargetMode="External"/><Relationship Id="rId579" Type="http://schemas.openxmlformats.org/officeDocument/2006/relationships/hyperlink" Target="https://www.justice.gov/usao-ndoh/pr/michigan-man-charged-traveling-toledo-engage-sexual-conduct-minor-0" TargetMode="External"/><Relationship Id="rId578" Type="http://schemas.openxmlformats.org/officeDocument/2006/relationships/hyperlink" Target="https://www.justice.gov/usao-ndok/pr/federal-grand-jury-b-indictments-announced-november" TargetMode="External"/><Relationship Id="rId577" Type="http://schemas.openxmlformats.org/officeDocument/2006/relationships/hyperlink" Target="https://www.justice.gov/usao-ndok/pr/federal-grand-jury-indictments-announced-november-2020" TargetMode="External"/><Relationship Id="rId572" Type="http://schemas.openxmlformats.org/officeDocument/2006/relationships/hyperlink" Target="https://www.justice.gov/usao-ri/pr/pawtucket-man-indicted-arraigned-alleged-attempted-enticement-minor" TargetMode="External"/><Relationship Id="rId571" Type="http://schemas.openxmlformats.org/officeDocument/2006/relationships/hyperlink" Target="https://www.fbi.gov/contact-us/field-offices/sanjuan/news/press-releases/arrest-of-carlos-alberto-arrieta-rojas" TargetMode="External"/><Relationship Id="rId570" Type="http://schemas.openxmlformats.org/officeDocument/2006/relationships/hyperlink" Target="https://www.justice.gov/usao-wdny/pr/guatemalan-man-indicted-enticement-charge-and-transporting-minor-have-sex" TargetMode="External"/><Relationship Id="rId576" Type="http://schemas.openxmlformats.org/officeDocument/2006/relationships/hyperlink" Target="https://www.justice.gov/usao-sd/pr/flandreau-man-charged-sexual-abuse-minor" TargetMode="External"/><Relationship Id="rId575" Type="http://schemas.openxmlformats.org/officeDocument/2006/relationships/hyperlink" Target="https://www.ice.gov/news/releases/former-university-michigan-professor-indicted-charges-child-exploitation-minor" TargetMode="External"/><Relationship Id="rId574" Type="http://schemas.openxmlformats.org/officeDocument/2006/relationships/hyperlink" Target="https://wreg.com/news/men-accused-of-enticing-minors-for-sex-arrested-by-mississippi-police/" TargetMode="External"/><Relationship Id="rId573" Type="http://schemas.openxmlformats.org/officeDocument/2006/relationships/hyperlink" Target="https://www.justice.gov/usao-ct/pr/norwich-man-charged-child-exploitation-offenses" TargetMode="External"/><Relationship Id="rId599" Type="http://schemas.openxmlformats.org/officeDocument/2006/relationships/hyperlink" Target="https://www.usmarshals.gov/news/chron/2020/121820.htm" TargetMode="External"/><Relationship Id="rId594" Type="http://schemas.openxmlformats.org/officeDocument/2006/relationships/hyperlink" Target="https://www.justice.gov/usao-cdil/pr/nine-men-indicted-child-sex-crimes-charges-resulting-rock-island-fbi-investigation" TargetMode="External"/><Relationship Id="rId593" Type="http://schemas.openxmlformats.org/officeDocument/2006/relationships/hyperlink" Target="https://www.justice.gov/usao-cdil/pr/nine-men-indicted-child-sex-crimes-charges-resulting-rock-island-fbi-investigation" TargetMode="External"/><Relationship Id="rId592" Type="http://schemas.openxmlformats.org/officeDocument/2006/relationships/hyperlink" Target="https://www.justice.gov/usao-cdil/pr/nine-men-indicted-child-sex-crimes-charges-resulting-rock-island-fbi-investigation" TargetMode="External"/><Relationship Id="rId591" Type="http://schemas.openxmlformats.org/officeDocument/2006/relationships/hyperlink" Target="https://www.justice.gov/usao-cdil/pr/nine-men-indicted-child-sex-crimes-charges-resulting-rock-island-fbi-investigation" TargetMode="External"/><Relationship Id="rId598" Type="http://schemas.openxmlformats.org/officeDocument/2006/relationships/hyperlink" Target="https://www.justice.gov/usao-sd/pr/lake-traverse-man-charged-aggravated-sexual-abuse-child" TargetMode="External"/><Relationship Id="rId597" Type="http://schemas.openxmlformats.org/officeDocument/2006/relationships/hyperlink" Target="https://www.justice.gov/usao-sdny/pr/defendant-charged-attempted-enticement-12-year-old-and-9-year-old-girls" TargetMode="External"/><Relationship Id="rId596" Type="http://schemas.openxmlformats.org/officeDocument/2006/relationships/hyperlink" Target="https://www.justice.gov/usao-ndny/pr/westchester-man-arrested-menands-child-enticement-charge" TargetMode="External"/><Relationship Id="rId595" Type="http://schemas.openxmlformats.org/officeDocument/2006/relationships/hyperlink" Target="https://www.justice.gov/usao-wdny/pr/salamanca-man-arrested-attempting-have-sex-14-year-old-girl" TargetMode="External"/><Relationship Id="rId547" Type="http://schemas.openxmlformats.org/officeDocument/2006/relationships/hyperlink" Target="https://archive.vn/OOjTi" TargetMode="External"/><Relationship Id="rId546" Type="http://schemas.openxmlformats.org/officeDocument/2006/relationships/hyperlink" Target="https://archive.vn/EwbzZ" TargetMode="External"/><Relationship Id="rId545" Type="http://schemas.openxmlformats.org/officeDocument/2006/relationships/hyperlink" Target="https://wsvn.com/news/us-world/new-york-gynecologist-charged-with-six-federal-sex-abuse-counts/" TargetMode="External"/><Relationship Id="rId544" Type="http://schemas.openxmlformats.org/officeDocument/2006/relationships/hyperlink" Target="https://www.justice.gov/usao-sdny/pr/former-obstetriciangynecologist-robert-hadden-charged-manhattan-federal-court-sexually" TargetMode="External"/><Relationship Id="rId549" Type="http://schemas.openxmlformats.org/officeDocument/2006/relationships/hyperlink" Target="https://www.justice.gov/usao-nm/pr/two-navajo-men-charged-sexual-abuse-minor-indian-country" TargetMode="External"/><Relationship Id="rId548" Type="http://schemas.openxmlformats.org/officeDocument/2006/relationships/hyperlink" Target="https://www.justice.gov/usao-sd/pr/fort-thompson-man-charged-sexual-abuse-minor-0" TargetMode="External"/><Relationship Id="rId543" Type="http://schemas.openxmlformats.org/officeDocument/2006/relationships/hyperlink" Target="https://www.justice.gov/usao-sd/pr/kyle-man-indicted-sexual-abuse-minor" TargetMode="External"/><Relationship Id="rId542" Type="http://schemas.openxmlformats.org/officeDocument/2006/relationships/hyperlink" Target="https://www.justice.gov/usao-co/pr/former-executive-officer-southern-ute-indian-tribe-indicted-sexual-assault-child" TargetMode="External"/><Relationship Id="rId541" Type="http://schemas.openxmlformats.org/officeDocument/2006/relationships/hyperlink" Target="https://www.justice.gov/usao-wdny/pr/geneva-man-charged-enticement-minor" TargetMode="External"/><Relationship Id="rId540" Type="http://schemas.openxmlformats.org/officeDocument/2006/relationships/hyperlink" Target="https://www.justice.gov/usao-mdpa/pr/cresco-man-indicted-online-child-enticement" TargetMode="External"/><Relationship Id="rId536" Type="http://schemas.openxmlformats.org/officeDocument/2006/relationships/hyperlink" Target="https://www.justice.gov/usao-edok/pr/forty-two-individuals-indicted-august-september-grand-juries" TargetMode="External"/><Relationship Id="rId535" Type="http://schemas.openxmlformats.org/officeDocument/2006/relationships/hyperlink" Target="https://www.justice.gov/usao-cdil/pr/ten-men-arrested-charged-attempted-enticement-child-engage-sexual-activity" TargetMode="External"/><Relationship Id="rId534" Type="http://schemas.openxmlformats.org/officeDocument/2006/relationships/hyperlink" Target="https://www.justice.gov/usao-cdil/pr/ten-men-arrested-charged-attempted-enticement-child-engage-sexual-activity" TargetMode="External"/><Relationship Id="rId533" Type="http://schemas.openxmlformats.org/officeDocument/2006/relationships/hyperlink" Target="https://www.justice.gov/usao-cdil/pr/ten-men-arrested-charged-attempted-enticement-child-engage-sexual-activity" TargetMode="External"/><Relationship Id="rId539" Type="http://schemas.openxmlformats.org/officeDocument/2006/relationships/hyperlink" Target="https://www.justice.gov/usao-edok/pr/forty-two-individuals-indicted-august-september-grand-juries" TargetMode="External"/><Relationship Id="rId538" Type="http://schemas.openxmlformats.org/officeDocument/2006/relationships/hyperlink" Target="https://www.ice.gov/news/releases/south-texas-man-sentenced-more-11-years-enticing-minor-social-media" TargetMode="External"/><Relationship Id="rId537" Type="http://schemas.openxmlformats.org/officeDocument/2006/relationships/hyperlink" Target="https://www.usmarshals.gov/news/chron/2020/100620a.htm" TargetMode="External"/><Relationship Id="rId532" Type="http://schemas.openxmlformats.org/officeDocument/2006/relationships/hyperlink" Target="https://www.justice.gov/usao-cdil/pr/ten-men-arrested-charged-attempted-enticement-child-engage-sexual-activity" TargetMode="External"/><Relationship Id="rId531" Type="http://schemas.openxmlformats.org/officeDocument/2006/relationships/hyperlink" Target="https://www.justice.gov/usao-cdil/pr/ten-men-arrested-charged-attempted-enticement-child-engage-sexual-activity" TargetMode="External"/><Relationship Id="rId530" Type="http://schemas.openxmlformats.org/officeDocument/2006/relationships/hyperlink" Target="https://www.justice.gov/usao-cdil/pr/ten-men-arrested-charged-attempted-enticement-child-engage-sexual-activity" TargetMode="External"/><Relationship Id="rId569" Type="http://schemas.openxmlformats.org/officeDocument/2006/relationships/hyperlink" Target="https://www.justice.gov/usao-ndny/pr/sex-offender-arrested-menands-attempting-entice-child" TargetMode="External"/><Relationship Id="rId568" Type="http://schemas.openxmlformats.org/officeDocument/2006/relationships/hyperlink" Target="https://www.justice.gov/usao-sd/pr/rapid-city-man-charged-sexual-abuse-0" TargetMode="External"/><Relationship Id="rId567" Type="http://schemas.openxmlformats.org/officeDocument/2006/relationships/hyperlink" Target="https://www.usmarshals.gov/news/chron/2020/100320.htm" TargetMode="External"/><Relationship Id="rId566" Type="http://schemas.openxmlformats.org/officeDocument/2006/relationships/hyperlink" Target="https://archive.vn/ploBl" TargetMode="External"/><Relationship Id="rId561" Type="http://schemas.openxmlformats.org/officeDocument/2006/relationships/hyperlink" Target="https://www.justice.gov/usao-nj/pr/three-men-charged-federal-sex-crimes-after-attempting-sexual-contact-children-they-met" TargetMode="External"/><Relationship Id="rId560" Type="http://schemas.openxmlformats.org/officeDocument/2006/relationships/hyperlink" Target="https://www.justice.gov/usao-ndok/pr/federal-grand-jury-b-indictments-announced-october" TargetMode="External"/><Relationship Id="rId565" Type="http://schemas.openxmlformats.org/officeDocument/2006/relationships/hyperlink" Target="https://archive.vn/hqMk9" TargetMode="External"/><Relationship Id="rId564" Type="http://schemas.openxmlformats.org/officeDocument/2006/relationships/hyperlink" Target="https://breaking911.com/deeply-disturbing-father-raped-10-month-old-daughter-to-death-da-says/" TargetMode="External"/><Relationship Id="rId563" Type="http://schemas.openxmlformats.org/officeDocument/2006/relationships/hyperlink" Target="https://www.justice.gov/usao-ndwv/pr/new-york-man-admits-taking-west-virginia-teen-across-state-lines-sex" TargetMode="External"/><Relationship Id="rId562" Type="http://schemas.openxmlformats.org/officeDocument/2006/relationships/hyperlink" Target="https://www.justice.gov/usao-ndok/pr/federal-grand-jury-indictments-announced-5" TargetMode="External"/><Relationship Id="rId558" Type="http://schemas.openxmlformats.org/officeDocument/2006/relationships/hyperlink" Target="https://www.justice.gov/usao-nm/pr/member-pueblo-jemez-faces-charges-sexual-abuse-minor" TargetMode="External"/><Relationship Id="rId557" Type="http://schemas.openxmlformats.org/officeDocument/2006/relationships/hyperlink" Target="https://www.justice.gov/usao-wdny/pr/albany-county-man-arrested-charged-attempted-enticement-minor" TargetMode="External"/><Relationship Id="rId556" Type="http://schemas.openxmlformats.org/officeDocument/2006/relationships/hyperlink" Target="https://www.justice.gov/usao-nj/pr/new-york-man-charged-attempted-illegal-sexual-conduct-minor" TargetMode="External"/><Relationship Id="rId555" Type="http://schemas.openxmlformats.org/officeDocument/2006/relationships/hyperlink" Target="https://archive.vn/wip/LTlwF" TargetMode="External"/><Relationship Id="rId559" Type="http://schemas.openxmlformats.org/officeDocument/2006/relationships/hyperlink" Target="https://www.justice.gov/usao-ndok/pr/federal-grand-jury-b-indictments-announced-october" TargetMode="External"/><Relationship Id="rId550" Type="http://schemas.openxmlformats.org/officeDocument/2006/relationships/hyperlink" Target="https://www.justice.gov/usao-sd/pr/pine-ridge-man-charged-aggravated-sexual-abuse-minor" TargetMode="External"/><Relationship Id="rId554" Type="http://schemas.openxmlformats.org/officeDocument/2006/relationships/hyperlink" Target="https://archive.vn/Lr8EG" TargetMode="External"/><Relationship Id="rId553" Type="http://schemas.openxmlformats.org/officeDocument/2006/relationships/hyperlink" Target="https://www.winknews.com/2020/09/22/charlotte-county-man-faces-83-charges-of-crimes-against-children/" TargetMode="External"/><Relationship Id="rId552" Type="http://schemas.openxmlformats.org/officeDocument/2006/relationships/hyperlink" Target="https://www.justice.gov/usao-nm/pr/mescalero-man-charged-aggravated-sexual-abuse-child" TargetMode="External"/><Relationship Id="rId551" Type="http://schemas.openxmlformats.org/officeDocument/2006/relationships/hyperlink" Target="https://www.justice.gov/usao-nm/pr/member-navajo-nation-charged-sexual-abuse-minor-indian-country" TargetMode="External"/><Relationship Id="rId495" Type="http://schemas.openxmlformats.org/officeDocument/2006/relationships/hyperlink" Target="https://www.justice.gov/usao-ri/pr/north-kingstown-man-charged-transferring-obscene-material-minor" TargetMode="External"/><Relationship Id="rId494" Type="http://schemas.openxmlformats.org/officeDocument/2006/relationships/hyperlink" Target="https://www.justice.gov/usao-ndny/pr/vermont-man-charged-traveling-meet-minor-sex" TargetMode="External"/><Relationship Id="rId493" Type="http://schemas.openxmlformats.org/officeDocument/2006/relationships/hyperlink" Target="https://www.justice.gov/usao-wdtx/pr/san-antonio-man-charged-transporting-minor-living-boston-texas-engage-sexual-relations" TargetMode="External"/><Relationship Id="rId492" Type="http://schemas.openxmlformats.org/officeDocument/2006/relationships/hyperlink" Target="https://www.justice.gov/usao-ndny/pr/syracuse-man-charged-attempted-enticement-minor" TargetMode="External"/><Relationship Id="rId499" Type="http://schemas.openxmlformats.org/officeDocument/2006/relationships/hyperlink" Target="http://archive.vn/nv2L1" TargetMode="External"/><Relationship Id="rId498" Type="http://schemas.openxmlformats.org/officeDocument/2006/relationships/hyperlink" Target="https://www.cbp.gov/newsroom/local-media-release/laredo-sector-border-patrol-continues-apprehend-child-molesters" TargetMode="External"/><Relationship Id="rId497" Type="http://schemas.openxmlformats.org/officeDocument/2006/relationships/hyperlink" Target="http://archive.vn/wip/FQJ6w" TargetMode="External"/><Relationship Id="rId496" Type="http://schemas.openxmlformats.org/officeDocument/2006/relationships/hyperlink" Target="https://www.cbp.gov/newsroom/local-media-release/laredo-sector-border-patrol-continues-apprehend-child-molesters" TargetMode="External"/><Relationship Id="rId409" Type="http://schemas.openxmlformats.org/officeDocument/2006/relationships/hyperlink" Target="https://www.justice.gov/usao-cdil/pr/nine-central-illinois-men-arrested-fbi-springfield-operation-charged-attempted" TargetMode="External"/><Relationship Id="rId404" Type="http://schemas.openxmlformats.org/officeDocument/2006/relationships/hyperlink" Target="https://archive.vn/JdeSW" TargetMode="External"/><Relationship Id="rId403" Type="http://schemas.openxmlformats.org/officeDocument/2006/relationships/hyperlink" Target="https://www.justice.gov/usao-mdfl/pr/jury-convicts-largo-man-attempting-entice-minor-engage-sexual-activity" TargetMode="External"/><Relationship Id="rId402" Type="http://schemas.openxmlformats.org/officeDocument/2006/relationships/hyperlink" Target="https://www.justice.gov/usao-ndny/pr/registered-sex-offender-charged-aggravated-sexual-abuse" TargetMode="External"/><Relationship Id="rId401" Type="http://schemas.openxmlformats.org/officeDocument/2006/relationships/hyperlink" Target="https://bloximages.newyork1.vip.townnews.com/stltoday.com/content/tncms/assets/v3/editorial/e/af/eafa30cd-0baf-594e-b6f0-4187a7e855f1/5d9e0d633b8c9.image.jpg?resize=225%2C193" TargetMode="External"/><Relationship Id="rId408" Type="http://schemas.openxmlformats.org/officeDocument/2006/relationships/hyperlink" Target="https://www.justice.gov/usao-wdar/pr/northwest-arkansas-man-sentenced-over-11-years-federal-prison-attempted-enticement" TargetMode="External"/><Relationship Id="rId407" Type="http://schemas.openxmlformats.org/officeDocument/2006/relationships/hyperlink" Target="https://www.justice.gov/usao-hi/pr/man-sentenced-ten-years-prison-attempted-sexual-enticement-minors" TargetMode="External"/><Relationship Id="rId406" Type="http://schemas.openxmlformats.org/officeDocument/2006/relationships/hyperlink" Target="https://www.justice.gov/usao-nj/pr/indiana-man-charged-attempted-online-enticement-child-engage-criminal-sexual-conduct" TargetMode="External"/><Relationship Id="rId405" Type="http://schemas.openxmlformats.org/officeDocument/2006/relationships/hyperlink" Target="https://archive.vn/lFeuY" TargetMode="External"/><Relationship Id="rId400" Type="http://schemas.openxmlformats.org/officeDocument/2006/relationships/hyperlink" Target="https://www.stltoday.com/news/local/crime-and-courts/rural-missouri-cop-caught-in-fbi-sting-in-wentzville-trying/article_ee71feb8-edae-5737-b7d1-668c664c3605.html" TargetMode="External"/><Relationship Id="rId469" Type="http://schemas.openxmlformats.org/officeDocument/2006/relationships/hyperlink" Target="https://www.fbi.gov/contact-us/field-offices/detroit/news/press-releases/wanted-fbi-fugitive-matthew-dietz-captured-in-alpena-michigan" TargetMode="External"/><Relationship Id="rId468" Type="http://schemas.openxmlformats.org/officeDocument/2006/relationships/hyperlink" Target="https://www.justice.gov/usao-wdny/pr/greee-man-arrested-and-charged-enticing-minor-engage-sexual-activity" TargetMode="External"/><Relationship Id="rId467" Type="http://schemas.openxmlformats.org/officeDocument/2006/relationships/hyperlink" Target="https://www.justice.gov/usao-sd/pr/box-elder-man-charged-attempting-entice-minor-using-internet" TargetMode="External"/><Relationship Id="rId462" Type="http://schemas.openxmlformats.org/officeDocument/2006/relationships/hyperlink" Target="https://www.justice.gov/usao-edva/pr/firefighter-pleads-guilty-attempted-coercion-and-enticement-minor" TargetMode="External"/><Relationship Id="rId461" Type="http://schemas.openxmlformats.org/officeDocument/2006/relationships/hyperlink" Target="https://www.justice.gov/usao-mdfl/pr/jacksonville-man-arrested-and-charged-attempting-entice-and-meet-12-year-old-child" TargetMode="External"/><Relationship Id="rId460" Type="http://schemas.openxmlformats.org/officeDocument/2006/relationships/hyperlink" Target="https://www.justice.gov/usao-cdil/pr/15-central-illinois-men-arrested-fbi-operation-kankakee-area" TargetMode="External"/><Relationship Id="rId466" Type="http://schemas.openxmlformats.org/officeDocument/2006/relationships/hyperlink" Target="https://www.justice.gov/usao-edtn/pr/indiana-man-charged-traveling-tennessee-have-sex-13-year-old-child" TargetMode="External"/><Relationship Id="rId465" Type="http://schemas.openxmlformats.org/officeDocument/2006/relationships/hyperlink" Target="https://www.justice.gov/usao-or/pr/warm-springs-man-charged-aggravated-sexual-abuse-minor-additional-victims-sought" TargetMode="External"/><Relationship Id="rId464" Type="http://schemas.openxmlformats.org/officeDocument/2006/relationships/hyperlink" Target="https://www.justice.gov/usao-sdia/pr/council-bluffs-man-pleads-guilty-coercion-and-enticement-foreign-exchange-students" TargetMode="External"/><Relationship Id="rId463" Type="http://schemas.openxmlformats.org/officeDocument/2006/relationships/hyperlink" Target="https://www.justice.gov/usao-mdfl/pr/georgia-attorney-sentenced-more-12-years-attempting-entice-minor-engage-sexual-activity" TargetMode="External"/><Relationship Id="rId459" Type="http://schemas.openxmlformats.org/officeDocument/2006/relationships/hyperlink" Target="https://www.justice.gov/usao-cdil/pr/15-central-illinois-men-arrested-fbi-operation-kankakee-area" TargetMode="External"/><Relationship Id="rId458" Type="http://schemas.openxmlformats.org/officeDocument/2006/relationships/hyperlink" Target="https://www.justice.gov/usao-cdil/pr/15-central-illinois-men-arrested-fbi-operation-kankakee-area" TargetMode="External"/><Relationship Id="rId457" Type="http://schemas.openxmlformats.org/officeDocument/2006/relationships/hyperlink" Target="https://www.justice.gov/usao-cdil/pr/15-central-illinois-men-arrested-fbi-operation-kankakee-area" TargetMode="External"/><Relationship Id="rId456" Type="http://schemas.openxmlformats.org/officeDocument/2006/relationships/hyperlink" Target="https://www.justice.gov/usao-cdil/pr/15-central-illinois-men-arrested-fbi-operation-kankakee-area" TargetMode="External"/><Relationship Id="rId451" Type="http://schemas.openxmlformats.org/officeDocument/2006/relationships/hyperlink" Target="https://www.justice.gov/usao-cdil/pr/15-central-illinois-men-arrested-fbi-operation-kankakee-area" TargetMode="External"/><Relationship Id="rId450" Type="http://schemas.openxmlformats.org/officeDocument/2006/relationships/hyperlink" Target="https://www.justice.gov/usao-cdil/pr/15-central-illinois-men-arrested-fbi-operation-kankakee-area" TargetMode="External"/><Relationship Id="rId455" Type="http://schemas.openxmlformats.org/officeDocument/2006/relationships/hyperlink" Target="https://www.justice.gov/usao-cdil/pr/15-central-illinois-men-arrested-fbi-operation-kankakee-area" TargetMode="External"/><Relationship Id="rId454" Type="http://schemas.openxmlformats.org/officeDocument/2006/relationships/hyperlink" Target="https://www.justice.gov/usao-cdil/pr/15-central-illinois-men-arrested-fbi-operation-kankakee-area" TargetMode="External"/><Relationship Id="rId453" Type="http://schemas.openxmlformats.org/officeDocument/2006/relationships/hyperlink" Target="https://www.justice.gov/usao-cdil/pr/15-central-illinois-men-arrested-fbi-operation-kankakee-area" TargetMode="External"/><Relationship Id="rId452" Type="http://schemas.openxmlformats.org/officeDocument/2006/relationships/hyperlink" Target="https://www.justice.gov/usao-cdil/pr/15-central-illinois-men-arrested-fbi-operation-kankakee-area" TargetMode="External"/><Relationship Id="rId491" Type="http://schemas.openxmlformats.org/officeDocument/2006/relationships/hyperlink" Target="https://www.justice.gov/usao-nj/pr/somerset-county-man-charged-online-enticement-minor-and-traveling-overseas-engage" TargetMode="External"/><Relationship Id="rId490" Type="http://schemas.openxmlformats.org/officeDocument/2006/relationships/hyperlink" Target="https://www.justice.gov/usao-ndia/pr/iowa-man-who-used-facebook-messenger-entice-12-year-old-sexual-activity-pleads-guilty" TargetMode="External"/><Relationship Id="rId489" Type="http://schemas.openxmlformats.org/officeDocument/2006/relationships/hyperlink" Target="https://www.justice.gov/usao-sdal/pr/mobile-man-sentenced-forty-years-prison-child-sex-abuse-case" TargetMode="External"/><Relationship Id="rId484" Type="http://schemas.openxmlformats.org/officeDocument/2006/relationships/hyperlink" Target="https://www.justice.gov/usao-edky/pr/frankfort-man-sentenced-120-months-attempting-entice-minor-online" TargetMode="External"/><Relationship Id="rId483" Type="http://schemas.openxmlformats.org/officeDocument/2006/relationships/hyperlink" Target="https://www.fbi.gov/contact-us/field-offices/stlouis/news/press-releases/arkansas-man-charged-with-traveling-to-missouri-with-intent-to-have-sex-with-minor" TargetMode="External"/><Relationship Id="rId482" Type="http://schemas.openxmlformats.org/officeDocument/2006/relationships/hyperlink" Target="https://archive.vn/wip/Qkm55" TargetMode="External"/><Relationship Id="rId481" Type="http://schemas.openxmlformats.org/officeDocument/2006/relationships/hyperlink" Target="https://archive.vn/MOYsB" TargetMode="External"/><Relationship Id="rId488" Type="http://schemas.openxmlformats.org/officeDocument/2006/relationships/hyperlink" Target="https://www.justice.gov/usao-nm/pr/las-cruces-man-pleads-guilty-attempted-coercion-and-enticement-minor" TargetMode="External"/><Relationship Id="rId487" Type="http://schemas.openxmlformats.org/officeDocument/2006/relationships/hyperlink" Target="https://archive.vn/BUQbi" TargetMode="External"/><Relationship Id="rId486" Type="http://schemas.openxmlformats.org/officeDocument/2006/relationships/hyperlink" Target="https://archive.vn/RyLlH" TargetMode="External"/><Relationship Id="rId485" Type="http://schemas.openxmlformats.org/officeDocument/2006/relationships/hyperlink" Target="https://www.fbi.gov/contact-us/field-offices/cincinnati/news/press-releases/chaminda-prabhath-palliyaguru-wanted-for-allegedly-raping-a-child-victim-in-franklin-county-now-in-custody" TargetMode="External"/><Relationship Id="rId480" Type="http://schemas.openxmlformats.org/officeDocument/2006/relationships/hyperlink" Target="https://www.washingtonpost.com/crime-law/2020/05/07/former-top-state-department-official-arrested-child-molestation-charges/" TargetMode="External"/><Relationship Id="rId479" Type="http://schemas.openxmlformats.org/officeDocument/2006/relationships/hyperlink" Target="https://www.justice.gov/usao-ndia/pr/edgerton-wisconsin-man-sentenced-federal-prison-enticement-child" TargetMode="External"/><Relationship Id="rId478" Type="http://schemas.openxmlformats.org/officeDocument/2006/relationships/hyperlink" Target="https://www.justice.gov/usao-pr/pr/united-states-attorney-s-office-indicts-14-cases-and-21-defendants" TargetMode="External"/><Relationship Id="rId473" Type="http://schemas.openxmlformats.org/officeDocument/2006/relationships/hyperlink" Target="https://archive.vn/Ajrak" TargetMode="External"/><Relationship Id="rId472" Type="http://schemas.openxmlformats.org/officeDocument/2006/relationships/hyperlink" Target="https://archive.vn/efiE2" TargetMode="External"/><Relationship Id="rId471" Type="http://schemas.openxmlformats.org/officeDocument/2006/relationships/hyperlink" Target="https://www.kalb.com/content/news/Glenmora-man-arrested-for-100-counts-of-rape-of-victim-under-age-of-13-569703281.html" TargetMode="External"/><Relationship Id="rId470" Type="http://schemas.openxmlformats.org/officeDocument/2006/relationships/hyperlink" Target="https://archive.vn/wip/5X9KP" TargetMode="External"/><Relationship Id="rId477" Type="http://schemas.openxmlformats.org/officeDocument/2006/relationships/hyperlink" Target="https://www.justice.gov/usao-ndny/pr/pennsylvania-man-arrested-attempted-enticement-and-coercion-minor" TargetMode="External"/><Relationship Id="rId476" Type="http://schemas.openxmlformats.org/officeDocument/2006/relationships/hyperlink" Target="https://www.justice.gov/usao-sdoh/pr/lancaster-man-pleads-guilty-attempting-sexually-coerce-minor" TargetMode="External"/><Relationship Id="rId475" Type="http://schemas.openxmlformats.org/officeDocument/2006/relationships/hyperlink" Target="https://www.justice.gov/usao-ndny/pr/western-massachusetts-man-charged-traveling-and-intending-meet-minor-sex" TargetMode="External"/><Relationship Id="rId474" Type="http://schemas.openxmlformats.org/officeDocument/2006/relationships/hyperlink" Target="https://www.justice.gov/usao-wdnc/pr/brooklyn-man-charged-traveling-charlotte-engage-sexual-activity-minor-appears-federal" TargetMode="External"/><Relationship Id="rId426" Type="http://schemas.openxmlformats.org/officeDocument/2006/relationships/hyperlink" Target="https://www.justice.gov/usao-ak/pr/bethel-elementary-principal-arrested-and-charged-attempted-coercion-and-enticement-minor" TargetMode="External"/><Relationship Id="rId425" Type="http://schemas.openxmlformats.org/officeDocument/2006/relationships/hyperlink" Target="https://www.justice.gov/usao-nv/pr/las-vegas-man-indicted-child-exploitation-violations" TargetMode="External"/><Relationship Id="rId424" Type="http://schemas.openxmlformats.org/officeDocument/2006/relationships/hyperlink" Target="https://www.justice.gov/usao-ndga/pr/fbi-sting-operation-nabs-four-men-charged-attempting-entice-minors-engage-sexual" TargetMode="External"/><Relationship Id="rId423" Type="http://schemas.openxmlformats.org/officeDocument/2006/relationships/hyperlink" Target="https://archive.vn/FC30q" TargetMode="External"/><Relationship Id="rId429" Type="http://schemas.openxmlformats.org/officeDocument/2006/relationships/hyperlink" Target="https://archive.vn/Tior4" TargetMode="External"/><Relationship Id="rId428" Type="http://schemas.openxmlformats.org/officeDocument/2006/relationships/hyperlink" Target="https://archive.vn/44oD3" TargetMode="External"/><Relationship Id="rId427" Type="http://schemas.openxmlformats.org/officeDocument/2006/relationships/hyperlink" Target="https://www.ktuu.com/content/news/Former-Bethel-elementary-school-principal-indicted-on-two-new-charges-569733501.html" TargetMode="External"/><Relationship Id="rId422" Type="http://schemas.openxmlformats.org/officeDocument/2006/relationships/hyperlink" Target="https://archive.vn/wip/fZJA4" TargetMode="External"/><Relationship Id="rId421" Type="http://schemas.openxmlformats.org/officeDocument/2006/relationships/hyperlink" Target="https://www.msn.com/en-us/news/crime/seminole-man-sentenced-to-life-in-prison-for-sexually-abusing-boy-in-multiple-states/ar-BB1c3F8L" TargetMode="External"/><Relationship Id="rId420" Type="http://schemas.openxmlformats.org/officeDocument/2006/relationships/hyperlink" Target="https://www.justice.gov/usao-ndtx/pr/west-texas-child-predator-sentenced-life-federal-prison" TargetMode="External"/><Relationship Id="rId415" Type="http://schemas.openxmlformats.org/officeDocument/2006/relationships/hyperlink" Target="https://archive.vn/GtAQp" TargetMode="External"/><Relationship Id="rId414" Type="http://schemas.openxmlformats.org/officeDocument/2006/relationships/hyperlink" Target="https://www.ajc.com/news/crime--law/internet-fortune-tellers-from-georgia-indicted-child-sex-tampering-charges/05sqXos1EYxYUWhDmswogO/" TargetMode="External"/><Relationship Id="rId413" Type="http://schemas.openxmlformats.org/officeDocument/2006/relationships/hyperlink" Target="https://archive.vn/wip/8HIc0" TargetMode="External"/><Relationship Id="rId412" Type="http://schemas.openxmlformats.org/officeDocument/2006/relationships/hyperlink" Target="https://archive.vn/wip/7E3cj" TargetMode="External"/><Relationship Id="rId419" Type="http://schemas.openxmlformats.org/officeDocument/2006/relationships/hyperlink" Target="https://www.justice.gov/usao-sd/pr/pukwana-man-charged-abusive-sexual-contact-child" TargetMode="External"/><Relationship Id="rId418" Type="http://schemas.openxmlformats.org/officeDocument/2006/relationships/hyperlink" Target="https://www.fbi.gov/contact-us/field-offices/sanjuan/news/press-releases/arrest-of-brad-eugene-collins-jr" TargetMode="External"/><Relationship Id="rId417" Type="http://schemas.openxmlformats.org/officeDocument/2006/relationships/hyperlink" Target="https://www.justice.gov/usao-sdga/pr/man-indicted-coercing-minors-sex-wife-accused-trying-persuade-victim-recant" TargetMode="External"/><Relationship Id="rId416" Type="http://schemas.openxmlformats.org/officeDocument/2006/relationships/hyperlink" Target="https://archive.vn/RD8TG" TargetMode="External"/><Relationship Id="rId411" Type="http://schemas.openxmlformats.org/officeDocument/2006/relationships/hyperlink" Target="https://www.oxygen.com/crime-news/leticia-lowery-ex-texas-teacher-gets-20-years-for-sexually-abusing-teens" TargetMode="External"/><Relationship Id="rId410" Type="http://schemas.openxmlformats.org/officeDocument/2006/relationships/hyperlink" Target="https://www.justice.gov/usao-edwi/pr/menominee-man-charged-sexual-abuse-minor" TargetMode="External"/><Relationship Id="rId448" Type="http://schemas.openxmlformats.org/officeDocument/2006/relationships/hyperlink" Target="https://www.justice.gov/usao-cdil/pr/15-central-illinois-men-arrested-fbi-operation-kankakee-area" TargetMode="External"/><Relationship Id="rId447" Type="http://schemas.openxmlformats.org/officeDocument/2006/relationships/hyperlink" Target="https://www.justice.gov/usao-cdil/pr/15-central-illinois-men-arrested-fbi-operation-kankakee-area" TargetMode="External"/><Relationship Id="rId446" Type="http://schemas.openxmlformats.org/officeDocument/2006/relationships/hyperlink" Target="https://www.justice.gov/usao-cdil/pr/15-central-illinois-men-arrested-fbi-operation-kankakee-area" TargetMode="External"/><Relationship Id="rId445" Type="http://schemas.openxmlformats.org/officeDocument/2006/relationships/hyperlink" Target="https://www.justice.gov/usao-sd/pr/mclaughlin-man-charged-abusive-sexual-contact-child" TargetMode="External"/><Relationship Id="rId449" Type="http://schemas.openxmlformats.org/officeDocument/2006/relationships/hyperlink" Target="https://www.justice.gov/usao-cdil/pr/15-central-illinois-men-arrested-fbi-operation-kankakee-area" TargetMode="External"/><Relationship Id="rId440" Type="http://schemas.openxmlformats.org/officeDocument/2006/relationships/hyperlink" Target="https://www.justice.gov/usao-ks/pr/indictment-honduran-citizen-attacked-immigration-officers" TargetMode="External"/><Relationship Id="rId444" Type="http://schemas.openxmlformats.org/officeDocument/2006/relationships/hyperlink" Target="https://www.justice.gov/usao-edtn/pr/truck-driver-sentenced-25-years-prison-sexually-assaulting-minors-during-cross-countr-0" TargetMode="External"/><Relationship Id="rId443" Type="http://schemas.openxmlformats.org/officeDocument/2006/relationships/hyperlink" Target="https://www.justice.gov/usao-sd/pr/sicangu-village-man-indicted-aggravated-sexual-abuse" TargetMode="External"/><Relationship Id="rId442" Type="http://schemas.openxmlformats.org/officeDocument/2006/relationships/hyperlink" Target="https://www.justice.gov/usao-sd/pr/pine-ridge-man-charged-aggravated-sexual-abuse" TargetMode="External"/><Relationship Id="rId441" Type="http://schemas.openxmlformats.org/officeDocument/2006/relationships/hyperlink" Target="https://www.justice.gov/usao-edky/pr/maysville-man-pleads-guilty-attempted-enticement-minor" TargetMode="External"/><Relationship Id="rId437" Type="http://schemas.openxmlformats.org/officeDocument/2006/relationships/hyperlink" Target="https://www.justice.gov/usao-sd/pr/flandreau-man-charged-aggravated-sexual-abuse-child" TargetMode="External"/><Relationship Id="rId436" Type="http://schemas.openxmlformats.org/officeDocument/2006/relationships/hyperlink" Target="https://www.justice.gov/usao-sd/pr/rapid-city-man-indicted-kidnapping-juvenile" TargetMode="External"/><Relationship Id="rId435" Type="http://schemas.openxmlformats.org/officeDocument/2006/relationships/hyperlink" Target="https://www.fbi.gov/contact-us/field-offices/sacramento/news/press-releases/sacramento-fugitive-extradited-from-mexico" TargetMode="External"/><Relationship Id="rId434" Type="http://schemas.openxmlformats.org/officeDocument/2006/relationships/hyperlink" Target="https://www.justice.gov/usao-wdpa/pr/nevada-man-indicted-attempted-coercion-minor-and-travel-sex-charges" TargetMode="External"/><Relationship Id="rId439" Type="http://schemas.openxmlformats.org/officeDocument/2006/relationships/hyperlink" Target="https://www.justice.gov/usao-sd/pr/georgia-man-indicted-sexual-exploitation-minors" TargetMode="External"/><Relationship Id="rId438" Type="http://schemas.openxmlformats.org/officeDocument/2006/relationships/hyperlink" Target="https://www.justice.gov/usao-wdtx/pr/schertz-man-indicted-kidnapping-child-exploitation" TargetMode="External"/><Relationship Id="rId433" Type="http://schemas.openxmlformats.org/officeDocument/2006/relationships/hyperlink" Target="https://archive.vn/ZsIy5" TargetMode="External"/><Relationship Id="rId432" Type="http://schemas.openxmlformats.org/officeDocument/2006/relationships/hyperlink" Target="https://archive.vn/zmpOE" TargetMode="External"/><Relationship Id="rId431" Type="http://schemas.openxmlformats.org/officeDocument/2006/relationships/hyperlink" Target="https://www.theexaminernews.com/former-cold-spring-trustee-arrested-by-fbi-for-attempting-to-lure-teen/" TargetMode="External"/><Relationship Id="rId430" Type="http://schemas.openxmlformats.org/officeDocument/2006/relationships/hyperlink" Target="https://www.justice.gov/usao-sdny/pr/former-cold-spring-public-official-and-teacher-arrested-attempted-child-enticement" TargetMode="External"/><Relationship Id="rId1" Type="http://schemas.openxmlformats.org/officeDocument/2006/relationships/comments" Target="../comments2.xml"/><Relationship Id="rId2" Type="http://schemas.openxmlformats.org/officeDocument/2006/relationships/hyperlink" Target="https://rapidcityjournal.com/news/local/former-pine-ridge-pediatrician-charged-with-sexual-abuse-against-minors/article_4d6688dd-bcee-5412-b983-82ee63347261.html" TargetMode="External"/><Relationship Id="rId3" Type="http://schemas.openxmlformats.org/officeDocument/2006/relationships/hyperlink" Target="http://archive.fo/FS2Db" TargetMode="External"/><Relationship Id="rId4" Type="http://schemas.openxmlformats.org/officeDocument/2006/relationships/hyperlink" Target="https://www.oregonlive.com/pacific-northwest-news/2017/03/oregon_mayor_accused_of_solici.html" TargetMode="External"/><Relationship Id="rId9" Type="http://schemas.openxmlformats.org/officeDocument/2006/relationships/hyperlink" Target="https://www.justice.gov/usao-nd/pr/las-vegas-nv-man-sentenced-45-years-offenses-involving-transportation-one-year-old-child" TargetMode="External"/><Relationship Id="rId5" Type="http://schemas.openxmlformats.org/officeDocument/2006/relationships/hyperlink" Target="https://archive.vn/FcI5N" TargetMode="External"/><Relationship Id="rId6" Type="http://schemas.openxmlformats.org/officeDocument/2006/relationships/hyperlink" Target="https://archive.vn/wip/FWE18" TargetMode="External"/><Relationship Id="rId7" Type="http://schemas.openxmlformats.org/officeDocument/2006/relationships/hyperlink" Target="https://www.justice.gov/usao-sd/pr/jury-finds-pierre-man-guilty-7-felony-counts-related-aggravated-sexual-abuse-child" TargetMode="External"/><Relationship Id="rId8" Type="http://schemas.openxmlformats.org/officeDocument/2006/relationships/hyperlink" Target="https://www.justice.gov/usao-edar/pr/roland-man-sentenced-ten-years-prison-attempted-enticement-minor-engage-sex" TargetMode="External"/><Relationship Id="rId624" Type="http://schemas.openxmlformats.org/officeDocument/2006/relationships/drawing" Target="../drawings/drawing3.xml"/><Relationship Id="rId623" Type="http://schemas.openxmlformats.org/officeDocument/2006/relationships/hyperlink" Target="https://www.cbp.gov/newsroom/local-media-release/cbp-field-operations-hidalgo-international-bridge-arrests-man-wanted-1" TargetMode="External"/><Relationship Id="rId622" Type="http://schemas.openxmlformats.org/officeDocument/2006/relationships/hyperlink" Target="https://www.cbp.gov/newsroom/local-media-release/cbp-officers-arrest-three-men-sought-crimes-against-children" TargetMode="External"/><Relationship Id="rId621" Type="http://schemas.openxmlformats.org/officeDocument/2006/relationships/hyperlink" Target="https://www.justice.gov/usao-wdwa/pr/four-seattle-area-men-indicted-seeking-sexually-assault-children-during-fbi-online" TargetMode="External"/><Relationship Id="rId625" Type="http://schemas.openxmlformats.org/officeDocument/2006/relationships/vmlDrawing" Target="../drawings/vmlDrawing2.vml"/><Relationship Id="rId620" Type="http://schemas.openxmlformats.org/officeDocument/2006/relationships/hyperlink" Target="https://www.justice.gov/usao-wdwa/pr/four-seattle-area-men-indicted-seeking-sexually-assault-children-during-fbi-online" TargetMode="External"/><Relationship Id="rId619" Type="http://schemas.openxmlformats.org/officeDocument/2006/relationships/hyperlink" Target="https://www.justice.gov/usao-mdpa/pr/connecticut-man-charged-transportation-and-interstate-travel-intent-engage-criminal" TargetMode="External"/><Relationship Id="rId618" Type="http://schemas.openxmlformats.org/officeDocument/2006/relationships/hyperlink" Target="https://www.cbp.gov/newsroom/local-media-release/law-enforcement-cooperation-laredo-sector-leads-arrest-child-sex" TargetMode="External"/><Relationship Id="rId613" Type="http://schemas.openxmlformats.org/officeDocument/2006/relationships/hyperlink" Target="https://www.justice.gov/usao-nm/pr/mescalero-man-charged-sexual-abuse-child" TargetMode="External"/><Relationship Id="rId612" Type="http://schemas.openxmlformats.org/officeDocument/2006/relationships/hyperlink" Target="https://www.ice.gov/news/releases/ice-arrests-2-registered-sex-offenders-who-preyed-children-neighboring-communities" TargetMode="External"/><Relationship Id="rId611" Type="http://schemas.openxmlformats.org/officeDocument/2006/relationships/hyperlink" Target="https://www.ice.gov/news/releases/ice-arrests-2-registered-sex-offenders-who-preyed-children-neighboring-communities" TargetMode="External"/><Relationship Id="rId610" Type="http://schemas.openxmlformats.org/officeDocument/2006/relationships/hyperlink" Target="https://www.justice.gov/usao-ndny/pr/new-jersey-man-charged-traveling-across-state-lines-intending-engage-sexual-conduct" TargetMode="External"/><Relationship Id="rId617" Type="http://schemas.openxmlformats.org/officeDocument/2006/relationships/hyperlink" Target="https://www.cbp.gov/newsroom/local-media-release/20-year-old-man-arrested-charges-sexual-assault-child-donna" TargetMode="External"/><Relationship Id="rId616" Type="http://schemas.openxmlformats.org/officeDocument/2006/relationships/hyperlink" Target="https://www.cbp.gov/newsroom/local-media-release/dulles-cbp-arrests-nebraska-man-wanted-nebraska-charges-sexual-assault" TargetMode="External"/><Relationship Id="rId615" Type="http://schemas.openxmlformats.org/officeDocument/2006/relationships/hyperlink" Target="https://www.cbp.gov/newsroom/local-media-release/del-rio-border-patrol-agents-arrest-convicted-sex-offender" TargetMode="External"/><Relationship Id="rId614" Type="http://schemas.openxmlformats.org/officeDocument/2006/relationships/hyperlink" Target="https://www.usmarshals.gov/news/chron/2021/012721.htm" TargetMode="External"/><Relationship Id="rId609" Type="http://schemas.openxmlformats.org/officeDocument/2006/relationships/hyperlink" Target="https://www.cbp.gov/newsroom/local-media-release/yuma-agents-apprehend-sex-offender" TargetMode="External"/><Relationship Id="rId608" Type="http://schemas.openxmlformats.org/officeDocument/2006/relationships/hyperlink" Target="https://www.cbp.gov/newsroom/local-media-release/usbp-arrests-convicted-sex-offender-0" TargetMode="External"/><Relationship Id="rId607" Type="http://schemas.openxmlformats.org/officeDocument/2006/relationships/hyperlink" Target="https://www.cbp.gov/newsroom/local-media-release/laredo-cbp-officers-apprehend-fugitive-sought-sexual-assault-child" TargetMode="External"/><Relationship Id="rId602" Type="http://schemas.openxmlformats.org/officeDocument/2006/relationships/hyperlink" Target="https://www.cbp.gov/newsroom/local-media-release/bp-arrests-fugitive-wanted-mexico" TargetMode="External"/><Relationship Id="rId601" Type="http://schemas.openxmlformats.org/officeDocument/2006/relationships/hyperlink" Target="https://www.cbp.gov/newsroom/local-media-release/border-patrol-agents-arrest-man-wanted-sex-crimes" TargetMode="External"/><Relationship Id="rId600" Type="http://schemas.openxmlformats.org/officeDocument/2006/relationships/hyperlink" Target="https://www.justice.gov/usao-edok/pr/three-individuals-indicted-january-2021-federal-grand-jury" TargetMode="External"/><Relationship Id="rId606" Type="http://schemas.openxmlformats.org/officeDocument/2006/relationships/hyperlink" Target="https://www.cbp.gov/newsroom/local-media-release/laredo-cbp-officers-apprehend-fugitive-sought-child-sexual-assault" TargetMode="External"/><Relationship Id="rId605" Type="http://schemas.openxmlformats.org/officeDocument/2006/relationships/hyperlink" Target="https://archive.vn/wip/PfjLX" TargetMode="External"/><Relationship Id="rId604" Type="http://schemas.openxmlformats.org/officeDocument/2006/relationships/hyperlink" Target="https://www.cbp.gov/newsroom/local-media-release/convicted-sex-offender-previously-deported-arrested-romeo" TargetMode="External"/><Relationship Id="rId603" Type="http://schemas.openxmlformats.org/officeDocument/2006/relationships/hyperlink" Target="https://www.cbp.gov/newsroom/local-media-release/del-rio-sector-border-patrol-agents-make-significant-arrests-over" TargetMode="External"/><Relationship Id="rId190" Type="http://schemas.openxmlformats.org/officeDocument/2006/relationships/hyperlink" Target="https://www.justice.gov/usao-nj/pr/hoboken-man-charged-secretly-photographing-minor-cruise-ship" TargetMode="External"/><Relationship Id="rId194" Type="http://schemas.openxmlformats.org/officeDocument/2006/relationships/hyperlink" Target="https://www.justice.gov/usao-ndia/pr/former-cedar-falls-man-sentenced-27-months-federal-prison-attempted-transfer-obscene" TargetMode="External"/><Relationship Id="rId193" Type="http://schemas.openxmlformats.org/officeDocument/2006/relationships/hyperlink" Target="https://www.courtlistener.com/?q=&amp;type=r&amp;order_by=score+desc&amp;docket_number=1%3A18-cr-00173&amp;court=wied" TargetMode="External"/><Relationship Id="rId192" Type="http://schemas.openxmlformats.org/officeDocument/2006/relationships/hyperlink" Target="https://www.courtlistener.com/docket/7714429/united-states-v-woods-larry/" TargetMode="External"/><Relationship Id="rId191" Type="http://schemas.openxmlformats.org/officeDocument/2006/relationships/hyperlink" Target="https://www.justice.gov/usao-wdwi/pr/grand-jury-returns-indictments-78" TargetMode="External"/><Relationship Id="rId187" Type="http://schemas.openxmlformats.org/officeDocument/2006/relationships/hyperlink" Target="https://www.justice.gov/usao-wdla/pr/haughton-man-sentenced-90-months-federal-prison-persuading-minor-engage-illegal-sexual" TargetMode="External"/><Relationship Id="rId186" Type="http://schemas.openxmlformats.org/officeDocument/2006/relationships/hyperlink" Target="https://www.courtlistener.com/docket/8357158/united-states-v-cushman/" TargetMode="External"/><Relationship Id="rId185" Type="http://schemas.openxmlformats.org/officeDocument/2006/relationships/hyperlink" Target="https://fox59.com/2018/07/27/former-ingalls-fire-chief-faces-federal-charges-for-having-sexually-explicit-images-of-minor-on-phone-investigators-say/" TargetMode="External"/><Relationship Id="rId184" Type="http://schemas.openxmlformats.org/officeDocument/2006/relationships/hyperlink" Target="https://www.justice.gov/usao-sdin/pr/ingalls-indiana-fire-chief-faces-federal-child-exploitation-charges" TargetMode="External"/><Relationship Id="rId189" Type="http://schemas.openxmlformats.org/officeDocument/2006/relationships/hyperlink" Target="https://www.courtlistener.com/docket/14547103/united-states-v-lander/" TargetMode="External"/><Relationship Id="rId188" Type="http://schemas.openxmlformats.org/officeDocument/2006/relationships/hyperlink" Target="https://www.justice.gov/usao-ndtx/pr/new-mexico-man-convicted-amarillo-minor-sex-case" TargetMode="External"/><Relationship Id="rId183" Type="http://schemas.openxmlformats.org/officeDocument/2006/relationships/hyperlink" Target="https://www.courtlistener.com/docket/7507880/united-states-v-yellow-hair/" TargetMode="External"/><Relationship Id="rId182" Type="http://schemas.openxmlformats.org/officeDocument/2006/relationships/hyperlink" Target="https://www.justice.gov/usao-sd/pr/pine-ridge-man-sentenced-sexual-abuse-minor-2" TargetMode="External"/><Relationship Id="rId181" Type="http://schemas.openxmlformats.org/officeDocument/2006/relationships/hyperlink" Target="https://www.courtlistener.com/docket/7428236/united-states-v-rodriguez/" TargetMode="External"/><Relationship Id="rId180" Type="http://schemas.openxmlformats.org/officeDocument/2006/relationships/hyperlink" Target="https://www.justice.gov/usao-sdny/pr/former-federal-inspector-arrested-attempted-child-enticement" TargetMode="External"/><Relationship Id="rId176" Type="http://schemas.openxmlformats.org/officeDocument/2006/relationships/hyperlink" Target="https://www.justice.gov/usao-edpa/pr/defendant-who-raped-child-because-philadelphia-s-sanctuary-city-policies-sentenced" TargetMode="External"/><Relationship Id="rId175" Type="http://schemas.openxmlformats.org/officeDocument/2006/relationships/hyperlink" Target="https://www.courtlistener.com/docket/7104237/united-states-v-aungie/" TargetMode="External"/><Relationship Id="rId174" Type="http://schemas.openxmlformats.org/officeDocument/2006/relationships/hyperlink" Target="https://www.justice.gov/usao-sd/pr/wagner-man-sentenced-35-years-sexual-abuse" TargetMode="External"/><Relationship Id="rId173" Type="http://schemas.openxmlformats.org/officeDocument/2006/relationships/hyperlink" Target="https://www.justice.gov/usao-ndok/pr/former-military-dependent-sentenced-sexual-exploitation-child" TargetMode="External"/><Relationship Id="rId179" Type="http://schemas.openxmlformats.org/officeDocument/2006/relationships/hyperlink" Target="https://www.justice.gov/usao-sdin/pr/mississippi-man-faces-interstate-stalking-charges-five-year-long-crime-against" TargetMode="External"/><Relationship Id="rId178" Type="http://schemas.openxmlformats.org/officeDocument/2006/relationships/hyperlink" Target="https://www.justice.gov/usao-edar/pr/north-carolina-man-sentenced-15-years-prison-enticing-arkansas-minor-engage-sexual" TargetMode="External"/><Relationship Id="rId177" Type="http://schemas.openxmlformats.org/officeDocument/2006/relationships/hyperlink" Target="https://www.justice.gov/usao-edky/pr/cynthiana-man-sentenced-210-months-attempting-entice-minors-engage-sexual-activity" TargetMode="External"/><Relationship Id="rId198" Type="http://schemas.openxmlformats.org/officeDocument/2006/relationships/hyperlink" Target="https://www.courtlistener.com/docket/7105182/united-states-v-ewing/" TargetMode="External"/><Relationship Id="rId197" Type="http://schemas.openxmlformats.org/officeDocument/2006/relationships/hyperlink" Target="https://www.justice.gov/usao-ndwv/pr/maryland-man-sentenced-more-12-years-transporting-minor-across-state-lines-sex" TargetMode="External"/><Relationship Id="rId196" Type="http://schemas.openxmlformats.org/officeDocument/2006/relationships/hyperlink" Target="https://www.justice.gov/usao-sd/pr/minnesota-man-charged-aggravated-sexual-abuse-child" TargetMode="External"/><Relationship Id="rId195" Type="http://schemas.openxmlformats.org/officeDocument/2006/relationships/hyperlink" Target="https://www.courtlistener.com/docket/8114192/united-states-v-neberman/" TargetMode="External"/><Relationship Id="rId199" Type="http://schemas.openxmlformats.org/officeDocument/2006/relationships/hyperlink" Target="https://www.justice.gov/usao-wdar/pr/fayetteville-sex-offender-sentenced-10-years-federal-prison-attempted-online-enticement" TargetMode="External"/><Relationship Id="rId150" Type="http://schemas.openxmlformats.org/officeDocument/2006/relationships/hyperlink" Target="https://www.courtlistener.com/docket/6574622/united-states-v-vance/" TargetMode="External"/><Relationship Id="rId149" Type="http://schemas.openxmlformats.org/officeDocument/2006/relationships/hyperlink" Target="https://www.justice.gov/usao-mt/pr/former-tribal-police-officer-admits-child-abuse-fort-peck-reservation" TargetMode="External"/><Relationship Id="rId148" Type="http://schemas.openxmlformats.org/officeDocument/2006/relationships/hyperlink" Target="https://www.courtlistener.com/docket/7711696/united-states-v-varrin/" TargetMode="External"/><Relationship Id="rId143" Type="http://schemas.openxmlformats.org/officeDocument/2006/relationships/hyperlink" Target="https://www.justice.gov/usao-mdpa/pr/maryland-man-indicted-cyberstalking-and-attempted-sexual-exploitation-child" TargetMode="External"/><Relationship Id="rId142" Type="http://schemas.openxmlformats.org/officeDocument/2006/relationships/hyperlink" Target="https://www.justice.gov/usao-wdmo/pr/colorado-man-pleads-guilty-enticing-minor-illicit-sex" TargetMode="External"/><Relationship Id="rId141" Type="http://schemas.openxmlformats.org/officeDocument/2006/relationships/hyperlink" Target="https://www.justice.gov/usao-edpa/pr/florida-man-charged-traveling-across-state-lines-sex-minor" TargetMode="External"/><Relationship Id="rId140" Type="http://schemas.openxmlformats.org/officeDocument/2006/relationships/hyperlink" Target="https://www.courtlistener.com/?q=&amp;type=r&amp;order_by=score+desc&amp;docket_number=1%3A18-cr-00588&amp;court=txsd" TargetMode="External"/><Relationship Id="rId147" Type="http://schemas.openxmlformats.org/officeDocument/2006/relationships/hyperlink" Target="https://www.justice.gov/usao-ndfl/pr/man-sentenced-120-months-prison-attempted-enticement-minor" TargetMode="External"/><Relationship Id="rId146" Type="http://schemas.openxmlformats.org/officeDocument/2006/relationships/hyperlink" Target="https://www.courtlistener.com/docket/6891293/united-states-v-tschirhart/" TargetMode="External"/><Relationship Id="rId145" Type="http://schemas.openxmlformats.org/officeDocument/2006/relationships/hyperlink" Target="https://www.courtlistener.com/docket/6866135/united-states-v-martin/" TargetMode="External"/><Relationship Id="rId144" Type="http://schemas.openxmlformats.org/officeDocument/2006/relationships/hyperlink" Target="https://www.justice.gov/usao-sd/pr/nebraska-man-sentenced-sexual-abuse-minor" TargetMode="External"/><Relationship Id="rId139" Type="http://schemas.openxmlformats.org/officeDocument/2006/relationships/hyperlink" Target="https://www.justice.gov/usao-sdtx/pr/guatemalan-man-sentenced-transporting-minor-intent-engage-sexual-activity" TargetMode="External"/><Relationship Id="rId138" Type="http://schemas.openxmlformats.org/officeDocument/2006/relationships/hyperlink" Target="https://www.courtlistener.com/docket/7280749/united-states-v-chandler/" TargetMode="External"/><Relationship Id="rId137" Type="http://schemas.openxmlformats.org/officeDocument/2006/relationships/hyperlink" Target="https://www.justice.gov/usao-ndny/pr/glenville-man-charged-attempted-coercion-and-enticement-minor" TargetMode="External"/><Relationship Id="rId132" Type="http://schemas.openxmlformats.org/officeDocument/2006/relationships/hyperlink" Target="https://www.courtlistener.com/docket/14598650/united-states-v-bewanika/" TargetMode="External"/><Relationship Id="rId131" Type="http://schemas.openxmlformats.org/officeDocument/2006/relationships/hyperlink" Target="https://www.justice.gov/usao-nm/pr/zuni-pueblo-man-pleads-guilty-child-sexual-abuse-charges" TargetMode="External"/><Relationship Id="rId130" Type="http://schemas.openxmlformats.org/officeDocument/2006/relationships/hyperlink" Target="https://www.courtlistener.com/docket/6513529/united-states-v-harvey/" TargetMode="External"/><Relationship Id="rId136" Type="http://schemas.openxmlformats.org/officeDocument/2006/relationships/hyperlink" Target="http://archive.fo/ZCGrz" TargetMode="External"/><Relationship Id="rId135" Type="http://schemas.openxmlformats.org/officeDocument/2006/relationships/hyperlink" Target="https://www.courtlistener.com/docket/6945715/united-states-v-asbell/" TargetMode="External"/><Relationship Id="rId134" Type="http://schemas.openxmlformats.org/officeDocument/2006/relationships/hyperlink" Target="https://taskandpurpose.com/disabled-navy-vet-turned-georgia-cop-caught-in-online-child-sex-sting-at-robins-air-force-base" TargetMode="External"/><Relationship Id="rId133" Type="http://schemas.openxmlformats.org/officeDocument/2006/relationships/hyperlink" Target="https://www.justice.gov/usao-mdga/pr/retired-navy-vet-sentenced-120-months-prison-attempted-online-enticement-minor" TargetMode="External"/><Relationship Id="rId172" Type="http://schemas.openxmlformats.org/officeDocument/2006/relationships/hyperlink" Target="https://www.justice.gov/usao-ndok/pr/virginia-man-pleads-guilty-sexual-exploitation-child-under-military-extraterritorial" TargetMode="External"/><Relationship Id="rId171" Type="http://schemas.openxmlformats.org/officeDocument/2006/relationships/hyperlink" Target="https://www.justice.gov/usao-edok/pr/vian-man-pleads-guilty-attempted-sexual-abuse-minor" TargetMode="External"/><Relationship Id="rId170" Type="http://schemas.openxmlformats.org/officeDocument/2006/relationships/hyperlink" Target="https://www.justice.gov/usao-sd/pr/mission-man-charged-aggravated-sexual-abuse-child-0" TargetMode="External"/><Relationship Id="rId165" Type="http://schemas.openxmlformats.org/officeDocument/2006/relationships/hyperlink" Target="https://www.justice.gov/usao-ndfl/pr/honduran-man-pleads-guilty-transporting-local-minor-out-state-sex" TargetMode="External"/><Relationship Id="rId164" Type="http://schemas.openxmlformats.org/officeDocument/2006/relationships/hyperlink" Target="https://www.courtlistener.com/docket/7862088/united-states-v-smith/" TargetMode="External"/><Relationship Id="rId163" Type="http://schemas.openxmlformats.org/officeDocument/2006/relationships/hyperlink" Target="https://www.justice.gov/usao-ndtx/pr/ndtx-roundup-192019" TargetMode="External"/><Relationship Id="rId162" Type="http://schemas.openxmlformats.org/officeDocument/2006/relationships/hyperlink" Target="https://www.courtlistener.com/docket/8341877/united-states-v-fongers/" TargetMode="External"/><Relationship Id="rId169" Type="http://schemas.openxmlformats.org/officeDocument/2006/relationships/hyperlink" Target="https://www.courtlistener.com/docket/8345138/united-states-v-hill/" TargetMode="External"/><Relationship Id="rId168" Type="http://schemas.openxmlformats.org/officeDocument/2006/relationships/hyperlink" Target="https://www.justice.gov/usao-wdtn/pr/gibson-county-man-supervised-release-indicted-child-exploitation-charges" TargetMode="External"/><Relationship Id="rId167" Type="http://schemas.openxmlformats.org/officeDocument/2006/relationships/hyperlink" Target="https://www.courtlistener.com/?q=&amp;type=r&amp;order_by=score+desc&amp;docket_number=4%3A18-cr-00338&amp;court=ohnd" TargetMode="External"/><Relationship Id="rId166" Type="http://schemas.openxmlformats.org/officeDocument/2006/relationships/hyperlink" Target="https://www.justice.gov/usao-ndoh/pr/six-men-indicted-crimes-related-child-pornography-or-child-exploitation" TargetMode="External"/><Relationship Id="rId161" Type="http://schemas.openxmlformats.org/officeDocument/2006/relationships/hyperlink" Target="https://www.justice.gov/usao-wdtn/pr/us-attorney-announces-indictment-sixteen-individuals-federal-firearms-charges-ten-are" TargetMode="External"/><Relationship Id="rId160" Type="http://schemas.openxmlformats.org/officeDocument/2006/relationships/hyperlink" Target="https://www.justice.gov/usao-wdmo/pr/colorado-man-indicted-attempted-sexual-exploitation-minor" TargetMode="External"/><Relationship Id="rId159" Type="http://schemas.openxmlformats.org/officeDocument/2006/relationships/hyperlink" Target="http://archive.fo/0F7Ra" TargetMode="External"/><Relationship Id="rId154" Type="http://schemas.openxmlformats.org/officeDocument/2006/relationships/hyperlink" Target="https://www.justice.gov/usao-ri/pr/mass-man-indicted-attempted-enticement-minor-travel-engage-illicit-sex-attempting" TargetMode="External"/><Relationship Id="rId153" Type="http://schemas.openxmlformats.org/officeDocument/2006/relationships/hyperlink" Target="https://www.justice.gov/usao-wdny/pr/syracuse-man-sentenced-attempting-have-sex-minor" TargetMode="External"/><Relationship Id="rId152" Type="http://schemas.openxmlformats.org/officeDocument/2006/relationships/hyperlink" Target="https://www.justice.gov/usao-md/pr/north-carolina-man-sentenced-nine-years-federal-prison-traveling-maryland-engage-sexual" TargetMode="External"/><Relationship Id="rId151" Type="http://schemas.openxmlformats.org/officeDocument/2006/relationships/hyperlink" Target="https://www.justice.gov/usao-md/pr/north-carolina-man-pleads-guilty-traveling-engage-sexual-conduct-minor" TargetMode="External"/><Relationship Id="rId158" Type="http://schemas.openxmlformats.org/officeDocument/2006/relationships/hyperlink" Target="http://archive.fo/od8e8" TargetMode="External"/><Relationship Id="rId157" Type="http://schemas.openxmlformats.org/officeDocument/2006/relationships/hyperlink" Target="https://www.nydailynews.com/news/crime/ny-news-professor-indicted-sex-girl-20180629-story.html" TargetMode="External"/><Relationship Id="rId156" Type="http://schemas.openxmlformats.org/officeDocument/2006/relationships/hyperlink" Target="https://www.justice.gov/usao-wdmo/pr/former-university-professor-pleads-guilty-traveling-missouri-sex-minor" TargetMode="External"/><Relationship Id="rId155" Type="http://schemas.openxmlformats.org/officeDocument/2006/relationships/hyperlink" Target="https://www.courtlistener.com/docket/6863387/united-states-v-hansen/" TargetMode="External"/><Relationship Id="rId107" Type="http://schemas.openxmlformats.org/officeDocument/2006/relationships/hyperlink" Target="https://www.ice.gov/news/releases/former-texas-am-forest-service-firefighter-ordered-serve-30-years-sexual-assaulting" TargetMode="External"/><Relationship Id="rId106" Type="http://schemas.openxmlformats.org/officeDocument/2006/relationships/hyperlink" Target="https://www.justice.gov/usao-sdil/pr/cahokia-resident-charged-child-exploitation-offenses-and-tampering-witness" TargetMode="External"/><Relationship Id="rId105" Type="http://schemas.openxmlformats.org/officeDocument/2006/relationships/hyperlink" Target="https://www.justice.gov/usao-sdny/pr/long-island-home-school-tutor-charged-enticement" TargetMode="External"/><Relationship Id="rId104" Type="http://schemas.openxmlformats.org/officeDocument/2006/relationships/hyperlink" Target="https://www.courtlistener.com/docket/6333527/united-states-v-evans/" TargetMode="External"/><Relationship Id="rId109" Type="http://schemas.openxmlformats.org/officeDocument/2006/relationships/hyperlink" Target="http://archive.fo/yXIWe" TargetMode="External"/><Relationship Id="rId108" Type="http://schemas.openxmlformats.org/officeDocument/2006/relationships/hyperlink" Target="https://thegoldenhammer.net/pittman-pleads-guilty-to-sexual-abuse-of-child-sentenced-to-30-years-prison/" TargetMode="External"/><Relationship Id="rId103" Type="http://schemas.openxmlformats.org/officeDocument/2006/relationships/hyperlink" Target="https://www.justice.gov/usao-pr/pr/guilty-pleas-and-sentences" TargetMode="External"/><Relationship Id="rId102" Type="http://schemas.openxmlformats.org/officeDocument/2006/relationships/hyperlink" Target="https://www.justice.gov/usao-sd/pr/agency-village-man-charged-aggravated-sexual-abuse-child" TargetMode="External"/><Relationship Id="rId101" Type="http://schemas.openxmlformats.org/officeDocument/2006/relationships/hyperlink" Target="https://www.justice.gov/usao-nm/pr/espa-ola-man-sentenced-30-years-sexually-abusing-child-indian-country" TargetMode="External"/><Relationship Id="rId100" Type="http://schemas.openxmlformats.org/officeDocument/2006/relationships/hyperlink" Target="https://www.courtlistener.com/docket/6329954/united-states-v-whitewing-saul/" TargetMode="External"/><Relationship Id="rId129" Type="http://schemas.openxmlformats.org/officeDocument/2006/relationships/hyperlink" Target="http://ktar.com/story/2308242/gilbert-man-sentenced-to-21-years-in-prison-for-molesting-tribal-students/?nid=6&amp;sid=1246982" TargetMode="External"/><Relationship Id="rId128" Type="http://schemas.openxmlformats.org/officeDocument/2006/relationships/hyperlink" Target="https://www.justice.gov/usao-az/pr/teacher-sentenced-21-years-prison-molesting-kindergarten-students" TargetMode="External"/><Relationship Id="rId127" Type="http://schemas.openxmlformats.org/officeDocument/2006/relationships/hyperlink" Target="https://www.courtlistener.com/?q=&amp;type=r&amp;order_by=score+desc&amp;docket_number=5%3A18-cr-00171&amp;court=paed" TargetMode="External"/><Relationship Id="rId126" Type="http://schemas.openxmlformats.org/officeDocument/2006/relationships/hyperlink" Target="https://www.justice.gov/usao-sdwv/pr/teacher-sentenced-five-years-federal-prison-traveling-have-sex-student-and-selling" TargetMode="External"/><Relationship Id="rId121" Type="http://schemas.openxmlformats.org/officeDocument/2006/relationships/hyperlink" Target="http://archive.fo/poSSq" TargetMode="External"/><Relationship Id="rId120" Type="http://schemas.openxmlformats.org/officeDocument/2006/relationships/hyperlink" Target="http://archive.fo/KRze0" TargetMode="External"/><Relationship Id="rId125" Type="http://schemas.openxmlformats.org/officeDocument/2006/relationships/hyperlink" Target="http://archive.fo/9v67I" TargetMode="External"/><Relationship Id="rId124" Type="http://schemas.openxmlformats.org/officeDocument/2006/relationships/hyperlink" Target="https://www.courtlistener.com/?q=&amp;type=r&amp;order_by=score+desc&amp;docket_number=4%3A18-cr-00030&amp;court=mtd" TargetMode="External"/><Relationship Id="rId123" Type="http://schemas.openxmlformats.org/officeDocument/2006/relationships/hyperlink" Target="https://www.greatfallstribune.com/story/news/crime/2018/04/09/federal-officials-arrest-browning-montana-man-enticing-minors-methamphetamine-sex-abuse/499365002/" TargetMode="External"/><Relationship Id="rId122" Type="http://schemas.openxmlformats.org/officeDocument/2006/relationships/hyperlink" Target="https://www.justice.gov/usao-mt/pr/browning-man-sentenced-16-years-sexually-abusing-giving-meth-minor" TargetMode="External"/><Relationship Id="rId118" Type="http://schemas.openxmlformats.org/officeDocument/2006/relationships/hyperlink" Target="https://www.miamiherald.com/news/local/crime/article226537685.html" TargetMode="External"/><Relationship Id="rId117" Type="http://schemas.openxmlformats.org/officeDocument/2006/relationships/hyperlink" Target="https://www.justice.gov/usao-sdfl/pr/hallandale-resident-sentenced-20-years-prison-enticing-minor-while-convicted-sex" TargetMode="External"/><Relationship Id="rId116" Type="http://schemas.openxmlformats.org/officeDocument/2006/relationships/hyperlink" Target="https://www.ice.gov/news/releases/registered-sex-offender-sentenced-14-years-prison-enticing-minors-social-media" TargetMode="External"/><Relationship Id="rId115" Type="http://schemas.openxmlformats.org/officeDocument/2006/relationships/hyperlink" Target="http://archive.fo/7OhIN" TargetMode="External"/><Relationship Id="rId119" Type="http://schemas.openxmlformats.org/officeDocument/2006/relationships/hyperlink" Target="https://www.courtlistener.com/docket/6669685/united-states-v-bobal/" TargetMode="External"/><Relationship Id="rId110" Type="http://schemas.openxmlformats.org/officeDocument/2006/relationships/hyperlink" Target="http://archive.fo/j3JIa" TargetMode="External"/><Relationship Id="rId114" Type="http://schemas.openxmlformats.org/officeDocument/2006/relationships/hyperlink" Target="https://www.justtherealnews.com/2019/01/28/federal-jury-finds-brandon-man-who-tried-to-turn-12-year-old-relative-into-his-child-wife-guilty/" TargetMode="External"/><Relationship Id="rId113" Type="http://schemas.openxmlformats.org/officeDocument/2006/relationships/hyperlink" Target="https://www.justice.gov/usao-mdfl/pr/federal-jury-finds-brandon-man-who-tried-turn-12-year-old-relative-his-child-wife" TargetMode="External"/><Relationship Id="rId112" Type="http://schemas.openxmlformats.org/officeDocument/2006/relationships/hyperlink" Target="https://www.courtlistener.com/docket/6921527/united-states-v-blue/" TargetMode="External"/><Relationship Id="rId111" Type="http://schemas.openxmlformats.org/officeDocument/2006/relationships/hyperlink" Target="https://www.justice.gov/usao-sd/pr/chamberlain-man-charged-sexual-abuse"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archive.vn/tschJ" TargetMode="External"/><Relationship Id="rId42" Type="http://schemas.openxmlformats.org/officeDocument/2006/relationships/hyperlink" Target="https://archive.vn/xxoy5" TargetMode="External"/><Relationship Id="rId41" Type="http://schemas.openxmlformats.org/officeDocument/2006/relationships/hyperlink" Target="https://archive.vn/oTnpb" TargetMode="External"/><Relationship Id="rId44" Type="http://schemas.openxmlformats.org/officeDocument/2006/relationships/hyperlink" Target="https://archive.vn/86N0d" TargetMode="External"/><Relationship Id="rId43" Type="http://schemas.openxmlformats.org/officeDocument/2006/relationships/hyperlink" Target="https://news4sanantonio.com/news/local/local-attorney-accused-of-sexual-assault-of-a-child" TargetMode="External"/><Relationship Id="rId46" Type="http://schemas.openxmlformats.org/officeDocument/2006/relationships/hyperlink" Target="https://archive.vn/QtnBm" TargetMode="External"/><Relationship Id="rId45" Type="http://schemas.openxmlformats.org/officeDocument/2006/relationships/hyperlink" Target="https://archive.vn/pNobj" TargetMode="External"/><Relationship Id="rId48" Type="http://schemas.openxmlformats.org/officeDocument/2006/relationships/hyperlink" Target="https://www.dutchessny.gov/Departments/Sheriff/sheriff-news-2016_31821.htm" TargetMode="External"/><Relationship Id="rId47" Type="http://schemas.openxmlformats.org/officeDocument/2006/relationships/hyperlink" Target="https://patch.com/new-york/midhudsonvalley/former-millbrook-mayor-accused-having-sex-minor" TargetMode="External"/><Relationship Id="rId49" Type="http://schemas.openxmlformats.org/officeDocument/2006/relationships/hyperlink" Target="https://archive.vn/z19Zm" TargetMode="External"/><Relationship Id="rId31" Type="http://schemas.openxmlformats.org/officeDocument/2006/relationships/hyperlink" Target="https://archive.vn/nBlPo" TargetMode="External"/><Relationship Id="rId30" Type="http://schemas.openxmlformats.org/officeDocument/2006/relationships/hyperlink" Target="https://archive.vn/uRURl" TargetMode="External"/><Relationship Id="rId33" Type="http://schemas.openxmlformats.org/officeDocument/2006/relationships/hyperlink" Target="https://www.walb.com/story/34324072/ex-dawson-mayor-sentenced-on-sex-convictions/" TargetMode="External"/><Relationship Id="rId32" Type="http://schemas.openxmlformats.org/officeDocument/2006/relationships/hyperlink" Target="https://valdostatoday.com/news-2/region/2016/06/georgia-mayor-indicted-on-child-sex-charges/" TargetMode="External"/><Relationship Id="rId35" Type="http://schemas.openxmlformats.org/officeDocument/2006/relationships/hyperlink" Target="https://archive.vn/ta5kl" TargetMode="External"/><Relationship Id="rId34" Type="http://schemas.openxmlformats.org/officeDocument/2006/relationships/hyperlink" Target="https://archive.vn/dvoGQ" TargetMode="External"/><Relationship Id="rId37" Type="http://schemas.openxmlformats.org/officeDocument/2006/relationships/hyperlink" Target="https://archive.vn/A8jau" TargetMode="External"/><Relationship Id="rId36" Type="http://schemas.openxmlformats.org/officeDocument/2006/relationships/hyperlink" Target="https://www.independent.co.uk/news/world/americas/child-rape-richard-keenan-hubbard-mayor-ohio-not-guilty-charges-a7288946.html" TargetMode="External"/><Relationship Id="rId39" Type="http://schemas.openxmlformats.org/officeDocument/2006/relationships/hyperlink" Target="https://www.capradio.org/articles/2016/08/04/stockton-mayor-anthony-silva-arrested/" TargetMode="External"/><Relationship Id="rId38" Type="http://schemas.openxmlformats.org/officeDocument/2006/relationships/hyperlink" Target="https://archive.vn/IZ9HV" TargetMode="External"/><Relationship Id="rId20" Type="http://schemas.openxmlformats.org/officeDocument/2006/relationships/hyperlink" Target="https://www.tribstar.com/news/local_news/former-city-employee-arrested-on-child-pornography-charges/article_414c85e7-4e42-5175-adf4-e2932c58eb33.html" TargetMode="External"/><Relationship Id="rId22" Type="http://schemas.openxmlformats.org/officeDocument/2006/relationships/hyperlink" Target="https://archive.vn/wip/yM8GZ" TargetMode="External"/><Relationship Id="rId21" Type="http://schemas.openxmlformats.org/officeDocument/2006/relationships/hyperlink" Target="https://www.tribstar.com/news/former-city-official-sentenced-to-15-years-in-federal-child-pornography-plea/article_9c59be94-33fe-11e7-bc0a-bff62fd39939.html" TargetMode="External"/><Relationship Id="rId24" Type="http://schemas.openxmlformats.org/officeDocument/2006/relationships/hyperlink" Target="https://www.washingtontimes.com/news/2014/nov/25/gay-rights-activist-charged-with-sex-abuse-of-boy-/" TargetMode="External"/><Relationship Id="rId23" Type="http://schemas.openxmlformats.org/officeDocument/2006/relationships/hyperlink" Target="https://archive.vn/OBi77" TargetMode="External"/><Relationship Id="rId26" Type="http://schemas.openxmlformats.org/officeDocument/2006/relationships/hyperlink" Target="https://archive.vn/Xkl2I" TargetMode="External"/><Relationship Id="rId25" Type="http://schemas.openxmlformats.org/officeDocument/2006/relationships/hyperlink" Target="https://www.foxnews.com/politics/obama-fundraiser-donor-facing-sex-abuse-charges" TargetMode="External"/><Relationship Id="rId28" Type="http://schemas.openxmlformats.org/officeDocument/2006/relationships/hyperlink" Target="https://heavy.com/news/2016/05/charles-wade-black-lives-matter-activist-twitter-arrested-arrested-17-year-old-girl-help-or-hush/" TargetMode="External"/><Relationship Id="rId27" Type="http://schemas.openxmlformats.org/officeDocument/2006/relationships/hyperlink" Target="https://archive.vn/wip/lbl9D" TargetMode="External"/><Relationship Id="rId29" Type="http://schemas.openxmlformats.org/officeDocument/2006/relationships/hyperlink" Target="https://archive.vn/OPaXj" TargetMode="External"/><Relationship Id="rId11" Type="http://schemas.openxmlformats.org/officeDocument/2006/relationships/hyperlink" Target="https://archive.vn/wip/hcIQG" TargetMode="External"/><Relationship Id="rId10" Type="http://schemas.openxmlformats.org/officeDocument/2006/relationships/hyperlink" Target="https://www.victoriaadvocate.com/news/local/local-democratic-party-chairman-pleads-not-guilty-after-being-arrested-on-child-porn-charges/article_e368c096-6dd7-5bbc-8fe9-67ca75bda924.html" TargetMode="External"/><Relationship Id="rId13" Type="http://schemas.openxmlformats.org/officeDocument/2006/relationships/hyperlink" Target="https://www.nbcchicago.com/news/local/former-state-rep-keith-farnham-pleads-guilty-to-child-porn-charges/1990627/" TargetMode="External"/><Relationship Id="rId12" Type="http://schemas.openxmlformats.org/officeDocument/2006/relationships/hyperlink" Target="https://archive.vn/e7oPi" TargetMode="External"/><Relationship Id="rId15" Type="http://schemas.openxmlformats.org/officeDocument/2006/relationships/hyperlink" Target="https://archive.vn/ezEJH" TargetMode="External"/><Relationship Id="rId14" Type="http://schemas.openxmlformats.org/officeDocument/2006/relationships/hyperlink" Target="https://archive.vn/NCHIo" TargetMode="External"/><Relationship Id="rId17" Type="http://schemas.openxmlformats.org/officeDocument/2006/relationships/hyperlink" Target="https://www.nbc12.com/story/25906280/grand-jury-indicts-del-joe-morrissey-for-relationship-with-teen/" TargetMode="External"/><Relationship Id="rId16" Type="http://schemas.openxmlformats.org/officeDocument/2006/relationships/hyperlink" Target="https://archive.vn/U3OAS" TargetMode="External"/><Relationship Id="rId19" Type="http://schemas.openxmlformats.org/officeDocument/2006/relationships/hyperlink" Target="https://archive.vn/wBhrZ" TargetMode="External"/><Relationship Id="rId18" Type="http://schemas.openxmlformats.org/officeDocument/2006/relationships/hyperlink" Target="https://archive.vn/c5rja" TargetMode="External"/><Relationship Id="rId84" Type="http://schemas.openxmlformats.org/officeDocument/2006/relationships/hyperlink" Target="https://www.washingtonexaminer.com/crime-history-rep-lukens-guilty-of-sex-with-girl" TargetMode="External"/><Relationship Id="rId83" Type="http://schemas.openxmlformats.org/officeDocument/2006/relationships/hyperlink" Target="https://apnews.com/5d04fdade7935d70e0aabd00f2f877bd" TargetMode="External"/><Relationship Id="rId86" Type="http://schemas.openxmlformats.org/officeDocument/2006/relationships/hyperlink" Target="https://archive.vn/2kZkG" TargetMode="External"/><Relationship Id="rId85" Type="http://schemas.openxmlformats.org/officeDocument/2006/relationships/hyperlink" Target="https://archive.vn/94Phw" TargetMode="External"/><Relationship Id="rId88" Type="http://schemas.openxmlformats.org/officeDocument/2006/relationships/hyperlink" Target="https://shadowproof.com/2008/07/27/nc-antigay-operation-save-america-totes-convicted-child-rapist-to-charlotte-pride/" TargetMode="External"/><Relationship Id="rId87" Type="http://schemas.openxmlformats.org/officeDocument/2006/relationships/hyperlink" Target="https://web.archive.org/web/20200208045047/https://interstateq.com/archives/2771/" TargetMode="External"/><Relationship Id="rId89" Type="http://schemas.openxmlformats.org/officeDocument/2006/relationships/hyperlink" Target="https://web.archive.org/web/20200208045047/https://interstateq.com/archives/2771/" TargetMode="External"/><Relationship Id="rId80" Type="http://schemas.openxmlformats.org/officeDocument/2006/relationships/hyperlink" Target="https://archive.vn/B3KdO" TargetMode="External"/><Relationship Id="rId82" Type="http://schemas.openxmlformats.org/officeDocument/2006/relationships/hyperlink" Target="https://archive.vn/TU7Fn" TargetMode="External"/><Relationship Id="rId81" Type="http://schemas.openxmlformats.org/officeDocument/2006/relationships/hyperlink" Target="http://content.time.com/time/magazine/article/0,9171,134423,00.html" TargetMode="External"/><Relationship Id="rId73" Type="http://schemas.openxmlformats.org/officeDocument/2006/relationships/hyperlink" Target="https://archive.vn/XvbaL" TargetMode="External"/><Relationship Id="rId72" Type="http://schemas.openxmlformats.org/officeDocument/2006/relationships/hyperlink" Target="https://www.nytimes.com/2003/12/16/us/thurmond-kin-acknowledge-black-daughter.html" TargetMode="External"/><Relationship Id="rId75" Type="http://schemas.openxmlformats.org/officeDocument/2006/relationships/hyperlink" Target="https://people.com/archive/a-former-congressman-once-a-staunch-foe-of-gay-rights-confronts-his-own-homosexuality-vol-20-no-12/" TargetMode="External"/><Relationship Id="rId74" Type="http://schemas.openxmlformats.org/officeDocument/2006/relationships/hyperlink" Target="https://archive.vn/rWygW" TargetMode="External"/><Relationship Id="rId77" Type="http://schemas.openxmlformats.org/officeDocument/2006/relationships/hyperlink" Target="https://archive.vn/wip/x7WLl" TargetMode="External"/><Relationship Id="rId76" Type="http://schemas.openxmlformats.org/officeDocument/2006/relationships/hyperlink" Target="https://archive.vn/QsD5Q" TargetMode="External"/><Relationship Id="rId79" Type="http://schemas.openxmlformats.org/officeDocument/2006/relationships/hyperlink" Target="https://web.archive.org/web/20061103154727/http://www.time.com/time/magazine/article/0,9171,953990-1,00.html" TargetMode="External"/><Relationship Id="rId78" Type="http://schemas.openxmlformats.org/officeDocument/2006/relationships/hyperlink" Target="https://web.archive.org/web/20061103154727/http://www.time.com/time/magazine/article/0,9171,953990-1,00.html" TargetMode="External"/><Relationship Id="rId71" Type="http://schemas.openxmlformats.org/officeDocument/2006/relationships/hyperlink" Target="https://www.historynet.com/strom-thurmond-meets-his-daughter.htm" TargetMode="External"/><Relationship Id="rId70" Type="http://schemas.openxmlformats.org/officeDocument/2006/relationships/hyperlink" Target="https://archive.vn/wip/CajRe" TargetMode="External"/><Relationship Id="rId62" Type="http://schemas.openxmlformats.org/officeDocument/2006/relationships/hyperlink" Target="https://archive.vn/E4fia" TargetMode="External"/><Relationship Id="rId61" Type="http://schemas.openxmlformats.org/officeDocument/2006/relationships/hyperlink" Target="https://archive.vn/LbJyH" TargetMode="External"/><Relationship Id="rId64" Type="http://schemas.openxmlformats.org/officeDocument/2006/relationships/hyperlink" Target="http://www.philly.com/philly/news/crime/radnor-township-commissioners-president-phil-ahr-charged-with-child-sexual-abuse-20171011.html" TargetMode="External"/><Relationship Id="rId63" Type="http://schemas.openxmlformats.org/officeDocument/2006/relationships/hyperlink" Target="https://archive.vn/4HzHw" TargetMode="External"/><Relationship Id="rId66" Type="http://schemas.openxmlformats.org/officeDocument/2006/relationships/hyperlink" Target="https://archive.vn/92WzX" TargetMode="External"/><Relationship Id="rId65" Type="http://schemas.openxmlformats.org/officeDocument/2006/relationships/hyperlink" Target="http://www.philly.com/philly/news/crime/radnor-township-commissioners-president-phil-ahr-charged-with-child-sexual-abuse-20171011.html" TargetMode="External"/><Relationship Id="rId68" Type="http://schemas.openxmlformats.org/officeDocument/2006/relationships/hyperlink" Target="https://milnenews.com/2018/11/28/former-chairman-for-the-democratic-party-charged-with-distribution-of-child-pornography/" TargetMode="External"/><Relationship Id="rId67" Type="http://schemas.openxmlformats.org/officeDocument/2006/relationships/hyperlink" Target="https://archive.vn/SyaXY" TargetMode="External"/><Relationship Id="rId60" Type="http://schemas.openxmlformats.org/officeDocument/2006/relationships/hyperlink" Target="https://www.nny360.com/news/former-clayton-mayor-pleads-guilty-to-sex-crime/article_c43768f9-e52a-551a-bd1d-0c8bcd80a353.html" TargetMode="External"/><Relationship Id="rId69" Type="http://schemas.openxmlformats.org/officeDocument/2006/relationships/hyperlink" Target="https://archive.vn/Bz346" TargetMode="External"/><Relationship Id="rId51" Type="http://schemas.openxmlformats.org/officeDocument/2006/relationships/hyperlink" Target="https://www.oregonlive.com/pacific-northwest-news/2017/03/oregon_mayor_accused_of_solici.html" TargetMode="External"/><Relationship Id="rId50" Type="http://schemas.openxmlformats.org/officeDocument/2006/relationships/hyperlink" Target="https://archive.vn/MQPb2" TargetMode="External"/><Relationship Id="rId53" Type="http://schemas.openxmlformats.org/officeDocument/2006/relationships/hyperlink" Target="https://archive.vn/wip/FWE18" TargetMode="External"/><Relationship Id="rId52" Type="http://schemas.openxmlformats.org/officeDocument/2006/relationships/hyperlink" Target="https://archive.vn/FcI5N" TargetMode="External"/><Relationship Id="rId55" Type="http://schemas.openxmlformats.org/officeDocument/2006/relationships/hyperlink" Target="https://archive.vn/XljM1" TargetMode="External"/><Relationship Id="rId54" Type="http://schemas.openxmlformats.org/officeDocument/2006/relationships/hyperlink" Target="https://omaha.com/news/crime/mayor-of-randolph-nebraska-is-accused-of-sexually-assaulting-a-child/article_21aa08a1-410a-57cc-afb8-6c41cce778d4.html" TargetMode="External"/><Relationship Id="rId57" Type="http://schemas.openxmlformats.org/officeDocument/2006/relationships/hyperlink" Target="https://www.timesunion.com/news/article/Stillwater-mayor-admits-child-porn-charges-12828948.php" TargetMode="External"/><Relationship Id="rId56" Type="http://schemas.openxmlformats.org/officeDocument/2006/relationships/hyperlink" Target="https://archive.vn/99YZH" TargetMode="External"/><Relationship Id="rId59" Type="http://schemas.openxmlformats.org/officeDocument/2006/relationships/hyperlink" Target="https://archive.vn/LNbHp" TargetMode="External"/><Relationship Id="rId58" Type="http://schemas.openxmlformats.org/officeDocument/2006/relationships/hyperlink" Target="https://archive.vn/OVaJu" TargetMode="External"/><Relationship Id="rId95" Type="http://schemas.openxmlformats.org/officeDocument/2006/relationships/hyperlink" Target="https://archive.vn/OGKew" TargetMode="External"/><Relationship Id="rId94" Type="http://schemas.openxmlformats.org/officeDocument/2006/relationships/hyperlink" Target="https://mugshots.com/US-States/Virginia/Richmond-County-VA/Richmond/Mark-A-Grethen.69242924.html" TargetMode="External"/><Relationship Id="rId97" Type="http://schemas.openxmlformats.org/officeDocument/2006/relationships/hyperlink" Target="http://archive.easyreadernews.com/archives/news2001/0621/rb%20Shortridge.php" TargetMode="External"/><Relationship Id="rId96" Type="http://schemas.openxmlformats.org/officeDocument/2006/relationships/hyperlink" Target="https://archive.vn/clOuS" TargetMode="External"/><Relationship Id="rId99" Type="http://schemas.openxmlformats.org/officeDocument/2006/relationships/hyperlink" Target="https://archive.vn/wip/hjsU2" TargetMode="External"/><Relationship Id="rId98" Type="http://schemas.openxmlformats.org/officeDocument/2006/relationships/hyperlink" Target="https://archive.vn/tEcLg" TargetMode="External"/><Relationship Id="rId91" Type="http://schemas.openxmlformats.org/officeDocument/2006/relationships/hyperlink" Target="https://www.deseret.com/2001/3/10/19574225/n-j-man-pleads-guilty-to-internet-porn-charges" TargetMode="External"/><Relationship Id="rId90" Type="http://schemas.openxmlformats.org/officeDocument/2006/relationships/hyperlink" Target="https://archive.vn/EVlM3" TargetMode="External"/><Relationship Id="rId93" Type="http://schemas.openxmlformats.org/officeDocument/2006/relationships/hyperlink" Target="https://www.washingtonpost.com/archive/politics/2002/02/15/a-biography-restates-its-assets/a7c56e29-f0b8-441b-b0d1-367108e5ebd6/" TargetMode="External"/><Relationship Id="rId92" Type="http://schemas.openxmlformats.org/officeDocument/2006/relationships/hyperlink" Target="https://archive.vn/uM7cC" TargetMode="External"/><Relationship Id="rId264" Type="http://schemas.openxmlformats.org/officeDocument/2006/relationships/hyperlink" Target="https://archive.vn/Gggei" TargetMode="External"/><Relationship Id="rId263" Type="http://schemas.openxmlformats.org/officeDocument/2006/relationships/hyperlink" Target="https://archive.vn/tGa4e" TargetMode="External"/><Relationship Id="rId262" Type="http://schemas.openxmlformats.org/officeDocument/2006/relationships/hyperlink" Target="https://archive.vn/3kGbD" TargetMode="External"/><Relationship Id="rId261" Type="http://schemas.openxmlformats.org/officeDocument/2006/relationships/hyperlink" Target="https://www.rollingstone.com/wp-content/uploads/2018/06/russell-simmons-timeline-4a787624-1546-4372-acd6-eaa0b43fb98a.jpg?resize=1800,1200&amp;w=1200" TargetMode="External"/><Relationship Id="rId267" Type="http://schemas.openxmlformats.org/officeDocument/2006/relationships/vmlDrawing" Target="../drawings/vmlDrawing3.vml"/><Relationship Id="rId266" Type="http://schemas.openxmlformats.org/officeDocument/2006/relationships/drawing" Target="../drawings/drawing4.xml"/><Relationship Id="rId265" Type="http://schemas.openxmlformats.org/officeDocument/2006/relationships/hyperlink" Target="https://archive.vn/vLB2U" TargetMode="External"/><Relationship Id="rId260" Type="http://schemas.openxmlformats.org/officeDocument/2006/relationships/hyperlink" Target="https://archive.vn/PFmH5" TargetMode="External"/><Relationship Id="rId259" Type="http://schemas.openxmlformats.org/officeDocument/2006/relationships/hyperlink" Target="https://abc7.com/russell-simmons-sex-assault-sexual-misconduct/2670162/" TargetMode="External"/><Relationship Id="rId258" Type="http://schemas.openxmlformats.org/officeDocument/2006/relationships/hyperlink" Target="https://archive.vn/h4LGP" TargetMode="External"/><Relationship Id="rId253" Type="http://schemas.openxmlformats.org/officeDocument/2006/relationships/hyperlink" Target="https://archive.vn/Pklp8" TargetMode="External"/><Relationship Id="rId252" Type="http://schemas.openxmlformats.org/officeDocument/2006/relationships/hyperlink" Target="https://www.seattletimes.com/seattle-news/times-watchdog/mayor-ed-murray-sexually-abused-foster-son-child-welfare-investigator-found-in-1984/" TargetMode="External"/><Relationship Id="rId251" Type="http://schemas.openxmlformats.org/officeDocument/2006/relationships/hyperlink" Target="https://www.seattletimes.com/seattle-news/politics/seattle-mayor-ed-murray-resigns-after-fifth-child-sex-abuse-allegation/" TargetMode="External"/><Relationship Id="rId250" Type="http://schemas.openxmlformats.org/officeDocument/2006/relationships/hyperlink" Target="https://archive.vn/9Rgjc" TargetMode="External"/><Relationship Id="rId257" Type="http://schemas.openxmlformats.org/officeDocument/2006/relationships/hyperlink" Target="https://archive.vn/FCL4N" TargetMode="External"/><Relationship Id="rId256" Type="http://schemas.openxmlformats.org/officeDocument/2006/relationships/hyperlink" Target="https://www.nbcsandiego.com/news/local/g-gordon-liddys-son-sentenced-5-years-probation-for-possessing-child-porn/2398636/" TargetMode="External"/><Relationship Id="rId255" Type="http://schemas.openxmlformats.org/officeDocument/2006/relationships/hyperlink" Target="https://www.cbs8.com/article/news/california-state-prosecutor-charged-with-child-pornography/509-0dba8089-e80e-4037-88e5-5b2011fb415c" TargetMode="External"/><Relationship Id="rId254" Type="http://schemas.openxmlformats.org/officeDocument/2006/relationships/hyperlink" Target="https://archive.vn/wip/XcgeP" TargetMode="External"/><Relationship Id="rId228" Type="http://schemas.openxmlformats.org/officeDocument/2006/relationships/hyperlink" Target="https://wjla.com/news/local/carl-carey-arrested-on-child-porn-charges-74734" TargetMode="External"/><Relationship Id="rId227" Type="http://schemas.openxmlformats.org/officeDocument/2006/relationships/hyperlink" Target="https://archive.vn/fJN5Y" TargetMode="External"/><Relationship Id="rId226" Type="http://schemas.openxmlformats.org/officeDocument/2006/relationships/hyperlink" Target="https://archive.vn/WFaO8" TargetMode="External"/><Relationship Id="rId225" Type="http://schemas.openxmlformats.org/officeDocument/2006/relationships/hyperlink" Target="https://www.tampabay.com/news/courts/criminal/former-state-department-agent-gets-seven-years-on-child-porn-charge/1227079/" TargetMode="External"/><Relationship Id="rId229" Type="http://schemas.openxmlformats.org/officeDocument/2006/relationships/hyperlink" Target="https://archive.vn/aIP6N" TargetMode="External"/><Relationship Id="rId220" Type="http://schemas.openxmlformats.org/officeDocument/2006/relationships/hyperlink" Target="https://archive.vn/qt6Hm" TargetMode="External"/><Relationship Id="rId224" Type="http://schemas.openxmlformats.org/officeDocument/2006/relationships/hyperlink" Target="https://federalcrimesblog.com/2011/10/21/special-agent-james-charles-cafferty-indicted-for-alleged-possession-and-receipt-of-child-pornography/" TargetMode="External"/><Relationship Id="rId223" Type="http://schemas.openxmlformats.org/officeDocument/2006/relationships/hyperlink" Target="https://archive.vn/Ydvkh" TargetMode="External"/><Relationship Id="rId222" Type="http://schemas.openxmlformats.org/officeDocument/2006/relationships/hyperlink" Target="https://archive.vn/1lumm" TargetMode="External"/><Relationship Id="rId221" Type="http://schemas.openxmlformats.org/officeDocument/2006/relationships/hyperlink" Target="https://archive.jsonline.com/news/wisconsin/37577089.html/" TargetMode="External"/><Relationship Id="rId217" Type="http://schemas.openxmlformats.org/officeDocument/2006/relationships/hyperlink" Target="https://infoweb.newsbank.com/apps/news/document-view?p=AMNEWS&amp;docref=news/102B12B10B6AA13D&amp;f=basic" TargetMode="External"/><Relationship Id="rId216" Type="http://schemas.openxmlformats.org/officeDocument/2006/relationships/hyperlink" Target="https://www.oregonlive.com/politics/2004/05/goldschmidt_confesses_70s_sexu.html" TargetMode="External"/><Relationship Id="rId215" Type="http://schemas.openxmlformats.org/officeDocument/2006/relationships/hyperlink" Target="https://archive.vn/4DIFa" TargetMode="External"/><Relationship Id="rId214" Type="http://schemas.openxmlformats.org/officeDocument/2006/relationships/hyperlink" Target="https://archive.vn/n040m" TargetMode="External"/><Relationship Id="rId219" Type="http://schemas.openxmlformats.org/officeDocument/2006/relationships/hyperlink" Target="https://www.sfgate.com/bayarea/article/Dominatrix-reported-Bernie-Ward-police-say-3227977.php" TargetMode="External"/><Relationship Id="rId218" Type="http://schemas.openxmlformats.org/officeDocument/2006/relationships/hyperlink" Target="https://archive.vn/HtocZ" TargetMode="External"/><Relationship Id="rId213" Type="http://schemas.openxmlformats.org/officeDocument/2006/relationships/hyperlink" Target="https://missoulian.com/news/kalispell-businessman-richard-dasen-charged-with-14-prostitution-related-crimes/article_f04ce8a9-fa02-54fa-addd-267d2357a4a9.html" TargetMode="External"/><Relationship Id="rId212" Type="http://schemas.openxmlformats.org/officeDocument/2006/relationships/hyperlink" Target="https://archive.vn/NAwVF" TargetMode="External"/><Relationship Id="rId211" Type="http://schemas.openxmlformats.org/officeDocument/2006/relationships/hyperlink" Target="https://archive.vn/C9qzL" TargetMode="External"/><Relationship Id="rId210" Type="http://schemas.openxmlformats.org/officeDocument/2006/relationships/hyperlink" Target="https://archive.vn/wip/FpRow" TargetMode="External"/><Relationship Id="rId249" Type="http://schemas.openxmlformats.org/officeDocument/2006/relationships/hyperlink" Target="https://archive.vn/sAn15" TargetMode="External"/><Relationship Id="rId248" Type="http://schemas.openxmlformats.org/officeDocument/2006/relationships/hyperlink" Target="https://nypost.com/2017/05/19/anthony-weiner-will-plead-guilty-to-sexting-with-a-15-year-old-girl/" TargetMode="External"/><Relationship Id="rId247" Type="http://schemas.openxmlformats.org/officeDocument/2006/relationships/hyperlink" Target="https://archive.vn/bKk0c" TargetMode="External"/><Relationship Id="rId242" Type="http://schemas.openxmlformats.org/officeDocument/2006/relationships/hyperlink" Target="https://archive.vn/wip/oXgg5" TargetMode="External"/><Relationship Id="rId241" Type="http://schemas.openxmlformats.org/officeDocument/2006/relationships/hyperlink" Target="https://archive.vn/lPwTp" TargetMode="External"/><Relationship Id="rId240" Type="http://schemas.openxmlformats.org/officeDocument/2006/relationships/hyperlink" Target="https://archive.vn/BBjTt" TargetMode="External"/><Relationship Id="rId246" Type="http://schemas.openxmlformats.org/officeDocument/2006/relationships/hyperlink" Target="https://archive.vn/dor9B" TargetMode="External"/><Relationship Id="rId245" Type="http://schemas.openxmlformats.org/officeDocument/2006/relationships/hyperlink" Target="https://nypost.com/2019/05/28/former-de-blasio-staffer-pleads-guilty-to-child-porn-possession/" TargetMode="External"/><Relationship Id="rId244" Type="http://schemas.openxmlformats.org/officeDocument/2006/relationships/hyperlink" Target="https://www.amny.com/news/district-leaders-son-busted/" TargetMode="External"/><Relationship Id="rId243" Type="http://schemas.openxmlformats.org/officeDocument/2006/relationships/hyperlink" Target="https://archive.vn/wip/2rUTO" TargetMode="External"/><Relationship Id="rId239" Type="http://schemas.openxmlformats.org/officeDocument/2006/relationships/hyperlink" Target="https://www.huffpost.com/entry/daniel-rosen-soliciting-sex-from-minor_n_6749184" TargetMode="External"/><Relationship Id="rId238" Type="http://schemas.openxmlformats.org/officeDocument/2006/relationships/hyperlink" Target="https://archive.vn/emExP" TargetMode="External"/><Relationship Id="rId237" Type="http://schemas.openxmlformats.org/officeDocument/2006/relationships/hyperlink" Target="https://archive.vn/iaIVt" TargetMode="External"/><Relationship Id="rId236" Type="http://schemas.openxmlformats.org/officeDocument/2006/relationships/hyperlink" Target="https://mugshots.com/Current-Events/James-Cameron.30378222.html" TargetMode="External"/><Relationship Id="rId231" Type="http://schemas.openxmlformats.org/officeDocument/2006/relationships/hyperlink" Target="https://www.telegram.com/article/20130910/news/309109797" TargetMode="External"/><Relationship Id="rId230" Type="http://schemas.openxmlformats.org/officeDocument/2006/relationships/hyperlink" Target="https://archive.vn/wip/Vqu4C" TargetMode="External"/><Relationship Id="rId235" Type="http://schemas.openxmlformats.org/officeDocument/2006/relationships/hyperlink" Target="https://www.justice.gov/usao-me/pr/james-cameron-sentenced-15-and-34-years-child-pornography-and-contempt-charges" TargetMode="External"/><Relationship Id="rId234" Type="http://schemas.openxmlformats.org/officeDocument/2006/relationships/hyperlink" Target="https://archive.vn/hJPH4" TargetMode="External"/><Relationship Id="rId233" Type="http://schemas.openxmlformats.org/officeDocument/2006/relationships/hyperlink" Target="https://archive.vn/U50xa" TargetMode="External"/><Relationship Id="rId232" Type="http://schemas.openxmlformats.org/officeDocument/2006/relationships/hyperlink" Target="https://www.bostonherald.com/2012/08/22/scoutmaster-arrested-on-porn-charges/" TargetMode="External"/><Relationship Id="rId206" Type="http://schemas.openxmlformats.org/officeDocument/2006/relationships/hyperlink" Target="https://archive.vn/QEoS8" TargetMode="External"/><Relationship Id="rId205" Type="http://schemas.openxmlformats.org/officeDocument/2006/relationships/hyperlink" Target="https://archive.vn/KLbIm" TargetMode="External"/><Relationship Id="rId204" Type="http://schemas.openxmlformats.org/officeDocument/2006/relationships/hyperlink" Target="https://www.nytimes.com/1989/07/20/us/lawmaker-is-accused-of-sexual-impropriety.html" TargetMode="External"/><Relationship Id="rId203" Type="http://schemas.openxmlformats.org/officeDocument/2006/relationships/hyperlink" Target="https://archive.vn/QldjD" TargetMode="External"/><Relationship Id="rId209" Type="http://schemas.openxmlformats.org/officeDocument/2006/relationships/hyperlink" Target="https://archive.vn/S8HOg" TargetMode="External"/><Relationship Id="rId208" Type="http://schemas.openxmlformats.org/officeDocument/2006/relationships/hyperlink" Target="https://archive.vn/QUTZf" TargetMode="External"/><Relationship Id="rId207" Type="http://schemas.openxmlformats.org/officeDocument/2006/relationships/hyperlink" Target="https://mustreadalaska.com/george-jacko-to-dean-westlake/" TargetMode="External"/><Relationship Id="rId202" Type="http://schemas.openxmlformats.org/officeDocument/2006/relationships/hyperlink" Target="https://archive.vn/I2AeM" TargetMode="External"/><Relationship Id="rId201" Type="http://schemas.openxmlformats.org/officeDocument/2006/relationships/hyperlink" Target="https://www.nytimes.com/1982/11/11/nyregion/richmond-sentenced-to-a-year-and-a-day-and-fined-20000.html" TargetMode="External"/><Relationship Id="rId200" Type="http://schemas.openxmlformats.org/officeDocument/2006/relationships/hyperlink" Target="https://www.upi.com/Archives/1982/10/06/Suicide-left-love-message-in-ex-congressmans-flat/5358402724800/" TargetMode="External"/><Relationship Id="rId1" Type="http://schemas.openxmlformats.org/officeDocument/2006/relationships/comments" Target="../comments3.xml"/><Relationship Id="rId2" Type="http://schemas.openxmlformats.org/officeDocument/2006/relationships/hyperlink" Target="https://www.washingtontimes.com/news/2017/dec/10/gerry-studds-forgiven-by-democrats-for-preying-on-/" TargetMode="External"/><Relationship Id="rId3" Type="http://schemas.openxmlformats.org/officeDocument/2006/relationships/hyperlink" Target="https://archive.vn/cdHHK" TargetMode="External"/><Relationship Id="rId4" Type="http://schemas.openxmlformats.org/officeDocument/2006/relationships/hyperlink" Target="https://archive.vn/ShotD" TargetMode="External"/><Relationship Id="rId9" Type="http://schemas.openxmlformats.org/officeDocument/2006/relationships/hyperlink" Target="https://www.ice.gov/news/releases/south-texas-attorney-and-former-democratic-chair-sentenced-14-years-receiving" TargetMode="External"/><Relationship Id="rId5" Type="http://schemas.openxmlformats.org/officeDocument/2006/relationships/hyperlink" Target="http://www.freerepublic.com/focus/f-news/1402657/posts" TargetMode="External"/><Relationship Id="rId6" Type="http://schemas.openxmlformats.org/officeDocument/2006/relationships/hyperlink" Target="https://archive.vn/WHo5v" TargetMode="External"/><Relationship Id="rId7" Type="http://schemas.openxmlformats.org/officeDocument/2006/relationships/hyperlink" Target="http://www.ashevilledailyplanet.com/events/540-police-blotter-for-november-8-2006" TargetMode="External"/><Relationship Id="rId8" Type="http://schemas.openxmlformats.org/officeDocument/2006/relationships/hyperlink" Target="https://archive.vn/dXFWd" TargetMode="External"/><Relationship Id="rId190" Type="http://schemas.openxmlformats.org/officeDocument/2006/relationships/hyperlink" Target="https://archive.vn/Ngq1R" TargetMode="External"/><Relationship Id="rId194" Type="http://schemas.openxmlformats.org/officeDocument/2006/relationships/hyperlink" Target="https://www.wgal.com/article/council-accepts-resignation-of-member-imprisoned-for-rape/6189408" TargetMode="External"/><Relationship Id="rId193" Type="http://schemas.openxmlformats.org/officeDocument/2006/relationships/hyperlink" Target="https://archive.vn/wip/T4kix" TargetMode="External"/><Relationship Id="rId192" Type="http://schemas.openxmlformats.org/officeDocument/2006/relationships/hyperlink" Target="https://archive.vn/4dYOd" TargetMode="External"/><Relationship Id="rId191" Type="http://schemas.openxmlformats.org/officeDocument/2006/relationships/hyperlink" Target="https://www.chron.com/news/houston-texas/article/Ex-radio-host-pleads-guilty-to-child-indecency-1627887.php" TargetMode="External"/><Relationship Id="rId187" Type="http://schemas.openxmlformats.org/officeDocument/2006/relationships/hyperlink" Target="https://www.offenderradar.com/offender-details/craig-stephen-white-of-pennsylvania-221490" TargetMode="External"/><Relationship Id="rId186" Type="http://schemas.openxmlformats.org/officeDocument/2006/relationships/hyperlink" Target="https://archive.vn/i0yB2" TargetMode="External"/><Relationship Id="rId185" Type="http://schemas.openxmlformats.org/officeDocument/2006/relationships/hyperlink" Target="https://archive.vn/zPCAL" TargetMode="External"/><Relationship Id="rId184" Type="http://schemas.openxmlformats.org/officeDocument/2006/relationships/hyperlink" Target="https://www.splcenter.org/fighting-hate/intelligence-report/2003/florida-abortion-foe-charged-molestation" TargetMode="External"/><Relationship Id="rId189" Type="http://schemas.openxmlformats.org/officeDocument/2006/relationships/hyperlink" Target="https://archive.vn/phdLU" TargetMode="External"/><Relationship Id="rId188" Type="http://schemas.openxmlformats.org/officeDocument/2006/relationships/hyperlink" Target="https://archive.vn/wip/y6nJ8" TargetMode="External"/><Relationship Id="rId183" Type="http://schemas.openxmlformats.org/officeDocument/2006/relationships/hyperlink" Target="https://www.wtsp.com/article/news/local/abortion-protester-jailed-after-losing-molestation-appeal/67-396184349" TargetMode="External"/><Relationship Id="rId182" Type="http://schemas.openxmlformats.org/officeDocument/2006/relationships/hyperlink" Target="https://archive.vn/6a7t2" TargetMode="External"/><Relationship Id="rId181" Type="http://schemas.openxmlformats.org/officeDocument/2006/relationships/hyperlink" Target="https://archive.vn/C5AlL" TargetMode="External"/><Relationship Id="rId180" Type="http://schemas.openxmlformats.org/officeDocument/2006/relationships/hyperlink" Target="https://archive.vn/kzIT0" TargetMode="External"/><Relationship Id="rId176" Type="http://schemas.openxmlformats.org/officeDocument/2006/relationships/hyperlink" Target="https://www.latimes.com/archives/la-xpm-2001-nov-22-me-7130-story.html" TargetMode="External"/><Relationship Id="rId175" Type="http://schemas.openxmlformats.org/officeDocument/2006/relationships/hyperlink" Target="https://web.archive.org/web/20200317023350/https://www.latimes.com/archives/la-xpm-2002-aug-20-me-brooks20-story.html" TargetMode="External"/><Relationship Id="rId174" Type="http://schemas.openxmlformats.org/officeDocument/2006/relationships/hyperlink" Target="https://archive.vn/18jeY" TargetMode="External"/><Relationship Id="rId173" Type="http://schemas.openxmlformats.org/officeDocument/2006/relationships/hyperlink" Target="https://www.cbsnews.com/news/scandals-mar-st-louis-vote/" TargetMode="External"/><Relationship Id="rId179" Type="http://schemas.openxmlformats.org/officeDocument/2006/relationships/hyperlink" Target="https://www.gainesville.com/article/LK/20020618/News/604172277/GS" TargetMode="External"/><Relationship Id="rId178" Type="http://schemas.openxmlformats.org/officeDocument/2006/relationships/hyperlink" Target="https://archive.vn/06DL3" TargetMode="External"/><Relationship Id="rId177" Type="http://schemas.openxmlformats.org/officeDocument/2006/relationships/hyperlink" Target="https://archive.vn/raSBk" TargetMode="External"/><Relationship Id="rId198" Type="http://schemas.openxmlformats.org/officeDocument/2006/relationships/hyperlink" Target="https://apnews.com/e087fdee79e74caf99caa27edd8a8887/A-timeline-of-Roman-Polanski&amp;" TargetMode="External"/><Relationship Id="rId197" Type="http://schemas.openxmlformats.org/officeDocument/2006/relationships/hyperlink" Target="https://archive.vn/xLDE0" TargetMode="External"/><Relationship Id="rId196" Type="http://schemas.openxmlformats.org/officeDocument/2006/relationships/hyperlink" Target="https://archive.vn/m1VdT" TargetMode="External"/><Relationship Id="rId195" Type="http://schemas.openxmlformats.org/officeDocument/2006/relationships/hyperlink" Target="https://www.offenderradar.com/offender-details/fred-charles-smeltzer-jr-of-pennsylvania-236629" TargetMode="External"/><Relationship Id="rId199" Type="http://schemas.openxmlformats.org/officeDocument/2006/relationships/hyperlink" Target="https://archive.vn/yxd69" TargetMode="External"/><Relationship Id="rId150" Type="http://schemas.openxmlformats.org/officeDocument/2006/relationships/hyperlink" Target="https://www.nytimes.com/1996/06/06/us/politics-the-senate-maine-candidate-again-faces-1990-child-sex-accusation.html?login=email&amp;auth=login-email" TargetMode="External"/><Relationship Id="rId149" Type="http://schemas.openxmlformats.org/officeDocument/2006/relationships/hyperlink" Target="https://archive.vn/wip/KilIE" TargetMode="External"/><Relationship Id="rId148" Type="http://schemas.openxmlformats.org/officeDocument/2006/relationships/hyperlink" Target="https://archive.vn/CXedh" TargetMode="External"/><Relationship Id="rId143" Type="http://schemas.openxmlformats.org/officeDocument/2006/relationships/hyperlink" Target="https://www.rollcall.com/2018/05/04/cardenas-member-of-democratic-leadership-denies-allegations-of-child-sex-abuse/" TargetMode="External"/><Relationship Id="rId142" Type="http://schemas.openxmlformats.org/officeDocument/2006/relationships/hyperlink" Target="https://archive.vn/zrqGb" TargetMode="External"/><Relationship Id="rId141" Type="http://schemas.openxmlformats.org/officeDocument/2006/relationships/hyperlink" Target="https://archive.vn/yoLFu" TargetMode="External"/><Relationship Id="rId140" Type="http://schemas.openxmlformats.org/officeDocument/2006/relationships/hyperlink" Target="https://thehill.com/blogs/blog-briefing-room/386454-former-kentucky-judge-given-20-years-in-prison-for-human-trafficking" TargetMode="External"/><Relationship Id="rId147" Type="http://schemas.openxmlformats.org/officeDocument/2006/relationships/hyperlink" Target="https://web.archive.org/web/20031221184737/http://members.aol.com/ingramorg/" TargetMode="External"/><Relationship Id="rId146" Type="http://schemas.openxmlformats.org/officeDocument/2006/relationships/hyperlink" Target="http://www.religioustolerance.org/ra_ingra.htm" TargetMode="External"/><Relationship Id="rId145" Type="http://schemas.openxmlformats.org/officeDocument/2006/relationships/hyperlink" Target="https://archive.vn/P3pxH" TargetMode="External"/><Relationship Id="rId144" Type="http://schemas.openxmlformats.org/officeDocument/2006/relationships/hyperlink" Target="https://archive.vn/wip/qyyVY" TargetMode="External"/><Relationship Id="rId139" Type="http://schemas.openxmlformats.org/officeDocument/2006/relationships/hyperlink" Target="https://www.thedailybeast.com/trump-supporting-ex-judge-arrested-for-child-sex-crime" TargetMode="External"/><Relationship Id="rId138" Type="http://schemas.openxmlformats.org/officeDocument/2006/relationships/hyperlink" Target="https://archive.vn/nrZO8" TargetMode="External"/><Relationship Id="rId137" Type="http://schemas.openxmlformats.org/officeDocument/2006/relationships/hyperlink" Target="https://web.archive.org/web/20200421080709/https://www.ktva.com/story/36984173/rural-rep-dean-westlake-accused-of-sexual-misconduct" TargetMode="External"/><Relationship Id="rId132" Type="http://schemas.openxmlformats.org/officeDocument/2006/relationships/hyperlink" Target="https://archive.vn/Gam5q" TargetMode="External"/><Relationship Id="rId131" Type="http://schemas.openxmlformats.org/officeDocument/2006/relationships/hyperlink" Target="https://archive.vn/wip/H7djb" TargetMode="External"/><Relationship Id="rId130" Type="http://schemas.openxmlformats.org/officeDocument/2006/relationships/hyperlink" Target="https://www.nydailynews.com/news/national/ex-nj-lawmaker-neil-cohen-fought-child-porn-sentenced-5-years-child-porn-crimes-article-1.450258" TargetMode="External"/><Relationship Id="rId136" Type="http://schemas.openxmlformats.org/officeDocument/2006/relationships/hyperlink" Target="https://web.archive.org/web/20200421080709/https://www.ktva.com/story/36984173/rural-rep-dean-westlake-accused-of-sexual-misconduct" TargetMode="External"/><Relationship Id="rId135" Type="http://schemas.openxmlformats.org/officeDocument/2006/relationships/hyperlink" Target="https://archive.vn/g4XSA" TargetMode="External"/><Relationship Id="rId134" Type="http://schemas.openxmlformats.org/officeDocument/2006/relationships/hyperlink" Target="https://archive.vn/xyjh7" TargetMode="External"/><Relationship Id="rId133" Type="http://schemas.openxmlformats.org/officeDocument/2006/relationships/hyperlink" Target="https://heavy.com/news/2017/03/oklahoma-republican-ralph-shortey-teenage-boy/" TargetMode="External"/><Relationship Id="rId172" Type="http://schemas.openxmlformats.org/officeDocument/2006/relationships/hyperlink" Target="https://qconline.com/news/illinois/police-child-porn-found-on-election-official-s-computer/article_1fb3b1f5-8a33-5c10-beb0-33d093750956.html" TargetMode="External"/><Relationship Id="rId171" Type="http://schemas.openxmlformats.org/officeDocument/2006/relationships/hyperlink" Target="https://archive.vn/FcNDh" TargetMode="External"/><Relationship Id="rId170" Type="http://schemas.openxmlformats.org/officeDocument/2006/relationships/hyperlink" Target="https://www.gettyimages.com/detail/news-photo/marty-glickman-a-supporter-of-republican-presidential-news-photo/51582398" TargetMode="External"/><Relationship Id="rId165" Type="http://schemas.openxmlformats.org/officeDocument/2006/relationships/hyperlink" Target="https://archive.vn/rP98i" TargetMode="External"/><Relationship Id="rId164" Type="http://schemas.openxmlformats.org/officeDocument/2006/relationships/hyperlink" Target="https://archive.vn/5eSlO" TargetMode="External"/><Relationship Id="rId163" Type="http://schemas.openxmlformats.org/officeDocument/2006/relationships/hyperlink" Target="https://archive.vn/puEqY" TargetMode="External"/><Relationship Id="rId162" Type="http://schemas.openxmlformats.org/officeDocument/2006/relationships/hyperlink" Target="https://www.indystar.com/in-depth/news/investigations/2019/04/24/ashleys-story-ashley-peterson-reveals-her-abuse-and-loses-everyone-she-loves/3496426002/" TargetMode="External"/><Relationship Id="rId169" Type="http://schemas.openxmlformats.org/officeDocument/2006/relationships/hyperlink" Target="https://mugshots.com/US-States/Florida/Leon-County-FL/Marty-Glickman.6683229.html" TargetMode="External"/><Relationship Id="rId168" Type="http://schemas.openxmlformats.org/officeDocument/2006/relationships/hyperlink" Target="https://archive.vn/Ctq8r" TargetMode="External"/><Relationship Id="rId167" Type="http://schemas.openxmlformats.org/officeDocument/2006/relationships/hyperlink" Target="http://the.honoluluadvertiser.com/article/2007/Oct/08/ln/hawaii710080338.html" TargetMode="External"/><Relationship Id="rId166" Type="http://schemas.openxmlformats.org/officeDocument/2006/relationships/hyperlink" Target="http://archives.starbulletin.com/2000/07/20/news/briefs.html" TargetMode="External"/><Relationship Id="rId161" Type="http://schemas.openxmlformats.org/officeDocument/2006/relationships/hyperlink" Target="https://www.chicagotribune.com/news/ct-xpm-2000-02-10-0002100308-story.html" TargetMode="External"/><Relationship Id="rId160" Type="http://schemas.openxmlformats.org/officeDocument/2006/relationships/hyperlink" Target="https://archive.vn/xTqmV" TargetMode="External"/><Relationship Id="rId159" Type="http://schemas.openxmlformats.org/officeDocument/2006/relationships/hyperlink" Target="https://web.archive.org/web/20130701225615/https://www.nydailynews.com/news/crime/sex-offender-dad-sole-custody-daughter-6-article-1.1385837" TargetMode="External"/><Relationship Id="rId154" Type="http://schemas.openxmlformats.org/officeDocument/2006/relationships/hyperlink" Target="https://archive.vn/oVgdq" TargetMode="External"/><Relationship Id="rId153" Type="http://schemas.openxmlformats.org/officeDocument/2006/relationships/hyperlink" Target="https://www.chicagotribune.com/news/ct-xpm-1990-10-26-9003290919-story.html" TargetMode="External"/><Relationship Id="rId152" Type="http://schemas.openxmlformats.org/officeDocument/2006/relationships/hyperlink" Target="https://archive.vn/fMyk8" TargetMode="External"/><Relationship Id="rId151" Type="http://schemas.openxmlformats.org/officeDocument/2006/relationships/hyperlink" Target="https://apnews.com/e533f324f726e8912a05c44f612a7bb7" TargetMode="External"/><Relationship Id="rId158" Type="http://schemas.openxmlformats.org/officeDocument/2006/relationships/hyperlink" Target="https://bakersfieldnow.com/news/local/registered-sex-offender-keeps-custody-of-daughter" TargetMode="External"/><Relationship Id="rId157" Type="http://schemas.openxmlformats.org/officeDocument/2006/relationships/hyperlink" Target="https://www.nydailynews.com/news/crime/sex-offender-dad-sole-custody-daughter-6-article-1.1385837" TargetMode="External"/><Relationship Id="rId156" Type="http://schemas.openxmlformats.org/officeDocument/2006/relationships/hyperlink" Target="https://archive.vn/D7YvQ" TargetMode="External"/><Relationship Id="rId155" Type="http://schemas.openxmlformats.org/officeDocument/2006/relationships/hyperlink" Target="https://archive.vn/RGzER" TargetMode="External"/><Relationship Id="rId107" Type="http://schemas.openxmlformats.org/officeDocument/2006/relationships/hyperlink" Target="https://archive.vn/wip/hTB5N" TargetMode="External"/><Relationship Id="rId106" Type="http://schemas.openxmlformats.org/officeDocument/2006/relationships/hyperlink" Target="https://archive.vn/s5VCa" TargetMode="External"/><Relationship Id="rId105" Type="http://schemas.openxmlformats.org/officeDocument/2006/relationships/hyperlink" Target="https://www.washingtonpost.com/archive/local/2003/04/24/gop-activist-admits-to-child-porn/5af2adf0-bec8-4a10-b061-014de679422a/" TargetMode="External"/><Relationship Id="rId104" Type="http://schemas.openxmlformats.org/officeDocument/2006/relationships/hyperlink" Target="https://www.baltimoresun.com/news/bs-xpm-2003-04-24-0304240083-story.html" TargetMode="External"/><Relationship Id="rId109" Type="http://schemas.openxmlformats.org/officeDocument/2006/relationships/hyperlink" Target="https://www.orlandosentinel.com/news/os-xpm-2004-11-18-0411180074-story.html" TargetMode="External"/><Relationship Id="rId108" Type="http://schemas.openxmlformats.org/officeDocument/2006/relationships/hyperlink" Target="http://www.puertorico-herald.org/issues/2002/vol6n33/MislaRape-en.html" TargetMode="External"/><Relationship Id="rId103" Type="http://schemas.openxmlformats.org/officeDocument/2006/relationships/hyperlink" Target="https://archive.vn/mrAwv" TargetMode="External"/><Relationship Id="rId102" Type="http://schemas.openxmlformats.org/officeDocument/2006/relationships/hyperlink" Target="https://archive.vn/XZoVt" TargetMode="External"/><Relationship Id="rId101" Type="http://schemas.openxmlformats.org/officeDocument/2006/relationships/hyperlink" Target="https://www.coloradoindependent.com/2008/01/28/onetime-rising-gop-star-back-to-prison-for-sex-assaults/" TargetMode="External"/><Relationship Id="rId100" Type="http://schemas.openxmlformats.org/officeDocument/2006/relationships/hyperlink" Target="https://www.denverpost.com/2006/10/05/ex-activist-faces-new-child-sex-assault-counts/" TargetMode="External"/><Relationship Id="rId129" Type="http://schemas.openxmlformats.org/officeDocument/2006/relationships/hyperlink" Target="https://www.nbcnewyork.com/local/ex-nj-lawmaker-indicted-on-child-porn-charges/1857943/" TargetMode="External"/><Relationship Id="rId128" Type="http://schemas.openxmlformats.org/officeDocument/2006/relationships/hyperlink" Target="https://archive.vn/HbCaS" TargetMode="External"/><Relationship Id="rId127" Type="http://schemas.openxmlformats.org/officeDocument/2006/relationships/hyperlink" Target="https://archive.vn/ImKZc" TargetMode="External"/><Relationship Id="rId126" Type="http://schemas.openxmlformats.org/officeDocument/2006/relationships/hyperlink" Target="https://www.pasadenastarnews.com/2008/11/13/fired-aide-to-sen-boxer-faces-child-porn-charges/" TargetMode="External"/><Relationship Id="rId121" Type="http://schemas.openxmlformats.org/officeDocument/2006/relationships/hyperlink" Target="https://archive.vn/BoiDL" TargetMode="External"/><Relationship Id="rId120" Type="http://schemas.openxmlformats.org/officeDocument/2006/relationships/hyperlink" Target="https://web.archive.org/web/20200403203401/https://www.wowt.com/home/headlines/1137247.html" TargetMode="External"/><Relationship Id="rId125" Type="http://schemas.openxmlformats.org/officeDocument/2006/relationships/hyperlink" Target="https://archive.vn/Wn7Cy" TargetMode="External"/><Relationship Id="rId124" Type="http://schemas.openxmlformats.org/officeDocument/2006/relationships/hyperlink" Target="https://archive.vn/v8ELq" TargetMode="External"/><Relationship Id="rId123" Type="http://schemas.openxmlformats.org/officeDocument/2006/relationships/hyperlink" Target="https://www.nj.com/ledgerarchives/2005/01/cops_say_jersey_suspects_sough.html" TargetMode="External"/><Relationship Id="rId122" Type="http://schemas.openxmlformats.org/officeDocument/2006/relationships/hyperlink" Target="https://www.nj.com/ledgerarchives/2005/01/state_police_seize_29_in_distr.html" TargetMode="External"/><Relationship Id="rId118" Type="http://schemas.openxmlformats.org/officeDocument/2006/relationships/hyperlink" Target="https://archive.vn/S82Yg" TargetMode="External"/><Relationship Id="rId117" Type="http://schemas.openxmlformats.org/officeDocument/2006/relationships/hyperlink" Target="https://www.nytimes.com/2004/04/18/nyregion/embroiled-first-selectman-takes-leave.html" TargetMode="External"/><Relationship Id="rId116" Type="http://schemas.openxmlformats.org/officeDocument/2006/relationships/hyperlink" Target="https://archive.vn/5uhkI" TargetMode="External"/><Relationship Id="rId115" Type="http://schemas.openxmlformats.org/officeDocument/2006/relationships/hyperlink" Target="https://web.archive.org/web/20200730055110/https://www.poconorecord.com/article/20040718/news/912299980" TargetMode="External"/><Relationship Id="rId119" Type="http://schemas.openxmlformats.org/officeDocument/2006/relationships/hyperlink" Target="http://54.68.35.114/en/2004/12/305430.shtml" TargetMode="External"/><Relationship Id="rId110" Type="http://schemas.openxmlformats.org/officeDocument/2006/relationships/hyperlink" Target="https://archive.vn/4h5KW" TargetMode="External"/><Relationship Id="rId114" Type="http://schemas.openxmlformats.org/officeDocument/2006/relationships/hyperlink" Target="https://archive.vn/wip/nSvBp" TargetMode="External"/><Relationship Id="rId113" Type="http://schemas.openxmlformats.org/officeDocument/2006/relationships/hyperlink" Target="https://archive.vn/hMMNY" TargetMode="External"/><Relationship Id="rId112" Type="http://schemas.openxmlformats.org/officeDocument/2006/relationships/hyperlink" Target="http://lanternproject.org.uk/library/child-abuse-arrests-and-court-cases/child-abuse-arrests-trials-and-proceedings/ex-county-commissioner-admits-sexual-abuse-of-girl/" TargetMode="External"/><Relationship Id="rId111" Type="http://schemas.openxmlformats.org/officeDocument/2006/relationships/hyperlink" Target="https://archive.vn/wip/tRaws"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www.staradvertiser.com/2016/02/05/breaking-news/man-accused-of-forcing-fort-bragg-soldier-into-prostitution/" TargetMode="External"/><Relationship Id="rId42" Type="http://schemas.openxmlformats.org/officeDocument/2006/relationships/hyperlink" Target="https://www.cbs17.com/news/ex-deputy-director-of-nc-justice-academy-busted-on-prostitution-charge/1080735519" TargetMode="External"/><Relationship Id="rId41" Type="http://schemas.openxmlformats.org/officeDocument/2006/relationships/hyperlink" Target="http://www.cleveland19.com/story/31156361/east-canton-man-arrested-on-child-pornography-charges/" TargetMode="External"/><Relationship Id="rId44" Type="http://schemas.openxmlformats.org/officeDocument/2006/relationships/hyperlink" Target="https://www.wkrn.com/news/tennessee-georgia-authorities-crack-down-on-sex-trafficking/1091509960" TargetMode="External"/><Relationship Id="rId43" Type="http://schemas.openxmlformats.org/officeDocument/2006/relationships/hyperlink" Target="https://www.breitbart.com/texas/2016/02/07/texas-man-charged-with-sex-trafficking-15-year-old-girl/" TargetMode="External"/><Relationship Id="rId46" Type="http://schemas.openxmlformats.org/officeDocument/2006/relationships/hyperlink" Target="https://www.fbi.gov/contact-us/field-offices/detroit/news/press-releases/fbi-makes-child-pornography-arrest" TargetMode="External"/><Relationship Id="rId45" Type="http://schemas.openxmlformats.org/officeDocument/2006/relationships/hyperlink" Target="https://www.justice.gov/usao-wdny/pr/lancaster-man-arrested-multiple-child-pornography-charges" TargetMode="External"/><Relationship Id="rId48" Type="http://schemas.openxmlformats.org/officeDocument/2006/relationships/hyperlink" Target="https://www.justice.gov/usao-sdil/pr/east-carondelet-man-charged-possession-distribution-and-receipt-child-pornography" TargetMode="External"/><Relationship Id="rId47" Type="http://schemas.openxmlformats.org/officeDocument/2006/relationships/hyperlink" Target="https://www.justice.gov/usao-ndin/pr/matthew-mccray-indicted-possession-and-production-child-pornography" TargetMode="External"/><Relationship Id="rId49" Type="http://schemas.openxmlformats.org/officeDocument/2006/relationships/hyperlink" Target="https://www.seattlepi.com/sports/baseball/article/Report-Mariners-CF-Leonys-Martin-s-agent-6842631.php" TargetMode="External"/><Relationship Id="rId31" Type="http://schemas.openxmlformats.org/officeDocument/2006/relationships/hyperlink" Target="https://www.yourcentralvalley.com/news/human-trafficking-suspects-arrested/350156779" TargetMode="External"/><Relationship Id="rId30" Type="http://schemas.openxmlformats.org/officeDocument/2006/relationships/hyperlink" Target="https://losangeles.cbslocal.com/2016/01/28/12-children-rescued-in-sex-trafficking-sting-that-nets-198-arrests-lapd-says/" TargetMode="External"/><Relationship Id="rId33" Type="http://schemas.openxmlformats.org/officeDocument/2006/relationships/hyperlink" Target="https://www.siouxlandproud.com/news/local-news/sioux-city-man-arrested-after-year-long-federal-human-trafficking-investigation/350907648" TargetMode="External"/><Relationship Id="rId32" Type="http://schemas.openxmlformats.org/officeDocument/2006/relationships/hyperlink" Target="https://www.justice.gov/usao-ndny/pr/morrisville-man-arrested-receipt-and-possession-child-pornography" TargetMode="External"/><Relationship Id="rId35" Type="http://schemas.openxmlformats.org/officeDocument/2006/relationships/hyperlink" Target="https://www.fbi.gov/contact-us/field-offices/cleveland/news/press-releases/kent-ohio-man-arrested-on-child-pornography-charges" TargetMode="External"/><Relationship Id="rId34" Type="http://schemas.openxmlformats.org/officeDocument/2006/relationships/hyperlink" Target="https://www.thestate.com/news/local/crime/article57795838.html" TargetMode="External"/><Relationship Id="rId37" Type="http://schemas.openxmlformats.org/officeDocument/2006/relationships/hyperlink" Target="https://patch.com/massachusetts/milford-ma/milford-john-among-13-arrested-backpagecom-prostitution-sting-ri" TargetMode="External"/><Relationship Id="rId36" Type="http://schemas.openxmlformats.org/officeDocument/2006/relationships/hyperlink" Target="https://www.everythinglubbock.com/news/local-news/lubbock-man-arrested-human-trafficking-charge/358328109" TargetMode="External"/><Relationship Id="rId39" Type="http://schemas.openxmlformats.org/officeDocument/2006/relationships/hyperlink" Target="https://www.wwlp.com/news/crime/new-york-man-arrested-in-chicopee-for-human-trafficking/1043562109" TargetMode="External"/><Relationship Id="rId38" Type="http://schemas.openxmlformats.org/officeDocument/2006/relationships/hyperlink" Target="https://www.kron4.com/news/woman-arrested-in-milpitas-for-human-trafficking-of-a-minor/1033048165" TargetMode="External"/><Relationship Id="rId20" Type="http://schemas.openxmlformats.org/officeDocument/2006/relationships/hyperlink" Target="https://lancasteronline.com/news/local/mount-joy-woman-again-charged-with-operating-prostitution-business-from/article_2dcce4d4-bf0a-11e5-a7af-1b65a5c8365b.html" TargetMode="External"/><Relationship Id="rId22" Type="http://schemas.openxmlformats.org/officeDocument/2006/relationships/hyperlink" Target="http://www.cjonline.com/news/2016-01-20/man-arrested-human-trafficking-case-makes-first-appearance" TargetMode="External"/><Relationship Id="rId21" Type="http://schemas.openxmlformats.org/officeDocument/2006/relationships/hyperlink" Target="https://www.coladaily.com/2016/01/20/102118/" TargetMode="External"/><Relationship Id="rId24" Type="http://schemas.openxmlformats.org/officeDocument/2006/relationships/hyperlink" Target="https://www.justice.gov/usao-wdmo/pr/battlefield-man-pleads-guilty-child-porn" TargetMode="External"/><Relationship Id="rId23" Type="http://schemas.openxmlformats.org/officeDocument/2006/relationships/hyperlink" Target="https://abc7.com/news/4-arrested-for-prostitution-pimping-in-moreno-valley/1171444/" TargetMode="External"/><Relationship Id="rId26" Type="http://schemas.openxmlformats.org/officeDocument/2006/relationships/hyperlink" Target="https://www.justice.gov/usao-sdil/pr/centreville-man-indicted-commercial-sex-trafficking-minor" TargetMode="External"/><Relationship Id="rId25" Type="http://schemas.openxmlformats.org/officeDocument/2006/relationships/hyperlink" Target="https://www.justice.gov/usao-wdmo/pr/raytown-man-charged-distributing-child-porn" TargetMode="External"/><Relationship Id="rId28" Type="http://schemas.openxmlformats.org/officeDocument/2006/relationships/hyperlink" Target="https://www.justice.gov/usao-wdmo/pr/duenweg-sex-offender-charged-online-child-sex-shows" TargetMode="External"/><Relationship Id="rId27" Type="http://schemas.openxmlformats.org/officeDocument/2006/relationships/hyperlink" Target="http://www.lowellsun.com/breakingnews/ci_29444952/lowell-man-facing-human-trafficking-charges-held-high" TargetMode="External"/><Relationship Id="rId29" Type="http://schemas.openxmlformats.org/officeDocument/2006/relationships/hyperlink" Target="https://missionlocal.org/2016/01/sf-mission-police-officers-arrest-human-trafficking-suspects/" TargetMode="External"/><Relationship Id="rId11" Type="http://schemas.openxmlformats.org/officeDocument/2006/relationships/hyperlink" Target="https://www.kwtx.com/content/news/Waco-Man-Jailed-For-Human-Trafficking-For-Sex-365181391.html" TargetMode="External"/><Relationship Id="rId10" Type="http://schemas.openxmlformats.org/officeDocument/2006/relationships/hyperlink" Target="https://www.justice.gov/usao-wdmo/pr/raytown-man-indicted-child-porn" TargetMode="External"/><Relationship Id="rId13" Type="http://schemas.openxmlformats.org/officeDocument/2006/relationships/hyperlink" Target="https://www.dailybulletin.com/2016/01/15/couple-arrested-on-human-trafficking-charges-in-pomona/" TargetMode="External"/><Relationship Id="rId12" Type="http://schemas.openxmlformats.org/officeDocument/2006/relationships/hyperlink" Target="https://www.justice.gov/usao-edla/pr/harvey-man-indicted-and-arrested-child-pornography-charges" TargetMode="External"/><Relationship Id="rId15" Type="http://schemas.openxmlformats.org/officeDocument/2006/relationships/hyperlink" Target="https://www.wtvq.com/2016/01/07/undefined-66/" TargetMode="External"/><Relationship Id="rId14" Type="http://schemas.openxmlformats.org/officeDocument/2006/relationships/hyperlink" Target="https://www.justice.gov/usao-wdny/pr/irondequoit-man-indicted-charged-sexually-exploiting-15-year-old" TargetMode="External"/><Relationship Id="rId17" Type="http://schemas.openxmlformats.org/officeDocument/2006/relationships/hyperlink" Target="https://www.justice.gov/usao-nm/pr/hobbs-woman-arrested-federal-production-and-distribution-child-pornography-charges" TargetMode="External"/><Relationship Id="rId16" Type="http://schemas.openxmlformats.org/officeDocument/2006/relationships/hyperlink" Target="https://mynewsla.com/orange-county/2016/01/18/4-human-trafficking-suspects-arrested-in-orange-county/" TargetMode="External"/><Relationship Id="rId19" Type="http://schemas.openxmlformats.org/officeDocument/2006/relationships/hyperlink" Target="https://www.tulsaworld.com/news/crimewatch/two-arrested-on-human-trafficking-complaints-after-police-respond-to/article_947430de-626d-5417-9a09-f0921ad456a3.html" TargetMode="External"/><Relationship Id="rId18" Type="http://schemas.openxmlformats.org/officeDocument/2006/relationships/hyperlink" Target="https://www.justice.gov/usao-wdmo/pr/springfield-man-woman-indicted-producing-child-porn" TargetMode="External"/><Relationship Id="rId84" Type="http://schemas.openxmlformats.org/officeDocument/2006/relationships/hyperlink" Target="https://www.justice.gov/usao-co/pr/colorado-woman-and-man-arrested-and-charged-production-and-transportation-child" TargetMode="External"/><Relationship Id="rId83" Type="http://schemas.openxmlformats.org/officeDocument/2006/relationships/hyperlink" Target="https://www.kansascity.com/news/local/crime/article67788857.html" TargetMode="External"/><Relationship Id="rId86" Type="http://schemas.openxmlformats.org/officeDocument/2006/relationships/hyperlink" Target="https://www.justice.gov/usao-sdtx/pr/alleged-child-pornographer-deemed-danger-community-and-ordered-custody" TargetMode="External"/><Relationship Id="rId85" Type="http://schemas.openxmlformats.org/officeDocument/2006/relationships/hyperlink" Target="https://www.yourcentralvalley.com/news/seven-prostitutes-arrested-at-a-hotel-in-porterville/410061865" TargetMode="External"/><Relationship Id="rId88" Type="http://schemas.openxmlformats.org/officeDocument/2006/relationships/hyperlink" Target="https://www.yourconroenews.com/news/article/Third-indicted-in-human-trafficking-bust-9480208.php" TargetMode="External"/><Relationship Id="rId87" Type="http://schemas.openxmlformats.org/officeDocument/2006/relationships/hyperlink" Target="https://www.news4jax.com/news/local/jacksonville/jacksonville-woman-indicted-on-child-sex-trafficking-charge" TargetMode="External"/><Relationship Id="rId89" Type="http://schemas.openxmlformats.org/officeDocument/2006/relationships/hyperlink" Target="https://www.justice.gov/usao-sdny/pr/bronx-man-arrested-sexual-exploitation-enticement-extortion-and-child-pornography" TargetMode="External"/><Relationship Id="rId80" Type="http://schemas.openxmlformats.org/officeDocument/2006/relationships/hyperlink" Target="https://www.kwtx.com/content/news/Deputies-raid-local-massage-parlors-in-human-trafficking-crackdown-373133771.html" TargetMode="External"/><Relationship Id="rId82" Type="http://schemas.openxmlformats.org/officeDocument/2006/relationships/hyperlink" Target="http://www.thesunchronicle.com/news/local_news/mansfield-man-among-arrested-in-human-trafficking-sting-in-seekonk/article_b631006e-7430-55e3-af96-25b41b1b7048.html" TargetMode="External"/><Relationship Id="rId81" Type="http://schemas.openxmlformats.org/officeDocument/2006/relationships/hyperlink" Target="https://kobi5.com/news/man-answers-escort-ad-arrested-at-west-linn-police-station-24228/" TargetMode="External"/><Relationship Id="rId73" Type="http://schemas.openxmlformats.org/officeDocument/2006/relationships/hyperlink" Target="http://www.sandiegouniontribune.com/sdut-wanted-human-smuggler-turns-himself-in-2016mar11-story.html" TargetMode="External"/><Relationship Id="rId72" Type="http://schemas.openxmlformats.org/officeDocument/2006/relationships/hyperlink" Target="https://www.justice.gov/usao-nj/pr/mercer-county-new-jersey-school-bus-driver-arrested-charges-distributing-images-child" TargetMode="External"/><Relationship Id="rId75" Type="http://schemas.openxmlformats.org/officeDocument/2006/relationships/hyperlink" Target="https://www.wtvy.com/content/news/FDLE-arrests-Fort-Walton-Beach-pair-for-human-trafficking-372467712.html" TargetMode="External"/><Relationship Id="rId74" Type="http://schemas.openxmlformats.org/officeDocument/2006/relationships/hyperlink" Target="https://newschannel9.com/news/local/3-individuals-charged-in-tbi-juvenile-human-trafficking-investigation" TargetMode="External"/><Relationship Id="rId77" Type="http://schemas.openxmlformats.org/officeDocument/2006/relationships/hyperlink" Target="https://www.justice.gov/usao-md/pr/maryland-man-allegedly-paid-people-philippines-send-child-pornography" TargetMode="External"/><Relationship Id="rId76" Type="http://schemas.openxmlformats.org/officeDocument/2006/relationships/hyperlink" Target="https://mynbc15.com/news/local/13-arrested-in-operation-backpage-prostitution" TargetMode="External"/><Relationship Id="rId79" Type="http://schemas.openxmlformats.org/officeDocument/2006/relationships/hyperlink" Target="https://www.fbi.gov/contact-us/field-offices/jackson/news/press-releases/fbi-agents-arrest-brandon-man-on-child-pornography-charges" TargetMode="External"/><Relationship Id="rId78" Type="http://schemas.openxmlformats.org/officeDocument/2006/relationships/hyperlink" Target="https://www.justice.gov/usao-ndny/pr/two-arrested-child-sexual-exploitation" TargetMode="External"/><Relationship Id="rId71" Type="http://schemas.openxmlformats.org/officeDocument/2006/relationships/hyperlink" Target="https://turnto10.com/news/local/17-people-arrested-after-human-trafficking-sting-in-cranston" TargetMode="External"/><Relationship Id="rId70" Type="http://schemas.openxmlformats.org/officeDocument/2006/relationships/hyperlink" Target="https://www.justice.gov/usao-ndil/pr/loves-park-man-indicted-child-pornography-charges" TargetMode="External"/><Relationship Id="rId62" Type="http://schemas.openxmlformats.org/officeDocument/2006/relationships/hyperlink" Target="https://www.justice.gov/usao-co/pr/red-feather-lakes-resident-indicted-and-ordered-held-without-bond-distribution-and" TargetMode="External"/><Relationship Id="rId61" Type="http://schemas.openxmlformats.org/officeDocument/2006/relationships/hyperlink" Target="https://www.justice.gov/usao-ndny/pr/three-adults-charged-sexual-exploitaion-children" TargetMode="External"/><Relationship Id="rId64" Type="http://schemas.openxmlformats.org/officeDocument/2006/relationships/hyperlink" Target="https://www.al.com/news/montgomery/index.ssf/2016/03/7_south_alabama_men_arrested_i.html" TargetMode="External"/><Relationship Id="rId63" Type="http://schemas.openxmlformats.org/officeDocument/2006/relationships/hyperlink" Target="https://www.justice.gov/usao-edca/pr/orangevale-man-arrested-today-child-pornography-charges" TargetMode="External"/><Relationship Id="rId66" Type="http://schemas.openxmlformats.org/officeDocument/2006/relationships/hyperlink" Target="https://www.wbaltv.com/article/n-y-man-charged-with-human-trafficking-in-anne-arundel-county/7099334" TargetMode="External"/><Relationship Id="rId65" Type="http://schemas.openxmlformats.org/officeDocument/2006/relationships/hyperlink" Target="https://www.washingtonpost.com/local/public-safety/man-who-fled-from-police-arrested-in-trafficking-of-underage-girl/2016/03/05/695be2fc-e2fa-11e5-9c36-e1902f6b6571_story.html?noredirect=on&amp;utm_term=.124dc5465e8e" TargetMode="External"/><Relationship Id="rId68" Type="http://schemas.openxmlformats.org/officeDocument/2006/relationships/hyperlink" Target="https://mynewsla.com/crime/2016/03/09/20-year-old-female-human-trafficking-victim-rescued-from-buena-park-motel/" TargetMode="External"/><Relationship Id="rId67" Type="http://schemas.openxmlformats.org/officeDocument/2006/relationships/hyperlink" Target="https://mynewsla.com/orange-county/2016/03/07/anaheim-man-accused-of-trying-to-pimp-undercover-officer/" TargetMode="External"/><Relationship Id="rId60" Type="http://schemas.openxmlformats.org/officeDocument/2006/relationships/hyperlink" Target="https://fox43.com/2016/03/02/waynesboro-man-indicted-on-child-pornography-charges-involving-an-infant/" TargetMode="External"/><Relationship Id="rId69" Type="http://schemas.openxmlformats.org/officeDocument/2006/relationships/hyperlink" Target="https://www.thehour.com/norwalk/article/Police-Multiple-prostitution-arrests-have-human-8019485.php" TargetMode="External"/><Relationship Id="rId51" Type="http://schemas.openxmlformats.org/officeDocument/2006/relationships/hyperlink" Target="https://www.kgwn.tv/home/headlines/Couple-pleads-not-guilty-to-human-trafficking-charges-369858081.html" TargetMode="External"/><Relationship Id="rId50" Type="http://schemas.openxmlformats.org/officeDocument/2006/relationships/hyperlink" Target="https://www.justice.gov/usao-edmo/pr/marion-county-man-indicted-child-pornography-charges" TargetMode="External"/><Relationship Id="rId53" Type="http://schemas.openxmlformats.org/officeDocument/2006/relationships/hyperlink" Target="https://www.justice.gov/usao-ak/pr/juneau-man-indicted-distribution-child-pornography" TargetMode="External"/><Relationship Id="rId52" Type="http://schemas.openxmlformats.org/officeDocument/2006/relationships/hyperlink" Target="https://www.justice.gov/usao-md/pr/former-aide-prince-george-s-county-elementary-school-facing-federal-and-state-charges" TargetMode="External"/><Relationship Id="rId55" Type="http://schemas.openxmlformats.org/officeDocument/2006/relationships/hyperlink" Target="https://www.justice.gov/usao-wdtn/pr/former-selmer-police-lieutenant-indicted-federal-child-pornography-charges" TargetMode="External"/><Relationship Id="rId54" Type="http://schemas.openxmlformats.org/officeDocument/2006/relationships/hyperlink" Target="https://www.justice.gov/usao-wdny/pr/rochester-man-charged-possession-and-receipt-child-pornography" TargetMode="External"/><Relationship Id="rId57" Type="http://schemas.openxmlformats.org/officeDocument/2006/relationships/hyperlink" Target="https://www.al.com/news/birmingham/index.ssf/2016/03/man_28_took_woman_to_pelham_ho.html" TargetMode="External"/><Relationship Id="rId56" Type="http://schemas.openxmlformats.org/officeDocument/2006/relationships/hyperlink" Target="https://www.fbi.gov/contact-us/field-offices/cleveland/news/press-releases/toledo-man-arrested-on-child-prostitution-charge" TargetMode="External"/><Relationship Id="rId59" Type="http://schemas.openxmlformats.org/officeDocument/2006/relationships/hyperlink" Target="https://www.kcra.com/article/3-men-13-women-arrested-in-fairfield-human-trafficking/6427459" TargetMode="External"/><Relationship Id="rId58" Type="http://schemas.openxmlformats.org/officeDocument/2006/relationships/hyperlink" Target="https://abc13.com/news/federal-grand-jury-indicts-katy-couple-accused-of-enslaving-nanny/1226029/" TargetMode="External"/><Relationship Id="rId95" Type="http://schemas.openxmlformats.org/officeDocument/2006/relationships/hyperlink" Target="https://www.justice.gov/usao-edca/pr/stockton-man-charged-sex-trafficking-minor" TargetMode="External"/><Relationship Id="rId94" Type="http://schemas.openxmlformats.org/officeDocument/2006/relationships/hyperlink" Target="https://www.justice.gov/usao-edca/pr/stockton-man-charged-sex-trafficking-minor" TargetMode="External"/><Relationship Id="rId97" Type="http://schemas.openxmlformats.org/officeDocument/2006/relationships/hyperlink" Target="https://ktul.com/news/local/union-band-instructor-arrested-on-child-pornography-complaints" TargetMode="External"/><Relationship Id="rId96" Type="http://schemas.openxmlformats.org/officeDocument/2006/relationships/hyperlink" Target="https://www.justice.gov/usao-ma/pr/northampton-man-charged-child-exploitation-offense" TargetMode="External"/><Relationship Id="rId99" Type="http://schemas.openxmlformats.org/officeDocument/2006/relationships/hyperlink" Target="https://www.dailyamerican.com/news/local/somerset/stoystown-man-charged-with-child-porn/article_2a611bf6-8bd5-11e6-9612-d3101c855da3.html" TargetMode="External"/><Relationship Id="rId98" Type="http://schemas.openxmlformats.org/officeDocument/2006/relationships/hyperlink" Target="https://www.justice.gov/usao-ndok/pr/federal-grand-jury-criminal-indictments-announced-33" TargetMode="External"/><Relationship Id="rId91" Type="http://schemas.openxmlformats.org/officeDocument/2006/relationships/hyperlink" Target="http://www.cullmantimes.com/news/cullman-county-man-indicted-on-federal-child-porn-charges/article_44fd5914-f6cc-11e5-a580-738746018fbe.html" TargetMode="External"/><Relationship Id="rId90" Type="http://schemas.openxmlformats.org/officeDocument/2006/relationships/hyperlink" Target="https://www.justice.gov/usao-wdky/pr/louisville-man-detained-pending-charges-advertising-receipt-and-transportation-child" TargetMode="External"/><Relationship Id="rId93" Type="http://schemas.openxmlformats.org/officeDocument/2006/relationships/hyperlink" Target="https://www.justice.gov/usao-wdmo/pr/neosho-man-indicted-producing-child-porn" TargetMode="External"/><Relationship Id="rId92" Type="http://schemas.openxmlformats.org/officeDocument/2006/relationships/hyperlink" Target="https://www.justice.gov/usao-wdtx/pr/us-army-specialist-arrested-federal-child-porn-distribution-charge" TargetMode="External"/><Relationship Id="rId1" Type="http://schemas.openxmlformats.org/officeDocument/2006/relationships/hyperlink" Target="https://www.justice.gov/usao-wdny/pr/cheektowaga-man-charged-possession-and-distribution-child-pornography" TargetMode="External"/><Relationship Id="rId2" Type="http://schemas.openxmlformats.org/officeDocument/2006/relationships/hyperlink" Target="https://www.9and10news.com/2016/01/06/grand-traverse-county-deputies-arrest-two-for-human-trafficking-prostitution/" TargetMode="External"/><Relationship Id="rId3" Type="http://schemas.openxmlformats.org/officeDocument/2006/relationships/hyperlink" Target="https://wtvr.com/2016/01/06/stephen-callis-sex-trafficking-of-children-charge/" TargetMode="External"/><Relationship Id="rId4" Type="http://schemas.openxmlformats.org/officeDocument/2006/relationships/hyperlink" Target="https://www.rgj.com/story/news/crime/2016/01/07/12-women-rescued-puget-sound-human-trafficking-bust/78423470/" TargetMode="External"/><Relationship Id="rId9" Type="http://schemas.openxmlformats.org/officeDocument/2006/relationships/hyperlink" Target="http://www.foxnews.com/us/2016/01/12/women-rescued-from-human-traffickers-in-wyo-after-one-mouthed-help-me-to-cops.html" TargetMode="External"/><Relationship Id="rId5" Type="http://schemas.openxmlformats.org/officeDocument/2006/relationships/hyperlink" Target="https://www.wtnh.com/news/crime/9-arrested-in-hartford-in-connection-with-kidnapping-human-trafficking-of-teen_20180416080729597/1123886794" TargetMode="External"/><Relationship Id="rId6" Type="http://schemas.openxmlformats.org/officeDocument/2006/relationships/hyperlink" Target="https://www.justice.gov/usao-wdmo/pr/former-greene-county-sheriffs-deputy-charged-child-porn" TargetMode="External"/><Relationship Id="rId7" Type="http://schemas.openxmlformats.org/officeDocument/2006/relationships/hyperlink" Target="https://www.news-press.com/story/news/crime/2016/01/11/men-jailed-after-sexually-trafficking-4-collier-women-ccso-say/78645640/" TargetMode="External"/><Relationship Id="rId8" Type="http://schemas.openxmlformats.org/officeDocument/2006/relationships/hyperlink" Target="https://www.thestate.com/news/local/article54317085.html" TargetMode="External"/><Relationship Id="rId143" Type="http://schemas.openxmlformats.org/officeDocument/2006/relationships/drawing" Target="../drawings/drawing5.xml"/><Relationship Id="rId142" Type="http://schemas.openxmlformats.org/officeDocument/2006/relationships/hyperlink" Target="http://www.mohavedailynews.com/news/couple-indicted-on-trafficking-charge/article_313e3060-dede-11e6-9f8a-d35f91b5d183.html" TargetMode="External"/><Relationship Id="rId141" Type="http://schemas.openxmlformats.org/officeDocument/2006/relationships/hyperlink" Target="https://www.masslive.com/news/worcester/index.ssf/2017/01/10_men_arrested_in_northboroug.html" TargetMode="External"/><Relationship Id="rId140" Type="http://schemas.openxmlformats.org/officeDocument/2006/relationships/hyperlink" Target="http://www.tribdem.com/news/leader-of-alleged-human-trafficking-ring-to-stand-trial/article_771875d6-dec6-11e6-8c96-fb255ef03c02.html" TargetMode="External"/><Relationship Id="rId139" Type="http://schemas.openxmlformats.org/officeDocument/2006/relationships/hyperlink" Target="https://mynewsla.com/orange-county/2017/01/19/pimps-a-delivery-man-hes-behind-bars-now-on-felony-charges-from-santa-ana-bust/" TargetMode="External"/><Relationship Id="rId138" Type="http://schemas.openxmlformats.org/officeDocument/2006/relationships/hyperlink" Target="https://www.justice.gov/usao-ri/pr/indictment-alleges-child-pornography-production-distribution" TargetMode="External"/><Relationship Id="rId137" Type="http://schemas.openxmlformats.org/officeDocument/2006/relationships/hyperlink" Target="https://www.vcstar.com/story/news/courts/2017/01/19/mastermind-prostitution-ring-pleads-guilty/96796242/" TargetMode="External"/><Relationship Id="rId132" Type="http://schemas.openxmlformats.org/officeDocument/2006/relationships/hyperlink" Target="https://www.al.com/news/birmingham/index.ssf/2017/01/mom_accused_of_delivering_daug.html" TargetMode="External"/><Relationship Id="rId131" Type="http://schemas.openxmlformats.org/officeDocument/2006/relationships/hyperlink" Target="https://www.theadvocate.com/baton_rouge/news/crime_police/article_c182e356-ddd4-11e6-94c6-93f7a8e2cd5b.html" TargetMode="External"/><Relationship Id="rId130" Type="http://schemas.openxmlformats.org/officeDocument/2006/relationships/hyperlink" Target="http://theexaminer.com/stories/news/man-accused-human-trafficking-texas-apprehended-overseas" TargetMode="External"/><Relationship Id="rId136" Type="http://schemas.openxmlformats.org/officeDocument/2006/relationships/hyperlink" Target="https://www.justice.gov/usao-ak/pr/wasilla-man-indicted-federal-child-pornography-charges" TargetMode="External"/><Relationship Id="rId135" Type="http://schemas.openxmlformats.org/officeDocument/2006/relationships/hyperlink" Target="https://www.justice.gov/usao-ndtx/pr/fort-worth-man-sentenced-20-years-federal-prison-child-pornography-conviction" TargetMode="External"/><Relationship Id="rId134" Type="http://schemas.openxmlformats.org/officeDocument/2006/relationships/hyperlink" Target="https://www.justice.gov/usao-ndtx/pr/kaufman-county-man-who-filmed-young-boys-and-claimed-be-film-director-film-production" TargetMode="External"/><Relationship Id="rId133" Type="http://schemas.openxmlformats.org/officeDocument/2006/relationships/hyperlink" Target="https://www.theglobaldispatch.com/arizona-woman-patcharin-koibuchi-sentenced-in-human-trafficking-smuggling-case-17258/" TargetMode="External"/><Relationship Id="rId107" Type="http://schemas.openxmlformats.org/officeDocument/2006/relationships/hyperlink" Target="https://www.justice.gov/usao-nm/pr/alamogordo-man-pleads-guilty-federal-child-pornography-charge" TargetMode="External"/><Relationship Id="rId106" Type="http://schemas.openxmlformats.org/officeDocument/2006/relationships/hyperlink" Target="https://www.justice.gov/usao-ndia/pr/clarion-man-charged-child-sexual-exploitation-offenses" TargetMode="External"/><Relationship Id="rId105" Type="http://schemas.openxmlformats.org/officeDocument/2006/relationships/hyperlink" Target="https://www.justice.gov/usao-wdpa/pr/two-new-castle-men-charged-sex-trafficking-minor-producing-child-pornography" TargetMode="External"/><Relationship Id="rId104" Type="http://schemas.openxmlformats.org/officeDocument/2006/relationships/hyperlink" Target="http://www.greenepublishing.com/two-more-arrested-in-human-trafficking-ring/" TargetMode="External"/><Relationship Id="rId109" Type="http://schemas.openxmlformats.org/officeDocument/2006/relationships/hyperlink" Target="https://www.eastbaytimes.com/2017/01/06/pittsburg-two-charged-with-human-trafficking-of-minors/" TargetMode="External"/><Relationship Id="rId108" Type="http://schemas.openxmlformats.org/officeDocument/2006/relationships/hyperlink" Target="http://www.bemidjipioneer.com/news/4194040-crime-grant-fight-human-trafficking-leads-9-arrests-bemidji" TargetMode="External"/><Relationship Id="rId103" Type="http://schemas.openxmlformats.org/officeDocument/2006/relationships/hyperlink" Target="https://www.wesh.com/article/sex-trafficking-arrest-made-in-brevard-county/8559155" TargetMode="External"/><Relationship Id="rId102" Type="http://schemas.openxmlformats.org/officeDocument/2006/relationships/hyperlink" Target="https://www.wlwt.com/article/feds-confiscate-evidence-during-investigation-at-anderson-twp-home/8524855" TargetMode="External"/><Relationship Id="rId101" Type="http://schemas.openxmlformats.org/officeDocument/2006/relationships/hyperlink" Target="http://www.medina-gazette.com/Medina-County/2016/12/13/Brunswick-man-faces-state-federal-charges-in-child-porn-case.html" TargetMode="External"/><Relationship Id="rId100" Type="http://schemas.openxmlformats.org/officeDocument/2006/relationships/hyperlink" Target="https://www.komu.com/news/columbia-man-arrested-for-possession-of-child-pornography-82522" TargetMode="External"/><Relationship Id="rId129" Type="http://schemas.openxmlformats.org/officeDocument/2006/relationships/hyperlink" Target="https://www.justice.gov/usao-ndny/pr/marlboro-resident-arrested-child-pornography-charges" TargetMode="External"/><Relationship Id="rId128" Type="http://schemas.openxmlformats.org/officeDocument/2006/relationships/hyperlink" Target="https://www.justice.gov/usao-edpa/pr/lancaster-man-charged-possesion-and-distribution-child-pornography" TargetMode="External"/><Relationship Id="rId127" Type="http://schemas.openxmlformats.org/officeDocument/2006/relationships/hyperlink" Target="https://wnep.com/2017/01/17/prostitution-sting-in-poconos-highlights-human-trafficking-problem/" TargetMode="External"/><Relationship Id="rId126" Type="http://schemas.openxmlformats.org/officeDocument/2006/relationships/hyperlink" Target="http://www.newbernsj.com/news/20170111/craven-county-sheriffs-office-nets-10-in-human-trafficking-bust" TargetMode="External"/><Relationship Id="rId121" Type="http://schemas.openxmlformats.org/officeDocument/2006/relationships/hyperlink" Target="https://www.kansascity.com/news/local/crime/article126191084.html" TargetMode="External"/><Relationship Id="rId120" Type="http://schemas.openxmlformats.org/officeDocument/2006/relationships/hyperlink" Target="https://www.dailymail.co.uk/news/article-4115170/Married-couple-indicted-human-trafficking-prostitution-charges-running-underground-brothel-Boston-home.html" TargetMode="External"/><Relationship Id="rId125" Type="http://schemas.openxmlformats.org/officeDocument/2006/relationships/hyperlink" Target="https://www.wxyz.com/news/man-accused-of-helping-to-run-drug-sex-trafficking-enterprise-out-of-detroit-hotel" TargetMode="External"/><Relationship Id="rId124" Type="http://schemas.openxmlformats.org/officeDocument/2006/relationships/hyperlink" Target="https://www.justice.gov/usao-wdwa/pr/registered-sex-offender-two-prior-convictions-sentenced-15-years-prison-receipt-images" TargetMode="External"/><Relationship Id="rId123" Type="http://schemas.openxmlformats.org/officeDocument/2006/relationships/hyperlink" Target="https://www.coloradoan.com/story/news/2017/01/13/johnstown-police-share-details-trafficking-sting/96552572/" TargetMode="External"/><Relationship Id="rId122" Type="http://schemas.openxmlformats.org/officeDocument/2006/relationships/hyperlink" Target="https://www.keyt.com/news/crime/couple-arrested-in-ventura-for-human-sex-trafficking/267256248" TargetMode="External"/><Relationship Id="rId118" Type="http://schemas.openxmlformats.org/officeDocument/2006/relationships/hyperlink" Target="https://www.pennlive.com/news/2017/01/man_charged_with_human_traffic.html" TargetMode="External"/><Relationship Id="rId117" Type="http://schemas.openxmlformats.org/officeDocument/2006/relationships/hyperlink" Target="http://www.newbernsj.com/news/20170111/craven-county-sheriffs-office-nets-10-in-human-trafficking-bust" TargetMode="External"/><Relationship Id="rId116" Type="http://schemas.openxmlformats.org/officeDocument/2006/relationships/hyperlink" Target="https://www.sbsun.com/2017/01/10/victorville-man-jailed-suspected-in-human-trafficking-case/" TargetMode="External"/><Relationship Id="rId115" Type="http://schemas.openxmlformats.org/officeDocument/2006/relationships/hyperlink" Target="https://www.justice.gov/usao-md/pr/cockeysville-man-facing-federal-charges-production-and-distribution-child-pornography" TargetMode="External"/><Relationship Id="rId119" Type="http://schemas.openxmlformats.org/officeDocument/2006/relationships/hyperlink" Target="https://newschannel9.com/news/local/operation-temptation-leads-to-23-arrests-in-bradley-county" TargetMode="External"/><Relationship Id="rId110" Type="http://schemas.openxmlformats.org/officeDocument/2006/relationships/hyperlink" Target="https://www.justice.gov/usao-sdtx/pr/corpus-christi-man-convicted-production-child-pornography-0" TargetMode="External"/><Relationship Id="rId114" Type="http://schemas.openxmlformats.org/officeDocument/2006/relationships/hyperlink" Target="https://www.wral.com/three-charged-fourth-sought-in-fayetteville-human-trafficking-operation/16418717/" TargetMode="External"/><Relationship Id="rId113" Type="http://schemas.openxmlformats.org/officeDocument/2006/relationships/hyperlink" Target="http://www.salina.com/6623a63a-b067-5004-9616-8a28b4a16172.html" TargetMode="External"/><Relationship Id="rId112" Type="http://schemas.openxmlformats.org/officeDocument/2006/relationships/hyperlink" Target="https://www.justice.gov/usao-wdny/pr/cheektowaga-man-pleads-guilty-possession-child-pornography" TargetMode="External"/><Relationship Id="rId111" Type="http://schemas.openxmlformats.org/officeDocument/2006/relationships/hyperlink" Target="https://www.justice.gov/usao-ndoh/pr/cleveland-man-indicted-child-pornography-charges-0" TargetMode="External"/></Relationships>
</file>

<file path=xl/worksheets/_rels/sheet6.xml.rels><?xml version="1.0" encoding="UTF-8" standalone="yes"?><Relationships xmlns="http://schemas.openxmlformats.org/package/2006/relationships"><Relationship Id="rId20" Type="http://schemas.openxmlformats.org/officeDocument/2006/relationships/hyperlink" Target="https://www.azcentral.com/story/news/local/arizona-investigations/2018/04/06/backpage-executive-michael-lacey-indicted-prostitution-charges/310430001/" TargetMode="External"/><Relationship Id="rId22" Type="http://schemas.openxmlformats.org/officeDocument/2006/relationships/hyperlink" Target="https://truepundit.com/federal-prosecutors-body-pulled-from-river-was-doj-pioneer-in-fight-against-child-exploitation-porn/" TargetMode="External"/><Relationship Id="rId21" Type="http://schemas.openxmlformats.org/officeDocument/2006/relationships/hyperlink" Target="https://www.whitehouse.gov/briefings-statements/president-donald-j-trump-signs-h-r-1865-law/" TargetMode="External"/><Relationship Id="rId24" Type="http://schemas.openxmlformats.org/officeDocument/2006/relationships/hyperlink" Target="https://www.whitehouse.gov/briefings-statements/bill-announcement-10/" TargetMode="External"/><Relationship Id="rId23" Type="http://schemas.openxmlformats.org/officeDocument/2006/relationships/hyperlink" Target="https://patch.com/texas/houston/34-arrests-made-april-hpd-vice-sex-crimes" TargetMode="External"/><Relationship Id="rId26" Type="http://schemas.openxmlformats.org/officeDocument/2006/relationships/drawing" Target="../drawings/drawing6.xml"/><Relationship Id="rId25" Type="http://schemas.openxmlformats.org/officeDocument/2006/relationships/hyperlink" Target="https://www.whitehouse.gov/presidential-actions/presidential-proclamation-national-slavery-human-trafficking-prevention-month-2019/" TargetMode="External"/><Relationship Id="rId11" Type="http://schemas.openxmlformats.org/officeDocument/2006/relationships/hyperlink" Target="http://irc.qclearancearchive.net/02.%20QMaps/Q%20Anon%20-%20The%20Storm%20-%20X.pdf" TargetMode="External"/><Relationship Id="rId10" Type="http://schemas.openxmlformats.org/officeDocument/2006/relationships/hyperlink" Target="https://www.dylanlouismonroe.com/deep-state-mapping-project.html" TargetMode="External"/><Relationship Id="rId13" Type="http://schemas.openxmlformats.org/officeDocument/2006/relationships/hyperlink" Target="https://deathcas.es/" TargetMode="External"/><Relationship Id="rId12" Type="http://schemas.openxmlformats.org/officeDocument/2006/relationships/hyperlink" Target="https://www.qproofs.com/" TargetMode="External"/><Relationship Id="rId15" Type="http://schemas.openxmlformats.org/officeDocument/2006/relationships/hyperlink" Target="http://www.bcatpa.org/backpage/" TargetMode="External"/><Relationship Id="rId14" Type="http://schemas.openxmlformats.org/officeDocument/2006/relationships/hyperlink" Target="https://docs.google.com/spreadsheets/d/1b9o6uDO18sLxBqPwl_Gh9bnhW-ev_dABH83M5Vb5L8o/edit" TargetMode="External"/><Relationship Id="rId17" Type="http://schemas.openxmlformats.org/officeDocument/2006/relationships/hyperlink" Target="https://www.dallasnews.com/business/american-airlines/2017/08/07/american-airlines-120000-employees-will-looking-combat-child-sex-trafficking" TargetMode="External"/><Relationship Id="rId16" Type="http://schemas.openxmlformats.org/officeDocument/2006/relationships/hyperlink" Target="https://madworldnews.com/fbi-raids-ohio-adoption-agency/" TargetMode="External"/><Relationship Id="rId19" Type="http://schemas.openxmlformats.org/officeDocument/2006/relationships/hyperlink" Target="https://www.usatoday.com/story/news/nation-now/2018/04/07/backpage-prostitution-charges/495701002/" TargetMode="External"/><Relationship Id="rId18" Type="http://schemas.openxmlformats.org/officeDocument/2006/relationships/hyperlink" Target="https://www.whitehouse.gov/presidential-actions/executive-order-blocking-property-persons-involved-serious-human-rights-abuse-corruption/" TargetMode="External"/><Relationship Id="rId1" Type="http://schemas.openxmlformats.org/officeDocument/2006/relationships/hyperlink" Target="http://www.humantraffickingarrest.info/" TargetMode="External"/><Relationship Id="rId2" Type="http://schemas.openxmlformats.org/officeDocument/2006/relationships/hyperlink" Target="https://www.fbi.gov/investigate/violent-crime/cac/violent-crimes-against-children-news" TargetMode="External"/><Relationship Id="rId3" Type="http://schemas.openxmlformats.org/officeDocument/2006/relationships/hyperlink" Target="https://www.justice.gov/psc" TargetMode="External"/><Relationship Id="rId4" Type="http://schemas.openxmlformats.org/officeDocument/2006/relationships/hyperlink" Target="http://human.globalincidentmap.com/" TargetMode="External"/><Relationship Id="rId9" Type="http://schemas.openxmlformats.org/officeDocument/2006/relationships/hyperlink" Target="https://qresear.ch/" TargetMode="External"/><Relationship Id="rId5" Type="http://schemas.openxmlformats.org/officeDocument/2006/relationships/hyperlink" Target="https://www.resignation.info/" TargetMode="External"/><Relationship Id="rId6" Type="http://schemas.openxmlformats.org/officeDocument/2006/relationships/hyperlink" Target="https://docs.google.com/spreadsheets/d/1B-95giwldeKgsd0nYiw_sEaSf4kGNLZgEIvEhL2mVAw/edit" TargetMode="External"/><Relationship Id="rId7" Type="http://schemas.openxmlformats.org/officeDocument/2006/relationships/hyperlink" Target="https://drive.google.com/drive/folders/1KPh2ASFggwF1XVnVpDB3mtwvwlH71om6" TargetMode="External"/><Relationship Id="rId8" Type="http://schemas.openxmlformats.org/officeDocument/2006/relationships/hyperlink" Target="https://bad-boys.us"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c r="B1" s="1"/>
      <c r="C1" s="1"/>
      <c r="D1" s="1"/>
      <c r="E1" s="1"/>
      <c r="F1" s="1"/>
      <c r="G1" s="1"/>
      <c r="H1" s="1"/>
      <c r="I1" s="1"/>
      <c r="J1" s="1"/>
    </row>
    <row r="2" ht="44.25" customHeight="1">
      <c r="A2" s="2" t="s">
        <v>0</v>
      </c>
    </row>
    <row r="3">
      <c r="A3" s="1"/>
      <c r="B3" s="1"/>
      <c r="C3" s="1"/>
      <c r="D3" s="1"/>
      <c r="E3" s="1"/>
      <c r="F3" s="1"/>
      <c r="G3" s="1"/>
      <c r="H3" s="1"/>
      <c r="I3" s="1"/>
      <c r="J3" s="1"/>
    </row>
    <row r="4">
      <c r="A4" s="3" t="s">
        <v>1</v>
      </c>
    </row>
    <row r="5">
      <c r="A5" s="1"/>
      <c r="B5" s="1"/>
      <c r="C5" s="1"/>
      <c r="D5" s="1"/>
      <c r="E5" s="1"/>
      <c r="F5" s="1"/>
      <c r="G5" s="1"/>
      <c r="H5" s="1"/>
      <c r="I5" s="1"/>
      <c r="J5" s="1"/>
    </row>
    <row r="6">
      <c r="A6" s="1" t="s">
        <v>2</v>
      </c>
    </row>
    <row r="8">
      <c r="A8" s="4" t="s">
        <v>3</v>
      </c>
    </row>
  </sheetData>
  <mergeCells count="3">
    <mergeCell ref="A2:J2"/>
    <mergeCell ref="A4:J4"/>
    <mergeCell ref="A6:J6"/>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75"/>
  <cols>
    <col customWidth="1" min="1" max="1" width="31.5"/>
    <col customWidth="1" hidden="1" min="2" max="2" width="15.5"/>
    <col customWidth="1" min="3" max="3" width="19.38"/>
    <col customWidth="1" hidden="1" min="4" max="4" width="16.13"/>
    <col customWidth="1" min="5" max="5" width="13.63"/>
    <col customWidth="1" min="6" max="6" width="11.0"/>
    <col customWidth="1" min="7" max="7" width="10.5"/>
    <col customWidth="1" min="8" max="9" width="9.13"/>
    <col customWidth="1" min="10" max="10" width="7.75"/>
    <col customWidth="1" hidden="1" min="11" max="11" width="11.13"/>
    <col customWidth="1" min="12" max="12" width="55.0"/>
    <col customWidth="1" min="13" max="13" width="36.63"/>
    <col customWidth="1" min="14" max="14" width="31.25"/>
    <col customWidth="1" min="15" max="15" width="19.25"/>
    <col customWidth="1" min="16" max="16" width="22.5"/>
    <col customWidth="1" min="17" max="17" width="12.63"/>
    <col customWidth="1" min="18" max="69" width="14.13"/>
  </cols>
  <sheetData>
    <row r="1" ht="26.25" customHeight="1">
      <c r="A1" s="3"/>
      <c r="B1" s="5"/>
      <c r="K1" s="3"/>
      <c r="L1" s="3"/>
      <c r="M1" s="6"/>
      <c r="N1" s="7"/>
      <c r="O1" s="8"/>
      <c r="P1" s="8"/>
      <c r="Q1" s="8"/>
      <c r="R1" s="8"/>
      <c r="S1" s="8"/>
      <c r="T1" s="8"/>
      <c r="U1" s="8"/>
      <c r="V1" s="8"/>
      <c r="W1" s="7"/>
      <c r="X1" s="7"/>
      <c r="Y1" s="7"/>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row>
    <row r="2">
      <c r="B2" s="9"/>
      <c r="C2" s="10" t="s">
        <v>4</v>
      </c>
      <c r="D2" s="11"/>
      <c r="E2" s="12" t="s">
        <v>5</v>
      </c>
      <c r="G2" s="11" t="s">
        <v>6</v>
      </c>
      <c r="H2" s="11"/>
      <c r="I2" s="11"/>
      <c r="J2" s="11"/>
      <c r="K2" s="13"/>
      <c r="L2" s="13"/>
      <c r="M2" s="14"/>
      <c r="N2" s="15"/>
      <c r="O2" s="16"/>
      <c r="P2" s="16"/>
      <c r="Q2" s="16"/>
      <c r="R2" s="16"/>
      <c r="S2" s="16"/>
      <c r="T2" s="16"/>
      <c r="U2" s="16"/>
      <c r="V2" s="16"/>
      <c r="W2" s="15"/>
      <c r="X2" s="15"/>
      <c r="Y2" s="15"/>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row>
    <row r="3" ht="26.25" customHeight="1">
      <c r="A3" s="17" t="s">
        <v>7</v>
      </c>
      <c r="B3" s="18" t="s">
        <v>8</v>
      </c>
      <c r="C3" s="19" t="s">
        <v>9</v>
      </c>
      <c r="D3" s="19" t="s">
        <v>10</v>
      </c>
      <c r="E3" s="17" t="s">
        <v>11</v>
      </c>
      <c r="F3" s="20" t="str">
        <f>"("&amp;sum(F4:F3686)&amp;") # Arrested"</f>
        <v>(14981) # Arrested</v>
      </c>
      <c r="G3" s="21" t="str">
        <f>"("&amp;sum(H4:H3686)&amp;"+) # Rescued"</f>
        <v>(12647+) # Rescued</v>
      </c>
      <c r="H3" s="22" t="s">
        <v>12</v>
      </c>
      <c r="I3" s="17" t="s">
        <v>13</v>
      </c>
      <c r="J3" s="17" t="s">
        <v>14</v>
      </c>
      <c r="K3" s="21" t="s">
        <v>15</v>
      </c>
      <c r="L3" s="17" t="s">
        <v>16</v>
      </c>
      <c r="M3" s="23" t="s">
        <v>17</v>
      </c>
      <c r="N3" s="23" t="s">
        <v>18</v>
      </c>
      <c r="O3" s="17" t="s">
        <v>19</v>
      </c>
      <c r="P3" s="17" t="s">
        <v>20</v>
      </c>
      <c r="Q3" s="24" t="str">
        <f>hyperlink("https://drive.google.com/open?id=1kVQwX9l9HJ5F76x05ic_YnU_Z5yiVS96LbzAOP66EzA", "("&amp;sum(Q11:Q4658)&amp;") Fed. Indictments")</f>
        <v>(1174) Fed. Indictments</v>
      </c>
      <c r="R3" s="25" t="str">
        <f>hyperlink("https://docs.google.com/spreadsheets/d/1B-95giwldeKgsd0nYiw_sEaSf4kGNLZgEIvEhL2mVAw/", "("&amp;sum(R11:R4658)&amp;") Resignations")</f>
        <v>(10) Resignations</v>
      </c>
      <c r="S3" s="26" t="s">
        <v>21</v>
      </c>
      <c r="T3" s="26" t="s">
        <v>22</v>
      </c>
      <c r="U3" s="26" t="s">
        <v>23</v>
      </c>
      <c r="V3" s="27" t="s">
        <v>24</v>
      </c>
      <c r="W3" s="28" t="s">
        <v>25</v>
      </c>
      <c r="X3" s="28" t="s">
        <v>26</v>
      </c>
      <c r="Y3" s="28" t="s">
        <v>27</v>
      </c>
      <c r="Z3" s="28" t="s">
        <v>28</v>
      </c>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row>
    <row r="4">
      <c r="A4" s="13" t="s">
        <v>29</v>
      </c>
      <c r="B4" s="30">
        <v>42761.0</v>
      </c>
      <c r="C4" s="31">
        <v>42736.0</v>
      </c>
      <c r="D4" s="32" t="s">
        <v>30</v>
      </c>
      <c r="E4" s="13" t="s">
        <v>31</v>
      </c>
      <c r="F4" s="13">
        <v>1.0</v>
      </c>
      <c r="G4" s="13" t="s">
        <v>32</v>
      </c>
      <c r="H4" s="33">
        <f t="shared" ref="H4:H7" si="1">if(G4="Unknown",1,G4)</f>
        <v>1</v>
      </c>
      <c r="I4" s="13" t="s">
        <v>33</v>
      </c>
      <c r="J4" s="13" t="s">
        <v>34</v>
      </c>
      <c r="K4" s="13">
        <v>5.0</v>
      </c>
      <c r="L4" s="34" t="s">
        <v>35</v>
      </c>
      <c r="M4" s="35" t="s">
        <v>36</v>
      </c>
      <c r="N4" s="36" t="s">
        <v>37</v>
      </c>
      <c r="O4" s="16"/>
      <c r="P4" s="16"/>
      <c r="Q4" s="16"/>
      <c r="R4" s="16"/>
      <c r="S4" s="37" t="str">
        <f>IFERROR(__xludf.DUMMYFUNCTION("if(not(iserror(index(split(C4, "" ""),2))), index(split(C4, "" ""),1),"""")"),"January,")</f>
        <v>January,</v>
      </c>
      <c r="T4" s="38">
        <f>IFERROR(__xludf.DUMMYFUNCTION("if(S4="""",C4,if(not(iserror(index(split(C4, "" ""),3))), index(split(C4, "" ""),3),index(split(C4, "" ""),2)))"),2017.0)</f>
        <v>2017</v>
      </c>
      <c r="U4" s="38" t="b">
        <f t="shared" ref="U4:U67" si="2">countif(A$4:A4658, A4)&gt;1</f>
        <v>0</v>
      </c>
      <c r="V4" s="38" t="s">
        <v>33</v>
      </c>
      <c r="W4" s="39" t="s">
        <v>38</v>
      </c>
      <c r="X4" s="39" t="s">
        <v>39</v>
      </c>
      <c r="Y4" s="40"/>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row>
    <row r="5">
      <c r="A5" s="13" t="s">
        <v>40</v>
      </c>
      <c r="B5" s="30">
        <v>42779.0</v>
      </c>
      <c r="C5" s="31">
        <v>42736.0</v>
      </c>
      <c r="D5" s="32" t="s">
        <v>30</v>
      </c>
      <c r="E5" s="13" t="s">
        <v>41</v>
      </c>
      <c r="F5" s="13">
        <v>22.0</v>
      </c>
      <c r="G5" s="13">
        <v>17.0</v>
      </c>
      <c r="H5" s="33">
        <f t="shared" si="1"/>
        <v>17</v>
      </c>
      <c r="I5" s="13" t="s">
        <v>33</v>
      </c>
      <c r="J5" s="13" t="s">
        <v>42</v>
      </c>
      <c r="K5" s="13">
        <v>15.0</v>
      </c>
      <c r="L5" s="13" t="s">
        <v>43</v>
      </c>
      <c r="M5" s="35" t="s">
        <v>44</v>
      </c>
      <c r="N5" s="15"/>
      <c r="O5" s="16"/>
      <c r="P5" s="16"/>
      <c r="Q5" s="16"/>
      <c r="R5" s="16"/>
      <c r="S5" s="37" t="str">
        <f>IFERROR(__xludf.DUMMYFUNCTION("if(not(iserror(index(split(C5, "" ""),2))), index(split(C5, "" ""),1),"""")"),"January,")</f>
        <v>January,</v>
      </c>
      <c r="T5" s="38">
        <f>IFERROR(__xludf.DUMMYFUNCTION("if(S5="""",C5,if(not(iserror(index(split(C5, "" ""),3))), index(split(C5, "" ""),3),index(split(C5, "" ""),2)))"),2017.0)</f>
        <v>2017</v>
      </c>
      <c r="U5" s="38" t="b">
        <f t="shared" si="2"/>
        <v>1</v>
      </c>
      <c r="V5" s="38" t="s">
        <v>33</v>
      </c>
      <c r="W5" s="39" t="s">
        <v>45</v>
      </c>
      <c r="X5" s="40"/>
      <c r="Y5" s="40"/>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row>
    <row r="6">
      <c r="A6" s="13" t="s">
        <v>40</v>
      </c>
      <c r="B6" s="30">
        <v>42781.0</v>
      </c>
      <c r="C6" s="31">
        <v>42736.0</v>
      </c>
      <c r="D6" s="32" t="s">
        <v>46</v>
      </c>
      <c r="E6" s="13" t="s">
        <v>31</v>
      </c>
      <c r="F6" s="13">
        <v>42.0</v>
      </c>
      <c r="G6" s="13" t="s">
        <v>32</v>
      </c>
      <c r="H6" s="33">
        <f t="shared" si="1"/>
        <v>1</v>
      </c>
      <c r="I6" s="13" t="s">
        <v>33</v>
      </c>
      <c r="J6" s="13" t="s">
        <v>47</v>
      </c>
      <c r="K6" s="13">
        <v>3.0</v>
      </c>
      <c r="L6" s="13" t="s">
        <v>48</v>
      </c>
      <c r="M6" s="35" t="s">
        <v>49</v>
      </c>
      <c r="N6" s="15"/>
      <c r="O6" s="16"/>
      <c r="P6" s="16"/>
      <c r="Q6" s="16"/>
      <c r="R6" s="16"/>
      <c r="S6" s="37" t="str">
        <f>IFERROR(__xludf.DUMMYFUNCTION("if(not(iserror(index(split(C6, "" ""),2))), index(split(C6, "" ""),1),"""")"),"January,")</f>
        <v>January,</v>
      </c>
      <c r="T6" s="38">
        <f>IFERROR(__xludf.DUMMYFUNCTION("if(S6="""",C6,if(not(iserror(index(split(C6, "" ""),3))), index(split(C6, "" ""),3),index(split(C6, "" ""),2)))"),2017.0)</f>
        <v>2017</v>
      </c>
      <c r="U6" s="38" t="b">
        <f t="shared" si="2"/>
        <v>1</v>
      </c>
      <c r="V6" s="38" t="s">
        <v>33</v>
      </c>
      <c r="W6" s="39" t="s">
        <v>50</v>
      </c>
      <c r="X6" s="40"/>
      <c r="Y6" s="40"/>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row>
    <row r="7">
      <c r="A7" s="41" t="s">
        <v>40</v>
      </c>
      <c r="B7" s="30">
        <v>42877.0</v>
      </c>
      <c r="C7" s="31">
        <v>42736.0</v>
      </c>
      <c r="D7" s="32" t="s">
        <v>51</v>
      </c>
      <c r="E7" s="13" t="s">
        <v>41</v>
      </c>
      <c r="F7" s="13">
        <v>10.0</v>
      </c>
      <c r="G7" s="13" t="s">
        <v>32</v>
      </c>
      <c r="H7" s="33">
        <f t="shared" si="1"/>
        <v>1</v>
      </c>
      <c r="I7" s="13" t="s">
        <v>33</v>
      </c>
      <c r="J7" s="13" t="s">
        <v>47</v>
      </c>
      <c r="K7" s="13">
        <v>3.0</v>
      </c>
      <c r="L7" s="13" t="s">
        <v>52</v>
      </c>
      <c r="M7" s="35" t="s">
        <v>53</v>
      </c>
      <c r="N7" s="15"/>
      <c r="O7" s="16"/>
      <c r="P7" s="16"/>
      <c r="Q7" s="16"/>
      <c r="R7" s="16"/>
      <c r="S7" s="37" t="str">
        <f>IFERROR(__xludf.DUMMYFUNCTION("if(not(iserror(index(split(C7, "" ""),2))), index(split(C7, "" ""),1),"""")"),"January,")</f>
        <v>January,</v>
      </c>
      <c r="T7" s="38">
        <f>IFERROR(__xludf.DUMMYFUNCTION("if(S7="""",C7,if(not(iserror(index(split(C7, "" ""),3))), index(split(C7, "" ""),3),index(split(C7, "" ""),2)))"),2017.0)</f>
        <v>2017</v>
      </c>
      <c r="U7" s="38" t="b">
        <f t="shared" si="2"/>
        <v>1</v>
      </c>
      <c r="V7" s="38"/>
      <c r="W7" s="40"/>
      <c r="X7" s="40"/>
      <c r="Y7" s="40"/>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row>
    <row r="8">
      <c r="A8" s="13" t="s">
        <v>54</v>
      </c>
      <c r="B8" s="30">
        <v>43090.0</v>
      </c>
      <c r="C8" s="31">
        <v>42736.0</v>
      </c>
      <c r="D8" s="42"/>
      <c r="E8" s="13" t="s">
        <v>31</v>
      </c>
      <c r="F8" s="13">
        <v>79.0</v>
      </c>
      <c r="G8" s="13">
        <v>79.0</v>
      </c>
      <c r="H8" s="43">
        <v>79.0</v>
      </c>
      <c r="I8" s="13" t="s">
        <v>33</v>
      </c>
      <c r="J8" s="13" t="s">
        <v>55</v>
      </c>
      <c r="K8" s="13" t="s">
        <v>32</v>
      </c>
      <c r="L8" s="13" t="s">
        <v>56</v>
      </c>
      <c r="M8" s="44" t="str">
        <f>HYPERLINK("http://nj.gov/oag/newsreleases17/pr20171201a.html   http://www.nj.com/politics/index.ssf/2017/12/nj_ag_79_charged_with_unspeakable_child_predator_c.html  ","http://nj.gov/oag/newsreleases17/pr20171201a.html   http://www.nj.com/politics/index.ssf/2017/12/nj_ag_79_charged_with_unspeakable_child_predator_c.html  ")</f>
        <v>http://nj.gov/oag/newsreleases17/pr20171201a.html   http://www.nj.com/politics/index.ssf/2017/12/nj_ag_79_charged_with_unspeakable_child_predator_c.html  </v>
      </c>
      <c r="N8" s="15"/>
      <c r="O8" s="16"/>
      <c r="P8" s="16"/>
      <c r="Q8" s="16"/>
      <c r="R8" s="16"/>
      <c r="S8" s="37" t="str">
        <f>IFERROR(__xludf.DUMMYFUNCTION("if(not(iserror(index(split(C8, "" ""),2))), index(split(C8, "" ""),1),"""")"),"January,")</f>
        <v>January,</v>
      </c>
      <c r="T8" s="38">
        <f>IFERROR(__xludf.DUMMYFUNCTION("if(S8="""",C8,if(not(iserror(index(split(C8, "" ""),3))), index(split(C8, "" ""),3),index(split(C8, "" ""),2)))"),2017.0)</f>
        <v>2017</v>
      </c>
      <c r="U8" s="38" t="b">
        <f t="shared" si="2"/>
        <v>1</v>
      </c>
      <c r="V8" s="38"/>
      <c r="W8" s="40"/>
      <c r="X8" s="40"/>
      <c r="Y8" s="40"/>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row>
    <row r="9">
      <c r="A9" s="13" t="s">
        <v>40</v>
      </c>
      <c r="B9" s="30">
        <v>42775.0</v>
      </c>
      <c r="C9" s="30">
        <v>42753.0</v>
      </c>
      <c r="D9" s="32" t="s">
        <v>57</v>
      </c>
      <c r="E9" s="13" t="s">
        <v>31</v>
      </c>
      <c r="F9" s="13">
        <v>752.0</v>
      </c>
      <c r="G9" s="13" t="s">
        <v>32</v>
      </c>
      <c r="H9" s="33">
        <f t="shared" ref="H9:H10" si="3">if(G9="Unknown",1,G9)</f>
        <v>1</v>
      </c>
      <c r="I9" s="13" t="s">
        <v>33</v>
      </c>
      <c r="J9" s="13" t="s">
        <v>40</v>
      </c>
      <c r="K9" s="13">
        <v>30.0</v>
      </c>
      <c r="L9" s="13" t="s">
        <v>58</v>
      </c>
      <c r="M9" s="45" t="str">
        <f>HYPERLINK("https://www.cookcountysheriff.org/national-super-bowl-sex-trafficking-sting-nets-700-sex-buyers-29-pimpstraffickers    http://www.chicagotribune.com/suburbs/arlington-heights/news/ct-ahp-super-bowl-sex-sting-trafficking-sting-tl-0216-20170208-story.html","https://www.cookcountysheriff.org/national-super-bowl-sex-trafficking-sting-nets-700-sex-buyers-29-pimpstraffickers/  http://www.chicagotribune.com/suburbs/arlington-heights/news/ct-ahp-super-bowl-sex-sting-trafficking-sting-tl-0216-20170208-story.html")</f>
        <v>https://www.cookcountysheriff.org/national-super-bowl-sex-trafficking-sting-nets-700-sex-buyers-29-pimpstraffickers/  http://www.chicagotribune.com/suburbs/arlington-heights/news/ct-ahp-super-bowl-sex-sting-trafficking-sting-tl-0216-20170208-story.html</v>
      </c>
      <c r="N9" s="15"/>
      <c r="O9" s="16"/>
      <c r="P9" s="16"/>
      <c r="Q9" s="16"/>
      <c r="R9" s="16"/>
      <c r="S9" s="37" t="str">
        <f>IFERROR(__xludf.DUMMYFUNCTION("if(not(iserror(index(split(C9, "" ""),2))), index(split(C9, "" ""),1),"""")"),"January")</f>
        <v>January</v>
      </c>
      <c r="T9" s="38">
        <f>IFERROR(__xludf.DUMMYFUNCTION("if(S9="""",C9,if(not(iserror(index(split(C9, "" ""),3))), index(split(C9, "" ""),3),index(split(C9, "" ""),2)))"),2017.0)</f>
        <v>2017</v>
      </c>
      <c r="U9" s="38" t="b">
        <f t="shared" si="2"/>
        <v>1</v>
      </c>
      <c r="V9" s="38"/>
      <c r="W9" s="40"/>
      <c r="X9" s="40"/>
      <c r="Y9" s="40"/>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row>
    <row r="10">
      <c r="A10" s="13" t="s">
        <v>59</v>
      </c>
      <c r="B10" s="30">
        <v>42755.0</v>
      </c>
      <c r="C10" s="30">
        <v>42755.0</v>
      </c>
      <c r="D10" s="32" t="s">
        <v>60</v>
      </c>
      <c r="E10" s="13" t="s">
        <v>41</v>
      </c>
      <c r="F10" s="13">
        <v>1.0</v>
      </c>
      <c r="G10" s="13" t="s">
        <v>32</v>
      </c>
      <c r="H10" s="33">
        <f t="shared" si="3"/>
        <v>1</v>
      </c>
      <c r="I10" s="13" t="s">
        <v>33</v>
      </c>
      <c r="J10" s="13" t="s">
        <v>61</v>
      </c>
      <c r="K10" s="13" t="s">
        <v>40</v>
      </c>
      <c r="L10" s="34" t="s">
        <v>62</v>
      </c>
      <c r="M10" s="46" t="s">
        <v>63</v>
      </c>
      <c r="N10" s="46" t="s">
        <v>64</v>
      </c>
      <c r="O10" s="16"/>
      <c r="P10" s="37"/>
      <c r="Q10" s="37"/>
      <c r="R10" s="37"/>
      <c r="S10" s="37" t="str">
        <f>IFERROR(__xludf.DUMMYFUNCTION("if(not(iserror(index(split(C10, "" ""),2))), index(split(C10, "" ""),1),"""")"),"January")</f>
        <v>January</v>
      </c>
      <c r="T10" s="38">
        <f>IFERROR(__xludf.DUMMYFUNCTION("if(S10="""",C10,if(not(iserror(index(split(C10, "" ""),3))), index(split(C10, "" ""),3),index(split(C10, "" ""),2)))"),2017.0)</f>
        <v>2017</v>
      </c>
      <c r="U10" s="38" t="b">
        <f t="shared" si="2"/>
        <v>0</v>
      </c>
      <c r="V10" s="38" t="s">
        <v>33</v>
      </c>
      <c r="W10" s="39" t="s">
        <v>65</v>
      </c>
      <c r="X10" s="39" t="s">
        <v>66</v>
      </c>
      <c r="Y10" s="40"/>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row>
    <row r="11">
      <c r="A11" s="47" t="s">
        <v>67</v>
      </c>
      <c r="B11" s="48">
        <v>43480.0</v>
      </c>
      <c r="C11" s="48">
        <v>42755.0</v>
      </c>
      <c r="D11" s="49" t="s">
        <v>60</v>
      </c>
      <c r="E11" s="47" t="s">
        <v>31</v>
      </c>
      <c r="F11" s="47">
        <v>1.0</v>
      </c>
      <c r="G11" s="47" t="s">
        <v>32</v>
      </c>
      <c r="H11" s="50">
        <v>1.0</v>
      </c>
      <c r="I11" s="47" t="s">
        <v>33</v>
      </c>
      <c r="J11" s="47" t="s">
        <v>68</v>
      </c>
      <c r="K11" s="47">
        <v>3.0</v>
      </c>
      <c r="L11" s="47" t="s">
        <v>69</v>
      </c>
      <c r="M11" s="51" t="s">
        <v>70</v>
      </c>
      <c r="N11" s="52"/>
      <c r="O11" s="53" t="str">
        <f>hyperlink("https://bad-boys.us/?q=D-OR/3:17-cr-00448", "D-OR 3:17-cr-00448")</f>
        <v>D-OR 3:17-cr-00448</v>
      </c>
      <c r="P11" s="54" t="s">
        <v>71</v>
      </c>
      <c r="Q11" s="47">
        <v>1.0</v>
      </c>
      <c r="R11" s="55"/>
      <c r="S11" s="37" t="str">
        <f>IFERROR(__xludf.DUMMYFUNCTION("if(not(iserror(index(split(C11, "" ""),2))), index(split(C11, "" ""),1),"""")"),"January")</f>
        <v>January</v>
      </c>
      <c r="T11" s="38">
        <f>IFERROR(__xludf.DUMMYFUNCTION("if(S11="""",C11,if(not(iserror(index(split(C11, "" ""),3))), index(split(C11, "" ""),3),index(split(C11, "" ""),2)))"),2017.0)</f>
        <v>2017</v>
      </c>
      <c r="U11" s="38" t="b">
        <f t="shared" si="2"/>
        <v>0</v>
      </c>
      <c r="V11" s="38" t="s">
        <v>33</v>
      </c>
      <c r="W11" s="39" t="s">
        <v>72</v>
      </c>
      <c r="X11" s="39" t="s">
        <v>73</v>
      </c>
      <c r="Y11" s="40"/>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row>
    <row r="12">
      <c r="A12" s="56" t="s">
        <v>74</v>
      </c>
      <c r="B12" s="30"/>
      <c r="C12" s="30">
        <v>42758.0</v>
      </c>
      <c r="D12" s="32"/>
      <c r="E12" s="13" t="s">
        <v>31</v>
      </c>
      <c r="F12" s="13">
        <v>1.0</v>
      </c>
      <c r="G12" s="13">
        <v>1.0</v>
      </c>
      <c r="H12" s="43">
        <v>1.0</v>
      </c>
      <c r="I12" s="13" t="s">
        <v>33</v>
      </c>
      <c r="J12" s="13" t="s">
        <v>75</v>
      </c>
      <c r="K12" s="13"/>
      <c r="L12" s="34" t="s">
        <v>76</v>
      </c>
      <c r="M12" s="46" t="s">
        <v>77</v>
      </c>
      <c r="N12" s="46" t="s">
        <v>78</v>
      </c>
      <c r="O12" s="57" t="str">
        <f t="shared" ref="O12:O13" si="4">hyperlink("https://bad-boys.us/?q=ED-KY/5:18-cr-00103", "ED-KY 5:18-cr-00103")</f>
        <v>ED-KY 5:18-cr-00103</v>
      </c>
      <c r="P12" s="16"/>
      <c r="Q12" s="37">
        <v>1.0</v>
      </c>
      <c r="R12" s="37"/>
      <c r="S12" s="37" t="str">
        <f>IFERROR(__xludf.DUMMYFUNCTION("if(not(iserror(index(split(C12, "" ""),2))), index(split(C12, "" ""),1),"""")"),"January")</f>
        <v>January</v>
      </c>
      <c r="T12" s="38">
        <f>IFERROR(__xludf.DUMMYFUNCTION("if(S12="""",C12,if(not(iserror(index(split(C12, "" ""),3))), index(split(C12, "" ""),3),index(split(C12, "" ""),2)))"),2017.0)</f>
        <v>2017</v>
      </c>
      <c r="U12" s="38" t="b">
        <f t="shared" si="2"/>
        <v>0</v>
      </c>
      <c r="V12" s="38" t="s">
        <v>33</v>
      </c>
      <c r="W12" s="46" t="s">
        <v>79</v>
      </c>
      <c r="X12" s="46" t="s">
        <v>80</v>
      </c>
      <c r="Y12" s="40"/>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row>
    <row r="13">
      <c r="A13" s="56" t="s">
        <v>81</v>
      </c>
      <c r="B13" s="30"/>
      <c r="C13" s="30">
        <v>42758.0</v>
      </c>
      <c r="D13" s="32"/>
      <c r="E13" s="13" t="s">
        <v>31</v>
      </c>
      <c r="F13" s="13">
        <v>1.0</v>
      </c>
      <c r="G13" s="13">
        <v>1.0</v>
      </c>
      <c r="H13" s="43">
        <v>1.0</v>
      </c>
      <c r="I13" s="13" t="s">
        <v>33</v>
      </c>
      <c r="J13" s="13" t="s">
        <v>75</v>
      </c>
      <c r="K13" s="13"/>
      <c r="L13" s="34" t="s">
        <v>76</v>
      </c>
      <c r="M13" s="46" t="s">
        <v>77</v>
      </c>
      <c r="N13" s="46" t="s">
        <v>78</v>
      </c>
      <c r="O13" s="57" t="str">
        <f t="shared" si="4"/>
        <v>ED-KY 5:18-cr-00103</v>
      </c>
      <c r="P13" s="16"/>
      <c r="Q13" s="37">
        <v>1.0</v>
      </c>
      <c r="R13" s="37"/>
      <c r="S13" s="37" t="str">
        <f>IFERROR(__xludf.DUMMYFUNCTION("if(not(iserror(index(split(C13, "" ""),2))), index(split(C13, "" ""),1),"""")"),"January")</f>
        <v>January</v>
      </c>
      <c r="T13" s="38">
        <f>IFERROR(__xludf.DUMMYFUNCTION("if(S13="""",C13,if(not(iserror(index(split(C13, "" ""),3))), index(split(C13, "" ""),3),index(split(C13, "" ""),2)))"),2017.0)</f>
        <v>2017</v>
      </c>
      <c r="U13" s="38" t="b">
        <f t="shared" si="2"/>
        <v>0</v>
      </c>
      <c r="V13" s="38" t="s">
        <v>33</v>
      </c>
      <c r="W13" s="46" t="s">
        <v>79</v>
      </c>
      <c r="X13" s="46" t="s">
        <v>82</v>
      </c>
      <c r="Y13" s="40"/>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row>
    <row r="14">
      <c r="A14" s="13" t="s">
        <v>83</v>
      </c>
      <c r="B14" s="30">
        <v>42759.0</v>
      </c>
      <c r="C14" s="30">
        <v>42759.0</v>
      </c>
      <c r="D14" s="32" t="s">
        <v>84</v>
      </c>
      <c r="E14" s="13" t="s">
        <v>31</v>
      </c>
      <c r="F14" s="13">
        <v>1.0</v>
      </c>
      <c r="G14" s="13" t="s">
        <v>32</v>
      </c>
      <c r="H14" s="33">
        <f t="shared" ref="H14:H21" si="5">if(G14="Unknown",1,G14)</f>
        <v>1</v>
      </c>
      <c r="I14" s="13" t="s">
        <v>33</v>
      </c>
      <c r="J14" s="13" t="s">
        <v>85</v>
      </c>
      <c r="K14" s="13">
        <v>1.0</v>
      </c>
      <c r="L14" s="34" t="s">
        <v>35</v>
      </c>
      <c r="M14" s="35" t="s">
        <v>86</v>
      </c>
      <c r="N14" s="14"/>
      <c r="O14" s="16"/>
      <c r="P14" s="16"/>
      <c r="Q14" s="16"/>
      <c r="R14" s="37"/>
      <c r="S14" s="37" t="str">
        <f>IFERROR(__xludf.DUMMYFUNCTION("if(not(iserror(index(split(C14, "" ""),2))), index(split(C14, "" ""),1),"""")"),"January")</f>
        <v>January</v>
      </c>
      <c r="T14" s="38">
        <f>IFERROR(__xludf.DUMMYFUNCTION("if(S14="""",C14,if(not(iserror(index(split(C14, "" ""),3))), index(split(C14, "" ""),3),index(split(C14, "" ""),2)))"),2017.0)</f>
        <v>2017</v>
      </c>
      <c r="U14" s="38" t="b">
        <f t="shared" si="2"/>
        <v>0</v>
      </c>
      <c r="V14" s="38" t="s">
        <v>33</v>
      </c>
      <c r="W14" s="40"/>
      <c r="X14" s="39" t="s">
        <v>87</v>
      </c>
      <c r="Y14" s="40"/>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row>
    <row r="15">
      <c r="A15" s="13" t="s">
        <v>40</v>
      </c>
      <c r="B15" s="30">
        <v>42762.0</v>
      </c>
      <c r="C15" s="30">
        <v>42759.0</v>
      </c>
      <c r="D15" s="32" t="s">
        <v>88</v>
      </c>
      <c r="E15" s="13" t="s">
        <v>41</v>
      </c>
      <c r="F15" s="13">
        <v>39.0</v>
      </c>
      <c r="G15" s="13" t="s">
        <v>32</v>
      </c>
      <c r="H15" s="33">
        <f t="shared" si="5"/>
        <v>1</v>
      </c>
      <c r="I15" s="13" t="s">
        <v>33</v>
      </c>
      <c r="J15" s="13" t="s">
        <v>89</v>
      </c>
      <c r="K15" s="13" t="s">
        <v>32</v>
      </c>
      <c r="L15" s="13" t="s">
        <v>90</v>
      </c>
      <c r="M15" s="35" t="s">
        <v>91</v>
      </c>
      <c r="N15" s="15"/>
      <c r="O15" s="16"/>
      <c r="P15" s="16"/>
      <c r="Q15" s="16"/>
      <c r="R15" s="16"/>
      <c r="S15" s="37" t="str">
        <f>IFERROR(__xludf.DUMMYFUNCTION("if(not(iserror(index(split(C15, "" ""),2))), index(split(C15, "" ""),1),"""")"),"January")</f>
        <v>January</v>
      </c>
      <c r="T15" s="38">
        <f>IFERROR(__xludf.DUMMYFUNCTION("if(S15="""",C15,if(not(iserror(index(split(C15, "" ""),3))), index(split(C15, "" ""),3),index(split(C15, "" ""),2)))"),2017.0)</f>
        <v>2017</v>
      </c>
      <c r="U15" s="38" t="b">
        <f t="shared" si="2"/>
        <v>1</v>
      </c>
      <c r="V15" s="38"/>
      <c r="W15" s="40"/>
      <c r="X15" s="40"/>
      <c r="Y15" s="40"/>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row>
    <row r="16">
      <c r="A16" s="13" t="s">
        <v>92</v>
      </c>
      <c r="B16" s="30">
        <v>42853.0</v>
      </c>
      <c r="C16" s="30">
        <v>42759.0</v>
      </c>
      <c r="D16" s="32" t="s">
        <v>84</v>
      </c>
      <c r="E16" s="13" t="s">
        <v>41</v>
      </c>
      <c r="F16" s="13">
        <v>1.0</v>
      </c>
      <c r="G16" s="13" t="s">
        <v>32</v>
      </c>
      <c r="H16" s="33">
        <f t="shared" si="5"/>
        <v>1</v>
      </c>
      <c r="I16" s="13" t="s">
        <v>33</v>
      </c>
      <c r="J16" s="13" t="s">
        <v>93</v>
      </c>
      <c r="K16" s="13">
        <v>4.0</v>
      </c>
      <c r="L16" s="13" t="s">
        <v>94</v>
      </c>
      <c r="M16" s="35" t="s">
        <v>95</v>
      </c>
      <c r="N16" s="15"/>
      <c r="O16" s="16"/>
      <c r="P16" s="16"/>
      <c r="Q16" s="16"/>
      <c r="R16" s="16"/>
      <c r="S16" s="37" t="str">
        <f>IFERROR(__xludf.DUMMYFUNCTION("if(not(iserror(index(split(C16, "" ""),2))), index(split(C16, "" ""),1),"""")"),"January")</f>
        <v>January</v>
      </c>
      <c r="T16" s="38">
        <f>IFERROR(__xludf.DUMMYFUNCTION("if(S16="""",C16,if(not(iserror(index(split(C16, "" ""),3))), index(split(C16, "" ""),3),index(split(C16, "" ""),2)))"),2017.0)</f>
        <v>2017</v>
      </c>
      <c r="U16" s="38" t="b">
        <f t="shared" si="2"/>
        <v>0</v>
      </c>
      <c r="V16" s="38"/>
      <c r="W16" s="40"/>
      <c r="X16" s="40"/>
      <c r="Y16" s="40"/>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row>
    <row r="17">
      <c r="A17" s="13" t="s">
        <v>96</v>
      </c>
      <c r="B17" s="30">
        <v>42760.0</v>
      </c>
      <c r="C17" s="30">
        <v>42760.0</v>
      </c>
      <c r="D17" s="32" t="s">
        <v>97</v>
      </c>
      <c r="E17" s="13" t="s">
        <v>41</v>
      </c>
      <c r="F17" s="13">
        <v>1.0</v>
      </c>
      <c r="G17" s="13" t="s">
        <v>32</v>
      </c>
      <c r="H17" s="33">
        <f t="shared" si="5"/>
        <v>1</v>
      </c>
      <c r="I17" s="13" t="s">
        <v>33</v>
      </c>
      <c r="J17" s="13" t="s">
        <v>98</v>
      </c>
      <c r="K17" s="13">
        <v>1.0</v>
      </c>
      <c r="L17" s="34" t="s">
        <v>99</v>
      </c>
      <c r="M17" s="35" t="s">
        <v>100</v>
      </c>
      <c r="N17" s="15"/>
      <c r="O17" s="16"/>
      <c r="P17" s="16"/>
      <c r="Q17" s="37"/>
      <c r="R17" s="37"/>
      <c r="S17" s="37" t="str">
        <f>IFERROR(__xludf.DUMMYFUNCTION("if(not(iserror(index(split(C17, "" ""),2))), index(split(C17, "" ""),1),"""")"),"January")</f>
        <v>January</v>
      </c>
      <c r="T17" s="38">
        <f>IFERROR(__xludf.DUMMYFUNCTION("if(S17="""",C17,if(not(iserror(index(split(C17, "" ""),3))), index(split(C17, "" ""),3),index(split(C17, "" ""),2)))"),2017.0)</f>
        <v>2017</v>
      </c>
      <c r="U17" s="38" t="b">
        <f t="shared" si="2"/>
        <v>0</v>
      </c>
      <c r="V17" s="38"/>
      <c r="W17" s="40"/>
      <c r="X17" s="40"/>
      <c r="Y17" s="40"/>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row>
    <row r="18">
      <c r="A18" s="13" t="s">
        <v>101</v>
      </c>
      <c r="B18" s="30">
        <v>42760.0</v>
      </c>
      <c r="C18" s="30">
        <v>42760.0</v>
      </c>
      <c r="D18" s="32" t="s">
        <v>97</v>
      </c>
      <c r="E18" s="13" t="s">
        <v>41</v>
      </c>
      <c r="F18" s="13">
        <v>1.0</v>
      </c>
      <c r="G18" s="13" t="s">
        <v>32</v>
      </c>
      <c r="H18" s="33">
        <f t="shared" si="5"/>
        <v>1</v>
      </c>
      <c r="I18" s="13" t="s">
        <v>33</v>
      </c>
      <c r="J18" s="13" t="s">
        <v>93</v>
      </c>
      <c r="K18" s="13">
        <v>2.0</v>
      </c>
      <c r="L18" s="34" t="s">
        <v>102</v>
      </c>
      <c r="M18" s="35" t="s">
        <v>103</v>
      </c>
      <c r="N18" s="15"/>
      <c r="O18" s="16"/>
      <c r="P18" s="16"/>
      <c r="Q18" s="37"/>
      <c r="R18" s="37"/>
      <c r="S18" s="37" t="str">
        <f>IFERROR(__xludf.DUMMYFUNCTION("if(not(iserror(index(split(C18, "" ""),2))), index(split(C18, "" ""),1),"""")"),"January")</f>
        <v>January</v>
      </c>
      <c r="T18" s="38">
        <f>IFERROR(__xludf.DUMMYFUNCTION("if(S18="""",C18,if(not(iserror(index(split(C18, "" ""),3))), index(split(C18, "" ""),3),index(split(C18, "" ""),2)))"),2017.0)</f>
        <v>2017</v>
      </c>
      <c r="U18" s="38" t="b">
        <f t="shared" si="2"/>
        <v>0</v>
      </c>
      <c r="V18" s="38"/>
      <c r="W18" s="40"/>
      <c r="X18" s="40"/>
      <c r="Y18" s="40"/>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row>
    <row r="19">
      <c r="A19" s="58" t="s">
        <v>104</v>
      </c>
      <c r="B19" s="59">
        <v>43304.0</v>
      </c>
      <c r="C19" s="59">
        <v>42760.0</v>
      </c>
      <c r="D19" s="60" t="s">
        <v>105</v>
      </c>
      <c r="E19" s="58" t="s">
        <v>41</v>
      </c>
      <c r="F19" s="58">
        <v>1.0</v>
      </c>
      <c r="G19" s="58" t="s">
        <v>32</v>
      </c>
      <c r="H19" s="33">
        <f t="shared" si="5"/>
        <v>1</v>
      </c>
      <c r="I19" s="58" t="s">
        <v>33</v>
      </c>
      <c r="J19" s="58" t="s">
        <v>106</v>
      </c>
      <c r="K19" s="58" t="s">
        <v>32</v>
      </c>
      <c r="L19" s="58" t="s">
        <v>107</v>
      </c>
      <c r="M19" s="61" t="s">
        <v>108</v>
      </c>
      <c r="N19" s="61" t="s">
        <v>109</v>
      </c>
      <c r="O19" s="62"/>
      <c r="P19" s="62"/>
      <c r="Q19" s="62"/>
      <c r="R19" s="62"/>
      <c r="S19" s="37" t="str">
        <f>IFERROR(__xludf.DUMMYFUNCTION("if(not(iserror(index(split(C19, "" ""),2))), index(split(C19, "" ""),1),"""")"),"January")</f>
        <v>January</v>
      </c>
      <c r="T19" s="38">
        <f>IFERROR(__xludf.DUMMYFUNCTION("if(S19="""",C19,if(not(iserror(index(split(C19, "" ""),3))), index(split(C19, "" ""),3),index(split(C19, "" ""),2)))"),2017.0)</f>
        <v>2017</v>
      </c>
      <c r="U19" s="38" t="b">
        <f t="shared" si="2"/>
        <v>0</v>
      </c>
      <c r="V19" s="38"/>
      <c r="W19" s="40"/>
      <c r="X19" s="40"/>
      <c r="Y19" s="40"/>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row>
    <row r="20">
      <c r="A20" s="13" t="s">
        <v>40</v>
      </c>
      <c r="B20" s="30">
        <v>42765.0</v>
      </c>
      <c r="C20" s="30">
        <v>42761.0</v>
      </c>
      <c r="D20" s="32" t="s">
        <v>110</v>
      </c>
      <c r="E20" s="13" t="s">
        <v>31</v>
      </c>
      <c r="F20" s="13">
        <v>474.0</v>
      </c>
      <c r="G20" s="13">
        <v>56.0</v>
      </c>
      <c r="H20" s="33">
        <f t="shared" si="5"/>
        <v>56</v>
      </c>
      <c r="I20" s="13" t="s">
        <v>33</v>
      </c>
      <c r="J20" s="13" t="s">
        <v>111</v>
      </c>
      <c r="K20" s="13">
        <v>30.0</v>
      </c>
      <c r="L20" s="13" t="s">
        <v>112</v>
      </c>
      <c r="M20" s="35" t="s">
        <v>113</v>
      </c>
      <c r="N20" s="46" t="s">
        <v>114</v>
      </c>
      <c r="O20" s="16"/>
      <c r="P20" s="16"/>
      <c r="Q20" s="16"/>
      <c r="R20" s="16"/>
      <c r="S20" s="37" t="str">
        <f>IFERROR(__xludf.DUMMYFUNCTION("if(not(iserror(index(split(C20, "" ""),2))), index(split(C20, "" ""),1),"""")"),"January")</f>
        <v>January</v>
      </c>
      <c r="T20" s="38">
        <f>IFERROR(__xludf.DUMMYFUNCTION("if(S20="""",C20,if(not(iserror(index(split(C20, "" ""),3))), index(split(C20, "" ""),3),index(split(C20, "" ""),2)))"),2017.0)</f>
        <v>2017</v>
      </c>
      <c r="U20" s="38" t="b">
        <f t="shared" si="2"/>
        <v>1</v>
      </c>
      <c r="V20" s="38"/>
      <c r="W20" s="40"/>
      <c r="X20" s="40"/>
      <c r="Y20" s="40"/>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row>
    <row r="21">
      <c r="A21" s="13" t="s">
        <v>40</v>
      </c>
      <c r="B21" s="30">
        <v>42765.0</v>
      </c>
      <c r="C21" s="30">
        <v>42762.0</v>
      </c>
      <c r="D21" s="32" t="s">
        <v>110</v>
      </c>
      <c r="E21" s="13" t="s">
        <v>31</v>
      </c>
      <c r="F21" s="13">
        <v>5.0</v>
      </c>
      <c r="G21" s="13">
        <v>1.0</v>
      </c>
      <c r="H21" s="33">
        <f t="shared" si="5"/>
        <v>1</v>
      </c>
      <c r="I21" s="13" t="s">
        <v>33</v>
      </c>
      <c r="J21" s="13" t="s">
        <v>115</v>
      </c>
      <c r="K21" s="13">
        <v>5.0</v>
      </c>
      <c r="L21" s="13" t="s">
        <v>116</v>
      </c>
      <c r="M21" s="45" t="s">
        <v>117</v>
      </c>
      <c r="N21" s="15"/>
      <c r="O21" s="16"/>
      <c r="P21" s="16"/>
      <c r="Q21" s="16"/>
      <c r="R21" s="16"/>
      <c r="S21" s="37" t="str">
        <f>IFERROR(__xludf.DUMMYFUNCTION("if(not(iserror(index(split(C21, "" ""),2))), index(split(C21, "" ""),1),"""")"),"January")</f>
        <v>January</v>
      </c>
      <c r="T21" s="38">
        <f>IFERROR(__xludf.DUMMYFUNCTION("if(S21="""",C21,if(not(iserror(index(split(C21, "" ""),3))), index(split(C21, "" ""),3),index(split(C21, "" ""),2)))"),2017.0)</f>
        <v>2017</v>
      </c>
      <c r="U21" s="38" t="b">
        <f t="shared" si="2"/>
        <v>1</v>
      </c>
      <c r="V21" s="38"/>
      <c r="W21" s="40"/>
      <c r="X21" s="40"/>
      <c r="Y21" s="40"/>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row>
    <row r="22">
      <c r="A22" s="47" t="s">
        <v>118</v>
      </c>
      <c r="B22" s="48">
        <v>43502.0</v>
      </c>
      <c r="C22" s="48">
        <v>42762.0</v>
      </c>
      <c r="D22" s="49" t="s">
        <v>88</v>
      </c>
      <c r="E22" s="47" t="s">
        <v>31</v>
      </c>
      <c r="F22" s="47">
        <v>1.0</v>
      </c>
      <c r="G22" s="47" t="s">
        <v>32</v>
      </c>
      <c r="H22" s="63">
        <v>1.0</v>
      </c>
      <c r="I22" s="47" t="s">
        <v>33</v>
      </c>
      <c r="J22" s="47" t="s">
        <v>42</v>
      </c>
      <c r="K22" s="47">
        <v>2.0</v>
      </c>
      <c r="L22" s="47" t="s">
        <v>119</v>
      </c>
      <c r="M22" s="51" t="s">
        <v>120</v>
      </c>
      <c r="N22" s="52"/>
      <c r="O22" s="53" t="str">
        <f>hyperlink("https://bad-boys.us/?q=WD-MI/2:18-cr-00034", "WD-MI 2:18-cr-00034")</f>
        <v>WD-MI 2:18-cr-00034</v>
      </c>
      <c r="P22" s="54" t="s">
        <v>121</v>
      </c>
      <c r="Q22" s="47">
        <v>1.0</v>
      </c>
      <c r="R22" s="55"/>
      <c r="S22" s="37" t="str">
        <f>IFERROR(__xludf.DUMMYFUNCTION("if(not(iserror(index(split(C22, "" ""),2))), index(split(C22, "" ""),1),"""")"),"January")</f>
        <v>January</v>
      </c>
      <c r="T22" s="38">
        <f>IFERROR(__xludf.DUMMYFUNCTION("if(S22="""",C22,if(not(iserror(index(split(C22, "" ""),3))), index(split(C22, "" ""),3),index(split(C22, "" ""),2)))"),2017.0)</f>
        <v>2017</v>
      </c>
      <c r="U22" s="38" t="b">
        <f t="shared" si="2"/>
        <v>0</v>
      </c>
      <c r="V22" s="38" t="s">
        <v>33</v>
      </c>
      <c r="W22" s="40"/>
      <c r="X22" s="40"/>
      <c r="Y22" s="40"/>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c r="A23" s="13" t="s">
        <v>40</v>
      </c>
      <c r="B23" s="30">
        <v>42780.0</v>
      </c>
      <c r="C23" s="30">
        <v>42767.0</v>
      </c>
      <c r="D23" s="32" t="s">
        <v>122</v>
      </c>
      <c r="E23" s="13" t="s">
        <v>41</v>
      </c>
      <c r="F23" s="13" t="s">
        <v>123</v>
      </c>
      <c r="G23" s="13" t="s">
        <v>32</v>
      </c>
      <c r="H23" s="33">
        <f t="shared" ref="H23:H27" si="6">if(G23="Unknown",1,G23)</f>
        <v>1</v>
      </c>
      <c r="I23" s="13" t="s">
        <v>33</v>
      </c>
      <c r="J23" s="13" t="s">
        <v>124</v>
      </c>
      <c r="K23" s="13" t="s">
        <v>32</v>
      </c>
      <c r="L23" s="13" t="s">
        <v>125</v>
      </c>
      <c r="M23" s="35" t="s">
        <v>126</v>
      </c>
      <c r="N23" s="15"/>
      <c r="O23" s="16"/>
      <c r="P23" s="16"/>
      <c r="Q23" s="16"/>
      <c r="R23" s="16"/>
      <c r="S23" s="37" t="str">
        <f>IFERROR(__xludf.DUMMYFUNCTION("if(not(iserror(index(split(C23, "" ""),2))), index(split(C23, "" ""),1),"""")"),"February")</f>
        <v>February</v>
      </c>
      <c r="T23" s="38">
        <f>IFERROR(__xludf.DUMMYFUNCTION("if(S23="""",C23,if(not(iserror(index(split(C23, "" ""),3))), index(split(C23, "" ""),3),index(split(C23, "" ""),2)))"),2017.0)</f>
        <v>2017</v>
      </c>
      <c r="U23" s="38" t="b">
        <f t="shared" si="2"/>
        <v>1</v>
      </c>
      <c r="V23" s="38"/>
      <c r="W23" s="40"/>
      <c r="X23" s="40"/>
      <c r="Y23" s="40"/>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c r="A24" s="13" t="s">
        <v>40</v>
      </c>
      <c r="B24" s="30">
        <v>42783.0</v>
      </c>
      <c r="C24" s="30">
        <v>42767.0</v>
      </c>
      <c r="D24" s="32" t="s">
        <v>127</v>
      </c>
      <c r="E24" s="13" t="s">
        <v>41</v>
      </c>
      <c r="F24" s="13">
        <v>2.0</v>
      </c>
      <c r="G24" s="13">
        <v>17.0</v>
      </c>
      <c r="H24" s="33">
        <f t="shared" si="6"/>
        <v>17</v>
      </c>
      <c r="I24" s="13" t="s">
        <v>128</v>
      </c>
      <c r="J24" s="13"/>
      <c r="K24" s="13" t="s">
        <v>32</v>
      </c>
      <c r="L24" s="13" t="s">
        <v>125</v>
      </c>
      <c r="M24" s="35" t="s">
        <v>129</v>
      </c>
      <c r="N24" s="15"/>
      <c r="O24" s="16"/>
      <c r="P24" s="16"/>
      <c r="Q24" s="16"/>
      <c r="R24" s="16"/>
      <c r="S24" s="37" t="str">
        <f>IFERROR(__xludf.DUMMYFUNCTION("if(not(iserror(index(split(C24, "" ""),2))), index(split(C24, "" ""),1),"""")"),"February")</f>
        <v>February</v>
      </c>
      <c r="T24" s="38">
        <f>IFERROR(__xludf.DUMMYFUNCTION("if(S24="""",C24,if(not(iserror(index(split(C24, "" ""),3))), index(split(C24, "" ""),3),index(split(C24, "" ""),2)))"),2017.0)</f>
        <v>2017</v>
      </c>
      <c r="U24" s="38" t="b">
        <f t="shared" si="2"/>
        <v>1</v>
      </c>
      <c r="V24" s="38"/>
      <c r="W24" s="40"/>
      <c r="X24" s="40"/>
      <c r="Y24" s="40"/>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c r="A25" s="13" t="s">
        <v>130</v>
      </c>
      <c r="B25" s="30">
        <v>42859.0</v>
      </c>
      <c r="C25" s="31">
        <v>42767.0</v>
      </c>
      <c r="D25" s="32" t="s">
        <v>131</v>
      </c>
      <c r="E25" s="13" t="s">
        <v>31</v>
      </c>
      <c r="F25" s="13">
        <v>2.0</v>
      </c>
      <c r="G25" s="13">
        <v>1.0</v>
      </c>
      <c r="H25" s="33">
        <f t="shared" si="6"/>
        <v>1</v>
      </c>
      <c r="I25" s="13" t="s">
        <v>33</v>
      </c>
      <c r="J25" s="13" t="s">
        <v>132</v>
      </c>
      <c r="K25" s="13" t="s">
        <v>32</v>
      </c>
      <c r="L25" s="13" t="s">
        <v>133</v>
      </c>
      <c r="M25" s="35" t="s">
        <v>134</v>
      </c>
      <c r="N25" s="15"/>
      <c r="O25" s="16"/>
      <c r="P25" s="16"/>
      <c r="Q25" s="16"/>
      <c r="R25" s="16"/>
      <c r="S25" s="37" t="str">
        <f>IFERROR(__xludf.DUMMYFUNCTION("if(not(iserror(index(split(C25, "" ""),2))), index(split(C25, "" ""),1),"""")"),"February,")</f>
        <v>February,</v>
      </c>
      <c r="T25" s="38">
        <f>IFERROR(__xludf.DUMMYFUNCTION("if(S25="""",C25,if(not(iserror(index(split(C25, "" ""),3))), index(split(C25, "" ""),3),index(split(C25, "" ""),2)))"),2017.0)</f>
        <v>2017</v>
      </c>
      <c r="U25" s="38" t="b">
        <f t="shared" si="2"/>
        <v>0</v>
      </c>
      <c r="V25" s="38"/>
      <c r="W25" s="40"/>
      <c r="X25" s="40"/>
      <c r="Y25" s="40"/>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c r="A26" s="13" t="s">
        <v>135</v>
      </c>
      <c r="B26" s="30">
        <v>43012.0</v>
      </c>
      <c r="C26" s="30">
        <v>42767.0</v>
      </c>
      <c r="D26" s="32" t="s">
        <v>122</v>
      </c>
      <c r="E26" s="13" t="s">
        <v>31</v>
      </c>
      <c r="F26" s="13">
        <v>1.0</v>
      </c>
      <c r="G26" s="13" t="s">
        <v>32</v>
      </c>
      <c r="H26" s="33">
        <f t="shared" si="6"/>
        <v>1</v>
      </c>
      <c r="I26" s="13" t="s">
        <v>33</v>
      </c>
      <c r="J26" s="13" t="s">
        <v>115</v>
      </c>
      <c r="K26" s="13">
        <v>2.0</v>
      </c>
      <c r="L26" s="13" t="s">
        <v>136</v>
      </c>
      <c r="M26" s="35" t="s">
        <v>137</v>
      </c>
      <c r="N26" s="15"/>
      <c r="O26" s="16"/>
      <c r="P26" s="16"/>
      <c r="Q26" s="16"/>
      <c r="R26" s="16"/>
      <c r="S26" s="37" t="str">
        <f>IFERROR(__xludf.DUMMYFUNCTION("if(not(iserror(index(split(C26, "" ""),2))), index(split(C26, "" ""),1),"""")"),"February")</f>
        <v>February</v>
      </c>
      <c r="T26" s="38">
        <f>IFERROR(__xludf.DUMMYFUNCTION("if(S26="""",C26,if(not(iserror(index(split(C26, "" ""),3))), index(split(C26, "" ""),3),index(split(C26, "" ""),2)))"),2017.0)</f>
        <v>2017</v>
      </c>
      <c r="U26" s="38" t="b">
        <f t="shared" si="2"/>
        <v>0</v>
      </c>
      <c r="V26" s="38"/>
      <c r="W26" s="40"/>
      <c r="X26" s="40"/>
      <c r="Y26" s="40"/>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c r="A27" s="13" t="s">
        <v>138</v>
      </c>
      <c r="B27" s="30">
        <v>43040.0</v>
      </c>
      <c r="C27" s="31">
        <v>42767.0</v>
      </c>
      <c r="D27" s="32" t="s">
        <v>139</v>
      </c>
      <c r="E27" s="13" t="s">
        <v>41</v>
      </c>
      <c r="F27" s="13">
        <v>1.0</v>
      </c>
      <c r="G27" s="13" t="s">
        <v>32</v>
      </c>
      <c r="H27" s="33">
        <f t="shared" si="6"/>
        <v>1</v>
      </c>
      <c r="I27" s="13" t="s">
        <v>33</v>
      </c>
      <c r="J27" s="13" t="s">
        <v>140</v>
      </c>
      <c r="K27" s="13">
        <v>4.0</v>
      </c>
      <c r="L27" s="13" t="s">
        <v>141</v>
      </c>
      <c r="M27" s="36" t="s">
        <v>142</v>
      </c>
      <c r="N27" s="15"/>
      <c r="O27" s="16"/>
      <c r="P27" s="37"/>
      <c r="Q27" s="64"/>
      <c r="R27" s="16"/>
      <c r="S27" s="37" t="str">
        <f>IFERROR(__xludf.DUMMYFUNCTION("if(not(iserror(index(split(C27, "" ""),2))), index(split(C27, "" ""),1),"""")"),"February,")</f>
        <v>February,</v>
      </c>
      <c r="T27" s="38">
        <f>IFERROR(__xludf.DUMMYFUNCTION("if(S27="""",C27,if(not(iserror(index(split(C27, "" ""),3))), index(split(C27, "" ""),3),index(split(C27, "" ""),2)))"),2017.0)</f>
        <v>2017</v>
      </c>
      <c r="U27" s="38" t="b">
        <f t="shared" si="2"/>
        <v>0</v>
      </c>
      <c r="V27" s="38"/>
      <c r="W27" s="40"/>
      <c r="X27" s="40"/>
      <c r="Y27" s="40"/>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c r="A28" s="13" t="s">
        <v>143</v>
      </c>
      <c r="B28" s="30"/>
      <c r="C28" s="31">
        <v>42767.0</v>
      </c>
      <c r="D28" s="32"/>
      <c r="E28" s="13" t="s">
        <v>41</v>
      </c>
      <c r="F28" s="13">
        <v>1.0</v>
      </c>
      <c r="G28" s="13">
        <v>1.0</v>
      </c>
      <c r="H28" s="43">
        <v>1.0</v>
      </c>
      <c r="I28" s="13" t="s">
        <v>33</v>
      </c>
      <c r="J28" s="13" t="s">
        <v>144</v>
      </c>
      <c r="K28" s="13"/>
      <c r="L28" s="13" t="s">
        <v>99</v>
      </c>
      <c r="M28" s="36" t="s">
        <v>145</v>
      </c>
      <c r="N28" s="15"/>
      <c r="O28" s="16"/>
      <c r="P28" s="16"/>
      <c r="Q28" s="16"/>
      <c r="R28" s="16"/>
      <c r="S28" s="37" t="str">
        <f>IFERROR(__xludf.DUMMYFUNCTION("if(not(iserror(index(split(C28, "" ""),2))), index(split(C28, "" ""),1),"""")"),"February,")</f>
        <v>February,</v>
      </c>
      <c r="T28" s="38">
        <f>IFERROR(__xludf.DUMMYFUNCTION("if(S28="""",C28,if(not(iserror(index(split(C28, "" ""),3))), index(split(C28, "" ""),3),index(split(C28, "" ""),2)))"),2017.0)</f>
        <v>2017</v>
      </c>
      <c r="U28" s="38" t="b">
        <f t="shared" si="2"/>
        <v>0</v>
      </c>
      <c r="V28" s="38" t="s">
        <v>33</v>
      </c>
      <c r="W28" s="40"/>
      <c r="X28" s="40"/>
      <c r="Y28" s="40"/>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c r="A29" s="13" t="s">
        <v>146</v>
      </c>
      <c r="B29" s="30">
        <v>43138.0</v>
      </c>
      <c r="C29" s="31">
        <v>42767.0</v>
      </c>
      <c r="D29" s="32" t="s">
        <v>122</v>
      </c>
      <c r="E29" s="13" t="s">
        <v>41</v>
      </c>
      <c r="F29" s="13">
        <v>1.0</v>
      </c>
      <c r="G29" s="13" t="s">
        <v>32</v>
      </c>
      <c r="H29" s="33">
        <f t="shared" ref="H29:H43" si="7">if(G29="Unknown",1,G29)</f>
        <v>1</v>
      </c>
      <c r="I29" s="13" t="s">
        <v>33</v>
      </c>
      <c r="J29" s="13" t="s">
        <v>147</v>
      </c>
      <c r="K29" s="13">
        <v>1.0</v>
      </c>
      <c r="L29" s="13" t="s">
        <v>99</v>
      </c>
      <c r="M29" s="36" t="s">
        <v>148</v>
      </c>
      <c r="N29" s="15"/>
      <c r="O29" s="16"/>
      <c r="P29" s="16"/>
      <c r="Q29" s="16"/>
      <c r="R29" s="16"/>
      <c r="S29" s="37" t="str">
        <f>IFERROR(__xludf.DUMMYFUNCTION("if(not(iserror(index(split(C29, "" ""),2))), index(split(C29, "" ""),1),"""")"),"February,")</f>
        <v>February,</v>
      </c>
      <c r="T29" s="38">
        <f>IFERROR(__xludf.DUMMYFUNCTION("if(S29="""",C29,if(not(iserror(index(split(C29, "" ""),3))), index(split(C29, "" ""),3),index(split(C29, "" ""),2)))"),2017.0)</f>
        <v>2017</v>
      </c>
      <c r="U29" s="38" t="b">
        <f t="shared" si="2"/>
        <v>0</v>
      </c>
      <c r="V29" s="38"/>
      <c r="W29" s="40"/>
      <c r="X29" s="40"/>
      <c r="Y29" s="40"/>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c r="A30" s="65" t="s">
        <v>149</v>
      </c>
      <c r="B30" s="66">
        <v>43195.0</v>
      </c>
      <c r="C30" s="67">
        <v>42767.0</v>
      </c>
      <c r="D30" s="68" t="s">
        <v>122</v>
      </c>
      <c r="E30" s="65" t="s">
        <v>41</v>
      </c>
      <c r="F30" s="65">
        <v>1.0</v>
      </c>
      <c r="G30" s="65" t="s">
        <v>32</v>
      </c>
      <c r="H30" s="33">
        <f t="shared" si="7"/>
        <v>1</v>
      </c>
      <c r="I30" s="65" t="s">
        <v>33</v>
      </c>
      <c r="J30" s="65" t="s">
        <v>89</v>
      </c>
      <c r="K30" s="65" t="s">
        <v>40</v>
      </c>
      <c r="L30" s="65" t="s">
        <v>150</v>
      </c>
      <c r="M30" s="35" t="s">
        <v>151</v>
      </c>
      <c r="N30" s="69"/>
      <c r="O30" s="70"/>
      <c r="P30" s="70"/>
      <c r="Q30" s="71"/>
      <c r="R30" s="72"/>
      <c r="S30" s="37" t="str">
        <f>IFERROR(__xludf.DUMMYFUNCTION("if(not(iserror(index(split(C30, "" ""),2))), index(split(C30, "" ""),1),"""")"),"February,")</f>
        <v>February,</v>
      </c>
      <c r="T30" s="38">
        <f>IFERROR(__xludf.DUMMYFUNCTION("if(S30="""",C30,if(not(iserror(index(split(C30, "" ""),3))), index(split(C30, "" ""),3),index(split(C30, "" ""),2)))"),2017.0)</f>
        <v>2017</v>
      </c>
      <c r="U30" s="38" t="b">
        <f t="shared" si="2"/>
        <v>0</v>
      </c>
      <c r="V30" s="38"/>
      <c r="W30" s="40"/>
      <c r="X30" s="40"/>
      <c r="Y30" s="40"/>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c r="A31" s="34" t="s">
        <v>152</v>
      </c>
      <c r="B31" s="73">
        <v>43207.0</v>
      </c>
      <c r="C31" s="74">
        <v>42767.0</v>
      </c>
      <c r="D31" s="75" t="s">
        <v>122</v>
      </c>
      <c r="E31" s="34" t="s">
        <v>41</v>
      </c>
      <c r="F31" s="34">
        <v>2.0</v>
      </c>
      <c r="G31" s="34" t="s">
        <v>32</v>
      </c>
      <c r="H31" s="33">
        <f t="shared" si="7"/>
        <v>1</v>
      </c>
      <c r="I31" s="34" t="s">
        <v>33</v>
      </c>
      <c r="J31" s="34" t="s">
        <v>98</v>
      </c>
      <c r="K31" s="34">
        <v>2.0</v>
      </c>
      <c r="L31" s="34" t="s">
        <v>153</v>
      </c>
      <c r="M31" s="76" t="s">
        <v>154</v>
      </c>
      <c r="N31" s="77"/>
      <c r="O31" s="62"/>
      <c r="P31" s="58"/>
      <c r="Q31" s="62"/>
      <c r="R31" s="62"/>
      <c r="S31" s="37" t="str">
        <f>IFERROR(__xludf.DUMMYFUNCTION("if(not(iserror(index(split(C31, "" ""),2))), index(split(C31, "" ""),1),"""")"),"February,")</f>
        <v>February,</v>
      </c>
      <c r="T31" s="38">
        <f>IFERROR(__xludf.DUMMYFUNCTION("if(S31="""",C31,if(not(iserror(index(split(C31, "" ""),3))), index(split(C31, "" ""),3),index(split(C31, "" ""),2)))"),2017.0)</f>
        <v>2017</v>
      </c>
      <c r="U31" s="38" t="b">
        <f t="shared" si="2"/>
        <v>0</v>
      </c>
      <c r="V31" s="38"/>
      <c r="W31" s="40"/>
      <c r="X31" s="40"/>
      <c r="Y31" s="40"/>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c r="A32" s="78" t="s">
        <v>155</v>
      </c>
      <c r="B32" s="59">
        <v>43280.0</v>
      </c>
      <c r="C32" s="79">
        <v>42767.0</v>
      </c>
      <c r="D32" s="60" t="s">
        <v>122</v>
      </c>
      <c r="E32" s="58" t="s">
        <v>41</v>
      </c>
      <c r="F32" s="58">
        <v>1.0</v>
      </c>
      <c r="G32" s="58" t="s">
        <v>32</v>
      </c>
      <c r="H32" s="33">
        <f t="shared" si="7"/>
        <v>1</v>
      </c>
      <c r="I32" s="58" t="s">
        <v>33</v>
      </c>
      <c r="J32" s="58" t="s">
        <v>144</v>
      </c>
      <c r="K32" s="58">
        <v>2.0</v>
      </c>
      <c r="L32" s="58" t="s">
        <v>69</v>
      </c>
      <c r="M32" s="61" t="s">
        <v>156</v>
      </c>
      <c r="N32" s="77"/>
      <c r="O32" s="62"/>
      <c r="P32" s="62"/>
      <c r="Q32" s="62"/>
      <c r="R32" s="62"/>
      <c r="S32" s="37" t="str">
        <f>IFERROR(__xludf.DUMMYFUNCTION("if(not(iserror(index(split(C32, "" ""),2))), index(split(C32, "" ""),1),"""")"),"February,")</f>
        <v>February,</v>
      </c>
      <c r="T32" s="38">
        <f>IFERROR(__xludf.DUMMYFUNCTION("if(S32="""",C32,if(not(iserror(index(split(C32, "" ""),3))), index(split(C32, "" ""),3),index(split(C32, "" ""),2)))"),2017.0)</f>
        <v>2017</v>
      </c>
      <c r="U32" s="38" t="b">
        <f t="shared" si="2"/>
        <v>0</v>
      </c>
      <c r="V32" s="38"/>
      <c r="W32" s="40"/>
      <c r="X32" s="40"/>
      <c r="Y32" s="40"/>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c r="A33" s="58" t="s">
        <v>157</v>
      </c>
      <c r="B33" s="59">
        <v>43308.0</v>
      </c>
      <c r="C33" s="79">
        <v>42767.0</v>
      </c>
      <c r="D33" s="60" t="s">
        <v>122</v>
      </c>
      <c r="E33" s="58" t="s">
        <v>31</v>
      </c>
      <c r="F33" s="58">
        <v>1.0</v>
      </c>
      <c r="G33" s="58" t="s">
        <v>32</v>
      </c>
      <c r="H33" s="33">
        <f t="shared" si="7"/>
        <v>1</v>
      </c>
      <c r="I33" s="58" t="s">
        <v>33</v>
      </c>
      <c r="J33" s="58" t="s">
        <v>132</v>
      </c>
      <c r="K33" s="58">
        <v>3.0</v>
      </c>
      <c r="L33" s="58" t="s">
        <v>35</v>
      </c>
      <c r="M33" s="61" t="s">
        <v>158</v>
      </c>
      <c r="N33" s="77"/>
      <c r="O33" s="62"/>
      <c r="P33" s="62"/>
      <c r="Q33" s="62"/>
      <c r="R33" s="62"/>
      <c r="S33" s="37" t="str">
        <f>IFERROR(__xludf.DUMMYFUNCTION("if(not(iserror(index(split(C33, "" ""),2))), index(split(C33, "" ""),1),"""")"),"February,")</f>
        <v>February,</v>
      </c>
      <c r="T33" s="38">
        <f>IFERROR(__xludf.DUMMYFUNCTION("if(S33="""",C33,if(not(iserror(index(split(C33, "" ""),3))), index(split(C33, "" ""),3),index(split(C33, "" ""),2)))"),2017.0)</f>
        <v>2017</v>
      </c>
      <c r="U33" s="38" t="b">
        <f t="shared" si="2"/>
        <v>0</v>
      </c>
      <c r="V33" s="38" t="s">
        <v>33</v>
      </c>
      <c r="W33" s="39" t="s">
        <v>159</v>
      </c>
      <c r="X33" s="39" t="s">
        <v>160</v>
      </c>
      <c r="Y33" s="40"/>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c r="A34" s="58" t="s">
        <v>161</v>
      </c>
      <c r="B34" s="59">
        <v>43329.0</v>
      </c>
      <c r="C34" s="79">
        <v>42767.0</v>
      </c>
      <c r="D34" s="60" t="s">
        <v>122</v>
      </c>
      <c r="E34" s="58" t="s">
        <v>31</v>
      </c>
      <c r="F34" s="58">
        <v>1.0</v>
      </c>
      <c r="G34" s="58" t="s">
        <v>32</v>
      </c>
      <c r="H34" s="33">
        <f t="shared" si="7"/>
        <v>1</v>
      </c>
      <c r="I34" s="58" t="s">
        <v>33</v>
      </c>
      <c r="J34" s="58" t="s">
        <v>162</v>
      </c>
      <c r="K34" s="58" t="s">
        <v>32</v>
      </c>
      <c r="L34" s="58" t="s">
        <v>69</v>
      </c>
      <c r="M34" s="80" t="s">
        <v>163</v>
      </c>
      <c r="N34" s="77"/>
      <c r="O34" s="62"/>
      <c r="P34" s="62"/>
      <c r="Q34" s="62"/>
      <c r="R34" s="62"/>
      <c r="S34" s="37" t="str">
        <f>IFERROR(__xludf.DUMMYFUNCTION("if(not(iserror(index(split(C34, "" ""),2))), index(split(C34, "" ""),1),"""")"),"February,")</f>
        <v>February,</v>
      </c>
      <c r="T34" s="38">
        <f>IFERROR(__xludf.DUMMYFUNCTION("if(S34="""",C34,if(not(iserror(index(split(C34, "" ""),3))), index(split(C34, "" ""),3),index(split(C34, "" ""),2)))"),2017.0)</f>
        <v>2017</v>
      </c>
      <c r="U34" s="38" t="b">
        <f t="shared" si="2"/>
        <v>0</v>
      </c>
      <c r="V34" s="38" t="s">
        <v>33</v>
      </c>
      <c r="W34" s="39" t="s">
        <v>164</v>
      </c>
      <c r="X34" s="39" t="s">
        <v>165</v>
      </c>
      <c r="Y34" s="40"/>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c r="A35" s="58" t="s">
        <v>166</v>
      </c>
      <c r="B35" s="59">
        <v>43335.0</v>
      </c>
      <c r="C35" s="79">
        <v>42767.0</v>
      </c>
      <c r="D35" s="60" t="s">
        <v>167</v>
      </c>
      <c r="E35" s="58" t="s">
        <v>31</v>
      </c>
      <c r="F35" s="58">
        <v>1.0</v>
      </c>
      <c r="G35" s="58" t="s">
        <v>32</v>
      </c>
      <c r="H35" s="33">
        <f t="shared" si="7"/>
        <v>1</v>
      </c>
      <c r="I35" s="58" t="s">
        <v>33</v>
      </c>
      <c r="J35" s="58" t="s">
        <v>47</v>
      </c>
      <c r="K35" s="58">
        <v>2.0</v>
      </c>
      <c r="L35" s="58" t="s">
        <v>76</v>
      </c>
      <c r="M35" s="61" t="s">
        <v>168</v>
      </c>
      <c r="N35" s="77"/>
      <c r="O35" s="62"/>
      <c r="P35" s="62"/>
      <c r="Q35" s="62"/>
      <c r="R35" s="62"/>
      <c r="S35" s="37" t="str">
        <f>IFERROR(__xludf.DUMMYFUNCTION("if(not(iserror(index(split(C35, "" ""),2))), index(split(C35, "" ""),1),"""")"),"February,")</f>
        <v>February,</v>
      </c>
      <c r="T35" s="38">
        <f>IFERROR(__xludf.DUMMYFUNCTION("if(S35="""",C35,if(not(iserror(index(split(C35, "" ""),3))), index(split(C35, "" ""),3),index(split(C35, "" ""),2)))"),2017.0)</f>
        <v>2017</v>
      </c>
      <c r="U35" s="38" t="b">
        <f t="shared" si="2"/>
        <v>0</v>
      </c>
      <c r="V35" s="38" t="s">
        <v>33</v>
      </c>
      <c r="W35" s="39" t="s">
        <v>169</v>
      </c>
      <c r="X35" s="39" t="s">
        <v>170</v>
      </c>
      <c r="Y35" s="40"/>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c r="A36" s="81" t="s">
        <v>171</v>
      </c>
      <c r="B36" s="59">
        <v>43355.0</v>
      </c>
      <c r="C36" s="79">
        <v>42767.0</v>
      </c>
      <c r="D36" s="60" t="s">
        <v>122</v>
      </c>
      <c r="E36" s="58" t="s">
        <v>41</v>
      </c>
      <c r="F36" s="58">
        <v>1.0</v>
      </c>
      <c r="G36" s="58" t="s">
        <v>32</v>
      </c>
      <c r="H36" s="33">
        <f t="shared" si="7"/>
        <v>1</v>
      </c>
      <c r="I36" s="58" t="s">
        <v>33</v>
      </c>
      <c r="J36" s="58" t="s">
        <v>172</v>
      </c>
      <c r="K36" s="58">
        <v>2.0</v>
      </c>
      <c r="L36" s="58" t="s">
        <v>173</v>
      </c>
      <c r="M36" s="61" t="s">
        <v>174</v>
      </c>
      <c r="N36" s="61" t="s">
        <v>175</v>
      </c>
      <c r="O36" s="62"/>
      <c r="P36" s="62"/>
      <c r="Q36" s="62"/>
      <c r="R36" s="62"/>
      <c r="S36" s="37" t="str">
        <f>IFERROR(__xludf.DUMMYFUNCTION("if(not(iserror(index(split(C36, "" ""),2))), index(split(C36, "" ""),1),"""")"),"February,")</f>
        <v>February,</v>
      </c>
      <c r="T36" s="38">
        <f>IFERROR(__xludf.DUMMYFUNCTION("if(S36="""",C36,if(not(iserror(index(split(C36, "" ""),3))), index(split(C36, "" ""),3),index(split(C36, "" ""),2)))"),2017.0)</f>
        <v>2017</v>
      </c>
      <c r="U36" s="38" t="b">
        <f t="shared" si="2"/>
        <v>0</v>
      </c>
      <c r="V36" s="38"/>
      <c r="W36" s="39" t="s">
        <v>176</v>
      </c>
      <c r="X36" s="39" t="s">
        <v>177</v>
      </c>
      <c r="Y36" s="40"/>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c r="A37" s="58" t="s">
        <v>178</v>
      </c>
      <c r="B37" s="59">
        <v>43392.0</v>
      </c>
      <c r="C37" s="79">
        <v>42767.0</v>
      </c>
      <c r="D37" s="60" t="s">
        <v>122</v>
      </c>
      <c r="E37" s="58" t="s">
        <v>41</v>
      </c>
      <c r="F37" s="58">
        <v>1.0</v>
      </c>
      <c r="G37" s="58" t="s">
        <v>32</v>
      </c>
      <c r="H37" s="33">
        <f t="shared" si="7"/>
        <v>1</v>
      </c>
      <c r="I37" s="58" t="s">
        <v>33</v>
      </c>
      <c r="J37" s="58" t="s">
        <v>179</v>
      </c>
      <c r="K37" s="58">
        <v>2.0</v>
      </c>
      <c r="L37" s="58" t="s">
        <v>119</v>
      </c>
      <c r="M37" s="61" t="s">
        <v>180</v>
      </c>
      <c r="N37" s="77"/>
      <c r="O37" s="62"/>
      <c r="P37" s="62"/>
      <c r="Q37" s="62"/>
      <c r="R37" s="62"/>
      <c r="S37" s="37" t="str">
        <f>IFERROR(__xludf.DUMMYFUNCTION("if(not(iserror(index(split(C37, "" ""),2))), index(split(C37, "" ""),1),"""")"),"February,")</f>
        <v>February,</v>
      </c>
      <c r="T37" s="38">
        <f>IFERROR(__xludf.DUMMYFUNCTION("if(S37="""",C37,if(not(iserror(index(split(C37, "" ""),3))), index(split(C37, "" ""),3),index(split(C37, "" ""),2)))"),2017.0)</f>
        <v>2017</v>
      </c>
      <c r="U37" s="38" t="b">
        <f t="shared" si="2"/>
        <v>0</v>
      </c>
      <c r="V37" s="38"/>
      <c r="W37" s="39" t="s">
        <v>181</v>
      </c>
      <c r="X37" s="39" t="s">
        <v>182</v>
      </c>
      <c r="Y37" s="40"/>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c r="A38" s="58" t="s">
        <v>183</v>
      </c>
      <c r="B38" s="59">
        <v>43447.0</v>
      </c>
      <c r="C38" s="79">
        <v>42767.0</v>
      </c>
      <c r="D38" s="60" t="s">
        <v>122</v>
      </c>
      <c r="E38" s="58" t="s">
        <v>41</v>
      </c>
      <c r="F38" s="58">
        <v>1.0</v>
      </c>
      <c r="G38" s="58">
        <v>5.0</v>
      </c>
      <c r="H38" s="33">
        <f t="shared" si="7"/>
        <v>5</v>
      </c>
      <c r="I38" s="58" t="s">
        <v>33</v>
      </c>
      <c r="J38" s="58" t="s">
        <v>184</v>
      </c>
      <c r="K38" s="58">
        <v>2.0</v>
      </c>
      <c r="L38" s="58" t="s">
        <v>35</v>
      </c>
      <c r="M38" s="61" t="s">
        <v>185</v>
      </c>
      <c r="N38" s="61" t="s">
        <v>186</v>
      </c>
      <c r="O38" s="62"/>
      <c r="P38" s="62"/>
      <c r="Q38" s="62"/>
      <c r="R38" s="62"/>
      <c r="S38" s="37" t="str">
        <f>IFERROR(__xludf.DUMMYFUNCTION("if(not(iserror(index(split(C38, "" ""),2))), index(split(C38, "" ""),1),"""")"),"February,")</f>
        <v>February,</v>
      </c>
      <c r="T38" s="38">
        <f>IFERROR(__xludf.DUMMYFUNCTION("if(S38="""",C38,if(not(iserror(index(split(C38, "" ""),3))), index(split(C38, "" ""),3),index(split(C38, "" ""),2)))"),2017.0)</f>
        <v>2017</v>
      </c>
      <c r="U38" s="38" t="b">
        <f t="shared" si="2"/>
        <v>0</v>
      </c>
      <c r="V38" s="38"/>
      <c r="W38" s="39" t="s">
        <v>187</v>
      </c>
      <c r="X38" s="40"/>
      <c r="Y38" s="40"/>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c r="A39" s="13" t="s">
        <v>40</v>
      </c>
      <c r="B39" s="30">
        <v>42768.0</v>
      </c>
      <c r="C39" s="30">
        <v>42768.0</v>
      </c>
      <c r="D39" s="32" t="s">
        <v>188</v>
      </c>
      <c r="E39" s="13" t="s">
        <v>41</v>
      </c>
      <c r="F39" s="13">
        <v>4.0</v>
      </c>
      <c r="G39" s="13" t="s">
        <v>32</v>
      </c>
      <c r="H39" s="33">
        <f t="shared" si="7"/>
        <v>1</v>
      </c>
      <c r="I39" s="13" t="s">
        <v>33</v>
      </c>
      <c r="J39" s="13" t="s">
        <v>115</v>
      </c>
      <c r="K39" s="13">
        <v>1.0</v>
      </c>
      <c r="L39" s="13" t="s">
        <v>189</v>
      </c>
      <c r="M39" s="35" t="s">
        <v>190</v>
      </c>
      <c r="N39" s="15"/>
      <c r="O39" s="16"/>
      <c r="P39" s="16"/>
      <c r="Q39" s="16"/>
      <c r="R39" s="16"/>
      <c r="S39" s="37" t="str">
        <f>IFERROR(__xludf.DUMMYFUNCTION("if(not(iserror(index(split(C39, "" ""),2))), index(split(C39, "" ""),1),"""")"),"February")</f>
        <v>February</v>
      </c>
      <c r="T39" s="38">
        <f>IFERROR(__xludf.DUMMYFUNCTION("if(S39="""",C39,if(not(iserror(index(split(C39, "" ""),3))), index(split(C39, "" ""),3),index(split(C39, "" ""),2)))"),2017.0)</f>
        <v>2017</v>
      </c>
      <c r="U39" s="38" t="b">
        <f t="shared" si="2"/>
        <v>1</v>
      </c>
      <c r="V39" s="38"/>
      <c r="W39" s="40"/>
      <c r="X39" s="40"/>
      <c r="Y39" s="40"/>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c r="A40" s="13" t="s">
        <v>191</v>
      </c>
      <c r="B40" s="30">
        <v>42774.0</v>
      </c>
      <c r="C40" s="30">
        <v>42769.0</v>
      </c>
      <c r="D40" s="32" t="s">
        <v>192</v>
      </c>
      <c r="E40" s="13" t="s">
        <v>41</v>
      </c>
      <c r="F40" s="13">
        <v>1.0</v>
      </c>
      <c r="G40" s="13">
        <v>5.0</v>
      </c>
      <c r="H40" s="33">
        <f t="shared" si="7"/>
        <v>5</v>
      </c>
      <c r="I40" s="13" t="s">
        <v>33</v>
      </c>
      <c r="J40" s="13" t="s">
        <v>193</v>
      </c>
      <c r="K40" s="13">
        <v>1.0</v>
      </c>
      <c r="L40" s="13" t="s">
        <v>194</v>
      </c>
      <c r="M40" s="45" t="s">
        <v>195</v>
      </c>
      <c r="N40" s="15"/>
      <c r="O40" s="16"/>
      <c r="P40" s="16"/>
      <c r="Q40" s="16"/>
      <c r="R40" s="16"/>
      <c r="S40" s="37" t="str">
        <f>IFERROR(__xludf.DUMMYFUNCTION("if(not(iserror(index(split(C40, "" ""),2))), index(split(C40, "" ""),1),"""")"),"February")</f>
        <v>February</v>
      </c>
      <c r="T40" s="38">
        <f>IFERROR(__xludf.DUMMYFUNCTION("if(S40="""",C40,if(not(iserror(index(split(C40, "" ""),3))), index(split(C40, "" ""),3),index(split(C40, "" ""),2)))"),2017.0)</f>
        <v>2017</v>
      </c>
      <c r="U40" s="38" t="b">
        <f t="shared" si="2"/>
        <v>0</v>
      </c>
      <c r="V40" s="38"/>
      <c r="W40" s="39" t="s">
        <v>196</v>
      </c>
      <c r="X40" s="40"/>
      <c r="Y40" s="40"/>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c r="A41" s="13" t="s">
        <v>197</v>
      </c>
      <c r="B41" s="30">
        <v>42774.0</v>
      </c>
      <c r="C41" s="30">
        <v>42770.0</v>
      </c>
      <c r="D41" s="32" t="s">
        <v>198</v>
      </c>
      <c r="E41" s="13" t="s">
        <v>41</v>
      </c>
      <c r="F41" s="13">
        <v>1.0</v>
      </c>
      <c r="G41" s="13">
        <v>2.0</v>
      </c>
      <c r="H41" s="33">
        <f t="shared" si="7"/>
        <v>2</v>
      </c>
      <c r="I41" s="13" t="s">
        <v>33</v>
      </c>
      <c r="J41" s="13" t="s">
        <v>193</v>
      </c>
      <c r="K41" s="13">
        <v>1.0</v>
      </c>
      <c r="L41" s="13" t="s">
        <v>194</v>
      </c>
      <c r="M41" s="45" t="s">
        <v>195</v>
      </c>
      <c r="N41" s="36" t="s">
        <v>199</v>
      </c>
      <c r="O41" s="16"/>
      <c r="P41" s="16"/>
      <c r="Q41" s="16"/>
      <c r="R41" s="16"/>
      <c r="S41" s="37" t="str">
        <f>IFERROR(__xludf.DUMMYFUNCTION("if(not(iserror(index(split(C41, "" ""),2))), index(split(C41, "" ""),1),"""")"),"February")</f>
        <v>February</v>
      </c>
      <c r="T41" s="38">
        <f>IFERROR(__xludf.DUMMYFUNCTION("if(S41="""",C41,if(not(iserror(index(split(C41, "" ""),3))), index(split(C41, "" ""),3),index(split(C41, "" ""),2)))"),2017.0)</f>
        <v>2017</v>
      </c>
      <c r="U41" s="38" t="b">
        <f t="shared" si="2"/>
        <v>0</v>
      </c>
      <c r="V41" s="38" t="s">
        <v>33</v>
      </c>
      <c r="W41" s="39" t="s">
        <v>200</v>
      </c>
      <c r="X41" s="39" t="s">
        <v>201</v>
      </c>
      <c r="Y41" s="40"/>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row>
    <row r="42">
      <c r="A42" s="78" t="s">
        <v>202</v>
      </c>
      <c r="B42" s="59">
        <v>43313.0</v>
      </c>
      <c r="C42" s="59">
        <v>42770.0</v>
      </c>
      <c r="D42" s="60" t="s">
        <v>198</v>
      </c>
      <c r="E42" s="58" t="s">
        <v>41</v>
      </c>
      <c r="F42" s="58">
        <v>1.0</v>
      </c>
      <c r="G42" s="58" t="s">
        <v>32</v>
      </c>
      <c r="H42" s="33">
        <f t="shared" si="7"/>
        <v>1</v>
      </c>
      <c r="I42" s="58" t="s">
        <v>33</v>
      </c>
      <c r="J42" s="58" t="s">
        <v>203</v>
      </c>
      <c r="K42" s="58">
        <v>2.0</v>
      </c>
      <c r="L42" s="58" t="s">
        <v>99</v>
      </c>
      <c r="M42" s="61" t="s">
        <v>204</v>
      </c>
      <c r="N42" s="77"/>
      <c r="O42" s="62"/>
      <c r="P42" s="62"/>
      <c r="Q42" s="62"/>
      <c r="R42" s="62"/>
      <c r="S42" s="37" t="str">
        <f>IFERROR(__xludf.DUMMYFUNCTION("if(not(iserror(index(split(C42, "" ""),2))), index(split(C42, "" ""),1),"""")"),"February")</f>
        <v>February</v>
      </c>
      <c r="T42" s="38">
        <f>IFERROR(__xludf.DUMMYFUNCTION("if(S42="""",C42,if(not(iserror(index(split(C42, "" ""),3))), index(split(C42, "" ""),3),index(split(C42, "" ""),2)))"),2017.0)</f>
        <v>2017</v>
      </c>
      <c r="U42" s="38" t="b">
        <f t="shared" si="2"/>
        <v>0</v>
      </c>
      <c r="V42" s="38"/>
      <c r="W42" s="40"/>
      <c r="X42" s="39" t="s">
        <v>205</v>
      </c>
      <c r="Y42" s="40"/>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row>
    <row r="43">
      <c r="A43" s="13" t="s">
        <v>40</v>
      </c>
      <c r="B43" s="30">
        <v>42771.0</v>
      </c>
      <c r="C43" s="30">
        <v>42771.0</v>
      </c>
      <c r="D43" s="32" t="s">
        <v>206</v>
      </c>
      <c r="E43" s="13" t="s">
        <v>41</v>
      </c>
      <c r="F43" s="13">
        <v>9.0</v>
      </c>
      <c r="G43" s="13">
        <v>31.0</v>
      </c>
      <c r="H43" s="33">
        <f t="shared" si="7"/>
        <v>31</v>
      </c>
      <c r="I43" s="13" t="s">
        <v>207</v>
      </c>
      <c r="J43" s="82"/>
      <c r="K43" s="13" t="s">
        <v>40</v>
      </c>
      <c r="L43" s="13" t="s">
        <v>208</v>
      </c>
      <c r="M43" s="35" t="s">
        <v>209</v>
      </c>
      <c r="N43" s="15"/>
      <c r="O43" s="16"/>
      <c r="P43" s="16"/>
      <c r="Q43" s="16"/>
      <c r="R43" s="16"/>
      <c r="S43" s="37" t="str">
        <f>IFERROR(__xludf.DUMMYFUNCTION("if(not(iserror(index(split(C43, "" ""),2))), index(split(C43, "" ""),1),"""")"),"February")</f>
        <v>February</v>
      </c>
      <c r="T43" s="38">
        <f>IFERROR(__xludf.DUMMYFUNCTION("if(S43="""",C43,if(not(iserror(index(split(C43, "" ""),3))), index(split(C43, "" ""),3),index(split(C43, "" ""),2)))"),2017.0)</f>
        <v>2017</v>
      </c>
      <c r="U43" s="38" t="b">
        <f t="shared" si="2"/>
        <v>1</v>
      </c>
      <c r="V43" s="38"/>
      <c r="W43" s="40"/>
      <c r="X43" s="40"/>
      <c r="Y43" s="40"/>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row>
    <row r="44">
      <c r="A44" s="47" t="s">
        <v>210</v>
      </c>
      <c r="B44" s="48">
        <v>43502.0</v>
      </c>
      <c r="C44" s="48">
        <v>42772.0</v>
      </c>
      <c r="D44" s="49" t="s">
        <v>211</v>
      </c>
      <c r="E44" s="47" t="s">
        <v>31</v>
      </c>
      <c r="F44" s="47">
        <v>1.0</v>
      </c>
      <c r="G44" s="47" t="s">
        <v>32</v>
      </c>
      <c r="H44" s="63">
        <v>1.0</v>
      </c>
      <c r="I44" s="47" t="s">
        <v>33</v>
      </c>
      <c r="J44" s="47" t="s">
        <v>106</v>
      </c>
      <c r="K44" s="47">
        <v>2.0</v>
      </c>
      <c r="L44" s="47" t="s">
        <v>212</v>
      </c>
      <c r="M44" s="51" t="s">
        <v>213</v>
      </c>
      <c r="N44" s="51" t="s">
        <v>214</v>
      </c>
      <c r="O44" s="53" t="str">
        <f>hyperlink("https://bad-boys.us/?q=D-MD/1:18-cr-00382", "D-MD 1:18-cr-00382")</f>
        <v>D-MD 1:18-cr-00382</v>
      </c>
      <c r="P44" s="54" t="s">
        <v>215</v>
      </c>
      <c r="Q44" s="47">
        <v>1.0</v>
      </c>
      <c r="R44" s="55"/>
      <c r="S44" s="37" t="str">
        <f>IFERROR(__xludf.DUMMYFUNCTION("if(not(iserror(index(split(C44, "" ""),2))), index(split(C44, "" ""),1),"""")"),"February")</f>
        <v>February</v>
      </c>
      <c r="T44" s="38">
        <f>IFERROR(__xludf.DUMMYFUNCTION("if(S44="""",C44,if(not(iserror(index(split(C44, "" ""),3))), index(split(C44, "" ""),3),index(split(C44, "" ""),2)))"),2017.0)</f>
        <v>2017</v>
      </c>
      <c r="U44" s="38" t="b">
        <f t="shared" si="2"/>
        <v>0</v>
      </c>
      <c r="V44" s="38" t="s">
        <v>33</v>
      </c>
      <c r="W44" s="39" t="s">
        <v>216</v>
      </c>
      <c r="X44" s="39" t="s">
        <v>217</v>
      </c>
      <c r="Y44" s="40"/>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row>
    <row r="45">
      <c r="A45" s="58" t="s">
        <v>218</v>
      </c>
      <c r="B45" s="59">
        <v>43238.0</v>
      </c>
      <c r="C45" s="59">
        <v>42774.0</v>
      </c>
      <c r="D45" s="60" t="s">
        <v>219</v>
      </c>
      <c r="E45" s="58" t="s">
        <v>41</v>
      </c>
      <c r="F45" s="58">
        <v>1.0</v>
      </c>
      <c r="G45" s="58" t="s">
        <v>32</v>
      </c>
      <c r="H45" s="33">
        <f t="shared" ref="H45:H46" si="8">if(G45="Unknown",1,G45)</f>
        <v>1</v>
      </c>
      <c r="I45" s="58" t="s">
        <v>33</v>
      </c>
      <c r="J45" s="58" t="s">
        <v>61</v>
      </c>
      <c r="K45" s="58">
        <v>1.0</v>
      </c>
      <c r="L45" s="58" t="s">
        <v>119</v>
      </c>
      <c r="M45" s="61" t="s">
        <v>220</v>
      </c>
      <c r="N45" s="77"/>
      <c r="O45" s="62"/>
      <c r="P45" s="62"/>
      <c r="Q45" s="62"/>
      <c r="R45" s="62"/>
      <c r="S45" s="37" t="str">
        <f>IFERROR(__xludf.DUMMYFUNCTION("if(not(iserror(index(split(C45, "" ""),2))), index(split(C45, "" ""),1),"""")"),"February")</f>
        <v>February</v>
      </c>
      <c r="T45" s="38">
        <f>IFERROR(__xludf.DUMMYFUNCTION("if(S45="""",C45,if(not(iserror(index(split(C45, "" ""),3))), index(split(C45, "" ""),3),index(split(C45, "" ""),2)))"),2017.0)</f>
        <v>2017</v>
      </c>
      <c r="U45" s="38" t="b">
        <f t="shared" si="2"/>
        <v>0</v>
      </c>
      <c r="V45" s="38"/>
      <c r="W45" s="40"/>
      <c r="X45" s="40"/>
      <c r="Y45" s="40"/>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row>
    <row r="46">
      <c r="A46" s="78" t="s">
        <v>221</v>
      </c>
      <c r="B46" s="59">
        <v>43284.0</v>
      </c>
      <c r="C46" s="59">
        <v>42774.0</v>
      </c>
      <c r="D46" s="60" t="s">
        <v>219</v>
      </c>
      <c r="E46" s="58" t="s">
        <v>41</v>
      </c>
      <c r="F46" s="58">
        <v>1.0</v>
      </c>
      <c r="G46" s="58" t="s">
        <v>32</v>
      </c>
      <c r="H46" s="33">
        <f t="shared" si="8"/>
        <v>1</v>
      </c>
      <c r="I46" s="58" t="s">
        <v>33</v>
      </c>
      <c r="J46" s="58" t="s">
        <v>222</v>
      </c>
      <c r="K46" s="58" t="s">
        <v>32</v>
      </c>
      <c r="L46" s="58" t="s">
        <v>223</v>
      </c>
      <c r="M46" s="61" t="s">
        <v>224</v>
      </c>
      <c r="N46" s="77"/>
      <c r="O46" s="62"/>
      <c r="P46" s="62"/>
      <c r="Q46" s="62"/>
      <c r="R46" s="62"/>
      <c r="S46" s="37" t="str">
        <f>IFERROR(__xludf.DUMMYFUNCTION("if(not(iserror(index(split(C46, "" ""),2))), index(split(C46, "" ""),1),"""")"),"February")</f>
        <v>February</v>
      </c>
      <c r="T46" s="38">
        <f>IFERROR(__xludf.DUMMYFUNCTION("if(S46="""",C46,if(not(iserror(index(split(C46, "" ""),3))), index(split(C46, "" ""),3),index(split(C46, "" ""),2)))"),2017.0)</f>
        <v>2017</v>
      </c>
      <c r="U46" s="38" t="b">
        <f t="shared" si="2"/>
        <v>0</v>
      </c>
      <c r="V46" s="38"/>
      <c r="W46" s="39" t="s">
        <v>225</v>
      </c>
      <c r="X46" s="39" t="s">
        <v>226</v>
      </c>
      <c r="Y46" s="40"/>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row>
    <row r="47">
      <c r="A47" s="13" t="s">
        <v>227</v>
      </c>
      <c r="B47" s="30"/>
      <c r="C47" s="30">
        <v>42775.0</v>
      </c>
      <c r="D47" s="32"/>
      <c r="E47" s="13" t="s">
        <v>31</v>
      </c>
      <c r="F47" s="13">
        <v>1.0</v>
      </c>
      <c r="G47" s="13">
        <v>1.0</v>
      </c>
      <c r="H47" s="43">
        <v>1.0</v>
      </c>
      <c r="I47" s="13" t="s">
        <v>33</v>
      </c>
      <c r="J47" s="13" t="s">
        <v>228</v>
      </c>
      <c r="K47" s="13"/>
      <c r="L47" s="13" t="s">
        <v>229</v>
      </c>
      <c r="M47" s="35" t="s">
        <v>230</v>
      </c>
      <c r="N47" s="36" t="s">
        <v>231</v>
      </c>
      <c r="O47" s="16"/>
      <c r="P47" s="16"/>
      <c r="Q47" s="16"/>
      <c r="R47" s="16"/>
      <c r="S47" s="37" t="str">
        <f>IFERROR(__xludf.DUMMYFUNCTION("if(not(iserror(index(split(C47, "" ""),2))), index(split(C47, "" ""),1),"""")"),"February")</f>
        <v>February</v>
      </c>
      <c r="T47" s="38">
        <f>IFERROR(__xludf.DUMMYFUNCTION("if(S47="""",C47,if(not(iserror(index(split(C47, "" ""),3))), index(split(C47, "" ""),3),index(split(C47, "" ""),2)))"),2017.0)</f>
        <v>2017</v>
      </c>
      <c r="U47" s="38" t="b">
        <f t="shared" si="2"/>
        <v>0</v>
      </c>
      <c r="V47" s="38" t="s">
        <v>33</v>
      </c>
      <c r="W47" s="39" t="s">
        <v>232</v>
      </c>
      <c r="X47" s="39" t="s">
        <v>233</v>
      </c>
      <c r="Y47" s="40"/>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row>
    <row r="48">
      <c r="A48" s="13" t="s">
        <v>234</v>
      </c>
      <c r="B48" s="30">
        <v>42775.0</v>
      </c>
      <c r="C48" s="30">
        <v>42775.0</v>
      </c>
      <c r="D48" s="32" t="s">
        <v>235</v>
      </c>
      <c r="E48" s="13" t="s">
        <v>41</v>
      </c>
      <c r="F48" s="13">
        <v>1.0</v>
      </c>
      <c r="G48" s="13" t="s">
        <v>32</v>
      </c>
      <c r="H48" s="33">
        <f t="shared" ref="H48:H58" si="9">if(G48="Unknown",1,G48)</f>
        <v>1</v>
      </c>
      <c r="I48" s="13" t="s">
        <v>33</v>
      </c>
      <c r="J48" s="13" t="s">
        <v>184</v>
      </c>
      <c r="K48" s="13">
        <v>5.0</v>
      </c>
      <c r="L48" s="13" t="s">
        <v>236</v>
      </c>
      <c r="M48" s="56" t="s">
        <v>237</v>
      </c>
      <c r="N48" s="15"/>
      <c r="O48" s="16"/>
      <c r="P48" s="16"/>
      <c r="Q48" s="16"/>
      <c r="R48" s="16"/>
      <c r="S48" s="37" t="str">
        <f>IFERROR(__xludf.DUMMYFUNCTION("if(not(iserror(index(split(C48, "" ""),2))), index(split(C48, "" ""),1),"""")"),"February")</f>
        <v>February</v>
      </c>
      <c r="T48" s="38">
        <f>IFERROR(__xludf.DUMMYFUNCTION("if(S48="""",C48,if(not(iserror(index(split(C48, "" ""),3))), index(split(C48, "" ""),3),index(split(C48, "" ""),2)))"),2017.0)</f>
        <v>2017</v>
      </c>
      <c r="U48" s="38" t="b">
        <f t="shared" si="2"/>
        <v>0</v>
      </c>
      <c r="V48" s="38"/>
      <c r="W48" s="39" t="s">
        <v>238</v>
      </c>
      <c r="X48" s="40"/>
      <c r="Y48" s="40"/>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row>
    <row r="49">
      <c r="A49" s="13" t="s">
        <v>239</v>
      </c>
      <c r="B49" s="30">
        <v>42776.0</v>
      </c>
      <c r="C49" s="30">
        <v>42776.0</v>
      </c>
      <c r="D49" s="32" t="s">
        <v>240</v>
      </c>
      <c r="E49" s="13" t="s">
        <v>41</v>
      </c>
      <c r="F49" s="13">
        <v>3.0</v>
      </c>
      <c r="G49" s="13">
        <v>4.0</v>
      </c>
      <c r="H49" s="33">
        <f t="shared" si="9"/>
        <v>4</v>
      </c>
      <c r="I49" s="13" t="s">
        <v>33</v>
      </c>
      <c r="J49" s="13" t="s">
        <v>241</v>
      </c>
      <c r="K49" s="13">
        <v>1.0</v>
      </c>
      <c r="L49" s="13" t="s">
        <v>194</v>
      </c>
      <c r="M49" s="35" t="s">
        <v>242</v>
      </c>
      <c r="N49" s="15"/>
      <c r="O49" s="16"/>
      <c r="P49" s="16"/>
      <c r="Q49" s="16"/>
      <c r="R49" s="16"/>
      <c r="S49" s="37" t="str">
        <f>IFERROR(__xludf.DUMMYFUNCTION("if(not(iserror(index(split(C49, "" ""),2))), index(split(C49, "" ""),1),"""")"),"February")</f>
        <v>February</v>
      </c>
      <c r="T49" s="38">
        <f>IFERROR(__xludf.DUMMYFUNCTION("if(S49="""",C49,if(not(iserror(index(split(C49, "" ""),3))), index(split(C49, "" ""),3),index(split(C49, "" ""),2)))"),2017.0)</f>
        <v>2017</v>
      </c>
      <c r="U49" s="38" t="b">
        <f t="shared" si="2"/>
        <v>1</v>
      </c>
      <c r="V49" s="38"/>
      <c r="W49" s="40"/>
      <c r="X49" s="40"/>
      <c r="Y49" s="40"/>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row>
    <row r="50">
      <c r="A50" s="13" t="s">
        <v>243</v>
      </c>
      <c r="B50" s="30">
        <v>43193.0</v>
      </c>
      <c r="C50" s="30">
        <v>42776.0</v>
      </c>
      <c r="D50" s="32" t="s">
        <v>240</v>
      </c>
      <c r="E50" s="13" t="s">
        <v>41</v>
      </c>
      <c r="F50" s="13">
        <v>1.0</v>
      </c>
      <c r="G50" s="13" t="s">
        <v>32</v>
      </c>
      <c r="H50" s="33">
        <f t="shared" si="9"/>
        <v>1</v>
      </c>
      <c r="I50" s="13" t="s">
        <v>33</v>
      </c>
      <c r="J50" s="13" t="s">
        <v>193</v>
      </c>
      <c r="K50" s="13" t="s">
        <v>40</v>
      </c>
      <c r="L50" s="13" t="s">
        <v>244</v>
      </c>
      <c r="M50" s="35" t="s">
        <v>245</v>
      </c>
      <c r="N50" s="15"/>
      <c r="O50" s="16"/>
      <c r="P50" s="16"/>
      <c r="Q50" s="16"/>
      <c r="R50" s="16"/>
      <c r="S50" s="37" t="str">
        <f>IFERROR(__xludf.DUMMYFUNCTION("if(not(iserror(index(split(C50, "" ""),2))), index(split(C50, "" ""),1),"""")"),"February")</f>
        <v>February</v>
      </c>
      <c r="T50" s="38">
        <f>IFERROR(__xludf.DUMMYFUNCTION("if(S50="""",C50,if(not(iserror(index(split(C50, "" ""),3))), index(split(C50, "" ""),3),index(split(C50, "" ""),2)))"),2017.0)</f>
        <v>2017</v>
      </c>
      <c r="U50" s="38" t="b">
        <f t="shared" si="2"/>
        <v>0</v>
      </c>
      <c r="V50" s="38"/>
      <c r="W50" s="39" t="s">
        <v>246</v>
      </c>
      <c r="X50" s="39" t="s">
        <v>247</v>
      </c>
      <c r="Y50" s="40"/>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row>
    <row r="51">
      <c r="A51" s="58" t="s">
        <v>248</v>
      </c>
      <c r="B51" s="59">
        <v>43349.0</v>
      </c>
      <c r="C51" s="59">
        <v>42776.0</v>
      </c>
      <c r="D51" s="60" t="s">
        <v>240</v>
      </c>
      <c r="E51" s="58" t="s">
        <v>41</v>
      </c>
      <c r="F51" s="58">
        <v>1.0</v>
      </c>
      <c r="G51" s="58" t="s">
        <v>32</v>
      </c>
      <c r="H51" s="33">
        <f t="shared" si="9"/>
        <v>1</v>
      </c>
      <c r="I51" s="58" t="s">
        <v>33</v>
      </c>
      <c r="J51" s="58" t="s">
        <v>106</v>
      </c>
      <c r="K51" s="58">
        <v>2.0</v>
      </c>
      <c r="L51" s="58" t="s">
        <v>76</v>
      </c>
      <c r="M51" s="61" t="s">
        <v>249</v>
      </c>
      <c r="N51" s="77"/>
      <c r="O51" s="83" t="str">
        <f>hyperlink("https://bad-boys.us/?q=D-MD/1:17-cr-00659", "D-MD 1:17-cr-00659")</f>
        <v>D-MD 1:17-cr-00659</v>
      </c>
      <c r="P51" s="62"/>
      <c r="Q51" s="84">
        <v>1.0</v>
      </c>
      <c r="R51" s="62"/>
      <c r="S51" s="37" t="str">
        <f>IFERROR(__xludf.DUMMYFUNCTION("if(not(iserror(index(split(C51, "" ""),2))), index(split(C51, "" ""),1),"""")"),"February")</f>
        <v>February</v>
      </c>
      <c r="T51" s="38">
        <f>IFERROR(__xludf.DUMMYFUNCTION("if(S51="""",C51,if(not(iserror(index(split(C51, "" ""),3))), index(split(C51, "" ""),3),index(split(C51, "" ""),2)))"),2017.0)</f>
        <v>2017</v>
      </c>
      <c r="U51" s="38" t="b">
        <f t="shared" si="2"/>
        <v>0</v>
      </c>
      <c r="V51" s="38"/>
      <c r="W51" s="39" t="s">
        <v>250</v>
      </c>
      <c r="X51" s="39" t="s">
        <v>251</v>
      </c>
      <c r="Y51" s="40"/>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row>
    <row r="52">
      <c r="A52" s="85" t="s">
        <v>252</v>
      </c>
      <c r="B52" s="59">
        <v>43434.0</v>
      </c>
      <c r="C52" s="59">
        <v>42778.0</v>
      </c>
      <c r="D52" s="60" t="s">
        <v>253</v>
      </c>
      <c r="E52" s="58" t="s">
        <v>31</v>
      </c>
      <c r="F52" s="58">
        <v>2.0</v>
      </c>
      <c r="G52" s="58" t="s">
        <v>32</v>
      </c>
      <c r="H52" s="33">
        <f t="shared" si="9"/>
        <v>1</v>
      </c>
      <c r="I52" s="58" t="s">
        <v>33</v>
      </c>
      <c r="J52" s="58" t="s">
        <v>132</v>
      </c>
      <c r="K52" s="58">
        <v>7.0</v>
      </c>
      <c r="L52" s="58" t="s">
        <v>254</v>
      </c>
      <c r="M52" s="61" t="s">
        <v>255</v>
      </c>
      <c r="N52" s="80" t="s">
        <v>256</v>
      </c>
      <c r="O52" s="58"/>
      <c r="P52" s="58"/>
      <c r="Q52" s="84"/>
      <c r="R52" s="62"/>
      <c r="S52" s="37" t="str">
        <f>IFERROR(__xludf.DUMMYFUNCTION("if(not(iserror(index(split(C52, "" ""),2))), index(split(C52, "" ""),1),"""")"),"February")</f>
        <v>February</v>
      </c>
      <c r="T52" s="38">
        <f>IFERROR(__xludf.DUMMYFUNCTION("if(S52="""",C52,if(not(iserror(index(split(C52, "" ""),3))), index(split(C52, "" ""),3),index(split(C52, "" ""),2)))"),2017.0)</f>
        <v>2017</v>
      </c>
      <c r="U52" s="38" t="b">
        <f t="shared" si="2"/>
        <v>0</v>
      </c>
      <c r="V52" s="38" t="s">
        <v>33</v>
      </c>
      <c r="W52" s="39" t="s">
        <v>257</v>
      </c>
      <c r="X52" s="39" t="s">
        <v>258</v>
      </c>
      <c r="Y52" s="40"/>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row>
    <row r="53">
      <c r="A53" s="58" t="s">
        <v>259</v>
      </c>
      <c r="B53" s="59">
        <v>43307.0</v>
      </c>
      <c r="C53" s="59">
        <v>42779.0</v>
      </c>
      <c r="D53" s="60" t="s">
        <v>260</v>
      </c>
      <c r="E53" s="58" t="s">
        <v>41</v>
      </c>
      <c r="F53" s="58">
        <v>1.0</v>
      </c>
      <c r="G53" s="58" t="s">
        <v>32</v>
      </c>
      <c r="H53" s="33">
        <f t="shared" si="9"/>
        <v>1</v>
      </c>
      <c r="I53" s="58" t="s">
        <v>33</v>
      </c>
      <c r="J53" s="58" t="s">
        <v>93</v>
      </c>
      <c r="K53" s="58">
        <v>3.0</v>
      </c>
      <c r="L53" s="58" t="s">
        <v>76</v>
      </c>
      <c r="M53" s="61" t="s">
        <v>261</v>
      </c>
      <c r="N53" s="77"/>
      <c r="O53" s="62"/>
      <c r="P53" s="62"/>
      <c r="Q53" s="62"/>
      <c r="R53" s="62"/>
      <c r="S53" s="37" t="str">
        <f>IFERROR(__xludf.DUMMYFUNCTION("if(not(iserror(index(split(C53, "" ""),2))), index(split(C53, "" ""),1),"""")"),"February")</f>
        <v>February</v>
      </c>
      <c r="T53" s="38">
        <f>IFERROR(__xludf.DUMMYFUNCTION("if(S53="""",C53,if(not(iserror(index(split(C53, "" ""),3))), index(split(C53, "" ""),3),index(split(C53, "" ""),2)))"),2017.0)</f>
        <v>2017</v>
      </c>
      <c r="U53" s="38" t="b">
        <f t="shared" si="2"/>
        <v>0</v>
      </c>
      <c r="V53" s="38"/>
      <c r="W53" s="39" t="s">
        <v>262</v>
      </c>
      <c r="X53" s="39" t="s">
        <v>263</v>
      </c>
      <c r="Y53" s="40"/>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row>
    <row r="54">
      <c r="A54" s="13" t="s">
        <v>239</v>
      </c>
      <c r="B54" s="30">
        <v>42783.0</v>
      </c>
      <c r="C54" s="30">
        <v>42781.0</v>
      </c>
      <c r="D54" s="32" t="s">
        <v>264</v>
      </c>
      <c r="E54" s="13" t="s">
        <v>41</v>
      </c>
      <c r="F54" s="13">
        <v>1.0</v>
      </c>
      <c r="G54" s="13">
        <v>4.0</v>
      </c>
      <c r="H54" s="33">
        <f t="shared" si="9"/>
        <v>4</v>
      </c>
      <c r="I54" s="13" t="s">
        <v>33</v>
      </c>
      <c r="J54" s="13" t="s">
        <v>241</v>
      </c>
      <c r="K54" s="13">
        <v>1.0</v>
      </c>
      <c r="L54" s="13" t="s">
        <v>194</v>
      </c>
      <c r="M54" s="35" t="s">
        <v>265</v>
      </c>
      <c r="N54" s="15"/>
      <c r="O54" s="16"/>
      <c r="P54" s="16"/>
      <c r="Q54" s="16"/>
      <c r="R54" s="16"/>
      <c r="S54" s="37" t="str">
        <f>IFERROR(__xludf.DUMMYFUNCTION("if(not(iserror(index(split(C54, "" ""),2))), index(split(C54, "" ""),1),"""")"),"February")</f>
        <v>February</v>
      </c>
      <c r="T54" s="38">
        <f>IFERROR(__xludf.DUMMYFUNCTION("if(S54="""",C54,if(not(iserror(index(split(C54, "" ""),3))), index(split(C54, "" ""),3),index(split(C54, "" ""),2)))"),2017.0)</f>
        <v>2017</v>
      </c>
      <c r="U54" s="38" t="b">
        <f t="shared" si="2"/>
        <v>1</v>
      </c>
      <c r="V54" s="38"/>
      <c r="W54" s="40"/>
      <c r="X54" s="40"/>
      <c r="Y54" s="40"/>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row>
    <row r="55">
      <c r="A55" s="13" t="s">
        <v>266</v>
      </c>
      <c r="B55" s="30">
        <v>42782.0</v>
      </c>
      <c r="C55" s="30">
        <v>42782.0</v>
      </c>
      <c r="D55" s="32" t="s">
        <v>267</v>
      </c>
      <c r="E55" s="13" t="s">
        <v>31</v>
      </c>
      <c r="F55" s="13">
        <v>1.0</v>
      </c>
      <c r="G55" s="13" t="s">
        <v>32</v>
      </c>
      <c r="H55" s="33">
        <f t="shared" si="9"/>
        <v>1</v>
      </c>
      <c r="I55" s="13" t="s">
        <v>33</v>
      </c>
      <c r="J55" s="13" t="s">
        <v>268</v>
      </c>
      <c r="K55" s="13" t="s">
        <v>32</v>
      </c>
      <c r="L55" s="13" t="s">
        <v>269</v>
      </c>
      <c r="M55" s="35" t="s">
        <v>270</v>
      </c>
      <c r="N55" s="35" t="s">
        <v>271</v>
      </c>
      <c r="O55" s="57" t="str">
        <f>hyperlink("https://bad-boys.us/?q=ND-OK/4:18-cr-00151", "ND-OK 4:18-cr-00151")</f>
        <v>ND-OK 4:18-cr-00151</v>
      </c>
      <c r="P55" s="86" t="s">
        <v>272</v>
      </c>
      <c r="Q55" s="37">
        <v>1.0</v>
      </c>
      <c r="R55" s="16"/>
      <c r="S55" s="37" t="str">
        <f>IFERROR(__xludf.DUMMYFUNCTION("if(not(iserror(index(split(C55, "" ""),2))), index(split(C55, "" ""),1),"""")"),"February")</f>
        <v>February</v>
      </c>
      <c r="T55" s="38">
        <f>IFERROR(__xludf.DUMMYFUNCTION("if(S55="""",C55,if(not(iserror(index(split(C55, "" ""),3))), index(split(C55, "" ""),3),index(split(C55, "" ""),2)))"),2017.0)</f>
        <v>2017</v>
      </c>
      <c r="U55" s="38" t="b">
        <f t="shared" si="2"/>
        <v>0</v>
      </c>
      <c r="V55" s="38"/>
      <c r="W55" s="40"/>
      <c r="X55" s="40"/>
      <c r="Y55" s="40"/>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row>
    <row r="56">
      <c r="A56" s="13" t="s">
        <v>239</v>
      </c>
      <c r="B56" s="30">
        <v>42787.0</v>
      </c>
      <c r="C56" s="30">
        <v>42783.0</v>
      </c>
      <c r="D56" s="32" t="s">
        <v>273</v>
      </c>
      <c r="E56" s="13" t="s">
        <v>41</v>
      </c>
      <c r="F56" s="13">
        <v>1.0</v>
      </c>
      <c r="G56" s="13">
        <v>3.0</v>
      </c>
      <c r="H56" s="33">
        <f t="shared" si="9"/>
        <v>3</v>
      </c>
      <c r="I56" s="13" t="s">
        <v>33</v>
      </c>
      <c r="J56" s="13" t="s">
        <v>241</v>
      </c>
      <c r="K56" s="13">
        <v>1.0</v>
      </c>
      <c r="L56" s="13" t="s">
        <v>194</v>
      </c>
      <c r="M56" s="35" t="s">
        <v>274</v>
      </c>
      <c r="N56" s="15"/>
      <c r="O56" s="16"/>
      <c r="P56" s="16"/>
      <c r="Q56" s="16"/>
      <c r="R56" s="16"/>
      <c r="S56" s="37" t="str">
        <f>IFERROR(__xludf.DUMMYFUNCTION("if(not(iserror(index(split(C56, "" ""),2))), index(split(C56, "" ""),1),"""")"),"February")</f>
        <v>February</v>
      </c>
      <c r="T56" s="38">
        <f>IFERROR(__xludf.DUMMYFUNCTION("if(S56="""",C56,if(not(iserror(index(split(C56, "" ""),3))), index(split(C56, "" ""),3),index(split(C56, "" ""),2)))"),2017.0)</f>
        <v>2017</v>
      </c>
      <c r="U56" s="38" t="b">
        <f t="shared" si="2"/>
        <v>1</v>
      </c>
      <c r="V56" s="38"/>
      <c r="W56" s="40"/>
      <c r="X56" s="40"/>
      <c r="Y56" s="40"/>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row>
    <row r="57">
      <c r="A57" s="13" t="s">
        <v>239</v>
      </c>
      <c r="B57" s="30">
        <v>42789.0</v>
      </c>
      <c r="C57" s="30">
        <v>42787.0</v>
      </c>
      <c r="D57" s="32" t="s">
        <v>275</v>
      </c>
      <c r="E57" s="13" t="s">
        <v>41</v>
      </c>
      <c r="F57" s="13">
        <v>2.0</v>
      </c>
      <c r="G57" s="13">
        <v>3.0</v>
      </c>
      <c r="H57" s="33">
        <f t="shared" si="9"/>
        <v>3</v>
      </c>
      <c r="I57" s="13" t="s">
        <v>33</v>
      </c>
      <c r="J57" s="13" t="s">
        <v>241</v>
      </c>
      <c r="K57" s="13">
        <v>1.0</v>
      </c>
      <c r="L57" s="13" t="s">
        <v>194</v>
      </c>
      <c r="M57" s="35" t="s">
        <v>276</v>
      </c>
      <c r="N57" s="14"/>
      <c r="O57" s="16"/>
      <c r="P57" s="16"/>
      <c r="Q57" s="16"/>
      <c r="R57" s="16"/>
      <c r="S57" s="37" t="str">
        <f>IFERROR(__xludf.DUMMYFUNCTION("if(not(iserror(index(split(C57, "" ""),2))), index(split(C57, "" ""),1),"""")"),"February")</f>
        <v>February</v>
      </c>
      <c r="T57" s="38">
        <f>IFERROR(__xludf.DUMMYFUNCTION("if(S57="""",C57,if(not(iserror(index(split(C57, "" ""),3))), index(split(C57, "" ""),3),index(split(C57, "" ""),2)))"),2017.0)</f>
        <v>2017</v>
      </c>
      <c r="U57" s="38" t="b">
        <f t="shared" si="2"/>
        <v>1</v>
      </c>
      <c r="V57" s="38"/>
      <c r="W57" s="40"/>
      <c r="X57" s="40"/>
      <c r="Y57" s="40"/>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row>
    <row r="58">
      <c r="A58" s="87" t="s">
        <v>277</v>
      </c>
      <c r="B58" s="59">
        <v>43398.0</v>
      </c>
      <c r="C58" s="59">
        <v>42788.0</v>
      </c>
      <c r="D58" s="60" t="s">
        <v>278</v>
      </c>
      <c r="E58" s="58" t="s">
        <v>31</v>
      </c>
      <c r="F58" s="58">
        <v>1.0</v>
      </c>
      <c r="G58" s="58" t="s">
        <v>32</v>
      </c>
      <c r="H58" s="33">
        <f t="shared" si="9"/>
        <v>1</v>
      </c>
      <c r="I58" s="58" t="s">
        <v>33</v>
      </c>
      <c r="J58" s="58" t="s">
        <v>279</v>
      </c>
      <c r="K58" s="58">
        <v>4.0</v>
      </c>
      <c r="L58" s="58" t="s">
        <v>76</v>
      </c>
      <c r="M58" s="61" t="s">
        <v>280</v>
      </c>
      <c r="N58" s="61" t="s">
        <v>281</v>
      </c>
      <c r="O58" s="62"/>
      <c r="P58" s="62"/>
      <c r="Q58" s="62"/>
      <c r="R58" s="62"/>
      <c r="S58" s="37" t="str">
        <f>IFERROR(__xludf.DUMMYFUNCTION("if(not(iserror(index(split(C58, "" ""),2))), index(split(C58, "" ""),1),"""")"),"February")</f>
        <v>February</v>
      </c>
      <c r="T58" s="38">
        <f>IFERROR(__xludf.DUMMYFUNCTION("if(S58="""",C58,if(not(iserror(index(split(C58, "" ""),3))), index(split(C58, "" ""),3),index(split(C58, "" ""),2)))"),2017.0)</f>
        <v>2017</v>
      </c>
      <c r="U58" s="38" t="b">
        <f t="shared" si="2"/>
        <v>0</v>
      </c>
      <c r="V58" s="38"/>
      <c r="W58" s="40"/>
      <c r="X58" s="40"/>
      <c r="Y58" s="40"/>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row>
    <row r="59">
      <c r="A59" s="87" t="s">
        <v>282</v>
      </c>
      <c r="B59" s="59"/>
      <c r="C59" s="59">
        <v>42788.0</v>
      </c>
      <c r="D59" s="60"/>
      <c r="E59" s="58" t="s">
        <v>41</v>
      </c>
      <c r="F59" s="58">
        <v>1.0</v>
      </c>
      <c r="G59" s="58" t="s">
        <v>32</v>
      </c>
      <c r="H59" s="43">
        <v>1.0</v>
      </c>
      <c r="I59" s="58" t="s">
        <v>33</v>
      </c>
      <c r="J59" s="58" t="s">
        <v>283</v>
      </c>
      <c r="K59" s="58"/>
      <c r="L59" s="58" t="s">
        <v>119</v>
      </c>
      <c r="M59" s="61" t="s">
        <v>284</v>
      </c>
      <c r="N59" s="80"/>
      <c r="O59" s="83" t="str">
        <f>hyperlink("https://bad-boys.us/?q=D-NV/2:18-cr-00040", "D-NV 2:18-cr-00040")</f>
        <v>D-NV 2:18-cr-00040</v>
      </c>
      <c r="P59" s="88" t="s">
        <v>285</v>
      </c>
      <c r="Q59" s="58">
        <v>1.0</v>
      </c>
      <c r="R59" s="62"/>
      <c r="S59" s="37" t="str">
        <f>IFERROR(__xludf.DUMMYFUNCTION("if(not(iserror(index(split(C59, "" ""),2))), index(split(C59, "" ""),1),"""")"),"February")</f>
        <v>February</v>
      </c>
      <c r="T59" s="38">
        <f>IFERROR(__xludf.DUMMYFUNCTION("if(S59="""",C59,if(not(iserror(index(split(C59, "" ""),3))), index(split(C59, "" ""),3),index(split(C59, "" ""),2)))"),2017.0)</f>
        <v>2017</v>
      </c>
      <c r="U59" s="38" t="b">
        <f t="shared" si="2"/>
        <v>0</v>
      </c>
      <c r="V59" s="38" t="s">
        <v>33</v>
      </c>
      <c r="W59" s="40"/>
      <c r="X59" s="40"/>
      <c r="Y59" s="40"/>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row>
    <row r="60">
      <c r="A60" s="58" t="s">
        <v>286</v>
      </c>
      <c r="B60" s="59">
        <v>43367.0</v>
      </c>
      <c r="C60" s="59">
        <v>42789.0</v>
      </c>
      <c r="D60" s="60" t="s">
        <v>287</v>
      </c>
      <c r="E60" s="58" t="s">
        <v>41</v>
      </c>
      <c r="F60" s="58">
        <v>1.0</v>
      </c>
      <c r="G60" s="58" t="s">
        <v>32</v>
      </c>
      <c r="H60" s="33">
        <f t="shared" ref="H60:H67" si="10">if(G60="Unknown",1,G60)</f>
        <v>1</v>
      </c>
      <c r="I60" s="58" t="s">
        <v>33</v>
      </c>
      <c r="J60" s="58" t="s">
        <v>288</v>
      </c>
      <c r="K60" s="58">
        <v>1.0</v>
      </c>
      <c r="L60" s="58" t="s">
        <v>119</v>
      </c>
      <c r="M60" s="61" t="s">
        <v>289</v>
      </c>
      <c r="N60" s="77"/>
      <c r="O60" s="88" t="str">
        <f>hyperlink("https://bad-boys.us/?q=D-NE/8:17-cr-00350", "D-NE 8:17-cr-00350")</f>
        <v>D-NE 8:17-cr-00350</v>
      </c>
      <c r="P60" s="88" t="s">
        <v>290</v>
      </c>
      <c r="Q60" s="84">
        <v>1.0</v>
      </c>
      <c r="R60" s="62"/>
      <c r="S60" s="37" t="str">
        <f>IFERROR(__xludf.DUMMYFUNCTION("if(not(iserror(index(split(C60, "" ""),2))), index(split(C60, "" ""),1),"""")"),"February")</f>
        <v>February</v>
      </c>
      <c r="T60" s="38">
        <f>IFERROR(__xludf.DUMMYFUNCTION("if(S60="""",C60,if(not(iserror(index(split(C60, "" ""),3))), index(split(C60, "" ""),3),index(split(C60, "" ""),2)))"),2017.0)</f>
        <v>2017</v>
      </c>
      <c r="U60" s="38" t="b">
        <f t="shared" si="2"/>
        <v>0</v>
      </c>
      <c r="V60" s="38"/>
      <c r="W60" s="40"/>
      <c r="X60" s="40"/>
      <c r="Y60" s="40"/>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row>
    <row r="61">
      <c r="A61" s="13" t="s">
        <v>291</v>
      </c>
      <c r="B61" s="30">
        <v>42793.0</v>
      </c>
      <c r="C61" s="30">
        <v>42793.0</v>
      </c>
      <c r="D61" s="32" t="s">
        <v>292</v>
      </c>
      <c r="E61" s="13" t="s">
        <v>31</v>
      </c>
      <c r="F61" s="13">
        <v>1.0</v>
      </c>
      <c r="G61" s="13" t="s">
        <v>32</v>
      </c>
      <c r="H61" s="33">
        <f t="shared" si="10"/>
        <v>1</v>
      </c>
      <c r="I61" s="13" t="s">
        <v>33</v>
      </c>
      <c r="J61" s="13" t="s">
        <v>279</v>
      </c>
      <c r="K61" s="13">
        <v>1.0</v>
      </c>
      <c r="L61" s="13" t="s">
        <v>35</v>
      </c>
      <c r="M61" s="35" t="s">
        <v>293</v>
      </c>
      <c r="N61" s="36" t="s">
        <v>294</v>
      </c>
      <c r="O61" s="16"/>
      <c r="P61" s="16"/>
      <c r="Q61" s="16"/>
      <c r="R61" s="16"/>
      <c r="S61" s="37" t="str">
        <f>IFERROR(__xludf.DUMMYFUNCTION("if(not(iserror(index(split(C61, "" ""),2))), index(split(C61, "" ""),1),"""")"),"February")</f>
        <v>February</v>
      </c>
      <c r="T61" s="38">
        <f>IFERROR(__xludf.DUMMYFUNCTION("if(S61="""",C61,if(not(iserror(index(split(C61, "" ""),3))), index(split(C61, "" ""),3),index(split(C61, "" ""),2)))"),2017.0)</f>
        <v>2017</v>
      </c>
      <c r="U61" s="38" t="b">
        <f t="shared" si="2"/>
        <v>0</v>
      </c>
      <c r="V61" s="38"/>
      <c r="W61" s="40"/>
      <c r="X61" s="40"/>
      <c r="Y61" s="40"/>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row>
    <row r="62">
      <c r="A62" s="13" t="s">
        <v>40</v>
      </c>
      <c r="B62" s="30">
        <v>42825.0</v>
      </c>
      <c r="C62" s="30">
        <v>42793.0</v>
      </c>
      <c r="D62" s="32" t="s">
        <v>32</v>
      </c>
      <c r="E62" s="13" t="s">
        <v>31</v>
      </c>
      <c r="F62" s="13">
        <v>3.0</v>
      </c>
      <c r="G62" s="13" t="s">
        <v>32</v>
      </c>
      <c r="H62" s="33">
        <f t="shared" si="10"/>
        <v>1</v>
      </c>
      <c r="I62" s="13" t="s">
        <v>33</v>
      </c>
      <c r="J62" s="13" t="s">
        <v>279</v>
      </c>
      <c r="K62" s="13">
        <v>4.0</v>
      </c>
      <c r="L62" s="13" t="s">
        <v>295</v>
      </c>
      <c r="M62" s="35" t="s">
        <v>296</v>
      </c>
      <c r="N62" s="15"/>
      <c r="O62" s="16"/>
      <c r="P62" s="16"/>
      <c r="Q62" s="16"/>
      <c r="R62" s="16"/>
      <c r="S62" s="37" t="str">
        <f>IFERROR(__xludf.DUMMYFUNCTION("if(not(iserror(index(split(C62, "" ""),2))), index(split(C62, "" ""),1),"""")"),"February")</f>
        <v>February</v>
      </c>
      <c r="T62" s="38">
        <f>IFERROR(__xludf.DUMMYFUNCTION("if(S62="""",C62,if(not(iserror(index(split(C62, "" ""),3))), index(split(C62, "" ""),3),index(split(C62, "" ""),2)))"),2017.0)</f>
        <v>2017</v>
      </c>
      <c r="U62" s="38" t="b">
        <f t="shared" si="2"/>
        <v>1</v>
      </c>
      <c r="V62" s="38"/>
      <c r="W62" s="40"/>
      <c r="X62" s="40"/>
      <c r="Y62" s="40"/>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row>
    <row r="63">
      <c r="A63" s="13" t="s">
        <v>297</v>
      </c>
      <c r="B63" s="30">
        <v>42794.0</v>
      </c>
      <c r="C63" s="30">
        <v>42794.0</v>
      </c>
      <c r="D63" s="32" t="s">
        <v>298</v>
      </c>
      <c r="E63" s="13" t="s">
        <v>41</v>
      </c>
      <c r="F63" s="13">
        <v>1.0</v>
      </c>
      <c r="G63" s="13" t="s">
        <v>32</v>
      </c>
      <c r="H63" s="33">
        <f t="shared" si="10"/>
        <v>1</v>
      </c>
      <c r="I63" s="13" t="s">
        <v>33</v>
      </c>
      <c r="J63" s="13" t="s">
        <v>93</v>
      </c>
      <c r="K63" s="13">
        <v>4.0</v>
      </c>
      <c r="L63" s="13" t="s">
        <v>102</v>
      </c>
      <c r="M63" s="35" t="s">
        <v>299</v>
      </c>
      <c r="N63" s="36" t="s">
        <v>300</v>
      </c>
      <c r="O63" s="57" t="str">
        <f>hyperlink("https://bad-boys.us/?q=WD-NY/1:18-cr-00002", "WD-NY 1:18-cr-00002")</f>
        <v>WD-NY 1:18-cr-00002</v>
      </c>
      <c r="P63" s="16"/>
      <c r="Q63" s="64">
        <v>1.0</v>
      </c>
      <c r="R63" s="16"/>
      <c r="S63" s="37" t="str">
        <f>IFERROR(__xludf.DUMMYFUNCTION("if(not(iserror(index(split(C63, "" ""),2))), index(split(C63, "" ""),1),"""")"),"February")</f>
        <v>February</v>
      </c>
      <c r="T63" s="38">
        <f>IFERROR(__xludf.DUMMYFUNCTION("if(S63="""",C63,if(not(iserror(index(split(C63, "" ""),3))), index(split(C63, "" ""),3),index(split(C63, "" ""),2)))"),2017.0)</f>
        <v>2017</v>
      </c>
      <c r="U63" s="38" t="b">
        <f t="shared" si="2"/>
        <v>0</v>
      </c>
      <c r="V63" s="38" t="s">
        <v>33</v>
      </c>
      <c r="W63" s="40"/>
      <c r="X63" s="40"/>
      <c r="Y63" s="40"/>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row>
    <row r="64">
      <c r="A64" s="13" t="s">
        <v>301</v>
      </c>
      <c r="B64" s="30">
        <v>42795.0</v>
      </c>
      <c r="C64" s="30">
        <v>42794.0</v>
      </c>
      <c r="D64" s="32" t="s">
        <v>302</v>
      </c>
      <c r="E64" s="13" t="s">
        <v>31</v>
      </c>
      <c r="F64" s="13">
        <v>1.0</v>
      </c>
      <c r="G64" s="13" t="s">
        <v>32</v>
      </c>
      <c r="H64" s="33">
        <f t="shared" si="10"/>
        <v>1</v>
      </c>
      <c r="I64" s="13" t="s">
        <v>33</v>
      </c>
      <c r="J64" s="13" t="s">
        <v>124</v>
      </c>
      <c r="K64" s="13">
        <v>2.0</v>
      </c>
      <c r="L64" s="13" t="s">
        <v>303</v>
      </c>
      <c r="M64" s="35" t="s">
        <v>304</v>
      </c>
      <c r="N64" s="15"/>
      <c r="O64" s="16"/>
      <c r="P64" s="16"/>
      <c r="Q64" s="16"/>
      <c r="R64" s="16"/>
      <c r="S64" s="37" t="str">
        <f>IFERROR(__xludf.DUMMYFUNCTION("if(not(iserror(index(split(C64, "" ""),2))), index(split(C64, "" ""),1),"""")"),"February")</f>
        <v>February</v>
      </c>
      <c r="T64" s="38">
        <f>IFERROR(__xludf.DUMMYFUNCTION("if(S64="""",C64,if(not(iserror(index(split(C64, "" ""),3))), index(split(C64, "" ""),3),index(split(C64, "" ""),2)))"),2017.0)</f>
        <v>2017</v>
      </c>
      <c r="U64" s="38" t="b">
        <f t="shared" si="2"/>
        <v>0</v>
      </c>
      <c r="V64" s="38"/>
      <c r="W64" s="40"/>
      <c r="X64" s="40"/>
      <c r="Y64" s="40"/>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row>
    <row r="65">
      <c r="A65" s="13" t="s">
        <v>305</v>
      </c>
      <c r="B65" s="30">
        <v>43143.0</v>
      </c>
      <c r="C65" s="30">
        <v>42794.0</v>
      </c>
      <c r="D65" s="32" t="s">
        <v>298</v>
      </c>
      <c r="E65" s="13" t="s">
        <v>41</v>
      </c>
      <c r="F65" s="13">
        <v>1.0</v>
      </c>
      <c r="G65" s="13" t="s">
        <v>32</v>
      </c>
      <c r="H65" s="33">
        <f t="shared" si="10"/>
        <v>1</v>
      </c>
      <c r="I65" s="13" t="s">
        <v>33</v>
      </c>
      <c r="J65" s="13" t="s">
        <v>288</v>
      </c>
      <c r="K65" s="13">
        <v>1.0</v>
      </c>
      <c r="L65" s="13" t="s">
        <v>306</v>
      </c>
      <c r="M65" s="35" t="s">
        <v>307</v>
      </c>
      <c r="N65" s="15"/>
      <c r="O65" s="16"/>
      <c r="P65" s="16"/>
      <c r="Q65" s="16"/>
      <c r="R65" s="16"/>
      <c r="S65" s="37" t="str">
        <f>IFERROR(__xludf.DUMMYFUNCTION("if(not(iserror(index(split(C65, "" ""),2))), index(split(C65, "" ""),1),"""")"),"February")</f>
        <v>February</v>
      </c>
      <c r="T65" s="38">
        <f>IFERROR(__xludf.DUMMYFUNCTION("if(S65="""",C65,if(not(iserror(index(split(C65, "" ""),3))), index(split(C65, "" ""),3),index(split(C65, "" ""),2)))"),2017.0)</f>
        <v>2017</v>
      </c>
      <c r="U65" s="38" t="b">
        <f t="shared" si="2"/>
        <v>0</v>
      </c>
      <c r="V65" s="38"/>
      <c r="W65" s="40"/>
      <c r="X65" s="40"/>
      <c r="Y65" s="40"/>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row>
    <row r="66">
      <c r="A66" s="13" t="s">
        <v>308</v>
      </c>
      <c r="B66" s="30">
        <v>42795.0</v>
      </c>
      <c r="C66" s="30">
        <v>42795.0</v>
      </c>
      <c r="D66" s="32" t="s">
        <v>309</v>
      </c>
      <c r="E66" s="13" t="s">
        <v>31</v>
      </c>
      <c r="F66" s="13">
        <v>1.0</v>
      </c>
      <c r="G66" s="13" t="s">
        <v>32</v>
      </c>
      <c r="H66" s="33">
        <f t="shared" si="10"/>
        <v>1</v>
      </c>
      <c r="I66" s="13" t="s">
        <v>33</v>
      </c>
      <c r="J66" s="13" t="s">
        <v>147</v>
      </c>
      <c r="K66" s="13">
        <v>4.0</v>
      </c>
      <c r="L66" s="13" t="s">
        <v>310</v>
      </c>
      <c r="M66" s="35" t="s">
        <v>311</v>
      </c>
      <c r="N66" s="15"/>
      <c r="O66" s="16"/>
      <c r="P66" s="16"/>
      <c r="Q66" s="16"/>
      <c r="R66" s="16"/>
      <c r="S66" s="37" t="str">
        <f>IFERROR(__xludf.DUMMYFUNCTION("if(not(iserror(index(split(C66, "" ""),2))), index(split(C66, "" ""),1),"""")"),"March")</f>
        <v>March</v>
      </c>
      <c r="T66" s="38">
        <f>IFERROR(__xludf.DUMMYFUNCTION("if(S66="""",C66,if(not(iserror(index(split(C66, "" ""),3))), index(split(C66, "" ""),3),index(split(C66, "" ""),2)))"),2017.0)</f>
        <v>2017</v>
      </c>
      <c r="U66" s="38" t="b">
        <f t="shared" si="2"/>
        <v>0</v>
      </c>
      <c r="V66" s="38"/>
      <c r="W66" s="40"/>
      <c r="X66" s="40"/>
      <c r="Y66" s="40"/>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row>
    <row r="67">
      <c r="A67" s="37" t="s">
        <v>312</v>
      </c>
      <c r="B67" s="30">
        <v>42795.0</v>
      </c>
      <c r="C67" s="30">
        <v>42795.0</v>
      </c>
      <c r="D67" s="32" t="s">
        <v>309</v>
      </c>
      <c r="E67" s="13" t="s">
        <v>41</v>
      </c>
      <c r="F67" s="13">
        <v>1.0</v>
      </c>
      <c r="G67" s="13" t="s">
        <v>32</v>
      </c>
      <c r="H67" s="33">
        <f t="shared" si="10"/>
        <v>1</v>
      </c>
      <c r="I67" s="13" t="s">
        <v>33</v>
      </c>
      <c r="J67" s="13" t="s">
        <v>124</v>
      </c>
      <c r="K67" s="13">
        <v>1.0</v>
      </c>
      <c r="L67" s="34" t="s">
        <v>119</v>
      </c>
      <c r="M67" s="36" t="s">
        <v>313</v>
      </c>
      <c r="N67" s="36" t="s">
        <v>314</v>
      </c>
      <c r="O67" s="16"/>
      <c r="P67" s="16"/>
      <c r="Q67" s="16"/>
      <c r="R67" s="16"/>
      <c r="S67" s="37" t="str">
        <f>IFERROR(__xludf.DUMMYFUNCTION("if(not(iserror(index(split(C67, "" ""),2))), index(split(C67, "" ""),1),"""")"),"March")</f>
        <v>March</v>
      </c>
      <c r="T67" s="38">
        <f>IFERROR(__xludf.DUMMYFUNCTION("if(S67="""",C67,if(not(iserror(index(split(C67, "" ""),3))), index(split(C67, "" ""),3),index(split(C67, "" ""),2)))"),2017.0)</f>
        <v>2017</v>
      </c>
      <c r="U67" s="38" t="b">
        <f t="shared" si="2"/>
        <v>0</v>
      </c>
      <c r="V67" s="38"/>
      <c r="W67" s="40"/>
      <c r="X67" s="40"/>
      <c r="Y67" s="40"/>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row>
    <row r="68">
      <c r="A68" s="87" t="s">
        <v>315</v>
      </c>
      <c r="B68" s="30"/>
      <c r="C68" s="31">
        <v>42795.0</v>
      </c>
      <c r="D68" s="32"/>
      <c r="E68" s="13" t="s">
        <v>41</v>
      </c>
      <c r="F68" s="13">
        <v>1.0</v>
      </c>
      <c r="G68" s="13" t="s">
        <v>32</v>
      </c>
      <c r="H68" s="43">
        <v>1.0</v>
      </c>
      <c r="I68" s="13" t="s">
        <v>33</v>
      </c>
      <c r="J68" s="13" t="s">
        <v>279</v>
      </c>
      <c r="K68" s="13"/>
      <c r="L68" s="13" t="s">
        <v>69</v>
      </c>
      <c r="M68" s="35" t="s">
        <v>316</v>
      </c>
      <c r="N68" s="14"/>
      <c r="O68" s="16"/>
      <c r="P68" s="16"/>
      <c r="Q68" s="16"/>
      <c r="R68" s="16"/>
      <c r="S68" s="37"/>
      <c r="T68" s="38"/>
      <c r="U68" s="38"/>
      <c r="V68" s="38" t="s">
        <v>33</v>
      </c>
      <c r="W68" s="40"/>
      <c r="X68" s="40"/>
      <c r="Y68" s="40"/>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row>
    <row r="69">
      <c r="A69" s="87" t="s">
        <v>317</v>
      </c>
      <c r="B69" s="30"/>
      <c r="C69" s="31">
        <v>42795.0</v>
      </c>
      <c r="D69" s="32"/>
      <c r="E69" s="13" t="s">
        <v>41</v>
      </c>
      <c r="F69" s="13">
        <v>1.0</v>
      </c>
      <c r="G69" s="13" t="s">
        <v>32</v>
      </c>
      <c r="H69" s="43">
        <v>1.0</v>
      </c>
      <c r="I69" s="13" t="s">
        <v>33</v>
      </c>
      <c r="J69" s="13" t="s">
        <v>318</v>
      </c>
      <c r="K69" s="13"/>
      <c r="L69" s="13" t="s">
        <v>76</v>
      </c>
      <c r="M69" s="35" t="s">
        <v>319</v>
      </c>
      <c r="N69" s="14"/>
      <c r="O69" s="16"/>
      <c r="P69" s="16"/>
      <c r="Q69" s="16"/>
      <c r="R69" s="16"/>
      <c r="S69" s="37"/>
      <c r="T69" s="38"/>
      <c r="U69" s="38"/>
      <c r="V69" s="38" t="s">
        <v>33</v>
      </c>
      <c r="W69" s="40"/>
      <c r="X69" s="40"/>
      <c r="Y69" s="40"/>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row>
    <row r="70">
      <c r="A70" s="87" t="s">
        <v>320</v>
      </c>
      <c r="B70" s="30"/>
      <c r="C70" s="31">
        <v>42795.0</v>
      </c>
      <c r="D70" s="32"/>
      <c r="E70" s="13" t="s">
        <v>31</v>
      </c>
      <c r="F70" s="13">
        <v>1.0</v>
      </c>
      <c r="G70" s="13" t="s">
        <v>32</v>
      </c>
      <c r="H70" s="43">
        <v>1.0</v>
      </c>
      <c r="I70" s="13" t="s">
        <v>33</v>
      </c>
      <c r="J70" s="13" t="s">
        <v>318</v>
      </c>
      <c r="K70" s="13"/>
      <c r="L70" s="13" t="s">
        <v>76</v>
      </c>
      <c r="M70" s="35" t="s">
        <v>321</v>
      </c>
      <c r="N70" s="36" t="s">
        <v>322</v>
      </c>
      <c r="O70" s="16"/>
      <c r="P70" s="16"/>
      <c r="Q70" s="16"/>
      <c r="R70" s="16"/>
      <c r="S70" s="37" t="str">
        <f>IFERROR(__xludf.DUMMYFUNCTION("if(not(iserror(index(split(C70, "" ""),2))), index(split(C70, "" ""),1),"""")"),"March,")</f>
        <v>March,</v>
      </c>
      <c r="T70" s="38">
        <f>IFERROR(__xludf.DUMMYFUNCTION("if(S70="""",C70,if(not(iserror(index(split(C70, "" ""),3))), index(split(C70, "" ""),3),index(split(C70, "" ""),2)))"),2017.0)</f>
        <v>2017</v>
      </c>
      <c r="U70" s="38" t="b">
        <f>countif(A$4:A4658, A70)&gt;1</f>
        <v>0</v>
      </c>
      <c r="V70" s="38" t="s">
        <v>33</v>
      </c>
      <c r="W70" s="39" t="s">
        <v>323</v>
      </c>
      <c r="X70" s="39" t="s">
        <v>324</v>
      </c>
      <c r="Y70" s="40"/>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row>
    <row r="71">
      <c r="A71" s="87" t="s">
        <v>325</v>
      </c>
      <c r="B71" s="30"/>
      <c r="C71" s="31">
        <v>42795.0</v>
      </c>
      <c r="D71" s="32"/>
      <c r="E71" s="13" t="s">
        <v>31</v>
      </c>
      <c r="F71" s="13">
        <v>1.0</v>
      </c>
      <c r="G71" s="13">
        <v>10.0</v>
      </c>
      <c r="H71" s="43">
        <v>10.0</v>
      </c>
      <c r="I71" s="13" t="s">
        <v>33</v>
      </c>
      <c r="J71" s="13" t="s">
        <v>85</v>
      </c>
      <c r="K71" s="13"/>
      <c r="L71" s="13" t="s">
        <v>326</v>
      </c>
      <c r="M71" s="35" t="s">
        <v>327</v>
      </c>
      <c r="N71" s="14"/>
      <c r="O71" s="16"/>
      <c r="P71" s="16"/>
      <c r="Q71" s="16"/>
      <c r="R71" s="16"/>
      <c r="S71" s="37"/>
      <c r="T71" s="38"/>
      <c r="U71" s="38"/>
      <c r="V71" s="38" t="s">
        <v>33</v>
      </c>
      <c r="W71" s="39" t="s">
        <v>328</v>
      </c>
      <c r="X71" s="39" t="s">
        <v>329</v>
      </c>
      <c r="Y71" s="40"/>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row>
    <row r="72">
      <c r="A72" s="87" t="s">
        <v>330</v>
      </c>
      <c r="B72" s="30"/>
      <c r="C72" s="31">
        <v>42795.0</v>
      </c>
      <c r="D72" s="32"/>
      <c r="E72" s="13" t="s">
        <v>31</v>
      </c>
      <c r="F72" s="13">
        <v>1.0</v>
      </c>
      <c r="G72" s="13">
        <v>1.0</v>
      </c>
      <c r="H72" s="43">
        <v>1.0</v>
      </c>
      <c r="I72" s="13" t="s">
        <v>33</v>
      </c>
      <c r="J72" s="13" t="s">
        <v>85</v>
      </c>
      <c r="K72" s="13"/>
      <c r="L72" s="13" t="s">
        <v>326</v>
      </c>
      <c r="M72" s="35" t="s">
        <v>331</v>
      </c>
      <c r="N72" s="14"/>
      <c r="O72" s="16"/>
      <c r="P72" s="16"/>
      <c r="Q72" s="16"/>
      <c r="R72" s="16"/>
      <c r="S72" s="37"/>
      <c r="T72" s="38"/>
      <c r="U72" s="38"/>
      <c r="V72" s="38" t="s">
        <v>33</v>
      </c>
      <c r="W72" s="39" t="s">
        <v>328</v>
      </c>
      <c r="X72" s="39" t="s">
        <v>332</v>
      </c>
      <c r="Y72" s="40"/>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row>
    <row r="73">
      <c r="A73" s="87" t="s">
        <v>333</v>
      </c>
      <c r="B73" s="30"/>
      <c r="C73" s="31">
        <v>42795.0</v>
      </c>
      <c r="D73" s="32"/>
      <c r="E73" s="13" t="s">
        <v>41</v>
      </c>
      <c r="F73" s="13">
        <v>1.0</v>
      </c>
      <c r="G73" s="13" t="s">
        <v>32</v>
      </c>
      <c r="H73" s="43">
        <v>1.0</v>
      </c>
      <c r="I73" s="13" t="s">
        <v>33</v>
      </c>
      <c r="J73" s="13" t="s">
        <v>279</v>
      </c>
      <c r="K73" s="13"/>
      <c r="L73" s="13" t="s">
        <v>119</v>
      </c>
      <c r="M73" s="46" t="s">
        <v>334</v>
      </c>
      <c r="N73" s="36" t="s">
        <v>335</v>
      </c>
      <c r="O73" s="16"/>
      <c r="P73" s="16"/>
      <c r="Q73" s="16"/>
      <c r="R73" s="16"/>
      <c r="S73" s="37" t="str">
        <f>IFERROR(__xludf.DUMMYFUNCTION("if(not(iserror(index(split(C73, "" ""),2))), index(split(C73, "" ""),1),"""")"),"March,")</f>
        <v>March,</v>
      </c>
      <c r="T73" s="38">
        <f>IFERROR(__xludf.DUMMYFUNCTION("if(S73="""",C73,if(not(iserror(index(split(C73, "" ""),3))), index(split(C73, "" ""),3),index(split(C73, "" ""),2)))"),2017.0)</f>
        <v>2017</v>
      </c>
      <c r="U73" s="38" t="b">
        <f t="shared" ref="U73:U109" si="11">countif(A$4:A4658, A73)&gt;1</f>
        <v>0</v>
      </c>
      <c r="V73" s="38" t="s">
        <v>33</v>
      </c>
      <c r="W73" s="40"/>
      <c r="X73" s="40"/>
      <c r="Y73" s="40"/>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row>
    <row r="74">
      <c r="A74" s="87" t="s">
        <v>336</v>
      </c>
      <c r="B74" s="30"/>
      <c r="C74" s="31">
        <v>42795.0</v>
      </c>
      <c r="D74" s="32"/>
      <c r="E74" s="13" t="s">
        <v>41</v>
      </c>
      <c r="F74" s="13">
        <v>1.0</v>
      </c>
      <c r="G74" s="13" t="s">
        <v>32</v>
      </c>
      <c r="H74" s="43">
        <v>1.0</v>
      </c>
      <c r="I74" s="13" t="s">
        <v>33</v>
      </c>
      <c r="J74" s="13" t="s">
        <v>172</v>
      </c>
      <c r="K74" s="13"/>
      <c r="L74" s="13" t="s">
        <v>119</v>
      </c>
      <c r="M74" s="35" t="s">
        <v>337</v>
      </c>
      <c r="N74" s="14"/>
      <c r="O74" s="57" t="str">
        <f>hyperlink("https://bad-boys.us/?q=ED-NC/7:18-cr-00126", "ED-NC 7:18-cr-00126")</f>
        <v>ED-NC 7:18-cr-00126</v>
      </c>
      <c r="P74" s="86" t="s">
        <v>338</v>
      </c>
      <c r="Q74" s="64">
        <v>1.0</v>
      </c>
      <c r="R74" s="16"/>
      <c r="S74" s="37" t="str">
        <f>IFERROR(__xludf.DUMMYFUNCTION("if(not(iserror(index(split(C74, "" ""),2))), index(split(C74, "" ""),1),"""")"),"March,")</f>
        <v>March,</v>
      </c>
      <c r="T74" s="38">
        <f>IFERROR(__xludf.DUMMYFUNCTION("if(S74="""",C74,if(not(iserror(index(split(C74, "" ""),3))), index(split(C74, "" ""),3),index(split(C74, "" ""),2)))"),2017.0)</f>
        <v>2017</v>
      </c>
      <c r="U74" s="38" t="b">
        <f t="shared" si="11"/>
        <v>0</v>
      </c>
      <c r="V74" s="38"/>
      <c r="W74" s="40"/>
      <c r="X74" s="40"/>
      <c r="Y74" s="40"/>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row>
    <row r="75">
      <c r="A75" s="41" t="s">
        <v>339</v>
      </c>
      <c r="B75" s="30"/>
      <c r="C75" s="31">
        <v>42795.0</v>
      </c>
      <c r="D75" s="32"/>
      <c r="E75" s="13" t="s">
        <v>41</v>
      </c>
      <c r="F75" s="13">
        <v>1.0</v>
      </c>
      <c r="G75" s="13" t="s">
        <v>32</v>
      </c>
      <c r="H75" s="43">
        <v>1.0</v>
      </c>
      <c r="I75" s="13" t="s">
        <v>33</v>
      </c>
      <c r="J75" s="13" t="s">
        <v>115</v>
      </c>
      <c r="K75" s="13"/>
      <c r="L75" s="13" t="s">
        <v>119</v>
      </c>
      <c r="M75" s="35" t="s">
        <v>340</v>
      </c>
      <c r="N75" s="36" t="s">
        <v>341</v>
      </c>
      <c r="O75" s="16"/>
      <c r="P75" s="16"/>
      <c r="Q75" s="37"/>
      <c r="R75" s="16"/>
      <c r="S75" s="37" t="str">
        <f>IFERROR(__xludf.DUMMYFUNCTION("if(not(iserror(index(split(C75, "" ""),2))), index(split(C75, "" ""),1),"""")"),"March,")</f>
        <v>March,</v>
      </c>
      <c r="T75" s="38">
        <f>IFERROR(__xludf.DUMMYFUNCTION("if(S75="""",C75,if(not(iserror(index(split(C75, "" ""),3))), index(split(C75, "" ""),3),index(split(C75, "" ""),2)))"),2017.0)</f>
        <v>2017</v>
      </c>
      <c r="U75" s="38" t="b">
        <f t="shared" si="11"/>
        <v>0</v>
      </c>
      <c r="V75" s="38" t="s">
        <v>33</v>
      </c>
      <c r="W75" s="40"/>
      <c r="X75" s="40"/>
      <c r="Y75" s="40"/>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row>
    <row r="76">
      <c r="A76" s="41" t="s">
        <v>342</v>
      </c>
      <c r="B76" s="30">
        <v>42881.0</v>
      </c>
      <c r="C76" s="31">
        <v>42795.0</v>
      </c>
      <c r="D76" s="32" t="s">
        <v>51</v>
      </c>
      <c r="E76" s="13" t="s">
        <v>31</v>
      </c>
      <c r="F76" s="13">
        <v>2.0</v>
      </c>
      <c r="G76" s="13" t="s">
        <v>32</v>
      </c>
      <c r="H76" s="33">
        <f t="shared" ref="H76:H81" si="12">if(G76="Unknown",1,G76)</f>
        <v>1</v>
      </c>
      <c r="I76" s="13" t="s">
        <v>33</v>
      </c>
      <c r="J76" s="13" t="s">
        <v>343</v>
      </c>
      <c r="K76" s="13">
        <v>5.0</v>
      </c>
      <c r="L76" s="13" t="s">
        <v>344</v>
      </c>
      <c r="M76" s="35" t="s">
        <v>345</v>
      </c>
      <c r="N76" s="36" t="s">
        <v>346</v>
      </c>
      <c r="O76" s="16"/>
      <c r="P76" s="16"/>
      <c r="Q76" s="16"/>
      <c r="R76" s="16"/>
      <c r="S76" s="37" t="str">
        <f>IFERROR(__xludf.DUMMYFUNCTION("if(not(iserror(index(split(C76, "" ""),2))), index(split(C76, "" ""),1),"""")"),"March,")</f>
        <v>March,</v>
      </c>
      <c r="T76" s="38">
        <f>IFERROR(__xludf.DUMMYFUNCTION("if(S76="""",C76,if(not(iserror(index(split(C76, "" ""),3))), index(split(C76, "" ""),3),index(split(C76, "" ""),2)))"),2017.0)</f>
        <v>2017</v>
      </c>
      <c r="U76" s="38" t="b">
        <f t="shared" si="11"/>
        <v>0</v>
      </c>
      <c r="V76" s="38"/>
      <c r="W76" s="40"/>
      <c r="X76" s="40"/>
      <c r="Y76" s="40"/>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row>
    <row r="77">
      <c r="A77" s="13" t="s">
        <v>347</v>
      </c>
      <c r="B77" s="30">
        <v>42993.0</v>
      </c>
      <c r="C77" s="31">
        <v>42795.0</v>
      </c>
      <c r="D77" s="32" t="s">
        <v>348</v>
      </c>
      <c r="E77" s="13" t="s">
        <v>41</v>
      </c>
      <c r="F77" s="13">
        <v>1.0</v>
      </c>
      <c r="G77" s="13" t="s">
        <v>32</v>
      </c>
      <c r="H77" s="33">
        <f t="shared" si="12"/>
        <v>1</v>
      </c>
      <c r="I77" s="13" t="s">
        <v>33</v>
      </c>
      <c r="J77" s="13" t="s">
        <v>147</v>
      </c>
      <c r="K77" s="13">
        <v>9.0</v>
      </c>
      <c r="L77" s="13" t="s">
        <v>349</v>
      </c>
      <c r="M77" s="35" t="s">
        <v>350</v>
      </c>
      <c r="N77" s="15"/>
      <c r="O77" s="16"/>
      <c r="P77" s="16"/>
      <c r="Q77" s="16"/>
      <c r="R77" s="16"/>
      <c r="S77" s="37" t="str">
        <f>IFERROR(__xludf.DUMMYFUNCTION("if(not(iserror(index(split(C77, "" ""),2))), index(split(C77, "" ""),1),"""")"),"March,")</f>
        <v>March,</v>
      </c>
      <c r="T77" s="38">
        <f>IFERROR(__xludf.DUMMYFUNCTION("if(S77="""",C77,if(not(iserror(index(split(C77, "" ""),3))), index(split(C77, "" ""),3),index(split(C77, "" ""),2)))"),2017.0)</f>
        <v>2017</v>
      </c>
      <c r="U77" s="38" t="b">
        <f t="shared" si="11"/>
        <v>0</v>
      </c>
      <c r="V77" s="38"/>
      <c r="W77" s="40"/>
      <c r="X77" s="40"/>
      <c r="Y77" s="40"/>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row>
    <row r="78">
      <c r="A78" s="13" t="s">
        <v>351</v>
      </c>
      <c r="B78" s="30">
        <v>43180.0</v>
      </c>
      <c r="C78" s="31">
        <v>42795.0</v>
      </c>
      <c r="D78" s="32" t="s">
        <v>348</v>
      </c>
      <c r="E78" s="13" t="s">
        <v>31</v>
      </c>
      <c r="F78" s="13">
        <v>1.0</v>
      </c>
      <c r="G78" s="13">
        <v>3.0</v>
      </c>
      <c r="H78" s="33">
        <f t="shared" si="12"/>
        <v>3</v>
      </c>
      <c r="I78" s="13" t="s">
        <v>33</v>
      </c>
      <c r="J78" s="13" t="s">
        <v>241</v>
      </c>
      <c r="K78" s="13">
        <v>1.0</v>
      </c>
      <c r="L78" s="13" t="s">
        <v>352</v>
      </c>
      <c r="M78" s="35" t="s">
        <v>353</v>
      </c>
      <c r="N78" s="15"/>
      <c r="O78" s="16"/>
      <c r="P78" s="16"/>
      <c r="Q78" s="16"/>
      <c r="R78" s="16"/>
      <c r="S78" s="37" t="str">
        <f>IFERROR(__xludf.DUMMYFUNCTION("if(not(iserror(index(split(C78, "" ""),2))), index(split(C78, "" ""),1),"""")"),"March,")</f>
        <v>March,</v>
      </c>
      <c r="T78" s="38">
        <f>IFERROR(__xludf.DUMMYFUNCTION("if(S78="""",C78,if(not(iserror(index(split(C78, "" ""),3))), index(split(C78, "" ""),3),index(split(C78, "" ""),2)))"),2017.0)</f>
        <v>2017</v>
      </c>
      <c r="U78" s="38" t="b">
        <f t="shared" si="11"/>
        <v>0</v>
      </c>
      <c r="V78" s="38"/>
      <c r="W78" s="40"/>
      <c r="X78" s="40"/>
      <c r="Y78" s="40"/>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row>
    <row r="79">
      <c r="A79" s="37" t="s">
        <v>354</v>
      </c>
      <c r="B79" s="59">
        <v>43256.0</v>
      </c>
      <c r="C79" s="79">
        <v>42795.0</v>
      </c>
      <c r="D79" s="60" t="s">
        <v>348</v>
      </c>
      <c r="E79" s="58" t="s">
        <v>31</v>
      </c>
      <c r="F79" s="58">
        <v>1.0</v>
      </c>
      <c r="G79" s="58" t="s">
        <v>32</v>
      </c>
      <c r="H79" s="33">
        <f t="shared" si="12"/>
        <v>1</v>
      </c>
      <c r="I79" s="58" t="s">
        <v>33</v>
      </c>
      <c r="J79" s="58" t="s">
        <v>98</v>
      </c>
      <c r="K79" s="58">
        <v>1.0</v>
      </c>
      <c r="L79" s="58" t="s">
        <v>355</v>
      </c>
      <c r="M79" s="61" t="s">
        <v>356</v>
      </c>
      <c r="N79" s="77"/>
      <c r="O79" s="62"/>
      <c r="P79" s="62"/>
      <c r="Q79" s="62"/>
      <c r="R79" s="62"/>
      <c r="S79" s="37" t="str">
        <f>IFERROR(__xludf.DUMMYFUNCTION("if(not(iserror(index(split(C79, "" ""),2))), index(split(C79, "" ""),1),"""")"),"March,")</f>
        <v>March,</v>
      </c>
      <c r="T79" s="38">
        <f>IFERROR(__xludf.DUMMYFUNCTION("if(S79="""",C79,if(not(iserror(index(split(C79, "" ""),3))), index(split(C79, "" ""),3),index(split(C79, "" ""),2)))"),2017.0)</f>
        <v>2017</v>
      </c>
      <c r="U79" s="38" t="b">
        <f t="shared" si="11"/>
        <v>0</v>
      </c>
      <c r="V79" s="38"/>
      <c r="W79" s="40"/>
      <c r="X79" s="40"/>
      <c r="Y79" s="40"/>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row>
    <row r="80">
      <c r="A80" s="58" t="s">
        <v>357</v>
      </c>
      <c r="B80" s="59">
        <v>43368.0</v>
      </c>
      <c r="C80" s="79">
        <v>42795.0</v>
      </c>
      <c r="D80" s="60" t="s">
        <v>358</v>
      </c>
      <c r="E80" s="58" t="s">
        <v>41</v>
      </c>
      <c r="F80" s="58">
        <v>1.0</v>
      </c>
      <c r="G80" s="58" t="s">
        <v>32</v>
      </c>
      <c r="H80" s="33">
        <f t="shared" si="12"/>
        <v>1</v>
      </c>
      <c r="I80" s="58" t="s">
        <v>33</v>
      </c>
      <c r="J80" s="58" t="s">
        <v>115</v>
      </c>
      <c r="K80" s="58">
        <v>2.0</v>
      </c>
      <c r="L80" s="58" t="s">
        <v>76</v>
      </c>
      <c r="M80" s="61" t="s">
        <v>359</v>
      </c>
      <c r="N80" s="77"/>
      <c r="O80" s="62"/>
      <c r="P80" s="62"/>
      <c r="Q80" s="62"/>
      <c r="R80" s="62"/>
      <c r="S80" s="37" t="str">
        <f>IFERROR(__xludf.DUMMYFUNCTION("if(not(iserror(index(split(C80, "" ""),2))), index(split(C80, "" ""),1),"""")"),"March,")</f>
        <v>March,</v>
      </c>
      <c r="T80" s="38">
        <f>IFERROR(__xludf.DUMMYFUNCTION("if(S80="""",C80,if(not(iserror(index(split(C80, "" ""),3))), index(split(C80, "" ""),3),index(split(C80, "" ""),2)))"),2017.0)</f>
        <v>2017</v>
      </c>
      <c r="U80" s="38" t="b">
        <f t="shared" si="11"/>
        <v>0</v>
      </c>
      <c r="V80" s="38"/>
      <c r="W80" s="40"/>
      <c r="X80" s="40"/>
      <c r="Y80" s="40"/>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row>
    <row r="81">
      <c r="A81" s="47" t="s">
        <v>360</v>
      </c>
      <c r="B81" s="48">
        <v>43454.0</v>
      </c>
      <c r="C81" s="89">
        <v>42795.0</v>
      </c>
      <c r="D81" s="49" t="s">
        <v>348</v>
      </c>
      <c r="E81" s="47" t="s">
        <v>41</v>
      </c>
      <c r="F81" s="47">
        <v>1.0</v>
      </c>
      <c r="G81" s="47" t="s">
        <v>32</v>
      </c>
      <c r="H81" s="33">
        <f t="shared" si="12"/>
        <v>1</v>
      </c>
      <c r="I81" s="47" t="s">
        <v>33</v>
      </c>
      <c r="J81" s="47" t="s">
        <v>89</v>
      </c>
      <c r="K81" s="47">
        <v>2.0</v>
      </c>
      <c r="L81" s="47" t="s">
        <v>76</v>
      </c>
      <c r="M81" s="51" t="s">
        <v>361</v>
      </c>
      <c r="N81" s="52"/>
      <c r="O81" s="55"/>
      <c r="P81" s="47"/>
      <c r="Q81" s="47"/>
      <c r="R81" s="55"/>
      <c r="S81" s="37" t="str">
        <f>IFERROR(__xludf.DUMMYFUNCTION("if(not(iserror(index(split(C81, "" ""),2))), index(split(C81, "" ""),1),"""")"),"March,")</f>
        <v>March,</v>
      </c>
      <c r="T81" s="38">
        <f>IFERROR(__xludf.DUMMYFUNCTION("if(S81="""",C81,if(not(iserror(index(split(C81, "" ""),3))), index(split(C81, "" ""),3),index(split(C81, "" ""),2)))"),2017.0)</f>
        <v>2017</v>
      </c>
      <c r="U81" s="38" t="b">
        <f t="shared" si="11"/>
        <v>0</v>
      </c>
      <c r="V81" s="38"/>
      <c r="W81" s="40"/>
      <c r="X81" s="40"/>
      <c r="Y81" s="40"/>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row>
    <row r="82">
      <c r="A82" s="47" t="s">
        <v>362</v>
      </c>
      <c r="B82" s="48">
        <v>43500.0</v>
      </c>
      <c r="C82" s="89">
        <v>42795.0</v>
      </c>
      <c r="D82" s="49" t="s">
        <v>348</v>
      </c>
      <c r="E82" s="47" t="s">
        <v>41</v>
      </c>
      <c r="F82" s="47">
        <v>1.0</v>
      </c>
      <c r="G82" s="47" t="s">
        <v>32</v>
      </c>
      <c r="H82" s="63">
        <v>1.0</v>
      </c>
      <c r="I82" s="47" t="s">
        <v>33</v>
      </c>
      <c r="J82" s="47" t="s">
        <v>68</v>
      </c>
      <c r="K82" s="47">
        <v>1.0</v>
      </c>
      <c r="L82" s="47" t="s">
        <v>69</v>
      </c>
      <c r="M82" s="51" t="s">
        <v>363</v>
      </c>
      <c r="N82" s="52"/>
      <c r="O82" s="55"/>
      <c r="P82" s="47"/>
      <c r="Q82" s="47"/>
      <c r="R82" s="55"/>
      <c r="S82" s="37" t="str">
        <f>IFERROR(__xludf.DUMMYFUNCTION("if(not(iserror(index(split(C82, "" ""),2))), index(split(C82, "" ""),1),"""")"),"March,")</f>
        <v>March,</v>
      </c>
      <c r="T82" s="38">
        <f>IFERROR(__xludf.DUMMYFUNCTION("if(S82="""",C82,if(not(iserror(index(split(C82, "" ""),3))), index(split(C82, "" ""),3),index(split(C82, "" ""),2)))"),2017.0)</f>
        <v>2017</v>
      </c>
      <c r="U82" s="38" t="b">
        <f t="shared" si="11"/>
        <v>0</v>
      </c>
      <c r="V82" s="38" t="s">
        <v>33</v>
      </c>
      <c r="W82" s="40"/>
      <c r="X82" s="40"/>
      <c r="Y82" s="40"/>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row>
    <row r="83">
      <c r="A83" s="47" t="s">
        <v>364</v>
      </c>
      <c r="B83" s="48"/>
      <c r="C83" s="89">
        <v>42795.0</v>
      </c>
      <c r="D83" s="49"/>
      <c r="E83" s="47" t="s">
        <v>41</v>
      </c>
      <c r="F83" s="47">
        <v>1.0</v>
      </c>
      <c r="G83" s="47">
        <v>2.0</v>
      </c>
      <c r="H83" s="63">
        <v>2.0</v>
      </c>
      <c r="I83" s="47" t="s">
        <v>33</v>
      </c>
      <c r="J83" s="47" t="s">
        <v>93</v>
      </c>
      <c r="K83" s="47"/>
      <c r="L83" s="47" t="s">
        <v>365</v>
      </c>
      <c r="M83" s="51" t="s">
        <v>366</v>
      </c>
      <c r="N83" s="52"/>
      <c r="O83" s="55"/>
      <c r="P83" s="47"/>
      <c r="Q83" s="47"/>
      <c r="R83" s="55"/>
      <c r="S83" s="37" t="str">
        <f>IFERROR(__xludf.DUMMYFUNCTION("if(not(iserror(index(split(C83, "" ""),2))), index(split(C83, "" ""),1),"""")"),"March,")</f>
        <v>March,</v>
      </c>
      <c r="T83" s="38">
        <f>IFERROR(__xludf.DUMMYFUNCTION("if(S83="""",C83,if(not(iserror(index(split(C83, "" ""),3))), index(split(C83, "" ""),3),index(split(C83, "" ""),2)))"),2017.0)</f>
        <v>2017</v>
      </c>
      <c r="U83" s="38" t="b">
        <f t="shared" si="11"/>
        <v>0</v>
      </c>
      <c r="V83" s="38"/>
      <c r="W83" s="40"/>
      <c r="X83" s="40"/>
      <c r="Y83" s="40"/>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row>
    <row r="84">
      <c r="A84" s="37" t="s">
        <v>367</v>
      </c>
      <c r="B84" s="30">
        <v>42796.0</v>
      </c>
      <c r="C84" s="30">
        <v>42796.0</v>
      </c>
      <c r="D84" s="32" t="s">
        <v>368</v>
      </c>
      <c r="E84" s="13" t="s">
        <v>31</v>
      </c>
      <c r="F84" s="13">
        <v>1.0</v>
      </c>
      <c r="G84" s="13" t="s">
        <v>32</v>
      </c>
      <c r="H84" s="33">
        <f t="shared" ref="H84:H88" si="13">if(G84="Unknown",1,G84)</f>
        <v>1</v>
      </c>
      <c r="I84" s="13" t="s">
        <v>33</v>
      </c>
      <c r="J84" s="13" t="s">
        <v>111</v>
      </c>
      <c r="K84" s="13">
        <v>1.0</v>
      </c>
      <c r="L84" s="34" t="s">
        <v>99</v>
      </c>
      <c r="M84" s="36" t="s">
        <v>369</v>
      </c>
      <c r="N84" s="15"/>
      <c r="O84" s="16"/>
      <c r="P84" s="16"/>
      <c r="Q84" s="16"/>
      <c r="R84" s="16"/>
      <c r="S84" s="37" t="str">
        <f>IFERROR(__xludf.DUMMYFUNCTION("if(not(iserror(index(split(C84, "" ""),2))), index(split(C84, "" ""),1),"""")"),"March")</f>
        <v>March</v>
      </c>
      <c r="T84" s="38">
        <f>IFERROR(__xludf.DUMMYFUNCTION("if(S84="""",C84,if(not(iserror(index(split(C84, "" ""),3))), index(split(C84, "" ""),3),index(split(C84, "" ""),2)))"),2017.0)</f>
        <v>2017</v>
      </c>
      <c r="U84" s="38" t="b">
        <f t="shared" si="11"/>
        <v>0</v>
      </c>
      <c r="V84" s="38"/>
      <c r="W84" s="40"/>
      <c r="X84" s="40"/>
      <c r="Y84" s="40"/>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row>
    <row r="85">
      <c r="A85" s="78" t="s">
        <v>370</v>
      </c>
      <c r="B85" s="59">
        <v>43283.0</v>
      </c>
      <c r="C85" s="59">
        <v>42797.0</v>
      </c>
      <c r="D85" s="60" t="s">
        <v>371</v>
      </c>
      <c r="E85" s="58" t="s">
        <v>31</v>
      </c>
      <c r="F85" s="58">
        <v>1.0</v>
      </c>
      <c r="G85" s="58" t="s">
        <v>32</v>
      </c>
      <c r="H85" s="33">
        <f t="shared" si="13"/>
        <v>1</v>
      </c>
      <c r="I85" s="58" t="s">
        <v>33</v>
      </c>
      <c r="J85" s="58" t="s">
        <v>111</v>
      </c>
      <c r="K85" s="58">
        <v>3.0</v>
      </c>
      <c r="L85" s="58" t="s">
        <v>372</v>
      </c>
      <c r="M85" s="61" t="s">
        <v>373</v>
      </c>
      <c r="N85" s="77"/>
      <c r="O85" s="62"/>
      <c r="P85" s="62"/>
      <c r="Q85" s="62"/>
      <c r="R85" s="62"/>
      <c r="S85" s="37" t="str">
        <f>IFERROR(__xludf.DUMMYFUNCTION("if(not(iserror(index(split(C85, "" ""),2))), index(split(C85, "" ""),1),"""")"),"March")</f>
        <v>March</v>
      </c>
      <c r="T85" s="38">
        <f>IFERROR(__xludf.DUMMYFUNCTION("if(S85="""",C85,if(not(iserror(index(split(C85, "" ""),3))), index(split(C85, "" ""),3),index(split(C85, "" ""),2)))"),2017.0)</f>
        <v>2017</v>
      </c>
      <c r="U85" s="38" t="b">
        <f t="shared" si="11"/>
        <v>0</v>
      </c>
      <c r="V85" s="38"/>
      <c r="W85" s="40"/>
      <c r="X85" s="40"/>
      <c r="Y85" s="40"/>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row>
    <row r="86">
      <c r="A86" s="90" t="s">
        <v>374</v>
      </c>
      <c r="B86" s="30">
        <v>42816.0</v>
      </c>
      <c r="C86" s="30">
        <v>42801.0</v>
      </c>
      <c r="D86" s="32" t="s">
        <v>375</v>
      </c>
      <c r="E86" s="13" t="s">
        <v>41</v>
      </c>
      <c r="F86" s="13">
        <v>1.0</v>
      </c>
      <c r="G86" s="13">
        <v>1.0</v>
      </c>
      <c r="H86" s="33">
        <f t="shared" si="13"/>
        <v>1</v>
      </c>
      <c r="I86" s="13" t="s">
        <v>33</v>
      </c>
      <c r="J86" s="13" t="s">
        <v>179</v>
      </c>
      <c r="K86" s="13" t="s">
        <v>32</v>
      </c>
      <c r="L86" s="13" t="s">
        <v>52</v>
      </c>
      <c r="M86" s="35" t="s">
        <v>376</v>
      </c>
      <c r="N86" s="15"/>
      <c r="O86" s="16"/>
      <c r="P86" s="16"/>
      <c r="Q86" s="16"/>
      <c r="R86" s="16"/>
      <c r="S86" s="37" t="str">
        <f>IFERROR(__xludf.DUMMYFUNCTION("if(not(iserror(index(split(C86, "" ""),2))), index(split(C86, "" ""),1),"""")"),"March")</f>
        <v>March</v>
      </c>
      <c r="T86" s="38">
        <f>IFERROR(__xludf.DUMMYFUNCTION("if(S86="""",C86,if(not(iserror(index(split(C86, "" ""),3))), index(split(C86, "" ""),3),index(split(C86, "" ""),2)))"),2017.0)</f>
        <v>2017</v>
      </c>
      <c r="U86" s="38" t="b">
        <f t="shared" si="11"/>
        <v>0</v>
      </c>
      <c r="V86" s="38"/>
      <c r="W86" s="40"/>
      <c r="X86" s="40"/>
      <c r="Y86" s="40"/>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row>
    <row r="87">
      <c r="A87" s="37" t="s">
        <v>377</v>
      </c>
      <c r="B87" s="30">
        <v>42809.0</v>
      </c>
      <c r="C87" s="30">
        <v>42802.0</v>
      </c>
      <c r="D87" s="32" t="s">
        <v>378</v>
      </c>
      <c r="E87" s="13" t="s">
        <v>31</v>
      </c>
      <c r="F87" s="13">
        <v>1.0</v>
      </c>
      <c r="G87" s="13" t="s">
        <v>32</v>
      </c>
      <c r="H87" s="33">
        <f t="shared" si="13"/>
        <v>1</v>
      </c>
      <c r="I87" s="13" t="s">
        <v>33</v>
      </c>
      <c r="J87" s="13" t="s">
        <v>147</v>
      </c>
      <c r="K87" s="13" t="s">
        <v>32</v>
      </c>
      <c r="L87" s="34" t="s">
        <v>194</v>
      </c>
      <c r="M87" s="36" t="s">
        <v>379</v>
      </c>
      <c r="N87" s="15"/>
      <c r="O87" s="16"/>
      <c r="P87" s="16"/>
      <c r="Q87" s="16"/>
      <c r="R87" s="16"/>
      <c r="S87" s="37" t="str">
        <f>IFERROR(__xludf.DUMMYFUNCTION("if(not(iserror(index(split(C87, "" ""),2))), index(split(C87, "" ""),1),"""")"),"March")</f>
        <v>March</v>
      </c>
      <c r="T87" s="38">
        <f>IFERROR(__xludf.DUMMYFUNCTION("if(S87="""",C87,if(not(iserror(index(split(C87, "" ""),3))), index(split(C87, "" ""),3),index(split(C87, "" ""),2)))"),2017.0)</f>
        <v>2017</v>
      </c>
      <c r="U87" s="38" t="b">
        <f t="shared" si="11"/>
        <v>0</v>
      </c>
      <c r="V87" s="38"/>
      <c r="W87" s="40"/>
      <c r="X87" s="40"/>
      <c r="Y87" s="40"/>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row>
    <row r="88">
      <c r="A88" s="13" t="s">
        <v>380</v>
      </c>
      <c r="B88" s="30">
        <v>43069.0</v>
      </c>
      <c r="C88" s="30">
        <v>42803.0</v>
      </c>
      <c r="D88" s="32" t="s">
        <v>381</v>
      </c>
      <c r="E88" s="13" t="s">
        <v>41</v>
      </c>
      <c r="F88" s="13">
        <v>1.0</v>
      </c>
      <c r="G88" s="13" t="s">
        <v>32</v>
      </c>
      <c r="H88" s="33">
        <f t="shared" si="13"/>
        <v>1</v>
      </c>
      <c r="I88" s="13" t="s">
        <v>33</v>
      </c>
      <c r="J88" s="13" t="s">
        <v>268</v>
      </c>
      <c r="K88" s="13">
        <v>5.0</v>
      </c>
      <c r="L88" s="13" t="s">
        <v>382</v>
      </c>
      <c r="M88" s="44" t="s">
        <v>383</v>
      </c>
      <c r="N88" s="14" t="s">
        <v>384</v>
      </c>
      <c r="O88" s="37"/>
      <c r="P88" s="16"/>
      <c r="Q88" s="64"/>
      <c r="R88" s="16"/>
      <c r="S88" s="37" t="str">
        <f>IFERROR(__xludf.DUMMYFUNCTION("if(not(iserror(index(split(C88, "" ""),2))), index(split(C88, "" ""),1),"""")"),"March")</f>
        <v>March</v>
      </c>
      <c r="T88" s="38">
        <f>IFERROR(__xludf.DUMMYFUNCTION("if(S88="""",C88,if(not(iserror(index(split(C88, "" ""),3))), index(split(C88, "" ""),3),index(split(C88, "" ""),2)))"),2017.0)</f>
        <v>2017</v>
      </c>
      <c r="U88" s="38" t="b">
        <f t="shared" si="11"/>
        <v>0</v>
      </c>
      <c r="V88" s="38" t="s">
        <v>33</v>
      </c>
      <c r="W88" s="40"/>
      <c r="X88" s="39" t="s">
        <v>385</v>
      </c>
      <c r="Y88" s="40"/>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row>
    <row r="89">
      <c r="A89" s="91" t="s">
        <v>386</v>
      </c>
      <c r="B89" s="92"/>
      <c r="C89" s="92">
        <v>42837.0</v>
      </c>
      <c r="D89" s="93"/>
      <c r="E89" s="94" t="s">
        <v>31</v>
      </c>
      <c r="F89" s="94">
        <v>1.0</v>
      </c>
      <c r="G89" s="94">
        <v>1.0</v>
      </c>
      <c r="H89" s="33">
        <v>1.0</v>
      </c>
      <c r="I89" s="94" t="s">
        <v>33</v>
      </c>
      <c r="J89" s="94" t="s">
        <v>241</v>
      </c>
      <c r="K89" s="94"/>
      <c r="L89" s="13" t="s">
        <v>387</v>
      </c>
      <c r="M89" s="14"/>
      <c r="N89" s="95"/>
      <c r="O89" s="16"/>
      <c r="P89" s="36" t="s">
        <v>388</v>
      </c>
      <c r="Q89" s="37">
        <v>1.0</v>
      </c>
      <c r="R89" s="16"/>
      <c r="S89" s="37" t="str">
        <f>IFERROR(__xludf.DUMMYFUNCTION("if(not(iserror(index(split(C89, "" ""),2))), index(split(C89, "" ""),1),"""")"),"April")</f>
        <v>April</v>
      </c>
      <c r="T89" s="38">
        <f>IFERROR(__xludf.DUMMYFUNCTION("if(S89="""",C89,if(not(iserror(index(split(C89, "" ""),3))), index(split(C89, "" ""),3),index(split(C89, "" ""),2)))"),2017.0)</f>
        <v>2017</v>
      </c>
      <c r="U89" s="38" t="b">
        <f t="shared" si="11"/>
        <v>0</v>
      </c>
      <c r="V89" s="96" t="s">
        <v>33</v>
      </c>
      <c r="W89" s="97"/>
      <c r="X89" s="39" t="s">
        <v>389</v>
      </c>
      <c r="Y89" s="97"/>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row>
    <row r="90">
      <c r="A90" s="37" t="s">
        <v>239</v>
      </c>
      <c r="B90" s="30">
        <v>42810.0</v>
      </c>
      <c r="C90" s="30">
        <v>42808.0</v>
      </c>
      <c r="D90" s="32" t="s">
        <v>390</v>
      </c>
      <c r="E90" s="13" t="s">
        <v>41</v>
      </c>
      <c r="F90" s="13">
        <v>1.0</v>
      </c>
      <c r="G90" s="13">
        <v>4.0</v>
      </c>
      <c r="H90" s="33">
        <f t="shared" ref="H90:H98" si="14">if(G90="Unknown",1,G90)</f>
        <v>4</v>
      </c>
      <c r="I90" s="13" t="s">
        <v>33</v>
      </c>
      <c r="J90" s="13" t="s">
        <v>111</v>
      </c>
      <c r="K90" s="13">
        <v>1.0</v>
      </c>
      <c r="L90" s="13" t="s">
        <v>194</v>
      </c>
      <c r="M90" s="36" t="s">
        <v>391</v>
      </c>
      <c r="N90" s="14"/>
      <c r="O90" s="16"/>
      <c r="P90" s="16"/>
      <c r="Q90" s="16"/>
      <c r="R90" s="16"/>
      <c r="S90" s="37" t="str">
        <f>IFERROR(__xludf.DUMMYFUNCTION("if(not(iserror(index(split(C90, "" ""),2))), index(split(C90, "" ""),1),"""")"),"March")</f>
        <v>March</v>
      </c>
      <c r="T90" s="38">
        <f>IFERROR(__xludf.DUMMYFUNCTION("if(S90="""",C90,if(not(iserror(index(split(C90, "" ""),3))), index(split(C90, "" ""),3),index(split(C90, "" ""),2)))"),2017.0)</f>
        <v>2017</v>
      </c>
      <c r="U90" s="38" t="b">
        <f t="shared" si="11"/>
        <v>1</v>
      </c>
      <c r="V90" s="38"/>
      <c r="W90" s="40"/>
      <c r="X90" s="40"/>
      <c r="Y90" s="40"/>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row>
    <row r="91">
      <c r="A91" s="13" t="s">
        <v>392</v>
      </c>
      <c r="B91" s="30">
        <v>43175.0</v>
      </c>
      <c r="C91" s="30">
        <v>42808.0</v>
      </c>
      <c r="D91" s="32" t="s">
        <v>390</v>
      </c>
      <c r="E91" s="13" t="s">
        <v>41</v>
      </c>
      <c r="F91" s="13">
        <v>1.0</v>
      </c>
      <c r="G91" s="13" t="s">
        <v>32</v>
      </c>
      <c r="H91" s="33">
        <f t="shared" si="14"/>
        <v>1</v>
      </c>
      <c r="I91" s="13" t="s">
        <v>33</v>
      </c>
      <c r="J91" s="13" t="s">
        <v>93</v>
      </c>
      <c r="K91" s="13">
        <v>3.0</v>
      </c>
      <c r="L91" s="13" t="s">
        <v>393</v>
      </c>
      <c r="M91" s="56" t="s">
        <v>394</v>
      </c>
      <c r="N91" s="15"/>
      <c r="O91" s="86" t="str">
        <f>hyperlink("https://bad-boys.us/?q=ND-NY/3:18-mj-00131", "ND-NY 3:18-mj-00131")</f>
        <v>ND-NY 3:18-mj-00131</v>
      </c>
      <c r="P91" s="86" t="s">
        <v>395</v>
      </c>
      <c r="Q91" s="64">
        <v>1.0</v>
      </c>
      <c r="R91" s="16"/>
      <c r="S91" s="37" t="str">
        <f>IFERROR(__xludf.DUMMYFUNCTION("if(not(iserror(index(split(C91, "" ""),2))), index(split(C91, "" ""),1),"""")"),"March")</f>
        <v>March</v>
      </c>
      <c r="T91" s="38">
        <f>IFERROR(__xludf.DUMMYFUNCTION("if(S91="""",C91,if(not(iserror(index(split(C91, "" ""),3))), index(split(C91, "" ""),3),index(split(C91, "" ""),2)))"),2017.0)</f>
        <v>2017</v>
      </c>
      <c r="U91" s="38" t="b">
        <f t="shared" si="11"/>
        <v>0</v>
      </c>
      <c r="V91" s="38" t="s">
        <v>33</v>
      </c>
      <c r="W91" s="40"/>
      <c r="X91" s="40"/>
      <c r="Y91" s="40"/>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row>
    <row r="92">
      <c r="A92" s="37" t="s">
        <v>396</v>
      </c>
      <c r="B92" s="59">
        <v>43230.0</v>
      </c>
      <c r="C92" s="59">
        <v>42808.0</v>
      </c>
      <c r="D92" s="60" t="s">
        <v>390</v>
      </c>
      <c r="E92" s="58" t="s">
        <v>41</v>
      </c>
      <c r="F92" s="58">
        <v>1.0</v>
      </c>
      <c r="G92" s="58" t="s">
        <v>32</v>
      </c>
      <c r="H92" s="33">
        <f t="shared" si="14"/>
        <v>1</v>
      </c>
      <c r="I92" s="58" t="s">
        <v>33</v>
      </c>
      <c r="J92" s="58" t="s">
        <v>93</v>
      </c>
      <c r="K92" s="58">
        <v>1.0</v>
      </c>
      <c r="L92" s="58" t="s">
        <v>119</v>
      </c>
      <c r="M92" s="61" t="s">
        <v>397</v>
      </c>
      <c r="N92" s="77"/>
      <c r="O92" s="62"/>
      <c r="P92" s="62"/>
      <c r="Q92" s="62"/>
      <c r="R92" s="62"/>
      <c r="S92" s="37" t="str">
        <f>IFERROR(__xludf.DUMMYFUNCTION("if(not(iserror(index(split(C92, "" ""),2))), index(split(C92, "" ""),1),"""")"),"March")</f>
        <v>March</v>
      </c>
      <c r="T92" s="38">
        <f>IFERROR(__xludf.DUMMYFUNCTION("if(S92="""",C92,if(not(iserror(index(split(C92, "" ""),3))), index(split(C92, "" ""),3),index(split(C92, "" ""),2)))"),2017.0)</f>
        <v>2017</v>
      </c>
      <c r="U92" s="38" t="b">
        <f t="shared" si="11"/>
        <v>0</v>
      </c>
      <c r="V92" s="38"/>
      <c r="W92" s="40"/>
      <c r="X92" s="40"/>
      <c r="Y92" s="40"/>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row>
    <row r="93">
      <c r="A93" s="37" t="s">
        <v>398</v>
      </c>
      <c r="B93" s="30">
        <v>42809.0</v>
      </c>
      <c r="C93" s="30">
        <v>42809.0</v>
      </c>
      <c r="D93" s="32" t="s">
        <v>399</v>
      </c>
      <c r="E93" s="13" t="s">
        <v>31</v>
      </c>
      <c r="F93" s="13">
        <v>2.0</v>
      </c>
      <c r="G93" s="13" t="s">
        <v>32</v>
      </c>
      <c r="H93" s="33">
        <f t="shared" si="14"/>
        <v>1</v>
      </c>
      <c r="I93" s="13" t="s">
        <v>33</v>
      </c>
      <c r="J93" s="13" t="s">
        <v>42</v>
      </c>
      <c r="K93" s="13">
        <v>1.0</v>
      </c>
      <c r="L93" s="34" t="s">
        <v>35</v>
      </c>
      <c r="M93" s="36" t="s">
        <v>400</v>
      </c>
      <c r="N93" s="15"/>
      <c r="O93" s="16"/>
      <c r="P93" s="16"/>
      <c r="Q93" s="16"/>
      <c r="R93" s="16"/>
      <c r="S93" s="37" t="str">
        <f>IFERROR(__xludf.DUMMYFUNCTION("if(not(iserror(index(split(C93, "" ""),2))), index(split(C93, "" ""),1),"""")"),"March")</f>
        <v>March</v>
      </c>
      <c r="T93" s="38">
        <f>IFERROR(__xludf.DUMMYFUNCTION("if(S93="""",C93,if(not(iserror(index(split(C93, "" ""),3))), index(split(C93, "" ""),3),index(split(C93, "" ""),2)))"),2017.0)</f>
        <v>2017</v>
      </c>
      <c r="U93" s="38" t="b">
        <f t="shared" si="11"/>
        <v>0</v>
      </c>
      <c r="V93" s="38"/>
      <c r="W93" s="40"/>
      <c r="X93" s="40"/>
      <c r="Y93" s="40"/>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row>
    <row r="94">
      <c r="A94" s="37" t="s">
        <v>401</v>
      </c>
      <c r="B94" s="30">
        <v>42809.0</v>
      </c>
      <c r="C94" s="30">
        <v>42809.0</v>
      </c>
      <c r="D94" s="32" t="s">
        <v>399</v>
      </c>
      <c r="E94" s="13" t="s">
        <v>31</v>
      </c>
      <c r="F94" s="13">
        <v>1.0</v>
      </c>
      <c r="G94" s="13" t="s">
        <v>32</v>
      </c>
      <c r="H94" s="33">
        <f t="shared" si="14"/>
        <v>1</v>
      </c>
      <c r="I94" s="13" t="s">
        <v>33</v>
      </c>
      <c r="J94" s="13" t="s">
        <v>402</v>
      </c>
      <c r="K94" s="13" t="s">
        <v>32</v>
      </c>
      <c r="L94" s="13" t="s">
        <v>99</v>
      </c>
      <c r="M94" s="36" t="s">
        <v>403</v>
      </c>
      <c r="N94" s="15"/>
      <c r="O94" s="16"/>
      <c r="P94" s="16"/>
      <c r="Q94" s="16"/>
      <c r="R94" s="16"/>
      <c r="S94" s="37" t="str">
        <f>IFERROR(__xludf.DUMMYFUNCTION("if(not(iserror(index(split(C94, "" ""),2))), index(split(C94, "" ""),1),"""")"),"March")</f>
        <v>March</v>
      </c>
      <c r="T94" s="38">
        <f>IFERROR(__xludf.DUMMYFUNCTION("if(S94="""",C94,if(not(iserror(index(split(C94, "" ""),3))), index(split(C94, "" ""),3),index(split(C94, "" ""),2)))"),2017.0)</f>
        <v>2017</v>
      </c>
      <c r="U94" s="38" t="b">
        <f t="shared" si="11"/>
        <v>0</v>
      </c>
      <c r="V94" s="38"/>
      <c r="W94" s="40"/>
      <c r="X94" s="40"/>
      <c r="Y94" s="40"/>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row>
    <row r="95">
      <c r="A95" s="37" t="s">
        <v>404</v>
      </c>
      <c r="B95" s="30">
        <v>42810.0</v>
      </c>
      <c r="C95" s="30">
        <v>42810.0</v>
      </c>
      <c r="D95" s="32" t="s">
        <v>405</v>
      </c>
      <c r="E95" s="13" t="s">
        <v>41</v>
      </c>
      <c r="F95" s="13">
        <v>1.0</v>
      </c>
      <c r="G95" s="13" t="s">
        <v>32</v>
      </c>
      <c r="H95" s="33">
        <f t="shared" si="14"/>
        <v>1</v>
      </c>
      <c r="I95" s="13" t="s">
        <v>33</v>
      </c>
      <c r="J95" s="13" t="s">
        <v>93</v>
      </c>
      <c r="K95" s="13">
        <v>1.0</v>
      </c>
      <c r="L95" s="13" t="s">
        <v>406</v>
      </c>
      <c r="M95" s="36" t="s">
        <v>407</v>
      </c>
      <c r="N95" s="36" t="s">
        <v>408</v>
      </c>
      <c r="O95" s="16"/>
      <c r="P95" s="16"/>
      <c r="Q95" s="16"/>
      <c r="R95" s="16"/>
      <c r="S95" s="37" t="str">
        <f>IFERROR(__xludf.DUMMYFUNCTION("if(not(iserror(index(split(C95, "" ""),2))), index(split(C95, "" ""),1),"""")"),"March")</f>
        <v>March</v>
      </c>
      <c r="T95" s="38">
        <f>IFERROR(__xludf.DUMMYFUNCTION("if(S95="""",C95,if(not(iserror(index(split(C95, "" ""),3))), index(split(C95, "" ""),3),index(split(C95, "" ""),2)))"),2017.0)</f>
        <v>2017</v>
      </c>
      <c r="U95" s="38" t="b">
        <f t="shared" si="11"/>
        <v>0</v>
      </c>
      <c r="V95" s="38"/>
      <c r="W95" s="40"/>
      <c r="X95" s="40"/>
      <c r="Y95" s="40"/>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row>
    <row r="96">
      <c r="A96" s="58" t="s">
        <v>409</v>
      </c>
      <c r="B96" s="59">
        <v>43244.0</v>
      </c>
      <c r="C96" s="59">
        <v>42810.0</v>
      </c>
      <c r="D96" s="60" t="s">
        <v>405</v>
      </c>
      <c r="E96" s="58" t="s">
        <v>41</v>
      </c>
      <c r="F96" s="58">
        <v>1.0</v>
      </c>
      <c r="G96" s="58" t="s">
        <v>32</v>
      </c>
      <c r="H96" s="33">
        <f t="shared" si="14"/>
        <v>1</v>
      </c>
      <c r="I96" s="58" t="s">
        <v>33</v>
      </c>
      <c r="J96" s="58" t="s">
        <v>410</v>
      </c>
      <c r="K96" s="58">
        <v>2.0</v>
      </c>
      <c r="L96" s="58" t="s">
        <v>119</v>
      </c>
      <c r="M96" s="61" t="s">
        <v>411</v>
      </c>
      <c r="N96" s="77"/>
      <c r="O96" s="62"/>
      <c r="P96" s="62"/>
      <c r="Q96" s="62"/>
      <c r="R96" s="62"/>
      <c r="S96" s="37" t="str">
        <f>IFERROR(__xludf.DUMMYFUNCTION("if(not(iserror(index(split(C96, "" ""),2))), index(split(C96, "" ""),1),"""")"),"March")</f>
        <v>March</v>
      </c>
      <c r="T96" s="38">
        <f>IFERROR(__xludf.DUMMYFUNCTION("if(S96="""",C96,if(not(iserror(index(split(C96, "" ""),3))), index(split(C96, "" ""),3),index(split(C96, "" ""),2)))"),2017.0)</f>
        <v>2017</v>
      </c>
      <c r="U96" s="38" t="b">
        <f t="shared" si="11"/>
        <v>0</v>
      </c>
      <c r="V96" s="38"/>
      <c r="W96" s="40"/>
      <c r="X96" s="40"/>
      <c r="Y96" s="40"/>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row>
    <row r="97">
      <c r="A97" s="58" t="s">
        <v>412</v>
      </c>
      <c r="B97" s="59">
        <v>43374.0</v>
      </c>
      <c r="C97" s="59">
        <v>42810.0</v>
      </c>
      <c r="D97" s="60" t="s">
        <v>405</v>
      </c>
      <c r="E97" s="58" t="s">
        <v>31</v>
      </c>
      <c r="F97" s="58">
        <v>1.0</v>
      </c>
      <c r="G97" s="58" t="s">
        <v>32</v>
      </c>
      <c r="H97" s="33">
        <f t="shared" si="14"/>
        <v>1</v>
      </c>
      <c r="I97" s="58" t="s">
        <v>33</v>
      </c>
      <c r="J97" s="58" t="s">
        <v>413</v>
      </c>
      <c r="K97" s="58">
        <v>3.0</v>
      </c>
      <c r="L97" s="58" t="s">
        <v>119</v>
      </c>
      <c r="M97" s="61" t="s">
        <v>414</v>
      </c>
      <c r="N97" s="61" t="s">
        <v>415</v>
      </c>
      <c r="O97" s="62"/>
      <c r="P97" s="62"/>
      <c r="Q97" s="62"/>
      <c r="R97" s="62"/>
      <c r="S97" s="37" t="str">
        <f>IFERROR(__xludf.DUMMYFUNCTION("if(not(iserror(index(split(C97, "" ""),2))), index(split(C97, "" ""),1),"""")"),"March")</f>
        <v>March</v>
      </c>
      <c r="T97" s="38">
        <f>IFERROR(__xludf.DUMMYFUNCTION("if(S97="""",C97,if(not(iserror(index(split(C97, "" ""),3))), index(split(C97, "" ""),3),index(split(C97, "" ""),2)))"),2017.0)</f>
        <v>2017</v>
      </c>
      <c r="U97" s="38" t="b">
        <f t="shared" si="11"/>
        <v>0</v>
      </c>
      <c r="V97" s="38"/>
      <c r="W97" s="40"/>
      <c r="X97" s="40"/>
      <c r="Y97" s="40"/>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row>
    <row r="98">
      <c r="A98" s="58" t="s">
        <v>416</v>
      </c>
      <c r="B98" s="59">
        <v>43356.0</v>
      </c>
      <c r="C98" s="59">
        <v>42811.0</v>
      </c>
      <c r="D98" s="60" t="s">
        <v>417</v>
      </c>
      <c r="E98" s="58" t="s">
        <v>31</v>
      </c>
      <c r="F98" s="58">
        <v>1.0</v>
      </c>
      <c r="G98" s="58" t="s">
        <v>32</v>
      </c>
      <c r="H98" s="33">
        <f t="shared" si="14"/>
        <v>1</v>
      </c>
      <c r="I98" s="58" t="s">
        <v>33</v>
      </c>
      <c r="J98" s="58" t="s">
        <v>106</v>
      </c>
      <c r="K98" s="58">
        <v>2.0</v>
      </c>
      <c r="L98" s="58" t="s">
        <v>76</v>
      </c>
      <c r="M98" s="61" t="s">
        <v>418</v>
      </c>
      <c r="N98" s="61" t="s">
        <v>419</v>
      </c>
      <c r="O98" s="62"/>
      <c r="P98" s="62"/>
      <c r="Q98" s="62"/>
      <c r="R98" s="62"/>
      <c r="S98" s="37" t="str">
        <f>IFERROR(__xludf.DUMMYFUNCTION("if(not(iserror(index(split(C98, "" ""),2))), index(split(C98, "" ""),1),"""")"),"March")</f>
        <v>March</v>
      </c>
      <c r="T98" s="38">
        <f>IFERROR(__xludf.DUMMYFUNCTION("if(S98="""",C98,if(not(iserror(index(split(C98, "" ""),3))), index(split(C98, "" ""),3),index(split(C98, "" ""),2)))"),2017.0)</f>
        <v>2017</v>
      </c>
      <c r="U98" s="38" t="b">
        <f t="shared" si="11"/>
        <v>0</v>
      </c>
      <c r="V98" s="38"/>
      <c r="W98" s="40"/>
      <c r="X98" s="40"/>
      <c r="Y98" s="40"/>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row>
    <row r="99">
      <c r="A99" s="58" t="s">
        <v>420</v>
      </c>
      <c r="B99" s="59"/>
      <c r="C99" s="59">
        <v>42816.0</v>
      </c>
      <c r="D99" s="60"/>
      <c r="E99" s="58" t="s">
        <v>41</v>
      </c>
      <c r="F99" s="58">
        <v>1.0</v>
      </c>
      <c r="G99" s="58" t="s">
        <v>32</v>
      </c>
      <c r="H99" s="43">
        <v>1.0</v>
      </c>
      <c r="I99" s="58" t="s">
        <v>33</v>
      </c>
      <c r="J99" s="58" t="s">
        <v>402</v>
      </c>
      <c r="K99" s="58"/>
      <c r="L99" s="58" t="s">
        <v>99</v>
      </c>
      <c r="M99" s="61" t="s">
        <v>421</v>
      </c>
      <c r="N99" s="77"/>
      <c r="O99" s="62"/>
      <c r="P99" s="58"/>
      <c r="Q99" s="84"/>
      <c r="R99" s="62"/>
      <c r="S99" s="37"/>
      <c r="T99" s="38"/>
      <c r="U99" s="38" t="b">
        <f t="shared" si="11"/>
        <v>0</v>
      </c>
      <c r="V99" s="38"/>
      <c r="W99" s="40"/>
      <c r="X99" s="40"/>
      <c r="Y99" s="40"/>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row>
    <row r="100">
      <c r="A100" s="58" t="s">
        <v>422</v>
      </c>
      <c r="B100" s="59">
        <v>43329.0</v>
      </c>
      <c r="C100" s="59">
        <v>42817.0</v>
      </c>
      <c r="D100" s="60" t="s">
        <v>423</v>
      </c>
      <c r="E100" s="58" t="s">
        <v>41</v>
      </c>
      <c r="F100" s="58">
        <v>1.0</v>
      </c>
      <c r="G100" s="58" t="s">
        <v>32</v>
      </c>
      <c r="H100" s="33">
        <f>if(G100="Unknown",1,G100)</f>
        <v>1</v>
      </c>
      <c r="I100" s="58" t="s">
        <v>33</v>
      </c>
      <c r="J100" s="58" t="s">
        <v>47</v>
      </c>
      <c r="K100" s="58" t="s">
        <v>32</v>
      </c>
      <c r="L100" s="58" t="s">
        <v>424</v>
      </c>
      <c r="M100" s="61" t="s">
        <v>425</v>
      </c>
      <c r="N100" s="77"/>
      <c r="O100" s="83" t="str">
        <f>hyperlink("https://bad-boys.us/?q=SD-FL/1:17-cr-20836", "SD-FL 1:17-cr-20836")</f>
        <v>SD-FL 1:17-cr-20836</v>
      </c>
      <c r="P100" s="88" t="s">
        <v>426</v>
      </c>
      <c r="Q100" s="84">
        <v>1.0</v>
      </c>
      <c r="R100" s="62"/>
      <c r="S100" s="37" t="str">
        <f>IFERROR(__xludf.DUMMYFUNCTION("if(not(iserror(index(split(C100, "" ""),2))), index(split(C100, "" ""),1),"""")"),"March")</f>
        <v>March</v>
      </c>
      <c r="T100" s="38">
        <f>IFERROR(__xludf.DUMMYFUNCTION("if(S100="""",C100,if(not(iserror(index(split(C100, "" ""),3))), index(split(C100, "" ""),3),index(split(C100, "" ""),2)))"),2017.0)</f>
        <v>2017</v>
      </c>
      <c r="U100" s="38" t="b">
        <f t="shared" si="11"/>
        <v>0</v>
      </c>
      <c r="V100" s="38"/>
      <c r="W100" s="40"/>
      <c r="X100" s="40"/>
      <c r="Y100" s="40"/>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row>
    <row r="101">
      <c r="A101" s="90" t="s">
        <v>427</v>
      </c>
      <c r="B101" s="30"/>
      <c r="C101" s="30">
        <v>42822.0</v>
      </c>
      <c r="D101" s="32"/>
      <c r="E101" s="13" t="s">
        <v>31</v>
      </c>
      <c r="F101" s="13">
        <v>1.0</v>
      </c>
      <c r="G101" s="13" t="s">
        <v>32</v>
      </c>
      <c r="H101" s="43">
        <v>1.0</v>
      </c>
      <c r="I101" s="13" t="s">
        <v>33</v>
      </c>
      <c r="J101" s="13" t="s">
        <v>241</v>
      </c>
      <c r="K101" s="13"/>
      <c r="L101" s="13" t="s">
        <v>76</v>
      </c>
      <c r="M101" s="35" t="s">
        <v>428</v>
      </c>
      <c r="N101" s="36" t="s">
        <v>429</v>
      </c>
      <c r="O101" s="16"/>
      <c r="P101" s="16"/>
      <c r="Q101" s="16"/>
      <c r="R101" s="16"/>
      <c r="S101" s="37" t="str">
        <f>IFERROR(__xludf.DUMMYFUNCTION("if(not(iserror(index(split(C101, "" ""),2))), index(split(C101, "" ""),1),"""")"),"March")</f>
        <v>March</v>
      </c>
      <c r="T101" s="38">
        <f>IFERROR(__xludf.DUMMYFUNCTION("if(S101="""",C101,if(not(iserror(index(split(C101, "" ""),3))), index(split(C101, "" ""),3),index(split(C101, "" ""),2)))"),2017.0)</f>
        <v>2017</v>
      </c>
      <c r="U101" s="38" t="b">
        <f t="shared" si="11"/>
        <v>0</v>
      </c>
      <c r="V101" s="38" t="s">
        <v>33</v>
      </c>
      <c r="W101" s="39" t="s">
        <v>430</v>
      </c>
      <c r="X101" s="39" t="s">
        <v>431</v>
      </c>
      <c r="Y101" s="40"/>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row>
    <row r="102">
      <c r="A102" s="37" t="s">
        <v>40</v>
      </c>
      <c r="B102" s="30">
        <v>42823.0</v>
      </c>
      <c r="C102" s="30">
        <v>42822.0</v>
      </c>
      <c r="D102" s="32" t="s">
        <v>432</v>
      </c>
      <c r="E102" s="13" t="s">
        <v>31</v>
      </c>
      <c r="F102" s="13">
        <v>4.0</v>
      </c>
      <c r="G102" s="13" t="s">
        <v>32</v>
      </c>
      <c r="H102" s="33">
        <f t="shared" ref="H102:H108" si="15">if(G102="Unknown",1,G102)</f>
        <v>1</v>
      </c>
      <c r="I102" s="13" t="s">
        <v>33</v>
      </c>
      <c r="J102" s="13" t="s">
        <v>433</v>
      </c>
      <c r="K102" s="13" t="s">
        <v>32</v>
      </c>
      <c r="L102" s="13" t="s">
        <v>434</v>
      </c>
      <c r="M102" s="35" t="s">
        <v>435</v>
      </c>
      <c r="N102" s="15"/>
      <c r="O102" s="16"/>
      <c r="P102" s="16"/>
      <c r="Q102" s="16"/>
      <c r="R102" s="16"/>
      <c r="S102" s="37" t="str">
        <f>IFERROR(__xludf.DUMMYFUNCTION("if(not(iserror(index(split(C102, "" ""),2))), index(split(C102, "" ""),1),"""")"),"March")</f>
        <v>March</v>
      </c>
      <c r="T102" s="38">
        <f>IFERROR(__xludf.DUMMYFUNCTION("if(S102="""",C102,if(not(iserror(index(split(C102, "" ""),3))), index(split(C102, "" ""),3),index(split(C102, "" ""),2)))"),2017.0)</f>
        <v>2017</v>
      </c>
      <c r="U102" s="38" t="b">
        <f t="shared" si="11"/>
        <v>1</v>
      </c>
      <c r="V102" s="38"/>
      <c r="W102" s="40"/>
      <c r="X102" s="40"/>
      <c r="Y102" s="40"/>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row>
    <row r="103">
      <c r="A103" s="37" t="s">
        <v>436</v>
      </c>
      <c r="B103" s="30">
        <v>43237.0</v>
      </c>
      <c r="C103" s="30">
        <v>42823.0</v>
      </c>
      <c r="D103" s="32" t="s">
        <v>432</v>
      </c>
      <c r="E103" s="13" t="s">
        <v>31</v>
      </c>
      <c r="F103" s="13">
        <v>1.0</v>
      </c>
      <c r="G103" s="13" t="s">
        <v>32</v>
      </c>
      <c r="H103" s="33">
        <f t="shared" si="15"/>
        <v>1</v>
      </c>
      <c r="I103" s="13" t="s">
        <v>33</v>
      </c>
      <c r="J103" s="13" t="s">
        <v>42</v>
      </c>
      <c r="K103" s="13">
        <v>2.0</v>
      </c>
      <c r="L103" s="13" t="s">
        <v>76</v>
      </c>
      <c r="M103" s="35" t="s">
        <v>437</v>
      </c>
      <c r="N103" s="15"/>
      <c r="O103" s="16"/>
      <c r="P103" s="16"/>
      <c r="Q103" s="16"/>
      <c r="R103" s="16"/>
      <c r="S103" s="37" t="str">
        <f>IFERROR(__xludf.DUMMYFUNCTION("if(not(iserror(index(split(C103, "" ""),2))), index(split(C103, "" ""),1),"""")"),"March")</f>
        <v>March</v>
      </c>
      <c r="T103" s="38">
        <f>IFERROR(__xludf.DUMMYFUNCTION("if(S103="""",C103,if(not(iserror(index(split(C103, "" ""),3))), index(split(C103, "" ""),3),index(split(C103, "" ""),2)))"),2017.0)</f>
        <v>2017</v>
      </c>
      <c r="U103" s="38" t="b">
        <f t="shared" si="11"/>
        <v>0</v>
      </c>
      <c r="V103" s="38"/>
      <c r="W103" s="40"/>
      <c r="X103" s="40"/>
      <c r="Y103" s="40"/>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row>
    <row r="104">
      <c r="A104" s="37" t="s">
        <v>438</v>
      </c>
      <c r="B104" s="30">
        <v>42824.0</v>
      </c>
      <c r="C104" s="30">
        <v>42824.0</v>
      </c>
      <c r="D104" s="32" t="s">
        <v>439</v>
      </c>
      <c r="E104" s="13" t="s">
        <v>31</v>
      </c>
      <c r="F104" s="13">
        <v>3.0</v>
      </c>
      <c r="G104" s="13" t="s">
        <v>32</v>
      </c>
      <c r="H104" s="33">
        <f t="shared" si="15"/>
        <v>1</v>
      </c>
      <c r="I104" s="13" t="s">
        <v>33</v>
      </c>
      <c r="J104" s="13" t="s">
        <v>440</v>
      </c>
      <c r="K104" s="13">
        <v>1.0</v>
      </c>
      <c r="L104" s="13" t="s">
        <v>52</v>
      </c>
      <c r="M104" s="35" t="s">
        <v>441</v>
      </c>
      <c r="N104" s="15"/>
      <c r="O104" s="16"/>
      <c r="P104" s="16"/>
      <c r="Q104" s="16"/>
      <c r="R104" s="16"/>
      <c r="S104" s="37" t="str">
        <f>IFERROR(__xludf.DUMMYFUNCTION("if(not(iserror(index(split(C104, "" ""),2))), index(split(C104, "" ""),1),"""")"),"March")</f>
        <v>March</v>
      </c>
      <c r="T104" s="38">
        <f>IFERROR(__xludf.DUMMYFUNCTION("if(S104="""",C104,if(not(iserror(index(split(C104, "" ""),3))), index(split(C104, "" ""),3),index(split(C104, "" ""),2)))"),2017.0)</f>
        <v>2017</v>
      </c>
      <c r="U104" s="38" t="b">
        <f t="shared" si="11"/>
        <v>0</v>
      </c>
      <c r="V104" s="38"/>
      <c r="W104" s="40"/>
      <c r="X104" s="40"/>
      <c r="Y104" s="40"/>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row>
    <row r="105">
      <c r="A105" s="78" t="s">
        <v>442</v>
      </c>
      <c r="B105" s="30">
        <v>42825.0</v>
      </c>
      <c r="C105" s="30">
        <v>42824.0</v>
      </c>
      <c r="D105" s="32" t="s">
        <v>439</v>
      </c>
      <c r="E105" s="13" t="s">
        <v>41</v>
      </c>
      <c r="F105" s="13">
        <v>2.0</v>
      </c>
      <c r="G105" s="13" t="s">
        <v>32</v>
      </c>
      <c r="H105" s="33">
        <f t="shared" si="15"/>
        <v>1</v>
      </c>
      <c r="I105" s="13" t="s">
        <v>33</v>
      </c>
      <c r="J105" s="13" t="s">
        <v>279</v>
      </c>
      <c r="K105" s="13">
        <v>3.0</v>
      </c>
      <c r="L105" s="13" t="s">
        <v>52</v>
      </c>
      <c r="M105" s="35" t="s">
        <v>296</v>
      </c>
      <c r="N105" s="36" t="s">
        <v>294</v>
      </c>
      <c r="O105" s="57" t="str">
        <f>hyperlink("https://bad-boys.us/?q=WD-MO/2:18-cr-04097", "WD-MO 2:18-cr-04097")</f>
        <v>WD-MO 2:18-cr-04097</v>
      </c>
      <c r="P105" s="86" t="s">
        <v>443</v>
      </c>
      <c r="Q105" s="64">
        <v>1.0</v>
      </c>
      <c r="R105" s="16"/>
      <c r="S105" s="37" t="str">
        <f>IFERROR(__xludf.DUMMYFUNCTION("if(not(iserror(index(split(C105, "" ""),2))), index(split(C105, "" ""),1),"""")"),"March")</f>
        <v>March</v>
      </c>
      <c r="T105" s="38">
        <f>IFERROR(__xludf.DUMMYFUNCTION("if(S105="""",C105,if(not(iserror(index(split(C105, "" ""),3))), index(split(C105, "" ""),3),index(split(C105, "" ""),2)))"),2017.0)</f>
        <v>2017</v>
      </c>
      <c r="U105" s="38" t="b">
        <f t="shared" si="11"/>
        <v>0</v>
      </c>
      <c r="V105" s="38"/>
      <c r="W105" s="40"/>
      <c r="X105" s="40"/>
      <c r="Y105" s="40"/>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row>
    <row r="106">
      <c r="A106" s="58" t="s">
        <v>444</v>
      </c>
      <c r="B106" s="59">
        <v>43247.0</v>
      </c>
      <c r="C106" s="59">
        <v>42824.0</v>
      </c>
      <c r="D106" s="60" t="s">
        <v>439</v>
      </c>
      <c r="E106" s="58" t="s">
        <v>41</v>
      </c>
      <c r="F106" s="58">
        <v>1.0</v>
      </c>
      <c r="G106" s="58" t="s">
        <v>32</v>
      </c>
      <c r="H106" s="33">
        <f t="shared" si="15"/>
        <v>1</v>
      </c>
      <c r="I106" s="58" t="s">
        <v>33</v>
      </c>
      <c r="J106" s="58" t="s">
        <v>268</v>
      </c>
      <c r="K106" s="58">
        <v>1.0</v>
      </c>
      <c r="L106" s="58" t="s">
        <v>52</v>
      </c>
      <c r="M106" s="35" t="s">
        <v>445</v>
      </c>
      <c r="N106" s="77"/>
      <c r="O106" s="62"/>
      <c r="P106" s="62"/>
      <c r="Q106" s="62"/>
      <c r="R106" s="62"/>
      <c r="S106" s="37" t="str">
        <f>IFERROR(__xludf.DUMMYFUNCTION("if(not(iserror(index(split(C106, "" ""),2))), index(split(C106, "" ""),1),"""")"),"March")</f>
        <v>March</v>
      </c>
      <c r="T106" s="38">
        <f>IFERROR(__xludf.DUMMYFUNCTION("if(S106="""",C106,if(not(iserror(index(split(C106, "" ""),3))), index(split(C106, "" ""),3),index(split(C106, "" ""),2)))"),2017.0)</f>
        <v>2017</v>
      </c>
      <c r="U106" s="38" t="b">
        <f t="shared" si="11"/>
        <v>0</v>
      </c>
      <c r="V106" s="38"/>
      <c r="W106" s="40"/>
      <c r="X106" s="40"/>
      <c r="Y106" s="40"/>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row>
    <row r="107">
      <c r="A107" s="13" t="s">
        <v>446</v>
      </c>
      <c r="B107" s="30">
        <v>42839.0</v>
      </c>
      <c r="C107" s="30">
        <v>42825.0</v>
      </c>
      <c r="D107" s="32" t="s">
        <v>447</v>
      </c>
      <c r="E107" s="13" t="s">
        <v>41</v>
      </c>
      <c r="F107" s="13">
        <v>2.0</v>
      </c>
      <c r="G107" s="13">
        <v>1.0</v>
      </c>
      <c r="H107" s="33">
        <f t="shared" si="15"/>
        <v>1</v>
      </c>
      <c r="I107" s="13" t="s">
        <v>33</v>
      </c>
      <c r="J107" s="13" t="s">
        <v>448</v>
      </c>
      <c r="K107" s="13">
        <v>4.0</v>
      </c>
      <c r="L107" s="13" t="s">
        <v>35</v>
      </c>
      <c r="M107" s="35" t="s">
        <v>449</v>
      </c>
      <c r="N107" s="15"/>
      <c r="O107" s="16"/>
      <c r="P107" s="16"/>
      <c r="Q107" s="16"/>
      <c r="R107" s="16"/>
      <c r="S107" s="37" t="str">
        <f>IFERROR(__xludf.DUMMYFUNCTION("if(not(iserror(index(split(C107, "" ""),2))), index(split(C107, "" ""),1),"""")"),"March")</f>
        <v>March</v>
      </c>
      <c r="T107" s="38">
        <f>IFERROR(__xludf.DUMMYFUNCTION("if(S107="""",C107,if(not(iserror(index(split(C107, "" ""),3))), index(split(C107, "" ""),3),index(split(C107, "" ""),2)))"),2017.0)</f>
        <v>2017</v>
      </c>
      <c r="U107" s="38" t="b">
        <f t="shared" si="11"/>
        <v>0</v>
      </c>
      <c r="V107" s="38"/>
      <c r="W107" s="40"/>
      <c r="X107" s="40"/>
      <c r="Y107" s="40"/>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row>
    <row r="108">
      <c r="A108" s="13" t="s">
        <v>450</v>
      </c>
      <c r="B108" s="30">
        <v>42826.0</v>
      </c>
      <c r="C108" s="30">
        <v>42826.0</v>
      </c>
      <c r="D108" s="32" t="s">
        <v>451</v>
      </c>
      <c r="E108" s="13" t="s">
        <v>31</v>
      </c>
      <c r="F108" s="13">
        <v>1.0</v>
      </c>
      <c r="G108" s="13" t="s">
        <v>32</v>
      </c>
      <c r="H108" s="33">
        <f t="shared" si="15"/>
        <v>1</v>
      </c>
      <c r="I108" s="13" t="s">
        <v>33</v>
      </c>
      <c r="J108" s="13" t="s">
        <v>402</v>
      </c>
      <c r="K108" s="13" t="s">
        <v>32</v>
      </c>
      <c r="L108" s="13" t="s">
        <v>99</v>
      </c>
      <c r="M108" s="35" t="s">
        <v>452</v>
      </c>
      <c r="N108" s="15"/>
      <c r="O108" s="16"/>
      <c r="P108" s="16"/>
      <c r="Q108" s="16"/>
      <c r="R108" s="16"/>
      <c r="S108" s="37" t="str">
        <f>IFERROR(__xludf.DUMMYFUNCTION("if(not(iserror(index(split(C108, "" ""),2))), index(split(C108, "" ""),1),"""")"),"April")</f>
        <v>April</v>
      </c>
      <c r="T108" s="38">
        <f>IFERROR(__xludf.DUMMYFUNCTION("if(S108="""",C108,if(not(iserror(index(split(C108, "" ""),3))), index(split(C108, "" ""),3),index(split(C108, "" ""),2)))"),2017.0)</f>
        <v>2017</v>
      </c>
      <c r="U108" s="38" t="b">
        <f t="shared" si="11"/>
        <v>0</v>
      </c>
      <c r="V108" s="38"/>
      <c r="W108" s="40"/>
      <c r="X108" s="40"/>
      <c r="Y108" s="40"/>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row>
    <row r="109">
      <c r="A109" s="13" t="s">
        <v>453</v>
      </c>
      <c r="B109" s="30"/>
      <c r="C109" s="31">
        <v>42826.0</v>
      </c>
      <c r="D109" s="32"/>
      <c r="E109" s="13" t="s">
        <v>41</v>
      </c>
      <c r="F109" s="13">
        <v>1.0</v>
      </c>
      <c r="G109" s="13">
        <v>1.0</v>
      </c>
      <c r="H109" s="43">
        <v>1.0</v>
      </c>
      <c r="I109" s="13" t="s">
        <v>33</v>
      </c>
      <c r="J109" s="13" t="s">
        <v>124</v>
      </c>
      <c r="K109" s="13"/>
      <c r="L109" s="13" t="s">
        <v>35</v>
      </c>
      <c r="M109" s="35" t="s">
        <v>454</v>
      </c>
      <c r="N109" s="36" t="s">
        <v>455</v>
      </c>
      <c r="O109" s="57" t="str">
        <f>hyperlink("https://bad-boys.us/?q=SD-OH/1:18-cr-00019", "SD-OH 1:18-cr-00019")</f>
        <v>SD-OH 1:18-cr-00019</v>
      </c>
      <c r="P109" s="86" t="s">
        <v>456</v>
      </c>
      <c r="Q109" s="37">
        <v>1.0</v>
      </c>
      <c r="R109" s="16"/>
      <c r="S109" s="37" t="str">
        <f>IFERROR(__xludf.DUMMYFUNCTION("if(not(iserror(index(split(C109, "" ""),2))), index(split(C109, "" ""),1),"""")"),"April,")</f>
        <v>April,</v>
      </c>
      <c r="T109" s="38">
        <f>IFERROR(__xludf.DUMMYFUNCTION("if(S109="""",C109,if(not(iserror(index(split(C109, "" ""),3))), index(split(C109, "" ""),3),index(split(C109, "" ""),2)))"),2017.0)</f>
        <v>2017</v>
      </c>
      <c r="U109" s="38" t="b">
        <f t="shared" si="11"/>
        <v>0</v>
      </c>
      <c r="V109" s="38" t="s">
        <v>33</v>
      </c>
      <c r="W109" s="39" t="s">
        <v>457</v>
      </c>
      <c r="X109" s="39" t="s">
        <v>458</v>
      </c>
      <c r="Y109" s="40"/>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row>
    <row r="110">
      <c r="A110" s="13" t="s">
        <v>459</v>
      </c>
      <c r="B110" s="30"/>
      <c r="C110" s="31">
        <v>42826.0</v>
      </c>
      <c r="D110" s="32"/>
      <c r="E110" s="13" t="s">
        <v>41</v>
      </c>
      <c r="F110" s="13">
        <v>1.0</v>
      </c>
      <c r="G110" s="13" t="s">
        <v>32</v>
      </c>
      <c r="H110" s="43">
        <v>1.0</v>
      </c>
      <c r="I110" s="13" t="s">
        <v>33</v>
      </c>
      <c r="J110" s="13" t="s">
        <v>460</v>
      </c>
      <c r="K110" s="13"/>
      <c r="L110" s="13" t="s">
        <v>69</v>
      </c>
      <c r="M110" s="35" t="s">
        <v>461</v>
      </c>
      <c r="N110" s="14"/>
      <c r="O110" s="16"/>
      <c r="P110" s="16"/>
      <c r="Q110" s="37">
        <v>1.0</v>
      </c>
      <c r="R110" s="16"/>
      <c r="S110" s="37"/>
      <c r="T110" s="38"/>
      <c r="U110" s="38"/>
      <c r="V110" s="38" t="s">
        <v>33</v>
      </c>
      <c r="W110" s="40"/>
      <c r="X110" s="40"/>
      <c r="Y110" s="40"/>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row>
    <row r="111">
      <c r="A111" s="13" t="s">
        <v>462</v>
      </c>
      <c r="B111" s="30">
        <v>42848.0</v>
      </c>
      <c r="C111" s="31">
        <v>42826.0</v>
      </c>
      <c r="D111" s="32" t="s">
        <v>358</v>
      </c>
      <c r="E111" s="13" t="s">
        <v>31</v>
      </c>
      <c r="F111" s="13">
        <v>1.0</v>
      </c>
      <c r="G111" s="13" t="s">
        <v>32</v>
      </c>
      <c r="H111" s="33">
        <f>if(G111="Unknown",1,G111)</f>
        <v>1</v>
      </c>
      <c r="I111" s="13" t="s">
        <v>33</v>
      </c>
      <c r="J111" s="13" t="s">
        <v>172</v>
      </c>
      <c r="K111" s="13" t="s">
        <v>32</v>
      </c>
      <c r="L111" s="13" t="s">
        <v>349</v>
      </c>
      <c r="M111" s="35" t="s">
        <v>463</v>
      </c>
      <c r="N111" s="36" t="s">
        <v>464</v>
      </c>
      <c r="O111" s="16"/>
      <c r="P111" s="16"/>
      <c r="Q111" s="16"/>
      <c r="R111" s="16"/>
      <c r="S111" s="37" t="str">
        <f>IFERROR(__xludf.DUMMYFUNCTION("if(not(iserror(index(split(C111, "" ""),2))), index(split(C111, "" ""),1),"""")"),"April,")</f>
        <v>April,</v>
      </c>
      <c r="T111" s="38">
        <f>IFERROR(__xludf.DUMMYFUNCTION("if(S111="""",C111,if(not(iserror(index(split(C111, "" ""),3))), index(split(C111, "" ""),3),index(split(C111, "" ""),2)))"),2017.0)</f>
        <v>2017</v>
      </c>
      <c r="U111" s="38" t="b">
        <f t="shared" ref="U111:U174" si="16">countif(A$4:A4658, A111)&gt;1</f>
        <v>0</v>
      </c>
      <c r="V111" s="38" t="s">
        <v>33</v>
      </c>
      <c r="W111" s="39" t="s">
        <v>465</v>
      </c>
      <c r="X111" s="40"/>
      <c r="Y111" s="40"/>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row>
    <row r="112">
      <c r="A112" s="13" t="s">
        <v>466</v>
      </c>
      <c r="B112" s="30">
        <v>42848.0</v>
      </c>
      <c r="C112" s="31">
        <v>42826.0</v>
      </c>
      <c r="D112" s="32" t="s">
        <v>358</v>
      </c>
      <c r="E112" s="13" t="s">
        <v>31</v>
      </c>
      <c r="F112" s="13">
        <v>1.0</v>
      </c>
      <c r="G112" s="13" t="s">
        <v>32</v>
      </c>
      <c r="H112" s="33">
        <v>1.0</v>
      </c>
      <c r="I112" s="13" t="s">
        <v>33</v>
      </c>
      <c r="J112" s="13" t="s">
        <v>172</v>
      </c>
      <c r="K112" s="13" t="s">
        <v>32</v>
      </c>
      <c r="L112" s="13" t="s">
        <v>349</v>
      </c>
      <c r="M112" s="35" t="s">
        <v>463</v>
      </c>
      <c r="N112" s="36" t="s">
        <v>464</v>
      </c>
      <c r="O112" s="16"/>
      <c r="P112" s="16"/>
      <c r="Q112" s="16"/>
      <c r="R112" s="16"/>
      <c r="S112" s="37" t="s">
        <v>467</v>
      </c>
      <c r="T112" s="38">
        <v>2017.0</v>
      </c>
      <c r="U112" s="38" t="b">
        <f t="shared" si="16"/>
        <v>0</v>
      </c>
      <c r="V112" s="38" t="s">
        <v>33</v>
      </c>
      <c r="W112" s="39" t="s">
        <v>465</v>
      </c>
      <c r="X112" s="39" t="s">
        <v>468</v>
      </c>
      <c r="Y112" s="40"/>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row>
    <row r="113">
      <c r="A113" s="13" t="s">
        <v>469</v>
      </c>
      <c r="B113" s="92">
        <v>42848.0</v>
      </c>
      <c r="C113" s="98">
        <v>42826.0</v>
      </c>
      <c r="D113" s="93" t="s">
        <v>358</v>
      </c>
      <c r="E113" s="94" t="s">
        <v>31</v>
      </c>
      <c r="F113" s="13">
        <v>1.0</v>
      </c>
      <c r="G113" s="94" t="s">
        <v>32</v>
      </c>
      <c r="H113" s="33">
        <v>1.0</v>
      </c>
      <c r="I113" s="94" t="s">
        <v>33</v>
      </c>
      <c r="J113" s="94" t="s">
        <v>172</v>
      </c>
      <c r="K113" s="94" t="s">
        <v>32</v>
      </c>
      <c r="L113" s="94" t="s">
        <v>349</v>
      </c>
      <c r="M113" s="35" t="s">
        <v>463</v>
      </c>
      <c r="N113" s="36" t="s">
        <v>464</v>
      </c>
      <c r="O113" s="16"/>
      <c r="P113" s="16"/>
      <c r="Q113" s="16"/>
      <c r="R113" s="16"/>
      <c r="S113" s="91" t="s">
        <v>467</v>
      </c>
      <c r="T113" s="96">
        <v>2017.0</v>
      </c>
      <c r="U113" s="38" t="b">
        <f t="shared" si="16"/>
        <v>0</v>
      </c>
      <c r="V113" s="38" t="s">
        <v>33</v>
      </c>
      <c r="W113" s="39" t="s">
        <v>465</v>
      </c>
      <c r="X113" s="97"/>
      <c r="Y113" s="97"/>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row>
    <row r="114">
      <c r="A114" s="13" t="s">
        <v>470</v>
      </c>
      <c r="B114" s="30">
        <v>42849.0</v>
      </c>
      <c r="C114" s="31">
        <v>42826.0</v>
      </c>
      <c r="D114" s="32" t="s">
        <v>358</v>
      </c>
      <c r="E114" s="13" t="s">
        <v>31</v>
      </c>
      <c r="F114" s="13">
        <v>1.0</v>
      </c>
      <c r="G114" s="13" t="s">
        <v>32</v>
      </c>
      <c r="H114" s="33">
        <f t="shared" ref="H114:H131" si="17">if(G114="Unknown",1,G114)</f>
        <v>1</v>
      </c>
      <c r="I114" s="13" t="s">
        <v>33</v>
      </c>
      <c r="J114" s="13" t="s">
        <v>124</v>
      </c>
      <c r="K114" s="13">
        <v>1.0</v>
      </c>
      <c r="L114" s="13" t="s">
        <v>35</v>
      </c>
      <c r="M114" s="35" t="s">
        <v>471</v>
      </c>
      <c r="N114" s="15"/>
      <c r="O114" s="16"/>
      <c r="P114" s="16"/>
      <c r="Q114" s="16"/>
      <c r="R114" s="16"/>
      <c r="S114" s="37" t="str">
        <f>IFERROR(__xludf.DUMMYFUNCTION("if(not(iserror(index(split(C114, "" ""),2))), index(split(C114, "" ""),1),"""")"),"April,")</f>
        <v>April,</v>
      </c>
      <c r="T114" s="38">
        <f>IFERROR(__xludf.DUMMYFUNCTION("if(S114="""",C114,if(not(iserror(index(split(C114, "" ""),3))), index(split(C114, "" ""),3),index(split(C114, "" ""),2)))"),2017.0)</f>
        <v>2017</v>
      </c>
      <c r="U114" s="38" t="b">
        <f t="shared" si="16"/>
        <v>0</v>
      </c>
      <c r="V114" s="38"/>
      <c r="W114" s="40"/>
      <c r="X114" s="40"/>
      <c r="Y114" s="40"/>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row>
    <row r="115">
      <c r="A115" s="13" t="s">
        <v>472</v>
      </c>
      <c r="B115" s="30">
        <v>42957.0</v>
      </c>
      <c r="C115" s="31">
        <v>42826.0</v>
      </c>
      <c r="D115" s="32" t="s">
        <v>358</v>
      </c>
      <c r="E115" s="13" t="s">
        <v>41</v>
      </c>
      <c r="F115" s="13">
        <v>2.0</v>
      </c>
      <c r="G115" s="13" t="s">
        <v>32</v>
      </c>
      <c r="H115" s="33">
        <f t="shared" si="17"/>
        <v>1</v>
      </c>
      <c r="I115" s="13" t="s">
        <v>33</v>
      </c>
      <c r="J115" s="13" t="s">
        <v>179</v>
      </c>
      <c r="K115" s="13">
        <v>3.0</v>
      </c>
      <c r="L115" s="13" t="s">
        <v>133</v>
      </c>
      <c r="M115" s="35" t="s">
        <v>473</v>
      </c>
      <c r="N115" s="15"/>
      <c r="O115" s="16"/>
      <c r="P115" s="16"/>
      <c r="Q115" s="16"/>
      <c r="R115" s="16"/>
      <c r="S115" s="37" t="str">
        <f>IFERROR(__xludf.DUMMYFUNCTION("if(not(iserror(index(split(C115, "" ""),2))), index(split(C115, "" ""),1),"""")"),"April,")</f>
        <v>April,</v>
      </c>
      <c r="T115" s="38">
        <f>IFERROR(__xludf.DUMMYFUNCTION("if(S115="""",C115,if(not(iserror(index(split(C115, "" ""),3))), index(split(C115, "" ""),3),index(split(C115, "" ""),2)))"),2017.0)</f>
        <v>2017</v>
      </c>
      <c r="U115" s="38" t="b">
        <f t="shared" si="16"/>
        <v>0</v>
      </c>
      <c r="V115" s="38"/>
      <c r="W115" s="40"/>
      <c r="X115" s="40"/>
      <c r="Y115" s="40"/>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row>
    <row r="116">
      <c r="A116" s="37" t="s">
        <v>474</v>
      </c>
      <c r="B116" s="30">
        <v>43139.0</v>
      </c>
      <c r="C116" s="31">
        <v>42826.0</v>
      </c>
      <c r="D116" s="32" t="s">
        <v>358</v>
      </c>
      <c r="E116" s="13" t="s">
        <v>41</v>
      </c>
      <c r="F116" s="13">
        <v>1.0</v>
      </c>
      <c r="G116" s="13">
        <v>3.0</v>
      </c>
      <c r="H116" s="33">
        <f t="shared" si="17"/>
        <v>3</v>
      </c>
      <c r="I116" s="13" t="s">
        <v>33</v>
      </c>
      <c r="J116" s="13" t="s">
        <v>147</v>
      </c>
      <c r="K116" s="13">
        <v>2.0</v>
      </c>
      <c r="L116" s="13" t="s">
        <v>194</v>
      </c>
      <c r="M116" s="35" t="s">
        <v>475</v>
      </c>
      <c r="N116" s="15"/>
      <c r="O116" s="37"/>
      <c r="P116" s="37"/>
      <c r="Q116" s="64"/>
      <c r="R116" s="16"/>
      <c r="S116" s="37" t="str">
        <f>IFERROR(__xludf.DUMMYFUNCTION("if(not(iserror(index(split(C116, "" ""),2))), index(split(C116, "" ""),1),"""")"),"April,")</f>
        <v>April,</v>
      </c>
      <c r="T116" s="38">
        <f>IFERROR(__xludf.DUMMYFUNCTION("if(S116="""",C116,if(not(iserror(index(split(C116, "" ""),3))), index(split(C116, "" ""),3),index(split(C116, "" ""),2)))"),2017.0)</f>
        <v>2017</v>
      </c>
      <c r="U116" s="38" t="b">
        <f t="shared" si="16"/>
        <v>0</v>
      </c>
      <c r="V116" s="38"/>
      <c r="W116" s="40"/>
      <c r="X116" s="40"/>
      <c r="Y116" s="40"/>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row>
    <row r="117">
      <c r="A117" s="13" t="s">
        <v>476</v>
      </c>
      <c r="B117" s="30">
        <v>43159.0</v>
      </c>
      <c r="C117" s="31">
        <v>42826.0</v>
      </c>
      <c r="D117" s="32" t="s">
        <v>358</v>
      </c>
      <c r="E117" s="13" t="s">
        <v>41</v>
      </c>
      <c r="F117" s="13">
        <v>1.0</v>
      </c>
      <c r="G117" s="13" t="s">
        <v>32</v>
      </c>
      <c r="H117" s="33">
        <f t="shared" si="17"/>
        <v>1</v>
      </c>
      <c r="I117" s="13" t="s">
        <v>33</v>
      </c>
      <c r="J117" s="13" t="s">
        <v>147</v>
      </c>
      <c r="K117" s="13">
        <v>1.0</v>
      </c>
      <c r="L117" s="13" t="s">
        <v>477</v>
      </c>
      <c r="M117" s="35" t="s">
        <v>478</v>
      </c>
      <c r="N117" s="15"/>
      <c r="O117" s="37"/>
      <c r="P117" s="37"/>
      <c r="Q117" s="64"/>
      <c r="R117" s="16"/>
      <c r="S117" s="37" t="str">
        <f>IFERROR(__xludf.DUMMYFUNCTION("if(not(iserror(index(split(C117, "" ""),2))), index(split(C117, "" ""),1),"""")"),"April,")</f>
        <v>April,</v>
      </c>
      <c r="T117" s="38">
        <f>IFERROR(__xludf.DUMMYFUNCTION("if(S117="""",C117,if(not(iserror(index(split(C117, "" ""),3))), index(split(C117, "" ""),3),index(split(C117, "" ""),2)))"),2017.0)</f>
        <v>2017</v>
      </c>
      <c r="U117" s="38" t="b">
        <f t="shared" si="16"/>
        <v>0</v>
      </c>
      <c r="V117" s="38"/>
      <c r="W117" s="40"/>
      <c r="X117" s="40"/>
      <c r="Y117" s="40"/>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row>
    <row r="118">
      <c r="A118" s="13" t="s">
        <v>479</v>
      </c>
      <c r="B118" s="30">
        <v>43163.0</v>
      </c>
      <c r="C118" s="31">
        <v>42826.0</v>
      </c>
      <c r="D118" s="32" t="s">
        <v>358</v>
      </c>
      <c r="E118" s="13" t="s">
        <v>31</v>
      </c>
      <c r="F118" s="13">
        <v>1.0</v>
      </c>
      <c r="G118" s="13" t="s">
        <v>32</v>
      </c>
      <c r="H118" s="33">
        <f t="shared" si="17"/>
        <v>1</v>
      </c>
      <c r="I118" s="13" t="s">
        <v>480</v>
      </c>
      <c r="J118" s="13" t="s">
        <v>241</v>
      </c>
      <c r="K118" s="13">
        <v>3.0</v>
      </c>
      <c r="L118" s="13" t="s">
        <v>481</v>
      </c>
      <c r="M118" s="35" t="s">
        <v>482</v>
      </c>
      <c r="N118" s="15"/>
      <c r="O118" s="37"/>
      <c r="P118" s="16"/>
      <c r="Q118" s="64"/>
      <c r="R118" s="16"/>
      <c r="S118" s="37" t="str">
        <f>IFERROR(__xludf.DUMMYFUNCTION("if(not(iserror(index(split(C118, "" ""),2))), index(split(C118, "" ""),1),"""")"),"April,")</f>
        <v>April,</v>
      </c>
      <c r="T118" s="38">
        <f>IFERROR(__xludf.DUMMYFUNCTION("if(S118="""",C118,if(not(iserror(index(split(C118, "" ""),3))), index(split(C118, "" ""),3),index(split(C118, "" ""),2)))"),2017.0)</f>
        <v>2017</v>
      </c>
      <c r="U118" s="38" t="b">
        <f t="shared" si="16"/>
        <v>0</v>
      </c>
      <c r="V118" s="38"/>
      <c r="W118" s="40"/>
      <c r="X118" s="40"/>
      <c r="Y118" s="40"/>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row>
    <row r="119">
      <c r="A119" s="13" t="s">
        <v>40</v>
      </c>
      <c r="B119" s="30">
        <v>43194.0</v>
      </c>
      <c r="C119" s="31">
        <v>42826.0</v>
      </c>
      <c r="D119" s="32" t="s">
        <v>483</v>
      </c>
      <c r="E119" s="13" t="s">
        <v>41</v>
      </c>
      <c r="F119" s="13">
        <v>8.0</v>
      </c>
      <c r="G119" s="13" t="s">
        <v>484</v>
      </c>
      <c r="H119" s="33" t="str">
        <f t="shared" si="17"/>
        <v>Unkown</v>
      </c>
      <c r="I119" s="13" t="s">
        <v>33</v>
      </c>
      <c r="J119" s="13" t="s">
        <v>55</v>
      </c>
      <c r="K119" s="13" t="s">
        <v>40</v>
      </c>
      <c r="L119" s="13" t="s">
        <v>485</v>
      </c>
      <c r="M119" s="35" t="s">
        <v>486</v>
      </c>
      <c r="N119" s="15"/>
      <c r="O119" s="86" t="str">
        <f>hyperlink("https://bad-boys.us/?q=D-NJ/1:18-cr-00171", "D-NJ 1:18-cr-00171 ❔")</f>
        <v>D-NJ 1:18-cr-00171 ❔</v>
      </c>
      <c r="P119" s="37"/>
      <c r="Q119" s="64">
        <v>1.0</v>
      </c>
      <c r="R119" s="16"/>
      <c r="S119" s="37" t="str">
        <f>IFERROR(__xludf.DUMMYFUNCTION("if(not(iserror(index(split(C119, "" ""),2))), index(split(C119, "" ""),1),"""")"),"April,")</f>
        <v>April,</v>
      </c>
      <c r="T119" s="38">
        <f>IFERROR(__xludf.DUMMYFUNCTION("if(S119="""",C119,if(not(iserror(index(split(C119, "" ""),3))), index(split(C119, "" ""),3),index(split(C119, "" ""),2)))"),2017.0)</f>
        <v>2017</v>
      </c>
      <c r="U119" s="38" t="b">
        <f t="shared" si="16"/>
        <v>1</v>
      </c>
      <c r="V119" s="38"/>
      <c r="W119" s="40"/>
      <c r="X119" s="40"/>
      <c r="Y119" s="40"/>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row>
    <row r="120">
      <c r="A120" s="34" t="s">
        <v>487</v>
      </c>
      <c r="B120" s="73">
        <v>43202.0</v>
      </c>
      <c r="C120" s="74">
        <v>42826.0</v>
      </c>
      <c r="D120" s="75" t="s">
        <v>358</v>
      </c>
      <c r="E120" s="34" t="s">
        <v>41</v>
      </c>
      <c r="F120" s="34">
        <v>1.0</v>
      </c>
      <c r="G120" s="34" t="s">
        <v>32</v>
      </c>
      <c r="H120" s="33">
        <f t="shared" si="17"/>
        <v>1</v>
      </c>
      <c r="I120" s="34" t="s">
        <v>33</v>
      </c>
      <c r="J120" s="34" t="s">
        <v>147</v>
      </c>
      <c r="K120" s="34">
        <v>1.0</v>
      </c>
      <c r="L120" s="34" t="s">
        <v>488</v>
      </c>
      <c r="M120" s="76" t="s">
        <v>489</v>
      </c>
      <c r="N120" s="77"/>
      <c r="O120" s="58"/>
      <c r="P120" s="58"/>
      <c r="Q120" s="84"/>
      <c r="R120" s="62"/>
      <c r="S120" s="37" t="str">
        <f>IFERROR(__xludf.DUMMYFUNCTION("if(not(iserror(index(split(C120, "" ""),2))), index(split(C120, "" ""),1),"""")"),"April,")</f>
        <v>April,</v>
      </c>
      <c r="T120" s="38">
        <f>IFERROR(__xludf.DUMMYFUNCTION("if(S120="""",C120,if(not(iserror(index(split(C120, "" ""),3))), index(split(C120, "" ""),3),index(split(C120, "" ""),2)))"),2017.0)</f>
        <v>2017</v>
      </c>
      <c r="U120" s="38" t="b">
        <f t="shared" si="16"/>
        <v>0</v>
      </c>
      <c r="V120" s="38"/>
      <c r="W120" s="40"/>
      <c r="X120" s="40"/>
      <c r="Y120" s="40"/>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row>
    <row r="121">
      <c r="A121" s="37" t="s">
        <v>490</v>
      </c>
      <c r="B121" s="99">
        <v>43217.0</v>
      </c>
      <c r="C121" s="100">
        <v>42826.0</v>
      </c>
      <c r="D121" s="101">
        <v>42826.0</v>
      </c>
      <c r="E121" s="37" t="s">
        <v>41</v>
      </c>
      <c r="F121" s="37">
        <v>1.0</v>
      </c>
      <c r="G121" s="37" t="s">
        <v>32</v>
      </c>
      <c r="H121" s="33">
        <f t="shared" si="17"/>
        <v>1</v>
      </c>
      <c r="I121" s="37" t="s">
        <v>33</v>
      </c>
      <c r="J121" s="37" t="s">
        <v>47</v>
      </c>
      <c r="K121" s="37">
        <v>2.0</v>
      </c>
      <c r="L121" s="37" t="s">
        <v>491</v>
      </c>
      <c r="M121" s="36" t="s">
        <v>492</v>
      </c>
      <c r="N121" s="102"/>
      <c r="O121" s="78"/>
      <c r="Q121" s="64"/>
      <c r="S121" s="37" t="str">
        <f>IFERROR(__xludf.DUMMYFUNCTION("if(not(iserror(index(split(C121, "" ""),2))), index(split(C121, "" ""),1),"""")"),"April,")</f>
        <v>April,</v>
      </c>
      <c r="T121" s="38">
        <f>IFERROR(__xludf.DUMMYFUNCTION("if(S121="""",C121,if(not(iserror(index(split(C121, "" ""),3))), index(split(C121, "" ""),3),index(split(C121, "" ""),2)))"),2017.0)</f>
        <v>2017</v>
      </c>
      <c r="U121" s="38" t="b">
        <f t="shared" si="16"/>
        <v>0</v>
      </c>
      <c r="V121" s="38"/>
      <c r="W121" s="40"/>
      <c r="X121" s="40"/>
      <c r="Y121" s="40"/>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row>
    <row r="122">
      <c r="A122" s="37" t="s">
        <v>493</v>
      </c>
      <c r="B122" s="30">
        <v>43223.0</v>
      </c>
      <c r="C122" s="31">
        <v>42826.0</v>
      </c>
      <c r="D122" s="32" t="s">
        <v>358</v>
      </c>
      <c r="E122" s="13" t="s">
        <v>31</v>
      </c>
      <c r="F122" s="13">
        <v>1.0</v>
      </c>
      <c r="G122" s="13" t="s">
        <v>32</v>
      </c>
      <c r="H122" s="33">
        <f t="shared" si="17"/>
        <v>1</v>
      </c>
      <c r="I122" s="13" t="s">
        <v>33</v>
      </c>
      <c r="J122" s="13" t="s">
        <v>279</v>
      </c>
      <c r="K122" s="13">
        <v>2.0</v>
      </c>
      <c r="L122" s="13" t="s">
        <v>494</v>
      </c>
      <c r="M122" s="35" t="s">
        <v>495</v>
      </c>
      <c r="N122" s="36" t="s">
        <v>496</v>
      </c>
      <c r="O122" s="37"/>
      <c r="P122" s="37"/>
      <c r="Q122" s="37"/>
      <c r="R122" s="16"/>
      <c r="S122" s="37" t="str">
        <f>IFERROR(__xludf.DUMMYFUNCTION("if(not(iserror(index(split(C122, "" ""),2))), index(split(C122, "" ""),1),"""")"),"April,")</f>
        <v>April,</v>
      </c>
      <c r="T122" s="38">
        <f>IFERROR(__xludf.DUMMYFUNCTION("if(S122="""",C122,if(not(iserror(index(split(C122, "" ""),3))), index(split(C122, "" ""),3),index(split(C122, "" ""),2)))"),2017.0)</f>
        <v>2017</v>
      </c>
      <c r="U122" s="38" t="b">
        <f t="shared" si="16"/>
        <v>0</v>
      </c>
      <c r="V122" s="38"/>
      <c r="W122" s="40"/>
      <c r="X122" s="40"/>
      <c r="Y122" s="40"/>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row>
    <row r="123">
      <c r="A123" s="58" t="s">
        <v>497</v>
      </c>
      <c r="B123" s="59">
        <v>43227.0</v>
      </c>
      <c r="C123" s="79">
        <v>42826.0</v>
      </c>
      <c r="D123" s="60" t="s">
        <v>358</v>
      </c>
      <c r="E123" s="58" t="s">
        <v>41</v>
      </c>
      <c r="F123" s="58">
        <v>1.0</v>
      </c>
      <c r="G123" s="58" t="s">
        <v>32</v>
      </c>
      <c r="H123" s="33">
        <f t="shared" si="17"/>
        <v>1</v>
      </c>
      <c r="I123" s="58" t="s">
        <v>33</v>
      </c>
      <c r="J123" s="58" t="s">
        <v>55</v>
      </c>
      <c r="K123" s="58">
        <v>2.0</v>
      </c>
      <c r="L123" s="58" t="s">
        <v>498</v>
      </c>
      <c r="M123" s="61" t="s">
        <v>499</v>
      </c>
      <c r="N123" s="77"/>
      <c r="O123" s="83" t="str">
        <f>hyperlink("https://bad-boys.us/?q=D-NJ/1:17-cr-00473", "D-NJ 1:17-cr-00473")</f>
        <v>D-NJ 1:17-cr-00473</v>
      </c>
      <c r="P123" s="62"/>
      <c r="Q123" s="84">
        <v>1.0</v>
      </c>
      <c r="R123" s="62"/>
      <c r="S123" s="37" t="str">
        <f>IFERROR(__xludf.DUMMYFUNCTION("if(not(iserror(index(split(C123, "" ""),2))), index(split(C123, "" ""),1),"""")"),"April,")</f>
        <v>April,</v>
      </c>
      <c r="T123" s="38">
        <f>IFERROR(__xludf.DUMMYFUNCTION("if(S123="""",C123,if(not(iserror(index(split(C123, "" ""),3))), index(split(C123, "" ""),3),index(split(C123, "" ""),2)))"),2017.0)</f>
        <v>2017</v>
      </c>
      <c r="U123" s="38" t="b">
        <f t="shared" si="16"/>
        <v>0</v>
      </c>
      <c r="V123" s="38"/>
      <c r="W123" s="40"/>
      <c r="X123" s="40"/>
      <c r="Y123" s="40"/>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row>
    <row r="124">
      <c r="A124" s="58" t="s">
        <v>500</v>
      </c>
      <c r="B124" s="59">
        <v>43230.0</v>
      </c>
      <c r="C124" s="79">
        <v>42826.0</v>
      </c>
      <c r="D124" s="60" t="s">
        <v>358</v>
      </c>
      <c r="E124" s="58" t="s">
        <v>41</v>
      </c>
      <c r="F124" s="58">
        <v>1.0</v>
      </c>
      <c r="G124" s="58" t="s">
        <v>32</v>
      </c>
      <c r="H124" s="33">
        <f t="shared" si="17"/>
        <v>1</v>
      </c>
      <c r="I124" s="58" t="s">
        <v>33</v>
      </c>
      <c r="J124" s="58" t="s">
        <v>115</v>
      </c>
      <c r="K124" s="58">
        <v>3.0</v>
      </c>
      <c r="L124" s="58" t="s">
        <v>501</v>
      </c>
      <c r="M124" s="61" t="s">
        <v>502</v>
      </c>
      <c r="N124" s="77"/>
      <c r="O124" s="58"/>
      <c r="P124" s="62"/>
      <c r="Q124" s="84"/>
      <c r="R124" s="62"/>
      <c r="S124" s="37" t="str">
        <f>IFERROR(__xludf.DUMMYFUNCTION("if(not(iserror(index(split(C124, "" ""),2))), index(split(C124, "" ""),1),"""")"),"April,")</f>
        <v>April,</v>
      </c>
      <c r="T124" s="38">
        <f>IFERROR(__xludf.DUMMYFUNCTION("if(S124="""",C124,if(not(iserror(index(split(C124, "" ""),3))), index(split(C124, "" ""),3),index(split(C124, "" ""),2)))"),2017.0)</f>
        <v>2017</v>
      </c>
      <c r="U124" s="38" t="b">
        <f t="shared" si="16"/>
        <v>0</v>
      </c>
      <c r="V124" s="38"/>
      <c r="W124" s="40"/>
      <c r="X124" s="40"/>
      <c r="Y124" s="40"/>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row>
    <row r="125">
      <c r="A125" s="58" t="s">
        <v>503</v>
      </c>
      <c r="B125" s="59">
        <v>43251.0</v>
      </c>
      <c r="C125" s="79">
        <v>42826.0</v>
      </c>
      <c r="D125" s="60" t="s">
        <v>358</v>
      </c>
      <c r="E125" s="58" t="s">
        <v>41</v>
      </c>
      <c r="F125" s="58">
        <v>1.0</v>
      </c>
      <c r="G125" s="58" t="s">
        <v>32</v>
      </c>
      <c r="H125" s="33">
        <f t="shared" si="17"/>
        <v>1</v>
      </c>
      <c r="I125" s="58" t="s">
        <v>33</v>
      </c>
      <c r="J125" s="58" t="s">
        <v>504</v>
      </c>
      <c r="K125" s="58" t="s">
        <v>32</v>
      </c>
      <c r="L125" s="58" t="s">
        <v>349</v>
      </c>
      <c r="M125" s="35" t="s">
        <v>505</v>
      </c>
      <c r="N125" s="77"/>
      <c r="O125" s="58"/>
      <c r="P125" s="58"/>
      <c r="Q125" s="84"/>
      <c r="R125" s="62"/>
      <c r="S125" s="37" t="str">
        <f>IFERROR(__xludf.DUMMYFUNCTION("if(not(iserror(index(split(C125, "" ""),2))), index(split(C125, "" ""),1),"""")"),"April,")</f>
        <v>April,</v>
      </c>
      <c r="T125" s="38">
        <f>IFERROR(__xludf.DUMMYFUNCTION("if(S125="""",C125,if(not(iserror(index(split(C125, "" ""),3))), index(split(C125, "" ""),3),index(split(C125, "" ""),2)))"),2017.0)</f>
        <v>2017</v>
      </c>
      <c r="U125" s="38" t="b">
        <f t="shared" si="16"/>
        <v>0</v>
      </c>
      <c r="V125" s="38"/>
      <c r="W125" s="40"/>
      <c r="X125" s="40"/>
      <c r="Y125" s="40"/>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row>
    <row r="126">
      <c r="A126" s="78" t="s">
        <v>506</v>
      </c>
      <c r="B126" s="59">
        <v>43270.0</v>
      </c>
      <c r="C126" s="79">
        <v>42826.0</v>
      </c>
      <c r="D126" s="60" t="s">
        <v>507</v>
      </c>
      <c r="E126" s="58" t="s">
        <v>31</v>
      </c>
      <c r="F126" s="58">
        <v>2.0</v>
      </c>
      <c r="G126" s="58" t="s">
        <v>32</v>
      </c>
      <c r="H126" s="33">
        <f t="shared" si="17"/>
        <v>1</v>
      </c>
      <c r="I126" s="58" t="s">
        <v>33</v>
      </c>
      <c r="J126" s="58" t="s">
        <v>147</v>
      </c>
      <c r="K126" s="58" t="s">
        <v>32</v>
      </c>
      <c r="L126" s="58" t="s">
        <v>52</v>
      </c>
      <c r="M126" s="61" t="s">
        <v>508</v>
      </c>
      <c r="N126" s="77"/>
      <c r="O126" s="62"/>
      <c r="P126" s="62"/>
      <c r="Q126" s="62"/>
      <c r="R126" s="62"/>
      <c r="S126" s="37" t="str">
        <f>IFERROR(__xludf.DUMMYFUNCTION("if(not(iserror(index(split(C126, "" ""),2))), index(split(C126, "" ""),1),"""")"),"April,")</f>
        <v>April,</v>
      </c>
      <c r="T126" s="38">
        <f>IFERROR(__xludf.DUMMYFUNCTION("if(S126="""",C126,if(not(iserror(index(split(C126, "" ""),3))), index(split(C126, "" ""),3),index(split(C126, "" ""),2)))"),2017.0)</f>
        <v>2017</v>
      </c>
      <c r="U126" s="38" t="b">
        <f t="shared" si="16"/>
        <v>0</v>
      </c>
      <c r="V126" s="38"/>
      <c r="W126" s="40"/>
      <c r="X126" s="40"/>
      <c r="Y126" s="40"/>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row>
    <row r="127">
      <c r="A127" s="58" t="s">
        <v>509</v>
      </c>
      <c r="B127" s="59">
        <v>43271.0</v>
      </c>
      <c r="C127" s="79">
        <v>42826.0</v>
      </c>
      <c r="D127" s="60" t="s">
        <v>358</v>
      </c>
      <c r="E127" s="58" t="s">
        <v>41</v>
      </c>
      <c r="F127" s="58">
        <v>1.0</v>
      </c>
      <c r="G127" s="58" t="s">
        <v>32</v>
      </c>
      <c r="H127" s="33">
        <f t="shared" si="17"/>
        <v>1</v>
      </c>
      <c r="I127" s="58" t="s">
        <v>33</v>
      </c>
      <c r="J127" s="58" t="s">
        <v>402</v>
      </c>
      <c r="K127" s="58">
        <v>1.0</v>
      </c>
      <c r="L127" s="58" t="s">
        <v>35</v>
      </c>
      <c r="M127" s="61" t="s">
        <v>510</v>
      </c>
      <c r="N127" s="77"/>
      <c r="O127" s="62"/>
      <c r="P127" s="62"/>
      <c r="Q127" s="62"/>
      <c r="R127" s="62"/>
      <c r="S127" s="37" t="str">
        <f>IFERROR(__xludf.DUMMYFUNCTION("if(not(iserror(index(split(C127, "" ""),2))), index(split(C127, "" ""),1),"""")"),"April,")</f>
        <v>April,</v>
      </c>
      <c r="T127" s="38">
        <f>IFERROR(__xludf.DUMMYFUNCTION("if(S127="""",C127,if(not(iserror(index(split(C127, "" ""),3))), index(split(C127, "" ""),3),index(split(C127, "" ""),2)))"),2017.0)</f>
        <v>2017</v>
      </c>
      <c r="U127" s="38" t="b">
        <f t="shared" si="16"/>
        <v>0</v>
      </c>
      <c r="V127" s="38"/>
      <c r="W127" s="40"/>
      <c r="X127" s="40"/>
      <c r="Y127" s="40"/>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row>
    <row r="128">
      <c r="A128" s="58" t="s">
        <v>511</v>
      </c>
      <c r="B128" s="59">
        <v>43291.0</v>
      </c>
      <c r="C128" s="79">
        <v>42826.0</v>
      </c>
      <c r="D128" s="60" t="s">
        <v>358</v>
      </c>
      <c r="E128" s="58" t="s">
        <v>41</v>
      </c>
      <c r="F128" s="58">
        <v>1.0</v>
      </c>
      <c r="G128" s="58" t="s">
        <v>32</v>
      </c>
      <c r="H128" s="33">
        <f t="shared" si="17"/>
        <v>1</v>
      </c>
      <c r="I128" s="58" t="s">
        <v>33</v>
      </c>
      <c r="J128" s="58" t="s">
        <v>193</v>
      </c>
      <c r="K128" s="58">
        <v>2.0</v>
      </c>
      <c r="L128" s="58" t="s">
        <v>69</v>
      </c>
      <c r="M128" s="61" t="s">
        <v>512</v>
      </c>
      <c r="N128" s="77"/>
      <c r="O128" s="58"/>
      <c r="P128" s="58"/>
      <c r="Q128" s="84"/>
      <c r="R128" s="62"/>
      <c r="S128" s="37" t="str">
        <f>IFERROR(__xludf.DUMMYFUNCTION("if(not(iserror(index(split(C128, "" ""),2))), index(split(C128, "" ""),1),"""")"),"April,")</f>
        <v>April,</v>
      </c>
      <c r="T128" s="38">
        <f>IFERROR(__xludf.DUMMYFUNCTION("if(S128="""",C128,if(not(iserror(index(split(C128, "" ""),3))), index(split(C128, "" ""),3),index(split(C128, "" ""),2)))"),2017.0)</f>
        <v>2017</v>
      </c>
      <c r="U128" s="38" t="b">
        <f t="shared" si="16"/>
        <v>0</v>
      </c>
      <c r="V128" s="38"/>
      <c r="W128" s="40"/>
      <c r="X128" s="40"/>
      <c r="Y128" s="40"/>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row>
    <row r="129">
      <c r="A129" s="58" t="s">
        <v>513</v>
      </c>
      <c r="B129" s="59">
        <v>43377.0</v>
      </c>
      <c r="C129" s="79">
        <v>42826.0</v>
      </c>
      <c r="D129" s="60" t="s">
        <v>358</v>
      </c>
      <c r="E129" s="58" t="s">
        <v>41</v>
      </c>
      <c r="F129" s="58">
        <v>1.0</v>
      </c>
      <c r="G129" s="58" t="s">
        <v>32</v>
      </c>
      <c r="H129" s="33">
        <f t="shared" si="17"/>
        <v>1</v>
      </c>
      <c r="I129" s="58" t="s">
        <v>33</v>
      </c>
      <c r="J129" s="58" t="s">
        <v>514</v>
      </c>
      <c r="K129" s="58">
        <v>1.0</v>
      </c>
      <c r="L129" s="58" t="s">
        <v>99</v>
      </c>
      <c r="M129" s="61" t="s">
        <v>515</v>
      </c>
      <c r="N129" s="77"/>
      <c r="O129" s="83" t="str">
        <f>hyperlink("https://bad-boys.us/?q=WD-AR/5:18-cr-50041", "WD-AR 5:18-cr-50041")</f>
        <v>WD-AR 5:18-cr-50041</v>
      </c>
      <c r="P129" s="88" t="s">
        <v>516</v>
      </c>
      <c r="Q129" s="84">
        <v>1.0</v>
      </c>
      <c r="R129" s="62"/>
      <c r="S129" s="37" t="str">
        <f>IFERROR(__xludf.DUMMYFUNCTION("if(not(iserror(index(split(C129, "" ""),2))), index(split(C129, "" ""),1),"""")"),"April,")</f>
        <v>April,</v>
      </c>
      <c r="T129" s="38">
        <f>IFERROR(__xludf.DUMMYFUNCTION("if(S129="""",C129,if(not(iserror(index(split(C129, "" ""),3))), index(split(C129, "" ""),3),index(split(C129, "" ""),2)))"),2017.0)</f>
        <v>2017</v>
      </c>
      <c r="U129" s="38" t="b">
        <f t="shared" si="16"/>
        <v>0</v>
      </c>
      <c r="V129" s="38"/>
      <c r="W129" s="40"/>
      <c r="X129" s="40"/>
      <c r="Y129" s="40"/>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row>
    <row r="130">
      <c r="A130" s="58" t="s">
        <v>517</v>
      </c>
      <c r="B130" s="59">
        <v>43383.0</v>
      </c>
      <c r="C130" s="79">
        <v>42826.0</v>
      </c>
      <c r="D130" s="60" t="s">
        <v>358</v>
      </c>
      <c r="E130" s="58" t="s">
        <v>41</v>
      </c>
      <c r="F130" s="58">
        <v>2.0</v>
      </c>
      <c r="G130" s="58" t="s">
        <v>32</v>
      </c>
      <c r="H130" s="33">
        <f t="shared" si="17"/>
        <v>1</v>
      </c>
      <c r="I130" s="58" t="s">
        <v>33</v>
      </c>
      <c r="J130" s="58" t="s">
        <v>111</v>
      </c>
      <c r="K130" s="58" t="s">
        <v>32</v>
      </c>
      <c r="L130" s="58" t="s">
        <v>76</v>
      </c>
      <c r="M130" s="61" t="s">
        <v>518</v>
      </c>
      <c r="N130" s="61" t="s">
        <v>519</v>
      </c>
      <c r="O130" s="62"/>
      <c r="P130" s="62"/>
      <c r="Q130" s="62"/>
      <c r="R130" s="62"/>
      <c r="S130" s="37" t="str">
        <f>IFERROR(__xludf.DUMMYFUNCTION("if(not(iserror(index(split(C130, "" ""),2))), index(split(C130, "" ""),1),"""")"),"April,")</f>
        <v>April,</v>
      </c>
      <c r="T130" s="38">
        <f>IFERROR(__xludf.DUMMYFUNCTION("if(S130="""",C130,if(not(iserror(index(split(C130, "" ""),3))), index(split(C130, "" ""),3),index(split(C130, "" ""),2)))"),2017.0)</f>
        <v>2017</v>
      </c>
      <c r="U130" s="38" t="b">
        <f t="shared" si="16"/>
        <v>0</v>
      </c>
      <c r="V130" s="38"/>
      <c r="W130" s="40"/>
      <c r="X130" s="40"/>
      <c r="Y130" s="40"/>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row>
    <row r="131">
      <c r="A131" s="13" t="s">
        <v>520</v>
      </c>
      <c r="B131" s="30">
        <v>43154.0</v>
      </c>
      <c r="C131" s="30">
        <v>42827.0</v>
      </c>
      <c r="D131" s="32" t="s">
        <v>521</v>
      </c>
      <c r="E131" s="13" t="s">
        <v>41</v>
      </c>
      <c r="F131" s="13">
        <v>1.0</v>
      </c>
      <c r="G131" s="13" t="s">
        <v>32</v>
      </c>
      <c r="H131" s="33">
        <f t="shared" si="17"/>
        <v>1</v>
      </c>
      <c r="I131" s="13" t="s">
        <v>33</v>
      </c>
      <c r="J131" s="13" t="s">
        <v>93</v>
      </c>
      <c r="K131" s="13" t="s">
        <v>32</v>
      </c>
      <c r="L131" s="13" t="s">
        <v>99</v>
      </c>
      <c r="M131" s="35" t="s">
        <v>522</v>
      </c>
      <c r="N131" s="15"/>
      <c r="O131" s="16"/>
      <c r="P131" s="16"/>
      <c r="Q131" s="16"/>
      <c r="R131" s="16"/>
      <c r="S131" s="37" t="str">
        <f>IFERROR(__xludf.DUMMYFUNCTION("if(not(iserror(index(split(C131, "" ""),2))), index(split(C131, "" ""),1),"""")"),"April")</f>
        <v>April</v>
      </c>
      <c r="T131" s="38">
        <f>IFERROR(__xludf.DUMMYFUNCTION("if(S131="""",C131,if(not(iserror(index(split(C131, "" ""),3))), index(split(C131, "" ""),3),index(split(C131, "" ""),2)))"),2017.0)</f>
        <v>2017</v>
      </c>
      <c r="U131" s="38" t="b">
        <f t="shared" si="16"/>
        <v>0</v>
      </c>
      <c r="V131" s="38"/>
      <c r="W131" s="40"/>
      <c r="X131" s="40"/>
      <c r="Y131" s="40"/>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row>
    <row r="132">
      <c r="A132" s="13" t="s">
        <v>523</v>
      </c>
      <c r="B132" s="30"/>
      <c r="C132" s="30">
        <v>42828.0</v>
      </c>
      <c r="D132" s="32"/>
      <c r="E132" s="13" t="s">
        <v>41</v>
      </c>
      <c r="F132" s="13">
        <v>1.0</v>
      </c>
      <c r="G132" s="13" t="s">
        <v>32</v>
      </c>
      <c r="H132" s="43">
        <v>1.0</v>
      </c>
      <c r="I132" s="13" t="s">
        <v>33</v>
      </c>
      <c r="J132" s="13" t="s">
        <v>524</v>
      </c>
      <c r="K132" s="13"/>
      <c r="L132" s="13" t="s">
        <v>525</v>
      </c>
      <c r="M132" s="44" t="s">
        <v>526</v>
      </c>
      <c r="N132" s="15"/>
      <c r="O132" s="37"/>
      <c r="P132" s="37"/>
      <c r="Q132" s="64"/>
      <c r="R132" s="16"/>
      <c r="S132" s="37" t="str">
        <f>IFERROR(__xludf.DUMMYFUNCTION("if(not(iserror(index(split(C132, "" ""),2))), index(split(C132, "" ""),1),"""")"),"April")</f>
        <v>April</v>
      </c>
      <c r="T132" s="38">
        <f>IFERROR(__xludf.DUMMYFUNCTION("if(S132="""",C132,if(not(iserror(index(split(C132, "" ""),3))), index(split(C132, "" ""),3),index(split(C132, "" ""),2)))"),2017.0)</f>
        <v>2017</v>
      </c>
      <c r="U132" s="38" t="b">
        <f t="shared" si="16"/>
        <v>0</v>
      </c>
      <c r="V132" s="38" t="s">
        <v>33</v>
      </c>
      <c r="W132" s="40"/>
      <c r="X132" s="40"/>
      <c r="Y132" s="40"/>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row>
    <row r="133">
      <c r="A133" s="13" t="s">
        <v>527</v>
      </c>
      <c r="B133" s="30"/>
      <c r="C133" s="30">
        <v>42829.0</v>
      </c>
      <c r="D133" s="32"/>
      <c r="E133" s="13" t="s">
        <v>41</v>
      </c>
      <c r="F133" s="13">
        <v>1.0</v>
      </c>
      <c r="G133" s="13" t="s">
        <v>32</v>
      </c>
      <c r="H133" s="43">
        <v>1.0</v>
      </c>
      <c r="I133" s="13" t="s">
        <v>33</v>
      </c>
      <c r="J133" s="13" t="s">
        <v>111</v>
      </c>
      <c r="K133" s="13"/>
      <c r="L133" s="13" t="s">
        <v>76</v>
      </c>
      <c r="M133" s="44" t="s">
        <v>528</v>
      </c>
      <c r="N133" s="36" t="s">
        <v>529</v>
      </c>
      <c r="O133" s="86" t="str">
        <f>hyperlink("https://bad-boys.us/?q=D-DC/1:17-cr-00239", "D-DC 1:17-cr-00239")</f>
        <v>D-DC 1:17-cr-00239</v>
      </c>
      <c r="P133" s="86" t="s">
        <v>530</v>
      </c>
      <c r="Q133" s="64">
        <v>1.0</v>
      </c>
      <c r="R133" s="16"/>
      <c r="S133" s="37" t="str">
        <f>IFERROR(__xludf.DUMMYFUNCTION("if(not(iserror(index(split(C133, "" ""),2))), index(split(C133, "" ""),1),"""")"),"April")</f>
        <v>April</v>
      </c>
      <c r="T133" s="38">
        <f>IFERROR(__xludf.DUMMYFUNCTION("if(S133="""",C133,if(not(iserror(index(split(C133, "" ""),3))), index(split(C133, "" ""),3),index(split(C133, "" ""),2)))"),2017.0)</f>
        <v>2017</v>
      </c>
      <c r="U133" s="38" t="b">
        <f t="shared" si="16"/>
        <v>0</v>
      </c>
      <c r="V133" s="38" t="s">
        <v>33</v>
      </c>
      <c r="W133" s="40"/>
      <c r="X133" s="40"/>
      <c r="Y133" s="40"/>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row>
    <row r="134">
      <c r="A134" s="13" t="s">
        <v>531</v>
      </c>
      <c r="B134" s="30"/>
      <c r="C134" s="30">
        <v>42829.0</v>
      </c>
      <c r="D134" s="32"/>
      <c r="E134" s="13" t="s">
        <v>41</v>
      </c>
      <c r="F134" s="13">
        <v>1.0</v>
      </c>
      <c r="G134" s="13" t="s">
        <v>32</v>
      </c>
      <c r="H134" s="43">
        <v>1.0</v>
      </c>
      <c r="I134" s="13" t="s">
        <v>33</v>
      </c>
      <c r="J134" s="13" t="s">
        <v>111</v>
      </c>
      <c r="K134" s="13"/>
      <c r="L134" s="13" t="s">
        <v>76</v>
      </c>
      <c r="M134" s="44" t="s">
        <v>528</v>
      </c>
      <c r="N134" s="36" t="s">
        <v>529</v>
      </c>
      <c r="O134" s="86" t="str">
        <f>hyperlink("https://bad-boys.us/?q=D-DC/1:17-cr-00239", "D-DC 1:17-cr-00239 ❓")</f>
        <v>D-DC 1:17-cr-00239 ❓</v>
      </c>
      <c r="P134" s="86" t="s">
        <v>530</v>
      </c>
      <c r="Q134" s="64">
        <v>1.0</v>
      </c>
      <c r="R134" s="16"/>
      <c r="S134" s="37" t="str">
        <f>IFERROR(__xludf.DUMMYFUNCTION("if(not(iserror(index(split(C134, "" ""),2))), index(split(C134, "" ""),1),"""")"),"April")</f>
        <v>April</v>
      </c>
      <c r="T134" s="38">
        <f>IFERROR(__xludf.DUMMYFUNCTION("if(S134="""",C134,if(not(iserror(index(split(C134, "" ""),3))), index(split(C134, "" ""),3),index(split(C134, "" ""),2)))"),2017.0)</f>
        <v>2017</v>
      </c>
      <c r="U134" s="38" t="b">
        <f t="shared" si="16"/>
        <v>0</v>
      </c>
      <c r="V134" s="38" t="s">
        <v>33</v>
      </c>
      <c r="W134" s="40"/>
      <c r="X134" s="40"/>
      <c r="Y134" s="40"/>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row>
    <row r="135">
      <c r="A135" s="13" t="s">
        <v>532</v>
      </c>
      <c r="B135" s="30">
        <v>43084.0</v>
      </c>
      <c r="C135" s="30">
        <v>42830.0</v>
      </c>
      <c r="D135" s="32" t="s">
        <v>533</v>
      </c>
      <c r="E135" s="13" t="s">
        <v>41</v>
      </c>
      <c r="F135" s="13">
        <v>1.0</v>
      </c>
      <c r="G135" s="13" t="s">
        <v>32</v>
      </c>
      <c r="H135" s="33">
        <f t="shared" ref="H135:H138" si="18">if(G135="Unknown",1,G135)</f>
        <v>1</v>
      </c>
      <c r="I135" s="13" t="s">
        <v>33</v>
      </c>
      <c r="J135" s="13" t="s">
        <v>124</v>
      </c>
      <c r="K135" s="13">
        <v>3.0</v>
      </c>
      <c r="L135" s="13" t="s">
        <v>99</v>
      </c>
      <c r="M135" s="44" t="s">
        <v>534</v>
      </c>
      <c r="N135" s="15"/>
      <c r="O135" s="37"/>
      <c r="P135" s="37"/>
      <c r="Q135" s="64"/>
      <c r="R135" s="16"/>
      <c r="S135" s="37" t="str">
        <f>IFERROR(__xludf.DUMMYFUNCTION("if(not(iserror(index(split(C135, "" ""),2))), index(split(C135, "" ""),1),"""")"),"April")</f>
        <v>April</v>
      </c>
      <c r="T135" s="38">
        <f>IFERROR(__xludf.DUMMYFUNCTION("if(S135="""",C135,if(not(iserror(index(split(C135, "" ""),3))), index(split(C135, "" ""),3),index(split(C135, "" ""),2)))"),2017.0)</f>
        <v>2017</v>
      </c>
      <c r="U135" s="38" t="b">
        <f t="shared" si="16"/>
        <v>0</v>
      </c>
      <c r="V135" s="38"/>
      <c r="W135" s="40"/>
      <c r="X135" s="40"/>
      <c r="Y135" s="40"/>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row>
    <row r="136">
      <c r="A136" s="13" t="s">
        <v>535</v>
      </c>
      <c r="B136" s="30" t="s">
        <v>536</v>
      </c>
      <c r="C136" s="30">
        <v>42831.0</v>
      </c>
      <c r="D136" s="32" t="s">
        <v>537</v>
      </c>
      <c r="E136" s="13" t="s">
        <v>31</v>
      </c>
      <c r="F136" s="13">
        <v>1.0</v>
      </c>
      <c r="G136" s="13">
        <v>1.0</v>
      </c>
      <c r="H136" s="33">
        <f t="shared" si="18"/>
        <v>1</v>
      </c>
      <c r="I136" s="13" t="s">
        <v>33</v>
      </c>
      <c r="J136" s="13" t="s">
        <v>179</v>
      </c>
      <c r="K136" s="13">
        <v>1.0</v>
      </c>
      <c r="L136" s="13" t="s">
        <v>538</v>
      </c>
      <c r="M136" s="35" t="s">
        <v>539</v>
      </c>
      <c r="N136" s="15"/>
      <c r="O136" s="16"/>
      <c r="P136" s="16"/>
      <c r="Q136" s="16"/>
      <c r="R136" s="16"/>
      <c r="S136" s="37" t="str">
        <f>IFERROR(__xludf.DUMMYFUNCTION("if(not(iserror(index(split(C136, "" ""),2))), index(split(C136, "" ""),1),"""")"),"April")</f>
        <v>April</v>
      </c>
      <c r="T136" s="38">
        <f>IFERROR(__xludf.DUMMYFUNCTION("if(S136="""",C136,if(not(iserror(index(split(C136, "" ""),3))), index(split(C136, "" ""),3),index(split(C136, "" ""),2)))"),2017.0)</f>
        <v>2017</v>
      </c>
      <c r="U136" s="38" t="b">
        <f t="shared" si="16"/>
        <v>0</v>
      </c>
      <c r="V136" s="38"/>
      <c r="W136" s="40"/>
      <c r="X136" s="40"/>
      <c r="Y136" s="40"/>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row>
    <row r="137">
      <c r="A137" s="58" t="s">
        <v>540</v>
      </c>
      <c r="B137" s="59">
        <v>43312.0</v>
      </c>
      <c r="C137" s="59">
        <v>42831.0</v>
      </c>
      <c r="D137" s="60" t="s">
        <v>541</v>
      </c>
      <c r="E137" s="58" t="s">
        <v>41</v>
      </c>
      <c r="F137" s="58">
        <v>1.0</v>
      </c>
      <c r="G137" s="58" t="s">
        <v>32</v>
      </c>
      <c r="H137" s="33">
        <f t="shared" si="18"/>
        <v>1</v>
      </c>
      <c r="I137" s="58" t="s">
        <v>33</v>
      </c>
      <c r="J137" s="58" t="s">
        <v>402</v>
      </c>
      <c r="K137" s="58">
        <v>3.0</v>
      </c>
      <c r="L137" s="58" t="s">
        <v>99</v>
      </c>
      <c r="M137" s="61" t="s">
        <v>542</v>
      </c>
      <c r="N137" s="77"/>
      <c r="O137" s="62"/>
      <c r="P137" s="62"/>
      <c r="Q137" s="62"/>
      <c r="R137" s="62"/>
      <c r="S137" s="37" t="str">
        <f>IFERROR(__xludf.DUMMYFUNCTION("if(not(iserror(index(split(C137, "" ""),2))), index(split(C137, "" ""),1),"""")"),"April")</f>
        <v>April</v>
      </c>
      <c r="T137" s="38">
        <f>IFERROR(__xludf.DUMMYFUNCTION("if(S137="""",C137,if(not(iserror(index(split(C137, "" ""),3))), index(split(C137, "" ""),3),index(split(C137, "" ""),2)))"),2017.0)</f>
        <v>2017</v>
      </c>
      <c r="U137" s="38" t="b">
        <f t="shared" si="16"/>
        <v>0</v>
      </c>
      <c r="V137" s="38"/>
      <c r="W137" s="40"/>
      <c r="X137" s="40"/>
      <c r="Y137" s="40"/>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row>
    <row r="138">
      <c r="A138" s="13" t="s">
        <v>543</v>
      </c>
      <c r="B138" s="30">
        <v>42832.0</v>
      </c>
      <c r="C138" s="30">
        <v>42832.0</v>
      </c>
      <c r="D138" s="32" t="s">
        <v>544</v>
      </c>
      <c r="E138" s="13" t="s">
        <v>31</v>
      </c>
      <c r="F138" s="13">
        <v>1.0</v>
      </c>
      <c r="G138" s="13" t="s">
        <v>32</v>
      </c>
      <c r="H138" s="33">
        <f t="shared" si="18"/>
        <v>1</v>
      </c>
      <c r="I138" s="13" t="s">
        <v>33</v>
      </c>
      <c r="J138" s="13" t="s">
        <v>124</v>
      </c>
      <c r="K138" s="13">
        <v>11.0</v>
      </c>
      <c r="L138" s="13" t="s">
        <v>545</v>
      </c>
      <c r="M138" s="103" t="s">
        <v>546</v>
      </c>
      <c r="N138" s="35" t="s">
        <v>547</v>
      </c>
      <c r="O138" s="16"/>
      <c r="P138" s="16"/>
      <c r="Q138" s="16"/>
      <c r="R138" s="16"/>
      <c r="S138" s="37" t="str">
        <f>IFERROR(__xludf.DUMMYFUNCTION("if(not(iserror(index(split(C138, "" ""),2))), index(split(C138, "" ""),1),"""")"),"April")</f>
        <v>April</v>
      </c>
      <c r="T138" s="38">
        <f>IFERROR(__xludf.DUMMYFUNCTION("if(S138="""",C138,if(not(iserror(index(split(C138, "" ""),3))), index(split(C138, "" ""),3),index(split(C138, "" ""),2)))"),2017.0)</f>
        <v>2017</v>
      </c>
      <c r="U138" s="38" t="b">
        <f t="shared" si="16"/>
        <v>0</v>
      </c>
      <c r="V138" s="38" t="s">
        <v>33</v>
      </c>
      <c r="W138" s="36" t="s">
        <v>548</v>
      </c>
      <c r="X138" s="40"/>
      <c r="Y138" s="40"/>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row>
    <row r="139">
      <c r="A139" s="13" t="s">
        <v>549</v>
      </c>
      <c r="B139" s="30"/>
      <c r="C139" s="30">
        <v>42832.0</v>
      </c>
      <c r="D139" s="32"/>
      <c r="E139" s="13" t="s">
        <v>31</v>
      </c>
      <c r="F139" s="13">
        <v>1.0</v>
      </c>
      <c r="G139" s="13" t="s">
        <v>32</v>
      </c>
      <c r="H139" s="43">
        <v>1.0</v>
      </c>
      <c r="I139" s="13" t="s">
        <v>33</v>
      </c>
      <c r="J139" s="13" t="s">
        <v>124</v>
      </c>
      <c r="K139" s="13"/>
      <c r="L139" s="13" t="s">
        <v>545</v>
      </c>
      <c r="M139" s="56"/>
      <c r="N139" s="35" t="s">
        <v>547</v>
      </c>
      <c r="O139" s="37"/>
      <c r="P139" s="37"/>
      <c r="Q139" s="64"/>
      <c r="R139" s="16"/>
      <c r="S139" s="37" t="str">
        <f>IFERROR(__xludf.DUMMYFUNCTION("if(not(iserror(index(split(C139, "" ""),2))), index(split(C139, "" ""),1),"""")"),"April")</f>
        <v>April</v>
      </c>
      <c r="T139" s="38">
        <f>IFERROR(__xludf.DUMMYFUNCTION("if(S139="""",C139,if(not(iserror(index(split(C139, "" ""),3))), index(split(C139, "" ""),3),index(split(C139, "" ""),2)))"),2017.0)</f>
        <v>2017</v>
      </c>
      <c r="U139" s="38" t="b">
        <f t="shared" si="16"/>
        <v>0</v>
      </c>
      <c r="V139" s="38" t="s">
        <v>33</v>
      </c>
      <c r="W139" s="36" t="s">
        <v>548</v>
      </c>
      <c r="X139" s="40"/>
      <c r="Y139" s="40"/>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row>
    <row r="140">
      <c r="A140" s="13" t="s">
        <v>550</v>
      </c>
      <c r="B140" s="30">
        <v>42839.0</v>
      </c>
      <c r="C140" s="30">
        <v>42834.0</v>
      </c>
      <c r="D140" s="32" t="s">
        <v>551</v>
      </c>
      <c r="E140" s="13" t="s">
        <v>41</v>
      </c>
      <c r="F140" s="13">
        <v>1.0</v>
      </c>
      <c r="G140" s="13" t="s">
        <v>32</v>
      </c>
      <c r="H140" s="33">
        <f>if(G140="Unknown",1,G140)</f>
        <v>1</v>
      </c>
      <c r="I140" s="13" t="s">
        <v>33</v>
      </c>
      <c r="J140" s="13" t="s">
        <v>93</v>
      </c>
      <c r="K140" s="13">
        <v>3.0</v>
      </c>
      <c r="L140" s="13" t="s">
        <v>119</v>
      </c>
      <c r="M140" s="35" t="s">
        <v>552</v>
      </c>
      <c r="N140" s="36" t="s">
        <v>553</v>
      </c>
      <c r="O140" s="37"/>
      <c r="P140" s="37"/>
      <c r="Q140" s="64"/>
      <c r="R140" s="16"/>
      <c r="S140" s="37" t="str">
        <f>IFERROR(__xludf.DUMMYFUNCTION("if(not(iserror(index(split(C140, "" ""),2))), index(split(C140, "" ""),1),"""")"),"April")</f>
        <v>April</v>
      </c>
      <c r="T140" s="38">
        <f>IFERROR(__xludf.DUMMYFUNCTION("if(S140="""",C140,if(not(iserror(index(split(C140, "" ""),3))), index(split(C140, "" ""),3),index(split(C140, "" ""),2)))"),2017.0)</f>
        <v>2017</v>
      </c>
      <c r="U140" s="38" t="b">
        <f t="shared" si="16"/>
        <v>0</v>
      </c>
      <c r="V140" s="38"/>
      <c r="W140" s="40"/>
      <c r="X140" s="40"/>
      <c r="Y140" s="40"/>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row>
    <row r="141">
      <c r="A141" s="13" t="s">
        <v>554</v>
      </c>
      <c r="B141" s="30"/>
      <c r="C141" s="30">
        <v>42834.0</v>
      </c>
      <c r="D141" s="32"/>
      <c r="E141" s="13" t="s">
        <v>41</v>
      </c>
      <c r="F141" s="13">
        <v>1.0</v>
      </c>
      <c r="G141" s="13" t="s">
        <v>32</v>
      </c>
      <c r="H141" s="43">
        <v>1.0</v>
      </c>
      <c r="I141" s="13" t="s">
        <v>33</v>
      </c>
      <c r="J141" s="13" t="s">
        <v>55</v>
      </c>
      <c r="K141" s="13"/>
      <c r="L141" s="13" t="s">
        <v>69</v>
      </c>
      <c r="M141" s="35" t="s">
        <v>555</v>
      </c>
      <c r="N141" s="36" t="s">
        <v>556</v>
      </c>
      <c r="O141" s="57" t="str">
        <f>hyperlink("https://bad-boys.us/?q=D-NJ/3:18-cr-00469", "D-NJ 3:18-cr-00469")</f>
        <v>D-NJ 3:18-cr-00469</v>
      </c>
      <c r="P141" s="16"/>
      <c r="Q141" s="64">
        <v>1.0</v>
      </c>
      <c r="R141" s="16"/>
      <c r="S141" s="37" t="str">
        <f>IFERROR(__xludf.DUMMYFUNCTION("if(not(iserror(index(split(C141, "" ""),2))), index(split(C141, "" ""),1),"""")"),"April")</f>
        <v>April</v>
      </c>
      <c r="T141" s="38">
        <f>IFERROR(__xludf.DUMMYFUNCTION("if(S141="""",C141,if(not(iserror(index(split(C141, "" ""),3))), index(split(C141, "" ""),3),index(split(C141, "" ""),2)))"),2017.0)</f>
        <v>2017</v>
      </c>
      <c r="U141" s="38" t="b">
        <f t="shared" si="16"/>
        <v>1</v>
      </c>
      <c r="V141" s="38" t="s">
        <v>33</v>
      </c>
      <c r="W141" s="39" t="s">
        <v>557</v>
      </c>
      <c r="X141" s="40"/>
      <c r="Y141" s="40"/>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row>
    <row r="142">
      <c r="A142" s="13" t="s">
        <v>558</v>
      </c>
      <c r="B142" s="30">
        <v>42835.0</v>
      </c>
      <c r="C142" s="30">
        <v>42835.0</v>
      </c>
      <c r="D142" s="32" t="s">
        <v>559</v>
      </c>
      <c r="E142" s="13" t="s">
        <v>41</v>
      </c>
      <c r="F142" s="13">
        <v>1.0</v>
      </c>
      <c r="G142" s="13" t="s">
        <v>32</v>
      </c>
      <c r="H142" s="33">
        <f t="shared" ref="H142:H143" si="19">if(G142="Unknown",1,G142)</f>
        <v>1</v>
      </c>
      <c r="I142" s="13" t="s">
        <v>33</v>
      </c>
      <c r="J142" s="13" t="s">
        <v>111</v>
      </c>
      <c r="K142" s="13" t="s">
        <v>32</v>
      </c>
      <c r="L142" s="13" t="s">
        <v>560</v>
      </c>
      <c r="M142" s="35" t="s">
        <v>561</v>
      </c>
      <c r="N142" s="15"/>
      <c r="O142" s="16"/>
      <c r="P142" s="16"/>
      <c r="Q142" s="16"/>
      <c r="R142" s="16"/>
      <c r="S142" s="37" t="str">
        <f>IFERROR(__xludf.DUMMYFUNCTION("if(not(iserror(index(split(C142, "" ""),2))), index(split(C142, "" ""),1),"""")"),"April")</f>
        <v>April</v>
      </c>
      <c r="T142" s="38">
        <f>IFERROR(__xludf.DUMMYFUNCTION("if(S142="""",C142,if(not(iserror(index(split(C142, "" ""),3))), index(split(C142, "" ""),3),index(split(C142, "" ""),2)))"),2017.0)</f>
        <v>2017</v>
      </c>
      <c r="U142" s="38" t="b">
        <f t="shared" si="16"/>
        <v>0</v>
      </c>
      <c r="V142" s="38"/>
      <c r="W142" s="40"/>
      <c r="X142" s="40"/>
      <c r="Y142" s="40"/>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row>
    <row r="143">
      <c r="A143" s="13" t="s">
        <v>562</v>
      </c>
      <c r="B143" s="30">
        <v>42858.0</v>
      </c>
      <c r="C143" s="30">
        <v>42836.0</v>
      </c>
      <c r="D143" s="32" t="s">
        <v>563</v>
      </c>
      <c r="E143" s="13" t="s">
        <v>41</v>
      </c>
      <c r="F143" s="13">
        <v>3.0</v>
      </c>
      <c r="G143" s="13" t="s">
        <v>32</v>
      </c>
      <c r="H143" s="33">
        <f t="shared" si="19"/>
        <v>1</v>
      </c>
      <c r="I143" s="13" t="s">
        <v>33</v>
      </c>
      <c r="J143" s="13" t="s">
        <v>98</v>
      </c>
      <c r="K143" s="13">
        <v>5.0</v>
      </c>
      <c r="L143" s="13" t="s">
        <v>564</v>
      </c>
      <c r="M143" s="35" t="s">
        <v>565</v>
      </c>
      <c r="N143" s="15"/>
      <c r="O143" s="16"/>
      <c r="P143" s="16"/>
      <c r="Q143" s="16"/>
      <c r="R143" s="16"/>
      <c r="S143" s="37" t="str">
        <f>IFERROR(__xludf.DUMMYFUNCTION("if(not(iserror(index(split(C143, "" ""),2))), index(split(C143, "" ""),1),"""")"),"April")</f>
        <v>April</v>
      </c>
      <c r="T143" s="38">
        <f>IFERROR(__xludf.DUMMYFUNCTION("if(S143="""",C143,if(not(iserror(index(split(C143, "" ""),3))), index(split(C143, "" ""),3),index(split(C143, "" ""),2)))"),2017.0)</f>
        <v>2017</v>
      </c>
      <c r="U143" s="38" t="b">
        <f t="shared" si="16"/>
        <v>0</v>
      </c>
      <c r="V143" s="38"/>
      <c r="W143" s="40"/>
      <c r="X143" s="40"/>
      <c r="Y143" s="40"/>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row>
    <row r="144">
      <c r="A144" s="13" t="s">
        <v>566</v>
      </c>
      <c r="B144" s="30"/>
      <c r="C144" s="30">
        <v>42837.0</v>
      </c>
      <c r="D144" s="32"/>
      <c r="E144" s="13" t="s">
        <v>41</v>
      </c>
      <c r="F144" s="13">
        <v>1.0</v>
      </c>
      <c r="G144" s="13">
        <v>1.0</v>
      </c>
      <c r="H144" s="43">
        <v>1.0</v>
      </c>
      <c r="I144" s="13" t="s">
        <v>33</v>
      </c>
      <c r="J144" s="13" t="s">
        <v>203</v>
      </c>
      <c r="K144" s="13"/>
      <c r="L144" s="13" t="s">
        <v>567</v>
      </c>
      <c r="M144" s="56" t="s">
        <v>568</v>
      </c>
      <c r="N144" s="104"/>
      <c r="O144" s="16"/>
      <c r="P144" s="64"/>
      <c r="Q144" s="64"/>
      <c r="R144" s="16"/>
      <c r="S144" s="37" t="str">
        <f>IFERROR(__xludf.DUMMYFUNCTION("if(not(iserror(index(split(C144, "" ""),2))), index(split(C144, "" ""),1),"""")"),"April")</f>
        <v>April</v>
      </c>
      <c r="T144" s="38">
        <f>IFERROR(__xludf.DUMMYFUNCTION("if(S144="""",C144,if(not(iserror(index(split(C144, "" ""),3))), index(split(C144, "" ""),3),index(split(C144, "" ""),2)))"),2017.0)</f>
        <v>2017</v>
      </c>
      <c r="U144" s="38" t="b">
        <f t="shared" si="16"/>
        <v>0</v>
      </c>
      <c r="V144" s="38" t="s">
        <v>33</v>
      </c>
      <c r="W144" s="40"/>
      <c r="X144" s="40"/>
      <c r="Y144" s="40"/>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row>
    <row r="145" ht="17.25" customHeight="1">
      <c r="A145" s="13" t="s">
        <v>569</v>
      </c>
      <c r="B145" s="30">
        <v>42842.0</v>
      </c>
      <c r="C145" s="30">
        <v>42842.0</v>
      </c>
      <c r="D145" s="32" t="s">
        <v>570</v>
      </c>
      <c r="E145" s="13" t="s">
        <v>41</v>
      </c>
      <c r="F145" s="13">
        <v>2.0</v>
      </c>
      <c r="G145" s="13" t="s">
        <v>32</v>
      </c>
      <c r="H145" s="33">
        <f t="shared" ref="H145:H150" si="20">if(G145="Unknown",1,G145)</f>
        <v>1</v>
      </c>
      <c r="I145" s="13" t="s">
        <v>33</v>
      </c>
      <c r="J145" s="13" t="s">
        <v>115</v>
      </c>
      <c r="K145" s="13">
        <v>2.0</v>
      </c>
      <c r="L145" s="13" t="s">
        <v>571</v>
      </c>
      <c r="M145" s="35" t="s">
        <v>572</v>
      </c>
      <c r="N145" s="15"/>
      <c r="O145" s="16"/>
      <c r="P145" s="16"/>
      <c r="Q145" s="16"/>
      <c r="R145" s="16"/>
      <c r="S145" s="37" t="str">
        <f>IFERROR(__xludf.DUMMYFUNCTION("if(not(iserror(index(split(C145, "" ""),2))), index(split(C145, "" ""),1),"""")"),"April")</f>
        <v>April</v>
      </c>
      <c r="T145" s="38">
        <f>IFERROR(__xludf.DUMMYFUNCTION("if(S145="""",C145,if(not(iserror(index(split(C145, "" ""),3))), index(split(C145, "" ""),3),index(split(C145, "" ""),2)))"),2017.0)</f>
        <v>2017</v>
      </c>
      <c r="U145" s="38" t="b">
        <f t="shared" si="16"/>
        <v>0</v>
      </c>
      <c r="V145" s="38"/>
      <c r="W145" s="40"/>
      <c r="X145" s="40"/>
      <c r="Y145" s="40"/>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row>
    <row r="146" ht="17.25" customHeight="1">
      <c r="A146" s="13" t="s">
        <v>573</v>
      </c>
      <c r="B146" s="30">
        <v>42844.0</v>
      </c>
      <c r="C146" s="30">
        <v>42844.0</v>
      </c>
      <c r="D146" s="32" t="s">
        <v>574</v>
      </c>
      <c r="E146" s="13" t="s">
        <v>31</v>
      </c>
      <c r="F146" s="13">
        <v>1.0</v>
      </c>
      <c r="G146" s="13" t="s">
        <v>32</v>
      </c>
      <c r="H146" s="33">
        <f t="shared" si="20"/>
        <v>1</v>
      </c>
      <c r="I146" s="13" t="s">
        <v>33</v>
      </c>
      <c r="J146" s="13" t="s">
        <v>85</v>
      </c>
      <c r="K146" s="13">
        <v>1.0</v>
      </c>
      <c r="L146" s="13" t="s">
        <v>575</v>
      </c>
      <c r="M146" s="36" t="s">
        <v>576</v>
      </c>
      <c r="N146" s="15"/>
      <c r="O146" s="16"/>
      <c r="P146" s="16"/>
      <c r="Q146" s="16"/>
      <c r="R146" s="16"/>
      <c r="S146" s="37" t="str">
        <f>IFERROR(__xludf.DUMMYFUNCTION("if(not(iserror(index(split(C146, "" ""),2))), index(split(C146, "" ""),1),"""")"),"April")</f>
        <v>April</v>
      </c>
      <c r="T146" s="38">
        <f>IFERROR(__xludf.DUMMYFUNCTION("if(S146="""",C146,if(not(iserror(index(split(C146, "" ""),3))), index(split(C146, "" ""),3),index(split(C146, "" ""),2)))"),2017.0)</f>
        <v>2017</v>
      </c>
      <c r="U146" s="38" t="b">
        <f t="shared" si="16"/>
        <v>0</v>
      </c>
      <c r="V146" s="38"/>
      <c r="W146" s="40"/>
      <c r="X146" s="40"/>
      <c r="Y146" s="40"/>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row>
    <row r="147" ht="17.25" customHeight="1">
      <c r="A147" s="90" t="s">
        <v>577</v>
      </c>
      <c r="B147" s="30">
        <v>42846.0</v>
      </c>
      <c r="C147" s="30">
        <v>42844.0</v>
      </c>
      <c r="D147" s="32" t="s">
        <v>574</v>
      </c>
      <c r="E147" s="13" t="s">
        <v>41</v>
      </c>
      <c r="F147" s="13">
        <v>3.0</v>
      </c>
      <c r="G147" s="13">
        <v>8.0</v>
      </c>
      <c r="H147" s="33">
        <f t="shared" si="20"/>
        <v>8</v>
      </c>
      <c r="I147" s="13" t="s">
        <v>33</v>
      </c>
      <c r="J147" s="13" t="s">
        <v>147</v>
      </c>
      <c r="K147" s="13" t="s">
        <v>32</v>
      </c>
      <c r="L147" s="13" t="s">
        <v>194</v>
      </c>
      <c r="M147" s="35" t="s">
        <v>578</v>
      </c>
      <c r="N147" s="15"/>
      <c r="O147" s="16"/>
      <c r="P147" s="16"/>
      <c r="Q147" s="16"/>
      <c r="R147" s="16"/>
      <c r="S147" s="37" t="str">
        <f>IFERROR(__xludf.DUMMYFUNCTION("if(not(iserror(index(split(C147, "" ""),2))), index(split(C147, "" ""),1),"""")"),"April")</f>
        <v>April</v>
      </c>
      <c r="T147" s="38">
        <f>IFERROR(__xludf.DUMMYFUNCTION("if(S147="""",C147,if(not(iserror(index(split(C147, "" ""),3))), index(split(C147, "" ""),3),index(split(C147, "" ""),2)))"),2017.0)</f>
        <v>2017</v>
      </c>
      <c r="U147" s="38" t="b">
        <f t="shared" si="16"/>
        <v>0</v>
      </c>
      <c r="V147" s="38"/>
      <c r="W147" s="40"/>
      <c r="X147" s="40"/>
      <c r="Y147" s="40"/>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row>
    <row r="148" ht="9.0" customHeight="1">
      <c r="A148" s="87" t="s">
        <v>579</v>
      </c>
      <c r="B148" s="59">
        <v>43360.0</v>
      </c>
      <c r="C148" s="59">
        <v>42844.0</v>
      </c>
      <c r="D148" s="60" t="s">
        <v>574</v>
      </c>
      <c r="E148" s="58" t="s">
        <v>41</v>
      </c>
      <c r="F148" s="58">
        <v>1.0</v>
      </c>
      <c r="G148" s="58" t="s">
        <v>32</v>
      </c>
      <c r="H148" s="33">
        <f t="shared" si="20"/>
        <v>1</v>
      </c>
      <c r="I148" s="58" t="s">
        <v>33</v>
      </c>
      <c r="J148" s="58" t="s">
        <v>283</v>
      </c>
      <c r="K148" s="58">
        <v>4.0</v>
      </c>
      <c r="L148" s="58" t="s">
        <v>119</v>
      </c>
      <c r="M148" s="61" t="s">
        <v>580</v>
      </c>
      <c r="N148" s="77"/>
      <c r="O148" s="58"/>
      <c r="P148" s="58"/>
      <c r="Q148" s="84"/>
      <c r="R148" s="62"/>
      <c r="S148" s="37" t="str">
        <f>IFERROR(__xludf.DUMMYFUNCTION("if(not(iserror(index(split(C148, "" ""),2))), index(split(C148, "" ""),1),"""")"),"April")</f>
        <v>April</v>
      </c>
      <c r="T148" s="38">
        <f>IFERROR(__xludf.DUMMYFUNCTION("if(S148="""",C148,if(not(iserror(index(split(C148, "" ""),3))), index(split(C148, "" ""),3),index(split(C148, "" ""),2)))"),2017.0)</f>
        <v>2017</v>
      </c>
      <c r="U148" s="38" t="b">
        <f t="shared" si="16"/>
        <v>0</v>
      </c>
      <c r="V148" s="38"/>
      <c r="W148" s="40"/>
      <c r="X148" s="40"/>
      <c r="Y148" s="40"/>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row>
    <row r="149">
      <c r="A149" s="13" t="s">
        <v>581</v>
      </c>
      <c r="B149" s="30">
        <v>42849.0</v>
      </c>
      <c r="C149" s="30">
        <v>42845.0</v>
      </c>
      <c r="D149" s="32" t="s">
        <v>582</v>
      </c>
      <c r="E149" s="13" t="s">
        <v>31</v>
      </c>
      <c r="F149" s="13">
        <v>1.0</v>
      </c>
      <c r="G149" s="13" t="s">
        <v>32</v>
      </c>
      <c r="H149" s="33">
        <f t="shared" si="20"/>
        <v>1</v>
      </c>
      <c r="I149" s="13" t="s">
        <v>33</v>
      </c>
      <c r="J149" s="13" t="s">
        <v>75</v>
      </c>
      <c r="K149" s="13" t="s">
        <v>32</v>
      </c>
      <c r="L149" s="13" t="s">
        <v>583</v>
      </c>
      <c r="M149" s="35" t="s">
        <v>584</v>
      </c>
      <c r="N149" s="15"/>
      <c r="O149" s="16"/>
      <c r="P149" s="16"/>
      <c r="Q149" s="16"/>
      <c r="R149" s="16"/>
      <c r="S149" s="37" t="str">
        <f>IFERROR(__xludf.DUMMYFUNCTION("if(not(iserror(index(split(C149, "" ""),2))), index(split(C149, "" ""),1),"""")"),"April")</f>
        <v>April</v>
      </c>
      <c r="T149" s="38">
        <f>IFERROR(__xludf.DUMMYFUNCTION("if(S149="""",C149,if(not(iserror(index(split(C149, "" ""),3))), index(split(C149, "" ""),3),index(split(C149, "" ""),2)))"),2017.0)</f>
        <v>2017</v>
      </c>
      <c r="U149" s="38" t="b">
        <f t="shared" si="16"/>
        <v>0</v>
      </c>
      <c r="V149" s="38" t="s">
        <v>33</v>
      </c>
      <c r="W149" s="39" t="s">
        <v>585</v>
      </c>
      <c r="X149" s="39" t="s">
        <v>586</v>
      </c>
      <c r="Y149" s="40"/>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row>
    <row r="150">
      <c r="A150" s="13" t="s">
        <v>587</v>
      </c>
      <c r="B150" s="30">
        <v>42849.0</v>
      </c>
      <c r="C150" s="30">
        <v>42845.0</v>
      </c>
      <c r="D150" s="32" t="s">
        <v>588</v>
      </c>
      <c r="E150" s="13" t="s">
        <v>41</v>
      </c>
      <c r="F150" s="13">
        <v>2.0</v>
      </c>
      <c r="G150" s="13" t="s">
        <v>32</v>
      </c>
      <c r="H150" s="33">
        <f t="shared" si="20"/>
        <v>1</v>
      </c>
      <c r="I150" s="13" t="s">
        <v>33</v>
      </c>
      <c r="J150" s="13" t="s">
        <v>115</v>
      </c>
      <c r="K150" s="13">
        <v>2.0</v>
      </c>
      <c r="L150" s="13" t="s">
        <v>589</v>
      </c>
      <c r="M150" s="35" t="s">
        <v>590</v>
      </c>
      <c r="N150" s="15"/>
      <c r="O150" s="16"/>
      <c r="P150" s="16"/>
      <c r="Q150" s="16"/>
      <c r="R150" s="16"/>
      <c r="S150" s="37" t="str">
        <f>IFERROR(__xludf.DUMMYFUNCTION("if(not(iserror(index(split(C150, "" ""),2))), index(split(C150, "" ""),1),"""")"),"April")</f>
        <v>April</v>
      </c>
      <c r="T150" s="38">
        <f>IFERROR(__xludf.DUMMYFUNCTION("if(S150="""",C150,if(not(iserror(index(split(C150, "" ""),3))), index(split(C150, "" ""),3),index(split(C150, "" ""),2)))"),2017.0)</f>
        <v>2017</v>
      </c>
      <c r="U150" s="38" t="b">
        <f t="shared" si="16"/>
        <v>0</v>
      </c>
      <c r="V150" s="38"/>
      <c r="W150" s="40"/>
      <c r="X150" s="40"/>
      <c r="Y150" s="40"/>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row>
    <row r="151">
      <c r="A151" s="13" t="s">
        <v>591</v>
      </c>
      <c r="B151" s="30"/>
      <c r="C151" s="30">
        <v>42846.0</v>
      </c>
      <c r="D151" s="32"/>
      <c r="E151" s="13" t="s">
        <v>41</v>
      </c>
      <c r="F151" s="13">
        <v>1.0</v>
      </c>
      <c r="G151" s="13" t="s">
        <v>32</v>
      </c>
      <c r="H151" s="43">
        <v>1.0</v>
      </c>
      <c r="I151" s="13" t="s">
        <v>33</v>
      </c>
      <c r="J151" s="13" t="s">
        <v>184</v>
      </c>
      <c r="K151" s="13"/>
      <c r="L151" s="13" t="s">
        <v>76</v>
      </c>
      <c r="M151" s="56" t="s">
        <v>592</v>
      </c>
      <c r="N151" s="56"/>
      <c r="O151" s="16"/>
      <c r="P151" s="37"/>
      <c r="Q151" s="37"/>
      <c r="R151" s="16"/>
      <c r="S151" s="37" t="str">
        <f>IFERROR(__xludf.DUMMYFUNCTION("if(not(iserror(index(split(C151, "" ""),2))), index(split(C151, "" ""),1),"""")"),"April")</f>
        <v>April</v>
      </c>
      <c r="T151" s="38">
        <f>IFERROR(__xludf.DUMMYFUNCTION("if(S151="""",C151,if(not(iserror(index(split(C151, "" ""),3))), index(split(C151, "" ""),3),index(split(C151, "" ""),2)))"),2017.0)</f>
        <v>2017</v>
      </c>
      <c r="U151" s="38" t="b">
        <f t="shared" si="16"/>
        <v>0</v>
      </c>
      <c r="V151" s="38" t="s">
        <v>33</v>
      </c>
      <c r="W151" s="40"/>
      <c r="X151" s="40"/>
      <c r="Y151" s="40"/>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row>
    <row r="152">
      <c r="A152" s="13" t="s">
        <v>593</v>
      </c>
      <c r="B152" s="30">
        <v>42848.0</v>
      </c>
      <c r="C152" s="30">
        <v>42847.0</v>
      </c>
      <c r="D152" s="32" t="s">
        <v>594</v>
      </c>
      <c r="E152" s="13" t="s">
        <v>31</v>
      </c>
      <c r="F152" s="13">
        <v>1.0</v>
      </c>
      <c r="G152" s="13" t="s">
        <v>32</v>
      </c>
      <c r="H152" s="33">
        <f t="shared" ref="H152:H158" si="21">if(G152="Unknown",1,G152)</f>
        <v>1</v>
      </c>
      <c r="I152" s="13" t="s">
        <v>33</v>
      </c>
      <c r="J152" s="13" t="s">
        <v>268</v>
      </c>
      <c r="K152" s="13" t="s">
        <v>32</v>
      </c>
      <c r="L152" s="13" t="s">
        <v>269</v>
      </c>
      <c r="M152" s="35" t="s">
        <v>270</v>
      </c>
      <c r="N152" s="35" t="s">
        <v>595</v>
      </c>
      <c r="O152" s="57" t="str">
        <f>hyperlink("https://bad-boys.us/?q=ND-OK/4:18-cr-00151", "ND-OK 4:18-cr-00151")</f>
        <v>ND-OK 4:18-cr-00151</v>
      </c>
      <c r="P152" s="86" t="s">
        <v>272</v>
      </c>
      <c r="Q152" s="37">
        <v>1.0</v>
      </c>
      <c r="R152" s="16"/>
      <c r="S152" s="37" t="str">
        <f>IFERROR(__xludf.DUMMYFUNCTION("if(not(iserror(index(split(C152, "" ""),2))), index(split(C152, "" ""),1),"""")"),"April")</f>
        <v>April</v>
      </c>
      <c r="T152" s="38">
        <f>IFERROR(__xludf.DUMMYFUNCTION("if(S152="""",C152,if(not(iserror(index(split(C152, "" ""),3))), index(split(C152, "" ""),3),index(split(C152, "" ""),2)))"),2017.0)</f>
        <v>2017</v>
      </c>
      <c r="U152" s="38" t="b">
        <f t="shared" si="16"/>
        <v>0</v>
      </c>
      <c r="V152" s="38"/>
      <c r="W152" s="40"/>
      <c r="X152" s="40"/>
      <c r="Y152" s="40"/>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row>
    <row r="153">
      <c r="A153" s="13" t="s">
        <v>239</v>
      </c>
      <c r="B153" s="30">
        <v>42850.0</v>
      </c>
      <c r="C153" s="30">
        <v>42847.0</v>
      </c>
      <c r="D153" s="32" t="s">
        <v>594</v>
      </c>
      <c r="E153" s="13" t="s">
        <v>41</v>
      </c>
      <c r="F153" s="13">
        <v>2.0</v>
      </c>
      <c r="G153" s="13">
        <v>2.0</v>
      </c>
      <c r="H153" s="33">
        <f t="shared" si="21"/>
        <v>2</v>
      </c>
      <c r="I153" s="13" t="s">
        <v>33</v>
      </c>
      <c r="J153" s="13" t="s">
        <v>241</v>
      </c>
      <c r="K153" s="13">
        <v>1.0</v>
      </c>
      <c r="L153" s="13" t="s">
        <v>194</v>
      </c>
      <c r="M153" s="35" t="s">
        <v>596</v>
      </c>
      <c r="N153" s="15"/>
      <c r="O153" s="16"/>
      <c r="P153" s="16"/>
      <c r="Q153" s="16"/>
      <c r="R153" s="16"/>
      <c r="S153" s="37" t="str">
        <f>IFERROR(__xludf.DUMMYFUNCTION("if(not(iserror(index(split(C153, "" ""),2))), index(split(C153, "" ""),1),"""")"),"April")</f>
        <v>April</v>
      </c>
      <c r="T153" s="38">
        <f>IFERROR(__xludf.DUMMYFUNCTION("if(S153="""",C153,if(not(iserror(index(split(C153, "" ""),3))), index(split(C153, "" ""),3),index(split(C153, "" ""),2)))"),2017.0)</f>
        <v>2017</v>
      </c>
      <c r="U153" s="38" t="b">
        <f t="shared" si="16"/>
        <v>1</v>
      </c>
      <c r="V153" s="38"/>
      <c r="W153" s="40"/>
      <c r="X153" s="40"/>
      <c r="Y153" s="40"/>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row>
    <row r="154">
      <c r="A154" s="13" t="s">
        <v>239</v>
      </c>
      <c r="B154" s="30">
        <v>42852.0</v>
      </c>
      <c r="C154" s="30">
        <v>42851.0</v>
      </c>
      <c r="D154" s="32" t="s">
        <v>597</v>
      </c>
      <c r="E154" s="13" t="s">
        <v>41</v>
      </c>
      <c r="F154" s="13">
        <v>1.0</v>
      </c>
      <c r="G154" s="13">
        <v>1.0</v>
      </c>
      <c r="H154" s="33">
        <f t="shared" si="21"/>
        <v>1</v>
      </c>
      <c r="I154" s="13" t="s">
        <v>33</v>
      </c>
      <c r="J154" s="13" t="s">
        <v>241</v>
      </c>
      <c r="K154" s="13">
        <v>1.0</v>
      </c>
      <c r="L154" s="13" t="s">
        <v>194</v>
      </c>
      <c r="M154" s="35" t="s">
        <v>598</v>
      </c>
      <c r="N154" s="15"/>
      <c r="O154" s="16"/>
      <c r="P154" s="16"/>
      <c r="Q154" s="16"/>
      <c r="R154" s="16"/>
      <c r="S154" s="37" t="str">
        <f>IFERROR(__xludf.DUMMYFUNCTION("if(not(iserror(index(split(C154, "" ""),2))), index(split(C154, "" ""),1),"""")"),"April")</f>
        <v>April</v>
      </c>
      <c r="T154" s="38">
        <f>IFERROR(__xludf.DUMMYFUNCTION("if(S154="""",C154,if(not(iserror(index(split(C154, "" ""),3))), index(split(C154, "" ""),3),index(split(C154, "" ""),2)))"),2017.0)</f>
        <v>2017</v>
      </c>
      <c r="U154" s="38" t="b">
        <f t="shared" si="16"/>
        <v>1</v>
      </c>
      <c r="V154" s="38"/>
      <c r="W154" s="40"/>
      <c r="X154" s="40"/>
      <c r="Y154" s="40"/>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row>
    <row r="155">
      <c r="A155" s="13" t="s">
        <v>599</v>
      </c>
      <c r="B155" s="30">
        <v>42857.0</v>
      </c>
      <c r="C155" s="30">
        <v>42851.0</v>
      </c>
      <c r="D155" s="32" t="s">
        <v>600</v>
      </c>
      <c r="E155" s="13" t="s">
        <v>41</v>
      </c>
      <c r="F155" s="13">
        <v>2.0</v>
      </c>
      <c r="G155" s="13">
        <v>1.0</v>
      </c>
      <c r="H155" s="33">
        <f t="shared" si="21"/>
        <v>1</v>
      </c>
      <c r="I155" s="13" t="s">
        <v>33</v>
      </c>
      <c r="J155" s="13" t="s">
        <v>85</v>
      </c>
      <c r="K155" s="13">
        <v>4.0</v>
      </c>
      <c r="L155" s="13" t="s">
        <v>601</v>
      </c>
      <c r="M155" s="35" t="s">
        <v>602</v>
      </c>
      <c r="N155" s="15"/>
      <c r="O155" s="16"/>
      <c r="P155" s="16"/>
      <c r="Q155" s="16"/>
      <c r="R155" s="16"/>
      <c r="S155" s="37" t="str">
        <f>IFERROR(__xludf.DUMMYFUNCTION("if(not(iserror(index(split(C155, "" ""),2))), index(split(C155, "" ""),1),"""")"),"April")</f>
        <v>April</v>
      </c>
      <c r="T155" s="38">
        <f>IFERROR(__xludf.DUMMYFUNCTION("if(S155="""",C155,if(not(iserror(index(split(C155, "" ""),3))), index(split(C155, "" ""),3),index(split(C155, "" ""),2)))"),2017.0)</f>
        <v>2017</v>
      </c>
      <c r="U155" s="38" t="b">
        <f t="shared" si="16"/>
        <v>0</v>
      </c>
      <c r="V155" s="38"/>
      <c r="W155" s="40"/>
      <c r="X155" s="40"/>
      <c r="Y155" s="40"/>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row>
    <row r="156">
      <c r="A156" s="34" t="s">
        <v>603</v>
      </c>
      <c r="B156" s="73">
        <v>43201.0</v>
      </c>
      <c r="C156" s="73">
        <v>42851.0</v>
      </c>
      <c r="D156" s="75" t="s">
        <v>597</v>
      </c>
      <c r="E156" s="34" t="s">
        <v>41</v>
      </c>
      <c r="F156" s="34">
        <v>1.0</v>
      </c>
      <c r="G156" s="34" t="s">
        <v>32</v>
      </c>
      <c r="H156" s="33">
        <f t="shared" si="21"/>
        <v>1</v>
      </c>
      <c r="I156" s="34" t="s">
        <v>33</v>
      </c>
      <c r="J156" s="34" t="s">
        <v>47</v>
      </c>
      <c r="K156" s="34" t="s">
        <v>40</v>
      </c>
      <c r="L156" s="34" t="s">
        <v>604</v>
      </c>
      <c r="M156" s="76" t="s">
        <v>605</v>
      </c>
      <c r="N156" s="77"/>
      <c r="O156" s="62"/>
      <c r="P156" s="62"/>
      <c r="Q156" s="62"/>
      <c r="R156" s="62"/>
      <c r="S156" s="37" t="str">
        <f>IFERROR(__xludf.DUMMYFUNCTION("if(not(iserror(index(split(C156, "" ""),2))), index(split(C156, "" ""),1),"""")"),"April")</f>
        <v>April</v>
      </c>
      <c r="T156" s="38">
        <f>IFERROR(__xludf.DUMMYFUNCTION("if(S156="""",C156,if(not(iserror(index(split(C156, "" ""),3))), index(split(C156, "" ""),3),index(split(C156, "" ""),2)))"),2017.0)</f>
        <v>2017</v>
      </c>
      <c r="U156" s="38" t="b">
        <f t="shared" si="16"/>
        <v>0</v>
      </c>
      <c r="V156" s="38"/>
      <c r="W156" s="40"/>
      <c r="X156" s="40"/>
      <c r="Y156" s="40"/>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row>
    <row r="157">
      <c r="A157" s="13" t="s">
        <v>606</v>
      </c>
      <c r="B157" s="30">
        <v>42858.0</v>
      </c>
      <c r="C157" s="30">
        <v>42852.0</v>
      </c>
      <c r="D157" s="32" t="s">
        <v>607</v>
      </c>
      <c r="E157" s="13" t="s">
        <v>31</v>
      </c>
      <c r="F157" s="13">
        <v>2.0</v>
      </c>
      <c r="G157" s="13" t="s">
        <v>32</v>
      </c>
      <c r="H157" s="33">
        <f t="shared" si="21"/>
        <v>1</v>
      </c>
      <c r="I157" s="13" t="s">
        <v>33</v>
      </c>
      <c r="J157" s="13" t="s">
        <v>132</v>
      </c>
      <c r="K157" s="13">
        <v>2.0</v>
      </c>
      <c r="L157" s="13" t="s">
        <v>52</v>
      </c>
      <c r="M157" s="35" t="s">
        <v>608</v>
      </c>
      <c r="N157" s="15"/>
      <c r="O157" s="16"/>
      <c r="P157" s="16"/>
      <c r="Q157" s="16"/>
      <c r="R157" s="16"/>
      <c r="S157" s="37" t="str">
        <f>IFERROR(__xludf.DUMMYFUNCTION("if(not(iserror(index(split(C157, "" ""),2))), index(split(C157, "" ""),1),"""")"),"April")</f>
        <v>April</v>
      </c>
      <c r="T157" s="38">
        <f>IFERROR(__xludf.DUMMYFUNCTION("if(S157="""",C157,if(not(iserror(index(split(C157, "" ""),3))), index(split(C157, "" ""),3),index(split(C157, "" ""),2)))"),2017.0)</f>
        <v>2017</v>
      </c>
      <c r="U157" s="38" t="b">
        <f t="shared" si="16"/>
        <v>0</v>
      </c>
      <c r="V157" s="38"/>
      <c r="W157" s="40"/>
      <c r="X157" s="40"/>
      <c r="Y157" s="40"/>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row>
    <row r="158">
      <c r="A158" s="13" t="s">
        <v>609</v>
      </c>
      <c r="B158" s="30">
        <v>42854.0</v>
      </c>
      <c r="C158" s="30">
        <v>42854.0</v>
      </c>
      <c r="D158" s="32" t="s">
        <v>610</v>
      </c>
      <c r="E158" s="13" t="s">
        <v>31</v>
      </c>
      <c r="F158" s="13">
        <v>1.0</v>
      </c>
      <c r="G158" s="13" t="s">
        <v>32</v>
      </c>
      <c r="H158" s="33">
        <f t="shared" si="21"/>
        <v>1</v>
      </c>
      <c r="I158" s="13" t="s">
        <v>33</v>
      </c>
      <c r="J158" s="13" t="s">
        <v>147</v>
      </c>
      <c r="K158" s="13" t="s">
        <v>32</v>
      </c>
      <c r="L158" s="13" t="s">
        <v>99</v>
      </c>
      <c r="M158" s="35" t="s">
        <v>611</v>
      </c>
      <c r="N158" s="15"/>
      <c r="O158" s="16"/>
      <c r="P158" s="16"/>
      <c r="Q158" s="16"/>
      <c r="R158" s="16"/>
      <c r="S158" s="37" t="str">
        <f>IFERROR(__xludf.DUMMYFUNCTION("if(not(iserror(index(split(C158, "" ""),2))), index(split(C158, "" ""),1),"""")"),"April")</f>
        <v>April</v>
      </c>
      <c r="T158" s="38">
        <f>IFERROR(__xludf.DUMMYFUNCTION("if(S158="""",C158,if(not(iserror(index(split(C158, "" ""),3))), index(split(C158, "" ""),3),index(split(C158, "" ""),2)))"),2017.0)</f>
        <v>2017</v>
      </c>
      <c r="U158" s="38" t="b">
        <f t="shared" si="16"/>
        <v>0</v>
      </c>
      <c r="V158" s="38"/>
      <c r="W158" s="40"/>
      <c r="X158" s="40"/>
      <c r="Y158" s="40"/>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row>
    <row r="159">
      <c r="A159" s="13" t="s">
        <v>612</v>
      </c>
      <c r="B159" s="30"/>
      <c r="C159" s="30">
        <v>42856.0</v>
      </c>
      <c r="D159" s="32"/>
      <c r="E159" s="13" t="s">
        <v>41</v>
      </c>
      <c r="F159" s="13">
        <v>1.0</v>
      </c>
      <c r="G159" s="13" t="s">
        <v>32</v>
      </c>
      <c r="H159" s="43">
        <v>1.0</v>
      </c>
      <c r="I159" s="13" t="s">
        <v>33</v>
      </c>
      <c r="J159" s="13" t="s">
        <v>402</v>
      </c>
      <c r="K159" s="13"/>
      <c r="L159" s="13" t="s">
        <v>76</v>
      </c>
      <c r="M159" s="35" t="s">
        <v>613</v>
      </c>
      <c r="N159" s="15"/>
      <c r="O159" s="16"/>
      <c r="P159" s="16"/>
      <c r="Q159" s="16"/>
      <c r="R159" s="16"/>
      <c r="S159" s="37"/>
      <c r="T159" s="38"/>
      <c r="U159" s="38" t="b">
        <f t="shared" si="16"/>
        <v>0</v>
      </c>
      <c r="V159" s="38" t="s">
        <v>33</v>
      </c>
      <c r="W159" s="40"/>
      <c r="X159" s="40"/>
      <c r="Y159" s="40"/>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row>
    <row r="160">
      <c r="A160" s="13" t="s">
        <v>614</v>
      </c>
      <c r="B160" s="30">
        <v>42864.0</v>
      </c>
      <c r="C160" s="31">
        <v>42856.0</v>
      </c>
      <c r="D160" s="32" t="s">
        <v>51</v>
      </c>
      <c r="E160" s="13" t="s">
        <v>31</v>
      </c>
      <c r="F160" s="13">
        <v>1.0</v>
      </c>
      <c r="G160" s="13" t="s">
        <v>32</v>
      </c>
      <c r="H160" s="33">
        <f t="shared" ref="H160:H167" si="22">if(G160="Unknown",1,G160)</f>
        <v>1</v>
      </c>
      <c r="I160" s="13" t="s">
        <v>33</v>
      </c>
      <c r="J160" s="13" t="s">
        <v>279</v>
      </c>
      <c r="K160" s="13">
        <v>2.0</v>
      </c>
      <c r="L160" s="13" t="s">
        <v>575</v>
      </c>
      <c r="M160" s="35" t="s">
        <v>615</v>
      </c>
      <c r="N160" s="15"/>
      <c r="O160" s="16"/>
      <c r="P160" s="16"/>
      <c r="Q160" s="16"/>
      <c r="R160" s="16"/>
      <c r="S160" s="37" t="str">
        <f>IFERROR(__xludf.DUMMYFUNCTION("if(not(iserror(index(split(C160, "" ""),2))), index(split(C160, "" ""),1),"""")"),"May,")</f>
        <v>May,</v>
      </c>
      <c r="T160" s="38">
        <f>IFERROR(__xludf.DUMMYFUNCTION("if(S160="""",C160,if(not(iserror(index(split(C160, "" ""),3))), index(split(C160, "" ""),3),index(split(C160, "" ""),2)))"),2017.0)</f>
        <v>2017</v>
      </c>
      <c r="U160" s="38" t="b">
        <f t="shared" si="16"/>
        <v>0</v>
      </c>
      <c r="V160" s="38"/>
      <c r="W160" s="40"/>
      <c r="X160" s="40"/>
      <c r="Y160" s="40"/>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row>
    <row r="161">
      <c r="A161" s="41" t="s">
        <v>616</v>
      </c>
      <c r="B161" s="30">
        <v>42870.0</v>
      </c>
      <c r="C161" s="31">
        <v>42856.0</v>
      </c>
      <c r="D161" s="32" t="s">
        <v>51</v>
      </c>
      <c r="E161" s="13" t="s">
        <v>41</v>
      </c>
      <c r="F161" s="13">
        <v>1.0</v>
      </c>
      <c r="G161" s="13" t="s">
        <v>32</v>
      </c>
      <c r="H161" s="33">
        <f t="shared" si="22"/>
        <v>1</v>
      </c>
      <c r="I161" s="13" t="s">
        <v>33</v>
      </c>
      <c r="J161" s="13" t="s">
        <v>144</v>
      </c>
      <c r="K161" s="13">
        <v>3.0</v>
      </c>
      <c r="L161" s="13" t="s">
        <v>617</v>
      </c>
      <c r="M161" s="35" t="s">
        <v>618</v>
      </c>
      <c r="N161" s="15"/>
      <c r="O161" s="16"/>
      <c r="P161" s="16"/>
      <c r="Q161" s="16"/>
      <c r="R161" s="16"/>
      <c r="S161" s="37" t="str">
        <f>IFERROR(__xludf.DUMMYFUNCTION("if(not(iserror(index(split(C161, "" ""),2))), index(split(C161, "" ""),1),"""")"),"May,")</f>
        <v>May,</v>
      </c>
      <c r="T161" s="38">
        <f>IFERROR(__xludf.DUMMYFUNCTION("if(S161="""",C161,if(not(iserror(index(split(C161, "" ""),3))), index(split(C161, "" ""),3),index(split(C161, "" ""),2)))"),2017.0)</f>
        <v>2017</v>
      </c>
      <c r="U161" s="38" t="b">
        <f t="shared" si="16"/>
        <v>0</v>
      </c>
      <c r="V161" s="38"/>
      <c r="W161" s="40"/>
      <c r="X161" s="40"/>
      <c r="Y161" s="40"/>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row>
    <row r="162">
      <c r="A162" s="41" t="s">
        <v>619</v>
      </c>
      <c r="B162" s="30">
        <v>42871.0</v>
      </c>
      <c r="C162" s="31">
        <v>42856.0</v>
      </c>
      <c r="D162" s="32" t="s">
        <v>51</v>
      </c>
      <c r="E162" s="13" t="s">
        <v>41</v>
      </c>
      <c r="F162" s="13">
        <v>1.0</v>
      </c>
      <c r="G162" s="13" t="s">
        <v>32</v>
      </c>
      <c r="H162" s="33">
        <f t="shared" si="22"/>
        <v>1</v>
      </c>
      <c r="I162" s="13" t="s">
        <v>33</v>
      </c>
      <c r="J162" s="13" t="s">
        <v>93</v>
      </c>
      <c r="K162" s="13">
        <v>7.0</v>
      </c>
      <c r="L162" s="13" t="s">
        <v>620</v>
      </c>
      <c r="M162" s="35" t="s">
        <v>621</v>
      </c>
      <c r="N162" s="15"/>
      <c r="O162" s="16"/>
      <c r="P162" s="16"/>
      <c r="Q162" s="16"/>
      <c r="R162" s="16"/>
      <c r="S162" s="37" t="str">
        <f>IFERROR(__xludf.DUMMYFUNCTION("if(not(iserror(index(split(C162, "" ""),2))), index(split(C162, "" ""),1),"""")"),"May,")</f>
        <v>May,</v>
      </c>
      <c r="T162" s="38">
        <f>IFERROR(__xludf.DUMMYFUNCTION("if(S162="""",C162,if(not(iserror(index(split(C162, "" ""),3))), index(split(C162, "" ""),3),index(split(C162, "" ""),2)))"),2017.0)</f>
        <v>2017</v>
      </c>
      <c r="U162" s="38" t="b">
        <f t="shared" si="16"/>
        <v>0</v>
      </c>
      <c r="V162" s="38"/>
      <c r="W162" s="40"/>
      <c r="X162" s="40"/>
      <c r="Y162" s="40"/>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row>
    <row r="163">
      <c r="A163" s="41" t="s">
        <v>622</v>
      </c>
      <c r="B163" s="30">
        <v>42874.0</v>
      </c>
      <c r="C163" s="31">
        <v>42856.0</v>
      </c>
      <c r="D163" s="32" t="s">
        <v>51</v>
      </c>
      <c r="E163" s="13" t="s">
        <v>41</v>
      </c>
      <c r="F163" s="13">
        <v>1.0</v>
      </c>
      <c r="G163" s="13" t="s">
        <v>32</v>
      </c>
      <c r="H163" s="33">
        <f t="shared" si="22"/>
        <v>1</v>
      </c>
      <c r="I163" s="13" t="s">
        <v>33</v>
      </c>
      <c r="J163" s="13" t="s">
        <v>115</v>
      </c>
      <c r="K163" s="13">
        <v>2.0</v>
      </c>
      <c r="L163" s="34" t="s">
        <v>349</v>
      </c>
      <c r="M163" s="35" t="s">
        <v>623</v>
      </c>
      <c r="N163" s="15"/>
      <c r="O163" s="16"/>
      <c r="P163" s="16"/>
      <c r="Q163" s="16"/>
      <c r="R163" s="16"/>
      <c r="S163" s="37" t="str">
        <f>IFERROR(__xludf.DUMMYFUNCTION("if(not(iserror(index(split(C163, "" ""),2))), index(split(C163, "" ""),1),"""")"),"May,")</f>
        <v>May,</v>
      </c>
      <c r="T163" s="38">
        <f>IFERROR(__xludf.DUMMYFUNCTION("if(S163="""",C163,if(not(iserror(index(split(C163, "" ""),3))), index(split(C163, "" ""),3),index(split(C163, "" ""),2)))"),2017.0)</f>
        <v>2017</v>
      </c>
      <c r="U163" s="38" t="b">
        <f t="shared" si="16"/>
        <v>0</v>
      </c>
      <c r="V163" s="38"/>
      <c r="W163" s="40"/>
      <c r="X163" s="40"/>
      <c r="Y163" s="40"/>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row>
    <row r="164">
      <c r="A164" s="37" t="s">
        <v>624</v>
      </c>
      <c r="B164" s="30">
        <v>43139.0</v>
      </c>
      <c r="C164" s="31">
        <v>42856.0</v>
      </c>
      <c r="D164" s="32" t="s">
        <v>51</v>
      </c>
      <c r="E164" s="13" t="s">
        <v>41</v>
      </c>
      <c r="F164" s="13">
        <v>1.0</v>
      </c>
      <c r="G164" s="13" t="s">
        <v>32</v>
      </c>
      <c r="H164" s="33">
        <f t="shared" si="22"/>
        <v>1</v>
      </c>
      <c r="I164" s="13" t="s">
        <v>33</v>
      </c>
      <c r="J164" s="13" t="s">
        <v>268</v>
      </c>
      <c r="K164" s="13">
        <v>3.0</v>
      </c>
      <c r="L164" s="13" t="s">
        <v>625</v>
      </c>
      <c r="M164" s="35" t="s">
        <v>626</v>
      </c>
      <c r="N164" s="15"/>
      <c r="O164" s="37"/>
      <c r="P164" s="37"/>
      <c r="Q164" s="64"/>
      <c r="R164" s="16"/>
      <c r="S164" s="37" t="str">
        <f>IFERROR(__xludf.DUMMYFUNCTION("if(not(iserror(index(split(C164, "" ""),2))), index(split(C164, "" ""),1),"""")"),"May,")</f>
        <v>May,</v>
      </c>
      <c r="T164" s="38">
        <f>IFERROR(__xludf.DUMMYFUNCTION("if(S164="""",C164,if(not(iserror(index(split(C164, "" ""),3))), index(split(C164, "" ""),3),index(split(C164, "" ""),2)))"),2017.0)</f>
        <v>2017</v>
      </c>
      <c r="U164" s="38" t="b">
        <f t="shared" si="16"/>
        <v>0</v>
      </c>
      <c r="V164" s="38"/>
      <c r="W164" s="40"/>
      <c r="X164" s="40"/>
      <c r="Y164" s="40"/>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row>
    <row r="165">
      <c r="A165" s="58" t="s">
        <v>627</v>
      </c>
      <c r="B165" s="59">
        <v>43294.0</v>
      </c>
      <c r="C165" s="79">
        <v>42856.0</v>
      </c>
      <c r="D165" s="60" t="s">
        <v>51</v>
      </c>
      <c r="E165" s="58" t="s">
        <v>41</v>
      </c>
      <c r="F165" s="58">
        <v>1.0</v>
      </c>
      <c r="G165" s="58" t="s">
        <v>32</v>
      </c>
      <c r="H165" s="33">
        <f t="shared" si="22"/>
        <v>1</v>
      </c>
      <c r="I165" s="58" t="s">
        <v>33</v>
      </c>
      <c r="J165" s="58" t="s">
        <v>55</v>
      </c>
      <c r="K165" s="58">
        <v>3.0</v>
      </c>
      <c r="L165" s="58" t="s">
        <v>99</v>
      </c>
      <c r="M165" s="46" t="s">
        <v>628</v>
      </c>
      <c r="N165" s="77"/>
      <c r="O165" s="62"/>
      <c r="P165" s="62"/>
      <c r="Q165" s="62"/>
      <c r="R165" s="62"/>
      <c r="S165" s="37" t="str">
        <f>IFERROR(__xludf.DUMMYFUNCTION("if(not(iserror(index(split(C165, "" ""),2))), index(split(C165, "" ""),1),"""")"),"May,")</f>
        <v>May,</v>
      </c>
      <c r="T165" s="38">
        <f>IFERROR(__xludf.DUMMYFUNCTION("if(S165="""",C165,if(not(iserror(index(split(C165, "" ""),3))), index(split(C165, "" ""),3),index(split(C165, "" ""),2)))"),2017.0)</f>
        <v>2017</v>
      </c>
      <c r="U165" s="38" t="b">
        <f t="shared" si="16"/>
        <v>0</v>
      </c>
      <c r="V165" s="38"/>
      <c r="W165" s="40"/>
      <c r="X165" s="40"/>
      <c r="Y165" s="40"/>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row>
    <row r="166">
      <c r="A166" s="58" t="s">
        <v>629</v>
      </c>
      <c r="B166" s="59">
        <v>43315.0</v>
      </c>
      <c r="C166" s="79">
        <v>42856.0</v>
      </c>
      <c r="D166" s="60" t="s">
        <v>51</v>
      </c>
      <c r="E166" s="58" t="s">
        <v>41</v>
      </c>
      <c r="F166" s="58">
        <v>1.0</v>
      </c>
      <c r="G166" s="58" t="s">
        <v>32</v>
      </c>
      <c r="H166" s="33">
        <f t="shared" si="22"/>
        <v>1</v>
      </c>
      <c r="I166" s="58" t="s">
        <v>33</v>
      </c>
      <c r="J166" s="58" t="s">
        <v>203</v>
      </c>
      <c r="K166" s="58">
        <v>2.0</v>
      </c>
      <c r="L166" s="58" t="s">
        <v>69</v>
      </c>
      <c r="M166" s="61" t="s">
        <v>630</v>
      </c>
      <c r="N166" s="77"/>
      <c r="O166" s="58"/>
      <c r="P166" s="62"/>
      <c r="Q166" s="84"/>
      <c r="R166" s="62"/>
      <c r="S166" s="37" t="str">
        <f>IFERROR(__xludf.DUMMYFUNCTION("if(not(iserror(index(split(C166, "" ""),2))), index(split(C166, "" ""),1),"""")"),"May,")</f>
        <v>May,</v>
      </c>
      <c r="T166" s="38">
        <f>IFERROR(__xludf.DUMMYFUNCTION("if(S166="""",C166,if(not(iserror(index(split(C166, "" ""),3))), index(split(C166, "" ""),3),index(split(C166, "" ""),2)))"),2017.0)</f>
        <v>2017</v>
      </c>
      <c r="U166" s="38" t="b">
        <f t="shared" si="16"/>
        <v>0</v>
      </c>
      <c r="V166" s="38"/>
      <c r="W166" s="40"/>
      <c r="X166" s="40"/>
      <c r="Y166" s="40"/>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row>
    <row r="167">
      <c r="A167" s="58" t="s">
        <v>631</v>
      </c>
      <c r="B167" s="59">
        <v>43315.0</v>
      </c>
      <c r="C167" s="79">
        <v>42856.0</v>
      </c>
      <c r="D167" s="60" t="s">
        <v>632</v>
      </c>
      <c r="E167" s="58" t="s">
        <v>31</v>
      </c>
      <c r="F167" s="58">
        <v>1.0</v>
      </c>
      <c r="G167" s="58" t="s">
        <v>32</v>
      </c>
      <c r="H167" s="33">
        <f t="shared" si="22"/>
        <v>1</v>
      </c>
      <c r="I167" s="58" t="s">
        <v>33</v>
      </c>
      <c r="J167" s="58" t="s">
        <v>115</v>
      </c>
      <c r="K167" s="58" t="s">
        <v>32</v>
      </c>
      <c r="L167" s="58" t="s">
        <v>52</v>
      </c>
      <c r="M167" s="61" t="s">
        <v>633</v>
      </c>
      <c r="N167" s="77"/>
      <c r="O167" s="62"/>
      <c r="P167" s="62"/>
      <c r="Q167" s="62"/>
      <c r="R167" s="62"/>
      <c r="S167" s="37" t="str">
        <f>IFERROR(__xludf.DUMMYFUNCTION("if(not(iserror(index(split(C167, "" ""),2))), index(split(C167, "" ""),1),"""")"),"May,")</f>
        <v>May,</v>
      </c>
      <c r="T167" s="38">
        <f>IFERROR(__xludf.DUMMYFUNCTION("if(S167="""",C167,if(not(iserror(index(split(C167, "" ""),3))), index(split(C167, "" ""),3),index(split(C167, "" ""),2)))"),2017.0)</f>
        <v>2017</v>
      </c>
      <c r="U167" s="38" t="b">
        <f t="shared" si="16"/>
        <v>0</v>
      </c>
      <c r="V167" s="38"/>
      <c r="W167" s="40"/>
      <c r="X167" s="40"/>
      <c r="Y167" s="40"/>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row>
    <row r="168">
      <c r="A168" s="58" t="s">
        <v>634</v>
      </c>
      <c r="B168" s="59"/>
      <c r="C168" s="79">
        <v>42856.0</v>
      </c>
      <c r="D168" s="60"/>
      <c r="E168" s="58" t="s">
        <v>41</v>
      </c>
      <c r="F168" s="58">
        <v>1.0</v>
      </c>
      <c r="G168" s="58" t="s">
        <v>32</v>
      </c>
      <c r="H168" s="43">
        <v>1.0</v>
      </c>
      <c r="I168" s="58" t="s">
        <v>33</v>
      </c>
      <c r="J168" s="58" t="s">
        <v>93</v>
      </c>
      <c r="K168" s="58"/>
      <c r="L168" s="58" t="s">
        <v>76</v>
      </c>
      <c r="M168" s="80" t="s">
        <v>635</v>
      </c>
      <c r="N168" s="77"/>
      <c r="O168" s="62"/>
      <c r="P168" s="62"/>
      <c r="Q168" s="58">
        <v>1.0</v>
      </c>
      <c r="R168" s="62"/>
      <c r="S168" s="37" t="str">
        <f>IFERROR(__xludf.DUMMYFUNCTION("if(not(iserror(index(split(C168, "" ""),2))), index(split(C168, "" ""),1),"""")"),"May,")</f>
        <v>May,</v>
      </c>
      <c r="T168" s="38">
        <f>IFERROR(__xludf.DUMMYFUNCTION("if(S168="""",C168,if(not(iserror(index(split(C168, "" ""),3))), index(split(C168, "" ""),3),index(split(C168, "" ""),2)))"),2017.0)</f>
        <v>2017</v>
      </c>
      <c r="U168" s="38" t="b">
        <f t="shared" si="16"/>
        <v>0</v>
      </c>
      <c r="V168" s="38" t="s">
        <v>33</v>
      </c>
      <c r="W168" s="40"/>
      <c r="X168" s="40"/>
      <c r="Y168" s="40"/>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row>
    <row r="169">
      <c r="A169" s="58" t="s">
        <v>636</v>
      </c>
      <c r="B169" s="59">
        <v>43334.0</v>
      </c>
      <c r="C169" s="79">
        <v>42856.0</v>
      </c>
      <c r="D169" s="60" t="s">
        <v>637</v>
      </c>
      <c r="E169" s="58" t="s">
        <v>41</v>
      </c>
      <c r="F169" s="58">
        <v>1.0</v>
      </c>
      <c r="G169" s="58" t="s">
        <v>32</v>
      </c>
      <c r="H169" s="33">
        <f t="shared" ref="H169:H171" si="23">if(G169="Unknown",1,G169)</f>
        <v>1</v>
      </c>
      <c r="I169" s="58" t="s">
        <v>33</v>
      </c>
      <c r="J169" s="58" t="s">
        <v>268</v>
      </c>
      <c r="K169" s="58">
        <v>1.0</v>
      </c>
      <c r="L169" s="58" t="s">
        <v>119</v>
      </c>
      <c r="M169" s="61" t="s">
        <v>638</v>
      </c>
      <c r="N169" s="77"/>
      <c r="O169" s="58"/>
      <c r="P169" s="62"/>
      <c r="Q169" s="58"/>
      <c r="R169" s="62"/>
      <c r="S169" s="37" t="str">
        <f>IFERROR(__xludf.DUMMYFUNCTION("if(not(iserror(index(split(C169, "" ""),2))), index(split(C169, "" ""),1),"""")"),"May,")</f>
        <v>May,</v>
      </c>
      <c r="T169" s="38">
        <f>IFERROR(__xludf.DUMMYFUNCTION("if(S169="""",C169,if(not(iserror(index(split(C169, "" ""),3))), index(split(C169, "" ""),3),index(split(C169, "" ""),2)))"),2017.0)</f>
        <v>2017</v>
      </c>
      <c r="U169" s="38" t="b">
        <f t="shared" si="16"/>
        <v>0</v>
      </c>
      <c r="V169" s="38"/>
      <c r="W169" s="40"/>
      <c r="X169" s="40"/>
      <c r="Y169" s="40"/>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row>
    <row r="170">
      <c r="A170" s="58" t="s">
        <v>639</v>
      </c>
      <c r="B170" s="59">
        <v>43378.0</v>
      </c>
      <c r="C170" s="79">
        <v>42856.0</v>
      </c>
      <c r="D170" s="60" t="s">
        <v>640</v>
      </c>
      <c r="E170" s="58" t="s">
        <v>41</v>
      </c>
      <c r="F170" s="58">
        <v>1.0</v>
      </c>
      <c r="G170" s="58" t="s">
        <v>32</v>
      </c>
      <c r="H170" s="33">
        <f t="shared" si="23"/>
        <v>1</v>
      </c>
      <c r="I170" s="58" t="s">
        <v>33</v>
      </c>
      <c r="J170" s="58" t="s">
        <v>106</v>
      </c>
      <c r="K170" s="58" t="s">
        <v>32</v>
      </c>
      <c r="L170" s="58" t="s">
        <v>119</v>
      </c>
      <c r="M170" s="61" t="s">
        <v>641</v>
      </c>
      <c r="N170" s="61" t="s">
        <v>642</v>
      </c>
      <c r="O170" s="83" t="str">
        <f>hyperlink("https://bad-boys.us/?q=D-MD/1:18-cr-00075", "D-MD 1:18-cr-00075 ❓")</f>
        <v>D-MD 1:18-cr-00075 ❓</v>
      </c>
      <c r="P170" s="62"/>
      <c r="Q170" s="84">
        <v>1.0</v>
      </c>
      <c r="R170" s="62"/>
      <c r="S170" s="37" t="str">
        <f>IFERROR(__xludf.DUMMYFUNCTION("if(not(iserror(index(split(C170, "" ""),2))), index(split(C170, "" ""),1),"""")"),"May,")</f>
        <v>May,</v>
      </c>
      <c r="T170" s="38">
        <f>IFERROR(__xludf.DUMMYFUNCTION("if(S170="""",C170,if(not(iserror(index(split(C170, "" ""),3))), index(split(C170, "" ""),3),index(split(C170, "" ""),2)))"),2017.0)</f>
        <v>2017</v>
      </c>
      <c r="U170" s="38" t="b">
        <f t="shared" si="16"/>
        <v>0</v>
      </c>
      <c r="V170" s="38"/>
      <c r="W170" s="40"/>
      <c r="X170" s="40"/>
      <c r="Y170" s="40"/>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row>
    <row r="171">
      <c r="A171" s="58" t="s">
        <v>643</v>
      </c>
      <c r="B171" s="59">
        <v>43391.0</v>
      </c>
      <c r="C171" s="79">
        <v>42856.0</v>
      </c>
      <c r="D171" s="60" t="s">
        <v>51</v>
      </c>
      <c r="E171" s="58" t="s">
        <v>41</v>
      </c>
      <c r="F171" s="58">
        <v>1.0</v>
      </c>
      <c r="G171" s="58" t="s">
        <v>32</v>
      </c>
      <c r="H171" s="33">
        <f t="shared" si="23"/>
        <v>1</v>
      </c>
      <c r="I171" s="58" t="s">
        <v>33</v>
      </c>
      <c r="J171" s="58" t="s">
        <v>203</v>
      </c>
      <c r="K171" s="58">
        <v>3.0</v>
      </c>
      <c r="L171" s="58" t="s">
        <v>69</v>
      </c>
      <c r="M171" s="105" t="s">
        <v>644</v>
      </c>
      <c r="N171" s="80"/>
      <c r="O171" s="62"/>
      <c r="P171" s="62"/>
      <c r="Q171" s="62"/>
      <c r="R171" s="62"/>
      <c r="S171" s="37" t="str">
        <f>IFERROR(__xludf.DUMMYFUNCTION("if(not(iserror(index(split(C171, "" ""),2))), index(split(C171, "" ""),1),"""")"),"May,")</f>
        <v>May,</v>
      </c>
      <c r="T171" s="38">
        <f>IFERROR(__xludf.DUMMYFUNCTION("if(S171="""",C171,if(not(iserror(index(split(C171, "" ""),3))), index(split(C171, "" ""),3),index(split(C171, "" ""),2)))"),2017.0)</f>
        <v>2017</v>
      </c>
      <c r="U171" s="38" t="b">
        <f t="shared" si="16"/>
        <v>0</v>
      </c>
      <c r="V171" s="38"/>
      <c r="W171" s="40"/>
      <c r="X171" s="40"/>
      <c r="Y171" s="40"/>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row>
    <row r="172">
      <c r="A172" s="58" t="s">
        <v>645</v>
      </c>
      <c r="B172" s="59"/>
      <c r="C172" s="79">
        <v>42856.0</v>
      </c>
      <c r="D172" s="60"/>
      <c r="E172" s="58" t="s">
        <v>41</v>
      </c>
      <c r="F172" s="58">
        <v>1.0</v>
      </c>
      <c r="G172" s="58" t="s">
        <v>32</v>
      </c>
      <c r="H172" s="43">
        <v>1.0</v>
      </c>
      <c r="I172" s="58" t="s">
        <v>33</v>
      </c>
      <c r="J172" s="58" t="s">
        <v>241</v>
      </c>
      <c r="K172" s="58"/>
      <c r="L172" s="58" t="s">
        <v>646</v>
      </c>
      <c r="M172" s="105" t="s">
        <v>647</v>
      </c>
      <c r="N172" s="80"/>
      <c r="O172" s="62"/>
      <c r="P172" s="62"/>
      <c r="Q172" s="62"/>
      <c r="R172" s="62"/>
      <c r="S172" s="37" t="str">
        <f>IFERROR(__xludf.DUMMYFUNCTION("if(not(iserror(index(split(C172, "" ""),2))), index(split(C172, "" ""),1),"""")"),"May,")</f>
        <v>May,</v>
      </c>
      <c r="T172" s="38">
        <f>IFERROR(__xludf.DUMMYFUNCTION("if(S172="""",C172,if(not(iserror(index(split(C172, "" ""),3))), index(split(C172, "" ""),3),index(split(C172, "" ""),2)))"),2017.0)</f>
        <v>2017</v>
      </c>
      <c r="U172" s="38" t="b">
        <f t="shared" si="16"/>
        <v>0</v>
      </c>
      <c r="V172" s="38" t="s">
        <v>33</v>
      </c>
      <c r="W172" s="40"/>
      <c r="X172" s="40"/>
      <c r="Y172" s="40"/>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row>
    <row r="173">
      <c r="A173" s="58" t="s">
        <v>648</v>
      </c>
      <c r="B173" s="59">
        <v>43423.0</v>
      </c>
      <c r="C173" s="79">
        <v>42856.0</v>
      </c>
      <c r="D173" s="60" t="s">
        <v>649</v>
      </c>
      <c r="E173" s="58" t="s">
        <v>41</v>
      </c>
      <c r="F173" s="58">
        <v>1.0</v>
      </c>
      <c r="G173" s="58" t="s">
        <v>32</v>
      </c>
      <c r="H173" s="33">
        <f>if(G173="Unknown",1,G173)</f>
        <v>1</v>
      </c>
      <c r="I173" s="58" t="s">
        <v>33</v>
      </c>
      <c r="J173" s="58" t="s">
        <v>115</v>
      </c>
      <c r="K173" s="58" t="s">
        <v>32</v>
      </c>
      <c r="L173" s="58" t="s">
        <v>69</v>
      </c>
      <c r="M173" s="80" t="s">
        <v>650</v>
      </c>
      <c r="N173" s="106"/>
      <c r="O173" s="58"/>
      <c r="P173" s="62"/>
      <c r="Q173" s="84"/>
      <c r="R173" s="62"/>
      <c r="S173" s="37" t="str">
        <f>IFERROR(__xludf.DUMMYFUNCTION("if(not(iserror(index(split(C173, "" ""),2))), index(split(C173, "" ""),1),"""")"),"May,")</f>
        <v>May,</v>
      </c>
      <c r="T173" s="38">
        <f>IFERROR(__xludf.DUMMYFUNCTION("if(S173="""",C173,if(not(iserror(index(split(C173, "" ""),3))), index(split(C173, "" ""),3),index(split(C173, "" ""),2)))"),2017.0)</f>
        <v>2017</v>
      </c>
      <c r="U173" s="38" t="b">
        <f t="shared" si="16"/>
        <v>0</v>
      </c>
      <c r="V173" s="38"/>
      <c r="W173" s="40"/>
      <c r="X173" s="40"/>
      <c r="Y173" s="40"/>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row>
    <row r="174">
      <c r="A174" s="47" t="s">
        <v>651</v>
      </c>
      <c r="B174" s="48">
        <v>43473.0</v>
      </c>
      <c r="C174" s="89">
        <v>42856.0</v>
      </c>
      <c r="D174" s="49" t="s">
        <v>649</v>
      </c>
      <c r="E174" s="47" t="s">
        <v>41</v>
      </c>
      <c r="F174" s="47">
        <v>1.0</v>
      </c>
      <c r="G174" s="47">
        <v>1.0</v>
      </c>
      <c r="H174" s="50">
        <v>1.0</v>
      </c>
      <c r="I174" s="47" t="s">
        <v>33</v>
      </c>
      <c r="J174" s="47" t="s">
        <v>652</v>
      </c>
      <c r="K174" s="47">
        <v>4.0</v>
      </c>
      <c r="L174" s="47" t="s">
        <v>653</v>
      </c>
      <c r="M174" s="51" t="s">
        <v>654</v>
      </c>
      <c r="N174" s="52"/>
      <c r="O174" s="55"/>
      <c r="P174" s="47"/>
      <c r="Q174" s="47"/>
      <c r="R174" s="55"/>
      <c r="S174" s="37" t="str">
        <f>IFERROR(__xludf.DUMMYFUNCTION("if(not(iserror(index(split(C174, "" ""),2))), index(split(C174, "" ""),1),"""")"),"May,")</f>
        <v>May,</v>
      </c>
      <c r="T174" s="38">
        <f>IFERROR(__xludf.DUMMYFUNCTION("if(S174="""",C174,if(not(iserror(index(split(C174, "" ""),3))), index(split(C174, "" ""),3),index(split(C174, "" ""),2)))"),2017.0)</f>
        <v>2017</v>
      </c>
      <c r="U174" s="38" t="b">
        <f t="shared" si="16"/>
        <v>0</v>
      </c>
      <c r="V174" s="38"/>
      <c r="W174" s="40"/>
      <c r="X174" s="40"/>
      <c r="Y174" s="40"/>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row>
    <row r="175">
      <c r="A175" s="47" t="s">
        <v>655</v>
      </c>
      <c r="B175" s="48"/>
      <c r="C175" s="89">
        <v>42856.0</v>
      </c>
      <c r="D175" s="49"/>
      <c r="E175" s="47" t="s">
        <v>41</v>
      </c>
      <c r="F175" s="47">
        <v>1.0</v>
      </c>
      <c r="G175" s="47" t="s">
        <v>32</v>
      </c>
      <c r="H175" s="50">
        <v>1.0</v>
      </c>
      <c r="I175" s="47" t="s">
        <v>33</v>
      </c>
      <c r="J175" s="47" t="s">
        <v>93</v>
      </c>
      <c r="K175" s="47"/>
      <c r="L175" s="47" t="s">
        <v>119</v>
      </c>
      <c r="M175" s="52" t="s">
        <v>656</v>
      </c>
      <c r="N175" s="52"/>
      <c r="O175" s="55"/>
      <c r="P175" s="47"/>
      <c r="Q175" s="47">
        <v>1.0</v>
      </c>
      <c r="R175" s="55"/>
      <c r="S175" s="37"/>
      <c r="T175" s="38"/>
      <c r="U175" s="38"/>
      <c r="V175" s="38"/>
      <c r="W175" s="40"/>
      <c r="X175" s="40"/>
      <c r="Y175" s="40"/>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row>
    <row r="176">
      <c r="A176" s="47" t="s">
        <v>657</v>
      </c>
      <c r="B176" s="48">
        <v>43494.0</v>
      </c>
      <c r="C176" s="89">
        <v>42856.0</v>
      </c>
      <c r="D176" s="49" t="s">
        <v>51</v>
      </c>
      <c r="E176" s="47" t="s">
        <v>41</v>
      </c>
      <c r="F176" s="47">
        <v>1.0</v>
      </c>
      <c r="G176" s="47" t="s">
        <v>32</v>
      </c>
      <c r="H176" s="50">
        <v>1.0</v>
      </c>
      <c r="I176" s="47" t="s">
        <v>33</v>
      </c>
      <c r="J176" s="47" t="s">
        <v>283</v>
      </c>
      <c r="K176" s="47">
        <v>2.0</v>
      </c>
      <c r="L176" s="47" t="s">
        <v>119</v>
      </c>
      <c r="M176" s="51" t="s">
        <v>658</v>
      </c>
      <c r="N176" s="51" t="s">
        <v>659</v>
      </c>
      <c r="O176" s="55"/>
      <c r="P176" s="47"/>
      <c r="Q176" s="47"/>
      <c r="R176" s="55"/>
      <c r="S176" s="37" t="str">
        <f>IFERROR(__xludf.DUMMYFUNCTION("if(not(iserror(index(split(C176, "" ""),2))), index(split(C176, "" ""),1),"""")"),"May,")</f>
        <v>May,</v>
      </c>
      <c r="T176" s="38">
        <f>IFERROR(__xludf.DUMMYFUNCTION("if(S176="""",C176,if(not(iserror(index(split(C176, "" ""),3))), index(split(C176, "" ""),3),index(split(C176, "" ""),2)))"),2017.0)</f>
        <v>2017</v>
      </c>
      <c r="U176" s="38" t="b">
        <f t="shared" ref="U176:U195" si="24">countif(A$4:A4658, A176)&gt;1</f>
        <v>0</v>
      </c>
      <c r="V176" s="38"/>
      <c r="W176" s="40"/>
      <c r="X176" s="40"/>
      <c r="Y176" s="40"/>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row>
    <row r="177">
      <c r="A177" s="13" t="s">
        <v>660</v>
      </c>
      <c r="B177" s="30">
        <v>42857.0</v>
      </c>
      <c r="C177" s="30">
        <v>42857.0</v>
      </c>
      <c r="D177" s="32" t="s">
        <v>661</v>
      </c>
      <c r="E177" s="13" t="s">
        <v>31</v>
      </c>
      <c r="F177" s="13">
        <v>5.0</v>
      </c>
      <c r="G177" s="13">
        <v>1.0</v>
      </c>
      <c r="H177" s="33">
        <f t="shared" ref="H177:H191" si="25">if(G177="Unknown",1,G177)</f>
        <v>1</v>
      </c>
      <c r="I177" s="13" t="s">
        <v>33</v>
      </c>
      <c r="J177" s="13" t="s">
        <v>115</v>
      </c>
      <c r="K177" s="13">
        <v>1.0</v>
      </c>
      <c r="L177" s="13" t="s">
        <v>35</v>
      </c>
      <c r="M177" s="35" t="s">
        <v>662</v>
      </c>
      <c r="N177" s="36" t="s">
        <v>663</v>
      </c>
      <c r="O177" s="16"/>
      <c r="P177" s="16"/>
      <c r="Q177" s="16"/>
      <c r="R177" s="16"/>
      <c r="S177" s="37" t="str">
        <f>IFERROR(__xludf.DUMMYFUNCTION("if(not(iserror(index(split(C177, "" ""),2))), index(split(C177, "" ""),1),"""")"),"May")</f>
        <v>May</v>
      </c>
      <c r="T177" s="38">
        <f>IFERROR(__xludf.DUMMYFUNCTION("if(S177="""",C177,if(not(iserror(index(split(C177, "" ""),3))), index(split(C177, "" ""),3),index(split(C177, "" ""),2)))"),2017.0)</f>
        <v>2017</v>
      </c>
      <c r="U177" s="38" t="b">
        <f t="shared" si="24"/>
        <v>1</v>
      </c>
      <c r="V177" s="38"/>
      <c r="W177" s="40"/>
      <c r="X177" s="40"/>
      <c r="Y177" s="40"/>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row>
    <row r="178">
      <c r="A178" s="41" t="s">
        <v>664</v>
      </c>
      <c r="B178" s="30">
        <v>42881.0</v>
      </c>
      <c r="C178" s="30">
        <v>42858.0</v>
      </c>
      <c r="D178" s="32" t="s">
        <v>665</v>
      </c>
      <c r="E178" s="13" t="s">
        <v>31</v>
      </c>
      <c r="F178" s="13">
        <v>1.0</v>
      </c>
      <c r="G178" s="13" t="s">
        <v>32</v>
      </c>
      <c r="H178" s="33">
        <f t="shared" si="25"/>
        <v>1</v>
      </c>
      <c r="I178" s="13" t="s">
        <v>33</v>
      </c>
      <c r="J178" s="13" t="s">
        <v>179</v>
      </c>
      <c r="K178" s="13">
        <v>2.0</v>
      </c>
      <c r="L178" s="13" t="s">
        <v>666</v>
      </c>
      <c r="M178" s="35" t="s">
        <v>667</v>
      </c>
      <c r="N178" s="15"/>
      <c r="O178" s="16"/>
      <c r="P178" s="16"/>
      <c r="Q178" s="16"/>
      <c r="R178" s="16"/>
      <c r="S178" s="37" t="str">
        <f>IFERROR(__xludf.DUMMYFUNCTION("if(not(iserror(index(split(C178, "" ""),2))), index(split(C178, "" ""),1),"""")"),"May")</f>
        <v>May</v>
      </c>
      <c r="T178" s="38">
        <f>IFERROR(__xludf.DUMMYFUNCTION("if(S178="""",C178,if(not(iserror(index(split(C178, "" ""),3))), index(split(C178, "" ""),3),index(split(C178, "" ""),2)))"),2017.0)</f>
        <v>2017</v>
      </c>
      <c r="U178" s="38" t="b">
        <f t="shared" si="24"/>
        <v>0</v>
      </c>
      <c r="V178" s="38"/>
      <c r="W178" s="40"/>
      <c r="X178" s="40"/>
      <c r="Y178" s="40"/>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row>
    <row r="179">
      <c r="A179" s="13" t="s">
        <v>668</v>
      </c>
      <c r="B179" s="30">
        <v>42859.0</v>
      </c>
      <c r="C179" s="30">
        <v>42859.0</v>
      </c>
      <c r="D179" s="32" t="s">
        <v>669</v>
      </c>
      <c r="E179" s="13" t="s">
        <v>41</v>
      </c>
      <c r="F179" s="13">
        <v>1.0</v>
      </c>
      <c r="G179" s="13" t="s">
        <v>32</v>
      </c>
      <c r="H179" s="33">
        <f t="shared" si="25"/>
        <v>1</v>
      </c>
      <c r="I179" s="13" t="s">
        <v>33</v>
      </c>
      <c r="J179" s="13" t="s">
        <v>318</v>
      </c>
      <c r="K179" s="13">
        <v>13.0</v>
      </c>
      <c r="L179" s="13" t="s">
        <v>670</v>
      </c>
      <c r="M179" s="35" t="s">
        <v>671</v>
      </c>
      <c r="N179" s="15"/>
      <c r="O179" s="16"/>
      <c r="P179" s="16"/>
      <c r="Q179" s="16"/>
      <c r="R179" s="16"/>
      <c r="S179" s="37" t="str">
        <f>IFERROR(__xludf.DUMMYFUNCTION("if(not(iserror(index(split(C179, "" ""),2))), index(split(C179, "" ""),1),"""")"),"May")</f>
        <v>May</v>
      </c>
      <c r="T179" s="38">
        <f>IFERROR(__xludf.DUMMYFUNCTION("if(S179="""",C179,if(not(iserror(index(split(C179, "" ""),3))), index(split(C179, "" ""),3),index(split(C179, "" ""),2)))"),2017.0)</f>
        <v>2017</v>
      </c>
      <c r="U179" s="38" t="b">
        <f t="shared" si="24"/>
        <v>0</v>
      </c>
      <c r="V179" s="38"/>
      <c r="W179" s="40"/>
      <c r="X179" s="40"/>
      <c r="Y179" s="40"/>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row>
    <row r="180">
      <c r="A180" s="90" t="s">
        <v>672</v>
      </c>
      <c r="B180" s="30">
        <v>42859.0</v>
      </c>
      <c r="C180" s="30">
        <v>42859.0</v>
      </c>
      <c r="D180" s="32" t="s">
        <v>669</v>
      </c>
      <c r="E180" s="13" t="s">
        <v>41</v>
      </c>
      <c r="F180" s="13">
        <v>1.0</v>
      </c>
      <c r="G180" s="13" t="s">
        <v>32</v>
      </c>
      <c r="H180" s="33">
        <f t="shared" si="25"/>
        <v>1</v>
      </c>
      <c r="I180" s="13" t="s">
        <v>33</v>
      </c>
      <c r="J180" s="13" t="s">
        <v>318</v>
      </c>
      <c r="K180" s="13">
        <v>13.0</v>
      </c>
      <c r="L180" s="13" t="s">
        <v>670</v>
      </c>
      <c r="M180" s="35" t="s">
        <v>671</v>
      </c>
      <c r="N180" s="15"/>
      <c r="O180" s="16"/>
      <c r="P180" s="16"/>
      <c r="Q180" s="16"/>
      <c r="R180" s="16"/>
      <c r="S180" s="37" t="str">
        <f>IFERROR(__xludf.DUMMYFUNCTION("if(not(iserror(index(split(C180, "" ""),2))), index(split(C180, "" ""),1),"""")"),"May")</f>
        <v>May</v>
      </c>
      <c r="T180" s="38">
        <f>IFERROR(__xludf.DUMMYFUNCTION("if(S180="""",C180,if(not(iserror(index(split(C180, "" ""),3))), index(split(C180, "" ""),3),index(split(C180, "" ""),2)))"),2017.0)</f>
        <v>2017</v>
      </c>
      <c r="U180" s="38" t="b">
        <f t="shared" si="24"/>
        <v>0</v>
      </c>
      <c r="V180" s="38"/>
      <c r="W180" s="40"/>
      <c r="X180" s="40"/>
      <c r="Y180" s="40"/>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row>
    <row r="181">
      <c r="A181" s="90" t="s">
        <v>673</v>
      </c>
      <c r="B181" s="30">
        <v>42859.0</v>
      </c>
      <c r="C181" s="30">
        <v>42859.0</v>
      </c>
      <c r="D181" s="32" t="s">
        <v>669</v>
      </c>
      <c r="E181" s="13" t="s">
        <v>41</v>
      </c>
      <c r="F181" s="13">
        <v>1.0</v>
      </c>
      <c r="G181" s="13" t="s">
        <v>32</v>
      </c>
      <c r="H181" s="33">
        <f t="shared" si="25"/>
        <v>1</v>
      </c>
      <c r="I181" s="13" t="s">
        <v>33</v>
      </c>
      <c r="J181" s="13" t="s">
        <v>318</v>
      </c>
      <c r="K181" s="13">
        <v>13.0</v>
      </c>
      <c r="L181" s="13" t="s">
        <v>670</v>
      </c>
      <c r="M181" s="35" t="s">
        <v>671</v>
      </c>
      <c r="N181" s="15"/>
      <c r="O181" s="16"/>
      <c r="P181" s="16"/>
      <c r="Q181" s="16"/>
      <c r="R181" s="16"/>
      <c r="S181" s="37" t="str">
        <f>IFERROR(__xludf.DUMMYFUNCTION("if(not(iserror(index(split(C181, "" ""),2))), index(split(C181, "" ""),1),"""")"),"May")</f>
        <v>May</v>
      </c>
      <c r="T181" s="38">
        <f>IFERROR(__xludf.DUMMYFUNCTION("if(S181="""",C181,if(not(iserror(index(split(C181, "" ""),3))), index(split(C181, "" ""),3),index(split(C181, "" ""),2)))"),2017.0)</f>
        <v>2017</v>
      </c>
      <c r="U181" s="38" t="b">
        <f t="shared" si="24"/>
        <v>0</v>
      </c>
      <c r="V181" s="38"/>
      <c r="W181" s="40"/>
      <c r="X181" s="40"/>
      <c r="Y181" s="40"/>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row>
    <row r="182">
      <c r="A182" s="90" t="s">
        <v>674</v>
      </c>
      <c r="B182" s="30">
        <v>42859.0</v>
      </c>
      <c r="C182" s="30">
        <v>42859.0</v>
      </c>
      <c r="D182" s="32" t="s">
        <v>669</v>
      </c>
      <c r="E182" s="13" t="s">
        <v>41</v>
      </c>
      <c r="F182" s="13">
        <v>1.0</v>
      </c>
      <c r="G182" s="13" t="s">
        <v>32</v>
      </c>
      <c r="H182" s="33">
        <f t="shared" si="25"/>
        <v>1</v>
      </c>
      <c r="I182" s="13" t="s">
        <v>33</v>
      </c>
      <c r="J182" s="13" t="s">
        <v>318</v>
      </c>
      <c r="K182" s="13">
        <v>13.0</v>
      </c>
      <c r="L182" s="13" t="s">
        <v>670</v>
      </c>
      <c r="M182" s="35" t="s">
        <v>671</v>
      </c>
      <c r="N182" s="15"/>
      <c r="O182" s="16"/>
      <c r="P182" s="16"/>
      <c r="Q182" s="16"/>
      <c r="R182" s="16"/>
      <c r="S182" s="37" t="str">
        <f>IFERROR(__xludf.DUMMYFUNCTION("if(not(iserror(index(split(C182, "" ""),2))), index(split(C182, "" ""),1),"""")"),"May")</f>
        <v>May</v>
      </c>
      <c r="T182" s="38">
        <f>IFERROR(__xludf.DUMMYFUNCTION("if(S182="""",C182,if(not(iserror(index(split(C182, "" ""),3))), index(split(C182, "" ""),3),index(split(C182, "" ""),2)))"),2017.0)</f>
        <v>2017</v>
      </c>
      <c r="U182" s="38" t="b">
        <f t="shared" si="24"/>
        <v>0</v>
      </c>
      <c r="V182" s="38"/>
      <c r="W182" s="40"/>
      <c r="X182" s="40"/>
      <c r="Y182" s="40"/>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row>
    <row r="183">
      <c r="A183" s="90" t="s">
        <v>675</v>
      </c>
      <c r="B183" s="30">
        <v>42859.0</v>
      </c>
      <c r="C183" s="30">
        <v>42859.0</v>
      </c>
      <c r="D183" s="32" t="s">
        <v>669</v>
      </c>
      <c r="E183" s="13" t="s">
        <v>41</v>
      </c>
      <c r="F183" s="13">
        <v>1.0</v>
      </c>
      <c r="G183" s="13" t="s">
        <v>32</v>
      </c>
      <c r="H183" s="33">
        <f t="shared" si="25"/>
        <v>1</v>
      </c>
      <c r="I183" s="13" t="s">
        <v>33</v>
      </c>
      <c r="J183" s="13" t="s">
        <v>318</v>
      </c>
      <c r="K183" s="13">
        <v>13.0</v>
      </c>
      <c r="L183" s="13" t="s">
        <v>670</v>
      </c>
      <c r="M183" s="35" t="s">
        <v>671</v>
      </c>
      <c r="N183" s="15"/>
      <c r="O183" s="16"/>
      <c r="P183" s="16"/>
      <c r="Q183" s="16"/>
      <c r="R183" s="16"/>
      <c r="S183" s="37" t="str">
        <f>IFERROR(__xludf.DUMMYFUNCTION("if(not(iserror(index(split(C183, "" ""),2))), index(split(C183, "" ""),1),"""")"),"May")</f>
        <v>May</v>
      </c>
      <c r="T183" s="38">
        <f>IFERROR(__xludf.DUMMYFUNCTION("if(S183="""",C183,if(not(iserror(index(split(C183, "" ""),3))), index(split(C183, "" ""),3),index(split(C183, "" ""),2)))"),2017.0)</f>
        <v>2017</v>
      </c>
      <c r="U183" s="38" t="b">
        <f t="shared" si="24"/>
        <v>0</v>
      </c>
      <c r="V183" s="38"/>
      <c r="W183" s="40"/>
      <c r="X183" s="40"/>
      <c r="Y183" s="40"/>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row>
    <row r="184">
      <c r="A184" s="90" t="s">
        <v>676</v>
      </c>
      <c r="B184" s="30">
        <v>42859.0</v>
      </c>
      <c r="C184" s="30">
        <v>42859.0</v>
      </c>
      <c r="D184" s="32" t="s">
        <v>669</v>
      </c>
      <c r="E184" s="13" t="s">
        <v>41</v>
      </c>
      <c r="F184" s="13">
        <v>1.0</v>
      </c>
      <c r="G184" s="13" t="s">
        <v>32</v>
      </c>
      <c r="H184" s="33">
        <f t="shared" si="25"/>
        <v>1</v>
      </c>
      <c r="I184" s="13" t="s">
        <v>33</v>
      </c>
      <c r="J184" s="13" t="s">
        <v>318</v>
      </c>
      <c r="K184" s="13">
        <v>13.0</v>
      </c>
      <c r="L184" s="13" t="s">
        <v>670</v>
      </c>
      <c r="M184" s="35" t="s">
        <v>671</v>
      </c>
      <c r="N184" s="15"/>
      <c r="O184" s="16"/>
      <c r="P184" s="16"/>
      <c r="Q184" s="16"/>
      <c r="R184" s="16"/>
      <c r="S184" s="37" t="str">
        <f>IFERROR(__xludf.DUMMYFUNCTION("if(not(iserror(index(split(C184, "" ""),2))), index(split(C184, "" ""),1),"""")"),"May")</f>
        <v>May</v>
      </c>
      <c r="T184" s="38">
        <f>IFERROR(__xludf.DUMMYFUNCTION("if(S184="""",C184,if(not(iserror(index(split(C184, "" ""),3))), index(split(C184, "" ""),3),index(split(C184, "" ""),2)))"),2017.0)</f>
        <v>2017</v>
      </c>
      <c r="U184" s="38" t="b">
        <f t="shared" si="24"/>
        <v>0</v>
      </c>
      <c r="V184" s="38"/>
      <c r="W184" s="40"/>
      <c r="X184" s="40"/>
      <c r="Y184" s="40"/>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row>
    <row r="185">
      <c r="A185" s="13" t="s">
        <v>677</v>
      </c>
      <c r="B185" s="30">
        <v>43080.0</v>
      </c>
      <c r="C185" s="30">
        <v>42859.0</v>
      </c>
      <c r="D185" s="32" t="s">
        <v>669</v>
      </c>
      <c r="E185" s="13" t="s">
        <v>41</v>
      </c>
      <c r="F185" s="13">
        <v>2.0</v>
      </c>
      <c r="G185" s="13">
        <v>1.0</v>
      </c>
      <c r="H185" s="33">
        <f t="shared" si="25"/>
        <v>1</v>
      </c>
      <c r="I185" s="13" t="s">
        <v>33</v>
      </c>
      <c r="J185" s="13" t="s">
        <v>124</v>
      </c>
      <c r="K185" s="13">
        <v>3.0</v>
      </c>
      <c r="L185" s="13" t="s">
        <v>678</v>
      </c>
      <c r="M185" s="107" t="s">
        <v>679</v>
      </c>
      <c r="N185" s="15"/>
      <c r="O185" s="16"/>
      <c r="P185" s="16"/>
      <c r="Q185" s="16"/>
      <c r="R185" s="16"/>
      <c r="S185" s="37" t="str">
        <f>IFERROR(__xludf.DUMMYFUNCTION("if(not(iserror(index(split(C185, "" ""),2))), index(split(C185, "" ""),1),"""")"),"May")</f>
        <v>May</v>
      </c>
      <c r="T185" s="38">
        <f>IFERROR(__xludf.DUMMYFUNCTION("if(S185="""",C185,if(not(iserror(index(split(C185, "" ""),3))), index(split(C185, "" ""),3),index(split(C185, "" ""),2)))"),2017.0)</f>
        <v>2017</v>
      </c>
      <c r="U185" s="38" t="b">
        <f t="shared" si="24"/>
        <v>0</v>
      </c>
      <c r="V185" s="38"/>
      <c r="W185" s="40"/>
      <c r="X185" s="40"/>
      <c r="Y185" s="40"/>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row>
    <row r="186">
      <c r="A186" s="58" t="s">
        <v>680</v>
      </c>
      <c r="B186" s="59">
        <v>43242.0</v>
      </c>
      <c r="C186" s="59">
        <v>42859.0</v>
      </c>
      <c r="D186" s="60" t="s">
        <v>669</v>
      </c>
      <c r="E186" s="58" t="s">
        <v>41</v>
      </c>
      <c r="F186" s="58">
        <v>1.0</v>
      </c>
      <c r="G186" s="58" t="s">
        <v>32</v>
      </c>
      <c r="H186" s="33">
        <f t="shared" si="25"/>
        <v>1</v>
      </c>
      <c r="I186" s="58" t="s">
        <v>33</v>
      </c>
      <c r="J186" s="58" t="s">
        <v>98</v>
      </c>
      <c r="K186" s="58">
        <v>2.0</v>
      </c>
      <c r="L186" s="58" t="s">
        <v>681</v>
      </c>
      <c r="M186" s="61" t="s">
        <v>682</v>
      </c>
      <c r="N186" s="77"/>
      <c r="O186" s="62"/>
      <c r="P186" s="62"/>
      <c r="Q186" s="62"/>
      <c r="R186" s="62"/>
      <c r="S186" s="37" t="str">
        <f>IFERROR(__xludf.DUMMYFUNCTION("if(not(iserror(index(split(C186, "" ""),2))), index(split(C186, "" ""),1),"""")"),"May")</f>
        <v>May</v>
      </c>
      <c r="T186" s="38">
        <f>IFERROR(__xludf.DUMMYFUNCTION("if(S186="""",C186,if(not(iserror(index(split(C186, "" ""),3))), index(split(C186, "" ""),3),index(split(C186, "" ""),2)))"),2017.0)</f>
        <v>2017</v>
      </c>
      <c r="U186" s="38" t="b">
        <f t="shared" si="24"/>
        <v>0</v>
      </c>
      <c r="V186" s="38"/>
      <c r="W186" s="40"/>
      <c r="X186" s="40"/>
      <c r="Y186" s="40"/>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row>
    <row r="187">
      <c r="A187" s="78" t="s">
        <v>683</v>
      </c>
      <c r="B187" s="59">
        <v>43311.0</v>
      </c>
      <c r="C187" s="59">
        <v>42860.0</v>
      </c>
      <c r="D187" s="60" t="s">
        <v>684</v>
      </c>
      <c r="E187" s="58" t="s">
        <v>41</v>
      </c>
      <c r="F187" s="58">
        <v>1.0</v>
      </c>
      <c r="G187" s="58" t="s">
        <v>32</v>
      </c>
      <c r="H187" s="33">
        <f t="shared" si="25"/>
        <v>1</v>
      </c>
      <c r="I187" s="58" t="s">
        <v>33</v>
      </c>
      <c r="J187" s="58" t="s">
        <v>47</v>
      </c>
      <c r="K187" s="58">
        <v>2.0</v>
      </c>
      <c r="L187" s="58" t="s">
        <v>69</v>
      </c>
      <c r="M187" s="61" t="s">
        <v>685</v>
      </c>
      <c r="N187" s="76" t="s">
        <v>686</v>
      </c>
      <c r="O187" s="62"/>
      <c r="P187" s="62"/>
      <c r="Q187" s="62"/>
      <c r="R187" s="62"/>
      <c r="S187" s="37" t="str">
        <f>IFERROR(__xludf.DUMMYFUNCTION("if(not(iserror(index(split(C187, "" ""),2))), index(split(C187, "" ""),1),"""")"),"May")</f>
        <v>May</v>
      </c>
      <c r="T187" s="38">
        <f>IFERROR(__xludf.DUMMYFUNCTION("if(S187="""",C187,if(not(iserror(index(split(C187, "" ""),3))), index(split(C187, "" ""),3),index(split(C187, "" ""),2)))"),2017.0)</f>
        <v>2017</v>
      </c>
      <c r="U187" s="38" t="b">
        <f t="shared" si="24"/>
        <v>0</v>
      </c>
      <c r="V187" s="38"/>
      <c r="W187" s="40"/>
      <c r="X187" s="40"/>
      <c r="Y187" s="40"/>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row>
    <row r="188">
      <c r="A188" s="13" t="s">
        <v>687</v>
      </c>
      <c r="B188" s="30">
        <v>42863.0</v>
      </c>
      <c r="C188" s="30">
        <v>42863.0</v>
      </c>
      <c r="D188" s="32" t="s">
        <v>688</v>
      </c>
      <c r="E188" s="13" t="s">
        <v>41</v>
      </c>
      <c r="F188" s="13">
        <v>1.0</v>
      </c>
      <c r="G188" s="13" t="s">
        <v>32</v>
      </c>
      <c r="H188" s="33">
        <f t="shared" si="25"/>
        <v>1</v>
      </c>
      <c r="I188" s="13" t="s">
        <v>33</v>
      </c>
      <c r="J188" s="13" t="s">
        <v>147</v>
      </c>
      <c r="K188" s="13">
        <v>1.0</v>
      </c>
      <c r="L188" s="13" t="s">
        <v>349</v>
      </c>
      <c r="M188" s="35" t="s">
        <v>689</v>
      </c>
      <c r="N188" s="15"/>
      <c r="O188" s="16"/>
      <c r="P188" s="16"/>
      <c r="Q188" s="16"/>
      <c r="R188" s="16"/>
      <c r="S188" s="37" t="str">
        <f>IFERROR(__xludf.DUMMYFUNCTION("if(not(iserror(index(split(C188, "" ""),2))), index(split(C188, "" ""),1),"""")"),"May")</f>
        <v>May</v>
      </c>
      <c r="T188" s="38">
        <f>IFERROR(__xludf.DUMMYFUNCTION("if(S188="""",C188,if(not(iserror(index(split(C188, "" ""),3))), index(split(C188, "" ""),3),index(split(C188, "" ""),2)))"),2017.0)</f>
        <v>2017</v>
      </c>
      <c r="U188" s="38" t="b">
        <f t="shared" si="24"/>
        <v>0</v>
      </c>
      <c r="V188" s="38"/>
      <c r="W188" s="40"/>
      <c r="X188" s="40"/>
      <c r="Y188" s="40"/>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row>
    <row r="189">
      <c r="A189" s="13" t="s">
        <v>690</v>
      </c>
      <c r="B189" s="30">
        <v>42863.0</v>
      </c>
      <c r="C189" s="30">
        <v>42863.0</v>
      </c>
      <c r="D189" s="32" t="s">
        <v>688</v>
      </c>
      <c r="E189" s="13" t="s">
        <v>31</v>
      </c>
      <c r="F189" s="13">
        <v>1.0</v>
      </c>
      <c r="G189" s="13" t="s">
        <v>32</v>
      </c>
      <c r="H189" s="33">
        <f t="shared" si="25"/>
        <v>1</v>
      </c>
      <c r="I189" s="13" t="s">
        <v>33</v>
      </c>
      <c r="J189" s="13" t="s">
        <v>93</v>
      </c>
      <c r="K189" s="13">
        <v>2.0</v>
      </c>
      <c r="L189" s="13" t="s">
        <v>69</v>
      </c>
      <c r="M189" s="35" t="s">
        <v>691</v>
      </c>
      <c r="N189" s="36" t="s">
        <v>692</v>
      </c>
      <c r="O189" s="16"/>
      <c r="P189" s="16"/>
      <c r="Q189" s="16"/>
      <c r="R189" s="16"/>
      <c r="S189" s="37" t="str">
        <f>IFERROR(__xludf.DUMMYFUNCTION("if(not(iserror(index(split(C189, "" ""),2))), index(split(C189, "" ""),1),"""")"),"May")</f>
        <v>May</v>
      </c>
      <c r="T189" s="38">
        <f>IFERROR(__xludf.DUMMYFUNCTION("if(S189="""",C189,if(not(iserror(index(split(C189, "" ""),3))), index(split(C189, "" ""),3),index(split(C189, "" ""),2)))"),2017.0)</f>
        <v>2017</v>
      </c>
      <c r="U189" s="38" t="b">
        <f t="shared" si="24"/>
        <v>0</v>
      </c>
      <c r="V189" s="38"/>
      <c r="W189" s="40"/>
      <c r="X189" s="40"/>
      <c r="Y189" s="40"/>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row>
    <row r="190">
      <c r="A190" s="58" t="s">
        <v>693</v>
      </c>
      <c r="B190" s="59">
        <v>43355.0</v>
      </c>
      <c r="C190" s="59">
        <v>42863.0</v>
      </c>
      <c r="D190" s="60" t="s">
        <v>688</v>
      </c>
      <c r="E190" s="58" t="s">
        <v>31</v>
      </c>
      <c r="F190" s="58">
        <v>1.0</v>
      </c>
      <c r="G190" s="58" t="s">
        <v>32</v>
      </c>
      <c r="H190" s="33">
        <f t="shared" si="25"/>
        <v>1</v>
      </c>
      <c r="I190" s="58" t="s">
        <v>33</v>
      </c>
      <c r="J190" s="58" t="s">
        <v>410</v>
      </c>
      <c r="K190" s="58" t="s">
        <v>32</v>
      </c>
      <c r="L190" s="58" t="s">
        <v>99</v>
      </c>
      <c r="M190" s="61" t="s">
        <v>694</v>
      </c>
      <c r="N190" s="77"/>
      <c r="O190" s="62"/>
      <c r="P190" s="62"/>
      <c r="Q190" s="62"/>
      <c r="R190" s="62"/>
      <c r="S190" s="37" t="str">
        <f>IFERROR(__xludf.DUMMYFUNCTION("if(not(iserror(index(split(C190, "" ""),2))), index(split(C190, "" ""),1),"""")"),"May")</f>
        <v>May</v>
      </c>
      <c r="T190" s="38">
        <f>IFERROR(__xludf.DUMMYFUNCTION("if(S190="""",C190,if(not(iserror(index(split(C190, "" ""),3))), index(split(C190, "" ""),3),index(split(C190, "" ""),2)))"),2017.0)</f>
        <v>2017</v>
      </c>
      <c r="U190" s="38" t="b">
        <f t="shared" si="24"/>
        <v>0</v>
      </c>
      <c r="V190" s="38"/>
      <c r="W190" s="40"/>
      <c r="X190" s="40"/>
      <c r="Y190" s="40"/>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row>
    <row r="191">
      <c r="A191" s="13" t="s">
        <v>695</v>
      </c>
      <c r="B191" s="30">
        <v>42866.0</v>
      </c>
      <c r="C191" s="30">
        <v>42866.0</v>
      </c>
      <c r="D191" s="32" t="s">
        <v>696</v>
      </c>
      <c r="E191" s="13" t="s">
        <v>41</v>
      </c>
      <c r="F191" s="13">
        <v>1.0</v>
      </c>
      <c r="G191" s="13" t="s">
        <v>32</v>
      </c>
      <c r="H191" s="33">
        <f t="shared" si="25"/>
        <v>1</v>
      </c>
      <c r="I191" s="13" t="s">
        <v>33</v>
      </c>
      <c r="J191" s="13" t="s">
        <v>279</v>
      </c>
      <c r="K191" s="13" t="s">
        <v>32</v>
      </c>
      <c r="L191" s="13" t="s">
        <v>697</v>
      </c>
      <c r="M191" s="35" t="s">
        <v>698</v>
      </c>
      <c r="N191" s="104" t="s">
        <v>699</v>
      </c>
      <c r="O191" s="16"/>
      <c r="P191" s="16"/>
      <c r="Q191" s="16"/>
      <c r="R191" s="16"/>
      <c r="S191" s="37" t="str">
        <f>IFERROR(__xludf.DUMMYFUNCTION("if(not(iserror(index(split(C191, "" ""),2))), index(split(C191, "" ""),1),"""")"),"May")</f>
        <v>May</v>
      </c>
      <c r="T191" s="38">
        <f>IFERROR(__xludf.DUMMYFUNCTION("if(S191="""",C191,if(not(iserror(index(split(C191, "" ""),3))), index(split(C191, "" ""),3),index(split(C191, "" ""),2)))"),2017.0)</f>
        <v>2017</v>
      </c>
      <c r="U191" s="38" t="b">
        <f t="shared" si="24"/>
        <v>0</v>
      </c>
      <c r="V191" s="38" t="s">
        <v>33</v>
      </c>
      <c r="W191" s="40"/>
      <c r="X191" s="40"/>
      <c r="Y191" s="40"/>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row>
    <row r="192">
      <c r="A192" s="41" t="s">
        <v>700</v>
      </c>
      <c r="B192" s="30"/>
      <c r="C192" s="30">
        <v>42866.0</v>
      </c>
      <c r="D192" s="32"/>
      <c r="E192" s="13" t="s">
        <v>41</v>
      </c>
      <c r="F192" s="13">
        <v>1.0</v>
      </c>
      <c r="G192" s="13" t="s">
        <v>32</v>
      </c>
      <c r="H192" s="43">
        <v>1.0</v>
      </c>
      <c r="I192" s="13" t="s">
        <v>33</v>
      </c>
      <c r="J192" s="13" t="s">
        <v>318</v>
      </c>
      <c r="K192" s="13"/>
      <c r="L192" s="13" t="s">
        <v>76</v>
      </c>
      <c r="M192" s="35" t="s">
        <v>701</v>
      </c>
      <c r="N192" s="36" t="s">
        <v>702</v>
      </c>
      <c r="O192" s="16"/>
      <c r="P192" s="16"/>
      <c r="Q192" s="16"/>
      <c r="R192" s="16"/>
      <c r="S192" s="37" t="str">
        <f>IFERROR(__xludf.DUMMYFUNCTION("if(not(iserror(index(split(C192, "" ""),2))), index(split(C192, "" ""),1),"""")"),"May")</f>
        <v>May</v>
      </c>
      <c r="T192" s="38">
        <f>IFERROR(__xludf.DUMMYFUNCTION("if(S192="""",C192,if(not(iserror(index(split(C192, "" ""),3))), index(split(C192, "" ""),3),index(split(C192, "" ""),2)))"),2017.0)</f>
        <v>2017</v>
      </c>
      <c r="U192" s="38" t="b">
        <f t="shared" si="24"/>
        <v>0</v>
      </c>
      <c r="V192" s="38" t="s">
        <v>33</v>
      </c>
      <c r="W192" s="39" t="s">
        <v>703</v>
      </c>
      <c r="X192" s="40"/>
      <c r="Y192" s="40"/>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row>
    <row r="193">
      <c r="A193" s="41" t="s">
        <v>704</v>
      </c>
      <c r="B193" s="30">
        <v>42873.0</v>
      </c>
      <c r="C193" s="30">
        <v>42871.0</v>
      </c>
      <c r="D193" s="32" t="s">
        <v>705</v>
      </c>
      <c r="E193" s="13" t="s">
        <v>41</v>
      </c>
      <c r="F193" s="13">
        <v>1.0</v>
      </c>
      <c r="G193" s="13" t="s">
        <v>32</v>
      </c>
      <c r="H193" s="33">
        <f t="shared" ref="H193:H194" si="26">if(G193="Unknown",1,G193)</f>
        <v>1</v>
      </c>
      <c r="I193" s="13" t="s">
        <v>33</v>
      </c>
      <c r="J193" s="13" t="s">
        <v>93</v>
      </c>
      <c r="K193" s="13">
        <v>2.0</v>
      </c>
      <c r="L193" s="13" t="s">
        <v>99</v>
      </c>
      <c r="M193" s="35" t="s">
        <v>706</v>
      </c>
      <c r="N193" s="15"/>
      <c r="O193" s="16"/>
      <c r="P193" s="16"/>
      <c r="Q193" s="16"/>
      <c r="R193" s="16"/>
      <c r="S193" s="37" t="str">
        <f>IFERROR(__xludf.DUMMYFUNCTION("if(not(iserror(index(split(C193, "" ""),2))), index(split(C193, "" ""),1),"""")"),"May")</f>
        <v>May</v>
      </c>
      <c r="T193" s="38">
        <f>IFERROR(__xludf.DUMMYFUNCTION("if(S193="""",C193,if(not(iserror(index(split(C193, "" ""),3))), index(split(C193, "" ""),3),index(split(C193, "" ""),2)))"),2017.0)</f>
        <v>2017</v>
      </c>
      <c r="U193" s="38" t="b">
        <f t="shared" si="24"/>
        <v>0</v>
      </c>
      <c r="V193" s="38"/>
      <c r="W193" s="40"/>
      <c r="X193" s="40"/>
      <c r="Y193" s="40"/>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row>
    <row r="194">
      <c r="A194" s="108" t="s">
        <v>707</v>
      </c>
      <c r="B194" s="30">
        <v>42874.0</v>
      </c>
      <c r="C194" s="30">
        <v>42873.0</v>
      </c>
      <c r="D194" s="32" t="s">
        <v>708</v>
      </c>
      <c r="E194" s="13" t="s">
        <v>41</v>
      </c>
      <c r="F194" s="13">
        <v>1.0</v>
      </c>
      <c r="G194" s="13" t="s">
        <v>32</v>
      </c>
      <c r="H194" s="33">
        <f t="shared" si="26"/>
        <v>1</v>
      </c>
      <c r="I194" s="13" t="s">
        <v>33</v>
      </c>
      <c r="J194" s="13" t="s">
        <v>115</v>
      </c>
      <c r="K194" s="13">
        <v>1.0</v>
      </c>
      <c r="L194" s="13" t="s">
        <v>99</v>
      </c>
      <c r="M194" s="35" t="s">
        <v>709</v>
      </c>
      <c r="N194" s="15"/>
      <c r="O194" s="16"/>
      <c r="P194" s="16"/>
      <c r="Q194" s="16"/>
      <c r="R194" s="16"/>
      <c r="S194" s="37" t="str">
        <f>IFERROR(__xludf.DUMMYFUNCTION("if(not(iserror(index(split(C194, "" ""),2))), index(split(C194, "" ""),1),"""")"),"May")</f>
        <v>May</v>
      </c>
      <c r="T194" s="38">
        <f>IFERROR(__xludf.DUMMYFUNCTION("if(S194="""",C194,if(not(iserror(index(split(C194, "" ""),3))), index(split(C194, "" ""),3),index(split(C194, "" ""),2)))"),2017.0)</f>
        <v>2017</v>
      </c>
      <c r="U194" s="38" t="b">
        <f t="shared" si="24"/>
        <v>0</v>
      </c>
      <c r="V194" s="38"/>
      <c r="W194" s="40"/>
      <c r="X194" s="40"/>
      <c r="Y194" s="40"/>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row>
    <row r="195">
      <c r="A195" s="109" t="s">
        <v>710</v>
      </c>
      <c r="B195" s="30"/>
      <c r="C195" s="30">
        <v>42873.0</v>
      </c>
      <c r="D195" s="32"/>
      <c r="E195" s="13" t="s">
        <v>41</v>
      </c>
      <c r="F195" s="13">
        <v>1.0</v>
      </c>
      <c r="G195" s="13" t="s">
        <v>32</v>
      </c>
      <c r="H195" s="43">
        <v>1.0</v>
      </c>
      <c r="I195" s="13" t="s">
        <v>33</v>
      </c>
      <c r="J195" s="13" t="s">
        <v>93</v>
      </c>
      <c r="K195" s="13"/>
      <c r="L195" s="13" t="s">
        <v>119</v>
      </c>
      <c r="M195" s="35" t="s">
        <v>711</v>
      </c>
      <c r="N195" s="36" t="s">
        <v>712</v>
      </c>
      <c r="O195" s="57" t="str">
        <f>hyperlink("https://bad-boys.us/?q=WD-NY/1:18-cr-00091", "WD-NY 1:18-cr-00091")</f>
        <v>WD-NY 1:18-cr-00091</v>
      </c>
      <c r="P195" s="16"/>
      <c r="Q195" s="37">
        <v>1.0</v>
      </c>
      <c r="R195" s="16"/>
      <c r="S195" s="37" t="str">
        <f>IFERROR(__xludf.DUMMYFUNCTION("if(not(iserror(index(split(C195, "" ""),2))), index(split(C195, "" ""),1),"""")"),"May")</f>
        <v>May</v>
      </c>
      <c r="T195" s="38">
        <f>IFERROR(__xludf.DUMMYFUNCTION("if(S195="""",C195,if(not(iserror(index(split(C195, "" ""),3))), index(split(C195, "" ""),3),index(split(C195, "" ""),2)))"),2017.0)</f>
        <v>2017</v>
      </c>
      <c r="U195" s="38" t="b">
        <f t="shared" si="24"/>
        <v>0</v>
      </c>
      <c r="V195" s="38" t="s">
        <v>33</v>
      </c>
      <c r="W195" s="39" t="s">
        <v>713</v>
      </c>
      <c r="X195" s="40"/>
      <c r="Y195" s="40"/>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row>
    <row r="196">
      <c r="A196" s="78" t="s">
        <v>714</v>
      </c>
      <c r="B196" s="59"/>
      <c r="C196" s="59">
        <v>42874.0</v>
      </c>
      <c r="D196" s="60"/>
      <c r="E196" s="58" t="s">
        <v>31</v>
      </c>
      <c r="F196" s="58">
        <v>1.0</v>
      </c>
      <c r="G196" s="58" t="s">
        <v>32</v>
      </c>
      <c r="H196" s="43">
        <v>1.0</v>
      </c>
      <c r="I196" s="58" t="s">
        <v>33</v>
      </c>
      <c r="J196" s="58" t="s">
        <v>93</v>
      </c>
      <c r="K196" s="58"/>
      <c r="L196" s="58" t="s">
        <v>715</v>
      </c>
      <c r="M196" s="61" t="s">
        <v>716</v>
      </c>
      <c r="N196" s="61" t="s">
        <v>717</v>
      </c>
      <c r="O196" s="58"/>
      <c r="P196" s="58"/>
      <c r="Q196" s="84"/>
      <c r="R196" s="62"/>
      <c r="S196" s="37"/>
      <c r="T196" s="38"/>
      <c r="U196" s="38"/>
      <c r="V196" s="38" t="s">
        <v>33</v>
      </c>
      <c r="W196" s="39" t="s">
        <v>718</v>
      </c>
      <c r="X196" s="40" t="s">
        <v>719</v>
      </c>
      <c r="Y196" s="40"/>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row>
    <row r="197">
      <c r="A197" s="78" t="s">
        <v>720</v>
      </c>
      <c r="B197" s="59">
        <v>43325.0</v>
      </c>
      <c r="C197" s="59">
        <v>42879.0</v>
      </c>
      <c r="D197" s="60" t="s">
        <v>721</v>
      </c>
      <c r="E197" s="58" t="s">
        <v>41</v>
      </c>
      <c r="F197" s="58">
        <v>1.0</v>
      </c>
      <c r="G197" s="58" t="s">
        <v>32</v>
      </c>
      <c r="H197" s="33">
        <f t="shared" ref="H197:H198" si="27">if(G197="Unknown",1,G197)</f>
        <v>1</v>
      </c>
      <c r="I197" s="58" t="s">
        <v>33</v>
      </c>
      <c r="J197" s="58" t="s">
        <v>34</v>
      </c>
      <c r="K197" s="58">
        <v>3.0</v>
      </c>
      <c r="L197" s="58" t="s">
        <v>76</v>
      </c>
      <c r="M197" s="61" t="s">
        <v>722</v>
      </c>
      <c r="N197" s="77"/>
      <c r="O197" s="58"/>
      <c r="P197" s="58"/>
      <c r="Q197" s="84"/>
      <c r="R197" s="62"/>
      <c r="S197" s="37" t="str">
        <f>IFERROR(__xludf.DUMMYFUNCTION("if(not(iserror(index(split(C197, "" ""),2))), index(split(C197, "" ""),1),"""")"),"May")</f>
        <v>May</v>
      </c>
      <c r="T197" s="38">
        <f>IFERROR(__xludf.DUMMYFUNCTION("if(S197="""",C197,if(not(iserror(index(split(C197, "" ""),3))), index(split(C197, "" ""),3),index(split(C197, "" ""),2)))"),2017.0)</f>
        <v>2017</v>
      </c>
      <c r="U197" s="38" t="b">
        <f t="shared" ref="U197:U244" si="28">countif(A$4:A4658, A197)&gt;1</f>
        <v>0</v>
      </c>
      <c r="V197" s="38"/>
      <c r="W197" s="40"/>
      <c r="X197" s="40"/>
      <c r="Y197" s="40"/>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row>
    <row r="198">
      <c r="A198" s="58" t="s">
        <v>723</v>
      </c>
      <c r="B198" s="59">
        <v>43389.0</v>
      </c>
      <c r="C198" s="59">
        <v>42880.0</v>
      </c>
      <c r="D198" s="60" t="s">
        <v>724</v>
      </c>
      <c r="E198" s="58" t="s">
        <v>41</v>
      </c>
      <c r="F198" s="58">
        <v>1.0</v>
      </c>
      <c r="G198" s="58" t="s">
        <v>32</v>
      </c>
      <c r="H198" s="33">
        <f t="shared" si="27"/>
        <v>1</v>
      </c>
      <c r="I198" s="58" t="s">
        <v>33</v>
      </c>
      <c r="J198" s="58" t="s">
        <v>115</v>
      </c>
      <c r="K198" s="58">
        <v>1.0</v>
      </c>
      <c r="L198" s="58" t="s">
        <v>76</v>
      </c>
      <c r="M198" s="61" t="s">
        <v>725</v>
      </c>
      <c r="N198" s="80"/>
      <c r="O198" s="58"/>
      <c r="P198" s="58"/>
      <c r="Q198" s="84"/>
      <c r="R198" s="62"/>
      <c r="S198" s="37" t="str">
        <f>IFERROR(__xludf.DUMMYFUNCTION("if(not(iserror(index(split(C198, "" ""),2))), index(split(C198, "" ""),1),"""")"),"May")</f>
        <v>May</v>
      </c>
      <c r="T198" s="38">
        <f>IFERROR(__xludf.DUMMYFUNCTION("if(S198="""",C198,if(not(iserror(index(split(C198, "" ""),3))), index(split(C198, "" ""),3),index(split(C198, "" ""),2)))"),2017.0)</f>
        <v>2017</v>
      </c>
      <c r="U198" s="38" t="b">
        <f t="shared" si="28"/>
        <v>0</v>
      </c>
      <c r="V198" s="38"/>
      <c r="W198" s="40"/>
      <c r="X198" s="40"/>
      <c r="Y198" s="40"/>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row>
    <row r="199">
      <c r="A199" s="41" t="s">
        <v>726</v>
      </c>
      <c r="B199" s="30"/>
      <c r="C199" s="30">
        <v>42881.0</v>
      </c>
      <c r="D199" s="32"/>
      <c r="E199" s="13" t="s">
        <v>31</v>
      </c>
      <c r="F199" s="13">
        <v>1.0</v>
      </c>
      <c r="G199" s="13" t="s">
        <v>32</v>
      </c>
      <c r="H199" s="43">
        <v>1.0</v>
      </c>
      <c r="I199" s="13" t="s">
        <v>33</v>
      </c>
      <c r="J199" s="13" t="s">
        <v>111</v>
      </c>
      <c r="K199" s="13"/>
      <c r="L199" s="13" t="s">
        <v>76</v>
      </c>
      <c r="M199" s="46" t="s">
        <v>727</v>
      </c>
      <c r="N199" s="46" t="s">
        <v>728</v>
      </c>
      <c r="O199" s="57" t="str">
        <f>hyperlink("https://bad-boys.us/?q=ED-CA/2:19-cr-00044", "ED-CA 2:19-cr-00044")</f>
        <v>ED-CA 2:19-cr-00044</v>
      </c>
      <c r="P199" s="86" t="s">
        <v>729</v>
      </c>
      <c r="Q199" s="64">
        <v>1.0</v>
      </c>
      <c r="R199" s="16"/>
      <c r="S199" s="37" t="str">
        <f>IFERROR(__xludf.DUMMYFUNCTION("if(not(iserror(index(split(C199, "" ""),2))), index(split(C199, "" ""),1),"""")"),"May")</f>
        <v>May</v>
      </c>
      <c r="T199" s="38">
        <f>IFERROR(__xludf.DUMMYFUNCTION("if(S199="""",C199,if(not(iserror(index(split(C199, "" ""),3))), index(split(C199, "" ""),3),index(split(C199, "" ""),2)))"),2017.0)</f>
        <v>2017</v>
      </c>
      <c r="U199" s="38" t="b">
        <f t="shared" si="28"/>
        <v>0</v>
      </c>
      <c r="V199" s="38" t="s">
        <v>33</v>
      </c>
      <c r="W199" s="40"/>
      <c r="X199" s="46" t="s">
        <v>730</v>
      </c>
      <c r="Y199" s="40"/>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row>
    <row r="200">
      <c r="A200" s="41" t="s">
        <v>731</v>
      </c>
      <c r="B200" s="30">
        <v>42885.0</v>
      </c>
      <c r="C200" s="30">
        <v>42881.0</v>
      </c>
      <c r="D200" s="32" t="s">
        <v>732</v>
      </c>
      <c r="E200" s="13" t="s">
        <v>41</v>
      </c>
      <c r="F200" s="13">
        <v>1.0</v>
      </c>
      <c r="G200" s="13" t="s">
        <v>32</v>
      </c>
      <c r="H200" s="33">
        <f>if(G200="Unknown",1,G200)</f>
        <v>1</v>
      </c>
      <c r="I200" s="13" t="s">
        <v>33</v>
      </c>
      <c r="J200" s="13" t="s">
        <v>440</v>
      </c>
      <c r="K200" s="13">
        <v>3.0</v>
      </c>
      <c r="L200" s="13" t="s">
        <v>344</v>
      </c>
      <c r="M200" s="35" t="s">
        <v>733</v>
      </c>
      <c r="N200" s="15"/>
      <c r="O200" s="16"/>
      <c r="P200" s="16"/>
      <c r="Q200" s="16"/>
      <c r="R200" s="16"/>
      <c r="S200" s="37" t="str">
        <f>IFERROR(__xludf.DUMMYFUNCTION("if(not(iserror(index(split(C200, "" ""),2))), index(split(C200, "" ""),1),"""")"),"May")</f>
        <v>May</v>
      </c>
      <c r="T200" s="38">
        <f>IFERROR(__xludf.DUMMYFUNCTION("if(S200="""",C200,if(not(iserror(index(split(C200, "" ""),3))), index(split(C200, "" ""),3),index(split(C200, "" ""),2)))"),2017.0)</f>
        <v>2017</v>
      </c>
      <c r="U200" s="38" t="b">
        <f t="shared" si="28"/>
        <v>0</v>
      </c>
      <c r="V200" s="38"/>
      <c r="W200" s="40"/>
      <c r="X200" s="40"/>
      <c r="Y200" s="40"/>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row>
    <row r="201">
      <c r="A201" s="41" t="s">
        <v>734</v>
      </c>
      <c r="B201" s="30"/>
      <c r="C201" s="30">
        <v>42881.0</v>
      </c>
      <c r="D201" s="32"/>
      <c r="E201" s="13" t="s">
        <v>41</v>
      </c>
      <c r="F201" s="13">
        <v>1.0</v>
      </c>
      <c r="G201" s="13" t="s">
        <v>32</v>
      </c>
      <c r="H201" s="43">
        <v>1.0</v>
      </c>
      <c r="I201" s="13" t="s">
        <v>33</v>
      </c>
      <c r="J201" s="13" t="s">
        <v>111</v>
      </c>
      <c r="K201" s="13"/>
      <c r="L201" s="13" t="s">
        <v>69</v>
      </c>
      <c r="M201" s="35" t="s">
        <v>735</v>
      </c>
      <c r="N201" s="15"/>
      <c r="O201" s="16"/>
      <c r="P201" s="16"/>
      <c r="Q201" s="16"/>
      <c r="R201" s="16"/>
      <c r="S201" s="37" t="str">
        <f>IFERROR(__xludf.DUMMYFUNCTION("if(not(iserror(index(split(C201, "" ""),2))), index(split(C201, "" ""),1),"""")"),"May")</f>
        <v>May</v>
      </c>
      <c r="T201" s="38">
        <f>IFERROR(__xludf.DUMMYFUNCTION("if(S201="""",C201,if(not(iserror(index(split(C201, "" ""),3))), index(split(C201, "" ""),3),index(split(C201, "" ""),2)))"),2017.0)</f>
        <v>2017</v>
      </c>
      <c r="U201" s="38" t="b">
        <f t="shared" si="28"/>
        <v>0</v>
      </c>
      <c r="V201" s="38" t="s">
        <v>33</v>
      </c>
      <c r="W201" s="40"/>
      <c r="X201" s="40"/>
      <c r="Y201" s="40"/>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row>
    <row r="202">
      <c r="A202" s="41" t="s">
        <v>736</v>
      </c>
      <c r="B202" s="30">
        <v>42886.0</v>
      </c>
      <c r="C202" s="30">
        <v>42886.0</v>
      </c>
      <c r="D202" s="32" t="s">
        <v>737</v>
      </c>
      <c r="E202" s="13" t="s">
        <v>41</v>
      </c>
      <c r="F202" s="13">
        <v>1.0</v>
      </c>
      <c r="G202" s="13" t="s">
        <v>32</v>
      </c>
      <c r="H202" s="33">
        <f t="shared" ref="H202:H207" si="29">if(G202="Unknown",1,G202)</f>
        <v>1</v>
      </c>
      <c r="I202" s="13" t="s">
        <v>33</v>
      </c>
      <c r="J202" s="13" t="s">
        <v>93</v>
      </c>
      <c r="K202" s="13">
        <v>1.0</v>
      </c>
      <c r="L202" s="13" t="s">
        <v>99</v>
      </c>
      <c r="M202" s="35" t="s">
        <v>738</v>
      </c>
      <c r="N202" s="15"/>
      <c r="O202" s="16"/>
      <c r="P202" s="16"/>
      <c r="Q202" s="16"/>
      <c r="R202" s="16"/>
      <c r="S202" s="37" t="str">
        <f>IFERROR(__xludf.DUMMYFUNCTION("if(not(iserror(index(split(C202, "" ""),2))), index(split(C202, "" ""),1),"""")"),"May")</f>
        <v>May</v>
      </c>
      <c r="T202" s="38">
        <f>IFERROR(__xludf.DUMMYFUNCTION("if(S202="""",C202,if(not(iserror(index(split(C202, "" ""),3))), index(split(C202, "" ""),3),index(split(C202, "" ""),2)))"),2017.0)</f>
        <v>2017</v>
      </c>
      <c r="U202" s="38" t="b">
        <f t="shared" si="28"/>
        <v>0</v>
      </c>
      <c r="V202" s="38"/>
      <c r="W202" s="40"/>
      <c r="X202" s="40"/>
      <c r="Y202" s="40"/>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row>
    <row r="203">
      <c r="A203" s="41" t="s">
        <v>739</v>
      </c>
      <c r="B203" s="30">
        <v>42886.0</v>
      </c>
      <c r="C203" s="30">
        <v>42886.0</v>
      </c>
      <c r="D203" s="32" t="s">
        <v>737</v>
      </c>
      <c r="E203" s="13" t="s">
        <v>41</v>
      </c>
      <c r="F203" s="13">
        <v>1.0</v>
      </c>
      <c r="G203" s="13" t="s">
        <v>32</v>
      </c>
      <c r="H203" s="33">
        <f t="shared" si="29"/>
        <v>1</v>
      </c>
      <c r="I203" s="13" t="s">
        <v>33</v>
      </c>
      <c r="J203" s="13" t="s">
        <v>47</v>
      </c>
      <c r="K203" s="13">
        <v>4.0</v>
      </c>
      <c r="L203" s="13" t="s">
        <v>52</v>
      </c>
      <c r="M203" s="35" t="s">
        <v>740</v>
      </c>
      <c r="N203" s="15"/>
      <c r="O203" s="16"/>
      <c r="P203" s="16"/>
      <c r="Q203" s="16"/>
      <c r="R203" s="16"/>
      <c r="S203" s="37" t="str">
        <f>IFERROR(__xludf.DUMMYFUNCTION("if(not(iserror(index(split(C203, "" ""),2))), index(split(C203, "" ""),1),"""")"),"May")</f>
        <v>May</v>
      </c>
      <c r="T203" s="38">
        <f>IFERROR(__xludf.DUMMYFUNCTION("if(S203="""",C203,if(not(iserror(index(split(C203, "" ""),3))), index(split(C203, "" ""),3),index(split(C203, "" ""),2)))"),2017.0)</f>
        <v>2017</v>
      </c>
      <c r="U203" s="38" t="b">
        <f t="shared" si="28"/>
        <v>0</v>
      </c>
      <c r="V203" s="38"/>
      <c r="W203" s="40"/>
      <c r="X203" s="40"/>
      <c r="Y203" s="40"/>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row>
    <row r="204">
      <c r="A204" s="13" t="s">
        <v>741</v>
      </c>
      <c r="B204" s="30">
        <v>42895.0</v>
      </c>
      <c r="C204" s="30">
        <v>42886.0</v>
      </c>
      <c r="D204" s="32" t="s">
        <v>737</v>
      </c>
      <c r="E204" s="13" t="s">
        <v>31</v>
      </c>
      <c r="F204" s="13">
        <v>1.0</v>
      </c>
      <c r="G204" s="13" t="s">
        <v>32</v>
      </c>
      <c r="H204" s="33">
        <f t="shared" si="29"/>
        <v>1</v>
      </c>
      <c r="I204" s="13" t="s">
        <v>33</v>
      </c>
      <c r="J204" s="13" t="s">
        <v>98</v>
      </c>
      <c r="K204" s="13">
        <v>1.0</v>
      </c>
      <c r="L204" s="34" t="s">
        <v>99</v>
      </c>
      <c r="M204" s="35" t="s">
        <v>742</v>
      </c>
      <c r="N204" s="15"/>
      <c r="O204" s="16"/>
      <c r="P204" s="16"/>
      <c r="Q204" s="16"/>
      <c r="R204" s="16"/>
      <c r="S204" s="37" t="str">
        <f>IFERROR(__xludf.DUMMYFUNCTION("if(not(iserror(index(split(C204, "" ""),2))), index(split(C204, "" ""),1),"""")"),"May")</f>
        <v>May</v>
      </c>
      <c r="T204" s="38">
        <f>IFERROR(__xludf.DUMMYFUNCTION("if(S204="""",C204,if(not(iserror(index(split(C204, "" ""),3))), index(split(C204, "" ""),3),index(split(C204, "" ""),2)))"),2017.0)</f>
        <v>2017</v>
      </c>
      <c r="U204" s="38" t="b">
        <f t="shared" si="28"/>
        <v>0</v>
      </c>
      <c r="V204" s="38"/>
      <c r="W204" s="40"/>
      <c r="X204" s="40"/>
      <c r="Y204" s="40"/>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row>
    <row r="205">
      <c r="A205" s="58" t="s">
        <v>743</v>
      </c>
      <c r="B205" s="59">
        <v>43308.0</v>
      </c>
      <c r="C205" s="59">
        <v>42886.0</v>
      </c>
      <c r="D205" s="60" t="s">
        <v>737</v>
      </c>
      <c r="E205" s="58" t="s">
        <v>41</v>
      </c>
      <c r="F205" s="58">
        <v>1.0</v>
      </c>
      <c r="G205" s="58" t="s">
        <v>32</v>
      </c>
      <c r="H205" s="33">
        <f t="shared" si="29"/>
        <v>1</v>
      </c>
      <c r="I205" s="58" t="s">
        <v>33</v>
      </c>
      <c r="J205" s="58" t="s">
        <v>106</v>
      </c>
      <c r="K205" s="58">
        <v>2.0</v>
      </c>
      <c r="L205" s="58" t="s">
        <v>69</v>
      </c>
      <c r="M205" s="61" t="s">
        <v>744</v>
      </c>
      <c r="N205" s="77"/>
      <c r="O205" s="83" t="str">
        <f>hyperlink("https://bad-boys.us/?q=D-MD/8:18-cr-00377", "D-MD 8:18-cr-00377")</f>
        <v>D-MD 8:18-cr-00377</v>
      </c>
      <c r="P205" s="88" t="s">
        <v>745</v>
      </c>
      <c r="Q205" s="84">
        <v>1.0</v>
      </c>
      <c r="R205" s="62"/>
      <c r="S205" s="37" t="str">
        <f>IFERROR(__xludf.DUMMYFUNCTION("if(not(iserror(index(split(C205, "" ""),2))), index(split(C205, "" ""),1),"""")"),"May")</f>
        <v>May</v>
      </c>
      <c r="T205" s="38">
        <f>IFERROR(__xludf.DUMMYFUNCTION("if(S205="""",C205,if(not(iserror(index(split(C205, "" ""),3))), index(split(C205, "" ""),3),index(split(C205, "" ""),2)))"),2017.0)</f>
        <v>2017</v>
      </c>
      <c r="U205" s="38" t="b">
        <f t="shared" si="28"/>
        <v>0</v>
      </c>
      <c r="V205" s="38"/>
      <c r="W205" s="40"/>
      <c r="X205" s="40"/>
      <c r="Y205" s="40"/>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row>
    <row r="206">
      <c r="A206" s="41" t="s">
        <v>746</v>
      </c>
      <c r="B206" s="30">
        <v>42889.0</v>
      </c>
      <c r="C206" s="30">
        <v>42887.0</v>
      </c>
      <c r="D206" s="32" t="s">
        <v>747</v>
      </c>
      <c r="E206" s="13" t="s">
        <v>31</v>
      </c>
      <c r="F206" s="13">
        <v>1.0</v>
      </c>
      <c r="G206" s="13" t="s">
        <v>32</v>
      </c>
      <c r="H206" s="33">
        <f t="shared" si="29"/>
        <v>1</v>
      </c>
      <c r="I206" s="13" t="s">
        <v>33</v>
      </c>
      <c r="J206" s="13" t="s">
        <v>34</v>
      </c>
      <c r="K206" s="13" t="s">
        <v>32</v>
      </c>
      <c r="L206" s="110" t="s">
        <v>748</v>
      </c>
      <c r="M206" s="35" t="s">
        <v>749</v>
      </c>
      <c r="N206" s="15"/>
      <c r="O206" s="16"/>
      <c r="P206" s="16"/>
      <c r="Q206" s="16"/>
      <c r="R206" s="16"/>
      <c r="S206" s="37" t="str">
        <f>IFERROR(__xludf.DUMMYFUNCTION("if(not(iserror(index(split(C206, "" ""),2))), index(split(C206, "" ""),1),"""")"),"June")</f>
        <v>June</v>
      </c>
      <c r="T206" s="38">
        <f>IFERROR(__xludf.DUMMYFUNCTION("if(S206="""",C206,if(not(iserror(index(split(C206, "" ""),3))), index(split(C206, "" ""),3),index(split(C206, "" ""),2)))"),2017.0)</f>
        <v>2017</v>
      </c>
      <c r="U206" s="38" t="b">
        <f t="shared" si="28"/>
        <v>0</v>
      </c>
      <c r="V206" s="38"/>
      <c r="W206" s="40"/>
      <c r="X206" s="40"/>
      <c r="Y206" s="40"/>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row>
    <row r="207">
      <c r="A207" s="13" t="s">
        <v>750</v>
      </c>
      <c r="B207" s="30">
        <v>42899.0</v>
      </c>
      <c r="C207" s="31">
        <v>42887.0</v>
      </c>
      <c r="D207" s="32" t="s">
        <v>649</v>
      </c>
      <c r="E207" s="13" t="s">
        <v>41</v>
      </c>
      <c r="F207" s="13">
        <v>1.0</v>
      </c>
      <c r="G207" s="13" t="s">
        <v>32</v>
      </c>
      <c r="H207" s="33">
        <f t="shared" si="29"/>
        <v>1</v>
      </c>
      <c r="I207" s="13" t="s">
        <v>33</v>
      </c>
      <c r="J207" s="13" t="s">
        <v>162</v>
      </c>
      <c r="K207" s="13">
        <v>1.0</v>
      </c>
      <c r="L207" s="34" t="s">
        <v>646</v>
      </c>
      <c r="M207" s="46" t="s">
        <v>751</v>
      </c>
      <c r="N207" s="35" t="s">
        <v>752</v>
      </c>
      <c r="O207" s="16"/>
      <c r="P207" s="16"/>
      <c r="Q207" s="16"/>
      <c r="R207" s="16"/>
      <c r="S207" s="37" t="str">
        <f>IFERROR(__xludf.DUMMYFUNCTION("if(not(iserror(index(split(C207, "" ""),2))), index(split(C207, "" ""),1),"""")"),"June,")</f>
        <v>June,</v>
      </c>
      <c r="T207" s="38">
        <f>IFERROR(__xludf.DUMMYFUNCTION("if(S207="""",C207,if(not(iserror(index(split(C207, "" ""),3))), index(split(C207, "" ""),3),index(split(C207, "" ""),2)))"),2017.0)</f>
        <v>2017</v>
      </c>
      <c r="U207" s="38" t="b">
        <f t="shared" si="28"/>
        <v>0</v>
      </c>
      <c r="V207" s="38"/>
      <c r="W207" s="40"/>
      <c r="X207" s="40"/>
      <c r="Y207" s="40"/>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row>
    <row r="208">
      <c r="A208" s="13" t="s">
        <v>753</v>
      </c>
      <c r="B208" s="30"/>
      <c r="C208" s="31">
        <v>42887.0</v>
      </c>
      <c r="D208" s="32"/>
      <c r="E208" s="13" t="s">
        <v>41</v>
      </c>
      <c r="F208" s="13">
        <v>1.0</v>
      </c>
      <c r="G208" s="13">
        <v>6.0</v>
      </c>
      <c r="H208" s="43">
        <v>1.0</v>
      </c>
      <c r="I208" s="13" t="s">
        <v>33</v>
      </c>
      <c r="J208" s="13" t="s">
        <v>147</v>
      </c>
      <c r="K208" s="13"/>
      <c r="L208" s="34" t="s">
        <v>194</v>
      </c>
      <c r="M208" s="46" t="s">
        <v>754</v>
      </c>
      <c r="N208" s="56"/>
      <c r="O208" s="16"/>
      <c r="P208" s="16"/>
      <c r="Q208" s="16"/>
      <c r="R208" s="16"/>
      <c r="S208" s="37" t="str">
        <f>IFERROR(__xludf.DUMMYFUNCTION("if(not(iserror(index(split(C208, "" ""),2))), index(split(C208, "" ""),1),"""")"),"June,")</f>
        <v>June,</v>
      </c>
      <c r="T208" s="38">
        <f>IFERROR(__xludf.DUMMYFUNCTION("if(S208="""",C208,if(not(iserror(index(split(C208, "" ""),3))), index(split(C208, "" ""),3),index(split(C208, "" ""),2)))"),2017.0)</f>
        <v>2017</v>
      </c>
      <c r="U208" s="38" t="b">
        <f t="shared" si="28"/>
        <v>0</v>
      </c>
      <c r="V208" s="38" t="s">
        <v>755</v>
      </c>
      <c r="W208" s="40"/>
      <c r="X208" s="40"/>
      <c r="Y208" s="40"/>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row>
    <row r="209">
      <c r="A209" s="13" t="s">
        <v>756</v>
      </c>
      <c r="B209" s="30">
        <v>42907.0</v>
      </c>
      <c r="C209" s="31">
        <v>42887.0</v>
      </c>
      <c r="D209" s="32" t="s">
        <v>649</v>
      </c>
      <c r="E209" s="13" t="s">
        <v>41</v>
      </c>
      <c r="F209" s="13">
        <v>1.0</v>
      </c>
      <c r="G209" s="13" t="s">
        <v>32</v>
      </c>
      <c r="H209" s="33">
        <f t="shared" ref="H209:H233" si="30">if(G209="Unknown",1,G209)</f>
        <v>1</v>
      </c>
      <c r="I209" s="13" t="s">
        <v>33</v>
      </c>
      <c r="J209" s="13" t="s">
        <v>111</v>
      </c>
      <c r="K209" s="13">
        <v>2.0</v>
      </c>
      <c r="L209" s="34" t="s">
        <v>35</v>
      </c>
      <c r="M209" s="35" t="s">
        <v>757</v>
      </c>
      <c r="N209" s="36" t="s">
        <v>758</v>
      </c>
      <c r="O209" s="16"/>
      <c r="P209" s="16"/>
      <c r="Q209" s="16"/>
      <c r="R209" s="16"/>
      <c r="S209" s="37" t="str">
        <f>IFERROR(__xludf.DUMMYFUNCTION("if(not(iserror(index(split(C209, "" ""),2))), index(split(C209, "" ""),1),"""")"),"June,")</f>
        <v>June,</v>
      </c>
      <c r="T209" s="38">
        <f>IFERROR(__xludf.DUMMYFUNCTION("if(S209="""",C209,if(not(iserror(index(split(C209, "" ""),3))), index(split(C209, "" ""),3),index(split(C209, "" ""),2)))"),2017.0)</f>
        <v>2017</v>
      </c>
      <c r="U209" s="38" t="b">
        <f t="shared" si="28"/>
        <v>0</v>
      </c>
      <c r="V209" s="38"/>
      <c r="W209" s="40"/>
      <c r="X209" s="40"/>
      <c r="Y209" s="40"/>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row>
    <row r="210">
      <c r="A210" s="13" t="s">
        <v>40</v>
      </c>
      <c r="B210" s="30">
        <v>42915.0</v>
      </c>
      <c r="C210" s="31">
        <v>42887.0</v>
      </c>
      <c r="D210" s="32" t="s">
        <v>649</v>
      </c>
      <c r="E210" s="13" t="s">
        <v>41</v>
      </c>
      <c r="F210" s="13">
        <v>19.0</v>
      </c>
      <c r="G210" s="13">
        <v>10.0</v>
      </c>
      <c r="H210" s="33">
        <f t="shared" si="30"/>
        <v>10</v>
      </c>
      <c r="I210" s="13" t="s">
        <v>33</v>
      </c>
      <c r="J210" s="13" t="s">
        <v>433</v>
      </c>
      <c r="K210" s="13" t="s">
        <v>32</v>
      </c>
      <c r="L210" s="13" t="s">
        <v>759</v>
      </c>
      <c r="M210" s="35" t="s">
        <v>760</v>
      </c>
      <c r="N210" s="15"/>
      <c r="O210" s="16"/>
      <c r="P210" s="16"/>
      <c r="Q210" s="16"/>
      <c r="R210" s="16"/>
      <c r="S210" s="37" t="str">
        <f>IFERROR(__xludf.DUMMYFUNCTION("if(not(iserror(index(split(C210, "" ""),2))), index(split(C210, "" ""),1),"""")"),"June,")</f>
        <v>June,</v>
      </c>
      <c r="T210" s="38">
        <f>IFERROR(__xludf.DUMMYFUNCTION("if(S210="""",C210,if(not(iserror(index(split(C210, "" ""),3))), index(split(C210, "" ""),3),index(split(C210, "" ""),2)))"),2017.0)</f>
        <v>2017</v>
      </c>
      <c r="U210" s="38" t="b">
        <f t="shared" si="28"/>
        <v>1</v>
      </c>
      <c r="V210" s="38"/>
      <c r="W210" s="40"/>
      <c r="X210" s="40"/>
      <c r="Y210" s="40"/>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row>
    <row r="211">
      <c r="A211" s="90" t="s">
        <v>761</v>
      </c>
      <c r="B211" s="30">
        <v>42986.0</v>
      </c>
      <c r="C211" s="31">
        <v>42887.0</v>
      </c>
      <c r="D211" s="32" t="s">
        <v>649</v>
      </c>
      <c r="E211" s="13" t="s">
        <v>41</v>
      </c>
      <c r="F211" s="13">
        <v>1.0</v>
      </c>
      <c r="G211" s="13" t="s">
        <v>32</v>
      </c>
      <c r="H211" s="33">
        <f t="shared" si="30"/>
        <v>1</v>
      </c>
      <c r="I211" s="13" t="s">
        <v>33</v>
      </c>
      <c r="J211" s="13" t="s">
        <v>193</v>
      </c>
      <c r="K211" s="13">
        <v>2.0</v>
      </c>
      <c r="L211" s="13" t="s">
        <v>52</v>
      </c>
      <c r="M211" s="35" t="s">
        <v>762</v>
      </c>
      <c r="N211" s="15"/>
      <c r="O211" s="16"/>
      <c r="P211" s="16"/>
      <c r="Q211" s="16"/>
      <c r="R211" s="16"/>
      <c r="S211" s="37" t="str">
        <f>IFERROR(__xludf.DUMMYFUNCTION("if(not(iserror(index(split(C211, "" ""),2))), index(split(C211, "" ""),1),"""")"),"June,")</f>
        <v>June,</v>
      </c>
      <c r="T211" s="38">
        <f>IFERROR(__xludf.DUMMYFUNCTION("if(S211="""",C211,if(not(iserror(index(split(C211, "" ""),3))), index(split(C211, "" ""),3),index(split(C211, "" ""),2)))"),2017.0)</f>
        <v>2017</v>
      </c>
      <c r="U211" s="38" t="b">
        <f t="shared" si="28"/>
        <v>0</v>
      </c>
      <c r="V211" s="38"/>
      <c r="W211" s="40"/>
      <c r="X211" s="40"/>
      <c r="Y211" s="40"/>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row>
    <row r="212">
      <c r="A212" s="13" t="s">
        <v>763</v>
      </c>
      <c r="B212" s="30">
        <v>43119.0</v>
      </c>
      <c r="C212" s="31">
        <v>42887.0</v>
      </c>
      <c r="D212" s="32" t="s">
        <v>649</v>
      </c>
      <c r="E212" s="13" t="s">
        <v>31</v>
      </c>
      <c r="F212" s="13">
        <v>1.0</v>
      </c>
      <c r="G212" s="13" t="s">
        <v>32</v>
      </c>
      <c r="H212" s="33">
        <f t="shared" si="30"/>
        <v>1</v>
      </c>
      <c r="I212" s="13" t="s">
        <v>33</v>
      </c>
      <c r="J212" s="13" t="s">
        <v>47</v>
      </c>
      <c r="K212" s="13">
        <v>1.0</v>
      </c>
      <c r="L212" s="13" t="s">
        <v>764</v>
      </c>
      <c r="M212" s="35" t="s">
        <v>765</v>
      </c>
      <c r="N212" s="15"/>
      <c r="O212" s="37"/>
      <c r="P212" s="37"/>
      <c r="Q212" s="64"/>
      <c r="R212" s="16"/>
      <c r="S212" s="37" t="str">
        <f>IFERROR(__xludf.DUMMYFUNCTION("if(not(iserror(index(split(C212, "" ""),2))), index(split(C212, "" ""),1),"""")"),"June,")</f>
        <v>June,</v>
      </c>
      <c r="T212" s="38">
        <f>IFERROR(__xludf.DUMMYFUNCTION("if(S212="""",C212,if(not(iserror(index(split(C212, "" ""),3))), index(split(C212, "" ""),3),index(split(C212, "" ""),2)))"),2017.0)</f>
        <v>2017</v>
      </c>
      <c r="U212" s="38" t="b">
        <f t="shared" si="28"/>
        <v>0</v>
      </c>
      <c r="V212" s="38"/>
      <c r="W212" s="40"/>
      <c r="X212" s="40"/>
      <c r="Y212" s="40"/>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row>
    <row r="213">
      <c r="A213" s="13" t="s">
        <v>766</v>
      </c>
      <c r="B213" s="30">
        <v>43132.0</v>
      </c>
      <c r="C213" s="31">
        <v>42887.0</v>
      </c>
      <c r="D213" s="32" t="s">
        <v>649</v>
      </c>
      <c r="E213" s="13" t="s">
        <v>41</v>
      </c>
      <c r="F213" s="13">
        <v>1.0</v>
      </c>
      <c r="G213" s="13" t="s">
        <v>32</v>
      </c>
      <c r="H213" s="33">
        <f t="shared" si="30"/>
        <v>1</v>
      </c>
      <c r="I213" s="13" t="s">
        <v>33</v>
      </c>
      <c r="J213" s="13" t="s">
        <v>402</v>
      </c>
      <c r="K213" s="13">
        <v>2.0</v>
      </c>
      <c r="L213" s="13" t="s">
        <v>99</v>
      </c>
      <c r="M213" s="45" t="s">
        <v>767</v>
      </c>
      <c r="N213" s="15"/>
      <c r="O213" s="16"/>
      <c r="P213" s="16"/>
      <c r="Q213" s="16"/>
      <c r="R213" s="16"/>
      <c r="S213" s="37" t="str">
        <f>IFERROR(__xludf.DUMMYFUNCTION("if(not(iserror(index(split(C213, "" ""),2))), index(split(C213, "" ""),1),"""")"),"June,")</f>
        <v>June,</v>
      </c>
      <c r="T213" s="38">
        <f>IFERROR(__xludf.DUMMYFUNCTION("if(S213="""",C213,if(not(iserror(index(split(C213, "" ""),3))), index(split(C213, "" ""),3),index(split(C213, "" ""),2)))"),2017.0)</f>
        <v>2017</v>
      </c>
      <c r="U213" s="38" t="b">
        <f t="shared" si="28"/>
        <v>0</v>
      </c>
      <c r="V213" s="38"/>
      <c r="W213" s="40"/>
      <c r="X213" s="40"/>
      <c r="Y213" s="40"/>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row>
    <row r="214">
      <c r="A214" s="13" t="s">
        <v>768</v>
      </c>
      <c r="B214" s="30">
        <v>43196.0</v>
      </c>
      <c r="C214" s="31">
        <v>42887.0</v>
      </c>
      <c r="D214" s="32" t="s">
        <v>649</v>
      </c>
      <c r="E214" s="13" t="s">
        <v>41</v>
      </c>
      <c r="F214" s="13">
        <v>3.0</v>
      </c>
      <c r="G214" s="13">
        <v>1.0</v>
      </c>
      <c r="H214" s="33">
        <f t="shared" si="30"/>
        <v>1</v>
      </c>
      <c r="I214" s="13" t="s">
        <v>33</v>
      </c>
      <c r="J214" s="13" t="s">
        <v>179</v>
      </c>
      <c r="K214" s="13" t="s">
        <v>40</v>
      </c>
      <c r="L214" s="13" t="s">
        <v>769</v>
      </c>
      <c r="M214" s="35" t="s">
        <v>770</v>
      </c>
      <c r="N214" s="15"/>
      <c r="O214" s="37"/>
      <c r="P214" s="16"/>
      <c r="Q214" s="64"/>
      <c r="R214" s="16"/>
      <c r="S214" s="37" t="str">
        <f>IFERROR(__xludf.DUMMYFUNCTION("if(not(iserror(index(split(C214, "" ""),2))), index(split(C214, "" ""),1),"""")"),"June,")</f>
        <v>June,</v>
      </c>
      <c r="T214" s="38">
        <f>IFERROR(__xludf.DUMMYFUNCTION("if(S214="""",C214,if(not(iserror(index(split(C214, "" ""),3))), index(split(C214, "" ""),3),index(split(C214, "" ""),2)))"),2017.0)</f>
        <v>2017</v>
      </c>
      <c r="U214" s="38" t="b">
        <f t="shared" si="28"/>
        <v>0</v>
      </c>
      <c r="V214" s="38"/>
      <c r="W214" s="40"/>
      <c r="X214" s="40"/>
      <c r="Y214" s="40"/>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row>
    <row r="215">
      <c r="A215" s="34" t="s">
        <v>771</v>
      </c>
      <c r="B215" s="73">
        <v>43208.0</v>
      </c>
      <c r="C215" s="74">
        <v>42887.0</v>
      </c>
      <c r="D215" s="75" t="s">
        <v>649</v>
      </c>
      <c r="E215" s="34" t="s">
        <v>41</v>
      </c>
      <c r="F215" s="34">
        <v>1.0</v>
      </c>
      <c r="G215" s="34" t="s">
        <v>32</v>
      </c>
      <c r="H215" s="33">
        <f t="shared" si="30"/>
        <v>1</v>
      </c>
      <c r="I215" s="34" t="s">
        <v>33</v>
      </c>
      <c r="J215" s="34" t="s">
        <v>241</v>
      </c>
      <c r="K215" s="34" t="s">
        <v>40</v>
      </c>
      <c r="L215" s="34" t="s">
        <v>772</v>
      </c>
      <c r="M215" s="36" t="s">
        <v>773</v>
      </c>
      <c r="N215" s="77"/>
      <c r="O215" s="62"/>
      <c r="P215" s="62"/>
      <c r="Q215" s="62"/>
      <c r="R215" s="62"/>
      <c r="S215" s="37" t="str">
        <f>IFERROR(__xludf.DUMMYFUNCTION("if(not(iserror(index(split(C215, "" ""),2))), index(split(C215, "" ""),1),"""")"),"June,")</f>
        <v>June,</v>
      </c>
      <c r="T215" s="38">
        <f>IFERROR(__xludf.DUMMYFUNCTION("if(S215="""",C215,if(not(iserror(index(split(C215, "" ""),3))), index(split(C215, "" ""),3),index(split(C215, "" ""),2)))"),2017.0)</f>
        <v>2017</v>
      </c>
      <c r="U215" s="38" t="b">
        <f t="shared" si="28"/>
        <v>0</v>
      </c>
      <c r="V215" s="38"/>
      <c r="W215" s="40"/>
      <c r="X215" s="40"/>
      <c r="Y215" s="40"/>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row>
    <row r="216">
      <c r="A216" s="37" t="s">
        <v>774</v>
      </c>
      <c r="B216" s="59">
        <v>43212.0</v>
      </c>
      <c r="C216" s="79">
        <v>42887.0</v>
      </c>
      <c r="D216" s="60" t="s">
        <v>649</v>
      </c>
      <c r="E216" s="58" t="s">
        <v>41</v>
      </c>
      <c r="F216" s="58">
        <v>1.0</v>
      </c>
      <c r="G216" s="58" t="s">
        <v>32</v>
      </c>
      <c r="H216" s="33">
        <f t="shared" si="30"/>
        <v>1</v>
      </c>
      <c r="I216" s="58" t="s">
        <v>33</v>
      </c>
      <c r="J216" s="58" t="s">
        <v>93</v>
      </c>
      <c r="K216" s="58" t="s">
        <v>32</v>
      </c>
      <c r="L216" s="58" t="s">
        <v>35</v>
      </c>
      <c r="M216" s="61" t="s">
        <v>775</v>
      </c>
      <c r="N216" s="77"/>
      <c r="O216" s="62"/>
      <c r="P216" s="62"/>
      <c r="Q216" s="62"/>
      <c r="R216" s="62"/>
      <c r="S216" s="37" t="str">
        <f>IFERROR(__xludf.DUMMYFUNCTION("if(not(iserror(index(split(C216, "" ""),2))), index(split(C216, "" ""),1),"""")"),"June,")</f>
        <v>June,</v>
      </c>
      <c r="T216" s="38">
        <f>IFERROR(__xludf.DUMMYFUNCTION("if(S216="""",C216,if(not(iserror(index(split(C216, "" ""),3))), index(split(C216, "" ""),3),index(split(C216, "" ""),2)))"),2017.0)</f>
        <v>2017</v>
      </c>
      <c r="U216" s="38" t="b">
        <f t="shared" si="28"/>
        <v>0</v>
      </c>
      <c r="V216" s="38"/>
      <c r="W216" s="40"/>
      <c r="X216" s="40"/>
      <c r="Y216" s="40"/>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row>
    <row r="217">
      <c r="A217" s="58" t="s">
        <v>776</v>
      </c>
      <c r="B217" s="59">
        <v>43235.0</v>
      </c>
      <c r="C217" s="79">
        <v>42887.0</v>
      </c>
      <c r="D217" s="60" t="s">
        <v>649</v>
      </c>
      <c r="E217" s="58" t="s">
        <v>31</v>
      </c>
      <c r="F217" s="58">
        <v>2.0</v>
      </c>
      <c r="G217" s="58" t="s">
        <v>32</v>
      </c>
      <c r="H217" s="33">
        <f t="shared" si="30"/>
        <v>1</v>
      </c>
      <c r="I217" s="58" t="s">
        <v>33</v>
      </c>
      <c r="J217" s="58" t="s">
        <v>147</v>
      </c>
      <c r="K217" s="58" t="s">
        <v>32</v>
      </c>
      <c r="L217" s="58" t="s">
        <v>52</v>
      </c>
      <c r="M217" s="61" t="s">
        <v>777</v>
      </c>
      <c r="N217" s="77"/>
      <c r="O217" s="62"/>
      <c r="P217" s="62"/>
      <c r="Q217" s="62"/>
      <c r="R217" s="62"/>
      <c r="S217" s="37" t="str">
        <f>IFERROR(__xludf.DUMMYFUNCTION("if(not(iserror(index(split(C217, "" ""),2))), index(split(C217, "" ""),1),"""")"),"June,")</f>
        <v>June,</v>
      </c>
      <c r="T217" s="38">
        <f>IFERROR(__xludf.DUMMYFUNCTION("if(S217="""",C217,if(not(iserror(index(split(C217, "" ""),3))), index(split(C217, "" ""),3),index(split(C217, "" ""),2)))"),2017.0)</f>
        <v>2017</v>
      </c>
      <c r="U217" s="38" t="b">
        <f t="shared" si="28"/>
        <v>0</v>
      </c>
      <c r="V217" s="38"/>
      <c r="W217" s="40"/>
      <c r="X217" s="40"/>
      <c r="Y217" s="40"/>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row>
    <row r="218">
      <c r="A218" s="58" t="s">
        <v>778</v>
      </c>
      <c r="B218" s="59">
        <v>43307.0</v>
      </c>
      <c r="C218" s="79">
        <v>42887.0</v>
      </c>
      <c r="D218" s="60" t="s">
        <v>649</v>
      </c>
      <c r="E218" s="58" t="s">
        <v>31</v>
      </c>
      <c r="F218" s="58">
        <v>2.0</v>
      </c>
      <c r="G218" s="58" t="s">
        <v>32</v>
      </c>
      <c r="H218" s="33">
        <f t="shared" si="30"/>
        <v>1</v>
      </c>
      <c r="I218" s="58" t="s">
        <v>33</v>
      </c>
      <c r="J218" s="58" t="s">
        <v>47</v>
      </c>
      <c r="K218" s="58" t="s">
        <v>32</v>
      </c>
      <c r="L218" s="58" t="s">
        <v>35</v>
      </c>
      <c r="M218" s="61" t="s">
        <v>779</v>
      </c>
      <c r="N218" s="77"/>
      <c r="O218" s="58"/>
      <c r="P218" s="62"/>
      <c r="Q218" s="84"/>
      <c r="R218" s="62"/>
      <c r="S218" s="37" t="str">
        <f>IFERROR(__xludf.DUMMYFUNCTION("if(not(iserror(index(split(C218, "" ""),2))), index(split(C218, "" ""),1),"""")"),"June,")</f>
        <v>June,</v>
      </c>
      <c r="T218" s="38">
        <f>IFERROR(__xludf.DUMMYFUNCTION("if(S218="""",C218,if(not(iserror(index(split(C218, "" ""),3))), index(split(C218, "" ""),3),index(split(C218, "" ""),2)))"),2017.0)</f>
        <v>2017</v>
      </c>
      <c r="U218" s="38" t="b">
        <f t="shared" si="28"/>
        <v>0</v>
      </c>
      <c r="V218" s="38"/>
      <c r="W218" s="40"/>
      <c r="X218" s="40"/>
      <c r="Y218" s="40"/>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row>
    <row r="219">
      <c r="A219" s="58" t="s">
        <v>780</v>
      </c>
      <c r="B219" s="59">
        <v>43326.0</v>
      </c>
      <c r="C219" s="79">
        <v>42887.0</v>
      </c>
      <c r="D219" s="60" t="s">
        <v>649</v>
      </c>
      <c r="E219" s="58" t="s">
        <v>31</v>
      </c>
      <c r="F219" s="58">
        <v>1.0</v>
      </c>
      <c r="G219" s="58" t="s">
        <v>32</v>
      </c>
      <c r="H219" s="33">
        <f t="shared" si="30"/>
        <v>1</v>
      </c>
      <c r="I219" s="58" t="s">
        <v>33</v>
      </c>
      <c r="J219" s="58" t="s">
        <v>402</v>
      </c>
      <c r="K219" s="58">
        <v>1.0</v>
      </c>
      <c r="L219" s="58" t="s">
        <v>119</v>
      </c>
      <c r="M219" s="61" t="s">
        <v>781</v>
      </c>
      <c r="N219" s="61" t="s">
        <v>782</v>
      </c>
      <c r="O219" s="83" t="str">
        <f>hyperlink("https://bad-boys.us/?q=ND-IN/2:18-cr-00027", "ND-IN 2:18-cr-00027")</f>
        <v>ND-IN 2:18-cr-00027</v>
      </c>
      <c r="P219" s="88" t="s">
        <v>783</v>
      </c>
      <c r="Q219" s="84">
        <v>1.0</v>
      </c>
      <c r="R219" s="62"/>
      <c r="S219" s="37" t="str">
        <f>IFERROR(__xludf.DUMMYFUNCTION("if(not(iserror(index(split(C219, "" ""),2))), index(split(C219, "" ""),1),"""")"),"June,")</f>
        <v>June,</v>
      </c>
      <c r="T219" s="38">
        <f>IFERROR(__xludf.DUMMYFUNCTION("if(S219="""",C219,if(not(iserror(index(split(C219, "" ""),3))), index(split(C219, "" ""),3),index(split(C219, "" ""),2)))"),2017.0)</f>
        <v>2017</v>
      </c>
      <c r="U219" s="38" t="b">
        <f t="shared" si="28"/>
        <v>0</v>
      </c>
      <c r="V219" s="38" t="s">
        <v>33</v>
      </c>
      <c r="W219" s="39" t="s">
        <v>784</v>
      </c>
      <c r="X219" s="39" t="s">
        <v>785</v>
      </c>
      <c r="Y219" s="40"/>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row>
    <row r="220">
      <c r="A220" s="58" t="s">
        <v>786</v>
      </c>
      <c r="B220" s="59">
        <v>43354.0</v>
      </c>
      <c r="C220" s="79">
        <v>42887.0</v>
      </c>
      <c r="D220" s="60" t="s">
        <v>649</v>
      </c>
      <c r="E220" s="58" t="s">
        <v>41</v>
      </c>
      <c r="F220" s="58">
        <v>1.0</v>
      </c>
      <c r="G220" s="58" t="s">
        <v>32</v>
      </c>
      <c r="H220" s="33">
        <f t="shared" si="30"/>
        <v>1</v>
      </c>
      <c r="I220" s="58" t="s">
        <v>33</v>
      </c>
      <c r="J220" s="58" t="s">
        <v>47</v>
      </c>
      <c r="K220" s="58" t="s">
        <v>32</v>
      </c>
      <c r="L220" s="58" t="s">
        <v>76</v>
      </c>
      <c r="M220" s="61" t="s">
        <v>787</v>
      </c>
      <c r="N220" s="77"/>
      <c r="O220" s="83" t="str">
        <f>hyperlink("https://bad-boys.us/?q=ND-FL/3:17-cr-00110", "ND-FL 3:17-cr-00110")</f>
        <v>ND-FL 3:17-cr-00110</v>
      </c>
      <c r="P220" s="88" t="s">
        <v>788</v>
      </c>
      <c r="Q220" s="84">
        <v>1.0</v>
      </c>
      <c r="R220" s="62"/>
      <c r="S220" s="37" t="str">
        <f>IFERROR(__xludf.DUMMYFUNCTION("if(not(iserror(index(split(C220, "" ""),2))), index(split(C220, "" ""),1),"""")"),"June,")</f>
        <v>June,</v>
      </c>
      <c r="T220" s="38">
        <f>IFERROR(__xludf.DUMMYFUNCTION("if(S220="""",C220,if(not(iserror(index(split(C220, "" ""),3))), index(split(C220, "" ""),3),index(split(C220, "" ""),2)))"),2017.0)</f>
        <v>2017</v>
      </c>
      <c r="U220" s="38" t="b">
        <f t="shared" si="28"/>
        <v>0</v>
      </c>
      <c r="V220" s="38"/>
      <c r="W220" s="40"/>
      <c r="X220" s="40"/>
      <c r="Y220" s="40"/>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row>
    <row r="221">
      <c r="A221" s="58" t="s">
        <v>789</v>
      </c>
      <c r="B221" s="59">
        <v>43371.0</v>
      </c>
      <c r="C221" s="79">
        <v>42887.0</v>
      </c>
      <c r="D221" s="60" t="s">
        <v>637</v>
      </c>
      <c r="E221" s="58" t="s">
        <v>41</v>
      </c>
      <c r="F221" s="58">
        <v>1.0</v>
      </c>
      <c r="G221" s="58" t="s">
        <v>32</v>
      </c>
      <c r="H221" s="33">
        <f t="shared" si="30"/>
        <v>1</v>
      </c>
      <c r="I221" s="58" t="s">
        <v>33</v>
      </c>
      <c r="J221" s="58" t="s">
        <v>47</v>
      </c>
      <c r="K221" s="58" t="s">
        <v>32</v>
      </c>
      <c r="L221" s="58" t="s">
        <v>790</v>
      </c>
      <c r="M221" s="61" t="s">
        <v>791</v>
      </c>
      <c r="N221" s="77"/>
      <c r="O221" s="88" t="str">
        <f>hyperlink("https://bad-boys.us/?q=ED-VA/1:18-cr-00238", "ED-VA 1:18-cr-00238")</f>
        <v>ED-VA 1:18-cr-00238</v>
      </c>
      <c r="P221" s="62"/>
      <c r="Q221" s="84">
        <v>1.0</v>
      </c>
      <c r="R221" s="62"/>
      <c r="S221" s="37" t="str">
        <f>IFERROR(__xludf.DUMMYFUNCTION("if(not(iserror(index(split(C221, "" ""),2))), index(split(C221, "" ""),1),"""")"),"June,")</f>
        <v>June,</v>
      </c>
      <c r="T221" s="38">
        <f>IFERROR(__xludf.DUMMYFUNCTION("if(S221="""",C221,if(not(iserror(index(split(C221, "" ""),3))), index(split(C221, "" ""),3),index(split(C221, "" ""),2)))"),2017.0)</f>
        <v>2017</v>
      </c>
      <c r="U221" s="38" t="b">
        <f t="shared" si="28"/>
        <v>0</v>
      </c>
      <c r="V221" s="38"/>
      <c r="W221" s="40"/>
      <c r="X221" s="40"/>
      <c r="Y221" s="40"/>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row>
    <row r="222">
      <c r="A222" s="58" t="s">
        <v>792</v>
      </c>
      <c r="B222" s="59">
        <v>43388.0</v>
      </c>
      <c r="C222" s="79">
        <v>42887.0</v>
      </c>
      <c r="D222" s="60" t="s">
        <v>649</v>
      </c>
      <c r="E222" s="58" t="s">
        <v>41</v>
      </c>
      <c r="F222" s="58">
        <v>1.0</v>
      </c>
      <c r="G222" s="58" t="s">
        <v>32</v>
      </c>
      <c r="H222" s="33">
        <f t="shared" si="30"/>
        <v>1</v>
      </c>
      <c r="I222" s="58" t="s">
        <v>33</v>
      </c>
      <c r="J222" s="58" t="s">
        <v>111</v>
      </c>
      <c r="K222" s="58">
        <v>1.0</v>
      </c>
      <c r="L222" s="58" t="s">
        <v>69</v>
      </c>
      <c r="M222" s="61" t="s">
        <v>793</v>
      </c>
      <c r="N222" s="80"/>
      <c r="O222" s="62"/>
      <c r="P222" s="62"/>
      <c r="Q222" s="62"/>
      <c r="R222" s="62"/>
      <c r="S222" s="37" t="str">
        <f>IFERROR(__xludf.DUMMYFUNCTION("if(not(iserror(index(split(C222, "" ""),2))), index(split(C222, "" ""),1),"""")"),"June,")</f>
        <v>June,</v>
      </c>
      <c r="T222" s="38">
        <f>IFERROR(__xludf.DUMMYFUNCTION("if(S222="""",C222,if(not(iserror(index(split(C222, "" ""),3))), index(split(C222, "" ""),3),index(split(C222, "" ""),2)))"),2017.0)</f>
        <v>2017</v>
      </c>
      <c r="U222" s="38" t="b">
        <f t="shared" si="28"/>
        <v>0</v>
      </c>
      <c r="V222" s="38"/>
      <c r="W222" s="40"/>
      <c r="X222" s="40"/>
      <c r="Y222" s="40"/>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row>
    <row r="223">
      <c r="A223" s="58" t="s">
        <v>794</v>
      </c>
      <c r="B223" s="59">
        <v>43402.0</v>
      </c>
      <c r="C223" s="79">
        <v>42887.0</v>
      </c>
      <c r="D223" s="60" t="s">
        <v>795</v>
      </c>
      <c r="E223" s="58" t="s">
        <v>41</v>
      </c>
      <c r="F223" s="58">
        <v>1.0</v>
      </c>
      <c r="G223" s="58" t="s">
        <v>32</v>
      </c>
      <c r="H223" s="33">
        <f t="shared" si="30"/>
        <v>1</v>
      </c>
      <c r="I223" s="58" t="s">
        <v>33</v>
      </c>
      <c r="J223" s="58" t="s">
        <v>115</v>
      </c>
      <c r="K223" s="58">
        <v>2.0</v>
      </c>
      <c r="L223" s="58" t="s">
        <v>119</v>
      </c>
      <c r="M223" s="61" t="s">
        <v>796</v>
      </c>
      <c r="N223" s="61" t="s">
        <v>797</v>
      </c>
      <c r="O223" s="58"/>
      <c r="P223" s="58"/>
      <c r="Q223" s="84"/>
      <c r="R223" s="62"/>
      <c r="S223" s="37" t="str">
        <f>IFERROR(__xludf.DUMMYFUNCTION("if(not(iserror(index(split(C223, "" ""),2))), index(split(C223, "" ""),1),"""")"),"June,")</f>
        <v>June,</v>
      </c>
      <c r="T223" s="38">
        <f>IFERROR(__xludf.DUMMYFUNCTION("if(S223="""",C223,if(not(iserror(index(split(C223, "" ""),3))), index(split(C223, "" ""),3),index(split(C223, "" ""),2)))"),2017.0)</f>
        <v>2017</v>
      </c>
      <c r="U223" s="38" t="b">
        <f t="shared" si="28"/>
        <v>0</v>
      </c>
      <c r="V223" s="38"/>
      <c r="W223" s="40"/>
      <c r="X223" s="40"/>
      <c r="Y223" s="40"/>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row>
    <row r="224">
      <c r="A224" s="85" t="s">
        <v>798</v>
      </c>
      <c r="B224" s="59">
        <v>43437.0</v>
      </c>
      <c r="C224" s="79">
        <v>42887.0</v>
      </c>
      <c r="D224" s="60" t="s">
        <v>799</v>
      </c>
      <c r="E224" s="58" t="s">
        <v>41</v>
      </c>
      <c r="F224" s="58">
        <v>1.0</v>
      </c>
      <c r="G224" s="58" t="s">
        <v>32</v>
      </c>
      <c r="H224" s="33">
        <f t="shared" si="30"/>
        <v>1</v>
      </c>
      <c r="I224" s="58" t="s">
        <v>33</v>
      </c>
      <c r="J224" s="58" t="s">
        <v>124</v>
      </c>
      <c r="K224" s="58">
        <v>1.0</v>
      </c>
      <c r="L224" s="58" t="s">
        <v>119</v>
      </c>
      <c r="M224" s="61" t="s">
        <v>800</v>
      </c>
      <c r="N224" s="61" t="s">
        <v>801</v>
      </c>
      <c r="O224" s="58"/>
      <c r="P224" s="62"/>
      <c r="Q224" s="84"/>
      <c r="R224" s="62"/>
      <c r="S224" s="37" t="str">
        <f>IFERROR(__xludf.DUMMYFUNCTION("if(not(iserror(index(split(C224, "" ""),2))), index(split(C224, "" ""),1),"""")"),"June,")</f>
        <v>June,</v>
      </c>
      <c r="T224" s="38">
        <f>IFERROR(__xludf.DUMMYFUNCTION("if(S224="""",C224,if(not(iserror(index(split(C224, "" ""),3))), index(split(C224, "" ""),3),index(split(C224, "" ""),2)))"),2017.0)</f>
        <v>2017</v>
      </c>
      <c r="U224" s="38" t="b">
        <f t="shared" si="28"/>
        <v>0</v>
      </c>
      <c r="V224" s="38"/>
      <c r="W224" s="40"/>
      <c r="X224" s="40"/>
      <c r="Y224" s="40"/>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row>
    <row r="225">
      <c r="A225" s="58" t="s">
        <v>802</v>
      </c>
      <c r="B225" s="59">
        <v>43451.0</v>
      </c>
      <c r="C225" s="79">
        <v>42887.0</v>
      </c>
      <c r="D225" s="60" t="s">
        <v>637</v>
      </c>
      <c r="E225" s="58" t="s">
        <v>41</v>
      </c>
      <c r="F225" s="58">
        <v>1.0</v>
      </c>
      <c r="G225" s="58" t="s">
        <v>32</v>
      </c>
      <c r="H225" s="33">
        <f t="shared" si="30"/>
        <v>1</v>
      </c>
      <c r="I225" s="58" t="s">
        <v>33</v>
      </c>
      <c r="J225" s="58" t="s">
        <v>93</v>
      </c>
      <c r="K225" s="58">
        <v>2.0</v>
      </c>
      <c r="L225" s="58" t="s">
        <v>119</v>
      </c>
      <c r="M225" s="61" t="s">
        <v>803</v>
      </c>
      <c r="N225" s="77"/>
      <c r="O225" s="88" t="str">
        <f>hyperlink("https://bad-boys.us/?q=ND-NY/1:18-cr-00204", "ND-NY 1:18-cr-00204")</f>
        <v>ND-NY 1:18-cr-00204</v>
      </c>
      <c r="P225" s="88" t="s">
        <v>804</v>
      </c>
      <c r="Q225" s="84">
        <v>1.0</v>
      </c>
      <c r="R225" s="62"/>
      <c r="S225" s="37" t="str">
        <f>IFERROR(__xludf.DUMMYFUNCTION("if(not(iserror(index(split(C225, "" ""),2))), index(split(C225, "" ""),1),"""")"),"June,")</f>
        <v>June,</v>
      </c>
      <c r="T225" s="38">
        <f>IFERROR(__xludf.DUMMYFUNCTION("if(S225="""",C225,if(not(iserror(index(split(C225, "" ""),3))), index(split(C225, "" ""),3),index(split(C225, "" ""),2)))"),2017.0)</f>
        <v>2017</v>
      </c>
      <c r="U225" s="38" t="b">
        <f t="shared" si="28"/>
        <v>0</v>
      </c>
      <c r="V225" s="38"/>
      <c r="W225" s="40"/>
      <c r="X225" s="40"/>
      <c r="Y225" s="40"/>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row>
    <row r="226">
      <c r="A226" s="13" t="s">
        <v>805</v>
      </c>
      <c r="B226" s="30">
        <v>42892.0</v>
      </c>
      <c r="C226" s="30">
        <v>42892.0</v>
      </c>
      <c r="D226" s="32" t="s">
        <v>806</v>
      </c>
      <c r="E226" s="13" t="s">
        <v>31</v>
      </c>
      <c r="F226" s="13">
        <v>1.0</v>
      </c>
      <c r="G226" s="13" t="s">
        <v>32</v>
      </c>
      <c r="H226" s="33">
        <f t="shared" si="30"/>
        <v>1</v>
      </c>
      <c r="I226" s="13" t="s">
        <v>33</v>
      </c>
      <c r="J226" s="13" t="s">
        <v>34</v>
      </c>
      <c r="K226" s="13">
        <v>4.0</v>
      </c>
      <c r="L226" s="34" t="s">
        <v>807</v>
      </c>
      <c r="M226" s="103" t="s">
        <v>808</v>
      </c>
      <c r="N226" s="35" t="s">
        <v>809</v>
      </c>
      <c r="O226" s="16"/>
      <c r="P226" s="16"/>
      <c r="Q226" s="16"/>
      <c r="R226" s="16"/>
      <c r="S226" s="37" t="str">
        <f>IFERROR(__xludf.DUMMYFUNCTION("if(not(iserror(index(split(C226, "" ""),2))), index(split(C226, "" ""),1),"""")"),"June")</f>
        <v>June</v>
      </c>
      <c r="T226" s="38">
        <f>IFERROR(__xludf.DUMMYFUNCTION("if(S226="""",C226,if(not(iserror(index(split(C226, "" ""),3))), index(split(C226, "" ""),3),index(split(C226, "" ""),2)))"),2017.0)</f>
        <v>2017</v>
      </c>
      <c r="U226" s="38" t="b">
        <f t="shared" si="28"/>
        <v>0</v>
      </c>
      <c r="V226" s="38" t="s">
        <v>33</v>
      </c>
      <c r="W226" s="39" t="s">
        <v>810</v>
      </c>
      <c r="X226" s="39" t="s">
        <v>811</v>
      </c>
      <c r="Y226" s="40"/>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row>
    <row r="227">
      <c r="A227" s="37" t="s">
        <v>812</v>
      </c>
      <c r="B227" s="30">
        <v>43103.0</v>
      </c>
      <c r="C227" s="30">
        <v>42892.0</v>
      </c>
      <c r="D227" s="32" t="s">
        <v>806</v>
      </c>
      <c r="E227" s="13" t="s">
        <v>41</v>
      </c>
      <c r="F227" s="13">
        <v>1.0</v>
      </c>
      <c r="G227" s="13" t="s">
        <v>32</v>
      </c>
      <c r="H227" s="33">
        <f t="shared" si="30"/>
        <v>1</v>
      </c>
      <c r="I227" s="13" t="s">
        <v>33</v>
      </c>
      <c r="J227" s="13" t="s">
        <v>343</v>
      </c>
      <c r="K227" s="13" t="s">
        <v>32</v>
      </c>
      <c r="L227" s="13" t="s">
        <v>813</v>
      </c>
      <c r="M227" s="45" t="s">
        <v>814</v>
      </c>
      <c r="N227" s="15"/>
      <c r="O227" s="37"/>
      <c r="P227" s="37"/>
      <c r="Q227" s="64"/>
      <c r="R227" s="16"/>
      <c r="S227" s="37" t="str">
        <f>IFERROR(__xludf.DUMMYFUNCTION("if(not(iserror(index(split(C227, "" ""),2))), index(split(C227, "" ""),1),"""")"),"June")</f>
        <v>June</v>
      </c>
      <c r="T227" s="38">
        <f>IFERROR(__xludf.DUMMYFUNCTION("if(S227="""",C227,if(not(iserror(index(split(C227, "" ""),3))), index(split(C227, "" ""),3),index(split(C227, "" ""),2)))"),2017.0)</f>
        <v>2017</v>
      </c>
      <c r="U227" s="38" t="b">
        <f t="shared" si="28"/>
        <v>1</v>
      </c>
      <c r="V227" s="38"/>
      <c r="W227" s="40"/>
      <c r="X227" s="40"/>
      <c r="Y227" s="40"/>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row>
    <row r="228">
      <c r="A228" s="58" t="s">
        <v>815</v>
      </c>
      <c r="B228" s="59">
        <v>43242.0</v>
      </c>
      <c r="C228" s="59">
        <v>42892.0</v>
      </c>
      <c r="D228" s="60" t="s">
        <v>806</v>
      </c>
      <c r="E228" s="58" t="s">
        <v>41</v>
      </c>
      <c r="F228" s="58">
        <v>1.0</v>
      </c>
      <c r="G228" s="58" t="s">
        <v>32</v>
      </c>
      <c r="H228" s="33">
        <f t="shared" si="30"/>
        <v>1</v>
      </c>
      <c r="I228" s="58" t="s">
        <v>33</v>
      </c>
      <c r="J228" s="58" t="s">
        <v>111</v>
      </c>
      <c r="K228" s="58">
        <v>1.0</v>
      </c>
      <c r="L228" s="34" t="s">
        <v>816</v>
      </c>
      <c r="M228" s="61" t="s">
        <v>817</v>
      </c>
      <c r="N228" s="77"/>
      <c r="O228" s="62"/>
      <c r="P228" s="62"/>
      <c r="Q228" s="62"/>
      <c r="R228" s="62"/>
      <c r="S228" s="37" t="str">
        <f>IFERROR(__xludf.DUMMYFUNCTION("if(not(iserror(index(split(C228, "" ""),2))), index(split(C228, "" ""),1),"""")"),"June")</f>
        <v>June</v>
      </c>
      <c r="T228" s="38">
        <f>IFERROR(__xludf.DUMMYFUNCTION("if(S228="""",C228,if(not(iserror(index(split(C228, "" ""),3))), index(split(C228, "" ""),3),index(split(C228, "" ""),2)))"),2017.0)</f>
        <v>2017</v>
      </c>
      <c r="U228" s="38" t="b">
        <f t="shared" si="28"/>
        <v>0</v>
      </c>
      <c r="V228" s="38"/>
      <c r="W228" s="40"/>
      <c r="X228" s="40"/>
      <c r="Y228" s="40"/>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row>
    <row r="229">
      <c r="A229" s="13" t="s">
        <v>239</v>
      </c>
      <c r="B229" s="30">
        <v>42895.0</v>
      </c>
      <c r="C229" s="30">
        <v>42893.0</v>
      </c>
      <c r="D229" s="32" t="s">
        <v>818</v>
      </c>
      <c r="E229" s="13" t="s">
        <v>41</v>
      </c>
      <c r="F229" s="13">
        <v>2.0</v>
      </c>
      <c r="G229" s="13">
        <v>1.0</v>
      </c>
      <c r="H229" s="33">
        <f t="shared" si="30"/>
        <v>1</v>
      </c>
      <c r="I229" s="13" t="s">
        <v>33</v>
      </c>
      <c r="J229" s="13" t="s">
        <v>241</v>
      </c>
      <c r="K229" s="13">
        <v>1.0</v>
      </c>
      <c r="L229" s="34" t="s">
        <v>194</v>
      </c>
      <c r="M229" s="35" t="s">
        <v>819</v>
      </c>
      <c r="N229" s="15"/>
      <c r="O229" s="16"/>
      <c r="P229" s="16"/>
      <c r="Q229" s="16"/>
      <c r="R229" s="16"/>
      <c r="S229" s="37" t="str">
        <f>IFERROR(__xludf.DUMMYFUNCTION("if(not(iserror(index(split(C229, "" ""),2))), index(split(C229, "" ""),1),"""")"),"June")</f>
        <v>June</v>
      </c>
      <c r="T229" s="38">
        <f>IFERROR(__xludf.DUMMYFUNCTION("if(S229="""",C229,if(not(iserror(index(split(C229, "" ""),3))), index(split(C229, "" ""),3),index(split(C229, "" ""),2)))"),2017.0)</f>
        <v>2017</v>
      </c>
      <c r="U229" s="38" t="b">
        <f t="shared" si="28"/>
        <v>1</v>
      </c>
      <c r="V229" s="38"/>
      <c r="W229" s="40"/>
      <c r="X229" s="40"/>
      <c r="Y229" s="40"/>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row>
    <row r="230">
      <c r="A230" s="58" t="s">
        <v>40</v>
      </c>
      <c r="B230" s="59">
        <v>43228.0</v>
      </c>
      <c r="C230" s="59">
        <v>42894.0</v>
      </c>
      <c r="D230" s="60" t="s">
        <v>820</v>
      </c>
      <c r="E230" s="58" t="s">
        <v>41</v>
      </c>
      <c r="F230" s="58">
        <v>5.0</v>
      </c>
      <c r="G230" s="58" t="s">
        <v>32</v>
      </c>
      <c r="H230" s="33">
        <f t="shared" si="30"/>
        <v>1</v>
      </c>
      <c r="I230" s="58" t="s">
        <v>821</v>
      </c>
      <c r="J230" s="58" t="s">
        <v>93</v>
      </c>
      <c r="K230" s="58" t="s">
        <v>40</v>
      </c>
      <c r="L230" s="58" t="s">
        <v>822</v>
      </c>
      <c r="M230" s="61" t="s">
        <v>823</v>
      </c>
      <c r="N230" s="77"/>
      <c r="O230" s="58"/>
      <c r="P230" s="62"/>
      <c r="Q230" s="84"/>
      <c r="R230" s="62"/>
      <c r="S230" s="37" t="str">
        <f>IFERROR(__xludf.DUMMYFUNCTION("if(not(iserror(index(split(C230, "" ""),2))), index(split(C230, "" ""),1),"""")"),"June")</f>
        <v>June</v>
      </c>
      <c r="T230" s="38">
        <f>IFERROR(__xludf.DUMMYFUNCTION("if(S230="""",C230,if(not(iserror(index(split(C230, "" ""),3))), index(split(C230, "" ""),3),index(split(C230, "" ""),2)))"),2017.0)</f>
        <v>2017</v>
      </c>
      <c r="U230" s="38" t="b">
        <f t="shared" si="28"/>
        <v>1</v>
      </c>
      <c r="V230" s="38"/>
      <c r="W230" s="40"/>
      <c r="X230" s="40"/>
      <c r="Y230" s="40"/>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row>
    <row r="231">
      <c r="A231" s="13" t="s">
        <v>824</v>
      </c>
      <c r="B231" s="30">
        <v>42898.0</v>
      </c>
      <c r="C231" s="30">
        <v>42895.0</v>
      </c>
      <c r="D231" s="32" t="s">
        <v>825</v>
      </c>
      <c r="E231" s="13" t="s">
        <v>31</v>
      </c>
      <c r="F231" s="13">
        <v>3.0</v>
      </c>
      <c r="G231" s="13" t="s">
        <v>32</v>
      </c>
      <c r="H231" s="33">
        <f t="shared" si="30"/>
        <v>1</v>
      </c>
      <c r="I231" s="13" t="s">
        <v>33</v>
      </c>
      <c r="J231" s="13" t="s">
        <v>433</v>
      </c>
      <c r="K231" s="13" t="s">
        <v>32</v>
      </c>
      <c r="L231" s="34" t="s">
        <v>826</v>
      </c>
      <c r="M231" s="35" t="s">
        <v>827</v>
      </c>
      <c r="N231" s="15"/>
      <c r="O231" s="16"/>
      <c r="P231" s="16"/>
      <c r="Q231" s="16"/>
      <c r="R231" s="16"/>
      <c r="S231" s="37" t="str">
        <f>IFERROR(__xludf.DUMMYFUNCTION("if(not(iserror(index(split(C231, "" ""),2))), index(split(C231, "" ""),1),"""")"),"June")</f>
        <v>June</v>
      </c>
      <c r="T231" s="38">
        <f>IFERROR(__xludf.DUMMYFUNCTION("if(S231="""",C231,if(not(iserror(index(split(C231, "" ""),3))), index(split(C231, "" ""),3),index(split(C231, "" ""),2)))"),2017.0)</f>
        <v>2017</v>
      </c>
      <c r="U231" s="38" t="b">
        <f t="shared" si="28"/>
        <v>0</v>
      </c>
      <c r="V231" s="38"/>
      <c r="W231" s="40"/>
      <c r="X231" s="40"/>
      <c r="Y231" s="40"/>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row>
    <row r="232">
      <c r="A232" s="13" t="s">
        <v>828</v>
      </c>
      <c r="B232" s="30">
        <v>42900.0</v>
      </c>
      <c r="C232" s="30">
        <v>42898.0</v>
      </c>
      <c r="D232" s="32" t="s">
        <v>829</v>
      </c>
      <c r="E232" s="13" t="s">
        <v>31</v>
      </c>
      <c r="F232" s="13">
        <v>1.0</v>
      </c>
      <c r="G232" s="13" t="s">
        <v>32</v>
      </c>
      <c r="H232" s="33">
        <f t="shared" si="30"/>
        <v>1</v>
      </c>
      <c r="I232" s="13" t="s">
        <v>33</v>
      </c>
      <c r="J232" s="13" t="s">
        <v>184</v>
      </c>
      <c r="K232" s="13">
        <v>1.0</v>
      </c>
      <c r="L232" s="13" t="s">
        <v>229</v>
      </c>
      <c r="M232" s="56" t="s">
        <v>830</v>
      </c>
      <c r="N232" s="14" t="s">
        <v>831</v>
      </c>
      <c r="O232" s="64"/>
      <c r="P232" s="37"/>
      <c r="Q232" s="37"/>
      <c r="R232" s="16"/>
      <c r="S232" s="37" t="str">
        <f>IFERROR(__xludf.DUMMYFUNCTION("if(not(iserror(index(split(C232, "" ""),2))), index(split(C232, "" ""),1),"""")"),"June")</f>
        <v>June</v>
      </c>
      <c r="T232" s="38">
        <f>IFERROR(__xludf.DUMMYFUNCTION("if(S232="""",C232,if(not(iserror(index(split(C232, "" ""),3))), index(split(C232, "" ""),3),index(split(C232, "" ""),2)))"),2017.0)</f>
        <v>2017</v>
      </c>
      <c r="U232" s="38" t="b">
        <f t="shared" si="28"/>
        <v>0</v>
      </c>
      <c r="V232" s="38" t="s">
        <v>33</v>
      </c>
      <c r="W232" s="39" t="s">
        <v>832</v>
      </c>
      <c r="X232" s="39" t="s">
        <v>833</v>
      </c>
      <c r="Y232" s="40"/>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row>
    <row r="233">
      <c r="A233" s="13" t="s">
        <v>834</v>
      </c>
      <c r="B233" s="30">
        <v>42903.0</v>
      </c>
      <c r="C233" s="30">
        <v>42898.0</v>
      </c>
      <c r="D233" s="32" t="s">
        <v>829</v>
      </c>
      <c r="E233" s="13" t="s">
        <v>31</v>
      </c>
      <c r="F233" s="13">
        <v>2.0</v>
      </c>
      <c r="G233" s="13" t="s">
        <v>32</v>
      </c>
      <c r="H233" s="33">
        <f t="shared" si="30"/>
        <v>1</v>
      </c>
      <c r="I233" s="13" t="s">
        <v>33</v>
      </c>
      <c r="J233" s="13" t="s">
        <v>172</v>
      </c>
      <c r="K233" s="13">
        <v>1.0</v>
      </c>
      <c r="L233" s="13" t="s">
        <v>52</v>
      </c>
      <c r="M233" s="35" t="s">
        <v>835</v>
      </c>
      <c r="N233" s="15"/>
      <c r="O233" s="16"/>
      <c r="P233" s="16"/>
      <c r="Q233" s="16"/>
      <c r="R233" s="16"/>
      <c r="S233" s="37" t="str">
        <f>IFERROR(__xludf.DUMMYFUNCTION("if(not(iserror(index(split(C233, "" ""),2))), index(split(C233, "" ""),1),"""")"),"June")</f>
        <v>June</v>
      </c>
      <c r="T233" s="38">
        <f>IFERROR(__xludf.DUMMYFUNCTION("if(S233="""",C233,if(not(iserror(index(split(C233, "" ""),3))), index(split(C233, "" ""),3),index(split(C233, "" ""),2)))"),2017.0)</f>
        <v>2017</v>
      </c>
      <c r="U233" s="38" t="b">
        <f t="shared" si="28"/>
        <v>0</v>
      </c>
      <c r="V233" s="38"/>
      <c r="W233" s="40"/>
      <c r="X233" s="40"/>
      <c r="Y233" s="40"/>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row>
    <row r="234">
      <c r="A234" s="13" t="s">
        <v>836</v>
      </c>
      <c r="B234" s="30"/>
      <c r="C234" s="30">
        <v>42900.0</v>
      </c>
      <c r="D234" s="32"/>
      <c r="E234" s="13" t="s">
        <v>41</v>
      </c>
      <c r="F234" s="13">
        <v>1.0</v>
      </c>
      <c r="G234" s="13" t="s">
        <v>32</v>
      </c>
      <c r="H234" s="43">
        <v>1.0</v>
      </c>
      <c r="I234" s="13" t="s">
        <v>33</v>
      </c>
      <c r="J234" s="13" t="s">
        <v>147</v>
      </c>
      <c r="K234" s="13"/>
      <c r="L234" s="13" t="s">
        <v>69</v>
      </c>
      <c r="M234" s="56" t="s">
        <v>837</v>
      </c>
      <c r="N234" s="15"/>
      <c r="O234" s="16"/>
      <c r="P234" s="16"/>
      <c r="Q234" s="16"/>
      <c r="R234" s="16"/>
      <c r="S234" s="37"/>
      <c r="T234" s="38"/>
      <c r="U234" s="38" t="b">
        <f t="shared" si="28"/>
        <v>0</v>
      </c>
      <c r="V234" s="38" t="s">
        <v>33</v>
      </c>
      <c r="W234" s="40"/>
      <c r="X234" s="40"/>
      <c r="Y234" s="40"/>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row>
    <row r="235">
      <c r="A235" s="13" t="s">
        <v>838</v>
      </c>
      <c r="B235" s="30">
        <v>42901.0</v>
      </c>
      <c r="C235" s="30">
        <v>42900.0</v>
      </c>
      <c r="D235" s="32" t="s">
        <v>839</v>
      </c>
      <c r="E235" s="13" t="s">
        <v>31</v>
      </c>
      <c r="F235" s="13">
        <v>1.0</v>
      </c>
      <c r="G235" s="13" t="s">
        <v>32</v>
      </c>
      <c r="H235" s="33">
        <f t="shared" ref="H235:H237" si="31">if(G235="Unknown",1,G235)</f>
        <v>1</v>
      </c>
      <c r="I235" s="13" t="s">
        <v>33</v>
      </c>
      <c r="J235" s="13" t="s">
        <v>85</v>
      </c>
      <c r="K235" s="13">
        <v>1.0</v>
      </c>
      <c r="L235" s="13" t="s">
        <v>52</v>
      </c>
      <c r="M235" s="111" t="s">
        <v>840</v>
      </c>
      <c r="N235" s="15"/>
      <c r="O235" s="16"/>
      <c r="P235" s="16"/>
      <c r="Q235" s="16"/>
      <c r="R235" s="16"/>
      <c r="S235" s="37" t="str">
        <f>IFERROR(__xludf.DUMMYFUNCTION("if(not(iserror(index(split(C235, "" ""),2))), index(split(C235, "" ""),1),"""")"),"June")</f>
        <v>June</v>
      </c>
      <c r="T235" s="38">
        <f>IFERROR(__xludf.DUMMYFUNCTION("if(S235="""",C235,if(not(iserror(index(split(C235, "" ""),3))), index(split(C235, "" ""),3),index(split(C235, "" ""),2)))"),2017.0)</f>
        <v>2017</v>
      </c>
      <c r="U235" s="38" t="b">
        <f t="shared" si="28"/>
        <v>0</v>
      </c>
      <c r="V235" s="38"/>
      <c r="W235" s="40"/>
      <c r="X235" s="40"/>
      <c r="Y235" s="40"/>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row>
    <row r="236">
      <c r="A236" s="13" t="s">
        <v>841</v>
      </c>
      <c r="B236" s="30">
        <v>42909.0</v>
      </c>
      <c r="C236" s="30">
        <v>42900.0</v>
      </c>
      <c r="D236" s="32" t="s">
        <v>839</v>
      </c>
      <c r="E236" s="13" t="s">
        <v>41</v>
      </c>
      <c r="F236" s="13">
        <v>1.0</v>
      </c>
      <c r="G236" s="13" t="s">
        <v>32</v>
      </c>
      <c r="H236" s="33">
        <f t="shared" si="31"/>
        <v>1</v>
      </c>
      <c r="I236" s="13" t="s">
        <v>33</v>
      </c>
      <c r="J236" s="13" t="s">
        <v>203</v>
      </c>
      <c r="K236" s="13">
        <v>1.0</v>
      </c>
      <c r="L236" s="34" t="s">
        <v>35</v>
      </c>
      <c r="M236" s="35" t="s">
        <v>842</v>
      </c>
      <c r="N236" s="15"/>
      <c r="O236" s="16"/>
      <c r="P236" s="16"/>
      <c r="Q236" s="16"/>
      <c r="R236" s="16"/>
      <c r="S236" s="37" t="str">
        <f>IFERROR(__xludf.DUMMYFUNCTION("if(not(iserror(index(split(C236, "" ""),2))), index(split(C236, "" ""),1),"""")"),"June")</f>
        <v>June</v>
      </c>
      <c r="T236" s="38">
        <f>IFERROR(__xludf.DUMMYFUNCTION("if(S236="""",C236,if(not(iserror(index(split(C236, "" ""),3))), index(split(C236, "" ""),3),index(split(C236, "" ""),2)))"),2017.0)</f>
        <v>2017</v>
      </c>
      <c r="U236" s="38" t="b">
        <f t="shared" si="28"/>
        <v>0</v>
      </c>
      <c r="V236" s="38"/>
      <c r="W236" s="40"/>
      <c r="X236" s="40"/>
      <c r="Y236" s="40"/>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row>
    <row r="237">
      <c r="A237" s="13" t="s">
        <v>843</v>
      </c>
      <c r="B237" s="30">
        <v>42913.0</v>
      </c>
      <c r="C237" s="30">
        <v>42900.0</v>
      </c>
      <c r="D237" s="32" t="s">
        <v>839</v>
      </c>
      <c r="E237" s="13" t="s">
        <v>41</v>
      </c>
      <c r="F237" s="13">
        <v>2.0</v>
      </c>
      <c r="G237" s="13" t="s">
        <v>32</v>
      </c>
      <c r="H237" s="33">
        <f t="shared" si="31"/>
        <v>1</v>
      </c>
      <c r="I237" s="13" t="s">
        <v>33</v>
      </c>
      <c r="J237" s="13" t="s">
        <v>124</v>
      </c>
      <c r="K237" s="13">
        <v>3.0</v>
      </c>
      <c r="L237" s="13" t="s">
        <v>844</v>
      </c>
      <c r="M237" s="35" t="s">
        <v>845</v>
      </c>
      <c r="N237" s="15"/>
      <c r="O237" s="16"/>
      <c r="P237" s="16"/>
      <c r="Q237" s="16"/>
      <c r="R237" s="16"/>
      <c r="S237" s="37" t="str">
        <f>IFERROR(__xludf.DUMMYFUNCTION("if(not(iserror(index(split(C237, "" ""),2))), index(split(C237, "" ""),1),"""")"),"June")</f>
        <v>June</v>
      </c>
      <c r="T237" s="38">
        <f>IFERROR(__xludf.DUMMYFUNCTION("if(S237="""",C237,if(not(iserror(index(split(C237, "" ""),3))), index(split(C237, "" ""),3),index(split(C237, "" ""),2)))"),2017.0)</f>
        <v>2017</v>
      </c>
      <c r="U237" s="38" t="b">
        <f t="shared" si="28"/>
        <v>0</v>
      </c>
      <c r="V237" s="38"/>
      <c r="W237" s="40"/>
      <c r="X237" s="40"/>
      <c r="Y237" s="40"/>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row>
    <row r="238">
      <c r="A238" s="13" t="s">
        <v>846</v>
      </c>
      <c r="B238" s="30"/>
      <c r="C238" s="30">
        <v>42900.0</v>
      </c>
      <c r="D238" s="32"/>
      <c r="E238" s="13" t="s">
        <v>41</v>
      </c>
      <c r="F238" s="13">
        <v>1.0</v>
      </c>
      <c r="G238" s="13" t="s">
        <v>32</v>
      </c>
      <c r="H238" s="43">
        <v>1.0</v>
      </c>
      <c r="I238" s="13" t="s">
        <v>33</v>
      </c>
      <c r="J238" s="13" t="s">
        <v>115</v>
      </c>
      <c r="K238" s="13"/>
      <c r="L238" s="13" t="s">
        <v>76</v>
      </c>
      <c r="M238" s="56" t="s">
        <v>847</v>
      </c>
      <c r="N238" s="15"/>
      <c r="O238" s="16"/>
      <c r="P238" s="16"/>
      <c r="Q238" s="16"/>
      <c r="R238" s="16"/>
      <c r="S238" s="37" t="str">
        <f>IFERROR(__xludf.DUMMYFUNCTION("if(not(iserror(index(split(C238, "" ""),2))), index(split(C238, "" ""),1),"""")"),"June")</f>
        <v>June</v>
      </c>
      <c r="T238" s="38">
        <f>IFERROR(__xludf.DUMMYFUNCTION("if(S238="""",C238,if(not(iserror(index(split(C238, "" ""),3))), index(split(C238, "" ""),3),index(split(C238, "" ""),2)))"),2017.0)</f>
        <v>2017</v>
      </c>
      <c r="U238" s="38" t="b">
        <f t="shared" si="28"/>
        <v>0</v>
      </c>
      <c r="V238" s="38" t="s">
        <v>33</v>
      </c>
      <c r="W238" s="40"/>
      <c r="X238" s="40"/>
      <c r="Y238" s="40"/>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row>
    <row r="239">
      <c r="A239" s="13" t="s">
        <v>848</v>
      </c>
      <c r="B239" s="30">
        <v>43084.0</v>
      </c>
      <c r="C239" s="30">
        <v>42901.0</v>
      </c>
      <c r="D239" s="32" t="s">
        <v>849</v>
      </c>
      <c r="E239" s="13" t="s">
        <v>41</v>
      </c>
      <c r="F239" s="13">
        <v>1.0</v>
      </c>
      <c r="G239" s="13" t="s">
        <v>32</v>
      </c>
      <c r="H239" s="33">
        <f t="shared" ref="H239:H244" si="32">if(G239="Unknown",1,G239)</f>
        <v>1</v>
      </c>
      <c r="I239" s="13" t="s">
        <v>33</v>
      </c>
      <c r="J239" s="13" t="s">
        <v>850</v>
      </c>
      <c r="K239" s="13">
        <v>1.0</v>
      </c>
      <c r="L239" s="13" t="s">
        <v>119</v>
      </c>
      <c r="M239" s="44" t="s">
        <v>851</v>
      </c>
      <c r="N239" s="36" t="s">
        <v>852</v>
      </c>
      <c r="O239" s="16"/>
      <c r="P239" s="16"/>
      <c r="Q239" s="16"/>
      <c r="R239" s="16"/>
      <c r="S239" s="37" t="str">
        <f>IFERROR(__xludf.DUMMYFUNCTION("if(not(iserror(index(split(C239, "" ""),2))), index(split(C239, "" ""),1),"""")"),"June")</f>
        <v>June</v>
      </c>
      <c r="T239" s="38">
        <f>IFERROR(__xludf.DUMMYFUNCTION("if(S239="""",C239,if(not(iserror(index(split(C239, "" ""),3))), index(split(C239, "" ""),3),index(split(C239, "" ""),2)))"),2017.0)</f>
        <v>2017</v>
      </c>
      <c r="U239" s="38" t="b">
        <f t="shared" si="28"/>
        <v>0</v>
      </c>
      <c r="V239" s="38"/>
      <c r="W239" s="40"/>
      <c r="X239" s="40"/>
      <c r="Y239" s="40"/>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row>
    <row r="240">
      <c r="A240" s="13" t="s">
        <v>40</v>
      </c>
      <c r="B240" s="30">
        <v>42902.0</v>
      </c>
      <c r="C240" s="30">
        <v>42902.0</v>
      </c>
      <c r="D240" s="32" t="s">
        <v>853</v>
      </c>
      <c r="E240" s="13" t="s">
        <v>41</v>
      </c>
      <c r="F240" s="13">
        <v>3.0</v>
      </c>
      <c r="G240" s="13" t="s">
        <v>32</v>
      </c>
      <c r="H240" s="33">
        <f t="shared" si="32"/>
        <v>1</v>
      </c>
      <c r="I240" s="13" t="s">
        <v>33</v>
      </c>
      <c r="J240" s="13" t="s">
        <v>111</v>
      </c>
      <c r="K240" s="13">
        <v>2.0</v>
      </c>
      <c r="L240" s="13" t="s">
        <v>99</v>
      </c>
      <c r="M240" s="35" t="s">
        <v>854</v>
      </c>
      <c r="N240" s="15"/>
      <c r="O240" s="16"/>
      <c r="P240" s="16"/>
      <c r="Q240" s="16"/>
      <c r="R240" s="16"/>
      <c r="S240" s="37" t="str">
        <f>IFERROR(__xludf.DUMMYFUNCTION("if(not(iserror(index(split(C240, "" ""),2))), index(split(C240, "" ""),1),"""")"),"June")</f>
        <v>June</v>
      </c>
      <c r="T240" s="38">
        <f>IFERROR(__xludf.DUMMYFUNCTION("if(S240="""",C240,if(not(iserror(index(split(C240, "" ""),3))), index(split(C240, "" ""),3),index(split(C240, "" ""),2)))"),2017.0)</f>
        <v>2017</v>
      </c>
      <c r="U240" s="38" t="b">
        <f t="shared" si="28"/>
        <v>1</v>
      </c>
      <c r="V240" s="38"/>
      <c r="W240" s="40"/>
      <c r="X240" s="40"/>
      <c r="Y240" s="40"/>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row>
    <row r="241">
      <c r="A241" s="13" t="s">
        <v>855</v>
      </c>
      <c r="B241" s="30">
        <v>43154.0</v>
      </c>
      <c r="C241" s="30">
        <v>42902.0</v>
      </c>
      <c r="D241" s="32" t="s">
        <v>853</v>
      </c>
      <c r="E241" s="13" t="s">
        <v>41</v>
      </c>
      <c r="F241" s="13">
        <v>1.0</v>
      </c>
      <c r="G241" s="13" t="s">
        <v>32</v>
      </c>
      <c r="H241" s="33">
        <f t="shared" si="32"/>
        <v>1</v>
      </c>
      <c r="I241" s="13" t="s">
        <v>33</v>
      </c>
      <c r="J241" s="13" t="s">
        <v>193</v>
      </c>
      <c r="K241" s="13">
        <v>3.0</v>
      </c>
      <c r="L241" s="13" t="s">
        <v>856</v>
      </c>
      <c r="M241" s="35" t="s">
        <v>857</v>
      </c>
      <c r="N241" s="15"/>
      <c r="O241" s="16"/>
      <c r="P241" s="16"/>
      <c r="Q241" s="16"/>
      <c r="R241" s="16"/>
      <c r="S241" s="37" t="str">
        <f>IFERROR(__xludf.DUMMYFUNCTION("if(not(iserror(index(split(C241, "" ""),2))), index(split(C241, "" ""),1),"""")"),"June")</f>
        <v>June</v>
      </c>
      <c r="T241" s="38">
        <f>IFERROR(__xludf.DUMMYFUNCTION("if(S241="""",C241,if(not(iserror(index(split(C241, "" ""),3))), index(split(C241, "" ""),3),index(split(C241, "" ""),2)))"),2017.0)</f>
        <v>2017</v>
      </c>
      <c r="U241" s="38" t="b">
        <f t="shared" si="28"/>
        <v>0</v>
      </c>
      <c r="V241" s="38"/>
      <c r="W241" s="40"/>
      <c r="X241" s="40"/>
      <c r="Y241" s="40"/>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row>
    <row r="242">
      <c r="A242" s="13" t="s">
        <v>239</v>
      </c>
      <c r="B242" s="30">
        <v>42908.0</v>
      </c>
      <c r="C242" s="30">
        <v>42905.0</v>
      </c>
      <c r="D242" s="32" t="s">
        <v>858</v>
      </c>
      <c r="E242" s="13" t="s">
        <v>41</v>
      </c>
      <c r="F242" s="13">
        <v>1.0</v>
      </c>
      <c r="G242" s="13">
        <v>44.0</v>
      </c>
      <c r="H242" s="33">
        <f t="shared" si="32"/>
        <v>44</v>
      </c>
      <c r="I242" s="13" t="s">
        <v>33</v>
      </c>
      <c r="J242" s="13" t="s">
        <v>147</v>
      </c>
      <c r="K242" s="13">
        <v>2.0</v>
      </c>
      <c r="L242" s="34" t="s">
        <v>194</v>
      </c>
      <c r="M242" s="35" t="s">
        <v>859</v>
      </c>
      <c r="N242" s="15"/>
      <c r="O242" s="16"/>
      <c r="P242" s="16"/>
      <c r="Q242" s="16"/>
      <c r="R242" s="16"/>
      <c r="S242" s="37" t="str">
        <f>IFERROR(__xludf.DUMMYFUNCTION("if(not(iserror(index(split(C242, "" ""),2))), index(split(C242, "" ""),1),"""")"),"June")</f>
        <v>June</v>
      </c>
      <c r="T242" s="38">
        <f>IFERROR(__xludf.DUMMYFUNCTION("if(S242="""",C242,if(not(iserror(index(split(C242, "" ""),3))), index(split(C242, "" ""),3),index(split(C242, "" ""),2)))"),2017.0)</f>
        <v>2017</v>
      </c>
      <c r="U242" s="38" t="b">
        <f t="shared" si="28"/>
        <v>1</v>
      </c>
      <c r="V242" s="38"/>
      <c r="W242" s="40"/>
      <c r="X242" s="40"/>
      <c r="Y242" s="40"/>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row>
    <row r="243">
      <c r="A243" s="58" t="s">
        <v>860</v>
      </c>
      <c r="B243" s="59">
        <v>43355.0</v>
      </c>
      <c r="C243" s="59">
        <v>42905.0</v>
      </c>
      <c r="D243" s="60" t="s">
        <v>858</v>
      </c>
      <c r="E243" s="58" t="s">
        <v>41</v>
      </c>
      <c r="F243" s="58">
        <v>1.0</v>
      </c>
      <c r="G243" s="58" t="s">
        <v>32</v>
      </c>
      <c r="H243" s="33">
        <f t="shared" si="32"/>
        <v>1</v>
      </c>
      <c r="I243" s="58" t="s">
        <v>33</v>
      </c>
      <c r="J243" s="58" t="s">
        <v>147</v>
      </c>
      <c r="K243" s="58">
        <v>5.0</v>
      </c>
      <c r="L243" s="58" t="s">
        <v>76</v>
      </c>
      <c r="M243" s="61" t="s">
        <v>861</v>
      </c>
      <c r="N243" s="77"/>
      <c r="O243" s="58"/>
      <c r="P243" s="58"/>
      <c r="Q243" s="84"/>
      <c r="R243" s="62"/>
      <c r="S243" s="37" t="str">
        <f>IFERROR(__xludf.DUMMYFUNCTION("if(not(iserror(index(split(C243, "" ""),2))), index(split(C243, "" ""),1),"""")"),"June")</f>
        <v>June</v>
      </c>
      <c r="T243" s="38">
        <f>IFERROR(__xludf.DUMMYFUNCTION("if(S243="""",C243,if(not(iserror(index(split(C243, "" ""),3))), index(split(C243, "" ""),3),index(split(C243, "" ""),2)))"),2017.0)</f>
        <v>2017</v>
      </c>
      <c r="U243" s="38" t="b">
        <f t="shared" si="28"/>
        <v>0</v>
      </c>
      <c r="V243" s="38"/>
      <c r="W243" s="40"/>
      <c r="X243" s="40"/>
      <c r="Y243" s="40"/>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row>
    <row r="244">
      <c r="A244" s="13" t="s">
        <v>862</v>
      </c>
      <c r="B244" s="30">
        <v>42906.0</v>
      </c>
      <c r="C244" s="30">
        <v>42906.0</v>
      </c>
      <c r="D244" s="32" t="s">
        <v>649</v>
      </c>
      <c r="E244" s="13" t="s">
        <v>41</v>
      </c>
      <c r="F244" s="13">
        <v>1.0</v>
      </c>
      <c r="G244" s="13" t="s">
        <v>32</v>
      </c>
      <c r="H244" s="33">
        <f t="shared" si="32"/>
        <v>1</v>
      </c>
      <c r="I244" s="13" t="s">
        <v>33</v>
      </c>
      <c r="J244" s="13" t="s">
        <v>124</v>
      </c>
      <c r="K244" s="13">
        <v>1.0</v>
      </c>
      <c r="L244" s="13" t="s">
        <v>863</v>
      </c>
      <c r="M244" s="35" t="s">
        <v>864</v>
      </c>
      <c r="N244" s="15"/>
      <c r="O244" s="16"/>
      <c r="P244" s="16"/>
      <c r="Q244" s="16"/>
      <c r="R244" s="16"/>
      <c r="S244" s="37" t="str">
        <f>IFERROR(__xludf.DUMMYFUNCTION("if(not(iserror(index(split(C244, "" ""),2))), index(split(C244, "" ""),1),"""")"),"June")</f>
        <v>June</v>
      </c>
      <c r="T244" s="38">
        <f>IFERROR(__xludf.DUMMYFUNCTION("if(S244="""",C244,if(not(iserror(index(split(C244, "" ""),3))), index(split(C244, "" ""),3),index(split(C244, "" ""),2)))"),2017.0)</f>
        <v>2017</v>
      </c>
      <c r="U244" s="38" t="b">
        <f t="shared" si="28"/>
        <v>0</v>
      </c>
      <c r="V244" s="38"/>
      <c r="W244" s="40"/>
      <c r="X244" s="40"/>
      <c r="Y244" s="40"/>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row>
    <row r="245">
      <c r="A245" s="13" t="s">
        <v>865</v>
      </c>
      <c r="B245" s="30"/>
      <c r="C245" s="30">
        <v>42907.0</v>
      </c>
      <c r="D245" s="32"/>
      <c r="E245" s="13" t="s">
        <v>41</v>
      </c>
      <c r="F245" s="13">
        <v>1.0</v>
      </c>
      <c r="G245" s="13" t="s">
        <v>32</v>
      </c>
      <c r="H245" s="43">
        <v>1.0</v>
      </c>
      <c r="I245" s="13" t="s">
        <v>33</v>
      </c>
      <c r="J245" s="13" t="s">
        <v>111</v>
      </c>
      <c r="K245" s="13"/>
      <c r="L245" s="13" t="s">
        <v>76</v>
      </c>
      <c r="M245" s="35" t="s">
        <v>866</v>
      </c>
      <c r="N245" s="36" t="s">
        <v>867</v>
      </c>
      <c r="O245" s="16"/>
      <c r="P245" s="16"/>
      <c r="Q245" s="16"/>
      <c r="R245" s="16"/>
      <c r="S245" s="37"/>
      <c r="T245" s="38"/>
      <c r="U245" s="38"/>
      <c r="V245" s="38" t="s">
        <v>33</v>
      </c>
      <c r="W245" s="39" t="s">
        <v>868</v>
      </c>
      <c r="X245" s="40"/>
      <c r="Y245" s="40"/>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row>
    <row r="246">
      <c r="A246" s="13" t="s">
        <v>869</v>
      </c>
      <c r="B246" s="30">
        <v>43165.0</v>
      </c>
      <c r="C246" s="30">
        <v>42907.0</v>
      </c>
      <c r="D246" s="32" t="s">
        <v>870</v>
      </c>
      <c r="E246" s="13" t="s">
        <v>41</v>
      </c>
      <c r="F246" s="13">
        <v>1.0</v>
      </c>
      <c r="G246" s="13" t="s">
        <v>32</v>
      </c>
      <c r="H246" s="33">
        <f t="shared" ref="H246:H248" si="33">if(G246="Unknown",1,G246)</f>
        <v>1</v>
      </c>
      <c r="I246" s="13" t="s">
        <v>33</v>
      </c>
      <c r="J246" s="13" t="s">
        <v>93</v>
      </c>
      <c r="K246" s="13">
        <v>3.0</v>
      </c>
      <c r="L246" s="13" t="s">
        <v>871</v>
      </c>
      <c r="M246" s="35" t="s">
        <v>872</v>
      </c>
      <c r="N246" s="15"/>
      <c r="O246" s="16"/>
      <c r="P246" s="16"/>
      <c r="Q246" s="16"/>
      <c r="R246" s="16"/>
      <c r="S246" s="37" t="str">
        <f>IFERROR(__xludf.DUMMYFUNCTION("if(not(iserror(index(split(C246, "" ""),2))), index(split(C246, "" ""),1),"""")"),"June")</f>
        <v>June</v>
      </c>
      <c r="T246" s="38">
        <f>IFERROR(__xludf.DUMMYFUNCTION("if(S246="""",C246,if(not(iserror(index(split(C246, "" ""),3))), index(split(C246, "" ""),3),index(split(C246, "" ""),2)))"),2017.0)</f>
        <v>2017</v>
      </c>
      <c r="U246" s="38" t="b">
        <f t="shared" ref="U246:U355" si="34">countif(A$4:A4658, A246)&gt;1</f>
        <v>0</v>
      </c>
      <c r="V246" s="38"/>
      <c r="W246" s="40"/>
      <c r="X246" s="40"/>
      <c r="Y246" s="40"/>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row>
    <row r="247">
      <c r="A247" s="58" t="s">
        <v>873</v>
      </c>
      <c r="B247" s="59">
        <v>43260.0</v>
      </c>
      <c r="C247" s="59">
        <v>42907.0</v>
      </c>
      <c r="D247" s="60" t="s">
        <v>870</v>
      </c>
      <c r="E247" s="58" t="s">
        <v>31</v>
      </c>
      <c r="F247" s="58">
        <v>1.0</v>
      </c>
      <c r="G247" s="58" t="s">
        <v>32</v>
      </c>
      <c r="H247" s="33">
        <f t="shared" si="33"/>
        <v>1</v>
      </c>
      <c r="I247" s="58" t="s">
        <v>33</v>
      </c>
      <c r="J247" s="58" t="s">
        <v>241</v>
      </c>
      <c r="K247" s="58">
        <v>1.0</v>
      </c>
      <c r="L247" s="58" t="s">
        <v>52</v>
      </c>
      <c r="M247" s="61" t="s">
        <v>874</v>
      </c>
      <c r="N247" s="77"/>
      <c r="O247" s="62"/>
      <c r="P247" s="62"/>
      <c r="Q247" s="62"/>
      <c r="R247" s="62"/>
      <c r="S247" s="37" t="str">
        <f>IFERROR(__xludf.DUMMYFUNCTION("if(not(iserror(index(split(C247, "" ""),2))), index(split(C247, "" ""),1),"""")"),"June")</f>
        <v>June</v>
      </c>
      <c r="T247" s="38">
        <f>IFERROR(__xludf.DUMMYFUNCTION("if(S247="""",C247,if(not(iserror(index(split(C247, "" ""),3))), index(split(C247, "" ""),3),index(split(C247, "" ""),2)))"),2017.0)</f>
        <v>2017</v>
      </c>
      <c r="U247" s="38" t="b">
        <f t="shared" si="34"/>
        <v>0</v>
      </c>
      <c r="V247" s="38"/>
      <c r="W247" s="40"/>
      <c r="X247" s="40"/>
      <c r="Y247" s="40"/>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row>
    <row r="248">
      <c r="A248" s="78" t="s">
        <v>875</v>
      </c>
      <c r="B248" s="59">
        <v>43269.0</v>
      </c>
      <c r="C248" s="59">
        <v>42908.0</v>
      </c>
      <c r="D248" s="60" t="s">
        <v>876</v>
      </c>
      <c r="E248" s="58" t="s">
        <v>41</v>
      </c>
      <c r="F248" s="58">
        <v>1.0</v>
      </c>
      <c r="G248" s="58" t="s">
        <v>32</v>
      </c>
      <c r="H248" s="33">
        <f t="shared" si="33"/>
        <v>1</v>
      </c>
      <c r="I248" s="58" t="s">
        <v>33</v>
      </c>
      <c r="J248" s="58" t="s">
        <v>433</v>
      </c>
      <c r="K248" s="58" t="s">
        <v>32</v>
      </c>
      <c r="L248" s="58" t="s">
        <v>35</v>
      </c>
      <c r="M248" s="61" t="s">
        <v>877</v>
      </c>
      <c r="N248" s="77"/>
      <c r="O248" s="62"/>
      <c r="P248" s="62"/>
      <c r="Q248" s="62"/>
      <c r="R248" s="62"/>
      <c r="S248" s="37" t="str">
        <f>IFERROR(__xludf.DUMMYFUNCTION("if(not(iserror(index(split(C248, "" ""),2))), index(split(C248, "" ""),1),"""")"),"June")</f>
        <v>June</v>
      </c>
      <c r="T248" s="38">
        <f>IFERROR(__xludf.DUMMYFUNCTION("if(S248="""",C248,if(not(iserror(index(split(C248, "" ""),3))), index(split(C248, "" ""),3),index(split(C248, "" ""),2)))"),2017.0)</f>
        <v>2017</v>
      </c>
      <c r="U248" s="38" t="b">
        <f t="shared" si="34"/>
        <v>0</v>
      </c>
      <c r="V248" s="38"/>
      <c r="W248" s="40"/>
      <c r="X248" s="40"/>
      <c r="Y248" s="40"/>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row>
    <row r="249">
      <c r="A249" s="78" t="s">
        <v>878</v>
      </c>
      <c r="B249" s="59"/>
      <c r="C249" s="59">
        <v>42908.0</v>
      </c>
      <c r="D249" s="60"/>
      <c r="E249" s="58" t="s">
        <v>41</v>
      </c>
      <c r="F249" s="58">
        <v>1.0</v>
      </c>
      <c r="G249" s="58" t="s">
        <v>32</v>
      </c>
      <c r="H249" s="43">
        <v>1.0</v>
      </c>
      <c r="I249" s="58" t="s">
        <v>33</v>
      </c>
      <c r="J249" s="58" t="s">
        <v>402</v>
      </c>
      <c r="K249" s="58"/>
      <c r="L249" s="58" t="s">
        <v>119</v>
      </c>
      <c r="M249" s="61" t="s">
        <v>879</v>
      </c>
      <c r="N249" s="77"/>
      <c r="O249" s="62"/>
      <c r="P249" s="62"/>
      <c r="Q249" s="62"/>
      <c r="R249" s="62"/>
      <c r="S249" s="37"/>
      <c r="T249" s="38"/>
      <c r="U249" s="38" t="b">
        <f t="shared" si="34"/>
        <v>0</v>
      </c>
      <c r="V249" s="38" t="s">
        <v>33</v>
      </c>
      <c r="W249" s="40"/>
      <c r="X249" s="40"/>
      <c r="Y249" s="40"/>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row>
    <row r="250">
      <c r="A250" s="112" t="s">
        <v>880</v>
      </c>
      <c r="B250" s="30"/>
      <c r="C250" s="30">
        <v>42908.0</v>
      </c>
      <c r="D250" s="32"/>
      <c r="E250" s="13" t="s">
        <v>31</v>
      </c>
      <c r="F250" s="13">
        <v>1.0</v>
      </c>
      <c r="G250" s="13" t="s">
        <v>32</v>
      </c>
      <c r="H250" s="43">
        <v>1.0</v>
      </c>
      <c r="I250" s="13" t="s">
        <v>33</v>
      </c>
      <c r="J250" s="13" t="s">
        <v>433</v>
      </c>
      <c r="K250" s="13"/>
      <c r="L250" s="13" t="s">
        <v>69</v>
      </c>
      <c r="M250" s="35" t="s">
        <v>881</v>
      </c>
      <c r="N250" s="36" t="s">
        <v>882</v>
      </c>
      <c r="O250" s="16"/>
      <c r="P250" s="16"/>
      <c r="Q250" s="16"/>
      <c r="R250" s="16"/>
      <c r="S250" s="37" t="str">
        <f>IFERROR(__xludf.DUMMYFUNCTION("if(not(iserror(index(split(C250, "" ""),2))), index(split(C250, "" ""),1),"""")"),"June")</f>
        <v>June</v>
      </c>
      <c r="T250" s="38">
        <f>IFERROR(__xludf.DUMMYFUNCTION("if(S250="""",C250,if(not(iserror(index(split(C250, "" ""),3))), index(split(C250, "" ""),3),index(split(C250, "" ""),2)))"),2017.0)</f>
        <v>2017</v>
      </c>
      <c r="U250" s="38" t="b">
        <f t="shared" si="34"/>
        <v>0</v>
      </c>
      <c r="V250" s="38" t="s">
        <v>33</v>
      </c>
      <c r="W250" s="39" t="s">
        <v>883</v>
      </c>
      <c r="X250" s="39" t="s">
        <v>884</v>
      </c>
      <c r="Y250" s="40"/>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row>
    <row r="251">
      <c r="A251" s="13" t="s">
        <v>239</v>
      </c>
      <c r="B251" s="30">
        <v>42916.0</v>
      </c>
      <c r="C251" s="30">
        <v>42914.0</v>
      </c>
      <c r="D251" s="32" t="s">
        <v>885</v>
      </c>
      <c r="E251" s="13" t="s">
        <v>41</v>
      </c>
      <c r="F251" s="13">
        <v>1.0</v>
      </c>
      <c r="G251" s="13">
        <v>1.0</v>
      </c>
      <c r="H251" s="33">
        <f t="shared" ref="H251:H254" si="35">if(G251="Unknown",1,G251)</f>
        <v>1</v>
      </c>
      <c r="I251" s="13" t="s">
        <v>33</v>
      </c>
      <c r="J251" s="13" t="s">
        <v>241</v>
      </c>
      <c r="K251" s="13">
        <v>1.0</v>
      </c>
      <c r="L251" s="13" t="s">
        <v>194</v>
      </c>
      <c r="M251" s="35" t="s">
        <v>886</v>
      </c>
      <c r="N251" s="15"/>
      <c r="O251" s="16"/>
      <c r="P251" s="16"/>
      <c r="Q251" s="16"/>
      <c r="R251" s="16"/>
      <c r="S251" s="37" t="str">
        <f>IFERROR(__xludf.DUMMYFUNCTION("if(not(iserror(index(split(C251, "" ""),2))), index(split(C251, "" ""),1),"""")"),"June")</f>
        <v>June</v>
      </c>
      <c r="T251" s="38">
        <f>IFERROR(__xludf.DUMMYFUNCTION("if(S251="""",C251,if(not(iserror(index(split(C251, "" ""),3))), index(split(C251, "" ""),3),index(split(C251, "" ""),2)))"),2017.0)</f>
        <v>2017</v>
      </c>
      <c r="U251" s="38" t="b">
        <f t="shared" si="34"/>
        <v>1</v>
      </c>
      <c r="V251" s="38"/>
      <c r="W251" s="40"/>
      <c r="X251" s="40"/>
      <c r="Y251" s="40"/>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row>
    <row r="252">
      <c r="A252" s="113" t="s">
        <v>40</v>
      </c>
      <c r="B252" s="114">
        <v>42951.0</v>
      </c>
      <c r="C252" s="115">
        <v>42914.0</v>
      </c>
      <c r="D252" s="116" t="s">
        <v>887</v>
      </c>
      <c r="E252" s="113" t="s">
        <v>31</v>
      </c>
      <c r="F252" s="113">
        <v>1020.0</v>
      </c>
      <c r="G252" s="113">
        <v>81.0</v>
      </c>
      <c r="H252" s="33">
        <f t="shared" si="35"/>
        <v>81</v>
      </c>
      <c r="I252" s="113" t="s">
        <v>33</v>
      </c>
      <c r="J252" s="113" t="s">
        <v>40</v>
      </c>
      <c r="K252" s="113">
        <v>37.0</v>
      </c>
      <c r="L252" s="113" t="s">
        <v>888</v>
      </c>
      <c r="M252" s="117" t="s">
        <v>889</v>
      </c>
      <c r="N252" s="118" t="s">
        <v>114</v>
      </c>
      <c r="O252" s="119"/>
      <c r="P252" s="119"/>
      <c r="Q252" s="119"/>
      <c r="R252" s="119"/>
      <c r="S252" s="37" t="str">
        <f>IFERROR(__xludf.DUMMYFUNCTION("if(not(iserror(index(split(C252, "" ""),2))), index(split(C252, "" ""),1),"""")"),"June,")</f>
        <v>June,</v>
      </c>
      <c r="T252" s="38">
        <f>IFERROR(__xludf.DUMMYFUNCTION("if(S252="""",C252,if(not(iserror(index(split(C252, "" ""),3))), index(split(C252, "" ""),3),index(split(C252, "" ""),2)))"),2017.0)</f>
        <v>2017</v>
      </c>
      <c r="U252" s="38" t="b">
        <f t="shared" si="34"/>
        <v>1</v>
      </c>
      <c r="V252" s="38"/>
      <c r="W252" s="40"/>
      <c r="X252" s="40"/>
      <c r="Y252" s="40"/>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row>
    <row r="253">
      <c r="A253" s="58" t="s">
        <v>890</v>
      </c>
      <c r="B253" s="59">
        <v>43235.0</v>
      </c>
      <c r="C253" s="59">
        <v>42914.0</v>
      </c>
      <c r="D253" s="60" t="s">
        <v>885</v>
      </c>
      <c r="E253" s="58" t="s">
        <v>41</v>
      </c>
      <c r="F253" s="58">
        <v>1.0</v>
      </c>
      <c r="G253" s="58" t="s">
        <v>32</v>
      </c>
      <c r="H253" s="33">
        <f t="shared" si="35"/>
        <v>1</v>
      </c>
      <c r="I253" s="58" t="s">
        <v>33</v>
      </c>
      <c r="J253" s="58" t="s">
        <v>184</v>
      </c>
      <c r="K253" s="58" t="s">
        <v>32</v>
      </c>
      <c r="L253" s="58" t="s">
        <v>119</v>
      </c>
      <c r="M253" s="61" t="s">
        <v>891</v>
      </c>
      <c r="N253" s="77"/>
      <c r="O253" s="62"/>
      <c r="P253" s="62"/>
      <c r="Q253" s="62"/>
      <c r="R253" s="62"/>
      <c r="S253" s="37" t="str">
        <f>IFERROR(__xludf.DUMMYFUNCTION("if(not(iserror(index(split(C253, "" ""),2))), index(split(C253, "" ""),1),"""")"),"June")</f>
        <v>June</v>
      </c>
      <c r="T253" s="38">
        <f>IFERROR(__xludf.DUMMYFUNCTION("if(S253="""",C253,if(not(iserror(index(split(C253, "" ""),3))), index(split(C253, "" ""),3),index(split(C253, "" ""),2)))"),2017.0)</f>
        <v>2017</v>
      </c>
      <c r="U253" s="38" t="b">
        <f t="shared" si="34"/>
        <v>0</v>
      </c>
      <c r="V253" s="38"/>
      <c r="W253" s="40"/>
      <c r="X253" s="40"/>
      <c r="Y253" s="40"/>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row>
    <row r="254">
      <c r="A254" s="13" t="s">
        <v>892</v>
      </c>
      <c r="B254" s="30">
        <v>42921.0</v>
      </c>
      <c r="C254" s="30">
        <v>42916.0</v>
      </c>
      <c r="D254" s="32" t="s">
        <v>893</v>
      </c>
      <c r="E254" s="13" t="s">
        <v>31</v>
      </c>
      <c r="F254" s="13">
        <v>1.0</v>
      </c>
      <c r="G254" s="13" t="s">
        <v>32</v>
      </c>
      <c r="H254" s="33">
        <f t="shared" si="35"/>
        <v>1</v>
      </c>
      <c r="I254" s="13" t="s">
        <v>33</v>
      </c>
      <c r="J254" s="13" t="s">
        <v>106</v>
      </c>
      <c r="K254" s="13" t="s">
        <v>32</v>
      </c>
      <c r="L254" s="13" t="s">
        <v>894</v>
      </c>
      <c r="M254" s="35" t="s">
        <v>895</v>
      </c>
      <c r="N254" s="15"/>
      <c r="O254" s="16"/>
      <c r="P254" s="16"/>
      <c r="Q254" s="16"/>
      <c r="R254" s="16"/>
      <c r="S254" s="37" t="str">
        <f>IFERROR(__xludf.DUMMYFUNCTION("if(not(iserror(index(split(C254, "" ""),2))), index(split(C254, "" ""),1),"""")"),"June")</f>
        <v>June</v>
      </c>
      <c r="T254" s="38">
        <f>IFERROR(__xludf.DUMMYFUNCTION("if(S254="""",C254,if(not(iserror(index(split(C254, "" ""),3))), index(split(C254, "" ""),3),index(split(C254, "" ""),2)))"),2017.0)</f>
        <v>2017</v>
      </c>
      <c r="U254" s="38" t="b">
        <f t="shared" si="34"/>
        <v>0</v>
      </c>
      <c r="V254" s="38"/>
      <c r="W254" s="40"/>
      <c r="X254" s="40"/>
      <c r="Y254" s="40"/>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row>
    <row r="255">
      <c r="A255" s="90" t="s">
        <v>896</v>
      </c>
      <c r="B255" s="30"/>
      <c r="C255" s="31">
        <v>42917.0</v>
      </c>
      <c r="D255" s="32"/>
      <c r="E255" s="13" t="s">
        <v>41</v>
      </c>
      <c r="F255" s="13">
        <v>1.0</v>
      </c>
      <c r="G255" s="13" t="s">
        <v>32</v>
      </c>
      <c r="H255" s="43">
        <v>1.0</v>
      </c>
      <c r="I255" s="13" t="s">
        <v>33</v>
      </c>
      <c r="J255" s="13" t="s">
        <v>402</v>
      </c>
      <c r="K255" s="13"/>
      <c r="L255" s="13" t="s">
        <v>119</v>
      </c>
      <c r="M255" s="35" t="s">
        <v>897</v>
      </c>
      <c r="N255" s="14"/>
      <c r="O255" s="57" t="str">
        <f>hyperlink("https://bad-boys.us/?q=ND-IN/2:18-cr-00074", "ND-IN 2:18-cr-00074")</f>
        <v>ND-IN 2:18-cr-00074</v>
      </c>
      <c r="P255" s="86" t="s">
        <v>898</v>
      </c>
      <c r="Q255" s="64">
        <v>1.0</v>
      </c>
      <c r="R255" s="16"/>
      <c r="S255" s="37" t="str">
        <f>IFERROR(__xludf.DUMMYFUNCTION("if(not(iserror(index(split(C255, "" ""),2))), index(split(C255, "" ""),1),"""")"),"July,")</f>
        <v>July,</v>
      </c>
      <c r="T255" s="38">
        <f>IFERROR(__xludf.DUMMYFUNCTION("if(S255="""",C255,if(not(iserror(index(split(C255, "" ""),3))), index(split(C255, "" ""),3),index(split(C255, "" ""),2)))"),2017.0)</f>
        <v>2017</v>
      </c>
      <c r="U255" s="38" t="b">
        <f t="shared" si="34"/>
        <v>0</v>
      </c>
      <c r="V255" s="38" t="s">
        <v>33</v>
      </c>
      <c r="W255" s="40"/>
      <c r="X255" s="40"/>
      <c r="Y255" s="40"/>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row>
    <row r="256">
      <c r="A256" s="90" t="s">
        <v>899</v>
      </c>
      <c r="B256" s="30"/>
      <c r="C256" s="31">
        <v>42917.0</v>
      </c>
      <c r="D256" s="32"/>
      <c r="E256" s="13" t="s">
        <v>41</v>
      </c>
      <c r="F256" s="13">
        <v>1.0</v>
      </c>
      <c r="G256" s="13" t="s">
        <v>32</v>
      </c>
      <c r="H256" s="43">
        <v>1.0</v>
      </c>
      <c r="I256" s="13" t="s">
        <v>33</v>
      </c>
      <c r="J256" s="13" t="s">
        <v>115</v>
      </c>
      <c r="K256" s="13"/>
      <c r="L256" s="13" t="s">
        <v>254</v>
      </c>
      <c r="M256" s="35" t="s">
        <v>900</v>
      </c>
      <c r="N256" s="14"/>
      <c r="O256" s="57" t="str">
        <f>hyperlink("https://bad-boys.us/?q=ED-PA/2:18-cr-00193", "ED-PA 2:18-cr-00193")</f>
        <v>ED-PA 2:18-cr-00193</v>
      </c>
      <c r="P256" s="86" t="s">
        <v>901</v>
      </c>
      <c r="Q256" s="37">
        <v>1.0</v>
      </c>
      <c r="R256" s="16"/>
      <c r="S256" s="37" t="str">
        <f>IFERROR(__xludf.DUMMYFUNCTION("if(not(iserror(index(split(C256, "" ""),2))), index(split(C256, "" ""),1),"""")"),"July,")</f>
        <v>July,</v>
      </c>
      <c r="T256" s="38">
        <f>IFERROR(__xludf.DUMMYFUNCTION("if(S256="""",C256,if(not(iserror(index(split(C256, "" ""),3))), index(split(C256, "" ""),3),index(split(C256, "" ""),2)))"),2017.0)</f>
        <v>2017</v>
      </c>
      <c r="U256" s="38" t="b">
        <f t="shared" si="34"/>
        <v>0</v>
      </c>
      <c r="V256" s="38" t="s">
        <v>33</v>
      </c>
      <c r="W256" s="40"/>
      <c r="X256" s="40"/>
      <c r="Y256" s="40"/>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row>
    <row r="257">
      <c r="A257" s="90" t="s">
        <v>902</v>
      </c>
      <c r="B257" s="30"/>
      <c r="C257" s="31">
        <v>42917.0</v>
      </c>
      <c r="D257" s="32"/>
      <c r="E257" s="13" t="s">
        <v>31</v>
      </c>
      <c r="F257" s="13">
        <v>1.0</v>
      </c>
      <c r="G257" s="13" t="s">
        <v>32</v>
      </c>
      <c r="H257" s="43" t="s">
        <v>903</v>
      </c>
      <c r="I257" s="13" t="s">
        <v>33</v>
      </c>
      <c r="J257" s="13" t="s">
        <v>241</v>
      </c>
      <c r="K257" s="13"/>
      <c r="L257" s="13" t="s">
        <v>229</v>
      </c>
      <c r="M257" s="35" t="s">
        <v>904</v>
      </c>
      <c r="N257" s="36" t="s">
        <v>905</v>
      </c>
      <c r="O257" s="16"/>
      <c r="P257" s="64"/>
      <c r="Q257" s="37"/>
      <c r="R257" s="16"/>
      <c r="S257" s="37" t="str">
        <f>IFERROR(__xludf.DUMMYFUNCTION("if(not(iserror(index(split(C257, "" ""),2))), index(split(C257, "" ""),1),"""")"),"July,")</f>
        <v>July,</v>
      </c>
      <c r="T257" s="38">
        <f>IFERROR(__xludf.DUMMYFUNCTION("if(S257="""",C257,if(not(iserror(index(split(C257, "" ""),3))), index(split(C257, "" ""),3),index(split(C257, "" ""),2)))"),2017.0)</f>
        <v>2017</v>
      </c>
      <c r="U257" s="38" t="b">
        <f t="shared" si="34"/>
        <v>0</v>
      </c>
      <c r="V257" s="38" t="s">
        <v>33</v>
      </c>
      <c r="W257" s="39" t="s">
        <v>906</v>
      </c>
      <c r="X257" s="39" t="s">
        <v>907</v>
      </c>
      <c r="Y257" s="40"/>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row>
    <row r="258">
      <c r="A258" s="90" t="s">
        <v>908</v>
      </c>
      <c r="B258" s="30"/>
      <c r="C258" s="31">
        <v>42917.0</v>
      </c>
      <c r="D258" s="32"/>
      <c r="E258" s="13" t="s">
        <v>41</v>
      </c>
      <c r="F258" s="13">
        <v>1.0</v>
      </c>
      <c r="G258" s="13" t="s">
        <v>32</v>
      </c>
      <c r="H258" s="43">
        <v>1.0</v>
      </c>
      <c r="I258" s="13" t="s">
        <v>33</v>
      </c>
      <c r="J258" s="13" t="s">
        <v>909</v>
      </c>
      <c r="K258" s="13"/>
      <c r="L258" s="13" t="s">
        <v>119</v>
      </c>
      <c r="M258" s="35" t="s">
        <v>910</v>
      </c>
      <c r="N258" s="95"/>
      <c r="O258" s="16"/>
      <c r="P258" s="64"/>
      <c r="Q258" s="37"/>
      <c r="R258" s="16"/>
      <c r="S258" s="37" t="str">
        <f>IFERROR(__xludf.DUMMYFUNCTION("if(not(iserror(index(split(C258, "" ""),2))), index(split(C258, "" ""),1),"""")"),"July,")</f>
        <v>July,</v>
      </c>
      <c r="T258" s="38">
        <f>IFERROR(__xludf.DUMMYFUNCTION("if(S258="""",C258,if(not(iserror(index(split(C258, "" ""),3))), index(split(C258, "" ""),3),index(split(C258, "" ""),2)))"),2017.0)</f>
        <v>2017</v>
      </c>
      <c r="U258" s="38" t="b">
        <f t="shared" si="34"/>
        <v>0</v>
      </c>
      <c r="V258" s="38" t="s">
        <v>33</v>
      </c>
      <c r="W258" s="40"/>
      <c r="X258" s="40"/>
      <c r="Y258" s="40"/>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row>
    <row r="259">
      <c r="A259" s="90" t="s">
        <v>911</v>
      </c>
      <c r="B259" s="30">
        <v>43235.0</v>
      </c>
      <c r="C259" s="31">
        <v>42917.0</v>
      </c>
      <c r="D259" s="32" t="s">
        <v>632</v>
      </c>
      <c r="E259" s="13" t="s">
        <v>41</v>
      </c>
      <c r="F259" s="13">
        <v>1.0</v>
      </c>
      <c r="G259" s="13" t="s">
        <v>32</v>
      </c>
      <c r="H259" s="33">
        <v>1.0</v>
      </c>
      <c r="I259" s="13" t="s">
        <v>33</v>
      </c>
      <c r="J259" s="13" t="s">
        <v>115</v>
      </c>
      <c r="K259" s="13">
        <v>4.0</v>
      </c>
      <c r="L259" s="13" t="s">
        <v>254</v>
      </c>
      <c r="M259" s="35" t="s">
        <v>900</v>
      </c>
      <c r="N259" s="95"/>
      <c r="O259" s="57" t="str">
        <f t="shared" ref="O259:O260" si="36">hyperlink("https://bad-boys.us/?q=ED-PA/2:18-cr-00193", "ED-PA 2:18-cr-00193 ❓")</f>
        <v>ED-PA 2:18-cr-00193 ❓</v>
      </c>
      <c r="P259" s="86" t="s">
        <v>901</v>
      </c>
      <c r="Q259" s="37">
        <v>1.0</v>
      </c>
      <c r="R259" s="16"/>
      <c r="S259" s="37" t="str">
        <f>IFERROR(__xludf.DUMMYFUNCTION("if(not(iserror(index(split(C259, "" ""),2))), index(split(C259, "" ""),1),"""")"),"July,")</f>
        <v>July,</v>
      </c>
      <c r="T259" s="38">
        <f>IFERROR(__xludf.DUMMYFUNCTION("if(S259="""",C259,if(not(iserror(index(split(C259, "" ""),3))), index(split(C259, "" ""),3),index(split(C259, "" ""),2)))"),2017.0)</f>
        <v>2017</v>
      </c>
      <c r="U259" s="38" t="b">
        <f t="shared" si="34"/>
        <v>1</v>
      </c>
      <c r="V259" s="38" t="s">
        <v>33</v>
      </c>
      <c r="W259" s="40"/>
      <c r="X259" s="40"/>
      <c r="Y259" s="40"/>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row>
    <row r="260">
      <c r="A260" s="90" t="s">
        <v>912</v>
      </c>
      <c r="B260" s="30"/>
      <c r="C260" s="31">
        <v>42917.0</v>
      </c>
      <c r="D260" s="32"/>
      <c r="E260" s="13" t="s">
        <v>41</v>
      </c>
      <c r="F260" s="13">
        <v>1.0</v>
      </c>
      <c r="G260" s="13" t="s">
        <v>32</v>
      </c>
      <c r="H260" s="43">
        <v>1.0</v>
      </c>
      <c r="I260" s="13" t="s">
        <v>33</v>
      </c>
      <c r="J260" s="13" t="s">
        <v>115</v>
      </c>
      <c r="K260" s="13"/>
      <c r="L260" s="13" t="s">
        <v>254</v>
      </c>
      <c r="M260" s="35" t="s">
        <v>900</v>
      </c>
      <c r="N260" s="14"/>
      <c r="O260" s="57" t="str">
        <f t="shared" si="36"/>
        <v>ED-PA 2:18-cr-00193 ❓</v>
      </c>
      <c r="P260" s="86" t="s">
        <v>901</v>
      </c>
      <c r="Q260" s="37">
        <v>1.0</v>
      </c>
      <c r="R260" s="16"/>
      <c r="S260" s="37" t="str">
        <f>IFERROR(__xludf.DUMMYFUNCTION("if(not(iserror(index(split(C260, "" ""),2))), index(split(C260, "" ""),1),"""")"),"July,")</f>
        <v>July,</v>
      </c>
      <c r="T260" s="38">
        <f>IFERROR(__xludf.DUMMYFUNCTION("if(S260="""",C260,if(not(iserror(index(split(C260, "" ""),3))), index(split(C260, "" ""),3),index(split(C260, "" ""),2)))"),2017.0)</f>
        <v>2017</v>
      </c>
      <c r="U260" s="38" t="b">
        <f t="shared" si="34"/>
        <v>0</v>
      </c>
      <c r="V260" s="38" t="s">
        <v>33</v>
      </c>
      <c r="W260" s="40"/>
      <c r="X260" s="40"/>
      <c r="Y260" s="40"/>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row>
    <row r="261">
      <c r="A261" s="90" t="s">
        <v>913</v>
      </c>
      <c r="B261" s="30">
        <v>42948.0</v>
      </c>
      <c r="C261" s="31">
        <v>42917.0</v>
      </c>
      <c r="D261" s="32" t="s">
        <v>849</v>
      </c>
      <c r="E261" s="13" t="s">
        <v>41</v>
      </c>
      <c r="F261" s="13">
        <v>1.0</v>
      </c>
      <c r="G261" s="13">
        <v>1.0</v>
      </c>
      <c r="H261" s="33">
        <f t="shared" ref="H261:H275" si="37">if(G261="Unknown",1,G261)</f>
        <v>1</v>
      </c>
      <c r="I261" s="13" t="s">
        <v>33</v>
      </c>
      <c r="J261" s="13" t="s">
        <v>147</v>
      </c>
      <c r="K261" s="13">
        <v>5.0</v>
      </c>
      <c r="L261" s="13" t="s">
        <v>35</v>
      </c>
      <c r="M261" s="35" t="s">
        <v>914</v>
      </c>
      <c r="N261" s="36" t="s">
        <v>915</v>
      </c>
      <c r="O261" s="16"/>
      <c r="P261" s="16"/>
      <c r="Q261" s="16"/>
      <c r="R261" s="16"/>
      <c r="S261" s="37" t="str">
        <f>IFERROR(__xludf.DUMMYFUNCTION("if(not(iserror(index(split(C261, "" ""),2))), index(split(C261, "" ""),1),"""")"),"July,")</f>
        <v>July,</v>
      </c>
      <c r="T261" s="38">
        <f>IFERROR(__xludf.DUMMYFUNCTION("if(S261="""",C261,if(not(iserror(index(split(C261, "" ""),3))), index(split(C261, "" ""),3),index(split(C261, "" ""),2)))"),2017.0)</f>
        <v>2017</v>
      </c>
      <c r="U261" s="38" t="b">
        <f t="shared" si="34"/>
        <v>0</v>
      </c>
      <c r="V261" s="38"/>
      <c r="W261" s="40"/>
      <c r="X261" s="40"/>
      <c r="Y261" s="40"/>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row>
    <row r="262">
      <c r="A262" s="34" t="s">
        <v>916</v>
      </c>
      <c r="B262" s="73">
        <v>43201.0</v>
      </c>
      <c r="C262" s="74">
        <v>42917.0</v>
      </c>
      <c r="D262" s="75" t="s">
        <v>849</v>
      </c>
      <c r="E262" s="34" t="s">
        <v>41</v>
      </c>
      <c r="F262" s="34">
        <v>1.0</v>
      </c>
      <c r="G262" s="34" t="s">
        <v>32</v>
      </c>
      <c r="H262" s="33">
        <f t="shared" si="37"/>
        <v>1</v>
      </c>
      <c r="I262" s="34" t="s">
        <v>33</v>
      </c>
      <c r="J262" s="34" t="s">
        <v>61</v>
      </c>
      <c r="K262" s="34">
        <v>1.0</v>
      </c>
      <c r="L262" s="34" t="s">
        <v>917</v>
      </c>
      <c r="M262" s="36" t="s">
        <v>918</v>
      </c>
      <c r="N262" s="77"/>
      <c r="O262" s="62"/>
      <c r="P262" s="62"/>
      <c r="Q262" s="62"/>
      <c r="R262" s="62"/>
      <c r="S262" s="37" t="str">
        <f>IFERROR(__xludf.DUMMYFUNCTION("if(not(iserror(index(split(C262, "" ""),2))), index(split(C262, "" ""),1),"""")"),"July,")</f>
        <v>July,</v>
      </c>
      <c r="T262" s="38">
        <f>IFERROR(__xludf.DUMMYFUNCTION("if(S262="""",C262,if(not(iserror(index(split(C262, "" ""),3))), index(split(C262, "" ""),3),index(split(C262, "" ""),2)))"),2017.0)</f>
        <v>2017</v>
      </c>
      <c r="U262" s="38" t="b">
        <f t="shared" si="34"/>
        <v>0</v>
      </c>
      <c r="V262" s="38"/>
      <c r="W262" s="39" t="s">
        <v>919</v>
      </c>
      <c r="X262" s="39" t="s">
        <v>920</v>
      </c>
      <c r="Y262" s="40"/>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row>
    <row r="263">
      <c r="A263" s="37" t="s">
        <v>921</v>
      </c>
      <c r="B263" s="59">
        <v>43228.0</v>
      </c>
      <c r="C263" s="79">
        <v>42917.0</v>
      </c>
      <c r="D263" s="60" t="s">
        <v>849</v>
      </c>
      <c r="E263" s="58" t="s">
        <v>31</v>
      </c>
      <c r="F263" s="58">
        <v>3.0</v>
      </c>
      <c r="G263" s="58" t="s">
        <v>32</v>
      </c>
      <c r="H263" s="33">
        <f t="shared" si="37"/>
        <v>1</v>
      </c>
      <c r="I263" s="58" t="s">
        <v>33</v>
      </c>
      <c r="J263" s="58" t="s">
        <v>98</v>
      </c>
      <c r="K263" s="58" t="s">
        <v>32</v>
      </c>
      <c r="L263" s="34" t="s">
        <v>35</v>
      </c>
      <c r="M263" s="36" t="s">
        <v>922</v>
      </c>
      <c r="N263" s="77"/>
      <c r="O263" s="62"/>
      <c r="P263" s="62"/>
      <c r="Q263" s="62"/>
      <c r="R263" s="62"/>
      <c r="S263" s="37" t="str">
        <f>IFERROR(__xludf.DUMMYFUNCTION("if(not(iserror(index(split(C263, "" ""),2))), index(split(C263, "" ""),1),"""")"),"July,")</f>
        <v>July,</v>
      </c>
      <c r="T263" s="38">
        <f>IFERROR(__xludf.DUMMYFUNCTION("if(S263="""",C263,if(not(iserror(index(split(C263, "" ""),3))), index(split(C263, "" ""),3),index(split(C263, "" ""),2)))"),2017.0)</f>
        <v>2017</v>
      </c>
      <c r="U263" s="38" t="b">
        <f t="shared" si="34"/>
        <v>0</v>
      </c>
      <c r="V263" s="38"/>
      <c r="W263" s="40"/>
      <c r="X263" s="40"/>
      <c r="Y263" s="40"/>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row>
    <row r="264">
      <c r="A264" s="58" t="s">
        <v>923</v>
      </c>
      <c r="B264" s="59">
        <v>43236.0</v>
      </c>
      <c r="C264" s="79">
        <v>42917.0</v>
      </c>
      <c r="D264" s="60" t="s">
        <v>849</v>
      </c>
      <c r="E264" s="58" t="s">
        <v>41</v>
      </c>
      <c r="F264" s="58">
        <v>1.0</v>
      </c>
      <c r="G264" s="58" t="s">
        <v>32</v>
      </c>
      <c r="H264" s="33">
        <f t="shared" si="37"/>
        <v>1</v>
      </c>
      <c r="I264" s="58" t="s">
        <v>924</v>
      </c>
      <c r="J264" s="58"/>
      <c r="K264" s="58" t="s">
        <v>32</v>
      </c>
      <c r="L264" s="58" t="s">
        <v>925</v>
      </c>
      <c r="M264" s="61" t="s">
        <v>926</v>
      </c>
      <c r="N264" s="61" t="s">
        <v>927</v>
      </c>
      <c r="O264" s="62"/>
      <c r="P264" s="62"/>
      <c r="Q264" s="62"/>
      <c r="R264" s="62"/>
      <c r="S264" s="37" t="str">
        <f>IFERROR(__xludf.DUMMYFUNCTION("if(not(iserror(index(split(C264, "" ""),2))), index(split(C264, "" ""),1),"""")"),"July,")</f>
        <v>July,</v>
      </c>
      <c r="T264" s="38">
        <f>IFERROR(__xludf.DUMMYFUNCTION("if(S264="""",C264,if(not(iserror(index(split(C264, "" ""),3))), index(split(C264, "" ""),3),index(split(C264, "" ""),2)))"),2017.0)</f>
        <v>2017</v>
      </c>
      <c r="U264" s="38" t="b">
        <f t="shared" si="34"/>
        <v>0</v>
      </c>
      <c r="V264" s="38" t="s">
        <v>928</v>
      </c>
      <c r="W264" s="40"/>
      <c r="X264" s="40"/>
      <c r="Y264" s="40"/>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row>
    <row r="265">
      <c r="A265" s="58" t="s">
        <v>929</v>
      </c>
      <c r="B265" s="59">
        <v>43328.0</v>
      </c>
      <c r="C265" s="79">
        <v>42917.0</v>
      </c>
      <c r="D265" s="60" t="s">
        <v>849</v>
      </c>
      <c r="E265" s="58" t="s">
        <v>41</v>
      </c>
      <c r="F265" s="58">
        <v>1.0</v>
      </c>
      <c r="G265" s="58" t="s">
        <v>32</v>
      </c>
      <c r="H265" s="33">
        <f t="shared" si="37"/>
        <v>1</v>
      </c>
      <c r="I265" s="58" t="s">
        <v>33</v>
      </c>
      <c r="J265" s="58" t="s">
        <v>132</v>
      </c>
      <c r="K265" s="58">
        <v>3.0</v>
      </c>
      <c r="L265" s="58" t="s">
        <v>119</v>
      </c>
      <c r="M265" s="61" t="s">
        <v>930</v>
      </c>
      <c r="N265" s="77"/>
      <c r="O265" s="62"/>
      <c r="P265" s="62"/>
      <c r="Q265" s="62"/>
      <c r="R265" s="62"/>
      <c r="S265" s="37" t="str">
        <f>IFERROR(__xludf.DUMMYFUNCTION("if(not(iserror(index(split(C265, "" ""),2))), index(split(C265, "" ""),1),"""")"),"July,")</f>
        <v>July,</v>
      </c>
      <c r="T265" s="38">
        <f>IFERROR(__xludf.DUMMYFUNCTION("if(S265="""",C265,if(not(iserror(index(split(C265, "" ""),3))), index(split(C265, "" ""),3),index(split(C265, "" ""),2)))"),2017.0)</f>
        <v>2017</v>
      </c>
      <c r="U265" s="38" t="b">
        <f t="shared" si="34"/>
        <v>0</v>
      </c>
      <c r="V265" s="38"/>
      <c r="W265" s="40"/>
      <c r="X265" s="40"/>
      <c r="Y265" s="40"/>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row>
    <row r="266">
      <c r="A266" s="58" t="s">
        <v>931</v>
      </c>
      <c r="B266" s="59">
        <v>43335.0</v>
      </c>
      <c r="C266" s="79">
        <v>42917.0</v>
      </c>
      <c r="D266" s="60" t="s">
        <v>637</v>
      </c>
      <c r="E266" s="58" t="s">
        <v>41</v>
      </c>
      <c r="F266" s="58">
        <v>1.0</v>
      </c>
      <c r="G266" s="58" t="s">
        <v>32</v>
      </c>
      <c r="H266" s="33">
        <f t="shared" si="37"/>
        <v>1</v>
      </c>
      <c r="I266" s="58" t="s">
        <v>33</v>
      </c>
      <c r="J266" s="58" t="s">
        <v>147</v>
      </c>
      <c r="K266" s="58">
        <v>2.0</v>
      </c>
      <c r="L266" s="58" t="s">
        <v>119</v>
      </c>
      <c r="M266" s="61" t="s">
        <v>932</v>
      </c>
      <c r="N266" s="61" t="s">
        <v>933</v>
      </c>
      <c r="O266" s="83" t="str">
        <f>hyperlink("https://bad-boys.us/?q=ED-TX/1:18-cr-00020", "ED-TX 1:18-cr-00020")</f>
        <v>ED-TX 1:18-cr-00020</v>
      </c>
      <c r="P266" s="88" t="s">
        <v>934</v>
      </c>
      <c r="Q266" s="84">
        <v>1.0</v>
      </c>
      <c r="R266" s="62"/>
      <c r="S266" s="37" t="str">
        <f>IFERROR(__xludf.DUMMYFUNCTION("if(not(iserror(index(split(C266, "" ""),2))), index(split(C266, "" ""),1),"""")"),"July,")</f>
        <v>July,</v>
      </c>
      <c r="T266" s="38">
        <f>IFERROR(__xludf.DUMMYFUNCTION("if(S266="""",C266,if(not(iserror(index(split(C266, "" ""),3))), index(split(C266, "" ""),3),index(split(C266, "" ""),2)))"),2017.0)</f>
        <v>2017</v>
      </c>
      <c r="U266" s="38" t="b">
        <f t="shared" si="34"/>
        <v>0</v>
      </c>
      <c r="V266" s="38"/>
      <c r="W266" s="40"/>
      <c r="X266" s="40"/>
      <c r="Y266" s="40"/>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row>
    <row r="267">
      <c r="A267" s="58" t="s">
        <v>935</v>
      </c>
      <c r="B267" s="59">
        <v>43347.0</v>
      </c>
      <c r="C267" s="79">
        <v>42917.0</v>
      </c>
      <c r="D267" s="60" t="s">
        <v>849</v>
      </c>
      <c r="E267" s="58" t="s">
        <v>41</v>
      </c>
      <c r="F267" s="58">
        <v>1.0</v>
      </c>
      <c r="G267" s="58" t="s">
        <v>32</v>
      </c>
      <c r="H267" s="33">
        <f t="shared" si="37"/>
        <v>1</v>
      </c>
      <c r="I267" s="58" t="s">
        <v>33</v>
      </c>
      <c r="J267" s="58" t="s">
        <v>279</v>
      </c>
      <c r="K267" s="58">
        <v>2.0</v>
      </c>
      <c r="L267" s="58" t="s">
        <v>119</v>
      </c>
      <c r="M267" s="61" t="s">
        <v>936</v>
      </c>
      <c r="N267" s="77"/>
      <c r="O267" s="62"/>
      <c r="P267" s="62"/>
      <c r="Q267" s="62"/>
      <c r="R267" s="62"/>
      <c r="S267" s="37" t="str">
        <f>IFERROR(__xludf.DUMMYFUNCTION("if(not(iserror(index(split(C267, "" ""),2))), index(split(C267, "" ""),1),"""")"),"July,")</f>
        <v>July,</v>
      </c>
      <c r="T267" s="38">
        <f>IFERROR(__xludf.DUMMYFUNCTION("if(S267="""",C267,if(not(iserror(index(split(C267, "" ""),3))), index(split(C267, "" ""),3),index(split(C267, "" ""),2)))"),2017.0)</f>
        <v>2017</v>
      </c>
      <c r="U267" s="38" t="b">
        <f t="shared" si="34"/>
        <v>0</v>
      </c>
      <c r="V267" s="38"/>
      <c r="W267" s="40"/>
      <c r="X267" s="40"/>
      <c r="Y267" s="40"/>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row>
    <row r="268">
      <c r="A268" s="87" t="s">
        <v>937</v>
      </c>
      <c r="B268" s="59">
        <v>43378.0</v>
      </c>
      <c r="C268" s="79">
        <v>42917.0</v>
      </c>
      <c r="D268" s="60" t="s">
        <v>849</v>
      </c>
      <c r="E268" s="58" t="s">
        <v>41</v>
      </c>
      <c r="F268" s="58">
        <v>1.0</v>
      </c>
      <c r="G268" s="58" t="s">
        <v>32</v>
      </c>
      <c r="H268" s="33">
        <f t="shared" si="37"/>
        <v>1</v>
      </c>
      <c r="I268" s="58" t="s">
        <v>33</v>
      </c>
      <c r="J268" s="58" t="s">
        <v>106</v>
      </c>
      <c r="K268" s="58" t="s">
        <v>32</v>
      </c>
      <c r="L268" s="58" t="s">
        <v>119</v>
      </c>
      <c r="M268" s="105" t="s">
        <v>641</v>
      </c>
      <c r="N268" s="77"/>
      <c r="O268" s="88" t="str">
        <f>hyperlink("https://bad-boys.us/?q=D-MD/8:18-cr-00275", "D-MD 8:18-cr-00275")</f>
        <v>D-MD 8:18-cr-00275</v>
      </c>
      <c r="P268" s="62"/>
      <c r="Q268" s="84">
        <v>1.0</v>
      </c>
      <c r="R268" s="62"/>
      <c r="S268" s="37" t="str">
        <f>IFERROR(__xludf.DUMMYFUNCTION("if(not(iserror(index(split(C268, "" ""),2))), index(split(C268, "" ""),1),"""")"),"July,")</f>
        <v>July,</v>
      </c>
      <c r="T268" s="38">
        <f>IFERROR(__xludf.DUMMYFUNCTION("if(S268="""",C268,if(not(iserror(index(split(C268, "" ""),3))), index(split(C268, "" ""),3),index(split(C268, "" ""),2)))"),2017.0)</f>
        <v>2017</v>
      </c>
      <c r="U268" s="38" t="b">
        <f t="shared" si="34"/>
        <v>0</v>
      </c>
      <c r="V268" s="38"/>
      <c r="W268" s="40"/>
      <c r="X268" s="40"/>
      <c r="Y268" s="40"/>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row>
    <row r="269">
      <c r="A269" s="58" t="s">
        <v>938</v>
      </c>
      <c r="B269" s="59">
        <v>43392.0</v>
      </c>
      <c r="C269" s="79">
        <v>42917.0</v>
      </c>
      <c r="D269" s="60" t="s">
        <v>849</v>
      </c>
      <c r="E269" s="58" t="s">
        <v>41</v>
      </c>
      <c r="F269" s="58">
        <v>1.0</v>
      </c>
      <c r="G269" s="58" t="s">
        <v>32</v>
      </c>
      <c r="H269" s="33">
        <f t="shared" si="37"/>
        <v>1</v>
      </c>
      <c r="I269" s="58" t="s">
        <v>33</v>
      </c>
      <c r="J269" s="58" t="s">
        <v>47</v>
      </c>
      <c r="K269" s="58">
        <v>3.0</v>
      </c>
      <c r="L269" s="58" t="s">
        <v>119</v>
      </c>
      <c r="M269" s="61" t="s">
        <v>939</v>
      </c>
      <c r="N269" s="61" t="s">
        <v>940</v>
      </c>
      <c r="O269" s="88" t="str">
        <f>hyperlink("https://bad-boys.us/?q=SD-FL/0:18-cr-60242", "SD-FL 0:18-cr-60242")</f>
        <v>SD-FL 0:18-cr-60242</v>
      </c>
      <c r="P269" s="88" t="s">
        <v>941</v>
      </c>
      <c r="Q269" s="84">
        <v>1.0</v>
      </c>
      <c r="R269" s="62"/>
      <c r="S269" s="37" t="str">
        <f>IFERROR(__xludf.DUMMYFUNCTION("if(not(iserror(index(split(C269, "" ""),2))), index(split(C269, "" ""),1),"""")"),"July,")</f>
        <v>July,</v>
      </c>
      <c r="T269" s="38">
        <f>IFERROR(__xludf.DUMMYFUNCTION("if(S269="""",C269,if(not(iserror(index(split(C269, "" ""),3))), index(split(C269, "" ""),3),index(split(C269, "" ""),2)))"),2017.0)</f>
        <v>2017</v>
      </c>
      <c r="U269" s="38" t="b">
        <f t="shared" si="34"/>
        <v>0</v>
      </c>
      <c r="V269" s="38"/>
      <c r="W269" s="40"/>
      <c r="X269" s="40"/>
      <c r="Y269" s="40"/>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row>
    <row r="270">
      <c r="A270" s="58" t="s">
        <v>942</v>
      </c>
      <c r="B270" s="59">
        <v>43397.0</v>
      </c>
      <c r="C270" s="79">
        <v>42917.0</v>
      </c>
      <c r="D270" s="60" t="s">
        <v>507</v>
      </c>
      <c r="E270" s="58" t="s">
        <v>41</v>
      </c>
      <c r="F270" s="58">
        <v>1.0</v>
      </c>
      <c r="G270" s="58">
        <v>3.0</v>
      </c>
      <c r="H270" s="33">
        <f t="shared" si="37"/>
        <v>3</v>
      </c>
      <c r="I270" s="58" t="s">
        <v>33</v>
      </c>
      <c r="J270" s="58" t="s">
        <v>47</v>
      </c>
      <c r="K270" s="58">
        <v>2.0</v>
      </c>
      <c r="L270" s="58" t="s">
        <v>943</v>
      </c>
      <c r="M270" s="120" t="s">
        <v>944</v>
      </c>
      <c r="N270" s="80"/>
      <c r="O270" s="88" t="str">
        <f>hyperlink("https://bad-boys.us/?q=SD-FL/9:18-cr-80024", "SD-FL 9:18-cr-80024")</f>
        <v>SD-FL 9:18-cr-80024</v>
      </c>
      <c r="P270" s="88" t="s">
        <v>945</v>
      </c>
      <c r="Q270" s="58">
        <v>1.0</v>
      </c>
      <c r="R270" s="62"/>
      <c r="S270" s="37" t="str">
        <f>IFERROR(__xludf.DUMMYFUNCTION("if(not(iserror(index(split(C270, "" ""),2))), index(split(C270, "" ""),1),"""")"),"July,")</f>
        <v>July,</v>
      </c>
      <c r="T270" s="38">
        <f>IFERROR(__xludf.DUMMYFUNCTION("if(S270="""",C270,if(not(iserror(index(split(C270, "" ""),3))), index(split(C270, "" ""),3),index(split(C270, "" ""),2)))"),2017.0)</f>
        <v>2017</v>
      </c>
      <c r="U270" s="38" t="b">
        <f t="shared" si="34"/>
        <v>0</v>
      </c>
      <c r="V270" s="38" t="s">
        <v>946</v>
      </c>
      <c r="W270" s="40"/>
      <c r="X270" s="40"/>
      <c r="Y270" s="40"/>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row>
    <row r="271">
      <c r="A271" s="58" t="s">
        <v>947</v>
      </c>
      <c r="B271" s="59">
        <v>43404.0</v>
      </c>
      <c r="C271" s="79">
        <v>42917.0</v>
      </c>
      <c r="D271" s="60" t="s">
        <v>849</v>
      </c>
      <c r="E271" s="58" t="s">
        <v>41</v>
      </c>
      <c r="F271" s="58">
        <v>1.0</v>
      </c>
      <c r="G271" s="58" t="s">
        <v>32</v>
      </c>
      <c r="H271" s="33">
        <f t="shared" si="37"/>
        <v>1</v>
      </c>
      <c r="I271" s="58" t="s">
        <v>33</v>
      </c>
      <c r="J271" s="58" t="s">
        <v>179</v>
      </c>
      <c r="K271" s="58">
        <v>2.0</v>
      </c>
      <c r="L271" s="58" t="s">
        <v>948</v>
      </c>
      <c r="M271" s="61" t="s">
        <v>949</v>
      </c>
      <c r="N271" s="80"/>
      <c r="O271" s="88" t="str">
        <f>hyperlink("https://bad-boys.us/?q=WD-VA/7:17-cr-00076", "WD-VA 7:17-cr-00076")</f>
        <v>WD-VA 7:17-cr-00076</v>
      </c>
      <c r="P271" s="88" t="s">
        <v>950</v>
      </c>
      <c r="Q271" s="84">
        <v>1.0</v>
      </c>
      <c r="R271" s="62"/>
      <c r="S271" s="37" t="str">
        <f>IFERROR(__xludf.DUMMYFUNCTION("if(not(iserror(index(split(C271, "" ""),2))), index(split(C271, "" ""),1),"""")"),"July,")</f>
        <v>July,</v>
      </c>
      <c r="T271" s="38">
        <f>IFERROR(__xludf.DUMMYFUNCTION("if(S271="""",C271,if(not(iserror(index(split(C271, "" ""),3))), index(split(C271, "" ""),3),index(split(C271, "" ""),2)))"),2017.0)</f>
        <v>2017</v>
      </c>
      <c r="U271" s="38" t="b">
        <f t="shared" si="34"/>
        <v>0</v>
      </c>
      <c r="V271" s="38"/>
      <c r="W271" s="40"/>
      <c r="X271" s="40"/>
      <c r="Y271" s="40"/>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row>
    <row r="272">
      <c r="A272" s="58" t="s">
        <v>951</v>
      </c>
      <c r="B272" s="59">
        <v>43418.0</v>
      </c>
      <c r="C272" s="79">
        <v>42917.0</v>
      </c>
      <c r="D272" s="60" t="s">
        <v>849</v>
      </c>
      <c r="E272" s="58" t="s">
        <v>31</v>
      </c>
      <c r="F272" s="58">
        <v>1.0</v>
      </c>
      <c r="G272" s="58" t="s">
        <v>32</v>
      </c>
      <c r="H272" s="33">
        <f t="shared" si="37"/>
        <v>1</v>
      </c>
      <c r="I272" s="58" t="s">
        <v>33</v>
      </c>
      <c r="J272" s="58" t="s">
        <v>402</v>
      </c>
      <c r="K272" s="58">
        <v>3.0</v>
      </c>
      <c r="L272" s="58" t="s">
        <v>119</v>
      </c>
      <c r="M272" s="61" t="s">
        <v>952</v>
      </c>
      <c r="N272" s="61" t="s">
        <v>953</v>
      </c>
      <c r="O272" s="83" t="str">
        <f>hyperlink("https://bad-boys.us/?q=ND-IN/3:18-cr-00007", "ND-IN 3:18-cr-00007")</f>
        <v>ND-IN 3:18-cr-00007</v>
      </c>
      <c r="P272" s="88" t="s">
        <v>954</v>
      </c>
      <c r="Q272" s="84">
        <v>1.0</v>
      </c>
      <c r="R272" s="62"/>
      <c r="S272" s="37" t="str">
        <f>IFERROR(__xludf.DUMMYFUNCTION("if(not(iserror(index(split(C272, "" ""),2))), index(split(C272, "" ""),1),"""")"),"July,")</f>
        <v>July,</v>
      </c>
      <c r="T272" s="38">
        <f>IFERROR(__xludf.DUMMYFUNCTION("if(S272="""",C272,if(not(iserror(index(split(C272, "" ""),3))), index(split(C272, "" ""),3),index(split(C272, "" ""),2)))"),2017.0)</f>
        <v>2017</v>
      </c>
      <c r="U272" s="38" t="b">
        <f t="shared" si="34"/>
        <v>0</v>
      </c>
      <c r="V272" s="38"/>
      <c r="W272" s="40"/>
      <c r="X272" s="40"/>
      <c r="Y272" s="40"/>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row>
    <row r="273">
      <c r="A273" s="58" t="s">
        <v>955</v>
      </c>
      <c r="B273" s="59">
        <v>43445.0</v>
      </c>
      <c r="C273" s="79">
        <v>42917.0</v>
      </c>
      <c r="D273" s="60" t="s">
        <v>849</v>
      </c>
      <c r="E273" s="58" t="s">
        <v>41</v>
      </c>
      <c r="F273" s="58">
        <v>1.0</v>
      </c>
      <c r="G273" s="58">
        <v>1.0</v>
      </c>
      <c r="H273" s="33">
        <f t="shared" si="37"/>
        <v>1</v>
      </c>
      <c r="I273" s="58" t="s">
        <v>33</v>
      </c>
      <c r="J273" s="58" t="s">
        <v>61</v>
      </c>
      <c r="K273" s="58">
        <v>2.0</v>
      </c>
      <c r="L273" s="58" t="s">
        <v>119</v>
      </c>
      <c r="M273" s="61" t="s">
        <v>956</v>
      </c>
      <c r="N273" s="77"/>
      <c r="O273" s="58"/>
      <c r="P273" s="58"/>
      <c r="Q273" s="84"/>
      <c r="R273" s="62"/>
      <c r="S273" s="37" t="str">
        <f>IFERROR(__xludf.DUMMYFUNCTION("if(not(iserror(index(split(C273, "" ""),2))), index(split(C273, "" ""),1),"""")"),"July,")</f>
        <v>July,</v>
      </c>
      <c r="T273" s="38">
        <f>IFERROR(__xludf.DUMMYFUNCTION("if(S273="""",C273,if(not(iserror(index(split(C273, "" ""),3))), index(split(C273, "" ""),3),index(split(C273, "" ""),2)))"),2017.0)</f>
        <v>2017</v>
      </c>
      <c r="U273" s="38" t="b">
        <f t="shared" si="34"/>
        <v>0</v>
      </c>
      <c r="V273" s="38"/>
      <c r="W273" s="40"/>
      <c r="X273" s="40"/>
      <c r="Y273" s="40"/>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row>
    <row r="274">
      <c r="A274" s="13" t="s">
        <v>239</v>
      </c>
      <c r="B274" s="30">
        <v>42921.0</v>
      </c>
      <c r="C274" s="30">
        <v>42921.0</v>
      </c>
      <c r="D274" s="32" t="s">
        <v>957</v>
      </c>
      <c r="E274" s="13" t="s">
        <v>41</v>
      </c>
      <c r="F274" s="13">
        <v>1.0</v>
      </c>
      <c r="G274" s="13">
        <v>1.0</v>
      </c>
      <c r="H274" s="33">
        <f t="shared" si="37"/>
        <v>1</v>
      </c>
      <c r="I274" s="13" t="s">
        <v>33</v>
      </c>
      <c r="J274" s="13" t="s">
        <v>241</v>
      </c>
      <c r="K274" s="13">
        <v>1.0</v>
      </c>
      <c r="L274" s="13" t="s">
        <v>194</v>
      </c>
      <c r="M274" s="35" t="s">
        <v>958</v>
      </c>
      <c r="N274" s="15"/>
      <c r="O274" s="16"/>
      <c r="P274" s="16"/>
      <c r="Q274" s="16"/>
      <c r="R274" s="16"/>
      <c r="S274" s="37" t="str">
        <f>IFERROR(__xludf.DUMMYFUNCTION("if(not(iserror(index(split(C274, "" ""),2))), index(split(C274, "" ""),1),"""")"),"July")</f>
        <v>July</v>
      </c>
      <c r="T274" s="38">
        <f>IFERROR(__xludf.DUMMYFUNCTION("if(S274="""",C274,if(not(iserror(index(split(C274, "" ""),3))), index(split(C274, "" ""),3),index(split(C274, "" ""),2)))"),2017.0)</f>
        <v>2017</v>
      </c>
      <c r="U274" s="38" t="b">
        <f t="shared" si="34"/>
        <v>1</v>
      </c>
      <c r="V274" s="38"/>
      <c r="W274" s="40"/>
      <c r="X274" s="40"/>
      <c r="Y274" s="40"/>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row>
    <row r="275">
      <c r="A275" s="13" t="s">
        <v>959</v>
      </c>
      <c r="B275" s="30">
        <v>42923.0</v>
      </c>
      <c r="C275" s="30">
        <v>42923.0</v>
      </c>
      <c r="D275" s="32" t="s">
        <v>960</v>
      </c>
      <c r="E275" s="13" t="s">
        <v>31</v>
      </c>
      <c r="F275" s="13">
        <v>1.0</v>
      </c>
      <c r="G275" s="13" t="s">
        <v>32</v>
      </c>
      <c r="H275" s="33">
        <f t="shared" si="37"/>
        <v>1</v>
      </c>
      <c r="I275" s="13" t="s">
        <v>33</v>
      </c>
      <c r="J275" s="13" t="s">
        <v>222</v>
      </c>
      <c r="K275" s="13">
        <v>1.0</v>
      </c>
      <c r="L275" s="13" t="s">
        <v>52</v>
      </c>
      <c r="M275" s="35" t="s">
        <v>961</v>
      </c>
      <c r="N275" s="15"/>
      <c r="O275" s="16"/>
      <c r="P275" s="16"/>
      <c r="Q275" s="16"/>
      <c r="R275" s="16"/>
      <c r="S275" s="37" t="str">
        <f>IFERROR(__xludf.DUMMYFUNCTION("if(not(iserror(index(split(C275, "" ""),2))), index(split(C275, "" ""),1),"""")"),"July")</f>
        <v>July</v>
      </c>
      <c r="T275" s="38">
        <f>IFERROR(__xludf.DUMMYFUNCTION("if(S275="""",C275,if(not(iserror(index(split(C275, "" ""),3))), index(split(C275, "" ""),3),index(split(C275, "" ""),2)))"),2017.0)</f>
        <v>2017</v>
      </c>
      <c r="U275" s="38" t="b">
        <f t="shared" si="34"/>
        <v>0</v>
      </c>
      <c r="V275" s="38"/>
      <c r="W275" s="40"/>
      <c r="X275" s="40"/>
      <c r="Y275" s="40"/>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row>
    <row r="276">
      <c r="A276" s="13" t="s">
        <v>962</v>
      </c>
      <c r="B276" s="30"/>
      <c r="C276" s="30">
        <v>42923.0</v>
      </c>
      <c r="D276" s="32"/>
      <c r="E276" s="13" t="s">
        <v>31</v>
      </c>
      <c r="F276" s="13">
        <v>1.0</v>
      </c>
      <c r="G276" s="13">
        <v>1.0</v>
      </c>
      <c r="H276" s="43">
        <v>1.0</v>
      </c>
      <c r="I276" s="13" t="s">
        <v>33</v>
      </c>
      <c r="J276" s="13" t="s">
        <v>410</v>
      </c>
      <c r="K276" s="13"/>
      <c r="L276" s="13" t="s">
        <v>963</v>
      </c>
      <c r="M276" s="56" t="s">
        <v>964</v>
      </c>
      <c r="N276" s="104" t="s">
        <v>965</v>
      </c>
      <c r="O276" s="16"/>
      <c r="P276" s="16"/>
      <c r="Q276" s="64"/>
      <c r="R276" s="16"/>
      <c r="S276" s="37"/>
      <c r="T276" s="38"/>
      <c r="U276" s="38" t="b">
        <f t="shared" si="34"/>
        <v>0</v>
      </c>
      <c r="V276" s="38" t="s">
        <v>33</v>
      </c>
      <c r="W276" s="39" t="s">
        <v>966</v>
      </c>
      <c r="X276" s="39" t="s">
        <v>967</v>
      </c>
      <c r="Y276" s="40"/>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row>
    <row r="277">
      <c r="A277" s="13" t="s">
        <v>968</v>
      </c>
      <c r="B277" s="30"/>
      <c r="C277" s="30">
        <v>42923.0</v>
      </c>
      <c r="D277" s="32"/>
      <c r="E277" s="13" t="s">
        <v>31</v>
      </c>
      <c r="F277" s="13">
        <v>1.0</v>
      </c>
      <c r="G277" s="13">
        <v>1.0</v>
      </c>
      <c r="H277" s="43">
        <v>1.0</v>
      </c>
      <c r="I277" s="13" t="s">
        <v>33</v>
      </c>
      <c r="J277" s="13" t="s">
        <v>410</v>
      </c>
      <c r="K277" s="13"/>
      <c r="L277" s="13" t="s">
        <v>963</v>
      </c>
      <c r="M277" s="56" t="s">
        <v>964</v>
      </c>
      <c r="N277" s="104" t="s">
        <v>965</v>
      </c>
      <c r="O277" s="16"/>
      <c r="P277" s="16"/>
      <c r="Q277" s="64"/>
      <c r="R277" s="16"/>
      <c r="S277" s="37"/>
      <c r="T277" s="38"/>
      <c r="U277" s="38" t="b">
        <f t="shared" si="34"/>
        <v>0</v>
      </c>
      <c r="V277" s="38" t="s">
        <v>33</v>
      </c>
      <c r="W277" s="39" t="s">
        <v>966</v>
      </c>
      <c r="X277" s="39" t="s">
        <v>969</v>
      </c>
      <c r="Y277" s="40"/>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row>
    <row r="278">
      <c r="A278" s="58" t="s">
        <v>970</v>
      </c>
      <c r="B278" s="59">
        <v>43329.0</v>
      </c>
      <c r="C278" s="59">
        <v>42926.0</v>
      </c>
      <c r="D278" s="60" t="s">
        <v>971</v>
      </c>
      <c r="E278" s="58" t="s">
        <v>41</v>
      </c>
      <c r="F278" s="58">
        <v>1.0</v>
      </c>
      <c r="G278" s="58" t="s">
        <v>32</v>
      </c>
      <c r="H278" s="33">
        <f t="shared" ref="H278:H280" si="38">if(G278="Unknown",1,G278)</f>
        <v>1</v>
      </c>
      <c r="I278" s="58" t="s">
        <v>33</v>
      </c>
      <c r="J278" s="58" t="s">
        <v>172</v>
      </c>
      <c r="K278" s="58">
        <v>2.0</v>
      </c>
      <c r="L278" s="58" t="s">
        <v>119</v>
      </c>
      <c r="M278" s="61" t="s">
        <v>972</v>
      </c>
      <c r="N278" s="77"/>
      <c r="O278" s="83" t="str">
        <f>hyperlink("https://bad-boys.us/?q=WD-NC/1:18-cr-00027", "WD-NC 1:18-cr-00027")</f>
        <v>WD-NC 1:18-cr-00027</v>
      </c>
      <c r="P278" s="88" t="s">
        <v>973</v>
      </c>
      <c r="Q278" s="84">
        <v>1.0</v>
      </c>
      <c r="R278" s="62"/>
      <c r="S278" s="37" t="str">
        <f>IFERROR(__xludf.DUMMYFUNCTION("if(not(iserror(index(split(C278, "" ""),2))), index(split(C278, "" ""),1),"""")"),"July")</f>
        <v>July</v>
      </c>
      <c r="T278" s="38">
        <f>IFERROR(__xludf.DUMMYFUNCTION("if(S278="""",C278,if(not(iserror(index(split(C278, "" ""),3))), index(split(C278, "" ""),3),index(split(C278, "" ""),2)))"),2017.0)</f>
        <v>2017</v>
      </c>
      <c r="U278" s="38" t="b">
        <f t="shared" si="34"/>
        <v>0</v>
      </c>
      <c r="V278" s="38"/>
      <c r="W278" s="40"/>
      <c r="X278" s="40"/>
      <c r="Y278" s="40"/>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row>
    <row r="279">
      <c r="A279" s="87" t="s">
        <v>974</v>
      </c>
      <c r="B279" s="59">
        <v>43398.0</v>
      </c>
      <c r="C279" s="59">
        <v>42926.0</v>
      </c>
      <c r="D279" s="60" t="s">
        <v>971</v>
      </c>
      <c r="E279" s="58" t="s">
        <v>41</v>
      </c>
      <c r="F279" s="58">
        <v>1.0</v>
      </c>
      <c r="G279" s="58" t="s">
        <v>32</v>
      </c>
      <c r="H279" s="33">
        <f t="shared" si="38"/>
        <v>1</v>
      </c>
      <c r="I279" s="58" t="s">
        <v>33</v>
      </c>
      <c r="J279" s="58" t="s">
        <v>55</v>
      </c>
      <c r="K279" s="58">
        <v>1.0</v>
      </c>
      <c r="L279" s="58" t="s">
        <v>119</v>
      </c>
      <c r="M279" s="61" t="s">
        <v>975</v>
      </c>
      <c r="N279" s="61" t="s">
        <v>976</v>
      </c>
      <c r="O279" s="83" t="str">
        <f>hyperlink("https://bad-boys.us/?q=D-NJ/2:18-cr-00148", "D-NJ 2:18-cr-00148")</f>
        <v>D-NJ 2:18-cr-00148</v>
      </c>
      <c r="P279" s="62"/>
      <c r="Q279" s="84">
        <v>1.0</v>
      </c>
      <c r="R279" s="62"/>
      <c r="S279" s="37" t="str">
        <f>IFERROR(__xludf.DUMMYFUNCTION("if(not(iserror(index(split(C279, "" ""),2))), index(split(C279, "" ""),1),"""")"),"July")</f>
        <v>July</v>
      </c>
      <c r="T279" s="38">
        <f>IFERROR(__xludf.DUMMYFUNCTION("if(S279="""",C279,if(not(iserror(index(split(C279, "" ""),3))), index(split(C279, "" ""),3),index(split(C279, "" ""),2)))"),2017.0)</f>
        <v>2017</v>
      </c>
      <c r="U279" s="38" t="b">
        <f t="shared" si="34"/>
        <v>0</v>
      </c>
      <c r="V279" s="38"/>
      <c r="W279" s="40"/>
      <c r="X279" s="40"/>
      <c r="Y279" s="40"/>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row>
    <row r="280">
      <c r="A280" s="13" t="s">
        <v>977</v>
      </c>
      <c r="B280" s="30">
        <v>42927.0</v>
      </c>
      <c r="C280" s="30">
        <v>42927.0</v>
      </c>
      <c r="D280" s="32" t="s">
        <v>978</v>
      </c>
      <c r="E280" s="13" t="s">
        <v>31</v>
      </c>
      <c r="F280" s="13">
        <v>1.0</v>
      </c>
      <c r="G280" s="13" t="s">
        <v>32</v>
      </c>
      <c r="H280" s="33">
        <f t="shared" si="38"/>
        <v>1</v>
      </c>
      <c r="I280" s="13" t="s">
        <v>33</v>
      </c>
      <c r="J280" s="13" t="s">
        <v>93</v>
      </c>
      <c r="K280" s="13">
        <v>1.0</v>
      </c>
      <c r="L280" s="13" t="s">
        <v>119</v>
      </c>
      <c r="M280" s="36" t="s">
        <v>979</v>
      </c>
      <c r="N280" s="36" t="s">
        <v>980</v>
      </c>
      <c r="O280" s="16"/>
      <c r="P280" s="16"/>
      <c r="Q280" s="37"/>
      <c r="R280" s="16"/>
      <c r="S280" s="37" t="str">
        <f>IFERROR(__xludf.DUMMYFUNCTION("if(not(iserror(index(split(C280, "" ""),2))), index(split(C280, "" ""),1),"""")"),"July")</f>
        <v>July</v>
      </c>
      <c r="T280" s="38">
        <f>IFERROR(__xludf.DUMMYFUNCTION("if(S280="""",C280,if(not(iserror(index(split(C280, "" ""),3))), index(split(C280, "" ""),3),index(split(C280, "" ""),2)))"),2017.0)</f>
        <v>2017</v>
      </c>
      <c r="U280" s="38" t="b">
        <f t="shared" si="34"/>
        <v>0</v>
      </c>
      <c r="V280" s="38"/>
      <c r="W280" s="40"/>
      <c r="X280" s="40"/>
      <c r="Y280" s="40"/>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row>
    <row r="281">
      <c r="A281" s="13" t="s">
        <v>981</v>
      </c>
      <c r="B281" s="30"/>
      <c r="C281" s="30">
        <v>42930.0</v>
      </c>
      <c r="D281" s="32"/>
      <c r="E281" s="13" t="s">
        <v>31</v>
      </c>
      <c r="F281" s="13">
        <v>1.0</v>
      </c>
      <c r="G281" s="13">
        <v>1.0</v>
      </c>
      <c r="H281" s="43">
        <v>1.0</v>
      </c>
      <c r="I281" s="13" t="s">
        <v>33</v>
      </c>
      <c r="J281" s="13" t="s">
        <v>147</v>
      </c>
      <c r="K281" s="13"/>
      <c r="L281" s="13" t="s">
        <v>646</v>
      </c>
      <c r="M281" s="14" t="s">
        <v>982</v>
      </c>
      <c r="N281" s="14" t="s">
        <v>983</v>
      </c>
      <c r="O281" s="16"/>
      <c r="P281" s="16"/>
      <c r="Q281" s="37"/>
      <c r="R281" s="16"/>
      <c r="S281" s="37"/>
      <c r="T281" s="38"/>
      <c r="U281" s="38" t="b">
        <f t="shared" si="34"/>
        <v>0</v>
      </c>
      <c r="V281" s="38" t="s">
        <v>33</v>
      </c>
      <c r="W281" s="39" t="s">
        <v>984</v>
      </c>
      <c r="X281" s="121" t="s">
        <v>985</v>
      </c>
      <c r="Y281" s="40"/>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row>
    <row r="282">
      <c r="A282" s="13" t="s">
        <v>986</v>
      </c>
      <c r="B282" s="30">
        <v>42933.0</v>
      </c>
      <c r="C282" s="30">
        <v>42933.0</v>
      </c>
      <c r="D282" s="32" t="s">
        <v>987</v>
      </c>
      <c r="E282" s="13" t="s">
        <v>31</v>
      </c>
      <c r="F282" s="13">
        <v>1.0</v>
      </c>
      <c r="G282" s="13" t="s">
        <v>32</v>
      </c>
      <c r="H282" s="33">
        <f t="shared" ref="H282:H284" si="39">if(G282="Unknown",1,G282)</f>
        <v>1</v>
      </c>
      <c r="I282" s="13" t="s">
        <v>33</v>
      </c>
      <c r="J282" s="13" t="s">
        <v>61</v>
      </c>
      <c r="K282" s="13">
        <v>4.0</v>
      </c>
      <c r="L282" s="13" t="s">
        <v>119</v>
      </c>
      <c r="M282" s="35" t="s">
        <v>988</v>
      </c>
      <c r="N282" s="15"/>
      <c r="O282" s="16"/>
      <c r="P282" s="16"/>
      <c r="Q282" s="16"/>
      <c r="R282" s="16"/>
      <c r="S282" s="37" t="str">
        <f>IFERROR(__xludf.DUMMYFUNCTION("if(not(iserror(index(split(C282, "" ""),2))), index(split(C282, "" ""),1),"""")"),"July")</f>
        <v>July</v>
      </c>
      <c r="T282" s="38">
        <f>IFERROR(__xludf.DUMMYFUNCTION("if(S282="""",C282,if(not(iserror(index(split(C282, "" ""),3))), index(split(C282, "" ""),3),index(split(C282, "" ""),2)))"),2017.0)</f>
        <v>2017</v>
      </c>
      <c r="U282" s="38" t="b">
        <f t="shared" si="34"/>
        <v>0</v>
      </c>
      <c r="V282" s="38"/>
      <c r="W282" s="40"/>
      <c r="X282" s="40"/>
      <c r="Y282" s="40"/>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row>
    <row r="283">
      <c r="A283" s="13" t="s">
        <v>989</v>
      </c>
      <c r="B283" s="30">
        <v>43132.0</v>
      </c>
      <c r="C283" s="30">
        <v>42934.0</v>
      </c>
      <c r="D283" s="32" t="s">
        <v>990</v>
      </c>
      <c r="E283" s="13" t="s">
        <v>41</v>
      </c>
      <c r="F283" s="13">
        <v>1.0</v>
      </c>
      <c r="G283" s="13" t="s">
        <v>32</v>
      </c>
      <c r="H283" s="33">
        <f t="shared" si="39"/>
        <v>1</v>
      </c>
      <c r="I283" s="13" t="s">
        <v>33</v>
      </c>
      <c r="J283" s="13" t="s">
        <v>47</v>
      </c>
      <c r="K283" s="13">
        <v>1.0</v>
      </c>
      <c r="L283" s="13" t="s">
        <v>991</v>
      </c>
      <c r="M283" s="45" t="s">
        <v>992</v>
      </c>
      <c r="N283" s="15"/>
      <c r="O283" s="37"/>
      <c r="P283" s="16"/>
      <c r="Q283" s="64"/>
      <c r="R283" s="16"/>
      <c r="S283" s="37" t="str">
        <f>IFERROR(__xludf.DUMMYFUNCTION("if(not(iserror(index(split(C283, "" ""),2))), index(split(C283, "" ""),1),"""")"),"July")</f>
        <v>July</v>
      </c>
      <c r="T283" s="38">
        <f>IFERROR(__xludf.DUMMYFUNCTION("if(S283="""",C283,if(not(iserror(index(split(C283, "" ""),3))), index(split(C283, "" ""),3),index(split(C283, "" ""),2)))"),2017.0)</f>
        <v>2017</v>
      </c>
      <c r="U283" s="38" t="b">
        <f t="shared" si="34"/>
        <v>0</v>
      </c>
      <c r="V283" s="38"/>
      <c r="W283" s="40"/>
      <c r="X283" s="40"/>
      <c r="Y283" s="40"/>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row>
    <row r="284">
      <c r="A284" s="58" t="s">
        <v>993</v>
      </c>
      <c r="B284" s="59">
        <v>43396.0</v>
      </c>
      <c r="C284" s="59">
        <v>42934.0</v>
      </c>
      <c r="D284" s="60" t="s">
        <v>994</v>
      </c>
      <c r="E284" s="58" t="s">
        <v>41</v>
      </c>
      <c r="F284" s="58">
        <v>1.0</v>
      </c>
      <c r="G284" s="58" t="s">
        <v>32</v>
      </c>
      <c r="H284" s="33">
        <f t="shared" si="39"/>
        <v>1</v>
      </c>
      <c r="I284" s="58" t="s">
        <v>33</v>
      </c>
      <c r="J284" s="58" t="s">
        <v>279</v>
      </c>
      <c r="K284" s="58">
        <v>4.0</v>
      </c>
      <c r="L284" s="58" t="s">
        <v>995</v>
      </c>
      <c r="M284" s="61" t="s">
        <v>996</v>
      </c>
      <c r="N284" s="80"/>
      <c r="O284" s="88" t="str">
        <f>hyperlink("https://bad-boys.us/?q=WD-MO/6:17-cr-03137", "WD-MO 6:17-cr-03137")</f>
        <v>WD-MO 6:17-cr-03137</v>
      </c>
      <c r="P284" s="88" t="s">
        <v>997</v>
      </c>
      <c r="Q284" s="84">
        <v>1.0</v>
      </c>
      <c r="R284" s="62"/>
      <c r="S284" s="37" t="str">
        <f>IFERROR(__xludf.DUMMYFUNCTION("if(not(iserror(index(split(C284, "" ""),2))), index(split(C284, "" ""),1),"""")"),"July")</f>
        <v>July</v>
      </c>
      <c r="T284" s="38">
        <f>IFERROR(__xludf.DUMMYFUNCTION("if(S284="""",C284,if(not(iserror(index(split(C284, "" ""),3))), index(split(C284, "" ""),3),index(split(C284, "" ""),2)))"),2017.0)</f>
        <v>2017</v>
      </c>
      <c r="U284" s="38" t="b">
        <f t="shared" si="34"/>
        <v>0</v>
      </c>
      <c r="V284" s="38"/>
      <c r="W284" s="40"/>
      <c r="X284" s="40"/>
      <c r="Y284" s="40"/>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row>
    <row r="285">
      <c r="A285" s="37" t="s">
        <v>998</v>
      </c>
      <c r="B285" s="30"/>
      <c r="C285" s="30">
        <v>42935.0</v>
      </c>
      <c r="D285" s="32"/>
      <c r="E285" s="13" t="s">
        <v>41</v>
      </c>
      <c r="F285" s="13">
        <v>1.0</v>
      </c>
      <c r="G285" s="13" t="s">
        <v>32</v>
      </c>
      <c r="H285" s="43">
        <v>1.0</v>
      </c>
      <c r="I285" s="13" t="s">
        <v>33</v>
      </c>
      <c r="J285" s="13" t="s">
        <v>524</v>
      </c>
      <c r="K285" s="13"/>
      <c r="L285" s="13" t="s">
        <v>76</v>
      </c>
      <c r="M285" s="35" t="s">
        <v>999</v>
      </c>
      <c r="N285" s="15"/>
      <c r="O285" s="16"/>
      <c r="P285" s="16"/>
      <c r="Q285" s="16"/>
      <c r="R285" s="16"/>
      <c r="S285" s="37"/>
      <c r="T285" s="38"/>
      <c r="U285" s="38" t="b">
        <f t="shared" si="34"/>
        <v>1</v>
      </c>
      <c r="V285" s="38" t="s">
        <v>33</v>
      </c>
      <c r="W285" s="40"/>
      <c r="X285" s="40"/>
      <c r="Y285" s="40"/>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row>
    <row r="286">
      <c r="A286" s="37" t="s">
        <v>1000</v>
      </c>
      <c r="B286" s="30">
        <v>42942.0</v>
      </c>
      <c r="C286" s="30">
        <v>42935.0</v>
      </c>
      <c r="D286" s="32" t="s">
        <v>1001</v>
      </c>
      <c r="E286" s="13" t="s">
        <v>31</v>
      </c>
      <c r="F286" s="13">
        <v>2.0</v>
      </c>
      <c r="G286" s="13" t="s">
        <v>32</v>
      </c>
      <c r="H286" s="33">
        <f t="shared" ref="H286:H287" si="40">if(G286="Unknown",1,G286)</f>
        <v>1</v>
      </c>
      <c r="I286" s="13" t="s">
        <v>33</v>
      </c>
      <c r="J286" s="13" t="s">
        <v>162</v>
      </c>
      <c r="K286" s="13">
        <v>1.0</v>
      </c>
      <c r="L286" s="13" t="s">
        <v>1002</v>
      </c>
      <c r="M286" s="35" t="s">
        <v>1003</v>
      </c>
      <c r="N286" s="15"/>
      <c r="O286" s="16"/>
      <c r="P286" s="16"/>
      <c r="Q286" s="16"/>
      <c r="R286" s="16"/>
      <c r="S286" s="37" t="str">
        <f>IFERROR(__xludf.DUMMYFUNCTION("if(not(iserror(index(split(C286, "" ""),2))), index(split(C286, "" ""),1),"""")"),"July")</f>
        <v>July</v>
      </c>
      <c r="T286" s="38">
        <f>IFERROR(__xludf.DUMMYFUNCTION("if(S286="""",C286,if(not(iserror(index(split(C286, "" ""),3))), index(split(C286, "" ""),3),index(split(C286, "" ""),2)))"),2017.0)</f>
        <v>2017</v>
      </c>
      <c r="U286" s="38" t="b">
        <f t="shared" si="34"/>
        <v>0</v>
      </c>
      <c r="V286" s="38"/>
      <c r="W286" s="40"/>
      <c r="X286" s="40"/>
      <c r="Y286" s="40"/>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row>
    <row r="287">
      <c r="A287" s="13" t="s">
        <v>1004</v>
      </c>
      <c r="B287" s="30">
        <v>42937.0</v>
      </c>
      <c r="C287" s="30">
        <v>42936.0</v>
      </c>
      <c r="D287" s="32" t="s">
        <v>1005</v>
      </c>
      <c r="E287" s="13" t="s">
        <v>41</v>
      </c>
      <c r="F287" s="13">
        <v>1.0</v>
      </c>
      <c r="G287" s="13" t="s">
        <v>32</v>
      </c>
      <c r="H287" s="33">
        <f t="shared" si="40"/>
        <v>1</v>
      </c>
      <c r="I287" s="13" t="s">
        <v>33</v>
      </c>
      <c r="J287" s="13" t="s">
        <v>179</v>
      </c>
      <c r="K287" s="13" t="s">
        <v>32</v>
      </c>
      <c r="L287" s="13" t="s">
        <v>99</v>
      </c>
      <c r="M287" s="35" t="s">
        <v>1006</v>
      </c>
      <c r="N287" s="15"/>
      <c r="O287" s="16"/>
      <c r="P287" s="16"/>
      <c r="Q287" s="16"/>
      <c r="R287" s="16"/>
      <c r="S287" s="37" t="str">
        <f>IFERROR(__xludf.DUMMYFUNCTION("if(not(iserror(index(split(C287, "" ""),2))), index(split(C287, "" ""),1),"""")"),"July")</f>
        <v>July</v>
      </c>
      <c r="T287" s="38">
        <f>IFERROR(__xludf.DUMMYFUNCTION("if(S287="""",C287,if(not(iserror(index(split(C287, "" ""),3))), index(split(C287, "" ""),3),index(split(C287, "" ""),2)))"),2017.0)</f>
        <v>2017</v>
      </c>
      <c r="U287" s="38" t="b">
        <f t="shared" si="34"/>
        <v>0</v>
      </c>
      <c r="V287" s="38"/>
      <c r="W287" s="40"/>
      <c r="X287" s="40"/>
      <c r="Y287" s="40"/>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row>
    <row r="288">
      <c r="A288" s="87" t="s">
        <v>1007</v>
      </c>
      <c r="B288" s="30"/>
      <c r="C288" s="30">
        <v>42937.0</v>
      </c>
      <c r="D288" s="32"/>
      <c r="E288" s="13" t="s">
        <v>41</v>
      </c>
      <c r="F288" s="13">
        <v>1.0</v>
      </c>
      <c r="G288" s="13">
        <v>2.0</v>
      </c>
      <c r="H288" s="43">
        <v>2.0</v>
      </c>
      <c r="I288" s="13" t="s">
        <v>33</v>
      </c>
      <c r="J288" s="13" t="s">
        <v>115</v>
      </c>
      <c r="K288" s="13"/>
      <c r="L288" s="13" t="s">
        <v>76</v>
      </c>
      <c r="M288" s="122" t="s">
        <v>1008</v>
      </c>
      <c r="N288" s="36" t="s">
        <v>1009</v>
      </c>
      <c r="O288" s="16"/>
      <c r="P288" s="16"/>
      <c r="Q288" s="16"/>
      <c r="R288" s="16"/>
      <c r="S288" s="37" t="str">
        <f>IFERROR(__xludf.DUMMYFUNCTION("if(not(iserror(index(split(C288, "" ""),2))), index(split(C288, "" ""),1),"""")"),"July")</f>
        <v>July</v>
      </c>
      <c r="T288" s="38">
        <f>IFERROR(__xludf.DUMMYFUNCTION("if(S288="""",C288,if(not(iserror(index(split(C288, "" ""),3))), index(split(C288, "" ""),3),index(split(C288, "" ""),2)))"),2017.0)</f>
        <v>2017</v>
      </c>
      <c r="U288" s="38" t="b">
        <f t="shared" si="34"/>
        <v>0</v>
      </c>
      <c r="V288" s="38" t="s">
        <v>33</v>
      </c>
      <c r="W288" s="40"/>
      <c r="X288" s="40"/>
      <c r="Y288" s="40"/>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row>
    <row r="289">
      <c r="A289" s="13" t="s">
        <v>1010</v>
      </c>
      <c r="B289" s="30">
        <v>42937.0</v>
      </c>
      <c r="C289" s="30">
        <v>42937.0</v>
      </c>
      <c r="D289" s="32" t="s">
        <v>1011</v>
      </c>
      <c r="E289" s="13" t="s">
        <v>31</v>
      </c>
      <c r="F289" s="13">
        <v>2.0</v>
      </c>
      <c r="G289" s="13" t="s">
        <v>32</v>
      </c>
      <c r="H289" s="33">
        <f t="shared" ref="H289:H290" si="41">if(G289="Unknown",1,G289)</f>
        <v>1</v>
      </c>
      <c r="I289" s="13" t="s">
        <v>33</v>
      </c>
      <c r="J289" s="13" t="s">
        <v>61</v>
      </c>
      <c r="K289" s="13">
        <v>9.0</v>
      </c>
      <c r="L289" s="13" t="s">
        <v>1012</v>
      </c>
      <c r="M289" s="35" t="s">
        <v>1013</v>
      </c>
      <c r="N289" s="15"/>
      <c r="O289" s="16"/>
      <c r="P289" s="16"/>
      <c r="Q289" s="16"/>
      <c r="R289" s="16"/>
      <c r="S289" s="37" t="str">
        <f>IFERROR(__xludf.DUMMYFUNCTION("if(not(iserror(index(split(C289, "" ""),2))), index(split(C289, "" ""),1),"""")"),"July")</f>
        <v>July</v>
      </c>
      <c r="T289" s="38">
        <f>IFERROR(__xludf.DUMMYFUNCTION("if(S289="""",C289,if(not(iserror(index(split(C289, "" ""),3))), index(split(C289, "" ""),3),index(split(C289, "" ""),2)))"),2017.0)</f>
        <v>2017</v>
      </c>
      <c r="U289" s="38" t="b">
        <f t="shared" si="34"/>
        <v>0</v>
      </c>
      <c r="V289" s="38"/>
      <c r="W289" s="40"/>
      <c r="X289" s="40"/>
      <c r="Y289" s="40"/>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row>
    <row r="290">
      <c r="A290" s="13" t="s">
        <v>1014</v>
      </c>
      <c r="B290" s="30">
        <v>42940.0</v>
      </c>
      <c r="C290" s="30">
        <v>42937.0</v>
      </c>
      <c r="D290" s="32" t="s">
        <v>1011</v>
      </c>
      <c r="E290" s="13" t="s">
        <v>31</v>
      </c>
      <c r="F290" s="13">
        <v>1.0</v>
      </c>
      <c r="G290" s="13" t="s">
        <v>32</v>
      </c>
      <c r="H290" s="33">
        <f t="shared" si="41"/>
        <v>1</v>
      </c>
      <c r="I290" s="13" t="s">
        <v>33</v>
      </c>
      <c r="J290" s="13" t="s">
        <v>162</v>
      </c>
      <c r="K290" s="13">
        <v>1.0</v>
      </c>
      <c r="L290" s="13" t="s">
        <v>790</v>
      </c>
      <c r="M290" s="35" t="s">
        <v>1015</v>
      </c>
      <c r="N290" s="15"/>
      <c r="O290" s="16"/>
      <c r="P290" s="16"/>
      <c r="Q290" s="16"/>
      <c r="R290" s="16"/>
      <c r="S290" s="37" t="str">
        <f>IFERROR(__xludf.DUMMYFUNCTION("if(not(iserror(index(split(C290, "" ""),2))), index(split(C290, "" ""),1),"""")"),"July")</f>
        <v>July</v>
      </c>
      <c r="T290" s="38">
        <f>IFERROR(__xludf.DUMMYFUNCTION("if(S290="""",C290,if(not(iserror(index(split(C290, "" ""),3))), index(split(C290, "" ""),3),index(split(C290, "" ""),2)))"),2017.0)</f>
        <v>2017</v>
      </c>
      <c r="U290" s="38" t="b">
        <f t="shared" si="34"/>
        <v>0</v>
      </c>
      <c r="V290" s="38"/>
      <c r="W290" s="40"/>
      <c r="X290" s="40"/>
      <c r="Y290" s="40"/>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row>
    <row r="291">
      <c r="A291" s="34" t="s">
        <v>1016</v>
      </c>
      <c r="B291" s="73"/>
      <c r="C291" s="73">
        <v>42938.0</v>
      </c>
      <c r="D291" s="75"/>
      <c r="E291" s="34" t="s">
        <v>41</v>
      </c>
      <c r="F291" s="34">
        <v>1.0</v>
      </c>
      <c r="G291" s="34" t="s">
        <v>32</v>
      </c>
      <c r="H291" s="43">
        <v>1.0</v>
      </c>
      <c r="I291" s="34" t="s">
        <v>33</v>
      </c>
      <c r="J291" s="34" t="s">
        <v>47</v>
      </c>
      <c r="K291" s="34"/>
      <c r="L291" s="34" t="s">
        <v>119</v>
      </c>
      <c r="M291" s="76" t="s">
        <v>1017</v>
      </c>
      <c r="N291" s="80"/>
      <c r="O291" s="83" t="str">
        <f>hyperlink("https://bad-boys.us/?q=MD-FL/6:18-cr-00020", "MD-FL 6:18-cr-00020")</f>
        <v>MD-FL 6:18-cr-00020</v>
      </c>
      <c r="P291" s="88" t="s">
        <v>1018</v>
      </c>
      <c r="Q291" s="58">
        <v>1.0</v>
      </c>
      <c r="R291" s="62"/>
      <c r="S291" s="37" t="str">
        <f>IFERROR(__xludf.DUMMYFUNCTION("if(not(iserror(index(split(C291, "" ""),2))), index(split(C291, "" ""),1),"""")"),"July")</f>
        <v>July</v>
      </c>
      <c r="T291" s="38">
        <f>IFERROR(__xludf.DUMMYFUNCTION("if(S291="""",C291,if(not(iserror(index(split(C291, "" ""),3))), index(split(C291, "" ""),3),index(split(C291, "" ""),2)))"),2017.0)</f>
        <v>2017</v>
      </c>
      <c r="U291" s="38" t="b">
        <f t="shared" si="34"/>
        <v>0</v>
      </c>
      <c r="V291" s="38" t="s">
        <v>33</v>
      </c>
      <c r="W291" s="40"/>
      <c r="X291" s="39" t="s">
        <v>1019</v>
      </c>
      <c r="Y291" s="40"/>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row>
    <row r="292">
      <c r="A292" s="34" t="s">
        <v>1020</v>
      </c>
      <c r="B292" s="73">
        <v>43210.0</v>
      </c>
      <c r="C292" s="73">
        <v>42939.0</v>
      </c>
      <c r="D292" s="75" t="s">
        <v>1021</v>
      </c>
      <c r="E292" s="34" t="s">
        <v>41</v>
      </c>
      <c r="F292" s="34">
        <v>1.0</v>
      </c>
      <c r="G292" s="34" t="s">
        <v>32</v>
      </c>
      <c r="H292" s="33">
        <f t="shared" ref="H292:H305" si="42">if(G292="Unknown",1,G292)</f>
        <v>1</v>
      </c>
      <c r="I292" s="34" t="s">
        <v>33</v>
      </c>
      <c r="J292" s="34" t="s">
        <v>147</v>
      </c>
      <c r="K292" s="34">
        <v>3.0</v>
      </c>
      <c r="L292" s="34" t="s">
        <v>194</v>
      </c>
      <c r="M292" s="76" t="s">
        <v>1022</v>
      </c>
      <c r="N292" s="61" t="s">
        <v>1023</v>
      </c>
      <c r="O292" s="62"/>
      <c r="P292" s="62"/>
      <c r="Q292" s="84"/>
      <c r="R292" s="62"/>
      <c r="S292" s="37" t="str">
        <f>IFERROR(__xludf.DUMMYFUNCTION("if(not(iserror(index(split(C292, "" ""),2))), index(split(C292, "" ""),1),"""")"),"July")</f>
        <v>July</v>
      </c>
      <c r="T292" s="38">
        <f>IFERROR(__xludf.DUMMYFUNCTION("if(S292="""",C292,if(not(iserror(index(split(C292, "" ""),3))), index(split(C292, "" ""),3),index(split(C292, "" ""),2)))"),2017.0)</f>
        <v>2017</v>
      </c>
      <c r="U292" s="38" t="b">
        <f t="shared" si="34"/>
        <v>0</v>
      </c>
      <c r="V292" s="38"/>
      <c r="W292" s="40"/>
      <c r="X292" s="40"/>
      <c r="Y292" s="40"/>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row>
    <row r="293">
      <c r="A293" s="13" t="s">
        <v>1024</v>
      </c>
      <c r="B293" s="30">
        <v>42998.0</v>
      </c>
      <c r="C293" s="30">
        <v>42940.0</v>
      </c>
      <c r="D293" s="32" t="s">
        <v>1025</v>
      </c>
      <c r="E293" s="13" t="s">
        <v>31</v>
      </c>
      <c r="F293" s="13">
        <v>1.0</v>
      </c>
      <c r="G293" s="13" t="s">
        <v>32</v>
      </c>
      <c r="H293" s="33">
        <f t="shared" si="42"/>
        <v>1</v>
      </c>
      <c r="I293" s="13" t="s">
        <v>33</v>
      </c>
      <c r="J293" s="13" t="s">
        <v>147</v>
      </c>
      <c r="K293" s="13" t="s">
        <v>32</v>
      </c>
      <c r="L293" s="34" t="s">
        <v>194</v>
      </c>
      <c r="M293" s="35" t="s">
        <v>1026</v>
      </c>
      <c r="N293" s="15"/>
      <c r="O293" s="16"/>
      <c r="P293" s="16"/>
      <c r="Q293" s="16"/>
      <c r="R293" s="16"/>
      <c r="S293" s="37" t="str">
        <f>IFERROR(__xludf.DUMMYFUNCTION("if(not(iserror(index(split(C293, "" ""),2))), index(split(C293, "" ""),1),"""")"),"July")</f>
        <v>July</v>
      </c>
      <c r="T293" s="38">
        <f>IFERROR(__xludf.DUMMYFUNCTION("if(S293="""",C293,if(not(iserror(index(split(C293, "" ""),3))), index(split(C293, "" ""),3),index(split(C293, "" ""),2)))"),2017.0)</f>
        <v>2017</v>
      </c>
      <c r="U293" s="38" t="b">
        <f t="shared" si="34"/>
        <v>0</v>
      </c>
      <c r="V293" s="38"/>
      <c r="W293" s="40"/>
      <c r="X293" s="40"/>
      <c r="Y293" s="40"/>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row>
    <row r="294">
      <c r="A294" s="13" t="s">
        <v>1027</v>
      </c>
      <c r="B294" s="30">
        <v>42943.0</v>
      </c>
      <c r="C294" s="30">
        <v>42941.0</v>
      </c>
      <c r="D294" s="32" t="s">
        <v>1028</v>
      </c>
      <c r="E294" s="13" t="s">
        <v>31</v>
      </c>
      <c r="F294" s="13">
        <v>1.0</v>
      </c>
      <c r="G294" s="13" t="s">
        <v>32</v>
      </c>
      <c r="H294" s="33">
        <f t="shared" si="42"/>
        <v>1</v>
      </c>
      <c r="I294" s="13" t="s">
        <v>33</v>
      </c>
      <c r="J294" s="13" t="s">
        <v>111</v>
      </c>
      <c r="K294" s="13" t="s">
        <v>32</v>
      </c>
      <c r="L294" s="13" t="s">
        <v>1029</v>
      </c>
      <c r="M294" s="35" t="s">
        <v>1030</v>
      </c>
      <c r="N294" s="36" t="s">
        <v>1031</v>
      </c>
      <c r="O294" s="16"/>
      <c r="P294" s="16"/>
      <c r="Q294" s="37">
        <v>1.0</v>
      </c>
      <c r="R294" s="16"/>
      <c r="S294" s="37" t="str">
        <f>IFERROR(__xludf.DUMMYFUNCTION("if(not(iserror(index(split(C294, "" ""),2))), index(split(C294, "" ""),1),"""")"),"July")</f>
        <v>July</v>
      </c>
      <c r="T294" s="38">
        <f>IFERROR(__xludf.DUMMYFUNCTION("if(S294="""",C294,if(not(iserror(index(split(C294, "" ""),3))), index(split(C294, "" ""),3),index(split(C294, "" ""),2)))"),2017.0)</f>
        <v>2017</v>
      </c>
      <c r="U294" s="38" t="b">
        <f t="shared" si="34"/>
        <v>0</v>
      </c>
      <c r="V294" s="38" t="s">
        <v>33</v>
      </c>
      <c r="W294" s="39" t="s">
        <v>1032</v>
      </c>
      <c r="X294" s="39" t="s">
        <v>1033</v>
      </c>
      <c r="Y294" s="40"/>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row>
    <row r="295">
      <c r="A295" s="13" t="s">
        <v>1034</v>
      </c>
      <c r="B295" s="30">
        <v>42942.0</v>
      </c>
      <c r="C295" s="30">
        <v>42942.0</v>
      </c>
      <c r="D295" s="32" t="s">
        <v>1035</v>
      </c>
      <c r="E295" s="13" t="s">
        <v>31</v>
      </c>
      <c r="F295" s="13">
        <v>1.0</v>
      </c>
      <c r="G295" s="13" t="s">
        <v>32</v>
      </c>
      <c r="H295" s="33">
        <f t="shared" si="42"/>
        <v>1</v>
      </c>
      <c r="I295" s="13" t="s">
        <v>33</v>
      </c>
      <c r="J295" s="13" t="s">
        <v>93</v>
      </c>
      <c r="K295" s="13">
        <v>2.0</v>
      </c>
      <c r="L295" s="13" t="s">
        <v>119</v>
      </c>
      <c r="M295" s="46" t="s">
        <v>1036</v>
      </c>
      <c r="N295" s="35" t="s">
        <v>1037</v>
      </c>
      <c r="O295" s="16"/>
      <c r="P295" s="16"/>
      <c r="Q295" s="16"/>
      <c r="R295" s="16"/>
      <c r="S295" s="37" t="str">
        <f>IFERROR(__xludf.DUMMYFUNCTION("if(not(iserror(index(split(C295, "" ""),2))), index(split(C295, "" ""),1),"""")"),"July")</f>
        <v>July</v>
      </c>
      <c r="T295" s="38">
        <f>IFERROR(__xludf.DUMMYFUNCTION("if(S295="""",C295,if(not(iserror(index(split(C295, "" ""),3))), index(split(C295, "" ""),3),index(split(C295, "" ""),2)))"),2017.0)</f>
        <v>2017</v>
      </c>
      <c r="U295" s="38" t="b">
        <f t="shared" si="34"/>
        <v>0</v>
      </c>
      <c r="V295" s="38" t="s">
        <v>33</v>
      </c>
      <c r="W295" s="46" t="s">
        <v>1038</v>
      </c>
      <c r="X295" s="46" t="s">
        <v>1039</v>
      </c>
      <c r="Y295" s="40"/>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row>
    <row r="296">
      <c r="A296" s="37" t="s">
        <v>1040</v>
      </c>
      <c r="B296" s="30">
        <v>42943.0</v>
      </c>
      <c r="C296" s="30">
        <v>42943.0</v>
      </c>
      <c r="D296" s="32" t="s">
        <v>1041</v>
      </c>
      <c r="E296" s="13" t="s">
        <v>31</v>
      </c>
      <c r="F296" s="13">
        <v>2.0</v>
      </c>
      <c r="G296" s="13" t="s">
        <v>32</v>
      </c>
      <c r="H296" s="33">
        <f t="shared" si="42"/>
        <v>1</v>
      </c>
      <c r="I296" s="13" t="s">
        <v>33</v>
      </c>
      <c r="J296" s="13" t="s">
        <v>268</v>
      </c>
      <c r="K296" s="13">
        <v>3.0</v>
      </c>
      <c r="L296" s="13" t="s">
        <v>1042</v>
      </c>
      <c r="M296" s="35" t="s">
        <v>1043</v>
      </c>
      <c r="N296" s="15"/>
      <c r="O296" s="16"/>
      <c r="P296" s="16"/>
      <c r="Q296" s="16"/>
      <c r="R296" s="16"/>
      <c r="S296" s="37" t="str">
        <f>IFERROR(__xludf.DUMMYFUNCTION("if(not(iserror(index(split(C296, "" ""),2))), index(split(C296, "" ""),1),"""")"),"July")</f>
        <v>July</v>
      </c>
      <c r="T296" s="38">
        <f>IFERROR(__xludf.DUMMYFUNCTION("if(S296="""",C296,if(not(iserror(index(split(C296, "" ""),3))), index(split(C296, "" ""),3),index(split(C296, "" ""),2)))"),2017.0)</f>
        <v>2017</v>
      </c>
      <c r="U296" s="38" t="b">
        <f t="shared" si="34"/>
        <v>0</v>
      </c>
      <c r="V296" s="38"/>
      <c r="W296" s="40"/>
      <c r="X296" s="40"/>
      <c r="Y296" s="40"/>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row>
    <row r="297">
      <c r="A297" s="13" t="s">
        <v>40</v>
      </c>
      <c r="B297" s="30">
        <v>42943.0</v>
      </c>
      <c r="C297" s="30">
        <v>42943.0</v>
      </c>
      <c r="D297" s="32" t="s">
        <v>1041</v>
      </c>
      <c r="E297" s="13" t="s">
        <v>31</v>
      </c>
      <c r="F297" s="13">
        <v>3.0</v>
      </c>
      <c r="G297" s="13">
        <v>54.0</v>
      </c>
      <c r="H297" s="33">
        <f t="shared" si="42"/>
        <v>54</v>
      </c>
      <c r="I297" s="13" t="s">
        <v>33</v>
      </c>
      <c r="J297" s="13" t="s">
        <v>111</v>
      </c>
      <c r="K297" s="13">
        <v>1.0</v>
      </c>
      <c r="L297" s="13" t="s">
        <v>1044</v>
      </c>
      <c r="M297" s="35" t="s">
        <v>1045</v>
      </c>
      <c r="N297" s="15"/>
      <c r="O297" s="16"/>
      <c r="P297" s="16"/>
      <c r="Q297" s="16"/>
      <c r="R297" s="16"/>
      <c r="S297" s="37" t="str">
        <f>IFERROR(__xludf.DUMMYFUNCTION("if(not(iserror(index(split(C297, "" ""),2))), index(split(C297, "" ""),1),"""")"),"July")</f>
        <v>July</v>
      </c>
      <c r="T297" s="38">
        <f>IFERROR(__xludf.DUMMYFUNCTION("if(S297="""",C297,if(not(iserror(index(split(C297, "" ""),3))), index(split(C297, "" ""),3),index(split(C297, "" ""),2)))"),2017.0)</f>
        <v>2017</v>
      </c>
      <c r="U297" s="38" t="b">
        <f t="shared" si="34"/>
        <v>1</v>
      </c>
      <c r="V297" s="38"/>
      <c r="W297" s="40"/>
      <c r="X297" s="40"/>
      <c r="Y297" s="40"/>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row>
    <row r="298">
      <c r="A298" s="13" t="s">
        <v>40</v>
      </c>
      <c r="B298" s="30">
        <v>42943.0</v>
      </c>
      <c r="C298" s="30">
        <v>42943.0</v>
      </c>
      <c r="D298" s="32" t="s">
        <v>1041</v>
      </c>
      <c r="E298" s="13" t="s">
        <v>41</v>
      </c>
      <c r="F298" s="13">
        <v>3.0</v>
      </c>
      <c r="G298" s="13" t="s">
        <v>32</v>
      </c>
      <c r="H298" s="33">
        <f t="shared" si="42"/>
        <v>1</v>
      </c>
      <c r="I298" s="13" t="s">
        <v>33</v>
      </c>
      <c r="J298" s="13" t="s">
        <v>147</v>
      </c>
      <c r="K298" s="13" t="s">
        <v>32</v>
      </c>
      <c r="L298" s="13" t="s">
        <v>1046</v>
      </c>
      <c r="M298" s="35" t="s">
        <v>1047</v>
      </c>
      <c r="N298" s="15"/>
      <c r="O298" s="16"/>
      <c r="P298" s="16"/>
      <c r="Q298" s="16"/>
      <c r="R298" s="16"/>
      <c r="S298" s="37" t="str">
        <f>IFERROR(__xludf.DUMMYFUNCTION("if(not(iserror(index(split(C298, "" ""),2))), index(split(C298, "" ""),1),"""")"),"July")</f>
        <v>July</v>
      </c>
      <c r="T298" s="38">
        <f>IFERROR(__xludf.DUMMYFUNCTION("if(S298="""",C298,if(not(iserror(index(split(C298, "" ""),3))), index(split(C298, "" ""),3),index(split(C298, "" ""),2)))"),2017.0)</f>
        <v>2017</v>
      </c>
      <c r="U298" s="38" t="b">
        <f t="shared" si="34"/>
        <v>1</v>
      </c>
      <c r="V298" s="38"/>
      <c r="W298" s="40"/>
      <c r="X298" s="40"/>
      <c r="Y298" s="40"/>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row>
    <row r="299">
      <c r="A299" s="58" t="s">
        <v>1048</v>
      </c>
      <c r="B299" s="59">
        <v>43418.0</v>
      </c>
      <c r="C299" s="59">
        <v>42943.0</v>
      </c>
      <c r="D299" s="60" t="s">
        <v>1041</v>
      </c>
      <c r="E299" s="58" t="s">
        <v>41</v>
      </c>
      <c r="F299" s="58">
        <v>1.0</v>
      </c>
      <c r="G299" s="58" t="s">
        <v>32</v>
      </c>
      <c r="H299" s="33">
        <f t="shared" si="42"/>
        <v>1</v>
      </c>
      <c r="I299" s="58" t="s">
        <v>33</v>
      </c>
      <c r="J299" s="58" t="s">
        <v>279</v>
      </c>
      <c r="K299" s="58">
        <v>1.0</v>
      </c>
      <c r="L299" s="58" t="s">
        <v>76</v>
      </c>
      <c r="M299" s="61" t="s">
        <v>1049</v>
      </c>
      <c r="N299" s="61" t="s">
        <v>1050</v>
      </c>
      <c r="O299" s="62"/>
      <c r="P299" s="62"/>
      <c r="Q299" s="62"/>
      <c r="R299" s="62"/>
      <c r="S299" s="37" t="str">
        <f>IFERROR(__xludf.DUMMYFUNCTION("if(not(iserror(index(split(C299, "" ""),2))), index(split(C299, "" ""),1),"""")"),"July")</f>
        <v>July</v>
      </c>
      <c r="T299" s="38">
        <f>IFERROR(__xludf.DUMMYFUNCTION("if(S299="""",C299,if(not(iserror(index(split(C299, "" ""),3))), index(split(C299, "" ""),3),index(split(C299, "" ""),2)))"),2017.0)</f>
        <v>2017</v>
      </c>
      <c r="U299" s="38" t="b">
        <f t="shared" si="34"/>
        <v>0</v>
      </c>
      <c r="V299" s="38"/>
      <c r="W299" s="40"/>
      <c r="X299" s="40"/>
      <c r="Y299" s="40"/>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row>
    <row r="300">
      <c r="A300" s="87" t="s">
        <v>1051</v>
      </c>
      <c r="B300" s="59">
        <v>43390.0</v>
      </c>
      <c r="C300" s="59">
        <v>42944.0</v>
      </c>
      <c r="D300" s="60" t="s">
        <v>1052</v>
      </c>
      <c r="E300" s="58" t="s">
        <v>41</v>
      </c>
      <c r="F300" s="58">
        <v>1.0</v>
      </c>
      <c r="G300" s="58" t="s">
        <v>32</v>
      </c>
      <c r="H300" s="33">
        <f t="shared" si="42"/>
        <v>1</v>
      </c>
      <c r="I300" s="58" t="s">
        <v>33</v>
      </c>
      <c r="J300" s="58" t="s">
        <v>184</v>
      </c>
      <c r="K300" s="58">
        <v>4.0</v>
      </c>
      <c r="L300" s="58" t="s">
        <v>119</v>
      </c>
      <c r="M300" s="61" t="s">
        <v>1053</v>
      </c>
      <c r="N300" s="61" t="s">
        <v>1054</v>
      </c>
      <c r="O300" s="58"/>
      <c r="P300" s="58"/>
      <c r="Q300" s="84"/>
      <c r="R300" s="62"/>
      <c r="S300" s="37" t="str">
        <f>IFERROR(__xludf.DUMMYFUNCTION("if(not(iserror(index(split(C300, "" ""),2))), index(split(C300, "" ""),1),"""")"),"July")</f>
        <v>July</v>
      </c>
      <c r="T300" s="38">
        <f>IFERROR(__xludf.DUMMYFUNCTION("if(S300="""",C300,if(not(iserror(index(split(C300, "" ""),3))), index(split(C300, "" ""),3),index(split(C300, "" ""),2)))"),2017.0)</f>
        <v>2017</v>
      </c>
      <c r="U300" s="38" t="b">
        <f t="shared" si="34"/>
        <v>0</v>
      </c>
      <c r="V300" s="38"/>
      <c r="W300" s="40"/>
      <c r="X300" s="40"/>
      <c r="Y300" s="40"/>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row>
    <row r="301">
      <c r="A301" s="90" t="s">
        <v>239</v>
      </c>
      <c r="B301" s="30">
        <v>42950.0</v>
      </c>
      <c r="C301" s="30">
        <v>42947.0</v>
      </c>
      <c r="D301" s="32" t="s">
        <v>887</v>
      </c>
      <c r="E301" s="13" t="s">
        <v>41</v>
      </c>
      <c r="F301" s="13">
        <v>1.0</v>
      </c>
      <c r="G301" s="13">
        <v>6.0</v>
      </c>
      <c r="H301" s="33">
        <f t="shared" si="42"/>
        <v>6</v>
      </c>
      <c r="I301" s="13" t="s">
        <v>33</v>
      </c>
      <c r="J301" s="13" t="s">
        <v>111</v>
      </c>
      <c r="K301" s="13">
        <v>1.0</v>
      </c>
      <c r="L301" s="13" t="s">
        <v>194</v>
      </c>
      <c r="M301" s="35" t="s">
        <v>1055</v>
      </c>
      <c r="N301" s="14"/>
      <c r="O301" s="16"/>
      <c r="P301" s="16"/>
      <c r="Q301" s="16"/>
      <c r="R301" s="16"/>
      <c r="S301" s="37" t="str">
        <f>IFERROR(__xludf.DUMMYFUNCTION("if(not(iserror(index(split(C301, "" ""),2))), index(split(C301, "" ""),1),"""")"),"July")</f>
        <v>July</v>
      </c>
      <c r="T301" s="38">
        <f>IFERROR(__xludf.DUMMYFUNCTION("if(S301="""",C301,if(not(iserror(index(split(C301, "" ""),3))), index(split(C301, "" ""),3),index(split(C301, "" ""),2)))"),2017.0)</f>
        <v>2017</v>
      </c>
      <c r="U301" s="38" t="b">
        <f t="shared" si="34"/>
        <v>1</v>
      </c>
      <c r="V301" s="38"/>
      <c r="W301" s="40"/>
      <c r="X301" s="40"/>
      <c r="Y301" s="40"/>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row>
    <row r="302">
      <c r="A302" s="13" t="s">
        <v>40</v>
      </c>
      <c r="B302" s="30">
        <v>42962.0</v>
      </c>
      <c r="C302" s="30">
        <v>42947.0</v>
      </c>
      <c r="D302" s="32" t="s">
        <v>1056</v>
      </c>
      <c r="E302" s="13" t="s">
        <v>31</v>
      </c>
      <c r="F302" s="13">
        <v>11.0</v>
      </c>
      <c r="G302" s="13" t="s">
        <v>32</v>
      </c>
      <c r="H302" s="33">
        <f t="shared" si="42"/>
        <v>1</v>
      </c>
      <c r="I302" s="13" t="s">
        <v>33</v>
      </c>
      <c r="J302" s="13" t="s">
        <v>89</v>
      </c>
      <c r="K302" s="13" t="s">
        <v>32</v>
      </c>
      <c r="L302" s="13" t="s">
        <v>1057</v>
      </c>
      <c r="M302" s="35" t="s">
        <v>1058</v>
      </c>
      <c r="N302" s="15"/>
      <c r="O302" s="16"/>
      <c r="P302" s="16"/>
      <c r="Q302" s="16"/>
      <c r="R302" s="16"/>
      <c r="S302" s="37" t="str">
        <f>IFERROR(__xludf.DUMMYFUNCTION("if(not(iserror(index(split(C302, "" ""),2))), index(split(C302, "" ""),1),"""")"),"July")</f>
        <v>July</v>
      </c>
      <c r="T302" s="38">
        <f>IFERROR(__xludf.DUMMYFUNCTION("if(S302="""",C302,if(not(iserror(index(split(C302, "" ""),3))), index(split(C302, "" ""),3),index(split(C302, "" ""),2)))"),2017.0)</f>
        <v>2017</v>
      </c>
      <c r="U302" s="38" t="b">
        <f t="shared" si="34"/>
        <v>1</v>
      </c>
      <c r="V302" s="38"/>
      <c r="W302" s="40"/>
      <c r="X302" s="40"/>
      <c r="Y302" s="40"/>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row>
    <row r="303">
      <c r="A303" s="13" t="s">
        <v>40</v>
      </c>
      <c r="B303" s="30">
        <v>42958.0</v>
      </c>
      <c r="C303" s="31">
        <v>42948.0</v>
      </c>
      <c r="D303" s="32" t="s">
        <v>507</v>
      </c>
      <c r="E303" s="13" t="s">
        <v>41</v>
      </c>
      <c r="F303" s="13">
        <v>12.0</v>
      </c>
      <c r="G303" s="13" t="s">
        <v>32</v>
      </c>
      <c r="H303" s="33">
        <f t="shared" si="42"/>
        <v>1</v>
      </c>
      <c r="I303" s="13" t="s">
        <v>33</v>
      </c>
      <c r="J303" s="13" t="s">
        <v>147</v>
      </c>
      <c r="K303" s="13">
        <v>8.0</v>
      </c>
      <c r="L303" s="13" t="s">
        <v>1059</v>
      </c>
      <c r="M303" s="35" t="s">
        <v>1060</v>
      </c>
      <c r="N303" s="15"/>
      <c r="O303" s="16"/>
      <c r="P303" s="16"/>
      <c r="Q303" s="16"/>
      <c r="R303" s="16"/>
      <c r="S303" s="37" t="str">
        <f>IFERROR(__xludf.DUMMYFUNCTION("if(not(iserror(index(split(C303, "" ""),2))), index(split(C303, "" ""),1),"""")"),"August,")</f>
        <v>August,</v>
      </c>
      <c r="T303" s="38">
        <f>IFERROR(__xludf.DUMMYFUNCTION("if(S303="""",C303,if(not(iserror(index(split(C303, "" ""),3))), index(split(C303, "" ""),3),index(split(C303, "" ""),2)))"),2017.0)</f>
        <v>2017</v>
      </c>
      <c r="U303" s="38" t="b">
        <f t="shared" si="34"/>
        <v>1</v>
      </c>
      <c r="V303" s="38"/>
      <c r="W303" s="40"/>
      <c r="X303" s="40"/>
      <c r="Y303" s="40"/>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row>
    <row r="304">
      <c r="A304" s="13" t="s">
        <v>40</v>
      </c>
      <c r="B304" s="30">
        <v>42965.0</v>
      </c>
      <c r="C304" s="30">
        <v>42948.0</v>
      </c>
      <c r="D304" s="32" t="s">
        <v>507</v>
      </c>
      <c r="E304" s="13" t="s">
        <v>41</v>
      </c>
      <c r="F304" s="13">
        <v>6.0</v>
      </c>
      <c r="G304" s="13" t="s">
        <v>32</v>
      </c>
      <c r="H304" s="33">
        <f t="shared" si="42"/>
        <v>1</v>
      </c>
      <c r="I304" s="13" t="s">
        <v>33</v>
      </c>
      <c r="J304" s="13" t="s">
        <v>203</v>
      </c>
      <c r="K304" s="13">
        <v>3.0</v>
      </c>
      <c r="L304" s="13" t="s">
        <v>1061</v>
      </c>
      <c r="M304" s="35" t="s">
        <v>1062</v>
      </c>
      <c r="N304" s="15"/>
      <c r="O304" s="16"/>
      <c r="P304" s="16"/>
      <c r="Q304" s="16"/>
      <c r="R304" s="16"/>
      <c r="S304" s="37" t="str">
        <f>IFERROR(__xludf.DUMMYFUNCTION("if(not(iserror(index(split(C304, "" ""),2))), index(split(C304, "" ""),1),"""")"),"August")</f>
        <v>August</v>
      </c>
      <c r="T304" s="38">
        <f>IFERROR(__xludf.DUMMYFUNCTION("if(S304="""",C304,if(not(iserror(index(split(C304, "" ""),3))), index(split(C304, "" ""),3),index(split(C304, "" ""),2)))"),2017.0)</f>
        <v>2017</v>
      </c>
      <c r="U304" s="38" t="b">
        <f t="shared" si="34"/>
        <v>1</v>
      </c>
      <c r="V304" s="38"/>
      <c r="W304" s="40"/>
      <c r="X304" s="40"/>
      <c r="Y304" s="40"/>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row>
    <row r="305">
      <c r="A305" s="13" t="s">
        <v>1063</v>
      </c>
      <c r="B305" s="30">
        <v>43038.0</v>
      </c>
      <c r="C305" s="31">
        <v>42948.0</v>
      </c>
      <c r="D305" s="32" t="s">
        <v>507</v>
      </c>
      <c r="E305" s="13" t="s">
        <v>41</v>
      </c>
      <c r="F305" s="13">
        <v>1.0</v>
      </c>
      <c r="G305" s="13" t="s">
        <v>32</v>
      </c>
      <c r="H305" s="33">
        <f t="shared" si="42"/>
        <v>1</v>
      </c>
      <c r="I305" s="13" t="s">
        <v>33</v>
      </c>
      <c r="J305" s="13" t="s">
        <v>162</v>
      </c>
      <c r="K305" s="13">
        <v>2.0</v>
      </c>
      <c r="L305" s="34" t="s">
        <v>35</v>
      </c>
      <c r="M305" s="35" t="s">
        <v>1064</v>
      </c>
      <c r="N305" s="15"/>
      <c r="O305" s="16"/>
      <c r="P305" s="16"/>
      <c r="Q305" s="16"/>
      <c r="R305" s="16"/>
      <c r="S305" s="37" t="str">
        <f>IFERROR(__xludf.DUMMYFUNCTION("if(not(iserror(index(split(C305, "" ""),2))), index(split(C305, "" ""),1),"""")"),"August,")</f>
        <v>August,</v>
      </c>
      <c r="T305" s="38">
        <f>IFERROR(__xludf.DUMMYFUNCTION("if(S305="""",C305,if(not(iserror(index(split(C305, "" ""),3))), index(split(C305, "" ""),3),index(split(C305, "" ""),2)))"),2017.0)</f>
        <v>2017</v>
      </c>
      <c r="U305" s="38" t="b">
        <f t="shared" si="34"/>
        <v>0</v>
      </c>
      <c r="V305" s="38"/>
      <c r="W305" s="40"/>
      <c r="X305" s="40"/>
      <c r="Y305" s="40"/>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row>
    <row r="306">
      <c r="A306" s="13" t="s">
        <v>1065</v>
      </c>
      <c r="B306" s="30"/>
      <c r="C306" s="31">
        <v>42948.0</v>
      </c>
      <c r="D306" s="32"/>
      <c r="E306" s="13" t="s">
        <v>41</v>
      </c>
      <c r="F306" s="13">
        <v>1.0</v>
      </c>
      <c r="G306" s="13" t="s">
        <v>32</v>
      </c>
      <c r="H306" s="43">
        <v>1.0</v>
      </c>
      <c r="I306" s="13" t="s">
        <v>33</v>
      </c>
      <c r="J306" s="13" t="s">
        <v>318</v>
      </c>
      <c r="K306" s="13"/>
      <c r="L306" s="34" t="s">
        <v>1066</v>
      </c>
      <c r="M306" s="35" t="s">
        <v>1067</v>
      </c>
      <c r="N306" s="15"/>
      <c r="O306" s="16"/>
      <c r="P306" s="16"/>
      <c r="Q306" s="16"/>
      <c r="R306" s="16"/>
      <c r="S306" s="37"/>
      <c r="T306" s="38"/>
      <c r="U306" s="38" t="b">
        <f t="shared" si="34"/>
        <v>0</v>
      </c>
      <c r="V306" s="38" t="s">
        <v>33</v>
      </c>
      <c r="W306" s="40"/>
      <c r="X306" s="40"/>
      <c r="Y306" s="40"/>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row>
    <row r="307">
      <c r="A307" s="13" t="s">
        <v>1068</v>
      </c>
      <c r="B307" s="30"/>
      <c r="C307" s="31">
        <v>42948.0</v>
      </c>
      <c r="D307" s="32"/>
      <c r="E307" s="13" t="s">
        <v>41</v>
      </c>
      <c r="F307" s="13">
        <v>1.0</v>
      </c>
      <c r="G307" s="13" t="s">
        <v>32</v>
      </c>
      <c r="H307" s="43">
        <v>1.0</v>
      </c>
      <c r="I307" s="13" t="s">
        <v>33</v>
      </c>
      <c r="J307" s="13" t="s">
        <v>318</v>
      </c>
      <c r="K307" s="13"/>
      <c r="L307" s="34" t="s">
        <v>1066</v>
      </c>
      <c r="M307" s="56" t="s">
        <v>1067</v>
      </c>
      <c r="N307" s="15"/>
      <c r="O307" s="16"/>
      <c r="P307" s="16"/>
      <c r="Q307" s="16"/>
      <c r="R307" s="16"/>
      <c r="S307" s="37"/>
      <c r="T307" s="38"/>
      <c r="U307" s="38" t="b">
        <f t="shared" si="34"/>
        <v>0</v>
      </c>
      <c r="V307" s="38" t="s">
        <v>33</v>
      </c>
      <c r="W307" s="40"/>
      <c r="X307" s="40"/>
      <c r="Y307" s="40"/>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row>
    <row r="308">
      <c r="A308" s="13" t="s">
        <v>1069</v>
      </c>
      <c r="B308" s="30">
        <v>43172.0</v>
      </c>
      <c r="C308" s="31">
        <v>42948.0</v>
      </c>
      <c r="D308" s="32" t="s">
        <v>507</v>
      </c>
      <c r="E308" s="13" t="s">
        <v>41</v>
      </c>
      <c r="F308" s="13">
        <v>1.0</v>
      </c>
      <c r="G308" s="13" t="s">
        <v>32</v>
      </c>
      <c r="H308" s="33">
        <f t="shared" ref="H308:H309" si="43">if(G308="Unknown",1,G308)</f>
        <v>1</v>
      </c>
      <c r="I308" s="13" t="s">
        <v>33</v>
      </c>
      <c r="J308" s="13" t="s">
        <v>222</v>
      </c>
      <c r="K308" s="13">
        <v>2.0</v>
      </c>
      <c r="L308" s="13" t="s">
        <v>99</v>
      </c>
      <c r="M308" s="35" t="s">
        <v>1070</v>
      </c>
      <c r="N308" s="15"/>
      <c r="O308" s="86" t="str">
        <f>hyperlink("https://bad-boys.us/?q=WD-WI/3:17-cr-00106", "WD-WI 3:17-cr-00106")</f>
        <v>WD-WI 3:17-cr-00106</v>
      </c>
      <c r="P308" s="86" t="s">
        <v>1071</v>
      </c>
      <c r="Q308" s="64">
        <v>1.0</v>
      </c>
      <c r="R308" s="16"/>
      <c r="S308" s="37" t="str">
        <f>IFERROR(__xludf.DUMMYFUNCTION("if(not(iserror(index(split(C308, "" ""),2))), index(split(C308, "" ""),1),"""")"),"August,")</f>
        <v>August,</v>
      </c>
      <c r="T308" s="38">
        <f>IFERROR(__xludf.DUMMYFUNCTION("if(S308="""",C308,if(not(iserror(index(split(C308, "" ""),3))), index(split(C308, "" ""),3),index(split(C308, "" ""),2)))"),2017.0)</f>
        <v>2017</v>
      </c>
      <c r="U308" s="38" t="b">
        <f t="shared" si="34"/>
        <v>0</v>
      </c>
      <c r="V308" s="38"/>
      <c r="W308" s="40"/>
      <c r="X308" s="40"/>
      <c r="Y308" s="40"/>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row>
    <row r="309">
      <c r="A309" s="34" t="s">
        <v>1072</v>
      </c>
      <c r="B309" s="73">
        <v>43201.0</v>
      </c>
      <c r="C309" s="74">
        <v>42948.0</v>
      </c>
      <c r="D309" s="75" t="s">
        <v>507</v>
      </c>
      <c r="E309" s="34" t="s">
        <v>41</v>
      </c>
      <c r="F309" s="34">
        <v>1.0</v>
      </c>
      <c r="G309" s="34" t="s">
        <v>32</v>
      </c>
      <c r="H309" s="33">
        <f t="shared" si="43"/>
        <v>1</v>
      </c>
      <c r="I309" s="34" t="s">
        <v>33</v>
      </c>
      <c r="J309" s="34" t="s">
        <v>147</v>
      </c>
      <c r="K309" s="34" t="s">
        <v>40</v>
      </c>
      <c r="L309" s="34" t="s">
        <v>349</v>
      </c>
      <c r="M309" s="76" t="s">
        <v>1073</v>
      </c>
      <c r="N309" s="77"/>
      <c r="O309" s="62"/>
      <c r="P309" s="62"/>
      <c r="Q309" s="62"/>
      <c r="R309" s="62"/>
      <c r="S309" s="37" t="str">
        <f>IFERROR(__xludf.DUMMYFUNCTION("if(not(iserror(index(split(C309, "" ""),2))), index(split(C309, "" ""),1),"""")"),"August,")</f>
        <v>August,</v>
      </c>
      <c r="T309" s="38">
        <f>IFERROR(__xludf.DUMMYFUNCTION("if(S309="""",C309,if(not(iserror(index(split(C309, "" ""),3))), index(split(C309, "" ""),3),index(split(C309, "" ""),2)))"),2017.0)</f>
        <v>2017</v>
      </c>
      <c r="U309" s="38" t="b">
        <f t="shared" si="34"/>
        <v>0</v>
      </c>
      <c r="V309" s="38"/>
      <c r="W309" s="40"/>
      <c r="X309" s="40"/>
      <c r="Y309" s="40"/>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row>
    <row r="310">
      <c r="A310" s="58" t="s">
        <v>1074</v>
      </c>
      <c r="B310" s="59"/>
      <c r="C310" s="79">
        <v>42948.0</v>
      </c>
      <c r="D310" s="60"/>
      <c r="E310" s="58" t="s">
        <v>41</v>
      </c>
      <c r="F310" s="58">
        <v>1.0</v>
      </c>
      <c r="G310" s="58" t="s">
        <v>32</v>
      </c>
      <c r="H310" s="43">
        <v>1.0</v>
      </c>
      <c r="I310" s="58" t="s">
        <v>33</v>
      </c>
      <c r="J310" s="58" t="s">
        <v>147</v>
      </c>
      <c r="K310" s="58"/>
      <c r="L310" s="58" t="s">
        <v>646</v>
      </c>
      <c r="M310" s="61" t="s">
        <v>1075</v>
      </c>
      <c r="N310" s="80" t="s">
        <v>1076</v>
      </c>
      <c r="O310" s="58"/>
      <c r="P310" s="58"/>
      <c r="Q310" s="84"/>
      <c r="R310" s="62"/>
      <c r="S310" s="37" t="str">
        <f>IFERROR(__xludf.DUMMYFUNCTION("if(not(iserror(index(split(C310, "" ""),2))), index(split(C310, "" ""),1),"""")"),"August,")</f>
        <v>August,</v>
      </c>
      <c r="T310" s="38">
        <f>IFERROR(__xludf.DUMMYFUNCTION("if(S310="""",C310,if(not(iserror(index(split(C310, "" ""),3))), index(split(C310, "" ""),3),index(split(C310, "" ""),2)))"),2017.0)</f>
        <v>2017</v>
      </c>
      <c r="U310" s="38" t="b">
        <f t="shared" si="34"/>
        <v>0</v>
      </c>
      <c r="V310" s="38" t="s">
        <v>33</v>
      </c>
      <c r="W310" s="39" t="s">
        <v>1077</v>
      </c>
      <c r="X310" s="40"/>
      <c r="Y310" s="40"/>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row>
    <row r="311">
      <c r="A311" s="34" t="s">
        <v>1078</v>
      </c>
      <c r="B311" s="73">
        <v>43206.0</v>
      </c>
      <c r="C311" s="74">
        <v>42948.0</v>
      </c>
      <c r="D311" s="75" t="s">
        <v>507</v>
      </c>
      <c r="E311" s="34" t="s">
        <v>31</v>
      </c>
      <c r="F311" s="34">
        <v>1.0</v>
      </c>
      <c r="G311" s="34" t="s">
        <v>32</v>
      </c>
      <c r="H311" s="33">
        <f t="shared" ref="H311:H317" si="44">if(G311="Unknown",1,G311)</f>
        <v>1</v>
      </c>
      <c r="I311" s="34" t="s">
        <v>33</v>
      </c>
      <c r="J311" s="34" t="s">
        <v>402</v>
      </c>
      <c r="K311" s="34">
        <v>1.0</v>
      </c>
      <c r="L311" s="34" t="s">
        <v>1079</v>
      </c>
      <c r="M311" s="123" t="s">
        <v>1080</v>
      </c>
      <c r="N311" s="61" t="s">
        <v>1081</v>
      </c>
      <c r="O311" s="83" t="str">
        <f>hyperlink("https://bad-boys.us/?q=ND-IN/3:18-cr-00046", "ND-IN 3:18-cr-00046")</f>
        <v>ND-IN 3:18-cr-00046</v>
      </c>
      <c r="P311" s="88" t="s">
        <v>1082</v>
      </c>
      <c r="Q311" s="58">
        <v>1.0</v>
      </c>
      <c r="R311" s="62"/>
      <c r="S311" s="37" t="str">
        <f>IFERROR(__xludf.DUMMYFUNCTION("if(not(iserror(index(split(C311, "" ""),2))), index(split(C311, "" ""),1),"""")"),"August,")</f>
        <v>August,</v>
      </c>
      <c r="T311" s="38">
        <f>IFERROR(__xludf.DUMMYFUNCTION("if(S311="""",C311,if(not(iserror(index(split(C311, "" ""),3))), index(split(C311, "" ""),3),index(split(C311, "" ""),2)))"),2017.0)</f>
        <v>2017</v>
      </c>
      <c r="U311" s="38" t="b">
        <f t="shared" si="34"/>
        <v>0</v>
      </c>
      <c r="V311" s="38" t="s">
        <v>33</v>
      </c>
      <c r="W311" s="40"/>
      <c r="X311" s="40"/>
      <c r="Y311" s="40"/>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row>
    <row r="312">
      <c r="A312" s="37" t="s">
        <v>1083</v>
      </c>
      <c r="B312" s="99">
        <v>43216.0</v>
      </c>
      <c r="C312" s="100">
        <v>42948.0</v>
      </c>
      <c r="D312" s="101">
        <v>42948.0</v>
      </c>
      <c r="E312" s="37" t="s">
        <v>41</v>
      </c>
      <c r="F312" s="37">
        <v>1.0</v>
      </c>
      <c r="G312" s="37" t="s">
        <v>32</v>
      </c>
      <c r="H312" s="33">
        <f t="shared" si="44"/>
        <v>1</v>
      </c>
      <c r="I312" s="37" t="s">
        <v>33</v>
      </c>
      <c r="J312" s="37" t="s">
        <v>147</v>
      </c>
      <c r="K312" s="37">
        <v>3.0</v>
      </c>
      <c r="L312" s="37" t="s">
        <v>194</v>
      </c>
      <c r="M312" s="14"/>
      <c r="N312" s="102"/>
      <c r="O312" s="78"/>
      <c r="Q312" s="64"/>
      <c r="S312" s="37" t="str">
        <f>IFERROR(__xludf.DUMMYFUNCTION("if(not(iserror(index(split(C312, "" ""),2))), index(split(C312, "" ""),1),"""")"),"August,")</f>
        <v>August,</v>
      </c>
      <c r="T312" s="38">
        <f>IFERROR(__xludf.DUMMYFUNCTION("if(S312="""",C312,if(not(iserror(index(split(C312, "" ""),3))), index(split(C312, "" ""),3),index(split(C312, "" ""),2)))"),2017.0)</f>
        <v>2017</v>
      </c>
      <c r="U312" s="38" t="b">
        <f t="shared" si="34"/>
        <v>0</v>
      </c>
      <c r="V312" s="38"/>
      <c r="W312" s="40"/>
      <c r="X312" s="40"/>
      <c r="Y312" s="40"/>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row>
    <row r="313">
      <c r="A313" s="58" t="s">
        <v>1084</v>
      </c>
      <c r="B313" s="59">
        <v>43236.0</v>
      </c>
      <c r="C313" s="79">
        <v>42948.0</v>
      </c>
      <c r="D313" s="60" t="s">
        <v>507</v>
      </c>
      <c r="E313" s="58" t="s">
        <v>41</v>
      </c>
      <c r="F313" s="58">
        <v>1.0</v>
      </c>
      <c r="G313" s="58" t="s">
        <v>32</v>
      </c>
      <c r="H313" s="33">
        <f t="shared" si="44"/>
        <v>1</v>
      </c>
      <c r="I313" s="58" t="s">
        <v>33</v>
      </c>
      <c r="J313" s="58" t="s">
        <v>93</v>
      </c>
      <c r="K313" s="58" t="s">
        <v>32</v>
      </c>
      <c r="L313" s="58" t="s">
        <v>1085</v>
      </c>
      <c r="M313" s="61" t="s">
        <v>1086</v>
      </c>
      <c r="N313" s="77"/>
      <c r="O313" s="58"/>
      <c r="P313" s="62"/>
      <c r="Q313" s="84"/>
      <c r="R313" s="62"/>
      <c r="S313" s="37" t="str">
        <f>IFERROR(__xludf.DUMMYFUNCTION("if(not(iserror(index(split(C313, "" ""),2))), index(split(C313, "" ""),1),"""")"),"August,")</f>
        <v>August,</v>
      </c>
      <c r="T313" s="38">
        <f>IFERROR(__xludf.DUMMYFUNCTION("if(S313="""",C313,if(not(iserror(index(split(C313, "" ""),3))), index(split(C313, "" ""),3),index(split(C313, "" ""),2)))"),2017.0)</f>
        <v>2017</v>
      </c>
      <c r="U313" s="38" t="b">
        <f t="shared" si="34"/>
        <v>0</v>
      </c>
      <c r="V313" s="38"/>
      <c r="W313" s="40"/>
      <c r="X313" s="40"/>
      <c r="Y313" s="40"/>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row>
    <row r="314">
      <c r="A314" s="58" t="s">
        <v>1087</v>
      </c>
      <c r="B314" s="59">
        <v>43361.0</v>
      </c>
      <c r="C314" s="79">
        <v>42948.0</v>
      </c>
      <c r="D314" s="60" t="s">
        <v>507</v>
      </c>
      <c r="E314" s="58" t="s">
        <v>31</v>
      </c>
      <c r="F314" s="58">
        <v>1.0</v>
      </c>
      <c r="G314" s="58" t="s">
        <v>32</v>
      </c>
      <c r="H314" s="33">
        <f t="shared" si="44"/>
        <v>1</v>
      </c>
      <c r="I314" s="58" t="s">
        <v>33</v>
      </c>
      <c r="J314" s="58" t="s">
        <v>268</v>
      </c>
      <c r="K314" s="58">
        <v>2.0</v>
      </c>
      <c r="L314" s="58" t="s">
        <v>1088</v>
      </c>
      <c r="M314" s="61" t="s">
        <v>1089</v>
      </c>
      <c r="N314" s="77"/>
      <c r="O314" s="62"/>
      <c r="P314" s="62"/>
      <c r="Q314" s="62"/>
      <c r="R314" s="62"/>
      <c r="S314" s="37" t="str">
        <f>IFERROR(__xludf.DUMMYFUNCTION("if(not(iserror(index(split(C314, "" ""),2))), index(split(C314, "" ""),1),"""")"),"August,")</f>
        <v>August,</v>
      </c>
      <c r="T314" s="38">
        <f>IFERROR(__xludf.DUMMYFUNCTION("if(S314="""",C314,if(not(iserror(index(split(C314, "" ""),3))), index(split(C314, "" ""),3),index(split(C314, "" ""),2)))"),2017.0)</f>
        <v>2017</v>
      </c>
      <c r="U314" s="38" t="b">
        <f t="shared" si="34"/>
        <v>0</v>
      </c>
      <c r="V314" s="38"/>
      <c r="W314" s="40"/>
      <c r="X314" s="40"/>
      <c r="Y314" s="40"/>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row>
    <row r="315">
      <c r="A315" s="58" t="s">
        <v>1090</v>
      </c>
      <c r="B315" s="59">
        <v>43367.0</v>
      </c>
      <c r="C315" s="79">
        <v>42948.0</v>
      </c>
      <c r="D315" s="60" t="s">
        <v>507</v>
      </c>
      <c r="E315" s="58" t="s">
        <v>41</v>
      </c>
      <c r="F315" s="58">
        <v>1.0</v>
      </c>
      <c r="G315" s="58" t="s">
        <v>32</v>
      </c>
      <c r="H315" s="33">
        <f t="shared" si="44"/>
        <v>1</v>
      </c>
      <c r="I315" s="58" t="s">
        <v>33</v>
      </c>
      <c r="J315" s="58" t="s">
        <v>410</v>
      </c>
      <c r="K315" s="58">
        <v>5.0</v>
      </c>
      <c r="L315" s="58" t="s">
        <v>119</v>
      </c>
      <c r="M315" s="61" t="s">
        <v>1091</v>
      </c>
      <c r="N315" s="77"/>
      <c r="O315" s="62"/>
      <c r="P315" s="62"/>
      <c r="Q315" s="62"/>
      <c r="R315" s="62"/>
      <c r="S315" s="37" t="str">
        <f>IFERROR(__xludf.DUMMYFUNCTION("if(not(iserror(index(split(C315, "" ""),2))), index(split(C315, "" ""),1),"""")"),"August,")</f>
        <v>August,</v>
      </c>
      <c r="T315" s="38">
        <f>IFERROR(__xludf.DUMMYFUNCTION("if(S315="""",C315,if(not(iserror(index(split(C315, "" ""),3))), index(split(C315, "" ""),3),index(split(C315, "" ""),2)))"),2017.0)</f>
        <v>2017</v>
      </c>
      <c r="U315" s="38" t="b">
        <f t="shared" si="34"/>
        <v>0</v>
      </c>
      <c r="V315" s="38"/>
      <c r="W315" s="40"/>
      <c r="X315" s="40"/>
      <c r="Y315" s="40"/>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row>
    <row r="316">
      <c r="A316" s="58" t="s">
        <v>1092</v>
      </c>
      <c r="B316" s="59">
        <v>43441.0</v>
      </c>
      <c r="C316" s="79">
        <v>42948.0</v>
      </c>
      <c r="D316" s="60" t="s">
        <v>507</v>
      </c>
      <c r="E316" s="58" t="s">
        <v>31</v>
      </c>
      <c r="F316" s="58">
        <v>1.0</v>
      </c>
      <c r="G316" s="58" t="s">
        <v>32</v>
      </c>
      <c r="H316" s="33">
        <f t="shared" si="44"/>
        <v>1</v>
      </c>
      <c r="I316" s="58" t="s">
        <v>33</v>
      </c>
      <c r="J316" s="58" t="s">
        <v>115</v>
      </c>
      <c r="K316" s="58">
        <v>2.0</v>
      </c>
      <c r="L316" s="58" t="s">
        <v>1093</v>
      </c>
      <c r="M316" s="61" t="s">
        <v>1094</v>
      </c>
      <c r="N316" s="61" t="s">
        <v>1095</v>
      </c>
      <c r="O316" s="62"/>
      <c r="P316" s="62"/>
      <c r="Q316" s="62"/>
      <c r="R316" s="62"/>
      <c r="S316" s="37" t="str">
        <f>IFERROR(__xludf.DUMMYFUNCTION("if(not(iserror(index(split(C316, "" ""),2))), index(split(C316, "" ""),1),"""")"),"August,")</f>
        <v>August,</v>
      </c>
      <c r="T316" s="38">
        <f>IFERROR(__xludf.DUMMYFUNCTION("if(S316="""",C316,if(not(iserror(index(split(C316, "" ""),3))), index(split(C316, "" ""),3),index(split(C316, "" ""),2)))"),2017.0)</f>
        <v>2017</v>
      </c>
      <c r="U316" s="38" t="b">
        <f t="shared" si="34"/>
        <v>0</v>
      </c>
      <c r="V316" s="38" t="s">
        <v>33</v>
      </c>
      <c r="W316" s="39" t="s">
        <v>1096</v>
      </c>
      <c r="X316" s="39" t="s">
        <v>1097</v>
      </c>
      <c r="Y316" s="40"/>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row>
    <row r="317">
      <c r="A317" s="13" t="s">
        <v>1098</v>
      </c>
      <c r="B317" s="30">
        <v>42955.0</v>
      </c>
      <c r="C317" s="31">
        <v>42955.0</v>
      </c>
      <c r="D317" s="32" t="s">
        <v>1099</v>
      </c>
      <c r="E317" s="13" t="s">
        <v>41</v>
      </c>
      <c r="F317" s="13">
        <v>1.0</v>
      </c>
      <c r="G317" s="13" t="s">
        <v>32</v>
      </c>
      <c r="H317" s="33">
        <f t="shared" si="44"/>
        <v>1</v>
      </c>
      <c r="I317" s="13" t="s">
        <v>33</v>
      </c>
      <c r="J317" s="13" t="s">
        <v>93</v>
      </c>
      <c r="K317" s="13">
        <v>7.0</v>
      </c>
      <c r="L317" s="13" t="s">
        <v>1100</v>
      </c>
      <c r="M317" s="35" t="s">
        <v>1101</v>
      </c>
      <c r="N317" s="15"/>
      <c r="O317" s="16"/>
      <c r="P317" s="16"/>
      <c r="Q317" s="16"/>
      <c r="R317" s="16"/>
      <c r="S317" s="37" t="str">
        <f>IFERROR(__xludf.DUMMYFUNCTION("if(not(iserror(index(split(C317, "" ""),2))), index(split(C317, "" ""),1),"""")"),"August,")</f>
        <v>August,</v>
      </c>
      <c r="T317" s="38">
        <f>IFERROR(__xludf.DUMMYFUNCTION("if(S317="""",C317,if(not(iserror(index(split(C317, "" ""),3))), index(split(C317, "" ""),3),index(split(C317, "" ""),2)))"),2017.0)</f>
        <v>2017</v>
      </c>
      <c r="U317" s="38" t="b">
        <f t="shared" si="34"/>
        <v>0</v>
      </c>
      <c r="V317" s="38"/>
      <c r="W317" s="40"/>
      <c r="X317" s="40"/>
      <c r="Y317" s="40"/>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row>
    <row r="318">
      <c r="A318" s="58" t="s">
        <v>1102</v>
      </c>
      <c r="B318" s="59"/>
      <c r="C318" s="79">
        <v>42948.0</v>
      </c>
      <c r="D318" s="60"/>
      <c r="E318" s="58" t="s">
        <v>41</v>
      </c>
      <c r="F318" s="58">
        <v>1.0</v>
      </c>
      <c r="G318" s="58" t="s">
        <v>32</v>
      </c>
      <c r="H318" s="43">
        <v>1.0</v>
      </c>
      <c r="I318" s="58" t="s">
        <v>33</v>
      </c>
      <c r="J318" s="58" t="s">
        <v>203</v>
      </c>
      <c r="K318" s="58"/>
      <c r="L318" s="58" t="s">
        <v>99</v>
      </c>
      <c r="M318" s="61" t="s">
        <v>1103</v>
      </c>
      <c r="N318" s="61" t="s">
        <v>1104</v>
      </c>
      <c r="O318" s="58"/>
      <c r="P318" s="58"/>
      <c r="Q318" s="84"/>
      <c r="R318" s="62"/>
      <c r="S318" s="37" t="str">
        <f>IFERROR(__xludf.DUMMYFUNCTION("if(not(iserror(index(split(C318, "" ""),2))), index(split(C318, "" ""),1),"""")"),"August,")</f>
        <v>August,</v>
      </c>
      <c r="T318" s="38">
        <f>IFERROR(__xludf.DUMMYFUNCTION("if(S318="""",C318,if(not(iserror(index(split(C318, "" ""),3))), index(split(C318, "" ""),3),index(split(C318, "" ""),2)))"),2017.0)</f>
        <v>2017</v>
      </c>
      <c r="U318" s="38" t="b">
        <f t="shared" si="34"/>
        <v>0</v>
      </c>
      <c r="V318" s="38" t="s">
        <v>33</v>
      </c>
      <c r="W318" s="39" t="s">
        <v>1105</v>
      </c>
      <c r="X318" s="40"/>
      <c r="Y318" s="40"/>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row>
    <row r="319">
      <c r="A319" s="58" t="s">
        <v>1106</v>
      </c>
      <c r="B319" s="59"/>
      <c r="C319" s="59">
        <v>42949.0</v>
      </c>
      <c r="D319" s="60"/>
      <c r="E319" s="58" t="s">
        <v>41</v>
      </c>
      <c r="F319" s="58">
        <v>1.0</v>
      </c>
      <c r="G319" s="58" t="s">
        <v>32</v>
      </c>
      <c r="H319" s="43">
        <v>1.0</v>
      </c>
      <c r="I319" s="58" t="s">
        <v>33</v>
      </c>
      <c r="J319" s="58" t="s">
        <v>147</v>
      </c>
      <c r="K319" s="58"/>
      <c r="L319" s="58" t="s">
        <v>69</v>
      </c>
      <c r="M319" s="61" t="s">
        <v>1107</v>
      </c>
      <c r="N319" s="77"/>
      <c r="O319" s="58"/>
      <c r="P319" s="58"/>
      <c r="Q319" s="84"/>
      <c r="R319" s="62"/>
      <c r="S319" s="37"/>
      <c r="T319" s="38"/>
      <c r="U319" s="38" t="b">
        <f t="shared" si="34"/>
        <v>0</v>
      </c>
      <c r="V319" s="38" t="s">
        <v>33</v>
      </c>
      <c r="W319" s="40"/>
      <c r="X319" s="40"/>
      <c r="Y319" s="40"/>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row>
    <row r="320">
      <c r="A320" s="58" t="s">
        <v>1108</v>
      </c>
      <c r="B320" s="59">
        <v>43235.0</v>
      </c>
      <c r="C320" s="59">
        <v>42951.0</v>
      </c>
      <c r="D320" s="60" t="s">
        <v>1109</v>
      </c>
      <c r="E320" s="58" t="s">
        <v>41</v>
      </c>
      <c r="F320" s="58">
        <v>1.0</v>
      </c>
      <c r="G320" s="58" t="s">
        <v>32</v>
      </c>
      <c r="H320" s="33">
        <f t="shared" ref="H320:H322" si="45">if(G320="Unknown",1,G320)</f>
        <v>1</v>
      </c>
      <c r="I320" s="58" t="s">
        <v>33</v>
      </c>
      <c r="J320" s="58" t="s">
        <v>179</v>
      </c>
      <c r="K320" s="58" t="s">
        <v>32</v>
      </c>
      <c r="L320" s="58" t="s">
        <v>69</v>
      </c>
      <c r="M320" s="61" t="s">
        <v>891</v>
      </c>
      <c r="N320" s="77"/>
      <c r="O320" s="58"/>
      <c r="P320" s="58"/>
      <c r="Q320" s="84"/>
      <c r="R320" s="62"/>
      <c r="S320" s="37" t="str">
        <f>IFERROR(__xludf.DUMMYFUNCTION("if(not(iserror(index(split(C320, "" ""),2))), index(split(C320, "" ""),1),"""")"),"August")</f>
        <v>August</v>
      </c>
      <c r="T320" s="38">
        <f>IFERROR(__xludf.DUMMYFUNCTION("if(S320="""",C320,if(not(iserror(index(split(C320, "" ""),3))), index(split(C320, "" ""),3),index(split(C320, "" ""),2)))"),2017.0)</f>
        <v>2017</v>
      </c>
      <c r="U320" s="38" t="b">
        <f t="shared" si="34"/>
        <v>0</v>
      </c>
      <c r="V320" s="38"/>
      <c r="W320" s="40"/>
      <c r="X320" s="40"/>
      <c r="Y320" s="40"/>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row>
    <row r="321">
      <c r="A321" s="58" t="s">
        <v>1110</v>
      </c>
      <c r="B321" s="59">
        <v>43321.0</v>
      </c>
      <c r="C321" s="59">
        <v>42951.0</v>
      </c>
      <c r="D321" s="60" t="s">
        <v>1109</v>
      </c>
      <c r="E321" s="58" t="s">
        <v>41</v>
      </c>
      <c r="F321" s="58">
        <v>1.0</v>
      </c>
      <c r="G321" s="58" t="s">
        <v>32</v>
      </c>
      <c r="H321" s="33">
        <f t="shared" si="45"/>
        <v>1</v>
      </c>
      <c r="I321" s="58" t="s">
        <v>33</v>
      </c>
      <c r="J321" s="58" t="s">
        <v>1111</v>
      </c>
      <c r="K321" s="58">
        <v>2.0</v>
      </c>
      <c r="L321" s="58" t="s">
        <v>119</v>
      </c>
      <c r="M321" s="61" t="s">
        <v>1112</v>
      </c>
      <c r="N321" s="77"/>
      <c r="O321" s="83" t="str">
        <f>hyperlink("https://bad-boys.us/?q=D-DC/1:18-cr-00104", "D-DC 1:18-cr-00104")</f>
        <v>D-DC 1:18-cr-00104</v>
      </c>
      <c r="P321" s="88" t="s">
        <v>1113</v>
      </c>
      <c r="Q321" s="84">
        <v>1.0</v>
      </c>
      <c r="R321" s="62"/>
      <c r="S321" s="37" t="str">
        <f>IFERROR(__xludf.DUMMYFUNCTION("if(not(iserror(index(split(C321, "" ""),2))), index(split(C321, "" ""),1),"""")"),"August")</f>
        <v>August</v>
      </c>
      <c r="T321" s="38">
        <f>IFERROR(__xludf.DUMMYFUNCTION("if(S321="""",C321,if(not(iserror(index(split(C321, "" ""),3))), index(split(C321, "" ""),3),index(split(C321, "" ""),2)))"),2017.0)</f>
        <v>2017</v>
      </c>
      <c r="U321" s="38" t="b">
        <f t="shared" si="34"/>
        <v>0</v>
      </c>
      <c r="V321" s="38"/>
      <c r="W321" s="40"/>
      <c r="X321" s="40"/>
      <c r="Y321" s="40"/>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row>
    <row r="322">
      <c r="A322" s="58" t="s">
        <v>1114</v>
      </c>
      <c r="B322" s="59">
        <v>43409.0</v>
      </c>
      <c r="C322" s="59">
        <v>42952.0</v>
      </c>
      <c r="D322" s="60" t="s">
        <v>1115</v>
      </c>
      <c r="E322" s="58" t="s">
        <v>41</v>
      </c>
      <c r="F322" s="58">
        <v>1.0</v>
      </c>
      <c r="G322" s="58" t="s">
        <v>32</v>
      </c>
      <c r="H322" s="33">
        <f t="shared" si="45"/>
        <v>1</v>
      </c>
      <c r="I322" s="58" t="s">
        <v>33</v>
      </c>
      <c r="J322" s="58" t="s">
        <v>184</v>
      </c>
      <c r="K322" s="58">
        <v>1.0</v>
      </c>
      <c r="L322" s="58" t="s">
        <v>69</v>
      </c>
      <c r="M322" s="61" t="s">
        <v>1116</v>
      </c>
      <c r="N322" s="80"/>
      <c r="O322" s="58"/>
      <c r="P322" s="58"/>
      <c r="Q322" s="84"/>
      <c r="R322" s="62"/>
      <c r="S322" s="37" t="str">
        <f>IFERROR(__xludf.DUMMYFUNCTION("if(not(iserror(index(split(C322, "" ""),2))), index(split(C322, "" ""),1),"""")"),"August")</f>
        <v>August</v>
      </c>
      <c r="T322" s="38">
        <f>IFERROR(__xludf.DUMMYFUNCTION("if(S322="""",C322,if(not(iserror(index(split(C322, "" ""),3))), index(split(C322, "" ""),3),index(split(C322, "" ""),2)))"),2017.0)</f>
        <v>2017</v>
      </c>
      <c r="U322" s="38" t="b">
        <f t="shared" si="34"/>
        <v>0</v>
      </c>
      <c r="V322" s="38"/>
      <c r="W322" s="40"/>
      <c r="X322" s="40"/>
      <c r="Y322" s="40"/>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row>
    <row r="323">
      <c r="A323" s="58" t="s">
        <v>1117</v>
      </c>
      <c r="B323" s="59"/>
      <c r="C323" s="59">
        <v>42955.0</v>
      </c>
      <c r="D323" s="60"/>
      <c r="E323" s="58" t="s">
        <v>41</v>
      </c>
      <c r="F323" s="58">
        <v>1.0</v>
      </c>
      <c r="G323" s="58" t="s">
        <v>32</v>
      </c>
      <c r="H323" s="43">
        <v>1.0</v>
      </c>
      <c r="I323" s="58" t="s">
        <v>33</v>
      </c>
      <c r="J323" s="58" t="s">
        <v>115</v>
      </c>
      <c r="K323" s="58"/>
      <c r="L323" s="58" t="s">
        <v>119</v>
      </c>
      <c r="M323" s="61" t="s">
        <v>1118</v>
      </c>
      <c r="N323" s="61" t="s">
        <v>1119</v>
      </c>
      <c r="O323" s="62"/>
      <c r="P323" s="62"/>
      <c r="Q323" s="84"/>
      <c r="R323" s="62"/>
      <c r="S323" s="37" t="str">
        <f>IFERROR(__xludf.DUMMYFUNCTION("if(not(iserror(index(split(C323, "" ""),2))), index(split(C323, "" ""),1),"""")"),"August")</f>
        <v>August</v>
      </c>
      <c r="T323" s="38">
        <f>IFERROR(__xludf.DUMMYFUNCTION("if(S323="""",C323,if(not(iserror(index(split(C323, "" ""),3))), index(split(C323, "" ""),3),index(split(C323, "" ""),2)))"),2017.0)</f>
        <v>2017</v>
      </c>
      <c r="U323" s="38" t="b">
        <f t="shared" si="34"/>
        <v>0</v>
      </c>
      <c r="V323" s="38"/>
      <c r="W323" s="40"/>
      <c r="X323" s="40"/>
      <c r="Y323" s="40"/>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row>
    <row r="324">
      <c r="A324" s="58" t="s">
        <v>1120</v>
      </c>
      <c r="B324" s="59">
        <v>43383.0</v>
      </c>
      <c r="C324" s="59">
        <v>42956.0</v>
      </c>
      <c r="D324" s="60" t="s">
        <v>1121</v>
      </c>
      <c r="E324" s="58" t="s">
        <v>41</v>
      </c>
      <c r="F324" s="58">
        <v>1.0</v>
      </c>
      <c r="G324" s="58" t="s">
        <v>32</v>
      </c>
      <c r="H324" s="33">
        <f t="shared" ref="H324:H325" si="46">if(G324="Unknown",1,G324)</f>
        <v>1</v>
      </c>
      <c r="I324" s="58" t="s">
        <v>33</v>
      </c>
      <c r="J324" s="58" t="s">
        <v>909</v>
      </c>
      <c r="K324" s="58">
        <v>11.0</v>
      </c>
      <c r="L324" s="58" t="s">
        <v>119</v>
      </c>
      <c r="M324" s="61" t="s">
        <v>1122</v>
      </c>
      <c r="N324" s="61" t="s">
        <v>1123</v>
      </c>
      <c r="O324" s="62"/>
      <c r="P324" s="62"/>
      <c r="Q324" s="84"/>
      <c r="R324" s="62"/>
      <c r="S324" s="37" t="str">
        <f>IFERROR(__xludf.DUMMYFUNCTION("if(not(iserror(index(split(C324, "" ""),2))), index(split(C324, "" ""),1),"""")"),"August")</f>
        <v>August</v>
      </c>
      <c r="T324" s="38">
        <f>IFERROR(__xludf.DUMMYFUNCTION("if(S324="""",C324,if(not(iserror(index(split(C324, "" ""),3))), index(split(C324, "" ""),3),index(split(C324, "" ""),2)))"),2017.0)</f>
        <v>2017</v>
      </c>
      <c r="U324" s="38" t="b">
        <f t="shared" si="34"/>
        <v>0</v>
      </c>
      <c r="V324" s="38"/>
      <c r="W324" s="40"/>
      <c r="X324" s="40"/>
      <c r="Y324" s="40"/>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row>
    <row r="325">
      <c r="A325" s="37" t="s">
        <v>1124</v>
      </c>
      <c r="B325" s="59">
        <v>43264.0</v>
      </c>
      <c r="C325" s="59">
        <v>42957.0</v>
      </c>
      <c r="D325" s="60" t="s">
        <v>1125</v>
      </c>
      <c r="E325" s="58" t="s">
        <v>41</v>
      </c>
      <c r="F325" s="58">
        <v>1.0</v>
      </c>
      <c r="G325" s="58" t="s">
        <v>32</v>
      </c>
      <c r="H325" s="33">
        <f t="shared" si="46"/>
        <v>1</v>
      </c>
      <c r="I325" s="58" t="s">
        <v>33</v>
      </c>
      <c r="J325" s="58" t="s">
        <v>106</v>
      </c>
      <c r="K325" s="58" t="s">
        <v>32</v>
      </c>
      <c r="L325" s="58" t="s">
        <v>349</v>
      </c>
      <c r="M325" s="61" t="s">
        <v>1126</v>
      </c>
      <c r="N325" s="77"/>
      <c r="O325" s="83" t="str">
        <f>hyperlink("https://bad-boys.us/?q=D-MD/8:17-cr-00633", "D-MD 8:17-cr-00633")</f>
        <v>D-MD 8:17-cr-00633</v>
      </c>
      <c r="P325" s="88" t="s">
        <v>1127</v>
      </c>
      <c r="Q325" s="84">
        <v>1.0</v>
      </c>
      <c r="R325" s="62"/>
      <c r="S325" s="37" t="str">
        <f>IFERROR(__xludf.DUMMYFUNCTION("if(not(iserror(index(split(C325, "" ""),2))), index(split(C325, "" ""),1),"""")"),"August")</f>
        <v>August</v>
      </c>
      <c r="T325" s="38">
        <f>IFERROR(__xludf.DUMMYFUNCTION("if(S325="""",C325,if(not(iserror(index(split(C325, "" ""),3))), index(split(C325, "" ""),3),index(split(C325, "" ""),2)))"),2017.0)</f>
        <v>2017</v>
      </c>
      <c r="U325" s="38" t="b">
        <f t="shared" si="34"/>
        <v>0</v>
      </c>
      <c r="V325" s="38"/>
      <c r="W325" s="40"/>
      <c r="X325" s="40"/>
      <c r="Y325" s="40"/>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row>
    <row r="326">
      <c r="A326" s="124" t="s">
        <v>1128</v>
      </c>
      <c r="B326" s="125"/>
      <c r="C326" s="126">
        <v>42957.0</v>
      </c>
      <c r="D326" s="127"/>
      <c r="E326" s="128" t="s">
        <v>31</v>
      </c>
      <c r="F326" s="129">
        <v>1.0</v>
      </c>
      <c r="G326" s="128" t="s">
        <v>32</v>
      </c>
      <c r="H326" s="130">
        <v>1.0</v>
      </c>
      <c r="I326" s="128" t="s">
        <v>33</v>
      </c>
      <c r="J326" s="128" t="s">
        <v>147</v>
      </c>
      <c r="K326" s="128"/>
      <c r="L326" s="128" t="s">
        <v>646</v>
      </c>
      <c r="M326" s="131" t="s">
        <v>1075</v>
      </c>
      <c r="N326" s="132" t="s">
        <v>1076</v>
      </c>
      <c r="O326" s="133"/>
      <c r="P326" s="133"/>
      <c r="Q326" s="133"/>
      <c r="R326" s="133"/>
      <c r="S326" s="37" t="str">
        <f>IFERROR(__xludf.DUMMYFUNCTION("if(not(iserror(index(split(C326, "" ""),2))), index(split(C326, "" ""),1),"""")"),"August")</f>
        <v>August</v>
      </c>
      <c r="T326" s="38">
        <f>IFERROR(__xludf.DUMMYFUNCTION("if(S326="""",C326,if(not(iserror(index(split(C326, "" ""),3))), index(split(C326, "" ""),3),index(split(C326, "" ""),2)))"),2017.0)</f>
        <v>2017</v>
      </c>
      <c r="U326" s="38" t="b">
        <f t="shared" si="34"/>
        <v>0</v>
      </c>
      <c r="V326" s="134" t="s">
        <v>33</v>
      </c>
      <c r="W326" s="135" t="s">
        <v>1077</v>
      </c>
      <c r="X326" s="136"/>
      <c r="Y326" s="136"/>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34"/>
      <c r="BN326" s="134"/>
      <c r="BO326" s="134"/>
      <c r="BP326" s="134"/>
      <c r="BQ326" s="134"/>
    </row>
    <row r="327">
      <c r="A327" s="58" t="s">
        <v>1129</v>
      </c>
      <c r="B327" s="59">
        <v>43392.0</v>
      </c>
      <c r="C327" s="59">
        <v>42957.0</v>
      </c>
      <c r="D327" s="60" t="s">
        <v>1130</v>
      </c>
      <c r="E327" s="58" t="s">
        <v>41</v>
      </c>
      <c r="F327" s="58">
        <v>1.0</v>
      </c>
      <c r="G327" s="58" t="s">
        <v>32</v>
      </c>
      <c r="H327" s="33">
        <f t="shared" ref="H327:H328" si="47">if(G327="Unknown",1,G327)</f>
        <v>1</v>
      </c>
      <c r="I327" s="58" t="s">
        <v>33</v>
      </c>
      <c r="J327" s="58" t="s">
        <v>410</v>
      </c>
      <c r="K327" s="58">
        <v>3.0</v>
      </c>
      <c r="L327" s="58" t="s">
        <v>119</v>
      </c>
      <c r="M327" s="61" t="s">
        <v>1131</v>
      </c>
      <c r="N327" s="77"/>
      <c r="O327" s="62"/>
      <c r="P327" s="62"/>
      <c r="Q327" s="62"/>
      <c r="R327" s="62"/>
      <c r="S327" s="37" t="str">
        <f>IFERROR(__xludf.DUMMYFUNCTION("if(not(iserror(index(split(C327, "" ""),2))), index(split(C327, "" ""),1),"""")"),"August")</f>
        <v>August</v>
      </c>
      <c r="T327" s="38">
        <f>IFERROR(__xludf.DUMMYFUNCTION("if(S327="""",C327,if(not(iserror(index(split(C327, "" ""),3))), index(split(C327, "" ""),3),index(split(C327, "" ""),2)))"),2017.0)</f>
        <v>2017</v>
      </c>
      <c r="U327" s="38" t="b">
        <f t="shared" si="34"/>
        <v>0</v>
      </c>
      <c r="V327" s="38"/>
      <c r="W327" s="40"/>
      <c r="X327" s="40"/>
      <c r="Y327" s="40"/>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row>
    <row r="328">
      <c r="A328" s="13" t="s">
        <v>239</v>
      </c>
      <c r="B328" s="30">
        <v>42961.0</v>
      </c>
      <c r="C328" s="30">
        <v>42958.0</v>
      </c>
      <c r="D328" s="32" t="s">
        <v>1132</v>
      </c>
      <c r="E328" s="13" t="s">
        <v>41</v>
      </c>
      <c r="F328" s="13">
        <v>2.0</v>
      </c>
      <c r="G328" s="13">
        <v>2.0</v>
      </c>
      <c r="H328" s="33">
        <f t="shared" si="47"/>
        <v>2</v>
      </c>
      <c r="I328" s="13" t="s">
        <v>33</v>
      </c>
      <c r="J328" s="13" t="s">
        <v>241</v>
      </c>
      <c r="K328" s="13">
        <v>1.0</v>
      </c>
      <c r="L328" s="13" t="s">
        <v>194</v>
      </c>
      <c r="M328" s="35" t="s">
        <v>1133</v>
      </c>
      <c r="N328" s="15"/>
      <c r="O328" s="16"/>
      <c r="P328" s="16"/>
      <c r="Q328" s="16"/>
      <c r="R328" s="16"/>
      <c r="S328" s="37" t="str">
        <f>IFERROR(__xludf.DUMMYFUNCTION("if(not(iserror(index(split(C328, "" ""),2))), index(split(C328, "" ""),1),"""")"),"August")</f>
        <v>August</v>
      </c>
      <c r="T328" s="38">
        <f>IFERROR(__xludf.DUMMYFUNCTION("if(S328="""",C328,if(not(iserror(index(split(C328, "" ""),3))), index(split(C328, "" ""),3),index(split(C328, "" ""),2)))"),2017.0)</f>
        <v>2017</v>
      </c>
      <c r="U328" s="38" t="b">
        <f t="shared" si="34"/>
        <v>1</v>
      </c>
      <c r="V328" s="38"/>
      <c r="W328" s="40"/>
      <c r="X328" s="40"/>
      <c r="Y328" s="40"/>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row>
    <row r="329">
      <c r="A329" s="13" t="s">
        <v>1134</v>
      </c>
      <c r="B329" s="30"/>
      <c r="C329" s="30">
        <v>42958.0</v>
      </c>
      <c r="D329" s="32"/>
      <c r="E329" s="13" t="s">
        <v>31</v>
      </c>
      <c r="F329" s="13">
        <v>1.0</v>
      </c>
      <c r="G329" s="13" t="s">
        <v>32</v>
      </c>
      <c r="H329" s="43">
        <v>1.0</v>
      </c>
      <c r="I329" s="13" t="s">
        <v>33</v>
      </c>
      <c r="J329" s="13" t="s">
        <v>179</v>
      </c>
      <c r="K329" s="13"/>
      <c r="L329" s="13" t="s">
        <v>76</v>
      </c>
      <c r="M329" s="35" t="s">
        <v>1135</v>
      </c>
      <c r="N329" s="36" t="s">
        <v>1136</v>
      </c>
      <c r="O329" s="16"/>
      <c r="P329" s="16"/>
      <c r="Q329" s="16"/>
      <c r="R329" s="16"/>
      <c r="S329" s="37" t="str">
        <f>IFERROR(__xludf.DUMMYFUNCTION("if(not(iserror(index(split(C329, "" ""),2))), index(split(C329, "" ""),1),"""")"),"August")</f>
        <v>August</v>
      </c>
      <c r="T329" s="38">
        <f>IFERROR(__xludf.DUMMYFUNCTION("if(S329="""",C329,if(not(iserror(index(split(C329, "" ""),3))), index(split(C329, "" ""),3),index(split(C329, "" ""),2)))"),2017.0)</f>
        <v>2017</v>
      </c>
      <c r="U329" s="38" t="b">
        <f t="shared" si="34"/>
        <v>0</v>
      </c>
      <c r="V329" s="38" t="s">
        <v>33</v>
      </c>
      <c r="W329" s="39" t="s">
        <v>1137</v>
      </c>
      <c r="X329" s="39" t="s">
        <v>1138</v>
      </c>
      <c r="Y329" s="40"/>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row>
    <row r="330">
      <c r="A330" s="58" t="s">
        <v>1139</v>
      </c>
      <c r="B330" s="59"/>
      <c r="C330" s="59">
        <v>42958.0</v>
      </c>
      <c r="D330" s="60"/>
      <c r="E330" s="58" t="s">
        <v>31</v>
      </c>
      <c r="F330" s="58">
        <v>1.0</v>
      </c>
      <c r="G330" s="58" t="s">
        <v>32</v>
      </c>
      <c r="H330" s="43">
        <v>1.0</v>
      </c>
      <c r="I330" s="58" t="s">
        <v>33</v>
      </c>
      <c r="J330" s="58" t="s">
        <v>147</v>
      </c>
      <c r="K330" s="58"/>
      <c r="L330" s="58" t="s">
        <v>646</v>
      </c>
      <c r="M330" s="61" t="s">
        <v>1075</v>
      </c>
      <c r="N330" s="80" t="s">
        <v>1076</v>
      </c>
      <c r="O330" s="58"/>
      <c r="P330" s="58"/>
      <c r="Q330" s="84"/>
      <c r="R330" s="62"/>
      <c r="S330" s="37" t="str">
        <f>IFERROR(__xludf.DUMMYFUNCTION("if(not(iserror(index(split(C330, "" ""),2))), index(split(C330, "" ""),1),"""")"),"August")</f>
        <v>August</v>
      </c>
      <c r="T330" s="38">
        <f>IFERROR(__xludf.DUMMYFUNCTION("if(S330="""",C330,if(not(iserror(index(split(C330, "" ""),3))), index(split(C330, "" ""),3),index(split(C330, "" ""),2)))"),2017.0)</f>
        <v>2017</v>
      </c>
      <c r="U330" s="38" t="b">
        <f t="shared" si="34"/>
        <v>0</v>
      </c>
      <c r="V330" s="38" t="s">
        <v>33</v>
      </c>
      <c r="W330" s="39" t="s">
        <v>1077</v>
      </c>
      <c r="X330" s="40"/>
      <c r="Y330" s="40"/>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row>
    <row r="331">
      <c r="A331" s="58" t="s">
        <v>1140</v>
      </c>
      <c r="B331" s="59"/>
      <c r="C331" s="59">
        <v>42958.0</v>
      </c>
      <c r="D331" s="60"/>
      <c r="E331" s="58" t="s">
        <v>31</v>
      </c>
      <c r="F331" s="58">
        <v>1.0</v>
      </c>
      <c r="G331" s="58" t="s">
        <v>32</v>
      </c>
      <c r="H331" s="43">
        <v>1.0</v>
      </c>
      <c r="I331" s="58" t="s">
        <v>33</v>
      </c>
      <c r="J331" s="58" t="s">
        <v>147</v>
      </c>
      <c r="K331" s="58"/>
      <c r="L331" s="58" t="s">
        <v>646</v>
      </c>
      <c r="M331" s="61" t="s">
        <v>1075</v>
      </c>
      <c r="N331" s="80" t="s">
        <v>1076</v>
      </c>
      <c r="O331" s="58"/>
      <c r="P331" s="58"/>
      <c r="Q331" s="84"/>
      <c r="R331" s="62"/>
      <c r="S331" s="37" t="str">
        <f>IFERROR(__xludf.DUMMYFUNCTION("if(not(iserror(index(split(C331, "" ""),2))), index(split(C331, "" ""),1),"""")"),"August")</f>
        <v>August</v>
      </c>
      <c r="T331" s="38">
        <f>IFERROR(__xludf.DUMMYFUNCTION("if(S331="""",C331,if(not(iserror(index(split(C331, "" ""),3))), index(split(C331, "" ""),3),index(split(C331, "" ""),2)))"),2017.0)</f>
        <v>2017</v>
      </c>
      <c r="U331" s="38" t="b">
        <f t="shared" si="34"/>
        <v>0</v>
      </c>
      <c r="V331" s="38" t="s">
        <v>33</v>
      </c>
      <c r="W331" s="39" t="s">
        <v>1077</v>
      </c>
      <c r="X331" s="40"/>
      <c r="Y331" s="40"/>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row>
    <row r="332">
      <c r="A332" s="58" t="s">
        <v>1141</v>
      </c>
      <c r="B332" s="59"/>
      <c r="C332" s="59">
        <v>42958.0</v>
      </c>
      <c r="D332" s="60"/>
      <c r="E332" s="58" t="s">
        <v>31</v>
      </c>
      <c r="F332" s="58">
        <v>1.0</v>
      </c>
      <c r="G332" s="58" t="s">
        <v>32</v>
      </c>
      <c r="H332" s="43">
        <v>1.0</v>
      </c>
      <c r="I332" s="58" t="s">
        <v>33</v>
      </c>
      <c r="J332" s="58" t="s">
        <v>147</v>
      </c>
      <c r="K332" s="58"/>
      <c r="L332" s="58" t="s">
        <v>646</v>
      </c>
      <c r="M332" s="61" t="s">
        <v>1075</v>
      </c>
      <c r="N332" s="80" t="s">
        <v>1076</v>
      </c>
      <c r="O332" s="58"/>
      <c r="P332" s="58"/>
      <c r="Q332" s="84"/>
      <c r="R332" s="62"/>
      <c r="S332" s="37" t="str">
        <f>IFERROR(__xludf.DUMMYFUNCTION("if(not(iserror(index(split(C332, "" ""),2))), index(split(C332, "" ""),1),"""")"),"August")</f>
        <v>August</v>
      </c>
      <c r="T332" s="38">
        <f>IFERROR(__xludf.DUMMYFUNCTION("if(S332="""",C332,if(not(iserror(index(split(C332, "" ""),3))), index(split(C332, "" ""),3),index(split(C332, "" ""),2)))"),2017.0)</f>
        <v>2017</v>
      </c>
      <c r="U332" s="38" t="b">
        <f t="shared" si="34"/>
        <v>0</v>
      </c>
      <c r="V332" s="38" t="s">
        <v>33</v>
      </c>
      <c r="W332" s="39" t="s">
        <v>1077</v>
      </c>
      <c r="X332" s="40"/>
      <c r="Y332" s="40"/>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row>
    <row r="333">
      <c r="A333" s="124" t="s">
        <v>1142</v>
      </c>
      <c r="B333" s="125"/>
      <c r="C333" s="137">
        <v>42958.0</v>
      </c>
      <c r="D333" s="127"/>
      <c r="E333" s="128" t="s">
        <v>31</v>
      </c>
      <c r="F333" s="129">
        <v>1.0</v>
      </c>
      <c r="G333" s="128" t="s">
        <v>32</v>
      </c>
      <c r="H333" s="130">
        <v>1.0</v>
      </c>
      <c r="I333" s="128" t="s">
        <v>33</v>
      </c>
      <c r="J333" s="128" t="s">
        <v>147</v>
      </c>
      <c r="K333" s="128"/>
      <c r="L333" s="128" t="s">
        <v>646</v>
      </c>
      <c r="M333" s="131" t="s">
        <v>1075</v>
      </c>
      <c r="N333" s="138" t="s">
        <v>1076</v>
      </c>
      <c r="O333" s="128"/>
      <c r="P333" s="128"/>
      <c r="Q333" s="133"/>
      <c r="R333" s="133"/>
      <c r="S333" s="37" t="str">
        <f>IFERROR(__xludf.DUMMYFUNCTION("if(not(iserror(index(split(C333, "" ""),2))), index(split(C333, "" ""),1),"""")"),"August")</f>
        <v>August</v>
      </c>
      <c r="T333" s="38">
        <f>IFERROR(__xludf.DUMMYFUNCTION("if(S333="""",C333,if(not(iserror(index(split(C333, "" ""),3))), index(split(C333, "" ""),3),index(split(C333, "" ""),2)))"),2017.0)</f>
        <v>2017</v>
      </c>
      <c r="U333" s="38" t="b">
        <f t="shared" si="34"/>
        <v>0</v>
      </c>
      <c r="V333" s="134" t="s">
        <v>33</v>
      </c>
      <c r="W333" s="135" t="s">
        <v>1077</v>
      </c>
      <c r="X333" s="136"/>
      <c r="Y333" s="136"/>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34"/>
      <c r="BN333" s="134"/>
      <c r="BO333" s="134"/>
      <c r="BP333" s="134"/>
      <c r="BQ333" s="134"/>
    </row>
    <row r="334">
      <c r="A334" s="124" t="s">
        <v>1143</v>
      </c>
      <c r="B334" s="125"/>
      <c r="C334" s="137">
        <v>42958.0</v>
      </c>
      <c r="D334" s="127"/>
      <c r="E334" s="128" t="s">
        <v>31</v>
      </c>
      <c r="F334" s="129">
        <v>1.0</v>
      </c>
      <c r="G334" s="128" t="s">
        <v>32</v>
      </c>
      <c r="H334" s="130">
        <v>1.0</v>
      </c>
      <c r="I334" s="128" t="s">
        <v>33</v>
      </c>
      <c r="J334" s="128" t="s">
        <v>147</v>
      </c>
      <c r="K334" s="128"/>
      <c r="L334" s="128" t="s">
        <v>646</v>
      </c>
      <c r="M334" s="131" t="s">
        <v>1075</v>
      </c>
      <c r="N334" s="138" t="s">
        <v>1076</v>
      </c>
      <c r="O334" s="128"/>
      <c r="P334" s="128"/>
      <c r="Q334" s="133"/>
      <c r="R334" s="133"/>
      <c r="S334" s="37" t="str">
        <f>IFERROR(__xludf.DUMMYFUNCTION("if(not(iserror(index(split(C334, "" ""),2))), index(split(C334, "" ""),1),"""")"),"August")</f>
        <v>August</v>
      </c>
      <c r="T334" s="38">
        <f>IFERROR(__xludf.DUMMYFUNCTION("if(S334="""",C334,if(not(iserror(index(split(C334, "" ""),3))), index(split(C334, "" ""),3),index(split(C334, "" ""),2)))"),2017.0)</f>
        <v>2017</v>
      </c>
      <c r="U334" s="38" t="b">
        <f t="shared" si="34"/>
        <v>0</v>
      </c>
      <c r="V334" s="134" t="s">
        <v>33</v>
      </c>
      <c r="W334" s="135" t="s">
        <v>1077</v>
      </c>
      <c r="X334" s="136"/>
      <c r="Y334" s="136"/>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34"/>
      <c r="BN334" s="134"/>
      <c r="BO334" s="134"/>
      <c r="BP334" s="134"/>
      <c r="BQ334" s="134"/>
    </row>
    <row r="335">
      <c r="A335" s="58" t="s">
        <v>1144</v>
      </c>
      <c r="B335" s="59">
        <v>43399.0</v>
      </c>
      <c r="C335" s="59">
        <v>42958.0</v>
      </c>
      <c r="D335" s="60" t="s">
        <v>1132</v>
      </c>
      <c r="E335" s="58" t="s">
        <v>31</v>
      </c>
      <c r="F335" s="58">
        <v>1.0</v>
      </c>
      <c r="G335" s="58" t="s">
        <v>32</v>
      </c>
      <c r="H335" s="33">
        <f t="shared" ref="H335:H347" si="48">if(G335="Unknown",1,G335)</f>
        <v>1</v>
      </c>
      <c r="I335" s="58" t="s">
        <v>33</v>
      </c>
      <c r="J335" s="58" t="s">
        <v>850</v>
      </c>
      <c r="K335" s="58">
        <v>1.0</v>
      </c>
      <c r="L335" s="58" t="s">
        <v>119</v>
      </c>
      <c r="M335" s="61" t="s">
        <v>1145</v>
      </c>
      <c r="N335" s="61" t="s">
        <v>1146</v>
      </c>
      <c r="O335" s="58"/>
      <c r="P335" s="58"/>
      <c r="Q335" s="84"/>
      <c r="R335" s="62"/>
      <c r="S335" s="37" t="str">
        <f>IFERROR(__xludf.DUMMYFUNCTION("if(not(iserror(index(split(C335, "" ""),2))), index(split(C335, "" ""),1),"""")"),"August")</f>
        <v>August</v>
      </c>
      <c r="T335" s="38">
        <f>IFERROR(__xludf.DUMMYFUNCTION("if(S335="""",C335,if(not(iserror(index(split(C335, "" ""),3))), index(split(C335, "" ""),3),index(split(C335, "" ""),2)))"),2017.0)</f>
        <v>2017</v>
      </c>
      <c r="U335" s="38" t="b">
        <f t="shared" si="34"/>
        <v>0</v>
      </c>
      <c r="V335" s="38"/>
      <c r="W335" s="40"/>
      <c r="X335" s="40"/>
      <c r="Y335" s="40"/>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row>
    <row r="336">
      <c r="A336" s="87" t="s">
        <v>1147</v>
      </c>
      <c r="B336" s="48">
        <v>43452.0</v>
      </c>
      <c r="C336" s="48">
        <v>42958.0</v>
      </c>
      <c r="D336" s="49" t="s">
        <v>1132</v>
      </c>
      <c r="E336" s="47" t="s">
        <v>41</v>
      </c>
      <c r="F336" s="47">
        <v>1.0</v>
      </c>
      <c r="G336" s="47">
        <v>1.0</v>
      </c>
      <c r="H336" s="33">
        <f t="shared" si="48"/>
        <v>1</v>
      </c>
      <c r="I336" s="47" t="s">
        <v>33</v>
      </c>
      <c r="J336" s="47" t="s">
        <v>111</v>
      </c>
      <c r="K336" s="47">
        <v>7.0</v>
      </c>
      <c r="L336" s="47" t="s">
        <v>1148</v>
      </c>
      <c r="M336" s="51" t="s">
        <v>1149</v>
      </c>
      <c r="N336" s="139"/>
      <c r="O336" s="55"/>
      <c r="P336" s="55"/>
      <c r="Q336" s="47"/>
      <c r="R336" s="55"/>
      <c r="S336" s="37" t="str">
        <f>IFERROR(__xludf.DUMMYFUNCTION("if(not(iserror(index(split(C336, "" ""),2))), index(split(C336, "" ""),1),"""")"),"August")</f>
        <v>August</v>
      </c>
      <c r="T336" s="38">
        <f>IFERROR(__xludf.DUMMYFUNCTION("if(S336="""",C336,if(not(iserror(index(split(C336, "" ""),3))), index(split(C336, "" ""),3),index(split(C336, "" ""),2)))"),2017.0)</f>
        <v>2017</v>
      </c>
      <c r="U336" s="38" t="b">
        <f t="shared" si="34"/>
        <v>0</v>
      </c>
      <c r="V336" s="38"/>
      <c r="W336" s="40"/>
      <c r="X336" s="40"/>
      <c r="Y336" s="40"/>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row>
    <row r="337">
      <c r="A337" s="87" t="s">
        <v>1150</v>
      </c>
      <c r="B337" s="48">
        <v>43452.0</v>
      </c>
      <c r="C337" s="48">
        <v>42961.0</v>
      </c>
      <c r="D337" s="49" t="s">
        <v>1151</v>
      </c>
      <c r="E337" s="47" t="s">
        <v>41</v>
      </c>
      <c r="F337" s="47">
        <v>1.0</v>
      </c>
      <c r="G337" s="47" t="s">
        <v>32</v>
      </c>
      <c r="H337" s="33">
        <f t="shared" si="48"/>
        <v>1</v>
      </c>
      <c r="I337" s="47" t="s">
        <v>33</v>
      </c>
      <c r="J337" s="47" t="s">
        <v>111</v>
      </c>
      <c r="K337" s="47">
        <v>7.0</v>
      </c>
      <c r="L337" s="47" t="s">
        <v>76</v>
      </c>
      <c r="M337" s="51" t="s">
        <v>1149</v>
      </c>
      <c r="N337" s="139"/>
      <c r="O337" s="55"/>
      <c r="P337" s="55"/>
      <c r="Q337" s="47"/>
      <c r="R337" s="55"/>
      <c r="S337" s="37" t="str">
        <f>IFERROR(__xludf.DUMMYFUNCTION("if(not(iserror(index(split(C337, "" ""),2))), index(split(C337, "" ""),1),"""")"),"August")</f>
        <v>August</v>
      </c>
      <c r="T337" s="38">
        <f>IFERROR(__xludf.DUMMYFUNCTION("if(S337="""",C337,if(not(iserror(index(split(C337, "" ""),3))), index(split(C337, "" ""),3),index(split(C337, "" ""),2)))"),2017.0)</f>
        <v>2017</v>
      </c>
      <c r="U337" s="38" t="b">
        <f t="shared" si="34"/>
        <v>0</v>
      </c>
      <c r="V337" s="38"/>
      <c r="W337" s="40"/>
      <c r="X337" s="40"/>
      <c r="Y337" s="40"/>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row>
    <row r="338">
      <c r="A338" s="90" t="s">
        <v>1152</v>
      </c>
      <c r="B338" s="30">
        <v>42964.0</v>
      </c>
      <c r="C338" s="30">
        <v>42963.0</v>
      </c>
      <c r="D338" s="32" t="s">
        <v>1153</v>
      </c>
      <c r="E338" s="13" t="s">
        <v>41</v>
      </c>
      <c r="F338" s="13">
        <v>1.0</v>
      </c>
      <c r="G338" s="13">
        <v>23.0</v>
      </c>
      <c r="H338" s="33">
        <f t="shared" si="48"/>
        <v>23</v>
      </c>
      <c r="I338" s="13" t="s">
        <v>33</v>
      </c>
      <c r="J338" s="13" t="s">
        <v>147</v>
      </c>
      <c r="K338" s="13">
        <v>3.0</v>
      </c>
      <c r="L338" s="13" t="s">
        <v>194</v>
      </c>
      <c r="M338" s="35" t="s">
        <v>1154</v>
      </c>
      <c r="N338" s="15"/>
      <c r="O338" s="16"/>
      <c r="P338" s="16"/>
      <c r="Q338" s="16"/>
      <c r="R338" s="16"/>
      <c r="S338" s="37" t="str">
        <f>IFERROR(__xludf.DUMMYFUNCTION("if(not(iserror(index(split(C338, "" ""),2))), index(split(C338, "" ""),1),"""")"),"August")</f>
        <v>August</v>
      </c>
      <c r="T338" s="38">
        <f>IFERROR(__xludf.DUMMYFUNCTION("if(S338="""",C338,if(not(iserror(index(split(C338, "" ""),3))), index(split(C338, "" ""),3),index(split(C338, "" ""),2)))"),2017.0)</f>
        <v>2017</v>
      </c>
      <c r="U338" s="38" t="b">
        <f t="shared" si="34"/>
        <v>0</v>
      </c>
      <c r="V338" s="38"/>
      <c r="W338" s="40"/>
      <c r="X338" s="40"/>
      <c r="Y338" s="40"/>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row>
    <row r="339">
      <c r="A339" s="58" t="s">
        <v>1155</v>
      </c>
      <c r="B339" s="59">
        <v>43441.0</v>
      </c>
      <c r="C339" s="59">
        <v>42963.0</v>
      </c>
      <c r="D339" s="60" t="s">
        <v>1153</v>
      </c>
      <c r="E339" s="58" t="s">
        <v>31</v>
      </c>
      <c r="F339" s="58">
        <v>1.0</v>
      </c>
      <c r="G339" s="58" t="s">
        <v>32</v>
      </c>
      <c r="H339" s="33">
        <f t="shared" si="48"/>
        <v>1</v>
      </c>
      <c r="I339" s="58" t="s">
        <v>33</v>
      </c>
      <c r="J339" s="58" t="s">
        <v>279</v>
      </c>
      <c r="K339" s="58">
        <v>3.0</v>
      </c>
      <c r="L339" s="58" t="s">
        <v>69</v>
      </c>
      <c r="M339" s="61" t="s">
        <v>1156</v>
      </c>
      <c r="N339" s="61" t="s">
        <v>1157</v>
      </c>
      <c r="O339" s="83" t="str">
        <f>hyperlink("https://bad-boys.us/?q=WD-MO/6:17-cr-03139", "WD-MO 6:17-cr-03139")</f>
        <v>WD-MO 6:17-cr-03139</v>
      </c>
      <c r="P339" s="88" t="s">
        <v>1158</v>
      </c>
      <c r="Q339" s="84">
        <v>1.0</v>
      </c>
      <c r="R339" s="62"/>
      <c r="S339" s="37" t="str">
        <f>IFERROR(__xludf.DUMMYFUNCTION("if(not(iserror(index(split(C339, "" ""),2))), index(split(C339, "" ""),1),"""")"),"August")</f>
        <v>August</v>
      </c>
      <c r="T339" s="38">
        <f>IFERROR(__xludf.DUMMYFUNCTION("if(S339="""",C339,if(not(iserror(index(split(C339, "" ""),3))), index(split(C339, "" ""),3),index(split(C339, "" ""),2)))"),2017.0)</f>
        <v>2017</v>
      </c>
      <c r="U339" s="38" t="b">
        <f t="shared" si="34"/>
        <v>0</v>
      </c>
      <c r="V339" s="38"/>
      <c r="W339" s="40"/>
      <c r="X339" s="40"/>
      <c r="Y339" s="40"/>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row>
    <row r="340">
      <c r="A340" s="78" t="s">
        <v>1159</v>
      </c>
      <c r="B340" s="30">
        <v>42976.0</v>
      </c>
      <c r="C340" s="30">
        <v>42964.0</v>
      </c>
      <c r="D340" s="32" t="s">
        <v>1160</v>
      </c>
      <c r="E340" s="13" t="s">
        <v>31</v>
      </c>
      <c r="F340" s="13">
        <v>1.0</v>
      </c>
      <c r="G340" s="13" t="s">
        <v>32</v>
      </c>
      <c r="H340" s="33">
        <f t="shared" si="48"/>
        <v>1</v>
      </c>
      <c r="I340" s="13" t="s">
        <v>33</v>
      </c>
      <c r="J340" s="13" t="s">
        <v>115</v>
      </c>
      <c r="K340" s="13">
        <v>2.0</v>
      </c>
      <c r="L340" s="13" t="s">
        <v>790</v>
      </c>
      <c r="M340" s="35" t="s">
        <v>1161</v>
      </c>
      <c r="N340" s="15"/>
      <c r="O340" s="16"/>
      <c r="P340" s="16"/>
      <c r="Q340" s="16"/>
      <c r="R340" s="16"/>
      <c r="S340" s="37" t="str">
        <f>IFERROR(__xludf.DUMMYFUNCTION("if(not(iserror(index(split(C340, "" ""),2))), index(split(C340, "" ""),1),"""")"),"August")</f>
        <v>August</v>
      </c>
      <c r="T340" s="38">
        <f>IFERROR(__xludf.DUMMYFUNCTION("if(S340="""",C340,if(not(iserror(index(split(C340, "" ""),3))), index(split(C340, "" ""),3),index(split(C340, "" ""),2)))"),2017.0)</f>
        <v>2017</v>
      </c>
      <c r="U340" s="38" t="b">
        <f t="shared" si="34"/>
        <v>0</v>
      </c>
      <c r="V340" s="38"/>
      <c r="W340" s="40"/>
      <c r="X340" s="40"/>
      <c r="Y340" s="40"/>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row>
    <row r="341">
      <c r="A341" s="58" t="s">
        <v>1162</v>
      </c>
      <c r="B341" s="59">
        <v>43364.0</v>
      </c>
      <c r="C341" s="59">
        <v>42964.0</v>
      </c>
      <c r="D341" s="60" t="s">
        <v>1160</v>
      </c>
      <c r="E341" s="58" t="s">
        <v>41</v>
      </c>
      <c r="F341" s="58">
        <v>1.0</v>
      </c>
      <c r="G341" s="58" t="s">
        <v>32</v>
      </c>
      <c r="H341" s="33">
        <f t="shared" si="48"/>
        <v>1</v>
      </c>
      <c r="I341" s="58" t="s">
        <v>33</v>
      </c>
      <c r="J341" s="58" t="s">
        <v>47</v>
      </c>
      <c r="K341" s="58">
        <v>1.0</v>
      </c>
      <c r="L341" s="58" t="s">
        <v>1163</v>
      </c>
      <c r="M341" s="61" t="s">
        <v>1164</v>
      </c>
      <c r="N341" s="77"/>
      <c r="O341" s="58"/>
      <c r="P341" s="58"/>
      <c r="Q341" s="84"/>
      <c r="R341" s="62"/>
      <c r="S341" s="37" t="str">
        <f>IFERROR(__xludf.DUMMYFUNCTION("if(not(iserror(index(split(C341, "" ""),2))), index(split(C341, "" ""),1),"""")"),"August")</f>
        <v>August</v>
      </c>
      <c r="T341" s="38">
        <f>IFERROR(__xludf.DUMMYFUNCTION("if(S341="""",C341,if(not(iserror(index(split(C341, "" ""),3))), index(split(C341, "" ""),3),index(split(C341, "" ""),2)))"),2017.0)</f>
        <v>2017</v>
      </c>
      <c r="U341" s="38" t="b">
        <f t="shared" si="34"/>
        <v>0</v>
      </c>
      <c r="V341" s="38"/>
      <c r="W341" s="40"/>
      <c r="X341" s="40"/>
      <c r="Y341" s="40"/>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row>
    <row r="342">
      <c r="A342" s="13" t="s">
        <v>239</v>
      </c>
      <c r="B342" s="30">
        <v>42968.0</v>
      </c>
      <c r="C342" s="30">
        <v>42966.0</v>
      </c>
      <c r="D342" s="32" t="s">
        <v>1165</v>
      </c>
      <c r="E342" s="13" t="s">
        <v>41</v>
      </c>
      <c r="F342" s="13">
        <v>1.0</v>
      </c>
      <c r="G342" s="13">
        <v>60.0</v>
      </c>
      <c r="H342" s="33">
        <f t="shared" si="48"/>
        <v>60</v>
      </c>
      <c r="I342" s="13" t="s">
        <v>33</v>
      </c>
      <c r="J342" s="13" t="s">
        <v>147</v>
      </c>
      <c r="K342" s="13">
        <v>1.0</v>
      </c>
      <c r="L342" s="13" t="s">
        <v>194</v>
      </c>
      <c r="M342" s="35" t="s">
        <v>1166</v>
      </c>
      <c r="N342" s="15"/>
      <c r="O342" s="16"/>
      <c r="P342" s="16"/>
      <c r="Q342" s="16"/>
      <c r="R342" s="16"/>
      <c r="S342" s="37" t="str">
        <f>IFERROR(__xludf.DUMMYFUNCTION("if(not(iserror(index(split(C342, "" ""),2))), index(split(C342, "" ""),1),"""")"),"August")</f>
        <v>August</v>
      </c>
      <c r="T342" s="38">
        <f>IFERROR(__xludf.DUMMYFUNCTION("if(S342="""",C342,if(not(iserror(index(split(C342, "" ""),3))), index(split(C342, "" ""),3),index(split(C342, "" ""),2)))"),2017.0)</f>
        <v>2017</v>
      </c>
      <c r="U342" s="38" t="b">
        <f t="shared" si="34"/>
        <v>1</v>
      </c>
      <c r="V342" s="38"/>
      <c r="W342" s="40"/>
      <c r="X342" s="40"/>
      <c r="Y342" s="40"/>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row>
    <row r="343">
      <c r="A343" s="13" t="s">
        <v>1167</v>
      </c>
      <c r="B343" s="30">
        <v>42971.0</v>
      </c>
      <c r="C343" s="30">
        <v>42966.0</v>
      </c>
      <c r="D343" s="32" t="s">
        <v>1165</v>
      </c>
      <c r="E343" s="13" t="s">
        <v>41</v>
      </c>
      <c r="F343" s="13">
        <v>1.0</v>
      </c>
      <c r="G343" s="13" t="s">
        <v>32</v>
      </c>
      <c r="H343" s="33">
        <f t="shared" si="48"/>
        <v>1</v>
      </c>
      <c r="I343" s="13" t="s">
        <v>33</v>
      </c>
      <c r="J343" s="13" t="s">
        <v>93</v>
      </c>
      <c r="K343" s="13" t="s">
        <v>32</v>
      </c>
      <c r="L343" s="13" t="s">
        <v>76</v>
      </c>
      <c r="M343" s="56" t="s">
        <v>1168</v>
      </c>
      <c r="N343" s="35" t="s">
        <v>1169</v>
      </c>
      <c r="O343" s="57" t="str">
        <f>hyperlink("https://bad-boys.us/?q=ND-NY/5:18-cr-00035", "ND-NY 5:18-cr-00035")</f>
        <v>ND-NY 5:18-cr-00035</v>
      </c>
      <c r="P343" s="86" t="s">
        <v>1170</v>
      </c>
      <c r="Q343" s="37">
        <v>1.0</v>
      </c>
      <c r="R343" s="16"/>
      <c r="S343" s="37" t="str">
        <f>IFERROR(__xludf.DUMMYFUNCTION("if(not(iserror(index(split(C343, "" ""),2))), index(split(C343, "" ""),1),"""")"),"August")</f>
        <v>August</v>
      </c>
      <c r="T343" s="38">
        <f>IFERROR(__xludf.DUMMYFUNCTION("if(S343="""",C343,if(not(iserror(index(split(C343, "" ""),3))), index(split(C343, "" ""),3),index(split(C343, "" ""),2)))"),2017.0)</f>
        <v>2017</v>
      </c>
      <c r="U343" s="38" t="b">
        <f t="shared" si="34"/>
        <v>0</v>
      </c>
      <c r="V343" s="38"/>
      <c r="W343" s="40"/>
      <c r="X343" s="40"/>
      <c r="Y343" s="40"/>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row>
    <row r="344">
      <c r="A344" s="13" t="s">
        <v>1171</v>
      </c>
      <c r="B344" s="30">
        <v>42975.0</v>
      </c>
      <c r="C344" s="30">
        <v>42968.0</v>
      </c>
      <c r="D344" s="32" t="s">
        <v>1172</v>
      </c>
      <c r="E344" s="13" t="s">
        <v>31</v>
      </c>
      <c r="F344" s="13">
        <v>3.0</v>
      </c>
      <c r="G344" s="13" t="s">
        <v>32</v>
      </c>
      <c r="H344" s="33">
        <f t="shared" si="48"/>
        <v>1</v>
      </c>
      <c r="I344" s="13" t="s">
        <v>33</v>
      </c>
      <c r="J344" s="13" t="s">
        <v>318</v>
      </c>
      <c r="K344" s="13" t="s">
        <v>32</v>
      </c>
      <c r="L344" s="13" t="s">
        <v>1173</v>
      </c>
      <c r="M344" s="35" t="s">
        <v>1174</v>
      </c>
      <c r="N344" s="15"/>
      <c r="O344" s="16"/>
      <c r="P344" s="16"/>
      <c r="Q344" s="16"/>
      <c r="R344" s="16"/>
      <c r="S344" s="37" t="str">
        <f>IFERROR(__xludf.DUMMYFUNCTION("if(not(iserror(index(split(C344, "" ""),2))), index(split(C344, "" ""),1),"""")"),"August")</f>
        <v>August</v>
      </c>
      <c r="T344" s="38">
        <f>IFERROR(__xludf.DUMMYFUNCTION("if(S344="""",C344,if(not(iserror(index(split(C344, "" ""),3))), index(split(C344, "" ""),3),index(split(C344, "" ""),2)))"),2017.0)</f>
        <v>2017</v>
      </c>
      <c r="U344" s="38" t="b">
        <f t="shared" si="34"/>
        <v>0</v>
      </c>
      <c r="V344" s="38"/>
      <c r="W344" s="40"/>
      <c r="X344" s="40"/>
      <c r="Y344" s="40"/>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row>
    <row r="345">
      <c r="A345" s="13" t="s">
        <v>1175</v>
      </c>
      <c r="B345" s="30">
        <v>42971.0</v>
      </c>
      <c r="C345" s="30">
        <v>42970.0</v>
      </c>
      <c r="D345" s="32" t="s">
        <v>1176</v>
      </c>
      <c r="E345" s="13" t="s">
        <v>31</v>
      </c>
      <c r="F345" s="13">
        <v>1.0</v>
      </c>
      <c r="G345" s="13" t="s">
        <v>32</v>
      </c>
      <c r="H345" s="33">
        <f t="shared" si="48"/>
        <v>1</v>
      </c>
      <c r="I345" s="13" t="s">
        <v>33</v>
      </c>
      <c r="J345" s="13" t="s">
        <v>268</v>
      </c>
      <c r="K345" s="13" t="s">
        <v>32</v>
      </c>
      <c r="L345" s="13" t="s">
        <v>1177</v>
      </c>
      <c r="M345" s="35" t="s">
        <v>1178</v>
      </c>
      <c r="N345" s="15"/>
      <c r="O345" s="16"/>
      <c r="P345" s="16"/>
      <c r="Q345" s="16"/>
      <c r="R345" s="16"/>
      <c r="S345" s="37" t="str">
        <f>IFERROR(__xludf.DUMMYFUNCTION("if(not(iserror(index(split(C345, "" ""),2))), index(split(C345, "" ""),1),"""")"),"August")</f>
        <v>August</v>
      </c>
      <c r="T345" s="38">
        <f>IFERROR(__xludf.DUMMYFUNCTION("if(S345="""",C345,if(not(iserror(index(split(C345, "" ""),3))), index(split(C345, "" ""),3),index(split(C345, "" ""),2)))"),2017.0)</f>
        <v>2017</v>
      </c>
      <c r="U345" s="38" t="b">
        <f t="shared" si="34"/>
        <v>0</v>
      </c>
      <c r="V345" s="38"/>
      <c r="W345" s="40"/>
      <c r="X345" s="40"/>
      <c r="Y345" s="40"/>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row>
    <row r="346">
      <c r="A346" s="13" t="s">
        <v>40</v>
      </c>
      <c r="B346" s="30">
        <v>42973.0</v>
      </c>
      <c r="C346" s="30">
        <v>42971.0</v>
      </c>
      <c r="D346" s="32" t="s">
        <v>1179</v>
      </c>
      <c r="E346" s="13" t="s">
        <v>31</v>
      </c>
      <c r="F346" s="13">
        <v>4.0</v>
      </c>
      <c r="G346" s="13" t="s">
        <v>32</v>
      </c>
      <c r="H346" s="33">
        <f t="shared" si="48"/>
        <v>1</v>
      </c>
      <c r="I346" s="13" t="s">
        <v>33</v>
      </c>
      <c r="J346" s="13" t="s">
        <v>433</v>
      </c>
      <c r="K346" s="13">
        <v>1.0</v>
      </c>
      <c r="L346" s="34" t="s">
        <v>35</v>
      </c>
      <c r="M346" s="35" t="s">
        <v>1180</v>
      </c>
      <c r="N346" s="15"/>
      <c r="O346" s="16"/>
      <c r="P346" s="16"/>
      <c r="Q346" s="16"/>
      <c r="R346" s="16"/>
      <c r="S346" s="37" t="str">
        <f>IFERROR(__xludf.DUMMYFUNCTION("if(not(iserror(index(split(C346, "" ""),2))), index(split(C346, "" ""),1),"""")"),"August")</f>
        <v>August</v>
      </c>
      <c r="T346" s="38">
        <f>IFERROR(__xludf.DUMMYFUNCTION("if(S346="""",C346,if(not(iserror(index(split(C346, "" ""),3))), index(split(C346, "" ""),3),index(split(C346, "" ""),2)))"),2017.0)</f>
        <v>2017</v>
      </c>
      <c r="U346" s="38" t="b">
        <f t="shared" si="34"/>
        <v>1</v>
      </c>
      <c r="V346" s="38"/>
      <c r="W346" s="40"/>
      <c r="X346" s="40"/>
      <c r="Y346" s="40"/>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row>
    <row r="347">
      <c r="A347" s="13" t="s">
        <v>660</v>
      </c>
      <c r="B347" s="30">
        <v>42974.0</v>
      </c>
      <c r="C347" s="30">
        <v>42972.0</v>
      </c>
      <c r="D347" s="32" t="s">
        <v>1181</v>
      </c>
      <c r="E347" s="13" t="s">
        <v>31</v>
      </c>
      <c r="F347" s="13">
        <v>8.0</v>
      </c>
      <c r="G347" s="13" t="s">
        <v>32</v>
      </c>
      <c r="H347" s="33">
        <f t="shared" si="48"/>
        <v>1</v>
      </c>
      <c r="I347" s="13" t="s">
        <v>33</v>
      </c>
      <c r="J347" s="13" t="s">
        <v>433</v>
      </c>
      <c r="K347" s="13">
        <v>1.0</v>
      </c>
      <c r="L347" s="13" t="s">
        <v>35</v>
      </c>
      <c r="M347" s="46" t="s">
        <v>1182</v>
      </c>
      <c r="N347" s="15"/>
      <c r="O347" s="16"/>
      <c r="P347" s="16"/>
      <c r="Q347" s="16"/>
      <c r="R347" s="16"/>
      <c r="S347" s="37" t="str">
        <f>IFERROR(__xludf.DUMMYFUNCTION("if(not(iserror(index(split(C347, "" ""),2))), index(split(C347, "" ""),1),"""")"),"August")</f>
        <v>August</v>
      </c>
      <c r="T347" s="38">
        <f>IFERROR(__xludf.DUMMYFUNCTION("if(S347="""",C347,if(not(iserror(index(split(C347, "" ""),3))), index(split(C347, "" ""),3),index(split(C347, "" ""),2)))"),2017.0)</f>
        <v>2017</v>
      </c>
      <c r="U347" s="38" t="b">
        <f t="shared" si="34"/>
        <v>1</v>
      </c>
      <c r="V347" s="38"/>
      <c r="W347" s="40"/>
      <c r="X347" s="40"/>
      <c r="Y347" s="40"/>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row>
    <row r="348">
      <c r="A348" s="58" t="s">
        <v>1183</v>
      </c>
      <c r="B348" s="59"/>
      <c r="C348" s="59">
        <v>42972.0</v>
      </c>
      <c r="D348" s="60"/>
      <c r="E348" s="58" t="s">
        <v>41</v>
      </c>
      <c r="F348" s="58">
        <v>1.0</v>
      </c>
      <c r="G348" s="58" t="s">
        <v>32</v>
      </c>
      <c r="H348" s="43">
        <v>1.0</v>
      </c>
      <c r="I348" s="58" t="s">
        <v>33</v>
      </c>
      <c r="J348" s="58" t="s">
        <v>1184</v>
      </c>
      <c r="K348" s="58"/>
      <c r="L348" s="58" t="s">
        <v>1185</v>
      </c>
      <c r="M348" s="61" t="s">
        <v>1186</v>
      </c>
      <c r="N348" s="77"/>
      <c r="O348" s="62"/>
      <c r="P348" s="62"/>
      <c r="Q348" s="62"/>
      <c r="R348" s="62"/>
      <c r="S348" s="37" t="str">
        <f>IFERROR(__xludf.DUMMYFUNCTION("if(not(iserror(index(split(C348, "" ""),2))), index(split(C348, "" ""),1),"""")"),"August")</f>
        <v>August</v>
      </c>
      <c r="T348" s="38">
        <f>IFERROR(__xludf.DUMMYFUNCTION("if(S348="""",C348,if(not(iserror(index(split(C348, "" ""),3))), index(split(C348, "" ""),3),index(split(C348, "" ""),2)))"),2017.0)</f>
        <v>2017</v>
      </c>
      <c r="U348" s="38" t="b">
        <f t="shared" si="34"/>
        <v>0</v>
      </c>
      <c r="V348" s="38" t="s">
        <v>33</v>
      </c>
      <c r="W348" s="40"/>
      <c r="X348" s="40"/>
      <c r="Y348" s="40"/>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row>
    <row r="349">
      <c r="A349" s="58" t="s">
        <v>1187</v>
      </c>
      <c r="B349" s="59">
        <v>43259.0</v>
      </c>
      <c r="C349" s="59">
        <v>42972.0</v>
      </c>
      <c r="D349" s="60" t="s">
        <v>1188</v>
      </c>
      <c r="E349" s="58" t="s">
        <v>41</v>
      </c>
      <c r="F349" s="58">
        <v>1.0</v>
      </c>
      <c r="G349" s="58" t="s">
        <v>32</v>
      </c>
      <c r="H349" s="33">
        <f t="shared" ref="H349:H353" si="49">if(G349="Unknown",1,G349)</f>
        <v>1</v>
      </c>
      <c r="I349" s="58" t="s">
        <v>33</v>
      </c>
      <c r="J349" s="58" t="s">
        <v>288</v>
      </c>
      <c r="K349" s="58">
        <v>1.0</v>
      </c>
      <c r="L349" s="58" t="s">
        <v>99</v>
      </c>
      <c r="M349" s="61" t="s">
        <v>1189</v>
      </c>
      <c r="N349" s="77"/>
      <c r="O349" s="62"/>
      <c r="P349" s="62"/>
      <c r="Q349" s="62"/>
      <c r="R349" s="62"/>
      <c r="S349" s="37" t="str">
        <f>IFERROR(__xludf.DUMMYFUNCTION("if(not(iserror(index(split(C349, "" ""),2))), index(split(C349, "" ""),1),"""")"),"August")</f>
        <v>August</v>
      </c>
      <c r="T349" s="38">
        <f>IFERROR(__xludf.DUMMYFUNCTION("if(S349="""",C349,if(not(iserror(index(split(C349, "" ""),3))), index(split(C349, "" ""),3),index(split(C349, "" ""),2)))"),2017.0)</f>
        <v>2017</v>
      </c>
      <c r="U349" s="38" t="b">
        <f t="shared" si="34"/>
        <v>0</v>
      </c>
      <c r="V349" s="38"/>
      <c r="W349" s="40"/>
      <c r="X349" s="40"/>
      <c r="Y349" s="40"/>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row>
    <row r="350">
      <c r="A350" s="13" t="s">
        <v>1190</v>
      </c>
      <c r="B350" s="30">
        <v>42975.0</v>
      </c>
      <c r="C350" s="30">
        <v>42975.0</v>
      </c>
      <c r="D350" s="32" t="s">
        <v>1191</v>
      </c>
      <c r="E350" s="13" t="s">
        <v>31</v>
      </c>
      <c r="F350" s="13">
        <v>1.0</v>
      </c>
      <c r="G350" s="13" t="s">
        <v>32</v>
      </c>
      <c r="H350" s="33">
        <f t="shared" si="49"/>
        <v>1</v>
      </c>
      <c r="I350" s="13" t="s">
        <v>33</v>
      </c>
      <c r="J350" s="13" t="s">
        <v>55</v>
      </c>
      <c r="K350" s="13" t="s">
        <v>32</v>
      </c>
      <c r="L350" s="13" t="s">
        <v>99</v>
      </c>
      <c r="M350" s="35" t="s">
        <v>1192</v>
      </c>
      <c r="N350" s="15"/>
      <c r="O350" s="16"/>
      <c r="P350" s="16"/>
      <c r="Q350" s="16"/>
      <c r="R350" s="16"/>
      <c r="S350" s="37" t="str">
        <f>IFERROR(__xludf.DUMMYFUNCTION("if(not(iserror(index(split(C350, "" ""),2))), index(split(C350, "" ""),1),"""")"),"August")</f>
        <v>August</v>
      </c>
      <c r="T350" s="38">
        <f>IFERROR(__xludf.DUMMYFUNCTION("if(S350="""",C350,if(not(iserror(index(split(C350, "" ""),3))), index(split(C350, "" ""),3),index(split(C350, "" ""),2)))"),2017.0)</f>
        <v>2017</v>
      </c>
      <c r="U350" s="38" t="b">
        <f t="shared" si="34"/>
        <v>0</v>
      </c>
      <c r="V350" s="38"/>
      <c r="W350" s="40"/>
      <c r="X350" s="40"/>
      <c r="Y350" s="40"/>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row>
    <row r="351">
      <c r="A351" s="78" t="s">
        <v>239</v>
      </c>
      <c r="B351" s="30">
        <v>42976.0</v>
      </c>
      <c r="C351" s="30">
        <v>42975.0</v>
      </c>
      <c r="D351" s="32" t="s">
        <v>1191</v>
      </c>
      <c r="E351" s="13" t="s">
        <v>41</v>
      </c>
      <c r="F351" s="13">
        <v>1.0</v>
      </c>
      <c r="G351" s="13">
        <v>1.0</v>
      </c>
      <c r="H351" s="33">
        <f t="shared" si="49"/>
        <v>1</v>
      </c>
      <c r="I351" s="13" t="s">
        <v>33</v>
      </c>
      <c r="J351" s="13" t="s">
        <v>241</v>
      </c>
      <c r="K351" s="13">
        <v>1.0</v>
      </c>
      <c r="L351" s="13" t="s">
        <v>194</v>
      </c>
      <c r="M351" s="35" t="s">
        <v>1193</v>
      </c>
      <c r="N351" s="15"/>
      <c r="O351" s="16"/>
      <c r="P351" s="16"/>
      <c r="Q351" s="16"/>
      <c r="R351" s="16"/>
      <c r="S351" s="37" t="str">
        <f>IFERROR(__xludf.DUMMYFUNCTION("if(not(iserror(index(split(C351, "" ""),2))), index(split(C351, "" ""),1),"""")"),"August")</f>
        <v>August</v>
      </c>
      <c r="T351" s="38">
        <f>IFERROR(__xludf.DUMMYFUNCTION("if(S351="""",C351,if(not(iserror(index(split(C351, "" ""),3))), index(split(C351, "" ""),3),index(split(C351, "" ""),2)))"),2017.0)</f>
        <v>2017</v>
      </c>
      <c r="U351" s="38" t="b">
        <f t="shared" si="34"/>
        <v>1</v>
      </c>
      <c r="V351" s="38"/>
      <c r="W351" s="40"/>
      <c r="X351" s="40"/>
      <c r="Y351" s="40"/>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row>
    <row r="352">
      <c r="A352" s="58" t="s">
        <v>998</v>
      </c>
      <c r="B352" s="59">
        <v>43383.0</v>
      </c>
      <c r="C352" s="59">
        <v>42976.0</v>
      </c>
      <c r="D352" s="60" t="s">
        <v>1194</v>
      </c>
      <c r="E352" s="58" t="s">
        <v>41</v>
      </c>
      <c r="F352" s="58">
        <v>1.0</v>
      </c>
      <c r="G352" s="58">
        <v>1.0</v>
      </c>
      <c r="H352" s="33">
        <f t="shared" si="49"/>
        <v>1</v>
      </c>
      <c r="I352" s="58" t="s">
        <v>33</v>
      </c>
      <c r="J352" s="58" t="s">
        <v>106</v>
      </c>
      <c r="K352" s="58">
        <v>1.0</v>
      </c>
      <c r="L352" s="58" t="s">
        <v>76</v>
      </c>
      <c r="M352" s="61" t="s">
        <v>1195</v>
      </c>
      <c r="N352" s="36" t="s">
        <v>1196</v>
      </c>
      <c r="O352" s="88" t="str">
        <f>hyperlink("https://bad-boys.us/?q=MD-FL/8:18-cr-00036", "MD-FL 8:18-cr-00036")</f>
        <v>MD-FL 8:18-cr-00036</v>
      </c>
      <c r="P352" s="88" t="s">
        <v>1197</v>
      </c>
      <c r="Q352" s="84">
        <v>1.0</v>
      </c>
      <c r="R352" s="62"/>
      <c r="S352" s="37" t="str">
        <f>IFERROR(__xludf.DUMMYFUNCTION("if(not(iserror(index(split(C352, "" ""),2))), index(split(C352, "" ""),1),"""")"),"August")</f>
        <v>August</v>
      </c>
      <c r="T352" s="38">
        <f>IFERROR(__xludf.DUMMYFUNCTION("if(S352="""",C352,if(not(iserror(index(split(C352, "" ""),3))), index(split(C352, "" ""),3),index(split(C352, "" ""),2)))"),2017.0)</f>
        <v>2017</v>
      </c>
      <c r="U352" s="38" t="b">
        <f t="shared" si="34"/>
        <v>1</v>
      </c>
      <c r="V352" s="38"/>
      <c r="W352" s="40"/>
      <c r="X352" s="40"/>
      <c r="Y352" s="40"/>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row>
    <row r="353">
      <c r="A353" s="37" t="s">
        <v>1198</v>
      </c>
      <c r="B353" s="30">
        <v>43222.0</v>
      </c>
      <c r="C353" s="30">
        <v>42977.0</v>
      </c>
      <c r="D353" s="32" t="s">
        <v>1199</v>
      </c>
      <c r="E353" s="13" t="s">
        <v>41</v>
      </c>
      <c r="F353" s="13">
        <v>1.0</v>
      </c>
      <c r="G353" s="13" t="s">
        <v>32</v>
      </c>
      <c r="H353" s="33">
        <f t="shared" si="49"/>
        <v>1</v>
      </c>
      <c r="I353" s="13" t="s">
        <v>33</v>
      </c>
      <c r="J353" s="13" t="s">
        <v>193</v>
      </c>
      <c r="K353" s="13">
        <v>2.0</v>
      </c>
      <c r="L353" s="13" t="s">
        <v>1200</v>
      </c>
      <c r="M353" s="35" t="s">
        <v>1201</v>
      </c>
      <c r="N353" s="15"/>
      <c r="O353" s="16"/>
      <c r="P353" s="16"/>
      <c r="Q353" s="16"/>
      <c r="R353" s="16"/>
      <c r="S353" s="37" t="str">
        <f>IFERROR(__xludf.DUMMYFUNCTION("if(not(iserror(index(split(C353, "" ""),2))), index(split(C353, "" ""),1),"""")"),"August")</f>
        <v>August</v>
      </c>
      <c r="T353" s="38">
        <f>IFERROR(__xludf.DUMMYFUNCTION("if(S353="""",C353,if(not(iserror(index(split(C353, "" ""),3))), index(split(C353, "" ""),3),index(split(C353, "" ""),2)))"),2017.0)</f>
        <v>2017</v>
      </c>
      <c r="U353" s="38" t="b">
        <f t="shared" si="34"/>
        <v>0</v>
      </c>
      <c r="V353" s="38"/>
      <c r="W353" s="40"/>
      <c r="X353" s="40"/>
      <c r="Y353" s="40"/>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row>
    <row r="354">
      <c r="A354" s="37" t="s">
        <v>1202</v>
      </c>
      <c r="B354" s="30"/>
      <c r="C354" s="30">
        <v>42977.0</v>
      </c>
      <c r="D354" s="32"/>
      <c r="E354" s="13" t="s">
        <v>41</v>
      </c>
      <c r="F354" s="13">
        <v>1.0</v>
      </c>
      <c r="G354" s="13" t="s">
        <v>32</v>
      </c>
      <c r="H354" s="43">
        <v>1.0</v>
      </c>
      <c r="I354" s="13" t="s">
        <v>33</v>
      </c>
      <c r="J354" s="13" t="s">
        <v>47</v>
      </c>
      <c r="K354" s="13"/>
      <c r="L354" s="13" t="s">
        <v>1203</v>
      </c>
      <c r="M354" s="35" t="s">
        <v>1204</v>
      </c>
      <c r="N354" s="36" t="s">
        <v>1205</v>
      </c>
      <c r="O354" s="16"/>
      <c r="P354" s="16"/>
      <c r="Q354" s="16"/>
      <c r="R354" s="16"/>
      <c r="S354" s="37" t="str">
        <f>IFERROR(__xludf.DUMMYFUNCTION("if(not(iserror(index(split(C354, "" ""),2))), index(split(C354, "" ""),1),"""")"),"August")</f>
        <v>August</v>
      </c>
      <c r="T354" s="38">
        <f>IFERROR(__xludf.DUMMYFUNCTION("if(S354="""",C354,if(not(iserror(index(split(C354, "" ""),3))), index(split(C354, "" ""),3),index(split(C354, "" ""),2)))"),2017.0)</f>
        <v>2017</v>
      </c>
      <c r="U354" s="38" t="b">
        <f t="shared" si="34"/>
        <v>0</v>
      </c>
      <c r="V354" s="38" t="s">
        <v>33</v>
      </c>
      <c r="W354" s="39" t="s">
        <v>1206</v>
      </c>
      <c r="X354" s="40"/>
      <c r="Y354" s="40"/>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row>
    <row r="355">
      <c r="A355" s="37" t="s">
        <v>1207</v>
      </c>
      <c r="B355" s="59">
        <v>43255.0</v>
      </c>
      <c r="C355" s="59">
        <v>42977.0</v>
      </c>
      <c r="D355" s="60" t="s">
        <v>1199</v>
      </c>
      <c r="E355" s="58" t="s">
        <v>41</v>
      </c>
      <c r="F355" s="58">
        <v>1.0</v>
      </c>
      <c r="G355" s="58" t="s">
        <v>32</v>
      </c>
      <c r="H355" s="33">
        <f>if(G355="Unknown",1,G355)</f>
        <v>1</v>
      </c>
      <c r="I355" s="58" t="s">
        <v>33</v>
      </c>
      <c r="J355" s="58" t="s">
        <v>47</v>
      </c>
      <c r="K355" s="58">
        <v>2.0</v>
      </c>
      <c r="L355" s="58" t="s">
        <v>1208</v>
      </c>
      <c r="M355" s="61" t="s">
        <v>1209</v>
      </c>
      <c r="N355" s="77"/>
      <c r="O355" s="83" t="str">
        <f>hyperlink("https://bad-boys.us/?q=MD-FL/3:17-cr-00210", "MD-FL 3:17-cr-00210")</f>
        <v>MD-FL 3:17-cr-00210</v>
      </c>
      <c r="P355" s="88" t="s">
        <v>1210</v>
      </c>
      <c r="Q355" s="84">
        <v>1.0</v>
      </c>
      <c r="R355" s="62"/>
      <c r="S355" s="37" t="str">
        <f>IFERROR(__xludf.DUMMYFUNCTION("if(not(iserror(index(split(C355, "" ""),2))), index(split(C355, "" ""),1),"""")"),"August")</f>
        <v>August</v>
      </c>
      <c r="T355" s="38">
        <f>IFERROR(__xludf.DUMMYFUNCTION("if(S355="""",C355,if(not(iserror(index(split(C355, "" ""),3))), index(split(C355, "" ""),3),index(split(C355, "" ""),2)))"),2017.0)</f>
        <v>2017</v>
      </c>
      <c r="U355" s="38" t="b">
        <f t="shared" si="34"/>
        <v>0</v>
      </c>
      <c r="V355" s="38"/>
      <c r="W355" s="40"/>
      <c r="X355" s="40"/>
      <c r="Y355" s="40"/>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row>
    <row r="356">
      <c r="A356" s="78" t="s">
        <v>1211</v>
      </c>
      <c r="B356" s="30"/>
      <c r="C356" s="30">
        <v>42978.0</v>
      </c>
      <c r="D356" s="32"/>
      <c r="E356" s="13" t="s">
        <v>31</v>
      </c>
      <c r="F356" s="13">
        <v>1.0</v>
      </c>
      <c r="G356" s="13" t="s">
        <v>32</v>
      </c>
      <c r="H356" s="43">
        <v>1.0</v>
      </c>
      <c r="I356" s="13" t="s">
        <v>33</v>
      </c>
      <c r="J356" s="13" t="s">
        <v>93</v>
      </c>
      <c r="K356" s="13"/>
      <c r="L356" s="13" t="s">
        <v>99</v>
      </c>
      <c r="M356" s="35" t="s">
        <v>1212</v>
      </c>
      <c r="N356" s="36" t="s">
        <v>1213</v>
      </c>
      <c r="O356" s="16"/>
      <c r="P356" s="16"/>
      <c r="Q356" s="16"/>
      <c r="R356" s="16"/>
      <c r="S356" s="37"/>
      <c r="T356" s="38"/>
      <c r="U356" s="38"/>
      <c r="V356" s="38" t="s">
        <v>33</v>
      </c>
      <c r="W356" s="39" t="s">
        <v>1214</v>
      </c>
      <c r="X356" s="39" t="s">
        <v>1215</v>
      </c>
      <c r="Y356" s="40"/>
      <c r="Z356" s="38">
        <v>4630.0</v>
      </c>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row>
    <row r="357">
      <c r="A357" s="78" t="s">
        <v>1216</v>
      </c>
      <c r="B357" s="30">
        <v>42978.0</v>
      </c>
      <c r="C357" s="30">
        <v>42978.0</v>
      </c>
      <c r="D357" s="32" t="s">
        <v>1217</v>
      </c>
      <c r="E357" s="13" t="s">
        <v>41</v>
      </c>
      <c r="F357" s="13">
        <v>1.0</v>
      </c>
      <c r="G357" s="13" t="s">
        <v>32</v>
      </c>
      <c r="H357" s="33">
        <f t="shared" ref="H357:H374" si="50">if(G357="Unknown",1,G357)</f>
        <v>1</v>
      </c>
      <c r="I357" s="13" t="s">
        <v>33</v>
      </c>
      <c r="J357" s="13" t="s">
        <v>42</v>
      </c>
      <c r="K357" s="13" t="s">
        <v>32</v>
      </c>
      <c r="L357" s="13" t="s">
        <v>1218</v>
      </c>
      <c r="M357" s="35" t="s">
        <v>1219</v>
      </c>
      <c r="N357" s="15"/>
      <c r="O357" s="16"/>
      <c r="P357" s="16"/>
      <c r="Q357" s="16"/>
      <c r="R357" s="16"/>
      <c r="S357" s="37" t="str">
        <f>IFERROR(__xludf.DUMMYFUNCTION("if(not(iserror(index(split(C357, "" ""),2))), index(split(C357, "" ""),1),"""")"),"August")</f>
        <v>August</v>
      </c>
      <c r="T357" s="38">
        <f>IFERROR(__xludf.DUMMYFUNCTION("if(S357="""",C357,if(not(iserror(index(split(C357, "" ""),3))), index(split(C357, "" ""),3),index(split(C357, "" ""),2)))"),2017.0)</f>
        <v>2017</v>
      </c>
      <c r="U357" s="38" t="b">
        <f t="shared" ref="U357:U374" si="51">countif(A$4:A4658, A357)&gt;1</f>
        <v>0</v>
      </c>
      <c r="V357" s="38"/>
      <c r="W357" s="40"/>
      <c r="X357" s="40"/>
      <c r="Y357" s="40"/>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row>
    <row r="358">
      <c r="A358" s="37" t="s">
        <v>239</v>
      </c>
      <c r="B358" s="30">
        <v>42979.0</v>
      </c>
      <c r="C358" s="30">
        <v>42978.0</v>
      </c>
      <c r="D358" s="32" t="s">
        <v>1217</v>
      </c>
      <c r="E358" s="13" t="s">
        <v>41</v>
      </c>
      <c r="F358" s="13">
        <v>2.0</v>
      </c>
      <c r="G358" s="13">
        <v>2.0</v>
      </c>
      <c r="H358" s="33">
        <f t="shared" si="50"/>
        <v>2</v>
      </c>
      <c r="I358" s="13" t="s">
        <v>33</v>
      </c>
      <c r="J358" s="13" t="s">
        <v>147</v>
      </c>
      <c r="K358" s="13">
        <v>1.0</v>
      </c>
      <c r="L358" s="13" t="s">
        <v>194</v>
      </c>
      <c r="M358" s="35" t="s">
        <v>1220</v>
      </c>
      <c r="N358" s="15"/>
      <c r="O358" s="16"/>
      <c r="P358" s="16"/>
      <c r="Q358" s="16"/>
      <c r="R358" s="16"/>
      <c r="S358" s="37" t="str">
        <f>IFERROR(__xludf.DUMMYFUNCTION("if(not(iserror(index(split(C358, "" ""),2))), index(split(C358, "" ""),1),"""")"),"August")</f>
        <v>August</v>
      </c>
      <c r="T358" s="38">
        <f>IFERROR(__xludf.DUMMYFUNCTION("if(S358="""",C358,if(not(iserror(index(split(C358, "" ""),3))), index(split(C358, "" ""),3),index(split(C358, "" ""),2)))"),2017.0)</f>
        <v>2017</v>
      </c>
      <c r="U358" s="38" t="b">
        <f t="shared" si="51"/>
        <v>1</v>
      </c>
      <c r="V358" s="38"/>
      <c r="W358" s="40"/>
      <c r="X358" s="40"/>
      <c r="Y358" s="40"/>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row>
    <row r="359">
      <c r="A359" s="58" t="s">
        <v>1221</v>
      </c>
      <c r="B359" s="59">
        <v>43411.0</v>
      </c>
      <c r="C359" s="59">
        <v>42978.0</v>
      </c>
      <c r="D359" s="60" t="s">
        <v>1217</v>
      </c>
      <c r="E359" s="58" t="s">
        <v>41</v>
      </c>
      <c r="F359" s="58">
        <v>1.0</v>
      </c>
      <c r="G359" s="58" t="s">
        <v>32</v>
      </c>
      <c r="H359" s="33">
        <f t="shared" si="50"/>
        <v>1</v>
      </c>
      <c r="I359" s="58" t="s">
        <v>33</v>
      </c>
      <c r="J359" s="58" t="s">
        <v>1184</v>
      </c>
      <c r="K359" s="58">
        <v>1.0</v>
      </c>
      <c r="L359" s="58" t="s">
        <v>69</v>
      </c>
      <c r="M359" s="61" t="s">
        <v>1222</v>
      </c>
      <c r="N359" s="61" t="s">
        <v>1223</v>
      </c>
      <c r="O359" s="140" t="str">
        <f>hyperlink("https://bad-boys.us/?q=D-ID/1:18-cr-00038", "D-ID 1:18-cr-00038")</f>
        <v>D-ID 1:18-cr-00038</v>
      </c>
      <c r="P359" s="140" t="s">
        <v>1224</v>
      </c>
      <c r="Q359" s="58">
        <v>1.0</v>
      </c>
      <c r="R359" s="62"/>
      <c r="S359" s="37" t="str">
        <f>IFERROR(__xludf.DUMMYFUNCTION("if(not(iserror(index(split(C359, "" ""),2))), index(split(C359, "" ""),1),"""")"),"August")</f>
        <v>August</v>
      </c>
      <c r="T359" s="38">
        <f>IFERROR(__xludf.DUMMYFUNCTION("if(S359="""",C359,if(not(iserror(index(split(C359, "" ""),3))), index(split(C359, "" ""),3),index(split(C359, "" ""),2)))"),2017.0)</f>
        <v>2017</v>
      </c>
      <c r="U359" s="38" t="b">
        <f t="shared" si="51"/>
        <v>0</v>
      </c>
      <c r="V359" s="38"/>
      <c r="W359" s="40"/>
      <c r="X359" s="40"/>
      <c r="Y359" s="40"/>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row>
    <row r="360">
      <c r="A360" s="37" t="s">
        <v>1225</v>
      </c>
      <c r="B360" s="30">
        <v>42979.0</v>
      </c>
      <c r="C360" s="30">
        <v>42979.0</v>
      </c>
      <c r="D360" s="32" t="s">
        <v>1226</v>
      </c>
      <c r="E360" s="13" t="s">
        <v>41</v>
      </c>
      <c r="F360" s="13">
        <v>1.0</v>
      </c>
      <c r="G360" s="13" t="s">
        <v>32</v>
      </c>
      <c r="H360" s="33">
        <f t="shared" si="50"/>
        <v>1</v>
      </c>
      <c r="I360" s="13" t="s">
        <v>33</v>
      </c>
      <c r="J360" s="13" t="s">
        <v>140</v>
      </c>
      <c r="K360" s="13">
        <v>3.0</v>
      </c>
      <c r="L360" s="13" t="s">
        <v>99</v>
      </c>
      <c r="M360" s="35" t="s">
        <v>1227</v>
      </c>
      <c r="N360" s="15"/>
      <c r="O360" s="16"/>
      <c r="P360" s="16"/>
      <c r="Q360" s="16"/>
      <c r="R360" s="16"/>
      <c r="S360" s="37" t="str">
        <f>IFERROR(__xludf.DUMMYFUNCTION("if(not(iserror(index(split(C360, "" ""),2))), index(split(C360, "" ""),1),"""")"),"September")</f>
        <v>September</v>
      </c>
      <c r="T360" s="38">
        <f>IFERROR(__xludf.DUMMYFUNCTION("if(S360="""",C360,if(not(iserror(index(split(C360, "" ""),3))), index(split(C360, "" ""),3),index(split(C360, "" ""),2)))"),2017.0)</f>
        <v>2017</v>
      </c>
      <c r="U360" s="38" t="b">
        <f t="shared" si="51"/>
        <v>0</v>
      </c>
      <c r="V360" s="38"/>
      <c r="W360" s="40"/>
      <c r="X360" s="40"/>
      <c r="Y360" s="40"/>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row>
    <row r="361">
      <c r="A361" s="13" t="s">
        <v>40</v>
      </c>
      <c r="B361" s="30">
        <v>43011.0</v>
      </c>
      <c r="C361" s="31">
        <v>42979.0</v>
      </c>
      <c r="D361" s="32" t="s">
        <v>799</v>
      </c>
      <c r="E361" s="13" t="s">
        <v>31</v>
      </c>
      <c r="F361" s="13">
        <v>12.0</v>
      </c>
      <c r="G361" s="13" t="s">
        <v>32</v>
      </c>
      <c r="H361" s="33">
        <f t="shared" si="50"/>
        <v>1</v>
      </c>
      <c r="I361" s="13" t="s">
        <v>33</v>
      </c>
      <c r="J361" s="13" t="s">
        <v>47</v>
      </c>
      <c r="K361" s="13">
        <v>1.0</v>
      </c>
      <c r="L361" s="13" t="s">
        <v>1228</v>
      </c>
      <c r="M361" s="35" t="s">
        <v>1229</v>
      </c>
      <c r="N361" s="15"/>
      <c r="O361" s="16"/>
      <c r="P361" s="16"/>
      <c r="Q361" s="16"/>
      <c r="R361" s="16"/>
      <c r="S361" s="37" t="str">
        <f>IFERROR(__xludf.DUMMYFUNCTION("if(not(iserror(index(split(C361, "" ""),2))), index(split(C361, "" ""),1),"""")"),"September,")</f>
        <v>September,</v>
      </c>
      <c r="T361" s="38">
        <f>IFERROR(__xludf.DUMMYFUNCTION("if(S361="""",C361,if(not(iserror(index(split(C361, "" ""),3))), index(split(C361, "" ""),3),index(split(C361, "" ""),2)))"),2017.0)</f>
        <v>2017</v>
      </c>
      <c r="U361" s="38" t="b">
        <f t="shared" si="51"/>
        <v>1</v>
      </c>
      <c r="V361" s="38"/>
      <c r="W361" s="40"/>
      <c r="X361" s="40"/>
      <c r="Y361" s="40"/>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row>
    <row r="362">
      <c r="A362" s="37" t="s">
        <v>1230</v>
      </c>
      <c r="B362" s="59">
        <v>43069.0</v>
      </c>
      <c r="C362" s="79">
        <v>42979.0</v>
      </c>
      <c r="D362" s="60" t="s">
        <v>167</v>
      </c>
      <c r="E362" s="58" t="s">
        <v>41</v>
      </c>
      <c r="F362" s="58">
        <v>2.0</v>
      </c>
      <c r="G362" s="58" t="s">
        <v>32</v>
      </c>
      <c r="H362" s="33">
        <f t="shared" si="50"/>
        <v>1</v>
      </c>
      <c r="I362" s="58" t="s">
        <v>33</v>
      </c>
      <c r="J362" s="58" t="s">
        <v>85</v>
      </c>
      <c r="K362" s="58" t="s">
        <v>32</v>
      </c>
      <c r="L362" s="58" t="s">
        <v>35</v>
      </c>
      <c r="M362" s="36" t="s">
        <v>1231</v>
      </c>
      <c r="N362" s="77"/>
      <c r="O362" s="58"/>
      <c r="P362" s="58"/>
      <c r="Q362" s="84"/>
      <c r="R362" s="58"/>
      <c r="S362" s="37" t="str">
        <f>IFERROR(__xludf.DUMMYFUNCTION("if(not(iserror(index(split(C362, "" ""),2))), index(split(C362, "" ""),1),"""")"),"September,")</f>
        <v>September,</v>
      </c>
      <c r="T362" s="38">
        <f>IFERROR(__xludf.DUMMYFUNCTION("if(S362="""",C362,if(not(iserror(index(split(C362, "" ""),3))), index(split(C362, "" ""),3),index(split(C362, "" ""),2)))"),2017.0)</f>
        <v>2017</v>
      </c>
      <c r="U362" s="38" t="b">
        <f t="shared" si="51"/>
        <v>0</v>
      </c>
      <c r="V362" s="38"/>
      <c r="W362" s="40"/>
      <c r="X362" s="40"/>
      <c r="Y362" s="40"/>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row>
    <row r="363">
      <c r="A363" s="13" t="s">
        <v>1232</v>
      </c>
      <c r="B363" s="30">
        <v>43103.0</v>
      </c>
      <c r="C363" s="31">
        <v>42979.0</v>
      </c>
      <c r="D363" s="32" t="s">
        <v>799</v>
      </c>
      <c r="E363" s="13" t="s">
        <v>31</v>
      </c>
      <c r="F363" s="13">
        <v>1.0</v>
      </c>
      <c r="G363" s="13" t="s">
        <v>32</v>
      </c>
      <c r="H363" s="33">
        <f t="shared" si="50"/>
        <v>1</v>
      </c>
      <c r="I363" s="13" t="s">
        <v>33</v>
      </c>
      <c r="J363" s="13" t="s">
        <v>283</v>
      </c>
      <c r="K363" s="13" t="s">
        <v>40</v>
      </c>
      <c r="L363" s="13" t="s">
        <v>601</v>
      </c>
      <c r="M363" s="45" t="s">
        <v>1233</v>
      </c>
      <c r="N363" s="15"/>
      <c r="O363" s="16"/>
      <c r="P363" s="16"/>
      <c r="Q363" s="16"/>
      <c r="R363" s="16"/>
      <c r="S363" s="37" t="str">
        <f>IFERROR(__xludf.DUMMYFUNCTION("if(not(iserror(index(split(C363, "" ""),2))), index(split(C363, "" ""),1),"""")"),"September,")</f>
        <v>September,</v>
      </c>
      <c r="T363" s="38">
        <f>IFERROR(__xludf.DUMMYFUNCTION("if(S363="""",C363,if(not(iserror(index(split(C363, "" ""),3))), index(split(C363, "" ""),3),index(split(C363, "" ""),2)))"),2017.0)</f>
        <v>2017</v>
      </c>
      <c r="U363" s="38" t="b">
        <f t="shared" si="51"/>
        <v>0</v>
      </c>
      <c r="V363" s="38"/>
      <c r="W363" s="40"/>
      <c r="X363" s="40"/>
      <c r="Y363" s="40"/>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row>
    <row r="364">
      <c r="A364" s="13" t="s">
        <v>1234</v>
      </c>
      <c r="B364" s="30">
        <v>43128.0</v>
      </c>
      <c r="C364" s="31">
        <v>42979.0</v>
      </c>
      <c r="D364" s="32" t="s">
        <v>799</v>
      </c>
      <c r="E364" s="13" t="s">
        <v>41</v>
      </c>
      <c r="F364" s="13">
        <v>1.0</v>
      </c>
      <c r="G364" s="13" t="s">
        <v>32</v>
      </c>
      <c r="H364" s="33">
        <f t="shared" si="50"/>
        <v>1</v>
      </c>
      <c r="I364" s="13" t="s">
        <v>33</v>
      </c>
      <c r="J364" s="13" t="s">
        <v>524</v>
      </c>
      <c r="K364" s="13">
        <v>2.0</v>
      </c>
      <c r="L364" s="13" t="s">
        <v>1235</v>
      </c>
      <c r="M364" s="35" t="s">
        <v>1236</v>
      </c>
      <c r="N364" s="15"/>
      <c r="O364" s="16"/>
      <c r="P364" s="16"/>
      <c r="Q364" s="16"/>
      <c r="R364" s="16"/>
      <c r="S364" s="37" t="str">
        <f>IFERROR(__xludf.DUMMYFUNCTION("if(not(iserror(index(split(C364, "" ""),2))), index(split(C364, "" ""),1),"""")"),"September,")</f>
        <v>September,</v>
      </c>
      <c r="T364" s="38">
        <f>IFERROR(__xludf.DUMMYFUNCTION("if(S364="""",C364,if(not(iserror(index(split(C364, "" ""),3))), index(split(C364, "" ""),3),index(split(C364, "" ""),2)))"),2017.0)</f>
        <v>2017</v>
      </c>
      <c r="U364" s="38" t="b">
        <f t="shared" si="51"/>
        <v>0</v>
      </c>
      <c r="V364" s="38"/>
      <c r="W364" s="40"/>
      <c r="X364" s="40"/>
      <c r="Y364" s="40"/>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row>
    <row r="365">
      <c r="A365" s="13" t="s">
        <v>1237</v>
      </c>
      <c r="B365" s="30">
        <v>43128.0</v>
      </c>
      <c r="C365" s="31">
        <v>42979.0</v>
      </c>
      <c r="D365" s="32" t="s">
        <v>799</v>
      </c>
      <c r="E365" s="13" t="s">
        <v>41</v>
      </c>
      <c r="F365" s="13">
        <v>1.0</v>
      </c>
      <c r="G365" s="13" t="s">
        <v>32</v>
      </c>
      <c r="H365" s="33">
        <f t="shared" si="50"/>
        <v>1</v>
      </c>
      <c r="I365" s="13" t="s">
        <v>33</v>
      </c>
      <c r="J365" s="13" t="s">
        <v>524</v>
      </c>
      <c r="K365" s="13">
        <v>1.0</v>
      </c>
      <c r="L365" s="13" t="s">
        <v>99</v>
      </c>
      <c r="M365" s="56" t="s">
        <v>1238</v>
      </c>
      <c r="N365" s="14"/>
      <c r="O365" s="16"/>
      <c r="P365" s="16"/>
      <c r="Q365" s="16"/>
      <c r="R365" s="16"/>
      <c r="S365" s="37" t="str">
        <f>IFERROR(__xludf.DUMMYFUNCTION("if(not(iserror(index(split(C365, "" ""),2))), index(split(C365, "" ""),1),"""")"),"September,")</f>
        <v>September,</v>
      </c>
      <c r="T365" s="38">
        <f>IFERROR(__xludf.DUMMYFUNCTION("if(S365="""",C365,if(not(iserror(index(split(C365, "" ""),3))), index(split(C365, "" ""),3),index(split(C365, "" ""),2)))"),2017.0)</f>
        <v>2017</v>
      </c>
      <c r="U365" s="38" t="b">
        <f t="shared" si="51"/>
        <v>0</v>
      </c>
      <c r="V365" s="38" t="s">
        <v>33</v>
      </c>
      <c r="W365" s="39" t="s">
        <v>1239</v>
      </c>
      <c r="X365" s="40"/>
      <c r="Y365" s="40"/>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row>
    <row r="366">
      <c r="A366" s="141" t="s">
        <v>1240</v>
      </c>
      <c r="B366" s="30">
        <v>43133.0</v>
      </c>
      <c r="C366" s="31">
        <v>42979.0</v>
      </c>
      <c r="D366" s="32" t="s">
        <v>799</v>
      </c>
      <c r="E366" s="13" t="s">
        <v>31</v>
      </c>
      <c r="F366" s="13">
        <v>3.0</v>
      </c>
      <c r="G366" s="13">
        <v>2290.0</v>
      </c>
      <c r="H366" s="33">
        <f t="shared" si="50"/>
        <v>2290</v>
      </c>
      <c r="I366" s="13" t="s">
        <v>33</v>
      </c>
      <c r="J366" s="13" t="s">
        <v>40</v>
      </c>
      <c r="K366" s="13">
        <v>4.0</v>
      </c>
      <c r="L366" s="13" t="s">
        <v>601</v>
      </c>
      <c r="M366" s="35" t="s">
        <v>1241</v>
      </c>
      <c r="N366" s="15"/>
      <c r="O366" s="16"/>
      <c r="P366" s="16"/>
      <c r="Q366" s="16"/>
      <c r="R366" s="16"/>
      <c r="S366" s="37" t="str">
        <f>IFERROR(__xludf.DUMMYFUNCTION("if(not(iserror(index(split(C366, "" ""),2))), index(split(C366, "" ""),1),"""")"),"September,")</f>
        <v>September,</v>
      </c>
      <c r="T366" s="38">
        <f>IFERROR(__xludf.DUMMYFUNCTION("if(S366="""",C366,if(not(iserror(index(split(C366, "" ""),3))), index(split(C366, "" ""),3),index(split(C366, "" ""),2)))"),2017.0)</f>
        <v>2017</v>
      </c>
      <c r="U366" s="38" t="b">
        <f t="shared" si="51"/>
        <v>0</v>
      </c>
      <c r="V366" s="38"/>
      <c r="W366" s="40"/>
      <c r="X366" s="40"/>
      <c r="Y366" s="40"/>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row>
    <row r="367">
      <c r="A367" s="13" t="s">
        <v>1242</v>
      </c>
      <c r="B367" s="30">
        <v>43225.0</v>
      </c>
      <c r="C367" s="31">
        <v>42979.0</v>
      </c>
      <c r="D367" s="32" t="s">
        <v>799</v>
      </c>
      <c r="E367" s="13" t="s">
        <v>31</v>
      </c>
      <c r="F367" s="13">
        <v>1.0</v>
      </c>
      <c r="G367" s="13" t="s">
        <v>32</v>
      </c>
      <c r="H367" s="33">
        <f t="shared" si="50"/>
        <v>1</v>
      </c>
      <c r="I367" s="13" t="s">
        <v>33</v>
      </c>
      <c r="J367" s="13" t="s">
        <v>106</v>
      </c>
      <c r="K367" s="13">
        <v>3.0</v>
      </c>
      <c r="L367" s="13" t="s">
        <v>1243</v>
      </c>
      <c r="M367" s="36" t="s">
        <v>1244</v>
      </c>
      <c r="N367" s="35" t="s">
        <v>1245</v>
      </c>
      <c r="Q367" s="64"/>
      <c r="R367" s="16"/>
      <c r="S367" s="37" t="str">
        <f>IFERROR(__xludf.DUMMYFUNCTION("if(not(iserror(index(split(C367, "" ""),2))), index(split(C367, "" ""),1),"""")"),"September,")</f>
        <v>September,</v>
      </c>
      <c r="T367" s="38">
        <f>IFERROR(__xludf.DUMMYFUNCTION("if(S367="""",C367,if(not(iserror(index(split(C367, "" ""),3))), index(split(C367, "" ""),3),index(split(C367, "" ""),2)))"),2017.0)</f>
        <v>2017</v>
      </c>
      <c r="U367" s="38" t="b">
        <f t="shared" si="51"/>
        <v>0</v>
      </c>
      <c r="V367" s="38"/>
      <c r="W367" s="40"/>
      <c r="X367" s="40"/>
      <c r="Y367" s="40"/>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row>
    <row r="368">
      <c r="A368" s="58" t="s">
        <v>1246</v>
      </c>
      <c r="B368" s="59">
        <v>43348.0</v>
      </c>
      <c r="C368" s="79">
        <v>42979.0</v>
      </c>
      <c r="D368" s="60" t="s">
        <v>799</v>
      </c>
      <c r="E368" s="58" t="s">
        <v>41</v>
      </c>
      <c r="F368" s="58">
        <v>1.0</v>
      </c>
      <c r="G368" s="58" t="s">
        <v>32</v>
      </c>
      <c r="H368" s="33">
        <f t="shared" si="50"/>
        <v>1</v>
      </c>
      <c r="I368" s="58" t="s">
        <v>33</v>
      </c>
      <c r="J368" s="58" t="s">
        <v>34</v>
      </c>
      <c r="K368" s="58">
        <v>2.0</v>
      </c>
      <c r="L368" s="58" t="s">
        <v>119</v>
      </c>
      <c r="M368" s="61" t="s">
        <v>1247</v>
      </c>
      <c r="N368" s="77"/>
      <c r="O368" s="88" t="str">
        <f>hyperlink("https://bad-boys.us/?q=D-NH/1:17-cr-00180", "D-NH 1:17-cr-00180")</f>
        <v>D-NH 1:17-cr-00180</v>
      </c>
      <c r="P368" s="88" t="s">
        <v>1248</v>
      </c>
      <c r="Q368" s="84">
        <v>1.0</v>
      </c>
      <c r="R368" s="62"/>
      <c r="S368" s="37" t="str">
        <f>IFERROR(__xludf.DUMMYFUNCTION("if(not(iserror(index(split(C368, "" ""),2))), index(split(C368, "" ""),1),"""")"),"September,")</f>
        <v>September,</v>
      </c>
      <c r="T368" s="38">
        <f>IFERROR(__xludf.DUMMYFUNCTION("if(S368="""",C368,if(not(iserror(index(split(C368, "" ""),3))), index(split(C368, "" ""),3),index(split(C368, "" ""),2)))"),2017.0)</f>
        <v>2017</v>
      </c>
      <c r="U368" s="38" t="b">
        <f t="shared" si="51"/>
        <v>0</v>
      </c>
      <c r="V368" s="38"/>
      <c r="W368" s="40"/>
      <c r="X368" s="40"/>
      <c r="Y368" s="40"/>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row>
    <row r="369">
      <c r="A369" s="58" t="s">
        <v>1249</v>
      </c>
      <c r="B369" s="59">
        <v>43391.0</v>
      </c>
      <c r="C369" s="59">
        <v>42980.0</v>
      </c>
      <c r="D369" s="60" t="s">
        <v>1250</v>
      </c>
      <c r="E369" s="58" t="s">
        <v>41</v>
      </c>
      <c r="F369" s="58">
        <v>1.0</v>
      </c>
      <c r="G369" s="58">
        <v>1.0</v>
      </c>
      <c r="H369" s="33">
        <f t="shared" si="50"/>
        <v>1</v>
      </c>
      <c r="I369" s="58" t="s">
        <v>33</v>
      </c>
      <c r="J369" s="58" t="s">
        <v>413</v>
      </c>
      <c r="K369" s="58" t="s">
        <v>32</v>
      </c>
      <c r="L369" s="58" t="s">
        <v>76</v>
      </c>
      <c r="M369" s="61" t="s">
        <v>1251</v>
      </c>
      <c r="N369" s="80"/>
      <c r="O369" s="62"/>
      <c r="P369" s="62"/>
      <c r="Q369" s="62"/>
      <c r="R369" s="62"/>
      <c r="S369" s="37" t="str">
        <f>IFERROR(__xludf.DUMMYFUNCTION("if(not(iserror(index(split(C369, "" ""),2))), index(split(C369, "" ""),1),"""")"),"September")</f>
        <v>September</v>
      </c>
      <c r="T369" s="38">
        <f>IFERROR(__xludf.DUMMYFUNCTION("if(S369="""",C369,if(not(iserror(index(split(C369, "" ""),3))), index(split(C369, "" ""),3),index(split(C369, "" ""),2)))"),2017.0)</f>
        <v>2017</v>
      </c>
      <c r="U369" s="38" t="b">
        <f t="shared" si="51"/>
        <v>0</v>
      </c>
      <c r="V369" s="38"/>
      <c r="W369" s="40"/>
      <c r="X369" s="40"/>
      <c r="Y369" s="40"/>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row>
    <row r="370">
      <c r="A370" s="13" t="s">
        <v>1252</v>
      </c>
      <c r="B370" s="30">
        <v>43110.0</v>
      </c>
      <c r="C370" s="30">
        <v>42984.0</v>
      </c>
      <c r="D370" s="32" t="s">
        <v>1253</v>
      </c>
      <c r="E370" s="13" t="s">
        <v>41</v>
      </c>
      <c r="F370" s="13">
        <v>3.0</v>
      </c>
      <c r="G370" s="13" t="s">
        <v>32</v>
      </c>
      <c r="H370" s="33">
        <f t="shared" si="50"/>
        <v>1</v>
      </c>
      <c r="I370" s="13" t="s">
        <v>33</v>
      </c>
      <c r="J370" s="13" t="s">
        <v>106</v>
      </c>
      <c r="K370" s="13" t="s">
        <v>40</v>
      </c>
      <c r="L370" s="13" t="s">
        <v>349</v>
      </c>
      <c r="M370" s="45" t="s">
        <v>1254</v>
      </c>
      <c r="N370" s="15"/>
      <c r="O370" s="37"/>
      <c r="P370" s="37"/>
      <c r="Q370" s="64"/>
      <c r="R370" s="16"/>
      <c r="S370" s="37" t="str">
        <f>IFERROR(__xludf.DUMMYFUNCTION("if(not(iserror(index(split(C370, "" ""),2))), index(split(C370, "" ""),1),"""")"),"September")</f>
        <v>September</v>
      </c>
      <c r="T370" s="38">
        <f>IFERROR(__xludf.DUMMYFUNCTION("if(S370="""",C370,if(not(iserror(index(split(C370, "" ""),3))), index(split(C370, "" ""),3),index(split(C370, "" ""),2)))"),2017.0)</f>
        <v>2017</v>
      </c>
      <c r="U370" s="38" t="b">
        <f t="shared" si="51"/>
        <v>0</v>
      </c>
      <c r="V370" s="38"/>
      <c r="W370" s="40"/>
      <c r="X370" s="40"/>
      <c r="Y370" s="40"/>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row>
    <row r="371">
      <c r="A371" s="13" t="s">
        <v>1255</v>
      </c>
      <c r="B371" s="30">
        <v>42986.0</v>
      </c>
      <c r="C371" s="30">
        <v>42986.0</v>
      </c>
      <c r="D371" s="32" t="s">
        <v>1256</v>
      </c>
      <c r="E371" s="13" t="s">
        <v>41</v>
      </c>
      <c r="F371" s="13">
        <v>1.0</v>
      </c>
      <c r="G371" s="13" t="s">
        <v>32</v>
      </c>
      <c r="H371" s="33">
        <f t="shared" si="50"/>
        <v>1</v>
      </c>
      <c r="I371" s="13" t="s">
        <v>33</v>
      </c>
      <c r="J371" s="13" t="s">
        <v>115</v>
      </c>
      <c r="K371" s="13">
        <v>2.0</v>
      </c>
      <c r="L371" s="13" t="s">
        <v>69</v>
      </c>
      <c r="M371" s="35" t="s">
        <v>1257</v>
      </c>
      <c r="N371" s="15"/>
      <c r="O371" s="16"/>
      <c r="P371" s="16"/>
      <c r="Q371" s="16"/>
      <c r="R371" s="16"/>
      <c r="S371" s="37" t="str">
        <f>IFERROR(__xludf.DUMMYFUNCTION("if(not(iserror(index(split(C371, "" ""),2))), index(split(C371, "" ""),1),"""")"),"September")</f>
        <v>September</v>
      </c>
      <c r="T371" s="38">
        <f>IFERROR(__xludf.DUMMYFUNCTION("if(S371="""",C371,if(not(iserror(index(split(C371, "" ""),3))), index(split(C371, "" ""),3),index(split(C371, "" ""),2)))"),2017.0)</f>
        <v>2017</v>
      </c>
      <c r="U371" s="38" t="b">
        <f t="shared" si="51"/>
        <v>0</v>
      </c>
      <c r="V371" s="38"/>
      <c r="W371" s="40"/>
      <c r="X371" s="40"/>
      <c r="Y371" s="40"/>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row>
    <row r="372">
      <c r="A372" s="13" t="s">
        <v>239</v>
      </c>
      <c r="B372" s="30">
        <v>42989.0</v>
      </c>
      <c r="C372" s="30">
        <v>42986.0</v>
      </c>
      <c r="D372" s="32" t="s">
        <v>1258</v>
      </c>
      <c r="E372" s="13" t="s">
        <v>41</v>
      </c>
      <c r="F372" s="13">
        <v>2.0</v>
      </c>
      <c r="G372" s="13">
        <v>5.0</v>
      </c>
      <c r="H372" s="33">
        <f t="shared" si="50"/>
        <v>5</v>
      </c>
      <c r="I372" s="13" t="s">
        <v>33</v>
      </c>
      <c r="J372" s="13" t="s">
        <v>241</v>
      </c>
      <c r="K372" s="13">
        <v>1.0</v>
      </c>
      <c r="L372" s="13" t="s">
        <v>194</v>
      </c>
      <c r="M372" s="35" t="s">
        <v>1259</v>
      </c>
      <c r="N372" s="15"/>
      <c r="O372" s="16"/>
      <c r="P372" s="16"/>
      <c r="Q372" s="16"/>
      <c r="R372" s="16"/>
      <c r="S372" s="37" t="str">
        <f>IFERROR(__xludf.DUMMYFUNCTION("if(not(iserror(index(split(C372, "" ""),2))), index(split(C372, "" ""),1),"""")"),"September")</f>
        <v>September</v>
      </c>
      <c r="T372" s="38">
        <f>IFERROR(__xludf.DUMMYFUNCTION("if(S372="""",C372,if(not(iserror(index(split(C372, "" ""),3))), index(split(C372, "" ""),3),index(split(C372, "" ""),2)))"),2017.0)</f>
        <v>2017</v>
      </c>
      <c r="U372" s="38" t="b">
        <f t="shared" si="51"/>
        <v>1</v>
      </c>
      <c r="V372" s="38"/>
      <c r="W372" s="40"/>
      <c r="X372" s="40"/>
      <c r="Y372" s="40"/>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row>
    <row r="373">
      <c r="A373" s="65" t="s">
        <v>1260</v>
      </c>
      <c r="B373" s="66">
        <v>43195.0</v>
      </c>
      <c r="C373" s="66">
        <v>42986.0</v>
      </c>
      <c r="D373" s="68" t="s">
        <v>1261</v>
      </c>
      <c r="E373" s="65" t="s">
        <v>41</v>
      </c>
      <c r="F373" s="65">
        <v>1.0</v>
      </c>
      <c r="G373" s="65" t="s">
        <v>32</v>
      </c>
      <c r="H373" s="33">
        <f t="shared" si="50"/>
        <v>1</v>
      </c>
      <c r="I373" s="65" t="s">
        <v>33</v>
      </c>
      <c r="J373" s="65" t="s">
        <v>47</v>
      </c>
      <c r="K373" s="65" t="s">
        <v>40</v>
      </c>
      <c r="L373" s="65" t="s">
        <v>1262</v>
      </c>
      <c r="M373" s="35" t="s">
        <v>1263</v>
      </c>
      <c r="N373" s="69"/>
      <c r="O373" s="142" t="str">
        <f>hyperlink("https://bad-boys.us/?q=MD-FL/6:17-cr-00252", "MD-FL 6:17-cr-00252")</f>
        <v>MD-FL 6:17-cr-00252</v>
      </c>
      <c r="P373" s="142" t="s">
        <v>1264</v>
      </c>
      <c r="Q373" s="71">
        <v>1.0</v>
      </c>
      <c r="R373" s="72"/>
      <c r="S373" s="37" t="str">
        <f>IFERROR(__xludf.DUMMYFUNCTION("if(not(iserror(index(split(C373, "" ""),2))), index(split(C373, "" ""),1),"""")"),"September")</f>
        <v>September</v>
      </c>
      <c r="T373" s="38">
        <f>IFERROR(__xludf.DUMMYFUNCTION("if(S373="""",C373,if(not(iserror(index(split(C373, "" ""),3))), index(split(C373, "" ""),3),index(split(C373, "" ""),2)))"),2017.0)</f>
        <v>2017</v>
      </c>
      <c r="U373" s="38" t="b">
        <f t="shared" si="51"/>
        <v>0</v>
      </c>
      <c r="V373" s="38"/>
      <c r="W373" s="40"/>
      <c r="X373" s="40"/>
      <c r="Y373" s="40"/>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row>
    <row r="374">
      <c r="A374" s="13" t="s">
        <v>239</v>
      </c>
      <c r="B374" s="30">
        <v>42990.0</v>
      </c>
      <c r="C374" s="30">
        <v>42987.0</v>
      </c>
      <c r="D374" s="32" t="s">
        <v>1258</v>
      </c>
      <c r="E374" s="13" t="s">
        <v>41</v>
      </c>
      <c r="F374" s="13">
        <v>3.0</v>
      </c>
      <c r="G374" s="13">
        <v>5.0</v>
      </c>
      <c r="H374" s="33">
        <f t="shared" si="50"/>
        <v>5</v>
      </c>
      <c r="I374" s="13" t="s">
        <v>33</v>
      </c>
      <c r="J374" s="13" t="s">
        <v>241</v>
      </c>
      <c r="K374" s="13">
        <v>1.0</v>
      </c>
      <c r="L374" s="13" t="s">
        <v>194</v>
      </c>
      <c r="M374" s="35" t="s">
        <v>1265</v>
      </c>
      <c r="N374" s="15"/>
      <c r="O374" s="16"/>
      <c r="P374" s="16"/>
      <c r="Q374" s="16"/>
      <c r="R374" s="16"/>
      <c r="S374" s="37" t="str">
        <f>IFERROR(__xludf.DUMMYFUNCTION("if(not(iserror(index(split(C374, "" ""),2))), index(split(C374, "" ""),1),"""")"),"September")</f>
        <v>September</v>
      </c>
      <c r="T374" s="38">
        <f>IFERROR(__xludf.DUMMYFUNCTION("if(S374="""",C374,if(not(iserror(index(split(C374, "" ""),3))), index(split(C374, "" ""),3),index(split(C374, "" ""),2)))"),2017.0)</f>
        <v>2017</v>
      </c>
      <c r="U374" s="38" t="b">
        <f t="shared" si="51"/>
        <v>1</v>
      </c>
      <c r="V374" s="38"/>
      <c r="W374" s="40"/>
      <c r="X374" s="40"/>
      <c r="Y374" s="40"/>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row>
    <row r="375">
      <c r="A375" s="78" t="s">
        <v>1266</v>
      </c>
      <c r="B375" s="30"/>
      <c r="C375" s="30">
        <v>42988.0</v>
      </c>
      <c r="D375" s="32"/>
      <c r="E375" s="13" t="s">
        <v>41</v>
      </c>
      <c r="F375" s="13">
        <v>1.0</v>
      </c>
      <c r="G375" s="13" t="s">
        <v>32</v>
      </c>
      <c r="H375" s="43">
        <v>1.0</v>
      </c>
      <c r="I375" s="13" t="s">
        <v>33</v>
      </c>
      <c r="J375" s="13" t="s">
        <v>413</v>
      </c>
      <c r="K375" s="13"/>
      <c r="L375" s="13" t="s">
        <v>1267</v>
      </c>
      <c r="M375" s="35" t="s">
        <v>1268</v>
      </c>
      <c r="N375" s="15"/>
      <c r="O375" s="16"/>
      <c r="P375" s="16"/>
      <c r="Q375" s="16"/>
      <c r="R375" s="16"/>
      <c r="S375" s="37"/>
      <c r="T375" s="38"/>
      <c r="U375" s="38"/>
      <c r="V375" s="38" t="s">
        <v>33</v>
      </c>
      <c r="W375" s="40"/>
      <c r="X375" s="40"/>
      <c r="Y375" s="40"/>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row>
    <row r="376">
      <c r="A376" s="78" t="s">
        <v>1269</v>
      </c>
      <c r="B376" s="30">
        <v>42996.0</v>
      </c>
      <c r="C376" s="30">
        <v>42988.0</v>
      </c>
      <c r="D376" s="32" t="s">
        <v>1270</v>
      </c>
      <c r="E376" s="13" t="s">
        <v>41</v>
      </c>
      <c r="F376" s="13">
        <v>1.0</v>
      </c>
      <c r="G376" s="13" t="s">
        <v>32</v>
      </c>
      <c r="H376" s="33">
        <f>if(G376="Unknown",1,G376)</f>
        <v>1</v>
      </c>
      <c r="I376" s="13" t="s">
        <v>33</v>
      </c>
      <c r="J376" s="13" t="s">
        <v>203</v>
      </c>
      <c r="K376" s="13" t="s">
        <v>32</v>
      </c>
      <c r="L376" s="13" t="s">
        <v>99</v>
      </c>
      <c r="M376" s="35" t="s">
        <v>1271</v>
      </c>
      <c r="N376" s="15"/>
      <c r="O376" s="16"/>
      <c r="P376" s="16"/>
      <c r="Q376" s="16"/>
      <c r="R376" s="16"/>
      <c r="S376" s="37" t="str">
        <f>IFERROR(__xludf.DUMMYFUNCTION("if(not(iserror(index(split(C376, "" ""),2))), index(split(C376, "" ""),1),"""")"),"September")</f>
        <v>September</v>
      </c>
      <c r="T376" s="38">
        <f>IFERROR(__xludf.DUMMYFUNCTION("if(S376="""",C376,if(not(iserror(index(split(C376, "" ""),3))), index(split(C376, "" ""),3),index(split(C376, "" ""),2)))"),2017.0)</f>
        <v>2017</v>
      </c>
      <c r="U376" s="38" t="b">
        <f t="shared" ref="U376:U412" si="52">countif(A$4:A4658, A376)&gt;1</f>
        <v>0</v>
      </c>
      <c r="V376" s="38"/>
      <c r="W376" s="40"/>
      <c r="X376" s="40"/>
      <c r="Y376" s="40"/>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row>
    <row r="377">
      <c r="A377" s="13" t="s">
        <v>1272</v>
      </c>
      <c r="B377" s="30"/>
      <c r="C377" s="30">
        <v>42990.0</v>
      </c>
      <c r="D377" s="32"/>
      <c r="E377" s="13" t="s">
        <v>41</v>
      </c>
      <c r="F377" s="13">
        <v>1.0</v>
      </c>
      <c r="G377" s="13" t="s">
        <v>32</v>
      </c>
      <c r="H377" s="43">
        <v>1.0</v>
      </c>
      <c r="I377" s="13" t="s">
        <v>33</v>
      </c>
      <c r="J377" s="13" t="s">
        <v>524</v>
      </c>
      <c r="K377" s="13"/>
      <c r="L377" s="13" t="s">
        <v>1273</v>
      </c>
      <c r="M377" s="35" t="s">
        <v>1274</v>
      </c>
      <c r="N377" s="15"/>
      <c r="O377" s="16"/>
      <c r="P377" s="16"/>
      <c r="Q377" s="16"/>
      <c r="R377" s="16"/>
      <c r="S377" s="37" t="str">
        <f>IFERROR(__xludf.DUMMYFUNCTION("if(not(iserror(index(split(C377, "" ""),2))), index(split(C377, "" ""),1),"""")"),"September")</f>
        <v>September</v>
      </c>
      <c r="T377" s="38">
        <f>IFERROR(__xludf.DUMMYFUNCTION("if(S377="""",C377,if(not(iserror(index(split(C377, "" ""),3))), index(split(C377, "" ""),3),index(split(C377, "" ""),2)))"),2017.0)</f>
        <v>2017</v>
      </c>
      <c r="U377" s="38" t="b">
        <f t="shared" si="52"/>
        <v>0</v>
      </c>
      <c r="V377" s="38" t="s">
        <v>33</v>
      </c>
      <c r="W377" s="40"/>
      <c r="X377" s="40"/>
      <c r="Y377" s="40"/>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row>
    <row r="378">
      <c r="A378" s="13" t="s">
        <v>239</v>
      </c>
      <c r="B378" s="30">
        <v>42992.0</v>
      </c>
      <c r="C378" s="30">
        <v>42991.0</v>
      </c>
      <c r="D378" s="32" t="s">
        <v>1275</v>
      </c>
      <c r="E378" s="13" t="s">
        <v>41</v>
      </c>
      <c r="F378" s="13">
        <v>1.0</v>
      </c>
      <c r="G378" s="13">
        <v>4.0</v>
      </c>
      <c r="H378" s="33">
        <f t="shared" ref="H378:H389" si="53">if(G378="Unknown",1,G378)</f>
        <v>4</v>
      </c>
      <c r="I378" s="13" t="s">
        <v>33</v>
      </c>
      <c r="J378" s="13" t="s">
        <v>241</v>
      </c>
      <c r="K378" s="13">
        <v>1.0</v>
      </c>
      <c r="L378" s="13" t="s">
        <v>194</v>
      </c>
      <c r="M378" s="35" t="s">
        <v>1276</v>
      </c>
      <c r="N378" s="15"/>
      <c r="O378" s="16"/>
      <c r="P378" s="16"/>
      <c r="Q378" s="16"/>
      <c r="R378" s="16"/>
      <c r="S378" s="37" t="str">
        <f>IFERROR(__xludf.DUMMYFUNCTION("if(not(iserror(index(split(C378, "" ""),2))), index(split(C378, "" ""),1),"""")"),"September")</f>
        <v>September</v>
      </c>
      <c r="T378" s="38">
        <f>IFERROR(__xludf.DUMMYFUNCTION("if(S378="""",C378,if(not(iserror(index(split(C378, "" ""),3))), index(split(C378, "" ""),3),index(split(C378, "" ""),2)))"),2017.0)</f>
        <v>2017</v>
      </c>
      <c r="U378" s="38" t="b">
        <f t="shared" si="52"/>
        <v>1</v>
      </c>
      <c r="V378" s="38"/>
      <c r="W378" s="40"/>
      <c r="X378" s="40"/>
      <c r="Y378" s="40"/>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row>
    <row r="379">
      <c r="A379" s="58" t="s">
        <v>1277</v>
      </c>
      <c r="B379" s="59">
        <v>43353.0</v>
      </c>
      <c r="C379" s="59">
        <v>42991.0</v>
      </c>
      <c r="D379" s="60" t="s">
        <v>1275</v>
      </c>
      <c r="E379" s="58" t="s">
        <v>41</v>
      </c>
      <c r="F379" s="58">
        <v>1.0</v>
      </c>
      <c r="G379" s="58" t="s">
        <v>32</v>
      </c>
      <c r="H379" s="33">
        <f t="shared" si="53"/>
        <v>1</v>
      </c>
      <c r="I379" s="58" t="s">
        <v>33</v>
      </c>
      <c r="J379" s="58" t="s">
        <v>106</v>
      </c>
      <c r="K379" s="58">
        <v>3.0</v>
      </c>
      <c r="L379" s="58" t="s">
        <v>76</v>
      </c>
      <c r="M379" s="61" t="s">
        <v>1278</v>
      </c>
      <c r="N379" s="61" t="s">
        <v>1279</v>
      </c>
      <c r="O379" s="83" t="str">
        <f>hyperlink("https://bad-boys.us/?q=D-MD/1:18-cr-00081", "D-MD 1:18-cr-00081")</f>
        <v>D-MD 1:18-cr-00081</v>
      </c>
      <c r="P379" s="62"/>
      <c r="Q379" s="84">
        <v>1.0</v>
      </c>
      <c r="R379" s="62"/>
      <c r="S379" s="37" t="str">
        <f>IFERROR(__xludf.DUMMYFUNCTION("if(not(iserror(index(split(C379, "" ""),2))), index(split(C379, "" ""),1),"""")"),"September")</f>
        <v>September</v>
      </c>
      <c r="T379" s="38">
        <f>IFERROR(__xludf.DUMMYFUNCTION("if(S379="""",C379,if(not(iserror(index(split(C379, "" ""),3))), index(split(C379, "" ""),3),index(split(C379, "" ""),2)))"),2017.0)</f>
        <v>2017</v>
      </c>
      <c r="U379" s="38" t="b">
        <f t="shared" si="52"/>
        <v>0</v>
      </c>
      <c r="V379" s="38"/>
      <c r="W379" s="40"/>
      <c r="X379" s="40"/>
      <c r="Y379" s="40"/>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row>
    <row r="380">
      <c r="A380" s="13" t="s">
        <v>1280</v>
      </c>
      <c r="B380" s="30">
        <v>42999.0</v>
      </c>
      <c r="C380" s="30">
        <v>42992.0</v>
      </c>
      <c r="D380" s="32" t="s">
        <v>1281</v>
      </c>
      <c r="E380" s="13" t="s">
        <v>41</v>
      </c>
      <c r="F380" s="13">
        <v>2.0</v>
      </c>
      <c r="G380" s="13" t="s">
        <v>32</v>
      </c>
      <c r="H380" s="33">
        <f t="shared" si="53"/>
        <v>1</v>
      </c>
      <c r="I380" s="13" t="s">
        <v>33</v>
      </c>
      <c r="J380" s="13" t="s">
        <v>47</v>
      </c>
      <c r="K380" s="13">
        <v>3.0</v>
      </c>
      <c r="L380" s="34" t="s">
        <v>35</v>
      </c>
      <c r="M380" s="35" t="s">
        <v>1282</v>
      </c>
      <c r="N380" s="15"/>
      <c r="O380" s="16"/>
      <c r="P380" s="16"/>
      <c r="Q380" s="16"/>
      <c r="R380" s="16"/>
      <c r="S380" s="37" t="str">
        <f>IFERROR(__xludf.DUMMYFUNCTION("if(not(iserror(index(split(C380, "" ""),2))), index(split(C380, "" ""),1),"""")"),"September")</f>
        <v>September</v>
      </c>
      <c r="T380" s="38">
        <f>IFERROR(__xludf.DUMMYFUNCTION("if(S380="""",C380,if(not(iserror(index(split(C380, "" ""),3))), index(split(C380, "" ""),3),index(split(C380, "" ""),2)))"),2017.0)</f>
        <v>2017</v>
      </c>
      <c r="U380" s="38" t="b">
        <f t="shared" si="52"/>
        <v>0</v>
      </c>
      <c r="V380" s="38"/>
      <c r="W380" s="40"/>
      <c r="X380" s="40"/>
      <c r="Y380" s="40"/>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row>
    <row r="381">
      <c r="A381" s="78" t="s">
        <v>1283</v>
      </c>
      <c r="B381" s="59">
        <v>43277.0</v>
      </c>
      <c r="C381" s="59">
        <v>42993.0</v>
      </c>
      <c r="D381" s="60" t="s">
        <v>1284</v>
      </c>
      <c r="E381" s="58" t="s">
        <v>41</v>
      </c>
      <c r="F381" s="58">
        <v>1.0</v>
      </c>
      <c r="G381" s="58" t="s">
        <v>32</v>
      </c>
      <c r="H381" s="33">
        <f t="shared" si="53"/>
        <v>1</v>
      </c>
      <c r="I381" s="58" t="s">
        <v>33</v>
      </c>
      <c r="J381" s="58" t="s">
        <v>172</v>
      </c>
      <c r="K381" s="58">
        <v>3.0</v>
      </c>
      <c r="L381" s="58" t="s">
        <v>99</v>
      </c>
      <c r="M381" s="61" t="s">
        <v>1285</v>
      </c>
      <c r="N381" s="77"/>
      <c r="O381" s="83" t="str">
        <f>hyperlink("https://bad-boys.us/?q=MD-NC/1:17-cr-00433", "MD-NC 1:17-cr-00433")</f>
        <v>MD-NC 1:17-cr-00433</v>
      </c>
      <c r="P381" s="88" t="s">
        <v>1286</v>
      </c>
      <c r="Q381" s="84">
        <v>1.0</v>
      </c>
      <c r="R381" s="62"/>
      <c r="S381" s="37" t="str">
        <f>IFERROR(__xludf.DUMMYFUNCTION("if(not(iserror(index(split(C381, "" ""),2))), index(split(C381, "" ""),1),"""")"),"September")</f>
        <v>September</v>
      </c>
      <c r="T381" s="38">
        <f>IFERROR(__xludf.DUMMYFUNCTION("if(S381="""",C381,if(not(iserror(index(split(C381, "" ""),3))), index(split(C381, "" ""),3),index(split(C381, "" ""),2)))"),2017.0)</f>
        <v>2017</v>
      </c>
      <c r="U381" s="38" t="b">
        <f t="shared" si="52"/>
        <v>0</v>
      </c>
      <c r="V381" s="38"/>
      <c r="W381" s="40"/>
      <c r="X381" s="40"/>
      <c r="Y381" s="40"/>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row>
    <row r="382">
      <c r="A382" s="13" t="s">
        <v>239</v>
      </c>
      <c r="B382" s="30">
        <v>42998.0</v>
      </c>
      <c r="C382" s="30">
        <v>42995.0</v>
      </c>
      <c r="D382" s="32" t="s">
        <v>1270</v>
      </c>
      <c r="E382" s="13" t="s">
        <v>41</v>
      </c>
      <c r="F382" s="13">
        <v>1.0</v>
      </c>
      <c r="G382" s="13">
        <v>2.0</v>
      </c>
      <c r="H382" s="33">
        <f t="shared" si="53"/>
        <v>2</v>
      </c>
      <c r="I382" s="13" t="s">
        <v>33</v>
      </c>
      <c r="J382" s="13" t="s">
        <v>241</v>
      </c>
      <c r="K382" s="13">
        <v>1.0</v>
      </c>
      <c r="L382" s="34" t="s">
        <v>194</v>
      </c>
      <c r="M382" s="35" t="s">
        <v>1287</v>
      </c>
      <c r="N382" s="15"/>
      <c r="O382" s="16"/>
      <c r="P382" s="16"/>
      <c r="Q382" s="16"/>
      <c r="R382" s="16"/>
      <c r="S382" s="37" t="str">
        <f>IFERROR(__xludf.DUMMYFUNCTION("if(not(iserror(index(split(C382, "" ""),2))), index(split(C382, "" ""),1),"""")"),"September")</f>
        <v>September</v>
      </c>
      <c r="T382" s="38">
        <f>IFERROR(__xludf.DUMMYFUNCTION("if(S382="""",C382,if(not(iserror(index(split(C382, "" ""),3))), index(split(C382, "" ""),3),index(split(C382, "" ""),2)))"),2017.0)</f>
        <v>2017</v>
      </c>
      <c r="U382" s="38" t="b">
        <f t="shared" si="52"/>
        <v>1</v>
      </c>
      <c r="V382" s="38"/>
      <c r="W382" s="40"/>
      <c r="X382" s="40"/>
      <c r="Y382" s="40"/>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row>
    <row r="383">
      <c r="A383" s="58" t="s">
        <v>1288</v>
      </c>
      <c r="B383" s="59">
        <v>43360.0</v>
      </c>
      <c r="C383" s="59">
        <v>42995.0</v>
      </c>
      <c r="D383" s="60" t="s">
        <v>1289</v>
      </c>
      <c r="E383" s="58" t="s">
        <v>41</v>
      </c>
      <c r="F383" s="58">
        <v>1.0</v>
      </c>
      <c r="G383" s="58" t="s">
        <v>32</v>
      </c>
      <c r="H383" s="33">
        <f t="shared" si="53"/>
        <v>1</v>
      </c>
      <c r="I383" s="58" t="s">
        <v>33</v>
      </c>
      <c r="J383" s="58" t="s">
        <v>179</v>
      </c>
      <c r="K383" s="58">
        <v>1.0</v>
      </c>
      <c r="L383" s="58" t="s">
        <v>35</v>
      </c>
      <c r="M383" s="61" t="s">
        <v>1290</v>
      </c>
      <c r="N383" s="77"/>
      <c r="O383" s="62"/>
      <c r="P383" s="62"/>
      <c r="Q383" s="62"/>
      <c r="R383" s="62"/>
      <c r="S383" s="37" t="str">
        <f>IFERROR(__xludf.DUMMYFUNCTION("if(not(iserror(index(split(C383, "" ""),2))), index(split(C383, "" ""),1),"""")"),"September")</f>
        <v>September</v>
      </c>
      <c r="T383" s="38">
        <f>IFERROR(__xludf.DUMMYFUNCTION("if(S383="""",C383,if(not(iserror(index(split(C383, "" ""),3))), index(split(C383, "" ""),3),index(split(C383, "" ""),2)))"),2017.0)</f>
        <v>2017</v>
      </c>
      <c r="U383" s="38" t="b">
        <f t="shared" si="52"/>
        <v>0</v>
      </c>
      <c r="V383" s="38"/>
      <c r="W383" s="40"/>
      <c r="X383" s="40"/>
      <c r="Y383" s="40"/>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row>
    <row r="384">
      <c r="A384" s="87" t="s">
        <v>239</v>
      </c>
      <c r="B384" s="59">
        <v>43362.0</v>
      </c>
      <c r="C384" s="59">
        <v>42995.0</v>
      </c>
      <c r="D384" s="60" t="s">
        <v>1289</v>
      </c>
      <c r="E384" s="58" t="s">
        <v>41</v>
      </c>
      <c r="F384" s="58">
        <v>2.0</v>
      </c>
      <c r="G384" s="58">
        <v>2.0</v>
      </c>
      <c r="H384" s="33">
        <f t="shared" si="53"/>
        <v>2</v>
      </c>
      <c r="I384" s="58" t="s">
        <v>33</v>
      </c>
      <c r="J384" s="58" t="s">
        <v>241</v>
      </c>
      <c r="K384" s="58">
        <v>1.0</v>
      </c>
      <c r="L384" s="58" t="s">
        <v>194</v>
      </c>
      <c r="M384" s="61" t="s">
        <v>1291</v>
      </c>
      <c r="N384" s="77"/>
      <c r="O384" s="62"/>
      <c r="P384" s="62"/>
      <c r="Q384" s="62"/>
      <c r="R384" s="62"/>
      <c r="S384" s="37" t="str">
        <f>IFERROR(__xludf.DUMMYFUNCTION("if(not(iserror(index(split(C384, "" ""),2))), index(split(C384, "" ""),1),"""")"),"September")</f>
        <v>September</v>
      </c>
      <c r="T384" s="38">
        <f>IFERROR(__xludf.DUMMYFUNCTION("if(S384="""",C384,if(not(iserror(index(split(C384, "" ""),3))), index(split(C384, "" ""),3),index(split(C384, "" ""),2)))"),2017.0)</f>
        <v>2017</v>
      </c>
      <c r="U384" s="38" t="b">
        <f t="shared" si="52"/>
        <v>1</v>
      </c>
      <c r="V384" s="38"/>
      <c r="W384" s="40"/>
      <c r="X384" s="40"/>
      <c r="Y384" s="40"/>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row>
    <row r="385">
      <c r="A385" s="13" t="s">
        <v>1292</v>
      </c>
      <c r="B385" s="30">
        <v>42997.0</v>
      </c>
      <c r="C385" s="30">
        <v>42996.0</v>
      </c>
      <c r="D385" s="32" t="s">
        <v>1293</v>
      </c>
      <c r="E385" s="13" t="s">
        <v>31</v>
      </c>
      <c r="F385" s="13">
        <v>1.0</v>
      </c>
      <c r="G385" s="13" t="s">
        <v>32</v>
      </c>
      <c r="H385" s="33">
        <f t="shared" si="53"/>
        <v>1</v>
      </c>
      <c r="I385" s="13" t="s">
        <v>33</v>
      </c>
      <c r="J385" s="13" t="s">
        <v>42</v>
      </c>
      <c r="K385" s="13">
        <v>1.0</v>
      </c>
      <c r="L385" s="13" t="s">
        <v>1294</v>
      </c>
      <c r="M385" s="35" t="s">
        <v>1295</v>
      </c>
      <c r="N385" s="15"/>
      <c r="O385" s="16"/>
      <c r="P385" s="16"/>
      <c r="Q385" s="16"/>
      <c r="R385" s="16"/>
      <c r="S385" s="37" t="str">
        <f>IFERROR(__xludf.DUMMYFUNCTION("if(not(iserror(index(split(C385, "" ""),2))), index(split(C385, "" ""),1),"""")"),"September")</f>
        <v>September</v>
      </c>
      <c r="T385" s="38">
        <f>IFERROR(__xludf.DUMMYFUNCTION("if(S385="""",C385,if(not(iserror(index(split(C385, "" ""),3))), index(split(C385, "" ""),3),index(split(C385, "" ""),2)))"),2017.0)</f>
        <v>2017</v>
      </c>
      <c r="U385" s="38" t="b">
        <f t="shared" si="52"/>
        <v>0</v>
      </c>
      <c r="V385" s="38"/>
      <c r="W385" s="40"/>
      <c r="X385" s="40"/>
      <c r="Y385" s="40"/>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row>
    <row r="386">
      <c r="A386" s="13" t="s">
        <v>239</v>
      </c>
      <c r="B386" s="30">
        <v>42997.0</v>
      </c>
      <c r="C386" s="30">
        <v>42996.0</v>
      </c>
      <c r="D386" s="32" t="s">
        <v>1293</v>
      </c>
      <c r="E386" s="13" t="s">
        <v>41</v>
      </c>
      <c r="F386" s="13">
        <v>1.0</v>
      </c>
      <c r="G386" s="13">
        <v>2.0</v>
      </c>
      <c r="H386" s="33">
        <f t="shared" si="53"/>
        <v>2</v>
      </c>
      <c r="I386" s="13" t="s">
        <v>33</v>
      </c>
      <c r="J386" s="13" t="s">
        <v>241</v>
      </c>
      <c r="K386" s="13">
        <v>1.0</v>
      </c>
      <c r="L386" s="34" t="s">
        <v>194</v>
      </c>
      <c r="M386" s="35" t="s">
        <v>1296</v>
      </c>
      <c r="N386" s="15"/>
      <c r="O386" s="16"/>
      <c r="P386" s="16"/>
      <c r="Q386" s="16"/>
      <c r="R386" s="16"/>
      <c r="S386" s="37" t="str">
        <f>IFERROR(__xludf.DUMMYFUNCTION("if(not(iserror(index(split(C386, "" ""),2))), index(split(C386, "" ""),1),"""")"),"September")</f>
        <v>September</v>
      </c>
      <c r="T386" s="38">
        <f>IFERROR(__xludf.DUMMYFUNCTION("if(S386="""",C386,if(not(iserror(index(split(C386, "" ""),3))), index(split(C386, "" ""),3),index(split(C386, "" ""),2)))"),2017.0)</f>
        <v>2017</v>
      </c>
      <c r="U386" s="38" t="b">
        <f t="shared" si="52"/>
        <v>1</v>
      </c>
      <c r="V386" s="38"/>
      <c r="W386" s="40"/>
      <c r="X386" s="40"/>
      <c r="Y386" s="40"/>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row>
    <row r="387">
      <c r="A387" s="13" t="s">
        <v>239</v>
      </c>
      <c r="B387" s="30">
        <v>42998.0</v>
      </c>
      <c r="C387" s="30">
        <v>42996.0</v>
      </c>
      <c r="D387" s="32" t="s">
        <v>1293</v>
      </c>
      <c r="E387" s="13" t="s">
        <v>41</v>
      </c>
      <c r="F387" s="13">
        <v>1.0</v>
      </c>
      <c r="G387" s="13">
        <v>1.0</v>
      </c>
      <c r="H387" s="33">
        <f t="shared" si="53"/>
        <v>1</v>
      </c>
      <c r="I387" s="13" t="s">
        <v>33</v>
      </c>
      <c r="J387" s="13" t="s">
        <v>241</v>
      </c>
      <c r="K387" s="13">
        <v>1.0</v>
      </c>
      <c r="L387" s="34" t="s">
        <v>194</v>
      </c>
      <c r="M387" s="35" t="s">
        <v>1297</v>
      </c>
      <c r="N387" s="15"/>
      <c r="O387" s="16"/>
      <c r="P387" s="16"/>
      <c r="Q387" s="16"/>
      <c r="R387" s="16"/>
      <c r="S387" s="37" t="str">
        <f>IFERROR(__xludf.DUMMYFUNCTION("if(not(iserror(index(split(C387, "" ""),2))), index(split(C387, "" ""),1),"""")"),"September")</f>
        <v>September</v>
      </c>
      <c r="T387" s="38">
        <f>IFERROR(__xludf.DUMMYFUNCTION("if(S387="""",C387,if(not(iserror(index(split(C387, "" ""),3))), index(split(C387, "" ""),3),index(split(C387, "" ""),2)))"),2017.0)</f>
        <v>2017</v>
      </c>
      <c r="U387" s="38" t="b">
        <f t="shared" si="52"/>
        <v>1</v>
      </c>
      <c r="V387" s="38"/>
      <c r="W387" s="40"/>
      <c r="X387" s="40"/>
      <c r="Y387" s="40"/>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row>
    <row r="388">
      <c r="A388" s="13" t="s">
        <v>239</v>
      </c>
      <c r="B388" s="30">
        <v>42998.0</v>
      </c>
      <c r="C388" s="30">
        <v>42997.0</v>
      </c>
      <c r="D388" s="32" t="s">
        <v>1298</v>
      </c>
      <c r="E388" s="13" t="s">
        <v>41</v>
      </c>
      <c r="F388" s="13">
        <v>1.0</v>
      </c>
      <c r="G388" s="13">
        <v>2.0</v>
      </c>
      <c r="H388" s="33">
        <f t="shared" si="53"/>
        <v>2</v>
      </c>
      <c r="I388" s="13" t="s">
        <v>33</v>
      </c>
      <c r="J388" s="13" t="s">
        <v>241</v>
      </c>
      <c r="K388" s="13">
        <v>1.0</v>
      </c>
      <c r="L388" s="34" t="s">
        <v>194</v>
      </c>
      <c r="M388" s="35" t="s">
        <v>1299</v>
      </c>
      <c r="N388" s="15"/>
      <c r="O388" s="16"/>
      <c r="P388" s="16"/>
      <c r="Q388" s="16"/>
      <c r="R388" s="16"/>
      <c r="S388" s="37" t="str">
        <f>IFERROR(__xludf.DUMMYFUNCTION("if(not(iserror(index(split(C388, "" ""),2))), index(split(C388, "" ""),1),"""")"),"September")</f>
        <v>September</v>
      </c>
      <c r="T388" s="38">
        <f>IFERROR(__xludf.DUMMYFUNCTION("if(S388="""",C388,if(not(iserror(index(split(C388, "" ""),3))), index(split(C388, "" ""),3),index(split(C388, "" ""),2)))"),2017.0)</f>
        <v>2017</v>
      </c>
      <c r="U388" s="38" t="b">
        <f t="shared" si="52"/>
        <v>1</v>
      </c>
      <c r="V388" s="38"/>
      <c r="W388" s="40"/>
      <c r="X388" s="40"/>
      <c r="Y388" s="40"/>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row>
    <row r="389">
      <c r="A389" s="58" t="s">
        <v>1300</v>
      </c>
      <c r="B389" s="59">
        <v>43314.0</v>
      </c>
      <c r="C389" s="59">
        <v>42998.0</v>
      </c>
      <c r="D389" s="60" t="s">
        <v>1301</v>
      </c>
      <c r="E389" s="58" t="s">
        <v>31</v>
      </c>
      <c r="F389" s="58">
        <v>1.0</v>
      </c>
      <c r="G389" s="58" t="s">
        <v>32</v>
      </c>
      <c r="H389" s="33">
        <f t="shared" si="53"/>
        <v>1</v>
      </c>
      <c r="I389" s="58" t="s">
        <v>33</v>
      </c>
      <c r="J389" s="58" t="s">
        <v>460</v>
      </c>
      <c r="K389" s="58">
        <v>1.0</v>
      </c>
      <c r="L389" s="58" t="s">
        <v>1302</v>
      </c>
      <c r="M389" s="61" t="s">
        <v>1303</v>
      </c>
      <c r="N389" s="77"/>
      <c r="O389" s="62"/>
      <c r="P389" s="62"/>
      <c r="Q389" s="62"/>
      <c r="R389" s="62"/>
      <c r="S389" s="37" t="str">
        <f>IFERROR(__xludf.DUMMYFUNCTION("if(not(iserror(index(split(C389, "" ""),2))), index(split(C389, "" ""),1),"""")"),"September")</f>
        <v>September</v>
      </c>
      <c r="T389" s="38">
        <f>IFERROR(__xludf.DUMMYFUNCTION("if(S389="""",C389,if(not(iserror(index(split(C389, "" ""),3))), index(split(C389, "" ""),3),index(split(C389, "" ""),2)))"),2017.0)</f>
        <v>2017</v>
      </c>
      <c r="U389" s="38" t="b">
        <f t="shared" si="52"/>
        <v>0</v>
      </c>
      <c r="V389" s="38"/>
      <c r="W389" s="40"/>
      <c r="X389" s="40"/>
      <c r="Y389" s="40"/>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row>
    <row r="390">
      <c r="A390" s="13" t="s">
        <v>1304</v>
      </c>
      <c r="B390" s="30"/>
      <c r="C390" s="30">
        <v>42998.0</v>
      </c>
      <c r="D390" s="32"/>
      <c r="E390" s="13" t="s">
        <v>31</v>
      </c>
      <c r="F390" s="13">
        <v>1.0</v>
      </c>
      <c r="G390" s="13" t="s">
        <v>32</v>
      </c>
      <c r="H390" s="43">
        <v>1.0</v>
      </c>
      <c r="I390" s="13" t="s">
        <v>33</v>
      </c>
      <c r="J390" s="13" t="s">
        <v>279</v>
      </c>
      <c r="K390" s="13"/>
      <c r="L390" s="13" t="s">
        <v>69</v>
      </c>
      <c r="M390" s="35" t="s">
        <v>1305</v>
      </c>
      <c r="N390" s="36" t="s">
        <v>1306</v>
      </c>
      <c r="O390" s="16"/>
      <c r="P390" s="16"/>
      <c r="Q390" s="16"/>
      <c r="R390" s="16"/>
      <c r="S390" s="37" t="str">
        <f>IFERROR(__xludf.DUMMYFUNCTION("if(not(iserror(index(split(C390, "" ""),2))), index(split(C390, "" ""),1),"""")"),"September")</f>
        <v>September</v>
      </c>
      <c r="T390" s="38">
        <f>IFERROR(__xludf.DUMMYFUNCTION("if(S390="""",C390,if(not(iserror(index(split(C390, "" ""),3))), index(split(C390, "" ""),3),index(split(C390, "" ""),2)))"),2017.0)</f>
        <v>2017</v>
      </c>
      <c r="U390" s="38" t="b">
        <f t="shared" si="52"/>
        <v>0</v>
      </c>
      <c r="V390" s="38" t="s">
        <v>33</v>
      </c>
      <c r="W390" s="39" t="s">
        <v>1307</v>
      </c>
      <c r="X390" s="39" t="s">
        <v>1308</v>
      </c>
      <c r="Y390" s="40"/>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row>
    <row r="391">
      <c r="A391" s="13" t="s">
        <v>1309</v>
      </c>
      <c r="B391" s="30">
        <v>42999.0</v>
      </c>
      <c r="C391" s="30">
        <v>42999.0</v>
      </c>
      <c r="D391" s="32" t="s">
        <v>1310</v>
      </c>
      <c r="E391" s="13" t="s">
        <v>41</v>
      </c>
      <c r="F391" s="13">
        <v>1.0</v>
      </c>
      <c r="G391" s="13" t="s">
        <v>32</v>
      </c>
      <c r="H391" s="33">
        <f t="shared" ref="H391:H412" si="54">if(G391="Unknown",1,G391)</f>
        <v>1</v>
      </c>
      <c r="I391" s="13" t="s">
        <v>33</v>
      </c>
      <c r="J391" s="13" t="s">
        <v>179</v>
      </c>
      <c r="K391" s="13">
        <v>3.0</v>
      </c>
      <c r="L391" s="13" t="s">
        <v>76</v>
      </c>
      <c r="M391" s="35" t="s">
        <v>1311</v>
      </c>
      <c r="N391" s="15"/>
      <c r="O391" s="16"/>
      <c r="P391" s="16"/>
      <c r="Q391" s="16"/>
      <c r="R391" s="16"/>
      <c r="S391" s="37" t="str">
        <f>IFERROR(__xludf.DUMMYFUNCTION("if(not(iserror(index(split(C391, "" ""),2))), index(split(C391, "" ""),1),"""")"),"September")</f>
        <v>September</v>
      </c>
      <c r="T391" s="38">
        <f>IFERROR(__xludf.DUMMYFUNCTION("if(S391="""",C391,if(not(iserror(index(split(C391, "" ""),3))), index(split(C391, "" ""),3),index(split(C391, "" ""),2)))"),2017.0)</f>
        <v>2017</v>
      </c>
      <c r="U391" s="38" t="b">
        <f t="shared" si="52"/>
        <v>0</v>
      </c>
      <c r="V391" s="38"/>
      <c r="W391" s="40"/>
      <c r="X391" s="40"/>
      <c r="Y391" s="40"/>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row>
    <row r="392">
      <c r="A392" s="13" t="s">
        <v>1312</v>
      </c>
      <c r="B392" s="30">
        <v>43124.0</v>
      </c>
      <c r="C392" s="30">
        <v>42999.0</v>
      </c>
      <c r="D392" s="32" t="s">
        <v>1310</v>
      </c>
      <c r="E392" s="13" t="s">
        <v>31</v>
      </c>
      <c r="F392" s="13">
        <v>1.0</v>
      </c>
      <c r="G392" s="13" t="s">
        <v>32</v>
      </c>
      <c r="H392" s="33">
        <f t="shared" si="54"/>
        <v>1</v>
      </c>
      <c r="I392" s="13" t="s">
        <v>33</v>
      </c>
      <c r="J392" s="13" t="s">
        <v>61</v>
      </c>
      <c r="K392" s="13">
        <v>2.0</v>
      </c>
      <c r="L392" s="13" t="s">
        <v>1313</v>
      </c>
      <c r="M392" s="35" t="s">
        <v>1314</v>
      </c>
      <c r="N392" s="15"/>
      <c r="O392" s="37"/>
      <c r="P392" s="37"/>
      <c r="Q392" s="64"/>
      <c r="R392" s="16"/>
      <c r="S392" s="37" t="str">
        <f>IFERROR(__xludf.DUMMYFUNCTION("if(not(iserror(index(split(C392, "" ""),2))), index(split(C392, "" ""),1),"""")"),"September")</f>
        <v>September</v>
      </c>
      <c r="T392" s="38">
        <f>IFERROR(__xludf.DUMMYFUNCTION("if(S392="""",C392,if(not(iserror(index(split(C392, "" ""),3))), index(split(C392, "" ""),3),index(split(C392, "" ""),2)))"),2017.0)</f>
        <v>2017</v>
      </c>
      <c r="U392" s="38" t="b">
        <f t="shared" si="52"/>
        <v>0</v>
      </c>
      <c r="V392" s="38"/>
      <c r="W392" s="40"/>
      <c r="X392" s="40"/>
      <c r="Y392" s="40"/>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row>
    <row r="393">
      <c r="A393" s="13" t="s">
        <v>1315</v>
      </c>
      <c r="B393" s="30">
        <v>43000.0</v>
      </c>
      <c r="C393" s="30">
        <v>43000.0</v>
      </c>
      <c r="D393" s="32" t="s">
        <v>1316</v>
      </c>
      <c r="E393" s="13" t="s">
        <v>31</v>
      </c>
      <c r="F393" s="13">
        <v>2.0</v>
      </c>
      <c r="G393" s="13" t="s">
        <v>32</v>
      </c>
      <c r="H393" s="33">
        <f t="shared" si="54"/>
        <v>1</v>
      </c>
      <c r="I393" s="13" t="s">
        <v>33</v>
      </c>
      <c r="J393" s="13" t="s">
        <v>124</v>
      </c>
      <c r="K393" s="13" t="s">
        <v>32</v>
      </c>
      <c r="L393" s="13" t="s">
        <v>52</v>
      </c>
      <c r="M393" s="35" t="s">
        <v>1317</v>
      </c>
      <c r="N393" s="15"/>
      <c r="O393" s="37"/>
      <c r="P393" s="16"/>
      <c r="Q393" s="64"/>
      <c r="R393" s="16"/>
      <c r="S393" s="37" t="str">
        <f>IFERROR(__xludf.DUMMYFUNCTION("if(not(iserror(index(split(C393, "" ""),2))), index(split(C393, "" ""),1),"""")"),"September")</f>
        <v>September</v>
      </c>
      <c r="T393" s="38">
        <f>IFERROR(__xludf.DUMMYFUNCTION("if(S393="""",C393,if(not(iserror(index(split(C393, "" ""),3))), index(split(C393, "" ""),3),index(split(C393, "" ""),2)))"),2017.0)</f>
        <v>2017</v>
      </c>
      <c r="U393" s="38" t="b">
        <f t="shared" si="52"/>
        <v>0</v>
      </c>
      <c r="V393" s="38"/>
      <c r="W393" s="40"/>
      <c r="X393" s="40"/>
      <c r="Y393" s="40"/>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row>
    <row r="394">
      <c r="A394" s="58" t="s">
        <v>1318</v>
      </c>
      <c r="B394" s="59">
        <v>43418.0</v>
      </c>
      <c r="C394" s="59">
        <v>43002.0</v>
      </c>
      <c r="D394" s="60" t="s">
        <v>1319</v>
      </c>
      <c r="E394" s="58" t="s">
        <v>31</v>
      </c>
      <c r="F394" s="58">
        <v>1.0</v>
      </c>
      <c r="G394" s="58" t="s">
        <v>32</v>
      </c>
      <c r="H394" s="33">
        <f t="shared" si="54"/>
        <v>1</v>
      </c>
      <c r="I394" s="58" t="s">
        <v>33</v>
      </c>
      <c r="J394" s="58" t="s">
        <v>132</v>
      </c>
      <c r="K394" s="58">
        <v>4.0</v>
      </c>
      <c r="L394" s="58" t="s">
        <v>119</v>
      </c>
      <c r="M394" s="61" t="s">
        <v>1320</v>
      </c>
      <c r="N394" s="61" t="s">
        <v>1321</v>
      </c>
      <c r="O394" s="83" t="str">
        <f>hyperlink("https://bad-boys.us/?q=ND-MS/1:18-cr-00014", "ND-MS 1:18-cr-00014")</f>
        <v>ND-MS 1:18-cr-00014</v>
      </c>
      <c r="P394" s="62"/>
      <c r="Q394" s="84">
        <v>1.0</v>
      </c>
      <c r="R394" s="62"/>
      <c r="S394" s="37" t="str">
        <f>IFERROR(__xludf.DUMMYFUNCTION("if(not(iserror(index(split(C394, "" ""),2))), index(split(C394, "" ""),1),"""")"),"September")</f>
        <v>September</v>
      </c>
      <c r="T394" s="38">
        <f>IFERROR(__xludf.DUMMYFUNCTION("if(S394="""",C394,if(not(iserror(index(split(C394, "" ""),3))), index(split(C394, "" ""),3),index(split(C394, "" ""),2)))"),2017.0)</f>
        <v>2017</v>
      </c>
      <c r="U394" s="38" t="b">
        <f t="shared" si="52"/>
        <v>0</v>
      </c>
      <c r="V394" s="38"/>
      <c r="W394" s="40"/>
      <c r="X394" s="40"/>
      <c r="Y394" s="40"/>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row>
    <row r="395">
      <c r="A395" s="13" t="s">
        <v>1322</v>
      </c>
      <c r="B395" s="30">
        <v>43003.0</v>
      </c>
      <c r="C395" s="30">
        <v>43003.0</v>
      </c>
      <c r="D395" s="32" t="s">
        <v>1323</v>
      </c>
      <c r="E395" s="13" t="s">
        <v>31</v>
      </c>
      <c r="F395" s="13">
        <v>1.0</v>
      </c>
      <c r="G395" s="13" t="s">
        <v>32</v>
      </c>
      <c r="H395" s="33">
        <f t="shared" si="54"/>
        <v>1</v>
      </c>
      <c r="I395" s="13" t="s">
        <v>33</v>
      </c>
      <c r="J395" s="13" t="s">
        <v>55</v>
      </c>
      <c r="K395" s="13">
        <v>5.0</v>
      </c>
      <c r="L395" s="13" t="s">
        <v>1324</v>
      </c>
      <c r="M395" s="35" t="s">
        <v>1325</v>
      </c>
      <c r="N395" s="36" t="s">
        <v>1326</v>
      </c>
      <c r="O395" s="86" t="str">
        <f>hyperlink("https://bad-boys.us/?q=D-NJ/2:18-cr-00053", "D-NJ 2:18-cr-00053")</f>
        <v>D-NJ 2:18-cr-00053</v>
      </c>
      <c r="P395" s="37"/>
      <c r="Q395" s="37">
        <v>1.0</v>
      </c>
      <c r="R395" s="16"/>
      <c r="S395" s="37" t="str">
        <f>IFERROR(__xludf.DUMMYFUNCTION("if(not(iserror(index(split(C395, "" ""),2))), index(split(C395, "" ""),1),"""")"),"September")</f>
        <v>September</v>
      </c>
      <c r="T395" s="38">
        <f>IFERROR(__xludf.DUMMYFUNCTION("if(S395="""",C395,if(not(iserror(index(split(C395, "" ""),3))), index(split(C395, "" ""),3),index(split(C395, "" ""),2)))"),2017.0)</f>
        <v>2017</v>
      </c>
      <c r="U395" s="38" t="b">
        <f t="shared" si="52"/>
        <v>0</v>
      </c>
      <c r="V395" s="38"/>
      <c r="W395" s="40"/>
      <c r="X395" s="40"/>
      <c r="Y395" s="40"/>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row>
    <row r="396">
      <c r="A396" s="13" t="s">
        <v>1327</v>
      </c>
      <c r="B396" s="30">
        <v>43003.0</v>
      </c>
      <c r="C396" s="30">
        <v>43003.0</v>
      </c>
      <c r="D396" s="32" t="s">
        <v>1323</v>
      </c>
      <c r="E396" s="13" t="s">
        <v>41</v>
      </c>
      <c r="F396" s="13">
        <v>1.0</v>
      </c>
      <c r="G396" s="13" t="s">
        <v>32</v>
      </c>
      <c r="H396" s="33">
        <f t="shared" si="54"/>
        <v>1</v>
      </c>
      <c r="I396" s="13" t="s">
        <v>33</v>
      </c>
      <c r="J396" s="13" t="s">
        <v>89</v>
      </c>
      <c r="K396" s="13" t="s">
        <v>32</v>
      </c>
      <c r="L396" s="13" t="s">
        <v>1328</v>
      </c>
      <c r="M396" s="35" t="s">
        <v>1329</v>
      </c>
      <c r="N396" s="15"/>
      <c r="O396" s="16"/>
      <c r="P396" s="16"/>
      <c r="Q396" s="16"/>
      <c r="R396" s="16"/>
      <c r="S396" s="37" t="str">
        <f>IFERROR(__xludf.DUMMYFUNCTION("if(not(iserror(index(split(C396, "" ""),2))), index(split(C396, "" ""),1),"""")"),"September")</f>
        <v>September</v>
      </c>
      <c r="T396" s="38">
        <f>IFERROR(__xludf.DUMMYFUNCTION("if(S396="""",C396,if(not(iserror(index(split(C396, "" ""),3))), index(split(C396, "" ""),3),index(split(C396, "" ""),2)))"),2017.0)</f>
        <v>2017</v>
      </c>
      <c r="U396" s="38" t="b">
        <f t="shared" si="52"/>
        <v>0</v>
      </c>
      <c r="V396" s="38"/>
      <c r="W396" s="40"/>
      <c r="X396" s="40"/>
      <c r="Y396" s="40"/>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row>
    <row r="397">
      <c r="A397" s="13" t="s">
        <v>1330</v>
      </c>
      <c r="B397" s="30">
        <v>43004.0</v>
      </c>
      <c r="C397" s="30">
        <v>43003.0</v>
      </c>
      <c r="D397" s="32" t="s">
        <v>1323</v>
      </c>
      <c r="E397" s="13" t="s">
        <v>41</v>
      </c>
      <c r="F397" s="13">
        <v>1.0</v>
      </c>
      <c r="G397" s="13" t="s">
        <v>32</v>
      </c>
      <c r="H397" s="33">
        <f t="shared" si="54"/>
        <v>1</v>
      </c>
      <c r="I397" s="13" t="s">
        <v>33</v>
      </c>
      <c r="J397" s="13" t="s">
        <v>111</v>
      </c>
      <c r="K397" s="13" t="s">
        <v>32</v>
      </c>
      <c r="L397" s="13" t="s">
        <v>119</v>
      </c>
      <c r="M397" s="35" t="s">
        <v>1331</v>
      </c>
      <c r="N397" s="36" t="s">
        <v>1332</v>
      </c>
      <c r="O397" s="16"/>
      <c r="P397" s="16"/>
      <c r="Q397" s="16"/>
      <c r="R397" s="16"/>
      <c r="S397" s="37" t="str">
        <f>IFERROR(__xludf.DUMMYFUNCTION("if(not(iserror(index(split(C397, "" ""),2))), index(split(C397, "" ""),1),"""")"),"September")</f>
        <v>September</v>
      </c>
      <c r="T397" s="38">
        <f>IFERROR(__xludf.DUMMYFUNCTION("if(S397="""",C397,if(not(iserror(index(split(C397, "" ""),3))), index(split(C397, "" ""),3),index(split(C397, "" ""),2)))"),2017.0)</f>
        <v>2017</v>
      </c>
      <c r="U397" s="38" t="b">
        <f t="shared" si="52"/>
        <v>0</v>
      </c>
      <c r="V397" s="38"/>
      <c r="W397" s="40"/>
      <c r="X397" s="40"/>
      <c r="Y397" s="40"/>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row>
    <row r="398">
      <c r="A398" s="13" t="s">
        <v>239</v>
      </c>
      <c r="B398" s="30">
        <v>43011.0</v>
      </c>
      <c r="C398" s="30">
        <v>43005.0</v>
      </c>
      <c r="D398" s="32" t="s">
        <v>1333</v>
      </c>
      <c r="E398" s="13" t="s">
        <v>41</v>
      </c>
      <c r="F398" s="13">
        <v>1.0</v>
      </c>
      <c r="G398" s="13">
        <v>3.0</v>
      </c>
      <c r="H398" s="33">
        <f t="shared" si="54"/>
        <v>3</v>
      </c>
      <c r="I398" s="13" t="s">
        <v>33</v>
      </c>
      <c r="J398" s="13" t="s">
        <v>241</v>
      </c>
      <c r="K398" s="13">
        <v>1.0</v>
      </c>
      <c r="L398" s="13" t="s">
        <v>194</v>
      </c>
      <c r="M398" s="35" t="s">
        <v>1334</v>
      </c>
      <c r="N398" s="15"/>
      <c r="O398" s="16"/>
      <c r="P398" s="16"/>
      <c r="Q398" s="16"/>
      <c r="R398" s="16"/>
      <c r="S398" s="37" t="str">
        <f>IFERROR(__xludf.DUMMYFUNCTION("if(not(iserror(index(split(C398, "" ""),2))), index(split(C398, "" ""),1),"""")"),"September")</f>
        <v>September</v>
      </c>
      <c r="T398" s="38">
        <f>IFERROR(__xludf.DUMMYFUNCTION("if(S398="""",C398,if(not(iserror(index(split(C398, "" ""),3))), index(split(C398, "" ""),3),index(split(C398, "" ""),2)))"),2017.0)</f>
        <v>2017</v>
      </c>
      <c r="U398" s="38" t="b">
        <f t="shared" si="52"/>
        <v>1</v>
      </c>
      <c r="V398" s="38"/>
      <c r="W398" s="40"/>
      <c r="X398" s="40"/>
      <c r="Y398" s="40"/>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row>
    <row r="399">
      <c r="A399" s="37" t="s">
        <v>1335</v>
      </c>
      <c r="B399" s="59">
        <v>43235.0</v>
      </c>
      <c r="C399" s="59">
        <v>43005.0</v>
      </c>
      <c r="D399" s="60" t="s">
        <v>1333</v>
      </c>
      <c r="E399" s="58" t="s">
        <v>41</v>
      </c>
      <c r="F399" s="58">
        <v>1.0</v>
      </c>
      <c r="G399" s="58" t="s">
        <v>32</v>
      </c>
      <c r="H399" s="33">
        <f t="shared" si="54"/>
        <v>1</v>
      </c>
      <c r="I399" s="58" t="s">
        <v>33</v>
      </c>
      <c r="J399" s="58" t="s">
        <v>184</v>
      </c>
      <c r="K399" s="58">
        <v>2.0</v>
      </c>
      <c r="L399" s="58" t="s">
        <v>1336</v>
      </c>
      <c r="M399" s="61" t="s">
        <v>891</v>
      </c>
      <c r="N399" s="77"/>
      <c r="O399" s="62"/>
      <c r="P399" s="62"/>
      <c r="Q399" s="62"/>
      <c r="R399" s="62"/>
      <c r="S399" s="37" t="str">
        <f>IFERROR(__xludf.DUMMYFUNCTION("if(not(iserror(index(split(C399, "" ""),2))), index(split(C399, "" ""),1),"""")"),"September")</f>
        <v>September</v>
      </c>
      <c r="T399" s="38">
        <f>IFERROR(__xludf.DUMMYFUNCTION("if(S399="""",C399,if(not(iserror(index(split(C399, "" ""),3))), index(split(C399, "" ""),3),index(split(C399, "" ""),2)))"),2017.0)</f>
        <v>2017</v>
      </c>
      <c r="U399" s="38" t="b">
        <f t="shared" si="52"/>
        <v>0</v>
      </c>
      <c r="V399" s="38"/>
      <c r="W399" s="40"/>
      <c r="X399" s="40"/>
      <c r="Y399" s="40"/>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row>
    <row r="400">
      <c r="A400" s="13" t="s">
        <v>239</v>
      </c>
      <c r="B400" s="30">
        <v>43010.0</v>
      </c>
      <c r="C400" s="30">
        <v>43006.0</v>
      </c>
      <c r="D400" s="32" t="s">
        <v>1337</v>
      </c>
      <c r="E400" s="13" t="s">
        <v>41</v>
      </c>
      <c r="F400" s="13">
        <v>1.0</v>
      </c>
      <c r="G400" s="13">
        <v>3.0</v>
      </c>
      <c r="H400" s="33">
        <f t="shared" si="54"/>
        <v>3</v>
      </c>
      <c r="I400" s="13" t="s">
        <v>33</v>
      </c>
      <c r="J400" s="13" t="s">
        <v>147</v>
      </c>
      <c r="K400" s="13">
        <v>1.0</v>
      </c>
      <c r="L400" s="13" t="s">
        <v>194</v>
      </c>
      <c r="M400" s="35" t="s">
        <v>1338</v>
      </c>
      <c r="N400" s="15"/>
      <c r="O400" s="16"/>
      <c r="P400" s="16"/>
      <c r="Q400" s="16"/>
      <c r="R400" s="16"/>
      <c r="S400" s="37" t="str">
        <f>IFERROR(__xludf.DUMMYFUNCTION("if(not(iserror(index(split(C400, "" ""),2))), index(split(C400, "" ""),1),"""")"),"September")</f>
        <v>September</v>
      </c>
      <c r="T400" s="38">
        <f>IFERROR(__xludf.DUMMYFUNCTION("if(S400="""",C400,if(not(iserror(index(split(C400, "" ""),3))), index(split(C400, "" ""),3),index(split(C400, "" ""),2)))"),2017.0)</f>
        <v>2017</v>
      </c>
      <c r="U400" s="38" t="b">
        <f t="shared" si="52"/>
        <v>1</v>
      </c>
      <c r="V400" s="38"/>
      <c r="W400" s="40"/>
      <c r="X400" s="40"/>
      <c r="Y400" s="40"/>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row>
    <row r="401">
      <c r="A401" s="13" t="s">
        <v>1339</v>
      </c>
      <c r="B401" s="30">
        <v>43008.0</v>
      </c>
      <c r="C401" s="30">
        <v>43007.0</v>
      </c>
      <c r="D401" s="32" t="s">
        <v>1340</v>
      </c>
      <c r="E401" s="13" t="s">
        <v>41</v>
      </c>
      <c r="F401" s="13">
        <v>1.0</v>
      </c>
      <c r="G401" s="13" t="s">
        <v>32</v>
      </c>
      <c r="H401" s="33">
        <f t="shared" si="54"/>
        <v>1</v>
      </c>
      <c r="I401" s="13" t="s">
        <v>33</v>
      </c>
      <c r="J401" s="13" t="s">
        <v>111</v>
      </c>
      <c r="K401" s="13">
        <v>2.0</v>
      </c>
      <c r="L401" s="13" t="s">
        <v>1341</v>
      </c>
      <c r="M401" s="35" t="s">
        <v>1342</v>
      </c>
      <c r="N401" s="15"/>
      <c r="O401" s="16"/>
      <c r="P401" s="16"/>
      <c r="Q401" s="16"/>
      <c r="R401" s="16"/>
      <c r="S401" s="37" t="str">
        <f>IFERROR(__xludf.DUMMYFUNCTION("if(not(iserror(index(split(C401, "" ""),2))), index(split(C401, "" ""),1),"""")"),"September")</f>
        <v>September</v>
      </c>
      <c r="T401" s="38">
        <f>IFERROR(__xludf.DUMMYFUNCTION("if(S401="""",C401,if(not(iserror(index(split(C401, "" ""),3))), index(split(C401, "" ""),3),index(split(C401, "" ""),2)))"),2017.0)</f>
        <v>2017</v>
      </c>
      <c r="U401" s="38" t="b">
        <f t="shared" si="52"/>
        <v>0</v>
      </c>
      <c r="V401" s="38"/>
      <c r="W401" s="40"/>
      <c r="X401" s="40"/>
      <c r="Y401" s="40"/>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row>
    <row r="402">
      <c r="A402" s="13" t="s">
        <v>40</v>
      </c>
      <c r="B402" s="30">
        <v>43010.0</v>
      </c>
      <c r="C402" s="30">
        <v>43008.0</v>
      </c>
      <c r="D402" s="32" t="s">
        <v>1343</v>
      </c>
      <c r="E402" s="13" t="s">
        <v>41</v>
      </c>
      <c r="F402" s="13">
        <v>6.0</v>
      </c>
      <c r="G402" s="13" t="s">
        <v>32</v>
      </c>
      <c r="H402" s="33">
        <f t="shared" si="54"/>
        <v>1</v>
      </c>
      <c r="I402" s="13" t="s">
        <v>33</v>
      </c>
      <c r="J402" s="13" t="s">
        <v>433</v>
      </c>
      <c r="K402" s="13">
        <v>1.0</v>
      </c>
      <c r="L402" s="13" t="s">
        <v>1344</v>
      </c>
      <c r="M402" s="35" t="s">
        <v>1345</v>
      </c>
      <c r="N402" s="15"/>
      <c r="O402" s="16"/>
      <c r="P402" s="16"/>
      <c r="Q402" s="16"/>
      <c r="R402" s="16"/>
      <c r="S402" s="37" t="str">
        <f>IFERROR(__xludf.DUMMYFUNCTION("if(not(iserror(index(split(C402, "" ""),2))), index(split(C402, "" ""),1),"""")"),"September")</f>
        <v>September</v>
      </c>
      <c r="T402" s="38">
        <f>IFERROR(__xludf.DUMMYFUNCTION("if(S402="""",C402,if(not(iserror(index(split(C402, "" ""),3))), index(split(C402, "" ""),3),index(split(C402, "" ""),2)))"),2017.0)</f>
        <v>2017</v>
      </c>
      <c r="U402" s="38" t="b">
        <f t="shared" si="52"/>
        <v>1</v>
      </c>
      <c r="V402" s="38"/>
      <c r="W402" s="40"/>
      <c r="X402" s="40"/>
      <c r="Y402" s="40"/>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row>
    <row r="403">
      <c r="A403" s="58" t="s">
        <v>1346</v>
      </c>
      <c r="B403" s="59">
        <v>43418.0</v>
      </c>
      <c r="C403" s="59">
        <v>43008.0</v>
      </c>
      <c r="D403" s="60" t="s">
        <v>1343</v>
      </c>
      <c r="E403" s="58" t="s">
        <v>31</v>
      </c>
      <c r="F403" s="58">
        <v>1.0</v>
      </c>
      <c r="G403" s="58" t="s">
        <v>32</v>
      </c>
      <c r="H403" s="33">
        <f t="shared" si="54"/>
        <v>1</v>
      </c>
      <c r="I403" s="58" t="s">
        <v>33</v>
      </c>
      <c r="J403" s="58" t="s">
        <v>279</v>
      </c>
      <c r="K403" s="58">
        <v>2.0</v>
      </c>
      <c r="L403" s="58" t="s">
        <v>119</v>
      </c>
      <c r="M403" s="80" t="s">
        <v>1347</v>
      </c>
      <c r="N403" s="61" t="s">
        <v>1348</v>
      </c>
      <c r="O403" s="58"/>
      <c r="P403" s="62"/>
      <c r="Q403" s="84"/>
      <c r="R403" s="62"/>
      <c r="S403" s="37" t="str">
        <f>IFERROR(__xludf.DUMMYFUNCTION("if(not(iserror(index(split(C403, "" ""),2))), index(split(C403, "" ""),1),"""")"),"September")</f>
        <v>September</v>
      </c>
      <c r="T403" s="38">
        <f>IFERROR(__xludf.DUMMYFUNCTION("if(S403="""",C403,if(not(iserror(index(split(C403, "" ""),3))), index(split(C403, "" ""),3),index(split(C403, "" ""),2)))"),2017.0)</f>
        <v>2017</v>
      </c>
      <c r="U403" s="38" t="b">
        <f t="shared" si="52"/>
        <v>0</v>
      </c>
      <c r="V403" s="38"/>
      <c r="W403" s="40"/>
      <c r="X403" s="40"/>
      <c r="Y403" s="40"/>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row>
    <row r="404">
      <c r="A404" s="13" t="s">
        <v>40</v>
      </c>
      <c r="B404" s="30">
        <v>43020.0</v>
      </c>
      <c r="C404" s="31">
        <v>43009.0</v>
      </c>
      <c r="D404" s="32" t="s">
        <v>167</v>
      </c>
      <c r="E404" s="13" t="s">
        <v>31</v>
      </c>
      <c r="F404" s="13">
        <v>30.0</v>
      </c>
      <c r="G404" s="13" t="s">
        <v>32</v>
      </c>
      <c r="H404" s="33">
        <f t="shared" si="54"/>
        <v>1</v>
      </c>
      <c r="I404" s="13" t="s">
        <v>33</v>
      </c>
      <c r="J404" s="13" t="s">
        <v>147</v>
      </c>
      <c r="K404" s="13" t="s">
        <v>32</v>
      </c>
      <c r="L404" s="13" t="s">
        <v>759</v>
      </c>
      <c r="M404" s="35" t="s">
        <v>1349</v>
      </c>
      <c r="N404" s="15"/>
      <c r="O404" s="16"/>
      <c r="P404" s="16"/>
      <c r="Q404" s="16"/>
      <c r="R404" s="16"/>
      <c r="S404" s="37" t="str">
        <f>IFERROR(__xludf.DUMMYFUNCTION("if(not(iserror(index(split(C404, "" ""),2))), index(split(C404, "" ""),1),"""")"),"October,")</f>
        <v>October,</v>
      </c>
      <c r="T404" s="38">
        <f>IFERROR(__xludf.DUMMYFUNCTION("if(S404="""",C404,if(not(iserror(index(split(C404, "" ""),3))), index(split(C404, "" ""),3),index(split(C404, "" ""),2)))"),2017.0)</f>
        <v>2017</v>
      </c>
      <c r="U404" s="38" t="b">
        <f t="shared" si="52"/>
        <v>1</v>
      </c>
      <c r="V404" s="38"/>
      <c r="W404" s="40"/>
      <c r="X404" s="40"/>
      <c r="Y404" s="40"/>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row>
    <row r="405">
      <c r="A405" s="37" t="s">
        <v>1350</v>
      </c>
      <c r="B405" s="99">
        <v>43024.0</v>
      </c>
      <c r="C405" s="31">
        <v>43009.0</v>
      </c>
      <c r="D405" s="32" t="s">
        <v>167</v>
      </c>
      <c r="E405" s="13" t="s">
        <v>31</v>
      </c>
      <c r="F405" s="13">
        <v>1.0</v>
      </c>
      <c r="G405" s="13" t="s">
        <v>32</v>
      </c>
      <c r="H405" s="33">
        <f t="shared" si="54"/>
        <v>1</v>
      </c>
      <c r="I405" s="13" t="s">
        <v>33</v>
      </c>
      <c r="J405" s="13" t="s">
        <v>402</v>
      </c>
      <c r="K405" s="13">
        <v>1.0</v>
      </c>
      <c r="L405" s="13" t="s">
        <v>99</v>
      </c>
      <c r="M405" s="36" t="s">
        <v>1351</v>
      </c>
      <c r="N405" s="15"/>
      <c r="O405" s="16"/>
      <c r="P405" s="16"/>
      <c r="Q405" s="16"/>
      <c r="R405" s="16"/>
      <c r="S405" s="37" t="str">
        <f>IFERROR(__xludf.DUMMYFUNCTION("if(not(iserror(index(split(C405, "" ""),2))), index(split(C405, "" ""),1),"""")"),"October,")</f>
        <v>October,</v>
      </c>
      <c r="T405" s="38">
        <f>IFERROR(__xludf.DUMMYFUNCTION("if(S405="""",C405,if(not(iserror(index(split(C405, "" ""),3))), index(split(C405, "" ""),3),index(split(C405, "" ""),2)))"),2017.0)</f>
        <v>2017</v>
      </c>
      <c r="U405" s="38" t="b">
        <f t="shared" si="52"/>
        <v>0</v>
      </c>
      <c r="V405" s="38"/>
      <c r="W405" s="40"/>
      <c r="X405" s="40"/>
      <c r="Y405" s="40"/>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row>
    <row r="406">
      <c r="A406" s="13" t="s">
        <v>1352</v>
      </c>
      <c r="B406" s="30">
        <v>43033.0</v>
      </c>
      <c r="C406" s="31">
        <v>43009.0</v>
      </c>
      <c r="D406" s="32" t="s">
        <v>167</v>
      </c>
      <c r="E406" s="13" t="s">
        <v>41</v>
      </c>
      <c r="F406" s="13">
        <v>1.0</v>
      </c>
      <c r="G406" s="13" t="s">
        <v>32</v>
      </c>
      <c r="H406" s="33">
        <f t="shared" si="54"/>
        <v>1</v>
      </c>
      <c r="I406" s="13" t="s">
        <v>33</v>
      </c>
      <c r="J406" s="13" t="s">
        <v>222</v>
      </c>
      <c r="K406" s="13">
        <v>5.0</v>
      </c>
      <c r="L406" s="13" t="s">
        <v>1353</v>
      </c>
      <c r="M406" s="35" t="s">
        <v>1354</v>
      </c>
      <c r="N406" s="15"/>
      <c r="O406" s="16"/>
      <c r="P406" s="16"/>
      <c r="Q406" s="16"/>
      <c r="R406" s="16"/>
      <c r="S406" s="37" t="str">
        <f>IFERROR(__xludf.DUMMYFUNCTION("if(not(iserror(index(split(C406, "" ""),2))), index(split(C406, "" ""),1),"""")"),"October,")</f>
        <v>October,</v>
      </c>
      <c r="T406" s="38">
        <f>IFERROR(__xludf.DUMMYFUNCTION("if(S406="""",C406,if(not(iserror(index(split(C406, "" ""),3))), index(split(C406, "" ""),3),index(split(C406, "" ""),2)))"),2017.0)</f>
        <v>2017</v>
      </c>
      <c r="U406" s="38" t="b">
        <f t="shared" si="52"/>
        <v>0</v>
      </c>
      <c r="V406" s="38"/>
      <c r="W406" s="40"/>
      <c r="X406" s="40"/>
      <c r="Y406" s="40"/>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row>
    <row r="407">
      <c r="A407" s="78" t="s">
        <v>1355</v>
      </c>
      <c r="B407" s="30">
        <v>43053.0</v>
      </c>
      <c r="C407" s="31">
        <v>43009.0</v>
      </c>
      <c r="D407" s="32" t="s">
        <v>167</v>
      </c>
      <c r="E407" s="13" t="s">
        <v>41</v>
      </c>
      <c r="F407" s="13">
        <v>2.0</v>
      </c>
      <c r="G407" s="13" t="s">
        <v>32</v>
      </c>
      <c r="H407" s="33">
        <f t="shared" si="54"/>
        <v>1</v>
      </c>
      <c r="I407" s="13" t="s">
        <v>33</v>
      </c>
      <c r="J407" s="13" t="s">
        <v>1356</v>
      </c>
      <c r="K407" s="13" t="s">
        <v>32</v>
      </c>
      <c r="L407" s="13" t="s">
        <v>99</v>
      </c>
      <c r="M407" s="35" t="s">
        <v>1357</v>
      </c>
      <c r="N407" s="15"/>
      <c r="O407" s="16"/>
      <c r="P407" s="16"/>
      <c r="Q407" s="16"/>
      <c r="R407" s="16"/>
      <c r="S407" s="37" t="str">
        <f>IFERROR(__xludf.DUMMYFUNCTION("if(not(iserror(index(split(C407, "" ""),2))), index(split(C407, "" ""),1),"""")"),"October,")</f>
        <v>October,</v>
      </c>
      <c r="T407" s="38">
        <f>IFERROR(__xludf.DUMMYFUNCTION("if(S407="""",C407,if(not(iserror(index(split(C407, "" ""),3))), index(split(C407, "" ""),3),index(split(C407, "" ""),2)))"),2017.0)</f>
        <v>2017</v>
      </c>
      <c r="U407" s="38" t="b">
        <f t="shared" si="52"/>
        <v>0</v>
      </c>
      <c r="V407" s="38"/>
      <c r="W407" s="40"/>
      <c r="X407" s="40"/>
      <c r="Y407" s="40"/>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row>
    <row r="408">
      <c r="A408" s="13" t="s">
        <v>1358</v>
      </c>
      <c r="B408" s="30">
        <v>43112.0</v>
      </c>
      <c r="C408" s="31">
        <v>43009.0</v>
      </c>
      <c r="D408" s="32" t="s">
        <v>167</v>
      </c>
      <c r="E408" s="13" t="s">
        <v>41</v>
      </c>
      <c r="F408" s="13">
        <v>1.0</v>
      </c>
      <c r="G408" s="13" t="s">
        <v>32</v>
      </c>
      <c r="H408" s="33">
        <f t="shared" si="54"/>
        <v>1</v>
      </c>
      <c r="I408" s="13" t="s">
        <v>33</v>
      </c>
      <c r="J408" s="13" t="s">
        <v>279</v>
      </c>
      <c r="K408" s="13">
        <v>1.0</v>
      </c>
      <c r="L408" s="13" t="s">
        <v>99</v>
      </c>
      <c r="M408" s="35" t="s">
        <v>1359</v>
      </c>
      <c r="N408" s="15"/>
      <c r="O408" s="16"/>
      <c r="P408" s="16"/>
      <c r="Q408" s="16"/>
      <c r="R408" s="16"/>
      <c r="S408" s="37" t="str">
        <f>IFERROR(__xludf.DUMMYFUNCTION("if(not(iserror(index(split(C408, "" ""),2))), index(split(C408, "" ""),1),"""")"),"October,")</f>
        <v>October,</v>
      </c>
      <c r="T408" s="38">
        <f>IFERROR(__xludf.DUMMYFUNCTION("if(S408="""",C408,if(not(iserror(index(split(C408, "" ""),3))), index(split(C408, "" ""),3),index(split(C408, "" ""),2)))"),2017.0)</f>
        <v>2017</v>
      </c>
      <c r="U408" s="38" t="b">
        <f t="shared" si="52"/>
        <v>0</v>
      </c>
      <c r="V408" s="38"/>
      <c r="W408" s="40"/>
      <c r="X408" s="40"/>
      <c r="Y408" s="40"/>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row>
    <row r="409">
      <c r="A409" s="13" t="s">
        <v>1360</v>
      </c>
      <c r="B409" s="30">
        <v>43119.0</v>
      </c>
      <c r="C409" s="31">
        <v>43009.0</v>
      </c>
      <c r="D409" s="32" t="s">
        <v>167</v>
      </c>
      <c r="E409" s="13" t="s">
        <v>41</v>
      </c>
      <c r="F409" s="13">
        <v>1.0</v>
      </c>
      <c r="G409" s="13" t="s">
        <v>32</v>
      </c>
      <c r="H409" s="33">
        <f t="shared" si="54"/>
        <v>1</v>
      </c>
      <c r="I409" s="13" t="s">
        <v>33</v>
      </c>
      <c r="J409" s="13" t="s">
        <v>47</v>
      </c>
      <c r="K409" s="13">
        <v>1.0</v>
      </c>
      <c r="L409" s="13" t="s">
        <v>1361</v>
      </c>
      <c r="M409" s="36" t="s">
        <v>1362</v>
      </c>
      <c r="N409" s="15"/>
      <c r="O409" s="16"/>
      <c r="P409" s="16"/>
      <c r="Q409" s="16"/>
      <c r="R409" s="16"/>
      <c r="S409" s="37" t="str">
        <f>IFERROR(__xludf.DUMMYFUNCTION("if(not(iserror(index(split(C409, "" ""),2))), index(split(C409, "" ""),1),"""")"),"October,")</f>
        <v>October,</v>
      </c>
      <c r="T409" s="38">
        <f>IFERROR(__xludf.DUMMYFUNCTION("if(S409="""",C409,if(not(iserror(index(split(C409, "" ""),3))), index(split(C409, "" ""),3),index(split(C409, "" ""),2)))"),2017.0)</f>
        <v>2017</v>
      </c>
      <c r="U409" s="38" t="b">
        <f t="shared" si="52"/>
        <v>0</v>
      </c>
      <c r="V409" s="38"/>
      <c r="W409" s="40"/>
      <c r="X409" s="40"/>
      <c r="Y409" s="40"/>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row>
    <row r="410">
      <c r="A410" s="13" t="s">
        <v>1363</v>
      </c>
      <c r="B410" s="30">
        <v>43140.0</v>
      </c>
      <c r="C410" s="31">
        <v>43009.0</v>
      </c>
      <c r="D410" s="32" t="s">
        <v>167</v>
      </c>
      <c r="E410" s="13" t="s">
        <v>41</v>
      </c>
      <c r="F410" s="13">
        <v>1.0</v>
      </c>
      <c r="G410" s="13" t="s">
        <v>32</v>
      </c>
      <c r="H410" s="33">
        <f t="shared" si="54"/>
        <v>1</v>
      </c>
      <c r="I410" s="13" t="s">
        <v>33</v>
      </c>
      <c r="J410" s="13" t="s">
        <v>279</v>
      </c>
      <c r="K410" s="13">
        <v>2.0</v>
      </c>
      <c r="L410" s="13" t="s">
        <v>306</v>
      </c>
      <c r="M410" s="35" t="s">
        <v>1364</v>
      </c>
      <c r="N410" s="15"/>
      <c r="O410" s="37"/>
      <c r="P410" s="37"/>
      <c r="Q410" s="64"/>
      <c r="R410" s="16"/>
      <c r="S410" s="37" t="str">
        <f>IFERROR(__xludf.DUMMYFUNCTION("if(not(iserror(index(split(C410, "" ""),2))), index(split(C410, "" ""),1),"""")"),"October,")</f>
        <v>October,</v>
      </c>
      <c r="T410" s="38">
        <f>IFERROR(__xludf.DUMMYFUNCTION("if(S410="""",C410,if(not(iserror(index(split(C410, "" ""),3))), index(split(C410, "" ""),3),index(split(C410, "" ""),2)))"),2017.0)</f>
        <v>2017</v>
      </c>
      <c r="U410" s="38" t="b">
        <f t="shared" si="52"/>
        <v>0</v>
      </c>
      <c r="V410" s="38"/>
      <c r="W410" s="40"/>
      <c r="X410" s="40"/>
      <c r="Y410" s="40"/>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row>
    <row r="411">
      <c r="A411" s="37" t="s">
        <v>1365</v>
      </c>
      <c r="B411" s="30">
        <v>43161.0</v>
      </c>
      <c r="C411" s="31">
        <v>43009.0</v>
      </c>
      <c r="D411" s="32" t="s">
        <v>167</v>
      </c>
      <c r="E411" s="13" t="s">
        <v>41</v>
      </c>
      <c r="F411" s="13">
        <v>1.0</v>
      </c>
      <c r="G411" s="13" t="s">
        <v>32</v>
      </c>
      <c r="H411" s="33">
        <f t="shared" si="54"/>
        <v>1</v>
      </c>
      <c r="I411" s="13" t="s">
        <v>33</v>
      </c>
      <c r="J411" s="13" t="s">
        <v>42</v>
      </c>
      <c r="K411" s="13">
        <v>3.0</v>
      </c>
      <c r="L411" s="13" t="s">
        <v>1366</v>
      </c>
      <c r="M411" s="35" t="s">
        <v>1367</v>
      </c>
      <c r="N411" s="15"/>
      <c r="O411" s="16"/>
      <c r="P411" s="16"/>
      <c r="Q411" s="16"/>
      <c r="R411" s="16"/>
      <c r="S411" s="37" t="str">
        <f>IFERROR(__xludf.DUMMYFUNCTION("if(not(iserror(index(split(C411, "" ""),2))), index(split(C411, "" ""),1),"""")"),"October,")</f>
        <v>October,</v>
      </c>
      <c r="T411" s="38">
        <f>IFERROR(__xludf.DUMMYFUNCTION("if(S411="""",C411,if(not(iserror(index(split(C411, "" ""),3))), index(split(C411, "" ""),3),index(split(C411, "" ""),2)))"),2017.0)</f>
        <v>2017</v>
      </c>
      <c r="U411" s="38" t="b">
        <f t="shared" si="52"/>
        <v>0</v>
      </c>
      <c r="V411" s="38"/>
      <c r="W411" s="40"/>
      <c r="X411" s="40"/>
      <c r="Y411" s="40"/>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row>
    <row r="412">
      <c r="A412" s="13" t="s">
        <v>1368</v>
      </c>
      <c r="B412" s="30">
        <v>43175.0</v>
      </c>
      <c r="C412" s="31">
        <v>43009.0</v>
      </c>
      <c r="D412" s="32" t="s">
        <v>1369</v>
      </c>
      <c r="E412" s="13" t="s">
        <v>41</v>
      </c>
      <c r="F412" s="13" t="s">
        <v>1369</v>
      </c>
      <c r="G412" s="13" t="s">
        <v>32</v>
      </c>
      <c r="H412" s="33">
        <f t="shared" si="54"/>
        <v>1</v>
      </c>
      <c r="I412" s="13" t="s">
        <v>1370</v>
      </c>
      <c r="J412" s="82"/>
      <c r="K412" s="13">
        <v>1.0</v>
      </c>
      <c r="L412" s="13" t="s">
        <v>1371</v>
      </c>
      <c r="M412" s="35" t="s">
        <v>1372</v>
      </c>
      <c r="N412" s="15"/>
      <c r="O412" s="16"/>
      <c r="P412" s="16"/>
      <c r="Q412" s="16"/>
      <c r="R412" s="16"/>
      <c r="S412" s="37" t="str">
        <f>IFERROR(__xludf.DUMMYFUNCTION("if(not(iserror(index(split(C412, "" ""),2))), index(split(C412, "" ""),1),"""")"),"October,")</f>
        <v>October,</v>
      </c>
      <c r="T412" s="38">
        <f>IFERROR(__xludf.DUMMYFUNCTION("if(S412="""",C412,if(not(iserror(index(split(C412, "" ""),3))), index(split(C412, "" ""),3),index(split(C412, "" ""),2)))"),2017.0)</f>
        <v>2017</v>
      </c>
      <c r="U412" s="38" t="b">
        <f t="shared" si="52"/>
        <v>0</v>
      </c>
      <c r="V412" s="38"/>
      <c r="W412" s="40"/>
      <c r="X412" s="40"/>
      <c r="Y412" s="40"/>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row>
    <row r="413">
      <c r="A413" s="13" t="s">
        <v>1373</v>
      </c>
      <c r="B413" s="30"/>
      <c r="C413" s="31">
        <v>43009.0</v>
      </c>
      <c r="D413" s="32"/>
      <c r="E413" s="13" t="s">
        <v>41</v>
      </c>
      <c r="F413" s="13" t="s">
        <v>1369</v>
      </c>
      <c r="G413" s="13" t="s">
        <v>32</v>
      </c>
      <c r="H413" s="43">
        <v>1.0</v>
      </c>
      <c r="I413" s="13" t="s">
        <v>33</v>
      </c>
      <c r="J413" s="13" t="s">
        <v>93</v>
      </c>
      <c r="K413" s="13"/>
      <c r="L413" s="13" t="s">
        <v>306</v>
      </c>
      <c r="M413" s="35" t="s">
        <v>1374</v>
      </c>
      <c r="N413" s="15"/>
      <c r="O413" s="16"/>
      <c r="P413" s="16"/>
      <c r="Q413" s="16"/>
      <c r="R413" s="16"/>
      <c r="S413" s="37"/>
      <c r="T413" s="38"/>
      <c r="U413" s="38"/>
      <c r="V413" s="38" t="s">
        <v>33</v>
      </c>
      <c r="W413" s="40"/>
      <c r="X413" s="40"/>
      <c r="Y413" s="40"/>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row>
    <row r="414">
      <c r="A414" s="37" t="s">
        <v>1375</v>
      </c>
      <c r="B414" s="30">
        <v>43187.0</v>
      </c>
      <c r="C414" s="100">
        <v>43009.0</v>
      </c>
      <c r="D414" s="143">
        <v>43009.0</v>
      </c>
      <c r="E414" s="13" t="s">
        <v>41</v>
      </c>
      <c r="F414" s="13">
        <v>1.0</v>
      </c>
      <c r="G414" s="13" t="s">
        <v>32</v>
      </c>
      <c r="H414" s="33">
        <f t="shared" ref="H414:H431" si="55">if(G414="Unknown",1,G414)</f>
        <v>1</v>
      </c>
      <c r="I414" s="13" t="s">
        <v>33</v>
      </c>
      <c r="J414" s="13" t="s">
        <v>124</v>
      </c>
      <c r="K414" s="13">
        <v>1.0</v>
      </c>
      <c r="L414" s="13" t="s">
        <v>1376</v>
      </c>
      <c r="M414" s="35" t="s">
        <v>1377</v>
      </c>
      <c r="N414" s="15"/>
      <c r="O414" s="86" t="str">
        <f>hyperlink("https://bad-boys.us/?q=SD-OH/1:17-cr-00127", "SD-OH 1:17-cr-00127")</f>
        <v>SD-OH 1:17-cr-00127</v>
      </c>
      <c r="P414" s="86" t="s">
        <v>1378</v>
      </c>
      <c r="Q414" s="64">
        <v>1.0</v>
      </c>
      <c r="R414" s="16"/>
      <c r="S414" s="37" t="str">
        <f>IFERROR(__xludf.DUMMYFUNCTION("if(not(iserror(index(split(C414, "" ""),2))), index(split(C414, "" ""),1),"""")"),"October,")</f>
        <v>October,</v>
      </c>
      <c r="T414" s="38">
        <f>IFERROR(__xludf.DUMMYFUNCTION("if(S414="""",C414,if(not(iserror(index(split(C414, "" ""),3))), index(split(C414, "" ""),3),index(split(C414, "" ""),2)))"),2017.0)</f>
        <v>2017</v>
      </c>
      <c r="U414" s="38" t="b">
        <f t="shared" ref="U414:U453" si="56">countif(A$4:A4658, A414)&gt;1</f>
        <v>0</v>
      </c>
      <c r="V414" s="38"/>
      <c r="W414" s="40"/>
      <c r="X414" s="40"/>
      <c r="Y414" s="40"/>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row>
    <row r="415">
      <c r="A415" s="13" t="s">
        <v>1379</v>
      </c>
      <c r="B415" s="30">
        <v>43189.0</v>
      </c>
      <c r="C415" s="30">
        <v>43009.0</v>
      </c>
      <c r="D415" s="143">
        <v>43009.0</v>
      </c>
      <c r="E415" s="13" t="s">
        <v>41</v>
      </c>
      <c r="F415" s="13">
        <v>1.0</v>
      </c>
      <c r="G415" s="13" t="s">
        <v>32</v>
      </c>
      <c r="H415" s="33">
        <f t="shared" si="55"/>
        <v>1</v>
      </c>
      <c r="I415" s="13" t="s">
        <v>33</v>
      </c>
      <c r="J415" s="13" t="s">
        <v>147</v>
      </c>
      <c r="K415" s="13">
        <v>2.0</v>
      </c>
      <c r="L415" s="13" t="s">
        <v>1380</v>
      </c>
      <c r="M415" s="35" t="s">
        <v>1381</v>
      </c>
      <c r="N415" s="15"/>
      <c r="O415" s="37"/>
      <c r="P415" s="37"/>
      <c r="Q415" s="64"/>
      <c r="R415" s="16"/>
      <c r="S415" s="37" t="str">
        <f>IFERROR(__xludf.DUMMYFUNCTION("if(not(iserror(index(split(C415, "" ""),2))), index(split(C415, "" ""),1),"""")"),"October")</f>
        <v>October</v>
      </c>
      <c r="T415" s="38">
        <f>IFERROR(__xludf.DUMMYFUNCTION("if(S415="""",C415,if(not(iserror(index(split(C415, "" ""),3))), index(split(C415, "" ""),3),index(split(C415, "" ""),2)))"),2017.0)</f>
        <v>2017</v>
      </c>
      <c r="U415" s="38" t="b">
        <f t="shared" si="56"/>
        <v>0</v>
      </c>
      <c r="V415" s="38"/>
      <c r="W415" s="40"/>
      <c r="X415" s="40"/>
      <c r="Y415" s="40"/>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row>
    <row r="416">
      <c r="A416" s="34" t="s">
        <v>1382</v>
      </c>
      <c r="B416" s="73">
        <v>43200.0</v>
      </c>
      <c r="C416" s="74">
        <v>43009.0</v>
      </c>
      <c r="D416" s="75" t="s">
        <v>167</v>
      </c>
      <c r="E416" s="34" t="s">
        <v>31</v>
      </c>
      <c r="F416" s="34">
        <v>1.0</v>
      </c>
      <c r="G416" s="34" t="s">
        <v>32</v>
      </c>
      <c r="H416" s="33">
        <f t="shared" si="55"/>
        <v>1</v>
      </c>
      <c r="I416" s="34" t="s">
        <v>33</v>
      </c>
      <c r="J416" s="34" t="s">
        <v>179</v>
      </c>
      <c r="K416" s="34" t="s">
        <v>40</v>
      </c>
      <c r="L416" s="34" t="s">
        <v>1383</v>
      </c>
      <c r="M416" s="76" t="s">
        <v>1384</v>
      </c>
      <c r="N416" s="61" t="s">
        <v>1385</v>
      </c>
      <c r="O416" s="62"/>
      <c r="P416" s="62"/>
      <c r="Q416" s="62"/>
      <c r="R416" s="62"/>
      <c r="S416" s="37" t="str">
        <f>IFERROR(__xludf.DUMMYFUNCTION("if(not(iserror(index(split(C416, "" ""),2))), index(split(C416, "" ""),1),"""")"),"October,")</f>
        <v>October,</v>
      </c>
      <c r="T416" s="38">
        <f>IFERROR(__xludf.DUMMYFUNCTION("if(S416="""",C416,if(not(iserror(index(split(C416, "" ""),3))), index(split(C416, "" ""),3),index(split(C416, "" ""),2)))"),2017.0)</f>
        <v>2017</v>
      </c>
      <c r="U416" s="38" t="b">
        <f t="shared" si="56"/>
        <v>0</v>
      </c>
      <c r="V416" s="38"/>
      <c r="W416" s="39" t="s">
        <v>1386</v>
      </c>
      <c r="X416" s="39" t="s">
        <v>1387</v>
      </c>
      <c r="Y416" s="40"/>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row>
    <row r="417">
      <c r="A417" s="37" t="s">
        <v>1388</v>
      </c>
      <c r="B417" s="59">
        <v>43213.0</v>
      </c>
      <c r="C417" s="79">
        <v>43009.0</v>
      </c>
      <c r="D417" s="60" t="s">
        <v>167</v>
      </c>
      <c r="E417" s="58" t="s">
        <v>41</v>
      </c>
      <c r="F417" s="58">
        <v>1.0</v>
      </c>
      <c r="G417" s="58" t="s">
        <v>32</v>
      </c>
      <c r="H417" s="33">
        <f t="shared" si="55"/>
        <v>1</v>
      </c>
      <c r="I417" s="58" t="s">
        <v>33</v>
      </c>
      <c r="J417" s="58" t="s">
        <v>193</v>
      </c>
      <c r="K417" s="58">
        <v>4.0</v>
      </c>
      <c r="L417" s="34" t="s">
        <v>1389</v>
      </c>
      <c r="M417" s="61" t="s">
        <v>1390</v>
      </c>
      <c r="N417" s="61" t="s">
        <v>1391</v>
      </c>
      <c r="O417" s="88" t="str">
        <f>hyperlink("https://bad-boys.us/?q=D-NM/2:18-cr-00164", "D-NM 2:18-cr-00164")</f>
        <v>D-NM 2:18-cr-00164</v>
      </c>
      <c r="P417" s="88" t="s">
        <v>1392</v>
      </c>
      <c r="Q417" s="58">
        <v>1.0</v>
      </c>
      <c r="R417" s="62"/>
      <c r="S417" s="37" t="str">
        <f>IFERROR(__xludf.DUMMYFUNCTION("if(not(iserror(index(split(C417, "" ""),2))), index(split(C417, "" ""),1),"""")"),"October,")</f>
        <v>October,</v>
      </c>
      <c r="T417" s="38">
        <f>IFERROR(__xludf.DUMMYFUNCTION("if(S417="""",C417,if(not(iserror(index(split(C417, "" ""),3))), index(split(C417, "" ""),3),index(split(C417, "" ""),2)))"),2017.0)</f>
        <v>2017</v>
      </c>
      <c r="U417" s="38" t="b">
        <f t="shared" si="56"/>
        <v>0</v>
      </c>
      <c r="V417" s="38"/>
      <c r="W417" s="40"/>
      <c r="X417" s="40"/>
      <c r="Y417" s="40"/>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row>
    <row r="418">
      <c r="A418" s="58" t="s">
        <v>40</v>
      </c>
      <c r="B418" s="59">
        <v>43238.0</v>
      </c>
      <c r="C418" s="79">
        <v>43009.0</v>
      </c>
      <c r="D418" s="60" t="s">
        <v>167</v>
      </c>
      <c r="E418" s="58" t="s">
        <v>41</v>
      </c>
      <c r="F418" s="58">
        <v>112.0</v>
      </c>
      <c r="G418" s="58" t="s">
        <v>32</v>
      </c>
      <c r="H418" s="33">
        <f t="shared" si="55"/>
        <v>1</v>
      </c>
      <c r="I418" s="58" t="s">
        <v>1393</v>
      </c>
      <c r="J418" s="62"/>
      <c r="K418" s="58" t="s">
        <v>40</v>
      </c>
      <c r="L418" s="58" t="s">
        <v>1394</v>
      </c>
      <c r="M418" s="61" t="s">
        <v>1395</v>
      </c>
      <c r="N418" s="77"/>
      <c r="O418" s="62"/>
      <c r="P418" s="62"/>
      <c r="Q418" s="62"/>
      <c r="R418" s="62"/>
      <c r="S418" s="37" t="str">
        <f>IFERROR(__xludf.DUMMYFUNCTION("if(not(iserror(index(split(C418, "" ""),2))), index(split(C418, "" ""),1),"""")"),"October,")</f>
        <v>October,</v>
      </c>
      <c r="T418" s="38">
        <f>IFERROR(__xludf.DUMMYFUNCTION("if(S418="""",C418,if(not(iserror(index(split(C418, "" ""),3))), index(split(C418, "" ""),3),index(split(C418, "" ""),2)))"),2017.0)</f>
        <v>2017</v>
      </c>
      <c r="U418" s="38" t="b">
        <f t="shared" si="56"/>
        <v>1</v>
      </c>
      <c r="V418" s="38"/>
      <c r="W418" s="40"/>
      <c r="X418" s="40"/>
      <c r="Y418" s="40"/>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row>
    <row r="419">
      <c r="A419" s="78" t="s">
        <v>1396</v>
      </c>
      <c r="B419" s="59">
        <v>43313.0</v>
      </c>
      <c r="C419" s="79">
        <v>43009.0</v>
      </c>
      <c r="D419" s="60" t="s">
        <v>167</v>
      </c>
      <c r="E419" s="58" t="s">
        <v>41</v>
      </c>
      <c r="F419" s="58">
        <v>1.0</v>
      </c>
      <c r="G419" s="58" t="s">
        <v>32</v>
      </c>
      <c r="H419" s="33">
        <f t="shared" si="55"/>
        <v>1</v>
      </c>
      <c r="I419" s="58" t="s">
        <v>33</v>
      </c>
      <c r="J419" s="58" t="s">
        <v>47</v>
      </c>
      <c r="K419" s="58">
        <v>3.0</v>
      </c>
      <c r="L419" s="58" t="s">
        <v>76</v>
      </c>
      <c r="M419" s="61" t="s">
        <v>1397</v>
      </c>
      <c r="N419" s="77"/>
      <c r="O419" s="83" t="str">
        <f>hyperlink("https://bad-boys.us/?q=ND-FL/1:17-cr-00023", "ND-FL 1:17-cr-00023")</f>
        <v>ND-FL 1:17-cr-00023</v>
      </c>
      <c r="P419" s="88" t="s">
        <v>1398</v>
      </c>
      <c r="Q419" s="84">
        <v>1.0</v>
      </c>
      <c r="R419" s="62"/>
      <c r="S419" s="37" t="str">
        <f>IFERROR(__xludf.DUMMYFUNCTION("if(not(iserror(index(split(C419, "" ""),2))), index(split(C419, "" ""),1),"""")"),"October,")</f>
        <v>October,</v>
      </c>
      <c r="T419" s="38">
        <f>IFERROR(__xludf.DUMMYFUNCTION("if(S419="""",C419,if(not(iserror(index(split(C419, "" ""),3))), index(split(C419, "" ""),3),index(split(C419, "" ""),2)))"),2017.0)</f>
        <v>2017</v>
      </c>
      <c r="U419" s="38" t="b">
        <f t="shared" si="56"/>
        <v>0</v>
      </c>
      <c r="V419" s="38"/>
      <c r="W419" s="40"/>
      <c r="X419" s="40"/>
      <c r="Y419" s="40"/>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row>
    <row r="420">
      <c r="A420" s="78" t="s">
        <v>1399</v>
      </c>
      <c r="B420" s="59">
        <v>43313.0</v>
      </c>
      <c r="C420" s="79">
        <v>43009.0</v>
      </c>
      <c r="D420" s="60" t="s">
        <v>167</v>
      </c>
      <c r="E420" s="58" t="s">
        <v>41</v>
      </c>
      <c r="F420" s="58">
        <v>1.0</v>
      </c>
      <c r="G420" s="58" t="s">
        <v>32</v>
      </c>
      <c r="H420" s="33">
        <f t="shared" si="55"/>
        <v>1</v>
      </c>
      <c r="I420" s="58" t="s">
        <v>33</v>
      </c>
      <c r="J420" s="58" t="s">
        <v>140</v>
      </c>
      <c r="K420" s="58">
        <v>1.0</v>
      </c>
      <c r="L420" s="58" t="s">
        <v>119</v>
      </c>
      <c r="M420" s="61" t="s">
        <v>1400</v>
      </c>
      <c r="N420" s="77"/>
      <c r="O420" s="83" t="str">
        <f>hyperlink("https://bad-boys.us/?q=D-ME/1:18-cr-00015", "D-ME 1:18-cr-00015")</f>
        <v>D-ME 1:18-cr-00015</v>
      </c>
      <c r="P420" s="88" t="s">
        <v>1401</v>
      </c>
      <c r="Q420" s="84">
        <v>1.0</v>
      </c>
      <c r="R420" s="62"/>
      <c r="S420" s="37" t="str">
        <f>IFERROR(__xludf.DUMMYFUNCTION("if(not(iserror(index(split(C420, "" ""),2))), index(split(C420, "" ""),1),"""")"),"October,")</f>
        <v>October,</v>
      </c>
      <c r="T420" s="38">
        <f>IFERROR(__xludf.DUMMYFUNCTION("if(S420="""",C420,if(not(iserror(index(split(C420, "" ""),3))), index(split(C420, "" ""),3),index(split(C420, "" ""),2)))"),2017.0)</f>
        <v>2017</v>
      </c>
      <c r="U420" s="38" t="b">
        <f t="shared" si="56"/>
        <v>0</v>
      </c>
      <c r="V420" s="38"/>
      <c r="W420" s="40"/>
      <c r="X420" s="40"/>
      <c r="Y420" s="40"/>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row>
    <row r="421">
      <c r="A421" s="78" t="s">
        <v>1402</v>
      </c>
      <c r="B421" s="59">
        <v>43348.0</v>
      </c>
      <c r="C421" s="79">
        <v>43009.0</v>
      </c>
      <c r="D421" s="60" t="s">
        <v>167</v>
      </c>
      <c r="E421" s="58" t="s">
        <v>41</v>
      </c>
      <c r="F421" s="58">
        <v>1.0</v>
      </c>
      <c r="G421" s="58" t="s">
        <v>32</v>
      </c>
      <c r="H421" s="33">
        <f t="shared" si="55"/>
        <v>1</v>
      </c>
      <c r="I421" s="58" t="s">
        <v>33</v>
      </c>
      <c r="J421" s="58" t="s">
        <v>147</v>
      </c>
      <c r="K421" s="58">
        <v>1.0</v>
      </c>
      <c r="L421" s="58" t="s">
        <v>194</v>
      </c>
      <c r="M421" s="61" t="s">
        <v>1403</v>
      </c>
      <c r="N421" s="77"/>
      <c r="O421" s="62"/>
      <c r="P421" s="62"/>
      <c r="Q421" s="62"/>
      <c r="R421" s="62"/>
      <c r="S421" s="37" t="str">
        <f>IFERROR(__xludf.DUMMYFUNCTION("if(not(iserror(index(split(C421, "" ""),2))), index(split(C421, "" ""),1),"""")"),"October,")</f>
        <v>October,</v>
      </c>
      <c r="T421" s="38">
        <f>IFERROR(__xludf.DUMMYFUNCTION("if(S421="""",C421,if(not(iserror(index(split(C421, "" ""),3))), index(split(C421, "" ""),3),index(split(C421, "" ""),2)))"),2017.0)</f>
        <v>2017</v>
      </c>
      <c r="U421" s="38" t="b">
        <f t="shared" si="56"/>
        <v>0</v>
      </c>
      <c r="V421" s="38"/>
      <c r="W421" s="40"/>
      <c r="X421" s="40"/>
      <c r="Y421" s="40"/>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row>
    <row r="422">
      <c r="A422" s="58" t="s">
        <v>1404</v>
      </c>
      <c r="B422" s="59">
        <v>43353.0</v>
      </c>
      <c r="C422" s="79">
        <v>43009.0</v>
      </c>
      <c r="D422" s="60" t="s">
        <v>167</v>
      </c>
      <c r="E422" s="58" t="s">
        <v>41</v>
      </c>
      <c r="F422" s="58">
        <v>1.0</v>
      </c>
      <c r="G422" s="58" t="s">
        <v>32</v>
      </c>
      <c r="H422" s="33">
        <f t="shared" si="55"/>
        <v>1</v>
      </c>
      <c r="I422" s="58" t="s">
        <v>33</v>
      </c>
      <c r="J422" s="58" t="s">
        <v>75</v>
      </c>
      <c r="K422" s="58">
        <v>2.0</v>
      </c>
      <c r="L422" s="58" t="s">
        <v>119</v>
      </c>
      <c r="M422" s="61" t="s">
        <v>1405</v>
      </c>
      <c r="N422" s="77"/>
      <c r="O422" s="83" t="str">
        <f>hyperlink("https://bad-boys.us/?q=ED-KY/2:17-cr-00058", "ED-KY 2:17-cr-00058")</f>
        <v>ED-KY 2:17-cr-00058</v>
      </c>
      <c r="P422" s="62"/>
      <c r="Q422" s="84">
        <v>1.0</v>
      </c>
      <c r="R422" s="62"/>
      <c r="S422" s="37" t="str">
        <f>IFERROR(__xludf.DUMMYFUNCTION("if(not(iserror(index(split(C422, "" ""),2))), index(split(C422, "" ""),1),"""")"),"October,")</f>
        <v>October,</v>
      </c>
      <c r="T422" s="38">
        <f>IFERROR(__xludf.DUMMYFUNCTION("if(S422="""",C422,if(not(iserror(index(split(C422, "" ""),3))), index(split(C422, "" ""),3),index(split(C422, "" ""),2)))"),2017.0)</f>
        <v>2017</v>
      </c>
      <c r="U422" s="38" t="b">
        <f t="shared" si="56"/>
        <v>0</v>
      </c>
      <c r="V422" s="38"/>
      <c r="W422" s="40"/>
      <c r="X422" s="40"/>
      <c r="Y422" s="40"/>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row>
    <row r="423">
      <c r="A423" s="58" t="s">
        <v>1406</v>
      </c>
      <c r="B423" s="59">
        <v>43360.0</v>
      </c>
      <c r="C423" s="79">
        <v>43009.0</v>
      </c>
      <c r="D423" s="60" t="s">
        <v>167</v>
      </c>
      <c r="E423" s="58" t="s">
        <v>41</v>
      </c>
      <c r="F423" s="58">
        <v>1.0</v>
      </c>
      <c r="G423" s="58" t="s">
        <v>32</v>
      </c>
      <c r="H423" s="33">
        <f t="shared" si="55"/>
        <v>1</v>
      </c>
      <c r="I423" s="58" t="s">
        <v>33</v>
      </c>
      <c r="J423" s="58" t="s">
        <v>318</v>
      </c>
      <c r="K423" s="58">
        <v>6.0</v>
      </c>
      <c r="L423" s="58" t="s">
        <v>76</v>
      </c>
      <c r="M423" s="61" t="s">
        <v>1407</v>
      </c>
      <c r="N423" s="77"/>
      <c r="O423" s="88" t="str">
        <f>hyperlink("https://bad-boys.us/?q=WD-WA/2:18-cr-00090", "WD-WA 2:18-cr-00090")</f>
        <v>WD-WA 2:18-cr-00090</v>
      </c>
      <c r="P423" s="88" t="s">
        <v>1408</v>
      </c>
      <c r="Q423" s="84">
        <v>1.0</v>
      </c>
      <c r="R423" s="62"/>
      <c r="S423" s="37" t="str">
        <f>IFERROR(__xludf.DUMMYFUNCTION("if(not(iserror(index(split(C423, "" ""),2))), index(split(C423, "" ""),1),"""")"),"October,")</f>
        <v>October,</v>
      </c>
      <c r="T423" s="38">
        <f>IFERROR(__xludf.DUMMYFUNCTION("if(S423="""",C423,if(not(iserror(index(split(C423, "" ""),3))), index(split(C423, "" ""),3),index(split(C423, "" ""),2)))"),2017.0)</f>
        <v>2017</v>
      </c>
      <c r="U423" s="38" t="b">
        <f t="shared" si="56"/>
        <v>0</v>
      </c>
      <c r="V423" s="38"/>
      <c r="W423" s="40"/>
      <c r="X423" s="40"/>
      <c r="Y423" s="40"/>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row>
    <row r="424">
      <c r="A424" s="58" t="s">
        <v>1409</v>
      </c>
      <c r="B424" s="59">
        <v>43367.0</v>
      </c>
      <c r="C424" s="79">
        <v>43009.0</v>
      </c>
      <c r="D424" s="60" t="s">
        <v>167</v>
      </c>
      <c r="E424" s="58" t="s">
        <v>31</v>
      </c>
      <c r="F424" s="58">
        <v>1.0</v>
      </c>
      <c r="G424" s="58" t="s">
        <v>32</v>
      </c>
      <c r="H424" s="33">
        <f t="shared" si="55"/>
        <v>1</v>
      </c>
      <c r="I424" s="58" t="s">
        <v>33</v>
      </c>
      <c r="J424" s="58" t="s">
        <v>460</v>
      </c>
      <c r="K424" s="58">
        <v>2.0</v>
      </c>
      <c r="L424" s="58" t="s">
        <v>119</v>
      </c>
      <c r="M424" s="61" t="s">
        <v>1410</v>
      </c>
      <c r="N424" s="61" t="s">
        <v>1411</v>
      </c>
      <c r="O424" s="58"/>
      <c r="P424" s="58"/>
      <c r="Q424" s="84"/>
      <c r="R424" s="62"/>
      <c r="S424" s="37" t="str">
        <f>IFERROR(__xludf.DUMMYFUNCTION("if(not(iserror(index(split(C424, "" ""),2))), index(split(C424, "" ""),1),"""")"),"October,")</f>
        <v>October,</v>
      </c>
      <c r="T424" s="38">
        <f>IFERROR(__xludf.DUMMYFUNCTION("if(S424="""",C424,if(not(iserror(index(split(C424, "" ""),3))), index(split(C424, "" ""),3),index(split(C424, "" ""),2)))"),2017.0)</f>
        <v>2017</v>
      </c>
      <c r="U424" s="38" t="b">
        <f t="shared" si="56"/>
        <v>0</v>
      </c>
      <c r="V424" s="38" t="s">
        <v>33</v>
      </c>
      <c r="W424" s="40"/>
      <c r="X424" s="40"/>
      <c r="Y424" s="40"/>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row>
    <row r="425">
      <c r="A425" s="58" t="s">
        <v>1412</v>
      </c>
      <c r="B425" s="59">
        <v>43375.0</v>
      </c>
      <c r="C425" s="79">
        <v>43009.0</v>
      </c>
      <c r="D425" s="60" t="s">
        <v>632</v>
      </c>
      <c r="E425" s="58" t="s">
        <v>41</v>
      </c>
      <c r="F425" s="58">
        <v>1.0</v>
      </c>
      <c r="G425" s="58" t="s">
        <v>32</v>
      </c>
      <c r="H425" s="33">
        <f t="shared" si="55"/>
        <v>1</v>
      </c>
      <c r="I425" s="58" t="s">
        <v>33</v>
      </c>
      <c r="J425" s="58" t="s">
        <v>93</v>
      </c>
      <c r="K425" s="58" t="s">
        <v>32</v>
      </c>
      <c r="L425" s="58" t="s">
        <v>99</v>
      </c>
      <c r="M425" s="61" t="s">
        <v>1413</v>
      </c>
      <c r="N425" s="77"/>
      <c r="O425" s="83" t="str">
        <f>hyperlink("https://bad-boys.us/?q=WD-NY/6:18-cr-06071", "WD-NY 6:18-cr-06071")</f>
        <v>WD-NY 6:18-cr-06071</v>
      </c>
      <c r="P425" s="62"/>
      <c r="Q425" s="84">
        <v>1.0</v>
      </c>
      <c r="R425" s="62"/>
      <c r="S425" s="37" t="str">
        <f>IFERROR(__xludf.DUMMYFUNCTION("if(not(iserror(index(split(C425, "" ""),2))), index(split(C425, "" ""),1),"""")"),"October,")</f>
        <v>October,</v>
      </c>
      <c r="T425" s="38">
        <f>IFERROR(__xludf.DUMMYFUNCTION("if(S425="""",C425,if(not(iserror(index(split(C425, "" ""),3))), index(split(C425, "" ""),3),index(split(C425, "" ""),2)))"),2017.0)</f>
        <v>2017</v>
      </c>
      <c r="U425" s="38" t="b">
        <f t="shared" si="56"/>
        <v>0</v>
      </c>
      <c r="V425" s="38"/>
      <c r="W425" s="40"/>
      <c r="X425" s="40"/>
      <c r="Y425" s="40"/>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row>
    <row r="426">
      <c r="A426" s="58" t="s">
        <v>1414</v>
      </c>
      <c r="B426" s="59">
        <v>43392.0</v>
      </c>
      <c r="C426" s="79">
        <v>43009.0</v>
      </c>
      <c r="D426" s="60" t="s">
        <v>167</v>
      </c>
      <c r="E426" s="58" t="s">
        <v>41</v>
      </c>
      <c r="F426" s="58">
        <v>1.0</v>
      </c>
      <c r="G426" s="58">
        <v>2.0</v>
      </c>
      <c r="H426" s="33">
        <f t="shared" si="55"/>
        <v>2</v>
      </c>
      <c r="I426" s="58" t="s">
        <v>33</v>
      </c>
      <c r="J426" s="58" t="s">
        <v>147</v>
      </c>
      <c r="K426" s="58">
        <v>2.0</v>
      </c>
      <c r="L426" s="58" t="s">
        <v>119</v>
      </c>
      <c r="M426" s="61" t="s">
        <v>1415</v>
      </c>
      <c r="N426" s="61" t="s">
        <v>1416</v>
      </c>
      <c r="O426" s="88" t="str">
        <f>hyperlink("https://bad-boys.us/?q=WD-TX/3:17-cr-02286", "WD-TX 3:17-cr-02286")</f>
        <v>WD-TX 3:17-cr-02286</v>
      </c>
      <c r="P426" s="88" t="s">
        <v>1417</v>
      </c>
      <c r="Q426" s="84">
        <v>1.0</v>
      </c>
      <c r="R426" s="62"/>
      <c r="S426" s="37" t="str">
        <f>IFERROR(__xludf.DUMMYFUNCTION("if(not(iserror(index(split(C426, "" ""),2))), index(split(C426, "" ""),1),"""")"),"October,")</f>
        <v>October,</v>
      </c>
      <c r="T426" s="38">
        <f>IFERROR(__xludf.DUMMYFUNCTION("if(S426="""",C426,if(not(iserror(index(split(C426, "" ""),3))), index(split(C426, "" ""),3),index(split(C426, "" ""),2)))"),2017.0)</f>
        <v>2017</v>
      </c>
      <c r="U426" s="38" t="b">
        <f t="shared" si="56"/>
        <v>0</v>
      </c>
      <c r="V426" s="38"/>
      <c r="W426" s="40"/>
      <c r="X426" s="40"/>
      <c r="Y426" s="40"/>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row>
    <row r="427">
      <c r="A427" s="58" t="s">
        <v>1418</v>
      </c>
      <c r="B427" s="59">
        <v>43396.0</v>
      </c>
      <c r="C427" s="79">
        <v>43009.0</v>
      </c>
      <c r="D427" s="60" t="s">
        <v>167</v>
      </c>
      <c r="E427" s="58" t="s">
        <v>41</v>
      </c>
      <c r="F427" s="58">
        <v>1.0</v>
      </c>
      <c r="G427" s="58" t="s">
        <v>32</v>
      </c>
      <c r="H427" s="33">
        <f t="shared" si="55"/>
        <v>1</v>
      </c>
      <c r="I427" s="58" t="s">
        <v>33</v>
      </c>
      <c r="J427" s="58" t="s">
        <v>124</v>
      </c>
      <c r="K427" s="58">
        <v>5.0</v>
      </c>
      <c r="L427" s="58" t="s">
        <v>119</v>
      </c>
      <c r="M427" s="61" t="s">
        <v>1419</v>
      </c>
      <c r="N427" s="80"/>
      <c r="O427" s="62"/>
      <c r="P427" s="62"/>
      <c r="Q427" s="62"/>
      <c r="R427" s="62"/>
      <c r="S427" s="37" t="str">
        <f>IFERROR(__xludf.DUMMYFUNCTION("if(not(iserror(index(split(C427, "" ""),2))), index(split(C427, "" ""),1),"""")"),"October,")</f>
        <v>October,</v>
      </c>
      <c r="T427" s="38">
        <f>IFERROR(__xludf.DUMMYFUNCTION("if(S427="""",C427,if(not(iserror(index(split(C427, "" ""),3))), index(split(C427, "" ""),3),index(split(C427, "" ""),2)))"),2017.0)</f>
        <v>2017</v>
      </c>
      <c r="U427" s="38" t="b">
        <f t="shared" si="56"/>
        <v>0</v>
      </c>
      <c r="V427" s="38"/>
      <c r="W427" s="40"/>
      <c r="X427" s="40"/>
      <c r="Y427" s="40"/>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row>
    <row r="428">
      <c r="A428" s="58" t="s">
        <v>1420</v>
      </c>
      <c r="B428" s="59">
        <v>43432.0</v>
      </c>
      <c r="C428" s="79">
        <v>43009.0</v>
      </c>
      <c r="D428" s="60" t="s">
        <v>167</v>
      </c>
      <c r="E428" s="58" t="s">
        <v>31</v>
      </c>
      <c r="F428" s="58">
        <v>1.0</v>
      </c>
      <c r="G428" s="58" t="s">
        <v>32</v>
      </c>
      <c r="H428" s="33">
        <f t="shared" si="55"/>
        <v>1</v>
      </c>
      <c r="I428" s="58" t="s">
        <v>33</v>
      </c>
      <c r="J428" s="58" t="s">
        <v>89</v>
      </c>
      <c r="K428" s="58">
        <v>3.0</v>
      </c>
      <c r="L428" s="58" t="s">
        <v>119</v>
      </c>
      <c r="M428" s="61" t="s">
        <v>1421</v>
      </c>
      <c r="N428" s="61" t="s">
        <v>1422</v>
      </c>
      <c r="O428" s="88" t="str">
        <f>hyperlink("https://bad-boys.us/?q=ED-TN/3:17-cr-00122", "ED-TN 3:17-cr-00122")</f>
        <v>ED-TN 3:17-cr-00122</v>
      </c>
      <c r="P428" s="88" t="s">
        <v>1423</v>
      </c>
      <c r="Q428" s="58">
        <v>1.0</v>
      </c>
      <c r="R428" s="62"/>
      <c r="S428" s="37" t="str">
        <f>IFERROR(__xludf.DUMMYFUNCTION("if(not(iserror(index(split(C428, "" ""),2))), index(split(C428, "" ""),1),"""")"),"October,")</f>
        <v>October,</v>
      </c>
      <c r="T428" s="38">
        <f>IFERROR(__xludf.DUMMYFUNCTION("if(S428="""",C428,if(not(iserror(index(split(C428, "" ""),3))), index(split(C428, "" ""),3),index(split(C428, "" ""),2)))"),2017.0)</f>
        <v>2017</v>
      </c>
      <c r="U428" s="38" t="b">
        <f t="shared" si="56"/>
        <v>0</v>
      </c>
      <c r="V428" s="38"/>
      <c r="W428" s="40"/>
      <c r="X428" s="40"/>
      <c r="Y428" s="40"/>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row>
    <row r="429">
      <c r="A429" s="58" t="s">
        <v>660</v>
      </c>
      <c r="B429" s="59">
        <v>43440.0</v>
      </c>
      <c r="C429" s="79">
        <v>43009.0</v>
      </c>
      <c r="D429" s="60" t="s">
        <v>483</v>
      </c>
      <c r="E429" s="58" t="s">
        <v>31</v>
      </c>
      <c r="F429" s="58">
        <v>8.0</v>
      </c>
      <c r="G429" s="58">
        <v>50.0</v>
      </c>
      <c r="H429" s="33">
        <f t="shared" si="55"/>
        <v>50</v>
      </c>
      <c r="I429" s="58" t="s">
        <v>33</v>
      </c>
      <c r="J429" s="58" t="s">
        <v>40</v>
      </c>
      <c r="K429" s="58">
        <v>1.0</v>
      </c>
      <c r="L429" s="58" t="s">
        <v>76</v>
      </c>
      <c r="M429" s="61" t="s">
        <v>1424</v>
      </c>
      <c r="N429" s="61" t="s">
        <v>1425</v>
      </c>
      <c r="O429" s="88" t="str">
        <f>hyperlink("https://bad-boys.us/?q=ED-MI/5:18-cr-20128", "ED-MI 5:18-cr-20128 ❔")</f>
        <v>ED-MI 5:18-cr-20128 ❔</v>
      </c>
      <c r="P429" s="62"/>
      <c r="Q429" s="84">
        <v>1.0</v>
      </c>
      <c r="R429" s="62"/>
      <c r="S429" s="37" t="str">
        <f>IFERROR(__xludf.DUMMYFUNCTION("if(not(iserror(index(split(C429, "" ""),2))), index(split(C429, "" ""),1),"""")"),"October,")</f>
        <v>October,</v>
      </c>
      <c r="T429" s="38">
        <f>IFERROR(__xludf.DUMMYFUNCTION("if(S429="""",C429,if(not(iserror(index(split(C429, "" ""),3))), index(split(C429, "" ""),3),index(split(C429, "" ""),2)))"),2017.0)</f>
        <v>2017</v>
      </c>
      <c r="U429" s="38" t="b">
        <f t="shared" si="56"/>
        <v>1</v>
      </c>
      <c r="V429" s="38"/>
      <c r="W429" s="40"/>
      <c r="X429" s="40"/>
      <c r="Y429" s="40"/>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row>
    <row r="430">
      <c r="A430" s="37" t="s">
        <v>1426</v>
      </c>
      <c r="B430" s="99">
        <v>43455.0</v>
      </c>
      <c r="C430" s="100">
        <v>43009.0</v>
      </c>
      <c r="D430" s="144" t="s">
        <v>167</v>
      </c>
      <c r="E430" s="37" t="s">
        <v>31</v>
      </c>
      <c r="F430" s="37">
        <v>1.0</v>
      </c>
      <c r="G430" s="37">
        <v>4.0</v>
      </c>
      <c r="H430" s="33">
        <f t="shared" si="55"/>
        <v>4</v>
      </c>
      <c r="I430" s="37" t="s">
        <v>33</v>
      </c>
      <c r="J430" s="37" t="s">
        <v>93</v>
      </c>
      <c r="K430" s="37">
        <v>2.0</v>
      </c>
      <c r="L430" s="37" t="s">
        <v>76</v>
      </c>
      <c r="M430" s="14" t="s">
        <v>1427</v>
      </c>
      <c r="N430" s="36" t="s">
        <v>1428</v>
      </c>
      <c r="O430" s="16"/>
      <c r="P430" s="37"/>
      <c r="Q430" s="37"/>
      <c r="R430" s="16"/>
      <c r="S430" s="37" t="str">
        <f>IFERROR(__xludf.DUMMYFUNCTION("if(not(iserror(index(split(C430, "" ""),2))), index(split(C430, "" ""),1),"""")"),"October,")</f>
        <v>October,</v>
      </c>
      <c r="T430" s="38">
        <f>IFERROR(__xludf.DUMMYFUNCTION("if(S430="""",C430,if(not(iserror(index(split(C430, "" ""),3))), index(split(C430, "" ""),3),index(split(C430, "" ""),2)))"),2017.0)</f>
        <v>2017</v>
      </c>
      <c r="U430" s="38" t="b">
        <f t="shared" si="56"/>
        <v>0</v>
      </c>
      <c r="V430" s="38" t="s">
        <v>33</v>
      </c>
      <c r="W430" s="40"/>
      <c r="X430" s="40"/>
      <c r="Y430" s="40"/>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row>
    <row r="431">
      <c r="A431" s="13" t="s">
        <v>40</v>
      </c>
      <c r="B431" s="30">
        <v>43011.0</v>
      </c>
      <c r="C431" s="30">
        <v>43010.0</v>
      </c>
      <c r="D431" s="32" t="s">
        <v>1429</v>
      </c>
      <c r="E431" s="13" t="s">
        <v>41</v>
      </c>
      <c r="F431" s="13">
        <v>5.0</v>
      </c>
      <c r="G431" s="13">
        <v>15.0</v>
      </c>
      <c r="H431" s="33">
        <f t="shared" si="55"/>
        <v>15</v>
      </c>
      <c r="I431" s="13" t="s">
        <v>33</v>
      </c>
      <c r="J431" s="13" t="s">
        <v>318</v>
      </c>
      <c r="K431" s="13">
        <v>6.0</v>
      </c>
      <c r="L431" s="13" t="s">
        <v>1430</v>
      </c>
      <c r="M431" s="35" t="s">
        <v>1431</v>
      </c>
      <c r="N431" s="15"/>
      <c r="O431" s="16"/>
      <c r="P431" s="16"/>
      <c r="Q431" s="16"/>
      <c r="R431" s="16"/>
      <c r="S431" s="37" t="str">
        <f>IFERROR(__xludf.DUMMYFUNCTION("if(not(iserror(index(split(C431, "" ""),2))), index(split(C431, "" ""),1),"""")"),"October")</f>
        <v>October</v>
      </c>
      <c r="T431" s="38">
        <f>IFERROR(__xludf.DUMMYFUNCTION("if(S431="""",C431,if(not(iserror(index(split(C431, "" ""),3))), index(split(C431, "" ""),3),index(split(C431, "" ""),2)))"),2017.0)</f>
        <v>2017</v>
      </c>
      <c r="U431" s="38" t="b">
        <f t="shared" si="56"/>
        <v>1</v>
      </c>
      <c r="V431" s="38"/>
      <c r="W431" s="40"/>
      <c r="X431" s="40"/>
      <c r="Y431" s="40"/>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row>
    <row r="432">
      <c r="A432" s="13" t="s">
        <v>1432</v>
      </c>
      <c r="B432" s="30"/>
      <c r="C432" s="30">
        <v>43011.0</v>
      </c>
      <c r="D432" s="32"/>
      <c r="E432" s="13" t="s">
        <v>41</v>
      </c>
      <c r="F432" s="13">
        <v>1.0</v>
      </c>
      <c r="G432" s="13" t="s">
        <v>32</v>
      </c>
      <c r="H432" s="43">
        <v>1.0</v>
      </c>
      <c r="I432" s="13" t="s">
        <v>33</v>
      </c>
      <c r="J432" s="13" t="s">
        <v>47</v>
      </c>
      <c r="K432" s="13"/>
      <c r="L432" s="13" t="s">
        <v>76</v>
      </c>
      <c r="M432" s="35" t="s">
        <v>1433</v>
      </c>
      <c r="N432" s="15"/>
      <c r="O432" s="16"/>
      <c r="P432" s="16"/>
      <c r="Q432" s="16"/>
      <c r="R432" s="16"/>
      <c r="S432" s="37"/>
      <c r="T432" s="38"/>
      <c r="U432" s="38" t="b">
        <f t="shared" si="56"/>
        <v>0</v>
      </c>
      <c r="V432" s="38" t="s">
        <v>33</v>
      </c>
      <c r="W432" s="40"/>
      <c r="X432" s="40"/>
      <c r="Y432" s="40"/>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row>
    <row r="433">
      <c r="A433" s="13" t="s">
        <v>1434</v>
      </c>
      <c r="B433" s="30">
        <v>43012.0</v>
      </c>
      <c r="C433" s="30">
        <v>43012.0</v>
      </c>
      <c r="D433" s="32" t="s">
        <v>1435</v>
      </c>
      <c r="E433" s="13" t="s">
        <v>41</v>
      </c>
      <c r="F433" s="13">
        <v>1.0</v>
      </c>
      <c r="G433" s="13" t="s">
        <v>32</v>
      </c>
      <c r="H433" s="33">
        <f t="shared" ref="H433:H447" si="57">if(G433="Unknown",1,G433)</f>
        <v>1</v>
      </c>
      <c r="I433" s="13" t="s">
        <v>33</v>
      </c>
      <c r="J433" s="13" t="s">
        <v>93</v>
      </c>
      <c r="K433" s="13">
        <v>5.0</v>
      </c>
      <c r="L433" s="13" t="s">
        <v>1436</v>
      </c>
      <c r="M433" s="35" t="s">
        <v>1437</v>
      </c>
      <c r="N433" s="15"/>
      <c r="O433" s="16"/>
      <c r="P433" s="16"/>
      <c r="Q433" s="16"/>
      <c r="R433" s="16"/>
      <c r="S433" s="37" t="str">
        <f>IFERROR(__xludf.DUMMYFUNCTION("if(not(iserror(index(split(C433, "" ""),2))), index(split(C433, "" ""),1),"""")"),"October")</f>
        <v>October</v>
      </c>
      <c r="T433" s="38">
        <f>IFERROR(__xludf.DUMMYFUNCTION("if(S433="""",C433,if(not(iserror(index(split(C433, "" ""),3))), index(split(C433, "" ""),3),index(split(C433, "" ""),2)))"),2017.0)</f>
        <v>2017</v>
      </c>
      <c r="U433" s="38" t="b">
        <f t="shared" si="56"/>
        <v>0</v>
      </c>
      <c r="V433" s="38"/>
      <c r="W433" s="40"/>
      <c r="X433" s="40"/>
      <c r="Y433" s="40"/>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row>
    <row r="434">
      <c r="A434" s="13" t="s">
        <v>239</v>
      </c>
      <c r="B434" s="30">
        <v>43020.0</v>
      </c>
      <c r="C434" s="30">
        <v>43012.0</v>
      </c>
      <c r="D434" s="32" t="s">
        <v>1435</v>
      </c>
      <c r="E434" s="13" t="s">
        <v>41</v>
      </c>
      <c r="F434" s="13">
        <v>1.0</v>
      </c>
      <c r="G434" s="13">
        <v>2.0</v>
      </c>
      <c r="H434" s="33">
        <f t="shared" si="57"/>
        <v>2</v>
      </c>
      <c r="I434" s="13" t="s">
        <v>33</v>
      </c>
      <c r="J434" s="13" t="s">
        <v>147</v>
      </c>
      <c r="K434" s="13">
        <v>1.0</v>
      </c>
      <c r="L434" s="13" t="s">
        <v>194</v>
      </c>
      <c r="M434" s="35" t="s">
        <v>1438</v>
      </c>
      <c r="N434" s="15"/>
      <c r="O434" s="16"/>
      <c r="P434" s="16"/>
      <c r="Q434" s="16"/>
      <c r="R434" s="16"/>
      <c r="S434" s="37" t="str">
        <f>IFERROR(__xludf.DUMMYFUNCTION("if(not(iserror(index(split(C434, "" ""),2))), index(split(C434, "" ""),1),"""")"),"October")</f>
        <v>October</v>
      </c>
      <c r="T434" s="38">
        <f>IFERROR(__xludf.DUMMYFUNCTION("if(S434="""",C434,if(not(iserror(index(split(C434, "" ""),3))), index(split(C434, "" ""),3),index(split(C434, "" ""),2)))"),2017.0)</f>
        <v>2017</v>
      </c>
      <c r="U434" s="38" t="b">
        <f t="shared" si="56"/>
        <v>1</v>
      </c>
      <c r="V434" s="38"/>
      <c r="W434" s="40"/>
      <c r="X434" s="40"/>
      <c r="Y434" s="40"/>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row>
    <row r="435">
      <c r="A435" s="13" t="s">
        <v>1439</v>
      </c>
      <c r="B435" s="30">
        <v>43013.0</v>
      </c>
      <c r="C435" s="30">
        <v>43013.0</v>
      </c>
      <c r="D435" s="32" t="s">
        <v>1440</v>
      </c>
      <c r="E435" s="13" t="s">
        <v>31</v>
      </c>
      <c r="F435" s="13">
        <v>1.0</v>
      </c>
      <c r="G435" s="13" t="s">
        <v>32</v>
      </c>
      <c r="H435" s="33">
        <f t="shared" si="57"/>
        <v>1</v>
      </c>
      <c r="I435" s="13" t="s">
        <v>33</v>
      </c>
      <c r="J435" s="13" t="s">
        <v>124</v>
      </c>
      <c r="K435" s="13">
        <v>9.0</v>
      </c>
      <c r="L435" s="13" t="s">
        <v>1441</v>
      </c>
      <c r="M435" s="35" t="s">
        <v>1442</v>
      </c>
      <c r="N435" s="15"/>
      <c r="O435" s="16"/>
      <c r="P435" s="16"/>
      <c r="Q435" s="16"/>
      <c r="R435" s="16"/>
      <c r="S435" s="37" t="str">
        <f>IFERROR(__xludf.DUMMYFUNCTION("if(not(iserror(index(split(C435, "" ""),2))), index(split(C435, "" ""),1),"""")"),"October")</f>
        <v>October</v>
      </c>
      <c r="T435" s="38">
        <f>IFERROR(__xludf.DUMMYFUNCTION("if(S435="""",C435,if(not(iserror(index(split(C435, "" ""),3))), index(split(C435, "" ""),3),index(split(C435, "" ""),2)))"),2017.0)</f>
        <v>2017</v>
      </c>
      <c r="U435" s="38" t="b">
        <f t="shared" si="56"/>
        <v>0</v>
      </c>
      <c r="V435" s="38"/>
      <c r="W435" s="40"/>
      <c r="X435" s="40"/>
      <c r="Y435" s="40"/>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row>
    <row r="436">
      <c r="A436" s="13" t="s">
        <v>1443</v>
      </c>
      <c r="B436" s="30">
        <v>43014.0</v>
      </c>
      <c r="C436" s="30">
        <v>43013.0</v>
      </c>
      <c r="D436" s="32" t="s">
        <v>1440</v>
      </c>
      <c r="E436" s="13" t="s">
        <v>41</v>
      </c>
      <c r="F436" s="13">
        <v>1.0</v>
      </c>
      <c r="G436" s="13" t="s">
        <v>32</v>
      </c>
      <c r="H436" s="33">
        <f t="shared" si="57"/>
        <v>1</v>
      </c>
      <c r="I436" s="13" t="s">
        <v>33</v>
      </c>
      <c r="J436" s="13" t="s">
        <v>279</v>
      </c>
      <c r="K436" s="13" t="s">
        <v>32</v>
      </c>
      <c r="L436" s="13" t="s">
        <v>807</v>
      </c>
      <c r="M436" s="35" t="s">
        <v>1444</v>
      </c>
      <c r="N436" s="15"/>
      <c r="O436" s="16"/>
      <c r="P436" s="16"/>
      <c r="Q436" s="16"/>
      <c r="R436" s="16"/>
      <c r="S436" s="37" t="str">
        <f>IFERROR(__xludf.DUMMYFUNCTION("if(not(iserror(index(split(C436, "" ""),2))), index(split(C436, "" ""),1),"""")"),"October")</f>
        <v>October</v>
      </c>
      <c r="T436" s="38">
        <f>IFERROR(__xludf.DUMMYFUNCTION("if(S436="""",C436,if(not(iserror(index(split(C436, "" ""),3))), index(split(C436, "" ""),3),index(split(C436, "" ""),2)))"),2017.0)</f>
        <v>2017</v>
      </c>
      <c r="U436" s="38" t="b">
        <f t="shared" si="56"/>
        <v>0</v>
      </c>
      <c r="V436" s="38"/>
      <c r="W436" s="40"/>
      <c r="X436" s="40"/>
      <c r="Y436" s="40"/>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row>
    <row r="437">
      <c r="A437" s="91" t="s">
        <v>1445</v>
      </c>
      <c r="B437" s="145">
        <v>43376.0</v>
      </c>
      <c r="C437" s="145">
        <v>43013.0</v>
      </c>
      <c r="D437" s="146" t="s">
        <v>1440</v>
      </c>
      <c r="E437" s="37" t="s">
        <v>41</v>
      </c>
      <c r="F437" s="91">
        <v>1.0</v>
      </c>
      <c r="G437" s="91" t="s">
        <v>32</v>
      </c>
      <c r="H437" s="33">
        <f t="shared" si="57"/>
        <v>1</v>
      </c>
      <c r="I437" s="91" t="s">
        <v>33</v>
      </c>
      <c r="J437" s="91" t="s">
        <v>410</v>
      </c>
      <c r="K437" s="91" t="s">
        <v>32</v>
      </c>
      <c r="L437" s="37" t="s">
        <v>1446</v>
      </c>
      <c r="M437" s="147" t="s">
        <v>1447</v>
      </c>
      <c r="N437" s="36" t="s">
        <v>1448</v>
      </c>
      <c r="O437" s="140" t="str">
        <f>hyperlink("https://bad-boys.us/?q=D-MA/1:18-cr-10092", "D-MA 1:18-cr-10092")</f>
        <v>D-MA 1:18-cr-10092</v>
      </c>
      <c r="P437" s="140" t="s">
        <v>1449</v>
      </c>
      <c r="Q437" s="58">
        <v>1.0</v>
      </c>
      <c r="R437" s="62"/>
      <c r="S437" s="37" t="str">
        <f>IFERROR(__xludf.DUMMYFUNCTION("if(not(iserror(index(split(C437, "" ""),2))), index(split(C437, "" ""),1),"""")"),"October")</f>
        <v>October</v>
      </c>
      <c r="T437" s="38">
        <f>IFERROR(__xludf.DUMMYFUNCTION("if(S437="""",C437,if(not(iserror(index(split(C437, "" ""),3))), index(split(C437, "" ""),3),index(split(C437, "" ""),2)))"),2017.0)</f>
        <v>2017</v>
      </c>
      <c r="U437" s="38" t="b">
        <f t="shared" si="56"/>
        <v>0</v>
      </c>
      <c r="V437" s="38"/>
      <c r="W437" s="40"/>
      <c r="X437" s="40"/>
      <c r="Y437" s="40"/>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row>
    <row r="438">
      <c r="A438" s="58" t="s">
        <v>1450</v>
      </c>
      <c r="B438" s="59">
        <v>43396.0</v>
      </c>
      <c r="C438" s="59">
        <v>43013.0</v>
      </c>
      <c r="D438" s="60" t="s">
        <v>1440</v>
      </c>
      <c r="E438" s="58" t="s">
        <v>31</v>
      </c>
      <c r="F438" s="58">
        <v>2.0</v>
      </c>
      <c r="G438" s="58">
        <v>3.0</v>
      </c>
      <c r="H438" s="33">
        <f t="shared" si="57"/>
        <v>3</v>
      </c>
      <c r="I438" s="58" t="s">
        <v>33</v>
      </c>
      <c r="J438" s="58" t="s">
        <v>42</v>
      </c>
      <c r="K438" s="58">
        <v>2.0</v>
      </c>
      <c r="L438" s="58" t="s">
        <v>254</v>
      </c>
      <c r="M438" s="61" t="s">
        <v>1451</v>
      </c>
      <c r="N438" s="61" t="s">
        <v>1452</v>
      </c>
      <c r="O438" s="88" t="str">
        <f>hyperlink("https://bad-boys.us/?q=WD-MI/1:17-cr-00230", "WD-MI 1:17-cr-00230")</f>
        <v>WD-MI 1:17-cr-00230</v>
      </c>
      <c r="P438" s="88" t="s">
        <v>1453</v>
      </c>
      <c r="Q438" s="84">
        <v>1.0</v>
      </c>
      <c r="R438" s="62"/>
      <c r="S438" s="37" t="str">
        <f>IFERROR(__xludf.DUMMYFUNCTION("if(not(iserror(index(split(C438, "" ""),2))), index(split(C438, "" ""),1),"""")"),"October")</f>
        <v>October</v>
      </c>
      <c r="T438" s="38">
        <f>IFERROR(__xludf.DUMMYFUNCTION("if(S438="""",C438,if(not(iserror(index(split(C438, "" ""),3))), index(split(C438, "" ""),3),index(split(C438, "" ""),2)))"),2017.0)</f>
        <v>2017</v>
      </c>
      <c r="U438" s="38" t="b">
        <f t="shared" si="56"/>
        <v>0</v>
      </c>
      <c r="V438" s="38"/>
      <c r="W438" s="40"/>
      <c r="X438" s="40"/>
      <c r="Y438" s="40"/>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row>
    <row r="439">
      <c r="A439" s="13" t="s">
        <v>239</v>
      </c>
      <c r="B439" s="30">
        <v>43019.0</v>
      </c>
      <c r="C439" s="30">
        <v>43015.0</v>
      </c>
      <c r="D439" s="32" t="s">
        <v>1454</v>
      </c>
      <c r="E439" s="13" t="s">
        <v>41</v>
      </c>
      <c r="F439" s="13">
        <v>2.0</v>
      </c>
      <c r="G439" s="13">
        <v>9.0</v>
      </c>
      <c r="H439" s="33">
        <f t="shared" si="57"/>
        <v>9</v>
      </c>
      <c r="I439" s="13" t="s">
        <v>33</v>
      </c>
      <c r="J439" s="13" t="s">
        <v>241</v>
      </c>
      <c r="K439" s="13">
        <v>1.0</v>
      </c>
      <c r="L439" s="13" t="s">
        <v>194</v>
      </c>
      <c r="M439" s="35" t="s">
        <v>1455</v>
      </c>
      <c r="N439" s="15"/>
      <c r="O439" s="16"/>
      <c r="P439" s="16"/>
      <c r="Q439" s="16"/>
      <c r="R439" s="16"/>
      <c r="S439" s="37" t="str">
        <f>IFERROR(__xludf.DUMMYFUNCTION("if(not(iserror(index(split(C439, "" ""),2))), index(split(C439, "" ""),1),"""")"),"October")</f>
        <v>October</v>
      </c>
      <c r="T439" s="38">
        <f>IFERROR(__xludf.DUMMYFUNCTION("if(S439="""",C439,if(not(iserror(index(split(C439, "" ""),3))), index(split(C439, "" ""),3),index(split(C439, "" ""),2)))"),2017.0)</f>
        <v>2017</v>
      </c>
      <c r="U439" s="38" t="b">
        <f t="shared" si="56"/>
        <v>1</v>
      </c>
      <c r="V439" s="38"/>
      <c r="W439" s="40"/>
      <c r="X439" s="40"/>
      <c r="Y439" s="40"/>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row>
    <row r="440">
      <c r="A440" s="58" t="s">
        <v>1456</v>
      </c>
      <c r="B440" s="59">
        <v>43375.0</v>
      </c>
      <c r="C440" s="59">
        <v>43015.0</v>
      </c>
      <c r="D440" s="60" t="s">
        <v>1454</v>
      </c>
      <c r="E440" s="58" t="s">
        <v>41</v>
      </c>
      <c r="F440" s="58">
        <v>1.0</v>
      </c>
      <c r="G440" s="58" t="s">
        <v>32</v>
      </c>
      <c r="H440" s="33">
        <f t="shared" si="57"/>
        <v>1</v>
      </c>
      <c r="I440" s="58" t="s">
        <v>33</v>
      </c>
      <c r="J440" s="58" t="s">
        <v>413</v>
      </c>
      <c r="K440" s="58" t="s">
        <v>32</v>
      </c>
      <c r="L440" s="58" t="s">
        <v>194</v>
      </c>
      <c r="M440" s="61" t="s">
        <v>1457</v>
      </c>
      <c r="N440" s="77"/>
      <c r="O440" s="62"/>
      <c r="P440" s="62"/>
      <c r="Q440" s="62"/>
      <c r="R440" s="62"/>
      <c r="S440" s="37" t="str">
        <f>IFERROR(__xludf.DUMMYFUNCTION("if(not(iserror(index(split(C440, "" ""),2))), index(split(C440, "" ""),1),"""")"),"October")</f>
        <v>October</v>
      </c>
      <c r="T440" s="38">
        <f>IFERROR(__xludf.DUMMYFUNCTION("if(S440="""",C440,if(not(iserror(index(split(C440, "" ""),3))), index(split(C440, "" ""),3),index(split(C440, "" ""),2)))"),2017.0)</f>
        <v>2017</v>
      </c>
      <c r="U440" s="38" t="b">
        <f t="shared" si="56"/>
        <v>0</v>
      </c>
      <c r="V440" s="38"/>
      <c r="W440" s="40"/>
      <c r="X440" s="40"/>
      <c r="Y440" s="40"/>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row>
    <row r="441">
      <c r="A441" s="13" t="s">
        <v>1458</v>
      </c>
      <c r="B441" s="30">
        <v>43017.0</v>
      </c>
      <c r="C441" s="30">
        <v>43017.0</v>
      </c>
      <c r="D441" s="32" t="s">
        <v>1459</v>
      </c>
      <c r="E441" s="13" t="s">
        <v>31</v>
      </c>
      <c r="F441" s="13">
        <v>1.0</v>
      </c>
      <c r="G441" s="13" t="s">
        <v>32</v>
      </c>
      <c r="H441" s="33">
        <f t="shared" si="57"/>
        <v>1</v>
      </c>
      <c r="I441" s="13" t="s">
        <v>33</v>
      </c>
      <c r="J441" s="13" t="s">
        <v>89</v>
      </c>
      <c r="K441" s="13">
        <v>2.0</v>
      </c>
      <c r="L441" s="13" t="s">
        <v>52</v>
      </c>
      <c r="M441" s="35" t="s">
        <v>1460</v>
      </c>
      <c r="N441" s="15"/>
      <c r="O441" s="16"/>
      <c r="P441" s="16"/>
      <c r="Q441" s="16"/>
      <c r="R441" s="16"/>
      <c r="S441" s="37" t="str">
        <f>IFERROR(__xludf.DUMMYFUNCTION("if(not(iserror(index(split(C441, "" ""),2))), index(split(C441, "" ""),1),"""")"),"October")</f>
        <v>October</v>
      </c>
      <c r="T441" s="38">
        <f>IFERROR(__xludf.DUMMYFUNCTION("if(S441="""",C441,if(not(iserror(index(split(C441, "" ""),3))), index(split(C441, "" ""),3),index(split(C441, "" ""),2)))"),2017.0)</f>
        <v>2017</v>
      </c>
      <c r="U441" s="38" t="b">
        <f t="shared" si="56"/>
        <v>0</v>
      </c>
      <c r="V441" s="38"/>
      <c r="W441" s="40"/>
      <c r="X441" s="40"/>
      <c r="Y441" s="40"/>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row>
    <row r="442">
      <c r="A442" s="13" t="s">
        <v>54</v>
      </c>
      <c r="B442" s="30">
        <v>43027.0</v>
      </c>
      <c r="C442" s="30">
        <v>43018.0</v>
      </c>
      <c r="D442" s="32" t="s">
        <v>1461</v>
      </c>
      <c r="E442" s="13" t="s">
        <v>41</v>
      </c>
      <c r="F442" s="13">
        <v>277.0</v>
      </c>
      <c r="G442" s="13" t="s">
        <v>32</v>
      </c>
      <c r="H442" s="33">
        <f t="shared" si="57"/>
        <v>1</v>
      </c>
      <c r="I442" s="13" t="s">
        <v>33</v>
      </c>
      <c r="J442" s="13" t="s">
        <v>47</v>
      </c>
      <c r="K442" s="13">
        <v>1.0</v>
      </c>
      <c r="L442" s="13" t="s">
        <v>1462</v>
      </c>
      <c r="M442" s="45" t="s">
        <v>1463</v>
      </c>
      <c r="N442" s="15"/>
      <c r="O442" s="37"/>
      <c r="P442" s="16"/>
      <c r="Q442" s="64"/>
      <c r="R442" s="16"/>
      <c r="S442" s="37" t="str">
        <f>IFERROR(__xludf.DUMMYFUNCTION("if(not(iserror(index(split(C442, "" ""),2))), index(split(C442, "" ""),1),"""")"),"October")</f>
        <v>October</v>
      </c>
      <c r="T442" s="38">
        <f>IFERROR(__xludf.DUMMYFUNCTION("if(S442="""",C442,if(not(iserror(index(split(C442, "" ""),3))), index(split(C442, "" ""),3),index(split(C442, "" ""),2)))"),2017.0)</f>
        <v>2017</v>
      </c>
      <c r="U442" s="38" t="b">
        <f t="shared" si="56"/>
        <v>1</v>
      </c>
      <c r="V442" s="38"/>
      <c r="W442" s="40"/>
      <c r="X442" s="40"/>
      <c r="Y442" s="40"/>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row>
    <row r="443">
      <c r="A443" s="13" t="s">
        <v>1464</v>
      </c>
      <c r="B443" s="30">
        <v>43069.0</v>
      </c>
      <c r="C443" s="30">
        <v>43018.0</v>
      </c>
      <c r="D443" s="32" t="s">
        <v>1465</v>
      </c>
      <c r="E443" s="13" t="s">
        <v>41</v>
      </c>
      <c r="F443" s="13">
        <v>1.0</v>
      </c>
      <c r="G443" s="13">
        <v>2.0</v>
      </c>
      <c r="H443" s="33">
        <f t="shared" si="57"/>
        <v>2</v>
      </c>
      <c r="I443" s="13" t="s">
        <v>33</v>
      </c>
      <c r="J443" s="13" t="s">
        <v>85</v>
      </c>
      <c r="K443" s="13">
        <v>2.0</v>
      </c>
      <c r="L443" s="13" t="s">
        <v>1466</v>
      </c>
      <c r="M443" s="44" t="s">
        <v>1467</v>
      </c>
      <c r="N443" s="15"/>
      <c r="O443" s="86" t="str">
        <f>hyperlink("https://bad-boys.us/?q=ND-AL/5:17-cr-00511", "ND-AL 5:17-cr-00511")</f>
        <v>ND-AL 5:17-cr-00511</v>
      </c>
      <c r="P443" s="16"/>
      <c r="Q443" s="64">
        <v>1.0</v>
      </c>
      <c r="R443" s="16"/>
      <c r="S443" s="37" t="str">
        <f>IFERROR(__xludf.DUMMYFUNCTION("if(not(iserror(index(split(C443, "" ""),2))), index(split(C443, "" ""),1),"""")"),"October")</f>
        <v>October</v>
      </c>
      <c r="T443" s="38">
        <f>IFERROR(__xludf.DUMMYFUNCTION("if(S443="""",C443,if(not(iserror(index(split(C443, "" ""),3))), index(split(C443, "" ""),3),index(split(C443, "" ""),2)))"),2017.0)</f>
        <v>2017</v>
      </c>
      <c r="U443" s="38" t="b">
        <f t="shared" si="56"/>
        <v>0</v>
      </c>
      <c r="V443" s="38"/>
      <c r="W443" s="40"/>
      <c r="X443" s="40"/>
      <c r="Y443" s="40"/>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row>
    <row r="444">
      <c r="A444" s="58" t="s">
        <v>1468</v>
      </c>
      <c r="B444" s="59">
        <v>43257.0</v>
      </c>
      <c r="C444" s="59">
        <v>43018.0</v>
      </c>
      <c r="D444" s="60" t="s">
        <v>1465</v>
      </c>
      <c r="E444" s="58" t="s">
        <v>31</v>
      </c>
      <c r="F444" s="58">
        <v>1.0</v>
      </c>
      <c r="G444" s="58">
        <v>1.0</v>
      </c>
      <c r="H444" s="33">
        <f t="shared" si="57"/>
        <v>1</v>
      </c>
      <c r="I444" s="58" t="s">
        <v>33</v>
      </c>
      <c r="J444" s="58" t="s">
        <v>850</v>
      </c>
      <c r="K444" s="58">
        <v>1.0</v>
      </c>
      <c r="L444" s="58" t="s">
        <v>1469</v>
      </c>
      <c r="M444" s="61" t="s">
        <v>1470</v>
      </c>
      <c r="N444" s="77"/>
      <c r="O444" s="62"/>
      <c r="P444" s="62"/>
      <c r="Q444" s="62"/>
      <c r="R444" s="62"/>
      <c r="S444" s="37" t="str">
        <f>IFERROR(__xludf.DUMMYFUNCTION("if(not(iserror(index(split(C444, "" ""),2))), index(split(C444, "" ""),1),"""")"),"October")</f>
        <v>October</v>
      </c>
      <c r="T444" s="38">
        <f>IFERROR(__xludf.DUMMYFUNCTION("if(S444="""",C444,if(not(iserror(index(split(C444, "" ""),3))), index(split(C444, "" ""),3),index(split(C444, "" ""),2)))"),2017.0)</f>
        <v>2017</v>
      </c>
      <c r="U444" s="38" t="b">
        <f t="shared" si="56"/>
        <v>0</v>
      </c>
      <c r="V444" s="38"/>
      <c r="W444" s="40"/>
      <c r="X444" s="40"/>
      <c r="Y444" s="40"/>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row>
    <row r="445">
      <c r="A445" s="13" t="s">
        <v>1471</v>
      </c>
      <c r="B445" s="30">
        <v>43019.0</v>
      </c>
      <c r="C445" s="30">
        <v>43019.0</v>
      </c>
      <c r="D445" s="32" t="s">
        <v>1472</v>
      </c>
      <c r="E445" s="13" t="s">
        <v>31</v>
      </c>
      <c r="F445" s="13">
        <v>1.0</v>
      </c>
      <c r="G445" s="13" t="s">
        <v>32</v>
      </c>
      <c r="H445" s="33">
        <f t="shared" si="57"/>
        <v>1</v>
      </c>
      <c r="I445" s="13" t="s">
        <v>33</v>
      </c>
      <c r="J445" s="13" t="s">
        <v>343</v>
      </c>
      <c r="K445" s="13">
        <v>1.0</v>
      </c>
      <c r="L445" s="13" t="s">
        <v>1208</v>
      </c>
      <c r="M445" s="35" t="s">
        <v>1473</v>
      </c>
      <c r="N445" s="15"/>
      <c r="O445" s="16"/>
      <c r="P445" s="16"/>
      <c r="Q445" s="16"/>
      <c r="R445" s="16"/>
      <c r="S445" s="37" t="str">
        <f>IFERROR(__xludf.DUMMYFUNCTION("if(not(iserror(index(split(C445, "" ""),2))), index(split(C445, "" ""),1),"""")"),"October")</f>
        <v>October</v>
      </c>
      <c r="T445" s="38">
        <f>IFERROR(__xludf.DUMMYFUNCTION("if(S445="""",C445,if(not(iserror(index(split(C445, "" ""),3))), index(split(C445, "" ""),3),index(split(C445, "" ""),2)))"),2017.0)</f>
        <v>2017</v>
      </c>
      <c r="U445" s="38" t="b">
        <f t="shared" si="56"/>
        <v>0</v>
      </c>
      <c r="V445" s="38"/>
      <c r="W445" s="40"/>
      <c r="X445" s="40"/>
      <c r="Y445" s="40"/>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row>
    <row r="446">
      <c r="A446" s="13" t="s">
        <v>1474</v>
      </c>
      <c r="B446" s="30">
        <v>43031.0</v>
      </c>
      <c r="C446" s="30">
        <v>43019.0</v>
      </c>
      <c r="D446" s="32" t="s">
        <v>1472</v>
      </c>
      <c r="E446" s="13" t="s">
        <v>31</v>
      </c>
      <c r="F446" s="13">
        <v>1.0</v>
      </c>
      <c r="G446" s="13" t="s">
        <v>32</v>
      </c>
      <c r="H446" s="33">
        <f t="shared" si="57"/>
        <v>1</v>
      </c>
      <c r="I446" s="13" t="s">
        <v>33</v>
      </c>
      <c r="J446" s="13" t="s">
        <v>115</v>
      </c>
      <c r="K446" s="13" t="s">
        <v>32</v>
      </c>
      <c r="L446" s="13" t="s">
        <v>1475</v>
      </c>
      <c r="M446" s="35" t="s">
        <v>1476</v>
      </c>
      <c r="N446" s="36" t="s">
        <v>1477</v>
      </c>
      <c r="O446" s="120"/>
      <c r="P446" s="120"/>
      <c r="Q446" s="37"/>
      <c r="R446" s="37">
        <v>1.0</v>
      </c>
      <c r="S446" s="37" t="str">
        <f>IFERROR(__xludf.DUMMYFUNCTION("if(not(iserror(index(split(C446, "" ""),2))), index(split(C446, "" ""),1),"""")"),"October")</f>
        <v>October</v>
      </c>
      <c r="T446" s="38">
        <f>IFERROR(__xludf.DUMMYFUNCTION("if(S446="""",C446,if(not(iserror(index(split(C446, "" ""),3))), index(split(C446, "" ""),3),index(split(C446, "" ""),2)))"),2017.0)</f>
        <v>2017</v>
      </c>
      <c r="U446" s="38" t="b">
        <f t="shared" si="56"/>
        <v>0</v>
      </c>
      <c r="V446" s="38" t="s">
        <v>33</v>
      </c>
      <c r="W446" s="39" t="s">
        <v>1478</v>
      </c>
      <c r="X446" s="39" t="s">
        <v>1479</v>
      </c>
      <c r="Y446" s="40"/>
      <c r="Z446" s="38">
        <v>4630.0</v>
      </c>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row>
    <row r="447">
      <c r="A447" s="58" t="s">
        <v>1480</v>
      </c>
      <c r="B447" s="59">
        <v>43397.0</v>
      </c>
      <c r="C447" s="59">
        <v>43019.0</v>
      </c>
      <c r="D447" s="60" t="s">
        <v>1472</v>
      </c>
      <c r="E447" s="58" t="s">
        <v>41</v>
      </c>
      <c r="F447" s="58">
        <v>1.0</v>
      </c>
      <c r="G447" s="58" t="s">
        <v>32</v>
      </c>
      <c r="H447" s="33">
        <f t="shared" si="57"/>
        <v>1</v>
      </c>
      <c r="I447" s="58" t="s">
        <v>33</v>
      </c>
      <c r="J447" s="58" t="s">
        <v>93</v>
      </c>
      <c r="K447" s="58">
        <v>2.0</v>
      </c>
      <c r="L447" s="58" t="s">
        <v>119</v>
      </c>
      <c r="M447" s="61" t="s">
        <v>1481</v>
      </c>
      <c r="N447" s="80"/>
      <c r="O447" s="58"/>
      <c r="P447" s="58"/>
      <c r="Q447" s="84"/>
      <c r="R447" s="62"/>
      <c r="S447" s="37" t="str">
        <f>IFERROR(__xludf.DUMMYFUNCTION("if(not(iserror(index(split(C447, "" ""),2))), index(split(C447, "" ""),1),"""")"),"October")</f>
        <v>October</v>
      </c>
      <c r="T447" s="38">
        <f>IFERROR(__xludf.DUMMYFUNCTION("if(S447="""",C447,if(not(iserror(index(split(C447, "" ""),3))), index(split(C447, "" ""),3),index(split(C447, "" ""),2)))"),2017.0)</f>
        <v>2017</v>
      </c>
      <c r="U447" s="38" t="b">
        <f t="shared" si="56"/>
        <v>0</v>
      </c>
      <c r="V447" s="38"/>
      <c r="W447" s="40"/>
      <c r="X447" s="40"/>
      <c r="Y447" s="40"/>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row>
    <row r="448">
      <c r="A448" s="13" t="s">
        <v>1482</v>
      </c>
      <c r="B448" s="30"/>
      <c r="C448" s="30">
        <v>43019.0</v>
      </c>
      <c r="D448" s="32"/>
      <c r="E448" s="13" t="s">
        <v>31</v>
      </c>
      <c r="F448" s="13">
        <v>1.0</v>
      </c>
      <c r="G448" s="13">
        <v>1.0</v>
      </c>
      <c r="H448" s="43">
        <v>1.0</v>
      </c>
      <c r="I448" s="13" t="s">
        <v>33</v>
      </c>
      <c r="J448" s="13" t="s">
        <v>147</v>
      </c>
      <c r="K448" s="13"/>
      <c r="L448" s="13" t="s">
        <v>646</v>
      </c>
      <c r="M448" s="46" t="s">
        <v>1483</v>
      </c>
      <c r="N448" s="46" t="s">
        <v>1484</v>
      </c>
      <c r="O448" s="16"/>
      <c r="P448" s="16"/>
      <c r="Q448" s="16"/>
      <c r="R448" s="16"/>
      <c r="S448" s="37" t="str">
        <f>IFERROR(__xludf.DUMMYFUNCTION("if(not(iserror(index(split(C448, "" ""),2))), index(split(C448, "" ""),1),"""")"),"October")</f>
        <v>October</v>
      </c>
      <c r="T448" s="38">
        <f>IFERROR(__xludf.DUMMYFUNCTION("if(S448="""",C448,if(not(iserror(index(split(C448, "" ""),3))), index(split(C448, "" ""),3),index(split(C448, "" ""),2)))"),2017.0)</f>
        <v>2017</v>
      </c>
      <c r="U448" s="38" t="b">
        <f t="shared" si="56"/>
        <v>0</v>
      </c>
      <c r="V448" s="38" t="s">
        <v>33</v>
      </c>
      <c r="W448" s="46" t="s">
        <v>1485</v>
      </c>
      <c r="X448" s="46" t="s">
        <v>1486</v>
      </c>
      <c r="Y448" s="40"/>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row>
    <row r="449">
      <c r="A449" s="13" t="s">
        <v>40</v>
      </c>
      <c r="B449" s="30">
        <v>43026.0</v>
      </c>
      <c r="C449" s="30">
        <v>43020.0</v>
      </c>
      <c r="D449" s="32" t="s">
        <v>1487</v>
      </c>
      <c r="E449" s="13" t="s">
        <v>41</v>
      </c>
      <c r="F449" s="13">
        <v>120.0</v>
      </c>
      <c r="G449" s="13">
        <v>84.0</v>
      </c>
      <c r="H449" s="33">
        <f t="shared" ref="H449:H453" si="58">if(G449="Unknown",1,G449)</f>
        <v>84</v>
      </c>
      <c r="I449" s="13" t="s">
        <v>1488</v>
      </c>
      <c r="J449" s="13" t="s">
        <v>850</v>
      </c>
      <c r="K449" s="13" t="s">
        <v>1489</v>
      </c>
      <c r="L449" s="13" t="s">
        <v>1490</v>
      </c>
      <c r="M449" s="148" t="s">
        <v>1491</v>
      </c>
      <c r="N449" s="15"/>
      <c r="O449" s="16"/>
      <c r="P449" s="16"/>
      <c r="Q449" s="16"/>
      <c r="R449" s="16"/>
      <c r="S449" s="37" t="str">
        <f>IFERROR(__xludf.DUMMYFUNCTION("if(not(iserror(index(split(C449, "" ""),2))), index(split(C449, "" ""),1),"""")"),"October")</f>
        <v>October</v>
      </c>
      <c r="T449" s="38">
        <f>IFERROR(__xludf.DUMMYFUNCTION("if(S449="""",C449,if(not(iserror(index(split(C449, "" ""),3))), index(split(C449, "" ""),3),index(split(C449, "" ""),2)))"),2017.0)</f>
        <v>2017</v>
      </c>
      <c r="U449" s="38" t="b">
        <f t="shared" si="56"/>
        <v>1</v>
      </c>
      <c r="V449" s="38"/>
      <c r="W449" s="40"/>
      <c r="X449" s="40"/>
      <c r="Y449" s="40"/>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row>
    <row r="450">
      <c r="A450" s="13" t="s">
        <v>40</v>
      </c>
      <c r="B450" s="30">
        <v>43028.0</v>
      </c>
      <c r="C450" s="30">
        <v>43021.0</v>
      </c>
      <c r="D450" s="32" t="s">
        <v>1492</v>
      </c>
      <c r="E450" s="13" t="s">
        <v>41</v>
      </c>
      <c r="F450" s="13">
        <v>3.0</v>
      </c>
      <c r="G450" s="13" t="s">
        <v>32</v>
      </c>
      <c r="H450" s="33">
        <f t="shared" si="58"/>
        <v>1</v>
      </c>
      <c r="I450" s="13" t="s">
        <v>33</v>
      </c>
      <c r="J450" s="13" t="s">
        <v>410</v>
      </c>
      <c r="K450" s="13">
        <v>9.0</v>
      </c>
      <c r="L450" s="13" t="s">
        <v>1493</v>
      </c>
      <c r="M450" s="35" t="s">
        <v>1494</v>
      </c>
      <c r="N450" s="15"/>
      <c r="O450" s="16"/>
      <c r="P450" s="37"/>
      <c r="Q450" s="64"/>
      <c r="R450" s="16"/>
      <c r="S450" s="37" t="str">
        <f>IFERROR(__xludf.DUMMYFUNCTION("if(not(iserror(index(split(C450, "" ""),2))), index(split(C450, "" ""),1),"""")"),"October")</f>
        <v>October</v>
      </c>
      <c r="T450" s="38">
        <f>IFERROR(__xludf.DUMMYFUNCTION("if(S450="""",C450,if(not(iserror(index(split(C450, "" ""),3))), index(split(C450, "" ""),3),index(split(C450, "" ""),2)))"),2017.0)</f>
        <v>2017</v>
      </c>
      <c r="U450" s="38" t="b">
        <f t="shared" si="56"/>
        <v>1</v>
      </c>
      <c r="V450" s="38"/>
      <c r="W450" s="40"/>
      <c r="X450" s="40"/>
      <c r="Y450" s="40"/>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row>
    <row r="451">
      <c r="A451" s="58" t="s">
        <v>1495</v>
      </c>
      <c r="B451" s="59">
        <v>43425.0</v>
      </c>
      <c r="C451" s="59">
        <v>43021.0</v>
      </c>
      <c r="D451" s="60" t="s">
        <v>1492</v>
      </c>
      <c r="E451" s="58" t="s">
        <v>41</v>
      </c>
      <c r="F451" s="58">
        <v>1.0</v>
      </c>
      <c r="G451" s="58">
        <v>6.0</v>
      </c>
      <c r="H451" s="33">
        <f t="shared" si="58"/>
        <v>6</v>
      </c>
      <c r="I451" s="58" t="s">
        <v>33</v>
      </c>
      <c r="J451" s="58" t="s">
        <v>106</v>
      </c>
      <c r="K451" s="58">
        <v>2.0</v>
      </c>
      <c r="L451" s="58" t="s">
        <v>76</v>
      </c>
      <c r="M451" s="61" t="s">
        <v>1496</v>
      </c>
      <c r="N451" s="80"/>
      <c r="O451" s="58"/>
      <c r="P451" s="58"/>
      <c r="Q451" s="58"/>
      <c r="R451" s="62"/>
      <c r="S451" s="37" t="str">
        <f>IFERROR(__xludf.DUMMYFUNCTION("if(not(iserror(index(split(C451, "" ""),2))), index(split(C451, "" ""),1),"""")"),"October")</f>
        <v>October</v>
      </c>
      <c r="T451" s="38">
        <f>IFERROR(__xludf.DUMMYFUNCTION("if(S451="""",C451,if(not(iserror(index(split(C451, "" ""),3))), index(split(C451, "" ""),3),index(split(C451, "" ""),2)))"),2017.0)</f>
        <v>2017</v>
      </c>
      <c r="U451" s="38" t="b">
        <f t="shared" si="56"/>
        <v>0</v>
      </c>
      <c r="V451" s="38" t="s">
        <v>33</v>
      </c>
      <c r="W451" s="40"/>
      <c r="X451" s="40"/>
      <c r="Y451" s="40"/>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row>
    <row r="452">
      <c r="A452" s="37" t="s">
        <v>239</v>
      </c>
      <c r="B452" s="99">
        <v>43024.0</v>
      </c>
      <c r="C452" s="30">
        <v>43022.0</v>
      </c>
      <c r="D452" s="32" t="s">
        <v>1497</v>
      </c>
      <c r="E452" s="13" t="s">
        <v>41</v>
      </c>
      <c r="F452" s="13">
        <v>3.0</v>
      </c>
      <c r="G452" s="13">
        <v>3.0</v>
      </c>
      <c r="H452" s="33">
        <f t="shared" si="58"/>
        <v>3</v>
      </c>
      <c r="I452" s="13" t="s">
        <v>33</v>
      </c>
      <c r="J452" s="13" t="s">
        <v>241</v>
      </c>
      <c r="K452" s="13">
        <v>1.0</v>
      </c>
      <c r="L452" s="13" t="s">
        <v>194</v>
      </c>
      <c r="M452" s="36" t="s">
        <v>1498</v>
      </c>
      <c r="N452" s="15"/>
      <c r="O452" s="16"/>
      <c r="P452" s="16"/>
      <c r="Q452" s="16"/>
      <c r="R452" s="16"/>
      <c r="S452" s="37" t="str">
        <f>IFERROR(__xludf.DUMMYFUNCTION("if(not(iserror(index(split(C452, "" ""),2))), index(split(C452, "" ""),1),"""")"),"October")</f>
        <v>October</v>
      </c>
      <c r="T452" s="38">
        <f>IFERROR(__xludf.DUMMYFUNCTION("if(S452="""",C452,if(not(iserror(index(split(C452, "" ""),3))), index(split(C452, "" ""),3),index(split(C452, "" ""),2)))"),2017.0)</f>
        <v>2017</v>
      </c>
      <c r="U452" s="38" t="b">
        <f t="shared" si="56"/>
        <v>1</v>
      </c>
      <c r="V452" s="38"/>
      <c r="W452" s="40"/>
      <c r="X452" s="40"/>
      <c r="Y452" s="40"/>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row>
    <row r="453">
      <c r="A453" s="37" t="s">
        <v>239</v>
      </c>
      <c r="B453" s="99">
        <v>43024.0</v>
      </c>
      <c r="C453" s="30">
        <v>43022.0</v>
      </c>
      <c r="D453" s="32" t="s">
        <v>167</v>
      </c>
      <c r="E453" s="13" t="s">
        <v>41</v>
      </c>
      <c r="F453" s="13">
        <v>1.0</v>
      </c>
      <c r="G453" s="13">
        <v>3.0</v>
      </c>
      <c r="H453" s="33">
        <f t="shared" si="58"/>
        <v>3</v>
      </c>
      <c r="I453" s="13" t="s">
        <v>33</v>
      </c>
      <c r="J453" s="13" t="s">
        <v>241</v>
      </c>
      <c r="K453" s="13">
        <v>1.0</v>
      </c>
      <c r="L453" s="13" t="s">
        <v>194</v>
      </c>
      <c r="M453" s="36" t="s">
        <v>1499</v>
      </c>
      <c r="N453" s="15"/>
      <c r="O453" s="16"/>
      <c r="P453" s="16"/>
      <c r="Q453" s="16"/>
      <c r="R453" s="16"/>
      <c r="S453" s="37" t="str">
        <f>IFERROR(__xludf.DUMMYFUNCTION("if(not(iserror(index(split(C453, "" ""),2))), index(split(C453, "" ""),1),"""")"),"October")</f>
        <v>October</v>
      </c>
      <c r="T453" s="38">
        <f>IFERROR(__xludf.DUMMYFUNCTION("if(S453="""",C453,if(not(iserror(index(split(C453, "" ""),3))), index(split(C453, "" ""),3),index(split(C453, "" ""),2)))"),2017.0)</f>
        <v>2017</v>
      </c>
      <c r="U453" s="38" t="b">
        <f t="shared" si="56"/>
        <v>1</v>
      </c>
      <c r="V453" s="38"/>
      <c r="W453" s="40"/>
      <c r="X453" s="40"/>
      <c r="Y453" s="40"/>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row>
    <row r="454">
      <c r="A454" s="13" t="s">
        <v>1500</v>
      </c>
      <c r="B454" s="30"/>
      <c r="C454" s="30">
        <v>43025.0</v>
      </c>
      <c r="D454" s="32"/>
      <c r="E454" s="13" t="s">
        <v>41</v>
      </c>
      <c r="F454" s="13">
        <v>1.0</v>
      </c>
      <c r="G454" s="13">
        <v>1.0</v>
      </c>
      <c r="H454" s="43">
        <v>1.0</v>
      </c>
      <c r="I454" s="13" t="s">
        <v>33</v>
      </c>
      <c r="J454" s="13" t="s">
        <v>75</v>
      </c>
      <c r="K454" s="13"/>
      <c r="L454" s="13" t="s">
        <v>76</v>
      </c>
      <c r="M454" s="35" t="s">
        <v>1501</v>
      </c>
      <c r="N454" s="14"/>
      <c r="O454" s="16"/>
      <c r="P454" s="16"/>
      <c r="Q454" s="37">
        <v>1.0</v>
      </c>
      <c r="R454" s="16"/>
      <c r="S454" s="37"/>
      <c r="T454" s="38"/>
      <c r="U454" s="38"/>
      <c r="V454" s="38" t="s">
        <v>33</v>
      </c>
      <c r="W454" s="40"/>
      <c r="X454" s="40"/>
      <c r="Y454" s="40"/>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row>
    <row r="455">
      <c r="A455" s="13" t="s">
        <v>1502</v>
      </c>
      <c r="B455" s="30">
        <v>43025.0</v>
      </c>
      <c r="C455" s="30">
        <v>43025.0</v>
      </c>
      <c r="D455" s="32" t="s">
        <v>1503</v>
      </c>
      <c r="E455" s="13" t="s">
        <v>31</v>
      </c>
      <c r="F455" s="13">
        <v>1.0</v>
      </c>
      <c r="G455" s="13" t="s">
        <v>32</v>
      </c>
      <c r="H455" s="33">
        <f t="shared" ref="H455:H476" si="59">if(G455="Unknown",1,G455)</f>
        <v>1</v>
      </c>
      <c r="I455" s="13" t="s">
        <v>33</v>
      </c>
      <c r="J455" s="13" t="s">
        <v>147</v>
      </c>
      <c r="K455" s="13">
        <v>6.0</v>
      </c>
      <c r="L455" s="13" t="s">
        <v>1504</v>
      </c>
      <c r="M455" s="35" t="s">
        <v>1505</v>
      </c>
      <c r="N455" s="36" t="s">
        <v>1506</v>
      </c>
      <c r="O455" s="16"/>
      <c r="P455" s="16"/>
      <c r="Q455" s="37"/>
      <c r="R455" s="16"/>
      <c r="S455" s="37" t="str">
        <f>IFERROR(__xludf.DUMMYFUNCTION("if(not(iserror(index(split(C455, "" ""),2))), index(split(C455, "" ""),1),"""")"),"October")</f>
        <v>October</v>
      </c>
      <c r="T455" s="38">
        <f>IFERROR(__xludf.DUMMYFUNCTION("if(S455="""",C455,if(not(iserror(index(split(C455, "" ""),3))), index(split(C455, "" ""),3),index(split(C455, "" ""),2)))"),2017.0)</f>
        <v>2017</v>
      </c>
      <c r="U455" s="38" t="b">
        <f t="shared" ref="U455:U485" si="60">countif(A$4:A4658, A455)&gt;1</f>
        <v>0</v>
      </c>
      <c r="V455" s="38"/>
      <c r="W455" s="40"/>
      <c r="X455" s="40"/>
      <c r="Y455" s="40"/>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row>
    <row r="456">
      <c r="A456" s="13" t="s">
        <v>1507</v>
      </c>
      <c r="B456" s="30">
        <v>43025.0</v>
      </c>
      <c r="C456" s="30">
        <v>43025.0</v>
      </c>
      <c r="D456" s="32" t="s">
        <v>1503</v>
      </c>
      <c r="E456" s="13" t="s">
        <v>31</v>
      </c>
      <c r="F456" s="13">
        <v>1.0</v>
      </c>
      <c r="G456" s="13" t="s">
        <v>32</v>
      </c>
      <c r="H456" s="33">
        <f t="shared" si="59"/>
        <v>1</v>
      </c>
      <c r="I456" s="13" t="s">
        <v>33</v>
      </c>
      <c r="J456" s="13" t="s">
        <v>147</v>
      </c>
      <c r="K456" s="13">
        <v>6.0</v>
      </c>
      <c r="L456" s="13" t="s">
        <v>1504</v>
      </c>
      <c r="M456" s="35" t="s">
        <v>1505</v>
      </c>
      <c r="N456" s="36" t="s">
        <v>1506</v>
      </c>
      <c r="O456" s="16"/>
      <c r="P456" s="16"/>
      <c r="Q456" s="37"/>
      <c r="R456" s="16"/>
      <c r="S456" s="37" t="str">
        <f>IFERROR(__xludf.DUMMYFUNCTION("if(not(iserror(index(split(C456, "" ""),2))), index(split(C456, "" ""),1),"""")"),"October")</f>
        <v>October</v>
      </c>
      <c r="T456" s="38">
        <f>IFERROR(__xludf.DUMMYFUNCTION("if(S456="""",C456,if(not(iserror(index(split(C456, "" ""),3))), index(split(C456, "" ""),3),index(split(C456, "" ""),2)))"),2017.0)</f>
        <v>2017</v>
      </c>
      <c r="U456" s="38" t="b">
        <f t="shared" si="60"/>
        <v>0</v>
      </c>
      <c r="V456" s="38"/>
      <c r="W456" s="40"/>
      <c r="X456" s="40"/>
      <c r="Y456" s="40"/>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row>
    <row r="457">
      <c r="A457" s="13" t="s">
        <v>1508</v>
      </c>
      <c r="B457" s="30">
        <v>43025.0</v>
      </c>
      <c r="C457" s="30">
        <v>43025.0</v>
      </c>
      <c r="D457" s="32" t="s">
        <v>1503</v>
      </c>
      <c r="E457" s="13" t="s">
        <v>31</v>
      </c>
      <c r="F457" s="13">
        <v>1.0</v>
      </c>
      <c r="G457" s="13" t="s">
        <v>32</v>
      </c>
      <c r="H457" s="33">
        <f t="shared" si="59"/>
        <v>1</v>
      </c>
      <c r="I457" s="13" t="s">
        <v>33</v>
      </c>
      <c r="J457" s="13" t="s">
        <v>147</v>
      </c>
      <c r="K457" s="13">
        <v>6.0</v>
      </c>
      <c r="L457" s="13" t="s">
        <v>1504</v>
      </c>
      <c r="M457" s="35" t="s">
        <v>1505</v>
      </c>
      <c r="N457" s="36" t="s">
        <v>1506</v>
      </c>
      <c r="O457" s="16"/>
      <c r="P457" s="16"/>
      <c r="Q457" s="37"/>
      <c r="R457" s="16"/>
      <c r="S457" s="37" t="str">
        <f>IFERROR(__xludf.DUMMYFUNCTION("if(not(iserror(index(split(C457, "" ""),2))), index(split(C457, "" ""),1),"""")"),"October")</f>
        <v>October</v>
      </c>
      <c r="T457" s="38">
        <f>IFERROR(__xludf.DUMMYFUNCTION("if(S457="""",C457,if(not(iserror(index(split(C457, "" ""),3))), index(split(C457, "" ""),3),index(split(C457, "" ""),2)))"),2017.0)</f>
        <v>2017</v>
      </c>
      <c r="U457" s="38" t="b">
        <f t="shared" si="60"/>
        <v>0</v>
      </c>
      <c r="V457" s="38"/>
      <c r="W457" s="40"/>
      <c r="X457" s="40"/>
      <c r="Y457" s="40"/>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row>
    <row r="458">
      <c r="A458" s="13" t="s">
        <v>1509</v>
      </c>
      <c r="B458" s="30">
        <v>43025.0</v>
      </c>
      <c r="C458" s="30">
        <v>43025.0</v>
      </c>
      <c r="D458" s="32" t="s">
        <v>1503</v>
      </c>
      <c r="E458" s="13" t="s">
        <v>31</v>
      </c>
      <c r="F458" s="13">
        <v>1.0</v>
      </c>
      <c r="G458" s="13" t="s">
        <v>32</v>
      </c>
      <c r="H458" s="33">
        <f t="shared" si="59"/>
        <v>1</v>
      </c>
      <c r="I458" s="13" t="s">
        <v>33</v>
      </c>
      <c r="J458" s="13" t="s">
        <v>147</v>
      </c>
      <c r="K458" s="13">
        <v>6.0</v>
      </c>
      <c r="L458" s="13" t="s">
        <v>1504</v>
      </c>
      <c r="M458" s="35" t="s">
        <v>1505</v>
      </c>
      <c r="N458" s="36" t="s">
        <v>1506</v>
      </c>
      <c r="O458" s="16"/>
      <c r="P458" s="16"/>
      <c r="Q458" s="37"/>
      <c r="R458" s="16"/>
      <c r="S458" s="37" t="str">
        <f>IFERROR(__xludf.DUMMYFUNCTION("if(not(iserror(index(split(C458, "" ""),2))), index(split(C458, "" ""),1),"""")"),"October")</f>
        <v>October</v>
      </c>
      <c r="T458" s="38">
        <f>IFERROR(__xludf.DUMMYFUNCTION("if(S458="""",C458,if(not(iserror(index(split(C458, "" ""),3))), index(split(C458, "" ""),3),index(split(C458, "" ""),2)))"),2017.0)</f>
        <v>2017</v>
      </c>
      <c r="U458" s="38" t="b">
        <f t="shared" si="60"/>
        <v>0</v>
      </c>
      <c r="V458" s="38"/>
      <c r="W458" s="40"/>
      <c r="X458" s="40"/>
      <c r="Y458" s="40"/>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row>
    <row r="459">
      <c r="A459" s="13" t="s">
        <v>1510</v>
      </c>
      <c r="B459" s="30">
        <v>43025.0</v>
      </c>
      <c r="C459" s="30">
        <v>43025.0</v>
      </c>
      <c r="D459" s="32" t="s">
        <v>1503</v>
      </c>
      <c r="E459" s="13" t="s">
        <v>31</v>
      </c>
      <c r="F459" s="13">
        <v>1.0</v>
      </c>
      <c r="G459" s="13" t="s">
        <v>32</v>
      </c>
      <c r="H459" s="33">
        <f t="shared" si="59"/>
        <v>1</v>
      </c>
      <c r="I459" s="13" t="s">
        <v>33</v>
      </c>
      <c r="J459" s="13" t="s">
        <v>147</v>
      </c>
      <c r="K459" s="13">
        <v>6.0</v>
      </c>
      <c r="L459" s="13" t="s">
        <v>1504</v>
      </c>
      <c r="M459" s="35" t="s">
        <v>1505</v>
      </c>
      <c r="N459" s="36" t="s">
        <v>1506</v>
      </c>
      <c r="O459" s="16"/>
      <c r="P459" s="16"/>
      <c r="Q459" s="37"/>
      <c r="R459" s="16"/>
      <c r="S459" s="37" t="str">
        <f>IFERROR(__xludf.DUMMYFUNCTION("if(not(iserror(index(split(C459, "" ""),2))), index(split(C459, "" ""),1),"""")"),"October")</f>
        <v>October</v>
      </c>
      <c r="T459" s="38">
        <f>IFERROR(__xludf.DUMMYFUNCTION("if(S459="""",C459,if(not(iserror(index(split(C459, "" ""),3))), index(split(C459, "" ""),3),index(split(C459, "" ""),2)))"),2017.0)</f>
        <v>2017</v>
      </c>
      <c r="U459" s="38" t="b">
        <f t="shared" si="60"/>
        <v>0</v>
      </c>
      <c r="V459" s="38"/>
      <c r="W459" s="40"/>
      <c r="X459" s="40"/>
      <c r="Y459" s="40"/>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row>
    <row r="460">
      <c r="A460" s="13" t="s">
        <v>1511</v>
      </c>
      <c r="B460" s="30">
        <v>43025.0</v>
      </c>
      <c r="C460" s="30">
        <v>43025.0</v>
      </c>
      <c r="D460" s="32" t="s">
        <v>1503</v>
      </c>
      <c r="E460" s="13" t="s">
        <v>31</v>
      </c>
      <c r="F460" s="13">
        <v>1.0</v>
      </c>
      <c r="G460" s="13" t="s">
        <v>32</v>
      </c>
      <c r="H460" s="33">
        <f t="shared" si="59"/>
        <v>1</v>
      </c>
      <c r="I460" s="13" t="s">
        <v>33</v>
      </c>
      <c r="J460" s="13" t="s">
        <v>147</v>
      </c>
      <c r="K460" s="13">
        <v>6.0</v>
      </c>
      <c r="L460" s="13" t="s">
        <v>1504</v>
      </c>
      <c r="M460" s="35" t="s">
        <v>1505</v>
      </c>
      <c r="N460" s="36" t="s">
        <v>1506</v>
      </c>
      <c r="O460" s="16"/>
      <c r="P460" s="16"/>
      <c r="Q460" s="37"/>
      <c r="R460" s="16"/>
      <c r="S460" s="37" t="str">
        <f>IFERROR(__xludf.DUMMYFUNCTION("if(not(iserror(index(split(C460, "" ""),2))), index(split(C460, "" ""),1),"""")"),"October")</f>
        <v>October</v>
      </c>
      <c r="T460" s="38">
        <f>IFERROR(__xludf.DUMMYFUNCTION("if(S460="""",C460,if(not(iserror(index(split(C460, "" ""),3))), index(split(C460, "" ""),3),index(split(C460, "" ""),2)))"),2017.0)</f>
        <v>2017</v>
      </c>
      <c r="U460" s="38" t="b">
        <f t="shared" si="60"/>
        <v>0</v>
      </c>
      <c r="V460" s="38"/>
      <c r="W460" s="40"/>
      <c r="X460" s="40"/>
      <c r="Y460" s="40"/>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row>
    <row r="461">
      <c r="A461" s="13" t="s">
        <v>1512</v>
      </c>
      <c r="B461" s="30">
        <v>43025.0</v>
      </c>
      <c r="C461" s="30">
        <v>43025.0</v>
      </c>
      <c r="D461" s="32" t="s">
        <v>1503</v>
      </c>
      <c r="E461" s="13" t="s">
        <v>31</v>
      </c>
      <c r="F461" s="13">
        <v>1.0</v>
      </c>
      <c r="G461" s="13" t="s">
        <v>32</v>
      </c>
      <c r="H461" s="33">
        <f t="shared" si="59"/>
        <v>1</v>
      </c>
      <c r="I461" s="13" t="s">
        <v>33</v>
      </c>
      <c r="J461" s="13" t="s">
        <v>147</v>
      </c>
      <c r="K461" s="13">
        <v>6.0</v>
      </c>
      <c r="L461" s="13" t="s">
        <v>1504</v>
      </c>
      <c r="M461" s="35" t="s">
        <v>1505</v>
      </c>
      <c r="N461" s="36" t="s">
        <v>1506</v>
      </c>
      <c r="O461" s="16"/>
      <c r="P461" s="16"/>
      <c r="Q461" s="37"/>
      <c r="R461" s="16"/>
      <c r="S461" s="37" t="str">
        <f>IFERROR(__xludf.DUMMYFUNCTION("if(not(iserror(index(split(C461, "" ""),2))), index(split(C461, "" ""),1),"""")"),"October")</f>
        <v>October</v>
      </c>
      <c r="T461" s="38">
        <f>IFERROR(__xludf.DUMMYFUNCTION("if(S461="""",C461,if(not(iserror(index(split(C461, "" ""),3))), index(split(C461, "" ""),3),index(split(C461, "" ""),2)))"),2017.0)</f>
        <v>2017</v>
      </c>
      <c r="U461" s="38" t="b">
        <f t="shared" si="60"/>
        <v>0</v>
      </c>
      <c r="V461" s="38"/>
      <c r="W461" s="40"/>
      <c r="X461" s="40"/>
      <c r="Y461" s="40"/>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row>
    <row r="462">
      <c r="A462" s="13" t="s">
        <v>1513</v>
      </c>
      <c r="B462" s="30">
        <v>43025.0</v>
      </c>
      <c r="C462" s="30">
        <v>43025.0</v>
      </c>
      <c r="D462" s="32" t="s">
        <v>1503</v>
      </c>
      <c r="E462" s="13" t="s">
        <v>31</v>
      </c>
      <c r="F462" s="13">
        <v>1.0</v>
      </c>
      <c r="G462" s="13" t="s">
        <v>32</v>
      </c>
      <c r="H462" s="33">
        <f t="shared" si="59"/>
        <v>1</v>
      </c>
      <c r="I462" s="13" t="s">
        <v>33</v>
      </c>
      <c r="J462" s="13" t="s">
        <v>147</v>
      </c>
      <c r="K462" s="13">
        <v>6.0</v>
      </c>
      <c r="L462" s="13" t="s">
        <v>1504</v>
      </c>
      <c r="M462" s="35" t="s">
        <v>1505</v>
      </c>
      <c r="N462" s="36" t="s">
        <v>1506</v>
      </c>
      <c r="O462" s="16"/>
      <c r="P462" s="16"/>
      <c r="Q462" s="37"/>
      <c r="R462" s="16"/>
      <c r="S462" s="37" t="str">
        <f>IFERROR(__xludf.DUMMYFUNCTION("if(not(iserror(index(split(C462, "" ""),2))), index(split(C462, "" ""),1),"""")"),"October")</f>
        <v>October</v>
      </c>
      <c r="T462" s="38">
        <f>IFERROR(__xludf.DUMMYFUNCTION("if(S462="""",C462,if(not(iserror(index(split(C462, "" ""),3))), index(split(C462, "" ""),3),index(split(C462, "" ""),2)))"),2017.0)</f>
        <v>2017</v>
      </c>
      <c r="U462" s="38" t="b">
        <f t="shared" si="60"/>
        <v>0</v>
      </c>
      <c r="V462" s="38"/>
      <c r="W462" s="40"/>
      <c r="X462" s="40"/>
      <c r="Y462" s="40"/>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row>
    <row r="463">
      <c r="A463" s="13" t="s">
        <v>1514</v>
      </c>
      <c r="B463" s="30">
        <v>43025.0</v>
      </c>
      <c r="C463" s="30">
        <v>43025.0</v>
      </c>
      <c r="D463" s="32" t="s">
        <v>1503</v>
      </c>
      <c r="E463" s="13" t="s">
        <v>31</v>
      </c>
      <c r="F463" s="13">
        <v>1.0</v>
      </c>
      <c r="G463" s="13" t="s">
        <v>32</v>
      </c>
      <c r="H463" s="33">
        <f t="shared" si="59"/>
        <v>1</v>
      </c>
      <c r="I463" s="13" t="s">
        <v>33</v>
      </c>
      <c r="J463" s="13" t="s">
        <v>93</v>
      </c>
      <c r="K463" s="13">
        <v>2.0</v>
      </c>
      <c r="L463" s="13" t="s">
        <v>1515</v>
      </c>
      <c r="M463" s="35" t="s">
        <v>1516</v>
      </c>
      <c r="N463" s="15"/>
      <c r="O463" s="16"/>
      <c r="P463" s="16"/>
      <c r="Q463" s="16"/>
      <c r="R463" s="16"/>
      <c r="S463" s="37" t="str">
        <f>IFERROR(__xludf.DUMMYFUNCTION("if(not(iserror(index(split(C463, "" ""),2))), index(split(C463, "" ""),1),"""")"),"October")</f>
        <v>October</v>
      </c>
      <c r="T463" s="38">
        <f>IFERROR(__xludf.DUMMYFUNCTION("if(S463="""",C463,if(not(iserror(index(split(C463, "" ""),3))), index(split(C463, "" ""),3),index(split(C463, "" ""),2)))"),2017.0)</f>
        <v>2017</v>
      </c>
      <c r="U463" s="38" t="b">
        <f t="shared" si="60"/>
        <v>0</v>
      </c>
      <c r="V463" s="38"/>
      <c r="W463" s="40"/>
      <c r="X463" s="40"/>
      <c r="Y463" s="40"/>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row>
    <row r="464">
      <c r="A464" s="13" t="s">
        <v>1517</v>
      </c>
      <c r="B464" s="30">
        <v>43026.0</v>
      </c>
      <c r="C464" s="30">
        <v>43025.0</v>
      </c>
      <c r="D464" s="32" t="s">
        <v>1503</v>
      </c>
      <c r="E464" s="13" t="s">
        <v>41</v>
      </c>
      <c r="F464" s="13">
        <v>1.0</v>
      </c>
      <c r="G464" s="13" t="s">
        <v>32</v>
      </c>
      <c r="H464" s="33">
        <f t="shared" si="59"/>
        <v>1</v>
      </c>
      <c r="I464" s="13" t="s">
        <v>33</v>
      </c>
      <c r="J464" s="13" t="s">
        <v>61</v>
      </c>
      <c r="K464" s="13">
        <v>1.0</v>
      </c>
      <c r="L464" s="13" t="s">
        <v>119</v>
      </c>
      <c r="M464" s="45" t="s">
        <v>1518</v>
      </c>
      <c r="N464" s="36" t="s">
        <v>1519</v>
      </c>
      <c r="O464" s="16"/>
      <c r="P464" s="16"/>
      <c r="Q464" s="16"/>
      <c r="R464" s="16"/>
      <c r="S464" s="37" t="str">
        <f>IFERROR(__xludf.DUMMYFUNCTION("if(not(iserror(index(split(C464, "" ""),2))), index(split(C464, "" ""),1),"""")"),"October")</f>
        <v>October</v>
      </c>
      <c r="T464" s="38">
        <f>IFERROR(__xludf.DUMMYFUNCTION("if(S464="""",C464,if(not(iserror(index(split(C464, "" ""),3))), index(split(C464, "" ""),3),index(split(C464, "" ""),2)))"),2017.0)</f>
        <v>2017</v>
      </c>
      <c r="U464" s="38" t="b">
        <f t="shared" si="60"/>
        <v>0</v>
      </c>
      <c r="V464" s="38"/>
      <c r="W464" s="40"/>
      <c r="X464" s="40"/>
      <c r="Y464" s="40"/>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row>
    <row r="465">
      <c r="A465" s="13" t="s">
        <v>1520</v>
      </c>
      <c r="B465" s="30">
        <v>43069.0</v>
      </c>
      <c r="C465" s="30">
        <v>43025.0</v>
      </c>
      <c r="D465" s="32" t="s">
        <v>1503</v>
      </c>
      <c r="E465" s="13" t="s">
        <v>41</v>
      </c>
      <c r="F465" s="13">
        <v>1.0</v>
      </c>
      <c r="G465" s="13" t="s">
        <v>32</v>
      </c>
      <c r="H465" s="33">
        <f t="shared" si="59"/>
        <v>1</v>
      </c>
      <c r="I465" s="13" t="s">
        <v>33</v>
      </c>
      <c r="J465" s="13" t="s">
        <v>279</v>
      </c>
      <c r="K465" s="13">
        <v>5.0</v>
      </c>
      <c r="L465" s="13" t="s">
        <v>69</v>
      </c>
      <c r="M465" s="107" t="s">
        <v>1521</v>
      </c>
      <c r="N465" s="149"/>
      <c r="O465" s="150" t="str">
        <f>hyperlink("https://bad-boys.us/?q=WD-MO/6:17-cr-03130", "WD-MO 6:17-cr-03130")</f>
        <v>WD-MO 6:17-cr-03130</v>
      </c>
      <c r="P465" s="150" t="s">
        <v>1522</v>
      </c>
      <c r="Q465" s="151">
        <v>1.0</v>
      </c>
      <c r="R465" s="13"/>
      <c r="S465" s="37" t="str">
        <f>IFERROR(__xludf.DUMMYFUNCTION("if(not(iserror(index(split(C465, "" ""),2))), index(split(C465, "" ""),1),"""")"),"October")</f>
        <v>October</v>
      </c>
      <c r="T465" s="38">
        <f>IFERROR(__xludf.DUMMYFUNCTION("if(S465="""",C465,if(not(iserror(index(split(C465, "" ""),3))), index(split(C465, "" ""),3),index(split(C465, "" ""),2)))"),2017.0)</f>
        <v>2017</v>
      </c>
      <c r="U465" s="38" t="b">
        <f t="shared" si="60"/>
        <v>0</v>
      </c>
      <c r="V465" s="38"/>
      <c r="W465" s="40"/>
      <c r="X465" s="40"/>
      <c r="Y465" s="40"/>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row>
    <row r="466">
      <c r="A466" s="13" t="s">
        <v>1523</v>
      </c>
      <c r="B466" s="30">
        <v>43026.0</v>
      </c>
      <c r="C466" s="30">
        <v>43026.0</v>
      </c>
      <c r="D466" s="32" t="s">
        <v>1524</v>
      </c>
      <c r="E466" s="13" t="s">
        <v>41</v>
      </c>
      <c r="F466" s="13">
        <v>1.0</v>
      </c>
      <c r="G466" s="13" t="s">
        <v>32</v>
      </c>
      <c r="H466" s="33">
        <f t="shared" si="59"/>
        <v>1</v>
      </c>
      <c r="I466" s="13" t="s">
        <v>33</v>
      </c>
      <c r="J466" s="13" t="s">
        <v>147</v>
      </c>
      <c r="K466" s="13">
        <v>3.0</v>
      </c>
      <c r="L466" s="34" t="s">
        <v>790</v>
      </c>
      <c r="M466" s="35" t="s">
        <v>1525</v>
      </c>
      <c r="N466" s="36" t="s">
        <v>1526</v>
      </c>
      <c r="O466" s="16"/>
      <c r="P466" s="16"/>
      <c r="Q466" s="16"/>
      <c r="R466" s="16"/>
      <c r="S466" s="37" t="str">
        <f>IFERROR(__xludf.DUMMYFUNCTION("if(not(iserror(index(split(C466, "" ""),2))), index(split(C466, "" ""),1),"""")"),"October")</f>
        <v>October</v>
      </c>
      <c r="T466" s="38">
        <f>IFERROR(__xludf.DUMMYFUNCTION("if(S466="""",C466,if(not(iserror(index(split(C466, "" ""),3))), index(split(C466, "" ""),3),index(split(C466, "" ""),2)))"),2017.0)</f>
        <v>2017</v>
      </c>
      <c r="U466" s="38" t="b">
        <f t="shared" si="60"/>
        <v>0</v>
      </c>
      <c r="V466" s="38"/>
      <c r="W466" s="40"/>
      <c r="X466" s="40"/>
      <c r="Y466" s="40"/>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row>
    <row r="467">
      <c r="A467" s="13" t="s">
        <v>1527</v>
      </c>
      <c r="B467" s="30">
        <v>43028.0</v>
      </c>
      <c r="C467" s="30">
        <v>43027.0</v>
      </c>
      <c r="D467" s="32" t="s">
        <v>1528</v>
      </c>
      <c r="E467" s="13" t="s">
        <v>41</v>
      </c>
      <c r="F467" s="13">
        <v>1.0</v>
      </c>
      <c r="G467" s="13" t="s">
        <v>32</v>
      </c>
      <c r="H467" s="33">
        <f t="shared" si="59"/>
        <v>1</v>
      </c>
      <c r="I467" s="13" t="s">
        <v>33</v>
      </c>
      <c r="J467" s="13" t="s">
        <v>55</v>
      </c>
      <c r="K467" s="13" t="s">
        <v>32</v>
      </c>
      <c r="L467" s="13" t="s">
        <v>1208</v>
      </c>
      <c r="M467" s="35" t="s">
        <v>1529</v>
      </c>
      <c r="N467" s="36" t="s">
        <v>1530</v>
      </c>
      <c r="O467" s="86" t="str">
        <f>hyperlink("https://bad-boys.us/?q=D-NJ/2:18-cr-00149", "D-NJ 2:18-cr-00149")</f>
        <v>D-NJ 2:18-cr-00149</v>
      </c>
      <c r="P467" s="16"/>
      <c r="Q467" s="64">
        <v>1.0</v>
      </c>
      <c r="R467" s="16"/>
      <c r="S467" s="37" t="str">
        <f>IFERROR(__xludf.DUMMYFUNCTION("if(not(iserror(index(split(C467, "" ""),2))), index(split(C467, "" ""),1),"""")"),"October")</f>
        <v>October</v>
      </c>
      <c r="T467" s="38">
        <f>IFERROR(__xludf.DUMMYFUNCTION("if(S467="""",C467,if(not(iserror(index(split(C467, "" ""),3))), index(split(C467, "" ""),3),index(split(C467, "" ""),2)))"),2017.0)</f>
        <v>2017</v>
      </c>
      <c r="U467" s="38" t="b">
        <f t="shared" si="60"/>
        <v>0</v>
      </c>
      <c r="V467" s="38"/>
      <c r="W467" s="40"/>
      <c r="X467" s="40"/>
      <c r="Y467" s="40"/>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row>
    <row r="468">
      <c r="A468" s="13" t="s">
        <v>239</v>
      </c>
      <c r="B468" s="30">
        <v>43031.0</v>
      </c>
      <c r="C468" s="30">
        <v>43030.0</v>
      </c>
      <c r="D468" s="32" t="s">
        <v>1531</v>
      </c>
      <c r="E468" s="13" t="s">
        <v>41</v>
      </c>
      <c r="F468" s="13">
        <v>1.0</v>
      </c>
      <c r="G468" s="13">
        <v>3.0</v>
      </c>
      <c r="H468" s="33">
        <f t="shared" si="59"/>
        <v>3</v>
      </c>
      <c r="I468" s="13" t="s">
        <v>33</v>
      </c>
      <c r="J468" s="13" t="s">
        <v>241</v>
      </c>
      <c r="K468" s="13">
        <v>1.0</v>
      </c>
      <c r="L468" s="13" t="s">
        <v>194</v>
      </c>
      <c r="M468" s="35" t="s">
        <v>1532</v>
      </c>
      <c r="N468" s="15"/>
      <c r="O468" s="16"/>
      <c r="P468" s="16"/>
      <c r="Q468" s="16"/>
      <c r="R468" s="16"/>
      <c r="S468" s="37" t="str">
        <f>IFERROR(__xludf.DUMMYFUNCTION("if(not(iserror(index(split(C468, "" ""),2))), index(split(C468, "" ""),1),"""")"),"October")</f>
        <v>October</v>
      </c>
      <c r="T468" s="38">
        <f>IFERROR(__xludf.DUMMYFUNCTION("if(S468="""",C468,if(not(iserror(index(split(C468, "" ""),3))), index(split(C468, "" ""),3),index(split(C468, "" ""),2)))"),2017.0)</f>
        <v>2017</v>
      </c>
      <c r="U468" s="38" t="b">
        <f t="shared" si="60"/>
        <v>1</v>
      </c>
      <c r="V468" s="38"/>
      <c r="W468" s="40"/>
      <c r="X468" s="40"/>
      <c r="Y468" s="40"/>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row>
    <row r="469">
      <c r="A469" s="87" t="s">
        <v>1533</v>
      </c>
      <c r="B469" s="59">
        <v>43378.0</v>
      </c>
      <c r="C469" s="59">
        <v>43030.0</v>
      </c>
      <c r="D469" s="60" t="s">
        <v>1531</v>
      </c>
      <c r="E469" s="58" t="s">
        <v>41</v>
      </c>
      <c r="F469" s="58">
        <v>1.0</v>
      </c>
      <c r="G469" s="58" t="s">
        <v>32</v>
      </c>
      <c r="H469" s="33">
        <f t="shared" si="59"/>
        <v>1</v>
      </c>
      <c r="I469" s="58" t="s">
        <v>33</v>
      </c>
      <c r="J469" s="58" t="s">
        <v>106</v>
      </c>
      <c r="K469" s="58" t="s">
        <v>32</v>
      </c>
      <c r="L469" s="58" t="s">
        <v>76</v>
      </c>
      <c r="M469" s="61" t="s">
        <v>1534</v>
      </c>
      <c r="N469" s="77"/>
      <c r="O469" s="83" t="str">
        <f>hyperlink("https://bad-boys.us/?q=D-MD/1:17-cr-00673", "D-MD 1:17-cr-00673")</f>
        <v>D-MD 1:17-cr-00673</v>
      </c>
      <c r="P469" s="62"/>
      <c r="Q469" s="84">
        <v>1.0</v>
      </c>
      <c r="R469" s="62"/>
      <c r="S469" s="37" t="str">
        <f>IFERROR(__xludf.DUMMYFUNCTION("if(not(iserror(index(split(C469, "" ""),2))), index(split(C469, "" ""),1),"""")"),"October")</f>
        <v>October</v>
      </c>
      <c r="T469" s="38">
        <f>IFERROR(__xludf.DUMMYFUNCTION("if(S469="""",C469,if(not(iserror(index(split(C469, "" ""),3))), index(split(C469, "" ""),3),index(split(C469, "" ""),2)))"),2017.0)</f>
        <v>2017</v>
      </c>
      <c r="U469" s="38" t="b">
        <f t="shared" si="60"/>
        <v>0</v>
      </c>
      <c r="V469" s="38"/>
      <c r="W469" s="40"/>
      <c r="X469" s="40"/>
      <c r="Y469" s="40"/>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row>
    <row r="470">
      <c r="A470" s="13" t="s">
        <v>1535</v>
      </c>
      <c r="B470" s="30">
        <v>43032.0</v>
      </c>
      <c r="C470" s="30">
        <v>43032.0</v>
      </c>
      <c r="D470" s="32" t="s">
        <v>1536</v>
      </c>
      <c r="E470" s="13" t="s">
        <v>41</v>
      </c>
      <c r="F470" s="13">
        <v>1.0</v>
      </c>
      <c r="G470" s="13" t="s">
        <v>32</v>
      </c>
      <c r="H470" s="33">
        <f t="shared" si="59"/>
        <v>1</v>
      </c>
      <c r="I470" s="13" t="s">
        <v>33</v>
      </c>
      <c r="J470" s="13" t="s">
        <v>179</v>
      </c>
      <c r="K470" s="13">
        <v>2.0</v>
      </c>
      <c r="L470" s="13" t="s">
        <v>99</v>
      </c>
      <c r="M470" s="35" t="s">
        <v>1537</v>
      </c>
      <c r="N470" s="15"/>
      <c r="O470" s="16"/>
      <c r="P470" s="16"/>
      <c r="Q470" s="16"/>
      <c r="R470" s="16"/>
      <c r="S470" s="37" t="str">
        <f>IFERROR(__xludf.DUMMYFUNCTION("if(not(iserror(index(split(C470, "" ""),2))), index(split(C470, "" ""),1),"""")"),"October")</f>
        <v>October</v>
      </c>
      <c r="T470" s="38">
        <f>IFERROR(__xludf.DUMMYFUNCTION("if(S470="""",C470,if(not(iserror(index(split(C470, "" ""),3))), index(split(C470, "" ""),3),index(split(C470, "" ""),2)))"),2017.0)</f>
        <v>2017</v>
      </c>
      <c r="U470" s="38" t="b">
        <f t="shared" si="60"/>
        <v>0</v>
      </c>
      <c r="V470" s="38"/>
      <c r="W470" s="40"/>
      <c r="X470" s="40"/>
      <c r="Y470" s="40"/>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row>
    <row r="471">
      <c r="A471" s="13" t="s">
        <v>1538</v>
      </c>
      <c r="B471" s="30">
        <v>43032.0</v>
      </c>
      <c r="C471" s="30">
        <v>43032.0</v>
      </c>
      <c r="D471" s="32" t="s">
        <v>167</v>
      </c>
      <c r="E471" s="13" t="s">
        <v>41</v>
      </c>
      <c r="F471" s="13">
        <v>1.0</v>
      </c>
      <c r="G471" s="13">
        <v>2.0</v>
      </c>
      <c r="H471" s="33">
        <f t="shared" si="59"/>
        <v>2</v>
      </c>
      <c r="I471" s="13" t="s">
        <v>33</v>
      </c>
      <c r="J471" s="13" t="s">
        <v>93</v>
      </c>
      <c r="K471" s="13" t="s">
        <v>32</v>
      </c>
      <c r="L471" s="13" t="s">
        <v>1539</v>
      </c>
      <c r="M471" s="35" t="s">
        <v>1540</v>
      </c>
      <c r="N471" s="15"/>
      <c r="O471" s="16"/>
      <c r="P471" s="16"/>
      <c r="Q471" s="16"/>
      <c r="R471" s="16"/>
      <c r="S471" s="37" t="str">
        <f>IFERROR(__xludf.DUMMYFUNCTION("if(not(iserror(index(split(C471, "" ""),2))), index(split(C471, "" ""),1),"""")"),"October")</f>
        <v>October</v>
      </c>
      <c r="T471" s="38">
        <f>IFERROR(__xludf.DUMMYFUNCTION("if(S471="""",C471,if(not(iserror(index(split(C471, "" ""),3))), index(split(C471, "" ""),3),index(split(C471, "" ""),2)))"),2017.0)</f>
        <v>2017</v>
      </c>
      <c r="U471" s="38" t="b">
        <f t="shared" si="60"/>
        <v>0</v>
      </c>
      <c r="V471" s="38"/>
      <c r="W471" s="40"/>
      <c r="X471" s="40"/>
      <c r="Y471" s="40"/>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row>
    <row r="472">
      <c r="A472" s="58" t="s">
        <v>1541</v>
      </c>
      <c r="B472" s="59">
        <v>43440.0</v>
      </c>
      <c r="C472" s="59">
        <v>43032.0</v>
      </c>
      <c r="D472" s="60" t="s">
        <v>1536</v>
      </c>
      <c r="E472" s="58" t="s">
        <v>41</v>
      </c>
      <c r="F472" s="58">
        <v>1.0</v>
      </c>
      <c r="G472" s="58" t="s">
        <v>32</v>
      </c>
      <c r="H472" s="33">
        <f t="shared" si="59"/>
        <v>1</v>
      </c>
      <c r="I472" s="58" t="s">
        <v>33</v>
      </c>
      <c r="J472" s="58" t="s">
        <v>111</v>
      </c>
      <c r="K472" s="58">
        <v>4.0</v>
      </c>
      <c r="L472" s="58" t="s">
        <v>119</v>
      </c>
      <c r="M472" s="80" t="s">
        <v>1542</v>
      </c>
      <c r="N472" s="61" t="s">
        <v>1543</v>
      </c>
      <c r="O472" s="88" t="str">
        <f>hyperlink("https://bad-boys.us/?q=ED-CA/2:18-cr-00033", "ED-CA 2:18-cr-00033")</f>
        <v>ED-CA 2:18-cr-00033</v>
      </c>
      <c r="P472" s="88" t="s">
        <v>1544</v>
      </c>
      <c r="Q472" s="58">
        <v>1.0</v>
      </c>
      <c r="R472" s="62"/>
      <c r="S472" s="37" t="str">
        <f>IFERROR(__xludf.DUMMYFUNCTION("if(not(iserror(index(split(C472, "" ""),2))), index(split(C472, "" ""),1),"""")"),"October")</f>
        <v>October</v>
      </c>
      <c r="T472" s="38">
        <f>IFERROR(__xludf.DUMMYFUNCTION("if(S472="""",C472,if(not(iserror(index(split(C472, "" ""),3))), index(split(C472, "" ""),3),index(split(C472, "" ""),2)))"),2017.0)</f>
        <v>2017</v>
      </c>
      <c r="U472" s="38" t="b">
        <f t="shared" si="60"/>
        <v>0</v>
      </c>
      <c r="V472" s="38" t="s">
        <v>33</v>
      </c>
      <c r="W472" s="40"/>
      <c r="X472" s="40"/>
      <c r="Y472" s="40"/>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row>
    <row r="473">
      <c r="A473" s="13" t="s">
        <v>1545</v>
      </c>
      <c r="B473" s="30">
        <v>43033.0</v>
      </c>
      <c r="C473" s="30">
        <v>43033.0</v>
      </c>
      <c r="D473" s="32" t="s">
        <v>1546</v>
      </c>
      <c r="E473" s="13" t="s">
        <v>41</v>
      </c>
      <c r="F473" s="13">
        <v>1.0</v>
      </c>
      <c r="G473" s="13" t="s">
        <v>32</v>
      </c>
      <c r="H473" s="33">
        <f t="shared" si="59"/>
        <v>1</v>
      </c>
      <c r="I473" s="13" t="s">
        <v>33</v>
      </c>
      <c r="J473" s="13" t="s">
        <v>504</v>
      </c>
      <c r="K473" s="13">
        <v>3.0</v>
      </c>
      <c r="L473" s="13" t="s">
        <v>52</v>
      </c>
      <c r="M473" s="35" t="s">
        <v>1547</v>
      </c>
      <c r="N473" s="15"/>
      <c r="O473" s="16"/>
      <c r="P473" s="16"/>
      <c r="Q473" s="16"/>
      <c r="R473" s="16"/>
      <c r="S473" s="37" t="str">
        <f>IFERROR(__xludf.DUMMYFUNCTION("if(not(iserror(index(split(C473, "" ""),2))), index(split(C473, "" ""),1),"""")"),"October")</f>
        <v>October</v>
      </c>
      <c r="T473" s="38">
        <f>IFERROR(__xludf.DUMMYFUNCTION("if(S473="""",C473,if(not(iserror(index(split(C473, "" ""),3))), index(split(C473, "" ""),3),index(split(C473, "" ""),2)))"),2017.0)</f>
        <v>2017</v>
      </c>
      <c r="U473" s="38" t="b">
        <f t="shared" si="60"/>
        <v>0</v>
      </c>
      <c r="V473" s="38"/>
      <c r="W473" s="40"/>
      <c r="X473" s="40"/>
      <c r="Y473" s="40"/>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row>
    <row r="474">
      <c r="A474" s="13" t="s">
        <v>239</v>
      </c>
      <c r="B474" s="30">
        <v>43035.0</v>
      </c>
      <c r="C474" s="30">
        <v>43033.0</v>
      </c>
      <c r="D474" s="32" t="s">
        <v>1546</v>
      </c>
      <c r="E474" s="13" t="s">
        <v>41</v>
      </c>
      <c r="F474" s="13">
        <v>1.0</v>
      </c>
      <c r="G474" s="13">
        <v>1.0</v>
      </c>
      <c r="H474" s="33">
        <f t="shared" si="59"/>
        <v>1</v>
      </c>
      <c r="I474" s="13" t="s">
        <v>33</v>
      </c>
      <c r="J474" s="13" t="s">
        <v>241</v>
      </c>
      <c r="K474" s="13">
        <v>1.0</v>
      </c>
      <c r="L474" s="34" t="s">
        <v>194</v>
      </c>
      <c r="M474" s="35" t="s">
        <v>1548</v>
      </c>
      <c r="N474" s="15"/>
      <c r="O474" s="16"/>
      <c r="P474" s="16"/>
      <c r="Q474" s="16"/>
      <c r="R474" s="16"/>
      <c r="S474" s="37" t="str">
        <f>IFERROR(__xludf.DUMMYFUNCTION("if(not(iserror(index(split(C474, "" ""),2))), index(split(C474, "" ""),1),"""")"),"October")</f>
        <v>October</v>
      </c>
      <c r="T474" s="38">
        <f>IFERROR(__xludf.DUMMYFUNCTION("if(S474="""",C474,if(not(iserror(index(split(C474, "" ""),3))), index(split(C474, "" ""),3),index(split(C474, "" ""),2)))"),2017.0)</f>
        <v>2017</v>
      </c>
      <c r="U474" s="38" t="b">
        <f t="shared" si="60"/>
        <v>1</v>
      </c>
      <c r="V474" s="38"/>
      <c r="W474" s="40"/>
      <c r="X474" s="40"/>
      <c r="Y474" s="40"/>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row>
    <row r="475">
      <c r="A475" s="58" t="s">
        <v>1549</v>
      </c>
      <c r="B475" s="59">
        <v>43378.0</v>
      </c>
      <c r="C475" s="59">
        <v>43033.0</v>
      </c>
      <c r="D475" s="60" t="s">
        <v>1546</v>
      </c>
      <c r="E475" s="58" t="s">
        <v>41</v>
      </c>
      <c r="F475" s="58">
        <v>1.0</v>
      </c>
      <c r="G475" s="58" t="s">
        <v>32</v>
      </c>
      <c r="H475" s="33">
        <f t="shared" si="59"/>
        <v>1</v>
      </c>
      <c r="I475" s="58" t="s">
        <v>33</v>
      </c>
      <c r="J475" s="58" t="s">
        <v>106</v>
      </c>
      <c r="K475" s="58" t="s">
        <v>32</v>
      </c>
      <c r="L475" s="58" t="s">
        <v>69</v>
      </c>
      <c r="M475" s="61" t="s">
        <v>641</v>
      </c>
      <c r="N475" s="77"/>
      <c r="O475" s="83" t="str">
        <f>hyperlink("https://bad-boys.us/?q=D-MD/1:18-cr-00075", "D-MD 1:18-cr-00075")</f>
        <v>D-MD 1:18-cr-00075</v>
      </c>
      <c r="P475" s="62"/>
      <c r="Q475" s="84">
        <v>1.0</v>
      </c>
      <c r="R475" s="62"/>
      <c r="S475" s="37" t="str">
        <f>IFERROR(__xludf.DUMMYFUNCTION("if(not(iserror(index(split(C475, "" ""),2))), index(split(C475, "" ""),1),"""")"),"October")</f>
        <v>October</v>
      </c>
      <c r="T475" s="38">
        <f>IFERROR(__xludf.DUMMYFUNCTION("if(S475="""",C475,if(not(iserror(index(split(C475, "" ""),3))), index(split(C475, "" ""),3),index(split(C475, "" ""),2)))"),2017.0)</f>
        <v>2017</v>
      </c>
      <c r="U475" s="38" t="b">
        <f t="shared" si="60"/>
        <v>0</v>
      </c>
      <c r="V475" s="38"/>
      <c r="W475" s="40"/>
      <c r="X475" s="40"/>
      <c r="Y475" s="40"/>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row>
    <row r="476">
      <c r="A476" s="58" t="s">
        <v>1550</v>
      </c>
      <c r="B476" s="59">
        <v>43411.0</v>
      </c>
      <c r="C476" s="59">
        <v>43033.0</v>
      </c>
      <c r="D476" s="60" t="s">
        <v>1546</v>
      </c>
      <c r="E476" s="58" t="s">
        <v>31</v>
      </c>
      <c r="F476" s="58">
        <v>1.0</v>
      </c>
      <c r="G476" s="58" t="s">
        <v>32</v>
      </c>
      <c r="H476" s="33">
        <f t="shared" si="59"/>
        <v>1</v>
      </c>
      <c r="I476" s="58" t="s">
        <v>33</v>
      </c>
      <c r="J476" s="58" t="s">
        <v>34</v>
      </c>
      <c r="K476" s="58">
        <v>4.0</v>
      </c>
      <c r="L476" s="58" t="s">
        <v>119</v>
      </c>
      <c r="M476" s="80" t="s">
        <v>1551</v>
      </c>
      <c r="N476" s="61" t="s">
        <v>1552</v>
      </c>
      <c r="O476" s="88" t="str">
        <f>hyperlink("https://bad-boys.us/?q=D-NH/1:18-cr-00110", "D-NH 1:18-cr-00110")</f>
        <v>D-NH 1:18-cr-00110</v>
      </c>
      <c r="P476" s="88" t="s">
        <v>1553</v>
      </c>
      <c r="Q476" s="58">
        <v>1.0</v>
      </c>
      <c r="R476" s="62"/>
      <c r="S476" s="37" t="str">
        <f>IFERROR(__xludf.DUMMYFUNCTION("if(not(iserror(index(split(C476, "" ""),2))), index(split(C476, "" ""),1),"""")"),"October")</f>
        <v>October</v>
      </c>
      <c r="T476" s="38">
        <f>IFERROR(__xludf.DUMMYFUNCTION("if(S476="""",C476,if(not(iserror(index(split(C476, "" ""),3))), index(split(C476, "" ""),3),index(split(C476, "" ""),2)))"),2017.0)</f>
        <v>2017</v>
      </c>
      <c r="U476" s="38" t="b">
        <f t="shared" si="60"/>
        <v>0</v>
      </c>
      <c r="V476" s="38" t="s">
        <v>33</v>
      </c>
      <c r="W476" s="40"/>
      <c r="X476" s="40"/>
      <c r="Y476" s="40"/>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row>
    <row r="477">
      <c r="A477" s="58" t="s">
        <v>1554</v>
      </c>
      <c r="B477" s="59"/>
      <c r="C477" s="59">
        <v>43035.0</v>
      </c>
      <c r="D477" s="60"/>
      <c r="E477" s="58" t="s">
        <v>41</v>
      </c>
      <c r="F477" s="58">
        <v>1.0</v>
      </c>
      <c r="G477" s="58" t="s">
        <v>32</v>
      </c>
      <c r="H477" s="43">
        <v>1.0</v>
      </c>
      <c r="I477" s="58" t="s">
        <v>33</v>
      </c>
      <c r="J477" s="58" t="s">
        <v>172</v>
      </c>
      <c r="K477" s="58"/>
      <c r="L477" s="58" t="s">
        <v>119</v>
      </c>
      <c r="M477" s="61" t="s">
        <v>1555</v>
      </c>
      <c r="N477" s="80"/>
      <c r="O477" s="58"/>
      <c r="P477" s="58"/>
      <c r="Q477" s="58"/>
      <c r="R477" s="62"/>
      <c r="S477" s="37"/>
      <c r="T477" s="38"/>
      <c r="U477" s="38" t="b">
        <f t="shared" si="60"/>
        <v>1</v>
      </c>
      <c r="V477" s="38" t="s">
        <v>33</v>
      </c>
      <c r="W477" s="40"/>
      <c r="X477" s="40"/>
      <c r="Y477" s="40"/>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row>
    <row r="478">
      <c r="A478" s="13" t="s">
        <v>1556</v>
      </c>
      <c r="B478" s="30">
        <v>43035.0</v>
      </c>
      <c r="C478" s="30">
        <v>43035.0</v>
      </c>
      <c r="D478" s="32" t="s">
        <v>1557</v>
      </c>
      <c r="E478" s="13" t="s">
        <v>31</v>
      </c>
      <c r="F478" s="13">
        <v>1.0</v>
      </c>
      <c r="G478" s="13" t="s">
        <v>32</v>
      </c>
      <c r="H478" s="33">
        <f t="shared" ref="H478:H479" si="61">if(G478="Unknown",1,G478)</f>
        <v>1</v>
      </c>
      <c r="I478" s="13" t="s">
        <v>33</v>
      </c>
      <c r="J478" s="13" t="s">
        <v>147</v>
      </c>
      <c r="K478" s="13">
        <v>3.0</v>
      </c>
      <c r="L478" s="34" t="s">
        <v>349</v>
      </c>
      <c r="M478" s="35" t="s">
        <v>1558</v>
      </c>
      <c r="N478" s="15"/>
      <c r="O478" s="16"/>
      <c r="P478" s="16"/>
      <c r="Q478" s="16"/>
      <c r="R478" s="16"/>
      <c r="S478" s="37" t="str">
        <f>IFERROR(__xludf.DUMMYFUNCTION("if(not(iserror(index(split(C478, "" ""),2))), index(split(C478, "" ""),1),"""")"),"October")</f>
        <v>October</v>
      </c>
      <c r="T478" s="38">
        <f>IFERROR(__xludf.DUMMYFUNCTION("if(S478="""",C478,if(not(iserror(index(split(C478, "" ""),3))), index(split(C478, "" ""),3),index(split(C478, "" ""),2)))"),2017.0)</f>
        <v>2017</v>
      </c>
      <c r="U478" s="38" t="b">
        <f t="shared" si="60"/>
        <v>0</v>
      </c>
      <c r="V478" s="38"/>
      <c r="W478" s="40"/>
      <c r="X478" s="40"/>
      <c r="Y478" s="40"/>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row>
    <row r="479">
      <c r="A479" s="90" t="s">
        <v>239</v>
      </c>
      <c r="B479" s="30">
        <v>43038.0</v>
      </c>
      <c r="C479" s="30">
        <v>43035.0</v>
      </c>
      <c r="D479" s="32" t="s">
        <v>1559</v>
      </c>
      <c r="E479" s="13" t="s">
        <v>41</v>
      </c>
      <c r="F479" s="13">
        <v>5.0</v>
      </c>
      <c r="G479" s="13">
        <v>4.0</v>
      </c>
      <c r="H479" s="33">
        <f t="shared" si="61"/>
        <v>4</v>
      </c>
      <c r="I479" s="13" t="s">
        <v>33</v>
      </c>
      <c r="J479" s="13" t="s">
        <v>241</v>
      </c>
      <c r="K479" s="13">
        <v>1.0</v>
      </c>
      <c r="L479" s="13" t="s">
        <v>194</v>
      </c>
      <c r="M479" s="36" t="s">
        <v>1560</v>
      </c>
      <c r="N479" s="14"/>
      <c r="O479" s="16"/>
      <c r="P479" s="16"/>
      <c r="Q479" s="16"/>
      <c r="R479" s="16"/>
      <c r="S479" s="37" t="str">
        <f>IFERROR(__xludf.DUMMYFUNCTION("if(not(iserror(index(split(C479, "" ""),2))), index(split(C479, "" ""),1),"""")"),"October")</f>
        <v>October</v>
      </c>
      <c r="T479" s="38">
        <f>IFERROR(__xludf.DUMMYFUNCTION("if(S479="""",C479,if(not(iserror(index(split(C479, "" ""),3))), index(split(C479, "" ""),3),index(split(C479, "" ""),2)))"),2017.0)</f>
        <v>2017</v>
      </c>
      <c r="U479" s="38" t="b">
        <f t="shared" si="60"/>
        <v>1</v>
      </c>
      <c r="V479" s="38"/>
      <c r="W479" s="40"/>
      <c r="X479" s="40"/>
      <c r="Y479" s="40"/>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row>
    <row r="480">
      <c r="A480" s="90" t="s">
        <v>1561</v>
      </c>
      <c r="B480" s="30"/>
      <c r="C480" s="30">
        <v>43035.0</v>
      </c>
      <c r="D480" s="32"/>
      <c r="E480" s="13" t="s">
        <v>31</v>
      </c>
      <c r="F480" s="13">
        <v>1.0</v>
      </c>
      <c r="G480" s="13" t="s">
        <v>32</v>
      </c>
      <c r="H480" s="43">
        <v>1.0</v>
      </c>
      <c r="I480" s="13" t="s">
        <v>33</v>
      </c>
      <c r="J480" s="13" t="s">
        <v>402</v>
      </c>
      <c r="K480" s="13"/>
      <c r="L480" s="13" t="s">
        <v>76</v>
      </c>
      <c r="M480" s="36" t="s">
        <v>1562</v>
      </c>
      <c r="N480" s="36" t="s">
        <v>1563</v>
      </c>
      <c r="O480" s="16"/>
      <c r="P480" s="16"/>
      <c r="Q480" s="16"/>
      <c r="R480" s="16"/>
      <c r="S480" s="37" t="str">
        <f>IFERROR(__xludf.DUMMYFUNCTION("if(not(iserror(index(split(C480, "" ""),2))), index(split(C480, "" ""),1),"""")"),"October")</f>
        <v>October</v>
      </c>
      <c r="T480" s="38">
        <f>IFERROR(__xludf.DUMMYFUNCTION("if(S480="""",C480,if(not(iserror(index(split(C480, "" ""),3))), index(split(C480, "" ""),3),index(split(C480, "" ""),2)))"),2017.0)</f>
        <v>2017</v>
      </c>
      <c r="U480" s="38" t="b">
        <f t="shared" si="60"/>
        <v>0</v>
      </c>
      <c r="V480" s="38" t="s">
        <v>33</v>
      </c>
      <c r="W480" s="39" t="s">
        <v>1564</v>
      </c>
      <c r="X480" s="39" t="s">
        <v>1565</v>
      </c>
      <c r="Y480" s="40"/>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row>
    <row r="481">
      <c r="A481" s="58" t="s">
        <v>1566</v>
      </c>
      <c r="B481" s="59">
        <v>43447.0</v>
      </c>
      <c r="C481" s="59">
        <v>43035.0</v>
      </c>
      <c r="D481" s="60" t="s">
        <v>1557</v>
      </c>
      <c r="E481" s="58" t="s">
        <v>41</v>
      </c>
      <c r="F481" s="58">
        <v>1.0</v>
      </c>
      <c r="G481" s="58" t="s">
        <v>32</v>
      </c>
      <c r="H481" s="33">
        <f t="shared" ref="H481:H484" si="62">if(G481="Unknown",1,G481)</f>
        <v>1</v>
      </c>
      <c r="I481" s="58" t="s">
        <v>33</v>
      </c>
      <c r="J481" s="58" t="s">
        <v>47</v>
      </c>
      <c r="K481" s="58">
        <v>3.0</v>
      </c>
      <c r="L481" s="58" t="s">
        <v>119</v>
      </c>
      <c r="M481" s="80" t="s">
        <v>1567</v>
      </c>
      <c r="N481" s="77"/>
      <c r="O481" s="88" t="str">
        <f>hyperlink("https://bad-boys.us/?q=MD-FL/3:18-cr-00232", "MD-FL 3:18-cr-00232")</f>
        <v>MD-FL 3:18-cr-00232</v>
      </c>
      <c r="P481" s="88" t="s">
        <v>1568</v>
      </c>
      <c r="Q481" s="58">
        <v>1.0</v>
      </c>
      <c r="R481" s="62"/>
      <c r="S481" s="37" t="str">
        <f>IFERROR(__xludf.DUMMYFUNCTION("if(not(iserror(index(split(C481, "" ""),2))), index(split(C481, "" ""),1),"""")"),"October")</f>
        <v>October</v>
      </c>
      <c r="T481" s="38">
        <f>IFERROR(__xludf.DUMMYFUNCTION("if(S481="""",C481,if(not(iserror(index(split(C481, "" ""),3))), index(split(C481, "" ""),3),index(split(C481, "" ""),2)))"),2017.0)</f>
        <v>2017</v>
      </c>
      <c r="U481" s="38" t="b">
        <f t="shared" si="60"/>
        <v>0</v>
      </c>
      <c r="V481" s="38" t="s">
        <v>33</v>
      </c>
      <c r="W481" s="40"/>
      <c r="X481" s="40"/>
      <c r="Y481" s="40"/>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row>
    <row r="482">
      <c r="A482" s="87" t="s">
        <v>1569</v>
      </c>
      <c r="B482" s="30">
        <v>43048.0</v>
      </c>
      <c r="C482" s="30">
        <v>43036.0</v>
      </c>
      <c r="D482" s="32" t="s">
        <v>1559</v>
      </c>
      <c r="E482" s="13" t="s">
        <v>41</v>
      </c>
      <c r="F482" s="13">
        <v>1.0</v>
      </c>
      <c r="G482" s="13" t="s">
        <v>32</v>
      </c>
      <c r="H482" s="33">
        <f t="shared" si="62"/>
        <v>1</v>
      </c>
      <c r="I482" s="13" t="s">
        <v>33</v>
      </c>
      <c r="J482" s="13" t="s">
        <v>909</v>
      </c>
      <c r="K482" s="13" t="s">
        <v>32</v>
      </c>
      <c r="L482" s="13" t="s">
        <v>119</v>
      </c>
      <c r="M482" s="56" t="s">
        <v>1570</v>
      </c>
      <c r="N482" s="15"/>
      <c r="O482" s="57" t="str">
        <f>hyperlink("https://bad-boys.us/?q=D-RI/1:17-cr-00118", "D-RI 1:17-cr-00118")</f>
        <v>D-RI 1:17-cr-00118</v>
      </c>
      <c r="P482" s="86" t="s">
        <v>1571</v>
      </c>
      <c r="Q482" s="37">
        <v>1.0</v>
      </c>
      <c r="R482" s="16"/>
      <c r="S482" s="37" t="str">
        <f>IFERROR(__xludf.DUMMYFUNCTION("if(not(iserror(index(split(C482, "" ""),2))), index(split(C482, "" ""),1),"""")"),"October")</f>
        <v>October</v>
      </c>
      <c r="T482" s="38">
        <f>IFERROR(__xludf.DUMMYFUNCTION("if(S482="""",C482,if(not(iserror(index(split(C482, "" ""),3))), index(split(C482, "" ""),3),index(split(C482, "" ""),2)))"),2017.0)</f>
        <v>2017</v>
      </c>
      <c r="U482" s="38" t="b">
        <f t="shared" si="60"/>
        <v>0</v>
      </c>
      <c r="V482" s="38"/>
      <c r="W482" s="40"/>
      <c r="X482" s="40"/>
      <c r="Y482" s="40"/>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row>
    <row r="483">
      <c r="A483" s="90" t="s">
        <v>1572</v>
      </c>
      <c r="B483" s="30">
        <v>43038.0</v>
      </c>
      <c r="C483" s="30">
        <v>43038.0</v>
      </c>
      <c r="D483" s="32" t="s">
        <v>1573</v>
      </c>
      <c r="E483" s="13" t="s">
        <v>31</v>
      </c>
      <c r="F483" s="13">
        <v>1.0</v>
      </c>
      <c r="G483" s="13">
        <v>1.0</v>
      </c>
      <c r="H483" s="33">
        <f t="shared" si="62"/>
        <v>1</v>
      </c>
      <c r="I483" s="13" t="s">
        <v>33</v>
      </c>
      <c r="J483" s="13" t="s">
        <v>222</v>
      </c>
      <c r="K483" s="13">
        <v>5.0</v>
      </c>
      <c r="L483" s="13" t="s">
        <v>1574</v>
      </c>
      <c r="M483" s="36" t="s">
        <v>1575</v>
      </c>
      <c r="N483" s="36" t="s">
        <v>1576</v>
      </c>
      <c r="O483" s="16"/>
      <c r="P483" s="16"/>
      <c r="Q483" s="16"/>
      <c r="R483" s="16"/>
      <c r="S483" s="37" t="str">
        <f>IFERROR(__xludf.DUMMYFUNCTION("if(not(iserror(index(split(C483, "" ""),2))), index(split(C483, "" ""),1),"""")"),"October")</f>
        <v>October</v>
      </c>
      <c r="T483" s="38">
        <f>IFERROR(__xludf.DUMMYFUNCTION("if(S483="""",C483,if(not(iserror(index(split(C483, "" ""),3))), index(split(C483, "" ""),3),index(split(C483, "" ""),2)))"),2017.0)</f>
        <v>2017</v>
      </c>
      <c r="U483" s="38" t="b">
        <f t="shared" si="60"/>
        <v>0</v>
      </c>
      <c r="V483" s="38"/>
      <c r="W483" s="40"/>
      <c r="X483" s="40"/>
      <c r="Y483" s="40"/>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row>
    <row r="484">
      <c r="A484" s="78" t="s">
        <v>1577</v>
      </c>
      <c r="B484" s="30">
        <v>43041.0</v>
      </c>
      <c r="C484" s="30">
        <v>43039.0</v>
      </c>
      <c r="D484" s="32" t="s">
        <v>1578</v>
      </c>
      <c r="E484" s="13" t="s">
        <v>31</v>
      </c>
      <c r="F484" s="13">
        <v>1.0</v>
      </c>
      <c r="G484" s="13" t="s">
        <v>32</v>
      </c>
      <c r="H484" s="33">
        <f t="shared" si="62"/>
        <v>1</v>
      </c>
      <c r="I484" s="13" t="s">
        <v>33</v>
      </c>
      <c r="J484" s="13" t="s">
        <v>47</v>
      </c>
      <c r="K484" s="13" t="s">
        <v>32</v>
      </c>
      <c r="L484" s="13" t="s">
        <v>1579</v>
      </c>
      <c r="M484" s="106" t="s">
        <v>1580</v>
      </c>
      <c r="N484" s="46" t="s">
        <v>1581</v>
      </c>
      <c r="O484" s="57" t="str">
        <f>hyperlink("https://bad-boys.us/?q=MD-FL/8:17-cr-00573", "MD-FL 8:17-cr-00573")</f>
        <v>MD-FL 8:17-cr-00573</v>
      </c>
      <c r="P484" s="86" t="s">
        <v>1582</v>
      </c>
      <c r="Q484" s="37">
        <v>1.0</v>
      </c>
      <c r="R484" s="16"/>
      <c r="S484" s="37" t="str">
        <f>IFERROR(__xludf.DUMMYFUNCTION("if(not(iserror(index(split(C484, "" ""),2))), index(split(C484, "" ""),1),"""")"),"October")</f>
        <v>October</v>
      </c>
      <c r="T484" s="38">
        <f>IFERROR(__xludf.DUMMYFUNCTION("if(S484="""",C484,if(not(iserror(index(split(C484, "" ""),3))), index(split(C484, "" ""),3),index(split(C484, "" ""),2)))"),2017.0)</f>
        <v>2017</v>
      </c>
      <c r="U484" s="38" t="b">
        <f t="shared" si="60"/>
        <v>0</v>
      </c>
      <c r="V484" s="38" t="s">
        <v>33</v>
      </c>
      <c r="W484" s="40"/>
      <c r="X484" s="40"/>
      <c r="Y484" s="40"/>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row>
    <row r="485">
      <c r="A485" s="58" t="s">
        <v>1583</v>
      </c>
      <c r="B485" s="59">
        <v>43314.0</v>
      </c>
      <c r="C485" s="59">
        <v>43039.0</v>
      </c>
      <c r="D485" s="60" t="s">
        <v>139</v>
      </c>
      <c r="E485" s="58" t="s">
        <v>41</v>
      </c>
      <c r="F485" s="58">
        <v>1.0</v>
      </c>
      <c r="G485" s="58" t="s">
        <v>32</v>
      </c>
      <c r="H485" s="50">
        <v>1.0</v>
      </c>
      <c r="I485" s="58" t="s">
        <v>33</v>
      </c>
      <c r="J485" s="58" t="s">
        <v>93</v>
      </c>
      <c r="K485" s="58">
        <v>1.0</v>
      </c>
      <c r="L485" s="58" t="s">
        <v>99</v>
      </c>
      <c r="M485" s="61" t="s">
        <v>1584</v>
      </c>
      <c r="N485" s="77"/>
      <c r="O485" s="83" t="str">
        <f>hyperlink("https://bad-boys.us/?q=WD-NY/6:18-cr-06082", "WD-NY 6:18-cr-06082")</f>
        <v>WD-NY 6:18-cr-06082</v>
      </c>
      <c r="P485" s="62"/>
      <c r="Q485" s="58">
        <v>1.0</v>
      </c>
      <c r="R485" s="62"/>
      <c r="S485" s="37" t="str">
        <f>IFERROR(__xludf.DUMMYFUNCTION("if(not(iserror(index(split(C485, "" ""),2))), index(split(C485, "" ""),1),"""")"),"October")</f>
        <v>October</v>
      </c>
      <c r="T485" s="38">
        <f>IFERROR(__xludf.DUMMYFUNCTION("if(S485="""",C485,if(not(iserror(index(split(C485, "" ""),3))), index(split(C485, "" ""),3),index(split(C485, "" ""),2)))"),2017.0)</f>
        <v>2017</v>
      </c>
      <c r="U485" s="38" t="b">
        <f t="shared" si="60"/>
        <v>0</v>
      </c>
      <c r="V485" s="38"/>
      <c r="W485" s="40"/>
      <c r="X485" s="40"/>
      <c r="Y485" s="40"/>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row>
    <row r="486">
      <c r="A486" s="13" t="s">
        <v>1585</v>
      </c>
      <c r="B486" s="30"/>
      <c r="C486" s="31">
        <v>43040.0</v>
      </c>
      <c r="D486" s="32"/>
      <c r="E486" s="13" t="s">
        <v>41</v>
      </c>
      <c r="F486" s="13">
        <v>1.0</v>
      </c>
      <c r="G486" s="13" t="s">
        <v>32</v>
      </c>
      <c r="H486" s="43">
        <v>1.0</v>
      </c>
      <c r="I486" s="13" t="s">
        <v>33</v>
      </c>
      <c r="J486" s="13" t="s">
        <v>283</v>
      </c>
      <c r="K486" s="13"/>
      <c r="L486" s="13" t="s">
        <v>69</v>
      </c>
      <c r="M486" s="36" t="s">
        <v>1586</v>
      </c>
      <c r="N486" s="15"/>
      <c r="O486" s="16"/>
      <c r="P486" s="16"/>
      <c r="Q486" s="37">
        <v>1.0</v>
      </c>
      <c r="R486" s="16"/>
      <c r="S486" s="37"/>
      <c r="T486" s="38"/>
      <c r="U486" s="38"/>
      <c r="V486" s="38" t="s">
        <v>33</v>
      </c>
      <c r="W486" s="40"/>
      <c r="X486" s="40"/>
      <c r="Y486" s="40"/>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row>
    <row r="487">
      <c r="A487" s="13" t="s">
        <v>1587</v>
      </c>
      <c r="B487" s="30">
        <v>43040.0</v>
      </c>
      <c r="C487" s="30">
        <v>43040.0</v>
      </c>
      <c r="D487" s="32" t="s">
        <v>1588</v>
      </c>
      <c r="E487" s="13" t="s">
        <v>41</v>
      </c>
      <c r="F487" s="13">
        <v>1.0</v>
      </c>
      <c r="G487" s="13" t="s">
        <v>32</v>
      </c>
      <c r="H487" s="33">
        <f t="shared" ref="H487:H488" si="63">if(G487="Unknown",1,G487)</f>
        <v>1</v>
      </c>
      <c r="I487" s="13" t="s">
        <v>33</v>
      </c>
      <c r="J487" s="13" t="s">
        <v>93</v>
      </c>
      <c r="K487" s="13">
        <v>2.0</v>
      </c>
      <c r="L487" s="13" t="s">
        <v>99</v>
      </c>
      <c r="M487" s="36" t="s">
        <v>1589</v>
      </c>
      <c r="N487" s="15"/>
      <c r="O487" s="16"/>
      <c r="P487" s="16"/>
      <c r="Q487" s="16"/>
      <c r="R487" s="16"/>
      <c r="S487" s="37" t="str">
        <f>IFERROR(__xludf.DUMMYFUNCTION("if(not(iserror(index(split(C487, "" ""),2))), index(split(C487, "" ""),1),"""")"),"November")</f>
        <v>November</v>
      </c>
      <c r="T487" s="38">
        <f>IFERROR(__xludf.DUMMYFUNCTION("if(S487="""",C487,if(not(iserror(index(split(C487, "" ""),3))), index(split(C487, "" ""),3),index(split(C487, "" ""),2)))"),2017.0)</f>
        <v>2017</v>
      </c>
      <c r="U487" s="38" t="b">
        <f t="shared" ref="U487:U492" si="64">countif(A$4:A4658, A487)&gt;1</f>
        <v>0</v>
      </c>
      <c r="V487" s="38"/>
      <c r="W487" s="40"/>
      <c r="X487" s="40"/>
      <c r="Y487" s="40"/>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row>
    <row r="488">
      <c r="A488" s="78" t="s">
        <v>239</v>
      </c>
      <c r="B488" s="30">
        <v>43041.0</v>
      </c>
      <c r="C488" s="30">
        <v>43040.0</v>
      </c>
      <c r="D488" s="32" t="s">
        <v>1590</v>
      </c>
      <c r="E488" s="13" t="s">
        <v>41</v>
      </c>
      <c r="F488" s="13">
        <v>1.0</v>
      </c>
      <c r="G488" s="13">
        <v>3.0</v>
      </c>
      <c r="H488" s="33">
        <f t="shared" si="63"/>
        <v>3</v>
      </c>
      <c r="I488" s="13" t="s">
        <v>33</v>
      </c>
      <c r="J488" s="13" t="s">
        <v>241</v>
      </c>
      <c r="K488" s="13">
        <v>1.0</v>
      </c>
      <c r="L488" s="13" t="s">
        <v>194</v>
      </c>
      <c r="M488" s="46" t="s">
        <v>1591</v>
      </c>
      <c r="N488" s="15"/>
      <c r="O488" s="16"/>
      <c r="P488" s="16"/>
      <c r="Q488" s="16"/>
      <c r="R488" s="16"/>
      <c r="S488" s="37" t="str">
        <f>IFERROR(__xludf.DUMMYFUNCTION("if(not(iserror(index(split(C488, "" ""),2))), index(split(C488, "" ""),1),"""")"),"November")</f>
        <v>November</v>
      </c>
      <c r="T488" s="38">
        <f>IFERROR(__xludf.DUMMYFUNCTION("if(S488="""",C488,if(not(iserror(index(split(C488, "" ""),3))), index(split(C488, "" ""),3),index(split(C488, "" ""),2)))"),2017.0)</f>
        <v>2017</v>
      </c>
      <c r="U488" s="38" t="b">
        <f t="shared" si="64"/>
        <v>1</v>
      </c>
      <c r="V488" s="38"/>
      <c r="W488" s="40"/>
      <c r="X488" s="40"/>
      <c r="Y488" s="40"/>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row>
    <row r="489">
      <c r="A489" s="78" t="s">
        <v>1592</v>
      </c>
      <c r="B489" s="30">
        <v>43412.0</v>
      </c>
      <c r="C489" s="31">
        <v>43040.0</v>
      </c>
      <c r="D489" s="32" t="s">
        <v>139</v>
      </c>
      <c r="E489" s="13" t="s">
        <v>41</v>
      </c>
      <c r="F489" s="13">
        <v>1.0</v>
      </c>
      <c r="G489" s="13" t="s">
        <v>32</v>
      </c>
      <c r="H489" s="43">
        <v>1.0</v>
      </c>
      <c r="I489" s="13" t="s">
        <v>33</v>
      </c>
      <c r="J489" s="13" t="s">
        <v>115</v>
      </c>
      <c r="K489" s="13">
        <v>1.0</v>
      </c>
      <c r="L489" s="13" t="s">
        <v>119</v>
      </c>
      <c r="M489" s="35" t="s">
        <v>1593</v>
      </c>
      <c r="N489" s="15"/>
      <c r="O489" s="57" t="str">
        <f>hyperlink("https://bad-boys.us/?q=WD-PA/3:17-cr-00030", "WD-PA 3:17-cr-00030")</f>
        <v>WD-PA 3:17-cr-00030</v>
      </c>
      <c r="P489" s="86" t="s">
        <v>1594</v>
      </c>
      <c r="Q489" s="37">
        <v>1.0</v>
      </c>
      <c r="R489" s="16"/>
      <c r="S489" s="37" t="str">
        <f>IFERROR(__xludf.DUMMYFUNCTION("if(not(iserror(index(split(C489, "" ""),2))), index(split(C489, "" ""),1),"""")"),"November,")</f>
        <v>November,</v>
      </c>
      <c r="T489" s="38">
        <f>IFERROR(__xludf.DUMMYFUNCTION("if(S489="""",C489,if(not(iserror(index(split(C489, "" ""),3))), index(split(C489, "" ""),3),index(split(C489, "" ""),2)))"),2017.0)</f>
        <v>2017</v>
      </c>
      <c r="U489" s="38" t="b">
        <f t="shared" si="64"/>
        <v>0</v>
      </c>
      <c r="V489" s="38"/>
      <c r="W489" s="40"/>
      <c r="X489" s="40"/>
      <c r="Y489" s="40"/>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row>
    <row r="490">
      <c r="A490" s="13" t="s">
        <v>1595</v>
      </c>
      <c r="B490" s="30">
        <v>43053.0</v>
      </c>
      <c r="C490" s="30">
        <v>43040.0</v>
      </c>
      <c r="D490" s="32" t="s">
        <v>139</v>
      </c>
      <c r="E490" s="13" t="s">
        <v>41</v>
      </c>
      <c r="F490" s="13">
        <v>1.0</v>
      </c>
      <c r="G490" s="13" t="s">
        <v>32</v>
      </c>
      <c r="H490" s="43">
        <v>1.0</v>
      </c>
      <c r="I490" s="13" t="s">
        <v>33</v>
      </c>
      <c r="J490" s="13" t="s">
        <v>115</v>
      </c>
      <c r="K490" s="13">
        <v>1.0</v>
      </c>
      <c r="L490" s="13" t="s">
        <v>69</v>
      </c>
      <c r="M490" s="35" t="s">
        <v>1596</v>
      </c>
      <c r="N490" s="15"/>
      <c r="O490" s="37"/>
      <c r="P490" s="37"/>
      <c r="Q490" s="37"/>
      <c r="R490" s="16"/>
      <c r="S490" s="37" t="str">
        <f>IFERROR(__xludf.DUMMYFUNCTION("if(not(iserror(index(split(C490, "" ""),2))), index(split(C490, "" ""),1),"""")"),"November")</f>
        <v>November</v>
      </c>
      <c r="T490" s="38">
        <f>IFERROR(__xludf.DUMMYFUNCTION("if(S490="""",C490,if(not(iserror(index(split(C490, "" ""),3))), index(split(C490, "" ""),3),index(split(C490, "" ""),2)))"),2017.0)</f>
        <v>2017</v>
      </c>
      <c r="U490" s="38" t="b">
        <f t="shared" si="64"/>
        <v>0</v>
      </c>
      <c r="V490" s="38"/>
      <c r="W490" s="40"/>
      <c r="X490" s="40"/>
      <c r="Y490" s="40"/>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row>
    <row r="491">
      <c r="A491" s="13" t="s">
        <v>1597</v>
      </c>
      <c r="B491" s="30">
        <v>43056.0</v>
      </c>
      <c r="C491" s="31">
        <v>43040.0</v>
      </c>
      <c r="D491" s="32" t="s">
        <v>139</v>
      </c>
      <c r="E491" s="13" t="s">
        <v>31</v>
      </c>
      <c r="F491" s="13">
        <v>1.0</v>
      </c>
      <c r="G491" s="13" t="s">
        <v>32</v>
      </c>
      <c r="H491" s="33">
        <f t="shared" ref="H491:H492" si="65">if(G491="Unknown",1,G491)</f>
        <v>1</v>
      </c>
      <c r="I491" s="13" t="s">
        <v>33</v>
      </c>
      <c r="J491" s="13" t="s">
        <v>179</v>
      </c>
      <c r="K491" s="13" t="s">
        <v>32</v>
      </c>
      <c r="L491" s="13" t="s">
        <v>1598</v>
      </c>
      <c r="M491" s="45" t="s">
        <v>1599</v>
      </c>
      <c r="N491" s="36" t="s">
        <v>1600</v>
      </c>
      <c r="O491" s="86" t="str">
        <f>hyperlink("https://bad-boys.us/?q=ED-VA/4:17-cr-00129", "ED-VA 4:17-cr-00129")</f>
        <v>ED-VA 4:17-cr-00129</v>
      </c>
      <c r="P491" s="16"/>
      <c r="Q491" s="64">
        <v>1.0</v>
      </c>
      <c r="R491" s="16"/>
      <c r="S491" s="37" t="str">
        <f>IFERROR(__xludf.DUMMYFUNCTION("if(not(iserror(index(split(C491, "" ""),2))), index(split(C491, "" ""),1),"""")"),"November,")</f>
        <v>November,</v>
      </c>
      <c r="T491" s="38">
        <f>IFERROR(__xludf.DUMMYFUNCTION("if(S491="""",C491,if(not(iserror(index(split(C491, "" ""),3))), index(split(C491, "" ""),3),index(split(C491, "" ""),2)))"),2017.0)</f>
        <v>2017</v>
      </c>
      <c r="U491" s="38" t="b">
        <f t="shared" si="64"/>
        <v>0</v>
      </c>
      <c r="V491" s="38"/>
      <c r="W491" s="40"/>
      <c r="X491" s="40"/>
      <c r="Y491" s="40"/>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row>
    <row r="492">
      <c r="A492" s="37" t="s">
        <v>1601</v>
      </c>
      <c r="B492" s="30">
        <v>43059.0</v>
      </c>
      <c r="C492" s="30">
        <v>43040.0</v>
      </c>
      <c r="D492" s="32" t="s">
        <v>139</v>
      </c>
      <c r="E492" s="13" t="s">
        <v>41</v>
      </c>
      <c r="F492" s="13">
        <v>1.0</v>
      </c>
      <c r="G492" s="13" t="s">
        <v>32</v>
      </c>
      <c r="H492" s="33">
        <f t="shared" si="65"/>
        <v>1</v>
      </c>
      <c r="I492" s="13" t="s">
        <v>33</v>
      </c>
      <c r="J492" s="13" t="s">
        <v>279</v>
      </c>
      <c r="K492" s="13">
        <v>2.0</v>
      </c>
      <c r="L492" s="13" t="s">
        <v>119</v>
      </c>
      <c r="M492" s="45" t="s">
        <v>1602</v>
      </c>
      <c r="N492" s="15"/>
      <c r="O492" s="37"/>
      <c r="P492" s="37"/>
      <c r="Q492" s="64"/>
      <c r="R492" s="16"/>
      <c r="S492" s="37" t="str">
        <f>IFERROR(__xludf.DUMMYFUNCTION("if(not(iserror(index(split(C492, "" ""),2))), index(split(C492, "" ""),1),"""")"),"November")</f>
        <v>November</v>
      </c>
      <c r="T492" s="38">
        <f>IFERROR(__xludf.DUMMYFUNCTION("if(S492="""",C492,if(not(iserror(index(split(C492, "" ""),3))), index(split(C492, "" ""),3),index(split(C492, "" ""),2)))"),2017.0)</f>
        <v>2017</v>
      </c>
      <c r="U492" s="38" t="b">
        <f t="shared" si="64"/>
        <v>0</v>
      </c>
      <c r="V492" s="38"/>
      <c r="W492" s="40"/>
      <c r="X492" s="40"/>
      <c r="Y492" s="40"/>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row>
    <row r="493">
      <c r="A493" s="37" t="s">
        <v>1603</v>
      </c>
      <c r="B493" s="30"/>
      <c r="C493" s="31">
        <v>43040.0</v>
      </c>
      <c r="D493" s="32"/>
      <c r="E493" s="13" t="s">
        <v>41</v>
      </c>
      <c r="F493" s="13">
        <v>1.0</v>
      </c>
      <c r="G493" s="13" t="s">
        <v>32</v>
      </c>
      <c r="H493" s="43">
        <v>1.0</v>
      </c>
      <c r="I493" s="13" t="s">
        <v>33</v>
      </c>
      <c r="J493" s="13" t="s">
        <v>93</v>
      </c>
      <c r="K493" s="13"/>
      <c r="L493" s="13" t="s">
        <v>69</v>
      </c>
      <c r="M493" s="45" t="s">
        <v>1604</v>
      </c>
      <c r="N493" s="15"/>
      <c r="O493" s="37"/>
      <c r="P493" s="37"/>
      <c r="Q493" s="64"/>
      <c r="R493" s="16"/>
      <c r="S493" s="37"/>
      <c r="T493" s="38"/>
      <c r="U493" s="38"/>
      <c r="V493" s="38" t="s">
        <v>33</v>
      </c>
      <c r="W493" s="40"/>
      <c r="X493" s="40"/>
      <c r="Y493" s="40"/>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row>
    <row r="494">
      <c r="A494" s="37" t="s">
        <v>1605</v>
      </c>
      <c r="B494" s="30">
        <v>43060.0</v>
      </c>
      <c r="C494" s="31">
        <v>43040.0</v>
      </c>
      <c r="D494" s="32" t="s">
        <v>139</v>
      </c>
      <c r="E494" s="13" t="s">
        <v>41</v>
      </c>
      <c r="F494" s="13">
        <v>1.0</v>
      </c>
      <c r="G494" s="13" t="s">
        <v>32</v>
      </c>
      <c r="H494" s="33">
        <f t="shared" ref="H494:H499" si="66">if(G494="Unknown",1,G494)</f>
        <v>1</v>
      </c>
      <c r="I494" s="13" t="s">
        <v>33</v>
      </c>
      <c r="J494" s="13" t="s">
        <v>115</v>
      </c>
      <c r="K494" s="13">
        <v>2.0</v>
      </c>
      <c r="L494" s="13" t="s">
        <v>76</v>
      </c>
      <c r="M494" s="45" t="s">
        <v>1606</v>
      </c>
      <c r="N494" s="15"/>
      <c r="O494" s="86" t="str">
        <f>hyperlink("https://bad-boys.us/?q=MD-PA/3:17-cr-00358", "MD-PA 3:17-cr-00358")</f>
        <v>MD-PA 3:17-cr-00358</v>
      </c>
      <c r="P494" s="37"/>
      <c r="Q494" s="37">
        <v>1.0</v>
      </c>
      <c r="R494" s="16"/>
      <c r="S494" s="37" t="str">
        <f>IFERROR(__xludf.DUMMYFUNCTION("if(not(iserror(index(split(C494, "" ""),2))), index(split(C494, "" ""),1),"""")"),"November,")</f>
        <v>November,</v>
      </c>
      <c r="T494" s="38">
        <f>IFERROR(__xludf.DUMMYFUNCTION("if(S494="""",C494,if(not(iserror(index(split(C494, "" ""),3))), index(split(C494, "" ""),3),index(split(C494, "" ""),2)))"),2017.0)</f>
        <v>2017</v>
      </c>
      <c r="U494" s="38" t="b">
        <f t="shared" ref="U494:U510" si="67">countif(A$4:A4658, A494)&gt;1</f>
        <v>0</v>
      </c>
      <c r="V494" s="38"/>
      <c r="W494" s="40"/>
      <c r="X494" s="40"/>
      <c r="Y494" s="40"/>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row>
    <row r="495">
      <c r="A495" s="13" t="s">
        <v>1607</v>
      </c>
      <c r="B495" s="30">
        <v>43136.0</v>
      </c>
      <c r="C495" s="31">
        <v>43040.0</v>
      </c>
      <c r="D495" s="32" t="s">
        <v>139</v>
      </c>
      <c r="E495" s="13" t="s">
        <v>41</v>
      </c>
      <c r="F495" s="13">
        <v>1.0</v>
      </c>
      <c r="G495" s="13" t="s">
        <v>32</v>
      </c>
      <c r="H495" s="33">
        <f t="shared" si="66"/>
        <v>1</v>
      </c>
      <c r="I495" s="13" t="s">
        <v>33</v>
      </c>
      <c r="J495" s="13" t="s">
        <v>42</v>
      </c>
      <c r="K495" s="13">
        <v>3.0</v>
      </c>
      <c r="L495" s="13" t="s">
        <v>1608</v>
      </c>
      <c r="M495" s="35" t="s">
        <v>1609</v>
      </c>
      <c r="N495" s="15"/>
      <c r="O495" s="86" t="str">
        <f>hyperlink("https://bad-boys.us/?q=WD-MI/1:17-cr-00244", "WD-MI 1:17-cr-00244")</f>
        <v>WD-MI 1:17-cr-00244</v>
      </c>
      <c r="P495" s="86" t="s">
        <v>1610</v>
      </c>
      <c r="Q495" s="64">
        <v>1.0</v>
      </c>
      <c r="R495" s="16"/>
      <c r="S495" s="37" t="str">
        <f>IFERROR(__xludf.DUMMYFUNCTION("if(not(iserror(index(split(C495, "" ""),2))), index(split(C495, "" ""),1),"""")"),"November,")</f>
        <v>November,</v>
      </c>
      <c r="T495" s="38">
        <f>IFERROR(__xludf.DUMMYFUNCTION("if(S495="""",C495,if(not(iserror(index(split(C495, "" ""),3))), index(split(C495, "" ""),3),index(split(C495, "" ""),2)))"),2017.0)</f>
        <v>2017</v>
      </c>
      <c r="U495" s="38" t="b">
        <f t="shared" si="67"/>
        <v>0</v>
      </c>
      <c r="V495" s="38"/>
      <c r="W495" s="40"/>
      <c r="X495" s="40"/>
      <c r="Y495" s="40"/>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row>
    <row r="496">
      <c r="A496" s="13" t="s">
        <v>1611</v>
      </c>
      <c r="B496" s="30">
        <v>43172.0</v>
      </c>
      <c r="C496" s="31">
        <v>43040.0</v>
      </c>
      <c r="D496" s="32" t="s">
        <v>139</v>
      </c>
      <c r="E496" s="13" t="s">
        <v>41</v>
      </c>
      <c r="F496" s="13">
        <v>1.0</v>
      </c>
      <c r="G496" s="13" t="s">
        <v>32</v>
      </c>
      <c r="H496" s="33">
        <f t="shared" si="66"/>
        <v>1</v>
      </c>
      <c r="I496" s="13" t="s">
        <v>33</v>
      </c>
      <c r="J496" s="13" t="s">
        <v>93</v>
      </c>
      <c r="K496" s="13">
        <v>2.0</v>
      </c>
      <c r="L496" s="13" t="s">
        <v>306</v>
      </c>
      <c r="M496" s="35" t="s">
        <v>1612</v>
      </c>
      <c r="N496" s="15"/>
      <c r="O496" s="86" t="str">
        <f>hyperlink("https://bad-boys.us/?q=ND-NY/1:17-cr-00320", "ND-NY 1:17-cr-00320")</f>
        <v>ND-NY 1:17-cr-00320</v>
      </c>
      <c r="P496" s="16"/>
      <c r="Q496" s="64">
        <v>1.0</v>
      </c>
      <c r="R496" s="16"/>
      <c r="S496" s="37" t="str">
        <f>IFERROR(__xludf.DUMMYFUNCTION("if(not(iserror(index(split(C496, "" ""),2))), index(split(C496, "" ""),1),"""")"),"November,")</f>
        <v>November,</v>
      </c>
      <c r="T496" s="38">
        <f>IFERROR(__xludf.DUMMYFUNCTION("if(S496="""",C496,if(not(iserror(index(split(C496, "" ""),3))), index(split(C496, "" ""),3),index(split(C496, "" ""),2)))"),2017.0)</f>
        <v>2017</v>
      </c>
      <c r="U496" s="38" t="b">
        <f t="shared" si="67"/>
        <v>0</v>
      </c>
      <c r="V496" s="38"/>
      <c r="W496" s="40"/>
      <c r="X496" s="40"/>
      <c r="Y496" s="40"/>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row>
    <row r="497">
      <c r="A497" s="37" t="s">
        <v>1613</v>
      </c>
      <c r="B497" s="30">
        <v>43221.0</v>
      </c>
      <c r="C497" s="31">
        <v>43040.0</v>
      </c>
      <c r="D497" s="32" t="s">
        <v>139</v>
      </c>
      <c r="E497" s="13" t="s">
        <v>41</v>
      </c>
      <c r="F497" s="13">
        <v>2.0</v>
      </c>
      <c r="G497" s="13" t="s">
        <v>32</v>
      </c>
      <c r="H497" s="33">
        <f t="shared" si="66"/>
        <v>1</v>
      </c>
      <c r="I497" s="13" t="s">
        <v>33</v>
      </c>
      <c r="J497" s="13" t="s">
        <v>147</v>
      </c>
      <c r="K497" s="13" t="s">
        <v>32</v>
      </c>
      <c r="L497" s="13" t="s">
        <v>372</v>
      </c>
      <c r="M497" s="35" t="s">
        <v>1614</v>
      </c>
      <c r="N497" s="15"/>
      <c r="O497" s="16"/>
      <c r="P497" s="16"/>
      <c r="Q497" s="16"/>
      <c r="R497" s="16"/>
      <c r="S497" s="37" t="str">
        <f>IFERROR(__xludf.DUMMYFUNCTION("if(not(iserror(index(split(C497, "" ""),2))), index(split(C497, "" ""),1),"""")"),"November,")</f>
        <v>November,</v>
      </c>
      <c r="T497" s="38">
        <f>IFERROR(__xludf.DUMMYFUNCTION("if(S497="""",C497,if(not(iserror(index(split(C497, "" ""),3))), index(split(C497, "" ""),3),index(split(C497, "" ""),2)))"),2017.0)</f>
        <v>2017</v>
      </c>
      <c r="U497" s="38" t="b">
        <f t="shared" si="67"/>
        <v>0</v>
      </c>
      <c r="V497" s="38"/>
      <c r="W497" s="40"/>
      <c r="X497" s="40"/>
      <c r="Y497" s="40"/>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row>
    <row r="498">
      <c r="A498" s="37" t="s">
        <v>1615</v>
      </c>
      <c r="B498" s="30">
        <v>43222.0</v>
      </c>
      <c r="C498" s="31">
        <v>43040.0</v>
      </c>
      <c r="D498" s="32" t="s">
        <v>139</v>
      </c>
      <c r="E498" s="13" t="s">
        <v>31</v>
      </c>
      <c r="F498" s="13">
        <v>1.0</v>
      </c>
      <c r="G498" s="13" t="s">
        <v>32</v>
      </c>
      <c r="H498" s="33">
        <f t="shared" si="66"/>
        <v>1</v>
      </c>
      <c r="I498" s="13" t="s">
        <v>33</v>
      </c>
      <c r="J498" s="13" t="s">
        <v>222</v>
      </c>
      <c r="K498" s="13">
        <v>1.0</v>
      </c>
      <c r="L498" s="13" t="s">
        <v>1616</v>
      </c>
      <c r="M498" s="35" t="s">
        <v>1617</v>
      </c>
      <c r="N498" s="15"/>
      <c r="O498" s="37"/>
      <c r="P498" s="37"/>
      <c r="Q498" s="64"/>
      <c r="R498" s="16"/>
      <c r="S498" s="37" t="str">
        <f>IFERROR(__xludf.DUMMYFUNCTION("if(not(iserror(index(split(C498, "" ""),2))), index(split(C498, "" ""),1),"""")"),"November,")</f>
        <v>November,</v>
      </c>
      <c r="T498" s="38">
        <f>IFERROR(__xludf.DUMMYFUNCTION("if(S498="""",C498,if(not(iserror(index(split(C498, "" ""),3))), index(split(C498, "" ""),3),index(split(C498, "" ""),2)))"),2017.0)</f>
        <v>2017</v>
      </c>
      <c r="U498" s="38" t="b">
        <f t="shared" si="67"/>
        <v>0</v>
      </c>
      <c r="V498" s="38"/>
      <c r="W498" s="40"/>
      <c r="X498" s="40"/>
      <c r="Y498" s="40"/>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row>
    <row r="499">
      <c r="A499" s="78" t="s">
        <v>1618</v>
      </c>
      <c r="B499" s="59">
        <v>43266.0</v>
      </c>
      <c r="C499" s="79">
        <v>43040.0</v>
      </c>
      <c r="D499" s="60" t="s">
        <v>139</v>
      </c>
      <c r="E499" s="58" t="s">
        <v>41</v>
      </c>
      <c r="F499" s="58">
        <v>1.0</v>
      </c>
      <c r="G499" s="58" t="s">
        <v>32</v>
      </c>
      <c r="H499" s="33">
        <f t="shared" si="66"/>
        <v>1</v>
      </c>
      <c r="I499" s="58" t="s">
        <v>33</v>
      </c>
      <c r="J499" s="58" t="s">
        <v>1184</v>
      </c>
      <c r="K499" s="58" t="s">
        <v>32</v>
      </c>
      <c r="L499" s="58" t="s">
        <v>223</v>
      </c>
      <c r="M499" s="61" t="s">
        <v>1619</v>
      </c>
      <c r="N499" s="77"/>
      <c r="O499" s="83" t="str">
        <f>hyperlink("https://bad-boys.us/?q=D-ID/1:18-cr-00076", "D-ID 1:18-cr-00076")</f>
        <v>D-ID 1:18-cr-00076</v>
      </c>
      <c r="P499" s="88" t="s">
        <v>1620</v>
      </c>
      <c r="Q499" s="84">
        <v>1.0</v>
      </c>
      <c r="R499" s="62"/>
      <c r="S499" s="37" t="str">
        <f>IFERROR(__xludf.DUMMYFUNCTION("if(not(iserror(index(split(C499, "" ""),2))), index(split(C499, "" ""),1),"""")"),"November,")</f>
        <v>November,</v>
      </c>
      <c r="T499" s="38">
        <f>IFERROR(__xludf.DUMMYFUNCTION("if(S499="""",C499,if(not(iserror(index(split(C499, "" ""),3))), index(split(C499, "" ""),3),index(split(C499, "" ""),2)))"),2017.0)</f>
        <v>2017</v>
      </c>
      <c r="U499" s="38" t="b">
        <f t="shared" si="67"/>
        <v>0</v>
      </c>
      <c r="V499" s="38"/>
      <c r="W499" s="40"/>
      <c r="X499" s="40"/>
      <c r="Y499" s="40"/>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row>
    <row r="500">
      <c r="A500" s="58" t="s">
        <v>1621</v>
      </c>
      <c r="B500" s="59">
        <v>43304.0</v>
      </c>
      <c r="C500" s="79">
        <v>43040.0</v>
      </c>
      <c r="D500" s="60" t="s">
        <v>139</v>
      </c>
      <c r="E500" s="58" t="s">
        <v>41</v>
      </c>
      <c r="F500" s="58">
        <v>1.0</v>
      </c>
      <c r="G500" s="58" t="s">
        <v>32</v>
      </c>
      <c r="H500" s="43">
        <v>1.0</v>
      </c>
      <c r="I500" s="58" t="s">
        <v>33</v>
      </c>
      <c r="J500" s="58" t="s">
        <v>115</v>
      </c>
      <c r="K500" s="58">
        <v>1.0</v>
      </c>
      <c r="L500" s="58" t="s">
        <v>119</v>
      </c>
      <c r="M500" s="61" t="s">
        <v>1622</v>
      </c>
      <c r="N500" s="77"/>
      <c r="O500" s="83" t="str">
        <f>hyperlink("https://bad-boys.us/?q=WD-PA/2:17-cr-00313", "WD-PA 2:17-cr-00313")</f>
        <v>WD-PA 2:17-cr-00313</v>
      </c>
      <c r="P500" s="88" t="s">
        <v>1623</v>
      </c>
      <c r="Q500" s="58">
        <v>1.0</v>
      </c>
      <c r="R500" s="62"/>
      <c r="S500" s="37" t="str">
        <f>IFERROR(__xludf.DUMMYFUNCTION("if(not(iserror(index(split(C500, "" ""),2))), index(split(C500, "" ""),1),"""")"),"November,")</f>
        <v>November,</v>
      </c>
      <c r="T500" s="38">
        <f>IFERROR(__xludf.DUMMYFUNCTION("if(S500="""",C500,if(not(iserror(index(split(C500, "" ""),3))), index(split(C500, "" ""),3),index(split(C500, "" ""),2)))"),2017.0)</f>
        <v>2017</v>
      </c>
      <c r="U500" s="38" t="b">
        <f t="shared" si="67"/>
        <v>0</v>
      </c>
      <c r="V500" s="38"/>
      <c r="W500" s="40"/>
      <c r="X500" s="40"/>
      <c r="Y500" s="40"/>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row>
    <row r="501">
      <c r="A501" s="58" t="s">
        <v>1624</v>
      </c>
      <c r="B501" s="59">
        <v>43307.0</v>
      </c>
      <c r="C501" s="79">
        <v>43040.0</v>
      </c>
      <c r="D501" s="60" t="s">
        <v>139</v>
      </c>
      <c r="E501" s="58" t="s">
        <v>41</v>
      </c>
      <c r="F501" s="58">
        <v>1.0</v>
      </c>
      <c r="G501" s="58" t="s">
        <v>32</v>
      </c>
      <c r="H501" s="33">
        <f t="shared" ref="H501:H503" si="68">if(G501="Unknown",1,G501)</f>
        <v>1</v>
      </c>
      <c r="I501" s="58" t="s">
        <v>33</v>
      </c>
      <c r="J501" s="58" t="s">
        <v>47</v>
      </c>
      <c r="K501" s="58">
        <v>2.0</v>
      </c>
      <c r="L501" s="58" t="s">
        <v>790</v>
      </c>
      <c r="M501" s="61" t="s">
        <v>1625</v>
      </c>
      <c r="N501" s="77"/>
      <c r="O501" s="62"/>
      <c r="P501" s="62"/>
      <c r="Q501" s="62"/>
      <c r="R501" s="62"/>
      <c r="S501" s="37" t="str">
        <f>IFERROR(__xludf.DUMMYFUNCTION("if(not(iserror(index(split(C501, "" ""),2))), index(split(C501, "" ""),1),"""")"),"November,")</f>
        <v>November,</v>
      </c>
      <c r="T501" s="38">
        <f>IFERROR(__xludf.DUMMYFUNCTION("if(S501="""",C501,if(not(iserror(index(split(C501, "" ""),3))), index(split(C501, "" ""),3),index(split(C501, "" ""),2)))"),2017.0)</f>
        <v>2017</v>
      </c>
      <c r="U501" s="38" t="b">
        <f t="shared" si="67"/>
        <v>0</v>
      </c>
      <c r="V501" s="38"/>
      <c r="W501" s="40"/>
      <c r="X501" s="40"/>
      <c r="Y501" s="40"/>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row>
    <row r="502">
      <c r="A502" s="58" t="s">
        <v>1626</v>
      </c>
      <c r="B502" s="59">
        <v>43396.0</v>
      </c>
      <c r="C502" s="79">
        <v>43040.0</v>
      </c>
      <c r="D502" s="60" t="s">
        <v>139</v>
      </c>
      <c r="E502" s="58" t="s">
        <v>31</v>
      </c>
      <c r="F502" s="58">
        <v>1.0</v>
      </c>
      <c r="G502" s="58" t="s">
        <v>32</v>
      </c>
      <c r="H502" s="33">
        <f t="shared" si="68"/>
        <v>1</v>
      </c>
      <c r="I502" s="58" t="s">
        <v>33</v>
      </c>
      <c r="J502" s="58" t="s">
        <v>140</v>
      </c>
      <c r="K502" s="58">
        <v>4.0</v>
      </c>
      <c r="L502" s="58" t="s">
        <v>119</v>
      </c>
      <c r="M502" s="61" t="s">
        <v>1627</v>
      </c>
      <c r="N502" s="61" t="s">
        <v>1628</v>
      </c>
      <c r="O502" s="58"/>
      <c r="P502" s="58"/>
      <c r="Q502" s="84"/>
      <c r="R502" s="62"/>
      <c r="S502" s="37" t="str">
        <f>IFERROR(__xludf.DUMMYFUNCTION("if(not(iserror(index(split(C502, "" ""),2))), index(split(C502, "" ""),1),"""")"),"November,")</f>
        <v>November,</v>
      </c>
      <c r="T502" s="38">
        <f>IFERROR(__xludf.DUMMYFUNCTION("if(S502="""",C502,if(not(iserror(index(split(C502, "" ""),3))), index(split(C502, "" ""),3),index(split(C502, "" ""),2)))"),2017.0)</f>
        <v>2017</v>
      </c>
      <c r="U502" s="38" t="b">
        <f t="shared" si="67"/>
        <v>0</v>
      </c>
      <c r="V502" s="38"/>
      <c r="W502" s="40"/>
      <c r="X502" s="40"/>
      <c r="Y502" s="40"/>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row>
    <row r="503">
      <c r="A503" s="58" t="s">
        <v>1629</v>
      </c>
      <c r="B503" s="59">
        <v>43398.0</v>
      </c>
      <c r="C503" s="59">
        <v>43040.0</v>
      </c>
      <c r="D503" s="60" t="s">
        <v>1590</v>
      </c>
      <c r="E503" s="58" t="s">
        <v>41</v>
      </c>
      <c r="F503" s="58">
        <v>1.0</v>
      </c>
      <c r="G503" s="58" t="s">
        <v>32</v>
      </c>
      <c r="H503" s="33">
        <f t="shared" si="68"/>
        <v>1</v>
      </c>
      <c r="I503" s="58" t="s">
        <v>33</v>
      </c>
      <c r="J503" s="58" t="s">
        <v>115</v>
      </c>
      <c r="K503" s="58">
        <v>1.0</v>
      </c>
      <c r="L503" s="58" t="s">
        <v>119</v>
      </c>
      <c r="M503" s="61" t="s">
        <v>1630</v>
      </c>
      <c r="N503" s="80"/>
      <c r="O503" s="58"/>
      <c r="P503" s="58"/>
      <c r="Q503" s="84"/>
      <c r="R503" s="62"/>
      <c r="S503" s="37" t="str">
        <f>IFERROR(__xludf.DUMMYFUNCTION("if(not(iserror(index(split(C503, "" ""),2))), index(split(C503, "" ""),1),"""")"),"November")</f>
        <v>November</v>
      </c>
      <c r="T503" s="38">
        <f>IFERROR(__xludf.DUMMYFUNCTION("if(S503="""",C503,if(not(iserror(index(split(C503, "" ""),3))), index(split(C503, "" ""),3),index(split(C503, "" ""),2)))"),2017.0)</f>
        <v>2017</v>
      </c>
      <c r="U503" s="38" t="b">
        <f t="shared" si="67"/>
        <v>0</v>
      </c>
      <c r="V503" s="38"/>
      <c r="W503" s="40"/>
      <c r="X503" s="40"/>
      <c r="Y503" s="40"/>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row>
    <row r="504">
      <c r="A504" s="58" t="s">
        <v>1631</v>
      </c>
      <c r="B504" s="59">
        <v>43402.0</v>
      </c>
      <c r="C504" s="79">
        <v>43040.0</v>
      </c>
      <c r="D504" s="60" t="s">
        <v>139</v>
      </c>
      <c r="E504" s="58" t="s">
        <v>41</v>
      </c>
      <c r="F504" s="58">
        <v>1.0</v>
      </c>
      <c r="G504" s="58" t="s">
        <v>32</v>
      </c>
      <c r="H504" s="43">
        <v>1.0</v>
      </c>
      <c r="I504" s="58" t="s">
        <v>33</v>
      </c>
      <c r="J504" s="58" t="s">
        <v>115</v>
      </c>
      <c r="K504" s="58">
        <v>1.0</v>
      </c>
      <c r="L504" s="58" t="s">
        <v>119</v>
      </c>
      <c r="M504" s="80" t="s">
        <v>1632</v>
      </c>
      <c r="N504" s="80"/>
      <c r="O504" s="88" t="str">
        <f>hyperlink("https://bad-boys.us/?q=WD-PA/1:17-cr-00024", "WD-PA 1:17-cr-00024")</f>
        <v>WD-PA 1:17-cr-00024</v>
      </c>
      <c r="P504" s="88" t="s">
        <v>1633</v>
      </c>
      <c r="Q504" s="58">
        <v>1.0</v>
      </c>
      <c r="R504" s="62"/>
      <c r="S504" s="37" t="str">
        <f>IFERROR(__xludf.DUMMYFUNCTION("if(not(iserror(index(split(C504, "" ""),2))), index(split(C504, "" ""),1),"""")"),"November,")</f>
        <v>November,</v>
      </c>
      <c r="T504" s="38">
        <f>IFERROR(__xludf.DUMMYFUNCTION("if(S504="""",C504,if(not(iserror(index(split(C504, "" ""),3))), index(split(C504, "" ""),3),index(split(C504, "" ""),2)))"),2017.0)</f>
        <v>2017</v>
      </c>
      <c r="U504" s="38" t="b">
        <f t="shared" si="67"/>
        <v>0</v>
      </c>
      <c r="V504" s="38" t="s">
        <v>33</v>
      </c>
      <c r="W504" s="40"/>
      <c r="X504" s="40"/>
      <c r="Y504" s="40"/>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row>
    <row r="505">
      <c r="A505" s="58" t="s">
        <v>1634</v>
      </c>
      <c r="B505" s="59">
        <v>43420.0</v>
      </c>
      <c r="C505" s="79">
        <v>43040.0</v>
      </c>
      <c r="D505" s="60" t="s">
        <v>640</v>
      </c>
      <c r="E505" s="58" t="s">
        <v>41</v>
      </c>
      <c r="F505" s="58">
        <v>1.0</v>
      </c>
      <c r="G505" s="58" t="s">
        <v>32</v>
      </c>
      <c r="H505" s="33">
        <f>if(G505="Unknown",1,G505)</f>
        <v>1</v>
      </c>
      <c r="I505" s="58" t="s">
        <v>33</v>
      </c>
      <c r="J505" s="58" t="s">
        <v>144</v>
      </c>
      <c r="K505" s="58">
        <v>1.0</v>
      </c>
      <c r="L505" s="58" t="s">
        <v>99</v>
      </c>
      <c r="M505" s="61" t="s">
        <v>1635</v>
      </c>
      <c r="N505" s="80"/>
      <c r="O505" s="88" t="str">
        <f>hyperlink("https://bad-boys.us/?q=D-MT/6:18-cr-00013", "D-MT 6:18-cr-00013")</f>
        <v>D-MT 6:18-cr-00013</v>
      </c>
      <c r="P505" s="88" t="s">
        <v>1636</v>
      </c>
      <c r="Q505" s="84">
        <v>1.0</v>
      </c>
      <c r="R505" s="62"/>
      <c r="S505" s="37" t="str">
        <f>IFERROR(__xludf.DUMMYFUNCTION("if(not(iserror(index(split(C505, "" ""),2))), index(split(C505, "" ""),1),"""")"),"November,")</f>
        <v>November,</v>
      </c>
      <c r="T505" s="38">
        <f>IFERROR(__xludf.DUMMYFUNCTION("if(S505="""",C505,if(not(iserror(index(split(C505, "" ""),3))), index(split(C505, "" ""),3),index(split(C505, "" ""),2)))"),2017.0)</f>
        <v>2017</v>
      </c>
      <c r="U505" s="38" t="b">
        <f t="shared" si="67"/>
        <v>0</v>
      </c>
      <c r="V505" s="38"/>
      <c r="W505" s="40"/>
      <c r="X505" s="40"/>
      <c r="Y505" s="40"/>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row>
    <row r="506">
      <c r="A506" s="87" t="s">
        <v>1637</v>
      </c>
      <c r="B506" s="59">
        <v>43437.0</v>
      </c>
      <c r="C506" s="79">
        <v>43040.0</v>
      </c>
      <c r="D506" s="60" t="s">
        <v>139</v>
      </c>
      <c r="E506" s="58" t="s">
        <v>41</v>
      </c>
      <c r="F506" s="58">
        <v>1.0</v>
      </c>
      <c r="G506" s="58" t="s">
        <v>32</v>
      </c>
      <c r="H506" s="50">
        <v>1.0</v>
      </c>
      <c r="I506" s="58" t="s">
        <v>33</v>
      </c>
      <c r="J506" s="58" t="s">
        <v>89</v>
      </c>
      <c r="K506" s="58">
        <v>1.0</v>
      </c>
      <c r="L506" s="58" t="s">
        <v>119</v>
      </c>
      <c r="M506" s="61" t="s">
        <v>1638</v>
      </c>
      <c r="N506" s="80"/>
      <c r="O506" s="88" t="str">
        <f>hyperlink("https://bad-boys.us/?q=ED-TN/3:17-cr-00123", "ED-TN 3:17-cr-00123")</f>
        <v>ED-TN 3:17-cr-00123</v>
      </c>
      <c r="P506" s="88" t="s">
        <v>1639</v>
      </c>
      <c r="Q506" s="58">
        <v>1.0</v>
      </c>
      <c r="R506" s="62"/>
      <c r="S506" s="37" t="str">
        <f>IFERROR(__xludf.DUMMYFUNCTION("if(not(iserror(index(split(C506, "" ""),2))), index(split(C506, "" ""),1),"""")"),"November,")</f>
        <v>November,</v>
      </c>
      <c r="T506" s="38">
        <f>IFERROR(__xludf.DUMMYFUNCTION("if(S506="""",C506,if(not(iserror(index(split(C506, "" ""),3))), index(split(C506, "" ""),3),index(split(C506, "" ""),2)))"),2017.0)</f>
        <v>2017</v>
      </c>
      <c r="U506" s="38" t="b">
        <f t="shared" si="67"/>
        <v>0</v>
      </c>
      <c r="V506" s="38"/>
      <c r="W506" s="40"/>
      <c r="X506" s="40"/>
      <c r="Y506" s="40"/>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row>
    <row r="507">
      <c r="A507" s="58" t="s">
        <v>1640</v>
      </c>
      <c r="B507" s="59">
        <v>43444.0</v>
      </c>
      <c r="C507" s="79">
        <v>43040.0</v>
      </c>
      <c r="D507" s="60" t="s">
        <v>139</v>
      </c>
      <c r="E507" s="58" t="s">
        <v>41</v>
      </c>
      <c r="F507" s="58">
        <v>1.0</v>
      </c>
      <c r="G507" s="58" t="s">
        <v>32</v>
      </c>
      <c r="H507" s="33">
        <f>if(G507="Unknown",1,G507)</f>
        <v>1</v>
      </c>
      <c r="I507" s="58" t="s">
        <v>33</v>
      </c>
      <c r="J507" s="58" t="s">
        <v>89</v>
      </c>
      <c r="K507" s="58">
        <v>1.0</v>
      </c>
      <c r="L507" s="58" t="s">
        <v>69</v>
      </c>
      <c r="M507" s="61" t="s">
        <v>1641</v>
      </c>
      <c r="N507" s="77"/>
      <c r="O507" s="88" t="str">
        <f>hyperlink("https://bad-boys.us/?q=MD-TN/3:18-cr-00006", "MD-TN 3:18-cr-00006")</f>
        <v>MD-TN 3:18-cr-00006</v>
      </c>
      <c r="P507" s="88" t="s">
        <v>1642</v>
      </c>
      <c r="Q507" s="58">
        <v>1.0</v>
      </c>
      <c r="R507" s="62"/>
      <c r="S507" s="37" t="str">
        <f>IFERROR(__xludf.DUMMYFUNCTION("if(not(iserror(index(split(C507, "" ""),2))), index(split(C507, "" ""),1),"""")"),"November,")</f>
        <v>November,</v>
      </c>
      <c r="T507" s="38">
        <f>IFERROR(__xludf.DUMMYFUNCTION("if(S507="""",C507,if(not(iserror(index(split(C507, "" ""),3))), index(split(C507, "" ""),3),index(split(C507, "" ""),2)))"),2017.0)</f>
        <v>2017</v>
      </c>
      <c r="U507" s="38" t="b">
        <f t="shared" si="67"/>
        <v>0</v>
      </c>
      <c r="V507" s="38"/>
      <c r="W507" s="40"/>
      <c r="X507" s="40"/>
      <c r="Y507" s="40"/>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row>
    <row r="508">
      <c r="A508" s="58" t="s">
        <v>1643</v>
      </c>
      <c r="B508" s="59">
        <v>43448.0</v>
      </c>
      <c r="C508" s="79">
        <v>43040.0</v>
      </c>
      <c r="D508" s="60" t="s">
        <v>139</v>
      </c>
      <c r="E508" s="58" t="s">
        <v>41</v>
      </c>
      <c r="F508" s="58">
        <v>1.0</v>
      </c>
      <c r="G508" s="58" t="s">
        <v>32</v>
      </c>
      <c r="H508" s="50">
        <v>1.0</v>
      </c>
      <c r="I508" s="58" t="s">
        <v>33</v>
      </c>
      <c r="J508" s="58" t="s">
        <v>460</v>
      </c>
      <c r="K508" s="58">
        <v>3.0</v>
      </c>
      <c r="L508" s="58" t="s">
        <v>76</v>
      </c>
      <c r="M508" s="61" t="s">
        <v>1644</v>
      </c>
      <c r="N508" s="80"/>
      <c r="O508" s="83" t="str">
        <f>hyperlink("https://bad-boys.us/?q=SD-IA/4:17-cr-00221", "SD-IA 4:17-cr-00221")</f>
        <v>SD-IA 4:17-cr-00221</v>
      </c>
      <c r="P508" s="88" t="s">
        <v>1645</v>
      </c>
      <c r="Q508" s="58">
        <v>1.0</v>
      </c>
      <c r="R508" s="62"/>
      <c r="S508" s="37" t="str">
        <f>IFERROR(__xludf.DUMMYFUNCTION("if(not(iserror(index(split(C508, "" ""),2))), index(split(C508, "" ""),1),"""")"),"November,")</f>
        <v>November,</v>
      </c>
      <c r="T508" s="38">
        <f>IFERROR(__xludf.DUMMYFUNCTION("if(S508="""",C508,if(not(iserror(index(split(C508, "" ""),3))), index(split(C508, "" ""),3),index(split(C508, "" ""),2)))"),2017.0)</f>
        <v>2017</v>
      </c>
      <c r="U508" s="38" t="b">
        <f t="shared" si="67"/>
        <v>0</v>
      </c>
      <c r="V508" s="38"/>
      <c r="W508" s="40"/>
      <c r="X508" s="40"/>
      <c r="Y508" s="40"/>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row>
    <row r="509">
      <c r="A509" s="47" t="s">
        <v>1646</v>
      </c>
      <c r="B509" s="48">
        <v>43494.0</v>
      </c>
      <c r="C509" s="89">
        <v>43040.0</v>
      </c>
      <c r="D509" s="49" t="s">
        <v>1647</v>
      </c>
      <c r="E509" s="47" t="s">
        <v>31</v>
      </c>
      <c r="F509" s="47">
        <v>1.0</v>
      </c>
      <c r="G509" s="47" t="s">
        <v>32</v>
      </c>
      <c r="H509" s="50">
        <v>1.0</v>
      </c>
      <c r="I509" s="47" t="s">
        <v>33</v>
      </c>
      <c r="J509" s="47" t="s">
        <v>172</v>
      </c>
      <c r="K509" s="47">
        <v>3.0</v>
      </c>
      <c r="L509" s="47" t="s">
        <v>76</v>
      </c>
      <c r="M509" s="51" t="s">
        <v>1648</v>
      </c>
      <c r="N509" s="52"/>
      <c r="O509" s="53" t="str">
        <f>hyperlink("https://bad-boys.us/?q=WD-NC/1:18-cr-00054", "WD-NC 1:18-cr-00054")</f>
        <v>WD-NC 1:18-cr-00054</v>
      </c>
      <c r="P509" s="54" t="s">
        <v>1649</v>
      </c>
      <c r="Q509" s="47">
        <v>1.0</v>
      </c>
      <c r="R509" s="55"/>
      <c r="S509" s="37" t="str">
        <f>IFERROR(__xludf.DUMMYFUNCTION("if(not(iserror(index(split(C509, "" ""),2))), index(split(C509, "" ""),1),"""")"),"November,")</f>
        <v>November,</v>
      </c>
      <c r="T509" s="38">
        <f>IFERROR(__xludf.DUMMYFUNCTION("if(S509="""",C509,if(not(iserror(index(split(C509, "" ""),3))), index(split(C509, "" ""),3),index(split(C509, "" ""),2)))"),2017.0)</f>
        <v>2017</v>
      </c>
      <c r="U509" s="38" t="b">
        <f t="shared" si="67"/>
        <v>0</v>
      </c>
      <c r="V509" s="38"/>
      <c r="W509" s="40"/>
      <c r="X509" s="40"/>
      <c r="Y509" s="40"/>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row>
    <row r="510">
      <c r="A510" s="47" t="s">
        <v>1650</v>
      </c>
      <c r="B510" s="48">
        <v>43496.0</v>
      </c>
      <c r="C510" s="89">
        <v>43040.0</v>
      </c>
      <c r="D510" s="49" t="s">
        <v>139</v>
      </c>
      <c r="E510" s="47" t="s">
        <v>41</v>
      </c>
      <c r="F510" s="47">
        <v>1.0</v>
      </c>
      <c r="G510" s="47" t="s">
        <v>32</v>
      </c>
      <c r="H510" s="63">
        <v>1.0</v>
      </c>
      <c r="I510" s="47" t="s">
        <v>33</v>
      </c>
      <c r="J510" s="47" t="s">
        <v>172</v>
      </c>
      <c r="K510" s="47">
        <v>1.0</v>
      </c>
      <c r="L510" s="47" t="s">
        <v>119</v>
      </c>
      <c r="M510" s="51" t="s">
        <v>1651</v>
      </c>
      <c r="N510" s="52"/>
      <c r="O510" s="53" t="str">
        <f>hyperlink("https://bad-boys.us/?q=WD-NC/1:17-cr-00151", "WD-NC 1:17-cr-00151")</f>
        <v>WD-NC 1:17-cr-00151</v>
      </c>
      <c r="P510" s="54" t="s">
        <v>1652</v>
      </c>
      <c r="Q510" s="47">
        <v>1.0</v>
      </c>
      <c r="R510" s="55"/>
      <c r="S510" s="37" t="str">
        <f>IFERROR(__xludf.DUMMYFUNCTION("if(not(iserror(index(split(C510, "" ""),2))), index(split(C510, "" ""),1),"""")"),"November,")</f>
        <v>November,</v>
      </c>
      <c r="T510" s="38">
        <f>IFERROR(__xludf.DUMMYFUNCTION("if(S510="""",C510,if(not(iserror(index(split(C510, "" ""),3))), index(split(C510, "" ""),3),index(split(C510, "" ""),2)))"),2017.0)</f>
        <v>2017</v>
      </c>
      <c r="U510" s="38" t="b">
        <f t="shared" si="67"/>
        <v>0</v>
      </c>
      <c r="V510" s="38"/>
      <c r="W510" s="40"/>
      <c r="X510" s="40"/>
      <c r="Y510" s="40"/>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row>
    <row r="511">
      <c r="A511" s="78" t="s">
        <v>1653</v>
      </c>
      <c r="B511" s="30"/>
      <c r="C511" s="31">
        <v>43040.0</v>
      </c>
      <c r="D511" s="32"/>
      <c r="E511" s="13" t="s">
        <v>41</v>
      </c>
      <c r="F511" s="13">
        <v>1.0</v>
      </c>
      <c r="G511" s="13" t="s">
        <v>32</v>
      </c>
      <c r="H511" s="43">
        <v>1.0</v>
      </c>
      <c r="I511" s="13" t="s">
        <v>33</v>
      </c>
      <c r="J511" s="13" t="s">
        <v>433</v>
      </c>
      <c r="K511" s="13"/>
      <c r="L511" s="13" t="s">
        <v>119</v>
      </c>
      <c r="M511" s="35" t="s">
        <v>1654</v>
      </c>
      <c r="N511" s="15"/>
      <c r="O511" s="16"/>
      <c r="P511" s="16"/>
      <c r="Q511" s="37">
        <v>1.0</v>
      </c>
      <c r="R511" s="16"/>
      <c r="S511" s="37"/>
      <c r="T511" s="38"/>
      <c r="U511" s="38"/>
      <c r="V511" s="38" t="s">
        <v>33</v>
      </c>
      <c r="W511" s="40"/>
      <c r="X511" s="40"/>
      <c r="Y511" s="40"/>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row>
    <row r="512">
      <c r="A512" s="78" t="s">
        <v>239</v>
      </c>
      <c r="B512" s="30">
        <v>43047.0</v>
      </c>
      <c r="C512" s="30">
        <v>43041.0</v>
      </c>
      <c r="D512" s="32" t="s">
        <v>1655</v>
      </c>
      <c r="E512" s="13" t="s">
        <v>41</v>
      </c>
      <c r="F512" s="13">
        <v>1.0</v>
      </c>
      <c r="G512" s="13">
        <v>4.0</v>
      </c>
      <c r="H512" s="33">
        <f t="shared" ref="H512:H520" si="69">if(G512="Unknown",1,G512)</f>
        <v>4</v>
      </c>
      <c r="I512" s="13" t="s">
        <v>33</v>
      </c>
      <c r="J512" s="13" t="s">
        <v>147</v>
      </c>
      <c r="K512" s="13">
        <v>1.0</v>
      </c>
      <c r="L512" s="13" t="s">
        <v>194</v>
      </c>
      <c r="M512" s="35" t="s">
        <v>1656</v>
      </c>
      <c r="N512" s="15"/>
      <c r="O512" s="16"/>
      <c r="P512" s="16"/>
      <c r="Q512" s="16"/>
      <c r="R512" s="16"/>
      <c r="S512" s="37" t="str">
        <f>IFERROR(__xludf.DUMMYFUNCTION("if(not(iserror(index(split(C512, "" ""),2))), index(split(C512, "" ""),1),"""")"),"November")</f>
        <v>November</v>
      </c>
      <c r="T512" s="38">
        <f>IFERROR(__xludf.DUMMYFUNCTION("if(S512="""",C512,if(not(iserror(index(split(C512, "" ""),3))), index(split(C512, "" ""),3),index(split(C512, "" ""),2)))"),2017.0)</f>
        <v>2017</v>
      </c>
      <c r="U512" s="38" t="b">
        <f t="shared" ref="U512:U563" si="70">countif(A$4:A4658, A512)&gt;1</f>
        <v>1</v>
      </c>
      <c r="V512" s="38"/>
      <c r="W512" s="40"/>
      <c r="X512" s="40"/>
      <c r="Y512" s="40"/>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row>
    <row r="513">
      <c r="A513" s="13" t="s">
        <v>1657</v>
      </c>
      <c r="B513" s="30">
        <v>43136.0</v>
      </c>
      <c r="C513" s="30">
        <v>43041.0</v>
      </c>
      <c r="D513" s="32" t="s">
        <v>1655</v>
      </c>
      <c r="E513" s="13" t="s">
        <v>31</v>
      </c>
      <c r="F513" s="13">
        <v>1.0</v>
      </c>
      <c r="G513" s="13" t="s">
        <v>32</v>
      </c>
      <c r="H513" s="33">
        <f t="shared" si="69"/>
        <v>1</v>
      </c>
      <c r="I513" s="13" t="s">
        <v>33</v>
      </c>
      <c r="J513" s="13" t="s">
        <v>279</v>
      </c>
      <c r="K513" s="13">
        <v>3.0</v>
      </c>
      <c r="L513" s="13" t="s">
        <v>69</v>
      </c>
      <c r="M513" s="35" t="s">
        <v>1658</v>
      </c>
      <c r="N513" s="36" t="s">
        <v>1659</v>
      </c>
      <c r="O513" s="37"/>
      <c r="P513" s="37"/>
      <c r="Q513" s="37"/>
      <c r="R513" s="16"/>
      <c r="S513" s="37" t="str">
        <f>IFERROR(__xludf.DUMMYFUNCTION("if(not(iserror(index(split(C513, "" ""),2))), index(split(C513, "" ""),1),"""")"),"November")</f>
        <v>November</v>
      </c>
      <c r="T513" s="38">
        <f>IFERROR(__xludf.DUMMYFUNCTION("if(S513="""",C513,if(not(iserror(index(split(C513, "" ""),3))), index(split(C513, "" ""),3),index(split(C513, "" ""),2)))"),2017.0)</f>
        <v>2017</v>
      </c>
      <c r="U513" s="38" t="b">
        <f t="shared" si="70"/>
        <v>0</v>
      </c>
      <c r="V513" s="38"/>
      <c r="W513" s="40"/>
      <c r="X513" s="40"/>
      <c r="Y513" s="40"/>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row>
    <row r="514">
      <c r="A514" s="13" t="s">
        <v>1660</v>
      </c>
      <c r="B514" s="30">
        <v>43042.0</v>
      </c>
      <c r="C514" s="30">
        <v>43042.0</v>
      </c>
      <c r="D514" s="32" t="s">
        <v>1661</v>
      </c>
      <c r="E514" s="13" t="s">
        <v>41</v>
      </c>
      <c r="F514" s="13">
        <v>1.0</v>
      </c>
      <c r="G514" s="13" t="s">
        <v>32</v>
      </c>
      <c r="H514" s="33">
        <f t="shared" si="69"/>
        <v>1</v>
      </c>
      <c r="I514" s="13" t="s">
        <v>33</v>
      </c>
      <c r="J514" s="13" t="s">
        <v>124</v>
      </c>
      <c r="K514" s="13">
        <v>4.0</v>
      </c>
      <c r="L514" s="13" t="s">
        <v>1662</v>
      </c>
      <c r="M514" s="35" t="s">
        <v>1663</v>
      </c>
      <c r="N514" s="36" t="s">
        <v>1664</v>
      </c>
      <c r="O514" s="16"/>
      <c r="P514" s="16"/>
      <c r="Q514" s="16"/>
      <c r="R514" s="16"/>
      <c r="S514" s="37" t="str">
        <f>IFERROR(__xludf.DUMMYFUNCTION("if(not(iserror(index(split(C514, "" ""),2))), index(split(C514, "" ""),1),"""")"),"November")</f>
        <v>November</v>
      </c>
      <c r="T514" s="38">
        <f>IFERROR(__xludf.DUMMYFUNCTION("if(S514="""",C514,if(not(iserror(index(split(C514, "" ""),3))), index(split(C514, "" ""),3),index(split(C514, "" ""),2)))"),2017.0)</f>
        <v>2017</v>
      </c>
      <c r="U514" s="38" t="b">
        <f t="shared" si="70"/>
        <v>0</v>
      </c>
      <c r="V514" s="38"/>
      <c r="W514" s="40"/>
      <c r="X514" s="40"/>
      <c r="Y514" s="40"/>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row>
    <row r="515">
      <c r="A515" s="13" t="s">
        <v>1665</v>
      </c>
      <c r="B515" s="30">
        <v>43056.0</v>
      </c>
      <c r="C515" s="30">
        <v>43042.0</v>
      </c>
      <c r="D515" s="32" t="s">
        <v>1661</v>
      </c>
      <c r="E515" s="13" t="s">
        <v>41</v>
      </c>
      <c r="F515" s="13">
        <v>1.0</v>
      </c>
      <c r="G515" s="13">
        <v>2.0</v>
      </c>
      <c r="H515" s="33">
        <f t="shared" si="69"/>
        <v>2</v>
      </c>
      <c r="I515" s="13" t="s">
        <v>33</v>
      </c>
      <c r="J515" s="13" t="s">
        <v>184</v>
      </c>
      <c r="K515" s="13">
        <v>3.0</v>
      </c>
      <c r="L515" s="13" t="s">
        <v>76</v>
      </c>
      <c r="M515" s="45" t="s">
        <v>1666</v>
      </c>
      <c r="N515" s="36" t="s">
        <v>1667</v>
      </c>
      <c r="O515" s="86" t="str">
        <f>hyperlink("https://bad-boys.us/?q=CD-IL/2:17-cr-20058", "CD-IL 2:17-cr-20058")</f>
        <v>CD-IL 2:17-cr-20058</v>
      </c>
      <c r="P515" s="86" t="s">
        <v>1668</v>
      </c>
      <c r="Q515" s="64">
        <v>1.0</v>
      </c>
      <c r="R515" s="16"/>
      <c r="S515" s="37" t="str">
        <f>IFERROR(__xludf.DUMMYFUNCTION("if(not(iserror(index(split(C515, "" ""),2))), index(split(C515, "" ""),1),"""")"),"November")</f>
        <v>November</v>
      </c>
      <c r="T515" s="38">
        <f>IFERROR(__xludf.DUMMYFUNCTION("if(S515="""",C515,if(not(iserror(index(split(C515, "" ""),3))), index(split(C515, "" ""),3),index(split(C515, "" ""),2)))"),2017.0)</f>
        <v>2017</v>
      </c>
      <c r="U515" s="38" t="b">
        <f t="shared" si="70"/>
        <v>0</v>
      </c>
      <c r="V515" s="38"/>
      <c r="W515" s="40"/>
      <c r="X515" s="40"/>
      <c r="Y515" s="40"/>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row>
    <row r="516">
      <c r="A516" s="58" t="s">
        <v>1669</v>
      </c>
      <c r="B516" s="59">
        <v>43451.0</v>
      </c>
      <c r="C516" s="59">
        <v>43042.0</v>
      </c>
      <c r="D516" s="60" t="s">
        <v>1661</v>
      </c>
      <c r="E516" s="58" t="s">
        <v>41</v>
      </c>
      <c r="F516" s="58">
        <v>1.0</v>
      </c>
      <c r="G516" s="58" t="s">
        <v>32</v>
      </c>
      <c r="H516" s="33">
        <f t="shared" si="69"/>
        <v>1</v>
      </c>
      <c r="I516" s="58" t="s">
        <v>33</v>
      </c>
      <c r="J516" s="58" t="s">
        <v>433</v>
      </c>
      <c r="K516" s="58">
        <v>2.0</v>
      </c>
      <c r="L516" s="58" t="s">
        <v>119</v>
      </c>
      <c r="M516" s="61" t="s">
        <v>1670</v>
      </c>
      <c r="N516" s="77"/>
      <c r="O516" s="88" t="str">
        <f>hyperlink("https://bad-boys.us/?q=D-MN/0:18-cr-00183", "D-MN 0:18-cr-00183")</f>
        <v>D-MN 0:18-cr-00183</v>
      </c>
      <c r="P516" s="88" t="s">
        <v>1671</v>
      </c>
      <c r="Q516" s="84">
        <v>1.0</v>
      </c>
      <c r="R516" s="62"/>
      <c r="S516" s="37" t="str">
        <f>IFERROR(__xludf.DUMMYFUNCTION("if(not(iserror(index(split(C516, "" ""),2))), index(split(C516, "" ""),1),"""")"),"November")</f>
        <v>November</v>
      </c>
      <c r="T516" s="38">
        <f>IFERROR(__xludf.DUMMYFUNCTION("if(S516="""",C516,if(not(iserror(index(split(C516, "" ""),3))), index(split(C516, "" ""),3),index(split(C516, "" ""),2)))"),2017.0)</f>
        <v>2017</v>
      </c>
      <c r="U516" s="38" t="b">
        <f t="shared" si="70"/>
        <v>0</v>
      </c>
      <c r="V516" s="38"/>
      <c r="W516" s="40"/>
      <c r="X516" s="40"/>
      <c r="Y516" s="40"/>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row>
    <row r="517">
      <c r="A517" s="78" t="s">
        <v>239</v>
      </c>
      <c r="B517" s="30">
        <v>43045.0</v>
      </c>
      <c r="C517" s="30">
        <v>43043.0</v>
      </c>
      <c r="D517" s="32" t="s">
        <v>1672</v>
      </c>
      <c r="E517" s="13" t="s">
        <v>41</v>
      </c>
      <c r="F517" s="13">
        <v>5.0</v>
      </c>
      <c r="G517" s="13">
        <v>5.0</v>
      </c>
      <c r="H517" s="33">
        <f t="shared" si="69"/>
        <v>5</v>
      </c>
      <c r="I517" s="13" t="s">
        <v>33</v>
      </c>
      <c r="J517" s="13" t="s">
        <v>241</v>
      </c>
      <c r="K517" s="13">
        <v>1.0</v>
      </c>
      <c r="L517" s="13" t="s">
        <v>194</v>
      </c>
      <c r="M517" s="35" t="s">
        <v>1673</v>
      </c>
      <c r="N517" s="15"/>
      <c r="O517" s="16"/>
      <c r="P517" s="16"/>
      <c r="Q517" s="16"/>
      <c r="R517" s="16"/>
      <c r="S517" s="37" t="str">
        <f>IFERROR(__xludf.DUMMYFUNCTION("if(not(iserror(index(split(C517, "" ""),2))), index(split(C517, "" ""),1),"""")"),"November")</f>
        <v>November</v>
      </c>
      <c r="T517" s="38">
        <f>IFERROR(__xludf.DUMMYFUNCTION("if(S517="""",C517,if(not(iserror(index(split(C517, "" ""),3))), index(split(C517, "" ""),3),index(split(C517, "" ""),2)))"),2017.0)</f>
        <v>2017</v>
      </c>
      <c r="U517" s="38" t="b">
        <f t="shared" si="70"/>
        <v>1</v>
      </c>
      <c r="V517" s="38"/>
      <c r="W517" s="40"/>
      <c r="X517" s="40"/>
      <c r="Y517" s="40"/>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row>
    <row r="518">
      <c r="A518" s="13" t="s">
        <v>1674</v>
      </c>
      <c r="B518" s="30">
        <v>43044.0</v>
      </c>
      <c r="C518" s="30">
        <v>43044.0</v>
      </c>
      <c r="D518" s="32" t="s">
        <v>1672</v>
      </c>
      <c r="E518" s="13" t="s">
        <v>31</v>
      </c>
      <c r="F518" s="13">
        <v>1.0</v>
      </c>
      <c r="G518" s="13" t="s">
        <v>32</v>
      </c>
      <c r="H518" s="33">
        <f t="shared" si="69"/>
        <v>1</v>
      </c>
      <c r="I518" s="13" t="s">
        <v>33</v>
      </c>
      <c r="J518" s="13" t="s">
        <v>147</v>
      </c>
      <c r="K518" s="13">
        <v>2.0</v>
      </c>
      <c r="L518" s="13" t="s">
        <v>99</v>
      </c>
      <c r="M518" s="35" t="s">
        <v>1675</v>
      </c>
      <c r="N518" s="15"/>
      <c r="O518" s="16"/>
      <c r="P518" s="16"/>
      <c r="Q518" s="16"/>
      <c r="R518" s="16"/>
      <c r="S518" s="37" t="str">
        <f>IFERROR(__xludf.DUMMYFUNCTION("if(not(iserror(index(split(C518, "" ""),2))), index(split(C518, "" ""),1),"""")"),"November")</f>
        <v>November</v>
      </c>
      <c r="T518" s="38">
        <f>IFERROR(__xludf.DUMMYFUNCTION("if(S518="""",C518,if(not(iserror(index(split(C518, "" ""),3))), index(split(C518, "" ""),3),index(split(C518, "" ""),2)))"),2017.0)</f>
        <v>2017</v>
      </c>
      <c r="U518" s="38" t="b">
        <f t="shared" si="70"/>
        <v>0</v>
      </c>
      <c r="V518" s="38"/>
      <c r="W518" s="40"/>
      <c r="X518" s="40"/>
      <c r="Y518" s="40"/>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row>
    <row r="519">
      <c r="A519" s="13" t="s">
        <v>40</v>
      </c>
      <c r="B519" s="30">
        <v>43063.0</v>
      </c>
      <c r="C519" s="30">
        <v>43045.0</v>
      </c>
      <c r="D519" s="32" t="s">
        <v>1676</v>
      </c>
      <c r="E519" s="13" t="s">
        <v>41</v>
      </c>
      <c r="F519" s="13">
        <v>40.0</v>
      </c>
      <c r="G519" s="13">
        <v>236.0</v>
      </c>
      <c r="H519" s="33">
        <f t="shared" si="69"/>
        <v>236</v>
      </c>
      <c r="I519" s="13" t="s">
        <v>1677</v>
      </c>
      <c r="J519" s="82"/>
      <c r="K519" s="13" t="s">
        <v>32</v>
      </c>
      <c r="L519" s="13" t="s">
        <v>1678</v>
      </c>
      <c r="M519" s="45" t="str">
        <f>HYPERLINK("https://www.thestar.com/news/world/2017/11/24/40-human-traffickers-arrested-500-people-freed-in-interpol-operation.html","https:// www.thestar.com/news/world/2017/11/24/40-human-traffickers-arrested-500-people-freed-in-interpol-operation.html")</f>
        <v>https:// www.thestar.com/news/world/2017/11/24/40-human-traffickers-arrested-500-people-freed-in-interpol-operation.html</v>
      </c>
      <c r="N519" s="15"/>
      <c r="O519" s="16"/>
      <c r="P519" s="16"/>
      <c r="Q519" s="16"/>
      <c r="R519" s="16"/>
      <c r="S519" s="37" t="str">
        <f>IFERROR(__xludf.DUMMYFUNCTION("if(not(iserror(index(split(C519, "" ""),2))), index(split(C519, "" ""),1),"""")"),"November")</f>
        <v>November</v>
      </c>
      <c r="T519" s="38">
        <f>IFERROR(__xludf.DUMMYFUNCTION("if(S519="""",C519,if(not(iserror(index(split(C519, "" ""),3))), index(split(C519, "" ""),3),index(split(C519, "" ""),2)))"),2017.0)</f>
        <v>2017</v>
      </c>
      <c r="U519" s="38" t="b">
        <f t="shared" si="70"/>
        <v>1</v>
      </c>
      <c r="V519" s="38"/>
      <c r="W519" s="40"/>
      <c r="X519" s="40"/>
      <c r="Y519" s="40"/>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row>
    <row r="520">
      <c r="A520" s="13" t="s">
        <v>1679</v>
      </c>
      <c r="B520" s="30">
        <v>43175.0</v>
      </c>
      <c r="C520" s="30">
        <v>43046.0</v>
      </c>
      <c r="D520" s="32" t="s">
        <v>1680</v>
      </c>
      <c r="E520" s="13" t="s">
        <v>41</v>
      </c>
      <c r="F520" s="13">
        <v>1.0</v>
      </c>
      <c r="G520" s="13" t="s">
        <v>32</v>
      </c>
      <c r="H520" s="33">
        <f t="shared" si="69"/>
        <v>1</v>
      </c>
      <c r="I520" s="13" t="s">
        <v>33</v>
      </c>
      <c r="J520" s="13" t="s">
        <v>413</v>
      </c>
      <c r="K520" s="13">
        <v>5.0</v>
      </c>
      <c r="L520" s="13" t="s">
        <v>69</v>
      </c>
      <c r="M520" s="35" t="s">
        <v>1681</v>
      </c>
      <c r="N520" s="15"/>
      <c r="O520" s="16"/>
      <c r="P520" s="37"/>
      <c r="Q520" s="37"/>
      <c r="R520" s="16"/>
      <c r="S520" s="37" t="str">
        <f>IFERROR(__xludf.DUMMYFUNCTION("if(not(iserror(index(split(C520, "" ""),2))), index(split(C520, "" ""),1),"""")"),"November")</f>
        <v>November</v>
      </c>
      <c r="T520" s="38">
        <f>IFERROR(__xludf.DUMMYFUNCTION("if(S520="""",C520,if(not(iserror(index(split(C520, "" ""),3))), index(split(C520, "" ""),3),index(split(C520, "" ""),2)))"),2017.0)</f>
        <v>2017</v>
      </c>
      <c r="U520" s="38" t="b">
        <f t="shared" si="70"/>
        <v>0</v>
      </c>
      <c r="V520" s="38"/>
      <c r="W520" s="40"/>
      <c r="X520" s="40"/>
      <c r="Y520" s="40"/>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row>
    <row r="521">
      <c r="A521" s="90" t="s">
        <v>1682</v>
      </c>
      <c r="B521" s="30"/>
      <c r="C521" s="30">
        <v>43047.0</v>
      </c>
      <c r="D521" s="32"/>
      <c r="E521" s="13" t="s">
        <v>31</v>
      </c>
      <c r="F521" s="13">
        <v>1.0</v>
      </c>
      <c r="G521" s="13" t="s">
        <v>32</v>
      </c>
      <c r="H521" s="43">
        <v>1.0</v>
      </c>
      <c r="I521" s="13" t="s">
        <v>33</v>
      </c>
      <c r="J521" s="13" t="s">
        <v>93</v>
      </c>
      <c r="K521" s="13"/>
      <c r="L521" s="13" t="s">
        <v>76</v>
      </c>
      <c r="M521" s="56" t="s">
        <v>1683</v>
      </c>
      <c r="N521" s="36" t="s">
        <v>1684</v>
      </c>
      <c r="O521" s="57" t="str">
        <f>hyperlink("https://bad-boys.us/?q=ED-NY/1:17-cr-00677", "ED-NY 1:17-cr-00677")</f>
        <v>ED-NY 1:17-cr-00677</v>
      </c>
      <c r="P521" s="86" t="s">
        <v>1685</v>
      </c>
      <c r="Q521" s="37">
        <v>1.0</v>
      </c>
      <c r="R521" s="16"/>
      <c r="S521" s="37" t="str">
        <f>IFERROR(__xludf.DUMMYFUNCTION("if(not(iserror(index(split(C521, "" ""),2))), index(split(C521, "" ""),1),"""")"),"November")</f>
        <v>November</v>
      </c>
      <c r="T521" s="38">
        <f>IFERROR(__xludf.DUMMYFUNCTION("if(S521="""",C521,if(not(iserror(index(split(C521, "" ""),3))), index(split(C521, "" ""),3),index(split(C521, "" ""),2)))"),2017.0)</f>
        <v>2017</v>
      </c>
      <c r="U521" s="38" t="b">
        <f t="shared" si="70"/>
        <v>0</v>
      </c>
      <c r="V521" s="38" t="s">
        <v>33</v>
      </c>
      <c r="W521" s="39" t="s">
        <v>1686</v>
      </c>
      <c r="X521" s="39" t="s">
        <v>1687</v>
      </c>
      <c r="Y521" s="40"/>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row>
    <row r="522">
      <c r="A522" s="78" t="s">
        <v>1688</v>
      </c>
      <c r="B522" s="30">
        <v>43048.0</v>
      </c>
      <c r="C522" s="30">
        <v>43047.0</v>
      </c>
      <c r="D522" s="32" t="s">
        <v>1689</v>
      </c>
      <c r="E522" s="13" t="s">
        <v>31</v>
      </c>
      <c r="F522" s="13">
        <v>1.0</v>
      </c>
      <c r="G522" s="13" t="s">
        <v>32</v>
      </c>
      <c r="H522" s="33">
        <f t="shared" ref="H522:H528" si="71">if(G522="Unknown",1,G522)</f>
        <v>1</v>
      </c>
      <c r="I522" s="13" t="s">
        <v>33</v>
      </c>
      <c r="J522" s="13" t="s">
        <v>115</v>
      </c>
      <c r="K522" s="13">
        <v>1.0</v>
      </c>
      <c r="L522" s="13" t="s">
        <v>99</v>
      </c>
      <c r="M522" s="35" t="s">
        <v>1690</v>
      </c>
      <c r="N522" s="15"/>
      <c r="O522" s="16"/>
      <c r="P522" s="16"/>
      <c r="Q522" s="16"/>
      <c r="R522" s="16"/>
      <c r="S522" s="37" t="str">
        <f>IFERROR(__xludf.DUMMYFUNCTION("if(not(iserror(index(split(C522, "" ""),2))), index(split(C522, "" ""),1),"""")"),"November")</f>
        <v>November</v>
      </c>
      <c r="T522" s="38">
        <f>IFERROR(__xludf.DUMMYFUNCTION("if(S522="""",C522,if(not(iserror(index(split(C522, "" ""),3))), index(split(C522, "" ""),3),index(split(C522, "" ""),2)))"),2017.0)</f>
        <v>2017</v>
      </c>
      <c r="U522" s="38" t="b">
        <f t="shared" si="70"/>
        <v>0</v>
      </c>
      <c r="V522" s="38"/>
      <c r="W522" s="40"/>
      <c r="X522" s="40"/>
      <c r="Y522" s="40"/>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row>
    <row r="523">
      <c r="A523" s="13" t="s">
        <v>1691</v>
      </c>
      <c r="B523" s="30">
        <v>43053.0</v>
      </c>
      <c r="C523" s="30">
        <v>43047.0</v>
      </c>
      <c r="D523" s="32" t="s">
        <v>1692</v>
      </c>
      <c r="E523" s="13" t="s">
        <v>41</v>
      </c>
      <c r="F523" s="13">
        <v>1.0</v>
      </c>
      <c r="G523" s="13" t="s">
        <v>32</v>
      </c>
      <c r="H523" s="33">
        <f t="shared" si="71"/>
        <v>1</v>
      </c>
      <c r="I523" s="13" t="s">
        <v>33</v>
      </c>
      <c r="J523" s="13" t="s">
        <v>1356</v>
      </c>
      <c r="K523" s="13">
        <v>1.0</v>
      </c>
      <c r="L523" s="13" t="s">
        <v>99</v>
      </c>
      <c r="M523" s="35" t="s">
        <v>1357</v>
      </c>
      <c r="N523" s="15"/>
      <c r="O523" s="16"/>
      <c r="P523" s="16"/>
      <c r="Q523" s="16"/>
      <c r="R523" s="16"/>
      <c r="S523" s="37" t="str">
        <f>IFERROR(__xludf.DUMMYFUNCTION("if(not(iserror(index(split(C523, "" ""),2))), index(split(C523, "" ""),1),"""")"),"November")</f>
        <v>November</v>
      </c>
      <c r="T523" s="38">
        <f>IFERROR(__xludf.DUMMYFUNCTION("if(S523="""",C523,if(not(iserror(index(split(C523, "" ""),3))), index(split(C523, "" ""),3),index(split(C523, "" ""),2)))"),2017.0)</f>
        <v>2017</v>
      </c>
      <c r="U523" s="38" t="b">
        <f t="shared" si="70"/>
        <v>0</v>
      </c>
      <c r="V523" s="38"/>
      <c r="W523" s="40"/>
      <c r="X523" s="40"/>
      <c r="Y523" s="40"/>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row>
    <row r="524">
      <c r="A524" s="13" t="s">
        <v>40</v>
      </c>
      <c r="B524" s="30">
        <v>43052.0</v>
      </c>
      <c r="C524" s="30">
        <v>43048.0</v>
      </c>
      <c r="D524" s="32" t="s">
        <v>1692</v>
      </c>
      <c r="E524" s="13" t="s">
        <v>41</v>
      </c>
      <c r="F524" s="13">
        <v>21.0</v>
      </c>
      <c r="G524" s="13" t="s">
        <v>32</v>
      </c>
      <c r="H524" s="33">
        <f t="shared" si="71"/>
        <v>1</v>
      </c>
      <c r="I524" s="13" t="s">
        <v>33</v>
      </c>
      <c r="J524" s="13" t="s">
        <v>98</v>
      </c>
      <c r="K524" s="13">
        <v>19.0</v>
      </c>
      <c r="L524" s="13" t="s">
        <v>1693</v>
      </c>
      <c r="M524" s="35" t="s">
        <v>1694</v>
      </c>
      <c r="N524" s="15"/>
      <c r="O524" s="16"/>
      <c r="P524" s="16"/>
      <c r="Q524" s="16"/>
      <c r="R524" s="16"/>
      <c r="S524" s="37" t="str">
        <f>IFERROR(__xludf.DUMMYFUNCTION("if(not(iserror(index(split(C524, "" ""),2))), index(split(C524, "" ""),1),"""")"),"November")</f>
        <v>November</v>
      </c>
      <c r="T524" s="38">
        <f>IFERROR(__xludf.DUMMYFUNCTION("if(S524="""",C524,if(not(iserror(index(split(C524, "" ""),3))), index(split(C524, "" ""),3),index(split(C524, "" ""),2)))"),2017.0)</f>
        <v>2017</v>
      </c>
      <c r="U524" s="38" t="b">
        <f t="shared" si="70"/>
        <v>1</v>
      </c>
      <c r="V524" s="38"/>
      <c r="W524" s="40"/>
      <c r="X524" s="40"/>
      <c r="Y524" s="40"/>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row>
    <row r="525">
      <c r="A525" s="58" t="s">
        <v>1695</v>
      </c>
      <c r="B525" s="59">
        <v>43384.0</v>
      </c>
      <c r="C525" s="59">
        <v>43048.0</v>
      </c>
      <c r="D525" s="60" t="s">
        <v>1696</v>
      </c>
      <c r="E525" s="58" t="s">
        <v>41</v>
      </c>
      <c r="F525" s="58">
        <v>1.0</v>
      </c>
      <c r="G525" s="58">
        <v>1.0</v>
      </c>
      <c r="H525" s="33">
        <f t="shared" si="71"/>
        <v>1</v>
      </c>
      <c r="I525" s="58" t="s">
        <v>33</v>
      </c>
      <c r="J525" s="58" t="s">
        <v>440</v>
      </c>
      <c r="K525" s="58">
        <v>3.0</v>
      </c>
      <c r="L525" s="58" t="s">
        <v>119</v>
      </c>
      <c r="M525" s="61" t="s">
        <v>1697</v>
      </c>
      <c r="N525" s="77"/>
      <c r="O525" s="83" t="str">
        <f>hyperlink("https://bad-boys.us/?q=D-CT/3:18-cr-00127", "D-CT 3:18-cr-00127")</f>
        <v>D-CT 3:18-cr-00127</v>
      </c>
      <c r="P525" s="88" t="s">
        <v>1698</v>
      </c>
      <c r="Q525" s="84">
        <v>1.0</v>
      </c>
      <c r="R525" s="62"/>
      <c r="S525" s="37" t="str">
        <f>IFERROR(__xludf.DUMMYFUNCTION("if(not(iserror(index(split(C525, "" ""),2))), index(split(C525, "" ""),1),"""")"),"November")</f>
        <v>November</v>
      </c>
      <c r="T525" s="38">
        <f>IFERROR(__xludf.DUMMYFUNCTION("if(S525="""",C525,if(not(iserror(index(split(C525, "" ""),3))), index(split(C525, "" ""),3),index(split(C525, "" ""),2)))"),2017.0)</f>
        <v>2017</v>
      </c>
      <c r="U525" s="38" t="b">
        <f t="shared" si="70"/>
        <v>0</v>
      </c>
      <c r="V525" s="38"/>
      <c r="W525" s="40"/>
      <c r="X525" s="40"/>
      <c r="Y525" s="40"/>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row>
    <row r="526">
      <c r="A526" s="13" t="s">
        <v>239</v>
      </c>
      <c r="B526" s="30">
        <v>43053.0</v>
      </c>
      <c r="C526" s="30">
        <v>43049.0</v>
      </c>
      <c r="D526" s="32" t="s">
        <v>1676</v>
      </c>
      <c r="E526" s="13" t="s">
        <v>41</v>
      </c>
      <c r="F526" s="13">
        <v>1.0</v>
      </c>
      <c r="G526" s="13">
        <v>26.0</v>
      </c>
      <c r="H526" s="33">
        <f t="shared" si="71"/>
        <v>26</v>
      </c>
      <c r="I526" s="13" t="s">
        <v>33</v>
      </c>
      <c r="J526" s="13" t="s">
        <v>147</v>
      </c>
      <c r="K526" s="13">
        <v>1.0</v>
      </c>
      <c r="L526" s="13" t="s">
        <v>194</v>
      </c>
      <c r="M526" s="35" t="s">
        <v>1699</v>
      </c>
      <c r="N526" s="15"/>
      <c r="O526" s="16"/>
      <c r="P526" s="16"/>
      <c r="Q526" s="16"/>
      <c r="R526" s="16"/>
      <c r="S526" s="37" t="str">
        <f>IFERROR(__xludf.DUMMYFUNCTION("if(not(iserror(index(split(C526, "" ""),2))), index(split(C526, "" ""),1),"""")"),"November")</f>
        <v>November</v>
      </c>
      <c r="T526" s="38">
        <f>IFERROR(__xludf.DUMMYFUNCTION("if(S526="""",C526,if(not(iserror(index(split(C526, "" ""),3))), index(split(C526, "" ""),3),index(split(C526, "" ""),2)))"),2017.0)</f>
        <v>2017</v>
      </c>
      <c r="U526" s="38" t="b">
        <f t="shared" si="70"/>
        <v>1</v>
      </c>
      <c r="V526" s="38"/>
      <c r="W526" s="40"/>
      <c r="X526" s="40"/>
      <c r="Y526" s="40"/>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row>
    <row r="527">
      <c r="A527" s="13" t="s">
        <v>239</v>
      </c>
      <c r="B527" s="30">
        <v>43053.0</v>
      </c>
      <c r="C527" s="30">
        <v>43051.0</v>
      </c>
      <c r="D527" s="32" t="s">
        <v>1700</v>
      </c>
      <c r="E527" s="13" t="s">
        <v>41</v>
      </c>
      <c r="F527" s="13">
        <v>3.0</v>
      </c>
      <c r="G527" s="13">
        <v>2.0</v>
      </c>
      <c r="H527" s="33">
        <f t="shared" si="71"/>
        <v>2</v>
      </c>
      <c r="I527" s="13" t="s">
        <v>33</v>
      </c>
      <c r="J527" s="13" t="s">
        <v>241</v>
      </c>
      <c r="K527" s="13">
        <v>1.0</v>
      </c>
      <c r="L527" s="13" t="s">
        <v>194</v>
      </c>
      <c r="M527" s="35" t="s">
        <v>1701</v>
      </c>
      <c r="N527" s="15"/>
      <c r="O527" s="16"/>
      <c r="P527" s="16"/>
      <c r="Q527" s="16"/>
      <c r="R527" s="16"/>
      <c r="S527" s="37" t="str">
        <f>IFERROR(__xludf.DUMMYFUNCTION("if(not(iserror(index(split(C527, "" ""),2))), index(split(C527, "" ""),1),"""")"),"November")</f>
        <v>November</v>
      </c>
      <c r="T527" s="38">
        <f>IFERROR(__xludf.DUMMYFUNCTION("if(S527="""",C527,if(not(iserror(index(split(C527, "" ""),3))), index(split(C527, "" ""),3),index(split(C527, "" ""),2)))"),2017.0)</f>
        <v>2017</v>
      </c>
      <c r="U527" s="38" t="b">
        <f t="shared" si="70"/>
        <v>1</v>
      </c>
      <c r="V527" s="38"/>
      <c r="W527" s="40"/>
      <c r="X527" s="40"/>
      <c r="Y527" s="40"/>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row>
    <row r="528">
      <c r="A528" s="13" t="s">
        <v>1702</v>
      </c>
      <c r="B528" s="30">
        <v>43052.0</v>
      </c>
      <c r="C528" s="30">
        <v>43052.0</v>
      </c>
      <c r="D528" s="32" t="s">
        <v>1703</v>
      </c>
      <c r="E528" s="13" t="s">
        <v>31</v>
      </c>
      <c r="F528" s="13">
        <v>1.0</v>
      </c>
      <c r="G528" s="13" t="s">
        <v>32</v>
      </c>
      <c r="H528" s="33">
        <f t="shared" si="71"/>
        <v>1</v>
      </c>
      <c r="I528" s="13" t="s">
        <v>33</v>
      </c>
      <c r="J528" s="13" t="s">
        <v>93</v>
      </c>
      <c r="K528" s="13">
        <v>1.0</v>
      </c>
      <c r="L528" s="13" t="s">
        <v>99</v>
      </c>
      <c r="M528" s="35" t="s">
        <v>1704</v>
      </c>
      <c r="N528" s="15"/>
      <c r="O528" s="16"/>
      <c r="P528" s="16"/>
      <c r="Q528" s="16"/>
      <c r="R528" s="16"/>
      <c r="S528" s="37" t="str">
        <f>IFERROR(__xludf.DUMMYFUNCTION("if(not(iserror(index(split(C528, "" ""),2))), index(split(C528, "" ""),1),"""")"),"November")</f>
        <v>November</v>
      </c>
      <c r="T528" s="38">
        <f>IFERROR(__xludf.DUMMYFUNCTION("if(S528="""",C528,if(not(iserror(index(split(C528, "" ""),3))), index(split(C528, "" ""),3),index(split(C528, "" ""),2)))"),2017.0)</f>
        <v>2017</v>
      </c>
      <c r="U528" s="38" t="b">
        <f t="shared" si="70"/>
        <v>0</v>
      </c>
      <c r="V528" s="38"/>
      <c r="W528" s="40"/>
      <c r="X528" s="40"/>
      <c r="Y528" s="40"/>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row>
    <row r="529">
      <c r="A529" s="13" t="s">
        <v>1705</v>
      </c>
      <c r="B529" s="30"/>
      <c r="C529" s="30">
        <v>43052.0</v>
      </c>
      <c r="D529" s="32"/>
      <c r="E529" s="13" t="s">
        <v>41</v>
      </c>
      <c r="F529" s="13">
        <v>1.0</v>
      </c>
      <c r="G529" s="13" t="s">
        <v>32</v>
      </c>
      <c r="H529" s="43">
        <v>1.0</v>
      </c>
      <c r="I529" s="13" t="s">
        <v>33</v>
      </c>
      <c r="J529" s="13" t="s">
        <v>402</v>
      </c>
      <c r="K529" s="13"/>
      <c r="L529" s="13" t="s">
        <v>1706</v>
      </c>
      <c r="M529" s="35" t="s">
        <v>1707</v>
      </c>
      <c r="N529" s="15"/>
      <c r="O529" s="57" t="str">
        <f>hyperlink("https://bad-boys.us/?q=SD-IN/1:17-cr-00220", "SD-IN 1:17-cr-00220")</f>
        <v>SD-IN 1:17-cr-00220</v>
      </c>
      <c r="P529" s="86" t="s">
        <v>1708</v>
      </c>
      <c r="Q529" s="37">
        <v>1.0</v>
      </c>
      <c r="R529" s="16"/>
      <c r="S529" s="37"/>
      <c r="T529" s="38"/>
      <c r="U529" s="38" t="b">
        <f t="shared" si="70"/>
        <v>0</v>
      </c>
      <c r="V529" s="38" t="s">
        <v>33</v>
      </c>
      <c r="W529" s="40"/>
      <c r="X529" s="40"/>
      <c r="Y529" s="40"/>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row>
    <row r="530">
      <c r="A530" s="13" t="s">
        <v>1709</v>
      </c>
      <c r="B530" s="30"/>
      <c r="C530" s="30">
        <v>43052.0</v>
      </c>
      <c r="D530" s="32"/>
      <c r="E530" s="13" t="s">
        <v>41</v>
      </c>
      <c r="F530" s="13">
        <v>1.0</v>
      </c>
      <c r="G530" s="13" t="s">
        <v>32</v>
      </c>
      <c r="H530" s="43">
        <v>1.0</v>
      </c>
      <c r="I530" s="13" t="s">
        <v>33</v>
      </c>
      <c r="J530" s="13" t="s">
        <v>402</v>
      </c>
      <c r="K530" s="13"/>
      <c r="L530" s="13" t="s">
        <v>1710</v>
      </c>
      <c r="M530" s="35" t="s">
        <v>1707</v>
      </c>
      <c r="N530" s="15"/>
      <c r="O530" s="57" t="str">
        <f>hyperlink("https://bad-boys.us/?q=SD-IN/1:17-cr-00218", "SD-IN 1:17-cr-00218")</f>
        <v>SD-IN 1:17-cr-00218</v>
      </c>
      <c r="P530" s="86" t="s">
        <v>1711</v>
      </c>
      <c r="Q530" s="37">
        <v>1.0</v>
      </c>
      <c r="R530" s="16"/>
      <c r="S530" s="37"/>
      <c r="T530" s="38"/>
      <c r="U530" s="38" t="b">
        <f t="shared" si="70"/>
        <v>0</v>
      </c>
      <c r="V530" s="38" t="s">
        <v>33</v>
      </c>
      <c r="W530" s="40"/>
      <c r="X530" s="40"/>
      <c r="Y530" s="40"/>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row>
    <row r="531">
      <c r="A531" s="152" t="s">
        <v>1712</v>
      </c>
      <c r="B531" s="153">
        <v>43215.0</v>
      </c>
      <c r="C531" s="153">
        <v>43052.0</v>
      </c>
      <c r="D531" s="154" t="s">
        <v>1703</v>
      </c>
      <c r="E531" s="155" t="s">
        <v>41</v>
      </c>
      <c r="F531" s="152">
        <v>1.0</v>
      </c>
      <c r="G531" s="152" t="s">
        <v>32</v>
      </c>
      <c r="H531" s="33">
        <f t="shared" ref="H531:H537" si="72">if(G531="Unknown",1,G531)</f>
        <v>1</v>
      </c>
      <c r="I531" s="152" t="s">
        <v>33</v>
      </c>
      <c r="J531" s="152" t="s">
        <v>440</v>
      </c>
      <c r="K531" s="152">
        <v>2.0</v>
      </c>
      <c r="L531" s="155" t="s">
        <v>119</v>
      </c>
      <c r="M531" s="156" t="s">
        <v>1713</v>
      </c>
      <c r="N531" s="156" t="s">
        <v>1714</v>
      </c>
      <c r="O531" s="86" t="str">
        <f>hyperlink("https://bad-boys.us/?q=D-CT/3:18-mj-00655", "D-CT 3:18-mj-00655")</f>
        <v>D-CT 3:18-mj-00655</v>
      </c>
      <c r="P531" s="86" t="s">
        <v>1715</v>
      </c>
      <c r="Q531" s="64">
        <v>1.0</v>
      </c>
      <c r="R531" s="16"/>
      <c r="S531" s="37" t="str">
        <f>IFERROR(__xludf.DUMMYFUNCTION("if(not(iserror(index(split(C531, "" ""),2))), index(split(C531, "" ""),1),"""")"),"November")</f>
        <v>November</v>
      </c>
      <c r="T531" s="38">
        <f>IFERROR(__xludf.DUMMYFUNCTION("if(S531="""",C531,if(not(iserror(index(split(C531, "" ""),3))), index(split(C531, "" ""),3),index(split(C531, "" ""),2)))"),2017.0)</f>
        <v>2017</v>
      </c>
      <c r="U531" s="38" t="b">
        <f t="shared" si="70"/>
        <v>0</v>
      </c>
      <c r="V531" s="38"/>
      <c r="W531" s="40"/>
      <c r="X531" s="40"/>
      <c r="Y531" s="40"/>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row>
    <row r="532">
      <c r="A532" s="13" t="s">
        <v>40</v>
      </c>
      <c r="B532" s="30">
        <v>43053.0</v>
      </c>
      <c r="C532" s="30">
        <v>43053.0</v>
      </c>
      <c r="D532" s="32" t="s">
        <v>1716</v>
      </c>
      <c r="E532" s="13" t="s">
        <v>31</v>
      </c>
      <c r="F532" s="13">
        <v>19.0</v>
      </c>
      <c r="G532" s="13" t="s">
        <v>32</v>
      </c>
      <c r="H532" s="33">
        <f t="shared" si="72"/>
        <v>1</v>
      </c>
      <c r="I532" s="13" t="s">
        <v>33</v>
      </c>
      <c r="J532" s="13" t="s">
        <v>111</v>
      </c>
      <c r="K532" s="13" t="s">
        <v>32</v>
      </c>
      <c r="L532" s="13" t="s">
        <v>1717</v>
      </c>
      <c r="M532" s="35" t="s">
        <v>1718</v>
      </c>
      <c r="N532" s="15"/>
      <c r="O532" s="37"/>
      <c r="P532" s="37"/>
      <c r="Q532" s="64"/>
      <c r="R532" s="16"/>
      <c r="S532" s="37" t="str">
        <f>IFERROR(__xludf.DUMMYFUNCTION("if(not(iserror(index(split(C532, "" ""),2))), index(split(C532, "" ""),1),"""")"),"November")</f>
        <v>November</v>
      </c>
      <c r="T532" s="38">
        <f>IFERROR(__xludf.DUMMYFUNCTION("if(S532="""",C532,if(not(iserror(index(split(C532, "" ""),3))), index(split(C532, "" ""),3),index(split(C532, "" ""),2)))"),2017.0)</f>
        <v>2017</v>
      </c>
      <c r="U532" s="38" t="b">
        <f t="shared" si="70"/>
        <v>1</v>
      </c>
      <c r="V532" s="38"/>
      <c r="W532" s="40"/>
      <c r="X532" s="40"/>
      <c r="Y532" s="40"/>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row>
    <row r="533">
      <c r="A533" s="13" t="s">
        <v>1719</v>
      </c>
      <c r="B533" s="30">
        <v>43054.0</v>
      </c>
      <c r="C533" s="30">
        <v>43054.0</v>
      </c>
      <c r="D533" s="32" t="s">
        <v>1720</v>
      </c>
      <c r="E533" s="13" t="s">
        <v>41</v>
      </c>
      <c r="F533" s="13">
        <v>1.0</v>
      </c>
      <c r="G533" s="13" t="s">
        <v>32</v>
      </c>
      <c r="H533" s="33">
        <f t="shared" si="72"/>
        <v>1</v>
      </c>
      <c r="I533" s="13" t="s">
        <v>33</v>
      </c>
      <c r="J533" s="13" t="s">
        <v>222</v>
      </c>
      <c r="K533" s="13">
        <v>7.0</v>
      </c>
      <c r="L533" s="13" t="s">
        <v>99</v>
      </c>
      <c r="M533" s="45" t="s">
        <v>1721</v>
      </c>
      <c r="N533" s="15"/>
      <c r="O533" s="86" t="str">
        <f>hyperlink("https://bad-boys.us/?q=WD-WI/3:17-cr-00112", "WD-WI 3:17-cr-00112")</f>
        <v>WD-WI 3:17-cr-00112</v>
      </c>
      <c r="P533" s="86" t="s">
        <v>1722</v>
      </c>
      <c r="Q533" s="64">
        <v>1.0</v>
      </c>
      <c r="R533" s="16"/>
      <c r="S533" s="37" t="str">
        <f>IFERROR(__xludf.DUMMYFUNCTION("if(not(iserror(index(split(C533, "" ""),2))), index(split(C533, "" ""),1),"""")"),"November")</f>
        <v>November</v>
      </c>
      <c r="T533" s="38">
        <f>IFERROR(__xludf.DUMMYFUNCTION("if(S533="""",C533,if(not(iserror(index(split(C533, "" ""),3))), index(split(C533, "" ""),3),index(split(C533, "" ""),2)))"),2017.0)</f>
        <v>2017</v>
      </c>
      <c r="U533" s="38" t="b">
        <f t="shared" si="70"/>
        <v>0</v>
      </c>
      <c r="V533" s="38"/>
      <c r="W533" s="40"/>
      <c r="X533" s="40"/>
      <c r="Y533" s="40"/>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row>
    <row r="534">
      <c r="A534" s="13" t="s">
        <v>1723</v>
      </c>
      <c r="B534" s="30">
        <v>43055.0</v>
      </c>
      <c r="C534" s="30">
        <v>43054.0</v>
      </c>
      <c r="D534" s="32" t="s">
        <v>1720</v>
      </c>
      <c r="E534" s="13" t="s">
        <v>31</v>
      </c>
      <c r="F534" s="13">
        <v>1.0</v>
      </c>
      <c r="G534" s="13" t="s">
        <v>32</v>
      </c>
      <c r="H534" s="33">
        <f t="shared" si="72"/>
        <v>1</v>
      </c>
      <c r="I534" s="13" t="s">
        <v>33</v>
      </c>
      <c r="J534" s="13" t="s">
        <v>172</v>
      </c>
      <c r="K534" s="13">
        <v>1.0</v>
      </c>
      <c r="L534" s="13" t="s">
        <v>119</v>
      </c>
      <c r="M534" s="45" t="s">
        <v>1724</v>
      </c>
      <c r="N534" s="45" t="s">
        <v>1725</v>
      </c>
      <c r="O534" s="37"/>
      <c r="P534" s="37"/>
      <c r="Q534" s="37"/>
      <c r="R534" s="16"/>
      <c r="S534" s="37" t="str">
        <f>IFERROR(__xludf.DUMMYFUNCTION("if(not(iserror(index(split(C534, "" ""),2))), index(split(C534, "" ""),1),"""")"),"November")</f>
        <v>November</v>
      </c>
      <c r="T534" s="38">
        <f>IFERROR(__xludf.DUMMYFUNCTION("if(S534="""",C534,if(not(iserror(index(split(C534, "" ""),3))), index(split(C534, "" ""),3),index(split(C534, "" ""),2)))"),2017.0)</f>
        <v>2017</v>
      </c>
      <c r="U534" s="38" t="b">
        <f t="shared" si="70"/>
        <v>1</v>
      </c>
      <c r="V534" s="38"/>
      <c r="W534" s="40"/>
      <c r="X534" s="40"/>
      <c r="Y534" s="40"/>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row>
    <row r="535">
      <c r="A535" s="13" t="s">
        <v>1726</v>
      </c>
      <c r="B535" s="30">
        <v>43060.0</v>
      </c>
      <c r="C535" s="30">
        <v>43054.0</v>
      </c>
      <c r="D535" s="32" t="s">
        <v>1720</v>
      </c>
      <c r="E535" s="13" t="s">
        <v>41</v>
      </c>
      <c r="F535" s="13">
        <v>1.0</v>
      </c>
      <c r="G535" s="13" t="s">
        <v>32</v>
      </c>
      <c r="H535" s="33">
        <f t="shared" si="72"/>
        <v>1</v>
      </c>
      <c r="I535" s="13" t="s">
        <v>33</v>
      </c>
      <c r="J535" s="13" t="s">
        <v>47</v>
      </c>
      <c r="K535" s="13">
        <v>3.0</v>
      </c>
      <c r="L535" s="13" t="s">
        <v>1727</v>
      </c>
      <c r="M535" s="157" t="s">
        <v>1728</v>
      </c>
      <c r="N535" s="15"/>
      <c r="O535" s="86" t="str">
        <f>hyperlink("https://bad-boys.us/?q=MD-FL/3:17-cr-00227", "MD-FL 3:17-cr-00227")</f>
        <v>MD-FL 3:17-cr-00227</v>
      </c>
      <c r="P535" s="86" t="s">
        <v>1729</v>
      </c>
      <c r="Q535" s="64">
        <v>1.0</v>
      </c>
      <c r="R535" s="16"/>
      <c r="S535" s="37" t="str">
        <f>IFERROR(__xludf.DUMMYFUNCTION("if(not(iserror(index(split(C535, "" ""),2))), index(split(C535, "" ""),1),"""")"),"November")</f>
        <v>November</v>
      </c>
      <c r="T535" s="38">
        <f>IFERROR(__xludf.DUMMYFUNCTION("if(S535="""",C535,if(not(iserror(index(split(C535, "" ""),3))), index(split(C535, "" ""),3),index(split(C535, "" ""),2)))"),2017.0)</f>
        <v>2017</v>
      </c>
      <c r="U535" s="38" t="b">
        <f t="shared" si="70"/>
        <v>0</v>
      </c>
      <c r="V535" s="38"/>
      <c r="W535" s="40"/>
      <c r="X535" s="40"/>
      <c r="Y535" s="40"/>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row>
    <row r="536">
      <c r="A536" s="152" t="s">
        <v>1730</v>
      </c>
      <c r="B536" s="153">
        <v>43266.0</v>
      </c>
      <c r="C536" s="153">
        <v>43054.0</v>
      </c>
      <c r="D536" s="154" t="s">
        <v>1720</v>
      </c>
      <c r="E536" s="155" t="s">
        <v>41</v>
      </c>
      <c r="F536" s="152">
        <v>1.0</v>
      </c>
      <c r="G536" s="152" t="s">
        <v>32</v>
      </c>
      <c r="H536" s="33">
        <f t="shared" si="72"/>
        <v>1</v>
      </c>
      <c r="I536" s="152" t="s">
        <v>33</v>
      </c>
      <c r="J536" s="152" t="s">
        <v>288</v>
      </c>
      <c r="K536" s="152" t="s">
        <v>32</v>
      </c>
      <c r="L536" s="152" t="s">
        <v>807</v>
      </c>
      <c r="M536" s="158" t="s">
        <v>1731</v>
      </c>
      <c r="N536" s="158" t="s">
        <v>1732</v>
      </c>
      <c r="O536" s="88" t="str">
        <f>hyperlink("https://bad-boys.us/?q=D-NE/4:17-cr-03148", "D-NE 4:17-cr-03148")</f>
        <v>D-NE 4:17-cr-03148</v>
      </c>
      <c r="P536" s="88" t="s">
        <v>1733</v>
      </c>
      <c r="Q536" s="84">
        <v>1.0</v>
      </c>
      <c r="R536" s="62"/>
      <c r="S536" s="37" t="str">
        <f>IFERROR(__xludf.DUMMYFUNCTION("if(not(iserror(index(split(C536, "" ""),2))), index(split(C536, "" ""),1),"""")"),"November")</f>
        <v>November</v>
      </c>
      <c r="T536" s="38">
        <f>IFERROR(__xludf.DUMMYFUNCTION("if(S536="""",C536,if(not(iserror(index(split(C536, "" ""),3))), index(split(C536, "" ""),3),index(split(C536, "" ""),2)))"),2017.0)</f>
        <v>2017</v>
      </c>
      <c r="U536" s="38" t="b">
        <f t="shared" si="70"/>
        <v>0</v>
      </c>
      <c r="V536" s="38"/>
      <c r="W536" s="40"/>
      <c r="X536" s="40"/>
      <c r="Y536" s="40"/>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row>
    <row r="537">
      <c r="A537" s="13" t="s">
        <v>239</v>
      </c>
      <c r="B537" s="30">
        <v>43056.0</v>
      </c>
      <c r="C537" s="30">
        <v>43055.0</v>
      </c>
      <c r="D537" s="32" t="s">
        <v>1734</v>
      </c>
      <c r="E537" s="13" t="s">
        <v>41</v>
      </c>
      <c r="F537" s="13">
        <v>2.0</v>
      </c>
      <c r="G537" s="13">
        <v>1.0</v>
      </c>
      <c r="H537" s="33">
        <f t="shared" si="72"/>
        <v>1</v>
      </c>
      <c r="I537" s="13" t="s">
        <v>33</v>
      </c>
      <c r="J537" s="13" t="s">
        <v>241</v>
      </c>
      <c r="K537" s="13">
        <v>1.0</v>
      </c>
      <c r="L537" s="13" t="s">
        <v>194</v>
      </c>
      <c r="M537" s="45" t="s">
        <v>1735</v>
      </c>
      <c r="N537" s="15"/>
      <c r="O537" s="37"/>
      <c r="P537" s="16"/>
      <c r="Q537" s="64"/>
      <c r="R537" s="16"/>
      <c r="S537" s="37" t="str">
        <f>IFERROR(__xludf.DUMMYFUNCTION("if(not(iserror(index(split(C537, "" ""),2))), index(split(C537, "" ""),1),"""")"),"November")</f>
        <v>November</v>
      </c>
      <c r="T537" s="38">
        <f>IFERROR(__xludf.DUMMYFUNCTION("if(S537="""",C537,if(not(iserror(index(split(C537, "" ""),3))), index(split(C537, "" ""),3),index(split(C537, "" ""),2)))"),2017.0)</f>
        <v>2017</v>
      </c>
      <c r="U537" s="38" t="b">
        <f t="shared" si="70"/>
        <v>1</v>
      </c>
      <c r="V537" s="38"/>
      <c r="W537" s="40"/>
      <c r="X537" s="40"/>
      <c r="Y537" s="40"/>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row>
    <row r="538">
      <c r="A538" s="13" t="s">
        <v>1736</v>
      </c>
      <c r="B538" s="30"/>
      <c r="C538" s="30">
        <v>43055.0</v>
      </c>
      <c r="D538" s="32"/>
      <c r="E538" s="13" t="s">
        <v>41</v>
      </c>
      <c r="F538" s="13">
        <v>1.0</v>
      </c>
      <c r="G538" s="13">
        <v>2.0</v>
      </c>
      <c r="H538" s="43">
        <v>2.0</v>
      </c>
      <c r="I538" s="13" t="s">
        <v>33</v>
      </c>
      <c r="J538" s="13" t="s">
        <v>68</v>
      </c>
      <c r="K538" s="13"/>
      <c r="L538" s="13" t="s">
        <v>1737</v>
      </c>
      <c r="M538" s="157" t="s">
        <v>1738</v>
      </c>
      <c r="N538" s="104"/>
      <c r="O538" s="91"/>
      <c r="P538" s="64"/>
      <c r="Q538" s="64"/>
      <c r="R538" s="64"/>
      <c r="S538" s="37"/>
      <c r="T538" s="38"/>
      <c r="U538" s="38" t="b">
        <f t="shared" si="70"/>
        <v>0</v>
      </c>
      <c r="V538" s="38" t="s">
        <v>33</v>
      </c>
      <c r="W538" s="40"/>
      <c r="X538" s="40"/>
      <c r="Y538" s="40"/>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row>
    <row r="539">
      <c r="A539" s="13" t="s">
        <v>1739</v>
      </c>
      <c r="B539" s="30"/>
      <c r="C539" s="30" t="s">
        <v>1740</v>
      </c>
      <c r="D539" s="32"/>
      <c r="E539" s="13" t="s">
        <v>41</v>
      </c>
      <c r="F539" s="13">
        <v>1.0</v>
      </c>
      <c r="G539" s="13" t="s">
        <v>32</v>
      </c>
      <c r="H539" s="43">
        <v>1.0</v>
      </c>
      <c r="I539" s="13" t="s">
        <v>33</v>
      </c>
      <c r="J539" s="13" t="s">
        <v>279</v>
      </c>
      <c r="K539" s="13"/>
      <c r="L539" s="13" t="s">
        <v>119</v>
      </c>
      <c r="M539" s="45" t="s">
        <v>1741</v>
      </c>
      <c r="N539" s="14"/>
      <c r="O539" s="57" t="str">
        <f>hyperlink("https://bad-boys.us/?q=WD-MO/4:18-cr-00260", "WD-MO 4:18-cr-00260")</f>
        <v>WD-MO 4:18-cr-00260</v>
      </c>
      <c r="P539" s="86" t="s">
        <v>1742</v>
      </c>
      <c r="Q539" s="37">
        <v>1.0</v>
      </c>
      <c r="R539" s="16"/>
      <c r="S539" s="37" t="str">
        <f>IFERROR(__xludf.DUMMYFUNCTION("if(not(iserror(index(split(C539, "" ""),2))), index(split(C539, "" ""),1),"""")"),"Nobember")</f>
        <v>Nobember</v>
      </c>
      <c r="T539" s="38">
        <f>IFERROR(__xludf.DUMMYFUNCTION("if(S539="""",C539,if(not(iserror(index(split(C539, "" ""),3))), index(split(C539, "" ""),3),index(split(C539, "" ""),2)))"),2017.0)</f>
        <v>2017</v>
      </c>
      <c r="U539" s="38" t="b">
        <f t="shared" si="70"/>
        <v>0</v>
      </c>
      <c r="V539" s="38" t="s">
        <v>33</v>
      </c>
      <c r="W539" s="40"/>
      <c r="X539" s="40"/>
      <c r="Y539" s="40"/>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row>
    <row r="540">
      <c r="A540" s="13" t="s">
        <v>1743</v>
      </c>
      <c r="B540" s="30">
        <v>43056.0</v>
      </c>
      <c r="C540" s="30">
        <v>43056.0</v>
      </c>
      <c r="D540" s="32" t="s">
        <v>1744</v>
      </c>
      <c r="E540" s="13" t="s">
        <v>31</v>
      </c>
      <c r="F540" s="13">
        <v>1.0</v>
      </c>
      <c r="G540" s="13" t="s">
        <v>32</v>
      </c>
      <c r="H540" s="33">
        <f>if(G540="Unknown",1,G540)</f>
        <v>1</v>
      </c>
      <c r="I540" s="13" t="s">
        <v>33</v>
      </c>
      <c r="J540" s="13" t="s">
        <v>115</v>
      </c>
      <c r="K540" s="13">
        <v>1.0</v>
      </c>
      <c r="L540" s="13" t="s">
        <v>119</v>
      </c>
      <c r="M540" s="45" t="s">
        <v>1745</v>
      </c>
      <c r="N540" s="120" t="s">
        <v>1746</v>
      </c>
      <c r="O540" s="57" t="str">
        <f>hyperlink("https://bad-boys.us/?q=MD-PA/3:18-cr-00015", "MD-PA 3:18-cr-00015")</f>
        <v>MD-PA 3:18-cr-00015</v>
      </c>
      <c r="P540" s="16"/>
      <c r="Q540" s="37">
        <v>1.0</v>
      </c>
      <c r="R540" s="16"/>
      <c r="S540" s="37" t="str">
        <f>IFERROR(__xludf.DUMMYFUNCTION("if(not(iserror(index(split(C540, "" ""),2))), index(split(C540, "" ""),1),"""")"),"November")</f>
        <v>November</v>
      </c>
      <c r="T540" s="38">
        <f>IFERROR(__xludf.DUMMYFUNCTION("if(S540="""",C540,if(not(iserror(index(split(C540, "" ""),3))), index(split(C540, "" ""),3),index(split(C540, "" ""),2)))"),2017.0)</f>
        <v>2017</v>
      </c>
      <c r="U540" s="38" t="b">
        <f t="shared" si="70"/>
        <v>0</v>
      </c>
      <c r="V540" s="38" t="s">
        <v>33</v>
      </c>
      <c r="W540" s="39" t="s">
        <v>1747</v>
      </c>
      <c r="X540" s="39" t="s">
        <v>1748</v>
      </c>
      <c r="Y540" s="40"/>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row>
    <row r="541">
      <c r="A541" s="13" t="s">
        <v>1749</v>
      </c>
      <c r="B541" s="30"/>
      <c r="C541" s="30">
        <v>43057.0</v>
      </c>
      <c r="D541" s="32"/>
      <c r="E541" s="13" t="s">
        <v>41</v>
      </c>
      <c r="F541" s="13">
        <v>1.0</v>
      </c>
      <c r="G541" s="13">
        <v>1.0</v>
      </c>
      <c r="H541" s="43">
        <v>1.0</v>
      </c>
      <c r="I541" s="13" t="s">
        <v>33</v>
      </c>
      <c r="J541" s="13" t="s">
        <v>279</v>
      </c>
      <c r="K541" s="13"/>
      <c r="L541" s="13" t="s">
        <v>1750</v>
      </c>
      <c r="M541" s="45" t="s">
        <v>1751</v>
      </c>
      <c r="N541" s="120"/>
      <c r="O541" s="16"/>
      <c r="P541" s="16"/>
      <c r="Q541" s="37"/>
      <c r="R541" s="16"/>
      <c r="S541" s="37"/>
      <c r="T541" s="38"/>
      <c r="U541" s="38" t="b">
        <f t="shared" si="70"/>
        <v>0</v>
      </c>
      <c r="V541" s="38" t="s">
        <v>33</v>
      </c>
      <c r="W541" s="40"/>
      <c r="X541" s="40"/>
      <c r="Y541" s="40"/>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row>
    <row r="542">
      <c r="A542" s="87" t="s">
        <v>1752</v>
      </c>
      <c r="B542" s="59">
        <v>43452.0</v>
      </c>
      <c r="C542" s="59">
        <v>43058.0</v>
      </c>
      <c r="D542" s="60" t="s">
        <v>1753</v>
      </c>
      <c r="E542" s="58" t="s">
        <v>31</v>
      </c>
      <c r="F542" s="58">
        <v>1.0</v>
      </c>
      <c r="G542" s="58" t="s">
        <v>32</v>
      </c>
      <c r="H542" s="33">
        <f t="shared" ref="H542:H543" si="73">if(G542="Unknown",1,G542)</f>
        <v>1</v>
      </c>
      <c r="I542" s="58" t="s">
        <v>33</v>
      </c>
      <c r="J542" s="58" t="s">
        <v>514</v>
      </c>
      <c r="K542" s="58">
        <v>2.0</v>
      </c>
      <c r="L542" s="58" t="s">
        <v>646</v>
      </c>
      <c r="M542" s="61" t="s">
        <v>1754</v>
      </c>
      <c r="N542" s="61" t="s">
        <v>1755</v>
      </c>
      <c r="O542" s="62"/>
      <c r="P542" s="62"/>
      <c r="Q542" s="62"/>
      <c r="R542" s="62"/>
      <c r="S542" s="37" t="str">
        <f>IFERROR(__xludf.DUMMYFUNCTION("if(not(iserror(index(split(C542, "" ""),2))), index(split(C542, "" ""),1),"""")"),"November")</f>
        <v>November</v>
      </c>
      <c r="T542" s="38">
        <f>IFERROR(__xludf.DUMMYFUNCTION("if(S542="""",C542,if(not(iserror(index(split(C542, "" ""),3))), index(split(C542, "" ""),3),index(split(C542, "" ""),2)))"),2017.0)</f>
        <v>2017</v>
      </c>
      <c r="U542" s="38" t="b">
        <f t="shared" si="70"/>
        <v>0</v>
      </c>
      <c r="V542" s="38"/>
      <c r="W542" s="40"/>
      <c r="X542" s="40"/>
      <c r="Y542" s="40"/>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row>
    <row r="543">
      <c r="A543" s="13" t="s">
        <v>1756</v>
      </c>
      <c r="B543" s="30">
        <v>43059.0</v>
      </c>
      <c r="C543" s="30">
        <v>43059.0</v>
      </c>
      <c r="D543" s="32" t="s">
        <v>1757</v>
      </c>
      <c r="E543" s="13" t="s">
        <v>31</v>
      </c>
      <c r="F543" s="13">
        <v>1.0</v>
      </c>
      <c r="G543" s="13" t="s">
        <v>32</v>
      </c>
      <c r="H543" s="33">
        <f t="shared" si="73"/>
        <v>1</v>
      </c>
      <c r="I543" s="13" t="s">
        <v>33</v>
      </c>
      <c r="J543" s="13" t="s">
        <v>47</v>
      </c>
      <c r="K543" s="13">
        <v>2.0</v>
      </c>
      <c r="L543" s="13" t="s">
        <v>99</v>
      </c>
      <c r="M543" s="45" t="s">
        <v>1758</v>
      </c>
      <c r="N543" s="15"/>
      <c r="O543" s="16"/>
      <c r="P543" s="16"/>
      <c r="Q543" s="16"/>
      <c r="R543" s="16"/>
      <c r="S543" s="37" t="str">
        <f>IFERROR(__xludf.DUMMYFUNCTION("if(not(iserror(index(split(C543, "" ""),2))), index(split(C543, "" ""),1),"""")"),"November")</f>
        <v>November</v>
      </c>
      <c r="T543" s="38">
        <f>IFERROR(__xludf.DUMMYFUNCTION("if(S543="""",C543,if(not(iserror(index(split(C543, "" ""),3))), index(split(C543, "" ""),3),index(split(C543, "" ""),2)))"),2017.0)</f>
        <v>2017</v>
      </c>
      <c r="U543" s="38" t="b">
        <f t="shared" si="70"/>
        <v>0</v>
      </c>
      <c r="V543" s="38"/>
      <c r="W543" s="40"/>
      <c r="X543" s="40"/>
      <c r="Y543" s="40"/>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row>
    <row r="544">
      <c r="A544" s="87" t="s">
        <v>1759</v>
      </c>
      <c r="B544" s="30">
        <v>43060.0</v>
      </c>
      <c r="C544" s="30">
        <v>43060.0</v>
      </c>
      <c r="D544" s="32" t="s">
        <v>1760</v>
      </c>
      <c r="E544" s="13" t="s">
        <v>31</v>
      </c>
      <c r="F544" s="13">
        <v>1.0</v>
      </c>
      <c r="G544" s="13" t="s">
        <v>32</v>
      </c>
      <c r="H544" s="50">
        <v>1.0</v>
      </c>
      <c r="I544" s="13" t="s">
        <v>33</v>
      </c>
      <c r="J544" s="13" t="s">
        <v>93</v>
      </c>
      <c r="K544" s="13">
        <v>2.0</v>
      </c>
      <c r="L544" s="13" t="s">
        <v>807</v>
      </c>
      <c r="M544" s="122" t="s">
        <v>1761</v>
      </c>
      <c r="N544" s="36" t="s">
        <v>1762</v>
      </c>
      <c r="O544" s="37"/>
      <c r="P544" s="37"/>
      <c r="Q544" s="37"/>
      <c r="R544" s="16"/>
      <c r="S544" s="37" t="str">
        <f>IFERROR(__xludf.DUMMYFUNCTION("if(not(iserror(index(split(C544, "" ""),2))), index(split(C544, "" ""),1),"""")"),"November")</f>
        <v>November</v>
      </c>
      <c r="T544" s="38">
        <f>IFERROR(__xludf.DUMMYFUNCTION("if(S544="""",C544,if(not(iserror(index(split(C544, "" ""),3))), index(split(C544, "" ""),3),index(split(C544, "" ""),2)))"),2017.0)</f>
        <v>2017</v>
      </c>
      <c r="U544" s="38" t="b">
        <f t="shared" si="70"/>
        <v>0</v>
      </c>
      <c r="V544" s="38"/>
      <c r="W544" s="40"/>
      <c r="X544" s="40"/>
      <c r="Y544" s="40"/>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row>
    <row r="545">
      <c r="A545" s="37" t="s">
        <v>1763</v>
      </c>
      <c r="B545" s="30">
        <v>43060.0</v>
      </c>
      <c r="C545" s="30">
        <v>43060.0</v>
      </c>
      <c r="D545" s="32" t="s">
        <v>1760</v>
      </c>
      <c r="E545" s="13" t="s">
        <v>41</v>
      </c>
      <c r="F545" s="13">
        <v>1.0</v>
      </c>
      <c r="G545" s="13" t="s">
        <v>32</v>
      </c>
      <c r="H545" s="33">
        <f t="shared" ref="H545:H548" si="74">if(G545="Unknown",1,G545)</f>
        <v>1</v>
      </c>
      <c r="I545" s="13" t="s">
        <v>33</v>
      </c>
      <c r="J545" s="13" t="s">
        <v>115</v>
      </c>
      <c r="K545" s="13">
        <v>2.0</v>
      </c>
      <c r="L545" s="13" t="s">
        <v>119</v>
      </c>
      <c r="M545" s="45" t="s">
        <v>1764</v>
      </c>
      <c r="N545" s="15"/>
      <c r="O545" s="86" t="str">
        <f>hyperlink("https://bad-boys.us/?q=ED-PA/5:17-cr-00613", "ED-PA 5:17-cr-00613")</f>
        <v>ED-PA 5:17-cr-00613</v>
      </c>
      <c r="P545" s="86" t="s">
        <v>1765</v>
      </c>
      <c r="Q545" s="37">
        <v>1.0</v>
      </c>
      <c r="R545" s="16"/>
      <c r="S545" s="37" t="str">
        <f>IFERROR(__xludf.DUMMYFUNCTION("if(not(iserror(index(split(C545, "" ""),2))), index(split(C545, "" ""),1),"""")"),"November")</f>
        <v>November</v>
      </c>
      <c r="T545" s="38">
        <f>IFERROR(__xludf.DUMMYFUNCTION("if(S545="""",C545,if(not(iserror(index(split(C545, "" ""),3))), index(split(C545, "" ""),3),index(split(C545, "" ""),2)))"),2017.0)</f>
        <v>2017</v>
      </c>
      <c r="U545" s="38" t="b">
        <f t="shared" si="70"/>
        <v>0</v>
      </c>
      <c r="V545" s="38"/>
      <c r="W545" s="40"/>
      <c r="X545" s="40"/>
      <c r="Y545" s="40"/>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row>
    <row r="546">
      <c r="A546" s="13" t="s">
        <v>1766</v>
      </c>
      <c r="B546" s="30">
        <v>43060.0</v>
      </c>
      <c r="C546" s="30">
        <v>43060.0</v>
      </c>
      <c r="D546" s="32" t="s">
        <v>1760</v>
      </c>
      <c r="E546" s="13" t="s">
        <v>31</v>
      </c>
      <c r="F546" s="13">
        <v>1.0</v>
      </c>
      <c r="G546" s="13" t="s">
        <v>32</v>
      </c>
      <c r="H546" s="33">
        <f t="shared" si="74"/>
        <v>1</v>
      </c>
      <c r="I546" s="13" t="s">
        <v>33</v>
      </c>
      <c r="J546" s="13" t="s">
        <v>268</v>
      </c>
      <c r="K546" s="13">
        <v>4.0</v>
      </c>
      <c r="L546" s="13" t="s">
        <v>119</v>
      </c>
      <c r="M546" s="45" t="s">
        <v>1767</v>
      </c>
      <c r="N546" s="36" t="s">
        <v>1768</v>
      </c>
      <c r="O546" s="86" t="str">
        <f>hyperlink("https://bad-boys.us/?q=ND-OK/4:18-cr-00073", "ND-OK 4:18-cr-00073")</f>
        <v>ND-OK 4:18-cr-00073</v>
      </c>
      <c r="P546" s="16"/>
      <c r="Q546" s="64">
        <v>1.0</v>
      </c>
      <c r="R546" s="16"/>
      <c r="S546" s="37" t="str">
        <f>IFERROR(__xludf.DUMMYFUNCTION("if(not(iserror(index(split(C546, "" ""),2))), index(split(C546, "" ""),1),"""")"),"November")</f>
        <v>November</v>
      </c>
      <c r="T546" s="38">
        <f>IFERROR(__xludf.DUMMYFUNCTION("if(S546="""",C546,if(not(iserror(index(split(C546, "" ""),3))), index(split(C546, "" ""),3),index(split(C546, "" ""),2)))"),2017.0)</f>
        <v>2017</v>
      </c>
      <c r="U546" s="38" t="b">
        <f t="shared" si="70"/>
        <v>0</v>
      </c>
      <c r="V546" s="38"/>
      <c r="W546" s="40"/>
      <c r="X546" s="40"/>
      <c r="Y546" s="40"/>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row>
    <row r="547">
      <c r="A547" s="58" t="s">
        <v>1769</v>
      </c>
      <c r="B547" s="59">
        <v>43218.0</v>
      </c>
      <c r="C547" s="59">
        <v>43060.0</v>
      </c>
      <c r="D547" s="60" t="s">
        <v>1760</v>
      </c>
      <c r="E547" s="58" t="s">
        <v>41</v>
      </c>
      <c r="F547" s="58">
        <v>1.0</v>
      </c>
      <c r="G547" s="58" t="s">
        <v>32</v>
      </c>
      <c r="H547" s="33">
        <f t="shared" si="74"/>
        <v>1</v>
      </c>
      <c r="I547" s="58" t="s">
        <v>33</v>
      </c>
      <c r="J547" s="58" t="s">
        <v>460</v>
      </c>
      <c r="K547" s="58">
        <v>3.0</v>
      </c>
      <c r="L547" s="58" t="s">
        <v>807</v>
      </c>
      <c r="M547" s="36" t="s">
        <v>1770</v>
      </c>
      <c r="N547" s="61" t="s">
        <v>1771</v>
      </c>
      <c r="O547" s="88" t="str">
        <f>hyperlink("https://bad-boys.us/?q=SD-IA/1:17-cr-00052", "SD-IA 1:17-cr-00052")</f>
        <v>SD-IA 1:17-cr-00052</v>
      </c>
      <c r="P547" s="62"/>
      <c r="Q547" s="84">
        <v>1.0</v>
      </c>
      <c r="R547" s="62"/>
      <c r="S547" s="37" t="str">
        <f>IFERROR(__xludf.DUMMYFUNCTION("if(not(iserror(index(split(C547, "" ""),2))), index(split(C547, "" ""),1),"""")"),"November")</f>
        <v>November</v>
      </c>
      <c r="T547" s="38">
        <f>IFERROR(__xludf.DUMMYFUNCTION("if(S547="""",C547,if(not(iserror(index(split(C547, "" ""),3))), index(split(C547, "" ""),3),index(split(C547, "" ""),2)))"),2017.0)</f>
        <v>2017</v>
      </c>
      <c r="U547" s="38" t="b">
        <f t="shared" si="70"/>
        <v>0</v>
      </c>
      <c r="V547" s="38"/>
      <c r="W547" s="40"/>
      <c r="X547" s="40"/>
      <c r="Y547" s="40"/>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row>
    <row r="548">
      <c r="A548" s="37" t="s">
        <v>911</v>
      </c>
      <c r="B548" s="99">
        <v>43264.0</v>
      </c>
      <c r="C548" s="99">
        <v>43060.0</v>
      </c>
      <c r="D548" s="159">
        <v>43060.0</v>
      </c>
      <c r="E548" s="37" t="s">
        <v>41</v>
      </c>
      <c r="F548" s="37">
        <v>1.0</v>
      </c>
      <c r="G548" s="37" t="s">
        <v>32</v>
      </c>
      <c r="H548" s="33">
        <f t="shared" si="74"/>
        <v>1</v>
      </c>
      <c r="I548" s="37" t="s">
        <v>33</v>
      </c>
      <c r="J548" s="37" t="s">
        <v>68</v>
      </c>
      <c r="K548" s="37" t="s">
        <v>32</v>
      </c>
      <c r="L548" s="37" t="s">
        <v>52</v>
      </c>
      <c r="M548" s="36" t="s">
        <v>1772</v>
      </c>
      <c r="N548" s="102"/>
      <c r="Q548" s="16"/>
      <c r="S548" s="37" t="str">
        <f>IFERROR(__xludf.DUMMYFUNCTION("if(not(iserror(index(split(C548, "" ""),2))), index(split(C548, "" ""),1),"""")"),"November")</f>
        <v>November</v>
      </c>
      <c r="T548" s="38">
        <f>IFERROR(__xludf.DUMMYFUNCTION("if(S548="""",C548,if(not(iserror(index(split(C548, "" ""),3))), index(split(C548, "" ""),3),index(split(C548, "" ""),2)))"),2017.0)</f>
        <v>2017</v>
      </c>
      <c r="U548" s="38" t="b">
        <f t="shared" si="70"/>
        <v>1</v>
      </c>
      <c r="V548" s="38"/>
      <c r="W548" s="40"/>
      <c r="X548" s="40"/>
      <c r="Y548" s="40"/>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row>
    <row r="549">
      <c r="A549" s="87" t="s">
        <v>1773</v>
      </c>
      <c r="B549" s="99"/>
      <c r="C549" s="99">
        <v>43060.0</v>
      </c>
      <c r="D549" s="159"/>
      <c r="E549" s="37" t="s">
        <v>41</v>
      </c>
      <c r="F549" s="37">
        <v>1.0</v>
      </c>
      <c r="G549" s="37">
        <v>2.0</v>
      </c>
      <c r="H549" s="43">
        <v>2.0</v>
      </c>
      <c r="I549" s="37" t="s">
        <v>33</v>
      </c>
      <c r="J549" s="37" t="s">
        <v>850</v>
      </c>
      <c r="K549" s="37"/>
      <c r="L549" s="37" t="s">
        <v>646</v>
      </c>
      <c r="M549" s="36" t="s">
        <v>1774</v>
      </c>
      <c r="N549" s="102"/>
      <c r="O549" s="160" t="str">
        <f>hyperlink("https://bad-boys.us/?q=D-SC/3:18-cr-00308", "D-SC 3:18-cr-00308")</f>
        <v>D-SC 3:18-cr-00308</v>
      </c>
      <c r="Q549" s="64">
        <v>1.0</v>
      </c>
      <c r="S549" s="37" t="str">
        <f>IFERROR(__xludf.DUMMYFUNCTION("if(not(iserror(index(split(C549, "" ""),2))), index(split(C549, "" ""),1),"""")"),"November")</f>
        <v>November</v>
      </c>
      <c r="T549" s="38">
        <f>IFERROR(__xludf.DUMMYFUNCTION("if(S549="""",C549,if(not(iserror(index(split(C549, "" ""),3))), index(split(C549, "" ""),3),index(split(C549, "" ""),2)))"),2017.0)</f>
        <v>2017</v>
      </c>
      <c r="U549" s="38" t="b">
        <f t="shared" si="70"/>
        <v>0</v>
      </c>
      <c r="V549" s="38" t="s">
        <v>33</v>
      </c>
      <c r="W549" s="40"/>
      <c r="X549" s="40"/>
      <c r="Y549" s="40"/>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row>
    <row r="550">
      <c r="A550" s="58" t="s">
        <v>1775</v>
      </c>
      <c r="B550" s="59"/>
      <c r="C550" s="59">
        <v>43061.0</v>
      </c>
      <c r="D550" s="60"/>
      <c r="E550" s="58" t="s">
        <v>41</v>
      </c>
      <c r="F550" s="58">
        <v>1.0</v>
      </c>
      <c r="G550" s="58" t="s">
        <v>32</v>
      </c>
      <c r="H550" s="43">
        <v>1.0</v>
      </c>
      <c r="I550" s="58" t="s">
        <v>33</v>
      </c>
      <c r="J550" s="58" t="s">
        <v>106</v>
      </c>
      <c r="K550" s="58"/>
      <c r="L550" s="58" t="s">
        <v>119</v>
      </c>
      <c r="M550" s="61" t="s">
        <v>1776</v>
      </c>
      <c r="N550" s="80"/>
      <c r="O550" s="83" t="str">
        <f>hyperlink("https://bad-boys.us/?q=D-MD/1:18-cr-00166", "D-MD 1:18-cr-00166")</f>
        <v>D-MD 1:18-cr-00166</v>
      </c>
      <c r="P550" s="88" t="s">
        <v>1777</v>
      </c>
      <c r="Q550" s="58">
        <v>1.0</v>
      </c>
      <c r="R550" s="62"/>
      <c r="S550" s="37" t="str">
        <f>IFERROR(__xludf.DUMMYFUNCTION("if(not(iserror(index(split(C550, "" ""),2))), index(split(C550, "" ""),1),"""")"),"November")</f>
        <v>November</v>
      </c>
      <c r="T550" s="38">
        <f>IFERROR(__xludf.DUMMYFUNCTION("if(S550="""",C550,if(not(iserror(index(split(C550, "" ""),3))), index(split(C550, "" ""),3),index(split(C550, "" ""),2)))"),2017.0)</f>
        <v>2017</v>
      </c>
      <c r="U550" s="38" t="b">
        <f t="shared" si="70"/>
        <v>0</v>
      </c>
      <c r="V550" s="38" t="s">
        <v>33</v>
      </c>
      <c r="W550" s="40"/>
      <c r="X550" s="40"/>
      <c r="Y550" s="40"/>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row>
    <row r="551">
      <c r="A551" s="58" t="s">
        <v>1778</v>
      </c>
      <c r="B551" s="59">
        <v>43357.0</v>
      </c>
      <c r="C551" s="59">
        <v>43061.0</v>
      </c>
      <c r="D551" s="60" t="s">
        <v>1779</v>
      </c>
      <c r="E551" s="58" t="s">
        <v>31</v>
      </c>
      <c r="F551" s="58">
        <v>1.0</v>
      </c>
      <c r="G551" s="58" t="s">
        <v>32</v>
      </c>
      <c r="H551" s="33">
        <f>if(G551="Unknown",1,G551)</f>
        <v>1</v>
      </c>
      <c r="I551" s="58" t="s">
        <v>33</v>
      </c>
      <c r="J551" s="58" t="s">
        <v>115</v>
      </c>
      <c r="K551" s="58">
        <v>1.0</v>
      </c>
      <c r="L551" s="58" t="s">
        <v>52</v>
      </c>
      <c r="M551" s="61" t="s">
        <v>1780</v>
      </c>
      <c r="N551" s="61" t="s">
        <v>1781</v>
      </c>
      <c r="O551" s="62"/>
      <c r="P551" s="62"/>
      <c r="Q551" s="62"/>
      <c r="R551" s="62"/>
      <c r="S551" s="37" t="str">
        <f>IFERROR(__xludf.DUMMYFUNCTION("if(not(iserror(index(split(C551, "" ""),2))), index(split(C551, "" ""),1),"""")"),"November")</f>
        <v>November</v>
      </c>
      <c r="T551" s="38">
        <f>IFERROR(__xludf.DUMMYFUNCTION("if(S551="""",C551,if(not(iserror(index(split(C551, "" ""),3))), index(split(C551, "" ""),3),index(split(C551, "" ""),2)))"),2017.0)</f>
        <v>2017</v>
      </c>
      <c r="U551" s="38" t="b">
        <f t="shared" si="70"/>
        <v>0</v>
      </c>
      <c r="V551" s="38"/>
      <c r="W551" s="40"/>
      <c r="X551" s="40"/>
      <c r="Y551" s="40"/>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row>
    <row r="552">
      <c r="A552" s="13" t="s">
        <v>1782</v>
      </c>
      <c r="B552" s="30"/>
      <c r="C552" s="30">
        <v>43064.0</v>
      </c>
      <c r="D552" s="32"/>
      <c r="E552" s="13" t="s">
        <v>41</v>
      </c>
      <c r="F552" s="13">
        <v>1.0</v>
      </c>
      <c r="G552" s="13">
        <v>1.0</v>
      </c>
      <c r="H552" s="43">
        <v>1.0</v>
      </c>
      <c r="I552" s="13" t="s">
        <v>33</v>
      </c>
      <c r="J552" s="13" t="s">
        <v>147</v>
      </c>
      <c r="K552" s="13"/>
      <c r="L552" s="13" t="s">
        <v>646</v>
      </c>
      <c r="M552" s="44" t="s">
        <v>1783</v>
      </c>
      <c r="N552" s="104" t="s">
        <v>1784</v>
      </c>
      <c r="O552" s="37"/>
      <c r="P552" s="16"/>
      <c r="Q552" s="64"/>
      <c r="R552" s="16"/>
      <c r="S552" s="37"/>
      <c r="T552" s="38"/>
      <c r="U552" s="38" t="b">
        <f t="shared" si="70"/>
        <v>0</v>
      </c>
      <c r="V552" s="38" t="s">
        <v>33</v>
      </c>
      <c r="W552" s="40" t="s">
        <v>1785</v>
      </c>
      <c r="X552" s="40"/>
      <c r="Y552" s="40"/>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row>
    <row r="553">
      <c r="A553" s="13" t="s">
        <v>1786</v>
      </c>
      <c r="B553" s="30"/>
      <c r="C553" s="30">
        <v>43064.0</v>
      </c>
      <c r="D553" s="32"/>
      <c r="E553" s="13" t="s">
        <v>41</v>
      </c>
      <c r="F553" s="13">
        <v>1.0</v>
      </c>
      <c r="G553" s="13">
        <v>1.0</v>
      </c>
      <c r="H553" s="43">
        <v>1.0</v>
      </c>
      <c r="I553" s="13" t="s">
        <v>33</v>
      </c>
      <c r="J553" s="13" t="s">
        <v>147</v>
      </c>
      <c r="K553" s="13"/>
      <c r="L553" s="13" t="s">
        <v>646</v>
      </c>
      <c r="M553" s="44" t="s">
        <v>1783</v>
      </c>
      <c r="N553" s="104" t="s">
        <v>1784</v>
      </c>
      <c r="O553" s="37"/>
      <c r="P553" s="16"/>
      <c r="Q553" s="64"/>
      <c r="R553" s="16"/>
      <c r="S553" s="37"/>
      <c r="T553" s="38"/>
      <c r="U553" s="38" t="b">
        <f t="shared" si="70"/>
        <v>0</v>
      </c>
      <c r="V553" s="38" t="s">
        <v>33</v>
      </c>
      <c r="W553" s="40" t="s">
        <v>1785</v>
      </c>
      <c r="X553" s="40"/>
      <c r="Y553" s="40"/>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row>
    <row r="554">
      <c r="A554" s="13" t="s">
        <v>1787</v>
      </c>
      <c r="B554" s="30"/>
      <c r="C554" s="30">
        <v>43064.0</v>
      </c>
      <c r="D554" s="32"/>
      <c r="E554" s="13" t="s">
        <v>31</v>
      </c>
      <c r="F554" s="13">
        <v>1.0</v>
      </c>
      <c r="G554" s="13">
        <v>1.0</v>
      </c>
      <c r="H554" s="43">
        <v>1.0</v>
      </c>
      <c r="I554" s="13" t="s">
        <v>33</v>
      </c>
      <c r="J554" s="13" t="s">
        <v>147</v>
      </c>
      <c r="K554" s="13"/>
      <c r="L554" s="13" t="s">
        <v>646</v>
      </c>
      <c r="M554" s="44" t="s">
        <v>1783</v>
      </c>
      <c r="N554" s="104" t="s">
        <v>1784</v>
      </c>
      <c r="O554" s="37"/>
      <c r="P554" s="16"/>
      <c r="Q554" s="64"/>
      <c r="R554" s="16"/>
      <c r="S554" s="37"/>
      <c r="T554" s="38"/>
      <c r="U554" s="38" t="b">
        <f t="shared" si="70"/>
        <v>0</v>
      </c>
      <c r="V554" s="38" t="s">
        <v>33</v>
      </c>
      <c r="W554" s="39" t="s">
        <v>1785</v>
      </c>
      <c r="X554" s="39" t="s">
        <v>1788</v>
      </c>
      <c r="Y554" s="40"/>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row>
    <row r="555">
      <c r="A555" s="13" t="s">
        <v>239</v>
      </c>
      <c r="B555" s="30">
        <v>43069.0</v>
      </c>
      <c r="C555" s="30">
        <v>43067.0</v>
      </c>
      <c r="D555" s="32" t="s">
        <v>1789</v>
      </c>
      <c r="E555" s="13" t="s">
        <v>41</v>
      </c>
      <c r="F555" s="13">
        <v>1.0</v>
      </c>
      <c r="G555" s="13">
        <v>1.0</v>
      </c>
      <c r="H555" s="33">
        <f t="shared" ref="H555:H556" si="75">if(G555="Unknown",1,G555)</f>
        <v>1</v>
      </c>
      <c r="I555" s="13" t="s">
        <v>33</v>
      </c>
      <c r="J555" s="13" t="s">
        <v>241</v>
      </c>
      <c r="K555" s="13">
        <v>1.0</v>
      </c>
      <c r="L555" s="13" t="s">
        <v>194</v>
      </c>
      <c r="M555" s="44" t="s">
        <v>1790</v>
      </c>
      <c r="N555" s="15"/>
      <c r="O555" s="37"/>
      <c r="P555" s="16"/>
      <c r="Q555" s="64"/>
      <c r="R555" s="16"/>
      <c r="S555" s="37" t="str">
        <f>IFERROR(__xludf.DUMMYFUNCTION("if(not(iserror(index(split(C555, "" ""),2))), index(split(C555, "" ""),1),"""")"),"November")</f>
        <v>November</v>
      </c>
      <c r="T555" s="38">
        <f>IFERROR(__xludf.DUMMYFUNCTION("if(S555="""",C555,if(not(iserror(index(split(C555, "" ""),3))), index(split(C555, "" ""),3),index(split(C555, "" ""),2)))"),2017.0)</f>
        <v>2017</v>
      </c>
      <c r="U555" s="38" t="b">
        <f t="shared" si="70"/>
        <v>1</v>
      </c>
      <c r="V555" s="38"/>
      <c r="W555" s="40"/>
      <c r="X555" s="40"/>
      <c r="Y555" s="40"/>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row>
    <row r="556">
      <c r="A556" s="58" t="s">
        <v>1791</v>
      </c>
      <c r="B556" s="59">
        <v>43397.0</v>
      </c>
      <c r="C556" s="59">
        <v>43067.0</v>
      </c>
      <c r="D556" s="60" t="s">
        <v>1789</v>
      </c>
      <c r="E556" s="58" t="s">
        <v>41</v>
      </c>
      <c r="F556" s="58">
        <v>1.0</v>
      </c>
      <c r="G556" s="58" t="s">
        <v>32</v>
      </c>
      <c r="H556" s="33">
        <f t="shared" si="75"/>
        <v>1</v>
      </c>
      <c r="I556" s="58" t="s">
        <v>33</v>
      </c>
      <c r="J556" s="58" t="s">
        <v>402</v>
      </c>
      <c r="K556" s="58">
        <v>3.0</v>
      </c>
      <c r="L556" s="58" t="s">
        <v>76</v>
      </c>
      <c r="M556" s="61" t="s">
        <v>1792</v>
      </c>
      <c r="N556" s="61" t="s">
        <v>1793</v>
      </c>
      <c r="O556" s="88" t="str">
        <f>hyperlink("https://bad-boys.us/?q=ND-IN/3:17-cr-00110", "ND-IN 3:17-cr-00110")</f>
        <v>ND-IN 3:17-cr-00110</v>
      </c>
      <c r="P556" s="88" t="s">
        <v>1794</v>
      </c>
      <c r="Q556" s="84">
        <v>1.0</v>
      </c>
      <c r="R556" s="62"/>
      <c r="S556" s="37" t="str">
        <f>IFERROR(__xludf.DUMMYFUNCTION("if(not(iserror(index(split(C556, "" ""),2))), index(split(C556, "" ""),1),"""")"),"November")</f>
        <v>November</v>
      </c>
      <c r="T556" s="38">
        <f>IFERROR(__xludf.DUMMYFUNCTION("if(S556="""",C556,if(not(iserror(index(split(C556, "" ""),3))), index(split(C556, "" ""),3),index(split(C556, "" ""),2)))"),2017.0)</f>
        <v>2017</v>
      </c>
      <c r="U556" s="38" t="b">
        <f t="shared" si="70"/>
        <v>0</v>
      </c>
      <c r="V556" s="38"/>
      <c r="W556" s="40"/>
      <c r="X556" s="40"/>
      <c r="Y556" s="40"/>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row>
    <row r="557">
      <c r="A557" s="37" t="s">
        <v>1795</v>
      </c>
      <c r="B557" s="59">
        <v>43069.0</v>
      </c>
      <c r="C557" s="59">
        <v>43068.0</v>
      </c>
      <c r="D557" s="60" t="s">
        <v>1796</v>
      </c>
      <c r="E557" s="58" t="s">
        <v>41</v>
      </c>
      <c r="F557" s="58">
        <v>1.0</v>
      </c>
      <c r="G557" s="58" t="s">
        <v>32</v>
      </c>
      <c r="H557" s="50">
        <v>1.0</v>
      </c>
      <c r="I557" s="58" t="s">
        <v>33</v>
      </c>
      <c r="J557" s="58" t="s">
        <v>124</v>
      </c>
      <c r="K557" s="58">
        <v>2.0</v>
      </c>
      <c r="L557" s="58" t="s">
        <v>69</v>
      </c>
      <c r="M557" s="36" t="s">
        <v>1797</v>
      </c>
      <c r="N557" s="77"/>
      <c r="O557" s="58"/>
      <c r="P557" s="58"/>
      <c r="Q557" s="58"/>
      <c r="R557" s="58"/>
      <c r="S557" s="37" t="str">
        <f>IFERROR(__xludf.DUMMYFUNCTION("if(not(iserror(index(split(C557, "" ""),2))), index(split(C557, "" ""),1),"""")"),"November")</f>
        <v>November</v>
      </c>
      <c r="T557" s="38">
        <f>IFERROR(__xludf.DUMMYFUNCTION("if(S557="""",C557,if(not(iserror(index(split(C557, "" ""),3))), index(split(C557, "" ""),3),index(split(C557, "" ""),2)))"),2017.0)</f>
        <v>2017</v>
      </c>
      <c r="U557" s="38" t="b">
        <f t="shared" si="70"/>
        <v>0</v>
      </c>
      <c r="V557" s="38"/>
      <c r="W557" s="40"/>
      <c r="X557" s="40"/>
      <c r="Y557" s="40"/>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row>
    <row r="558">
      <c r="A558" s="37" t="s">
        <v>1798</v>
      </c>
      <c r="B558" s="30">
        <v>43076.0</v>
      </c>
      <c r="C558" s="30">
        <v>43068.0</v>
      </c>
      <c r="D558" s="32" t="s">
        <v>1796</v>
      </c>
      <c r="E558" s="13" t="s">
        <v>31</v>
      </c>
      <c r="F558" s="13">
        <v>1.0</v>
      </c>
      <c r="G558" s="13" t="s">
        <v>32</v>
      </c>
      <c r="H558" s="33">
        <f t="shared" ref="H558:H563" si="76">if(G558="Unknown",1,G558)</f>
        <v>1</v>
      </c>
      <c r="I558" s="13" t="s">
        <v>33</v>
      </c>
      <c r="J558" s="13" t="s">
        <v>98</v>
      </c>
      <c r="K558" s="13">
        <v>2.0</v>
      </c>
      <c r="L558" s="13" t="s">
        <v>1799</v>
      </c>
      <c r="M558" s="107" t="s">
        <v>1800</v>
      </c>
      <c r="N558" s="15"/>
      <c r="O558" s="16"/>
      <c r="P558" s="16"/>
      <c r="Q558" s="16"/>
      <c r="R558" s="16"/>
      <c r="S558" s="37" t="str">
        <f>IFERROR(__xludf.DUMMYFUNCTION("if(not(iserror(index(split(C558, "" ""),2))), index(split(C558, "" ""),1),"""")"),"November")</f>
        <v>November</v>
      </c>
      <c r="T558" s="38">
        <f>IFERROR(__xludf.DUMMYFUNCTION("if(S558="""",C558,if(not(iserror(index(split(C558, "" ""),3))), index(split(C558, "" ""),3),index(split(C558, "" ""),2)))"),2017.0)</f>
        <v>2017</v>
      </c>
      <c r="U558" s="38" t="b">
        <f t="shared" si="70"/>
        <v>0</v>
      </c>
      <c r="V558" s="38"/>
      <c r="W558" s="40"/>
      <c r="X558" s="40"/>
      <c r="Y558" s="40"/>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row>
    <row r="559">
      <c r="A559" s="13" t="s">
        <v>1801</v>
      </c>
      <c r="B559" s="30">
        <v>43189.0</v>
      </c>
      <c r="C559" s="30">
        <v>43068.0</v>
      </c>
      <c r="D559" s="143">
        <v>43068.0</v>
      </c>
      <c r="E559" s="13" t="s">
        <v>41</v>
      </c>
      <c r="F559" s="13">
        <v>1.0</v>
      </c>
      <c r="G559" s="13" t="s">
        <v>32</v>
      </c>
      <c r="H559" s="33">
        <f t="shared" si="76"/>
        <v>1</v>
      </c>
      <c r="I559" s="13" t="s">
        <v>33</v>
      </c>
      <c r="J559" s="13" t="s">
        <v>47</v>
      </c>
      <c r="K559" s="13">
        <v>2.0</v>
      </c>
      <c r="L559" s="13" t="s">
        <v>1802</v>
      </c>
      <c r="M559" s="35" t="s">
        <v>1803</v>
      </c>
      <c r="N559" s="36" t="s">
        <v>1804</v>
      </c>
      <c r="O559" s="37"/>
      <c r="P559" s="37"/>
      <c r="Q559" s="37"/>
      <c r="R559" s="16"/>
      <c r="S559" s="37" t="str">
        <f>IFERROR(__xludf.DUMMYFUNCTION("if(not(iserror(index(split(C559, "" ""),2))), index(split(C559, "" ""),1),"""")"),"November")</f>
        <v>November</v>
      </c>
      <c r="T559" s="38">
        <f>IFERROR(__xludf.DUMMYFUNCTION("if(S559="""",C559,if(not(iserror(index(split(C559, "" ""),3))), index(split(C559, "" ""),3),index(split(C559, "" ""),2)))"),2017.0)</f>
        <v>2017</v>
      </c>
      <c r="U559" s="38" t="b">
        <f t="shared" si="70"/>
        <v>0</v>
      </c>
      <c r="V559" s="38"/>
      <c r="W559" s="40"/>
      <c r="X559" s="40"/>
      <c r="Y559" s="40"/>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row>
    <row r="560">
      <c r="A560" s="13" t="s">
        <v>1805</v>
      </c>
      <c r="B560" s="30">
        <v>43069.0</v>
      </c>
      <c r="C560" s="30">
        <v>43069.0</v>
      </c>
      <c r="D560" s="32" t="s">
        <v>1806</v>
      </c>
      <c r="E560" s="13" t="s">
        <v>31</v>
      </c>
      <c r="F560" s="13">
        <v>1.0</v>
      </c>
      <c r="G560" s="13" t="s">
        <v>32</v>
      </c>
      <c r="H560" s="33">
        <f t="shared" si="76"/>
        <v>1</v>
      </c>
      <c r="I560" s="13" t="s">
        <v>33</v>
      </c>
      <c r="J560" s="13" t="s">
        <v>147</v>
      </c>
      <c r="K560" s="13">
        <v>1.0</v>
      </c>
      <c r="L560" s="13" t="s">
        <v>620</v>
      </c>
      <c r="M560" s="107" t="s">
        <v>1807</v>
      </c>
      <c r="N560" s="15"/>
      <c r="O560" s="16"/>
      <c r="P560" s="16"/>
      <c r="Q560" s="16"/>
      <c r="R560" s="16"/>
      <c r="S560" s="37" t="str">
        <f>IFERROR(__xludf.DUMMYFUNCTION("if(not(iserror(index(split(C560, "" ""),2))), index(split(C560, "" ""),1),"""")"),"November")</f>
        <v>November</v>
      </c>
      <c r="T560" s="38">
        <f>IFERROR(__xludf.DUMMYFUNCTION("if(S560="""",C560,if(not(iserror(index(split(C560, "" ""),3))), index(split(C560, "" ""),3),index(split(C560, "" ""),2)))"),2017.0)</f>
        <v>2017</v>
      </c>
      <c r="U560" s="38" t="b">
        <f t="shared" si="70"/>
        <v>0</v>
      </c>
      <c r="V560" s="38"/>
      <c r="W560" s="40"/>
      <c r="X560" s="40"/>
      <c r="Y560" s="40"/>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row>
    <row r="561">
      <c r="A561" s="13" t="s">
        <v>239</v>
      </c>
      <c r="B561" s="30">
        <v>43073.0</v>
      </c>
      <c r="C561" s="30">
        <v>43070.0</v>
      </c>
      <c r="D561" s="32" t="s">
        <v>1808</v>
      </c>
      <c r="E561" s="13" t="s">
        <v>41</v>
      </c>
      <c r="F561" s="13">
        <v>2.0</v>
      </c>
      <c r="G561" s="13">
        <v>1.0</v>
      </c>
      <c r="H561" s="33">
        <f t="shared" si="76"/>
        <v>1</v>
      </c>
      <c r="I561" s="13" t="s">
        <v>33</v>
      </c>
      <c r="J561" s="13" t="s">
        <v>241</v>
      </c>
      <c r="K561" s="13">
        <v>1.0</v>
      </c>
      <c r="L561" s="13" t="s">
        <v>194</v>
      </c>
      <c r="M561" s="107" t="s">
        <v>1809</v>
      </c>
      <c r="N561" s="15"/>
      <c r="O561" s="16"/>
      <c r="P561" s="16"/>
      <c r="Q561" s="16"/>
      <c r="R561" s="16"/>
      <c r="S561" s="37" t="str">
        <f>IFERROR(__xludf.DUMMYFUNCTION("if(not(iserror(index(split(C561, "" ""),2))), index(split(C561, "" ""),1),"""")"),"December")</f>
        <v>December</v>
      </c>
      <c r="T561" s="38">
        <f>IFERROR(__xludf.DUMMYFUNCTION("if(S561="""",C561,if(not(iserror(index(split(C561, "" ""),3))), index(split(C561, "" ""),3),index(split(C561, "" ""),2)))"),2017.0)</f>
        <v>2017</v>
      </c>
      <c r="U561" s="38" t="b">
        <f t="shared" si="70"/>
        <v>1</v>
      </c>
      <c r="V561" s="38"/>
      <c r="W561" s="40"/>
      <c r="X561" s="40"/>
      <c r="Y561" s="40"/>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row>
    <row r="562">
      <c r="A562" s="13" t="s">
        <v>1810</v>
      </c>
      <c r="B562" s="30">
        <v>43080.0</v>
      </c>
      <c r="C562" s="30">
        <v>43070.0</v>
      </c>
      <c r="D562" s="32" t="s">
        <v>1808</v>
      </c>
      <c r="E562" s="13" t="s">
        <v>31</v>
      </c>
      <c r="F562" s="13">
        <v>1.0</v>
      </c>
      <c r="G562" s="13" t="s">
        <v>32</v>
      </c>
      <c r="H562" s="33">
        <f t="shared" si="76"/>
        <v>1</v>
      </c>
      <c r="I562" s="13" t="s">
        <v>33</v>
      </c>
      <c r="J562" s="13" t="s">
        <v>55</v>
      </c>
      <c r="K562" s="13">
        <v>1.0</v>
      </c>
      <c r="L562" s="13" t="s">
        <v>807</v>
      </c>
      <c r="M562" s="107" t="s">
        <v>1811</v>
      </c>
      <c r="N562" s="15"/>
      <c r="O562" s="16"/>
      <c r="P562" s="16"/>
      <c r="Q562" s="16"/>
      <c r="R562" s="16"/>
      <c r="S562" s="37" t="str">
        <f>IFERROR(__xludf.DUMMYFUNCTION("if(not(iserror(index(split(C562, "" ""),2))), index(split(C562, "" ""),1),"""")"),"December")</f>
        <v>December</v>
      </c>
      <c r="T562" s="38">
        <f>IFERROR(__xludf.DUMMYFUNCTION("if(S562="""",C562,if(not(iserror(index(split(C562, "" ""),3))), index(split(C562, "" ""),3),index(split(C562, "" ""),2)))"),2017.0)</f>
        <v>2017</v>
      </c>
      <c r="U562" s="38" t="b">
        <f t="shared" si="70"/>
        <v>0</v>
      </c>
      <c r="V562" s="38"/>
      <c r="W562" s="40"/>
      <c r="X562" s="40"/>
      <c r="Y562" s="40"/>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row>
    <row r="563">
      <c r="A563" s="13" t="s">
        <v>660</v>
      </c>
      <c r="B563" s="30">
        <v>43096.0</v>
      </c>
      <c r="C563" s="31">
        <v>43070.0</v>
      </c>
      <c r="D563" s="32" t="s">
        <v>1647</v>
      </c>
      <c r="E563" s="13" t="s">
        <v>41</v>
      </c>
      <c r="F563" s="13">
        <v>4.0</v>
      </c>
      <c r="G563" s="13" t="s">
        <v>32</v>
      </c>
      <c r="H563" s="33">
        <f t="shared" si="76"/>
        <v>1</v>
      </c>
      <c r="I563" s="13" t="s">
        <v>33</v>
      </c>
      <c r="J563" s="13" t="s">
        <v>124</v>
      </c>
      <c r="K563" s="13">
        <v>3.0</v>
      </c>
      <c r="L563" s="13" t="s">
        <v>1812</v>
      </c>
      <c r="M563" s="45" t="s">
        <v>1813</v>
      </c>
      <c r="N563" s="15"/>
      <c r="O563" s="37"/>
      <c r="P563" s="16"/>
      <c r="Q563" s="64"/>
      <c r="R563" s="16"/>
      <c r="S563" s="37" t="str">
        <f>IFERROR(__xludf.DUMMYFUNCTION("if(not(iserror(index(split(C563, "" ""),2))), index(split(C563, "" ""),1),"""")"),"December,")</f>
        <v>December,</v>
      </c>
      <c r="T563" s="38">
        <f>IFERROR(__xludf.DUMMYFUNCTION("if(S563="""",C563,if(not(iserror(index(split(C563, "" ""),3))), index(split(C563, "" ""),3),index(split(C563, "" ""),2)))"),2017.0)</f>
        <v>2017</v>
      </c>
      <c r="U563" s="38" t="b">
        <f t="shared" si="70"/>
        <v>1</v>
      </c>
      <c r="V563" s="38"/>
      <c r="W563" s="40"/>
      <c r="X563" s="40"/>
      <c r="Y563" s="40"/>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row>
    <row r="564">
      <c r="A564" s="13" t="s">
        <v>1814</v>
      </c>
      <c r="B564" s="30"/>
      <c r="C564" s="31">
        <v>43070.0</v>
      </c>
      <c r="D564" s="32"/>
      <c r="E564" s="13" t="s">
        <v>41</v>
      </c>
      <c r="F564" s="13">
        <v>1.0</v>
      </c>
      <c r="G564" s="13" t="s">
        <v>32</v>
      </c>
      <c r="H564" s="43">
        <v>1.0</v>
      </c>
      <c r="I564" s="13" t="s">
        <v>33</v>
      </c>
      <c r="J564" s="13" t="s">
        <v>283</v>
      </c>
      <c r="K564" s="13"/>
      <c r="L564" s="13" t="s">
        <v>69</v>
      </c>
      <c r="M564" s="45" t="s">
        <v>1586</v>
      </c>
      <c r="N564" s="15"/>
      <c r="O564" s="16"/>
      <c r="P564" s="16"/>
      <c r="Q564" s="37">
        <v>1.0</v>
      </c>
      <c r="R564" s="16"/>
      <c r="S564" s="37"/>
      <c r="T564" s="38"/>
      <c r="U564" s="38"/>
      <c r="V564" s="38" t="s">
        <v>33</v>
      </c>
      <c r="W564" s="40"/>
      <c r="X564" s="40"/>
      <c r="Y564" s="40"/>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row>
    <row r="565">
      <c r="A565" s="13" t="s">
        <v>40</v>
      </c>
      <c r="B565" s="30">
        <v>43112.0</v>
      </c>
      <c r="C565" s="30">
        <v>43070.0</v>
      </c>
      <c r="D565" s="32" t="s">
        <v>1647</v>
      </c>
      <c r="E565" s="13" t="s">
        <v>41</v>
      </c>
      <c r="F565" s="13">
        <v>86.0</v>
      </c>
      <c r="G565" s="13" t="s">
        <v>32</v>
      </c>
      <c r="H565" s="33">
        <f t="shared" ref="H565:H566" si="77">if(G565="Unknown",1,G565)</f>
        <v>1</v>
      </c>
      <c r="I565" s="13" t="s">
        <v>33</v>
      </c>
      <c r="J565" s="13" t="s">
        <v>241</v>
      </c>
      <c r="K565" s="13">
        <v>1.0</v>
      </c>
      <c r="L565" s="13" t="s">
        <v>52</v>
      </c>
      <c r="M565" s="45" t="str">
        <f>HYPERLINK("http://www.azfamily.com/story/37251890/phoenix-police-arrest-86-in-human-trafficking-sting","http:// www.azfamily.com/story/37251890/phoenix-police-arrest-86-in-human-trafficking-sting")</f>
        <v>http:// www.azfamily.com/story/37251890/phoenix-police-arrest-86-in-human-trafficking-sting</v>
      </c>
      <c r="N565" s="15"/>
      <c r="O565" s="16"/>
      <c r="P565" s="16"/>
      <c r="Q565" s="16"/>
      <c r="R565" s="16"/>
      <c r="S565" s="37" t="str">
        <f>IFERROR(__xludf.DUMMYFUNCTION("if(not(iserror(index(split(C565, "" ""),2))), index(split(C565, "" ""),1),"""")"),"December")</f>
        <v>December</v>
      </c>
      <c r="T565" s="38">
        <f>IFERROR(__xludf.DUMMYFUNCTION("if(S565="""",C565,if(not(iserror(index(split(C565, "" ""),3))), index(split(C565, "" ""),3),index(split(C565, "" ""),2)))"),2017.0)</f>
        <v>2017</v>
      </c>
      <c r="U565" s="38" t="b">
        <f t="shared" ref="U565:U590" si="78">countif(A$4:A4658, A565)&gt;1</f>
        <v>1</v>
      </c>
      <c r="V565" s="38"/>
      <c r="W565" s="40"/>
      <c r="X565" s="40"/>
      <c r="Y565" s="40"/>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row>
    <row r="566">
      <c r="A566" s="152" t="s">
        <v>1815</v>
      </c>
      <c r="B566" s="153">
        <v>43209.0</v>
      </c>
      <c r="C566" s="161">
        <v>43070.0</v>
      </c>
      <c r="D566" s="154" t="s">
        <v>1647</v>
      </c>
      <c r="E566" s="155" t="s">
        <v>41</v>
      </c>
      <c r="F566" s="152">
        <v>1.0</v>
      </c>
      <c r="G566" s="152" t="s">
        <v>32</v>
      </c>
      <c r="H566" s="33">
        <f t="shared" si="77"/>
        <v>1</v>
      </c>
      <c r="I566" s="152" t="s">
        <v>33</v>
      </c>
      <c r="J566" s="152" t="s">
        <v>410</v>
      </c>
      <c r="K566" s="152">
        <v>1.0</v>
      </c>
      <c r="L566" s="152" t="s">
        <v>119</v>
      </c>
      <c r="M566" s="158" t="s">
        <v>1816</v>
      </c>
      <c r="N566" s="162" t="s">
        <v>1817</v>
      </c>
      <c r="O566" s="58"/>
      <c r="P566" s="58"/>
      <c r="Q566" s="84"/>
      <c r="R566" s="62"/>
      <c r="S566" s="37" t="str">
        <f>IFERROR(__xludf.DUMMYFUNCTION("if(not(iserror(index(split(C566, "" ""),2))), index(split(C566, "" ""),1),"""")"),"December,")</f>
        <v>December,</v>
      </c>
      <c r="T566" s="38">
        <f>IFERROR(__xludf.DUMMYFUNCTION("if(S566="""",C566,if(not(iserror(index(split(C566, "" ""),3))), index(split(C566, "" ""),3),index(split(C566, "" ""),2)))"),2017.0)</f>
        <v>2017</v>
      </c>
      <c r="U566" s="38" t="b">
        <f t="shared" si="78"/>
        <v>0</v>
      </c>
      <c r="V566" s="38"/>
      <c r="W566" s="40"/>
      <c r="X566" s="40"/>
      <c r="Y566" s="40"/>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row>
    <row r="567">
      <c r="A567" s="58" t="s">
        <v>1818</v>
      </c>
      <c r="B567" s="59"/>
      <c r="C567" s="79">
        <v>43070.0</v>
      </c>
      <c r="D567" s="60"/>
      <c r="E567" s="58" t="s">
        <v>41</v>
      </c>
      <c r="F567" s="58">
        <v>1.0</v>
      </c>
      <c r="G567" s="58" t="s">
        <v>32</v>
      </c>
      <c r="H567" s="43">
        <v>1.0</v>
      </c>
      <c r="I567" s="58" t="s">
        <v>33</v>
      </c>
      <c r="J567" s="58" t="s">
        <v>47</v>
      </c>
      <c r="K567" s="58"/>
      <c r="L567" s="58" t="s">
        <v>1819</v>
      </c>
      <c r="M567" s="80" t="s">
        <v>1820</v>
      </c>
      <c r="N567" s="77"/>
      <c r="O567" s="83" t="str">
        <f>hyperlink("https://bad-boys.us/?q=MD-FL/2:17-cr-00136", "MD-FL 2:17-cr-00136")</f>
        <v>MD-FL 2:17-cr-00136</v>
      </c>
      <c r="P567" s="88" t="s">
        <v>1821</v>
      </c>
      <c r="Q567" s="58">
        <v>1.0</v>
      </c>
      <c r="R567" s="62"/>
      <c r="S567" s="37" t="str">
        <f>IFERROR(__xludf.DUMMYFUNCTION("if(not(iserror(index(split(C567, "" ""),2))), index(split(C567, "" ""),1),"""")"),"December,")</f>
        <v>December,</v>
      </c>
      <c r="T567" s="38">
        <f>IFERROR(__xludf.DUMMYFUNCTION("if(S567="""",C567,if(not(iserror(index(split(C567, "" ""),3))), index(split(C567, "" ""),3),index(split(C567, "" ""),2)))"),2017.0)</f>
        <v>2017</v>
      </c>
      <c r="U567" s="38" t="b">
        <f t="shared" si="78"/>
        <v>0</v>
      </c>
      <c r="V567" s="38" t="s">
        <v>33</v>
      </c>
      <c r="W567" s="40"/>
      <c r="X567" s="40"/>
      <c r="Y567" s="40"/>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row>
    <row r="568">
      <c r="A568" s="37" t="s">
        <v>1822</v>
      </c>
      <c r="B568" s="99"/>
      <c r="C568" s="100">
        <v>43070.0</v>
      </c>
      <c r="D568" s="144"/>
      <c r="E568" s="37"/>
      <c r="F568" s="37"/>
      <c r="G568" s="37"/>
      <c r="H568" s="50"/>
      <c r="I568" s="37"/>
      <c r="J568" s="37"/>
      <c r="K568" s="37"/>
      <c r="L568" s="58"/>
      <c r="M568" s="14"/>
      <c r="N568" s="15"/>
      <c r="O568" s="16"/>
      <c r="P568" s="37"/>
      <c r="Q568" s="37"/>
      <c r="R568" s="37"/>
      <c r="S568" s="37" t="str">
        <f>IFERROR(__xludf.DUMMYFUNCTION("if(not(iserror(index(split(C568, "" ""),2))), index(split(C568, "" ""),1),"""")"),"December,")</f>
        <v>December,</v>
      </c>
      <c r="T568" s="38">
        <f>IFERROR(__xludf.DUMMYFUNCTION("if(S568="""",C568,if(not(iserror(index(split(C568, "" ""),3))), index(split(C568, "" ""),3),index(split(C568, "" ""),2)))"),2017.0)</f>
        <v>2017</v>
      </c>
      <c r="U568" s="38" t="b">
        <f t="shared" si="78"/>
        <v>1</v>
      </c>
      <c r="V568" s="38"/>
      <c r="W568" s="40"/>
      <c r="X568" s="40"/>
      <c r="Y568" s="40"/>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row>
    <row r="569">
      <c r="A569" s="37" t="s">
        <v>1823</v>
      </c>
      <c r="B569" s="99">
        <v>43430.0</v>
      </c>
      <c r="C569" s="100">
        <v>43070.0</v>
      </c>
      <c r="D569" s="144" t="s">
        <v>1647</v>
      </c>
      <c r="E569" s="37" t="s">
        <v>41</v>
      </c>
      <c r="F569" s="37">
        <v>1.0</v>
      </c>
      <c r="G569" s="37">
        <v>1.0</v>
      </c>
      <c r="H569" s="50">
        <v>1.0</v>
      </c>
      <c r="I569" s="37" t="s">
        <v>33</v>
      </c>
      <c r="J569" s="37" t="s">
        <v>279</v>
      </c>
      <c r="K569" s="37">
        <v>5.0</v>
      </c>
      <c r="L569" s="58" t="s">
        <v>1824</v>
      </c>
      <c r="M569" s="14" t="s">
        <v>1825</v>
      </c>
      <c r="N569" s="15"/>
      <c r="O569" s="16"/>
      <c r="P569" s="37"/>
      <c r="Q569" s="37"/>
      <c r="R569" s="37"/>
      <c r="S569" s="37" t="str">
        <f>IFERROR(__xludf.DUMMYFUNCTION("if(not(iserror(index(split(C569, "" ""),2))), index(split(C569, "" ""),1),"""")"),"December,")</f>
        <v>December,</v>
      </c>
      <c r="T569" s="38">
        <f>IFERROR(__xludf.DUMMYFUNCTION("if(S569="""",C569,if(not(iserror(index(split(C569, "" ""),3))), index(split(C569, "" ""),3),index(split(C569, "" ""),2)))"),2017.0)</f>
        <v>2017</v>
      </c>
      <c r="U569" s="38" t="b">
        <f t="shared" si="78"/>
        <v>0</v>
      </c>
      <c r="V569" s="38"/>
      <c r="W569" s="40"/>
      <c r="X569" s="40"/>
      <c r="Y569" s="40"/>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row>
    <row r="570">
      <c r="A570" s="58" t="s">
        <v>1826</v>
      </c>
      <c r="B570" s="59">
        <v>43236.0</v>
      </c>
      <c r="C570" s="79">
        <v>43070.0</v>
      </c>
      <c r="D570" s="60" t="s">
        <v>1647</v>
      </c>
      <c r="E570" s="58" t="s">
        <v>41</v>
      </c>
      <c r="F570" s="58">
        <v>1.0</v>
      </c>
      <c r="G570" s="58" t="s">
        <v>32</v>
      </c>
      <c r="H570" s="33">
        <f t="shared" ref="H570:H571" si="79">if(G570="Unknown",1,G570)</f>
        <v>1</v>
      </c>
      <c r="I570" s="58" t="s">
        <v>33</v>
      </c>
      <c r="J570" s="58" t="s">
        <v>89</v>
      </c>
      <c r="K570" s="58">
        <v>2.0</v>
      </c>
      <c r="L570" s="58" t="s">
        <v>69</v>
      </c>
      <c r="M570" s="61" t="s">
        <v>1827</v>
      </c>
      <c r="N570" s="77"/>
      <c r="O570" s="62"/>
      <c r="P570" s="62"/>
      <c r="Q570" s="62"/>
      <c r="R570" s="62"/>
      <c r="S570" s="37" t="str">
        <f>IFERROR(__xludf.DUMMYFUNCTION("if(not(iserror(index(split(C570, "" ""),2))), index(split(C570, "" ""),1),"""")"),"December,")</f>
        <v>December,</v>
      </c>
      <c r="T570" s="38">
        <f>IFERROR(__xludf.DUMMYFUNCTION("if(S570="""",C570,if(not(iserror(index(split(C570, "" ""),3))), index(split(C570, "" ""),3),index(split(C570, "" ""),2)))"),2017.0)</f>
        <v>2017</v>
      </c>
      <c r="U570" s="38" t="b">
        <f t="shared" si="78"/>
        <v>0</v>
      </c>
      <c r="V570" s="38"/>
      <c r="W570" s="40"/>
      <c r="X570" s="40"/>
      <c r="Y570" s="40"/>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row>
    <row r="571">
      <c r="A571" s="58" t="s">
        <v>1828</v>
      </c>
      <c r="B571" s="59">
        <v>43251.0</v>
      </c>
      <c r="C571" s="79">
        <v>43070.0</v>
      </c>
      <c r="D571" s="60" t="s">
        <v>1647</v>
      </c>
      <c r="E571" s="58" t="s">
        <v>41</v>
      </c>
      <c r="F571" s="58">
        <v>1.0</v>
      </c>
      <c r="G571" s="58" t="s">
        <v>32</v>
      </c>
      <c r="H571" s="33">
        <f t="shared" si="79"/>
        <v>1</v>
      </c>
      <c r="I571" s="58" t="s">
        <v>33</v>
      </c>
      <c r="J571" s="58" t="s">
        <v>93</v>
      </c>
      <c r="K571" s="58" t="s">
        <v>32</v>
      </c>
      <c r="L571" s="58" t="s">
        <v>1829</v>
      </c>
      <c r="M571" s="35" t="s">
        <v>1830</v>
      </c>
      <c r="N571" s="77"/>
      <c r="O571" s="62"/>
      <c r="P571" s="62"/>
      <c r="Q571" s="62"/>
      <c r="R571" s="62"/>
      <c r="S571" s="37" t="str">
        <f>IFERROR(__xludf.DUMMYFUNCTION("if(not(iserror(index(split(C571, "" ""),2))), index(split(C571, "" ""),1),"""")"),"December,")</f>
        <v>December,</v>
      </c>
      <c r="T571" s="38">
        <f>IFERROR(__xludf.DUMMYFUNCTION("if(S571="""",C571,if(not(iserror(index(split(C571, "" ""),3))), index(split(C571, "" ""),3),index(split(C571, "" ""),2)))"),2017.0)</f>
        <v>2017</v>
      </c>
      <c r="U571" s="38" t="b">
        <f t="shared" si="78"/>
        <v>0</v>
      </c>
      <c r="V571" s="38"/>
      <c r="W571" s="40"/>
      <c r="X571" s="40"/>
      <c r="Y571" s="40"/>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row>
    <row r="572">
      <c r="A572" s="58" t="s">
        <v>1831</v>
      </c>
      <c r="B572" s="59"/>
      <c r="C572" s="79">
        <v>43070.0</v>
      </c>
      <c r="D572" s="60"/>
      <c r="E572" s="58" t="s">
        <v>41</v>
      </c>
      <c r="F572" s="58">
        <v>1.0</v>
      </c>
      <c r="G572" s="58" t="s">
        <v>32</v>
      </c>
      <c r="H572" s="43">
        <v>1.0</v>
      </c>
      <c r="I572" s="58" t="s">
        <v>33</v>
      </c>
      <c r="J572" s="58" t="s">
        <v>55</v>
      </c>
      <c r="K572" s="58"/>
      <c r="L572" s="58" t="s">
        <v>69</v>
      </c>
      <c r="M572" s="35" t="s">
        <v>1832</v>
      </c>
      <c r="N572" s="77"/>
      <c r="O572" s="83" t="str">
        <f>hyperlink("https://bad-boys.us/?q=D-NJ/2:19-cr-00187", "D-NJ 2:19-cr-00187")</f>
        <v>D-NJ 2:19-cr-00187</v>
      </c>
      <c r="P572" s="62"/>
      <c r="Q572" s="84">
        <v>1.0</v>
      </c>
      <c r="R572" s="62"/>
      <c r="S572" s="37" t="str">
        <f>IFERROR(__xludf.DUMMYFUNCTION("if(not(iserror(index(split(C572, "" ""),2))), index(split(C572, "" ""),1),"""")"),"December,")</f>
        <v>December,</v>
      </c>
      <c r="T572" s="38">
        <f>IFERROR(__xludf.DUMMYFUNCTION("if(S572="""",C572,if(not(iserror(index(split(C572, "" ""),3))), index(split(C572, "" ""),3),index(split(C572, "" ""),2)))"),2017.0)</f>
        <v>2017</v>
      </c>
      <c r="U572" s="38" t="b">
        <f t="shared" si="78"/>
        <v>0</v>
      </c>
      <c r="V572" s="38" t="s">
        <v>33</v>
      </c>
      <c r="W572" s="40"/>
      <c r="X572" s="40"/>
      <c r="Y572" s="40"/>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row>
    <row r="573">
      <c r="A573" s="152" t="s">
        <v>1833</v>
      </c>
      <c r="B573" s="153">
        <v>43314.0</v>
      </c>
      <c r="C573" s="153">
        <v>43070.0</v>
      </c>
      <c r="D573" s="154" t="s">
        <v>1808</v>
      </c>
      <c r="E573" s="155" t="s">
        <v>41</v>
      </c>
      <c r="F573" s="152">
        <v>1.0</v>
      </c>
      <c r="G573" s="152" t="s">
        <v>32</v>
      </c>
      <c r="H573" s="33">
        <f t="shared" ref="H573:H579" si="80">if(G573="Unknown",1,G573)</f>
        <v>1</v>
      </c>
      <c r="I573" s="152" t="s">
        <v>33</v>
      </c>
      <c r="J573" s="152" t="s">
        <v>410</v>
      </c>
      <c r="K573" s="152">
        <v>5.0</v>
      </c>
      <c r="L573" s="152" t="s">
        <v>1208</v>
      </c>
      <c r="M573" s="158" t="s">
        <v>1834</v>
      </c>
      <c r="N573" s="163"/>
      <c r="O573" s="88" t="str">
        <f>hyperlink("https://bad-boys.us/?q=D-MA/4:17-mj-04319", "D-MA 4:17-mj-04319")</f>
        <v>D-MA 4:17-mj-04319</v>
      </c>
      <c r="P573" s="62"/>
      <c r="Q573" s="84">
        <v>1.0</v>
      </c>
      <c r="R573" s="62"/>
      <c r="S573" s="37" t="str">
        <f>IFERROR(__xludf.DUMMYFUNCTION("if(not(iserror(index(split(C573, "" ""),2))), index(split(C573, "" ""),1),"""")"),"December")</f>
        <v>December</v>
      </c>
      <c r="T573" s="38">
        <f>IFERROR(__xludf.DUMMYFUNCTION("if(S573="""",C573,if(not(iserror(index(split(C573, "" ""),3))), index(split(C573, "" ""),3),index(split(C573, "" ""),2)))"),2017.0)</f>
        <v>2017</v>
      </c>
      <c r="U573" s="38" t="b">
        <f t="shared" si="78"/>
        <v>0</v>
      </c>
      <c r="V573" s="38"/>
      <c r="W573" s="40"/>
      <c r="X573" s="40"/>
      <c r="Y573" s="40"/>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row>
    <row r="574">
      <c r="A574" s="58" t="s">
        <v>1835</v>
      </c>
      <c r="B574" s="59">
        <v>43322.0</v>
      </c>
      <c r="C574" s="79">
        <v>43070.0</v>
      </c>
      <c r="D574" s="60" t="s">
        <v>1647</v>
      </c>
      <c r="E574" s="58" t="s">
        <v>41</v>
      </c>
      <c r="F574" s="58">
        <v>1.0</v>
      </c>
      <c r="G574" s="58" t="s">
        <v>32</v>
      </c>
      <c r="H574" s="33">
        <f t="shared" si="80"/>
        <v>1</v>
      </c>
      <c r="I574" s="58" t="s">
        <v>33</v>
      </c>
      <c r="J574" s="58" t="s">
        <v>93</v>
      </c>
      <c r="K574" s="58" t="s">
        <v>32</v>
      </c>
      <c r="L574" s="58" t="s">
        <v>790</v>
      </c>
      <c r="M574" s="61" t="s">
        <v>1836</v>
      </c>
      <c r="N574" s="77"/>
      <c r="O574" s="83" t="str">
        <f>hyperlink("https://bad-boys.us/?q=WD-NY/1:18-cr-00073", "WD-NY 1:18-cr-00073")</f>
        <v>WD-NY 1:18-cr-00073</v>
      </c>
      <c r="P574" s="62"/>
      <c r="Q574" s="84">
        <v>1.0</v>
      </c>
      <c r="R574" s="62"/>
      <c r="S574" s="37" t="str">
        <f>IFERROR(__xludf.DUMMYFUNCTION("if(not(iserror(index(split(C574, "" ""),2))), index(split(C574, "" ""),1),"""")"),"December,")</f>
        <v>December,</v>
      </c>
      <c r="T574" s="38">
        <f>IFERROR(__xludf.DUMMYFUNCTION("if(S574="""",C574,if(not(iserror(index(split(C574, "" ""),3))), index(split(C574, "" ""),3),index(split(C574, "" ""),2)))"),2017.0)</f>
        <v>2017</v>
      </c>
      <c r="U574" s="38" t="b">
        <f t="shared" si="78"/>
        <v>0</v>
      </c>
      <c r="V574" s="38"/>
      <c r="W574" s="40"/>
      <c r="X574" s="40"/>
      <c r="Y574" s="40"/>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row>
    <row r="575">
      <c r="A575" s="78" t="s">
        <v>1837</v>
      </c>
      <c r="B575" s="59">
        <v>43322.0</v>
      </c>
      <c r="C575" s="79">
        <v>43070.0</v>
      </c>
      <c r="D575" s="60" t="s">
        <v>1838</v>
      </c>
      <c r="E575" s="58" t="s">
        <v>41</v>
      </c>
      <c r="F575" s="58">
        <v>1.0</v>
      </c>
      <c r="G575" s="58" t="s">
        <v>32</v>
      </c>
      <c r="H575" s="33">
        <f t="shared" si="80"/>
        <v>1</v>
      </c>
      <c r="I575" s="58" t="s">
        <v>33</v>
      </c>
      <c r="J575" s="58" t="s">
        <v>47</v>
      </c>
      <c r="K575" s="58">
        <v>1.0</v>
      </c>
      <c r="L575" s="58" t="s">
        <v>69</v>
      </c>
      <c r="M575" s="46" t="s">
        <v>1839</v>
      </c>
      <c r="N575" s="77"/>
      <c r="O575" s="83" t="str">
        <f>hyperlink("https://bad-boys.us/?q=MD-FL/6:18-cr-00026", "MD-FL 6:18-cr-00026")</f>
        <v>MD-FL 6:18-cr-00026</v>
      </c>
      <c r="P575" s="88" t="s">
        <v>1840</v>
      </c>
      <c r="Q575" s="84">
        <v>1.0</v>
      </c>
      <c r="R575" s="62"/>
      <c r="S575" s="37" t="str">
        <f>IFERROR(__xludf.DUMMYFUNCTION("if(not(iserror(index(split(C575, "" ""),2))), index(split(C575, "" ""),1),"""")"),"December,")</f>
        <v>December,</v>
      </c>
      <c r="T575" s="38">
        <f>IFERROR(__xludf.DUMMYFUNCTION("if(S575="""",C575,if(not(iserror(index(split(C575, "" ""),3))), index(split(C575, "" ""),3),index(split(C575, "" ""),2)))"),2017.0)</f>
        <v>2017</v>
      </c>
      <c r="U575" s="38" t="b">
        <f t="shared" si="78"/>
        <v>0</v>
      </c>
      <c r="V575" s="38" t="s">
        <v>33</v>
      </c>
      <c r="W575" s="39" t="s">
        <v>1841</v>
      </c>
      <c r="X575" s="39" t="s">
        <v>1842</v>
      </c>
      <c r="Y575" s="40"/>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row>
    <row r="576">
      <c r="A576" s="78" t="s">
        <v>1843</v>
      </c>
      <c r="B576" s="59">
        <v>43322.0</v>
      </c>
      <c r="C576" s="79">
        <v>43070.0</v>
      </c>
      <c r="D576" s="60" t="s">
        <v>1844</v>
      </c>
      <c r="E576" s="58" t="s">
        <v>41</v>
      </c>
      <c r="F576" s="58">
        <v>1.0</v>
      </c>
      <c r="G576" s="58" t="s">
        <v>32</v>
      </c>
      <c r="H576" s="33">
        <f t="shared" si="80"/>
        <v>1</v>
      </c>
      <c r="I576" s="58" t="s">
        <v>33</v>
      </c>
      <c r="J576" s="58" t="s">
        <v>124</v>
      </c>
      <c r="K576" s="58">
        <v>2.0</v>
      </c>
      <c r="L576" s="58" t="s">
        <v>76</v>
      </c>
      <c r="M576" s="61" t="s">
        <v>1845</v>
      </c>
      <c r="N576" s="77"/>
      <c r="O576" s="62"/>
      <c r="P576" s="62"/>
      <c r="Q576" s="62"/>
      <c r="R576" s="62"/>
      <c r="S576" s="37" t="str">
        <f>IFERROR(__xludf.DUMMYFUNCTION("if(not(iserror(index(split(C576, "" ""),2))), index(split(C576, "" ""),1),"""")"),"December,")</f>
        <v>December,</v>
      </c>
      <c r="T576" s="38">
        <f>IFERROR(__xludf.DUMMYFUNCTION("if(S576="""",C576,if(not(iserror(index(split(C576, "" ""),3))), index(split(C576, "" ""),3),index(split(C576, "" ""),2)))"),2017.0)</f>
        <v>2017</v>
      </c>
      <c r="U576" s="38" t="b">
        <f t="shared" si="78"/>
        <v>0</v>
      </c>
      <c r="V576" s="38"/>
      <c r="W576" s="40"/>
      <c r="X576" s="40"/>
      <c r="Y576" s="40"/>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row>
    <row r="577">
      <c r="A577" s="78" t="s">
        <v>1846</v>
      </c>
      <c r="B577" s="59">
        <v>43336.0</v>
      </c>
      <c r="C577" s="79">
        <v>43070.0</v>
      </c>
      <c r="D577" s="60" t="s">
        <v>1847</v>
      </c>
      <c r="E577" s="58" t="s">
        <v>41</v>
      </c>
      <c r="F577" s="58">
        <v>1.0</v>
      </c>
      <c r="G577" s="58" t="s">
        <v>32</v>
      </c>
      <c r="H577" s="33">
        <f t="shared" si="80"/>
        <v>1</v>
      </c>
      <c r="I577" s="58" t="s">
        <v>33</v>
      </c>
      <c r="J577" s="58" t="s">
        <v>343</v>
      </c>
      <c r="K577" s="58" t="s">
        <v>32</v>
      </c>
      <c r="L577" s="58" t="s">
        <v>119</v>
      </c>
      <c r="M577" s="61" t="s">
        <v>1848</v>
      </c>
      <c r="N577" s="61" t="s">
        <v>346</v>
      </c>
      <c r="O577" s="88" t="str">
        <f>hyperlink("https://bad-boys.us/?q=SD-WV/2:18-cr-00085", "SD-WV 2:18-cr-00085")</f>
        <v>SD-WV 2:18-cr-00085</v>
      </c>
      <c r="P577" s="88" t="s">
        <v>1849</v>
      </c>
      <c r="Q577" s="84">
        <v>1.0</v>
      </c>
      <c r="R577" s="62"/>
      <c r="S577" s="37" t="str">
        <f>IFERROR(__xludf.DUMMYFUNCTION("if(not(iserror(index(split(C577, "" ""),2))), index(split(C577, "" ""),1),"""")"),"December,")</f>
        <v>December,</v>
      </c>
      <c r="T577" s="38">
        <f>IFERROR(__xludf.DUMMYFUNCTION("if(S577="""",C577,if(not(iserror(index(split(C577, "" ""),3))), index(split(C577, "" ""),3),index(split(C577, "" ""),2)))"),2017.0)</f>
        <v>2017</v>
      </c>
      <c r="U577" s="38" t="b">
        <f t="shared" si="78"/>
        <v>0</v>
      </c>
      <c r="V577" s="38"/>
      <c r="W577" s="40"/>
      <c r="X577" s="40"/>
      <c r="Y577" s="40"/>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row>
    <row r="578">
      <c r="A578" s="58" t="s">
        <v>1850</v>
      </c>
      <c r="B578" s="59">
        <v>43343.0</v>
      </c>
      <c r="C578" s="79">
        <v>43070.0</v>
      </c>
      <c r="D578" s="60" t="s">
        <v>637</v>
      </c>
      <c r="E578" s="58" t="s">
        <v>41</v>
      </c>
      <c r="F578" s="58">
        <v>1.0</v>
      </c>
      <c r="G578" s="58" t="s">
        <v>32</v>
      </c>
      <c r="H578" s="33">
        <f t="shared" si="80"/>
        <v>1</v>
      </c>
      <c r="I578" s="58" t="s">
        <v>33</v>
      </c>
      <c r="J578" s="58" t="s">
        <v>47</v>
      </c>
      <c r="K578" s="58">
        <v>1.0</v>
      </c>
      <c r="L578" s="58" t="s">
        <v>119</v>
      </c>
      <c r="M578" s="61" t="s">
        <v>1851</v>
      </c>
      <c r="N578" s="77"/>
      <c r="O578" s="88" t="str">
        <f>hyperlink("https://bad-boys.us/?q=SD-FL/9:18-cr-80025", "SD-FL 9:18-cr-80025")</f>
        <v>SD-FL 9:18-cr-80025</v>
      </c>
      <c r="P578" s="88" t="s">
        <v>1852</v>
      </c>
      <c r="Q578" s="84">
        <v>1.0</v>
      </c>
      <c r="R578" s="62"/>
      <c r="S578" s="37" t="str">
        <f>IFERROR(__xludf.DUMMYFUNCTION("if(not(iserror(index(split(C578, "" ""),2))), index(split(C578, "" ""),1),"""")"),"December,")</f>
        <v>December,</v>
      </c>
      <c r="T578" s="38">
        <f>IFERROR(__xludf.DUMMYFUNCTION("if(S578="""",C578,if(not(iserror(index(split(C578, "" ""),3))), index(split(C578, "" ""),3),index(split(C578, "" ""),2)))"),2017.0)</f>
        <v>2017</v>
      </c>
      <c r="U578" s="38" t="b">
        <f t="shared" si="78"/>
        <v>0</v>
      </c>
      <c r="V578" s="38"/>
      <c r="W578" s="40"/>
      <c r="X578" s="40"/>
      <c r="Y578" s="40"/>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row>
    <row r="579">
      <c r="A579" s="58" t="s">
        <v>1853</v>
      </c>
      <c r="B579" s="59">
        <v>43347.0</v>
      </c>
      <c r="C579" s="79">
        <v>43070.0</v>
      </c>
      <c r="D579" s="60" t="s">
        <v>1647</v>
      </c>
      <c r="E579" s="58" t="s">
        <v>41</v>
      </c>
      <c r="F579" s="58">
        <v>1.0</v>
      </c>
      <c r="G579" s="58" t="s">
        <v>32</v>
      </c>
      <c r="H579" s="33">
        <f t="shared" si="80"/>
        <v>1</v>
      </c>
      <c r="I579" s="58" t="s">
        <v>33</v>
      </c>
      <c r="J579" s="58" t="s">
        <v>111</v>
      </c>
      <c r="K579" s="58">
        <v>3.0</v>
      </c>
      <c r="L579" s="58" t="s">
        <v>119</v>
      </c>
      <c r="M579" s="61" t="s">
        <v>1854</v>
      </c>
      <c r="N579" s="77"/>
      <c r="O579" s="62"/>
      <c r="P579" s="62"/>
      <c r="Q579" s="62"/>
      <c r="R579" s="62"/>
      <c r="S579" s="37" t="str">
        <f>IFERROR(__xludf.DUMMYFUNCTION("if(not(iserror(index(split(C579, "" ""),2))), index(split(C579, "" ""),1),"""")"),"December,")</f>
        <v>December,</v>
      </c>
      <c r="T579" s="38">
        <f>IFERROR(__xludf.DUMMYFUNCTION("if(S579="""",C579,if(not(iserror(index(split(C579, "" ""),3))), index(split(C579, "" ""),3),index(split(C579, "" ""),2)))"),2017.0)</f>
        <v>2017</v>
      </c>
      <c r="U579" s="38" t="b">
        <f t="shared" si="78"/>
        <v>0</v>
      </c>
      <c r="V579" s="38"/>
      <c r="W579" s="40"/>
      <c r="X579" s="40"/>
      <c r="Y579" s="40"/>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row>
    <row r="580">
      <c r="A580" s="58" t="s">
        <v>1855</v>
      </c>
      <c r="B580" s="59"/>
      <c r="C580" s="79">
        <v>43070.0</v>
      </c>
      <c r="D580" s="60"/>
      <c r="E580" s="58" t="s">
        <v>41</v>
      </c>
      <c r="F580" s="58">
        <v>1.0</v>
      </c>
      <c r="G580" s="58" t="s">
        <v>32</v>
      </c>
      <c r="H580" s="43">
        <v>1.0</v>
      </c>
      <c r="I580" s="58" t="s">
        <v>33</v>
      </c>
      <c r="J580" s="58" t="s">
        <v>115</v>
      </c>
      <c r="K580" s="58"/>
      <c r="L580" s="58" t="s">
        <v>76</v>
      </c>
      <c r="M580" s="61" t="s">
        <v>1856</v>
      </c>
      <c r="N580" s="77"/>
      <c r="O580" s="62"/>
      <c r="P580" s="62"/>
      <c r="Q580" s="58"/>
      <c r="R580" s="62"/>
      <c r="S580" s="37" t="str">
        <f>IFERROR(__xludf.DUMMYFUNCTION("if(not(iserror(index(split(C580, "" ""),2))), index(split(C580, "" ""),1),"""")"),"December,")</f>
        <v>December,</v>
      </c>
      <c r="T580" s="38">
        <f>IFERROR(__xludf.DUMMYFUNCTION("if(S580="""",C580,if(not(iserror(index(split(C580, "" ""),3))), index(split(C580, "" ""),3),index(split(C580, "" ""),2)))"),2017.0)</f>
        <v>2017</v>
      </c>
      <c r="U580" s="38" t="b">
        <f t="shared" si="78"/>
        <v>0</v>
      </c>
      <c r="V580" s="38" t="s">
        <v>33</v>
      </c>
      <c r="W580" s="40"/>
      <c r="X580" s="40"/>
      <c r="Y580" s="40"/>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row>
    <row r="581">
      <c r="A581" s="58" t="s">
        <v>1857</v>
      </c>
      <c r="B581" s="59">
        <v>43354.0</v>
      </c>
      <c r="C581" s="79">
        <v>43070.0</v>
      </c>
      <c r="D581" s="60" t="s">
        <v>1647</v>
      </c>
      <c r="E581" s="58" t="s">
        <v>41</v>
      </c>
      <c r="F581" s="58">
        <v>1.0</v>
      </c>
      <c r="G581" s="58" t="s">
        <v>32</v>
      </c>
      <c r="H581" s="33">
        <f t="shared" ref="H581:H589" si="81">if(G581="Unknown",1,G581)</f>
        <v>1</v>
      </c>
      <c r="I581" s="58" t="s">
        <v>33</v>
      </c>
      <c r="J581" s="58" t="s">
        <v>343</v>
      </c>
      <c r="K581" s="58" t="s">
        <v>32</v>
      </c>
      <c r="L581" s="58" t="s">
        <v>69</v>
      </c>
      <c r="M581" s="61" t="s">
        <v>1858</v>
      </c>
      <c r="N581" s="77"/>
      <c r="O581" s="83" t="str">
        <f>hyperlink("https://bad-boys.us/?q=SD-WV/2:18-cr-00002", "SD-WV 2:18-cr-00002")</f>
        <v>SD-WV 2:18-cr-00002</v>
      </c>
      <c r="P581" s="88" t="s">
        <v>1859</v>
      </c>
      <c r="Q581" s="84">
        <v>1.0</v>
      </c>
      <c r="R581" s="62"/>
      <c r="S581" s="37" t="str">
        <f>IFERROR(__xludf.DUMMYFUNCTION("if(not(iserror(index(split(C581, "" ""),2))), index(split(C581, "" ""),1),"""")"),"December,")</f>
        <v>December,</v>
      </c>
      <c r="T581" s="38">
        <f>IFERROR(__xludf.DUMMYFUNCTION("if(S581="""",C581,if(not(iserror(index(split(C581, "" ""),3))), index(split(C581, "" ""),3),index(split(C581, "" ""),2)))"),2017.0)</f>
        <v>2017</v>
      </c>
      <c r="U581" s="38" t="b">
        <f t="shared" si="78"/>
        <v>0</v>
      </c>
      <c r="V581" s="38"/>
      <c r="W581" s="40"/>
      <c r="X581" s="40"/>
      <c r="Y581" s="40"/>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row>
    <row r="582">
      <c r="A582" s="58" t="s">
        <v>1860</v>
      </c>
      <c r="B582" s="59">
        <v>43360.0</v>
      </c>
      <c r="C582" s="79">
        <v>43070.0</v>
      </c>
      <c r="D582" s="60" t="s">
        <v>1647</v>
      </c>
      <c r="E582" s="58" t="s">
        <v>41</v>
      </c>
      <c r="F582" s="58">
        <v>3.0</v>
      </c>
      <c r="G582" s="58" t="s">
        <v>32</v>
      </c>
      <c r="H582" s="33">
        <f t="shared" si="81"/>
        <v>1</v>
      </c>
      <c r="I582" s="58" t="s">
        <v>33</v>
      </c>
      <c r="J582" s="58" t="s">
        <v>193</v>
      </c>
      <c r="K582" s="58">
        <v>3.0</v>
      </c>
      <c r="L582" s="58" t="s">
        <v>119</v>
      </c>
      <c r="M582" s="61" t="s">
        <v>1861</v>
      </c>
      <c r="N582" s="77"/>
      <c r="O582" s="88" t="str">
        <f>hyperlink("https://bad-boys.us/?q=D-NM/2:18-cr-04148", "D-NM 2:18-cr-04148")</f>
        <v>D-NM 2:18-cr-04148</v>
      </c>
      <c r="P582" s="62"/>
      <c r="Q582" s="84">
        <v>1.0</v>
      </c>
      <c r="R582" s="62"/>
      <c r="S582" s="37" t="str">
        <f>IFERROR(__xludf.DUMMYFUNCTION("if(not(iserror(index(split(C582, "" ""),2))), index(split(C582, "" ""),1),"""")"),"December,")</f>
        <v>December,</v>
      </c>
      <c r="T582" s="38">
        <f>IFERROR(__xludf.DUMMYFUNCTION("if(S582="""",C582,if(not(iserror(index(split(C582, "" ""),3))), index(split(C582, "" ""),3),index(split(C582, "" ""),2)))"),2017.0)</f>
        <v>2017</v>
      </c>
      <c r="U582" s="38" t="b">
        <f t="shared" si="78"/>
        <v>0</v>
      </c>
      <c r="V582" s="38"/>
      <c r="W582" s="40"/>
      <c r="X582" s="40"/>
      <c r="Y582" s="40"/>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row>
    <row r="583">
      <c r="A583" s="58" t="s">
        <v>1862</v>
      </c>
      <c r="B583" s="59">
        <v>43363.0</v>
      </c>
      <c r="C583" s="79">
        <v>43070.0</v>
      </c>
      <c r="D583" s="60" t="s">
        <v>1647</v>
      </c>
      <c r="E583" s="58" t="s">
        <v>41</v>
      </c>
      <c r="F583" s="58">
        <v>1.0</v>
      </c>
      <c r="G583" s="58" t="s">
        <v>32</v>
      </c>
      <c r="H583" s="33">
        <f t="shared" si="81"/>
        <v>1</v>
      </c>
      <c r="I583" s="58" t="s">
        <v>33</v>
      </c>
      <c r="J583" s="58" t="s">
        <v>514</v>
      </c>
      <c r="K583" s="58">
        <v>2.0</v>
      </c>
      <c r="L583" s="58" t="s">
        <v>76</v>
      </c>
      <c r="M583" s="61" t="s">
        <v>1863</v>
      </c>
      <c r="N583" s="77"/>
      <c r="O583" s="88" t="str">
        <f>hyperlink("https://bad-boys.us/?q=WD-AR/3:17-cr-30014", "WD-AR 3:17-cr-30014")</f>
        <v>WD-AR 3:17-cr-30014</v>
      </c>
      <c r="P583" s="88" t="s">
        <v>1864</v>
      </c>
      <c r="Q583" s="84">
        <v>1.0</v>
      </c>
      <c r="R583" s="62"/>
      <c r="S583" s="37" t="str">
        <f>IFERROR(__xludf.DUMMYFUNCTION("if(not(iserror(index(split(C583, "" ""),2))), index(split(C583, "" ""),1),"""")"),"December,")</f>
        <v>December,</v>
      </c>
      <c r="T583" s="38">
        <f>IFERROR(__xludf.DUMMYFUNCTION("if(S583="""",C583,if(not(iserror(index(split(C583, "" ""),3))), index(split(C583, "" ""),3),index(split(C583, "" ""),2)))"),2017.0)</f>
        <v>2017</v>
      </c>
      <c r="U583" s="38" t="b">
        <f t="shared" si="78"/>
        <v>0</v>
      </c>
      <c r="V583" s="38"/>
      <c r="W583" s="40"/>
      <c r="X583" s="40"/>
      <c r="Y583" s="40"/>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row>
    <row r="584">
      <c r="A584" s="58" t="s">
        <v>1865</v>
      </c>
      <c r="B584" s="59">
        <v>43399.0</v>
      </c>
      <c r="C584" s="79">
        <v>43070.0</v>
      </c>
      <c r="D584" s="60" t="s">
        <v>1647</v>
      </c>
      <c r="E584" s="58" t="s">
        <v>41</v>
      </c>
      <c r="F584" s="58">
        <v>1.0</v>
      </c>
      <c r="G584" s="58" t="s">
        <v>32</v>
      </c>
      <c r="H584" s="33">
        <f t="shared" si="81"/>
        <v>1</v>
      </c>
      <c r="I584" s="58" t="s">
        <v>33</v>
      </c>
      <c r="J584" s="58" t="s">
        <v>288</v>
      </c>
      <c r="K584" s="58">
        <v>2.0</v>
      </c>
      <c r="L584" s="58" t="s">
        <v>119</v>
      </c>
      <c r="M584" s="61" t="s">
        <v>1866</v>
      </c>
      <c r="N584" s="80"/>
      <c r="O584" s="88" t="str">
        <f>hyperlink("https://bad-boys.us/?q=D-NE/4:18-cr-03003", "D-NE 4:18-cr-03003")</f>
        <v>D-NE 4:18-cr-03003</v>
      </c>
      <c r="P584" s="88" t="s">
        <v>1867</v>
      </c>
      <c r="Q584" s="84">
        <v>1.0</v>
      </c>
      <c r="R584" s="62"/>
      <c r="S584" s="37" t="str">
        <f>IFERROR(__xludf.DUMMYFUNCTION("if(not(iserror(index(split(C584, "" ""),2))), index(split(C584, "" ""),1),"""")"),"December,")</f>
        <v>December,</v>
      </c>
      <c r="T584" s="38">
        <f>IFERROR(__xludf.DUMMYFUNCTION("if(S584="""",C584,if(not(iserror(index(split(C584, "" ""),3))), index(split(C584, "" ""),3),index(split(C584, "" ""),2)))"),2017.0)</f>
        <v>2017</v>
      </c>
      <c r="U584" s="38" t="b">
        <f t="shared" si="78"/>
        <v>0</v>
      </c>
      <c r="V584" s="38"/>
      <c r="W584" s="40"/>
      <c r="X584" s="40"/>
      <c r="Y584" s="40"/>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row>
    <row r="585">
      <c r="A585" s="87" t="s">
        <v>1868</v>
      </c>
      <c r="B585" s="59">
        <v>43409.0</v>
      </c>
      <c r="C585" s="79">
        <v>43070.0</v>
      </c>
      <c r="D585" s="60" t="s">
        <v>1647</v>
      </c>
      <c r="E585" s="58" t="s">
        <v>41</v>
      </c>
      <c r="F585" s="58">
        <v>1.0</v>
      </c>
      <c r="G585" s="58" t="s">
        <v>32</v>
      </c>
      <c r="H585" s="33">
        <f t="shared" si="81"/>
        <v>1</v>
      </c>
      <c r="I585" s="58" t="s">
        <v>33</v>
      </c>
      <c r="J585" s="58" t="s">
        <v>1184</v>
      </c>
      <c r="K585" s="58">
        <v>1.0</v>
      </c>
      <c r="L585" s="58" t="s">
        <v>69</v>
      </c>
      <c r="M585" s="61" t="s">
        <v>1869</v>
      </c>
      <c r="N585" s="80"/>
      <c r="O585" s="88" t="str">
        <f>hyperlink("https://bad-boys.us/?q=D-ID/1:18-cr-00022", "D-ID 1:18-cr-00022")</f>
        <v>D-ID 1:18-cr-00022</v>
      </c>
      <c r="P585" s="88" t="s">
        <v>1870</v>
      </c>
      <c r="Q585" s="58">
        <v>1.0</v>
      </c>
      <c r="R585" s="62"/>
      <c r="S585" s="37" t="str">
        <f>IFERROR(__xludf.DUMMYFUNCTION("if(not(iserror(index(split(C585, "" ""),2))), index(split(C585, "" ""),1),"""")"),"December,")</f>
        <v>December,</v>
      </c>
      <c r="T585" s="38">
        <f>IFERROR(__xludf.DUMMYFUNCTION("if(S585="""",C585,if(not(iserror(index(split(C585, "" ""),3))), index(split(C585, "" ""),3),index(split(C585, "" ""),2)))"),2017.0)</f>
        <v>2017</v>
      </c>
      <c r="U585" s="38" t="b">
        <f t="shared" si="78"/>
        <v>0</v>
      </c>
      <c r="V585" s="38"/>
      <c r="W585" s="40"/>
      <c r="X585" s="40"/>
      <c r="Y585" s="40"/>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row>
    <row r="586">
      <c r="A586" s="58" t="s">
        <v>1871</v>
      </c>
      <c r="B586" s="59">
        <v>43425.0</v>
      </c>
      <c r="C586" s="79">
        <v>43070.0</v>
      </c>
      <c r="D586" s="60" t="s">
        <v>1647</v>
      </c>
      <c r="E586" s="58" t="s">
        <v>41</v>
      </c>
      <c r="F586" s="58">
        <v>1.0</v>
      </c>
      <c r="G586" s="58" t="s">
        <v>32</v>
      </c>
      <c r="H586" s="33">
        <f t="shared" si="81"/>
        <v>1</v>
      </c>
      <c r="I586" s="58" t="s">
        <v>33</v>
      </c>
      <c r="J586" s="58" t="s">
        <v>89</v>
      </c>
      <c r="K586" s="58">
        <v>2.0</v>
      </c>
      <c r="L586" s="58" t="s">
        <v>76</v>
      </c>
      <c r="M586" s="61" t="s">
        <v>1872</v>
      </c>
      <c r="N586" s="61" t="s">
        <v>1873</v>
      </c>
      <c r="O586" s="88" t="str">
        <f>hyperlink("https://bad-boys.us/?q=WD-LA/1:17-cr-00332", "WD-LA 1:17-cr-00332")</f>
        <v>WD-LA 1:17-cr-00332</v>
      </c>
      <c r="P586" s="88" t="s">
        <v>1874</v>
      </c>
      <c r="Q586" s="58">
        <v>1.0</v>
      </c>
      <c r="R586" s="62"/>
      <c r="S586" s="37" t="str">
        <f>IFERROR(__xludf.DUMMYFUNCTION("if(not(iserror(index(split(C586, "" ""),2))), index(split(C586, "" ""),1),"""")"),"December,")</f>
        <v>December,</v>
      </c>
      <c r="T586" s="38">
        <f>IFERROR(__xludf.DUMMYFUNCTION("if(S586="""",C586,if(not(iserror(index(split(C586, "" ""),3))), index(split(C586, "" ""),3),index(split(C586, "" ""),2)))"),2017.0)</f>
        <v>2017</v>
      </c>
      <c r="U586" s="38" t="b">
        <f t="shared" si="78"/>
        <v>0</v>
      </c>
      <c r="V586" s="38"/>
      <c r="W586" s="40"/>
      <c r="X586" s="40"/>
      <c r="Y586" s="40"/>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row>
    <row r="587">
      <c r="A587" s="58" t="s">
        <v>1875</v>
      </c>
      <c r="B587" s="59">
        <v>43444.0</v>
      </c>
      <c r="C587" s="79">
        <v>43070.0</v>
      </c>
      <c r="D587" s="60" t="s">
        <v>1647</v>
      </c>
      <c r="E587" s="58" t="s">
        <v>41</v>
      </c>
      <c r="F587" s="58">
        <v>1.0</v>
      </c>
      <c r="G587" s="58" t="s">
        <v>32</v>
      </c>
      <c r="H587" s="33">
        <f t="shared" si="81"/>
        <v>1</v>
      </c>
      <c r="I587" s="58" t="s">
        <v>33</v>
      </c>
      <c r="J587" s="58" t="s">
        <v>106</v>
      </c>
      <c r="K587" s="58">
        <v>3.0</v>
      </c>
      <c r="L587" s="58" t="s">
        <v>76</v>
      </c>
      <c r="M587" s="61" t="s">
        <v>1876</v>
      </c>
      <c r="N587" s="61" t="s">
        <v>1877</v>
      </c>
      <c r="O587" s="88" t="str">
        <f>hyperlink("https://bad-boys.us/?q=D-MD/1:18-cr-00279", "D-MD 1:18-cr-00279")</f>
        <v>D-MD 1:18-cr-00279</v>
      </c>
      <c r="P587" s="58"/>
      <c r="Q587" s="58">
        <v>1.0</v>
      </c>
      <c r="R587" s="62"/>
      <c r="S587" s="37" t="str">
        <f>IFERROR(__xludf.DUMMYFUNCTION("if(not(iserror(index(split(C587, "" ""),2))), index(split(C587, "" ""),1),"""")"),"December,")</f>
        <v>December,</v>
      </c>
      <c r="T587" s="38">
        <f>IFERROR(__xludf.DUMMYFUNCTION("if(S587="""",C587,if(not(iserror(index(split(C587, "" ""),3))), index(split(C587, "" ""),3),index(split(C587, "" ""),2)))"),2017.0)</f>
        <v>2017</v>
      </c>
      <c r="U587" s="38" t="b">
        <f t="shared" si="78"/>
        <v>0</v>
      </c>
      <c r="V587" s="38"/>
      <c r="W587" s="40"/>
      <c r="X587" s="40"/>
      <c r="Y587" s="40"/>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row>
    <row r="588">
      <c r="A588" s="58" t="s">
        <v>1878</v>
      </c>
      <c r="B588" s="59">
        <v>43445.0</v>
      </c>
      <c r="C588" s="79">
        <v>43070.0</v>
      </c>
      <c r="D588" s="60" t="s">
        <v>1879</v>
      </c>
      <c r="E588" s="58" t="s">
        <v>31</v>
      </c>
      <c r="F588" s="58">
        <v>2.0</v>
      </c>
      <c r="G588" s="58" t="s">
        <v>32</v>
      </c>
      <c r="H588" s="33">
        <f t="shared" si="81"/>
        <v>1</v>
      </c>
      <c r="I588" s="58" t="s">
        <v>33</v>
      </c>
      <c r="J588" s="58" t="s">
        <v>75</v>
      </c>
      <c r="K588" s="58">
        <v>2.0</v>
      </c>
      <c r="L588" s="58" t="s">
        <v>76</v>
      </c>
      <c r="M588" s="80" t="s">
        <v>1880</v>
      </c>
      <c r="N588" s="61" t="s">
        <v>1881</v>
      </c>
      <c r="O588" s="88" t="str">
        <f>hyperlink("https://bad-boys.us/?q=WD-KY/4:18-cr-00011", "WD-KY 4:18-cr-00011")</f>
        <v>WD-KY 4:18-cr-00011</v>
      </c>
      <c r="P588" s="88" t="s">
        <v>1882</v>
      </c>
      <c r="Q588" s="58">
        <v>1.0</v>
      </c>
      <c r="R588" s="62"/>
      <c r="S588" s="37" t="str">
        <f>IFERROR(__xludf.DUMMYFUNCTION("if(not(iserror(index(split(C588, "" ""),2))), index(split(C588, "" ""),1),"""")"),"December,")</f>
        <v>December,</v>
      </c>
      <c r="T588" s="38">
        <f>IFERROR(__xludf.DUMMYFUNCTION("if(S588="""",C588,if(not(iserror(index(split(C588, "" ""),3))), index(split(C588, "" ""),3),index(split(C588, "" ""),2)))"),2017.0)</f>
        <v>2017</v>
      </c>
      <c r="U588" s="38" t="b">
        <f t="shared" si="78"/>
        <v>0</v>
      </c>
      <c r="V588" s="38" t="s">
        <v>33</v>
      </c>
      <c r="W588" s="39" t="s">
        <v>1883</v>
      </c>
      <c r="X588" s="39" t="s">
        <v>1884</v>
      </c>
      <c r="Y588" s="40"/>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row>
    <row r="589">
      <c r="A589" s="47" t="s">
        <v>1885</v>
      </c>
      <c r="B589" s="48">
        <v>43474.0</v>
      </c>
      <c r="C589" s="89">
        <v>43070.0</v>
      </c>
      <c r="D589" s="49" t="s">
        <v>1647</v>
      </c>
      <c r="E589" s="47" t="s">
        <v>41</v>
      </c>
      <c r="F589" s="47">
        <v>1.0</v>
      </c>
      <c r="G589" s="47" t="s">
        <v>32</v>
      </c>
      <c r="H589" s="33">
        <f t="shared" si="81"/>
        <v>1</v>
      </c>
      <c r="I589" s="47" t="s">
        <v>33</v>
      </c>
      <c r="J589" s="47" t="s">
        <v>98</v>
      </c>
      <c r="K589" s="47" t="s">
        <v>32</v>
      </c>
      <c r="L589" s="47" t="s">
        <v>119</v>
      </c>
      <c r="M589" s="51" t="s">
        <v>1886</v>
      </c>
      <c r="N589" s="52"/>
      <c r="O589" s="53" t="str">
        <f>hyperlink("https://bad-boys.us/?q=MD-GA/5:18-cr-00015", "MD-GA 5:18-cr-00015")</f>
        <v>MD-GA 5:18-cr-00015</v>
      </c>
      <c r="P589" s="54" t="s">
        <v>1887</v>
      </c>
      <c r="Q589" s="47">
        <v>1.0</v>
      </c>
      <c r="R589" s="55"/>
      <c r="S589" s="37" t="str">
        <f>IFERROR(__xludf.DUMMYFUNCTION("if(not(iserror(index(split(C589, "" ""),2))), index(split(C589, "" ""),1),"""")"),"December,")</f>
        <v>December,</v>
      </c>
      <c r="T589" s="38">
        <f>IFERROR(__xludf.DUMMYFUNCTION("if(S589="""",C589,if(not(iserror(index(split(C589, "" ""),3))), index(split(C589, "" ""),3),index(split(C589, "" ""),2)))"),2017.0)</f>
        <v>2017</v>
      </c>
      <c r="U589" s="38" t="b">
        <f t="shared" si="78"/>
        <v>0</v>
      </c>
      <c r="V589" s="38"/>
      <c r="W589" s="40"/>
      <c r="X589" s="40"/>
      <c r="Y589" s="40"/>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row>
    <row r="590">
      <c r="A590" s="47" t="s">
        <v>1888</v>
      </c>
      <c r="B590" s="48">
        <v>43497.0</v>
      </c>
      <c r="C590" s="89">
        <v>43070.0</v>
      </c>
      <c r="D590" s="49" t="s">
        <v>1647</v>
      </c>
      <c r="E590" s="47" t="s">
        <v>41</v>
      </c>
      <c r="F590" s="47">
        <v>1.0</v>
      </c>
      <c r="G590" s="47" t="s">
        <v>32</v>
      </c>
      <c r="H590" s="63">
        <v>1.0</v>
      </c>
      <c r="I590" s="47" t="s">
        <v>33</v>
      </c>
      <c r="J590" s="47" t="s">
        <v>288</v>
      </c>
      <c r="K590" s="47">
        <v>1.0</v>
      </c>
      <c r="L590" s="47" t="s">
        <v>69</v>
      </c>
      <c r="M590" s="51" t="s">
        <v>1889</v>
      </c>
      <c r="N590" s="52"/>
      <c r="O590" s="53" t="str">
        <f>hyperlink("https://bad-boys.us/?q=D-NE/8:18-cr-00106", "D-NE 8:18-cr-00106")</f>
        <v>D-NE 8:18-cr-00106</v>
      </c>
      <c r="P590" s="54" t="s">
        <v>1890</v>
      </c>
      <c r="Q590" s="47">
        <v>1.0</v>
      </c>
      <c r="R590" s="55"/>
      <c r="S590" s="37" t="str">
        <f>IFERROR(__xludf.DUMMYFUNCTION("if(not(iserror(index(split(C590, "" ""),2))), index(split(C590, "" ""),1),"""")"),"December,")</f>
        <v>December,</v>
      </c>
      <c r="T590" s="38">
        <f>IFERROR(__xludf.DUMMYFUNCTION("if(S590="""",C590,if(not(iserror(index(split(C590, "" ""),3))), index(split(C590, "" ""),3),index(split(C590, "" ""),2)))"),2017.0)</f>
        <v>2017</v>
      </c>
      <c r="U590" s="38" t="b">
        <f t="shared" si="78"/>
        <v>0</v>
      </c>
      <c r="V590" s="38" t="s">
        <v>33</v>
      </c>
      <c r="W590" s="40"/>
      <c r="X590" s="40"/>
      <c r="Y590" s="40"/>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row>
    <row r="591">
      <c r="A591" s="13" t="s">
        <v>1891</v>
      </c>
      <c r="B591" s="30"/>
      <c r="C591" s="30">
        <v>43070.0</v>
      </c>
      <c r="D591" s="32"/>
      <c r="E591" s="13" t="s">
        <v>41</v>
      </c>
      <c r="F591" s="13">
        <v>1.0</v>
      </c>
      <c r="G591" s="13" t="s">
        <v>32</v>
      </c>
      <c r="H591" s="43">
        <v>1.0</v>
      </c>
      <c r="I591" s="13" t="s">
        <v>33</v>
      </c>
      <c r="J591" s="13" t="s">
        <v>147</v>
      </c>
      <c r="K591" s="13"/>
      <c r="L591" s="13" t="s">
        <v>69</v>
      </c>
      <c r="M591" s="107" t="s">
        <v>1892</v>
      </c>
      <c r="N591" s="15"/>
      <c r="O591" s="16"/>
      <c r="P591" s="16"/>
      <c r="Q591" s="16"/>
      <c r="R591" s="16"/>
      <c r="S591" s="37"/>
      <c r="T591" s="38"/>
      <c r="U591" s="38"/>
      <c r="V591" s="38" t="s">
        <v>33</v>
      </c>
      <c r="W591" s="40"/>
      <c r="X591" s="40"/>
      <c r="Y591" s="40"/>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row>
    <row r="592">
      <c r="A592" s="13" t="s">
        <v>239</v>
      </c>
      <c r="B592" s="30">
        <v>43074.0</v>
      </c>
      <c r="C592" s="30">
        <v>43072.0</v>
      </c>
      <c r="D592" s="32" t="s">
        <v>1893</v>
      </c>
      <c r="E592" s="13" t="s">
        <v>41</v>
      </c>
      <c r="F592" s="13">
        <v>1.0</v>
      </c>
      <c r="G592" s="13">
        <v>12.0</v>
      </c>
      <c r="H592" s="33">
        <f t="shared" ref="H592:H595" si="82">if(G592="Unknown",1,G592)</f>
        <v>12</v>
      </c>
      <c r="I592" s="13" t="s">
        <v>33</v>
      </c>
      <c r="J592" s="13" t="s">
        <v>147</v>
      </c>
      <c r="K592" s="13">
        <v>1.0</v>
      </c>
      <c r="L592" s="13" t="s">
        <v>194</v>
      </c>
      <c r="M592" s="107" t="s">
        <v>1894</v>
      </c>
      <c r="N592" s="15"/>
      <c r="O592" s="16"/>
      <c r="P592" s="16"/>
      <c r="Q592" s="16"/>
      <c r="R592" s="16"/>
      <c r="S592" s="37" t="str">
        <f>IFERROR(__xludf.DUMMYFUNCTION("if(not(iserror(index(split(C592, "" ""),2))), index(split(C592, "" ""),1),"""")"),"December")</f>
        <v>December</v>
      </c>
      <c r="T592" s="38">
        <f>IFERROR(__xludf.DUMMYFUNCTION("if(S592="""",C592,if(not(iserror(index(split(C592, "" ""),3))), index(split(C592, "" ""),3),index(split(C592, "" ""),2)))"),2017.0)</f>
        <v>2017</v>
      </c>
      <c r="U592" s="38" t="b">
        <f t="shared" ref="U592:U626" si="83">countif(A$4:A4658, A592)&gt;1</f>
        <v>1</v>
      </c>
      <c r="V592" s="38"/>
      <c r="W592" s="40"/>
      <c r="X592" s="40"/>
      <c r="Y592" s="40"/>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row>
    <row r="593">
      <c r="A593" s="13" t="s">
        <v>239</v>
      </c>
      <c r="B593" s="30">
        <v>43073.0</v>
      </c>
      <c r="C593" s="30">
        <v>43073.0</v>
      </c>
      <c r="D593" s="32" t="s">
        <v>1895</v>
      </c>
      <c r="E593" s="13" t="s">
        <v>41</v>
      </c>
      <c r="F593" s="13">
        <v>1.0</v>
      </c>
      <c r="G593" s="13">
        <v>15.0</v>
      </c>
      <c r="H593" s="33">
        <f t="shared" si="82"/>
        <v>15</v>
      </c>
      <c r="I593" s="13" t="s">
        <v>33</v>
      </c>
      <c r="J593" s="13" t="s">
        <v>111</v>
      </c>
      <c r="K593" s="13">
        <v>2.0</v>
      </c>
      <c r="L593" s="13" t="s">
        <v>194</v>
      </c>
      <c r="M593" s="107" t="s">
        <v>1896</v>
      </c>
      <c r="N593" s="15"/>
      <c r="O593" s="16"/>
      <c r="P593" s="16"/>
      <c r="Q593" s="16"/>
      <c r="R593" s="16"/>
      <c r="S593" s="37" t="str">
        <f>IFERROR(__xludf.DUMMYFUNCTION("if(not(iserror(index(split(C593, "" ""),2))), index(split(C593, "" ""),1),"""")"),"December")</f>
        <v>December</v>
      </c>
      <c r="T593" s="38">
        <f>IFERROR(__xludf.DUMMYFUNCTION("if(S593="""",C593,if(not(iserror(index(split(C593, "" ""),3))), index(split(C593, "" ""),3),index(split(C593, "" ""),2)))"),2017.0)</f>
        <v>2017</v>
      </c>
      <c r="U593" s="38" t="b">
        <f t="shared" si="83"/>
        <v>1</v>
      </c>
      <c r="V593" s="38"/>
      <c r="W593" s="40"/>
      <c r="X593" s="40"/>
      <c r="Y593" s="40"/>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row>
    <row r="594">
      <c r="A594" s="58" t="s">
        <v>1822</v>
      </c>
      <c r="B594" s="59">
        <v>43377.0</v>
      </c>
      <c r="C594" s="59">
        <v>43073.0</v>
      </c>
      <c r="D594" s="60" t="s">
        <v>1895</v>
      </c>
      <c r="E594" s="58" t="s">
        <v>41</v>
      </c>
      <c r="F594" s="58">
        <v>1.0</v>
      </c>
      <c r="G594" s="58" t="s">
        <v>32</v>
      </c>
      <c r="H594" s="33">
        <f t="shared" si="82"/>
        <v>1</v>
      </c>
      <c r="I594" s="58" t="s">
        <v>33</v>
      </c>
      <c r="J594" s="58" t="s">
        <v>75</v>
      </c>
      <c r="K594" s="58">
        <v>1.0</v>
      </c>
      <c r="L594" s="58" t="s">
        <v>76</v>
      </c>
      <c r="M594" s="164" t="s">
        <v>1897</v>
      </c>
      <c r="N594" s="61" t="s">
        <v>1898</v>
      </c>
      <c r="O594" s="88" t="str">
        <f>hyperlink("https://bad-boys.us/?q=WD-KY/3:17-cr-00178", "WD-KY 3:17-cr-00178")</f>
        <v>WD-KY 3:17-cr-00178</v>
      </c>
      <c r="P594" s="88" t="s">
        <v>1899</v>
      </c>
      <c r="Q594" s="58">
        <v>1.0</v>
      </c>
      <c r="R594" s="62"/>
      <c r="S594" s="37" t="str">
        <f>IFERROR(__xludf.DUMMYFUNCTION("if(not(iserror(index(split(C594, "" ""),2))), index(split(C594, "" ""),1),"""")"),"December")</f>
        <v>December</v>
      </c>
      <c r="T594" s="38">
        <f>IFERROR(__xludf.DUMMYFUNCTION("if(S594="""",C594,if(not(iserror(index(split(C594, "" ""),3))), index(split(C594, "" ""),3),index(split(C594, "" ""),2)))"),2017.0)</f>
        <v>2017</v>
      </c>
      <c r="U594" s="38" t="b">
        <f t="shared" si="83"/>
        <v>1</v>
      </c>
      <c r="V594" s="38" t="s">
        <v>33</v>
      </c>
      <c r="W594" s="40"/>
      <c r="X594" s="40"/>
      <c r="Y594" s="40"/>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row>
    <row r="595">
      <c r="A595" s="13" t="s">
        <v>1900</v>
      </c>
      <c r="B595" s="30">
        <v>43074.0</v>
      </c>
      <c r="C595" s="30">
        <v>43074.0</v>
      </c>
      <c r="D595" s="32" t="s">
        <v>1901</v>
      </c>
      <c r="E595" s="13" t="s">
        <v>31</v>
      </c>
      <c r="F595" s="13">
        <v>1.0</v>
      </c>
      <c r="G595" s="13" t="s">
        <v>32</v>
      </c>
      <c r="H595" s="33">
        <f t="shared" si="82"/>
        <v>1</v>
      </c>
      <c r="I595" s="13" t="s">
        <v>33</v>
      </c>
      <c r="J595" s="13" t="s">
        <v>47</v>
      </c>
      <c r="K595" s="13">
        <v>1.0</v>
      </c>
      <c r="L595" s="13" t="s">
        <v>1902</v>
      </c>
      <c r="M595" s="107" t="s">
        <v>1903</v>
      </c>
      <c r="N595" s="15"/>
      <c r="O595" s="16"/>
      <c r="P595" s="16"/>
      <c r="Q595" s="16"/>
      <c r="R595" s="16"/>
      <c r="S595" s="37" t="str">
        <f>IFERROR(__xludf.DUMMYFUNCTION("if(not(iserror(index(split(C595, "" ""),2))), index(split(C595, "" ""),1),"""")"),"December")</f>
        <v>December</v>
      </c>
      <c r="T595" s="38">
        <f>IFERROR(__xludf.DUMMYFUNCTION("if(S595="""",C595,if(not(iserror(index(split(C595, "" ""),3))), index(split(C595, "" ""),3),index(split(C595, "" ""),2)))"),2017.0)</f>
        <v>2017</v>
      </c>
      <c r="U595" s="38" t="b">
        <f t="shared" si="83"/>
        <v>0</v>
      </c>
      <c r="V595" s="38"/>
      <c r="W595" s="40"/>
      <c r="X595" s="40"/>
      <c r="Y595" s="40"/>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row>
    <row r="596">
      <c r="A596" s="13" t="s">
        <v>1904</v>
      </c>
      <c r="B596" s="30">
        <v>43074.0</v>
      </c>
      <c r="C596" s="30">
        <v>43074.0</v>
      </c>
      <c r="D596" s="32" t="s">
        <v>1901</v>
      </c>
      <c r="E596" s="13" t="s">
        <v>31</v>
      </c>
      <c r="F596" s="13">
        <v>1.0</v>
      </c>
      <c r="G596" s="13" t="s">
        <v>32</v>
      </c>
      <c r="H596" s="50">
        <v>1.0</v>
      </c>
      <c r="I596" s="13" t="s">
        <v>33</v>
      </c>
      <c r="J596" s="13" t="s">
        <v>460</v>
      </c>
      <c r="K596" s="13">
        <v>1.0</v>
      </c>
      <c r="L596" s="13" t="s">
        <v>76</v>
      </c>
      <c r="M596" s="107" t="s">
        <v>1905</v>
      </c>
      <c r="N596" s="36" t="s">
        <v>1906</v>
      </c>
      <c r="O596" s="57" t="str">
        <f>hyperlink("https://bad-boys.us/?q=SD-IA/4:17-cr-00211", "SD-IA 4:17-cr-00211")</f>
        <v>SD-IA 4:17-cr-00211</v>
      </c>
      <c r="P596" s="86" t="s">
        <v>1907</v>
      </c>
      <c r="Q596" s="37">
        <v>1.0</v>
      </c>
      <c r="R596" s="16"/>
      <c r="S596" s="37" t="str">
        <f>IFERROR(__xludf.DUMMYFUNCTION("if(not(iserror(index(split(C596, "" ""),2))), index(split(C596, "" ""),1),"""")"),"December")</f>
        <v>December</v>
      </c>
      <c r="T596" s="38">
        <f>IFERROR(__xludf.DUMMYFUNCTION("if(S596="""",C596,if(not(iserror(index(split(C596, "" ""),3))), index(split(C596, "" ""),3),index(split(C596, "" ""),2)))"),2017.0)</f>
        <v>2017</v>
      </c>
      <c r="U596" s="38" t="b">
        <f t="shared" si="83"/>
        <v>0</v>
      </c>
      <c r="V596" s="38"/>
      <c r="W596" s="40"/>
      <c r="X596" s="40"/>
      <c r="Y596" s="40"/>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row>
    <row r="597">
      <c r="A597" s="37" t="s">
        <v>1908</v>
      </c>
      <c r="B597" s="30">
        <v>43441.0</v>
      </c>
      <c r="C597" s="30">
        <v>43074.0</v>
      </c>
      <c r="D597" s="32" t="s">
        <v>1901</v>
      </c>
      <c r="E597" s="13" t="s">
        <v>41</v>
      </c>
      <c r="F597" s="13">
        <v>1.0</v>
      </c>
      <c r="G597" s="13">
        <v>1.0</v>
      </c>
      <c r="H597" s="33">
        <f t="shared" ref="H597:H601" si="84">if(G597="Unknown",1,G597)</f>
        <v>1</v>
      </c>
      <c r="I597" s="13" t="s">
        <v>33</v>
      </c>
      <c r="J597" s="13" t="s">
        <v>111</v>
      </c>
      <c r="K597" s="13">
        <v>2.0</v>
      </c>
      <c r="L597" s="13" t="s">
        <v>76</v>
      </c>
      <c r="M597" s="165" t="s">
        <v>1909</v>
      </c>
      <c r="N597" s="15"/>
      <c r="O597" s="57" t="str">
        <f>hyperlink("https://bad-boys.us/?q=ED-CA/2:17-cr-00215", "ED-CA 2:17-cr-00215")</f>
        <v>ED-CA 2:17-cr-00215</v>
      </c>
      <c r="P597" s="86" t="s">
        <v>1910</v>
      </c>
      <c r="Q597" s="37">
        <v>1.0</v>
      </c>
      <c r="R597" s="16"/>
      <c r="S597" s="37" t="str">
        <f>IFERROR(__xludf.DUMMYFUNCTION("if(not(iserror(index(split(C597, "" ""),2))), index(split(C597, "" ""),1),"""")"),"December")</f>
        <v>December</v>
      </c>
      <c r="T597" s="38">
        <f>IFERROR(__xludf.DUMMYFUNCTION("if(S597="""",C597,if(not(iserror(index(split(C597, "" ""),3))), index(split(C597, "" ""),3),index(split(C597, "" ""),2)))"),2017.0)</f>
        <v>2017</v>
      </c>
      <c r="U597" s="38" t="b">
        <f t="shared" si="83"/>
        <v>0</v>
      </c>
      <c r="V597" s="38"/>
      <c r="W597" s="40"/>
      <c r="X597" s="40"/>
      <c r="Y597" s="40"/>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row>
    <row r="598">
      <c r="A598" s="166" t="s">
        <v>1911</v>
      </c>
      <c r="B598" s="167">
        <v>43083.0</v>
      </c>
      <c r="C598" s="153">
        <v>43074.0</v>
      </c>
      <c r="D598" s="168" t="s">
        <v>1901</v>
      </c>
      <c r="E598" s="169" t="s">
        <v>41</v>
      </c>
      <c r="F598" s="152">
        <v>1.0</v>
      </c>
      <c r="G598" s="166" t="s">
        <v>32</v>
      </c>
      <c r="H598" s="33">
        <f t="shared" si="84"/>
        <v>1</v>
      </c>
      <c r="I598" s="166" t="s">
        <v>33</v>
      </c>
      <c r="J598" s="166" t="s">
        <v>111</v>
      </c>
      <c r="K598" s="152">
        <v>1.0</v>
      </c>
      <c r="L598" s="166" t="s">
        <v>35</v>
      </c>
      <c r="M598" s="170" t="s">
        <v>1912</v>
      </c>
      <c r="N598" s="171"/>
      <c r="O598" s="86" t="str">
        <f>hyperlink("https://bad-boys.us/?q=CD-CA/5:17-cr-00265", "CD-CA 5:17-cr-00265")</f>
        <v>CD-CA 5:17-cr-00265</v>
      </c>
      <c r="P598" s="86" t="s">
        <v>1913</v>
      </c>
      <c r="Q598" s="64">
        <v>1.0</v>
      </c>
      <c r="R598" s="16"/>
      <c r="S598" s="37" t="str">
        <f>IFERROR(__xludf.DUMMYFUNCTION("if(not(iserror(index(split(C598, "" ""),2))), index(split(C598, "" ""),1),"""")"),"December")</f>
        <v>December</v>
      </c>
      <c r="T598" s="38">
        <f>IFERROR(__xludf.DUMMYFUNCTION("if(S598="""",C598,if(not(iserror(index(split(C598, "" ""),3))), index(split(C598, "" ""),3),index(split(C598, "" ""),2)))"),2017.0)</f>
        <v>2017</v>
      </c>
      <c r="U598" s="38" t="b">
        <f t="shared" si="83"/>
        <v>0</v>
      </c>
      <c r="V598" s="38"/>
      <c r="W598" s="40"/>
      <c r="X598" s="40"/>
      <c r="Y598" s="40"/>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row>
    <row r="599">
      <c r="A599" s="78" t="s">
        <v>1914</v>
      </c>
      <c r="B599" s="59">
        <v>43294.0</v>
      </c>
      <c r="C599" s="59">
        <v>43074.0</v>
      </c>
      <c r="D599" s="60" t="s">
        <v>1901</v>
      </c>
      <c r="E599" s="58" t="s">
        <v>41</v>
      </c>
      <c r="F599" s="58">
        <v>1.0</v>
      </c>
      <c r="G599" s="58" t="s">
        <v>32</v>
      </c>
      <c r="H599" s="33">
        <f t="shared" si="84"/>
        <v>1</v>
      </c>
      <c r="I599" s="58" t="s">
        <v>33</v>
      </c>
      <c r="J599" s="58" t="s">
        <v>147</v>
      </c>
      <c r="K599" s="58" t="s">
        <v>32</v>
      </c>
      <c r="L599" s="58" t="s">
        <v>194</v>
      </c>
      <c r="M599" s="61" t="s">
        <v>1915</v>
      </c>
      <c r="N599" s="77"/>
      <c r="O599" s="58"/>
      <c r="P599" s="58"/>
      <c r="Q599" s="84"/>
      <c r="R599" s="62"/>
      <c r="S599" s="37" t="str">
        <f>IFERROR(__xludf.DUMMYFUNCTION("if(not(iserror(index(split(C599, "" ""),2))), index(split(C599, "" ""),1),"""")"),"December")</f>
        <v>December</v>
      </c>
      <c r="T599" s="38">
        <f>IFERROR(__xludf.DUMMYFUNCTION("if(S599="""",C599,if(not(iserror(index(split(C599, "" ""),3))), index(split(C599, "" ""),3),index(split(C599, "" ""),2)))"),2017.0)</f>
        <v>2017</v>
      </c>
      <c r="U599" s="38" t="b">
        <f t="shared" si="83"/>
        <v>0</v>
      </c>
      <c r="V599" s="38"/>
      <c r="W599" s="40"/>
      <c r="X599" s="40"/>
      <c r="Y599" s="40"/>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row>
    <row r="600">
      <c r="A600" s="37" t="s">
        <v>239</v>
      </c>
      <c r="B600" s="30">
        <v>43076.0</v>
      </c>
      <c r="C600" s="30">
        <v>43075.0</v>
      </c>
      <c r="D600" s="32" t="s">
        <v>1916</v>
      </c>
      <c r="E600" s="13" t="s">
        <v>41</v>
      </c>
      <c r="F600" s="13">
        <v>1.0</v>
      </c>
      <c r="G600" s="13">
        <v>1.0</v>
      </c>
      <c r="H600" s="33">
        <f t="shared" si="84"/>
        <v>1</v>
      </c>
      <c r="I600" s="13" t="s">
        <v>33</v>
      </c>
      <c r="J600" s="13" t="s">
        <v>241</v>
      </c>
      <c r="K600" s="13">
        <v>1.0</v>
      </c>
      <c r="L600" s="13" t="s">
        <v>194</v>
      </c>
      <c r="M600" s="107" t="s">
        <v>1917</v>
      </c>
      <c r="N600" s="15"/>
      <c r="O600" s="16"/>
      <c r="P600" s="16"/>
      <c r="Q600" s="16"/>
      <c r="R600" s="16"/>
      <c r="S600" s="37" t="str">
        <f>IFERROR(__xludf.DUMMYFUNCTION("if(not(iserror(index(split(C600, "" ""),2))), index(split(C600, "" ""),1),"""")"),"December")</f>
        <v>December</v>
      </c>
      <c r="T600" s="38">
        <f>IFERROR(__xludf.DUMMYFUNCTION("if(S600="""",C600,if(not(iserror(index(split(C600, "" ""),3))), index(split(C600, "" ""),3),index(split(C600, "" ""),2)))"),2017.0)</f>
        <v>2017</v>
      </c>
      <c r="U600" s="38" t="b">
        <f t="shared" si="83"/>
        <v>1</v>
      </c>
      <c r="V600" s="38"/>
      <c r="W600" s="40"/>
      <c r="X600" s="40"/>
      <c r="Y600" s="40"/>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row>
    <row r="601">
      <c r="A601" s="37" t="s">
        <v>239</v>
      </c>
      <c r="B601" s="30">
        <v>43076.0</v>
      </c>
      <c r="C601" s="30">
        <v>43075.0</v>
      </c>
      <c r="D601" s="32" t="s">
        <v>1916</v>
      </c>
      <c r="E601" s="13" t="s">
        <v>41</v>
      </c>
      <c r="F601" s="13">
        <v>1.0</v>
      </c>
      <c r="G601" s="13">
        <v>3.0</v>
      </c>
      <c r="H601" s="33">
        <f t="shared" si="84"/>
        <v>3</v>
      </c>
      <c r="I601" s="13" t="s">
        <v>33</v>
      </c>
      <c r="J601" s="13" t="s">
        <v>241</v>
      </c>
      <c r="K601" s="13">
        <v>1.0</v>
      </c>
      <c r="L601" s="13" t="s">
        <v>194</v>
      </c>
      <c r="M601" s="107" t="s">
        <v>1918</v>
      </c>
      <c r="N601" s="15"/>
      <c r="O601" s="16"/>
      <c r="P601" s="16"/>
      <c r="Q601" s="16"/>
      <c r="R601" s="16"/>
      <c r="S601" s="37" t="str">
        <f>IFERROR(__xludf.DUMMYFUNCTION("if(not(iserror(index(split(C601, "" ""),2))), index(split(C601, "" ""),1),"""")"),"December")</f>
        <v>December</v>
      </c>
      <c r="T601" s="38">
        <f>IFERROR(__xludf.DUMMYFUNCTION("if(S601="""",C601,if(not(iserror(index(split(C601, "" ""),3))), index(split(C601, "" ""),3),index(split(C601, "" ""),2)))"),2017.0)</f>
        <v>2017</v>
      </c>
      <c r="U601" s="38" t="b">
        <f t="shared" si="83"/>
        <v>1</v>
      </c>
      <c r="V601" s="38"/>
      <c r="W601" s="40"/>
      <c r="X601" s="40"/>
      <c r="Y601" s="40"/>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row>
    <row r="602">
      <c r="A602" s="37" t="s">
        <v>1919</v>
      </c>
      <c r="B602" s="30"/>
      <c r="C602" s="30">
        <v>43075.0</v>
      </c>
      <c r="D602" s="32"/>
      <c r="E602" s="13" t="s">
        <v>41</v>
      </c>
      <c r="F602" s="13">
        <v>1.0</v>
      </c>
      <c r="G602" s="13" t="s">
        <v>32</v>
      </c>
      <c r="H602" s="43">
        <v>1.0</v>
      </c>
      <c r="I602" s="13" t="s">
        <v>33</v>
      </c>
      <c r="J602" s="13" t="s">
        <v>115</v>
      </c>
      <c r="K602" s="13"/>
      <c r="L602" s="13" t="s">
        <v>69</v>
      </c>
      <c r="M602" s="107" t="s">
        <v>1920</v>
      </c>
      <c r="N602" s="15"/>
      <c r="O602" s="57" t="str">
        <f>hyperlink("https://bad-boys.us/?q=MD-PA/1:17-cr-00381", "MD-PA 1:17-cr-00381")</f>
        <v>MD-PA 1:17-cr-00381</v>
      </c>
      <c r="P602" s="16"/>
      <c r="Q602" s="37">
        <v>1.0</v>
      </c>
      <c r="R602" s="16"/>
      <c r="S602" s="37"/>
      <c r="T602" s="38"/>
      <c r="U602" s="38" t="b">
        <f t="shared" si="83"/>
        <v>0</v>
      </c>
      <c r="V602" s="38" t="s">
        <v>33</v>
      </c>
      <c r="W602" s="40"/>
      <c r="X602" s="40"/>
      <c r="Y602" s="40"/>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row>
    <row r="603">
      <c r="A603" s="13" t="s">
        <v>1921</v>
      </c>
      <c r="B603" s="30">
        <v>43088.0</v>
      </c>
      <c r="C603" s="30">
        <v>43075.0</v>
      </c>
      <c r="D603" s="32" t="s">
        <v>1916</v>
      </c>
      <c r="E603" s="13" t="s">
        <v>31</v>
      </c>
      <c r="F603" s="13">
        <v>1.0</v>
      </c>
      <c r="G603" s="13" t="s">
        <v>32</v>
      </c>
      <c r="H603" s="33">
        <f t="shared" ref="H603:H607" si="85">if(G603="Unknown",1,G603)</f>
        <v>1</v>
      </c>
      <c r="I603" s="13" t="s">
        <v>33</v>
      </c>
      <c r="J603" s="13" t="s">
        <v>402</v>
      </c>
      <c r="K603" s="13">
        <v>1.0</v>
      </c>
      <c r="L603" s="34" t="s">
        <v>99</v>
      </c>
      <c r="M603" s="44" t="s">
        <v>1922</v>
      </c>
      <c r="N603" s="15"/>
      <c r="O603" s="37"/>
      <c r="P603" s="37"/>
      <c r="Q603" s="64"/>
      <c r="R603" s="16"/>
      <c r="S603" s="37" t="str">
        <f>IFERROR(__xludf.DUMMYFUNCTION("if(not(iserror(index(split(C603, "" ""),2))), index(split(C603, "" ""),1),"""")"),"December")</f>
        <v>December</v>
      </c>
      <c r="T603" s="38">
        <f>IFERROR(__xludf.DUMMYFUNCTION("if(S603="""",C603,if(not(iserror(index(split(C603, "" ""),3))), index(split(C603, "" ""),3),index(split(C603, "" ""),2)))"),2017.0)</f>
        <v>2017</v>
      </c>
      <c r="U603" s="38" t="b">
        <f t="shared" si="83"/>
        <v>0</v>
      </c>
      <c r="V603" s="38"/>
      <c r="W603" s="40"/>
      <c r="X603" s="40"/>
      <c r="Y603" s="40"/>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row>
    <row r="604">
      <c r="A604" s="13" t="s">
        <v>1923</v>
      </c>
      <c r="B604" s="30">
        <v>43080.0</v>
      </c>
      <c r="C604" s="30">
        <v>43076.0</v>
      </c>
      <c r="D604" s="32" t="s">
        <v>1924</v>
      </c>
      <c r="E604" s="13" t="s">
        <v>41</v>
      </c>
      <c r="F604" s="13">
        <v>1.0</v>
      </c>
      <c r="G604" s="13" t="s">
        <v>32</v>
      </c>
      <c r="H604" s="33">
        <f t="shared" si="85"/>
        <v>1</v>
      </c>
      <c r="I604" s="13" t="s">
        <v>33</v>
      </c>
      <c r="J604" s="13" t="s">
        <v>184</v>
      </c>
      <c r="K604" s="13" t="s">
        <v>32</v>
      </c>
      <c r="L604" s="13" t="s">
        <v>807</v>
      </c>
      <c r="M604" s="44" t="s">
        <v>1925</v>
      </c>
      <c r="N604" s="15"/>
      <c r="O604" s="37"/>
      <c r="P604" s="37"/>
      <c r="Q604" s="37"/>
      <c r="R604" s="16"/>
      <c r="S604" s="37" t="str">
        <f>IFERROR(__xludf.DUMMYFUNCTION("if(not(iserror(index(split(C604, "" ""),2))), index(split(C604, "" ""),1),"""")"),"December")</f>
        <v>December</v>
      </c>
      <c r="T604" s="38">
        <f>IFERROR(__xludf.DUMMYFUNCTION("if(S604="""",C604,if(not(iserror(index(split(C604, "" ""),3))), index(split(C604, "" ""),3),index(split(C604, "" ""),2)))"),2017.0)</f>
        <v>2017</v>
      </c>
      <c r="U604" s="38" t="b">
        <f t="shared" si="83"/>
        <v>0</v>
      </c>
      <c r="V604" s="38"/>
      <c r="W604" s="40"/>
      <c r="X604" s="40"/>
      <c r="Y604" s="40"/>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row>
    <row r="605">
      <c r="A605" s="58" t="s">
        <v>1926</v>
      </c>
      <c r="B605" s="59">
        <v>43266.0</v>
      </c>
      <c r="C605" s="59">
        <v>43076.0</v>
      </c>
      <c r="D605" s="60" t="s">
        <v>1924</v>
      </c>
      <c r="E605" s="58" t="s">
        <v>41</v>
      </c>
      <c r="F605" s="58">
        <v>1.0</v>
      </c>
      <c r="G605" s="58" t="s">
        <v>32</v>
      </c>
      <c r="H605" s="33">
        <f t="shared" si="85"/>
        <v>1</v>
      </c>
      <c r="I605" s="58" t="s">
        <v>33</v>
      </c>
      <c r="J605" s="58" t="s">
        <v>34</v>
      </c>
      <c r="K605" s="58">
        <v>3.0</v>
      </c>
      <c r="L605" s="58" t="s">
        <v>76</v>
      </c>
      <c r="M605" s="61" t="s">
        <v>1927</v>
      </c>
      <c r="N605" s="61" t="s">
        <v>1928</v>
      </c>
      <c r="O605" s="88" t="str">
        <f>hyperlink("https://bad-boys.us/?q=D-NH/1:18-cr-00004", "D-NH 1:18-cr-00004")</f>
        <v>D-NH 1:18-cr-00004</v>
      </c>
      <c r="P605" s="88" t="s">
        <v>1929</v>
      </c>
      <c r="Q605" s="84">
        <v>1.0</v>
      </c>
      <c r="R605" s="62"/>
      <c r="S605" s="37" t="str">
        <f>IFERROR(__xludf.DUMMYFUNCTION("if(not(iserror(index(split(C605, "" ""),2))), index(split(C605, "" ""),1),"""")"),"December")</f>
        <v>December</v>
      </c>
      <c r="T605" s="38">
        <f>IFERROR(__xludf.DUMMYFUNCTION("if(S605="""",C605,if(not(iserror(index(split(C605, "" ""),3))), index(split(C605, "" ""),3),index(split(C605, "" ""),2)))"),2017.0)</f>
        <v>2017</v>
      </c>
      <c r="U605" s="38" t="b">
        <f t="shared" si="83"/>
        <v>0</v>
      </c>
      <c r="V605" s="38"/>
      <c r="W605" s="40"/>
      <c r="X605" s="40"/>
      <c r="Y605" s="40"/>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row>
    <row r="606">
      <c r="A606" s="13" t="s">
        <v>1930</v>
      </c>
      <c r="B606" s="30">
        <v>43080.0</v>
      </c>
      <c r="C606" s="30">
        <v>43077.0</v>
      </c>
      <c r="D606" s="32" t="s">
        <v>1931</v>
      </c>
      <c r="E606" s="13" t="s">
        <v>31</v>
      </c>
      <c r="F606" s="13">
        <v>1.0</v>
      </c>
      <c r="G606" s="13" t="s">
        <v>32</v>
      </c>
      <c r="H606" s="33">
        <f t="shared" si="85"/>
        <v>1</v>
      </c>
      <c r="I606" s="13" t="s">
        <v>33</v>
      </c>
      <c r="J606" s="13" t="s">
        <v>115</v>
      </c>
      <c r="K606" s="13">
        <v>7.0</v>
      </c>
      <c r="L606" s="13" t="s">
        <v>1932</v>
      </c>
      <c r="M606" s="107" t="s">
        <v>1933</v>
      </c>
      <c r="N606" s="15"/>
      <c r="O606" s="16"/>
      <c r="P606" s="16"/>
      <c r="Q606" s="16"/>
      <c r="R606" s="16"/>
      <c r="S606" s="37" t="str">
        <f>IFERROR(__xludf.DUMMYFUNCTION("if(not(iserror(index(split(C606, "" ""),2))), index(split(C606, "" ""),1),"""")"),"December")</f>
        <v>December</v>
      </c>
      <c r="T606" s="38">
        <f>IFERROR(__xludf.DUMMYFUNCTION("if(S606="""",C606,if(not(iserror(index(split(C606, "" ""),3))), index(split(C606, "" ""),3),index(split(C606, "" ""),2)))"),2017.0)</f>
        <v>2017</v>
      </c>
      <c r="U606" s="38" t="b">
        <f t="shared" si="83"/>
        <v>0</v>
      </c>
      <c r="V606" s="38"/>
      <c r="W606" s="40"/>
      <c r="X606" s="40"/>
      <c r="Y606" s="40"/>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row>
    <row r="607">
      <c r="A607" s="13" t="s">
        <v>1934</v>
      </c>
      <c r="B607" s="30">
        <v>43147.0</v>
      </c>
      <c r="C607" s="30">
        <v>43077.0</v>
      </c>
      <c r="D607" s="32" t="s">
        <v>1931</v>
      </c>
      <c r="E607" s="13" t="s">
        <v>41</v>
      </c>
      <c r="F607" s="13">
        <v>1.0</v>
      </c>
      <c r="G607" s="13" t="s">
        <v>32</v>
      </c>
      <c r="H607" s="33">
        <f t="shared" si="85"/>
        <v>1</v>
      </c>
      <c r="I607" s="13" t="s">
        <v>33</v>
      </c>
      <c r="J607" s="13" t="s">
        <v>93</v>
      </c>
      <c r="K607" s="13">
        <v>1.0</v>
      </c>
      <c r="L607" s="13" t="s">
        <v>1935</v>
      </c>
      <c r="M607" s="35" t="s">
        <v>1936</v>
      </c>
      <c r="N607" s="15"/>
      <c r="O607" s="37"/>
      <c r="P607" s="16"/>
      <c r="Q607" s="64"/>
      <c r="R607" s="16"/>
      <c r="S607" s="37" t="str">
        <f>IFERROR(__xludf.DUMMYFUNCTION("if(not(iserror(index(split(C607, "" ""),2))), index(split(C607, "" ""),1),"""")"),"December")</f>
        <v>December</v>
      </c>
      <c r="T607" s="38">
        <f>IFERROR(__xludf.DUMMYFUNCTION("if(S607="""",C607,if(not(iserror(index(split(C607, "" ""),3))), index(split(C607, "" ""),3),index(split(C607, "" ""),2)))"),2017.0)</f>
        <v>2017</v>
      </c>
      <c r="U607" s="38" t="b">
        <f t="shared" si="83"/>
        <v>0</v>
      </c>
      <c r="V607" s="38"/>
      <c r="W607" s="40"/>
      <c r="X607" s="40"/>
      <c r="Y607" s="40"/>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row>
    <row r="608">
      <c r="A608" s="13" t="s">
        <v>1937</v>
      </c>
      <c r="B608" s="30"/>
      <c r="C608" s="30">
        <v>43077.0</v>
      </c>
      <c r="D608" s="32"/>
      <c r="E608" s="13" t="s">
        <v>41</v>
      </c>
      <c r="F608" s="13">
        <v>1.0</v>
      </c>
      <c r="G608" s="13" t="s">
        <v>32</v>
      </c>
      <c r="H608" s="43">
        <v>1.0</v>
      </c>
      <c r="I608" s="13" t="s">
        <v>33</v>
      </c>
      <c r="J608" s="13" t="s">
        <v>241</v>
      </c>
      <c r="K608" s="13"/>
      <c r="L608" s="13" t="s">
        <v>99</v>
      </c>
      <c r="M608" s="35" t="s">
        <v>1938</v>
      </c>
      <c r="N608" s="15"/>
      <c r="O608" s="37"/>
      <c r="P608" s="16"/>
      <c r="Q608" s="37"/>
      <c r="R608" s="16"/>
      <c r="S608" s="37" t="str">
        <f>IFERROR(__xludf.DUMMYFUNCTION("if(not(iserror(index(split(C608, "" ""),2))), index(split(C608, "" ""),1),"""")"),"December")</f>
        <v>December</v>
      </c>
      <c r="T608" s="38">
        <f>IFERROR(__xludf.DUMMYFUNCTION("if(S608="""",C608,if(not(iserror(index(split(C608, "" ""),3))), index(split(C608, "" ""),3),index(split(C608, "" ""),2)))"),2017.0)</f>
        <v>2017</v>
      </c>
      <c r="U608" s="38" t="b">
        <f t="shared" si="83"/>
        <v>0</v>
      </c>
      <c r="V608" s="38"/>
      <c r="W608" s="40"/>
      <c r="X608" s="40"/>
      <c r="Y608" s="40"/>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row>
    <row r="609">
      <c r="A609" s="37" t="s">
        <v>1939</v>
      </c>
      <c r="B609" s="59">
        <v>43210.0</v>
      </c>
      <c r="C609" s="59">
        <v>43077.0</v>
      </c>
      <c r="D609" s="60" t="s">
        <v>1931</v>
      </c>
      <c r="E609" s="58" t="s">
        <v>41</v>
      </c>
      <c r="F609" s="58">
        <v>1.0</v>
      </c>
      <c r="G609" s="58" t="s">
        <v>32</v>
      </c>
      <c r="H609" s="33">
        <f t="shared" ref="H609:H611" si="86">if(G609="Unknown",1,G609)</f>
        <v>1</v>
      </c>
      <c r="I609" s="58" t="s">
        <v>33</v>
      </c>
      <c r="J609" s="58" t="s">
        <v>47</v>
      </c>
      <c r="K609" s="58">
        <v>2.0</v>
      </c>
      <c r="L609" s="58" t="s">
        <v>1940</v>
      </c>
      <c r="M609" s="61" t="s">
        <v>1941</v>
      </c>
      <c r="N609" s="77"/>
      <c r="O609" s="88" t="str">
        <f>hyperlink("https://bad-boys.us/?q=SD-FL/1:17-cr-20911", "SD-FL 1:17-cr-20911")</f>
        <v>SD-FL 1:17-cr-20911</v>
      </c>
      <c r="P609" s="62"/>
      <c r="Q609" s="84">
        <v>1.0</v>
      </c>
      <c r="R609" s="62"/>
      <c r="S609" s="37" t="str">
        <f>IFERROR(__xludf.DUMMYFUNCTION("if(not(iserror(index(split(C609, "" ""),2))), index(split(C609, "" ""),1),"""")"),"December")</f>
        <v>December</v>
      </c>
      <c r="T609" s="38">
        <f>IFERROR(__xludf.DUMMYFUNCTION("if(S609="""",C609,if(not(iserror(index(split(C609, "" ""),3))), index(split(C609, "" ""),3),index(split(C609, "" ""),2)))"),2017.0)</f>
        <v>2017</v>
      </c>
      <c r="U609" s="38" t="b">
        <f t="shared" si="83"/>
        <v>0</v>
      </c>
      <c r="V609" s="38"/>
      <c r="W609" s="40"/>
      <c r="X609" s="40"/>
      <c r="Y609" s="40"/>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row>
    <row r="610">
      <c r="A610" s="58" t="s">
        <v>1942</v>
      </c>
      <c r="B610" s="59">
        <v>43368.0</v>
      </c>
      <c r="C610" s="59">
        <v>43077.0</v>
      </c>
      <c r="D610" s="60" t="s">
        <v>1931</v>
      </c>
      <c r="E610" s="58" t="s">
        <v>41</v>
      </c>
      <c r="F610" s="58">
        <v>1.0</v>
      </c>
      <c r="G610" s="58" t="s">
        <v>32</v>
      </c>
      <c r="H610" s="33">
        <f t="shared" si="86"/>
        <v>1</v>
      </c>
      <c r="I610" s="58" t="s">
        <v>33</v>
      </c>
      <c r="J610" s="58" t="s">
        <v>410</v>
      </c>
      <c r="K610" s="58">
        <v>5.0</v>
      </c>
      <c r="L610" s="58" t="s">
        <v>52</v>
      </c>
      <c r="M610" s="61" t="s">
        <v>1943</v>
      </c>
      <c r="N610" s="61" t="s">
        <v>1944</v>
      </c>
      <c r="O610" s="62"/>
      <c r="P610" s="58"/>
      <c r="Q610" s="84"/>
      <c r="R610" s="62"/>
      <c r="S610" s="37" t="str">
        <f>IFERROR(__xludf.DUMMYFUNCTION("if(not(iserror(index(split(C610, "" ""),2))), index(split(C610, "" ""),1),"""")"),"December")</f>
        <v>December</v>
      </c>
      <c r="T610" s="38">
        <f>IFERROR(__xludf.DUMMYFUNCTION("if(S610="""",C610,if(not(iserror(index(split(C610, "" ""),3))), index(split(C610, "" ""),3),index(split(C610, "" ""),2)))"),2017.0)</f>
        <v>2017</v>
      </c>
      <c r="U610" s="38" t="b">
        <f t="shared" si="83"/>
        <v>0</v>
      </c>
      <c r="V610" s="38"/>
      <c r="W610" s="40"/>
      <c r="X610" s="40"/>
      <c r="Y610" s="40"/>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row>
    <row r="611">
      <c r="A611" s="124" t="s">
        <v>1945</v>
      </c>
      <c r="B611" s="125">
        <v>43368.0</v>
      </c>
      <c r="C611" s="137">
        <v>43077.0</v>
      </c>
      <c r="D611" s="127" t="s">
        <v>1931</v>
      </c>
      <c r="E611" s="124" t="s">
        <v>41</v>
      </c>
      <c r="F611" s="129">
        <v>1.0</v>
      </c>
      <c r="G611" s="128" t="s">
        <v>32</v>
      </c>
      <c r="H611" s="33">
        <f t="shared" si="86"/>
        <v>1</v>
      </c>
      <c r="I611" s="128" t="s">
        <v>33</v>
      </c>
      <c r="J611" s="128" t="s">
        <v>410</v>
      </c>
      <c r="K611" s="129">
        <v>5.0</v>
      </c>
      <c r="L611" s="128" t="s">
        <v>52</v>
      </c>
      <c r="M611" s="140" t="s">
        <v>1944</v>
      </c>
      <c r="N611" s="132"/>
      <c r="O611" s="172" t="str">
        <f>hyperlink("https://bad-boys.us/?q=D-MA/1:18-cr-10091", "D-MA 1:18-cr-10091")</f>
        <v>D-MA 1:18-cr-10091</v>
      </c>
      <c r="P611" s="173" t="s">
        <v>1946</v>
      </c>
      <c r="Q611" s="174">
        <v>1.0</v>
      </c>
      <c r="R611" s="133"/>
      <c r="S611" s="37" t="str">
        <f>IFERROR(__xludf.DUMMYFUNCTION("if(not(iserror(index(split(C611, "" ""),2))), index(split(C611, "" ""),1),"""")"),"December")</f>
        <v>December</v>
      </c>
      <c r="T611" s="38">
        <f>IFERROR(__xludf.DUMMYFUNCTION("if(S611="""",C611,if(not(iserror(index(split(C611, "" ""),3))), index(split(C611, "" ""),3),index(split(C611, "" ""),2)))"),2017.0)</f>
        <v>2017</v>
      </c>
      <c r="U611" s="38" t="b">
        <f t="shared" si="83"/>
        <v>0</v>
      </c>
      <c r="V611" s="134"/>
      <c r="W611" s="136"/>
      <c r="X611" s="136"/>
      <c r="Y611" s="136"/>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34"/>
      <c r="BN611" s="134"/>
      <c r="BO611" s="134"/>
      <c r="BP611" s="134"/>
      <c r="BQ611" s="134"/>
    </row>
    <row r="612">
      <c r="A612" s="90" t="s">
        <v>1947</v>
      </c>
      <c r="B612" s="30"/>
      <c r="C612" s="30">
        <v>43077.0</v>
      </c>
      <c r="D612" s="32"/>
      <c r="E612" s="13" t="s">
        <v>31</v>
      </c>
      <c r="F612" s="13">
        <v>1.0</v>
      </c>
      <c r="G612" s="13" t="s">
        <v>32</v>
      </c>
      <c r="H612" s="43">
        <v>1.0</v>
      </c>
      <c r="I612" s="13" t="s">
        <v>33</v>
      </c>
      <c r="J612" s="13" t="s">
        <v>147</v>
      </c>
      <c r="K612" s="13"/>
      <c r="L612" s="13" t="s">
        <v>52</v>
      </c>
      <c r="M612" s="175" t="s">
        <v>1948</v>
      </c>
      <c r="N612" s="14" t="s">
        <v>1949</v>
      </c>
      <c r="O612" s="57" t="str">
        <f t="shared" ref="O612:O613" si="87">hyperlink("https://bad-boys.us/?q=SD-TX/4:17-cr-00724", "SD-TX 4:17-cr-00724")</f>
        <v>SD-TX 4:17-cr-00724</v>
      </c>
      <c r="P612" s="86" t="s">
        <v>1950</v>
      </c>
      <c r="Q612" s="37">
        <v>1.0</v>
      </c>
      <c r="R612" s="16"/>
      <c r="S612" s="37" t="str">
        <f>IFERROR(__xludf.DUMMYFUNCTION("if(not(iserror(index(split(C612, "" ""),2))), index(split(C612, "" ""),1),"""")"),"December")</f>
        <v>December</v>
      </c>
      <c r="T612" s="38">
        <f>IFERROR(__xludf.DUMMYFUNCTION("if(S612="""",C612,if(not(iserror(index(split(C612, "" ""),3))), index(split(C612, "" ""),3),index(split(C612, "" ""),2)))"),2017.0)</f>
        <v>2017</v>
      </c>
      <c r="U612" s="38" t="b">
        <f t="shared" si="83"/>
        <v>0</v>
      </c>
      <c r="V612" s="38" t="s">
        <v>33</v>
      </c>
      <c r="W612" s="39" t="s">
        <v>1951</v>
      </c>
      <c r="X612" s="39" t="s">
        <v>1952</v>
      </c>
      <c r="Y612" s="40"/>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row>
    <row r="613">
      <c r="A613" s="90" t="s">
        <v>1953</v>
      </c>
      <c r="B613" s="30"/>
      <c r="C613" s="30">
        <v>43077.0</v>
      </c>
      <c r="D613" s="32"/>
      <c r="E613" s="13" t="s">
        <v>41</v>
      </c>
      <c r="F613" s="13">
        <v>1.0</v>
      </c>
      <c r="G613" s="13" t="s">
        <v>32</v>
      </c>
      <c r="H613" s="43">
        <v>1.0</v>
      </c>
      <c r="I613" s="13" t="s">
        <v>33</v>
      </c>
      <c r="J613" s="13" t="s">
        <v>147</v>
      </c>
      <c r="K613" s="13"/>
      <c r="L613" s="13" t="s">
        <v>52</v>
      </c>
      <c r="M613" s="175" t="s">
        <v>1948</v>
      </c>
      <c r="N613" s="14" t="s">
        <v>1949</v>
      </c>
      <c r="O613" s="57" t="str">
        <f t="shared" si="87"/>
        <v>SD-TX 4:17-cr-00724</v>
      </c>
      <c r="P613" s="86" t="s">
        <v>1950</v>
      </c>
      <c r="Q613" s="37">
        <v>1.0</v>
      </c>
      <c r="R613" s="16"/>
      <c r="S613" s="37" t="str">
        <f>IFERROR(__xludf.DUMMYFUNCTION("if(not(iserror(index(split(C613, "" ""),2))), index(split(C613, "" ""),1),"""")"),"December")</f>
        <v>December</v>
      </c>
      <c r="T613" s="38">
        <f>IFERROR(__xludf.DUMMYFUNCTION("if(S613="""",C613,if(not(iserror(index(split(C613, "" ""),3))), index(split(C613, "" ""),3),index(split(C613, "" ""),2)))"),2017.0)</f>
        <v>2017</v>
      </c>
      <c r="U613" s="38" t="b">
        <f t="shared" si="83"/>
        <v>0</v>
      </c>
      <c r="V613" s="38" t="s">
        <v>33</v>
      </c>
      <c r="W613" s="39" t="s">
        <v>1954</v>
      </c>
      <c r="X613" s="40"/>
      <c r="Y613" s="40"/>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row>
    <row r="614">
      <c r="A614" s="90" t="s">
        <v>239</v>
      </c>
      <c r="B614" s="30">
        <v>43080.0</v>
      </c>
      <c r="C614" s="30">
        <v>43078.0</v>
      </c>
      <c r="D614" s="32" t="s">
        <v>1955</v>
      </c>
      <c r="E614" s="13" t="s">
        <v>41</v>
      </c>
      <c r="F614" s="13">
        <v>2.0</v>
      </c>
      <c r="G614" s="13">
        <v>2.0</v>
      </c>
      <c r="H614" s="33">
        <f t="shared" ref="H614:H619" si="88">if(G614="Unknown",1,G614)</f>
        <v>2</v>
      </c>
      <c r="I614" s="13" t="s">
        <v>33</v>
      </c>
      <c r="J614" s="13" t="s">
        <v>241</v>
      </c>
      <c r="K614" s="13">
        <v>1.0</v>
      </c>
      <c r="L614" s="13" t="s">
        <v>194</v>
      </c>
      <c r="M614" s="175" t="s">
        <v>1956</v>
      </c>
      <c r="N614" s="15"/>
      <c r="O614" s="16"/>
      <c r="P614" s="16"/>
      <c r="Q614" s="16"/>
      <c r="R614" s="16"/>
      <c r="S614" s="37" t="str">
        <f>IFERROR(__xludf.DUMMYFUNCTION("if(not(iserror(index(split(C614, "" ""),2))), index(split(C614, "" ""),1),"""")"),"December")</f>
        <v>December</v>
      </c>
      <c r="T614" s="38">
        <f>IFERROR(__xludf.DUMMYFUNCTION("if(S614="""",C614,if(not(iserror(index(split(C614, "" ""),3))), index(split(C614, "" ""),3),index(split(C614, "" ""),2)))"),2017.0)</f>
        <v>2017</v>
      </c>
      <c r="U614" s="38" t="b">
        <f t="shared" si="83"/>
        <v>1</v>
      </c>
      <c r="V614" s="38"/>
      <c r="W614" s="40"/>
      <c r="X614" s="40"/>
      <c r="Y614" s="40"/>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row>
    <row r="615">
      <c r="A615" s="90" t="s">
        <v>1957</v>
      </c>
      <c r="B615" s="30">
        <v>43080.0</v>
      </c>
      <c r="C615" s="30">
        <v>43080.0</v>
      </c>
      <c r="D615" s="32" t="s">
        <v>1958</v>
      </c>
      <c r="E615" s="13" t="s">
        <v>41</v>
      </c>
      <c r="F615" s="13">
        <v>2.0</v>
      </c>
      <c r="G615" s="13" t="s">
        <v>32</v>
      </c>
      <c r="H615" s="33">
        <f t="shared" si="88"/>
        <v>1</v>
      </c>
      <c r="I615" s="13" t="s">
        <v>33</v>
      </c>
      <c r="J615" s="13" t="s">
        <v>93</v>
      </c>
      <c r="K615" s="13">
        <v>3.0</v>
      </c>
      <c r="L615" s="13" t="s">
        <v>1959</v>
      </c>
      <c r="M615" s="175" t="s">
        <v>1960</v>
      </c>
      <c r="N615" s="36" t="s">
        <v>1961</v>
      </c>
      <c r="O615" s="16"/>
      <c r="P615" s="16"/>
      <c r="Q615" s="16"/>
      <c r="R615" s="16"/>
      <c r="S615" s="37" t="str">
        <f>IFERROR(__xludf.DUMMYFUNCTION("if(not(iserror(index(split(C615, "" ""),2))), index(split(C615, "" ""),1),"""")"),"December")</f>
        <v>December</v>
      </c>
      <c r="T615" s="38">
        <f>IFERROR(__xludf.DUMMYFUNCTION("if(S615="""",C615,if(not(iserror(index(split(C615, "" ""),3))), index(split(C615, "" ""),3),index(split(C615, "" ""),2)))"),2017.0)</f>
        <v>2017</v>
      </c>
      <c r="U615" s="38" t="b">
        <f t="shared" si="83"/>
        <v>0</v>
      </c>
      <c r="V615" s="38"/>
      <c r="W615" s="40"/>
      <c r="X615" s="40"/>
      <c r="Y615" s="40"/>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row>
    <row r="616">
      <c r="A616" s="13" t="s">
        <v>1962</v>
      </c>
      <c r="B616" s="30">
        <v>43080.0</v>
      </c>
      <c r="C616" s="30">
        <v>43080.0</v>
      </c>
      <c r="D616" s="32" t="s">
        <v>1958</v>
      </c>
      <c r="E616" s="13" t="s">
        <v>31</v>
      </c>
      <c r="F616" s="13">
        <v>1.0</v>
      </c>
      <c r="G616" s="13" t="s">
        <v>32</v>
      </c>
      <c r="H616" s="33">
        <f t="shared" si="88"/>
        <v>1</v>
      </c>
      <c r="I616" s="13" t="s">
        <v>33</v>
      </c>
      <c r="J616" s="13" t="s">
        <v>343</v>
      </c>
      <c r="K616" s="13" t="s">
        <v>32</v>
      </c>
      <c r="L616" s="13" t="s">
        <v>99</v>
      </c>
      <c r="M616" s="107" t="s">
        <v>1963</v>
      </c>
      <c r="N616" s="15"/>
      <c r="O616" s="16"/>
      <c r="P616" s="16"/>
      <c r="Q616" s="16"/>
      <c r="R616" s="16"/>
      <c r="S616" s="37" t="str">
        <f>IFERROR(__xludf.DUMMYFUNCTION("if(not(iserror(index(split(C616, "" ""),2))), index(split(C616, "" ""),1),"""")"),"December")</f>
        <v>December</v>
      </c>
      <c r="T616" s="38">
        <f>IFERROR(__xludf.DUMMYFUNCTION("if(S616="""",C616,if(not(iserror(index(split(C616, "" ""),3))), index(split(C616, "" ""),3),index(split(C616, "" ""),2)))"),2017.0)</f>
        <v>2017</v>
      </c>
      <c r="U616" s="38" t="b">
        <f t="shared" si="83"/>
        <v>0</v>
      </c>
      <c r="V616" s="38"/>
      <c r="W616" s="40"/>
      <c r="X616" s="40"/>
      <c r="Y616" s="40"/>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row>
    <row r="617">
      <c r="A617" s="13" t="s">
        <v>1964</v>
      </c>
      <c r="B617" s="30">
        <v>43080.0</v>
      </c>
      <c r="C617" s="30">
        <v>43080.0</v>
      </c>
      <c r="D617" s="32" t="s">
        <v>1958</v>
      </c>
      <c r="E617" s="13" t="s">
        <v>41</v>
      </c>
      <c r="F617" s="13">
        <v>2.0</v>
      </c>
      <c r="G617" s="13" t="s">
        <v>32</v>
      </c>
      <c r="H617" s="33">
        <f t="shared" si="88"/>
        <v>1</v>
      </c>
      <c r="I617" s="13" t="s">
        <v>33</v>
      </c>
      <c r="J617" s="13" t="s">
        <v>47</v>
      </c>
      <c r="K617" s="13">
        <v>3.0</v>
      </c>
      <c r="L617" s="13" t="s">
        <v>1965</v>
      </c>
      <c r="M617" s="107" t="s">
        <v>1966</v>
      </c>
      <c r="N617" s="15"/>
      <c r="O617" s="16"/>
      <c r="P617" s="16"/>
      <c r="Q617" s="16"/>
      <c r="R617" s="16"/>
      <c r="S617" s="37" t="str">
        <f>IFERROR(__xludf.DUMMYFUNCTION("if(not(iserror(index(split(C617, "" ""),2))), index(split(C617, "" ""),1),"""")"),"December")</f>
        <v>December</v>
      </c>
      <c r="T617" s="38">
        <f>IFERROR(__xludf.DUMMYFUNCTION("if(S617="""",C617,if(not(iserror(index(split(C617, "" ""),3))), index(split(C617, "" ""),3),index(split(C617, "" ""),2)))"),2017.0)</f>
        <v>2017</v>
      </c>
      <c r="U617" s="38" t="b">
        <f t="shared" si="83"/>
        <v>0</v>
      </c>
      <c r="V617" s="38"/>
      <c r="W617" s="40"/>
      <c r="X617" s="40"/>
      <c r="Y617" s="40"/>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row>
    <row r="618">
      <c r="A618" s="13" t="s">
        <v>1967</v>
      </c>
      <c r="B618" s="30">
        <v>43082.0</v>
      </c>
      <c r="C618" s="30">
        <v>43081.0</v>
      </c>
      <c r="D618" s="32" t="s">
        <v>1968</v>
      </c>
      <c r="E618" s="13" t="s">
        <v>31</v>
      </c>
      <c r="F618" s="13">
        <v>1.0</v>
      </c>
      <c r="G618" s="13" t="s">
        <v>32</v>
      </c>
      <c r="H618" s="33">
        <f t="shared" si="88"/>
        <v>1</v>
      </c>
      <c r="I618" s="13" t="s">
        <v>33</v>
      </c>
      <c r="J618" s="13" t="s">
        <v>42</v>
      </c>
      <c r="K618" s="13">
        <v>1.0</v>
      </c>
      <c r="L618" s="13" t="s">
        <v>35</v>
      </c>
      <c r="M618" s="44" t="s">
        <v>1969</v>
      </c>
      <c r="N618" s="15"/>
      <c r="O618" s="37"/>
      <c r="P618" s="16"/>
      <c r="Q618" s="64"/>
      <c r="R618" s="16"/>
      <c r="S618" s="37" t="str">
        <f>IFERROR(__xludf.DUMMYFUNCTION("if(not(iserror(index(split(C618, "" ""),2))), index(split(C618, "" ""),1),"""")"),"December")</f>
        <v>December</v>
      </c>
      <c r="T618" s="38">
        <f>IFERROR(__xludf.DUMMYFUNCTION("if(S618="""",C618,if(not(iserror(index(split(C618, "" ""),3))), index(split(C618, "" ""),3),index(split(C618, "" ""),2)))"),2017.0)</f>
        <v>2017</v>
      </c>
      <c r="U618" s="38" t="b">
        <f t="shared" si="83"/>
        <v>0</v>
      </c>
      <c r="V618" s="38"/>
      <c r="W618" s="40"/>
      <c r="X618" s="40"/>
      <c r="Y618" s="40"/>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row>
    <row r="619">
      <c r="A619" s="13" t="s">
        <v>1970</v>
      </c>
      <c r="B619" s="30">
        <v>43082.0</v>
      </c>
      <c r="C619" s="30">
        <v>43081.0</v>
      </c>
      <c r="D619" s="32" t="s">
        <v>1968</v>
      </c>
      <c r="E619" s="13" t="s">
        <v>41</v>
      </c>
      <c r="F619" s="13">
        <v>1.0</v>
      </c>
      <c r="G619" s="13" t="s">
        <v>32</v>
      </c>
      <c r="H619" s="33">
        <f t="shared" si="88"/>
        <v>1</v>
      </c>
      <c r="I619" s="13" t="s">
        <v>33</v>
      </c>
      <c r="J619" s="13" t="s">
        <v>268</v>
      </c>
      <c r="K619" s="13">
        <v>1.0</v>
      </c>
      <c r="L619" s="13" t="s">
        <v>1971</v>
      </c>
      <c r="M619" s="44" t="s">
        <v>1972</v>
      </c>
      <c r="N619" s="15"/>
      <c r="O619" s="86" t="str">
        <f>hyperlink("https://bad-boys.us/?q=ND-OK/4:17-cr-00128", "ND-OK 4:17-cr-00128")</f>
        <v>ND-OK 4:17-cr-00128</v>
      </c>
      <c r="P619" s="37"/>
      <c r="Q619" s="64">
        <v>1.0</v>
      </c>
      <c r="R619" s="16"/>
      <c r="S619" s="37" t="str">
        <f>IFERROR(__xludf.DUMMYFUNCTION("if(not(iserror(index(split(C619, "" ""),2))), index(split(C619, "" ""),1),"""")"),"December")</f>
        <v>December</v>
      </c>
      <c r="T619" s="38">
        <f>IFERROR(__xludf.DUMMYFUNCTION("if(S619="""",C619,if(not(iserror(index(split(C619, "" ""),3))), index(split(C619, "" ""),3),index(split(C619, "" ""),2)))"),2017.0)</f>
        <v>2017</v>
      </c>
      <c r="U619" s="38" t="b">
        <f t="shared" si="83"/>
        <v>0</v>
      </c>
      <c r="V619" s="38"/>
      <c r="W619" s="40"/>
      <c r="X619" s="40"/>
      <c r="Y619" s="40"/>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row>
    <row r="620">
      <c r="A620" s="13" t="s">
        <v>1973</v>
      </c>
      <c r="B620" s="30">
        <v>43083.0</v>
      </c>
      <c r="C620" s="30">
        <v>43081.0</v>
      </c>
      <c r="D620" s="32" t="s">
        <v>1968</v>
      </c>
      <c r="E620" s="13" t="s">
        <v>41</v>
      </c>
      <c r="F620" s="13">
        <v>1.0</v>
      </c>
      <c r="G620" s="13">
        <v>1.0</v>
      </c>
      <c r="H620" s="50">
        <v>1.0</v>
      </c>
      <c r="I620" s="13" t="s">
        <v>33</v>
      </c>
      <c r="J620" s="13" t="s">
        <v>279</v>
      </c>
      <c r="K620" s="13">
        <v>4.0</v>
      </c>
      <c r="L620" s="13" t="s">
        <v>69</v>
      </c>
      <c r="M620" s="44" t="s">
        <v>1974</v>
      </c>
      <c r="N620" s="36" t="s">
        <v>1975</v>
      </c>
      <c r="O620" s="86" t="str">
        <f>hyperlink("https://bad-boys.us/?q=WD-MO/6:17-cr-03141", "WD-MO 6:17-cr-03141")</f>
        <v>WD-MO 6:17-cr-03141</v>
      </c>
      <c r="P620" s="86" t="s">
        <v>1976</v>
      </c>
      <c r="Q620" s="37">
        <v>1.0</v>
      </c>
      <c r="R620" s="16"/>
      <c r="S620" s="37" t="str">
        <f>IFERROR(__xludf.DUMMYFUNCTION("if(not(iserror(index(split(C620, "" ""),2))), index(split(C620, "" ""),1),"""")"),"December")</f>
        <v>December</v>
      </c>
      <c r="T620" s="38">
        <f>IFERROR(__xludf.DUMMYFUNCTION("if(S620="""",C620,if(not(iserror(index(split(C620, "" ""),3))), index(split(C620, "" ""),3),index(split(C620, "" ""),2)))"),2017.0)</f>
        <v>2017</v>
      </c>
      <c r="U620" s="38" t="b">
        <f t="shared" si="83"/>
        <v>0</v>
      </c>
      <c r="V620" s="38"/>
      <c r="W620" s="40"/>
      <c r="X620" s="40"/>
      <c r="Y620" s="40"/>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row>
    <row r="621">
      <c r="A621" s="13" t="s">
        <v>239</v>
      </c>
      <c r="B621" s="30">
        <v>43083.0</v>
      </c>
      <c r="C621" s="30">
        <v>43081.0</v>
      </c>
      <c r="D621" s="32" t="s">
        <v>1968</v>
      </c>
      <c r="E621" s="13" t="s">
        <v>41</v>
      </c>
      <c r="F621" s="13">
        <v>1.0</v>
      </c>
      <c r="G621" s="13">
        <v>4.0</v>
      </c>
      <c r="H621" s="33">
        <f t="shared" ref="H621:H626" si="89">if(G621="Unknown",1,G621)</f>
        <v>4</v>
      </c>
      <c r="I621" s="13" t="s">
        <v>33</v>
      </c>
      <c r="J621" s="13" t="s">
        <v>241</v>
      </c>
      <c r="K621" s="13">
        <v>1.0</v>
      </c>
      <c r="L621" s="13" t="s">
        <v>194</v>
      </c>
      <c r="M621" s="44" t="s">
        <v>1977</v>
      </c>
      <c r="N621" s="15"/>
      <c r="O621" s="37"/>
      <c r="P621" s="16"/>
      <c r="Q621" s="64"/>
      <c r="R621" s="16"/>
      <c r="S621" s="37" t="str">
        <f>IFERROR(__xludf.DUMMYFUNCTION("if(not(iserror(index(split(C621, "" ""),2))), index(split(C621, "" ""),1),"""")"),"December")</f>
        <v>December</v>
      </c>
      <c r="T621" s="38">
        <f>IFERROR(__xludf.DUMMYFUNCTION("if(S621="""",C621,if(not(iserror(index(split(C621, "" ""),3))), index(split(C621, "" ""),3),index(split(C621, "" ""),2)))"),2017.0)</f>
        <v>2017</v>
      </c>
      <c r="U621" s="38" t="b">
        <f t="shared" si="83"/>
        <v>1</v>
      </c>
      <c r="V621" s="38"/>
      <c r="W621" s="40"/>
      <c r="X621" s="40"/>
      <c r="Y621" s="40"/>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row>
    <row r="622">
      <c r="A622" s="13" t="s">
        <v>239</v>
      </c>
      <c r="B622" s="30">
        <v>43083.0</v>
      </c>
      <c r="C622" s="30">
        <v>43081.0</v>
      </c>
      <c r="D622" s="32" t="s">
        <v>1968</v>
      </c>
      <c r="E622" s="13" t="s">
        <v>41</v>
      </c>
      <c r="F622" s="13">
        <v>3.0</v>
      </c>
      <c r="G622" s="13">
        <v>8.0</v>
      </c>
      <c r="H622" s="33">
        <f t="shared" si="89"/>
        <v>8</v>
      </c>
      <c r="I622" s="13" t="s">
        <v>33</v>
      </c>
      <c r="J622" s="13" t="s">
        <v>241</v>
      </c>
      <c r="K622" s="13">
        <v>1.0</v>
      </c>
      <c r="L622" s="13" t="s">
        <v>194</v>
      </c>
      <c r="M622" s="44" t="s">
        <v>1978</v>
      </c>
      <c r="N622" s="15"/>
      <c r="O622" s="37"/>
      <c r="P622" s="37"/>
      <c r="Q622" s="64"/>
      <c r="R622" s="16"/>
      <c r="S622" s="37" t="str">
        <f>IFERROR(__xludf.DUMMYFUNCTION("if(not(iserror(index(split(C622, "" ""),2))), index(split(C622, "" ""),1),"""")"),"December")</f>
        <v>December</v>
      </c>
      <c r="T622" s="38">
        <f>IFERROR(__xludf.DUMMYFUNCTION("if(S622="""",C622,if(not(iserror(index(split(C622, "" ""),3))), index(split(C622, "" ""),3),index(split(C622, "" ""),2)))"),2017.0)</f>
        <v>2017</v>
      </c>
      <c r="U622" s="38" t="b">
        <f t="shared" si="83"/>
        <v>1</v>
      </c>
      <c r="V622" s="38"/>
      <c r="W622" s="40"/>
      <c r="X622" s="40"/>
      <c r="Y622" s="40"/>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row>
    <row r="623">
      <c r="A623" s="13" t="s">
        <v>1979</v>
      </c>
      <c r="B623" s="30">
        <v>43086.0</v>
      </c>
      <c r="C623" s="30">
        <v>43082.0</v>
      </c>
      <c r="D623" s="32" t="s">
        <v>1980</v>
      </c>
      <c r="E623" s="13" t="s">
        <v>41</v>
      </c>
      <c r="F623" s="13">
        <v>1.0</v>
      </c>
      <c r="G623" s="13" t="s">
        <v>32</v>
      </c>
      <c r="H623" s="33">
        <f t="shared" si="89"/>
        <v>1</v>
      </c>
      <c r="I623" s="13" t="s">
        <v>33</v>
      </c>
      <c r="J623" s="13" t="s">
        <v>124</v>
      </c>
      <c r="K623" s="13">
        <v>2.0</v>
      </c>
      <c r="L623" s="13" t="s">
        <v>1981</v>
      </c>
      <c r="M623" s="44" t="s">
        <v>1982</v>
      </c>
      <c r="N623" s="15"/>
      <c r="O623" s="16"/>
      <c r="P623" s="16"/>
      <c r="Q623" s="16"/>
      <c r="R623" s="16"/>
      <c r="S623" s="37" t="str">
        <f>IFERROR(__xludf.DUMMYFUNCTION("if(not(iserror(index(split(C623, "" ""),2))), index(split(C623, "" ""),1),"""")"),"December")</f>
        <v>December</v>
      </c>
      <c r="T623" s="38">
        <f>IFERROR(__xludf.DUMMYFUNCTION("if(S623="""",C623,if(not(iserror(index(split(C623, "" ""),3))), index(split(C623, "" ""),3),index(split(C623, "" ""),2)))"),2017.0)</f>
        <v>2017</v>
      </c>
      <c r="U623" s="38" t="b">
        <f t="shared" si="83"/>
        <v>0</v>
      </c>
      <c r="V623" s="38"/>
      <c r="W623" s="40"/>
      <c r="X623" s="40"/>
      <c r="Y623" s="40"/>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row>
    <row r="624">
      <c r="A624" s="37" t="s">
        <v>1983</v>
      </c>
      <c r="B624" s="30">
        <v>43186.0</v>
      </c>
      <c r="C624" s="99">
        <v>43082.0</v>
      </c>
      <c r="D624" s="143">
        <v>43082.0</v>
      </c>
      <c r="E624" s="13" t="s">
        <v>41</v>
      </c>
      <c r="F624" s="13">
        <v>1.0</v>
      </c>
      <c r="G624" s="13" t="s">
        <v>32</v>
      </c>
      <c r="H624" s="33">
        <f t="shared" si="89"/>
        <v>1</v>
      </c>
      <c r="I624" s="13" t="s">
        <v>33</v>
      </c>
      <c r="J624" s="13" t="s">
        <v>850</v>
      </c>
      <c r="K624" s="13">
        <v>1.0</v>
      </c>
      <c r="L624" s="13" t="s">
        <v>119</v>
      </c>
      <c r="M624" s="35" t="s">
        <v>1984</v>
      </c>
      <c r="N624" s="15"/>
      <c r="O624" s="86" t="str">
        <f>hyperlink("https://bad-boys.us/?q=D-SC/8:17-cr-01169", "D-SC 8:17-cr-01169")</f>
        <v>D-SC 8:17-cr-01169</v>
      </c>
      <c r="P624" s="16"/>
      <c r="Q624" s="64">
        <v>1.0</v>
      </c>
      <c r="R624" s="16"/>
      <c r="S624" s="37" t="str">
        <f>IFERROR(__xludf.DUMMYFUNCTION("if(not(iserror(index(split(C624, "" ""),2))), index(split(C624, "" ""),1),"""")"),"December")</f>
        <v>December</v>
      </c>
      <c r="T624" s="38">
        <f>IFERROR(__xludf.DUMMYFUNCTION("if(S624="""",C624,if(not(iserror(index(split(C624, "" ""),3))), index(split(C624, "" ""),3),index(split(C624, "" ""),2)))"),2017.0)</f>
        <v>2017</v>
      </c>
      <c r="U624" s="38" t="b">
        <f t="shared" si="83"/>
        <v>0</v>
      </c>
      <c r="V624" s="38"/>
      <c r="W624" s="40"/>
      <c r="X624" s="40"/>
      <c r="Y624" s="40"/>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row>
    <row r="625">
      <c r="A625" s="37" t="s">
        <v>1985</v>
      </c>
      <c r="B625" s="30">
        <v>43187.0</v>
      </c>
      <c r="C625" s="99">
        <v>43082.0</v>
      </c>
      <c r="D625" s="143">
        <v>43187.0</v>
      </c>
      <c r="E625" s="13" t="s">
        <v>41</v>
      </c>
      <c r="F625" s="13">
        <v>2.0</v>
      </c>
      <c r="G625" s="13" t="s">
        <v>32</v>
      </c>
      <c r="H625" s="33">
        <f t="shared" si="89"/>
        <v>1</v>
      </c>
      <c r="I625" s="13" t="s">
        <v>33</v>
      </c>
      <c r="J625" s="13" t="s">
        <v>111</v>
      </c>
      <c r="K625" s="13">
        <v>2.0</v>
      </c>
      <c r="L625" s="13" t="s">
        <v>1986</v>
      </c>
      <c r="M625" s="35" t="s">
        <v>1987</v>
      </c>
      <c r="N625" s="176" t="s">
        <v>1988</v>
      </c>
      <c r="O625" s="37"/>
      <c r="P625" s="37"/>
      <c r="Q625" s="64"/>
      <c r="R625" s="16"/>
      <c r="S625" s="37" t="str">
        <f>IFERROR(__xludf.DUMMYFUNCTION("if(not(iserror(index(split(C625, "" ""),2))), index(split(C625, "" ""),1),"""")"),"December")</f>
        <v>December</v>
      </c>
      <c r="T625" s="38">
        <f>IFERROR(__xludf.DUMMYFUNCTION("if(S625="""",C625,if(not(iserror(index(split(C625, "" ""),3))), index(split(C625, "" ""),3),index(split(C625, "" ""),2)))"),2017.0)</f>
        <v>2017</v>
      </c>
      <c r="U625" s="38" t="b">
        <f t="shared" si="83"/>
        <v>0</v>
      </c>
      <c r="V625" s="38"/>
      <c r="W625" s="40"/>
      <c r="X625" s="40"/>
      <c r="Y625" s="40"/>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row>
    <row r="626">
      <c r="A626" s="58" t="s">
        <v>1989</v>
      </c>
      <c r="B626" s="59">
        <v>43083.0</v>
      </c>
      <c r="C626" s="59">
        <v>43082.0</v>
      </c>
      <c r="D626" s="60" t="s">
        <v>1980</v>
      </c>
      <c r="E626" s="58" t="s">
        <v>41</v>
      </c>
      <c r="F626" s="58">
        <v>1.0</v>
      </c>
      <c r="G626" s="58" t="s">
        <v>32</v>
      </c>
      <c r="H626" s="33">
        <f t="shared" si="89"/>
        <v>1</v>
      </c>
      <c r="I626" s="58" t="s">
        <v>33</v>
      </c>
      <c r="J626" s="58" t="s">
        <v>279</v>
      </c>
      <c r="K626" s="58">
        <v>6.0</v>
      </c>
      <c r="L626" s="58" t="s">
        <v>69</v>
      </c>
      <c r="M626" s="61" t="s">
        <v>1990</v>
      </c>
      <c r="N626" s="61" t="s">
        <v>1991</v>
      </c>
      <c r="O626" s="88" t="str">
        <f>hyperlink("https://bad-boys.us/?q=WD-MO/6:17-cr-03135", "WD-MO 6:17-cr-03135")</f>
        <v>WD-MO 6:17-cr-03135</v>
      </c>
      <c r="P626" s="88" t="s">
        <v>1992</v>
      </c>
      <c r="Q626" s="84">
        <v>1.0</v>
      </c>
      <c r="R626" s="62"/>
      <c r="S626" s="37" t="str">
        <f>IFERROR(__xludf.DUMMYFUNCTION("if(not(iserror(index(split(C626, "" ""),2))), index(split(C626, "" ""),1),"""")"),"December")</f>
        <v>December</v>
      </c>
      <c r="T626" s="38">
        <f>IFERROR(__xludf.DUMMYFUNCTION("if(S626="""",C626,if(not(iserror(index(split(C626, "" ""),3))), index(split(C626, "" ""),3),index(split(C626, "" ""),2)))"),2017.0)</f>
        <v>2017</v>
      </c>
      <c r="U626" s="38" t="b">
        <f t="shared" si="83"/>
        <v>0</v>
      </c>
      <c r="V626" s="38"/>
      <c r="W626" s="40"/>
      <c r="X626" s="40"/>
      <c r="Y626" s="40"/>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row>
    <row r="627">
      <c r="A627" s="58" t="s">
        <v>1993</v>
      </c>
      <c r="B627" s="59"/>
      <c r="C627" s="59">
        <v>43083.0</v>
      </c>
      <c r="D627" s="60"/>
      <c r="E627" s="58" t="s">
        <v>41</v>
      </c>
      <c r="F627" s="58">
        <v>1.0</v>
      </c>
      <c r="G627" s="58" t="s">
        <v>32</v>
      </c>
      <c r="H627" s="43">
        <v>1.0</v>
      </c>
      <c r="I627" s="58" t="s">
        <v>33</v>
      </c>
      <c r="J627" s="58" t="s">
        <v>318</v>
      </c>
      <c r="K627" s="58"/>
      <c r="L627" s="58" t="s">
        <v>76</v>
      </c>
      <c r="M627" s="61" t="s">
        <v>1994</v>
      </c>
      <c r="N627" s="80"/>
      <c r="O627" s="58"/>
      <c r="P627" s="58"/>
      <c r="Q627" s="58"/>
      <c r="R627" s="62"/>
      <c r="S627" s="37"/>
      <c r="T627" s="38"/>
      <c r="U627" s="38"/>
      <c r="V627" s="38" t="s">
        <v>33</v>
      </c>
      <c r="W627" s="40"/>
      <c r="X627" s="40"/>
      <c r="Y627" s="40"/>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row>
    <row r="628">
      <c r="A628" s="87" t="s">
        <v>1995</v>
      </c>
      <c r="B628" s="30"/>
      <c r="C628" s="30">
        <v>43083.0</v>
      </c>
      <c r="D628" s="32"/>
      <c r="E628" s="13" t="s">
        <v>41</v>
      </c>
      <c r="F628" s="13">
        <v>1.0</v>
      </c>
      <c r="G628" s="13" t="s">
        <v>32</v>
      </c>
      <c r="H628" s="50">
        <v>1.0</v>
      </c>
      <c r="I628" s="13" t="s">
        <v>33</v>
      </c>
      <c r="J628" s="13" t="s">
        <v>93</v>
      </c>
      <c r="K628" s="13"/>
      <c r="L628" s="13" t="s">
        <v>76</v>
      </c>
      <c r="M628" s="44" t="s">
        <v>1996</v>
      </c>
      <c r="N628" s="15"/>
      <c r="O628" s="86" t="str">
        <f>hyperlink("https://bad-boys.us/?q=ND-NY/1:17-cr-00403", "ND-NY 1:17-cr-00403")</f>
        <v>ND-NY 1:17-cr-00403</v>
      </c>
      <c r="P628" s="86" t="s">
        <v>1997</v>
      </c>
      <c r="Q628" s="37">
        <v>1.0</v>
      </c>
      <c r="R628" s="16"/>
      <c r="S628" s="37" t="str">
        <f>IFERROR(__xludf.DUMMYFUNCTION("if(not(iserror(index(split(C628, "" ""),2))), index(split(C628, "" ""),1),"""")"),"December")</f>
        <v>December</v>
      </c>
      <c r="T628" s="38">
        <f>IFERROR(__xludf.DUMMYFUNCTION("if(S628="""",C628,if(not(iserror(index(split(C628, "" ""),3))), index(split(C628, "" ""),3),index(split(C628, "" ""),2)))"),2017.0)</f>
        <v>2017</v>
      </c>
      <c r="U628" s="38" t="b">
        <f t="shared" ref="U628:U641" si="90">countif(A$4:A4658, A628)&gt;1</f>
        <v>0</v>
      </c>
      <c r="V628" s="38" t="s">
        <v>33</v>
      </c>
      <c r="W628" s="40"/>
      <c r="X628" s="40"/>
      <c r="Y628" s="40"/>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row>
    <row r="629">
      <c r="A629" s="87" t="s">
        <v>1998</v>
      </c>
      <c r="B629" s="30">
        <v>43084.0</v>
      </c>
      <c r="C629" s="30">
        <v>43084.0</v>
      </c>
      <c r="D629" s="32" t="s">
        <v>1999</v>
      </c>
      <c r="E629" s="13" t="s">
        <v>41</v>
      </c>
      <c r="F629" s="13">
        <v>1.0</v>
      </c>
      <c r="G629" s="13" t="s">
        <v>32</v>
      </c>
      <c r="H629" s="50">
        <v>1.0</v>
      </c>
      <c r="I629" s="13" t="s">
        <v>33</v>
      </c>
      <c r="J629" s="13" t="s">
        <v>147</v>
      </c>
      <c r="K629" s="13">
        <v>3.0</v>
      </c>
      <c r="L629" s="13" t="s">
        <v>76</v>
      </c>
      <c r="M629" s="44" t="s">
        <v>2000</v>
      </c>
      <c r="N629" s="15"/>
      <c r="O629" s="86" t="str">
        <f>hyperlink("https://bad-boys.us/?q=SD-TX/5:18-cr-00011", "SD-TX 5:18-cr-00011")</f>
        <v>SD-TX 5:18-cr-00011</v>
      </c>
      <c r="P629" s="86" t="s">
        <v>2001</v>
      </c>
      <c r="Q629" s="37">
        <v>1.0</v>
      </c>
      <c r="R629" s="16"/>
      <c r="S629" s="37" t="str">
        <f>IFERROR(__xludf.DUMMYFUNCTION("if(not(iserror(index(split(C629, "" ""),2))), index(split(C629, "" ""),1),"""")"),"December")</f>
        <v>December</v>
      </c>
      <c r="T629" s="38">
        <f>IFERROR(__xludf.DUMMYFUNCTION("if(S629="""",C629,if(not(iserror(index(split(C629, "" ""),3))), index(split(C629, "" ""),3),index(split(C629, "" ""),2)))"),2017.0)</f>
        <v>2017</v>
      </c>
      <c r="U629" s="38" t="b">
        <f t="shared" si="90"/>
        <v>0</v>
      </c>
      <c r="V629" s="38"/>
      <c r="W629" s="40"/>
      <c r="X629" s="40"/>
      <c r="Y629" s="40"/>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row>
    <row r="630">
      <c r="A630" s="13" t="s">
        <v>2002</v>
      </c>
      <c r="B630" s="30">
        <v>43084.0</v>
      </c>
      <c r="C630" s="30">
        <v>43084.0</v>
      </c>
      <c r="D630" s="32" t="s">
        <v>1999</v>
      </c>
      <c r="E630" s="13" t="s">
        <v>41</v>
      </c>
      <c r="F630" s="13">
        <v>1.0</v>
      </c>
      <c r="G630" s="13" t="s">
        <v>32</v>
      </c>
      <c r="H630" s="33">
        <f>if(G630="Unknown",1,G630)</f>
        <v>1</v>
      </c>
      <c r="I630" s="13" t="s">
        <v>33</v>
      </c>
      <c r="J630" s="13" t="s">
        <v>111</v>
      </c>
      <c r="K630" s="13">
        <v>1.0</v>
      </c>
      <c r="L630" s="13" t="s">
        <v>2003</v>
      </c>
      <c r="M630" s="44" t="s">
        <v>2004</v>
      </c>
      <c r="N630" s="15"/>
      <c r="O630" s="37"/>
      <c r="P630" s="37"/>
      <c r="Q630" s="37"/>
      <c r="R630" s="16"/>
      <c r="S630" s="37" t="str">
        <f>IFERROR(__xludf.DUMMYFUNCTION("if(not(iserror(index(split(C630, "" ""),2))), index(split(C630, "" ""),1),"""")"),"December")</f>
        <v>December</v>
      </c>
      <c r="T630" s="38">
        <f>IFERROR(__xludf.DUMMYFUNCTION("if(S630="""",C630,if(not(iserror(index(split(C630, "" ""),3))), index(split(C630, "" ""),3),index(split(C630, "" ""),2)))"),2017.0)</f>
        <v>2017</v>
      </c>
      <c r="U630" s="38" t="b">
        <f t="shared" si="90"/>
        <v>0</v>
      </c>
      <c r="V630" s="38" t="s">
        <v>33</v>
      </c>
      <c r="W630" s="40"/>
      <c r="X630" s="40"/>
      <c r="Y630" s="40"/>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row>
    <row r="631">
      <c r="A631" s="13" t="s">
        <v>2005</v>
      </c>
      <c r="B631" s="30">
        <v>43087.0</v>
      </c>
      <c r="C631" s="30">
        <v>43084.0</v>
      </c>
      <c r="D631" s="32" t="s">
        <v>1999</v>
      </c>
      <c r="E631" s="13" t="s">
        <v>41</v>
      </c>
      <c r="F631" s="13">
        <v>2.0</v>
      </c>
      <c r="G631" s="13">
        <v>6.0</v>
      </c>
      <c r="H631" s="50">
        <v>6.0</v>
      </c>
      <c r="I631" s="13" t="s">
        <v>33</v>
      </c>
      <c r="J631" s="13" t="s">
        <v>279</v>
      </c>
      <c r="K631" s="13">
        <v>6.0</v>
      </c>
      <c r="L631" s="34" t="s">
        <v>52</v>
      </c>
      <c r="M631" s="44" t="s">
        <v>2006</v>
      </c>
      <c r="N631" s="15"/>
      <c r="O631" s="37"/>
      <c r="P631" s="37"/>
      <c r="Q631" s="37"/>
      <c r="R631" s="16"/>
      <c r="S631" s="37" t="str">
        <f>IFERROR(__xludf.DUMMYFUNCTION("if(not(iserror(index(split(C631, "" ""),2))), index(split(C631, "" ""),1),"""")"),"December")</f>
        <v>December</v>
      </c>
      <c r="T631" s="38">
        <f>IFERROR(__xludf.DUMMYFUNCTION("if(S631="""",C631,if(not(iserror(index(split(C631, "" ""),3))), index(split(C631, "" ""),3),index(split(C631, "" ""),2)))"),2017.0)</f>
        <v>2017</v>
      </c>
      <c r="U631" s="38" t="b">
        <f t="shared" si="90"/>
        <v>0</v>
      </c>
      <c r="V631" s="38"/>
      <c r="W631" s="40"/>
      <c r="X631" s="40"/>
      <c r="Y631" s="40"/>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row>
    <row r="632">
      <c r="A632" s="166" t="s">
        <v>2007</v>
      </c>
      <c r="B632" s="167">
        <v>43090.0</v>
      </c>
      <c r="C632" s="153">
        <v>43084.0</v>
      </c>
      <c r="D632" s="168" t="s">
        <v>1999</v>
      </c>
      <c r="E632" s="169" t="s">
        <v>41</v>
      </c>
      <c r="F632" s="166">
        <v>1.0</v>
      </c>
      <c r="G632" s="166" t="s">
        <v>32</v>
      </c>
      <c r="H632" s="33">
        <f t="shared" ref="H632:H634" si="91">if(G632="Unknown",1,G632)</f>
        <v>1</v>
      </c>
      <c r="I632" s="166" t="s">
        <v>33</v>
      </c>
      <c r="J632" s="166" t="s">
        <v>440</v>
      </c>
      <c r="K632" s="166" t="s">
        <v>32</v>
      </c>
      <c r="L632" s="166" t="s">
        <v>99</v>
      </c>
      <c r="M632" s="170" t="s">
        <v>2008</v>
      </c>
      <c r="N632" s="15"/>
      <c r="O632" s="37"/>
      <c r="P632" s="37"/>
      <c r="Q632" s="64"/>
      <c r="R632" s="16"/>
      <c r="S632" s="37" t="str">
        <f>IFERROR(__xludf.DUMMYFUNCTION("if(not(iserror(index(split(C632, "" ""),2))), index(split(C632, "" ""),1),"""")"),"December")</f>
        <v>December</v>
      </c>
      <c r="T632" s="38">
        <f>IFERROR(__xludf.DUMMYFUNCTION("if(S632="""",C632,if(not(iserror(index(split(C632, "" ""),3))), index(split(C632, "" ""),3),index(split(C632, "" ""),2)))"),2017.0)</f>
        <v>2017</v>
      </c>
      <c r="U632" s="38" t="b">
        <f t="shared" si="90"/>
        <v>0</v>
      </c>
      <c r="V632" s="38"/>
      <c r="W632" s="40"/>
      <c r="X632" s="40"/>
      <c r="Y632" s="40"/>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row>
    <row r="633">
      <c r="A633" s="152" t="s">
        <v>2009</v>
      </c>
      <c r="B633" s="153">
        <v>43119.0</v>
      </c>
      <c r="C633" s="153">
        <v>43084.0</v>
      </c>
      <c r="D633" s="154" t="s">
        <v>1999</v>
      </c>
      <c r="E633" s="155" t="s">
        <v>31</v>
      </c>
      <c r="F633" s="152">
        <v>1.0</v>
      </c>
      <c r="G633" s="152" t="s">
        <v>32</v>
      </c>
      <c r="H633" s="33">
        <f t="shared" si="91"/>
        <v>1</v>
      </c>
      <c r="I633" s="152" t="s">
        <v>33</v>
      </c>
      <c r="J633" s="152" t="s">
        <v>288</v>
      </c>
      <c r="K633" s="152" t="s">
        <v>32</v>
      </c>
      <c r="L633" s="152" t="s">
        <v>790</v>
      </c>
      <c r="M633" s="162" t="s">
        <v>2010</v>
      </c>
      <c r="N633" s="158" t="s">
        <v>2011</v>
      </c>
      <c r="O633" s="158" t="str">
        <f>hyperlink("https://bad-boys.us/?q=D-NE/4:18-cr-03004", "D-NE 4:18-cr-03004")</f>
        <v>D-NE 4:18-cr-03004</v>
      </c>
      <c r="P633" s="86" t="s">
        <v>2012</v>
      </c>
      <c r="Q633" s="37">
        <v>1.0</v>
      </c>
      <c r="R633" s="16"/>
      <c r="S633" s="37" t="str">
        <f>IFERROR(__xludf.DUMMYFUNCTION("if(not(iserror(index(split(C633, "" ""),2))), index(split(C633, "" ""),1),"""")"),"December")</f>
        <v>December</v>
      </c>
      <c r="T633" s="38">
        <f>IFERROR(__xludf.DUMMYFUNCTION("if(S633="""",C633,if(not(iserror(index(split(C633, "" ""),3))), index(split(C633, "" ""),3),index(split(C633, "" ""),2)))"),2017.0)</f>
        <v>2017</v>
      </c>
      <c r="U633" s="38" t="b">
        <f t="shared" si="90"/>
        <v>0</v>
      </c>
      <c r="V633" s="38"/>
      <c r="W633" s="40"/>
      <c r="X633" s="40"/>
      <c r="Y633" s="40"/>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row>
    <row r="634">
      <c r="A634" s="13" t="s">
        <v>2013</v>
      </c>
      <c r="B634" s="30">
        <v>43097.0</v>
      </c>
      <c r="C634" s="30">
        <v>43087.0</v>
      </c>
      <c r="D634" s="32" t="s">
        <v>2014</v>
      </c>
      <c r="E634" s="13" t="s">
        <v>41</v>
      </c>
      <c r="F634" s="13">
        <v>2.0</v>
      </c>
      <c r="G634" s="13" t="s">
        <v>32</v>
      </c>
      <c r="H634" s="33">
        <f t="shared" si="91"/>
        <v>1</v>
      </c>
      <c r="I634" s="13" t="s">
        <v>33</v>
      </c>
      <c r="J634" s="13" t="s">
        <v>147</v>
      </c>
      <c r="K634" s="13" t="s">
        <v>32</v>
      </c>
      <c r="L634" s="13" t="s">
        <v>2015</v>
      </c>
      <c r="M634" s="45" t="s">
        <v>2016</v>
      </c>
      <c r="N634" s="15"/>
      <c r="O634" s="86" t="str">
        <f>hyperlink("https://bad-boys.us/?q=ND-TX/3:17-mj-00924", "ND-TX 3:17-mj-00924")</f>
        <v>ND-TX 3:17-mj-00924</v>
      </c>
      <c r="P634" s="16"/>
      <c r="Q634" s="64">
        <v>1.0</v>
      </c>
      <c r="R634" s="16"/>
      <c r="S634" s="37" t="str">
        <f>IFERROR(__xludf.DUMMYFUNCTION("if(not(iserror(index(split(C634, "" ""),2))), index(split(C634, "" ""),1),"""")"),"December")</f>
        <v>December</v>
      </c>
      <c r="T634" s="38">
        <f>IFERROR(__xludf.DUMMYFUNCTION("if(S634="""",C634,if(not(iserror(index(split(C634, "" ""),3))), index(split(C634, "" ""),3),index(split(C634, "" ""),2)))"),2017.0)</f>
        <v>2017</v>
      </c>
      <c r="U634" s="38" t="b">
        <f t="shared" si="90"/>
        <v>0</v>
      </c>
      <c r="V634" s="38"/>
      <c r="W634" s="40"/>
      <c r="X634" s="40"/>
      <c r="Y634" s="40"/>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row>
    <row r="635">
      <c r="A635" s="87" t="s">
        <v>2017</v>
      </c>
      <c r="B635" s="30"/>
      <c r="C635" s="30">
        <v>43088.0</v>
      </c>
      <c r="D635" s="32"/>
      <c r="E635" s="13" t="s">
        <v>41</v>
      </c>
      <c r="F635" s="13" t="s">
        <v>903</v>
      </c>
      <c r="G635" s="13" t="s">
        <v>32</v>
      </c>
      <c r="H635" s="43">
        <v>1.0</v>
      </c>
      <c r="I635" s="13" t="s">
        <v>33</v>
      </c>
      <c r="J635" s="13" t="s">
        <v>179</v>
      </c>
      <c r="K635" s="13"/>
      <c r="L635" s="34" t="s">
        <v>2018</v>
      </c>
      <c r="M635" s="44" t="s">
        <v>2019</v>
      </c>
      <c r="N635" s="36" t="s">
        <v>2020</v>
      </c>
      <c r="O635" s="86" t="str">
        <f>hyperlink("https://bad-boys.us/?q=ED-VA/1:18-cr-00022", "ED-VA 1:18-cr-00022")</f>
        <v>ED-VA 1:18-cr-00022</v>
      </c>
      <c r="P635" s="86" t="s">
        <v>2021</v>
      </c>
      <c r="Q635" s="64">
        <v>1.0</v>
      </c>
      <c r="R635" s="16"/>
      <c r="S635" s="37" t="str">
        <f>IFERROR(__xludf.DUMMYFUNCTION("if(not(iserror(index(split(C635, "" ""),2))), index(split(C635, "" ""),1),"""")"),"December")</f>
        <v>December</v>
      </c>
      <c r="T635" s="38">
        <f>IFERROR(__xludf.DUMMYFUNCTION("if(S635="""",C635,if(not(iserror(index(split(C635, "" ""),3))), index(split(C635, "" ""),3),index(split(C635, "" ""),2)))"),2017.0)</f>
        <v>2017</v>
      </c>
      <c r="U635" s="38" t="b">
        <f t="shared" si="90"/>
        <v>0</v>
      </c>
      <c r="V635" s="38" t="s">
        <v>33</v>
      </c>
      <c r="W635" s="40"/>
      <c r="X635" s="40"/>
      <c r="Y635" s="40"/>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row>
    <row r="636">
      <c r="A636" s="13" t="s">
        <v>239</v>
      </c>
      <c r="B636" s="30">
        <v>43089.0</v>
      </c>
      <c r="C636" s="30">
        <v>43088.0</v>
      </c>
      <c r="D636" s="32" t="s">
        <v>2022</v>
      </c>
      <c r="E636" s="13" t="s">
        <v>41</v>
      </c>
      <c r="F636" s="13">
        <v>1.0</v>
      </c>
      <c r="G636" s="13">
        <v>4.0</v>
      </c>
      <c r="H636" s="33">
        <f t="shared" ref="H636:H639" si="92">if(G636="Unknown",1,G636)</f>
        <v>4</v>
      </c>
      <c r="I636" s="13" t="s">
        <v>33</v>
      </c>
      <c r="J636" s="13" t="s">
        <v>241</v>
      </c>
      <c r="K636" s="13">
        <v>1.0</v>
      </c>
      <c r="L636" s="34" t="s">
        <v>194</v>
      </c>
      <c r="M636" s="44" t="s">
        <v>2023</v>
      </c>
      <c r="N636" s="15"/>
      <c r="O636" s="37"/>
      <c r="P636" s="37"/>
      <c r="Q636" s="64"/>
      <c r="R636" s="16"/>
      <c r="S636" s="37" t="str">
        <f>IFERROR(__xludf.DUMMYFUNCTION("if(not(iserror(index(split(C636, "" ""),2))), index(split(C636, "" ""),1),"""")"),"December")</f>
        <v>December</v>
      </c>
      <c r="T636" s="38">
        <f>IFERROR(__xludf.DUMMYFUNCTION("if(S636="""",C636,if(not(iserror(index(split(C636, "" ""),3))), index(split(C636, "" ""),3),index(split(C636, "" ""),2)))"),2017.0)</f>
        <v>2017</v>
      </c>
      <c r="U636" s="38" t="b">
        <f t="shared" si="90"/>
        <v>1</v>
      </c>
      <c r="V636" s="38"/>
      <c r="W636" s="40"/>
      <c r="X636" s="40"/>
      <c r="Y636" s="40"/>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row>
    <row r="637">
      <c r="A637" s="13" t="s">
        <v>2024</v>
      </c>
      <c r="B637" s="30">
        <v>43088.0</v>
      </c>
      <c r="C637" s="30">
        <v>43088.0</v>
      </c>
      <c r="D637" s="32" t="s">
        <v>2022</v>
      </c>
      <c r="E637" s="13" t="s">
        <v>41</v>
      </c>
      <c r="F637" s="13">
        <v>1.0</v>
      </c>
      <c r="G637" s="13" t="s">
        <v>32</v>
      </c>
      <c r="H637" s="33">
        <f t="shared" si="92"/>
        <v>1</v>
      </c>
      <c r="I637" s="13" t="s">
        <v>33</v>
      </c>
      <c r="J637" s="13" t="s">
        <v>93</v>
      </c>
      <c r="K637" s="13">
        <v>2.0</v>
      </c>
      <c r="L637" s="34" t="s">
        <v>35</v>
      </c>
      <c r="M637" s="44" t="s">
        <v>2025</v>
      </c>
      <c r="N637" s="15"/>
      <c r="O637" s="86" t="str">
        <f>hyperlink("https://bad-boys.us/?q=SD-NY/7:17-mj-09345", "SD-NY 7:17-mj-09345")</f>
        <v>SD-NY 7:17-mj-09345</v>
      </c>
      <c r="P637" s="86" t="s">
        <v>2026</v>
      </c>
      <c r="Q637" s="64">
        <v>1.0</v>
      </c>
      <c r="R637" s="16"/>
      <c r="S637" s="37" t="str">
        <f>IFERROR(__xludf.DUMMYFUNCTION("if(not(iserror(index(split(C637, "" ""),2))), index(split(C637, "" ""),1),"""")"),"December")</f>
        <v>December</v>
      </c>
      <c r="T637" s="38">
        <f>IFERROR(__xludf.DUMMYFUNCTION("if(S637="""",C637,if(not(iserror(index(split(C637, "" ""),3))), index(split(C637, "" ""),3),index(split(C637, "" ""),2)))"),2017.0)</f>
        <v>2017</v>
      </c>
      <c r="U637" s="38" t="b">
        <f t="shared" si="90"/>
        <v>0</v>
      </c>
      <c r="V637" s="38"/>
      <c r="W637" s="40"/>
      <c r="X637" s="40"/>
      <c r="Y637" s="40"/>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row>
    <row r="638">
      <c r="A638" s="13" t="s">
        <v>2027</v>
      </c>
      <c r="B638" s="30">
        <v>43090.0</v>
      </c>
      <c r="C638" s="30">
        <v>43088.0</v>
      </c>
      <c r="D638" s="32" t="s">
        <v>2022</v>
      </c>
      <c r="E638" s="13" t="s">
        <v>41</v>
      </c>
      <c r="F638" s="13">
        <v>1.0</v>
      </c>
      <c r="G638" s="13" t="s">
        <v>32</v>
      </c>
      <c r="H638" s="33">
        <f t="shared" si="92"/>
        <v>1</v>
      </c>
      <c r="I638" s="13" t="s">
        <v>33</v>
      </c>
      <c r="J638" s="13" t="s">
        <v>115</v>
      </c>
      <c r="K638" s="13">
        <v>1.0</v>
      </c>
      <c r="L638" s="13" t="s">
        <v>2028</v>
      </c>
      <c r="M638" s="44" t="s">
        <v>2029</v>
      </c>
      <c r="N638" s="15"/>
      <c r="O638" s="86" t="str">
        <f>hyperlink("https://bad-boys.us/?q=MD-PA/3:17-cr-00396", "MD-PA 3:17-cr-00396")</f>
        <v>MD-PA 3:17-cr-00396</v>
      </c>
      <c r="P638" s="86" t="s">
        <v>2030</v>
      </c>
      <c r="Q638" s="64">
        <v>1.0</v>
      </c>
      <c r="R638" s="16"/>
      <c r="S638" s="37" t="str">
        <f>IFERROR(__xludf.DUMMYFUNCTION("if(not(iserror(index(split(C638, "" ""),2))), index(split(C638, "" ""),1),"""")"),"December")</f>
        <v>December</v>
      </c>
      <c r="T638" s="38">
        <f>IFERROR(__xludf.DUMMYFUNCTION("if(S638="""",C638,if(not(iserror(index(split(C638, "" ""),3))), index(split(C638, "" ""),3),index(split(C638, "" ""),2)))"),2017.0)</f>
        <v>2017</v>
      </c>
      <c r="U638" s="38" t="b">
        <f t="shared" si="90"/>
        <v>0</v>
      </c>
      <c r="V638" s="38"/>
      <c r="W638" s="40"/>
      <c r="X638" s="40"/>
      <c r="Y638" s="40"/>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row>
    <row r="639">
      <c r="A639" s="13" t="s">
        <v>2031</v>
      </c>
      <c r="B639" s="30">
        <v>43090.0</v>
      </c>
      <c r="C639" s="30">
        <v>43088.0</v>
      </c>
      <c r="D639" s="32" t="s">
        <v>2022</v>
      </c>
      <c r="E639" s="13" t="s">
        <v>41</v>
      </c>
      <c r="F639" s="13">
        <v>1.0</v>
      </c>
      <c r="G639" s="13" t="s">
        <v>32</v>
      </c>
      <c r="H639" s="33">
        <f t="shared" si="92"/>
        <v>1</v>
      </c>
      <c r="I639" s="13" t="s">
        <v>33</v>
      </c>
      <c r="J639" s="13" t="s">
        <v>184</v>
      </c>
      <c r="K639" s="13">
        <v>3.0</v>
      </c>
      <c r="L639" s="13" t="s">
        <v>99</v>
      </c>
      <c r="M639" s="44" t="s">
        <v>2032</v>
      </c>
      <c r="N639" s="15"/>
      <c r="O639" s="86" t="str">
        <f>hyperlink("https://bad-boys.us/?q=ND-IL/3:17-cr-50085", "ND-IL 3:17-cr-50085")</f>
        <v>ND-IL 3:17-cr-50085</v>
      </c>
      <c r="P639" s="86" t="s">
        <v>2033</v>
      </c>
      <c r="Q639" s="37">
        <v>1.0</v>
      </c>
      <c r="R639" s="16"/>
      <c r="S639" s="37" t="str">
        <f>IFERROR(__xludf.DUMMYFUNCTION("if(not(iserror(index(split(C639, "" ""),2))), index(split(C639, "" ""),1),"""")"),"December")</f>
        <v>December</v>
      </c>
      <c r="T639" s="38">
        <f>IFERROR(__xludf.DUMMYFUNCTION("if(S639="""",C639,if(not(iserror(index(split(C639, "" ""),3))), index(split(C639, "" ""),3),index(split(C639, "" ""),2)))"),2017.0)</f>
        <v>2017</v>
      </c>
      <c r="U639" s="38" t="b">
        <f t="shared" si="90"/>
        <v>0</v>
      </c>
      <c r="V639" s="38"/>
      <c r="W639" s="40"/>
      <c r="X639" s="40"/>
      <c r="Y639" s="40"/>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row>
    <row r="640">
      <c r="A640" s="58" t="s">
        <v>2034</v>
      </c>
      <c r="B640" s="59"/>
      <c r="C640" s="59">
        <v>43088.0</v>
      </c>
      <c r="D640" s="60"/>
      <c r="E640" s="58" t="s">
        <v>31</v>
      </c>
      <c r="F640" s="58">
        <v>1.0</v>
      </c>
      <c r="G640" s="58" t="s">
        <v>32</v>
      </c>
      <c r="H640" s="43">
        <v>1.0</v>
      </c>
      <c r="I640" s="58" t="s">
        <v>33</v>
      </c>
      <c r="J640" s="58" t="s">
        <v>524</v>
      </c>
      <c r="K640" s="58"/>
      <c r="L640" s="58" t="s">
        <v>69</v>
      </c>
      <c r="M640" s="61" t="s">
        <v>2035</v>
      </c>
      <c r="N640" s="61" t="s">
        <v>2036</v>
      </c>
      <c r="O640" s="83" t="str">
        <f>hyperlink("https://bad-boys.us/?q=D-AK/3:18-cr-00003", "D-AK 3:18-cr-00003")</f>
        <v>D-AK 3:18-cr-00003</v>
      </c>
      <c r="P640" s="88" t="s">
        <v>2037</v>
      </c>
      <c r="Q640" s="58">
        <v>1.0</v>
      </c>
      <c r="R640" s="62"/>
      <c r="S640" s="37" t="str">
        <f>IFERROR(__xludf.DUMMYFUNCTION("if(not(iserror(index(split(C640, "" ""),2))), index(split(C640, "" ""),1),"""")"),"December")</f>
        <v>December</v>
      </c>
      <c r="T640" s="38">
        <f>IFERROR(__xludf.DUMMYFUNCTION("if(S640="""",C640,if(not(iserror(index(split(C640, "" ""),3))), index(split(C640, "" ""),3),index(split(C640, "" ""),2)))"),2017.0)</f>
        <v>2017</v>
      </c>
      <c r="U640" s="38" t="b">
        <f t="shared" si="90"/>
        <v>0</v>
      </c>
      <c r="V640" s="38" t="s">
        <v>33</v>
      </c>
      <c r="W640" s="39" t="s">
        <v>2038</v>
      </c>
      <c r="X640" s="39" t="s">
        <v>2039</v>
      </c>
      <c r="Y640" s="40"/>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row>
    <row r="641">
      <c r="A641" s="58" t="s">
        <v>2040</v>
      </c>
      <c r="B641" s="59">
        <v>43298.0</v>
      </c>
      <c r="C641" s="59">
        <v>43088.0</v>
      </c>
      <c r="D641" s="60" t="s">
        <v>2022</v>
      </c>
      <c r="E641" s="58" t="s">
        <v>31</v>
      </c>
      <c r="F641" s="58">
        <v>1.0</v>
      </c>
      <c r="G641" s="58" t="s">
        <v>32</v>
      </c>
      <c r="H641" s="33">
        <f>if(G641="Unknown",1,G641)</f>
        <v>1</v>
      </c>
      <c r="I641" s="58" t="s">
        <v>33</v>
      </c>
      <c r="J641" s="58" t="s">
        <v>147</v>
      </c>
      <c r="K641" s="58" t="s">
        <v>32</v>
      </c>
      <c r="L641" s="58" t="s">
        <v>2041</v>
      </c>
      <c r="M641" s="61" t="s">
        <v>2042</v>
      </c>
      <c r="N641" s="77"/>
      <c r="O641" s="62"/>
      <c r="P641" s="62"/>
      <c r="Q641" s="62"/>
      <c r="R641" s="62"/>
      <c r="S641" s="37" t="str">
        <f>IFERROR(__xludf.DUMMYFUNCTION("if(not(iserror(index(split(C641, "" ""),2))), index(split(C641, "" ""),1),"""")"),"December")</f>
        <v>December</v>
      </c>
      <c r="T641" s="38">
        <f>IFERROR(__xludf.DUMMYFUNCTION("if(S641="""",C641,if(not(iserror(index(split(C641, "" ""),3))), index(split(C641, "" ""),3),index(split(C641, "" ""),2)))"),2017.0)</f>
        <v>2017</v>
      </c>
      <c r="U641" s="38" t="b">
        <f t="shared" si="90"/>
        <v>0</v>
      </c>
      <c r="V641" s="38"/>
      <c r="W641" s="40"/>
      <c r="X641" s="40"/>
      <c r="Y641" s="40"/>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row>
    <row r="642">
      <c r="A642" s="58" t="s">
        <v>2043</v>
      </c>
      <c r="B642" s="59"/>
      <c r="C642" s="59">
        <v>43088.0</v>
      </c>
      <c r="D642" s="60"/>
      <c r="E642" s="58" t="s">
        <v>31</v>
      </c>
      <c r="F642" s="58">
        <v>1.0</v>
      </c>
      <c r="G642" s="58" t="s">
        <v>32</v>
      </c>
      <c r="H642" s="43">
        <v>1.0</v>
      </c>
      <c r="I642" s="58" t="s">
        <v>33</v>
      </c>
      <c r="J642" s="58" t="s">
        <v>283</v>
      </c>
      <c r="K642" s="58"/>
      <c r="L642" s="58" t="s">
        <v>2041</v>
      </c>
      <c r="M642" s="61" t="s">
        <v>2044</v>
      </c>
      <c r="N642" s="77"/>
      <c r="O642" s="62"/>
      <c r="P642" s="62"/>
      <c r="Q642" s="62"/>
      <c r="R642" s="62"/>
      <c r="S642" s="37"/>
      <c r="T642" s="38"/>
      <c r="U642" s="38"/>
      <c r="V642" s="38" t="s">
        <v>33</v>
      </c>
      <c r="W642" s="39" t="s">
        <v>2045</v>
      </c>
      <c r="X642" s="39" t="s">
        <v>2046</v>
      </c>
      <c r="Y642" s="40"/>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row>
    <row r="643">
      <c r="A643" s="91" t="s">
        <v>2047</v>
      </c>
      <c r="B643" s="145">
        <v>43089.0</v>
      </c>
      <c r="C643" s="145">
        <v>43089.0</v>
      </c>
      <c r="D643" s="146" t="s">
        <v>2048</v>
      </c>
      <c r="E643" s="37" t="s">
        <v>41</v>
      </c>
      <c r="F643" s="91">
        <v>1.0</v>
      </c>
      <c r="G643" s="91" t="s">
        <v>32</v>
      </c>
      <c r="H643" s="33">
        <f t="shared" ref="H643:H644" si="93">if(G643="Unknown",1,G643)</f>
        <v>1</v>
      </c>
      <c r="I643" s="91" t="s">
        <v>33</v>
      </c>
      <c r="J643" s="91" t="s">
        <v>106</v>
      </c>
      <c r="K643" s="91">
        <v>2.0</v>
      </c>
      <c r="L643" s="91" t="s">
        <v>76</v>
      </c>
      <c r="M643" s="36" t="s">
        <v>2049</v>
      </c>
      <c r="N643" s="147" t="s">
        <v>2050</v>
      </c>
      <c r="O643" s="103" t="str">
        <f>hyperlink("https://bad-boys.us/?q=D-MD/1:17-cr-00644", "D-MD 1:17-cr-00644")</f>
        <v>D-MD 1:17-cr-00644</v>
      </c>
      <c r="P643" s="78"/>
      <c r="Q643" s="37">
        <v>1.0</v>
      </c>
      <c r="R643" s="16"/>
      <c r="S643" s="37" t="str">
        <f>IFERROR(__xludf.DUMMYFUNCTION("if(not(iserror(index(split(C643, "" ""),2))), index(split(C643, "" ""),1),"""")"),"December")</f>
        <v>December</v>
      </c>
      <c r="T643" s="38">
        <f>IFERROR(__xludf.DUMMYFUNCTION("if(S643="""",C643,if(not(iserror(index(split(C643, "" ""),3))), index(split(C643, "" ""),3),index(split(C643, "" ""),2)))"),2017.0)</f>
        <v>2017</v>
      </c>
      <c r="U643" s="38" t="b">
        <f t="shared" ref="U643:U673" si="94">countif(A$4:A4658, A643)&gt;1</f>
        <v>0</v>
      </c>
      <c r="V643" s="38"/>
      <c r="W643" s="40"/>
      <c r="X643" s="40"/>
      <c r="Y643" s="40"/>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row>
    <row r="644">
      <c r="A644" s="37" t="s">
        <v>2051</v>
      </c>
      <c r="B644" s="99">
        <v>43089.0</v>
      </c>
      <c r="C644" s="99">
        <v>43089.0</v>
      </c>
      <c r="D644" s="144" t="s">
        <v>2048</v>
      </c>
      <c r="E644" s="37" t="s">
        <v>31</v>
      </c>
      <c r="F644" s="37">
        <v>1.0</v>
      </c>
      <c r="G644" s="37" t="s">
        <v>32</v>
      </c>
      <c r="H644" s="33">
        <f t="shared" si="93"/>
        <v>1</v>
      </c>
      <c r="I644" s="37" t="s">
        <v>33</v>
      </c>
      <c r="J644" s="37" t="s">
        <v>132</v>
      </c>
      <c r="K644" s="37">
        <v>3.0</v>
      </c>
      <c r="L644" s="37" t="s">
        <v>99</v>
      </c>
      <c r="M644" s="177" t="s">
        <v>2052</v>
      </c>
      <c r="N644" s="36" t="s">
        <v>2053</v>
      </c>
      <c r="O644" s="86" t="str">
        <f>hyperlink("https://bad-boys.us/?q=ND-MS/3:17-cr-00143", "ND-MS 3:17-cr-00143")</f>
        <v>ND-MS 3:17-cr-00143</v>
      </c>
      <c r="P644" s="86" t="s">
        <v>2054</v>
      </c>
      <c r="Q644" s="64">
        <v>1.0</v>
      </c>
      <c r="R644" s="16"/>
      <c r="S644" s="37" t="str">
        <f>IFERROR(__xludf.DUMMYFUNCTION("if(not(iserror(index(split(C644, "" ""),2))), index(split(C644, "" ""),1),"""")"),"December")</f>
        <v>December</v>
      </c>
      <c r="T644" s="38">
        <f>IFERROR(__xludf.DUMMYFUNCTION("if(S644="""",C644,if(not(iserror(index(split(C644, "" ""),3))), index(split(C644, "" ""),3),index(split(C644, "" ""),2)))"),2017.0)</f>
        <v>2017</v>
      </c>
      <c r="U644" s="38" t="b">
        <f t="shared" si="94"/>
        <v>0</v>
      </c>
      <c r="V644" s="38"/>
      <c r="W644" s="40"/>
      <c r="X644" s="40"/>
      <c r="Y644" s="40"/>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row>
    <row r="645">
      <c r="A645" s="13" t="s">
        <v>2055</v>
      </c>
      <c r="B645" s="30"/>
      <c r="C645" s="30">
        <v>43089.0</v>
      </c>
      <c r="D645" s="32"/>
      <c r="E645" s="13" t="s">
        <v>31</v>
      </c>
      <c r="F645" s="13">
        <v>1.0</v>
      </c>
      <c r="G645" s="13">
        <v>1.0</v>
      </c>
      <c r="H645" s="43">
        <v>1.0</v>
      </c>
      <c r="I645" s="13" t="s">
        <v>33</v>
      </c>
      <c r="J645" s="13" t="s">
        <v>61</v>
      </c>
      <c r="K645" s="13"/>
      <c r="L645" s="13" t="s">
        <v>52</v>
      </c>
      <c r="M645" s="44" t="s">
        <v>2056</v>
      </c>
      <c r="N645" s="15"/>
      <c r="O645" s="37"/>
      <c r="P645" s="16"/>
      <c r="Q645" s="64"/>
      <c r="R645" s="16"/>
      <c r="S645" s="37" t="str">
        <f>IFERROR(__xludf.DUMMYFUNCTION("if(not(iserror(index(split(C645, "" ""),2))), index(split(C645, "" ""),1),"""")"),"December")</f>
        <v>December</v>
      </c>
      <c r="T645" s="38">
        <f>IFERROR(__xludf.DUMMYFUNCTION("if(S645="""",C645,if(not(iserror(index(split(C645, "" ""),3))), index(split(C645, "" ""),3),index(split(C645, "" ""),2)))"),2017.0)</f>
        <v>2017</v>
      </c>
      <c r="U645" s="38" t="b">
        <f t="shared" si="94"/>
        <v>0</v>
      </c>
      <c r="V645" s="38" t="s">
        <v>33</v>
      </c>
      <c r="W645" s="40"/>
      <c r="X645" s="39" t="s">
        <v>2057</v>
      </c>
      <c r="Y645" s="40"/>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row>
    <row r="646">
      <c r="A646" s="13" t="s">
        <v>2058</v>
      </c>
      <c r="B646" s="30">
        <v>43090.0</v>
      </c>
      <c r="C646" s="30">
        <v>43089.0</v>
      </c>
      <c r="D646" s="32" t="s">
        <v>2048</v>
      </c>
      <c r="E646" s="13" t="s">
        <v>41</v>
      </c>
      <c r="F646" s="13">
        <v>1.0</v>
      </c>
      <c r="G646" s="13" t="s">
        <v>32</v>
      </c>
      <c r="H646" s="33">
        <f t="shared" ref="H646:H666" si="95">if(G646="Unknown",1,G646)</f>
        <v>1</v>
      </c>
      <c r="I646" s="13" t="s">
        <v>33</v>
      </c>
      <c r="J646" s="13" t="s">
        <v>115</v>
      </c>
      <c r="K646" s="13">
        <v>1.0</v>
      </c>
      <c r="L646" s="13" t="s">
        <v>99</v>
      </c>
      <c r="M646" s="44" t="s">
        <v>2059</v>
      </c>
      <c r="N646" s="15"/>
      <c r="O646" s="37"/>
      <c r="P646" s="16"/>
      <c r="Q646" s="64"/>
      <c r="R646" s="16"/>
      <c r="S646" s="37" t="str">
        <f>IFERROR(__xludf.DUMMYFUNCTION("if(not(iserror(index(split(C646, "" ""),2))), index(split(C646, "" ""),1),"""")"),"December")</f>
        <v>December</v>
      </c>
      <c r="T646" s="38">
        <f>IFERROR(__xludf.DUMMYFUNCTION("if(S646="""",C646,if(not(iserror(index(split(C646, "" ""),3))), index(split(C646, "" ""),3),index(split(C646, "" ""),2)))"),2017.0)</f>
        <v>2017</v>
      </c>
      <c r="U646" s="38" t="b">
        <f t="shared" si="94"/>
        <v>0</v>
      </c>
      <c r="V646" s="38"/>
      <c r="W646" s="40"/>
      <c r="X646" s="40"/>
      <c r="Y646" s="40"/>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row>
    <row r="647">
      <c r="A647" s="90" t="s">
        <v>2060</v>
      </c>
      <c r="B647" s="30">
        <v>43097.0</v>
      </c>
      <c r="C647" s="30">
        <v>43089.0</v>
      </c>
      <c r="D647" s="32" t="s">
        <v>1647</v>
      </c>
      <c r="E647" s="13" t="s">
        <v>41</v>
      </c>
      <c r="F647" s="13">
        <v>2.0</v>
      </c>
      <c r="G647" s="13">
        <v>4.0</v>
      </c>
      <c r="H647" s="33">
        <f t="shared" si="95"/>
        <v>4</v>
      </c>
      <c r="I647" s="13" t="s">
        <v>33</v>
      </c>
      <c r="J647" s="13" t="s">
        <v>147</v>
      </c>
      <c r="K647" s="13">
        <v>4.0</v>
      </c>
      <c r="L647" s="13" t="s">
        <v>2061</v>
      </c>
      <c r="M647" s="45" t="s">
        <v>2062</v>
      </c>
      <c r="N647" s="45" t="s">
        <v>2063</v>
      </c>
      <c r="O647" s="86" t="str">
        <f>hyperlink("https://bad-boys.us/?q=SD-TX/5:17-mj-01298", "SD-TX 5:17-mj-01298")</f>
        <v>SD-TX 5:17-mj-01298</v>
      </c>
      <c r="P647" s="37"/>
      <c r="Q647" s="37">
        <v>1.0</v>
      </c>
      <c r="R647" s="16"/>
      <c r="S647" s="37" t="str">
        <f>IFERROR(__xludf.DUMMYFUNCTION("if(not(iserror(index(split(C647, "" ""),2))), index(split(C647, "" ""),1),"""")"),"December")</f>
        <v>December</v>
      </c>
      <c r="T647" s="38">
        <f>IFERROR(__xludf.DUMMYFUNCTION("if(S647="""",C647,if(not(iserror(index(split(C647, "" ""),3))), index(split(C647, "" ""),3),index(split(C647, "" ""),2)))"),2017.0)</f>
        <v>2017</v>
      </c>
      <c r="U647" s="38" t="b">
        <f t="shared" si="94"/>
        <v>0</v>
      </c>
      <c r="V647" s="38"/>
      <c r="W647" s="40"/>
      <c r="X647" s="40"/>
      <c r="Y647" s="40"/>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row>
    <row r="648">
      <c r="A648" s="13" t="s">
        <v>2064</v>
      </c>
      <c r="B648" s="30">
        <v>43096.0</v>
      </c>
      <c r="C648" s="30">
        <v>43090.0</v>
      </c>
      <c r="D648" s="32" t="s">
        <v>2065</v>
      </c>
      <c r="E648" s="13" t="s">
        <v>41</v>
      </c>
      <c r="F648" s="13">
        <v>1.0</v>
      </c>
      <c r="G648" s="13">
        <v>3.0</v>
      </c>
      <c r="H648" s="33">
        <f t="shared" si="95"/>
        <v>3</v>
      </c>
      <c r="I648" s="13" t="s">
        <v>33</v>
      </c>
      <c r="J648" s="13" t="s">
        <v>111</v>
      </c>
      <c r="K648" s="13">
        <v>1.0</v>
      </c>
      <c r="L648" s="13" t="s">
        <v>1579</v>
      </c>
      <c r="M648" s="45" t="s">
        <v>2066</v>
      </c>
      <c r="N648" s="15"/>
      <c r="O648" s="57" t="str">
        <f>hyperlink("https://bad-boys.us/?q=ND-CA/5:17-cr-00628", "ND-CA 5:17-cr-00628")</f>
        <v>ND-CA 5:17-cr-00628</v>
      </c>
      <c r="P648" s="86" t="s">
        <v>2067</v>
      </c>
      <c r="Q648" s="37">
        <v>1.0</v>
      </c>
      <c r="R648" s="16"/>
      <c r="S648" s="37" t="str">
        <f>IFERROR(__xludf.DUMMYFUNCTION("if(not(iserror(index(split(C648, "" ""),2))), index(split(C648, "" ""),1),"""")"),"December")</f>
        <v>December</v>
      </c>
      <c r="T648" s="38">
        <f>IFERROR(__xludf.DUMMYFUNCTION("if(S648="""",C648,if(not(iserror(index(split(C648, "" ""),3))), index(split(C648, "" ""),3),index(split(C648, "" ""),2)))"),2017.0)</f>
        <v>2017</v>
      </c>
      <c r="U648" s="38" t="b">
        <f t="shared" si="94"/>
        <v>0</v>
      </c>
      <c r="V648" s="38"/>
      <c r="W648" s="40"/>
      <c r="X648" s="40"/>
      <c r="Y648" s="40"/>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row>
    <row r="649">
      <c r="A649" s="13" t="s">
        <v>239</v>
      </c>
      <c r="B649" s="30">
        <v>43095.0</v>
      </c>
      <c r="C649" s="30">
        <v>43091.0</v>
      </c>
      <c r="D649" s="32" t="s">
        <v>2068</v>
      </c>
      <c r="E649" s="13" t="s">
        <v>41</v>
      </c>
      <c r="F649" s="13">
        <v>2.0</v>
      </c>
      <c r="G649" s="13">
        <v>3.0</v>
      </c>
      <c r="H649" s="33">
        <f t="shared" si="95"/>
        <v>3</v>
      </c>
      <c r="I649" s="13" t="s">
        <v>33</v>
      </c>
      <c r="J649" s="13" t="s">
        <v>241</v>
      </c>
      <c r="K649" s="13">
        <v>1.0</v>
      </c>
      <c r="L649" s="13" t="s">
        <v>194</v>
      </c>
      <c r="M649" s="45" t="s">
        <v>2069</v>
      </c>
      <c r="N649" s="15"/>
      <c r="O649" s="16"/>
      <c r="P649" s="16"/>
      <c r="Q649" s="16"/>
      <c r="R649" s="16"/>
      <c r="S649" s="37" t="str">
        <f>IFERROR(__xludf.DUMMYFUNCTION("if(not(iserror(index(split(C649, "" ""),2))), index(split(C649, "" ""),1),"""")"),"December")</f>
        <v>December</v>
      </c>
      <c r="T649" s="38">
        <f>IFERROR(__xludf.DUMMYFUNCTION("if(S649="""",C649,if(not(iserror(index(split(C649, "" ""),3))), index(split(C649, "" ""),3),index(split(C649, "" ""),2)))"),2017.0)</f>
        <v>2017</v>
      </c>
      <c r="U649" s="38" t="b">
        <f t="shared" si="94"/>
        <v>1</v>
      </c>
      <c r="V649" s="38"/>
      <c r="W649" s="40"/>
      <c r="X649" s="40"/>
      <c r="Y649" s="40"/>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row>
    <row r="650">
      <c r="A650" s="13" t="s">
        <v>239</v>
      </c>
      <c r="B650" s="30">
        <v>43095.0</v>
      </c>
      <c r="C650" s="30">
        <v>43093.0</v>
      </c>
      <c r="D650" s="32" t="s">
        <v>2068</v>
      </c>
      <c r="E650" s="13" t="s">
        <v>41</v>
      </c>
      <c r="F650" s="13">
        <v>1.0</v>
      </c>
      <c r="G650" s="13">
        <v>3.0</v>
      </c>
      <c r="H650" s="33">
        <f t="shared" si="95"/>
        <v>3</v>
      </c>
      <c r="I650" s="13" t="s">
        <v>33</v>
      </c>
      <c r="J650" s="13" t="s">
        <v>241</v>
      </c>
      <c r="K650" s="13">
        <v>1.0</v>
      </c>
      <c r="L650" s="13" t="s">
        <v>194</v>
      </c>
      <c r="M650" s="45" t="s">
        <v>2070</v>
      </c>
      <c r="N650" s="15"/>
      <c r="O650" s="16"/>
      <c r="P650" s="16"/>
      <c r="Q650" s="16"/>
      <c r="R650" s="16"/>
      <c r="S650" s="37" t="str">
        <f>IFERROR(__xludf.DUMMYFUNCTION("if(not(iserror(index(split(C650, "" ""),2))), index(split(C650, "" ""),1),"""")"),"December")</f>
        <v>December</v>
      </c>
      <c r="T650" s="38">
        <f>IFERROR(__xludf.DUMMYFUNCTION("if(S650="""",C650,if(not(iserror(index(split(C650, "" ""),3))), index(split(C650, "" ""),3),index(split(C650, "" ""),2)))"),2017.0)</f>
        <v>2017</v>
      </c>
      <c r="U650" s="38" t="b">
        <f t="shared" si="94"/>
        <v>1</v>
      </c>
      <c r="V650" s="38"/>
      <c r="W650" s="40"/>
      <c r="X650" s="40"/>
      <c r="Y650" s="40"/>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row>
    <row r="651">
      <c r="A651" s="90" t="s">
        <v>239</v>
      </c>
      <c r="B651" s="30">
        <v>43096.0</v>
      </c>
      <c r="C651" s="30">
        <v>43093.0</v>
      </c>
      <c r="D651" s="32" t="s">
        <v>2068</v>
      </c>
      <c r="E651" s="13" t="s">
        <v>41</v>
      </c>
      <c r="F651" s="13">
        <v>1.0</v>
      </c>
      <c r="G651" s="13">
        <v>2.0</v>
      </c>
      <c r="H651" s="33">
        <f t="shared" si="95"/>
        <v>2</v>
      </c>
      <c r="I651" s="13" t="s">
        <v>33</v>
      </c>
      <c r="J651" s="13" t="s">
        <v>241</v>
      </c>
      <c r="K651" s="13">
        <v>1.0</v>
      </c>
      <c r="L651" s="13" t="s">
        <v>194</v>
      </c>
      <c r="M651" s="45" t="s">
        <v>2071</v>
      </c>
      <c r="N651" s="15"/>
      <c r="O651" s="37"/>
      <c r="P651" s="16"/>
      <c r="Q651" s="64"/>
      <c r="R651" s="16"/>
      <c r="S651" s="37" t="str">
        <f>IFERROR(__xludf.DUMMYFUNCTION("if(not(iserror(index(split(C651, "" ""),2))), index(split(C651, "" ""),1),"""")"),"December")</f>
        <v>December</v>
      </c>
      <c r="T651" s="38">
        <f>IFERROR(__xludf.DUMMYFUNCTION("if(S651="""",C651,if(not(iserror(index(split(C651, "" ""),3))), index(split(C651, "" ""),3),index(split(C651, "" ""),2)))"),2017.0)</f>
        <v>2017</v>
      </c>
      <c r="U651" s="38" t="b">
        <f t="shared" si="94"/>
        <v>1</v>
      </c>
      <c r="V651" s="38"/>
      <c r="W651" s="40"/>
      <c r="X651" s="40"/>
      <c r="Y651" s="40"/>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row>
    <row r="652">
      <c r="A652" s="13" t="s">
        <v>2072</v>
      </c>
      <c r="B652" s="30">
        <v>43172.0</v>
      </c>
      <c r="C652" s="30">
        <v>43093.0</v>
      </c>
      <c r="D652" s="32" t="s">
        <v>2073</v>
      </c>
      <c r="E652" s="13" t="s">
        <v>31</v>
      </c>
      <c r="F652" s="13">
        <v>1.0</v>
      </c>
      <c r="G652" s="13" t="s">
        <v>32</v>
      </c>
      <c r="H652" s="33">
        <f t="shared" si="95"/>
        <v>1</v>
      </c>
      <c r="I652" s="13" t="s">
        <v>33</v>
      </c>
      <c r="J652" s="13" t="s">
        <v>111</v>
      </c>
      <c r="K652" s="13" t="s">
        <v>32</v>
      </c>
      <c r="L652" s="13" t="s">
        <v>349</v>
      </c>
      <c r="M652" s="35" t="s">
        <v>2074</v>
      </c>
      <c r="N652" s="36" t="s">
        <v>2075</v>
      </c>
      <c r="O652" s="86" t="str">
        <f>hyperlink("https://bad-boys.us/?q=CD-CA/2:18-cr-00131", "CD-CA 2:18-cr-00131")</f>
        <v>CD-CA 2:18-cr-00131</v>
      </c>
      <c r="P652" s="86" t="s">
        <v>2076</v>
      </c>
      <c r="Q652" s="37">
        <v>1.0</v>
      </c>
      <c r="R652" s="16"/>
      <c r="S652" s="37" t="str">
        <f>IFERROR(__xludf.DUMMYFUNCTION("if(not(iserror(index(split(C652, "" ""),2))), index(split(C652, "" ""),1),"""")"),"December")</f>
        <v>December</v>
      </c>
      <c r="T652" s="38">
        <f>IFERROR(__xludf.DUMMYFUNCTION("if(S652="""",C652,if(not(iserror(index(split(C652, "" ""),3))), index(split(C652, "" ""),3),index(split(C652, "" ""),2)))"),2017.0)</f>
        <v>2017</v>
      </c>
      <c r="U652" s="38" t="b">
        <f t="shared" si="94"/>
        <v>0</v>
      </c>
      <c r="V652" s="38"/>
      <c r="W652" s="40"/>
      <c r="X652" s="40"/>
      <c r="Y652" s="40"/>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row>
    <row r="653">
      <c r="A653" s="58" t="s">
        <v>2077</v>
      </c>
      <c r="B653" s="59">
        <v>43334.0</v>
      </c>
      <c r="C653" s="59">
        <v>43093.0</v>
      </c>
      <c r="D653" s="60" t="s">
        <v>2068</v>
      </c>
      <c r="E653" s="58" t="s">
        <v>41</v>
      </c>
      <c r="F653" s="58">
        <v>1.0</v>
      </c>
      <c r="G653" s="58" t="s">
        <v>32</v>
      </c>
      <c r="H653" s="33">
        <f t="shared" si="95"/>
        <v>1</v>
      </c>
      <c r="I653" s="58" t="s">
        <v>33</v>
      </c>
      <c r="J653" s="58" t="s">
        <v>47</v>
      </c>
      <c r="K653" s="58">
        <v>1.0</v>
      </c>
      <c r="L653" s="58" t="s">
        <v>119</v>
      </c>
      <c r="M653" s="61" t="s">
        <v>2078</v>
      </c>
      <c r="N653" s="77"/>
      <c r="O653" s="88" t="str">
        <f>hyperlink("https://bad-boys.us/?q=MD-FL/6:18-cr-00012", "MD-FL 6:18-cr-00012")</f>
        <v>MD-FL 6:18-cr-00012</v>
      </c>
      <c r="P653" s="88" t="s">
        <v>2079</v>
      </c>
      <c r="Q653" s="84">
        <v>1.0</v>
      </c>
      <c r="R653" s="62"/>
      <c r="S653" s="37" t="str">
        <f>IFERROR(__xludf.DUMMYFUNCTION("if(not(iserror(index(split(C653, "" ""),2))), index(split(C653, "" ""),1),"""")"),"December")</f>
        <v>December</v>
      </c>
      <c r="T653" s="38">
        <f>IFERROR(__xludf.DUMMYFUNCTION("if(S653="""",C653,if(not(iserror(index(split(C653, "" ""),3))), index(split(C653, "" ""),3),index(split(C653, "" ""),2)))"),2017.0)</f>
        <v>2017</v>
      </c>
      <c r="U653" s="38" t="b">
        <f t="shared" si="94"/>
        <v>0</v>
      </c>
      <c r="V653" s="38"/>
      <c r="W653" s="40"/>
      <c r="X653" s="40"/>
      <c r="Y653" s="40"/>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row>
    <row r="654">
      <c r="A654" s="78" t="s">
        <v>2080</v>
      </c>
      <c r="B654" s="59">
        <v>43278.0</v>
      </c>
      <c r="C654" s="59">
        <v>43094.0</v>
      </c>
      <c r="D654" s="60" t="s">
        <v>2081</v>
      </c>
      <c r="E654" s="58" t="s">
        <v>31</v>
      </c>
      <c r="F654" s="58">
        <v>1.0</v>
      </c>
      <c r="G654" s="58" t="s">
        <v>32</v>
      </c>
      <c r="H654" s="33">
        <f t="shared" si="95"/>
        <v>1</v>
      </c>
      <c r="I654" s="58" t="s">
        <v>33</v>
      </c>
      <c r="J654" s="58" t="s">
        <v>111</v>
      </c>
      <c r="K654" s="58">
        <v>1.0</v>
      </c>
      <c r="L654" s="58" t="s">
        <v>35</v>
      </c>
      <c r="M654" s="61" t="s">
        <v>2082</v>
      </c>
      <c r="N654" s="77"/>
      <c r="O654" s="62"/>
      <c r="P654" s="62"/>
      <c r="Q654" s="62"/>
      <c r="R654" s="62"/>
      <c r="S654" s="37" t="str">
        <f>IFERROR(__xludf.DUMMYFUNCTION("if(not(iserror(index(split(C654, "" ""),2))), index(split(C654, "" ""),1),"""")"),"December")</f>
        <v>December</v>
      </c>
      <c r="T654" s="38">
        <f>IFERROR(__xludf.DUMMYFUNCTION("if(S654="""",C654,if(not(iserror(index(split(C654, "" ""),3))), index(split(C654, "" ""),3),index(split(C654, "" ""),2)))"),2017.0)</f>
        <v>2017</v>
      </c>
      <c r="U654" s="38" t="b">
        <f t="shared" si="94"/>
        <v>0</v>
      </c>
      <c r="V654" s="38"/>
      <c r="W654" s="40"/>
      <c r="X654" s="40"/>
      <c r="Y654" s="40"/>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row>
    <row r="655">
      <c r="A655" s="13" t="s">
        <v>2083</v>
      </c>
      <c r="B655" s="30">
        <v>43096.0</v>
      </c>
      <c r="C655" s="30">
        <v>43096.0</v>
      </c>
      <c r="D655" s="32" t="s">
        <v>2084</v>
      </c>
      <c r="E655" s="13" t="s">
        <v>41</v>
      </c>
      <c r="F655" s="13">
        <v>1.0</v>
      </c>
      <c r="G655" s="13">
        <v>2.0</v>
      </c>
      <c r="H655" s="33">
        <f t="shared" si="95"/>
        <v>2</v>
      </c>
      <c r="I655" s="13" t="s">
        <v>33</v>
      </c>
      <c r="J655" s="13" t="s">
        <v>241</v>
      </c>
      <c r="K655" s="13">
        <v>1.0</v>
      </c>
      <c r="L655" s="13" t="s">
        <v>194</v>
      </c>
      <c r="M655" s="45" t="s">
        <v>2085</v>
      </c>
      <c r="N655" s="45" t="s">
        <v>2086</v>
      </c>
      <c r="O655" s="57" t="str">
        <f>hyperlink("https://bad-boys.us/?q=D-AZ/4:17-mj-06045", "D-AZ 4:17-mj-06045")</f>
        <v>D-AZ 4:17-mj-06045</v>
      </c>
      <c r="P655" s="16"/>
      <c r="Q655" s="37">
        <v>1.0</v>
      </c>
      <c r="R655" s="16"/>
      <c r="S655" s="37" t="str">
        <f>IFERROR(__xludf.DUMMYFUNCTION("if(not(iserror(index(split(C655, "" ""),2))), index(split(C655, "" ""),1),"""")"),"December")</f>
        <v>December</v>
      </c>
      <c r="T655" s="38">
        <f>IFERROR(__xludf.DUMMYFUNCTION("if(S655="""",C655,if(not(iserror(index(split(C655, "" ""),3))), index(split(C655, "" ""),3),index(split(C655, "" ""),2)))"),2017.0)</f>
        <v>2017</v>
      </c>
      <c r="U655" s="38" t="b">
        <f t="shared" si="94"/>
        <v>0</v>
      </c>
      <c r="V655" s="38"/>
      <c r="W655" s="40"/>
      <c r="X655" s="40"/>
      <c r="Y655" s="40"/>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row>
    <row r="656">
      <c r="A656" s="13" t="s">
        <v>2087</v>
      </c>
      <c r="B656" s="30">
        <v>43096.0</v>
      </c>
      <c r="C656" s="30">
        <v>43096.0</v>
      </c>
      <c r="D656" s="32" t="s">
        <v>2084</v>
      </c>
      <c r="E656" s="13" t="s">
        <v>31</v>
      </c>
      <c r="F656" s="13">
        <v>1.0</v>
      </c>
      <c r="G656" s="13" t="s">
        <v>32</v>
      </c>
      <c r="H656" s="33">
        <f t="shared" si="95"/>
        <v>1</v>
      </c>
      <c r="I656" s="13" t="s">
        <v>33</v>
      </c>
      <c r="J656" s="13" t="s">
        <v>203</v>
      </c>
      <c r="K656" s="13">
        <v>1.0</v>
      </c>
      <c r="L656" s="13" t="s">
        <v>99</v>
      </c>
      <c r="M656" s="45" t="s">
        <v>2088</v>
      </c>
      <c r="N656" s="15"/>
      <c r="O656" s="16"/>
      <c r="P656" s="16"/>
      <c r="Q656" s="16"/>
      <c r="R656" s="16"/>
      <c r="S656" s="37" t="str">
        <f>IFERROR(__xludf.DUMMYFUNCTION("if(not(iserror(index(split(C656, "" ""),2))), index(split(C656, "" ""),1),"""")"),"December")</f>
        <v>December</v>
      </c>
      <c r="T656" s="38">
        <f>IFERROR(__xludf.DUMMYFUNCTION("if(S656="""",C656,if(not(iserror(index(split(C656, "" ""),3))), index(split(C656, "" ""),3),index(split(C656, "" ""),2)))"),2017.0)</f>
        <v>2017</v>
      </c>
      <c r="U656" s="38" t="b">
        <f t="shared" si="94"/>
        <v>0</v>
      </c>
      <c r="V656" s="38"/>
      <c r="W656" s="40"/>
      <c r="X656" s="40"/>
      <c r="Y656" s="40"/>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row>
    <row r="657">
      <c r="A657" s="13" t="s">
        <v>239</v>
      </c>
      <c r="B657" s="30">
        <v>43098.0</v>
      </c>
      <c r="C657" s="30">
        <v>43097.0</v>
      </c>
      <c r="D657" s="32" t="s">
        <v>2089</v>
      </c>
      <c r="E657" s="13" t="s">
        <v>41</v>
      </c>
      <c r="F657" s="13">
        <v>2.0</v>
      </c>
      <c r="G657" s="13">
        <v>1.0</v>
      </c>
      <c r="H657" s="33">
        <f t="shared" si="95"/>
        <v>1</v>
      </c>
      <c r="I657" s="13" t="s">
        <v>33</v>
      </c>
      <c r="J657" s="13" t="s">
        <v>147</v>
      </c>
      <c r="K657" s="13">
        <v>1.0</v>
      </c>
      <c r="L657" s="13" t="s">
        <v>2090</v>
      </c>
      <c r="M657" s="45" t="s">
        <v>2091</v>
      </c>
      <c r="N657" s="15"/>
      <c r="O657" s="16"/>
      <c r="P657" s="16"/>
      <c r="Q657" s="16"/>
      <c r="R657" s="16"/>
      <c r="S657" s="37" t="str">
        <f>IFERROR(__xludf.DUMMYFUNCTION("if(not(iserror(index(split(C657, "" ""),2))), index(split(C657, "" ""),1),"""")"),"December")</f>
        <v>December</v>
      </c>
      <c r="T657" s="38">
        <f>IFERROR(__xludf.DUMMYFUNCTION("if(S657="""",C657,if(not(iserror(index(split(C657, "" ""),3))), index(split(C657, "" ""),3),index(split(C657, "" ""),2)))"),2017.0)</f>
        <v>2017</v>
      </c>
      <c r="U657" s="38" t="b">
        <f t="shared" si="94"/>
        <v>1</v>
      </c>
      <c r="V657" s="38"/>
      <c r="W657" s="40"/>
      <c r="X657" s="40"/>
      <c r="Y657" s="40"/>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row>
    <row r="658">
      <c r="A658" s="37" t="s">
        <v>239</v>
      </c>
      <c r="B658" s="30">
        <v>43102.0</v>
      </c>
      <c r="C658" s="30">
        <v>43098.0</v>
      </c>
      <c r="D658" s="32" t="s">
        <v>2092</v>
      </c>
      <c r="E658" s="13" t="s">
        <v>41</v>
      </c>
      <c r="F658" s="13">
        <v>1.0</v>
      </c>
      <c r="G658" s="13">
        <v>3.0</v>
      </c>
      <c r="H658" s="33">
        <f t="shared" si="95"/>
        <v>3</v>
      </c>
      <c r="I658" s="13" t="s">
        <v>33</v>
      </c>
      <c r="J658" s="13" t="s">
        <v>241</v>
      </c>
      <c r="K658" s="13">
        <v>1.0</v>
      </c>
      <c r="L658" s="13" t="s">
        <v>194</v>
      </c>
      <c r="M658" s="45" t="s">
        <v>2093</v>
      </c>
      <c r="N658" s="15"/>
      <c r="O658" s="37"/>
      <c r="P658" s="37"/>
      <c r="Q658" s="64"/>
      <c r="R658" s="16"/>
      <c r="S658" s="37" t="str">
        <f>IFERROR(__xludf.DUMMYFUNCTION("if(not(iserror(index(split(C658, "" ""),2))), index(split(C658, "" ""),1),"""")"),"December")</f>
        <v>December</v>
      </c>
      <c r="T658" s="38">
        <f>IFERROR(__xludf.DUMMYFUNCTION("if(S658="""",C658,if(not(iserror(index(split(C658, "" ""),3))), index(split(C658, "" ""),3),index(split(C658, "" ""),2)))"),2017.0)</f>
        <v>2017</v>
      </c>
      <c r="U658" s="38" t="b">
        <f t="shared" si="94"/>
        <v>1</v>
      </c>
      <c r="V658" s="38"/>
      <c r="W658" s="40"/>
      <c r="X658" s="40"/>
      <c r="Y658" s="40"/>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row>
    <row r="659">
      <c r="A659" s="78" t="s">
        <v>2094</v>
      </c>
      <c r="B659" s="59">
        <v>43287.0</v>
      </c>
      <c r="C659" s="59">
        <v>43098.0</v>
      </c>
      <c r="D659" s="60" t="s">
        <v>2092</v>
      </c>
      <c r="E659" s="58" t="s">
        <v>41</v>
      </c>
      <c r="F659" s="58">
        <v>1.0</v>
      </c>
      <c r="G659" s="58" t="s">
        <v>32</v>
      </c>
      <c r="H659" s="33">
        <f t="shared" si="95"/>
        <v>1</v>
      </c>
      <c r="I659" s="58" t="s">
        <v>33</v>
      </c>
      <c r="J659" s="58" t="s">
        <v>179</v>
      </c>
      <c r="K659" s="58" t="s">
        <v>32</v>
      </c>
      <c r="L659" s="58" t="s">
        <v>2095</v>
      </c>
      <c r="M659" s="61" t="s">
        <v>2096</v>
      </c>
      <c r="N659" s="61" t="s">
        <v>2097</v>
      </c>
      <c r="O659" s="88" t="str">
        <f>hyperlink("https://bad-boys.us/?q=ED-VA/1:18-cr-00019", "ED-VA 1:18-cr-00019")</f>
        <v>ED-VA 1:18-cr-00019</v>
      </c>
      <c r="P659" s="88" t="s">
        <v>2098</v>
      </c>
      <c r="Q659" s="58">
        <v>1.0</v>
      </c>
      <c r="R659" s="62"/>
      <c r="S659" s="37" t="str">
        <f>IFERROR(__xludf.DUMMYFUNCTION("if(not(iserror(index(split(C659, "" ""),2))), index(split(C659, "" ""),1),"""")"),"December")</f>
        <v>December</v>
      </c>
      <c r="T659" s="38">
        <f>IFERROR(__xludf.DUMMYFUNCTION("if(S659="""",C659,if(not(iserror(index(split(C659, "" ""),3))), index(split(C659, "" ""),3),index(split(C659, "" ""),2)))"),2017.0)</f>
        <v>2017</v>
      </c>
      <c r="U659" s="38" t="b">
        <f t="shared" si="94"/>
        <v>0</v>
      </c>
      <c r="V659" s="38"/>
      <c r="W659" s="40"/>
      <c r="X659" s="40"/>
      <c r="Y659" s="40"/>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row>
    <row r="660">
      <c r="A660" s="58" t="s">
        <v>2099</v>
      </c>
      <c r="B660" s="59">
        <v>43312.0</v>
      </c>
      <c r="C660" s="59">
        <v>43098.0</v>
      </c>
      <c r="D660" s="60" t="s">
        <v>2092</v>
      </c>
      <c r="E660" s="58" t="s">
        <v>41</v>
      </c>
      <c r="F660" s="58">
        <v>1.0</v>
      </c>
      <c r="G660" s="58" t="s">
        <v>32</v>
      </c>
      <c r="H660" s="33">
        <f t="shared" si="95"/>
        <v>1</v>
      </c>
      <c r="I660" s="58" t="s">
        <v>33</v>
      </c>
      <c r="J660" s="58" t="s">
        <v>162</v>
      </c>
      <c r="K660" s="58">
        <v>2.0</v>
      </c>
      <c r="L660" s="58" t="s">
        <v>76</v>
      </c>
      <c r="M660" s="61" t="s">
        <v>2100</v>
      </c>
      <c r="N660" s="77"/>
      <c r="O660" s="83" t="str">
        <f>hyperlink("https://bad-boys.us/?q=WD-MO/6:18-cr-03009", "WD-MO 6:18-cr-03009")</f>
        <v>WD-MO 6:18-cr-03009</v>
      </c>
      <c r="P660" s="88" t="s">
        <v>2101</v>
      </c>
      <c r="Q660" s="84">
        <v>1.0</v>
      </c>
      <c r="R660" s="62"/>
      <c r="S660" s="37" t="str">
        <f>IFERROR(__xludf.DUMMYFUNCTION("if(not(iserror(index(split(C660, "" ""),2))), index(split(C660, "" ""),1),"""")"),"December")</f>
        <v>December</v>
      </c>
      <c r="T660" s="38">
        <f>IFERROR(__xludf.DUMMYFUNCTION("if(S660="""",C660,if(not(iserror(index(split(C660, "" ""),3))), index(split(C660, "" ""),3),index(split(C660, "" ""),2)))"),2017.0)</f>
        <v>2017</v>
      </c>
      <c r="U660" s="38" t="b">
        <f t="shared" si="94"/>
        <v>0</v>
      </c>
      <c r="V660" s="38"/>
      <c r="W660" s="40"/>
      <c r="X660" s="40"/>
      <c r="Y660" s="40"/>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row>
    <row r="661">
      <c r="A661" s="58" t="s">
        <v>2102</v>
      </c>
      <c r="B661" s="59">
        <v>43425.0</v>
      </c>
      <c r="C661" s="59">
        <v>43098.0</v>
      </c>
      <c r="D661" s="60" t="s">
        <v>2092</v>
      </c>
      <c r="E661" s="58" t="s">
        <v>41</v>
      </c>
      <c r="F661" s="58">
        <v>1.0</v>
      </c>
      <c r="G661" s="58" t="s">
        <v>32</v>
      </c>
      <c r="H661" s="33">
        <f t="shared" si="95"/>
        <v>1</v>
      </c>
      <c r="I661" s="58" t="s">
        <v>33</v>
      </c>
      <c r="J661" s="58" t="s">
        <v>98</v>
      </c>
      <c r="K661" s="58">
        <v>2.0</v>
      </c>
      <c r="L661" s="58" t="s">
        <v>99</v>
      </c>
      <c r="M661" s="61" t="s">
        <v>2103</v>
      </c>
      <c r="N661" s="61" t="s">
        <v>2104</v>
      </c>
      <c r="O661" s="88" t="str">
        <f>hyperlink("https://bad-boys.us/?q=MD-GA/7:18-cr-00058", "MD-GA 7:18-cr-00058")</f>
        <v>MD-GA 7:18-cr-00058</v>
      </c>
      <c r="P661" s="88" t="s">
        <v>2105</v>
      </c>
      <c r="Q661" s="58">
        <v>1.0</v>
      </c>
      <c r="R661" s="62"/>
      <c r="S661" s="37" t="str">
        <f>IFERROR(__xludf.DUMMYFUNCTION("if(not(iserror(index(split(C661, "" ""),2))), index(split(C661, "" ""),1),"""")"),"December")</f>
        <v>December</v>
      </c>
      <c r="T661" s="38">
        <f>IFERROR(__xludf.DUMMYFUNCTION("if(S661="""",C661,if(not(iserror(index(split(C661, "" ""),3))), index(split(C661, "" ""),3),index(split(C661, "" ""),2)))"),2017.0)</f>
        <v>2017</v>
      </c>
      <c r="U661" s="38" t="b">
        <f t="shared" si="94"/>
        <v>0</v>
      </c>
      <c r="V661" s="38"/>
      <c r="W661" s="40"/>
      <c r="X661" s="40"/>
      <c r="Y661" s="40"/>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row>
    <row r="662">
      <c r="A662" s="37" t="s">
        <v>2106</v>
      </c>
      <c r="B662" s="30">
        <v>43103.0</v>
      </c>
      <c r="C662" s="30">
        <v>43099.0</v>
      </c>
      <c r="D662" s="32" t="s">
        <v>2107</v>
      </c>
      <c r="E662" s="13" t="s">
        <v>41</v>
      </c>
      <c r="F662" s="13">
        <v>1.0</v>
      </c>
      <c r="G662" s="13">
        <v>2.0</v>
      </c>
      <c r="H662" s="33">
        <f t="shared" si="95"/>
        <v>2</v>
      </c>
      <c r="I662" s="13" t="s">
        <v>33</v>
      </c>
      <c r="J662" s="13" t="s">
        <v>93</v>
      </c>
      <c r="K662" s="13">
        <v>1.0</v>
      </c>
      <c r="L662" s="13" t="s">
        <v>194</v>
      </c>
      <c r="M662" s="45" t="s">
        <v>2108</v>
      </c>
      <c r="N662" s="15"/>
      <c r="O662" s="86" t="str">
        <f>hyperlink("https://bad-boys.us/?q=ND-NY/8:18-cr-00315", "ND-NY 8:18-cr-00315")</f>
        <v>ND-NY 8:18-cr-00315</v>
      </c>
      <c r="P662" s="86" t="s">
        <v>2109</v>
      </c>
      <c r="Q662" s="64">
        <v>1.0</v>
      </c>
      <c r="R662" s="16"/>
      <c r="S662" s="37" t="str">
        <f>IFERROR(__xludf.DUMMYFUNCTION("if(not(iserror(index(split(C662, "" ""),2))), index(split(C662, "" ""),1),"""")"),"December")</f>
        <v>December</v>
      </c>
      <c r="T662" s="38">
        <f>IFERROR(__xludf.DUMMYFUNCTION("if(S662="""",C662,if(not(iserror(index(split(C662, "" ""),3))), index(split(C662, "" ""),3),index(split(C662, "" ""),2)))"),2017.0)</f>
        <v>2017</v>
      </c>
      <c r="U662" s="38" t="b">
        <f t="shared" si="94"/>
        <v>0</v>
      </c>
      <c r="V662" s="38"/>
      <c r="W662" s="40"/>
      <c r="X662" s="40"/>
      <c r="Y662" s="40"/>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row>
    <row r="663">
      <c r="A663" s="37" t="s">
        <v>239</v>
      </c>
      <c r="B663" s="30">
        <v>43102.0</v>
      </c>
      <c r="C663" s="30">
        <v>43100.0</v>
      </c>
      <c r="D663" s="32" t="s">
        <v>2110</v>
      </c>
      <c r="E663" s="13" t="s">
        <v>41</v>
      </c>
      <c r="F663" s="13">
        <v>1.0</v>
      </c>
      <c r="G663" s="13">
        <v>2.0</v>
      </c>
      <c r="H663" s="33">
        <f t="shared" si="95"/>
        <v>2</v>
      </c>
      <c r="I663" s="13" t="s">
        <v>33</v>
      </c>
      <c r="J663" s="13" t="s">
        <v>241</v>
      </c>
      <c r="K663" s="13">
        <v>1.0</v>
      </c>
      <c r="L663" s="13" t="s">
        <v>194</v>
      </c>
      <c r="M663" s="45" t="s">
        <v>2111</v>
      </c>
      <c r="N663" s="15"/>
      <c r="O663" s="37"/>
      <c r="P663" s="37"/>
      <c r="Q663" s="64"/>
      <c r="R663" s="16"/>
      <c r="S663" s="37" t="str">
        <f>IFERROR(__xludf.DUMMYFUNCTION("if(not(iserror(index(split(C663, "" ""),2))), index(split(C663, "" ""),1),"""")"),"December")</f>
        <v>December</v>
      </c>
      <c r="T663" s="38">
        <f>IFERROR(__xludf.DUMMYFUNCTION("if(S663="""",C663,if(not(iserror(index(split(C663, "" ""),3))), index(split(C663, "" ""),3),index(split(C663, "" ""),2)))"),2017.0)</f>
        <v>2017</v>
      </c>
      <c r="U663" s="38" t="b">
        <f t="shared" si="94"/>
        <v>1</v>
      </c>
      <c r="V663" s="38"/>
      <c r="W663" s="40"/>
      <c r="X663" s="40"/>
      <c r="Y663" s="40"/>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row>
    <row r="664">
      <c r="A664" s="178" t="s">
        <v>2112</v>
      </c>
      <c r="B664" s="30">
        <v>43108.0</v>
      </c>
      <c r="C664" s="31">
        <v>43101.0</v>
      </c>
      <c r="D664" s="32" t="s">
        <v>1879</v>
      </c>
      <c r="E664" s="13" t="s">
        <v>41</v>
      </c>
      <c r="F664" s="13">
        <v>1.0</v>
      </c>
      <c r="G664" s="13" t="s">
        <v>32</v>
      </c>
      <c r="H664" s="33">
        <f t="shared" si="95"/>
        <v>1</v>
      </c>
      <c r="I664" s="13" t="s">
        <v>33</v>
      </c>
      <c r="J664" s="13" t="s">
        <v>47</v>
      </c>
      <c r="K664" s="13">
        <v>3.0</v>
      </c>
      <c r="L664" s="13" t="s">
        <v>119</v>
      </c>
      <c r="M664" s="45" t="s">
        <v>2113</v>
      </c>
      <c r="N664" s="15"/>
      <c r="O664" s="86" t="str">
        <f>hyperlink("https://bad-boys.us/?q=ND-FL/4:17-cr-00072", "ND-FL 4:17-cr-00072")</f>
        <v>ND-FL 4:17-cr-00072</v>
      </c>
      <c r="P664" s="37"/>
      <c r="Q664" s="64">
        <v>1.0</v>
      </c>
      <c r="R664" s="16"/>
      <c r="S664" s="37" t="str">
        <f>IFERROR(__xludf.DUMMYFUNCTION("if(not(iserror(index(split(C664, "" ""),2))), index(split(C664, "" ""),1),"""")"),"January,")</f>
        <v>January,</v>
      </c>
      <c r="T664" s="38">
        <f>IFERROR(__xludf.DUMMYFUNCTION("if(S664="""",C664,if(not(iserror(index(split(C664, "" ""),3))), index(split(C664, "" ""),3),index(split(C664, "" ""),2)))"),2018.0)</f>
        <v>2018</v>
      </c>
      <c r="U664" s="38" t="b">
        <f t="shared" si="94"/>
        <v>0</v>
      </c>
      <c r="V664" s="38"/>
      <c r="W664" s="40"/>
      <c r="X664" s="40"/>
      <c r="Y664" s="40"/>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row>
    <row r="665">
      <c r="A665" s="78" t="s">
        <v>2114</v>
      </c>
      <c r="B665" s="30">
        <v>43124.0</v>
      </c>
      <c r="C665" s="31">
        <v>43101.0</v>
      </c>
      <c r="D665" s="32" t="s">
        <v>1879</v>
      </c>
      <c r="E665" s="13" t="s">
        <v>31</v>
      </c>
      <c r="F665" s="13">
        <v>2.0</v>
      </c>
      <c r="G665" s="13" t="s">
        <v>32</v>
      </c>
      <c r="H665" s="33">
        <f t="shared" si="95"/>
        <v>1</v>
      </c>
      <c r="I665" s="13" t="s">
        <v>33</v>
      </c>
      <c r="J665" s="13" t="s">
        <v>47</v>
      </c>
      <c r="K665" s="13" t="s">
        <v>32</v>
      </c>
      <c r="L665" s="13" t="s">
        <v>2115</v>
      </c>
      <c r="M665" s="35" t="s">
        <v>2116</v>
      </c>
      <c r="N665" s="15"/>
      <c r="O665" s="16"/>
      <c r="P665" s="16"/>
      <c r="Q665" s="16"/>
      <c r="R665" s="16"/>
      <c r="S665" s="37" t="str">
        <f>IFERROR(__xludf.DUMMYFUNCTION("if(not(iserror(index(split(C665, "" ""),2))), index(split(C665, "" ""),1),"""")"),"January,")</f>
        <v>January,</v>
      </c>
      <c r="T665" s="38">
        <f>IFERROR(__xludf.DUMMYFUNCTION("if(S665="""",C665,if(not(iserror(index(split(C665, "" ""),3))), index(split(C665, "" ""),3),index(split(C665, "" ""),2)))"),2018.0)</f>
        <v>2018</v>
      </c>
      <c r="U665" s="38" t="b">
        <f t="shared" si="94"/>
        <v>0</v>
      </c>
      <c r="V665" s="38"/>
      <c r="W665" s="40"/>
      <c r="X665" s="40"/>
      <c r="Y665" s="40"/>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row>
    <row r="666">
      <c r="A666" s="13" t="s">
        <v>2117</v>
      </c>
      <c r="B666" s="30">
        <v>43125.0</v>
      </c>
      <c r="C666" s="31">
        <v>43101.0</v>
      </c>
      <c r="D666" s="32" t="s">
        <v>1879</v>
      </c>
      <c r="E666" s="13" t="s">
        <v>41</v>
      </c>
      <c r="F666" s="13">
        <v>1.0</v>
      </c>
      <c r="G666" s="13" t="s">
        <v>32</v>
      </c>
      <c r="H666" s="33">
        <f t="shared" si="95"/>
        <v>1</v>
      </c>
      <c r="I666" s="13" t="s">
        <v>33</v>
      </c>
      <c r="J666" s="13" t="s">
        <v>433</v>
      </c>
      <c r="K666" s="13" t="s">
        <v>32</v>
      </c>
      <c r="L666" s="13" t="s">
        <v>52</v>
      </c>
      <c r="M666" s="35" t="s">
        <v>2118</v>
      </c>
      <c r="N666" s="15"/>
      <c r="O666" s="37"/>
      <c r="P666" s="16"/>
      <c r="Q666" s="64"/>
      <c r="R666" s="16"/>
      <c r="S666" s="37" t="str">
        <f>IFERROR(__xludf.DUMMYFUNCTION("if(not(iserror(index(split(C666, "" ""),2))), index(split(C666, "" ""),1),"""")"),"January,")</f>
        <v>January,</v>
      </c>
      <c r="T666" s="38">
        <f>IFERROR(__xludf.DUMMYFUNCTION("if(S666="""",C666,if(not(iserror(index(split(C666, "" ""),3))), index(split(C666, "" ""),3),index(split(C666, "" ""),2)))"),2018.0)</f>
        <v>2018</v>
      </c>
      <c r="U666" s="38" t="b">
        <f t="shared" si="94"/>
        <v>0</v>
      </c>
      <c r="V666" s="38"/>
      <c r="W666" s="40"/>
      <c r="X666" s="40"/>
      <c r="Y666" s="40"/>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row>
    <row r="667">
      <c r="A667" s="13" t="s">
        <v>2119</v>
      </c>
      <c r="B667" s="30">
        <v>43126.0</v>
      </c>
      <c r="C667" s="31">
        <v>43101.0</v>
      </c>
      <c r="D667" s="32" t="s">
        <v>1879</v>
      </c>
      <c r="E667" s="13" t="s">
        <v>41</v>
      </c>
      <c r="F667" s="13">
        <v>1.0</v>
      </c>
      <c r="G667" s="13" t="s">
        <v>32</v>
      </c>
      <c r="H667" s="50">
        <v>1.0</v>
      </c>
      <c r="I667" s="13" t="s">
        <v>33</v>
      </c>
      <c r="J667" s="13" t="s">
        <v>402</v>
      </c>
      <c r="K667" s="13" t="s">
        <v>32</v>
      </c>
      <c r="L667" s="13" t="s">
        <v>393</v>
      </c>
      <c r="M667" s="36" t="s">
        <v>2120</v>
      </c>
      <c r="N667" s="36" t="s">
        <v>2121</v>
      </c>
      <c r="O667" s="57" t="str">
        <f>hyperlink("https://bad-boys.us/?q=SD-IN/1:18-mj-00071", "SD-IN 1:18-mj-00071")</f>
        <v>SD-IN 1:18-mj-00071</v>
      </c>
      <c r="P667" s="16"/>
      <c r="Q667" s="37">
        <v>1.0</v>
      </c>
      <c r="R667" s="16"/>
      <c r="S667" s="37" t="str">
        <f>IFERROR(__xludf.DUMMYFUNCTION("if(not(iserror(index(split(C667, "" ""),2))), index(split(C667, "" ""),1),"""")"),"January,")</f>
        <v>January,</v>
      </c>
      <c r="T667" s="38">
        <f>IFERROR(__xludf.DUMMYFUNCTION("if(S667="""",C667,if(not(iserror(index(split(C667, "" ""),3))), index(split(C667, "" ""),3),index(split(C667, "" ""),2)))"),2018.0)</f>
        <v>2018</v>
      </c>
      <c r="U667" s="38" t="b">
        <f t="shared" si="94"/>
        <v>0</v>
      </c>
      <c r="V667" s="38"/>
      <c r="W667" s="40"/>
      <c r="X667" s="40"/>
      <c r="Y667" s="40"/>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row>
    <row r="668">
      <c r="A668" s="13" t="s">
        <v>40</v>
      </c>
      <c r="B668" s="30">
        <v>43130.0</v>
      </c>
      <c r="C668" s="31">
        <v>43101.0</v>
      </c>
      <c r="D668" s="32" t="s">
        <v>2122</v>
      </c>
      <c r="E668" s="13" t="s">
        <v>41</v>
      </c>
      <c r="F668" s="13">
        <v>510.0</v>
      </c>
      <c r="G668" s="13">
        <v>56.0</v>
      </c>
      <c r="H668" s="33">
        <f t="shared" ref="H668:H673" si="96">if(G668="Unknown",1,G668)</f>
        <v>56</v>
      </c>
      <c r="I668" s="13" t="s">
        <v>33</v>
      </c>
      <c r="J668" s="13" t="s">
        <v>111</v>
      </c>
      <c r="K668" s="13" t="s">
        <v>32</v>
      </c>
      <c r="L668" s="13" t="s">
        <v>112</v>
      </c>
      <c r="M668" s="35" t="s">
        <v>2123</v>
      </c>
      <c r="N668" s="15"/>
      <c r="O668" s="16"/>
      <c r="P668" s="16"/>
      <c r="Q668" s="16"/>
      <c r="R668" s="16"/>
      <c r="S668" s="37" t="str">
        <f>IFERROR(__xludf.DUMMYFUNCTION("if(not(iserror(index(split(C668, "" ""),2))), index(split(C668, "" ""),1),"""")"),"January,")</f>
        <v>January,</v>
      </c>
      <c r="T668" s="38">
        <f>IFERROR(__xludf.DUMMYFUNCTION("if(S668="""",C668,if(not(iserror(index(split(C668, "" ""),3))), index(split(C668, "" ""),3),index(split(C668, "" ""),2)))"),2018.0)</f>
        <v>2018</v>
      </c>
      <c r="U668" s="38" t="b">
        <f t="shared" si="94"/>
        <v>1</v>
      </c>
      <c r="V668" s="38"/>
      <c r="W668" s="40"/>
      <c r="X668" s="40"/>
      <c r="Y668" s="40"/>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row>
    <row r="669">
      <c r="A669" s="13" t="s">
        <v>2124</v>
      </c>
      <c r="B669" s="30">
        <v>43130.0</v>
      </c>
      <c r="C669" s="31">
        <v>43101.0</v>
      </c>
      <c r="D669" s="32" t="s">
        <v>1879</v>
      </c>
      <c r="E669" s="13" t="s">
        <v>41</v>
      </c>
      <c r="F669" s="13">
        <v>1.0</v>
      </c>
      <c r="G669" s="13" t="s">
        <v>32</v>
      </c>
      <c r="H669" s="33">
        <f t="shared" si="96"/>
        <v>1</v>
      </c>
      <c r="I669" s="13" t="s">
        <v>33</v>
      </c>
      <c r="J669" s="13" t="s">
        <v>147</v>
      </c>
      <c r="K669" s="13">
        <v>1.0</v>
      </c>
      <c r="L669" s="13" t="s">
        <v>2125</v>
      </c>
      <c r="M669" s="61" t="s">
        <v>2126</v>
      </c>
      <c r="N669" s="15"/>
      <c r="O669" s="16"/>
      <c r="P669" s="16"/>
      <c r="Q669" s="16"/>
      <c r="R669" s="16"/>
      <c r="S669" s="37" t="str">
        <f>IFERROR(__xludf.DUMMYFUNCTION("if(not(iserror(index(split(C669, "" ""),2))), index(split(C669, "" ""),1),"""")"),"January,")</f>
        <v>January,</v>
      </c>
      <c r="T669" s="38">
        <f>IFERROR(__xludf.DUMMYFUNCTION("if(S669="""",C669,if(not(iserror(index(split(C669, "" ""),3))), index(split(C669, "" ""),3),index(split(C669, "" ""),2)))"),2018.0)</f>
        <v>2018</v>
      </c>
      <c r="U669" s="38" t="b">
        <f t="shared" si="94"/>
        <v>0</v>
      </c>
      <c r="V669" s="38"/>
      <c r="W669" s="40"/>
      <c r="X669" s="40"/>
      <c r="Y669" s="40"/>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row>
    <row r="670">
      <c r="A670" s="58" t="s">
        <v>2127</v>
      </c>
      <c r="B670" s="59">
        <v>43244.0</v>
      </c>
      <c r="C670" s="79">
        <v>43101.0</v>
      </c>
      <c r="D670" s="60" t="s">
        <v>1879</v>
      </c>
      <c r="E670" s="58" t="s">
        <v>41</v>
      </c>
      <c r="F670" s="58">
        <v>1.0</v>
      </c>
      <c r="G670" s="58" t="s">
        <v>32</v>
      </c>
      <c r="H670" s="33">
        <f t="shared" si="96"/>
        <v>1</v>
      </c>
      <c r="I670" s="58" t="s">
        <v>33</v>
      </c>
      <c r="J670" s="58" t="s">
        <v>433</v>
      </c>
      <c r="K670" s="58">
        <v>1.0</v>
      </c>
      <c r="L670" s="34" t="s">
        <v>349</v>
      </c>
      <c r="M670" s="61" t="s">
        <v>2128</v>
      </c>
      <c r="N670" s="77"/>
      <c r="O670" s="62"/>
      <c r="P670" s="62"/>
      <c r="Q670" s="62"/>
      <c r="R670" s="62"/>
      <c r="S670" s="37" t="str">
        <f>IFERROR(__xludf.DUMMYFUNCTION("if(not(iserror(index(split(C670, "" ""),2))), index(split(C670, "" ""),1),"""")"),"January,")</f>
        <v>January,</v>
      </c>
      <c r="T670" s="38">
        <f>IFERROR(__xludf.DUMMYFUNCTION("if(S670="""",C670,if(not(iserror(index(split(C670, "" ""),3))), index(split(C670, "" ""),3),index(split(C670, "" ""),2)))"),2018.0)</f>
        <v>2018</v>
      </c>
      <c r="U670" s="38" t="b">
        <f t="shared" si="94"/>
        <v>0</v>
      </c>
      <c r="V670" s="38"/>
      <c r="W670" s="40"/>
      <c r="X670" s="40"/>
      <c r="Y670" s="40"/>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row>
    <row r="671">
      <c r="A671" s="37" t="s">
        <v>2129</v>
      </c>
      <c r="B671" s="59">
        <v>43255.0</v>
      </c>
      <c r="C671" s="79">
        <v>43101.0</v>
      </c>
      <c r="D671" s="60" t="s">
        <v>1879</v>
      </c>
      <c r="E671" s="58" t="s">
        <v>31</v>
      </c>
      <c r="F671" s="58">
        <v>1.0</v>
      </c>
      <c r="G671" s="58" t="s">
        <v>32</v>
      </c>
      <c r="H671" s="33">
        <f t="shared" si="96"/>
        <v>1</v>
      </c>
      <c r="I671" s="58" t="s">
        <v>33</v>
      </c>
      <c r="J671" s="58" t="s">
        <v>106</v>
      </c>
      <c r="K671" s="58" t="s">
        <v>32</v>
      </c>
      <c r="L671" s="58" t="s">
        <v>816</v>
      </c>
      <c r="M671" s="61" t="s">
        <v>2130</v>
      </c>
      <c r="N671" s="77"/>
      <c r="O671" s="62"/>
      <c r="P671" s="62"/>
      <c r="Q671" s="62"/>
      <c r="R671" s="62"/>
      <c r="S671" s="37" t="str">
        <f>IFERROR(__xludf.DUMMYFUNCTION("if(not(iserror(index(split(C671, "" ""),2))), index(split(C671, "" ""),1),"""")"),"January,")</f>
        <v>January,</v>
      </c>
      <c r="T671" s="38">
        <f>IFERROR(__xludf.DUMMYFUNCTION("if(S671="""",C671,if(not(iserror(index(split(C671, "" ""),3))), index(split(C671, "" ""),3),index(split(C671, "" ""),2)))"),2018.0)</f>
        <v>2018</v>
      </c>
      <c r="U671" s="38" t="b">
        <f t="shared" si="94"/>
        <v>0</v>
      </c>
      <c r="V671" s="38"/>
      <c r="W671" s="40"/>
      <c r="X671" s="40"/>
      <c r="Y671" s="40"/>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row>
    <row r="672">
      <c r="A672" s="78" t="s">
        <v>660</v>
      </c>
      <c r="B672" s="59">
        <v>43286.0</v>
      </c>
      <c r="C672" s="79">
        <v>43101.0</v>
      </c>
      <c r="D672" s="60" t="s">
        <v>2131</v>
      </c>
      <c r="E672" s="58" t="s">
        <v>31</v>
      </c>
      <c r="F672" s="58">
        <v>5.0</v>
      </c>
      <c r="G672" s="58" t="s">
        <v>32</v>
      </c>
      <c r="H672" s="33">
        <f t="shared" si="96"/>
        <v>1</v>
      </c>
      <c r="I672" s="58" t="s">
        <v>33</v>
      </c>
      <c r="J672" s="58" t="s">
        <v>85</v>
      </c>
      <c r="K672" s="58" t="s">
        <v>32</v>
      </c>
      <c r="L672" s="58" t="s">
        <v>35</v>
      </c>
      <c r="M672" s="46" t="s">
        <v>2132</v>
      </c>
      <c r="N672" s="77"/>
      <c r="O672" s="62"/>
      <c r="P672" s="62"/>
      <c r="Q672" s="62"/>
      <c r="R672" s="62"/>
      <c r="S672" s="37" t="str">
        <f>IFERROR(__xludf.DUMMYFUNCTION("if(not(iserror(index(split(C672, "" ""),2))), index(split(C672, "" ""),1),"""")"),"January,")</f>
        <v>January,</v>
      </c>
      <c r="T672" s="38">
        <f>IFERROR(__xludf.DUMMYFUNCTION("if(S672="""",C672,if(not(iserror(index(split(C672, "" ""),3))), index(split(C672, "" ""),3),index(split(C672, "" ""),2)))"),2018.0)</f>
        <v>2018</v>
      </c>
      <c r="U672" s="38" t="b">
        <f t="shared" si="94"/>
        <v>1</v>
      </c>
      <c r="V672" s="38"/>
      <c r="W672" s="40"/>
      <c r="X672" s="40"/>
      <c r="Y672" s="40"/>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row>
    <row r="673">
      <c r="A673" s="58" t="s">
        <v>660</v>
      </c>
      <c r="B673" s="59">
        <v>43318.0</v>
      </c>
      <c r="C673" s="79">
        <v>43101.0</v>
      </c>
      <c r="D673" s="60" t="s">
        <v>637</v>
      </c>
      <c r="E673" s="58" t="s">
        <v>31</v>
      </c>
      <c r="F673" s="58">
        <v>10.0</v>
      </c>
      <c r="G673" s="58" t="s">
        <v>32</v>
      </c>
      <c r="H673" s="33">
        <f t="shared" si="96"/>
        <v>1</v>
      </c>
      <c r="I673" s="58" t="s">
        <v>33</v>
      </c>
      <c r="J673" s="58" t="s">
        <v>47</v>
      </c>
      <c r="K673" s="58">
        <v>5.0</v>
      </c>
      <c r="L673" s="58" t="s">
        <v>790</v>
      </c>
      <c r="M673" s="61" t="s">
        <v>2133</v>
      </c>
      <c r="N673" s="77"/>
      <c r="O673" s="58"/>
      <c r="P673" s="58"/>
      <c r="Q673" s="84"/>
      <c r="R673" s="62"/>
      <c r="S673" s="37" t="str">
        <f>IFERROR(__xludf.DUMMYFUNCTION("if(not(iserror(index(split(C673, "" ""),2))), index(split(C673, "" ""),1),"""")"),"January,")</f>
        <v>January,</v>
      </c>
      <c r="T673" s="38">
        <f>IFERROR(__xludf.DUMMYFUNCTION("if(S673="""",C673,if(not(iserror(index(split(C673, "" ""),3))), index(split(C673, "" ""),3),index(split(C673, "" ""),2)))"),2018.0)</f>
        <v>2018</v>
      </c>
      <c r="U673" s="38" t="b">
        <f t="shared" si="94"/>
        <v>1</v>
      </c>
      <c r="V673" s="38"/>
      <c r="W673" s="40"/>
      <c r="X673" s="40"/>
      <c r="Y673" s="40"/>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row>
    <row r="674">
      <c r="A674" s="58" t="s">
        <v>2134</v>
      </c>
      <c r="B674" s="59"/>
      <c r="C674" s="79">
        <v>43101.0</v>
      </c>
      <c r="D674" s="60"/>
      <c r="E674" s="58" t="s">
        <v>41</v>
      </c>
      <c r="F674" s="58">
        <v>1.0</v>
      </c>
      <c r="G674" s="58" t="s">
        <v>32</v>
      </c>
      <c r="H674" s="43">
        <v>1.0</v>
      </c>
      <c r="I674" s="58" t="s">
        <v>33</v>
      </c>
      <c r="J674" s="58" t="s">
        <v>34</v>
      </c>
      <c r="K674" s="58"/>
      <c r="L674" s="58" t="s">
        <v>69</v>
      </c>
      <c r="M674" s="80" t="s">
        <v>2135</v>
      </c>
      <c r="N674" s="77"/>
      <c r="O674" s="58"/>
      <c r="P674" s="58"/>
      <c r="Q674" s="84"/>
      <c r="R674" s="62"/>
      <c r="S674" s="37"/>
      <c r="T674" s="38"/>
      <c r="U674" s="38"/>
      <c r="V674" s="38" t="s">
        <v>33</v>
      </c>
      <c r="W674" s="40"/>
      <c r="X674" s="40"/>
      <c r="Y674" s="40"/>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row>
    <row r="675">
      <c r="A675" s="79" t="s">
        <v>2136</v>
      </c>
      <c r="B675" s="59"/>
      <c r="C675" s="79">
        <v>43101.0</v>
      </c>
      <c r="D675" s="79"/>
      <c r="E675" s="58" t="s">
        <v>41</v>
      </c>
      <c r="F675" s="58">
        <v>1.0</v>
      </c>
      <c r="G675" s="58" t="s">
        <v>32</v>
      </c>
      <c r="H675" s="43">
        <v>1.0</v>
      </c>
      <c r="I675" s="58" t="s">
        <v>33</v>
      </c>
      <c r="J675" s="58" t="s">
        <v>850</v>
      </c>
      <c r="K675" s="79"/>
      <c r="L675" s="58" t="s">
        <v>119</v>
      </c>
      <c r="M675" s="61" t="s">
        <v>2137</v>
      </c>
      <c r="N675" s="179"/>
      <c r="O675" s="180" t="str">
        <f>hyperlink("https://bad-boys.us/?q=D-SC/6:18-cr-00046", "D-SC 6:18-cr-00046")</f>
        <v>D-SC 6:18-cr-00046</v>
      </c>
      <c r="P675" s="79"/>
      <c r="Q675" s="58">
        <v>1.0</v>
      </c>
      <c r="R675" s="181"/>
      <c r="S675" s="37" t="str">
        <f>IFERROR(__xludf.DUMMYFUNCTION("if(not(iserror(index(split(C675, "" ""),2))), index(split(C675, "" ""),1),"""")"),"January,")</f>
        <v>January,</v>
      </c>
      <c r="T675" s="38">
        <f>IFERROR(__xludf.DUMMYFUNCTION("if(S675="""",C675,if(not(iserror(index(split(C675, "" ""),3))), index(split(C675, "" ""),3),index(split(C675, "" ""),2)))"),2018.0)</f>
        <v>2018</v>
      </c>
      <c r="U675" s="38" t="b">
        <f t="shared" ref="U675:U695" si="97">countif(A$4:A4658, A675)&gt;1</f>
        <v>0</v>
      </c>
      <c r="V675" s="38" t="s">
        <v>33</v>
      </c>
      <c r="W675" s="182"/>
      <c r="X675" s="182"/>
      <c r="Y675" s="182"/>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3"/>
      <c r="BQ675" s="183"/>
    </row>
    <row r="676">
      <c r="A676" s="58" t="s">
        <v>2138</v>
      </c>
      <c r="B676" s="59">
        <v>43334.0</v>
      </c>
      <c r="C676" s="79">
        <v>43101.0</v>
      </c>
      <c r="D676" s="60" t="s">
        <v>1879</v>
      </c>
      <c r="E676" s="58" t="s">
        <v>41</v>
      </c>
      <c r="F676" s="58">
        <v>1.0</v>
      </c>
      <c r="G676" s="58" t="s">
        <v>32</v>
      </c>
      <c r="H676" s="33">
        <f t="shared" ref="H676:H677" si="98">if(G676="Unknown",1,G676)</f>
        <v>1</v>
      </c>
      <c r="I676" s="58" t="s">
        <v>33</v>
      </c>
      <c r="J676" s="58" t="s">
        <v>343</v>
      </c>
      <c r="K676" s="58" t="s">
        <v>32</v>
      </c>
      <c r="L676" s="58" t="s">
        <v>69</v>
      </c>
      <c r="M676" s="46" t="s">
        <v>2139</v>
      </c>
      <c r="N676" s="61" t="s">
        <v>2140</v>
      </c>
      <c r="O676" s="83" t="str">
        <f>hyperlink("https://bad-boys.us/?q=ND-WV/3:18-cr-00048", "ND-WV 3:18-cr-00048")</f>
        <v>ND-WV 3:18-cr-00048</v>
      </c>
      <c r="P676" s="88" t="s">
        <v>2141</v>
      </c>
      <c r="Q676" s="84">
        <v>1.0</v>
      </c>
      <c r="R676" s="62"/>
      <c r="S676" s="37" t="str">
        <f>IFERROR(__xludf.DUMMYFUNCTION("if(not(iserror(index(split(C676, "" ""),2))), index(split(C676, "" ""),1),"""")"),"January,")</f>
        <v>January,</v>
      </c>
      <c r="T676" s="38">
        <f>IFERROR(__xludf.DUMMYFUNCTION("if(S676="""",C676,if(not(iserror(index(split(C676, "" ""),3))), index(split(C676, "" ""),3),index(split(C676, "" ""),2)))"),2018.0)</f>
        <v>2018</v>
      </c>
      <c r="U676" s="38" t="b">
        <f t="shared" si="97"/>
        <v>0</v>
      </c>
      <c r="V676" s="38" t="s">
        <v>33</v>
      </c>
      <c r="W676" s="40"/>
      <c r="X676" s="40"/>
      <c r="Y676" s="40"/>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row>
    <row r="677">
      <c r="A677" s="58" t="s">
        <v>2142</v>
      </c>
      <c r="B677" s="59">
        <v>43334.0</v>
      </c>
      <c r="C677" s="79">
        <v>43101.0</v>
      </c>
      <c r="D677" s="60" t="s">
        <v>1879</v>
      </c>
      <c r="E677" s="58" t="s">
        <v>41</v>
      </c>
      <c r="F677" s="58">
        <v>1.0</v>
      </c>
      <c r="G677" s="58" t="s">
        <v>32</v>
      </c>
      <c r="H677" s="33">
        <f t="shared" si="98"/>
        <v>1</v>
      </c>
      <c r="I677" s="58" t="s">
        <v>33</v>
      </c>
      <c r="J677" s="58" t="s">
        <v>89</v>
      </c>
      <c r="K677" s="58" t="s">
        <v>32</v>
      </c>
      <c r="L677" s="58" t="s">
        <v>69</v>
      </c>
      <c r="M677" s="61" t="s">
        <v>2143</v>
      </c>
      <c r="N677" s="77"/>
      <c r="O677" s="62"/>
      <c r="P677" s="62"/>
      <c r="Q677" s="62"/>
      <c r="R677" s="62"/>
      <c r="S677" s="37" t="str">
        <f>IFERROR(__xludf.DUMMYFUNCTION("if(not(iserror(index(split(C677, "" ""),2))), index(split(C677, "" ""),1),"""")"),"January,")</f>
        <v>January,</v>
      </c>
      <c r="T677" s="38">
        <f>IFERROR(__xludf.DUMMYFUNCTION("if(S677="""",C677,if(not(iserror(index(split(C677, "" ""),3))), index(split(C677, "" ""),3),index(split(C677, "" ""),2)))"),2018.0)</f>
        <v>2018</v>
      </c>
      <c r="U677" s="38" t="b">
        <f t="shared" si="97"/>
        <v>0</v>
      </c>
      <c r="V677" s="38"/>
      <c r="W677" s="40"/>
      <c r="X677" s="40"/>
      <c r="Y677" s="40"/>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row>
    <row r="678">
      <c r="A678" s="58" t="s">
        <v>2144</v>
      </c>
      <c r="B678" s="59"/>
      <c r="C678" s="79">
        <v>43101.0</v>
      </c>
      <c r="D678" s="60"/>
      <c r="E678" s="58" t="s">
        <v>41</v>
      </c>
      <c r="F678" s="58">
        <v>1.0</v>
      </c>
      <c r="G678" s="58" t="s">
        <v>32</v>
      </c>
      <c r="H678" s="43">
        <v>1.0</v>
      </c>
      <c r="I678" s="58" t="s">
        <v>33</v>
      </c>
      <c r="J678" s="58" t="s">
        <v>279</v>
      </c>
      <c r="K678" s="58"/>
      <c r="L678" s="58" t="s">
        <v>99</v>
      </c>
      <c r="M678" s="61" t="s">
        <v>2145</v>
      </c>
      <c r="N678" s="77"/>
      <c r="O678" s="62"/>
      <c r="P678" s="62"/>
      <c r="Q678" s="58"/>
      <c r="R678" s="62"/>
      <c r="S678" s="37" t="str">
        <f>IFERROR(__xludf.DUMMYFUNCTION("if(not(iserror(index(split(C678, "" ""),2))), index(split(C678, "" ""),1),"""")"),"January,")</f>
        <v>January,</v>
      </c>
      <c r="T678" s="38">
        <f>IFERROR(__xludf.DUMMYFUNCTION("if(S678="""",C678,if(not(iserror(index(split(C678, "" ""),3))), index(split(C678, "" ""),3),index(split(C678, "" ""),2)))"),2018.0)</f>
        <v>2018</v>
      </c>
      <c r="U678" s="38" t="b">
        <f t="shared" si="97"/>
        <v>0</v>
      </c>
      <c r="V678" s="38" t="s">
        <v>33</v>
      </c>
      <c r="W678" s="40"/>
      <c r="X678" s="40"/>
      <c r="Y678" s="40"/>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row>
    <row r="679">
      <c r="A679" s="58" t="s">
        <v>2146</v>
      </c>
      <c r="B679" s="59">
        <v>43342.0</v>
      </c>
      <c r="C679" s="79">
        <v>43101.0</v>
      </c>
      <c r="D679" s="60" t="s">
        <v>637</v>
      </c>
      <c r="E679" s="58" t="s">
        <v>31</v>
      </c>
      <c r="F679" s="58">
        <v>1.0</v>
      </c>
      <c r="G679" s="58" t="s">
        <v>32</v>
      </c>
      <c r="H679" s="33">
        <f t="shared" ref="H679:H684" si="99">if(G679="Unknown",1,G679)</f>
        <v>1</v>
      </c>
      <c r="I679" s="58" t="s">
        <v>33</v>
      </c>
      <c r="J679" s="58" t="s">
        <v>343</v>
      </c>
      <c r="K679" s="58">
        <v>1.0</v>
      </c>
      <c r="L679" s="58" t="s">
        <v>76</v>
      </c>
      <c r="M679" s="184" t="s">
        <v>2147</v>
      </c>
      <c r="N679" s="105" t="s">
        <v>2148</v>
      </c>
      <c r="O679" s="83" t="str">
        <f>hyperlink("https://bad-boys.us/?q=ND-WV/1:18-cr-00042", "ND-WV 1:18-cr-00042")</f>
        <v>ND-WV 1:18-cr-00042</v>
      </c>
      <c r="P679" s="88" t="s">
        <v>2149</v>
      </c>
      <c r="Q679" s="58">
        <v>1.0</v>
      </c>
      <c r="R679" s="62"/>
      <c r="S679" s="37" t="str">
        <f>IFERROR(__xludf.DUMMYFUNCTION("if(not(iserror(index(split(C679, "" ""),2))), index(split(C679, "" ""),1),"""")"),"January,")</f>
        <v>January,</v>
      </c>
      <c r="T679" s="38">
        <f>IFERROR(__xludf.DUMMYFUNCTION("if(S679="""",C679,if(not(iserror(index(split(C679, "" ""),3))), index(split(C679, "" ""),3),index(split(C679, "" ""),2)))"),2018.0)</f>
        <v>2018</v>
      </c>
      <c r="U679" s="38" t="b">
        <f t="shared" si="97"/>
        <v>0</v>
      </c>
      <c r="V679" s="38" t="s">
        <v>33</v>
      </c>
      <c r="W679" s="39" t="s">
        <v>2150</v>
      </c>
      <c r="X679" s="39" t="s">
        <v>2151</v>
      </c>
      <c r="Y679" s="40"/>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row>
    <row r="680">
      <c r="A680" s="58" t="s">
        <v>2152</v>
      </c>
      <c r="B680" s="59">
        <v>43347.0</v>
      </c>
      <c r="C680" s="79">
        <v>43101.0</v>
      </c>
      <c r="D680" s="60" t="s">
        <v>640</v>
      </c>
      <c r="E680" s="58" t="s">
        <v>31</v>
      </c>
      <c r="F680" s="58">
        <v>3.0</v>
      </c>
      <c r="G680" s="58" t="s">
        <v>32</v>
      </c>
      <c r="H680" s="33">
        <f t="shared" si="99"/>
        <v>1</v>
      </c>
      <c r="I680" s="58" t="s">
        <v>33</v>
      </c>
      <c r="J680" s="58" t="s">
        <v>111</v>
      </c>
      <c r="K680" s="58">
        <v>3.0</v>
      </c>
      <c r="L680" s="58" t="s">
        <v>35</v>
      </c>
      <c r="M680" s="61" t="s">
        <v>2153</v>
      </c>
      <c r="N680" s="77"/>
      <c r="O680" s="62"/>
      <c r="P680" s="62"/>
      <c r="Q680" s="62"/>
      <c r="R680" s="62"/>
      <c r="S680" s="37" t="str">
        <f>IFERROR(__xludf.DUMMYFUNCTION("if(not(iserror(index(split(C680, "" ""),2))), index(split(C680, "" ""),1),"""")"),"January,")</f>
        <v>January,</v>
      </c>
      <c r="T680" s="38">
        <f>IFERROR(__xludf.DUMMYFUNCTION("if(S680="""",C680,if(not(iserror(index(split(C680, "" ""),3))), index(split(C680, "" ""),3),index(split(C680, "" ""),2)))"),2018.0)</f>
        <v>2018</v>
      </c>
      <c r="U680" s="38" t="b">
        <f t="shared" si="97"/>
        <v>0</v>
      </c>
      <c r="V680" s="38"/>
      <c r="W680" s="40"/>
      <c r="X680" s="40"/>
      <c r="Y680" s="40"/>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row>
    <row r="681">
      <c r="A681" s="58" t="s">
        <v>2154</v>
      </c>
      <c r="B681" s="59">
        <v>43376.0</v>
      </c>
      <c r="C681" s="79">
        <v>43101.0</v>
      </c>
      <c r="D681" s="60" t="s">
        <v>1847</v>
      </c>
      <c r="E681" s="58" t="s">
        <v>41</v>
      </c>
      <c r="F681" s="58">
        <v>1.0</v>
      </c>
      <c r="G681" s="58" t="s">
        <v>32</v>
      </c>
      <c r="H681" s="33">
        <f t="shared" si="99"/>
        <v>1</v>
      </c>
      <c r="I681" s="58" t="s">
        <v>33</v>
      </c>
      <c r="J681" s="58" t="s">
        <v>179</v>
      </c>
      <c r="K681" s="58" t="s">
        <v>32</v>
      </c>
      <c r="L681" s="58" t="s">
        <v>69</v>
      </c>
      <c r="M681" s="61" t="s">
        <v>2155</v>
      </c>
      <c r="N681" s="77"/>
      <c r="O681" s="88" t="str">
        <f>hyperlink("https://bad-boys.us/?q=ED-VA/3:18-cr-00019", "ED-VA 3:18-cr-00019")</f>
        <v>ED-VA 3:18-cr-00019</v>
      </c>
      <c r="P681" s="58"/>
      <c r="Q681" s="84">
        <v>1.0</v>
      </c>
      <c r="R681" s="62"/>
      <c r="S681" s="37" t="str">
        <f>IFERROR(__xludf.DUMMYFUNCTION("if(not(iserror(index(split(C681, "" ""),2))), index(split(C681, "" ""),1),"""")"),"January,")</f>
        <v>January,</v>
      </c>
      <c r="T681" s="38">
        <f>IFERROR(__xludf.DUMMYFUNCTION("if(S681="""",C681,if(not(iserror(index(split(C681, "" ""),3))), index(split(C681, "" ""),3),index(split(C681, "" ""),2)))"),2018.0)</f>
        <v>2018</v>
      </c>
      <c r="U681" s="38" t="b">
        <f t="shared" si="97"/>
        <v>0</v>
      </c>
      <c r="V681" s="38"/>
      <c r="W681" s="40"/>
      <c r="X681" s="40"/>
      <c r="Y681" s="40"/>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row>
    <row r="682">
      <c r="A682" s="58" t="s">
        <v>812</v>
      </c>
      <c r="B682" s="59">
        <v>43385.0</v>
      </c>
      <c r="C682" s="79">
        <v>43101.0</v>
      </c>
      <c r="D682" s="60" t="s">
        <v>1879</v>
      </c>
      <c r="E682" s="58" t="s">
        <v>41</v>
      </c>
      <c r="F682" s="58">
        <v>1.0</v>
      </c>
      <c r="G682" s="58">
        <v>1.0</v>
      </c>
      <c r="H682" s="33">
        <f t="shared" si="99"/>
        <v>1</v>
      </c>
      <c r="I682" s="58" t="s">
        <v>33</v>
      </c>
      <c r="J682" s="58" t="s">
        <v>343</v>
      </c>
      <c r="K682" s="58" t="s">
        <v>32</v>
      </c>
      <c r="L682" s="58" t="s">
        <v>2156</v>
      </c>
      <c r="M682" s="61" t="s">
        <v>2157</v>
      </c>
      <c r="N682" s="77"/>
      <c r="O682" s="83" t="str">
        <f>hyperlink("https://bad-boys.us/?q=SD-WV/3:17-cr-00217", "SD-WV 3:17-cr-00217")</f>
        <v>SD-WV 3:17-cr-00217</v>
      </c>
      <c r="P682" s="88" t="s">
        <v>2158</v>
      </c>
      <c r="Q682" s="84">
        <v>1.0</v>
      </c>
      <c r="R682" s="62"/>
      <c r="S682" s="37" t="str">
        <f>IFERROR(__xludf.DUMMYFUNCTION("if(not(iserror(index(split(C682, "" ""),2))), index(split(C682, "" ""),1),"""")"),"January,")</f>
        <v>January,</v>
      </c>
      <c r="T682" s="38">
        <f>IFERROR(__xludf.DUMMYFUNCTION("if(S682="""",C682,if(not(iserror(index(split(C682, "" ""),3))), index(split(C682, "" ""),3),index(split(C682, "" ""),2)))"),2018.0)</f>
        <v>2018</v>
      </c>
      <c r="U682" s="38" t="b">
        <f t="shared" si="97"/>
        <v>1</v>
      </c>
      <c r="V682" s="38"/>
      <c r="W682" s="40"/>
      <c r="X682" s="40"/>
      <c r="Y682" s="40"/>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row>
    <row r="683">
      <c r="A683" s="58" t="s">
        <v>2159</v>
      </c>
      <c r="B683" s="59">
        <v>43396.0</v>
      </c>
      <c r="C683" s="79">
        <v>43101.0</v>
      </c>
      <c r="D683" s="60" t="s">
        <v>1879</v>
      </c>
      <c r="E683" s="58" t="s">
        <v>41</v>
      </c>
      <c r="F683" s="58">
        <v>1.0</v>
      </c>
      <c r="G683" s="58" t="s">
        <v>32</v>
      </c>
      <c r="H683" s="33">
        <f t="shared" si="99"/>
        <v>1</v>
      </c>
      <c r="I683" s="58" t="s">
        <v>33</v>
      </c>
      <c r="J683" s="58" t="s">
        <v>279</v>
      </c>
      <c r="K683" s="58">
        <v>3.0</v>
      </c>
      <c r="L683" s="58" t="s">
        <v>69</v>
      </c>
      <c r="M683" s="61" t="s">
        <v>2160</v>
      </c>
      <c r="N683" s="80"/>
      <c r="O683" s="88" t="str">
        <f>hyperlink("https://bad-boys.us/?q=WD-MO/6:18-cr-03041", "WD-MO 6:18-cr-03041")</f>
        <v>WD-MO 6:18-cr-03041</v>
      </c>
      <c r="P683" s="88" t="s">
        <v>2161</v>
      </c>
      <c r="Q683" s="84">
        <v>1.0</v>
      </c>
      <c r="R683" s="62"/>
      <c r="S683" s="37" t="str">
        <f>IFERROR(__xludf.DUMMYFUNCTION("if(not(iserror(index(split(C683, "" ""),2))), index(split(C683, "" ""),1),"""")"),"January,")</f>
        <v>January,</v>
      </c>
      <c r="T683" s="38">
        <f>IFERROR(__xludf.DUMMYFUNCTION("if(S683="""",C683,if(not(iserror(index(split(C683, "" ""),3))), index(split(C683, "" ""),3),index(split(C683, "" ""),2)))"),2018.0)</f>
        <v>2018</v>
      </c>
      <c r="U683" s="38" t="b">
        <f t="shared" si="97"/>
        <v>0</v>
      </c>
      <c r="V683" s="38"/>
      <c r="W683" s="40"/>
      <c r="X683" s="40"/>
      <c r="Y683" s="40"/>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row>
    <row r="684">
      <c r="A684" s="58" t="s">
        <v>2162</v>
      </c>
      <c r="B684" s="59">
        <v>43420.0</v>
      </c>
      <c r="C684" s="79">
        <v>43101.0</v>
      </c>
      <c r="D684" s="60" t="s">
        <v>2163</v>
      </c>
      <c r="E684" s="58" t="s">
        <v>31</v>
      </c>
      <c r="F684" s="58">
        <v>1.0</v>
      </c>
      <c r="G684" s="58" t="s">
        <v>32</v>
      </c>
      <c r="H684" s="33">
        <f t="shared" si="99"/>
        <v>1</v>
      </c>
      <c r="I684" s="58" t="s">
        <v>33</v>
      </c>
      <c r="J684" s="58" t="s">
        <v>61</v>
      </c>
      <c r="K684" s="58" t="s">
        <v>32</v>
      </c>
      <c r="L684" s="58" t="s">
        <v>76</v>
      </c>
      <c r="M684" s="61" t="s">
        <v>2164</v>
      </c>
      <c r="N684" s="61" t="s">
        <v>2165</v>
      </c>
      <c r="O684" s="58"/>
      <c r="P684" s="62"/>
      <c r="Q684" s="84"/>
      <c r="R684" s="62"/>
      <c r="S684" s="37" t="str">
        <f>IFERROR(__xludf.DUMMYFUNCTION("if(not(iserror(index(split(C684, "" ""),2))), index(split(C684, "" ""),1),"""")"),"January,")</f>
        <v>January,</v>
      </c>
      <c r="T684" s="38">
        <f>IFERROR(__xludf.DUMMYFUNCTION("if(S684="""",C684,if(not(iserror(index(split(C684, "" ""),3))), index(split(C684, "" ""),3),index(split(C684, "" ""),2)))"),2018.0)</f>
        <v>2018</v>
      </c>
      <c r="U684" s="38" t="b">
        <f t="shared" si="97"/>
        <v>0</v>
      </c>
      <c r="V684" s="38"/>
      <c r="W684" s="40"/>
      <c r="X684" s="40"/>
      <c r="Y684" s="40"/>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row>
    <row r="685">
      <c r="A685" s="58" t="s">
        <v>2166</v>
      </c>
      <c r="B685" s="59"/>
      <c r="C685" s="79">
        <v>43101.0</v>
      </c>
      <c r="D685" s="60"/>
      <c r="E685" s="58" t="s">
        <v>41</v>
      </c>
      <c r="F685" s="58">
        <v>1.0</v>
      </c>
      <c r="G685" s="58">
        <v>1.0</v>
      </c>
      <c r="H685" s="43">
        <v>1.0</v>
      </c>
      <c r="I685" s="58" t="s">
        <v>33</v>
      </c>
      <c r="J685" s="58" t="s">
        <v>2167</v>
      </c>
      <c r="K685" s="58"/>
      <c r="L685" s="58" t="s">
        <v>2168</v>
      </c>
      <c r="M685" s="61" t="s">
        <v>2169</v>
      </c>
      <c r="N685" s="80"/>
      <c r="O685" s="88" t="str">
        <f>hyperlink("https://bad-boys.us/?q=D-UT/4:18-cr-00014", "D-UT 4:18-cr-00014 ❓")</f>
        <v>D-UT 4:18-cr-00014 ❓</v>
      </c>
      <c r="P685" s="88" t="s">
        <v>2170</v>
      </c>
      <c r="Q685" s="58">
        <v>1.0</v>
      </c>
      <c r="R685" s="62"/>
      <c r="S685" s="37" t="str">
        <f>IFERROR(__xludf.DUMMYFUNCTION("if(not(iserror(index(split(C685, "" ""),2))), index(split(C685, "" ""),1),"""")"),"January,")</f>
        <v>January,</v>
      </c>
      <c r="T685" s="38">
        <f>IFERROR(__xludf.DUMMYFUNCTION("if(S685="""",C685,if(not(iserror(index(split(C685, "" ""),3))), index(split(C685, "" ""),3),index(split(C685, "" ""),2)))"),2018.0)</f>
        <v>2018</v>
      </c>
      <c r="U685" s="38" t="b">
        <f t="shared" si="97"/>
        <v>0</v>
      </c>
      <c r="V685" s="38" t="s">
        <v>33</v>
      </c>
      <c r="W685" s="40"/>
      <c r="X685" s="40"/>
      <c r="Y685" s="40"/>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c r="BQ685" s="38"/>
    </row>
    <row r="686">
      <c r="A686" s="58" t="s">
        <v>2171</v>
      </c>
      <c r="B686" s="59">
        <v>43433.0</v>
      </c>
      <c r="C686" s="79">
        <v>43101.0</v>
      </c>
      <c r="D686" s="60" t="s">
        <v>1879</v>
      </c>
      <c r="E686" s="58" t="s">
        <v>31</v>
      </c>
      <c r="F686" s="58">
        <v>1.0</v>
      </c>
      <c r="G686" s="58">
        <v>10.0</v>
      </c>
      <c r="H686" s="33">
        <f t="shared" ref="H686:H688" si="100">if(G686="Unknown",1,G686)</f>
        <v>10</v>
      </c>
      <c r="I686" s="58" t="s">
        <v>33</v>
      </c>
      <c r="J686" s="58" t="s">
        <v>93</v>
      </c>
      <c r="K686" s="58">
        <v>2.0</v>
      </c>
      <c r="L686" s="58" t="s">
        <v>1093</v>
      </c>
      <c r="M686" s="80" t="s">
        <v>2172</v>
      </c>
      <c r="N686" s="61" t="s">
        <v>2173</v>
      </c>
      <c r="O686" s="88" t="str">
        <f>hyperlink("https://bad-boys.us/?q=WD-NY/6:18-cr-06107", "WD-NY 6:18-cr-06107")</f>
        <v>WD-NY 6:18-cr-06107</v>
      </c>
      <c r="P686" s="88" t="s">
        <v>2174</v>
      </c>
      <c r="Q686" s="58">
        <v>1.0</v>
      </c>
      <c r="R686" s="62"/>
      <c r="S686" s="37" t="str">
        <f>IFERROR(__xludf.DUMMYFUNCTION("if(not(iserror(index(split(C686, "" ""),2))), index(split(C686, "" ""),1),"""")"),"January,")</f>
        <v>January,</v>
      </c>
      <c r="T686" s="38">
        <f>IFERROR(__xludf.DUMMYFUNCTION("if(S686="""",C686,if(not(iserror(index(split(C686, "" ""),3))), index(split(C686, "" ""),3),index(split(C686, "" ""),2)))"),2018.0)</f>
        <v>2018</v>
      </c>
      <c r="U686" s="38" t="b">
        <f t="shared" si="97"/>
        <v>0</v>
      </c>
      <c r="V686" s="38"/>
      <c r="W686" s="40"/>
      <c r="X686" s="40"/>
      <c r="Y686" s="40"/>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row>
    <row r="687">
      <c r="A687" s="58" t="s">
        <v>2175</v>
      </c>
      <c r="B687" s="59">
        <v>43445.0</v>
      </c>
      <c r="C687" s="79">
        <v>43101.0</v>
      </c>
      <c r="D687" s="60" t="s">
        <v>1879</v>
      </c>
      <c r="E687" s="58" t="s">
        <v>41</v>
      </c>
      <c r="F687" s="58">
        <v>1.0</v>
      </c>
      <c r="G687" s="58" t="s">
        <v>32</v>
      </c>
      <c r="H687" s="33">
        <f t="shared" si="100"/>
        <v>1</v>
      </c>
      <c r="I687" s="58" t="s">
        <v>33</v>
      </c>
      <c r="J687" s="58" t="s">
        <v>124</v>
      </c>
      <c r="K687" s="58">
        <v>3.0</v>
      </c>
      <c r="L687" s="58" t="s">
        <v>76</v>
      </c>
      <c r="M687" s="61" t="s">
        <v>2176</v>
      </c>
      <c r="N687" s="80"/>
      <c r="O687" s="88" t="str">
        <f>hyperlink("https://bad-boys.us/?q=SD-OH/3:18-cr-00002", "SD-OH 3:18-cr-00002")</f>
        <v>SD-OH 3:18-cr-00002</v>
      </c>
      <c r="P687" s="88" t="s">
        <v>2177</v>
      </c>
      <c r="Q687" s="58">
        <v>1.0</v>
      </c>
      <c r="R687" s="62"/>
      <c r="S687" s="37" t="str">
        <f>IFERROR(__xludf.DUMMYFUNCTION("if(not(iserror(index(split(C687, "" ""),2))), index(split(C687, "" ""),1),"""")"),"January,")</f>
        <v>January,</v>
      </c>
      <c r="T687" s="38">
        <f>IFERROR(__xludf.DUMMYFUNCTION("if(S687="""",C687,if(not(iserror(index(split(C687, "" ""),3))), index(split(C687, "" ""),3),index(split(C687, "" ""),2)))"),2018.0)</f>
        <v>2018</v>
      </c>
      <c r="U687" s="38" t="b">
        <f t="shared" si="97"/>
        <v>1</v>
      </c>
      <c r="V687" s="38"/>
      <c r="W687" s="40"/>
      <c r="X687" s="40"/>
      <c r="Y687" s="40"/>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row>
    <row r="688">
      <c r="A688" s="87" t="s">
        <v>2178</v>
      </c>
      <c r="B688" s="59">
        <v>43452.0</v>
      </c>
      <c r="C688" s="79">
        <v>43101.0</v>
      </c>
      <c r="D688" s="60" t="s">
        <v>1879</v>
      </c>
      <c r="E688" s="58" t="s">
        <v>41</v>
      </c>
      <c r="F688" s="58">
        <v>1.0</v>
      </c>
      <c r="G688" s="58">
        <v>4.0</v>
      </c>
      <c r="H688" s="33">
        <f t="shared" si="100"/>
        <v>4</v>
      </c>
      <c r="I688" s="58" t="s">
        <v>33</v>
      </c>
      <c r="J688" s="58" t="s">
        <v>68</v>
      </c>
      <c r="K688" s="58">
        <v>5.0</v>
      </c>
      <c r="L688" s="58" t="s">
        <v>1469</v>
      </c>
      <c r="M688" s="61" t="s">
        <v>2179</v>
      </c>
      <c r="N688" s="61" t="s">
        <v>2180</v>
      </c>
      <c r="O688" s="83" t="str">
        <f>hyperlink("https://bad-boys.us/?q=D-OR/3:18-cr-00036", "D-OR 3:18-cr-00036")</f>
        <v>D-OR 3:18-cr-00036</v>
      </c>
      <c r="P688" s="88" t="s">
        <v>2181</v>
      </c>
      <c r="Q688" s="58">
        <v>1.0</v>
      </c>
      <c r="R688" s="62"/>
      <c r="S688" s="37" t="str">
        <f>IFERROR(__xludf.DUMMYFUNCTION("if(not(iserror(index(split(C688, "" ""),2))), index(split(C688, "" ""),1),"""")"),"January,")</f>
        <v>January,</v>
      </c>
      <c r="T688" s="38">
        <f>IFERROR(__xludf.DUMMYFUNCTION("if(S688="""",C688,if(not(iserror(index(split(C688, "" ""),3))), index(split(C688, "" ""),3),index(split(C688, "" ""),2)))"),2018.0)</f>
        <v>2018</v>
      </c>
      <c r="U688" s="38" t="b">
        <f t="shared" si="97"/>
        <v>0</v>
      </c>
      <c r="V688" s="38"/>
      <c r="W688" s="40"/>
      <c r="X688" s="40"/>
      <c r="Y688" s="40"/>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row>
    <row r="689">
      <c r="A689" s="47" t="s">
        <v>2182</v>
      </c>
      <c r="B689" s="48">
        <v>43487.0</v>
      </c>
      <c r="C689" s="89">
        <v>43101.0</v>
      </c>
      <c r="D689" s="49" t="s">
        <v>483</v>
      </c>
      <c r="E689" s="47" t="s">
        <v>41</v>
      </c>
      <c r="F689" s="47">
        <v>1.0</v>
      </c>
      <c r="G689" s="47" t="s">
        <v>32</v>
      </c>
      <c r="H689" s="50">
        <v>1.0</v>
      </c>
      <c r="I689" s="47" t="s">
        <v>33</v>
      </c>
      <c r="J689" s="47" t="s">
        <v>115</v>
      </c>
      <c r="K689" s="47">
        <v>1.0</v>
      </c>
      <c r="L689" s="47" t="s">
        <v>119</v>
      </c>
      <c r="M689" s="51" t="s">
        <v>2183</v>
      </c>
      <c r="N689" s="52"/>
      <c r="O689" s="55"/>
      <c r="P689" s="47"/>
      <c r="Q689" s="47"/>
      <c r="R689" s="55"/>
      <c r="S689" s="37" t="str">
        <f>IFERROR(__xludf.DUMMYFUNCTION("if(not(iserror(index(split(C689, "" ""),2))), index(split(C689, "" ""),1),"""")"),"January,")</f>
        <v>January,</v>
      </c>
      <c r="T689" s="38">
        <f>IFERROR(__xludf.DUMMYFUNCTION("if(S689="""",C689,if(not(iserror(index(split(C689, "" ""),3))), index(split(C689, "" ""),3),index(split(C689, "" ""),2)))"),2018.0)</f>
        <v>2018</v>
      </c>
      <c r="U689" s="38" t="b">
        <f t="shared" si="97"/>
        <v>0</v>
      </c>
      <c r="V689" s="38"/>
      <c r="W689" s="40"/>
      <c r="X689" s="40"/>
      <c r="Y689" s="40"/>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row>
    <row r="690">
      <c r="A690" s="185" t="s">
        <v>2184</v>
      </c>
      <c r="B690" s="186">
        <v>43252.0</v>
      </c>
      <c r="C690" s="186">
        <v>43102.0</v>
      </c>
      <c r="D690" s="187" t="s">
        <v>2185</v>
      </c>
      <c r="E690" s="188" t="s">
        <v>41</v>
      </c>
      <c r="F690" s="185">
        <v>1.0</v>
      </c>
      <c r="G690" s="185" t="s">
        <v>32</v>
      </c>
      <c r="H690" s="33">
        <f t="shared" ref="H690:H695" si="101">if(G690="Unknown",1,G690)</f>
        <v>1</v>
      </c>
      <c r="I690" s="185" t="s">
        <v>33</v>
      </c>
      <c r="J690" s="185" t="s">
        <v>111</v>
      </c>
      <c r="K690" s="185" t="s">
        <v>32</v>
      </c>
      <c r="L690" s="185" t="s">
        <v>790</v>
      </c>
      <c r="M690" s="189" t="s">
        <v>2186</v>
      </c>
      <c r="N690" s="190" t="s">
        <v>2187</v>
      </c>
      <c r="O690" s="58"/>
      <c r="P690" s="58"/>
      <c r="Q690" s="84"/>
      <c r="R690" s="62"/>
      <c r="S690" s="37" t="str">
        <f>IFERROR(__xludf.DUMMYFUNCTION("if(not(iserror(index(split(C690, "" ""),2))), index(split(C690, "" ""),1),"""")"),"January")</f>
        <v>January</v>
      </c>
      <c r="T690" s="38">
        <f>IFERROR(__xludf.DUMMYFUNCTION("if(S690="""",C690,if(not(iserror(index(split(C690, "" ""),3))), index(split(C690, "" ""),3),index(split(C690, "" ""),2)))"),2018.0)</f>
        <v>2018</v>
      </c>
      <c r="U690" s="38" t="b">
        <f t="shared" si="97"/>
        <v>0</v>
      </c>
      <c r="V690" s="38"/>
      <c r="W690" s="40"/>
      <c r="X690" s="40"/>
      <c r="Y690" s="40"/>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row>
    <row r="691">
      <c r="A691" s="37" t="s">
        <v>2188</v>
      </c>
      <c r="B691" s="30">
        <v>43103.0</v>
      </c>
      <c r="C691" s="30">
        <v>43103.0</v>
      </c>
      <c r="D691" s="32" t="s">
        <v>2189</v>
      </c>
      <c r="E691" s="13" t="s">
        <v>41</v>
      </c>
      <c r="F691" s="13">
        <v>1.0</v>
      </c>
      <c r="G691" s="13" t="s">
        <v>32</v>
      </c>
      <c r="H691" s="33">
        <f t="shared" si="101"/>
        <v>1</v>
      </c>
      <c r="I691" s="13" t="s">
        <v>33</v>
      </c>
      <c r="J691" s="13" t="s">
        <v>279</v>
      </c>
      <c r="K691" s="13">
        <v>3.0</v>
      </c>
      <c r="L691" s="13" t="s">
        <v>69</v>
      </c>
      <c r="M691" s="45" t="s">
        <v>2190</v>
      </c>
      <c r="N691" s="15"/>
      <c r="O691" s="86" t="str">
        <f>hyperlink("https://bad-boys.us/?q=WD-MO/2:17-cr-04093", "WD-MO 2:17-cr-04093")</f>
        <v>WD-MO 2:17-cr-04093</v>
      </c>
      <c r="P691" s="86" t="s">
        <v>2191</v>
      </c>
      <c r="Q691" s="37">
        <v>1.0</v>
      </c>
      <c r="R691" s="16"/>
      <c r="S691" s="37" t="str">
        <f>IFERROR(__xludf.DUMMYFUNCTION("if(not(iserror(index(split(C691, "" ""),2))), index(split(C691, "" ""),1),"""")"),"January")</f>
        <v>January</v>
      </c>
      <c r="T691" s="38">
        <f>IFERROR(__xludf.DUMMYFUNCTION("if(S691="""",C691,if(not(iserror(index(split(C691, "" ""),3))), index(split(C691, "" ""),3),index(split(C691, "" ""),2)))"),2018.0)</f>
        <v>2018</v>
      </c>
      <c r="U691" s="38" t="b">
        <f t="shared" si="97"/>
        <v>0</v>
      </c>
      <c r="V691" s="38"/>
      <c r="W691" s="40"/>
      <c r="X691" s="40"/>
      <c r="Y691" s="40"/>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row>
    <row r="692">
      <c r="A692" s="13" t="s">
        <v>2192</v>
      </c>
      <c r="B692" s="30">
        <v>43103.0</v>
      </c>
      <c r="C692" s="30">
        <v>43103.0</v>
      </c>
      <c r="D692" s="32" t="s">
        <v>2193</v>
      </c>
      <c r="E692" s="13" t="s">
        <v>41</v>
      </c>
      <c r="F692" s="13">
        <v>1.0</v>
      </c>
      <c r="G692" s="13" t="s">
        <v>32</v>
      </c>
      <c r="H692" s="33">
        <f t="shared" si="101"/>
        <v>1</v>
      </c>
      <c r="I692" s="13" t="s">
        <v>33</v>
      </c>
      <c r="J692" s="13" t="s">
        <v>61</v>
      </c>
      <c r="K692" s="13" t="s">
        <v>32</v>
      </c>
      <c r="L692" s="13" t="s">
        <v>2194</v>
      </c>
      <c r="M692" s="45" t="s">
        <v>2195</v>
      </c>
      <c r="N692" s="15"/>
      <c r="O692" s="37"/>
      <c r="P692" s="37"/>
      <c r="Q692" s="64"/>
      <c r="R692" s="16"/>
      <c r="S692" s="37" t="str">
        <f>IFERROR(__xludf.DUMMYFUNCTION("if(not(iserror(index(split(C692, "" ""),2))), index(split(C692, "" ""),1),"""")"),"January")</f>
        <v>January</v>
      </c>
      <c r="T692" s="38">
        <f>IFERROR(__xludf.DUMMYFUNCTION("if(S692="""",C692,if(not(iserror(index(split(C692, "" ""),3))), index(split(C692, "" ""),3),index(split(C692, "" ""),2)))"),2018.0)</f>
        <v>2018</v>
      </c>
      <c r="U692" s="38" t="b">
        <f t="shared" si="97"/>
        <v>0</v>
      </c>
      <c r="V692" s="38"/>
      <c r="W692" s="40"/>
      <c r="X692" s="40"/>
      <c r="Y692" s="40"/>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row>
    <row r="693">
      <c r="A693" s="178" t="s">
        <v>2196</v>
      </c>
      <c r="B693" s="30">
        <v>43105.0</v>
      </c>
      <c r="C693" s="30">
        <v>43103.0</v>
      </c>
      <c r="D693" s="32" t="s">
        <v>2189</v>
      </c>
      <c r="E693" s="13" t="s">
        <v>41</v>
      </c>
      <c r="F693" s="13">
        <v>1.0</v>
      </c>
      <c r="G693" s="13" t="s">
        <v>32</v>
      </c>
      <c r="H693" s="33">
        <f t="shared" si="101"/>
        <v>1</v>
      </c>
      <c r="I693" s="13" t="s">
        <v>33</v>
      </c>
      <c r="J693" s="13" t="s">
        <v>111</v>
      </c>
      <c r="K693" s="13">
        <v>1.0</v>
      </c>
      <c r="L693" s="13" t="s">
        <v>349</v>
      </c>
      <c r="M693" s="46" t="s">
        <v>2197</v>
      </c>
      <c r="N693" s="46" t="s">
        <v>2198</v>
      </c>
      <c r="O693" s="37"/>
      <c r="P693" s="37"/>
      <c r="Q693" s="64"/>
      <c r="R693" s="16"/>
      <c r="S693" s="37" t="str">
        <f>IFERROR(__xludf.DUMMYFUNCTION("if(not(iserror(index(split(C693, "" ""),2))), index(split(C693, "" ""),1),"""")"),"January")</f>
        <v>January</v>
      </c>
      <c r="T693" s="38">
        <f>IFERROR(__xludf.DUMMYFUNCTION("if(S693="""",C693,if(not(iserror(index(split(C693, "" ""),3))), index(split(C693, "" ""),3),index(split(C693, "" ""),2)))"),2018.0)</f>
        <v>2018</v>
      </c>
      <c r="U693" s="38" t="b">
        <f t="shared" si="97"/>
        <v>0</v>
      </c>
      <c r="V693" s="38"/>
      <c r="W693" s="40"/>
      <c r="X693" s="40"/>
      <c r="Y693" s="40"/>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row>
    <row r="694">
      <c r="A694" s="13" t="s">
        <v>2199</v>
      </c>
      <c r="B694" s="30">
        <v>43104.0</v>
      </c>
      <c r="C694" s="30">
        <v>43104.0</v>
      </c>
      <c r="D694" s="32" t="s">
        <v>2200</v>
      </c>
      <c r="E694" s="13" t="s">
        <v>41</v>
      </c>
      <c r="F694" s="13">
        <v>1.0</v>
      </c>
      <c r="G694" s="13" t="s">
        <v>32</v>
      </c>
      <c r="H694" s="33">
        <f t="shared" si="101"/>
        <v>1</v>
      </c>
      <c r="I694" s="13" t="s">
        <v>33</v>
      </c>
      <c r="J694" s="13" t="s">
        <v>124</v>
      </c>
      <c r="K694" s="13">
        <v>1.0</v>
      </c>
      <c r="L694" s="13" t="s">
        <v>69</v>
      </c>
      <c r="M694" s="45" t="s">
        <v>2201</v>
      </c>
      <c r="N694" s="15"/>
      <c r="O694" s="86" t="str">
        <f>hyperlink("https://bad-boys.us/?q=ND-OH/4:18-cr-00004", "ND-OH 4:18-cr-00004")</f>
        <v>ND-OH 4:18-cr-00004</v>
      </c>
      <c r="P694" s="86" t="s">
        <v>2202</v>
      </c>
      <c r="Q694" s="37">
        <v>1.0</v>
      </c>
      <c r="R694" s="16"/>
      <c r="S694" s="37" t="str">
        <f>IFERROR(__xludf.DUMMYFUNCTION("if(not(iserror(index(split(C694, "" ""),2))), index(split(C694, "" ""),1),"""")"),"January")</f>
        <v>January</v>
      </c>
      <c r="T694" s="38">
        <f>IFERROR(__xludf.DUMMYFUNCTION("if(S694="""",C694,if(not(iserror(index(split(C694, "" ""),3))), index(split(C694, "" ""),3),index(split(C694, "" ""),2)))"),2018.0)</f>
        <v>2018</v>
      </c>
      <c r="U694" s="38" t="b">
        <f t="shared" si="97"/>
        <v>0</v>
      </c>
      <c r="V694" s="38"/>
      <c r="W694" s="40"/>
      <c r="X694" s="40"/>
      <c r="Y694" s="40"/>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row>
    <row r="695">
      <c r="A695" s="13" t="s">
        <v>2203</v>
      </c>
      <c r="B695" s="30">
        <v>43104.0</v>
      </c>
      <c r="C695" s="30">
        <v>43104.0</v>
      </c>
      <c r="D695" s="32" t="s">
        <v>2200</v>
      </c>
      <c r="E695" s="13" t="s">
        <v>41</v>
      </c>
      <c r="F695" s="13">
        <v>1.0</v>
      </c>
      <c r="G695" s="13" t="s">
        <v>32</v>
      </c>
      <c r="H695" s="33">
        <f t="shared" si="101"/>
        <v>1</v>
      </c>
      <c r="I695" s="13" t="s">
        <v>33</v>
      </c>
      <c r="J695" s="13" t="s">
        <v>124</v>
      </c>
      <c r="K695" s="13" t="s">
        <v>40</v>
      </c>
      <c r="L695" s="13" t="s">
        <v>2204</v>
      </c>
      <c r="M695" s="45" t="s">
        <v>2205</v>
      </c>
      <c r="N695" s="15"/>
      <c r="O695" s="86" t="str">
        <f>hyperlink("https://bad-boys.us/?q=ND-OH/5:18-cr-00005", "ND-OH 5:18-cr-00005")</f>
        <v>ND-OH 5:18-cr-00005</v>
      </c>
      <c r="P695" s="86" t="s">
        <v>2206</v>
      </c>
      <c r="Q695" s="64">
        <v>1.0</v>
      </c>
      <c r="R695" s="16"/>
      <c r="S695" s="37" t="str">
        <f>IFERROR(__xludf.DUMMYFUNCTION("if(not(iserror(index(split(C695, "" ""),2))), index(split(C695, "" ""),1),"""")"),"January")</f>
        <v>January</v>
      </c>
      <c r="T695" s="38">
        <f>IFERROR(__xludf.DUMMYFUNCTION("if(S695="""",C695,if(not(iserror(index(split(C695, "" ""),3))), index(split(C695, "" ""),3),index(split(C695, "" ""),2)))"),2018.0)</f>
        <v>2018</v>
      </c>
      <c r="U695" s="38" t="b">
        <f t="shared" si="97"/>
        <v>0</v>
      </c>
      <c r="V695" s="38"/>
      <c r="W695" s="40"/>
      <c r="X695" s="40"/>
      <c r="Y695" s="40"/>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row>
    <row r="696">
      <c r="A696" s="178" t="s">
        <v>2207</v>
      </c>
      <c r="B696" s="30"/>
      <c r="C696" s="30">
        <v>43107.0</v>
      </c>
      <c r="D696" s="32"/>
      <c r="E696" s="13" t="s">
        <v>41</v>
      </c>
      <c r="F696" s="13">
        <v>1.0</v>
      </c>
      <c r="G696" s="13" t="s">
        <v>32</v>
      </c>
      <c r="H696" s="43">
        <v>1.0</v>
      </c>
      <c r="I696" s="13" t="s">
        <v>33</v>
      </c>
      <c r="J696" s="13" t="s">
        <v>147</v>
      </c>
      <c r="K696" s="13"/>
      <c r="L696" s="13" t="s">
        <v>119</v>
      </c>
      <c r="M696" s="45" t="s">
        <v>2208</v>
      </c>
      <c r="N696" s="15"/>
      <c r="O696" s="37"/>
      <c r="P696" s="37"/>
      <c r="Q696" s="64"/>
      <c r="R696" s="16"/>
      <c r="S696" s="37"/>
      <c r="T696" s="38"/>
      <c r="U696" s="38"/>
      <c r="V696" s="38" t="s">
        <v>33</v>
      </c>
      <c r="W696" s="40"/>
      <c r="X696" s="40"/>
      <c r="Y696" s="40"/>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row>
    <row r="697">
      <c r="A697" s="178" t="s">
        <v>2209</v>
      </c>
      <c r="B697" s="30">
        <v>43109.0</v>
      </c>
      <c r="C697" s="30">
        <v>43109.0</v>
      </c>
      <c r="D697" s="32" t="s">
        <v>2210</v>
      </c>
      <c r="E697" s="13" t="s">
        <v>41</v>
      </c>
      <c r="F697" s="13">
        <v>1.0</v>
      </c>
      <c r="G697" s="13" t="s">
        <v>32</v>
      </c>
      <c r="H697" s="33">
        <f t="shared" ref="H697:H700" si="102">if(G697="Unknown",1,G697)</f>
        <v>1</v>
      </c>
      <c r="I697" s="13" t="s">
        <v>33</v>
      </c>
      <c r="J697" s="13" t="s">
        <v>93</v>
      </c>
      <c r="K697" s="13">
        <v>3.0</v>
      </c>
      <c r="L697" s="13" t="s">
        <v>119</v>
      </c>
      <c r="M697" s="157" t="s">
        <v>2211</v>
      </c>
      <c r="N697" s="15"/>
      <c r="O697" s="86" t="str">
        <f>hyperlink("https://bad-boys.us/?q=ND-NY/1:18-mj-00007", "ND-NY 1:18-mj-00007")</f>
        <v>ND-NY 1:18-mj-00007</v>
      </c>
      <c r="P697" s="86" t="s">
        <v>2212</v>
      </c>
      <c r="Q697" s="64">
        <v>1.0</v>
      </c>
      <c r="R697" s="16"/>
      <c r="S697" s="37" t="str">
        <f>IFERROR(__xludf.DUMMYFUNCTION("if(not(iserror(index(split(C697, "" ""),2))), index(split(C697, "" ""),1),"""")"),"January")</f>
        <v>January</v>
      </c>
      <c r="T697" s="38">
        <f>IFERROR(__xludf.DUMMYFUNCTION("if(S697="""",C697,if(not(iserror(index(split(C697, "" ""),3))), index(split(C697, "" ""),3),index(split(C697, "" ""),2)))"),2018.0)</f>
        <v>2018</v>
      </c>
      <c r="U697" s="38" t="b">
        <f t="shared" ref="U697:U701" si="103">countif(A$4:A4658, A697)&gt;1</f>
        <v>1</v>
      </c>
      <c r="V697" s="38"/>
      <c r="W697" s="40"/>
      <c r="X697" s="40"/>
      <c r="Y697" s="40"/>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row>
    <row r="698">
      <c r="A698" s="13" t="s">
        <v>239</v>
      </c>
      <c r="B698" s="30">
        <v>43112.0</v>
      </c>
      <c r="C698" s="30">
        <v>43109.0</v>
      </c>
      <c r="D698" s="32" t="s">
        <v>2210</v>
      </c>
      <c r="E698" s="13" t="s">
        <v>41</v>
      </c>
      <c r="F698" s="13">
        <v>2.0</v>
      </c>
      <c r="G698" s="13">
        <v>2.0</v>
      </c>
      <c r="H698" s="33">
        <f t="shared" si="102"/>
        <v>2</v>
      </c>
      <c r="I698" s="13" t="s">
        <v>33</v>
      </c>
      <c r="J698" s="13" t="s">
        <v>241</v>
      </c>
      <c r="K698" s="13">
        <v>1.0</v>
      </c>
      <c r="L698" s="13" t="s">
        <v>194</v>
      </c>
      <c r="M698" s="45" t="s">
        <v>2213</v>
      </c>
      <c r="N698" s="15"/>
      <c r="O698" s="16"/>
      <c r="P698" s="16"/>
      <c r="Q698" s="16"/>
      <c r="R698" s="16"/>
      <c r="S698" s="37" t="str">
        <f>IFERROR(__xludf.DUMMYFUNCTION("if(not(iserror(index(split(C698, "" ""),2))), index(split(C698, "" ""),1),"""")"),"January")</f>
        <v>January</v>
      </c>
      <c r="T698" s="38">
        <f>IFERROR(__xludf.DUMMYFUNCTION("if(S698="""",C698,if(not(iserror(index(split(C698, "" ""),3))), index(split(C698, "" ""),3),index(split(C698, "" ""),2)))"),2018.0)</f>
        <v>2018</v>
      </c>
      <c r="U698" s="38" t="b">
        <f t="shared" si="103"/>
        <v>1</v>
      </c>
      <c r="V698" s="38"/>
      <c r="W698" s="40"/>
      <c r="X698" s="40"/>
      <c r="Y698" s="40"/>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row>
    <row r="699">
      <c r="A699" s="13" t="s">
        <v>2214</v>
      </c>
      <c r="B699" s="30">
        <v>43132.0</v>
      </c>
      <c r="C699" s="30">
        <v>43109.0</v>
      </c>
      <c r="D699" s="32" t="s">
        <v>2215</v>
      </c>
      <c r="E699" s="13" t="s">
        <v>41</v>
      </c>
      <c r="F699" s="13">
        <v>1.0</v>
      </c>
      <c r="G699" s="13" t="s">
        <v>32</v>
      </c>
      <c r="H699" s="33">
        <f t="shared" si="102"/>
        <v>1</v>
      </c>
      <c r="I699" s="13" t="s">
        <v>33</v>
      </c>
      <c r="J699" s="13" t="s">
        <v>111</v>
      </c>
      <c r="K699" s="13">
        <v>1.0</v>
      </c>
      <c r="L699" s="13" t="s">
        <v>2216</v>
      </c>
      <c r="M699" s="157" t="s">
        <v>2217</v>
      </c>
      <c r="N699" s="36" t="s">
        <v>2218</v>
      </c>
      <c r="O699" s="86" t="str">
        <f>hyperlink("https://bad-boys.us/?q=ED-CA/2:18-mj-00006", "ED-CA 2:18-mj-00006")</f>
        <v>ED-CA 2:18-mj-00006</v>
      </c>
      <c r="P699" s="86" t="s">
        <v>2219</v>
      </c>
      <c r="Q699" s="64">
        <v>1.0</v>
      </c>
      <c r="R699" s="16"/>
      <c r="S699" s="37" t="str">
        <f>IFERROR(__xludf.DUMMYFUNCTION("if(not(iserror(index(split(C699, "" ""),2))), index(split(C699, "" ""),1),"""")"),"January")</f>
        <v>January</v>
      </c>
      <c r="T699" s="38">
        <f>IFERROR(__xludf.DUMMYFUNCTION("if(S699="""",C699,if(not(iserror(index(split(C699, "" ""),3))), index(split(C699, "" ""),3),index(split(C699, "" ""),2)))"),2018.0)</f>
        <v>2018</v>
      </c>
      <c r="U699" s="38" t="b">
        <f t="shared" si="103"/>
        <v>0</v>
      </c>
      <c r="V699" s="38"/>
      <c r="W699" s="40"/>
      <c r="X699" s="40"/>
      <c r="Y699" s="40"/>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row>
    <row r="700">
      <c r="A700" s="191" t="s">
        <v>2220</v>
      </c>
      <c r="B700" s="30">
        <v>43110.0</v>
      </c>
      <c r="C700" s="30">
        <v>43110.0</v>
      </c>
      <c r="D700" s="32" t="s">
        <v>2221</v>
      </c>
      <c r="E700" s="13" t="s">
        <v>41</v>
      </c>
      <c r="F700" s="13">
        <v>1.0</v>
      </c>
      <c r="G700" s="13" t="s">
        <v>32</v>
      </c>
      <c r="H700" s="33">
        <f t="shared" si="102"/>
        <v>1</v>
      </c>
      <c r="I700" s="13" t="s">
        <v>33</v>
      </c>
      <c r="J700" s="13" t="s">
        <v>124</v>
      </c>
      <c r="K700" s="13">
        <v>1.0</v>
      </c>
      <c r="L700" s="13" t="s">
        <v>2222</v>
      </c>
      <c r="M700" s="45" t="s">
        <v>2223</v>
      </c>
      <c r="N700" s="15"/>
      <c r="O700" s="57" t="str">
        <f>hyperlink("https://bad-boys.us/?q=ND-OH/1:18-cr-00022", "ND-OH 1:18-cr-00022")</f>
        <v>ND-OH 1:18-cr-00022</v>
      </c>
      <c r="P700" s="86" t="s">
        <v>2224</v>
      </c>
      <c r="Q700" s="37">
        <v>1.0</v>
      </c>
      <c r="R700" s="16"/>
      <c r="S700" s="37" t="str">
        <f>IFERROR(__xludf.DUMMYFUNCTION("if(not(iserror(index(split(C700, "" ""),2))), index(split(C700, "" ""),1),"""")"),"January")</f>
        <v>January</v>
      </c>
      <c r="T700" s="38">
        <f>IFERROR(__xludf.DUMMYFUNCTION("if(S700="""",C700,if(not(iserror(index(split(C700, "" ""),3))), index(split(C700, "" ""),3),index(split(C700, "" ""),2)))"),2018.0)</f>
        <v>2018</v>
      </c>
      <c r="U700" s="38" t="b">
        <f t="shared" si="103"/>
        <v>0</v>
      </c>
      <c r="V700" s="38"/>
      <c r="W700" s="40"/>
      <c r="X700" s="40"/>
      <c r="Y700" s="40"/>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row>
    <row r="701">
      <c r="A701" s="87" t="s">
        <v>2225</v>
      </c>
      <c r="B701" s="30"/>
      <c r="C701" s="30">
        <v>43110.0</v>
      </c>
      <c r="D701" s="32"/>
      <c r="E701" s="13" t="s">
        <v>31</v>
      </c>
      <c r="F701" s="13">
        <v>1.0</v>
      </c>
      <c r="G701" s="13" t="s">
        <v>32</v>
      </c>
      <c r="H701" s="43">
        <v>1.0</v>
      </c>
      <c r="I701" s="13" t="s">
        <v>33</v>
      </c>
      <c r="J701" s="13" t="s">
        <v>75</v>
      </c>
      <c r="K701" s="13"/>
      <c r="L701" s="13" t="s">
        <v>119</v>
      </c>
      <c r="M701" s="36" t="s">
        <v>2226</v>
      </c>
      <c r="N701" s="14"/>
      <c r="O701" s="86" t="str">
        <f>hyperlink("https://bad-boys.us/?q=ED-KY/5:18-cr-00020", "ED-KY 5:18-cr-00020")</f>
        <v>ED-KY 5:18-cr-00020</v>
      </c>
      <c r="P701" s="37"/>
      <c r="Q701" s="37">
        <v>1.0</v>
      </c>
      <c r="R701" s="16"/>
      <c r="S701" s="37" t="str">
        <f>IFERROR(__xludf.DUMMYFUNCTION("if(not(iserror(index(split(C701, "" ""),2))), index(split(C701, "" ""),1),"""")"),"January")</f>
        <v>January</v>
      </c>
      <c r="T701" s="38">
        <f>IFERROR(__xludf.DUMMYFUNCTION("if(S701="""",C701,if(not(iserror(index(split(C701, "" ""),3))), index(split(C701, "" ""),3),index(split(C701, "" ""),2)))"),2018.0)</f>
        <v>2018</v>
      </c>
      <c r="U701" s="38" t="b">
        <f t="shared" si="103"/>
        <v>0</v>
      </c>
      <c r="V701" s="38" t="s">
        <v>33</v>
      </c>
      <c r="W701" s="39" t="s">
        <v>2227</v>
      </c>
      <c r="X701" s="39" t="s">
        <v>2228</v>
      </c>
      <c r="Y701" s="40"/>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row>
    <row r="702">
      <c r="A702" s="13" t="s">
        <v>2229</v>
      </c>
      <c r="B702" s="30"/>
      <c r="C702" s="30">
        <v>43110.0</v>
      </c>
      <c r="D702" s="32"/>
      <c r="E702" s="13" t="s">
        <v>41</v>
      </c>
      <c r="F702" s="13">
        <v>1.0</v>
      </c>
      <c r="G702" s="13">
        <v>1.0</v>
      </c>
      <c r="H702" s="43">
        <v>1.0</v>
      </c>
      <c r="I702" s="13" t="s">
        <v>33</v>
      </c>
      <c r="J702" s="13" t="s">
        <v>147</v>
      </c>
      <c r="K702" s="13"/>
      <c r="L702" s="13" t="s">
        <v>2230</v>
      </c>
      <c r="M702" s="45" t="s">
        <v>2231</v>
      </c>
      <c r="N702" s="15"/>
      <c r="O702" s="16"/>
      <c r="P702" s="16"/>
      <c r="Q702" s="37">
        <v>1.0</v>
      </c>
      <c r="R702" s="16"/>
      <c r="S702" s="37"/>
      <c r="T702" s="38"/>
      <c r="U702" s="38"/>
      <c r="V702" s="38" t="s">
        <v>33</v>
      </c>
      <c r="W702" s="40"/>
      <c r="X702" s="40"/>
      <c r="Y702" s="40"/>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row>
    <row r="703">
      <c r="A703" s="13" t="s">
        <v>2232</v>
      </c>
      <c r="B703" s="30">
        <v>43110.0</v>
      </c>
      <c r="C703" s="30">
        <v>43110.0</v>
      </c>
      <c r="D703" s="32" t="s">
        <v>2221</v>
      </c>
      <c r="E703" s="13" t="s">
        <v>31</v>
      </c>
      <c r="F703" s="13">
        <v>1.0</v>
      </c>
      <c r="G703" s="13" t="s">
        <v>32</v>
      </c>
      <c r="H703" s="33">
        <f t="shared" ref="H703:H708" si="104">if(G703="Unknown",1,G703)</f>
        <v>1</v>
      </c>
      <c r="I703" s="13" t="s">
        <v>33</v>
      </c>
      <c r="J703" s="13" t="s">
        <v>402</v>
      </c>
      <c r="K703" s="13" t="s">
        <v>32</v>
      </c>
      <c r="L703" s="13" t="s">
        <v>119</v>
      </c>
      <c r="M703" s="45" t="s">
        <v>2233</v>
      </c>
      <c r="N703" s="15"/>
      <c r="O703" s="16"/>
      <c r="P703" s="16"/>
      <c r="Q703" s="16"/>
      <c r="R703" s="16"/>
      <c r="S703" s="37" t="str">
        <f>IFERROR(__xludf.DUMMYFUNCTION("if(not(iserror(index(split(C703, "" ""),2))), index(split(C703, "" ""),1),"""")"),"January")</f>
        <v>January</v>
      </c>
      <c r="T703" s="38">
        <f>IFERROR(__xludf.DUMMYFUNCTION("if(S703="""",C703,if(not(iserror(index(split(C703, "" ""),3))), index(split(C703, "" ""),3),index(split(C703, "" ""),2)))"),2018.0)</f>
        <v>2018</v>
      </c>
      <c r="U703" s="38" t="b">
        <f t="shared" ref="U703:U752" si="105">countif(A$4:A4658, A703)&gt;1</f>
        <v>0</v>
      </c>
      <c r="V703" s="38"/>
      <c r="W703" s="40"/>
      <c r="X703" s="40"/>
      <c r="Y703" s="40"/>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row>
    <row r="704">
      <c r="A704" s="152" t="s">
        <v>2234</v>
      </c>
      <c r="B704" s="153">
        <v>43110.0</v>
      </c>
      <c r="C704" s="153">
        <v>43110.0</v>
      </c>
      <c r="D704" s="154" t="s">
        <v>2221</v>
      </c>
      <c r="E704" s="155" t="s">
        <v>31</v>
      </c>
      <c r="F704" s="152">
        <v>1.0</v>
      </c>
      <c r="G704" s="152" t="s">
        <v>32</v>
      </c>
      <c r="H704" s="33">
        <f t="shared" si="104"/>
        <v>1</v>
      </c>
      <c r="I704" s="152" t="s">
        <v>33</v>
      </c>
      <c r="J704" s="152" t="s">
        <v>162</v>
      </c>
      <c r="K704" s="152">
        <v>1.0</v>
      </c>
      <c r="L704" s="152" t="s">
        <v>2194</v>
      </c>
      <c r="M704" s="158" t="s">
        <v>2235</v>
      </c>
      <c r="N704" s="158" t="s">
        <v>2236</v>
      </c>
      <c r="O704" s="37"/>
      <c r="P704" s="37"/>
      <c r="Q704" s="64"/>
      <c r="R704" s="16"/>
      <c r="S704" s="37" t="str">
        <f>IFERROR(__xludf.DUMMYFUNCTION("if(not(iserror(index(split(C704, "" ""),2))), index(split(C704, "" ""),1),"""")"),"January")</f>
        <v>January</v>
      </c>
      <c r="T704" s="38">
        <f>IFERROR(__xludf.DUMMYFUNCTION("if(S704="""",C704,if(not(iserror(index(split(C704, "" ""),3))), index(split(C704, "" ""),3),index(split(C704, "" ""),2)))"),2018.0)</f>
        <v>2018</v>
      </c>
      <c r="U704" s="38" t="b">
        <f t="shared" si="105"/>
        <v>0</v>
      </c>
      <c r="V704" s="38"/>
      <c r="W704" s="40"/>
      <c r="X704" s="40"/>
      <c r="Y704" s="40"/>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row>
    <row r="705">
      <c r="A705" s="13" t="s">
        <v>2237</v>
      </c>
      <c r="B705" s="30">
        <v>43111.0</v>
      </c>
      <c r="C705" s="30">
        <v>43111.0</v>
      </c>
      <c r="D705" s="32" t="s">
        <v>2238</v>
      </c>
      <c r="E705" s="13" t="s">
        <v>41</v>
      </c>
      <c r="F705" s="13">
        <v>1.0</v>
      </c>
      <c r="G705" s="13" t="s">
        <v>32</v>
      </c>
      <c r="H705" s="33">
        <f t="shared" si="104"/>
        <v>1</v>
      </c>
      <c r="I705" s="13" t="s">
        <v>33</v>
      </c>
      <c r="J705" s="13" t="s">
        <v>124</v>
      </c>
      <c r="K705" s="13">
        <v>1.0</v>
      </c>
      <c r="L705" s="13" t="s">
        <v>119</v>
      </c>
      <c r="M705" s="157" t="s">
        <v>2239</v>
      </c>
      <c r="N705" s="15"/>
      <c r="O705" s="57" t="str">
        <f>hyperlink("https://bad-boys.us/?q=ND-OH/3:18-cr-00026", "ND-OH 3:18-cr-00026")</f>
        <v>ND-OH 3:18-cr-00026</v>
      </c>
      <c r="P705" s="86" t="s">
        <v>2240</v>
      </c>
      <c r="Q705" s="37">
        <v>1.0</v>
      </c>
      <c r="R705" s="16"/>
      <c r="S705" s="37" t="str">
        <f>IFERROR(__xludf.DUMMYFUNCTION("if(not(iserror(index(split(C705, "" ""),2))), index(split(C705, "" ""),1),"""")"),"January")</f>
        <v>January</v>
      </c>
      <c r="T705" s="38">
        <f>IFERROR(__xludf.DUMMYFUNCTION("if(S705="""",C705,if(not(iserror(index(split(C705, "" ""),3))), index(split(C705, "" ""),3),index(split(C705, "" ""),2)))"),2018.0)</f>
        <v>2018</v>
      </c>
      <c r="U705" s="38" t="b">
        <f t="shared" si="105"/>
        <v>0</v>
      </c>
      <c r="V705" s="38" t="s">
        <v>33</v>
      </c>
      <c r="W705" s="40"/>
      <c r="X705" s="40"/>
      <c r="Y705" s="40"/>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row>
    <row r="706">
      <c r="A706" s="58" t="s">
        <v>2241</v>
      </c>
      <c r="B706" s="59">
        <v>43236.0</v>
      </c>
      <c r="C706" s="59">
        <v>43111.0</v>
      </c>
      <c r="D706" s="60" t="s">
        <v>2238</v>
      </c>
      <c r="E706" s="58" t="s">
        <v>41</v>
      </c>
      <c r="F706" s="58">
        <v>1.0</v>
      </c>
      <c r="G706" s="58" t="s">
        <v>32</v>
      </c>
      <c r="H706" s="33">
        <f t="shared" si="104"/>
        <v>1</v>
      </c>
      <c r="I706" s="58" t="s">
        <v>33</v>
      </c>
      <c r="J706" s="58" t="s">
        <v>193</v>
      </c>
      <c r="K706" s="58">
        <v>4.0</v>
      </c>
      <c r="L706" s="58" t="s">
        <v>2230</v>
      </c>
      <c r="M706" s="61" t="s">
        <v>2242</v>
      </c>
      <c r="N706" s="77"/>
      <c r="O706" s="88" t="str">
        <f>hyperlink("https://bad-boys.us/?q=D-NM/2:18-cr-01647", "D-NM 2:18-cr-01647")</f>
        <v>D-NM 2:18-cr-01647</v>
      </c>
      <c r="P706" s="88" t="s">
        <v>2243</v>
      </c>
      <c r="Q706" s="58">
        <v>1.0</v>
      </c>
      <c r="R706" s="62"/>
      <c r="S706" s="37" t="str">
        <f>IFERROR(__xludf.DUMMYFUNCTION("if(not(iserror(index(split(C706, "" ""),2))), index(split(C706, "" ""),1),"""")"),"January")</f>
        <v>January</v>
      </c>
      <c r="T706" s="38">
        <f>IFERROR(__xludf.DUMMYFUNCTION("if(S706="""",C706,if(not(iserror(index(split(C706, "" ""),3))), index(split(C706, "" ""),3),index(split(C706, "" ""),2)))"),2018.0)</f>
        <v>2018</v>
      </c>
      <c r="U706" s="38" t="b">
        <f t="shared" si="105"/>
        <v>0</v>
      </c>
      <c r="V706" s="38"/>
      <c r="W706" s="40"/>
      <c r="X706" s="40"/>
      <c r="Y706" s="40"/>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row>
    <row r="707">
      <c r="A707" s="78" t="s">
        <v>2244</v>
      </c>
      <c r="B707" s="59">
        <v>43258.0</v>
      </c>
      <c r="C707" s="59">
        <v>43111.0</v>
      </c>
      <c r="D707" s="60" t="s">
        <v>2238</v>
      </c>
      <c r="E707" s="58" t="s">
        <v>31</v>
      </c>
      <c r="F707" s="58">
        <v>1.0</v>
      </c>
      <c r="G707" s="58" t="s">
        <v>32</v>
      </c>
      <c r="H707" s="33">
        <f t="shared" si="104"/>
        <v>1</v>
      </c>
      <c r="I707" s="58" t="s">
        <v>33</v>
      </c>
      <c r="J707" s="58" t="s">
        <v>179</v>
      </c>
      <c r="K707" s="58">
        <v>1.0</v>
      </c>
      <c r="L707" s="58" t="s">
        <v>99</v>
      </c>
      <c r="M707" s="36" t="s">
        <v>2245</v>
      </c>
      <c r="N707" s="77"/>
      <c r="O707" s="62"/>
      <c r="P707" s="62"/>
      <c r="Q707" s="62"/>
      <c r="R707" s="62"/>
      <c r="S707" s="37" t="str">
        <f>IFERROR(__xludf.DUMMYFUNCTION("if(not(iserror(index(split(C707, "" ""),2))), index(split(C707, "" ""),1),"""")"),"January")</f>
        <v>January</v>
      </c>
      <c r="T707" s="38">
        <f>IFERROR(__xludf.DUMMYFUNCTION("if(S707="""",C707,if(not(iserror(index(split(C707, "" ""),3))), index(split(C707, "" ""),3),index(split(C707, "" ""),2)))"),2018.0)</f>
        <v>2018</v>
      </c>
      <c r="U707" s="38" t="b">
        <f t="shared" si="105"/>
        <v>0</v>
      </c>
      <c r="V707" s="38"/>
      <c r="W707" s="40"/>
      <c r="X707" s="40"/>
      <c r="Y707" s="40"/>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row>
    <row r="708">
      <c r="A708" s="78" t="s">
        <v>2246</v>
      </c>
      <c r="B708" s="59">
        <v>43314.0</v>
      </c>
      <c r="C708" s="59">
        <v>43111.0</v>
      </c>
      <c r="D708" s="60" t="s">
        <v>2247</v>
      </c>
      <c r="E708" s="58" t="s">
        <v>41</v>
      </c>
      <c r="F708" s="58">
        <v>1.0</v>
      </c>
      <c r="G708" s="58" t="s">
        <v>32</v>
      </c>
      <c r="H708" s="33">
        <f t="shared" si="104"/>
        <v>1</v>
      </c>
      <c r="I708" s="58" t="s">
        <v>33</v>
      </c>
      <c r="J708" s="58" t="s">
        <v>147</v>
      </c>
      <c r="K708" s="58">
        <v>1.0</v>
      </c>
      <c r="L708" s="58" t="s">
        <v>2248</v>
      </c>
      <c r="M708" s="61" t="s">
        <v>2249</v>
      </c>
      <c r="N708" s="77"/>
      <c r="O708" s="62"/>
      <c r="P708" s="62"/>
      <c r="Q708" s="62"/>
      <c r="R708" s="62"/>
      <c r="S708" s="37" t="str">
        <f>IFERROR(__xludf.DUMMYFUNCTION("if(not(iserror(index(split(C708, "" ""),2))), index(split(C708, "" ""),1),"""")"),"January")</f>
        <v>January</v>
      </c>
      <c r="T708" s="38">
        <f>IFERROR(__xludf.DUMMYFUNCTION("if(S708="""",C708,if(not(iserror(index(split(C708, "" ""),3))), index(split(C708, "" ""),3),index(split(C708, "" ""),2)))"),2018.0)</f>
        <v>2018</v>
      </c>
      <c r="U708" s="38" t="b">
        <f t="shared" si="105"/>
        <v>0</v>
      </c>
      <c r="V708" s="38" t="s">
        <v>33</v>
      </c>
      <c r="W708" s="40"/>
      <c r="X708" s="40"/>
      <c r="Y708" s="40"/>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row>
    <row r="709">
      <c r="A709" s="78" t="s">
        <v>2250</v>
      </c>
      <c r="B709" s="59">
        <v>43314.0</v>
      </c>
      <c r="C709" s="59">
        <v>43111.0</v>
      </c>
      <c r="D709" s="60" t="s">
        <v>2247</v>
      </c>
      <c r="E709" s="58" t="s">
        <v>41</v>
      </c>
      <c r="F709" s="58">
        <v>1.0</v>
      </c>
      <c r="G709" s="58" t="s">
        <v>32</v>
      </c>
      <c r="H709" s="33">
        <v>1.0</v>
      </c>
      <c r="I709" s="58" t="s">
        <v>33</v>
      </c>
      <c r="J709" s="58" t="s">
        <v>147</v>
      </c>
      <c r="K709" s="58">
        <v>1.0</v>
      </c>
      <c r="L709" s="58" t="s">
        <v>2248</v>
      </c>
      <c r="M709" s="61" t="s">
        <v>2251</v>
      </c>
      <c r="N709" s="61" t="s">
        <v>2252</v>
      </c>
      <c r="O709" s="62"/>
      <c r="P709" s="62"/>
      <c r="Q709" s="58"/>
      <c r="R709" s="62"/>
      <c r="S709" s="37" t="s">
        <v>2253</v>
      </c>
      <c r="T709" s="38">
        <v>2018.0</v>
      </c>
      <c r="U709" s="38" t="b">
        <f t="shared" si="105"/>
        <v>0</v>
      </c>
      <c r="V709" s="38" t="s">
        <v>33</v>
      </c>
      <c r="W709" s="39" t="s">
        <v>2254</v>
      </c>
      <c r="X709" s="40"/>
      <c r="Y709" s="40"/>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row>
    <row r="710">
      <c r="A710" s="58" t="s">
        <v>2255</v>
      </c>
      <c r="B710" s="59">
        <v>43418.0</v>
      </c>
      <c r="C710" s="59">
        <v>43111.0</v>
      </c>
      <c r="D710" s="60" t="s">
        <v>2238</v>
      </c>
      <c r="E710" s="58" t="s">
        <v>31</v>
      </c>
      <c r="F710" s="58">
        <v>1.0</v>
      </c>
      <c r="G710" s="58" t="s">
        <v>32</v>
      </c>
      <c r="H710" s="33">
        <f t="shared" ref="H710:H716" si="106">if(G710="Unknown",1,G710)</f>
        <v>1</v>
      </c>
      <c r="I710" s="58" t="s">
        <v>33</v>
      </c>
      <c r="J710" s="58" t="s">
        <v>98</v>
      </c>
      <c r="K710" s="58">
        <v>1.0</v>
      </c>
      <c r="L710" s="58" t="s">
        <v>99</v>
      </c>
      <c r="M710" s="61" t="s">
        <v>2256</v>
      </c>
      <c r="N710" s="61" t="s">
        <v>2257</v>
      </c>
      <c r="O710" s="88" t="str">
        <f>hyperlink("https://bad-boys.us/?q=MD-GA/3:18-cr-00008", "MD-GA 3:18-cr-00008")</f>
        <v>MD-GA 3:18-cr-00008</v>
      </c>
      <c r="P710" s="88" t="s">
        <v>2258</v>
      </c>
      <c r="Q710" s="84">
        <v>1.0</v>
      </c>
      <c r="R710" s="62"/>
      <c r="S710" s="37" t="str">
        <f>IFERROR(__xludf.DUMMYFUNCTION("if(not(iserror(index(split(C710, "" ""),2))), index(split(C710, "" ""),1),"""")"),"January")</f>
        <v>January</v>
      </c>
      <c r="T710" s="38">
        <f>IFERROR(__xludf.DUMMYFUNCTION("if(S710="""",C710,if(not(iserror(index(split(C710, "" ""),3))), index(split(C710, "" ""),3),index(split(C710, "" ""),2)))"),2018.0)</f>
        <v>2018</v>
      </c>
      <c r="U710" s="38" t="b">
        <f t="shared" si="105"/>
        <v>0</v>
      </c>
      <c r="V710" s="38"/>
      <c r="W710" s="40"/>
      <c r="X710" s="40"/>
      <c r="Y710" s="40"/>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row>
    <row r="711">
      <c r="A711" s="78" t="s">
        <v>2259</v>
      </c>
      <c r="B711" s="59">
        <v>43283.0</v>
      </c>
      <c r="C711" s="59">
        <v>43112.0</v>
      </c>
      <c r="D711" s="60" t="s">
        <v>2260</v>
      </c>
      <c r="E711" s="58" t="s">
        <v>31</v>
      </c>
      <c r="F711" s="58">
        <v>1.0</v>
      </c>
      <c r="G711" s="58" t="s">
        <v>32</v>
      </c>
      <c r="H711" s="33">
        <f t="shared" si="106"/>
        <v>1</v>
      </c>
      <c r="I711" s="58" t="s">
        <v>33</v>
      </c>
      <c r="J711" s="58" t="s">
        <v>433</v>
      </c>
      <c r="K711" s="58">
        <v>1.0</v>
      </c>
      <c r="L711" s="58" t="s">
        <v>52</v>
      </c>
      <c r="M711" s="61" t="s">
        <v>2261</v>
      </c>
      <c r="N711" s="77"/>
      <c r="O711" s="62"/>
      <c r="P711" s="62"/>
      <c r="Q711" s="62"/>
      <c r="R711" s="62"/>
      <c r="S711" s="37" t="str">
        <f>IFERROR(__xludf.DUMMYFUNCTION("if(not(iserror(index(split(C711, "" ""),2))), index(split(C711, "" ""),1),"""")"),"January")</f>
        <v>January</v>
      </c>
      <c r="T711" s="38">
        <f>IFERROR(__xludf.DUMMYFUNCTION("if(S711="""",C711,if(not(iserror(index(split(C711, "" ""),3))), index(split(C711, "" ""),3),index(split(C711, "" ""),2)))"),2018.0)</f>
        <v>2018</v>
      </c>
      <c r="U711" s="38" t="b">
        <f t="shared" si="105"/>
        <v>0</v>
      </c>
      <c r="V711" s="38"/>
      <c r="W711" s="40"/>
      <c r="X711" s="40"/>
      <c r="Y711" s="40"/>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row>
    <row r="712">
      <c r="A712" s="13" t="s">
        <v>2262</v>
      </c>
      <c r="B712" s="30">
        <v>43114.0</v>
      </c>
      <c r="C712" s="30">
        <v>43114.0</v>
      </c>
      <c r="D712" s="32" t="s">
        <v>2263</v>
      </c>
      <c r="E712" s="13" t="s">
        <v>41</v>
      </c>
      <c r="F712" s="13">
        <v>1.0</v>
      </c>
      <c r="G712" s="13" t="s">
        <v>32</v>
      </c>
      <c r="H712" s="33">
        <f t="shared" si="106"/>
        <v>1</v>
      </c>
      <c r="I712" s="13" t="s">
        <v>33</v>
      </c>
      <c r="J712" s="13" t="s">
        <v>268</v>
      </c>
      <c r="K712" s="13">
        <v>8.0</v>
      </c>
      <c r="L712" s="13" t="s">
        <v>99</v>
      </c>
      <c r="M712" s="35" t="s">
        <v>2264</v>
      </c>
      <c r="N712" s="35" t="s">
        <v>2265</v>
      </c>
      <c r="O712" s="86" t="str">
        <f>hyperlink("https://bad-boys.us/?q=ND-OK/4:18-cr-00022", "ND-OK 4:18-cr-00022")</f>
        <v>ND-OK 4:18-cr-00022</v>
      </c>
      <c r="P712" s="37"/>
      <c r="Q712" s="37">
        <v>1.0</v>
      </c>
      <c r="R712" s="16"/>
      <c r="S712" s="37" t="str">
        <f>IFERROR(__xludf.DUMMYFUNCTION("if(not(iserror(index(split(C712, "" ""),2))), index(split(C712, "" ""),1),"""")"),"January")</f>
        <v>January</v>
      </c>
      <c r="T712" s="38">
        <f>IFERROR(__xludf.DUMMYFUNCTION("if(S712="""",C712,if(not(iserror(index(split(C712, "" ""),3))), index(split(C712, "" ""),3),index(split(C712, "" ""),2)))"),2018.0)</f>
        <v>2018</v>
      </c>
      <c r="U712" s="38" t="b">
        <f t="shared" si="105"/>
        <v>0</v>
      </c>
      <c r="V712" s="38"/>
      <c r="W712" s="40"/>
      <c r="X712" s="40"/>
      <c r="Y712" s="40"/>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row>
    <row r="713">
      <c r="A713" s="13" t="s">
        <v>239</v>
      </c>
      <c r="B713" s="30">
        <v>43116.0</v>
      </c>
      <c r="C713" s="30">
        <v>43114.0</v>
      </c>
      <c r="D713" s="32" t="s">
        <v>2263</v>
      </c>
      <c r="E713" s="13" t="s">
        <v>41</v>
      </c>
      <c r="F713" s="13">
        <v>1.0</v>
      </c>
      <c r="G713" s="13">
        <v>3.0</v>
      </c>
      <c r="H713" s="33">
        <f t="shared" si="106"/>
        <v>3</v>
      </c>
      <c r="I713" s="13" t="s">
        <v>33</v>
      </c>
      <c r="J713" s="13" t="s">
        <v>241</v>
      </c>
      <c r="K713" s="13">
        <v>1.0</v>
      </c>
      <c r="L713" s="13" t="s">
        <v>194</v>
      </c>
      <c r="M713" s="35" t="s">
        <v>2266</v>
      </c>
      <c r="N713" s="15"/>
      <c r="O713" s="37"/>
      <c r="P713" s="37"/>
      <c r="Q713" s="64"/>
      <c r="R713" s="16"/>
      <c r="S713" s="37" t="str">
        <f>IFERROR(__xludf.DUMMYFUNCTION("if(not(iserror(index(split(C713, "" ""),2))), index(split(C713, "" ""),1),"""")"),"January")</f>
        <v>January</v>
      </c>
      <c r="T713" s="38">
        <f>IFERROR(__xludf.DUMMYFUNCTION("if(S713="""",C713,if(not(iserror(index(split(C713, "" ""),3))), index(split(C713, "" ""),3),index(split(C713, "" ""),2)))"),2018.0)</f>
        <v>2018</v>
      </c>
      <c r="U713" s="38" t="b">
        <f t="shared" si="105"/>
        <v>1</v>
      </c>
      <c r="V713" s="38"/>
      <c r="W713" s="40"/>
      <c r="X713" s="40"/>
      <c r="Y713" s="40"/>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row>
    <row r="714">
      <c r="A714" s="13" t="s">
        <v>239</v>
      </c>
      <c r="B714" s="30">
        <v>43117.0</v>
      </c>
      <c r="C714" s="30">
        <v>43116.0</v>
      </c>
      <c r="D714" s="32" t="s">
        <v>2267</v>
      </c>
      <c r="E714" s="13" t="s">
        <v>41</v>
      </c>
      <c r="F714" s="13">
        <v>1.0</v>
      </c>
      <c r="G714" s="13">
        <v>2.0</v>
      </c>
      <c r="H714" s="33">
        <f t="shared" si="106"/>
        <v>2</v>
      </c>
      <c r="I714" s="13" t="s">
        <v>33</v>
      </c>
      <c r="J714" s="13" t="s">
        <v>241</v>
      </c>
      <c r="K714" s="13">
        <v>1.0</v>
      </c>
      <c r="L714" s="13" t="s">
        <v>194</v>
      </c>
      <c r="M714" s="35" t="s">
        <v>2268</v>
      </c>
      <c r="N714" s="15"/>
      <c r="O714" s="37"/>
      <c r="P714" s="37"/>
      <c r="Q714" s="64"/>
      <c r="R714" s="16"/>
      <c r="S714" s="37" t="str">
        <f>IFERROR(__xludf.DUMMYFUNCTION("if(not(iserror(index(split(C714, "" ""),2))), index(split(C714, "" ""),1),"""")"),"January")</f>
        <v>January</v>
      </c>
      <c r="T714" s="38">
        <f>IFERROR(__xludf.DUMMYFUNCTION("if(S714="""",C714,if(not(iserror(index(split(C714, "" ""),3))), index(split(C714, "" ""),3),index(split(C714, "" ""),2)))"),2018.0)</f>
        <v>2018</v>
      </c>
      <c r="U714" s="38" t="b">
        <f t="shared" si="105"/>
        <v>1</v>
      </c>
      <c r="V714" s="38"/>
      <c r="W714" s="40"/>
      <c r="X714" s="40"/>
      <c r="Y714" s="40"/>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row>
    <row r="715">
      <c r="A715" s="85" t="s">
        <v>2269</v>
      </c>
      <c r="B715" s="59">
        <v>43437.0</v>
      </c>
      <c r="C715" s="59">
        <v>43116.0</v>
      </c>
      <c r="D715" s="60" t="s">
        <v>2267</v>
      </c>
      <c r="E715" s="58" t="s">
        <v>41</v>
      </c>
      <c r="F715" s="58">
        <v>1.0</v>
      </c>
      <c r="G715" s="58" t="s">
        <v>32</v>
      </c>
      <c r="H715" s="33">
        <f t="shared" si="106"/>
        <v>1</v>
      </c>
      <c r="I715" s="58" t="s">
        <v>33</v>
      </c>
      <c r="J715" s="58" t="s">
        <v>184</v>
      </c>
      <c r="K715" s="58">
        <v>2.0</v>
      </c>
      <c r="L715" s="58" t="s">
        <v>119</v>
      </c>
      <c r="M715" s="61" t="s">
        <v>2270</v>
      </c>
      <c r="N715" s="80"/>
      <c r="O715" s="88" t="str">
        <f>hyperlink("https://bad-boys.us/?q=CD-IL/2:18-cr-20008", "CD-IL 2:18-cr-20008")</f>
        <v>CD-IL 2:18-cr-20008</v>
      </c>
      <c r="P715" s="88" t="s">
        <v>2271</v>
      </c>
      <c r="Q715" s="84">
        <v>1.0</v>
      </c>
      <c r="R715" s="62"/>
      <c r="S715" s="37" t="str">
        <f>IFERROR(__xludf.DUMMYFUNCTION("if(not(iserror(index(split(C715, "" ""),2))), index(split(C715, "" ""),1),"""")"),"January")</f>
        <v>January</v>
      </c>
      <c r="T715" s="38">
        <f>IFERROR(__xludf.DUMMYFUNCTION("if(S715="""",C715,if(not(iserror(index(split(C715, "" ""),3))), index(split(C715, "" ""),3),index(split(C715, "" ""),2)))"),2018.0)</f>
        <v>2018</v>
      </c>
      <c r="U715" s="38" t="b">
        <f t="shared" si="105"/>
        <v>0</v>
      </c>
      <c r="V715" s="38"/>
      <c r="W715" s="40"/>
      <c r="X715" s="40"/>
      <c r="Y715" s="40"/>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row>
    <row r="716">
      <c r="A716" s="13" t="s">
        <v>2272</v>
      </c>
      <c r="B716" s="30">
        <v>43117.0</v>
      </c>
      <c r="C716" s="30">
        <v>43117.0</v>
      </c>
      <c r="D716" s="32" t="s">
        <v>2273</v>
      </c>
      <c r="E716" s="13" t="s">
        <v>41</v>
      </c>
      <c r="F716" s="13">
        <v>1.0</v>
      </c>
      <c r="G716" s="13" t="s">
        <v>32</v>
      </c>
      <c r="H716" s="33">
        <f t="shared" si="106"/>
        <v>1</v>
      </c>
      <c r="I716" s="13" t="s">
        <v>33</v>
      </c>
      <c r="J716" s="13" t="s">
        <v>115</v>
      </c>
      <c r="K716" s="13">
        <v>2.0</v>
      </c>
      <c r="L716" s="13" t="s">
        <v>2274</v>
      </c>
      <c r="M716" s="56" t="s">
        <v>2275</v>
      </c>
      <c r="N716" s="36" t="s">
        <v>2276</v>
      </c>
      <c r="O716" s="86" t="str">
        <f>hyperlink("https://bad-boys.us/?q=WD-PA/2:18-cr-00013", "WD-PA 2:18-cr-00013")</f>
        <v>WD-PA 2:18-cr-00013</v>
      </c>
      <c r="P716" s="86" t="s">
        <v>2277</v>
      </c>
      <c r="Q716" s="37">
        <v>1.0</v>
      </c>
      <c r="R716" s="16"/>
      <c r="S716" s="37" t="str">
        <f>IFERROR(__xludf.DUMMYFUNCTION("if(not(iserror(index(split(C716, "" ""),2))), index(split(C716, "" ""),1),"""")"),"January")</f>
        <v>January</v>
      </c>
      <c r="T716" s="38">
        <f>IFERROR(__xludf.DUMMYFUNCTION("if(S716="""",C716,if(not(iserror(index(split(C716, "" ""),3))), index(split(C716, "" ""),3),index(split(C716, "" ""),2)))"),2018.0)</f>
        <v>2018</v>
      </c>
      <c r="U716" s="38" t="b">
        <f t="shared" si="105"/>
        <v>0</v>
      </c>
      <c r="V716" s="38" t="s">
        <v>33</v>
      </c>
      <c r="W716" s="39" t="s">
        <v>2278</v>
      </c>
      <c r="X716" s="39" t="s">
        <v>2279</v>
      </c>
      <c r="Y716" s="40"/>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row>
    <row r="717">
      <c r="A717" s="13" t="s">
        <v>2280</v>
      </c>
      <c r="B717" s="30">
        <v>43118.0</v>
      </c>
      <c r="C717" s="30">
        <v>43117.0</v>
      </c>
      <c r="D717" s="32" t="s">
        <v>2281</v>
      </c>
      <c r="E717" s="13" t="s">
        <v>41</v>
      </c>
      <c r="F717" s="13">
        <v>1.0</v>
      </c>
      <c r="G717" s="13">
        <v>1.0</v>
      </c>
      <c r="H717" s="50">
        <v>1.0</v>
      </c>
      <c r="I717" s="13" t="s">
        <v>33</v>
      </c>
      <c r="J717" s="13" t="s">
        <v>279</v>
      </c>
      <c r="K717" s="13">
        <v>2.0</v>
      </c>
      <c r="L717" s="13" t="s">
        <v>76</v>
      </c>
      <c r="M717" s="36" t="s">
        <v>2282</v>
      </c>
      <c r="N717" s="36" t="s">
        <v>2283</v>
      </c>
      <c r="O717" s="16"/>
      <c r="P717" s="16"/>
      <c r="Q717" s="37"/>
      <c r="R717" s="16"/>
      <c r="S717" s="37" t="str">
        <f>IFERROR(__xludf.DUMMYFUNCTION("if(not(iserror(index(split(C717, "" ""),2))), index(split(C717, "" ""),1),"""")"),"January")</f>
        <v>January</v>
      </c>
      <c r="T717" s="38">
        <f>IFERROR(__xludf.DUMMYFUNCTION("if(S717="""",C717,if(not(iserror(index(split(C717, "" ""),3))), index(split(C717, "" ""),3),index(split(C717, "" ""),2)))"),2018.0)</f>
        <v>2018</v>
      </c>
      <c r="U717" s="38" t="b">
        <f t="shared" si="105"/>
        <v>0</v>
      </c>
      <c r="V717" s="38"/>
      <c r="W717" s="40"/>
      <c r="X717" s="40"/>
      <c r="Y717" s="40"/>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row>
    <row r="718">
      <c r="A718" s="13" t="s">
        <v>2284</v>
      </c>
      <c r="B718" s="30">
        <v>43123.0</v>
      </c>
      <c r="C718" s="30">
        <v>43117.0</v>
      </c>
      <c r="D718" s="32" t="s">
        <v>2273</v>
      </c>
      <c r="E718" s="13" t="s">
        <v>41</v>
      </c>
      <c r="F718" s="13">
        <v>1.0</v>
      </c>
      <c r="G718" s="13" t="s">
        <v>32</v>
      </c>
      <c r="H718" s="33">
        <f t="shared" ref="H718:H721" si="107">if(G718="Unknown",1,G718)</f>
        <v>1</v>
      </c>
      <c r="I718" s="13" t="s">
        <v>33</v>
      </c>
      <c r="J718" s="13" t="s">
        <v>184</v>
      </c>
      <c r="K718" s="13">
        <v>3.0</v>
      </c>
      <c r="L718" s="13" t="s">
        <v>119</v>
      </c>
      <c r="M718" s="35" t="s">
        <v>2285</v>
      </c>
      <c r="N718" s="36" t="s">
        <v>2286</v>
      </c>
      <c r="O718" s="86" t="str">
        <f>hyperlink("https://bad-boys.us/?q=SD-IL/3:18-cr-30010", "SD-IL 3:18-cr-30010")</f>
        <v>SD-IL 3:18-cr-30010</v>
      </c>
      <c r="P718" s="86" t="s">
        <v>2287</v>
      </c>
      <c r="Q718" s="64">
        <v>1.0</v>
      </c>
      <c r="R718" s="16"/>
      <c r="S718" s="37" t="str">
        <f>IFERROR(__xludf.DUMMYFUNCTION("if(not(iserror(index(split(C718, "" ""),2))), index(split(C718, "" ""),1),"""")"),"January")</f>
        <v>January</v>
      </c>
      <c r="T718" s="38">
        <f>IFERROR(__xludf.DUMMYFUNCTION("if(S718="""",C718,if(not(iserror(index(split(C718, "" ""),3))), index(split(C718, "" ""),3),index(split(C718, "" ""),2)))"),2018.0)</f>
        <v>2018</v>
      </c>
      <c r="U718" s="38" t="b">
        <f t="shared" si="105"/>
        <v>0</v>
      </c>
      <c r="V718" s="38"/>
      <c r="W718" s="40"/>
      <c r="X718" s="40"/>
      <c r="Y718" s="40"/>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row>
    <row r="719">
      <c r="A719" s="13" t="s">
        <v>2288</v>
      </c>
      <c r="B719" s="30">
        <v>43130.0</v>
      </c>
      <c r="C719" s="30">
        <v>43117.0</v>
      </c>
      <c r="D719" s="32" t="s">
        <v>2289</v>
      </c>
      <c r="E719" s="13" t="s">
        <v>41</v>
      </c>
      <c r="F719" s="13">
        <v>1.0</v>
      </c>
      <c r="G719" s="13" t="s">
        <v>32</v>
      </c>
      <c r="H719" s="33">
        <f t="shared" si="107"/>
        <v>1</v>
      </c>
      <c r="I719" s="13" t="s">
        <v>33</v>
      </c>
      <c r="J719" s="13" t="s">
        <v>203</v>
      </c>
      <c r="K719" s="13">
        <v>1.0</v>
      </c>
      <c r="L719" s="13" t="s">
        <v>69</v>
      </c>
      <c r="M719" s="61" t="s">
        <v>2290</v>
      </c>
      <c r="N719" s="15"/>
      <c r="O719" s="16"/>
      <c r="P719" s="37"/>
      <c r="Q719" s="37"/>
      <c r="R719" s="16"/>
      <c r="S719" s="37" t="str">
        <f>IFERROR(__xludf.DUMMYFUNCTION("if(not(iserror(index(split(C719, "" ""),2))), index(split(C719, "" ""),1),"""")"),"January")</f>
        <v>January</v>
      </c>
      <c r="T719" s="38">
        <f>IFERROR(__xludf.DUMMYFUNCTION("if(S719="""",C719,if(not(iserror(index(split(C719, "" ""),3))), index(split(C719, "" ""),3),index(split(C719, "" ""),2)))"),2018.0)</f>
        <v>2018</v>
      </c>
      <c r="U719" s="38" t="b">
        <f t="shared" si="105"/>
        <v>0</v>
      </c>
      <c r="V719" s="38"/>
      <c r="W719" s="40"/>
      <c r="X719" s="40"/>
      <c r="Y719" s="40"/>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row>
    <row r="720">
      <c r="A720" s="37" t="s">
        <v>2291</v>
      </c>
      <c r="B720" s="30">
        <v>43161.0</v>
      </c>
      <c r="C720" s="30">
        <v>43117.0</v>
      </c>
      <c r="D720" s="32" t="s">
        <v>2281</v>
      </c>
      <c r="E720" s="13" t="s">
        <v>31</v>
      </c>
      <c r="F720" s="13">
        <v>1.0</v>
      </c>
      <c r="G720" s="13" t="s">
        <v>32</v>
      </c>
      <c r="H720" s="33">
        <f t="shared" si="107"/>
        <v>1</v>
      </c>
      <c r="I720" s="13" t="s">
        <v>33</v>
      </c>
      <c r="J720" s="13" t="s">
        <v>42</v>
      </c>
      <c r="K720" s="13">
        <v>1.0</v>
      </c>
      <c r="L720" s="13" t="s">
        <v>52</v>
      </c>
      <c r="M720" s="35" t="s">
        <v>2292</v>
      </c>
      <c r="N720" s="15"/>
      <c r="O720" s="16"/>
      <c r="P720" s="16"/>
      <c r="Q720" s="16"/>
      <c r="R720" s="16"/>
      <c r="S720" s="37" t="str">
        <f>IFERROR(__xludf.DUMMYFUNCTION("if(not(iserror(index(split(C720, "" ""),2))), index(split(C720, "" ""),1),"""")"),"January")</f>
        <v>January</v>
      </c>
      <c r="T720" s="38">
        <f>IFERROR(__xludf.DUMMYFUNCTION("if(S720="""",C720,if(not(iserror(index(split(C720, "" ""),3))), index(split(C720, "" ""),3),index(split(C720, "" ""),2)))"),2018.0)</f>
        <v>2018</v>
      </c>
      <c r="U720" s="38" t="b">
        <f t="shared" si="105"/>
        <v>0</v>
      </c>
      <c r="V720" s="38"/>
      <c r="W720" s="40"/>
      <c r="X720" s="40"/>
      <c r="Y720" s="40"/>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row>
    <row r="721">
      <c r="A721" s="13" t="s">
        <v>2293</v>
      </c>
      <c r="B721" s="30">
        <v>43118.0</v>
      </c>
      <c r="C721" s="30">
        <v>43118.0</v>
      </c>
      <c r="D721" s="32" t="s">
        <v>2294</v>
      </c>
      <c r="E721" s="13" t="s">
        <v>41</v>
      </c>
      <c r="F721" s="13">
        <v>1.0</v>
      </c>
      <c r="G721" s="13" t="s">
        <v>32</v>
      </c>
      <c r="H721" s="33">
        <f t="shared" si="107"/>
        <v>1</v>
      </c>
      <c r="I721" s="13" t="s">
        <v>33</v>
      </c>
      <c r="J721" s="13" t="s">
        <v>68</v>
      </c>
      <c r="K721" s="13">
        <v>1.0</v>
      </c>
      <c r="L721" s="13" t="s">
        <v>119</v>
      </c>
      <c r="M721" s="56" t="s">
        <v>2295</v>
      </c>
      <c r="N721" s="15"/>
      <c r="O721" s="37"/>
      <c r="P721" s="37"/>
      <c r="Q721" s="64"/>
      <c r="R721" s="16"/>
      <c r="S721" s="37" t="str">
        <f>IFERROR(__xludf.DUMMYFUNCTION("if(not(iserror(index(split(C721, "" ""),2))), index(split(C721, "" ""),1),"""")"),"January")</f>
        <v>January</v>
      </c>
      <c r="T721" s="38">
        <f>IFERROR(__xludf.DUMMYFUNCTION("if(S721="""",C721,if(not(iserror(index(split(C721, "" ""),3))), index(split(C721, "" ""),3),index(split(C721, "" ""),2)))"),2018.0)</f>
        <v>2018</v>
      </c>
      <c r="U721" s="38" t="b">
        <f t="shared" si="105"/>
        <v>0</v>
      </c>
      <c r="V721" s="38" t="s">
        <v>33</v>
      </c>
      <c r="W721" s="40"/>
      <c r="X721" s="40"/>
      <c r="Y721" s="40"/>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row>
    <row r="722">
      <c r="A722" s="13" t="s">
        <v>2296</v>
      </c>
      <c r="B722" s="30"/>
      <c r="C722" s="30">
        <v>43118.0</v>
      </c>
      <c r="D722" s="32"/>
      <c r="E722" s="13" t="s">
        <v>41</v>
      </c>
      <c r="F722" s="13">
        <v>1.0</v>
      </c>
      <c r="G722" s="13" t="s">
        <v>32</v>
      </c>
      <c r="H722" s="43">
        <v>1.0</v>
      </c>
      <c r="I722" s="13" t="s">
        <v>33</v>
      </c>
      <c r="J722" s="13" t="s">
        <v>909</v>
      </c>
      <c r="K722" s="13"/>
      <c r="L722" s="13" t="s">
        <v>119</v>
      </c>
      <c r="M722" s="35" t="s">
        <v>2297</v>
      </c>
      <c r="N722" s="15"/>
      <c r="O722" s="37"/>
      <c r="P722" s="37"/>
      <c r="Q722" s="37"/>
      <c r="R722" s="16"/>
      <c r="S722" s="37" t="str">
        <f>IFERROR(__xludf.DUMMYFUNCTION("if(not(iserror(index(split(C722, "" ""),2))), index(split(C722, "" ""),1),"""")"),"January")</f>
        <v>January</v>
      </c>
      <c r="T722" s="38">
        <f>IFERROR(__xludf.DUMMYFUNCTION("if(S722="""",C722,if(not(iserror(index(split(C722, "" ""),3))), index(split(C722, "" ""),3),index(split(C722, "" ""),2)))"),2018.0)</f>
        <v>2018</v>
      </c>
      <c r="U722" s="38" t="b">
        <f t="shared" si="105"/>
        <v>0</v>
      </c>
      <c r="V722" s="38" t="s">
        <v>33</v>
      </c>
      <c r="W722" s="40"/>
      <c r="X722" s="40"/>
      <c r="Y722" s="40"/>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row>
    <row r="723">
      <c r="A723" s="13" t="s">
        <v>2298</v>
      </c>
      <c r="B723" s="30">
        <v>43118.0</v>
      </c>
      <c r="C723" s="30">
        <v>43118.0</v>
      </c>
      <c r="D723" s="32" t="s">
        <v>2294</v>
      </c>
      <c r="E723" s="13" t="s">
        <v>41</v>
      </c>
      <c r="F723" s="13">
        <v>1.0</v>
      </c>
      <c r="G723" s="13" t="s">
        <v>32</v>
      </c>
      <c r="H723" s="33">
        <f t="shared" ref="H723:H735" si="108">if(G723="Unknown",1,G723)</f>
        <v>1</v>
      </c>
      <c r="I723" s="13" t="s">
        <v>33</v>
      </c>
      <c r="J723" s="13" t="s">
        <v>124</v>
      </c>
      <c r="K723" s="13">
        <v>4.0</v>
      </c>
      <c r="L723" s="13" t="s">
        <v>2299</v>
      </c>
      <c r="M723" s="36" t="s">
        <v>2300</v>
      </c>
      <c r="N723" s="15"/>
      <c r="O723" s="86" t="str">
        <f>hyperlink("https://bad-boys.us/?q=ND-OH/4:18-cr-00043", "ND-OH 4:18-cr-00043")</f>
        <v>ND-OH 4:18-cr-00043</v>
      </c>
      <c r="P723" s="86" t="s">
        <v>2301</v>
      </c>
      <c r="Q723" s="64">
        <v>1.0</v>
      </c>
      <c r="R723" s="16"/>
      <c r="S723" s="37" t="str">
        <f>IFERROR(__xludf.DUMMYFUNCTION("if(not(iserror(index(split(C723, "" ""),2))), index(split(C723, "" ""),1),"""")"),"January")</f>
        <v>January</v>
      </c>
      <c r="T723" s="38">
        <f>IFERROR(__xludf.DUMMYFUNCTION("if(S723="""",C723,if(not(iserror(index(split(C723, "" ""),3))), index(split(C723, "" ""),3),index(split(C723, "" ""),2)))"),2018.0)</f>
        <v>2018</v>
      </c>
      <c r="U723" s="38" t="b">
        <f t="shared" si="105"/>
        <v>0</v>
      </c>
      <c r="V723" s="38"/>
      <c r="W723" s="40"/>
      <c r="X723" s="40"/>
      <c r="Y723" s="40"/>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row>
    <row r="724">
      <c r="A724" s="13" t="s">
        <v>239</v>
      </c>
      <c r="B724" s="30">
        <v>43119.0</v>
      </c>
      <c r="C724" s="30">
        <v>43118.0</v>
      </c>
      <c r="D724" s="32" t="s">
        <v>2294</v>
      </c>
      <c r="E724" s="13" t="s">
        <v>41</v>
      </c>
      <c r="F724" s="13">
        <v>1.0</v>
      </c>
      <c r="G724" s="13">
        <v>2.0</v>
      </c>
      <c r="H724" s="33">
        <f t="shared" si="108"/>
        <v>2</v>
      </c>
      <c r="I724" s="13" t="s">
        <v>33</v>
      </c>
      <c r="J724" s="13" t="s">
        <v>241</v>
      </c>
      <c r="K724" s="13">
        <v>1.0</v>
      </c>
      <c r="L724" s="13" t="s">
        <v>194</v>
      </c>
      <c r="M724" s="36" t="s">
        <v>2302</v>
      </c>
      <c r="N724" s="15"/>
      <c r="O724" s="16"/>
      <c r="P724" s="16"/>
      <c r="Q724" s="16"/>
      <c r="R724" s="16"/>
      <c r="S724" s="37" t="str">
        <f>IFERROR(__xludf.DUMMYFUNCTION("if(not(iserror(index(split(C724, "" ""),2))), index(split(C724, "" ""),1),"""")"),"January")</f>
        <v>January</v>
      </c>
      <c r="T724" s="38">
        <f>IFERROR(__xludf.DUMMYFUNCTION("if(S724="""",C724,if(not(iserror(index(split(C724, "" ""),3))), index(split(C724, "" ""),3),index(split(C724, "" ""),2)))"),2018.0)</f>
        <v>2018</v>
      </c>
      <c r="U724" s="38" t="b">
        <f t="shared" si="105"/>
        <v>1</v>
      </c>
      <c r="V724" s="38"/>
      <c r="W724" s="40"/>
      <c r="X724" s="40"/>
      <c r="Y724" s="40"/>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row>
    <row r="725">
      <c r="A725" s="13" t="s">
        <v>2303</v>
      </c>
      <c r="B725" s="30">
        <v>43124.0</v>
      </c>
      <c r="C725" s="30">
        <v>43119.0</v>
      </c>
      <c r="D725" s="32" t="s">
        <v>2304</v>
      </c>
      <c r="E725" s="13" t="s">
        <v>41</v>
      </c>
      <c r="F725" s="13">
        <v>1.0</v>
      </c>
      <c r="G725" s="13" t="s">
        <v>32</v>
      </c>
      <c r="H725" s="33">
        <f t="shared" si="108"/>
        <v>1</v>
      </c>
      <c r="I725" s="13" t="s">
        <v>33</v>
      </c>
      <c r="J725" s="13" t="s">
        <v>93</v>
      </c>
      <c r="K725" s="13">
        <v>1.0</v>
      </c>
      <c r="L725" s="13" t="s">
        <v>2305</v>
      </c>
      <c r="M725" s="35" t="s">
        <v>2306</v>
      </c>
      <c r="N725" s="15"/>
      <c r="O725" s="86" t="str">
        <f>hyperlink("https://bad-boys.us/?q=ND-NY/1:18-cr-00184", "ND-NY 1:18-cr-00184")</f>
        <v>ND-NY 1:18-cr-00184</v>
      </c>
      <c r="P725" s="86" t="s">
        <v>2307</v>
      </c>
      <c r="Q725" s="64">
        <v>1.0</v>
      </c>
      <c r="R725" s="16"/>
      <c r="S725" s="37" t="str">
        <f>IFERROR(__xludf.DUMMYFUNCTION("if(not(iserror(index(split(C725, "" ""),2))), index(split(C725, "" ""),1),"""")"),"January")</f>
        <v>January</v>
      </c>
      <c r="T725" s="38">
        <f>IFERROR(__xludf.DUMMYFUNCTION("if(S725="""",C725,if(not(iserror(index(split(C725, "" ""),3))), index(split(C725, "" ""),3),index(split(C725, "" ""),2)))"),2018.0)</f>
        <v>2018</v>
      </c>
      <c r="U725" s="38" t="b">
        <f t="shared" si="105"/>
        <v>0</v>
      </c>
      <c r="V725" s="38"/>
      <c r="W725" s="40"/>
      <c r="X725" s="40"/>
      <c r="Y725" s="40"/>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row>
    <row r="726">
      <c r="A726" s="13" t="s">
        <v>2308</v>
      </c>
      <c r="B726" s="30">
        <v>43120.0</v>
      </c>
      <c r="C726" s="30">
        <v>43120.0</v>
      </c>
      <c r="D726" s="32" t="s">
        <v>2309</v>
      </c>
      <c r="E726" s="13" t="s">
        <v>31</v>
      </c>
      <c r="F726" s="13">
        <v>1.0</v>
      </c>
      <c r="G726" s="13" t="s">
        <v>32</v>
      </c>
      <c r="H726" s="33">
        <f t="shared" si="108"/>
        <v>1</v>
      </c>
      <c r="I726" s="13" t="s">
        <v>33</v>
      </c>
      <c r="J726" s="13" t="s">
        <v>47</v>
      </c>
      <c r="K726" s="13">
        <v>1.0</v>
      </c>
      <c r="L726" s="13" t="s">
        <v>2310</v>
      </c>
      <c r="M726" s="35" t="s">
        <v>2311</v>
      </c>
      <c r="N726" s="15"/>
      <c r="O726" s="37"/>
      <c r="P726" s="37"/>
      <c r="Q726" s="64"/>
      <c r="R726" s="16"/>
      <c r="S726" s="37" t="str">
        <f>IFERROR(__xludf.DUMMYFUNCTION("if(not(iserror(index(split(C726, "" ""),2))), index(split(C726, "" ""),1),"""")"),"January")</f>
        <v>January</v>
      </c>
      <c r="T726" s="38">
        <f>IFERROR(__xludf.DUMMYFUNCTION("if(S726="""",C726,if(not(iserror(index(split(C726, "" ""),3))), index(split(C726, "" ""),3),index(split(C726, "" ""),2)))"),2018.0)</f>
        <v>2018</v>
      </c>
      <c r="U726" s="38" t="b">
        <f t="shared" si="105"/>
        <v>0</v>
      </c>
      <c r="V726" s="38"/>
      <c r="W726" s="40"/>
      <c r="X726" s="40"/>
      <c r="Y726" s="40"/>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row>
    <row r="727">
      <c r="A727" s="37" t="s">
        <v>2312</v>
      </c>
      <c r="B727" s="59">
        <v>43243.0</v>
      </c>
      <c r="C727" s="59">
        <v>43120.0</v>
      </c>
      <c r="D727" s="60" t="s">
        <v>2309</v>
      </c>
      <c r="E727" s="58" t="s">
        <v>41</v>
      </c>
      <c r="F727" s="58">
        <v>1.0</v>
      </c>
      <c r="G727" s="58" t="s">
        <v>32</v>
      </c>
      <c r="H727" s="33">
        <f t="shared" si="108"/>
        <v>1</v>
      </c>
      <c r="I727" s="58" t="s">
        <v>33</v>
      </c>
      <c r="J727" s="58" t="s">
        <v>147</v>
      </c>
      <c r="K727" s="58">
        <v>1.0</v>
      </c>
      <c r="L727" s="58" t="s">
        <v>194</v>
      </c>
      <c r="M727" s="61" t="s">
        <v>2313</v>
      </c>
      <c r="N727" s="77"/>
      <c r="O727" s="62"/>
      <c r="P727" s="62"/>
      <c r="Q727" s="62"/>
      <c r="R727" s="62"/>
      <c r="S727" s="37" t="str">
        <f>IFERROR(__xludf.DUMMYFUNCTION("if(not(iserror(index(split(C727, "" ""),2))), index(split(C727, "" ""),1),"""")"),"January")</f>
        <v>January</v>
      </c>
      <c r="T727" s="38">
        <f>IFERROR(__xludf.DUMMYFUNCTION("if(S727="""",C727,if(not(iserror(index(split(C727, "" ""),3))), index(split(C727, "" ""),3),index(split(C727, "" ""),2)))"),2018.0)</f>
        <v>2018</v>
      </c>
      <c r="U727" s="38" t="b">
        <f t="shared" si="105"/>
        <v>0</v>
      </c>
      <c r="V727" s="38"/>
      <c r="W727" s="40"/>
      <c r="X727" s="40"/>
      <c r="Y727" s="40"/>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row>
    <row r="728">
      <c r="A728" s="58" t="s">
        <v>2314</v>
      </c>
      <c r="B728" s="59">
        <v>43397.0</v>
      </c>
      <c r="C728" s="59">
        <v>43120.0</v>
      </c>
      <c r="D728" s="60" t="s">
        <v>2309</v>
      </c>
      <c r="E728" s="58" t="s">
        <v>41</v>
      </c>
      <c r="F728" s="58">
        <v>1.0</v>
      </c>
      <c r="G728" s="58">
        <v>2.0</v>
      </c>
      <c r="H728" s="33">
        <f t="shared" si="108"/>
        <v>2</v>
      </c>
      <c r="I728" s="58" t="s">
        <v>33</v>
      </c>
      <c r="J728" s="58" t="s">
        <v>2315</v>
      </c>
      <c r="K728" s="58">
        <v>1.0</v>
      </c>
      <c r="L728" s="58" t="s">
        <v>2316</v>
      </c>
      <c r="M728" s="61" t="s">
        <v>2317</v>
      </c>
      <c r="N728" s="80"/>
      <c r="O728" s="88" t="str">
        <f>hyperlink("https://bad-boys.us/?q=D-WY/1:18-cr-00045", "D-WY 1:18-cr-00045")</f>
        <v>D-WY 1:18-cr-00045</v>
      </c>
      <c r="P728" s="88" t="s">
        <v>2318</v>
      </c>
      <c r="Q728" s="84">
        <v>1.0</v>
      </c>
      <c r="R728" s="62"/>
      <c r="S728" s="37" t="str">
        <f>IFERROR(__xludf.DUMMYFUNCTION("if(not(iserror(index(split(C728, "" ""),2))), index(split(C728, "" ""),1),"""")"),"January")</f>
        <v>January</v>
      </c>
      <c r="T728" s="38">
        <f>IFERROR(__xludf.DUMMYFUNCTION("if(S728="""",C728,if(not(iserror(index(split(C728, "" ""),3))), index(split(C728, "" ""),3),index(split(C728, "" ""),2)))"),2018.0)</f>
        <v>2018</v>
      </c>
      <c r="U728" s="38" t="b">
        <f t="shared" si="105"/>
        <v>0</v>
      </c>
      <c r="V728" s="38"/>
      <c r="W728" s="40"/>
      <c r="X728" s="40"/>
      <c r="Y728" s="40"/>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row>
    <row r="729">
      <c r="A729" s="13" t="s">
        <v>2319</v>
      </c>
      <c r="B729" s="30">
        <v>43132.0</v>
      </c>
      <c r="C729" s="30">
        <v>43122.0</v>
      </c>
      <c r="D729" s="32" t="s">
        <v>2320</v>
      </c>
      <c r="E729" s="13" t="s">
        <v>41</v>
      </c>
      <c r="F729" s="13">
        <v>1.0</v>
      </c>
      <c r="G729" s="13">
        <v>2.0</v>
      </c>
      <c r="H729" s="33">
        <f t="shared" si="108"/>
        <v>2</v>
      </c>
      <c r="I729" s="13" t="s">
        <v>33</v>
      </c>
      <c r="J729" s="13" t="s">
        <v>440</v>
      </c>
      <c r="K729" s="13">
        <v>2.0</v>
      </c>
      <c r="L729" s="13" t="s">
        <v>35</v>
      </c>
      <c r="M729" s="192" t="s">
        <v>2321</v>
      </c>
      <c r="N729" s="14"/>
      <c r="O729" s="37"/>
      <c r="P729" s="37"/>
      <c r="Q729" s="37"/>
      <c r="R729" s="16"/>
      <c r="S729" s="37" t="str">
        <f>IFERROR(__xludf.DUMMYFUNCTION("if(not(iserror(index(split(C729, "" ""),2))), index(split(C729, "" ""),1),"""")"),"January")</f>
        <v>January</v>
      </c>
      <c r="T729" s="38">
        <f>IFERROR(__xludf.DUMMYFUNCTION("if(S729="""",C729,if(not(iserror(index(split(C729, "" ""),3))), index(split(C729, "" ""),3),index(split(C729, "" ""),2)))"),2018.0)</f>
        <v>2018</v>
      </c>
      <c r="U729" s="38" t="b">
        <f t="shared" si="105"/>
        <v>0</v>
      </c>
      <c r="V729" s="38" t="s">
        <v>33</v>
      </c>
      <c r="W729" s="40"/>
      <c r="X729" s="40"/>
      <c r="Y729" s="40"/>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row>
    <row r="730">
      <c r="A730" s="13" t="s">
        <v>2322</v>
      </c>
      <c r="B730" s="30">
        <v>43123.0</v>
      </c>
      <c r="C730" s="30">
        <v>43123.0</v>
      </c>
      <c r="D730" s="32" t="s">
        <v>2323</v>
      </c>
      <c r="E730" s="13" t="s">
        <v>31</v>
      </c>
      <c r="F730" s="13">
        <v>1.0</v>
      </c>
      <c r="G730" s="13" t="s">
        <v>32</v>
      </c>
      <c r="H730" s="33">
        <f t="shared" si="108"/>
        <v>1</v>
      </c>
      <c r="I730" s="13" t="s">
        <v>33</v>
      </c>
      <c r="J730" s="13" t="s">
        <v>106</v>
      </c>
      <c r="K730" s="13">
        <v>2.0</v>
      </c>
      <c r="L730" s="13" t="s">
        <v>2324</v>
      </c>
      <c r="M730" s="35" t="s">
        <v>2325</v>
      </c>
      <c r="N730" s="15"/>
      <c r="O730" s="16"/>
      <c r="P730" s="16"/>
      <c r="Q730" s="16"/>
      <c r="R730" s="16"/>
      <c r="S730" s="37" t="str">
        <f>IFERROR(__xludf.DUMMYFUNCTION("if(not(iserror(index(split(C730, "" ""),2))), index(split(C730, "" ""),1),"""")"),"January")</f>
        <v>January</v>
      </c>
      <c r="T730" s="38">
        <f>IFERROR(__xludf.DUMMYFUNCTION("if(S730="""",C730,if(not(iserror(index(split(C730, "" ""),3))), index(split(C730, "" ""),3),index(split(C730, "" ""),2)))"),2018.0)</f>
        <v>2018</v>
      </c>
      <c r="U730" s="38" t="b">
        <f t="shared" si="105"/>
        <v>0</v>
      </c>
      <c r="V730" s="38"/>
      <c r="W730" s="40"/>
      <c r="X730" s="40"/>
      <c r="Y730" s="40"/>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row>
    <row r="731">
      <c r="A731" s="58" t="s">
        <v>2326</v>
      </c>
      <c r="B731" s="59">
        <v>43354.0</v>
      </c>
      <c r="C731" s="59">
        <v>43123.0</v>
      </c>
      <c r="D731" s="60" t="s">
        <v>2323</v>
      </c>
      <c r="E731" s="58" t="s">
        <v>41</v>
      </c>
      <c r="F731" s="58">
        <v>1.0</v>
      </c>
      <c r="G731" s="58" t="s">
        <v>32</v>
      </c>
      <c r="H731" s="33">
        <f t="shared" si="108"/>
        <v>1</v>
      </c>
      <c r="I731" s="58" t="s">
        <v>33</v>
      </c>
      <c r="J731" s="58" t="s">
        <v>61</v>
      </c>
      <c r="K731" s="58">
        <v>4.0</v>
      </c>
      <c r="L731" s="58" t="s">
        <v>119</v>
      </c>
      <c r="M731" s="61" t="s">
        <v>2327</v>
      </c>
      <c r="N731" s="77"/>
      <c r="O731" s="58"/>
      <c r="P731" s="58"/>
      <c r="Q731" s="84"/>
      <c r="R731" s="62"/>
      <c r="S731" s="37" t="str">
        <f>IFERROR(__xludf.DUMMYFUNCTION("if(not(iserror(index(split(C731, "" ""),2))), index(split(C731, "" ""),1),"""")"),"January")</f>
        <v>January</v>
      </c>
      <c r="T731" s="38">
        <f>IFERROR(__xludf.DUMMYFUNCTION("if(S731="""",C731,if(not(iserror(index(split(C731, "" ""),3))), index(split(C731, "" ""),3),index(split(C731, "" ""),2)))"),2018.0)</f>
        <v>2018</v>
      </c>
      <c r="U731" s="38" t="b">
        <f t="shared" si="105"/>
        <v>0</v>
      </c>
      <c r="V731" s="38"/>
      <c r="W731" s="40"/>
      <c r="X731" s="40"/>
      <c r="Y731" s="40"/>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row>
    <row r="732">
      <c r="A732" s="13" t="s">
        <v>2328</v>
      </c>
      <c r="B732" s="30">
        <v>43125.0</v>
      </c>
      <c r="C732" s="30">
        <v>43124.0</v>
      </c>
      <c r="D732" s="32" t="s">
        <v>2329</v>
      </c>
      <c r="E732" s="13" t="s">
        <v>41</v>
      </c>
      <c r="F732" s="13">
        <v>2.0</v>
      </c>
      <c r="G732" s="13" t="s">
        <v>32</v>
      </c>
      <c r="H732" s="33">
        <f t="shared" si="108"/>
        <v>1</v>
      </c>
      <c r="I732" s="13" t="s">
        <v>33</v>
      </c>
      <c r="J732" s="13" t="s">
        <v>410</v>
      </c>
      <c r="K732" s="13">
        <v>3.0</v>
      </c>
      <c r="L732" s="13" t="s">
        <v>2330</v>
      </c>
      <c r="M732" s="35" t="s">
        <v>2331</v>
      </c>
      <c r="N732" s="15"/>
      <c r="O732" s="16"/>
      <c r="P732" s="16"/>
      <c r="Q732" s="16"/>
      <c r="R732" s="16"/>
      <c r="S732" s="37" t="str">
        <f>IFERROR(__xludf.DUMMYFUNCTION("if(not(iserror(index(split(C732, "" ""),2))), index(split(C732, "" ""),1),"""")"),"January")</f>
        <v>January</v>
      </c>
      <c r="T732" s="38">
        <f>IFERROR(__xludf.DUMMYFUNCTION("if(S732="""",C732,if(not(iserror(index(split(C732, "" ""),3))), index(split(C732, "" ""),3),index(split(C732, "" ""),2)))"),2018.0)</f>
        <v>2018</v>
      </c>
      <c r="U732" s="38" t="b">
        <f t="shared" si="105"/>
        <v>0</v>
      </c>
      <c r="V732" s="38"/>
      <c r="W732" s="40"/>
      <c r="X732" s="40"/>
      <c r="Y732" s="40"/>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row>
    <row r="733">
      <c r="A733" s="13" t="s">
        <v>239</v>
      </c>
      <c r="B733" s="30">
        <v>43129.0</v>
      </c>
      <c r="C733" s="30">
        <v>43124.0</v>
      </c>
      <c r="D733" s="32" t="s">
        <v>2289</v>
      </c>
      <c r="E733" s="13" t="s">
        <v>41</v>
      </c>
      <c r="F733" s="13">
        <v>3.0</v>
      </c>
      <c r="G733" s="13" t="s">
        <v>32</v>
      </c>
      <c r="H733" s="33">
        <f t="shared" si="108"/>
        <v>1</v>
      </c>
      <c r="I733" s="13" t="s">
        <v>33</v>
      </c>
      <c r="J733" s="13" t="s">
        <v>111</v>
      </c>
      <c r="K733" s="13">
        <v>1.0</v>
      </c>
      <c r="L733" s="13" t="s">
        <v>194</v>
      </c>
      <c r="M733" s="35" t="s">
        <v>2332</v>
      </c>
      <c r="N733" s="15"/>
      <c r="O733" s="16"/>
      <c r="P733" s="16"/>
      <c r="Q733" s="16"/>
      <c r="R733" s="16"/>
      <c r="S733" s="37" t="str">
        <f>IFERROR(__xludf.DUMMYFUNCTION("if(not(iserror(index(split(C733, "" ""),2))), index(split(C733, "" ""),1),"""")"),"January")</f>
        <v>January</v>
      </c>
      <c r="T733" s="38">
        <f>IFERROR(__xludf.DUMMYFUNCTION("if(S733="""",C733,if(not(iserror(index(split(C733, "" ""),3))), index(split(C733, "" ""),3),index(split(C733, "" ""),2)))"),2018.0)</f>
        <v>2018</v>
      </c>
      <c r="U733" s="38" t="b">
        <f t="shared" si="105"/>
        <v>1</v>
      </c>
      <c r="V733" s="38"/>
      <c r="W733" s="40"/>
      <c r="X733" s="40"/>
      <c r="Y733" s="40"/>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row>
    <row r="734">
      <c r="A734" s="13" t="s">
        <v>2333</v>
      </c>
      <c r="B734" s="30">
        <v>43125.0</v>
      </c>
      <c r="C734" s="30">
        <v>43125.0</v>
      </c>
      <c r="D734" s="32" t="s">
        <v>2289</v>
      </c>
      <c r="E734" s="13" t="s">
        <v>41</v>
      </c>
      <c r="F734" s="13">
        <v>1.0</v>
      </c>
      <c r="G734" s="13" t="s">
        <v>32</v>
      </c>
      <c r="H734" s="33">
        <f t="shared" si="108"/>
        <v>1</v>
      </c>
      <c r="I734" s="13" t="s">
        <v>33</v>
      </c>
      <c r="J734" s="13" t="s">
        <v>93</v>
      </c>
      <c r="K734" s="13">
        <v>4.0</v>
      </c>
      <c r="L734" s="13" t="s">
        <v>2334</v>
      </c>
      <c r="M734" s="35" t="s">
        <v>2335</v>
      </c>
      <c r="N734" s="15"/>
      <c r="O734" s="86" t="str">
        <f>hyperlink("https://bad-boys.us/?q=WD-NY/6:18-cr-06075", "WD-NY 6:18-cr-06075")</f>
        <v>WD-NY 6:18-cr-06075</v>
      </c>
      <c r="P734" s="37"/>
      <c r="Q734" s="64">
        <v>1.0</v>
      </c>
      <c r="R734" s="16"/>
      <c r="S734" s="37" t="str">
        <f>IFERROR(__xludf.DUMMYFUNCTION("if(not(iserror(index(split(C734, "" ""),2))), index(split(C734, "" ""),1),"""")"),"January")</f>
        <v>January</v>
      </c>
      <c r="T734" s="38">
        <f>IFERROR(__xludf.DUMMYFUNCTION("if(S734="""",C734,if(not(iserror(index(split(C734, "" ""),3))), index(split(C734, "" ""),3),index(split(C734, "" ""),2)))"),2018.0)</f>
        <v>2018</v>
      </c>
      <c r="U734" s="38" t="b">
        <f t="shared" si="105"/>
        <v>0</v>
      </c>
      <c r="V734" s="38"/>
      <c r="W734" s="40"/>
      <c r="X734" s="40"/>
      <c r="Y734" s="40"/>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row>
    <row r="735">
      <c r="A735" s="13" t="s">
        <v>2336</v>
      </c>
      <c r="B735" s="30">
        <v>43126.0</v>
      </c>
      <c r="C735" s="30">
        <v>43125.0</v>
      </c>
      <c r="D735" s="32" t="s">
        <v>2289</v>
      </c>
      <c r="E735" s="13" t="s">
        <v>41</v>
      </c>
      <c r="F735" s="13">
        <v>1.0</v>
      </c>
      <c r="G735" s="13" t="s">
        <v>32</v>
      </c>
      <c r="H735" s="33">
        <f t="shared" si="108"/>
        <v>1</v>
      </c>
      <c r="I735" s="13" t="s">
        <v>33</v>
      </c>
      <c r="J735" s="13" t="s">
        <v>279</v>
      </c>
      <c r="K735" s="13">
        <v>3.0</v>
      </c>
      <c r="L735" s="13" t="s">
        <v>2337</v>
      </c>
      <c r="M735" s="56" t="s">
        <v>2338</v>
      </c>
      <c r="N735" s="15"/>
      <c r="O735" s="86" t="str">
        <f>hyperlink("https://bad-boys.us/?q=WD-MO/3:18-cr-05003", "WD-MO 3:18-cr-05003")</f>
        <v>WD-MO 3:18-cr-05003</v>
      </c>
      <c r="P735" s="86" t="s">
        <v>2339</v>
      </c>
      <c r="Q735" s="64">
        <v>1.0</v>
      </c>
      <c r="R735" s="16"/>
      <c r="S735" s="37" t="str">
        <f>IFERROR(__xludf.DUMMYFUNCTION("if(not(iserror(index(split(C735, "" ""),2))), index(split(C735, "" ""),1),"""")"),"January")</f>
        <v>January</v>
      </c>
      <c r="T735" s="38">
        <f>IFERROR(__xludf.DUMMYFUNCTION("if(S735="""",C735,if(not(iserror(index(split(C735, "" ""),3))), index(split(C735, "" ""),3),index(split(C735, "" ""),2)))"),2018.0)</f>
        <v>2018</v>
      </c>
      <c r="U735" s="38" t="b">
        <f t="shared" si="105"/>
        <v>0</v>
      </c>
      <c r="V735" s="38"/>
      <c r="W735" s="40"/>
      <c r="X735" s="40"/>
      <c r="Y735" s="40"/>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row>
    <row r="736">
      <c r="A736" s="30" t="s">
        <v>2340</v>
      </c>
      <c r="B736" s="30"/>
      <c r="C736" s="30">
        <v>43126.0</v>
      </c>
      <c r="D736" s="32"/>
      <c r="E736" s="13" t="s">
        <v>41</v>
      </c>
      <c r="F736" s="13">
        <v>1.0</v>
      </c>
      <c r="G736" s="13" t="s">
        <v>32</v>
      </c>
      <c r="H736" s="43">
        <v>1.0</v>
      </c>
      <c r="I736" s="13" t="s">
        <v>33</v>
      </c>
      <c r="J736" s="13" t="s">
        <v>61</v>
      </c>
      <c r="K736" s="13"/>
      <c r="L736" s="13" t="s">
        <v>119</v>
      </c>
      <c r="M736" s="193" t="s">
        <v>2341</v>
      </c>
      <c r="N736" s="15"/>
      <c r="O736" s="57" t="str">
        <f>hyperlink("https://bad-boys.us/?q=MD-LA/3:19-cr-00042", "MD-LA 3:19-cr-00042")</f>
        <v>MD-LA 3:19-cr-00042</v>
      </c>
      <c r="P736" s="86" t="s">
        <v>2342</v>
      </c>
      <c r="Q736" s="37">
        <v>1.0</v>
      </c>
      <c r="R736" s="16"/>
      <c r="S736" s="37"/>
      <c r="T736" s="38"/>
      <c r="U736" s="38" t="b">
        <f t="shared" si="105"/>
        <v>0</v>
      </c>
      <c r="V736" s="38" t="s">
        <v>33</v>
      </c>
      <c r="W736" s="40"/>
      <c r="X736" s="40"/>
      <c r="Y736" s="40"/>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row>
    <row r="737">
      <c r="A737" s="13" t="s">
        <v>2343</v>
      </c>
      <c r="B737" s="30">
        <v>43126.0</v>
      </c>
      <c r="C737" s="30">
        <v>43126.0</v>
      </c>
      <c r="D737" s="32" t="s">
        <v>2344</v>
      </c>
      <c r="E737" s="13" t="s">
        <v>41</v>
      </c>
      <c r="F737" s="13">
        <v>1.0</v>
      </c>
      <c r="G737" s="13" t="s">
        <v>32</v>
      </c>
      <c r="H737" s="33">
        <f t="shared" ref="H737:H740" si="109">if(G737="Unknown",1,G737)</f>
        <v>1</v>
      </c>
      <c r="I737" s="13" t="s">
        <v>33</v>
      </c>
      <c r="J737" s="13" t="s">
        <v>147</v>
      </c>
      <c r="K737" s="13">
        <v>3.0</v>
      </c>
      <c r="L737" s="13" t="s">
        <v>1598</v>
      </c>
      <c r="M737" s="36" t="s">
        <v>2345</v>
      </c>
      <c r="N737" s="15"/>
      <c r="O737" s="16"/>
      <c r="P737" s="16"/>
      <c r="Q737" s="16"/>
      <c r="R737" s="16"/>
      <c r="S737" s="37" t="str">
        <f>IFERROR(__xludf.DUMMYFUNCTION("if(not(iserror(index(split(C737, "" ""),2))), index(split(C737, "" ""),1),"""")"),"January")</f>
        <v>January</v>
      </c>
      <c r="T737" s="38">
        <f>IFERROR(__xludf.DUMMYFUNCTION("if(S737="""",C737,if(not(iserror(index(split(C737, "" ""),3))), index(split(C737, "" ""),3),index(split(C737, "" ""),2)))"),2018.0)</f>
        <v>2018</v>
      </c>
      <c r="U737" s="38" t="b">
        <f t="shared" si="105"/>
        <v>0</v>
      </c>
      <c r="V737" s="38"/>
      <c r="W737" s="40"/>
      <c r="X737" s="40"/>
      <c r="Y737" s="40"/>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row>
    <row r="738">
      <c r="A738" s="13" t="s">
        <v>239</v>
      </c>
      <c r="B738" s="30">
        <v>43129.0</v>
      </c>
      <c r="C738" s="30">
        <v>43126.0</v>
      </c>
      <c r="D738" s="32" t="s">
        <v>2344</v>
      </c>
      <c r="E738" s="13" t="s">
        <v>41</v>
      </c>
      <c r="F738" s="13">
        <v>1.0</v>
      </c>
      <c r="G738" s="13">
        <v>76.0</v>
      </c>
      <c r="H738" s="33">
        <f t="shared" si="109"/>
        <v>76</v>
      </c>
      <c r="I738" s="13" t="s">
        <v>33</v>
      </c>
      <c r="J738" s="13" t="s">
        <v>147</v>
      </c>
      <c r="K738" s="13">
        <v>1.0</v>
      </c>
      <c r="L738" s="13" t="s">
        <v>194</v>
      </c>
      <c r="M738" s="35" t="s">
        <v>2346</v>
      </c>
      <c r="N738" s="15"/>
      <c r="O738" s="16"/>
      <c r="P738" s="16"/>
      <c r="Q738" s="16"/>
      <c r="R738" s="16"/>
      <c r="S738" s="37" t="str">
        <f>IFERROR(__xludf.DUMMYFUNCTION("if(not(iserror(index(split(C738, "" ""),2))), index(split(C738, "" ""),1),"""")"),"January")</f>
        <v>January</v>
      </c>
      <c r="T738" s="38">
        <f>IFERROR(__xludf.DUMMYFUNCTION("if(S738="""",C738,if(not(iserror(index(split(C738, "" ""),3))), index(split(C738, "" ""),3),index(split(C738, "" ""),2)))"),2018.0)</f>
        <v>2018</v>
      </c>
      <c r="U738" s="38" t="b">
        <f t="shared" si="105"/>
        <v>1</v>
      </c>
      <c r="V738" s="38"/>
      <c r="W738" s="40"/>
      <c r="X738" s="40"/>
      <c r="Y738" s="40"/>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row>
    <row r="739">
      <c r="A739" s="37" t="s">
        <v>40</v>
      </c>
      <c r="B739" s="30">
        <v>43138.0</v>
      </c>
      <c r="C739" s="30">
        <v>43126.0</v>
      </c>
      <c r="D739" s="32" t="s">
        <v>2347</v>
      </c>
      <c r="E739" s="13" t="s">
        <v>41</v>
      </c>
      <c r="F739" s="13">
        <v>43.0</v>
      </c>
      <c r="G739" s="13" t="s">
        <v>32</v>
      </c>
      <c r="H739" s="33">
        <f t="shared" si="109"/>
        <v>1</v>
      </c>
      <c r="I739" s="13" t="s">
        <v>33</v>
      </c>
      <c r="J739" s="13" t="s">
        <v>433</v>
      </c>
      <c r="K739" s="13">
        <v>5.0</v>
      </c>
      <c r="L739" s="13" t="s">
        <v>2348</v>
      </c>
      <c r="M739" s="35" t="s">
        <v>2349</v>
      </c>
      <c r="N739" s="15"/>
      <c r="O739" s="16"/>
      <c r="P739" s="16"/>
      <c r="Q739" s="16"/>
      <c r="R739" s="16"/>
      <c r="S739" s="37" t="str">
        <f>IFERROR(__xludf.DUMMYFUNCTION("if(not(iserror(index(split(C739, "" ""),2))), index(split(C739, "" ""),1),"""")"),"January")</f>
        <v>January</v>
      </c>
      <c r="T739" s="38">
        <f>IFERROR(__xludf.DUMMYFUNCTION("if(S739="""",C739,if(not(iserror(index(split(C739, "" ""),3))), index(split(C739, "" ""),3),index(split(C739, "" ""),2)))"),2018.0)</f>
        <v>2018</v>
      </c>
      <c r="U739" s="38" t="b">
        <f t="shared" si="105"/>
        <v>1</v>
      </c>
      <c r="V739" s="38"/>
      <c r="W739" s="40"/>
      <c r="X739" s="40"/>
      <c r="Y739" s="40"/>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row>
    <row r="740">
      <c r="A740" s="78" t="s">
        <v>2350</v>
      </c>
      <c r="B740" s="59">
        <v>43305.0</v>
      </c>
      <c r="C740" s="59">
        <v>43126.0</v>
      </c>
      <c r="D740" s="60" t="s">
        <v>2344</v>
      </c>
      <c r="E740" s="58" t="s">
        <v>41</v>
      </c>
      <c r="F740" s="58">
        <v>2.0</v>
      </c>
      <c r="G740" s="58" t="s">
        <v>32</v>
      </c>
      <c r="H740" s="33">
        <f t="shared" si="109"/>
        <v>1</v>
      </c>
      <c r="I740" s="58" t="s">
        <v>33</v>
      </c>
      <c r="J740" s="58" t="s">
        <v>111</v>
      </c>
      <c r="K740" s="58" t="s">
        <v>32</v>
      </c>
      <c r="L740" s="58" t="s">
        <v>52</v>
      </c>
      <c r="M740" s="61" t="s">
        <v>2351</v>
      </c>
      <c r="N740" s="77"/>
      <c r="O740" s="62"/>
      <c r="P740" s="62"/>
      <c r="Q740" s="84"/>
      <c r="R740" s="62"/>
      <c r="S740" s="37" t="str">
        <f>IFERROR(__xludf.DUMMYFUNCTION("if(not(iserror(index(split(C740, "" ""),2))), index(split(C740, "" ""),1),"""")"),"January")</f>
        <v>January</v>
      </c>
      <c r="T740" s="38">
        <f>IFERROR(__xludf.DUMMYFUNCTION("if(S740="""",C740,if(not(iserror(index(split(C740, "" ""),3))), index(split(C740, "" ""),3),index(split(C740, "" ""),2)))"),2018.0)</f>
        <v>2018</v>
      </c>
      <c r="U740" s="38" t="b">
        <f t="shared" si="105"/>
        <v>0</v>
      </c>
      <c r="V740" s="38"/>
      <c r="W740" s="40"/>
      <c r="X740" s="40"/>
      <c r="Y740" s="40"/>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row>
    <row r="741">
      <c r="A741" s="78" t="s">
        <v>2352</v>
      </c>
      <c r="B741" s="59"/>
      <c r="C741" s="59">
        <v>43127.0</v>
      </c>
      <c r="D741" s="60"/>
      <c r="E741" s="58" t="s">
        <v>41</v>
      </c>
      <c r="F741" s="58">
        <v>1.0</v>
      </c>
      <c r="G741" s="58" t="s">
        <v>32</v>
      </c>
      <c r="H741" s="43">
        <v>5.0</v>
      </c>
      <c r="I741" s="58" t="s">
        <v>33</v>
      </c>
      <c r="J741" s="58" t="s">
        <v>1184</v>
      </c>
      <c r="K741" s="58"/>
      <c r="L741" s="58" t="s">
        <v>229</v>
      </c>
      <c r="M741" s="80" t="s">
        <v>2353</v>
      </c>
      <c r="N741" s="77"/>
      <c r="O741" s="62"/>
      <c r="P741" s="62"/>
      <c r="Q741" s="58"/>
      <c r="R741" s="62"/>
      <c r="S741" s="37" t="str">
        <f>IFERROR(__xludf.DUMMYFUNCTION("if(not(iserror(index(split(C741, "" ""),2))), index(split(C741, "" ""),1),"""")"),"January")</f>
        <v>January</v>
      </c>
      <c r="T741" s="38">
        <f>IFERROR(__xludf.DUMMYFUNCTION("if(S741="""",C741,if(not(iserror(index(split(C741, "" ""),3))), index(split(C741, "" ""),3),index(split(C741, "" ""),2)))"),2018.0)</f>
        <v>2018</v>
      </c>
      <c r="U741" s="38" t="b">
        <f t="shared" si="105"/>
        <v>0</v>
      </c>
      <c r="V741" s="38" t="s">
        <v>33</v>
      </c>
      <c r="W741" s="40"/>
      <c r="X741" s="40"/>
      <c r="Y741" s="40"/>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row>
    <row r="742">
      <c r="A742" s="13" t="s">
        <v>2354</v>
      </c>
      <c r="B742" s="30">
        <v>43129.0</v>
      </c>
      <c r="C742" s="30">
        <v>43129.0</v>
      </c>
      <c r="D742" s="32" t="s">
        <v>2355</v>
      </c>
      <c r="E742" s="13" t="s">
        <v>31</v>
      </c>
      <c r="F742" s="13">
        <v>1.0</v>
      </c>
      <c r="G742" s="13" t="s">
        <v>32</v>
      </c>
      <c r="H742" s="33">
        <f t="shared" ref="H742:H748" si="110">if(G742="Unknown",1,G742)</f>
        <v>1</v>
      </c>
      <c r="I742" s="13" t="s">
        <v>33</v>
      </c>
      <c r="J742" s="13" t="s">
        <v>222</v>
      </c>
      <c r="K742" s="13" t="s">
        <v>32</v>
      </c>
      <c r="L742" s="13" t="s">
        <v>76</v>
      </c>
      <c r="M742" s="120" t="s">
        <v>2356</v>
      </c>
      <c r="N742" s="35" t="s">
        <v>2357</v>
      </c>
      <c r="O742" s="57" t="str">
        <f>hyperlink("https://bad-boys.us/?q=WD-WI/3:18-cr-00029", "WD-WI 3:18-cr-00029")</f>
        <v>WD-WI 3:18-cr-00029</v>
      </c>
      <c r="P742" s="86" t="s">
        <v>2358</v>
      </c>
      <c r="Q742" s="37">
        <v>1.0</v>
      </c>
      <c r="R742" s="16"/>
      <c r="S742" s="37" t="str">
        <f>IFERROR(__xludf.DUMMYFUNCTION("if(not(iserror(index(split(C742, "" ""),2))), index(split(C742, "" ""),1),"""")"),"January")</f>
        <v>January</v>
      </c>
      <c r="T742" s="38">
        <f>IFERROR(__xludf.DUMMYFUNCTION("if(S742="""",C742,if(not(iserror(index(split(C742, "" ""),3))), index(split(C742, "" ""),3),index(split(C742, "" ""),2)))"),2018.0)</f>
        <v>2018</v>
      </c>
      <c r="U742" s="38" t="b">
        <f t="shared" si="105"/>
        <v>0</v>
      </c>
      <c r="V742" s="38"/>
      <c r="W742" s="40"/>
      <c r="X742" s="40"/>
      <c r="Y742" s="40"/>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row>
    <row r="743">
      <c r="A743" s="13" t="s">
        <v>239</v>
      </c>
      <c r="B743" s="30">
        <v>43130.0</v>
      </c>
      <c r="C743" s="30">
        <v>43129.0</v>
      </c>
      <c r="D743" s="32" t="s">
        <v>2355</v>
      </c>
      <c r="E743" s="13" t="s">
        <v>41</v>
      </c>
      <c r="F743" s="13">
        <v>1.0</v>
      </c>
      <c r="G743" s="13">
        <v>4.0</v>
      </c>
      <c r="H743" s="33">
        <f t="shared" si="110"/>
        <v>4</v>
      </c>
      <c r="I743" s="13" t="s">
        <v>33</v>
      </c>
      <c r="J743" s="13" t="s">
        <v>241</v>
      </c>
      <c r="K743" s="13">
        <v>1.0</v>
      </c>
      <c r="L743" s="13" t="s">
        <v>194</v>
      </c>
      <c r="M743" s="35" t="s">
        <v>2359</v>
      </c>
      <c r="N743" s="15"/>
      <c r="O743" s="16"/>
      <c r="P743" s="16"/>
      <c r="Q743" s="16"/>
      <c r="R743" s="16"/>
      <c r="S743" s="37" t="str">
        <f>IFERROR(__xludf.DUMMYFUNCTION("if(not(iserror(index(split(C743, "" ""),2))), index(split(C743, "" ""),1),"""")"),"January")</f>
        <v>January</v>
      </c>
      <c r="T743" s="38">
        <f>IFERROR(__xludf.DUMMYFUNCTION("if(S743="""",C743,if(not(iserror(index(split(C743, "" ""),3))), index(split(C743, "" ""),3),index(split(C743, "" ""),2)))"),2018.0)</f>
        <v>2018</v>
      </c>
      <c r="U743" s="38" t="b">
        <f t="shared" si="105"/>
        <v>1</v>
      </c>
      <c r="V743" s="38"/>
      <c r="W743" s="40"/>
      <c r="X743" s="40"/>
      <c r="Y743" s="40"/>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row>
    <row r="744">
      <c r="A744" s="58" t="s">
        <v>2360</v>
      </c>
      <c r="B744" s="59">
        <v>43328.0</v>
      </c>
      <c r="C744" s="59">
        <v>43129.0</v>
      </c>
      <c r="D744" s="60" t="s">
        <v>2355</v>
      </c>
      <c r="E744" s="58" t="s">
        <v>41</v>
      </c>
      <c r="F744" s="58">
        <v>1.0</v>
      </c>
      <c r="G744" s="58" t="s">
        <v>32</v>
      </c>
      <c r="H744" s="33">
        <f t="shared" si="110"/>
        <v>1</v>
      </c>
      <c r="I744" s="58" t="s">
        <v>33</v>
      </c>
      <c r="J744" s="58" t="s">
        <v>504</v>
      </c>
      <c r="K744" s="58">
        <v>3.0</v>
      </c>
      <c r="L744" s="58" t="s">
        <v>119</v>
      </c>
      <c r="M744" s="61" t="s">
        <v>2361</v>
      </c>
      <c r="N744" s="77"/>
      <c r="O744" s="83" t="str">
        <f>hyperlink("https://bad-boys.us/?q=D-CO/1:18-cr-00055", "D-CO 1:18-cr-00055")</f>
        <v>D-CO 1:18-cr-00055</v>
      </c>
      <c r="P744" s="88" t="s">
        <v>2362</v>
      </c>
      <c r="Q744" s="84">
        <v>1.0</v>
      </c>
      <c r="R744" s="62"/>
      <c r="S744" s="37" t="str">
        <f>IFERROR(__xludf.DUMMYFUNCTION("if(not(iserror(index(split(C744, "" ""),2))), index(split(C744, "" ""),1),"""")"),"January")</f>
        <v>January</v>
      </c>
      <c r="T744" s="38">
        <f>IFERROR(__xludf.DUMMYFUNCTION("if(S744="""",C744,if(not(iserror(index(split(C744, "" ""),3))), index(split(C744, "" ""),3),index(split(C744, "" ""),2)))"),2018.0)</f>
        <v>2018</v>
      </c>
      <c r="U744" s="38" t="b">
        <f t="shared" si="105"/>
        <v>0</v>
      </c>
      <c r="V744" s="38"/>
      <c r="W744" s="40"/>
      <c r="X744" s="40"/>
      <c r="Y744" s="40"/>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row>
    <row r="745">
      <c r="A745" s="13" t="s">
        <v>239</v>
      </c>
      <c r="B745" s="30">
        <v>43131.0</v>
      </c>
      <c r="C745" s="30">
        <v>43130.0</v>
      </c>
      <c r="D745" s="32" t="s">
        <v>2122</v>
      </c>
      <c r="E745" s="13" t="s">
        <v>41</v>
      </c>
      <c r="F745" s="13">
        <v>1.0</v>
      </c>
      <c r="G745" s="13">
        <v>3.0</v>
      </c>
      <c r="H745" s="33">
        <f t="shared" si="110"/>
        <v>3</v>
      </c>
      <c r="I745" s="13" t="s">
        <v>33</v>
      </c>
      <c r="J745" s="13" t="s">
        <v>241</v>
      </c>
      <c r="K745" s="13">
        <v>1.0</v>
      </c>
      <c r="L745" s="13" t="s">
        <v>194</v>
      </c>
      <c r="M745" s="45" t="s">
        <v>2363</v>
      </c>
      <c r="N745" s="15"/>
      <c r="O745" s="16"/>
      <c r="P745" s="16"/>
      <c r="Q745" s="16"/>
      <c r="R745" s="16"/>
      <c r="S745" s="37" t="str">
        <f>IFERROR(__xludf.DUMMYFUNCTION("if(not(iserror(index(split(C745, "" ""),2))), index(split(C745, "" ""),1),"""")"),"January")</f>
        <v>January</v>
      </c>
      <c r="T745" s="38">
        <f>IFERROR(__xludf.DUMMYFUNCTION("if(S745="""",C745,if(not(iserror(index(split(C745, "" ""),3))), index(split(C745, "" ""),3),index(split(C745, "" ""),2)))"),2018.0)</f>
        <v>2018</v>
      </c>
      <c r="U745" s="38" t="b">
        <f t="shared" si="105"/>
        <v>1</v>
      </c>
      <c r="V745" s="38"/>
      <c r="W745" s="40"/>
      <c r="X745" s="40"/>
      <c r="Y745" s="40"/>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row>
    <row r="746">
      <c r="A746" s="13" t="s">
        <v>239</v>
      </c>
      <c r="B746" s="30">
        <v>43131.0</v>
      </c>
      <c r="C746" s="30">
        <v>43130.0</v>
      </c>
      <c r="D746" s="32" t="s">
        <v>2122</v>
      </c>
      <c r="E746" s="13" t="s">
        <v>41</v>
      </c>
      <c r="F746" s="13">
        <v>1.0</v>
      </c>
      <c r="G746" s="13">
        <v>2.0</v>
      </c>
      <c r="H746" s="33">
        <f t="shared" si="110"/>
        <v>2</v>
      </c>
      <c r="I746" s="13" t="s">
        <v>33</v>
      </c>
      <c r="J746" s="13" t="s">
        <v>241</v>
      </c>
      <c r="K746" s="13">
        <v>1.0</v>
      </c>
      <c r="L746" s="13" t="s">
        <v>194</v>
      </c>
      <c r="M746" s="45" t="s">
        <v>2364</v>
      </c>
      <c r="N746" s="15"/>
      <c r="O746" s="16"/>
      <c r="P746" s="16"/>
      <c r="Q746" s="16"/>
      <c r="R746" s="16"/>
      <c r="S746" s="37" t="str">
        <f>IFERROR(__xludf.DUMMYFUNCTION("if(not(iserror(index(split(C746, "" ""),2))), index(split(C746, "" ""),1),"""")"),"January")</f>
        <v>January</v>
      </c>
      <c r="T746" s="38">
        <f>IFERROR(__xludf.DUMMYFUNCTION("if(S746="""",C746,if(not(iserror(index(split(C746, "" ""),3))), index(split(C746, "" ""),3),index(split(C746, "" ""),2)))"),2018.0)</f>
        <v>2018</v>
      </c>
      <c r="U746" s="38" t="b">
        <f t="shared" si="105"/>
        <v>1</v>
      </c>
      <c r="V746" s="38"/>
      <c r="W746" s="40"/>
      <c r="X746" s="40"/>
      <c r="Y746" s="40"/>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row>
    <row r="747">
      <c r="A747" s="13" t="s">
        <v>239</v>
      </c>
      <c r="B747" s="30">
        <v>43132.0</v>
      </c>
      <c r="C747" s="30">
        <v>43130.0</v>
      </c>
      <c r="D747" s="32" t="s">
        <v>2122</v>
      </c>
      <c r="E747" s="13" t="s">
        <v>41</v>
      </c>
      <c r="F747" s="13">
        <v>1.0</v>
      </c>
      <c r="G747" s="13">
        <v>2.0</v>
      </c>
      <c r="H747" s="33">
        <f t="shared" si="110"/>
        <v>2</v>
      </c>
      <c r="I747" s="13" t="s">
        <v>33</v>
      </c>
      <c r="J747" s="13" t="s">
        <v>241</v>
      </c>
      <c r="K747" s="13">
        <v>1.0</v>
      </c>
      <c r="L747" s="13" t="s">
        <v>194</v>
      </c>
      <c r="M747" s="45" t="s">
        <v>2365</v>
      </c>
      <c r="N747" s="15"/>
      <c r="O747" s="16"/>
      <c r="P747" s="16"/>
      <c r="Q747" s="16"/>
      <c r="R747" s="16"/>
      <c r="S747" s="37" t="str">
        <f>IFERROR(__xludf.DUMMYFUNCTION("if(not(iserror(index(split(C747, "" ""),2))), index(split(C747, "" ""),1),"""")"),"January")</f>
        <v>January</v>
      </c>
      <c r="T747" s="38">
        <f>IFERROR(__xludf.DUMMYFUNCTION("if(S747="""",C747,if(not(iserror(index(split(C747, "" ""),3))), index(split(C747, "" ""),3),index(split(C747, "" ""),2)))"),2018.0)</f>
        <v>2018</v>
      </c>
      <c r="U747" s="38" t="b">
        <f t="shared" si="105"/>
        <v>1</v>
      </c>
      <c r="V747" s="38"/>
      <c r="W747" s="40"/>
      <c r="X747" s="40"/>
      <c r="Y747" s="40"/>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row>
    <row r="748">
      <c r="A748" s="87" t="s">
        <v>2366</v>
      </c>
      <c r="B748" s="59">
        <v>43424.0</v>
      </c>
      <c r="C748" s="59">
        <v>43130.0</v>
      </c>
      <c r="D748" s="60" t="s">
        <v>2122</v>
      </c>
      <c r="E748" s="58" t="s">
        <v>41</v>
      </c>
      <c r="F748" s="58">
        <v>1.0</v>
      </c>
      <c r="G748" s="58" t="s">
        <v>32</v>
      </c>
      <c r="H748" s="33">
        <f t="shared" si="110"/>
        <v>1</v>
      </c>
      <c r="I748" s="58" t="s">
        <v>33</v>
      </c>
      <c r="J748" s="58" t="s">
        <v>47</v>
      </c>
      <c r="K748" s="58">
        <v>2.0</v>
      </c>
      <c r="L748" s="58" t="s">
        <v>119</v>
      </c>
      <c r="M748" s="61" t="s">
        <v>2367</v>
      </c>
      <c r="N748" s="61" t="s">
        <v>2368</v>
      </c>
      <c r="O748" s="88" t="str">
        <f>hyperlink("https://bad-boys.us/?q=MD-FL/3:18-cr-00033", "MD-FL 3:18-cr-00033")</f>
        <v>MD-FL 3:18-cr-00033</v>
      </c>
      <c r="P748" s="88" t="s">
        <v>2369</v>
      </c>
      <c r="Q748" s="84">
        <v>1.0</v>
      </c>
      <c r="R748" s="62"/>
      <c r="S748" s="37" t="str">
        <f>IFERROR(__xludf.DUMMYFUNCTION("if(not(iserror(index(split(C748, "" ""),2))), index(split(C748, "" ""),1),"""")"),"January")</f>
        <v>January</v>
      </c>
      <c r="T748" s="38">
        <f>IFERROR(__xludf.DUMMYFUNCTION("if(S748="""",C748,if(not(iserror(index(split(C748, "" ""),3))), index(split(C748, "" ""),3),index(split(C748, "" ""),2)))"),2018.0)</f>
        <v>2018</v>
      </c>
      <c r="U748" s="38" t="b">
        <f t="shared" si="105"/>
        <v>0</v>
      </c>
      <c r="V748" s="38"/>
      <c r="W748" s="40"/>
      <c r="X748" s="40"/>
      <c r="Y748" s="40"/>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row>
    <row r="749">
      <c r="A749" s="13" t="s">
        <v>2370</v>
      </c>
      <c r="B749" s="30"/>
      <c r="C749" s="30">
        <v>43131.0</v>
      </c>
      <c r="D749" s="32"/>
      <c r="E749" s="13" t="s">
        <v>31</v>
      </c>
      <c r="F749" s="13">
        <v>1.0</v>
      </c>
      <c r="G749" s="13" t="s">
        <v>32</v>
      </c>
      <c r="H749" s="43">
        <v>1.0</v>
      </c>
      <c r="I749" s="13" t="s">
        <v>33</v>
      </c>
      <c r="J749" s="13" t="s">
        <v>147</v>
      </c>
      <c r="K749" s="13"/>
      <c r="L749" s="13" t="s">
        <v>76</v>
      </c>
      <c r="M749" s="157" t="s">
        <v>2371</v>
      </c>
      <c r="N749" s="36" t="s">
        <v>2372</v>
      </c>
      <c r="O749" s="57" t="str">
        <f>hyperlink("https://bad-boys.us/?q=WD-TX/5:18-cr-00098", "WD-TX 5:18-cr-00098")</f>
        <v>WD-TX 5:18-cr-00098</v>
      </c>
      <c r="P749" s="86" t="s">
        <v>2373</v>
      </c>
      <c r="Q749" s="37">
        <v>1.0</v>
      </c>
      <c r="R749" s="16"/>
      <c r="S749" s="37" t="str">
        <f>IFERROR(__xludf.DUMMYFUNCTION("if(not(iserror(index(split(C749, "" ""),2))), index(split(C749, "" ""),1),"""")"),"January")</f>
        <v>January</v>
      </c>
      <c r="T749" s="38">
        <f>IFERROR(__xludf.DUMMYFUNCTION("if(S749="""",C749,if(not(iserror(index(split(C749, "" ""),3))), index(split(C749, "" ""),3),index(split(C749, "" ""),2)))"),2018.0)</f>
        <v>2018</v>
      </c>
      <c r="U749" s="38" t="b">
        <f t="shared" si="105"/>
        <v>0</v>
      </c>
      <c r="V749" s="38" t="s">
        <v>33</v>
      </c>
      <c r="W749" s="39" t="s">
        <v>2374</v>
      </c>
      <c r="X749" s="39" t="s">
        <v>2375</v>
      </c>
      <c r="Y749" s="40"/>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row>
    <row r="750">
      <c r="A750" s="13" t="s">
        <v>239</v>
      </c>
      <c r="B750" s="30">
        <v>43132.0</v>
      </c>
      <c r="C750" s="30">
        <v>43131.0</v>
      </c>
      <c r="D750" s="32" t="s">
        <v>2376</v>
      </c>
      <c r="E750" s="13" t="s">
        <v>41</v>
      </c>
      <c r="F750" s="13">
        <v>1.0</v>
      </c>
      <c r="G750" s="13">
        <v>2.0</v>
      </c>
      <c r="H750" s="33">
        <f t="shared" ref="H750:H752" si="111">if(G750="Unknown",1,G750)</f>
        <v>2</v>
      </c>
      <c r="I750" s="13" t="s">
        <v>33</v>
      </c>
      <c r="J750" s="13" t="s">
        <v>147</v>
      </c>
      <c r="K750" s="13">
        <v>1.0</v>
      </c>
      <c r="L750" s="13" t="s">
        <v>194</v>
      </c>
      <c r="M750" s="45" t="s">
        <v>2377</v>
      </c>
      <c r="N750" s="15"/>
      <c r="O750" s="16"/>
      <c r="P750" s="16"/>
      <c r="Q750" s="16"/>
      <c r="R750" s="16"/>
      <c r="S750" s="37" t="str">
        <f>IFERROR(__xludf.DUMMYFUNCTION("if(not(iserror(index(split(C750, "" ""),2))), index(split(C750, "" ""),1),"""")"),"January")</f>
        <v>January</v>
      </c>
      <c r="T750" s="38">
        <f>IFERROR(__xludf.DUMMYFUNCTION("if(S750="""",C750,if(not(iserror(index(split(C750, "" ""),3))), index(split(C750, "" ""),3),index(split(C750, "" ""),2)))"),2018.0)</f>
        <v>2018</v>
      </c>
      <c r="U750" s="38" t="b">
        <f t="shared" si="105"/>
        <v>1</v>
      </c>
      <c r="V750" s="38"/>
      <c r="W750" s="40"/>
      <c r="X750" s="40"/>
      <c r="Y750" s="40"/>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row>
    <row r="751">
      <c r="A751" s="13" t="s">
        <v>2378</v>
      </c>
      <c r="B751" s="30">
        <v>43133.0</v>
      </c>
      <c r="C751" s="30">
        <v>43131.0</v>
      </c>
      <c r="D751" s="32" t="s">
        <v>2376</v>
      </c>
      <c r="E751" s="13" t="s">
        <v>31</v>
      </c>
      <c r="F751" s="13">
        <v>1.0</v>
      </c>
      <c r="G751" s="13" t="s">
        <v>32</v>
      </c>
      <c r="H751" s="33">
        <f t="shared" si="111"/>
        <v>1</v>
      </c>
      <c r="I751" s="13" t="s">
        <v>33</v>
      </c>
      <c r="J751" s="13" t="s">
        <v>279</v>
      </c>
      <c r="K751" s="13">
        <v>3.0</v>
      </c>
      <c r="L751" s="13" t="s">
        <v>871</v>
      </c>
      <c r="M751" s="56" t="s">
        <v>2379</v>
      </c>
      <c r="N751" s="15"/>
      <c r="O751" s="86" t="str">
        <f>hyperlink("https://bad-boys.us/?q=ED-MO/4:18-cr-00082", "ED-MO 4:18-cr-00082")</f>
        <v>ED-MO 4:18-cr-00082</v>
      </c>
      <c r="P751" s="86" t="s">
        <v>2380</v>
      </c>
      <c r="Q751" s="37">
        <v>1.0</v>
      </c>
      <c r="R751" s="16"/>
      <c r="S751" s="37" t="str">
        <f>IFERROR(__xludf.DUMMYFUNCTION("if(not(iserror(index(split(C751, "" ""),2))), index(split(C751, "" ""),1),"""")"),"January")</f>
        <v>January</v>
      </c>
      <c r="T751" s="38">
        <f>IFERROR(__xludf.DUMMYFUNCTION("if(S751="""",C751,if(not(iserror(index(split(C751, "" ""),3))), index(split(C751, "" ""),3),index(split(C751, "" ""),2)))"),2018.0)</f>
        <v>2018</v>
      </c>
      <c r="U751" s="38" t="b">
        <f t="shared" si="105"/>
        <v>0</v>
      </c>
      <c r="V751" s="38" t="s">
        <v>33</v>
      </c>
      <c r="W751" s="40"/>
      <c r="X751" s="40"/>
      <c r="Y751" s="40"/>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row>
    <row r="752">
      <c r="A752" s="78" t="s">
        <v>2381</v>
      </c>
      <c r="B752" s="59">
        <v>43278.0</v>
      </c>
      <c r="C752" s="59">
        <v>43131.0</v>
      </c>
      <c r="D752" s="60" t="s">
        <v>2382</v>
      </c>
      <c r="E752" s="58" t="s">
        <v>31</v>
      </c>
      <c r="F752" s="58">
        <v>2.0</v>
      </c>
      <c r="G752" s="58" t="s">
        <v>32</v>
      </c>
      <c r="H752" s="33">
        <f t="shared" si="111"/>
        <v>1</v>
      </c>
      <c r="I752" s="58" t="s">
        <v>33</v>
      </c>
      <c r="J752" s="58" t="s">
        <v>111</v>
      </c>
      <c r="K752" s="58">
        <v>3.0</v>
      </c>
      <c r="L752" s="58" t="s">
        <v>2383</v>
      </c>
      <c r="M752" s="61" t="s">
        <v>2384</v>
      </c>
      <c r="N752" s="77"/>
      <c r="O752" s="62"/>
      <c r="P752" s="62"/>
      <c r="Q752" s="62"/>
      <c r="R752" s="62"/>
      <c r="S752" s="37" t="str">
        <f>IFERROR(__xludf.DUMMYFUNCTION("if(not(iserror(index(split(C752, "" ""),2))), index(split(C752, "" ""),1),"""")"),"January")</f>
        <v>January</v>
      </c>
      <c r="T752" s="38">
        <f>IFERROR(__xludf.DUMMYFUNCTION("if(S752="""",C752,if(not(iserror(index(split(C752, "" ""),3))), index(split(C752, "" ""),3),index(split(C752, "" ""),2)))"),2018.0)</f>
        <v>2018</v>
      </c>
      <c r="U752" s="38" t="b">
        <f t="shared" si="105"/>
        <v>0</v>
      </c>
      <c r="V752" s="38"/>
      <c r="W752" s="40"/>
      <c r="X752" s="40"/>
      <c r="Y752" s="40"/>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row>
    <row r="753">
      <c r="A753" s="13" t="s">
        <v>2385</v>
      </c>
      <c r="B753" s="30"/>
      <c r="C753" s="30">
        <v>43132.0</v>
      </c>
      <c r="D753" s="32"/>
      <c r="E753" s="13" t="s">
        <v>41</v>
      </c>
      <c r="F753" s="13">
        <v>1.0</v>
      </c>
      <c r="G753" s="13" t="s">
        <v>32</v>
      </c>
      <c r="H753" s="43">
        <v>1.0</v>
      </c>
      <c r="I753" s="13" t="s">
        <v>33</v>
      </c>
      <c r="J753" s="13" t="s">
        <v>115</v>
      </c>
      <c r="K753" s="13"/>
      <c r="L753" s="13" t="s">
        <v>69</v>
      </c>
      <c r="M753" s="45" t="s">
        <v>2386</v>
      </c>
      <c r="N753" s="15"/>
      <c r="O753" s="16"/>
      <c r="P753" s="16"/>
      <c r="Q753" s="37"/>
      <c r="R753" s="16"/>
      <c r="S753" s="37"/>
      <c r="T753" s="38"/>
      <c r="U753" s="38"/>
      <c r="V753" s="38"/>
      <c r="W753" s="40"/>
      <c r="X753" s="40"/>
      <c r="Y753" s="40"/>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row>
    <row r="754">
      <c r="A754" s="13" t="s">
        <v>2387</v>
      </c>
      <c r="B754" s="30">
        <v>43132.0</v>
      </c>
      <c r="C754" s="30">
        <v>43132.0</v>
      </c>
      <c r="D754" s="32" t="s">
        <v>2388</v>
      </c>
      <c r="E754" s="13" t="s">
        <v>31</v>
      </c>
      <c r="F754" s="13">
        <v>1.0</v>
      </c>
      <c r="G754" s="13" t="s">
        <v>32</v>
      </c>
      <c r="H754" s="33">
        <f t="shared" ref="H754:H756" si="112">if(G754="Unknown",1,G754)</f>
        <v>1</v>
      </c>
      <c r="I754" s="13" t="s">
        <v>33</v>
      </c>
      <c r="J754" s="13" t="s">
        <v>106</v>
      </c>
      <c r="K754" s="13">
        <v>2.0</v>
      </c>
      <c r="L754" s="13" t="s">
        <v>2389</v>
      </c>
      <c r="M754" s="45" t="s">
        <v>2390</v>
      </c>
      <c r="N754" s="15"/>
      <c r="O754" s="16"/>
      <c r="P754" s="16"/>
      <c r="Q754" s="16"/>
      <c r="R754" s="16"/>
      <c r="S754" s="37" t="str">
        <f>IFERROR(__xludf.DUMMYFUNCTION("if(not(iserror(index(split(C754, "" ""),2))), index(split(C754, "" ""),1),"""")"),"February")</f>
        <v>February</v>
      </c>
      <c r="T754" s="38">
        <f>IFERROR(__xludf.DUMMYFUNCTION("if(S754="""",C754,if(not(iserror(index(split(C754, "" ""),3))), index(split(C754, "" ""),3),index(split(C754, "" ""),2)))"),2018.0)</f>
        <v>2018</v>
      </c>
      <c r="U754" s="38" t="b">
        <f t="shared" ref="U754:U770" si="113">countif(A$4:A4658, A754)&gt;1</f>
        <v>0</v>
      </c>
      <c r="V754" s="38"/>
      <c r="W754" s="40"/>
      <c r="X754" s="40"/>
      <c r="Y754" s="40"/>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row>
    <row r="755">
      <c r="A755" s="13" t="s">
        <v>239</v>
      </c>
      <c r="B755" s="30">
        <v>43133.0</v>
      </c>
      <c r="C755" s="30">
        <v>43132.0</v>
      </c>
      <c r="D755" s="32" t="s">
        <v>2388</v>
      </c>
      <c r="E755" s="13" t="s">
        <v>41</v>
      </c>
      <c r="F755" s="13">
        <v>1.0</v>
      </c>
      <c r="G755" s="13" t="s">
        <v>32</v>
      </c>
      <c r="H755" s="33">
        <f t="shared" si="112"/>
        <v>1</v>
      </c>
      <c r="I755" s="13" t="s">
        <v>33</v>
      </c>
      <c r="J755" s="13" t="s">
        <v>241</v>
      </c>
      <c r="K755" s="13">
        <v>3.0</v>
      </c>
      <c r="L755" s="13" t="s">
        <v>194</v>
      </c>
      <c r="M755" s="45" t="s">
        <v>2391</v>
      </c>
      <c r="N755" s="15"/>
      <c r="O755" s="16"/>
      <c r="P755" s="16"/>
      <c r="Q755" s="16"/>
      <c r="R755" s="16"/>
      <c r="S755" s="37" t="str">
        <f>IFERROR(__xludf.DUMMYFUNCTION("if(not(iserror(index(split(C755, "" ""),2))), index(split(C755, "" ""),1),"""")"),"February")</f>
        <v>February</v>
      </c>
      <c r="T755" s="38">
        <f>IFERROR(__xludf.DUMMYFUNCTION("if(S755="""",C755,if(not(iserror(index(split(C755, "" ""),3))), index(split(C755, "" ""),3),index(split(C755, "" ""),2)))"),2018.0)</f>
        <v>2018</v>
      </c>
      <c r="U755" s="38" t="b">
        <f t="shared" si="113"/>
        <v>1</v>
      </c>
      <c r="V755" s="38"/>
      <c r="W755" s="40"/>
      <c r="X755" s="40"/>
      <c r="Y755" s="40"/>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row>
    <row r="756">
      <c r="A756" s="13" t="s">
        <v>2392</v>
      </c>
      <c r="B756" s="30">
        <v>43136.0</v>
      </c>
      <c r="C756" s="31">
        <v>43132.0</v>
      </c>
      <c r="D756" s="32" t="s">
        <v>483</v>
      </c>
      <c r="E756" s="13" t="s">
        <v>41</v>
      </c>
      <c r="F756" s="13">
        <v>2.0</v>
      </c>
      <c r="G756" s="13" t="s">
        <v>32</v>
      </c>
      <c r="H756" s="33">
        <f t="shared" si="112"/>
        <v>1</v>
      </c>
      <c r="I756" s="13" t="s">
        <v>33</v>
      </c>
      <c r="J756" s="13" t="s">
        <v>179</v>
      </c>
      <c r="K756" s="13">
        <v>3.0</v>
      </c>
      <c r="L756" s="13" t="s">
        <v>2393</v>
      </c>
      <c r="M756" s="35" t="s">
        <v>2394</v>
      </c>
      <c r="N756" s="15"/>
      <c r="O756" s="37"/>
      <c r="P756" s="37"/>
      <c r="Q756" s="64"/>
      <c r="R756" s="16"/>
      <c r="S756" s="37" t="str">
        <f>IFERROR(__xludf.DUMMYFUNCTION("if(not(iserror(index(split(C756, "" ""),2))), index(split(C756, "" ""),1),"""")"),"February,")</f>
        <v>February,</v>
      </c>
      <c r="T756" s="38">
        <f>IFERROR(__xludf.DUMMYFUNCTION("if(S756="""",C756,if(not(iserror(index(split(C756, "" ""),3))), index(split(C756, "" ""),3),index(split(C756, "" ""),2)))"),2018.0)</f>
        <v>2018</v>
      </c>
      <c r="U756" s="38" t="b">
        <f t="shared" si="113"/>
        <v>0</v>
      </c>
      <c r="V756" s="38"/>
      <c r="W756" s="40"/>
      <c r="X756" s="40"/>
      <c r="Y756" s="40"/>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row>
    <row r="757">
      <c r="A757" s="13" t="s">
        <v>2395</v>
      </c>
      <c r="B757" s="30">
        <v>43138.0</v>
      </c>
      <c r="C757" s="31">
        <v>43132.0</v>
      </c>
      <c r="D757" s="32" t="s">
        <v>483</v>
      </c>
      <c r="E757" s="13" t="s">
        <v>41</v>
      </c>
      <c r="F757" s="13">
        <v>1.0</v>
      </c>
      <c r="G757" s="13">
        <v>1.0</v>
      </c>
      <c r="H757" s="50">
        <v>1.0</v>
      </c>
      <c r="I757" s="13" t="s">
        <v>33</v>
      </c>
      <c r="J757" s="13" t="s">
        <v>268</v>
      </c>
      <c r="K757" s="13">
        <v>4.0</v>
      </c>
      <c r="L757" s="13" t="s">
        <v>2396</v>
      </c>
      <c r="M757" s="120" t="s">
        <v>2264</v>
      </c>
      <c r="N757" s="15"/>
      <c r="O757" s="57" t="str">
        <f>hyperlink("https://bad-boys.us/?q=ND-OK/4:18-cr-00030", "ND-OK 4:18-cr-00030")</f>
        <v>ND-OK 4:18-cr-00030</v>
      </c>
      <c r="P757" s="86" t="s">
        <v>2397</v>
      </c>
      <c r="Q757" s="37">
        <v>1.0</v>
      </c>
      <c r="R757" s="16"/>
      <c r="S757" s="37" t="str">
        <f>IFERROR(__xludf.DUMMYFUNCTION("if(not(iserror(index(split(C757, "" ""),2))), index(split(C757, "" ""),1),"""")"),"February,")</f>
        <v>February,</v>
      </c>
      <c r="T757" s="38">
        <f>IFERROR(__xludf.DUMMYFUNCTION("if(S757="""",C757,if(not(iserror(index(split(C757, "" ""),3))), index(split(C757, "" ""),3),index(split(C757, "" ""),2)))"),2018.0)</f>
        <v>2018</v>
      </c>
      <c r="U757" s="38" t="b">
        <f t="shared" si="113"/>
        <v>0</v>
      </c>
      <c r="V757" s="38"/>
      <c r="W757" s="40"/>
      <c r="X757" s="40"/>
      <c r="Y757" s="40"/>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row>
    <row r="758">
      <c r="A758" s="152" t="s">
        <v>2398</v>
      </c>
      <c r="B758" s="153">
        <v>43153.0</v>
      </c>
      <c r="C758" s="161">
        <v>43132.0</v>
      </c>
      <c r="D758" s="154" t="s">
        <v>483</v>
      </c>
      <c r="E758" s="155" t="s">
        <v>41</v>
      </c>
      <c r="F758" s="152">
        <v>1.0</v>
      </c>
      <c r="G758" s="152" t="s">
        <v>32</v>
      </c>
      <c r="H758" s="33">
        <f>if(G758="Unknown",1,G758)</f>
        <v>1</v>
      </c>
      <c r="I758" s="152" t="s">
        <v>33</v>
      </c>
      <c r="J758" s="152" t="s">
        <v>288</v>
      </c>
      <c r="K758" s="152" t="s">
        <v>32</v>
      </c>
      <c r="L758" s="152" t="s">
        <v>807</v>
      </c>
      <c r="M758" s="158" t="s">
        <v>2399</v>
      </c>
      <c r="N758" s="158" t="s">
        <v>2400</v>
      </c>
      <c r="O758" s="86" t="str">
        <f>hyperlink("https://bad-boys.us/?q=D-NE/8:18-cr-00043", "D-NE 8:18-cr-00043")</f>
        <v>D-NE 8:18-cr-00043</v>
      </c>
      <c r="P758" s="86" t="s">
        <v>2401</v>
      </c>
      <c r="Q758" s="64">
        <v>1.0</v>
      </c>
      <c r="R758" s="16"/>
      <c r="S758" s="37" t="str">
        <f>IFERROR(__xludf.DUMMYFUNCTION("if(not(iserror(index(split(C758, "" ""),2))), index(split(C758, "" ""),1),"""")"),"February,")</f>
        <v>February,</v>
      </c>
      <c r="T758" s="38">
        <f>IFERROR(__xludf.DUMMYFUNCTION("if(S758="""",C758,if(not(iserror(index(split(C758, "" ""),3))), index(split(C758, "" ""),3),index(split(C758, "" ""),2)))"),2018.0)</f>
        <v>2018</v>
      </c>
      <c r="U758" s="38" t="b">
        <f t="shared" si="113"/>
        <v>0</v>
      </c>
      <c r="V758" s="38"/>
      <c r="W758" s="40"/>
      <c r="X758" s="40"/>
      <c r="Y758" s="40"/>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row>
    <row r="759">
      <c r="A759" s="13" t="s">
        <v>2402</v>
      </c>
      <c r="B759" s="30"/>
      <c r="C759" s="31">
        <v>43132.0</v>
      </c>
      <c r="D759" s="32"/>
      <c r="E759" s="13" t="s">
        <v>31</v>
      </c>
      <c r="F759" s="13">
        <v>1.0</v>
      </c>
      <c r="G759" s="13" t="s">
        <v>32</v>
      </c>
      <c r="H759" s="43">
        <v>1.0</v>
      </c>
      <c r="I759" s="13" t="s">
        <v>33</v>
      </c>
      <c r="J759" s="13" t="s">
        <v>47</v>
      </c>
      <c r="K759" s="13"/>
      <c r="L759" s="13" t="s">
        <v>119</v>
      </c>
      <c r="M759" s="36" t="s">
        <v>2403</v>
      </c>
      <c r="N759" s="36" t="s">
        <v>2404</v>
      </c>
      <c r="O759" s="86" t="str">
        <f>hyperlink("https://bad-boys.us/?q=ND-FL/3:18-cr-00029", "ND-FL 3:18-cr-00029")</f>
        <v>ND-FL 3:18-cr-00029</v>
      </c>
      <c r="P759" s="86" t="s">
        <v>2405</v>
      </c>
      <c r="Q759" s="64">
        <v>1.0</v>
      </c>
      <c r="R759" s="16"/>
      <c r="S759" s="37" t="str">
        <f>IFERROR(__xludf.DUMMYFUNCTION("if(not(iserror(index(split(C759, "" ""),2))), index(split(C759, "" ""),1),"""")"),"February,")</f>
        <v>February,</v>
      </c>
      <c r="T759" s="38">
        <f>IFERROR(__xludf.DUMMYFUNCTION("if(S759="""",C759,if(not(iserror(index(split(C759, "" ""),3))), index(split(C759, "" ""),3),index(split(C759, "" ""),2)))"),2018.0)</f>
        <v>2018</v>
      </c>
      <c r="U759" s="38" t="b">
        <f t="shared" si="113"/>
        <v>0</v>
      </c>
      <c r="V759" s="38" t="s">
        <v>33</v>
      </c>
      <c r="W759" s="39" t="s">
        <v>2406</v>
      </c>
      <c r="X759" s="39" t="s">
        <v>2407</v>
      </c>
      <c r="Y759" s="40"/>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row>
    <row r="760">
      <c r="A760" s="13" t="s">
        <v>2408</v>
      </c>
      <c r="B760" s="30">
        <v>43158.0</v>
      </c>
      <c r="C760" s="31">
        <v>43132.0</v>
      </c>
      <c r="D760" s="32" t="s">
        <v>2409</v>
      </c>
      <c r="E760" s="13" t="s">
        <v>31</v>
      </c>
      <c r="F760" s="13">
        <v>3.0</v>
      </c>
      <c r="G760" s="13" t="s">
        <v>32</v>
      </c>
      <c r="H760" s="33">
        <f t="shared" ref="H760:H762" si="114">if(G760="Unknown",1,G760)</f>
        <v>1</v>
      </c>
      <c r="I760" s="13" t="s">
        <v>33</v>
      </c>
      <c r="J760" s="13" t="s">
        <v>147</v>
      </c>
      <c r="K760" s="13" t="s">
        <v>32</v>
      </c>
      <c r="L760" s="13" t="s">
        <v>52</v>
      </c>
      <c r="M760" s="36" t="s">
        <v>2410</v>
      </c>
      <c r="N760" s="15"/>
      <c r="O760" s="37"/>
      <c r="P760" s="37"/>
      <c r="Q760" s="64"/>
      <c r="R760" s="16"/>
      <c r="S760" s="37" t="str">
        <f>IFERROR(__xludf.DUMMYFUNCTION("if(not(iserror(index(split(C760, "" ""),2))), index(split(C760, "" ""),1),"""")"),"February,")</f>
        <v>February,</v>
      </c>
      <c r="T760" s="38">
        <f>IFERROR(__xludf.DUMMYFUNCTION("if(S760="""",C760,if(not(iserror(index(split(C760, "" ""),3))), index(split(C760, "" ""),3),index(split(C760, "" ""),2)))"),2018.0)</f>
        <v>2018</v>
      </c>
      <c r="U760" s="38" t="b">
        <f t="shared" si="113"/>
        <v>0</v>
      </c>
      <c r="V760" s="38"/>
      <c r="W760" s="40"/>
      <c r="X760" s="40"/>
      <c r="Y760" s="40"/>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row>
    <row r="761">
      <c r="A761" s="13" t="s">
        <v>40</v>
      </c>
      <c r="B761" s="30">
        <v>43160.0</v>
      </c>
      <c r="C761" s="31">
        <v>43132.0</v>
      </c>
      <c r="D761" s="32" t="s">
        <v>483</v>
      </c>
      <c r="E761" s="13" t="s">
        <v>31</v>
      </c>
      <c r="F761" s="13">
        <v>18.0</v>
      </c>
      <c r="G761" s="13" t="s">
        <v>32</v>
      </c>
      <c r="H761" s="33">
        <f t="shared" si="114"/>
        <v>1</v>
      </c>
      <c r="I761" s="13" t="s">
        <v>33</v>
      </c>
      <c r="J761" s="13" t="s">
        <v>68</v>
      </c>
      <c r="K761" s="13">
        <v>4.0</v>
      </c>
      <c r="L761" s="13" t="s">
        <v>2411</v>
      </c>
      <c r="M761" s="35" t="s">
        <v>2412</v>
      </c>
      <c r="N761" s="15"/>
      <c r="O761" s="16"/>
      <c r="P761" s="16"/>
      <c r="Q761" s="16"/>
      <c r="R761" s="16"/>
      <c r="S761" s="37" t="str">
        <f>IFERROR(__xludf.DUMMYFUNCTION("if(not(iserror(index(split(C761, "" ""),2))), index(split(C761, "" ""),1),"""")"),"February,")</f>
        <v>February,</v>
      </c>
      <c r="T761" s="38">
        <f>IFERROR(__xludf.DUMMYFUNCTION("if(S761="""",C761,if(not(iserror(index(split(C761, "" ""),3))), index(split(C761, "" ""),3),index(split(C761, "" ""),2)))"),2018.0)</f>
        <v>2018</v>
      </c>
      <c r="U761" s="38" t="b">
        <f t="shared" si="113"/>
        <v>1</v>
      </c>
      <c r="V761" s="38"/>
      <c r="W761" s="40"/>
      <c r="X761" s="40"/>
      <c r="Y761" s="40"/>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row>
    <row r="762">
      <c r="A762" s="58" t="s">
        <v>2413</v>
      </c>
      <c r="B762" s="59">
        <v>43270.0</v>
      </c>
      <c r="C762" s="79">
        <v>43132.0</v>
      </c>
      <c r="D762" s="60" t="s">
        <v>483</v>
      </c>
      <c r="E762" s="58" t="s">
        <v>41</v>
      </c>
      <c r="F762" s="58">
        <v>3.0</v>
      </c>
      <c r="G762" s="58" t="s">
        <v>32</v>
      </c>
      <c r="H762" s="33">
        <f t="shared" si="114"/>
        <v>1</v>
      </c>
      <c r="I762" s="58" t="s">
        <v>33</v>
      </c>
      <c r="J762" s="58" t="s">
        <v>115</v>
      </c>
      <c r="K762" s="58" t="s">
        <v>32</v>
      </c>
      <c r="L762" s="58" t="s">
        <v>52</v>
      </c>
      <c r="M762" s="61" t="s">
        <v>2414</v>
      </c>
      <c r="N762" s="77"/>
      <c r="O762" s="62"/>
      <c r="P762" s="62"/>
      <c r="Q762" s="62"/>
      <c r="R762" s="62"/>
      <c r="S762" s="37" t="str">
        <f>IFERROR(__xludf.DUMMYFUNCTION("if(not(iserror(index(split(C762, "" ""),2))), index(split(C762, "" ""),1),"""")"),"February,")</f>
        <v>February,</v>
      </c>
      <c r="T762" s="38">
        <f>IFERROR(__xludf.DUMMYFUNCTION("if(S762="""",C762,if(not(iserror(index(split(C762, "" ""),3))), index(split(C762, "" ""),3),index(split(C762, "" ""),2)))"),2018.0)</f>
        <v>2018</v>
      </c>
      <c r="U762" s="38" t="b">
        <f t="shared" si="113"/>
        <v>0</v>
      </c>
      <c r="V762" s="38"/>
      <c r="W762" s="40"/>
      <c r="X762" s="40"/>
      <c r="Y762" s="40"/>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row>
    <row r="763">
      <c r="A763" s="58" t="s">
        <v>2415</v>
      </c>
      <c r="B763" s="59"/>
      <c r="C763" s="79">
        <v>43132.0</v>
      </c>
      <c r="D763" s="60"/>
      <c r="E763" s="58" t="s">
        <v>41</v>
      </c>
      <c r="F763" s="58">
        <v>1.0</v>
      </c>
      <c r="G763" s="58" t="s">
        <v>32</v>
      </c>
      <c r="H763" s="43">
        <v>1.0</v>
      </c>
      <c r="I763" s="58" t="s">
        <v>33</v>
      </c>
      <c r="J763" s="58" t="s">
        <v>514</v>
      </c>
      <c r="K763" s="58"/>
      <c r="L763" s="58" t="s">
        <v>119</v>
      </c>
      <c r="M763" s="61" t="s">
        <v>2416</v>
      </c>
      <c r="N763" s="77"/>
      <c r="O763" s="83" t="str">
        <f>hyperlink("https://bad-boys.us/?q=WD-AR/5:19-cr-50010", "WD-AR 5:19-cr-50010")</f>
        <v>WD-AR 5:19-cr-50010</v>
      </c>
      <c r="P763" s="88" t="s">
        <v>2417</v>
      </c>
      <c r="Q763" s="84">
        <v>1.0</v>
      </c>
      <c r="R763" s="62"/>
      <c r="S763" s="37" t="str">
        <f>IFERROR(__xludf.DUMMYFUNCTION("if(not(iserror(index(split(C763, "" ""),2))), index(split(C763, "" ""),1),"""")"),"February,")</f>
        <v>February,</v>
      </c>
      <c r="T763" s="38">
        <f>IFERROR(__xludf.DUMMYFUNCTION("if(S763="""",C763,if(not(iserror(index(split(C763, "" ""),3))), index(split(C763, "" ""),3),index(split(C763, "" ""),2)))"),2018.0)</f>
        <v>2018</v>
      </c>
      <c r="U763" s="38" t="b">
        <f t="shared" si="113"/>
        <v>0</v>
      </c>
      <c r="V763" s="38" t="s">
        <v>33</v>
      </c>
      <c r="W763" s="40"/>
      <c r="X763" s="40"/>
      <c r="Y763" s="40"/>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row>
    <row r="764">
      <c r="A764" s="58" t="s">
        <v>2418</v>
      </c>
      <c r="B764" s="59">
        <v>43315.0</v>
      </c>
      <c r="C764" s="79">
        <v>43132.0</v>
      </c>
      <c r="D764" s="60" t="s">
        <v>483</v>
      </c>
      <c r="E764" s="58" t="s">
        <v>41</v>
      </c>
      <c r="F764" s="58">
        <v>1.0</v>
      </c>
      <c r="G764" s="58" t="s">
        <v>32</v>
      </c>
      <c r="H764" s="33">
        <f t="shared" ref="H764:H770" si="115">if(G764="Unknown",1,G764)</f>
        <v>1</v>
      </c>
      <c r="I764" s="58" t="s">
        <v>33</v>
      </c>
      <c r="J764" s="58" t="s">
        <v>343</v>
      </c>
      <c r="K764" s="58" t="s">
        <v>32</v>
      </c>
      <c r="L764" s="58" t="s">
        <v>119</v>
      </c>
      <c r="M764" s="61" t="s">
        <v>2419</v>
      </c>
      <c r="N764" s="77"/>
      <c r="O764" s="83" t="str">
        <f>hyperlink("https://bad-boys.us/?q=SD-WV/2:18-cr-00020", "SD-WV 2:18-cr-00020")</f>
        <v>SD-WV 2:18-cr-00020</v>
      </c>
      <c r="P764" s="88" t="s">
        <v>2420</v>
      </c>
      <c r="Q764" s="84">
        <v>1.0</v>
      </c>
      <c r="R764" s="62"/>
      <c r="S764" s="37" t="str">
        <f>IFERROR(__xludf.DUMMYFUNCTION("if(not(iserror(index(split(C764, "" ""),2))), index(split(C764, "" ""),1),"""")"),"February,")</f>
        <v>February,</v>
      </c>
      <c r="T764" s="38">
        <f>IFERROR(__xludf.DUMMYFUNCTION("if(S764="""",C764,if(not(iserror(index(split(C764, "" ""),3))), index(split(C764, "" ""),3),index(split(C764, "" ""),2)))"),2018.0)</f>
        <v>2018</v>
      </c>
      <c r="U764" s="38" t="b">
        <f t="shared" si="113"/>
        <v>0</v>
      </c>
      <c r="V764" s="38"/>
      <c r="W764" s="40"/>
      <c r="X764" s="40"/>
      <c r="Y764" s="40"/>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row>
    <row r="765">
      <c r="A765" s="78" t="s">
        <v>2421</v>
      </c>
      <c r="B765" s="59">
        <v>43321.0</v>
      </c>
      <c r="C765" s="79">
        <v>43132.0</v>
      </c>
      <c r="D765" s="60" t="s">
        <v>483</v>
      </c>
      <c r="E765" s="58" t="s">
        <v>41</v>
      </c>
      <c r="F765" s="58">
        <v>1.0</v>
      </c>
      <c r="G765" s="58" t="s">
        <v>32</v>
      </c>
      <c r="H765" s="33">
        <f t="shared" si="115"/>
        <v>1</v>
      </c>
      <c r="I765" s="58" t="s">
        <v>33</v>
      </c>
      <c r="J765" s="58" t="s">
        <v>147</v>
      </c>
      <c r="K765" s="58">
        <v>4.0</v>
      </c>
      <c r="L765" s="58" t="s">
        <v>76</v>
      </c>
      <c r="M765" s="61" t="s">
        <v>2422</v>
      </c>
      <c r="N765" s="77"/>
      <c r="O765" s="83" t="str">
        <f>hyperlink("https://bad-boys.us/?q=SD-TX/2:18-cr-00167", "SD-TX 2:18-cr-00167")</f>
        <v>SD-TX 2:18-cr-00167</v>
      </c>
      <c r="P765" s="88" t="s">
        <v>2423</v>
      </c>
      <c r="Q765" s="84">
        <v>1.0</v>
      </c>
      <c r="R765" s="62"/>
      <c r="S765" s="37" t="str">
        <f>IFERROR(__xludf.DUMMYFUNCTION("if(not(iserror(index(split(C765, "" ""),2))), index(split(C765, "" ""),1),"""")"),"February,")</f>
        <v>February,</v>
      </c>
      <c r="T765" s="38">
        <f>IFERROR(__xludf.DUMMYFUNCTION("if(S765="""",C765,if(not(iserror(index(split(C765, "" ""),3))), index(split(C765, "" ""),3),index(split(C765, "" ""),2)))"),2018.0)</f>
        <v>2018</v>
      </c>
      <c r="U765" s="38" t="b">
        <f t="shared" si="113"/>
        <v>0</v>
      </c>
      <c r="V765" s="38"/>
      <c r="W765" s="40"/>
      <c r="X765" s="40"/>
      <c r="Y765" s="40"/>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row>
    <row r="766">
      <c r="A766" s="58" t="s">
        <v>660</v>
      </c>
      <c r="B766" s="59">
        <v>43335.0</v>
      </c>
      <c r="C766" s="79">
        <v>43132.0</v>
      </c>
      <c r="D766" s="60" t="s">
        <v>2163</v>
      </c>
      <c r="E766" s="58" t="s">
        <v>31</v>
      </c>
      <c r="F766" s="58">
        <v>35.0</v>
      </c>
      <c r="G766" s="58" t="s">
        <v>32</v>
      </c>
      <c r="H766" s="33">
        <f t="shared" si="115"/>
        <v>1</v>
      </c>
      <c r="I766" s="58" t="s">
        <v>33</v>
      </c>
      <c r="J766" s="58" t="s">
        <v>42</v>
      </c>
      <c r="K766" s="58" t="s">
        <v>32</v>
      </c>
      <c r="L766" s="58" t="s">
        <v>52</v>
      </c>
      <c r="M766" s="61" t="s">
        <v>2424</v>
      </c>
      <c r="N766" s="77"/>
      <c r="O766" s="62"/>
      <c r="P766" s="62"/>
      <c r="Q766" s="62"/>
      <c r="R766" s="62"/>
      <c r="S766" s="37" t="str">
        <f>IFERROR(__xludf.DUMMYFUNCTION("if(not(iserror(index(split(C766, "" ""),2))), index(split(C766, "" ""),1),"""")"),"February,")</f>
        <v>February,</v>
      </c>
      <c r="T766" s="38">
        <f>IFERROR(__xludf.DUMMYFUNCTION("if(S766="""",C766,if(not(iserror(index(split(C766, "" ""),3))), index(split(C766, "" ""),3),index(split(C766, "" ""),2)))"),2018.0)</f>
        <v>2018</v>
      </c>
      <c r="U766" s="38" t="b">
        <f t="shared" si="113"/>
        <v>1</v>
      </c>
      <c r="V766" s="38"/>
      <c r="W766" s="40"/>
      <c r="X766" s="40"/>
      <c r="Y766" s="40"/>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row>
    <row r="767">
      <c r="A767" s="194" t="s">
        <v>2425</v>
      </c>
      <c r="B767" s="137">
        <v>43378.0</v>
      </c>
      <c r="C767" s="195">
        <v>43132.0</v>
      </c>
      <c r="D767" s="196" t="s">
        <v>1844</v>
      </c>
      <c r="E767" s="124" t="s">
        <v>41</v>
      </c>
      <c r="F767" s="129">
        <v>1.0</v>
      </c>
      <c r="G767" s="128" t="s">
        <v>32</v>
      </c>
      <c r="H767" s="33">
        <f t="shared" si="115"/>
        <v>1</v>
      </c>
      <c r="I767" s="128" t="s">
        <v>33</v>
      </c>
      <c r="J767" s="128" t="s">
        <v>111</v>
      </c>
      <c r="K767" s="58">
        <v>1.0</v>
      </c>
      <c r="L767" s="128" t="s">
        <v>119</v>
      </c>
      <c r="M767" s="197" t="s">
        <v>2426</v>
      </c>
      <c r="N767" s="132"/>
      <c r="O767" s="173" t="str">
        <f>hyperlink("https://bad-boys.us/?q=CD-CA/2:18-cr-00199", "CD-CA 2:18-cr-00199")</f>
        <v>CD-CA 2:18-cr-00199</v>
      </c>
      <c r="P767" s="173" t="s">
        <v>2427</v>
      </c>
      <c r="Q767" s="198">
        <v>1.0</v>
      </c>
      <c r="R767" s="133"/>
      <c r="S767" s="37" t="str">
        <f>IFERROR(__xludf.DUMMYFUNCTION("if(not(iserror(index(split(C767, "" ""),2))), index(split(C767, "" ""),1),"""")"),"February,")</f>
        <v>February,</v>
      </c>
      <c r="T767" s="38">
        <f>IFERROR(__xludf.DUMMYFUNCTION("if(S767="""",C767,if(not(iserror(index(split(C767, "" ""),3))), index(split(C767, "" ""),3),index(split(C767, "" ""),2)))"),2018.0)</f>
        <v>2018</v>
      </c>
      <c r="U767" s="38" t="b">
        <f t="shared" si="113"/>
        <v>0</v>
      </c>
      <c r="V767" s="38"/>
      <c r="W767" s="40"/>
      <c r="X767" s="40"/>
      <c r="Y767" s="40"/>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row>
    <row r="768">
      <c r="A768" s="58" t="s">
        <v>2428</v>
      </c>
      <c r="B768" s="59">
        <v>43385.0</v>
      </c>
      <c r="C768" s="79">
        <v>43132.0</v>
      </c>
      <c r="D768" s="60" t="s">
        <v>1844</v>
      </c>
      <c r="E768" s="58" t="s">
        <v>41</v>
      </c>
      <c r="F768" s="58">
        <v>1.0</v>
      </c>
      <c r="G768" s="58" t="s">
        <v>32</v>
      </c>
      <c r="H768" s="33">
        <f t="shared" si="115"/>
        <v>1</v>
      </c>
      <c r="I768" s="58" t="s">
        <v>33</v>
      </c>
      <c r="J768" s="58" t="s">
        <v>343</v>
      </c>
      <c r="K768" s="58">
        <v>5.0</v>
      </c>
      <c r="L768" s="58" t="s">
        <v>2156</v>
      </c>
      <c r="M768" s="61" t="s">
        <v>2429</v>
      </c>
      <c r="N768" s="77"/>
      <c r="O768" s="83" t="str">
        <f>hyperlink("https://bad-boys.us/?q=SD-WV/2:18-cr-00075", "SD-WV 2:18-cr-00075")</f>
        <v>SD-WV 2:18-cr-00075</v>
      </c>
      <c r="P768" s="88" t="s">
        <v>2430</v>
      </c>
      <c r="Q768" s="84">
        <v>1.0</v>
      </c>
      <c r="R768" s="62"/>
      <c r="S768" s="37" t="str">
        <f>IFERROR(__xludf.DUMMYFUNCTION("if(not(iserror(index(split(C768, "" ""),2))), index(split(C768, "" ""),1),"""")"),"February,")</f>
        <v>February,</v>
      </c>
      <c r="T768" s="38">
        <f>IFERROR(__xludf.DUMMYFUNCTION("if(S768="""",C768,if(not(iserror(index(split(C768, "" ""),3))), index(split(C768, "" ""),3),index(split(C768, "" ""),2)))"),2018.0)</f>
        <v>2018</v>
      </c>
      <c r="U768" s="38" t="b">
        <f t="shared" si="113"/>
        <v>0</v>
      </c>
      <c r="V768" s="38"/>
      <c r="W768" s="40"/>
      <c r="X768" s="40"/>
      <c r="Y768" s="40"/>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row>
    <row r="769">
      <c r="A769" s="58" t="s">
        <v>2431</v>
      </c>
      <c r="B769" s="59">
        <v>43392.0</v>
      </c>
      <c r="C769" s="79">
        <v>43132.0</v>
      </c>
      <c r="D769" s="60" t="s">
        <v>483</v>
      </c>
      <c r="E769" s="58" t="s">
        <v>41</v>
      </c>
      <c r="F769" s="58">
        <v>2.0</v>
      </c>
      <c r="G769" s="58" t="s">
        <v>32</v>
      </c>
      <c r="H769" s="33">
        <f t="shared" si="115"/>
        <v>1</v>
      </c>
      <c r="I769" s="58" t="s">
        <v>33</v>
      </c>
      <c r="J769" s="58" t="s">
        <v>93</v>
      </c>
      <c r="K769" s="58" t="s">
        <v>32</v>
      </c>
      <c r="L769" s="58" t="s">
        <v>35</v>
      </c>
      <c r="M769" s="61" t="s">
        <v>2432</v>
      </c>
      <c r="N769" s="61" t="s">
        <v>2433</v>
      </c>
      <c r="O769" s="62"/>
      <c r="P769" s="62"/>
      <c r="Q769" s="62"/>
      <c r="R769" s="62"/>
      <c r="S769" s="37" t="str">
        <f>IFERROR(__xludf.DUMMYFUNCTION("if(not(iserror(index(split(C769, "" ""),2))), index(split(C769, "" ""),1),"""")"),"February,")</f>
        <v>February,</v>
      </c>
      <c r="T769" s="38">
        <f>IFERROR(__xludf.DUMMYFUNCTION("if(S769="""",C769,if(not(iserror(index(split(C769, "" ""),3))), index(split(C769, "" ""),3),index(split(C769, "" ""),2)))"),2018.0)</f>
        <v>2018</v>
      </c>
      <c r="U769" s="38" t="b">
        <f t="shared" si="113"/>
        <v>0</v>
      </c>
      <c r="V769" s="38"/>
      <c r="W769" s="40"/>
      <c r="X769" s="40"/>
      <c r="Y769" s="40"/>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row>
    <row r="770">
      <c r="A770" s="58" t="s">
        <v>2434</v>
      </c>
      <c r="B770" s="59">
        <v>43419.0</v>
      </c>
      <c r="C770" s="79">
        <v>43132.0</v>
      </c>
      <c r="D770" s="60" t="s">
        <v>483</v>
      </c>
      <c r="E770" s="58" t="s">
        <v>41</v>
      </c>
      <c r="F770" s="58">
        <v>1.0</v>
      </c>
      <c r="G770" s="58" t="s">
        <v>32</v>
      </c>
      <c r="H770" s="33">
        <f t="shared" si="115"/>
        <v>1</v>
      </c>
      <c r="I770" s="58" t="s">
        <v>33</v>
      </c>
      <c r="J770" s="58" t="s">
        <v>172</v>
      </c>
      <c r="K770" s="58">
        <v>1.0</v>
      </c>
      <c r="L770" s="58" t="s">
        <v>69</v>
      </c>
      <c r="M770" s="61" t="s">
        <v>2435</v>
      </c>
      <c r="N770" s="80"/>
      <c r="O770" s="58"/>
      <c r="P770" s="58"/>
      <c r="Q770" s="84"/>
      <c r="R770" s="62"/>
      <c r="S770" s="37" t="str">
        <f>IFERROR(__xludf.DUMMYFUNCTION("if(not(iserror(index(split(C770, "" ""),2))), index(split(C770, "" ""),1),"""")"),"February,")</f>
        <v>February,</v>
      </c>
      <c r="T770" s="38">
        <f>IFERROR(__xludf.DUMMYFUNCTION("if(S770="""",C770,if(not(iserror(index(split(C770, "" ""),3))), index(split(C770, "" ""),3),index(split(C770, "" ""),2)))"),2018.0)</f>
        <v>2018</v>
      </c>
      <c r="U770" s="38" t="b">
        <f t="shared" si="113"/>
        <v>0</v>
      </c>
      <c r="V770" s="38"/>
      <c r="W770" s="40"/>
      <c r="X770" s="40"/>
      <c r="Y770" s="40"/>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row>
    <row r="771">
      <c r="A771" s="58" t="s">
        <v>2436</v>
      </c>
      <c r="B771" s="59"/>
      <c r="C771" s="79">
        <v>43132.0</v>
      </c>
      <c r="D771" s="60"/>
      <c r="E771" s="58" t="s">
        <v>41</v>
      </c>
      <c r="F771" s="58">
        <v>1.0</v>
      </c>
      <c r="G771" s="58" t="s">
        <v>32</v>
      </c>
      <c r="H771" s="43">
        <v>1.0</v>
      </c>
      <c r="I771" s="58" t="s">
        <v>33</v>
      </c>
      <c r="J771" s="58" t="s">
        <v>343</v>
      </c>
      <c r="K771" s="58"/>
      <c r="L771" s="58" t="s">
        <v>119</v>
      </c>
      <c r="M771" s="61" t="s">
        <v>2437</v>
      </c>
      <c r="N771" s="80"/>
      <c r="O771" s="58"/>
      <c r="P771" s="58"/>
      <c r="Q771" s="84"/>
      <c r="R771" s="62"/>
      <c r="S771" s="37"/>
      <c r="T771" s="38"/>
      <c r="U771" s="38"/>
      <c r="V771" s="38" t="s">
        <v>33</v>
      </c>
      <c r="W771" s="40"/>
      <c r="X771" s="40"/>
      <c r="Y771" s="40"/>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row>
    <row r="772">
      <c r="A772" s="58" t="s">
        <v>2438</v>
      </c>
      <c r="B772" s="59">
        <v>43419.0</v>
      </c>
      <c r="C772" s="79">
        <v>43132.0</v>
      </c>
      <c r="D772" s="60" t="s">
        <v>483</v>
      </c>
      <c r="E772" s="58" t="s">
        <v>41</v>
      </c>
      <c r="F772" s="58">
        <v>1.0</v>
      </c>
      <c r="G772" s="58" t="s">
        <v>32</v>
      </c>
      <c r="H772" s="33">
        <f t="shared" ref="H772:H775" si="116">if(G772="Unknown",1,G772)</f>
        <v>1</v>
      </c>
      <c r="I772" s="58" t="s">
        <v>33</v>
      </c>
      <c r="J772" s="58" t="s">
        <v>47</v>
      </c>
      <c r="K772" s="58">
        <v>3.0</v>
      </c>
      <c r="L772" s="58" t="s">
        <v>119</v>
      </c>
      <c r="M772" s="61" t="s">
        <v>2439</v>
      </c>
      <c r="N772" s="61" t="s">
        <v>2403</v>
      </c>
      <c r="O772" s="88" t="str">
        <f>hyperlink("https://bad-boys.us/?q=ND-FL/3:18-cr-00029", "ND-FL 3:18-cr-00029")</f>
        <v>ND-FL 3:18-cr-00029</v>
      </c>
      <c r="P772" s="88" t="s">
        <v>2405</v>
      </c>
      <c r="Q772" s="84">
        <v>1.0</v>
      </c>
      <c r="R772" s="62"/>
      <c r="S772" s="37" t="str">
        <f>IFERROR(__xludf.DUMMYFUNCTION("if(not(iserror(index(split(C772, "" ""),2))), index(split(C772, "" ""),1),"""")"),"February,")</f>
        <v>February,</v>
      </c>
      <c r="T772" s="38">
        <f>IFERROR(__xludf.DUMMYFUNCTION("if(S772="""",C772,if(not(iserror(index(split(C772, "" ""),3))), index(split(C772, "" ""),3),index(split(C772, "" ""),2)))"),2018.0)</f>
        <v>2018</v>
      </c>
      <c r="U772" s="38" t="b">
        <f t="shared" ref="U772:U827" si="117">countif(A$4:A4658, A772)&gt;1</f>
        <v>0</v>
      </c>
      <c r="V772" s="38"/>
      <c r="W772" s="40"/>
      <c r="X772" s="40"/>
      <c r="Y772" s="40"/>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row>
    <row r="773">
      <c r="A773" s="58" t="s">
        <v>2440</v>
      </c>
      <c r="B773" s="59">
        <v>43419.0</v>
      </c>
      <c r="C773" s="79">
        <v>43132.0</v>
      </c>
      <c r="D773" s="60" t="s">
        <v>632</v>
      </c>
      <c r="E773" s="58" t="s">
        <v>31</v>
      </c>
      <c r="F773" s="58">
        <v>1.0</v>
      </c>
      <c r="G773" s="58" t="s">
        <v>32</v>
      </c>
      <c r="H773" s="33">
        <f t="shared" si="116"/>
        <v>1</v>
      </c>
      <c r="I773" s="58" t="s">
        <v>33</v>
      </c>
      <c r="J773" s="58" t="s">
        <v>124</v>
      </c>
      <c r="K773" s="58">
        <v>3.0</v>
      </c>
      <c r="L773" s="58" t="s">
        <v>76</v>
      </c>
      <c r="M773" s="61" t="s">
        <v>2441</v>
      </c>
      <c r="N773" s="61" t="s">
        <v>2442</v>
      </c>
      <c r="O773" s="58"/>
      <c r="P773" s="58"/>
      <c r="Q773" s="84"/>
      <c r="R773" s="62"/>
      <c r="S773" s="37" t="str">
        <f>IFERROR(__xludf.DUMMYFUNCTION("if(not(iserror(index(split(C773, "" ""),2))), index(split(C773, "" ""),1),"""")"),"February,")</f>
        <v>February,</v>
      </c>
      <c r="T773" s="38">
        <f>IFERROR(__xludf.DUMMYFUNCTION("if(S773="""",C773,if(not(iserror(index(split(C773, "" ""),3))), index(split(C773, "" ""),3),index(split(C773, "" ""),2)))"),2018.0)</f>
        <v>2018</v>
      </c>
      <c r="U773" s="38" t="b">
        <f t="shared" si="117"/>
        <v>0</v>
      </c>
      <c r="V773" s="38"/>
      <c r="W773" s="40"/>
      <c r="X773" s="40"/>
      <c r="Y773" s="40"/>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row>
    <row r="774">
      <c r="A774" s="58" t="s">
        <v>2443</v>
      </c>
      <c r="B774" s="59">
        <v>43440.0</v>
      </c>
      <c r="C774" s="79">
        <v>43132.0</v>
      </c>
      <c r="D774" s="60" t="s">
        <v>483</v>
      </c>
      <c r="E774" s="58" t="s">
        <v>31</v>
      </c>
      <c r="F774" s="58">
        <v>1.0</v>
      </c>
      <c r="G774" s="58">
        <v>3.0</v>
      </c>
      <c r="H774" s="33">
        <f t="shared" si="116"/>
        <v>3</v>
      </c>
      <c r="I774" s="58" t="s">
        <v>33</v>
      </c>
      <c r="J774" s="58" t="s">
        <v>85</v>
      </c>
      <c r="K774" s="58">
        <v>11.0</v>
      </c>
      <c r="L774" s="58" t="s">
        <v>76</v>
      </c>
      <c r="M774" s="61" t="s">
        <v>2444</v>
      </c>
      <c r="N774" s="61" t="s">
        <v>2445</v>
      </c>
      <c r="O774" s="88" t="str">
        <f>hyperlink("https://bad-boys.us/?q=MD-AL/2:18-cr-00162", "MD-AL 2:18-cr-00162")</f>
        <v>MD-AL 2:18-cr-00162</v>
      </c>
      <c r="P774" s="88" t="s">
        <v>2446</v>
      </c>
      <c r="Q774" s="84">
        <v>1.0</v>
      </c>
      <c r="R774" s="62"/>
      <c r="S774" s="37" t="str">
        <f>IFERROR(__xludf.DUMMYFUNCTION("if(not(iserror(index(split(C774, "" ""),2))), index(split(C774, "" ""),1),"""")"),"February,")</f>
        <v>February,</v>
      </c>
      <c r="T774" s="38">
        <f>IFERROR(__xludf.DUMMYFUNCTION("if(S774="""",C774,if(not(iserror(index(split(C774, "" ""),3))), index(split(C774, "" ""),3),index(split(C774, "" ""),2)))"),2018.0)</f>
        <v>2018</v>
      </c>
      <c r="U774" s="38" t="b">
        <f t="shared" si="117"/>
        <v>0</v>
      </c>
      <c r="V774" s="38"/>
      <c r="W774" s="40"/>
      <c r="X774" s="40"/>
      <c r="Y774" s="40"/>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row>
    <row r="775">
      <c r="A775" s="47" t="s">
        <v>2447</v>
      </c>
      <c r="B775" s="48">
        <v>43455.0</v>
      </c>
      <c r="C775" s="89">
        <v>43132.0</v>
      </c>
      <c r="D775" s="49" t="s">
        <v>483</v>
      </c>
      <c r="E775" s="47" t="s">
        <v>41</v>
      </c>
      <c r="F775" s="47">
        <v>1.0</v>
      </c>
      <c r="G775" s="47" t="s">
        <v>32</v>
      </c>
      <c r="H775" s="33">
        <f t="shared" si="116"/>
        <v>1</v>
      </c>
      <c r="I775" s="47" t="s">
        <v>33</v>
      </c>
      <c r="J775" s="47" t="s">
        <v>47</v>
      </c>
      <c r="K775" s="47">
        <v>2.0</v>
      </c>
      <c r="L775" s="47" t="s">
        <v>69</v>
      </c>
      <c r="M775" s="51" t="s">
        <v>2448</v>
      </c>
      <c r="N775" s="51" t="s">
        <v>2449</v>
      </c>
      <c r="O775" s="53" t="str">
        <f>hyperlink("https://bad-boys.us/?q=MD-FL/8:18-cr-00068", "MD-FL 8:18-cr-00068")</f>
        <v>MD-FL 8:18-cr-00068</v>
      </c>
      <c r="P775" s="54" t="s">
        <v>2450</v>
      </c>
      <c r="Q775" s="47">
        <v>1.0</v>
      </c>
      <c r="R775" s="55"/>
      <c r="S775" s="37" t="str">
        <f>IFERROR(__xludf.DUMMYFUNCTION("if(not(iserror(index(split(C775, "" ""),2))), index(split(C775, "" ""),1),"""")"),"February,")</f>
        <v>February,</v>
      </c>
      <c r="T775" s="38">
        <f>IFERROR(__xludf.DUMMYFUNCTION("if(S775="""",C775,if(not(iserror(index(split(C775, "" ""),3))), index(split(C775, "" ""),3),index(split(C775, "" ""),2)))"),2018.0)</f>
        <v>2018</v>
      </c>
      <c r="U775" s="38" t="b">
        <f t="shared" si="117"/>
        <v>0</v>
      </c>
      <c r="V775" s="38"/>
      <c r="W775" s="40"/>
      <c r="X775" s="40"/>
      <c r="Y775" s="40"/>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row>
    <row r="776">
      <c r="A776" s="47" t="s">
        <v>2451</v>
      </c>
      <c r="B776" s="48">
        <v>43476.0</v>
      </c>
      <c r="C776" s="89">
        <v>43132.0</v>
      </c>
      <c r="D776" s="49" t="s">
        <v>483</v>
      </c>
      <c r="E776" s="47" t="s">
        <v>41</v>
      </c>
      <c r="F776" s="47">
        <v>1.0</v>
      </c>
      <c r="G776" s="47">
        <v>4.0</v>
      </c>
      <c r="H776" s="50">
        <v>4.0</v>
      </c>
      <c r="I776" s="47" t="s">
        <v>33</v>
      </c>
      <c r="J776" s="47" t="s">
        <v>318</v>
      </c>
      <c r="K776" s="47">
        <v>9.0</v>
      </c>
      <c r="L776" s="47" t="s">
        <v>76</v>
      </c>
      <c r="M776" s="51" t="s">
        <v>2452</v>
      </c>
      <c r="N776" s="52"/>
      <c r="O776" s="53" t="str">
        <f>hyperlink("https://bad-boys.us/?q=ED-WA/4:18-cr-06036", "ED-WA 4:18-cr-06036")</f>
        <v>ED-WA 4:18-cr-06036</v>
      </c>
      <c r="P776" s="54" t="s">
        <v>2453</v>
      </c>
      <c r="Q776" s="47">
        <v>1.0</v>
      </c>
      <c r="R776" s="55"/>
      <c r="S776" s="37" t="str">
        <f>IFERROR(__xludf.DUMMYFUNCTION("if(not(iserror(index(split(C776, "" ""),2))), index(split(C776, "" ""),1),"""")"),"February,")</f>
        <v>February,</v>
      </c>
      <c r="T776" s="38">
        <f>IFERROR(__xludf.DUMMYFUNCTION("if(S776="""",C776,if(not(iserror(index(split(C776, "" ""),3))), index(split(C776, "" ""),3),index(split(C776, "" ""),2)))"),2018.0)</f>
        <v>2018</v>
      </c>
      <c r="U776" s="38" t="b">
        <f t="shared" si="117"/>
        <v>0</v>
      </c>
      <c r="V776" s="38"/>
      <c r="W776" s="40"/>
      <c r="X776" s="40"/>
      <c r="Y776" s="40"/>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row>
    <row r="777">
      <c r="A777" s="47" t="s">
        <v>2454</v>
      </c>
      <c r="B777" s="48">
        <v>43494.0</v>
      </c>
      <c r="C777" s="89">
        <v>43132.0</v>
      </c>
      <c r="D777" s="49" t="s">
        <v>483</v>
      </c>
      <c r="E777" s="47" t="s">
        <v>41</v>
      </c>
      <c r="F777" s="47">
        <v>1.0</v>
      </c>
      <c r="G777" s="47">
        <v>1.0</v>
      </c>
      <c r="H777" s="50">
        <v>1.0</v>
      </c>
      <c r="I777" s="47" t="s">
        <v>33</v>
      </c>
      <c r="J777" s="47" t="s">
        <v>147</v>
      </c>
      <c r="K777" s="47">
        <v>3.0</v>
      </c>
      <c r="L777" s="47" t="s">
        <v>76</v>
      </c>
      <c r="M777" s="51" t="s">
        <v>2455</v>
      </c>
      <c r="N777" s="52"/>
      <c r="O777" s="53" t="str">
        <f>hyperlink("https://bad-boys.us/?q=ED-TX/1:18-cr-00008", "ED-TX 1:18-cr-00008")</f>
        <v>ED-TX 1:18-cr-00008</v>
      </c>
      <c r="P777" s="54" t="s">
        <v>2456</v>
      </c>
      <c r="Q777" s="47">
        <v>1.0</v>
      </c>
      <c r="R777" s="55"/>
      <c r="S777" s="37" t="str">
        <f>IFERROR(__xludf.DUMMYFUNCTION("if(not(iserror(index(split(C777, "" ""),2))), index(split(C777, "" ""),1),"""")"),"February,")</f>
        <v>February,</v>
      </c>
      <c r="T777" s="38">
        <f>IFERROR(__xludf.DUMMYFUNCTION("if(S777="""",C777,if(not(iserror(index(split(C777, "" ""),3))), index(split(C777, "" ""),3),index(split(C777, "" ""),2)))"),2018.0)</f>
        <v>2018</v>
      </c>
      <c r="U777" s="38" t="b">
        <f t="shared" si="117"/>
        <v>0</v>
      </c>
      <c r="V777" s="38"/>
      <c r="W777" s="40"/>
      <c r="X777" s="40"/>
      <c r="Y777" s="40"/>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row>
    <row r="778">
      <c r="A778" s="87" t="s">
        <v>2457</v>
      </c>
      <c r="B778" s="48">
        <v>43501.0</v>
      </c>
      <c r="C778" s="89">
        <v>43132.0</v>
      </c>
      <c r="D778" s="49" t="s">
        <v>483</v>
      </c>
      <c r="E778" s="47" t="s">
        <v>41</v>
      </c>
      <c r="F778" s="47">
        <v>1.0</v>
      </c>
      <c r="G778" s="47" t="s">
        <v>32</v>
      </c>
      <c r="H778" s="63">
        <v>1.0</v>
      </c>
      <c r="I778" s="47" t="s">
        <v>33</v>
      </c>
      <c r="J778" s="47" t="s">
        <v>115</v>
      </c>
      <c r="K778" s="47">
        <v>1.0</v>
      </c>
      <c r="L778" s="47" t="s">
        <v>119</v>
      </c>
      <c r="M778" s="51" t="s">
        <v>2458</v>
      </c>
      <c r="N778" s="52"/>
      <c r="O778" s="53" t="str">
        <f>hyperlink("https://bad-boys.us/?q=MD-PA/3:18-cr-00015", "MD-PA 3:18-cr-00015")</f>
        <v>MD-PA 3:18-cr-00015</v>
      </c>
      <c r="P778" s="47"/>
      <c r="Q778" s="47">
        <v>1.0</v>
      </c>
      <c r="R778" s="55"/>
      <c r="S778" s="37" t="str">
        <f>IFERROR(__xludf.DUMMYFUNCTION("if(not(iserror(index(split(C778, "" ""),2))), index(split(C778, "" ""),1),"""")"),"February,")</f>
        <v>February,</v>
      </c>
      <c r="T778" s="38">
        <f>IFERROR(__xludf.DUMMYFUNCTION("if(S778="""",C778,if(not(iserror(index(split(C778, "" ""),3))), index(split(C778, "" ""),3),index(split(C778, "" ""),2)))"),2018.0)</f>
        <v>2018</v>
      </c>
      <c r="U778" s="38" t="b">
        <f t="shared" si="117"/>
        <v>0</v>
      </c>
      <c r="V778" s="38" t="s">
        <v>33</v>
      </c>
      <c r="W778" s="40"/>
      <c r="X778" s="40"/>
      <c r="Y778" s="40"/>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row>
    <row r="779">
      <c r="A779" s="94" t="s">
        <v>2459</v>
      </c>
      <c r="B779" s="92">
        <v>43448.0</v>
      </c>
      <c r="C779" s="31">
        <v>43132.0</v>
      </c>
      <c r="D779" s="93" t="s">
        <v>2460</v>
      </c>
      <c r="E779" s="94" t="s">
        <v>31</v>
      </c>
      <c r="F779" s="94">
        <v>1.0</v>
      </c>
      <c r="G779" s="94" t="s">
        <v>32</v>
      </c>
      <c r="H779" s="33">
        <v>1.0</v>
      </c>
      <c r="I779" s="94" t="s">
        <v>33</v>
      </c>
      <c r="J779" s="94" t="s">
        <v>524</v>
      </c>
      <c r="K779" s="94">
        <v>2.0</v>
      </c>
      <c r="L779" s="94" t="s">
        <v>69</v>
      </c>
      <c r="M779" s="199" t="s">
        <v>2461</v>
      </c>
      <c r="N779" s="15" t="s">
        <v>2462</v>
      </c>
      <c r="O779" s="57" t="str">
        <f>hyperlink("https://bad-boys.us/?q=D-AK/3:18-cr-00153", "D-AK 3:18-cr-00153")</f>
        <v>D-AK 3:18-cr-00153</v>
      </c>
      <c r="P779" s="86" t="s">
        <v>2463</v>
      </c>
      <c r="Q779" s="64">
        <v>1.0</v>
      </c>
      <c r="R779" s="16"/>
      <c r="S779" s="37" t="str">
        <f>IFERROR(__xludf.DUMMYFUNCTION("if(not(iserror(index(split(C779, "" ""),2))), index(split(C779, "" ""),1),"""")"),"February,")</f>
        <v>February,</v>
      </c>
      <c r="T779" s="38">
        <f>IFERROR(__xludf.DUMMYFUNCTION("if(S779="""",C779,if(not(iserror(index(split(C779, "" ""),3))), index(split(C779, "" ""),3),index(split(C779, "" ""),2)))"),2018.0)</f>
        <v>2018</v>
      </c>
      <c r="U779" s="38" t="b">
        <f t="shared" si="117"/>
        <v>0</v>
      </c>
      <c r="V779" s="96" t="s">
        <v>33</v>
      </c>
      <c r="W779" s="39" t="s">
        <v>2464</v>
      </c>
      <c r="X779" s="97" t="s">
        <v>2465</v>
      </c>
      <c r="Y779" s="97"/>
      <c r="Z779" s="96"/>
      <c r="AA779" s="96"/>
      <c r="AB779" s="96"/>
      <c r="AC779" s="96"/>
      <c r="AD779" s="96"/>
      <c r="AE779" s="96"/>
      <c r="AF779" s="96"/>
      <c r="AG779" s="96"/>
      <c r="AH779" s="96"/>
      <c r="AI779" s="96"/>
      <c r="AJ779" s="96"/>
      <c r="AK779" s="96"/>
      <c r="AL779" s="96"/>
      <c r="AM779" s="96"/>
      <c r="AN779" s="96"/>
      <c r="AO779" s="96"/>
      <c r="AP779" s="96"/>
      <c r="AQ779" s="96"/>
      <c r="AR779" s="96"/>
      <c r="AS779" s="96"/>
      <c r="AT779" s="96"/>
      <c r="AU779" s="96"/>
      <c r="AV779" s="96"/>
      <c r="AW779" s="96"/>
      <c r="AX779" s="96"/>
      <c r="AY779" s="96"/>
      <c r="AZ779" s="96"/>
      <c r="BA779" s="96"/>
      <c r="BB779" s="96"/>
      <c r="BC779" s="96"/>
      <c r="BD779" s="96"/>
      <c r="BE779" s="96"/>
      <c r="BF779" s="96"/>
      <c r="BG779" s="96"/>
      <c r="BH779" s="96"/>
      <c r="BI779" s="96"/>
      <c r="BJ779" s="96"/>
      <c r="BK779" s="96"/>
      <c r="BL779" s="96"/>
      <c r="BM779" s="96"/>
      <c r="BN779" s="96"/>
      <c r="BO779" s="96"/>
      <c r="BP779" s="96"/>
      <c r="BQ779" s="96"/>
    </row>
    <row r="780">
      <c r="A780" s="13" t="s">
        <v>2466</v>
      </c>
      <c r="B780" s="30">
        <v>43133.0</v>
      </c>
      <c r="C780" s="30">
        <v>43133.0</v>
      </c>
      <c r="D780" s="32" t="s">
        <v>2467</v>
      </c>
      <c r="E780" s="13" t="s">
        <v>41</v>
      </c>
      <c r="F780" s="13">
        <v>1.0</v>
      </c>
      <c r="G780" s="13">
        <v>5.0</v>
      </c>
      <c r="H780" s="33">
        <f t="shared" ref="H780:H785" si="118">if(G780="Unknown",1,G780)</f>
        <v>5</v>
      </c>
      <c r="I780" s="13" t="s">
        <v>33</v>
      </c>
      <c r="J780" s="13" t="s">
        <v>111</v>
      </c>
      <c r="K780" s="13">
        <v>1.0</v>
      </c>
      <c r="L780" s="13" t="s">
        <v>2468</v>
      </c>
      <c r="M780" s="45" t="s">
        <v>2469</v>
      </c>
      <c r="N780" s="15"/>
      <c r="O780" s="16"/>
      <c r="P780" s="16"/>
      <c r="Q780" s="16"/>
      <c r="R780" s="16"/>
      <c r="S780" s="37" t="str">
        <f>IFERROR(__xludf.DUMMYFUNCTION("if(not(iserror(index(split(C780, "" ""),2))), index(split(C780, "" ""),1),"""")"),"February")</f>
        <v>February</v>
      </c>
      <c r="T780" s="38">
        <f>IFERROR(__xludf.DUMMYFUNCTION("if(S780="""",C780,if(not(iserror(index(split(C780, "" ""),3))), index(split(C780, "" ""),3),index(split(C780, "" ""),2)))"),2018.0)</f>
        <v>2018</v>
      </c>
      <c r="U780" s="38" t="b">
        <f t="shared" si="117"/>
        <v>0</v>
      </c>
      <c r="V780" s="38"/>
      <c r="W780" s="40"/>
      <c r="X780" s="40"/>
      <c r="Y780" s="40"/>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row>
    <row r="781">
      <c r="A781" s="87" t="s">
        <v>2470</v>
      </c>
      <c r="B781" s="30">
        <v>43137.0</v>
      </c>
      <c r="C781" s="30">
        <v>43133.0</v>
      </c>
      <c r="D781" s="32" t="s">
        <v>2471</v>
      </c>
      <c r="E781" s="13" t="s">
        <v>41</v>
      </c>
      <c r="F781" s="13">
        <v>2.0</v>
      </c>
      <c r="G781" s="13">
        <v>5.0</v>
      </c>
      <c r="H781" s="33">
        <f t="shared" si="118"/>
        <v>5</v>
      </c>
      <c r="I781" s="13" t="s">
        <v>33</v>
      </c>
      <c r="J781" s="13" t="s">
        <v>413</v>
      </c>
      <c r="K781" s="13">
        <v>1.0</v>
      </c>
      <c r="L781" s="13" t="s">
        <v>194</v>
      </c>
      <c r="M781" s="35" t="s">
        <v>2472</v>
      </c>
      <c r="N781" s="15"/>
      <c r="O781" s="86" t="str">
        <f>hyperlink("https://bad-boys.us/?q=D-VT/2:18-cr-00021", "D-VT 2:18-cr-00021")</f>
        <v>D-VT 2:18-cr-00021</v>
      </c>
      <c r="P781" s="37"/>
      <c r="Q781" s="37">
        <v>1.0</v>
      </c>
      <c r="R781" s="16"/>
      <c r="S781" s="37" t="str">
        <f>IFERROR(__xludf.DUMMYFUNCTION("if(not(iserror(index(split(C781, "" ""),2))), index(split(C781, "" ""),1),"""")"),"February")</f>
        <v>February</v>
      </c>
      <c r="T781" s="38">
        <f>IFERROR(__xludf.DUMMYFUNCTION("if(S781="""",C781,if(not(iserror(index(split(C781, "" ""),3))), index(split(C781, "" ""),3),index(split(C781, "" ""),2)))"),2018.0)</f>
        <v>2018</v>
      </c>
      <c r="U781" s="38" t="b">
        <f t="shared" si="117"/>
        <v>0</v>
      </c>
      <c r="V781" s="38"/>
      <c r="W781" s="40"/>
      <c r="X781" s="40"/>
      <c r="Y781" s="40"/>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row>
    <row r="782">
      <c r="A782" s="13" t="s">
        <v>2473</v>
      </c>
      <c r="B782" s="30">
        <v>43146.0</v>
      </c>
      <c r="C782" s="30">
        <v>43133.0</v>
      </c>
      <c r="D782" s="32" t="s">
        <v>2471</v>
      </c>
      <c r="E782" s="13" t="s">
        <v>31</v>
      </c>
      <c r="F782" s="13">
        <v>1.0</v>
      </c>
      <c r="G782" s="13" t="s">
        <v>32</v>
      </c>
      <c r="H782" s="33">
        <f t="shared" si="118"/>
        <v>1</v>
      </c>
      <c r="I782" s="13" t="s">
        <v>33</v>
      </c>
      <c r="J782" s="13" t="s">
        <v>1184</v>
      </c>
      <c r="K782" s="13" t="s">
        <v>484</v>
      </c>
      <c r="L782" s="13" t="s">
        <v>2474</v>
      </c>
      <c r="M782" s="35" t="s">
        <v>2475</v>
      </c>
      <c r="N782" s="36" t="s">
        <v>2476</v>
      </c>
      <c r="O782" s="16"/>
      <c r="P782" s="16"/>
      <c r="Q782" s="16"/>
      <c r="R782" s="16"/>
      <c r="S782" s="37" t="str">
        <f>IFERROR(__xludf.DUMMYFUNCTION("if(not(iserror(index(split(C782, "" ""),2))), index(split(C782, "" ""),1),"""")"),"February")</f>
        <v>February</v>
      </c>
      <c r="T782" s="38">
        <f>IFERROR(__xludf.DUMMYFUNCTION("if(S782="""",C782,if(not(iserror(index(split(C782, "" ""),3))), index(split(C782, "" ""),3),index(split(C782, "" ""),2)))"),2018.0)</f>
        <v>2018</v>
      </c>
      <c r="U782" s="38" t="b">
        <f t="shared" si="117"/>
        <v>0</v>
      </c>
      <c r="V782" s="38" t="s">
        <v>33</v>
      </c>
      <c r="W782" s="39" t="s">
        <v>2477</v>
      </c>
      <c r="X782" s="39" t="s">
        <v>2478</v>
      </c>
      <c r="Y782" s="40"/>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row>
    <row r="783">
      <c r="A783" s="13" t="s">
        <v>239</v>
      </c>
      <c r="B783" s="30">
        <v>43137.0</v>
      </c>
      <c r="C783" s="30">
        <v>43134.0</v>
      </c>
      <c r="D783" s="32" t="s">
        <v>2347</v>
      </c>
      <c r="E783" s="13" t="s">
        <v>41</v>
      </c>
      <c r="F783" s="13">
        <v>1.0</v>
      </c>
      <c r="G783" s="13">
        <v>6.0</v>
      </c>
      <c r="H783" s="33">
        <f t="shared" si="118"/>
        <v>6</v>
      </c>
      <c r="I783" s="13" t="s">
        <v>33</v>
      </c>
      <c r="J783" s="13" t="s">
        <v>241</v>
      </c>
      <c r="K783" s="13">
        <v>1.0</v>
      </c>
      <c r="L783" s="13" t="s">
        <v>194</v>
      </c>
      <c r="M783" s="35" t="s">
        <v>2479</v>
      </c>
      <c r="N783" s="15"/>
      <c r="O783" s="37"/>
      <c r="P783" s="37"/>
      <c r="Q783" s="64"/>
      <c r="R783" s="16"/>
      <c r="S783" s="37" t="str">
        <f>IFERROR(__xludf.DUMMYFUNCTION("if(not(iserror(index(split(C783, "" ""),2))), index(split(C783, "" ""),1),"""")"),"February")</f>
        <v>February</v>
      </c>
      <c r="T783" s="38">
        <f>IFERROR(__xludf.DUMMYFUNCTION("if(S783="""",C783,if(not(iserror(index(split(C783, "" ""),3))), index(split(C783, "" ""),3),index(split(C783, "" ""),2)))"),2018.0)</f>
        <v>2018</v>
      </c>
      <c r="U783" s="38" t="b">
        <f t="shared" si="117"/>
        <v>1</v>
      </c>
      <c r="V783" s="38"/>
      <c r="W783" s="40"/>
      <c r="X783" s="40"/>
      <c r="Y783" s="40"/>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row>
    <row r="784">
      <c r="A784" s="13" t="s">
        <v>239</v>
      </c>
      <c r="B784" s="30">
        <v>43136.0</v>
      </c>
      <c r="C784" s="30">
        <v>43135.0</v>
      </c>
      <c r="D784" s="32" t="s">
        <v>2480</v>
      </c>
      <c r="E784" s="13" t="s">
        <v>41</v>
      </c>
      <c r="F784" s="13">
        <v>2.0</v>
      </c>
      <c r="G784" s="13">
        <v>2.0</v>
      </c>
      <c r="H784" s="33">
        <f t="shared" si="118"/>
        <v>2</v>
      </c>
      <c r="I784" s="13" t="s">
        <v>33</v>
      </c>
      <c r="J784" s="13" t="s">
        <v>241</v>
      </c>
      <c r="K784" s="13">
        <v>1.0</v>
      </c>
      <c r="L784" s="13" t="s">
        <v>194</v>
      </c>
      <c r="M784" s="35" t="s">
        <v>2481</v>
      </c>
      <c r="N784" s="15"/>
      <c r="O784" s="37"/>
      <c r="P784" s="37"/>
      <c r="Q784" s="64"/>
      <c r="R784" s="16"/>
      <c r="S784" s="37" t="str">
        <f>IFERROR(__xludf.DUMMYFUNCTION("if(not(iserror(index(split(C784, "" ""),2))), index(split(C784, "" ""),1),"""")"),"February")</f>
        <v>February</v>
      </c>
      <c r="T784" s="38">
        <f>IFERROR(__xludf.DUMMYFUNCTION("if(S784="""",C784,if(not(iserror(index(split(C784, "" ""),3))), index(split(C784, "" ""),3),index(split(C784, "" ""),2)))"),2018.0)</f>
        <v>2018</v>
      </c>
      <c r="U784" s="38" t="b">
        <f t="shared" si="117"/>
        <v>1</v>
      </c>
      <c r="V784" s="38"/>
      <c r="W784" s="40"/>
      <c r="X784" s="40"/>
      <c r="Y784" s="40"/>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row>
    <row r="785">
      <c r="A785" s="13" t="s">
        <v>54</v>
      </c>
      <c r="B785" s="30">
        <v>43147.0</v>
      </c>
      <c r="C785" s="30">
        <v>43135.0</v>
      </c>
      <c r="D785" s="32" t="s">
        <v>2482</v>
      </c>
      <c r="E785" s="13" t="s">
        <v>31</v>
      </c>
      <c r="F785" s="13">
        <v>4.0</v>
      </c>
      <c r="G785" s="13">
        <v>8.0</v>
      </c>
      <c r="H785" s="33">
        <f t="shared" si="118"/>
        <v>8</v>
      </c>
      <c r="I785" s="13" t="s">
        <v>33</v>
      </c>
      <c r="J785" s="13" t="s">
        <v>111</v>
      </c>
      <c r="K785" s="13">
        <v>8.0</v>
      </c>
      <c r="L785" s="13" t="s">
        <v>2483</v>
      </c>
      <c r="M785" s="35" t="s">
        <v>2484</v>
      </c>
      <c r="N785" s="15"/>
      <c r="O785" s="16"/>
      <c r="P785" s="16"/>
      <c r="Q785" s="16"/>
      <c r="R785" s="16"/>
      <c r="S785" s="37" t="str">
        <f>IFERROR(__xludf.DUMMYFUNCTION("if(not(iserror(index(split(C785, "" ""),2))), index(split(C785, "" ""),1),"""")"),"February")</f>
        <v>February</v>
      </c>
      <c r="T785" s="38">
        <f>IFERROR(__xludf.DUMMYFUNCTION("if(S785="""",C785,if(not(iserror(index(split(C785, "" ""),3))), index(split(C785, "" ""),3),index(split(C785, "" ""),2)))"),2018.0)</f>
        <v>2018</v>
      </c>
      <c r="U785" s="38" t="b">
        <f t="shared" si="117"/>
        <v>1</v>
      </c>
      <c r="V785" s="38"/>
      <c r="W785" s="40"/>
      <c r="X785" s="40"/>
      <c r="Y785" s="40"/>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row>
    <row r="786">
      <c r="A786" s="37" t="s">
        <v>2485</v>
      </c>
      <c r="B786" s="99">
        <v>43504.0</v>
      </c>
      <c r="C786" s="99">
        <v>43135.0</v>
      </c>
      <c r="D786" s="159">
        <v>43135.0</v>
      </c>
      <c r="E786" s="37" t="s">
        <v>41</v>
      </c>
      <c r="F786" s="37">
        <v>1.0</v>
      </c>
      <c r="G786" s="37" t="s">
        <v>32</v>
      </c>
      <c r="H786" s="200">
        <v>1.0</v>
      </c>
      <c r="I786" s="37" t="s">
        <v>33</v>
      </c>
      <c r="J786" s="37" t="s">
        <v>93</v>
      </c>
      <c r="K786" s="37">
        <v>1.0</v>
      </c>
      <c r="L786" s="37" t="s">
        <v>119</v>
      </c>
      <c r="M786" s="36" t="s">
        <v>2486</v>
      </c>
      <c r="N786" s="15"/>
      <c r="O786" s="57" t="str">
        <f>hyperlink("https://bad-boys.us/?q=WD-NY/6:18-cr-06073", "WD-NY 6:18-cr-06073")</f>
        <v>WD-NY 6:18-cr-06073</v>
      </c>
      <c r="P786" s="16"/>
      <c r="Q786" s="37">
        <v>1.0</v>
      </c>
      <c r="R786" s="16"/>
      <c r="S786" s="37" t="str">
        <f>IFERROR(__xludf.DUMMYFUNCTION("if(not(iserror(index(split(C786, "" ""),2))), index(split(C786, "" ""),1),"""")"),"February")</f>
        <v>February</v>
      </c>
      <c r="T786" s="38">
        <f>IFERROR(__xludf.DUMMYFUNCTION("if(S786="""",C786,if(not(iserror(index(split(C786, "" ""),3))), index(split(C786, "" ""),3),index(split(C786, "" ""),2)))"),2018.0)</f>
        <v>2018</v>
      </c>
      <c r="U786" s="38" t="b">
        <f t="shared" si="117"/>
        <v>0</v>
      </c>
      <c r="V786" s="201" t="s">
        <v>33</v>
      </c>
      <c r="W786" s="15"/>
      <c r="X786" s="15"/>
      <c r="Y786" s="15"/>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row>
    <row r="787">
      <c r="A787" s="37" t="s">
        <v>2487</v>
      </c>
      <c r="B787" s="30">
        <v>43136.0</v>
      </c>
      <c r="C787" s="30">
        <v>43136.0</v>
      </c>
      <c r="D787" s="32" t="s">
        <v>2488</v>
      </c>
      <c r="E787" s="13" t="s">
        <v>41</v>
      </c>
      <c r="F787" s="13">
        <v>3.0</v>
      </c>
      <c r="G787" s="13" t="s">
        <v>32</v>
      </c>
      <c r="H787" s="33">
        <f t="shared" ref="H787:H789" si="119">if(G787="Unknown",1,G787)</f>
        <v>1</v>
      </c>
      <c r="I787" s="13" t="s">
        <v>33</v>
      </c>
      <c r="J787" s="13" t="s">
        <v>55</v>
      </c>
      <c r="K787" s="13">
        <v>3.0</v>
      </c>
      <c r="L787" s="13" t="s">
        <v>1208</v>
      </c>
      <c r="M787" s="35" t="s">
        <v>2489</v>
      </c>
      <c r="N787" s="36" t="s">
        <v>2490</v>
      </c>
      <c r="O787" s="37"/>
      <c r="P787" s="37"/>
      <c r="Q787" s="37"/>
      <c r="R787" s="16"/>
      <c r="S787" s="37" t="str">
        <f>IFERROR(__xludf.DUMMYFUNCTION("if(not(iserror(index(split(C787, "" ""),2))), index(split(C787, "" ""),1),"""")"),"February")</f>
        <v>February</v>
      </c>
      <c r="T787" s="38">
        <f>IFERROR(__xludf.DUMMYFUNCTION("if(S787="""",C787,if(not(iserror(index(split(C787, "" ""),3))), index(split(C787, "" ""),3),index(split(C787, "" ""),2)))"),2018.0)</f>
        <v>2018</v>
      </c>
      <c r="U787" s="38" t="b">
        <f t="shared" si="117"/>
        <v>0</v>
      </c>
      <c r="V787" s="38"/>
      <c r="W787" s="40"/>
      <c r="X787" s="40"/>
      <c r="Y787" s="40"/>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row>
    <row r="788">
      <c r="A788" s="152" t="s">
        <v>2491</v>
      </c>
      <c r="B788" s="153">
        <v>43136.0</v>
      </c>
      <c r="C788" s="153">
        <v>43136.0</v>
      </c>
      <c r="D788" s="154" t="s">
        <v>2488</v>
      </c>
      <c r="E788" s="155" t="s">
        <v>41</v>
      </c>
      <c r="F788" s="152">
        <v>1.0</v>
      </c>
      <c r="G788" s="152" t="s">
        <v>32</v>
      </c>
      <c r="H788" s="33">
        <f t="shared" si="119"/>
        <v>1</v>
      </c>
      <c r="I788" s="152" t="s">
        <v>33</v>
      </c>
      <c r="J788" s="152" t="s">
        <v>162</v>
      </c>
      <c r="K788" s="152">
        <v>1.0</v>
      </c>
      <c r="L788" s="155" t="s">
        <v>69</v>
      </c>
      <c r="M788" s="158" t="s">
        <v>2492</v>
      </c>
      <c r="N788" s="158" t="s">
        <v>2493</v>
      </c>
      <c r="O788" s="86" t="str">
        <f>hyperlink("https://bad-boys.us/?q=D-KS/6:18-cr-10017", "D-KS 6:18-cr-10017")</f>
        <v>D-KS 6:18-cr-10017</v>
      </c>
      <c r="P788" s="86" t="s">
        <v>2494</v>
      </c>
      <c r="Q788" s="64">
        <v>1.0</v>
      </c>
      <c r="R788" s="16"/>
      <c r="S788" s="37" t="str">
        <f>IFERROR(__xludf.DUMMYFUNCTION("if(not(iserror(index(split(C788, "" ""),2))), index(split(C788, "" ""),1),"""")"),"February")</f>
        <v>February</v>
      </c>
      <c r="T788" s="38">
        <f>IFERROR(__xludf.DUMMYFUNCTION("if(S788="""",C788,if(not(iserror(index(split(C788, "" ""),3))), index(split(C788, "" ""),3),index(split(C788, "" ""),2)))"),2018.0)</f>
        <v>2018</v>
      </c>
      <c r="U788" s="38" t="b">
        <f t="shared" si="117"/>
        <v>0</v>
      </c>
      <c r="V788" s="38"/>
      <c r="W788" s="40"/>
      <c r="X788" s="40"/>
      <c r="Y788" s="40"/>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row>
    <row r="789">
      <c r="A789" s="13" t="s">
        <v>40</v>
      </c>
      <c r="B789" s="30">
        <v>43137.0</v>
      </c>
      <c r="C789" s="30">
        <v>43137.0</v>
      </c>
      <c r="D789" s="32" t="s">
        <v>2495</v>
      </c>
      <c r="E789" s="13" t="s">
        <v>41</v>
      </c>
      <c r="F789" s="13">
        <v>21.0</v>
      </c>
      <c r="G789" s="13" t="s">
        <v>32</v>
      </c>
      <c r="H789" s="33">
        <f t="shared" si="119"/>
        <v>1</v>
      </c>
      <c r="I789" s="13" t="s">
        <v>2496</v>
      </c>
      <c r="J789" s="13"/>
      <c r="K789" s="13" t="s">
        <v>32</v>
      </c>
      <c r="L789" s="13" t="s">
        <v>2497</v>
      </c>
      <c r="M789" s="35" t="s">
        <v>2498</v>
      </c>
      <c r="N789" s="15"/>
      <c r="O789" s="37"/>
      <c r="P789" s="37"/>
      <c r="Q789" s="64"/>
      <c r="R789" s="16"/>
      <c r="S789" s="37" t="str">
        <f>IFERROR(__xludf.DUMMYFUNCTION("if(not(iserror(index(split(C789, "" ""),2))), index(split(C789, "" ""),1),"""")"),"February")</f>
        <v>February</v>
      </c>
      <c r="T789" s="38">
        <f>IFERROR(__xludf.DUMMYFUNCTION("if(S789="""",C789,if(not(iserror(index(split(C789, "" ""),3))), index(split(C789, "" ""),3),index(split(C789, "" ""),2)))"),2018.0)</f>
        <v>2018</v>
      </c>
      <c r="U789" s="38" t="b">
        <f t="shared" si="117"/>
        <v>1</v>
      </c>
      <c r="V789" s="38"/>
      <c r="W789" s="40"/>
      <c r="X789" s="40"/>
      <c r="Y789" s="40"/>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row>
    <row r="790">
      <c r="A790" s="13" t="s">
        <v>2499</v>
      </c>
      <c r="B790" s="30"/>
      <c r="C790" s="30">
        <v>43137.0</v>
      </c>
      <c r="D790" s="32"/>
      <c r="E790" s="13" t="s">
        <v>41</v>
      </c>
      <c r="F790" s="13">
        <v>1.0</v>
      </c>
      <c r="G790" s="13" t="s">
        <v>32</v>
      </c>
      <c r="H790" s="43">
        <v>1.0</v>
      </c>
      <c r="I790" s="13" t="s">
        <v>33</v>
      </c>
      <c r="J790" s="13" t="s">
        <v>318</v>
      </c>
      <c r="K790" s="13"/>
      <c r="L790" s="13" t="s">
        <v>69</v>
      </c>
      <c r="M790" s="35" t="s">
        <v>2500</v>
      </c>
      <c r="N790" s="15"/>
      <c r="O790" s="37"/>
      <c r="P790" s="37"/>
      <c r="Q790" s="37"/>
      <c r="R790" s="16"/>
      <c r="S790" s="37"/>
      <c r="T790" s="38"/>
      <c r="U790" s="38" t="b">
        <f t="shared" si="117"/>
        <v>0</v>
      </c>
      <c r="V790" s="38" t="s">
        <v>33</v>
      </c>
      <c r="W790" s="40"/>
      <c r="X790" s="40"/>
      <c r="Y790" s="40"/>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row>
    <row r="791">
      <c r="A791" s="152" t="s">
        <v>2501</v>
      </c>
      <c r="B791" s="153">
        <v>43137.0</v>
      </c>
      <c r="C791" s="153">
        <v>43137.0</v>
      </c>
      <c r="D791" s="154" t="s">
        <v>2495</v>
      </c>
      <c r="E791" s="155" t="s">
        <v>41</v>
      </c>
      <c r="F791" s="152">
        <v>1.0</v>
      </c>
      <c r="G791" s="152" t="s">
        <v>32</v>
      </c>
      <c r="H791" s="33">
        <f t="shared" ref="H791:H798" si="120">if(G791="Unknown",1,G791)</f>
        <v>1</v>
      </c>
      <c r="I791" s="152" t="s">
        <v>33</v>
      </c>
      <c r="J791" s="152" t="s">
        <v>162</v>
      </c>
      <c r="K791" s="13" t="s">
        <v>32</v>
      </c>
      <c r="L791" s="152" t="s">
        <v>35</v>
      </c>
      <c r="M791" s="158" t="s">
        <v>2502</v>
      </c>
      <c r="N791" s="163"/>
      <c r="O791" s="86" t="str">
        <f>hyperlink("https://bad-boys.us/?q=D-KS/6:18-cr-10018", "D-KS 6:18-cr-10018")</f>
        <v>D-KS 6:18-cr-10018</v>
      </c>
      <c r="P791" s="86" t="s">
        <v>2503</v>
      </c>
      <c r="Q791" s="64">
        <v>1.0</v>
      </c>
      <c r="R791" s="16"/>
      <c r="S791" s="37" t="str">
        <f>IFERROR(__xludf.DUMMYFUNCTION("if(not(iserror(index(split(C791, "" ""),2))), index(split(C791, "" ""),1),"""")"),"February")</f>
        <v>February</v>
      </c>
      <c r="T791" s="38">
        <f>IFERROR(__xludf.DUMMYFUNCTION("if(S791="""",C791,if(not(iserror(index(split(C791, "" ""),3))), index(split(C791, "" ""),3),index(split(C791, "" ""),2)))"),2018.0)</f>
        <v>2018</v>
      </c>
      <c r="U791" s="38" t="b">
        <f t="shared" si="117"/>
        <v>0</v>
      </c>
      <c r="V791" s="38"/>
      <c r="W791" s="40"/>
      <c r="X791" s="40"/>
      <c r="Y791" s="40"/>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row>
    <row r="792">
      <c r="A792" s="87" t="s">
        <v>2504</v>
      </c>
      <c r="B792" s="30">
        <v>43138.0</v>
      </c>
      <c r="C792" s="30">
        <v>43138.0</v>
      </c>
      <c r="D792" s="32" t="s">
        <v>2505</v>
      </c>
      <c r="E792" s="13" t="s">
        <v>41</v>
      </c>
      <c r="F792" s="13">
        <v>1.0</v>
      </c>
      <c r="G792" s="13" t="s">
        <v>32</v>
      </c>
      <c r="H792" s="33">
        <f t="shared" si="120"/>
        <v>1</v>
      </c>
      <c r="I792" s="13" t="s">
        <v>33</v>
      </c>
      <c r="J792" s="13" t="s">
        <v>228</v>
      </c>
      <c r="K792" s="13" t="s">
        <v>32</v>
      </c>
      <c r="L792" s="13" t="s">
        <v>69</v>
      </c>
      <c r="M792" s="120" t="s">
        <v>2506</v>
      </c>
      <c r="N792" s="15"/>
      <c r="O792" s="86" t="str">
        <f>hyperlink("https://bad-boys.us/?q=D-PR/3:18-cr-00060", "D-PR 3:18-cr-00060")</f>
        <v>D-PR 3:18-cr-00060</v>
      </c>
      <c r="P792" s="86" t="s">
        <v>2507</v>
      </c>
      <c r="Q792" s="37">
        <v>1.0</v>
      </c>
      <c r="R792" s="16"/>
      <c r="S792" s="37" t="str">
        <f>IFERROR(__xludf.DUMMYFUNCTION("if(not(iserror(index(split(C792, "" ""),2))), index(split(C792, "" ""),1),"""")"),"February")</f>
        <v>February</v>
      </c>
      <c r="T792" s="38">
        <f>IFERROR(__xludf.DUMMYFUNCTION("if(S792="""",C792,if(not(iserror(index(split(C792, "" ""),3))), index(split(C792, "" ""),3),index(split(C792, "" ""),2)))"),2018.0)</f>
        <v>2018</v>
      </c>
      <c r="U792" s="38" t="b">
        <f t="shared" si="117"/>
        <v>0</v>
      </c>
      <c r="V792" s="38"/>
      <c r="W792" s="40"/>
      <c r="X792" s="40"/>
      <c r="Y792" s="40"/>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row>
    <row r="793">
      <c r="A793" s="13" t="s">
        <v>2508</v>
      </c>
      <c r="B793" s="30">
        <v>43138.0</v>
      </c>
      <c r="C793" s="30">
        <v>43138.0</v>
      </c>
      <c r="D793" s="32" t="s">
        <v>2505</v>
      </c>
      <c r="E793" s="13" t="s">
        <v>31</v>
      </c>
      <c r="F793" s="13">
        <v>1.0</v>
      </c>
      <c r="G793" s="13" t="s">
        <v>32</v>
      </c>
      <c r="H793" s="33">
        <f t="shared" si="120"/>
        <v>1</v>
      </c>
      <c r="I793" s="13" t="s">
        <v>33</v>
      </c>
      <c r="J793" s="13" t="s">
        <v>402</v>
      </c>
      <c r="K793" s="13">
        <v>2.0</v>
      </c>
      <c r="L793" s="13" t="s">
        <v>99</v>
      </c>
      <c r="M793" s="36" t="s">
        <v>2509</v>
      </c>
      <c r="N793" s="15"/>
      <c r="O793" s="16"/>
      <c r="P793" s="16"/>
      <c r="Q793" s="16"/>
      <c r="R793" s="16"/>
      <c r="S793" s="37" t="str">
        <f>IFERROR(__xludf.DUMMYFUNCTION("if(not(iserror(index(split(C793, "" ""),2))), index(split(C793, "" ""),1),"""")"),"February")</f>
        <v>February</v>
      </c>
      <c r="T793" s="38">
        <f>IFERROR(__xludf.DUMMYFUNCTION("if(S793="""",C793,if(not(iserror(index(split(C793, "" ""),3))), index(split(C793, "" ""),3),index(split(C793, "" ""),2)))"),2018.0)</f>
        <v>2018</v>
      </c>
      <c r="U793" s="38" t="b">
        <f t="shared" si="117"/>
        <v>0</v>
      </c>
      <c r="V793" s="38"/>
      <c r="W793" s="40"/>
      <c r="X793" s="40"/>
      <c r="Y793" s="40"/>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row>
    <row r="794">
      <c r="A794" s="87" t="s">
        <v>2510</v>
      </c>
      <c r="B794" s="59">
        <v>43362.0</v>
      </c>
      <c r="C794" s="59">
        <v>43138.0</v>
      </c>
      <c r="D794" s="60" t="s">
        <v>2505</v>
      </c>
      <c r="E794" s="58" t="s">
        <v>41</v>
      </c>
      <c r="F794" s="58">
        <v>1.0</v>
      </c>
      <c r="G794" s="58" t="s">
        <v>32</v>
      </c>
      <c r="H794" s="33">
        <f t="shared" si="120"/>
        <v>1</v>
      </c>
      <c r="I794" s="58" t="s">
        <v>33</v>
      </c>
      <c r="J794" s="58" t="s">
        <v>504</v>
      </c>
      <c r="K794" s="58">
        <v>2.0</v>
      </c>
      <c r="L794" s="58" t="s">
        <v>119</v>
      </c>
      <c r="M794" s="61" t="s">
        <v>2511</v>
      </c>
      <c r="N794" s="77"/>
      <c r="O794" s="83" t="str">
        <f>hyperlink("https://bad-boys.us/?q=D-CO/1:18-cr-00074", "D-CO 1:18-cr-00074")</f>
        <v>D-CO 1:18-cr-00074</v>
      </c>
      <c r="P794" s="88" t="s">
        <v>2512</v>
      </c>
      <c r="Q794" s="84">
        <v>1.0</v>
      </c>
      <c r="R794" s="62"/>
      <c r="S794" s="37" t="str">
        <f>IFERROR(__xludf.DUMMYFUNCTION("if(not(iserror(index(split(C794, "" ""),2))), index(split(C794, "" ""),1),"""")"),"February")</f>
        <v>February</v>
      </c>
      <c r="T794" s="38">
        <f>IFERROR(__xludf.DUMMYFUNCTION("if(S794="""",C794,if(not(iserror(index(split(C794, "" ""),3))), index(split(C794, "" ""),3),index(split(C794, "" ""),2)))"),2018.0)</f>
        <v>2018</v>
      </c>
      <c r="U794" s="38" t="b">
        <f t="shared" si="117"/>
        <v>0</v>
      </c>
      <c r="V794" s="38"/>
      <c r="W794" s="40"/>
      <c r="X794" s="40"/>
      <c r="Y794" s="40"/>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row>
    <row r="795">
      <c r="A795" s="58" t="s">
        <v>2513</v>
      </c>
      <c r="B795" s="59">
        <v>43370.0</v>
      </c>
      <c r="C795" s="59">
        <v>43138.0</v>
      </c>
      <c r="D795" s="60" t="s">
        <v>2505</v>
      </c>
      <c r="E795" s="58" t="s">
        <v>41</v>
      </c>
      <c r="F795" s="58">
        <v>1.0</v>
      </c>
      <c r="G795" s="58" t="s">
        <v>32</v>
      </c>
      <c r="H795" s="33">
        <f t="shared" si="120"/>
        <v>1</v>
      </c>
      <c r="I795" s="58" t="s">
        <v>33</v>
      </c>
      <c r="J795" s="58" t="s">
        <v>909</v>
      </c>
      <c r="K795" s="58">
        <v>1.0</v>
      </c>
      <c r="L795" s="58" t="s">
        <v>119</v>
      </c>
      <c r="M795" s="120" t="s">
        <v>2514</v>
      </c>
      <c r="N795" s="77"/>
      <c r="O795" s="88" t="str">
        <f>hyperlink("https://bad-boys.us/?q=D-RI/1:18-cr-00018", "D-RI 1:18-cr-00018")</f>
        <v>D-RI 1:18-cr-00018</v>
      </c>
      <c r="P795" s="88" t="s">
        <v>2515</v>
      </c>
      <c r="Q795" s="58">
        <v>1.0</v>
      </c>
      <c r="R795" s="62"/>
      <c r="S795" s="37" t="str">
        <f>IFERROR(__xludf.DUMMYFUNCTION("if(not(iserror(index(split(C795, "" ""),2))), index(split(C795, "" ""),1),"""")"),"February")</f>
        <v>February</v>
      </c>
      <c r="T795" s="38">
        <f>IFERROR(__xludf.DUMMYFUNCTION("if(S795="""",C795,if(not(iserror(index(split(C795, "" ""),3))), index(split(C795, "" ""),3),index(split(C795, "" ""),2)))"),2018.0)</f>
        <v>2018</v>
      </c>
      <c r="U795" s="38" t="b">
        <f t="shared" si="117"/>
        <v>0</v>
      </c>
      <c r="V795" s="38" t="s">
        <v>33</v>
      </c>
      <c r="W795" s="40"/>
      <c r="X795" s="40"/>
      <c r="Y795" s="40"/>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row>
    <row r="796">
      <c r="A796" s="13" t="s">
        <v>2516</v>
      </c>
      <c r="B796" s="30">
        <v>43139.0</v>
      </c>
      <c r="C796" s="30">
        <v>43139.0</v>
      </c>
      <c r="D796" s="32" t="s">
        <v>2517</v>
      </c>
      <c r="E796" s="13" t="s">
        <v>41</v>
      </c>
      <c r="F796" s="13">
        <v>1.0</v>
      </c>
      <c r="G796" s="13" t="s">
        <v>32</v>
      </c>
      <c r="H796" s="33">
        <f t="shared" si="120"/>
        <v>1</v>
      </c>
      <c r="I796" s="13" t="s">
        <v>33</v>
      </c>
      <c r="J796" s="13" t="s">
        <v>440</v>
      </c>
      <c r="K796" s="13">
        <v>2.0</v>
      </c>
      <c r="L796" s="34" t="s">
        <v>35</v>
      </c>
      <c r="M796" s="56" t="s">
        <v>2518</v>
      </c>
      <c r="N796" s="36" t="s">
        <v>2519</v>
      </c>
      <c r="O796" s="86" t="str">
        <f>hyperlink("https://bad-boys.us/?q=D-CT/3:18-cr-00024", "D-CT 3:18-cr-00024")</f>
        <v>D-CT 3:18-cr-00024</v>
      </c>
      <c r="P796" s="86" t="s">
        <v>2520</v>
      </c>
      <c r="Q796" s="37">
        <v>1.0</v>
      </c>
      <c r="R796" s="16"/>
      <c r="S796" s="37" t="str">
        <f>IFERROR(__xludf.DUMMYFUNCTION("if(not(iserror(index(split(C796, "" ""),2))), index(split(C796, "" ""),1),"""")"),"February")</f>
        <v>February</v>
      </c>
      <c r="T796" s="38">
        <f>IFERROR(__xludf.DUMMYFUNCTION("if(S796="""",C796,if(not(iserror(index(split(C796, "" ""),3))), index(split(C796, "" ""),3),index(split(C796, "" ""),2)))"),2018.0)</f>
        <v>2018</v>
      </c>
      <c r="U796" s="38" t="b">
        <f t="shared" si="117"/>
        <v>0</v>
      </c>
      <c r="V796" s="38"/>
      <c r="W796" s="40"/>
      <c r="X796" s="40"/>
      <c r="Y796" s="40"/>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row>
    <row r="797">
      <c r="A797" s="58" t="s">
        <v>2521</v>
      </c>
      <c r="B797" s="59">
        <v>43389.0</v>
      </c>
      <c r="C797" s="59">
        <v>43139.0</v>
      </c>
      <c r="D797" s="60" t="s">
        <v>2517</v>
      </c>
      <c r="E797" s="58" t="s">
        <v>41</v>
      </c>
      <c r="F797" s="58">
        <v>1.0</v>
      </c>
      <c r="G797" s="58" t="s">
        <v>32</v>
      </c>
      <c r="H797" s="33">
        <f t="shared" si="120"/>
        <v>1</v>
      </c>
      <c r="I797" s="58" t="s">
        <v>33</v>
      </c>
      <c r="J797" s="58" t="s">
        <v>93</v>
      </c>
      <c r="K797" s="58" t="s">
        <v>32</v>
      </c>
      <c r="L797" s="58" t="s">
        <v>119</v>
      </c>
      <c r="M797" s="80" t="s">
        <v>2522</v>
      </c>
      <c r="N797" s="61" t="s">
        <v>2523</v>
      </c>
      <c r="O797" s="58"/>
      <c r="P797" s="58"/>
      <c r="Q797" s="58"/>
      <c r="R797" s="62"/>
      <c r="S797" s="37" t="str">
        <f>IFERROR(__xludf.DUMMYFUNCTION("if(not(iserror(index(split(C797, "" ""),2))), index(split(C797, "" ""),1),"""")"),"February")</f>
        <v>February</v>
      </c>
      <c r="T797" s="38">
        <f>IFERROR(__xludf.DUMMYFUNCTION("if(S797="""",C797,if(not(iserror(index(split(C797, "" ""),3))), index(split(C797, "" ""),3),index(split(C797, "" ""),2)))"),2018.0)</f>
        <v>2018</v>
      </c>
      <c r="U797" s="38" t="b">
        <f t="shared" si="117"/>
        <v>0</v>
      </c>
      <c r="V797" s="38"/>
      <c r="W797" s="40"/>
      <c r="X797" s="40"/>
      <c r="Y797" s="40"/>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row>
    <row r="798">
      <c r="A798" s="85" t="s">
        <v>2524</v>
      </c>
      <c r="B798" s="59">
        <v>43434.0</v>
      </c>
      <c r="C798" s="59">
        <v>43140.0</v>
      </c>
      <c r="D798" s="60" t="s">
        <v>2525</v>
      </c>
      <c r="E798" s="58" t="s">
        <v>31</v>
      </c>
      <c r="F798" s="58">
        <v>1.0</v>
      </c>
      <c r="G798" s="58" t="s">
        <v>32</v>
      </c>
      <c r="H798" s="33">
        <f t="shared" si="120"/>
        <v>1</v>
      </c>
      <c r="I798" s="58" t="s">
        <v>33</v>
      </c>
      <c r="J798" s="58" t="s">
        <v>75</v>
      </c>
      <c r="K798" s="58">
        <v>2.0</v>
      </c>
      <c r="L798" s="58" t="s">
        <v>69</v>
      </c>
      <c r="M798" s="61" t="s">
        <v>2526</v>
      </c>
      <c r="N798" s="61" t="s">
        <v>2527</v>
      </c>
      <c r="O798" s="88" t="str">
        <f>hyperlink("https://bad-boys.us/?q=WD-KY/3:18-cr-00067", "WD-KY 3:18-cr-00067")</f>
        <v>WD-KY 3:18-cr-00067</v>
      </c>
      <c r="P798" s="88" t="s">
        <v>2528</v>
      </c>
      <c r="Q798" s="84">
        <v>1.0</v>
      </c>
      <c r="R798" s="62"/>
      <c r="S798" s="37" t="str">
        <f>IFERROR(__xludf.DUMMYFUNCTION("if(not(iserror(index(split(C798, "" ""),2))), index(split(C798, "" ""),1),"""")"),"February")</f>
        <v>February</v>
      </c>
      <c r="T798" s="38">
        <f>IFERROR(__xludf.DUMMYFUNCTION("if(S798="""",C798,if(not(iserror(index(split(C798, "" ""),3))), index(split(C798, "" ""),3),index(split(C798, "" ""),2)))"),2018.0)</f>
        <v>2018</v>
      </c>
      <c r="U798" s="38" t="b">
        <f t="shared" si="117"/>
        <v>0</v>
      </c>
      <c r="V798" s="38"/>
      <c r="W798" s="40"/>
      <c r="X798" s="40"/>
      <c r="Y798" s="40"/>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row>
    <row r="799">
      <c r="A799" s="13" t="s">
        <v>2529</v>
      </c>
      <c r="B799" s="30"/>
      <c r="C799" s="30">
        <v>43140.0</v>
      </c>
      <c r="D799" s="32"/>
      <c r="E799" s="13" t="s">
        <v>31</v>
      </c>
      <c r="F799" s="13">
        <v>1.0</v>
      </c>
      <c r="G799" s="13" t="s">
        <v>32</v>
      </c>
      <c r="H799" s="43">
        <v>1.0</v>
      </c>
      <c r="I799" s="13" t="s">
        <v>33</v>
      </c>
      <c r="J799" s="13" t="s">
        <v>47</v>
      </c>
      <c r="K799" s="13"/>
      <c r="L799" s="13" t="s">
        <v>52</v>
      </c>
      <c r="M799" s="35" t="s">
        <v>2530</v>
      </c>
      <c r="N799" s="14"/>
      <c r="O799" s="16"/>
      <c r="P799" s="16"/>
      <c r="Q799" s="37"/>
      <c r="R799" s="37">
        <v>1.0</v>
      </c>
      <c r="S799" s="37" t="str">
        <f>IFERROR(__xludf.DUMMYFUNCTION("if(not(iserror(index(split(C799, "" ""),2))), index(split(C799, "" ""),1),"""")"),"February")</f>
        <v>February</v>
      </c>
      <c r="T799" s="38">
        <f>IFERROR(__xludf.DUMMYFUNCTION("if(S799="""",C799,if(not(iserror(index(split(C799, "" ""),3))), index(split(C799, "" ""),3),index(split(C799, "" ""),2)))"),2018.0)</f>
        <v>2018</v>
      </c>
      <c r="U799" s="38" t="b">
        <f t="shared" si="117"/>
        <v>0</v>
      </c>
      <c r="V799" s="38" t="s">
        <v>33</v>
      </c>
      <c r="W799" s="39" t="s">
        <v>2531</v>
      </c>
      <c r="X799" s="39" t="s">
        <v>2532</v>
      </c>
      <c r="Y799" s="40"/>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row>
    <row r="800">
      <c r="A800" s="13" t="s">
        <v>2533</v>
      </c>
      <c r="B800" s="30"/>
      <c r="C800" s="30">
        <v>43140.0</v>
      </c>
      <c r="D800" s="32"/>
      <c r="E800" s="13" t="s">
        <v>41</v>
      </c>
      <c r="F800" s="13">
        <v>1.0</v>
      </c>
      <c r="G800" s="13" t="s">
        <v>32</v>
      </c>
      <c r="H800" s="43">
        <v>1.0</v>
      </c>
      <c r="I800" s="13" t="s">
        <v>33</v>
      </c>
      <c r="J800" s="13" t="s">
        <v>47</v>
      </c>
      <c r="K800" s="13"/>
      <c r="L800" s="13" t="s">
        <v>52</v>
      </c>
      <c r="M800" s="35" t="s">
        <v>2534</v>
      </c>
      <c r="N800" s="14"/>
      <c r="O800" s="16"/>
      <c r="P800" s="16"/>
      <c r="Q800" s="37"/>
      <c r="R800" s="16"/>
      <c r="S800" s="37" t="str">
        <f>IFERROR(__xludf.DUMMYFUNCTION("if(not(iserror(index(split(C800, "" ""),2))), index(split(C800, "" ""),1),"""")"),"February")</f>
        <v>February</v>
      </c>
      <c r="T800" s="38">
        <f>IFERROR(__xludf.DUMMYFUNCTION("if(S800="""",C800,if(not(iserror(index(split(C800, "" ""),3))), index(split(C800, "" ""),3),index(split(C800, "" ""),2)))"),2018.0)</f>
        <v>2018</v>
      </c>
      <c r="U800" s="38" t="b">
        <f t="shared" si="117"/>
        <v>0</v>
      </c>
      <c r="V800" s="38" t="s">
        <v>33</v>
      </c>
      <c r="W800" s="39" t="s">
        <v>2535</v>
      </c>
      <c r="X800" s="40"/>
      <c r="Y800" s="40"/>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row>
    <row r="801">
      <c r="A801" s="13" t="s">
        <v>2536</v>
      </c>
      <c r="B801" s="30"/>
      <c r="C801" s="30">
        <v>43140.0</v>
      </c>
      <c r="D801" s="32"/>
      <c r="E801" s="13" t="s">
        <v>41</v>
      </c>
      <c r="F801" s="13">
        <v>1.0</v>
      </c>
      <c r="G801" s="13" t="s">
        <v>32</v>
      </c>
      <c r="H801" s="43">
        <v>1.0</v>
      </c>
      <c r="I801" s="13" t="s">
        <v>33</v>
      </c>
      <c r="J801" s="13" t="s">
        <v>47</v>
      </c>
      <c r="K801" s="13"/>
      <c r="L801" s="13" t="s">
        <v>52</v>
      </c>
      <c r="M801" s="35" t="s">
        <v>2534</v>
      </c>
      <c r="N801" s="14"/>
      <c r="O801" s="16"/>
      <c r="P801" s="16"/>
      <c r="Q801" s="37"/>
      <c r="R801" s="16"/>
      <c r="S801" s="37" t="str">
        <f>IFERROR(__xludf.DUMMYFUNCTION("if(not(iserror(index(split(C801, "" ""),2))), index(split(C801, "" ""),1),"""")"),"February")</f>
        <v>February</v>
      </c>
      <c r="T801" s="38">
        <f>IFERROR(__xludf.DUMMYFUNCTION("if(S801="""",C801,if(not(iserror(index(split(C801, "" ""),3))), index(split(C801, "" ""),3),index(split(C801, "" ""),2)))"),2018.0)</f>
        <v>2018</v>
      </c>
      <c r="U801" s="38" t="b">
        <f t="shared" si="117"/>
        <v>0</v>
      </c>
      <c r="V801" s="38" t="s">
        <v>33</v>
      </c>
      <c r="W801" s="39" t="s">
        <v>2535</v>
      </c>
      <c r="X801" s="40"/>
      <c r="Y801" s="40"/>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row>
    <row r="802">
      <c r="A802" s="13" t="s">
        <v>2537</v>
      </c>
      <c r="B802" s="30"/>
      <c r="C802" s="30">
        <v>43140.0</v>
      </c>
      <c r="D802" s="32"/>
      <c r="E802" s="13" t="s">
        <v>41</v>
      </c>
      <c r="F802" s="13">
        <v>1.0</v>
      </c>
      <c r="G802" s="13" t="s">
        <v>32</v>
      </c>
      <c r="H802" s="43">
        <v>1.0</v>
      </c>
      <c r="I802" s="13" t="s">
        <v>33</v>
      </c>
      <c r="J802" s="13" t="s">
        <v>47</v>
      </c>
      <c r="K802" s="13"/>
      <c r="L802" s="13" t="s">
        <v>52</v>
      </c>
      <c r="M802" s="35" t="s">
        <v>2534</v>
      </c>
      <c r="N802" s="14"/>
      <c r="O802" s="16"/>
      <c r="P802" s="16"/>
      <c r="Q802" s="37"/>
      <c r="R802" s="16"/>
      <c r="S802" s="37" t="str">
        <f>IFERROR(__xludf.DUMMYFUNCTION("if(not(iserror(index(split(C802, "" ""),2))), index(split(C802, "" ""),1),"""")"),"February")</f>
        <v>February</v>
      </c>
      <c r="T802" s="38">
        <f>IFERROR(__xludf.DUMMYFUNCTION("if(S802="""",C802,if(not(iserror(index(split(C802, "" ""),3))), index(split(C802, "" ""),3),index(split(C802, "" ""),2)))"),2018.0)</f>
        <v>2018</v>
      </c>
      <c r="U802" s="38" t="b">
        <f t="shared" si="117"/>
        <v>0</v>
      </c>
      <c r="V802" s="38" t="s">
        <v>33</v>
      </c>
      <c r="W802" s="39" t="s">
        <v>2535</v>
      </c>
      <c r="X802" s="40"/>
      <c r="Y802" s="40"/>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row>
    <row r="803">
      <c r="A803" s="13" t="s">
        <v>2538</v>
      </c>
      <c r="B803" s="30"/>
      <c r="C803" s="30">
        <v>43140.0</v>
      </c>
      <c r="D803" s="32"/>
      <c r="E803" s="13" t="s">
        <v>41</v>
      </c>
      <c r="F803" s="13">
        <v>1.0</v>
      </c>
      <c r="G803" s="13" t="s">
        <v>32</v>
      </c>
      <c r="H803" s="43">
        <v>1.0</v>
      </c>
      <c r="I803" s="13" t="s">
        <v>33</v>
      </c>
      <c r="J803" s="13" t="s">
        <v>47</v>
      </c>
      <c r="K803" s="13"/>
      <c r="L803" s="13" t="s">
        <v>52</v>
      </c>
      <c r="M803" s="35" t="s">
        <v>2534</v>
      </c>
      <c r="N803" s="14"/>
      <c r="O803" s="16"/>
      <c r="P803" s="16"/>
      <c r="Q803" s="37"/>
      <c r="R803" s="16"/>
      <c r="S803" s="37" t="str">
        <f>IFERROR(__xludf.DUMMYFUNCTION("if(not(iserror(index(split(C803, "" ""),2))), index(split(C803, "" ""),1),"""")"),"February")</f>
        <v>February</v>
      </c>
      <c r="T803" s="38">
        <f>IFERROR(__xludf.DUMMYFUNCTION("if(S803="""",C803,if(not(iserror(index(split(C803, "" ""),3))), index(split(C803, "" ""),3),index(split(C803, "" ""),2)))"),2018.0)</f>
        <v>2018</v>
      </c>
      <c r="U803" s="38" t="b">
        <f t="shared" si="117"/>
        <v>0</v>
      </c>
      <c r="V803" s="38" t="s">
        <v>33</v>
      </c>
      <c r="W803" s="39" t="s">
        <v>2535</v>
      </c>
      <c r="X803" s="40"/>
      <c r="Y803" s="40"/>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row>
    <row r="804">
      <c r="A804" s="13" t="s">
        <v>2539</v>
      </c>
      <c r="B804" s="30"/>
      <c r="C804" s="30">
        <v>43140.0</v>
      </c>
      <c r="D804" s="32"/>
      <c r="E804" s="13" t="s">
        <v>41</v>
      </c>
      <c r="F804" s="13">
        <v>1.0</v>
      </c>
      <c r="G804" s="13" t="s">
        <v>32</v>
      </c>
      <c r="H804" s="43">
        <v>1.0</v>
      </c>
      <c r="I804" s="13" t="s">
        <v>33</v>
      </c>
      <c r="J804" s="13" t="s">
        <v>47</v>
      </c>
      <c r="K804" s="13"/>
      <c r="L804" s="13" t="s">
        <v>52</v>
      </c>
      <c r="M804" s="35" t="s">
        <v>2534</v>
      </c>
      <c r="N804" s="14"/>
      <c r="O804" s="16"/>
      <c r="P804" s="16"/>
      <c r="Q804" s="37"/>
      <c r="R804" s="16"/>
      <c r="S804" s="37" t="str">
        <f>IFERROR(__xludf.DUMMYFUNCTION("if(not(iserror(index(split(C804, "" ""),2))), index(split(C804, "" ""),1),"""")"),"February")</f>
        <v>February</v>
      </c>
      <c r="T804" s="38">
        <f>IFERROR(__xludf.DUMMYFUNCTION("if(S804="""",C804,if(not(iserror(index(split(C804, "" ""),3))), index(split(C804, "" ""),3),index(split(C804, "" ""),2)))"),2018.0)</f>
        <v>2018</v>
      </c>
      <c r="U804" s="38" t="b">
        <f t="shared" si="117"/>
        <v>0</v>
      </c>
      <c r="V804" s="38" t="s">
        <v>33</v>
      </c>
      <c r="W804" s="39" t="s">
        <v>2535</v>
      </c>
      <c r="X804" s="40"/>
      <c r="Y804" s="40"/>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row>
    <row r="805">
      <c r="A805" s="13" t="s">
        <v>2540</v>
      </c>
      <c r="B805" s="30"/>
      <c r="C805" s="30">
        <v>43140.0</v>
      </c>
      <c r="D805" s="32"/>
      <c r="E805" s="13" t="s">
        <v>41</v>
      </c>
      <c r="F805" s="13">
        <v>1.0</v>
      </c>
      <c r="G805" s="13" t="s">
        <v>32</v>
      </c>
      <c r="H805" s="43">
        <v>1.0</v>
      </c>
      <c r="I805" s="13" t="s">
        <v>33</v>
      </c>
      <c r="J805" s="13" t="s">
        <v>115</v>
      </c>
      <c r="K805" s="13"/>
      <c r="L805" s="13" t="s">
        <v>119</v>
      </c>
      <c r="M805" s="56" t="s">
        <v>2541</v>
      </c>
      <c r="N805" s="36" t="s">
        <v>2542</v>
      </c>
      <c r="O805" s="16"/>
      <c r="P805" s="37"/>
      <c r="Q805" s="37"/>
      <c r="R805" s="16"/>
      <c r="S805" s="37" t="str">
        <f>IFERROR(__xludf.DUMMYFUNCTION("if(not(iserror(index(split(C805, "" ""),2))), index(split(C805, "" ""),1),"""")"),"February")</f>
        <v>February</v>
      </c>
      <c r="T805" s="38">
        <f>IFERROR(__xludf.DUMMYFUNCTION("if(S805="""",C805,if(not(iserror(index(split(C805, "" ""),3))), index(split(C805, "" ""),3),index(split(C805, "" ""),2)))"),2018.0)</f>
        <v>2018</v>
      </c>
      <c r="U805" s="38" t="b">
        <f t="shared" si="117"/>
        <v>0</v>
      </c>
      <c r="V805" s="38" t="s">
        <v>33</v>
      </c>
      <c r="W805" s="39" t="s">
        <v>2543</v>
      </c>
      <c r="X805" s="40"/>
      <c r="Y805" s="40"/>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row>
    <row r="806">
      <c r="A806" s="13" t="s">
        <v>40</v>
      </c>
      <c r="B806" s="30">
        <v>43153.0</v>
      </c>
      <c r="C806" s="30">
        <v>43141.0</v>
      </c>
      <c r="D806" s="32" t="s">
        <v>2544</v>
      </c>
      <c r="E806" s="13" t="s">
        <v>41</v>
      </c>
      <c r="F806" s="13">
        <v>145.0</v>
      </c>
      <c r="G806" s="13" t="s">
        <v>32</v>
      </c>
      <c r="H806" s="33">
        <f t="shared" ref="H806:H809" si="121">if(G806="Unknown",1,G806)</f>
        <v>1</v>
      </c>
      <c r="I806" s="13" t="s">
        <v>33</v>
      </c>
      <c r="J806" s="13" t="s">
        <v>147</v>
      </c>
      <c r="K806" s="13">
        <v>1.0</v>
      </c>
      <c r="L806" s="13" t="s">
        <v>2545</v>
      </c>
      <c r="M806" s="35" t="s">
        <v>2546</v>
      </c>
      <c r="N806" s="15"/>
      <c r="O806" s="16"/>
      <c r="P806" s="16"/>
      <c r="Q806" s="16"/>
      <c r="R806" s="16"/>
      <c r="S806" s="37" t="str">
        <f>IFERROR(__xludf.DUMMYFUNCTION("if(not(iserror(index(split(C806, "" ""),2))), index(split(C806, "" ""),1),"""")"),"February")</f>
        <v>February</v>
      </c>
      <c r="T806" s="38">
        <f>IFERROR(__xludf.DUMMYFUNCTION("if(S806="""",C806,if(not(iserror(index(split(C806, "" ""),3))), index(split(C806, "" ""),3),index(split(C806, "" ""),2)))"),2018.0)</f>
        <v>2018</v>
      </c>
      <c r="U806" s="38" t="b">
        <f t="shared" si="117"/>
        <v>1</v>
      </c>
      <c r="V806" s="38"/>
      <c r="W806" s="40"/>
      <c r="X806" s="40"/>
      <c r="Y806" s="40"/>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row>
    <row r="807">
      <c r="A807" s="13" t="s">
        <v>2547</v>
      </c>
      <c r="B807" s="30">
        <v>43143.0</v>
      </c>
      <c r="C807" s="30">
        <v>43143.0</v>
      </c>
      <c r="D807" s="32" t="s">
        <v>2548</v>
      </c>
      <c r="E807" s="13" t="s">
        <v>41</v>
      </c>
      <c r="F807" s="13">
        <v>2.0</v>
      </c>
      <c r="G807" s="13" t="s">
        <v>32</v>
      </c>
      <c r="H807" s="33">
        <f t="shared" si="121"/>
        <v>1</v>
      </c>
      <c r="I807" s="13" t="s">
        <v>33</v>
      </c>
      <c r="J807" s="13" t="s">
        <v>93</v>
      </c>
      <c r="K807" s="13">
        <v>2.0</v>
      </c>
      <c r="L807" s="13" t="s">
        <v>52</v>
      </c>
      <c r="M807" s="120" t="s">
        <v>2549</v>
      </c>
      <c r="N807" s="15"/>
      <c r="O807" s="86" t="str">
        <f>hyperlink("https://bad-boys.us/?q=SD-NY/1:18-cr-00081", "SD-NY 1:18-cr-00081")</f>
        <v>SD-NY 1:18-cr-00081</v>
      </c>
      <c r="P807" s="86" t="s">
        <v>2550</v>
      </c>
      <c r="Q807" s="37">
        <v>1.0</v>
      </c>
      <c r="R807" s="16"/>
      <c r="S807" s="37" t="str">
        <f>IFERROR(__xludf.DUMMYFUNCTION("if(not(iserror(index(split(C807, "" ""),2))), index(split(C807, "" ""),1),"""")"),"February")</f>
        <v>February</v>
      </c>
      <c r="T807" s="38">
        <f>IFERROR(__xludf.DUMMYFUNCTION("if(S807="""",C807,if(not(iserror(index(split(C807, "" ""),3))), index(split(C807, "" ""),3),index(split(C807, "" ""),2)))"),2018.0)</f>
        <v>2018</v>
      </c>
      <c r="U807" s="38" t="b">
        <f t="shared" si="117"/>
        <v>0</v>
      </c>
      <c r="V807" s="38"/>
      <c r="W807" s="40"/>
      <c r="X807" s="40"/>
      <c r="Y807" s="40"/>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row>
    <row r="808">
      <c r="A808" s="13" t="s">
        <v>2551</v>
      </c>
      <c r="B808" s="30">
        <v>43194.0</v>
      </c>
      <c r="C808" s="30">
        <v>43143.0</v>
      </c>
      <c r="D808" s="32" t="s">
        <v>2548</v>
      </c>
      <c r="E808" s="13" t="s">
        <v>41</v>
      </c>
      <c r="F808" s="13">
        <v>1.0</v>
      </c>
      <c r="G808" s="13" t="s">
        <v>32</v>
      </c>
      <c r="H808" s="33">
        <f t="shared" si="121"/>
        <v>1</v>
      </c>
      <c r="I808" s="13" t="s">
        <v>33</v>
      </c>
      <c r="J808" s="13" t="s">
        <v>115</v>
      </c>
      <c r="K808" s="13" t="s">
        <v>40</v>
      </c>
      <c r="L808" s="13" t="s">
        <v>2552</v>
      </c>
      <c r="M808" s="35" t="s">
        <v>2553</v>
      </c>
      <c r="N808" s="15"/>
      <c r="O808" s="37"/>
      <c r="P808" s="37"/>
      <c r="Q808" s="64"/>
      <c r="R808" s="16"/>
      <c r="S808" s="37" t="str">
        <f>IFERROR(__xludf.DUMMYFUNCTION("if(not(iserror(index(split(C808, "" ""),2))), index(split(C808, "" ""),1),"""")"),"February")</f>
        <v>February</v>
      </c>
      <c r="T808" s="38">
        <f>IFERROR(__xludf.DUMMYFUNCTION("if(S808="""",C808,if(not(iserror(index(split(C808, "" ""),3))), index(split(C808, "" ""),3),index(split(C808, "" ""),2)))"),2018.0)</f>
        <v>2018</v>
      </c>
      <c r="U808" s="38" t="b">
        <f t="shared" si="117"/>
        <v>0</v>
      </c>
      <c r="V808" s="38"/>
      <c r="W808" s="40"/>
      <c r="X808" s="40"/>
      <c r="Y808" s="40"/>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row>
    <row r="809">
      <c r="A809" s="87" t="s">
        <v>2554</v>
      </c>
      <c r="B809" s="59">
        <v>43447.0</v>
      </c>
      <c r="C809" s="59">
        <v>43143.0</v>
      </c>
      <c r="D809" s="60" t="s">
        <v>2548</v>
      </c>
      <c r="E809" s="58" t="s">
        <v>31</v>
      </c>
      <c r="F809" s="58">
        <v>1.0</v>
      </c>
      <c r="G809" s="58" t="s">
        <v>32</v>
      </c>
      <c r="H809" s="33">
        <f t="shared" si="121"/>
        <v>1</v>
      </c>
      <c r="I809" s="58" t="s">
        <v>33</v>
      </c>
      <c r="J809" s="58" t="s">
        <v>42</v>
      </c>
      <c r="K809" s="58">
        <v>1.0</v>
      </c>
      <c r="L809" s="58" t="s">
        <v>76</v>
      </c>
      <c r="M809" s="61" t="s">
        <v>2555</v>
      </c>
      <c r="N809" s="61" t="s">
        <v>2556</v>
      </c>
      <c r="O809" s="88" t="str">
        <f>hyperlink("https://bad-boys.us/?q=ED-MI/2:18-cr-20111", "ED-MI 2:18-cr-20111")</f>
        <v>ED-MI 2:18-cr-20111</v>
      </c>
      <c r="P809" s="88" t="s">
        <v>2557</v>
      </c>
      <c r="Q809" s="84">
        <v>1.0</v>
      </c>
      <c r="R809" s="58">
        <v>1.0</v>
      </c>
      <c r="S809" s="37" t="str">
        <f>IFERROR(__xludf.DUMMYFUNCTION("if(not(iserror(index(split(C809, "" ""),2))), index(split(C809, "" ""),1),"""")"),"February")</f>
        <v>February</v>
      </c>
      <c r="T809" s="38">
        <f>IFERROR(__xludf.DUMMYFUNCTION("if(S809="""",C809,if(not(iserror(index(split(C809, "" ""),3))), index(split(C809, "" ""),3),index(split(C809, "" ""),2)))"),2018.0)</f>
        <v>2018</v>
      </c>
      <c r="U809" s="38" t="b">
        <f t="shared" si="117"/>
        <v>0</v>
      </c>
      <c r="V809" s="38"/>
      <c r="W809" s="40"/>
      <c r="X809" s="40"/>
      <c r="Y809" s="40"/>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row>
    <row r="810">
      <c r="A810" s="13" t="s">
        <v>2558</v>
      </c>
      <c r="B810" s="30">
        <v>43144.0</v>
      </c>
      <c r="C810" s="30">
        <v>43144.0</v>
      </c>
      <c r="D810" s="32" t="s">
        <v>2559</v>
      </c>
      <c r="E810" s="13" t="s">
        <v>41</v>
      </c>
      <c r="F810" s="13">
        <v>1.0</v>
      </c>
      <c r="G810" s="13" t="s">
        <v>32</v>
      </c>
      <c r="H810" s="50">
        <v>1.0</v>
      </c>
      <c r="I810" s="13" t="s">
        <v>33</v>
      </c>
      <c r="J810" s="13" t="s">
        <v>93</v>
      </c>
      <c r="K810" s="13">
        <v>1.0</v>
      </c>
      <c r="L810" s="13" t="s">
        <v>69</v>
      </c>
      <c r="M810" s="35" t="s">
        <v>2560</v>
      </c>
      <c r="N810" s="36" t="s">
        <v>2561</v>
      </c>
      <c r="O810" s="37"/>
      <c r="P810" s="37"/>
      <c r="Q810" s="37"/>
      <c r="R810" s="16"/>
      <c r="S810" s="37" t="str">
        <f>IFERROR(__xludf.DUMMYFUNCTION("if(not(iserror(index(split(C810, "" ""),2))), index(split(C810, "" ""),1),"""")"),"February")</f>
        <v>February</v>
      </c>
      <c r="T810" s="38">
        <f>IFERROR(__xludf.DUMMYFUNCTION("if(S810="""",C810,if(not(iserror(index(split(C810, "" ""),3))), index(split(C810, "" ""),3),index(split(C810, "" ""),2)))"),2018.0)</f>
        <v>2018</v>
      </c>
      <c r="U810" s="38" t="b">
        <f t="shared" si="117"/>
        <v>0</v>
      </c>
      <c r="V810" s="38" t="s">
        <v>33</v>
      </c>
      <c r="W810" s="40"/>
      <c r="X810" s="40"/>
      <c r="Y810" s="40"/>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row>
    <row r="811">
      <c r="A811" s="13" t="s">
        <v>2562</v>
      </c>
      <c r="B811" s="30"/>
      <c r="C811" s="30">
        <v>43144.0</v>
      </c>
      <c r="D811" s="32"/>
      <c r="E811" s="13" t="s">
        <v>41</v>
      </c>
      <c r="F811" s="13">
        <v>1.0</v>
      </c>
      <c r="G811" s="13" t="s">
        <v>32</v>
      </c>
      <c r="H811" s="43">
        <v>1.0</v>
      </c>
      <c r="I811" s="13" t="s">
        <v>33</v>
      </c>
      <c r="J811" s="13" t="s">
        <v>172</v>
      </c>
      <c r="K811" s="13"/>
      <c r="L811" s="13" t="s">
        <v>69</v>
      </c>
      <c r="M811" s="35" t="s">
        <v>2563</v>
      </c>
      <c r="N811" s="15"/>
      <c r="O811" s="86" t="str">
        <f>hyperlink("https://bad-boys.us/?q=ED-NC/5:18-cr-00046", "ED-NC 5:18-cr-00046")</f>
        <v>ED-NC 5:18-cr-00046</v>
      </c>
      <c r="P811" s="86" t="s">
        <v>2564</v>
      </c>
      <c r="Q811" s="37">
        <v>1.0</v>
      </c>
      <c r="R811" s="16"/>
      <c r="S811" s="37" t="str">
        <f>IFERROR(__xludf.DUMMYFUNCTION("if(not(iserror(index(split(C811, "" ""),2))), index(split(C811, "" ""),1),"""")"),"February")</f>
        <v>February</v>
      </c>
      <c r="T811" s="38">
        <f>IFERROR(__xludf.DUMMYFUNCTION("if(S811="""",C811,if(not(iserror(index(split(C811, "" ""),3))), index(split(C811, "" ""),3),index(split(C811, "" ""),2)))"),2018.0)</f>
        <v>2018</v>
      </c>
      <c r="U811" s="38" t="b">
        <f t="shared" si="117"/>
        <v>0</v>
      </c>
      <c r="V811" s="38"/>
      <c r="W811" s="40"/>
      <c r="X811" s="40"/>
      <c r="Y811" s="40"/>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row>
    <row r="812">
      <c r="A812" s="13" t="s">
        <v>239</v>
      </c>
      <c r="B812" s="30">
        <v>43145.0</v>
      </c>
      <c r="C812" s="30">
        <v>43144.0</v>
      </c>
      <c r="D812" s="32" t="s">
        <v>2559</v>
      </c>
      <c r="E812" s="13" t="s">
        <v>41</v>
      </c>
      <c r="F812" s="13">
        <v>1.0</v>
      </c>
      <c r="G812" s="13">
        <v>3.0</v>
      </c>
      <c r="H812" s="33">
        <f t="shared" ref="H812:H813" si="122">if(G812="Unknown",1,G812)</f>
        <v>3</v>
      </c>
      <c r="I812" s="13" t="s">
        <v>33</v>
      </c>
      <c r="J812" s="13" t="s">
        <v>241</v>
      </c>
      <c r="K812" s="13">
        <v>1.0</v>
      </c>
      <c r="L812" s="13" t="s">
        <v>194</v>
      </c>
      <c r="M812" s="35" t="s">
        <v>2565</v>
      </c>
      <c r="N812" s="15"/>
      <c r="O812" s="37"/>
      <c r="P812" s="37"/>
      <c r="Q812" s="64"/>
      <c r="R812" s="16"/>
      <c r="S812" s="37" t="str">
        <f>IFERROR(__xludf.DUMMYFUNCTION("if(not(iserror(index(split(C812, "" ""),2))), index(split(C812, "" ""),1),"""")"),"February")</f>
        <v>February</v>
      </c>
      <c r="T812" s="38">
        <f>IFERROR(__xludf.DUMMYFUNCTION("if(S812="""",C812,if(not(iserror(index(split(C812, "" ""),3))), index(split(C812, "" ""),3),index(split(C812, "" ""),2)))"),2018.0)</f>
        <v>2018</v>
      </c>
      <c r="U812" s="38" t="b">
        <f t="shared" si="117"/>
        <v>1</v>
      </c>
      <c r="V812" s="38"/>
      <c r="W812" s="40"/>
      <c r="X812" s="40"/>
      <c r="Y812" s="40"/>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row>
    <row r="813">
      <c r="A813" s="13" t="s">
        <v>2566</v>
      </c>
      <c r="B813" s="30">
        <v>43146.0</v>
      </c>
      <c r="C813" s="30">
        <v>43145.0</v>
      </c>
      <c r="D813" s="32" t="s">
        <v>2567</v>
      </c>
      <c r="E813" s="13" t="s">
        <v>41</v>
      </c>
      <c r="F813" s="13">
        <v>1.0</v>
      </c>
      <c r="G813" s="13" t="s">
        <v>32</v>
      </c>
      <c r="H813" s="33">
        <f t="shared" si="122"/>
        <v>1</v>
      </c>
      <c r="I813" s="13" t="s">
        <v>1488</v>
      </c>
      <c r="J813" s="13" t="s">
        <v>228</v>
      </c>
      <c r="K813" s="13" t="s">
        <v>484</v>
      </c>
      <c r="L813" s="13" t="s">
        <v>2568</v>
      </c>
      <c r="M813" s="56" t="s">
        <v>2569</v>
      </c>
      <c r="N813" s="15"/>
      <c r="O813" s="86" t="str">
        <f t="shared" ref="O813:O814" si="123">hyperlink("https://bad-boys.us/?q=D-PR/3:18-cr-00067", "D-PR 3:18-cr-00067")</f>
        <v>D-PR 3:18-cr-00067</v>
      </c>
      <c r="P813" s="86" t="s">
        <v>2570</v>
      </c>
      <c r="Q813" s="64">
        <v>1.0</v>
      </c>
      <c r="R813" s="16"/>
      <c r="S813" s="37" t="str">
        <f>IFERROR(__xludf.DUMMYFUNCTION("if(not(iserror(index(split(C813, "" ""),2))), index(split(C813, "" ""),1),"""")"),"February")</f>
        <v>February</v>
      </c>
      <c r="T813" s="38">
        <f>IFERROR(__xludf.DUMMYFUNCTION("if(S813="""",C813,if(not(iserror(index(split(C813, "" ""),3))), index(split(C813, "" ""),3),index(split(C813, "" ""),2)))"),2018.0)</f>
        <v>2018</v>
      </c>
      <c r="U813" s="38" t="b">
        <f t="shared" si="117"/>
        <v>0</v>
      </c>
      <c r="V813" s="38"/>
      <c r="W813" s="40"/>
      <c r="X813" s="40"/>
      <c r="Y813" s="40"/>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row>
    <row r="814">
      <c r="A814" s="13" t="s">
        <v>2571</v>
      </c>
      <c r="B814" s="30"/>
      <c r="C814" s="30">
        <v>43145.0</v>
      </c>
      <c r="D814" s="32" t="s">
        <v>2567</v>
      </c>
      <c r="E814" s="13" t="s">
        <v>41</v>
      </c>
      <c r="F814" s="13">
        <v>1.0</v>
      </c>
      <c r="G814" s="13" t="s">
        <v>32</v>
      </c>
      <c r="H814" s="33">
        <v>1.0</v>
      </c>
      <c r="I814" s="13" t="s">
        <v>1488</v>
      </c>
      <c r="J814" s="13" t="s">
        <v>228</v>
      </c>
      <c r="K814" s="13" t="s">
        <v>484</v>
      </c>
      <c r="L814" s="13" t="s">
        <v>2568</v>
      </c>
      <c r="M814" s="56" t="s">
        <v>2572</v>
      </c>
      <c r="N814" s="15"/>
      <c r="O814" s="86" t="str">
        <f t="shared" si="123"/>
        <v>D-PR 3:18-cr-00067</v>
      </c>
      <c r="P814" s="86" t="s">
        <v>2570</v>
      </c>
      <c r="Q814" s="64">
        <v>1.0</v>
      </c>
      <c r="R814" s="16"/>
      <c r="S814" s="37"/>
      <c r="T814" s="38"/>
      <c r="U814" s="38" t="b">
        <f t="shared" si="117"/>
        <v>0</v>
      </c>
      <c r="V814" s="38"/>
      <c r="W814" s="40"/>
      <c r="X814" s="40"/>
      <c r="Y814" s="40"/>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row>
    <row r="815">
      <c r="A815" s="13" t="s">
        <v>2573</v>
      </c>
      <c r="B815" s="30">
        <v>43153.0</v>
      </c>
      <c r="C815" s="30">
        <v>43145.0</v>
      </c>
      <c r="D815" s="32" t="s">
        <v>2574</v>
      </c>
      <c r="E815" s="13" t="s">
        <v>31</v>
      </c>
      <c r="F815" s="13">
        <v>2.0</v>
      </c>
      <c r="G815" s="13" t="s">
        <v>32</v>
      </c>
      <c r="H815" s="33">
        <f t="shared" ref="H815:H827" si="124">if(G815="Unknown",1,G815)</f>
        <v>1</v>
      </c>
      <c r="I815" s="13" t="s">
        <v>33</v>
      </c>
      <c r="J815" s="13" t="s">
        <v>111</v>
      </c>
      <c r="K815" s="13" t="s">
        <v>32</v>
      </c>
      <c r="L815" s="13" t="s">
        <v>2575</v>
      </c>
      <c r="M815" s="35" t="s">
        <v>2576</v>
      </c>
      <c r="N815" s="15"/>
      <c r="O815" s="37"/>
      <c r="P815" s="37"/>
      <c r="Q815" s="64"/>
      <c r="R815" s="16"/>
      <c r="S815" s="37" t="str">
        <f>IFERROR(__xludf.DUMMYFUNCTION("if(not(iserror(index(split(C815, "" ""),2))), index(split(C815, "" ""),1),"""")"),"February")</f>
        <v>February</v>
      </c>
      <c r="T815" s="38">
        <f>IFERROR(__xludf.DUMMYFUNCTION("if(S815="""",C815,if(not(iserror(index(split(C815, "" ""),3))), index(split(C815, "" ""),3),index(split(C815, "" ""),2)))"),2018.0)</f>
        <v>2018</v>
      </c>
      <c r="U815" s="38" t="b">
        <f t="shared" si="117"/>
        <v>0</v>
      </c>
      <c r="V815" s="38"/>
      <c r="W815" s="40"/>
      <c r="X815" s="40"/>
      <c r="Y815" s="40"/>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row>
    <row r="816">
      <c r="A816" s="13" t="s">
        <v>2577</v>
      </c>
      <c r="B816" s="30">
        <v>43160.0</v>
      </c>
      <c r="C816" s="30">
        <v>43145.0</v>
      </c>
      <c r="D816" s="32" t="s">
        <v>2567</v>
      </c>
      <c r="E816" s="13" t="s">
        <v>41</v>
      </c>
      <c r="F816" s="13">
        <v>1.0</v>
      </c>
      <c r="G816" s="13" t="s">
        <v>32</v>
      </c>
      <c r="H816" s="33">
        <f t="shared" si="124"/>
        <v>1</v>
      </c>
      <c r="I816" s="13" t="s">
        <v>33</v>
      </c>
      <c r="J816" s="13" t="s">
        <v>111</v>
      </c>
      <c r="K816" s="13" t="s">
        <v>40</v>
      </c>
      <c r="L816" s="13" t="s">
        <v>2578</v>
      </c>
      <c r="M816" s="35" t="s">
        <v>2579</v>
      </c>
      <c r="N816" s="15"/>
      <c r="O816" s="86" t="str">
        <f>hyperlink("https://bad-boys.us/?q=ED-CA/2:18-cr-00039", "ED-CA 2:18-cr-00039")</f>
        <v>ED-CA 2:18-cr-00039</v>
      </c>
      <c r="P816" s="86" t="s">
        <v>2580</v>
      </c>
      <c r="Q816" s="64">
        <v>1.0</v>
      </c>
      <c r="R816" s="16"/>
      <c r="S816" s="37" t="str">
        <f>IFERROR(__xludf.DUMMYFUNCTION("if(not(iserror(index(split(C816, "" ""),2))), index(split(C816, "" ""),1),"""")"),"February")</f>
        <v>February</v>
      </c>
      <c r="T816" s="38">
        <f>IFERROR(__xludf.DUMMYFUNCTION("if(S816="""",C816,if(not(iserror(index(split(C816, "" ""),3))), index(split(C816, "" ""),3),index(split(C816, "" ""),2)))"),2018.0)</f>
        <v>2018</v>
      </c>
      <c r="U816" s="38" t="b">
        <f t="shared" si="117"/>
        <v>0</v>
      </c>
      <c r="V816" s="38"/>
      <c r="W816" s="40"/>
      <c r="X816" s="40"/>
      <c r="Y816" s="40"/>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row>
    <row r="817">
      <c r="A817" s="58" t="s">
        <v>2581</v>
      </c>
      <c r="B817" s="59">
        <v>43398.0</v>
      </c>
      <c r="C817" s="59">
        <v>43145.0</v>
      </c>
      <c r="D817" s="60" t="s">
        <v>2567</v>
      </c>
      <c r="E817" s="58" t="s">
        <v>41</v>
      </c>
      <c r="F817" s="58">
        <v>1.0</v>
      </c>
      <c r="G817" s="58" t="s">
        <v>32</v>
      </c>
      <c r="H817" s="33">
        <f t="shared" si="124"/>
        <v>1</v>
      </c>
      <c r="I817" s="58" t="s">
        <v>33</v>
      </c>
      <c r="J817" s="58" t="s">
        <v>47</v>
      </c>
      <c r="K817" s="58">
        <v>1.0</v>
      </c>
      <c r="L817" s="58" t="s">
        <v>119</v>
      </c>
      <c r="M817" s="61" t="s">
        <v>2582</v>
      </c>
      <c r="N817" s="80"/>
      <c r="O817" s="83" t="str">
        <f>hyperlink("https://bad-boys.us/?q=MD-FL/8:18-cr-00069", "MD-FL 8:18-cr-00069")</f>
        <v>MD-FL 8:18-cr-00069</v>
      </c>
      <c r="P817" s="88" t="s">
        <v>2583</v>
      </c>
      <c r="Q817" s="84">
        <v>1.0</v>
      </c>
      <c r="R817" s="62"/>
      <c r="S817" s="37" t="str">
        <f>IFERROR(__xludf.DUMMYFUNCTION("if(not(iserror(index(split(C817, "" ""),2))), index(split(C817, "" ""),1),"""")"),"February")</f>
        <v>February</v>
      </c>
      <c r="T817" s="38">
        <f>IFERROR(__xludf.DUMMYFUNCTION("if(S817="""",C817,if(not(iserror(index(split(C817, "" ""),3))), index(split(C817, "" ""),3),index(split(C817, "" ""),2)))"),2018.0)</f>
        <v>2018</v>
      </c>
      <c r="U817" s="38" t="b">
        <f t="shared" si="117"/>
        <v>0</v>
      </c>
      <c r="V817" s="38"/>
      <c r="W817" s="40"/>
      <c r="X817" s="40"/>
      <c r="Y817" s="40"/>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row>
    <row r="818">
      <c r="A818" s="58" t="s">
        <v>40</v>
      </c>
      <c r="B818" s="59">
        <v>43238.0</v>
      </c>
      <c r="C818" s="59">
        <v>43146.0</v>
      </c>
      <c r="D818" s="60" t="s">
        <v>2584</v>
      </c>
      <c r="E818" s="58" t="s">
        <v>41</v>
      </c>
      <c r="F818" s="58">
        <v>10.0</v>
      </c>
      <c r="G818" s="58" t="s">
        <v>32</v>
      </c>
      <c r="H818" s="33">
        <f t="shared" si="124"/>
        <v>1</v>
      </c>
      <c r="I818" s="58" t="s">
        <v>33</v>
      </c>
      <c r="J818" s="58" t="s">
        <v>89</v>
      </c>
      <c r="K818" s="58">
        <v>6.0</v>
      </c>
      <c r="L818" s="58" t="s">
        <v>2585</v>
      </c>
      <c r="M818" s="61" t="s">
        <v>2586</v>
      </c>
      <c r="N818" s="77"/>
      <c r="O818" s="62"/>
      <c r="P818" s="62"/>
      <c r="Q818" s="62"/>
      <c r="R818" s="62"/>
      <c r="S818" s="37" t="str">
        <f>IFERROR(__xludf.DUMMYFUNCTION("if(not(iserror(index(split(C818, "" ""),2))), index(split(C818, "" ""),1),"""")"),"February")</f>
        <v>February</v>
      </c>
      <c r="T818" s="38">
        <f>IFERROR(__xludf.DUMMYFUNCTION("if(S818="""",C818,if(not(iserror(index(split(C818, "" ""),3))), index(split(C818, "" ""),3),index(split(C818, "" ""),2)))"),2018.0)</f>
        <v>2018</v>
      </c>
      <c r="U818" s="38" t="b">
        <f t="shared" si="117"/>
        <v>1</v>
      </c>
      <c r="V818" s="38"/>
      <c r="W818" s="40"/>
      <c r="X818" s="40"/>
      <c r="Y818" s="40"/>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row>
    <row r="819">
      <c r="A819" s="13" t="s">
        <v>40</v>
      </c>
      <c r="B819" s="30">
        <v>43147.0</v>
      </c>
      <c r="C819" s="30">
        <v>43147.0</v>
      </c>
      <c r="D819" s="32" t="s">
        <v>2544</v>
      </c>
      <c r="E819" s="13" t="s">
        <v>41</v>
      </c>
      <c r="F819" s="13">
        <v>6.0</v>
      </c>
      <c r="G819" s="13">
        <v>15.0</v>
      </c>
      <c r="H819" s="33">
        <f t="shared" si="124"/>
        <v>15</v>
      </c>
      <c r="I819" s="13" t="s">
        <v>33</v>
      </c>
      <c r="J819" s="13" t="s">
        <v>193</v>
      </c>
      <c r="K819" s="13">
        <v>1.0</v>
      </c>
      <c r="L819" s="13" t="s">
        <v>2411</v>
      </c>
      <c r="M819" s="35" t="s">
        <v>2587</v>
      </c>
      <c r="N819" s="15"/>
      <c r="O819" s="16"/>
      <c r="P819" s="16"/>
      <c r="Q819" s="16"/>
      <c r="R819" s="16"/>
      <c r="S819" s="37" t="str">
        <f>IFERROR(__xludf.DUMMYFUNCTION("if(not(iserror(index(split(C819, "" ""),2))), index(split(C819, "" ""),1),"""")"),"February")</f>
        <v>February</v>
      </c>
      <c r="T819" s="38">
        <f>IFERROR(__xludf.DUMMYFUNCTION("if(S819="""",C819,if(not(iserror(index(split(C819, "" ""),3))), index(split(C819, "" ""),3),index(split(C819, "" ""),2)))"),2018.0)</f>
        <v>2018</v>
      </c>
      <c r="U819" s="38" t="b">
        <f t="shared" si="117"/>
        <v>1</v>
      </c>
      <c r="V819" s="38"/>
      <c r="W819" s="40"/>
      <c r="X819" s="40"/>
      <c r="Y819" s="40"/>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row>
    <row r="820">
      <c r="A820" s="13" t="s">
        <v>2588</v>
      </c>
      <c r="B820" s="30">
        <v>43147.0</v>
      </c>
      <c r="C820" s="30">
        <v>43147.0</v>
      </c>
      <c r="D820" s="32" t="s">
        <v>2589</v>
      </c>
      <c r="E820" s="13" t="s">
        <v>41</v>
      </c>
      <c r="F820" s="13">
        <v>1.0</v>
      </c>
      <c r="G820" s="13" t="s">
        <v>32</v>
      </c>
      <c r="H820" s="33">
        <f t="shared" si="124"/>
        <v>1</v>
      </c>
      <c r="I820" s="13" t="s">
        <v>33</v>
      </c>
      <c r="J820" s="13" t="s">
        <v>106</v>
      </c>
      <c r="K820" s="13">
        <v>1.0</v>
      </c>
      <c r="L820" s="13" t="s">
        <v>2590</v>
      </c>
      <c r="M820" s="35" t="s">
        <v>2591</v>
      </c>
      <c r="N820" s="15"/>
      <c r="O820" s="16"/>
      <c r="P820" s="16"/>
      <c r="Q820" s="16"/>
      <c r="R820" s="16"/>
      <c r="S820" s="37" t="str">
        <f>IFERROR(__xludf.DUMMYFUNCTION("if(not(iserror(index(split(C820, "" ""),2))), index(split(C820, "" ""),1),"""")"),"February")</f>
        <v>February</v>
      </c>
      <c r="T820" s="38">
        <f>IFERROR(__xludf.DUMMYFUNCTION("if(S820="""",C820,if(not(iserror(index(split(C820, "" ""),3))), index(split(C820, "" ""),3),index(split(C820, "" ""),2)))"),2018.0)</f>
        <v>2018</v>
      </c>
      <c r="U820" s="38" t="b">
        <f t="shared" si="117"/>
        <v>0</v>
      </c>
      <c r="V820" s="38"/>
      <c r="W820" s="40"/>
      <c r="X820" s="40"/>
      <c r="Y820" s="40"/>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c r="BQ820" s="38"/>
    </row>
    <row r="821">
      <c r="A821" s="13" t="s">
        <v>2592</v>
      </c>
      <c r="B821" s="30">
        <v>43151.0</v>
      </c>
      <c r="C821" s="30">
        <v>43147.0</v>
      </c>
      <c r="D821" s="32" t="s">
        <v>2589</v>
      </c>
      <c r="E821" s="13" t="s">
        <v>31</v>
      </c>
      <c r="F821" s="13">
        <v>1.0</v>
      </c>
      <c r="G821" s="13" t="s">
        <v>32</v>
      </c>
      <c r="H821" s="33">
        <f t="shared" si="124"/>
        <v>1</v>
      </c>
      <c r="I821" s="13" t="s">
        <v>33</v>
      </c>
      <c r="J821" s="13" t="s">
        <v>47</v>
      </c>
      <c r="K821" s="13">
        <v>2.0</v>
      </c>
      <c r="L821" s="13" t="s">
        <v>2593</v>
      </c>
      <c r="M821" s="36" t="s">
        <v>2594</v>
      </c>
      <c r="N821" s="35" t="s">
        <v>2595</v>
      </c>
      <c r="O821" s="103" t="str">
        <f>hyperlink("https://bad-boys.us/?q=MD-FL/8:18-cr-00066", "MD-FL 8:18-cr-00066")</f>
        <v>MD-FL 8:18-cr-00066</v>
      </c>
      <c r="P821" s="103" t="s">
        <v>2596</v>
      </c>
      <c r="Q821" s="64">
        <v>1.0</v>
      </c>
      <c r="R821" s="16"/>
      <c r="S821" s="37" t="str">
        <f>IFERROR(__xludf.DUMMYFUNCTION("if(not(iserror(index(split(C821, "" ""),2))), index(split(C821, "" ""),1),"""")"),"February")</f>
        <v>February</v>
      </c>
      <c r="T821" s="38">
        <f>IFERROR(__xludf.DUMMYFUNCTION("if(S821="""",C821,if(not(iserror(index(split(C821, "" ""),3))), index(split(C821, "" ""),3),index(split(C821, "" ""),2)))"),2018.0)</f>
        <v>2018</v>
      </c>
      <c r="U821" s="38" t="b">
        <f t="shared" si="117"/>
        <v>0</v>
      </c>
      <c r="V821" s="38"/>
      <c r="W821" s="40"/>
      <c r="X821" s="40"/>
      <c r="Y821" s="40"/>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c r="BQ821" s="38"/>
    </row>
    <row r="822">
      <c r="A822" s="37" t="s">
        <v>2597</v>
      </c>
      <c r="B822" s="30">
        <v>43187.0</v>
      </c>
      <c r="C822" s="99">
        <v>43147.0</v>
      </c>
      <c r="D822" s="143">
        <v>43147.0</v>
      </c>
      <c r="E822" s="13" t="s">
        <v>41</v>
      </c>
      <c r="F822" s="13">
        <v>1.0</v>
      </c>
      <c r="G822" s="13" t="s">
        <v>32</v>
      </c>
      <c r="H822" s="33">
        <f t="shared" si="124"/>
        <v>1</v>
      </c>
      <c r="I822" s="13" t="s">
        <v>33</v>
      </c>
      <c r="J822" s="13" t="s">
        <v>115</v>
      </c>
      <c r="K822" s="13">
        <v>2.0</v>
      </c>
      <c r="L822" s="13" t="s">
        <v>69</v>
      </c>
      <c r="M822" s="56" t="s">
        <v>2598</v>
      </c>
      <c r="N822" s="35" t="s">
        <v>2599</v>
      </c>
      <c r="O822" s="57" t="str">
        <f>hyperlink("https://bad-boys.us/?q=WD-PA/2:18-cr-00196", "WD-PA 2:18-cr-00196")</f>
        <v>WD-PA 2:18-cr-00196</v>
      </c>
      <c r="P822" s="86" t="s">
        <v>2600</v>
      </c>
      <c r="Q822" s="37">
        <v>1.0</v>
      </c>
      <c r="R822" s="16"/>
      <c r="S822" s="37" t="str">
        <f>IFERROR(__xludf.DUMMYFUNCTION("if(not(iserror(index(split(C822, "" ""),2))), index(split(C822, "" ""),1),"""")"),"February")</f>
        <v>February</v>
      </c>
      <c r="T822" s="38">
        <f>IFERROR(__xludf.DUMMYFUNCTION("if(S822="""",C822,if(not(iserror(index(split(C822, "" ""),3))), index(split(C822, "" ""),3),index(split(C822, "" ""),2)))"),2018.0)</f>
        <v>2018</v>
      </c>
      <c r="U822" s="38" t="b">
        <f t="shared" si="117"/>
        <v>0</v>
      </c>
      <c r="V822" s="38"/>
      <c r="W822" s="40"/>
      <c r="X822" s="40"/>
      <c r="Y822" s="40"/>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row>
    <row r="823">
      <c r="A823" s="37" t="s">
        <v>2601</v>
      </c>
      <c r="B823" s="59">
        <v>43256.0</v>
      </c>
      <c r="C823" s="59">
        <v>43148.0</v>
      </c>
      <c r="D823" s="60" t="s">
        <v>2584</v>
      </c>
      <c r="E823" s="58" t="s">
        <v>31</v>
      </c>
      <c r="F823" s="58">
        <v>1.0</v>
      </c>
      <c r="G823" s="58" t="s">
        <v>32</v>
      </c>
      <c r="H823" s="33">
        <f t="shared" si="124"/>
        <v>1</v>
      </c>
      <c r="I823" s="58" t="s">
        <v>33</v>
      </c>
      <c r="J823" s="58" t="s">
        <v>147</v>
      </c>
      <c r="K823" s="58">
        <v>1.0</v>
      </c>
      <c r="L823" s="58" t="s">
        <v>2602</v>
      </c>
      <c r="M823" s="61" t="s">
        <v>2603</v>
      </c>
      <c r="N823" s="77"/>
      <c r="O823" s="62"/>
      <c r="P823" s="62"/>
      <c r="Q823" s="62"/>
      <c r="R823" s="62"/>
      <c r="S823" s="37" t="str">
        <f>IFERROR(__xludf.DUMMYFUNCTION("if(not(iserror(index(split(C823, "" ""),2))), index(split(C823, "" ""),1),"""")"),"February")</f>
        <v>February</v>
      </c>
      <c r="T823" s="38">
        <f>IFERROR(__xludf.DUMMYFUNCTION("if(S823="""",C823,if(not(iserror(index(split(C823, "" ""),3))), index(split(C823, "" ""),3),index(split(C823, "" ""),2)))"),2018.0)</f>
        <v>2018</v>
      </c>
      <c r="U823" s="38" t="b">
        <f t="shared" si="117"/>
        <v>0</v>
      </c>
      <c r="V823" s="38"/>
      <c r="W823" s="40"/>
      <c r="X823" s="40"/>
      <c r="Y823" s="40"/>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row>
    <row r="824">
      <c r="A824" s="37" t="s">
        <v>2604</v>
      </c>
      <c r="B824" s="30">
        <v>43153.0</v>
      </c>
      <c r="C824" s="30">
        <v>43149.0</v>
      </c>
      <c r="D824" s="32" t="s">
        <v>253</v>
      </c>
      <c r="E824" s="13" t="s">
        <v>31</v>
      </c>
      <c r="F824" s="13">
        <v>1.0</v>
      </c>
      <c r="G824" s="13" t="s">
        <v>32</v>
      </c>
      <c r="H824" s="33">
        <f t="shared" si="124"/>
        <v>1</v>
      </c>
      <c r="I824" s="13" t="s">
        <v>33</v>
      </c>
      <c r="J824" s="13" t="s">
        <v>147</v>
      </c>
      <c r="K824" s="13">
        <v>1.0</v>
      </c>
      <c r="L824" s="13" t="s">
        <v>2605</v>
      </c>
      <c r="M824" s="36" t="s">
        <v>2606</v>
      </c>
      <c r="N824" s="15"/>
      <c r="O824" s="16"/>
      <c r="P824" s="16"/>
      <c r="Q824" s="16"/>
      <c r="R824" s="16"/>
      <c r="S824" s="37" t="str">
        <f>IFERROR(__xludf.DUMMYFUNCTION("if(not(iserror(index(split(C824, "" ""),2))), index(split(C824, "" ""),1),"""")"),"February")</f>
        <v>February</v>
      </c>
      <c r="T824" s="38">
        <f>IFERROR(__xludf.DUMMYFUNCTION("if(S824="""",C824,if(not(iserror(index(split(C824, "" ""),3))), index(split(C824, "" ""),3),index(split(C824, "" ""),2)))"),2018.0)</f>
        <v>2018</v>
      </c>
      <c r="U824" s="38" t="b">
        <f t="shared" si="117"/>
        <v>0</v>
      </c>
      <c r="V824" s="38"/>
      <c r="W824" s="40"/>
      <c r="X824" s="40"/>
      <c r="Y824" s="40"/>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row>
    <row r="825">
      <c r="A825" s="13" t="s">
        <v>2607</v>
      </c>
      <c r="B825" s="30">
        <v>43150.0</v>
      </c>
      <c r="C825" s="30">
        <v>43150.0</v>
      </c>
      <c r="D825" s="32" t="s">
        <v>2608</v>
      </c>
      <c r="E825" s="13" t="s">
        <v>31</v>
      </c>
      <c r="F825" s="13">
        <v>3.0</v>
      </c>
      <c r="G825" s="13">
        <v>1.0</v>
      </c>
      <c r="H825" s="33">
        <f t="shared" si="124"/>
        <v>1</v>
      </c>
      <c r="I825" s="13" t="s">
        <v>33</v>
      </c>
      <c r="J825" s="13" t="s">
        <v>93</v>
      </c>
      <c r="K825" s="13">
        <v>1.0</v>
      </c>
      <c r="L825" s="13" t="s">
        <v>2609</v>
      </c>
      <c r="M825" s="35" t="s">
        <v>2610</v>
      </c>
      <c r="N825" s="36" t="s">
        <v>2611</v>
      </c>
      <c r="O825" s="86" t="str">
        <f>hyperlink("https://bad-boys.us/?q=D-NJ/2:18-mj-04050", "D-NJ 2:18-mj-04050")</f>
        <v>D-NJ 2:18-mj-04050</v>
      </c>
      <c r="P825" s="16"/>
      <c r="Q825" s="64">
        <v>1.0</v>
      </c>
      <c r="R825" s="16"/>
      <c r="S825" s="37" t="str">
        <f>IFERROR(__xludf.DUMMYFUNCTION("if(not(iserror(index(split(C825, "" ""),2))), index(split(C825, "" ""),1),"""")"),"February")</f>
        <v>February</v>
      </c>
      <c r="T825" s="38">
        <f>IFERROR(__xludf.DUMMYFUNCTION("if(S825="""",C825,if(not(iserror(index(split(C825, "" ""),3))), index(split(C825, "" ""),3),index(split(C825, "" ""),2)))"),2018.0)</f>
        <v>2018</v>
      </c>
      <c r="U825" s="38" t="b">
        <f t="shared" si="117"/>
        <v>0</v>
      </c>
      <c r="V825" s="38" t="s">
        <v>33</v>
      </c>
      <c r="W825" s="40"/>
      <c r="X825" s="40"/>
      <c r="Y825" s="40"/>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row>
    <row r="826">
      <c r="A826" s="58" t="s">
        <v>2612</v>
      </c>
      <c r="B826" s="59">
        <v>43236.0</v>
      </c>
      <c r="C826" s="59">
        <v>43151.0</v>
      </c>
      <c r="D826" s="60" t="s">
        <v>2613</v>
      </c>
      <c r="E826" s="58" t="s">
        <v>41</v>
      </c>
      <c r="F826" s="58">
        <v>1.0</v>
      </c>
      <c r="G826" s="58" t="s">
        <v>32</v>
      </c>
      <c r="H826" s="33">
        <f t="shared" si="124"/>
        <v>1</v>
      </c>
      <c r="I826" s="58" t="s">
        <v>33</v>
      </c>
      <c r="J826" s="58" t="s">
        <v>283</v>
      </c>
      <c r="K826" s="58">
        <v>4.0</v>
      </c>
      <c r="L826" s="58" t="s">
        <v>119</v>
      </c>
      <c r="M826" s="61" t="s">
        <v>2614</v>
      </c>
      <c r="N826" s="77"/>
      <c r="O826" s="88" t="str">
        <f>hyperlink("https://bad-boys.us/?q=D-NV/3:17-cr-00101", "D-NV 3:17-cr-00101")</f>
        <v>D-NV 3:17-cr-00101</v>
      </c>
      <c r="P826" s="62"/>
      <c r="Q826" s="84">
        <v>1.0</v>
      </c>
      <c r="R826" s="62"/>
      <c r="S826" s="37" t="str">
        <f>IFERROR(__xludf.DUMMYFUNCTION("if(not(iserror(index(split(C826, "" ""),2))), index(split(C826, "" ""),1),"""")"),"February")</f>
        <v>February</v>
      </c>
      <c r="T826" s="38">
        <f>IFERROR(__xludf.DUMMYFUNCTION("if(S826="""",C826,if(not(iserror(index(split(C826, "" ""),3))), index(split(C826, "" ""),3),index(split(C826, "" ""),2)))"),2018.0)</f>
        <v>2018</v>
      </c>
      <c r="U826" s="38" t="b">
        <f t="shared" si="117"/>
        <v>0</v>
      </c>
      <c r="V826" s="38"/>
      <c r="W826" s="40"/>
      <c r="X826" s="40"/>
      <c r="Y826" s="40"/>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row>
    <row r="827">
      <c r="A827" s="78" t="s">
        <v>2615</v>
      </c>
      <c r="B827" s="59">
        <v>43336.0</v>
      </c>
      <c r="C827" s="59">
        <v>43151.0</v>
      </c>
      <c r="D827" s="60" t="s">
        <v>2613</v>
      </c>
      <c r="E827" s="58" t="s">
        <v>41</v>
      </c>
      <c r="F827" s="58">
        <v>1.0</v>
      </c>
      <c r="G827" s="58" t="s">
        <v>32</v>
      </c>
      <c r="H827" s="33">
        <f t="shared" si="124"/>
        <v>1</v>
      </c>
      <c r="I827" s="58" t="s">
        <v>33</v>
      </c>
      <c r="J827" s="58" t="s">
        <v>61</v>
      </c>
      <c r="K827" s="58">
        <v>1.0</v>
      </c>
      <c r="L827" s="58" t="s">
        <v>119</v>
      </c>
      <c r="M827" s="61" t="s">
        <v>2616</v>
      </c>
      <c r="N827" s="77"/>
      <c r="O827" s="58"/>
      <c r="P827" s="58"/>
      <c r="Q827" s="84"/>
      <c r="R827" s="62"/>
      <c r="S827" s="37" t="str">
        <f>IFERROR(__xludf.DUMMYFUNCTION("if(not(iserror(index(split(C827, "" ""),2))), index(split(C827, "" ""),1),"""")"),"February")</f>
        <v>February</v>
      </c>
      <c r="T827" s="38">
        <f>IFERROR(__xludf.DUMMYFUNCTION("if(S827="""",C827,if(not(iserror(index(split(C827, "" ""),3))), index(split(C827, "" ""),3),index(split(C827, "" ""),2)))"),2018.0)</f>
        <v>2018</v>
      </c>
      <c r="U827" s="38" t="b">
        <f t="shared" si="117"/>
        <v>0</v>
      </c>
      <c r="V827" s="38"/>
      <c r="W827" s="40"/>
      <c r="X827" s="40"/>
      <c r="Y827" s="40"/>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row>
    <row r="828">
      <c r="A828" s="78" t="s">
        <v>2617</v>
      </c>
      <c r="B828" s="59"/>
      <c r="C828" s="59">
        <v>43151.0</v>
      </c>
      <c r="D828" s="60"/>
      <c r="E828" s="58" t="s">
        <v>41</v>
      </c>
      <c r="F828" s="58">
        <v>1.0</v>
      </c>
      <c r="G828" s="58" t="s">
        <v>32</v>
      </c>
      <c r="H828" s="43">
        <v>1.0</v>
      </c>
      <c r="I828" s="58" t="s">
        <v>33</v>
      </c>
      <c r="J828" s="58" t="s">
        <v>172</v>
      </c>
      <c r="K828" s="58"/>
      <c r="L828" s="58" t="s">
        <v>119</v>
      </c>
      <c r="M828" s="61" t="s">
        <v>2618</v>
      </c>
      <c r="N828" s="77"/>
      <c r="O828" s="58"/>
      <c r="P828" s="58"/>
      <c r="Q828" s="84"/>
      <c r="R828" s="62"/>
      <c r="S828" s="37"/>
      <c r="T828" s="38"/>
      <c r="U828" s="38"/>
      <c r="V828" s="38" t="s">
        <v>33</v>
      </c>
      <c r="W828" s="40"/>
      <c r="X828" s="40"/>
      <c r="Y828" s="40"/>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row>
    <row r="829">
      <c r="A829" s="152" t="s">
        <v>2619</v>
      </c>
      <c r="B829" s="153">
        <v>43152.0</v>
      </c>
      <c r="C829" s="153">
        <v>43152.0</v>
      </c>
      <c r="D829" s="154" t="s">
        <v>2620</v>
      </c>
      <c r="E829" s="155" t="s">
        <v>31</v>
      </c>
      <c r="F829" s="152">
        <v>1.0</v>
      </c>
      <c r="G829" s="152" t="s">
        <v>32</v>
      </c>
      <c r="H829" s="33">
        <f t="shared" ref="H829:H830" si="125">if(G829="Unknown",1,G829)</f>
        <v>1</v>
      </c>
      <c r="I829" s="152" t="s">
        <v>33</v>
      </c>
      <c r="J829" s="152" t="s">
        <v>433</v>
      </c>
      <c r="K829" s="152">
        <v>1.0</v>
      </c>
      <c r="L829" s="152" t="s">
        <v>2621</v>
      </c>
      <c r="M829" s="158" t="s">
        <v>2622</v>
      </c>
      <c r="N829" s="158" t="s">
        <v>2623</v>
      </c>
      <c r="O829" s="37"/>
      <c r="P829" s="16"/>
      <c r="Q829" s="64"/>
      <c r="R829" s="16"/>
      <c r="S829" s="37" t="str">
        <f>IFERROR(__xludf.DUMMYFUNCTION("if(not(iserror(index(split(C829, "" ""),2))), index(split(C829, "" ""),1),"""")"),"February")</f>
        <v>February</v>
      </c>
      <c r="T829" s="38">
        <f>IFERROR(__xludf.DUMMYFUNCTION("if(S829="""",C829,if(not(iserror(index(split(C829, "" ""),3))), index(split(C829, "" ""),3),index(split(C829, "" ""),2)))"),2018.0)</f>
        <v>2018</v>
      </c>
      <c r="U829" s="38" t="b">
        <f t="shared" ref="U829:U883" si="126">countif(A$4:A4658, A829)&gt;1</f>
        <v>0</v>
      </c>
      <c r="V829" s="38"/>
      <c r="W829" s="40"/>
      <c r="X829" s="40"/>
      <c r="Y829" s="40"/>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row>
    <row r="830">
      <c r="A830" s="13" t="s">
        <v>2624</v>
      </c>
      <c r="B830" s="30">
        <v>43153.0</v>
      </c>
      <c r="C830" s="30">
        <v>43152.0</v>
      </c>
      <c r="D830" s="32" t="s">
        <v>2574</v>
      </c>
      <c r="E830" s="13" t="s">
        <v>41</v>
      </c>
      <c r="F830" s="13">
        <v>1.0</v>
      </c>
      <c r="G830" s="13" t="s">
        <v>32</v>
      </c>
      <c r="H830" s="33">
        <f t="shared" si="125"/>
        <v>1</v>
      </c>
      <c r="I830" s="13" t="s">
        <v>33</v>
      </c>
      <c r="J830" s="13" t="s">
        <v>147</v>
      </c>
      <c r="K830" s="13">
        <v>2.0</v>
      </c>
      <c r="L830" s="13" t="s">
        <v>2625</v>
      </c>
      <c r="M830" s="35" t="s">
        <v>2626</v>
      </c>
      <c r="N830" s="61" t="s">
        <v>2627</v>
      </c>
      <c r="O830" s="86" t="str">
        <f>hyperlink("https://bad-boys.us/?q=SD-TX/2:18-cr-00218", "SD-TX 2:18-cr-00218")</f>
        <v>SD-TX 2:18-cr-00218</v>
      </c>
      <c r="P830" s="86" t="s">
        <v>2628</v>
      </c>
      <c r="Q830" s="64">
        <v>1.0</v>
      </c>
      <c r="R830" s="16"/>
      <c r="S830" s="37" t="str">
        <f>IFERROR(__xludf.DUMMYFUNCTION("if(not(iserror(index(split(C830, "" ""),2))), index(split(C830, "" ""),1),"""")"),"February")</f>
        <v>February</v>
      </c>
      <c r="T830" s="38">
        <f>IFERROR(__xludf.DUMMYFUNCTION("if(S830="""",C830,if(not(iserror(index(split(C830, "" ""),3))), index(split(C830, "" ""),3),index(split(C830, "" ""),2)))"),2018.0)</f>
        <v>2018</v>
      </c>
      <c r="U830" s="38" t="b">
        <f t="shared" si="126"/>
        <v>0</v>
      </c>
      <c r="V830" s="38"/>
      <c r="W830" s="40"/>
      <c r="X830" s="40"/>
      <c r="Y830" s="40"/>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row>
    <row r="831">
      <c r="A831" s="13" t="s">
        <v>2629</v>
      </c>
      <c r="B831" s="30">
        <v>43154.0</v>
      </c>
      <c r="C831" s="30">
        <v>43152.0</v>
      </c>
      <c r="D831" s="32" t="s">
        <v>2620</v>
      </c>
      <c r="E831" s="13" t="s">
        <v>41</v>
      </c>
      <c r="F831" s="13">
        <v>1.0</v>
      </c>
      <c r="G831" s="13">
        <v>2.0</v>
      </c>
      <c r="H831" s="50">
        <v>2.0</v>
      </c>
      <c r="I831" s="13" t="s">
        <v>33</v>
      </c>
      <c r="J831" s="13" t="s">
        <v>279</v>
      </c>
      <c r="K831" s="13">
        <v>2.0</v>
      </c>
      <c r="L831" s="13" t="s">
        <v>76</v>
      </c>
      <c r="M831" s="35" t="s">
        <v>2630</v>
      </c>
      <c r="N831" s="15"/>
      <c r="O831" s="57" t="str">
        <f>hyperlink("https://bad-boys.us/?q=WD-MO/3:18-cr-05010", "WD-MO 3:18-cr-05010")</f>
        <v>WD-MO 3:18-cr-05010</v>
      </c>
      <c r="P831" s="86" t="s">
        <v>2631</v>
      </c>
      <c r="Q831" s="37">
        <v>1.0</v>
      </c>
      <c r="R831" s="16"/>
      <c r="S831" s="37" t="str">
        <f>IFERROR(__xludf.DUMMYFUNCTION("if(not(iserror(index(split(C831, "" ""),2))), index(split(C831, "" ""),1),"""")"),"February")</f>
        <v>February</v>
      </c>
      <c r="T831" s="38">
        <f>IFERROR(__xludf.DUMMYFUNCTION("if(S831="""",C831,if(not(iserror(index(split(C831, "" ""),3))), index(split(C831, "" ""),3),index(split(C831, "" ""),2)))"),2018.0)</f>
        <v>2018</v>
      </c>
      <c r="U831" s="38" t="b">
        <f t="shared" si="126"/>
        <v>0</v>
      </c>
      <c r="V831" s="38"/>
      <c r="W831" s="40"/>
      <c r="X831" s="40"/>
      <c r="Y831" s="40"/>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row>
    <row r="832">
      <c r="A832" s="13" t="s">
        <v>2632</v>
      </c>
      <c r="B832" s="30">
        <v>43154.0</v>
      </c>
      <c r="C832" s="30">
        <v>43152.0</v>
      </c>
      <c r="D832" s="32" t="s">
        <v>2620</v>
      </c>
      <c r="E832" s="13" t="s">
        <v>41</v>
      </c>
      <c r="F832" s="13">
        <v>1.0</v>
      </c>
      <c r="G832" s="13">
        <v>1.0</v>
      </c>
      <c r="H832" s="50">
        <v>1.0</v>
      </c>
      <c r="I832" s="13" t="s">
        <v>33</v>
      </c>
      <c r="J832" s="13" t="s">
        <v>279</v>
      </c>
      <c r="K832" s="13">
        <v>2.0</v>
      </c>
      <c r="L832" s="13" t="s">
        <v>76</v>
      </c>
      <c r="M832" s="35" t="s">
        <v>2633</v>
      </c>
      <c r="N832" s="15"/>
      <c r="O832" s="57" t="str">
        <f>hyperlink("https://bad-boys.us/?q=WD-MO/6:18-cr-03026", "WD-MO 6:18-cr-03026")</f>
        <v>WD-MO 6:18-cr-03026</v>
      </c>
      <c r="P832" s="86" t="s">
        <v>2634</v>
      </c>
      <c r="Q832" s="37">
        <v>1.0</v>
      </c>
      <c r="R832" s="16"/>
      <c r="S832" s="37" t="str">
        <f>IFERROR(__xludf.DUMMYFUNCTION("if(not(iserror(index(split(C832, "" ""),2))), index(split(C832, "" ""),1),"""")"),"February")</f>
        <v>February</v>
      </c>
      <c r="T832" s="38">
        <f>IFERROR(__xludf.DUMMYFUNCTION("if(S832="""",C832,if(not(iserror(index(split(C832, "" ""),3))), index(split(C832, "" ""),3),index(split(C832, "" ""),2)))"),2018.0)</f>
        <v>2018</v>
      </c>
      <c r="U832" s="38" t="b">
        <f t="shared" si="126"/>
        <v>0</v>
      </c>
      <c r="V832" s="38"/>
      <c r="W832" s="40"/>
      <c r="X832" s="40"/>
      <c r="Y832" s="40"/>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row>
    <row r="833">
      <c r="A833" s="58" t="s">
        <v>2635</v>
      </c>
      <c r="B833" s="59">
        <v>43384.0</v>
      </c>
      <c r="C833" s="59">
        <v>43152.0</v>
      </c>
      <c r="D833" s="60" t="s">
        <v>2620</v>
      </c>
      <c r="E833" s="58" t="s">
        <v>41</v>
      </c>
      <c r="F833" s="58">
        <v>1.0</v>
      </c>
      <c r="G833" s="58" t="s">
        <v>32</v>
      </c>
      <c r="H833" s="33">
        <f t="shared" ref="H833:H834" si="127">if(G833="Unknown",1,G833)</f>
        <v>1</v>
      </c>
      <c r="I833" s="58" t="s">
        <v>33</v>
      </c>
      <c r="J833" s="58" t="s">
        <v>61</v>
      </c>
      <c r="K833" s="58">
        <v>1.0</v>
      </c>
      <c r="L833" s="58" t="s">
        <v>119</v>
      </c>
      <c r="M833" s="61" t="s">
        <v>2636</v>
      </c>
      <c r="N833" s="77"/>
      <c r="O833" s="83" t="str">
        <f>hyperlink("https://bad-boys.us/?q=WD-LA/6:18-cr-00115", "WD-LA 6:18-cr-00115")</f>
        <v>WD-LA 6:18-cr-00115</v>
      </c>
      <c r="P833" s="88" t="s">
        <v>2637</v>
      </c>
      <c r="Q833" s="84">
        <v>1.0</v>
      </c>
      <c r="R833" s="62"/>
      <c r="S833" s="37" t="str">
        <f>IFERROR(__xludf.DUMMYFUNCTION("if(not(iserror(index(split(C833, "" ""),2))), index(split(C833, "" ""),1),"""")"),"February")</f>
        <v>February</v>
      </c>
      <c r="T833" s="38">
        <f>IFERROR(__xludf.DUMMYFUNCTION("if(S833="""",C833,if(not(iserror(index(split(C833, "" ""),3))), index(split(C833, "" ""),3),index(split(C833, "" ""),2)))"),2018.0)</f>
        <v>2018</v>
      </c>
      <c r="U833" s="38" t="b">
        <f t="shared" si="126"/>
        <v>0</v>
      </c>
      <c r="V833" s="38"/>
      <c r="W833" s="40"/>
      <c r="X833" s="40"/>
      <c r="Y833" s="40"/>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row>
    <row r="834">
      <c r="A834" s="58" t="s">
        <v>2638</v>
      </c>
      <c r="B834" s="59">
        <v>43420.0</v>
      </c>
      <c r="C834" s="59">
        <v>43152.0</v>
      </c>
      <c r="D834" s="60" t="s">
        <v>2620</v>
      </c>
      <c r="E834" s="58" t="s">
        <v>41</v>
      </c>
      <c r="F834" s="58">
        <v>1.0</v>
      </c>
      <c r="G834" s="58" t="s">
        <v>32</v>
      </c>
      <c r="H834" s="33">
        <f t="shared" si="127"/>
        <v>1</v>
      </c>
      <c r="I834" s="58" t="s">
        <v>33</v>
      </c>
      <c r="J834" s="58" t="s">
        <v>61</v>
      </c>
      <c r="K834" s="58">
        <v>3.0</v>
      </c>
      <c r="L834" s="58" t="s">
        <v>119</v>
      </c>
      <c r="M834" s="120" t="s">
        <v>2639</v>
      </c>
      <c r="N834" s="80"/>
      <c r="O834" s="88" t="str">
        <f>hyperlink("https://bad-boys.us/?q=ED-LA/2:18-cr-00103", "ED-LA 2:18-cr-00103")</f>
        <v>ED-LA 2:18-cr-00103</v>
      </c>
      <c r="P834" s="88" t="s">
        <v>2640</v>
      </c>
      <c r="Q834" s="58">
        <v>1.0</v>
      </c>
      <c r="R834" s="62"/>
      <c r="S834" s="37" t="str">
        <f>IFERROR(__xludf.DUMMYFUNCTION("if(not(iserror(index(split(C834, "" ""),2))), index(split(C834, "" ""),1),"""")"),"February")</f>
        <v>February</v>
      </c>
      <c r="T834" s="38">
        <f>IFERROR(__xludf.DUMMYFUNCTION("if(S834="""",C834,if(not(iserror(index(split(C834, "" ""),3))), index(split(C834, "" ""),3),index(split(C834, "" ""),2)))"),2018.0)</f>
        <v>2018</v>
      </c>
      <c r="U834" s="38" t="b">
        <f t="shared" si="126"/>
        <v>0</v>
      </c>
      <c r="V834" s="38" t="s">
        <v>33</v>
      </c>
      <c r="W834" s="40"/>
      <c r="X834" s="40"/>
      <c r="Y834" s="40"/>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row>
    <row r="835">
      <c r="A835" s="47" t="s">
        <v>2641</v>
      </c>
      <c r="B835" s="48"/>
      <c r="C835" s="48">
        <v>43152.0</v>
      </c>
      <c r="D835" s="49"/>
      <c r="E835" s="47" t="s">
        <v>41</v>
      </c>
      <c r="F835" s="47">
        <v>1.0</v>
      </c>
      <c r="G835" s="47" t="s">
        <v>32</v>
      </c>
      <c r="H835" s="43">
        <v>1.0</v>
      </c>
      <c r="I835" s="47" t="s">
        <v>33</v>
      </c>
      <c r="J835" s="47" t="s">
        <v>279</v>
      </c>
      <c r="K835" s="47"/>
      <c r="L835" s="47" t="s">
        <v>69</v>
      </c>
      <c r="M835" s="51" t="s">
        <v>2642</v>
      </c>
      <c r="N835" s="52"/>
      <c r="O835" s="53" t="str">
        <f>hyperlink("https://bad-boys.us/?q=WD-MO/4:18-cr-00041", "WD-MO 4:18-cr-00041")</f>
        <v>WD-MO 4:18-cr-00041</v>
      </c>
      <c r="P835" s="54" t="s">
        <v>2643</v>
      </c>
      <c r="Q835" s="47">
        <v>1.0</v>
      </c>
      <c r="R835" s="55"/>
      <c r="S835" s="37" t="str">
        <f>IFERROR(__xludf.DUMMYFUNCTION("if(not(iserror(index(split(C835, "" ""),2))), index(split(C835, "" ""),1),"""")"),"February")</f>
        <v>February</v>
      </c>
      <c r="T835" s="38">
        <f>IFERROR(__xludf.DUMMYFUNCTION("if(S835="""",C835,if(not(iserror(index(split(C835, "" ""),3))), index(split(C835, "" ""),3),index(split(C835, "" ""),2)))"),2018.0)</f>
        <v>2018</v>
      </c>
      <c r="U835" s="38" t="b">
        <f t="shared" si="126"/>
        <v>0</v>
      </c>
      <c r="V835" s="38" t="s">
        <v>33</v>
      </c>
      <c r="W835" s="40"/>
      <c r="X835" s="40"/>
      <c r="Y835" s="40"/>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row>
    <row r="836">
      <c r="A836" s="47" t="s">
        <v>2644</v>
      </c>
      <c r="B836" s="48">
        <v>43455.0</v>
      </c>
      <c r="C836" s="48">
        <v>43152.0</v>
      </c>
      <c r="D836" s="49" t="s">
        <v>2620</v>
      </c>
      <c r="E836" s="47" t="s">
        <v>41</v>
      </c>
      <c r="F836" s="47">
        <v>1.0</v>
      </c>
      <c r="G836" s="47" t="s">
        <v>32</v>
      </c>
      <c r="H836" s="33">
        <f>if(G836="Unknown",1,G836)</f>
        <v>1</v>
      </c>
      <c r="I836" s="47" t="s">
        <v>33</v>
      </c>
      <c r="J836" s="47" t="s">
        <v>203</v>
      </c>
      <c r="K836" s="47">
        <v>1.0</v>
      </c>
      <c r="L836" s="47" t="s">
        <v>69</v>
      </c>
      <c r="M836" s="51" t="s">
        <v>2645</v>
      </c>
      <c r="N836" s="52"/>
      <c r="O836" s="55"/>
      <c r="P836" s="47"/>
      <c r="Q836" s="47"/>
      <c r="R836" s="55"/>
      <c r="S836" s="37" t="str">
        <f>IFERROR(__xludf.DUMMYFUNCTION("if(not(iserror(index(split(C836, "" ""),2))), index(split(C836, "" ""),1),"""")"),"February")</f>
        <v>February</v>
      </c>
      <c r="T836" s="38">
        <f>IFERROR(__xludf.DUMMYFUNCTION("if(S836="""",C836,if(not(iserror(index(split(C836, "" ""),3))), index(split(C836, "" ""),3),index(split(C836, "" ""),2)))"),2018.0)</f>
        <v>2018</v>
      </c>
      <c r="U836" s="38" t="b">
        <f t="shared" si="126"/>
        <v>0</v>
      </c>
      <c r="V836" s="38"/>
      <c r="W836" s="40"/>
      <c r="X836" s="40"/>
      <c r="Y836" s="40"/>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row>
    <row r="837">
      <c r="A837" s="13" t="s">
        <v>2646</v>
      </c>
      <c r="B837" s="30">
        <v>43153.0</v>
      </c>
      <c r="C837" s="30">
        <v>43153.0</v>
      </c>
      <c r="D837" s="32" t="s">
        <v>2574</v>
      </c>
      <c r="E837" s="13" t="s">
        <v>41</v>
      </c>
      <c r="F837" s="13">
        <v>1.0</v>
      </c>
      <c r="G837" s="13" t="s">
        <v>32</v>
      </c>
      <c r="H837" s="50">
        <v>1.0</v>
      </c>
      <c r="I837" s="13" t="s">
        <v>33</v>
      </c>
      <c r="J837" s="13" t="s">
        <v>147</v>
      </c>
      <c r="K837" s="13">
        <v>2.0</v>
      </c>
      <c r="L837" s="13" t="s">
        <v>69</v>
      </c>
      <c r="M837" s="35" t="s">
        <v>2647</v>
      </c>
      <c r="N837" s="36" t="s">
        <v>2648</v>
      </c>
      <c r="O837" s="86" t="str">
        <f>hyperlink("https://bad-boys.us/?q=SD-TX/2:18-cr-00207", "SD-TX 2:18-cr-00207")</f>
        <v>SD-TX 2:18-cr-00207</v>
      </c>
      <c r="P837" s="86" t="s">
        <v>2649</v>
      </c>
      <c r="Q837" s="37">
        <v>1.0</v>
      </c>
      <c r="R837" s="16"/>
      <c r="S837" s="37" t="str">
        <f>IFERROR(__xludf.DUMMYFUNCTION("if(not(iserror(index(split(C837, "" ""),2))), index(split(C837, "" ""),1),"""")"),"February")</f>
        <v>February</v>
      </c>
      <c r="T837" s="38">
        <f>IFERROR(__xludf.DUMMYFUNCTION("if(S837="""",C837,if(not(iserror(index(split(C837, "" ""),3))), index(split(C837, "" ""),3),index(split(C837, "" ""),2)))"),2018.0)</f>
        <v>2018</v>
      </c>
      <c r="U837" s="38" t="b">
        <f t="shared" si="126"/>
        <v>0</v>
      </c>
      <c r="V837" s="38"/>
      <c r="W837" s="40"/>
      <c r="X837" s="40"/>
      <c r="Y837" s="40"/>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row>
    <row r="838">
      <c r="A838" s="13" t="s">
        <v>2650</v>
      </c>
      <c r="B838" s="30">
        <v>43153.0</v>
      </c>
      <c r="C838" s="30">
        <v>43153.0</v>
      </c>
      <c r="D838" s="32" t="s">
        <v>2574</v>
      </c>
      <c r="E838" s="13" t="s">
        <v>41</v>
      </c>
      <c r="F838" s="13">
        <v>1.0</v>
      </c>
      <c r="G838" s="13" t="s">
        <v>32</v>
      </c>
      <c r="H838" s="33">
        <f>if(G838="Unknown",1,G838)</f>
        <v>1</v>
      </c>
      <c r="I838" s="13" t="s">
        <v>33</v>
      </c>
      <c r="J838" s="13" t="s">
        <v>448</v>
      </c>
      <c r="K838" s="13">
        <v>6.0</v>
      </c>
      <c r="L838" s="13" t="s">
        <v>2651</v>
      </c>
      <c r="M838" s="56" t="s">
        <v>2652</v>
      </c>
      <c r="N838" s="36" t="s">
        <v>2653</v>
      </c>
      <c r="O838" s="37"/>
      <c r="P838" s="37"/>
      <c r="Q838" s="37"/>
      <c r="R838" s="16"/>
      <c r="S838" s="37" t="str">
        <f>IFERROR(__xludf.DUMMYFUNCTION("if(not(iserror(index(split(C838, "" ""),2))), index(split(C838, "" ""),1),"""")"),"February")</f>
        <v>February</v>
      </c>
      <c r="T838" s="38">
        <f>IFERROR(__xludf.DUMMYFUNCTION("if(S838="""",C838,if(not(iserror(index(split(C838, "" ""),3))), index(split(C838, "" ""),3),index(split(C838, "" ""),2)))"),2018.0)</f>
        <v>2018</v>
      </c>
      <c r="U838" s="38" t="b">
        <f t="shared" si="126"/>
        <v>0</v>
      </c>
      <c r="V838" s="38" t="s">
        <v>33</v>
      </c>
      <c r="W838" s="39" t="s">
        <v>2654</v>
      </c>
      <c r="X838" s="40"/>
      <c r="Y838" s="40"/>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row>
    <row r="839">
      <c r="A839" s="13" t="s">
        <v>2655</v>
      </c>
      <c r="B839" s="30">
        <v>43153.0</v>
      </c>
      <c r="C839" s="30">
        <v>43153.0</v>
      </c>
      <c r="D839" s="32" t="s">
        <v>2574</v>
      </c>
      <c r="E839" s="13" t="s">
        <v>41</v>
      </c>
      <c r="F839" s="13">
        <v>1.0</v>
      </c>
      <c r="G839" s="13" t="s">
        <v>32</v>
      </c>
      <c r="H839" s="33">
        <v>1.0</v>
      </c>
      <c r="I839" s="13" t="s">
        <v>33</v>
      </c>
      <c r="J839" s="13" t="s">
        <v>448</v>
      </c>
      <c r="K839" s="13">
        <v>6.0</v>
      </c>
      <c r="L839" s="13" t="s">
        <v>2651</v>
      </c>
      <c r="M839" s="56" t="s">
        <v>2656</v>
      </c>
      <c r="N839" s="14" t="s">
        <v>2653</v>
      </c>
      <c r="O839" s="37"/>
      <c r="P839" s="37"/>
      <c r="Q839" s="37"/>
      <c r="R839" s="16"/>
      <c r="S839" s="37" t="str">
        <f>IFERROR(__xludf.DUMMYFUNCTION("if(not(iserror(index(split(C839, "" ""),2))), index(split(C839, "" ""),1),"""")"),"February")</f>
        <v>February</v>
      </c>
      <c r="T839" s="38">
        <f>IFERROR(__xludf.DUMMYFUNCTION("if(S839="""",C839,if(not(iserror(index(split(C839, "" ""),3))), index(split(C839, "" ""),3),index(split(C839, "" ""),2)))"),2018.0)</f>
        <v>2018</v>
      </c>
      <c r="U839" s="38" t="b">
        <f t="shared" si="126"/>
        <v>0</v>
      </c>
      <c r="V839" s="38" t="s">
        <v>33</v>
      </c>
      <c r="W839" s="40" t="s">
        <v>2654</v>
      </c>
      <c r="X839" s="40"/>
      <c r="Y839" s="40"/>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row>
    <row r="840">
      <c r="A840" s="13" t="s">
        <v>2657</v>
      </c>
      <c r="B840" s="30">
        <v>43153.0</v>
      </c>
      <c r="C840" s="30">
        <v>43153.0</v>
      </c>
      <c r="D840" s="32" t="s">
        <v>2658</v>
      </c>
      <c r="E840" s="13" t="s">
        <v>41</v>
      </c>
      <c r="F840" s="13">
        <v>1.0</v>
      </c>
      <c r="G840" s="13" t="s">
        <v>32</v>
      </c>
      <c r="H840" s="33">
        <f t="shared" ref="H840:H842" si="128">if(G840="Unknown",1,G840)</f>
        <v>1</v>
      </c>
      <c r="I840" s="13" t="s">
        <v>33</v>
      </c>
      <c r="J840" s="13" t="s">
        <v>288</v>
      </c>
      <c r="K840" s="13" t="s">
        <v>32</v>
      </c>
      <c r="L840" s="13" t="s">
        <v>807</v>
      </c>
      <c r="M840" s="120" t="s">
        <v>2659</v>
      </c>
      <c r="N840" s="15"/>
      <c r="O840" s="140" t="str">
        <f>hyperlink("https://bad-boys.us/?q=D-NE/8:18-cr-00044", "D-NE 8:18-cr-00044")</f>
        <v>D-NE 8:18-cr-00044</v>
      </c>
      <c r="P840" s="140" t="s">
        <v>2660</v>
      </c>
      <c r="Q840" s="64">
        <v>1.0</v>
      </c>
      <c r="R840" s="16"/>
      <c r="S840" s="37" t="str">
        <f>IFERROR(__xludf.DUMMYFUNCTION("if(not(iserror(index(split(C840, "" ""),2))), index(split(C840, "" ""),1),"""")"),"February")</f>
        <v>February</v>
      </c>
      <c r="T840" s="38">
        <f>IFERROR(__xludf.DUMMYFUNCTION("if(S840="""",C840,if(not(iserror(index(split(C840, "" ""),3))), index(split(C840, "" ""),3),index(split(C840, "" ""),2)))"),2018.0)</f>
        <v>2018</v>
      </c>
      <c r="U840" s="38" t="b">
        <f t="shared" si="126"/>
        <v>0</v>
      </c>
      <c r="V840" s="38" t="s">
        <v>33</v>
      </c>
      <c r="W840" s="40"/>
      <c r="X840" s="40"/>
      <c r="Y840" s="40"/>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row>
    <row r="841">
      <c r="A841" s="37" t="s">
        <v>2661</v>
      </c>
      <c r="B841" s="30">
        <v>43153.0</v>
      </c>
      <c r="C841" s="30">
        <v>43153.0</v>
      </c>
      <c r="D841" s="32" t="s">
        <v>2574</v>
      </c>
      <c r="E841" s="13" t="s">
        <v>41</v>
      </c>
      <c r="F841" s="13">
        <v>1.0</v>
      </c>
      <c r="G841" s="13" t="s">
        <v>32</v>
      </c>
      <c r="H841" s="33">
        <f t="shared" si="128"/>
        <v>1</v>
      </c>
      <c r="I841" s="13" t="s">
        <v>33</v>
      </c>
      <c r="J841" s="13" t="s">
        <v>115</v>
      </c>
      <c r="K841" s="13">
        <v>2.0</v>
      </c>
      <c r="L841" s="13" t="s">
        <v>119</v>
      </c>
      <c r="M841" s="36" t="s">
        <v>2662</v>
      </c>
      <c r="N841" s="15"/>
      <c r="O841" s="57" t="str">
        <f>hyperlink("https://bad-boys.us/?q=ED-PA/2:18-cr-00063", "ED-PA 2:18-cr-00063")</f>
        <v>ED-PA 2:18-cr-00063</v>
      </c>
      <c r="P841" s="86" t="s">
        <v>2663</v>
      </c>
      <c r="Q841" s="37">
        <v>1.0</v>
      </c>
      <c r="R841" s="16"/>
      <c r="S841" s="37" t="str">
        <f>IFERROR(__xludf.DUMMYFUNCTION("if(not(iserror(index(split(C841, "" ""),2))), index(split(C841, "" ""),1),"""")"),"February")</f>
        <v>February</v>
      </c>
      <c r="T841" s="38">
        <f>IFERROR(__xludf.DUMMYFUNCTION("if(S841="""",C841,if(not(iserror(index(split(C841, "" ""),3))), index(split(C841, "" ""),3),index(split(C841, "" ""),2)))"),2018.0)</f>
        <v>2018</v>
      </c>
      <c r="U841" s="38" t="b">
        <f t="shared" si="126"/>
        <v>0</v>
      </c>
      <c r="V841" s="38"/>
      <c r="W841" s="40"/>
      <c r="X841" s="40"/>
      <c r="Y841" s="40"/>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row>
    <row r="842">
      <c r="A842" s="37" t="s">
        <v>2664</v>
      </c>
      <c r="B842" s="30">
        <v>43157.0</v>
      </c>
      <c r="C842" s="30">
        <v>43153.0</v>
      </c>
      <c r="D842" s="32" t="s">
        <v>2574</v>
      </c>
      <c r="E842" s="13" t="s">
        <v>41</v>
      </c>
      <c r="F842" s="13">
        <v>1.0</v>
      </c>
      <c r="G842" s="13" t="s">
        <v>32</v>
      </c>
      <c r="H842" s="33">
        <f t="shared" si="128"/>
        <v>1</v>
      </c>
      <c r="I842" s="13" t="s">
        <v>33</v>
      </c>
      <c r="J842" s="13" t="s">
        <v>93</v>
      </c>
      <c r="K842" s="13">
        <v>4.0</v>
      </c>
      <c r="L842" s="13" t="s">
        <v>1336</v>
      </c>
      <c r="M842" s="56" t="s">
        <v>2665</v>
      </c>
      <c r="N842" s="15"/>
      <c r="O842" s="86" t="str">
        <f>hyperlink("https://bad-boys.us/?q=ND-NY/3:18-mj-00099", "ND-NY 3:18-mj-00099")</f>
        <v>ND-NY 3:18-mj-00099</v>
      </c>
      <c r="P842" s="86" t="s">
        <v>2666</v>
      </c>
      <c r="Q842" s="64">
        <v>1.0</v>
      </c>
      <c r="R842" s="16"/>
      <c r="S842" s="37" t="str">
        <f>IFERROR(__xludf.DUMMYFUNCTION("if(not(iserror(index(split(C842, "" ""),2))), index(split(C842, "" ""),1),"""")"),"February")</f>
        <v>February</v>
      </c>
      <c r="T842" s="38">
        <f>IFERROR(__xludf.DUMMYFUNCTION("if(S842="""",C842,if(not(iserror(index(split(C842, "" ""),3))), index(split(C842, "" ""),3),index(split(C842, "" ""),2)))"),2018.0)</f>
        <v>2018</v>
      </c>
      <c r="U842" s="38" t="b">
        <f t="shared" si="126"/>
        <v>0</v>
      </c>
      <c r="V842" s="38" t="s">
        <v>33</v>
      </c>
      <c r="W842" s="40"/>
      <c r="X842" s="40"/>
      <c r="Y842" s="40"/>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row>
    <row r="843">
      <c r="A843" s="78" t="s">
        <v>2667</v>
      </c>
      <c r="B843" s="59"/>
      <c r="C843" s="59">
        <v>43153.0</v>
      </c>
      <c r="D843" s="60" t="s">
        <v>2574</v>
      </c>
      <c r="E843" s="58" t="s">
        <v>41</v>
      </c>
      <c r="F843" s="58">
        <v>1.0</v>
      </c>
      <c r="G843" s="58" t="s">
        <v>32</v>
      </c>
      <c r="H843" s="33">
        <v>1.0</v>
      </c>
      <c r="I843" s="58" t="s">
        <v>33</v>
      </c>
      <c r="J843" s="58" t="s">
        <v>93</v>
      </c>
      <c r="K843" s="58">
        <v>4.0</v>
      </c>
      <c r="L843" s="58" t="s">
        <v>1336</v>
      </c>
      <c r="M843" s="80" t="s">
        <v>2665</v>
      </c>
      <c r="N843" s="77"/>
      <c r="O843" s="83" t="str">
        <f>hyperlink("https://bad-boys.us/?q=ND-NY/3:18-mj-00099", "ND-NY 3:18-mj-00099 ❓")</f>
        <v>ND-NY 3:18-mj-00099 ❓</v>
      </c>
      <c r="P843" s="88" t="s">
        <v>2666</v>
      </c>
      <c r="Q843" s="58">
        <v>1.0</v>
      </c>
      <c r="R843" s="62"/>
      <c r="S843" s="37"/>
      <c r="T843" s="38"/>
      <c r="U843" s="38" t="b">
        <f t="shared" si="126"/>
        <v>0</v>
      </c>
      <c r="V843" s="38" t="s">
        <v>33</v>
      </c>
      <c r="W843" s="40"/>
      <c r="X843" s="40"/>
      <c r="Y843" s="40"/>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row>
    <row r="844">
      <c r="A844" s="78" t="s">
        <v>2668</v>
      </c>
      <c r="B844" s="59">
        <v>43294.0</v>
      </c>
      <c r="C844" s="59">
        <v>43153.0</v>
      </c>
      <c r="D844" s="60" t="s">
        <v>2574</v>
      </c>
      <c r="E844" s="58" t="s">
        <v>31</v>
      </c>
      <c r="F844" s="58">
        <v>1.0</v>
      </c>
      <c r="G844" s="58" t="s">
        <v>32</v>
      </c>
      <c r="H844" s="33">
        <f t="shared" ref="H844:H852" si="129">if(G844="Unknown",1,G844)</f>
        <v>1</v>
      </c>
      <c r="I844" s="58" t="s">
        <v>33</v>
      </c>
      <c r="J844" s="58" t="s">
        <v>147</v>
      </c>
      <c r="K844" s="58" t="s">
        <v>32</v>
      </c>
      <c r="L844" s="58" t="s">
        <v>35</v>
      </c>
      <c r="M844" s="61" t="s">
        <v>2669</v>
      </c>
      <c r="N844" s="77"/>
      <c r="O844" s="62"/>
      <c r="P844" s="62"/>
      <c r="Q844" s="62"/>
      <c r="R844" s="62"/>
      <c r="S844" s="37" t="str">
        <f>IFERROR(__xludf.DUMMYFUNCTION("if(not(iserror(index(split(C844, "" ""),2))), index(split(C844, "" ""),1),"""")"),"February")</f>
        <v>February</v>
      </c>
      <c r="T844" s="38">
        <f>IFERROR(__xludf.DUMMYFUNCTION("if(S844="""",C844,if(not(iserror(index(split(C844, "" ""),3))), index(split(C844, "" ""),3),index(split(C844, "" ""),2)))"),2018.0)</f>
        <v>2018</v>
      </c>
      <c r="U844" s="38" t="b">
        <f t="shared" si="126"/>
        <v>0</v>
      </c>
      <c r="V844" s="38"/>
      <c r="W844" s="40"/>
      <c r="X844" s="40"/>
      <c r="Y844" s="40"/>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row>
    <row r="845">
      <c r="A845" s="87" t="s">
        <v>2670</v>
      </c>
      <c r="B845" s="59">
        <v>43424.0</v>
      </c>
      <c r="C845" s="59">
        <v>43153.0</v>
      </c>
      <c r="D845" s="60" t="s">
        <v>2574</v>
      </c>
      <c r="E845" s="58" t="s">
        <v>41</v>
      </c>
      <c r="F845" s="58">
        <v>1.0</v>
      </c>
      <c r="G845" s="58" t="s">
        <v>32</v>
      </c>
      <c r="H845" s="33">
        <f t="shared" si="129"/>
        <v>1</v>
      </c>
      <c r="I845" s="58" t="s">
        <v>33</v>
      </c>
      <c r="J845" s="58" t="s">
        <v>193</v>
      </c>
      <c r="K845" s="58">
        <v>2.0</v>
      </c>
      <c r="L845" s="58" t="s">
        <v>119</v>
      </c>
      <c r="M845" s="61" t="s">
        <v>2671</v>
      </c>
      <c r="N845" s="80"/>
      <c r="O845" s="88" t="str">
        <f>hyperlink("https://bad-boys.us/?q=D-NM/1:18-cr-00466", "D-NM 1:18-cr-00466")</f>
        <v>D-NM 1:18-cr-00466</v>
      </c>
      <c r="P845" s="88" t="s">
        <v>2672</v>
      </c>
      <c r="Q845" s="84">
        <v>1.0</v>
      </c>
      <c r="R845" s="62"/>
      <c r="S845" s="37" t="str">
        <f>IFERROR(__xludf.DUMMYFUNCTION("if(not(iserror(index(split(C845, "" ""),2))), index(split(C845, "" ""),1),"""")"),"February")</f>
        <v>February</v>
      </c>
      <c r="T845" s="38">
        <f>IFERROR(__xludf.DUMMYFUNCTION("if(S845="""",C845,if(not(iserror(index(split(C845, "" ""),3))), index(split(C845, "" ""),3),index(split(C845, "" ""),2)))"),2018.0)</f>
        <v>2018</v>
      </c>
      <c r="U845" s="38" t="b">
        <f t="shared" si="126"/>
        <v>0</v>
      </c>
      <c r="V845" s="38"/>
      <c r="W845" s="40"/>
      <c r="X845" s="40"/>
      <c r="Y845" s="40"/>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row>
    <row r="846">
      <c r="A846" s="13" t="s">
        <v>2673</v>
      </c>
      <c r="B846" s="30">
        <v>43154.0</v>
      </c>
      <c r="C846" s="30">
        <v>43154.0</v>
      </c>
      <c r="D846" s="32" t="s">
        <v>2674</v>
      </c>
      <c r="E846" s="13" t="s">
        <v>41</v>
      </c>
      <c r="F846" s="13">
        <v>1.0</v>
      </c>
      <c r="G846" s="13" t="s">
        <v>32</v>
      </c>
      <c r="H846" s="33">
        <f t="shared" si="129"/>
        <v>1</v>
      </c>
      <c r="I846" s="13" t="s">
        <v>33</v>
      </c>
      <c r="J846" s="13" t="s">
        <v>184</v>
      </c>
      <c r="K846" s="13">
        <v>1.0</v>
      </c>
      <c r="L846" s="13" t="s">
        <v>2675</v>
      </c>
      <c r="M846" s="35" t="s">
        <v>2676</v>
      </c>
      <c r="N846" s="15"/>
      <c r="O846" s="16"/>
      <c r="P846" s="16"/>
      <c r="Q846" s="16"/>
      <c r="R846" s="16"/>
      <c r="S846" s="37" t="str">
        <f>IFERROR(__xludf.DUMMYFUNCTION("if(not(iserror(index(split(C846, "" ""),2))), index(split(C846, "" ""),1),"""")"),"February")</f>
        <v>February</v>
      </c>
      <c r="T846" s="38">
        <f>IFERROR(__xludf.DUMMYFUNCTION("if(S846="""",C846,if(not(iserror(index(split(C846, "" ""),3))), index(split(C846, "" ""),3),index(split(C846, "" ""),2)))"),2018.0)</f>
        <v>2018</v>
      </c>
      <c r="U846" s="38" t="b">
        <f t="shared" si="126"/>
        <v>0</v>
      </c>
      <c r="V846" s="38"/>
      <c r="W846" s="40"/>
      <c r="X846" s="40"/>
      <c r="Y846" s="40"/>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row>
    <row r="847">
      <c r="A847" s="13" t="s">
        <v>239</v>
      </c>
      <c r="B847" s="30">
        <v>43154.0</v>
      </c>
      <c r="C847" s="30">
        <v>43154.0</v>
      </c>
      <c r="D847" s="32" t="s">
        <v>2674</v>
      </c>
      <c r="E847" s="13" t="s">
        <v>41</v>
      </c>
      <c r="F847" s="13">
        <v>1.0</v>
      </c>
      <c r="G847" s="13">
        <v>22.0</v>
      </c>
      <c r="H847" s="33">
        <f t="shared" si="129"/>
        <v>22</v>
      </c>
      <c r="I847" s="13" t="s">
        <v>33</v>
      </c>
      <c r="J847" s="13" t="s">
        <v>147</v>
      </c>
      <c r="K847" s="13">
        <v>1.0</v>
      </c>
      <c r="L847" s="13" t="s">
        <v>194</v>
      </c>
      <c r="M847" s="35" t="s">
        <v>2677</v>
      </c>
      <c r="N847" s="15"/>
      <c r="O847" s="16"/>
      <c r="P847" s="16"/>
      <c r="Q847" s="16"/>
      <c r="R847" s="16"/>
      <c r="S847" s="37" t="str">
        <f>IFERROR(__xludf.DUMMYFUNCTION("if(not(iserror(index(split(C847, "" ""),2))), index(split(C847, "" ""),1),"""")"),"February")</f>
        <v>February</v>
      </c>
      <c r="T847" s="38">
        <f>IFERROR(__xludf.DUMMYFUNCTION("if(S847="""",C847,if(not(iserror(index(split(C847, "" ""),3))), index(split(C847, "" ""),3),index(split(C847, "" ""),2)))"),2018.0)</f>
        <v>2018</v>
      </c>
      <c r="U847" s="38" t="b">
        <f t="shared" si="126"/>
        <v>1</v>
      </c>
      <c r="V847" s="38"/>
      <c r="W847" s="40"/>
      <c r="X847" s="40"/>
      <c r="Y847" s="40"/>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row>
    <row r="848">
      <c r="A848" s="13" t="s">
        <v>239</v>
      </c>
      <c r="B848" s="30">
        <v>43157.0</v>
      </c>
      <c r="C848" s="30">
        <v>43154.0</v>
      </c>
      <c r="D848" s="32" t="s">
        <v>2674</v>
      </c>
      <c r="E848" s="13" t="s">
        <v>41</v>
      </c>
      <c r="F848" s="13">
        <v>1.0</v>
      </c>
      <c r="G848" s="13">
        <v>17.0</v>
      </c>
      <c r="H848" s="33">
        <f t="shared" si="129"/>
        <v>17</v>
      </c>
      <c r="I848" s="13" t="s">
        <v>33</v>
      </c>
      <c r="J848" s="13" t="s">
        <v>147</v>
      </c>
      <c r="K848" s="13">
        <v>1.0</v>
      </c>
      <c r="L848" s="13" t="s">
        <v>194</v>
      </c>
      <c r="M848" s="35" t="s">
        <v>2678</v>
      </c>
      <c r="N848" s="15"/>
      <c r="O848" s="16"/>
      <c r="P848" s="16"/>
      <c r="Q848" s="16"/>
      <c r="R848" s="16"/>
      <c r="S848" s="37" t="str">
        <f>IFERROR(__xludf.DUMMYFUNCTION("if(not(iserror(index(split(C848, "" ""),2))), index(split(C848, "" ""),1),"""")"),"February")</f>
        <v>February</v>
      </c>
      <c r="T848" s="38">
        <f>IFERROR(__xludf.DUMMYFUNCTION("if(S848="""",C848,if(not(iserror(index(split(C848, "" ""),3))), index(split(C848, "" ""),3),index(split(C848, "" ""),2)))"),2018.0)</f>
        <v>2018</v>
      </c>
      <c r="U848" s="38" t="b">
        <f t="shared" si="126"/>
        <v>1</v>
      </c>
      <c r="V848" s="38"/>
      <c r="W848" s="40"/>
      <c r="X848" s="40"/>
      <c r="Y848" s="40"/>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row>
    <row r="849">
      <c r="A849" s="13" t="s">
        <v>239</v>
      </c>
      <c r="B849" s="30">
        <v>43158.0</v>
      </c>
      <c r="C849" s="30">
        <v>43154.0</v>
      </c>
      <c r="D849" s="32" t="s">
        <v>2674</v>
      </c>
      <c r="E849" s="13" t="s">
        <v>41</v>
      </c>
      <c r="F849" s="13">
        <v>2.0</v>
      </c>
      <c r="G849" s="13">
        <v>7.0</v>
      </c>
      <c r="H849" s="33">
        <f t="shared" si="129"/>
        <v>7</v>
      </c>
      <c r="I849" s="13" t="s">
        <v>33</v>
      </c>
      <c r="J849" s="13" t="s">
        <v>241</v>
      </c>
      <c r="K849" s="13">
        <v>2.0</v>
      </c>
      <c r="L849" s="13" t="s">
        <v>194</v>
      </c>
      <c r="M849" s="36" t="s">
        <v>2679</v>
      </c>
      <c r="N849" s="15"/>
      <c r="O849" s="37"/>
      <c r="P849" s="37"/>
      <c r="Q849" s="64"/>
      <c r="R849" s="16"/>
      <c r="S849" s="37" t="str">
        <f>IFERROR(__xludf.DUMMYFUNCTION("if(not(iserror(index(split(C849, "" ""),2))), index(split(C849, "" ""),1),"""")"),"February")</f>
        <v>February</v>
      </c>
      <c r="T849" s="38">
        <f>IFERROR(__xludf.DUMMYFUNCTION("if(S849="""",C849,if(not(iserror(index(split(C849, "" ""),3))), index(split(C849, "" ""),3),index(split(C849, "" ""),2)))"),2018.0)</f>
        <v>2018</v>
      </c>
      <c r="U849" s="38" t="b">
        <f t="shared" si="126"/>
        <v>1</v>
      </c>
      <c r="V849" s="38"/>
      <c r="W849" s="40"/>
      <c r="X849" s="40"/>
      <c r="Y849" s="40"/>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row>
    <row r="850">
      <c r="A850" s="13" t="s">
        <v>239</v>
      </c>
      <c r="B850" s="30">
        <v>43157.0</v>
      </c>
      <c r="C850" s="30">
        <v>43155.0</v>
      </c>
      <c r="D850" s="32" t="s">
        <v>2608</v>
      </c>
      <c r="E850" s="13" t="s">
        <v>41</v>
      </c>
      <c r="F850" s="13">
        <v>1.0</v>
      </c>
      <c r="G850" s="13">
        <v>2.0</v>
      </c>
      <c r="H850" s="33">
        <f t="shared" si="129"/>
        <v>2</v>
      </c>
      <c r="I850" s="13" t="s">
        <v>33</v>
      </c>
      <c r="J850" s="13" t="s">
        <v>241</v>
      </c>
      <c r="K850" s="13">
        <v>1.0</v>
      </c>
      <c r="L850" s="13" t="s">
        <v>194</v>
      </c>
      <c r="M850" s="35" t="s">
        <v>2680</v>
      </c>
      <c r="N850" s="15"/>
      <c r="O850" s="16"/>
      <c r="P850" s="16"/>
      <c r="Q850" s="16"/>
      <c r="R850" s="16"/>
      <c r="S850" s="37" t="str">
        <f>IFERROR(__xludf.DUMMYFUNCTION("if(not(iserror(index(split(C850, "" ""),2))), index(split(C850, "" ""),1),"""")"),"February")</f>
        <v>February</v>
      </c>
      <c r="T850" s="38">
        <f>IFERROR(__xludf.DUMMYFUNCTION("if(S850="""",C850,if(not(iserror(index(split(C850, "" ""),3))), index(split(C850, "" ""),3),index(split(C850, "" ""),2)))"),2018.0)</f>
        <v>2018</v>
      </c>
      <c r="U850" s="38" t="b">
        <f t="shared" si="126"/>
        <v>1</v>
      </c>
      <c r="V850" s="38"/>
      <c r="W850" s="40"/>
      <c r="X850" s="40"/>
      <c r="Y850" s="40"/>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row>
    <row r="851">
      <c r="A851" s="13" t="s">
        <v>2681</v>
      </c>
      <c r="B851" s="30">
        <v>43157.0</v>
      </c>
      <c r="C851" s="30">
        <v>43157.0</v>
      </c>
      <c r="D851" s="32" t="s">
        <v>2682</v>
      </c>
      <c r="E851" s="13" t="s">
        <v>31</v>
      </c>
      <c r="F851" s="13">
        <v>1.0</v>
      </c>
      <c r="G851" s="13" t="s">
        <v>32</v>
      </c>
      <c r="H851" s="33">
        <f t="shared" si="129"/>
        <v>1</v>
      </c>
      <c r="I851" s="13" t="s">
        <v>33</v>
      </c>
      <c r="J851" s="13" t="s">
        <v>42</v>
      </c>
      <c r="K851" s="13">
        <v>1.0</v>
      </c>
      <c r="L851" s="13" t="s">
        <v>2683</v>
      </c>
      <c r="M851" s="35" t="s">
        <v>2684</v>
      </c>
      <c r="N851" s="15"/>
      <c r="O851" s="16"/>
      <c r="P851" s="16"/>
      <c r="Q851" s="16"/>
      <c r="R851" s="16"/>
      <c r="S851" s="37" t="str">
        <f>IFERROR(__xludf.DUMMYFUNCTION("if(not(iserror(index(split(C851, "" ""),2))), index(split(C851, "" ""),1),"""")"),"February")</f>
        <v>February</v>
      </c>
      <c r="T851" s="38">
        <f>IFERROR(__xludf.DUMMYFUNCTION("if(S851="""",C851,if(not(iserror(index(split(C851, "" ""),3))), index(split(C851, "" ""),3),index(split(C851, "" ""),2)))"),2018.0)</f>
        <v>2018</v>
      </c>
      <c r="U851" s="38" t="b">
        <f t="shared" si="126"/>
        <v>0</v>
      </c>
      <c r="V851" s="38"/>
      <c r="W851" s="40"/>
      <c r="X851" s="40"/>
      <c r="Y851" s="40"/>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row>
    <row r="852">
      <c r="A852" s="87" t="s">
        <v>239</v>
      </c>
      <c r="B852" s="30">
        <v>43159.0</v>
      </c>
      <c r="C852" s="30">
        <v>43157.0</v>
      </c>
      <c r="D852" s="32" t="s">
        <v>2409</v>
      </c>
      <c r="E852" s="13" t="s">
        <v>41</v>
      </c>
      <c r="F852" s="13">
        <v>3.0</v>
      </c>
      <c r="G852" s="13">
        <v>9.0</v>
      </c>
      <c r="H852" s="33">
        <f t="shared" si="129"/>
        <v>9</v>
      </c>
      <c r="I852" s="13" t="s">
        <v>33</v>
      </c>
      <c r="J852" s="13" t="s">
        <v>241</v>
      </c>
      <c r="K852" s="13">
        <v>1.0</v>
      </c>
      <c r="L852" s="13" t="s">
        <v>194</v>
      </c>
      <c r="M852" s="35" t="s">
        <v>2685</v>
      </c>
      <c r="N852" s="14"/>
      <c r="O852" s="37"/>
      <c r="P852" s="37"/>
      <c r="Q852" s="64"/>
      <c r="R852" s="16"/>
      <c r="S852" s="37" t="str">
        <f>IFERROR(__xludf.DUMMYFUNCTION("if(not(iserror(index(split(C852, "" ""),2))), index(split(C852, "" ""),1),"""")"),"February")</f>
        <v>February</v>
      </c>
      <c r="T852" s="38">
        <f>IFERROR(__xludf.DUMMYFUNCTION("if(S852="""",C852,if(not(iserror(index(split(C852, "" ""),3))), index(split(C852, "" ""),3),index(split(C852, "" ""),2)))"),2018.0)</f>
        <v>2018</v>
      </c>
      <c r="U852" s="38" t="b">
        <f t="shared" si="126"/>
        <v>1</v>
      </c>
      <c r="V852" s="38"/>
      <c r="W852" s="40"/>
      <c r="X852" s="40"/>
      <c r="Y852" s="40"/>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row>
    <row r="853">
      <c r="A853" s="87" t="s">
        <v>2686</v>
      </c>
      <c r="B853" s="30"/>
      <c r="C853" s="30">
        <v>43157.0</v>
      </c>
      <c r="D853" s="32"/>
      <c r="E853" s="13" t="s">
        <v>41</v>
      </c>
      <c r="F853" s="13">
        <v>1.0</v>
      </c>
      <c r="G853" s="13">
        <v>1.0</v>
      </c>
      <c r="H853" s="43">
        <v>1.0</v>
      </c>
      <c r="I853" s="13" t="s">
        <v>33</v>
      </c>
      <c r="J853" s="13" t="s">
        <v>1184</v>
      </c>
      <c r="K853" s="13"/>
      <c r="L853" s="13" t="s">
        <v>790</v>
      </c>
      <c r="M853" s="56" t="s">
        <v>2687</v>
      </c>
      <c r="N853" s="14"/>
      <c r="O853" s="37"/>
      <c r="P853" s="37"/>
      <c r="Q853" s="37"/>
      <c r="R853" s="16"/>
      <c r="S853" s="37" t="str">
        <f>IFERROR(__xludf.DUMMYFUNCTION("if(not(iserror(index(split(C853, "" ""),2))), index(split(C853, "" ""),1),"""")"),"February")</f>
        <v>February</v>
      </c>
      <c r="T853" s="38">
        <f>IFERROR(__xludf.DUMMYFUNCTION("if(S853="""",C853,if(not(iserror(index(split(C853, "" ""),3))), index(split(C853, "" ""),3),index(split(C853, "" ""),2)))"),2018.0)</f>
        <v>2018</v>
      </c>
      <c r="U853" s="38" t="b">
        <f t="shared" si="126"/>
        <v>0</v>
      </c>
      <c r="V853" s="38" t="s">
        <v>33</v>
      </c>
      <c r="W853" s="40"/>
      <c r="X853" s="40"/>
      <c r="Y853" s="40"/>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row>
    <row r="854">
      <c r="A854" s="58" t="s">
        <v>2688</v>
      </c>
      <c r="B854" s="59">
        <v>43393.0</v>
      </c>
      <c r="C854" s="59">
        <v>43157.0</v>
      </c>
      <c r="D854" s="60" t="s">
        <v>2682</v>
      </c>
      <c r="E854" s="58" t="s">
        <v>41</v>
      </c>
      <c r="F854" s="58">
        <v>2.0</v>
      </c>
      <c r="G854" s="58" t="s">
        <v>32</v>
      </c>
      <c r="H854" s="33">
        <f t="shared" ref="H854:H857" si="130">if(G854="Unknown",1,G854)</f>
        <v>1</v>
      </c>
      <c r="I854" s="58" t="s">
        <v>33</v>
      </c>
      <c r="J854" s="58" t="s">
        <v>147</v>
      </c>
      <c r="K854" s="58">
        <v>3.0</v>
      </c>
      <c r="L854" s="58" t="s">
        <v>76</v>
      </c>
      <c r="M854" s="61" t="s">
        <v>2689</v>
      </c>
      <c r="N854" s="61" t="s">
        <v>2690</v>
      </c>
      <c r="O854" s="58"/>
      <c r="P854" s="58"/>
      <c r="Q854" s="84"/>
      <c r="R854" s="62"/>
      <c r="S854" s="37" t="str">
        <f>IFERROR(__xludf.DUMMYFUNCTION("if(not(iserror(index(split(C854, "" ""),2))), index(split(C854, "" ""),1),"""")"),"February")</f>
        <v>February</v>
      </c>
      <c r="T854" s="38">
        <f>IFERROR(__xludf.DUMMYFUNCTION("if(S854="""",C854,if(not(iserror(index(split(C854, "" ""),3))), index(split(C854, "" ""),3),index(split(C854, "" ""),2)))"),2018.0)</f>
        <v>2018</v>
      </c>
      <c r="U854" s="38" t="b">
        <f t="shared" si="126"/>
        <v>0</v>
      </c>
      <c r="V854" s="38"/>
      <c r="W854" s="40"/>
      <c r="X854" s="40"/>
      <c r="Y854" s="40"/>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row>
    <row r="855">
      <c r="A855" s="13" t="s">
        <v>2691</v>
      </c>
      <c r="B855" s="30">
        <v>43158.0</v>
      </c>
      <c r="C855" s="30">
        <v>43158.0</v>
      </c>
      <c r="D855" s="32" t="s">
        <v>2409</v>
      </c>
      <c r="E855" s="13" t="s">
        <v>41</v>
      </c>
      <c r="F855" s="13">
        <v>1.0</v>
      </c>
      <c r="G855" s="13" t="s">
        <v>32</v>
      </c>
      <c r="H855" s="33">
        <f t="shared" si="130"/>
        <v>1</v>
      </c>
      <c r="I855" s="13" t="s">
        <v>33</v>
      </c>
      <c r="J855" s="13" t="s">
        <v>93</v>
      </c>
      <c r="K855" s="13">
        <v>1.0</v>
      </c>
      <c r="L855" s="13" t="s">
        <v>2625</v>
      </c>
      <c r="M855" s="56" t="s">
        <v>2692</v>
      </c>
      <c r="N855" s="15"/>
      <c r="O855" s="86" t="str">
        <f>hyperlink("https://bad-boys.us/?q=ND-NY/1:18-cr-00396", "ND-NY 1:18-cr-00396")</f>
        <v>ND-NY 1:18-cr-00396</v>
      </c>
      <c r="P855" s="86" t="s">
        <v>2693</v>
      </c>
      <c r="Q855" s="37">
        <v>1.0</v>
      </c>
      <c r="R855" s="16"/>
      <c r="S855" s="37" t="str">
        <f>IFERROR(__xludf.DUMMYFUNCTION("if(not(iserror(index(split(C855, "" ""),2))), index(split(C855, "" ""),1),"""")"),"February")</f>
        <v>February</v>
      </c>
      <c r="T855" s="38">
        <f>IFERROR(__xludf.DUMMYFUNCTION("if(S855="""",C855,if(not(iserror(index(split(C855, "" ""),3))), index(split(C855, "" ""),3),index(split(C855, "" ""),2)))"),2018.0)</f>
        <v>2018</v>
      </c>
      <c r="U855" s="38" t="b">
        <f t="shared" si="126"/>
        <v>0</v>
      </c>
      <c r="V855" s="38" t="s">
        <v>33</v>
      </c>
      <c r="W855" s="40"/>
      <c r="X855" s="40"/>
      <c r="Y855" s="40"/>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row>
    <row r="856">
      <c r="A856" s="152" t="s">
        <v>2694</v>
      </c>
      <c r="B856" s="153">
        <v>43159.0</v>
      </c>
      <c r="C856" s="153">
        <v>43159.0</v>
      </c>
      <c r="D856" s="154" t="s">
        <v>302</v>
      </c>
      <c r="E856" s="155" t="s">
        <v>41</v>
      </c>
      <c r="F856" s="152">
        <v>3.0</v>
      </c>
      <c r="G856" s="152" t="s">
        <v>32</v>
      </c>
      <c r="H856" s="33">
        <f t="shared" si="130"/>
        <v>1</v>
      </c>
      <c r="I856" s="152" t="s">
        <v>33</v>
      </c>
      <c r="J856" s="152" t="s">
        <v>162</v>
      </c>
      <c r="K856" s="152">
        <v>1.0</v>
      </c>
      <c r="L856" s="152" t="s">
        <v>35</v>
      </c>
      <c r="M856" s="158" t="s">
        <v>2695</v>
      </c>
      <c r="N856" s="162" t="s">
        <v>2696</v>
      </c>
      <c r="O856" s="86" t="str">
        <f>hyperlink("https://bad-boys.us/?q=D-KS/6:18-cr-10027", "D-KS 6:18-cr-10027")</f>
        <v>D-KS 6:18-cr-10027</v>
      </c>
      <c r="P856" s="86" t="s">
        <v>2697</v>
      </c>
      <c r="Q856" s="37">
        <v>1.0</v>
      </c>
      <c r="R856" s="16"/>
      <c r="S856" s="37" t="str">
        <f>IFERROR(__xludf.DUMMYFUNCTION("if(not(iserror(index(split(C856, "" ""),2))), index(split(C856, "" ""),1),"""")"),"February")</f>
        <v>February</v>
      </c>
      <c r="T856" s="38">
        <f>IFERROR(__xludf.DUMMYFUNCTION("if(S856="""",C856,if(not(iserror(index(split(C856, "" ""),3))), index(split(C856, "" ""),3),index(split(C856, "" ""),2)))"),2018.0)</f>
        <v>2018</v>
      </c>
      <c r="U856" s="38" t="b">
        <f t="shared" si="126"/>
        <v>0</v>
      </c>
      <c r="V856" s="38" t="s">
        <v>33</v>
      </c>
      <c r="W856" s="40"/>
      <c r="X856" s="40"/>
      <c r="Y856" s="40"/>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row>
    <row r="857">
      <c r="A857" s="87" t="s">
        <v>2698</v>
      </c>
      <c r="B857" s="30">
        <v>43160.0</v>
      </c>
      <c r="C857" s="30">
        <v>43159.0</v>
      </c>
      <c r="D857" s="32" t="s">
        <v>302</v>
      </c>
      <c r="E857" s="13" t="s">
        <v>31</v>
      </c>
      <c r="F857" s="13">
        <v>1.0</v>
      </c>
      <c r="G857" s="13" t="s">
        <v>32</v>
      </c>
      <c r="H857" s="33">
        <f t="shared" si="130"/>
        <v>1</v>
      </c>
      <c r="I857" s="13" t="s">
        <v>33</v>
      </c>
      <c r="J857" s="13" t="s">
        <v>47</v>
      </c>
      <c r="K857" s="13">
        <v>1.0</v>
      </c>
      <c r="L857" s="13" t="s">
        <v>119</v>
      </c>
      <c r="M857" s="35" t="s">
        <v>2699</v>
      </c>
      <c r="N857" s="36" t="s">
        <v>2700</v>
      </c>
      <c r="O857" s="86" t="str">
        <f>hyperlink("https://bad-boys.us/?q=MD-FL/6:18-cr-00071", "MD-FL 6:18-cr-00071")</f>
        <v>MD-FL 6:18-cr-00071</v>
      </c>
      <c r="P857" s="86" t="s">
        <v>2701</v>
      </c>
      <c r="Q857" s="64">
        <v>1.0</v>
      </c>
      <c r="R857" s="16"/>
      <c r="S857" s="37" t="str">
        <f>IFERROR(__xludf.DUMMYFUNCTION("if(not(iserror(index(split(C857, "" ""),2))), index(split(C857, "" ""),1),"""")"),"February")</f>
        <v>February</v>
      </c>
      <c r="T857" s="38">
        <f>IFERROR(__xludf.DUMMYFUNCTION("if(S857="""",C857,if(not(iserror(index(split(C857, "" ""),3))), index(split(C857, "" ""),3),index(split(C857, "" ""),2)))"),2018.0)</f>
        <v>2018</v>
      </c>
      <c r="U857" s="38" t="b">
        <f t="shared" si="126"/>
        <v>0</v>
      </c>
      <c r="V857" s="38"/>
      <c r="W857" s="40"/>
      <c r="X857" s="40"/>
      <c r="Y857" s="40"/>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row>
    <row r="858">
      <c r="A858" s="13" t="s">
        <v>2702</v>
      </c>
      <c r="B858" s="30">
        <v>43178.0</v>
      </c>
      <c r="C858" s="30">
        <v>43159.0</v>
      </c>
      <c r="D858" s="32" t="s">
        <v>302</v>
      </c>
      <c r="E858" s="13" t="s">
        <v>41</v>
      </c>
      <c r="F858" s="13">
        <v>1.0</v>
      </c>
      <c r="G858" s="13" t="s">
        <v>32</v>
      </c>
      <c r="H858" s="50">
        <v>1.0</v>
      </c>
      <c r="I858" s="13" t="s">
        <v>33</v>
      </c>
      <c r="J858" s="13" t="s">
        <v>124</v>
      </c>
      <c r="K858" s="13">
        <v>2.0</v>
      </c>
      <c r="L858" s="13" t="s">
        <v>76</v>
      </c>
      <c r="M858" s="35" t="s">
        <v>2703</v>
      </c>
      <c r="N858" s="36" t="s">
        <v>2704</v>
      </c>
      <c r="O858" s="86" t="str">
        <f>hyperlink("https://bad-boys.us/?q=SD-OH/3:18-cr-00034", "SD-OH 3:18-cr-00034")</f>
        <v>SD-OH 3:18-cr-00034</v>
      </c>
      <c r="P858" s="86" t="s">
        <v>2705</v>
      </c>
      <c r="Q858" s="37">
        <v>1.0</v>
      </c>
      <c r="R858" s="16"/>
      <c r="S858" s="37" t="str">
        <f>IFERROR(__xludf.DUMMYFUNCTION("if(not(iserror(index(split(C858, "" ""),2))), index(split(C858, "" ""),1),"""")"),"February")</f>
        <v>February</v>
      </c>
      <c r="T858" s="38">
        <f>IFERROR(__xludf.DUMMYFUNCTION("if(S858="""",C858,if(not(iserror(index(split(C858, "" ""),3))), index(split(C858, "" ""),3),index(split(C858, "" ""),2)))"),2018.0)</f>
        <v>2018</v>
      </c>
      <c r="U858" s="38" t="b">
        <f t="shared" si="126"/>
        <v>0</v>
      </c>
      <c r="V858" s="38"/>
      <c r="W858" s="40"/>
      <c r="X858" s="40"/>
      <c r="Y858" s="40"/>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row>
    <row r="859">
      <c r="A859" s="58" t="s">
        <v>2706</v>
      </c>
      <c r="B859" s="59">
        <v>43160.0</v>
      </c>
      <c r="C859" s="59">
        <v>43159.0</v>
      </c>
      <c r="D859" s="60" t="s">
        <v>302</v>
      </c>
      <c r="E859" s="58" t="s">
        <v>41</v>
      </c>
      <c r="F859" s="58">
        <v>1.0</v>
      </c>
      <c r="G859" s="58">
        <v>1.0</v>
      </c>
      <c r="H859" s="43">
        <v>1.0</v>
      </c>
      <c r="I859" s="58" t="s">
        <v>33</v>
      </c>
      <c r="J859" s="58" t="s">
        <v>93</v>
      </c>
      <c r="K859" s="58">
        <v>2.0</v>
      </c>
      <c r="L859" s="58" t="s">
        <v>2707</v>
      </c>
      <c r="M859" s="80" t="s">
        <v>2708</v>
      </c>
      <c r="N859" s="202"/>
      <c r="O859" s="83" t="str">
        <f>hyperlink("https://bad-boys.us/?q=ND-NY/5:18-mj-00111", "ND-NY 5:18-mj-00111")</f>
        <v>ND-NY 5:18-mj-00111</v>
      </c>
      <c r="P859" s="88" t="s">
        <v>2709</v>
      </c>
      <c r="Q859" s="84">
        <v>1.0</v>
      </c>
      <c r="R859" s="84"/>
      <c r="S859" s="37" t="s">
        <v>2710</v>
      </c>
      <c r="T859" s="38">
        <v>2018.0</v>
      </c>
      <c r="U859" s="38" t="b">
        <f t="shared" si="126"/>
        <v>0</v>
      </c>
      <c r="V859" s="38"/>
      <c r="W859" s="40"/>
      <c r="X859" s="40"/>
      <c r="Y859" s="40"/>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row>
    <row r="860">
      <c r="A860" s="58" t="s">
        <v>2711</v>
      </c>
      <c r="B860" s="59">
        <v>43342.0</v>
      </c>
      <c r="C860" s="59">
        <v>43159.0</v>
      </c>
      <c r="D860" s="60" t="s">
        <v>302</v>
      </c>
      <c r="E860" s="58" t="s">
        <v>31</v>
      </c>
      <c r="F860" s="58">
        <v>1.0</v>
      </c>
      <c r="G860" s="58" t="s">
        <v>32</v>
      </c>
      <c r="H860" s="33">
        <f>if(G860="Unknown",1,G860)</f>
        <v>1</v>
      </c>
      <c r="I860" s="58" t="s">
        <v>33</v>
      </c>
      <c r="J860" s="58" t="s">
        <v>47</v>
      </c>
      <c r="K860" s="58" t="s">
        <v>32</v>
      </c>
      <c r="L860" s="58" t="s">
        <v>35</v>
      </c>
      <c r="M860" s="61" t="s">
        <v>2712</v>
      </c>
      <c r="N860" s="77"/>
      <c r="O860" s="62"/>
      <c r="P860" s="62"/>
      <c r="Q860" s="62"/>
      <c r="R860" s="62"/>
      <c r="S860" s="37" t="str">
        <f>IFERROR(__xludf.DUMMYFUNCTION("if(not(iserror(index(split(C860, "" ""),2))), index(split(C860, "" ""),1),"""")"),"February")</f>
        <v>February</v>
      </c>
      <c r="T860" s="38">
        <f>IFERROR(__xludf.DUMMYFUNCTION("if(S860="""",C860,if(not(iserror(index(split(C860, "" ""),3))), index(split(C860, "" ""),3),index(split(C860, "" ""),2)))"),2018.0)</f>
        <v>2018</v>
      </c>
      <c r="U860" s="38" t="b">
        <f t="shared" si="126"/>
        <v>0</v>
      </c>
      <c r="V860" s="38"/>
      <c r="W860" s="40"/>
      <c r="X860" s="40"/>
      <c r="Y860" s="40"/>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row>
    <row r="861">
      <c r="A861" s="58" t="s">
        <v>2713</v>
      </c>
      <c r="B861" s="59"/>
      <c r="C861" s="79">
        <v>43160.0</v>
      </c>
      <c r="D861" s="60"/>
      <c r="E861" s="58" t="s">
        <v>31</v>
      </c>
      <c r="F861" s="58">
        <v>1.0</v>
      </c>
      <c r="G861" s="58" t="s">
        <v>32</v>
      </c>
      <c r="H861" s="43">
        <v>1.0</v>
      </c>
      <c r="I861" s="58" t="s">
        <v>33</v>
      </c>
      <c r="J861" s="58" t="s">
        <v>124</v>
      </c>
      <c r="K861" s="58"/>
      <c r="L861" s="58" t="s">
        <v>76</v>
      </c>
      <c r="M861" s="80" t="s">
        <v>2714</v>
      </c>
      <c r="N861" s="61" t="s">
        <v>2715</v>
      </c>
      <c r="O861" s="83" t="str">
        <f>hyperlink("https://bad-boys.us/?q=SD-OH/3:18-cr-00044", "SD-OH 3:18-cr-00044")</f>
        <v>SD-OH 3:18-cr-00044</v>
      </c>
      <c r="P861" s="88" t="s">
        <v>2716</v>
      </c>
      <c r="Q861" s="58">
        <v>1.0</v>
      </c>
      <c r="R861" s="62"/>
      <c r="S861" s="37"/>
      <c r="T861" s="38"/>
      <c r="U861" s="38" t="b">
        <f t="shared" si="126"/>
        <v>1</v>
      </c>
      <c r="V861" s="38" t="s">
        <v>33</v>
      </c>
      <c r="W861" s="39" t="s">
        <v>2717</v>
      </c>
      <c r="X861" s="39" t="s">
        <v>2718</v>
      </c>
      <c r="Y861" s="40"/>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row>
    <row r="862">
      <c r="A862" s="58" t="s">
        <v>2719</v>
      </c>
      <c r="B862" s="59"/>
      <c r="C862" s="79">
        <v>43160.0</v>
      </c>
      <c r="D862" s="60"/>
      <c r="E862" s="58" t="s">
        <v>41</v>
      </c>
      <c r="F862" s="58">
        <v>1.0</v>
      </c>
      <c r="G862" s="58">
        <v>1.0</v>
      </c>
      <c r="H862" s="43">
        <v>1.0</v>
      </c>
      <c r="I862" s="58" t="s">
        <v>33</v>
      </c>
      <c r="J862" s="58" t="s">
        <v>283</v>
      </c>
      <c r="K862" s="58"/>
      <c r="L862" s="58" t="s">
        <v>2720</v>
      </c>
      <c r="M862" s="61" t="s">
        <v>2721</v>
      </c>
      <c r="N862" s="80"/>
      <c r="O862" s="62"/>
      <c r="P862" s="58"/>
      <c r="Q862" s="58"/>
      <c r="R862" s="62"/>
      <c r="S862" s="37"/>
      <c r="T862" s="38"/>
      <c r="U862" s="38" t="b">
        <f t="shared" si="126"/>
        <v>0</v>
      </c>
      <c r="V862" s="38" t="s">
        <v>33</v>
      </c>
      <c r="W862" s="40"/>
      <c r="X862" s="40"/>
      <c r="Y862" s="40"/>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row>
    <row r="863">
      <c r="A863" s="13" t="s">
        <v>2722</v>
      </c>
      <c r="B863" s="30">
        <v>43174.0</v>
      </c>
      <c r="C863" s="31">
        <v>43160.0</v>
      </c>
      <c r="D863" s="32" t="s">
        <v>2723</v>
      </c>
      <c r="E863" s="13" t="s">
        <v>41</v>
      </c>
      <c r="F863" s="13">
        <v>1.0</v>
      </c>
      <c r="G863" s="13" t="s">
        <v>32</v>
      </c>
      <c r="H863" s="33">
        <f t="shared" ref="H863:H865" si="131">if(G863="Unknown",1,G863)</f>
        <v>1</v>
      </c>
      <c r="I863" s="13" t="s">
        <v>33</v>
      </c>
      <c r="J863" s="13" t="s">
        <v>115</v>
      </c>
      <c r="K863" s="13">
        <v>2.0</v>
      </c>
      <c r="L863" s="13" t="s">
        <v>119</v>
      </c>
      <c r="M863" s="56" t="s">
        <v>2724</v>
      </c>
      <c r="N863" s="15"/>
      <c r="O863" s="57" t="str">
        <f>hyperlink("https://bad-boys.us/?q=MD-PA/1:18-cr-00092", "MD-PA 1:18-cr-00092")</f>
        <v>MD-PA 1:18-cr-00092</v>
      </c>
      <c r="P863" s="86" t="s">
        <v>2725</v>
      </c>
      <c r="Q863" s="37">
        <v>1.0</v>
      </c>
      <c r="R863" s="16"/>
      <c r="S863" s="37" t="str">
        <f>IFERROR(__xludf.DUMMYFUNCTION("if(not(iserror(index(split(C863, "" ""),2))), index(split(C863, "" ""),1),"""")"),"March,")</f>
        <v>March,</v>
      </c>
      <c r="T863" s="38">
        <f>IFERROR(__xludf.DUMMYFUNCTION("if(S863="""",C863,if(not(iserror(index(split(C863, "" ""),3))), index(split(C863, "" ""),3),index(split(C863, "" ""),2)))"),2018.0)</f>
        <v>2018</v>
      </c>
      <c r="U863" s="38" t="b">
        <f t="shared" si="126"/>
        <v>0</v>
      </c>
      <c r="V863" s="38" t="s">
        <v>33</v>
      </c>
      <c r="W863" s="40"/>
      <c r="X863" s="40"/>
      <c r="Y863" s="40"/>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row>
    <row r="864">
      <c r="A864" s="13" t="s">
        <v>2726</v>
      </c>
      <c r="B864" s="30">
        <v>43174.0</v>
      </c>
      <c r="C864" s="31">
        <v>43160.0</v>
      </c>
      <c r="D864" s="32" t="s">
        <v>2723</v>
      </c>
      <c r="E864" s="13" t="s">
        <v>41</v>
      </c>
      <c r="F864" s="13">
        <v>1.0</v>
      </c>
      <c r="G864" s="13" t="s">
        <v>32</v>
      </c>
      <c r="H864" s="33">
        <f t="shared" si="131"/>
        <v>1</v>
      </c>
      <c r="I864" s="13" t="s">
        <v>33</v>
      </c>
      <c r="J864" s="13" t="s">
        <v>124</v>
      </c>
      <c r="K864" s="13">
        <v>1.0</v>
      </c>
      <c r="L864" s="13" t="s">
        <v>69</v>
      </c>
      <c r="M864" s="35" t="s">
        <v>2727</v>
      </c>
      <c r="N864" s="15"/>
      <c r="O864" s="57" t="str">
        <f>hyperlink("https://bad-boys.us/?q=ND-OH/1:18-cr-00130", "ND-OH 1:18-cr-00130")</f>
        <v>ND-OH 1:18-cr-00130</v>
      </c>
      <c r="P864" s="86" t="s">
        <v>2728</v>
      </c>
      <c r="Q864" s="37">
        <v>1.0</v>
      </c>
      <c r="R864" s="16"/>
      <c r="S864" s="37" t="str">
        <f>IFERROR(__xludf.DUMMYFUNCTION("if(not(iserror(index(split(C864, "" ""),2))), index(split(C864, "" ""),1),"""")"),"March,")</f>
        <v>March,</v>
      </c>
      <c r="T864" s="38">
        <f>IFERROR(__xludf.DUMMYFUNCTION("if(S864="""",C864,if(not(iserror(index(split(C864, "" ""),3))), index(split(C864, "" ""),3),index(split(C864, "" ""),2)))"),2018.0)</f>
        <v>2018</v>
      </c>
      <c r="U864" s="38" t="b">
        <f t="shared" si="126"/>
        <v>0</v>
      </c>
      <c r="V864" s="38"/>
      <c r="W864" s="40"/>
      <c r="X864" s="40"/>
      <c r="Y864" s="40"/>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row>
    <row r="865">
      <c r="A865" s="13" t="s">
        <v>2729</v>
      </c>
      <c r="B865" s="30">
        <v>43174.0</v>
      </c>
      <c r="C865" s="31">
        <v>43160.0</v>
      </c>
      <c r="D865" s="32" t="s">
        <v>2723</v>
      </c>
      <c r="E865" s="13" t="s">
        <v>41</v>
      </c>
      <c r="F865" s="13">
        <v>1.0</v>
      </c>
      <c r="G865" s="13" t="s">
        <v>32</v>
      </c>
      <c r="H865" s="33">
        <f t="shared" si="131"/>
        <v>1</v>
      </c>
      <c r="I865" s="13" t="s">
        <v>33</v>
      </c>
      <c r="J865" s="13" t="s">
        <v>124</v>
      </c>
      <c r="K865" s="13">
        <v>2.0</v>
      </c>
      <c r="L865" s="13" t="s">
        <v>69</v>
      </c>
      <c r="M865" s="35" t="s">
        <v>2727</v>
      </c>
      <c r="N865" s="15"/>
      <c r="O865" s="57" t="str">
        <f>hyperlink("https://bad-boys.us/?q=ND-OH/1:18-cr-00131", "ND-OH 1:18-cr-00131")</f>
        <v>ND-OH 1:18-cr-00131</v>
      </c>
      <c r="P865" s="86" t="s">
        <v>2730</v>
      </c>
      <c r="Q865" s="37">
        <v>1.0</v>
      </c>
      <c r="R865" s="16"/>
      <c r="S865" s="37" t="str">
        <f>IFERROR(__xludf.DUMMYFUNCTION("if(not(iserror(index(split(C865, "" ""),2))), index(split(C865, "" ""),1),"""")"),"March,")</f>
        <v>March,</v>
      </c>
      <c r="T865" s="38">
        <f>IFERROR(__xludf.DUMMYFUNCTION("if(S865="""",C865,if(not(iserror(index(split(C865, "" ""),3))), index(split(C865, "" ""),3),index(split(C865, "" ""),2)))"),2018.0)</f>
        <v>2018</v>
      </c>
      <c r="U865" s="38" t="b">
        <f t="shared" si="126"/>
        <v>0</v>
      </c>
      <c r="V865" s="38"/>
      <c r="W865" s="40"/>
      <c r="X865" s="40"/>
      <c r="Y865" s="40"/>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row>
    <row r="866">
      <c r="A866" s="13" t="s">
        <v>2731</v>
      </c>
      <c r="B866" s="30"/>
      <c r="C866" s="31">
        <v>43160.0</v>
      </c>
      <c r="D866" s="32"/>
      <c r="E866" s="13" t="s">
        <v>31</v>
      </c>
      <c r="F866" s="13">
        <v>2.0</v>
      </c>
      <c r="G866" s="13">
        <v>1.0</v>
      </c>
      <c r="H866" s="43">
        <v>1.0</v>
      </c>
      <c r="I866" s="13" t="s">
        <v>33</v>
      </c>
      <c r="J866" s="13" t="s">
        <v>433</v>
      </c>
      <c r="K866" s="13"/>
      <c r="L866" s="13" t="s">
        <v>35</v>
      </c>
      <c r="M866" s="35" t="s">
        <v>2732</v>
      </c>
      <c r="N866" s="36" t="s">
        <v>2733</v>
      </c>
      <c r="O866" s="57" t="str">
        <f>hyperlink("https://bad-boys.us/?q=D-MN/0:18-cr-00133", "D-MN 0:18-cr-00133 ❓")</f>
        <v>D-MN 0:18-cr-00133 ❓</v>
      </c>
      <c r="P866" s="86" t="s">
        <v>2734</v>
      </c>
      <c r="Q866" s="64">
        <v>1.0</v>
      </c>
      <c r="R866" s="16"/>
      <c r="S866" s="37" t="str">
        <f>IFERROR(__xludf.DUMMYFUNCTION("if(not(iserror(index(split(C866, "" ""),2))), index(split(C866, "" ""),1),"""")"),"March,")</f>
        <v>March,</v>
      </c>
      <c r="T866" s="38">
        <f>IFERROR(__xludf.DUMMYFUNCTION("if(S866="""",C866,if(not(iserror(index(split(C866, "" ""),3))), index(split(C866, "" ""),3),index(split(C866, "" ""),2)))"),2018.0)</f>
        <v>2018</v>
      </c>
      <c r="U866" s="38" t="b">
        <f t="shared" si="126"/>
        <v>0</v>
      </c>
      <c r="V866" s="38" t="s">
        <v>33</v>
      </c>
      <c r="W866" s="39" t="s">
        <v>2735</v>
      </c>
      <c r="X866" s="39" t="s">
        <v>2736</v>
      </c>
      <c r="Y866" s="40"/>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row>
    <row r="867">
      <c r="A867" s="13" t="s">
        <v>2737</v>
      </c>
      <c r="B867" s="30"/>
      <c r="C867" s="31">
        <v>43160.0</v>
      </c>
      <c r="D867" s="32"/>
      <c r="E867" s="13" t="s">
        <v>41</v>
      </c>
      <c r="F867" s="13">
        <v>1.0</v>
      </c>
      <c r="G867" s="13">
        <v>6.0</v>
      </c>
      <c r="H867" s="43">
        <v>6.0</v>
      </c>
      <c r="I867" s="13" t="s">
        <v>33</v>
      </c>
      <c r="J867" s="13" t="s">
        <v>75</v>
      </c>
      <c r="K867" s="13"/>
      <c r="L867" s="13" t="s">
        <v>119</v>
      </c>
      <c r="M867" s="35" t="s">
        <v>2738</v>
      </c>
      <c r="N867" s="15"/>
      <c r="O867" s="57" t="str">
        <f>hyperlink("https://bad-boys.us/?q=WD-KY/1:18-cr-00009", "WD-KY 1:18-cr-00009")</f>
        <v>WD-KY 1:18-cr-00009</v>
      </c>
      <c r="P867" s="86" t="s">
        <v>2739</v>
      </c>
      <c r="Q867" s="37">
        <v>1.0</v>
      </c>
      <c r="R867" s="16"/>
      <c r="S867" s="37" t="str">
        <f>IFERROR(__xludf.DUMMYFUNCTION("if(not(iserror(index(split(C867, "" ""),2))), index(split(C867, "" ""),1),"""")"),"March,")</f>
        <v>March,</v>
      </c>
      <c r="T867" s="38">
        <f>IFERROR(__xludf.DUMMYFUNCTION("if(S867="""",C867,if(not(iserror(index(split(C867, "" ""),3))), index(split(C867, "" ""),3),index(split(C867, "" ""),2)))"),2018.0)</f>
        <v>2018</v>
      </c>
      <c r="U867" s="38" t="b">
        <f t="shared" si="126"/>
        <v>0</v>
      </c>
      <c r="V867" s="38" t="s">
        <v>33</v>
      </c>
      <c r="W867" s="40"/>
      <c r="X867" s="40"/>
      <c r="Y867" s="40"/>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row>
    <row r="868">
      <c r="A868" s="13" t="s">
        <v>2740</v>
      </c>
      <c r="B868" s="92"/>
      <c r="C868" s="31">
        <v>43160.0</v>
      </c>
      <c r="D868" s="93"/>
      <c r="E868" s="94" t="s">
        <v>41</v>
      </c>
      <c r="F868" s="94">
        <v>1.0</v>
      </c>
      <c r="G868" s="94" t="s">
        <v>32</v>
      </c>
      <c r="H868" s="33">
        <v>1.0</v>
      </c>
      <c r="I868" s="94" t="s">
        <v>33</v>
      </c>
      <c r="J868" s="94" t="s">
        <v>93</v>
      </c>
      <c r="K868" s="94"/>
      <c r="L868" s="94" t="s">
        <v>76</v>
      </c>
      <c r="M868" s="203" t="s">
        <v>2741</v>
      </c>
      <c r="N868" s="15"/>
      <c r="O868" s="16"/>
      <c r="P868" s="16"/>
      <c r="Q868" s="37">
        <v>1.0</v>
      </c>
      <c r="R868" s="16"/>
      <c r="S868" s="37" t="str">
        <f>IFERROR(__xludf.DUMMYFUNCTION("if(not(iserror(index(split(C868, "" ""),2))), index(split(C868, "" ""),1),"""")"),"March,")</f>
        <v>March,</v>
      </c>
      <c r="T868" s="38">
        <f>IFERROR(__xludf.DUMMYFUNCTION("if(S868="""",C868,if(not(iserror(index(split(C868, "" ""),3))), index(split(C868, "" ""),3),index(split(C868, "" ""),2)))"),2018.0)</f>
        <v>2018</v>
      </c>
      <c r="U868" s="38" t="b">
        <f t="shared" si="126"/>
        <v>0</v>
      </c>
      <c r="V868" s="96" t="s">
        <v>33</v>
      </c>
      <c r="W868" s="97"/>
      <c r="X868" s="97"/>
      <c r="Y868" s="97"/>
      <c r="Z868" s="96"/>
      <c r="AA868" s="96"/>
      <c r="AB868" s="96"/>
      <c r="AC868" s="96"/>
      <c r="AD868" s="96"/>
      <c r="AE868" s="96"/>
      <c r="AF868" s="96"/>
      <c r="AG868" s="96"/>
      <c r="AH868" s="96"/>
      <c r="AI868" s="96"/>
      <c r="AJ868" s="96"/>
      <c r="AK868" s="96"/>
      <c r="AL868" s="96"/>
      <c r="AM868" s="96"/>
      <c r="AN868" s="96"/>
      <c r="AO868" s="96"/>
      <c r="AP868" s="96"/>
      <c r="AQ868" s="96"/>
      <c r="AR868" s="96"/>
      <c r="AS868" s="96"/>
      <c r="AT868" s="96"/>
      <c r="AU868" s="96"/>
      <c r="AV868" s="96"/>
      <c r="AW868" s="96"/>
      <c r="AX868" s="96"/>
      <c r="AY868" s="96"/>
      <c r="AZ868" s="96"/>
      <c r="BA868" s="96"/>
      <c r="BB868" s="96"/>
      <c r="BC868" s="96"/>
      <c r="BD868" s="96"/>
      <c r="BE868" s="96"/>
      <c r="BF868" s="96"/>
      <c r="BG868" s="96"/>
      <c r="BH868" s="96"/>
      <c r="BI868" s="96"/>
      <c r="BJ868" s="96"/>
      <c r="BK868" s="96"/>
      <c r="BL868" s="96"/>
      <c r="BM868" s="96"/>
      <c r="BN868" s="96"/>
      <c r="BO868" s="96"/>
      <c r="BP868" s="96"/>
      <c r="BQ868" s="96"/>
    </row>
    <row r="869">
      <c r="A869" s="13" t="s">
        <v>2742</v>
      </c>
      <c r="B869" s="30"/>
      <c r="C869" s="31">
        <v>43160.0</v>
      </c>
      <c r="D869" s="32"/>
      <c r="E869" s="13" t="s">
        <v>41</v>
      </c>
      <c r="F869" s="13">
        <v>1.0</v>
      </c>
      <c r="G869" s="13" t="s">
        <v>32</v>
      </c>
      <c r="H869" s="43">
        <v>1.0</v>
      </c>
      <c r="I869" s="13" t="s">
        <v>33</v>
      </c>
      <c r="J869" s="13" t="s">
        <v>283</v>
      </c>
      <c r="K869" s="13"/>
      <c r="L869" s="13" t="s">
        <v>119</v>
      </c>
      <c r="M869" s="56" t="s">
        <v>2743</v>
      </c>
      <c r="N869" s="15"/>
      <c r="O869" s="57" t="str">
        <f>hyperlink("https://bad-boys.us/?q=D-NV/2:18-cr-00062", "D-NV 2:18-cr-00062")</f>
        <v>D-NV 2:18-cr-00062</v>
      </c>
      <c r="P869" s="86" t="s">
        <v>2744</v>
      </c>
      <c r="Q869" s="37">
        <v>1.0</v>
      </c>
      <c r="R869" s="16"/>
      <c r="S869" s="37" t="str">
        <f>IFERROR(__xludf.DUMMYFUNCTION("if(not(iserror(index(split(C869, "" ""),2))), index(split(C869, "" ""),1),"""")"),"March,")</f>
        <v>March,</v>
      </c>
      <c r="T869" s="38">
        <f>IFERROR(__xludf.DUMMYFUNCTION("if(S869="""",C869,if(not(iserror(index(split(C869, "" ""),3))), index(split(C869, "" ""),3),index(split(C869, "" ""),2)))"),2018.0)</f>
        <v>2018</v>
      </c>
      <c r="U869" s="38" t="b">
        <f t="shared" si="126"/>
        <v>0</v>
      </c>
      <c r="V869" s="38" t="s">
        <v>33</v>
      </c>
      <c r="W869" s="40"/>
      <c r="X869" s="40"/>
      <c r="Y869" s="40"/>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row>
    <row r="870">
      <c r="A870" s="13" t="s">
        <v>2745</v>
      </c>
      <c r="B870" s="30">
        <v>43174.0</v>
      </c>
      <c r="C870" s="31">
        <v>43160.0</v>
      </c>
      <c r="D870" s="32" t="s">
        <v>2723</v>
      </c>
      <c r="E870" s="13" t="s">
        <v>41</v>
      </c>
      <c r="F870" s="13">
        <v>1.0</v>
      </c>
      <c r="G870" s="13" t="s">
        <v>32</v>
      </c>
      <c r="H870" s="33">
        <f t="shared" ref="H870:H876" si="132">if(G870="Unknown",1,G870)</f>
        <v>1</v>
      </c>
      <c r="I870" s="13" t="s">
        <v>33</v>
      </c>
      <c r="J870" s="13" t="s">
        <v>93</v>
      </c>
      <c r="K870" s="13">
        <v>2.0</v>
      </c>
      <c r="L870" s="13" t="s">
        <v>871</v>
      </c>
      <c r="M870" s="35" t="s">
        <v>2746</v>
      </c>
      <c r="N870" s="15"/>
      <c r="O870" s="16"/>
      <c r="P870" s="16"/>
      <c r="Q870" s="16"/>
      <c r="R870" s="16"/>
      <c r="S870" s="37" t="str">
        <f>IFERROR(__xludf.DUMMYFUNCTION("if(not(iserror(index(split(C870, "" ""),2))), index(split(C870, "" ""),1),"""")"),"March,")</f>
        <v>March,</v>
      </c>
      <c r="T870" s="38">
        <f>IFERROR(__xludf.DUMMYFUNCTION("if(S870="""",C870,if(not(iserror(index(split(C870, "" ""),3))), index(split(C870, "" ""),3),index(split(C870, "" ""),2)))"),2018.0)</f>
        <v>2018</v>
      </c>
      <c r="U870" s="38" t="b">
        <f t="shared" si="126"/>
        <v>0</v>
      </c>
      <c r="V870" s="38"/>
      <c r="W870" s="40"/>
      <c r="X870" s="40"/>
      <c r="Y870" s="40"/>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row>
    <row r="871">
      <c r="A871" s="13" t="s">
        <v>40</v>
      </c>
      <c r="B871" s="30">
        <v>43175.0</v>
      </c>
      <c r="C871" s="31">
        <v>43160.0</v>
      </c>
      <c r="D871" s="32" t="s">
        <v>2723</v>
      </c>
      <c r="E871" s="13" t="s">
        <v>41</v>
      </c>
      <c r="F871" s="13">
        <v>34.0</v>
      </c>
      <c r="G871" s="13" t="s">
        <v>32</v>
      </c>
      <c r="H871" s="33">
        <f t="shared" si="132"/>
        <v>1</v>
      </c>
      <c r="I871" s="13" t="s">
        <v>33</v>
      </c>
      <c r="J871" s="13" t="s">
        <v>98</v>
      </c>
      <c r="K871" s="13"/>
      <c r="L871" s="13" t="s">
        <v>2747</v>
      </c>
      <c r="M871" s="35" t="s">
        <v>2748</v>
      </c>
      <c r="N871" s="15"/>
      <c r="O871" s="16"/>
      <c r="P871" s="16"/>
      <c r="Q871" s="16"/>
      <c r="R871" s="16"/>
      <c r="S871" s="37" t="str">
        <f>IFERROR(__xludf.DUMMYFUNCTION("if(not(iserror(index(split(C871, "" ""),2))), index(split(C871, "" ""),1),"""")"),"March,")</f>
        <v>March,</v>
      </c>
      <c r="T871" s="38">
        <f>IFERROR(__xludf.DUMMYFUNCTION("if(S871="""",C871,if(not(iserror(index(split(C871, "" ""),3))), index(split(C871, "" ""),3),index(split(C871, "" ""),2)))"),2018.0)</f>
        <v>2018</v>
      </c>
      <c r="U871" s="38" t="b">
        <f t="shared" si="126"/>
        <v>1</v>
      </c>
      <c r="V871" s="38"/>
      <c r="W871" s="40"/>
      <c r="X871" s="40"/>
      <c r="Y871" s="40"/>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row>
    <row r="872">
      <c r="A872" s="13" t="s">
        <v>40</v>
      </c>
      <c r="B872" s="30">
        <v>43175.0</v>
      </c>
      <c r="C872" s="31">
        <v>43160.0</v>
      </c>
      <c r="D872" s="32" t="s">
        <v>2723</v>
      </c>
      <c r="E872" s="13" t="s">
        <v>41</v>
      </c>
      <c r="F872" s="13">
        <v>76.0</v>
      </c>
      <c r="G872" s="13">
        <v>13.0</v>
      </c>
      <c r="H872" s="33">
        <f t="shared" si="132"/>
        <v>13</v>
      </c>
      <c r="I872" s="13" t="s">
        <v>33</v>
      </c>
      <c r="J872" s="13" t="s">
        <v>40</v>
      </c>
      <c r="K872" s="13" t="s">
        <v>32</v>
      </c>
      <c r="L872" s="13" t="s">
        <v>2747</v>
      </c>
      <c r="M872" s="35" t="s">
        <v>2749</v>
      </c>
      <c r="N872" s="15"/>
      <c r="O872" s="16"/>
      <c r="P872" s="16"/>
      <c r="Q872" s="16"/>
      <c r="R872" s="16"/>
      <c r="S872" s="37" t="str">
        <f>IFERROR(__xludf.DUMMYFUNCTION("if(not(iserror(index(split(C872, "" ""),2))), index(split(C872, "" ""),1),"""")"),"March,")</f>
        <v>March,</v>
      </c>
      <c r="T872" s="38">
        <f>IFERROR(__xludf.DUMMYFUNCTION("if(S872="""",C872,if(not(iserror(index(split(C872, "" ""),3))), index(split(C872, "" ""),3),index(split(C872, "" ""),2)))"),2018.0)</f>
        <v>2018</v>
      </c>
      <c r="U872" s="38" t="b">
        <f t="shared" si="126"/>
        <v>1</v>
      </c>
      <c r="V872" s="38"/>
      <c r="W872" s="40"/>
      <c r="X872" s="40"/>
      <c r="Y872" s="40"/>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row>
    <row r="873">
      <c r="A873" s="13" t="s">
        <v>2750</v>
      </c>
      <c r="B873" s="30">
        <v>43178.0</v>
      </c>
      <c r="C873" s="30">
        <v>43160.0</v>
      </c>
      <c r="D873" s="32" t="s">
        <v>2751</v>
      </c>
      <c r="E873" s="13" t="s">
        <v>41</v>
      </c>
      <c r="F873" s="13">
        <v>1.0</v>
      </c>
      <c r="G873" s="13" t="s">
        <v>32</v>
      </c>
      <c r="H873" s="33">
        <f t="shared" si="132"/>
        <v>1</v>
      </c>
      <c r="I873" s="13" t="s">
        <v>33</v>
      </c>
      <c r="J873" s="13" t="s">
        <v>93</v>
      </c>
      <c r="K873" s="13">
        <v>2.0</v>
      </c>
      <c r="L873" s="13" t="s">
        <v>2625</v>
      </c>
      <c r="M873" s="56" t="s">
        <v>2752</v>
      </c>
      <c r="N873" s="15"/>
      <c r="O873" s="37"/>
      <c r="P873" s="37"/>
      <c r="Q873" s="37"/>
      <c r="R873" s="16"/>
      <c r="S873" s="37" t="str">
        <f>IFERROR(__xludf.DUMMYFUNCTION("if(not(iserror(index(split(C873, "" ""),2))), index(split(C873, "" ""),1),"""")"),"March")</f>
        <v>March</v>
      </c>
      <c r="T873" s="38">
        <f>IFERROR(__xludf.DUMMYFUNCTION("if(S873="""",C873,if(not(iserror(index(split(C873, "" ""),3))), index(split(C873, "" ""),3),index(split(C873, "" ""),2)))"),2018.0)</f>
        <v>2018</v>
      </c>
      <c r="U873" s="38" t="b">
        <f t="shared" si="126"/>
        <v>0</v>
      </c>
      <c r="V873" s="38" t="s">
        <v>33</v>
      </c>
      <c r="W873" s="40"/>
      <c r="X873" s="40"/>
      <c r="Y873" s="40"/>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row>
    <row r="874">
      <c r="A874" s="13" t="s">
        <v>2753</v>
      </c>
      <c r="B874" s="30">
        <v>43181.0</v>
      </c>
      <c r="C874" s="31">
        <v>43160.0</v>
      </c>
      <c r="D874" s="32" t="s">
        <v>2723</v>
      </c>
      <c r="E874" s="13" t="s">
        <v>41</v>
      </c>
      <c r="F874" s="13">
        <v>1.0</v>
      </c>
      <c r="G874" s="13" t="s">
        <v>32</v>
      </c>
      <c r="H874" s="33">
        <f t="shared" si="132"/>
        <v>1</v>
      </c>
      <c r="I874" s="13" t="s">
        <v>33</v>
      </c>
      <c r="J874" s="13" t="s">
        <v>184</v>
      </c>
      <c r="K874" s="13">
        <v>2.0</v>
      </c>
      <c r="L874" s="13" t="s">
        <v>501</v>
      </c>
      <c r="M874" s="35" t="s">
        <v>2754</v>
      </c>
      <c r="N874" s="15"/>
      <c r="O874" s="37"/>
      <c r="P874" s="37"/>
      <c r="Q874" s="64"/>
      <c r="R874" s="16"/>
      <c r="S874" s="37" t="str">
        <f>IFERROR(__xludf.DUMMYFUNCTION("if(not(iserror(index(split(C874, "" ""),2))), index(split(C874, "" ""),1),"""")"),"March,")</f>
        <v>March,</v>
      </c>
      <c r="T874" s="38">
        <f>IFERROR(__xludf.DUMMYFUNCTION("if(S874="""",C874,if(not(iserror(index(split(C874, "" ""),3))), index(split(C874, "" ""),3),index(split(C874, "" ""),2)))"),2018.0)</f>
        <v>2018</v>
      </c>
      <c r="U874" s="38" t="b">
        <f t="shared" si="126"/>
        <v>0</v>
      </c>
      <c r="V874" s="38"/>
      <c r="W874" s="40"/>
      <c r="X874" s="40"/>
      <c r="Y874" s="40"/>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row>
    <row r="875">
      <c r="A875" s="13" t="s">
        <v>40</v>
      </c>
      <c r="B875" s="30">
        <v>43182.0</v>
      </c>
      <c r="C875" s="31">
        <v>43160.0</v>
      </c>
      <c r="D875" s="32" t="s">
        <v>2723</v>
      </c>
      <c r="E875" s="13" t="s">
        <v>41</v>
      </c>
      <c r="F875" s="13">
        <v>89.0</v>
      </c>
      <c r="G875" s="13">
        <v>39.0</v>
      </c>
      <c r="H875" s="33">
        <f t="shared" si="132"/>
        <v>39</v>
      </c>
      <c r="I875" s="13" t="s">
        <v>2755</v>
      </c>
      <c r="J875" s="82"/>
      <c r="K875" s="13" t="s">
        <v>40</v>
      </c>
      <c r="L875" s="13" t="s">
        <v>2756</v>
      </c>
      <c r="M875" s="35" t="s">
        <v>2757</v>
      </c>
      <c r="N875" s="15"/>
      <c r="O875" s="37"/>
      <c r="P875" s="37"/>
      <c r="Q875" s="64"/>
      <c r="R875" s="16"/>
      <c r="S875" s="37" t="str">
        <f>IFERROR(__xludf.DUMMYFUNCTION("if(not(iserror(index(split(C875, "" ""),2))), index(split(C875, "" ""),1),"""")"),"March,")</f>
        <v>March,</v>
      </c>
      <c r="T875" s="38">
        <f>IFERROR(__xludf.DUMMYFUNCTION("if(S875="""",C875,if(not(iserror(index(split(C875, "" ""),3))), index(split(C875, "" ""),3),index(split(C875, "" ""),2)))"),2018.0)</f>
        <v>2018</v>
      </c>
      <c r="U875" s="38" t="b">
        <f t="shared" si="126"/>
        <v>1</v>
      </c>
      <c r="V875" s="38"/>
      <c r="W875" s="40"/>
      <c r="X875" s="40"/>
      <c r="Y875" s="40"/>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row>
    <row r="876">
      <c r="A876" s="13" t="s">
        <v>40</v>
      </c>
      <c r="B876" s="30">
        <v>43185.0</v>
      </c>
      <c r="C876" s="31">
        <v>43160.0</v>
      </c>
      <c r="D876" s="32" t="s">
        <v>2723</v>
      </c>
      <c r="E876" s="13" t="s">
        <v>41</v>
      </c>
      <c r="F876" s="13">
        <v>2.0</v>
      </c>
      <c r="G876" s="13" t="s">
        <v>32</v>
      </c>
      <c r="H876" s="33">
        <f t="shared" si="132"/>
        <v>1</v>
      </c>
      <c r="I876" s="13" t="s">
        <v>33</v>
      </c>
      <c r="J876" s="13" t="s">
        <v>2758</v>
      </c>
      <c r="K876" s="13">
        <v>1.0</v>
      </c>
      <c r="L876" s="110" t="s">
        <v>2759</v>
      </c>
      <c r="M876" s="35" t="s">
        <v>2760</v>
      </c>
      <c r="N876" s="15"/>
      <c r="O876" s="16"/>
      <c r="P876" s="16"/>
      <c r="Q876" s="16"/>
      <c r="R876" s="16"/>
      <c r="S876" s="37" t="str">
        <f>IFERROR(__xludf.DUMMYFUNCTION("if(not(iserror(index(split(C876, "" ""),2))), index(split(C876, "" ""),1),"""")"),"March,")</f>
        <v>March,</v>
      </c>
      <c r="T876" s="38">
        <f>IFERROR(__xludf.DUMMYFUNCTION("if(S876="""",C876,if(not(iserror(index(split(C876, "" ""),3))), index(split(C876, "" ""),3),index(split(C876, "" ""),2)))"),2018.0)</f>
        <v>2018</v>
      </c>
      <c r="U876" s="38" t="b">
        <f t="shared" si="126"/>
        <v>1</v>
      </c>
      <c r="V876" s="38"/>
      <c r="W876" s="40"/>
      <c r="X876" s="40"/>
      <c r="Y876" s="40"/>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row>
    <row r="877">
      <c r="A877" s="13" t="s">
        <v>2761</v>
      </c>
      <c r="B877" s="30"/>
      <c r="C877" s="31">
        <v>43160.0</v>
      </c>
      <c r="D877" s="32"/>
      <c r="E877" s="13" t="s">
        <v>41</v>
      </c>
      <c r="F877" s="13">
        <v>1.0</v>
      </c>
      <c r="G877" s="13" t="s">
        <v>32</v>
      </c>
      <c r="H877" s="43">
        <v>1.0</v>
      </c>
      <c r="I877" s="13" t="s">
        <v>33</v>
      </c>
      <c r="J877" s="13" t="s">
        <v>179</v>
      </c>
      <c r="K877" s="13"/>
      <c r="L877" s="13" t="s">
        <v>119</v>
      </c>
      <c r="M877" s="46" t="s">
        <v>2762</v>
      </c>
      <c r="N877" s="15"/>
      <c r="O877" s="57" t="str">
        <f>hyperlink("https://bad-boys.us/?q=ED-VA/1:18-cr-00414", "ED-VA 1:18-cr-00414")</f>
        <v>ED-VA 1:18-cr-00414</v>
      </c>
      <c r="P877" s="86" t="s">
        <v>2763</v>
      </c>
      <c r="Q877" s="64">
        <v>1.0</v>
      </c>
      <c r="R877" s="16"/>
      <c r="S877" s="37" t="str">
        <f>IFERROR(__xludf.DUMMYFUNCTION("if(not(iserror(index(split(C877, "" ""),2))), index(split(C877, "" ""),1),"""")"),"March,")</f>
        <v>March,</v>
      </c>
      <c r="T877" s="38">
        <f>IFERROR(__xludf.DUMMYFUNCTION("if(S877="""",C877,if(not(iserror(index(split(C877, "" ""),3))), index(split(C877, "" ""),3),index(split(C877, "" ""),2)))"),2018.0)</f>
        <v>2018</v>
      </c>
      <c r="U877" s="38" t="b">
        <f t="shared" si="126"/>
        <v>0</v>
      </c>
      <c r="V877" s="38" t="s">
        <v>33</v>
      </c>
      <c r="W877" s="40"/>
      <c r="X877" s="40"/>
      <c r="Y877" s="40"/>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row>
    <row r="878">
      <c r="A878" s="13" t="s">
        <v>2764</v>
      </c>
      <c r="B878" s="30"/>
      <c r="C878" s="31">
        <v>43160.0</v>
      </c>
      <c r="D878" s="32"/>
      <c r="E878" s="13" t="s">
        <v>41</v>
      </c>
      <c r="F878" s="13">
        <v>1.0</v>
      </c>
      <c r="G878" s="13" t="s">
        <v>32</v>
      </c>
      <c r="H878" s="43">
        <v>1.0</v>
      </c>
      <c r="I878" s="13" t="s">
        <v>33</v>
      </c>
      <c r="J878" s="13" t="s">
        <v>184</v>
      </c>
      <c r="K878" s="13"/>
      <c r="L878" s="13" t="s">
        <v>76</v>
      </c>
      <c r="M878" s="56" t="s">
        <v>2765</v>
      </c>
      <c r="N878" s="15"/>
      <c r="O878" s="57" t="str">
        <f>hyperlink("https://bad-boys.us/?q=SD-IL/3:18-cr-30043", "SD-IL 3:18-cr-30043")</f>
        <v>SD-IL 3:18-cr-30043</v>
      </c>
      <c r="P878" s="86" t="s">
        <v>2766</v>
      </c>
      <c r="Q878" s="37">
        <v>1.0</v>
      </c>
      <c r="R878" s="16"/>
      <c r="S878" s="37" t="str">
        <f>IFERROR(__xludf.DUMMYFUNCTION("if(not(iserror(index(split(C878, "" ""),2))), index(split(C878, "" ""),1),"""")"),"March,")</f>
        <v>March,</v>
      </c>
      <c r="T878" s="38">
        <f>IFERROR(__xludf.DUMMYFUNCTION("if(S878="""",C878,if(not(iserror(index(split(C878, "" ""),3))), index(split(C878, "" ""),3),index(split(C878, "" ""),2)))"),2018.0)</f>
        <v>2018</v>
      </c>
      <c r="U878" s="38" t="b">
        <f t="shared" si="126"/>
        <v>0</v>
      </c>
      <c r="V878" s="38" t="s">
        <v>33</v>
      </c>
      <c r="W878" s="40"/>
      <c r="X878" s="40"/>
      <c r="Y878" s="40"/>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c r="BQ878" s="38"/>
    </row>
    <row r="879">
      <c r="A879" s="37" t="s">
        <v>2767</v>
      </c>
      <c r="B879" s="30">
        <v>43188.0</v>
      </c>
      <c r="C879" s="100">
        <v>43160.0</v>
      </c>
      <c r="D879" s="143">
        <v>43187.0</v>
      </c>
      <c r="E879" s="13" t="s">
        <v>41</v>
      </c>
      <c r="F879" s="13">
        <v>1.0</v>
      </c>
      <c r="G879" s="13" t="s">
        <v>32</v>
      </c>
      <c r="H879" s="33">
        <f t="shared" ref="H879:H883" si="133">if(G879="Unknown",1,G879)</f>
        <v>1</v>
      </c>
      <c r="I879" s="13" t="s">
        <v>33</v>
      </c>
      <c r="J879" s="13" t="s">
        <v>124</v>
      </c>
      <c r="K879" s="13">
        <v>3.0</v>
      </c>
      <c r="L879" s="13" t="s">
        <v>575</v>
      </c>
      <c r="M879" s="35" t="s">
        <v>2768</v>
      </c>
      <c r="N879" s="15"/>
      <c r="O879" s="37"/>
      <c r="P879" s="37"/>
      <c r="Q879" s="64"/>
      <c r="R879" s="16"/>
      <c r="S879" s="37" t="str">
        <f>IFERROR(__xludf.DUMMYFUNCTION("if(not(iserror(index(split(C879, "" ""),2))), index(split(C879, "" ""),1),"""")"),"March,")</f>
        <v>March,</v>
      </c>
      <c r="T879" s="38">
        <f>IFERROR(__xludf.DUMMYFUNCTION("if(S879="""",C879,if(not(iserror(index(split(C879, "" ""),3))), index(split(C879, "" ""),3),index(split(C879, "" ""),2)))"),2018.0)</f>
        <v>2018</v>
      </c>
      <c r="U879" s="38" t="b">
        <f t="shared" si="126"/>
        <v>0</v>
      </c>
      <c r="V879" s="38"/>
      <c r="W879" s="40"/>
      <c r="X879" s="40"/>
      <c r="Y879" s="40"/>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row>
    <row r="880">
      <c r="A880" s="37" t="s">
        <v>2769</v>
      </c>
      <c r="B880" s="30">
        <v>43188.0</v>
      </c>
      <c r="C880" s="31">
        <v>43160.0</v>
      </c>
      <c r="D880" s="32" t="s">
        <v>2723</v>
      </c>
      <c r="E880" s="13" t="s">
        <v>41</v>
      </c>
      <c r="F880" s="13">
        <v>1.0</v>
      </c>
      <c r="G880" s="13" t="s">
        <v>32</v>
      </c>
      <c r="H880" s="33">
        <f t="shared" si="133"/>
        <v>1</v>
      </c>
      <c r="I880" s="13" t="s">
        <v>33</v>
      </c>
      <c r="J880" s="13" t="s">
        <v>343</v>
      </c>
      <c r="K880" s="13">
        <v>1.0</v>
      </c>
      <c r="L880" s="13" t="s">
        <v>575</v>
      </c>
      <c r="M880" s="35" t="s">
        <v>2770</v>
      </c>
      <c r="N880" s="15"/>
      <c r="O880" s="86" t="str">
        <f>hyperlink("https://bad-boys.us/?q=ND-WV/5:18-cr-00008", "ND-WV 5:18-cr-00008")</f>
        <v>ND-WV 5:18-cr-00008</v>
      </c>
      <c r="P880" s="86" t="s">
        <v>2771</v>
      </c>
      <c r="Q880" s="64">
        <v>1.0</v>
      </c>
      <c r="R880" s="16"/>
      <c r="S880" s="37" t="str">
        <f>IFERROR(__xludf.DUMMYFUNCTION("if(not(iserror(index(split(C880, "" ""),2))), index(split(C880, "" ""),1),"""")"),"March,")</f>
        <v>March,</v>
      </c>
      <c r="T880" s="38">
        <f>IFERROR(__xludf.DUMMYFUNCTION("if(S880="""",C880,if(not(iserror(index(split(C880, "" ""),3))), index(split(C880, "" ""),3),index(split(C880, "" ""),2)))"),2018.0)</f>
        <v>2018</v>
      </c>
      <c r="U880" s="38" t="b">
        <f t="shared" si="126"/>
        <v>0</v>
      </c>
      <c r="V880" s="38"/>
      <c r="W880" s="40"/>
      <c r="X880" s="40"/>
      <c r="Y880" s="40"/>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c r="BQ880" s="38"/>
    </row>
    <row r="881">
      <c r="A881" s="13" t="s">
        <v>2772</v>
      </c>
      <c r="B881" s="30">
        <v>43189.0</v>
      </c>
      <c r="C881" s="31">
        <v>43160.0</v>
      </c>
      <c r="D881" s="143">
        <v>43187.0</v>
      </c>
      <c r="E881" s="13" t="s">
        <v>41</v>
      </c>
      <c r="F881" s="13">
        <v>1.0</v>
      </c>
      <c r="G881" s="13" t="s">
        <v>32</v>
      </c>
      <c r="H881" s="33">
        <f t="shared" si="133"/>
        <v>1</v>
      </c>
      <c r="I881" s="13" t="s">
        <v>33</v>
      </c>
      <c r="J881" s="13" t="s">
        <v>115</v>
      </c>
      <c r="K881" s="13">
        <v>2.0</v>
      </c>
      <c r="L881" s="13" t="s">
        <v>2773</v>
      </c>
      <c r="M881" s="35" t="s">
        <v>2774</v>
      </c>
      <c r="N881" s="15"/>
      <c r="O881" s="86" t="str">
        <f>hyperlink("https://bad-boys.us/?q=MD-PA/1:18-cr-00111", "MD-PA 1:18-cr-00111")</f>
        <v>MD-PA 1:18-cr-00111</v>
      </c>
      <c r="P881" s="86" t="s">
        <v>2775</v>
      </c>
      <c r="Q881" s="64">
        <v>1.0</v>
      </c>
      <c r="R881" s="16"/>
      <c r="S881" s="37" t="str">
        <f>IFERROR(__xludf.DUMMYFUNCTION("if(not(iserror(index(split(C881, "" ""),2))), index(split(C881, "" ""),1),"""")"),"March,")</f>
        <v>March,</v>
      </c>
      <c r="T881" s="38">
        <f>IFERROR(__xludf.DUMMYFUNCTION("if(S881="""",C881,if(not(iserror(index(split(C881, "" ""),3))), index(split(C881, "" ""),3),index(split(C881, "" ""),2)))"),2018.0)</f>
        <v>2018</v>
      </c>
      <c r="U881" s="38" t="b">
        <f t="shared" si="126"/>
        <v>0</v>
      </c>
      <c r="V881" s="38"/>
      <c r="W881" s="40"/>
      <c r="X881" s="40"/>
      <c r="Y881" s="40"/>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row>
    <row r="882">
      <c r="A882" s="37" t="s">
        <v>2776</v>
      </c>
      <c r="B882" s="59">
        <v>43256.0</v>
      </c>
      <c r="C882" s="79">
        <v>43160.0</v>
      </c>
      <c r="D882" s="60" t="s">
        <v>2777</v>
      </c>
      <c r="E882" s="58" t="s">
        <v>41</v>
      </c>
      <c r="F882" s="58">
        <v>2.0</v>
      </c>
      <c r="G882" s="58" t="s">
        <v>32</v>
      </c>
      <c r="H882" s="33">
        <f t="shared" si="133"/>
        <v>1</v>
      </c>
      <c r="I882" s="58" t="s">
        <v>33</v>
      </c>
      <c r="J882" s="58" t="s">
        <v>47</v>
      </c>
      <c r="K882" s="58">
        <v>2.0</v>
      </c>
      <c r="L882" s="58" t="s">
        <v>35</v>
      </c>
      <c r="M882" s="36" t="s">
        <v>2778</v>
      </c>
      <c r="N882" s="36" t="s">
        <v>2779</v>
      </c>
      <c r="O882" s="83" t="str">
        <f>hyperlink("https://bad-boys.us/?q=SD-FL/9:18-cr-80062", "SD-FL 9:18-cr-80062")</f>
        <v>SD-FL 9:18-cr-80062</v>
      </c>
      <c r="P882" s="88" t="s">
        <v>2780</v>
      </c>
      <c r="Q882" s="58">
        <v>1.0</v>
      </c>
      <c r="R882" s="62"/>
      <c r="S882" s="37" t="str">
        <f>IFERROR(__xludf.DUMMYFUNCTION("if(not(iserror(index(split(C882, "" ""),2))), index(split(C882, "" ""),1),"""")"),"March,")</f>
        <v>March,</v>
      </c>
      <c r="T882" s="38">
        <f>IFERROR(__xludf.DUMMYFUNCTION("if(S882="""",C882,if(not(iserror(index(split(C882, "" ""),3))), index(split(C882, "" ""),3),index(split(C882, "" ""),2)))"),2018.0)</f>
        <v>2018</v>
      </c>
      <c r="U882" s="38" t="b">
        <f t="shared" si="126"/>
        <v>0</v>
      </c>
      <c r="V882" s="38"/>
      <c r="W882" s="40"/>
      <c r="X882" s="40"/>
      <c r="Y882" s="40"/>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c r="BQ882" s="38"/>
    </row>
    <row r="883">
      <c r="A883" s="58" t="s">
        <v>2781</v>
      </c>
      <c r="B883" s="59">
        <v>43262.0</v>
      </c>
      <c r="C883" s="79">
        <v>43160.0</v>
      </c>
      <c r="D883" s="60" t="s">
        <v>2723</v>
      </c>
      <c r="E883" s="58" t="s">
        <v>41</v>
      </c>
      <c r="F883" s="58">
        <v>1.0</v>
      </c>
      <c r="G883" s="58" t="s">
        <v>32</v>
      </c>
      <c r="H883" s="33">
        <f t="shared" si="133"/>
        <v>1</v>
      </c>
      <c r="I883" s="58" t="s">
        <v>33</v>
      </c>
      <c r="J883" s="58" t="s">
        <v>147</v>
      </c>
      <c r="K883" s="58">
        <v>1.0</v>
      </c>
      <c r="L883" s="58" t="s">
        <v>119</v>
      </c>
      <c r="M883" s="61" t="s">
        <v>2782</v>
      </c>
      <c r="N883" s="35" t="s">
        <v>2783</v>
      </c>
      <c r="O883" s="83" t="str">
        <f>hyperlink("https://bad-boys.us/?q=SD-TX/4:17-cr-00645", "SD-TX 4:17-cr-00645")</f>
        <v>SD-TX 4:17-cr-00645</v>
      </c>
      <c r="P883" s="88" t="s">
        <v>2784</v>
      </c>
      <c r="Q883" s="84">
        <v>1.0</v>
      </c>
      <c r="R883" s="62"/>
      <c r="S883" s="37" t="str">
        <f>IFERROR(__xludf.DUMMYFUNCTION("if(not(iserror(index(split(C883, "" ""),2))), index(split(C883, "" ""),1),"""")"),"March,")</f>
        <v>March,</v>
      </c>
      <c r="T883" s="38">
        <f>IFERROR(__xludf.DUMMYFUNCTION("if(S883="""",C883,if(not(iserror(index(split(C883, "" ""),3))), index(split(C883, "" ""),3),index(split(C883, "" ""),2)))"),2018.0)</f>
        <v>2018</v>
      </c>
      <c r="U883" s="38" t="b">
        <f t="shared" si="126"/>
        <v>0</v>
      </c>
      <c r="V883" s="38"/>
      <c r="W883" s="40"/>
      <c r="X883" s="40"/>
      <c r="Y883" s="40"/>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row>
    <row r="884">
      <c r="A884" s="58" t="s">
        <v>2785</v>
      </c>
      <c r="B884" s="59"/>
      <c r="C884" s="79">
        <v>43160.0</v>
      </c>
      <c r="D884" s="60"/>
      <c r="E884" s="58" t="s">
        <v>31</v>
      </c>
      <c r="F884" s="58">
        <v>1.0</v>
      </c>
      <c r="G884" s="58" t="s">
        <v>32</v>
      </c>
      <c r="H884" s="43">
        <v>2.0</v>
      </c>
      <c r="I884" s="58" t="s">
        <v>33</v>
      </c>
      <c r="J884" s="58" t="s">
        <v>279</v>
      </c>
      <c r="K884" s="58"/>
      <c r="L884" s="58" t="s">
        <v>76</v>
      </c>
      <c r="M884" s="80" t="s">
        <v>2786</v>
      </c>
      <c r="N884" s="61" t="s">
        <v>2787</v>
      </c>
      <c r="O884" s="58"/>
      <c r="P884" s="62"/>
      <c r="Q884" s="58">
        <v>1.0</v>
      </c>
      <c r="R884" s="62"/>
      <c r="S884" s="37"/>
      <c r="T884" s="38"/>
      <c r="U884" s="38"/>
      <c r="V884" s="38" t="s">
        <v>33</v>
      </c>
      <c r="W884" s="39" t="s">
        <v>2788</v>
      </c>
      <c r="X884" s="39" t="s">
        <v>2789</v>
      </c>
      <c r="Y884" s="40"/>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row>
    <row r="885">
      <c r="A885" s="58" t="s">
        <v>2790</v>
      </c>
      <c r="B885" s="59"/>
      <c r="C885" s="79">
        <v>43160.0</v>
      </c>
      <c r="D885" s="60"/>
      <c r="E885" s="58" t="s">
        <v>31</v>
      </c>
      <c r="F885" s="58">
        <v>1.0</v>
      </c>
      <c r="G885" s="58" t="s">
        <v>32</v>
      </c>
      <c r="H885" s="43">
        <v>1.0</v>
      </c>
      <c r="I885" s="58" t="s">
        <v>33</v>
      </c>
      <c r="J885" s="58" t="s">
        <v>279</v>
      </c>
      <c r="K885" s="58"/>
      <c r="L885" s="58" t="s">
        <v>76</v>
      </c>
      <c r="M885" s="80" t="s">
        <v>2786</v>
      </c>
      <c r="N885" s="61" t="s">
        <v>2791</v>
      </c>
      <c r="O885" s="58"/>
      <c r="P885" s="62"/>
      <c r="Q885" s="58">
        <v>1.0</v>
      </c>
      <c r="R885" s="62"/>
      <c r="S885" s="37"/>
      <c r="T885" s="38"/>
      <c r="U885" s="38"/>
      <c r="V885" s="38" t="s">
        <v>33</v>
      </c>
      <c r="W885" s="39" t="s">
        <v>2792</v>
      </c>
      <c r="X885" s="39" t="s">
        <v>2793</v>
      </c>
      <c r="Y885" s="40"/>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c r="BQ885" s="38"/>
    </row>
    <row r="886">
      <c r="A886" s="58" t="s">
        <v>40</v>
      </c>
      <c r="B886" s="59">
        <v>43263.0</v>
      </c>
      <c r="C886" s="79">
        <v>43160.0</v>
      </c>
      <c r="D886" s="60" t="s">
        <v>632</v>
      </c>
      <c r="E886" s="58" t="s">
        <v>41</v>
      </c>
      <c r="F886" s="58">
        <v>2300.0</v>
      </c>
      <c r="G886" s="58" t="s">
        <v>32</v>
      </c>
      <c r="H886" s="33">
        <f>if(G886="Unknown",1,G886)</f>
        <v>1</v>
      </c>
      <c r="I886" s="58" t="s">
        <v>33</v>
      </c>
      <c r="J886" s="58" t="s">
        <v>40</v>
      </c>
      <c r="K886" s="58">
        <v>4500.0</v>
      </c>
      <c r="L886" s="58" t="s">
        <v>2794</v>
      </c>
      <c r="M886" s="61" t="s">
        <v>2795</v>
      </c>
      <c r="N886" s="77"/>
      <c r="O886" s="58"/>
      <c r="P886" s="62"/>
      <c r="Q886" s="84"/>
      <c r="R886" s="62"/>
      <c r="S886" s="37" t="str">
        <f>IFERROR(__xludf.DUMMYFUNCTION("if(not(iserror(index(split(C886, "" ""),2))), index(split(C886, "" ""),1),"""")"),"March,")</f>
        <v>March,</v>
      </c>
      <c r="T886" s="38">
        <f>IFERROR(__xludf.DUMMYFUNCTION("if(S886="""",C886,if(not(iserror(index(split(C886, "" ""),3))), index(split(C886, "" ""),3),index(split(C886, "" ""),2)))"),2018.0)</f>
        <v>2018</v>
      </c>
      <c r="U886" s="38" t="b">
        <f>countif(A$4:A4658, A886)&gt;1</f>
        <v>1</v>
      </c>
      <c r="V886" s="38"/>
      <c r="W886" s="40"/>
      <c r="X886" s="40"/>
      <c r="Y886" s="40"/>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c r="BQ886" s="38"/>
    </row>
    <row r="887">
      <c r="A887" s="58" t="s">
        <v>2796</v>
      </c>
      <c r="B887" s="59"/>
      <c r="C887" s="79">
        <v>43160.0</v>
      </c>
      <c r="D887" s="60"/>
      <c r="E887" s="58" t="s">
        <v>41</v>
      </c>
      <c r="F887" s="58">
        <v>1.0</v>
      </c>
      <c r="G887" s="58" t="s">
        <v>32</v>
      </c>
      <c r="H887" s="43">
        <v>1.0</v>
      </c>
      <c r="I887" s="58" t="s">
        <v>33</v>
      </c>
      <c r="J887" s="58" t="s">
        <v>85</v>
      </c>
      <c r="K887" s="58"/>
      <c r="L887" s="58" t="s">
        <v>69</v>
      </c>
      <c r="M887" s="61" t="s">
        <v>2797</v>
      </c>
      <c r="N887" s="77"/>
      <c r="O887" s="58"/>
      <c r="P887" s="62"/>
      <c r="Q887" s="84"/>
      <c r="R887" s="62"/>
      <c r="S887" s="37"/>
      <c r="T887" s="38"/>
      <c r="U887" s="38"/>
      <c r="V887" s="38" t="s">
        <v>33</v>
      </c>
      <c r="W887" s="40"/>
      <c r="X887" s="40"/>
      <c r="Y887" s="40"/>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row>
    <row r="888">
      <c r="A888" s="58" t="s">
        <v>2798</v>
      </c>
      <c r="B888" s="59">
        <v>43272.0</v>
      </c>
      <c r="C888" s="79">
        <v>43160.0</v>
      </c>
      <c r="D888" s="60" t="s">
        <v>632</v>
      </c>
      <c r="E888" s="58" t="s">
        <v>31</v>
      </c>
      <c r="F888" s="58">
        <v>2.0</v>
      </c>
      <c r="G888" s="58" t="s">
        <v>32</v>
      </c>
      <c r="H888" s="33">
        <f t="shared" ref="H888:H891" si="134">if(G888="Unknown",1,G888)</f>
        <v>1</v>
      </c>
      <c r="I888" s="58" t="s">
        <v>33</v>
      </c>
      <c r="J888" s="58" t="s">
        <v>268</v>
      </c>
      <c r="K888" s="58" t="s">
        <v>32</v>
      </c>
      <c r="L888" s="58" t="s">
        <v>254</v>
      </c>
      <c r="M888" s="46" t="s">
        <v>2799</v>
      </c>
      <c r="N888" s="46" t="s">
        <v>2800</v>
      </c>
      <c r="O888" s="62"/>
      <c r="P888" s="58"/>
      <c r="Q888" s="58"/>
      <c r="R888" s="62"/>
      <c r="S888" s="37" t="str">
        <f>IFERROR(__xludf.DUMMYFUNCTION("if(not(iserror(index(split(C888, "" ""),2))), index(split(C888, "" ""),1),"""")"),"March,")</f>
        <v>March,</v>
      </c>
      <c r="T888" s="38">
        <f>IFERROR(__xludf.DUMMYFUNCTION("if(S888="""",C888,if(not(iserror(index(split(C888, "" ""),3))), index(split(C888, "" ""),3),index(split(C888, "" ""),2)))"),2018.0)</f>
        <v>2018</v>
      </c>
      <c r="U888" s="38" t="b">
        <f t="shared" ref="U888:U909" si="135">countif(A$4:A4658, A888)&gt;1</f>
        <v>0</v>
      </c>
      <c r="V888" s="38"/>
      <c r="W888" s="40"/>
      <c r="X888" s="40"/>
      <c r="Y888" s="40"/>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row>
    <row r="889">
      <c r="A889" s="78" t="s">
        <v>2801</v>
      </c>
      <c r="B889" s="59">
        <v>43283.0</v>
      </c>
      <c r="C889" s="79">
        <v>43160.0</v>
      </c>
      <c r="D889" s="60" t="s">
        <v>2723</v>
      </c>
      <c r="E889" s="58" t="s">
        <v>41</v>
      </c>
      <c r="F889" s="58">
        <v>1.0</v>
      </c>
      <c r="G889" s="58" t="s">
        <v>32</v>
      </c>
      <c r="H889" s="33">
        <f t="shared" si="134"/>
        <v>1</v>
      </c>
      <c r="I889" s="58" t="s">
        <v>33</v>
      </c>
      <c r="J889" s="58" t="s">
        <v>222</v>
      </c>
      <c r="K889" s="58">
        <v>6.0</v>
      </c>
      <c r="L889" s="58" t="s">
        <v>99</v>
      </c>
      <c r="M889" s="61" t="s">
        <v>2802</v>
      </c>
      <c r="N889" s="77"/>
      <c r="O889" s="62"/>
      <c r="P889" s="62"/>
      <c r="Q889" s="62"/>
      <c r="R889" s="62"/>
      <c r="S889" s="37" t="str">
        <f>IFERROR(__xludf.DUMMYFUNCTION("if(not(iserror(index(split(C889, "" ""),2))), index(split(C889, "" ""),1),"""")"),"March,")</f>
        <v>March,</v>
      </c>
      <c r="T889" s="38">
        <f>IFERROR(__xludf.DUMMYFUNCTION("if(S889="""",C889,if(not(iserror(index(split(C889, "" ""),3))), index(split(C889, "" ""),3),index(split(C889, "" ""),2)))"),2018.0)</f>
        <v>2018</v>
      </c>
      <c r="U889" s="38" t="b">
        <f t="shared" si="135"/>
        <v>0</v>
      </c>
      <c r="V889" s="38"/>
      <c r="W889" s="40"/>
      <c r="X889" s="40"/>
      <c r="Y889" s="40"/>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c r="BQ889" s="38"/>
    </row>
    <row r="890">
      <c r="A890" s="58" t="s">
        <v>2803</v>
      </c>
      <c r="B890" s="59">
        <v>43348.0</v>
      </c>
      <c r="C890" s="79">
        <v>43160.0</v>
      </c>
      <c r="D890" s="60" t="s">
        <v>2723</v>
      </c>
      <c r="E890" s="58" t="s">
        <v>41</v>
      </c>
      <c r="F890" s="58">
        <v>1.0</v>
      </c>
      <c r="G890" s="58" t="s">
        <v>32</v>
      </c>
      <c r="H890" s="33">
        <f t="shared" si="134"/>
        <v>1</v>
      </c>
      <c r="I890" s="58" t="s">
        <v>33</v>
      </c>
      <c r="J890" s="58" t="s">
        <v>42</v>
      </c>
      <c r="K890" s="58" t="s">
        <v>32</v>
      </c>
      <c r="L890" s="58" t="s">
        <v>52</v>
      </c>
      <c r="M890" s="61" t="s">
        <v>2804</v>
      </c>
      <c r="N890" s="77"/>
      <c r="O890" s="62"/>
      <c r="P890" s="62"/>
      <c r="Q890" s="62"/>
      <c r="R890" s="62"/>
      <c r="S890" s="37" t="str">
        <f>IFERROR(__xludf.DUMMYFUNCTION("if(not(iserror(index(split(C890, "" ""),2))), index(split(C890, "" ""),1),"""")"),"March,")</f>
        <v>March,</v>
      </c>
      <c r="T890" s="38">
        <f>IFERROR(__xludf.DUMMYFUNCTION("if(S890="""",C890,if(not(iserror(index(split(C890, "" ""),3))), index(split(C890, "" ""),3),index(split(C890, "" ""),2)))"),2018.0)</f>
        <v>2018</v>
      </c>
      <c r="U890" s="38" t="b">
        <f t="shared" si="135"/>
        <v>0</v>
      </c>
      <c r="V890" s="38"/>
      <c r="W890" s="40"/>
      <c r="X890" s="40"/>
      <c r="Y890" s="40"/>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row>
    <row r="891">
      <c r="A891" s="58" t="s">
        <v>2805</v>
      </c>
      <c r="B891" s="59">
        <v>43363.0</v>
      </c>
      <c r="C891" s="79">
        <v>43160.0</v>
      </c>
      <c r="D891" s="60" t="s">
        <v>2723</v>
      </c>
      <c r="E891" s="58" t="s">
        <v>41</v>
      </c>
      <c r="F891" s="58">
        <v>1.0</v>
      </c>
      <c r="G891" s="58" t="s">
        <v>32</v>
      </c>
      <c r="H891" s="33">
        <f t="shared" si="134"/>
        <v>1</v>
      </c>
      <c r="I891" s="58" t="s">
        <v>33</v>
      </c>
      <c r="J891" s="58" t="s">
        <v>75</v>
      </c>
      <c r="K891" s="58">
        <v>1.0</v>
      </c>
      <c r="L891" s="58" t="s">
        <v>99</v>
      </c>
      <c r="M891" s="61" t="s">
        <v>2806</v>
      </c>
      <c r="N891" s="77"/>
      <c r="O891" s="62"/>
      <c r="P891" s="62"/>
      <c r="Q891" s="62"/>
      <c r="R891" s="62"/>
      <c r="S891" s="37" t="str">
        <f>IFERROR(__xludf.DUMMYFUNCTION("if(not(iserror(index(split(C891, "" ""),2))), index(split(C891, "" ""),1),"""")"),"March,")</f>
        <v>March,</v>
      </c>
      <c r="T891" s="38">
        <f>IFERROR(__xludf.DUMMYFUNCTION("if(S891="""",C891,if(not(iserror(index(split(C891, "" ""),3))), index(split(C891, "" ""),3),index(split(C891, "" ""),2)))"),2018.0)</f>
        <v>2018</v>
      </c>
      <c r="U891" s="38" t="b">
        <f t="shared" si="135"/>
        <v>0</v>
      </c>
      <c r="V891" s="38"/>
      <c r="W891" s="40"/>
      <c r="X891" s="40"/>
      <c r="Y891" s="40"/>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row>
    <row r="892">
      <c r="A892" s="58" t="s">
        <v>2807</v>
      </c>
      <c r="B892" s="59"/>
      <c r="C892" s="79">
        <v>43160.0</v>
      </c>
      <c r="D892" s="60"/>
      <c r="E892" s="58" t="s">
        <v>41</v>
      </c>
      <c r="F892" s="58">
        <v>1.0</v>
      </c>
      <c r="G892" s="58">
        <v>1.0</v>
      </c>
      <c r="H892" s="43">
        <v>1.0</v>
      </c>
      <c r="I892" s="58" t="s">
        <v>33</v>
      </c>
      <c r="J892" s="58" t="s">
        <v>106</v>
      </c>
      <c r="K892" s="58"/>
      <c r="L892" s="58" t="s">
        <v>76</v>
      </c>
      <c r="M892" s="46" t="s">
        <v>2808</v>
      </c>
      <c r="N892" s="77"/>
      <c r="O892" s="62"/>
      <c r="P892" s="62"/>
      <c r="Q892" s="58"/>
      <c r="R892" s="62"/>
      <c r="S892" s="37" t="str">
        <f>IFERROR(__xludf.DUMMYFUNCTION("if(not(iserror(index(split(C892, "" ""),2))), index(split(C892, "" ""),1),"""")"),"March,")</f>
        <v>March,</v>
      </c>
      <c r="T892" s="38">
        <f>IFERROR(__xludf.DUMMYFUNCTION("if(S892="""",C892,if(not(iserror(index(split(C892, "" ""),3))), index(split(C892, "" ""),3),index(split(C892, "" ""),2)))"),2018.0)</f>
        <v>2018</v>
      </c>
      <c r="U892" s="38" t="b">
        <f t="shared" si="135"/>
        <v>0</v>
      </c>
      <c r="V892" s="38" t="s">
        <v>33</v>
      </c>
      <c r="W892" s="40"/>
      <c r="X892" s="40"/>
      <c r="Y892" s="40"/>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row>
    <row r="893">
      <c r="A893" s="58" t="s">
        <v>2809</v>
      </c>
      <c r="B893" s="59"/>
      <c r="C893" s="79">
        <v>43160.0</v>
      </c>
      <c r="D893" s="60"/>
      <c r="E893" s="58" t="s">
        <v>41</v>
      </c>
      <c r="F893" s="58">
        <v>1.0</v>
      </c>
      <c r="G893" s="58" t="s">
        <v>32</v>
      </c>
      <c r="H893" s="43">
        <v>1.0</v>
      </c>
      <c r="I893" s="58" t="s">
        <v>33</v>
      </c>
      <c r="J893" s="58" t="s">
        <v>184</v>
      </c>
      <c r="K893" s="58"/>
      <c r="L893" s="58" t="s">
        <v>69</v>
      </c>
      <c r="M893" s="46" t="s">
        <v>2810</v>
      </c>
      <c r="N893" s="77"/>
      <c r="O893" s="83" t="str">
        <f>hyperlink("https://bad-boys.us/?q=SD-IL/3:18-cr-30095", "SD-IL 3:18-cr-30095")</f>
        <v>SD-IL 3:18-cr-30095</v>
      </c>
      <c r="P893" s="88" t="s">
        <v>2811</v>
      </c>
      <c r="Q893" s="58">
        <v>1.0</v>
      </c>
      <c r="R893" s="62"/>
      <c r="S893" s="37" t="str">
        <f>IFERROR(__xludf.DUMMYFUNCTION("if(not(iserror(index(split(C893, "" ""),2))), index(split(C893, "" ""),1),"""")"),"March,")</f>
        <v>March,</v>
      </c>
      <c r="T893" s="38">
        <f>IFERROR(__xludf.DUMMYFUNCTION("if(S893="""",C893,if(not(iserror(index(split(C893, "" ""),3))), index(split(C893, "" ""),3),index(split(C893, "" ""),2)))"),2018.0)</f>
        <v>2018</v>
      </c>
      <c r="U893" s="38" t="b">
        <f t="shared" si="135"/>
        <v>0</v>
      </c>
      <c r="V893" s="38" t="s">
        <v>33</v>
      </c>
      <c r="W893" s="40"/>
      <c r="X893" s="40"/>
      <c r="Y893" s="40"/>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row>
    <row r="894">
      <c r="A894" s="204" t="s">
        <v>2812</v>
      </c>
      <c r="B894" s="59">
        <v>43364.0</v>
      </c>
      <c r="C894" s="79">
        <v>43160.0</v>
      </c>
      <c r="D894" s="60" t="s">
        <v>2723</v>
      </c>
      <c r="E894" s="58" t="s">
        <v>41</v>
      </c>
      <c r="F894" s="58">
        <v>1.0</v>
      </c>
      <c r="G894" s="58" t="s">
        <v>32</v>
      </c>
      <c r="H894" s="33">
        <f t="shared" ref="H894:H897" si="136">if(G894="Unknown",1,G894)</f>
        <v>1</v>
      </c>
      <c r="I894" s="58" t="s">
        <v>33</v>
      </c>
      <c r="J894" s="58" t="s">
        <v>93</v>
      </c>
      <c r="K894" s="58">
        <v>2.0</v>
      </c>
      <c r="L894" s="58" t="s">
        <v>69</v>
      </c>
      <c r="M894" s="205" t="s">
        <v>2813</v>
      </c>
      <c r="N894" s="77"/>
      <c r="O894" s="83" t="str">
        <f>hyperlink("https://bad-boys.us/?q=ND-NY/8:18-cr-00064", "ND-NY 8:18-cr-00064")</f>
        <v>ND-NY 8:18-cr-00064</v>
      </c>
      <c r="P894" s="88" t="s">
        <v>2814</v>
      </c>
      <c r="Q894" s="58">
        <v>1.0</v>
      </c>
      <c r="R894" s="62"/>
      <c r="S894" s="37" t="str">
        <f>IFERROR(__xludf.DUMMYFUNCTION("if(not(iserror(index(split(C894, "" ""),2))), index(split(C894, "" ""),1),"""")"),"March,")</f>
        <v>March,</v>
      </c>
      <c r="T894" s="38">
        <f>IFERROR(__xludf.DUMMYFUNCTION("if(S894="""",C894,if(not(iserror(index(split(C894, "" ""),3))), index(split(C894, "" ""),3),index(split(C894, "" ""),2)))"),2018.0)</f>
        <v>2018</v>
      </c>
      <c r="U894" s="38" t="b">
        <f t="shared" si="135"/>
        <v>0</v>
      </c>
      <c r="V894" s="38"/>
      <c r="W894" s="40"/>
      <c r="X894" s="40"/>
      <c r="Y894" s="40"/>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row>
    <row r="895">
      <c r="A895" s="87" t="s">
        <v>2815</v>
      </c>
      <c r="B895" s="59" t="s">
        <v>2816</v>
      </c>
      <c r="C895" s="79">
        <v>43160.0</v>
      </c>
      <c r="D895" s="60" t="s">
        <v>2723</v>
      </c>
      <c r="E895" s="58" t="s">
        <v>41</v>
      </c>
      <c r="F895" s="58">
        <v>2.0</v>
      </c>
      <c r="G895" s="58" t="s">
        <v>32</v>
      </c>
      <c r="H895" s="33">
        <f t="shared" si="136"/>
        <v>1</v>
      </c>
      <c r="I895" s="58" t="s">
        <v>33</v>
      </c>
      <c r="J895" s="58" t="s">
        <v>179</v>
      </c>
      <c r="K895" s="58">
        <v>3.0</v>
      </c>
      <c r="L895" s="58" t="s">
        <v>52</v>
      </c>
      <c r="M895" s="61" t="s">
        <v>2817</v>
      </c>
      <c r="N895" s="80"/>
      <c r="O895" s="88" t="str">
        <f>hyperlink("https://bad-boys.us/?q=D-MA/1:18-cr-10396", "D-MA 1:18-cr-10396")</f>
        <v>D-MA 1:18-cr-10396</v>
      </c>
      <c r="P895" s="88" t="s">
        <v>2818</v>
      </c>
      <c r="Q895" s="84">
        <v>1.0</v>
      </c>
      <c r="R895" s="62"/>
      <c r="S895" s="37" t="str">
        <f>IFERROR(__xludf.DUMMYFUNCTION("if(not(iserror(index(split(C895, "" ""),2))), index(split(C895, "" ""),1),"""")"),"March,")</f>
        <v>March,</v>
      </c>
      <c r="T895" s="38">
        <f>IFERROR(__xludf.DUMMYFUNCTION("if(S895="""",C895,if(not(iserror(index(split(C895, "" ""),3))), index(split(C895, "" ""),3),index(split(C895, "" ""),2)))"),2018.0)</f>
        <v>2018</v>
      </c>
      <c r="U895" s="38" t="b">
        <f t="shared" si="135"/>
        <v>0</v>
      </c>
      <c r="V895" s="38"/>
      <c r="W895" s="40"/>
      <c r="X895" s="40"/>
      <c r="Y895" s="40"/>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row>
    <row r="896">
      <c r="A896" s="58" t="s">
        <v>2819</v>
      </c>
      <c r="B896" s="59">
        <v>43432.0</v>
      </c>
      <c r="C896" s="79">
        <v>43160.0</v>
      </c>
      <c r="D896" s="60" t="s">
        <v>1844</v>
      </c>
      <c r="E896" s="58" t="s">
        <v>41</v>
      </c>
      <c r="F896" s="58">
        <v>1.0</v>
      </c>
      <c r="G896" s="58" t="s">
        <v>32</v>
      </c>
      <c r="H896" s="33">
        <f t="shared" si="136"/>
        <v>1</v>
      </c>
      <c r="I896" s="58" t="s">
        <v>33</v>
      </c>
      <c r="J896" s="58" t="s">
        <v>514</v>
      </c>
      <c r="K896" s="58">
        <v>2.0</v>
      </c>
      <c r="L896" s="58" t="s">
        <v>69</v>
      </c>
      <c r="M896" s="61" t="s">
        <v>2820</v>
      </c>
      <c r="N896" s="80"/>
      <c r="O896" s="88" t="str">
        <f>hyperlink("https://bad-boys.us/?q=WD-AR/5:18-cr-50048", "WD-AR 5:18-cr-50048")</f>
        <v>WD-AR 5:18-cr-50048</v>
      </c>
      <c r="P896" s="88" t="s">
        <v>2821</v>
      </c>
      <c r="Q896" s="58">
        <v>1.0</v>
      </c>
      <c r="R896" s="62"/>
      <c r="S896" s="37" t="str">
        <f>IFERROR(__xludf.DUMMYFUNCTION("if(not(iserror(index(split(C896, "" ""),2))), index(split(C896, "" ""),1),"""")"),"March,")</f>
        <v>March,</v>
      </c>
      <c r="T896" s="38">
        <f>IFERROR(__xludf.DUMMYFUNCTION("if(S896="""",C896,if(not(iserror(index(split(C896, "" ""),3))), index(split(C896, "" ""),3),index(split(C896, "" ""),2)))"),2018.0)</f>
        <v>2018</v>
      </c>
      <c r="U896" s="38" t="b">
        <f t="shared" si="135"/>
        <v>0</v>
      </c>
      <c r="V896" s="38"/>
      <c r="W896" s="40"/>
      <c r="X896" s="40"/>
      <c r="Y896" s="40"/>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row>
    <row r="897">
      <c r="A897" s="58" t="s">
        <v>2822</v>
      </c>
      <c r="B897" s="59">
        <v>43260.0</v>
      </c>
      <c r="C897" s="79">
        <v>43160.0</v>
      </c>
      <c r="D897" s="60" t="s">
        <v>2723</v>
      </c>
      <c r="E897" s="58" t="s">
        <v>41</v>
      </c>
      <c r="F897" s="58">
        <v>1.0</v>
      </c>
      <c r="G897" s="58" t="s">
        <v>32</v>
      </c>
      <c r="H897" s="33">
        <f t="shared" si="136"/>
        <v>1</v>
      </c>
      <c r="I897" s="58" t="s">
        <v>33</v>
      </c>
      <c r="J897" s="58" t="s">
        <v>115</v>
      </c>
      <c r="K897" s="58">
        <v>3.0</v>
      </c>
      <c r="L897" s="58" t="s">
        <v>2823</v>
      </c>
      <c r="M897" s="61" t="s">
        <v>2824</v>
      </c>
      <c r="N897" s="77"/>
      <c r="O897" s="83" t="str">
        <f>hyperlink("https://bad-boys.us/?q=WD-PA/2:18-cr-00141", "WD-PA 2:18-cr-00141")</f>
        <v>WD-PA 2:18-cr-00141</v>
      </c>
      <c r="P897" s="88" t="s">
        <v>2825</v>
      </c>
      <c r="Q897" s="84">
        <v>1.0</v>
      </c>
      <c r="R897" s="62"/>
      <c r="S897" s="37" t="str">
        <f>IFERROR(__xludf.DUMMYFUNCTION("if(not(iserror(index(split(C897, "" ""),2))), index(split(C897, "" ""),1),"""")"),"March,")</f>
        <v>March,</v>
      </c>
      <c r="T897" s="38">
        <f>IFERROR(__xludf.DUMMYFUNCTION("if(S897="""",C897,if(not(iserror(index(split(C897, "" ""),3))), index(split(C897, "" ""),3),index(split(C897, "" ""),2)))"),2018.0)</f>
        <v>2018</v>
      </c>
      <c r="U897" s="38" t="b">
        <f t="shared" si="135"/>
        <v>0</v>
      </c>
      <c r="V897" s="38"/>
      <c r="W897" s="40"/>
      <c r="X897" s="40"/>
      <c r="Y897" s="40"/>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row>
    <row r="898">
      <c r="A898" s="13" t="s">
        <v>2826</v>
      </c>
      <c r="B898" s="30"/>
      <c r="C898" s="31">
        <v>43160.0</v>
      </c>
      <c r="D898" s="32"/>
      <c r="E898" s="13" t="s">
        <v>41</v>
      </c>
      <c r="F898" s="13">
        <v>1.0</v>
      </c>
      <c r="G898" s="13" t="s">
        <v>32</v>
      </c>
      <c r="H898" s="43">
        <v>1.0</v>
      </c>
      <c r="I898" s="13" t="s">
        <v>33</v>
      </c>
      <c r="J898" s="13" t="s">
        <v>283</v>
      </c>
      <c r="K898" s="13"/>
      <c r="L898" s="13" t="s">
        <v>2168</v>
      </c>
      <c r="M898" s="35" t="s">
        <v>2827</v>
      </c>
      <c r="N898" s="15"/>
      <c r="O898" s="86" t="str">
        <f>hyperlink("https://bad-boys.us/?q=D-NV/3:18-cr-00027", "D-NV 3:18-cr-00027")</f>
        <v>D-NV 3:18-cr-00027</v>
      </c>
      <c r="P898" s="86" t="s">
        <v>2828</v>
      </c>
      <c r="Q898" s="37">
        <v>1.0</v>
      </c>
      <c r="R898" s="16"/>
      <c r="S898" s="37" t="str">
        <f>IFERROR(__xludf.DUMMYFUNCTION("if(not(iserror(index(split(C898, "" ""),2))), index(split(C898, "" ""),1),"""")"),"March,")</f>
        <v>March,</v>
      </c>
      <c r="T898" s="38">
        <f>IFERROR(__xludf.DUMMYFUNCTION("if(S898="""",C898,if(not(iserror(index(split(C898, "" ""),3))), index(split(C898, "" ""),3),index(split(C898, "" ""),2)))"),2018.0)</f>
        <v>2018</v>
      </c>
      <c r="U898" s="38" t="b">
        <f t="shared" si="135"/>
        <v>0</v>
      </c>
      <c r="V898" s="38" t="s">
        <v>33</v>
      </c>
      <c r="W898" s="40"/>
      <c r="X898" s="40"/>
      <c r="Y898" s="40"/>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c r="BQ898" s="38"/>
    </row>
    <row r="899">
      <c r="A899" s="13" t="s">
        <v>2829</v>
      </c>
      <c r="B899" s="30"/>
      <c r="C899" s="30">
        <v>43160.0</v>
      </c>
      <c r="D899" s="32"/>
      <c r="E899" s="13" t="s">
        <v>41</v>
      </c>
      <c r="F899" s="13">
        <v>1.0</v>
      </c>
      <c r="G899" s="13" t="s">
        <v>32</v>
      </c>
      <c r="H899" s="43">
        <v>1.0</v>
      </c>
      <c r="I899" s="13" t="s">
        <v>33</v>
      </c>
      <c r="J899" s="13" t="s">
        <v>132</v>
      </c>
      <c r="K899" s="13"/>
      <c r="L899" s="13" t="s">
        <v>254</v>
      </c>
      <c r="M899" s="35" t="s">
        <v>2830</v>
      </c>
      <c r="N899" s="15"/>
      <c r="O899" s="37"/>
      <c r="P899" s="37"/>
      <c r="Q899" s="37"/>
      <c r="R899" s="16"/>
      <c r="S899" s="37"/>
      <c r="T899" s="38"/>
      <c r="U899" s="38" t="b">
        <f t="shared" si="135"/>
        <v>0</v>
      </c>
      <c r="V899" s="38" t="s">
        <v>33</v>
      </c>
      <c r="W899" s="40"/>
      <c r="X899" s="40"/>
      <c r="Y899" s="40"/>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row>
    <row r="900">
      <c r="A900" s="13" t="s">
        <v>2831</v>
      </c>
      <c r="B900" s="30">
        <v>43160.0</v>
      </c>
      <c r="C900" s="30">
        <v>43160.0</v>
      </c>
      <c r="D900" s="32" t="s">
        <v>2751</v>
      </c>
      <c r="E900" s="13" t="s">
        <v>41</v>
      </c>
      <c r="F900" s="13">
        <v>1.0</v>
      </c>
      <c r="G900" s="13" t="s">
        <v>32</v>
      </c>
      <c r="H900" s="33">
        <v>1.0</v>
      </c>
      <c r="I900" s="13" t="s">
        <v>33</v>
      </c>
      <c r="J900" s="13" t="s">
        <v>283</v>
      </c>
      <c r="K900" s="13">
        <v>1.0</v>
      </c>
      <c r="L900" s="13" t="s">
        <v>1727</v>
      </c>
      <c r="M900" s="56" t="s">
        <v>2832</v>
      </c>
      <c r="N900" s="15"/>
      <c r="O900" s="37"/>
      <c r="P900" s="37"/>
      <c r="Q900" s="37"/>
      <c r="R900" s="16"/>
      <c r="S900" s="37" t="s">
        <v>2833</v>
      </c>
      <c r="T900" s="38">
        <v>2018.0</v>
      </c>
      <c r="U900" s="38" t="b">
        <f t="shared" si="135"/>
        <v>0</v>
      </c>
      <c r="V900" s="38"/>
      <c r="W900" s="40"/>
      <c r="X900" s="40"/>
      <c r="Y900" s="40"/>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row>
    <row r="901">
      <c r="A901" s="13" t="s">
        <v>2834</v>
      </c>
      <c r="B901" s="30">
        <v>43160.0</v>
      </c>
      <c r="C901" s="30">
        <v>43160.0</v>
      </c>
      <c r="D901" s="32" t="s">
        <v>2751</v>
      </c>
      <c r="E901" s="13" t="s">
        <v>41</v>
      </c>
      <c r="F901" s="13">
        <v>1.0</v>
      </c>
      <c r="G901" s="13" t="s">
        <v>32</v>
      </c>
      <c r="H901" s="33">
        <v>1.0</v>
      </c>
      <c r="I901" s="13" t="s">
        <v>33</v>
      </c>
      <c r="J901" s="13" t="s">
        <v>111</v>
      </c>
      <c r="K901" s="13" t="s">
        <v>40</v>
      </c>
      <c r="L901" s="13" t="s">
        <v>119</v>
      </c>
      <c r="M901" s="56" t="s">
        <v>2835</v>
      </c>
      <c r="N901" s="15"/>
      <c r="O901" s="37"/>
      <c r="P901" s="37"/>
      <c r="Q901" s="37"/>
      <c r="R901" s="16"/>
      <c r="S901" s="37" t="s">
        <v>2833</v>
      </c>
      <c r="T901" s="38">
        <v>2018.0</v>
      </c>
      <c r="U901" s="38" t="b">
        <f t="shared" si="135"/>
        <v>0</v>
      </c>
      <c r="V901" s="38"/>
      <c r="W901" s="40"/>
      <c r="X901" s="40"/>
      <c r="Y901" s="40"/>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row>
    <row r="902">
      <c r="A902" s="13" t="s">
        <v>2836</v>
      </c>
      <c r="B902" s="30">
        <v>43160.0</v>
      </c>
      <c r="C902" s="30">
        <v>43160.0</v>
      </c>
      <c r="D902" s="32" t="s">
        <v>2751</v>
      </c>
      <c r="E902" s="13" t="s">
        <v>31</v>
      </c>
      <c r="F902" s="13">
        <v>1.0</v>
      </c>
      <c r="G902" s="13" t="s">
        <v>32</v>
      </c>
      <c r="H902" s="33">
        <v>1.0</v>
      </c>
      <c r="I902" s="13" t="s">
        <v>33</v>
      </c>
      <c r="J902" s="13" t="s">
        <v>93</v>
      </c>
      <c r="K902" s="13">
        <v>2.0</v>
      </c>
      <c r="L902" s="13" t="s">
        <v>2837</v>
      </c>
      <c r="M902" s="56" t="s">
        <v>2838</v>
      </c>
      <c r="N902" s="15"/>
      <c r="O902" s="91"/>
      <c r="P902" s="91"/>
      <c r="Q902" s="91"/>
      <c r="R902" s="16"/>
      <c r="S902" s="37" t="s">
        <v>2833</v>
      </c>
      <c r="T902" s="38">
        <v>2018.0</v>
      </c>
      <c r="U902" s="38" t="b">
        <f t="shared" si="135"/>
        <v>0</v>
      </c>
      <c r="V902" s="38"/>
      <c r="W902" s="40"/>
      <c r="X902" s="40"/>
      <c r="Y902" s="40"/>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row>
    <row r="903">
      <c r="A903" s="13" t="s">
        <v>2839</v>
      </c>
      <c r="B903" s="30"/>
      <c r="C903" s="30">
        <v>43162.0</v>
      </c>
      <c r="D903" s="32"/>
      <c r="E903" s="13" t="s">
        <v>41</v>
      </c>
      <c r="F903" s="13">
        <v>1.0</v>
      </c>
      <c r="G903" s="13" t="s">
        <v>32</v>
      </c>
      <c r="H903" s="43">
        <v>1.0</v>
      </c>
      <c r="I903" s="13" t="s">
        <v>33</v>
      </c>
      <c r="J903" s="13" t="s">
        <v>42</v>
      </c>
      <c r="K903" s="13"/>
      <c r="L903" s="13" t="s">
        <v>76</v>
      </c>
      <c r="M903" s="35" t="s">
        <v>2840</v>
      </c>
      <c r="N903" s="15"/>
      <c r="O903" s="86" t="str">
        <f>hyperlink("https://bad-boys.us/?q=ED-MI/2:18-cr-20168", "ED-MI 2:18-cr-20168")</f>
        <v>ED-MI 2:18-cr-20168</v>
      </c>
      <c r="P903" s="86" t="s">
        <v>2841</v>
      </c>
      <c r="Q903" s="37">
        <v>1.0</v>
      </c>
      <c r="R903" s="16"/>
      <c r="S903" s="37" t="str">
        <f>IFERROR(__xludf.DUMMYFUNCTION("if(not(iserror(index(split(C903, "" ""),2))), index(split(C903, "" ""),1),"""")"),"March")</f>
        <v>March</v>
      </c>
      <c r="T903" s="38">
        <f>IFERROR(__xludf.DUMMYFUNCTION("if(S903="""",C903,if(not(iserror(index(split(C903, "" ""),3))), index(split(C903, "" ""),3),index(split(C903, "" ""),2)))"),2018.0)</f>
        <v>2018</v>
      </c>
      <c r="U903" s="38" t="b">
        <f t="shared" si="135"/>
        <v>0</v>
      </c>
      <c r="V903" s="38" t="s">
        <v>33</v>
      </c>
      <c r="W903" s="40"/>
      <c r="X903" s="40"/>
      <c r="Y903" s="40"/>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row>
    <row r="904">
      <c r="A904" s="13" t="s">
        <v>239</v>
      </c>
      <c r="B904" s="30">
        <v>43166.0</v>
      </c>
      <c r="C904" s="30">
        <v>43164.0</v>
      </c>
      <c r="D904" s="32" t="s">
        <v>2842</v>
      </c>
      <c r="E904" s="13" t="s">
        <v>41</v>
      </c>
      <c r="F904" s="13">
        <v>1.0</v>
      </c>
      <c r="G904" s="13">
        <v>15.0</v>
      </c>
      <c r="H904" s="33">
        <f t="shared" ref="H904:H906" si="137">if(G904="Unknown",1,G904)</f>
        <v>15</v>
      </c>
      <c r="I904" s="13" t="s">
        <v>33</v>
      </c>
      <c r="J904" s="13" t="s">
        <v>147</v>
      </c>
      <c r="K904" s="13">
        <v>1.0</v>
      </c>
      <c r="L904" s="13" t="s">
        <v>194</v>
      </c>
      <c r="M904" s="35" t="s">
        <v>2843</v>
      </c>
      <c r="N904" s="15"/>
      <c r="O904" s="37"/>
      <c r="P904" s="37"/>
      <c r="Q904" s="64"/>
      <c r="R904" s="16"/>
      <c r="S904" s="37" t="str">
        <f>IFERROR(__xludf.DUMMYFUNCTION("if(not(iserror(index(split(C904, "" ""),2))), index(split(C904, "" ""),1),"""")"),"March")</f>
        <v>March</v>
      </c>
      <c r="T904" s="38">
        <f>IFERROR(__xludf.DUMMYFUNCTION("if(S904="""",C904,if(not(iserror(index(split(C904, "" ""),3))), index(split(C904, "" ""),3),index(split(C904, "" ""),2)))"),2018.0)</f>
        <v>2018</v>
      </c>
      <c r="U904" s="38" t="b">
        <f t="shared" si="135"/>
        <v>1</v>
      </c>
      <c r="V904" s="38"/>
      <c r="W904" s="40"/>
      <c r="X904" s="40"/>
      <c r="Y904" s="40"/>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row>
    <row r="905">
      <c r="A905" s="13" t="s">
        <v>2844</v>
      </c>
      <c r="B905" s="30">
        <v>43165.0</v>
      </c>
      <c r="C905" s="30">
        <v>43165.0</v>
      </c>
      <c r="D905" s="32" t="s">
        <v>2845</v>
      </c>
      <c r="E905" s="13" t="s">
        <v>41</v>
      </c>
      <c r="F905" s="13">
        <v>1.0</v>
      </c>
      <c r="G905" s="13" t="s">
        <v>32</v>
      </c>
      <c r="H905" s="33">
        <f t="shared" si="137"/>
        <v>1</v>
      </c>
      <c r="I905" s="13" t="s">
        <v>33</v>
      </c>
      <c r="J905" s="13" t="s">
        <v>93</v>
      </c>
      <c r="K905" s="13">
        <v>1.0</v>
      </c>
      <c r="L905" s="13" t="s">
        <v>2846</v>
      </c>
      <c r="M905" s="35" t="s">
        <v>2847</v>
      </c>
      <c r="N905" s="36" t="s">
        <v>2848</v>
      </c>
      <c r="O905" s="86" t="str">
        <f>hyperlink("https://bad-boys.us/?q=WD-NY/6:18-cr-06052", "WD-NY 6:18-cr-06052")</f>
        <v>WD-NY 6:18-cr-06052</v>
      </c>
      <c r="P905" s="16"/>
      <c r="Q905" s="64">
        <v>1.0</v>
      </c>
      <c r="R905" s="16"/>
      <c r="S905" s="37" t="str">
        <f>IFERROR(__xludf.DUMMYFUNCTION("if(not(iserror(index(split(C905, "" ""),2))), index(split(C905, "" ""),1),"""")"),"March")</f>
        <v>March</v>
      </c>
      <c r="T905" s="38">
        <f>IFERROR(__xludf.DUMMYFUNCTION("if(S905="""",C905,if(not(iserror(index(split(C905, "" ""),3))), index(split(C905, "" ""),3),index(split(C905, "" ""),2)))"),2018.0)</f>
        <v>2018</v>
      </c>
      <c r="U905" s="38" t="b">
        <f t="shared" si="135"/>
        <v>0</v>
      </c>
      <c r="V905" s="38"/>
      <c r="W905" s="40"/>
      <c r="X905" s="40"/>
      <c r="Y905" s="40"/>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row>
    <row r="906">
      <c r="A906" s="13" t="s">
        <v>2849</v>
      </c>
      <c r="B906" s="30">
        <v>43165.0</v>
      </c>
      <c r="C906" s="30">
        <v>43165.0</v>
      </c>
      <c r="D906" s="32" t="s">
        <v>2845</v>
      </c>
      <c r="E906" s="13" t="s">
        <v>41</v>
      </c>
      <c r="F906" s="13">
        <v>1.0</v>
      </c>
      <c r="G906" s="13" t="s">
        <v>32</v>
      </c>
      <c r="H906" s="33">
        <f t="shared" si="137"/>
        <v>1</v>
      </c>
      <c r="I906" s="13" t="s">
        <v>33</v>
      </c>
      <c r="J906" s="13" t="s">
        <v>93</v>
      </c>
      <c r="K906" s="13">
        <v>3.0</v>
      </c>
      <c r="L906" s="13" t="s">
        <v>119</v>
      </c>
      <c r="M906" s="35" t="s">
        <v>2850</v>
      </c>
      <c r="N906" s="15"/>
      <c r="O906" s="57" t="str">
        <f>hyperlink("https://bad-boys.us/?q=ND-NY/8:18-cr-00069", "ND-NY 8:18-cr-00069")</f>
        <v>ND-NY 8:18-cr-00069</v>
      </c>
      <c r="P906" s="86" t="s">
        <v>2851</v>
      </c>
      <c r="Q906" s="37">
        <v>1.0</v>
      </c>
      <c r="R906" s="16"/>
      <c r="S906" s="37" t="str">
        <f>IFERROR(__xludf.DUMMYFUNCTION("if(not(iserror(index(split(C906, "" ""),2))), index(split(C906, "" ""),1),"""")"),"March")</f>
        <v>March</v>
      </c>
      <c r="T906" s="38">
        <f>IFERROR(__xludf.DUMMYFUNCTION("if(S906="""",C906,if(not(iserror(index(split(C906, "" ""),3))), index(split(C906, "" ""),3),index(split(C906, "" ""),2)))"),2018.0)</f>
        <v>2018</v>
      </c>
      <c r="U906" s="38" t="b">
        <f t="shared" si="135"/>
        <v>0</v>
      </c>
      <c r="V906" s="38"/>
      <c r="W906" s="40"/>
      <c r="X906" s="40"/>
      <c r="Y906" s="40"/>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row>
    <row r="907">
      <c r="A907" s="13" t="s">
        <v>2852</v>
      </c>
      <c r="B907" s="30"/>
      <c r="C907" s="30">
        <v>43165.0</v>
      </c>
      <c r="D907" s="32"/>
      <c r="E907" s="13" t="s">
        <v>41</v>
      </c>
      <c r="F907" s="13">
        <v>1.0</v>
      </c>
      <c r="G907" s="13">
        <v>6.0</v>
      </c>
      <c r="H907" s="43">
        <v>6.0</v>
      </c>
      <c r="I907" s="13" t="s">
        <v>33</v>
      </c>
      <c r="J907" s="13" t="s">
        <v>42</v>
      </c>
      <c r="K907" s="13"/>
      <c r="L907" s="13" t="s">
        <v>2853</v>
      </c>
      <c r="M907" s="35" t="s">
        <v>2854</v>
      </c>
      <c r="N907" s="15"/>
      <c r="O907" s="86" t="str">
        <f>hyperlink("https://bad-boys.us/?q=WD-MI/1:18-cr-00051", "WD-MI 1:18-cr-00051")</f>
        <v>WD-MI 1:18-cr-00051</v>
      </c>
      <c r="P907" s="86" t="s">
        <v>2855</v>
      </c>
      <c r="Q907" s="37">
        <v>1.0</v>
      </c>
      <c r="R907" s="16"/>
      <c r="S907" s="37"/>
      <c r="T907" s="38"/>
      <c r="U907" s="38" t="b">
        <f t="shared" si="135"/>
        <v>0</v>
      </c>
      <c r="V907" s="38" t="s">
        <v>33</v>
      </c>
      <c r="W907" s="40"/>
      <c r="X907" s="40"/>
      <c r="Y907" s="40"/>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row>
    <row r="908">
      <c r="A908" s="13" t="s">
        <v>239</v>
      </c>
      <c r="B908" s="30">
        <v>43168.0</v>
      </c>
      <c r="C908" s="30">
        <v>43165.0</v>
      </c>
      <c r="D908" s="32" t="s">
        <v>2845</v>
      </c>
      <c r="E908" s="13" t="s">
        <v>41</v>
      </c>
      <c r="F908" s="13">
        <v>1.0</v>
      </c>
      <c r="G908" s="13">
        <v>7.0</v>
      </c>
      <c r="H908" s="33">
        <f t="shared" ref="H908:H909" si="138">if(G908="Unknown",1,G908)</f>
        <v>7</v>
      </c>
      <c r="I908" s="13" t="s">
        <v>33</v>
      </c>
      <c r="J908" s="13" t="s">
        <v>147</v>
      </c>
      <c r="K908" s="13">
        <v>1.0</v>
      </c>
      <c r="L908" s="13" t="s">
        <v>194</v>
      </c>
      <c r="M908" s="35" t="s">
        <v>2856</v>
      </c>
      <c r="N908" s="15"/>
      <c r="O908" s="37"/>
      <c r="P908" s="37"/>
      <c r="Q908" s="64"/>
      <c r="R908" s="16"/>
      <c r="S908" s="37" t="str">
        <f>IFERROR(__xludf.DUMMYFUNCTION("if(not(iserror(index(split(C908, "" ""),2))), index(split(C908, "" ""),1),"""")"),"March")</f>
        <v>March</v>
      </c>
      <c r="T908" s="38">
        <f>IFERROR(__xludf.DUMMYFUNCTION("if(S908="""",C908,if(not(iserror(index(split(C908, "" ""),3))), index(split(C908, "" ""),3),index(split(C908, "" ""),2)))"),2018.0)</f>
        <v>2018</v>
      </c>
      <c r="U908" s="38" t="b">
        <f t="shared" si="135"/>
        <v>1</v>
      </c>
      <c r="V908" s="38"/>
      <c r="W908" s="40"/>
      <c r="X908" s="40"/>
      <c r="Y908" s="40"/>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row>
    <row r="909">
      <c r="A909" s="13" t="s">
        <v>2857</v>
      </c>
      <c r="B909" s="30">
        <v>43167.0</v>
      </c>
      <c r="C909" s="30">
        <v>43166.0</v>
      </c>
      <c r="D909" s="32" t="s">
        <v>2858</v>
      </c>
      <c r="E909" s="13" t="s">
        <v>41</v>
      </c>
      <c r="F909" s="13">
        <v>1.0</v>
      </c>
      <c r="G909" s="13" t="s">
        <v>32</v>
      </c>
      <c r="H909" s="33">
        <f t="shared" si="138"/>
        <v>1</v>
      </c>
      <c r="I909" s="13" t="s">
        <v>33</v>
      </c>
      <c r="J909" s="13" t="s">
        <v>106</v>
      </c>
      <c r="K909" s="13">
        <v>1.0</v>
      </c>
      <c r="L909" s="13" t="s">
        <v>2859</v>
      </c>
      <c r="M909" s="35" t="s">
        <v>2860</v>
      </c>
      <c r="N909" s="15"/>
      <c r="O909" s="37"/>
      <c r="P909" s="16"/>
      <c r="Q909" s="64"/>
      <c r="R909" s="16"/>
      <c r="S909" s="37" t="str">
        <f>IFERROR(__xludf.DUMMYFUNCTION("if(not(iserror(index(split(C909, "" ""),2))), index(split(C909, "" ""),1),"""")"),"March")</f>
        <v>March</v>
      </c>
      <c r="T909" s="38">
        <f>IFERROR(__xludf.DUMMYFUNCTION("if(S909="""",C909,if(not(iserror(index(split(C909, "" ""),3))), index(split(C909, "" ""),3),index(split(C909, "" ""),2)))"),2018.0)</f>
        <v>2018</v>
      </c>
      <c r="U909" s="38" t="b">
        <f t="shared" si="135"/>
        <v>0</v>
      </c>
      <c r="V909" s="38"/>
      <c r="W909" s="40"/>
      <c r="X909" s="40"/>
      <c r="Y909" s="40"/>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row>
    <row r="910">
      <c r="A910" s="13" t="s">
        <v>2861</v>
      </c>
      <c r="B910" s="30"/>
      <c r="C910" s="30">
        <v>43166.0</v>
      </c>
      <c r="D910" s="32"/>
      <c r="E910" s="13" t="s">
        <v>41</v>
      </c>
      <c r="F910" s="13">
        <v>1.0</v>
      </c>
      <c r="G910" s="13" t="s">
        <v>32</v>
      </c>
      <c r="H910" s="43">
        <v>1.0</v>
      </c>
      <c r="I910" s="13" t="s">
        <v>33</v>
      </c>
      <c r="J910" s="13" t="s">
        <v>162</v>
      </c>
      <c r="K910" s="13"/>
      <c r="L910" s="13" t="s">
        <v>119</v>
      </c>
      <c r="M910" s="35" t="s">
        <v>2862</v>
      </c>
      <c r="N910" s="15"/>
      <c r="O910" s="37"/>
      <c r="P910" s="16"/>
      <c r="Q910" s="37">
        <v>1.0</v>
      </c>
      <c r="R910" s="16"/>
      <c r="S910" s="37"/>
      <c r="T910" s="38"/>
      <c r="U910" s="38"/>
      <c r="V910" s="38" t="s">
        <v>33</v>
      </c>
      <c r="W910" s="40"/>
      <c r="X910" s="40"/>
      <c r="Y910" s="40"/>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row>
    <row r="911">
      <c r="A911" s="78" t="s">
        <v>2863</v>
      </c>
      <c r="B911" s="59">
        <v>43269.0</v>
      </c>
      <c r="C911" s="59">
        <v>43166.0</v>
      </c>
      <c r="D911" s="60" t="s">
        <v>2858</v>
      </c>
      <c r="E911" s="58" t="s">
        <v>31</v>
      </c>
      <c r="F911" s="58">
        <v>1.0</v>
      </c>
      <c r="G911" s="58" t="s">
        <v>32</v>
      </c>
      <c r="H911" s="33">
        <f t="shared" ref="H911:H915" si="139">if(G911="Unknown",1,G911)</f>
        <v>1</v>
      </c>
      <c r="I911" s="58" t="s">
        <v>33</v>
      </c>
      <c r="J911" s="58" t="s">
        <v>268</v>
      </c>
      <c r="K911" s="58" t="s">
        <v>32</v>
      </c>
      <c r="L911" s="58" t="s">
        <v>99</v>
      </c>
      <c r="M911" s="61" t="s">
        <v>2864</v>
      </c>
      <c r="N911" s="61" t="s">
        <v>2865</v>
      </c>
      <c r="O911" s="83" t="str">
        <f>hyperlink("https://bad-boys.us/?q=ED-OK/6:18-cr-00050", "ED-OK 6:18-cr-00050")</f>
        <v>ED-OK 6:18-cr-00050</v>
      </c>
      <c r="P911" s="62"/>
      <c r="Q911" s="58">
        <v>1.0</v>
      </c>
      <c r="R911" s="62"/>
      <c r="S911" s="37" t="str">
        <f>IFERROR(__xludf.DUMMYFUNCTION("if(not(iserror(index(split(C911, "" ""),2))), index(split(C911, "" ""),1),"""")"),"March")</f>
        <v>March</v>
      </c>
      <c r="T911" s="38">
        <f>IFERROR(__xludf.DUMMYFUNCTION("if(S911="""",C911,if(not(iserror(index(split(C911, "" ""),3))), index(split(C911, "" ""),3),index(split(C911, "" ""),2)))"),2018.0)</f>
        <v>2018</v>
      </c>
      <c r="U911" s="38" t="b">
        <f t="shared" ref="U911:U969" si="140">countif(A$4:A4658, A911)&gt;1</f>
        <v>1</v>
      </c>
      <c r="V911" s="38"/>
      <c r="W911" s="40"/>
      <c r="X911" s="40"/>
      <c r="Y911" s="40"/>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row>
    <row r="912">
      <c r="A912" s="58" t="s">
        <v>2866</v>
      </c>
      <c r="B912" s="59">
        <v>43361.0</v>
      </c>
      <c r="C912" s="59">
        <v>43166.0</v>
      </c>
      <c r="D912" s="60" t="s">
        <v>2858</v>
      </c>
      <c r="E912" s="58" t="s">
        <v>41</v>
      </c>
      <c r="F912" s="58">
        <v>2.0</v>
      </c>
      <c r="G912" s="58">
        <v>1.0</v>
      </c>
      <c r="H912" s="33">
        <f t="shared" si="139"/>
        <v>1</v>
      </c>
      <c r="I912" s="58" t="s">
        <v>33</v>
      </c>
      <c r="J912" s="58" t="s">
        <v>279</v>
      </c>
      <c r="K912" s="58">
        <v>1.0</v>
      </c>
      <c r="L912" s="58" t="s">
        <v>52</v>
      </c>
      <c r="M912" s="61" t="s">
        <v>2867</v>
      </c>
      <c r="N912" s="77"/>
      <c r="O912" s="62"/>
      <c r="P912" s="62"/>
      <c r="Q912" s="62"/>
      <c r="R912" s="62"/>
      <c r="S912" s="37" t="str">
        <f>IFERROR(__xludf.DUMMYFUNCTION("if(not(iserror(index(split(C912, "" ""),2))), index(split(C912, "" ""),1),"""")"),"March")</f>
        <v>March</v>
      </c>
      <c r="T912" s="38">
        <f>IFERROR(__xludf.DUMMYFUNCTION("if(S912="""",C912,if(not(iserror(index(split(C912, "" ""),3))), index(split(C912, "" ""),3),index(split(C912, "" ""),2)))"),2018.0)</f>
        <v>2018</v>
      </c>
      <c r="U912" s="38" t="b">
        <f t="shared" si="140"/>
        <v>0</v>
      </c>
      <c r="V912" s="38"/>
      <c r="W912" s="40"/>
      <c r="X912" s="40"/>
      <c r="Y912" s="40"/>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row>
    <row r="913">
      <c r="A913" s="13" t="s">
        <v>2868</v>
      </c>
      <c r="B913" s="30">
        <v>43167.0</v>
      </c>
      <c r="C913" s="30">
        <v>43167.0</v>
      </c>
      <c r="D913" s="32" t="s">
        <v>2869</v>
      </c>
      <c r="E913" s="13" t="s">
        <v>31</v>
      </c>
      <c r="F913" s="13">
        <v>1.0</v>
      </c>
      <c r="G913" s="13" t="s">
        <v>32</v>
      </c>
      <c r="H913" s="33">
        <f t="shared" si="139"/>
        <v>1</v>
      </c>
      <c r="I913" s="13" t="s">
        <v>33</v>
      </c>
      <c r="J913" s="13" t="s">
        <v>93</v>
      </c>
      <c r="K913" s="13">
        <v>2.0</v>
      </c>
      <c r="L913" s="13" t="s">
        <v>76</v>
      </c>
      <c r="M913" s="35" t="s">
        <v>2870</v>
      </c>
      <c r="N913" s="104" t="s">
        <v>2871</v>
      </c>
      <c r="O913" s="86" t="str">
        <f>hyperlink("https://bad-boys.us/?q=WD-NY/1:18-cr-00055", "WD-NY 1:18-cr-00055")</f>
        <v>WD-NY 1:18-cr-00055</v>
      </c>
      <c r="P913" s="37"/>
      <c r="Q913" s="37">
        <v>1.0</v>
      </c>
      <c r="R913" s="16"/>
      <c r="S913" s="37" t="str">
        <f>IFERROR(__xludf.DUMMYFUNCTION("if(not(iserror(index(split(C913, "" ""),2))), index(split(C913, "" ""),1),"""")"),"March")</f>
        <v>March</v>
      </c>
      <c r="T913" s="38">
        <f>IFERROR(__xludf.DUMMYFUNCTION("if(S913="""",C913,if(not(iserror(index(split(C913, "" ""),3))), index(split(C913, "" ""),3),index(split(C913, "" ""),2)))"),2018.0)</f>
        <v>2018</v>
      </c>
      <c r="U913" s="38" t="b">
        <f t="shared" si="140"/>
        <v>0</v>
      </c>
      <c r="V913" s="38" t="s">
        <v>33</v>
      </c>
      <c r="W913" s="40"/>
      <c r="X913" s="40"/>
      <c r="Y913" s="40"/>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row>
    <row r="914">
      <c r="A914" s="13" t="s">
        <v>2872</v>
      </c>
      <c r="B914" s="30">
        <v>43167.0</v>
      </c>
      <c r="C914" s="30">
        <v>43167.0</v>
      </c>
      <c r="D914" s="32" t="s">
        <v>2869</v>
      </c>
      <c r="E914" s="13" t="s">
        <v>41</v>
      </c>
      <c r="F914" s="13">
        <v>1.0</v>
      </c>
      <c r="G914" s="13" t="s">
        <v>32</v>
      </c>
      <c r="H914" s="33">
        <f t="shared" si="139"/>
        <v>1</v>
      </c>
      <c r="I914" s="13" t="s">
        <v>33</v>
      </c>
      <c r="J914" s="13" t="s">
        <v>47</v>
      </c>
      <c r="K914" s="13">
        <v>2.0</v>
      </c>
      <c r="L914" s="13" t="s">
        <v>2873</v>
      </c>
      <c r="M914" s="35" t="s">
        <v>2874</v>
      </c>
      <c r="N914" s="15"/>
      <c r="O914" s="86" t="str">
        <f>hyperlink("https://bad-boys.us/?q=MD-FL/3:18-cr-00053", "MD-FL 3:18-cr-00053")</f>
        <v>MD-FL 3:18-cr-00053</v>
      </c>
      <c r="P914" s="86" t="s">
        <v>2875</v>
      </c>
      <c r="Q914" s="64">
        <v>1.0</v>
      </c>
      <c r="R914" s="16"/>
      <c r="S914" s="37" t="str">
        <f>IFERROR(__xludf.DUMMYFUNCTION("if(not(iserror(index(split(C914, "" ""),2))), index(split(C914, "" ""),1),"""")"),"March")</f>
        <v>March</v>
      </c>
      <c r="T914" s="38">
        <f>IFERROR(__xludf.DUMMYFUNCTION("if(S914="""",C914,if(not(iserror(index(split(C914, "" ""),3))), index(split(C914, "" ""),3),index(split(C914, "" ""),2)))"),2018.0)</f>
        <v>2018</v>
      </c>
      <c r="U914" s="38" t="b">
        <f t="shared" si="140"/>
        <v>0</v>
      </c>
      <c r="V914" s="38"/>
      <c r="W914" s="40"/>
      <c r="X914" s="40"/>
      <c r="Y914" s="40"/>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row>
    <row r="915">
      <c r="A915" s="13" t="s">
        <v>2876</v>
      </c>
      <c r="B915" s="30">
        <v>43167.0</v>
      </c>
      <c r="C915" s="30">
        <v>43167.0</v>
      </c>
      <c r="D915" s="32" t="s">
        <v>2869</v>
      </c>
      <c r="E915" s="13" t="s">
        <v>41</v>
      </c>
      <c r="F915" s="13">
        <v>1.0</v>
      </c>
      <c r="G915" s="13" t="s">
        <v>32</v>
      </c>
      <c r="H915" s="33">
        <f t="shared" si="139"/>
        <v>1</v>
      </c>
      <c r="I915" s="13" t="s">
        <v>33</v>
      </c>
      <c r="J915" s="13" t="s">
        <v>115</v>
      </c>
      <c r="K915" s="13">
        <v>4.0</v>
      </c>
      <c r="L915" s="13" t="s">
        <v>2877</v>
      </c>
      <c r="M915" s="35" t="s">
        <v>2878</v>
      </c>
      <c r="N915" s="15"/>
      <c r="O915" s="86" t="str">
        <f>hyperlink("https://bad-boys.us/?q=MD-PA/4:18-cr-00083", "MD-PA 4:18-cr-00083")</f>
        <v>MD-PA 4:18-cr-00083</v>
      </c>
      <c r="P915" s="16"/>
      <c r="Q915" s="64">
        <v>1.0</v>
      </c>
      <c r="R915" s="16"/>
      <c r="S915" s="37" t="str">
        <f>IFERROR(__xludf.DUMMYFUNCTION("if(not(iserror(index(split(C915, "" ""),2))), index(split(C915, "" ""),1),"""")"),"March")</f>
        <v>March</v>
      </c>
      <c r="T915" s="38">
        <f>IFERROR(__xludf.DUMMYFUNCTION("if(S915="""",C915,if(not(iserror(index(split(C915, "" ""),3))), index(split(C915, "" ""),3),index(split(C915, "" ""),2)))"),2018.0)</f>
        <v>2018</v>
      </c>
      <c r="U915" s="38" t="b">
        <f t="shared" si="140"/>
        <v>0</v>
      </c>
      <c r="V915" s="38"/>
      <c r="W915" s="40"/>
      <c r="X915" s="40"/>
      <c r="Y915" s="40"/>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row>
    <row r="916">
      <c r="A916" s="13" t="s">
        <v>2879</v>
      </c>
      <c r="B916" s="30"/>
      <c r="C916" s="30">
        <v>43167.0</v>
      </c>
      <c r="D916" s="32"/>
      <c r="E916" s="13" t="s">
        <v>41</v>
      </c>
      <c r="F916" s="13">
        <v>1.0</v>
      </c>
      <c r="G916" s="13" t="s">
        <v>32</v>
      </c>
      <c r="H916" s="43">
        <v>1.0</v>
      </c>
      <c r="I916" s="13" t="s">
        <v>33</v>
      </c>
      <c r="J916" s="13" t="s">
        <v>111</v>
      </c>
      <c r="K916" s="13"/>
      <c r="L916" s="13" t="s">
        <v>76</v>
      </c>
      <c r="M916" s="35" t="s">
        <v>2880</v>
      </c>
      <c r="N916" s="15"/>
      <c r="O916" s="86" t="str">
        <f>hyperlink("https://bad-boys.us/?q=ND-CA/3:18-cr-00097", "ND-CA 3:18-cr-00097")</f>
        <v>ND-CA 3:18-cr-00097</v>
      </c>
      <c r="P916" s="86" t="s">
        <v>2881</v>
      </c>
      <c r="Q916" s="37">
        <v>1.0</v>
      </c>
      <c r="R916" s="16"/>
      <c r="S916" s="37" t="str">
        <f>IFERROR(__xludf.DUMMYFUNCTION("if(not(iserror(index(split(C916, "" ""),2))), index(split(C916, "" ""),1),"""")"),"March")</f>
        <v>March</v>
      </c>
      <c r="T916" s="38">
        <f>IFERROR(__xludf.DUMMYFUNCTION("if(S916="""",C916,if(not(iserror(index(split(C916, "" ""),3))), index(split(C916, "" ""),3),index(split(C916, "" ""),2)))"),2018.0)</f>
        <v>2018</v>
      </c>
      <c r="U916" s="38" t="b">
        <f t="shared" si="140"/>
        <v>0</v>
      </c>
      <c r="V916" s="38" t="s">
        <v>33</v>
      </c>
      <c r="W916" s="40"/>
      <c r="X916" s="40"/>
      <c r="Y916" s="40"/>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row>
    <row r="917">
      <c r="A917" s="13" t="s">
        <v>2882</v>
      </c>
      <c r="B917" s="30">
        <v>43168.0</v>
      </c>
      <c r="C917" s="30">
        <v>43167.0</v>
      </c>
      <c r="D917" s="32" t="s">
        <v>2869</v>
      </c>
      <c r="E917" s="13" t="s">
        <v>31</v>
      </c>
      <c r="F917" s="13">
        <v>1.0</v>
      </c>
      <c r="G917" s="13" t="s">
        <v>32</v>
      </c>
      <c r="H917" s="33">
        <f t="shared" ref="H917:H922" si="141">if(G917="Unknown",1,G917)</f>
        <v>1</v>
      </c>
      <c r="I917" s="13" t="s">
        <v>33</v>
      </c>
      <c r="J917" s="13" t="s">
        <v>47</v>
      </c>
      <c r="K917" s="13">
        <v>1.0</v>
      </c>
      <c r="L917" s="13" t="s">
        <v>807</v>
      </c>
      <c r="M917" s="35" t="s">
        <v>2883</v>
      </c>
      <c r="N917" s="104"/>
      <c r="O917" s="37"/>
      <c r="P917" s="37"/>
      <c r="Q917" s="64"/>
      <c r="R917" s="16"/>
      <c r="S917" s="37" t="str">
        <f>IFERROR(__xludf.DUMMYFUNCTION("if(not(iserror(index(split(C917, "" ""),2))), index(split(C917, "" ""),1),"""")"),"March")</f>
        <v>March</v>
      </c>
      <c r="T917" s="38">
        <f>IFERROR(__xludf.DUMMYFUNCTION("if(S917="""",C917,if(not(iserror(index(split(C917, "" ""),3))), index(split(C917, "" ""),3),index(split(C917, "" ""),2)))"),2018.0)</f>
        <v>2018</v>
      </c>
      <c r="U917" s="38" t="b">
        <f t="shared" si="140"/>
        <v>0</v>
      </c>
      <c r="V917" s="38"/>
      <c r="W917" s="40"/>
      <c r="X917" s="40"/>
      <c r="Y917" s="40"/>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row>
    <row r="918">
      <c r="A918" s="152" t="s">
        <v>2884</v>
      </c>
      <c r="B918" s="153">
        <v>43168.0</v>
      </c>
      <c r="C918" s="153">
        <v>43167.0</v>
      </c>
      <c r="D918" s="154" t="s">
        <v>2869</v>
      </c>
      <c r="E918" s="155" t="s">
        <v>41</v>
      </c>
      <c r="F918" s="152">
        <v>1.0</v>
      </c>
      <c r="G918" s="152" t="s">
        <v>32</v>
      </c>
      <c r="H918" s="33">
        <f t="shared" si="141"/>
        <v>1</v>
      </c>
      <c r="I918" s="152" t="s">
        <v>33</v>
      </c>
      <c r="J918" s="152" t="s">
        <v>410</v>
      </c>
      <c r="K918" s="152">
        <v>3.0</v>
      </c>
      <c r="L918" s="152" t="s">
        <v>2885</v>
      </c>
      <c r="M918" s="156" t="s">
        <v>2886</v>
      </c>
      <c r="N918" s="163"/>
      <c r="O918" s="86" t="str">
        <f>hyperlink("https://bad-boys.us/?q=D-MA/3:18-cr-30015", "D-MA 3:18-cr-30015")</f>
        <v>D-MA 3:18-cr-30015</v>
      </c>
      <c r="P918" s="86" t="s">
        <v>2887</v>
      </c>
      <c r="Q918" s="64">
        <v>1.0</v>
      </c>
      <c r="R918" s="16"/>
      <c r="S918" s="37" t="str">
        <f>IFERROR(__xludf.DUMMYFUNCTION("if(not(iserror(index(split(C918, "" ""),2))), index(split(C918, "" ""),1),"""")"),"March")</f>
        <v>March</v>
      </c>
      <c r="T918" s="38">
        <f>IFERROR(__xludf.DUMMYFUNCTION("if(S918="""",C918,if(not(iserror(index(split(C918, "" ""),3))), index(split(C918, "" ""),3),index(split(C918, "" ""),2)))"),2018.0)</f>
        <v>2018</v>
      </c>
      <c r="U918" s="38" t="b">
        <f t="shared" si="140"/>
        <v>0</v>
      </c>
      <c r="V918" s="38"/>
      <c r="W918" s="40"/>
      <c r="X918" s="40"/>
      <c r="Y918" s="40"/>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row>
    <row r="919">
      <c r="A919" s="13" t="s">
        <v>239</v>
      </c>
      <c r="B919" s="30">
        <v>43171.0</v>
      </c>
      <c r="C919" s="30">
        <v>43168.0</v>
      </c>
      <c r="D919" s="32" t="s">
        <v>2888</v>
      </c>
      <c r="E919" s="13" t="s">
        <v>41</v>
      </c>
      <c r="F919" s="13">
        <v>1.0</v>
      </c>
      <c r="G919" s="13">
        <v>2.0</v>
      </c>
      <c r="H919" s="33">
        <f t="shared" si="141"/>
        <v>2</v>
      </c>
      <c r="I919" s="13" t="s">
        <v>33</v>
      </c>
      <c r="J919" s="13" t="s">
        <v>241</v>
      </c>
      <c r="K919" s="13">
        <v>1.0</v>
      </c>
      <c r="L919" s="13" t="s">
        <v>194</v>
      </c>
      <c r="M919" s="35" t="s">
        <v>2889</v>
      </c>
      <c r="N919" s="15"/>
      <c r="O919" s="37"/>
      <c r="P919" s="37"/>
      <c r="Q919" s="64"/>
      <c r="R919" s="16"/>
      <c r="S919" s="37" t="str">
        <f>IFERROR(__xludf.DUMMYFUNCTION("if(not(iserror(index(split(C919, "" ""),2))), index(split(C919, "" ""),1),"""")"),"March")</f>
        <v>March</v>
      </c>
      <c r="T919" s="38">
        <f>IFERROR(__xludf.DUMMYFUNCTION("if(S919="""",C919,if(not(iserror(index(split(C919, "" ""),3))), index(split(C919, "" ""),3),index(split(C919, "" ""),2)))"),2018.0)</f>
        <v>2018</v>
      </c>
      <c r="U919" s="38" t="b">
        <f t="shared" si="140"/>
        <v>1</v>
      </c>
      <c r="V919" s="38"/>
      <c r="W919" s="40"/>
      <c r="X919" s="40"/>
      <c r="Y919" s="40"/>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row>
    <row r="920">
      <c r="A920" s="13" t="s">
        <v>40</v>
      </c>
      <c r="B920" s="30">
        <v>43172.0</v>
      </c>
      <c r="C920" s="30">
        <v>43168.0</v>
      </c>
      <c r="D920" s="32" t="s">
        <v>2888</v>
      </c>
      <c r="E920" s="13" t="s">
        <v>31</v>
      </c>
      <c r="F920" s="13">
        <v>8.0</v>
      </c>
      <c r="G920" s="13" t="s">
        <v>32</v>
      </c>
      <c r="H920" s="33">
        <f t="shared" si="141"/>
        <v>1</v>
      </c>
      <c r="I920" s="13" t="s">
        <v>33</v>
      </c>
      <c r="J920" s="13" t="s">
        <v>241</v>
      </c>
      <c r="K920" s="13">
        <v>8.0</v>
      </c>
      <c r="L920" s="13" t="s">
        <v>349</v>
      </c>
      <c r="M920" s="35" t="s">
        <v>2890</v>
      </c>
      <c r="N920" s="15"/>
      <c r="O920" s="37"/>
      <c r="P920" s="37"/>
      <c r="Q920" s="64"/>
      <c r="R920" s="16"/>
      <c r="S920" s="37" t="str">
        <f>IFERROR(__xludf.DUMMYFUNCTION("if(not(iserror(index(split(C920, "" ""),2))), index(split(C920, "" ""),1),"""")"),"March")</f>
        <v>March</v>
      </c>
      <c r="T920" s="38">
        <f>IFERROR(__xludf.DUMMYFUNCTION("if(S920="""",C920,if(not(iserror(index(split(C920, "" ""),3))), index(split(C920, "" ""),3),index(split(C920, "" ""),2)))"),2018.0)</f>
        <v>2018</v>
      </c>
      <c r="U920" s="38" t="b">
        <f t="shared" si="140"/>
        <v>1</v>
      </c>
      <c r="V920" s="38"/>
      <c r="W920" s="40"/>
      <c r="X920" s="40"/>
      <c r="Y920" s="40"/>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row>
    <row r="921">
      <c r="A921" s="13" t="s">
        <v>2891</v>
      </c>
      <c r="B921" s="30">
        <v>43169.0</v>
      </c>
      <c r="C921" s="30">
        <v>43169.0</v>
      </c>
      <c r="D921" s="32" t="s">
        <v>2892</v>
      </c>
      <c r="E921" s="13" t="s">
        <v>31</v>
      </c>
      <c r="F921" s="13">
        <v>1.0</v>
      </c>
      <c r="G921" s="13" t="s">
        <v>32</v>
      </c>
      <c r="H921" s="33">
        <f t="shared" si="141"/>
        <v>1</v>
      </c>
      <c r="I921" s="13" t="s">
        <v>33</v>
      </c>
      <c r="J921" s="13" t="s">
        <v>85</v>
      </c>
      <c r="K921" s="13">
        <v>1.0</v>
      </c>
      <c r="L921" s="13" t="s">
        <v>52</v>
      </c>
      <c r="M921" s="35" t="s">
        <v>2893</v>
      </c>
      <c r="N921" s="15"/>
      <c r="O921" s="16"/>
      <c r="P921" s="16"/>
      <c r="Q921" s="16"/>
      <c r="R921" s="16"/>
      <c r="S921" s="37" t="str">
        <f>IFERROR(__xludf.DUMMYFUNCTION("if(not(iserror(index(split(C921, "" ""),2))), index(split(C921, "" ""),1),"""")"),"March")</f>
        <v>March</v>
      </c>
      <c r="T921" s="38">
        <f>IFERROR(__xludf.DUMMYFUNCTION("if(S921="""",C921,if(not(iserror(index(split(C921, "" ""),3))), index(split(C921, "" ""),3),index(split(C921, "" ""),2)))"),2018.0)</f>
        <v>2018</v>
      </c>
      <c r="U921" s="38" t="b">
        <f t="shared" si="140"/>
        <v>0</v>
      </c>
      <c r="V921" s="38"/>
      <c r="W921" s="40"/>
      <c r="X921" s="40"/>
      <c r="Y921" s="40"/>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row>
    <row r="922">
      <c r="A922" s="13" t="s">
        <v>40</v>
      </c>
      <c r="B922" s="30">
        <v>43179.0</v>
      </c>
      <c r="C922" s="30">
        <v>43169.0</v>
      </c>
      <c r="D922" s="32" t="s">
        <v>2894</v>
      </c>
      <c r="E922" s="13" t="s">
        <v>41</v>
      </c>
      <c r="F922" s="13">
        <v>2.0</v>
      </c>
      <c r="G922" s="13">
        <v>4.0</v>
      </c>
      <c r="H922" s="33">
        <f t="shared" si="141"/>
        <v>4</v>
      </c>
      <c r="I922" s="13" t="s">
        <v>2895</v>
      </c>
      <c r="J922" s="13" t="s">
        <v>2896</v>
      </c>
      <c r="K922" s="13">
        <v>1.0</v>
      </c>
      <c r="L922" s="13" t="s">
        <v>349</v>
      </c>
      <c r="M922" s="35" t="s">
        <v>2897</v>
      </c>
      <c r="N922" s="15"/>
      <c r="O922" s="16"/>
      <c r="P922" s="16"/>
      <c r="Q922" s="16"/>
      <c r="R922" s="16"/>
      <c r="S922" s="37" t="str">
        <f>IFERROR(__xludf.DUMMYFUNCTION("if(not(iserror(index(split(C922, "" ""),2))), index(split(C922, "" ""),1),"""")"),"March")</f>
        <v>March</v>
      </c>
      <c r="T922" s="38">
        <f>IFERROR(__xludf.DUMMYFUNCTION("if(S922="""",C922,if(not(iserror(index(split(C922, "" ""),3))), index(split(C922, "" ""),3),index(split(C922, "" ""),2)))"),2018.0)</f>
        <v>2018</v>
      </c>
      <c r="U922" s="38" t="b">
        <f t="shared" si="140"/>
        <v>1</v>
      </c>
      <c r="V922" s="38"/>
      <c r="W922" s="40"/>
      <c r="X922" s="40"/>
      <c r="Y922" s="40"/>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row>
    <row r="923">
      <c r="A923" s="13" t="s">
        <v>2898</v>
      </c>
      <c r="B923" s="30"/>
      <c r="C923" s="30">
        <v>43172.0</v>
      </c>
      <c r="D923" s="32"/>
      <c r="E923" s="13" t="s">
        <v>31</v>
      </c>
      <c r="F923" s="13">
        <v>1.0</v>
      </c>
      <c r="G923" s="13">
        <v>25.0</v>
      </c>
      <c r="H923" s="43">
        <v>25.0</v>
      </c>
      <c r="I923" s="13" t="s">
        <v>33</v>
      </c>
      <c r="J923" s="13" t="s">
        <v>147</v>
      </c>
      <c r="K923" s="13"/>
      <c r="L923" s="13" t="s">
        <v>76</v>
      </c>
      <c r="M923" s="35" t="s">
        <v>2899</v>
      </c>
      <c r="N923" s="36" t="s">
        <v>2900</v>
      </c>
      <c r="O923" s="57" t="str">
        <f t="shared" ref="O923:O924" si="142">hyperlink("https://bad-boys.us/?q=WD-TX/6:18-cr-00069", "WD-TX 6:18-cr-00069")</f>
        <v>WD-TX 6:18-cr-00069</v>
      </c>
      <c r="P923" s="86" t="s">
        <v>2901</v>
      </c>
      <c r="Q923" s="37">
        <v>1.0</v>
      </c>
      <c r="R923" s="16"/>
      <c r="S923" s="37" t="str">
        <f>IFERROR(__xludf.DUMMYFUNCTION("if(not(iserror(index(split(C923, "" ""),2))), index(split(C923, "" ""),1),"""")"),"March")</f>
        <v>March</v>
      </c>
      <c r="T923" s="38">
        <f>IFERROR(__xludf.DUMMYFUNCTION("if(S923="""",C923,if(not(iserror(index(split(C923, "" ""),3))), index(split(C923, "" ""),3),index(split(C923, "" ""),2)))"),2018.0)</f>
        <v>2018</v>
      </c>
      <c r="U923" s="38" t="b">
        <f t="shared" si="140"/>
        <v>0</v>
      </c>
      <c r="V923" s="38" t="s">
        <v>33</v>
      </c>
      <c r="W923" s="39" t="s">
        <v>2902</v>
      </c>
      <c r="X923" s="39" t="s">
        <v>2903</v>
      </c>
      <c r="Y923" s="40"/>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row>
    <row r="924">
      <c r="A924" s="13" t="s">
        <v>2904</v>
      </c>
      <c r="B924" s="30"/>
      <c r="C924" s="30">
        <v>43172.0</v>
      </c>
      <c r="D924" s="32"/>
      <c r="E924" s="13" t="s">
        <v>31</v>
      </c>
      <c r="F924" s="13">
        <v>1.0</v>
      </c>
      <c r="G924" s="13">
        <v>25.0</v>
      </c>
      <c r="H924" s="43">
        <v>25.0</v>
      </c>
      <c r="I924" s="13" t="s">
        <v>33</v>
      </c>
      <c r="J924" s="13" t="s">
        <v>147</v>
      </c>
      <c r="K924" s="13"/>
      <c r="L924" s="13" t="s">
        <v>76</v>
      </c>
      <c r="M924" s="35" t="s">
        <v>2899</v>
      </c>
      <c r="N924" s="36" t="s">
        <v>2900</v>
      </c>
      <c r="O924" s="57" t="str">
        <f t="shared" si="142"/>
        <v>WD-TX 6:18-cr-00069</v>
      </c>
      <c r="P924" s="86" t="s">
        <v>2901</v>
      </c>
      <c r="Q924" s="37">
        <v>1.0</v>
      </c>
      <c r="R924" s="16"/>
      <c r="S924" s="37" t="str">
        <f>IFERROR(__xludf.DUMMYFUNCTION("if(not(iserror(index(split(C924, "" ""),2))), index(split(C924, "" ""),1),"""")"),"March")</f>
        <v>March</v>
      </c>
      <c r="T924" s="38">
        <f>IFERROR(__xludf.DUMMYFUNCTION("if(S924="""",C924,if(not(iserror(index(split(C924, "" ""),3))), index(split(C924, "" ""),3),index(split(C924, "" ""),2)))"),2018.0)</f>
        <v>2018</v>
      </c>
      <c r="U924" s="38" t="b">
        <f t="shared" si="140"/>
        <v>0</v>
      </c>
      <c r="V924" s="38" t="s">
        <v>33</v>
      </c>
      <c r="W924" s="39" t="s">
        <v>2902</v>
      </c>
      <c r="X924" s="39" t="s">
        <v>2903</v>
      </c>
      <c r="Y924" s="40"/>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row>
    <row r="925">
      <c r="A925" s="13" t="s">
        <v>2905</v>
      </c>
      <c r="B925" s="30">
        <v>43172.0</v>
      </c>
      <c r="C925" s="30">
        <v>43172.0</v>
      </c>
      <c r="D925" s="32" t="s">
        <v>2906</v>
      </c>
      <c r="E925" s="13" t="s">
        <v>31</v>
      </c>
      <c r="F925" s="13">
        <v>1.0</v>
      </c>
      <c r="G925" s="13" t="s">
        <v>32</v>
      </c>
      <c r="H925" s="33">
        <f t="shared" ref="H925:H927" si="143">if(G925="Unknown",1,G925)</f>
        <v>1</v>
      </c>
      <c r="I925" s="13" t="s">
        <v>33</v>
      </c>
      <c r="J925" s="13" t="s">
        <v>460</v>
      </c>
      <c r="K925" s="13">
        <v>2.0</v>
      </c>
      <c r="L925" s="13" t="s">
        <v>119</v>
      </c>
      <c r="M925" s="56" t="s">
        <v>2907</v>
      </c>
      <c r="N925" s="35" t="s">
        <v>2908</v>
      </c>
      <c r="O925" s="86" t="str">
        <f>hyperlink("https://bad-boys.us/?q=ND-IA/1:18-mj-00074", "ND-IA 1:18-mj-00074")</f>
        <v>ND-IA 1:18-mj-00074</v>
      </c>
      <c r="P925" s="86" t="s">
        <v>2909</v>
      </c>
      <c r="Q925" s="64">
        <v>1.0</v>
      </c>
      <c r="R925" s="16"/>
      <c r="S925" s="37" t="str">
        <f>IFERROR(__xludf.DUMMYFUNCTION("if(not(iserror(index(split(C925, "" ""),2))), index(split(C925, "" ""),1),"""")"),"March")</f>
        <v>March</v>
      </c>
      <c r="T925" s="38">
        <f>IFERROR(__xludf.DUMMYFUNCTION("if(S925="""",C925,if(not(iserror(index(split(C925, "" ""),3))), index(split(C925, "" ""),3),index(split(C925, "" ""),2)))"),2018.0)</f>
        <v>2018</v>
      </c>
      <c r="U925" s="38" t="b">
        <f t="shared" si="140"/>
        <v>0</v>
      </c>
      <c r="V925" s="38" t="s">
        <v>33</v>
      </c>
      <c r="W925" s="39" t="s">
        <v>2910</v>
      </c>
      <c r="X925" s="39" t="s">
        <v>2911</v>
      </c>
      <c r="Y925" s="40"/>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row>
    <row r="926">
      <c r="A926" s="78" t="s">
        <v>2912</v>
      </c>
      <c r="B926" s="59">
        <v>43287.0</v>
      </c>
      <c r="C926" s="59">
        <v>43172.0</v>
      </c>
      <c r="D926" s="60" t="s">
        <v>2163</v>
      </c>
      <c r="E926" s="58" t="s">
        <v>41</v>
      </c>
      <c r="F926" s="58">
        <v>1.0</v>
      </c>
      <c r="G926" s="58" t="s">
        <v>32</v>
      </c>
      <c r="H926" s="33">
        <f t="shared" si="143"/>
        <v>1</v>
      </c>
      <c r="I926" s="58" t="s">
        <v>33</v>
      </c>
      <c r="J926" s="58" t="s">
        <v>124</v>
      </c>
      <c r="K926" s="58" t="s">
        <v>32</v>
      </c>
      <c r="L926" s="58" t="s">
        <v>99</v>
      </c>
      <c r="M926" s="61" t="s">
        <v>2913</v>
      </c>
      <c r="N926" s="77"/>
      <c r="O926" s="88" t="str">
        <f>hyperlink("https://bad-boys.us/?q=SD-OH/3:18-cr-00033", "SD-OH 3:18-cr-00033")</f>
        <v>SD-OH 3:18-cr-00033</v>
      </c>
      <c r="P926" s="88" t="s">
        <v>2914</v>
      </c>
      <c r="Q926" s="84">
        <v>1.0</v>
      </c>
      <c r="R926" s="62"/>
      <c r="S926" s="37" t="str">
        <f>IFERROR(__xludf.DUMMYFUNCTION("if(not(iserror(index(split(C926, "" ""),2))), index(split(C926, "" ""),1),"""")"),"March")</f>
        <v>March</v>
      </c>
      <c r="T926" s="38">
        <f>IFERROR(__xludf.DUMMYFUNCTION("if(S926="""",C926,if(not(iserror(index(split(C926, "" ""),3))), index(split(C926, "" ""),3),index(split(C926, "" ""),2)))"),2018.0)</f>
        <v>2018</v>
      </c>
      <c r="U926" s="38" t="b">
        <f t="shared" si="140"/>
        <v>0</v>
      </c>
      <c r="V926" s="38"/>
      <c r="W926" s="40"/>
      <c r="X926" s="40"/>
      <c r="Y926" s="40"/>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row>
    <row r="927">
      <c r="A927" s="78" t="s">
        <v>2915</v>
      </c>
      <c r="B927" s="59">
        <v>43315.0</v>
      </c>
      <c r="C927" s="59">
        <v>43172.0</v>
      </c>
      <c r="D927" s="60" t="s">
        <v>2906</v>
      </c>
      <c r="E927" s="58" t="s">
        <v>41</v>
      </c>
      <c r="F927" s="58">
        <v>1.0</v>
      </c>
      <c r="G927" s="58" t="s">
        <v>32</v>
      </c>
      <c r="H927" s="33">
        <f t="shared" si="143"/>
        <v>1</v>
      </c>
      <c r="I927" s="58" t="s">
        <v>33</v>
      </c>
      <c r="J927" s="58" t="s">
        <v>193</v>
      </c>
      <c r="K927" s="58">
        <v>4.0</v>
      </c>
      <c r="L927" s="58" t="s">
        <v>69</v>
      </c>
      <c r="M927" s="61" t="s">
        <v>2916</v>
      </c>
      <c r="N927" s="61" t="s">
        <v>2917</v>
      </c>
      <c r="O927" s="88" t="str">
        <f>hyperlink("https://bad-boys.us/?q=D-NM/2:18-cr-02323", "D-NM 2:18-cr-02323")</f>
        <v>D-NM 2:18-cr-02323</v>
      </c>
      <c r="P927" s="88" t="s">
        <v>2918</v>
      </c>
      <c r="Q927" s="84">
        <v>1.0</v>
      </c>
      <c r="R927" s="62"/>
      <c r="S927" s="37" t="str">
        <f>IFERROR(__xludf.DUMMYFUNCTION("if(not(iserror(index(split(C927, "" ""),2))), index(split(C927, "" ""),1),"""")"),"March")</f>
        <v>March</v>
      </c>
      <c r="T927" s="38">
        <f>IFERROR(__xludf.DUMMYFUNCTION("if(S927="""",C927,if(not(iserror(index(split(C927, "" ""),3))), index(split(C927, "" ""),3),index(split(C927, "" ""),2)))"),2018.0)</f>
        <v>2018</v>
      </c>
      <c r="U927" s="38" t="b">
        <f t="shared" si="140"/>
        <v>0</v>
      </c>
      <c r="V927" s="38"/>
      <c r="W927" s="40"/>
      <c r="X927" s="40"/>
      <c r="Y927" s="40"/>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row>
    <row r="928">
      <c r="A928" s="13" t="s">
        <v>2919</v>
      </c>
      <c r="B928" s="30"/>
      <c r="C928" s="30">
        <v>43172.0</v>
      </c>
      <c r="D928" s="32"/>
      <c r="E928" s="13" t="s">
        <v>41</v>
      </c>
      <c r="F928" s="13">
        <v>1.0</v>
      </c>
      <c r="G928" s="13" t="s">
        <v>32</v>
      </c>
      <c r="H928" s="43">
        <v>1.0</v>
      </c>
      <c r="I928" s="13" t="s">
        <v>33</v>
      </c>
      <c r="J928" s="13" t="s">
        <v>162</v>
      </c>
      <c r="K928" s="13"/>
      <c r="L928" s="13" t="s">
        <v>69</v>
      </c>
      <c r="M928" s="35" t="s">
        <v>2920</v>
      </c>
      <c r="N928" s="15"/>
      <c r="O928" s="57" t="str">
        <f>hyperlink("https://bad-boys.us/?q=D-KS/2:18-cr-20014", "D-KS 2:18-cr-20014")</f>
        <v>D-KS 2:18-cr-20014</v>
      </c>
      <c r="P928" s="86" t="s">
        <v>2921</v>
      </c>
      <c r="Q928" s="37">
        <v>1.0</v>
      </c>
      <c r="R928" s="16"/>
      <c r="S928" s="37" t="str">
        <f>IFERROR(__xludf.DUMMYFUNCTION("if(not(iserror(index(split(C928, "" ""),2))), index(split(C928, "" ""),1),"""")"),"March")</f>
        <v>March</v>
      </c>
      <c r="T928" s="38">
        <f>IFERROR(__xludf.DUMMYFUNCTION("if(S928="""",C928,if(not(iserror(index(split(C928, "" ""),3))), index(split(C928, "" ""),3),index(split(C928, "" ""),2)))"),2018.0)</f>
        <v>2018</v>
      </c>
      <c r="U928" s="38" t="b">
        <f t="shared" si="140"/>
        <v>0</v>
      </c>
      <c r="V928" s="38" t="s">
        <v>33</v>
      </c>
      <c r="W928" s="40"/>
      <c r="X928" s="40"/>
      <c r="Y928" s="40"/>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row>
    <row r="929">
      <c r="A929" s="13" t="s">
        <v>2922</v>
      </c>
      <c r="B929" s="30"/>
      <c r="C929" s="30">
        <v>43172.0</v>
      </c>
      <c r="D929" s="32"/>
      <c r="E929" s="13" t="s">
        <v>41</v>
      </c>
      <c r="F929" s="13">
        <v>1.0</v>
      </c>
      <c r="G929" s="13" t="s">
        <v>32</v>
      </c>
      <c r="H929" s="43">
        <v>1.0</v>
      </c>
      <c r="I929" s="13" t="s">
        <v>33</v>
      </c>
      <c r="J929" s="13" t="s">
        <v>115</v>
      </c>
      <c r="K929" s="13"/>
      <c r="L929" s="13" t="s">
        <v>119</v>
      </c>
      <c r="M929" s="35" t="s">
        <v>2923</v>
      </c>
      <c r="N929" s="15"/>
      <c r="O929" s="57" t="str">
        <f>hyperlink("https://bad-boys.us/?q=WD-PA/1:18-cr-00007", "WD-PA 1:18-cr-00007")</f>
        <v>WD-PA 1:18-cr-00007</v>
      </c>
      <c r="P929" s="86" t="s">
        <v>2924</v>
      </c>
      <c r="Q929" s="37">
        <v>1.0</v>
      </c>
      <c r="R929" s="16"/>
      <c r="S929" s="37"/>
      <c r="T929" s="38"/>
      <c r="U929" s="38" t="b">
        <f t="shared" si="140"/>
        <v>0</v>
      </c>
      <c r="V929" s="38" t="s">
        <v>33</v>
      </c>
      <c r="W929" s="40"/>
      <c r="X929" s="40"/>
      <c r="Y929" s="40"/>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row>
    <row r="930">
      <c r="A930" s="13" t="s">
        <v>2925</v>
      </c>
      <c r="B930" s="30"/>
      <c r="C930" s="30">
        <v>43173.0</v>
      </c>
      <c r="D930" s="32"/>
      <c r="E930" s="13" t="s">
        <v>41</v>
      </c>
      <c r="F930" s="13">
        <v>1.0</v>
      </c>
      <c r="G930" s="13" t="s">
        <v>32</v>
      </c>
      <c r="H930" s="43">
        <v>1.0</v>
      </c>
      <c r="I930" s="13" t="s">
        <v>33</v>
      </c>
      <c r="J930" s="13" t="s">
        <v>162</v>
      </c>
      <c r="K930" s="13"/>
      <c r="L930" s="13" t="s">
        <v>99</v>
      </c>
      <c r="M930" s="35" t="s">
        <v>2926</v>
      </c>
      <c r="N930" s="15"/>
      <c r="O930" s="57" t="str">
        <f>hyperlink("https://bad-boys.us/?q=D-KS/2:18-cr-20015", "D-KS 2:18-cr-20015")</f>
        <v>D-KS 2:18-cr-20015</v>
      </c>
      <c r="P930" s="86" t="s">
        <v>2927</v>
      </c>
      <c r="Q930" s="37">
        <v>1.0</v>
      </c>
      <c r="R930" s="16"/>
      <c r="S930" s="37"/>
      <c r="T930" s="38"/>
      <c r="U930" s="38" t="b">
        <f t="shared" si="140"/>
        <v>0</v>
      </c>
      <c r="V930" s="38"/>
      <c r="W930" s="40"/>
      <c r="X930" s="40"/>
      <c r="Y930" s="40"/>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row>
    <row r="931">
      <c r="A931" s="13" t="s">
        <v>2928</v>
      </c>
      <c r="B931" s="30"/>
      <c r="C931" s="30">
        <v>43173.0</v>
      </c>
      <c r="D931" s="32"/>
      <c r="E931" s="13" t="s">
        <v>41</v>
      </c>
      <c r="F931" s="13">
        <v>1.0</v>
      </c>
      <c r="G931" s="13">
        <v>5.0</v>
      </c>
      <c r="H931" s="43">
        <v>5.0</v>
      </c>
      <c r="I931" s="13" t="s">
        <v>33</v>
      </c>
      <c r="J931" s="13" t="s">
        <v>106</v>
      </c>
      <c r="K931" s="13"/>
      <c r="L931" s="13" t="s">
        <v>2853</v>
      </c>
      <c r="M931" s="35" t="s">
        <v>2929</v>
      </c>
      <c r="N931" s="15"/>
      <c r="O931" s="57" t="str">
        <f t="shared" ref="O931:O932" si="144">hyperlink("https://bad-boys.us/?q=D-MD/8:18-cr-00145", "D-MD 8:18-cr-00145")</f>
        <v>D-MD 8:18-cr-00145</v>
      </c>
      <c r="P931" s="86" t="s">
        <v>2930</v>
      </c>
      <c r="Q931" s="37">
        <v>1.0</v>
      </c>
      <c r="R931" s="16"/>
      <c r="S931" s="37"/>
      <c r="T931" s="38"/>
      <c r="U931" s="38" t="b">
        <f t="shared" si="140"/>
        <v>0</v>
      </c>
      <c r="V931" s="38" t="s">
        <v>33</v>
      </c>
      <c r="W931" s="40"/>
      <c r="X931" s="40"/>
      <c r="Y931" s="40"/>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row>
    <row r="932">
      <c r="A932" s="13" t="s">
        <v>2931</v>
      </c>
      <c r="B932" s="30"/>
      <c r="C932" s="30">
        <v>43173.0</v>
      </c>
      <c r="D932" s="32"/>
      <c r="E932" s="13" t="s">
        <v>41</v>
      </c>
      <c r="F932" s="13">
        <v>1.0</v>
      </c>
      <c r="G932" s="13" t="s">
        <v>32</v>
      </c>
      <c r="H932" s="43">
        <v>1.0</v>
      </c>
      <c r="I932" s="13" t="s">
        <v>33</v>
      </c>
      <c r="J932" s="13" t="s">
        <v>106</v>
      </c>
      <c r="K932" s="13"/>
      <c r="L932" s="13" t="s">
        <v>2853</v>
      </c>
      <c r="M932" s="56" t="s">
        <v>2929</v>
      </c>
      <c r="N932" s="15"/>
      <c r="O932" s="57" t="str">
        <f t="shared" si="144"/>
        <v>D-MD 8:18-cr-00145</v>
      </c>
      <c r="P932" s="86" t="s">
        <v>2930</v>
      </c>
      <c r="Q932" s="37">
        <v>1.0</v>
      </c>
      <c r="R932" s="16"/>
      <c r="S932" s="37"/>
      <c r="T932" s="38"/>
      <c r="U932" s="38" t="b">
        <f t="shared" si="140"/>
        <v>0</v>
      </c>
      <c r="V932" s="38" t="s">
        <v>33</v>
      </c>
      <c r="W932" s="40"/>
      <c r="X932" s="40"/>
      <c r="Y932" s="40"/>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row>
    <row r="933">
      <c r="A933" s="13" t="s">
        <v>2932</v>
      </c>
      <c r="B933" s="30">
        <v>43173.0</v>
      </c>
      <c r="C933" s="30">
        <v>43173.0</v>
      </c>
      <c r="D933" s="32" t="s">
        <v>2933</v>
      </c>
      <c r="E933" s="13" t="s">
        <v>41</v>
      </c>
      <c r="F933" s="13">
        <v>1.0</v>
      </c>
      <c r="G933" s="13" t="s">
        <v>32</v>
      </c>
      <c r="H933" s="33">
        <f t="shared" ref="H933:H940" si="145">if(G933="Unknown",1,G933)</f>
        <v>1</v>
      </c>
      <c r="I933" s="13" t="s">
        <v>33</v>
      </c>
      <c r="J933" s="13" t="s">
        <v>222</v>
      </c>
      <c r="K933" s="13" t="s">
        <v>32</v>
      </c>
      <c r="L933" s="13" t="s">
        <v>99</v>
      </c>
      <c r="M933" s="35" t="s">
        <v>2934</v>
      </c>
      <c r="N933" s="15"/>
      <c r="O933" s="16"/>
      <c r="P933" s="16"/>
      <c r="Q933" s="16"/>
      <c r="R933" s="16"/>
      <c r="S933" s="37" t="str">
        <f>IFERROR(__xludf.DUMMYFUNCTION("if(not(iserror(index(split(C933, "" ""),2))), index(split(C933, "" ""),1),"""")"),"March")</f>
        <v>March</v>
      </c>
      <c r="T933" s="38">
        <f>IFERROR(__xludf.DUMMYFUNCTION("if(S933="""",C933,if(not(iserror(index(split(C933, "" ""),3))), index(split(C933, "" ""),3),index(split(C933, "" ""),2)))"),2018.0)</f>
        <v>2018</v>
      </c>
      <c r="U933" s="38" t="b">
        <f t="shared" si="140"/>
        <v>0</v>
      </c>
      <c r="V933" s="38"/>
      <c r="W933" s="40"/>
      <c r="X933" s="40"/>
      <c r="Y933" s="40"/>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row>
    <row r="934">
      <c r="A934" s="13" t="s">
        <v>54</v>
      </c>
      <c r="B934" s="30">
        <v>43175.0</v>
      </c>
      <c r="C934" s="30">
        <v>43173.0</v>
      </c>
      <c r="D934" s="32" t="s">
        <v>2935</v>
      </c>
      <c r="E934" s="13" t="s">
        <v>41</v>
      </c>
      <c r="F934" s="13">
        <v>10.0</v>
      </c>
      <c r="G934" s="13" t="s">
        <v>32</v>
      </c>
      <c r="H934" s="33">
        <f t="shared" si="145"/>
        <v>1</v>
      </c>
      <c r="I934" s="13" t="s">
        <v>33</v>
      </c>
      <c r="J934" s="13" t="s">
        <v>850</v>
      </c>
      <c r="K934" s="13">
        <v>11.0</v>
      </c>
      <c r="L934" s="13" t="s">
        <v>2936</v>
      </c>
      <c r="M934" s="35" t="s">
        <v>2937</v>
      </c>
      <c r="N934" s="15"/>
      <c r="O934" s="16"/>
      <c r="P934" s="16"/>
      <c r="Q934" s="16"/>
      <c r="R934" s="16"/>
      <c r="S934" s="37" t="str">
        <f>IFERROR(__xludf.DUMMYFUNCTION("if(not(iserror(index(split(C934, "" ""),2))), index(split(C934, "" ""),1),"""")"),"March")</f>
        <v>March</v>
      </c>
      <c r="T934" s="38">
        <f>IFERROR(__xludf.DUMMYFUNCTION("if(S934="""",C934,if(not(iserror(index(split(C934, "" ""),3))), index(split(C934, "" ""),3),index(split(C934, "" ""),2)))"),2018.0)</f>
        <v>2018</v>
      </c>
      <c r="U934" s="38" t="b">
        <f t="shared" si="140"/>
        <v>1</v>
      </c>
      <c r="V934" s="38"/>
      <c r="W934" s="40"/>
      <c r="X934" s="40"/>
      <c r="Y934" s="40"/>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row>
    <row r="935">
      <c r="A935" s="13" t="s">
        <v>54</v>
      </c>
      <c r="B935" s="30">
        <v>43174.0</v>
      </c>
      <c r="C935" s="30">
        <v>43174.0</v>
      </c>
      <c r="D935" s="32" t="s">
        <v>2938</v>
      </c>
      <c r="E935" s="13" t="s">
        <v>41</v>
      </c>
      <c r="F935" s="13">
        <v>4.0</v>
      </c>
      <c r="G935" s="13" t="s">
        <v>32</v>
      </c>
      <c r="H935" s="33">
        <f t="shared" si="145"/>
        <v>1</v>
      </c>
      <c r="I935" s="13" t="s">
        <v>33</v>
      </c>
      <c r="J935" s="13" t="s">
        <v>124</v>
      </c>
      <c r="K935" s="13">
        <v>2.0</v>
      </c>
      <c r="L935" s="13" t="s">
        <v>52</v>
      </c>
      <c r="M935" s="35" t="s">
        <v>2939</v>
      </c>
      <c r="N935" s="15"/>
      <c r="O935" s="16"/>
      <c r="P935" s="16"/>
      <c r="Q935" s="16"/>
      <c r="R935" s="16"/>
      <c r="S935" s="37" t="str">
        <f>IFERROR(__xludf.DUMMYFUNCTION("if(not(iserror(index(split(C935, "" ""),2))), index(split(C935, "" ""),1),"""")"),"March")</f>
        <v>March</v>
      </c>
      <c r="T935" s="38">
        <f>IFERROR(__xludf.DUMMYFUNCTION("if(S935="""",C935,if(not(iserror(index(split(C935, "" ""),3))), index(split(C935, "" ""),3),index(split(C935, "" ""),2)))"),2018.0)</f>
        <v>2018</v>
      </c>
      <c r="U935" s="38" t="b">
        <f t="shared" si="140"/>
        <v>1</v>
      </c>
      <c r="V935" s="38"/>
      <c r="W935" s="40"/>
      <c r="X935" s="40"/>
      <c r="Y935" s="40"/>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row>
    <row r="936">
      <c r="A936" s="13" t="s">
        <v>239</v>
      </c>
      <c r="B936" s="30">
        <v>43175.0</v>
      </c>
      <c r="C936" s="30">
        <v>43174.0</v>
      </c>
      <c r="D936" s="32" t="s">
        <v>2935</v>
      </c>
      <c r="E936" s="13" t="s">
        <v>41</v>
      </c>
      <c r="F936" s="13">
        <v>1.0</v>
      </c>
      <c r="G936" s="13">
        <v>2.0</v>
      </c>
      <c r="H936" s="33">
        <f t="shared" si="145"/>
        <v>2</v>
      </c>
      <c r="I936" s="13" t="s">
        <v>33</v>
      </c>
      <c r="J936" s="13" t="s">
        <v>241</v>
      </c>
      <c r="K936" s="13">
        <v>1.0</v>
      </c>
      <c r="L936" s="13" t="s">
        <v>194</v>
      </c>
      <c r="M936" s="35" t="s">
        <v>2940</v>
      </c>
      <c r="N936" s="15"/>
      <c r="O936" s="16"/>
      <c r="P936" s="16"/>
      <c r="Q936" s="16"/>
      <c r="R936" s="16"/>
      <c r="S936" s="37" t="str">
        <f>IFERROR(__xludf.DUMMYFUNCTION("if(not(iserror(index(split(C936, "" ""),2))), index(split(C936, "" ""),1),"""")"),"March")</f>
        <v>March</v>
      </c>
      <c r="T936" s="38">
        <f>IFERROR(__xludf.DUMMYFUNCTION("if(S936="""",C936,if(not(iserror(index(split(C936, "" ""),3))), index(split(C936, "" ""),3),index(split(C936, "" ""),2)))"),2018.0)</f>
        <v>2018</v>
      </c>
      <c r="U936" s="38" t="b">
        <f t="shared" si="140"/>
        <v>1</v>
      </c>
      <c r="V936" s="38"/>
      <c r="W936" s="40"/>
      <c r="X936" s="40"/>
      <c r="Y936" s="40"/>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row>
    <row r="937">
      <c r="A937" s="13" t="s">
        <v>660</v>
      </c>
      <c r="B937" s="30">
        <v>43175.0</v>
      </c>
      <c r="C937" s="30">
        <v>43174.0</v>
      </c>
      <c r="D937" s="32" t="s">
        <v>2935</v>
      </c>
      <c r="E937" s="13" t="s">
        <v>41</v>
      </c>
      <c r="F937" s="13">
        <v>5.0</v>
      </c>
      <c r="G937" s="13" t="s">
        <v>32</v>
      </c>
      <c r="H937" s="33">
        <f t="shared" si="145"/>
        <v>1</v>
      </c>
      <c r="I937" s="13" t="s">
        <v>33</v>
      </c>
      <c r="J937" s="13" t="s">
        <v>410</v>
      </c>
      <c r="K937" s="13" t="s">
        <v>32</v>
      </c>
      <c r="L937" s="13" t="s">
        <v>52</v>
      </c>
      <c r="M937" s="35" t="s">
        <v>2941</v>
      </c>
      <c r="N937" s="15"/>
      <c r="O937" s="16"/>
      <c r="P937" s="16"/>
      <c r="Q937" s="16"/>
      <c r="R937" s="16"/>
      <c r="S937" s="37" t="str">
        <f>IFERROR(__xludf.DUMMYFUNCTION("if(not(iserror(index(split(C937, "" ""),2))), index(split(C937, "" ""),1),"""")"),"March")</f>
        <v>March</v>
      </c>
      <c r="T937" s="38">
        <f>IFERROR(__xludf.DUMMYFUNCTION("if(S937="""",C937,if(not(iserror(index(split(C937, "" ""),3))), index(split(C937, "" ""),3),index(split(C937, "" ""),2)))"),2018.0)</f>
        <v>2018</v>
      </c>
      <c r="U937" s="38" t="b">
        <f t="shared" si="140"/>
        <v>1</v>
      </c>
      <c r="V937" s="38"/>
      <c r="W937" s="40"/>
      <c r="X937" s="40"/>
      <c r="Y937" s="40"/>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row>
    <row r="938">
      <c r="A938" s="13" t="s">
        <v>40</v>
      </c>
      <c r="B938" s="30">
        <v>43176.0</v>
      </c>
      <c r="C938" s="30">
        <v>43174.0</v>
      </c>
      <c r="D938" s="32" t="s">
        <v>2938</v>
      </c>
      <c r="E938" s="13" t="s">
        <v>41</v>
      </c>
      <c r="F938" s="13">
        <v>12.0</v>
      </c>
      <c r="G938" s="13" t="s">
        <v>32</v>
      </c>
      <c r="H938" s="33">
        <f t="shared" si="145"/>
        <v>1</v>
      </c>
      <c r="I938" s="13" t="s">
        <v>33</v>
      </c>
      <c r="J938" s="13" t="s">
        <v>111</v>
      </c>
      <c r="K938" s="13" t="s">
        <v>32</v>
      </c>
      <c r="L938" s="13" t="s">
        <v>2942</v>
      </c>
      <c r="M938" s="35" t="s">
        <v>2943</v>
      </c>
      <c r="N938" s="15"/>
      <c r="O938" s="16"/>
      <c r="P938" s="16"/>
      <c r="Q938" s="16"/>
      <c r="R938" s="16"/>
      <c r="S938" s="37" t="str">
        <f>IFERROR(__xludf.DUMMYFUNCTION("if(not(iserror(index(split(C938, "" ""),2))), index(split(C938, "" ""),1),"""")"),"March")</f>
        <v>March</v>
      </c>
      <c r="T938" s="38">
        <f>IFERROR(__xludf.DUMMYFUNCTION("if(S938="""",C938,if(not(iserror(index(split(C938, "" ""),3))), index(split(C938, "" ""),3),index(split(C938, "" ""),2)))"),2018.0)</f>
        <v>2018</v>
      </c>
      <c r="U938" s="38" t="b">
        <f t="shared" si="140"/>
        <v>1</v>
      </c>
      <c r="V938" s="38"/>
      <c r="W938" s="40"/>
      <c r="X938" s="40"/>
      <c r="Y938" s="40"/>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row>
    <row r="939">
      <c r="A939" s="13" t="s">
        <v>239</v>
      </c>
      <c r="B939" s="30">
        <v>43178.0</v>
      </c>
      <c r="C939" s="30">
        <v>43174.0</v>
      </c>
      <c r="D939" s="32" t="s">
        <v>2935</v>
      </c>
      <c r="E939" s="13" t="s">
        <v>41</v>
      </c>
      <c r="F939" s="13">
        <v>2.0</v>
      </c>
      <c r="G939" s="13">
        <v>2.0</v>
      </c>
      <c r="H939" s="33">
        <f t="shared" si="145"/>
        <v>2</v>
      </c>
      <c r="I939" s="13" t="s">
        <v>33</v>
      </c>
      <c r="J939" s="13" t="s">
        <v>241</v>
      </c>
      <c r="K939" s="13">
        <v>1.0</v>
      </c>
      <c r="L939" s="13" t="s">
        <v>194</v>
      </c>
      <c r="M939" s="35" t="s">
        <v>2944</v>
      </c>
      <c r="N939" s="15"/>
      <c r="O939" s="37"/>
      <c r="P939" s="37"/>
      <c r="Q939" s="64"/>
      <c r="R939" s="16"/>
      <c r="S939" s="37" t="str">
        <f>IFERROR(__xludf.DUMMYFUNCTION("if(not(iserror(index(split(C939, "" ""),2))), index(split(C939, "" ""),1),"""")"),"March")</f>
        <v>March</v>
      </c>
      <c r="T939" s="38">
        <f>IFERROR(__xludf.DUMMYFUNCTION("if(S939="""",C939,if(not(iserror(index(split(C939, "" ""),3))), index(split(C939, "" ""),3),index(split(C939, "" ""),2)))"),2018.0)</f>
        <v>2018</v>
      </c>
      <c r="U939" s="38" t="b">
        <f t="shared" si="140"/>
        <v>1</v>
      </c>
      <c r="V939" s="38"/>
      <c r="W939" s="40"/>
      <c r="X939" s="40"/>
      <c r="Y939" s="40"/>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row>
    <row r="940">
      <c r="A940" s="13" t="s">
        <v>2945</v>
      </c>
      <c r="B940" s="30">
        <v>43185.0</v>
      </c>
      <c r="C940" s="30">
        <v>43174.0</v>
      </c>
      <c r="D940" s="32" t="s">
        <v>2935</v>
      </c>
      <c r="E940" s="13" t="s">
        <v>31</v>
      </c>
      <c r="F940" s="13">
        <v>1.0</v>
      </c>
      <c r="G940" s="13" t="s">
        <v>32</v>
      </c>
      <c r="H940" s="33">
        <f t="shared" si="145"/>
        <v>1</v>
      </c>
      <c r="I940" s="13" t="s">
        <v>33</v>
      </c>
      <c r="J940" s="13" t="s">
        <v>504</v>
      </c>
      <c r="K940" s="13">
        <v>1.0</v>
      </c>
      <c r="L940" s="13" t="s">
        <v>2946</v>
      </c>
      <c r="M940" s="35" t="s">
        <v>2947</v>
      </c>
      <c r="N940" s="15"/>
      <c r="O940" s="16"/>
      <c r="P940" s="16"/>
      <c r="Q940" s="16"/>
      <c r="R940" s="16"/>
      <c r="S940" s="37" t="str">
        <f>IFERROR(__xludf.DUMMYFUNCTION("if(not(iserror(index(split(C940, "" ""),2))), index(split(C940, "" ""),1),"""")"),"March")</f>
        <v>March</v>
      </c>
      <c r="T940" s="38">
        <f>IFERROR(__xludf.DUMMYFUNCTION("if(S940="""",C940,if(not(iserror(index(split(C940, "" ""),3))), index(split(C940, "" ""),3),index(split(C940, "" ""),2)))"),2018.0)</f>
        <v>2018</v>
      </c>
      <c r="U940" s="38" t="b">
        <f t="shared" si="140"/>
        <v>0</v>
      </c>
      <c r="V940" s="38"/>
      <c r="W940" s="40"/>
      <c r="X940" s="40"/>
      <c r="Y940" s="40"/>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c r="BQ940" s="38"/>
    </row>
    <row r="941">
      <c r="A941" s="13" t="s">
        <v>2948</v>
      </c>
      <c r="B941" s="30"/>
      <c r="C941" s="30">
        <v>43174.0</v>
      </c>
      <c r="D941" s="32"/>
      <c r="E941" s="13" t="s">
        <v>31</v>
      </c>
      <c r="F941" s="13">
        <v>1.0</v>
      </c>
      <c r="G941" s="13">
        <v>2.0</v>
      </c>
      <c r="H941" s="43">
        <v>2.0</v>
      </c>
      <c r="I941" s="13" t="s">
        <v>33</v>
      </c>
      <c r="J941" s="13" t="s">
        <v>47</v>
      </c>
      <c r="K941" s="13"/>
      <c r="L941" s="13" t="s">
        <v>76</v>
      </c>
      <c r="M941" s="35" t="s">
        <v>2949</v>
      </c>
      <c r="N941" s="15"/>
      <c r="O941" s="57" t="str">
        <f>hyperlink("https://bad-boys.us/?q=MD-FL/6:18-cr-00190", "MD-FL 6:18-cr-00190")</f>
        <v>MD-FL 6:18-cr-00190</v>
      </c>
      <c r="P941" s="86" t="s">
        <v>2950</v>
      </c>
      <c r="Q941" s="37">
        <v>1.0</v>
      </c>
      <c r="R941" s="16"/>
      <c r="S941" s="37" t="str">
        <f>IFERROR(__xludf.DUMMYFUNCTION("if(not(iserror(index(split(C941, "" ""),2))), index(split(C941, "" ""),1),"""")"),"March")</f>
        <v>March</v>
      </c>
      <c r="T941" s="38">
        <f>IFERROR(__xludf.DUMMYFUNCTION("if(S941="""",C941,if(not(iserror(index(split(C941, "" ""),3))), index(split(C941, "" ""),3),index(split(C941, "" ""),2)))"),2018.0)</f>
        <v>2018</v>
      </c>
      <c r="U941" s="38" t="b">
        <f t="shared" si="140"/>
        <v>0</v>
      </c>
      <c r="V941" s="38" t="s">
        <v>33</v>
      </c>
      <c r="W941" s="40"/>
      <c r="X941" s="39" t="s">
        <v>2951</v>
      </c>
      <c r="Y941" s="40"/>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row>
    <row r="942">
      <c r="A942" s="87" t="s">
        <v>2952</v>
      </c>
      <c r="B942" s="59">
        <v>43451.0</v>
      </c>
      <c r="C942" s="59">
        <v>43174.0</v>
      </c>
      <c r="D942" s="60" t="s">
        <v>632</v>
      </c>
      <c r="E942" s="58" t="s">
        <v>41</v>
      </c>
      <c r="F942" s="58">
        <v>1.0</v>
      </c>
      <c r="G942" s="58" t="s">
        <v>32</v>
      </c>
      <c r="H942" s="33">
        <f t="shared" ref="H942:H955" si="146">if(G942="Unknown",1,G942)</f>
        <v>1</v>
      </c>
      <c r="I942" s="58" t="s">
        <v>33</v>
      </c>
      <c r="J942" s="58" t="s">
        <v>288</v>
      </c>
      <c r="K942" s="58">
        <v>2.0</v>
      </c>
      <c r="L942" s="58" t="s">
        <v>119</v>
      </c>
      <c r="M942" s="61" t="s">
        <v>2953</v>
      </c>
      <c r="N942" s="80"/>
      <c r="O942" s="83" t="str">
        <f>hyperlink("https://bad-boys.us/?q=D-NE/8:18-cr-00140", "D-NE 8:18-cr-00140")</f>
        <v>D-NE 8:18-cr-00140</v>
      </c>
      <c r="P942" s="88" t="s">
        <v>2954</v>
      </c>
      <c r="Q942" s="58">
        <v>1.0</v>
      </c>
      <c r="R942" s="62"/>
      <c r="S942" s="37" t="str">
        <f>IFERROR(__xludf.DUMMYFUNCTION("if(not(iserror(index(split(C942, "" ""),2))), index(split(C942, "" ""),1),"""")"),"March")</f>
        <v>March</v>
      </c>
      <c r="T942" s="38">
        <f>IFERROR(__xludf.DUMMYFUNCTION("if(S942="""",C942,if(not(iserror(index(split(C942, "" ""),3))), index(split(C942, "" ""),3),index(split(C942, "" ""),2)))"),2018.0)</f>
        <v>2018</v>
      </c>
      <c r="U942" s="38" t="b">
        <f t="shared" si="140"/>
        <v>0</v>
      </c>
      <c r="V942" s="38"/>
      <c r="W942" s="40"/>
      <c r="X942" s="40"/>
      <c r="Y942" s="40"/>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row>
    <row r="943">
      <c r="A943" s="58" t="s">
        <v>2955</v>
      </c>
      <c r="B943" s="59">
        <v>43244.0</v>
      </c>
      <c r="C943" s="59">
        <v>43174.0</v>
      </c>
      <c r="D943" s="60" t="s">
        <v>2935</v>
      </c>
      <c r="E943" s="58" t="s">
        <v>41</v>
      </c>
      <c r="F943" s="58">
        <v>1.0</v>
      </c>
      <c r="G943" s="58" t="s">
        <v>32</v>
      </c>
      <c r="H943" s="33">
        <f t="shared" si="146"/>
        <v>1</v>
      </c>
      <c r="I943" s="58" t="s">
        <v>33</v>
      </c>
      <c r="J943" s="58" t="s">
        <v>61</v>
      </c>
      <c r="K943" s="58">
        <v>1.0</v>
      </c>
      <c r="L943" s="58" t="s">
        <v>119</v>
      </c>
      <c r="M943" s="80" t="s">
        <v>2956</v>
      </c>
      <c r="N943" s="80"/>
      <c r="O943" s="88" t="str">
        <f>hyperlink("https://bad-boys.us/?q=ED-LA/2:18-cr-00111", "ED-LA 2:18-cr-00111")</f>
        <v>ED-LA 2:18-cr-00111</v>
      </c>
      <c r="P943" s="88" t="s">
        <v>2957</v>
      </c>
      <c r="Q943" s="84">
        <v>1.0</v>
      </c>
      <c r="R943" s="62"/>
      <c r="S943" s="37" t="str">
        <f>IFERROR(__xludf.DUMMYFUNCTION("if(not(iserror(index(split(C943, "" ""),2))), index(split(C943, "" ""),1),"""")"),"March")</f>
        <v>March</v>
      </c>
      <c r="T943" s="38">
        <f>IFERROR(__xludf.DUMMYFUNCTION("if(S943="""",C943,if(not(iserror(index(split(C943, "" ""),3))), index(split(C943, "" ""),3),index(split(C943, "" ""),2)))"),2018.0)</f>
        <v>2018</v>
      </c>
      <c r="U943" s="38" t="b">
        <f t="shared" si="140"/>
        <v>0</v>
      </c>
      <c r="V943" s="38" t="s">
        <v>33</v>
      </c>
      <c r="W943" s="40"/>
      <c r="X943" s="40"/>
      <c r="Y943" s="40"/>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row>
    <row r="944">
      <c r="A944" s="58" t="s">
        <v>40</v>
      </c>
      <c r="B944" s="59">
        <v>43268.0</v>
      </c>
      <c r="C944" s="59">
        <v>43174.0</v>
      </c>
      <c r="D944" s="60" t="s">
        <v>2935</v>
      </c>
      <c r="E944" s="58" t="s">
        <v>41</v>
      </c>
      <c r="F944" s="58">
        <v>5.0</v>
      </c>
      <c r="G944" s="58" t="s">
        <v>32</v>
      </c>
      <c r="H944" s="33">
        <f t="shared" si="146"/>
        <v>1</v>
      </c>
      <c r="I944" s="58" t="s">
        <v>33</v>
      </c>
      <c r="J944" s="58" t="s">
        <v>40</v>
      </c>
      <c r="K944" s="58" t="s">
        <v>32</v>
      </c>
      <c r="L944" s="58" t="s">
        <v>52</v>
      </c>
      <c r="M944" s="61" t="s">
        <v>2958</v>
      </c>
      <c r="N944" s="77"/>
      <c r="O944" s="62"/>
      <c r="P944" s="62"/>
      <c r="Q944" s="62"/>
      <c r="R944" s="62"/>
      <c r="S944" s="37" t="str">
        <f>IFERROR(__xludf.DUMMYFUNCTION("if(not(iserror(index(split(C944, "" ""),2))), index(split(C944, "" ""),1),"""")"),"March")</f>
        <v>March</v>
      </c>
      <c r="T944" s="38">
        <f>IFERROR(__xludf.DUMMYFUNCTION("if(S944="""",C944,if(not(iserror(index(split(C944, "" ""),3))), index(split(C944, "" ""),3),index(split(C944, "" ""),2)))"),2018.0)</f>
        <v>2018</v>
      </c>
      <c r="U944" s="38" t="b">
        <f t="shared" si="140"/>
        <v>1</v>
      </c>
      <c r="V944" s="38"/>
      <c r="W944" s="40"/>
      <c r="X944" s="40"/>
      <c r="Y944" s="40"/>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row>
    <row r="945">
      <c r="A945" s="13" t="s">
        <v>2959</v>
      </c>
      <c r="B945" s="30">
        <v>43175.0</v>
      </c>
      <c r="C945" s="30">
        <v>43175.0</v>
      </c>
      <c r="D945" s="32" t="s">
        <v>2960</v>
      </c>
      <c r="E945" s="13" t="s">
        <v>31</v>
      </c>
      <c r="F945" s="13">
        <v>1.0</v>
      </c>
      <c r="G945" s="13" t="s">
        <v>32</v>
      </c>
      <c r="H945" s="33">
        <f t="shared" si="146"/>
        <v>1</v>
      </c>
      <c r="I945" s="13" t="s">
        <v>128</v>
      </c>
      <c r="J945" s="82"/>
      <c r="K945" s="13" t="s">
        <v>32</v>
      </c>
      <c r="L945" s="13" t="s">
        <v>2961</v>
      </c>
      <c r="M945" s="35" t="s">
        <v>2962</v>
      </c>
      <c r="N945" s="15"/>
      <c r="O945" s="16"/>
      <c r="P945" s="16"/>
      <c r="Q945" s="16"/>
      <c r="R945" s="16"/>
      <c r="S945" s="37" t="str">
        <f>IFERROR(__xludf.DUMMYFUNCTION("if(not(iserror(index(split(C945, "" ""),2))), index(split(C945, "" ""),1),"""")"),"March")</f>
        <v>March</v>
      </c>
      <c r="T945" s="38">
        <f>IFERROR(__xludf.DUMMYFUNCTION("if(S945="""",C945,if(not(iserror(index(split(C945, "" ""),3))), index(split(C945, "" ""),3),index(split(C945, "" ""),2)))"),2018.0)</f>
        <v>2018</v>
      </c>
      <c r="U945" s="38" t="b">
        <f t="shared" si="140"/>
        <v>0</v>
      </c>
      <c r="V945" s="38"/>
      <c r="W945" s="40"/>
      <c r="X945" s="40"/>
      <c r="Y945" s="40"/>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row>
    <row r="946">
      <c r="A946" s="13" t="s">
        <v>2963</v>
      </c>
      <c r="B946" s="30">
        <v>43175.0</v>
      </c>
      <c r="C946" s="30">
        <v>43175.0</v>
      </c>
      <c r="D946" s="32" t="s">
        <v>2964</v>
      </c>
      <c r="E946" s="13" t="s">
        <v>41</v>
      </c>
      <c r="F946" s="13">
        <v>1.0</v>
      </c>
      <c r="G946" s="13" t="s">
        <v>32</v>
      </c>
      <c r="H946" s="33">
        <f t="shared" si="146"/>
        <v>1</v>
      </c>
      <c r="I946" s="13" t="s">
        <v>33</v>
      </c>
      <c r="J946" s="13" t="s">
        <v>42</v>
      </c>
      <c r="K946" s="13">
        <v>1.0</v>
      </c>
      <c r="L946" s="13" t="s">
        <v>99</v>
      </c>
      <c r="M946" s="35" t="s">
        <v>2965</v>
      </c>
      <c r="N946" s="15"/>
      <c r="O946" s="37"/>
      <c r="P946" s="37"/>
      <c r="Q946" s="64"/>
      <c r="R946" s="16"/>
      <c r="S946" s="37" t="str">
        <f>IFERROR(__xludf.DUMMYFUNCTION("if(not(iserror(index(split(C946, "" ""),2))), index(split(C946, "" ""),1),"""")"),"March")</f>
        <v>March</v>
      </c>
      <c r="T946" s="38">
        <f>IFERROR(__xludf.DUMMYFUNCTION("if(S946="""",C946,if(not(iserror(index(split(C946, "" ""),3))), index(split(C946, "" ""),3),index(split(C946, "" ""),2)))"),2018.0)</f>
        <v>2018</v>
      </c>
      <c r="U946" s="38" t="b">
        <f t="shared" si="140"/>
        <v>0</v>
      </c>
      <c r="V946" s="38"/>
      <c r="W946" s="40"/>
      <c r="X946" s="40"/>
      <c r="Y946" s="40"/>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row>
    <row r="947">
      <c r="A947" s="13" t="s">
        <v>239</v>
      </c>
      <c r="B947" s="30">
        <v>43178.0</v>
      </c>
      <c r="C947" s="30">
        <v>43175.0</v>
      </c>
      <c r="D947" s="32" t="s">
        <v>2964</v>
      </c>
      <c r="E947" s="13" t="s">
        <v>41</v>
      </c>
      <c r="F947" s="13">
        <v>1.0</v>
      </c>
      <c r="G947" s="13">
        <v>2.0</v>
      </c>
      <c r="H947" s="33">
        <f t="shared" si="146"/>
        <v>2</v>
      </c>
      <c r="I947" s="13" t="s">
        <v>33</v>
      </c>
      <c r="J947" s="13" t="s">
        <v>241</v>
      </c>
      <c r="K947" s="13">
        <v>1.0</v>
      </c>
      <c r="L947" s="13" t="s">
        <v>194</v>
      </c>
      <c r="M947" s="35" t="s">
        <v>2966</v>
      </c>
      <c r="N947" s="15"/>
      <c r="O947" s="16"/>
      <c r="P947" s="16"/>
      <c r="Q947" s="16"/>
      <c r="R947" s="16"/>
      <c r="S947" s="37" t="str">
        <f>IFERROR(__xludf.DUMMYFUNCTION("if(not(iserror(index(split(C947, "" ""),2))), index(split(C947, "" ""),1),"""")"),"March")</f>
        <v>March</v>
      </c>
      <c r="T947" s="38">
        <f>IFERROR(__xludf.DUMMYFUNCTION("if(S947="""",C947,if(not(iserror(index(split(C947, "" ""),3))), index(split(C947, "" ""),3),index(split(C947, "" ""),2)))"),2018.0)</f>
        <v>2018</v>
      </c>
      <c r="U947" s="38" t="b">
        <f t="shared" si="140"/>
        <v>1</v>
      </c>
      <c r="V947" s="38"/>
      <c r="W947" s="40"/>
      <c r="X947" s="40"/>
      <c r="Y947" s="40"/>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row>
    <row r="948">
      <c r="A948" s="78" t="s">
        <v>2967</v>
      </c>
      <c r="B948" s="59">
        <v>43283.0</v>
      </c>
      <c r="C948" s="59">
        <v>43175.0</v>
      </c>
      <c r="D948" s="60" t="s">
        <v>2964</v>
      </c>
      <c r="E948" s="58" t="s">
        <v>41</v>
      </c>
      <c r="F948" s="58">
        <v>1.0</v>
      </c>
      <c r="G948" s="58" t="s">
        <v>32</v>
      </c>
      <c r="H948" s="33">
        <f t="shared" si="146"/>
        <v>1</v>
      </c>
      <c r="I948" s="58" t="s">
        <v>33</v>
      </c>
      <c r="J948" s="58" t="s">
        <v>179</v>
      </c>
      <c r="K948" s="58" t="s">
        <v>32</v>
      </c>
      <c r="L948" s="58" t="s">
        <v>76</v>
      </c>
      <c r="M948" s="61" t="s">
        <v>2968</v>
      </c>
      <c r="N948" s="61" t="s">
        <v>2969</v>
      </c>
      <c r="O948" s="103" t="str">
        <f>hyperlink("https://bad-boys.us/?q=ED-VA/1:18-cr-00261", "ED-VA 1:18-cr-00261")</f>
        <v>ED-VA 1:18-cr-00261</v>
      </c>
      <c r="P948" s="103" t="s">
        <v>2970</v>
      </c>
      <c r="Q948" s="84">
        <v>1.0</v>
      </c>
      <c r="R948" s="62"/>
      <c r="S948" s="37" t="str">
        <f>IFERROR(__xludf.DUMMYFUNCTION("if(not(iserror(index(split(C948, "" ""),2))), index(split(C948, "" ""),1),"""")"),"March")</f>
        <v>March</v>
      </c>
      <c r="T948" s="38">
        <f>IFERROR(__xludf.DUMMYFUNCTION("if(S948="""",C948,if(not(iserror(index(split(C948, "" ""),3))), index(split(C948, "" ""),3),index(split(C948, "" ""),2)))"),2018.0)</f>
        <v>2018</v>
      </c>
      <c r="U948" s="38" t="b">
        <f t="shared" si="140"/>
        <v>0</v>
      </c>
      <c r="V948" s="38"/>
      <c r="W948" s="40"/>
      <c r="X948" s="40"/>
      <c r="Y948" s="40"/>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row>
    <row r="949">
      <c r="A949" s="13" t="s">
        <v>40</v>
      </c>
      <c r="B949" s="30">
        <v>43177.0</v>
      </c>
      <c r="C949" s="30">
        <v>43177.0</v>
      </c>
      <c r="D949" s="32" t="s">
        <v>2971</v>
      </c>
      <c r="E949" s="13" t="s">
        <v>41</v>
      </c>
      <c r="F949" s="13">
        <v>1300.0</v>
      </c>
      <c r="G949" s="13">
        <v>40.0</v>
      </c>
      <c r="H949" s="33">
        <f t="shared" si="146"/>
        <v>40</v>
      </c>
      <c r="I949" s="13" t="s">
        <v>2496</v>
      </c>
      <c r="J949" s="82"/>
      <c r="K949" s="13" t="s">
        <v>32</v>
      </c>
      <c r="L949" s="13" t="s">
        <v>2972</v>
      </c>
      <c r="M949" s="35" t="s">
        <v>2973</v>
      </c>
      <c r="N949" s="15"/>
      <c r="O949" s="16"/>
      <c r="P949" s="16"/>
      <c r="Q949" s="16"/>
      <c r="R949" s="16"/>
      <c r="S949" s="37" t="str">
        <f>IFERROR(__xludf.DUMMYFUNCTION("if(not(iserror(index(split(C949, "" ""),2))), index(split(C949, "" ""),1),"""")"),"March")</f>
        <v>March</v>
      </c>
      <c r="T949" s="38">
        <f>IFERROR(__xludf.DUMMYFUNCTION("if(S949="""",C949,if(not(iserror(index(split(C949, "" ""),3))), index(split(C949, "" ""),3),index(split(C949, "" ""),2)))"),2018.0)</f>
        <v>2018</v>
      </c>
      <c r="U949" s="38" t="b">
        <f t="shared" si="140"/>
        <v>1</v>
      </c>
      <c r="V949" s="38"/>
      <c r="W949" s="40"/>
      <c r="X949" s="40"/>
      <c r="Y949" s="40"/>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row>
    <row r="950">
      <c r="A950" s="87" t="s">
        <v>2974</v>
      </c>
      <c r="B950" s="30">
        <v>43178.0</v>
      </c>
      <c r="C950" s="30">
        <v>43177.0</v>
      </c>
      <c r="D950" s="32" t="s">
        <v>2975</v>
      </c>
      <c r="E950" s="13" t="s">
        <v>41</v>
      </c>
      <c r="F950" s="13">
        <v>1.0</v>
      </c>
      <c r="G950" s="13">
        <v>6.0</v>
      </c>
      <c r="H950" s="33">
        <f t="shared" si="146"/>
        <v>6</v>
      </c>
      <c r="I950" s="13" t="s">
        <v>33</v>
      </c>
      <c r="J950" s="13" t="s">
        <v>413</v>
      </c>
      <c r="K950" s="13">
        <v>1.0</v>
      </c>
      <c r="L950" s="13" t="s">
        <v>194</v>
      </c>
      <c r="M950" s="56" t="s">
        <v>2976</v>
      </c>
      <c r="N950" s="15"/>
      <c r="O950" s="86" t="str">
        <f>hyperlink("https://bad-boys.us/?q=D-VT/2:18-cr-00034", "D-VT 2:18-cr-00034")</f>
        <v>D-VT 2:18-cr-00034</v>
      </c>
      <c r="P950" s="86" t="s">
        <v>2977</v>
      </c>
      <c r="Q950" s="37">
        <v>1.0</v>
      </c>
      <c r="R950" s="16"/>
      <c r="S950" s="37" t="str">
        <f>IFERROR(__xludf.DUMMYFUNCTION("if(not(iserror(index(split(C950, "" ""),2))), index(split(C950, "" ""),1),"""")"),"March")</f>
        <v>March</v>
      </c>
      <c r="T950" s="38">
        <f>IFERROR(__xludf.DUMMYFUNCTION("if(S950="""",C950,if(not(iserror(index(split(C950, "" ""),3))), index(split(C950, "" ""),3),index(split(C950, "" ""),2)))"),2018.0)</f>
        <v>2018</v>
      </c>
      <c r="U950" s="38" t="b">
        <f t="shared" si="140"/>
        <v>0</v>
      </c>
      <c r="V950" s="38" t="s">
        <v>33</v>
      </c>
      <c r="W950" s="40"/>
      <c r="X950" s="40"/>
      <c r="Y950" s="40"/>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row>
    <row r="951">
      <c r="A951" s="13" t="s">
        <v>40</v>
      </c>
      <c r="B951" s="30">
        <v>43179.0</v>
      </c>
      <c r="C951" s="30">
        <v>43177.0</v>
      </c>
      <c r="D951" s="32" t="s">
        <v>2975</v>
      </c>
      <c r="E951" s="13" t="s">
        <v>41</v>
      </c>
      <c r="F951" s="13" t="s">
        <v>32</v>
      </c>
      <c r="G951" s="13">
        <v>218.0</v>
      </c>
      <c r="H951" s="33">
        <f t="shared" si="146"/>
        <v>218</v>
      </c>
      <c r="I951" s="13" t="s">
        <v>2978</v>
      </c>
      <c r="J951" s="13"/>
      <c r="K951" s="13">
        <v>1.0</v>
      </c>
      <c r="L951" s="13" t="s">
        <v>2979</v>
      </c>
      <c r="M951" s="35" t="s">
        <v>2980</v>
      </c>
      <c r="N951" s="15"/>
      <c r="O951" s="16"/>
      <c r="P951" s="16"/>
      <c r="Q951" s="16"/>
      <c r="R951" s="16"/>
      <c r="S951" s="37" t="str">
        <f>IFERROR(__xludf.DUMMYFUNCTION("if(not(iserror(index(split(C951, "" ""),2))), index(split(C951, "" ""),1),"""")"),"March")</f>
        <v>March</v>
      </c>
      <c r="T951" s="38">
        <f>IFERROR(__xludf.DUMMYFUNCTION("if(S951="""",C951,if(not(iserror(index(split(C951, "" ""),3))), index(split(C951, "" ""),3),index(split(C951, "" ""),2)))"),2018.0)</f>
        <v>2018</v>
      </c>
      <c r="U951" s="38" t="b">
        <f t="shared" si="140"/>
        <v>1</v>
      </c>
      <c r="V951" s="38"/>
      <c r="W951" s="40"/>
      <c r="X951" s="40"/>
      <c r="Y951" s="40"/>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row>
    <row r="952">
      <c r="A952" s="13" t="s">
        <v>40</v>
      </c>
      <c r="B952" s="30">
        <v>43178.0</v>
      </c>
      <c r="C952" s="30">
        <v>43178.0</v>
      </c>
      <c r="D952" s="32" t="s">
        <v>2981</v>
      </c>
      <c r="E952" s="13" t="s">
        <v>31</v>
      </c>
      <c r="F952" s="13">
        <v>3.0</v>
      </c>
      <c r="G952" s="13" t="s">
        <v>32</v>
      </c>
      <c r="H952" s="33">
        <f t="shared" si="146"/>
        <v>1</v>
      </c>
      <c r="I952" s="13" t="s">
        <v>33</v>
      </c>
      <c r="J952" s="13" t="s">
        <v>47</v>
      </c>
      <c r="K952" s="13">
        <v>1.0</v>
      </c>
      <c r="L952" s="13" t="s">
        <v>759</v>
      </c>
      <c r="M952" s="35" t="s">
        <v>2982</v>
      </c>
      <c r="N952" s="15"/>
      <c r="O952" s="37"/>
      <c r="P952" s="37"/>
      <c r="Q952" s="64"/>
      <c r="R952" s="16"/>
      <c r="S952" s="37" t="str">
        <f>IFERROR(__xludf.DUMMYFUNCTION("if(not(iserror(index(split(C952, "" ""),2))), index(split(C952, "" ""),1),"""")"),"March")</f>
        <v>March</v>
      </c>
      <c r="T952" s="38">
        <f>IFERROR(__xludf.DUMMYFUNCTION("if(S952="""",C952,if(not(iserror(index(split(C952, "" ""),3))), index(split(C952, "" ""),3),index(split(C952, "" ""),2)))"),2018.0)</f>
        <v>2018</v>
      </c>
      <c r="U952" s="38" t="b">
        <f t="shared" si="140"/>
        <v>1</v>
      </c>
      <c r="V952" s="38"/>
      <c r="W952" s="40"/>
      <c r="X952" s="40"/>
      <c r="Y952" s="40"/>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row>
    <row r="953">
      <c r="A953" s="13" t="s">
        <v>40</v>
      </c>
      <c r="B953" s="30">
        <v>43180.0</v>
      </c>
      <c r="C953" s="30">
        <v>43179.0</v>
      </c>
      <c r="D953" s="32" t="s">
        <v>2983</v>
      </c>
      <c r="E953" s="13" t="s">
        <v>41</v>
      </c>
      <c r="F953" s="13">
        <v>31.0</v>
      </c>
      <c r="G953" s="13" t="s">
        <v>32</v>
      </c>
      <c r="H953" s="33">
        <f t="shared" si="146"/>
        <v>1</v>
      </c>
      <c r="I953" s="13" t="s">
        <v>2984</v>
      </c>
      <c r="J953" s="13"/>
      <c r="K953" s="13">
        <v>1.0</v>
      </c>
      <c r="L953" s="13" t="s">
        <v>2979</v>
      </c>
      <c r="M953" s="35" t="s">
        <v>2985</v>
      </c>
      <c r="N953" s="15"/>
      <c r="O953" s="16"/>
      <c r="P953" s="16"/>
      <c r="Q953" s="16"/>
      <c r="R953" s="16"/>
      <c r="S953" s="37" t="str">
        <f>IFERROR(__xludf.DUMMYFUNCTION("if(not(iserror(index(split(C953, "" ""),2))), index(split(C953, "" ""),1),"""")"),"March")</f>
        <v>March</v>
      </c>
      <c r="T953" s="38">
        <f>IFERROR(__xludf.DUMMYFUNCTION("if(S953="""",C953,if(not(iserror(index(split(C953, "" ""),3))), index(split(C953, "" ""),3),index(split(C953, "" ""),2)))"),2018.0)</f>
        <v>2018</v>
      </c>
      <c r="U953" s="38" t="b">
        <f t="shared" si="140"/>
        <v>1</v>
      </c>
      <c r="V953" s="38"/>
      <c r="W953" s="40"/>
      <c r="X953" s="40"/>
      <c r="Y953" s="40"/>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row>
    <row r="954">
      <c r="A954" s="13" t="s">
        <v>2986</v>
      </c>
      <c r="B954" s="30">
        <v>43181.0</v>
      </c>
      <c r="C954" s="30">
        <v>43179.0</v>
      </c>
      <c r="D954" s="32" t="s">
        <v>2983</v>
      </c>
      <c r="E954" s="13" t="s">
        <v>31</v>
      </c>
      <c r="F954" s="13">
        <v>1.0</v>
      </c>
      <c r="G954" s="13">
        <v>1.0</v>
      </c>
      <c r="H954" s="33">
        <f t="shared" si="146"/>
        <v>1</v>
      </c>
      <c r="I954" s="13" t="s">
        <v>33</v>
      </c>
      <c r="J954" s="13" t="s">
        <v>111</v>
      </c>
      <c r="K954" s="13">
        <v>2.0</v>
      </c>
      <c r="L954" s="13" t="s">
        <v>2987</v>
      </c>
      <c r="M954" s="35" t="s">
        <v>2988</v>
      </c>
      <c r="N954" s="15"/>
      <c r="O954" s="16"/>
      <c r="P954" s="16"/>
      <c r="Q954" s="16"/>
      <c r="R954" s="16"/>
      <c r="S954" s="37" t="str">
        <f>IFERROR(__xludf.DUMMYFUNCTION("if(not(iserror(index(split(C954, "" ""),2))), index(split(C954, "" ""),1),"""")"),"March")</f>
        <v>March</v>
      </c>
      <c r="T954" s="38">
        <f>IFERROR(__xludf.DUMMYFUNCTION("if(S954="""",C954,if(not(iserror(index(split(C954, "" ""),3))), index(split(C954, "" ""),3),index(split(C954, "" ""),2)))"),2018.0)</f>
        <v>2018</v>
      </c>
      <c r="U954" s="38" t="b">
        <f t="shared" si="140"/>
        <v>0</v>
      </c>
      <c r="V954" s="38"/>
      <c r="W954" s="40"/>
      <c r="X954" s="40"/>
      <c r="Y954" s="40"/>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row>
    <row r="955">
      <c r="A955" s="13" t="s">
        <v>2989</v>
      </c>
      <c r="B955" s="30">
        <v>43180.0</v>
      </c>
      <c r="C955" s="30">
        <v>43180.0</v>
      </c>
      <c r="D955" s="32" t="s">
        <v>2990</v>
      </c>
      <c r="E955" s="13" t="s">
        <v>41</v>
      </c>
      <c r="F955" s="13">
        <v>1.0</v>
      </c>
      <c r="G955" s="13" t="s">
        <v>32</v>
      </c>
      <c r="H955" s="33">
        <f t="shared" si="146"/>
        <v>1</v>
      </c>
      <c r="I955" s="13" t="s">
        <v>33</v>
      </c>
      <c r="J955" s="13" t="s">
        <v>343</v>
      </c>
      <c r="K955" s="13">
        <v>1.0</v>
      </c>
      <c r="L955" s="13" t="s">
        <v>119</v>
      </c>
      <c r="M955" s="35" t="s">
        <v>2991</v>
      </c>
      <c r="N955" s="35" t="s">
        <v>2992</v>
      </c>
      <c r="O955" s="16"/>
      <c r="P955" s="37"/>
      <c r="Q955" s="37"/>
      <c r="R955" s="16"/>
      <c r="S955" s="37" t="str">
        <f>IFERROR(__xludf.DUMMYFUNCTION("if(not(iserror(index(split(C955, "" ""),2))), index(split(C955, "" ""),1),"""")"),"March")</f>
        <v>March</v>
      </c>
      <c r="T955" s="38">
        <f>IFERROR(__xludf.DUMMYFUNCTION("if(S955="""",C955,if(not(iserror(index(split(C955, "" ""),3))), index(split(C955, "" ""),3),index(split(C955, "" ""),2)))"),2018.0)</f>
        <v>2018</v>
      </c>
      <c r="U955" s="38" t="b">
        <f t="shared" si="140"/>
        <v>0</v>
      </c>
      <c r="V955" s="38"/>
      <c r="W955" s="40"/>
      <c r="X955" s="40"/>
      <c r="Y955" s="40"/>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row>
    <row r="956">
      <c r="A956" s="13" t="s">
        <v>2993</v>
      </c>
      <c r="B956" s="30"/>
      <c r="C956" s="30">
        <v>43180.0</v>
      </c>
      <c r="D956" s="32"/>
      <c r="E956" s="13" t="s">
        <v>41</v>
      </c>
      <c r="F956" s="13">
        <v>1.0</v>
      </c>
      <c r="G956" s="13" t="s">
        <v>32</v>
      </c>
      <c r="H956" s="43">
        <v>1.0</v>
      </c>
      <c r="I956" s="13" t="s">
        <v>33</v>
      </c>
      <c r="J956" s="13" t="s">
        <v>147</v>
      </c>
      <c r="K956" s="13"/>
      <c r="L956" s="13" t="s">
        <v>69</v>
      </c>
      <c r="M956" s="35" t="s">
        <v>2994</v>
      </c>
      <c r="N956" s="56"/>
      <c r="O956" s="57" t="str">
        <f>hyperlink("https://bad-boys.us/?q=WD-TX/3:18-cr-00755", "WD-TX 3:18-cr-00755")</f>
        <v>WD-TX 3:18-cr-00755</v>
      </c>
      <c r="P956" s="86" t="s">
        <v>2995</v>
      </c>
      <c r="Q956" s="37">
        <v>1.0</v>
      </c>
      <c r="R956" s="16"/>
      <c r="S956" s="37" t="str">
        <f>IFERROR(__xludf.DUMMYFUNCTION("if(not(iserror(index(split(C956, "" ""),2))), index(split(C956, "" ""),1),"""")"),"March")</f>
        <v>March</v>
      </c>
      <c r="T956" s="38">
        <f>IFERROR(__xludf.DUMMYFUNCTION("if(S956="""",C956,if(not(iserror(index(split(C956, "" ""),3))), index(split(C956, "" ""),3),index(split(C956, "" ""),2)))"),2018.0)</f>
        <v>2018</v>
      </c>
      <c r="U956" s="38" t="b">
        <f t="shared" si="140"/>
        <v>0</v>
      </c>
      <c r="V956" s="38" t="s">
        <v>33</v>
      </c>
      <c r="W956" s="40"/>
      <c r="X956" s="40"/>
      <c r="Y956" s="40"/>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row>
    <row r="957">
      <c r="A957" s="13" t="s">
        <v>2996</v>
      </c>
      <c r="B957" s="30">
        <v>43181.0</v>
      </c>
      <c r="C957" s="30">
        <v>43180.0</v>
      </c>
      <c r="D957" s="32" t="s">
        <v>2997</v>
      </c>
      <c r="E957" s="13" t="s">
        <v>41</v>
      </c>
      <c r="F957" s="13">
        <v>1.0</v>
      </c>
      <c r="G957" s="13" t="s">
        <v>32</v>
      </c>
      <c r="H957" s="33">
        <f t="shared" ref="H957:H969" si="147">if(G957="Unknown",1,G957)</f>
        <v>1</v>
      </c>
      <c r="I957" s="13" t="s">
        <v>33</v>
      </c>
      <c r="J957" s="13" t="s">
        <v>172</v>
      </c>
      <c r="K957" s="13">
        <v>2.0</v>
      </c>
      <c r="L957" s="13" t="s">
        <v>2998</v>
      </c>
      <c r="M957" s="35" t="s">
        <v>2999</v>
      </c>
      <c r="N957" s="15"/>
      <c r="O957" s="86" t="str">
        <f>hyperlink("https://bad-boys.us/?q=WD-NC/3:18-cr-00095", "WD-NC 3:18-cr-00095")</f>
        <v>WD-NC 3:18-cr-00095</v>
      </c>
      <c r="P957" s="86" t="s">
        <v>3000</v>
      </c>
      <c r="Q957" s="64">
        <v>1.0</v>
      </c>
      <c r="R957" s="16"/>
      <c r="S957" s="37" t="str">
        <f>IFERROR(__xludf.DUMMYFUNCTION("if(not(iserror(index(split(C957, "" ""),2))), index(split(C957, "" ""),1),"""")"),"March")</f>
        <v>March</v>
      </c>
      <c r="T957" s="38">
        <f>IFERROR(__xludf.DUMMYFUNCTION("if(S957="""",C957,if(not(iserror(index(split(C957, "" ""),3))), index(split(C957, "" ""),3),index(split(C957, "" ""),2)))"),2018.0)</f>
        <v>2018</v>
      </c>
      <c r="U957" s="38" t="b">
        <f t="shared" si="140"/>
        <v>0</v>
      </c>
      <c r="V957" s="38"/>
      <c r="W957" s="40"/>
      <c r="X957" s="40"/>
      <c r="Y957" s="40"/>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row>
    <row r="958">
      <c r="A958" s="13" t="s">
        <v>3001</v>
      </c>
      <c r="B958" s="30">
        <v>43181.0</v>
      </c>
      <c r="C958" s="30">
        <v>43181.0</v>
      </c>
      <c r="D958" s="32" t="s">
        <v>2997</v>
      </c>
      <c r="E958" s="13" t="s">
        <v>31</v>
      </c>
      <c r="F958" s="13">
        <v>2.0</v>
      </c>
      <c r="G958" s="13" t="s">
        <v>32</v>
      </c>
      <c r="H958" s="33">
        <f t="shared" si="147"/>
        <v>1</v>
      </c>
      <c r="I958" s="13" t="s">
        <v>33</v>
      </c>
      <c r="J958" s="13" t="s">
        <v>279</v>
      </c>
      <c r="K958" s="13">
        <v>1.0</v>
      </c>
      <c r="L958" s="13" t="s">
        <v>3002</v>
      </c>
      <c r="M958" s="35" t="s">
        <v>3003</v>
      </c>
      <c r="N958" s="15"/>
      <c r="O958" s="16"/>
      <c r="P958" s="16"/>
      <c r="Q958" s="16"/>
      <c r="R958" s="16"/>
      <c r="S958" s="37" t="str">
        <f>IFERROR(__xludf.DUMMYFUNCTION("if(not(iserror(index(split(C958, "" ""),2))), index(split(C958, "" ""),1),"""")"),"March")</f>
        <v>March</v>
      </c>
      <c r="T958" s="38">
        <f>IFERROR(__xludf.DUMMYFUNCTION("if(S958="""",C958,if(not(iserror(index(split(C958, "" ""),3))), index(split(C958, "" ""),3),index(split(C958, "" ""),2)))"),2018.0)</f>
        <v>2018</v>
      </c>
      <c r="U958" s="38" t="b">
        <f t="shared" si="140"/>
        <v>0</v>
      </c>
      <c r="V958" s="38"/>
      <c r="W958" s="40"/>
      <c r="X958" s="40"/>
      <c r="Y958" s="40"/>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row>
    <row r="959">
      <c r="A959" s="13" t="s">
        <v>239</v>
      </c>
      <c r="B959" s="30">
        <v>43182.0</v>
      </c>
      <c r="C959" s="30">
        <v>43181.0</v>
      </c>
      <c r="D959" s="32" t="s">
        <v>2997</v>
      </c>
      <c r="E959" s="13" t="s">
        <v>41</v>
      </c>
      <c r="F959" s="13">
        <v>2.0</v>
      </c>
      <c r="G959" s="13">
        <v>2.0</v>
      </c>
      <c r="H959" s="33">
        <f t="shared" si="147"/>
        <v>2</v>
      </c>
      <c r="I959" s="13" t="s">
        <v>33</v>
      </c>
      <c r="J959" s="13" t="s">
        <v>241</v>
      </c>
      <c r="K959" s="13">
        <v>1.0</v>
      </c>
      <c r="L959" s="13" t="s">
        <v>194</v>
      </c>
      <c r="M959" s="35" t="s">
        <v>3004</v>
      </c>
      <c r="N959" s="15"/>
      <c r="O959" s="37"/>
      <c r="P959" s="37"/>
      <c r="Q959" s="64"/>
      <c r="R959" s="16"/>
      <c r="S959" s="37" t="str">
        <f>IFERROR(__xludf.DUMMYFUNCTION("if(not(iserror(index(split(C959, "" ""),2))), index(split(C959, "" ""),1),"""")"),"March")</f>
        <v>March</v>
      </c>
      <c r="T959" s="38">
        <f>IFERROR(__xludf.DUMMYFUNCTION("if(S959="""",C959,if(not(iserror(index(split(C959, "" ""),3))), index(split(C959, "" ""),3),index(split(C959, "" ""),2)))"),2018.0)</f>
        <v>2018</v>
      </c>
      <c r="U959" s="38" t="b">
        <f t="shared" si="140"/>
        <v>1</v>
      </c>
      <c r="V959" s="38"/>
      <c r="W959" s="40"/>
      <c r="X959" s="40"/>
      <c r="Y959" s="40"/>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row>
    <row r="960">
      <c r="A960" s="13" t="s">
        <v>3005</v>
      </c>
      <c r="B960" s="30">
        <v>43193.0</v>
      </c>
      <c r="C960" s="30">
        <v>43181.0</v>
      </c>
      <c r="D960" s="143">
        <v>43181.0</v>
      </c>
      <c r="E960" s="13" t="s">
        <v>31</v>
      </c>
      <c r="F960" s="13">
        <v>1.0</v>
      </c>
      <c r="G960" s="13" t="s">
        <v>32</v>
      </c>
      <c r="H960" s="33">
        <f t="shared" si="147"/>
        <v>1</v>
      </c>
      <c r="I960" s="13" t="s">
        <v>33</v>
      </c>
      <c r="J960" s="13" t="s">
        <v>241</v>
      </c>
      <c r="K960" s="13">
        <v>1.0</v>
      </c>
      <c r="L960" s="13" t="s">
        <v>3006</v>
      </c>
      <c r="M960" s="35" t="s">
        <v>3007</v>
      </c>
      <c r="N960" s="15"/>
      <c r="O960" s="16"/>
      <c r="P960" s="16"/>
      <c r="Q960" s="16"/>
      <c r="R960" s="16"/>
      <c r="S960" s="37" t="str">
        <f>IFERROR(__xludf.DUMMYFUNCTION("if(not(iserror(index(split(C960, "" ""),2))), index(split(C960, "" ""),1),"""")"),"March")</f>
        <v>March</v>
      </c>
      <c r="T960" s="38">
        <f>IFERROR(__xludf.DUMMYFUNCTION("if(S960="""",C960,if(not(iserror(index(split(C960, "" ""),3))), index(split(C960, "" ""),3),index(split(C960, "" ""),2)))"),2018.0)</f>
        <v>2018</v>
      </c>
      <c r="U960" s="38" t="b">
        <f t="shared" si="140"/>
        <v>0</v>
      </c>
      <c r="V960" s="38"/>
      <c r="W960" s="40"/>
      <c r="X960" s="40"/>
      <c r="Y960" s="40"/>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row>
    <row r="961">
      <c r="A961" s="78" t="s">
        <v>3008</v>
      </c>
      <c r="B961" s="59">
        <v>43336.0</v>
      </c>
      <c r="C961" s="59">
        <v>43181.0</v>
      </c>
      <c r="D961" s="60" t="s">
        <v>2997</v>
      </c>
      <c r="E961" s="58" t="s">
        <v>41</v>
      </c>
      <c r="F961" s="58">
        <v>1.0</v>
      </c>
      <c r="G961" s="58" t="s">
        <v>32</v>
      </c>
      <c r="H961" s="33">
        <f t="shared" si="147"/>
        <v>1</v>
      </c>
      <c r="I961" s="58" t="s">
        <v>33</v>
      </c>
      <c r="J961" s="58" t="s">
        <v>47</v>
      </c>
      <c r="K961" s="58">
        <v>4.0</v>
      </c>
      <c r="L961" s="58" t="s">
        <v>99</v>
      </c>
      <c r="M961" s="61" t="s">
        <v>3009</v>
      </c>
      <c r="N961" s="61" t="s">
        <v>3010</v>
      </c>
      <c r="O961" s="88" t="str">
        <f>hyperlink("https://bad-boys.us/?q=MD-FL/3:18-mj-01106", "MD-FL 3:18-mj-01106")</f>
        <v>MD-FL 3:18-mj-01106</v>
      </c>
      <c r="P961" s="58"/>
      <c r="Q961" s="84">
        <v>1.0</v>
      </c>
      <c r="R961" s="62"/>
      <c r="S961" s="37" t="str">
        <f>IFERROR(__xludf.DUMMYFUNCTION("if(not(iserror(index(split(C961, "" ""),2))), index(split(C961, "" ""),1),"""")"),"March")</f>
        <v>March</v>
      </c>
      <c r="T961" s="38">
        <f>IFERROR(__xludf.DUMMYFUNCTION("if(S961="""",C961,if(not(iserror(index(split(C961, "" ""),3))), index(split(C961, "" ""),3),index(split(C961, "" ""),2)))"),2018.0)</f>
        <v>2018</v>
      </c>
      <c r="U961" s="38" t="b">
        <f t="shared" si="140"/>
        <v>0</v>
      </c>
      <c r="V961" s="38"/>
      <c r="W961" s="40"/>
      <c r="X961" s="40"/>
      <c r="Y961" s="40"/>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row>
    <row r="962">
      <c r="A962" s="13" t="s">
        <v>239</v>
      </c>
      <c r="B962" s="30">
        <v>43185.0</v>
      </c>
      <c r="C962" s="30">
        <v>43182.0</v>
      </c>
      <c r="D962" s="32" t="s">
        <v>3011</v>
      </c>
      <c r="E962" s="13" t="s">
        <v>41</v>
      </c>
      <c r="F962" s="13">
        <v>1.0</v>
      </c>
      <c r="G962" s="13">
        <v>1.0</v>
      </c>
      <c r="H962" s="33">
        <f t="shared" si="147"/>
        <v>1</v>
      </c>
      <c r="I962" s="13" t="s">
        <v>33</v>
      </c>
      <c r="J962" s="13" t="s">
        <v>241</v>
      </c>
      <c r="K962" s="13">
        <v>1.0</v>
      </c>
      <c r="L962" s="13" t="s">
        <v>194</v>
      </c>
      <c r="M962" s="35" t="s">
        <v>3012</v>
      </c>
      <c r="N962" s="15"/>
      <c r="O962" s="16"/>
      <c r="P962" s="16"/>
      <c r="Q962" s="16"/>
      <c r="R962" s="16"/>
      <c r="S962" s="37" t="str">
        <f>IFERROR(__xludf.DUMMYFUNCTION("if(not(iserror(index(split(C962, "" ""),2))), index(split(C962, "" ""),1),"""")"),"March")</f>
        <v>March</v>
      </c>
      <c r="T962" s="38">
        <f>IFERROR(__xludf.DUMMYFUNCTION("if(S962="""",C962,if(not(iserror(index(split(C962, "" ""),3))), index(split(C962, "" ""),3),index(split(C962, "" ""),2)))"),2018.0)</f>
        <v>2018</v>
      </c>
      <c r="U962" s="38" t="b">
        <f t="shared" si="140"/>
        <v>1</v>
      </c>
      <c r="V962" s="38"/>
      <c r="W962" s="40"/>
      <c r="X962" s="40"/>
      <c r="Y962" s="40"/>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row>
    <row r="963">
      <c r="A963" s="13" t="s">
        <v>239</v>
      </c>
      <c r="B963" s="30">
        <v>43186.0</v>
      </c>
      <c r="C963" s="30">
        <v>43182.0</v>
      </c>
      <c r="D963" s="32" t="s">
        <v>3011</v>
      </c>
      <c r="E963" s="13" t="s">
        <v>41</v>
      </c>
      <c r="F963" s="13">
        <v>2.0</v>
      </c>
      <c r="G963" s="13">
        <v>2.0</v>
      </c>
      <c r="H963" s="33">
        <f t="shared" si="147"/>
        <v>2</v>
      </c>
      <c r="I963" s="13" t="s">
        <v>33</v>
      </c>
      <c r="J963" s="13" t="s">
        <v>241</v>
      </c>
      <c r="K963" s="13">
        <v>1.0</v>
      </c>
      <c r="L963" s="13" t="s">
        <v>194</v>
      </c>
      <c r="M963" s="35" t="s">
        <v>3013</v>
      </c>
      <c r="N963" s="15"/>
      <c r="O963" s="16"/>
      <c r="P963" s="16"/>
      <c r="Q963" s="16"/>
      <c r="R963" s="16"/>
      <c r="S963" s="37" t="str">
        <f>IFERROR(__xludf.DUMMYFUNCTION("if(not(iserror(index(split(C963, "" ""),2))), index(split(C963, "" ""),1),"""")"),"March")</f>
        <v>March</v>
      </c>
      <c r="T963" s="38">
        <f>IFERROR(__xludf.DUMMYFUNCTION("if(S963="""",C963,if(not(iserror(index(split(C963, "" ""),3))), index(split(C963, "" ""),3),index(split(C963, "" ""),2)))"),2018.0)</f>
        <v>2018</v>
      </c>
      <c r="U963" s="38" t="b">
        <f t="shared" si="140"/>
        <v>1</v>
      </c>
      <c r="V963" s="38"/>
      <c r="W963" s="40"/>
      <c r="X963" s="40"/>
      <c r="Y963" s="40"/>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row>
    <row r="964">
      <c r="A964" s="34" t="s">
        <v>3014</v>
      </c>
      <c r="B964" s="73">
        <v>43199.0</v>
      </c>
      <c r="C964" s="73">
        <v>43183.0</v>
      </c>
      <c r="D964" s="75" t="s">
        <v>3015</v>
      </c>
      <c r="E964" s="34" t="s">
        <v>31</v>
      </c>
      <c r="F964" s="34">
        <v>1.0</v>
      </c>
      <c r="G964" s="34" t="s">
        <v>32</v>
      </c>
      <c r="H964" s="33">
        <f t="shared" si="147"/>
        <v>1</v>
      </c>
      <c r="I964" s="34" t="s">
        <v>33</v>
      </c>
      <c r="J964" s="34" t="s">
        <v>124</v>
      </c>
      <c r="K964" s="34" t="s">
        <v>32</v>
      </c>
      <c r="L964" s="34" t="s">
        <v>310</v>
      </c>
      <c r="M964" s="76" t="s">
        <v>3016</v>
      </c>
      <c r="N964" s="77"/>
      <c r="O964" s="62"/>
      <c r="P964" s="62"/>
      <c r="Q964" s="62"/>
      <c r="R964" s="62"/>
      <c r="S964" s="37" t="str">
        <f>IFERROR(__xludf.DUMMYFUNCTION("if(not(iserror(index(split(C964, "" ""),2))), index(split(C964, "" ""),1),"""")"),"March")</f>
        <v>March</v>
      </c>
      <c r="T964" s="38">
        <f>IFERROR(__xludf.DUMMYFUNCTION("if(S964="""",C964,if(not(iserror(index(split(C964, "" ""),3))), index(split(C964, "" ""),3),index(split(C964, "" ""),2)))"),2018.0)</f>
        <v>2018</v>
      </c>
      <c r="U964" s="38" t="b">
        <f t="shared" si="140"/>
        <v>0</v>
      </c>
      <c r="V964" s="38"/>
      <c r="W964" s="40"/>
      <c r="X964" s="40"/>
      <c r="Y964" s="40"/>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row>
    <row r="965">
      <c r="A965" s="13" t="s">
        <v>3017</v>
      </c>
      <c r="B965" s="30">
        <v>43185.0</v>
      </c>
      <c r="C965" s="30">
        <v>43185.0</v>
      </c>
      <c r="D965" s="32" t="s">
        <v>3018</v>
      </c>
      <c r="E965" s="13" t="s">
        <v>31</v>
      </c>
      <c r="F965" s="13">
        <v>1.0</v>
      </c>
      <c r="G965" s="13" t="s">
        <v>32</v>
      </c>
      <c r="H965" s="33">
        <f t="shared" si="147"/>
        <v>1</v>
      </c>
      <c r="I965" s="13" t="s">
        <v>33</v>
      </c>
      <c r="J965" s="13" t="s">
        <v>93</v>
      </c>
      <c r="K965" s="13" t="s">
        <v>40</v>
      </c>
      <c r="L965" s="13" t="s">
        <v>3019</v>
      </c>
      <c r="M965" s="35" t="s">
        <v>3020</v>
      </c>
      <c r="N965" s="35" t="s">
        <v>3021</v>
      </c>
      <c r="O965" s="37"/>
      <c r="P965" s="37"/>
      <c r="Q965" s="37"/>
      <c r="R965" s="16"/>
      <c r="S965" s="37" t="str">
        <f>IFERROR(__xludf.DUMMYFUNCTION("if(not(iserror(index(split(C965, "" ""),2))), index(split(C965, "" ""),1),"""")"),"March")</f>
        <v>March</v>
      </c>
      <c r="T965" s="38">
        <f>IFERROR(__xludf.DUMMYFUNCTION("if(S965="""",C965,if(not(iserror(index(split(C965, "" ""),3))), index(split(C965, "" ""),3),index(split(C965, "" ""),2)))"),2018.0)</f>
        <v>2018</v>
      </c>
      <c r="U965" s="38" t="b">
        <f t="shared" si="140"/>
        <v>0</v>
      </c>
      <c r="V965" s="38"/>
      <c r="W965" s="40"/>
      <c r="X965" s="40"/>
      <c r="Y965" s="40"/>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row>
    <row r="966">
      <c r="A966" s="13" t="s">
        <v>3022</v>
      </c>
      <c r="B966" s="30">
        <v>43185.0</v>
      </c>
      <c r="C966" s="30">
        <v>43185.0</v>
      </c>
      <c r="D966" s="32" t="s">
        <v>3018</v>
      </c>
      <c r="E966" s="13" t="s">
        <v>31</v>
      </c>
      <c r="F966" s="13">
        <v>1.0</v>
      </c>
      <c r="G966" s="13">
        <v>4.0</v>
      </c>
      <c r="H966" s="33">
        <f t="shared" si="147"/>
        <v>4</v>
      </c>
      <c r="I966" s="13" t="s">
        <v>128</v>
      </c>
      <c r="J966" s="82"/>
      <c r="K966" s="13">
        <v>1.0</v>
      </c>
      <c r="L966" s="13" t="s">
        <v>3023</v>
      </c>
      <c r="M966" s="35" t="s">
        <v>3024</v>
      </c>
      <c r="N966" s="15"/>
      <c r="O966" s="16"/>
      <c r="P966" s="16"/>
      <c r="Q966" s="16"/>
      <c r="R966" s="16"/>
      <c r="S966" s="37" t="str">
        <f>IFERROR(__xludf.DUMMYFUNCTION("if(not(iserror(index(split(C966, "" ""),2))), index(split(C966, "" ""),1),"""")"),"March")</f>
        <v>March</v>
      </c>
      <c r="T966" s="38">
        <f>IFERROR(__xludf.DUMMYFUNCTION("if(S966="""",C966,if(not(iserror(index(split(C966, "" ""),3))), index(split(C966, "" ""),3),index(split(C966, "" ""),2)))"),2018.0)</f>
        <v>2018</v>
      </c>
      <c r="U966" s="38" t="b">
        <f t="shared" si="140"/>
        <v>0</v>
      </c>
      <c r="V966" s="38"/>
      <c r="W966" s="40"/>
      <c r="X966" s="40"/>
      <c r="Y966" s="40"/>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row>
    <row r="967">
      <c r="A967" s="13" t="s">
        <v>40</v>
      </c>
      <c r="B967" s="30">
        <v>43185.0</v>
      </c>
      <c r="C967" s="30">
        <v>43185.0</v>
      </c>
      <c r="D967" s="32" t="s">
        <v>3018</v>
      </c>
      <c r="E967" s="13" t="s">
        <v>31</v>
      </c>
      <c r="F967" s="13">
        <v>2.0</v>
      </c>
      <c r="G967" s="13" t="s">
        <v>32</v>
      </c>
      <c r="H967" s="33">
        <f t="shared" si="147"/>
        <v>1</v>
      </c>
      <c r="I967" s="13" t="s">
        <v>3025</v>
      </c>
      <c r="J967" s="82"/>
      <c r="K967" s="13">
        <v>1.0</v>
      </c>
      <c r="L967" s="13" t="s">
        <v>2979</v>
      </c>
      <c r="M967" s="35" t="s">
        <v>3026</v>
      </c>
      <c r="N967" s="15"/>
      <c r="O967" s="16"/>
      <c r="P967" s="16"/>
      <c r="Q967" s="16"/>
      <c r="R967" s="16"/>
      <c r="S967" s="37" t="str">
        <f>IFERROR(__xludf.DUMMYFUNCTION("if(not(iserror(index(split(C967, "" ""),2))), index(split(C967, "" ""),1),"""")"),"March")</f>
        <v>March</v>
      </c>
      <c r="T967" s="38">
        <f>IFERROR(__xludf.DUMMYFUNCTION("if(S967="""",C967,if(not(iserror(index(split(C967, "" ""),3))), index(split(C967, "" ""),3),index(split(C967, "" ""),2)))"),2018.0)</f>
        <v>2018</v>
      </c>
      <c r="U967" s="38" t="b">
        <f t="shared" si="140"/>
        <v>1</v>
      </c>
      <c r="V967" s="38"/>
      <c r="W967" s="40"/>
      <c r="X967" s="40"/>
      <c r="Y967" s="40"/>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row>
    <row r="968">
      <c r="A968" s="13" t="s">
        <v>239</v>
      </c>
      <c r="B968" s="30">
        <v>43186.0</v>
      </c>
      <c r="C968" s="30">
        <v>43185.0</v>
      </c>
      <c r="D968" s="32" t="s">
        <v>3018</v>
      </c>
      <c r="E968" s="13" t="s">
        <v>41</v>
      </c>
      <c r="F968" s="13">
        <v>1.0</v>
      </c>
      <c r="G968" s="13">
        <v>10.0</v>
      </c>
      <c r="H968" s="33">
        <f t="shared" si="147"/>
        <v>10</v>
      </c>
      <c r="I968" s="13" t="s">
        <v>33</v>
      </c>
      <c r="J968" s="13" t="s">
        <v>241</v>
      </c>
      <c r="K968" s="13">
        <v>1.0</v>
      </c>
      <c r="L968" s="13" t="s">
        <v>194</v>
      </c>
      <c r="M968" s="35" t="s">
        <v>3027</v>
      </c>
      <c r="N968" s="15"/>
      <c r="O968" s="16"/>
      <c r="P968" s="16"/>
      <c r="Q968" s="16"/>
      <c r="R968" s="16"/>
      <c r="S968" s="37" t="str">
        <f>IFERROR(__xludf.DUMMYFUNCTION("if(not(iserror(index(split(C968, "" ""),2))), index(split(C968, "" ""),1),"""")"),"March")</f>
        <v>March</v>
      </c>
      <c r="T968" s="38">
        <f>IFERROR(__xludf.DUMMYFUNCTION("if(S968="""",C968,if(not(iserror(index(split(C968, "" ""),3))), index(split(C968, "" ""),3),index(split(C968, "" ""),2)))"),2018.0)</f>
        <v>2018</v>
      </c>
      <c r="U968" s="38" t="b">
        <f t="shared" si="140"/>
        <v>1</v>
      </c>
      <c r="V968" s="38"/>
      <c r="W968" s="40"/>
      <c r="X968" s="40"/>
      <c r="Y968" s="40"/>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row>
    <row r="969">
      <c r="A969" s="34" t="s">
        <v>40</v>
      </c>
      <c r="B969" s="73">
        <v>43208.0</v>
      </c>
      <c r="C969" s="73">
        <v>43185.0</v>
      </c>
      <c r="D969" s="75" t="s">
        <v>3018</v>
      </c>
      <c r="E969" s="34" t="s">
        <v>41</v>
      </c>
      <c r="F969" s="34">
        <v>3.0</v>
      </c>
      <c r="G969" s="34">
        <v>38.0</v>
      </c>
      <c r="H969" s="33">
        <f t="shared" si="147"/>
        <v>38</v>
      </c>
      <c r="I969" s="34" t="s">
        <v>33</v>
      </c>
      <c r="J969" s="34" t="s">
        <v>147</v>
      </c>
      <c r="K969" s="34">
        <v>1.0</v>
      </c>
      <c r="L969" s="34" t="s">
        <v>3028</v>
      </c>
      <c r="M969" s="76" t="s">
        <v>3029</v>
      </c>
      <c r="N969" s="77"/>
      <c r="O969" s="62"/>
      <c r="P969" s="62"/>
      <c r="Q969" s="62"/>
      <c r="R969" s="62"/>
      <c r="S969" s="37" t="str">
        <f>IFERROR(__xludf.DUMMYFUNCTION("if(not(iserror(index(split(C969, "" ""),2))), index(split(C969, "" ""),1),"""")"),"March")</f>
        <v>March</v>
      </c>
      <c r="T969" s="38">
        <f>IFERROR(__xludf.DUMMYFUNCTION("if(S969="""",C969,if(not(iserror(index(split(C969, "" ""),3))), index(split(C969, "" ""),3),index(split(C969, "" ""),2)))"),2018.0)</f>
        <v>2018</v>
      </c>
      <c r="U969" s="38" t="b">
        <f t="shared" si="140"/>
        <v>1</v>
      </c>
      <c r="V969" s="38"/>
      <c r="W969" s="40"/>
      <c r="X969" s="40"/>
      <c r="Y969" s="40"/>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row>
    <row r="970">
      <c r="A970" s="34" t="s">
        <v>3030</v>
      </c>
      <c r="B970" s="73"/>
      <c r="C970" s="73">
        <v>43186.0</v>
      </c>
      <c r="D970" s="75"/>
      <c r="E970" s="34" t="s">
        <v>41</v>
      </c>
      <c r="F970" s="34">
        <v>1.0</v>
      </c>
      <c r="G970" s="34" t="s">
        <v>32</v>
      </c>
      <c r="H970" s="43">
        <v>1.0</v>
      </c>
      <c r="I970" s="34" t="s">
        <v>33</v>
      </c>
      <c r="J970" s="34" t="s">
        <v>115</v>
      </c>
      <c r="K970" s="34"/>
      <c r="L970" s="34" t="s">
        <v>69</v>
      </c>
      <c r="M970" s="76" t="s">
        <v>3031</v>
      </c>
      <c r="N970" s="77"/>
      <c r="O970" s="62"/>
      <c r="P970" s="62"/>
      <c r="Q970" s="62"/>
      <c r="R970" s="62"/>
      <c r="S970" s="37"/>
      <c r="T970" s="38"/>
      <c r="U970" s="38"/>
      <c r="V970" s="38" t="s">
        <v>33</v>
      </c>
      <c r="W970" s="40"/>
      <c r="X970" s="40"/>
      <c r="Y970" s="40"/>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row>
    <row r="971">
      <c r="A971" s="13" t="s">
        <v>3032</v>
      </c>
      <c r="B971" s="30">
        <v>43186.0</v>
      </c>
      <c r="C971" s="30">
        <v>43186.0</v>
      </c>
      <c r="D971" s="32" t="s">
        <v>3033</v>
      </c>
      <c r="E971" s="13" t="s">
        <v>41</v>
      </c>
      <c r="F971" s="13">
        <v>1.0</v>
      </c>
      <c r="G971" s="13" t="s">
        <v>32</v>
      </c>
      <c r="H971" s="33">
        <f t="shared" ref="H971:H978" si="148">if(G971="Unknown",1,G971)</f>
        <v>1</v>
      </c>
      <c r="I971" s="13" t="s">
        <v>33</v>
      </c>
      <c r="J971" s="13" t="s">
        <v>93</v>
      </c>
      <c r="K971" s="13" t="s">
        <v>40</v>
      </c>
      <c r="L971" s="13" t="s">
        <v>52</v>
      </c>
      <c r="M971" s="35" t="s">
        <v>3034</v>
      </c>
      <c r="N971" s="35" t="s">
        <v>3035</v>
      </c>
      <c r="O971" s="57" t="str">
        <f t="shared" ref="O971:O974" si="149">hyperlink("https://bad-boys.us/?q=SD-NY/7:18-cr-00159", "SD-NY 7:18-cr-00159")</f>
        <v>SD-NY 7:18-cr-00159</v>
      </c>
      <c r="P971" s="86" t="s">
        <v>3036</v>
      </c>
      <c r="Q971" s="37">
        <v>1.0</v>
      </c>
      <c r="R971" s="16"/>
      <c r="S971" s="37" t="str">
        <f>IFERROR(__xludf.DUMMYFUNCTION("if(not(iserror(index(split(C971, "" ""),2))), index(split(C971, "" ""),1),"""")"),"March")</f>
        <v>March</v>
      </c>
      <c r="T971" s="38">
        <f>IFERROR(__xludf.DUMMYFUNCTION("if(S971="""",C971,if(not(iserror(index(split(C971, "" ""),3))), index(split(C971, "" ""),3),index(split(C971, "" ""),2)))"),2018.0)</f>
        <v>2018</v>
      </c>
      <c r="U971" s="38" t="b">
        <f t="shared" ref="U971:U1000" si="150">countif(A$4:A4658, A971)&gt;1</f>
        <v>0</v>
      </c>
      <c r="V971" s="38" t="s">
        <v>33</v>
      </c>
      <c r="W971" s="39" t="s">
        <v>3037</v>
      </c>
      <c r="X971" s="40"/>
      <c r="Y971" s="40"/>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row>
    <row r="972">
      <c r="A972" s="13" t="s">
        <v>3038</v>
      </c>
      <c r="B972" s="30">
        <v>43186.0</v>
      </c>
      <c r="C972" s="30">
        <v>43186.0</v>
      </c>
      <c r="D972" s="32" t="s">
        <v>3033</v>
      </c>
      <c r="E972" s="13" t="s">
        <v>41</v>
      </c>
      <c r="F972" s="13">
        <v>1.0</v>
      </c>
      <c r="G972" s="13" t="s">
        <v>32</v>
      </c>
      <c r="H972" s="33">
        <f t="shared" si="148"/>
        <v>1</v>
      </c>
      <c r="I972" s="13" t="s">
        <v>33</v>
      </c>
      <c r="J972" s="13" t="s">
        <v>93</v>
      </c>
      <c r="K972" s="13" t="s">
        <v>40</v>
      </c>
      <c r="L972" s="13" t="s">
        <v>52</v>
      </c>
      <c r="M972" s="35" t="s">
        <v>3034</v>
      </c>
      <c r="N972" s="35" t="s">
        <v>3035</v>
      </c>
      <c r="O972" s="57" t="str">
        <f t="shared" si="149"/>
        <v>SD-NY 7:18-cr-00159</v>
      </c>
      <c r="P972" s="86" t="s">
        <v>3036</v>
      </c>
      <c r="Q972" s="37">
        <v>1.0</v>
      </c>
      <c r="R972" s="16"/>
      <c r="S972" s="37" t="str">
        <f>IFERROR(__xludf.DUMMYFUNCTION("if(not(iserror(index(split(C972, "" ""),2))), index(split(C972, "" ""),1),"""")"),"March")</f>
        <v>March</v>
      </c>
      <c r="T972" s="38">
        <f>IFERROR(__xludf.DUMMYFUNCTION("if(S972="""",C972,if(not(iserror(index(split(C972, "" ""),3))), index(split(C972, "" ""),3),index(split(C972, "" ""),2)))"),2018.0)</f>
        <v>2018</v>
      </c>
      <c r="U972" s="38" t="b">
        <f t="shared" si="150"/>
        <v>0</v>
      </c>
      <c r="V972" s="38" t="s">
        <v>33</v>
      </c>
      <c r="W972" s="39" t="s">
        <v>3037</v>
      </c>
      <c r="X972" s="40"/>
      <c r="Y972" s="40"/>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row>
    <row r="973">
      <c r="A973" s="13" t="s">
        <v>3039</v>
      </c>
      <c r="B973" s="30">
        <v>43186.0</v>
      </c>
      <c r="C973" s="30">
        <v>43186.0</v>
      </c>
      <c r="D973" s="32" t="s">
        <v>3033</v>
      </c>
      <c r="E973" s="13" t="s">
        <v>41</v>
      </c>
      <c r="F973" s="13">
        <v>1.0</v>
      </c>
      <c r="G973" s="13" t="s">
        <v>32</v>
      </c>
      <c r="H973" s="33">
        <f t="shared" si="148"/>
        <v>1</v>
      </c>
      <c r="I973" s="13" t="s">
        <v>33</v>
      </c>
      <c r="J973" s="13" t="s">
        <v>93</v>
      </c>
      <c r="K973" s="13" t="s">
        <v>40</v>
      </c>
      <c r="L973" s="13" t="s">
        <v>52</v>
      </c>
      <c r="M973" s="35" t="s">
        <v>3034</v>
      </c>
      <c r="N973" s="35" t="s">
        <v>3035</v>
      </c>
      <c r="O973" s="57" t="str">
        <f t="shared" si="149"/>
        <v>SD-NY 7:18-cr-00159</v>
      </c>
      <c r="P973" s="86" t="s">
        <v>3036</v>
      </c>
      <c r="Q973" s="37">
        <v>1.0</v>
      </c>
      <c r="R973" s="16"/>
      <c r="S973" s="37" t="str">
        <f>IFERROR(__xludf.DUMMYFUNCTION("if(not(iserror(index(split(C973, "" ""),2))), index(split(C973, "" ""),1),"""")"),"March")</f>
        <v>March</v>
      </c>
      <c r="T973" s="38">
        <f>IFERROR(__xludf.DUMMYFUNCTION("if(S973="""",C973,if(not(iserror(index(split(C973, "" ""),3))), index(split(C973, "" ""),3),index(split(C973, "" ""),2)))"),2018.0)</f>
        <v>2018</v>
      </c>
      <c r="U973" s="38" t="b">
        <f t="shared" si="150"/>
        <v>0</v>
      </c>
      <c r="V973" s="38" t="s">
        <v>33</v>
      </c>
      <c r="W973" s="39" t="s">
        <v>3037</v>
      </c>
      <c r="X973" s="40"/>
      <c r="Y973" s="40"/>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row>
    <row r="974">
      <c r="A974" s="13" t="s">
        <v>3040</v>
      </c>
      <c r="B974" s="30">
        <v>43186.0</v>
      </c>
      <c r="C974" s="30">
        <v>43186.0</v>
      </c>
      <c r="D974" s="32" t="s">
        <v>3033</v>
      </c>
      <c r="E974" s="13" t="s">
        <v>41</v>
      </c>
      <c r="F974" s="13">
        <v>1.0</v>
      </c>
      <c r="G974" s="13" t="s">
        <v>32</v>
      </c>
      <c r="H974" s="33">
        <f t="shared" si="148"/>
        <v>1</v>
      </c>
      <c r="I974" s="13" t="s">
        <v>33</v>
      </c>
      <c r="J974" s="13" t="s">
        <v>93</v>
      </c>
      <c r="K974" s="13" t="s">
        <v>40</v>
      </c>
      <c r="L974" s="13" t="s">
        <v>52</v>
      </c>
      <c r="M974" s="35" t="s">
        <v>3034</v>
      </c>
      <c r="N974" s="35" t="s">
        <v>3035</v>
      </c>
      <c r="O974" s="57" t="str">
        <f t="shared" si="149"/>
        <v>SD-NY 7:18-cr-00159</v>
      </c>
      <c r="P974" s="86" t="s">
        <v>3036</v>
      </c>
      <c r="Q974" s="37">
        <v>1.0</v>
      </c>
      <c r="R974" s="16"/>
      <c r="S974" s="37" t="str">
        <f>IFERROR(__xludf.DUMMYFUNCTION("if(not(iserror(index(split(C974, "" ""),2))), index(split(C974, "" ""),1),"""")"),"March")</f>
        <v>March</v>
      </c>
      <c r="T974" s="38">
        <f>IFERROR(__xludf.DUMMYFUNCTION("if(S974="""",C974,if(not(iserror(index(split(C974, "" ""),3))), index(split(C974, "" ""),3),index(split(C974, "" ""),2)))"),2018.0)</f>
        <v>2018</v>
      </c>
      <c r="U974" s="38" t="b">
        <f t="shared" si="150"/>
        <v>0</v>
      </c>
      <c r="V974" s="38" t="s">
        <v>33</v>
      </c>
      <c r="W974" s="39" t="s">
        <v>3037</v>
      </c>
      <c r="X974" s="40"/>
      <c r="Y974" s="40"/>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row>
    <row r="975">
      <c r="A975" s="37" t="s">
        <v>3041</v>
      </c>
      <c r="B975" s="30">
        <v>43186.0</v>
      </c>
      <c r="C975" s="99">
        <v>43186.0</v>
      </c>
      <c r="D975" s="143">
        <v>43186.0</v>
      </c>
      <c r="E975" s="13" t="s">
        <v>41</v>
      </c>
      <c r="F975" s="13">
        <v>1.0</v>
      </c>
      <c r="G975" s="13" t="s">
        <v>32</v>
      </c>
      <c r="H975" s="33">
        <f t="shared" si="148"/>
        <v>1</v>
      </c>
      <c r="I975" s="13" t="s">
        <v>33</v>
      </c>
      <c r="J975" s="13" t="s">
        <v>115</v>
      </c>
      <c r="K975" s="13">
        <v>4.0</v>
      </c>
      <c r="L975" s="13" t="s">
        <v>76</v>
      </c>
      <c r="M975" s="35" t="s">
        <v>3042</v>
      </c>
      <c r="N975" s="36" t="s">
        <v>3043</v>
      </c>
      <c r="O975" s="37"/>
      <c r="P975" s="37"/>
      <c r="Q975" s="37"/>
      <c r="R975" s="16"/>
      <c r="S975" s="37" t="str">
        <f>IFERROR(__xludf.DUMMYFUNCTION("if(not(iserror(index(split(C975, "" ""),2))), index(split(C975, "" ""),1),"""")"),"March")</f>
        <v>March</v>
      </c>
      <c r="T975" s="38">
        <f>IFERROR(__xludf.DUMMYFUNCTION("if(S975="""",C975,if(not(iserror(index(split(C975, "" ""),3))), index(split(C975, "" ""),3),index(split(C975, "" ""),2)))"),2018.0)</f>
        <v>2018</v>
      </c>
      <c r="U975" s="38" t="b">
        <f t="shared" si="150"/>
        <v>0</v>
      </c>
      <c r="V975" s="38"/>
      <c r="W975" s="40"/>
      <c r="X975" s="40"/>
      <c r="Y975" s="40"/>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row>
    <row r="976">
      <c r="A976" s="91" t="s">
        <v>3044</v>
      </c>
      <c r="B976" s="145">
        <v>43192.0</v>
      </c>
      <c r="C976" s="145">
        <v>43186.0</v>
      </c>
      <c r="D976" s="206">
        <v>43186.0</v>
      </c>
      <c r="E976" s="37" t="s">
        <v>41</v>
      </c>
      <c r="F976" s="91">
        <v>1.0</v>
      </c>
      <c r="G976" s="91" t="s">
        <v>32</v>
      </c>
      <c r="H976" s="33">
        <f t="shared" si="148"/>
        <v>1</v>
      </c>
      <c r="I976" s="91" t="s">
        <v>33</v>
      </c>
      <c r="J976" s="91" t="s">
        <v>106</v>
      </c>
      <c r="K976" s="91" t="s">
        <v>40</v>
      </c>
      <c r="L976" s="37" t="s">
        <v>3045</v>
      </c>
      <c r="M976" s="46" t="s">
        <v>3046</v>
      </c>
      <c r="N976" s="147" t="s">
        <v>3047</v>
      </c>
      <c r="O976" s="120"/>
      <c r="P976" s="120"/>
      <c r="Q976" s="37"/>
      <c r="R976" s="16"/>
      <c r="S976" s="37" t="str">
        <f>IFERROR(__xludf.DUMMYFUNCTION("if(not(iserror(index(split(C976, "" ""),2))), index(split(C976, "" ""),1),"""")"),"March")</f>
        <v>March</v>
      </c>
      <c r="T976" s="38">
        <f>IFERROR(__xludf.DUMMYFUNCTION("if(S976="""",C976,if(not(iserror(index(split(C976, "" ""),3))), index(split(C976, "" ""),3),index(split(C976, "" ""),2)))"),2018.0)</f>
        <v>2018</v>
      </c>
      <c r="U976" s="38" t="b">
        <f t="shared" si="150"/>
        <v>0</v>
      </c>
      <c r="V976" s="38" t="s">
        <v>33</v>
      </c>
      <c r="W976" s="40"/>
      <c r="X976" s="40"/>
      <c r="Y976" s="40"/>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row>
    <row r="977">
      <c r="A977" s="37" t="s">
        <v>40</v>
      </c>
      <c r="B977" s="30">
        <v>43187.0</v>
      </c>
      <c r="C977" s="99">
        <v>43187.0</v>
      </c>
      <c r="D977" s="143">
        <v>43187.0</v>
      </c>
      <c r="E977" s="13" t="s">
        <v>31</v>
      </c>
      <c r="F977" s="13">
        <v>4.0</v>
      </c>
      <c r="G977" s="13" t="s">
        <v>32</v>
      </c>
      <c r="H977" s="33">
        <f t="shared" si="148"/>
        <v>1</v>
      </c>
      <c r="I977" s="13" t="s">
        <v>33</v>
      </c>
      <c r="J977" s="13" t="s">
        <v>514</v>
      </c>
      <c r="K977" s="13">
        <v>1.0</v>
      </c>
      <c r="L977" s="13" t="s">
        <v>575</v>
      </c>
      <c r="M977" s="35" t="s">
        <v>3048</v>
      </c>
      <c r="N977" s="15"/>
      <c r="O977" s="16"/>
      <c r="P977" s="16"/>
      <c r="Q977" s="16"/>
      <c r="R977" s="16"/>
      <c r="S977" s="37" t="str">
        <f>IFERROR(__xludf.DUMMYFUNCTION("if(not(iserror(index(split(C977, "" ""),2))), index(split(C977, "" ""),1),"""")"),"March")</f>
        <v>March</v>
      </c>
      <c r="T977" s="38">
        <f>IFERROR(__xludf.DUMMYFUNCTION("if(S977="""",C977,if(not(iserror(index(split(C977, "" ""),3))), index(split(C977, "" ""),3),index(split(C977, "" ""),2)))"),2018.0)</f>
        <v>2018</v>
      </c>
      <c r="U977" s="38" t="b">
        <f t="shared" si="150"/>
        <v>1</v>
      </c>
      <c r="V977" s="38"/>
      <c r="W977" s="40"/>
      <c r="X977" s="40"/>
      <c r="Y977" s="40"/>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row>
    <row r="978">
      <c r="A978" s="166" t="s">
        <v>3049</v>
      </c>
      <c r="B978" s="153">
        <v>43194.0</v>
      </c>
      <c r="C978" s="153">
        <v>43187.0</v>
      </c>
      <c r="D978" s="168" t="s">
        <v>3050</v>
      </c>
      <c r="E978" s="169" t="s">
        <v>41</v>
      </c>
      <c r="F978" s="152">
        <v>1.0</v>
      </c>
      <c r="G978" s="166" t="s">
        <v>32</v>
      </c>
      <c r="H978" s="33">
        <f t="shared" si="148"/>
        <v>1</v>
      </c>
      <c r="I978" s="166" t="s">
        <v>33</v>
      </c>
      <c r="J978" s="166" t="s">
        <v>184</v>
      </c>
      <c r="K978" s="152">
        <v>2.0</v>
      </c>
      <c r="L978" s="166" t="s">
        <v>119</v>
      </c>
      <c r="M978" s="170" t="s">
        <v>3051</v>
      </c>
      <c r="N978" s="15"/>
      <c r="O978" s="86" t="str">
        <f>hyperlink("https://bad-boys.us/?q=CD-IL/2:18-cr-20016", "CD-IL 2:18-cr-20016")</f>
        <v>CD-IL 2:18-cr-20016</v>
      </c>
      <c r="P978" s="86" t="s">
        <v>3052</v>
      </c>
      <c r="Q978" s="64">
        <v>1.0</v>
      </c>
      <c r="R978" s="16"/>
      <c r="S978" s="37" t="str">
        <f>IFERROR(__xludf.DUMMYFUNCTION("if(not(iserror(index(split(C978, "" ""),2))), index(split(C978, "" ""),1),"""")"),"March")</f>
        <v>March</v>
      </c>
      <c r="T978" s="38">
        <f>IFERROR(__xludf.DUMMYFUNCTION("if(S978="""",C978,if(not(iserror(index(split(C978, "" ""),3))), index(split(C978, "" ""),3),index(split(C978, "" ""),2)))"),2018.0)</f>
        <v>2018</v>
      </c>
      <c r="U978" s="38" t="b">
        <f t="shared" si="150"/>
        <v>0</v>
      </c>
      <c r="V978" s="38"/>
      <c r="W978" s="40"/>
      <c r="X978" s="40"/>
      <c r="Y978" s="40"/>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row>
    <row r="979">
      <c r="A979" s="37" t="s">
        <v>3053</v>
      </c>
      <c r="B979" s="59"/>
      <c r="C979" s="59">
        <v>43187.0</v>
      </c>
      <c r="D979" s="60"/>
      <c r="E979" s="58" t="s">
        <v>31</v>
      </c>
      <c r="F979" s="58">
        <v>1.0</v>
      </c>
      <c r="G979" s="58" t="s">
        <v>32</v>
      </c>
      <c r="H979" s="43">
        <v>1.0</v>
      </c>
      <c r="I979" s="58" t="s">
        <v>33</v>
      </c>
      <c r="J979" s="58" t="s">
        <v>222</v>
      </c>
      <c r="K979" s="58"/>
      <c r="L979" s="58" t="s">
        <v>99</v>
      </c>
      <c r="M979" s="61" t="s">
        <v>3054</v>
      </c>
      <c r="N979" s="120" t="s">
        <v>3055</v>
      </c>
      <c r="O979" s="62"/>
      <c r="P979" s="58"/>
      <c r="Q979" s="58"/>
      <c r="R979" s="62"/>
      <c r="S979" s="37" t="str">
        <f>IFERROR(__xludf.DUMMYFUNCTION("if(not(iserror(index(split(C979, "" ""),2))), index(split(C979, "" ""),1),"""")"),"March")</f>
        <v>March</v>
      </c>
      <c r="T979" s="38">
        <f>IFERROR(__xludf.DUMMYFUNCTION("if(S979="""",C979,if(not(iserror(index(split(C979, "" ""),3))), index(split(C979, "" ""),3),index(split(C979, "" ""),2)))"),2018.0)</f>
        <v>2018</v>
      </c>
      <c r="U979" s="38" t="b">
        <f t="shared" si="150"/>
        <v>0</v>
      </c>
      <c r="V979" s="38" t="s">
        <v>33</v>
      </c>
      <c r="W979" s="120" t="s">
        <v>3055</v>
      </c>
      <c r="X979" s="39" t="s">
        <v>3056</v>
      </c>
      <c r="Y979" s="40"/>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row>
    <row r="980">
      <c r="A980" s="37" t="s">
        <v>3057</v>
      </c>
      <c r="B980" s="59">
        <v>43262.0</v>
      </c>
      <c r="C980" s="59">
        <v>43187.0</v>
      </c>
      <c r="D980" s="60" t="s">
        <v>3058</v>
      </c>
      <c r="E980" s="58" t="s">
        <v>41</v>
      </c>
      <c r="F980" s="58">
        <v>1.0</v>
      </c>
      <c r="G980" s="58" t="s">
        <v>32</v>
      </c>
      <c r="H980" s="43">
        <v>3.0</v>
      </c>
      <c r="I980" s="58" t="s">
        <v>33</v>
      </c>
      <c r="J980" s="58" t="s">
        <v>460</v>
      </c>
      <c r="K980" s="58" t="s">
        <v>32</v>
      </c>
      <c r="L980" s="58" t="s">
        <v>52</v>
      </c>
      <c r="M980" s="61" t="s">
        <v>3059</v>
      </c>
      <c r="N980" s="61" t="s">
        <v>3060</v>
      </c>
      <c r="O980" s="62"/>
      <c r="P980" s="58"/>
      <c r="Q980" s="58"/>
      <c r="R980" s="62"/>
      <c r="S980" s="37" t="str">
        <f>IFERROR(__xludf.DUMMYFUNCTION("if(not(iserror(index(split(C980, "" ""),2))), index(split(C980, "" ""),1),"""")"),"March")</f>
        <v>March</v>
      </c>
      <c r="T980" s="38">
        <f>IFERROR(__xludf.DUMMYFUNCTION("if(S980="""",C980,if(not(iserror(index(split(C980, "" ""),3))), index(split(C980, "" ""),3),index(split(C980, "" ""),2)))"),2018.0)</f>
        <v>2018</v>
      </c>
      <c r="U980" s="38" t="b">
        <f t="shared" si="150"/>
        <v>0</v>
      </c>
      <c r="V980" s="38" t="s">
        <v>33</v>
      </c>
      <c r="W980" s="40"/>
      <c r="X980" s="40"/>
      <c r="Y980" s="40"/>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row>
    <row r="981">
      <c r="A981" s="37" t="s">
        <v>3061</v>
      </c>
      <c r="B981" s="59">
        <v>43262.0</v>
      </c>
      <c r="C981" s="59">
        <v>43187.0</v>
      </c>
      <c r="D981" s="60" t="s">
        <v>3058</v>
      </c>
      <c r="E981" s="58" t="s">
        <v>41</v>
      </c>
      <c r="F981" s="58">
        <v>1.0</v>
      </c>
      <c r="G981" s="58" t="s">
        <v>32</v>
      </c>
      <c r="H981" s="43">
        <v>3.0</v>
      </c>
      <c r="I981" s="58" t="s">
        <v>33</v>
      </c>
      <c r="J981" s="58" t="s">
        <v>460</v>
      </c>
      <c r="K981" s="58" t="s">
        <v>32</v>
      </c>
      <c r="L981" s="58" t="s">
        <v>52</v>
      </c>
      <c r="M981" s="61" t="s">
        <v>3059</v>
      </c>
      <c r="N981" s="61" t="s">
        <v>3060</v>
      </c>
      <c r="O981" s="62"/>
      <c r="P981" s="58"/>
      <c r="Q981" s="58"/>
      <c r="R981" s="62"/>
      <c r="S981" s="37" t="str">
        <f>IFERROR(__xludf.DUMMYFUNCTION("if(not(iserror(index(split(C981, "" ""),2))), index(split(C981, "" ""),1),"""")"),"March")</f>
        <v>March</v>
      </c>
      <c r="T981" s="38">
        <f>IFERROR(__xludf.DUMMYFUNCTION("if(S981="""",C981,if(not(iserror(index(split(C981, "" ""),3))), index(split(C981, "" ""),3),index(split(C981, "" ""),2)))"),2018.0)</f>
        <v>2018</v>
      </c>
      <c r="U981" s="38" t="b">
        <f t="shared" si="150"/>
        <v>0</v>
      </c>
      <c r="V981" s="38" t="s">
        <v>33</v>
      </c>
      <c r="W981" s="40"/>
      <c r="X981" s="40"/>
      <c r="Y981" s="40"/>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c r="BQ981" s="38"/>
    </row>
    <row r="982">
      <c r="A982" s="37" t="s">
        <v>3062</v>
      </c>
      <c r="B982" s="59">
        <v>43262.0</v>
      </c>
      <c r="C982" s="59">
        <v>43187.0</v>
      </c>
      <c r="D982" s="60" t="s">
        <v>3058</v>
      </c>
      <c r="E982" s="58" t="s">
        <v>41</v>
      </c>
      <c r="F982" s="58">
        <v>1.0</v>
      </c>
      <c r="G982" s="58" t="s">
        <v>32</v>
      </c>
      <c r="H982" s="43">
        <v>3.0</v>
      </c>
      <c r="I982" s="58" t="s">
        <v>33</v>
      </c>
      <c r="J982" s="58" t="s">
        <v>460</v>
      </c>
      <c r="K982" s="58" t="s">
        <v>32</v>
      </c>
      <c r="L982" s="58" t="s">
        <v>52</v>
      </c>
      <c r="M982" s="61" t="s">
        <v>3059</v>
      </c>
      <c r="N982" s="61" t="s">
        <v>3060</v>
      </c>
      <c r="O982" s="62"/>
      <c r="P982" s="58"/>
      <c r="Q982" s="58"/>
      <c r="R982" s="62"/>
      <c r="S982" s="37" t="str">
        <f>IFERROR(__xludf.DUMMYFUNCTION("if(not(iserror(index(split(C982, "" ""),2))), index(split(C982, "" ""),1),"""")"),"March")</f>
        <v>March</v>
      </c>
      <c r="T982" s="38">
        <f>IFERROR(__xludf.DUMMYFUNCTION("if(S982="""",C982,if(not(iserror(index(split(C982, "" ""),3))), index(split(C982, "" ""),3),index(split(C982, "" ""),2)))"),2018.0)</f>
        <v>2018</v>
      </c>
      <c r="U982" s="38" t="b">
        <f t="shared" si="150"/>
        <v>0</v>
      </c>
      <c r="V982" s="38" t="s">
        <v>33</v>
      </c>
      <c r="W982" s="40"/>
      <c r="X982" s="40"/>
      <c r="Y982" s="40"/>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row>
    <row r="983">
      <c r="A983" s="37" t="s">
        <v>3063</v>
      </c>
      <c r="B983" s="59">
        <v>43262.0</v>
      </c>
      <c r="C983" s="59">
        <v>43187.0</v>
      </c>
      <c r="D983" s="60" t="s">
        <v>3058</v>
      </c>
      <c r="E983" s="58" t="s">
        <v>41</v>
      </c>
      <c r="F983" s="58">
        <v>1.0</v>
      </c>
      <c r="G983" s="58" t="s">
        <v>32</v>
      </c>
      <c r="H983" s="43">
        <v>3.0</v>
      </c>
      <c r="I983" s="58" t="s">
        <v>33</v>
      </c>
      <c r="J983" s="58" t="s">
        <v>460</v>
      </c>
      <c r="K983" s="58" t="s">
        <v>32</v>
      </c>
      <c r="L983" s="58" t="s">
        <v>52</v>
      </c>
      <c r="M983" s="61" t="s">
        <v>3059</v>
      </c>
      <c r="N983" s="61" t="s">
        <v>3060</v>
      </c>
      <c r="O983" s="62"/>
      <c r="P983" s="58"/>
      <c r="Q983" s="58"/>
      <c r="R983" s="62"/>
      <c r="S983" s="37" t="str">
        <f>IFERROR(__xludf.DUMMYFUNCTION("if(not(iserror(index(split(C983, "" ""),2))), index(split(C983, "" ""),1),"""")"),"March")</f>
        <v>March</v>
      </c>
      <c r="T983" s="38">
        <f>IFERROR(__xludf.DUMMYFUNCTION("if(S983="""",C983,if(not(iserror(index(split(C983, "" ""),3))), index(split(C983, "" ""),3),index(split(C983, "" ""),2)))"),2018.0)</f>
        <v>2018</v>
      </c>
      <c r="U983" s="38" t="b">
        <f t="shared" si="150"/>
        <v>0</v>
      </c>
      <c r="V983" s="38" t="s">
        <v>33</v>
      </c>
      <c r="W983" s="40"/>
      <c r="X983" s="40"/>
      <c r="Y983" s="40"/>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c r="BQ983" s="38"/>
    </row>
    <row r="984">
      <c r="A984" s="37" t="s">
        <v>3064</v>
      </c>
      <c r="B984" s="59">
        <v>43262.0</v>
      </c>
      <c r="C984" s="59">
        <v>43187.0</v>
      </c>
      <c r="D984" s="60" t="s">
        <v>3058</v>
      </c>
      <c r="E984" s="58" t="s">
        <v>41</v>
      </c>
      <c r="F984" s="58">
        <v>1.0</v>
      </c>
      <c r="G984" s="58" t="s">
        <v>32</v>
      </c>
      <c r="H984" s="43">
        <v>3.0</v>
      </c>
      <c r="I984" s="58" t="s">
        <v>33</v>
      </c>
      <c r="J984" s="58" t="s">
        <v>460</v>
      </c>
      <c r="K984" s="58" t="s">
        <v>32</v>
      </c>
      <c r="L984" s="58" t="s">
        <v>52</v>
      </c>
      <c r="M984" s="61" t="s">
        <v>3059</v>
      </c>
      <c r="N984" s="61" t="s">
        <v>3060</v>
      </c>
      <c r="O984" s="62"/>
      <c r="P984" s="58"/>
      <c r="Q984" s="58"/>
      <c r="R984" s="62"/>
      <c r="S984" s="37" t="str">
        <f>IFERROR(__xludf.DUMMYFUNCTION("if(not(iserror(index(split(C984, "" ""),2))), index(split(C984, "" ""),1),"""")"),"March")</f>
        <v>March</v>
      </c>
      <c r="T984" s="38">
        <f>IFERROR(__xludf.DUMMYFUNCTION("if(S984="""",C984,if(not(iserror(index(split(C984, "" ""),3))), index(split(C984, "" ""),3),index(split(C984, "" ""),2)))"),2018.0)</f>
        <v>2018</v>
      </c>
      <c r="U984" s="38" t="b">
        <f t="shared" si="150"/>
        <v>0</v>
      </c>
      <c r="V984" s="38" t="s">
        <v>33</v>
      </c>
      <c r="W984" s="40"/>
      <c r="X984" s="40"/>
      <c r="Y984" s="40"/>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row>
    <row r="985">
      <c r="A985" s="37" t="s">
        <v>3065</v>
      </c>
      <c r="B985" s="59">
        <v>43262.0</v>
      </c>
      <c r="C985" s="59">
        <v>43187.0</v>
      </c>
      <c r="D985" s="60" t="s">
        <v>3058</v>
      </c>
      <c r="E985" s="58" t="s">
        <v>41</v>
      </c>
      <c r="F985" s="58">
        <v>1.0</v>
      </c>
      <c r="G985" s="58" t="s">
        <v>32</v>
      </c>
      <c r="H985" s="43">
        <v>3.0</v>
      </c>
      <c r="I985" s="58" t="s">
        <v>33</v>
      </c>
      <c r="J985" s="58" t="s">
        <v>460</v>
      </c>
      <c r="K985" s="58" t="s">
        <v>32</v>
      </c>
      <c r="L985" s="58" t="s">
        <v>52</v>
      </c>
      <c r="M985" s="61" t="s">
        <v>3059</v>
      </c>
      <c r="N985" s="61" t="s">
        <v>3060</v>
      </c>
      <c r="O985" s="62"/>
      <c r="P985" s="58"/>
      <c r="Q985" s="58"/>
      <c r="R985" s="62"/>
      <c r="S985" s="37" t="str">
        <f>IFERROR(__xludf.DUMMYFUNCTION("if(not(iserror(index(split(C985, "" ""),2))), index(split(C985, "" ""),1),"""")"),"March")</f>
        <v>March</v>
      </c>
      <c r="T985" s="38">
        <f>IFERROR(__xludf.DUMMYFUNCTION("if(S985="""",C985,if(not(iserror(index(split(C985, "" ""),3))), index(split(C985, "" ""),3),index(split(C985, "" ""),2)))"),2018.0)</f>
        <v>2018</v>
      </c>
      <c r="U985" s="38" t="b">
        <f t="shared" si="150"/>
        <v>0</v>
      </c>
      <c r="V985" s="38" t="s">
        <v>33</v>
      </c>
      <c r="W985" s="40"/>
      <c r="X985" s="40"/>
      <c r="Y985" s="40"/>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row>
    <row r="986">
      <c r="A986" s="37" t="s">
        <v>3066</v>
      </c>
      <c r="B986" s="30">
        <v>43188.0</v>
      </c>
      <c r="C986" s="99">
        <v>43188.0</v>
      </c>
      <c r="D986" s="143">
        <v>43188.0</v>
      </c>
      <c r="E986" s="13" t="s">
        <v>41</v>
      </c>
      <c r="F986" s="13">
        <v>1.0</v>
      </c>
      <c r="G986" s="13" t="s">
        <v>32</v>
      </c>
      <c r="H986" s="33">
        <f t="shared" ref="H986:H989" si="151">if(G986="Unknown",1,G986)</f>
        <v>1</v>
      </c>
      <c r="I986" s="13" t="s">
        <v>33</v>
      </c>
      <c r="J986" s="13" t="s">
        <v>106</v>
      </c>
      <c r="K986" s="13" t="s">
        <v>32</v>
      </c>
      <c r="L986" s="13" t="s">
        <v>1376</v>
      </c>
      <c r="M986" s="35" t="s">
        <v>3067</v>
      </c>
      <c r="N986" s="15"/>
      <c r="O986" s="37"/>
      <c r="P986" s="37"/>
      <c r="Q986" s="64"/>
      <c r="R986" s="16"/>
      <c r="S986" s="37" t="str">
        <f>IFERROR(__xludf.DUMMYFUNCTION("if(not(iserror(index(split(C986, "" ""),2))), index(split(C986, "" ""),1),"""")"),"March")</f>
        <v>March</v>
      </c>
      <c r="T986" s="38">
        <f>IFERROR(__xludf.DUMMYFUNCTION("if(S986="""",C986,if(not(iserror(index(split(C986, "" ""),3))), index(split(C986, "" ""),3),index(split(C986, "" ""),2)))"),2018.0)</f>
        <v>2018</v>
      </c>
      <c r="U986" s="38" t="b">
        <f t="shared" si="150"/>
        <v>0</v>
      </c>
      <c r="V986" s="38"/>
      <c r="W986" s="40"/>
      <c r="X986" s="40"/>
      <c r="Y986" s="40"/>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row>
    <row r="987">
      <c r="A987" s="87" t="s">
        <v>3068</v>
      </c>
      <c r="B987" s="30">
        <v>43188.0</v>
      </c>
      <c r="C987" s="30">
        <v>43188.0</v>
      </c>
      <c r="D987" s="143">
        <v>43188.0</v>
      </c>
      <c r="E987" s="13" t="s">
        <v>41</v>
      </c>
      <c r="F987" s="13">
        <v>2.0</v>
      </c>
      <c r="G987" s="13" t="s">
        <v>32</v>
      </c>
      <c r="H987" s="33">
        <f t="shared" si="151"/>
        <v>1</v>
      </c>
      <c r="I987" s="13" t="s">
        <v>33</v>
      </c>
      <c r="J987" s="13" t="s">
        <v>115</v>
      </c>
      <c r="K987" s="13">
        <v>5.0</v>
      </c>
      <c r="L987" s="13" t="s">
        <v>35</v>
      </c>
      <c r="M987" s="35" t="s">
        <v>3069</v>
      </c>
      <c r="N987" s="15"/>
      <c r="O987" s="37"/>
      <c r="P987" s="37"/>
      <c r="Q987" s="64"/>
      <c r="R987" s="16"/>
      <c r="S987" s="37" t="str">
        <f>IFERROR(__xludf.DUMMYFUNCTION("if(not(iserror(index(split(C987, "" ""),2))), index(split(C987, "" ""),1),"""")"),"March")</f>
        <v>March</v>
      </c>
      <c r="T987" s="38">
        <f>IFERROR(__xludf.DUMMYFUNCTION("if(S987="""",C987,if(not(iserror(index(split(C987, "" ""),3))), index(split(C987, "" ""),3),index(split(C987, "" ""),2)))"),2018.0)</f>
        <v>2018</v>
      </c>
      <c r="U987" s="38" t="b">
        <f t="shared" si="150"/>
        <v>0</v>
      </c>
      <c r="V987" s="38"/>
      <c r="W987" s="40"/>
      <c r="X987" s="40"/>
      <c r="Y987" s="40"/>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row>
    <row r="988">
      <c r="A988" s="13" t="s">
        <v>239</v>
      </c>
      <c r="B988" s="30">
        <v>43192.0</v>
      </c>
      <c r="C988" s="30">
        <v>43188.0</v>
      </c>
      <c r="D988" s="143">
        <v>43188.0</v>
      </c>
      <c r="E988" s="13" t="s">
        <v>41</v>
      </c>
      <c r="F988" s="13">
        <v>1.0</v>
      </c>
      <c r="G988" s="13">
        <v>2.0</v>
      </c>
      <c r="H988" s="33">
        <f t="shared" si="151"/>
        <v>2</v>
      </c>
      <c r="I988" s="13" t="s">
        <v>33</v>
      </c>
      <c r="J988" s="13" t="s">
        <v>241</v>
      </c>
      <c r="K988" s="13">
        <v>1.0</v>
      </c>
      <c r="L988" s="13" t="s">
        <v>194</v>
      </c>
      <c r="M988" s="35" t="s">
        <v>3070</v>
      </c>
      <c r="N988" s="15"/>
      <c r="O988" s="16"/>
      <c r="P988" s="16"/>
      <c r="Q988" s="16"/>
      <c r="R988" s="16"/>
      <c r="S988" s="37" t="str">
        <f>IFERROR(__xludf.DUMMYFUNCTION("if(not(iserror(index(split(C988, "" ""),2))), index(split(C988, "" ""),1),"""")"),"March")</f>
        <v>March</v>
      </c>
      <c r="T988" s="38">
        <f>IFERROR(__xludf.DUMMYFUNCTION("if(S988="""",C988,if(not(iserror(index(split(C988, "" ""),3))), index(split(C988, "" ""),3),index(split(C988, "" ""),2)))"),2018.0)</f>
        <v>2018</v>
      </c>
      <c r="U988" s="38" t="b">
        <f t="shared" si="150"/>
        <v>1</v>
      </c>
      <c r="V988" s="38"/>
      <c r="W988" s="40"/>
      <c r="X988" s="40"/>
      <c r="Y988" s="40"/>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row>
    <row r="989">
      <c r="A989" s="37" t="s">
        <v>3071</v>
      </c>
      <c r="B989" s="30">
        <v>43222.0</v>
      </c>
      <c r="C989" s="30">
        <v>43188.0</v>
      </c>
      <c r="D989" s="32" t="s">
        <v>820</v>
      </c>
      <c r="E989" s="13" t="s">
        <v>41</v>
      </c>
      <c r="F989" s="13">
        <v>2.0</v>
      </c>
      <c r="G989" s="13" t="s">
        <v>32</v>
      </c>
      <c r="H989" s="33">
        <f t="shared" si="151"/>
        <v>1</v>
      </c>
      <c r="I989" s="13" t="s">
        <v>33</v>
      </c>
      <c r="J989" s="13" t="s">
        <v>279</v>
      </c>
      <c r="K989" s="13">
        <v>3.0</v>
      </c>
      <c r="L989" s="13" t="s">
        <v>1235</v>
      </c>
      <c r="M989" s="35" t="s">
        <v>3072</v>
      </c>
      <c r="N989" s="15"/>
      <c r="O989" s="57" t="str">
        <f>hyperlink("https://bad-boys.us/?q=WD-MO/3:18-cr-05016", "WD-MO 3:18-cr-05016")</f>
        <v>WD-MO 3:18-cr-05016</v>
      </c>
      <c r="P989" s="86" t="s">
        <v>3073</v>
      </c>
      <c r="Q989" s="64">
        <v>1.0</v>
      </c>
      <c r="R989" s="16"/>
      <c r="S989" s="37" t="str">
        <f>IFERROR(__xludf.DUMMYFUNCTION("if(not(iserror(index(split(C989, "" ""),2))), index(split(C989, "" ""),1),"""")"),"March")</f>
        <v>March</v>
      </c>
      <c r="T989" s="38">
        <f>IFERROR(__xludf.DUMMYFUNCTION("if(S989="""",C989,if(not(iserror(index(split(C989, "" ""),3))), index(split(C989, "" ""),3),index(split(C989, "" ""),2)))"),2018.0)</f>
        <v>2018</v>
      </c>
      <c r="U989" s="38" t="b">
        <f t="shared" si="150"/>
        <v>0</v>
      </c>
      <c r="V989" s="38"/>
      <c r="W989" s="40"/>
      <c r="X989" s="40"/>
      <c r="Y989" s="40"/>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row>
    <row r="990">
      <c r="A990" s="34" t="s">
        <v>3074</v>
      </c>
      <c r="B990" s="73">
        <v>43208.0</v>
      </c>
      <c r="C990" s="74">
        <v>43191.0</v>
      </c>
      <c r="D990" s="75" t="s">
        <v>1844</v>
      </c>
      <c r="E990" s="34" t="s">
        <v>41</v>
      </c>
      <c r="F990" s="34">
        <v>1.0</v>
      </c>
      <c r="G990" s="34" t="s">
        <v>32</v>
      </c>
      <c r="H990" s="43">
        <v>1.0</v>
      </c>
      <c r="I990" s="34" t="s">
        <v>33</v>
      </c>
      <c r="J990" s="34" t="s">
        <v>222</v>
      </c>
      <c r="K990" s="34">
        <v>2.0</v>
      </c>
      <c r="L990" s="34" t="s">
        <v>99</v>
      </c>
      <c r="M990" s="76" t="s">
        <v>3075</v>
      </c>
      <c r="N990" s="77"/>
      <c r="O990" s="88" t="str">
        <f>hyperlink("https://bad-boys.us/?q=WD-WI/3:18-cr-00056", "WD-WI 3:18-cr-00056")</f>
        <v>WD-WI 3:18-cr-00056</v>
      </c>
      <c r="P990" s="88" t="s">
        <v>3076</v>
      </c>
      <c r="Q990" s="58">
        <v>1.0</v>
      </c>
      <c r="R990" s="62"/>
      <c r="S990" s="37" t="str">
        <f>IFERROR(__xludf.DUMMYFUNCTION("if(not(iserror(index(split(C990, "" ""),2))), index(split(C990, "" ""),1),"""")"),"April,")</f>
        <v>April,</v>
      </c>
      <c r="T990" s="38">
        <f>IFERROR(__xludf.DUMMYFUNCTION("if(S990="""",C990,if(not(iserror(index(split(C990, "" ""),3))), index(split(C990, "" ""),3),index(split(C990, "" ""),2)))"),2018.0)</f>
        <v>2018</v>
      </c>
      <c r="U990" s="38" t="b">
        <f t="shared" si="150"/>
        <v>0</v>
      </c>
      <c r="V990" s="38"/>
      <c r="W990" s="40"/>
      <c r="X990" s="40"/>
      <c r="Y990" s="40"/>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row>
    <row r="991">
      <c r="A991" s="13" t="s">
        <v>239</v>
      </c>
      <c r="B991" s="30">
        <v>43193.0</v>
      </c>
      <c r="C991" s="30">
        <v>43191.0</v>
      </c>
      <c r="D991" s="143">
        <v>43191.0</v>
      </c>
      <c r="E991" s="13" t="s">
        <v>41</v>
      </c>
      <c r="F991" s="13">
        <v>1.0</v>
      </c>
      <c r="G991" s="13">
        <v>2.0</v>
      </c>
      <c r="H991" s="33">
        <f>if(G991="Unknown",1,G991)</f>
        <v>2</v>
      </c>
      <c r="I991" s="13" t="s">
        <v>33</v>
      </c>
      <c r="J991" s="13" t="s">
        <v>241</v>
      </c>
      <c r="K991" s="13">
        <v>1.0</v>
      </c>
      <c r="L991" s="13" t="s">
        <v>194</v>
      </c>
      <c r="M991" s="35" t="s">
        <v>3077</v>
      </c>
      <c r="N991" s="15"/>
      <c r="O991" s="16"/>
      <c r="P991" s="16"/>
      <c r="Q991" s="16"/>
      <c r="R991" s="16"/>
      <c r="S991" s="37" t="str">
        <f>IFERROR(__xludf.DUMMYFUNCTION("if(not(iserror(index(split(C991, "" ""),2))), index(split(C991, "" ""),1),"""")"),"April")</f>
        <v>April</v>
      </c>
      <c r="T991" s="38">
        <f>IFERROR(__xludf.DUMMYFUNCTION("if(S991="""",C991,if(not(iserror(index(split(C991, "" ""),3))), index(split(C991, "" ""),3),index(split(C991, "" ""),2)))"),2018.0)</f>
        <v>2018</v>
      </c>
      <c r="U991" s="38" t="b">
        <f t="shared" si="150"/>
        <v>1</v>
      </c>
      <c r="V991" s="38"/>
      <c r="W991" s="40"/>
      <c r="X991" s="40"/>
      <c r="Y991" s="40"/>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row>
    <row r="992">
      <c r="A992" s="56" t="s">
        <v>3078</v>
      </c>
      <c r="B992" s="30"/>
      <c r="C992" s="31">
        <v>43191.0</v>
      </c>
      <c r="D992" s="143"/>
      <c r="E992" s="13" t="s">
        <v>31</v>
      </c>
      <c r="F992" s="13">
        <v>1.0</v>
      </c>
      <c r="G992" s="13">
        <v>1.0</v>
      </c>
      <c r="H992" s="43">
        <v>1.0</v>
      </c>
      <c r="I992" s="13" t="s">
        <v>33</v>
      </c>
      <c r="J992" s="13" t="s">
        <v>106</v>
      </c>
      <c r="K992" s="13"/>
      <c r="L992" s="13" t="s">
        <v>646</v>
      </c>
      <c r="M992" s="46" t="s">
        <v>3079</v>
      </c>
      <c r="N992" s="46" t="s">
        <v>3080</v>
      </c>
      <c r="O992" s="16"/>
      <c r="P992" s="16"/>
      <c r="Q992" s="37"/>
      <c r="R992" s="16"/>
      <c r="S992" s="37" t="str">
        <f>IFERROR(__xludf.DUMMYFUNCTION("if(not(iserror(index(split(C992, "" ""),2))), index(split(C992, "" ""),1),"""")"),"April,")</f>
        <v>April,</v>
      </c>
      <c r="T992" s="38">
        <f>IFERROR(__xludf.DUMMYFUNCTION("if(S992="""",C992,if(not(iserror(index(split(C992, "" ""),3))), index(split(C992, "" ""),3),index(split(C992, "" ""),2)))"),2018.0)</f>
        <v>2018</v>
      </c>
      <c r="U992" s="38" t="b">
        <f t="shared" si="150"/>
        <v>0</v>
      </c>
      <c r="V992" s="38" t="s">
        <v>33</v>
      </c>
      <c r="W992" s="46" t="s">
        <v>3081</v>
      </c>
      <c r="X992" s="46" t="s">
        <v>3082</v>
      </c>
      <c r="Y992" s="40"/>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row>
    <row r="993">
      <c r="A993" s="13" t="s">
        <v>2713</v>
      </c>
      <c r="B993" s="30">
        <v>43194.0</v>
      </c>
      <c r="C993" s="31">
        <v>43191.0</v>
      </c>
      <c r="D993" s="32" t="s">
        <v>1844</v>
      </c>
      <c r="E993" s="13" t="s">
        <v>31</v>
      </c>
      <c r="F993" s="13">
        <v>1.0</v>
      </c>
      <c r="G993" s="13">
        <v>2.0</v>
      </c>
      <c r="H993" s="33">
        <f t="shared" ref="H993:H994" si="152">if(G993="Unknown",1,G993)</f>
        <v>2</v>
      </c>
      <c r="I993" s="13" t="s">
        <v>33</v>
      </c>
      <c r="J993" s="13" t="s">
        <v>124</v>
      </c>
      <c r="K993" s="13">
        <v>1.0</v>
      </c>
      <c r="L993" s="13" t="s">
        <v>76</v>
      </c>
      <c r="M993" s="35" t="s">
        <v>3083</v>
      </c>
      <c r="N993" s="36" t="s">
        <v>3084</v>
      </c>
      <c r="O993" s="37"/>
      <c r="P993" s="37"/>
      <c r="Q993" s="64"/>
      <c r="R993" s="16"/>
      <c r="S993" s="37" t="str">
        <f>IFERROR(__xludf.DUMMYFUNCTION("if(not(iserror(index(split(C993, "" ""),2))), index(split(C993, "" ""),1),"""")"),"April,")</f>
        <v>April,</v>
      </c>
      <c r="T993" s="38">
        <f>IFERROR(__xludf.DUMMYFUNCTION("if(S993="""",C993,if(not(iserror(index(split(C993, "" ""),3))), index(split(C993, "" ""),3),index(split(C993, "" ""),2)))"),2018.0)</f>
        <v>2018</v>
      </c>
      <c r="U993" s="38" t="b">
        <f t="shared" si="150"/>
        <v>1</v>
      </c>
      <c r="V993" s="38"/>
      <c r="W993" s="40"/>
      <c r="X993" s="40"/>
      <c r="Y993" s="40"/>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row>
    <row r="994">
      <c r="A994" s="13" t="s">
        <v>3085</v>
      </c>
      <c r="B994" s="30">
        <v>43195.0</v>
      </c>
      <c r="C994" s="31">
        <v>43191.0</v>
      </c>
      <c r="D994" s="32" t="s">
        <v>1844</v>
      </c>
      <c r="E994" s="13" t="s">
        <v>31</v>
      </c>
      <c r="F994" s="13">
        <v>1.0</v>
      </c>
      <c r="G994" s="13" t="s">
        <v>32</v>
      </c>
      <c r="H994" s="33">
        <f t="shared" si="152"/>
        <v>1</v>
      </c>
      <c r="I994" s="13" t="s">
        <v>33</v>
      </c>
      <c r="J994" s="13" t="s">
        <v>106</v>
      </c>
      <c r="K994" s="13">
        <v>1.0</v>
      </c>
      <c r="L994" s="13" t="s">
        <v>76</v>
      </c>
      <c r="M994" s="46" t="s">
        <v>3086</v>
      </c>
      <c r="N994" s="35" t="s">
        <v>3087</v>
      </c>
      <c r="O994" s="86" t="str">
        <f>hyperlink("https://bad-boys.us/?q=D-MD/1:18-cr-00340", "D-MD 1:18-cr-00340")</f>
        <v>D-MD 1:18-cr-00340</v>
      </c>
      <c r="P994" s="16"/>
      <c r="Q994" s="37">
        <v>1.0</v>
      </c>
      <c r="R994" s="16"/>
      <c r="S994" s="37" t="str">
        <f>IFERROR(__xludf.DUMMYFUNCTION("if(not(iserror(index(split(C994, "" ""),2))), index(split(C994, "" ""),1),"""")"),"April,")</f>
        <v>April,</v>
      </c>
      <c r="T994" s="38">
        <f>IFERROR(__xludf.DUMMYFUNCTION("if(S994="""",C994,if(not(iserror(index(split(C994, "" ""),3))), index(split(C994, "" ""),3),index(split(C994, "" ""),2)))"),2018.0)</f>
        <v>2018</v>
      </c>
      <c r="U994" s="38" t="b">
        <f t="shared" si="150"/>
        <v>0</v>
      </c>
      <c r="V994" s="38"/>
      <c r="W994" s="40"/>
      <c r="X994" s="40"/>
      <c r="Y994" s="40"/>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row>
    <row r="995">
      <c r="A995" s="13" t="s">
        <v>3088</v>
      </c>
      <c r="B995" s="30"/>
      <c r="C995" s="31">
        <v>43191.0</v>
      </c>
      <c r="D995" s="32"/>
      <c r="E995" s="13" t="s">
        <v>41</v>
      </c>
      <c r="F995" s="13">
        <v>1.0</v>
      </c>
      <c r="G995" s="13" t="s">
        <v>32</v>
      </c>
      <c r="H995" s="43">
        <v>1.0</v>
      </c>
      <c r="I995" s="13" t="s">
        <v>33</v>
      </c>
      <c r="J995" s="13" t="s">
        <v>179</v>
      </c>
      <c r="K995" s="13"/>
      <c r="L995" s="13" t="s">
        <v>2651</v>
      </c>
      <c r="M995" s="35" t="s">
        <v>3089</v>
      </c>
      <c r="N995" s="15"/>
      <c r="O995" s="57" t="str">
        <f>hyperlink("https://bad-boys.us/?q=ED-VA/2:18-cr-00065", "ED-VA 2:18-cr-00065")</f>
        <v>ED-VA 2:18-cr-00065</v>
      </c>
      <c r="P995" s="86" t="s">
        <v>3090</v>
      </c>
      <c r="Q995" s="37">
        <v>1.0</v>
      </c>
      <c r="R995" s="16"/>
      <c r="S995" s="37" t="str">
        <f>IFERROR(__xludf.DUMMYFUNCTION("if(not(iserror(index(split(C995, "" ""),2))), index(split(C995, "" ""),1),"""")"),"April,")</f>
        <v>April,</v>
      </c>
      <c r="T995" s="38">
        <f>IFERROR(__xludf.DUMMYFUNCTION("if(S995="""",C995,if(not(iserror(index(split(C995, "" ""),3))), index(split(C995, "" ""),3),index(split(C995, "" ""),2)))"),2018.0)</f>
        <v>2018</v>
      </c>
      <c r="U995" s="38" t="b">
        <f t="shared" si="150"/>
        <v>0</v>
      </c>
      <c r="V995" s="38" t="s">
        <v>33</v>
      </c>
      <c r="W995" s="40"/>
      <c r="X995" s="40"/>
      <c r="Y995" s="40"/>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row>
    <row r="996">
      <c r="A996" s="207" t="s">
        <v>3091</v>
      </c>
      <c r="B996" s="30"/>
      <c r="C996" s="31">
        <v>43191.0</v>
      </c>
      <c r="D996" s="32"/>
      <c r="E996" s="13" t="s">
        <v>41</v>
      </c>
      <c r="F996" s="13">
        <v>2.0</v>
      </c>
      <c r="G996" s="13">
        <v>1.0</v>
      </c>
      <c r="H996" s="43">
        <v>1.0</v>
      </c>
      <c r="I996" s="13" t="s">
        <v>33</v>
      </c>
      <c r="J996" s="13" t="s">
        <v>147</v>
      </c>
      <c r="K996" s="13"/>
      <c r="L996" s="13" t="s">
        <v>3092</v>
      </c>
      <c r="M996" s="35" t="s">
        <v>3093</v>
      </c>
      <c r="N996" s="36" t="s">
        <v>3094</v>
      </c>
      <c r="O996" s="16"/>
      <c r="P996" s="37"/>
      <c r="Q996" s="37"/>
      <c r="R996" s="16"/>
      <c r="S996" s="37" t="str">
        <f>IFERROR(__xludf.DUMMYFUNCTION("if(not(iserror(index(split(C996, "" ""),2))), index(split(C996, "" ""),1),"""")"),"April,")</f>
        <v>April,</v>
      </c>
      <c r="T996" s="38">
        <f>IFERROR(__xludf.DUMMYFUNCTION("if(S996="""",C996,if(not(iserror(index(split(C996, "" ""),3))), index(split(C996, "" ""),3),index(split(C996, "" ""),2)))"),2018.0)</f>
        <v>2018</v>
      </c>
      <c r="U996" s="38" t="b">
        <f t="shared" si="150"/>
        <v>0</v>
      </c>
      <c r="V996" s="38" t="s">
        <v>33</v>
      </c>
      <c r="W996" s="40"/>
      <c r="X996" s="40"/>
      <c r="Y996" s="40"/>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row>
    <row r="997">
      <c r="A997" s="13" t="s">
        <v>239</v>
      </c>
      <c r="B997" s="30">
        <v>43196.0</v>
      </c>
      <c r="C997" s="30">
        <v>43191.0</v>
      </c>
      <c r="D997" s="32" t="s">
        <v>3095</v>
      </c>
      <c r="E997" s="13" t="s">
        <v>41</v>
      </c>
      <c r="F997" s="13">
        <v>1.0</v>
      </c>
      <c r="G997" s="13">
        <v>3.0</v>
      </c>
      <c r="H997" s="33">
        <f>if(G997="Unknown",1,G997)</f>
        <v>3</v>
      </c>
      <c r="I997" s="13" t="s">
        <v>33</v>
      </c>
      <c r="J997" s="13" t="s">
        <v>147</v>
      </c>
      <c r="K997" s="13">
        <v>1.0</v>
      </c>
      <c r="L997" s="13" t="s">
        <v>194</v>
      </c>
      <c r="M997" s="35" t="s">
        <v>3096</v>
      </c>
      <c r="N997" s="15"/>
      <c r="O997" s="16"/>
      <c r="P997" s="16"/>
      <c r="Q997" s="16"/>
      <c r="R997" s="16"/>
      <c r="S997" s="37" t="str">
        <f>IFERROR(__xludf.DUMMYFUNCTION("if(not(iserror(index(split(C997, "" ""),2))), index(split(C997, "" ""),1),"""")"),"April")</f>
        <v>April</v>
      </c>
      <c r="T997" s="38">
        <f>IFERROR(__xludf.DUMMYFUNCTION("if(S997="""",C997,if(not(iserror(index(split(C997, "" ""),3))), index(split(C997, "" ""),3),index(split(C997, "" ""),2)))"),2018.0)</f>
        <v>2018</v>
      </c>
      <c r="U997" s="38" t="b">
        <f t="shared" si="150"/>
        <v>1</v>
      </c>
      <c r="V997" s="38"/>
      <c r="W997" s="40"/>
      <c r="X997" s="40"/>
      <c r="Y997" s="40"/>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row>
    <row r="998">
      <c r="A998" s="208" t="s">
        <v>3097</v>
      </c>
      <c r="B998" s="73">
        <v>43202.0</v>
      </c>
      <c r="C998" s="74">
        <v>43191.0</v>
      </c>
      <c r="D998" s="75" t="s">
        <v>1844</v>
      </c>
      <c r="E998" s="34" t="s">
        <v>41</v>
      </c>
      <c r="F998" s="34">
        <v>1.0</v>
      </c>
      <c r="G998" s="34" t="s">
        <v>32</v>
      </c>
      <c r="H998" s="50">
        <v>1.0</v>
      </c>
      <c r="I998" s="34" t="s">
        <v>33</v>
      </c>
      <c r="J998" s="34" t="s">
        <v>241</v>
      </c>
      <c r="K998" s="34" t="s">
        <v>40</v>
      </c>
      <c r="L998" s="34" t="s">
        <v>310</v>
      </c>
      <c r="M998" s="76" t="s">
        <v>3098</v>
      </c>
      <c r="N998" s="77"/>
      <c r="O998" s="140" t="str">
        <f>hyperlink("https://bad-boys.us/?q=D-AZ/2:18-cr-00465", "D-AZ 2:18-cr-00465")</f>
        <v>D-AZ 2:18-cr-00465</v>
      </c>
      <c r="P998" s="140" t="s">
        <v>3099</v>
      </c>
      <c r="Q998" s="58">
        <v>1.0</v>
      </c>
      <c r="R998" s="62"/>
      <c r="S998" s="37" t="str">
        <f>IFERROR(__xludf.DUMMYFUNCTION("if(not(iserror(index(split(C998, "" ""),2))), index(split(C998, "" ""),1),"""")"),"April,")</f>
        <v>April,</v>
      </c>
      <c r="T998" s="38">
        <f>IFERROR(__xludf.DUMMYFUNCTION("if(S998="""",C998,if(not(iserror(index(split(C998, "" ""),3))), index(split(C998, "" ""),3),index(split(C998, "" ""),2)))"),2018.0)</f>
        <v>2018</v>
      </c>
      <c r="U998" s="38" t="b">
        <f t="shared" si="150"/>
        <v>0</v>
      </c>
      <c r="V998" s="38"/>
      <c r="W998" s="40"/>
      <c r="X998" s="40"/>
      <c r="Y998" s="40"/>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row>
    <row r="999">
      <c r="A999" s="58" t="s">
        <v>40</v>
      </c>
      <c r="B999" s="59">
        <v>43220.0</v>
      </c>
      <c r="C999" s="79">
        <v>43191.0</v>
      </c>
      <c r="D999" s="60" t="s">
        <v>1844</v>
      </c>
      <c r="E999" s="58" t="s">
        <v>41</v>
      </c>
      <c r="F999" s="58">
        <v>22.0</v>
      </c>
      <c r="G999" s="58">
        <v>350.0</v>
      </c>
      <c r="H999" s="33">
        <f>if(G999="Unknown",1,G999)</f>
        <v>350</v>
      </c>
      <c r="I999" s="58" t="s">
        <v>3100</v>
      </c>
      <c r="J999" s="62"/>
      <c r="K999" s="58" t="s">
        <v>32</v>
      </c>
      <c r="L999" s="58" t="s">
        <v>3101</v>
      </c>
      <c r="M999" s="36" t="s">
        <v>3102</v>
      </c>
      <c r="N999" s="77"/>
      <c r="O999" s="62"/>
      <c r="P999" s="62"/>
      <c r="Q999" s="62"/>
      <c r="R999" s="62"/>
      <c r="S999" s="37" t="str">
        <f>IFERROR(__xludf.DUMMYFUNCTION("if(not(iserror(index(split(C999, "" ""),2))), index(split(C999, "" ""),1),"""")"),"April,")</f>
        <v>April,</v>
      </c>
      <c r="T999" s="38">
        <f>IFERROR(__xludf.DUMMYFUNCTION("if(S999="""",C999,if(not(iserror(index(split(C999, "" ""),3))), index(split(C999, "" ""),3),index(split(C999, "" ""),2)))"),2018.0)</f>
        <v>2018</v>
      </c>
      <c r="U999" s="38" t="b">
        <f t="shared" si="150"/>
        <v>1</v>
      </c>
      <c r="V999" s="38"/>
      <c r="W999" s="40"/>
      <c r="X999" s="40"/>
      <c r="Y999" s="40"/>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row>
    <row r="1000">
      <c r="A1000" s="13" t="s">
        <v>3103</v>
      </c>
      <c r="B1000" s="30"/>
      <c r="C1000" s="31">
        <v>43191.0</v>
      </c>
      <c r="D1000" s="32"/>
      <c r="E1000" s="13" t="s">
        <v>31</v>
      </c>
      <c r="F1000" s="13">
        <v>1.0</v>
      </c>
      <c r="G1000" s="13">
        <v>1.0</v>
      </c>
      <c r="H1000" s="43">
        <v>1.0</v>
      </c>
      <c r="I1000" s="13" t="s">
        <v>33</v>
      </c>
      <c r="J1000" s="13" t="s">
        <v>433</v>
      </c>
      <c r="K1000" s="13"/>
      <c r="L1000" s="13" t="s">
        <v>790</v>
      </c>
      <c r="M1000" s="35" t="s">
        <v>2732</v>
      </c>
      <c r="N1000" s="36" t="s">
        <v>3104</v>
      </c>
      <c r="O1000" s="57" t="str">
        <f>hyperlink("https://bad-boys.us/?q=D-MN/0:18-cr-00133", "D-MN 0:18-cr-00133 ❓")</f>
        <v>D-MN 0:18-cr-00133 ❓</v>
      </c>
      <c r="P1000" s="86" t="s">
        <v>2734</v>
      </c>
      <c r="Q1000" s="64">
        <v>1.0</v>
      </c>
      <c r="R1000" s="16"/>
      <c r="S1000" s="37" t="str">
        <f>IFERROR(__xludf.DUMMYFUNCTION("if(not(iserror(index(split(C1000, "" ""),2))), index(split(C1000, "" ""),1),"""")"),"April,")</f>
        <v>April,</v>
      </c>
      <c r="T1000" s="38">
        <f>IFERROR(__xludf.DUMMYFUNCTION("if(S1000="""",C1000,if(not(iserror(index(split(C1000, "" ""),3))), index(split(C1000, "" ""),3),index(split(C1000, "" ""),2)))"),2018.0)</f>
        <v>2018</v>
      </c>
      <c r="U1000" s="38" t="b">
        <f t="shared" si="150"/>
        <v>0</v>
      </c>
      <c r="V1000" s="38" t="s">
        <v>33</v>
      </c>
      <c r="W1000" s="39" t="s">
        <v>3105</v>
      </c>
      <c r="X1000" s="39" t="s">
        <v>3106</v>
      </c>
      <c r="Y1000" s="40"/>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row>
    <row r="1001">
      <c r="A1001" s="13" t="s">
        <v>3107</v>
      </c>
      <c r="B1001" s="30"/>
      <c r="C1001" s="31">
        <v>43191.0</v>
      </c>
      <c r="D1001" s="32"/>
      <c r="E1001" s="13" t="s">
        <v>41</v>
      </c>
      <c r="F1001" s="13">
        <v>1.0</v>
      </c>
      <c r="G1001" s="13" t="s">
        <v>32</v>
      </c>
      <c r="H1001" s="43">
        <v>1.0</v>
      </c>
      <c r="I1001" s="13" t="s">
        <v>33</v>
      </c>
      <c r="J1001" s="13" t="s">
        <v>47</v>
      </c>
      <c r="K1001" s="13"/>
      <c r="L1001" s="13" t="s">
        <v>76</v>
      </c>
      <c r="M1001" s="35" t="s">
        <v>3108</v>
      </c>
      <c r="N1001" s="15"/>
      <c r="O1001" s="16"/>
      <c r="P1001" s="16"/>
      <c r="Q1001" s="16"/>
      <c r="R1001" s="16"/>
      <c r="S1001" s="37"/>
      <c r="T1001" s="38"/>
      <c r="U1001" s="38"/>
      <c r="V1001" s="38" t="s">
        <v>33</v>
      </c>
      <c r="W1001" s="40"/>
      <c r="X1001" s="40"/>
      <c r="Y1001" s="40"/>
      <c r="Z1001" s="38"/>
      <c r="AA1001" s="38"/>
      <c r="AB1001" s="38"/>
      <c r="AC1001" s="38"/>
      <c r="AD1001" s="38"/>
      <c r="AE1001" s="38"/>
      <c r="AF1001" s="38"/>
      <c r="AG1001" s="38"/>
      <c r="AH1001" s="38"/>
      <c r="AI1001" s="38"/>
      <c r="AJ1001" s="38"/>
      <c r="AK1001" s="38"/>
      <c r="AL1001" s="38"/>
      <c r="AM1001" s="38"/>
      <c r="AN1001" s="38"/>
      <c r="AO1001" s="38"/>
      <c r="AP1001" s="38"/>
      <c r="AQ1001" s="38"/>
      <c r="AR1001" s="38"/>
      <c r="AS1001" s="38"/>
      <c r="AT1001" s="38"/>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row>
    <row r="1002">
      <c r="A1002" s="13" t="s">
        <v>3109</v>
      </c>
      <c r="B1002" s="30">
        <v>43221.0</v>
      </c>
      <c r="C1002" s="31">
        <v>43191.0</v>
      </c>
      <c r="D1002" s="32" t="s">
        <v>1844</v>
      </c>
      <c r="E1002" s="13" t="s">
        <v>41</v>
      </c>
      <c r="F1002" s="13">
        <v>1.0</v>
      </c>
      <c r="G1002" s="13" t="s">
        <v>32</v>
      </c>
      <c r="H1002" s="33">
        <f t="shared" ref="H1002:H1018" si="153">if(G1002="Unknown",1,G1002)</f>
        <v>1</v>
      </c>
      <c r="I1002" s="13" t="s">
        <v>33</v>
      </c>
      <c r="J1002" s="13" t="s">
        <v>47</v>
      </c>
      <c r="K1002" s="13">
        <v>5.0</v>
      </c>
      <c r="L1002" s="13" t="s">
        <v>3110</v>
      </c>
      <c r="M1002" s="35" t="s">
        <v>3111</v>
      </c>
      <c r="N1002" s="15"/>
      <c r="O1002" s="16"/>
      <c r="P1002" s="16"/>
      <c r="Q1002" s="16"/>
      <c r="R1002" s="16"/>
      <c r="S1002" s="37" t="str">
        <f>IFERROR(__xludf.DUMMYFUNCTION("if(not(iserror(index(split(C1002, "" ""),2))), index(split(C1002, "" ""),1),"""")"),"April,")</f>
        <v>April,</v>
      </c>
      <c r="T1002" s="38">
        <f>IFERROR(__xludf.DUMMYFUNCTION("if(S1002="""",C1002,if(not(iserror(index(split(C1002, "" ""),3))), index(split(C1002, "" ""),3),index(split(C1002, "" ""),2)))"),2018.0)</f>
        <v>2018</v>
      </c>
      <c r="U1002" s="38" t="b">
        <f t="shared" ref="U1002:U1037" si="154">countif(A$4:A4658, A1002)&gt;1</f>
        <v>0</v>
      </c>
      <c r="V1002" s="38"/>
      <c r="W1002" s="40"/>
      <c r="X1002" s="40"/>
      <c r="Y1002" s="40"/>
      <c r="Z1002" s="38"/>
      <c r="AA1002" s="38"/>
      <c r="AB1002" s="38"/>
      <c r="AC1002" s="38"/>
      <c r="AD1002" s="38"/>
      <c r="AE1002" s="38"/>
      <c r="AF1002" s="38"/>
      <c r="AG1002" s="38"/>
      <c r="AH1002" s="38"/>
      <c r="AI1002" s="38"/>
      <c r="AJ1002" s="38"/>
      <c r="AK1002" s="38"/>
      <c r="AL1002" s="38"/>
      <c r="AM1002" s="38"/>
      <c r="AN1002" s="38"/>
      <c r="AO1002" s="38"/>
      <c r="AP1002" s="38"/>
      <c r="AQ1002" s="38"/>
      <c r="AR1002" s="38"/>
      <c r="AS1002" s="38"/>
      <c r="AT1002" s="38"/>
      <c r="AU1002" s="38"/>
      <c r="AV1002" s="38"/>
      <c r="AW1002" s="38"/>
      <c r="AX1002" s="38"/>
      <c r="AY1002" s="38"/>
      <c r="AZ1002" s="38"/>
      <c r="BA1002" s="38"/>
      <c r="BB1002" s="38"/>
      <c r="BC1002" s="38"/>
      <c r="BD1002" s="38"/>
      <c r="BE1002" s="38"/>
      <c r="BF1002" s="38"/>
      <c r="BG1002" s="38"/>
      <c r="BH1002" s="38"/>
      <c r="BI1002" s="38"/>
      <c r="BJ1002" s="38"/>
      <c r="BK1002" s="38"/>
      <c r="BL1002" s="38"/>
      <c r="BM1002" s="38"/>
      <c r="BN1002" s="38"/>
      <c r="BO1002" s="38"/>
      <c r="BP1002" s="38"/>
      <c r="BQ1002" s="38"/>
    </row>
    <row r="1003">
      <c r="A1003" s="58" t="s">
        <v>40</v>
      </c>
      <c r="B1003" s="59">
        <v>43244.0</v>
      </c>
      <c r="C1003" s="79">
        <v>43191.0</v>
      </c>
      <c r="D1003" s="60" t="s">
        <v>3112</v>
      </c>
      <c r="E1003" s="58" t="s">
        <v>31</v>
      </c>
      <c r="F1003" s="58">
        <v>3.0</v>
      </c>
      <c r="G1003" s="58" t="s">
        <v>32</v>
      </c>
      <c r="H1003" s="33">
        <f t="shared" si="153"/>
        <v>1</v>
      </c>
      <c r="I1003" s="58" t="s">
        <v>33</v>
      </c>
      <c r="J1003" s="58" t="s">
        <v>47</v>
      </c>
      <c r="K1003" s="58">
        <v>1.0</v>
      </c>
      <c r="L1003" s="58" t="s">
        <v>52</v>
      </c>
      <c r="M1003" s="61" t="s">
        <v>3113</v>
      </c>
      <c r="N1003" s="77"/>
      <c r="O1003" s="62"/>
      <c r="P1003" s="62"/>
      <c r="Q1003" s="62"/>
      <c r="R1003" s="62"/>
      <c r="S1003" s="37" t="str">
        <f>IFERROR(__xludf.DUMMYFUNCTION("if(not(iserror(index(split(C1003, "" ""),2))), index(split(C1003, "" ""),1),"""")"),"April,")</f>
        <v>April,</v>
      </c>
      <c r="T1003" s="38">
        <f>IFERROR(__xludf.DUMMYFUNCTION("if(S1003="""",C1003,if(not(iserror(index(split(C1003, "" ""),3))), index(split(C1003, "" ""),3),index(split(C1003, "" ""),2)))"),2018.0)</f>
        <v>2018</v>
      </c>
      <c r="U1003" s="38" t="b">
        <f t="shared" si="154"/>
        <v>1</v>
      </c>
      <c r="V1003" s="38"/>
      <c r="W1003" s="40"/>
      <c r="X1003" s="40"/>
      <c r="Y1003" s="40"/>
      <c r="Z1003" s="38"/>
      <c r="AA1003" s="38"/>
      <c r="AB1003" s="38"/>
      <c r="AC1003" s="38"/>
      <c r="AD1003" s="38"/>
      <c r="AE1003" s="38"/>
      <c r="AF1003" s="38"/>
      <c r="AG1003" s="38"/>
      <c r="AH1003" s="38"/>
      <c r="AI1003" s="38"/>
      <c r="AJ1003" s="38"/>
      <c r="AK1003" s="38"/>
      <c r="AL1003" s="38"/>
      <c r="AM1003" s="38"/>
      <c r="AN1003" s="38"/>
      <c r="AO1003" s="38"/>
      <c r="AP1003" s="38"/>
      <c r="AQ1003" s="38"/>
      <c r="AR1003" s="38"/>
      <c r="AS1003" s="38"/>
      <c r="AT1003" s="38"/>
      <c r="AU1003" s="38"/>
      <c r="AV1003" s="38"/>
      <c r="AW1003" s="38"/>
      <c r="AX1003" s="38"/>
      <c r="AY1003" s="38"/>
      <c r="AZ1003" s="38"/>
      <c r="BA1003" s="38"/>
      <c r="BB1003" s="38"/>
      <c r="BC1003" s="38"/>
      <c r="BD1003" s="38"/>
      <c r="BE1003" s="38"/>
      <c r="BF1003" s="38"/>
      <c r="BG1003" s="38"/>
      <c r="BH1003" s="38"/>
      <c r="BI1003" s="38"/>
      <c r="BJ1003" s="38"/>
      <c r="BK1003" s="38"/>
      <c r="BL1003" s="38"/>
      <c r="BM1003" s="38"/>
      <c r="BN1003" s="38"/>
      <c r="BO1003" s="38"/>
      <c r="BP1003" s="38"/>
      <c r="BQ1003" s="38"/>
    </row>
    <row r="1004">
      <c r="A1004" s="58" t="s">
        <v>40</v>
      </c>
      <c r="B1004" s="59">
        <v>43245.0</v>
      </c>
      <c r="C1004" s="79">
        <v>43191.0</v>
      </c>
      <c r="D1004" s="60" t="s">
        <v>3114</v>
      </c>
      <c r="E1004" s="58" t="s">
        <v>41</v>
      </c>
      <c r="F1004" s="58">
        <v>25.0</v>
      </c>
      <c r="G1004" s="58" t="s">
        <v>32</v>
      </c>
      <c r="H1004" s="33">
        <f t="shared" si="153"/>
        <v>1</v>
      </c>
      <c r="I1004" s="58" t="s">
        <v>33</v>
      </c>
      <c r="J1004" s="58" t="s">
        <v>241</v>
      </c>
      <c r="K1004" s="58">
        <v>2.0</v>
      </c>
      <c r="L1004" s="58" t="s">
        <v>194</v>
      </c>
      <c r="M1004" s="61" t="s">
        <v>3115</v>
      </c>
      <c r="N1004" s="77"/>
      <c r="O1004" s="62"/>
      <c r="P1004" s="62"/>
      <c r="Q1004" s="62"/>
      <c r="R1004" s="62"/>
      <c r="S1004" s="37" t="str">
        <f>IFERROR(__xludf.DUMMYFUNCTION("if(not(iserror(index(split(C1004, "" ""),2))), index(split(C1004, "" ""),1),"""")"),"April,")</f>
        <v>April,</v>
      </c>
      <c r="T1004" s="38">
        <f>IFERROR(__xludf.DUMMYFUNCTION("if(S1004="""",C1004,if(not(iserror(index(split(C1004, "" ""),3))), index(split(C1004, "" ""),3),index(split(C1004, "" ""),2)))"),2018.0)</f>
        <v>2018</v>
      </c>
      <c r="U1004" s="38" t="b">
        <f t="shared" si="154"/>
        <v>1</v>
      </c>
      <c r="V1004" s="38"/>
      <c r="W1004" s="40"/>
      <c r="X1004" s="40"/>
      <c r="Y1004" s="40"/>
      <c r="Z1004" s="38"/>
      <c r="AA1004" s="38"/>
      <c r="AB1004" s="38"/>
      <c r="AC1004" s="38"/>
      <c r="AD1004" s="38"/>
      <c r="AE1004" s="38"/>
      <c r="AF1004" s="38"/>
      <c r="AG1004" s="38"/>
      <c r="AH1004" s="38"/>
      <c r="AI1004" s="38"/>
      <c r="AJ1004" s="38"/>
      <c r="AK1004" s="38"/>
      <c r="AL1004" s="38"/>
      <c r="AM1004" s="38"/>
      <c r="AN1004" s="38"/>
      <c r="AO1004" s="38"/>
      <c r="AP1004" s="38"/>
      <c r="AQ1004" s="38"/>
      <c r="AR1004" s="38"/>
      <c r="AS1004" s="38"/>
      <c r="AT1004" s="38"/>
      <c r="AU1004" s="38"/>
      <c r="AV1004" s="38"/>
      <c r="AW1004" s="38"/>
      <c r="AX1004" s="38"/>
      <c r="AY1004" s="38"/>
      <c r="AZ1004" s="38"/>
      <c r="BA1004" s="38"/>
      <c r="BB1004" s="38"/>
      <c r="BC1004" s="38"/>
      <c r="BD1004" s="38"/>
      <c r="BE1004" s="38"/>
      <c r="BF1004" s="38"/>
      <c r="BG1004" s="38"/>
      <c r="BH1004" s="38"/>
      <c r="BI1004" s="38"/>
      <c r="BJ1004" s="38"/>
      <c r="BK1004" s="38"/>
      <c r="BL1004" s="38"/>
      <c r="BM1004" s="38"/>
      <c r="BN1004" s="38"/>
      <c r="BO1004" s="38"/>
      <c r="BP1004" s="38"/>
      <c r="BQ1004" s="38"/>
    </row>
    <row r="1005">
      <c r="A1005" s="58" t="s">
        <v>3116</v>
      </c>
      <c r="B1005" s="59">
        <v>43262.0</v>
      </c>
      <c r="C1005" s="79">
        <v>43191.0</v>
      </c>
      <c r="D1005" s="60" t="s">
        <v>1844</v>
      </c>
      <c r="E1005" s="58" t="s">
        <v>41</v>
      </c>
      <c r="F1005" s="58">
        <v>1.0</v>
      </c>
      <c r="G1005" s="58" t="s">
        <v>32</v>
      </c>
      <c r="H1005" s="33">
        <f t="shared" si="153"/>
        <v>1</v>
      </c>
      <c r="I1005" s="58" t="s">
        <v>33</v>
      </c>
      <c r="J1005" s="58" t="s">
        <v>410</v>
      </c>
      <c r="K1005" s="58">
        <v>3.0</v>
      </c>
      <c r="L1005" s="58" t="s">
        <v>119</v>
      </c>
      <c r="M1005" s="61" t="s">
        <v>3117</v>
      </c>
      <c r="N1005" s="61" t="s">
        <v>3118</v>
      </c>
      <c r="O1005" s="140" t="str">
        <f>hyperlink("https://bad-boys.us/?q=D-MA/4:18-mj-04212", "D-MA 4:18-mj-04212")</f>
        <v>D-MA 4:18-mj-04212</v>
      </c>
      <c r="P1005" s="140" t="s">
        <v>3119</v>
      </c>
      <c r="Q1005" s="58">
        <v>1.0</v>
      </c>
      <c r="R1005" s="62"/>
      <c r="S1005" s="37" t="str">
        <f>IFERROR(__xludf.DUMMYFUNCTION("if(not(iserror(index(split(C1005, "" ""),2))), index(split(C1005, "" ""),1),"""")"),"April,")</f>
        <v>April,</v>
      </c>
      <c r="T1005" s="38">
        <f>IFERROR(__xludf.DUMMYFUNCTION("if(S1005="""",C1005,if(not(iserror(index(split(C1005, "" ""),3))), index(split(C1005, "" ""),3),index(split(C1005, "" ""),2)))"),2018.0)</f>
        <v>2018</v>
      </c>
      <c r="U1005" s="38" t="b">
        <f t="shared" si="154"/>
        <v>0</v>
      </c>
      <c r="V1005" s="38"/>
      <c r="W1005" s="40"/>
      <c r="X1005" s="40"/>
      <c r="Y1005" s="40"/>
      <c r="Z1005" s="38"/>
      <c r="AA1005" s="38"/>
      <c r="AB1005" s="38"/>
      <c r="AC1005" s="38"/>
      <c r="AD1005" s="38"/>
      <c r="AE1005" s="38"/>
      <c r="AF1005" s="38"/>
      <c r="AG1005" s="38"/>
      <c r="AH1005" s="38"/>
      <c r="AI1005" s="38"/>
      <c r="AJ1005" s="38"/>
      <c r="AK1005" s="38"/>
      <c r="AL1005" s="38"/>
      <c r="AM1005" s="38"/>
      <c r="AN1005" s="38"/>
      <c r="AO1005" s="38"/>
      <c r="AP1005" s="38"/>
      <c r="AQ1005" s="38"/>
      <c r="AR1005" s="38"/>
      <c r="AS1005" s="38"/>
      <c r="AT1005" s="38"/>
      <c r="AU1005" s="38"/>
      <c r="AV1005" s="38"/>
      <c r="AW1005" s="38"/>
      <c r="AX1005" s="38"/>
      <c r="AY1005" s="38"/>
      <c r="AZ1005" s="38"/>
      <c r="BA1005" s="38"/>
      <c r="BB1005" s="38"/>
      <c r="BC1005" s="38"/>
      <c r="BD1005" s="38"/>
      <c r="BE1005" s="38"/>
      <c r="BF1005" s="38"/>
      <c r="BG1005" s="38"/>
      <c r="BH1005" s="38"/>
      <c r="BI1005" s="38"/>
      <c r="BJ1005" s="38"/>
      <c r="BK1005" s="38"/>
      <c r="BL1005" s="38"/>
      <c r="BM1005" s="38"/>
      <c r="BN1005" s="38"/>
      <c r="BO1005" s="38"/>
      <c r="BP1005" s="38"/>
      <c r="BQ1005" s="38"/>
    </row>
    <row r="1006">
      <c r="A1006" s="58" t="s">
        <v>40</v>
      </c>
      <c r="B1006" s="59">
        <v>43272.0</v>
      </c>
      <c r="C1006" s="79">
        <v>43191.0</v>
      </c>
      <c r="D1006" s="60" t="s">
        <v>2163</v>
      </c>
      <c r="E1006" s="58" t="s">
        <v>41</v>
      </c>
      <c r="F1006" s="58">
        <v>10.0</v>
      </c>
      <c r="G1006" s="58" t="s">
        <v>32</v>
      </c>
      <c r="H1006" s="33">
        <f t="shared" si="153"/>
        <v>1</v>
      </c>
      <c r="I1006" s="58" t="s">
        <v>33</v>
      </c>
      <c r="J1006" s="58" t="s">
        <v>106</v>
      </c>
      <c r="K1006" s="58">
        <v>1.0</v>
      </c>
      <c r="L1006" s="58" t="s">
        <v>52</v>
      </c>
      <c r="M1006" s="61" t="s">
        <v>3120</v>
      </c>
      <c r="N1006" s="77"/>
      <c r="O1006" s="58"/>
      <c r="P1006" s="62"/>
      <c r="Q1006" s="84"/>
      <c r="R1006" s="62"/>
      <c r="S1006" s="37" t="str">
        <f>IFERROR(__xludf.DUMMYFUNCTION("if(not(iserror(index(split(C1006, "" ""),2))), index(split(C1006, "" ""),1),"""")"),"April,")</f>
        <v>April,</v>
      </c>
      <c r="T1006" s="38">
        <f>IFERROR(__xludf.DUMMYFUNCTION("if(S1006="""",C1006,if(not(iserror(index(split(C1006, "" ""),3))), index(split(C1006, "" ""),3),index(split(C1006, "" ""),2)))"),2018.0)</f>
        <v>2018</v>
      </c>
      <c r="U1006" s="38" t="b">
        <f t="shared" si="154"/>
        <v>1</v>
      </c>
      <c r="V1006" s="38"/>
      <c r="W1006" s="40"/>
      <c r="X1006" s="40"/>
      <c r="Y1006" s="40"/>
      <c r="Z1006" s="38"/>
      <c r="AA1006" s="38"/>
      <c r="AB1006" s="38"/>
      <c r="AC1006" s="38"/>
      <c r="AD1006" s="38"/>
      <c r="AE1006" s="38"/>
      <c r="AF1006" s="38"/>
      <c r="AG1006" s="38"/>
      <c r="AH1006" s="38"/>
      <c r="AI1006" s="38"/>
      <c r="AJ1006" s="38"/>
      <c r="AK1006" s="38"/>
      <c r="AL1006" s="38"/>
      <c r="AM1006" s="38"/>
      <c r="AN1006" s="38"/>
      <c r="AO1006" s="38"/>
      <c r="AP1006" s="38"/>
      <c r="AQ1006" s="38"/>
      <c r="AR1006" s="38"/>
      <c r="AS1006" s="38"/>
      <c r="AT1006" s="38"/>
      <c r="AU1006" s="38"/>
      <c r="AV1006" s="38"/>
      <c r="AW1006" s="38"/>
      <c r="AX1006" s="38"/>
      <c r="AY1006" s="38"/>
      <c r="AZ1006" s="38"/>
      <c r="BA1006" s="38"/>
      <c r="BB1006" s="38"/>
      <c r="BC1006" s="38"/>
      <c r="BD1006" s="38"/>
      <c r="BE1006" s="38"/>
      <c r="BF1006" s="38"/>
      <c r="BG1006" s="38"/>
      <c r="BH1006" s="38"/>
      <c r="BI1006" s="38"/>
      <c r="BJ1006" s="38"/>
      <c r="BK1006" s="38"/>
      <c r="BL1006" s="38"/>
      <c r="BM1006" s="38"/>
      <c r="BN1006" s="38"/>
      <c r="BO1006" s="38"/>
      <c r="BP1006" s="38"/>
      <c r="BQ1006" s="38"/>
    </row>
    <row r="1007">
      <c r="A1007" s="78" t="s">
        <v>3121</v>
      </c>
      <c r="B1007" s="59">
        <v>43291.0</v>
      </c>
      <c r="C1007" s="79">
        <v>43191.0</v>
      </c>
      <c r="D1007" s="60" t="s">
        <v>1844</v>
      </c>
      <c r="E1007" s="58" t="s">
        <v>41</v>
      </c>
      <c r="F1007" s="58">
        <v>1.0</v>
      </c>
      <c r="G1007" s="58" t="s">
        <v>32</v>
      </c>
      <c r="H1007" s="33">
        <f t="shared" si="153"/>
        <v>1</v>
      </c>
      <c r="I1007" s="58" t="s">
        <v>33</v>
      </c>
      <c r="J1007" s="58" t="s">
        <v>111</v>
      </c>
      <c r="K1007" s="58" t="s">
        <v>32</v>
      </c>
      <c r="L1007" s="58" t="s">
        <v>2383</v>
      </c>
      <c r="M1007" s="46" t="s">
        <v>3122</v>
      </c>
      <c r="N1007" s="77"/>
      <c r="O1007" s="62"/>
      <c r="P1007" s="62"/>
      <c r="Q1007" s="62"/>
      <c r="R1007" s="62"/>
      <c r="S1007" s="37" t="str">
        <f>IFERROR(__xludf.DUMMYFUNCTION("if(not(iserror(index(split(C1007, "" ""),2))), index(split(C1007, "" ""),1),"""")"),"April,")</f>
        <v>April,</v>
      </c>
      <c r="T1007" s="38">
        <f>IFERROR(__xludf.DUMMYFUNCTION("if(S1007="""",C1007,if(not(iserror(index(split(C1007, "" ""),3))), index(split(C1007, "" ""),3),index(split(C1007, "" ""),2)))"),2018.0)</f>
        <v>2018</v>
      </c>
      <c r="U1007" s="38" t="b">
        <f t="shared" si="154"/>
        <v>0</v>
      </c>
      <c r="V1007" s="38"/>
      <c r="W1007" s="40"/>
      <c r="X1007" s="40"/>
      <c r="Y1007" s="40"/>
      <c r="Z1007" s="38"/>
      <c r="AA1007" s="38"/>
      <c r="AB1007" s="38"/>
      <c r="AC1007" s="38"/>
      <c r="AD1007" s="38"/>
      <c r="AE1007" s="38"/>
      <c r="AF1007" s="38"/>
      <c r="AG1007" s="38"/>
      <c r="AH1007" s="38"/>
      <c r="AI1007" s="38"/>
      <c r="AJ1007" s="38"/>
      <c r="AK1007" s="38"/>
      <c r="AL1007" s="38"/>
      <c r="AM1007" s="38"/>
      <c r="AN1007" s="38"/>
      <c r="AO1007" s="38"/>
      <c r="AP1007" s="38"/>
      <c r="AQ1007" s="38"/>
      <c r="AR1007" s="38"/>
      <c r="AS1007" s="38"/>
      <c r="AT1007" s="38"/>
      <c r="AU1007" s="38"/>
      <c r="AV1007" s="38"/>
      <c r="AW1007" s="38"/>
      <c r="AX1007" s="38"/>
      <c r="AY1007" s="38"/>
      <c r="AZ1007" s="38"/>
      <c r="BA1007" s="38"/>
      <c r="BB1007" s="38"/>
      <c r="BC1007" s="38"/>
      <c r="BD1007" s="38"/>
      <c r="BE1007" s="38"/>
      <c r="BF1007" s="38"/>
      <c r="BG1007" s="38"/>
      <c r="BH1007" s="38"/>
      <c r="BI1007" s="38"/>
      <c r="BJ1007" s="38"/>
      <c r="BK1007" s="38"/>
      <c r="BL1007" s="38"/>
      <c r="BM1007" s="38"/>
      <c r="BN1007" s="38"/>
      <c r="BO1007" s="38"/>
      <c r="BP1007" s="38"/>
      <c r="BQ1007" s="38"/>
    </row>
    <row r="1008">
      <c r="A1008" s="58" t="s">
        <v>3123</v>
      </c>
      <c r="B1008" s="59">
        <v>43301.0</v>
      </c>
      <c r="C1008" s="79">
        <v>43191.0</v>
      </c>
      <c r="D1008" s="60" t="s">
        <v>1844</v>
      </c>
      <c r="E1008" s="58" t="s">
        <v>31</v>
      </c>
      <c r="F1008" s="58">
        <v>1.0</v>
      </c>
      <c r="G1008" s="58" t="s">
        <v>32</v>
      </c>
      <c r="H1008" s="33">
        <f t="shared" si="153"/>
        <v>1</v>
      </c>
      <c r="I1008" s="58" t="s">
        <v>33</v>
      </c>
      <c r="J1008" s="58" t="s">
        <v>222</v>
      </c>
      <c r="K1008" s="58" t="s">
        <v>32</v>
      </c>
      <c r="L1008" s="58" t="s">
        <v>52</v>
      </c>
      <c r="M1008" s="61" t="s">
        <v>3124</v>
      </c>
      <c r="N1008" s="77"/>
      <c r="O1008" s="62"/>
      <c r="P1008" s="62"/>
      <c r="Q1008" s="62"/>
      <c r="R1008" s="62"/>
      <c r="S1008" s="37" t="str">
        <f>IFERROR(__xludf.DUMMYFUNCTION("if(not(iserror(index(split(C1008, "" ""),2))), index(split(C1008, "" ""),1),"""")"),"April,")</f>
        <v>April,</v>
      </c>
      <c r="T1008" s="38">
        <f>IFERROR(__xludf.DUMMYFUNCTION("if(S1008="""",C1008,if(not(iserror(index(split(C1008, "" ""),3))), index(split(C1008, "" ""),3),index(split(C1008, "" ""),2)))"),2018.0)</f>
        <v>2018</v>
      </c>
      <c r="U1008" s="38" t="b">
        <f t="shared" si="154"/>
        <v>0</v>
      </c>
      <c r="V1008" s="38"/>
      <c r="W1008" s="40"/>
      <c r="X1008" s="40"/>
      <c r="Y1008" s="40"/>
      <c r="Z1008" s="38"/>
      <c r="AA1008" s="38"/>
      <c r="AB1008" s="38"/>
      <c r="AC1008" s="38"/>
      <c r="AD1008" s="38"/>
      <c r="AE1008" s="38"/>
      <c r="AF1008" s="38"/>
      <c r="AG1008" s="38"/>
      <c r="AH1008" s="38"/>
      <c r="AI1008" s="38"/>
      <c r="AJ1008" s="38"/>
      <c r="AK1008" s="38"/>
      <c r="AL1008" s="38"/>
      <c r="AM1008" s="38"/>
      <c r="AN1008" s="38"/>
      <c r="AO1008" s="38"/>
      <c r="AP1008" s="38"/>
      <c r="AQ1008" s="38"/>
      <c r="AR1008" s="38"/>
      <c r="AS1008" s="38"/>
      <c r="AT1008" s="38"/>
      <c r="AU1008" s="38"/>
      <c r="AV1008" s="38"/>
      <c r="AW1008" s="38"/>
      <c r="AX1008" s="38"/>
      <c r="AY1008" s="38"/>
      <c r="AZ1008" s="38"/>
      <c r="BA1008" s="38"/>
      <c r="BB1008" s="38"/>
      <c r="BC1008" s="38"/>
      <c r="BD1008" s="38"/>
      <c r="BE1008" s="38"/>
      <c r="BF1008" s="38"/>
      <c r="BG1008" s="38"/>
      <c r="BH1008" s="38"/>
      <c r="BI1008" s="38"/>
      <c r="BJ1008" s="38"/>
      <c r="BK1008" s="38"/>
      <c r="BL1008" s="38"/>
      <c r="BM1008" s="38"/>
      <c r="BN1008" s="38"/>
      <c r="BO1008" s="38"/>
      <c r="BP1008" s="38"/>
      <c r="BQ1008" s="38"/>
    </row>
    <row r="1009">
      <c r="A1009" s="58" t="s">
        <v>3125</v>
      </c>
      <c r="B1009" s="59">
        <v>43304.0</v>
      </c>
      <c r="C1009" s="79">
        <v>43191.0</v>
      </c>
      <c r="D1009" s="209"/>
      <c r="E1009" s="58" t="s">
        <v>41</v>
      </c>
      <c r="F1009" s="58">
        <v>1.0</v>
      </c>
      <c r="G1009" s="58" t="s">
        <v>32</v>
      </c>
      <c r="H1009" s="33">
        <f t="shared" si="153"/>
        <v>1</v>
      </c>
      <c r="I1009" s="58" t="s">
        <v>33</v>
      </c>
      <c r="J1009" s="58" t="s">
        <v>75</v>
      </c>
      <c r="K1009" s="58">
        <v>3.0</v>
      </c>
      <c r="L1009" s="58" t="s">
        <v>3126</v>
      </c>
      <c r="M1009" s="61" t="s">
        <v>3127</v>
      </c>
      <c r="N1009" s="61" t="s">
        <v>3128</v>
      </c>
      <c r="O1009" s="83" t="str">
        <f>hyperlink("https://bad-boys.us/?q=ED-KY/5:18-cr-00040", "ED-KY 5:18-cr-00040")</f>
        <v>ED-KY 5:18-cr-00040</v>
      </c>
      <c r="P1009" s="62"/>
      <c r="Q1009" s="58">
        <v>1.0</v>
      </c>
      <c r="R1009" s="62"/>
      <c r="S1009" s="37" t="str">
        <f>IFERROR(__xludf.DUMMYFUNCTION("if(not(iserror(index(split(C1009, "" ""),2))), index(split(C1009, "" ""),1),"""")"),"April,")</f>
        <v>April,</v>
      </c>
      <c r="T1009" s="38">
        <f>IFERROR(__xludf.DUMMYFUNCTION("if(S1009="""",C1009,if(not(iserror(index(split(C1009, "" ""),3))), index(split(C1009, "" ""),3),index(split(C1009, "" ""),2)))"),2018.0)</f>
        <v>2018</v>
      </c>
      <c r="U1009" s="38" t="b">
        <f t="shared" si="154"/>
        <v>0</v>
      </c>
      <c r="V1009" s="38"/>
      <c r="W1009" s="40"/>
      <c r="X1009" s="40"/>
      <c r="Y1009" s="40"/>
      <c r="Z1009" s="38"/>
      <c r="AA1009" s="38"/>
      <c r="AB1009" s="38"/>
      <c r="AC1009" s="38"/>
      <c r="AD1009" s="38"/>
      <c r="AE1009" s="38"/>
      <c r="AF1009" s="38"/>
      <c r="AG1009" s="38"/>
      <c r="AH1009" s="38"/>
      <c r="AI1009" s="38"/>
      <c r="AJ1009" s="38"/>
      <c r="AK1009" s="38"/>
      <c r="AL1009" s="38"/>
      <c r="AM1009" s="38"/>
      <c r="AN1009" s="38"/>
      <c r="AO1009" s="38"/>
      <c r="AP1009" s="38"/>
      <c r="AQ1009" s="38"/>
      <c r="AR1009" s="38"/>
      <c r="AS1009" s="38"/>
      <c r="AT1009" s="38"/>
      <c r="AU1009" s="38"/>
      <c r="AV1009" s="38"/>
      <c r="AW1009" s="38"/>
      <c r="AX1009" s="38"/>
      <c r="AY1009" s="38"/>
      <c r="AZ1009" s="38"/>
      <c r="BA1009" s="38"/>
      <c r="BB1009" s="38"/>
      <c r="BC1009" s="38"/>
      <c r="BD1009" s="38"/>
      <c r="BE1009" s="38"/>
      <c r="BF1009" s="38"/>
      <c r="BG1009" s="38"/>
      <c r="BH1009" s="38"/>
      <c r="BI1009" s="38"/>
      <c r="BJ1009" s="38"/>
      <c r="BK1009" s="38"/>
      <c r="BL1009" s="38"/>
      <c r="BM1009" s="38"/>
      <c r="BN1009" s="38"/>
      <c r="BO1009" s="38"/>
      <c r="BP1009" s="38"/>
      <c r="BQ1009" s="38"/>
    </row>
    <row r="1010">
      <c r="A1010" s="58" t="s">
        <v>3129</v>
      </c>
      <c r="B1010" s="59">
        <v>43321.0</v>
      </c>
      <c r="C1010" s="79">
        <v>43191.0</v>
      </c>
      <c r="D1010" s="60" t="s">
        <v>1844</v>
      </c>
      <c r="E1010" s="58" t="s">
        <v>31</v>
      </c>
      <c r="F1010" s="58">
        <v>1.0</v>
      </c>
      <c r="G1010" s="58" t="s">
        <v>32</v>
      </c>
      <c r="H1010" s="33">
        <f t="shared" si="153"/>
        <v>1</v>
      </c>
      <c r="I1010" s="58" t="s">
        <v>33</v>
      </c>
      <c r="J1010" s="58" t="s">
        <v>268</v>
      </c>
      <c r="K1010" s="58">
        <v>1.0</v>
      </c>
      <c r="L1010" s="58" t="s">
        <v>52</v>
      </c>
      <c r="M1010" s="61" t="s">
        <v>3130</v>
      </c>
      <c r="N1010" s="77"/>
      <c r="O1010" s="62"/>
      <c r="P1010" s="62"/>
      <c r="Q1010" s="62"/>
      <c r="R1010" s="62"/>
      <c r="S1010" s="37" t="str">
        <f>IFERROR(__xludf.DUMMYFUNCTION("if(not(iserror(index(split(C1010, "" ""),2))), index(split(C1010, "" ""),1),"""")"),"April,")</f>
        <v>April,</v>
      </c>
      <c r="T1010" s="38">
        <f>IFERROR(__xludf.DUMMYFUNCTION("if(S1010="""",C1010,if(not(iserror(index(split(C1010, "" ""),3))), index(split(C1010, "" ""),3),index(split(C1010, "" ""),2)))"),2018.0)</f>
        <v>2018</v>
      </c>
      <c r="U1010" s="38" t="b">
        <f t="shared" si="154"/>
        <v>0</v>
      </c>
      <c r="V1010" s="38"/>
      <c r="W1010" s="40"/>
      <c r="X1010" s="40"/>
      <c r="Y1010" s="40"/>
      <c r="Z1010" s="38"/>
      <c r="AA1010" s="38"/>
      <c r="AB1010" s="38"/>
      <c r="AC1010" s="38"/>
      <c r="AD1010" s="38"/>
      <c r="AE1010" s="38"/>
      <c r="AF1010" s="38"/>
      <c r="AG1010" s="38"/>
      <c r="AH1010" s="38"/>
      <c r="AI1010" s="38"/>
      <c r="AJ1010" s="38"/>
      <c r="AK1010" s="38"/>
      <c r="AL1010" s="38"/>
      <c r="AM1010" s="38"/>
      <c r="AN1010" s="38"/>
      <c r="AO1010" s="38"/>
      <c r="AP1010" s="38"/>
      <c r="AQ1010" s="38"/>
      <c r="AR1010" s="38"/>
      <c r="AS1010" s="38"/>
      <c r="AT1010" s="38"/>
      <c r="AU1010" s="38"/>
      <c r="AV1010" s="38"/>
      <c r="AW1010" s="38"/>
      <c r="AX1010" s="38"/>
      <c r="AY1010" s="38"/>
      <c r="AZ1010" s="38"/>
      <c r="BA1010" s="38"/>
      <c r="BB1010" s="38"/>
      <c r="BC1010" s="38"/>
      <c r="BD1010" s="38"/>
      <c r="BE1010" s="38"/>
      <c r="BF1010" s="38"/>
      <c r="BG1010" s="38"/>
      <c r="BH1010" s="38"/>
      <c r="BI1010" s="38"/>
      <c r="BJ1010" s="38"/>
      <c r="BK1010" s="38"/>
      <c r="BL1010" s="38"/>
      <c r="BM1010" s="38"/>
      <c r="BN1010" s="38"/>
      <c r="BO1010" s="38"/>
      <c r="BP1010" s="38"/>
      <c r="BQ1010" s="38"/>
    </row>
    <row r="1011">
      <c r="A1011" s="58" t="s">
        <v>3131</v>
      </c>
      <c r="B1011" s="59">
        <v>43332.0</v>
      </c>
      <c r="C1011" s="79">
        <v>43191.0</v>
      </c>
      <c r="D1011" s="60" t="s">
        <v>1838</v>
      </c>
      <c r="E1011" s="58" t="s">
        <v>41</v>
      </c>
      <c r="F1011" s="58">
        <v>1.0</v>
      </c>
      <c r="G1011" s="58" t="s">
        <v>32</v>
      </c>
      <c r="H1011" s="33">
        <f t="shared" si="153"/>
        <v>1</v>
      </c>
      <c r="I1011" s="58" t="s">
        <v>33</v>
      </c>
      <c r="J1011" s="58" t="s">
        <v>115</v>
      </c>
      <c r="K1011" s="58">
        <v>3.0</v>
      </c>
      <c r="L1011" s="58" t="s">
        <v>119</v>
      </c>
      <c r="M1011" s="61" t="s">
        <v>3132</v>
      </c>
      <c r="N1011" s="77"/>
      <c r="O1011" s="83" t="str">
        <f>hyperlink("https://bad-boys.us/?q=WD-PA/3:18-cr-00008", "WD-PA 3:18-cr-00008")</f>
        <v>WD-PA 3:18-cr-00008</v>
      </c>
      <c r="P1011" s="88" t="s">
        <v>3133</v>
      </c>
      <c r="Q1011" s="84">
        <v>1.0</v>
      </c>
      <c r="R1011" s="62"/>
      <c r="S1011" s="37" t="str">
        <f>IFERROR(__xludf.DUMMYFUNCTION("if(not(iserror(index(split(C1011, "" ""),2))), index(split(C1011, "" ""),1),"""")"),"April,")</f>
        <v>April,</v>
      </c>
      <c r="T1011" s="38">
        <f>IFERROR(__xludf.DUMMYFUNCTION("if(S1011="""",C1011,if(not(iserror(index(split(C1011, "" ""),3))), index(split(C1011, "" ""),3),index(split(C1011, "" ""),2)))"),2018.0)</f>
        <v>2018</v>
      </c>
      <c r="U1011" s="38" t="b">
        <f t="shared" si="154"/>
        <v>0</v>
      </c>
      <c r="V1011" s="38"/>
      <c r="W1011" s="40"/>
      <c r="X1011" s="40"/>
      <c r="Y1011" s="40"/>
      <c r="Z1011" s="38"/>
      <c r="AA1011" s="38"/>
      <c r="AB1011" s="38"/>
      <c r="AC1011" s="38"/>
      <c r="AD1011" s="38"/>
      <c r="AE1011" s="38"/>
      <c r="AF1011" s="38"/>
      <c r="AG1011" s="38"/>
      <c r="AH1011" s="38"/>
      <c r="AI1011" s="38"/>
      <c r="AJ1011" s="38"/>
      <c r="AK1011" s="38"/>
      <c r="AL1011" s="38"/>
      <c r="AM1011" s="38"/>
      <c r="AN1011" s="38"/>
      <c r="AO1011" s="38"/>
      <c r="AP1011" s="38"/>
      <c r="AQ1011" s="38"/>
      <c r="AR1011" s="38"/>
      <c r="AS1011" s="38"/>
      <c r="AT1011" s="38"/>
      <c r="AU1011" s="38"/>
      <c r="AV1011" s="38"/>
      <c r="AW1011" s="38"/>
      <c r="AX1011" s="38"/>
      <c r="AY1011" s="38"/>
      <c r="AZ1011" s="38"/>
      <c r="BA1011" s="38"/>
      <c r="BB1011" s="38"/>
      <c r="BC1011" s="38"/>
      <c r="BD1011" s="38"/>
      <c r="BE1011" s="38"/>
      <c r="BF1011" s="38"/>
      <c r="BG1011" s="38"/>
      <c r="BH1011" s="38"/>
      <c r="BI1011" s="38"/>
      <c r="BJ1011" s="38"/>
      <c r="BK1011" s="38"/>
      <c r="BL1011" s="38"/>
      <c r="BM1011" s="38"/>
      <c r="BN1011" s="38"/>
      <c r="BO1011" s="38"/>
      <c r="BP1011" s="38"/>
      <c r="BQ1011" s="38"/>
    </row>
    <row r="1012">
      <c r="A1012" s="87" t="s">
        <v>2863</v>
      </c>
      <c r="B1012" s="30">
        <v>43335.0</v>
      </c>
      <c r="C1012" s="31">
        <v>43191.0</v>
      </c>
      <c r="D1012" s="32" t="s">
        <v>1844</v>
      </c>
      <c r="E1012" s="13" t="s">
        <v>41</v>
      </c>
      <c r="F1012" s="13">
        <v>1.0</v>
      </c>
      <c r="G1012" s="13">
        <v>1.0</v>
      </c>
      <c r="H1012" s="33">
        <f t="shared" si="153"/>
        <v>1</v>
      </c>
      <c r="I1012" s="13" t="s">
        <v>33</v>
      </c>
      <c r="J1012" s="13" t="s">
        <v>268</v>
      </c>
      <c r="K1012" s="13">
        <v>2.0</v>
      </c>
      <c r="L1012" s="34" t="s">
        <v>1208</v>
      </c>
      <c r="M1012" s="46" t="s">
        <v>3134</v>
      </c>
      <c r="N1012" s="106"/>
      <c r="O1012" s="16"/>
      <c r="P1012" s="16"/>
      <c r="Q1012" s="37"/>
      <c r="R1012" s="37"/>
      <c r="S1012" s="37" t="str">
        <f>IFERROR(__xludf.DUMMYFUNCTION("if(not(iserror(index(split(C1012, "" ""),2))), index(split(C1012, "" ""),1),"""")"),"April,")</f>
        <v>April,</v>
      </c>
      <c r="T1012" s="38">
        <f>IFERROR(__xludf.DUMMYFUNCTION("if(S1012="""",C1012,if(not(iserror(index(split(C1012, "" ""),3))), index(split(C1012, "" ""),3),index(split(C1012, "" ""),2)))"),2018.0)</f>
        <v>2018</v>
      </c>
      <c r="U1012" s="38" t="b">
        <f t="shared" si="154"/>
        <v>1</v>
      </c>
      <c r="V1012" s="38"/>
      <c r="W1012" s="40"/>
      <c r="X1012" s="40"/>
      <c r="Y1012" s="40"/>
      <c r="Z1012" s="38"/>
      <c r="AA1012" s="38"/>
      <c r="AB1012" s="38"/>
      <c r="AC1012" s="38"/>
      <c r="AD1012" s="38"/>
      <c r="AE1012" s="38"/>
      <c r="AF1012" s="38"/>
      <c r="AG1012" s="38"/>
      <c r="AH1012" s="38"/>
      <c r="AI1012" s="38"/>
      <c r="AJ1012" s="38"/>
      <c r="AK1012" s="38"/>
      <c r="AL1012" s="38"/>
      <c r="AM1012" s="38"/>
      <c r="AN1012" s="38"/>
      <c r="AO1012" s="38"/>
      <c r="AP1012" s="38"/>
      <c r="AQ1012" s="38"/>
      <c r="AR1012" s="38"/>
      <c r="AS1012" s="38"/>
      <c r="AT1012" s="38"/>
      <c r="AU1012" s="38"/>
      <c r="AV1012" s="38"/>
      <c r="AW1012" s="38"/>
      <c r="AX1012" s="38"/>
      <c r="AY1012" s="38"/>
      <c r="AZ1012" s="38"/>
      <c r="BA1012" s="38"/>
      <c r="BB1012" s="38"/>
      <c r="BC1012" s="38"/>
      <c r="BD1012" s="38"/>
      <c r="BE1012" s="38"/>
      <c r="BF1012" s="38"/>
      <c r="BG1012" s="38"/>
      <c r="BH1012" s="38"/>
      <c r="BI1012" s="38"/>
      <c r="BJ1012" s="38"/>
      <c r="BK1012" s="38"/>
      <c r="BL1012" s="38"/>
      <c r="BM1012" s="38"/>
      <c r="BN1012" s="38"/>
      <c r="BO1012" s="38"/>
      <c r="BP1012" s="38"/>
      <c r="BQ1012" s="38"/>
    </row>
    <row r="1013">
      <c r="A1013" s="152" t="s">
        <v>3135</v>
      </c>
      <c r="B1013" s="153">
        <v>43357.0</v>
      </c>
      <c r="C1013" s="161">
        <v>43191.0</v>
      </c>
      <c r="D1013" s="154" t="s">
        <v>1844</v>
      </c>
      <c r="E1013" s="155" t="s">
        <v>41</v>
      </c>
      <c r="F1013" s="152">
        <v>1.0</v>
      </c>
      <c r="G1013" s="152" t="s">
        <v>32</v>
      </c>
      <c r="H1013" s="33">
        <f t="shared" si="153"/>
        <v>1</v>
      </c>
      <c r="I1013" s="152" t="s">
        <v>33</v>
      </c>
      <c r="J1013" s="152" t="s">
        <v>440</v>
      </c>
      <c r="K1013" s="152">
        <v>3.0</v>
      </c>
      <c r="L1013" s="152" t="s">
        <v>119</v>
      </c>
      <c r="M1013" s="156" t="s">
        <v>3136</v>
      </c>
      <c r="N1013" s="163"/>
      <c r="O1013" s="58"/>
      <c r="P1013" s="58"/>
      <c r="Q1013" s="84"/>
      <c r="R1013" s="62"/>
      <c r="S1013" s="37" t="str">
        <f>IFERROR(__xludf.DUMMYFUNCTION("if(not(iserror(index(split(C1013, "" ""),2))), index(split(C1013, "" ""),1),"""")"),"April,")</f>
        <v>April,</v>
      </c>
      <c r="T1013" s="38">
        <f>IFERROR(__xludf.DUMMYFUNCTION("if(S1013="""",C1013,if(not(iserror(index(split(C1013, "" ""),3))), index(split(C1013, "" ""),3),index(split(C1013, "" ""),2)))"),2018.0)</f>
        <v>2018</v>
      </c>
      <c r="U1013" s="38" t="b">
        <f t="shared" si="154"/>
        <v>0</v>
      </c>
      <c r="V1013" s="38"/>
      <c r="W1013" s="40"/>
      <c r="X1013" s="40"/>
      <c r="Y1013" s="40"/>
      <c r="Z1013" s="38"/>
      <c r="AA1013" s="38"/>
      <c r="AB1013" s="38"/>
      <c r="AC1013" s="38"/>
      <c r="AD1013" s="38"/>
      <c r="AE1013" s="38"/>
      <c r="AF1013" s="38"/>
      <c r="AG1013" s="38"/>
      <c r="AH1013" s="38"/>
      <c r="AI1013" s="38"/>
      <c r="AJ1013" s="38"/>
      <c r="AK1013" s="38"/>
      <c r="AL1013" s="38"/>
      <c r="AM1013" s="38"/>
      <c r="AN1013" s="38"/>
      <c r="AO1013" s="38"/>
      <c r="AP1013" s="38"/>
      <c r="AQ1013" s="38"/>
      <c r="AR1013" s="38"/>
      <c r="AS1013" s="38"/>
      <c r="AT1013" s="38"/>
      <c r="AU1013" s="38"/>
      <c r="AV1013" s="38"/>
      <c r="AW1013" s="38"/>
      <c r="AX1013" s="38"/>
      <c r="AY1013" s="38"/>
      <c r="AZ1013" s="38"/>
      <c r="BA1013" s="38"/>
      <c r="BB1013" s="38"/>
      <c r="BC1013" s="38"/>
      <c r="BD1013" s="38"/>
      <c r="BE1013" s="38"/>
      <c r="BF1013" s="38"/>
      <c r="BG1013" s="38"/>
      <c r="BH1013" s="38"/>
      <c r="BI1013" s="38"/>
      <c r="BJ1013" s="38"/>
      <c r="BK1013" s="38"/>
      <c r="BL1013" s="38"/>
      <c r="BM1013" s="38"/>
      <c r="BN1013" s="38"/>
      <c r="BO1013" s="38"/>
      <c r="BP1013" s="38"/>
      <c r="BQ1013" s="38"/>
    </row>
    <row r="1014">
      <c r="A1014" s="58" t="s">
        <v>3137</v>
      </c>
      <c r="B1014" s="59">
        <v>43363.0</v>
      </c>
      <c r="C1014" s="79">
        <v>43191.0</v>
      </c>
      <c r="D1014" s="60" t="s">
        <v>1844</v>
      </c>
      <c r="E1014" s="58" t="s">
        <v>31</v>
      </c>
      <c r="F1014" s="58">
        <v>1.0</v>
      </c>
      <c r="G1014" s="58" t="s">
        <v>32</v>
      </c>
      <c r="H1014" s="33">
        <f t="shared" si="153"/>
        <v>1</v>
      </c>
      <c r="I1014" s="58" t="s">
        <v>33</v>
      </c>
      <c r="J1014" s="58" t="s">
        <v>111</v>
      </c>
      <c r="K1014" s="58">
        <v>1.0</v>
      </c>
      <c r="L1014" s="58" t="s">
        <v>1163</v>
      </c>
      <c r="M1014" s="61" t="s">
        <v>3138</v>
      </c>
      <c r="N1014" s="77"/>
      <c r="O1014" s="58"/>
      <c r="P1014" s="58"/>
      <c r="Q1014" s="84"/>
      <c r="R1014" s="62"/>
      <c r="S1014" s="37" t="str">
        <f>IFERROR(__xludf.DUMMYFUNCTION("if(not(iserror(index(split(C1014, "" ""),2))), index(split(C1014, "" ""),1),"""")"),"April,")</f>
        <v>April,</v>
      </c>
      <c r="T1014" s="38">
        <f>IFERROR(__xludf.DUMMYFUNCTION("if(S1014="""",C1014,if(not(iserror(index(split(C1014, "" ""),3))), index(split(C1014, "" ""),3),index(split(C1014, "" ""),2)))"),2018.0)</f>
        <v>2018</v>
      </c>
      <c r="U1014" s="38" t="b">
        <f t="shared" si="154"/>
        <v>0</v>
      </c>
      <c r="V1014" s="38"/>
      <c r="W1014" s="40"/>
      <c r="X1014" s="40"/>
      <c r="Y1014" s="40"/>
      <c r="Z1014" s="38"/>
      <c r="AA1014" s="38"/>
      <c r="AB1014" s="38"/>
      <c r="AC1014" s="38"/>
      <c r="AD1014" s="38"/>
      <c r="AE1014" s="38"/>
      <c r="AF1014" s="38"/>
      <c r="AG1014" s="38"/>
      <c r="AH1014" s="38"/>
      <c r="AI1014" s="38"/>
      <c r="AJ1014" s="38"/>
      <c r="AK1014" s="38"/>
      <c r="AL1014" s="38"/>
      <c r="AM1014" s="38"/>
      <c r="AN1014" s="38"/>
      <c r="AO1014" s="38"/>
      <c r="AP1014" s="38"/>
      <c r="AQ1014" s="38"/>
      <c r="AR1014" s="38"/>
      <c r="AS1014" s="38"/>
      <c r="AT1014" s="38"/>
      <c r="AU1014" s="38"/>
      <c r="AV1014" s="38"/>
      <c r="AW1014" s="38"/>
      <c r="AX1014" s="38"/>
      <c r="AY1014" s="38"/>
      <c r="AZ1014" s="38"/>
      <c r="BA1014" s="38"/>
      <c r="BB1014" s="38"/>
      <c r="BC1014" s="38"/>
      <c r="BD1014" s="38"/>
      <c r="BE1014" s="38"/>
      <c r="BF1014" s="38"/>
      <c r="BG1014" s="38"/>
      <c r="BH1014" s="38"/>
      <c r="BI1014" s="38"/>
      <c r="BJ1014" s="38"/>
      <c r="BK1014" s="38"/>
      <c r="BL1014" s="38"/>
      <c r="BM1014" s="38"/>
      <c r="BN1014" s="38"/>
      <c r="BO1014" s="38"/>
      <c r="BP1014" s="38"/>
      <c r="BQ1014" s="38"/>
    </row>
    <row r="1015">
      <c r="A1015" s="58" t="s">
        <v>3139</v>
      </c>
      <c r="B1015" s="59">
        <v>43364.0</v>
      </c>
      <c r="C1015" s="79">
        <v>43191.0</v>
      </c>
      <c r="D1015" s="60" t="s">
        <v>1844</v>
      </c>
      <c r="E1015" s="58" t="s">
        <v>31</v>
      </c>
      <c r="F1015" s="58">
        <v>1.0</v>
      </c>
      <c r="G1015" s="58" t="s">
        <v>32</v>
      </c>
      <c r="H1015" s="33">
        <f t="shared" si="153"/>
        <v>1</v>
      </c>
      <c r="I1015" s="58" t="s">
        <v>33</v>
      </c>
      <c r="J1015" s="58" t="s">
        <v>93</v>
      </c>
      <c r="K1015" s="58">
        <v>3.0</v>
      </c>
      <c r="L1015" s="58" t="s">
        <v>119</v>
      </c>
      <c r="M1015" s="80" t="s">
        <v>3140</v>
      </c>
      <c r="N1015" s="46" t="s">
        <v>3141</v>
      </c>
      <c r="O1015" s="88" t="str">
        <f>hyperlink("https://bad-boys.us/?q=ND-NY/1:18-cr-00281", "ND-NY 1:18-cr-00281")</f>
        <v>ND-NY 1:18-cr-00281</v>
      </c>
      <c r="P1015" s="88" t="s">
        <v>3142</v>
      </c>
      <c r="Q1015" s="84">
        <v>1.0</v>
      </c>
      <c r="R1015" s="62"/>
      <c r="S1015" s="37" t="str">
        <f>IFERROR(__xludf.DUMMYFUNCTION("if(not(iserror(index(split(C1015, "" ""),2))), index(split(C1015, "" ""),1),"""")"),"April,")</f>
        <v>April,</v>
      </c>
      <c r="T1015" s="38">
        <f>IFERROR(__xludf.DUMMYFUNCTION("if(S1015="""",C1015,if(not(iserror(index(split(C1015, "" ""),3))), index(split(C1015, "" ""),3),index(split(C1015, "" ""),2)))"),2018.0)</f>
        <v>2018</v>
      </c>
      <c r="U1015" s="38" t="b">
        <f t="shared" si="154"/>
        <v>0</v>
      </c>
      <c r="V1015" s="38" t="s">
        <v>33</v>
      </c>
      <c r="W1015" s="46" t="s">
        <v>3143</v>
      </c>
      <c r="X1015" s="46" t="s">
        <v>3144</v>
      </c>
      <c r="Y1015" s="40"/>
      <c r="Z1015" s="38"/>
      <c r="AA1015" s="38"/>
      <c r="AB1015" s="38"/>
      <c r="AC1015" s="38"/>
      <c r="AD1015" s="38"/>
      <c r="AE1015" s="38"/>
      <c r="AF1015" s="38"/>
      <c r="AG1015" s="38"/>
      <c r="AH1015" s="38"/>
      <c r="AI1015" s="38"/>
      <c r="AJ1015" s="38"/>
      <c r="AK1015" s="38"/>
      <c r="AL1015" s="38"/>
      <c r="AM1015" s="38"/>
      <c r="AN1015" s="38"/>
      <c r="AO1015" s="38"/>
      <c r="AP1015" s="38"/>
      <c r="AQ1015" s="38"/>
      <c r="AR1015" s="38"/>
      <c r="AS1015" s="38"/>
      <c r="AT1015" s="38"/>
      <c r="AU1015" s="38"/>
      <c r="AV1015" s="38"/>
      <c r="AW1015" s="38"/>
      <c r="AX1015" s="38"/>
      <c r="AY1015" s="38"/>
      <c r="AZ1015" s="38"/>
      <c r="BA1015" s="38"/>
      <c r="BB1015" s="38"/>
      <c r="BC1015" s="38"/>
      <c r="BD1015" s="38"/>
      <c r="BE1015" s="38"/>
      <c r="BF1015" s="38"/>
      <c r="BG1015" s="38"/>
      <c r="BH1015" s="38"/>
      <c r="BI1015" s="38"/>
      <c r="BJ1015" s="38"/>
      <c r="BK1015" s="38"/>
      <c r="BL1015" s="38"/>
      <c r="BM1015" s="38"/>
      <c r="BN1015" s="38"/>
      <c r="BO1015" s="38"/>
      <c r="BP1015" s="38"/>
      <c r="BQ1015" s="38"/>
    </row>
    <row r="1016">
      <c r="A1016" s="58" t="s">
        <v>3145</v>
      </c>
      <c r="B1016" s="59">
        <v>43413.0</v>
      </c>
      <c r="C1016" s="79">
        <v>43191.0</v>
      </c>
      <c r="D1016" s="60" t="s">
        <v>3146</v>
      </c>
      <c r="E1016" s="58" t="s">
        <v>31</v>
      </c>
      <c r="F1016" s="58">
        <v>1.0</v>
      </c>
      <c r="G1016" s="58" t="s">
        <v>32</v>
      </c>
      <c r="H1016" s="33">
        <f t="shared" si="153"/>
        <v>1</v>
      </c>
      <c r="I1016" s="58" t="s">
        <v>33</v>
      </c>
      <c r="J1016" s="58" t="s">
        <v>93</v>
      </c>
      <c r="K1016" s="58">
        <v>2.0</v>
      </c>
      <c r="L1016" s="58" t="s">
        <v>69</v>
      </c>
      <c r="M1016" s="80" t="s">
        <v>3147</v>
      </c>
      <c r="N1016" s="46" t="s">
        <v>3141</v>
      </c>
      <c r="O1016" s="88" t="str">
        <f>hyperlink("https://bad-boys.us/?q=ND-NY/1:18-cr-00301", "ND-NY 1:18-cr-00301")</f>
        <v>ND-NY 1:18-cr-00301</v>
      </c>
      <c r="P1016" s="88" t="s">
        <v>3148</v>
      </c>
      <c r="Q1016" s="84">
        <v>1.0</v>
      </c>
      <c r="R1016" s="62"/>
      <c r="S1016" s="37" t="str">
        <f>IFERROR(__xludf.DUMMYFUNCTION("if(not(iserror(index(split(C1016, "" ""),2))), index(split(C1016, "" ""),1),"""")"),"April,")</f>
        <v>April,</v>
      </c>
      <c r="T1016" s="38">
        <f>IFERROR(__xludf.DUMMYFUNCTION("if(S1016="""",C1016,if(not(iserror(index(split(C1016, "" ""),3))), index(split(C1016, "" ""),3),index(split(C1016, "" ""),2)))"),2018.0)</f>
        <v>2018</v>
      </c>
      <c r="U1016" s="38" t="b">
        <f t="shared" si="154"/>
        <v>0</v>
      </c>
      <c r="V1016" s="38" t="s">
        <v>33</v>
      </c>
      <c r="W1016" s="46" t="s">
        <v>3143</v>
      </c>
      <c r="X1016" s="46" t="s">
        <v>3149</v>
      </c>
      <c r="Y1016" s="40"/>
      <c r="Z1016" s="38"/>
      <c r="AA1016" s="38"/>
      <c r="AB1016" s="38"/>
      <c r="AC1016" s="38"/>
      <c r="AD1016" s="38"/>
      <c r="AE1016" s="38"/>
      <c r="AF1016" s="38"/>
      <c r="AG1016" s="38"/>
      <c r="AH1016" s="38"/>
      <c r="AI1016" s="38"/>
      <c r="AJ1016" s="38"/>
      <c r="AK1016" s="38"/>
      <c r="AL1016" s="38"/>
      <c r="AM1016" s="38"/>
      <c r="AN1016" s="38"/>
      <c r="AO1016" s="38"/>
      <c r="AP1016" s="38"/>
      <c r="AQ1016" s="38"/>
      <c r="AR1016" s="38"/>
      <c r="AS1016" s="38"/>
      <c r="AT1016" s="38"/>
      <c r="AU1016" s="38"/>
      <c r="AV1016" s="38"/>
      <c r="AW1016" s="38"/>
      <c r="AX1016" s="38"/>
      <c r="AY1016" s="38"/>
      <c r="AZ1016" s="38"/>
      <c r="BA1016" s="38"/>
      <c r="BB1016" s="38"/>
      <c r="BC1016" s="38"/>
      <c r="BD1016" s="38"/>
      <c r="BE1016" s="38"/>
      <c r="BF1016" s="38"/>
      <c r="BG1016" s="38"/>
      <c r="BH1016" s="38"/>
      <c r="BI1016" s="38"/>
      <c r="BJ1016" s="38"/>
      <c r="BK1016" s="38"/>
      <c r="BL1016" s="38"/>
      <c r="BM1016" s="38"/>
      <c r="BN1016" s="38"/>
      <c r="BO1016" s="38"/>
      <c r="BP1016" s="38"/>
      <c r="BQ1016" s="38"/>
    </row>
    <row r="1017">
      <c r="A1017" s="58" t="s">
        <v>3150</v>
      </c>
      <c r="B1017" s="59">
        <v>43370.0</v>
      </c>
      <c r="C1017" s="79">
        <v>43191.0</v>
      </c>
      <c r="D1017" s="60" t="s">
        <v>1844</v>
      </c>
      <c r="E1017" s="58" t="s">
        <v>41</v>
      </c>
      <c r="F1017" s="58">
        <v>1.0</v>
      </c>
      <c r="G1017" s="58" t="s">
        <v>32</v>
      </c>
      <c r="H1017" s="33">
        <f t="shared" si="153"/>
        <v>1</v>
      </c>
      <c r="I1017" s="58" t="s">
        <v>33</v>
      </c>
      <c r="J1017" s="58" t="s">
        <v>89</v>
      </c>
      <c r="K1017" s="58">
        <v>2.0</v>
      </c>
      <c r="L1017" s="58" t="s">
        <v>119</v>
      </c>
      <c r="M1017" s="61" t="s">
        <v>3151</v>
      </c>
      <c r="N1017" s="77"/>
      <c r="O1017" s="62"/>
      <c r="P1017" s="62"/>
      <c r="Q1017" s="62"/>
      <c r="R1017" s="62"/>
      <c r="S1017" s="37" t="str">
        <f>IFERROR(__xludf.DUMMYFUNCTION("if(not(iserror(index(split(C1017, "" ""),2))), index(split(C1017, "" ""),1),"""")"),"April,")</f>
        <v>April,</v>
      </c>
      <c r="T1017" s="38">
        <f>IFERROR(__xludf.DUMMYFUNCTION("if(S1017="""",C1017,if(not(iserror(index(split(C1017, "" ""),3))), index(split(C1017, "" ""),3),index(split(C1017, "" ""),2)))"),2018.0)</f>
        <v>2018</v>
      </c>
      <c r="U1017" s="38" t="b">
        <f t="shared" si="154"/>
        <v>0</v>
      </c>
      <c r="V1017" s="38"/>
      <c r="W1017" s="40"/>
      <c r="X1017" s="40"/>
      <c r="Y1017" s="40"/>
      <c r="Z1017" s="38"/>
      <c r="AA1017" s="38"/>
      <c r="AB1017" s="38"/>
      <c r="AC1017" s="38"/>
      <c r="AD1017" s="38"/>
      <c r="AE1017" s="38"/>
      <c r="AF1017" s="38"/>
      <c r="AG1017" s="38"/>
      <c r="AH1017" s="38"/>
      <c r="AI1017" s="38"/>
      <c r="AJ1017" s="38"/>
      <c r="AK1017" s="38"/>
      <c r="AL1017" s="38"/>
      <c r="AM1017" s="38"/>
      <c r="AN1017" s="38"/>
      <c r="AO1017" s="38"/>
      <c r="AP1017" s="38"/>
      <c r="AQ1017" s="38"/>
      <c r="AR1017" s="38"/>
      <c r="AS1017" s="38"/>
      <c r="AT1017" s="38"/>
      <c r="AU1017" s="38"/>
      <c r="AV1017" s="38"/>
      <c r="AW1017" s="38"/>
      <c r="AX1017" s="38"/>
      <c r="AY1017" s="38"/>
      <c r="AZ1017" s="38"/>
      <c r="BA1017" s="38"/>
      <c r="BB1017" s="38"/>
      <c r="BC1017" s="38"/>
      <c r="BD1017" s="38"/>
      <c r="BE1017" s="38"/>
      <c r="BF1017" s="38"/>
      <c r="BG1017" s="38"/>
      <c r="BH1017" s="38"/>
      <c r="BI1017" s="38"/>
      <c r="BJ1017" s="38"/>
      <c r="BK1017" s="38"/>
      <c r="BL1017" s="38"/>
      <c r="BM1017" s="38"/>
      <c r="BN1017" s="38"/>
      <c r="BO1017" s="38"/>
      <c r="BP1017" s="38"/>
      <c r="BQ1017" s="38"/>
    </row>
    <row r="1018">
      <c r="A1018" s="152" t="s">
        <v>3152</v>
      </c>
      <c r="B1018" s="153">
        <v>43371.0</v>
      </c>
      <c r="C1018" s="161">
        <v>43191.0</v>
      </c>
      <c r="D1018" s="154" t="s">
        <v>1844</v>
      </c>
      <c r="E1018" s="155" t="s">
        <v>41</v>
      </c>
      <c r="F1018" s="152">
        <v>1.0</v>
      </c>
      <c r="G1018" s="152" t="s">
        <v>32</v>
      </c>
      <c r="H1018" s="33">
        <f t="shared" si="153"/>
        <v>1</v>
      </c>
      <c r="I1018" s="152" t="s">
        <v>33</v>
      </c>
      <c r="J1018" s="152" t="s">
        <v>410</v>
      </c>
      <c r="K1018" s="152">
        <v>5.0</v>
      </c>
      <c r="L1018" s="152" t="s">
        <v>69</v>
      </c>
      <c r="M1018" s="156" t="s">
        <v>3153</v>
      </c>
      <c r="N1018" s="158" t="s">
        <v>3154</v>
      </c>
      <c r="O1018" s="88" t="str">
        <f>hyperlink("https://bad-boys.us/?q=D-MA/3:18-cr-30056", "D-MA 3:18-cr-30056")</f>
        <v>D-MA 3:18-cr-30056</v>
      </c>
      <c r="P1018" s="88" t="s">
        <v>3155</v>
      </c>
      <c r="Q1018" s="84">
        <v>1.0</v>
      </c>
      <c r="R1018" s="62"/>
      <c r="S1018" s="37" t="str">
        <f>IFERROR(__xludf.DUMMYFUNCTION("if(not(iserror(index(split(C1018, "" ""),2))), index(split(C1018, "" ""),1),"""")"),"April,")</f>
        <v>April,</v>
      </c>
      <c r="T1018" s="38">
        <f>IFERROR(__xludf.DUMMYFUNCTION("if(S1018="""",C1018,if(not(iserror(index(split(C1018, "" ""),3))), index(split(C1018, "" ""),3),index(split(C1018, "" ""),2)))"),2018.0)</f>
        <v>2018</v>
      </c>
      <c r="U1018" s="38" t="b">
        <f t="shared" si="154"/>
        <v>0</v>
      </c>
      <c r="V1018" s="38"/>
      <c r="W1018" s="40"/>
      <c r="X1018" s="40"/>
      <c r="Y1018" s="40"/>
      <c r="Z1018" s="38"/>
      <c r="AA1018" s="38"/>
      <c r="AB1018" s="38"/>
      <c r="AC1018" s="38"/>
      <c r="AD1018" s="38"/>
      <c r="AE1018" s="38"/>
      <c r="AF1018" s="38"/>
      <c r="AG1018" s="38"/>
      <c r="AH1018" s="38"/>
      <c r="AI1018" s="38"/>
      <c r="AJ1018" s="38"/>
      <c r="AK1018" s="38"/>
      <c r="AL1018" s="38"/>
      <c r="AM1018" s="38"/>
      <c r="AN1018" s="38"/>
      <c r="AO1018" s="38"/>
      <c r="AP1018" s="38"/>
      <c r="AQ1018" s="38"/>
      <c r="AR1018" s="38"/>
      <c r="AS1018" s="38"/>
      <c r="AT1018" s="38"/>
      <c r="AU1018" s="38"/>
      <c r="AV1018" s="38"/>
      <c r="AW1018" s="38"/>
      <c r="AX1018" s="38"/>
      <c r="AY1018" s="38"/>
      <c r="AZ1018" s="38"/>
      <c r="BA1018" s="38"/>
      <c r="BB1018" s="38"/>
      <c r="BC1018" s="38"/>
      <c r="BD1018" s="38"/>
      <c r="BE1018" s="38"/>
      <c r="BF1018" s="38"/>
      <c r="BG1018" s="38"/>
      <c r="BH1018" s="38"/>
      <c r="BI1018" s="38"/>
      <c r="BJ1018" s="38"/>
      <c r="BK1018" s="38"/>
      <c r="BL1018" s="38"/>
      <c r="BM1018" s="38"/>
      <c r="BN1018" s="38"/>
      <c r="BO1018" s="38"/>
      <c r="BP1018" s="38"/>
      <c r="BQ1018" s="38"/>
    </row>
    <row r="1019">
      <c r="A1019" s="58" t="s">
        <v>3156</v>
      </c>
      <c r="B1019" s="59">
        <v>43385.0</v>
      </c>
      <c r="C1019" s="79">
        <v>43191.0</v>
      </c>
      <c r="D1019" s="60" t="s">
        <v>1844</v>
      </c>
      <c r="E1019" s="58" t="s">
        <v>41</v>
      </c>
      <c r="F1019" s="58">
        <v>1.0</v>
      </c>
      <c r="G1019" s="58" t="s">
        <v>32</v>
      </c>
      <c r="H1019" s="50">
        <v>1.0</v>
      </c>
      <c r="I1019" s="58" t="s">
        <v>33</v>
      </c>
      <c r="J1019" s="58" t="s">
        <v>343</v>
      </c>
      <c r="K1019" s="58">
        <v>1.0</v>
      </c>
      <c r="L1019" s="58" t="s">
        <v>119</v>
      </c>
      <c r="M1019" s="80" t="s">
        <v>3157</v>
      </c>
      <c r="N1019" s="77"/>
      <c r="O1019" s="83" t="str">
        <f>hyperlink("https://bad-boys.us/?q=ND-WV/1:18-cr-00033", "ND-WV 1:18-cr-00033")</f>
        <v>ND-WV 1:18-cr-00033</v>
      </c>
      <c r="P1019" s="88" t="s">
        <v>3158</v>
      </c>
      <c r="Q1019" s="58">
        <v>1.0</v>
      </c>
      <c r="R1019" s="62"/>
      <c r="S1019" s="37" t="str">
        <f>IFERROR(__xludf.DUMMYFUNCTION("if(not(iserror(index(split(C1019, "" ""),2))), index(split(C1019, "" ""),1),"""")"),"April,")</f>
        <v>April,</v>
      </c>
      <c r="T1019" s="38">
        <f>IFERROR(__xludf.DUMMYFUNCTION("if(S1019="""",C1019,if(not(iserror(index(split(C1019, "" ""),3))), index(split(C1019, "" ""),3),index(split(C1019, "" ""),2)))"),2018.0)</f>
        <v>2018</v>
      </c>
      <c r="U1019" s="38" t="b">
        <f t="shared" si="154"/>
        <v>0</v>
      </c>
      <c r="V1019" s="38"/>
      <c r="W1019" s="40"/>
      <c r="X1019" s="40"/>
      <c r="Y1019" s="40"/>
      <c r="Z1019" s="38"/>
      <c r="AA1019" s="38"/>
      <c r="AB1019" s="38"/>
      <c r="AC1019" s="38"/>
      <c r="AD1019" s="38"/>
      <c r="AE1019" s="38"/>
      <c r="AF1019" s="38"/>
      <c r="AG1019" s="38"/>
      <c r="AH1019" s="38"/>
      <c r="AI1019" s="38"/>
      <c r="AJ1019" s="38"/>
      <c r="AK1019" s="38"/>
      <c r="AL1019" s="38"/>
      <c r="AM1019" s="38"/>
      <c r="AN1019" s="38"/>
      <c r="AO1019" s="38"/>
      <c r="AP1019" s="38"/>
      <c r="AQ1019" s="38"/>
      <c r="AR1019" s="38"/>
      <c r="AS1019" s="38"/>
      <c r="AT1019" s="38"/>
      <c r="AU1019" s="38"/>
      <c r="AV1019" s="38"/>
      <c r="AW1019" s="38"/>
      <c r="AX1019" s="38"/>
      <c r="AY1019" s="38"/>
      <c r="AZ1019" s="38"/>
      <c r="BA1019" s="38"/>
      <c r="BB1019" s="38"/>
      <c r="BC1019" s="38"/>
      <c r="BD1019" s="38"/>
      <c r="BE1019" s="38"/>
      <c r="BF1019" s="38"/>
      <c r="BG1019" s="38"/>
      <c r="BH1019" s="38"/>
      <c r="BI1019" s="38"/>
      <c r="BJ1019" s="38"/>
      <c r="BK1019" s="38"/>
      <c r="BL1019" s="38"/>
      <c r="BM1019" s="38"/>
      <c r="BN1019" s="38"/>
      <c r="BO1019" s="38"/>
      <c r="BP1019" s="38"/>
      <c r="BQ1019" s="38"/>
    </row>
    <row r="1020">
      <c r="A1020" s="58" t="s">
        <v>3159</v>
      </c>
      <c r="B1020" s="59">
        <v>43396.0</v>
      </c>
      <c r="C1020" s="79">
        <v>43191.0</v>
      </c>
      <c r="D1020" s="60" t="s">
        <v>2163</v>
      </c>
      <c r="E1020" s="58" t="s">
        <v>41</v>
      </c>
      <c r="F1020" s="58">
        <v>1.0</v>
      </c>
      <c r="G1020" s="58" t="s">
        <v>32</v>
      </c>
      <c r="H1020" s="33">
        <f t="shared" ref="H1020:H1025" si="155">if(G1020="Unknown",1,G1020)</f>
        <v>1</v>
      </c>
      <c r="I1020" s="58" t="s">
        <v>33</v>
      </c>
      <c r="J1020" s="58" t="s">
        <v>514</v>
      </c>
      <c r="K1020" s="58">
        <v>1.0</v>
      </c>
      <c r="L1020" s="58" t="s">
        <v>119</v>
      </c>
      <c r="M1020" s="61" t="s">
        <v>3160</v>
      </c>
      <c r="N1020" s="80"/>
      <c r="O1020" s="88" t="str">
        <f>hyperlink("https://bad-boys.us/?q=WD-AR/2:18-cr-20007", "WD-AR 2:18-cr-20007")</f>
        <v>WD-AR 2:18-cr-20007</v>
      </c>
      <c r="P1020" s="88" t="s">
        <v>3161</v>
      </c>
      <c r="Q1020" s="84">
        <v>1.0</v>
      </c>
      <c r="R1020" s="62"/>
      <c r="S1020" s="37" t="str">
        <f>IFERROR(__xludf.DUMMYFUNCTION("if(not(iserror(index(split(C1020, "" ""),2))), index(split(C1020, "" ""),1),"""")"),"April,")</f>
        <v>April,</v>
      </c>
      <c r="T1020" s="38">
        <f>IFERROR(__xludf.DUMMYFUNCTION("if(S1020="""",C1020,if(not(iserror(index(split(C1020, "" ""),3))), index(split(C1020, "" ""),3),index(split(C1020, "" ""),2)))"),2018.0)</f>
        <v>2018</v>
      </c>
      <c r="U1020" s="38" t="b">
        <f t="shared" si="154"/>
        <v>0</v>
      </c>
      <c r="V1020" s="38"/>
      <c r="W1020" s="40"/>
      <c r="X1020" s="40"/>
      <c r="Y1020" s="40"/>
      <c r="Z1020" s="38"/>
      <c r="AA1020" s="38"/>
      <c r="AB1020" s="38"/>
      <c r="AC1020" s="38"/>
      <c r="AD1020" s="38"/>
      <c r="AE1020" s="38"/>
      <c r="AF1020" s="38"/>
      <c r="AG1020" s="38"/>
      <c r="AH1020" s="38"/>
      <c r="AI1020" s="38"/>
      <c r="AJ1020" s="38"/>
      <c r="AK1020" s="38"/>
      <c r="AL1020" s="38"/>
      <c r="AM1020" s="38"/>
      <c r="AN1020" s="38"/>
      <c r="AO1020" s="38"/>
      <c r="AP1020" s="38"/>
      <c r="AQ1020" s="38"/>
      <c r="AR1020" s="38"/>
      <c r="AS1020" s="38"/>
      <c r="AT1020" s="38"/>
      <c r="AU1020" s="38"/>
      <c r="AV1020" s="38"/>
      <c r="AW1020" s="38"/>
      <c r="AX1020" s="38"/>
      <c r="AY1020" s="38"/>
      <c r="AZ1020" s="38"/>
      <c r="BA1020" s="38"/>
      <c r="BB1020" s="38"/>
      <c r="BC1020" s="38"/>
      <c r="BD1020" s="38"/>
      <c r="BE1020" s="38"/>
      <c r="BF1020" s="38"/>
      <c r="BG1020" s="38"/>
      <c r="BH1020" s="38"/>
      <c r="BI1020" s="38"/>
      <c r="BJ1020" s="38"/>
      <c r="BK1020" s="38"/>
      <c r="BL1020" s="38"/>
      <c r="BM1020" s="38"/>
      <c r="BN1020" s="38"/>
      <c r="BO1020" s="38"/>
      <c r="BP1020" s="38"/>
      <c r="BQ1020" s="38"/>
    </row>
    <row r="1021">
      <c r="A1021" s="58" t="s">
        <v>3162</v>
      </c>
      <c r="B1021" s="59">
        <v>43398.0</v>
      </c>
      <c r="C1021" s="79">
        <v>43191.0</v>
      </c>
      <c r="D1021" s="60" t="s">
        <v>1844</v>
      </c>
      <c r="E1021" s="58" t="s">
        <v>41</v>
      </c>
      <c r="F1021" s="58">
        <v>1.0</v>
      </c>
      <c r="G1021" s="58" t="s">
        <v>32</v>
      </c>
      <c r="H1021" s="33">
        <f t="shared" si="155"/>
        <v>1</v>
      </c>
      <c r="I1021" s="58" t="s">
        <v>33</v>
      </c>
      <c r="J1021" s="58" t="s">
        <v>124</v>
      </c>
      <c r="K1021" s="58">
        <v>2.0</v>
      </c>
      <c r="L1021" s="58" t="s">
        <v>119</v>
      </c>
      <c r="M1021" s="61" t="s">
        <v>3163</v>
      </c>
      <c r="N1021" s="80"/>
      <c r="O1021" s="88" t="str">
        <f>hyperlink("https://bad-boys.us/?q=WD-NY/6:18-cr-06085", "WD-NY 6:18-cr-06085")</f>
        <v>WD-NY 6:18-cr-06085</v>
      </c>
      <c r="P1021" s="62"/>
      <c r="Q1021" s="84">
        <v>1.0</v>
      </c>
      <c r="R1021" s="62"/>
      <c r="S1021" s="37" t="str">
        <f>IFERROR(__xludf.DUMMYFUNCTION("if(not(iserror(index(split(C1021, "" ""),2))), index(split(C1021, "" ""),1),"""")"),"April,")</f>
        <v>April,</v>
      </c>
      <c r="T1021" s="38">
        <f>IFERROR(__xludf.DUMMYFUNCTION("if(S1021="""",C1021,if(not(iserror(index(split(C1021, "" ""),3))), index(split(C1021, "" ""),3),index(split(C1021, "" ""),2)))"),2018.0)</f>
        <v>2018</v>
      </c>
      <c r="U1021" s="38" t="b">
        <f t="shared" si="154"/>
        <v>0</v>
      </c>
      <c r="V1021" s="38"/>
      <c r="W1021" s="40"/>
      <c r="X1021" s="40"/>
      <c r="Y1021" s="40"/>
      <c r="Z1021" s="38"/>
      <c r="AA1021" s="38"/>
      <c r="AB1021" s="38"/>
      <c r="AC1021" s="38"/>
      <c r="AD1021" s="38"/>
      <c r="AE1021" s="38"/>
      <c r="AF1021" s="38"/>
      <c r="AG1021" s="38"/>
      <c r="AH1021" s="38"/>
      <c r="AI1021" s="38"/>
      <c r="AJ1021" s="38"/>
      <c r="AK1021" s="38"/>
      <c r="AL1021" s="38"/>
      <c r="AM1021" s="38"/>
      <c r="AN1021" s="38"/>
      <c r="AO1021" s="38"/>
      <c r="AP1021" s="38"/>
      <c r="AQ1021" s="38"/>
      <c r="AR1021" s="38"/>
      <c r="AS1021" s="38"/>
      <c r="AT1021" s="38"/>
      <c r="AU1021" s="38"/>
      <c r="AV1021" s="38"/>
      <c r="AW1021" s="38"/>
      <c r="AX1021" s="38"/>
      <c r="AY1021" s="38"/>
      <c r="AZ1021" s="38"/>
      <c r="BA1021" s="38"/>
      <c r="BB1021" s="38"/>
      <c r="BC1021" s="38"/>
      <c r="BD1021" s="38"/>
      <c r="BE1021" s="38"/>
      <c r="BF1021" s="38"/>
      <c r="BG1021" s="38"/>
      <c r="BH1021" s="38"/>
      <c r="BI1021" s="38"/>
      <c r="BJ1021" s="38"/>
      <c r="BK1021" s="38"/>
      <c r="BL1021" s="38"/>
      <c r="BM1021" s="38"/>
      <c r="BN1021" s="38"/>
      <c r="BO1021" s="38"/>
      <c r="BP1021" s="38"/>
      <c r="BQ1021" s="38"/>
    </row>
    <row r="1022">
      <c r="A1022" s="58" t="s">
        <v>3164</v>
      </c>
      <c r="B1022" s="59">
        <v>43412.0</v>
      </c>
      <c r="C1022" s="79">
        <v>43191.0</v>
      </c>
      <c r="D1022" s="60" t="s">
        <v>1844</v>
      </c>
      <c r="E1022" s="58" t="s">
        <v>41</v>
      </c>
      <c r="F1022" s="58">
        <v>1.0</v>
      </c>
      <c r="G1022" s="58" t="s">
        <v>32</v>
      </c>
      <c r="H1022" s="33">
        <f t="shared" si="155"/>
        <v>1</v>
      </c>
      <c r="I1022" s="58" t="s">
        <v>33</v>
      </c>
      <c r="J1022" s="58" t="s">
        <v>460</v>
      </c>
      <c r="K1022" s="58">
        <v>1.0</v>
      </c>
      <c r="L1022" s="58" t="s">
        <v>99</v>
      </c>
      <c r="M1022" s="61" t="s">
        <v>3165</v>
      </c>
      <c r="N1022" s="61" t="s">
        <v>3166</v>
      </c>
      <c r="O1022" s="88" t="str">
        <f>hyperlink("https://bad-boys.us/?q=ND-IA/1:18-cr-00034", "ND-IA 1:18-cr-00034")</f>
        <v>ND-IA 1:18-cr-00034</v>
      </c>
      <c r="P1022" s="88" t="s">
        <v>3167</v>
      </c>
      <c r="Q1022" s="58">
        <v>1.0</v>
      </c>
      <c r="R1022" s="62"/>
      <c r="S1022" s="37" t="str">
        <f>IFERROR(__xludf.DUMMYFUNCTION("if(not(iserror(index(split(C1022, "" ""),2))), index(split(C1022, "" ""),1),"""")"),"April,")</f>
        <v>April,</v>
      </c>
      <c r="T1022" s="38">
        <f>IFERROR(__xludf.DUMMYFUNCTION("if(S1022="""",C1022,if(not(iserror(index(split(C1022, "" ""),3))), index(split(C1022, "" ""),3),index(split(C1022, "" ""),2)))"),2018.0)</f>
        <v>2018</v>
      </c>
      <c r="U1022" s="38" t="b">
        <f t="shared" si="154"/>
        <v>0</v>
      </c>
      <c r="V1022" s="38"/>
      <c r="W1022" s="40"/>
      <c r="X1022" s="40"/>
      <c r="Y1022" s="40"/>
      <c r="Z1022" s="38"/>
      <c r="AA1022" s="38"/>
      <c r="AB1022" s="38"/>
      <c r="AC1022" s="38"/>
      <c r="AD1022" s="38"/>
      <c r="AE1022" s="38"/>
      <c r="AF1022" s="38"/>
      <c r="AG1022" s="38"/>
      <c r="AH1022" s="38"/>
      <c r="AI1022" s="38"/>
      <c r="AJ1022" s="38"/>
      <c r="AK1022" s="38"/>
      <c r="AL1022" s="38"/>
      <c r="AM1022" s="38"/>
      <c r="AN1022" s="38"/>
      <c r="AO1022" s="38"/>
      <c r="AP1022" s="38"/>
      <c r="AQ1022" s="38"/>
      <c r="AR1022" s="38"/>
      <c r="AS1022" s="38"/>
      <c r="AT1022" s="38"/>
      <c r="AU1022" s="38"/>
      <c r="AV1022" s="38"/>
      <c r="AW1022" s="38"/>
      <c r="AX1022" s="38"/>
      <c r="AY1022" s="38"/>
      <c r="AZ1022" s="38"/>
      <c r="BA1022" s="38"/>
      <c r="BB1022" s="38"/>
      <c r="BC1022" s="38"/>
      <c r="BD1022" s="38"/>
      <c r="BE1022" s="38"/>
      <c r="BF1022" s="38"/>
      <c r="BG1022" s="38"/>
      <c r="BH1022" s="38"/>
      <c r="BI1022" s="38"/>
      <c r="BJ1022" s="38"/>
      <c r="BK1022" s="38"/>
      <c r="BL1022" s="38"/>
      <c r="BM1022" s="38"/>
      <c r="BN1022" s="38"/>
      <c r="BO1022" s="38"/>
      <c r="BP1022" s="38"/>
      <c r="BQ1022" s="38"/>
    </row>
    <row r="1023">
      <c r="A1023" s="87" t="s">
        <v>3168</v>
      </c>
      <c r="B1023" s="59">
        <v>43420.0</v>
      </c>
      <c r="C1023" s="79">
        <v>43191.0</v>
      </c>
      <c r="D1023" s="60" t="s">
        <v>1844</v>
      </c>
      <c r="E1023" s="58" t="s">
        <v>41</v>
      </c>
      <c r="F1023" s="58">
        <v>1.0</v>
      </c>
      <c r="G1023" s="58" t="s">
        <v>32</v>
      </c>
      <c r="H1023" s="33">
        <f t="shared" si="155"/>
        <v>1</v>
      </c>
      <c r="I1023" s="58" t="s">
        <v>33</v>
      </c>
      <c r="J1023" s="58" t="s">
        <v>93</v>
      </c>
      <c r="K1023" s="58">
        <v>2.0</v>
      </c>
      <c r="L1023" s="58" t="s">
        <v>119</v>
      </c>
      <c r="M1023" s="61" t="s">
        <v>3169</v>
      </c>
      <c r="N1023" s="80"/>
      <c r="O1023" s="88" t="str">
        <f>hyperlink("https://bad-boys.us/?q=WD-NY/1:18-cr-00140", "WD-NY 1:18-cr-00140")</f>
        <v>WD-NY 1:18-cr-00140</v>
      </c>
      <c r="P1023" s="58"/>
      <c r="Q1023" s="84">
        <v>1.0</v>
      </c>
      <c r="R1023" s="62"/>
      <c r="S1023" s="37" t="str">
        <f>IFERROR(__xludf.DUMMYFUNCTION("if(not(iserror(index(split(C1023, "" ""),2))), index(split(C1023, "" ""),1),"""")"),"April,")</f>
        <v>April,</v>
      </c>
      <c r="T1023" s="38">
        <f>IFERROR(__xludf.DUMMYFUNCTION("if(S1023="""",C1023,if(not(iserror(index(split(C1023, "" ""),3))), index(split(C1023, "" ""),3),index(split(C1023, "" ""),2)))"),2018.0)</f>
        <v>2018</v>
      </c>
      <c r="U1023" s="38" t="b">
        <f t="shared" si="154"/>
        <v>0</v>
      </c>
      <c r="V1023" s="38"/>
      <c r="W1023" s="40"/>
      <c r="X1023" s="40"/>
      <c r="Y1023" s="40"/>
      <c r="Z1023" s="38"/>
      <c r="AA1023" s="38"/>
      <c r="AB1023" s="38"/>
      <c r="AC1023" s="38"/>
      <c r="AD1023" s="38"/>
      <c r="AE1023" s="38"/>
      <c r="AF1023" s="38"/>
      <c r="AG1023" s="38"/>
      <c r="AH1023" s="38"/>
      <c r="AI1023" s="38"/>
      <c r="AJ1023" s="38"/>
      <c r="AK1023" s="38"/>
      <c r="AL1023" s="38"/>
      <c r="AM1023" s="38"/>
      <c r="AN1023" s="38"/>
      <c r="AO1023" s="38"/>
      <c r="AP1023" s="38"/>
      <c r="AQ1023" s="38"/>
      <c r="AR1023" s="38"/>
      <c r="AS1023" s="38"/>
      <c r="AT1023" s="38"/>
      <c r="AU1023" s="38"/>
      <c r="AV1023" s="38"/>
      <c r="AW1023" s="38"/>
      <c r="AX1023" s="38"/>
      <c r="AY1023" s="38"/>
      <c r="AZ1023" s="38"/>
      <c r="BA1023" s="38"/>
      <c r="BB1023" s="38"/>
      <c r="BC1023" s="38"/>
      <c r="BD1023" s="38"/>
      <c r="BE1023" s="38"/>
      <c r="BF1023" s="38"/>
      <c r="BG1023" s="38"/>
      <c r="BH1023" s="38"/>
      <c r="BI1023" s="38"/>
      <c r="BJ1023" s="38"/>
      <c r="BK1023" s="38"/>
      <c r="BL1023" s="38"/>
      <c r="BM1023" s="38"/>
      <c r="BN1023" s="38"/>
      <c r="BO1023" s="38"/>
      <c r="BP1023" s="38"/>
      <c r="BQ1023" s="38"/>
    </row>
    <row r="1024">
      <c r="A1024" s="58" t="s">
        <v>3170</v>
      </c>
      <c r="B1024" s="59">
        <v>43425.0</v>
      </c>
      <c r="C1024" s="79">
        <v>43191.0</v>
      </c>
      <c r="D1024" s="60" t="s">
        <v>1844</v>
      </c>
      <c r="E1024" s="58" t="s">
        <v>41</v>
      </c>
      <c r="F1024" s="58">
        <v>1.0</v>
      </c>
      <c r="G1024" s="58" t="s">
        <v>32</v>
      </c>
      <c r="H1024" s="33">
        <f t="shared" si="155"/>
        <v>1</v>
      </c>
      <c r="I1024" s="58" t="s">
        <v>33</v>
      </c>
      <c r="J1024" s="58" t="s">
        <v>111</v>
      </c>
      <c r="K1024" s="58">
        <v>2.0</v>
      </c>
      <c r="L1024" s="58" t="s">
        <v>35</v>
      </c>
      <c r="M1024" s="61" t="s">
        <v>3171</v>
      </c>
      <c r="N1024" s="61" t="s">
        <v>3172</v>
      </c>
      <c r="O1024" s="88" t="str">
        <f>hyperlink("https://bad-boys.us/?q=ND-CA/4:18-cr-00352", "ND-CA 4:18-cr-00352")</f>
        <v>ND-CA 4:18-cr-00352</v>
      </c>
      <c r="P1024" s="88" t="s">
        <v>3173</v>
      </c>
      <c r="Q1024" s="58">
        <v>1.0</v>
      </c>
      <c r="R1024" s="62"/>
      <c r="S1024" s="37" t="str">
        <f>IFERROR(__xludf.DUMMYFUNCTION("if(not(iserror(index(split(C1024, "" ""),2))), index(split(C1024, "" ""),1),"""")"),"April,")</f>
        <v>April,</v>
      </c>
      <c r="T1024" s="38">
        <f>IFERROR(__xludf.DUMMYFUNCTION("if(S1024="""",C1024,if(not(iserror(index(split(C1024, "" ""),3))), index(split(C1024, "" ""),3),index(split(C1024, "" ""),2)))"),2018.0)</f>
        <v>2018</v>
      </c>
      <c r="U1024" s="38" t="b">
        <f t="shared" si="154"/>
        <v>0</v>
      </c>
      <c r="V1024" s="38"/>
      <c r="W1024" s="40"/>
      <c r="X1024" s="40"/>
      <c r="Y1024" s="40"/>
      <c r="Z1024" s="38"/>
      <c r="AA1024" s="38"/>
      <c r="AB1024" s="38"/>
      <c r="AC1024" s="38"/>
      <c r="AD1024" s="38"/>
      <c r="AE1024" s="38"/>
      <c r="AF1024" s="38"/>
      <c r="AG1024" s="38"/>
      <c r="AH1024" s="38"/>
      <c r="AI1024" s="38"/>
      <c r="AJ1024" s="38"/>
      <c r="AK1024" s="38"/>
      <c r="AL1024" s="38"/>
      <c r="AM1024" s="38"/>
      <c r="AN1024" s="38"/>
      <c r="AO1024" s="38"/>
      <c r="AP1024" s="38"/>
      <c r="AQ1024" s="38"/>
      <c r="AR1024" s="38"/>
      <c r="AS1024" s="38"/>
      <c r="AT1024" s="38"/>
      <c r="AU1024" s="38"/>
      <c r="AV1024" s="38"/>
      <c r="AW1024" s="38"/>
      <c r="AX1024" s="38"/>
      <c r="AY1024" s="38"/>
      <c r="AZ1024" s="38"/>
      <c r="BA1024" s="38"/>
      <c r="BB1024" s="38"/>
      <c r="BC1024" s="38"/>
      <c r="BD1024" s="38"/>
      <c r="BE1024" s="38"/>
      <c r="BF1024" s="38"/>
      <c r="BG1024" s="38"/>
      <c r="BH1024" s="38"/>
      <c r="BI1024" s="38"/>
      <c r="BJ1024" s="38"/>
      <c r="BK1024" s="38"/>
      <c r="BL1024" s="38"/>
      <c r="BM1024" s="38"/>
      <c r="BN1024" s="38"/>
      <c r="BO1024" s="38"/>
      <c r="BP1024" s="38"/>
      <c r="BQ1024" s="38"/>
    </row>
    <row r="1025">
      <c r="A1025" s="58" t="s">
        <v>3174</v>
      </c>
      <c r="B1025" s="59">
        <v>43431.0</v>
      </c>
      <c r="C1025" s="79">
        <v>43191.0</v>
      </c>
      <c r="D1025" s="60" t="s">
        <v>1844</v>
      </c>
      <c r="E1025" s="58" t="s">
        <v>41</v>
      </c>
      <c r="F1025" s="58">
        <v>1.0</v>
      </c>
      <c r="G1025" s="58" t="s">
        <v>32</v>
      </c>
      <c r="H1025" s="33">
        <f t="shared" si="155"/>
        <v>1</v>
      </c>
      <c r="I1025" s="58" t="s">
        <v>33</v>
      </c>
      <c r="J1025" s="58" t="s">
        <v>162</v>
      </c>
      <c r="K1025" s="58">
        <v>2.0</v>
      </c>
      <c r="L1025" s="58" t="s">
        <v>69</v>
      </c>
      <c r="M1025" s="61" t="s">
        <v>3175</v>
      </c>
      <c r="N1025" s="61" t="s">
        <v>3176</v>
      </c>
      <c r="O1025" s="88" t="str">
        <f>hyperlink("https://bad-boys.us/?q=D-KS/6:18-cr-10041", "D-KS 6:18-cr-10041")</f>
        <v>D-KS 6:18-cr-10041</v>
      </c>
      <c r="P1025" s="88" t="s">
        <v>3177</v>
      </c>
      <c r="Q1025" s="58">
        <v>1.0</v>
      </c>
      <c r="R1025" s="62"/>
      <c r="S1025" s="37" t="str">
        <f>IFERROR(__xludf.DUMMYFUNCTION("if(not(iserror(index(split(C1025, "" ""),2))), index(split(C1025, "" ""),1),"""")"),"April,")</f>
        <v>April,</v>
      </c>
      <c r="T1025" s="38">
        <f>IFERROR(__xludf.DUMMYFUNCTION("if(S1025="""",C1025,if(not(iserror(index(split(C1025, "" ""),3))), index(split(C1025, "" ""),3),index(split(C1025, "" ""),2)))"),2018.0)</f>
        <v>2018</v>
      </c>
      <c r="U1025" s="38" t="b">
        <f t="shared" si="154"/>
        <v>0</v>
      </c>
      <c r="V1025" s="38"/>
      <c r="W1025" s="40"/>
      <c r="X1025" s="40"/>
      <c r="Y1025" s="40"/>
      <c r="Z1025" s="38"/>
      <c r="AA1025" s="38"/>
      <c r="AB1025" s="38"/>
      <c r="AC1025" s="38"/>
      <c r="AD1025" s="38"/>
      <c r="AE1025" s="38"/>
      <c r="AF1025" s="38"/>
      <c r="AG1025" s="38"/>
      <c r="AH1025" s="38"/>
      <c r="AI1025" s="38"/>
      <c r="AJ1025" s="38"/>
      <c r="AK1025" s="38"/>
      <c r="AL1025" s="38"/>
      <c r="AM1025" s="38"/>
      <c r="AN1025" s="38"/>
      <c r="AO1025" s="38"/>
      <c r="AP1025" s="38"/>
      <c r="AQ1025" s="38"/>
      <c r="AR1025" s="38"/>
      <c r="AS1025" s="38"/>
      <c r="AT1025" s="38"/>
      <c r="AU1025" s="38"/>
      <c r="AV1025" s="38"/>
      <c r="AW1025" s="38"/>
      <c r="AX1025" s="38"/>
      <c r="AY1025" s="38"/>
      <c r="AZ1025" s="38"/>
      <c r="BA1025" s="38"/>
      <c r="BB1025" s="38"/>
      <c r="BC1025" s="38"/>
      <c r="BD1025" s="38"/>
      <c r="BE1025" s="38"/>
      <c r="BF1025" s="38"/>
      <c r="BG1025" s="38"/>
      <c r="BH1025" s="38"/>
      <c r="BI1025" s="38"/>
      <c r="BJ1025" s="38"/>
      <c r="BK1025" s="38"/>
      <c r="BL1025" s="38"/>
      <c r="BM1025" s="38"/>
      <c r="BN1025" s="38"/>
      <c r="BO1025" s="38"/>
      <c r="BP1025" s="38"/>
      <c r="BQ1025" s="38"/>
    </row>
    <row r="1026">
      <c r="A1026" s="87" t="s">
        <v>3178</v>
      </c>
      <c r="B1026" s="59">
        <v>43437.0</v>
      </c>
      <c r="C1026" s="79">
        <v>43191.0</v>
      </c>
      <c r="D1026" s="60" t="s">
        <v>1844</v>
      </c>
      <c r="E1026" s="58" t="s">
        <v>41</v>
      </c>
      <c r="F1026" s="58">
        <v>1.0</v>
      </c>
      <c r="G1026" s="58" t="s">
        <v>32</v>
      </c>
      <c r="H1026" s="50">
        <v>1.0</v>
      </c>
      <c r="I1026" s="58" t="s">
        <v>33</v>
      </c>
      <c r="J1026" s="58" t="s">
        <v>147</v>
      </c>
      <c r="K1026" s="58">
        <v>1.0</v>
      </c>
      <c r="L1026" s="58" t="s">
        <v>194</v>
      </c>
      <c r="M1026" s="61" t="s">
        <v>3179</v>
      </c>
      <c r="N1026" s="80"/>
      <c r="O1026" s="88" t="str">
        <f t="shared" ref="O1026:O1031" si="156">hyperlink("https://bad-boys.us/?q=SD-TX/1:18-cr-00225", "SD-TX 1:18-cr-00225")</f>
        <v>SD-TX 1:18-cr-00225</v>
      </c>
      <c r="P1026" s="88" t="s">
        <v>3180</v>
      </c>
      <c r="Q1026" s="58">
        <v>1.0</v>
      </c>
      <c r="R1026" s="62"/>
      <c r="S1026" s="37" t="str">
        <f>IFERROR(__xludf.DUMMYFUNCTION("if(not(iserror(index(split(C1026, "" ""),2))), index(split(C1026, "" ""),1),"""")"),"April,")</f>
        <v>April,</v>
      </c>
      <c r="T1026" s="38">
        <f>IFERROR(__xludf.DUMMYFUNCTION("if(S1026="""",C1026,if(not(iserror(index(split(C1026, "" ""),3))), index(split(C1026, "" ""),3),index(split(C1026, "" ""),2)))"),2018.0)</f>
        <v>2018</v>
      </c>
      <c r="U1026" s="38" t="b">
        <f t="shared" si="154"/>
        <v>0</v>
      </c>
      <c r="V1026" s="38"/>
      <c r="W1026" s="40"/>
      <c r="X1026" s="40"/>
      <c r="Y1026" s="40"/>
      <c r="Z1026" s="38"/>
      <c r="AA1026" s="38"/>
      <c r="AB1026" s="38"/>
      <c r="AC1026" s="38"/>
      <c r="AD1026" s="38"/>
      <c r="AE1026" s="38"/>
      <c r="AF1026" s="38"/>
      <c r="AG1026" s="38"/>
      <c r="AH1026" s="38"/>
      <c r="AI1026" s="38"/>
      <c r="AJ1026" s="38"/>
      <c r="AK1026" s="38"/>
      <c r="AL1026" s="38"/>
      <c r="AM1026" s="38"/>
      <c r="AN1026" s="38"/>
      <c r="AO1026" s="38"/>
      <c r="AP1026" s="38"/>
      <c r="AQ1026" s="38"/>
      <c r="AR1026" s="38"/>
      <c r="AS1026" s="38"/>
      <c r="AT1026" s="38"/>
      <c r="AU1026" s="38"/>
      <c r="AV1026" s="38"/>
      <c r="AW1026" s="38"/>
      <c r="AX1026" s="38"/>
      <c r="AY1026" s="38"/>
      <c r="AZ1026" s="38"/>
      <c r="BA1026" s="38"/>
      <c r="BB1026" s="38"/>
      <c r="BC1026" s="38"/>
      <c r="BD1026" s="38"/>
      <c r="BE1026" s="38"/>
      <c r="BF1026" s="38"/>
      <c r="BG1026" s="38"/>
      <c r="BH1026" s="38"/>
      <c r="BI1026" s="38"/>
      <c r="BJ1026" s="38"/>
      <c r="BK1026" s="38"/>
      <c r="BL1026" s="38"/>
      <c r="BM1026" s="38"/>
      <c r="BN1026" s="38"/>
      <c r="BO1026" s="38"/>
      <c r="BP1026" s="38"/>
      <c r="BQ1026" s="38"/>
    </row>
    <row r="1027">
      <c r="A1027" s="87" t="s">
        <v>3181</v>
      </c>
      <c r="B1027" s="59">
        <v>43437.0</v>
      </c>
      <c r="C1027" s="79">
        <v>43191.0</v>
      </c>
      <c r="D1027" s="60" t="s">
        <v>1844</v>
      </c>
      <c r="E1027" s="58" t="s">
        <v>41</v>
      </c>
      <c r="F1027" s="58">
        <v>1.0</v>
      </c>
      <c r="G1027" s="58" t="s">
        <v>32</v>
      </c>
      <c r="H1027" s="50">
        <v>1.0</v>
      </c>
      <c r="I1027" s="58" t="s">
        <v>33</v>
      </c>
      <c r="J1027" s="58" t="s">
        <v>147</v>
      </c>
      <c r="K1027" s="58">
        <v>1.0</v>
      </c>
      <c r="L1027" s="58" t="s">
        <v>194</v>
      </c>
      <c r="M1027" s="61" t="s">
        <v>3179</v>
      </c>
      <c r="N1027" s="80"/>
      <c r="O1027" s="88" t="str">
        <f t="shared" si="156"/>
        <v>SD-TX 1:18-cr-00225</v>
      </c>
      <c r="P1027" s="88" t="s">
        <v>3180</v>
      </c>
      <c r="Q1027" s="58">
        <v>1.0</v>
      </c>
      <c r="R1027" s="62"/>
      <c r="S1027" s="37" t="str">
        <f>IFERROR(__xludf.DUMMYFUNCTION("if(not(iserror(index(split(C1027, "" ""),2))), index(split(C1027, "" ""),1),"""")"),"April,")</f>
        <v>April,</v>
      </c>
      <c r="T1027" s="38">
        <f>IFERROR(__xludf.DUMMYFUNCTION("if(S1027="""",C1027,if(not(iserror(index(split(C1027, "" ""),3))), index(split(C1027, "" ""),3),index(split(C1027, "" ""),2)))"),2018.0)</f>
        <v>2018</v>
      </c>
      <c r="U1027" s="38" t="b">
        <f t="shared" si="154"/>
        <v>0</v>
      </c>
      <c r="V1027" s="38"/>
      <c r="W1027" s="40"/>
      <c r="X1027" s="40"/>
      <c r="Y1027" s="40"/>
      <c r="Z1027" s="38"/>
      <c r="AA1027" s="38"/>
      <c r="AB1027" s="38"/>
      <c r="AC1027" s="38"/>
      <c r="AD1027" s="38"/>
      <c r="AE1027" s="38"/>
      <c r="AF1027" s="38"/>
      <c r="AG1027" s="38"/>
      <c r="AH1027" s="38"/>
      <c r="AI1027" s="38"/>
      <c r="AJ1027" s="38"/>
      <c r="AK1027" s="38"/>
      <c r="AL1027" s="38"/>
      <c r="AM1027" s="38"/>
      <c r="AN1027" s="38"/>
      <c r="AO1027" s="38"/>
      <c r="AP1027" s="38"/>
      <c r="AQ1027" s="38"/>
      <c r="AR1027" s="38"/>
      <c r="AS1027" s="38"/>
      <c r="AT1027" s="38"/>
      <c r="AU1027" s="38"/>
      <c r="AV1027" s="38"/>
      <c r="AW1027" s="38"/>
      <c r="AX1027" s="38"/>
      <c r="AY1027" s="38"/>
      <c r="AZ1027" s="38"/>
      <c r="BA1027" s="38"/>
      <c r="BB1027" s="38"/>
      <c r="BC1027" s="38"/>
      <c r="BD1027" s="38"/>
      <c r="BE1027" s="38"/>
      <c r="BF1027" s="38"/>
      <c r="BG1027" s="38"/>
      <c r="BH1027" s="38"/>
      <c r="BI1027" s="38"/>
      <c r="BJ1027" s="38"/>
      <c r="BK1027" s="38"/>
      <c r="BL1027" s="38"/>
      <c r="BM1027" s="38"/>
      <c r="BN1027" s="38"/>
      <c r="BO1027" s="38"/>
      <c r="BP1027" s="38"/>
      <c r="BQ1027" s="38"/>
    </row>
    <row r="1028">
      <c r="A1028" s="85" t="s">
        <v>3182</v>
      </c>
      <c r="B1028" s="59">
        <v>43437.0</v>
      </c>
      <c r="C1028" s="79">
        <v>43191.0</v>
      </c>
      <c r="D1028" s="60" t="s">
        <v>1844</v>
      </c>
      <c r="E1028" s="58" t="s">
        <v>41</v>
      </c>
      <c r="F1028" s="58">
        <v>1.0</v>
      </c>
      <c r="G1028" s="58" t="s">
        <v>32</v>
      </c>
      <c r="H1028" s="50">
        <v>1.0</v>
      </c>
      <c r="I1028" s="58" t="s">
        <v>33</v>
      </c>
      <c r="J1028" s="58" t="s">
        <v>147</v>
      </c>
      <c r="K1028" s="58">
        <v>1.0</v>
      </c>
      <c r="L1028" s="58" t="s">
        <v>194</v>
      </c>
      <c r="M1028" s="61" t="s">
        <v>3179</v>
      </c>
      <c r="N1028" s="80"/>
      <c r="O1028" s="88" t="str">
        <f t="shared" si="156"/>
        <v>SD-TX 1:18-cr-00225</v>
      </c>
      <c r="P1028" s="88" t="s">
        <v>3180</v>
      </c>
      <c r="Q1028" s="58">
        <v>1.0</v>
      </c>
      <c r="R1028" s="62"/>
      <c r="S1028" s="37" t="str">
        <f>IFERROR(__xludf.DUMMYFUNCTION("if(not(iserror(index(split(C1028, "" ""),2))), index(split(C1028, "" ""),1),"""")"),"April,")</f>
        <v>April,</v>
      </c>
      <c r="T1028" s="38">
        <f>IFERROR(__xludf.DUMMYFUNCTION("if(S1028="""",C1028,if(not(iserror(index(split(C1028, "" ""),3))), index(split(C1028, "" ""),3),index(split(C1028, "" ""),2)))"),2018.0)</f>
        <v>2018</v>
      </c>
      <c r="U1028" s="38" t="b">
        <f t="shared" si="154"/>
        <v>0</v>
      </c>
      <c r="V1028" s="38"/>
      <c r="W1028" s="40"/>
      <c r="X1028" s="40"/>
      <c r="Y1028" s="40"/>
      <c r="Z1028" s="38"/>
      <c r="AA1028" s="38"/>
      <c r="AB1028" s="38"/>
      <c r="AC1028" s="38"/>
      <c r="AD1028" s="38"/>
      <c r="AE1028" s="38"/>
      <c r="AF1028" s="38"/>
      <c r="AG1028" s="38"/>
      <c r="AH1028" s="38"/>
      <c r="AI1028" s="38"/>
      <c r="AJ1028" s="38"/>
      <c r="AK1028" s="38"/>
      <c r="AL1028" s="38"/>
      <c r="AM1028" s="38"/>
      <c r="AN1028" s="38"/>
      <c r="AO1028" s="38"/>
      <c r="AP1028" s="38"/>
      <c r="AQ1028" s="38"/>
      <c r="AR1028" s="38"/>
      <c r="AS1028" s="38"/>
      <c r="AT1028" s="38"/>
      <c r="AU1028" s="38"/>
      <c r="AV1028" s="38"/>
      <c r="AW1028" s="38"/>
      <c r="AX1028" s="38"/>
      <c r="AY1028" s="38"/>
      <c r="AZ1028" s="38"/>
      <c r="BA1028" s="38"/>
      <c r="BB1028" s="38"/>
      <c r="BC1028" s="38"/>
      <c r="BD1028" s="38"/>
      <c r="BE1028" s="38"/>
      <c r="BF1028" s="38"/>
      <c r="BG1028" s="38"/>
      <c r="BH1028" s="38"/>
      <c r="BI1028" s="38"/>
      <c r="BJ1028" s="38"/>
      <c r="BK1028" s="38"/>
      <c r="BL1028" s="38"/>
      <c r="BM1028" s="38"/>
      <c r="BN1028" s="38"/>
      <c r="BO1028" s="38"/>
      <c r="BP1028" s="38"/>
      <c r="BQ1028" s="38"/>
    </row>
    <row r="1029">
      <c r="A1029" s="85" t="s">
        <v>3183</v>
      </c>
      <c r="B1029" s="59">
        <v>43437.0</v>
      </c>
      <c r="C1029" s="79">
        <v>43191.0</v>
      </c>
      <c r="D1029" s="60" t="s">
        <v>1844</v>
      </c>
      <c r="E1029" s="58" t="s">
        <v>41</v>
      </c>
      <c r="F1029" s="58">
        <v>1.0</v>
      </c>
      <c r="G1029" s="58" t="s">
        <v>32</v>
      </c>
      <c r="H1029" s="50">
        <v>1.0</v>
      </c>
      <c r="I1029" s="58" t="s">
        <v>33</v>
      </c>
      <c r="J1029" s="58" t="s">
        <v>147</v>
      </c>
      <c r="K1029" s="58">
        <v>1.0</v>
      </c>
      <c r="L1029" s="58" t="s">
        <v>194</v>
      </c>
      <c r="M1029" s="61" t="s">
        <v>3179</v>
      </c>
      <c r="N1029" s="80"/>
      <c r="O1029" s="88" t="str">
        <f t="shared" si="156"/>
        <v>SD-TX 1:18-cr-00225</v>
      </c>
      <c r="P1029" s="88" t="s">
        <v>3180</v>
      </c>
      <c r="Q1029" s="58">
        <v>1.0</v>
      </c>
      <c r="R1029" s="62"/>
      <c r="S1029" s="37" t="str">
        <f>IFERROR(__xludf.DUMMYFUNCTION("if(not(iserror(index(split(C1029, "" ""),2))), index(split(C1029, "" ""),1),"""")"),"April,")</f>
        <v>April,</v>
      </c>
      <c r="T1029" s="38">
        <f>IFERROR(__xludf.DUMMYFUNCTION("if(S1029="""",C1029,if(not(iserror(index(split(C1029, "" ""),3))), index(split(C1029, "" ""),3),index(split(C1029, "" ""),2)))"),2018.0)</f>
        <v>2018</v>
      </c>
      <c r="U1029" s="38" t="b">
        <f t="shared" si="154"/>
        <v>0</v>
      </c>
      <c r="V1029" s="38"/>
      <c r="W1029" s="40"/>
      <c r="X1029" s="40"/>
      <c r="Y1029" s="40"/>
      <c r="Z1029" s="38"/>
      <c r="AA1029" s="38"/>
      <c r="AB1029" s="38"/>
      <c r="AC1029" s="38"/>
      <c r="AD1029" s="38"/>
      <c r="AE1029" s="38"/>
      <c r="AF1029" s="38"/>
      <c r="AG1029" s="38"/>
      <c r="AH1029" s="38"/>
      <c r="AI1029" s="38"/>
      <c r="AJ1029" s="38"/>
      <c r="AK1029" s="38"/>
      <c r="AL1029" s="38"/>
      <c r="AM1029" s="38"/>
      <c r="AN1029" s="38"/>
      <c r="AO1029" s="38"/>
      <c r="AP1029" s="38"/>
      <c r="AQ1029" s="38"/>
      <c r="AR1029" s="38"/>
      <c r="AS1029" s="38"/>
      <c r="AT1029" s="38"/>
      <c r="AU1029" s="38"/>
      <c r="AV1029" s="38"/>
      <c r="AW1029" s="38"/>
      <c r="AX1029" s="38"/>
      <c r="AY1029" s="38"/>
      <c r="AZ1029" s="38"/>
      <c r="BA1029" s="38"/>
      <c r="BB1029" s="38"/>
      <c r="BC1029" s="38"/>
      <c r="BD1029" s="38"/>
      <c r="BE1029" s="38"/>
      <c r="BF1029" s="38"/>
      <c r="BG1029" s="38"/>
      <c r="BH1029" s="38"/>
      <c r="BI1029" s="38"/>
      <c r="BJ1029" s="38"/>
      <c r="BK1029" s="38"/>
      <c r="BL1029" s="38"/>
      <c r="BM1029" s="38"/>
      <c r="BN1029" s="38"/>
      <c r="BO1029" s="38"/>
      <c r="BP1029" s="38"/>
      <c r="BQ1029" s="38"/>
    </row>
    <row r="1030">
      <c r="A1030" s="85" t="s">
        <v>3184</v>
      </c>
      <c r="B1030" s="59">
        <v>43437.0</v>
      </c>
      <c r="C1030" s="79">
        <v>43191.0</v>
      </c>
      <c r="D1030" s="60" t="s">
        <v>1844</v>
      </c>
      <c r="E1030" s="58" t="s">
        <v>41</v>
      </c>
      <c r="F1030" s="58">
        <v>1.0</v>
      </c>
      <c r="G1030" s="58" t="s">
        <v>32</v>
      </c>
      <c r="H1030" s="50">
        <v>1.0</v>
      </c>
      <c r="I1030" s="58" t="s">
        <v>33</v>
      </c>
      <c r="J1030" s="58" t="s">
        <v>147</v>
      </c>
      <c r="K1030" s="58">
        <v>1.0</v>
      </c>
      <c r="L1030" s="58" t="s">
        <v>194</v>
      </c>
      <c r="M1030" s="61" t="s">
        <v>3179</v>
      </c>
      <c r="N1030" s="80"/>
      <c r="O1030" s="88" t="str">
        <f t="shared" si="156"/>
        <v>SD-TX 1:18-cr-00225</v>
      </c>
      <c r="P1030" s="88" t="s">
        <v>3180</v>
      </c>
      <c r="Q1030" s="58">
        <v>1.0</v>
      </c>
      <c r="R1030" s="62"/>
      <c r="S1030" s="37" t="str">
        <f>IFERROR(__xludf.DUMMYFUNCTION("if(not(iserror(index(split(C1030, "" ""),2))), index(split(C1030, "" ""),1),"""")"),"April,")</f>
        <v>April,</v>
      </c>
      <c r="T1030" s="38">
        <f>IFERROR(__xludf.DUMMYFUNCTION("if(S1030="""",C1030,if(not(iserror(index(split(C1030, "" ""),3))), index(split(C1030, "" ""),3),index(split(C1030, "" ""),2)))"),2018.0)</f>
        <v>2018</v>
      </c>
      <c r="U1030" s="38" t="b">
        <f t="shared" si="154"/>
        <v>0</v>
      </c>
      <c r="V1030" s="38"/>
      <c r="W1030" s="40"/>
      <c r="X1030" s="40"/>
      <c r="Y1030" s="40"/>
      <c r="Z1030" s="38"/>
      <c r="AA1030" s="38"/>
      <c r="AB1030" s="38"/>
      <c r="AC1030" s="38"/>
      <c r="AD1030" s="38"/>
      <c r="AE1030" s="38"/>
      <c r="AF1030" s="38"/>
      <c r="AG1030" s="38"/>
      <c r="AH1030" s="38"/>
      <c r="AI1030" s="38"/>
      <c r="AJ1030" s="38"/>
      <c r="AK1030" s="38"/>
      <c r="AL1030" s="38"/>
      <c r="AM1030" s="38"/>
      <c r="AN1030" s="38"/>
      <c r="AO1030" s="38"/>
      <c r="AP1030" s="38"/>
      <c r="AQ1030" s="38"/>
      <c r="AR1030" s="38"/>
      <c r="AS1030" s="38"/>
      <c r="AT1030" s="38"/>
      <c r="AU1030" s="38"/>
      <c r="AV1030" s="38"/>
      <c r="AW1030" s="38"/>
      <c r="AX1030" s="38"/>
      <c r="AY1030" s="38"/>
      <c r="AZ1030" s="38"/>
      <c r="BA1030" s="38"/>
      <c r="BB1030" s="38"/>
      <c r="BC1030" s="38"/>
      <c r="BD1030" s="38"/>
      <c r="BE1030" s="38"/>
      <c r="BF1030" s="38"/>
      <c r="BG1030" s="38"/>
      <c r="BH1030" s="38"/>
      <c r="BI1030" s="38"/>
      <c r="BJ1030" s="38"/>
      <c r="BK1030" s="38"/>
      <c r="BL1030" s="38"/>
      <c r="BM1030" s="38"/>
      <c r="BN1030" s="38"/>
      <c r="BO1030" s="38"/>
      <c r="BP1030" s="38"/>
      <c r="BQ1030" s="38"/>
    </row>
    <row r="1031">
      <c r="A1031" s="85" t="s">
        <v>3185</v>
      </c>
      <c r="B1031" s="59">
        <v>43437.0</v>
      </c>
      <c r="C1031" s="79">
        <v>43191.0</v>
      </c>
      <c r="D1031" s="60" t="s">
        <v>1844</v>
      </c>
      <c r="E1031" s="58" t="s">
        <v>41</v>
      </c>
      <c r="F1031" s="58">
        <v>1.0</v>
      </c>
      <c r="G1031" s="58" t="s">
        <v>32</v>
      </c>
      <c r="H1031" s="50">
        <v>1.0</v>
      </c>
      <c r="I1031" s="58" t="s">
        <v>33</v>
      </c>
      <c r="J1031" s="58" t="s">
        <v>147</v>
      </c>
      <c r="K1031" s="58">
        <v>1.0</v>
      </c>
      <c r="L1031" s="58" t="s">
        <v>194</v>
      </c>
      <c r="M1031" s="61" t="s">
        <v>3179</v>
      </c>
      <c r="N1031" s="80"/>
      <c r="O1031" s="88" t="str">
        <f t="shared" si="156"/>
        <v>SD-TX 1:18-cr-00225</v>
      </c>
      <c r="P1031" s="88" t="s">
        <v>3180</v>
      </c>
      <c r="Q1031" s="58">
        <v>1.0</v>
      </c>
      <c r="R1031" s="62"/>
      <c r="S1031" s="37" t="str">
        <f>IFERROR(__xludf.DUMMYFUNCTION("if(not(iserror(index(split(C1031, "" ""),2))), index(split(C1031, "" ""),1),"""")"),"April,")</f>
        <v>April,</v>
      </c>
      <c r="T1031" s="38">
        <f>IFERROR(__xludf.DUMMYFUNCTION("if(S1031="""",C1031,if(not(iserror(index(split(C1031, "" ""),3))), index(split(C1031, "" ""),3),index(split(C1031, "" ""),2)))"),2018.0)</f>
        <v>2018</v>
      </c>
      <c r="U1031" s="38" t="b">
        <f t="shared" si="154"/>
        <v>0</v>
      </c>
      <c r="V1031" s="38"/>
      <c r="W1031" s="40"/>
      <c r="X1031" s="40"/>
      <c r="Y1031" s="40"/>
      <c r="Z1031" s="38"/>
      <c r="AA1031" s="38"/>
      <c r="AB1031" s="38"/>
      <c r="AC1031" s="38"/>
      <c r="AD1031" s="38"/>
      <c r="AE1031" s="38"/>
      <c r="AF1031" s="38"/>
      <c r="AG1031" s="38"/>
      <c r="AH1031" s="38"/>
      <c r="AI1031" s="38"/>
      <c r="AJ1031" s="38"/>
      <c r="AK1031" s="38"/>
      <c r="AL1031" s="38"/>
      <c r="AM1031" s="38"/>
      <c r="AN1031" s="38"/>
      <c r="AO1031" s="38"/>
      <c r="AP1031" s="38"/>
      <c r="AQ1031" s="38"/>
      <c r="AR1031" s="38"/>
      <c r="AS1031" s="38"/>
      <c r="AT1031" s="38"/>
      <c r="AU1031" s="38"/>
      <c r="AV1031" s="38"/>
      <c r="AW1031" s="38"/>
      <c r="AX1031" s="38"/>
      <c r="AY1031" s="38"/>
      <c r="AZ1031" s="38"/>
      <c r="BA1031" s="38"/>
      <c r="BB1031" s="38"/>
      <c r="BC1031" s="38"/>
      <c r="BD1031" s="38"/>
      <c r="BE1031" s="38"/>
      <c r="BF1031" s="38"/>
      <c r="BG1031" s="38"/>
      <c r="BH1031" s="38"/>
      <c r="BI1031" s="38"/>
      <c r="BJ1031" s="38"/>
      <c r="BK1031" s="38"/>
      <c r="BL1031" s="38"/>
      <c r="BM1031" s="38"/>
      <c r="BN1031" s="38"/>
      <c r="BO1031" s="38"/>
      <c r="BP1031" s="38"/>
      <c r="BQ1031" s="38"/>
    </row>
    <row r="1032">
      <c r="A1032" s="58" t="s">
        <v>3186</v>
      </c>
      <c r="B1032" s="59">
        <v>43448.0</v>
      </c>
      <c r="C1032" s="79">
        <v>43191.0</v>
      </c>
      <c r="D1032" s="60" t="s">
        <v>1844</v>
      </c>
      <c r="E1032" s="58" t="s">
        <v>41</v>
      </c>
      <c r="F1032" s="58">
        <v>1.0</v>
      </c>
      <c r="G1032" s="58" t="s">
        <v>32</v>
      </c>
      <c r="H1032" s="33">
        <f>if(G1032="Unknown",1,G1032)</f>
        <v>1</v>
      </c>
      <c r="I1032" s="58" t="s">
        <v>33</v>
      </c>
      <c r="J1032" s="58" t="s">
        <v>179</v>
      </c>
      <c r="K1032" s="58">
        <v>13.0</v>
      </c>
      <c r="L1032" s="58" t="s">
        <v>119</v>
      </c>
      <c r="M1032" s="61" t="s">
        <v>3187</v>
      </c>
      <c r="N1032" s="61" t="s">
        <v>3188</v>
      </c>
      <c r="O1032" s="83" t="str">
        <f>hyperlink("https://bad-boys.us/?q=ED-VA/1:18-cr-00189", "ED-VA 1:18-cr-00189")</f>
        <v>ED-VA 1:18-cr-00189</v>
      </c>
      <c r="P1032" s="58"/>
      <c r="Q1032" s="58">
        <v>1.0</v>
      </c>
      <c r="R1032" s="62"/>
      <c r="S1032" s="37" t="str">
        <f>IFERROR(__xludf.DUMMYFUNCTION("if(not(iserror(index(split(C1032, "" ""),2))), index(split(C1032, "" ""),1),"""")"),"April,")</f>
        <v>April,</v>
      </c>
      <c r="T1032" s="38">
        <f>IFERROR(__xludf.DUMMYFUNCTION("if(S1032="""",C1032,if(not(iserror(index(split(C1032, "" ""),3))), index(split(C1032, "" ""),3),index(split(C1032, "" ""),2)))"),2018.0)</f>
        <v>2018</v>
      </c>
      <c r="U1032" s="38" t="b">
        <f t="shared" si="154"/>
        <v>0</v>
      </c>
      <c r="V1032" s="38"/>
      <c r="W1032" s="40"/>
      <c r="X1032" s="40"/>
      <c r="Y1032" s="40"/>
      <c r="Z1032" s="38"/>
      <c r="AA1032" s="38"/>
      <c r="AB1032" s="38"/>
      <c r="AC1032" s="38"/>
      <c r="AD1032" s="38"/>
      <c r="AE1032" s="38"/>
      <c r="AF1032" s="38"/>
      <c r="AG1032" s="38"/>
      <c r="AH1032" s="38"/>
      <c r="AI1032" s="38"/>
      <c r="AJ1032" s="38"/>
      <c r="AK1032" s="38"/>
      <c r="AL1032" s="38"/>
      <c r="AM1032" s="38"/>
      <c r="AN1032" s="38"/>
      <c r="AO1032" s="38"/>
      <c r="AP1032" s="38"/>
      <c r="AQ1032" s="38"/>
      <c r="AR1032" s="38"/>
      <c r="AS1032" s="38"/>
      <c r="AT1032" s="38"/>
      <c r="AU1032" s="38"/>
      <c r="AV1032" s="38"/>
      <c r="AW1032" s="38"/>
      <c r="AX1032" s="38"/>
      <c r="AY1032" s="38"/>
      <c r="AZ1032" s="38"/>
      <c r="BA1032" s="38"/>
      <c r="BB1032" s="38"/>
      <c r="BC1032" s="38"/>
      <c r="BD1032" s="38"/>
      <c r="BE1032" s="38"/>
      <c r="BF1032" s="38"/>
      <c r="BG1032" s="38"/>
      <c r="BH1032" s="38"/>
      <c r="BI1032" s="38"/>
      <c r="BJ1032" s="38"/>
      <c r="BK1032" s="38"/>
      <c r="BL1032" s="38"/>
      <c r="BM1032" s="38"/>
      <c r="BN1032" s="38"/>
      <c r="BO1032" s="38"/>
      <c r="BP1032" s="38"/>
      <c r="BQ1032" s="38"/>
    </row>
    <row r="1033">
      <c r="A1033" s="47" t="s">
        <v>3189</v>
      </c>
      <c r="B1033" s="48">
        <v>43475.0</v>
      </c>
      <c r="C1033" s="89">
        <v>43191.0</v>
      </c>
      <c r="D1033" s="49" t="s">
        <v>1844</v>
      </c>
      <c r="E1033" s="47" t="s">
        <v>41</v>
      </c>
      <c r="F1033" s="47">
        <v>1.0</v>
      </c>
      <c r="G1033" s="47" t="s">
        <v>32</v>
      </c>
      <c r="H1033" s="50">
        <v>1.0</v>
      </c>
      <c r="I1033" s="47" t="s">
        <v>33</v>
      </c>
      <c r="J1033" s="47" t="s">
        <v>115</v>
      </c>
      <c r="K1033" s="47">
        <v>2.0</v>
      </c>
      <c r="L1033" s="47" t="s">
        <v>76</v>
      </c>
      <c r="M1033" s="51" t="s">
        <v>3190</v>
      </c>
      <c r="N1033" s="52"/>
      <c r="O1033" s="55"/>
      <c r="P1033" s="47"/>
      <c r="Q1033" s="47"/>
      <c r="R1033" s="55"/>
      <c r="S1033" s="37" t="str">
        <f>IFERROR(__xludf.DUMMYFUNCTION("if(not(iserror(index(split(C1033, "" ""),2))), index(split(C1033, "" ""),1),"""")"),"April,")</f>
        <v>April,</v>
      </c>
      <c r="T1033" s="38">
        <f>IFERROR(__xludf.DUMMYFUNCTION("if(S1033="""",C1033,if(not(iserror(index(split(C1033, "" ""),3))), index(split(C1033, "" ""),3),index(split(C1033, "" ""),2)))"),2018.0)</f>
        <v>2018</v>
      </c>
      <c r="U1033" s="38" t="b">
        <f t="shared" si="154"/>
        <v>0</v>
      </c>
      <c r="V1033" s="38"/>
      <c r="W1033" s="40"/>
      <c r="X1033" s="40"/>
      <c r="Y1033" s="40"/>
      <c r="Z1033" s="38"/>
      <c r="AA1033" s="38"/>
      <c r="AB1033" s="38"/>
      <c r="AC1033" s="38"/>
      <c r="AD1033" s="38"/>
      <c r="AE1033" s="38"/>
      <c r="AF1033" s="38"/>
      <c r="AG1033" s="38"/>
      <c r="AH1033" s="38"/>
      <c r="AI1033" s="38"/>
      <c r="AJ1033" s="38"/>
      <c r="AK1033" s="38"/>
      <c r="AL1033" s="38"/>
      <c r="AM1033" s="38"/>
      <c r="AN1033" s="38"/>
      <c r="AO1033" s="38"/>
      <c r="AP1033" s="38"/>
      <c r="AQ1033" s="38"/>
      <c r="AR1033" s="38"/>
      <c r="AS1033" s="38"/>
      <c r="AT1033" s="38"/>
      <c r="AU1033" s="38"/>
      <c r="AV1033" s="38"/>
      <c r="AW1033" s="38"/>
      <c r="AX1033" s="38"/>
      <c r="AY1033" s="38"/>
      <c r="AZ1033" s="38"/>
      <c r="BA1033" s="38"/>
      <c r="BB1033" s="38"/>
      <c r="BC1033" s="38"/>
      <c r="BD1033" s="38"/>
      <c r="BE1033" s="38"/>
      <c r="BF1033" s="38"/>
      <c r="BG1033" s="38"/>
      <c r="BH1033" s="38"/>
      <c r="BI1033" s="38"/>
      <c r="BJ1033" s="38"/>
      <c r="BK1033" s="38"/>
      <c r="BL1033" s="38"/>
      <c r="BM1033" s="38"/>
      <c r="BN1033" s="38"/>
      <c r="BO1033" s="38"/>
      <c r="BP1033" s="38"/>
      <c r="BQ1033" s="38"/>
    </row>
    <row r="1034">
      <c r="A1034" s="13" t="s">
        <v>3191</v>
      </c>
      <c r="B1034" s="30">
        <v>43192.0</v>
      </c>
      <c r="C1034" s="30">
        <v>43192.0</v>
      </c>
      <c r="D1034" s="143">
        <v>43192.0</v>
      </c>
      <c r="E1034" s="13" t="s">
        <v>41</v>
      </c>
      <c r="F1034" s="13">
        <v>2.0</v>
      </c>
      <c r="G1034" s="13" t="s">
        <v>32</v>
      </c>
      <c r="H1034" s="33">
        <f t="shared" ref="H1034:H1035" si="157">if(G1034="Unknown",1,G1034)</f>
        <v>1</v>
      </c>
      <c r="I1034" s="13" t="s">
        <v>33</v>
      </c>
      <c r="J1034" s="13" t="s">
        <v>228</v>
      </c>
      <c r="K1034" s="13" t="s">
        <v>40</v>
      </c>
      <c r="L1034" s="13" t="s">
        <v>3192</v>
      </c>
      <c r="M1034" s="35" t="s">
        <v>3193</v>
      </c>
      <c r="N1034" s="15"/>
      <c r="O1034" s="16"/>
      <c r="P1034" s="16"/>
      <c r="Q1034" s="16"/>
      <c r="R1034" s="16"/>
      <c r="S1034" s="37" t="str">
        <f>IFERROR(__xludf.DUMMYFUNCTION("if(not(iserror(index(split(C1034, "" ""),2))), index(split(C1034, "" ""),1),"""")"),"April")</f>
        <v>April</v>
      </c>
      <c r="T1034" s="38">
        <f>IFERROR(__xludf.DUMMYFUNCTION("if(S1034="""",C1034,if(not(iserror(index(split(C1034, "" ""),3))), index(split(C1034, "" ""),3),index(split(C1034, "" ""),2)))"),2018.0)</f>
        <v>2018</v>
      </c>
      <c r="U1034" s="38" t="b">
        <f t="shared" si="154"/>
        <v>0</v>
      </c>
      <c r="V1034" s="38"/>
      <c r="W1034" s="40"/>
      <c r="X1034" s="40"/>
      <c r="Y1034" s="40"/>
      <c r="Z1034" s="38"/>
      <c r="AA1034" s="38"/>
      <c r="AB1034" s="38"/>
      <c r="AC1034" s="38"/>
      <c r="AD1034" s="38"/>
      <c r="AE1034" s="38"/>
      <c r="AF1034" s="38"/>
      <c r="AG1034" s="38"/>
      <c r="AH1034" s="38"/>
      <c r="AI1034" s="38"/>
      <c r="AJ1034" s="38"/>
      <c r="AK1034" s="38"/>
      <c r="AL1034" s="38"/>
      <c r="AM1034" s="38"/>
      <c r="AN1034" s="38"/>
      <c r="AO1034" s="38"/>
      <c r="AP1034" s="38"/>
      <c r="AQ1034" s="38"/>
      <c r="AR1034" s="38"/>
      <c r="AS1034" s="38"/>
      <c r="AT1034" s="38"/>
      <c r="AU1034" s="38"/>
      <c r="AV1034" s="38"/>
      <c r="AW1034" s="38"/>
      <c r="AX1034" s="38"/>
      <c r="AY1034" s="38"/>
      <c r="AZ1034" s="38"/>
      <c r="BA1034" s="38"/>
      <c r="BB1034" s="38"/>
      <c r="BC1034" s="38"/>
      <c r="BD1034" s="38"/>
      <c r="BE1034" s="38"/>
      <c r="BF1034" s="38"/>
      <c r="BG1034" s="38"/>
      <c r="BH1034" s="38"/>
      <c r="BI1034" s="38"/>
      <c r="BJ1034" s="38"/>
      <c r="BK1034" s="38"/>
      <c r="BL1034" s="38"/>
      <c r="BM1034" s="38"/>
      <c r="BN1034" s="38"/>
      <c r="BO1034" s="38"/>
      <c r="BP1034" s="38"/>
      <c r="BQ1034" s="38"/>
    </row>
    <row r="1035">
      <c r="A1035" s="13" t="s">
        <v>239</v>
      </c>
      <c r="B1035" s="30">
        <v>43193.0</v>
      </c>
      <c r="C1035" s="30">
        <v>43192.0</v>
      </c>
      <c r="D1035" s="143">
        <v>43192.0</v>
      </c>
      <c r="E1035" s="13" t="s">
        <v>41</v>
      </c>
      <c r="F1035" s="13">
        <v>1.0</v>
      </c>
      <c r="G1035" s="13">
        <v>35.0</v>
      </c>
      <c r="H1035" s="33">
        <f t="shared" si="157"/>
        <v>35</v>
      </c>
      <c r="I1035" s="13" t="s">
        <v>33</v>
      </c>
      <c r="J1035" s="13" t="s">
        <v>147</v>
      </c>
      <c r="K1035" s="13">
        <v>1.0</v>
      </c>
      <c r="L1035" s="13" t="s">
        <v>194</v>
      </c>
      <c r="M1035" s="35" t="s">
        <v>3194</v>
      </c>
      <c r="N1035" s="15"/>
      <c r="O1035" s="16"/>
      <c r="P1035" s="16"/>
      <c r="Q1035" s="16"/>
      <c r="R1035" s="16"/>
      <c r="S1035" s="37" t="str">
        <f>IFERROR(__xludf.DUMMYFUNCTION("if(not(iserror(index(split(C1035, "" ""),2))), index(split(C1035, "" ""),1),"""")"),"April")</f>
        <v>April</v>
      </c>
      <c r="T1035" s="38">
        <f>IFERROR(__xludf.DUMMYFUNCTION("if(S1035="""",C1035,if(not(iserror(index(split(C1035, "" ""),3))), index(split(C1035, "" ""),3),index(split(C1035, "" ""),2)))"),2018.0)</f>
        <v>2018</v>
      </c>
      <c r="U1035" s="38" t="b">
        <f t="shared" si="154"/>
        <v>1</v>
      </c>
      <c r="V1035" s="38"/>
      <c r="W1035" s="40"/>
      <c r="X1035" s="40"/>
      <c r="Y1035" s="40"/>
      <c r="Z1035" s="38"/>
      <c r="AA1035" s="38"/>
      <c r="AB1035" s="38"/>
      <c r="AC1035" s="38"/>
      <c r="AD1035" s="38"/>
      <c r="AE1035" s="38"/>
      <c r="AF1035" s="38"/>
      <c r="AG1035" s="38"/>
      <c r="AH1035" s="38"/>
      <c r="AI1035" s="38"/>
      <c r="AJ1035" s="38"/>
      <c r="AK1035" s="38"/>
      <c r="AL1035" s="38"/>
      <c r="AM1035" s="38"/>
      <c r="AN1035" s="38"/>
      <c r="AO1035" s="38"/>
      <c r="AP1035" s="38"/>
      <c r="AQ1035" s="38"/>
      <c r="AR1035" s="38"/>
      <c r="AS1035" s="38"/>
      <c r="AT1035" s="38"/>
      <c r="AU1035" s="38"/>
      <c r="AV1035" s="38"/>
      <c r="AW1035" s="38"/>
      <c r="AX1035" s="38"/>
      <c r="AY1035" s="38"/>
      <c r="AZ1035" s="38"/>
      <c r="BA1035" s="38"/>
      <c r="BB1035" s="38"/>
      <c r="BC1035" s="38"/>
      <c r="BD1035" s="38"/>
      <c r="BE1035" s="38"/>
      <c r="BF1035" s="38"/>
      <c r="BG1035" s="38"/>
      <c r="BH1035" s="38"/>
      <c r="BI1035" s="38"/>
      <c r="BJ1035" s="38"/>
      <c r="BK1035" s="38"/>
      <c r="BL1035" s="38"/>
      <c r="BM1035" s="38"/>
      <c r="BN1035" s="38"/>
      <c r="BO1035" s="38"/>
      <c r="BP1035" s="38"/>
      <c r="BQ1035" s="38"/>
    </row>
    <row r="1036">
      <c r="A1036" s="58" t="s">
        <v>3195</v>
      </c>
      <c r="B1036" s="59">
        <v>43411.0</v>
      </c>
      <c r="C1036" s="59">
        <v>43192.0</v>
      </c>
      <c r="D1036" s="60" t="s">
        <v>3196</v>
      </c>
      <c r="E1036" s="58" t="s">
        <v>41</v>
      </c>
      <c r="F1036" s="58">
        <v>1.0</v>
      </c>
      <c r="G1036" s="58">
        <v>1.0</v>
      </c>
      <c r="H1036" s="50">
        <v>1.0</v>
      </c>
      <c r="I1036" s="58" t="s">
        <v>33</v>
      </c>
      <c r="J1036" s="58" t="s">
        <v>147</v>
      </c>
      <c r="K1036" s="58">
        <v>1.0</v>
      </c>
      <c r="L1036" s="58" t="s">
        <v>3197</v>
      </c>
      <c r="M1036" s="61" t="s">
        <v>3198</v>
      </c>
      <c r="N1036" s="80"/>
      <c r="O1036" s="88" t="str">
        <f>hyperlink("https://bad-boys.us/?q=SD-TX/1:18-cr-00262", "SD-TX 1:18-cr-00262")</f>
        <v>SD-TX 1:18-cr-00262</v>
      </c>
      <c r="P1036" s="88" t="s">
        <v>3199</v>
      </c>
      <c r="Q1036" s="58">
        <v>1.0</v>
      </c>
      <c r="R1036" s="62"/>
      <c r="S1036" s="37" t="str">
        <f>IFERROR(__xludf.DUMMYFUNCTION("if(not(iserror(index(split(C1036, "" ""),2))), index(split(C1036, "" ""),1),"""")"),"April")</f>
        <v>April</v>
      </c>
      <c r="T1036" s="38">
        <f>IFERROR(__xludf.DUMMYFUNCTION("if(S1036="""",C1036,if(not(iserror(index(split(C1036, "" ""),3))), index(split(C1036, "" ""),3),index(split(C1036, "" ""),2)))"),2018.0)</f>
        <v>2018</v>
      </c>
      <c r="U1036" s="38" t="b">
        <f t="shared" si="154"/>
        <v>0</v>
      </c>
      <c r="V1036" s="38"/>
      <c r="W1036" s="40"/>
      <c r="X1036" s="40"/>
      <c r="Y1036" s="40"/>
      <c r="Z1036" s="38"/>
      <c r="AA1036" s="38"/>
      <c r="AB1036" s="38"/>
      <c r="AC1036" s="38"/>
      <c r="AD1036" s="38"/>
      <c r="AE1036" s="38"/>
      <c r="AF1036" s="38"/>
      <c r="AG1036" s="38"/>
      <c r="AH1036" s="38"/>
      <c r="AI1036" s="38"/>
      <c r="AJ1036" s="38"/>
      <c r="AK1036" s="38"/>
      <c r="AL1036" s="38"/>
      <c r="AM1036" s="38"/>
      <c r="AN1036" s="38"/>
      <c r="AO1036" s="38"/>
      <c r="AP1036" s="38"/>
      <c r="AQ1036" s="38"/>
      <c r="AR1036" s="38"/>
      <c r="AS1036" s="38"/>
      <c r="AT1036" s="38"/>
      <c r="AU1036" s="38"/>
      <c r="AV1036" s="38"/>
      <c r="AW1036" s="38"/>
      <c r="AX1036" s="38"/>
      <c r="AY1036" s="38"/>
      <c r="AZ1036" s="38"/>
      <c r="BA1036" s="38"/>
      <c r="BB1036" s="38"/>
      <c r="BC1036" s="38"/>
      <c r="BD1036" s="38"/>
      <c r="BE1036" s="38"/>
      <c r="BF1036" s="38"/>
      <c r="BG1036" s="38"/>
      <c r="BH1036" s="38"/>
      <c r="BI1036" s="38"/>
      <c r="BJ1036" s="38"/>
      <c r="BK1036" s="38"/>
      <c r="BL1036" s="38"/>
      <c r="BM1036" s="38"/>
      <c r="BN1036" s="38"/>
      <c r="BO1036" s="38"/>
      <c r="BP1036" s="38"/>
      <c r="BQ1036" s="38"/>
    </row>
    <row r="1037">
      <c r="A1037" s="87" t="s">
        <v>3200</v>
      </c>
      <c r="B1037" s="48">
        <v>43452.0</v>
      </c>
      <c r="C1037" s="48">
        <v>43192.0</v>
      </c>
      <c r="D1037" s="49" t="s">
        <v>3196</v>
      </c>
      <c r="E1037" s="47" t="s">
        <v>41</v>
      </c>
      <c r="F1037" s="47">
        <v>1.0</v>
      </c>
      <c r="G1037" s="47" t="s">
        <v>32</v>
      </c>
      <c r="H1037" s="33">
        <f>if(G1037="Unknown",1,G1037)</f>
        <v>1</v>
      </c>
      <c r="I1037" s="47" t="s">
        <v>33</v>
      </c>
      <c r="J1037" s="47" t="s">
        <v>111</v>
      </c>
      <c r="K1037" s="47">
        <v>7.0</v>
      </c>
      <c r="L1037" s="47" t="s">
        <v>69</v>
      </c>
      <c r="M1037" s="51" t="s">
        <v>1149</v>
      </c>
      <c r="N1037" s="139"/>
      <c r="O1037" s="55"/>
      <c r="P1037" s="55"/>
      <c r="Q1037" s="47"/>
      <c r="R1037" s="55"/>
      <c r="S1037" s="37" t="str">
        <f>IFERROR(__xludf.DUMMYFUNCTION("if(not(iserror(index(split(C1037, "" ""),2))), index(split(C1037, "" ""),1),"""")"),"April")</f>
        <v>April</v>
      </c>
      <c r="T1037" s="38">
        <f>IFERROR(__xludf.DUMMYFUNCTION("if(S1037="""",C1037,if(not(iserror(index(split(C1037, "" ""),3))), index(split(C1037, "" ""),3),index(split(C1037, "" ""),2)))"),2018.0)</f>
        <v>2018</v>
      </c>
      <c r="U1037" s="38" t="b">
        <f t="shared" si="154"/>
        <v>0</v>
      </c>
      <c r="V1037" s="38"/>
      <c r="W1037" s="40"/>
      <c r="X1037" s="40"/>
      <c r="Y1037" s="40"/>
      <c r="Z1037" s="38"/>
      <c r="AA1037" s="38"/>
      <c r="AB1037" s="38"/>
      <c r="AC1037" s="38"/>
      <c r="AD1037" s="38"/>
      <c r="AE1037" s="38"/>
      <c r="AF1037" s="38"/>
      <c r="AG1037" s="38"/>
      <c r="AH1037" s="38"/>
      <c r="AI1037" s="38"/>
      <c r="AJ1037" s="38"/>
      <c r="AK1037" s="38"/>
      <c r="AL1037" s="38"/>
      <c r="AM1037" s="38"/>
      <c r="AN1037" s="38"/>
      <c r="AO1037" s="38"/>
      <c r="AP1037" s="38"/>
      <c r="AQ1037" s="38"/>
      <c r="AR1037" s="38"/>
      <c r="AS1037" s="38"/>
      <c r="AT1037" s="38"/>
      <c r="AU1037" s="38"/>
      <c r="AV1037" s="38"/>
      <c r="AW1037" s="38"/>
      <c r="AX1037" s="38"/>
      <c r="AY1037" s="38"/>
      <c r="AZ1037" s="38"/>
      <c r="BA1037" s="38"/>
      <c r="BB1037" s="38"/>
      <c r="BC1037" s="38"/>
      <c r="BD1037" s="38"/>
      <c r="BE1037" s="38"/>
      <c r="BF1037" s="38"/>
      <c r="BG1037" s="38"/>
      <c r="BH1037" s="38"/>
      <c r="BI1037" s="38"/>
      <c r="BJ1037" s="38"/>
      <c r="BK1037" s="38"/>
      <c r="BL1037" s="38"/>
      <c r="BM1037" s="38"/>
      <c r="BN1037" s="38"/>
      <c r="BO1037" s="38"/>
      <c r="BP1037" s="38"/>
      <c r="BQ1037" s="38"/>
    </row>
    <row r="1038">
      <c r="A1038" s="13" t="s">
        <v>3201</v>
      </c>
      <c r="B1038" s="30"/>
      <c r="C1038" s="30">
        <v>43193.0</v>
      </c>
      <c r="D1038" s="143"/>
      <c r="E1038" s="13" t="s">
        <v>41</v>
      </c>
      <c r="F1038" s="13">
        <v>1.0</v>
      </c>
      <c r="G1038" s="13" t="s">
        <v>32</v>
      </c>
      <c r="H1038" s="43">
        <v>1.0</v>
      </c>
      <c r="I1038" s="13" t="s">
        <v>33</v>
      </c>
      <c r="J1038" s="13" t="s">
        <v>318</v>
      </c>
      <c r="K1038" s="13"/>
      <c r="L1038" s="13" t="s">
        <v>76</v>
      </c>
      <c r="M1038" s="35" t="s">
        <v>3202</v>
      </c>
      <c r="N1038" s="15"/>
      <c r="O1038" s="16"/>
      <c r="P1038" s="16"/>
      <c r="Q1038" s="37">
        <v>1.0</v>
      </c>
      <c r="R1038" s="16"/>
      <c r="S1038" s="37"/>
      <c r="T1038" s="38"/>
      <c r="U1038" s="38"/>
      <c r="V1038" s="38"/>
      <c r="W1038" s="40"/>
      <c r="X1038" s="40"/>
      <c r="Y1038" s="40"/>
      <c r="Z1038" s="38"/>
      <c r="AA1038" s="38"/>
      <c r="AB1038" s="38"/>
      <c r="AC1038" s="38"/>
      <c r="AD1038" s="38"/>
      <c r="AE1038" s="38"/>
      <c r="AF1038" s="38"/>
      <c r="AG1038" s="38"/>
      <c r="AH1038" s="38"/>
      <c r="AI1038" s="38"/>
      <c r="AJ1038" s="38"/>
      <c r="AK1038" s="38"/>
      <c r="AL1038" s="38"/>
      <c r="AM1038" s="38"/>
      <c r="AN1038" s="38"/>
      <c r="AO1038" s="38"/>
      <c r="AP1038" s="38"/>
      <c r="AQ1038" s="38"/>
      <c r="AR1038" s="38"/>
      <c r="AS1038" s="38"/>
      <c r="AT1038" s="38"/>
      <c r="AU1038" s="38"/>
      <c r="AV1038" s="38"/>
      <c r="AW1038" s="38"/>
      <c r="AX1038" s="38"/>
      <c r="AY1038" s="38"/>
      <c r="AZ1038" s="38"/>
      <c r="BA1038" s="38"/>
      <c r="BB1038" s="38"/>
      <c r="BC1038" s="38"/>
      <c r="BD1038" s="38"/>
      <c r="BE1038" s="38"/>
      <c r="BF1038" s="38"/>
      <c r="BG1038" s="38"/>
      <c r="BH1038" s="38"/>
      <c r="BI1038" s="38"/>
      <c r="BJ1038" s="38"/>
      <c r="BK1038" s="38"/>
      <c r="BL1038" s="38"/>
      <c r="BM1038" s="38"/>
      <c r="BN1038" s="38"/>
      <c r="BO1038" s="38"/>
      <c r="BP1038" s="38"/>
      <c r="BQ1038" s="38"/>
    </row>
    <row r="1039">
      <c r="A1039" s="13" t="s">
        <v>3203</v>
      </c>
      <c r="B1039" s="30">
        <v>43193.0</v>
      </c>
      <c r="C1039" s="30">
        <v>43193.0</v>
      </c>
      <c r="D1039" s="143">
        <v>43193.0</v>
      </c>
      <c r="E1039" s="13" t="s">
        <v>31</v>
      </c>
      <c r="F1039" s="13">
        <v>1.0</v>
      </c>
      <c r="G1039" s="13" t="s">
        <v>32</v>
      </c>
      <c r="H1039" s="33">
        <f>if(G1039="Unknown",1,G1039)</f>
        <v>1</v>
      </c>
      <c r="I1039" s="13" t="s">
        <v>33</v>
      </c>
      <c r="J1039" s="13" t="s">
        <v>85</v>
      </c>
      <c r="K1039" s="13">
        <v>1.0</v>
      </c>
      <c r="L1039" s="13" t="s">
        <v>3204</v>
      </c>
      <c r="M1039" s="35" t="s">
        <v>3205</v>
      </c>
      <c r="N1039" s="15"/>
      <c r="O1039" s="16"/>
      <c r="P1039" s="16"/>
      <c r="Q1039" s="16"/>
      <c r="R1039" s="16"/>
      <c r="S1039" s="37" t="str">
        <f>IFERROR(__xludf.DUMMYFUNCTION("if(not(iserror(index(split(C1039, "" ""),2))), index(split(C1039, "" ""),1),"""")"),"April")</f>
        <v>April</v>
      </c>
      <c r="T1039" s="38">
        <f>IFERROR(__xludf.DUMMYFUNCTION("if(S1039="""",C1039,if(not(iserror(index(split(C1039, "" ""),3))), index(split(C1039, "" ""),3),index(split(C1039, "" ""),2)))"),2018.0)</f>
        <v>2018</v>
      </c>
      <c r="U1039" s="38" t="b">
        <f t="shared" ref="U1039:U1092" si="158">countif(A$4:A4658, A1039)&gt;1</f>
        <v>0</v>
      </c>
      <c r="V1039" s="38"/>
      <c r="W1039" s="40"/>
      <c r="X1039" s="40"/>
      <c r="Y1039" s="40"/>
      <c r="Z1039" s="38"/>
      <c r="AA1039" s="38"/>
      <c r="AB1039" s="38"/>
      <c r="AC1039" s="38"/>
      <c r="AD1039" s="38"/>
      <c r="AE1039" s="38"/>
      <c r="AF1039" s="38"/>
      <c r="AG1039" s="38"/>
      <c r="AH1039" s="38"/>
      <c r="AI1039" s="38"/>
      <c r="AJ1039" s="38"/>
      <c r="AK1039" s="38"/>
      <c r="AL1039" s="38"/>
      <c r="AM1039" s="38"/>
      <c r="AN1039" s="38"/>
      <c r="AO1039" s="38"/>
      <c r="AP1039" s="38"/>
      <c r="AQ1039" s="38"/>
      <c r="AR1039" s="38"/>
      <c r="AS1039" s="38"/>
      <c r="AT1039" s="38"/>
      <c r="AU1039" s="38"/>
      <c r="AV1039" s="38"/>
      <c r="AW1039" s="38"/>
      <c r="AX1039" s="38"/>
      <c r="AY1039" s="38"/>
      <c r="AZ1039" s="38"/>
      <c r="BA1039" s="38"/>
      <c r="BB1039" s="38"/>
      <c r="BC1039" s="38"/>
      <c r="BD1039" s="38"/>
      <c r="BE1039" s="38"/>
      <c r="BF1039" s="38"/>
      <c r="BG1039" s="38"/>
      <c r="BH1039" s="38"/>
      <c r="BI1039" s="38"/>
      <c r="BJ1039" s="38"/>
      <c r="BK1039" s="38"/>
      <c r="BL1039" s="38"/>
      <c r="BM1039" s="38"/>
      <c r="BN1039" s="38"/>
      <c r="BO1039" s="38"/>
      <c r="BP1039" s="38"/>
      <c r="BQ1039" s="38"/>
    </row>
    <row r="1040">
      <c r="A1040" s="13" t="s">
        <v>3206</v>
      </c>
      <c r="B1040" s="30"/>
      <c r="C1040" s="30">
        <v>43193.0</v>
      </c>
      <c r="D1040" s="143"/>
      <c r="E1040" s="13" t="s">
        <v>41</v>
      </c>
      <c r="F1040" s="13">
        <v>1.0</v>
      </c>
      <c r="G1040" s="13" t="s">
        <v>32</v>
      </c>
      <c r="H1040" s="43">
        <v>1.0</v>
      </c>
      <c r="I1040" s="13" t="s">
        <v>33</v>
      </c>
      <c r="J1040" s="13" t="s">
        <v>402</v>
      </c>
      <c r="K1040" s="13"/>
      <c r="L1040" s="13" t="s">
        <v>3207</v>
      </c>
      <c r="M1040" s="35" t="s">
        <v>1707</v>
      </c>
      <c r="N1040" s="15"/>
      <c r="O1040" s="57" t="str">
        <f>hyperlink("https://bad-boys.us/?q=SD-IN/1:18-cr-00096", "SD-IN 1:18-cr-00096")</f>
        <v>SD-IN 1:18-cr-00096</v>
      </c>
      <c r="P1040" s="86" t="s">
        <v>3208</v>
      </c>
      <c r="Q1040" s="37">
        <v>1.0</v>
      </c>
      <c r="R1040" s="16"/>
      <c r="S1040" s="37"/>
      <c r="T1040" s="38"/>
      <c r="U1040" s="38" t="b">
        <f t="shared" si="158"/>
        <v>0</v>
      </c>
      <c r="V1040" s="38" t="s">
        <v>33</v>
      </c>
      <c r="W1040" s="40"/>
      <c r="X1040" s="40"/>
      <c r="Y1040" s="40"/>
      <c r="Z1040" s="38"/>
      <c r="AA1040" s="38"/>
      <c r="AB1040" s="38"/>
      <c r="AC1040" s="38"/>
      <c r="AD1040" s="38"/>
      <c r="AE1040" s="38"/>
      <c r="AF1040" s="38"/>
      <c r="AG1040" s="38"/>
      <c r="AH1040" s="38"/>
      <c r="AI1040" s="38"/>
      <c r="AJ1040" s="38"/>
      <c r="AK1040" s="38"/>
      <c r="AL1040" s="38"/>
      <c r="AM1040" s="38"/>
      <c r="AN1040" s="38"/>
      <c r="AO1040" s="38"/>
      <c r="AP1040" s="38"/>
      <c r="AQ1040" s="38"/>
      <c r="AR1040" s="38"/>
      <c r="AS1040" s="38"/>
      <c r="AT1040" s="38"/>
      <c r="AU1040" s="38"/>
      <c r="AV1040" s="38"/>
      <c r="AW1040" s="38"/>
      <c r="AX1040" s="38"/>
      <c r="AY1040" s="38"/>
      <c r="AZ1040" s="38"/>
      <c r="BA1040" s="38"/>
      <c r="BB1040" s="38"/>
      <c r="BC1040" s="38"/>
      <c r="BD1040" s="38"/>
      <c r="BE1040" s="38"/>
      <c r="BF1040" s="38"/>
      <c r="BG1040" s="38"/>
      <c r="BH1040" s="38"/>
      <c r="BI1040" s="38"/>
      <c r="BJ1040" s="38"/>
      <c r="BK1040" s="38"/>
      <c r="BL1040" s="38"/>
      <c r="BM1040" s="38"/>
      <c r="BN1040" s="38"/>
      <c r="BO1040" s="38"/>
      <c r="BP1040" s="38"/>
      <c r="BQ1040" s="38"/>
    </row>
    <row r="1041">
      <c r="A1041" s="13" t="s">
        <v>3209</v>
      </c>
      <c r="B1041" s="30">
        <v>43193.0</v>
      </c>
      <c r="C1041" s="30">
        <v>43193.0</v>
      </c>
      <c r="D1041" s="32" t="s">
        <v>3210</v>
      </c>
      <c r="E1041" s="13" t="s">
        <v>41</v>
      </c>
      <c r="F1041" s="13">
        <v>1.0</v>
      </c>
      <c r="G1041" s="13" t="s">
        <v>32</v>
      </c>
      <c r="H1041" s="33">
        <f t="shared" ref="H1041:H1046" si="159">if(G1041="Unknown",1,G1041)</f>
        <v>1</v>
      </c>
      <c r="I1041" s="13" t="s">
        <v>33</v>
      </c>
      <c r="J1041" s="13" t="s">
        <v>61</v>
      </c>
      <c r="K1041" s="13" t="s">
        <v>40</v>
      </c>
      <c r="L1041" s="13" t="s">
        <v>69</v>
      </c>
      <c r="M1041" s="56" t="s">
        <v>3211</v>
      </c>
      <c r="N1041" s="15"/>
      <c r="O1041" s="57" t="str">
        <f>hyperlink("https://bad-boys.us/?q=MD-LA/3:18-cr-00139", "MD-LA 3:18-cr-00139")</f>
        <v>MD-LA 3:18-cr-00139</v>
      </c>
      <c r="P1041" s="86" t="s">
        <v>3212</v>
      </c>
      <c r="Q1041" s="64">
        <v>1.0</v>
      </c>
      <c r="R1041" s="16"/>
      <c r="S1041" s="37" t="str">
        <f>IFERROR(__xludf.DUMMYFUNCTION("if(not(iserror(index(split(C1041, "" ""),2))), index(split(C1041, "" ""),1),"""")"),"April")</f>
        <v>April</v>
      </c>
      <c r="T1041" s="38">
        <f>IFERROR(__xludf.DUMMYFUNCTION("if(S1041="""",C1041,if(not(iserror(index(split(C1041, "" ""),3))), index(split(C1041, "" ""),3),index(split(C1041, "" ""),2)))"),2018.0)</f>
        <v>2018</v>
      </c>
      <c r="U1041" s="38" t="b">
        <f t="shared" si="158"/>
        <v>0</v>
      </c>
      <c r="V1041" s="38"/>
      <c r="W1041" s="40"/>
      <c r="X1041" s="40"/>
      <c r="Y1041" s="40"/>
      <c r="Z1041" s="38"/>
      <c r="AA1041" s="38"/>
      <c r="AB1041" s="38"/>
      <c r="AC1041" s="38"/>
      <c r="AD1041" s="38"/>
      <c r="AE1041" s="38"/>
      <c r="AF1041" s="38"/>
      <c r="AG1041" s="38"/>
      <c r="AH1041" s="38"/>
      <c r="AI1041" s="38"/>
      <c r="AJ1041" s="38"/>
      <c r="AK1041" s="38"/>
      <c r="AL1041" s="38"/>
      <c r="AM1041" s="38"/>
      <c r="AN1041" s="38"/>
      <c r="AO1041" s="38"/>
      <c r="AP1041" s="38"/>
      <c r="AQ1041" s="38"/>
      <c r="AR1041" s="38"/>
      <c r="AS1041" s="38"/>
      <c r="AT1041" s="38"/>
      <c r="AU1041" s="38"/>
      <c r="AV1041" s="38"/>
      <c r="AW1041" s="38"/>
      <c r="AX1041" s="38"/>
      <c r="AY1041" s="38"/>
      <c r="AZ1041" s="38"/>
      <c r="BA1041" s="38"/>
      <c r="BB1041" s="38"/>
      <c r="BC1041" s="38"/>
      <c r="BD1041" s="38"/>
      <c r="BE1041" s="38"/>
      <c r="BF1041" s="38"/>
      <c r="BG1041" s="38"/>
      <c r="BH1041" s="38"/>
      <c r="BI1041" s="38"/>
      <c r="BJ1041" s="38"/>
      <c r="BK1041" s="38"/>
      <c r="BL1041" s="38"/>
      <c r="BM1041" s="38"/>
      <c r="BN1041" s="38"/>
      <c r="BO1041" s="38"/>
      <c r="BP1041" s="38"/>
      <c r="BQ1041" s="38"/>
    </row>
    <row r="1042">
      <c r="A1042" s="13" t="s">
        <v>40</v>
      </c>
      <c r="B1042" s="30">
        <v>43194.0</v>
      </c>
      <c r="C1042" s="30">
        <v>43194.0</v>
      </c>
      <c r="D1042" s="32" t="s">
        <v>3213</v>
      </c>
      <c r="E1042" s="13" t="s">
        <v>41</v>
      </c>
      <c r="F1042" s="13">
        <v>20.0</v>
      </c>
      <c r="G1042" s="13" t="s">
        <v>32</v>
      </c>
      <c r="H1042" s="33">
        <f t="shared" si="159"/>
        <v>1</v>
      </c>
      <c r="I1042" s="13" t="s">
        <v>3214</v>
      </c>
      <c r="J1042" s="13"/>
      <c r="K1042" s="13" t="s">
        <v>32</v>
      </c>
      <c r="L1042" s="13" t="s">
        <v>3215</v>
      </c>
      <c r="M1042" s="35" t="s">
        <v>3216</v>
      </c>
      <c r="N1042" s="15"/>
      <c r="O1042" s="16"/>
      <c r="P1042" s="16"/>
      <c r="Q1042" s="16"/>
      <c r="R1042" s="16"/>
      <c r="S1042" s="37" t="str">
        <f>IFERROR(__xludf.DUMMYFUNCTION("if(not(iserror(index(split(C1042, "" ""),2))), index(split(C1042, "" ""),1),"""")"),"April")</f>
        <v>April</v>
      </c>
      <c r="T1042" s="38">
        <f>IFERROR(__xludf.DUMMYFUNCTION("if(S1042="""",C1042,if(not(iserror(index(split(C1042, "" ""),3))), index(split(C1042, "" ""),3),index(split(C1042, "" ""),2)))"),2018.0)</f>
        <v>2018</v>
      </c>
      <c r="U1042" s="38" t="b">
        <f t="shared" si="158"/>
        <v>1</v>
      </c>
      <c r="V1042" s="38"/>
      <c r="W1042" s="40"/>
      <c r="X1042" s="40"/>
      <c r="Y1042" s="40"/>
      <c r="Z1042" s="38"/>
      <c r="AA1042" s="38"/>
      <c r="AB1042" s="38"/>
      <c r="AC1042" s="38"/>
      <c r="AD1042" s="38"/>
      <c r="AE1042" s="38"/>
      <c r="AF1042" s="38"/>
      <c r="AG1042" s="38"/>
      <c r="AH1042" s="38"/>
      <c r="AI1042" s="38"/>
      <c r="AJ1042" s="38"/>
      <c r="AK1042" s="38"/>
      <c r="AL1042" s="38"/>
      <c r="AM1042" s="38"/>
      <c r="AN1042" s="38"/>
      <c r="AO1042" s="38"/>
      <c r="AP1042" s="38"/>
      <c r="AQ1042" s="38"/>
      <c r="AR1042" s="38"/>
      <c r="AS1042" s="38"/>
      <c r="AT1042" s="38"/>
      <c r="AU1042" s="38"/>
      <c r="AV1042" s="38"/>
      <c r="AW1042" s="38"/>
      <c r="AX1042" s="38"/>
      <c r="AY1042" s="38"/>
      <c r="AZ1042" s="38"/>
      <c r="BA1042" s="38"/>
      <c r="BB1042" s="38"/>
      <c r="BC1042" s="38"/>
      <c r="BD1042" s="38"/>
      <c r="BE1042" s="38"/>
      <c r="BF1042" s="38"/>
      <c r="BG1042" s="38"/>
      <c r="BH1042" s="38"/>
      <c r="BI1042" s="38"/>
      <c r="BJ1042" s="38"/>
      <c r="BK1042" s="38"/>
      <c r="BL1042" s="38"/>
      <c r="BM1042" s="38"/>
      <c r="BN1042" s="38"/>
      <c r="BO1042" s="38"/>
      <c r="BP1042" s="38"/>
      <c r="BQ1042" s="38"/>
    </row>
    <row r="1043">
      <c r="A1043" s="13" t="s">
        <v>3217</v>
      </c>
      <c r="B1043" s="30">
        <v>43194.0</v>
      </c>
      <c r="C1043" s="30">
        <v>43194.0</v>
      </c>
      <c r="D1043" s="32" t="s">
        <v>3213</v>
      </c>
      <c r="E1043" s="13" t="s">
        <v>31</v>
      </c>
      <c r="F1043" s="13">
        <v>1.0</v>
      </c>
      <c r="G1043" s="13" t="s">
        <v>32</v>
      </c>
      <c r="H1043" s="33">
        <f t="shared" si="159"/>
        <v>1</v>
      </c>
      <c r="I1043" s="13" t="s">
        <v>33</v>
      </c>
      <c r="J1043" s="13" t="s">
        <v>106</v>
      </c>
      <c r="K1043" s="13">
        <v>2.0</v>
      </c>
      <c r="L1043" s="13" t="s">
        <v>3218</v>
      </c>
      <c r="M1043" s="35" t="s">
        <v>3219</v>
      </c>
      <c r="N1043" s="15"/>
      <c r="O1043" s="16"/>
      <c r="P1043" s="16"/>
      <c r="Q1043" s="16"/>
      <c r="R1043" s="16"/>
      <c r="S1043" s="37" t="str">
        <f>IFERROR(__xludf.DUMMYFUNCTION("if(not(iserror(index(split(C1043, "" ""),2))), index(split(C1043, "" ""),1),"""")"),"April")</f>
        <v>April</v>
      </c>
      <c r="T1043" s="38">
        <f>IFERROR(__xludf.DUMMYFUNCTION("if(S1043="""",C1043,if(not(iserror(index(split(C1043, "" ""),3))), index(split(C1043, "" ""),3),index(split(C1043, "" ""),2)))"),2018.0)</f>
        <v>2018</v>
      </c>
      <c r="U1043" s="38" t="b">
        <f t="shared" si="158"/>
        <v>0</v>
      </c>
      <c r="V1043" s="38"/>
      <c r="W1043" s="40"/>
      <c r="X1043" s="40"/>
      <c r="Y1043" s="40"/>
      <c r="Z1043" s="38"/>
      <c r="AA1043" s="38"/>
      <c r="AB1043" s="38"/>
      <c r="AC1043" s="38"/>
      <c r="AD1043" s="38"/>
      <c r="AE1043" s="38"/>
      <c r="AF1043" s="38"/>
      <c r="AG1043" s="38"/>
      <c r="AH1043" s="38"/>
      <c r="AI1043" s="38"/>
      <c r="AJ1043" s="38"/>
      <c r="AK1043" s="38"/>
      <c r="AL1043" s="38"/>
      <c r="AM1043" s="38"/>
      <c r="AN1043" s="38"/>
      <c r="AO1043" s="38"/>
      <c r="AP1043" s="38"/>
      <c r="AQ1043" s="38"/>
      <c r="AR1043" s="38"/>
      <c r="AS1043" s="38"/>
      <c r="AT1043" s="38"/>
      <c r="AU1043" s="38"/>
      <c r="AV1043" s="38"/>
      <c r="AW1043" s="38"/>
      <c r="AX1043" s="38"/>
      <c r="AY1043" s="38"/>
      <c r="AZ1043" s="38"/>
      <c r="BA1043" s="38"/>
      <c r="BB1043" s="38"/>
      <c r="BC1043" s="38"/>
      <c r="BD1043" s="38"/>
      <c r="BE1043" s="38"/>
      <c r="BF1043" s="38"/>
      <c r="BG1043" s="38"/>
      <c r="BH1043" s="38"/>
      <c r="BI1043" s="38"/>
      <c r="BJ1043" s="38"/>
      <c r="BK1043" s="38"/>
      <c r="BL1043" s="38"/>
      <c r="BM1043" s="38"/>
      <c r="BN1043" s="38"/>
      <c r="BO1043" s="38"/>
      <c r="BP1043" s="38"/>
      <c r="BQ1043" s="38"/>
    </row>
    <row r="1044">
      <c r="A1044" s="58" t="s">
        <v>3220</v>
      </c>
      <c r="B1044" s="59">
        <v>43360.0</v>
      </c>
      <c r="C1044" s="59">
        <v>43194.0</v>
      </c>
      <c r="D1044" s="60" t="s">
        <v>3213</v>
      </c>
      <c r="E1044" s="58" t="s">
        <v>41</v>
      </c>
      <c r="F1044" s="58">
        <v>1.0</v>
      </c>
      <c r="G1044" s="58" t="s">
        <v>32</v>
      </c>
      <c r="H1044" s="33">
        <f t="shared" si="159"/>
        <v>1</v>
      </c>
      <c r="I1044" s="58" t="s">
        <v>33</v>
      </c>
      <c r="J1044" s="58" t="s">
        <v>55</v>
      </c>
      <c r="K1044" s="58">
        <v>4.0</v>
      </c>
      <c r="L1044" s="58" t="s">
        <v>807</v>
      </c>
      <c r="M1044" s="61" t="s">
        <v>3221</v>
      </c>
      <c r="N1044" s="77"/>
      <c r="O1044" s="88" t="str">
        <f>hyperlink("https://bad-boys.us/?q=D-NJ/2:18-cr-00558", "D-NJ 2:18-cr-00558")</f>
        <v>D-NJ 2:18-cr-00558</v>
      </c>
      <c r="P1044" s="62"/>
      <c r="Q1044" s="84">
        <v>1.0</v>
      </c>
      <c r="R1044" s="62"/>
      <c r="S1044" s="37" t="str">
        <f>IFERROR(__xludf.DUMMYFUNCTION("if(not(iserror(index(split(C1044, "" ""),2))), index(split(C1044, "" ""),1),"""")"),"April")</f>
        <v>April</v>
      </c>
      <c r="T1044" s="38">
        <f>IFERROR(__xludf.DUMMYFUNCTION("if(S1044="""",C1044,if(not(iserror(index(split(C1044, "" ""),3))), index(split(C1044, "" ""),3),index(split(C1044, "" ""),2)))"),2018.0)</f>
        <v>2018</v>
      </c>
      <c r="U1044" s="38" t="b">
        <f t="shared" si="158"/>
        <v>0</v>
      </c>
      <c r="V1044" s="38"/>
      <c r="W1044" s="40"/>
      <c r="X1044" s="40"/>
      <c r="Y1044" s="40"/>
      <c r="Z1044" s="38"/>
      <c r="AA1044" s="38"/>
      <c r="AB1044" s="38"/>
      <c r="AC1044" s="38"/>
      <c r="AD1044" s="38"/>
      <c r="AE1044" s="38"/>
      <c r="AF1044" s="38"/>
      <c r="AG1044" s="38"/>
      <c r="AH1044" s="38"/>
      <c r="AI1044" s="38"/>
      <c r="AJ1044" s="38"/>
      <c r="AK1044" s="38"/>
      <c r="AL1044" s="38"/>
      <c r="AM1044" s="38"/>
      <c r="AN1044" s="38"/>
      <c r="AO1044" s="38"/>
      <c r="AP1044" s="38"/>
      <c r="AQ1044" s="38"/>
      <c r="AR1044" s="38"/>
      <c r="AS1044" s="38"/>
      <c r="AT1044" s="38"/>
      <c r="AU1044" s="38"/>
      <c r="AV1044" s="38"/>
      <c r="AW1044" s="38"/>
      <c r="AX1044" s="38"/>
      <c r="AY1044" s="38"/>
      <c r="AZ1044" s="38"/>
      <c r="BA1044" s="38"/>
      <c r="BB1044" s="38"/>
      <c r="BC1044" s="38"/>
      <c r="BD1044" s="38"/>
      <c r="BE1044" s="38"/>
      <c r="BF1044" s="38"/>
      <c r="BG1044" s="38"/>
      <c r="BH1044" s="38"/>
      <c r="BI1044" s="38"/>
      <c r="BJ1044" s="38"/>
      <c r="BK1044" s="38"/>
      <c r="BL1044" s="38"/>
      <c r="BM1044" s="38"/>
      <c r="BN1044" s="38"/>
      <c r="BO1044" s="38"/>
      <c r="BP1044" s="38"/>
      <c r="BQ1044" s="38"/>
    </row>
    <row r="1045">
      <c r="A1045" s="13" t="s">
        <v>3222</v>
      </c>
      <c r="B1045" s="30">
        <v>43195.0</v>
      </c>
      <c r="C1045" s="30">
        <v>43195.0</v>
      </c>
      <c r="D1045" s="32" t="s">
        <v>3223</v>
      </c>
      <c r="E1045" s="13" t="s">
        <v>31</v>
      </c>
      <c r="F1045" s="13">
        <v>1.0</v>
      </c>
      <c r="G1045" s="13" t="s">
        <v>32</v>
      </c>
      <c r="H1045" s="33">
        <f t="shared" si="159"/>
        <v>1</v>
      </c>
      <c r="I1045" s="13" t="s">
        <v>33</v>
      </c>
      <c r="J1045" s="13" t="s">
        <v>47</v>
      </c>
      <c r="K1045" s="13">
        <v>2.0</v>
      </c>
      <c r="L1045" s="13" t="s">
        <v>3218</v>
      </c>
      <c r="M1045" s="35" t="s">
        <v>3224</v>
      </c>
      <c r="N1045" s="15"/>
      <c r="O1045" s="16"/>
      <c r="P1045" s="16"/>
      <c r="Q1045" s="16"/>
      <c r="R1045" s="16"/>
      <c r="S1045" s="37" t="str">
        <f>IFERROR(__xludf.DUMMYFUNCTION("if(not(iserror(index(split(C1045, "" ""),2))), index(split(C1045, "" ""),1),"""")"),"April")</f>
        <v>April</v>
      </c>
      <c r="T1045" s="38">
        <f>IFERROR(__xludf.DUMMYFUNCTION("if(S1045="""",C1045,if(not(iserror(index(split(C1045, "" ""),3))), index(split(C1045, "" ""),3),index(split(C1045, "" ""),2)))"),2018.0)</f>
        <v>2018</v>
      </c>
      <c r="U1045" s="38" t="b">
        <f t="shared" si="158"/>
        <v>0</v>
      </c>
      <c r="V1045" s="38"/>
      <c r="W1045" s="40"/>
      <c r="X1045" s="40"/>
      <c r="Y1045" s="40"/>
      <c r="Z1045" s="38"/>
      <c r="AA1045" s="38"/>
      <c r="AB1045" s="38"/>
      <c r="AC1045" s="38"/>
      <c r="AD1045" s="38"/>
      <c r="AE1045" s="38"/>
      <c r="AF1045" s="38"/>
      <c r="AG1045" s="38"/>
      <c r="AH1045" s="38"/>
      <c r="AI1045" s="38"/>
      <c r="AJ1045" s="38"/>
      <c r="AK1045" s="38"/>
      <c r="AL1045" s="38"/>
      <c r="AM1045" s="38"/>
      <c r="AN1045" s="38"/>
      <c r="AO1045" s="38"/>
      <c r="AP1045" s="38"/>
      <c r="AQ1045" s="38"/>
      <c r="AR1045" s="38"/>
      <c r="AS1045" s="38"/>
      <c r="AT1045" s="38"/>
      <c r="AU1045" s="38"/>
      <c r="AV1045" s="38"/>
      <c r="AW1045" s="38"/>
      <c r="AX1045" s="38"/>
      <c r="AY1045" s="38"/>
      <c r="AZ1045" s="38"/>
      <c r="BA1045" s="38"/>
      <c r="BB1045" s="38"/>
      <c r="BC1045" s="38"/>
      <c r="BD1045" s="38"/>
      <c r="BE1045" s="38"/>
      <c r="BF1045" s="38"/>
      <c r="BG1045" s="38"/>
      <c r="BH1045" s="38"/>
      <c r="BI1045" s="38"/>
      <c r="BJ1045" s="38"/>
      <c r="BK1045" s="38"/>
      <c r="BL1045" s="38"/>
      <c r="BM1045" s="38"/>
      <c r="BN1045" s="38"/>
      <c r="BO1045" s="38"/>
      <c r="BP1045" s="38"/>
      <c r="BQ1045" s="38"/>
    </row>
    <row r="1046">
      <c r="A1046" s="13" t="s">
        <v>3225</v>
      </c>
      <c r="B1046" s="30">
        <v>43196.0</v>
      </c>
      <c r="C1046" s="30">
        <v>43196.0</v>
      </c>
      <c r="D1046" s="32" t="s">
        <v>3226</v>
      </c>
      <c r="E1046" s="13" t="s">
        <v>41</v>
      </c>
      <c r="F1046" s="13">
        <v>1.0</v>
      </c>
      <c r="G1046" s="13" t="s">
        <v>32</v>
      </c>
      <c r="H1046" s="33">
        <f t="shared" si="159"/>
        <v>1</v>
      </c>
      <c r="I1046" s="13" t="s">
        <v>33</v>
      </c>
      <c r="J1046" s="13" t="s">
        <v>1111</v>
      </c>
      <c r="K1046" s="13">
        <v>2.0</v>
      </c>
      <c r="L1046" s="13" t="s">
        <v>3227</v>
      </c>
      <c r="M1046" s="35" t="s">
        <v>3228</v>
      </c>
      <c r="N1046" s="15"/>
      <c r="O1046" s="16"/>
      <c r="P1046" s="16"/>
      <c r="Q1046" s="16"/>
      <c r="R1046" s="16"/>
      <c r="S1046" s="37" t="str">
        <f>IFERROR(__xludf.DUMMYFUNCTION("if(not(iserror(index(split(C1046, "" ""),2))), index(split(C1046, "" ""),1),"""")"),"April")</f>
        <v>April</v>
      </c>
      <c r="T1046" s="38">
        <f>IFERROR(__xludf.DUMMYFUNCTION("if(S1046="""",C1046,if(not(iserror(index(split(C1046, "" ""),3))), index(split(C1046, "" ""),3),index(split(C1046, "" ""),2)))"),2018.0)</f>
        <v>2018</v>
      </c>
      <c r="U1046" s="38" t="b">
        <f t="shared" si="158"/>
        <v>0</v>
      </c>
      <c r="V1046" s="38"/>
      <c r="W1046" s="40"/>
      <c r="X1046" s="40"/>
      <c r="Y1046" s="40"/>
      <c r="Z1046" s="38"/>
      <c r="AA1046" s="38"/>
      <c r="AB1046" s="38"/>
      <c r="AC1046" s="38"/>
      <c r="AD1046" s="38"/>
      <c r="AE1046" s="38"/>
      <c r="AF1046" s="38"/>
      <c r="AG1046" s="38"/>
      <c r="AH1046" s="38"/>
      <c r="AI1046" s="38"/>
      <c r="AJ1046" s="38"/>
      <c r="AK1046" s="38"/>
      <c r="AL1046" s="38"/>
      <c r="AM1046" s="38"/>
      <c r="AN1046" s="38"/>
      <c r="AO1046" s="38"/>
      <c r="AP1046" s="38"/>
      <c r="AQ1046" s="38"/>
      <c r="AR1046" s="38"/>
      <c r="AS1046" s="38"/>
      <c r="AT1046" s="38"/>
      <c r="AU1046" s="38"/>
      <c r="AV1046" s="38"/>
      <c r="AW1046" s="38"/>
      <c r="AX1046" s="38"/>
      <c r="AY1046" s="38"/>
      <c r="AZ1046" s="38"/>
      <c r="BA1046" s="38"/>
      <c r="BB1046" s="38"/>
      <c r="BC1046" s="38"/>
      <c r="BD1046" s="38"/>
      <c r="BE1046" s="38"/>
      <c r="BF1046" s="38"/>
      <c r="BG1046" s="38"/>
      <c r="BH1046" s="38"/>
      <c r="BI1046" s="38"/>
      <c r="BJ1046" s="38"/>
      <c r="BK1046" s="38"/>
      <c r="BL1046" s="38"/>
      <c r="BM1046" s="38"/>
      <c r="BN1046" s="38"/>
      <c r="BO1046" s="38"/>
      <c r="BP1046" s="38"/>
      <c r="BQ1046" s="38"/>
    </row>
    <row r="1047">
      <c r="A1047" s="13" t="s">
        <v>3229</v>
      </c>
      <c r="B1047" s="30">
        <v>43196.0</v>
      </c>
      <c r="C1047" s="30">
        <v>43196.0</v>
      </c>
      <c r="D1047" s="32" t="s">
        <v>3226</v>
      </c>
      <c r="E1047" s="13" t="s">
        <v>41</v>
      </c>
      <c r="F1047" s="13">
        <v>1.0</v>
      </c>
      <c r="G1047" s="13" t="s">
        <v>32</v>
      </c>
      <c r="H1047" s="50">
        <v>1.0</v>
      </c>
      <c r="I1047" s="13" t="s">
        <v>33</v>
      </c>
      <c r="J1047" s="13" t="s">
        <v>93</v>
      </c>
      <c r="K1047" s="13">
        <v>1.0</v>
      </c>
      <c r="L1047" s="13" t="s">
        <v>119</v>
      </c>
      <c r="M1047" s="56" t="s">
        <v>3230</v>
      </c>
      <c r="N1047" s="15"/>
      <c r="O1047" s="16"/>
      <c r="P1047" s="16"/>
      <c r="Q1047" s="37">
        <v>1.0</v>
      </c>
      <c r="R1047" s="16"/>
      <c r="S1047" s="37" t="str">
        <f>IFERROR(__xludf.DUMMYFUNCTION("if(not(iserror(index(split(C1047, "" ""),2))), index(split(C1047, "" ""),1),"""")"),"April")</f>
        <v>April</v>
      </c>
      <c r="T1047" s="38">
        <f>IFERROR(__xludf.DUMMYFUNCTION("if(S1047="""",C1047,if(not(iserror(index(split(C1047, "" ""),3))), index(split(C1047, "" ""),3),index(split(C1047, "" ""),2)))"),2018.0)</f>
        <v>2018</v>
      </c>
      <c r="U1047" s="38" t="b">
        <f t="shared" si="158"/>
        <v>0</v>
      </c>
      <c r="V1047" s="38"/>
      <c r="W1047" s="40"/>
      <c r="X1047" s="40"/>
      <c r="Y1047" s="40"/>
      <c r="Z1047" s="38"/>
      <c r="AA1047" s="38"/>
      <c r="AB1047" s="38"/>
      <c r="AC1047" s="38"/>
      <c r="AD1047" s="38"/>
      <c r="AE1047" s="38"/>
      <c r="AF1047" s="38"/>
      <c r="AG1047" s="38"/>
      <c r="AH1047" s="38"/>
      <c r="AI1047" s="38"/>
      <c r="AJ1047" s="38"/>
      <c r="AK1047" s="38"/>
      <c r="AL1047" s="38"/>
      <c r="AM1047" s="38"/>
      <c r="AN1047" s="38"/>
      <c r="AO1047" s="38"/>
      <c r="AP1047" s="38"/>
      <c r="AQ1047" s="38"/>
      <c r="AR1047" s="38"/>
      <c r="AS1047" s="38"/>
      <c r="AT1047" s="38"/>
      <c r="AU1047" s="38"/>
      <c r="AV1047" s="38"/>
      <c r="AW1047" s="38"/>
      <c r="AX1047" s="38"/>
      <c r="AY1047" s="38"/>
      <c r="AZ1047" s="38"/>
      <c r="BA1047" s="38"/>
      <c r="BB1047" s="38"/>
      <c r="BC1047" s="38"/>
      <c r="BD1047" s="38"/>
      <c r="BE1047" s="38"/>
      <c r="BF1047" s="38"/>
      <c r="BG1047" s="38"/>
      <c r="BH1047" s="38"/>
      <c r="BI1047" s="38"/>
      <c r="BJ1047" s="38"/>
      <c r="BK1047" s="38"/>
      <c r="BL1047" s="38"/>
      <c r="BM1047" s="38"/>
      <c r="BN1047" s="38"/>
      <c r="BO1047" s="38"/>
      <c r="BP1047" s="38"/>
      <c r="BQ1047" s="38"/>
    </row>
    <row r="1048">
      <c r="A1048" s="34" t="s">
        <v>3231</v>
      </c>
      <c r="B1048" s="73">
        <v>43201.0</v>
      </c>
      <c r="C1048" s="73">
        <v>43196.0</v>
      </c>
      <c r="D1048" s="75" t="s">
        <v>3226</v>
      </c>
      <c r="E1048" s="34" t="s">
        <v>41</v>
      </c>
      <c r="F1048" s="34">
        <v>1.0</v>
      </c>
      <c r="G1048" s="34" t="s">
        <v>32</v>
      </c>
      <c r="H1048" s="33">
        <f t="shared" ref="H1048:H1064" si="160">if(G1048="Unknown",1,G1048)</f>
        <v>1</v>
      </c>
      <c r="I1048" s="34" t="s">
        <v>33</v>
      </c>
      <c r="J1048" s="34" t="s">
        <v>850</v>
      </c>
      <c r="K1048" s="34">
        <v>1.0</v>
      </c>
      <c r="L1048" s="34" t="s">
        <v>69</v>
      </c>
      <c r="M1048" s="76" t="s">
        <v>3232</v>
      </c>
      <c r="N1048" s="61" t="s">
        <v>3233</v>
      </c>
      <c r="O1048" s="88" t="str">
        <f>hyperlink("https://bad-boys.us/?q=D-NJ/1:18-cr-00182", "D-NJ 1:18-cr-00182")</f>
        <v>D-NJ 1:18-cr-00182</v>
      </c>
      <c r="P1048" s="62"/>
      <c r="Q1048" s="84">
        <v>1.0</v>
      </c>
      <c r="R1048" s="62"/>
      <c r="S1048" s="37" t="str">
        <f>IFERROR(__xludf.DUMMYFUNCTION("if(not(iserror(index(split(C1048, "" ""),2))), index(split(C1048, "" ""),1),"""")"),"April")</f>
        <v>April</v>
      </c>
      <c r="T1048" s="38">
        <f>IFERROR(__xludf.DUMMYFUNCTION("if(S1048="""",C1048,if(not(iserror(index(split(C1048, "" ""),3))), index(split(C1048, "" ""),3),index(split(C1048, "" ""),2)))"),2018.0)</f>
        <v>2018</v>
      </c>
      <c r="U1048" s="38" t="b">
        <f t="shared" si="158"/>
        <v>0</v>
      </c>
      <c r="V1048" s="38"/>
      <c r="W1048" s="40"/>
      <c r="X1048" s="40"/>
      <c r="Y1048" s="40"/>
      <c r="Z1048" s="38"/>
      <c r="AA1048" s="38"/>
      <c r="AB1048" s="38"/>
      <c r="AC1048" s="38"/>
      <c r="AD1048" s="38"/>
      <c r="AE1048" s="38"/>
      <c r="AF1048" s="38"/>
      <c r="AG1048" s="38"/>
      <c r="AH1048" s="38"/>
      <c r="AI1048" s="38"/>
      <c r="AJ1048" s="38"/>
      <c r="AK1048" s="38"/>
      <c r="AL1048" s="38"/>
      <c r="AM1048" s="38"/>
      <c r="AN1048" s="38"/>
      <c r="AO1048" s="38"/>
      <c r="AP1048" s="38"/>
      <c r="AQ1048" s="38"/>
      <c r="AR1048" s="38"/>
      <c r="AS1048" s="38"/>
      <c r="AT1048" s="38"/>
      <c r="AU1048" s="38"/>
      <c r="AV1048" s="38"/>
      <c r="AW1048" s="38"/>
      <c r="AX1048" s="38"/>
      <c r="AY1048" s="38"/>
      <c r="AZ1048" s="38"/>
      <c r="BA1048" s="38"/>
      <c r="BB1048" s="38"/>
      <c r="BC1048" s="38"/>
      <c r="BD1048" s="38"/>
      <c r="BE1048" s="38"/>
      <c r="BF1048" s="38"/>
      <c r="BG1048" s="38"/>
      <c r="BH1048" s="38"/>
      <c r="BI1048" s="38"/>
      <c r="BJ1048" s="38"/>
      <c r="BK1048" s="38"/>
      <c r="BL1048" s="38"/>
      <c r="BM1048" s="38"/>
      <c r="BN1048" s="38"/>
      <c r="BO1048" s="38"/>
      <c r="BP1048" s="38"/>
      <c r="BQ1048" s="38"/>
    </row>
    <row r="1049">
      <c r="A1049" s="34" t="s">
        <v>3234</v>
      </c>
      <c r="B1049" s="73">
        <v>43202.0</v>
      </c>
      <c r="C1049" s="73">
        <v>43196.0</v>
      </c>
      <c r="D1049" s="75" t="s">
        <v>3226</v>
      </c>
      <c r="E1049" s="34" t="s">
        <v>41</v>
      </c>
      <c r="F1049" s="34">
        <v>1.0</v>
      </c>
      <c r="G1049" s="34" t="s">
        <v>32</v>
      </c>
      <c r="H1049" s="33">
        <f t="shared" si="160"/>
        <v>1</v>
      </c>
      <c r="I1049" s="34" t="s">
        <v>33</v>
      </c>
      <c r="J1049" s="34" t="s">
        <v>241</v>
      </c>
      <c r="K1049" s="34" t="s">
        <v>40</v>
      </c>
      <c r="L1049" s="34" t="s">
        <v>3235</v>
      </c>
      <c r="M1049" s="76" t="s">
        <v>3098</v>
      </c>
      <c r="N1049" s="61" t="s">
        <v>3236</v>
      </c>
      <c r="O1049" s="140" t="str">
        <f t="shared" ref="O1049:O1055" si="161">hyperlink("https://bad-boys.us/?q=D-AZ/2:18-cr-00422", "D-AZ 2:18-cr-00422")</f>
        <v>D-AZ 2:18-cr-00422</v>
      </c>
      <c r="P1049" s="140" t="s">
        <v>3237</v>
      </c>
      <c r="Q1049" s="58">
        <v>1.0</v>
      </c>
      <c r="R1049" s="62"/>
      <c r="S1049" s="37" t="str">
        <f>IFERROR(__xludf.DUMMYFUNCTION("if(not(iserror(index(split(C1049, "" ""),2))), index(split(C1049, "" ""),1),"""")"),"April")</f>
        <v>April</v>
      </c>
      <c r="T1049" s="38">
        <f>IFERROR(__xludf.DUMMYFUNCTION("if(S1049="""",C1049,if(not(iserror(index(split(C1049, "" ""),3))), index(split(C1049, "" ""),3),index(split(C1049, "" ""),2)))"),2018.0)</f>
        <v>2018</v>
      </c>
      <c r="U1049" s="38" t="b">
        <f t="shared" si="158"/>
        <v>0</v>
      </c>
      <c r="V1049" s="38"/>
      <c r="W1049" s="40"/>
      <c r="X1049" s="40"/>
      <c r="Y1049" s="40"/>
      <c r="Z1049" s="38"/>
      <c r="AA1049" s="38"/>
      <c r="AB1049" s="38"/>
      <c r="AC1049" s="38"/>
      <c r="AD1049" s="38"/>
      <c r="AE1049" s="38"/>
      <c r="AF1049" s="38"/>
      <c r="AG1049" s="38"/>
      <c r="AH1049" s="38"/>
      <c r="AI1049" s="38"/>
      <c r="AJ1049" s="38"/>
      <c r="AK1049" s="38"/>
      <c r="AL1049" s="38"/>
      <c r="AM1049" s="38"/>
      <c r="AN1049" s="38"/>
      <c r="AO1049" s="38"/>
      <c r="AP1049" s="38"/>
      <c r="AQ1049" s="38"/>
      <c r="AR1049" s="38"/>
      <c r="AS1049" s="38"/>
      <c r="AT1049" s="38"/>
      <c r="AU1049" s="38"/>
      <c r="AV1049" s="38"/>
      <c r="AW1049" s="38"/>
      <c r="AX1049" s="38"/>
      <c r="AY1049" s="38"/>
      <c r="AZ1049" s="38"/>
      <c r="BA1049" s="38"/>
      <c r="BB1049" s="38"/>
      <c r="BC1049" s="38"/>
      <c r="BD1049" s="38"/>
      <c r="BE1049" s="38"/>
      <c r="BF1049" s="38"/>
      <c r="BG1049" s="38"/>
      <c r="BH1049" s="38"/>
      <c r="BI1049" s="38"/>
      <c r="BJ1049" s="38"/>
      <c r="BK1049" s="38"/>
      <c r="BL1049" s="38"/>
      <c r="BM1049" s="38"/>
      <c r="BN1049" s="38"/>
      <c r="BO1049" s="38"/>
      <c r="BP1049" s="38"/>
      <c r="BQ1049" s="38"/>
    </row>
    <row r="1050">
      <c r="A1050" s="34" t="s">
        <v>3238</v>
      </c>
      <c r="B1050" s="73">
        <v>43202.0</v>
      </c>
      <c r="C1050" s="73">
        <v>43196.0</v>
      </c>
      <c r="D1050" s="75" t="s">
        <v>3226</v>
      </c>
      <c r="E1050" s="34" t="s">
        <v>41</v>
      </c>
      <c r="F1050" s="34">
        <v>1.0</v>
      </c>
      <c r="G1050" s="34" t="s">
        <v>32</v>
      </c>
      <c r="H1050" s="33">
        <f t="shared" si="160"/>
        <v>1</v>
      </c>
      <c r="I1050" s="34" t="s">
        <v>33</v>
      </c>
      <c r="J1050" s="34" t="s">
        <v>241</v>
      </c>
      <c r="K1050" s="34" t="s">
        <v>40</v>
      </c>
      <c r="L1050" s="34" t="s">
        <v>3235</v>
      </c>
      <c r="M1050" s="76" t="s">
        <v>3098</v>
      </c>
      <c r="N1050" s="61" t="s">
        <v>3236</v>
      </c>
      <c r="O1050" s="140" t="str">
        <f t="shared" si="161"/>
        <v>D-AZ 2:18-cr-00422</v>
      </c>
      <c r="P1050" s="140" t="s">
        <v>3237</v>
      </c>
      <c r="Q1050" s="58">
        <v>1.0</v>
      </c>
      <c r="R1050" s="62"/>
      <c r="S1050" s="37" t="str">
        <f>IFERROR(__xludf.DUMMYFUNCTION("if(not(iserror(index(split(C1050, "" ""),2))), index(split(C1050, "" ""),1),"""")"),"April")</f>
        <v>April</v>
      </c>
      <c r="T1050" s="38">
        <f>IFERROR(__xludf.DUMMYFUNCTION("if(S1050="""",C1050,if(not(iserror(index(split(C1050, "" ""),3))), index(split(C1050, "" ""),3),index(split(C1050, "" ""),2)))"),2018.0)</f>
        <v>2018</v>
      </c>
      <c r="U1050" s="38" t="b">
        <f t="shared" si="158"/>
        <v>0</v>
      </c>
      <c r="V1050" s="38"/>
      <c r="W1050" s="40"/>
      <c r="X1050" s="40"/>
      <c r="Y1050" s="40"/>
      <c r="Z1050" s="38"/>
      <c r="AA1050" s="38"/>
      <c r="AB1050" s="38"/>
      <c r="AC1050" s="38"/>
      <c r="AD1050" s="38"/>
      <c r="AE1050" s="38"/>
      <c r="AF1050" s="38"/>
      <c r="AG1050" s="38"/>
      <c r="AH1050" s="38"/>
      <c r="AI1050" s="38"/>
      <c r="AJ1050" s="38"/>
      <c r="AK1050" s="38"/>
      <c r="AL1050" s="38"/>
      <c r="AM1050" s="38"/>
      <c r="AN1050" s="38"/>
      <c r="AO1050" s="38"/>
      <c r="AP1050" s="38"/>
      <c r="AQ1050" s="38"/>
      <c r="AR1050" s="38"/>
      <c r="AS1050" s="38"/>
      <c r="AT1050" s="38"/>
      <c r="AU1050" s="38"/>
      <c r="AV1050" s="38"/>
      <c r="AW1050" s="38"/>
      <c r="AX1050" s="38"/>
      <c r="AY1050" s="38"/>
      <c r="AZ1050" s="38"/>
      <c r="BA1050" s="38"/>
      <c r="BB1050" s="38"/>
      <c r="BC1050" s="38"/>
      <c r="BD1050" s="38"/>
      <c r="BE1050" s="38"/>
      <c r="BF1050" s="38"/>
      <c r="BG1050" s="38"/>
      <c r="BH1050" s="38"/>
      <c r="BI1050" s="38"/>
      <c r="BJ1050" s="38"/>
      <c r="BK1050" s="38"/>
      <c r="BL1050" s="38"/>
      <c r="BM1050" s="38"/>
      <c r="BN1050" s="38"/>
      <c r="BO1050" s="38"/>
      <c r="BP1050" s="38"/>
      <c r="BQ1050" s="38"/>
    </row>
    <row r="1051">
      <c r="A1051" s="34" t="s">
        <v>3239</v>
      </c>
      <c r="B1051" s="73">
        <v>43202.0</v>
      </c>
      <c r="C1051" s="73">
        <v>43196.0</v>
      </c>
      <c r="D1051" s="75" t="s">
        <v>3226</v>
      </c>
      <c r="E1051" s="34" t="s">
        <v>41</v>
      </c>
      <c r="F1051" s="34">
        <v>1.0</v>
      </c>
      <c r="G1051" s="34" t="s">
        <v>32</v>
      </c>
      <c r="H1051" s="33">
        <f t="shared" si="160"/>
        <v>1</v>
      </c>
      <c r="I1051" s="34" t="s">
        <v>33</v>
      </c>
      <c r="J1051" s="34" t="s">
        <v>241</v>
      </c>
      <c r="K1051" s="34" t="s">
        <v>40</v>
      </c>
      <c r="L1051" s="34" t="s">
        <v>3235</v>
      </c>
      <c r="M1051" s="76" t="s">
        <v>3098</v>
      </c>
      <c r="N1051" s="61" t="s">
        <v>3236</v>
      </c>
      <c r="O1051" s="140" t="str">
        <f t="shared" si="161"/>
        <v>D-AZ 2:18-cr-00422</v>
      </c>
      <c r="P1051" s="140" t="s">
        <v>3237</v>
      </c>
      <c r="Q1051" s="58">
        <v>1.0</v>
      </c>
      <c r="R1051" s="62"/>
      <c r="S1051" s="37" t="str">
        <f>IFERROR(__xludf.DUMMYFUNCTION("if(not(iserror(index(split(C1051, "" ""),2))), index(split(C1051, "" ""),1),"""")"),"April")</f>
        <v>April</v>
      </c>
      <c r="T1051" s="38">
        <f>IFERROR(__xludf.DUMMYFUNCTION("if(S1051="""",C1051,if(not(iserror(index(split(C1051, "" ""),3))), index(split(C1051, "" ""),3),index(split(C1051, "" ""),2)))"),2018.0)</f>
        <v>2018</v>
      </c>
      <c r="U1051" s="38" t="b">
        <f t="shared" si="158"/>
        <v>0</v>
      </c>
      <c r="V1051" s="38"/>
      <c r="W1051" s="40"/>
      <c r="X1051" s="40"/>
      <c r="Y1051" s="40"/>
      <c r="Z1051" s="38"/>
      <c r="AA1051" s="38"/>
      <c r="AB1051" s="38"/>
      <c r="AC1051" s="38"/>
      <c r="AD1051" s="38"/>
      <c r="AE1051" s="38"/>
      <c r="AF1051" s="38"/>
      <c r="AG1051" s="38"/>
      <c r="AH1051" s="38"/>
      <c r="AI1051" s="38"/>
      <c r="AJ1051" s="38"/>
      <c r="AK1051" s="38"/>
      <c r="AL1051" s="38"/>
      <c r="AM1051" s="38"/>
      <c r="AN1051" s="38"/>
      <c r="AO1051" s="38"/>
      <c r="AP1051" s="38"/>
      <c r="AQ1051" s="38"/>
      <c r="AR1051" s="38"/>
      <c r="AS1051" s="38"/>
      <c r="AT1051" s="38"/>
      <c r="AU1051" s="38"/>
      <c r="AV1051" s="38"/>
      <c r="AW1051" s="38"/>
      <c r="AX1051" s="38"/>
      <c r="AY1051" s="38"/>
      <c r="AZ1051" s="38"/>
      <c r="BA1051" s="38"/>
      <c r="BB1051" s="38"/>
      <c r="BC1051" s="38"/>
      <c r="BD1051" s="38"/>
      <c r="BE1051" s="38"/>
      <c r="BF1051" s="38"/>
      <c r="BG1051" s="38"/>
      <c r="BH1051" s="38"/>
      <c r="BI1051" s="38"/>
      <c r="BJ1051" s="38"/>
      <c r="BK1051" s="38"/>
      <c r="BL1051" s="38"/>
      <c r="BM1051" s="38"/>
      <c r="BN1051" s="38"/>
      <c r="BO1051" s="38"/>
      <c r="BP1051" s="38"/>
      <c r="BQ1051" s="38"/>
    </row>
    <row r="1052">
      <c r="A1052" s="34" t="s">
        <v>3240</v>
      </c>
      <c r="B1052" s="73">
        <v>43202.0</v>
      </c>
      <c r="C1052" s="73">
        <v>43196.0</v>
      </c>
      <c r="D1052" s="75" t="s">
        <v>3226</v>
      </c>
      <c r="E1052" s="34" t="s">
        <v>41</v>
      </c>
      <c r="F1052" s="34">
        <v>1.0</v>
      </c>
      <c r="G1052" s="34" t="s">
        <v>32</v>
      </c>
      <c r="H1052" s="33">
        <f t="shared" si="160"/>
        <v>1</v>
      </c>
      <c r="I1052" s="34" t="s">
        <v>33</v>
      </c>
      <c r="J1052" s="34" t="s">
        <v>241</v>
      </c>
      <c r="K1052" s="34" t="s">
        <v>40</v>
      </c>
      <c r="L1052" s="34" t="s">
        <v>3235</v>
      </c>
      <c r="M1052" s="76" t="s">
        <v>3098</v>
      </c>
      <c r="N1052" s="61" t="s">
        <v>3236</v>
      </c>
      <c r="O1052" s="140" t="str">
        <f t="shared" si="161"/>
        <v>D-AZ 2:18-cr-00422</v>
      </c>
      <c r="P1052" s="140" t="s">
        <v>3237</v>
      </c>
      <c r="Q1052" s="58">
        <v>1.0</v>
      </c>
      <c r="R1052" s="62"/>
      <c r="S1052" s="37" t="str">
        <f>IFERROR(__xludf.DUMMYFUNCTION("if(not(iserror(index(split(C1052, "" ""),2))), index(split(C1052, "" ""),1),"""")"),"April")</f>
        <v>April</v>
      </c>
      <c r="T1052" s="38">
        <f>IFERROR(__xludf.DUMMYFUNCTION("if(S1052="""",C1052,if(not(iserror(index(split(C1052, "" ""),3))), index(split(C1052, "" ""),3),index(split(C1052, "" ""),2)))"),2018.0)</f>
        <v>2018</v>
      </c>
      <c r="U1052" s="38" t="b">
        <f t="shared" si="158"/>
        <v>0</v>
      </c>
      <c r="V1052" s="38"/>
      <c r="W1052" s="40"/>
      <c r="X1052" s="40"/>
      <c r="Y1052" s="40"/>
      <c r="Z1052" s="38"/>
      <c r="AA1052" s="38"/>
      <c r="AB1052" s="38"/>
      <c r="AC1052" s="38"/>
      <c r="AD1052" s="38"/>
      <c r="AE1052" s="38"/>
      <c r="AF1052" s="38"/>
      <c r="AG1052" s="38"/>
      <c r="AH1052" s="38"/>
      <c r="AI1052" s="38"/>
      <c r="AJ1052" s="38"/>
      <c r="AK1052" s="38"/>
      <c r="AL1052" s="38"/>
      <c r="AM1052" s="38"/>
      <c r="AN1052" s="38"/>
      <c r="AO1052" s="38"/>
      <c r="AP1052" s="38"/>
      <c r="AQ1052" s="38"/>
      <c r="AR1052" s="38"/>
      <c r="AS1052" s="38"/>
      <c r="AT1052" s="38"/>
      <c r="AU1052" s="38"/>
      <c r="AV1052" s="38"/>
      <c r="AW1052" s="38"/>
      <c r="AX1052" s="38"/>
      <c r="AY1052" s="38"/>
      <c r="AZ1052" s="38"/>
      <c r="BA1052" s="38"/>
      <c r="BB1052" s="38"/>
      <c r="BC1052" s="38"/>
      <c r="BD1052" s="38"/>
      <c r="BE1052" s="38"/>
      <c r="BF1052" s="38"/>
      <c r="BG1052" s="38"/>
      <c r="BH1052" s="38"/>
      <c r="BI1052" s="38"/>
      <c r="BJ1052" s="38"/>
      <c r="BK1052" s="38"/>
      <c r="BL1052" s="38"/>
      <c r="BM1052" s="38"/>
      <c r="BN1052" s="38"/>
      <c r="BO1052" s="38"/>
      <c r="BP1052" s="38"/>
      <c r="BQ1052" s="38"/>
    </row>
    <row r="1053">
      <c r="A1053" s="34" t="s">
        <v>3241</v>
      </c>
      <c r="B1053" s="73">
        <v>43202.0</v>
      </c>
      <c r="C1053" s="73">
        <v>43196.0</v>
      </c>
      <c r="D1053" s="75" t="s">
        <v>3226</v>
      </c>
      <c r="E1053" s="34" t="s">
        <v>41</v>
      </c>
      <c r="F1053" s="34">
        <v>1.0</v>
      </c>
      <c r="G1053" s="34" t="s">
        <v>32</v>
      </c>
      <c r="H1053" s="33">
        <f t="shared" si="160"/>
        <v>1</v>
      </c>
      <c r="I1053" s="34" t="s">
        <v>33</v>
      </c>
      <c r="J1053" s="34" t="s">
        <v>147</v>
      </c>
      <c r="K1053" s="34" t="s">
        <v>40</v>
      </c>
      <c r="L1053" s="34" t="s">
        <v>3235</v>
      </c>
      <c r="M1053" s="76" t="s">
        <v>3098</v>
      </c>
      <c r="N1053" s="61" t="s">
        <v>3236</v>
      </c>
      <c r="O1053" s="140" t="str">
        <f t="shared" si="161"/>
        <v>D-AZ 2:18-cr-00422</v>
      </c>
      <c r="P1053" s="140" t="s">
        <v>3237</v>
      </c>
      <c r="Q1053" s="58">
        <v>1.0</v>
      </c>
      <c r="R1053" s="62"/>
      <c r="S1053" s="37" t="str">
        <f>IFERROR(__xludf.DUMMYFUNCTION("if(not(iserror(index(split(C1053, "" ""),2))), index(split(C1053, "" ""),1),"""")"),"April")</f>
        <v>April</v>
      </c>
      <c r="T1053" s="38">
        <f>IFERROR(__xludf.DUMMYFUNCTION("if(S1053="""",C1053,if(not(iserror(index(split(C1053, "" ""),3))), index(split(C1053, "" ""),3),index(split(C1053, "" ""),2)))"),2018.0)</f>
        <v>2018</v>
      </c>
      <c r="U1053" s="38" t="b">
        <f t="shared" si="158"/>
        <v>0</v>
      </c>
      <c r="V1053" s="38"/>
      <c r="W1053" s="40"/>
      <c r="X1053" s="40"/>
      <c r="Y1053" s="40"/>
      <c r="Z1053" s="38"/>
      <c r="AA1053" s="38"/>
      <c r="AB1053" s="38"/>
      <c r="AC1053" s="38"/>
      <c r="AD1053" s="38"/>
      <c r="AE1053" s="38"/>
      <c r="AF1053" s="38"/>
      <c r="AG1053" s="38"/>
      <c r="AH1053" s="38"/>
      <c r="AI1053" s="38"/>
      <c r="AJ1053" s="38"/>
      <c r="AK1053" s="38"/>
      <c r="AL1053" s="38"/>
      <c r="AM1053" s="38"/>
      <c r="AN1053" s="38"/>
      <c r="AO1053" s="38"/>
      <c r="AP1053" s="38"/>
      <c r="AQ1053" s="38"/>
      <c r="AR1053" s="38"/>
      <c r="AS1053" s="38"/>
      <c r="AT1053" s="38"/>
      <c r="AU1053" s="38"/>
      <c r="AV1053" s="38"/>
      <c r="AW1053" s="38"/>
      <c r="AX1053" s="38"/>
      <c r="AY1053" s="38"/>
      <c r="AZ1053" s="38"/>
      <c r="BA1053" s="38"/>
      <c r="BB1053" s="38"/>
      <c r="BC1053" s="38"/>
      <c r="BD1053" s="38"/>
      <c r="BE1053" s="38"/>
      <c r="BF1053" s="38"/>
      <c r="BG1053" s="38"/>
      <c r="BH1053" s="38"/>
      <c r="BI1053" s="38"/>
      <c r="BJ1053" s="38"/>
      <c r="BK1053" s="38"/>
      <c r="BL1053" s="38"/>
      <c r="BM1053" s="38"/>
      <c r="BN1053" s="38"/>
      <c r="BO1053" s="38"/>
      <c r="BP1053" s="38"/>
      <c r="BQ1053" s="38"/>
    </row>
    <row r="1054">
      <c r="A1054" s="34" t="s">
        <v>3242</v>
      </c>
      <c r="B1054" s="73">
        <v>43202.0</v>
      </c>
      <c r="C1054" s="73">
        <v>43196.0</v>
      </c>
      <c r="D1054" s="75" t="s">
        <v>3226</v>
      </c>
      <c r="E1054" s="34" t="s">
        <v>41</v>
      </c>
      <c r="F1054" s="34">
        <v>1.0</v>
      </c>
      <c r="G1054" s="34" t="s">
        <v>32</v>
      </c>
      <c r="H1054" s="33">
        <f t="shared" si="160"/>
        <v>1</v>
      </c>
      <c r="I1054" s="34" t="s">
        <v>33</v>
      </c>
      <c r="J1054" s="34" t="s">
        <v>147</v>
      </c>
      <c r="K1054" s="34" t="s">
        <v>40</v>
      </c>
      <c r="L1054" s="34" t="s">
        <v>3235</v>
      </c>
      <c r="M1054" s="76" t="s">
        <v>3098</v>
      </c>
      <c r="N1054" s="61" t="s">
        <v>3236</v>
      </c>
      <c r="O1054" s="140" t="str">
        <f t="shared" si="161"/>
        <v>D-AZ 2:18-cr-00422</v>
      </c>
      <c r="P1054" s="140" t="s">
        <v>3237</v>
      </c>
      <c r="Q1054" s="58">
        <v>1.0</v>
      </c>
      <c r="R1054" s="62"/>
      <c r="S1054" s="37" t="str">
        <f>IFERROR(__xludf.DUMMYFUNCTION("if(not(iserror(index(split(C1054, "" ""),2))), index(split(C1054, "" ""),1),"""")"),"April")</f>
        <v>April</v>
      </c>
      <c r="T1054" s="38">
        <f>IFERROR(__xludf.DUMMYFUNCTION("if(S1054="""",C1054,if(not(iserror(index(split(C1054, "" ""),3))), index(split(C1054, "" ""),3),index(split(C1054, "" ""),2)))"),2018.0)</f>
        <v>2018</v>
      </c>
      <c r="U1054" s="38" t="b">
        <f t="shared" si="158"/>
        <v>0</v>
      </c>
      <c r="V1054" s="38"/>
      <c r="W1054" s="40"/>
      <c r="X1054" s="40"/>
      <c r="Y1054" s="40"/>
      <c r="Z1054" s="38"/>
      <c r="AA1054" s="38"/>
      <c r="AB1054" s="38"/>
      <c r="AC1054" s="38"/>
      <c r="AD1054" s="38"/>
      <c r="AE1054" s="38"/>
      <c r="AF1054" s="38"/>
      <c r="AG1054" s="38"/>
      <c r="AH1054" s="38"/>
      <c r="AI1054" s="38"/>
      <c r="AJ1054" s="38"/>
      <c r="AK1054" s="38"/>
      <c r="AL1054" s="38"/>
      <c r="AM1054" s="38"/>
      <c r="AN1054" s="38"/>
      <c r="AO1054" s="38"/>
      <c r="AP1054" s="38"/>
      <c r="AQ1054" s="38"/>
      <c r="AR1054" s="38"/>
      <c r="AS1054" s="38"/>
      <c r="AT1054" s="38"/>
      <c r="AU1054" s="38"/>
      <c r="AV1054" s="38"/>
      <c r="AW1054" s="38"/>
      <c r="AX1054" s="38"/>
      <c r="AY1054" s="38"/>
      <c r="AZ1054" s="38"/>
      <c r="BA1054" s="38"/>
      <c r="BB1054" s="38"/>
      <c r="BC1054" s="38"/>
      <c r="BD1054" s="38"/>
      <c r="BE1054" s="38"/>
      <c r="BF1054" s="38"/>
      <c r="BG1054" s="38"/>
      <c r="BH1054" s="38"/>
      <c r="BI1054" s="38"/>
      <c r="BJ1054" s="38"/>
      <c r="BK1054" s="38"/>
      <c r="BL1054" s="38"/>
      <c r="BM1054" s="38"/>
      <c r="BN1054" s="38"/>
      <c r="BO1054" s="38"/>
      <c r="BP1054" s="38"/>
      <c r="BQ1054" s="38"/>
    </row>
    <row r="1055">
      <c r="A1055" s="34" t="s">
        <v>3243</v>
      </c>
      <c r="B1055" s="73">
        <v>43202.0</v>
      </c>
      <c r="C1055" s="73">
        <v>43196.0</v>
      </c>
      <c r="D1055" s="75" t="s">
        <v>3226</v>
      </c>
      <c r="E1055" s="34" t="s">
        <v>41</v>
      </c>
      <c r="F1055" s="34">
        <v>1.0</v>
      </c>
      <c r="G1055" s="34" t="s">
        <v>32</v>
      </c>
      <c r="H1055" s="33">
        <f t="shared" si="160"/>
        <v>1</v>
      </c>
      <c r="I1055" s="34" t="s">
        <v>33</v>
      </c>
      <c r="J1055" s="34" t="s">
        <v>147</v>
      </c>
      <c r="K1055" s="34" t="s">
        <v>40</v>
      </c>
      <c r="L1055" s="34" t="s">
        <v>3235</v>
      </c>
      <c r="M1055" s="76" t="s">
        <v>3098</v>
      </c>
      <c r="N1055" s="61" t="s">
        <v>3236</v>
      </c>
      <c r="O1055" s="140" t="str">
        <f t="shared" si="161"/>
        <v>D-AZ 2:18-cr-00422</v>
      </c>
      <c r="P1055" s="140" t="s">
        <v>3237</v>
      </c>
      <c r="Q1055" s="58">
        <v>1.0</v>
      </c>
      <c r="R1055" s="62"/>
      <c r="S1055" s="37" t="str">
        <f>IFERROR(__xludf.DUMMYFUNCTION("if(not(iserror(index(split(C1055, "" ""),2))), index(split(C1055, "" ""),1),"""")"),"April")</f>
        <v>April</v>
      </c>
      <c r="T1055" s="38">
        <f>IFERROR(__xludf.DUMMYFUNCTION("if(S1055="""",C1055,if(not(iserror(index(split(C1055, "" ""),3))), index(split(C1055, "" ""),3),index(split(C1055, "" ""),2)))"),2018.0)</f>
        <v>2018</v>
      </c>
      <c r="U1055" s="38" t="b">
        <f t="shared" si="158"/>
        <v>0</v>
      </c>
      <c r="V1055" s="38"/>
      <c r="W1055" s="40"/>
      <c r="X1055" s="40"/>
      <c r="Y1055" s="40"/>
      <c r="Z1055" s="38"/>
      <c r="AA1055" s="38"/>
      <c r="AB1055" s="38"/>
      <c r="AC1055" s="38"/>
      <c r="AD1055" s="38"/>
      <c r="AE1055" s="38"/>
      <c r="AF1055" s="38"/>
      <c r="AG1055" s="38"/>
      <c r="AH1055" s="38"/>
      <c r="AI1055" s="38"/>
      <c r="AJ1055" s="38"/>
      <c r="AK1055" s="38"/>
      <c r="AL1055" s="38"/>
      <c r="AM1055" s="38"/>
      <c r="AN1055" s="38"/>
      <c r="AO1055" s="38"/>
      <c r="AP1055" s="38"/>
      <c r="AQ1055" s="38"/>
      <c r="AR1055" s="38"/>
      <c r="AS1055" s="38"/>
      <c r="AT1055" s="38"/>
      <c r="AU1055" s="38"/>
      <c r="AV1055" s="38"/>
      <c r="AW1055" s="38"/>
      <c r="AX1055" s="38"/>
      <c r="AY1055" s="38"/>
      <c r="AZ1055" s="38"/>
      <c r="BA1055" s="38"/>
      <c r="BB1055" s="38"/>
      <c r="BC1055" s="38"/>
      <c r="BD1055" s="38"/>
      <c r="BE1055" s="38"/>
      <c r="BF1055" s="38"/>
      <c r="BG1055" s="38"/>
      <c r="BH1055" s="38"/>
      <c r="BI1055" s="38"/>
      <c r="BJ1055" s="38"/>
      <c r="BK1055" s="38"/>
      <c r="BL1055" s="38"/>
      <c r="BM1055" s="38"/>
      <c r="BN1055" s="38"/>
      <c r="BO1055" s="38"/>
      <c r="BP1055" s="38"/>
      <c r="BQ1055" s="38"/>
    </row>
    <row r="1056">
      <c r="A1056" s="13" t="s">
        <v>3244</v>
      </c>
      <c r="B1056" s="30">
        <v>43197.0</v>
      </c>
      <c r="C1056" s="30">
        <v>43197.0</v>
      </c>
      <c r="D1056" s="32" t="s">
        <v>3245</v>
      </c>
      <c r="E1056" s="13" t="s">
        <v>31</v>
      </c>
      <c r="F1056" s="13">
        <v>1.0</v>
      </c>
      <c r="G1056" s="13" t="s">
        <v>32</v>
      </c>
      <c r="H1056" s="33">
        <f t="shared" si="160"/>
        <v>1</v>
      </c>
      <c r="I1056" s="13" t="s">
        <v>33</v>
      </c>
      <c r="J1056" s="13" t="s">
        <v>55</v>
      </c>
      <c r="K1056" s="13">
        <v>2.0</v>
      </c>
      <c r="L1056" s="13" t="s">
        <v>1376</v>
      </c>
      <c r="M1056" s="35" t="s">
        <v>3246</v>
      </c>
      <c r="N1056" s="15"/>
      <c r="O1056" s="16"/>
      <c r="P1056" s="16"/>
      <c r="Q1056" s="16"/>
      <c r="R1056" s="16"/>
      <c r="S1056" s="37" t="str">
        <f>IFERROR(__xludf.DUMMYFUNCTION("if(not(iserror(index(split(C1056, "" ""),2))), index(split(C1056, "" ""),1),"""")"),"April")</f>
        <v>April</v>
      </c>
      <c r="T1056" s="38">
        <f>IFERROR(__xludf.DUMMYFUNCTION("if(S1056="""",C1056,if(not(iserror(index(split(C1056, "" ""),3))), index(split(C1056, "" ""),3),index(split(C1056, "" ""),2)))"),2018.0)</f>
        <v>2018</v>
      </c>
      <c r="U1056" s="38" t="b">
        <f t="shared" si="158"/>
        <v>0</v>
      </c>
      <c r="V1056" s="38"/>
      <c r="W1056" s="40"/>
      <c r="X1056" s="40"/>
      <c r="Y1056" s="40"/>
      <c r="Z1056" s="38"/>
      <c r="AA1056" s="38"/>
      <c r="AB1056" s="38"/>
      <c r="AC1056" s="38"/>
      <c r="AD1056" s="38"/>
      <c r="AE1056" s="38"/>
      <c r="AF1056" s="38"/>
      <c r="AG1056" s="38"/>
      <c r="AH1056" s="38"/>
      <c r="AI1056" s="38"/>
      <c r="AJ1056" s="38"/>
      <c r="AK1056" s="38"/>
      <c r="AL1056" s="38"/>
      <c r="AM1056" s="38"/>
      <c r="AN1056" s="38"/>
      <c r="AO1056" s="38"/>
      <c r="AP1056" s="38"/>
      <c r="AQ1056" s="38"/>
      <c r="AR1056" s="38"/>
      <c r="AS1056" s="38"/>
      <c r="AT1056" s="38"/>
      <c r="AU1056" s="38"/>
      <c r="AV1056" s="38"/>
      <c r="AW1056" s="38"/>
      <c r="AX1056" s="38"/>
      <c r="AY1056" s="38"/>
      <c r="AZ1056" s="38"/>
      <c r="BA1056" s="38"/>
      <c r="BB1056" s="38"/>
      <c r="BC1056" s="38"/>
      <c r="BD1056" s="38"/>
      <c r="BE1056" s="38"/>
      <c r="BF1056" s="38"/>
      <c r="BG1056" s="38"/>
      <c r="BH1056" s="38"/>
      <c r="BI1056" s="38"/>
      <c r="BJ1056" s="38"/>
      <c r="BK1056" s="38"/>
      <c r="BL1056" s="38"/>
      <c r="BM1056" s="38"/>
      <c r="BN1056" s="38"/>
      <c r="BO1056" s="38"/>
      <c r="BP1056" s="38"/>
      <c r="BQ1056" s="38"/>
    </row>
    <row r="1057">
      <c r="A1057" s="13" t="s">
        <v>3247</v>
      </c>
      <c r="B1057" s="30">
        <v>43197.0</v>
      </c>
      <c r="C1057" s="30">
        <v>43197.0</v>
      </c>
      <c r="D1057" s="32" t="s">
        <v>3245</v>
      </c>
      <c r="E1057" s="13" t="s">
        <v>41</v>
      </c>
      <c r="F1057" s="13">
        <v>1.0</v>
      </c>
      <c r="G1057" s="13" t="s">
        <v>32</v>
      </c>
      <c r="H1057" s="33">
        <f t="shared" si="160"/>
        <v>1</v>
      </c>
      <c r="I1057" s="13" t="s">
        <v>3248</v>
      </c>
      <c r="J1057" s="82"/>
      <c r="K1057" s="13">
        <v>1.0</v>
      </c>
      <c r="L1057" s="13" t="s">
        <v>3249</v>
      </c>
      <c r="M1057" s="35" t="s">
        <v>3250</v>
      </c>
      <c r="N1057" s="15"/>
      <c r="O1057" s="16"/>
      <c r="P1057" s="16"/>
      <c r="Q1057" s="16"/>
      <c r="R1057" s="16"/>
      <c r="S1057" s="37" t="str">
        <f>IFERROR(__xludf.DUMMYFUNCTION("if(not(iserror(index(split(C1057, "" ""),2))), index(split(C1057, "" ""),1),"""")"),"April")</f>
        <v>April</v>
      </c>
      <c r="T1057" s="38">
        <f>IFERROR(__xludf.DUMMYFUNCTION("if(S1057="""",C1057,if(not(iserror(index(split(C1057, "" ""),3))), index(split(C1057, "" ""),3),index(split(C1057, "" ""),2)))"),2018.0)</f>
        <v>2018</v>
      </c>
      <c r="U1057" s="38" t="b">
        <f t="shared" si="158"/>
        <v>0</v>
      </c>
      <c r="V1057" s="38"/>
      <c r="W1057" s="40"/>
      <c r="X1057" s="40"/>
      <c r="Y1057" s="40"/>
      <c r="Z1057" s="38"/>
      <c r="AA1057" s="38"/>
      <c r="AB1057" s="38"/>
      <c r="AC1057" s="38"/>
      <c r="AD1057" s="38"/>
      <c r="AE1057" s="38"/>
      <c r="AF1057" s="38"/>
      <c r="AG1057" s="38"/>
      <c r="AH1057" s="38"/>
      <c r="AI1057" s="38"/>
      <c r="AJ1057" s="38"/>
      <c r="AK1057" s="38"/>
      <c r="AL1057" s="38"/>
      <c r="AM1057" s="38"/>
      <c r="AN1057" s="38"/>
      <c r="AO1057" s="38"/>
      <c r="AP1057" s="38"/>
      <c r="AQ1057" s="38"/>
      <c r="AR1057" s="38"/>
      <c r="AS1057" s="38"/>
      <c r="AT1057" s="38"/>
      <c r="AU1057" s="38"/>
      <c r="AV1057" s="38"/>
      <c r="AW1057" s="38"/>
      <c r="AX1057" s="38"/>
      <c r="AY1057" s="38"/>
      <c r="AZ1057" s="38"/>
      <c r="BA1057" s="38"/>
      <c r="BB1057" s="38"/>
      <c r="BC1057" s="38"/>
      <c r="BD1057" s="38"/>
      <c r="BE1057" s="38"/>
      <c r="BF1057" s="38"/>
      <c r="BG1057" s="38"/>
      <c r="BH1057" s="38"/>
      <c r="BI1057" s="38"/>
      <c r="BJ1057" s="38"/>
      <c r="BK1057" s="38"/>
      <c r="BL1057" s="38"/>
      <c r="BM1057" s="38"/>
      <c r="BN1057" s="38"/>
      <c r="BO1057" s="38"/>
      <c r="BP1057" s="38"/>
      <c r="BQ1057" s="38"/>
    </row>
    <row r="1058">
      <c r="A1058" s="34" t="s">
        <v>554</v>
      </c>
      <c r="B1058" s="73">
        <v>43199.0</v>
      </c>
      <c r="C1058" s="73">
        <v>43197.0</v>
      </c>
      <c r="D1058" s="75" t="s">
        <v>3245</v>
      </c>
      <c r="E1058" s="34" t="s">
        <v>41</v>
      </c>
      <c r="F1058" s="34">
        <v>1.0</v>
      </c>
      <c r="G1058" s="34" t="s">
        <v>32</v>
      </c>
      <c r="H1058" s="33">
        <f t="shared" si="160"/>
        <v>1</v>
      </c>
      <c r="I1058" s="34" t="s">
        <v>33</v>
      </c>
      <c r="J1058" s="34" t="s">
        <v>55</v>
      </c>
      <c r="K1058" s="34" t="s">
        <v>40</v>
      </c>
      <c r="L1058" s="34" t="s">
        <v>3251</v>
      </c>
      <c r="M1058" s="76" t="s">
        <v>3252</v>
      </c>
      <c r="N1058" s="61" t="s">
        <v>3253</v>
      </c>
      <c r="O1058" s="58"/>
      <c r="P1058" s="62"/>
      <c r="Q1058" s="58"/>
      <c r="R1058" s="62"/>
      <c r="S1058" s="37" t="str">
        <f>IFERROR(__xludf.DUMMYFUNCTION("if(not(iserror(index(split(C1058, "" ""),2))), index(split(C1058, "" ""),1),"""")"),"April")</f>
        <v>April</v>
      </c>
      <c r="T1058" s="38">
        <f>IFERROR(__xludf.DUMMYFUNCTION("if(S1058="""",C1058,if(not(iserror(index(split(C1058, "" ""),3))), index(split(C1058, "" ""),3),index(split(C1058, "" ""),2)))"),2018.0)</f>
        <v>2018</v>
      </c>
      <c r="U1058" s="38" t="b">
        <f t="shared" si="158"/>
        <v>1</v>
      </c>
      <c r="V1058" s="38"/>
      <c r="W1058" s="40"/>
      <c r="X1058" s="40"/>
      <c r="Y1058" s="40"/>
      <c r="Z1058" s="38"/>
      <c r="AA1058" s="38"/>
      <c r="AB1058" s="38"/>
      <c r="AC1058" s="38"/>
      <c r="AD1058" s="38"/>
      <c r="AE1058" s="38"/>
      <c r="AF1058" s="38"/>
      <c r="AG1058" s="38"/>
      <c r="AH1058" s="38"/>
      <c r="AI1058" s="38"/>
      <c r="AJ1058" s="38"/>
      <c r="AK1058" s="38"/>
      <c r="AL1058" s="38"/>
      <c r="AM1058" s="38"/>
      <c r="AN1058" s="38"/>
      <c r="AO1058" s="38"/>
      <c r="AP1058" s="38"/>
      <c r="AQ1058" s="38"/>
      <c r="AR1058" s="38"/>
      <c r="AS1058" s="38"/>
      <c r="AT1058" s="38"/>
      <c r="AU1058" s="38"/>
      <c r="AV1058" s="38"/>
      <c r="AW1058" s="38"/>
      <c r="AX1058" s="38"/>
      <c r="AY1058" s="38"/>
      <c r="AZ1058" s="38"/>
      <c r="BA1058" s="38"/>
      <c r="BB1058" s="38"/>
      <c r="BC1058" s="38"/>
      <c r="BD1058" s="38"/>
      <c r="BE1058" s="38"/>
      <c r="BF1058" s="38"/>
      <c r="BG1058" s="38"/>
      <c r="BH1058" s="38"/>
      <c r="BI1058" s="38"/>
      <c r="BJ1058" s="38"/>
      <c r="BK1058" s="38"/>
      <c r="BL1058" s="38"/>
      <c r="BM1058" s="38"/>
      <c r="BN1058" s="38"/>
      <c r="BO1058" s="38"/>
      <c r="BP1058" s="38"/>
      <c r="BQ1058" s="38"/>
    </row>
    <row r="1059">
      <c r="A1059" s="34" t="s">
        <v>3254</v>
      </c>
      <c r="B1059" s="73">
        <v>43202.0</v>
      </c>
      <c r="C1059" s="73">
        <v>43198.0</v>
      </c>
      <c r="D1059" s="75" t="s">
        <v>3255</v>
      </c>
      <c r="E1059" s="34" t="s">
        <v>31</v>
      </c>
      <c r="F1059" s="34">
        <v>1.0</v>
      </c>
      <c r="G1059" s="34" t="s">
        <v>32</v>
      </c>
      <c r="H1059" s="33">
        <f t="shared" si="160"/>
        <v>1</v>
      </c>
      <c r="I1059" s="34" t="s">
        <v>3256</v>
      </c>
      <c r="J1059" s="34"/>
      <c r="K1059" s="34" t="s">
        <v>32</v>
      </c>
      <c r="L1059" s="34" t="s">
        <v>3257</v>
      </c>
      <c r="M1059" s="76" t="s">
        <v>3258</v>
      </c>
      <c r="N1059" s="77"/>
      <c r="O1059" s="62"/>
      <c r="P1059" s="62"/>
      <c r="Q1059" s="84"/>
      <c r="R1059" s="62"/>
      <c r="S1059" s="37" t="str">
        <f>IFERROR(__xludf.DUMMYFUNCTION("if(not(iserror(index(split(C1059, "" ""),2))), index(split(C1059, "" ""),1),"""")"),"April")</f>
        <v>April</v>
      </c>
      <c r="T1059" s="38">
        <f>IFERROR(__xludf.DUMMYFUNCTION("if(S1059="""",C1059,if(not(iserror(index(split(C1059, "" ""),3))), index(split(C1059, "" ""),3),index(split(C1059, "" ""),2)))"),2018.0)</f>
        <v>2018</v>
      </c>
      <c r="U1059" s="38" t="b">
        <f t="shared" si="158"/>
        <v>0</v>
      </c>
      <c r="V1059" s="38"/>
      <c r="W1059" s="40"/>
      <c r="X1059" s="40"/>
      <c r="Y1059" s="40"/>
      <c r="Z1059" s="38"/>
      <c r="AA1059" s="38"/>
      <c r="AB1059" s="38"/>
      <c r="AC1059" s="38"/>
      <c r="AD1059" s="38"/>
      <c r="AE1059" s="38"/>
      <c r="AF1059" s="38"/>
      <c r="AG1059" s="38"/>
      <c r="AH1059" s="38"/>
      <c r="AI1059" s="38"/>
      <c r="AJ1059" s="38"/>
      <c r="AK1059" s="38"/>
      <c r="AL1059" s="38"/>
      <c r="AM1059" s="38"/>
      <c r="AN1059" s="38"/>
      <c r="AO1059" s="38"/>
      <c r="AP1059" s="38"/>
      <c r="AQ1059" s="38"/>
      <c r="AR1059" s="38"/>
      <c r="AS1059" s="38"/>
      <c r="AT1059" s="38"/>
      <c r="AU1059" s="38"/>
      <c r="AV1059" s="38"/>
      <c r="AW1059" s="38"/>
      <c r="AX1059" s="38"/>
      <c r="AY1059" s="38"/>
      <c r="AZ1059" s="38"/>
      <c r="BA1059" s="38"/>
      <c r="BB1059" s="38"/>
      <c r="BC1059" s="38"/>
      <c r="BD1059" s="38"/>
      <c r="BE1059" s="38"/>
      <c r="BF1059" s="38"/>
      <c r="BG1059" s="38"/>
      <c r="BH1059" s="38"/>
      <c r="BI1059" s="38"/>
      <c r="BJ1059" s="38"/>
      <c r="BK1059" s="38"/>
      <c r="BL1059" s="38"/>
      <c r="BM1059" s="38"/>
      <c r="BN1059" s="38"/>
      <c r="BO1059" s="38"/>
      <c r="BP1059" s="38"/>
      <c r="BQ1059" s="38"/>
    </row>
    <row r="1060">
      <c r="A1060" s="34" t="s">
        <v>3259</v>
      </c>
      <c r="B1060" s="73">
        <v>43199.0</v>
      </c>
      <c r="C1060" s="73">
        <v>43199.0</v>
      </c>
      <c r="D1060" s="75" t="s">
        <v>3260</v>
      </c>
      <c r="E1060" s="34" t="s">
        <v>41</v>
      </c>
      <c r="F1060" s="34">
        <v>2.0</v>
      </c>
      <c r="G1060" s="34" t="s">
        <v>32</v>
      </c>
      <c r="H1060" s="33">
        <f t="shared" si="160"/>
        <v>1</v>
      </c>
      <c r="I1060" s="34" t="s">
        <v>33</v>
      </c>
      <c r="J1060" s="34" t="s">
        <v>93</v>
      </c>
      <c r="K1060" s="34" t="s">
        <v>40</v>
      </c>
      <c r="L1060" s="34" t="s">
        <v>3261</v>
      </c>
      <c r="M1060" s="123" t="s">
        <v>3262</v>
      </c>
      <c r="N1060" s="61" t="s">
        <v>3263</v>
      </c>
      <c r="O1060" s="88" t="str">
        <f>hyperlink("https://bad-boys.us/?q=WD-NY/6:18-cr-06150", "WD-NY 6:18-cr-06150")</f>
        <v>WD-NY 6:18-cr-06150</v>
      </c>
      <c r="P1060" s="62"/>
      <c r="Q1060" s="84">
        <v>1.0</v>
      </c>
      <c r="R1060" s="62"/>
      <c r="S1060" s="37" t="str">
        <f>IFERROR(__xludf.DUMMYFUNCTION("if(not(iserror(index(split(C1060, "" ""),2))), index(split(C1060, "" ""),1),"""")"),"April")</f>
        <v>April</v>
      </c>
      <c r="T1060" s="38">
        <f>IFERROR(__xludf.DUMMYFUNCTION("if(S1060="""",C1060,if(not(iserror(index(split(C1060, "" ""),3))), index(split(C1060, "" ""),3),index(split(C1060, "" ""),2)))"),2018.0)</f>
        <v>2018</v>
      </c>
      <c r="U1060" s="38" t="b">
        <f t="shared" si="158"/>
        <v>0</v>
      </c>
      <c r="V1060" s="38"/>
      <c r="W1060" s="40"/>
      <c r="X1060" s="40"/>
      <c r="Y1060" s="40"/>
      <c r="Z1060" s="38"/>
      <c r="AA1060" s="38"/>
      <c r="AB1060" s="38"/>
      <c r="AC1060" s="38"/>
      <c r="AD1060" s="38"/>
      <c r="AE1060" s="38"/>
      <c r="AF1060" s="38"/>
      <c r="AG1060" s="38"/>
      <c r="AH1060" s="38"/>
      <c r="AI1060" s="38"/>
      <c r="AJ1060" s="38"/>
      <c r="AK1060" s="38"/>
      <c r="AL1060" s="38"/>
      <c r="AM1060" s="38"/>
      <c r="AN1060" s="38"/>
      <c r="AO1060" s="38"/>
      <c r="AP1060" s="38"/>
      <c r="AQ1060" s="38"/>
      <c r="AR1060" s="38"/>
      <c r="AS1060" s="38"/>
      <c r="AT1060" s="38"/>
      <c r="AU1060" s="38"/>
      <c r="AV1060" s="38"/>
      <c r="AW1060" s="38"/>
      <c r="AX1060" s="38"/>
      <c r="AY1060" s="38"/>
      <c r="AZ1060" s="38"/>
      <c r="BA1060" s="38"/>
      <c r="BB1060" s="38"/>
      <c r="BC1060" s="38"/>
      <c r="BD1060" s="38"/>
      <c r="BE1060" s="38"/>
      <c r="BF1060" s="38"/>
      <c r="BG1060" s="38"/>
      <c r="BH1060" s="38"/>
      <c r="BI1060" s="38"/>
      <c r="BJ1060" s="38"/>
      <c r="BK1060" s="38"/>
      <c r="BL1060" s="38"/>
      <c r="BM1060" s="38"/>
      <c r="BN1060" s="38"/>
      <c r="BO1060" s="38"/>
      <c r="BP1060" s="38"/>
      <c r="BQ1060" s="38"/>
    </row>
    <row r="1061">
      <c r="A1061" s="34" t="s">
        <v>3264</v>
      </c>
      <c r="B1061" s="73">
        <v>43200.0</v>
      </c>
      <c r="C1061" s="73">
        <v>43199.0</v>
      </c>
      <c r="D1061" s="75" t="s">
        <v>3260</v>
      </c>
      <c r="E1061" s="34" t="s">
        <v>31</v>
      </c>
      <c r="F1061" s="34">
        <v>1.0</v>
      </c>
      <c r="G1061" s="34" t="s">
        <v>32</v>
      </c>
      <c r="H1061" s="33">
        <f t="shared" si="160"/>
        <v>1</v>
      </c>
      <c r="I1061" s="34" t="s">
        <v>33</v>
      </c>
      <c r="J1061" s="34" t="s">
        <v>179</v>
      </c>
      <c r="K1061" s="34" t="s">
        <v>32</v>
      </c>
      <c r="L1061" s="34" t="s">
        <v>3265</v>
      </c>
      <c r="M1061" s="76" t="s">
        <v>3266</v>
      </c>
      <c r="N1061" s="77"/>
      <c r="O1061" s="58"/>
      <c r="P1061" s="62"/>
      <c r="Q1061" s="84"/>
      <c r="R1061" s="62"/>
      <c r="S1061" s="37" t="str">
        <f>IFERROR(__xludf.DUMMYFUNCTION("if(not(iserror(index(split(C1061, "" ""),2))), index(split(C1061, "" ""),1),"""")"),"April")</f>
        <v>April</v>
      </c>
      <c r="T1061" s="38">
        <f>IFERROR(__xludf.DUMMYFUNCTION("if(S1061="""",C1061,if(not(iserror(index(split(C1061, "" ""),3))), index(split(C1061, "" ""),3),index(split(C1061, "" ""),2)))"),2018.0)</f>
        <v>2018</v>
      </c>
      <c r="U1061" s="38" t="b">
        <f t="shared" si="158"/>
        <v>0</v>
      </c>
      <c r="V1061" s="38"/>
      <c r="W1061" s="40"/>
      <c r="X1061" s="40"/>
      <c r="Y1061" s="40"/>
      <c r="Z1061" s="38"/>
      <c r="AA1061" s="38"/>
      <c r="AB1061" s="38"/>
      <c r="AC1061" s="38"/>
      <c r="AD1061" s="38"/>
      <c r="AE1061" s="38"/>
      <c r="AF1061" s="38"/>
      <c r="AG1061" s="38"/>
      <c r="AH1061" s="38"/>
      <c r="AI1061" s="38"/>
      <c r="AJ1061" s="38"/>
      <c r="AK1061" s="38"/>
      <c r="AL1061" s="38"/>
      <c r="AM1061" s="38"/>
      <c r="AN1061" s="38"/>
      <c r="AO1061" s="38"/>
      <c r="AP1061" s="38"/>
      <c r="AQ1061" s="38"/>
      <c r="AR1061" s="38"/>
      <c r="AS1061" s="38"/>
      <c r="AT1061" s="38"/>
      <c r="AU1061" s="38"/>
      <c r="AV1061" s="38"/>
      <c r="AW1061" s="38"/>
      <c r="AX1061" s="38"/>
      <c r="AY1061" s="38"/>
      <c r="AZ1061" s="38"/>
      <c r="BA1061" s="38"/>
      <c r="BB1061" s="38"/>
      <c r="BC1061" s="38"/>
      <c r="BD1061" s="38"/>
      <c r="BE1061" s="38"/>
      <c r="BF1061" s="38"/>
      <c r="BG1061" s="38"/>
      <c r="BH1061" s="38"/>
      <c r="BI1061" s="38"/>
      <c r="BJ1061" s="38"/>
      <c r="BK1061" s="38"/>
      <c r="BL1061" s="38"/>
      <c r="BM1061" s="38"/>
      <c r="BN1061" s="38"/>
      <c r="BO1061" s="38"/>
      <c r="BP1061" s="38"/>
      <c r="BQ1061" s="38"/>
    </row>
    <row r="1062">
      <c r="A1062" s="78" t="s">
        <v>3267</v>
      </c>
      <c r="B1062" s="59">
        <v>43280.0</v>
      </c>
      <c r="C1062" s="59">
        <v>43199.0</v>
      </c>
      <c r="D1062" s="60" t="s">
        <v>3260</v>
      </c>
      <c r="E1062" s="58" t="s">
        <v>41</v>
      </c>
      <c r="F1062" s="58">
        <v>1.0</v>
      </c>
      <c r="G1062" s="58" t="s">
        <v>32</v>
      </c>
      <c r="H1062" s="33">
        <f t="shared" si="160"/>
        <v>1</v>
      </c>
      <c r="I1062" s="58" t="s">
        <v>33</v>
      </c>
      <c r="J1062" s="58" t="s">
        <v>75</v>
      </c>
      <c r="K1062" s="58">
        <v>2.0</v>
      </c>
      <c r="L1062" s="58" t="s">
        <v>3268</v>
      </c>
      <c r="M1062" s="80" t="s">
        <v>3269</v>
      </c>
      <c r="N1062" s="77"/>
      <c r="O1062" s="83" t="str">
        <f>hyperlink("https://bad-boys.us/?q=ED-KY/6:18-cr-00032", "ED-KY 6:18-cr-00032")</f>
        <v>ED-KY 6:18-cr-00032</v>
      </c>
      <c r="P1062" s="88" t="s">
        <v>3270</v>
      </c>
      <c r="Q1062" s="84">
        <v>1.0</v>
      </c>
      <c r="R1062" s="62"/>
      <c r="S1062" s="37" t="str">
        <f>IFERROR(__xludf.DUMMYFUNCTION("if(not(iserror(index(split(C1062, "" ""),2))), index(split(C1062, "" ""),1),"""")"),"April")</f>
        <v>April</v>
      </c>
      <c r="T1062" s="38">
        <f>IFERROR(__xludf.DUMMYFUNCTION("if(S1062="""",C1062,if(not(iserror(index(split(C1062, "" ""),3))), index(split(C1062, "" ""),3),index(split(C1062, "" ""),2)))"),2018.0)</f>
        <v>2018</v>
      </c>
      <c r="U1062" s="38" t="b">
        <f t="shared" si="158"/>
        <v>0</v>
      </c>
      <c r="V1062" s="38" t="s">
        <v>33</v>
      </c>
      <c r="W1062" s="40"/>
      <c r="X1062" s="40"/>
      <c r="Y1062" s="40"/>
      <c r="Z1062" s="38"/>
      <c r="AA1062" s="38"/>
      <c r="AB1062" s="38"/>
      <c r="AC1062" s="38"/>
      <c r="AD1062" s="38"/>
      <c r="AE1062" s="38"/>
      <c r="AF1062" s="38"/>
      <c r="AG1062" s="38"/>
      <c r="AH1062" s="38"/>
      <c r="AI1062" s="38"/>
      <c r="AJ1062" s="38"/>
      <c r="AK1062" s="38"/>
      <c r="AL1062" s="38"/>
      <c r="AM1062" s="38"/>
      <c r="AN1062" s="38"/>
      <c r="AO1062" s="38"/>
      <c r="AP1062" s="38"/>
      <c r="AQ1062" s="38"/>
      <c r="AR1062" s="38"/>
      <c r="AS1062" s="38"/>
      <c r="AT1062" s="38"/>
      <c r="AU1062" s="38"/>
      <c r="AV1062" s="38"/>
      <c r="AW1062" s="38"/>
      <c r="AX1062" s="38"/>
      <c r="AY1062" s="38"/>
      <c r="AZ1062" s="38"/>
      <c r="BA1062" s="38"/>
      <c r="BB1062" s="38"/>
      <c r="BC1062" s="38"/>
      <c r="BD1062" s="38"/>
      <c r="BE1062" s="38"/>
      <c r="BF1062" s="38"/>
      <c r="BG1062" s="38"/>
      <c r="BH1062" s="38"/>
      <c r="BI1062" s="38"/>
      <c r="BJ1062" s="38"/>
      <c r="BK1062" s="38"/>
      <c r="BL1062" s="38"/>
      <c r="BM1062" s="38"/>
      <c r="BN1062" s="38"/>
      <c r="BO1062" s="38"/>
      <c r="BP1062" s="38"/>
      <c r="BQ1062" s="38"/>
    </row>
    <row r="1063">
      <c r="A1063" s="34" t="s">
        <v>3271</v>
      </c>
      <c r="B1063" s="73">
        <v>43201.0</v>
      </c>
      <c r="C1063" s="73">
        <v>43200.0</v>
      </c>
      <c r="D1063" s="75" t="s">
        <v>3272</v>
      </c>
      <c r="E1063" s="34" t="s">
        <v>41</v>
      </c>
      <c r="F1063" s="34">
        <v>1.0</v>
      </c>
      <c r="G1063" s="34" t="s">
        <v>32</v>
      </c>
      <c r="H1063" s="33">
        <f t="shared" si="160"/>
        <v>1</v>
      </c>
      <c r="I1063" s="34" t="s">
        <v>33</v>
      </c>
      <c r="J1063" s="34" t="s">
        <v>115</v>
      </c>
      <c r="K1063" s="34">
        <v>3.0</v>
      </c>
      <c r="L1063" s="34" t="s">
        <v>52</v>
      </c>
      <c r="M1063" s="76" t="s">
        <v>3273</v>
      </c>
      <c r="N1063" s="80"/>
      <c r="O1063" s="88" t="str">
        <f>hyperlink("https://bad-boys.us/?q=MD-PA/3:18-cr-00123", "MD-PA 3:18-cr-00123")</f>
        <v>MD-PA 3:18-cr-00123</v>
      </c>
      <c r="P1063" s="88" t="s">
        <v>3274</v>
      </c>
      <c r="Q1063" s="58">
        <v>1.0</v>
      </c>
      <c r="R1063" s="62"/>
      <c r="S1063" s="37" t="str">
        <f>IFERROR(__xludf.DUMMYFUNCTION("if(not(iserror(index(split(C1063, "" ""),2))), index(split(C1063, "" ""),1),"""")"),"April")</f>
        <v>April</v>
      </c>
      <c r="T1063" s="38">
        <f>IFERROR(__xludf.DUMMYFUNCTION("if(S1063="""",C1063,if(not(iserror(index(split(C1063, "" ""),3))), index(split(C1063, "" ""),3),index(split(C1063, "" ""),2)))"),2018.0)</f>
        <v>2018</v>
      </c>
      <c r="U1063" s="38" t="b">
        <f t="shared" si="158"/>
        <v>0</v>
      </c>
      <c r="V1063" s="38"/>
      <c r="W1063" s="40"/>
      <c r="X1063" s="40"/>
      <c r="Y1063" s="40"/>
      <c r="Z1063" s="38"/>
      <c r="AA1063" s="38"/>
      <c r="AB1063" s="38"/>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row>
    <row r="1064">
      <c r="A1064" s="58" t="s">
        <v>3275</v>
      </c>
      <c r="B1064" s="59">
        <v>43425.0</v>
      </c>
      <c r="C1064" s="59">
        <v>43200.0</v>
      </c>
      <c r="D1064" s="60" t="s">
        <v>3272</v>
      </c>
      <c r="E1064" s="58" t="s">
        <v>31</v>
      </c>
      <c r="F1064" s="58">
        <v>1.0</v>
      </c>
      <c r="G1064" s="58">
        <v>2.0</v>
      </c>
      <c r="H1064" s="33">
        <f t="shared" si="160"/>
        <v>2</v>
      </c>
      <c r="I1064" s="58" t="s">
        <v>33</v>
      </c>
      <c r="J1064" s="58" t="s">
        <v>115</v>
      </c>
      <c r="K1064" s="58">
        <v>2.0</v>
      </c>
      <c r="L1064" s="58" t="s">
        <v>790</v>
      </c>
      <c r="M1064" s="61" t="s">
        <v>3276</v>
      </c>
      <c r="N1064" s="61" t="s">
        <v>3277</v>
      </c>
      <c r="O1064" s="88" t="str">
        <f>hyperlink("https://bad-boys.us/?q=MD-PA/3:18-cr-00393", "MD-PA 3:18-cr-00393")</f>
        <v>MD-PA 3:18-cr-00393</v>
      </c>
      <c r="P1064" s="62"/>
      <c r="Q1064" s="58">
        <v>1.0</v>
      </c>
      <c r="R1064" s="62"/>
      <c r="S1064" s="37" t="str">
        <f>IFERROR(__xludf.DUMMYFUNCTION("if(not(iserror(index(split(C1064, "" ""),2))), index(split(C1064, "" ""),1),"""")"),"April")</f>
        <v>April</v>
      </c>
      <c r="T1064" s="38">
        <f>IFERROR(__xludf.DUMMYFUNCTION("if(S1064="""",C1064,if(not(iserror(index(split(C1064, "" ""),3))), index(split(C1064, "" ""),3),index(split(C1064, "" ""),2)))"),2018.0)</f>
        <v>2018</v>
      </c>
      <c r="U1064" s="38" t="b">
        <f t="shared" si="158"/>
        <v>0</v>
      </c>
      <c r="V1064" s="38"/>
      <c r="W1064" s="40"/>
      <c r="X1064" s="40"/>
      <c r="Y1064" s="40"/>
      <c r="Z1064" s="38"/>
      <c r="AA1064" s="38"/>
      <c r="AB1064" s="38"/>
      <c r="AC1064" s="38"/>
      <c r="AD1064" s="38"/>
      <c r="AE1064" s="38"/>
      <c r="AF1064" s="38"/>
      <c r="AG1064" s="38"/>
      <c r="AH1064" s="38"/>
      <c r="AI1064" s="38"/>
      <c r="AJ1064" s="38"/>
      <c r="AK1064" s="38"/>
      <c r="AL1064" s="38"/>
      <c r="AM1064" s="38"/>
      <c r="AN1064" s="38"/>
      <c r="AO1064" s="38"/>
      <c r="AP1064" s="38"/>
      <c r="AQ1064" s="38"/>
      <c r="AR1064" s="38"/>
      <c r="AS1064" s="38"/>
      <c r="AT1064" s="38"/>
      <c r="AU1064" s="38"/>
      <c r="AV1064" s="38"/>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row>
    <row r="1065">
      <c r="A1065" s="34" t="s">
        <v>3278</v>
      </c>
      <c r="B1065" s="73"/>
      <c r="C1065" s="73">
        <v>43200.0</v>
      </c>
      <c r="D1065" s="75"/>
      <c r="E1065" s="34" t="s">
        <v>41</v>
      </c>
      <c r="F1065" s="34">
        <v>1.0</v>
      </c>
      <c r="G1065" s="34" t="s">
        <v>32</v>
      </c>
      <c r="H1065" s="43">
        <v>1.0</v>
      </c>
      <c r="I1065" s="34" t="s">
        <v>33</v>
      </c>
      <c r="J1065" s="34" t="s">
        <v>193</v>
      </c>
      <c r="K1065" s="34"/>
      <c r="L1065" s="34" t="s">
        <v>646</v>
      </c>
      <c r="M1065" s="76" t="s">
        <v>3279</v>
      </c>
      <c r="N1065" s="77"/>
      <c r="O1065" s="62"/>
      <c r="P1065" s="62"/>
      <c r="Q1065" s="58"/>
      <c r="R1065" s="62"/>
      <c r="S1065" s="37"/>
      <c r="T1065" s="38"/>
      <c r="U1065" s="38" t="b">
        <f t="shared" si="158"/>
        <v>0</v>
      </c>
      <c r="V1065" s="38" t="s">
        <v>33</v>
      </c>
      <c r="W1065" s="40"/>
      <c r="X1065" s="40"/>
      <c r="Y1065" s="40"/>
      <c r="Z1065" s="38"/>
      <c r="AA1065" s="38"/>
      <c r="AB1065" s="38"/>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row>
    <row r="1066">
      <c r="A1066" s="34" t="s">
        <v>3280</v>
      </c>
      <c r="B1066" s="73">
        <v>43206.0</v>
      </c>
      <c r="C1066" s="73">
        <v>43201.0</v>
      </c>
      <c r="D1066" s="75" t="s">
        <v>3281</v>
      </c>
      <c r="E1066" s="34" t="s">
        <v>31</v>
      </c>
      <c r="F1066" s="34">
        <v>1.0</v>
      </c>
      <c r="G1066" s="34" t="s">
        <v>32</v>
      </c>
      <c r="H1066" s="33">
        <f>if(G1066="Unknown",1,G1066)</f>
        <v>1</v>
      </c>
      <c r="I1066" s="34" t="s">
        <v>33</v>
      </c>
      <c r="J1066" s="34" t="s">
        <v>55</v>
      </c>
      <c r="K1066" s="34" t="s">
        <v>40</v>
      </c>
      <c r="L1066" s="34" t="s">
        <v>3282</v>
      </c>
      <c r="M1066" s="76" t="s">
        <v>3283</v>
      </c>
      <c r="N1066" s="77"/>
      <c r="O1066" s="62"/>
      <c r="P1066" s="62"/>
      <c r="Q1066" s="62"/>
      <c r="R1066" s="62"/>
      <c r="S1066" s="37" t="str">
        <f>IFERROR(__xludf.DUMMYFUNCTION("if(not(iserror(index(split(C1066, "" ""),2))), index(split(C1066, "" ""),1),"""")"),"April")</f>
        <v>April</v>
      </c>
      <c r="T1066" s="38">
        <f>IFERROR(__xludf.DUMMYFUNCTION("if(S1066="""",C1066,if(not(iserror(index(split(C1066, "" ""),3))), index(split(C1066, "" ""),3),index(split(C1066, "" ""),2)))"),2018.0)</f>
        <v>2018</v>
      </c>
      <c r="U1066" s="38" t="b">
        <f t="shared" si="158"/>
        <v>0</v>
      </c>
      <c r="V1066" s="38"/>
      <c r="W1066" s="40"/>
      <c r="X1066" s="40"/>
      <c r="Y1066" s="40"/>
      <c r="Z1066" s="38"/>
      <c r="AA1066" s="38"/>
      <c r="AB1066" s="38"/>
      <c r="AC1066" s="38"/>
      <c r="AD1066" s="38"/>
      <c r="AE1066" s="38"/>
      <c r="AF1066" s="38"/>
      <c r="AG1066" s="38"/>
      <c r="AH1066" s="38"/>
      <c r="AI1066" s="38"/>
      <c r="AJ1066" s="38"/>
      <c r="AK1066" s="38"/>
      <c r="AL1066" s="38"/>
      <c r="AM1066" s="38"/>
      <c r="AN1066" s="38"/>
      <c r="AO1066" s="38"/>
      <c r="AP1066" s="38"/>
      <c r="AQ1066" s="38"/>
      <c r="AR1066" s="38"/>
      <c r="AS1066" s="38"/>
      <c r="AT1066" s="38"/>
      <c r="AU1066" s="38"/>
      <c r="AV1066" s="38"/>
      <c r="AW1066" s="38"/>
      <c r="AX1066" s="38"/>
      <c r="AY1066" s="38"/>
      <c r="AZ1066" s="38"/>
      <c r="BA1066" s="38"/>
      <c r="BB1066" s="38"/>
      <c r="BC1066" s="38"/>
      <c r="BD1066" s="38"/>
      <c r="BE1066" s="38"/>
      <c r="BF1066" s="38"/>
      <c r="BG1066" s="38"/>
      <c r="BH1066" s="38"/>
      <c r="BI1066" s="38"/>
      <c r="BJ1066" s="38"/>
      <c r="BK1066" s="38"/>
      <c r="BL1066" s="38"/>
      <c r="BM1066" s="38"/>
      <c r="BN1066" s="38"/>
      <c r="BO1066" s="38"/>
      <c r="BP1066" s="38"/>
      <c r="BQ1066" s="38"/>
    </row>
    <row r="1067">
      <c r="A1067" s="34" t="s">
        <v>3284</v>
      </c>
      <c r="B1067" s="73"/>
      <c r="C1067" s="73">
        <v>43201.0</v>
      </c>
      <c r="D1067" s="75"/>
      <c r="E1067" s="34" t="s">
        <v>41</v>
      </c>
      <c r="F1067" s="34">
        <v>1.0</v>
      </c>
      <c r="G1067" s="34" t="s">
        <v>32</v>
      </c>
      <c r="H1067" s="43">
        <v>1.0</v>
      </c>
      <c r="I1067" s="34" t="s">
        <v>33</v>
      </c>
      <c r="J1067" s="34" t="s">
        <v>402</v>
      </c>
      <c r="K1067" s="34"/>
      <c r="L1067" s="34" t="s">
        <v>3285</v>
      </c>
      <c r="M1067" s="76" t="s">
        <v>1707</v>
      </c>
      <c r="N1067" s="77"/>
      <c r="O1067" s="83" t="str">
        <f>hyperlink("https://bad-boys.us/?q=SD-IN/1:18-cr-00108", "SD-IN 1:18-cr-00108")</f>
        <v>SD-IN 1:18-cr-00108</v>
      </c>
      <c r="P1067" s="88" t="s">
        <v>3286</v>
      </c>
      <c r="Q1067" s="58">
        <v>1.0</v>
      </c>
      <c r="R1067" s="62"/>
      <c r="S1067" s="37"/>
      <c r="T1067" s="38"/>
      <c r="U1067" s="38" t="b">
        <f t="shared" si="158"/>
        <v>0</v>
      </c>
      <c r="V1067" s="38" t="s">
        <v>33</v>
      </c>
      <c r="W1067" s="40"/>
      <c r="X1067" s="40"/>
      <c r="Y1067" s="40"/>
      <c r="Z1067" s="38"/>
      <c r="AA1067" s="38"/>
      <c r="AB1067" s="38"/>
      <c r="AC1067" s="38"/>
      <c r="AD1067" s="38"/>
      <c r="AE1067" s="38"/>
      <c r="AF1067" s="38"/>
      <c r="AG1067" s="38"/>
      <c r="AH1067" s="38"/>
      <c r="AI1067" s="38"/>
      <c r="AJ1067" s="38"/>
      <c r="AK1067" s="38"/>
      <c r="AL1067" s="38"/>
      <c r="AM1067" s="38"/>
      <c r="AN1067" s="38"/>
      <c r="AO1067" s="38"/>
      <c r="AP1067" s="38"/>
      <c r="AQ1067" s="38"/>
      <c r="AR1067" s="38"/>
      <c r="AS1067" s="38"/>
      <c r="AT1067" s="38"/>
      <c r="AU1067" s="38"/>
      <c r="AV1067" s="38"/>
      <c r="AW1067" s="38"/>
      <c r="AX1067" s="38"/>
      <c r="AY1067" s="38"/>
      <c r="AZ1067" s="38"/>
      <c r="BA1067" s="38"/>
      <c r="BB1067" s="38"/>
      <c r="BC1067" s="38"/>
      <c r="BD1067" s="38"/>
      <c r="BE1067" s="38"/>
      <c r="BF1067" s="38"/>
      <c r="BG1067" s="38"/>
      <c r="BH1067" s="38"/>
      <c r="BI1067" s="38"/>
      <c r="BJ1067" s="38"/>
      <c r="BK1067" s="38"/>
      <c r="BL1067" s="38"/>
      <c r="BM1067" s="38"/>
      <c r="BN1067" s="38"/>
      <c r="BO1067" s="38"/>
      <c r="BP1067" s="38"/>
      <c r="BQ1067" s="38"/>
    </row>
    <row r="1068">
      <c r="A1068" s="34" t="s">
        <v>3287</v>
      </c>
      <c r="B1068" s="73"/>
      <c r="C1068" s="73">
        <v>43201.0</v>
      </c>
      <c r="D1068" s="75"/>
      <c r="E1068" s="34" t="s">
        <v>41</v>
      </c>
      <c r="F1068" s="34">
        <v>1.0</v>
      </c>
      <c r="G1068" s="34" t="s">
        <v>32</v>
      </c>
      <c r="H1068" s="43">
        <v>1.0</v>
      </c>
      <c r="I1068" s="34" t="s">
        <v>33</v>
      </c>
      <c r="J1068" s="34" t="s">
        <v>111</v>
      </c>
      <c r="K1068" s="34"/>
      <c r="L1068" s="34" t="s">
        <v>3288</v>
      </c>
      <c r="M1068" s="76" t="s">
        <v>3289</v>
      </c>
      <c r="N1068" s="80"/>
      <c r="O1068" s="88" t="str">
        <f>hyperlink("https://bad-boys.us/?q=ND-CA/3:18-cr-00231", "ND-CA 3:18-cr-00231")</f>
        <v>ND-CA 3:18-cr-00231</v>
      </c>
      <c r="P1068" s="88" t="s">
        <v>3290</v>
      </c>
      <c r="Q1068" s="58">
        <v>1.0</v>
      </c>
      <c r="R1068" s="62"/>
      <c r="S1068" s="37" t="str">
        <f>IFERROR(__xludf.DUMMYFUNCTION("if(not(iserror(index(split(C1068, "" ""),2))), index(split(C1068, "" ""),1),"""")"),"April")</f>
        <v>April</v>
      </c>
      <c r="T1068" s="38">
        <f>IFERROR(__xludf.DUMMYFUNCTION("if(S1068="""",C1068,if(not(iserror(index(split(C1068, "" ""),3))), index(split(C1068, "" ""),3),index(split(C1068, "" ""),2)))"),2018.0)</f>
        <v>2018</v>
      </c>
      <c r="U1068" s="38" t="b">
        <f t="shared" si="158"/>
        <v>0</v>
      </c>
      <c r="V1068" s="38" t="s">
        <v>33</v>
      </c>
      <c r="W1068" s="40"/>
      <c r="X1068" s="40"/>
      <c r="Y1068" s="40"/>
      <c r="Z1068" s="38"/>
      <c r="AA1068" s="38"/>
      <c r="AB1068" s="38"/>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row>
    <row r="1069">
      <c r="A1069" s="34" t="s">
        <v>3291</v>
      </c>
      <c r="B1069" s="73">
        <v>43202.0</v>
      </c>
      <c r="C1069" s="73">
        <v>43202.0</v>
      </c>
      <c r="D1069" s="75" t="s">
        <v>3292</v>
      </c>
      <c r="E1069" s="34" t="s">
        <v>41</v>
      </c>
      <c r="F1069" s="34">
        <v>1.0</v>
      </c>
      <c r="G1069" s="34" t="s">
        <v>32</v>
      </c>
      <c r="H1069" s="33">
        <f t="shared" ref="H1069:H1091" si="162">if(G1069="Unknown",1,G1069)</f>
        <v>1</v>
      </c>
      <c r="I1069" s="34" t="s">
        <v>33</v>
      </c>
      <c r="J1069" s="34" t="s">
        <v>47</v>
      </c>
      <c r="K1069" s="34">
        <v>5.0</v>
      </c>
      <c r="L1069" s="34" t="s">
        <v>3293</v>
      </c>
      <c r="M1069" s="76" t="s">
        <v>3294</v>
      </c>
      <c r="N1069" s="61" t="s">
        <v>3295</v>
      </c>
      <c r="O1069" s="88" t="str">
        <f>hyperlink("https://bad-boys.us/?q=SD-FL/0:18-cr-60099", "SD-FL 0:18-cr-60099")</f>
        <v>SD-FL 0:18-cr-60099</v>
      </c>
      <c r="P1069" s="88" t="s">
        <v>3296</v>
      </c>
      <c r="Q1069" s="84">
        <v>1.0</v>
      </c>
      <c r="R1069" s="62"/>
      <c r="S1069" s="37" t="str">
        <f>IFERROR(__xludf.DUMMYFUNCTION("if(not(iserror(index(split(C1069, "" ""),2))), index(split(C1069, "" ""),1),"""")"),"April")</f>
        <v>April</v>
      </c>
      <c r="T1069" s="38">
        <f>IFERROR(__xludf.DUMMYFUNCTION("if(S1069="""",C1069,if(not(iserror(index(split(C1069, "" ""),3))), index(split(C1069, "" ""),3),index(split(C1069, "" ""),2)))"),2018.0)</f>
        <v>2018</v>
      </c>
      <c r="U1069" s="38" t="b">
        <f t="shared" si="158"/>
        <v>0</v>
      </c>
      <c r="V1069" s="38"/>
      <c r="W1069" s="40"/>
      <c r="X1069" s="40"/>
      <c r="Y1069" s="40"/>
      <c r="Z1069" s="38"/>
      <c r="AA1069" s="38"/>
      <c r="AB1069" s="38"/>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c r="AW1069" s="38"/>
      <c r="AX1069" s="38"/>
      <c r="AY1069" s="38"/>
      <c r="AZ1069" s="38"/>
      <c r="BA1069" s="38"/>
      <c r="BB1069" s="38"/>
      <c r="BC1069" s="38"/>
      <c r="BD1069" s="38"/>
      <c r="BE1069" s="38"/>
      <c r="BF1069" s="38"/>
      <c r="BG1069" s="38"/>
      <c r="BH1069" s="38"/>
      <c r="BI1069" s="38"/>
      <c r="BJ1069" s="38"/>
      <c r="BK1069" s="38"/>
      <c r="BL1069" s="38"/>
      <c r="BM1069" s="38"/>
      <c r="BN1069" s="38"/>
      <c r="BO1069" s="38"/>
      <c r="BP1069" s="38"/>
      <c r="BQ1069" s="38"/>
    </row>
    <row r="1070">
      <c r="A1070" s="34" t="s">
        <v>40</v>
      </c>
      <c r="B1070" s="73">
        <v>43202.0</v>
      </c>
      <c r="C1070" s="73">
        <v>43202.0</v>
      </c>
      <c r="D1070" s="75" t="s">
        <v>3292</v>
      </c>
      <c r="E1070" s="34" t="s">
        <v>41</v>
      </c>
      <c r="F1070" s="34">
        <v>8.0</v>
      </c>
      <c r="G1070" s="34" t="s">
        <v>32</v>
      </c>
      <c r="H1070" s="33">
        <f t="shared" si="162"/>
        <v>1</v>
      </c>
      <c r="I1070" s="34" t="s">
        <v>33</v>
      </c>
      <c r="J1070" s="34" t="s">
        <v>193</v>
      </c>
      <c r="K1070" s="34" t="s">
        <v>40</v>
      </c>
      <c r="L1070" s="34" t="s">
        <v>3297</v>
      </c>
      <c r="M1070" s="76" t="s">
        <v>3298</v>
      </c>
      <c r="N1070" s="77"/>
      <c r="O1070" s="120"/>
      <c r="P1070" s="120"/>
      <c r="Q1070" s="58"/>
      <c r="R1070" s="62"/>
      <c r="S1070" s="37" t="str">
        <f>IFERROR(__xludf.DUMMYFUNCTION("if(not(iserror(index(split(C1070, "" ""),2))), index(split(C1070, "" ""),1),"""")"),"April")</f>
        <v>April</v>
      </c>
      <c r="T1070" s="38">
        <f>IFERROR(__xludf.DUMMYFUNCTION("if(S1070="""",C1070,if(not(iserror(index(split(C1070, "" ""),3))), index(split(C1070, "" ""),3),index(split(C1070, "" ""),2)))"),2018.0)</f>
        <v>2018</v>
      </c>
      <c r="U1070" s="38" t="b">
        <f t="shared" si="158"/>
        <v>1</v>
      </c>
      <c r="V1070" s="38"/>
      <c r="W1070" s="40"/>
      <c r="X1070" s="40"/>
      <c r="Y1070" s="40"/>
      <c r="Z1070" s="38"/>
      <c r="AA1070" s="38"/>
      <c r="AB1070" s="38"/>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row>
    <row r="1071">
      <c r="A1071" s="58" t="s">
        <v>660</v>
      </c>
      <c r="B1071" s="59">
        <v>43335.0</v>
      </c>
      <c r="C1071" s="59">
        <v>43202.0</v>
      </c>
      <c r="D1071" s="60" t="s">
        <v>2163</v>
      </c>
      <c r="E1071" s="58" t="s">
        <v>31</v>
      </c>
      <c r="F1071" s="58">
        <v>10.0</v>
      </c>
      <c r="G1071" s="58" t="s">
        <v>32</v>
      </c>
      <c r="H1071" s="33">
        <f t="shared" si="162"/>
        <v>1</v>
      </c>
      <c r="I1071" s="58" t="s">
        <v>33</v>
      </c>
      <c r="J1071" s="58" t="s">
        <v>42</v>
      </c>
      <c r="K1071" s="58">
        <v>1.0</v>
      </c>
      <c r="L1071" s="58" t="s">
        <v>52</v>
      </c>
      <c r="M1071" s="61" t="s">
        <v>3299</v>
      </c>
      <c r="N1071" s="77"/>
      <c r="O1071" s="62"/>
      <c r="P1071" s="62"/>
      <c r="Q1071" s="62"/>
      <c r="R1071" s="62"/>
      <c r="S1071" s="37" t="str">
        <f>IFERROR(__xludf.DUMMYFUNCTION("if(not(iserror(index(split(C1071, "" ""),2))), index(split(C1071, "" ""),1),"""")"),"April")</f>
        <v>April</v>
      </c>
      <c r="T1071" s="38">
        <f>IFERROR(__xludf.DUMMYFUNCTION("if(S1071="""",C1071,if(not(iserror(index(split(C1071, "" ""),3))), index(split(C1071, "" ""),3),index(split(C1071, "" ""),2)))"),2018.0)</f>
        <v>2018</v>
      </c>
      <c r="U1071" s="38" t="b">
        <f t="shared" si="158"/>
        <v>1</v>
      </c>
      <c r="V1071" s="38"/>
      <c r="W1071" s="40"/>
      <c r="X1071" s="40"/>
      <c r="Y1071" s="40"/>
      <c r="Z1071" s="38"/>
      <c r="AA1071" s="38"/>
      <c r="AB1071" s="38"/>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row>
    <row r="1072">
      <c r="A1072" s="152" t="s">
        <v>3300</v>
      </c>
      <c r="B1072" s="153">
        <v>43203.0</v>
      </c>
      <c r="C1072" s="153">
        <v>43203.0</v>
      </c>
      <c r="D1072" s="154" t="s">
        <v>3301</v>
      </c>
      <c r="E1072" s="155" t="s">
        <v>31</v>
      </c>
      <c r="F1072" s="152">
        <v>1.0</v>
      </c>
      <c r="G1072" s="152" t="s">
        <v>32</v>
      </c>
      <c r="H1072" s="33">
        <f t="shared" si="162"/>
        <v>1</v>
      </c>
      <c r="I1072" s="152" t="s">
        <v>33</v>
      </c>
      <c r="J1072" s="152" t="s">
        <v>106</v>
      </c>
      <c r="K1072" s="152">
        <v>2.0</v>
      </c>
      <c r="L1072" s="155" t="s">
        <v>3268</v>
      </c>
      <c r="M1072" s="156" t="s">
        <v>3302</v>
      </c>
      <c r="N1072" s="158" t="s">
        <v>3303</v>
      </c>
      <c r="O1072" s="88" t="str">
        <f>hyperlink("https://bad-boys.us/?q=D-MD/8:18-cr-00545", "D-MD 8:18-cr-00545")</f>
        <v>D-MD 8:18-cr-00545</v>
      </c>
      <c r="P1072" s="88" t="s">
        <v>3304</v>
      </c>
      <c r="Q1072" s="84">
        <v>1.0</v>
      </c>
      <c r="R1072" s="62"/>
      <c r="S1072" s="37" t="str">
        <f>IFERROR(__xludf.DUMMYFUNCTION("if(not(iserror(index(split(C1072, "" ""),2))), index(split(C1072, "" ""),1),"""")"),"April")</f>
        <v>April</v>
      </c>
      <c r="T1072" s="38">
        <f>IFERROR(__xludf.DUMMYFUNCTION("if(S1072="""",C1072,if(not(iserror(index(split(C1072, "" ""),3))), index(split(C1072, "" ""),3),index(split(C1072, "" ""),2)))"),2018.0)</f>
        <v>2018</v>
      </c>
      <c r="U1072" s="38" t="b">
        <f t="shared" si="158"/>
        <v>0</v>
      </c>
      <c r="V1072" s="38"/>
      <c r="W1072" s="40"/>
      <c r="X1072" s="40"/>
      <c r="Y1072" s="40"/>
      <c r="Z1072" s="38"/>
      <c r="AA1072" s="38"/>
      <c r="AB1072" s="38"/>
      <c r="AC1072" s="38"/>
      <c r="AD1072" s="38"/>
      <c r="AE1072" s="38"/>
      <c r="AF1072" s="38"/>
      <c r="AG1072" s="38"/>
      <c r="AH1072" s="38"/>
      <c r="AI1072" s="38"/>
      <c r="AJ1072" s="38"/>
      <c r="AK1072" s="38"/>
      <c r="AL1072" s="38"/>
      <c r="AM1072" s="38"/>
      <c r="AN1072" s="38"/>
      <c r="AO1072" s="38"/>
      <c r="AP1072" s="38"/>
      <c r="AQ1072" s="38"/>
      <c r="AR1072" s="38"/>
      <c r="AS1072" s="38"/>
      <c r="AT1072" s="38"/>
      <c r="AU1072" s="38"/>
      <c r="AV1072" s="38"/>
      <c r="AW1072" s="38"/>
      <c r="AX1072" s="38"/>
      <c r="AY1072" s="38"/>
      <c r="AZ1072" s="38"/>
      <c r="BA1072" s="38"/>
      <c r="BB1072" s="38"/>
      <c r="BC1072" s="38"/>
      <c r="BD1072" s="38"/>
      <c r="BE1072" s="38"/>
      <c r="BF1072" s="38"/>
      <c r="BG1072" s="38"/>
      <c r="BH1072" s="38"/>
      <c r="BI1072" s="38"/>
      <c r="BJ1072" s="38"/>
      <c r="BK1072" s="38"/>
      <c r="BL1072" s="38"/>
      <c r="BM1072" s="38"/>
      <c r="BN1072" s="38"/>
      <c r="BO1072" s="38"/>
      <c r="BP1072" s="38"/>
      <c r="BQ1072" s="38"/>
    </row>
    <row r="1073">
      <c r="A1073" s="34" t="s">
        <v>239</v>
      </c>
      <c r="B1073" s="73">
        <v>43203.0</v>
      </c>
      <c r="C1073" s="73">
        <v>43203.0</v>
      </c>
      <c r="D1073" s="75" t="s">
        <v>3301</v>
      </c>
      <c r="E1073" s="34" t="s">
        <v>41</v>
      </c>
      <c r="F1073" s="34">
        <v>1.0</v>
      </c>
      <c r="G1073" s="34">
        <v>6.0</v>
      </c>
      <c r="H1073" s="33">
        <f t="shared" si="162"/>
        <v>6</v>
      </c>
      <c r="I1073" s="34" t="s">
        <v>33</v>
      </c>
      <c r="J1073" s="34" t="s">
        <v>147</v>
      </c>
      <c r="K1073" s="34">
        <v>1.0</v>
      </c>
      <c r="L1073" s="34" t="s">
        <v>194</v>
      </c>
      <c r="M1073" s="76" t="s">
        <v>3305</v>
      </c>
      <c r="N1073" s="77"/>
      <c r="O1073" s="62"/>
      <c r="P1073" s="62"/>
      <c r="Q1073" s="62"/>
      <c r="R1073" s="62"/>
      <c r="S1073" s="37" t="str">
        <f>IFERROR(__xludf.DUMMYFUNCTION("if(not(iserror(index(split(C1073, "" ""),2))), index(split(C1073, "" ""),1),"""")"),"April")</f>
        <v>April</v>
      </c>
      <c r="T1073" s="38">
        <f>IFERROR(__xludf.DUMMYFUNCTION("if(S1073="""",C1073,if(not(iserror(index(split(C1073, "" ""),3))), index(split(C1073, "" ""),3),index(split(C1073, "" ""),2)))"),2018.0)</f>
        <v>2018</v>
      </c>
      <c r="U1073" s="38" t="b">
        <f t="shared" si="158"/>
        <v>1</v>
      </c>
      <c r="V1073" s="38"/>
      <c r="W1073" s="40"/>
      <c r="X1073" s="40"/>
      <c r="Y1073" s="40"/>
      <c r="Z1073" s="38"/>
      <c r="AA1073" s="38"/>
      <c r="AB1073" s="38"/>
      <c r="AC1073" s="38"/>
      <c r="AD1073" s="38"/>
      <c r="AE1073" s="38"/>
      <c r="AF1073" s="38"/>
      <c r="AG1073" s="38"/>
      <c r="AH1073" s="38"/>
      <c r="AI1073" s="38"/>
      <c r="AJ1073" s="38"/>
      <c r="AK1073" s="38"/>
      <c r="AL1073" s="38"/>
      <c r="AM1073" s="38"/>
      <c r="AN1073" s="38"/>
      <c r="AO1073" s="38"/>
      <c r="AP1073" s="38"/>
      <c r="AQ1073" s="38"/>
      <c r="AR1073" s="38"/>
      <c r="AS1073" s="38"/>
      <c r="AT1073" s="38"/>
      <c r="AU1073" s="38"/>
      <c r="AV1073" s="38"/>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row>
    <row r="1074">
      <c r="A1074" s="34" t="s">
        <v>3306</v>
      </c>
      <c r="B1074" s="73">
        <v>43209.0</v>
      </c>
      <c r="C1074" s="73">
        <v>43203.0</v>
      </c>
      <c r="D1074" s="75" t="s">
        <v>3301</v>
      </c>
      <c r="E1074" s="34" t="s">
        <v>31</v>
      </c>
      <c r="F1074" s="34">
        <v>1.0</v>
      </c>
      <c r="G1074" s="34" t="s">
        <v>32</v>
      </c>
      <c r="H1074" s="33">
        <f t="shared" si="162"/>
        <v>1</v>
      </c>
      <c r="I1074" s="34" t="s">
        <v>33</v>
      </c>
      <c r="J1074" s="34" t="s">
        <v>98</v>
      </c>
      <c r="K1074" s="34">
        <v>1.0</v>
      </c>
      <c r="L1074" s="34" t="s">
        <v>52</v>
      </c>
      <c r="M1074" s="76" t="s">
        <v>3307</v>
      </c>
      <c r="N1074" s="77"/>
      <c r="O1074" s="58"/>
      <c r="P1074" s="58"/>
      <c r="Q1074" s="84"/>
      <c r="R1074" s="62"/>
      <c r="S1074" s="37" t="str">
        <f>IFERROR(__xludf.DUMMYFUNCTION("if(not(iserror(index(split(C1074, "" ""),2))), index(split(C1074, "" ""),1),"""")"),"April")</f>
        <v>April</v>
      </c>
      <c r="T1074" s="38">
        <f>IFERROR(__xludf.DUMMYFUNCTION("if(S1074="""",C1074,if(not(iserror(index(split(C1074, "" ""),3))), index(split(C1074, "" ""),3),index(split(C1074, "" ""),2)))"),2018.0)</f>
        <v>2018</v>
      </c>
      <c r="U1074" s="38" t="b">
        <f t="shared" si="158"/>
        <v>0</v>
      </c>
      <c r="V1074" s="38"/>
      <c r="W1074" s="40"/>
      <c r="X1074" s="40"/>
      <c r="Y1074" s="40"/>
      <c r="Z1074" s="38"/>
      <c r="AA1074" s="38"/>
      <c r="AB1074" s="38"/>
      <c r="AC1074" s="38"/>
      <c r="AD1074" s="38"/>
      <c r="AE1074" s="38"/>
      <c r="AF1074" s="38"/>
      <c r="AG1074" s="38"/>
      <c r="AH1074" s="38"/>
      <c r="AI1074" s="38"/>
      <c r="AJ1074" s="38"/>
      <c r="AK1074" s="38"/>
      <c r="AL1074" s="38"/>
      <c r="AM1074" s="38"/>
      <c r="AN1074" s="38"/>
      <c r="AO1074" s="38"/>
      <c r="AP1074" s="38"/>
      <c r="AQ1074" s="38"/>
      <c r="AR1074" s="38"/>
      <c r="AS1074" s="38"/>
      <c r="AT1074" s="38"/>
      <c r="AU1074" s="38"/>
      <c r="AV1074" s="38"/>
      <c r="AW1074" s="38"/>
      <c r="AX1074" s="38"/>
      <c r="AY1074" s="38"/>
      <c r="AZ1074" s="38"/>
      <c r="BA1074" s="38"/>
      <c r="BB1074" s="38"/>
      <c r="BC1074" s="38"/>
      <c r="BD1074" s="38"/>
      <c r="BE1074" s="38"/>
      <c r="BF1074" s="38"/>
      <c r="BG1074" s="38"/>
      <c r="BH1074" s="38"/>
      <c r="BI1074" s="38"/>
      <c r="BJ1074" s="38"/>
      <c r="BK1074" s="38"/>
      <c r="BL1074" s="38"/>
      <c r="BM1074" s="38"/>
      <c r="BN1074" s="38"/>
      <c r="BO1074" s="38"/>
      <c r="BP1074" s="38"/>
      <c r="BQ1074" s="38"/>
    </row>
    <row r="1075">
      <c r="A1075" s="87" t="s">
        <v>3308</v>
      </c>
      <c r="B1075" s="59">
        <v>43452.0</v>
      </c>
      <c r="C1075" s="59">
        <v>43206.0</v>
      </c>
      <c r="D1075" s="60" t="s">
        <v>3309</v>
      </c>
      <c r="E1075" s="58" t="s">
        <v>41</v>
      </c>
      <c r="F1075" s="58">
        <v>1.0</v>
      </c>
      <c r="G1075" s="58" t="s">
        <v>32</v>
      </c>
      <c r="H1075" s="33">
        <f t="shared" si="162"/>
        <v>1</v>
      </c>
      <c r="I1075" s="58" t="s">
        <v>33</v>
      </c>
      <c r="J1075" s="58" t="s">
        <v>283</v>
      </c>
      <c r="K1075" s="58">
        <v>3.0</v>
      </c>
      <c r="L1075" s="58" t="s">
        <v>119</v>
      </c>
      <c r="M1075" s="61" t="s">
        <v>3310</v>
      </c>
      <c r="N1075" s="61" t="s">
        <v>3311</v>
      </c>
      <c r="O1075" s="83" t="str">
        <f>hyperlink("https://bad-boys.us/?q=D-NV/3:18-cr-00033", "D-NV 3:18-cr-00033")</f>
        <v>D-NV 3:18-cr-00033</v>
      </c>
      <c r="P1075" s="88" t="s">
        <v>3312</v>
      </c>
      <c r="Q1075" s="58">
        <v>1.0</v>
      </c>
      <c r="R1075" s="62"/>
      <c r="S1075" s="37" t="str">
        <f>IFERROR(__xludf.DUMMYFUNCTION("if(not(iserror(index(split(C1075, "" ""),2))), index(split(C1075, "" ""),1),"""")"),"April")</f>
        <v>April</v>
      </c>
      <c r="T1075" s="38">
        <f>IFERROR(__xludf.DUMMYFUNCTION("if(S1075="""",C1075,if(not(iserror(index(split(C1075, "" ""),3))), index(split(C1075, "" ""),3),index(split(C1075, "" ""),2)))"),2018.0)</f>
        <v>2018</v>
      </c>
      <c r="U1075" s="38" t="b">
        <f t="shared" si="158"/>
        <v>0</v>
      </c>
      <c r="V1075" s="38"/>
      <c r="W1075" s="40"/>
      <c r="X1075" s="40"/>
      <c r="Y1075" s="40"/>
      <c r="Z1075" s="38"/>
      <c r="AA1075" s="38"/>
      <c r="AB1075" s="38"/>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c r="AW1075" s="38"/>
      <c r="AX1075" s="38"/>
      <c r="AY1075" s="38"/>
      <c r="AZ1075" s="38"/>
      <c r="BA1075" s="38"/>
      <c r="BB1075" s="38"/>
      <c r="BC1075" s="38"/>
      <c r="BD1075" s="38"/>
      <c r="BE1075" s="38"/>
      <c r="BF1075" s="38"/>
      <c r="BG1075" s="38"/>
      <c r="BH1075" s="38"/>
      <c r="BI1075" s="38"/>
      <c r="BJ1075" s="38"/>
      <c r="BK1075" s="38"/>
      <c r="BL1075" s="38"/>
      <c r="BM1075" s="38"/>
      <c r="BN1075" s="38"/>
      <c r="BO1075" s="38"/>
      <c r="BP1075" s="38"/>
      <c r="BQ1075" s="38"/>
    </row>
    <row r="1076">
      <c r="A1076" s="58" t="s">
        <v>3313</v>
      </c>
      <c r="B1076" s="59">
        <v>43433.0</v>
      </c>
      <c r="C1076" s="59">
        <v>43207.0</v>
      </c>
      <c r="D1076" s="60" t="s">
        <v>3314</v>
      </c>
      <c r="E1076" s="58" t="s">
        <v>41</v>
      </c>
      <c r="F1076" s="58">
        <v>1.0</v>
      </c>
      <c r="G1076" s="58" t="s">
        <v>32</v>
      </c>
      <c r="H1076" s="33">
        <f t="shared" si="162"/>
        <v>1</v>
      </c>
      <c r="I1076" s="58" t="s">
        <v>33</v>
      </c>
      <c r="J1076" s="58" t="s">
        <v>140</v>
      </c>
      <c r="K1076" s="58">
        <v>2.0</v>
      </c>
      <c r="L1076" s="58" t="s">
        <v>76</v>
      </c>
      <c r="M1076" s="61" t="s">
        <v>3315</v>
      </c>
      <c r="N1076" s="61" t="s">
        <v>3316</v>
      </c>
      <c r="O1076" s="88" t="str">
        <f>hyperlink("https://bad-boys.us/?q=D-ME/1:18-cr-00050", "D-ME 1:18-cr-00050")</f>
        <v>D-ME 1:18-cr-00050</v>
      </c>
      <c r="P1076" s="88" t="s">
        <v>3317</v>
      </c>
      <c r="Q1076" s="58">
        <v>1.0</v>
      </c>
      <c r="R1076" s="62"/>
      <c r="S1076" s="37" t="str">
        <f>IFERROR(__xludf.DUMMYFUNCTION("if(not(iserror(index(split(C1076, "" ""),2))), index(split(C1076, "" ""),1),"""")"),"April")</f>
        <v>April</v>
      </c>
      <c r="T1076" s="38">
        <f>IFERROR(__xludf.DUMMYFUNCTION("if(S1076="""",C1076,if(not(iserror(index(split(C1076, "" ""),3))), index(split(C1076, "" ""),3),index(split(C1076, "" ""),2)))"),2018.0)</f>
        <v>2018</v>
      </c>
      <c r="U1076" s="38" t="b">
        <f t="shared" si="158"/>
        <v>0</v>
      </c>
      <c r="V1076" s="38"/>
      <c r="W1076" s="40"/>
      <c r="X1076" s="40"/>
      <c r="Y1076" s="40"/>
      <c r="Z1076" s="38"/>
      <c r="AA1076" s="38"/>
      <c r="AB1076" s="38"/>
      <c r="AC1076" s="38"/>
      <c r="AD1076" s="38"/>
      <c r="AE1076" s="38"/>
      <c r="AF1076" s="38"/>
      <c r="AG1076" s="38"/>
      <c r="AH1076" s="38"/>
      <c r="AI1076" s="38"/>
      <c r="AJ1076" s="38"/>
      <c r="AK1076" s="38"/>
      <c r="AL1076" s="38"/>
      <c r="AM1076" s="38"/>
      <c r="AN1076" s="38"/>
      <c r="AO1076" s="38"/>
      <c r="AP1076" s="38"/>
      <c r="AQ1076" s="38"/>
      <c r="AR1076" s="38"/>
      <c r="AS1076" s="38"/>
      <c r="AT1076" s="38"/>
      <c r="AU1076" s="38"/>
      <c r="AV1076" s="38"/>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row>
    <row r="1077">
      <c r="A1077" s="34" t="s">
        <v>40</v>
      </c>
      <c r="B1077" s="73">
        <v>43208.0</v>
      </c>
      <c r="C1077" s="73">
        <v>43208.0</v>
      </c>
      <c r="D1077" s="75" t="s">
        <v>3318</v>
      </c>
      <c r="E1077" s="34" t="s">
        <v>41</v>
      </c>
      <c r="F1077" s="34">
        <v>56.0</v>
      </c>
      <c r="G1077" s="34" t="s">
        <v>32</v>
      </c>
      <c r="H1077" s="33">
        <f t="shared" si="162"/>
        <v>1</v>
      </c>
      <c r="I1077" s="34" t="s">
        <v>3319</v>
      </c>
      <c r="J1077" s="34"/>
      <c r="K1077" s="34" t="s">
        <v>32</v>
      </c>
      <c r="L1077" s="34" t="s">
        <v>3320</v>
      </c>
      <c r="M1077" s="76" t="s">
        <v>3321</v>
      </c>
      <c r="N1077" s="77"/>
      <c r="O1077" s="62"/>
      <c r="P1077" s="62"/>
      <c r="Q1077" s="62"/>
      <c r="R1077" s="62"/>
      <c r="S1077" s="37" t="str">
        <f>IFERROR(__xludf.DUMMYFUNCTION("if(not(iserror(index(split(C1077, "" ""),2))), index(split(C1077, "" ""),1),"""")"),"April")</f>
        <v>April</v>
      </c>
      <c r="T1077" s="38">
        <f>IFERROR(__xludf.DUMMYFUNCTION("if(S1077="""",C1077,if(not(iserror(index(split(C1077, "" ""),3))), index(split(C1077, "" ""),3),index(split(C1077, "" ""),2)))"),2018.0)</f>
        <v>2018</v>
      </c>
      <c r="U1077" s="38" t="b">
        <f t="shared" si="158"/>
        <v>1</v>
      </c>
      <c r="V1077" s="38"/>
      <c r="W1077" s="40"/>
      <c r="X1077" s="40"/>
      <c r="Y1077" s="40"/>
      <c r="Z1077" s="38"/>
      <c r="AA1077" s="38"/>
      <c r="AB1077" s="38"/>
      <c r="AC1077" s="38"/>
      <c r="AD1077" s="38"/>
      <c r="AE1077" s="38"/>
      <c r="AF1077" s="38"/>
      <c r="AG1077" s="38"/>
      <c r="AH1077" s="38"/>
      <c r="AI1077" s="38"/>
      <c r="AJ1077" s="38"/>
      <c r="AK1077" s="38"/>
      <c r="AL1077" s="38"/>
      <c r="AM1077" s="38"/>
      <c r="AN1077" s="38"/>
      <c r="AO1077" s="38"/>
      <c r="AP1077" s="38"/>
      <c r="AQ1077" s="38"/>
      <c r="AR1077" s="38"/>
      <c r="AS1077" s="38"/>
      <c r="AT1077" s="38"/>
      <c r="AU1077" s="38"/>
      <c r="AV1077" s="38"/>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row>
    <row r="1078">
      <c r="A1078" s="34" t="s">
        <v>3322</v>
      </c>
      <c r="B1078" s="73">
        <v>43210.0</v>
      </c>
      <c r="C1078" s="73">
        <v>43209.0</v>
      </c>
      <c r="D1078" s="75" t="s">
        <v>3323</v>
      </c>
      <c r="E1078" s="34" t="s">
        <v>41</v>
      </c>
      <c r="F1078" s="34">
        <v>1.0</v>
      </c>
      <c r="G1078" s="34" t="s">
        <v>32</v>
      </c>
      <c r="H1078" s="33">
        <f t="shared" si="162"/>
        <v>1</v>
      </c>
      <c r="I1078" s="34" t="s">
        <v>33</v>
      </c>
      <c r="J1078" s="34" t="s">
        <v>47</v>
      </c>
      <c r="K1078" s="34">
        <v>1.0</v>
      </c>
      <c r="L1078" s="34" t="s">
        <v>3324</v>
      </c>
      <c r="M1078" s="210" t="s">
        <v>3325</v>
      </c>
      <c r="N1078" s="77"/>
      <c r="O1078" s="62"/>
      <c r="P1078" s="62"/>
      <c r="Q1078" s="62"/>
      <c r="R1078" s="62"/>
      <c r="S1078" s="37" t="str">
        <f>IFERROR(__xludf.DUMMYFUNCTION("if(not(iserror(index(split(C1078, "" ""),2))), index(split(C1078, "" ""),1),"""")"),"April")</f>
        <v>April</v>
      </c>
      <c r="T1078" s="38">
        <f>IFERROR(__xludf.DUMMYFUNCTION("if(S1078="""",C1078,if(not(iserror(index(split(C1078, "" ""),3))), index(split(C1078, "" ""),3),index(split(C1078, "" ""),2)))"),2018.0)</f>
        <v>2018</v>
      </c>
      <c r="U1078" s="38" t="b">
        <f t="shared" si="158"/>
        <v>0</v>
      </c>
      <c r="V1078" s="38"/>
      <c r="W1078" s="40"/>
      <c r="X1078" s="40"/>
      <c r="Y1078" s="40"/>
      <c r="Z1078" s="38"/>
      <c r="AA1078" s="38"/>
      <c r="AB1078" s="38"/>
      <c r="AC1078" s="38"/>
      <c r="AD1078" s="38"/>
      <c r="AE1078" s="38"/>
      <c r="AF1078" s="38"/>
      <c r="AG1078" s="38"/>
      <c r="AH1078" s="38"/>
      <c r="AI1078" s="38"/>
      <c r="AJ1078" s="38"/>
      <c r="AK1078" s="38"/>
      <c r="AL1078" s="38"/>
      <c r="AM1078" s="38"/>
      <c r="AN1078" s="38"/>
      <c r="AO1078" s="38"/>
      <c r="AP1078" s="38"/>
      <c r="AQ1078" s="38"/>
      <c r="AR1078" s="38"/>
      <c r="AS1078" s="38"/>
      <c r="AT1078" s="38"/>
      <c r="AU1078" s="38"/>
      <c r="AV1078" s="38"/>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row>
    <row r="1079">
      <c r="A1079" s="37" t="s">
        <v>3326</v>
      </c>
      <c r="B1079" s="59">
        <v>43210.0</v>
      </c>
      <c r="C1079" s="59">
        <v>43209.0</v>
      </c>
      <c r="D1079" s="60" t="s">
        <v>3323</v>
      </c>
      <c r="E1079" s="58" t="s">
        <v>41</v>
      </c>
      <c r="F1079" s="58">
        <v>1.0</v>
      </c>
      <c r="G1079" s="58" t="s">
        <v>32</v>
      </c>
      <c r="H1079" s="33">
        <f t="shared" si="162"/>
        <v>1</v>
      </c>
      <c r="I1079" s="58" t="s">
        <v>33</v>
      </c>
      <c r="J1079" s="58" t="s">
        <v>909</v>
      </c>
      <c r="K1079" s="58">
        <v>3.0</v>
      </c>
      <c r="L1079" s="58" t="s">
        <v>76</v>
      </c>
      <c r="M1079" s="61" t="s">
        <v>3327</v>
      </c>
      <c r="N1079" s="77"/>
      <c r="O1079" s="83" t="str">
        <f>hyperlink("https://bad-boys.us/?q=D-RI/1:18-cr-00069", "D-RI 1:18-cr-00069")</f>
        <v>D-RI 1:18-cr-00069</v>
      </c>
      <c r="P1079" s="88" t="s">
        <v>3328</v>
      </c>
      <c r="Q1079" s="58">
        <v>1.0</v>
      </c>
      <c r="R1079" s="62"/>
      <c r="S1079" s="37" t="str">
        <f>IFERROR(__xludf.DUMMYFUNCTION("if(not(iserror(index(split(C1079, "" ""),2))), index(split(C1079, "" ""),1),"""")"),"April")</f>
        <v>April</v>
      </c>
      <c r="T1079" s="38">
        <f>IFERROR(__xludf.DUMMYFUNCTION("if(S1079="""",C1079,if(not(iserror(index(split(C1079, "" ""),3))), index(split(C1079, "" ""),3),index(split(C1079, "" ""),2)))"),2018.0)</f>
        <v>2018</v>
      </c>
      <c r="U1079" s="38" t="b">
        <f t="shared" si="158"/>
        <v>0</v>
      </c>
      <c r="V1079" s="38"/>
      <c r="W1079" s="40"/>
      <c r="X1079" s="40"/>
      <c r="Y1079" s="40"/>
      <c r="Z1079" s="38"/>
      <c r="AA1079" s="38"/>
      <c r="AB1079" s="38"/>
      <c r="AC1079" s="38"/>
      <c r="AD1079" s="38"/>
      <c r="AE1079" s="38"/>
      <c r="AF1079" s="38"/>
      <c r="AG1079" s="38"/>
      <c r="AH1079" s="38"/>
      <c r="AI1079" s="38"/>
      <c r="AJ1079" s="38"/>
      <c r="AK1079" s="38"/>
      <c r="AL1079" s="38"/>
      <c r="AM1079" s="38"/>
      <c r="AN1079" s="38"/>
      <c r="AO1079" s="38"/>
      <c r="AP1079" s="38"/>
      <c r="AQ1079" s="38"/>
      <c r="AR1079" s="38"/>
      <c r="AS1079" s="38"/>
      <c r="AT1079" s="38"/>
      <c r="AU1079" s="38"/>
      <c r="AV1079" s="38"/>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row>
    <row r="1080">
      <c r="A1080" s="37" t="s">
        <v>3329</v>
      </c>
      <c r="B1080" s="59">
        <v>43258.0</v>
      </c>
      <c r="C1080" s="59">
        <v>43209.0</v>
      </c>
      <c r="D1080" s="60" t="s">
        <v>3323</v>
      </c>
      <c r="E1080" s="58" t="s">
        <v>41</v>
      </c>
      <c r="F1080" s="58">
        <v>1.0</v>
      </c>
      <c r="G1080" s="58" t="s">
        <v>32</v>
      </c>
      <c r="H1080" s="33">
        <f t="shared" si="162"/>
        <v>1</v>
      </c>
      <c r="I1080" s="58" t="s">
        <v>33</v>
      </c>
      <c r="J1080" s="58" t="s">
        <v>111</v>
      </c>
      <c r="K1080" s="58">
        <v>1.0</v>
      </c>
      <c r="L1080" s="58" t="s">
        <v>35</v>
      </c>
      <c r="M1080" s="36" t="s">
        <v>3330</v>
      </c>
      <c r="N1080" s="77"/>
      <c r="O1080" s="62"/>
      <c r="P1080" s="62"/>
      <c r="Q1080" s="62"/>
      <c r="R1080" s="62"/>
      <c r="S1080" s="37" t="str">
        <f>IFERROR(__xludf.DUMMYFUNCTION("if(not(iserror(index(split(C1080, "" ""),2))), index(split(C1080, "" ""),1),"""")"),"April")</f>
        <v>April</v>
      </c>
      <c r="T1080" s="38">
        <f>IFERROR(__xludf.DUMMYFUNCTION("if(S1080="""",C1080,if(not(iserror(index(split(C1080, "" ""),3))), index(split(C1080, "" ""),3),index(split(C1080, "" ""),2)))"),2018.0)</f>
        <v>2018</v>
      </c>
      <c r="U1080" s="38" t="b">
        <f t="shared" si="158"/>
        <v>0</v>
      </c>
      <c r="V1080" s="38"/>
      <c r="W1080" s="40"/>
      <c r="X1080" s="40"/>
      <c r="Y1080" s="40"/>
      <c r="Z1080" s="38"/>
      <c r="AA1080" s="38"/>
      <c r="AB1080" s="38"/>
      <c r="AC1080" s="38"/>
      <c r="AD1080" s="38"/>
      <c r="AE1080" s="38"/>
      <c r="AF1080" s="38"/>
      <c r="AG1080" s="38"/>
      <c r="AH1080" s="38"/>
      <c r="AI1080" s="38"/>
      <c r="AJ1080" s="38"/>
      <c r="AK1080" s="38"/>
      <c r="AL1080" s="38"/>
      <c r="AM1080" s="38"/>
      <c r="AN1080" s="38"/>
      <c r="AO1080" s="38"/>
      <c r="AP1080" s="38"/>
      <c r="AQ1080" s="38"/>
      <c r="AR1080" s="38"/>
      <c r="AS1080" s="38"/>
      <c r="AT1080" s="38"/>
      <c r="AU1080" s="38"/>
      <c r="AV1080" s="38"/>
      <c r="AW1080" s="38"/>
      <c r="AX1080" s="38"/>
      <c r="AY1080" s="38"/>
      <c r="AZ1080" s="38"/>
      <c r="BA1080" s="38"/>
      <c r="BB1080" s="38"/>
      <c r="BC1080" s="38"/>
      <c r="BD1080" s="38"/>
      <c r="BE1080" s="38"/>
      <c r="BF1080" s="38"/>
      <c r="BG1080" s="38"/>
      <c r="BH1080" s="38"/>
      <c r="BI1080" s="38"/>
      <c r="BJ1080" s="38"/>
      <c r="BK1080" s="38"/>
      <c r="BL1080" s="38"/>
      <c r="BM1080" s="38"/>
      <c r="BN1080" s="38"/>
      <c r="BO1080" s="38"/>
      <c r="BP1080" s="38"/>
      <c r="BQ1080" s="38"/>
    </row>
    <row r="1081">
      <c r="A1081" s="58" t="s">
        <v>3331</v>
      </c>
      <c r="B1081" s="59">
        <v>43272.0</v>
      </c>
      <c r="C1081" s="59">
        <v>43209.0</v>
      </c>
      <c r="D1081" s="60" t="s">
        <v>3323</v>
      </c>
      <c r="E1081" s="58" t="s">
        <v>31</v>
      </c>
      <c r="F1081" s="58">
        <v>1.0</v>
      </c>
      <c r="G1081" s="58" t="s">
        <v>32</v>
      </c>
      <c r="H1081" s="33">
        <f t="shared" si="162"/>
        <v>1</v>
      </c>
      <c r="I1081" s="58" t="s">
        <v>33</v>
      </c>
      <c r="J1081" s="58" t="s">
        <v>111</v>
      </c>
      <c r="K1081" s="58">
        <v>3.0</v>
      </c>
      <c r="L1081" s="58" t="s">
        <v>69</v>
      </c>
      <c r="M1081" s="120" t="s">
        <v>3332</v>
      </c>
      <c r="N1081" s="61" t="s">
        <v>3333</v>
      </c>
      <c r="O1081" s="83" t="str">
        <f>hyperlink("https://bad-boys.us/?q=SD-CA/3:18-mj-01862", "SD-CA 3:18-mj-01862")</f>
        <v>SD-CA 3:18-mj-01862</v>
      </c>
      <c r="P1081" s="88" t="s">
        <v>3334</v>
      </c>
      <c r="Q1081" s="58">
        <v>1.0</v>
      </c>
      <c r="R1081" s="62"/>
      <c r="S1081" s="37" t="str">
        <f>IFERROR(__xludf.DUMMYFUNCTION("if(not(iserror(index(split(C1081, "" ""),2))), index(split(C1081, "" ""),1),"""")"),"April")</f>
        <v>April</v>
      </c>
      <c r="T1081" s="38">
        <f>IFERROR(__xludf.DUMMYFUNCTION("if(S1081="""",C1081,if(not(iserror(index(split(C1081, "" ""),3))), index(split(C1081, "" ""),3),index(split(C1081, "" ""),2)))"),2018.0)</f>
        <v>2018</v>
      </c>
      <c r="U1081" s="38" t="b">
        <f t="shared" si="158"/>
        <v>0</v>
      </c>
      <c r="V1081" s="38" t="s">
        <v>33</v>
      </c>
      <c r="W1081" s="39" t="s">
        <v>3335</v>
      </c>
      <c r="X1081" s="39" t="s">
        <v>3336</v>
      </c>
      <c r="Y1081" s="40"/>
      <c r="Z1081" s="38"/>
      <c r="AA1081" s="38"/>
      <c r="AB1081" s="38"/>
      <c r="AC1081" s="38"/>
      <c r="AD1081" s="38"/>
      <c r="AE1081" s="38"/>
      <c r="AF1081" s="38"/>
      <c r="AG1081" s="38"/>
      <c r="AH1081" s="38"/>
      <c r="AI1081" s="38"/>
      <c r="AJ1081" s="38"/>
      <c r="AK1081" s="38"/>
      <c r="AL1081" s="38"/>
      <c r="AM1081" s="38"/>
      <c r="AN1081" s="38"/>
      <c r="AO1081" s="38"/>
      <c r="AP1081" s="38"/>
      <c r="AQ1081" s="38"/>
      <c r="AR1081" s="38"/>
      <c r="AS1081" s="38"/>
      <c r="AT1081" s="38"/>
      <c r="AU1081" s="38"/>
      <c r="AV1081" s="38"/>
      <c r="AW1081" s="38"/>
      <c r="AX1081" s="38"/>
      <c r="AY1081" s="38"/>
      <c r="AZ1081" s="38"/>
      <c r="BA1081" s="38"/>
      <c r="BB1081" s="38"/>
      <c r="BC1081" s="38"/>
      <c r="BD1081" s="38"/>
      <c r="BE1081" s="38"/>
      <c r="BF1081" s="38"/>
      <c r="BG1081" s="38"/>
      <c r="BH1081" s="38"/>
      <c r="BI1081" s="38"/>
      <c r="BJ1081" s="38"/>
      <c r="BK1081" s="38"/>
      <c r="BL1081" s="38"/>
      <c r="BM1081" s="38"/>
      <c r="BN1081" s="38"/>
      <c r="BO1081" s="38"/>
      <c r="BP1081" s="38"/>
      <c r="BQ1081" s="38"/>
    </row>
    <row r="1082">
      <c r="A1082" s="34" t="s">
        <v>3337</v>
      </c>
      <c r="B1082" s="73">
        <v>43210.0</v>
      </c>
      <c r="C1082" s="73">
        <v>43210.0</v>
      </c>
      <c r="D1082" s="75" t="s">
        <v>3338</v>
      </c>
      <c r="E1082" s="34" t="s">
        <v>31</v>
      </c>
      <c r="F1082" s="34">
        <v>1.0</v>
      </c>
      <c r="G1082" s="34" t="s">
        <v>32</v>
      </c>
      <c r="H1082" s="33">
        <f t="shared" si="162"/>
        <v>1</v>
      </c>
      <c r="I1082" s="34" t="s">
        <v>33</v>
      </c>
      <c r="J1082" s="34" t="s">
        <v>93</v>
      </c>
      <c r="K1082" s="34" t="s">
        <v>40</v>
      </c>
      <c r="L1082" s="58" t="s">
        <v>3339</v>
      </c>
      <c r="M1082" s="46" t="s">
        <v>3340</v>
      </c>
      <c r="N1082" s="76" t="s">
        <v>3340</v>
      </c>
      <c r="O1082" s="62"/>
      <c r="P1082" s="58"/>
      <c r="Q1082" s="58"/>
      <c r="R1082" s="62"/>
      <c r="S1082" s="37" t="str">
        <f>IFERROR(__xludf.DUMMYFUNCTION("if(not(iserror(index(split(C1082, "" ""),2))), index(split(C1082, "" ""),1),"""")"),"April")</f>
        <v>April</v>
      </c>
      <c r="T1082" s="38">
        <f>IFERROR(__xludf.DUMMYFUNCTION("if(S1082="""",C1082,if(not(iserror(index(split(C1082, "" ""),3))), index(split(C1082, "" ""),3),index(split(C1082, "" ""),2)))"),2018.0)</f>
        <v>2018</v>
      </c>
      <c r="U1082" s="38" t="b">
        <f t="shared" si="158"/>
        <v>0</v>
      </c>
      <c r="V1082" s="38"/>
      <c r="W1082" s="40"/>
      <c r="X1082" s="40"/>
      <c r="Y1082" s="40"/>
      <c r="Z1082" s="38"/>
      <c r="AA1082" s="38"/>
      <c r="AB1082" s="38"/>
      <c r="AC1082" s="38"/>
      <c r="AD1082" s="38"/>
      <c r="AE1082" s="38"/>
      <c r="AF1082" s="38"/>
      <c r="AG1082" s="38"/>
      <c r="AH1082" s="38"/>
      <c r="AI1082" s="38"/>
      <c r="AJ1082" s="38"/>
      <c r="AK1082" s="38"/>
      <c r="AL1082" s="38"/>
      <c r="AM1082" s="38"/>
      <c r="AN1082" s="38"/>
      <c r="AO1082" s="38"/>
      <c r="AP1082" s="38"/>
      <c r="AQ1082" s="38"/>
      <c r="AR1082" s="38"/>
      <c r="AS1082" s="38"/>
      <c r="AT1082" s="38"/>
      <c r="AU1082" s="38"/>
      <c r="AV1082" s="38"/>
      <c r="AW1082" s="38"/>
      <c r="AX1082" s="38"/>
      <c r="AY1082" s="38"/>
      <c r="AZ1082" s="38"/>
      <c r="BA1082" s="38"/>
      <c r="BB1082" s="38"/>
      <c r="BC1082" s="38"/>
      <c r="BD1082" s="38"/>
      <c r="BE1082" s="38"/>
      <c r="BF1082" s="38"/>
      <c r="BG1082" s="38"/>
      <c r="BH1082" s="38"/>
      <c r="BI1082" s="38"/>
      <c r="BJ1082" s="38"/>
      <c r="BK1082" s="38"/>
      <c r="BL1082" s="38"/>
      <c r="BM1082" s="38"/>
      <c r="BN1082" s="38"/>
      <c r="BO1082" s="38"/>
      <c r="BP1082" s="38"/>
      <c r="BQ1082" s="38"/>
    </row>
    <row r="1083">
      <c r="A1083" s="37" t="s">
        <v>3341</v>
      </c>
      <c r="B1083" s="59">
        <v>43210.0</v>
      </c>
      <c r="C1083" s="59">
        <v>43210.0</v>
      </c>
      <c r="D1083" s="60" t="s">
        <v>3338</v>
      </c>
      <c r="E1083" s="58" t="s">
        <v>31</v>
      </c>
      <c r="F1083" s="58">
        <v>1.0</v>
      </c>
      <c r="G1083" s="58" t="s">
        <v>32</v>
      </c>
      <c r="H1083" s="33">
        <f t="shared" si="162"/>
        <v>1</v>
      </c>
      <c r="I1083" s="58" t="s">
        <v>33</v>
      </c>
      <c r="J1083" s="58" t="s">
        <v>115</v>
      </c>
      <c r="K1083" s="58">
        <v>1.0</v>
      </c>
      <c r="L1083" s="58" t="s">
        <v>52</v>
      </c>
      <c r="M1083" s="61" t="s">
        <v>3342</v>
      </c>
      <c r="N1083" s="77"/>
      <c r="O1083" s="62"/>
      <c r="P1083" s="62"/>
      <c r="Q1083" s="62"/>
      <c r="R1083" s="62"/>
      <c r="S1083" s="37" t="str">
        <f>IFERROR(__xludf.DUMMYFUNCTION("if(not(iserror(index(split(C1083, "" ""),2))), index(split(C1083, "" ""),1),"""")"),"April")</f>
        <v>April</v>
      </c>
      <c r="T1083" s="38">
        <f>IFERROR(__xludf.DUMMYFUNCTION("if(S1083="""",C1083,if(not(iserror(index(split(C1083, "" ""),3))), index(split(C1083, "" ""),3),index(split(C1083, "" ""),2)))"),2018.0)</f>
        <v>2018</v>
      </c>
      <c r="U1083" s="38" t="b">
        <f t="shared" si="158"/>
        <v>0</v>
      </c>
      <c r="V1083" s="38"/>
      <c r="W1083" s="40"/>
      <c r="X1083" s="40"/>
      <c r="Y1083" s="40"/>
      <c r="Z1083" s="38"/>
      <c r="AA1083" s="38"/>
      <c r="AB1083" s="38"/>
      <c r="AC1083" s="38"/>
      <c r="AD1083" s="38"/>
      <c r="AE1083" s="38"/>
      <c r="AF1083" s="38"/>
      <c r="AG1083" s="38"/>
      <c r="AH1083" s="38"/>
      <c r="AI1083" s="38"/>
      <c r="AJ1083" s="38"/>
      <c r="AK1083" s="38"/>
      <c r="AL1083" s="38"/>
      <c r="AM1083" s="38"/>
      <c r="AN1083" s="38"/>
      <c r="AO1083" s="38"/>
      <c r="AP1083" s="38"/>
      <c r="AQ1083" s="38"/>
      <c r="AR1083" s="38"/>
      <c r="AS1083" s="38"/>
      <c r="AT1083" s="38"/>
      <c r="AU1083" s="38"/>
      <c r="AV1083" s="38"/>
      <c r="AW1083" s="38"/>
      <c r="AX1083" s="38"/>
      <c r="AY1083" s="38"/>
      <c r="AZ1083" s="38"/>
      <c r="BA1083" s="38"/>
      <c r="BB1083" s="38"/>
      <c r="BC1083" s="38"/>
      <c r="BD1083" s="38"/>
      <c r="BE1083" s="38"/>
      <c r="BF1083" s="38"/>
      <c r="BG1083" s="38"/>
      <c r="BH1083" s="38"/>
      <c r="BI1083" s="38"/>
      <c r="BJ1083" s="38"/>
      <c r="BK1083" s="38"/>
      <c r="BL1083" s="38"/>
      <c r="BM1083" s="38"/>
      <c r="BN1083" s="38"/>
      <c r="BO1083" s="38"/>
      <c r="BP1083" s="38"/>
      <c r="BQ1083" s="38"/>
    </row>
    <row r="1084">
      <c r="A1084" s="58" t="s">
        <v>3343</v>
      </c>
      <c r="B1084" s="59">
        <v>43210.0</v>
      </c>
      <c r="C1084" s="59">
        <v>43210.0</v>
      </c>
      <c r="D1084" s="60" t="s">
        <v>3338</v>
      </c>
      <c r="E1084" s="58" t="s">
        <v>31</v>
      </c>
      <c r="F1084" s="58">
        <v>1.0</v>
      </c>
      <c r="G1084" s="58" t="s">
        <v>32</v>
      </c>
      <c r="H1084" s="33">
        <f t="shared" si="162"/>
        <v>1</v>
      </c>
      <c r="I1084" s="58" t="s">
        <v>33</v>
      </c>
      <c r="J1084" s="58" t="s">
        <v>147</v>
      </c>
      <c r="K1084" s="58">
        <v>1.0</v>
      </c>
      <c r="L1084" s="58" t="s">
        <v>3344</v>
      </c>
      <c r="M1084" s="61" t="s">
        <v>3345</v>
      </c>
      <c r="N1084" s="77"/>
      <c r="O1084" s="58"/>
      <c r="P1084" s="62"/>
      <c r="Q1084" s="84"/>
      <c r="R1084" s="62"/>
      <c r="S1084" s="37" t="str">
        <f>IFERROR(__xludf.DUMMYFUNCTION("if(not(iserror(index(split(C1084, "" ""),2))), index(split(C1084, "" ""),1),"""")"),"April")</f>
        <v>April</v>
      </c>
      <c r="T1084" s="38">
        <f>IFERROR(__xludf.DUMMYFUNCTION("if(S1084="""",C1084,if(not(iserror(index(split(C1084, "" ""),3))), index(split(C1084, "" ""),3),index(split(C1084, "" ""),2)))"),2018.0)</f>
        <v>2018</v>
      </c>
      <c r="U1084" s="38" t="b">
        <f t="shared" si="158"/>
        <v>0</v>
      </c>
      <c r="V1084" s="38"/>
      <c r="W1084" s="40"/>
      <c r="X1084" s="40"/>
      <c r="Y1084" s="40"/>
      <c r="Z1084" s="38"/>
      <c r="AA1084" s="38"/>
      <c r="AB1084" s="38"/>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row>
    <row r="1085">
      <c r="A1085" s="58" t="s">
        <v>239</v>
      </c>
      <c r="B1085" s="59">
        <v>43214.0</v>
      </c>
      <c r="C1085" s="59">
        <v>43210.0</v>
      </c>
      <c r="D1085" s="60" t="s">
        <v>3338</v>
      </c>
      <c r="E1085" s="58" t="s">
        <v>41</v>
      </c>
      <c r="F1085" s="58">
        <v>2.0</v>
      </c>
      <c r="G1085" s="58">
        <v>59.0</v>
      </c>
      <c r="H1085" s="33">
        <f t="shared" si="162"/>
        <v>59</v>
      </c>
      <c r="I1085" s="58" t="s">
        <v>33</v>
      </c>
      <c r="J1085" s="58" t="s">
        <v>147</v>
      </c>
      <c r="K1085" s="58">
        <v>1.0</v>
      </c>
      <c r="L1085" s="58" t="s">
        <v>194</v>
      </c>
      <c r="M1085" s="61" t="s">
        <v>3346</v>
      </c>
      <c r="N1085" s="77"/>
      <c r="O1085" s="58"/>
      <c r="P1085" s="58"/>
      <c r="Q1085" s="84"/>
      <c r="R1085" s="62"/>
      <c r="S1085" s="37" t="str">
        <f>IFERROR(__xludf.DUMMYFUNCTION("if(not(iserror(index(split(C1085, "" ""),2))), index(split(C1085, "" ""),1),"""")"),"April")</f>
        <v>April</v>
      </c>
      <c r="T1085" s="38">
        <f>IFERROR(__xludf.DUMMYFUNCTION("if(S1085="""",C1085,if(not(iserror(index(split(C1085, "" ""),3))), index(split(C1085, "" ""),3),index(split(C1085, "" ""),2)))"),2018.0)</f>
        <v>2018</v>
      </c>
      <c r="U1085" s="38" t="b">
        <f t="shared" si="158"/>
        <v>1</v>
      </c>
      <c r="V1085" s="38"/>
      <c r="W1085" s="40"/>
      <c r="X1085" s="40"/>
      <c r="Y1085" s="40"/>
      <c r="Z1085" s="38"/>
      <c r="AA1085" s="38"/>
      <c r="AB1085" s="38"/>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row>
    <row r="1086">
      <c r="A1086" s="58" t="s">
        <v>239</v>
      </c>
      <c r="B1086" s="59">
        <v>43214.0</v>
      </c>
      <c r="C1086" s="59">
        <v>43212.0</v>
      </c>
      <c r="D1086" s="60" t="s">
        <v>3347</v>
      </c>
      <c r="E1086" s="58" t="s">
        <v>41</v>
      </c>
      <c r="F1086" s="58">
        <v>1.0</v>
      </c>
      <c r="G1086" s="58">
        <v>4.0</v>
      </c>
      <c r="H1086" s="33">
        <f t="shared" si="162"/>
        <v>4</v>
      </c>
      <c r="I1086" s="58" t="s">
        <v>33</v>
      </c>
      <c r="J1086" s="58" t="s">
        <v>241</v>
      </c>
      <c r="K1086" s="58">
        <v>1.0</v>
      </c>
      <c r="L1086" s="58" t="s">
        <v>194</v>
      </c>
      <c r="M1086" s="61" t="s">
        <v>3348</v>
      </c>
      <c r="N1086" s="77"/>
      <c r="O1086" s="58"/>
      <c r="P1086" s="58"/>
      <c r="Q1086" s="84"/>
      <c r="R1086" s="62"/>
      <c r="S1086" s="37" t="str">
        <f>IFERROR(__xludf.DUMMYFUNCTION("if(not(iserror(index(split(C1086, "" ""),2))), index(split(C1086, "" ""),1),"""")"),"April")</f>
        <v>April</v>
      </c>
      <c r="T1086" s="38">
        <f>IFERROR(__xludf.DUMMYFUNCTION("if(S1086="""",C1086,if(not(iserror(index(split(C1086, "" ""),3))), index(split(C1086, "" ""),3),index(split(C1086, "" ""),2)))"),2018.0)</f>
        <v>2018</v>
      </c>
      <c r="U1086" s="38" t="b">
        <f t="shared" si="158"/>
        <v>1</v>
      </c>
      <c r="V1086" s="38"/>
      <c r="W1086" s="40"/>
      <c r="X1086" s="40"/>
      <c r="Y1086" s="40"/>
      <c r="Z1086" s="38"/>
      <c r="AA1086" s="38"/>
      <c r="AB1086" s="38"/>
      <c r="AC1086" s="38"/>
      <c r="AD1086" s="38"/>
      <c r="AE1086" s="38"/>
      <c r="AF1086" s="38"/>
      <c r="AG1086" s="38"/>
      <c r="AH1086" s="38"/>
      <c r="AI1086" s="38"/>
      <c r="AJ1086" s="38"/>
      <c r="AK1086" s="38"/>
      <c r="AL1086" s="38"/>
      <c r="AM1086" s="38"/>
      <c r="AN1086" s="38"/>
      <c r="AO1086" s="38"/>
      <c r="AP1086" s="38"/>
      <c r="AQ1086" s="38"/>
      <c r="AR1086" s="38"/>
      <c r="AS1086" s="38"/>
      <c r="AT1086" s="38"/>
      <c r="AU1086" s="38"/>
      <c r="AV1086" s="38"/>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row>
    <row r="1087">
      <c r="A1087" s="37" t="s">
        <v>3349</v>
      </c>
      <c r="B1087" s="59">
        <v>43213.0</v>
      </c>
      <c r="C1087" s="59">
        <v>43213.0</v>
      </c>
      <c r="D1087" s="60" t="s">
        <v>3350</v>
      </c>
      <c r="E1087" s="58" t="s">
        <v>41</v>
      </c>
      <c r="F1087" s="58">
        <v>2.0</v>
      </c>
      <c r="G1087" s="58" t="s">
        <v>32</v>
      </c>
      <c r="H1087" s="33">
        <f t="shared" si="162"/>
        <v>1</v>
      </c>
      <c r="I1087" s="58" t="s">
        <v>33</v>
      </c>
      <c r="J1087" s="58" t="s">
        <v>111</v>
      </c>
      <c r="K1087" s="58">
        <v>1.0</v>
      </c>
      <c r="L1087" s="34" t="s">
        <v>35</v>
      </c>
      <c r="M1087" s="61" t="s">
        <v>3351</v>
      </c>
      <c r="N1087" s="77"/>
      <c r="O1087" s="58"/>
      <c r="P1087" s="62"/>
      <c r="Q1087" s="84"/>
      <c r="R1087" s="62"/>
      <c r="S1087" s="37" t="str">
        <f>IFERROR(__xludf.DUMMYFUNCTION("if(not(iserror(index(split(C1087, "" ""),2))), index(split(C1087, "" ""),1),"""")"),"April")</f>
        <v>April</v>
      </c>
      <c r="T1087" s="38">
        <f>IFERROR(__xludf.DUMMYFUNCTION("if(S1087="""",C1087,if(not(iserror(index(split(C1087, "" ""),3))), index(split(C1087, "" ""),3),index(split(C1087, "" ""),2)))"),2018.0)</f>
        <v>2018</v>
      </c>
      <c r="U1087" s="38" t="b">
        <f t="shared" si="158"/>
        <v>0</v>
      </c>
      <c r="V1087" s="38"/>
      <c r="W1087" s="40"/>
      <c r="X1087" s="40"/>
      <c r="Y1087" s="40"/>
      <c r="Z1087" s="38"/>
      <c r="AA1087" s="38"/>
      <c r="AB1087" s="38"/>
      <c r="AC1087" s="38"/>
      <c r="AD1087" s="38"/>
      <c r="AE1087" s="38"/>
      <c r="AF1087" s="38"/>
      <c r="AG1087" s="38"/>
      <c r="AH1087" s="38"/>
      <c r="AI1087" s="38"/>
      <c r="AJ1087" s="38"/>
      <c r="AK1087" s="38"/>
      <c r="AL1087" s="38"/>
      <c r="AM1087" s="38"/>
      <c r="AN1087" s="38"/>
      <c r="AO1087" s="38"/>
      <c r="AP1087" s="38"/>
      <c r="AQ1087" s="38"/>
      <c r="AR1087" s="38"/>
      <c r="AS1087" s="38"/>
      <c r="AT1087" s="38"/>
      <c r="AU1087" s="38"/>
      <c r="AV1087" s="38"/>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row>
    <row r="1088">
      <c r="A1088" s="58" t="s">
        <v>3352</v>
      </c>
      <c r="B1088" s="59">
        <v>43213.0</v>
      </c>
      <c r="C1088" s="59">
        <v>43213.0</v>
      </c>
      <c r="D1088" s="60" t="s">
        <v>3350</v>
      </c>
      <c r="E1088" s="58" t="s">
        <v>31</v>
      </c>
      <c r="F1088" s="58">
        <v>1.0</v>
      </c>
      <c r="G1088" s="58" t="s">
        <v>32</v>
      </c>
      <c r="H1088" s="33">
        <f t="shared" si="162"/>
        <v>1</v>
      </c>
      <c r="I1088" s="58" t="s">
        <v>33</v>
      </c>
      <c r="J1088" s="58" t="s">
        <v>147</v>
      </c>
      <c r="K1088" s="58" t="s">
        <v>32</v>
      </c>
      <c r="L1088" s="58" t="s">
        <v>99</v>
      </c>
      <c r="M1088" s="61" t="s">
        <v>3353</v>
      </c>
      <c r="N1088" s="77"/>
      <c r="O1088" s="58"/>
      <c r="P1088" s="58"/>
      <c r="Q1088" s="84"/>
      <c r="R1088" s="62"/>
      <c r="S1088" s="37" t="str">
        <f>IFERROR(__xludf.DUMMYFUNCTION("if(not(iserror(index(split(C1088, "" ""),2))), index(split(C1088, "" ""),1),"""")"),"April")</f>
        <v>April</v>
      </c>
      <c r="T1088" s="38">
        <f>IFERROR(__xludf.DUMMYFUNCTION("if(S1088="""",C1088,if(not(iserror(index(split(C1088, "" ""),3))), index(split(C1088, "" ""),3),index(split(C1088, "" ""),2)))"),2018.0)</f>
        <v>2018</v>
      </c>
      <c r="U1088" s="38" t="b">
        <f t="shared" si="158"/>
        <v>0</v>
      </c>
      <c r="V1088" s="38"/>
      <c r="W1088" s="40"/>
      <c r="X1088" s="40"/>
      <c r="Y1088" s="40"/>
      <c r="Z1088" s="38"/>
      <c r="AA1088" s="38"/>
      <c r="AB1088" s="38"/>
      <c r="AC1088" s="38"/>
      <c r="AD1088" s="38"/>
      <c r="AE1088" s="38"/>
      <c r="AF1088" s="38"/>
      <c r="AG1088" s="38"/>
      <c r="AH1088" s="38"/>
      <c r="AI1088" s="38"/>
      <c r="AJ1088" s="38"/>
      <c r="AK1088" s="38"/>
      <c r="AL1088" s="38"/>
      <c r="AM1088" s="38"/>
      <c r="AN1088" s="38"/>
      <c r="AO1088" s="38"/>
      <c r="AP1088" s="38"/>
      <c r="AQ1088" s="38"/>
      <c r="AR1088" s="38"/>
      <c r="AS1088" s="38"/>
      <c r="AT1088" s="38"/>
      <c r="AU1088" s="38"/>
      <c r="AV1088" s="38"/>
      <c r="AW1088" s="38"/>
      <c r="AX1088" s="38"/>
      <c r="AY1088" s="38"/>
      <c r="AZ1088" s="38"/>
      <c r="BA1088" s="38"/>
      <c r="BB1088" s="38"/>
      <c r="BC1088" s="38"/>
      <c r="BD1088" s="38"/>
      <c r="BE1088" s="38"/>
      <c r="BF1088" s="38"/>
      <c r="BG1088" s="38"/>
      <c r="BH1088" s="38"/>
      <c r="BI1088" s="38"/>
      <c r="BJ1088" s="38"/>
      <c r="BK1088" s="38"/>
      <c r="BL1088" s="38"/>
      <c r="BM1088" s="38"/>
      <c r="BN1088" s="38"/>
      <c r="BO1088" s="38"/>
      <c r="BP1088" s="38"/>
      <c r="BQ1088" s="38"/>
    </row>
    <row r="1089">
      <c r="A1089" s="37" t="s">
        <v>239</v>
      </c>
      <c r="B1089" s="99">
        <v>43216.0</v>
      </c>
      <c r="C1089" s="100">
        <v>43213.0</v>
      </c>
      <c r="D1089" s="159">
        <v>43213.0</v>
      </c>
      <c r="E1089" s="37" t="s">
        <v>41</v>
      </c>
      <c r="F1089" s="37">
        <v>2.0</v>
      </c>
      <c r="G1089" s="37">
        <v>4.0</v>
      </c>
      <c r="H1089" s="33">
        <f t="shared" si="162"/>
        <v>4</v>
      </c>
      <c r="I1089" s="37" t="s">
        <v>33</v>
      </c>
      <c r="J1089" s="37" t="s">
        <v>193</v>
      </c>
      <c r="K1089" s="37">
        <v>1.0</v>
      </c>
      <c r="L1089" s="37" t="s">
        <v>194</v>
      </c>
      <c r="M1089" s="36" t="s">
        <v>3354</v>
      </c>
      <c r="N1089" s="102"/>
      <c r="O1089" s="78"/>
      <c r="Q1089" s="64"/>
      <c r="S1089" s="37" t="str">
        <f>IFERROR(__xludf.DUMMYFUNCTION("if(not(iserror(index(split(C1089, "" ""),2))), index(split(C1089, "" ""),1),"""")"),"April,")</f>
        <v>April,</v>
      </c>
      <c r="T1089" s="38">
        <f>IFERROR(__xludf.DUMMYFUNCTION("if(S1089="""",C1089,if(not(iserror(index(split(C1089, "" ""),3))), index(split(C1089, "" ""),3),index(split(C1089, "" ""),2)))"),2018.0)</f>
        <v>2018</v>
      </c>
      <c r="U1089" s="38" t="b">
        <f t="shared" si="158"/>
        <v>1</v>
      </c>
      <c r="V1089" s="38"/>
      <c r="W1089" s="40"/>
      <c r="X1089" s="40"/>
      <c r="Y1089" s="40"/>
      <c r="Z1089" s="38"/>
      <c r="AA1089" s="38"/>
      <c r="AB1089" s="38"/>
      <c r="AC1089" s="38"/>
      <c r="AD1089" s="38"/>
      <c r="AE1089" s="38"/>
      <c r="AF1089" s="38"/>
      <c r="AG1089" s="38"/>
      <c r="AH1089" s="38"/>
      <c r="AI1089" s="38"/>
      <c r="AJ1089" s="38"/>
      <c r="AK1089" s="38"/>
      <c r="AL1089" s="38"/>
      <c r="AM1089" s="38"/>
      <c r="AN1089" s="38"/>
      <c r="AO1089" s="38"/>
      <c r="AP1089" s="38"/>
      <c r="AQ1089" s="38"/>
      <c r="AR1089" s="38"/>
      <c r="AS1089" s="38"/>
      <c r="AT1089" s="38"/>
      <c r="AU1089" s="38"/>
      <c r="AV1089" s="38"/>
      <c r="AW1089" s="38"/>
      <c r="AX1089" s="38"/>
      <c r="AY1089" s="38"/>
      <c r="AZ1089" s="38"/>
      <c r="BA1089" s="38"/>
      <c r="BB1089" s="38"/>
      <c r="BC1089" s="38"/>
      <c r="BD1089" s="38"/>
      <c r="BE1089" s="38"/>
      <c r="BF1089" s="38"/>
      <c r="BG1089" s="38"/>
      <c r="BH1089" s="38"/>
      <c r="BI1089" s="38"/>
      <c r="BJ1089" s="38"/>
      <c r="BK1089" s="38"/>
      <c r="BL1089" s="38"/>
      <c r="BM1089" s="38"/>
      <c r="BN1089" s="38"/>
      <c r="BO1089" s="38"/>
      <c r="BP1089" s="38"/>
      <c r="BQ1089" s="38"/>
    </row>
    <row r="1090">
      <c r="A1090" s="13" t="s">
        <v>3355</v>
      </c>
      <c r="B1090" s="30">
        <v>43221.0</v>
      </c>
      <c r="C1090" s="30">
        <v>43213.0</v>
      </c>
      <c r="D1090" s="32" t="s">
        <v>3350</v>
      </c>
      <c r="E1090" s="13" t="s">
        <v>31</v>
      </c>
      <c r="F1090" s="13">
        <v>2.0</v>
      </c>
      <c r="G1090" s="13" t="s">
        <v>32</v>
      </c>
      <c r="H1090" s="33">
        <f t="shared" si="162"/>
        <v>1</v>
      </c>
      <c r="I1090" s="13" t="s">
        <v>33</v>
      </c>
      <c r="J1090" s="13" t="s">
        <v>179</v>
      </c>
      <c r="K1090" s="13">
        <v>1.0</v>
      </c>
      <c r="L1090" s="13" t="s">
        <v>52</v>
      </c>
      <c r="M1090" s="35" t="s">
        <v>3356</v>
      </c>
      <c r="N1090" s="15"/>
      <c r="O1090" s="16"/>
      <c r="P1090" s="16"/>
      <c r="Q1090" s="16"/>
      <c r="R1090" s="16"/>
      <c r="S1090" s="37" t="str">
        <f>IFERROR(__xludf.DUMMYFUNCTION("if(not(iserror(index(split(C1090, "" ""),2))), index(split(C1090, "" ""),1),"""")"),"April")</f>
        <v>April</v>
      </c>
      <c r="T1090" s="38">
        <f>IFERROR(__xludf.DUMMYFUNCTION("if(S1090="""",C1090,if(not(iserror(index(split(C1090, "" ""),3))), index(split(C1090, "" ""),3),index(split(C1090, "" ""),2)))"),2018.0)</f>
        <v>2018</v>
      </c>
      <c r="U1090" s="38" t="b">
        <f t="shared" si="158"/>
        <v>0</v>
      </c>
      <c r="V1090" s="38"/>
      <c r="W1090" s="40"/>
      <c r="X1090" s="40"/>
      <c r="Y1090" s="40"/>
      <c r="Z1090" s="38"/>
      <c r="AA1090" s="38"/>
      <c r="AB1090" s="38"/>
      <c r="AC1090" s="38"/>
      <c r="AD1090" s="38"/>
      <c r="AE1090" s="38"/>
      <c r="AF1090" s="38"/>
      <c r="AG1090" s="38"/>
      <c r="AH1090" s="38"/>
      <c r="AI1090" s="38"/>
      <c r="AJ1090" s="38"/>
      <c r="AK1090" s="38"/>
      <c r="AL1090" s="38"/>
      <c r="AM1090" s="38"/>
      <c r="AN1090" s="38"/>
      <c r="AO1090" s="38"/>
      <c r="AP1090" s="38"/>
      <c r="AQ1090" s="38"/>
      <c r="AR1090" s="38"/>
      <c r="AS1090" s="38"/>
      <c r="AT1090" s="38"/>
      <c r="AU1090" s="38"/>
      <c r="AV1090" s="38"/>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row>
    <row r="1091">
      <c r="A1091" s="37" t="s">
        <v>40</v>
      </c>
      <c r="B1091" s="30">
        <v>43222.0</v>
      </c>
      <c r="C1091" s="30">
        <v>43213.0</v>
      </c>
      <c r="D1091" s="32" t="s">
        <v>3350</v>
      </c>
      <c r="E1091" s="13" t="s">
        <v>31</v>
      </c>
      <c r="F1091" s="13">
        <v>3.0</v>
      </c>
      <c r="G1091" s="13" t="s">
        <v>32</v>
      </c>
      <c r="H1091" s="33">
        <f t="shared" si="162"/>
        <v>1</v>
      </c>
      <c r="I1091" s="13" t="s">
        <v>33</v>
      </c>
      <c r="J1091" s="13" t="s">
        <v>147</v>
      </c>
      <c r="K1091" s="13" t="s">
        <v>32</v>
      </c>
      <c r="L1091" s="13" t="s">
        <v>1616</v>
      </c>
      <c r="M1091" s="35" t="s">
        <v>3357</v>
      </c>
      <c r="N1091" s="15"/>
      <c r="O1091" s="16"/>
      <c r="P1091" s="16"/>
      <c r="Q1091" s="16"/>
      <c r="R1091" s="16"/>
      <c r="S1091" s="37" t="str">
        <f>IFERROR(__xludf.DUMMYFUNCTION("if(not(iserror(index(split(C1091, "" ""),2))), index(split(C1091, "" ""),1),"""")"),"April")</f>
        <v>April</v>
      </c>
      <c r="T1091" s="38">
        <f>IFERROR(__xludf.DUMMYFUNCTION("if(S1091="""",C1091,if(not(iserror(index(split(C1091, "" ""),3))), index(split(C1091, "" ""),3),index(split(C1091, "" ""),2)))"),2018.0)</f>
        <v>2018</v>
      </c>
      <c r="U1091" s="38" t="b">
        <f t="shared" si="158"/>
        <v>1</v>
      </c>
      <c r="V1091" s="38"/>
      <c r="W1091" s="40"/>
      <c r="X1091" s="40"/>
      <c r="Y1091" s="40"/>
      <c r="Z1091" s="38"/>
      <c r="AA1091" s="38"/>
      <c r="AB1091" s="38"/>
      <c r="AC1091" s="38"/>
      <c r="AD1091" s="38"/>
      <c r="AE1091" s="38"/>
      <c r="AF1091" s="38"/>
      <c r="AG1091" s="38"/>
      <c r="AH1091" s="38"/>
      <c r="AI1091" s="38"/>
      <c r="AJ1091" s="38"/>
      <c r="AK1091" s="38"/>
      <c r="AL1091" s="38"/>
      <c r="AM1091" s="38"/>
      <c r="AN1091" s="38"/>
      <c r="AO1091" s="38"/>
      <c r="AP1091" s="38"/>
      <c r="AQ1091" s="38"/>
      <c r="AR1091" s="38"/>
      <c r="AS1091" s="38"/>
      <c r="AT1091" s="38"/>
      <c r="AU1091" s="38"/>
      <c r="AV1091" s="38"/>
      <c r="AW1091" s="38"/>
      <c r="AX1091" s="38"/>
      <c r="AY1091" s="38"/>
      <c r="AZ1091" s="38"/>
      <c r="BA1091" s="38"/>
      <c r="BB1091" s="38"/>
      <c r="BC1091" s="38"/>
      <c r="BD1091" s="38"/>
      <c r="BE1091" s="38"/>
      <c r="BF1091" s="38"/>
      <c r="BG1091" s="38"/>
      <c r="BH1091" s="38"/>
      <c r="BI1091" s="38"/>
      <c r="BJ1091" s="38"/>
      <c r="BK1091" s="38"/>
      <c r="BL1091" s="38"/>
      <c r="BM1091" s="38"/>
      <c r="BN1091" s="38"/>
      <c r="BO1091" s="38"/>
      <c r="BP1091" s="38"/>
      <c r="BQ1091" s="38"/>
    </row>
    <row r="1092">
      <c r="A1092" s="37" t="s">
        <v>3358</v>
      </c>
      <c r="B1092" s="30"/>
      <c r="C1092" s="30">
        <v>43214.0</v>
      </c>
      <c r="D1092" s="32"/>
      <c r="E1092" s="13" t="s">
        <v>41</v>
      </c>
      <c r="F1092" s="13">
        <v>1.0</v>
      </c>
      <c r="G1092" s="13" t="s">
        <v>32</v>
      </c>
      <c r="H1092" s="43">
        <v>1.0</v>
      </c>
      <c r="I1092" s="13" t="s">
        <v>33</v>
      </c>
      <c r="J1092" s="13" t="s">
        <v>93</v>
      </c>
      <c r="K1092" s="13"/>
      <c r="L1092" s="13" t="s">
        <v>69</v>
      </c>
      <c r="M1092" s="35" t="s">
        <v>3359</v>
      </c>
      <c r="N1092" s="15"/>
      <c r="O1092" s="37"/>
      <c r="P1092" s="37"/>
      <c r="Q1092" s="37"/>
      <c r="R1092" s="16"/>
      <c r="S1092" s="37" t="str">
        <f>IFERROR(__xludf.DUMMYFUNCTION("if(not(iserror(index(split(C1092, "" ""),2))), index(split(C1092, "" ""),1),"""")"),"April")</f>
        <v>April</v>
      </c>
      <c r="T1092" s="38">
        <f>IFERROR(__xludf.DUMMYFUNCTION("if(S1092="""",C1092,if(not(iserror(index(split(C1092, "" ""),3))), index(split(C1092, "" ""),3),index(split(C1092, "" ""),2)))"),2018.0)</f>
        <v>2018</v>
      </c>
      <c r="U1092" s="38" t="b">
        <f t="shared" si="158"/>
        <v>0</v>
      </c>
      <c r="V1092" s="38"/>
      <c r="W1092" s="40"/>
      <c r="X1092" s="40"/>
      <c r="Y1092" s="40"/>
      <c r="Z1092" s="38"/>
      <c r="AA1092" s="38"/>
      <c r="AB1092" s="38"/>
      <c r="AC1092" s="38"/>
      <c r="AD1092" s="38"/>
      <c r="AE1092" s="38"/>
      <c r="AF1092" s="38"/>
      <c r="AG1092" s="38"/>
      <c r="AH1092" s="38"/>
      <c r="AI1092" s="38"/>
      <c r="AJ1092" s="38"/>
      <c r="AK1092" s="38"/>
      <c r="AL1092" s="38"/>
      <c r="AM1092" s="38"/>
      <c r="AN1092" s="38"/>
      <c r="AO1092" s="38"/>
      <c r="AP1092" s="38"/>
      <c r="AQ1092" s="38"/>
      <c r="AR1092" s="38"/>
      <c r="AS1092" s="38"/>
      <c r="AT1092" s="38"/>
      <c r="AU1092" s="38"/>
      <c r="AV1092" s="38"/>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row>
    <row r="1093">
      <c r="A1093" s="37" t="s">
        <v>3360</v>
      </c>
      <c r="B1093" s="30"/>
      <c r="C1093" s="30">
        <v>43214.0</v>
      </c>
      <c r="D1093" s="32"/>
      <c r="E1093" s="13" t="s">
        <v>41</v>
      </c>
      <c r="F1093" s="13">
        <v>1.0</v>
      </c>
      <c r="G1093" s="13" t="s">
        <v>32</v>
      </c>
      <c r="H1093" s="43">
        <v>1.0</v>
      </c>
      <c r="I1093" s="13" t="s">
        <v>33</v>
      </c>
      <c r="J1093" s="13" t="s">
        <v>288</v>
      </c>
      <c r="K1093" s="13"/>
      <c r="L1093" s="13" t="s">
        <v>119</v>
      </c>
      <c r="M1093" s="35" t="s">
        <v>3361</v>
      </c>
      <c r="N1093" s="15"/>
      <c r="O1093" s="37"/>
      <c r="P1093" s="37"/>
      <c r="Q1093" s="37"/>
      <c r="R1093" s="16"/>
      <c r="S1093" s="37"/>
      <c r="T1093" s="38"/>
      <c r="U1093" s="38"/>
      <c r="V1093" s="38" t="s">
        <v>33</v>
      </c>
      <c r="W1093" s="40"/>
      <c r="X1093" s="40"/>
      <c r="Y1093" s="40"/>
      <c r="Z1093" s="38"/>
      <c r="AA1093" s="38"/>
      <c r="AB1093" s="38"/>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row>
    <row r="1094">
      <c r="A1094" s="37" t="s">
        <v>3362</v>
      </c>
      <c r="B1094" s="30">
        <v>43215.0</v>
      </c>
      <c r="C1094" s="30">
        <v>43215.0</v>
      </c>
      <c r="D1094" s="32" t="s">
        <v>3363</v>
      </c>
      <c r="E1094" s="13" t="s">
        <v>41</v>
      </c>
      <c r="F1094" s="13">
        <v>1.0</v>
      </c>
      <c r="G1094" s="13" t="s">
        <v>32</v>
      </c>
      <c r="H1094" s="33">
        <f>if(G1094="Unknown",1,G1094)</f>
        <v>1</v>
      </c>
      <c r="I1094" s="13" t="s">
        <v>33</v>
      </c>
      <c r="J1094" s="13" t="s">
        <v>93</v>
      </c>
      <c r="K1094" s="13" t="s">
        <v>40</v>
      </c>
      <c r="L1094" s="13" t="s">
        <v>99</v>
      </c>
      <c r="M1094" s="35" t="s">
        <v>3364</v>
      </c>
      <c r="N1094" s="15"/>
      <c r="O1094" s="37"/>
      <c r="P1094" s="37"/>
      <c r="Q1094" s="64"/>
      <c r="R1094" s="16"/>
      <c r="S1094" s="37" t="str">
        <f>IFERROR(__xludf.DUMMYFUNCTION("if(not(iserror(index(split(C1094, "" ""),2))), index(split(C1094, "" ""),1),"""")"),"April")</f>
        <v>April</v>
      </c>
      <c r="T1094" s="38">
        <f>IFERROR(__xludf.DUMMYFUNCTION("if(S1094="""",C1094,if(not(iserror(index(split(C1094, "" ""),3))), index(split(C1094, "" ""),3),index(split(C1094, "" ""),2)))"),2018.0)</f>
        <v>2018</v>
      </c>
      <c r="U1094" s="38" t="b">
        <f t="shared" ref="U1094:U1099" si="163">countif(A$4:A4658, A1094)&gt;1</f>
        <v>0</v>
      </c>
      <c r="V1094" s="38"/>
      <c r="W1094" s="40"/>
      <c r="X1094" s="40"/>
      <c r="Y1094" s="40"/>
      <c r="Z1094" s="38"/>
      <c r="AA1094" s="38"/>
      <c r="AB1094" s="38"/>
      <c r="AC1094" s="38"/>
      <c r="AD1094" s="38"/>
      <c r="AE1094" s="38"/>
      <c r="AF1094" s="38"/>
      <c r="AG1094" s="38"/>
      <c r="AH1094" s="38"/>
      <c r="AI1094" s="38"/>
      <c r="AJ1094" s="38"/>
      <c r="AK1094" s="38"/>
      <c r="AL1094" s="38"/>
      <c r="AM1094" s="38"/>
      <c r="AN1094" s="38"/>
      <c r="AO1094" s="38"/>
      <c r="AP1094" s="38"/>
      <c r="AQ1094" s="38"/>
      <c r="AR1094" s="38"/>
      <c r="AS1094" s="38"/>
      <c r="AT1094" s="38"/>
      <c r="AU1094" s="38"/>
      <c r="AV1094" s="38"/>
      <c r="AW1094" s="38"/>
      <c r="AX1094" s="38"/>
      <c r="AY1094" s="38"/>
      <c r="AZ1094" s="38"/>
      <c r="BA1094" s="38"/>
      <c r="BB1094" s="38"/>
      <c r="BC1094" s="38"/>
      <c r="BD1094" s="38"/>
      <c r="BE1094" s="38"/>
      <c r="BF1094" s="38"/>
      <c r="BG1094" s="38"/>
      <c r="BH1094" s="38"/>
      <c r="BI1094" s="38"/>
      <c r="BJ1094" s="38"/>
      <c r="BK1094" s="38"/>
      <c r="BL1094" s="38"/>
      <c r="BM1094" s="38"/>
      <c r="BN1094" s="38"/>
      <c r="BO1094" s="38"/>
      <c r="BP1094" s="38"/>
      <c r="BQ1094" s="38"/>
    </row>
    <row r="1095">
      <c r="A1095" s="58" t="s">
        <v>3365</v>
      </c>
      <c r="B1095" s="59"/>
      <c r="C1095" s="59">
        <v>43215.0</v>
      </c>
      <c r="D1095" s="60"/>
      <c r="E1095" s="58" t="s">
        <v>41</v>
      </c>
      <c r="F1095" s="58">
        <v>1.0</v>
      </c>
      <c r="G1095" s="58" t="s">
        <v>32</v>
      </c>
      <c r="H1095" s="43">
        <v>1.0</v>
      </c>
      <c r="I1095" s="58" t="s">
        <v>33</v>
      </c>
      <c r="J1095" s="58" t="s">
        <v>93</v>
      </c>
      <c r="K1095" s="58"/>
      <c r="L1095" s="58" t="s">
        <v>69</v>
      </c>
      <c r="M1095" s="61" t="s">
        <v>3366</v>
      </c>
      <c r="N1095" s="77"/>
      <c r="O1095" s="83" t="str">
        <f>hyperlink("https://bad-boys.us/?q=WD-NY/6:18-cr-06167", "WD-NY 6:18-cr-06167")</f>
        <v>WD-NY 6:18-cr-06167</v>
      </c>
      <c r="P1095" s="62"/>
      <c r="Q1095" s="84">
        <v>1.0</v>
      </c>
      <c r="R1095" s="62"/>
      <c r="S1095" s="37" t="str">
        <f>IFERROR(__xludf.DUMMYFUNCTION("if(not(iserror(index(split(C1095, "" ""),2))), index(split(C1095, "" ""),1),"""")"),"April")</f>
        <v>April</v>
      </c>
      <c r="T1095" s="38">
        <f>IFERROR(__xludf.DUMMYFUNCTION("if(S1095="""",C1095,if(not(iserror(index(split(C1095, "" ""),3))), index(split(C1095, "" ""),3),index(split(C1095, "" ""),2)))"),2018.0)</f>
        <v>2018</v>
      </c>
      <c r="U1095" s="38" t="b">
        <f t="shared" si="163"/>
        <v>0</v>
      </c>
      <c r="V1095" s="38" t="s">
        <v>33</v>
      </c>
      <c r="W1095" s="40"/>
      <c r="X1095" s="40"/>
      <c r="Y1095" s="40"/>
      <c r="Z1095" s="38"/>
      <c r="AA1095" s="38"/>
      <c r="AB1095" s="38"/>
      <c r="AC1095" s="38"/>
      <c r="AD1095" s="38"/>
      <c r="AE1095" s="38"/>
      <c r="AF1095" s="38"/>
      <c r="AG1095" s="38"/>
      <c r="AH1095" s="38"/>
      <c r="AI1095" s="38"/>
      <c r="AJ1095" s="38"/>
      <c r="AK1095" s="38"/>
      <c r="AL1095" s="38"/>
      <c r="AM1095" s="38"/>
      <c r="AN1095" s="38"/>
      <c r="AO1095" s="38"/>
      <c r="AP1095" s="38"/>
      <c r="AQ1095" s="38"/>
      <c r="AR1095" s="38"/>
      <c r="AS1095" s="38"/>
      <c r="AT1095" s="38"/>
      <c r="AU1095" s="38"/>
      <c r="AV1095" s="38"/>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row>
    <row r="1096">
      <c r="A1096" s="58" t="s">
        <v>3367</v>
      </c>
      <c r="B1096" s="59">
        <v>43308.0</v>
      </c>
      <c r="C1096" s="59">
        <v>43215.0</v>
      </c>
      <c r="D1096" s="60" t="s">
        <v>3363</v>
      </c>
      <c r="E1096" s="58" t="s">
        <v>41</v>
      </c>
      <c r="F1096" s="58">
        <v>1.0</v>
      </c>
      <c r="G1096" s="58" t="s">
        <v>32</v>
      </c>
      <c r="H1096" s="33">
        <f t="shared" ref="H1096:H1099" si="164">if(G1096="Unknown",1,G1096)</f>
        <v>1</v>
      </c>
      <c r="I1096" s="58" t="s">
        <v>33</v>
      </c>
      <c r="J1096" s="58" t="s">
        <v>448</v>
      </c>
      <c r="K1096" s="58">
        <v>2.0</v>
      </c>
      <c r="L1096" s="58" t="s">
        <v>76</v>
      </c>
      <c r="M1096" s="61" t="s">
        <v>3368</v>
      </c>
      <c r="N1096" s="77"/>
      <c r="O1096" s="62"/>
      <c r="P1096" s="62"/>
      <c r="Q1096" s="62"/>
      <c r="R1096" s="62"/>
      <c r="S1096" s="37" t="str">
        <f>IFERROR(__xludf.DUMMYFUNCTION("if(not(iserror(index(split(C1096, "" ""),2))), index(split(C1096, "" ""),1),"""")"),"April")</f>
        <v>April</v>
      </c>
      <c r="T1096" s="38">
        <f>IFERROR(__xludf.DUMMYFUNCTION("if(S1096="""",C1096,if(not(iserror(index(split(C1096, "" ""),3))), index(split(C1096, "" ""),3),index(split(C1096, "" ""),2)))"),2018.0)</f>
        <v>2018</v>
      </c>
      <c r="U1096" s="38" t="b">
        <f t="shared" si="163"/>
        <v>0</v>
      </c>
      <c r="V1096" s="38"/>
      <c r="W1096" s="40"/>
      <c r="X1096" s="40"/>
      <c r="Y1096" s="40"/>
      <c r="Z1096" s="38"/>
      <c r="AA1096" s="38"/>
      <c r="AB1096" s="38"/>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c r="AW1096" s="38"/>
      <c r="AX1096" s="38"/>
      <c r="AY1096" s="38"/>
      <c r="AZ1096" s="38"/>
      <c r="BA1096" s="38"/>
      <c r="BB1096" s="38"/>
      <c r="BC1096" s="38"/>
      <c r="BD1096" s="38"/>
      <c r="BE1096" s="38"/>
      <c r="BF1096" s="38"/>
      <c r="BG1096" s="38"/>
      <c r="BH1096" s="38"/>
      <c r="BI1096" s="38"/>
      <c r="BJ1096" s="38"/>
      <c r="BK1096" s="38"/>
      <c r="BL1096" s="38"/>
      <c r="BM1096" s="38"/>
      <c r="BN1096" s="38"/>
      <c r="BO1096" s="38"/>
      <c r="BP1096" s="38"/>
      <c r="BQ1096" s="38"/>
    </row>
    <row r="1097">
      <c r="A1097" s="58" t="s">
        <v>3369</v>
      </c>
      <c r="B1097" s="59">
        <v>43410.0</v>
      </c>
      <c r="C1097" s="59">
        <v>43215.0</v>
      </c>
      <c r="D1097" s="60" t="s">
        <v>3363</v>
      </c>
      <c r="E1097" s="58" t="s">
        <v>31</v>
      </c>
      <c r="F1097" s="58">
        <v>1.0</v>
      </c>
      <c r="G1097" s="58" t="s">
        <v>32</v>
      </c>
      <c r="H1097" s="33">
        <f t="shared" si="164"/>
        <v>1</v>
      </c>
      <c r="I1097" s="58" t="s">
        <v>33</v>
      </c>
      <c r="J1097" s="58" t="s">
        <v>115</v>
      </c>
      <c r="K1097" s="58">
        <v>3.0</v>
      </c>
      <c r="L1097" s="58" t="s">
        <v>119</v>
      </c>
      <c r="M1097" s="61" t="s">
        <v>3370</v>
      </c>
      <c r="N1097" s="61" t="s">
        <v>3371</v>
      </c>
      <c r="O1097" s="88" t="str">
        <f>hyperlink("https://bad-boys.us/?q=MD-PA/1:18-cr-00366", "MD-PA 1:18-cr-00366")</f>
        <v>MD-PA 1:18-cr-00366</v>
      </c>
      <c r="P1097" s="58"/>
      <c r="Q1097" s="84">
        <v>1.0</v>
      </c>
      <c r="R1097" s="62"/>
      <c r="S1097" s="37" t="str">
        <f>IFERROR(__xludf.DUMMYFUNCTION("if(not(iserror(index(split(C1097, "" ""),2))), index(split(C1097, "" ""),1),"""")"),"April")</f>
        <v>April</v>
      </c>
      <c r="T1097" s="38">
        <f>IFERROR(__xludf.DUMMYFUNCTION("if(S1097="""",C1097,if(not(iserror(index(split(C1097, "" ""),3))), index(split(C1097, "" ""),3),index(split(C1097, "" ""),2)))"),2018.0)</f>
        <v>2018</v>
      </c>
      <c r="U1097" s="38" t="b">
        <f t="shared" si="163"/>
        <v>0</v>
      </c>
      <c r="V1097" s="38"/>
      <c r="W1097" s="40"/>
      <c r="X1097" s="40"/>
      <c r="Y1097" s="40"/>
      <c r="Z1097" s="38"/>
      <c r="AA1097" s="38"/>
      <c r="AB1097" s="38"/>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c r="AW1097" s="38"/>
      <c r="AX1097" s="38"/>
      <c r="AY1097" s="38"/>
      <c r="AZ1097" s="38"/>
      <c r="BA1097" s="38"/>
      <c r="BB1097" s="38"/>
      <c r="BC1097" s="38"/>
      <c r="BD1097" s="38"/>
      <c r="BE1097" s="38"/>
      <c r="BF1097" s="38"/>
      <c r="BG1097" s="38"/>
      <c r="BH1097" s="38"/>
      <c r="BI1097" s="38"/>
      <c r="BJ1097" s="38"/>
      <c r="BK1097" s="38"/>
      <c r="BL1097" s="38"/>
      <c r="BM1097" s="38"/>
      <c r="BN1097" s="38"/>
      <c r="BO1097" s="38"/>
      <c r="BP1097" s="38"/>
      <c r="BQ1097" s="38"/>
    </row>
    <row r="1098">
      <c r="A1098" s="13" t="s">
        <v>3372</v>
      </c>
      <c r="B1098" s="30">
        <v>43223.0</v>
      </c>
      <c r="C1098" s="30">
        <v>43216.0</v>
      </c>
      <c r="D1098" s="32" t="s">
        <v>3373</v>
      </c>
      <c r="E1098" s="13" t="s">
        <v>41</v>
      </c>
      <c r="F1098" s="13">
        <v>1.0</v>
      </c>
      <c r="G1098" s="13" t="s">
        <v>32</v>
      </c>
      <c r="H1098" s="33">
        <f t="shared" si="164"/>
        <v>1</v>
      </c>
      <c r="I1098" s="13" t="s">
        <v>33</v>
      </c>
      <c r="J1098" s="13" t="s">
        <v>909</v>
      </c>
      <c r="K1098" s="13">
        <v>2.0</v>
      </c>
      <c r="L1098" s="34" t="s">
        <v>119</v>
      </c>
      <c r="M1098" s="35" t="s">
        <v>3374</v>
      </c>
      <c r="N1098" s="15"/>
      <c r="O1098" s="37"/>
      <c r="P1098" s="37"/>
      <c r="Q1098" s="37"/>
      <c r="R1098" s="16"/>
      <c r="S1098" s="37" t="str">
        <f>IFERROR(__xludf.DUMMYFUNCTION("if(not(iserror(index(split(C1098, "" ""),2))), index(split(C1098, "" ""),1),"""")"),"April")</f>
        <v>April</v>
      </c>
      <c r="T1098" s="38">
        <f>IFERROR(__xludf.DUMMYFUNCTION("if(S1098="""",C1098,if(not(iserror(index(split(C1098, "" ""),3))), index(split(C1098, "" ""),3),index(split(C1098, "" ""),2)))"),2018.0)</f>
        <v>2018</v>
      </c>
      <c r="U1098" s="38" t="b">
        <f t="shared" si="163"/>
        <v>0</v>
      </c>
      <c r="V1098" s="38"/>
      <c r="W1098" s="40"/>
      <c r="X1098" s="40"/>
      <c r="Y1098" s="40"/>
      <c r="Z1098" s="38"/>
      <c r="AA1098" s="38"/>
      <c r="AB1098" s="38"/>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c r="AW1098" s="38"/>
      <c r="AX1098" s="38"/>
      <c r="AY1098" s="38"/>
      <c r="AZ1098" s="38"/>
      <c r="BA1098" s="38"/>
      <c r="BB1098" s="38"/>
      <c r="BC1098" s="38"/>
      <c r="BD1098" s="38"/>
      <c r="BE1098" s="38"/>
      <c r="BF1098" s="38"/>
      <c r="BG1098" s="38"/>
      <c r="BH1098" s="38"/>
      <c r="BI1098" s="38"/>
      <c r="BJ1098" s="38"/>
      <c r="BK1098" s="38"/>
      <c r="BL1098" s="38"/>
      <c r="BM1098" s="38"/>
      <c r="BN1098" s="38"/>
      <c r="BO1098" s="38"/>
      <c r="BP1098" s="38"/>
      <c r="BQ1098" s="38"/>
    </row>
    <row r="1099">
      <c r="A1099" s="58" t="s">
        <v>3375</v>
      </c>
      <c r="B1099" s="59">
        <v>43247.0</v>
      </c>
      <c r="C1099" s="59">
        <v>43216.0</v>
      </c>
      <c r="D1099" s="60" t="s">
        <v>3373</v>
      </c>
      <c r="E1099" s="58" t="s">
        <v>31</v>
      </c>
      <c r="F1099" s="58">
        <v>1.0</v>
      </c>
      <c r="G1099" s="58" t="s">
        <v>32</v>
      </c>
      <c r="H1099" s="33">
        <f t="shared" si="164"/>
        <v>1</v>
      </c>
      <c r="I1099" s="58" t="s">
        <v>33</v>
      </c>
      <c r="J1099" s="58" t="s">
        <v>42</v>
      </c>
      <c r="K1099" s="58">
        <v>1.0</v>
      </c>
      <c r="L1099" s="58" t="s">
        <v>52</v>
      </c>
      <c r="M1099" s="61" t="s">
        <v>3376</v>
      </c>
      <c r="N1099" s="77"/>
      <c r="O1099" s="62"/>
      <c r="P1099" s="62"/>
      <c r="Q1099" s="62"/>
      <c r="R1099" s="62"/>
      <c r="S1099" s="37" t="str">
        <f>IFERROR(__xludf.DUMMYFUNCTION("if(not(iserror(index(split(C1099, "" ""),2))), index(split(C1099, "" ""),1),"""")"),"April")</f>
        <v>April</v>
      </c>
      <c r="T1099" s="38">
        <f>IFERROR(__xludf.DUMMYFUNCTION("if(S1099="""",C1099,if(not(iserror(index(split(C1099, "" ""),3))), index(split(C1099, "" ""),3),index(split(C1099, "" ""),2)))"),2018.0)</f>
        <v>2018</v>
      </c>
      <c r="U1099" s="38" t="b">
        <f t="shared" si="163"/>
        <v>0</v>
      </c>
      <c r="V1099" s="38"/>
      <c r="W1099" s="40"/>
      <c r="X1099" s="40"/>
      <c r="Y1099" s="40"/>
      <c r="Z1099" s="38"/>
      <c r="AA1099" s="38"/>
      <c r="AB1099" s="38"/>
      <c r="AC1099" s="38"/>
      <c r="AD1099" s="38"/>
      <c r="AE1099" s="38"/>
      <c r="AF1099" s="38"/>
      <c r="AG1099" s="38"/>
      <c r="AH1099" s="38"/>
      <c r="AI1099" s="38"/>
      <c r="AJ1099" s="38"/>
      <c r="AK1099" s="38"/>
      <c r="AL1099" s="38"/>
      <c r="AM1099" s="38"/>
      <c r="AN1099" s="38"/>
      <c r="AO1099" s="38"/>
      <c r="AP1099" s="38"/>
      <c r="AQ1099" s="38"/>
      <c r="AR1099" s="38"/>
      <c r="AS1099" s="38"/>
      <c r="AT1099" s="38"/>
      <c r="AU1099" s="38"/>
      <c r="AV1099" s="38"/>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row>
    <row r="1100">
      <c r="A1100" s="13" t="s">
        <v>3377</v>
      </c>
      <c r="B1100" s="30"/>
      <c r="C1100" s="30">
        <v>43217.0</v>
      </c>
      <c r="D1100" s="32"/>
      <c r="E1100" s="13" t="s">
        <v>31</v>
      </c>
      <c r="F1100" s="13">
        <v>1.0</v>
      </c>
      <c r="G1100" s="13" t="s">
        <v>32</v>
      </c>
      <c r="H1100" s="43">
        <v>1.0</v>
      </c>
      <c r="I1100" s="13" t="s">
        <v>33</v>
      </c>
      <c r="J1100" s="13" t="s">
        <v>93</v>
      </c>
      <c r="K1100" s="13"/>
      <c r="L1100" s="13" t="s">
        <v>69</v>
      </c>
      <c r="M1100" s="35" t="s">
        <v>3378</v>
      </c>
      <c r="N1100" s="36" t="s">
        <v>3379</v>
      </c>
      <c r="O1100" s="16"/>
      <c r="P1100" s="16"/>
      <c r="Q1100" s="16"/>
      <c r="R1100" s="16"/>
      <c r="S1100" s="37"/>
      <c r="T1100" s="38"/>
      <c r="U1100" s="38"/>
      <c r="V1100" s="38" t="s">
        <v>33</v>
      </c>
      <c r="W1100" s="39" t="s">
        <v>3380</v>
      </c>
      <c r="X1100" s="40"/>
      <c r="Y1100" s="40"/>
      <c r="Z1100" s="38"/>
      <c r="AA1100" s="38"/>
      <c r="AB1100" s="38"/>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c r="AW1100" s="38"/>
      <c r="AX1100" s="38"/>
      <c r="AY1100" s="38"/>
      <c r="AZ1100" s="38"/>
      <c r="BA1100" s="38"/>
      <c r="BB1100" s="38"/>
      <c r="BC1100" s="38"/>
      <c r="BD1100" s="38"/>
      <c r="BE1100" s="38"/>
      <c r="BF1100" s="38"/>
      <c r="BG1100" s="38"/>
      <c r="BH1100" s="38"/>
      <c r="BI1100" s="38"/>
      <c r="BJ1100" s="38"/>
      <c r="BK1100" s="38"/>
      <c r="BL1100" s="38"/>
      <c r="BM1100" s="38"/>
      <c r="BN1100" s="38"/>
      <c r="BO1100" s="38"/>
      <c r="BP1100" s="38"/>
      <c r="BQ1100" s="38"/>
    </row>
    <row r="1101">
      <c r="A1101" s="13" t="s">
        <v>239</v>
      </c>
      <c r="B1101" s="30">
        <v>43221.0</v>
      </c>
      <c r="C1101" s="30">
        <v>43220.0</v>
      </c>
      <c r="D1101" s="32" t="s">
        <v>3381</v>
      </c>
      <c r="E1101" s="13" t="s">
        <v>41</v>
      </c>
      <c r="F1101" s="13">
        <v>1.0</v>
      </c>
      <c r="G1101" s="13">
        <v>4.0</v>
      </c>
      <c r="H1101" s="33">
        <f t="shared" ref="H1101:H1108" si="165">if(G1101="Unknown",1,G1101)</f>
        <v>4</v>
      </c>
      <c r="I1101" s="13" t="s">
        <v>33</v>
      </c>
      <c r="J1101" s="13" t="s">
        <v>241</v>
      </c>
      <c r="K1101" s="13">
        <v>1.0</v>
      </c>
      <c r="L1101" s="13" t="s">
        <v>194</v>
      </c>
      <c r="M1101" s="35" t="s">
        <v>3382</v>
      </c>
      <c r="N1101" s="15"/>
      <c r="O1101" s="16"/>
      <c r="P1101" s="16"/>
      <c r="Q1101" s="16"/>
      <c r="R1101" s="16"/>
      <c r="S1101" s="37" t="str">
        <f>IFERROR(__xludf.DUMMYFUNCTION("if(not(iserror(index(split(C1101, "" ""),2))), index(split(C1101, "" ""),1),"""")"),"April")</f>
        <v>April</v>
      </c>
      <c r="T1101" s="38">
        <f>IFERROR(__xludf.DUMMYFUNCTION("if(S1101="""",C1101,if(not(iserror(index(split(C1101, "" ""),3))), index(split(C1101, "" ""),3),index(split(C1101, "" ""),2)))"),2018.0)</f>
        <v>2018</v>
      </c>
      <c r="U1101" s="38" t="b">
        <f t="shared" ref="U1101:U1133" si="166">countif(A$4:A4658, A1101)&gt;1</f>
        <v>1</v>
      </c>
      <c r="V1101" s="38"/>
      <c r="W1101" s="40"/>
      <c r="X1101" s="40"/>
      <c r="Y1101" s="40"/>
      <c r="Z1101" s="38"/>
      <c r="AA1101" s="38"/>
      <c r="AB1101" s="38"/>
      <c r="AC1101" s="38"/>
      <c r="AD1101" s="38"/>
      <c r="AE1101" s="38"/>
      <c r="AF1101" s="38"/>
      <c r="AG1101" s="38"/>
      <c r="AH1101" s="38"/>
      <c r="AI1101" s="38"/>
      <c r="AJ1101" s="38"/>
      <c r="AK1101" s="38"/>
      <c r="AL1101" s="38"/>
      <c r="AM1101" s="38"/>
      <c r="AN1101" s="38"/>
      <c r="AO1101" s="38"/>
      <c r="AP1101" s="38"/>
      <c r="AQ1101" s="38"/>
      <c r="AR1101" s="38"/>
      <c r="AS1101" s="38"/>
      <c r="AT1101" s="38"/>
      <c r="AU1101" s="38"/>
      <c r="AV1101" s="38"/>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row>
    <row r="1102">
      <c r="A1102" s="37" t="s">
        <v>3383</v>
      </c>
      <c r="B1102" s="30">
        <v>43222.0</v>
      </c>
      <c r="C1102" s="30">
        <v>43220.0</v>
      </c>
      <c r="D1102" s="32" t="s">
        <v>3381</v>
      </c>
      <c r="E1102" s="13" t="s">
        <v>41</v>
      </c>
      <c r="F1102" s="13">
        <v>1.0</v>
      </c>
      <c r="G1102" s="13" t="s">
        <v>32</v>
      </c>
      <c r="H1102" s="33">
        <f t="shared" si="165"/>
        <v>1</v>
      </c>
      <c r="I1102" s="13" t="s">
        <v>33</v>
      </c>
      <c r="J1102" s="13" t="s">
        <v>47</v>
      </c>
      <c r="K1102" s="13">
        <v>2.0</v>
      </c>
      <c r="L1102" s="13" t="s">
        <v>69</v>
      </c>
      <c r="M1102" s="36" t="s">
        <v>3384</v>
      </c>
      <c r="N1102" s="15"/>
      <c r="O1102" s="57" t="str">
        <f>hyperlink("https://bad-boys.us/?q=MD-FL/3:18-mj-01157", "MD-FL 3:18-mj-01157")</f>
        <v>MD-FL 3:18-mj-01157</v>
      </c>
      <c r="P1102" s="86" t="s">
        <v>3385</v>
      </c>
      <c r="Q1102" s="37">
        <v>1.0</v>
      </c>
      <c r="R1102" s="16"/>
      <c r="S1102" s="37" t="str">
        <f>IFERROR(__xludf.DUMMYFUNCTION("if(not(iserror(index(split(C1102, "" ""),2))), index(split(C1102, "" ""),1),"""")"),"April")</f>
        <v>April</v>
      </c>
      <c r="T1102" s="38">
        <f>IFERROR(__xludf.DUMMYFUNCTION("if(S1102="""",C1102,if(not(iserror(index(split(C1102, "" ""),3))), index(split(C1102, "" ""),3),index(split(C1102, "" ""),2)))"),2018.0)</f>
        <v>2018</v>
      </c>
      <c r="U1102" s="38" t="b">
        <f t="shared" si="166"/>
        <v>0</v>
      </c>
      <c r="V1102" s="38"/>
      <c r="W1102" s="40"/>
      <c r="X1102" s="40"/>
      <c r="Y1102" s="40"/>
      <c r="Z1102" s="38"/>
      <c r="AA1102" s="38"/>
      <c r="AB1102" s="38"/>
      <c r="AC1102" s="38"/>
      <c r="AD1102" s="38"/>
      <c r="AE1102" s="38"/>
      <c r="AF1102" s="38"/>
      <c r="AG1102" s="38"/>
      <c r="AH1102" s="38"/>
      <c r="AI1102" s="38"/>
      <c r="AJ1102" s="38"/>
      <c r="AK1102" s="38"/>
      <c r="AL1102" s="38"/>
      <c r="AM1102" s="38"/>
      <c r="AN1102" s="38"/>
      <c r="AO1102" s="38"/>
      <c r="AP1102" s="38"/>
      <c r="AQ1102" s="38"/>
      <c r="AR1102" s="38"/>
      <c r="AS1102" s="38"/>
      <c r="AT1102" s="38"/>
      <c r="AU1102" s="38"/>
      <c r="AV1102" s="38"/>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row>
    <row r="1103">
      <c r="A1103" s="37" t="s">
        <v>3386</v>
      </c>
      <c r="B1103" s="59">
        <v>43229.0</v>
      </c>
      <c r="C1103" s="79">
        <v>43221.0</v>
      </c>
      <c r="D1103" s="60" t="s">
        <v>632</v>
      </c>
      <c r="E1103" s="58" t="s">
        <v>31</v>
      </c>
      <c r="F1103" s="58">
        <v>1.0</v>
      </c>
      <c r="G1103" s="58" t="s">
        <v>32</v>
      </c>
      <c r="H1103" s="33">
        <f t="shared" si="165"/>
        <v>1</v>
      </c>
      <c r="I1103" s="58" t="s">
        <v>33</v>
      </c>
      <c r="J1103" s="58" t="s">
        <v>47</v>
      </c>
      <c r="K1103" s="58">
        <v>1.0</v>
      </c>
      <c r="L1103" s="58" t="s">
        <v>52</v>
      </c>
      <c r="M1103" s="61" t="s">
        <v>3387</v>
      </c>
      <c r="N1103" s="77"/>
      <c r="O1103" s="62"/>
      <c r="P1103" s="62"/>
      <c r="Q1103" s="62"/>
      <c r="R1103" s="62"/>
      <c r="S1103" s="37" t="str">
        <f>IFERROR(__xludf.DUMMYFUNCTION("if(not(iserror(index(split(C1103, "" ""),2))), index(split(C1103, "" ""),1),"""")"),"May,")</f>
        <v>May,</v>
      </c>
      <c r="T1103" s="38">
        <f>IFERROR(__xludf.DUMMYFUNCTION("if(S1103="""",C1103,if(not(iserror(index(split(C1103, "" ""),3))), index(split(C1103, "" ""),3),index(split(C1103, "" ""),2)))"),2018.0)</f>
        <v>2018</v>
      </c>
      <c r="U1103" s="38" t="b">
        <f t="shared" si="166"/>
        <v>0</v>
      </c>
      <c r="V1103" s="38"/>
      <c r="W1103" s="40"/>
      <c r="X1103" s="40"/>
      <c r="Y1103" s="40"/>
      <c r="Z1103" s="38"/>
      <c r="AA1103" s="38"/>
      <c r="AB1103" s="38"/>
      <c r="AC1103" s="38"/>
      <c r="AD1103" s="38"/>
      <c r="AE1103" s="38"/>
      <c r="AF1103" s="38"/>
      <c r="AG1103" s="38"/>
      <c r="AH1103" s="38"/>
      <c r="AI1103" s="38"/>
      <c r="AJ1103" s="38"/>
      <c r="AK1103" s="38"/>
      <c r="AL1103" s="38"/>
      <c r="AM1103" s="38"/>
      <c r="AN1103" s="38"/>
      <c r="AO1103" s="38"/>
      <c r="AP1103" s="38"/>
      <c r="AQ1103" s="38"/>
      <c r="AR1103" s="38"/>
      <c r="AS1103" s="38"/>
      <c r="AT1103" s="38"/>
      <c r="AU1103" s="38"/>
      <c r="AV1103" s="38"/>
      <c r="AW1103" s="38"/>
      <c r="AX1103" s="38"/>
      <c r="AY1103" s="38"/>
      <c r="AZ1103" s="38"/>
      <c r="BA1103" s="38"/>
      <c r="BB1103" s="38"/>
      <c r="BC1103" s="38"/>
      <c r="BD1103" s="38"/>
      <c r="BE1103" s="38"/>
      <c r="BF1103" s="38"/>
      <c r="BG1103" s="38"/>
      <c r="BH1103" s="38"/>
      <c r="BI1103" s="38"/>
      <c r="BJ1103" s="38"/>
      <c r="BK1103" s="38"/>
      <c r="BL1103" s="38"/>
      <c r="BM1103" s="38"/>
      <c r="BN1103" s="38"/>
      <c r="BO1103" s="38"/>
      <c r="BP1103" s="38"/>
      <c r="BQ1103" s="38"/>
    </row>
    <row r="1104">
      <c r="A1104" s="58" t="s">
        <v>3388</v>
      </c>
      <c r="B1104" s="59">
        <v>43238.0</v>
      </c>
      <c r="C1104" s="79">
        <v>43221.0</v>
      </c>
      <c r="D1104" s="60" t="s">
        <v>632</v>
      </c>
      <c r="E1104" s="58" t="s">
        <v>41</v>
      </c>
      <c r="F1104" s="58">
        <v>1.0</v>
      </c>
      <c r="G1104" s="58" t="s">
        <v>32</v>
      </c>
      <c r="H1104" s="33">
        <f t="shared" si="165"/>
        <v>1</v>
      </c>
      <c r="I1104" s="58" t="s">
        <v>33</v>
      </c>
      <c r="J1104" s="58" t="s">
        <v>93</v>
      </c>
      <c r="K1104" s="58">
        <v>1.0</v>
      </c>
      <c r="L1104" s="58" t="s">
        <v>76</v>
      </c>
      <c r="M1104" s="61" t="s">
        <v>3389</v>
      </c>
      <c r="N1104" s="61" t="s">
        <v>3390</v>
      </c>
      <c r="O1104" s="58"/>
      <c r="P1104" s="62"/>
      <c r="Q1104" s="58"/>
      <c r="R1104" s="62"/>
      <c r="S1104" s="37" t="str">
        <f>IFERROR(__xludf.DUMMYFUNCTION("if(not(iserror(index(split(C1104, "" ""),2))), index(split(C1104, "" ""),1),"""")"),"May,")</f>
        <v>May,</v>
      </c>
      <c r="T1104" s="38">
        <f>IFERROR(__xludf.DUMMYFUNCTION("if(S1104="""",C1104,if(not(iserror(index(split(C1104, "" ""),3))), index(split(C1104, "" ""),3),index(split(C1104, "" ""),2)))"),2018.0)</f>
        <v>2018</v>
      </c>
      <c r="U1104" s="38" t="b">
        <f t="shared" si="166"/>
        <v>1</v>
      </c>
      <c r="V1104" s="38" t="s">
        <v>33</v>
      </c>
      <c r="W1104" s="39" t="s">
        <v>3391</v>
      </c>
      <c r="X1104" s="40"/>
      <c r="Y1104" s="40"/>
      <c r="Z1104" s="38"/>
      <c r="AA1104" s="38"/>
      <c r="AB1104" s="38"/>
      <c r="AC1104" s="38"/>
      <c r="AD1104" s="38"/>
      <c r="AE1104" s="38"/>
      <c r="AF1104" s="38"/>
      <c r="AG1104" s="38"/>
      <c r="AH1104" s="38"/>
      <c r="AI1104" s="38"/>
      <c r="AJ1104" s="38"/>
      <c r="AK1104" s="38"/>
      <c r="AL1104" s="38"/>
      <c r="AM1104" s="38"/>
      <c r="AN1104" s="38"/>
      <c r="AO1104" s="38"/>
      <c r="AP1104" s="38"/>
      <c r="AQ1104" s="38"/>
      <c r="AR1104" s="38"/>
      <c r="AS1104" s="38"/>
      <c r="AT1104" s="38"/>
      <c r="AU1104" s="38"/>
      <c r="AV1104" s="38"/>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row>
    <row r="1105">
      <c r="A1105" s="58" t="s">
        <v>3392</v>
      </c>
      <c r="B1105" s="59">
        <v>43241.0</v>
      </c>
      <c r="C1105" s="79">
        <v>43221.0</v>
      </c>
      <c r="D1105" s="60" t="s">
        <v>632</v>
      </c>
      <c r="E1105" s="58" t="s">
        <v>41</v>
      </c>
      <c r="F1105" s="58">
        <v>1.0</v>
      </c>
      <c r="G1105" s="58" t="s">
        <v>32</v>
      </c>
      <c r="H1105" s="33">
        <f t="shared" si="165"/>
        <v>1</v>
      </c>
      <c r="I1105" s="58" t="s">
        <v>33</v>
      </c>
      <c r="J1105" s="58" t="s">
        <v>111</v>
      </c>
      <c r="K1105" s="58">
        <v>1.0</v>
      </c>
      <c r="L1105" s="58" t="s">
        <v>807</v>
      </c>
      <c r="M1105" s="61" t="s">
        <v>3393</v>
      </c>
      <c r="N1105" s="77"/>
      <c r="O1105" s="62"/>
      <c r="P1105" s="62"/>
      <c r="Q1105" s="62"/>
      <c r="R1105" s="62"/>
      <c r="S1105" s="37" t="str">
        <f>IFERROR(__xludf.DUMMYFUNCTION("if(not(iserror(index(split(C1105, "" ""),2))), index(split(C1105, "" ""),1),"""")"),"May,")</f>
        <v>May,</v>
      </c>
      <c r="T1105" s="38">
        <f>IFERROR(__xludf.DUMMYFUNCTION("if(S1105="""",C1105,if(not(iserror(index(split(C1105, "" ""),3))), index(split(C1105, "" ""),3),index(split(C1105, "" ""),2)))"),2018.0)</f>
        <v>2018</v>
      </c>
      <c r="U1105" s="38" t="b">
        <f t="shared" si="166"/>
        <v>0</v>
      </c>
      <c r="V1105" s="38"/>
      <c r="W1105" s="40"/>
      <c r="X1105" s="40"/>
      <c r="Y1105" s="40"/>
      <c r="Z1105" s="38"/>
      <c r="AA1105" s="38"/>
      <c r="AB1105" s="38"/>
      <c r="AC1105" s="38"/>
      <c r="AD1105" s="38"/>
      <c r="AE1105" s="38"/>
      <c r="AF1105" s="38"/>
      <c r="AG1105" s="38"/>
      <c r="AH1105" s="38"/>
      <c r="AI1105" s="38"/>
      <c r="AJ1105" s="38"/>
      <c r="AK1105" s="38"/>
      <c r="AL1105" s="38"/>
      <c r="AM1105" s="38"/>
      <c r="AN1105" s="38"/>
      <c r="AO1105" s="38"/>
      <c r="AP1105" s="38"/>
      <c r="AQ1105" s="38"/>
      <c r="AR1105" s="38"/>
      <c r="AS1105" s="38"/>
      <c r="AT1105" s="38"/>
      <c r="AU1105" s="38"/>
      <c r="AV1105" s="38"/>
      <c r="AW1105" s="38"/>
      <c r="AX1105" s="38"/>
      <c r="AY1105" s="38"/>
      <c r="AZ1105" s="38"/>
      <c r="BA1105" s="38"/>
      <c r="BB1105" s="38"/>
      <c r="BC1105" s="38"/>
      <c r="BD1105" s="38"/>
      <c r="BE1105" s="38"/>
      <c r="BF1105" s="38"/>
      <c r="BG1105" s="38"/>
      <c r="BH1105" s="38"/>
      <c r="BI1105" s="38"/>
      <c r="BJ1105" s="38"/>
      <c r="BK1105" s="38"/>
      <c r="BL1105" s="38"/>
      <c r="BM1105" s="38"/>
      <c r="BN1105" s="38"/>
      <c r="BO1105" s="38"/>
      <c r="BP1105" s="38"/>
      <c r="BQ1105" s="38"/>
    </row>
    <row r="1106">
      <c r="A1106" s="58" t="s">
        <v>40</v>
      </c>
      <c r="B1106" s="59">
        <v>43256.0</v>
      </c>
      <c r="C1106" s="79">
        <v>43221.0</v>
      </c>
      <c r="D1106" s="60" t="s">
        <v>632</v>
      </c>
      <c r="E1106" s="58" t="s">
        <v>41</v>
      </c>
      <c r="F1106" s="58">
        <v>11.0</v>
      </c>
      <c r="G1106" s="58" t="s">
        <v>32</v>
      </c>
      <c r="H1106" s="33">
        <f t="shared" si="165"/>
        <v>1</v>
      </c>
      <c r="I1106" s="58" t="s">
        <v>33</v>
      </c>
      <c r="J1106" s="58" t="s">
        <v>47</v>
      </c>
      <c r="K1106" s="58">
        <v>1.0</v>
      </c>
      <c r="L1106" s="58" t="s">
        <v>3394</v>
      </c>
      <c r="M1106" s="61" t="s">
        <v>3395</v>
      </c>
      <c r="N1106" s="77"/>
      <c r="O1106" s="62"/>
      <c r="P1106" s="62"/>
      <c r="Q1106" s="62"/>
      <c r="R1106" s="62"/>
      <c r="S1106" s="37" t="str">
        <f>IFERROR(__xludf.DUMMYFUNCTION("if(not(iserror(index(split(C1106, "" ""),2))), index(split(C1106, "" ""),1),"""")"),"May,")</f>
        <v>May,</v>
      </c>
      <c r="T1106" s="38">
        <f>IFERROR(__xludf.DUMMYFUNCTION("if(S1106="""",C1106,if(not(iserror(index(split(C1106, "" ""),3))), index(split(C1106, "" ""),3),index(split(C1106, "" ""),2)))"),2018.0)</f>
        <v>2018</v>
      </c>
      <c r="U1106" s="38" t="b">
        <f t="shared" si="166"/>
        <v>1</v>
      </c>
      <c r="V1106" s="38"/>
      <c r="W1106" s="40"/>
      <c r="X1106" s="40"/>
      <c r="Y1106" s="40"/>
      <c r="Z1106" s="38"/>
      <c r="AA1106" s="38"/>
      <c r="AB1106" s="38"/>
      <c r="AC1106" s="38"/>
      <c r="AD1106" s="38"/>
      <c r="AE1106" s="38"/>
      <c r="AF1106" s="38"/>
      <c r="AG1106" s="38"/>
      <c r="AH1106" s="38"/>
      <c r="AI1106" s="38"/>
      <c r="AJ1106" s="38"/>
      <c r="AK1106" s="38"/>
      <c r="AL1106" s="38"/>
      <c r="AM1106" s="38"/>
      <c r="AN1106" s="38"/>
      <c r="AO1106" s="38"/>
      <c r="AP1106" s="38"/>
      <c r="AQ1106" s="38"/>
      <c r="AR1106" s="38"/>
      <c r="AS1106" s="38"/>
      <c r="AT1106" s="38"/>
      <c r="AU1106" s="38"/>
      <c r="AV1106" s="38"/>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row>
    <row r="1107">
      <c r="A1107" s="58" t="s">
        <v>40</v>
      </c>
      <c r="B1107" s="59">
        <v>43259.0</v>
      </c>
      <c r="C1107" s="79">
        <v>43221.0</v>
      </c>
      <c r="D1107" s="60" t="s">
        <v>632</v>
      </c>
      <c r="E1107" s="58" t="s">
        <v>41</v>
      </c>
      <c r="F1107" s="58">
        <v>158.0</v>
      </c>
      <c r="G1107" s="58">
        <v>149.0</v>
      </c>
      <c r="H1107" s="33">
        <f t="shared" si="165"/>
        <v>149</v>
      </c>
      <c r="I1107" s="58" t="s">
        <v>33</v>
      </c>
      <c r="J1107" s="58" t="s">
        <v>98</v>
      </c>
      <c r="K1107" s="58">
        <v>39.0</v>
      </c>
      <c r="L1107" s="58" t="s">
        <v>3396</v>
      </c>
      <c r="M1107" s="61" t="s">
        <v>3397</v>
      </c>
      <c r="N1107" s="77"/>
      <c r="O1107" s="62"/>
      <c r="P1107" s="62"/>
      <c r="Q1107" s="62"/>
      <c r="R1107" s="62"/>
      <c r="S1107" s="37" t="str">
        <f>IFERROR(__xludf.DUMMYFUNCTION("if(not(iserror(index(split(C1107, "" ""),2))), index(split(C1107, "" ""),1),"""")"),"May,")</f>
        <v>May,</v>
      </c>
      <c r="T1107" s="38">
        <f>IFERROR(__xludf.DUMMYFUNCTION("if(S1107="""",C1107,if(not(iserror(index(split(C1107, "" ""),3))), index(split(C1107, "" ""),3),index(split(C1107, "" ""),2)))"),2018.0)</f>
        <v>2018</v>
      </c>
      <c r="U1107" s="38" t="b">
        <f t="shared" si="166"/>
        <v>1</v>
      </c>
      <c r="V1107" s="38"/>
      <c r="W1107" s="40"/>
      <c r="X1107" s="40"/>
      <c r="Y1107" s="40"/>
      <c r="Z1107" s="38"/>
      <c r="AA1107" s="38"/>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AY1107" s="38"/>
      <c r="AZ1107" s="38"/>
      <c r="BA1107" s="38"/>
      <c r="BB1107" s="38"/>
      <c r="BC1107" s="38"/>
      <c r="BD1107" s="38"/>
      <c r="BE1107" s="38"/>
      <c r="BF1107" s="38"/>
      <c r="BG1107" s="38"/>
      <c r="BH1107" s="38"/>
      <c r="BI1107" s="38"/>
      <c r="BJ1107" s="38"/>
      <c r="BK1107" s="38"/>
      <c r="BL1107" s="38"/>
      <c r="BM1107" s="38"/>
      <c r="BN1107" s="38"/>
      <c r="BO1107" s="38"/>
      <c r="BP1107" s="38"/>
      <c r="BQ1107" s="38"/>
    </row>
    <row r="1108">
      <c r="A1108" s="37" t="s">
        <v>40</v>
      </c>
      <c r="B1108" s="59">
        <v>43264.0</v>
      </c>
      <c r="C1108" s="79">
        <v>43221.0</v>
      </c>
      <c r="D1108" s="60" t="s">
        <v>632</v>
      </c>
      <c r="E1108" s="58" t="s">
        <v>41</v>
      </c>
      <c r="F1108" s="58">
        <v>6.0</v>
      </c>
      <c r="G1108" s="58" t="s">
        <v>32</v>
      </c>
      <c r="H1108" s="33">
        <f t="shared" si="165"/>
        <v>1</v>
      </c>
      <c r="I1108" s="58" t="s">
        <v>33</v>
      </c>
      <c r="J1108" s="58" t="s">
        <v>147</v>
      </c>
      <c r="K1108" s="58">
        <v>8.0</v>
      </c>
      <c r="L1108" s="58" t="s">
        <v>52</v>
      </c>
      <c r="M1108" s="61" t="s">
        <v>3398</v>
      </c>
      <c r="N1108" s="77"/>
      <c r="O1108" s="62"/>
      <c r="P1108" s="62"/>
      <c r="Q1108" s="62"/>
      <c r="R1108" s="62"/>
      <c r="S1108" s="37" t="str">
        <f>IFERROR(__xludf.DUMMYFUNCTION("if(not(iserror(index(split(C1108, "" ""),2))), index(split(C1108, "" ""),1),"""")"),"May,")</f>
        <v>May,</v>
      </c>
      <c r="T1108" s="38">
        <f>IFERROR(__xludf.DUMMYFUNCTION("if(S1108="""",C1108,if(not(iserror(index(split(C1108, "" ""),3))), index(split(C1108, "" ""),3),index(split(C1108, "" ""),2)))"),2018.0)</f>
        <v>2018</v>
      </c>
      <c r="U1108" s="38" t="b">
        <f t="shared" si="166"/>
        <v>1</v>
      </c>
      <c r="V1108" s="38"/>
      <c r="W1108" s="40"/>
      <c r="X1108" s="40"/>
      <c r="Y1108" s="40"/>
      <c r="Z1108" s="38"/>
      <c r="AA1108" s="38"/>
      <c r="AB1108" s="38"/>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c r="AW1108" s="38"/>
      <c r="AX1108" s="38"/>
      <c r="AY1108" s="38"/>
      <c r="AZ1108" s="38"/>
      <c r="BA1108" s="38"/>
      <c r="BB1108" s="38"/>
      <c r="BC1108" s="38"/>
      <c r="BD1108" s="38"/>
      <c r="BE1108" s="38"/>
      <c r="BF1108" s="38"/>
      <c r="BG1108" s="38"/>
      <c r="BH1108" s="38"/>
      <c r="BI1108" s="38"/>
      <c r="BJ1108" s="38"/>
      <c r="BK1108" s="38"/>
      <c r="BL1108" s="38"/>
      <c r="BM1108" s="38"/>
      <c r="BN1108" s="38"/>
      <c r="BO1108" s="38"/>
      <c r="BP1108" s="38"/>
      <c r="BQ1108" s="38"/>
    </row>
    <row r="1109">
      <c r="A1109" s="58" t="s">
        <v>3399</v>
      </c>
      <c r="B1109" s="59"/>
      <c r="C1109" s="79">
        <v>43221.0</v>
      </c>
      <c r="D1109" s="60"/>
      <c r="E1109" s="58" t="s">
        <v>41</v>
      </c>
      <c r="F1109" s="58">
        <v>1.0</v>
      </c>
      <c r="G1109" s="58">
        <v>1.0</v>
      </c>
      <c r="H1109" s="43">
        <v>1.0</v>
      </c>
      <c r="I1109" s="58" t="s">
        <v>33</v>
      </c>
      <c r="J1109" s="58" t="s">
        <v>115</v>
      </c>
      <c r="K1109" s="58"/>
      <c r="L1109" s="58" t="s">
        <v>76</v>
      </c>
      <c r="M1109" s="61" t="s">
        <v>3400</v>
      </c>
      <c r="N1109" s="77"/>
      <c r="O1109" s="83" t="str">
        <f>hyperlink("https://bad-boys.us/?q=ED-PA/2:18-cr-00441", "ED-PA 2:18-cr-00441")</f>
        <v>ED-PA 2:18-cr-00441</v>
      </c>
      <c r="P1109" s="88" t="s">
        <v>3401</v>
      </c>
      <c r="Q1109" s="84">
        <v>1.0</v>
      </c>
      <c r="R1109" s="62"/>
      <c r="S1109" s="37"/>
      <c r="T1109" s="38"/>
      <c r="U1109" s="38" t="b">
        <f t="shared" si="166"/>
        <v>0</v>
      </c>
      <c r="V1109" s="38" t="s">
        <v>33</v>
      </c>
      <c r="W1109" s="40"/>
      <c r="X1109" s="40"/>
      <c r="Y1109" s="40"/>
      <c r="Z1109" s="38"/>
      <c r="AA1109" s="38"/>
      <c r="AB1109" s="38"/>
      <c r="AC1109" s="38"/>
      <c r="AD1109" s="38"/>
      <c r="AE1109" s="38"/>
      <c r="AF1109" s="38"/>
      <c r="AG1109" s="38"/>
      <c r="AH1109" s="38"/>
      <c r="AI1109" s="38"/>
      <c r="AJ1109" s="38"/>
      <c r="AK1109" s="38"/>
      <c r="AL1109" s="38"/>
      <c r="AM1109" s="38"/>
      <c r="AN1109" s="38"/>
      <c r="AO1109" s="38"/>
      <c r="AP1109" s="38"/>
      <c r="AQ1109" s="38"/>
      <c r="AR1109" s="38"/>
      <c r="AS1109" s="38"/>
      <c r="AT1109" s="38"/>
      <c r="AU1109" s="38"/>
      <c r="AV1109" s="38"/>
      <c r="AW1109" s="38"/>
      <c r="AX1109" s="38"/>
      <c r="AY1109" s="38"/>
      <c r="AZ1109" s="38"/>
      <c r="BA1109" s="38"/>
      <c r="BB1109" s="38"/>
      <c r="BC1109" s="38"/>
      <c r="BD1109" s="38"/>
      <c r="BE1109" s="38"/>
      <c r="BF1109" s="38"/>
      <c r="BG1109" s="38"/>
      <c r="BH1109" s="38"/>
      <c r="BI1109" s="38"/>
      <c r="BJ1109" s="38"/>
      <c r="BK1109" s="38"/>
      <c r="BL1109" s="38"/>
      <c r="BM1109" s="38"/>
      <c r="BN1109" s="38"/>
      <c r="BO1109" s="38"/>
      <c r="BP1109" s="38"/>
      <c r="BQ1109" s="38"/>
    </row>
    <row r="1110">
      <c r="A1110" s="58" t="s">
        <v>3402</v>
      </c>
      <c r="B1110" s="59">
        <v>43306.0</v>
      </c>
      <c r="C1110" s="79">
        <v>43221.0</v>
      </c>
      <c r="D1110" s="60" t="s">
        <v>632</v>
      </c>
      <c r="E1110" s="58" t="s">
        <v>41</v>
      </c>
      <c r="F1110" s="58">
        <v>2.0</v>
      </c>
      <c r="G1110" s="58" t="s">
        <v>32</v>
      </c>
      <c r="H1110" s="33">
        <f>if(G1110="Unknown",1,G1110)</f>
        <v>1</v>
      </c>
      <c r="I1110" s="58" t="s">
        <v>33</v>
      </c>
      <c r="J1110" s="58" t="s">
        <v>193</v>
      </c>
      <c r="K1110" s="58">
        <v>2.0</v>
      </c>
      <c r="L1110" s="58" t="s">
        <v>76</v>
      </c>
      <c r="M1110" s="61" t="s">
        <v>3403</v>
      </c>
      <c r="N1110" s="77"/>
      <c r="O1110" s="62"/>
      <c r="P1110" s="62"/>
      <c r="Q1110" s="62"/>
      <c r="R1110" s="62"/>
      <c r="S1110" s="37" t="str">
        <f>IFERROR(__xludf.DUMMYFUNCTION("if(not(iserror(index(split(C1110, "" ""),2))), index(split(C1110, "" ""),1),"""")"),"May,")</f>
        <v>May,</v>
      </c>
      <c r="T1110" s="38">
        <f>IFERROR(__xludf.DUMMYFUNCTION("if(S1110="""",C1110,if(not(iserror(index(split(C1110, "" ""),3))), index(split(C1110, "" ""),3),index(split(C1110, "" ""),2)))"),2018.0)</f>
        <v>2018</v>
      </c>
      <c r="U1110" s="38" t="b">
        <f t="shared" si="166"/>
        <v>0</v>
      </c>
      <c r="V1110" s="38"/>
      <c r="W1110" s="40"/>
      <c r="X1110" s="40"/>
      <c r="Y1110" s="40"/>
      <c r="Z1110" s="38"/>
      <c r="AA1110" s="38"/>
      <c r="AB1110" s="38"/>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row>
    <row r="1111">
      <c r="A1111" s="58" t="s">
        <v>3404</v>
      </c>
      <c r="B1111" s="59"/>
      <c r="C1111" s="79">
        <v>43221.0</v>
      </c>
      <c r="D1111" s="60"/>
      <c r="E1111" s="58" t="s">
        <v>31</v>
      </c>
      <c r="F1111" s="58">
        <v>1.0</v>
      </c>
      <c r="G1111" s="58" t="s">
        <v>32</v>
      </c>
      <c r="H1111" s="43">
        <v>1.0</v>
      </c>
      <c r="I1111" s="58" t="s">
        <v>33</v>
      </c>
      <c r="J1111" s="58" t="s">
        <v>402</v>
      </c>
      <c r="K1111" s="58"/>
      <c r="L1111" s="58" t="s">
        <v>119</v>
      </c>
      <c r="M1111" s="61" t="s">
        <v>3405</v>
      </c>
      <c r="N1111" s="61" t="s">
        <v>3406</v>
      </c>
      <c r="O1111" s="62"/>
      <c r="P1111" s="62"/>
      <c r="Q1111" s="62"/>
      <c r="R1111" s="62"/>
      <c r="S1111" s="37"/>
      <c r="T1111" s="38"/>
      <c r="U1111" s="38" t="b">
        <f t="shared" si="166"/>
        <v>0</v>
      </c>
      <c r="V1111" s="38" t="s">
        <v>33</v>
      </c>
      <c r="W1111" s="39" t="s">
        <v>3407</v>
      </c>
      <c r="X1111" s="40" t="s">
        <v>3407</v>
      </c>
      <c r="Y1111" s="40"/>
      <c r="Z1111" s="38"/>
      <c r="AA1111" s="38"/>
      <c r="AB1111" s="38"/>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c r="AW1111" s="38"/>
      <c r="AX1111" s="38"/>
      <c r="AY1111" s="38"/>
      <c r="AZ1111" s="38"/>
      <c r="BA1111" s="38"/>
      <c r="BB1111" s="38"/>
      <c r="BC1111" s="38"/>
      <c r="BD1111" s="38"/>
      <c r="BE1111" s="38"/>
      <c r="BF1111" s="38"/>
      <c r="BG1111" s="38"/>
      <c r="BH1111" s="38"/>
      <c r="BI1111" s="38"/>
      <c r="BJ1111" s="38"/>
      <c r="BK1111" s="38"/>
      <c r="BL1111" s="38"/>
      <c r="BM1111" s="38"/>
      <c r="BN1111" s="38"/>
      <c r="BO1111" s="38"/>
      <c r="BP1111" s="38"/>
      <c r="BQ1111" s="38"/>
    </row>
    <row r="1112">
      <c r="A1112" s="58" t="s">
        <v>3408</v>
      </c>
      <c r="B1112" s="59"/>
      <c r="C1112" s="79">
        <v>43221.0</v>
      </c>
      <c r="D1112" s="60"/>
      <c r="E1112" s="58" t="s">
        <v>41</v>
      </c>
      <c r="F1112" s="58">
        <v>1.0</v>
      </c>
      <c r="G1112" s="58" t="s">
        <v>32</v>
      </c>
      <c r="H1112" s="43">
        <v>1.0</v>
      </c>
      <c r="I1112" s="58" t="s">
        <v>33</v>
      </c>
      <c r="J1112" s="58" t="s">
        <v>47</v>
      </c>
      <c r="K1112" s="58"/>
      <c r="L1112" s="58" t="s">
        <v>119</v>
      </c>
      <c r="M1112" s="61" t="s">
        <v>3409</v>
      </c>
      <c r="N1112" s="77"/>
      <c r="O1112" s="83" t="str">
        <f>hyperlink("https://bad-boys.us/?q=MD-FL/8:18-cr-00165", "MD-FL 8:18-cr-00165")</f>
        <v>MD-FL 8:18-cr-00165</v>
      </c>
      <c r="P1112" s="88" t="s">
        <v>3410</v>
      </c>
      <c r="Q1112" s="58">
        <v>1.0</v>
      </c>
      <c r="R1112" s="62"/>
      <c r="S1112" s="37" t="str">
        <f>IFERROR(__xludf.DUMMYFUNCTION("if(not(iserror(index(split(C1112, "" ""),2))), index(split(C1112, "" ""),1),"""")"),"May,")</f>
        <v>May,</v>
      </c>
      <c r="T1112" s="38">
        <f>IFERROR(__xludf.DUMMYFUNCTION("if(S1112="""",C1112,if(not(iserror(index(split(C1112, "" ""),3))), index(split(C1112, "" ""),3),index(split(C1112, "" ""),2)))"),2018.0)</f>
        <v>2018</v>
      </c>
      <c r="U1112" s="38" t="b">
        <f t="shared" si="166"/>
        <v>0</v>
      </c>
      <c r="V1112" s="38" t="s">
        <v>33</v>
      </c>
      <c r="W1112" s="40"/>
      <c r="X1112" s="40"/>
      <c r="Y1112" s="40"/>
      <c r="Z1112" s="38"/>
      <c r="AA1112" s="38"/>
      <c r="AB1112" s="38"/>
      <c r="AC1112" s="38"/>
      <c r="AD1112" s="38"/>
      <c r="AE1112" s="38"/>
      <c r="AF1112" s="38"/>
      <c r="AG1112" s="38"/>
      <c r="AH1112" s="38"/>
      <c r="AI1112" s="38"/>
      <c r="AJ1112" s="38"/>
      <c r="AK1112" s="38"/>
      <c r="AL1112" s="38"/>
      <c r="AM1112" s="38"/>
      <c r="AN1112" s="38"/>
      <c r="AO1112" s="38"/>
      <c r="AP1112" s="38"/>
      <c r="AQ1112" s="38"/>
      <c r="AR1112" s="38"/>
      <c r="AS1112" s="38"/>
      <c r="AT1112" s="38"/>
      <c r="AU1112" s="38"/>
      <c r="AV1112" s="38"/>
      <c r="AW1112" s="38"/>
      <c r="AX1112" s="38"/>
      <c r="AY1112" s="38"/>
      <c r="AZ1112" s="38"/>
      <c r="BA1112" s="38"/>
      <c r="BB1112" s="38"/>
      <c r="BC1112" s="38"/>
      <c r="BD1112" s="38"/>
      <c r="BE1112" s="38"/>
      <c r="BF1112" s="38"/>
      <c r="BG1112" s="38"/>
      <c r="BH1112" s="38"/>
      <c r="BI1112" s="38"/>
      <c r="BJ1112" s="38"/>
      <c r="BK1112" s="38"/>
      <c r="BL1112" s="38"/>
      <c r="BM1112" s="38"/>
      <c r="BN1112" s="38"/>
      <c r="BO1112" s="38"/>
      <c r="BP1112" s="38"/>
      <c r="BQ1112" s="38"/>
    </row>
    <row r="1113">
      <c r="A1113" s="79" t="s">
        <v>3411</v>
      </c>
      <c r="B1113" s="59"/>
      <c r="C1113" s="79">
        <v>43221.0</v>
      </c>
      <c r="D1113" s="79"/>
      <c r="E1113" s="58" t="s">
        <v>41</v>
      </c>
      <c r="F1113" s="58">
        <v>1.0</v>
      </c>
      <c r="G1113" s="58" t="s">
        <v>32</v>
      </c>
      <c r="H1113" s="43">
        <v>1.0</v>
      </c>
      <c r="I1113" s="58" t="s">
        <v>33</v>
      </c>
      <c r="J1113" s="58" t="s">
        <v>172</v>
      </c>
      <c r="K1113" s="79"/>
      <c r="L1113" s="58" t="s">
        <v>99</v>
      </c>
      <c r="M1113" s="61" t="s">
        <v>3412</v>
      </c>
      <c r="N1113" s="179"/>
      <c r="O1113" s="211" t="str">
        <f>hyperlink("https://bad-boys.us/?q=MD-NC/1:18-cr-00153", "MD-NC 1:18-cr-00153")</f>
        <v>MD-NC 1:18-cr-00153</v>
      </c>
      <c r="P1113" s="88" t="s">
        <v>3413</v>
      </c>
      <c r="Q1113" s="58">
        <v>1.0</v>
      </c>
      <c r="R1113" s="181"/>
      <c r="S1113" s="37" t="str">
        <f>IFERROR(__xludf.DUMMYFUNCTION("if(not(iserror(index(split(C1113, "" ""),2))), index(split(C1113, "" ""),1),"""")"),"May,")</f>
        <v>May,</v>
      </c>
      <c r="T1113" s="38">
        <f>IFERROR(__xludf.DUMMYFUNCTION("if(S1113="""",C1113,if(not(iserror(index(split(C1113, "" ""),3))), index(split(C1113, "" ""),3),index(split(C1113, "" ""),2)))"),2018.0)</f>
        <v>2018</v>
      </c>
      <c r="U1113" s="38" t="b">
        <f t="shared" si="166"/>
        <v>0</v>
      </c>
      <c r="V1113" s="38" t="s">
        <v>33</v>
      </c>
      <c r="W1113" s="182"/>
      <c r="X1113" s="182"/>
      <c r="Y1113" s="182"/>
      <c r="Z1113" s="183"/>
      <c r="AA1113" s="183"/>
      <c r="AB1113" s="183"/>
      <c r="AC1113" s="183"/>
      <c r="AD1113" s="183"/>
      <c r="AE1113" s="183"/>
      <c r="AF1113" s="183"/>
      <c r="AG1113" s="183"/>
      <c r="AH1113" s="183"/>
      <c r="AI1113" s="183"/>
      <c r="AJ1113" s="183"/>
      <c r="AK1113" s="183"/>
      <c r="AL1113" s="183"/>
      <c r="AM1113" s="183"/>
      <c r="AN1113" s="183"/>
      <c r="AO1113" s="183"/>
      <c r="AP1113" s="183"/>
      <c r="AQ1113" s="183"/>
      <c r="AR1113" s="183"/>
      <c r="AS1113" s="183"/>
      <c r="AT1113" s="183"/>
      <c r="AU1113" s="183"/>
      <c r="AV1113" s="183"/>
      <c r="AW1113" s="183"/>
      <c r="AX1113" s="183"/>
      <c r="AY1113" s="183"/>
      <c r="AZ1113" s="183"/>
      <c r="BA1113" s="183"/>
      <c r="BB1113" s="183"/>
      <c r="BC1113" s="183"/>
      <c r="BD1113" s="183"/>
      <c r="BE1113" s="183"/>
      <c r="BF1113" s="183"/>
      <c r="BG1113" s="183"/>
      <c r="BH1113" s="183"/>
      <c r="BI1113" s="183"/>
      <c r="BJ1113" s="183"/>
      <c r="BK1113" s="183"/>
      <c r="BL1113" s="183"/>
      <c r="BM1113" s="183"/>
      <c r="BN1113" s="183"/>
      <c r="BO1113" s="183"/>
      <c r="BP1113" s="183"/>
      <c r="BQ1113" s="183"/>
    </row>
    <row r="1114">
      <c r="A1114" s="58" t="s">
        <v>3414</v>
      </c>
      <c r="B1114" s="59">
        <v>43229.0</v>
      </c>
      <c r="C1114" s="79">
        <v>43221.0</v>
      </c>
      <c r="D1114" s="60" t="s">
        <v>632</v>
      </c>
      <c r="E1114" s="58" t="s">
        <v>41</v>
      </c>
      <c r="F1114" s="58">
        <v>1.0</v>
      </c>
      <c r="G1114" s="58" t="s">
        <v>32</v>
      </c>
      <c r="H1114" s="33">
        <f t="shared" ref="H1114:H1115" si="167">if(G1114="Unknown",1,G1114)</f>
        <v>1</v>
      </c>
      <c r="I1114" s="58" t="s">
        <v>33</v>
      </c>
      <c r="J1114" s="58" t="s">
        <v>268</v>
      </c>
      <c r="K1114" s="58">
        <v>3.0</v>
      </c>
      <c r="L1114" s="58" t="s">
        <v>119</v>
      </c>
      <c r="M1114" s="61" t="s">
        <v>3415</v>
      </c>
      <c r="N1114" s="77"/>
      <c r="O1114" s="83" t="str">
        <f>hyperlink("https://bad-boys.us/?q=ND-OK/4:17-cr-00114", "ND-OK 4:17-cr-00114")</f>
        <v>ND-OK 4:17-cr-00114</v>
      </c>
      <c r="P1114" s="88" t="s">
        <v>3416</v>
      </c>
      <c r="Q1114" s="84">
        <v>1.0</v>
      </c>
      <c r="R1114" s="62"/>
      <c r="S1114" s="37" t="str">
        <f>IFERROR(__xludf.DUMMYFUNCTION("if(not(iserror(index(split(C1114, "" ""),2))), index(split(C1114, "" ""),1),"""")"),"May,")</f>
        <v>May,</v>
      </c>
      <c r="T1114" s="38">
        <f>IFERROR(__xludf.DUMMYFUNCTION("if(S1114="""",C1114,if(not(iserror(index(split(C1114, "" ""),3))), index(split(C1114, "" ""),3),index(split(C1114, "" ""),2)))"),2018.0)</f>
        <v>2018</v>
      </c>
      <c r="U1114" s="38" t="b">
        <f t="shared" si="166"/>
        <v>0</v>
      </c>
      <c r="V1114" s="38"/>
      <c r="W1114" s="40"/>
      <c r="X1114" s="40"/>
      <c r="Y1114" s="40"/>
      <c r="Z1114" s="38"/>
      <c r="AA1114" s="38"/>
      <c r="AB1114" s="38"/>
      <c r="AC1114" s="38"/>
      <c r="AD1114" s="38"/>
      <c r="AE1114" s="38"/>
      <c r="AF1114" s="38"/>
      <c r="AG1114" s="38"/>
      <c r="AH1114" s="38"/>
      <c r="AI1114" s="38"/>
      <c r="AJ1114" s="38"/>
      <c r="AK1114" s="38"/>
      <c r="AL1114" s="38"/>
      <c r="AM1114" s="38"/>
      <c r="AN1114" s="38"/>
      <c r="AO1114" s="38"/>
      <c r="AP1114" s="38"/>
      <c r="AQ1114" s="38"/>
      <c r="AR1114" s="38"/>
      <c r="AS1114" s="38"/>
      <c r="AT1114" s="38"/>
      <c r="AU1114" s="38"/>
      <c r="AV1114" s="38"/>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row>
    <row r="1115">
      <c r="A1115" s="37" t="s">
        <v>3417</v>
      </c>
      <c r="B1115" s="59">
        <v>43229.0</v>
      </c>
      <c r="C1115" s="79">
        <v>43221.0</v>
      </c>
      <c r="D1115" s="60" t="s">
        <v>632</v>
      </c>
      <c r="E1115" s="58" t="s">
        <v>41</v>
      </c>
      <c r="F1115" s="58">
        <v>1.0</v>
      </c>
      <c r="G1115" s="58" t="s">
        <v>32</v>
      </c>
      <c r="H1115" s="33">
        <f t="shared" si="167"/>
        <v>1</v>
      </c>
      <c r="I1115" s="58" t="s">
        <v>33</v>
      </c>
      <c r="J1115" s="58" t="s">
        <v>268</v>
      </c>
      <c r="K1115" s="58">
        <v>2.0</v>
      </c>
      <c r="L1115" s="58" t="s">
        <v>119</v>
      </c>
      <c r="M1115" s="61" t="s">
        <v>3415</v>
      </c>
      <c r="N1115" s="77"/>
      <c r="O1115" s="88" t="str">
        <f>hyperlink("https://bad-boys.us/?q=ND-OK/4:18-cr-00056", "ND-OK 4:18-cr-00056")</f>
        <v>ND-OK 4:18-cr-00056</v>
      </c>
      <c r="P1115" s="88" t="s">
        <v>3418</v>
      </c>
      <c r="Q1115" s="84">
        <v>1.0</v>
      </c>
      <c r="R1115" s="62"/>
      <c r="S1115" s="37" t="str">
        <f>IFERROR(__xludf.DUMMYFUNCTION("if(not(iserror(index(split(C1115, "" ""),2))), index(split(C1115, "" ""),1),"""")"),"May,")</f>
        <v>May,</v>
      </c>
      <c r="T1115" s="38">
        <f>IFERROR(__xludf.DUMMYFUNCTION("if(S1115="""",C1115,if(not(iserror(index(split(C1115, "" ""),3))), index(split(C1115, "" ""),3),index(split(C1115, "" ""),2)))"),2018.0)</f>
        <v>2018</v>
      </c>
      <c r="U1115" s="38" t="b">
        <f t="shared" si="166"/>
        <v>0</v>
      </c>
      <c r="V1115" s="38"/>
      <c r="W1115" s="40"/>
      <c r="X1115" s="40"/>
      <c r="Y1115" s="40"/>
      <c r="Z1115" s="38"/>
      <c r="AA1115" s="38"/>
      <c r="AB1115" s="38"/>
      <c r="AC1115" s="38"/>
      <c r="AD1115" s="38"/>
      <c r="AE1115" s="38"/>
      <c r="AF1115" s="38"/>
      <c r="AG1115" s="38"/>
      <c r="AH1115" s="38"/>
      <c r="AI1115" s="38"/>
      <c r="AJ1115" s="38"/>
      <c r="AK1115" s="38"/>
      <c r="AL1115" s="38"/>
      <c r="AM1115" s="38"/>
      <c r="AN1115" s="38"/>
      <c r="AO1115" s="38"/>
      <c r="AP1115" s="38"/>
      <c r="AQ1115" s="38"/>
      <c r="AR1115" s="38"/>
      <c r="AS1115" s="38"/>
      <c r="AT1115" s="38"/>
      <c r="AU1115" s="38"/>
      <c r="AV1115" s="38"/>
      <c r="AW1115" s="38"/>
      <c r="AX1115" s="38"/>
      <c r="AY1115" s="38"/>
      <c r="AZ1115" s="38"/>
      <c r="BA1115" s="38"/>
      <c r="BB1115" s="38"/>
      <c r="BC1115" s="38"/>
      <c r="BD1115" s="38"/>
      <c r="BE1115" s="38"/>
      <c r="BF1115" s="38"/>
      <c r="BG1115" s="38"/>
      <c r="BH1115" s="38"/>
      <c r="BI1115" s="38"/>
      <c r="BJ1115" s="38"/>
      <c r="BK1115" s="38"/>
      <c r="BL1115" s="38"/>
      <c r="BM1115" s="38"/>
      <c r="BN1115" s="38"/>
      <c r="BO1115" s="38"/>
      <c r="BP1115" s="38"/>
      <c r="BQ1115" s="38"/>
    </row>
    <row r="1116">
      <c r="A1116" s="58" t="s">
        <v>3419</v>
      </c>
      <c r="B1116" s="59"/>
      <c r="C1116" s="79">
        <v>43221.0</v>
      </c>
      <c r="D1116" s="60"/>
      <c r="E1116" s="58" t="s">
        <v>41</v>
      </c>
      <c r="F1116" s="58">
        <v>1.0</v>
      </c>
      <c r="G1116" s="58" t="s">
        <v>32</v>
      </c>
      <c r="H1116" s="43">
        <v>1.0</v>
      </c>
      <c r="I1116" s="58" t="s">
        <v>33</v>
      </c>
      <c r="J1116" s="58" t="s">
        <v>318</v>
      </c>
      <c r="K1116" s="58"/>
      <c r="L1116" s="58" t="s">
        <v>3420</v>
      </c>
      <c r="M1116" s="35" t="s">
        <v>3421</v>
      </c>
      <c r="N1116" s="77"/>
      <c r="O1116" s="88" t="str">
        <f>hyperlink("https://bad-boys.us/?q=WD-WA/3:18-cr-05364", "WD-WA 3:18-cr-05364")</f>
        <v>WD-WA 3:18-cr-05364</v>
      </c>
      <c r="P1116" s="88" t="s">
        <v>3422</v>
      </c>
      <c r="Q1116" s="58">
        <v>1.0</v>
      </c>
      <c r="R1116" s="62"/>
      <c r="S1116" s="37" t="str">
        <f>IFERROR(__xludf.DUMMYFUNCTION("if(not(iserror(index(split(C1116, "" ""),2))), index(split(C1116, "" ""),1),"""")"),"May,")</f>
        <v>May,</v>
      </c>
      <c r="T1116" s="38">
        <f>IFERROR(__xludf.DUMMYFUNCTION("if(S1116="""",C1116,if(not(iserror(index(split(C1116, "" ""),3))), index(split(C1116, "" ""),3),index(split(C1116, "" ""),2)))"),2018.0)</f>
        <v>2018</v>
      </c>
      <c r="U1116" s="38" t="b">
        <f t="shared" si="166"/>
        <v>0</v>
      </c>
      <c r="V1116" s="38" t="s">
        <v>33</v>
      </c>
      <c r="W1116" s="40"/>
      <c r="X1116" s="40"/>
      <c r="Y1116" s="40"/>
      <c r="Z1116" s="38"/>
      <c r="AA1116" s="38"/>
      <c r="AB1116" s="38"/>
      <c r="AC1116" s="38"/>
      <c r="AD1116" s="38"/>
      <c r="AE1116" s="38"/>
      <c r="AF1116" s="38"/>
      <c r="AG1116" s="38"/>
      <c r="AH1116" s="38"/>
      <c r="AI1116" s="38"/>
      <c r="AJ1116" s="38"/>
      <c r="AK1116" s="38"/>
      <c r="AL1116" s="38"/>
      <c r="AM1116" s="38"/>
      <c r="AN1116" s="38"/>
      <c r="AO1116" s="38"/>
      <c r="AP1116" s="38"/>
      <c r="AQ1116" s="38"/>
      <c r="AR1116" s="38"/>
      <c r="AS1116" s="38"/>
      <c r="AT1116" s="38"/>
      <c r="AU1116" s="38"/>
      <c r="AV1116" s="38"/>
      <c r="AW1116" s="38"/>
      <c r="AX1116" s="38"/>
      <c r="AY1116" s="38"/>
      <c r="AZ1116" s="38"/>
      <c r="BA1116" s="38"/>
      <c r="BB1116" s="38"/>
      <c r="BC1116" s="38"/>
      <c r="BD1116" s="38"/>
      <c r="BE1116" s="38"/>
      <c r="BF1116" s="38"/>
      <c r="BG1116" s="38"/>
      <c r="BH1116" s="38"/>
      <c r="BI1116" s="38"/>
      <c r="BJ1116" s="38"/>
      <c r="BK1116" s="38"/>
      <c r="BL1116" s="38"/>
      <c r="BM1116" s="38"/>
      <c r="BN1116" s="38"/>
      <c r="BO1116" s="38"/>
      <c r="BP1116" s="38"/>
      <c r="BQ1116" s="38"/>
    </row>
    <row r="1117">
      <c r="A1117" s="58" t="s">
        <v>3423</v>
      </c>
      <c r="B1117" s="59">
        <v>43251.0</v>
      </c>
      <c r="C1117" s="79">
        <v>43221.0</v>
      </c>
      <c r="D1117" s="60" t="s">
        <v>632</v>
      </c>
      <c r="E1117" s="58" t="s">
        <v>41</v>
      </c>
      <c r="F1117" s="58">
        <v>1.0</v>
      </c>
      <c r="G1117" s="58">
        <v>1.0</v>
      </c>
      <c r="H1117" s="43">
        <v>1.0</v>
      </c>
      <c r="I1117" s="58" t="s">
        <v>33</v>
      </c>
      <c r="J1117" s="58" t="s">
        <v>222</v>
      </c>
      <c r="K1117" s="58">
        <v>3.0</v>
      </c>
      <c r="L1117" s="58" t="s">
        <v>790</v>
      </c>
      <c r="M1117" s="56" t="s">
        <v>3424</v>
      </c>
      <c r="N1117" s="77"/>
      <c r="O1117" s="88" t="str">
        <f>hyperlink("https://bad-boys.us/?q=WD-WI/3:18-cr-00081", "WD-WI 3:18-cr-00081")</f>
        <v>WD-WI 3:18-cr-00081</v>
      </c>
      <c r="P1117" s="88" t="s">
        <v>3425</v>
      </c>
      <c r="Q1117" s="58">
        <v>1.0</v>
      </c>
      <c r="R1117" s="62"/>
      <c r="S1117" s="37" t="str">
        <f>IFERROR(__xludf.DUMMYFUNCTION("if(not(iserror(index(split(C1117, "" ""),2))), index(split(C1117, "" ""),1),"""")"),"May,")</f>
        <v>May,</v>
      </c>
      <c r="T1117" s="38">
        <f>IFERROR(__xludf.DUMMYFUNCTION("if(S1117="""",C1117,if(not(iserror(index(split(C1117, "" ""),3))), index(split(C1117, "" ""),3),index(split(C1117, "" ""),2)))"),2018.0)</f>
        <v>2018</v>
      </c>
      <c r="U1117" s="38" t="b">
        <f t="shared" si="166"/>
        <v>0</v>
      </c>
      <c r="V1117" s="38" t="s">
        <v>33</v>
      </c>
      <c r="W1117" s="40"/>
      <c r="X1117" s="40"/>
      <c r="Y1117" s="40"/>
      <c r="Z1117" s="38"/>
      <c r="AA1117" s="38"/>
      <c r="AB1117" s="38"/>
      <c r="AC1117" s="38"/>
      <c r="AD1117" s="38"/>
      <c r="AE1117" s="38"/>
      <c r="AF1117" s="38"/>
      <c r="AG1117" s="38"/>
      <c r="AH1117" s="38"/>
      <c r="AI1117" s="38"/>
      <c r="AJ1117" s="38"/>
      <c r="AK1117" s="38"/>
      <c r="AL1117" s="38"/>
      <c r="AM1117" s="38"/>
      <c r="AN1117" s="38"/>
      <c r="AO1117" s="38"/>
      <c r="AP1117" s="38"/>
      <c r="AQ1117" s="38"/>
      <c r="AR1117" s="38"/>
      <c r="AS1117" s="38"/>
      <c r="AT1117" s="38"/>
      <c r="AU1117" s="38"/>
      <c r="AV1117" s="38"/>
      <c r="AW1117" s="38"/>
      <c r="AX1117" s="38"/>
      <c r="AY1117" s="38"/>
      <c r="AZ1117" s="38"/>
      <c r="BA1117" s="38"/>
      <c r="BB1117" s="38"/>
      <c r="BC1117" s="38"/>
      <c r="BD1117" s="38"/>
      <c r="BE1117" s="38"/>
      <c r="BF1117" s="38"/>
      <c r="BG1117" s="38"/>
      <c r="BH1117" s="38"/>
      <c r="BI1117" s="38"/>
      <c r="BJ1117" s="38"/>
      <c r="BK1117" s="38"/>
      <c r="BL1117" s="38"/>
      <c r="BM1117" s="38"/>
      <c r="BN1117" s="38"/>
      <c r="BO1117" s="38"/>
      <c r="BP1117" s="38"/>
      <c r="BQ1117" s="38"/>
    </row>
    <row r="1118">
      <c r="A1118" s="58" t="s">
        <v>3426</v>
      </c>
      <c r="B1118" s="59">
        <v>43230.0</v>
      </c>
      <c r="C1118" s="79">
        <v>43221.0</v>
      </c>
      <c r="D1118" s="60" t="s">
        <v>632</v>
      </c>
      <c r="E1118" s="58" t="s">
        <v>41</v>
      </c>
      <c r="F1118" s="58">
        <v>1.0</v>
      </c>
      <c r="G1118" s="58" t="s">
        <v>32</v>
      </c>
      <c r="H1118" s="50">
        <v>1.0</v>
      </c>
      <c r="I1118" s="58" t="s">
        <v>33</v>
      </c>
      <c r="J1118" s="58" t="s">
        <v>147</v>
      </c>
      <c r="K1118" s="58">
        <v>2.0</v>
      </c>
      <c r="L1118" s="58" t="s">
        <v>119</v>
      </c>
      <c r="M1118" s="80" t="s">
        <v>3427</v>
      </c>
      <c r="N1118" s="77"/>
      <c r="O1118" s="88" t="str">
        <f>hyperlink("https://bad-boys.us/?q=SD-TX/2:18-cr-00460", "SD-TX 2:18-cr-00460")</f>
        <v>SD-TX 2:18-cr-00460</v>
      </c>
      <c r="P1118" s="88" t="s">
        <v>3428</v>
      </c>
      <c r="Q1118" s="58">
        <v>1.0</v>
      </c>
      <c r="R1118" s="62"/>
      <c r="S1118" s="37" t="str">
        <f>IFERROR(__xludf.DUMMYFUNCTION("if(not(iserror(index(split(C1118, "" ""),2))), index(split(C1118, "" ""),1),"""")"),"May,")</f>
        <v>May,</v>
      </c>
      <c r="T1118" s="38">
        <f>IFERROR(__xludf.DUMMYFUNCTION("if(S1118="""",C1118,if(not(iserror(index(split(C1118, "" ""),3))), index(split(C1118, "" ""),3),index(split(C1118, "" ""),2)))"),2018.0)</f>
        <v>2018</v>
      </c>
      <c r="U1118" s="38" t="b">
        <f t="shared" si="166"/>
        <v>0</v>
      </c>
      <c r="V1118" s="38"/>
      <c r="W1118" s="40"/>
      <c r="X1118" s="40"/>
      <c r="Y1118" s="40"/>
      <c r="Z1118" s="38"/>
      <c r="AA1118" s="38"/>
      <c r="AB1118" s="38"/>
      <c r="AC1118" s="38"/>
      <c r="AD1118" s="38"/>
      <c r="AE1118" s="38"/>
      <c r="AF1118" s="38"/>
      <c r="AG1118" s="38"/>
      <c r="AH1118" s="38"/>
      <c r="AI1118" s="38"/>
      <c r="AJ1118" s="38"/>
      <c r="AK1118" s="38"/>
      <c r="AL1118" s="38"/>
      <c r="AM1118" s="38"/>
      <c r="AN1118" s="38"/>
      <c r="AO1118" s="38"/>
      <c r="AP1118" s="38"/>
      <c r="AQ1118" s="38"/>
      <c r="AR1118" s="38"/>
      <c r="AS1118" s="38"/>
      <c r="AT1118" s="38"/>
      <c r="AU1118" s="38"/>
      <c r="AV1118" s="38"/>
      <c r="AW1118" s="38"/>
      <c r="AX1118" s="38"/>
      <c r="AY1118" s="38"/>
      <c r="AZ1118" s="38"/>
      <c r="BA1118" s="38"/>
      <c r="BB1118" s="38"/>
      <c r="BC1118" s="38"/>
      <c r="BD1118" s="38"/>
      <c r="BE1118" s="38"/>
      <c r="BF1118" s="38"/>
      <c r="BG1118" s="38"/>
      <c r="BH1118" s="38"/>
      <c r="BI1118" s="38"/>
      <c r="BJ1118" s="38"/>
      <c r="BK1118" s="38"/>
      <c r="BL1118" s="38"/>
      <c r="BM1118" s="38"/>
      <c r="BN1118" s="38"/>
      <c r="BO1118" s="38"/>
      <c r="BP1118" s="38"/>
      <c r="BQ1118" s="38"/>
    </row>
    <row r="1119">
      <c r="A1119" s="58" t="s">
        <v>3429</v>
      </c>
      <c r="B1119" s="59">
        <v>43230.0</v>
      </c>
      <c r="C1119" s="79">
        <v>43221.0</v>
      </c>
      <c r="D1119" s="60" t="s">
        <v>632</v>
      </c>
      <c r="E1119" s="58" t="s">
        <v>41</v>
      </c>
      <c r="F1119" s="58">
        <v>1.0</v>
      </c>
      <c r="G1119" s="58" t="s">
        <v>32</v>
      </c>
      <c r="H1119" s="33">
        <f t="shared" ref="H1119:H1124" si="168">if(G1119="Unknown",1,G1119)</f>
        <v>1</v>
      </c>
      <c r="I1119" s="58" t="s">
        <v>33</v>
      </c>
      <c r="J1119" s="58" t="s">
        <v>115</v>
      </c>
      <c r="K1119" s="58">
        <v>3.0</v>
      </c>
      <c r="L1119" s="58" t="s">
        <v>3430</v>
      </c>
      <c r="M1119" s="61" t="s">
        <v>3431</v>
      </c>
      <c r="N1119" s="77"/>
      <c r="O1119" s="88" t="str">
        <f>hyperlink("https://bad-boys.us/?q=MD-PA/4:18-cr-00156", "MD-PA 4:18-cr-00156")</f>
        <v>MD-PA 4:18-cr-00156</v>
      </c>
      <c r="P1119" s="62"/>
      <c r="Q1119" s="84">
        <v>1.0</v>
      </c>
      <c r="R1119" s="62"/>
      <c r="S1119" s="37" t="str">
        <f>IFERROR(__xludf.DUMMYFUNCTION("if(not(iserror(index(split(C1119, "" ""),2))), index(split(C1119, "" ""),1),"""")"),"May,")</f>
        <v>May,</v>
      </c>
      <c r="T1119" s="38">
        <f>IFERROR(__xludf.DUMMYFUNCTION("if(S1119="""",C1119,if(not(iserror(index(split(C1119, "" ""),3))), index(split(C1119, "" ""),3),index(split(C1119, "" ""),2)))"),2018.0)</f>
        <v>2018</v>
      </c>
      <c r="U1119" s="38" t="b">
        <f t="shared" si="166"/>
        <v>0</v>
      </c>
      <c r="V1119" s="38"/>
      <c r="W1119" s="40"/>
      <c r="X1119" s="40"/>
      <c r="Y1119" s="40"/>
      <c r="Z1119" s="38"/>
      <c r="AA1119" s="38"/>
      <c r="AB1119" s="38"/>
      <c r="AC1119" s="38"/>
      <c r="AD1119" s="38"/>
      <c r="AE1119" s="38"/>
      <c r="AF1119" s="38"/>
      <c r="AG1119" s="38"/>
      <c r="AH1119" s="38"/>
      <c r="AI1119" s="38"/>
      <c r="AJ1119" s="38"/>
      <c r="AK1119" s="38"/>
      <c r="AL1119" s="38"/>
      <c r="AM1119" s="38"/>
      <c r="AN1119" s="38"/>
      <c r="AO1119" s="38"/>
      <c r="AP1119" s="38"/>
      <c r="AQ1119" s="38"/>
      <c r="AR1119" s="38"/>
      <c r="AS1119" s="38"/>
      <c r="AT1119" s="38"/>
      <c r="AU1119" s="38"/>
      <c r="AV1119" s="38"/>
      <c r="AW1119" s="38"/>
      <c r="AX1119" s="38"/>
      <c r="AY1119" s="38"/>
      <c r="AZ1119" s="38"/>
      <c r="BA1119" s="38"/>
      <c r="BB1119" s="38"/>
      <c r="BC1119" s="38"/>
      <c r="BD1119" s="38"/>
      <c r="BE1119" s="38"/>
      <c r="BF1119" s="38"/>
      <c r="BG1119" s="38"/>
      <c r="BH1119" s="38"/>
      <c r="BI1119" s="38"/>
      <c r="BJ1119" s="38"/>
      <c r="BK1119" s="38"/>
      <c r="BL1119" s="38"/>
      <c r="BM1119" s="38"/>
      <c r="BN1119" s="38"/>
      <c r="BO1119" s="38"/>
      <c r="BP1119" s="38"/>
      <c r="BQ1119" s="38"/>
    </row>
    <row r="1120">
      <c r="A1120" s="58" t="s">
        <v>3432</v>
      </c>
      <c r="B1120" s="59">
        <v>43231.0</v>
      </c>
      <c r="C1120" s="79">
        <v>43221.0</v>
      </c>
      <c r="D1120" s="60" t="s">
        <v>632</v>
      </c>
      <c r="E1120" s="58" t="s">
        <v>41</v>
      </c>
      <c r="F1120" s="58">
        <v>2.0</v>
      </c>
      <c r="G1120" s="58" t="s">
        <v>32</v>
      </c>
      <c r="H1120" s="33">
        <f t="shared" si="168"/>
        <v>1</v>
      </c>
      <c r="I1120" s="58" t="s">
        <v>33</v>
      </c>
      <c r="J1120" s="58" t="s">
        <v>98</v>
      </c>
      <c r="K1120" s="58">
        <v>2.0</v>
      </c>
      <c r="L1120" s="58" t="s">
        <v>76</v>
      </c>
      <c r="M1120" s="61" t="s">
        <v>3433</v>
      </c>
      <c r="N1120" s="77"/>
      <c r="O1120" s="83" t="str">
        <f>hyperlink("https://bad-boys.us/?q=MD-GA/7:18-cr-00020", "MD-GA 7:18-cr-00020")</f>
        <v>MD-GA 7:18-cr-00020</v>
      </c>
      <c r="P1120" s="88" t="s">
        <v>3434</v>
      </c>
      <c r="Q1120" s="58">
        <v>1.0</v>
      </c>
      <c r="R1120" s="62"/>
      <c r="S1120" s="37" t="str">
        <f>IFERROR(__xludf.DUMMYFUNCTION("if(not(iserror(index(split(C1120, "" ""),2))), index(split(C1120, "" ""),1),"""")"),"May,")</f>
        <v>May,</v>
      </c>
      <c r="T1120" s="38">
        <f>IFERROR(__xludf.DUMMYFUNCTION("if(S1120="""",C1120,if(not(iserror(index(split(C1120, "" ""),3))), index(split(C1120, "" ""),3),index(split(C1120, "" ""),2)))"),2018.0)</f>
        <v>2018</v>
      </c>
      <c r="U1120" s="38" t="b">
        <f t="shared" si="166"/>
        <v>0</v>
      </c>
      <c r="V1120" s="38"/>
      <c r="W1120" s="40"/>
      <c r="X1120" s="40"/>
      <c r="Y1120" s="40"/>
      <c r="Z1120" s="38"/>
      <c r="AA1120" s="38"/>
      <c r="AB1120" s="38"/>
      <c r="AC1120" s="38"/>
      <c r="AD1120" s="38"/>
      <c r="AE1120" s="38"/>
      <c r="AF1120" s="38"/>
      <c r="AG1120" s="38"/>
      <c r="AH1120" s="38"/>
      <c r="AI1120" s="38"/>
      <c r="AJ1120" s="38"/>
      <c r="AK1120" s="38"/>
      <c r="AL1120" s="38"/>
      <c r="AM1120" s="38"/>
      <c r="AN1120" s="38"/>
      <c r="AO1120" s="38"/>
      <c r="AP1120" s="38"/>
      <c r="AQ1120" s="38"/>
      <c r="AR1120" s="38"/>
      <c r="AS1120" s="38"/>
      <c r="AT1120" s="38"/>
      <c r="AU1120" s="38"/>
      <c r="AV1120" s="38"/>
      <c r="AW1120" s="38"/>
      <c r="AX1120" s="38"/>
      <c r="AY1120" s="38"/>
      <c r="AZ1120" s="38"/>
      <c r="BA1120" s="38"/>
      <c r="BB1120" s="38"/>
      <c r="BC1120" s="38"/>
      <c r="BD1120" s="38"/>
      <c r="BE1120" s="38"/>
      <c r="BF1120" s="38"/>
      <c r="BG1120" s="38"/>
      <c r="BH1120" s="38"/>
      <c r="BI1120" s="38"/>
      <c r="BJ1120" s="38"/>
      <c r="BK1120" s="38"/>
      <c r="BL1120" s="38"/>
      <c r="BM1120" s="38"/>
      <c r="BN1120" s="38"/>
      <c r="BO1120" s="38"/>
      <c r="BP1120" s="38"/>
      <c r="BQ1120" s="38"/>
    </row>
    <row r="1121">
      <c r="A1121" s="58" t="s">
        <v>3435</v>
      </c>
      <c r="B1121" s="59">
        <v>43241.0</v>
      </c>
      <c r="C1121" s="79">
        <v>43221.0</v>
      </c>
      <c r="D1121" s="60" t="s">
        <v>632</v>
      </c>
      <c r="E1121" s="58" t="s">
        <v>41</v>
      </c>
      <c r="F1121" s="58">
        <v>1.0</v>
      </c>
      <c r="G1121" s="58" t="s">
        <v>32</v>
      </c>
      <c r="H1121" s="33">
        <f t="shared" si="168"/>
        <v>1</v>
      </c>
      <c r="I1121" s="58" t="s">
        <v>33</v>
      </c>
      <c r="J1121" s="58" t="s">
        <v>909</v>
      </c>
      <c r="K1121" s="58">
        <v>1.0</v>
      </c>
      <c r="L1121" s="58" t="s">
        <v>76</v>
      </c>
      <c r="M1121" s="80" t="s">
        <v>3436</v>
      </c>
      <c r="N1121" s="77"/>
      <c r="O1121" s="83" t="str">
        <f>hyperlink("https://bad-boys.us/?q=D-RI/1:18-cr-00141", "D-RI 1:18-cr-00141")</f>
        <v>D-RI 1:18-cr-00141</v>
      </c>
      <c r="P1121" s="88" t="s">
        <v>3437</v>
      </c>
      <c r="Q1121" s="58">
        <v>1.0</v>
      </c>
      <c r="R1121" s="62"/>
      <c r="S1121" s="37" t="str">
        <f>IFERROR(__xludf.DUMMYFUNCTION("if(not(iserror(index(split(C1121, "" ""),2))), index(split(C1121, "" ""),1),"""")"),"May,")</f>
        <v>May,</v>
      </c>
      <c r="T1121" s="38">
        <f>IFERROR(__xludf.DUMMYFUNCTION("if(S1121="""",C1121,if(not(iserror(index(split(C1121, "" ""),3))), index(split(C1121, "" ""),3),index(split(C1121, "" ""),2)))"),2018.0)</f>
        <v>2018</v>
      </c>
      <c r="U1121" s="38" t="b">
        <f t="shared" si="166"/>
        <v>0</v>
      </c>
      <c r="V1121" s="38" t="s">
        <v>33</v>
      </c>
      <c r="W1121" s="40"/>
      <c r="X1121" s="40"/>
      <c r="Y1121" s="40"/>
      <c r="Z1121" s="38"/>
      <c r="AA1121" s="38"/>
      <c r="AB1121" s="38"/>
      <c r="AC1121" s="38"/>
      <c r="AD1121" s="38"/>
      <c r="AE1121" s="38"/>
      <c r="AF1121" s="38"/>
      <c r="AG1121" s="38"/>
      <c r="AH1121" s="38"/>
      <c r="AI1121" s="38"/>
      <c r="AJ1121" s="38"/>
      <c r="AK1121" s="38"/>
      <c r="AL1121" s="38"/>
      <c r="AM1121" s="38"/>
      <c r="AN1121" s="38"/>
      <c r="AO1121" s="38"/>
      <c r="AP1121" s="38"/>
      <c r="AQ1121" s="38"/>
      <c r="AR1121" s="38"/>
      <c r="AS1121" s="38"/>
      <c r="AT1121" s="38"/>
      <c r="AU1121" s="38"/>
      <c r="AV1121" s="38"/>
      <c r="AW1121" s="38"/>
      <c r="AX1121" s="38"/>
      <c r="AY1121" s="38"/>
      <c r="AZ1121" s="38"/>
      <c r="BA1121" s="38"/>
      <c r="BB1121" s="38"/>
      <c r="BC1121" s="38"/>
      <c r="BD1121" s="38"/>
      <c r="BE1121" s="38"/>
      <c r="BF1121" s="38"/>
      <c r="BG1121" s="38"/>
      <c r="BH1121" s="38"/>
      <c r="BI1121" s="38"/>
      <c r="BJ1121" s="38"/>
      <c r="BK1121" s="38"/>
      <c r="BL1121" s="38"/>
      <c r="BM1121" s="38"/>
      <c r="BN1121" s="38"/>
      <c r="BO1121" s="38"/>
      <c r="BP1121" s="38"/>
      <c r="BQ1121" s="38"/>
    </row>
    <row r="1122">
      <c r="A1122" s="58" t="s">
        <v>3438</v>
      </c>
      <c r="B1122" s="59">
        <v>43244.0</v>
      </c>
      <c r="C1122" s="79">
        <v>43221.0</v>
      </c>
      <c r="D1122" s="60" t="s">
        <v>632</v>
      </c>
      <c r="E1122" s="58" t="s">
        <v>41</v>
      </c>
      <c r="F1122" s="58">
        <v>1.0</v>
      </c>
      <c r="G1122" s="58" t="s">
        <v>32</v>
      </c>
      <c r="H1122" s="33">
        <f t="shared" si="168"/>
        <v>1</v>
      </c>
      <c r="I1122" s="58" t="s">
        <v>33</v>
      </c>
      <c r="J1122" s="58" t="s">
        <v>179</v>
      </c>
      <c r="K1122" s="58">
        <v>2.0</v>
      </c>
      <c r="L1122" s="58" t="s">
        <v>2885</v>
      </c>
      <c r="M1122" s="61" t="s">
        <v>3439</v>
      </c>
      <c r="N1122" s="61" t="s">
        <v>3440</v>
      </c>
      <c r="O1122" s="88" t="str">
        <f>hyperlink("https://bad-boys.us/?q=ED-VA/1:18-cr-00232", "ED-VA 1:18-cr-00232")</f>
        <v>ED-VA 1:18-cr-00232</v>
      </c>
      <c r="P1122" s="62"/>
      <c r="Q1122" s="84">
        <v>1.0</v>
      </c>
      <c r="R1122" s="62"/>
      <c r="S1122" s="37" t="str">
        <f>IFERROR(__xludf.DUMMYFUNCTION("if(not(iserror(index(split(C1122, "" ""),2))), index(split(C1122, "" ""),1),"""")"),"May,")</f>
        <v>May,</v>
      </c>
      <c r="T1122" s="38">
        <f>IFERROR(__xludf.DUMMYFUNCTION("if(S1122="""",C1122,if(not(iserror(index(split(C1122, "" ""),3))), index(split(C1122, "" ""),3),index(split(C1122, "" ""),2)))"),2018.0)</f>
        <v>2018</v>
      </c>
      <c r="U1122" s="38" t="b">
        <f t="shared" si="166"/>
        <v>0</v>
      </c>
      <c r="V1122" s="38"/>
      <c r="W1122" s="40"/>
      <c r="X1122" s="40"/>
      <c r="Y1122" s="40"/>
      <c r="Z1122" s="38"/>
      <c r="AA1122" s="38"/>
      <c r="AB1122" s="38"/>
      <c r="AC1122" s="38"/>
      <c r="AD1122" s="38"/>
      <c r="AE1122" s="38"/>
      <c r="AF1122" s="38"/>
      <c r="AG1122" s="38"/>
      <c r="AH1122" s="38"/>
      <c r="AI1122" s="38"/>
      <c r="AJ1122" s="38"/>
      <c r="AK1122" s="38"/>
      <c r="AL1122" s="38"/>
      <c r="AM1122" s="38"/>
      <c r="AN1122" s="38"/>
      <c r="AO1122" s="38"/>
      <c r="AP1122" s="38"/>
      <c r="AQ1122" s="38"/>
      <c r="AR1122" s="38"/>
      <c r="AS1122" s="38"/>
      <c r="AT1122" s="38"/>
      <c r="AU1122" s="38"/>
      <c r="AV1122" s="38"/>
      <c r="AW1122" s="38"/>
      <c r="AX1122" s="38"/>
      <c r="AY1122" s="38"/>
      <c r="AZ1122" s="38"/>
      <c r="BA1122" s="38"/>
      <c r="BB1122" s="38"/>
      <c r="BC1122" s="38"/>
      <c r="BD1122" s="38"/>
      <c r="BE1122" s="38"/>
      <c r="BF1122" s="38"/>
      <c r="BG1122" s="38"/>
      <c r="BH1122" s="38"/>
      <c r="BI1122" s="38"/>
      <c r="BJ1122" s="38"/>
      <c r="BK1122" s="38"/>
      <c r="BL1122" s="38"/>
      <c r="BM1122" s="38"/>
      <c r="BN1122" s="38"/>
      <c r="BO1122" s="38"/>
      <c r="BP1122" s="38"/>
      <c r="BQ1122" s="38"/>
    </row>
    <row r="1123">
      <c r="A1123" s="58" t="s">
        <v>3441</v>
      </c>
      <c r="B1123" s="59">
        <v>43249.0</v>
      </c>
      <c r="C1123" s="79">
        <v>43221.0</v>
      </c>
      <c r="D1123" s="60" t="s">
        <v>632</v>
      </c>
      <c r="E1123" s="58" t="s">
        <v>41</v>
      </c>
      <c r="F1123" s="58">
        <v>1.0</v>
      </c>
      <c r="G1123" s="58" t="s">
        <v>32</v>
      </c>
      <c r="H1123" s="33">
        <f t="shared" si="168"/>
        <v>1</v>
      </c>
      <c r="I1123" s="58" t="s">
        <v>33</v>
      </c>
      <c r="J1123" s="58" t="s">
        <v>222</v>
      </c>
      <c r="K1123" s="58">
        <v>3.0</v>
      </c>
      <c r="L1123" s="34" t="s">
        <v>76</v>
      </c>
      <c r="M1123" s="35" t="s">
        <v>3442</v>
      </c>
      <c r="N1123" s="77"/>
      <c r="O1123" s="88" t="str">
        <f>hyperlink("https://bad-boys.us/?q=ED-WI/1:18-cr-00115", "ED-WI 1:18-cr-00115")</f>
        <v>ED-WI 1:18-cr-00115</v>
      </c>
      <c r="P1123" s="88" t="s">
        <v>3443</v>
      </c>
      <c r="Q1123" s="58">
        <v>1.0</v>
      </c>
      <c r="R1123" s="62"/>
      <c r="S1123" s="37" t="str">
        <f>IFERROR(__xludf.DUMMYFUNCTION("if(not(iserror(index(split(C1123, "" ""),2))), index(split(C1123, "" ""),1),"""")"),"May,")</f>
        <v>May,</v>
      </c>
      <c r="T1123" s="38">
        <f>IFERROR(__xludf.DUMMYFUNCTION("if(S1123="""",C1123,if(not(iserror(index(split(C1123, "" ""),3))), index(split(C1123, "" ""),3),index(split(C1123, "" ""),2)))"),2018.0)</f>
        <v>2018</v>
      </c>
      <c r="U1123" s="38" t="b">
        <f t="shared" si="166"/>
        <v>0</v>
      </c>
      <c r="V1123" s="38"/>
      <c r="W1123" s="40"/>
      <c r="X1123" s="40"/>
      <c r="Y1123" s="40"/>
      <c r="Z1123" s="38"/>
      <c r="AA1123" s="38"/>
      <c r="AB1123" s="38"/>
      <c r="AC1123" s="38"/>
      <c r="AD1123" s="38"/>
      <c r="AE1123" s="38"/>
      <c r="AF1123" s="38"/>
      <c r="AG1123" s="38"/>
      <c r="AH1123" s="38"/>
      <c r="AI1123" s="38"/>
      <c r="AJ1123" s="38"/>
      <c r="AK1123" s="38"/>
      <c r="AL1123" s="38"/>
      <c r="AM1123" s="38"/>
      <c r="AN1123" s="38"/>
      <c r="AO1123" s="38"/>
      <c r="AP1123" s="38"/>
      <c r="AQ1123" s="38"/>
      <c r="AR1123" s="38"/>
      <c r="AS1123" s="38"/>
      <c r="AT1123" s="38"/>
      <c r="AU1123" s="38"/>
      <c r="AV1123" s="38"/>
      <c r="AW1123" s="38"/>
      <c r="AX1123" s="38"/>
      <c r="AY1123" s="38"/>
      <c r="AZ1123" s="38"/>
      <c r="BA1123" s="38"/>
      <c r="BB1123" s="38"/>
      <c r="BC1123" s="38"/>
      <c r="BD1123" s="38"/>
      <c r="BE1123" s="38"/>
      <c r="BF1123" s="38"/>
      <c r="BG1123" s="38"/>
      <c r="BH1123" s="38"/>
      <c r="BI1123" s="38"/>
      <c r="BJ1123" s="38"/>
      <c r="BK1123" s="38"/>
      <c r="BL1123" s="38"/>
      <c r="BM1123" s="38"/>
      <c r="BN1123" s="38"/>
      <c r="BO1123" s="38"/>
      <c r="BP1123" s="38"/>
      <c r="BQ1123" s="38"/>
    </row>
    <row r="1124">
      <c r="A1124" s="58" t="s">
        <v>3444</v>
      </c>
      <c r="B1124" s="59">
        <v>43326.0</v>
      </c>
      <c r="C1124" s="79">
        <v>43221.0</v>
      </c>
      <c r="D1124" s="60" t="s">
        <v>632</v>
      </c>
      <c r="E1124" s="58" t="s">
        <v>41</v>
      </c>
      <c r="F1124" s="58">
        <v>1.0</v>
      </c>
      <c r="G1124" s="58" t="s">
        <v>32</v>
      </c>
      <c r="H1124" s="33">
        <f t="shared" si="168"/>
        <v>1</v>
      </c>
      <c r="I1124" s="58" t="s">
        <v>33</v>
      </c>
      <c r="J1124" s="58" t="s">
        <v>162</v>
      </c>
      <c r="K1124" s="58" t="s">
        <v>32</v>
      </c>
      <c r="L1124" s="58" t="s">
        <v>790</v>
      </c>
      <c r="M1124" s="61" t="s">
        <v>3445</v>
      </c>
      <c r="N1124" s="77"/>
      <c r="O1124" s="62"/>
      <c r="P1124" s="58"/>
      <c r="Q1124" s="58"/>
      <c r="R1124" s="62"/>
      <c r="S1124" s="37" t="str">
        <f>IFERROR(__xludf.DUMMYFUNCTION("if(not(iserror(index(split(C1124, "" ""),2))), index(split(C1124, "" ""),1),"""")"),"May,")</f>
        <v>May,</v>
      </c>
      <c r="T1124" s="38">
        <f>IFERROR(__xludf.DUMMYFUNCTION("if(S1124="""",C1124,if(not(iserror(index(split(C1124, "" ""),3))), index(split(C1124, "" ""),3),index(split(C1124, "" ""),2)))"),2018.0)</f>
        <v>2018</v>
      </c>
      <c r="U1124" s="38" t="b">
        <f t="shared" si="166"/>
        <v>0</v>
      </c>
      <c r="V1124" s="38" t="s">
        <v>33</v>
      </c>
      <c r="W1124" s="40"/>
      <c r="X1124" s="40"/>
      <c r="Y1124" s="40"/>
      <c r="Z1124" s="38"/>
      <c r="AA1124" s="38"/>
      <c r="AB1124" s="38"/>
      <c r="AC1124" s="38"/>
      <c r="AD1124" s="38"/>
      <c r="AE1124" s="38"/>
      <c r="AF1124" s="38"/>
      <c r="AG1124" s="38"/>
      <c r="AH1124" s="38"/>
      <c r="AI1124" s="38"/>
      <c r="AJ1124" s="38"/>
      <c r="AK1124" s="38"/>
      <c r="AL1124" s="38"/>
      <c r="AM1124" s="38"/>
      <c r="AN1124" s="38"/>
      <c r="AO1124" s="38"/>
      <c r="AP1124" s="38"/>
      <c r="AQ1124" s="38"/>
      <c r="AR1124" s="38"/>
      <c r="AS1124" s="38"/>
      <c r="AT1124" s="38"/>
      <c r="AU1124" s="38"/>
      <c r="AV1124" s="38"/>
      <c r="AW1124" s="38"/>
      <c r="AX1124" s="38"/>
      <c r="AY1124" s="38"/>
      <c r="AZ1124" s="38"/>
      <c r="BA1124" s="38"/>
      <c r="BB1124" s="38"/>
      <c r="BC1124" s="38"/>
      <c r="BD1124" s="38"/>
      <c r="BE1124" s="38"/>
      <c r="BF1124" s="38"/>
      <c r="BG1124" s="38"/>
      <c r="BH1124" s="38"/>
      <c r="BI1124" s="38"/>
      <c r="BJ1124" s="38"/>
      <c r="BK1124" s="38"/>
      <c r="BL1124" s="38"/>
      <c r="BM1124" s="38"/>
      <c r="BN1124" s="38"/>
      <c r="BO1124" s="38"/>
      <c r="BP1124" s="38"/>
      <c r="BQ1124" s="38"/>
    </row>
    <row r="1125">
      <c r="A1125" s="58" t="s">
        <v>3446</v>
      </c>
      <c r="B1125" s="59">
        <v>43347.0</v>
      </c>
      <c r="C1125" s="79">
        <v>43221.0</v>
      </c>
      <c r="D1125" s="60" t="s">
        <v>632</v>
      </c>
      <c r="E1125" s="58" t="s">
        <v>41</v>
      </c>
      <c r="F1125" s="58">
        <v>1.0</v>
      </c>
      <c r="G1125" s="58" t="s">
        <v>32</v>
      </c>
      <c r="H1125" s="50">
        <v>1.0</v>
      </c>
      <c r="I1125" s="58" t="s">
        <v>33</v>
      </c>
      <c r="J1125" s="58" t="s">
        <v>343</v>
      </c>
      <c r="K1125" s="58" t="s">
        <v>32</v>
      </c>
      <c r="L1125" s="58" t="s">
        <v>119</v>
      </c>
      <c r="M1125" s="61" t="s">
        <v>3447</v>
      </c>
      <c r="N1125" s="77"/>
      <c r="O1125" s="83" t="str">
        <f>hyperlink("https://bad-boys.us/?q=SD-WV/2:18-cr-00023", "SD-WV 2:18-cr-00023")</f>
        <v>SD-WV 2:18-cr-00023</v>
      </c>
      <c r="P1125" s="88" t="s">
        <v>3448</v>
      </c>
      <c r="Q1125" s="58">
        <v>1.0</v>
      </c>
      <c r="R1125" s="62"/>
      <c r="S1125" s="37" t="str">
        <f>IFERROR(__xludf.DUMMYFUNCTION("if(not(iserror(index(split(C1125, "" ""),2))), index(split(C1125, "" ""),1),"""")"),"May,")</f>
        <v>May,</v>
      </c>
      <c r="T1125" s="38">
        <f>IFERROR(__xludf.DUMMYFUNCTION("if(S1125="""",C1125,if(not(iserror(index(split(C1125, "" ""),3))), index(split(C1125, "" ""),3),index(split(C1125, "" ""),2)))"),2018.0)</f>
        <v>2018</v>
      </c>
      <c r="U1125" s="38" t="b">
        <f t="shared" si="166"/>
        <v>0</v>
      </c>
      <c r="V1125" s="38"/>
      <c r="W1125" s="40"/>
      <c r="X1125" s="40"/>
      <c r="Y1125" s="40"/>
      <c r="Z1125" s="38"/>
      <c r="AA1125" s="38"/>
      <c r="AB1125" s="38"/>
      <c r="AC1125" s="38"/>
      <c r="AD1125" s="38"/>
      <c r="AE1125" s="38"/>
      <c r="AF1125" s="38"/>
      <c r="AG1125" s="38"/>
      <c r="AH1125" s="38"/>
      <c r="AI1125" s="38"/>
      <c r="AJ1125" s="38"/>
      <c r="AK1125" s="38"/>
      <c r="AL1125" s="38"/>
      <c r="AM1125" s="38"/>
      <c r="AN1125" s="38"/>
      <c r="AO1125" s="38"/>
      <c r="AP1125" s="38"/>
      <c r="AQ1125" s="38"/>
      <c r="AR1125" s="38"/>
      <c r="AS1125" s="38"/>
      <c r="AT1125" s="38"/>
      <c r="AU1125" s="38"/>
      <c r="AV1125" s="38"/>
      <c r="AW1125" s="38"/>
      <c r="AX1125" s="38"/>
      <c r="AY1125" s="38"/>
      <c r="AZ1125" s="38"/>
      <c r="BA1125" s="38"/>
      <c r="BB1125" s="38"/>
      <c r="BC1125" s="38"/>
      <c r="BD1125" s="38"/>
      <c r="BE1125" s="38"/>
      <c r="BF1125" s="38"/>
      <c r="BG1125" s="38"/>
      <c r="BH1125" s="38"/>
      <c r="BI1125" s="38"/>
      <c r="BJ1125" s="38"/>
      <c r="BK1125" s="38"/>
      <c r="BL1125" s="38"/>
      <c r="BM1125" s="38"/>
      <c r="BN1125" s="38"/>
      <c r="BO1125" s="38"/>
      <c r="BP1125" s="38"/>
      <c r="BQ1125" s="38"/>
    </row>
    <row r="1126">
      <c r="A1126" s="58" t="s">
        <v>3449</v>
      </c>
      <c r="B1126" s="59">
        <v>43397.0</v>
      </c>
      <c r="C1126" s="79">
        <v>43221.0</v>
      </c>
      <c r="D1126" s="60" t="s">
        <v>3450</v>
      </c>
      <c r="E1126" s="58" t="s">
        <v>31</v>
      </c>
      <c r="F1126" s="58">
        <v>3.0</v>
      </c>
      <c r="G1126" s="58" t="s">
        <v>32</v>
      </c>
      <c r="H1126" s="33">
        <f>if(G1126="Unknown",1,G1126)</f>
        <v>1</v>
      </c>
      <c r="I1126" s="58" t="s">
        <v>33</v>
      </c>
      <c r="J1126" s="58" t="s">
        <v>124</v>
      </c>
      <c r="K1126" s="58">
        <v>2.0</v>
      </c>
      <c r="L1126" s="58" t="s">
        <v>76</v>
      </c>
      <c r="M1126" s="61" t="s">
        <v>3451</v>
      </c>
      <c r="N1126" s="61" t="s">
        <v>3452</v>
      </c>
      <c r="O1126" s="88" t="str">
        <f>hyperlink("https://bad-boys.us/?q=SD-OH/2:18-cr-00056", "SD-OH 2:18-cr-00056")</f>
        <v>SD-OH 2:18-cr-00056</v>
      </c>
      <c r="P1126" s="88" t="s">
        <v>3453</v>
      </c>
      <c r="Q1126" s="84">
        <v>1.0</v>
      </c>
      <c r="R1126" s="62"/>
      <c r="S1126" s="37" t="str">
        <f>IFERROR(__xludf.DUMMYFUNCTION("if(not(iserror(index(split(C1126, "" ""),2))), index(split(C1126, "" ""),1),"""")"),"May,")</f>
        <v>May,</v>
      </c>
      <c r="T1126" s="38">
        <f>IFERROR(__xludf.DUMMYFUNCTION("if(S1126="""",C1126,if(not(iserror(index(split(C1126, "" ""),3))), index(split(C1126, "" ""),3),index(split(C1126, "" ""),2)))"),2018.0)</f>
        <v>2018</v>
      </c>
      <c r="U1126" s="38" t="b">
        <f t="shared" si="166"/>
        <v>0</v>
      </c>
      <c r="V1126" s="38"/>
      <c r="W1126" s="40"/>
      <c r="X1126" s="40"/>
      <c r="Y1126" s="40"/>
      <c r="Z1126" s="38"/>
      <c r="AA1126" s="38"/>
      <c r="AB1126" s="38"/>
      <c r="AC1126" s="38"/>
      <c r="AD1126" s="38"/>
      <c r="AE1126" s="38"/>
      <c r="AF1126" s="38"/>
      <c r="AG1126" s="38"/>
      <c r="AH1126" s="38"/>
      <c r="AI1126" s="38"/>
      <c r="AJ1126" s="38"/>
      <c r="AK1126" s="38"/>
      <c r="AL1126" s="38"/>
      <c r="AM1126" s="38"/>
      <c r="AN1126" s="38"/>
      <c r="AO1126" s="38"/>
      <c r="AP1126" s="38"/>
      <c r="AQ1126" s="38"/>
      <c r="AR1126" s="38"/>
      <c r="AS1126" s="38"/>
      <c r="AT1126" s="38"/>
      <c r="AU1126" s="38"/>
      <c r="AV1126" s="38"/>
      <c r="AW1126" s="38"/>
      <c r="AX1126" s="38"/>
      <c r="AY1126" s="38"/>
      <c r="AZ1126" s="38"/>
      <c r="BA1126" s="38"/>
      <c r="BB1126" s="38"/>
      <c r="BC1126" s="38"/>
      <c r="BD1126" s="38"/>
      <c r="BE1126" s="38"/>
      <c r="BF1126" s="38"/>
      <c r="BG1126" s="38"/>
      <c r="BH1126" s="38"/>
      <c r="BI1126" s="38"/>
      <c r="BJ1126" s="38"/>
      <c r="BK1126" s="38"/>
      <c r="BL1126" s="38"/>
      <c r="BM1126" s="38"/>
      <c r="BN1126" s="38"/>
      <c r="BO1126" s="38"/>
      <c r="BP1126" s="38"/>
      <c r="BQ1126" s="38"/>
    </row>
    <row r="1127">
      <c r="A1127" s="87" t="s">
        <v>3454</v>
      </c>
      <c r="B1127" s="59">
        <v>43398.0</v>
      </c>
      <c r="C1127" s="79">
        <v>43221.0</v>
      </c>
      <c r="D1127" s="60" t="s">
        <v>632</v>
      </c>
      <c r="E1127" s="58" t="s">
        <v>41</v>
      </c>
      <c r="F1127" s="58">
        <v>2.0</v>
      </c>
      <c r="G1127" s="58">
        <v>1.0</v>
      </c>
      <c r="H1127" s="43">
        <v>1.0</v>
      </c>
      <c r="I1127" s="58" t="s">
        <v>33</v>
      </c>
      <c r="J1127" s="58" t="s">
        <v>179</v>
      </c>
      <c r="K1127" s="58">
        <v>3.0</v>
      </c>
      <c r="L1127" s="58" t="s">
        <v>3455</v>
      </c>
      <c r="M1127" s="61" t="s">
        <v>3456</v>
      </c>
      <c r="N1127" s="80"/>
      <c r="O1127" s="83" t="str">
        <f>hyperlink("https://bad-boys.us/?q=WD-VA/4:18-cr-00009", "WD-VA 4:18-cr-00009")</f>
        <v>WD-VA 4:18-cr-00009</v>
      </c>
      <c r="P1127" s="88" t="s">
        <v>3457</v>
      </c>
      <c r="Q1127" s="58">
        <v>1.0</v>
      </c>
      <c r="R1127" s="62"/>
      <c r="S1127" s="37" t="str">
        <f>IFERROR(__xludf.DUMMYFUNCTION("if(not(iserror(index(split(C1127, "" ""),2))), index(split(C1127, "" ""),1),"""")"),"May,")</f>
        <v>May,</v>
      </c>
      <c r="T1127" s="38">
        <f>IFERROR(__xludf.DUMMYFUNCTION("if(S1127="""",C1127,if(not(iserror(index(split(C1127, "" ""),3))), index(split(C1127, "" ""),3),index(split(C1127, "" ""),2)))"),2018.0)</f>
        <v>2018</v>
      </c>
      <c r="U1127" s="38" t="b">
        <f t="shared" si="166"/>
        <v>0</v>
      </c>
      <c r="V1127" s="38" t="s">
        <v>33</v>
      </c>
      <c r="W1127" s="40"/>
      <c r="X1127" s="40"/>
      <c r="Y1127" s="40"/>
      <c r="Z1127" s="38"/>
      <c r="AA1127" s="38"/>
      <c r="AB1127" s="38"/>
      <c r="AC1127" s="38"/>
      <c r="AD1127" s="38"/>
      <c r="AE1127" s="38"/>
      <c r="AF1127" s="38"/>
      <c r="AG1127" s="38"/>
      <c r="AH1127" s="38"/>
      <c r="AI1127" s="38"/>
      <c r="AJ1127" s="38"/>
      <c r="AK1127" s="38"/>
      <c r="AL1127" s="38"/>
      <c r="AM1127" s="38"/>
      <c r="AN1127" s="38"/>
      <c r="AO1127" s="38"/>
      <c r="AP1127" s="38"/>
      <c r="AQ1127" s="38"/>
      <c r="AR1127" s="38"/>
      <c r="AS1127" s="38"/>
      <c r="AT1127" s="38"/>
      <c r="AU1127" s="38"/>
      <c r="AV1127" s="38"/>
      <c r="AW1127" s="38"/>
      <c r="AX1127" s="38"/>
      <c r="AY1127" s="38"/>
      <c r="AZ1127" s="38"/>
      <c r="BA1127" s="38"/>
      <c r="BB1127" s="38"/>
      <c r="BC1127" s="38"/>
      <c r="BD1127" s="38"/>
      <c r="BE1127" s="38"/>
      <c r="BF1127" s="38"/>
      <c r="BG1127" s="38"/>
      <c r="BH1127" s="38"/>
      <c r="BI1127" s="38"/>
      <c r="BJ1127" s="38"/>
      <c r="BK1127" s="38"/>
      <c r="BL1127" s="38"/>
      <c r="BM1127" s="38"/>
      <c r="BN1127" s="38"/>
      <c r="BO1127" s="38"/>
      <c r="BP1127" s="38"/>
      <c r="BQ1127" s="38"/>
    </row>
    <row r="1128">
      <c r="A1128" s="87" t="s">
        <v>3458</v>
      </c>
      <c r="B1128" s="59">
        <v>43410.0</v>
      </c>
      <c r="C1128" s="79">
        <v>43221.0</v>
      </c>
      <c r="D1128" s="60" t="s">
        <v>632</v>
      </c>
      <c r="E1128" s="58" t="s">
        <v>41</v>
      </c>
      <c r="F1128" s="58">
        <v>1.0</v>
      </c>
      <c r="G1128" s="58" t="s">
        <v>32</v>
      </c>
      <c r="H1128" s="33">
        <f t="shared" ref="H1128:H1129" si="169">if(G1128="Unknown",1,G1128)</f>
        <v>1</v>
      </c>
      <c r="I1128" s="58" t="s">
        <v>33</v>
      </c>
      <c r="J1128" s="58" t="s">
        <v>61</v>
      </c>
      <c r="K1128" s="58">
        <v>4.0</v>
      </c>
      <c r="L1128" s="58" t="s">
        <v>119</v>
      </c>
      <c r="M1128" s="61" t="s">
        <v>3459</v>
      </c>
      <c r="N1128" s="80"/>
      <c r="O1128" s="88" t="str">
        <f>hyperlink("https://bad-boys.us/?q=WD-LA/2:18-cr-00132", "WD-LA 2:18-cr-00132")</f>
        <v>WD-LA 2:18-cr-00132</v>
      </c>
      <c r="P1128" s="88" t="s">
        <v>3460</v>
      </c>
      <c r="Q1128" s="84">
        <v>1.0</v>
      </c>
      <c r="R1128" s="62"/>
      <c r="S1128" s="37" t="str">
        <f>IFERROR(__xludf.DUMMYFUNCTION("if(not(iserror(index(split(C1128, "" ""),2))), index(split(C1128, "" ""),1),"""")"),"May,")</f>
        <v>May,</v>
      </c>
      <c r="T1128" s="38">
        <f>IFERROR(__xludf.DUMMYFUNCTION("if(S1128="""",C1128,if(not(iserror(index(split(C1128, "" ""),3))), index(split(C1128, "" ""),3),index(split(C1128, "" ""),2)))"),2018.0)</f>
        <v>2018</v>
      </c>
      <c r="U1128" s="38" t="b">
        <f t="shared" si="166"/>
        <v>0</v>
      </c>
      <c r="V1128" s="38"/>
      <c r="W1128" s="40"/>
      <c r="X1128" s="40"/>
      <c r="Y1128" s="40"/>
      <c r="Z1128" s="38"/>
      <c r="AA1128" s="38"/>
      <c r="AB1128" s="38"/>
      <c r="AC1128" s="38"/>
      <c r="AD1128" s="38"/>
      <c r="AE1128" s="38"/>
      <c r="AF1128" s="38"/>
      <c r="AG1128" s="38"/>
      <c r="AH1128" s="38"/>
      <c r="AI1128" s="38"/>
      <c r="AJ1128" s="38"/>
      <c r="AK1128" s="38"/>
      <c r="AL1128" s="38"/>
      <c r="AM1128" s="38"/>
      <c r="AN1128" s="38"/>
      <c r="AO1128" s="38"/>
      <c r="AP1128" s="38"/>
      <c r="AQ1128" s="38"/>
      <c r="AR1128" s="38"/>
      <c r="AS1128" s="38"/>
      <c r="AT1128" s="38"/>
      <c r="AU1128" s="38"/>
      <c r="AV1128" s="38"/>
      <c r="AW1128" s="38"/>
      <c r="AX1128" s="38"/>
      <c r="AY1128" s="38"/>
      <c r="AZ1128" s="38"/>
      <c r="BA1128" s="38"/>
      <c r="BB1128" s="38"/>
      <c r="BC1128" s="38"/>
      <c r="BD1128" s="38"/>
      <c r="BE1128" s="38"/>
      <c r="BF1128" s="38"/>
      <c r="BG1128" s="38"/>
      <c r="BH1128" s="38"/>
      <c r="BI1128" s="38"/>
      <c r="BJ1128" s="38"/>
      <c r="BK1128" s="38"/>
      <c r="BL1128" s="38"/>
      <c r="BM1128" s="38"/>
      <c r="BN1128" s="38"/>
      <c r="BO1128" s="38"/>
      <c r="BP1128" s="38"/>
      <c r="BQ1128" s="38"/>
    </row>
    <row r="1129">
      <c r="A1129" s="58" t="s">
        <v>3461</v>
      </c>
      <c r="B1129" s="59">
        <v>43446.0</v>
      </c>
      <c r="C1129" s="79">
        <v>43221.0</v>
      </c>
      <c r="D1129" s="60" t="s">
        <v>632</v>
      </c>
      <c r="E1129" s="58" t="s">
        <v>41</v>
      </c>
      <c r="F1129" s="58">
        <v>1.0</v>
      </c>
      <c r="G1129" s="58" t="s">
        <v>32</v>
      </c>
      <c r="H1129" s="33">
        <f t="shared" si="169"/>
        <v>1</v>
      </c>
      <c r="I1129" s="58" t="s">
        <v>33</v>
      </c>
      <c r="J1129" s="58" t="s">
        <v>93</v>
      </c>
      <c r="K1129" s="58">
        <v>2.0</v>
      </c>
      <c r="L1129" s="58" t="s">
        <v>2316</v>
      </c>
      <c r="M1129" s="61" t="s">
        <v>3462</v>
      </c>
      <c r="N1129" s="77"/>
      <c r="O1129" s="83" t="str">
        <f>hyperlink("https://bad-boys.us/?q=ED-NY/1:18-cr-00616", "ED-NY 1:18-cr-00616")</f>
        <v>ED-NY 1:18-cr-00616</v>
      </c>
      <c r="P1129" s="88" t="s">
        <v>3463</v>
      </c>
      <c r="Q1129" s="58">
        <v>1.0</v>
      </c>
      <c r="R1129" s="62"/>
      <c r="S1129" s="37" t="str">
        <f>IFERROR(__xludf.DUMMYFUNCTION("if(not(iserror(index(split(C1129, "" ""),2))), index(split(C1129, "" ""),1),"""")"),"May,")</f>
        <v>May,</v>
      </c>
      <c r="T1129" s="38">
        <f>IFERROR(__xludf.DUMMYFUNCTION("if(S1129="""",C1129,if(not(iserror(index(split(C1129, "" ""),3))), index(split(C1129, "" ""),3),index(split(C1129, "" ""),2)))"),2018.0)</f>
        <v>2018</v>
      </c>
      <c r="U1129" s="38" t="b">
        <f t="shared" si="166"/>
        <v>0</v>
      </c>
      <c r="V1129" s="38"/>
      <c r="W1129" s="40"/>
      <c r="X1129" s="40"/>
      <c r="Y1129" s="40"/>
      <c r="Z1129" s="38"/>
      <c r="AA1129" s="38"/>
      <c r="AB1129" s="38"/>
      <c r="AC1129" s="38"/>
      <c r="AD1129" s="38"/>
      <c r="AE1129" s="38"/>
      <c r="AF1129" s="38"/>
      <c r="AG1129" s="38"/>
      <c r="AH1129" s="38"/>
      <c r="AI1129" s="38"/>
      <c r="AJ1129" s="38"/>
      <c r="AK1129" s="38"/>
      <c r="AL1129" s="38"/>
      <c r="AM1129" s="38"/>
      <c r="AN1129" s="38"/>
      <c r="AO1129" s="38"/>
      <c r="AP1129" s="38"/>
      <c r="AQ1129" s="38"/>
      <c r="AR1129" s="38"/>
      <c r="AS1129" s="38"/>
      <c r="AT1129" s="38"/>
      <c r="AU1129" s="38"/>
      <c r="AV1129" s="38"/>
      <c r="AW1129" s="38"/>
      <c r="AX1129" s="38"/>
      <c r="AY1129" s="38"/>
      <c r="AZ1129" s="38"/>
      <c r="BA1129" s="38"/>
      <c r="BB1129" s="38"/>
      <c r="BC1129" s="38"/>
      <c r="BD1129" s="38"/>
      <c r="BE1129" s="38"/>
      <c r="BF1129" s="38"/>
      <c r="BG1129" s="38"/>
      <c r="BH1129" s="38"/>
      <c r="BI1129" s="38"/>
      <c r="BJ1129" s="38"/>
      <c r="BK1129" s="38"/>
      <c r="BL1129" s="38"/>
      <c r="BM1129" s="38"/>
      <c r="BN1129" s="38"/>
      <c r="BO1129" s="38"/>
      <c r="BP1129" s="38"/>
      <c r="BQ1129" s="38"/>
    </row>
    <row r="1130">
      <c r="A1130" s="87" t="s">
        <v>3464</v>
      </c>
      <c r="B1130" s="59">
        <v>43452.0</v>
      </c>
      <c r="C1130" s="79">
        <v>43221.0</v>
      </c>
      <c r="D1130" s="60" t="s">
        <v>632</v>
      </c>
      <c r="E1130" s="58" t="s">
        <v>41</v>
      </c>
      <c r="F1130" s="58">
        <v>1.0</v>
      </c>
      <c r="G1130" s="58" t="s">
        <v>32</v>
      </c>
      <c r="H1130" s="50">
        <v>1.0</v>
      </c>
      <c r="I1130" s="58" t="s">
        <v>33</v>
      </c>
      <c r="J1130" s="58" t="s">
        <v>343</v>
      </c>
      <c r="K1130" s="58">
        <v>3.0</v>
      </c>
      <c r="L1130" s="58" t="s">
        <v>119</v>
      </c>
      <c r="M1130" s="61" t="s">
        <v>3465</v>
      </c>
      <c r="N1130" s="80"/>
      <c r="O1130" s="83" t="str">
        <f>hyperlink("https://bad-boys.us/?q=SD-WV/2:18-cr-00104", "SD-WV 2:18-cr-00104")</f>
        <v>SD-WV 2:18-cr-00104</v>
      </c>
      <c r="P1130" s="88" t="s">
        <v>3466</v>
      </c>
      <c r="Q1130" s="58">
        <v>1.0</v>
      </c>
      <c r="R1130" s="62"/>
      <c r="S1130" s="37" t="str">
        <f>IFERROR(__xludf.DUMMYFUNCTION("if(not(iserror(index(split(C1130, "" ""),2))), index(split(C1130, "" ""),1),"""")"),"May,")</f>
        <v>May,</v>
      </c>
      <c r="T1130" s="38">
        <f>IFERROR(__xludf.DUMMYFUNCTION("if(S1130="""",C1130,if(not(iserror(index(split(C1130, "" ""),3))), index(split(C1130, "" ""),3),index(split(C1130, "" ""),2)))"),2018.0)</f>
        <v>2018</v>
      </c>
      <c r="U1130" s="38" t="b">
        <f t="shared" si="166"/>
        <v>0</v>
      </c>
      <c r="V1130" s="38"/>
      <c r="W1130" s="40"/>
      <c r="X1130" s="40"/>
      <c r="Y1130" s="40"/>
      <c r="Z1130" s="38"/>
      <c r="AA1130" s="38"/>
      <c r="AB1130" s="38"/>
      <c r="AC1130" s="38"/>
      <c r="AD1130" s="38"/>
      <c r="AE1130" s="38"/>
      <c r="AF1130" s="38"/>
      <c r="AG1130" s="38"/>
      <c r="AH1130" s="38"/>
      <c r="AI1130" s="38"/>
      <c r="AJ1130" s="38"/>
      <c r="AK1130" s="38"/>
      <c r="AL1130" s="38"/>
      <c r="AM1130" s="38"/>
      <c r="AN1130" s="38"/>
      <c r="AO1130" s="38"/>
      <c r="AP1130" s="38"/>
      <c r="AQ1130" s="38"/>
      <c r="AR1130" s="38"/>
      <c r="AS1130" s="38"/>
      <c r="AT1130" s="38"/>
      <c r="AU1130" s="38"/>
      <c r="AV1130" s="38"/>
      <c r="AW1130" s="38"/>
      <c r="AX1130" s="38"/>
      <c r="AY1130" s="38"/>
      <c r="AZ1130" s="38"/>
      <c r="BA1130" s="38"/>
      <c r="BB1130" s="38"/>
      <c r="BC1130" s="38"/>
      <c r="BD1130" s="38"/>
      <c r="BE1130" s="38"/>
      <c r="BF1130" s="38"/>
      <c r="BG1130" s="38"/>
      <c r="BH1130" s="38"/>
      <c r="BI1130" s="38"/>
      <c r="BJ1130" s="38"/>
      <c r="BK1130" s="38"/>
      <c r="BL1130" s="38"/>
      <c r="BM1130" s="38"/>
      <c r="BN1130" s="38"/>
      <c r="BO1130" s="38"/>
      <c r="BP1130" s="38"/>
      <c r="BQ1130" s="38"/>
    </row>
    <row r="1131">
      <c r="A1131" s="47" t="s">
        <v>3467</v>
      </c>
      <c r="B1131" s="48">
        <v>43495.0</v>
      </c>
      <c r="C1131" s="89">
        <v>43221.0</v>
      </c>
      <c r="D1131" s="49" t="s">
        <v>632</v>
      </c>
      <c r="E1131" s="47" t="s">
        <v>31</v>
      </c>
      <c r="F1131" s="47">
        <v>1.0</v>
      </c>
      <c r="G1131" s="47" t="s">
        <v>32</v>
      </c>
      <c r="H1131" s="63">
        <v>1.0</v>
      </c>
      <c r="I1131" s="47" t="s">
        <v>33</v>
      </c>
      <c r="J1131" s="47" t="s">
        <v>172</v>
      </c>
      <c r="K1131" s="47">
        <v>2.0</v>
      </c>
      <c r="L1131" s="47" t="s">
        <v>69</v>
      </c>
      <c r="M1131" s="51" t="s">
        <v>3468</v>
      </c>
      <c r="N1131" s="51" t="s">
        <v>3469</v>
      </c>
      <c r="O1131" s="53" t="str">
        <f>hyperlink("https://bad-boys.us/?q=ED-NC/5:18-cr-00170", "ED-NC 5:18-cr-00170")</f>
        <v>ED-NC 5:18-cr-00170</v>
      </c>
      <c r="P1131" s="54" t="s">
        <v>3470</v>
      </c>
      <c r="Q1131" s="47">
        <v>1.0</v>
      </c>
      <c r="R1131" s="55"/>
      <c r="S1131" s="37" t="str">
        <f>IFERROR(__xludf.DUMMYFUNCTION("if(not(iserror(index(split(C1131, "" ""),2))), index(split(C1131, "" ""),1),"""")"),"May,")</f>
        <v>May,</v>
      </c>
      <c r="T1131" s="38">
        <f>IFERROR(__xludf.DUMMYFUNCTION("if(S1131="""",C1131,if(not(iserror(index(split(C1131, "" ""),3))), index(split(C1131, "" ""),3),index(split(C1131, "" ""),2)))"),2018.0)</f>
        <v>2018</v>
      </c>
      <c r="U1131" s="38" t="b">
        <f t="shared" si="166"/>
        <v>0</v>
      </c>
      <c r="V1131" s="38"/>
      <c r="W1131" s="40"/>
      <c r="X1131" s="40"/>
      <c r="Y1131" s="40"/>
      <c r="Z1131" s="38"/>
      <c r="AA1131" s="38"/>
      <c r="AB1131" s="38"/>
      <c r="AC1131" s="38"/>
      <c r="AD1131" s="38"/>
      <c r="AE1131" s="38"/>
      <c r="AF1131" s="38"/>
      <c r="AG1131" s="38"/>
      <c r="AH1131" s="38"/>
      <c r="AI1131" s="38"/>
      <c r="AJ1131" s="38"/>
      <c r="AK1131" s="38"/>
      <c r="AL1131" s="38"/>
      <c r="AM1131" s="38"/>
      <c r="AN1131" s="38"/>
      <c r="AO1131" s="38"/>
      <c r="AP1131" s="38"/>
      <c r="AQ1131" s="38"/>
      <c r="AR1131" s="38"/>
      <c r="AS1131" s="38"/>
      <c r="AT1131" s="38"/>
      <c r="AU1131" s="38"/>
      <c r="AV1131" s="38"/>
      <c r="AW1131" s="38"/>
      <c r="AX1131" s="38"/>
      <c r="AY1131" s="38"/>
      <c r="AZ1131" s="38"/>
      <c r="BA1131" s="38"/>
      <c r="BB1131" s="38"/>
      <c r="BC1131" s="38"/>
      <c r="BD1131" s="38"/>
      <c r="BE1131" s="38"/>
      <c r="BF1131" s="38"/>
      <c r="BG1131" s="38"/>
      <c r="BH1131" s="38"/>
      <c r="BI1131" s="38"/>
      <c r="BJ1131" s="38"/>
      <c r="BK1131" s="38"/>
      <c r="BL1131" s="38"/>
      <c r="BM1131" s="38"/>
      <c r="BN1131" s="38"/>
      <c r="BO1131" s="38"/>
      <c r="BP1131" s="38"/>
      <c r="BQ1131" s="38"/>
    </row>
    <row r="1132">
      <c r="A1132" s="37" t="s">
        <v>3471</v>
      </c>
      <c r="B1132" s="99">
        <v>43497.0</v>
      </c>
      <c r="C1132" s="100">
        <v>43221.0</v>
      </c>
      <c r="D1132" s="101">
        <v>43221.0</v>
      </c>
      <c r="E1132" s="37" t="s">
        <v>41</v>
      </c>
      <c r="F1132" s="37">
        <v>1.0</v>
      </c>
      <c r="G1132" s="37" t="s">
        <v>32</v>
      </c>
      <c r="H1132" s="200">
        <v>1.0</v>
      </c>
      <c r="I1132" s="37" t="s">
        <v>33</v>
      </c>
      <c r="J1132" s="37" t="s">
        <v>179</v>
      </c>
      <c r="K1132" s="37">
        <v>2.0</v>
      </c>
      <c r="L1132" s="37" t="s">
        <v>646</v>
      </c>
      <c r="M1132" s="36" t="s">
        <v>3472</v>
      </c>
      <c r="N1132" s="15"/>
      <c r="O1132" s="57" t="str">
        <f>hyperlink("https://bad-boys.us/?q=ED-VA/1:18-cr-00188", "ED-VA 1:18-cr-00188")</f>
        <v>ED-VA 1:18-cr-00188</v>
      </c>
      <c r="P1132" s="16"/>
      <c r="Q1132" s="37">
        <v>1.0</v>
      </c>
      <c r="R1132" s="16"/>
      <c r="S1132" s="37" t="str">
        <f>IFERROR(__xludf.DUMMYFUNCTION("if(not(iserror(index(split(C1132, "" ""),2))), index(split(C1132, "" ""),1),"""")"),"May,")</f>
        <v>May,</v>
      </c>
      <c r="T1132" s="38">
        <f>IFERROR(__xludf.DUMMYFUNCTION("if(S1132="""",C1132,if(not(iserror(index(split(C1132, "" ""),3))), index(split(C1132, "" ""),3),index(split(C1132, "" ""),2)))"),2018.0)</f>
        <v>2018</v>
      </c>
      <c r="U1132" s="38" t="b">
        <f t="shared" si="166"/>
        <v>0</v>
      </c>
      <c r="V1132" s="37" t="s">
        <v>33</v>
      </c>
      <c r="W1132" s="15"/>
      <c r="X1132" s="15"/>
      <c r="Y1132" s="15"/>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c r="AZ1132" s="16"/>
      <c r="BA1132" s="16"/>
      <c r="BB1132" s="16"/>
      <c r="BC1132" s="16"/>
      <c r="BD1132" s="16"/>
      <c r="BE1132" s="16"/>
      <c r="BF1132" s="16"/>
      <c r="BG1132" s="16"/>
      <c r="BH1132" s="16"/>
      <c r="BI1132" s="16"/>
      <c r="BJ1132" s="16"/>
      <c r="BK1132" s="16"/>
      <c r="BL1132" s="16"/>
      <c r="BM1132" s="16"/>
      <c r="BN1132" s="16"/>
      <c r="BO1132" s="16"/>
      <c r="BP1132" s="16"/>
      <c r="BQ1132" s="16"/>
    </row>
    <row r="1133">
      <c r="A1133" s="47" t="s">
        <v>3473</v>
      </c>
      <c r="B1133" s="48">
        <v>43502.0</v>
      </c>
      <c r="C1133" s="89">
        <v>43221.0</v>
      </c>
      <c r="D1133" s="49" t="s">
        <v>632</v>
      </c>
      <c r="E1133" s="47" t="s">
        <v>41</v>
      </c>
      <c r="F1133" s="47">
        <v>1.0</v>
      </c>
      <c r="G1133" s="47" t="s">
        <v>32</v>
      </c>
      <c r="H1133" s="63">
        <v>1.0</v>
      </c>
      <c r="I1133" s="47" t="s">
        <v>33</v>
      </c>
      <c r="J1133" s="47" t="s">
        <v>514</v>
      </c>
      <c r="K1133" s="47">
        <v>1.0</v>
      </c>
      <c r="L1133" s="47" t="s">
        <v>119</v>
      </c>
      <c r="M1133" s="51" t="s">
        <v>3474</v>
      </c>
      <c r="N1133" s="52"/>
      <c r="O1133" s="53" t="str">
        <f>hyperlink("https://bad-boys.us/?q=WD-AR/5:18-cr-50049", "WD-AR 5:18-cr-50049")</f>
        <v>WD-AR 5:18-cr-50049</v>
      </c>
      <c r="P1133" s="54" t="s">
        <v>3475</v>
      </c>
      <c r="Q1133" s="47">
        <v>1.0</v>
      </c>
      <c r="R1133" s="55"/>
      <c r="S1133" s="37" t="str">
        <f>IFERROR(__xludf.DUMMYFUNCTION("if(not(iserror(index(split(C1133, "" ""),2))), index(split(C1133, "" ""),1),"""")"),"May,")</f>
        <v>May,</v>
      </c>
      <c r="T1133" s="38">
        <f>IFERROR(__xludf.DUMMYFUNCTION("if(S1133="""",C1133,if(not(iserror(index(split(C1133, "" ""),3))), index(split(C1133, "" ""),3),index(split(C1133, "" ""),2)))"),2018.0)</f>
        <v>2018</v>
      </c>
      <c r="U1133" s="38" t="b">
        <f t="shared" si="166"/>
        <v>0</v>
      </c>
      <c r="V1133" s="38" t="s">
        <v>33</v>
      </c>
      <c r="W1133" s="40"/>
      <c r="X1133" s="40"/>
      <c r="Y1133" s="40"/>
      <c r="Z1133" s="38"/>
      <c r="AA1133" s="38"/>
      <c r="AB1133" s="38"/>
      <c r="AC1133" s="38"/>
      <c r="AD1133" s="38"/>
      <c r="AE1133" s="38"/>
      <c r="AF1133" s="38"/>
      <c r="AG1133" s="38"/>
      <c r="AH1133" s="38"/>
      <c r="AI1133" s="38"/>
      <c r="AJ1133" s="38"/>
      <c r="AK1133" s="38"/>
      <c r="AL1133" s="38"/>
      <c r="AM1133" s="38"/>
      <c r="AN1133" s="38"/>
      <c r="AO1133" s="38"/>
      <c r="AP1133" s="38"/>
      <c r="AQ1133" s="38"/>
      <c r="AR1133" s="38"/>
      <c r="AS1133" s="38"/>
      <c r="AT1133" s="38"/>
      <c r="AU1133" s="38"/>
      <c r="AV1133" s="38"/>
      <c r="AW1133" s="38"/>
      <c r="AX1133" s="38"/>
      <c r="AY1133" s="38"/>
      <c r="AZ1133" s="38"/>
      <c r="BA1133" s="38"/>
      <c r="BB1133" s="38"/>
      <c r="BC1133" s="38"/>
      <c r="BD1133" s="38"/>
      <c r="BE1133" s="38"/>
      <c r="BF1133" s="38"/>
      <c r="BG1133" s="38"/>
      <c r="BH1133" s="38"/>
      <c r="BI1133" s="38"/>
      <c r="BJ1133" s="38"/>
      <c r="BK1133" s="38"/>
      <c r="BL1133" s="38"/>
      <c r="BM1133" s="38"/>
      <c r="BN1133" s="38"/>
      <c r="BO1133" s="38"/>
      <c r="BP1133" s="38"/>
      <c r="BQ1133" s="38"/>
    </row>
    <row r="1134">
      <c r="A1134" s="58" t="s">
        <v>3476</v>
      </c>
      <c r="B1134" s="59"/>
      <c r="C1134" s="79">
        <v>43221.0</v>
      </c>
      <c r="D1134" s="60"/>
      <c r="E1134" s="58" t="s">
        <v>41</v>
      </c>
      <c r="F1134" s="58">
        <v>1.0</v>
      </c>
      <c r="G1134" s="58" t="s">
        <v>32</v>
      </c>
      <c r="H1134" s="43">
        <v>1.0</v>
      </c>
      <c r="I1134" s="58" t="s">
        <v>33</v>
      </c>
      <c r="J1134" s="58" t="s">
        <v>172</v>
      </c>
      <c r="K1134" s="58"/>
      <c r="L1134" s="58" t="s">
        <v>119</v>
      </c>
      <c r="M1134" s="61" t="s">
        <v>3477</v>
      </c>
      <c r="N1134" s="80"/>
      <c r="O1134" s="58"/>
      <c r="P1134" s="58"/>
      <c r="Q1134" s="58"/>
      <c r="R1134" s="62"/>
      <c r="S1134" s="37"/>
      <c r="T1134" s="38"/>
      <c r="U1134" s="38"/>
      <c r="V1134" s="38" t="s">
        <v>33</v>
      </c>
      <c r="W1134" s="40"/>
      <c r="X1134" s="40"/>
      <c r="Y1134" s="40"/>
      <c r="Z1134" s="38"/>
      <c r="AA1134" s="38"/>
      <c r="AB1134" s="38"/>
      <c r="AC1134" s="38"/>
      <c r="AD1134" s="38"/>
      <c r="AE1134" s="38"/>
      <c r="AF1134" s="38"/>
      <c r="AG1134" s="38"/>
      <c r="AH1134" s="38"/>
      <c r="AI1134" s="38"/>
      <c r="AJ1134" s="38"/>
      <c r="AK1134" s="38"/>
      <c r="AL1134" s="38"/>
      <c r="AM1134" s="38"/>
      <c r="AN1134" s="38"/>
      <c r="AO1134" s="38"/>
      <c r="AP1134" s="38"/>
      <c r="AQ1134" s="38"/>
      <c r="AR1134" s="38"/>
      <c r="AS1134" s="38"/>
      <c r="AT1134" s="38"/>
      <c r="AU1134" s="38"/>
      <c r="AV1134" s="38"/>
      <c r="AW1134" s="38"/>
      <c r="AX1134" s="38"/>
      <c r="AY1134" s="38"/>
      <c r="AZ1134" s="38"/>
      <c r="BA1134" s="38"/>
      <c r="BB1134" s="38"/>
      <c r="BC1134" s="38"/>
      <c r="BD1134" s="38"/>
      <c r="BE1134" s="38"/>
      <c r="BF1134" s="38"/>
      <c r="BG1134" s="38"/>
      <c r="BH1134" s="38"/>
      <c r="BI1134" s="38"/>
      <c r="BJ1134" s="38"/>
      <c r="BK1134" s="38"/>
      <c r="BL1134" s="38"/>
      <c r="BM1134" s="38"/>
      <c r="BN1134" s="38"/>
      <c r="BO1134" s="38"/>
      <c r="BP1134" s="38"/>
      <c r="BQ1134" s="38"/>
    </row>
    <row r="1135">
      <c r="A1135" s="58" t="s">
        <v>3478</v>
      </c>
      <c r="B1135" s="59"/>
      <c r="C1135" s="79">
        <v>43221.0</v>
      </c>
      <c r="D1135" s="60"/>
      <c r="E1135" s="58" t="s">
        <v>41</v>
      </c>
      <c r="F1135" s="58">
        <v>1.0</v>
      </c>
      <c r="G1135" s="58" t="s">
        <v>32</v>
      </c>
      <c r="H1135" s="43">
        <v>1.0</v>
      </c>
      <c r="I1135" s="58" t="s">
        <v>33</v>
      </c>
      <c r="J1135" s="58" t="s">
        <v>268</v>
      </c>
      <c r="K1135" s="58"/>
      <c r="L1135" s="58" t="s">
        <v>119</v>
      </c>
      <c r="M1135" s="61" t="s">
        <v>3479</v>
      </c>
      <c r="N1135" s="80"/>
      <c r="O1135" s="58"/>
      <c r="P1135" s="58"/>
      <c r="Q1135" s="58">
        <v>1.0</v>
      </c>
      <c r="R1135" s="62"/>
      <c r="S1135" s="37"/>
      <c r="T1135" s="38"/>
      <c r="U1135" s="38"/>
      <c r="V1135" s="38" t="s">
        <v>33</v>
      </c>
      <c r="W1135" s="40"/>
      <c r="X1135" s="40"/>
      <c r="Y1135" s="40"/>
      <c r="Z1135" s="38"/>
      <c r="AA1135" s="38"/>
      <c r="AB1135" s="38"/>
      <c r="AC1135" s="38"/>
      <c r="AD1135" s="38"/>
      <c r="AE1135" s="38"/>
      <c r="AF1135" s="38"/>
      <c r="AG1135" s="38"/>
      <c r="AH1135" s="38"/>
      <c r="AI1135" s="38"/>
      <c r="AJ1135" s="38"/>
      <c r="AK1135" s="38"/>
      <c r="AL1135" s="38"/>
      <c r="AM1135" s="38"/>
      <c r="AN1135" s="38"/>
      <c r="AO1135" s="38"/>
      <c r="AP1135" s="38"/>
      <c r="AQ1135" s="38"/>
      <c r="AR1135" s="38"/>
      <c r="AS1135" s="38"/>
      <c r="AT1135" s="38"/>
      <c r="AU1135" s="38"/>
      <c r="AV1135" s="38"/>
      <c r="AW1135" s="38"/>
      <c r="AX1135" s="38"/>
      <c r="AY1135" s="38"/>
      <c r="AZ1135" s="38"/>
      <c r="BA1135" s="38"/>
      <c r="BB1135" s="38"/>
      <c r="BC1135" s="38"/>
      <c r="BD1135" s="38"/>
      <c r="BE1135" s="38"/>
      <c r="BF1135" s="38"/>
      <c r="BG1135" s="38"/>
      <c r="BH1135" s="38"/>
      <c r="BI1135" s="38"/>
      <c r="BJ1135" s="38"/>
      <c r="BK1135" s="38"/>
      <c r="BL1135" s="38"/>
      <c r="BM1135" s="38"/>
      <c r="BN1135" s="38"/>
      <c r="BO1135" s="38"/>
      <c r="BP1135" s="38"/>
      <c r="BQ1135" s="38"/>
    </row>
    <row r="1136">
      <c r="A1136" s="58" t="s">
        <v>3480</v>
      </c>
      <c r="B1136" s="59"/>
      <c r="C1136" s="79">
        <v>43221.0</v>
      </c>
      <c r="D1136" s="60"/>
      <c r="E1136" s="58" t="s">
        <v>41</v>
      </c>
      <c r="F1136" s="58">
        <v>1.0</v>
      </c>
      <c r="G1136" s="58" t="s">
        <v>32</v>
      </c>
      <c r="H1136" s="43">
        <v>1.0</v>
      </c>
      <c r="I1136" s="58" t="s">
        <v>33</v>
      </c>
      <c r="J1136" s="58" t="s">
        <v>179</v>
      </c>
      <c r="K1136" s="58"/>
      <c r="L1136" s="58" t="s">
        <v>119</v>
      </c>
      <c r="M1136" s="61" t="s">
        <v>3481</v>
      </c>
      <c r="N1136" s="80"/>
      <c r="O1136" s="58"/>
      <c r="P1136" s="58"/>
      <c r="Q1136" s="58"/>
      <c r="R1136" s="62"/>
      <c r="S1136" s="37"/>
      <c r="T1136" s="38"/>
      <c r="U1136" s="38"/>
      <c r="V1136" s="38" t="s">
        <v>33</v>
      </c>
      <c r="W1136" s="40"/>
      <c r="X1136" s="40"/>
      <c r="Y1136" s="40"/>
      <c r="Z1136" s="38"/>
      <c r="AA1136" s="38"/>
      <c r="AB1136" s="38"/>
      <c r="AC1136" s="38"/>
      <c r="AD1136" s="38"/>
      <c r="AE1136" s="38"/>
      <c r="AF1136" s="38"/>
      <c r="AG1136" s="38"/>
      <c r="AH1136" s="38"/>
      <c r="AI1136" s="38"/>
      <c r="AJ1136" s="38"/>
      <c r="AK1136" s="38"/>
      <c r="AL1136" s="38"/>
      <c r="AM1136" s="38"/>
      <c r="AN1136" s="38"/>
      <c r="AO1136" s="38"/>
      <c r="AP1136" s="38"/>
      <c r="AQ1136" s="38"/>
      <c r="AR1136" s="38"/>
      <c r="AS1136" s="38"/>
      <c r="AT1136" s="38"/>
      <c r="AU1136" s="38"/>
      <c r="AV1136" s="38"/>
      <c r="AW1136" s="38"/>
      <c r="AX1136" s="38"/>
      <c r="AY1136" s="38"/>
      <c r="AZ1136" s="38"/>
      <c r="BA1136" s="38"/>
      <c r="BB1136" s="38"/>
      <c r="BC1136" s="38"/>
      <c r="BD1136" s="38"/>
      <c r="BE1136" s="38"/>
      <c r="BF1136" s="38"/>
      <c r="BG1136" s="38"/>
      <c r="BH1136" s="38"/>
      <c r="BI1136" s="38"/>
      <c r="BJ1136" s="38"/>
      <c r="BK1136" s="38"/>
      <c r="BL1136" s="38"/>
      <c r="BM1136" s="38"/>
      <c r="BN1136" s="38"/>
      <c r="BO1136" s="38"/>
      <c r="BP1136" s="38"/>
      <c r="BQ1136" s="38"/>
    </row>
    <row r="1137">
      <c r="A1137" s="58" t="s">
        <v>3482</v>
      </c>
      <c r="B1137" s="59"/>
      <c r="C1137" s="79">
        <v>43221.0</v>
      </c>
      <c r="D1137" s="60"/>
      <c r="E1137" s="58" t="s">
        <v>31</v>
      </c>
      <c r="F1137" s="58">
        <v>1.0</v>
      </c>
      <c r="G1137" s="58" t="s">
        <v>32</v>
      </c>
      <c r="H1137" s="43">
        <v>1.0</v>
      </c>
      <c r="I1137" s="58" t="s">
        <v>33</v>
      </c>
      <c r="J1137" s="58" t="s">
        <v>222</v>
      </c>
      <c r="K1137" s="58"/>
      <c r="L1137" s="58" t="s">
        <v>99</v>
      </c>
      <c r="M1137" s="61" t="s">
        <v>3483</v>
      </c>
      <c r="N1137" s="80"/>
      <c r="O1137" s="58"/>
      <c r="P1137" s="58"/>
      <c r="Q1137" s="58"/>
      <c r="R1137" s="62"/>
      <c r="S1137" s="37" t="str">
        <f>IFERROR(__xludf.DUMMYFUNCTION("if(not(iserror(index(split(C1137, "" ""),2))), index(split(C1137, "" ""),1),"""")"),"May,")</f>
        <v>May,</v>
      </c>
      <c r="T1137" s="38">
        <f>IFERROR(__xludf.DUMMYFUNCTION("if(S1137="""",C1137,if(not(iserror(index(split(C1137, "" ""),3))), index(split(C1137, "" ""),3),index(split(C1137, "" ""),2)))"),2018.0)</f>
        <v>2018</v>
      </c>
      <c r="U1137" s="38" t="b">
        <f t="shared" ref="U1137:U1139" si="170">countif(A$4:A4658, A1137)&gt;1</f>
        <v>0</v>
      </c>
      <c r="V1137" s="38" t="s">
        <v>33</v>
      </c>
      <c r="W1137" s="39" t="s">
        <v>3483</v>
      </c>
      <c r="X1137" s="39" t="s">
        <v>3484</v>
      </c>
      <c r="Y1137" s="40"/>
      <c r="Z1137" s="38"/>
      <c r="AA1137" s="38"/>
      <c r="AB1137" s="38"/>
      <c r="AC1137" s="38"/>
      <c r="AD1137" s="38"/>
      <c r="AE1137" s="38"/>
      <c r="AF1137" s="38"/>
      <c r="AG1137" s="38"/>
      <c r="AH1137" s="38"/>
      <c r="AI1137" s="38"/>
      <c r="AJ1137" s="38"/>
      <c r="AK1137" s="38"/>
      <c r="AL1137" s="38"/>
      <c r="AM1137" s="38"/>
      <c r="AN1137" s="38"/>
      <c r="AO1137" s="38"/>
      <c r="AP1137" s="38"/>
      <c r="AQ1137" s="38"/>
      <c r="AR1137" s="38"/>
      <c r="AS1137" s="38"/>
      <c r="AT1137" s="38"/>
      <c r="AU1137" s="38"/>
      <c r="AV1137" s="38"/>
      <c r="AW1137" s="38"/>
      <c r="AX1137" s="38"/>
      <c r="AY1137" s="38"/>
      <c r="AZ1137" s="38"/>
      <c r="BA1137" s="38"/>
      <c r="BB1137" s="38"/>
      <c r="BC1137" s="38"/>
      <c r="BD1137" s="38"/>
      <c r="BE1137" s="38"/>
      <c r="BF1137" s="38"/>
      <c r="BG1137" s="38"/>
      <c r="BH1137" s="38"/>
      <c r="BI1137" s="38"/>
      <c r="BJ1137" s="38"/>
      <c r="BK1137" s="38"/>
      <c r="BL1137" s="38"/>
      <c r="BM1137" s="38"/>
      <c r="BN1137" s="38"/>
      <c r="BO1137" s="38"/>
      <c r="BP1137" s="38"/>
      <c r="BQ1137" s="38"/>
    </row>
    <row r="1138">
      <c r="A1138" s="58" t="s">
        <v>3485</v>
      </c>
      <c r="B1138" s="59">
        <v>43440.0</v>
      </c>
      <c r="C1138" s="59">
        <v>43221.0</v>
      </c>
      <c r="D1138" s="60" t="s">
        <v>3486</v>
      </c>
      <c r="E1138" s="58" t="s">
        <v>41</v>
      </c>
      <c r="F1138" s="58">
        <v>1.0</v>
      </c>
      <c r="G1138" s="58" t="s">
        <v>32</v>
      </c>
      <c r="H1138" s="33">
        <f t="shared" ref="H1138:H1139" si="171">if(G1138="Unknown",1,G1138)</f>
        <v>1</v>
      </c>
      <c r="I1138" s="58" t="s">
        <v>33</v>
      </c>
      <c r="J1138" s="58" t="s">
        <v>147</v>
      </c>
      <c r="K1138" s="58">
        <v>2.0</v>
      </c>
      <c r="L1138" s="58" t="s">
        <v>69</v>
      </c>
      <c r="M1138" s="61" t="s">
        <v>3487</v>
      </c>
      <c r="N1138" s="61" t="s">
        <v>3488</v>
      </c>
      <c r="O1138" s="88" t="str">
        <f>hyperlink("https://bad-boys.us/?q=WD-TX/7:18-cr-00148", "WD-TX 7:18-cr-00148")</f>
        <v>WD-TX 7:18-cr-00148</v>
      </c>
      <c r="P1138" s="88" t="s">
        <v>3489</v>
      </c>
      <c r="Q1138" s="84">
        <v>1.0</v>
      </c>
      <c r="R1138" s="62"/>
      <c r="S1138" s="37" t="str">
        <f>IFERROR(__xludf.DUMMYFUNCTION("if(not(iserror(index(split(C1138, "" ""),2))), index(split(C1138, "" ""),1),"""")"),"May")</f>
        <v>May</v>
      </c>
      <c r="T1138" s="38">
        <f>IFERROR(__xludf.DUMMYFUNCTION("if(S1138="""",C1138,if(not(iserror(index(split(C1138, "" ""),3))), index(split(C1138, "" ""),3),index(split(C1138, "" ""),2)))"),2018.0)</f>
        <v>2018</v>
      </c>
      <c r="U1138" s="38" t="b">
        <f t="shared" si="170"/>
        <v>0</v>
      </c>
      <c r="V1138" s="38"/>
      <c r="W1138" s="40"/>
      <c r="X1138" s="40"/>
      <c r="Y1138" s="40"/>
      <c r="Z1138" s="38"/>
      <c r="AA1138" s="38"/>
      <c r="AB1138" s="38"/>
      <c r="AC1138" s="38"/>
      <c r="AD1138" s="38"/>
      <c r="AE1138" s="38"/>
      <c r="AF1138" s="38"/>
      <c r="AG1138" s="38"/>
      <c r="AH1138" s="38"/>
      <c r="AI1138" s="38"/>
      <c r="AJ1138" s="38"/>
      <c r="AK1138" s="38"/>
      <c r="AL1138" s="38"/>
      <c r="AM1138" s="38"/>
      <c r="AN1138" s="38"/>
      <c r="AO1138" s="38"/>
      <c r="AP1138" s="38"/>
      <c r="AQ1138" s="38"/>
      <c r="AR1138" s="38"/>
      <c r="AS1138" s="38"/>
      <c r="AT1138" s="38"/>
      <c r="AU1138" s="38"/>
      <c r="AV1138" s="38"/>
      <c r="AW1138" s="38"/>
      <c r="AX1138" s="38"/>
      <c r="AY1138" s="38"/>
      <c r="AZ1138" s="38"/>
      <c r="BA1138" s="38"/>
      <c r="BB1138" s="38"/>
      <c r="BC1138" s="38"/>
      <c r="BD1138" s="38"/>
      <c r="BE1138" s="38"/>
      <c r="BF1138" s="38"/>
      <c r="BG1138" s="38"/>
      <c r="BH1138" s="38"/>
      <c r="BI1138" s="38"/>
      <c r="BJ1138" s="38"/>
      <c r="BK1138" s="38"/>
      <c r="BL1138" s="38"/>
      <c r="BM1138" s="38"/>
      <c r="BN1138" s="38"/>
      <c r="BO1138" s="38"/>
      <c r="BP1138" s="38"/>
      <c r="BQ1138" s="38"/>
    </row>
    <row r="1139">
      <c r="A1139" s="37" t="s">
        <v>3490</v>
      </c>
      <c r="B1139" s="59">
        <v>43231.0</v>
      </c>
      <c r="C1139" s="59">
        <v>43221.0</v>
      </c>
      <c r="D1139" s="60" t="s">
        <v>632</v>
      </c>
      <c r="E1139" s="58" t="s">
        <v>41</v>
      </c>
      <c r="F1139" s="58">
        <v>1.0</v>
      </c>
      <c r="G1139" s="58" t="s">
        <v>32</v>
      </c>
      <c r="H1139" s="33">
        <f t="shared" si="171"/>
        <v>1</v>
      </c>
      <c r="I1139" s="58" t="s">
        <v>33</v>
      </c>
      <c r="J1139" s="58" t="s">
        <v>93</v>
      </c>
      <c r="K1139" s="58">
        <v>2.0</v>
      </c>
      <c r="L1139" s="34" t="s">
        <v>119</v>
      </c>
      <c r="M1139" s="80" t="s">
        <v>3491</v>
      </c>
      <c r="N1139" s="77"/>
      <c r="O1139" s="58"/>
      <c r="P1139" s="58"/>
      <c r="Q1139" s="58">
        <v>1.0</v>
      </c>
      <c r="R1139" s="62"/>
      <c r="S1139" s="37" t="str">
        <f>IFERROR(__xludf.DUMMYFUNCTION("if(not(iserror(index(split(C1139, "" ""),2))), index(split(C1139, "" ""),1),"""")"),"May")</f>
        <v>May</v>
      </c>
      <c r="T1139" s="38">
        <f>IFERROR(__xludf.DUMMYFUNCTION("if(S1139="""",C1139,if(not(iserror(index(split(C1139, "" ""),3))), index(split(C1139, "" ""),3),index(split(C1139, "" ""),2)))"),2018.0)</f>
        <v>2018</v>
      </c>
      <c r="U1139" s="38" t="b">
        <f t="shared" si="170"/>
        <v>0</v>
      </c>
      <c r="V1139" s="38" t="s">
        <v>33</v>
      </c>
      <c r="W1139" s="40"/>
      <c r="X1139" s="40"/>
      <c r="Y1139" s="40"/>
      <c r="Z1139" s="38"/>
      <c r="AA1139" s="38"/>
      <c r="AB1139" s="38"/>
      <c r="AC1139" s="38"/>
      <c r="AD1139" s="38"/>
      <c r="AE1139" s="38"/>
      <c r="AF1139" s="38"/>
      <c r="AG1139" s="38"/>
      <c r="AH1139" s="38"/>
      <c r="AI1139" s="38"/>
      <c r="AJ1139" s="38"/>
      <c r="AK1139" s="38"/>
      <c r="AL1139" s="38"/>
      <c r="AM1139" s="38"/>
      <c r="AN1139" s="38"/>
      <c r="AO1139" s="38"/>
      <c r="AP1139" s="38"/>
      <c r="AQ1139" s="38"/>
      <c r="AR1139" s="38"/>
      <c r="AS1139" s="38"/>
      <c r="AT1139" s="38"/>
      <c r="AU1139" s="38"/>
      <c r="AV1139" s="38"/>
      <c r="AW1139" s="38"/>
      <c r="AX1139" s="38"/>
      <c r="AY1139" s="38"/>
      <c r="AZ1139" s="38"/>
      <c r="BA1139" s="38"/>
      <c r="BB1139" s="38"/>
      <c r="BC1139" s="38"/>
      <c r="BD1139" s="38"/>
      <c r="BE1139" s="38"/>
      <c r="BF1139" s="38"/>
      <c r="BG1139" s="38"/>
      <c r="BH1139" s="38"/>
      <c r="BI1139" s="38"/>
      <c r="BJ1139" s="38"/>
      <c r="BK1139" s="38"/>
      <c r="BL1139" s="38"/>
      <c r="BM1139" s="38"/>
      <c r="BN1139" s="38"/>
      <c r="BO1139" s="38"/>
      <c r="BP1139" s="38"/>
      <c r="BQ1139" s="38"/>
    </row>
    <row r="1140">
      <c r="A1140" s="37" t="s">
        <v>3388</v>
      </c>
      <c r="B1140" s="59"/>
      <c r="C1140" s="59">
        <v>43221.0</v>
      </c>
      <c r="D1140" s="60"/>
      <c r="E1140" s="58" t="s">
        <v>41</v>
      </c>
      <c r="F1140" s="58">
        <v>1.0</v>
      </c>
      <c r="G1140" s="58" t="s">
        <v>32</v>
      </c>
      <c r="H1140" s="43">
        <v>1.0</v>
      </c>
      <c r="I1140" s="58" t="s">
        <v>33</v>
      </c>
      <c r="J1140" s="58" t="s">
        <v>93</v>
      </c>
      <c r="K1140" s="58"/>
      <c r="L1140" s="34" t="s">
        <v>76</v>
      </c>
      <c r="M1140" s="61" t="s">
        <v>3492</v>
      </c>
      <c r="N1140" s="77"/>
      <c r="O1140" s="58"/>
      <c r="P1140" s="58"/>
      <c r="Q1140" s="58">
        <v>1.0</v>
      </c>
      <c r="R1140" s="62"/>
      <c r="S1140" s="37"/>
      <c r="T1140" s="38"/>
      <c r="U1140" s="38"/>
      <c r="V1140" s="38" t="s">
        <v>33</v>
      </c>
      <c r="W1140" s="40"/>
      <c r="X1140" s="40"/>
      <c r="Y1140" s="40"/>
      <c r="Z1140" s="38"/>
      <c r="AA1140" s="38"/>
      <c r="AB1140" s="38"/>
      <c r="AC1140" s="38"/>
      <c r="AD1140" s="38"/>
      <c r="AE1140" s="38"/>
      <c r="AF1140" s="38"/>
      <c r="AG1140" s="38"/>
      <c r="AH1140" s="38"/>
      <c r="AI1140" s="38"/>
      <c r="AJ1140" s="38"/>
      <c r="AK1140" s="38"/>
      <c r="AL1140" s="38"/>
      <c r="AM1140" s="38"/>
      <c r="AN1140" s="38"/>
      <c r="AO1140" s="38"/>
      <c r="AP1140" s="38"/>
      <c r="AQ1140" s="38"/>
      <c r="AR1140" s="38"/>
      <c r="AS1140" s="38"/>
      <c r="AT1140" s="38"/>
      <c r="AU1140" s="38"/>
      <c r="AV1140" s="38"/>
      <c r="AW1140" s="38"/>
      <c r="AX1140" s="38"/>
      <c r="AY1140" s="38"/>
      <c r="AZ1140" s="38"/>
      <c r="BA1140" s="38"/>
      <c r="BB1140" s="38"/>
      <c r="BC1140" s="38"/>
      <c r="BD1140" s="38"/>
      <c r="BE1140" s="38"/>
      <c r="BF1140" s="38"/>
      <c r="BG1140" s="38"/>
      <c r="BH1140" s="38"/>
      <c r="BI1140" s="38"/>
      <c r="BJ1140" s="38"/>
      <c r="BK1140" s="38"/>
      <c r="BL1140" s="38"/>
      <c r="BM1140" s="38"/>
      <c r="BN1140" s="38"/>
      <c r="BO1140" s="38"/>
      <c r="BP1140" s="38"/>
      <c r="BQ1140" s="38"/>
    </row>
    <row r="1141">
      <c r="A1141" s="13" t="s">
        <v>3493</v>
      </c>
      <c r="B1141" s="30">
        <v>43222.0</v>
      </c>
      <c r="C1141" s="30">
        <v>43221.0</v>
      </c>
      <c r="D1141" s="32" t="s">
        <v>3486</v>
      </c>
      <c r="E1141" s="13" t="s">
        <v>41</v>
      </c>
      <c r="F1141" s="13">
        <v>1.0</v>
      </c>
      <c r="G1141" s="13" t="s">
        <v>32</v>
      </c>
      <c r="H1141" s="33">
        <f>if(G1141="Unknown",1,G1141)</f>
        <v>1</v>
      </c>
      <c r="I1141" s="13" t="s">
        <v>33</v>
      </c>
      <c r="J1141" s="13" t="s">
        <v>55</v>
      </c>
      <c r="K1141" s="13">
        <v>1.0</v>
      </c>
      <c r="L1141" s="13" t="s">
        <v>76</v>
      </c>
      <c r="M1141" s="56" t="s">
        <v>3494</v>
      </c>
      <c r="N1141" s="36" t="s">
        <v>3495</v>
      </c>
      <c r="O1141" s="86" t="str">
        <f>hyperlink("https://bad-boys.us/?q=D-NJ/3:18-cr-00304", "D-NJ 3:18-cr-00304")</f>
        <v>D-NJ 3:18-cr-00304</v>
      </c>
      <c r="P1141" s="86" t="s">
        <v>3496</v>
      </c>
      <c r="Q1141" s="37">
        <v>1.0</v>
      </c>
      <c r="R1141" s="16"/>
      <c r="S1141" s="37" t="str">
        <f>IFERROR(__xludf.DUMMYFUNCTION("if(not(iserror(index(split(C1141, "" ""),2))), index(split(C1141, "" ""),1),"""")"),"May")</f>
        <v>May</v>
      </c>
      <c r="T1141" s="38">
        <f>IFERROR(__xludf.DUMMYFUNCTION("if(S1141="""",C1141,if(not(iserror(index(split(C1141, "" ""),3))), index(split(C1141, "" ""),3),index(split(C1141, "" ""),2)))"),2018.0)</f>
        <v>2018</v>
      </c>
      <c r="U1141" s="38" t="b">
        <f t="shared" ref="U1141:U1168" si="172">countif(A$4:A4658, A1141)&gt;1</f>
        <v>0</v>
      </c>
      <c r="V1141" s="38" t="s">
        <v>33</v>
      </c>
      <c r="W1141" s="40"/>
      <c r="X1141" s="40"/>
      <c r="Y1141" s="40"/>
      <c r="Z1141" s="38"/>
      <c r="AA1141" s="38"/>
      <c r="AB1141" s="38"/>
      <c r="AC1141" s="38"/>
      <c r="AD1141" s="38"/>
      <c r="AE1141" s="38"/>
      <c r="AF1141" s="38"/>
      <c r="AG1141" s="38"/>
      <c r="AH1141" s="38"/>
      <c r="AI1141" s="38"/>
      <c r="AJ1141" s="38"/>
      <c r="AK1141" s="38"/>
      <c r="AL1141" s="38"/>
      <c r="AM1141" s="38"/>
      <c r="AN1141" s="38"/>
      <c r="AO1141" s="38"/>
      <c r="AP1141" s="38"/>
      <c r="AQ1141" s="38"/>
      <c r="AR1141" s="38"/>
      <c r="AS1141" s="38"/>
      <c r="AT1141" s="38"/>
      <c r="AU1141" s="38"/>
      <c r="AV1141" s="38"/>
      <c r="AW1141" s="38"/>
      <c r="AX1141" s="38"/>
      <c r="AY1141" s="38"/>
      <c r="AZ1141" s="38"/>
      <c r="BA1141" s="38"/>
      <c r="BB1141" s="38"/>
      <c r="BC1141" s="38"/>
      <c r="BD1141" s="38"/>
      <c r="BE1141" s="38"/>
      <c r="BF1141" s="38"/>
      <c r="BG1141" s="38"/>
      <c r="BH1141" s="38"/>
      <c r="BI1141" s="38"/>
      <c r="BJ1141" s="38"/>
      <c r="BK1141" s="38"/>
      <c r="BL1141" s="38"/>
      <c r="BM1141" s="38"/>
      <c r="BN1141" s="38"/>
      <c r="BO1141" s="38"/>
      <c r="BP1141" s="38"/>
      <c r="BQ1141" s="38"/>
    </row>
    <row r="1142">
      <c r="A1142" s="37" t="s">
        <v>3497</v>
      </c>
      <c r="B1142" s="30">
        <v>43222.0</v>
      </c>
      <c r="C1142" s="30">
        <v>43221.0</v>
      </c>
      <c r="D1142" s="32" t="s">
        <v>3486</v>
      </c>
      <c r="E1142" s="13" t="s">
        <v>41</v>
      </c>
      <c r="F1142" s="13">
        <v>1.0</v>
      </c>
      <c r="G1142" s="13" t="s">
        <v>32</v>
      </c>
      <c r="H1142" s="50">
        <v>1.0</v>
      </c>
      <c r="I1142" s="13" t="s">
        <v>33</v>
      </c>
      <c r="J1142" s="13" t="s">
        <v>279</v>
      </c>
      <c r="K1142" s="13">
        <v>2.0</v>
      </c>
      <c r="L1142" s="13" t="s">
        <v>119</v>
      </c>
      <c r="M1142" s="36" t="s">
        <v>3072</v>
      </c>
      <c r="N1142" s="15"/>
      <c r="O1142" s="57" t="str">
        <f>hyperlink("https://bad-boys.us/?q=WD-MO/3:18-cr-05016", "WD-MO 3:18-cr-05016")</f>
        <v>WD-MO 3:18-cr-05016</v>
      </c>
      <c r="P1142" s="86" t="s">
        <v>3073</v>
      </c>
      <c r="Q1142" s="37">
        <v>1.0</v>
      </c>
      <c r="R1142" s="16"/>
      <c r="S1142" s="37" t="str">
        <f>IFERROR(__xludf.DUMMYFUNCTION("if(not(iserror(index(split(C1142, "" ""),2))), index(split(C1142, "" ""),1),"""")"),"May")</f>
        <v>May</v>
      </c>
      <c r="T1142" s="38">
        <f>IFERROR(__xludf.DUMMYFUNCTION("if(S1142="""",C1142,if(not(iserror(index(split(C1142, "" ""),3))), index(split(C1142, "" ""),3),index(split(C1142, "" ""),2)))"),2018.0)</f>
        <v>2018</v>
      </c>
      <c r="U1142" s="38" t="b">
        <f t="shared" si="172"/>
        <v>0</v>
      </c>
      <c r="V1142" s="38"/>
      <c r="W1142" s="40"/>
      <c r="X1142" s="40"/>
      <c r="Y1142" s="40"/>
      <c r="Z1142" s="38"/>
      <c r="AA1142" s="38"/>
      <c r="AB1142" s="38"/>
      <c r="AC1142" s="38"/>
      <c r="AD1142" s="38"/>
      <c r="AE1142" s="38"/>
      <c r="AF1142" s="38"/>
      <c r="AG1142" s="38"/>
      <c r="AH1142" s="38"/>
      <c r="AI1142" s="38"/>
      <c r="AJ1142" s="38"/>
      <c r="AK1142" s="38"/>
      <c r="AL1142" s="38"/>
      <c r="AM1142" s="38"/>
      <c r="AN1142" s="38"/>
      <c r="AO1142" s="38"/>
      <c r="AP1142" s="38"/>
      <c r="AQ1142" s="38"/>
      <c r="AR1142" s="38"/>
      <c r="AS1142" s="38"/>
      <c r="AT1142" s="38"/>
      <c r="AU1142" s="38"/>
      <c r="AV1142" s="38"/>
      <c r="AW1142" s="38"/>
      <c r="AX1142" s="38"/>
      <c r="AY1142" s="38"/>
      <c r="AZ1142" s="38"/>
      <c r="BA1142" s="38"/>
      <c r="BB1142" s="38"/>
      <c r="BC1142" s="38"/>
      <c r="BD1142" s="38"/>
      <c r="BE1142" s="38"/>
      <c r="BF1142" s="38"/>
      <c r="BG1142" s="38"/>
      <c r="BH1142" s="38"/>
      <c r="BI1142" s="38"/>
      <c r="BJ1142" s="38"/>
      <c r="BK1142" s="38"/>
      <c r="BL1142" s="38"/>
      <c r="BM1142" s="38"/>
      <c r="BN1142" s="38"/>
      <c r="BO1142" s="38"/>
      <c r="BP1142" s="38"/>
      <c r="BQ1142" s="38"/>
    </row>
    <row r="1143">
      <c r="A1143" s="37" t="s">
        <v>3498</v>
      </c>
      <c r="B1143" s="30">
        <v>43222.0</v>
      </c>
      <c r="C1143" s="30">
        <v>43221.0</v>
      </c>
      <c r="D1143" s="32" t="s">
        <v>3486</v>
      </c>
      <c r="E1143" s="13" t="s">
        <v>41</v>
      </c>
      <c r="F1143" s="13">
        <v>1.0</v>
      </c>
      <c r="G1143" s="13" t="s">
        <v>32</v>
      </c>
      <c r="H1143" s="50">
        <v>1.0</v>
      </c>
      <c r="I1143" s="13" t="s">
        <v>33</v>
      </c>
      <c r="J1143" s="13" t="s">
        <v>279</v>
      </c>
      <c r="K1143" s="13">
        <v>2.0</v>
      </c>
      <c r="L1143" s="13" t="s">
        <v>119</v>
      </c>
      <c r="M1143" s="36" t="s">
        <v>3072</v>
      </c>
      <c r="N1143" s="15"/>
      <c r="O1143" s="57" t="str">
        <f>hyperlink("https://bad-boys.us/?q=WD-MO/3:18-cr-05017", "WD-MO 3:18-cr-05017")</f>
        <v>WD-MO 3:18-cr-05017</v>
      </c>
      <c r="P1143" s="86" t="s">
        <v>3499</v>
      </c>
      <c r="Q1143" s="37">
        <v>1.0</v>
      </c>
      <c r="R1143" s="16"/>
      <c r="S1143" s="37" t="str">
        <f>IFERROR(__xludf.DUMMYFUNCTION("if(not(iserror(index(split(C1143, "" ""),2))), index(split(C1143, "" ""),1),"""")"),"May")</f>
        <v>May</v>
      </c>
      <c r="T1143" s="38">
        <f>IFERROR(__xludf.DUMMYFUNCTION("if(S1143="""",C1143,if(not(iserror(index(split(C1143, "" ""),3))), index(split(C1143, "" ""),3),index(split(C1143, "" ""),2)))"),2018.0)</f>
        <v>2018</v>
      </c>
      <c r="U1143" s="38" t="b">
        <f t="shared" si="172"/>
        <v>0</v>
      </c>
      <c r="V1143" s="38"/>
      <c r="W1143" s="40"/>
      <c r="X1143" s="40"/>
      <c r="Y1143" s="40"/>
      <c r="Z1143" s="38"/>
      <c r="AA1143" s="38"/>
      <c r="AB1143" s="38"/>
      <c r="AC1143" s="38"/>
      <c r="AD1143" s="38"/>
      <c r="AE1143" s="38"/>
      <c r="AF1143" s="38"/>
      <c r="AG1143" s="38"/>
      <c r="AH1143" s="38"/>
      <c r="AI1143" s="38"/>
      <c r="AJ1143" s="38"/>
      <c r="AK1143" s="38"/>
      <c r="AL1143" s="38"/>
      <c r="AM1143" s="38"/>
      <c r="AN1143" s="38"/>
      <c r="AO1143" s="38"/>
      <c r="AP1143" s="38"/>
      <c r="AQ1143" s="38"/>
      <c r="AR1143" s="38"/>
      <c r="AS1143" s="38"/>
      <c r="AT1143" s="38"/>
      <c r="AU1143" s="38"/>
      <c r="AV1143" s="38"/>
      <c r="AW1143" s="38"/>
      <c r="AX1143" s="38"/>
      <c r="AY1143" s="38"/>
      <c r="AZ1143" s="38"/>
      <c r="BA1143" s="38"/>
      <c r="BB1143" s="38"/>
      <c r="BC1143" s="38"/>
      <c r="BD1143" s="38"/>
      <c r="BE1143" s="38"/>
      <c r="BF1143" s="38"/>
      <c r="BG1143" s="38"/>
      <c r="BH1143" s="38"/>
      <c r="BI1143" s="38"/>
      <c r="BJ1143" s="38"/>
      <c r="BK1143" s="38"/>
      <c r="BL1143" s="38"/>
      <c r="BM1143" s="38"/>
      <c r="BN1143" s="38"/>
      <c r="BO1143" s="38"/>
      <c r="BP1143" s="38"/>
      <c r="BQ1143" s="38"/>
    </row>
    <row r="1144">
      <c r="A1144" s="37" t="s">
        <v>40</v>
      </c>
      <c r="B1144" s="59">
        <v>43256.0</v>
      </c>
      <c r="C1144" s="59">
        <v>43221.0</v>
      </c>
      <c r="D1144" s="60" t="s">
        <v>3114</v>
      </c>
      <c r="E1144" s="58" t="s">
        <v>41</v>
      </c>
      <c r="F1144" s="58">
        <v>158.0</v>
      </c>
      <c r="G1144" s="58">
        <v>149.0</v>
      </c>
      <c r="H1144" s="33">
        <f t="shared" ref="H1144:H1168" si="173">if(G1144="Unknown",1,G1144)</f>
        <v>149</v>
      </c>
      <c r="I1144" s="58" t="s">
        <v>33</v>
      </c>
      <c r="J1144" s="58" t="s">
        <v>98</v>
      </c>
      <c r="K1144" s="58">
        <v>38.0</v>
      </c>
      <c r="L1144" s="58" t="s">
        <v>3500</v>
      </c>
      <c r="M1144" s="61" t="s">
        <v>3501</v>
      </c>
      <c r="N1144" s="77"/>
      <c r="O1144" s="62"/>
      <c r="P1144" s="62"/>
      <c r="Q1144" s="62"/>
      <c r="R1144" s="62"/>
      <c r="S1144" s="37" t="str">
        <f>IFERROR(__xludf.DUMMYFUNCTION("if(not(iserror(index(split(C1144, "" ""),2))), index(split(C1144, "" ""),1),"""")"),"May")</f>
        <v>May</v>
      </c>
      <c r="T1144" s="38">
        <f>IFERROR(__xludf.DUMMYFUNCTION("if(S1144="""",C1144,if(not(iserror(index(split(C1144, "" ""),3))), index(split(C1144, "" ""),3),index(split(C1144, "" ""),2)))"),2018.0)</f>
        <v>2018</v>
      </c>
      <c r="U1144" s="38" t="b">
        <f t="shared" si="172"/>
        <v>1</v>
      </c>
      <c r="V1144" s="38"/>
      <c r="W1144" s="40"/>
      <c r="X1144" s="40"/>
      <c r="Y1144" s="40"/>
      <c r="Z1144" s="38"/>
      <c r="AA1144" s="38"/>
      <c r="AB1144" s="38"/>
      <c r="AC1144" s="38"/>
      <c r="AD1144" s="38"/>
      <c r="AE1144" s="38"/>
      <c r="AF1144" s="38"/>
      <c r="AG1144" s="38"/>
      <c r="AH1144" s="38"/>
      <c r="AI1144" s="38"/>
      <c r="AJ1144" s="38"/>
      <c r="AK1144" s="38"/>
      <c r="AL1144" s="38"/>
      <c r="AM1144" s="38"/>
      <c r="AN1144" s="38"/>
      <c r="AO1144" s="38"/>
      <c r="AP1144" s="38"/>
      <c r="AQ1144" s="38"/>
      <c r="AR1144" s="38"/>
      <c r="AS1144" s="38"/>
      <c r="AT1144" s="38"/>
      <c r="AU1144" s="38"/>
      <c r="AV1144" s="38"/>
      <c r="AW1144" s="38"/>
      <c r="AX1144" s="38"/>
      <c r="AY1144" s="38"/>
      <c r="AZ1144" s="38"/>
      <c r="BA1144" s="38"/>
      <c r="BB1144" s="38"/>
      <c r="BC1144" s="38"/>
      <c r="BD1144" s="38"/>
      <c r="BE1144" s="38"/>
      <c r="BF1144" s="38"/>
      <c r="BG1144" s="38"/>
      <c r="BH1144" s="38"/>
      <c r="BI1144" s="38"/>
      <c r="BJ1144" s="38"/>
      <c r="BK1144" s="38"/>
      <c r="BL1144" s="38"/>
      <c r="BM1144" s="38"/>
      <c r="BN1144" s="38"/>
      <c r="BO1144" s="38"/>
      <c r="BP1144" s="38"/>
      <c r="BQ1144" s="38"/>
    </row>
    <row r="1145">
      <c r="A1145" s="13" t="s">
        <v>3502</v>
      </c>
      <c r="B1145" s="30">
        <v>43222.0</v>
      </c>
      <c r="C1145" s="30">
        <v>43221.0</v>
      </c>
      <c r="D1145" s="32" t="s">
        <v>3486</v>
      </c>
      <c r="E1145" s="13" t="s">
        <v>31</v>
      </c>
      <c r="F1145" s="13">
        <v>1.0</v>
      </c>
      <c r="G1145" s="13" t="s">
        <v>32</v>
      </c>
      <c r="H1145" s="33">
        <f t="shared" si="173"/>
        <v>1</v>
      </c>
      <c r="I1145" s="13" t="s">
        <v>33</v>
      </c>
      <c r="J1145" s="13" t="s">
        <v>147</v>
      </c>
      <c r="K1145" s="13">
        <v>1.0</v>
      </c>
      <c r="L1145" s="13" t="s">
        <v>349</v>
      </c>
      <c r="M1145" s="35" t="s">
        <v>3503</v>
      </c>
      <c r="N1145" s="15"/>
      <c r="O1145" s="16"/>
      <c r="P1145" s="16"/>
      <c r="Q1145" s="16"/>
      <c r="R1145" s="16"/>
      <c r="S1145" s="37" t="str">
        <f>IFERROR(__xludf.DUMMYFUNCTION("if(not(iserror(index(split(C1145, "" ""),2))), index(split(C1145, "" ""),1),"""")"),"May")</f>
        <v>May</v>
      </c>
      <c r="T1145" s="38">
        <f>IFERROR(__xludf.DUMMYFUNCTION("if(S1145="""",C1145,if(not(iserror(index(split(C1145, "" ""),3))), index(split(C1145, "" ""),3),index(split(C1145, "" ""),2)))"),2018.0)</f>
        <v>2018</v>
      </c>
      <c r="U1145" s="38" t="b">
        <f t="shared" si="172"/>
        <v>0</v>
      </c>
      <c r="V1145" s="38"/>
      <c r="W1145" s="40"/>
      <c r="X1145" s="40"/>
      <c r="Y1145" s="40"/>
      <c r="Z1145" s="38"/>
      <c r="AA1145" s="38"/>
      <c r="AB1145" s="38"/>
      <c r="AC1145" s="38"/>
      <c r="AD1145" s="38"/>
      <c r="AE1145" s="38"/>
      <c r="AF1145" s="38"/>
      <c r="AG1145" s="38"/>
      <c r="AH1145" s="38"/>
      <c r="AI1145" s="38"/>
      <c r="AJ1145" s="38"/>
      <c r="AK1145" s="38"/>
      <c r="AL1145" s="38"/>
      <c r="AM1145" s="38"/>
      <c r="AN1145" s="38"/>
      <c r="AO1145" s="38"/>
      <c r="AP1145" s="38"/>
      <c r="AQ1145" s="38"/>
      <c r="AR1145" s="38"/>
      <c r="AS1145" s="38"/>
      <c r="AT1145" s="38"/>
      <c r="AU1145" s="38"/>
      <c r="AV1145" s="38"/>
      <c r="AW1145" s="38"/>
      <c r="AX1145" s="38"/>
      <c r="AY1145" s="38"/>
      <c r="AZ1145" s="38"/>
      <c r="BA1145" s="38"/>
      <c r="BB1145" s="38"/>
      <c r="BC1145" s="38"/>
      <c r="BD1145" s="38"/>
      <c r="BE1145" s="38"/>
      <c r="BF1145" s="38"/>
      <c r="BG1145" s="38"/>
      <c r="BH1145" s="38"/>
      <c r="BI1145" s="38"/>
      <c r="BJ1145" s="38"/>
      <c r="BK1145" s="38"/>
      <c r="BL1145" s="38"/>
      <c r="BM1145" s="38"/>
      <c r="BN1145" s="38"/>
      <c r="BO1145" s="38"/>
      <c r="BP1145" s="38"/>
      <c r="BQ1145" s="38"/>
    </row>
    <row r="1146">
      <c r="A1146" s="37" t="s">
        <v>3504</v>
      </c>
      <c r="B1146" s="59">
        <v>43228.0</v>
      </c>
      <c r="C1146" s="59">
        <v>43221.0</v>
      </c>
      <c r="D1146" s="60" t="s">
        <v>3505</v>
      </c>
      <c r="E1146" s="58" t="s">
        <v>31</v>
      </c>
      <c r="F1146" s="58">
        <v>2.0</v>
      </c>
      <c r="G1146" s="58" t="s">
        <v>32</v>
      </c>
      <c r="H1146" s="33">
        <f t="shared" si="173"/>
        <v>1</v>
      </c>
      <c r="I1146" s="58" t="s">
        <v>33</v>
      </c>
      <c r="J1146" s="58" t="s">
        <v>147</v>
      </c>
      <c r="K1146" s="58">
        <v>1.0</v>
      </c>
      <c r="L1146" s="34" t="s">
        <v>35</v>
      </c>
      <c r="M1146" s="36" t="s">
        <v>3506</v>
      </c>
      <c r="N1146" s="77"/>
      <c r="O1146" s="62"/>
      <c r="P1146" s="62"/>
      <c r="Q1146" s="62"/>
      <c r="R1146" s="62"/>
      <c r="S1146" s="37" t="str">
        <f>IFERROR(__xludf.DUMMYFUNCTION("if(not(iserror(index(split(C1146, "" ""),2))), index(split(C1146, "" ""),1),"""")"),"May")</f>
        <v>May</v>
      </c>
      <c r="T1146" s="38">
        <f>IFERROR(__xludf.DUMMYFUNCTION("if(S1146="""",C1146,if(not(iserror(index(split(C1146, "" ""),3))), index(split(C1146, "" ""),3),index(split(C1146, "" ""),2)))"),2018.0)</f>
        <v>2018</v>
      </c>
      <c r="U1146" s="38" t="b">
        <f t="shared" si="172"/>
        <v>0</v>
      </c>
      <c r="V1146" s="38"/>
      <c r="W1146" s="40"/>
      <c r="X1146" s="40"/>
      <c r="Y1146" s="40"/>
      <c r="Z1146" s="38"/>
      <c r="AA1146" s="38"/>
      <c r="AB1146" s="38"/>
      <c r="AC1146" s="38"/>
      <c r="AD1146" s="38"/>
      <c r="AE1146" s="38"/>
      <c r="AF1146" s="38"/>
      <c r="AG1146" s="38"/>
      <c r="AH1146" s="38"/>
      <c r="AI1146" s="38"/>
      <c r="AJ1146" s="38"/>
      <c r="AK1146" s="38"/>
      <c r="AL1146" s="38"/>
      <c r="AM1146" s="38"/>
      <c r="AN1146" s="38"/>
      <c r="AO1146" s="38"/>
      <c r="AP1146" s="38"/>
      <c r="AQ1146" s="38"/>
      <c r="AR1146" s="38"/>
      <c r="AS1146" s="38"/>
      <c r="AT1146" s="38"/>
      <c r="AU1146" s="38"/>
      <c r="AV1146" s="38"/>
      <c r="AW1146" s="38"/>
      <c r="AX1146" s="38"/>
      <c r="AY1146" s="38"/>
      <c r="AZ1146" s="38"/>
      <c r="BA1146" s="38"/>
      <c r="BB1146" s="38"/>
      <c r="BC1146" s="38"/>
      <c r="BD1146" s="38"/>
      <c r="BE1146" s="38"/>
      <c r="BF1146" s="38"/>
      <c r="BG1146" s="38"/>
      <c r="BH1146" s="38"/>
      <c r="BI1146" s="38"/>
      <c r="BJ1146" s="38"/>
      <c r="BK1146" s="38"/>
      <c r="BL1146" s="38"/>
      <c r="BM1146" s="38"/>
      <c r="BN1146" s="38"/>
      <c r="BO1146" s="38"/>
      <c r="BP1146" s="38"/>
      <c r="BQ1146" s="38"/>
    </row>
    <row r="1147">
      <c r="A1147" s="37" t="s">
        <v>40</v>
      </c>
      <c r="B1147" s="30">
        <v>43222.0</v>
      </c>
      <c r="C1147" s="30">
        <v>43221.0</v>
      </c>
      <c r="D1147" s="32" t="s">
        <v>820</v>
      </c>
      <c r="E1147" s="13" t="s">
        <v>41</v>
      </c>
      <c r="F1147" s="13">
        <v>5.0</v>
      </c>
      <c r="G1147" s="13">
        <v>21.0</v>
      </c>
      <c r="H1147" s="33">
        <f t="shared" si="173"/>
        <v>21</v>
      </c>
      <c r="I1147" s="13" t="s">
        <v>33</v>
      </c>
      <c r="J1147" s="13" t="s">
        <v>402</v>
      </c>
      <c r="K1147" s="13" t="s">
        <v>40</v>
      </c>
      <c r="L1147" s="13" t="s">
        <v>52</v>
      </c>
      <c r="M1147" s="36" t="s">
        <v>3507</v>
      </c>
      <c r="N1147" s="15"/>
      <c r="O1147" s="16"/>
      <c r="P1147" s="16"/>
      <c r="Q1147" s="16"/>
      <c r="R1147" s="16"/>
      <c r="S1147" s="37" t="str">
        <f>IFERROR(__xludf.DUMMYFUNCTION("if(not(iserror(index(split(C1147, "" ""),2))), index(split(C1147, "" ""),1),"""")"),"May")</f>
        <v>May</v>
      </c>
      <c r="T1147" s="38">
        <f>IFERROR(__xludf.DUMMYFUNCTION("if(S1147="""",C1147,if(not(iserror(index(split(C1147, "" ""),3))), index(split(C1147, "" ""),3),index(split(C1147, "" ""),2)))"),2018.0)</f>
        <v>2018</v>
      </c>
      <c r="U1147" s="38" t="b">
        <f t="shared" si="172"/>
        <v>1</v>
      </c>
      <c r="V1147" s="38"/>
      <c r="W1147" s="40"/>
      <c r="X1147" s="40"/>
      <c r="Y1147" s="40"/>
      <c r="Z1147" s="38"/>
      <c r="AA1147" s="38"/>
      <c r="AB1147" s="38"/>
      <c r="AC1147" s="38"/>
      <c r="AD1147" s="38"/>
      <c r="AE1147" s="38"/>
      <c r="AF1147" s="38"/>
      <c r="AG1147" s="38"/>
      <c r="AH1147" s="38"/>
      <c r="AI1147" s="38"/>
      <c r="AJ1147" s="38"/>
      <c r="AK1147" s="38"/>
      <c r="AL1147" s="38"/>
      <c r="AM1147" s="38"/>
      <c r="AN1147" s="38"/>
      <c r="AO1147" s="38"/>
      <c r="AP1147" s="38"/>
      <c r="AQ1147" s="38"/>
      <c r="AR1147" s="38"/>
      <c r="AS1147" s="38"/>
      <c r="AT1147" s="38"/>
      <c r="AU1147" s="38"/>
      <c r="AV1147" s="38"/>
      <c r="AW1147" s="38"/>
      <c r="AX1147" s="38"/>
      <c r="AY1147" s="38"/>
      <c r="AZ1147" s="38"/>
      <c r="BA1147" s="38"/>
      <c r="BB1147" s="38"/>
      <c r="BC1147" s="38"/>
      <c r="BD1147" s="38"/>
      <c r="BE1147" s="38"/>
      <c r="BF1147" s="38"/>
      <c r="BG1147" s="38"/>
      <c r="BH1147" s="38"/>
      <c r="BI1147" s="38"/>
      <c r="BJ1147" s="38"/>
      <c r="BK1147" s="38"/>
      <c r="BL1147" s="38"/>
      <c r="BM1147" s="38"/>
      <c r="BN1147" s="38"/>
      <c r="BO1147" s="38"/>
      <c r="BP1147" s="38"/>
      <c r="BQ1147" s="38"/>
    </row>
    <row r="1148">
      <c r="A1148" s="37" t="s">
        <v>3508</v>
      </c>
      <c r="B1148" s="59">
        <v>43228.0</v>
      </c>
      <c r="C1148" s="59">
        <v>43221.0</v>
      </c>
      <c r="D1148" s="60" t="s">
        <v>3509</v>
      </c>
      <c r="E1148" s="58" t="s">
        <v>41</v>
      </c>
      <c r="F1148" s="58">
        <v>2.0</v>
      </c>
      <c r="G1148" s="58" t="s">
        <v>32</v>
      </c>
      <c r="H1148" s="33">
        <f t="shared" si="173"/>
        <v>1</v>
      </c>
      <c r="I1148" s="58" t="s">
        <v>33</v>
      </c>
      <c r="J1148" s="58" t="s">
        <v>193</v>
      </c>
      <c r="K1148" s="58">
        <v>1.0</v>
      </c>
      <c r="L1148" s="34" t="s">
        <v>35</v>
      </c>
      <c r="M1148" s="61" t="s">
        <v>3510</v>
      </c>
      <c r="N1148" s="77"/>
      <c r="O1148" s="62"/>
      <c r="P1148" s="62"/>
      <c r="Q1148" s="62"/>
      <c r="R1148" s="62"/>
      <c r="S1148" s="37" t="str">
        <f>IFERROR(__xludf.DUMMYFUNCTION("if(not(iserror(index(split(C1148, "" ""),2))), index(split(C1148, "" ""),1),"""")"),"May")</f>
        <v>May</v>
      </c>
      <c r="T1148" s="38">
        <f>IFERROR(__xludf.DUMMYFUNCTION("if(S1148="""",C1148,if(not(iserror(index(split(C1148, "" ""),3))), index(split(C1148, "" ""),3),index(split(C1148, "" ""),2)))"),2018.0)</f>
        <v>2018</v>
      </c>
      <c r="U1148" s="38" t="b">
        <f t="shared" si="172"/>
        <v>0</v>
      </c>
      <c r="V1148" s="38"/>
      <c r="W1148" s="40"/>
      <c r="X1148" s="40"/>
      <c r="Y1148" s="40"/>
      <c r="Z1148" s="38"/>
      <c r="AA1148" s="38"/>
      <c r="AB1148" s="38"/>
      <c r="AC1148" s="38"/>
      <c r="AD1148" s="38"/>
      <c r="AE1148" s="38"/>
      <c r="AF1148" s="38"/>
      <c r="AG1148" s="38"/>
      <c r="AH1148" s="38"/>
      <c r="AI1148" s="38"/>
      <c r="AJ1148" s="38"/>
      <c r="AK1148" s="38"/>
      <c r="AL1148" s="38"/>
      <c r="AM1148" s="38"/>
      <c r="AN1148" s="38"/>
      <c r="AO1148" s="38"/>
      <c r="AP1148" s="38"/>
      <c r="AQ1148" s="38"/>
      <c r="AR1148" s="38"/>
      <c r="AS1148" s="38"/>
      <c r="AT1148" s="38"/>
      <c r="AU1148" s="38"/>
      <c r="AV1148" s="38"/>
      <c r="AW1148" s="38"/>
      <c r="AX1148" s="38"/>
      <c r="AY1148" s="38"/>
      <c r="AZ1148" s="38"/>
      <c r="BA1148" s="38"/>
      <c r="BB1148" s="38"/>
      <c r="BC1148" s="38"/>
      <c r="BD1148" s="38"/>
      <c r="BE1148" s="38"/>
      <c r="BF1148" s="38"/>
      <c r="BG1148" s="38"/>
      <c r="BH1148" s="38"/>
      <c r="BI1148" s="38"/>
      <c r="BJ1148" s="38"/>
      <c r="BK1148" s="38"/>
      <c r="BL1148" s="38"/>
      <c r="BM1148" s="38"/>
      <c r="BN1148" s="38"/>
      <c r="BO1148" s="38"/>
      <c r="BP1148" s="38"/>
      <c r="BQ1148" s="38"/>
    </row>
    <row r="1149">
      <c r="A1149" s="13" t="s">
        <v>3511</v>
      </c>
      <c r="B1149" s="30">
        <v>43222.0</v>
      </c>
      <c r="C1149" s="30">
        <v>43222.0</v>
      </c>
      <c r="D1149" s="32" t="s">
        <v>820</v>
      </c>
      <c r="E1149" s="13" t="s">
        <v>31</v>
      </c>
      <c r="F1149" s="13">
        <v>1.0</v>
      </c>
      <c r="G1149" s="13" t="s">
        <v>32</v>
      </c>
      <c r="H1149" s="33">
        <f t="shared" si="173"/>
        <v>1</v>
      </c>
      <c r="I1149" s="13" t="s">
        <v>33</v>
      </c>
      <c r="J1149" s="13" t="s">
        <v>115</v>
      </c>
      <c r="K1149" s="13">
        <v>1.0</v>
      </c>
      <c r="L1149" s="13" t="s">
        <v>52</v>
      </c>
      <c r="M1149" s="35" t="s">
        <v>3512</v>
      </c>
      <c r="N1149" s="15"/>
      <c r="O1149" s="37"/>
      <c r="P1149" s="37"/>
      <c r="Q1149" s="64"/>
      <c r="R1149" s="16"/>
      <c r="S1149" s="37" t="str">
        <f>IFERROR(__xludf.DUMMYFUNCTION("if(not(iserror(index(split(C1149, "" ""),2))), index(split(C1149, "" ""),1),"""")"),"May")</f>
        <v>May</v>
      </c>
      <c r="T1149" s="38">
        <f>IFERROR(__xludf.DUMMYFUNCTION("if(S1149="""",C1149,if(not(iserror(index(split(C1149, "" ""),3))), index(split(C1149, "" ""),3),index(split(C1149, "" ""),2)))"),2018.0)</f>
        <v>2018</v>
      </c>
      <c r="U1149" s="38" t="b">
        <f t="shared" si="172"/>
        <v>0</v>
      </c>
      <c r="V1149" s="38"/>
      <c r="W1149" s="40"/>
      <c r="X1149" s="40"/>
      <c r="Y1149" s="40"/>
      <c r="Z1149" s="38"/>
      <c r="AA1149" s="38"/>
      <c r="AB1149" s="38"/>
      <c r="AC1149" s="38"/>
      <c r="AD1149" s="38"/>
      <c r="AE1149" s="38"/>
      <c r="AF1149" s="38"/>
      <c r="AG1149" s="38"/>
      <c r="AH1149" s="38"/>
      <c r="AI1149" s="38"/>
      <c r="AJ1149" s="38"/>
      <c r="AK1149" s="38"/>
      <c r="AL1149" s="38"/>
      <c r="AM1149" s="38"/>
      <c r="AN1149" s="38"/>
      <c r="AO1149" s="38"/>
      <c r="AP1149" s="38"/>
      <c r="AQ1149" s="38"/>
      <c r="AR1149" s="38"/>
      <c r="AS1149" s="38"/>
      <c r="AT1149" s="38"/>
      <c r="AU1149" s="38"/>
      <c r="AV1149" s="38"/>
      <c r="AW1149" s="38"/>
      <c r="AX1149" s="38"/>
      <c r="AY1149" s="38"/>
      <c r="AZ1149" s="38"/>
      <c r="BA1149" s="38"/>
      <c r="BB1149" s="38"/>
      <c r="BC1149" s="38"/>
      <c r="BD1149" s="38"/>
      <c r="BE1149" s="38"/>
      <c r="BF1149" s="38"/>
      <c r="BG1149" s="38"/>
      <c r="BH1149" s="38"/>
      <c r="BI1149" s="38"/>
      <c r="BJ1149" s="38"/>
      <c r="BK1149" s="38"/>
      <c r="BL1149" s="38"/>
      <c r="BM1149" s="38"/>
      <c r="BN1149" s="38"/>
      <c r="BO1149" s="38"/>
      <c r="BP1149" s="38"/>
      <c r="BQ1149" s="38"/>
    </row>
    <row r="1150">
      <c r="A1150" s="13" t="s">
        <v>3513</v>
      </c>
      <c r="B1150" s="30">
        <v>43222.0</v>
      </c>
      <c r="C1150" s="30">
        <v>43222.0</v>
      </c>
      <c r="D1150" s="32" t="s">
        <v>820</v>
      </c>
      <c r="E1150" s="13" t="s">
        <v>41</v>
      </c>
      <c r="F1150" s="13">
        <v>1.0</v>
      </c>
      <c r="G1150" s="13" t="s">
        <v>32</v>
      </c>
      <c r="H1150" s="33">
        <f t="shared" si="173"/>
        <v>1</v>
      </c>
      <c r="I1150" s="13" t="s">
        <v>33</v>
      </c>
      <c r="J1150" s="13" t="s">
        <v>47</v>
      </c>
      <c r="K1150" s="13">
        <v>2.0</v>
      </c>
      <c r="L1150" s="13" t="s">
        <v>3514</v>
      </c>
      <c r="M1150" s="56" t="s">
        <v>3515</v>
      </c>
      <c r="N1150" s="15"/>
      <c r="O1150" s="86" t="str">
        <f>hyperlink("https://bad-boys.us/?q=MD-FL/3:18-cr-00087", "MD-FL 3:18-cr-00087")</f>
        <v>MD-FL 3:18-cr-00087</v>
      </c>
      <c r="P1150" s="86" t="s">
        <v>3516</v>
      </c>
      <c r="Q1150" s="64">
        <v>1.0</v>
      </c>
      <c r="R1150" s="16"/>
      <c r="S1150" s="37" t="str">
        <f>IFERROR(__xludf.DUMMYFUNCTION("if(not(iserror(index(split(C1150, "" ""),2))), index(split(C1150, "" ""),1),"""")"),"May")</f>
        <v>May</v>
      </c>
      <c r="T1150" s="38">
        <f>IFERROR(__xludf.DUMMYFUNCTION("if(S1150="""",C1150,if(not(iserror(index(split(C1150, "" ""),3))), index(split(C1150, "" ""),3),index(split(C1150, "" ""),2)))"),2018.0)</f>
        <v>2018</v>
      </c>
      <c r="U1150" s="38" t="b">
        <f t="shared" si="172"/>
        <v>0</v>
      </c>
      <c r="V1150" s="38"/>
      <c r="W1150" s="40"/>
      <c r="X1150" s="40"/>
      <c r="Y1150" s="40"/>
      <c r="Z1150" s="38"/>
      <c r="AA1150" s="38"/>
      <c r="AB1150" s="38"/>
      <c r="AC1150" s="38"/>
      <c r="AD1150" s="38"/>
      <c r="AE1150" s="38"/>
      <c r="AF1150" s="38"/>
      <c r="AG1150" s="38"/>
      <c r="AH1150" s="38"/>
      <c r="AI1150" s="38"/>
      <c r="AJ1150" s="38"/>
      <c r="AK1150" s="38"/>
      <c r="AL1150" s="38"/>
      <c r="AM1150" s="38"/>
      <c r="AN1150" s="38"/>
      <c r="AO1150" s="38"/>
      <c r="AP1150" s="38"/>
      <c r="AQ1150" s="38"/>
      <c r="AR1150" s="38"/>
      <c r="AS1150" s="38"/>
      <c r="AT1150" s="38"/>
      <c r="AU1150" s="38"/>
      <c r="AV1150" s="38"/>
      <c r="AW1150" s="38"/>
      <c r="AX1150" s="38"/>
      <c r="AY1150" s="38"/>
      <c r="AZ1150" s="38"/>
      <c r="BA1150" s="38"/>
      <c r="BB1150" s="38"/>
      <c r="BC1150" s="38"/>
      <c r="BD1150" s="38"/>
      <c r="BE1150" s="38"/>
      <c r="BF1150" s="38"/>
      <c r="BG1150" s="38"/>
      <c r="BH1150" s="38"/>
      <c r="BI1150" s="38"/>
      <c r="BJ1150" s="38"/>
      <c r="BK1150" s="38"/>
      <c r="BL1150" s="38"/>
      <c r="BM1150" s="38"/>
      <c r="BN1150" s="38"/>
      <c r="BO1150" s="38"/>
      <c r="BP1150" s="38"/>
      <c r="BQ1150" s="38"/>
    </row>
    <row r="1151">
      <c r="A1151" s="37" t="s">
        <v>3517</v>
      </c>
      <c r="B1151" s="30">
        <v>43223.0</v>
      </c>
      <c r="C1151" s="30">
        <v>43222.0</v>
      </c>
      <c r="D1151" s="32" t="s">
        <v>820</v>
      </c>
      <c r="E1151" s="13" t="s">
        <v>31</v>
      </c>
      <c r="F1151" s="13">
        <v>1.0</v>
      </c>
      <c r="G1151" s="13" t="s">
        <v>32</v>
      </c>
      <c r="H1151" s="33">
        <f t="shared" si="173"/>
        <v>1</v>
      </c>
      <c r="I1151" s="13" t="s">
        <v>33</v>
      </c>
      <c r="J1151" s="13" t="s">
        <v>279</v>
      </c>
      <c r="K1151" s="13" t="s">
        <v>32</v>
      </c>
      <c r="L1151" s="13" t="s">
        <v>807</v>
      </c>
      <c r="M1151" s="111" t="s">
        <v>3518</v>
      </c>
      <c r="N1151" s="15"/>
      <c r="O1151" s="16"/>
      <c r="P1151" s="16"/>
      <c r="Q1151" s="16"/>
      <c r="R1151" s="16"/>
      <c r="S1151" s="37" t="str">
        <f>IFERROR(__xludf.DUMMYFUNCTION("if(not(iserror(index(split(C1151, "" ""),2))), index(split(C1151, "" ""),1),"""")"),"May")</f>
        <v>May</v>
      </c>
      <c r="T1151" s="38">
        <f>IFERROR(__xludf.DUMMYFUNCTION("if(S1151="""",C1151,if(not(iserror(index(split(C1151, "" ""),3))), index(split(C1151, "" ""),3),index(split(C1151, "" ""),2)))"),2018.0)</f>
        <v>2018</v>
      </c>
      <c r="U1151" s="38" t="b">
        <f t="shared" si="172"/>
        <v>0</v>
      </c>
      <c r="V1151" s="38"/>
      <c r="W1151" s="40"/>
      <c r="X1151" s="40"/>
      <c r="Y1151" s="40"/>
      <c r="Z1151" s="38"/>
      <c r="AA1151" s="38"/>
      <c r="AB1151" s="38"/>
      <c r="AC1151" s="38"/>
      <c r="AD1151" s="38"/>
      <c r="AE1151" s="38"/>
      <c r="AF1151" s="38"/>
      <c r="AG1151" s="38"/>
      <c r="AH1151" s="38"/>
      <c r="AI1151" s="38"/>
      <c r="AJ1151" s="38"/>
      <c r="AK1151" s="38"/>
      <c r="AL1151" s="38"/>
      <c r="AM1151" s="38"/>
      <c r="AN1151" s="38"/>
      <c r="AO1151" s="38"/>
      <c r="AP1151" s="38"/>
      <c r="AQ1151" s="38"/>
      <c r="AR1151" s="38"/>
      <c r="AS1151" s="38"/>
      <c r="AT1151" s="38"/>
      <c r="AU1151" s="38"/>
      <c r="AV1151" s="38"/>
      <c r="AW1151" s="38"/>
      <c r="AX1151" s="38"/>
      <c r="AY1151" s="38"/>
      <c r="AZ1151" s="38"/>
      <c r="BA1151" s="38"/>
      <c r="BB1151" s="38"/>
      <c r="BC1151" s="38"/>
      <c r="BD1151" s="38"/>
      <c r="BE1151" s="38"/>
      <c r="BF1151" s="38"/>
      <c r="BG1151" s="38"/>
      <c r="BH1151" s="38"/>
      <c r="BI1151" s="38"/>
      <c r="BJ1151" s="38"/>
      <c r="BK1151" s="38"/>
      <c r="BL1151" s="38"/>
      <c r="BM1151" s="38"/>
      <c r="BN1151" s="38"/>
      <c r="BO1151" s="38"/>
      <c r="BP1151" s="38"/>
      <c r="BQ1151" s="38"/>
    </row>
    <row r="1152">
      <c r="A1152" s="13" t="s">
        <v>3519</v>
      </c>
      <c r="B1152" s="30">
        <v>43223.0</v>
      </c>
      <c r="C1152" s="30">
        <v>43223.0</v>
      </c>
      <c r="D1152" s="32" t="s">
        <v>3520</v>
      </c>
      <c r="E1152" s="13" t="s">
        <v>31</v>
      </c>
      <c r="F1152" s="13">
        <v>2.0</v>
      </c>
      <c r="G1152" s="13" t="s">
        <v>32</v>
      </c>
      <c r="H1152" s="33">
        <f t="shared" si="173"/>
        <v>1</v>
      </c>
      <c r="I1152" s="13" t="s">
        <v>33</v>
      </c>
      <c r="J1152" s="13" t="s">
        <v>193</v>
      </c>
      <c r="K1152" s="13">
        <v>1.0</v>
      </c>
      <c r="L1152" s="34" t="s">
        <v>35</v>
      </c>
      <c r="M1152" s="35" t="s">
        <v>3521</v>
      </c>
      <c r="N1152" s="15"/>
      <c r="O1152" s="37"/>
      <c r="P1152" s="16"/>
      <c r="Q1152" s="64"/>
      <c r="R1152" s="16"/>
      <c r="S1152" s="37" t="str">
        <f>IFERROR(__xludf.DUMMYFUNCTION("if(not(iserror(index(split(C1152, "" ""),2))), index(split(C1152, "" ""),1),"""")"),"May")</f>
        <v>May</v>
      </c>
      <c r="T1152" s="38">
        <f>IFERROR(__xludf.DUMMYFUNCTION("if(S1152="""",C1152,if(not(iserror(index(split(C1152, "" ""),3))), index(split(C1152, "" ""),3),index(split(C1152, "" ""),2)))"),2018.0)</f>
        <v>2018</v>
      </c>
      <c r="U1152" s="38" t="b">
        <f t="shared" si="172"/>
        <v>0</v>
      </c>
      <c r="V1152" s="38"/>
      <c r="W1152" s="40"/>
      <c r="X1152" s="40"/>
      <c r="Y1152" s="40"/>
      <c r="Z1152" s="38"/>
      <c r="AA1152" s="38"/>
      <c r="AB1152" s="38"/>
      <c r="AC1152" s="38"/>
      <c r="AD1152" s="38"/>
      <c r="AE1152" s="38"/>
      <c r="AF1152" s="38"/>
      <c r="AG1152" s="38"/>
      <c r="AH1152" s="38"/>
      <c r="AI1152" s="38"/>
      <c r="AJ1152" s="38"/>
      <c r="AK1152" s="38"/>
      <c r="AL1152" s="38"/>
      <c r="AM1152" s="38"/>
      <c r="AN1152" s="38"/>
      <c r="AO1152" s="38"/>
      <c r="AP1152" s="38"/>
      <c r="AQ1152" s="38"/>
      <c r="AR1152" s="38"/>
      <c r="AS1152" s="38"/>
      <c r="AT1152" s="38"/>
      <c r="AU1152" s="38"/>
      <c r="AV1152" s="38"/>
      <c r="AW1152" s="38"/>
      <c r="AX1152" s="38"/>
      <c r="AY1152" s="38"/>
      <c r="AZ1152" s="38"/>
      <c r="BA1152" s="38"/>
      <c r="BB1152" s="38"/>
      <c r="BC1152" s="38"/>
      <c r="BD1152" s="38"/>
      <c r="BE1152" s="38"/>
      <c r="BF1152" s="38"/>
      <c r="BG1152" s="38"/>
      <c r="BH1152" s="38"/>
      <c r="BI1152" s="38"/>
      <c r="BJ1152" s="38"/>
      <c r="BK1152" s="38"/>
      <c r="BL1152" s="38"/>
      <c r="BM1152" s="38"/>
      <c r="BN1152" s="38"/>
      <c r="BO1152" s="38"/>
      <c r="BP1152" s="38"/>
      <c r="BQ1152" s="38"/>
    </row>
    <row r="1153">
      <c r="A1153" s="13" t="s">
        <v>3522</v>
      </c>
      <c r="B1153" s="30">
        <v>43223.0</v>
      </c>
      <c r="C1153" s="30">
        <v>43223.0</v>
      </c>
      <c r="D1153" s="32" t="s">
        <v>3520</v>
      </c>
      <c r="E1153" s="13" t="s">
        <v>41</v>
      </c>
      <c r="F1153" s="13">
        <v>1.0</v>
      </c>
      <c r="G1153" s="13" t="s">
        <v>32</v>
      </c>
      <c r="H1153" s="33">
        <f t="shared" si="173"/>
        <v>1</v>
      </c>
      <c r="I1153" s="13" t="s">
        <v>33</v>
      </c>
      <c r="J1153" s="13" t="s">
        <v>111</v>
      </c>
      <c r="K1153" s="13">
        <v>3.0</v>
      </c>
      <c r="L1153" s="13" t="s">
        <v>119</v>
      </c>
      <c r="M1153" s="35" t="s">
        <v>3523</v>
      </c>
      <c r="N1153" s="36" t="s">
        <v>3524</v>
      </c>
      <c r="O1153" s="16"/>
      <c r="P1153" s="37"/>
      <c r="Q1153" s="64"/>
      <c r="R1153" s="16"/>
      <c r="S1153" s="37" t="str">
        <f>IFERROR(__xludf.DUMMYFUNCTION("if(not(iserror(index(split(C1153, "" ""),2))), index(split(C1153, "" ""),1),"""")"),"May")</f>
        <v>May</v>
      </c>
      <c r="T1153" s="38">
        <f>IFERROR(__xludf.DUMMYFUNCTION("if(S1153="""",C1153,if(not(iserror(index(split(C1153, "" ""),3))), index(split(C1153, "" ""),3),index(split(C1153, "" ""),2)))"),2018.0)</f>
        <v>2018</v>
      </c>
      <c r="U1153" s="38" t="b">
        <f t="shared" si="172"/>
        <v>0</v>
      </c>
      <c r="V1153" s="38"/>
      <c r="W1153" s="40"/>
      <c r="X1153" s="40"/>
      <c r="Y1153" s="40"/>
      <c r="Z1153" s="38"/>
      <c r="AA1153" s="38"/>
      <c r="AB1153" s="38"/>
      <c r="AC1153" s="38"/>
      <c r="AD1153" s="38"/>
      <c r="AE1153" s="38"/>
      <c r="AF1153" s="38"/>
      <c r="AG1153" s="38"/>
      <c r="AH1153" s="38"/>
      <c r="AI1153" s="38"/>
      <c r="AJ1153" s="38"/>
      <c r="AK1153" s="38"/>
      <c r="AL1153" s="38"/>
      <c r="AM1153" s="38"/>
      <c r="AN1153" s="38"/>
      <c r="AO1153" s="38"/>
      <c r="AP1153" s="38"/>
      <c r="AQ1153" s="38"/>
      <c r="AR1153" s="38"/>
      <c r="AS1153" s="38"/>
      <c r="AT1153" s="38"/>
      <c r="AU1153" s="38"/>
      <c r="AV1153" s="38"/>
      <c r="AW1153" s="38"/>
      <c r="AX1153" s="38"/>
      <c r="AY1153" s="38"/>
      <c r="AZ1153" s="38"/>
      <c r="BA1153" s="38"/>
      <c r="BB1153" s="38"/>
      <c r="BC1153" s="38"/>
      <c r="BD1153" s="38"/>
      <c r="BE1153" s="38"/>
      <c r="BF1153" s="38"/>
      <c r="BG1153" s="38"/>
      <c r="BH1153" s="38"/>
      <c r="BI1153" s="38"/>
      <c r="BJ1153" s="38"/>
      <c r="BK1153" s="38"/>
      <c r="BL1153" s="38"/>
      <c r="BM1153" s="38"/>
      <c r="BN1153" s="38"/>
      <c r="BO1153" s="38"/>
      <c r="BP1153" s="38"/>
      <c r="BQ1153" s="38"/>
    </row>
    <row r="1154">
      <c r="A1154" s="37" t="s">
        <v>3525</v>
      </c>
      <c r="B1154" s="59">
        <v>43229.0</v>
      </c>
      <c r="C1154" s="59">
        <v>43223.0</v>
      </c>
      <c r="D1154" s="60" t="s">
        <v>3520</v>
      </c>
      <c r="E1154" s="58" t="s">
        <v>41</v>
      </c>
      <c r="F1154" s="58">
        <v>2.0</v>
      </c>
      <c r="G1154" s="58" t="s">
        <v>32</v>
      </c>
      <c r="H1154" s="33">
        <f t="shared" si="173"/>
        <v>1</v>
      </c>
      <c r="I1154" s="58" t="s">
        <v>33</v>
      </c>
      <c r="J1154" s="58" t="s">
        <v>241</v>
      </c>
      <c r="K1154" s="58" t="s">
        <v>32</v>
      </c>
      <c r="L1154" s="34" t="s">
        <v>35</v>
      </c>
      <c r="M1154" s="36" t="s">
        <v>3526</v>
      </c>
      <c r="N1154" s="77"/>
      <c r="O1154" s="62"/>
      <c r="P1154" s="62"/>
      <c r="Q1154" s="62"/>
      <c r="R1154" s="62"/>
      <c r="S1154" s="37" t="str">
        <f>IFERROR(__xludf.DUMMYFUNCTION("if(not(iserror(index(split(C1154, "" ""),2))), index(split(C1154, "" ""),1),"""")"),"May")</f>
        <v>May</v>
      </c>
      <c r="T1154" s="38">
        <f>IFERROR(__xludf.DUMMYFUNCTION("if(S1154="""",C1154,if(not(iserror(index(split(C1154, "" ""),3))), index(split(C1154, "" ""),3),index(split(C1154, "" ""),2)))"),2018.0)</f>
        <v>2018</v>
      </c>
      <c r="U1154" s="38" t="b">
        <f t="shared" si="172"/>
        <v>0</v>
      </c>
      <c r="V1154" s="38"/>
      <c r="W1154" s="40"/>
      <c r="X1154" s="40"/>
      <c r="Y1154" s="40"/>
      <c r="Z1154" s="38"/>
      <c r="AA1154" s="38"/>
      <c r="AB1154" s="38"/>
      <c r="AC1154" s="38"/>
      <c r="AD1154" s="38"/>
      <c r="AE1154" s="38"/>
      <c r="AF1154" s="38"/>
      <c r="AG1154" s="38"/>
      <c r="AH1154" s="38"/>
      <c r="AI1154" s="38"/>
      <c r="AJ1154" s="38"/>
      <c r="AK1154" s="38"/>
      <c r="AL1154" s="38"/>
      <c r="AM1154" s="38"/>
      <c r="AN1154" s="38"/>
      <c r="AO1154" s="38"/>
      <c r="AP1154" s="38"/>
      <c r="AQ1154" s="38"/>
      <c r="AR1154" s="38"/>
      <c r="AS1154" s="38"/>
      <c r="AT1154" s="38"/>
      <c r="AU1154" s="38"/>
      <c r="AV1154" s="38"/>
      <c r="AW1154" s="38"/>
      <c r="AX1154" s="38"/>
      <c r="AY1154" s="38"/>
      <c r="AZ1154" s="38"/>
      <c r="BA1154" s="38"/>
      <c r="BB1154" s="38"/>
      <c r="BC1154" s="38"/>
      <c r="BD1154" s="38"/>
      <c r="BE1154" s="38"/>
      <c r="BF1154" s="38"/>
      <c r="BG1154" s="38"/>
      <c r="BH1154" s="38"/>
      <c r="BI1154" s="38"/>
      <c r="BJ1154" s="38"/>
      <c r="BK1154" s="38"/>
      <c r="BL1154" s="38"/>
      <c r="BM1154" s="38"/>
      <c r="BN1154" s="38"/>
      <c r="BO1154" s="38"/>
      <c r="BP1154" s="38"/>
      <c r="BQ1154" s="38"/>
    </row>
    <row r="1155">
      <c r="A1155" s="152" t="s">
        <v>3527</v>
      </c>
      <c r="B1155" s="153">
        <v>43235.0</v>
      </c>
      <c r="C1155" s="153">
        <v>43223.0</v>
      </c>
      <c r="D1155" s="154" t="s">
        <v>3520</v>
      </c>
      <c r="E1155" s="155" t="s">
        <v>41</v>
      </c>
      <c r="F1155" s="152">
        <v>1.0</v>
      </c>
      <c r="G1155" s="152" t="s">
        <v>32</v>
      </c>
      <c r="H1155" s="33">
        <f t="shared" si="173"/>
        <v>1</v>
      </c>
      <c r="I1155" s="152" t="s">
        <v>33</v>
      </c>
      <c r="J1155" s="152" t="s">
        <v>440</v>
      </c>
      <c r="K1155" s="152">
        <v>2.0</v>
      </c>
      <c r="L1155" s="152" t="s">
        <v>76</v>
      </c>
      <c r="M1155" s="158" t="s">
        <v>3528</v>
      </c>
      <c r="N1155" s="163"/>
      <c r="O1155" s="88" t="str">
        <f>hyperlink("https://bad-boys.us/?q=D-CT/3:18-cr-00095", "D-CT 3:18-cr-00095")</f>
        <v>D-CT 3:18-cr-00095</v>
      </c>
      <c r="P1155" s="88" t="s">
        <v>3529</v>
      </c>
      <c r="Q1155" s="84">
        <v>1.0</v>
      </c>
      <c r="R1155" s="62"/>
      <c r="S1155" s="37" t="str">
        <f>IFERROR(__xludf.DUMMYFUNCTION("if(not(iserror(index(split(C1155, "" ""),2))), index(split(C1155, "" ""),1),"""")"),"May")</f>
        <v>May</v>
      </c>
      <c r="T1155" s="38">
        <f>IFERROR(__xludf.DUMMYFUNCTION("if(S1155="""",C1155,if(not(iserror(index(split(C1155, "" ""),3))), index(split(C1155, "" ""),3),index(split(C1155, "" ""),2)))"),2018.0)</f>
        <v>2018</v>
      </c>
      <c r="U1155" s="38" t="b">
        <f t="shared" si="172"/>
        <v>0</v>
      </c>
      <c r="V1155" s="38"/>
      <c r="W1155" s="40"/>
      <c r="X1155" s="40"/>
      <c r="Y1155" s="40"/>
      <c r="Z1155" s="38"/>
      <c r="AA1155" s="38"/>
      <c r="AB1155" s="38"/>
      <c r="AC1155" s="38"/>
      <c r="AD1155" s="38"/>
      <c r="AE1155" s="38"/>
      <c r="AF1155" s="38"/>
      <c r="AG1155" s="38"/>
      <c r="AH1155" s="38"/>
      <c r="AI1155" s="38"/>
      <c r="AJ1155" s="38"/>
      <c r="AK1155" s="38"/>
      <c r="AL1155" s="38"/>
      <c r="AM1155" s="38"/>
      <c r="AN1155" s="38"/>
      <c r="AO1155" s="38"/>
      <c r="AP1155" s="38"/>
      <c r="AQ1155" s="38"/>
      <c r="AR1155" s="38"/>
      <c r="AS1155" s="38"/>
      <c r="AT1155" s="38"/>
      <c r="AU1155" s="38"/>
      <c r="AV1155" s="38"/>
      <c r="AW1155" s="38"/>
      <c r="AX1155" s="38"/>
      <c r="AY1155" s="38"/>
      <c r="AZ1155" s="38"/>
      <c r="BA1155" s="38"/>
      <c r="BB1155" s="38"/>
      <c r="BC1155" s="38"/>
      <c r="BD1155" s="38"/>
      <c r="BE1155" s="38"/>
      <c r="BF1155" s="38"/>
      <c r="BG1155" s="38"/>
      <c r="BH1155" s="38"/>
      <c r="BI1155" s="38"/>
      <c r="BJ1155" s="38"/>
      <c r="BK1155" s="38"/>
      <c r="BL1155" s="38"/>
      <c r="BM1155" s="38"/>
      <c r="BN1155" s="38"/>
      <c r="BO1155" s="38"/>
      <c r="BP1155" s="38"/>
      <c r="BQ1155" s="38"/>
    </row>
    <row r="1156">
      <c r="A1156" s="37" t="s">
        <v>3530</v>
      </c>
      <c r="B1156" s="59">
        <v>43236.0</v>
      </c>
      <c r="C1156" s="59">
        <v>43223.0</v>
      </c>
      <c r="D1156" s="60" t="s">
        <v>3520</v>
      </c>
      <c r="E1156" s="58" t="s">
        <v>41</v>
      </c>
      <c r="F1156" s="58">
        <v>1.0</v>
      </c>
      <c r="G1156" s="58" t="s">
        <v>32</v>
      </c>
      <c r="H1156" s="33">
        <f t="shared" si="173"/>
        <v>1</v>
      </c>
      <c r="I1156" s="58" t="s">
        <v>33</v>
      </c>
      <c r="J1156" s="58" t="s">
        <v>3531</v>
      </c>
      <c r="K1156" s="58">
        <v>3.0</v>
      </c>
      <c r="L1156" s="58" t="s">
        <v>3532</v>
      </c>
      <c r="M1156" s="61" t="s">
        <v>3533</v>
      </c>
      <c r="N1156" s="77"/>
      <c r="O1156" s="58"/>
      <c r="P1156" s="58"/>
      <c r="Q1156" s="84"/>
      <c r="R1156" s="62"/>
      <c r="S1156" s="37" t="str">
        <f>IFERROR(__xludf.DUMMYFUNCTION("if(not(iserror(index(split(C1156, "" ""),2))), index(split(C1156, "" ""),1),"""")"),"May")</f>
        <v>May</v>
      </c>
      <c r="T1156" s="38">
        <f>IFERROR(__xludf.DUMMYFUNCTION("if(S1156="""",C1156,if(not(iserror(index(split(C1156, "" ""),3))), index(split(C1156, "" ""),3),index(split(C1156, "" ""),2)))"),2018.0)</f>
        <v>2018</v>
      </c>
      <c r="U1156" s="38" t="b">
        <f t="shared" si="172"/>
        <v>0</v>
      </c>
      <c r="V1156" s="38"/>
      <c r="W1156" s="40"/>
      <c r="X1156" s="40"/>
      <c r="Y1156" s="40"/>
      <c r="Z1156" s="38"/>
      <c r="AA1156" s="38"/>
      <c r="AB1156" s="38"/>
      <c r="AC1156" s="38"/>
      <c r="AD1156" s="38"/>
      <c r="AE1156" s="38"/>
      <c r="AF1156" s="38"/>
      <c r="AG1156" s="38"/>
      <c r="AH1156" s="38"/>
      <c r="AI1156" s="38"/>
      <c r="AJ1156" s="38"/>
      <c r="AK1156" s="38"/>
      <c r="AL1156" s="38"/>
      <c r="AM1156" s="38"/>
      <c r="AN1156" s="38"/>
      <c r="AO1156" s="38"/>
      <c r="AP1156" s="38"/>
      <c r="AQ1156" s="38"/>
      <c r="AR1156" s="38"/>
      <c r="AS1156" s="38"/>
      <c r="AT1156" s="38"/>
      <c r="AU1156" s="38"/>
      <c r="AV1156" s="38"/>
      <c r="AW1156" s="38"/>
      <c r="AX1156" s="38"/>
      <c r="AY1156" s="38"/>
      <c r="AZ1156" s="38"/>
      <c r="BA1156" s="38"/>
      <c r="BB1156" s="38"/>
      <c r="BC1156" s="38"/>
      <c r="BD1156" s="38"/>
      <c r="BE1156" s="38"/>
      <c r="BF1156" s="38"/>
      <c r="BG1156" s="38"/>
      <c r="BH1156" s="38"/>
      <c r="BI1156" s="38"/>
      <c r="BJ1156" s="38"/>
      <c r="BK1156" s="38"/>
      <c r="BL1156" s="38"/>
      <c r="BM1156" s="38"/>
      <c r="BN1156" s="38"/>
      <c r="BO1156" s="38"/>
      <c r="BP1156" s="38"/>
      <c r="BQ1156" s="38"/>
    </row>
    <row r="1157">
      <c r="A1157" s="58" t="s">
        <v>3534</v>
      </c>
      <c r="B1157" s="59">
        <v>43243.0</v>
      </c>
      <c r="C1157" s="59">
        <v>43223.0</v>
      </c>
      <c r="D1157" s="60" t="s">
        <v>3520</v>
      </c>
      <c r="E1157" s="58" t="s">
        <v>41</v>
      </c>
      <c r="F1157" s="58">
        <v>1.0</v>
      </c>
      <c r="G1157" s="58" t="s">
        <v>32</v>
      </c>
      <c r="H1157" s="33">
        <f t="shared" si="173"/>
        <v>1</v>
      </c>
      <c r="I1157" s="58" t="s">
        <v>33</v>
      </c>
      <c r="J1157" s="58" t="s">
        <v>193</v>
      </c>
      <c r="K1157" s="58">
        <v>4.0</v>
      </c>
      <c r="L1157" s="58" t="s">
        <v>69</v>
      </c>
      <c r="M1157" s="61" t="s">
        <v>3535</v>
      </c>
      <c r="N1157" s="77"/>
      <c r="O1157" s="62"/>
      <c r="P1157" s="62"/>
      <c r="Q1157" s="62"/>
      <c r="R1157" s="62"/>
      <c r="S1157" s="37" t="str">
        <f>IFERROR(__xludf.DUMMYFUNCTION("if(not(iserror(index(split(C1157, "" ""),2))), index(split(C1157, "" ""),1),"""")"),"May")</f>
        <v>May</v>
      </c>
      <c r="T1157" s="38">
        <f>IFERROR(__xludf.DUMMYFUNCTION("if(S1157="""",C1157,if(not(iserror(index(split(C1157, "" ""),3))), index(split(C1157, "" ""),3),index(split(C1157, "" ""),2)))"),2018.0)</f>
        <v>2018</v>
      </c>
      <c r="U1157" s="38" t="b">
        <f t="shared" si="172"/>
        <v>0</v>
      </c>
      <c r="V1157" s="38"/>
      <c r="W1157" s="40"/>
      <c r="X1157" s="40"/>
      <c r="Y1157" s="40"/>
      <c r="Z1157" s="38"/>
      <c r="AA1157" s="38"/>
      <c r="AB1157" s="38"/>
      <c r="AC1157" s="38"/>
      <c r="AD1157" s="38"/>
      <c r="AE1157" s="38"/>
      <c r="AF1157" s="38"/>
      <c r="AG1157" s="38"/>
      <c r="AH1157" s="38"/>
      <c r="AI1157" s="38"/>
      <c r="AJ1157" s="38"/>
      <c r="AK1157" s="38"/>
      <c r="AL1157" s="38"/>
      <c r="AM1157" s="38"/>
      <c r="AN1157" s="38"/>
      <c r="AO1157" s="38"/>
      <c r="AP1157" s="38"/>
      <c r="AQ1157" s="38"/>
      <c r="AR1157" s="38"/>
      <c r="AS1157" s="38"/>
      <c r="AT1157" s="38"/>
      <c r="AU1157" s="38"/>
      <c r="AV1157" s="38"/>
      <c r="AW1157" s="38"/>
      <c r="AX1157" s="38"/>
      <c r="AY1157" s="38"/>
      <c r="AZ1157" s="38"/>
      <c r="BA1157" s="38"/>
      <c r="BB1157" s="38"/>
      <c r="BC1157" s="38"/>
      <c r="BD1157" s="38"/>
      <c r="BE1157" s="38"/>
      <c r="BF1157" s="38"/>
      <c r="BG1157" s="38"/>
      <c r="BH1157" s="38"/>
      <c r="BI1157" s="38"/>
      <c r="BJ1157" s="38"/>
      <c r="BK1157" s="38"/>
      <c r="BL1157" s="38"/>
      <c r="BM1157" s="38"/>
      <c r="BN1157" s="38"/>
      <c r="BO1157" s="38"/>
      <c r="BP1157" s="38"/>
      <c r="BQ1157" s="38"/>
    </row>
    <row r="1158">
      <c r="A1158" s="58" t="s">
        <v>3536</v>
      </c>
      <c r="B1158" s="59">
        <v>43356.0</v>
      </c>
      <c r="C1158" s="59">
        <v>43223.0</v>
      </c>
      <c r="D1158" s="60" t="s">
        <v>3520</v>
      </c>
      <c r="E1158" s="58" t="s">
        <v>41</v>
      </c>
      <c r="F1158" s="58">
        <v>1.0</v>
      </c>
      <c r="G1158" s="58" t="s">
        <v>32</v>
      </c>
      <c r="H1158" s="33">
        <f t="shared" si="173"/>
        <v>1</v>
      </c>
      <c r="I1158" s="58" t="s">
        <v>33</v>
      </c>
      <c r="J1158" s="58" t="s">
        <v>193</v>
      </c>
      <c r="K1158" s="58">
        <v>3.0</v>
      </c>
      <c r="L1158" s="58" t="s">
        <v>69</v>
      </c>
      <c r="M1158" s="61" t="s">
        <v>3537</v>
      </c>
      <c r="N1158" s="77"/>
      <c r="O1158" s="88" t="str">
        <f>hyperlink("https://bad-boys.us/?q=D-NM/2:18-cr-03001", "D-NM 2:18-cr-03001")</f>
        <v>D-NM 2:18-cr-03001</v>
      </c>
      <c r="P1158" s="62"/>
      <c r="Q1158" s="84">
        <v>1.0</v>
      </c>
      <c r="R1158" s="62"/>
      <c r="S1158" s="37" t="str">
        <f>IFERROR(__xludf.DUMMYFUNCTION("if(not(iserror(index(split(C1158, "" ""),2))), index(split(C1158, "" ""),1),"""")"),"May")</f>
        <v>May</v>
      </c>
      <c r="T1158" s="38">
        <f>IFERROR(__xludf.DUMMYFUNCTION("if(S1158="""",C1158,if(not(iserror(index(split(C1158, "" ""),3))), index(split(C1158, "" ""),3),index(split(C1158, "" ""),2)))"),2018.0)</f>
        <v>2018</v>
      </c>
      <c r="U1158" s="38" t="b">
        <f t="shared" si="172"/>
        <v>0</v>
      </c>
      <c r="V1158" s="38"/>
      <c r="W1158" s="40"/>
      <c r="X1158" s="40"/>
      <c r="Y1158" s="40"/>
      <c r="Z1158" s="38"/>
      <c r="AA1158" s="38"/>
      <c r="AB1158" s="38"/>
      <c r="AC1158" s="38"/>
      <c r="AD1158" s="38"/>
      <c r="AE1158" s="38"/>
      <c r="AF1158" s="38"/>
      <c r="AG1158" s="38"/>
      <c r="AH1158" s="38"/>
      <c r="AI1158" s="38"/>
      <c r="AJ1158" s="38"/>
      <c r="AK1158" s="38"/>
      <c r="AL1158" s="38"/>
      <c r="AM1158" s="38"/>
      <c r="AN1158" s="38"/>
      <c r="AO1158" s="38"/>
      <c r="AP1158" s="38"/>
      <c r="AQ1158" s="38"/>
      <c r="AR1158" s="38"/>
      <c r="AS1158" s="38"/>
      <c r="AT1158" s="38"/>
      <c r="AU1158" s="38"/>
      <c r="AV1158" s="38"/>
      <c r="AW1158" s="38"/>
      <c r="AX1158" s="38"/>
      <c r="AY1158" s="38"/>
      <c r="AZ1158" s="38"/>
      <c r="BA1158" s="38"/>
      <c r="BB1158" s="38"/>
      <c r="BC1158" s="38"/>
      <c r="BD1158" s="38"/>
      <c r="BE1158" s="38"/>
      <c r="BF1158" s="38"/>
      <c r="BG1158" s="38"/>
      <c r="BH1158" s="38"/>
      <c r="BI1158" s="38"/>
      <c r="BJ1158" s="38"/>
      <c r="BK1158" s="38"/>
      <c r="BL1158" s="38"/>
      <c r="BM1158" s="38"/>
      <c r="BN1158" s="38"/>
      <c r="BO1158" s="38"/>
      <c r="BP1158" s="38"/>
      <c r="BQ1158" s="38"/>
    </row>
    <row r="1159">
      <c r="A1159" s="85" t="s">
        <v>3538</v>
      </c>
      <c r="B1159" s="59">
        <v>43433.0</v>
      </c>
      <c r="C1159" s="59">
        <v>43223.0</v>
      </c>
      <c r="D1159" s="60" t="s">
        <v>3520</v>
      </c>
      <c r="E1159" s="58" t="s">
        <v>41</v>
      </c>
      <c r="F1159" s="58">
        <v>1.0</v>
      </c>
      <c r="G1159" s="58" t="s">
        <v>32</v>
      </c>
      <c r="H1159" s="33">
        <f t="shared" si="173"/>
        <v>1</v>
      </c>
      <c r="I1159" s="58" t="s">
        <v>33</v>
      </c>
      <c r="J1159" s="58" t="s">
        <v>47</v>
      </c>
      <c r="K1159" s="58">
        <v>5.0</v>
      </c>
      <c r="L1159" s="58" t="s">
        <v>76</v>
      </c>
      <c r="M1159" s="61" t="s">
        <v>3539</v>
      </c>
      <c r="N1159" s="61" t="s">
        <v>3540</v>
      </c>
      <c r="O1159" s="88" t="str">
        <f>hyperlink("https://bad-boys.us/?q=ND-FL/4:18-cr-00029", "ND-FL 4:18-cr-00029")</f>
        <v>ND-FL 4:18-cr-00029</v>
      </c>
      <c r="P1159" s="62"/>
      <c r="Q1159" s="84">
        <v>1.0</v>
      </c>
      <c r="R1159" s="62"/>
      <c r="S1159" s="37" t="str">
        <f>IFERROR(__xludf.DUMMYFUNCTION("if(not(iserror(index(split(C1159, "" ""),2))), index(split(C1159, "" ""),1),"""")"),"May")</f>
        <v>May</v>
      </c>
      <c r="T1159" s="38">
        <f>IFERROR(__xludf.DUMMYFUNCTION("if(S1159="""",C1159,if(not(iserror(index(split(C1159, "" ""),3))), index(split(C1159, "" ""),3),index(split(C1159, "" ""),2)))"),2018.0)</f>
        <v>2018</v>
      </c>
      <c r="U1159" s="38" t="b">
        <f t="shared" si="172"/>
        <v>0</v>
      </c>
      <c r="V1159" s="38"/>
      <c r="W1159" s="40"/>
      <c r="X1159" s="40"/>
      <c r="Y1159" s="40"/>
      <c r="Z1159" s="38"/>
      <c r="AA1159" s="38"/>
      <c r="AB1159" s="38"/>
      <c r="AC1159" s="38"/>
      <c r="AD1159" s="38"/>
      <c r="AE1159" s="38"/>
      <c r="AF1159" s="38"/>
      <c r="AG1159" s="38"/>
      <c r="AH1159" s="38"/>
      <c r="AI1159" s="38"/>
      <c r="AJ1159" s="38"/>
      <c r="AK1159" s="38"/>
      <c r="AL1159" s="38"/>
      <c r="AM1159" s="38"/>
      <c r="AN1159" s="38"/>
      <c r="AO1159" s="38"/>
      <c r="AP1159" s="38"/>
      <c r="AQ1159" s="38"/>
      <c r="AR1159" s="38"/>
      <c r="AS1159" s="38"/>
      <c r="AT1159" s="38"/>
      <c r="AU1159" s="38"/>
      <c r="AV1159" s="38"/>
      <c r="AW1159" s="38"/>
      <c r="AX1159" s="38"/>
      <c r="AY1159" s="38"/>
      <c r="AZ1159" s="38"/>
      <c r="BA1159" s="38"/>
      <c r="BB1159" s="38"/>
      <c r="BC1159" s="38"/>
      <c r="BD1159" s="38"/>
      <c r="BE1159" s="38"/>
      <c r="BF1159" s="38"/>
      <c r="BG1159" s="38"/>
      <c r="BH1159" s="38"/>
      <c r="BI1159" s="38"/>
      <c r="BJ1159" s="38"/>
      <c r="BK1159" s="38"/>
      <c r="BL1159" s="38"/>
      <c r="BM1159" s="38"/>
      <c r="BN1159" s="38"/>
      <c r="BO1159" s="38"/>
      <c r="BP1159" s="38"/>
      <c r="BQ1159" s="38"/>
    </row>
    <row r="1160">
      <c r="A1160" s="85" t="s">
        <v>3541</v>
      </c>
      <c r="B1160" s="59">
        <v>43437.0</v>
      </c>
      <c r="C1160" s="59">
        <v>43223.0</v>
      </c>
      <c r="D1160" s="60" t="s">
        <v>3520</v>
      </c>
      <c r="E1160" s="58" t="s">
        <v>41</v>
      </c>
      <c r="F1160" s="58">
        <v>1.0</v>
      </c>
      <c r="G1160" s="58">
        <v>2.0</v>
      </c>
      <c r="H1160" s="33">
        <f t="shared" si="173"/>
        <v>2</v>
      </c>
      <c r="I1160" s="58" t="s">
        <v>33</v>
      </c>
      <c r="J1160" s="58" t="s">
        <v>93</v>
      </c>
      <c r="K1160" s="58">
        <v>7.0</v>
      </c>
      <c r="L1160" s="58" t="s">
        <v>76</v>
      </c>
      <c r="M1160" s="61" t="s">
        <v>3542</v>
      </c>
      <c r="N1160" s="77"/>
      <c r="O1160" s="58"/>
      <c r="P1160" s="58"/>
      <c r="Q1160" s="84"/>
      <c r="R1160" s="62"/>
      <c r="S1160" s="37" t="str">
        <f>IFERROR(__xludf.DUMMYFUNCTION("if(not(iserror(index(split(C1160, "" ""),2))), index(split(C1160, "" ""),1),"""")"),"May")</f>
        <v>May</v>
      </c>
      <c r="T1160" s="38">
        <f>IFERROR(__xludf.DUMMYFUNCTION("if(S1160="""",C1160,if(not(iserror(index(split(C1160, "" ""),3))), index(split(C1160, "" ""),3),index(split(C1160, "" ""),2)))"),2018.0)</f>
        <v>2018</v>
      </c>
      <c r="U1160" s="38" t="b">
        <f t="shared" si="172"/>
        <v>0</v>
      </c>
      <c r="V1160" s="38"/>
      <c r="W1160" s="40"/>
      <c r="X1160" s="40"/>
      <c r="Y1160" s="40"/>
      <c r="Z1160" s="38"/>
      <c r="AA1160" s="38"/>
      <c r="AB1160" s="38"/>
      <c r="AC1160" s="38"/>
      <c r="AD1160" s="38"/>
      <c r="AE1160" s="38"/>
      <c r="AF1160" s="38"/>
      <c r="AG1160" s="38"/>
      <c r="AH1160" s="38"/>
      <c r="AI1160" s="38"/>
      <c r="AJ1160" s="38"/>
      <c r="AK1160" s="38"/>
      <c r="AL1160" s="38"/>
      <c r="AM1160" s="38"/>
      <c r="AN1160" s="38"/>
      <c r="AO1160" s="38"/>
      <c r="AP1160" s="38"/>
      <c r="AQ1160" s="38"/>
      <c r="AR1160" s="38"/>
      <c r="AS1160" s="38"/>
      <c r="AT1160" s="38"/>
      <c r="AU1160" s="38"/>
      <c r="AV1160" s="38"/>
      <c r="AW1160" s="38"/>
      <c r="AX1160" s="38"/>
      <c r="AY1160" s="38"/>
      <c r="AZ1160" s="38"/>
      <c r="BA1160" s="38"/>
      <c r="BB1160" s="38"/>
      <c r="BC1160" s="38"/>
      <c r="BD1160" s="38"/>
      <c r="BE1160" s="38"/>
      <c r="BF1160" s="38"/>
      <c r="BG1160" s="38"/>
      <c r="BH1160" s="38"/>
      <c r="BI1160" s="38"/>
      <c r="BJ1160" s="38"/>
      <c r="BK1160" s="38"/>
      <c r="BL1160" s="38"/>
      <c r="BM1160" s="38"/>
      <c r="BN1160" s="38"/>
      <c r="BO1160" s="38"/>
      <c r="BP1160" s="38"/>
      <c r="BQ1160" s="38"/>
    </row>
    <row r="1161">
      <c r="A1161" s="13" t="s">
        <v>3543</v>
      </c>
      <c r="B1161" s="30">
        <v>43192.0</v>
      </c>
      <c r="C1161" s="30">
        <v>43224.0</v>
      </c>
      <c r="D1161" s="143">
        <v>43224.0</v>
      </c>
      <c r="E1161" s="13" t="s">
        <v>41</v>
      </c>
      <c r="F1161" s="13">
        <v>1.0</v>
      </c>
      <c r="G1161" s="13" t="s">
        <v>32</v>
      </c>
      <c r="H1161" s="33">
        <f t="shared" si="173"/>
        <v>1</v>
      </c>
      <c r="I1161" s="13" t="s">
        <v>33</v>
      </c>
      <c r="J1161" s="13" t="s">
        <v>283</v>
      </c>
      <c r="K1161" s="13" t="s">
        <v>40</v>
      </c>
      <c r="L1161" s="13" t="s">
        <v>3544</v>
      </c>
      <c r="M1161" s="35" t="s">
        <v>3545</v>
      </c>
      <c r="N1161" s="15"/>
      <c r="O1161" s="16"/>
      <c r="P1161" s="16"/>
      <c r="Q1161" s="16"/>
      <c r="R1161" s="16"/>
      <c r="S1161" s="37" t="str">
        <f>IFERROR(__xludf.DUMMYFUNCTION("if(not(iserror(index(split(C1161, "" ""),2))), index(split(C1161, "" ""),1),"""")"),"May")</f>
        <v>May</v>
      </c>
      <c r="T1161" s="38">
        <f>IFERROR(__xludf.DUMMYFUNCTION("if(S1161="""",C1161,if(not(iserror(index(split(C1161, "" ""),3))), index(split(C1161, "" ""),3),index(split(C1161, "" ""),2)))"),2018.0)</f>
        <v>2018</v>
      </c>
      <c r="U1161" s="38" t="b">
        <f t="shared" si="172"/>
        <v>0</v>
      </c>
      <c r="V1161" s="38"/>
      <c r="W1161" s="40"/>
      <c r="X1161" s="40"/>
      <c r="Y1161" s="40"/>
      <c r="Z1161" s="38"/>
      <c r="AA1161" s="38"/>
      <c r="AB1161" s="38"/>
      <c r="AC1161" s="38"/>
      <c r="AD1161" s="38"/>
      <c r="AE1161" s="38"/>
      <c r="AF1161" s="38"/>
      <c r="AG1161" s="38"/>
      <c r="AH1161" s="38"/>
      <c r="AI1161" s="38"/>
      <c r="AJ1161" s="38"/>
      <c r="AK1161" s="38"/>
      <c r="AL1161" s="38"/>
      <c r="AM1161" s="38"/>
      <c r="AN1161" s="38"/>
      <c r="AO1161" s="38"/>
      <c r="AP1161" s="38"/>
      <c r="AQ1161" s="38"/>
      <c r="AR1161" s="38"/>
      <c r="AS1161" s="38"/>
      <c r="AT1161" s="38"/>
      <c r="AU1161" s="38"/>
      <c r="AV1161" s="38"/>
      <c r="AW1161" s="38"/>
      <c r="AX1161" s="38"/>
      <c r="AY1161" s="38"/>
      <c r="AZ1161" s="38"/>
      <c r="BA1161" s="38"/>
      <c r="BB1161" s="38"/>
      <c r="BC1161" s="38"/>
      <c r="BD1161" s="38"/>
      <c r="BE1161" s="38"/>
      <c r="BF1161" s="38"/>
      <c r="BG1161" s="38"/>
      <c r="BH1161" s="38"/>
      <c r="BI1161" s="38"/>
      <c r="BJ1161" s="38"/>
      <c r="BK1161" s="38"/>
      <c r="BL1161" s="38"/>
      <c r="BM1161" s="38"/>
      <c r="BN1161" s="38"/>
      <c r="BO1161" s="38"/>
      <c r="BP1161" s="38"/>
      <c r="BQ1161" s="38"/>
    </row>
    <row r="1162">
      <c r="A1162" s="37" t="s">
        <v>40</v>
      </c>
      <c r="B1162" s="59">
        <v>43226.0</v>
      </c>
      <c r="C1162" s="59">
        <v>43224.0</v>
      </c>
      <c r="D1162" s="60" t="s">
        <v>3546</v>
      </c>
      <c r="E1162" s="58" t="s">
        <v>41</v>
      </c>
      <c r="F1162" s="58">
        <v>7.0</v>
      </c>
      <c r="G1162" s="58" t="s">
        <v>32</v>
      </c>
      <c r="H1162" s="33">
        <f t="shared" si="173"/>
        <v>1</v>
      </c>
      <c r="I1162" s="58" t="s">
        <v>33</v>
      </c>
      <c r="J1162" s="58" t="s">
        <v>75</v>
      </c>
      <c r="K1162" s="58">
        <v>1.0</v>
      </c>
      <c r="L1162" s="58" t="s">
        <v>349</v>
      </c>
      <c r="M1162" s="61" t="s">
        <v>3547</v>
      </c>
      <c r="N1162" s="77"/>
      <c r="O1162" s="62"/>
      <c r="P1162" s="62"/>
      <c r="Q1162" s="62"/>
      <c r="R1162" s="62"/>
      <c r="S1162" s="37" t="str">
        <f>IFERROR(__xludf.DUMMYFUNCTION("if(not(iserror(index(split(C1162, "" ""),2))), index(split(C1162, "" ""),1),"""")"),"May")</f>
        <v>May</v>
      </c>
      <c r="T1162" s="38">
        <f>IFERROR(__xludf.DUMMYFUNCTION("if(S1162="""",C1162,if(not(iserror(index(split(C1162, "" ""),3))), index(split(C1162, "" ""),3),index(split(C1162, "" ""),2)))"),2018.0)</f>
        <v>2018</v>
      </c>
      <c r="U1162" s="38" t="b">
        <f t="shared" si="172"/>
        <v>1</v>
      </c>
      <c r="V1162" s="38"/>
      <c r="W1162" s="40"/>
      <c r="X1162" s="40"/>
      <c r="Y1162" s="40"/>
      <c r="Z1162" s="38"/>
      <c r="AA1162" s="38"/>
      <c r="AB1162" s="38"/>
      <c r="AC1162" s="38"/>
      <c r="AD1162" s="38"/>
      <c r="AE1162" s="38"/>
      <c r="AF1162" s="38"/>
      <c r="AG1162" s="38"/>
      <c r="AH1162" s="38"/>
      <c r="AI1162" s="38"/>
      <c r="AJ1162" s="38"/>
      <c r="AK1162" s="38"/>
      <c r="AL1162" s="38"/>
      <c r="AM1162" s="38"/>
      <c r="AN1162" s="38"/>
      <c r="AO1162" s="38"/>
      <c r="AP1162" s="38"/>
      <c r="AQ1162" s="38"/>
      <c r="AR1162" s="38"/>
      <c r="AS1162" s="38"/>
      <c r="AT1162" s="38"/>
      <c r="AU1162" s="38"/>
      <c r="AV1162" s="38"/>
      <c r="AW1162" s="38"/>
      <c r="AX1162" s="38"/>
      <c r="AY1162" s="38"/>
      <c r="AZ1162" s="38"/>
      <c r="BA1162" s="38"/>
      <c r="BB1162" s="38"/>
      <c r="BC1162" s="38"/>
      <c r="BD1162" s="38"/>
      <c r="BE1162" s="38"/>
      <c r="BF1162" s="38"/>
      <c r="BG1162" s="38"/>
      <c r="BH1162" s="38"/>
      <c r="BI1162" s="38"/>
      <c r="BJ1162" s="38"/>
      <c r="BK1162" s="38"/>
      <c r="BL1162" s="38"/>
      <c r="BM1162" s="38"/>
      <c r="BN1162" s="38"/>
      <c r="BO1162" s="38"/>
      <c r="BP1162" s="38"/>
      <c r="BQ1162" s="38"/>
    </row>
    <row r="1163">
      <c r="A1163" s="37" t="s">
        <v>3548</v>
      </c>
      <c r="B1163" s="59">
        <v>43227.0</v>
      </c>
      <c r="C1163" s="59">
        <v>43224.0</v>
      </c>
      <c r="D1163" s="60" t="s">
        <v>3549</v>
      </c>
      <c r="E1163" s="58" t="s">
        <v>41</v>
      </c>
      <c r="F1163" s="58">
        <v>1.0</v>
      </c>
      <c r="G1163" s="58" t="s">
        <v>32</v>
      </c>
      <c r="H1163" s="33">
        <f t="shared" si="173"/>
        <v>1</v>
      </c>
      <c r="I1163" s="58" t="s">
        <v>33</v>
      </c>
      <c r="J1163" s="58" t="s">
        <v>111</v>
      </c>
      <c r="K1163" s="58">
        <v>2.0</v>
      </c>
      <c r="L1163" s="34" t="s">
        <v>35</v>
      </c>
      <c r="M1163" s="61" t="s">
        <v>3550</v>
      </c>
      <c r="N1163" s="77"/>
      <c r="O1163" s="62"/>
      <c r="P1163" s="62"/>
      <c r="Q1163" s="62"/>
      <c r="R1163" s="62"/>
      <c r="S1163" s="37" t="str">
        <f>IFERROR(__xludf.DUMMYFUNCTION("if(not(iserror(index(split(C1163, "" ""),2))), index(split(C1163, "" ""),1),"""")"),"May")</f>
        <v>May</v>
      </c>
      <c r="T1163" s="38">
        <f>IFERROR(__xludf.DUMMYFUNCTION("if(S1163="""",C1163,if(not(iserror(index(split(C1163, "" ""),3))), index(split(C1163, "" ""),3),index(split(C1163, "" ""),2)))"),2018.0)</f>
        <v>2018</v>
      </c>
      <c r="U1163" s="38" t="b">
        <f t="shared" si="172"/>
        <v>0</v>
      </c>
      <c r="V1163" s="38"/>
      <c r="W1163" s="40"/>
      <c r="X1163" s="40"/>
      <c r="Y1163" s="40"/>
      <c r="Z1163" s="38"/>
      <c r="AA1163" s="38"/>
      <c r="AB1163" s="38"/>
      <c r="AC1163" s="38"/>
      <c r="AD1163" s="38"/>
      <c r="AE1163" s="38"/>
      <c r="AF1163" s="38"/>
      <c r="AG1163" s="38"/>
      <c r="AH1163" s="38"/>
      <c r="AI1163" s="38"/>
      <c r="AJ1163" s="38"/>
      <c r="AK1163" s="38"/>
      <c r="AL1163" s="38"/>
      <c r="AM1163" s="38"/>
      <c r="AN1163" s="38"/>
      <c r="AO1163" s="38"/>
      <c r="AP1163" s="38"/>
      <c r="AQ1163" s="38"/>
      <c r="AR1163" s="38"/>
      <c r="AS1163" s="38"/>
      <c r="AT1163" s="38"/>
      <c r="AU1163" s="38"/>
      <c r="AV1163" s="38"/>
      <c r="AW1163" s="38"/>
      <c r="AX1163" s="38"/>
      <c r="AY1163" s="38"/>
      <c r="AZ1163" s="38"/>
      <c r="BA1163" s="38"/>
      <c r="BB1163" s="38"/>
      <c r="BC1163" s="38"/>
      <c r="BD1163" s="38"/>
      <c r="BE1163" s="38"/>
      <c r="BF1163" s="38"/>
      <c r="BG1163" s="38"/>
      <c r="BH1163" s="38"/>
      <c r="BI1163" s="38"/>
      <c r="BJ1163" s="38"/>
      <c r="BK1163" s="38"/>
      <c r="BL1163" s="38"/>
      <c r="BM1163" s="38"/>
      <c r="BN1163" s="38"/>
      <c r="BO1163" s="38"/>
      <c r="BP1163" s="38"/>
      <c r="BQ1163" s="38"/>
    </row>
    <row r="1164">
      <c r="A1164" s="78" t="s">
        <v>3551</v>
      </c>
      <c r="B1164" s="99">
        <v>43293.0</v>
      </c>
      <c r="C1164" s="59">
        <v>43224.0</v>
      </c>
      <c r="D1164" s="60" t="s">
        <v>3549</v>
      </c>
      <c r="E1164" s="58" t="s">
        <v>31</v>
      </c>
      <c r="F1164" s="58">
        <v>1.0</v>
      </c>
      <c r="G1164" s="58" t="s">
        <v>32</v>
      </c>
      <c r="H1164" s="33">
        <f t="shared" si="173"/>
        <v>1</v>
      </c>
      <c r="I1164" s="58" t="s">
        <v>33</v>
      </c>
      <c r="J1164" s="58" t="s">
        <v>111</v>
      </c>
      <c r="K1164" s="58">
        <v>2.0</v>
      </c>
      <c r="L1164" s="58" t="s">
        <v>35</v>
      </c>
      <c r="M1164" s="46" t="s">
        <v>3552</v>
      </c>
      <c r="N1164" s="77"/>
      <c r="O1164" s="62"/>
      <c r="P1164" s="62"/>
      <c r="Q1164" s="62"/>
      <c r="R1164" s="62"/>
      <c r="S1164" s="37" t="str">
        <f>IFERROR(__xludf.DUMMYFUNCTION("if(not(iserror(index(split(C1164, "" ""),2))), index(split(C1164, "" ""),1),"""")"),"May")</f>
        <v>May</v>
      </c>
      <c r="T1164" s="38">
        <f>IFERROR(__xludf.DUMMYFUNCTION("if(S1164="""",C1164,if(not(iserror(index(split(C1164, "" ""),3))), index(split(C1164, "" ""),3),index(split(C1164, "" ""),2)))"),2018.0)</f>
        <v>2018</v>
      </c>
      <c r="U1164" s="38" t="b">
        <f t="shared" si="172"/>
        <v>0</v>
      </c>
      <c r="V1164" s="38"/>
      <c r="W1164" s="40"/>
      <c r="X1164" s="40"/>
      <c r="Y1164" s="40"/>
      <c r="Z1164" s="38"/>
      <c r="AA1164" s="38"/>
      <c r="AB1164" s="38"/>
      <c r="AC1164" s="38"/>
      <c r="AD1164" s="38"/>
      <c r="AE1164" s="38"/>
      <c r="AF1164" s="38"/>
      <c r="AG1164" s="38"/>
      <c r="AH1164" s="38"/>
      <c r="AI1164" s="38"/>
      <c r="AJ1164" s="38"/>
      <c r="AK1164" s="38"/>
      <c r="AL1164" s="38"/>
      <c r="AM1164" s="38"/>
      <c r="AN1164" s="38"/>
      <c r="AO1164" s="38"/>
      <c r="AP1164" s="38"/>
      <c r="AQ1164" s="38"/>
      <c r="AR1164" s="38"/>
      <c r="AS1164" s="38"/>
      <c r="AT1164" s="38"/>
      <c r="AU1164" s="38"/>
      <c r="AV1164" s="38"/>
      <c r="AW1164" s="38"/>
      <c r="AX1164" s="38"/>
      <c r="AY1164" s="38"/>
      <c r="AZ1164" s="38"/>
      <c r="BA1164" s="38"/>
      <c r="BB1164" s="38"/>
      <c r="BC1164" s="38"/>
      <c r="BD1164" s="38"/>
      <c r="BE1164" s="38"/>
      <c r="BF1164" s="38"/>
      <c r="BG1164" s="38"/>
      <c r="BH1164" s="38"/>
      <c r="BI1164" s="38"/>
      <c r="BJ1164" s="38"/>
      <c r="BK1164" s="38"/>
      <c r="BL1164" s="38"/>
      <c r="BM1164" s="38"/>
      <c r="BN1164" s="38"/>
      <c r="BO1164" s="38"/>
      <c r="BP1164" s="38"/>
      <c r="BQ1164" s="38"/>
    </row>
    <row r="1165">
      <c r="A1165" s="37" t="s">
        <v>3553</v>
      </c>
      <c r="B1165" s="59">
        <v>43225.0</v>
      </c>
      <c r="C1165" s="59">
        <v>43225.0</v>
      </c>
      <c r="D1165" s="60" t="s">
        <v>3554</v>
      </c>
      <c r="E1165" s="58" t="s">
        <v>41</v>
      </c>
      <c r="F1165" s="58">
        <v>1.0</v>
      </c>
      <c r="G1165" s="58">
        <v>2.0</v>
      </c>
      <c r="H1165" s="33">
        <f t="shared" si="173"/>
        <v>2</v>
      </c>
      <c r="I1165" s="58" t="s">
        <v>33</v>
      </c>
      <c r="J1165" s="58" t="s">
        <v>172</v>
      </c>
      <c r="K1165" s="58">
        <v>1.0</v>
      </c>
      <c r="L1165" s="58" t="s">
        <v>3555</v>
      </c>
      <c r="M1165" s="61" t="s">
        <v>3556</v>
      </c>
      <c r="N1165" s="77"/>
      <c r="O1165" s="62"/>
      <c r="P1165" s="62"/>
      <c r="Q1165" s="62"/>
      <c r="R1165" s="62"/>
      <c r="S1165" s="37" t="str">
        <f>IFERROR(__xludf.DUMMYFUNCTION("if(not(iserror(index(split(C1165, "" ""),2))), index(split(C1165, "" ""),1),"""")"),"May")</f>
        <v>May</v>
      </c>
      <c r="T1165" s="38">
        <f>IFERROR(__xludf.DUMMYFUNCTION("if(S1165="""",C1165,if(not(iserror(index(split(C1165, "" ""),3))), index(split(C1165, "" ""),3),index(split(C1165, "" ""),2)))"),2018.0)</f>
        <v>2018</v>
      </c>
      <c r="U1165" s="38" t="b">
        <f t="shared" si="172"/>
        <v>0</v>
      </c>
      <c r="V1165" s="38"/>
      <c r="W1165" s="40"/>
      <c r="X1165" s="40"/>
      <c r="Y1165" s="40"/>
      <c r="Z1165" s="38"/>
      <c r="AA1165" s="38"/>
      <c r="AB1165" s="38"/>
      <c r="AC1165" s="38"/>
      <c r="AD1165" s="38"/>
      <c r="AE1165" s="38"/>
      <c r="AF1165" s="38"/>
      <c r="AG1165" s="38"/>
      <c r="AH1165" s="38"/>
      <c r="AI1165" s="38"/>
      <c r="AJ1165" s="38"/>
      <c r="AK1165" s="38"/>
      <c r="AL1165" s="38"/>
      <c r="AM1165" s="38"/>
      <c r="AN1165" s="38"/>
      <c r="AO1165" s="38"/>
      <c r="AP1165" s="38"/>
      <c r="AQ1165" s="38"/>
      <c r="AR1165" s="38"/>
      <c r="AS1165" s="38"/>
      <c r="AT1165" s="38"/>
      <c r="AU1165" s="38"/>
      <c r="AV1165" s="38"/>
      <c r="AW1165" s="38"/>
      <c r="AX1165" s="38"/>
      <c r="AY1165" s="38"/>
      <c r="AZ1165" s="38"/>
      <c r="BA1165" s="38"/>
      <c r="BB1165" s="38"/>
      <c r="BC1165" s="38"/>
      <c r="BD1165" s="38"/>
      <c r="BE1165" s="38"/>
      <c r="BF1165" s="38"/>
      <c r="BG1165" s="38"/>
      <c r="BH1165" s="38"/>
      <c r="BI1165" s="38"/>
      <c r="BJ1165" s="38"/>
      <c r="BK1165" s="38"/>
      <c r="BL1165" s="38"/>
      <c r="BM1165" s="38"/>
      <c r="BN1165" s="38"/>
      <c r="BO1165" s="38"/>
      <c r="BP1165" s="38"/>
      <c r="BQ1165" s="38"/>
    </row>
    <row r="1166">
      <c r="A1166" s="37" t="s">
        <v>3557</v>
      </c>
      <c r="B1166" s="59">
        <v>43227.0</v>
      </c>
      <c r="C1166" s="59">
        <v>43225.0</v>
      </c>
      <c r="D1166" s="60" t="s">
        <v>3554</v>
      </c>
      <c r="E1166" s="58" t="s">
        <v>31</v>
      </c>
      <c r="F1166" s="58">
        <v>2.0</v>
      </c>
      <c r="G1166" s="58" t="s">
        <v>32</v>
      </c>
      <c r="H1166" s="33">
        <f t="shared" si="173"/>
        <v>1</v>
      </c>
      <c r="I1166" s="58" t="s">
        <v>33</v>
      </c>
      <c r="J1166" s="58" t="s">
        <v>115</v>
      </c>
      <c r="K1166" s="58">
        <v>1.0</v>
      </c>
      <c r="L1166" s="58" t="s">
        <v>2942</v>
      </c>
      <c r="M1166" s="61" t="s">
        <v>3558</v>
      </c>
      <c r="N1166" s="77"/>
      <c r="O1166" s="62"/>
      <c r="P1166" s="62"/>
      <c r="Q1166" s="62"/>
      <c r="R1166" s="62"/>
      <c r="S1166" s="37" t="str">
        <f>IFERROR(__xludf.DUMMYFUNCTION("if(not(iserror(index(split(C1166, "" ""),2))), index(split(C1166, "" ""),1),"""")"),"May")</f>
        <v>May</v>
      </c>
      <c r="T1166" s="38">
        <f>IFERROR(__xludf.DUMMYFUNCTION("if(S1166="""",C1166,if(not(iserror(index(split(C1166, "" ""),3))), index(split(C1166, "" ""),3),index(split(C1166, "" ""),2)))"),2018.0)</f>
        <v>2018</v>
      </c>
      <c r="U1166" s="38" t="b">
        <f t="shared" si="172"/>
        <v>0</v>
      </c>
      <c r="V1166" s="38"/>
      <c r="W1166" s="40"/>
      <c r="X1166" s="40"/>
      <c r="Y1166" s="40"/>
      <c r="Z1166" s="38"/>
      <c r="AA1166" s="38"/>
      <c r="AB1166" s="38"/>
      <c r="AC1166" s="38"/>
      <c r="AD1166" s="38"/>
      <c r="AE1166" s="38"/>
      <c r="AF1166" s="38"/>
      <c r="AG1166" s="38"/>
      <c r="AH1166" s="38"/>
      <c r="AI1166" s="38"/>
      <c r="AJ1166" s="38"/>
      <c r="AK1166" s="38"/>
      <c r="AL1166" s="38"/>
      <c r="AM1166" s="38"/>
      <c r="AN1166" s="38"/>
      <c r="AO1166" s="38"/>
      <c r="AP1166" s="38"/>
      <c r="AQ1166" s="38"/>
      <c r="AR1166" s="38"/>
      <c r="AS1166" s="38"/>
      <c r="AT1166" s="38"/>
      <c r="AU1166" s="38"/>
      <c r="AV1166" s="38"/>
      <c r="AW1166" s="38"/>
      <c r="AX1166" s="38"/>
      <c r="AY1166" s="38"/>
      <c r="AZ1166" s="38"/>
      <c r="BA1166" s="38"/>
      <c r="BB1166" s="38"/>
      <c r="BC1166" s="38"/>
      <c r="BD1166" s="38"/>
      <c r="BE1166" s="38"/>
      <c r="BF1166" s="38"/>
      <c r="BG1166" s="38"/>
      <c r="BH1166" s="38"/>
      <c r="BI1166" s="38"/>
      <c r="BJ1166" s="38"/>
      <c r="BK1166" s="38"/>
      <c r="BL1166" s="38"/>
      <c r="BM1166" s="38"/>
      <c r="BN1166" s="38"/>
      <c r="BO1166" s="38"/>
      <c r="BP1166" s="38"/>
      <c r="BQ1166" s="38"/>
    </row>
    <row r="1167">
      <c r="A1167" s="58" t="s">
        <v>3559</v>
      </c>
      <c r="B1167" s="59">
        <v>43348.0</v>
      </c>
      <c r="C1167" s="59">
        <v>43225.0</v>
      </c>
      <c r="D1167" s="60" t="s">
        <v>3554</v>
      </c>
      <c r="E1167" s="58" t="s">
        <v>41</v>
      </c>
      <c r="F1167" s="58">
        <v>1.0</v>
      </c>
      <c r="G1167" s="58" t="s">
        <v>32</v>
      </c>
      <c r="H1167" s="33">
        <f t="shared" si="173"/>
        <v>1</v>
      </c>
      <c r="I1167" s="58" t="s">
        <v>33</v>
      </c>
      <c r="J1167" s="58" t="s">
        <v>98</v>
      </c>
      <c r="K1167" s="58">
        <v>1.0</v>
      </c>
      <c r="L1167" s="58" t="s">
        <v>119</v>
      </c>
      <c r="M1167" s="61" t="s">
        <v>3560</v>
      </c>
      <c r="N1167" s="61" t="s">
        <v>3561</v>
      </c>
      <c r="O1167" s="88" t="str">
        <f>hyperlink("https://bad-boys.us/?q=MD-GA/4:18-cr-00022", "MD-GA 4:18-cr-00022")</f>
        <v>MD-GA 4:18-cr-00022</v>
      </c>
      <c r="P1167" s="88" t="s">
        <v>3562</v>
      </c>
      <c r="Q1167" s="84">
        <v>1.0</v>
      </c>
      <c r="R1167" s="62"/>
      <c r="S1167" s="37" t="str">
        <f>IFERROR(__xludf.DUMMYFUNCTION("if(not(iserror(index(split(C1167, "" ""),2))), index(split(C1167, "" ""),1),"""")"),"May")</f>
        <v>May</v>
      </c>
      <c r="T1167" s="38">
        <f>IFERROR(__xludf.DUMMYFUNCTION("if(S1167="""",C1167,if(not(iserror(index(split(C1167, "" ""),3))), index(split(C1167, "" ""),3),index(split(C1167, "" ""),2)))"),2018.0)</f>
        <v>2018</v>
      </c>
      <c r="U1167" s="38" t="b">
        <f t="shared" si="172"/>
        <v>0</v>
      </c>
      <c r="V1167" s="38"/>
      <c r="W1167" s="40"/>
      <c r="X1167" s="40"/>
      <c r="Y1167" s="40"/>
      <c r="Z1167" s="38"/>
      <c r="AA1167" s="38"/>
      <c r="AB1167" s="38"/>
      <c r="AC1167" s="38"/>
      <c r="AD1167" s="38"/>
      <c r="AE1167" s="38"/>
      <c r="AF1167" s="38"/>
      <c r="AG1167" s="38"/>
      <c r="AH1167" s="38"/>
      <c r="AI1167" s="38"/>
      <c r="AJ1167" s="38"/>
      <c r="AK1167" s="38"/>
      <c r="AL1167" s="38"/>
      <c r="AM1167" s="38"/>
      <c r="AN1167" s="38"/>
      <c r="AO1167" s="38"/>
      <c r="AP1167" s="38"/>
      <c r="AQ1167" s="38"/>
      <c r="AR1167" s="38"/>
      <c r="AS1167" s="38"/>
      <c r="AT1167" s="38"/>
      <c r="AU1167" s="38"/>
      <c r="AV1167" s="38"/>
      <c r="AW1167" s="38"/>
      <c r="AX1167" s="38"/>
      <c r="AY1167" s="38"/>
      <c r="AZ1167" s="38"/>
      <c r="BA1167" s="38"/>
      <c r="BB1167" s="38"/>
      <c r="BC1167" s="38"/>
      <c r="BD1167" s="38"/>
      <c r="BE1167" s="38"/>
      <c r="BF1167" s="38"/>
      <c r="BG1167" s="38"/>
      <c r="BH1167" s="38"/>
      <c r="BI1167" s="38"/>
      <c r="BJ1167" s="38"/>
      <c r="BK1167" s="38"/>
      <c r="BL1167" s="38"/>
      <c r="BM1167" s="38"/>
      <c r="BN1167" s="38"/>
      <c r="BO1167" s="38"/>
      <c r="BP1167" s="38"/>
      <c r="BQ1167" s="38"/>
    </row>
    <row r="1168">
      <c r="A1168" s="58" t="s">
        <v>3563</v>
      </c>
      <c r="B1168" s="59">
        <v>43433.0</v>
      </c>
      <c r="C1168" s="59">
        <v>43226.0</v>
      </c>
      <c r="D1168" s="60" t="s">
        <v>3546</v>
      </c>
      <c r="E1168" s="58" t="s">
        <v>41</v>
      </c>
      <c r="F1168" s="58">
        <v>1.0</v>
      </c>
      <c r="G1168" s="58" t="s">
        <v>32</v>
      </c>
      <c r="H1168" s="212">
        <f t="shared" si="173"/>
        <v>1</v>
      </c>
      <c r="I1168" s="58" t="s">
        <v>33</v>
      </c>
      <c r="J1168" s="213" t="s">
        <v>47</v>
      </c>
      <c r="K1168" s="213" t="s">
        <v>32</v>
      </c>
      <c r="L1168" s="213" t="s">
        <v>76</v>
      </c>
      <c r="M1168" s="120" t="s">
        <v>3564</v>
      </c>
      <c r="N1168" s="214" t="s">
        <v>3565</v>
      </c>
      <c r="O1168" s="88" t="str">
        <f>hyperlink("https://bad-boys.us/?q=SD-FL/0:18-cr-60117", "SD-FL 0:18-cr-60117")</f>
        <v>SD-FL 0:18-cr-60117</v>
      </c>
      <c r="P1168" s="88" t="s">
        <v>3566</v>
      </c>
      <c r="Q1168" s="58">
        <v>1.0</v>
      </c>
      <c r="R1168" s="62"/>
      <c r="S1168" s="37" t="str">
        <f>IFERROR(__xludf.DUMMYFUNCTION("if(not(iserror(index(split(C1168, "" ""),2))), index(split(C1168, "" ""),1),"""")"),"May")</f>
        <v>May</v>
      </c>
      <c r="T1168" s="38">
        <f>IFERROR(__xludf.DUMMYFUNCTION("if(S1168="""",C1168,if(not(iserror(index(split(C1168, "" ""),3))), index(split(C1168, "" ""),3),index(split(C1168, "" ""),2)))"),2018.0)</f>
        <v>2018</v>
      </c>
      <c r="U1168" s="38" t="b">
        <f t="shared" si="172"/>
        <v>0</v>
      </c>
      <c r="V1168" s="38" t="s">
        <v>33</v>
      </c>
      <c r="W1168" s="39" t="s">
        <v>3567</v>
      </c>
      <c r="X1168" s="40"/>
      <c r="Y1168" s="40"/>
      <c r="Z1168" s="38"/>
      <c r="AA1168" s="38"/>
      <c r="AB1168" s="38"/>
      <c r="AC1168" s="38"/>
      <c r="AD1168" s="38"/>
      <c r="AE1168" s="38"/>
      <c r="AF1168" s="38"/>
      <c r="AG1168" s="38"/>
      <c r="AH1168" s="38"/>
      <c r="AI1168" s="38"/>
      <c r="AJ1168" s="38"/>
      <c r="AK1168" s="38"/>
      <c r="AL1168" s="38"/>
      <c r="AM1168" s="38"/>
      <c r="AN1168" s="38"/>
      <c r="AO1168" s="38"/>
      <c r="AP1168" s="38"/>
      <c r="AQ1168" s="38"/>
      <c r="AR1168" s="38"/>
      <c r="AS1168" s="38"/>
      <c r="AT1168" s="38"/>
      <c r="AU1168" s="38"/>
      <c r="AV1168" s="38"/>
      <c r="AW1168" s="38"/>
      <c r="AX1168" s="38"/>
      <c r="AY1168" s="38"/>
      <c r="AZ1168" s="38"/>
      <c r="BA1168" s="38"/>
      <c r="BB1168" s="38"/>
      <c r="BC1168" s="38"/>
      <c r="BD1168" s="38"/>
      <c r="BE1168" s="38"/>
      <c r="BF1168" s="38"/>
      <c r="BG1168" s="38"/>
      <c r="BH1168" s="38"/>
      <c r="BI1168" s="38"/>
      <c r="BJ1168" s="38"/>
      <c r="BK1168" s="38"/>
      <c r="BL1168" s="38"/>
      <c r="BM1168" s="38"/>
      <c r="BN1168" s="38"/>
      <c r="BO1168" s="38"/>
      <c r="BP1168" s="38"/>
      <c r="BQ1168" s="38"/>
    </row>
    <row r="1169">
      <c r="A1169" s="37" t="s">
        <v>3568</v>
      </c>
      <c r="B1169" s="59"/>
      <c r="C1169" s="59">
        <v>43227.0</v>
      </c>
      <c r="D1169" s="60"/>
      <c r="E1169" s="58" t="s">
        <v>31</v>
      </c>
      <c r="F1169" s="58">
        <v>1.0</v>
      </c>
      <c r="G1169" s="58">
        <v>2.0</v>
      </c>
      <c r="H1169" s="43">
        <v>2.0</v>
      </c>
      <c r="I1169" s="58" t="s">
        <v>33</v>
      </c>
      <c r="J1169" s="58" t="s">
        <v>47</v>
      </c>
      <c r="K1169" s="58"/>
      <c r="L1169" s="58" t="s">
        <v>2316</v>
      </c>
      <c r="M1169" s="61" t="s">
        <v>3569</v>
      </c>
      <c r="N1169" s="61" t="s">
        <v>3570</v>
      </c>
      <c r="O1169" s="58"/>
      <c r="P1169" s="62"/>
      <c r="Q1169" s="58"/>
      <c r="R1169" s="62"/>
      <c r="S1169" s="37"/>
      <c r="T1169" s="38"/>
      <c r="U1169" s="38"/>
      <c r="V1169" s="38" t="s">
        <v>33</v>
      </c>
      <c r="W1169" s="39" t="s">
        <v>3571</v>
      </c>
      <c r="X1169" s="39" t="s">
        <v>3572</v>
      </c>
      <c r="Y1169" s="40"/>
      <c r="Z1169" s="38"/>
      <c r="AA1169" s="38"/>
      <c r="AB1169" s="38"/>
      <c r="AC1169" s="38"/>
      <c r="AD1169" s="38"/>
      <c r="AE1169" s="38"/>
      <c r="AF1169" s="38"/>
      <c r="AG1169" s="38"/>
      <c r="AH1169" s="38"/>
      <c r="AI1169" s="38"/>
      <c r="AJ1169" s="38"/>
      <c r="AK1169" s="38"/>
      <c r="AL1169" s="38"/>
      <c r="AM1169" s="38"/>
      <c r="AN1169" s="38"/>
      <c r="AO1169" s="38"/>
      <c r="AP1169" s="38"/>
      <c r="AQ1169" s="38"/>
      <c r="AR1169" s="38"/>
      <c r="AS1169" s="38"/>
      <c r="AT1169" s="38"/>
      <c r="AU1169" s="38"/>
      <c r="AV1169" s="38"/>
      <c r="AW1169" s="38"/>
      <c r="AX1169" s="38"/>
      <c r="AY1169" s="38"/>
      <c r="AZ1169" s="38"/>
      <c r="BA1169" s="38"/>
      <c r="BB1169" s="38"/>
      <c r="BC1169" s="38"/>
      <c r="BD1169" s="38"/>
      <c r="BE1169" s="38"/>
      <c r="BF1169" s="38"/>
      <c r="BG1169" s="38"/>
      <c r="BH1169" s="38"/>
      <c r="BI1169" s="38"/>
      <c r="BJ1169" s="38"/>
      <c r="BK1169" s="38"/>
      <c r="BL1169" s="38"/>
      <c r="BM1169" s="38"/>
      <c r="BN1169" s="38"/>
      <c r="BO1169" s="38"/>
      <c r="BP1169" s="38"/>
      <c r="BQ1169" s="38"/>
    </row>
    <row r="1170">
      <c r="A1170" s="37" t="s">
        <v>3573</v>
      </c>
      <c r="B1170" s="59"/>
      <c r="C1170" s="59">
        <v>43227.0</v>
      </c>
      <c r="D1170" s="60"/>
      <c r="E1170" s="58" t="s">
        <v>41</v>
      </c>
      <c r="F1170" s="58">
        <v>1.0</v>
      </c>
      <c r="G1170" s="58" t="s">
        <v>32</v>
      </c>
      <c r="H1170" s="43">
        <v>1.0</v>
      </c>
      <c r="I1170" s="58" t="s">
        <v>33</v>
      </c>
      <c r="J1170" s="58" t="s">
        <v>460</v>
      </c>
      <c r="K1170" s="58"/>
      <c r="L1170" s="58" t="s">
        <v>119</v>
      </c>
      <c r="M1170" s="61" t="s">
        <v>3574</v>
      </c>
      <c r="N1170" s="77"/>
      <c r="O1170" s="58"/>
      <c r="P1170" s="62"/>
      <c r="Q1170" s="58"/>
      <c r="R1170" s="62"/>
      <c r="S1170" s="37" t="str">
        <f>IFERROR(__xludf.DUMMYFUNCTION("if(not(iserror(index(split(C1170, "" ""),2))), index(split(C1170, "" ""),1),"""")"),"May")</f>
        <v>May</v>
      </c>
      <c r="T1170" s="38">
        <f>IFERROR(__xludf.DUMMYFUNCTION("if(S1170="""",C1170,if(not(iserror(index(split(C1170, "" ""),3))), index(split(C1170, "" ""),3),index(split(C1170, "" ""),2)))"),2018.0)</f>
        <v>2018</v>
      </c>
      <c r="U1170" s="38" t="b">
        <f t="shared" ref="U1170:U1182" si="174">countif(A$4:A4658, A1170)&gt;1</f>
        <v>0</v>
      </c>
      <c r="V1170" s="38" t="s">
        <v>33</v>
      </c>
      <c r="W1170" s="40"/>
      <c r="X1170" s="40"/>
      <c r="Y1170" s="40"/>
      <c r="Z1170" s="38"/>
      <c r="AA1170" s="38"/>
      <c r="AB1170" s="38"/>
      <c r="AC1170" s="38"/>
      <c r="AD1170" s="38"/>
      <c r="AE1170" s="38"/>
      <c r="AF1170" s="38"/>
      <c r="AG1170" s="38"/>
      <c r="AH1170" s="38"/>
      <c r="AI1170" s="38"/>
      <c r="AJ1170" s="38"/>
      <c r="AK1170" s="38"/>
      <c r="AL1170" s="38"/>
      <c r="AM1170" s="38"/>
      <c r="AN1170" s="38"/>
      <c r="AO1170" s="38"/>
      <c r="AP1170" s="38"/>
      <c r="AQ1170" s="38"/>
      <c r="AR1170" s="38"/>
      <c r="AS1170" s="38"/>
      <c r="AT1170" s="38"/>
      <c r="AU1170" s="38"/>
      <c r="AV1170" s="38"/>
      <c r="AW1170" s="38"/>
      <c r="AX1170" s="38"/>
      <c r="AY1170" s="38"/>
      <c r="AZ1170" s="38"/>
      <c r="BA1170" s="38"/>
      <c r="BB1170" s="38"/>
      <c r="BC1170" s="38"/>
      <c r="BD1170" s="38"/>
      <c r="BE1170" s="38"/>
      <c r="BF1170" s="38"/>
      <c r="BG1170" s="38"/>
      <c r="BH1170" s="38"/>
      <c r="BI1170" s="38"/>
      <c r="BJ1170" s="38"/>
      <c r="BK1170" s="38"/>
      <c r="BL1170" s="38"/>
      <c r="BM1170" s="38"/>
      <c r="BN1170" s="38"/>
      <c r="BO1170" s="38"/>
      <c r="BP1170" s="38"/>
      <c r="BQ1170" s="38"/>
    </row>
    <row r="1171">
      <c r="A1171" s="37" t="s">
        <v>3575</v>
      </c>
      <c r="B1171" s="59">
        <v>43227.0</v>
      </c>
      <c r="C1171" s="59">
        <v>43227.0</v>
      </c>
      <c r="D1171" s="60" t="s">
        <v>3509</v>
      </c>
      <c r="E1171" s="58" t="s">
        <v>31</v>
      </c>
      <c r="F1171" s="58">
        <v>1.0</v>
      </c>
      <c r="G1171" s="58" t="s">
        <v>32</v>
      </c>
      <c r="H1171" s="33">
        <f t="shared" ref="H1171:H1175" si="175">if(G1171="Unknown",1,G1171)</f>
        <v>1</v>
      </c>
      <c r="I1171" s="58" t="s">
        <v>33</v>
      </c>
      <c r="J1171" s="58" t="s">
        <v>172</v>
      </c>
      <c r="K1171" s="58">
        <v>1.0</v>
      </c>
      <c r="L1171" s="58" t="s">
        <v>349</v>
      </c>
      <c r="M1171" s="61" t="s">
        <v>3576</v>
      </c>
      <c r="N1171" s="77"/>
      <c r="O1171" s="58"/>
      <c r="P1171" s="62"/>
      <c r="Q1171" s="84"/>
      <c r="R1171" s="62"/>
      <c r="S1171" s="37" t="str">
        <f>IFERROR(__xludf.DUMMYFUNCTION("if(not(iserror(index(split(C1171, "" ""),2))), index(split(C1171, "" ""),1),"""")"),"May")</f>
        <v>May</v>
      </c>
      <c r="T1171" s="38">
        <f>IFERROR(__xludf.DUMMYFUNCTION("if(S1171="""",C1171,if(not(iserror(index(split(C1171, "" ""),3))), index(split(C1171, "" ""),3),index(split(C1171, "" ""),2)))"),2018.0)</f>
        <v>2018</v>
      </c>
      <c r="U1171" s="38" t="b">
        <f t="shared" si="174"/>
        <v>0</v>
      </c>
      <c r="V1171" s="38"/>
      <c r="W1171" s="40"/>
      <c r="X1171" s="40"/>
      <c r="Y1171" s="40"/>
      <c r="Z1171" s="38"/>
      <c r="AA1171" s="38"/>
      <c r="AB1171" s="38"/>
      <c r="AC1171" s="38"/>
      <c r="AD1171" s="38"/>
      <c r="AE1171" s="38"/>
      <c r="AF1171" s="38"/>
      <c r="AG1171" s="38"/>
      <c r="AH1171" s="38"/>
      <c r="AI1171" s="38"/>
      <c r="AJ1171" s="38"/>
      <c r="AK1171" s="38"/>
      <c r="AL1171" s="38"/>
      <c r="AM1171" s="38"/>
      <c r="AN1171" s="38"/>
      <c r="AO1171" s="38"/>
      <c r="AP1171" s="38"/>
      <c r="AQ1171" s="38"/>
      <c r="AR1171" s="38"/>
      <c r="AS1171" s="38"/>
      <c r="AT1171" s="38"/>
      <c r="AU1171" s="38"/>
      <c r="AV1171" s="38"/>
      <c r="AW1171" s="38"/>
      <c r="AX1171" s="38"/>
      <c r="AY1171" s="38"/>
      <c r="AZ1171" s="38"/>
      <c r="BA1171" s="38"/>
      <c r="BB1171" s="38"/>
      <c r="BC1171" s="38"/>
      <c r="BD1171" s="38"/>
      <c r="BE1171" s="38"/>
      <c r="BF1171" s="38"/>
      <c r="BG1171" s="38"/>
      <c r="BH1171" s="38"/>
      <c r="BI1171" s="38"/>
      <c r="BJ1171" s="38"/>
      <c r="BK1171" s="38"/>
      <c r="BL1171" s="38"/>
      <c r="BM1171" s="38"/>
      <c r="BN1171" s="38"/>
      <c r="BO1171" s="38"/>
      <c r="BP1171" s="38"/>
      <c r="BQ1171" s="38"/>
    </row>
    <row r="1172">
      <c r="A1172" s="37" t="s">
        <v>3577</v>
      </c>
      <c r="B1172" s="59">
        <v>43227.0</v>
      </c>
      <c r="C1172" s="59">
        <v>43227.0</v>
      </c>
      <c r="D1172" s="60" t="s">
        <v>3509</v>
      </c>
      <c r="E1172" s="58" t="s">
        <v>31</v>
      </c>
      <c r="F1172" s="58">
        <v>1.0</v>
      </c>
      <c r="G1172" s="58" t="s">
        <v>32</v>
      </c>
      <c r="H1172" s="33">
        <f t="shared" si="175"/>
        <v>1</v>
      </c>
      <c r="I1172" s="58" t="s">
        <v>33</v>
      </c>
      <c r="J1172" s="58" t="s">
        <v>402</v>
      </c>
      <c r="K1172" s="58">
        <v>1.0</v>
      </c>
      <c r="L1172" s="58" t="s">
        <v>3297</v>
      </c>
      <c r="M1172" s="61" t="s">
        <v>3578</v>
      </c>
      <c r="N1172" s="77"/>
      <c r="O1172" s="62"/>
      <c r="P1172" s="62"/>
      <c r="Q1172" s="62"/>
      <c r="R1172" s="62"/>
      <c r="S1172" s="37" t="str">
        <f>IFERROR(__xludf.DUMMYFUNCTION("if(not(iserror(index(split(C1172, "" ""),2))), index(split(C1172, "" ""),1),"""")"),"May")</f>
        <v>May</v>
      </c>
      <c r="T1172" s="38">
        <f>IFERROR(__xludf.DUMMYFUNCTION("if(S1172="""",C1172,if(not(iserror(index(split(C1172, "" ""),3))), index(split(C1172, "" ""),3),index(split(C1172, "" ""),2)))"),2018.0)</f>
        <v>2018</v>
      </c>
      <c r="U1172" s="38" t="b">
        <f t="shared" si="174"/>
        <v>0</v>
      </c>
      <c r="V1172" s="38"/>
      <c r="W1172" s="40"/>
      <c r="X1172" s="40"/>
      <c r="Y1172" s="40"/>
      <c r="Z1172" s="38"/>
      <c r="AA1172" s="38"/>
      <c r="AB1172" s="38"/>
      <c r="AC1172" s="38"/>
      <c r="AD1172" s="38"/>
      <c r="AE1172" s="38"/>
      <c r="AF1172" s="38"/>
      <c r="AG1172" s="38"/>
      <c r="AH1172" s="38"/>
      <c r="AI1172" s="38"/>
      <c r="AJ1172" s="38"/>
      <c r="AK1172" s="38"/>
      <c r="AL1172" s="38"/>
      <c r="AM1172" s="38"/>
      <c r="AN1172" s="38"/>
      <c r="AO1172" s="38"/>
      <c r="AP1172" s="38"/>
      <c r="AQ1172" s="38"/>
      <c r="AR1172" s="38"/>
      <c r="AS1172" s="38"/>
      <c r="AT1172" s="38"/>
      <c r="AU1172" s="38"/>
      <c r="AV1172" s="38"/>
      <c r="AW1172" s="38"/>
      <c r="AX1172" s="38"/>
      <c r="AY1172" s="38"/>
      <c r="AZ1172" s="38"/>
      <c r="BA1172" s="38"/>
      <c r="BB1172" s="38"/>
      <c r="BC1172" s="38"/>
      <c r="BD1172" s="38"/>
      <c r="BE1172" s="38"/>
      <c r="BF1172" s="38"/>
      <c r="BG1172" s="38"/>
      <c r="BH1172" s="38"/>
      <c r="BI1172" s="38"/>
      <c r="BJ1172" s="38"/>
      <c r="BK1172" s="38"/>
      <c r="BL1172" s="38"/>
      <c r="BM1172" s="38"/>
      <c r="BN1172" s="38"/>
      <c r="BO1172" s="38"/>
      <c r="BP1172" s="38"/>
      <c r="BQ1172" s="38"/>
    </row>
    <row r="1173">
      <c r="A1173" s="37" t="s">
        <v>239</v>
      </c>
      <c r="B1173" s="59">
        <v>43229.0</v>
      </c>
      <c r="C1173" s="59">
        <v>43227.0</v>
      </c>
      <c r="D1173" s="60" t="s">
        <v>3509</v>
      </c>
      <c r="E1173" s="58" t="s">
        <v>41</v>
      </c>
      <c r="F1173" s="58">
        <v>2.0</v>
      </c>
      <c r="G1173" s="58">
        <v>2.0</v>
      </c>
      <c r="H1173" s="33">
        <f t="shared" si="175"/>
        <v>2</v>
      </c>
      <c r="I1173" s="58" t="s">
        <v>33</v>
      </c>
      <c r="J1173" s="58" t="s">
        <v>241</v>
      </c>
      <c r="K1173" s="58">
        <v>1.0</v>
      </c>
      <c r="L1173" s="58" t="s">
        <v>194</v>
      </c>
      <c r="M1173" s="61" t="s">
        <v>3579</v>
      </c>
      <c r="N1173" s="77"/>
      <c r="O1173" s="62"/>
      <c r="P1173" s="62"/>
      <c r="Q1173" s="62"/>
      <c r="R1173" s="62"/>
      <c r="S1173" s="37" t="str">
        <f>IFERROR(__xludf.DUMMYFUNCTION("if(not(iserror(index(split(C1173, "" ""),2))), index(split(C1173, "" ""),1),"""")"),"May")</f>
        <v>May</v>
      </c>
      <c r="T1173" s="38">
        <f>IFERROR(__xludf.DUMMYFUNCTION("if(S1173="""",C1173,if(not(iserror(index(split(C1173, "" ""),3))), index(split(C1173, "" ""),3),index(split(C1173, "" ""),2)))"),2018.0)</f>
        <v>2018</v>
      </c>
      <c r="U1173" s="38" t="b">
        <f t="shared" si="174"/>
        <v>1</v>
      </c>
      <c r="V1173" s="38"/>
      <c r="W1173" s="40"/>
      <c r="X1173" s="40"/>
      <c r="Y1173" s="40"/>
      <c r="Z1173" s="38"/>
      <c r="AA1173" s="38"/>
      <c r="AB1173" s="38"/>
      <c r="AC1173" s="38"/>
      <c r="AD1173" s="38"/>
      <c r="AE1173" s="38"/>
      <c r="AF1173" s="38"/>
      <c r="AG1173" s="38"/>
      <c r="AH1173" s="38"/>
      <c r="AI1173" s="38"/>
      <c r="AJ1173" s="38"/>
      <c r="AK1173" s="38"/>
      <c r="AL1173" s="38"/>
      <c r="AM1173" s="38"/>
      <c r="AN1173" s="38"/>
      <c r="AO1173" s="38"/>
      <c r="AP1173" s="38"/>
      <c r="AQ1173" s="38"/>
      <c r="AR1173" s="38"/>
      <c r="AS1173" s="38"/>
      <c r="AT1173" s="38"/>
      <c r="AU1173" s="38"/>
      <c r="AV1173" s="38"/>
      <c r="AW1173" s="38"/>
      <c r="AX1173" s="38"/>
      <c r="AY1173" s="38"/>
      <c r="AZ1173" s="38"/>
      <c r="BA1173" s="38"/>
      <c r="BB1173" s="38"/>
      <c r="BC1173" s="38"/>
      <c r="BD1173" s="38"/>
      <c r="BE1173" s="38"/>
      <c r="BF1173" s="38"/>
      <c r="BG1173" s="38"/>
      <c r="BH1173" s="38"/>
      <c r="BI1173" s="38"/>
      <c r="BJ1173" s="38"/>
      <c r="BK1173" s="38"/>
      <c r="BL1173" s="38"/>
      <c r="BM1173" s="38"/>
      <c r="BN1173" s="38"/>
      <c r="BO1173" s="38"/>
      <c r="BP1173" s="38"/>
      <c r="BQ1173" s="38"/>
    </row>
    <row r="1174">
      <c r="A1174" s="58" t="s">
        <v>239</v>
      </c>
      <c r="B1174" s="59">
        <v>43231.0</v>
      </c>
      <c r="C1174" s="59">
        <v>43227.0</v>
      </c>
      <c r="D1174" s="60" t="s">
        <v>3509</v>
      </c>
      <c r="E1174" s="58" t="s">
        <v>41</v>
      </c>
      <c r="F1174" s="58">
        <v>1.0</v>
      </c>
      <c r="G1174" s="58">
        <v>4.0</v>
      </c>
      <c r="H1174" s="33">
        <f t="shared" si="175"/>
        <v>4</v>
      </c>
      <c r="I1174" s="58" t="s">
        <v>33</v>
      </c>
      <c r="J1174" s="58" t="s">
        <v>241</v>
      </c>
      <c r="K1174" s="58">
        <v>1.0</v>
      </c>
      <c r="L1174" s="58" t="s">
        <v>194</v>
      </c>
      <c r="M1174" s="61" t="s">
        <v>3580</v>
      </c>
      <c r="N1174" s="77"/>
      <c r="O1174" s="62"/>
      <c r="P1174" s="62"/>
      <c r="Q1174" s="62"/>
      <c r="R1174" s="62"/>
      <c r="S1174" s="37" t="str">
        <f>IFERROR(__xludf.DUMMYFUNCTION("if(not(iserror(index(split(C1174, "" ""),2))), index(split(C1174, "" ""),1),"""")"),"May")</f>
        <v>May</v>
      </c>
      <c r="T1174" s="38">
        <f>IFERROR(__xludf.DUMMYFUNCTION("if(S1174="""",C1174,if(not(iserror(index(split(C1174, "" ""),3))), index(split(C1174, "" ""),3),index(split(C1174, "" ""),2)))"),2018.0)</f>
        <v>2018</v>
      </c>
      <c r="U1174" s="38" t="b">
        <f t="shared" si="174"/>
        <v>1</v>
      </c>
      <c r="V1174" s="38"/>
      <c r="W1174" s="40"/>
      <c r="X1174" s="40"/>
      <c r="Y1174" s="40"/>
      <c r="Z1174" s="38"/>
      <c r="AA1174" s="38"/>
      <c r="AB1174" s="38"/>
      <c r="AC1174" s="38"/>
      <c r="AD1174" s="38"/>
      <c r="AE1174" s="38"/>
      <c r="AF1174" s="38"/>
      <c r="AG1174" s="38"/>
      <c r="AH1174" s="38"/>
      <c r="AI1174" s="38"/>
      <c r="AJ1174" s="38"/>
      <c r="AK1174" s="38"/>
      <c r="AL1174" s="38"/>
      <c r="AM1174" s="38"/>
      <c r="AN1174" s="38"/>
      <c r="AO1174" s="38"/>
      <c r="AP1174" s="38"/>
      <c r="AQ1174" s="38"/>
      <c r="AR1174" s="38"/>
      <c r="AS1174" s="38"/>
      <c r="AT1174" s="38"/>
      <c r="AU1174" s="38"/>
      <c r="AV1174" s="38"/>
      <c r="AW1174" s="38"/>
      <c r="AX1174" s="38"/>
      <c r="AY1174" s="38"/>
      <c r="AZ1174" s="38"/>
      <c r="BA1174" s="38"/>
      <c r="BB1174" s="38"/>
      <c r="BC1174" s="38"/>
      <c r="BD1174" s="38"/>
      <c r="BE1174" s="38"/>
      <c r="BF1174" s="38"/>
      <c r="BG1174" s="38"/>
      <c r="BH1174" s="38"/>
      <c r="BI1174" s="38"/>
      <c r="BJ1174" s="38"/>
      <c r="BK1174" s="38"/>
      <c r="BL1174" s="38"/>
      <c r="BM1174" s="38"/>
      <c r="BN1174" s="38"/>
      <c r="BO1174" s="38"/>
      <c r="BP1174" s="38"/>
      <c r="BQ1174" s="38"/>
    </row>
    <row r="1175">
      <c r="A1175" s="37" t="s">
        <v>3581</v>
      </c>
      <c r="B1175" s="59">
        <v>43257.0</v>
      </c>
      <c r="C1175" s="59">
        <v>43227.0</v>
      </c>
      <c r="D1175" s="60" t="s">
        <v>3509</v>
      </c>
      <c r="E1175" s="58" t="s">
        <v>41</v>
      </c>
      <c r="F1175" s="58">
        <v>1.0</v>
      </c>
      <c r="G1175" s="58" t="s">
        <v>32</v>
      </c>
      <c r="H1175" s="33">
        <f t="shared" si="175"/>
        <v>1</v>
      </c>
      <c r="I1175" s="58" t="s">
        <v>33</v>
      </c>
      <c r="J1175" s="58" t="s">
        <v>111</v>
      </c>
      <c r="K1175" s="58">
        <v>1.0</v>
      </c>
      <c r="L1175" s="58" t="s">
        <v>2602</v>
      </c>
      <c r="M1175" s="61" t="s">
        <v>3582</v>
      </c>
      <c r="N1175" s="77"/>
      <c r="O1175" s="62"/>
      <c r="P1175" s="62"/>
      <c r="Q1175" s="62"/>
      <c r="R1175" s="62"/>
      <c r="S1175" s="37" t="str">
        <f>IFERROR(__xludf.DUMMYFUNCTION("if(not(iserror(index(split(C1175, "" ""),2))), index(split(C1175, "" ""),1),"""")"),"May")</f>
        <v>May</v>
      </c>
      <c r="T1175" s="38">
        <f>IFERROR(__xludf.DUMMYFUNCTION("if(S1175="""",C1175,if(not(iserror(index(split(C1175, "" ""),3))), index(split(C1175, "" ""),3),index(split(C1175, "" ""),2)))"),2018.0)</f>
        <v>2018</v>
      </c>
      <c r="U1175" s="38" t="b">
        <f t="shared" si="174"/>
        <v>0</v>
      </c>
      <c r="V1175" s="38"/>
      <c r="W1175" s="40"/>
      <c r="X1175" s="40"/>
      <c r="Y1175" s="40"/>
      <c r="Z1175" s="38"/>
      <c r="AA1175" s="38"/>
      <c r="AB1175" s="38"/>
      <c r="AC1175" s="38"/>
      <c r="AD1175" s="38"/>
      <c r="AE1175" s="38"/>
      <c r="AF1175" s="38"/>
      <c r="AG1175" s="38"/>
      <c r="AH1175" s="38"/>
      <c r="AI1175" s="38"/>
      <c r="AJ1175" s="38"/>
      <c r="AK1175" s="38"/>
      <c r="AL1175" s="38"/>
      <c r="AM1175" s="38"/>
      <c r="AN1175" s="38"/>
      <c r="AO1175" s="38"/>
      <c r="AP1175" s="38"/>
      <c r="AQ1175" s="38"/>
      <c r="AR1175" s="38"/>
      <c r="AS1175" s="38"/>
      <c r="AT1175" s="38"/>
      <c r="AU1175" s="38"/>
      <c r="AV1175" s="38"/>
      <c r="AW1175" s="38"/>
      <c r="AX1175" s="38"/>
      <c r="AY1175" s="38"/>
      <c r="AZ1175" s="38"/>
      <c r="BA1175" s="38"/>
      <c r="BB1175" s="38"/>
      <c r="BC1175" s="38"/>
      <c r="BD1175" s="38"/>
      <c r="BE1175" s="38"/>
      <c r="BF1175" s="38"/>
      <c r="BG1175" s="38"/>
      <c r="BH1175" s="38"/>
      <c r="BI1175" s="38"/>
      <c r="BJ1175" s="38"/>
      <c r="BK1175" s="38"/>
      <c r="BL1175" s="38"/>
      <c r="BM1175" s="38"/>
      <c r="BN1175" s="38"/>
      <c r="BO1175" s="38"/>
      <c r="BP1175" s="38"/>
      <c r="BQ1175" s="38"/>
    </row>
    <row r="1176">
      <c r="A1176" s="37" t="s">
        <v>3583</v>
      </c>
      <c r="B1176" s="59"/>
      <c r="C1176" s="59">
        <v>43228.0</v>
      </c>
      <c r="D1176" s="60"/>
      <c r="E1176" s="58" t="s">
        <v>41</v>
      </c>
      <c r="F1176" s="58">
        <v>1.0</v>
      </c>
      <c r="G1176" s="58" t="s">
        <v>32</v>
      </c>
      <c r="H1176" s="43">
        <v>1.0</v>
      </c>
      <c r="I1176" s="58" t="s">
        <v>33</v>
      </c>
      <c r="J1176" s="58" t="s">
        <v>222</v>
      </c>
      <c r="K1176" s="58"/>
      <c r="L1176" s="58" t="s">
        <v>119</v>
      </c>
      <c r="M1176" s="61" t="s">
        <v>3584</v>
      </c>
      <c r="N1176" s="77"/>
      <c r="O1176" s="83" t="str">
        <f>hyperlink("https://bad-boys.us/?q=ED-WI/1:18-cr-00103", "ED-WI 1:18-cr-00103")</f>
        <v>ED-WI 1:18-cr-00103</v>
      </c>
      <c r="P1176" s="88" t="s">
        <v>3585</v>
      </c>
      <c r="Q1176" s="58">
        <v>1.0</v>
      </c>
      <c r="R1176" s="62"/>
      <c r="S1176" s="37" t="str">
        <f>IFERROR(__xludf.DUMMYFUNCTION("if(not(iserror(index(split(C1176, "" ""),2))), index(split(C1176, "" ""),1),"""")"),"May")</f>
        <v>May</v>
      </c>
      <c r="T1176" s="38">
        <f>IFERROR(__xludf.DUMMYFUNCTION("if(S1176="""",C1176,if(not(iserror(index(split(C1176, "" ""),3))), index(split(C1176, "" ""),3),index(split(C1176, "" ""),2)))"),2018.0)</f>
        <v>2018</v>
      </c>
      <c r="U1176" s="38" t="b">
        <f t="shared" si="174"/>
        <v>0</v>
      </c>
      <c r="V1176" s="38" t="s">
        <v>33</v>
      </c>
      <c r="W1176" s="40"/>
      <c r="X1176" s="40"/>
      <c r="Y1176" s="40"/>
      <c r="Z1176" s="38"/>
      <c r="AA1176" s="38"/>
      <c r="AB1176" s="38"/>
      <c r="AC1176" s="38"/>
      <c r="AD1176" s="38"/>
      <c r="AE1176" s="38"/>
      <c r="AF1176" s="38"/>
      <c r="AG1176" s="38"/>
      <c r="AH1176" s="38"/>
      <c r="AI1176" s="38"/>
      <c r="AJ1176" s="38"/>
      <c r="AK1176" s="38"/>
      <c r="AL1176" s="38"/>
      <c r="AM1176" s="38"/>
      <c r="AN1176" s="38"/>
      <c r="AO1176" s="38"/>
      <c r="AP1176" s="38"/>
      <c r="AQ1176" s="38"/>
      <c r="AR1176" s="38"/>
      <c r="AS1176" s="38"/>
      <c r="AT1176" s="38"/>
      <c r="AU1176" s="38"/>
      <c r="AV1176" s="38"/>
      <c r="AW1176" s="38"/>
      <c r="AX1176" s="38"/>
      <c r="AY1176" s="38"/>
      <c r="AZ1176" s="38"/>
      <c r="BA1176" s="38"/>
      <c r="BB1176" s="38"/>
      <c r="BC1176" s="38"/>
      <c r="BD1176" s="38"/>
      <c r="BE1176" s="38"/>
      <c r="BF1176" s="38"/>
      <c r="BG1176" s="38"/>
      <c r="BH1176" s="38"/>
      <c r="BI1176" s="38"/>
      <c r="BJ1176" s="38"/>
      <c r="BK1176" s="38"/>
      <c r="BL1176" s="38"/>
      <c r="BM1176" s="38"/>
      <c r="BN1176" s="38"/>
      <c r="BO1176" s="38"/>
      <c r="BP1176" s="38"/>
      <c r="BQ1176" s="38"/>
    </row>
    <row r="1177">
      <c r="A1177" s="37" t="s">
        <v>3586</v>
      </c>
      <c r="B1177" s="59">
        <v>43228.0</v>
      </c>
      <c r="C1177" s="59">
        <v>43228.0</v>
      </c>
      <c r="D1177" s="60" t="s">
        <v>3505</v>
      </c>
      <c r="E1177" s="58" t="s">
        <v>31</v>
      </c>
      <c r="F1177" s="58">
        <v>1.0</v>
      </c>
      <c r="G1177" s="58" t="s">
        <v>32</v>
      </c>
      <c r="H1177" s="33">
        <f t="shared" ref="H1177:H1180" si="176">if(G1177="Unknown",1,G1177)</f>
        <v>1</v>
      </c>
      <c r="I1177" s="58" t="s">
        <v>3587</v>
      </c>
      <c r="J1177" s="58"/>
      <c r="K1177" s="58" t="s">
        <v>40</v>
      </c>
      <c r="L1177" s="58" t="s">
        <v>3588</v>
      </c>
      <c r="M1177" s="61" t="s">
        <v>3589</v>
      </c>
      <c r="N1177" s="77"/>
      <c r="O1177" s="62"/>
      <c r="P1177" s="62"/>
      <c r="Q1177" s="62"/>
      <c r="R1177" s="62"/>
      <c r="S1177" s="37" t="str">
        <f>IFERROR(__xludf.DUMMYFUNCTION("if(not(iserror(index(split(C1177, "" ""),2))), index(split(C1177, "" ""),1),"""")"),"May")</f>
        <v>May</v>
      </c>
      <c r="T1177" s="38">
        <f>IFERROR(__xludf.DUMMYFUNCTION("if(S1177="""",C1177,if(not(iserror(index(split(C1177, "" ""),3))), index(split(C1177, "" ""),3),index(split(C1177, "" ""),2)))"),2018.0)</f>
        <v>2018</v>
      </c>
      <c r="U1177" s="38" t="b">
        <f t="shared" si="174"/>
        <v>0</v>
      </c>
      <c r="V1177" s="38"/>
      <c r="W1177" s="40"/>
      <c r="X1177" s="40"/>
      <c r="Y1177" s="40"/>
      <c r="Z1177" s="38"/>
      <c r="AA1177" s="38"/>
      <c r="AB1177" s="38"/>
      <c r="AC1177" s="38"/>
      <c r="AD1177" s="38"/>
      <c r="AE1177" s="38"/>
      <c r="AF1177" s="38"/>
      <c r="AG1177" s="38"/>
      <c r="AH1177" s="38"/>
      <c r="AI1177" s="38"/>
      <c r="AJ1177" s="38"/>
      <c r="AK1177" s="38"/>
      <c r="AL1177" s="38"/>
      <c r="AM1177" s="38"/>
      <c r="AN1177" s="38"/>
      <c r="AO1177" s="38"/>
      <c r="AP1177" s="38"/>
      <c r="AQ1177" s="38"/>
      <c r="AR1177" s="38"/>
      <c r="AS1177" s="38"/>
      <c r="AT1177" s="38"/>
      <c r="AU1177" s="38"/>
      <c r="AV1177" s="38"/>
      <c r="AW1177" s="38"/>
      <c r="AX1177" s="38"/>
      <c r="AY1177" s="38"/>
      <c r="AZ1177" s="38"/>
      <c r="BA1177" s="38"/>
      <c r="BB1177" s="38"/>
      <c r="BC1177" s="38"/>
      <c r="BD1177" s="38"/>
      <c r="BE1177" s="38"/>
      <c r="BF1177" s="38"/>
      <c r="BG1177" s="38"/>
      <c r="BH1177" s="38"/>
      <c r="BI1177" s="38"/>
      <c r="BJ1177" s="38"/>
      <c r="BK1177" s="38"/>
      <c r="BL1177" s="38"/>
      <c r="BM1177" s="38"/>
      <c r="BN1177" s="38"/>
      <c r="BO1177" s="38"/>
      <c r="BP1177" s="38"/>
      <c r="BQ1177" s="38"/>
    </row>
    <row r="1178">
      <c r="A1178" s="37" t="s">
        <v>3568</v>
      </c>
      <c r="B1178" s="59">
        <v>43229.0</v>
      </c>
      <c r="C1178" s="59">
        <v>43228.0</v>
      </c>
      <c r="D1178" s="60" t="s">
        <v>3505</v>
      </c>
      <c r="E1178" s="58" t="s">
        <v>31</v>
      </c>
      <c r="F1178" s="58">
        <v>1.0</v>
      </c>
      <c r="G1178" s="58" t="s">
        <v>32</v>
      </c>
      <c r="H1178" s="33">
        <f t="shared" si="176"/>
        <v>1</v>
      </c>
      <c r="I1178" s="58" t="s">
        <v>33</v>
      </c>
      <c r="J1178" s="58" t="s">
        <v>47</v>
      </c>
      <c r="K1178" s="58">
        <v>1.0</v>
      </c>
      <c r="L1178" s="58" t="s">
        <v>52</v>
      </c>
      <c r="M1178" s="61" t="s">
        <v>3590</v>
      </c>
      <c r="N1178" s="77"/>
      <c r="O1178" s="62"/>
      <c r="P1178" s="62"/>
      <c r="Q1178" s="62"/>
      <c r="R1178" s="62"/>
      <c r="S1178" s="37" t="str">
        <f>IFERROR(__xludf.DUMMYFUNCTION("if(not(iserror(index(split(C1178, "" ""),2))), index(split(C1178, "" ""),1),"""")"),"May")</f>
        <v>May</v>
      </c>
      <c r="T1178" s="38">
        <f>IFERROR(__xludf.DUMMYFUNCTION("if(S1178="""",C1178,if(not(iserror(index(split(C1178, "" ""),3))), index(split(C1178, "" ""),3),index(split(C1178, "" ""),2)))"),2018.0)</f>
        <v>2018</v>
      </c>
      <c r="U1178" s="38" t="b">
        <f t="shared" si="174"/>
        <v>1</v>
      </c>
      <c r="V1178" s="38"/>
      <c r="W1178" s="40"/>
      <c r="X1178" s="40"/>
      <c r="Y1178" s="40"/>
      <c r="Z1178" s="38"/>
      <c r="AA1178" s="38"/>
      <c r="AB1178" s="38"/>
      <c r="AC1178" s="38"/>
      <c r="AD1178" s="38"/>
      <c r="AE1178" s="38"/>
      <c r="AF1178" s="38"/>
      <c r="AG1178" s="38"/>
      <c r="AH1178" s="38"/>
      <c r="AI1178" s="38"/>
      <c r="AJ1178" s="38"/>
      <c r="AK1178" s="38"/>
      <c r="AL1178" s="38"/>
      <c r="AM1178" s="38"/>
      <c r="AN1178" s="38"/>
      <c r="AO1178" s="38"/>
      <c r="AP1178" s="38"/>
      <c r="AQ1178" s="38"/>
      <c r="AR1178" s="38"/>
      <c r="AS1178" s="38"/>
      <c r="AT1178" s="38"/>
      <c r="AU1178" s="38"/>
      <c r="AV1178" s="38"/>
      <c r="AW1178" s="38"/>
      <c r="AX1178" s="38"/>
      <c r="AY1178" s="38"/>
      <c r="AZ1178" s="38"/>
      <c r="BA1178" s="38"/>
      <c r="BB1178" s="38"/>
      <c r="BC1178" s="38"/>
      <c r="BD1178" s="38"/>
      <c r="BE1178" s="38"/>
      <c r="BF1178" s="38"/>
      <c r="BG1178" s="38"/>
      <c r="BH1178" s="38"/>
      <c r="BI1178" s="38"/>
      <c r="BJ1178" s="38"/>
      <c r="BK1178" s="38"/>
      <c r="BL1178" s="38"/>
      <c r="BM1178" s="38"/>
      <c r="BN1178" s="38"/>
      <c r="BO1178" s="38"/>
      <c r="BP1178" s="38"/>
      <c r="BQ1178" s="38"/>
    </row>
    <row r="1179">
      <c r="A1179" s="37" t="s">
        <v>3591</v>
      </c>
      <c r="B1179" s="59">
        <v>43229.0</v>
      </c>
      <c r="C1179" s="59">
        <v>43228.0</v>
      </c>
      <c r="D1179" s="60" t="s">
        <v>3505</v>
      </c>
      <c r="E1179" s="58" t="s">
        <v>31</v>
      </c>
      <c r="F1179" s="58">
        <v>1.0</v>
      </c>
      <c r="G1179" s="58" t="s">
        <v>32</v>
      </c>
      <c r="H1179" s="33">
        <f t="shared" si="176"/>
        <v>1</v>
      </c>
      <c r="I1179" s="58" t="s">
        <v>33</v>
      </c>
      <c r="J1179" s="58" t="s">
        <v>283</v>
      </c>
      <c r="K1179" s="58">
        <v>2.0</v>
      </c>
      <c r="L1179" s="58" t="s">
        <v>3592</v>
      </c>
      <c r="M1179" s="61" t="s">
        <v>3593</v>
      </c>
      <c r="N1179" s="77"/>
      <c r="O1179" s="62"/>
      <c r="P1179" s="62"/>
      <c r="Q1179" s="62"/>
      <c r="R1179" s="62"/>
      <c r="S1179" s="37" t="str">
        <f>IFERROR(__xludf.DUMMYFUNCTION("if(not(iserror(index(split(C1179, "" ""),2))), index(split(C1179, "" ""),1),"""")"),"May")</f>
        <v>May</v>
      </c>
      <c r="T1179" s="38">
        <f>IFERROR(__xludf.DUMMYFUNCTION("if(S1179="""",C1179,if(not(iserror(index(split(C1179, "" ""),3))), index(split(C1179, "" ""),3),index(split(C1179, "" ""),2)))"),2018.0)</f>
        <v>2018</v>
      </c>
      <c r="U1179" s="38" t="b">
        <f t="shared" si="174"/>
        <v>0</v>
      </c>
      <c r="V1179" s="38"/>
      <c r="W1179" s="40"/>
      <c r="X1179" s="40"/>
      <c r="Y1179" s="40"/>
      <c r="Z1179" s="38"/>
      <c r="AA1179" s="38"/>
      <c r="AB1179" s="38"/>
      <c r="AC1179" s="38"/>
      <c r="AD1179" s="38"/>
      <c r="AE1179" s="38"/>
      <c r="AF1179" s="38"/>
      <c r="AG1179" s="38"/>
      <c r="AH1179" s="38"/>
      <c r="AI1179" s="38"/>
      <c r="AJ1179" s="38"/>
      <c r="AK1179" s="38"/>
      <c r="AL1179" s="38"/>
      <c r="AM1179" s="38"/>
      <c r="AN1179" s="38"/>
      <c r="AO1179" s="38"/>
      <c r="AP1179" s="38"/>
      <c r="AQ1179" s="38"/>
      <c r="AR1179" s="38"/>
      <c r="AS1179" s="38"/>
      <c r="AT1179" s="38"/>
      <c r="AU1179" s="38"/>
      <c r="AV1179" s="38"/>
      <c r="AW1179" s="38"/>
      <c r="AX1179" s="38"/>
      <c r="AY1179" s="38"/>
      <c r="AZ1179" s="38"/>
      <c r="BA1179" s="38"/>
      <c r="BB1179" s="38"/>
      <c r="BC1179" s="38"/>
      <c r="BD1179" s="38"/>
      <c r="BE1179" s="38"/>
      <c r="BF1179" s="38"/>
      <c r="BG1179" s="38"/>
      <c r="BH1179" s="38"/>
      <c r="BI1179" s="38"/>
      <c r="BJ1179" s="38"/>
      <c r="BK1179" s="38"/>
      <c r="BL1179" s="38"/>
      <c r="BM1179" s="38"/>
      <c r="BN1179" s="38"/>
      <c r="BO1179" s="38"/>
      <c r="BP1179" s="38"/>
      <c r="BQ1179" s="38"/>
    </row>
    <row r="1180">
      <c r="A1180" s="58" t="s">
        <v>40</v>
      </c>
      <c r="B1180" s="59">
        <v>43236.0</v>
      </c>
      <c r="C1180" s="59">
        <v>43228.0</v>
      </c>
      <c r="D1180" s="60" t="s">
        <v>3505</v>
      </c>
      <c r="E1180" s="58" t="s">
        <v>31</v>
      </c>
      <c r="F1180" s="58">
        <v>4.0</v>
      </c>
      <c r="G1180" s="58" t="s">
        <v>32</v>
      </c>
      <c r="H1180" s="33">
        <f t="shared" si="176"/>
        <v>1</v>
      </c>
      <c r="I1180" s="58" t="s">
        <v>33</v>
      </c>
      <c r="J1180" s="58" t="s">
        <v>147</v>
      </c>
      <c r="K1180" s="58">
        <v>1.0</v>
      </c>
      <c r="L1180" s="34" t="s">
        <v>35</v>
      </c>
      <c r="M1180" s="61" t="s">
        <v>3594</v>
      </c>
      <c r="N1180" s="77"/>
      <c r="O1180" s="62"/>
      <c r="P1180" s="62"/>
      <c r="Q1180" s="62"/>
      <c r="R1180" s="62"/>
      <c r="S1180" s="37" t="str">
        <f>IFERROR(__xludf.DUMMYFUNCTION("if(not(iserror(index(split(C1180, "" ""),2))), index(split(C1180, "" ""),1),"""")"),"May")</f>
        <v>May</v>
      </c>
      <c r="T1180" s="38">
        <f>IFERROR(__xludf.DUMMYFUNCTION("if(S1180="""",C1180,if(not(iserror(index(split(C1180, "" ""),3))), index(split(C1180, "" ""),3),index(split(C1180, "" ""),2)))"),2018.0)</f>
        <v>2018</v>
      </c>
      <c r="U1180" s="38" t="b">
        <f t="shared" si="174"/>
        <v>1</v>
      </c>
      <c r="V1180" s="38"/>
      <c r="W1180" s="40"/>
      <c r="X1180" s="40"/>
      <c r="Y1180" s="40"/>
      <c r="Z1180" s="38"/>
      <c r="AA1180" s="38"/>
      <c r="AB1180" s="38"/>
      <c r="AC1180" s="38"/>
      <c r="AD1180" s="38"/>
      <c r="AE1180" s="38"/>
      <c r="AF1180" s="38"/>
      <c r="AG1180" s="38"/>
      <c r="AH1180" s="38"/>
      <c r="AI1180" s="38"/>
      <c r="AJ1180" s="38"/>
      <c r="AK1180" s="38"/>
      <c r="AL1180" s="38"/>
      <c r="AM1180" s="38"/>
      <c r="AN1180" s="38"/>
      <c r="AO1180" s="38"/>
      <c r="AP1180" s="38"/>
      <c r="AQ1180" s="38"/>
      <c r="AR1180" s="38"/>
      <c r="AS1180" s="38"/>
      <c r="AT1180" s="38"/>
      <c r="AU1180" s="38"/>
      <c r="AV1180" s="38"/>
      <c r="AW1180" s="38"/>
      <c r="AX1180" s="38"/>
      <c r="AY1180" s="38"/>
      <c r="AZ1180" s="38"/>
      <c r="BA1180" s="38"/>
      <c r="BB1180" s="38"/>
      <c r="BC1180" s="38"/>
      <c r="BD1180" s="38"/>
      <c r="BE1180" s="38"/>
      <c r="BF1180" s="38"/>
      <c r="BG1180" s="38"/>
      <c r="BH1180" s="38"/>
      <c r="BI1180" s="38"/>
      <c r="BJ1180" s="38"/>
      <c r="BK1180" s="38"/>
      <c r="BL1180" s="38"/>
      <c r="BM1180" s="38"/>
      <c r="BN1180" s="38"/>
      <c r="BO1180" s="38"/>
      <c r="BP1180" s="38"/>
      <c r="BQ1180" s="38"/>
    </row>
    <row r="1181">
      <c r="A1181" s="37" t="s">
        <v>3595</v>
      </c>
      <c r="B1181" s="59"/>
      <c r="C1181" s="59">
        <v>43593.0</v>
      </c>
      <c r="D1181" s="60"/>
      <c r="E1181" s="58" t="s">
        <v>41</v>
      </c>
      <c r="F1181" s="58">
        <v>1.0</v>
      </c>
      <c r="G1181" s="58">
        <v>1.0</v>
      </c>
      <c r="H1181" s="43">
        <v>1.0</v>
      </c>
      <c r="I1181" s="58" t="s">
        <v>33</v>
      </c>
      <c r="J1181" s="58" t="s">
        <v>279</v>
      </c>
      <c r="K1181" s="58"/>
      <c r="L1181" s="58" t="s">
        <v>76</v>
      </c>
      <c r="M1181" s="14" t="s">
        <v>3596</v>
      </c>
      <c r="N1181" s="202"/>
      <c r="O1181" s="83" t="str">
        <f t="shared" ref="O1181:O1182" si="177">hyperlink("https://bad-boys.us/?q=WD-MO/6:19-cr-03056", "WD-MO 6:19-cr-03056")</f>
        <v>WD-MO 6:19-cr-03056</v>
      </c>
      <c r="P1181" s="88" t="s">
        <v>3597</v>
      </c>
      <c r="Q1181" s="58">
        <v>1.0</v>
      </c>
      <c r="R1181" s="84"/>
      <c r="S1181" s="37" t="str">
        <f>IFERROR(__xludf.DUMMYFUNCTION("if(not(iserror(index(split(C1181, "" ""),2))), index(split(C1181, "" ""),1),"""")"),"May")</f>
        <v>May</v>
      </c>
      <c r="T1181" s="38">
        <f>IFERROR(__xludf.DUMMYFUNCTION("if(S1181="""",C1181,if(not(iserror(index(split(C1181, "" ""),3))), index(split(C1181, "" ""),3),index(split(C1181, "" ""),2)))"),2019.0)</f>
        <v>2019</v>
      </c>
      <c r="U1181" s="38" t="b">
        <f t="shared" si="174"/>
        <v>0</v>
      </c>
      <c r="V1181" s="38" t="s">
        <v>33</v>
      </c>
      <c r="W1181" s="40"/>
      <c r="X1181" s="40"/>
      <c r="Y1181" s="40"/>
      <c r="Z1181" s="38"/>
      <c r="AA1181" s="38"/>
      <c r="AB1181" s="38"/>
      <c r="AC1181" s="38"/>
      <c r="AD1181" s="38"/>
      <c r="AE1181" s="38"/>
      <c r="AF1181" s="38"/>
      <c r="AG1181" s="38"/>
      <c r="AH1181" s="38"/>
      <c r="AI1181" s="38"/>
      <c r="AJ1181" s="38"/>
      <c r="AK1181" s="38"/>
      <c r="AL1181" s="38"/>
      <c r="AM1181" s="38"/>
      <c r="AN1181" s="38"/>
      <c r="AO1181" s="38"/>
      <c r="AP1181" s="38"/>
      <c r="AQ1181" s="38"/>
      <c r="AR1181" s="38"/>
      <c r="AS1181" s="38"/>
      <c r="AT1181" s="38"/>
      <c r="AU1181" s="38"/>
      <c r="AV1181" s="38"/>
      <c r="AW1181" s="38"/>
      <c r="AX1181" s="38"/>
      <c r="AY1181" s="38"/>
      <c r="AZ1181" s="38"/>
      <c r="BA1181" s="38"/>
      <c r="BB1181" s="38"/>
      <c r="BC1181" s="38"/>
      <c r="BD1181" s="38"/>
      <c r="BE1181" s="38"/>
      <c r="BF1181" s="38"/>
      <c r="BG1181" s="38"/>
      <c r="BH1181" s="38"/>
      <c r="BI1181" s="38"/>
      <c r="BJ1181" s="38"/>
      <c r="BK1181" s="38"/>
      <c r="BL1181" s="38"/>
      <c r="BM1181" s="38"/>
      <c r="BN1181" s="38"/>
      <c r="BO1181" s="38"/>
      <c r="BP1181" s="38"/>
      <c r="BQ1181" s="38"/>
    </row>
    <row r="1182">
      <c r="A1182" s="37" t="s">
        <v>3598</v>
      </c>
      <c r="B1182" s="59"/>
      <c r="C1182" s="59">
        <v>43593.0</v>
      </c>
      <c r="D1182" s="60"/>
      <c r="E1182" s="58" t="s">
        <v>41</v>
      </c>
      <c r="F1182" s="58">
        <v>1.0</v>
      </c>
      <c r="G1182" s="58">
        <v>1.0</v>
      </c>
      <c r="H1182" s="43">
        <v>1.0</v>
      </c>
      <c r="I1182" s="58" t="s">
        <v>33</v>
      </c>
      <c r="J1182" s="58" t="s">
        <v>279</v>
      </c>
      <c r="K1182" s="58"/>
      <c r="L1182" s="58" t="s">
        <v>76</v>
      </c>
      <c r="M1182" s="14" t="s">
        <v>3596</v>
      </c>
      <c r="N1182" s="202"/>
      <c r="O1182" s="83" t="str">
        <f t="shared" si="177"/>
        <v>WD-MO 6:19-cr-03056</v>
      </c>
      <c r="P1182" s="88" t="s">
        <v>3597</v>
      </c>
      <c r="Q1182" s="84">
        <v>1.0</v>
      </c>
      <c r="R1182" s="84"/>
      <c r="S1182" s="37" t="str">
        <f>IFERROR(__xludf.DUMMYFUNCTION("if(not(iserror(index(split(C1182, "" ""),2))), index(split(C1182, "" ""),1),"""")"),"May")</f>
        <v>May</v>
      </c>
      <c r="T1182" s="38">
        <f>IFERROR(__xludf.DUMMYFUNCTION("if(S1182="""",C1182,if(not(iserror(index(split(C1182, "" ""),3))), index(split(C1182, "" ""),3),index(split(C1182, "" ""),2)))"),2019.0)</f>
        <v>2019</v>
      </c>
      <c r="U1182" s="38" t="b">
        <f t="shared" si="174"/>
        <v>0</v>
      </c>
      <c r="V1182" s="38" t="s">
        <v>33</v>
      </c>
      <c r="W1182" s="40"/>
      <c r="X1182" s="40"/>
      <c r="Y1182" s="40"/>
      <c r="Z1182" s="38"/>
      <c r="AA1182" s="38"/>
      <c r="AB1182" s="38"/>
      <c r="AC1182" s="38"/>
      <c r="AD1182" s="38"/>
      <c r="AE1182" s="38"/>
      <c r="AF1182" s="38"/>
      <c r="AG1182" s="38"/>
      <c r="AH1182" s="38"/>
      <c r="AI1182" s="38"/>
      <c r="AJ1182" s="38"/>
      <c r="AK1182" s="38"/>
      <c r="AL1182" s="38"/>
      <c r="AM1182" s="38"/>
      <c r="AN1182" s="38"/>
      <c r="AO1182" s="38"/>
      <c r="AP1182" s="38"/>
      <c r="AQ1182" s="38"/>
      <c r="AR1182" s="38"/>
      <c r="AS1182" s="38"/>
      <c r="AT1182" s="38"/>
      <c r="AU1182" s="38"/>
      <c r="AV1182" s="38"/>
      <c r="AW1182" s="38"/>
      <c r="AX1182" s="38"/>
      <c r="AY1182" s="38"/>
      <c r="AZ1182" s="38"/>
      <c r="BA1182" s="38"/>
      <c r="BB1182" s="38"/>
      <c r="BC1182" s="38"/>
      <c r="BD1182" s="38"/>
      <c r="BE1182" s="38"/>
      <c r="BF1182" s="38"/>
      <c r="BG1182" s="38"/>
      <c r="BH1182" s="38"/>
      <c r="BI1182" s="38"/>
      <c r="BJ1182" s="38"/>
      <c r="BK1182" s="38"/>
      <c r="BL1182" s="38"/>
      <c r="BM1182" s="38"/>
      <c r="BN1182" s="38"/>
      <c r="BO1182" s="38"/>
      <c r="BP1182" s="38"/>
      <c r="BQ1182" s="38"/>
    </row>
    <row r="1183">
      <c r="A1183" s="37" t="s">
        <v>3599</v>
      </c>
      <c r="B1183" s="59"/>
      <c r="C1183" s="59">
        <v>43229.0</v>
      </c>
      <c r="D1183" s="60"/>
      <c r="E1183" s="58" t="s">
        <v>31</v>
      </c>
      <c r="F1183" s="58">
        <v>1.0</v>
      </c>
      <c r="G1183" s="58" t="s">
        <v>32</v>
      </c>
      <c r="H1183" s="43">
        <v>1.0</v>
      </c>
      <c r="I1183" s="58" t="s">
        <v>33</v>
      </c>
      <c r="J1183" s="58" t="s">
        <v>47</v>
      </c>
      <c r="K1183" s="58"/>
      <c r="L1183" s="58" t="s">
        <v>2316</v>
      </c>
      <c r="M1183" s="36" t="s">
        <v>3600</v>
      </c>
      <c r="N1183" s="77"/>
      <c r="O1183" s="62"/>
      <c r="P1183" s="62"/>
      <c r="Q1183" s="62"/>
      <c r="R1183" s="62"/>
      <c r="S1183" s="37"/>
      <c r="T1183" s="38"/>
      <c r="U1183" s="38"/>
      <c r="V1183" s="38" t="s">
        <v>33</v>
      </c>
      <c r="W1183" s="39" t="s">
        <v>3601</v>
      </c>
      <c r="X1183" s="39" t="s">
        <v>3602</v>
      </c>
      <c r="Y1183" s="40"/>
      <c r="Z1183" s="38"/>
      <c r="AA1183" s="38"/>
      <c r="AB1183" s="38"/>
      <c r="AC1183" s="38"/>
      <c r="AD1183" s="38"/>
      <c r="AE1183" s="38"/>
      <c r="AF1183" s="38"/>
      <c r="AG1183" s="38"/>
      <c r="AH1183" s="38"/>
      <c r="AI1183" s="38"/>
      <c r="AJ1183" s="38"/>
      <c r="AK1183" s="38"/>
      <c r="AL1183" s="38"/>
      <c r="AM1183" s="38"/>
      <c r="AN1183" s="38"/>
      <c r="AO1183" s="38"/>
      <c r="AP1183" s="38"/>
      <c r="AQ1183" s="38"/>
      <c r="AR1183" s="38"/>
      <c r="AS1183" s="38"/>
      <c r="AT1183" s="38"/>
      <c r="AU1183" s="38"/>
      <c r="AV1183" s="38"/>
      <c r="AW1183" s="38"/>
      <c r="AX1183" s="38"/>
      <c r="AY1183" s="38"/>
      <c r="AZ1183" s="38"/>
      <c r="BA1183" s="38"/>
      <c r="BB1183" s="38"/>
      <c r="BC1183" s="38"/>
      <c r="BD1183" s="38"/>
      <c r="BE1183" s="38"/>
      <c r="BF1183" s="38"/>
      <c r="BG1183" s="38"/>
      <c r="BH1183" s="38"/>
      <c r="BI1183" s="38"/>
      <c r="BJ1183" s="38"/>
      <c r="BK1183" s="38"/>
      <c r="BL1183" s="38"/>
      <c r="BM1183" s="38"/>
      <c r="BN1183" s="38"/>
      <c r="BO1183" s="38"/>
      <c r="BP1183" s="38"/>
      <c r="BQ1183" s="38"/>
    </row>
    <row r="1184">
      <c r="A1184" s="37" t="s">
        <v>3603</v>
      </c>
      <c r="B1184" s="59">
        <v>43229.0</v>
      </c>
      <c r="C1184" s="59">
        <v>43229.0</v>
      </c>
      <c r="D1184" s="60" t="s">
        <v>3604</v>
      </c>
      <c r="E1184" s="58" t="s">
        <v>31</v>
      </c>
      <c r="F1184" s="58">
        <v>1.0</v>
      </c>
      <c r="G1184" s="58" t="s">
        <v>32</v>
      </c>
      <c r="H1184" s="33">
        <f t="shared" ref="H1184:H1187" si="178">if(G1184="Unknown",1,G1184)</f>
        <v>1</v>
      </c>
      <c r="I1184" s="58" t="s">
        <v>33</v>
      </c>
      <c r="J1184" s="58" t="s">
        <v>147</v>
      </c>
      <c r="K1184" s="58">
        <v>1.0</v>
      </c>
      <c r="L1184" s="58" t="s">
        <v>52</v>
      </c>
      <c r="M1184" s="36" t="s">
        <v>3605</v>
      </c>
      <c r="N1184" s="77"/>
      <c r="O1184" s="62"/>
      <c r="P1184" s="62"/>
      <c r="Q1184" s="62"/>
      <c r="R1184" s="62"/>
      <c r="S1184" s="37" t="str">
        <f>IFERROR(__xludf.DUMMYFUNCTION("if(not(iserror(index(split(C1184, "" ""),2))), index(split(C1184, "" ""),1),"""")"),"May")</f>
        <v>May</v>
      </c>
      <c r="T1184" s="38">
        <f>IFERROR(__xludf.DUMMYFUNCTION("if(S1184="""",C1184,if(not(iserror(index(split(C1184, "" ""),3))), index(split(C1184, "" ""),3),index(split(C1184, "" ""),2)))"),2018.0)</f>
        <v>2018</v>
      </c>
      <c r="U1184" s="38" t="b">
        <f t="shared" ref="U1184:U1264" si="179">countif(A$4:A4658, A1184)&gt;1</f>
        <v>0</v>
      </c>
      <c r="V1184" s="38"/>
      <c r="W1184" s="40"/>
      <c r="X1184" s="40"/>
      <c r="Y1184" s="40"/>
      <c r="Z1184" s="38"/>
      <c r="AA1184" s="38"/>
      <c r="AB1184" s="38"/>
      <c r="AC1184" s="38"/>
      <c r="AD1184" s="38"/>
      <c r="AE1184" s="38"/>
      <c r="AF1184" s="38"/>
      <c r="AG1184" s="38"/>
      <c r="AH1184" s="38"/>
      <c r="AI1184" s="38"/>
      <c r="AJ1184" s="38"/>
      <c r="AK1184" s="38"/>
      <c r="AL1184" s="38"/>
      <c r="AM1184" s="38"/>
      <c r="AN1184" s="38"/>
      <c r="AO1184" s="38"/>
      <c r="AP1184" s="38"/>
      <c r="AQ1184" s="38"/>
      <c r="AR1184" s="38"/>
      <c r="AS1184" s="38"/>
      <c r="AT1184" s="38"/>
      <c r="AU1184" s="38"/>
      <c r="AV1184" s="38"/>
      <c r="AW1184" s="38"/>
      <c r="AX1184" s="38"/>
      <c r="AY1184" s="38"/>
      <c r="AZ1184" s="38"/>
      <c r="BA1184" s="38"/>
      <c r="BB1184" s="38"/>
      <c r="BC1184" s="38"/>
      <c r="BD1184" s="38"/>
      <c r="BE1184" s="38"/>
      <c r="BF1184" s="38"/>
      <c r="BG1184" s="38"/>
      <c r="BH1184" s="38"/>
      <c r="BI1184" s="38"/>
      <c r="BJ1184" s="38"/>
      <c r="BK1184" s="38"/>
      <c r="BL1184" s="38"/>
      <c r="BM1184" s="38"/>
      <c r="BN1184" s="38"/>
      <c r="BO1184" s="38"/>
      <c r="BP1184" s="38"/>
      <c r="BQ1184" s="38"/>
    </row>
    <row r="1185">
      <c r="A1185" s="58" t="s">
        <v>40</v>
      </c>
      <c r="B1185" s="59">
        <v>43230.0</v>
      </c>
      <c r="C1185" s="59">
        <v>43229.0</v>
      </c>
      <c r="D1185" s="60" t="s">
        <v>3604</v>
      </c>
      <c r="E1185" s="58" t="s">
        <v>41</v>
      </c>
      <c r="F1185" s="58">
        <v>6.0</v>
      </c>
      <c r="G1185" s="58" t="s">
        <v>32</v>
      </c>
      <c r="H1185" s="33">
        <f t="shared" si="178"/>
        <v>1</v>
      </c>
      <c r="I1185" s="58" t="s">
        <v>33</v>
      </c>
      <c r="J1185" s="58" t="s">
        <v>89</v>
      </c>
      <c r="K1185" s="58">
        <v>1.0</v>
      </c>
      <c r="L1185" s="58" t="s">
        <v>52</v>
      </c>
      <c r="M1185" s="61" t="s">
        <v>3606</v>
      </c>
      <c r="N1185" s="77"/>
      <c r="O1185" s="62"/>
      <c r="P1185" s="62"/>
      <c r="Q1185" s="62"/>
      <c r="R1185" s="62"/>
      <c r="S1185" s="37" t="str">
        <f>IFERROR(__xludf.DUMMYFUNCTION("if(not(iserror(index(split(C1185, "" ""),2))), index(split(C1185, "" ""),1),"""")"),"May")</f>
        <v>May</v>
      </c>
      <c r="T1185" s="38">
        <f>IFERROR(__xludf.DUMMYFUNCTION("if(S1185="""",C1185,if(not(iserror(index(split(C1185, "" ""),3))), index(split(C1185, "" ""),3),index(split(C1185, "" ""),2)))"),2018.0)</f>
        <v>2018</v>
      </c>
      <c r="U1185" s="38" t="b">
        <f t="shared" si="179"/>
        <v>1</v>
      </c>
      <c r="V1185" s="38"/>
      <c r="W1185" s="40"/>
      <c r="X1185" s="40"/>
      <c r="Y1185" s="40"/>
      <c r="Z1185" s="38"/>
      <c r="AA1185" s="38"/>
      <c r="AB1185" s="38"/>
      <c r="AC1185" s="38"/>
      <c r="AD1185" s="38"/>
      <c r="AE1185" s="38"/>
      <c r="AF1185" s="38"/>
      <c r="AG1185" s="38"/>
      <c r="AH1185" s="38"/>
      <c r="AI1185" s="38"/>
      <c r="AJ1185" s="38"/>
      <c r="AK1185" s="38"/>
      <c r="AL1185" s="38"/>
      <c r="AM1185" s="38"/>
      <c r="AN1185" s="38"/>
      <c r="AO1185" s="38"/>
      <c r="AP1185" s="38"/>
      <c r="AQ1185" s="38"/>
      <c r="AR1185" s="38"/>
      <c r="AS1185" s="38"/>
      <c r="AT1185" s="38"/>
      <c r="AU1185" s="38"/>
      <c r="AV1185" s="38"/>
      <c r="AW1185" s="38"/>
      <c r="AX1185" s="38"/>
      <c r="AY1185" s="38"/>
      <c r="AZ1185" s="38"/>
      <c r="BA1185" s="38"/>
      <c r="BB1185" s="38"/>
      <c r="BC1185" s="38"/>
      <c r="BD1185" s="38"/>
      <c r="BE1185" s="38"/>
      <c r="BF1185" s="38"/>
      <c r="BG1185" s="38"/>
      <c r="BH1185" s="38"/>
      <c r="BI1185" s="38"/>
      <c r="BJ1185" s="38"/>
      <c r="BK1185" s="38"/>
      <c r="BL1185" s="38"/>
      <c r="BM1185" s="38"/>
      <c r="BN1185" s="38"/>
      <c r="BO1185" s="38"/>
      <c r="BP1185" s="38"/>
      <c r="BQ1185" s="38"/>
    </row>
    <row r="1186">
      <c r="A1186" s="37" t="s">
        <v>3607</v>
      </c>
      <c r="B1186" s="59">
        <v>43231.0</v>
      </c>
      <c r="C1186" s="59">
        <v>43229.0</v>
      </c>
      <c r="D1186" s="60" t="s">
        <v>3604</v>
      </c>
      <c r="E1186" s="58" t="s">
        <v>41</v>
      </c>
      <c r="F1186" s="58">
        <v>1.0</v>
      </c>
      <c r="G1186" s="58">
        <v>5.0</v>
      </c>
      <c r="H1186" s="33">
        <f t="shared" si="178"/>
        <v>5</v>
      </c>
      <c r="I1186" s="58" t="s">
        <v>33</v>
      </c>
      <c r="J1186" s="58" t="s">
        <v>3608</v>
      </c>
      <c r="K1186" s="58">
        <v>1.0</v>
      </c>
      <c r="L1186" s="34" t="s">
        <v>194</v>
      </c>
      <c r="M1186" s="61" t="s">
        <v>3609</v>
      </c>
      <c r="N1186" s="61" t="s">
        <v>3610</v>
      </c>
      <c r="O1186" s="88" t="str">
        <f>hyperlink("https://bad-boys.us/?q=D-VI/3:18-cr-00021", "D-VI 3:18-cr-00021")</f>
        <v>D-VI 3:18-cr-00021</v>
      </c>
      <c r="P1186" s="88" t="s">
        <v>3611</v>
      </c>
      <c r="Q1186" s="58">
        <v>1.0</v>
      </c>
      <c r="R1186" s="62"/>
      <c r="S1186" s="37" t="str">
        <f>IFERROR(__xludf.DUMMYFUNCTION("if(not(iserror(index(split(C1186, "" ""),2))), index(split(C1186, "" ""),1),"""")"),"May")</f>
        <v>May</v>
      </c>
      <c r="T1186" s="38">
        <f>IFERROR(__xludf.DUMMYFUNCTION("if(S1186="""",C1186,if(not(iserror(index(split(C1186, "" ""),3))), index(split(C1186, "" ""),3),index(split(C1186, "" ""),2)))"),2018.0)</f>
        <v>2018</v>
      </c>
      <c r="U1186" s="38" t="b">
        <f t="shared" si="179"/>
        <v>0</v>
      </c>
      <c r="V1186" s="38"/>
      <c r="W1186" s="40"/>
      <c r="X1186" s="40"/>
      <c r="Y1186" s="40"/>
      <c r="Z1186" s="38"/>
      <c r="AA1186" s="38"/>
      <c r="AB1186" s="38"/>
      <c r="AC1186" s="38"/>
      <c r="AD1186" s="38"/>
      <c r="AE1186" s="38"/>
      <c r="AF1186" s="38"/>
      <c r="AG1186" s="38"/>
      <c r="AH1186" s="38"/>
      <c r="AI1186" s="38"/>
      <c r="AJ1186" s="38"/>
      <c r="AK1186" s="38"/>
      <c r="AL1186" s="38"/>
      <c r="AM1186" s="38"/>
      <c r="AN1186" s="38"/>
      <c r="AO1186" s="38"/>
      <c r="AP1186" s="38"/>
      <c r="AQ1186" s="38"/>
      <c r="AR1186" s="38"/>
      <c r="AS1186" s="38"/>
      <c r="AT1186" s="38"/>
      <c r="AU1186" s="38"/>
      <c r="AV1186" s="38"/>
      <c r="AW1186" s="38"/>
      <c r="AX1186" s="38"/>
      <c r="AY1186" s="38"/>
      <c r="AZ1186" s="38"/>
      <c r="BA1186" s="38"/>
      <c r="BB1186" s="38"/>
      <c r="BC1186" s="38"/>
      <c r="BD1186" s="38"/>
      <c r="BE1186" s="38"/>
      <c r="BF1186" s="38"/>
      <c r="BG1186" s="38"/>
      <c r="BH1186" s="38"/>
      <c r="BI1186" s="38"/>
      <c r="BJ1186" s="38"/>
      <c r="BK1186" s="38"/>
      <c r="BL1186" s="38"/>
      <c r="BM1186" s="38"/>
      <c r="BN1186" s="38"/>
      <c r="BO1186" s="38"/>
      <c r="BP1186" s="38"/>
      <c r="BQ1186" s="38"/>
    </row>
    <row r="1187">
      <c r="A1187" s="58" t="s">
        <v>239</v>
      </c>
      <c r="B1187" s="59">
        <v>43231.0</v>
      </c>
      <c r="C1187" s="59">
        <v>43229.0</v>
      </c>
      <c r="D1187" s="60" t="s">
        <v>3604</v>
      </c>
      <c r="E1187" s="58" t="s">
        <v>41</v>
      </c>
      <c r="F1187" s="58">
        <v>1.0</v>
      </c>
      <c r="G1187" s="58">
        <v>5.0</v>
      </c>
      <c r="H1187" s="33">
        <f t="shared" si="178"/>
        <v>5</v>
      </c>
      <c r="I1187" s="58" t="s">
        <v>33</v>
      </c>
      <c r="J1187" s="58" t="s">
        <v>3608</v>
      </c>
      <c r="K1187" s="58">
        <v>1.0</v>
      </c>
      <c r="L1187" s="58" t="s">
        <v>194</v>
      </c>
      <c r="M1187" s="61" t="s">
        <v>3612</v>
      </c>
      <c r="N1187" s="77"/>
      <c r="O1187" s="62"/>
      <c r="P1187" s="62"/>
      <c r="Q1187" s="62"/>
      <c r="R1187" s="62"/>
      <c r="S1187" s="37" t="str">
        <f>IFERROR(__xludf.DUMMYFUNCTION("if(not(iserror(index(split(C1187, "" ""),2))), index(split(C1187, "" ""),1),"""")"),"May")</f>
        <v>May</v>
      </c>
      <c r="T1187" s="38">
        <f>IFERROR(__xludf.DUMMYFUNCTION("if(S1187="""",C1187,if(not(iserror(index(split(C1187, "" ""),3))), index(split(C1187, "" ""),3),index(split(C1187, "" ""),2)))"),2018.0)</f>
        <v>2018</v>
      </c>
      <c r="U1187" s="38" t="b">
        <f t="shared" si="179"/>
        <v>1</v>
      </c>
      <c r="V1187" s="38"/>
      <c r="W1187" s="40"/>
      <c r="X1187" s="40"/>
      <c r="Y1187" s="40"/>
      <c r="Z1187" s="38"/>
      <c r="AA1187" s="38"/>
      <c r="AB1187" s="38"/>
      <c r="AC1187" s="38"/>
      <c r="AD1187" s="38"/>
      <c r="AE1187" s="38"/>
      <c r="AF1187" s="38"/>
      <c r="AG1187" s="38"/>
      <c r="AH1187" s="38"/>
      <c r="AI1187" s="38"/>
      <c r="AJ1187" s="38"/>
      <c r="AK1187" s="38"/>
      <c r="AL1187" s="38"/>
      <c r="AM1187" s="38"/>
      <c r="AN1187" s="38"/>
      <c r="AO1187" s="38"/>
      <c r="AP1187" s="38"/>
      <c r="AQ1187" s="38"/>
      <c r="AR1187" s="38"/>
      <c r="AS1187" s="38"/>
      <c r="AT1187" s="38"/>
      <c r="AU1187" s="38"/>
      <c r="AV1187" s="38"/>
      <c r="AW1187" s="38"/>
      <c r="AX1187" s="38"/>
      <c r="AY1187" s="38"/>
      <c r="AZ1187" s="38"/>
      <c r="BA1187" s="38"/>
      <c r="BB1187" s="38"/>
      <c r="BC1187" s="38"/>
      <c r="BD1187" s="38"/>
      <c r="BE1187" s="38"/>
      <c r="BF1187" s="38"/>
      <c r="BG1187" s="38"/>
      <c r="BH1187" s="38"/>
      <c r="BI1187" s="38"/>
      <c r="BJ1187" s="38"/>
      <c r="BK1187" s="38"/>
      <c r="BL1187" s="38"/>
      <c r="BM1187" s="38"/>
      <c r="BN1187" s="38"/>
      <c r="BO1187" s="38"/>
      <c r="BP1187" s="38"/>
      <c r="BQ1187" s="38"/>
    </row>
    <row r="1188">
      <c r="A1188" s="58" t="s">
        <v>3613</v>
      </c>
      <c r="B1188" s="59"/>
      <c r="C1188" s="59">
        <v>43229.0</v>
      </c>
      <c r="D1188" s="60"/>
      <c r="E1188" s="58" t="s">
        <v>41</v>
      </c>
      <c r="F1188" s="58">
        <v>1.0</v>
      </c>
      <c r="G1188" s="58">
        <v>1.0</v>
      </c>
      <c r="H1188" s="43">
        <v>1.0</v>
      </c>
      <c r="I1188" s="58" t="s">
        <v>33</v>
      </c>
      <c r="J1188" s="58" t="s">
        <v>909</v>
      </c>
      <c r="K1188" s="58"/>
      <c r="L1188" s="58" t="s">
        <v>3614</v>
      </c>
      <c r="M1188" s="80" t="s">
        <v>3615</v>
      </c>
      <c r="N1188" s="61" t="s">
        <v>3616</v>
      </c>
      <c r="O1188" s="62"/>
      <c r="P1188" s="62"/>
      <c r="Q1188" s="62"/>
      <c r="R1188" s="62"/>
      <c r="S1188" s="37" t="str">
        <f>IFERROR(__xludf.DUMMYFUNCTION("if(not(iserror(index(split(C1188, "" ""),2))), index(split(C1188, "" ""),1),"""")"),"May")</f>
        <v>May</v>
      </c>
      <c r="T1188" s="38">
        <f>IFERROR(__xludf.DUMMYFUNCTION("if(S1188="""",C1188,if(not(iserror(index(split(C1188, "" ""),3))), index(split(C1188, "" ""),3),index(split(C1188, "" ""),2)))"),2018.0)</f>
        <v>2018</v>
      </c>
      <c r="U1188" s="38" t="b">
        <f t="shared" si="179"/>
        <v>0</v>
      </c>
      <c r="V1188" s="38" t="s">
        <v>33</v>
      </c>
      <c r="W1188" s="39" t="s">
        <v>3617</v>
      </c>
      <c r="X1188" s="39" t="s">
        <v>3618</v>
      </c>
      <c r="Y1188" s="40"/>
      <c r="Z1188" s="38"/>
      <c r="AA1188" s="38"/>
      <c r="AB1188" s="38"/>
      <c r="AC1188" s="38"/>
      <c r="AD1188" s="38"/>
      <c r="AE1188" s="38"/>
      <c r="AF1188" s="38"/>
      <c r="AG1188" s="38"/>
      <c r="AH1188" s="38"/>
      <c r="AI1188" s="38"/>
      <c r="AJ1188" s="38"/>
      <c r="AK1188" s="38"/>
      <c r="AL1188" s="38"/>
      <c r="AM1188" s="38"/>
      <c r="AN1188" s="38"/>
      <c r="AO1188" s="38"/>
      <c r="AP1188" s="38"/>
      <c r="AQ1188" s="38"/>
      <c r="AR1188" s="38"/>
      <c r="AS1188" s="38"/>
      <c r="AT1188" s="38"/>
      <c r="AU1188" s="38"/>
      <c r="AV1188" s="38"/>
      <c r="AW1188" s="38"/>
      <c r="AX1188" s="38"/>
      <c r="AY1188" s="38"/>
      <c r="AZ1188" s="38"/>
      <c r="BA1188" s="38"/>
      <c r="BB1188" s="38"/>
      <c r="BC1188" s="38"/>
      <c r="BD1188" s="38"/>
      <c r="BE1188" s="38"/>
      <c r="BF1188" s="38"/>
      <c r="BG1188" s="38"/>
      <c r="BH1188" s="38"/>
      <c r="BI1188" s="38"/>
      <c r="BJ1188" s="38"/>
      <c r="BK1188" s="38"/>
      <c r="BL1188" s="38"/>
      <c r="BM1188" s="38"/>
      <c r="BN1188" s="38"/>
      <c r="BO1188" s="38"/>
      <c r="BP1188" s="38"/>
      <c r="BQ1188" s="38"/>
    </row>
    <row r="1189">
      <c r="A1189" s="58" t="s">
        <v>3619</v>
      </c>
      <c r="B1189" s="59"/>
      <c r="C1189" s="59">
        <v>43229.0</v>
      </c>
      <c r="D1189" s="60"/>
      <c r="E1189" s="58" t="s">
        <v>41</v>
      </c>
      <c r="F1189" s="58">
        <v>1.0</v>
      </c>
      <c r="G1189" s="58">
        <v>1.0</v>
      </c>
      <c r="H1189" s="43">
        <v>1.0</v>
      </c>
      <c r="I1189" s="58" t="s">
        <v>33</v>
      </c>
      <c r="J1189" s="58" t="s">
        <v>909</v>
      </c>
      <c r="K1189" s="58"/>
      <c r="L1189" s="58" t="s">
        <v>3614</v>
      </c>
      <c r="M1189" s="80" t="s">
        <v>3615</v>
      </c>
      <c r="N1189" s="77"/>
      <c r="O1189" s="62"/>
      <c r="P1189" s="62"/>
      <c r="Q1189" s="62"/>
      <c r="R1189" s="62"/>
      <c r="S1189" s="37" t="str">
        <f>IFERROR(__xludf.DUMMYFUNCTION("if(not(iserror(index(split(C1189, "" ""),2))), index(split(C1189, "" ""),1),"""")"),"May")</f>
        <v>May</v>
      </c>
      <c r="T1189" s="38">
        <f>IFERROR(__xludf.DUMMYFUNCTION("if(S1189="""",C1189,if(not(iserror(index(split(C1189, "" ""),3))), index(split(C1189, "" ""),3),index(split(C1189, "" ""),2)))"),2018.0)</f>
        <v>2018</v>
      </c>
      <c r="U1189" s="38" t="b">
        <f t="shared" si="179"/>
        <v>0</v>
      </c>
      <c r="V1189" s="38" t="s">
        <v>33</v>
      </c>
      <c r="W1189" s="40"/>
      <c r="X1189" s="40"/>
      <c r="Y1189" s="40"/>
      <c r="Z1189" s="38"/>
      <c r="AA1189" s="38"/>
      <c r="AB1189" s="38"/>
      <c r="AC1189" s="38"/>
      <c r="AD1189" s="38"/>
      <c r="AE1189" s="38"/>
      <c r="AF1189" s="38"/>
      <c r="AG1189" s="38"/>
      <c r="AH1189" s="38"/>
      <c r="AI1189" s="38"/>
      <c r="AJ1189" s="38"/>
      <c r="AK1189" s="38"/>
      <c r="AL1189" s="38"/>
      <c r="AM1189" s="38"/>
      <c r="AN1189" s="38"/>
      <c r="AO1189" s="38"/>
      <c r="AP1189" s="38"/>
      <c r="AQ1189" s="38"/>
      <c r="AR1189" s="38"/>
      <c r="AS1189" s="38"/>
      <c r="AT1189" s="38"/>
      <c r="AU1189" s="38"/>
      <c r="AV1189" s="38"/>
      <c r="AW1189" s="38"/>
      <c r="AX1189" s="38"/>
      <c r="AY1189" s="38"/>
      <c r="AZ1189" s="38"/>
      <c r="BA1189" s="38"/>
      <c r="BB1189" s="38"/>
      <c r="BC1189" s="38"/>
      <c r="BD1189" s="38"/>
      <c r="BE1189" s="38"/>
      <c r="BF1189" s="38"/>
      <c r="BG1189" s="38"/>
      <c r="BH1189" s="38"/>
      <c r="BI1189" s="38"/>
      <c r="BJ1189" s="38"/>
      <c r="BK1189" s="38"/>
      <c r="BL1189" s="38"/>
      <c r="BM1189" s="38"/>
      <c r="BN1189" s="38"/>
      <c r="BO1189" s="38"/>
      <c r="BP1189" s="38"/>
      <c r="BQ1189" s="38"/>
    </row>
    <row r="1190">
      <c r="A1190" s="47" t="s">
        <v>3620</v>
      </c>
      <c r="B1190" s="48">
        <v>43454.0</v>
      </c>
      <c r="C1190" s="48">
        <v>43229.0</v>
      </c>
      <c r="D1190" s="49" t="s">
        <v>3604</v>
      </c>
      <c r="E1190" s="47" t="s">
        <v>31</v>
      </c>
      <c r="F1190" s="47">
        <v>1.0</v>
      </c>
      <c r="G1190" s="47" t="s">
        <v>32</v>
      </c>
      <c r="H1190" s="33">
        <f t="shared" ref="H1190:H1191" si="180">if(G1190="Unknown",1,G1190)</f>
        <v>1</v>
      </c>
      <c r="I1190" s="47" t="s">
        <v>33</v>
      </c>
      <c r="J1190" s="47" t="s">
        <v>47</v>
      </c>
      <c r="K1190" s="47">
        <v>3.0</v>
      </c>
      <c r="L1190" s="47" t="s">
        <v>119</v>
      </c>
      <c r="M1190" s="51" t="s">
        <v>3621</v>
      </c>
      <c r="N1190" s="51" t="s">
        <v>3622</v>
      </c>
      <c r="O1190" s="53" t="str">
        <f>hyperlink("https://bad-boys.us/?q=MD-FL/6:18-cr-00175", "MD-FL 6:18-cr-00175")</f>
        <v>MD-FL 6:18-cr-00175</v>
      </c>
      <c r="P1190" s="54" t="s">
        <v>3623</v>
      </c>
      <c r="Q1190" s="47">
        <v>1.0</v>
      </c>
      <c r="R1190" s="55"/>
      <c r="S1190" s="37" t="str">
        <f>IFERROR(__xludf.DUMMYFUNCTION("if(not(iserror(index(split(C1190, "" ""),2))), index(split(C1190, "" ""),1),"""")"),"May")</f>
        <v>May</v>
      </c>
      <c r="T1190" s="38">
        <f>IFERROR(__xludf.DUMMYFUNCTION("if(S1190="""",C1190,if(not(iserror(index(split(C1190, "" ""),3))), index(split(C1190, "" ""),3),index(split(C1190, "" ""),2)))"),2018.0)</f>
        <v>2018</v>
      </c>
      <c r="U1190" s="38" t="b">
        <f t="shared" si="179"/>
        <v>0</v>
      </c>
      <c r="V1190" s="38"/>
      <c r="W1190" s="40"/>
      <c r="X1190" s="40"/>
      <c r="Y1190" s="40"/>
      <c r="Z1190" s="38"/>
      <c r="AA1190" s="38"/>
      <c r="AB1190" s="38"/>
      <c r="AC1190" s="38"/>
      <c r="AD1190" s="38"/>
      <c r="AE1190" s="38"/>
      <c r="AF1190" s="38"/>
      <c r="AG1190" s="38"/>
      <c r="AH1190" s="38"/>
      <c r="AI1190" s="38"/>
      <c r="AJ1190" s="38"/>
      <c r="AK1190" s="38"/>
      <c r="AL1190" s="38"/>
      <c r="AM1190" s="38"/>
      <c r="AN1190" s="38"/>
      <c r="AO1190" s="38"/>
      <c r="AP1190" s="38"/>
      <c r="AQ1190" s="38"/>
      <c r="AR1190" s="38"/>
      <c r="AS1190" s="38"/>
      <c r="AT1190" s="38"/>
      <c r="AU1190" s="38"/>
      <c r="AV1190" s="38"/>
      <c r="AW1190" s="38"/>
      <c r="AX1190" s="38"/>
      <c r="AY1190" s="38"/>
      <c r="AZ1190" s="38"/>
      <c r="BA1190" s="38"/>
      <c r="BB1190" s="38"/>
      <c r="BC1190" s="38"/>
      <c r="BD1190" s="38"/>
      <c r="BE1190" s="38"/>
      <c r="BF1190" s="38"/>
      <c r="BG1190" s="38"/>
      <c r="BH1190" s="38"/>
      <c r="BI1190" s="38"/>
      <c r="BJ1190" s="38"/>
      <c r="BK1190" s="38"/>
      <c r="BL1190" s="38"/>
      <c r="BM1190" s="38"/>
      <c r="BN1190" s="38"/>
      <c r="BO1190" s="38"/>
      <c r="BP1190" s="38"/>
      <c r="BQ1190" s="38"/>
    </row>
    <row r="1191">
      <c r="A1191" s="58" t="s">
        <v>3624</v>
      </c>
      <c r="B1191" s="59">
        <v>43431.0</v>
      </c>
      <c r="C1191" s="59">
        <v>43230.0</v>
      </c>
      <c r="D1191" s="60" t="s">
        <v>3625</v>
      </c>
      <c r="E1191" s="58" t="s">
        <v>31</v>
      </c>
      <c r="F1191" s="58">
        <v>1.0</v>
      </c>
      <c r="G1191" s="58" t="s">
        <v>32</v>
      </c>
      <c r="H1191" s="33">
        <f t="shared" si="180"/>
        <v>1</v>
      </c>
      <c r="I1191" s="58" t="s">
        <v>33</v>
      </c>
      <c r="J1191" s="58" t="s">
        <v>93</v>
      </c>
      <c r="K1191" s="58">
        <v>2.0</v>
      </c>
      <c r="L1191" s="58" t="s">
        <v>69</v>
      </c>
      <c r="M1191" s="61" t="s">
        <v>3626</v>
      </c>
      <c r="N1191" s="61" t="s">
        <v>3626</v>
      </c>
      <c r="O1191" s="88" t="str">
        <f>hyperlink("https://bad-boys.us/?q=SD-NY/1:18-cr-00005", "SD-NY 1:18-cr-00005")</f>
        <v>SD-NY 1:18-cr-00005</v>
      </c>
      <c r="P1191" s="88" t="s">
        <v>3627</v>
      </c>
      <c r="Q1191" s="58">
        <v>1.0</v>
      </c>
      <c r="R1191" s="62"/>
      <c r="S1191" s="37" t="str">
        <f>IFERROR(__xludf.DUMMYFUNCTION("if(not(iserror(index(split(C1191, "" ""),2))), index(split(C1191, "" ""),1),"""")"),"May")</f>
        <v>May</v>
      </c>
      <c r="T1191" s="38">
        <f>IFERROR(__xludf.DUMMYFUNCTION("if(S1191="""",C1191,if(not(iserror(index(split(C1191, "" ""),3))), index(split(C1191, "" ""),3),index(split(C1191, "" ""),2)))"),2018.0)</f>
        <v>2018</v>
      </c>
      <c r="U1191" s="38" t="b">
        <f t="shared" si="179"/>
        <v>0</v>
      </c>
      <c r="V1191" s="38"/>
      <c r="W1191" s="40"/>
      <c r="X1191" s="40"/>
      <c r="Y1191" s="40"/>
      <c r="Z1191" s="38"/>
      <c r="AA1191" s="38"/>
      <c r="AB1191" s="38"/>
      <c r="AC1191" s="38"/>
      <c r="AD1191" s="38"/>
      <c r="AE1191" s="38"/>
      <c r="AF1191" s="38"/>
      <c r="AG1191" s="38"/>
      <c r="AH1191" s="38"/>
      <c r="AI1191" s="38"/>
      <c r="AJ1191" s="38"/>
      <c r="AK1191" s="38"/>
      <c r="AL1191" s="38"/>
      <c r="AM1191" s="38"/>
      <c r="AN1191" s="38"/>
      <c r="AO1191" s="38"/>
      <c r="AP1191" s="38"/>
      <c r="AQ1191" s="38"/>
      <c r="AR1191" s="38"/>
      <c r="AS1191" s="38"/>
      <c r="AT1191" s="38"/>
      <c r="AU1191" s="38"/>
      <c r="AV1191" s="38"/>
      <c r="AW1191" s="38"/>
      <c r="AX1191" s="38"/>
      <c r="AY1191" s="38"/>
      <c r="AZ1191" s="38"/>
      <c r="BA1191" s="38"/>
      <c r="BB1191" s="38"/>
      <c r="BC1191" s="38"/>
      <c r="BD1191" s="38"/>
      <c r="BE1191" s="38"/>
      <c r="BF1191" s="38"/>
      <c r="BG1191" s="38"/>
      <c r="BH1191" s="38"/>
      <c r="BI1191" s="38"/>
      <c r="BJ1191" s="38"/>
      <c r="BK1191" s="38"/>
      <c r="BL1191" s="38"/>
      <c r="BM1191" s="38"/>
      <c r="BN1191" s="38"/>
      <c r="BO1191" s="38"/>
      <c r="BP1191" s="38"/>
      <c r="BQ1191" s="38"/>
    </row>
    <row r="1192">
      <c r="A1192" s="13" t="s">
        <v>3628</v>
      </c>
      <c r="B1192" s="30"/>
      <c r="C1192" s="30">
        <v>43230.0</v>
      </c>
      <c r="D1192" s="32"/>
      <c r="E1192" s="13" t="s">
        <v>41</v>
      </c>
      <c r="F1192" s="13">
        <v>1.0</v>
      </c>
      <c r="G1192" s="13" t="s">
        <v>32</v>
      </c>
      <c r="H1192" s="43">
        <v>1.0</v>
      </c>
      <c r="I1192" s="13" t="s">
        <v>33</v>
      </c>
      <c r="J1192" s="13" t="s">
        <v>460</v>
      </c>
      <c r="K1192" s="13"/>
      <c r="L1192" s="13" t="s">
        <v>119</v>
      </c>
      <c r="M1192" s="35" t="s">
        <v>3629</v>
      </c>
      <c r="N1192" s="36" t="s">
        <v>3630</v>
      </c>
      <c r="O1192" s="57" t="str">
        <f>hyperlink("https://bad-boys.us/?q=SD-IA/4:18-cr-00076", "SD-IA 4:18-cr-00076")</f>
        <v>SD-IA 4:18-cr-00076</v>
      </c>
      <c r="P1192" s="86" t="s">
        <v>3631</v>
      </c>
      <c r="Q1192" s="37">
        <v>1.0</v>
      </c>
      <c r="R1192" s="16"/>
      <c r="S1192" s="37" t="str">
        <f>IFERROR(__xludf.DUMMYFUNCTION("if(not(iserror(index(split(C1192, "" ""),2))), index(split(C1192, "" ""),1),"""")"),"May")</f>
        <v>May</v>
      </c>
      <c r="T1192" s="38">
        <f>IFERROR(__xludf.DUMMYFUNCTION("if(S1192="""",C1192,if(not(iserror(index(split(C1192, "" ""),3))), index(split(C1192, "" ""),3),index(split(C1192, "" ""),2)))"),2018.0)</f>
        <v>2018</v>
      </c>
      <c r="U1192" s="38" t="b">
        <f t="shared" si="179"/>
        <v>0</v>
      </c>
      <c r="V1192" s="38" t="s">
        <v>33</v>
      </c>
      <c r="W1192" s="39" t="s">
        <v>3632</v>
      </c>
      <c r="X1192" s="40"/>
      <c r="Y1192" s="40"/>
      <c r="Z1192" s="38"/>
      <c r="AA1192" s="38"/>
      <c r="AB1192" s="38"/>
      <c r="AC1192" s="38"/>
      <c r="AD1192" s="38"/>
      <c r="AE1192" s="38"/>
      <c r="AF1192" s="38"/>
      <c r="AG1192" s="38"/>
      <c r="AH1192" s="38"/>
      <c r="AI1192" s="38"/>
      <c r="AJ1192" s="38"/>
      <c r="AK1192" s="38"/>
      <c r="AL1192" s="38"/>
      <c r="AM1192" s="38"/>
      <c r="AN1192" s="38"/>
      <c r="AO1192" s="38"/>
      <c r="AP1192" s="38"/>
      <c r="AQ1192" s="38"/>
      <c r="AR1192" s="38"/>
      <c r="AS1192" s="38"/>
      <c r="AT1192" s="38"/>
      <c r="AU1192" s="38"/>
      <c r="AV1192" s="38"/>
      <c r="AW1192" s="38"/>
      <c r="AX1192" s="38"/>
      <c r="AY1192" s="38"/>
      <c r="AZ1192" s="38"/>
      <c r="BA1192" s="38"/>
      <c r="BB1192" s="38"/>
      <c r="BC1192" s="38"/>
      <c r="BD1192" s="38"/>
      <c r="BE1192" s="38"/>
      <c r="BF1192" s="38"/>
      <c r="BG1192" s="38"/>
      <c r="BH1192" s="38"/>
      <c r="BI1192" s="38"/>
      <c r="BJ1192" s="38"/>
      <c r="BK1192" s="38"/>
      <c r="BL1192" s="38"/>
      <c r="BM1192" s="38"/>
      <c r="BN1192" s="38"/>
      <c r="BO1192" s="38"/>
      <c r="BP1192" s="38"/>
      <c r="BQ1192" s="38"/>
    </row>
    <row r="1193">
      <c r="A1193" s="13" t="s">
        <v>54</v>
      </c>
      <c r="B1193" s="30">
        <v>42867.0</v>
      </c>
      <c r="C1193" s="30">
        <v>43231.0</v>
      </c>
      <c r="D1193" s="32" t="s">
        <v>3633</v>
      </c>
      <c r="E1193" s="13" t="s">
        <v>31</v>
      </c>
      <c r="F1193" s="13">
        <v>12.0</v>
      </c>
      <c r="G1193" s="13" t="s">
        <v>32</v>
      </c>
      <c r="H1193" s="33">
        <f t="shared" ref="H1193:H1196" si="181">if(G1193="Unknown",1,G1193)</f>
        <v>1</v>
      </c>
      <c r="I1193" s="13" t="s">
        <v>33</v>
      </c>
      <c r="J1193" s="13" t="s">
        <v>89</v>
      </c>
      <c r="K1193" s="13">
        <v>3.0</v>
      </c>
      <c r="L1193" s="13" t="s">
        <v>90</v>
      </c>
      <c r="M1193" s="35" t="s">
        <v>3634</v>
      </c>
      <c r="N1193" s="15"/>
      <c r="O1193" s="16"/>
      <c r="P1193" s="16"/>
      <c r="Q1193" s="16"/>
      <c r="R1193" s="16"/>
      <c r="S1193" s="37" t="str">
        <f>IFERROR(__xludf.DUMMYFUNCTION("if(not(iserror(index(split(C1193, "" ""),2))), index(split(C1193, "" ""),1),"""")"),"May")</f>
        <v>May</v>
      </c>
      <c r="T1193" s="38">
        <f>IFERROR(__xludf.DUMMYFUNCTION("if(S1193="""",C1193,if(not(iserror(index(split(C1193, "" ""),3))), index(split(C1193, "" ""),3),index(split(C1193, "" ""),2)))"),2018.0)</f>
        <v>2018</v>
      </c>
      <c r="U1193" s="38" t="b">
        <f t="shared" si="179"/>
        <v>1</v>
      </c>
      <c r="V1193" s="38"/>
      <c r="W1193" s="40"/>
      <c r="X1193" s="40"/>
      <c r="Y1193" s="40"/>
      <c r="Z1193" s="38"/>
      <c r="AA1193" s="38"/>
      <c r="AB1193" s="38"/>
      <c r="AC1193" s="38"/>
      <c r="AD1193" s="38"/>
      <c r="AE1193" s="38"/>
      <c r="AF1193" s="38"/>
      <c r="AG1193" s="38"/>
      <c r="AH1193" s="38"/>
      <c r="AI1193" s="38"/>
      <c r="AJ1193" s="38"/>
      <c r="AK1193" s="38"/>
      <c r="AL1193" s="38"/>
      <c r="AM1193" s="38"/>
      <c r="AN1193" s="38"/>
      <c r="AO1193" s="38"/>
      <c r="AP1193" s="38"/>
      <c r="AQ1193" s="38"/>
      <c r="AR1193" s="38"/>
      <c r="AS1193" s="38"/>
      <c r="AT1193" s="38"/>
      <c r="AU1193" s="38"/>
      <c r="AV1193" s="38"/>
      <c r="AW1193" s="38"/>
      <c r="AX1193" s="38"/>
      <c r="AY1193" s="38"/>
      <c r="AZ1193" s="38"/>
      <c r="BA1193" s="38"/>
      <c r="BB1193" s="38"/>
      <c r="BC1193" s="38"/>
      <c r="BD1193" s="38"/>
      <c r="BE1193" s="38"/>
      <c r="BF1193" s="38"/>
      <c r="BG1193" s="38"/>
      <c r="BH1193" s="38"/>
      <c r="BI1193" s="38"/>
      <c r="BJ1193" s="38"/>
      <c r="BK1193" s="38"/>
      <c r="BL1193" s="38"/>
      <c r="BM1193" s="38"/>
      <c r="BN1193" s="38"/>
      <c r="BO1193" s="38"/>
      <c r="BP1193" s="38"/>
      <c r="BQ1193" s="38"/>
    </row>
    <row r="1194">
      <c r="A1194" s="37" t="s">
        <v>3635</v>
      </c>
      <c r="B1194" s="59">
        <v>43231.0</v>
      </c>
      <c r="C1194" s="59">
        <v>43231.0</v>
      </c>
      <c r="D1194" s="60" t="s">
        <v>3636</v>
      </c>
      <c r="E1194" s="58" t="s">
        <v>31</v>
      </c>
      <c r="F1194" s="58">
        <v>1.0</v>
      </c>
      <c r="G1194" s="58" t="s">
        <v>32</v>
      </c>
      <c r="H1194" s="33">
        <f t="shared" si="181"/>
        <v>1</v>
      </c>
      <c r="I1194" s="58" t="s">
        <v>33</v>
      </c>
      <c r="J1194" s="58" t="s">
        <v>115</v>
      </c>
      <c r="K1194" s="58">
        <v>1.0</v>
      </c>
      <c r="L1194" s="34" t="s">
        <v>35</v>
      </c>
      <c r="M1194" s="61" t="s">
        <v>3637</v>
      </c>
      <c r="N1194" s="77"/>
      <c r="O1194" s="58"/>
      <c r="P1194" s="58"/>
      <c r="Q1194" s="84"/>
      <c r="R1194" s="62"/>
      <c r="S1194" s="37" t="str">
        <f>IFERROR(__xludf.DUMMYFUNCTION("if(not(iserror(index(split(C1194, "" ""),2))), index(split(C1194, "" ""),1),"""")"),"May")</f>
        <v>May</v>
      </c>
      <c r="T1194" s="38">
        <f>IFERROR(__xludf.DUMMYFUNCTION("if(S1194="""",C1194,if(not(iserror(index(split(C1194, "" ""),3))), index(split(C1194, "" ""),3),index(split(C1194, "" ""),2)))"),2018.0)</f>
        <v>2018</v>
      </c>
      <c r="U1194" s="38" t="b">
        <f t="shared" si="179"/>
        <v>0</v>
      </c>
      <c r="V1194" s="38"/>
      <c r="W1194" s="40"/>
      <c r="X1194" s="40"/>
      <c r="Y1194" s="40"/>
      <c r="Z1194" s="38"/>
      <c r="AA1194" s="38"/>
      <c r="AB1194" s="38"/>
      <c r="AC1194" s="38"/>
      <c r="AD1194" s="38"/>
      <c r="AE1194" s="38"/>
      <c r="AF1194" s="38"/>
      <c r="AG1194" s="38"/>
      <c r="AH1194" s="38"/>
      <c r="AI1194" s="38"/>
      <c r="AJ1194" s="38"/>
      <c r="AK1194" s="38"/>
      <c r="AL1194" s="38"/>
      <c r="AM1194" s="38"/>
      <c r="AN1194" s="38"/>
      <c r="AO1194" s="38"/>
      <c r="AP1194" s="38"/>
      <c r="AQ1194" s="38"/>
      <c r="AR1194" s="38"/>
      <c r="AS1194" s="38"/>
      <c r="AT1194" s="38"/>
      <c r="AU1194" s="38"/>
      <c r="AV1194" s="38"/>
      <c r="AW1194" s="38"/>
      <c r="AX1194" s="38"/>
      <c r="AY1194" s="38"/>
      <c r="AZ1194" s="38"/>
      <c r="BA1194" s="38"/>
      <c r="BB1194" s="38"/>
      <c r="BC1194" s="38"/>
      <c r="BD1194" s="38"/>
      <c r="BE1194" s="38"/>
      <c r="BF1194" s="38"/>
      <c r="BG1194" s="38"/>
      <c r="BH1194" s="38"/>
      <c r="BI1194" s="38"/>
      <c r="BJ1194" s="38"/>
      <c r="BK1194" s="38"/>
      <c r="BL1194" s="38"/>
      <c r="BM1194" s="38"/>
      <c r="BN1194" s="38"/>
      <c r="BO1194" s="38"/>
      <c r="BP1194" s="38"/>
      <c r="BQ1194" s="38"/>
    </row>
    <row r="1195">
      <c r="A1195" s="152" t="s">
        <v>3638</v>
      </c>
      <c r="B1195" s="153">
        <v>43231.0</v>
      </c>
      <c r="C1195" s="153">
        <v>43231.0</v>
      </c>
      <c r="D1195" s="154" t="s">
        <v>3636</v>
      </c>
      <c r="E1195" s="155" t="s">
        <v>31</v>
      </c>
      <c r="F1195" s="152">
        <v>2.0</v>
      </c>
      <c r="G1195" s="152" t="s">
        <v>32</v>
      </c>
      <c r="H1195" s="33">
        <f t="shared" si="181"/>
        <v>1</v>
      </c>
      <c r="I1195" s="152" t="s">
        <v>33</v>
      </c>
      <c r="J1195" s="152" t="s">
        <v>140</v>
      </c>
      <c r="K1195" s="152">
        <v>1.0</v>
      </c>
      <c r="L1195" s="155" t="s">
        <v>69</v>
      </c>
      <c r="M1195" s="158" t="s">
        <v>3639</v>
      </c>
      <c r="N1195" s="156" t="s">
        <v>3640</v>
      </c>
      <c r="O1195" s="88" t="str">
        <f>hyperlink("https://bad-boys.us/?q=D-ME/1:18-cr-00129", "D-ME 1:18-cr-00129")</f>
        <v>D-ME 1:18-cr-00129</v>
      </c>
      <c r="P1195" s="88" t="s">
        <v>3641</v>
      </c>
      <c r="Q1195" s="84">
        <v>1.0</v>
      </c>
      <c r="R1195" s="62"/>
      <c r="S1195" s="37" t="str">
        <f>IFERROR(__xludf.DUMMYFUNCTION("if(not(iserror(index(split(C1195, "" ""),2))), index(split(C1195, "" ""),1),"""")"),"May")</f>
        <v>May</v>
      </c>
      <c r="T1195" s="38">
        <f>IFERROR(__xludf.DUMMYFUNCTION("if(S1195="""",C1195,if(not(iserror(index(split(C1195, "" ""),3))), index(split(C1195, "" ""),3),index(split(C1195, "" ""),2)))"),2018.0)</f>
        <v>2018</v>
      </c>
      <c r="U1195" s="38" t="b">
        <f t="shared" si="179"/>
        <v>0</v>
      </c>
      <c r="V1195" s="38"/>
      <c r="W1195" s="40"/>
      <c r="X1195" s="40"/>
      <c r="Y1195" s="40"/>
      <c r="Z1195" s="38"/>
      <c r="AA1195" s="38"/>
      <c r="AB1195" s="38"/>
      <c r="AC1195" s="38"/>
      <c r="AD1195" s="38"/>
      <c r="AE1195" s="38"/>
      <c r="AF1195" s="38"/>
      <c r="AG1195" s="38"/>
      <c r="AH1195" s="38"/>
      <c r="AI1195" s="38"/>
      <c r="AJ1195" s="38"/>
      <c r="AK1195" s="38"/>
      <c r="AL1195" s="38"/>
      <c r="AM1195" s="38"/>
      <c r="AN1195" s="38"/>
      <c r="AO1195" s="38"/>
      <c r="AP1195" s="38"/>
      <c r="AQ1195" s="38"/>
      <c r="AR1195" s="38"/>
      <c r="AS1195" s="38"/>
      <c r="AT1195" s="38"/>
      <c r="AU1195" s="38"/>
      <c r="AV1195" s="38"/>
      <c r="AW1195" s="38"/>
      <c r="AX1195" s="38"/>
      <c r="AY1195" s="38"/>
      <c r="AZ1195" s="38"/>
      <c r="BA1195" s="38"/>
      <c r="BB1195" s="38"/>
      <c r="BC1195" s="38"/>
      <c r="BD1195" s="38"/>
      <c r="BE1195" s="38"/>
      <c r="BF1195" s="38"/>
      <c r="BG1195" s="38"/>
      <c r="BH1195" s="38"/>
      <c r="BI1195" s="38"/>
      <c r="BJ1195" s="38"/>
      <c r="BK1195" s="38"/>
      <c r="BL1195" s="38"/>
      <c r="BM1195" s="38"/>
      <c r="BN1195" s="38"/>
      <c r="BO1195" s="38"/>
      <c r="BP1195" s="38"/>
      <c r="BQ1195" s="38"/>
    </row>
    <row r="1196">
      <c r="A1196" s="58" t="s">
        <v>3642</v>
      </c>
      <c r="B1196" s="59">
        <v>43440.0</v>
      </c>
      <c r="C1196" s="59">
        <v>43232.0</v>
      </c>
      <c r="D1196" s="60" t="s">
        <v>3643</v>
      </c>
      <c r="E1196" s="58" t="s">
        <v>41</v>
      </c>
      <c r="F1196" s="58">
        <v>1.0</v>
      </c>
      <c r="G1196" s="58">
        <v>2.0</v>
      </c>
      <c r="H1196" s="33">
        <f t="shared" si="181"/>
        <v>2</v>
      </c>
      <c r="I1196" s="58" t="s">
        <v>33</v>
      </c>
      <c r="J1196" s="58" t="s">
        <v>93</v>
      </c>
      <c r="K1196" s="58">
        <v>1.0</v>
      </c>
      <c r="L1196" s="58" t="s">
        <v>194</v>
      </c>
      <c r="M1196" s="61" t="s">
        <v>3644</v>
      </c>
      <c r="N1196" s="77"/>
      <c r="O1196" s="83" t="str">
        <f>hyperlink("https://bad-boys.us/?q=ND-NY/8:18-cr-00157", "ND-NY 8:18-cr-00157")</f>
        <v>ND-NY 8:18-cr-00157</v>
      </c>
      <c r="P1196" s="88" t="s">
        <v>3645</v>
      </c>
      <c r="Q1196" s="58">
        <v>1.0</v>
      </c>
      <c r="R1196" s="62"/>
      <c r="S1196" s="37" t="str">
        <f>IFERROR(__xludf.DUMMYFUNCTION("if(not(iserror(index(split(C1196, "" ""),2))), index(split(C1196, "" ""),1),"""")"),"May")</f>
        <v>May</v>
      </c>
      <c r="T1196" s="38">
        <f>IFERROR(__xludf.DUMMYFUNCTION("if(S1196="""",C1196,if(not(iserror(index(split(C1196, "" ""),3))), index(split(C1196, "" ""),3),index(split(C1196, "" ""),2)))"),2018.0)</f>
        <v>2018</v>
      </c>
      <c r="U1196" s="38" t="b">
        <f t="shared" si="179"/>
        <v>0</v>
      </c>
      <c r="V1196" s="38"/>
      <c r="W1196" s="40"/>
      <c r="X1196" s="40"/>
      <c r="Y1196" s="40"/>
      <c r="Z1196" s="38"/>
      <c r="AA1196" s="38"/>
      <c r="AB1196" s="38"/>
      <c r="AC1196" s="38"/>
      <c r="AD1196" s="38"/>
      <c r="AE1196" s="38"/>
      <c r="AF1196" s="38"/>
      <c r="AG1196" s="38"/>
      <c r="AH1196" s="38"/>
      <c r="AI1196" s="38"/>
      <c r="AJ1196" s="38"/>
      <c r="AK1196" s="38"/>
      <c r="AL1196" s="38"/>
      <c r="AM1196" s="38"/>
      <c r="AN1196" s="38"/>
      <c r="AO1196" s="38"/>
      <c r="AP1196" s="38"/>
      <c r="AQ1196" s="38"/>
      <c r="AR1196" s="38"/>
      <c r="AS1196" s="38"/>
      <c r="AT1196" s="38"/>
      <c r="AU1196" s="38"/>
      <c r="AV1196" s="38"/>
      <c r="AW1196" s="38"/>
      <c r="AX1196" s="38"/>
      <c r="AY1196" s="38"/>
      <c r="AZ1196" s="38"/>
      <c r="BA1196" s="38"/>
      <c r="BB1196" s="38"/>
      <c r="BC1196" s="38"/>
      <c r="BD1196" s="38"/>
      <c r="BE1196" s="38"/>
      <c r="BF1196" s="38"/>
      <c r="BG1196" s="38"/>
      <c r="BH1196" s="38"/>
      <c r="BI1196" s="38"/>
      <c r="BJ1196" s="38"/>
      <c r="BK1196" s="38"/>
      <c r="BL1196" s="38"/>
      <c r="BM1196" s="38"/>
      <c r="BN1196" s="38"/>
      <c r="BO1196" s="38"/>
      <c r="BP1196" s="38"/>
      <c r="BQ1196" s="38"/>
    </row>
    <row r="1197">
      <c r="A1197" s="37" t="s">
        <v>3646</v>
      </c>
      <c r="B1197" s="59"/>
      <c r="C1197" s="59">
        <v>43232.0</v>
      </c>
      <c r="D1197" s="60"/>
      <c r="E1197" s="58" t="s">
        <v>41</v>
      </c>
      <c r="F1197" s="58">
        <v>1.0</v>
      </c>
      <c r="G1197" s="58" t="s">
        <v>32</v>
      </c>
      <c r="H1197" s="43">
        <v>1.0</v>
      </c>
      <c r="I1197" s="58" t="s">
        <v>33</v>
      </c>
      <c r="J1197" s="58" t="s">
        <v>47</v>
      </c>
      <c r="K1197" s="58"/>
      <c r="L1197" s="58" t="s">
        <v>3647</v>
      </c>
      <c r="M1197" s="61" t="s">
        <v>3648</v>
      </c>
      <c r="N1197" s="77"/>
      <c r="O1197" s="83" t="str">
        <f>hyperlink("https://bad-boys.us/?q=MD-FL/6:18-cr-00131", "MD-FL 6:18-cr-00131")</f>
        <v>MD-FL 6:18-cr-00131</v>
      </c>
      <c r="P1197" s="88" t="s">
        <v>3649</v>
      </c>
      <c r="Q1197" s="58">
        <v>1.0</v>
      </c>
      <c r="R1197" s="62"/>
      <c r="S1197" s="37" t="str">
        <f>IFERROR(__xludf.DUMMYFUNCTION("if(not(iserror(index(split(C1197, "" ""),2))), index(split(C1197, "" ""),1),"""")"),"May")</f>
        <v>May</v>
      </c>
      <c r="T1197" s="38">
        <f>IFERROR(__xludf.DUMMYFUNCTION("if(S1197="""",C1197,if(not(iserror(index(split(C1197, "" ""),3))), index(split(C1197, "" ""),3),index(split(C1197, "" ""),2)))"),2018.0)</f>
        <v>2018</v>
      </c>
      <c r="U1197" s="38" t="b">
        <f t="shared" si="179"/>
        <v>0</v>
      </c>
      <c r="V1197" s="38" t="s">
        <v>33</v>
      </c>
      <c r="W1197" s="40"/>
      <c r="X1197" s="40"/>
      <c r="Y1197" s="40"/>
      <c r="Z1197" s="38"/>
      <c r="AA1197" s="38"/>
      <c r="AB1197" s="38"/>
      <c r="AC1197" s="38"/>
      <c r="AD1197" s="38"/>
      <c r="AE1197" s="38"/>
      <c r="AF1197" s="38"/>
      <c r="AG1197" s="38"/>
      <c r="AH1197" s="38"/>
      <c r="AI1197" s="38"/>
      <c r="AJ1197" s="38"/>
      <c r="AK1197" s="38"/>
      <c r="AL1197" s="38"/>
      <c r="AM1197" s="38"/>
      <c r="AN1197" s="38"/>
      <c r="AO1197" s="38"/>
      <c r="AP1197" s="38"/>
      <c r="AQ1197" s="38"/>
      <c r="AR1197" s="38"/>
      <c r="AS1197" s="38"/>
      <c r="AT1197" s="38"/>
      <c r="AU1197" s="38"/>
      <c r="AV1197" s="38"/>
      <c r="AW1197" s="38"/>
      <c r="AX1197" s="38"/>
      <c r="AY1197" s="38"/>
      <c r="AZ1197" s="38"/>
      <c r="BA1197" s="38"/>
      <c r="BB1197" s="38"/>
      <c r="BC1197" s="38"/>
      <c r="BD1197" s="38"/>
      <c r="BE1197" s="38"/>
      <c r="BF1197" s="38"/>
      <c r="BG1197" s="38"/>
      <c r="BH1197" s="38"/>
      <c r="BI1197" s="38"/>
      <c r="BJ1197" s="38"/>
      <c r="BK1197" s="38"/>
      <c r="BL1197" s="38"/>
      <c r="BM1197" s="38"/>
      <c r="BN1197" s="38"/>
      <c r="BO1197" s="38"/>
      <c r="BP1197" s="38"/>
      <c r="BQ1197" s="38"/>
    </row>
    <row r="1198">
      <c r="A1198" s="37" t="s">
        <v>3650</v>
      </c>
      <c r="B1198" s="59">
        <v>43233.0</v>
      </c>
      <c r="C1198" s="59">
        <v>43233.0</v>
      </c>
      <c r="D1198" s="60" t="s">
        <v>3651</v>
      </c>
      <c r="E1198" s="58" t="s">
        <v>31</v>
      </c>
      <c r="F1198" s="58">
        <v>2.0</v>
      </c>
      <c r="G1198" s="58" t="s">
        <v>32</v>
      </c>
      <c r="H1198" s="33">
        <f t="shared" ref="H1198:H1209" si="182">if(G1198="Unknown",1,G1198)</f>
        <v>1</v>
      </c>
      <c r="I1198" s="58" t="s">
        <v>33</v>
      </c>
      <c r="J1198" s="58" t="s">
        <v>111</v>
      </c>
      <c r="K1198" s="58">
        <v>1.0</v>
      </c>
      <c r="L1198" s="58" t="s">
        <v>52</v>
      </c>
      <c r="M1198" s="61" t="s">
        <v>3652</v>
      </c>
      <c r="N1198" s="77"/>
      <c r="O1198" s="62"/>
      <c r="P1198" s="62"/>
      <c r="Q1198" s="62"/>
      <c r="R1198" s="62"/>
      <c r="S1198" s="37" t="str">
        <f>IFERROR(__xludf.DUMMYFUNCTION("if(not(iserror(index(split(C1198, "" ""),2))), index(split(C1198, "" ""),1),"""")"),"May")</f>
        <v>May</v>
      </c>
      <c r="T1198" s="38">
        <f>IFERROR(__xludf.DUMMYFUNCTION("if(S1198="""",C1198,if(not(iserror(index(split(C1198, "" ""),3))), index(split(C1198, "" ""),3),index(split(C1198, "" ""),2)))"),2018.0)</f>
        <v>2018</v>
      </c>
      <c r="U1198" s="38" t="b">
        <f t="shared" si="179"/>
        <v>0</v>
      </c>
      <c r="V1198" s="38"/>
      <c r="W1198" s="40"/>
      <c r="X1198" s="40"/>
      <c r="Y1198" s="40"/>
      <c r="Z1198" s="38"/>
      <c r="AA1198" s="38"/>
      <c r="AB1198" s="38"/>
      <c r="AC1198" s="38"/>
      <c r="AD1198" s="38"/>
      <c r="AE1198" s="38"/>
      <c r="AF1198" s="38"/>
      <c r="AG1198" s="38"/>
      <c r="AH1198" s="38"/>
      <c r="AI1198" s="38"/>
      <c r="AJ1198" s="38"/>
      <c r="AK1198" s="38"/>
      <c r="AL1198" s="38"/>
      <c r="AM1198" s="38"/>
      <c r="AN1198" s="38"/>
      <c r="AO1198" s="38"/>
      <c r="AP1198" s="38"/>
      <c r="AQ1198" s="38"/>
      <c r="AR1198" s="38"/>
      <c r="AS1198" s="38"/>
      <c r="AT1198" s="38"/>
      <c r="AU1198" s="38"/>
      <c r="AV1198" s="38"/>
      <c r="AW1198" s="38"/>
      <c r="AX1198" s="38"/>
      <c r="AY1198" s="38"/>
      <c r="AZ1198" s="38"/>
      <c r="BA1198" s="38"/>
      <c r="BB1198" s="38"/>
      <c r="BC1198" s="38"/>
      <c r="BD1198" s="38"/>
      <c r="BE1198" s="38"/>
      <c r="BF1198" s="38"/>
      <c r="BG1198" s="38"/>
      <c r="BH1198" s="38"/>
      <c r="BI1198" s="38"/>
      <c r="BJ1198" s="38"/>
      <c r="BK1198" s="38"/>
      <c r="BL1198" s="38"/>
      <c r="BM1198" s="38"/>
      <c r="BN1198" s="38"/>
      <c r="BO1198" s="38"/>
      <c r="BP1198" s="38"/>
      <c r="BQ1198" s="38"/>
    </row>
    <row r="1199">
      <c r="A1199" s="37" t="s">
        <v>239</v>
      </c>
      <c r="B1199" s="59">
        <v>43234.0</v>
      </c>
      <c r="C1199" s="59">
        <v>43233.0</v>
      </c>
      <c r="D1199" s="60" t="s">
        <v>3651</v>
      </c>
      <c r="E1199" s="58" t="s">
        <v>41</v>
      </c>
      <c r="F1199" s="58">
        <v>1.0</v>
      </c>
      <c r="G1199" s="58">
        <v>4.0</v>
      </c>
      <c r="H1199" s="33">
        <f t="shared" si="182"/>
        <v>4</v>
      </c>
      <c r="I1199" s="58" t="s">
        <v>33</v>
      </c>
      <c r="J1199" s="58" t="s">
        <v>241</v>
      </c>
      <c r="K1199" s="58">
        <v>1.0</v>
      </c>
      <c r="L1199" s="58" t="s">
        <v>194</v>
      </c>
      <c r="M1199" s="61" t="s">
        <v>3653</v>
      </c>
      <c r="N1199" s="77"/>
      <c r="O1199" s="62"/>
      <c r="P1199" s="62"/>
      <c r="Q1199" s="62"/>
      <c r="R1199" s="62"/>
      <c r="S1199" s="37" t="str">
        <f>IFERROR(__xludf.DUMMYFUNCTION("if(not(iserror(index(split(C1199, "" ""),2))), index(split(C1199, "" ""),1),"""")"),"May")</f>
        <v>May</v>
      </c>
      <c r="T1199" s="38">
        <f>IFERROR(__xludf.DUMMYFUNCTION("if(S1199="""",C1199,if(not(iserror(index(split(C1199, "" ""),3))), index(split(C1199, "" ""),3),index(split(C1199, "" ""),2)))"),2018.0)</f>
        <v>2018</v>
      </c>
      <c r="U1199" s="38" t="b">
        <f t="shared" si="179"/>
        <v>1</v>
      </c>
      <c r="V1199" s="38"/>
      <c r="W1199" s="40"/>
      <c r="X1199" s="40"/>
      <c r="Y1199" s="40"/>
      <c r="Z1199" s="38"/>
      <c r="AA1199" s="38"/>
      <c r="AB1199" s="38"/>
      <c r="AC1199" s="38"/>
      <c r="AD1199" s="38"/>
      <c r="AE1199" s="38"/>
      <c r="AF1199" s="38"/>
      <c r="AG1199" s="38"/>
      <c r="AH1199" s="38"/>
      <c r="AI1199" s="38"/>
      <c r="AJ1199" s="38"/>
      <c r="AK1199" s="38"/>
      <c r="AL1199" s="38"/>
      <c r="AM1199" s="38"/>
      <c r="AN1199" s="38"/>
      <c r="AO1199" s="38"/>
      <c r="AP1199" s="38"/>
      <c r="AQ1199" s="38"/>
      <c r="AR1199" s="38"/>
      <c r="AS1199" s="38"/>
      <c r="AT1199" s="38"/>
      <c r="AU1199" s="38"/>
      <c r="AV1199" s="38"/>
      <c r="AW1199" s="38"/>
      <c r="AX1199" s="38"/>
      <c r="AY1199" s="38"/>
      <c r="AZ1199" s="38"/>
      <c r="BA1199" s="38"/>
      <c r="BB1199" s="38"/>
      <c r="BC1199" s="38"/>
      <c r="BD1199" s="38"/>
      <c r="BE1199" s="38"/>
      <c r="BF1199" s="38"/>
      <c r="BG1199" s="38"/>
      <c r="BH1199" s="38"/>
      <c r="BI1199" s="38"/>
      <c r="BJ1199" s="38"/>
      <c r="BK1199" s="38"/>
      <c r="BL1199" s="38"/>
      <c r="BM1199" s="38"/>
      <c r="BN1199" s="38"/>
      <c r="BO1199" s="38"/>
      <c r="BP1199" s="38"/>
      <c r="BQ1199" s="38"/>
    </row>
    <row r="1200">
      <c r="A1200" s="37" t="s">
        <v>239</v>
      </c>
      <c r="B1200" s="59">
        <v>43234.0</v>
      </c>
      <c r="C1200" s="59">
        <v>43233.0</v>
      </c>
      <c r="D1200" s="60" t="s">
        <v>3651</v>
      </c>
      <c r="E1200" s="58" t="s">
        <v>41</v>
      </c>
      <c r="F1200" s="58">
        <v>2.0</v>
      </c>
      <c r="G1200" s="58">
        <v>1.0</v>
      </c>
      <c r="H1200" s="33">
        <f t="shared" si="182"/>
        <v>1</v>
      </c>
      <c r="I1200" s="58" t="s">
        <v>33</v>
      </c>
      <c r="J1200" s="58" t="s">
        <v>241</v>
      </c>
      <c r="K1200" s="58">
        <v>1.0</v>
      </c>
      <c r="L1200" s="58" t="s">
        <v>194</v>
      </c>
      <c r="M1200" s="61" t="s">
        <v>3654</v>
      </c>
      <c r="N1200" s="77"/>
      <c r="O1200" s="62"/>
      <c r="P1200" s="62"/>
      <c r="Q1200" s="62"/>
      <c r="R1200" s="62"/>
      <c r="S1200" s="37" t="str">
        <f>IFERROR(__xludf.DUMMYFUNCTION("if(not(iserror(index(split(C1200, "" ""),2))), index(split(C1200, "" ""),1),"""")"),"May")</f>
        <v>May</v>
      </c>
      <c r="T1200" s="38">
        <f>IFERROR(__xludf.DUMMYFUNCTION("if(S1200="""",C1200,if(not(iserror(index(split(C1200, "" ""),3))), index(split(C1200, "" ""),3),index(split(C1200, "" ""),2)))"),2018.0)</f>
        <v>2018</v>
      </c>
      <c r="U1200" s="38" t="b">
        <f t="shared" si="179"/>
        <v>1</v>
      </c>
      <c r="V1200" s="38"/>
      <c r="W1200" s="40"/>
      <c r="X1200" s="40"/>
      <c r="Y1200" s="40"/>
      <c r="Z1200" s="38"/>
      <c r="AA1200" s="38"/>
      <c r="AB1200" s="38"/>
      <c r="AC1200" s="38"/>
      <c r="AD1200" s="38"/>
      <c r="AE1200" s="38"/>
      <c r="AF1200" s="38"/>
      <c r="AG1200" s="38"/>
      <c r="AH1200" s="38"/>
      <c r="AI1200" s="38"/>
      <c r="AJ1200" s="38"/>
      <c r="AK1200" s="38"/>
      <c r="AL1200" s="38"/>
      <c r="AM1200" s="38"/>
      <c r="AN1200" s="38"/>
      <c r="AO1200" s="38"/>
      <c r="AP1200" s="38"/>
      <c r="AQ1200" s="38"/>
      <c r="AR1200" s="38"/>
      <c r="AS1200" s="38"/>
      <c r="AT1200" s="38"/>
      <c r="AU1200" s="38"/>
      <c r="AV1200" s="38"/>
      <c r="AW1200" s="38"/>
      <c r="AX1200" s="38"/>
      <c r="AY1200" s="38"/>
      <c r="AZ1200" s="38"/>
      <c r="BA1200" s="38"/>
      <c r="BB1200" s="38"/>
      <c r="BC1200" s="38"/>
      <c r="BD1200" s="38"/>
      <c r="BE1200" s="38"/>
      <c r="BF1200" s="38"/>
      <c r="BG1200" s="38"/>
      <c r="BH1200" s="38"/>
      <c r="BI1200" s="38"/>
      <c r="BJ1200" s="38"/>
      <c r="BK1200" s="38"/>
      <c r="BL1200" s="38"/>
      <c r="BM1200" s="38"/>
      <c r="BN1200" s="38"/>
      <c r="BO1200" s="38"/>
      <c r="BP1200" s="38"/>
      <c r="BQ1200" s="38"/>
    </row>
    <row r="1201">
      <c r="A1201" s="58" t="s">
        <v>3655</v>
      </c>
      <c r="B1201" s="59">
        <v>43234.0</v>
      </c>
      <c r="C1201" s="59">
        <v>43234.0</v>
      </c>
      <c r="D1201" s="60" t="s">
        <v>3656</v>
      </c>
      <c r="E1201" s="58" t="s">
        <v>41</v>
      </c>
      <c r="F1201" s="58">
        <v>1.0</v>
      </c>
      <c r="G1201" s="58" t="s">
        <v>32</v>
      </c>
      <c r="H1201" s="33">
        <f t="shared" si="182"/>
        <v>1</v>
      </c>
      <c r="I1201" s="58" t="s">
        <v>33</v>
      </c>
      <c r="J1201" s="58" t="s">
        <v>98</v>
      </c>
      <c r="K1201" s="58">
        <v>4.0</v>
      </c>
      <c r="L1201" s="58" t="s">
        <v>119</v>
      </c>
      <c r="M1201" s="61" t="s">
        <v>3657</v>
      </c>
      <c r="N1201" s="77"/>
      <c r="O1201" s="58"/>
      <c r="P1201" s="58"/>
      <c r="Q1201" s="84"/>
      <c r="R1201" s="62"/>
      <c r="S1201" s="37" t="str">
        <f>IFERROR(__xludf.DUMMYFUNCTION("if(not(iserror(index(split(C1201, "" ""),2))), index(split(C1201, "" ""),1),"""")"),"May")</f>
        <v>May</v>
      </c>
      <c r="T1201" s="38">
        <f>IFERROR(__xludf.DUMMYFUNCTION("if(S1201="""",C1201,if(not(iserror(index(split(C1201, "" ""),3))), index(split(C1201, "" ""),3),index(split(C1201, "" ""),2)))"),2018.0)</f>
        <v>2018</v>
      </c>
      <c r="U1201" s="38" t="b">
        <f t="shared" si="179"/>
        <v>0</v>
      </c>
      <c r="V1201" s="38"/>
      <c r="W1201" s="40"/>
      <c r="X1201" s="40"/>
      <c r="Y1201" s="40"/>
      <c r="Z1201" s="38"/>
      <c r="AA1201" s="38"/>
      <c r="AB1201" s="38"/>
      <c r="AC1201" s="38"/>
      <c r="AD1201" s="38"/>
      <c r="AE1201" s="38"/>
      <c r="AF1201" s="38"/>
      <c r="AG1201" s="38"/>
      <c r="AH1201" s="38"/>
      <c r="AI1201" s="38"/>
      <c r="AJ1201" s="38"/>
      <c r="AK1201" s="38"/>
      <c r="AL1201" s="38"/>
      <c r="AM1201" s="38"/>
      <c r="AN1201" s="38"/>
      <c r="AO1201" s="38"/>
      <c r="AP1201" s="38"/>
      <c r="AQ1201" s="38"/>
      <c r="AR1201" s="38"/>
      <c r="AS1201" s="38"/>
      <c r="AT1201" s="38"/>
      <c r="AU1201" s="38"/>
      <c r="AV1201" s="38"/>
      <c r="AW1201" s="38"/>
      <c r="AX1201" s="38"/>
      <c r="AY1201" s="38"/>
      <c r="AZ1201" s="38"/>
      <c r="BA1201" s="38"/>
      <c r="BB1201" s="38"/>
      <c r="BC1201" s="38"/>
      <c r="BD1201" s="38"/>
      <c r="BE1201" s="38"/>
      <c r="BF1201" s="38"/>
      <c r="BG1201" s="38"/>
      <c r="BH1201" s="38"/>
      <c r="BI1201" s="38"/>
      <c r="BJ1201" s="38"/>
      <c r="BK1201" s="38"/>
      <c r="BL1201" s="38"/>
      <c r="BM1201" s="38"/>
      <c r="BN1201" s="38"/>
      <c r="BO1201" s="38"/>
      <c r="BP1201" s="38"/>
      <c r="BQ1201" s="38"/>
    </row>
    <row r="1202">
      <c r="A1202" s="58" t="s">
        <v>3658</v>
      </c>
      <c r="B1202" s="59">
        <v>43235.0</v>
      </c>
      <c r="C1202" s="59">
        <v>43234.0</v>
      </c>
      <c r="D1202" s="60" t="s">
        <v>3656</v>
      </c>
      <c r="E1202" s="58" t="s">
        <v>31</v>
      </c>
      <c r="F1202" s="58">
        <v>1.0</v>
      </c>
      <c r="G1202" s="58" t="s">
        <v>32</v>
      </c>
      <c r="H1202" s="33">
        <f t="shared" si="182"/>
        <v>1</v>
      </c>
      <c r="I1202" s="58" t="s">
        <v>33</v>
      </c>
      <c r="J1202" s="58" t="s">
        <v>61</v>
      </c>
      <c r="K1202" s="58">
        <v>1.0</v>
      </c>
      <c r="L1202" s="58" t="s">
        <v>52</v>
      </c>
      <c r="M1202" s="61" t="s">
        <v>3659</v>
      </c>
      <c r="N1202" s="77"/>
      <c r="O1202" s="62"/>
      <c r="P1202" s="62"/>
      <c r="Q1202" s="62"/>
      <c r="R1202" s="62"/>
      <c r="S1202" s="37" t="str">
        <f>IFERROR(__xludf.DUMMYFUNCTION("if(not(iserror(index(split(C1202, "" ""),2))), index(split(C1202, "" ""),1),"""")"),"May")</f>
        <v>May</v>
      </c>
      <c r="T1202" s="38">
        <f>IFERROR(__xludf.DUMMYFUNCTION("if(S1202="""",C1202,if(not(iserror(index(split(C1202, "" ""),3))), index(split(C1202, "" ""),3),index(split(C1202, "" ""),2)))"),2018.0)</f>
        <v>2018</v>
      </c>
      <c r="U1202" s="38" t="b">
        <f t="shared" si="179"/>
        <v>0</v>
      </c>
      <c r="V1202" s="38"/>
      <c r="W1202" s="40"/>
      <c r="X1202" s="40"/>
      <c r="Y1202" s="40"/>
      <c r="Z1202" s="38"/>
      <c r="AA1202" s="38"/>
      <c r="AB1202" s="38"/>
      <c r="AC1202" s="38"/>
      <c r="AD1202" s="38"/>
      <c r="AE1202" s="38"/>
      <c r="AF1202" s="38"/>
      <c r="AG1202" s="38"/>
      <c r="AH1202" s="38"/>
      <c r="AI1202" s="38"/>
      <c r="AJ1202" s="38"/>
      <c r="AK1202" s="38"/>
      <c r="AL1202" s="38"/>
      <c r="AM1202" s="38"/>
      <c r="AN1202" s="38"/>
      <c r="AO1202" s="38"/>
      <c r="AP1202" s="38"/>
      <c r="AQ1202" s="38"/>
      <c r="AR1202" s="38"/>
      <c r="AS1202" s="38"/>
      <c r="AT1202" s="38"/>
      <c r="AU1202" s="38"/>
      <c r="AV1202" s="38"/>
      <c r="AW1202" s="38"/>
      <c r="AX1202" s="38"/>
      <c r="AY1202" s="38"/>
      <c r="AZ1202" s="38"/>
      <c r="BA1202" s="38"/>
      <c r="BB1202" s="38"/>
      <c r="BC1202" s="38"/>
      <c r="BD1202" s="38"/>
      <c r="BE1202" s="38"/>
      <c r="BF1202" s="38"/>
      <c r="BG1202" s="38"/>
      <c r="BH1202" s="38"/>
      <c r="BI1202" s="38"/>
      <c r="BJ1202" s="38"/>
      <c r="BK1202" s="38"/>
      <c r="BL1202" s="38"/>
      <c r="BM1202" s="38"/>
      <c r="BN1202" s="38"/>
      <c r="BO1202" s="38"/>
      <c r="BP1202" s="38"/>
      <c r="BQ1202" s="38"/>
    </row>
    <row r="1203">
      <c r="A1203" s="58" t="s">
        <v>239</v>
      </c>
      <c r="B1203" s="59">
        <v>43235.0</v>
      </c>
      <c r="C1203" s="59">
        <v>43234.0</v>
      </c>
      <c r="D1203" s="60" t="s">
        <v>3656</v>
      </c>
      <c r="E1203" s="58" t="s">
        <v>41</v>
      </c>
      <c r="F1203" s="58">
        <v>1.0</v>
      </c>
      <c r="G1203" s="58">
        <v>2.0</v>
      </c>
      <c r="H1203" s="33">
        <f t="shared" si="182"/>
        <v>2</v>
      </c>
      <c r="I1203" s="58" t="s">
        <v>33</v>
      </c>
      <c r="J1203" s="58" t="s">
        <v>241</v>
      </c>
      <c r="K1203" s="58">
        <v>1.0</v>
      </c>
      <c r="L1203" s="58" t="s">
        <v>194</v>
      </c>
      <c r="M1203" s="61" t="s">
        <v>3660</v>
      </c>
      <c r="N1203" s="77"/>
      <c r="O1203" s="62"/>
      <c r="P1203" s="62"/>
      <c r="Q1203" s="62"/>
      <c r="R1203" s="62"/>
      <c r="S1203" s="37" t="str">
        <f>IFERROR(__xludf.DUMMYFUNCTION("if(not(iserror(index(split(C1203, "" ""),2))), index(split(C1203, "" ""),1),"""")"),"May")</f>
        <v>May</v>
      </c>
      <c r="T1203" s="38">
        <f>IFERROR(__xludf.DUMMYFUNCTION("if(S1203="""",C1203,if(not(iserror(index(split(C1203, "" ""),3))), index(split(C1203, "" ""),3),index(split(C1203, "" ""),2)))"),2018.0)</f>
        <v>2018</v>
      </c>
      <c r="U1203" s="38" t="b">
        <f t="shared" si="179"/>
        <v>1</v>
      </c>
      <c r="V1203" s="38"/>
      <c r="W1203" s="40"/>
      <c r="X1203" s="40"/>
      <c r="Y1203" s="40"/>
      <c r="Z1203" s="38"/>
      <c r="AA1203" s="38"/>
      <c r="AB1203" s="38"/>
      <c r="AC1203" s="38"/>
      <c r="AD1203" s="38"/>
      <c r="AE1203" s="38"/>
      <c r="AF1203" s="38"/>
      <c r="AG1203" s="38"/>
      <c r="AH1203" s="38"/>
      <c r="AI1203" s="38"/>
      <c r="AJ1203" s="38"/>
      <c r="AK1203" s="38"/>
      <c r="AL1203" s="38"/>
      <c r="AM1203" s="38"/>
      <c r="AN1203" s="38"/>
      <c r="AO1203" s="38"/>
      <c r="AP1203" s="38"/>
      <c r="AQ1203" s="38"/>
      <c r="AR1203" s="38"/>
      <c r="AS1203" s="38"/>
      <c r="AT1203" s="38"/>
      <c r="AU1203" s="38"/>
      <c r="AV1203" s="38"/>
      <c r="AW1203" s="38"/>
      <c r="AX1203" s="38"/>
      <c r="AY1203" s="38"/>
      <c r="AZ1203" s="38"/>
      <c r="BA1203" s="38"/>
      <c r="BB1203" s="38"/>
      <c r="BC1203" s="38"/>
      <c r="BD1203" s="38"/>
      <c r="BE1203" s="38"/>
      <c r="BF1203" s="38"/>
      <c r="BG1203" s="38"/>
      <c r="BH1203" s="38"/>
      <c r="BI1203" s="38"/>
      <c r="BJ1203" s="38"/>
      <c r="BK1203" s="38"/>
      <c r="BL1203" s="38"/>
      <c r="BM1203" s="38"/>
      <c r="BN1203" s="38"/>
      <c r="BO1203" s="38"/>
      <c r="BP1203" s="38"/>
      <c r="BQ1203" s="38"/>
    </row>
    <row r="1204">
      <c r="A1204" s="58" t="s">
        <v>3661</v>
      </c>
      <c r="B1204" s="59">
        <v>43235.0</v>
      </c>
      <c r="C1204" s="59">
        <v>43235.0</v>
      </c>
      <c r="D1204" s="60" t="s">
        <v>3662</v>
      </c>
      <c r="E1204" s="58" t="s">
        <v>31</v>
      </c>
      <c r="F1204" s="58">
        <v>1.0</v>
      </c>
      <c r="G1204" s="58" t="s">
        <v>32</v>
      </c>
      <c r="H1204" s="33">
        <f t="shared" si="182"/>
        <v>1</v>
      </c>
      <c r="I1204" s="58" t="s">
        <v>33</v>
      </c>
      <c r="J1204" s="58" t="s">
        <v>460</v>
      </c>
      <c r="K1204" s="58">
        <v>1.0</v>
      </c>
      <c r="L1204" s="58" t="s">
        <v>52</v>
      </c>
      <c r="M1204" s="61" t="s">
        <v>3663</v>
      </c>
      <c r="N1204" s="77"/>
      <c r="O1204" s="62"/>
      <c r="P1204" s="62"/>
      <c r="Q1204" s="62"/>
      <c r="R1204" s="62"/>
      <c r="S1204" s="37" t="str">
        <f>IFERROR(__xludf.DUMMYFUNCTION("if(not(iserror(index(split(C1204, "" ""),2))), index(split(C1204, "" ""),1),"""")"),"May")</f>
        <v>May</v>
      </c>
      <c r="T1204" s="38">
        <f>IFERROR(__xludf.DUMMYFUNCTION("if(S1204="""",C1204,if(not(iserror(index(split(C1204, "" ""),3))), index(split(C1204, "" ""),3),index(split(C1204, "" ""),2)))"),2018.0)</f>
        <v>2018</v>
      </c>
      <c r="U1204" s="38" t="b">
        <f t="shared" si="179"/>
        <v>0</v>
      </c>
      <c r="V1204" s="38"/>
      <c r="W1204" s="40"/>
      <c r="X1204" s="40"/>
      <c r="Y1204" s="40"/>
      <c r="Z1204" s="38"/>
      <c r="AA1204" s="38"/>
      <c r="AB1204" s="38"/>
      <c r="AC1204" s="38"/>
      <c r="AD1204" s="38"/>
      <c r="AE1204" s="38"/>
      <c r="AF1204" s="38"/>
      <c r="AG1204" s="38"/>
      <c r="AH1204" s="38"/>
      <c r="AI1204" s="38"/>
      <c r="AJ1204" s="38"/>
      <c r="AK1204" s="38"/>
      <c r="AL1204" s="38"/>
      <c r="AM1204" s="38"/>
      <c r="AN1204" s="38"/>
      <c r="AO1204" s="38"/>
      <c r="AP1204" s="38"/>
      <c r="AQ1204" s="38"/>
      <c r="AR1204" s="38"/>
      <c r="AS1204" s="38"/>
      <c r="AT1204" s="38"/>
      <c r="AU1204" s="38"/>
      <c r="AV1204" s="38"/>
      <c r="AW1204" s="38"/>
      <c r="AX1204" s="38"/>
      <c r="AY1204" s="38"/>
      <c r="AZ1204" s="38"/>
      <c r="BA1204" s="38"/>
      <c r="BB1204" s="38"/>
      <c r="BC1204" s="38"/>
      <c r="BD1204" s="38"/>
      <c r="BE1204" s="38"/>
      <c r="BF1204" s="38"/>
      <c r="BG1204" s="38"/>
      <c r="BH1204" s="38"/>
      <c r="BI1204" s="38"/>
      <c r="BJ1204" s="38"/>
      <c r="BK1204" s="38"/>
      <c r="BL1204" s="38"/>
      <c r="BM1204" s="38"/>
      <c r="BN1204" s="38"/>
      <c r="BO1204" s="38"/>
      <c r="BP1204" s="38"/>
      <c r="BQ1204" s="38"/>
    </row>
    <row r="1205">
      <c r="A1205" s="58" t="s">
        <v>3664</v>
      </c>
      <c r="B1205" s="59">
        <v>43235.0</v>
      </c>
      <c r="C1205" s="59">
        <v>43235.0</v>
      </c>
      <c r="D1205" s="60" t="s">
        <v>3662</v>
      </c>
      <c r="E1205" s="58" t="s">
        <v>31</v>
      </c>
      <c r="F1205" s="58">
        <v>1.0</v>
      </c>
      <c r="G1205" s="58" t="s">
        <v>32</v>
      </c>
      <c r="H1205" s="33">
        <f t="shared" si="182"/>
        <v>1</v>
      </c>
      <c r="I1205" s="58" t="s">
        <v>33</v>
      </c>
      <c r="J1205" s="58" t="s">
        <v>47</v>
      </c>
      <c r="K1205" s="58">
        <v>1.0</v>
      </c>
      <c r="L1205" s="34" t="s">
        <v>35</v>
      </c>
      <c r="M1205" s="61" t="s">
        <v>3665</v>
      </c>
      <c r="N1205" s="77"/>
      <c r="O1205" s="62"/>
      <c r="P1205" s="62"/>
      <c r="Q1205" s="62"/>
      <c r="R1205" s="62"/>
      <c r="S1205" s="37" t="str">
        <f>IFERROR(__xludf.DUMMYFUNCTION("if(not(iserror(index(split(C1205, "" ""),2))), index(split(C1205, "" ""),1),"""")"),"May")</f>
        <v>May</v>
      </c>
      <c r="T1205" s="38">
        <f>IFERROR(__xludf.DUMMYFUNCTION("if(S1205="""",C1205,if(not(iserror(index(split(C1205, "" ""),3))), index(split(C1205, "" ""),3),index(split(C1205, "" ""),2)))"),2018.0)</f>
        <v>2018</v>
      </c>
      <c r="U1205" s="38" t="b">
        <f t="shared" si="179"/>
        <v>0</v>
      </c>
      <c r="V1205" s="38"/>
      <c r="W1205" s="40"/>
      <c r="X1205" s="40"/>
      <c r="Y1205" s="40"/>
      <c r="Z1205" s="38"/>
      <c r="AA1205" s="38"/>
      <c r="AB1205" s="38"/>
      <c r="AC1205" s="38"/>
      <c r="AD1205" s="38"/>
      <c r="AE1205" s="38"/>
      <c r="AF1205" s="38"/>
      <c r="AG1205" s="38"/>
      <c r="AH1205" s="38"/>
      <c r="AI1205" s="38"/>
      <c r="AJ1205" s="38"/>
      <c r="AK1205" s="38"/>
      <c r="AL1205" s="38"/>
      <c r="AM1205" s="38"/>
      <c r="AN1205" s="38"/>
      <c r="AO1205" s="38"/>
      <c r="AP1205" s="38"/>
      <c r="AQ1205" s="38"/>
      <c r="AR1205" s="38"/>
      <c r="AS1205" s="38"/>
      <c r="AT1205" s="38"/>
      <c r="AU1205" s="38"/>
      <c r="AV1205" s="38"/>
      <c r="AW1205" s="38"/>
      <c r="AX1205" s="38"/>
      <c r="AY1205" s="38"/>
      <c r="AZ1205" s="38"/>
      <c r="BA1205" s="38"/>
      <c r="BB1205" s="38"/>
      <c r="BC1205" s="38"/>
      <c r="BD1205" s="38"/>
      <c r="BE1205" s="38"/>
      <c r="BF1205" s="38"/>
      <c r="BG1205" s="38"/>
      <c r="BH1205" s="38"/>
      <c r="BI1205" s="38"/>
      <c r="BJ1205" s="38"/>
      <c r="BK1205" s="38"/>
      <c r="BL1205" s="38"/>
      <c r="BM1205" s="38"/>
      <c r="BN1205" s="38"/>
      <c r="BO1205" s="38"/>
      <c r="BP1205" s="38"/>
      <c r="BQ1205" s="38"/>
    </row>
    <row r="1206">
      <c r="A1206" s="58" t="s">
        <v>3666</v>
      </c>
      <c r="B1206" s="59">
        <v>43236.0</v>
      </c>
      <c r="C1206" s="59">
        <v>43235.0</v>
      </c>
      <c r="D1206" s="60" t="s">
        <v>3662</v>
      </c>
      <c r="E1206" s="58" t="s">
        <v>31</v>
      </c>
      <c r="F1206" s="58">
        <v>1.0</v>
      </c>
      <c r="G1206" s="58" t="s">
        <v>32</v>
      </c>
      <c r="H1206" s="33">
        <f t="shared" si="182"/>
        <v>1</v>
      </c>
      <c r="I1206" s="58" t="s">
        <v>33</v>
      </c>
      <c r="J1206" s="58" t="s">
        <v>147</v>
      </c>
      <c r="K1206" s="58">
        <v>1.0</v>
      </c>
      <c r="L1206" s="58" t="s">
        <v>3667</v>
      </c>
      <c r="M1206" s="61" t="s">
        <v>3668</v>
      </c>
      <c r="N1206" s="61" t="s">
        <v>3669</v>
      </c>
      <c r="O1206" s="58"/>
      <c r="P1206" s="62"/>
      <c r="Q1206" s="58"/>
      <c r="R1206" s="62"/>
      <c r="S1206" s="37" t="str">
        <f>IFERROR(__xludf.DUMMYFUNCTION("if(not(iserror(index(split(C1206, "" ""),2))), index(split(C1206, "" ""),1),"""")"),"May")</f>
        <v>May</v>
      </c>
      <c r="T1206" s="38">
        <f>IFERROR(__xludf.DUMMYFUNCTION("if(S1206="""",C1206,if(not(iserror(index(split(C1206, "" ""),3))), index(split(C1206, "" ""),3),index(split(C1206, "" ""),2)))"),2018.0)</f>
        <v>2018</v>
      </c>
      <c r="U1206" s="38" t="b">
        <f t="shared" si="179"/>
        <v>0</v>
      </c>
      <c r="V1206" s="38" t="s">
        <v>33</v>
      </c>
      <c r="W1206" s="39" t="s">
        <v>3670</v>
      </c>
      <c r="X1206" s="39" t="s">
        <v>3670</v>
      </c>
      <c r="Y1206" s="40"/>
      <c r="Z1206" s="38"/>
      <c r="AA1206" s="38"/>
      <c r="AB1206" s="38"/>
      <c r="AC1206" s="38"/>
      <c r="AD1206" s="38"/>
      <c r="AE1206" s="38"/>
      <c r="AF1206" s="38"/>
      <c r="AG1206" s="38"/>
      <c r="AH1206" s="38"/>
      <c r="AI1206" s="38"/>
      <c r="AJ1206" s="38"/>
      <c r="AK1206" s="38"/>
      <c r="AL1206" s="38"/>
      <c r="AM1206" s="38"/>
      <c r="AN1206" s="38"/>
      <c r="AO1206" s="38"/>
      <c r="AP1206" s="38"/>
      <c r="AQ1206" s="38"/>
      <c r="AR1206" s="38"/>
      <c r="AS1206" s="38"/>
      <c r="AT1206" s="38"/>
      <c r="AU1206" s="38"/>
      <c r="AV1206" s="38"/>
      <c r="AW1206" s="38"/>
      <c r="AX1206" s="38"/>
      <c r="AY1206" s="38"/>
      <c r="AZ1206" s="38"/>
      <c r="BA1206" s="38"/>
      <c r="BB1206" s="38"/>
      <c r="BC1206" s="38"/>
      <c r="BD1206" s="38"/>
      <c r="BE1206" s="38"/>
      <c r="BF1206" s="38"/>
      <c r="BG1206" s="38"/>
      <c r="BH1206" s="38"/>
      <c r="BI1206" s="38"/>
      <c r="BJ1206" s="38"/>
      <c r="BK1206" s="38"/>
      <c r="BL1206" s="38"/>
      <c r="BM1206" s="38"/>
      <c r="BN1206" s="38"/>
      <c r="BO1206" s="38"/>
      <c r="BP1206" s="38"/>
      <c r="BQ1206" s="38"/>
    </row>
    <row r="1207">
      <c r="A1207" s="58" t="s">
        <v>3671</v>
      </c>
      <c r="B1207" s="59">
        <v>43237.0</v>
      </c>
      <c r="C1207" s="59">
        <v>43235.0</v>
      </c>
      <c r="D1207" s="60" t="s">
        <v>3662</v>
      </c>
      <c r="E1207" s="58" t="s">
        <v>31</v>
      </c>
      <c r="F1207" s="58">
        <v>1.0</v>
      </c>
      <c r="G1207" s="58" t="s">
        <v>32</v>
      </c>
      <c r="H1207" s="33">
        <f t="shared" si="182"/>
        <v>1</v>
      </c>
      <c r="I1207" s="58" t="s">
        <v>33</v>
      </c>
      <c r="J1207" s="58" t="s">
        <v>85</v>
      </c>
      <c r="K1207" s="58">
        <v>1.0</v>
      </c>
      <c r="L1207" s="58" t="s">
        <v>52</v>
      </c>
      <c r="M1207" s="61" t="s">
        <v>3672</v>
      </c>
      <c r="N1207" s="77"/>
      <c r="O1207" s="62"/>
      <c r="P1207" s="62"/>
      <c r="Q1207" s="62"/>
      <c r="R1207" s="62"/>
      <c r="S1207" s="37" t="str">
        <f>IFERROR(__xludf.DUMMYFUNCTION("if(not(iserror(index(split(C1207, "" ""),2))), index(split(C1207, "" ""),1),"""")"),"May")</f>
        <v>May</v>
      </c>
      <c r="T1207" s="38">
        <f>IFERROR(__xludf.DUMMYFUNCTION("if(S1207="""",C1207,if(not(iserror(index(split(C1207, "" ""),3))), index(split(C1207, "" ""),3),index(split(C1207, "" ""),2)))"),2018.0)</f>
        <v>2018</v>
      </c>
      <c r="U1207" s="38" t="b">
        <f t="shared" si="179"/>
        <v>0</v>
      </c>
      <c r="V1207" s="38"/>
      <c r="W1207" s="40"/>
      <c r="X1207" s="40"/>
      <c r="Y1207" s="40"/>
      <c r="Z1207" s="38"/>
      <c r="AA1207" s="38"/>
      <c r="AB1207" s="38"/>
      <c r="AC1207" s="38"/>
      <c r="AD1207" s="38"/>
      <c r="AE1207" s="38"/>
      <c r="AF1207" s="38"/>
      <c r="AG1207" s="38"/>
      <c r="AH1207" s="38"/>
      <c r="AI1207" s="38"/>
      <c r="AJ1207" s="38"/>
      <c r="AK1207" s="38"/>
      <c r="AL1207" s="38"/>
      <c r="AM1207" s="38"/>
      <c r="AN1207" s="38"/>
      <c r="AO1207" s="38"/>
      <c r="AP1207" s="38"/>
      <c r="AQ1207" s="38"/>
      <c r="AR1207" s="38"/>
      <c r="AS1207" s="38"/>
      <c r="AT1207" s="38"/>
      <c r="AU1207" s="38"/>
      <c r="AV1207" s="38"/>
      <c r="AW1207" s="38"/>
      <c r="AX1207" s="38"/>
      <c r="AY1207" s="38"/>
      <c r="AZ1207" s="38"/>
      <c r="BA1207" s="38"/>
      <c r="BB1207" s="38"/>
      <c r="BC1207" s="38"/>
      <c r="BD1207" s="38"/>
      <c r="BE1207" s="38"/>
      <c r="BF1207" s="38"/>
      <c r="BG1207" s="38"/>
      <c r="BH1207" s="38"/>
      <c r="BI1207" s="38"/>
      <c r="BJ1207" s="38"/>
      <c r="BK1207" s="38"/>
      <c r="BL1207" s="38"/>
      <c r="BM1207" s="38"/>
      <c r="BN1207" s="38"/>
      <c r="BO1207" s="38"/>
      <c r="BP1207" s="38"/>
      <c r="BQ1207" s="38"/>
    </row>
    <row r="1208">
      <c r="A1208" s="152" t="s">
        <v>3673</v>
      </c>
      <c r="B1208" s="153">
        <v>43236.0</v>
      </c>
      <c r="C1208" s="153">
        <v>43236.0</v>
      </c>
      <c r="D1208" s="154" t="s">
        <v>3674</v>
      </c>
      <c r="E1208" s="155" t="s">
        <v>41</v>
      </c>
      <c r="F1208" s="152">
        <v>1.0</v>
      </c>
      <c r="G1208" s="152" t="s">
        <v>32</v>
      </c>
      <c r="H1208" s="33">
        <f t="shared" si="182"/>
        <v>1</v>
      </c>
      <c r="I1208" s="152" t="s">
        <v>33</v>
      </c>
      <c r="J1208" s="152" t="s">
        <v>106</v>
      </c>
      <c r="K1208" s="152">
        <v>2.0</v>
      </c>
      <c r="L1208" s="152" t="s">
        <v>790</v>
      </c>
      <c r="M1208" s="158" t="s">
        <v>3675</v>
      </c>
      <c r="N1208" s="163"/>
      <c r="O1208" s="58"/>
      <c r="P1208" s="62"/>
      <c r="Q1208" s="84"/>
      <c r="R1208" s="62"/>
      <c r="S1208" s="37" t="str">
        <f>IFERROR(__xludf.DUMMYFUNCTION("if(not(iserror(index(split(C1208, "" ""),2))), index(split(C1208, "" ""),1),"""")"),"May")</f>
        <v>May</v>
      </c>
      <c r="T1208" s="38">
        <f>IFERROR(__xludf.DUMMYFUNCTION("if(S1208="""",C1208,if(not(iserror(index(split(C1208, "" ""),3))), index(split(C1208, "" ""),3),index(split(C1208, "" ""),2)))"),2018.0)</f>
        <v>2018</v>
      </c>
      <c r="U1208" s="38" t="b">
        <f t="shared" si="179"/>
        <v>0</v>
      </c>
      <c r="V1208" s="38"/>
      <c r="W1208" s="40"/>
      <c r="X1208" s="40"/>
      <c r="Y1208" s="40"/>
      <c r="Z1208" s="38"/>
      <c r="AA1208" s="38"/>
      <c r="AB1208" s="38"/>
      <c r="AC1208" s="38"/>
      <c r="AD1208" s="38"/>
      <c r="AE1208" s="38"/>
      <c r="AF1208" s="38"/>
      <c r="AG1208" s="38"/>
      <c r="AH1208" s="38"/>
      <c r="AI1208" s="38"/>
      <c r="AJ1208" s="38"/>
      <c r="AK1208" s="38"/>
      <c r="AL1208" s="38"/>
      <c r="AM1208" s="38"/>
      <c r="AN1208" s="38"/>
      <c r="AO1208" s="38"/>
      <c r="AP1208" s="38"/>
      <c r="AQ1208" s="38"/>
      <c r="AR1208" s="38"/>
      <c r="AS1208" s="38"/>
      <c r="AT1208" s="38"/>
      <c r="AU1208" s="38"/>
      <c r="AV1208" s="38"/>
      <c r="AW1208" s="38"/>
      <c r="AX1208" s="38"/>
      <c r="AY1208" s="38"/>
      <c r="AZ1208" s="38"/>
      <c r="BA1208" s="38"/>
      <c r="BB1208" s="38"/>
      <c r="BC1208" s="38"/>
      <c r="BD1208" s="38"/>
      <c r="BE1208" s="38"/>
      <c r="BF1208" s="38"/>
      <c r="BG1208" s="38"/>
      <c r="BH1208" s="38"/>
      <c r="BI1208" s="38"/>
      <c r="BJ1208" s="38"/>
      <c r="BK1208" s="38"/>
      <c r="BL1208" s="38"/>
      <c r="BM1208" s="38"/>
      <c r="BN1208" s="38"/>
      <c r="BO1208" s="38"/>
      <c r="BP1208" s="38"/>
      <c r="BQ1208" s="38"/>
    </row>
    <row r="1209">
      <c r="A1209" s="37" t="s">
        <v>3676</v>
      </c>
      <c r="B1209" s="59">
        <v>43236.0</v>
      </c>
      <c r="C1209" s="59">
        <v>43236.0</v>
      </c>
      <c r="D1209" s="60" t="s">
        <v>3674</v>
      </c>
      <c r="E1209" s="58" t="s">
        <v>41</v>
      </c>
      <c r="F1209" s="58">
        <v>1.0</v>
      </c>
      <c r="G1209" s="58" t="s">
        <v>32</v>
      </c>
      <c r="H1209" s="33">
        <f t="shared" si="182"/>
        <v>1</v>
      </c>
      <c r="I1209" s="58" t="s">
        <v>33</v>
      </c>
      <c r="J1209" s="58" t="s">
        <v>179</v>
      </c>
      <c r="K1209" s="58">
        <v>2.0</v>
      </c>
      <c r="L1209" s="58" t="s">
        <v>119</v>
      </c>
      <c r="M1209" s="61" t="s">
        <v>3677</v>
      </c>
      <c r="N1209" s="77"/>
      <c r="O1209" s="88" t="str">
        <f>hyperlink("https://bad-boys.us/?q=ED-VA/1:18-cr-00170", "ED-VA 1:18-cr-00170")</f>
        <v>ED-VA 1:18-cr-00170</v>
      </c>
      <c r="P1209" s="58"/>
      <c r="Q1209" s="84">
        <v>1.0</v>
      </c>
      <c r="R1209" s="62"/>
      <c r="S1209" s="37" t="str">
        <f>IFERROR(__xludf.DUMMYFUNCTION("if(not(iserror(index(split(C1209, "" ""),2))), index(split(C1209, "" ""),1),"""")"),"May")</f>
        <v>May</v>
      </c>
      <c r="T1209" s="38">
        <f>IFERROR(__xludf.DUMMYFUNCTION("if(S1209="""",C1209,if(not(iserror(index(split(C1209, "" ""),3))), index(split(C1209, "" ""),3),index(split(C1209, "" ""),2)))"),2018.0)</f>
        <v>2018</v>
      </c>
      <c r="U1209" s="38" t="b">
        <f t="shared" si="179"/>
        <v>0</v>
      </c>
      <c r="V1209" s="38"/>
      <c r="W1209" s="40"/>
      <c r="X1209" s="40"/>
      <c r="Y1209" s="40"/>
      <c r="Z1209" s="38"/>
      <c r="AA1209" s="38"/>
      <c r="AB1209" s="38"/>
      <c r="AC1209" s="38"/>
      <c r="AD1209" s="38"/>
      <c r="AE1209" s="38"/>
      <c r="AF1209" s="38"/>
      <c r="AG1209" s="38"/>
      <c r="AH1209" s="38"/>
      <c r="AI1209" s="38"/>
      <c r="AJ1209" s="38"/>
      <c r="AK1209" s="38"/>
      <c r="AL1209" s="38"/>
      <c r="AM1209" s="38"/>
      <c r="AN1209" s="38"/>
      <c r="AO1209" s="38"/>
      <c r="AP1209" s="38"/>
      <c r="AQ1209" s="38"/>
      <c r="AR1209" s="38"/>
      <c r="AS1209" s="38"/>
      <c r="AT1209" s="38"/>
      <c r="AU1209" s="38"/>
      <c r="AV1209" s="38"/>
      <c r="AW1209" s="38"/>
      <c r="AX1209" s="38"/>
      <c r="AY1209" s="38"/>
      <c r="AZ1209" s="38"/>
      <c r="BA1209" s="38"/>
      <c r="BB1209" s="38"/>
      <c r="BC1209" s="38"/>
      <c r="BD1209" s="38"/>
      <c r="BE1209" s="38"/>
      <c r="BF1209" s="38"/>
      <c r="BG1209" s="38"/>
      <c r="BH1209" s="38"/>
      <c r="BI1209" s="38"/>
      <c r="BJ1209" s="38"/>
      <c r="BK1209" s="38"/>
      <c r="BL1209" s="38"/>
      <c r="BM1209" s="38"/>
      <c r="BN1209" s="38"/>
      <c r="BO1209" s="38"/>
      <c r="BP1209" s="38"/>
      <c r="BQ1209" s="38"/>
    </row>
    <row r="1210">
      <c r="A1210" s="58" t="s">
        <v>3678</v>
      </c>
      <c r="B1210" s="59"/>
      <c r="C1210" s="59">
        <v>43236.0</v>
      </c>
      <c r="D1210" s="60"/>
      <c r="E1210" s="58" t="s">
        <v>41</v>
      </c>
      <c r="F1210" s="58">
        <v>1.0</v>
      </c>
      <c r="G1210" s="58" t="s">
        <v>32</v>
      </c>
      <c r="H1210" s="43">
        <v>1.0</v>
      </c>
      <c r="I1210" s="58" t="s">
        <v>33</v>
      </c>
      <c r="J1210" s="58" t="s">
        <v>172</v>
      </c>
      <c r="K1210" s="58"/>
      <c r="L1210" s="58" t="s">
        <v>76</v>
      </c>
      <c r="M1210" s="61" t="s">
        <v>3679</v>
      </c>
      <c r="N1210" s="77"/>
      <c r="O1210" s="88" t="str">
        <f>hyperlink("https://bad-boys.us/?q=ED-NC/5:18-cr-00187", "ED-NC 5:18-cr-00187")</f>
        <v>ED-NC 5:18-cr-00187</v>
      </c>
      <c r="P1210" s="88" t="s">
        <v>3680</v>
      </c>
      <c r="Q1210" s="58">
        <v>1.0</v>
      </c>
      <c r="R1210" s="62"/>
      <c r="S1210" s="37" t="str">
        <f>IFERROR(__xludf.DUMMYFUNCTION("if(not(iserror(index(split(C1210, "" ""),2))), index(split(C1210, "" ""),1),"""")"),"May")</f>
        <v>May</v>
      </c>
      <c r="T1210" s="38">
        <f>IFERROR(__xludf.DUMMYFUNCTION("if(S1210="""",C1210,if(not(iserror(index(split(C1210, "" ""),3))), index(split(C1210, "" ""),3),index(split(C1210, "" ""),2)))"),2018.0)</f>
        <v>2018</v>
      </c>
      <c r="U1210" s="38" t="b">
        <f t="shared" si="179"/>
        <v>0</v>
      </c>
      <c r="V1210" s="38" t="s">
        <v>33</v>
      </c>
      <c r="W1210" s="40"/>
      <c r="X1210" s="40"/>
      <c r="Y1210" s="40"/>
      <c r="Z1210" s="38"/>
      <c r="AA1210" s="38"/>
      <c r="AB1210" s="38"/>
      <c r="AC1210" s="38"/>
      <c r="AD1210" s="38"/>
      <c r="AE1210" s="38"/>
      <c r="AF1210" s="38"/>
      <c r="AG1210" s="38"/>
      <c r="AH1210" s="38"/>
      <c r="AI1210" s="38"/>
      <c r="AJ1210" s="38"/>
      <c r="AK1210" s="38"/>
      <c r="AL1210" s="38"/>
      <c r="AM1210" s="38"/>
      <c r="AN1210" s="38"/>
      <c r="AO1210" s="38"/>
      <c r="AP1210" s="38"/>
      <c r="AQ1210" s="38"/>
      <c r="AR1210" s="38"/>
      <c r="AS1210" s="38"/>
      <c r="AT1210" s="38"/>
      <c r="AU1210" s="38"/>
      <c r="AV1210" s="38"/>
      <c r="AW1210" s="38"/>
      <c r="AX1210" s="38"/>
      <c r="AY1210" s="38"/>
      <c r="AZ1210" s="38"/>
      <c r="BA1210" s="38"/>
      <c r="BB1210" s="38"/>
      <c r="BC1210" s="38"/>
      <c r="BD1210" s="38"/>
      <c r="BE1210" s="38"/>
      <c r="BF1210" s="38"/>
      <c r="BG1210" s="38"/>
      <c r="BH1210" s="38"/>
      <c r="BI1210" s="38"/>
      <c r="BJ1210" s="38"/>
      <c r="BK1210" s="38"/>
      <c r="BL1210" s="38"/>
      <c r="BM1210" s="38"/>
      <c r="BN1210" s="38"/>
      <c r="BO1210" s="38"/>
      <c r="BP1210" s="38"/>
      <c r="BQ1210" s="38"/>
    </row>
    <row r="1211">
      <c r="A1211" s="58" t="s">
        <v>40</v>
      </c>
      <c r="B1211" s="59">
        <v>43238.0</v>
      </c>
      <c r="C1211" s="59">
        <v>43236.0</v>
      </c>
      <c r="D1211" s="60" t="s">
        <v>3674</v>
      </c>
      <c r="E1211" s="58" t="s">
        <v>31</v>
      </c>
      <c r="F1211" s="58">
        <v>6.0</v>
      </c>
      <c r="G1211" s="58" t="s">
        <v>32</v>
      </c>
      <c r="H1211" s="33">
        <f t="shared" ref="H1211:H1229" si="183">if(G1211="Unknown",1,G1211)</f>
        <v>1</v>
      </c>
      <c r="I1211" s="58" t="s">
        <v>33</v>
      </c>
      <c r="J1211" s="58" t="s">
        <v>147</v>
      </c>
      <c r="K1211" s="58">
        <v>1.0</v>
      </c>
      <c r="L1211" s="58" t="s">
        <v>52</v>
      </c>
      <c r="M1211" s="61" t="s">
        <v>3681</v>
      </c>
      <c r="N1211" s="77"/>
      <c r="O1211" s="58"/>
      <c r="P1211" s="62"/>
      <c r="Q1211" s="84"/>
      <c r="R1211" s="62"/>
      <c r="S1211" s="37" t="str">
        <f>IFERROR(__xludf.DUMMYFUNCTION("if(not(iserror(index(split(C1211, "" ""),2))), index(split(C1211, "" ""),1),"""")"),"May")</f>
        <v>May</v>
      </c>
      <c r="T1211" s="38">
        <f>IFERROR(__xludf.DUMMYFUNCTION("if(S1211="""",C1211,if(not(iserror(index(split(C1211, "" ""),3))), index(split(C1211, "" ""),3),index(split(C1211, "" ""),2)))"),2018.0)</f>
        <v>2018</v>
      </c>
      <c r="U1211" s="38" t="b">
        <f t="shared" si="179"/>
        <v>1</v>
      </c>
      <c r="V1211" s="38"/>
      <c r="W1211" s="40"/>
      <c r="X1211" s="40"/>
      <c r="Y1211" s="40"/>
      <c r="Z1211" s="38"/>
      <c r="AA1211" s="38"/>
      <c r="AB1211" s="38"/>
      <c r="AC1211" s="38"/>
      <c r="AD1211" s="38"/>
      <c r="AE1211" s="38"/>
      <c r="AF1211" s="38"/>
      <c r="AG1211" s="38"/>
      <c r="AH1211" s="38"/>
      <c r="AI1211" s="38"/>
      <c r="AJ1211" s="38"/>
      <c r="AK1211" s="38"/>
      <c r="AL1211" s="38"/>
      <c r="AM1211" s="38"/>
      <c r="AN1211" s="38"/>
      <c r="AO1211" s="38"/>
      <c r="AP1211" s="38"/>
      <c r="AQ1211" s="38"/>
      <c r="AR1211" s="38"/>
      <c r="AS1211" s="38"/>
      <c r="AT1211" s="38"/>
      <c r="AU1211" s="38"/>
      <c r="AV1211" s="38"/>
      <c r="AW1211" s="38"/>
      <c r="AX1211" s="38"/>
      <c r="AY1211" s="38"/>
      <c r="AZ1211" s="38"/>
      <c r="BA1211" s="38"/>
      <c r="BB1211" s="38"/>
      <c r="BC1211" s="38"/>
      <c r="BD1211" s="38"/>
      <c r="BE1211" s="38"/>
      <c r="BF1211" s="38"/>
      <c r="BG1211" s="38"/>
      <c r="BH1211" s="38"/>
      <c r="BI1211" s="38"/>
      <c r="BJ1211" s="38"/>
      <c r="BK1211" s="38"/>
      <c r="BL1211" s="38"/>
      <c r="BM1211" s="38"/>
      <c r="BN1211" s="38"/>
      <c r="BO1211" s="38"/>
      <c r="BP1211" s="38"/>
      <c r="BQ1211" s="38"/>
    </row>
    <row r="1212">
      <c r="A1212" s="58" t="s">
        <v>3682</v>
      </c>
      <c r="B1212" s="59">
        <v>43238.0</v>
      </c>
      <c r="C1212" s="59">
        <v>43236.0</v>
      </c>
      <c r="D1212" s="60" t="s">
        <v>3674</v>
      </c>
      <c r="E1212" s="58" t="s">
        <v>31</v>
      </c>
      <c r="F1212" s="58">
        <v>1.0</v>
      </c>
      <c r="G1212" s="58" t="s">
        <v>32</v>
      </c>
      <c r="H1212" s="33">
        <f t="shared" si="183"/>
        <v>1</v>
      </c>
      <c r="I1212" s="58" t="s">
        <v>33</v>
      </c>
      <c r="J1212" s="58" t="s">
        <v>193</v>
      </c>
      <c r="K1212" s="58">
        <v>3.0</v>
      </c>
      <c r="L1212" s="58" t="s">
        <v>119</v>
      </c>
      <c r="M1212" s="61" t="s">
        <v>3683</v>
      </c>
      <c r="N1212" s="61" t="s">
        <v>3684</v>
      </c>
      <c r="O1212" s="88" t="str">
        <f>hyperlink("https://bad-boys.us/?q=D-NM/2:18-cr-03225", "D-NM 2:18-cr-03225")</f>
        <v>D-NM 2:18-cr-03225</v>
      </c>
      <c r="P1212" s="88" t="s">
        <v>3685</v>
      </c>
      <c r="Q1212" s="58">
        <v>1.0</v>
      </c>
      <c r="R1212" s="62"/>
      <c r="S1212" s="37" t="str">
        <f>IFERROR(__xludf.DUMMYFUNCTION("if(not(iserror(index(split(C1212, "" ""),2))), index(split(C1212, "" ""),1),"""")"),"May")</f>
        <v>May</v>
      </c>
      <c r="T1212" s="38">
        <f>IFERROR(__xludf.DUMMYFUNCTION("if(S1212="""",C1212,if(not(iserror(index(split(C1212, "" ""),3))), index(split(C1212, "" ""),3),index(split(C1212, "" ""),2)))"),2018.0)</f>
        <v>2018</v>
      </c>
      <c r="U1212" s="38" t="b">
        <f t="shared" si="179"/>
        <v>0</v>
      </c>
      <c r="V1212" s="38"/>
      <c r="W1212" s="40"/>
      <c r="X1212" s="40"/>
      <c r="Y1212" s="40"/>
      <c r="Z1212" s="38"/>
      <c r="AA1212" s="38"/>
      <c r="AB1212" s="38"/>
      <c r="AC1212" s="38"/>
      <c r="AD1212" s="38"/>
      <c r="AE1212" s="38"/>
      <c r="AF1212" s="38"/>
      <c r="AG1212" s="38"/>
      <c r="AH1212" s="38"/>
      <c r="AI1212" s="38"/>
      <c r="AJ1212" s="38"/>
      <c r="AK1212" s="38"/>
      <c r="AL1212" s="38"/>
      <c r="AM1212" s="38"/>
      <c r="AN1212" s="38"/>
      <c r="AO1212" s="38"/>
      <c r="AP1212" s="38"/>
      <c r="AQ1212" s="38"/>
      <c r="AR1212" s="38"/>
      <c r="AS1212" s="38"/>
      <c r="AT1212" s="38"/>
      <c r="AU1212" s="38"/>
      <c r="AV1212" s="38"/>
      <c r="AW1212" s="38"/>
      <c r="AX1212" s="38"/>
      <c r="AY1212" s="38"/>
      <c r="AZ1212" s="38"/>
      <c r="BA1212" s="38"/>
      <c r="BB1212" s="38"/>
      <c r="BC1212" s="38"/>
      <c r="BD1212" s="38"/>
      <c r="BE1212" s="38"/>
      <c r="BF1212" s="38"/>
      <c r="BG1212" s="38"/>
      <c r="BH1212" s="38"/>
      <c r="BI1212" s="38"/>
      <c r="BJ1212" s="38"/>
      <c r="BK1212" s="38"/>
      <c r="BL1212" s="38"/>
      <c r="BM1212" s="38"/>
      <c r="BN1212" s="38"/>
      <c r="BO1212" s="38"/>
      <c r="BP1212" s="38"/>
      <c r="BQ1212" s="38"/>
    </row>
    <row r="1213">
      <c r="A1213" s="58" t="s">
        <v>40</v>
      </c>
      <c r="B1213" s="59">
        <v>43242.0</v>
      </c>
      <c r="C1213" s="59">
        <v>43236.0</v>
      </c>
      <c r="D1213" s="60" t="s">
        <v>3674</v>
      </c>
      <c r="E1213" s="58" t="s">
        <v>41</v>
      </c>
      <c r="F1213" s="58">
        <v>23.0</v>
      </c>
      <c r="G1213" s="58" t="s">
        <v>32</v>
      </c>
      <c r="H1213" s="33">
        <f t="shared" si="183"/>
        <v>1</v>
      </c>
      <c r="I1213" s="58" t="s">
        <v>33</v>
      </c>
      <c r="J1213" s="58" t="s">
        <v>111</v>
      </c>
      <c r="K1213" s="58">
        <v>1.0</v>
      </c>
      <c r="L1213" s="34" t="s">
        <v>816</v>
      </c>
      <c r="M1213" s="61" t="s">
        <v>3686</v>
      </c>
      <c r="N1213" s="77"/>
      <c r="O1213" s="62"/>
      <c r="P1213" s="62"/>
      <c r="Q1213" s="62"/>
      <c r="R1213" s="62"/>
      <c r="S1213" s="37" t="str">
        <f>IFERROR(__xludf.DUMMYFUNCTION("if(not(iserror(index(split(C1213, "" ""),2))), index(split(C1213, "" ""),1),"""")"),"May")</f>
        <v>May</v>
      </c>
      <c r="T1213" s="38">
        <f>IFERROR(__xludf.DUMMYFUNCTION("if(S1213="""",C1213,if(not(iserror(index(split(C1213, "" ""),3))), index(split(C1213, "" ""),3),index(split(C1213, "" ""),2)))"),2018.0)</f>
        <v>2018</v>
      </c>
      <c r="U1213" s="38" t="b">
        <f t="shared" si="179"/>
        <v>1</v>
      </c>
      <c r="V1213" s="38"/>
      <c r="W1213" s="40"/>
      <c r="X1213" s="40"/>
      <c r="Y1213" s="40"/>
      <c r="Z1213" s="38"/>
      <c r="AA1213" s="38"/>
      <c r="AB1213" s="38"/>
      <c r="AC1213" s="38"/>
      <c r="AD1213" s="38"/>
      <c r="AE1213" s="38"/>
      <c r="AF1213" s="38"/>
      <c r="AG1213" s="38"/>
      <c r="AH1213" s="38"/>
      <c r="AI1213" s="38"/>
      <c r="AJ1213" s="38"/>
      <c r="AK1213" s="38"/>
      <c r="AL1213" s="38"/>
      <c r="AM1213" s="38"/>
      <c r="AN1213" s="38"/>
      <c r="AO1213" s="38"/>
      <c r="AP1213" s="38"/>
      <c r="AQ1213" s="38"/>
      <c r="AR1213" s="38"/>
      <c r="AS1213" s="38"/>
      <c r="AT1213" s="38"/>
      <c r="AU1213" s="38"/>
      <c r="AV1213" s="38"/>
      <c r="AW1213" s="38"/>
      <c r="AX1213" s="38"/>
      <c r="AY1213" s="38"/>
      <c r="AZ1213" s="38"/>
      <c r="BA1213" s="38"/>
      <c r="BB1213" s="38"/>
      <c r="BC1213" s="38"/>
      <c r="BD1213" s="38"/>
      <c r="BE1213" s="38"/>
      <c r="BF1213" s="38"/>
      <c r="BG1213" s="38"/>
      <c r="BH1213" s="38"/>
      <c r="BI1213" s="38"/>
      <c r="BJ1213" s="38"/>
      <c r="BK1213" s="38"/>
      <c r="BL1213" s="38"/>
      <c r="BM1213" s="38"/>
      <c r="BN1213" s="38"/>
      <c r="BO1213" s="38"/>
      <c r="BP1213" s="38"/>
      <c r="BQ1213" s="38"/>
    </row>
    <row r="1214">
      <c r="A1214" s="58" t="s">
        <v>3687</v>
      </c>
      <c r="B1214" s="59">
        <v>43243.0</v>
      </c>
      <c r="C1214" s="59">
        <v>43236.0</v>
      </c>
      <c r="D1214" s="60" t="s">
        <v>3688</v>
      </c>
      <c r="E1214" s="58" t="s">
        <v>31</v>
      </c>
      <c r="F1214" s="58">
        <v>1.0</v>
      </c>
      <c r="G1214" s="58" t="s">
        <v>32</v>
      </c>
      <c r="H1214" s="33">
        <f t="shared" si="183"/>
        <v>1</v>
      </c>
      <c r="I1214" s="58" t="s">
        <v>33</v>
      </c>
      <c r="J1214" s="58" t="s">
        <v>179</v>
      </c>
      <c r="K1214" s="58">
        <v>4.0</v>
      </c>
      <c r="L1214" s="58" t="s">
        <v>76</v>
      </c>
      <c r="M1214" s="61" t="s">
        <v>3689</v>
      </c>
      <c r="N1214" s="61" t="s">
        <v>3690</v>
      </c>
      <c r="O1214" s="160" t="str">
        <f>hyperlink("https://bad-boys.us/?q=ED-VA/2:18-cr-00101", "ED-VA 2:18-cr-00101")</f>
        <v>ED-VA 2:18-cr-00101</v>
      </c>
      <c r="Q1214" s="84">
        <v>1.0</v>
      </c>
      <c r="R1214" s="62"/>
      <c r="S1214" s="37" t="str">
        <f>IFERROR(__xludf.DUMMYFUNCTION("if(not(iserror(index(split(C1214, "" ""),2))), index(split(C1214, "" ""),1),"""")"),"May")</f>
        <v>May</v>
      </c>
      <c r="T1214" s="38">
        <f>IFERROR(__xludf.DUMMYFUNCTION("if(S1214="""",C1214,if(not(iserror(index(split(C1214, "" ""),3))), index(split(C1214, "" ""),3),index(split(C1214, "" ""),2)))"),2018.0)</f>
        <v>2018</v>
      </c>
      <c r="U1214" s="38" t="b">
        <f t="shared" si="179"/>
        <v>0</v>
      </c>
      <c r="V1214" s="38"/>
      <c r="W1214" s="40"/>
      <c r="X1214" s="40"/>
      <c r="Y1214" s="40"/>
      <c r="Z1214" s="38"/>
      <c r="AA1214" s="38"/>
      <c r="AB1214" s="38"/>
      <c r="AC1214" s="38"/>
      <c r="AD1214" s="38"/>
      <c r="AE1214" s="38"/>
      <c r="AF1214" s="38"/>
      <c r="AG1214" s="38"/>
      <c r="AH1214" s="38"/>
      <c r="AI1214" s="38"/>
      <c r="AJ1214" s="38"/>
      <c r="AK1214" s="38"/>
      <c r="AL1214" s="38"/>
      <c r="AM1214" s="38"/>
      <c r="AN1214" s="38"/>
      <c r="AO1214" s="38"/>
      <c r="AP1214" s="38"/>
      <c r="AQ1214" s="38"/>
      <c r="AR1214" s="38"/>
      <c r="AS1214" s="38"/>
      <c r="AT1214" s="38"/>
      <c r="AU1214" s="38"/>
      <c r="AV1214" s="38"/>
      <c r="AW1214" s="38"/>
      <c r="AX1214" s="38"/>
      <c r="AY1214" s="38"/>
      <c r="AZ1214" s="38"/>
      <c r="BA1214" s="38"/>
      <c r="BB1214" s="38"/>
      <c r="BC1214" s="38"/>
      <c r="BD1214" s="38"/>
      <c r="BE1214" s="38"/>
      <c r="BF1214" s="38"/>
      <c r="BG1214" s="38"/>
      <c r="BH1214" s="38"/>
      <c r="BI1214" s="38"/>
      <c r="BJ1214" s="38"/>
      <c r="BK1214" s="38"/>
      <c r="BL1214" s="38"/>
      <c r="BM1214" s="38"/>
      <c r="BN1214" s="38"/>
      <c r="BO1214" s="38"/>
      <c r="BP1214" s="38"/>
      <c r="BQ1214" s="38"/>
    </row>
    <row r="1215">
      <c r="A1215" s="58" t="s">
        <v>239</v>
      </c>
      <c r="B1215" s="59">
        <v>43238.0</v>
      </c>
      <c r="C1215" s="59">
        <v>43237.0</v>
      </c>
      <c r="D1215" s="60" t="s">
        <v>3691</v>
      </c>
      <c r="E1215" s="58" t="s">
        <v>41</v>
      </c>
      <c r="F1215" s="58">
        <v>1.0</v>
      </c>
      <c r="G1215" s="58">
        <v>4.0</v>
      </c>
      <c r="H1215" s="33">
        <f t="shared" si="183"/>
        <v>4</v>
      </c>
      <c r="I1215" s="58" t="s">
        <v>33</v>
      </c>
      <c r="J1215" s="58" t="s">
        <v>241</v>
      </c>
      <c r="K1215" s="58">
        <v>1.0</v>
      </c>
      <c r="L1215" s="58" t="s">
        <v>194</v>
      </c>
      <c r="M1215" s="61" t="s">
        <v>3692</v>
      </c>
      <c r="N1215" s="77"/>
      <c r="O1215" s="62"/>
      <c r="P1215" s="62"/>
      <c r="Q1215" s="62"/>
      <c r="R1215" s="62"/>
      <c r="S1215" s="37" t="str">
        <f>IFERROR(__xludf.DUMMYFUNCTION("if(not(iserror(index(split(C1215, "" ""),2))), index(split(C1215, "" ""),1),"""")"),"May")</f>
        <v>May</v>
      </c>
      <c r="T1215" s="38">
        <f>IFERROR(__xludf.DUMMYFUNCTION("if(S1215="""",C1215,if(not(iserror(index(split(C1215, "" ""),3))), index(split(C1215, "" ""),3),index(split(C1215, "" ""),2)))"),2018.0)</f>
        <v>2018</v>
      </c>
      <c r="U1215" s="38" t="b">
        <f t="shared" si="179"/>
        <v>1</v>
      </c>
      <c r="V1215" s="38"/>
      <c r="W1215" s="40"/>
      <c r="X1215" s="40"/>
      <c r="Y1215" s="40"/>
      <c r="Z1215" s="38"/>
      <c r="AA1215" s="38"/>
      <c r="AB1215" s="38"/>
      <c r="AC1215" s="38"/>
      <c r="AD1215" s="38"/>
      <c r="AE1215" s="38"/>
      <c r="AF1215" s="38"/>
      <c r="AG1215" s="38"/>
      <c r="AH1215" s="38"/>
      <c r="AI1215" s="38"/>
      <c r="AJ1215" s="38"/>
      <c r="AK1215" s="38"/>
      <c r="AL1215" s="38"/>
      <c r="AM1215" s="38"/>
      <c r="AN1215" s="38"/>
      <c r="AO1215" s="38"/>
      <c r="AP1215" s="38"/>
      <c r="AQ1215" s="38"/>
      <c r="AR1215" s="38"/>
      <c r="AS1215" s="38"/>
      <c r="AT1215" s="38"/>
      <c r="AU1215" s="38"/>
      <c r="AV1215" s="38"/>
      <c r="AW1215" s="38"/>
      <c r="AX1215" s="38"/>
      <c r="AY1215" s="38"/>
      <c r="AZ1215" s="38"/>
      <c r="BA1215" s="38"/>
      <c r="BB1215" s="38"/>
      <c r="BC1215" s="38"/>
      <c r="BD1215" s="38"/>
      <c r="BE1215" s="38"/>
      <c r="BF1215" s="38"/>
      <c r="BG1215" s="38"/>
      <c r="BH1215" s="38"/>
      <c r="BI1215" s="38"/>
      <c r="BJ1215" s="38"/>
      <c r="BK1215" s="38"/>
      <c r="BL1215" s="38"/>
      <c r="BM1215" s="38"/>
      <c r="BN1215" s="38"/>
      <c r="BO1215" s="38"/>
      <c r="BP1215" s="38"/>
      <c r="BQ1215" s="38"/>
    </row>
    <row r="1216">
      <c r="A1216" s="58" t="s">
        <v>40</v>
      </c>
      <c r="B1216" s="59">
        <v>43241.0</v>
      </c>
      <c r="C1216" s="59">
        <v>43237.0</v>
      </c>
      <c r="D1216" s="60" t="s">
        <v>708</v>
      </c>
      <c r="E1216" s="58" t="s">
        <v>31</v>
      </c>
      <c r="F1216" s="58">
        <v>10.0</v>
      </c>
      <c r="G1216" s="58" t="s">
        <v>32</v>
      </c>
      <c r="H1216" s="33">
        <f t="shared" si="183"/>
        <v>1</v>
      </c>
      <c r="I1216" s="58" t="s">
        <v>33</v>
      </c>
      <c r="J1216" s="58" t="s">
        <v>147</v>
      </c>
      <c r="K1216" s="58">
        <v>1.0</v>
      </c>
      <c r="L1216" s="58" t="s">
        <v>52</v>
      </c>
      <c r="M1216" s="61" t="s">
        <v>3693</v>
      </c>
      <c r="N1216" s="77"/>
      <c r="O1216" s="62"/>
      <c r="P1216" s="62"/>
      <c r="Q1216" s="62"/>
      <c r="R1216" s="62"/>
      <c r="S1216" s="37" t="str">
        <f>IFERROR(__xludf.DUMMYFUNCTION("if(not(iserror(index(split(C1216, "" ""),2))), index(split(C1216, "" ""),1),"""")"),"May")</f>
        <v>May</v>
      </c>
      <c r="T1216" s="38">
        <f>IFERROR(__xludf.DUMMYFUNCTION("if(S1216="""",C1216,if(not(iserror(index(split(C1216, "" ""),3))), index(split(C1216, "" ""),3),index(split(C1216, "" ""),2)))"),2018.0)</f>
        <v>2018</v>
      </c>
      <c r="U1216" s="38" t="b">
        <f t="shared" si="179"/>
        <v>1</v>
      </c>
      <c r="V1216" s="38"/>
      <c r="W1216" s="40"/>
      <c r="X1216" s="40"/>
      <c r="Y1216" s="40"/>
      <c r="Z1216" s="38"/>
      <c r="AA1216" s="38"/>
      <c r="AB1216" s="38"/>
      <c r="AC1216" s="38"/>
      <c r="AD1216" s="38"/>
      <c r="AE1216" s="38"/>
      <c r="AF1216" s="38"/>
      <c r="AG1216" s="38"/>
      <c r="AH1216" s="38"/>
      <c r="AI1216" s="38"/>
      <c r="AJ1216" s="38"/>
      <c r="AK1216" s="38"/>
      <c r="AL1216" s="38"/>
      <c r="AM1216" s="38"/>
      <c r="AN1216" s="38"/>
      <c r="AO1216" s="38"/>
      <c r="AP1216" s="38"/>
      <c r="AQ1216" s="38"/>
      <c r="AR1216" s="38"/>
      <c r="AS1216" s="38"/>
      <c r="AT1216" s="38"/>
      <c r="AU1216" s="38"/>
      <c r="AV1216" s="38"/>
      <c r="AW1216" s="38"/>
      <c r="AX1216" s="38"/>
      <c r="AY1216" s="38"/>
      <c r="AZ1216" s="38"/>
      <c r="BA1216" s="38"/>
      <c r="BB1216" s="38"/>
      <c r="BC1216" s="38"/>
      <c r="BD1216" s="38"/>
      <c r="BE1216" s="38"/>
      <c r="BF1216" s="38"/>
      <c r="BG1216" s="38"/>
      <c r="BH1216" s="38"/>
      <c r="BI1216" s="38"/>
      <c r="BJ1216" s="38"/>
      <c r="BK1216" s="38"/>
      <c r="BL1216" s="38"/>
      <c r="BM1216" s="38"/>
      <c r="BN1216" s="38"/>
      <c r="BO1216" s="38"/>
      <c r="BP1216" s="38"/>
      <c r="BQ1216" s="38"/>
    </row>
    <row r="1217">
      <c r="A1217" s="58" t="s">
        <v>3694</v>
      </c>
      <c r="B1217" s="59">
        <v>43383.0</v>
      </c>
      <c r="C1217" s="59">
        <v>43237.0</v>
      </c>
      <c r="D1217" s="60" t="s">
        <v>3691</v>
      </c>
      <c r="E1217" s="58" t="s">
        <v>41</v>
      </c>
      <c r="F1217" s="58">
        <v>1.0</v>
      </c>
      <c r="G1217" s="58" t="s">
        <v>32</v>
      </c>
      <c r="H1217" s="33">
        <f t="shared" si="183"/>
        <v>1</v>
      </c>
      <c r="I1217" s="58" t="s">
        <v>33</v>
      </c>
      <c r="J1217" s="58" t="s">
        <v>222</v>
      </c>
      <c r="K1217" s="58">
        <v>3.0</v>
      </c>
      <c r="L1217" s="58" t="s">
        <v>119</v>
      </c>
      <c r="M1217" s="61" t="s">
        <v>3695</v>
      </c>
      <c r="N1217" s="77"/>
      <c r="O1217" s="88" t="str">
        <f>hyperlink("https://bad-boys.us/?q=WD-WI/3:18-cr-00030", "WD-WI 3:18-cr-00030")</f>
        <v>WD-WI 3:18-cr-00030</v>
      </c>
      <c r="P1217" s="88" t="s">
        <v>3696</v>
      </c>
      <c r="Q1217" s="84">
        <v>1.0</v>
      </c>
      <c r="R1217" s="62"/>
      <c r="S1217" s="37" t="str">
        <f>IFERROR(__xludf.DUMMYFUNCTION("if(not(iserror(index(split(C1217, "" ""),2))), index(split(C1217, "" ""),1),"""")"),"May")</f>
        <v>May</v>
      </c>
      <c r="T1217" s="38">
        <f>IFERROR(__xludf.DUMMYFUNCTION("if(S1217="""",C1217,if(not(iserror(index(split(C1217, "" ""),3))), index(split(C1217, "" ""),3),index(split(C1217, "" ""),2)))"),2018.0)</f>
        <v>2018</v>
      </c>
      <c r="U1217" s="38" t="b">
        <f t="shared" si="179"/>
        <v>0</v>
      </c>
      <c r="V1217" s="38"/>
      <c r="W1217" s="40"/>
      <c r="X1217" s="40"/>
      <c r="Y1217" s="40"/>
      <c r="Z1217" s="38"/>
      <c r="AA1217" s="38"/>
      <c r="AB1217" s="38"/>
      <c r="AC1217" s="38"/>
      <c r="AD1217" s="38"/>
      <c r="AE1217" s="38"/>
      <c r="AF1217" s="38"/>
      <c r="AG1217" s="38"/>
      <c r="AH1217" s="38"/>
      <c r="AI1217" s="38"/>
      <c r="AJ1217" s="38"/>
      <c r="AK1217" s="38"/>
      <c r="AL1217" s="38"/>
      <c r="AM1217" s="38"/>
      <c r="AN1217" s="38"/>
      <c r="AO1217" s="38"/>
      <c r="AP1217" s="38"/>
      <c r="AQ1217" s="38"/>
      <c r="AR1217" s="38"/>
      <c r="AS1217" s="38"/>
      <c r="AT1217" s="38"/>
      <c r="AU1217" s="38"/>
      <c r="AV1217" s="38"/>
      <c r="AW1217" s="38"/>
      <c r="AX1217" s="38"/>
      <c r="AY1217" s="38"/>
      <c r="AZ1217" s="38"/>
      <c r="BA1217" s="38"/>
      <c r="BB1217" s="38"/>
      <c r="BC1217" s="38"/>
      <c r="BD1217" s="38"/>
      <c r="BE1217" s="38"/>
      <c r="BF1217" s="38"/>
      <c r="BG1217" s="38"/>
      <c r="BH1217" s="38"/>
      <c r="BI1217" s="38"/>
      <c r="BJ1217" s="38"/>
      <c r="BK1217" s="38"/>
      <c r="BL1217" s="38"/>
      <c r="BM1217" s="38"/>
      <c r="BN1217" s="38"/>
      <c r="BO1217" s="38"/>
      <c r="BP1217" s="38"/>
      <c r="BQ1217" s="38"/>
    </row>
    <row r="1218">
      <c r="A1218" s="58" t="s">
        <v>3697</v>
      </c>
      <c r="B1218" s="59">
        <v>43238.0</v>
      </c>
      <c r="C1218" s="59">
        <v>43238.0</v>
      </c>
      <c r="D1218" s="60" t="s">
        <v>708</v>
      </c>
      <c r="E1218" s="58" t="s">
        <v>41</v>
      </c>
      <c r="F1218" s="58">
        <v>1.0</v>
      </c>
      <c r="G1218" s="58" t="s">
        <v>32</v>
      </c>
      <c r="H1218" s="33">
        <f t="shared" si="183"/>
        <v>1</v>
      </c>
      <c r="I1218" s="58" t="s">
        <v>33</v>
      </c>
      <c r="J1218" s="58" t="s">
        <v>93</v>
      </c>
      <c r="K1218" s="58">
        <v>2.0</v>
      </c>
      <c r="L1218" s="58" t="s">
        <v>99</v>
      </c>
      <c r="M1218" s="61" t="s">
        <v>3698</v>
      </c>
      <c r="N1218" s="77"/>
      <c r="O1218" s="88" t="str">
        <f>hyperlink("https://bad-boys.us/?q=WD-NY/6:18-cr-06057", "WD-NY 6:18-cr-06057")</f>
        <v>WD-NY 6:18-cr-06057</v>
      </c>
      <c r="P1218" s="62"/>
      <c r="Q1218" s="84">
        <v>1.0</v>
      </c>
      <c r="R1218" s="62"/>
      <c r="S1218" s="37" t="str">
        <f>IFERROR(__xludf.DUMMYFUNCTION("if(not(iserror(index(split(C1218, "" ""),2))), index(split(C1218, "" ""),1),"""")"),"May")</f>
        <v>May</v>
      </c>
      <c r="T1218" s="38">
        <f>IFERROR(__xludf.DUMMYFUNCTION("if(S1218="""",C1218,if(not(iserror(index(split(C1218, "" ""),3))), index(split(C1218, "" ""),3),index(split(C1218, "" ""),2)))"),2018.0)</f>
        <v>2018</v>
      </c>
      <c r="U1218" s="38" t="b">
        <f t="shared" si="179"/>
        <v>0</v>
      </c>
      <c r="V1218" s="38"/>
      <c r="W1218" s="40"/>
      <c r="X1218" s="40"/>
      <c r="Y1218" s="40"/>
      <c r="Z1218" s="38"/>
      <c r="AA1218" s="38"/>
      <c r="AB1218" s="38"/>
      <c r="AC1218" s="38"/>
      <c r="AD1218" s="38"/>
      <c r="AE1218" s="38"/>
      <c r="AF1218" s="38"/>
      <c r="AG1218" s="38"/>
      <c r="AH1218" s="38"/>
      <c r="AI1218" s="38"/>
      <c r="AJ1218" s="38"/>
      <c r="AK1218" s="38"/>
      <c r="AL1218" s="38"/>
      <c r="AM1218" s="38"/>
      <c r="AN1218" s="38"/>
      <c r="AO1218" s="38"/>
      <c r="AP1218" s="38"/>
      <c r="AQ1218" s="38"/>
      <c r="AR1218" s="38"/>
      <c r="AS1218" s="38"/>
      <c r="AT1218" s="38"/>
      <c r="AU1218" s="38"/>
      <c r="AV1218" s="38"/>
      <c r="AW1218" s="38"/>
      <c r="AX1218" s="38"/>
      <c r="AY1218" s="38"/>
      <c r="AZ1218" s="38"/>
      <c r="BA1218" s="38"/>
      <c r="BB1218" s="38"/>
      <c r="BC1218" s="38"/>
      <c r="BD1218" s="38"/>
      <c r="BE1218" s="38"/>
      <c r="BF1218" s="38"/>
      <c r="BG1218" s="38"/>
      <c r="BH1218" s="38"/>
      <c r="BI1218" s="38"/>
      <c r="BJ1218" s="38"/>
      <c r="BK1218" s="38"/>
      <c r="BL1218" s="38"/>
      <c r="BM1218" s="38"/>
      <c r="BN1218" s="38"/>
      <c r="BO1218" s="38"/>
      <c r="BP1218" s="38"/>
      <c r="BQ1218" s="38"/>
    </row>
    <row r="1219">
      <c r="A1219" s="58" t="s">
        <v>40</v>
      </c>
      <c r="B1219" s="59">
        <v>43238.0</v>
      </c>
      <c r="C1219" s="59">
        <v>43238.0</v>
      </c>
      <c r="D1219" s="60" t="s">
        <v>708</v>
      </c>
      <c r="E1219" s="58" t="s">
        <v>41</v>
      </c>
      <c r="F1219" s="58">
        <v>251.0</v>
      </c>
      <c r="G1219" s="58" t="s">
        <v>32</v>
      </c>
      <c r="H1219" s="33">
        <f t="shared" si="183"/>
        <v>1</v>
      </c>
      <c r="I1219" s="58" t="s">
        <v>1393</v>
      </c>
      <c r="J1219" s="62"/>
      <c r="K1219" s="58" t="s">
        <v>40</v>
      </c>
      <c r="L1219" s="58" t="s">
        <v>3699</v>
      </c>
      <c r="M1219" s="61" t="s">
        <v>3700</v>
      </c>
      <c r="N1219" s="77"/>
      <c r="O1219" s="58"/>
      <c r="P1219" s="58"/>
      <c r="Q1219" s="62"/>
      <c r="R1219" s="62"/>
      <c r="S1219" s="37" t="str">
        <f>IFERROR(__xludf.DUMMYFUNCTION("if(not(iserror(index(split(C1219, "" ""),2))), index(split(C1219, "" ""),1),"""")"),"May")</f>
        <v>May</v>
      </c>
      <c r="T1219" s="38">
        <f>IFERROR(__xludf.DUMMYFUNCTION("if(S1219="""",C1219,if(not(iserror(index(split(C1219, "" ""),3))), index(split(C1219, "" ""),3),index(split(C1219, "" ""),2)))"),2018.0)</f>
        <v>2018</v>
      </c>
      <c r="U1219" s="38" t="b">
        <f t="shared" si="179"/>
        <v>1</v>
      </c>
      <c r="V1219" s="38"/>
      <c r="W1219" s="40"/>
      <c r="X1219" s="40"/>
      <c r="Y1219" s="40"/>
      <c r="Z1219" s="38"/>
      <c r="AA1219" s="38"/>
      <c r="AB1219" s="38"/>
      <c r="AC1219" s="38"/>
      <c r="AD1219" s="38"/>
      <c r="AE1219" s="38"/>
      <c r="AF1219" s="38"/>
      <c r="AG1219" s="38"/>
      <c r="AH1219" s="38"/>
      <c r="AI1219" s="38"/>
      <c r="AJ1219" s="38"/>
      <c r="AK1219" s="38"/>
      <c r="AL1219" s="38"/>
      <c r="AM1219" s="38"/>
      <c r="AN1219" s="38"/>
      <c r="AO1219" s="38"/>
      <c r="AP1219" s="38"/>
      <c r="AQ1219" s="38"/>
      <c r="AR1219" s="38"/>
      <c r="AS1219" s="38"/>
      <c r="AT1219" s="38"/>
      <c r="AU1219" s="38"/>
      <c r="AV1219" s="38"/>
      <c r="AW1219" s="38"/>
      <c r="AX1219" s="38"/>
      <c r="AY1219" s="38"/>
      <c r="AZ1219" s="38"/>
      <c r="BA1219" s="38"/>
      <c r="BB1219" s="38"/>
      <c r="BC1219" s="38"/>
      <c r="BD1219" s="38"/>
      <c r="BE1219" s="38"/>
      <c r="BF1219" s="38"/>
      <c r="BG1219" s="38"/>
      <c r="BH1219" s="38"/>
      <c r="BI1219" s="38"/>
      <c r="BJ1219" s="38"/>
      <c r="BK1219" s="38"/>
      <c r="BL1219" s="38"/>
      <c r="BM1219" s="38"/>
      <c r="BN1219" s="38"/>
      <c r="BO1219" s="38"/>
      <c r="BP1219" s="38"/>
      <c r="BQ1219" s="38"/>
    </row>
    <row r="1220">
      <c r="A1220" s="58" t="s">
        <v>3701</v>
      </c>
      <c r="B1220" s="59">
        <v>43239.0</v>
      </c>
      <c r="C1220" s="59">
        <v>43238.0</v>
      </c>
      <c r="D1220" s="60" t="s">
        <v>708</v>
      </c>
      <c r="E1220" s="58" t="s">
        <v>31</v>
      </c>
      <c r="F1220" s="58">
        <v>2.0</v>
      </c>
      <c r="G1220" s="58" t="s">
        <v>32</v>
      </c>
      <c r="H1220" s="33">
        <f t="shared" si="183"/>
        <v>1</v>
      </c>
      <c r="I1220" s="58" t="s">
        <v>33</v>
      </c>
      <c r="J1220" s="58" t="s">
        <v>111</v>
      </c>
      <c r="K1220" s="58">
        <v>1.0</v>
      </c>
      <c r="L1220" s="34" t="s">
        <v>35</v>
      </c>
      <c r="M1220" s="61" t="s">
        <v>3702</v>
      </c>
      <c r="N1220" s="77"/>
      <c r="O1220" s="62"/>
      <c r="P1220" s="62"/>
      <c r="Q1220" s="62"/>
      <c r="R1220" s="62"/>
      <c r="S1220" s="37" t="str">
        <f>IFERROR(__xludf.DUMMYFUNCTION("if(not(iserror(index(split(C1220, "" ""),2))), index(split(C1220, "" ""),1),"""")"),"May")</f>
        <v>May</v>
      </c>
      <c r="T1220" s="38">
        <f>IFERROR(__xludf.DUMMYFUNCTION("if(S1220="""",C1220,if(not(iserror(index(split(C1220, "" ""),3))), index(split(C1220, "" ""),3),index(split(C1220, "" ""),2)))"),2018.0)</f>
        <v>2018</v>
      </c>
      <c r="U1220" s="38" t="b">
        <f t="shared" si="179"/>
        <v>0</v>
      </c>
      <c r="V1220" s="38"/>
      <c r="W1220" s="40"/>
      <c r="X1220" s="40"/>
      <c r="Y1220" s="40"/>
      <c r="Z1220" s="38"/>
      <c r="AA1220" s="38"/>
      <c r="AB1220" s="38"/>
      <c r="AC1220" s="38"/>
      <c r="AD1220" s="38"/>
      <c r="AE1220" s="38"/>
      <c r="AF1220" s="38"/>
      <c r="AG1220" s="38"/>
      <c r="AH1220" s="38"/>
      <c r="AI1220" s="38"/>
      <c r="AJ1220" s="38"/>
      <c r="AK1220" s="38"/>
      <c r="AL1220" s="38"/>
      <c r="AM1220" s="38"/>
      <c r="AN1220" s="38"/>
      <c r="AO1220" s="38"/>
      <c r="AP1220" s="38"/>
      <c r="AQ1220" s="38"/>
      <c r="AR1220" s="38"/>
      <c r="AS1220" s="38"/>
      <c r="AT1220" s="38"/>
      <c r="AU1220" s="38"/>
      <c r="AV1220" s="38"/>
      <c r="AW1220" s="38"/>
      <c r="AX1220" s="38"/>
      <c r="AY1220" s="38"/>
      <c r="AZ1220" s="38"/>
      <c r="BA1220" s="38"/>
      <c r="BB1220" s="38"/>
      <c r="BC1220" s="38"/>
      <c r="BD1220" s="38"/>
      <c r="BE1220" s="38"/>
      <c r="BF1220" s="38"/>
      <c r="BG1220" s="38"/>
      <c r="BH1220" s="38"/>
      <c r="BI1220" s="38"/>
      <c r="BJ1220" s="38"/>
      <c r="BK1220" s="38"/>
      <c r="BL1220" s="38"/>
      <c r="BM1220" s="38"/>
      <c r="BN1220" s="38"/>
      <c r="BO1220" s="38"/>
      <c r="BP1220" s="38"/>
      <c r="BQ1220" s="38"/>
    </row>
    <row r="1221">
      <c r="A1221" s="58" t="s">
        <v>239</v>
      </c>
      <c r="B1221" s="59">
        <v>43239.0</v>
      </c>
      <c r="C1221" s="59">
        <v>43238.0</v>
      </c>
      <c r="D1221" s="60" t="s">
        <v>708</v>
      </c>
      <c r="E1221" s="58" t="s">
        <v>41</v>
      </c>
      <c r="F1221" s="58">
        <v>1.0</v>
      </c>
      <c r="G1221" s="58" t="s">
        <v>32</v>
      </c>
      <c r="H1221" s="33">
        <f t="shared" si="183"/>
        <v>1</v>
      </c>
      <c r="I1221" s="58" t="s">
        <v>33</v>
      </c>
      <c r="J1221" s="58" t="s">
        <v>111</v>
      </c>
      <c r="K1221" s="58">
        <v>1.0</v>
      </c>
      <c r="L1221" s="58" t="s">
        <v>52</v>
      </c>
      <c r="M1221" s="61" t="s">
        <v>3703</v>
      </c>
      <c r="N1221" s="77"/>
      <c r="O1221" s="62"/>
      <c r="P1221" s="62"/>
      <c r="Q1221" s="62"/>
      <c r="R1221" s="62"/>
      <c r="S1221" s="37" t="str">
        <f>IFERROR(__xludf.DUMMYFUNCTION("if(not(iserror(index(split(C1221, "" ""),2))), index(split(C1221, "" ""),1),"""")"),"May")</f>
        <v>May</v>
      </c>
      <c r="T1221" s="38">
        <f>IFERROR(__xludf.DUMMYFUNCTION("if(S1221="""",C1221,if(not(iserror(index(split(C1221, "" ""),3))), index(split(C1221, "" ""),3),index(split(C1221, "" ""),2)))"),2018.0)</f>
        <v>2018</v>
      </c>
      <c r="U1221" s="38" t="b">
        <f t="shared" si="179"/>
        <v>1</v>
      </c>
      <c r="V1221" s="38"/>
      <c r="W1221" s="40"/>
      <c r="X1221" s="40"/>
      <c r="Y1221" s="40"/>
      <c r="Z1221" s="38"/>
      <c r="AA1221" s="38"/>
      <c r="AB1221" s="38"/>
      <c r="AC1221" s="38"/>
      <c r="AD1221" s="38"/>
      <c r="AE1221" s="38"/>
      <c r="AF1221" s="38"/>
      <c r="AG1221" s="38"/>
      <c r="AH1221" s="38"/>
      <c r="AI1221" s="38"/>
      <c r="AJ1221" s="38"/>
      <c r="AK1221" s="38"/>
      <c r="AL1221" s="38"/>
      <c r="AM1221" s="38"/>
      <c r="AN1221" s="38"/>
      <c r="AO1221" s="38"/>
      <c r="AP1221" s="38"/>
      <c r="AQ1221" s="38"/>
      <c r="AR1221" s="38"/>
      <c r="AS1221" s="38"/>
      <c r="AT1221" s="38"/>
      <c r="AU1221" s="38"/>
      <c r="AV1221" s="38"/>
      <c r="AW1221" s="38"/>
      <c r="AX1221" s="38"/>
      <c r="AY1221" s="38"/>
      <c r="AZ1221" s="38"/>
      <c r="BA1221" s="38"/>
      <c r="BB1221" s="38"/>
      <c r="BC1221" s="38"/>
      <c r="BD1221" s="38"/>
      <c r="BE1221" s="38"/>
      <c r="BF1221" s="38"/>
      <c r="BG1221" s="38"/>
      <c r="BH1221" s="38"/>
      <c r="BI1221" s="38"/>
      <c r="BJ1221" s="38"/>
      <c r="BK1221" s="38"/>
      <c r="BL1221" s="38"/>
      <c r="BM1221" s="38"/>
      <c r="BN1221" s="38"/>
      <c r="BO1221" s="38"/>
      <c r="BP1221" s="38"/>
      <c r="BQ1221" s="38"/>
    </row>
    <row r="1222">
      <c r="A1222" s="58" t="s">
        <v>239</v>
      </c>
      <c r="B1222" s="59">
        <v>43242.0</v>
      </c>
      <c r="C1222" s="59">
        <v>43238.0</v>
      </c>
      <c r="D1222" s="60" t="s">
        <v>708</v>
      </c>
      <c r="E1222" s="58" t="s">
        <v>41</v>
      </c>
      <c r="F1222" s="58">
        <v>1.0</v>
      </c>
      <c r="G1222" s="58">
        <v>3.0</v>
      </c>
      <c r="H1222" s="33">
        <f t="shared" si="183"/>
        <v>3</v>
      </c>
      <c r="I1222" s="58" t="s">
        <v>33</v>
      </c>
      <c r="J1222" s="58" t="s">
        <v>241</v>
      </c>
      <c r="K1222" s="58">
        <v>1.0</v>
      </c>
      <c r="L1222" s="34" t="s">
        <v>194</v>
      </c>
      <c r="M1222" s="61" t="s">
        <v>3704</v>
      </c>
      <c r="N1222" s="77"/>
      <c r="O1222" s="62"/>
      <c r="P1222" s="62"/>
      <c r="Q1222" s="62"/>
      <c r="R1222" s="62"/>
      <c r="S1222" s="37" t="str">
        <f>IFERROR(__xludf.DUMMYFUNCTION("if(not(iserror(index(split(C1222, "" ""),2))), index(split(C1222, "" ""),1),"""")"),"May")</f>
        <v>May</v>
      </c>
      <c r="T1222" s="38">
        <f>IFERROR(__xludf.DUMMYFUNCTION("if(S1222="""",C1222,if(not(iserror(index(split(C1222, "" ""),3))), index(split(C1222, "" ""),3),index(split(C1222, "" ""),2)))"),2018.0)</f>
        <v>2018</v>
      </c>
      <c r="U1222" s="38" t="b">
        <f t="shared" si="179"/>
        <v>1</v>
      </c>
      <c r="V1222" s="38"/>
      <c r="W1222" s="40"/>
      <c r="X1222" s="40"/>
      <c r="Y1222" s="40"/>
      <c r="Z1222" s="38"/>
      <c r="AA1222" s="38"/>
      <c r="AB1222" s="38"/>
      <c r="AC1222" s="38"/>
      <c r="AD1222" s="38"/>
      <c r="AE1222" s="38"/>
      <c r="AF1222" s="38"/>
      <c r="AG1222" s="38"/>
      <c r="AH1222" s="38"/>
      <c r="AI1222" s="38"/>
      <c r="AJ1222" s="38"/>
      <c r="AK1222" s="38"/>
      <c r="AL1222" s="38"/>
      <c r="AM1222" s="38"/>
      <c r="AN1222" s="38"/>
      <c r="AO1222" s="38"/>
      <c r="AP1222" s="38"/>
      <c r="AQ1222" s="38"/>
      <c r="AR1222" s="38"/>
      <c r="AS1222" s="38"/>
      <c r="AT1222" s="38"/>
      <c r="AU1222" s="38"/>
      <c r="AV1222" s="38"/>
      <c r="AW1222" s="38"/>
      <c r="AX1222" s="38"/>
      <c r="AY1222" s="38"/>
      <c r="AZ1222" s="38"/>
      <c r="BA1222" s="38"/>
      <c r="BB1222" s="38"/>
      <c r="BC1222" s="38"/>
      <c r="BD1222" s="38"/>
      <c r="BE1222" s="38"/>
      <c r="BF1222" s="38"/>
      <c r="BG1222" s="38"/>
      <c r="BH1222" s="38"/>
      <c r="BI1222" s="38"/>
      <c r="BJ1222" s="38"/>
      <c r="BK1222" s="38"/>
      <c r="BL1222" s="38"/>
      <c r="BM1222" s="38"/>
      <c r="BN1222" s="38"/>
      <c r="BO1222" s="38"/>
      <c r="BP1222" s="38"/>
      <c r="BQ1222" s="38"/>
    </row>
    <row r="1223">
      <c r="A1223" s="58" t="s">
        <v>3705</v>
      </c>
      <c r="B1223" s="59">
        <v>43242.0</v>
      </c>
      <c r="C1223" s="59">
        <v>43239.0</v>
      </c>
      <c r="D1223" s="60" t="s">
        <v>3706</v>
      </c>
      <c r="E1223" s="58" t="s">
        <v>31</v>
      </c>
      <c r="F1223" s="58">
        <v>1.0</v>
      </c>
      <c r="G1223" s="58" t="s">
        <v>32</v>
      </c>
      <c r="H1223" s="33">
        <f t="shared" si="183"/>
        <v>1</v>
      </c>
      <c r="I1223" s="58" t="s">
        <v>33</v>
      </c>
      <c r="J1223" s="58" t="s">
        <v>98</v>
      </c>
      <c r="K1223" s="58">
        <v>1.0</v>
      </c>
      <c r="L1223" s="34" t="s">
        <v>35</v>
      </c>
      <c r="M1223" s="61" t="s">
        <v>3707</v>
      </c>
      <c r="N1223" s="77"/>
      <c r="O1223" s="62"/>
      <c r="P1223" s="62"/>
      <c r="Q1223" s="62"/>
      <c r="R1223" s="62"/>
      <c r="S1223" s="37" t="str">
        <f>IFERROR(__xludf.DUMMYFUNCTION("if(not(iserror(index(split(C1223, "" ""),2))), index(split(C1223, "" ""),1),"""")"),"May")</f>
        <v>May</v>
      </c>
      <c r="T1223" s="38">
        <f>IFERROR(__xludf.DUMMYFUNCTION("if(S1223="""",C1223,if(not(iserror(index(split(C1223, "" ""),3))), index(split(C1223, "" ""),3),index(split(C1223, "" ""),2)))"),2018.0)</f>
        <v>2018</v>
      </c>
      <c r="U1223" s="38" t="b">
        <f t="shared" si="179"/>
        <v>0</v>
      </c>
      <c r="V1223" s="38"/>
      <c r="W1223" s="40"/>
      <c r="X1223" s="40"/>
      <c r="Y1223" s="40"/>
      <c r="Z1223" s="38"/>
      <c r="AA1223" s="38"/>
      <c r="AB1223" s="38"/>
      <c r="AC1223" s="38"/>
      <c r="AD1223" s="38"/>
      <c r="AE1223" s="38"/>
      <c r="AF1223" s="38"/>
      <c r="AG1223" s="38"/>
      <c r="AH1223" s="38"/>
      <c r="AI1223" s="38"/>
      <c r="AJ1223" s="38"/>
      <c r="AK1223" s="38"/>
      <c r="AL1223" s="38"/>
      <c r="AM1223" s="38"/>
      <c r="AN1223" s="38"/>
      <c r="AO1223" s="38"/>
      <c r="AP1223" s="38"/>
      <c r="AQ1223" s="38"/>
      <c r="AR1223" s="38"/>
      <c r="AS1223" s="38"/>
      <c r="AT1223" s="38"/>
      <c r="AU1223" s="38"/>
      <c r="AV1223" s="38"/>
      <c r="AW1223" s="38"/>
      <c r="AX1223" s="38"/>
      <c r="AY1223" s="38"/>
      <c r="AZ1223" s="38"/>
      <c r="BA1223" s="38"/>
      <c r="BB1223" s="38"/>
      <c r="BC1223" s="38"/>
      <c r="BD1223" s="38"/>
      <c r="BE1223" s="38"/>
      <c r="BF1223" s="38"/>
      <c r="BG1223" s="38"/>
      <c r="BH1223" s="38"/>
      <c r="BI1223" s="38"/>
      <c r="BJ1223" s="38"/>
      <c r="BK1223" s="38"/>
      <c r="BL1223" s="38"/>
      <c r="BM1223" s="38"/>
      <c r="BN1223" s="38"/>
      <c r="BO1223" s="38"/>
      <c r="BP1223" s="38"/>
      <c r="BQ1223" s="38"/>
    </row>
    <row r="1224">
      <c r="A1224" s="37" t="s">
        <v>3708</v>
      </c>
      <c r="B1224" s="59">
        <v>43243.0</v>
      </c>
      <c r="C1224" s="59">
        <v>43239.0</v>
      </c>
      <c r="D1224" s="60" t="s">
        <v>3706</v>
      </c>
      <c r="E1224" s="58" t="s">
        <v>31</v>
      </c>
      <c r="F1224" s="58">
        <v>2.0</v>
      </c>
      <c r="G1224" s="58" t="s">
        <v>32</v>
      </c>
      <c r="H1224" s="33">
        <f t="shared" si="183"/>
        <v>1</v>
      </c>
      <c r="I1224" s="58" t="s">
        <v>33</v>
      </c>
      <c r="J1224" s="58" t="s">
        <v>111</v>
      </c>
      <c r="K1224" s="58">
        <v>1.0</v>
      </c>
      <c r="L1224" s="34" t="s">
        <v>35</v>
      </c>
      <c r="M1224" s="61" t="s">
        <v>3709</v>
      </c>
      <c r="N1224" s="77"/>
      <c r="O1224" s="62"/>
      <c r="P1224" s="62"/>
      <c r="Q1224" s="62"/>
      <c r="R1224" s="62"/>
      <c r="S1224" s="37" t="str">
        <f>IFERROR(__xludf.DUMMYFUNCTION("if(not(iserror(index(split(C1224, "" ""),2))), index(split(C1224, "" ""),1),"""")"),"May")</f>
        <v>May</v>
      </c>
      <c r="T1224" s="38">
        <f>IFERROR(__xludf.DUMMYFUNCTION("if(S1224="""",C1224,if(not(iserror(index(split(C1224, "" ""),3))), index(split(C1224, "" ""),3),index(split(C1224, "" ""),2)))"),2018.0)</f>
        <v>2018</v>
      </c>
      <c r="U1224" s="38" t="b">
        <f t="shared" si="179"/>
        <v>0</v>
      </c>
      <c r="V1224" s="38"/>
      <c r="W1224" s="40"/>
      <c r="X1224" s="40"/>
      <c r="Y1224" s="40"/>
      <c r="Z1224" s="38"/>
      <c r="AA1224" s="38"/>
      <c r="AB1224" s="38"/>
      <c r="AC1224" s="38"/>
      <c r="AD1224" s="38"/>
      <c r="AE1224" s="38"/>
      <c r="AF1224" s="38"/>
      <c r="AG1224" s="38"/>
      <c r="AH1224" s="38"/>
      <c r="AI1224" s="38"/>
      <c r="AJ1224" s="38"/>
      <c r="AK1224" s="38"/>
      <c r="AL1224" s="38"/>
      <c r="AM1224" s="38"/>
      <c r="AN1224" s="38"/>
      <c r="AO1224" s="38"/>
      <c r="AP1224" s="38"/>
      <c r="AQ1224" s="38"/>
      <c r="AR1224" s="38"/>
      <c r="AS1224" s="38"/>
      <c r="AT1224" s="38"/>
      <c r="AU1224" s="38"/>
      <c r="AV1224" s="38"/>
      <c r="AW1224" s="38"/>
      <c r="AX1224" s="38"/>
      <c r="AY1224" s="38"/>
      <c r="AZ1224" s="38"/>
      <c r="BA1224" s="38"/>
      <c r="BB1224" s="38"/>
      <c r="BC1224" s="38"/>
      <c r="BD1224" s="38"/>
      <c r="BE1224" s="38"/>
      <c r="BF1224" s="38"/>
      <c r="BG1224" s="38"/>
      <c r="BH1224" s="38"/>
      <c r="BI1224" s="38"/>
      <c r="BJ1224" s="38"/>
      <c r="BK1224" s="38"/>
      <c r="BL1224" s="38"/>
      <c r="BM1224" s="38"/>
      <c r="BN1224" s="38"/>
      <c r="BO1224" s="38"/>
      <c r="BP1224" s="38"/>
      <c r="BQ1224" s="38"/>
    </row>
    <row r="1225">
      <c r="A1225" s="58" t="s">
        <v>3710</v>
      </c>
      <c r="B1225" s="59">
        <v>43240.0</v>
      </c>
      <c r="C1225" s="59">
        <v>43240.0</v>
      </c>
      <c r="D1225" s="60" t="s">
        <v>3688</v>
      </c>
      <c r="E1225" s="58" t="s">
        <v>41</v>
      </c>
      <c r="F1225" s="58">
        <v>1.0</v>
      </c>
      <c r="G1225" s="58" t="s">
        <v>32</v>
      </c>
      <c r="H1225" s="33">
        <f t="shared" si="183"/>
        <v>1</v>
      </c>
      <c r="I1225" s="58" t="s">
        <v>33</v>
      </c>
      <c r="J1225" s="58" t="s">
        <v>241</v>
      </c>
      <c r="K1225" s="58">
        <v>2.0</v>
      </c>
      <c r="L1225" s="58" t="s">
        <v>194</v>
      </c>
      <c r="M1225" s="61" t="s">
        <v>3711</v>
      </c>
      <c r="N1225" s="77"/>
      <c r="O1225" s="62"/>
      <c r="P1225" s="62"/>
      <c r="Q1225" s="62"/>
      <c r="R1225" s="62"/>
      <c r="S1225" s="37" t="str">
        <f>IFERROR(__xludf.DUMMYFUNCTION("if(not(iserror(index(split(C1225, "" ""),2))), index(split(C1225, "" ""),1),"""")"),"May")</f>
        <v>May</v>
      </c>
      <c r="T1225" s="38">
        <f>IFERROR(__xludf.DUMMYFUNCTION("if(S1225="""",C1225,if(not(iserror(index(split(C1225, "" ""),3))), index(split(C1225, "" ""),3),index(split(C1225, "" ""),2)))"),2018.0)</f>
        <v>2018</v>
      </c>
      <c r="U1225" s="38" t="b">
        <f t="shared" si="179"/>
        <v>0</v>
      </c>
      <c r="V1225" s="38"/>
      <c r="W1225" s="40"/>
      <c r="X1225" s="40"/>
      <c r="Y1225" s="40"/>
      <c r="Z1225" s="38"/>
      <c r="AA1225" s="38"/>
      <c r="AB1225" s="38"/>
      <c r="AC1225" s="38"/>
      <c r="AD1225" s="38"/>
      <c r="AE1225" s="38"/>
      <c r="AF1225" s="38"/>
      <c r="AG1225" s="38"/>
      <c r="AH1225" s="38"/>
      <c r="AI1225" s="38"/>
      <c r="AJ1225" s="38"/>
      <c r="AK1225" s="38"/>
      <c r="AL1225" s="38"/>
      <c r="AM1225" s="38"/>
      <c r="AN1225" s="38"/>
      <c r="AO1225" s="38"/>
      <c r="AP1225" s="38"/>
      <c r="AQ1225" s="38"/>
      <c r="AR1225" s="38"/>
      <c r="AS1225" s="38"/>
      <c r="AT1225" s="38"/>
      <c r="AU1225" s="38"/>
      <c r="AV1225" s="38"/>
      <c r="AW1225" s="38"/>
      <c r="AX1225" s="38"/>
      <c r="AY1225" s="38"/>
      <c r="AZ1225" s="38"/>
      <c r="BA1225" s="38"/>
      <c r="BB1225" s="38"/>
      <c r="BC1225" s="38"/>
      <c r="BD1225" s="38"/>
      <c r="BE1225" s="38"/>
      <c r="BF1225" s="38"/>
      <c r="BG1225" s="38"/>
      <c r="BH1225" s="38"/>
      <c r="BI1225" s="38"/>
      <c r="BJ1225" s="38"/>
      <c r="BK1225" s="38"/>
      <c r="BL1225" s="38"/>
      <c r="BM1225" s="38"/>
      <c r="BN1225" s="38"/>
      <c r="BO1225" s="38"/>
      <c r="BP1225" s="38"/>
      <c r="BQ1225" s="38"/>
    </row>
    <row r="1226">
      <c r="A1226" s="58" t="s">
        <v>239</v>
      </c>
      <c r="B1226" s="59">
        <v>43241.0</v>
      </c>
      <c r="C1226" s="59">
        <v>43240.0</v>
      </c>
      <c r="D1226" s="60" t="s">
        <v>3688</v>
      </c>
      <c r="E1226" s="58" t="s">
        <v>41</v>
      </c>
      <c r="F1226" s="58">
        <v>3.0</v>
      </c>
      <c r="G1226" s="58">
        <v>4.0</v>
      </c>
      <c r="H1226" s="33">
        <f t="shared" si="183"/>
        <v>4</v>
      </c>
      <c r="I1226" s="58" t="s">
        <v>33</v>
      </c>
      <c r="J1226" s="58" t="s">
        <v>241</v>
      </c>
      <c r="K1226" s="58">
        <v>1.0</v>
      </c>
      <c r="L1226" s="58" t="s">
        <v>194</v>
      </c>
      <c r="M1226" s="61" t="s">
        <v>3712</v>
      </c>
      <c r="N1226" s="77"/>
      <c r="O1226" s="62"/>
      <c r="P1226" s="62"/>
      <c r="Q1226" s="62"/>
      <c r="R1226" s="62"/>
      <c r="S1226" s="37" t="str">
        <f>IFERROR(__xludf.DUMMYFUNCTION("if(not(iserror(index(split(C1226, "" ""),2))), index(split(C1226, "" ""),1),"""")"),"May")</f>
        <v>May</v>
      </c>
      <c r="T1226" s="38">
        <f>IFERROR(__xludf.DUMMYFUNCTION("if(S1226="""",C1226,if(not(iserror(index(split(C1226, "" ""),3))), index(split(C1226, "" ""),3),index(split(C1226, "" ""),2)))"),2018.0)</f>
        <v>2018</v>
      </c>
      <c r="U1226" s="38" t="b">
        <f t="shared" si="179"/>
        <v>1</v>
      </c>
      <c r="V1226" s="38"/>
      <c r="W1226" s="40"/>
      <c r="X1226" s="40"/>
      <c r="Y1226" s="40"/>
      <c r="Z1226" s="38"/>
      <c r="AA1226" s="38"/>
      <c r="AB1226" s="38"/>
      <c r="AC1226" s="38"/>
      <c r="AD1226" s="38"/>
      <c r="AE1226" s="38"/>
      <c r="AF1226" s="38"/>
      <c r="AG1226" s="38"/>
      <c r="AH1226" s="38"/>
      <c r="AI1226" s="38"/>
      <c r="AJ1226" s="38"/>
      <c r="AK1226" s="38"/>
      <c r="AL1226" s="38"/>
      <c r="AM1226" s="38"/>
      <c r="AN1226" s="38"/>
      <c r="AO1226" s="38"/>
      <c r="AP1226" s="38"/>
      <c r="AQ1226" s="38"/>
      <c r="AR1226" s="38"/>
      <c r="AS1226" s="38"/>
      <c r="AT1226" s="38"/>
      <c r="AU1226" s="38"/>
      <c r="AV1226" s="38"/>
      <c r="AW1226" s="38"/>
      <c r="AX1226" s="38"/>
      <c r="AY1226" s="38"/>
      <c r="AZ1226" s="38"/>
      <c r="BA1226" s="38"/>
      <c r="BB1226" s="38"/>
      <c r="BC1226" s="38"/>
      <c r="BD1226" s="38"/>
      <c r="BE1226" s="38"/>
      <c r="BF1226" s="38"/>
      <c r="BG1226" s="38"/>
      <c r="BH1226" s="38"/>
      <c r="BI1226" s="38"/>
      <c r="BJ1226" s="38"/>
      <c r="BK1226" s="38"/>
      <c r="BL1226" s="38"/>
      <c r="BM1226" s="38"/>
      <c r="BN1226" s="38"/>
      <c r="BO1226" s="38"/>
      <c r="BP1226" s="38"/>
      <c r="BQ1226" s="38"/>
    </row>
    <row r="1227">
      <c r="A1227" s="58" t="s">
        <v>3713</v>
      </c>
      <c r="B1227" s="59">
        <v>43241.0</v>
      </c>
      <c r="C1227" s="59">
        <v>43240.0</v>
      </c>
      <c r="D1227" s="60" t="s">
        <v>3688</v>
      </c>
      <c r="E1227" s="58" t="s">
        <v>31</v>
      </c>
      <c r="F1227" s="58">
        <v>1.0</v>
      </c>
      <c r="G1227" s="58" t="s">
        <v>32</v>
      </c>
      <c r="H1227" s="33">
        <f t="shared" si="183"/>
        <v>1</v>
      </c>
      <c r="I1227" s="58" t="s">
        <v>33</v>
      </c>
      <c r="J1227" s="58" t="s">
        <v>61</v>
      </c>
      <c r="K1227" s="58">
        <v>1.0</v>
      </c>
      <c r="L1227" s="34" t="s">
        <v>35</v>
      </c>
      <c r="M1227" s="61" t="s">
        <v>3714</v>
      </c>
      <c r="N1227" s="77"/>
      <c r="O1227" s="62"/>
      <c r="P1227" s="62"/>
      <c r="Q1227" s="62"/>
      <c r="R1227" s="62"/>
      <c r="S1227" s="37" t="str">
        <f>IFERROR(__xludf.DUMMYFUNCTION("if(not(iserror(index(split(C1227, "" ""),2))), index(split(C1227, "" ""),1),"""")"),"May")</f>
        <v>May</v>
      </c>
      <c r="T1227" s="38">
        <f>IFERROR(__xludf.DUMMYFUNCTION("if(S1227="""",C1227,if(not(iserror(index(split(C1227, "" ""),3))), index(split(C1227, "" ""),3),index(split(C1227, "" ""),2)))"),2018.0)</f>
        <v>2018</v>
      </c>
      <c r="U1227" s="38" t="b">
        <f t="shared" si="179"/>
        <v>0</v>
      </c>
      <c r="V1227" s="38"/>
      <c r="W1227" s="40"/>
      <c r="X1227" s="40"/>
      <c r="Y1227" s="40"/>
      <c r="Z1227" s="38"/>
      <c r="AA1227" s="38"/>
      <c r="AB1227" s="38"/>
      <c r="AC1227" s="38"/>
      <c r="AD1227" s="38"/>
      <c r="AE1227" s="38"/>
      <c r="AF1227" s="38"/>
      <c r="AG1227" s="38"/>
      <c r="AH1227" s="38"/>
      <c r="AI1227" s="38"/>
      <c r="AJ1227" s="38"/>
      <c r="AK1227" s="38"/>
      <c r="AL1227" s="38"/>
      <c r="AM1227" s="38"/>
      <c r="AN1227" s="38"/>
      <c r="AO1227" s="38"/>
      <c r="AP1227" s="38"/>
      <c r="AQ1227" s="38"/>
      <c r="AR1227" s="38"/>
      <c r="AS1227" s="38"/>
      <c r="AT1227" s="38"/>
      <c r="AU1227" s="38"/>
      <c r="AV1227" s="38"/>
      <c r="AW1227" s="38"/>
      <c r="AX1227" s="38"/>
      <c r="AY1227" s="38"/>
      <c r="AZ1227" s="38"/>
      <c r="BA1227" s="38"/>
      <c r="BB1227" s="38"/>
      <c r="BC1227" s="38"/>
      <c r="BD1227" s="38"/>
      <c r="BE1227" s="38"/>
      <c r="BF1227" s="38"/>
      <c r="BG1227" s="38"/>
      <c r="BH1227" s="38"/>
      <c r="BI1227" s="38"/>
      <c r="BJ1227" s="38"/>
      <c r="BK1227" s="38"/>
      <c r="BL1227" s="38"/>
      <c r="BM1227" s="38"/>
      <c r="BN1227" s="38"/>
      <c r="BO1227" s="38"/>
      <c r="BP1227" s="38"/>
      <c r="BQ1227" s="38"/>
    </row>
    <row r="1228">
      <c r="A1228" s="58" t="s">
        <v>239</v>
      </c>
      <c r="B1228" s="59">
        <v>43243.0</v>
      </c>
      <c r="C1228" s="59">
        <v>43240.0</v>
      </c>
      <c r="D1228" s="60" t="s">
        <v>3688</v>
      </c>
      <c r="E1228" s="58" t="s">
        <v>41</v>
      </c>
      <c r="F1228" s="58">
        <v>3.0</v>
      </c>
      <c r="G1228" s="58" t="s">
        <v>32</v>
      </c>
      <c r="H1228" s="33">
        <f t="shared" si="183"/>
        <v>1</v>
      </c>
      <c r="I1228" s="58" t="s">
        <v>33</v>
      </c>
      <c r="J1228" s="58" t="s">
        <v>147</v>
      </c>
      <c r="K1228" s="58">
        <v>1.0</v>
      </c>
      <c r="L1228" s="58" t="s">
        <v>3715</v>
      </c>
      <c r="M1228" s="61" t="s">
        <v>3716</v>
      </c>
      <c r="N1228" s="77"/>
      <c r="O1228" s="62"/>
      <c r="P1228" s="62"/>
      <c r="Q1228" s="62"/>
      <c r="R1228" s="62"/>
      <c r="S1228" s="37" t="str">
        <f>IFERROR(__xludf.DUMMYFUNCTION("if(not(iserror(index(split(C1228, "" ""),2))), index(split(C1228, "" ""),1),"""")"),"May")</f>
        <v>May</v>
      </c>
      <c r="T1228" s="38">
        <f>IFERROR(__xludf.DUMMYFUNCTION("if(S1228="""",C1228,if(not(iserror(index(split(C1228, "" ""),3))), index(split(C1228, "" ""),3),index(split(C1228, "" ""),2)))"),2018.0)</f>
        <v>2018</v>
      </c>
      <c r="U1228" s="38" t="b">
        <f t="shared" si="179"/>
        <v>1</v>
      </c>
      <c r="V1228" s="38"/>
      <c r="W1228" s="40"/>
      <c r="X1228" s="40"/>
      <c r="Y1228" s="40"/>
      <c r="Z1228" s="38"/>
      <c r="AA1228" s="38"/>
      <c r="AB1228" s="38"/>
      <c r="AC1228" s="38"/>
      <c r="AD1228" s="38"/>
      <c r="AE1228" s="38"/>
      <c r="AF1228" s="38"/>
      <c r="AG1228" s="38"/>
      <c r="AH1228" s="38"/>
      <c r="AI1228" s="38"/>
      <c r="AJ1228" s="38"/>
      <c r="AK1228" s="38"/>
      <c r="AL1228" s="38"/>
      <c r="AM1228" s="38"/>
      <c r="AN1228" s="38"/>
      <c r="AO1228" s="38"/>
      <c r="AP1228" s="38"/>
      <c r="AQ1228" s="38"/>
      <c r="AR1228" s="38"/>
      <c r="AS1228" s="38"/>
      <c r="AT1228" s="38"/>
      <c r="AU1228" s="38"/>
      <c r="AV1228" s="38"/>
      <c r="AW1228" s="38"/>
      <c r="AX1228" s="38"/>
      <c r="AY1228" s="38"/>
      <c r="AZ1228" s="38"/>
      <c r="BA1228" s="38"/>
      <c r="BB1228" s="38"/>
      <c r="BC1228" s="38"/>
      <c r="BD1228" s="38"/>
      <c r="BE1228" s="38"/>
      <c r="BF1228" s="38"/>
      <c r="BG1228" s="38"/>
      <c r="BH1228" s="38"/>
      <c r="BI1228" s="38"/>
      <c r="BJ1228" s="38"/>
      <c r="BK1228" s="38"/>
      <c r="BL1228" s="38"/>
      <c r="BM1228" s="38"/>
      <c r="BN1228" s="38"/>
      <c r="BO1228" s="38"/>
      <c r="BP1228" s="38"/>
      <c r="BQ1228" s="38"/>
    </row>
    <row r="1229">
      <c r="A1229" s="58" t="s">
        <v>3717</v>
      </c>
      <c r="B1229" s="59">
        <v>43241.0</v>
      </c>
      <c r="C1229" s="59">
        <v>43241.0</v>
      </c>
      <c r="D1229" s="60" t="s">
        <v>3718</v>
      </c>
      <c r="E1229" s="58" t="s">
        <v>41</v>
      </c>
      <c r="F1229" s="58">
        <v>1.0</v>
      </c>
      <c r="G1229" s="58" t="s">
        <v>32</v>
      </c>
      <c r="H1229" s="33">
        <f t="shared" si="183"/>
        <v>1</v>
      </c>
      <c r="I1229" s="58" t="s">
        <v>33</v>
      </c>
      <c r="J1229" s="58" t="s">
        <v>93</v>
      </c>
      <c r="K1229" s="58">
        <v>2.0</v>
      </c>
      <c r="L1229" s="58" t="s">
        <v>119</v>
      </c>
      <c r="M1229" s="61" t="s">
        <v>3719</v>
      </c>
      <c r="N1229" s="77"/>
      <c r="O1229" s="88" t="str">
        <f>hyperlink("https://bad-boys.us/?q=ND-NY/5:18-cr-00139", "ND-NY 5:18-cr-00139")</f>
        <v>ND-NY 5:18-cr-00139</v>
      </c>
      <c r="P1229" s="88" t="s">
        <v>3720</v>
      </c>
      <c r="Q1229" s="84">
        <v>1.0</v>
      </c>
      <c r="R1229" s="62"/>
      <c r="S1229" s="37" t="str">
        <f>IFERROR(__xludf.DUMMYFUNCTION("if(not(iserror(index(split(C1229, "" ""),2))), index(split(C1229, "" ""),1),"""")"),"May")</f>
        <v>May</v>
      </c>
      <c r="T1229" s="38">
        <f>IFERROR(__xludf.DUMMYFUNCTION("if(S1229="""",C1229,if(not(iserror(index(split(C1229, "" ""),3))), index(split(C1229, "" ""),3),index(split(C1229, "" ""),2)))"),2018.0)</f>
        <v>2018</v>
      </c>
      <c r="U1229" s="38" t="b">
        <f t="shared" si="179"/>
        <v>0</v>
      </c>
      <c r="V1229" s="38"/>
      <c r="W1229" s="40"/>
      <c r="X1229" s="40"/>
      <c r="Y1229" s="40"/>
      <c r="Z1229" s="38"/>
      <c r="AA1229" s="38"/>
      <c r="AB1229" s="38"/>
      <c r="AC1229" s="38"/>
      <c r="AD1229" s="38"/>
      <c r="AE1229" s="38"/>
      <c r="AF1229" s="38"/>
      <c r="AG1229" s="38"/>
      <c r="AH1229" s="38"/>
      <c r="AI1229" s="38"/>
      <c r="AJ1229" s="38"/>
      <c r="AK1229" s="38"/>
      <c r="AL1229" s="38"/>
      <c r="AM1229" s="38"/>
      <c r="AN1229" s="38"/>
      <c r="AO1229" s="38"/>
      <c r="AP1229" s="38"/>
      <c r="AQ1229" s="38"/>
      <c r="AR1229" s="38"/>
      <c r="AS1229" s="38"/>
      <c r="AT1229" s="38"/>
      <c r="AU1229" s="38"/>
      <c r="AV1229" s="38"/>
      <c r="AW1229" s="38"/>
      <c r="AX1229" s="38"/>
      <c r="AY1229" s="38"/>
      <c r="AZ1229" s="38"/>
      <c r="BA1229" s="38"/>
      <c r="BB1229" s="38"/>
      <c r="BC1229" s="38"/>
      <c r="BD1229" s="38"/>
      <c r="BE1229" s="38"/>
      <c r="BF1229" s="38"/>
      <c r="BG1229" s="38"/>
      <c r="BH1229" s="38"/>
      <c r="BI1229" s="38"/>
      <c r="BJ1229" s="38"/>
      <c r="BK1229" s="38"/>
      <c r="BL1229" s="38"/>
      <c r="BM1229" s="38"/>
      <c r="BN1229" s="38"/>
      <c r="BO1229" s="38"/>
      <c r="BP1229" s="38"/>
      <c r="BQ1229" s="38"/>
    </row>
    <row r="1230">
      <c r="A1230" s="58" t="s">
        <v>3721</v>
      </c>
      <c r="B1230" s="59"/>
      <c r="C1230" s="59">
        <v>43241.0</v>
      </c>
      <c r="D1230" s="60"/>
      <c r="E1230" s="58" t="s">
        <v>41</v>
      </c>
      <c r="F1230" s="58">
        <v>1.0</v>
      </c>
      <c r="G1230" s="58" t="s">
        <v>32</v>
      </c>
      <c r="H1230" s="43">
        <v>1.0</v>
      </c>
      <c r="I1230" s="58" t="s">
        <v>33</v>
      </c>
      <c r="J1230" s="58" t="s">
        <v>460</v>
      </c>
      <c r="K1230" s="58"/>
      <c r="L1230" s="58" t="s">
        <v>119</v>
      </c>
      <c r="M1230" s="61" t="s">
        <v>3722</v>
      </c>
      <c r="N1230" s="77"/>
      <c r="O1230" s="83" t="str">
        <f>hyperlink("https://bad-boys.us/?q=SD-IA/1:18-cr-00024", "SD-IA 1:18-cr-00024")</f>
        <v>SD-IA 1:18-cr-00024</v>
      </c>
      <c r="P1230" s="88" t="s">
        <v>3723</v>
      </c>
      <c r="Q1230" s="58">
        <v>1.0</v>
      </c>
      <c r="R1230" s="62"/>
      <c r="S1230" s="37" t="str">
        <f>IFERROR(__xludf.DUMMYFUNCTION("if(not(iserror(index(split(C1230, "" ""),2))), index(split(C1230, "" ""),1),"""")"),"May")</f>
        <v>May</v>
      </c>
      <c r="T1230" s="38">
        <f>IFERROR(__xludf.DUMMYFUNCTION("if(S1230="""",C1230,if(not(iserror(index(split(C1230, "" ""),3))), index(split(C1230, "" ""),3),index(split(C1230, "" ""),2)))"),2018.0)</f>
        <v>2018</v>
      </c>
      <c r="U1230" s="38" t="b">
        <f t="shared" si="179"/>
        <v>0</v>
      </c>
      <c r="V1230" s="38" t="s">
        <v>33</v>
      </c>
      <c r="W1230" s="40"/>
      <c r="X1230" s="40"/>
      <c r="Y1230" s="40"/>
      <c r="Z1230" s="38"/>
      <c r="AA1230" s="38"/>
      <c r="AB1230" s="38"/>
      <c r="AC1230" s="38"/>
      <c r="AD1230" s="38"/>
      <c r="AE1230" s="38"/>
      <c r="AF1230" s="38"/>
      <c r="AG1230" s="38"/>
      <c r="AH1230" s="38"/>
      <c r="AI1230" s="38"/>
      <c r="AJ1230" s="38"/>
      <c r="AK1230" s="38"/>
      <c r="AL1230" s="38"/>
      <c r="AM1230" s="38"/>
      <c r="AN1230" s="38"/>
      <c r="AO1230" s="38"/>
      <c r="AP1230" s="38"/>
      <c r="AQ1230" s="38"/>
      <c r="AR1230" s="38"/>
      <c r="AS1230" s="38"/>
      <c r="AT1230" s="38"/>
      <c r="AU1230" s="38"/>
      <c r="AV1230" s="38"/>
      <c r="AW1230" s="38"/>
      <c r="AX1230" s="38"/>
      <c r="AY1230" s="38"/>
      <c r="AZ1230" s="38"/>
      <c r="BA1230" s="38"/>
      <c r="BB1230" s="38"/>
      <c r="BC1230" s="38"/>
      <c r="BD1230" s="38"/>
      <c r="BE1230" s="38"/>
      <c r="BF1230" s="38"/>
      <c r="BG1230" s="38"/>
      <c r="BH1230" s="38"/>
      <c r="BI1230" s="38"/>
      <c r="BJ1230" s="38"/>
      <c r="BK1230" s="38"/>
      <c r="BL1230" s="38"/>
      <c r="BM1230" s="38"/>
      <c r="BN1230" s="38"/>
      <c r="BO1230" s="38"/>
      <c r="BP1230" s="38"/>
      <c r="BQ1230" s="38"/>
    </row>
    <row r="1231">
      <c r="A1231" s="58" t="s">
        <v>3724</v>
      </c>
      <c r="B1231" s="59">
        <v>43241.0</v>
      </c>
      <c r="C1231" s="59">
        <v>43241.0</v>
      </c>
      <c r="D1231" s="60" t="s">
        <v>3718</v>
      </c>
      <c r="E1231" s="58" t="s">
        <v>31</v>
      </c>
      <c r="F1231" s="58">
        <v>2.0</v>
      </c>
      <c r="G1231" s="58" t="s">
        <v>32</v>
      </c>
      <c r="H1231" s="33">
        <f t="shared" ref="H1231:H1235" si="184">if(G1231="Unknown",1,G1231)</f>
        <v>1</v>
      </c>
      <c r="I1231" s="58" t="s">
        <v>33</v>
      </c>
      <c r="J1231" s="58" t="s">
        <v>268</v>
      </c>
      <c r="K1231" s="58">
        <v>3.0</v>
      </c>
      <c r="L1231" s="58" t="s">
        <v>52</v>
      </c>
      <c r="M1231" s="61" t="s">
        <v>3725</v>
      </c>
      <c r="N1231" s="77"/>
      <c r="O1231" s="62"/>
      <c r="P1231" s="62"/>
      <c r="Q1231" s="62"/>
      <c r="R1231" s="62"/>
      <c r="S1231" s="37" t="str">
        <f>IFERROR(__xludf.DUMMYFUNCTION("if(not(iserror(index(split(C1231, "" ""),2))), index(split(C1231, "" ""),1),"""")"),"May")</f>
        <v>May</v>
      </c>
      <c r="T1231" s="38">
        <f>IFERROR(__xludf.DUMMYFUNCTION("if(S1231="""",C1231,if(not(iserror(index(split(C1231, "" ""),3))), index(split(C1231, "" ""),3),index(split(C1231, "" ""),2)))"),2018.0)</f>
        <v>2018</v>
      </c>
      <c r="U1231" s="38" t="b">
        <f t="shared" si="179"/>
        <v>0</v>
      </c>
      <c r="V1231" s="38"/>
      <c r="W1231" s="40"/>
      <c r="X1231" s="40"/>
      <c r="Y1231" s="40"/>
      <c r="Z1231" s="38"/>
      <c r="AA1231" s="38"/>
      <c r="AB1231" s="38"/>
      <c r="AC1231" s="38"/>
      <c r="AD1231" s="38"/>
      <c r="AE1231" s="38"/>
      <c r="AF1231" s="38"/>
      <c r="AG1231" s="38"/>
      <c r="AH1231" s="38"/>
      <c r="AI1231" s="38"/>
      <c r="AJ1231" s="38"/>
      <c r="AK1231" s="38"/>
      <c r="AL1231" s="38"/>
      <c r="AM1231" s="38"/>
      <c r="AN1231" s="38"/>
      <c r="AO1231" s="38"/>
      <c r="AP1231" s="38"/>
      <c r="AQ1231" s="38"/>
      <c r="AR1231" s="38"/>
      <c r="AS1231" s="38"/>
      <c r="AT1231" s="38"/>
      <c r="AU1231" s="38"/>
      <c r="AV1231" s="38"/>
      <c r="AW1231" s="38"/>
      <c r="AX1231" s="38"/>
      <c r="AY1231" s="38"/>
      <c r="AZ1231" s="38"/>
      <c r="BA1231" s="38"/>
      <c r="BB1231" s="38"/>
      <c r="BC1231" s="38"/>
      <c r="BD1231" s="38"/>
      <c r="BE1231" s="38"/>
      <c r="BF1231" s="38"/>
      <c r="BG1231" s="38"/>
      <c r="BH1231" s="38"/>
      <c r="BI1231" s="38"/>
      <c r="BJ1231" s="38"/>
      <c r="BK1231" s="38"/>
      <c r="BL1231" s="38"/>
      <c r="BM1231" s="38"/>
      <c r="BN1231" s="38"/>
      <c r="BO1231" s="38"/>
      <c r="BP1231" s="38"/>
      <c r="BQ1231" s="38"/>
    </row>
    <row r="1232">
      <c r="A1232" s="58" t="s">
        <v>3726</v>
      </c>
      <c r="B1232" s="59">
        <v>43241.0</v>
      </c>
      <c r="C1232" s="59">
        <v>43241.0</v>
      </c>
      <c r="D1232" s="60" t="s">
        <v>3718</v>
      </c>
      <c r="E1232" s="58" t="s">
        <v>31</v>
      </c>
      <c r="F1232" s="58">
        <v>1.0</v>
      </c>
      <c r="G1232" s="58" t="s">
        <v>32</v>
      </c>
      <c r="H1232" s="33">
        <f t="shared" si="184"/>
        <v>1</v>
      </c>
      <c r="I1232" s="58" t="s">
        <v>33</v>
      </c>
      <c r="J1232" s="58" t="s">
        <v>268</v>
      </c>
      <c r="K1232" s="58" t="s">
        <v>32</v>
      </c>
      <c r="L1232" s="58"/>
      <c r="M1232" s="80"/>
      <c r="N1232" s="77"/>
      <c r="O1232" s="58"/>
      <c r="P1232" s="58"/>
      <c r="Q1232" s="84"/>
      <c r="R1232" s="62"/>
      <c r="S1232" s="37" t="str">
        <f>IFERROR(__xludf.DUMMYFUNCTION("if(not(iserror(index(split(C1232, "" ""),2))), index(split(C1232, "" ""),1),"""")"),"May")</f>
        <v>May</v>
      </c>
      <c r="T1232" s="38">
        <f>IFERROR(__xludf.DUMMYFUNCTION("if(S1232="""",C1232,if(not(iserror(index(split(C1232, "" ""),3))), index(split(C1232, "" ""),3),index(split(C1232, "" ""),2)))"),2018.0)</f>
        <v>2018</v>
      </c>
      <c r="U1232" s="38" t="b">
        <f t="shared" si="179"/>
        <v>0</v>
      </c>
      <c r="V1232" s="38"/>
      <c r="W1232" s="40"/>
      <c r="X1232" s="40"/>
      <c r="Y1232" s="40"/>
      <c r="Z1232" s="38"/>
      <c r="AA1232" s="38"/>
      <c r="AB1232" s="38"/>
      <c r="AC1232" s="38"/>
      <c r="AD1232" s="38"/>
      <c r="AE1232" s="38"/>
      <c r="AF1232" s="38"/>
      <c r="AG1232" s="38"/>
      <c r="AH1232" s="38"/>
      <c r="AI1232" s="38"/>
      <c r="AJ1232" s="38"/>
      <c r="AK1232" s="38"/>
      <c r="AL1232" s="38"/>
      <c r="AM1232" s="38"/>
      <c r="AN1232" s="38"/>
      <c r="AO1232" s="38"/>
      <c r="AP1232" s="38"/>
      <c r="AQ1232" s="38"/>
      <c r="AR1232" s="38"/>
      <c r="AS1232" s="38"/>
      <c r="AT1232" s="38"/>
      <c r="AU1232" s="38"/>
      <c r="AV1232" s="38"/>
      <c r="AW1232" s="38"/>
      <c r="AX1232" s="38"/>
      <c r="AY1232" s="38"/>
      <c r="AZ1232" s="38"/>
      <c r="BA1232" s="38"/>
      <c r="BB1232" s="38"/>
      <c r="BC1232" s="38"/>
      <c r="BD1232" s="38"/>
      <c r="BE1232" s="38"/>
      <c r="BF1232" s="38"/>
      <c r="BG1232" s="38"/>
      <c r="BH1232" s="38"/>
      <c r="BI1232" s="38"/>
      <c r="BJ1232" s="38"/>
      <c r="BK1232" s="38"/>
      <c r="BL1232" s="38"/>
      <c r="BM1232" s="38"/>
      <c r="BN1232" s="38"/>
      <c r="BO1232" s="38"/>
      <c r="BP1232" s="38"/>
      <c r="BQ1232" s="38"/>
    </row>
    <row r="1233">
      <c r="A1233" s="58" t="s">
        <v>40</v>
      </c>
      <c r="B1233" s="59">
        <v>43252.0</v>
      </c>
      <c r="C1233" s="59">
        <v>43241.0</v>
      </c>
      <c r="D1233" s="60" t="s">
        <v>3727</v>
      </c>
      <c r="E1233" s="58" t="s">
        <v>31</v>
      </c>
      <c r="F1233" s="58">
        <v>28.0</v>
      </c>
      <c r="G1233" s="58" t="s">
        <v>32</v>
      </c>
      <c r="H1233" s="33">
        <f t="shared" si="184"/>
        <v>1</v>
      </c>
      <c r="I1233" s="58" t="s">
        <v>33</v>
      </c>
      <c r="J1233" s="58" t="s">
        <v>147</v>
      </c>
      <c r="K1233" s="58">
        <v>1.0</v>
      </c>
      <c r="L1233" s="58" t="s">
        <v>3728</v>
      </c>
      <c r="M1233" s="35" t="s">
        <v>3729</v>
      </c>
      <c r="N1233" s="77"/>
      <c r="O1233" s="62"/>
      <c r="P1233" s="62"/>
      <c r="Q1233" s="62"/>
      <c r="R1233" s="62"/>
      <c r="S1233" s="37" t="str">
        <f>IFERROR(__xludf.DUMMYFUNCTION("if(not(iserror(index(split(C1233, "" ""),2))), index(split(C1233, "" ""),1),"""")"),"May")</f>
        <v>May</v>
      </c>
      <c r="T1233" s="38">
        <f>IFERROR(__xludf.DUMMYFUNCTION("if(S1233="""",C1233,if(not(iserror(index(split(C1233, "" ""),3))), index(split(C1233, "" ""),3),index(split(C1233, "" ""),2)))"),2018.0)</f>
        <v>2018</v>
      </c>
      <c r="U1233" s="38" t="b">
        <f t="shared" si="179"/>
        <v>1</v>
      </c>
      <c r="V1233" s="38"/>
      <c r="W1233" s="40"/>
      <c r="X1233" s="40"/>
      <c r="Y1233" s="40"/>
      <c r="Z1233" s="38"/>
      <c r="AA1233" s="38"/>
      <c r="AB1233" s="38"/>
      <c r="AC1233" s="38"/>
      <c r="AD1233" s="38"/>
      <c r="AE1233" s="38"/>
      <c r="AF1233" s="38"/>
      <c r="AG1233" s="38"/>
      <c r="AH1233" s="38"/>
      <c r="AI1233" s="38"/>
      <c r="AJ1233" s="38"/>
      <c r="AK1233" s="38"/>
      <c r="AL1233" s="38"/>
      <c r="AM1233" s="38"/>
      <c r="AN1233" s="38"/>
      <c r="AO1233" s="38"/>
      <c r="AP1233" s="38"/>
      <c r="AQ1233" s="38"/>
      <c r="AR1233" s="38"/>
      <c r="AS1233" s="38"/>
      <c r="AT1233" s="38"/>
      <c r="AU1233" s="38"/>
      <c r="AV1233" s="38"/>
      <c r="AW1233" s="38"/>
      <c r="AX1233" s="38"/>
      <c r="AY1233" s="38"/>
      <c r="AZ1233" s="38"/>
      <c r="BA1233" s="38"/>
      <c r="BB1233" s="38"/>
      <c r="BC1233" s="38"/>
      <c r="BD1233" s="38"/>
      <c r="BE1233" s="38"/>
      <c r="BF1233" s="38"/>
      <c r="BG1233" s="38"/>
      <c r="BH1233" s="38"/>
      <c r="BI1233" s="38"/>
      <c r="BJ1233" s="38"/>
      <c r="BK1233" s="38"/>
      <c r="BL1233" s="38"/>
      <c r="BM1233" s="38"/>
      <c r="BN1233" s="38"/>
      <c r="BO1233" s="38"/>
      <c r="BP1233" s="38"/>
      <c r="BQ1233" s="38"/>
    </row>
    <row r="1234">
      <c r="A1234" s="58" t="s">
        <v>40</v>
      </c>
      <c r="B1234" s="59">
        <v>43242.0</v>
      </c>
      <c r="C1234" s="59">
        <v>43242.0</v>
      </c>
      <c r="D1234" s="60" t="s">
        <v>3730</v>
      </c>
      <c r="E1234" s="58" t="s">
        <v>41</v>
      </c>
      <c r="F1234" s="58">
        <v>3.0</v>
      </c>
      <c r="G1234" s="58" t="s">
        <v>32</v>
      </c>
      <c r="H1234" s="33">
        <f t="shared" si="184"/>
        <v>1</v>
      </c>
      <c r="I1234" s="58" t="s">
        <v>33</v>
      </c>
      <c r="J1234" s="58" t="s">
        <v>147</v>
      </c>
      <c r="K1234" s="58">
        <v>2.0</v>
      </c>
      <c r="L1234" s="58" t="s">
        <v>52</v>
      </c>
      <c r="M1234" s="61" t="s">
        <v>3731</v>
      </c>
      <c r="N1234" s="77"/>
      <c r="O1234" s="62"/>
      <c r="P1234" s="62"/>
      <c r="Q1234" s="62"/>
      <c r="R1234" s="62"/>
      <c r="S1234" s="37" t="str">
        <f>IFERROR(__xludf.DUMMYFUNCTION("if(not(iserror(index(split(C1234, "" ""),2))), index(split(C1234, "" ""),1),"""")"),"May")</f>
        <v>May</v>
      </c>
      <c r="T1234" s="38">
        <f>IFERROR(__xludf.DUMMYFUNCTION("if(S1234="""",C1234,if(not(iserror(index(split(C1234, "" ""),3))), index(split(C1234, "" ""),3),index(split(C1234, "" ""),2)))"),2018.0)</f>
        <v>2018</v>
      </c>
      <c r="U1234" s="38" t="b">
        <f t="shared" si="179"/>
        <v>1</v>
      </c>
      <c r="V1234" s="38"/>
      <c r="W1234" s="40"/>
      <c r="X1234" s="40"/>
      <c r="Y1234" s="40"/>
      <c r="Z1234" s="38"/>
      <c r="AA1234" s="38"/>
      <c r="AB1234" s="38"/>
      <c r="AC1234" s="38"/>
      <c r="AD1234" s="38"/>
      <c r="AE1234" s="38"/>
      <c r="AF1234" s="38"/>
      <c r="AG1234" s="38"/>
      <c r="AH1234" s="38"/>
      <c r="AI1234" s="38"/>
      <c r="AJ1234" s="38"/>
      <c r="AK1234" s="38"/>
      <c r="AL1234" s="38"/>
      <c r="AM1234" s="38"/>
      <c r="AN1234" s="38"/>
      <c r="AO1234" s="38"/>
      <c r="AP1234" s="38"/>
      <c r="AQ1234" s="38"/>
      <c r="AR1234" s="38"/>
      <c r="AS1234" s="38"/>
      <c r="AT1234" s="38"/>
      <c r="AU1234" s="38"/>
      <c r="AV1234" s="38"/>
      <c r="AW1234" s="38"/>
      <c r="AX1234" s="38"/>
      <c r="AY1234" s="38"/>
      <c r="AZ1234" s="38"/>
      <c r="BA1234" s="38"/>
      <c r="BB1234" s="38"/>
      <c r="BC1234" s="38"/>
      <c r="BD1234" s="38"/>
      <c r="BE1234" s="38"/>
      <c r="BF1234" s="38"/>
      <c r="BG1234" s="38"/>
      <c r="BH1234" s="38"/>
      <c r="BI1234" s="38"/>
      <c r="BJ1234" s="38"/>
      <c r="BK1234" s="38"/>
      <c r="BL1234" s="38"/>
      <c r="BM1234" s="38"/>
      <c r="BN1234" s="38"/>
      <c r="BO1234" s="38"/>
      <c r="BP1234" s="38"/>
      <c r="BQ1234" s="38"/>
    </row>
    <row r="1235">
      <c r="A1235" s="58" t="s">
        <v>239</v>
      </c>
      <c r="B1235" s="59">
        <v>43243.0</v>
      </c>
      <c r="C1235" s="59">
        <v>43242.0</v>
      </c>
      <c r="D1235" s="60" t="s">
        <v>3730</v>
      </c>
      <c r="E1235" s="58" t="s">
        <v>41</v>
      </c>
      <c r="F1235" s="58">
        <v>2.0</v>
      </c>
      <c r="G1235" s="58" t="s">
        <v>32</v>
      </c>
      <c r="H1235" s="33">
        <f t="shared" si="184"/>
        <v>1</v>
      </c>
      <c r="I1235" s="58" t="s">
        <v>33</v>
      </c>
      <c r="J1235" s="58" t="s">
        <v>147</v>
      </c>
      <c r="K1235" s="58">
        <v>1.0</v>
      </c>
      <c r="L1235" s="58" t="s">
        <v>194</v>
      </c>
      <c r="M1235" s="61" t="s">
        <v>3732</v>
      </c>
      <c r="N1235" s="77"/>
      <c r="O1235" s="62"/>
      <c r="P1235" s="62"/>
      <c r="Q1235" s="62"/>
      <c r="R1235" s="62"/>
      <c r="S1235" s="37" t="str">
        <f>IFERROR(__xludf.DUMMYFUNCTION("if(not(iserror(index(split(C1235, "" ""),2))), index(split(C1235, "" ""),1),"""")"),"May")</f>
        <v>May</v>
      </c>
      <c r="T1235" s="38">
        <f>IFERROR(__xludf.DUMMYFUNCTION("if(S1235="""",C1235,if(not(iserror(index(split(C1235, "" ""),3))), index(split(C1235, "" ""),3),index(split(C1235, "" ""),2)))"),2018.0)</f>
        <v>2018</v>
      </c>
      <c r="U1235" s="38" t="b">
        <f t="shared" si="179"/>
        <v>1</v>
      </c>
      <c r="V1235" s="38"/>
      <c r="W1235" s="40"/>
      <c r="X1235" s="40"/>
      <c r="Y1235" s="40"/>
      <c r="Z1235" s="38"/>
      <c r="AA1235" s="38"/>
      <c r="AB1235" s="38"/>
      <c r="AC1235" s="38"/>
      <c r="AD1235" s="38"/>
      <c r="AE1235" s="38"/>
      <c r="AF1235" s="38"/>
      <c r="AG1235" s="38"/>
      <c r="AH1235" s="38"/>
      <c r="AI1235" s="38"/>
      <c r="AJ1235" s="38"/>
      <c r="AK1235" s="38"/>
      <c r="AL1235" s="38"/>
      <c r="AM1235" s="38"/>
      <c r="AN1235" s="38"/>
      <c r="AO1235" s="38"/>
      <c r="AP1235" s="38"/>
      <c r="AQ1235" s="38"/>
      <c r="AR1235" s="38"/>
      <c r="AS1235" s="38"/>
      <c r="AT1235" s="38"/>
      <c r="AU1235" s="38"/>
      <c r="AV1235" s="38"/>
      <c r="AW1235" s="38"/>
      <c r="AX1235" s="38"/>
      <c r="AY1235" s="38"/>
      <c r="AZ1235" s="38"/>
      <c r="BA1235" s="38"/>
      <c r="BB1235" s="38"/>
      <c r="BC1235" s="38"/>
      <c r="BD1235" s="38"/>
      <c r="BE1235" s="38"/>
      <c r="BF1235" s="38"/>
      <c r="BG1235" s="38"/>
      <c r="BH1235" s="38"/>
      <c r="BI1235" s="38"/>
      <c r="BJ1235" s="38"/>
      <c r="BK1235" s="38"/>
      <c r="BL1235" s="38"/>
      <c r="BM1235" s="38"/>
      <c r="BN1235" s="38"/>
      <c r="BO1235" s="38"/>
      <c r="BP1235" s="38"/>
      <c r="BQ1235" s="38"/>
    </row>
    <row r="1236">
      <c r="A1236" s="58" t="s">
        <v>1723</v>
      </c>
      <c r="B1236" s="59"/>
      <c r="C1236" s="59">
        <v>43242.0</v>
      </c>
      <c r="D1236" s="60"/>
      <c r="E1236" s="58" t="s">
        <v>41</v>
      </c>
      <c r="F1236" s="58">
        <v>1.0</v>
      </c>
      <c r="G1236" s="58" t="s">
        <v>32</v>
      </c>
      <c r="H1236" s="43">
        <v>1.0</v>
      </c>
      <c r="I1236" s="58" t="s">
        <v>33</v>
      </c>
      <c r="J1236" s="58" t="s">
        <v>172</v>
      </c>
      <c r="K1236" s="58"/>
      <c r="L1236" s="58" t="s">
        <v>119</v>
      </c>
      <c r="M1236" s="61" t="s">
        <v>3733</v>
      </c>
      <c r="N1236" s="77"/>
      <c r="O1236" s="83" t="str">
        <f>hyperlink("https://bad-boys.us/?q=ED-NC/7:18-cr-00099", "ED-NC 7:18-cr-00099")</f>
        <v>ED-NC 7:18-cr-00099</v>
      </c>
      <c r="P1236" s="88" t="s">
        <v>3734</v>
      </c>
      <c r="Q1236" s="58">
        <v>1.0</v>
      </c>
      <c r="R1236" s="62"/>
      <c r="S1236" s="37"/>
      <c r="T1236" s="38"/>
      <c r="U1236" s="38" t="b">
        <f t="shared" si="179"/>
        <v>1</v>
      </c>
      <c r="V1236" s="38" t="s">
        <v>33</v>
      </c>
      <c r="W1236" s="40"/>
      <c r="X1236" s="40"/>
      <c r="Y1236" s="40"/>
      <c r="Z1236" s="38"/>
      <c r="AA1236" s="38"/>
      <c r="AB1236" s="38"/>
      <c r="AC1236" s="38"/>
      <c r="AD1236" s="38"/>
      <c r="AE1236" s="38"/>
      <c r="AF1236" s="38"/>
      <c r="AG1236" s="38"/>
      <c r="AH1236" s="38"/>
      <c r="AI1236" s="38"/>
      <c r="AJ1236" s="38"/>
      <c r="AK1236" s="38"/>
      <c r="AL1236" s="38"/>
      <c r="AM1236" s="38"/>
      <c r="AN1236" s="38"/>
      <c r="AO1236" s="38"/>
      <c r="AP1236" s="38"/>
      <c r="AQ1236" s="38"/>
      <c r="AR1236" s="38"/>
      <c r="AS1236" s="38"/>
      <c r="AT1236" s="38"/>
      <c r="AU1236" s="38"/>
      <c r="AV1236" s="38"/>
      <c r="AW1236" s="38"/>
      <c r="AX1236" s="38"/>
      <c r="AY1236" s="38"/>
      <c r="AZ1236" s="38"/>
      <c r="BA1236" s="38"/>
      <c r="BB1236" s="38"/>
      <c r="BC1236" s="38"/>
      <c r="BD1236" s="38"/>
      <c r="BE1236" s="38"/>
      <c r="BF1236" s="38"/>
      <c r="BG1236" s="38"/>
      <c r="BH1236" s="38"/>
      <c r="BI1236" s="38"/>
      <c r="BJ1236" s="38"/>
      <c r="BK1236" s="38"/>
      <c r="BL1236" s="38"/>
      <c r="BM1236" s="38"/>
      <c r="BN1236" s="38"/>
      <c r="BO1236" s="38"/>
      <c r="BP1236" s="38"/>
      <c r="BQ1236" s="38"/>
    </row>
    <row r="1237">
      <c r="A1237" s="87" t="s">
        <v>3735</v>
      </c>
      <c r="B1237" s="59">
        <v>43440.0</v>
      </c>
      <c r="C1237" s="59">
        <v>43242.0</v>
      </c>
      <c r="D1237" s="60" t="s">
        <v>3730</v>
      </c>
      <c r="E1237" s="58" t="s">
        <v>41</v>
      </c>
      <c r="F1237" s="58">
        <v>1.0</v>
      </c>
      <c r="G1237" s="58">
        <v>1.0</v>
      </c>
      <c r="H1237" s="33">
        <f>if(G1237="Unknown",1,G1237)</f>
        <v>1</v>
      </c>
      <c r="I1237" s="58" t="s">
        <v>33</v>
      </c>
      <c r="J1237" s="58" t="s">
        <v>93</v>
      </c>
      <c r="K1237" s="58">
        <v>1.0</v>
      </c>
      <c r="L1237" s="58" t="s">
        <v>194</v>
      </c>
      <c r="M1237" s="120" t="s">
        <v>3736</v>
      </c>
      <c r="N1237" s="77"/>
      <c r="O1237" s="83" t="str">
        <f>hyperlink("https://bad-boys.us/?q=ND-NY/8:18-cr-00219", "ND-NY 8:18-cr-00219")</f>
        <v>ND-NY 8:18-cr-00219</v>
      </c>
      <c r="P1237" s="88" t="s">
        <v>3737</v>
      </c>
      <c r="Q1237" s="58">
        <v>1.0</v>
      </c>
      <c r="R1237" s="62"/>
      <c r="S1237" s="37" t="str">
        <f>IFERROR(__xludf.DUMMYFUNCTION("if(not(iserror(index(split(C1237, "" ""),2))), index(split(C1237, "" ""),1),"""")"),"May")</f>
        <v>May</v>
      </c>
      <c r="T1237" s="38">
        <f>IFERROR(__xludf.DUMMYFUNCTION("if(S1237="""",C1237,if(not(iserror(index(split(C1237, "" ""),3))), index(split(C1237, "" ""),3),index(split(C1237, "" ""),2)))"),2018.0)</f>
        <v>2018</v>
      </c>
      <c r="U1237" s="38" t="b">
        <f t="shared" si="179"/>
        <v>0</v>
      </c>
      <c r="V1237" s="38"/>
      <c r="W1237" s="40"/>
      <c r="X1237" s="40"/>
      <c r="Y1237" s="40"/>
      <c r="Z1237" s="38"/>
      <c r="AA1237" s="38"/>
      <c r="AB1237" s="38"/>
      <c r="AC1237" s="38"/>
      <c r="AD1237" s="38"/>
      <c r="AE1237" s="38"/>
      <c r="AF1237" s="38"/>
      <c r="AG1237" s="38"/>
      <c r="AH1237" s="38"/>
      <c r="AI1237" s="38"/>
      <c r="AJ1237" s="38"/>
      <c r="AK1237" s="38"/>
      <c r="AL1237" s="38"/>
      <c r="AM1237" s="38"/>
      <c r="AN1237" s="38"/>
      <c r="AO1237" s="38"/>
      <c r="AP1237" s="38"/>
      <c r="AQ1237" s="38"/>
      <c r="AR1237" s="38"/>
      <c r="AS1237" s="38"/>
      <c r="AT1237" s="38"/>
      <c r="AU1237" s="38"/>
      <c r="AV1237" s="38"/>
      <c r="AW1237" s="38"/>
      <c r="AX1237" s="38"/>
      <c r="AY1237" s="38"/>
      <c r="AZ1237" s="38"/>
      <c r="BA1237" s="38"/>
      <c r="BB1237" s="38"/>
      <c r="BC1237" s="38"/>
      <c r="BD1237" s="38"/>
      <c r="BE1237" s="38"/>
      <c r="BF1237" s="38"/>
      <c r="BG1237" s="38"/>
      <c r="BH1237" s="38"/>
      <c r="BI1237" s="38"/>
      <c r="BJ1237" s="38"/>
      <c r="BK1237" s="38"/>
      <c r="BL1237" s="38"/>
      <c r="BM1237" s="38"/>
      <c r="BN1237" s="38"/>
      <c r="BO1237" s="38"/>
      <c r="BP1237" s="38"/>
      <c r="BQ1237" s="38"/>
    </row>
    <row r="1238">
      <c r="A1238" s="37" t="s">
        <v>3738</v>
      </c>
      <c r="B1238" s="99">
        <v>43497.0</v>
      </c>
      <c r="C1238" s="100">
        <v>43242.0</v>
      </c>
      <c r="D1238" s="101">
        <v>43221.0</v>
      </c>
      <c r="E1238" s="37" t="s">
        <v>31</v>
      </c>
      <c r="F1238" s="37">
        <v>1.0</v>
      </c>
      <c r="G1238" s="37" t="s">
        <v>32</v>
      </c>
      <c r="H1238" s="200">
        <v>1.0</v>
      </c>
      <c r="I1238" s="37" t="s">
        <v>33</v>
      </c>
      <c r="J1238" s="37" t="s">
        <v>268</v>
      </c>
      <c r="K1238" s="37">
        <v>2.0</v>
      </c>
      <c r="L1238" s="37" t="s">
        <v>69</v>
      </c>
      <c r="M1238" s="36" t="s">
        <v>3739</v>
      </c>
      <c r="N1238" s="36" t="s">
        <v>3740</v>
      </c>
      <c r="O1238" s="57" t="str">
        <f>hyperlink("https://bad-boys.us/?q=ND-OK/4:18-cr-00147", "ND-OK 4:18-cr-00147")</f>
        <v>ND-OK 4:18-cr-00147</v>
      </c>
      <c r="P1238" s="86" t="s">
        <v>3741</v>
      </c>
      <c r="Q1238" s="37">
        <v>1.0</v>
      </c>
      <c r="R1238" s="16"/>
      <c r="S1238" s="37" t="str">
        <f>IFERROR(__xludf.DUMMYFUNCTION("if(not(iserror(index(split(C1238, "" ""),2))), index(split(C1238, "" ""),1),"""")"),"May,")</f>
        <v>May,</v>
      </c>
      <c r="T1238" s="38">
        <f>IFERROR(__xludf.DUMMYFUNCTION("if(S1238="""",C1238,if(not(iserror(index(split(C1238, "" ""),3))), index(split(C1238, "" ""),3),index(split(C1238, "" ""),2)))"),2018.0)</f>
        <v>2018</v>
      </c>
      <c r="U1238" s="38" t="b">
        <f t="shared" si="179"/>
        <v>0</v>
      </c>
      <c r="V1238" s="16"/>
      <c r="W1238" s="15"/>
      <c r="X1238" s="15"/>
      <c r="Y1238" s="15"/>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row>
    <row r="1239">
      <c r="A1239" s="58" t="s">
        <v>40</v>
      </c>
      <c r="B1239" s="59">
        <v>43244.0</v>
      </c>
      <c r="C1239" s="59">
        <v>43243.0</v>
      </c>
      <c r="D1239" s="60" t="s">
        <v>3742</v>
      </c>
      <c r="E1239" s="58" t="s">
        <v>41</v>
      </c>
      <c r="F1239" s="58">
        <v>12.0</v>
      </c>
      <c r="G1239" s="58" t="s">
        <v>32</v>
      </c>
      <c r="H1239" s="33">
        <f t="shared" ref="H1239:H1244" si="185">if(G1239="Unknown",1,G1239)</f>
        <v>1</v>
      </c>
      <c r="I1239" s="58" t="s">
        <v>33</v>
      </c>
      <c r="J1239" s="58" t="s">
        <v>111</v>
      </c>
      <c r="K1239" s="58">
        <v>1.0</v>
      </c>
      <c r="L1239" s="58" t="s">
        <v>2942</v>
      </c>
      <c r="M1239" s="61" t="s">
        <v>3743</v>
      </c>
      <c r="N1239" s="77"/>
      <c r="O1239" s="62"/>
      <c r="P1239" s="62"/>
      <c r="Q1239" s="62"/>
      <c r="R1239" s="62"/>
      <c r="S1239" s="37" t="str">
        <f>IFERROR(__xludf.DUMMYFUNCTION("if(not(iserror(index(split(C1239, "" ""),2))), index(split(C1239, "" ""),1),"""")"),"May")</f>
        <v>May</v>
      </c>
      <c r="T1239" s="38">
        <f>IFERROR(__xludf.DUMMYFUNCTION("if(S1239="""",C1239,if(not(iserror(index(split(C1239, "" ""),3))), index(split(C1239, "" ""),3),index(split(C1239, "" ""),2)))"),2018.0)</f>
        <v>2018</v>
      </c>
      <c r="U1239" s="38" t="b">
        <f t="shared" si="179"/>
        <v>1</v>
      </c>
      <c r="V1239" s="38"/>
      <c r="W1239" s="40"/>
      <c r="X1239" s="40"/>
      <c r="Y1239" s="40"/>
      <c r="Z1239" s="38"/>
      <c r="AA1239" s="38"/>
      <c r="AB1239" s="38"/>
      <c r="AC1239" s="38"/>
      <c r="AD1239" s="38"/>
      <c r="AE1239" s="38"/>
      <c r="AF1239" s="38"/>
      <c r="AG1239" s="38"/>
      <c r="AH1239" s="38"/>
      <c r="AI1239" s="38"/>
      <c r="AJ1239" s="38"/>
      <c r="AK1239" s="38"/>
      <c r="AL1239" s="38"/>
      <c r="AM1239" s="38"/>
      <c r="AN1239" s="38"/>
      <c r="AO1239" s="38"/>
      <c r="AP1239" s="38"/>
      <c r="AQ1239" s="38"/>
      <c r="AR1239" s="38"/>
      <c r="AS1239" s="38"/>
      <c r="AT1239" s="38"/>
      <c r="AU1239" s="38"/>
      <c r="AV1239" s="38"/>
      <c r="AW1239" s="38"/>
      <c r="AX1239" s="38"/>
      <c r="AY1239" s="38"/>
      <c r="AZ1239" s="38"/>
      <c r="BA1239" s="38"/>
      <c r="BB1239" s="38"/>
      <c r="BC1239" s="38"/>
      <c r="BD1239" s="38"/>
      <c r="BE1239" s="38"/>
      <c r="BF1239" s="38"/>
      <c r="BG1239" s="38"/>
      <c r="BH1239" s="38"/>
      <c r="BI1239" s="38"/>
      <c r="BJ1239" s="38"/>
      <c r="BK1239" s="38"/>
      <c r="BL1239" s="38"/>
      <c r="BM1239" s="38"/>
      <c r="BN1239" s="38"/>
      <c r="BO1239" s="38"/>
      <c r="BP1239" s="38"/>
      <c r="BQ1239" s="38"/>
    </row>
    <row r="1240">
      <c r="A1240" s="58" t="s">
        <v>40</v>
      </c>
      <c r="B1240" s="59">
        <v>43244.0</v>
      </c>
      <c r="C1240" s="59">
        <v>43243.0</v>
      </c>
      <c r="D1240" s="60" t="s">
        <v>3742</v>
      </c>
      <c r="E1240" s="58" t="s">
        <v>41</v>
      </c>
      <c r="F1240" s="58">
        <v>14.0</v>
      </c>
      <c r="G1240" s="58" t="s">
        <v>32</v>
      </c>
      <c r="H1240" s="33">
        <f t="shared" si="185"/>
        <v>1</v>
      </c>
      <c r="I1240" s="58" t="s">
        <v>33</v>
      </c>
      <c r="J1240" s="58" t="s">
        <v>162</v>
      </c>
      <c r="K1240" s="58">
        <v>1.0</v>
      </c>
      <c r="L1240" s="58" t="s">
        <v>52</v>
      </c>
      <c r="M1240" s="61" t="s">
        <v>3744</v>
      </c>
      <c r="N1240" s="77"/>
      <c r="O1240" s="62"/>
      <c r="P1240" s="62"/>
      <c r="Q1240" s="62"/>
      <c r="R1240" s="62"/>
      <c r="S1240" s="37" t="str">
        <f>IFERROR(__xludf.DUMMYFUNCTION("if(not(iserror(index(split(C1240, "" ""),2))), index(split(C1240, "" ""),1),"""")"),"May")</f>
        <v>May</v>
      </c>
      <c r="T1240" s="38">
        <f>IFERROR(__xludf.DUMMYFUNCTION("if(S1240="""",C1240,if(not(iserror(index(split(C1240, "" ""),3))), index(split(C1240, "" ""),3),index(split(C1240, "" ""),2)))"),2018.0)</f>
        <v>2018</v>
      </c>
      <c r="U1240" s="38" t="b">
        <f t="shared" si="179"/>
        <v>1</v>
      </c>
      <c r="V1240" s="38"/>
      <c r="W1240" s="40"/>
      <c r="X1240" s="40"/>
      <c r="Y1240" s="40"/>
      <c r="Z1240" s="38"/>
      <c r="AA1240" s="38"/>
      <c r="AB1240" s="38"/>
      <c r="AC1240" s="38"/>
      <c r="AD1240" s="38"/>
      <c r="AE1240" s="38"/>
      <c r="AF1240" s="38"/>
      <c r="AG1240" s="38"/>
      <c r="AH1240" s="38"/>
      <c r="AI1240" s="38"/>
      <c r="AJ1240" s="38"/>
      <c r="AK1240" s="38"/>
      <c r="AL1240" s="38"/>
      <c r="AM1240" s="38"/>
      <c r="AN1240" s="38"/>
      <c r="AO1240" s="38"/>
      <c r="AP1240" s="38"/>
      <c r="AQ1240" s="38"/>
      <c r="AR1240" s="38"/>
      <c r="AS1240" s="38"/>
      <c r="AT1240" s="38"/>
      <c r="AU1240" s="38"/>
      <c r="AV1240" s="38"/>
      <c r="AW1240" s="38"/>
      <c r="AX1240" s="38"/>
      <c r="AY1240" s="38"/>
      <c r="AZ1240" s="38"/>
      <c r="BA1240" s="38"/>
      <c r="BB1240" s="38"/>
      <c r="BC1240" s="38"/>
      <c r="BD1240" s="38"/>
      <c r="BE1240" s="38"/>
      <c r="BF1240" s="38"/>
      <c r="BG1240" s="38"/>
      <c r="BH1240" s="38"/>
      <c r="BI1240" s="38"/>
      <c r="BJ1240" s="38"/>
      <c r="BK1240" s="38"/>
      <c r="BL1240" s="38"/>
      <c r="BM1240" s="38"/>
      <c r="BN1240" s="38"/>
      <c r="BO1240" s="38"/>
      <c r="BP1240" s="38"/>
      <c r="BQ1240" s="38"/>
    </row>
    <row r="1241">
      <c r="A1241" s="58" t="s">
        <v>239</v>
      </c>
      <c r="B1241" s="59">
        <v>43245.0</v>
      </c>
      <c r="C1241" s="59">
        <v>43243.0</v>
      </c>
      <c r="D1241" s="60" t="s">
        <v>3742</v>
      </c>
      <c r="E1241" s="58" t="s">
        <v>41</v>
      </c>
      <c r="F1241" s="58">
        <v>1.0</v>
      </c>
      <c r="G1241" s="58" t="s">
        <v>32</v>
      </c>
      <c r="H1241" s="33">
        <f t="shared" si="185"/>
        <v>1</v>
      </c>
      <c r="I1241" s="58" t="s">
        <v>33</v>
      </c>
      <c r="J1241" s="58" t="s">
        <v>147</v>
      </c>
      <c r="K1241" s="58">
        <v>4.0</v>
      </c>
      <c r="L1241" s="58" t="s">
        <v>194</v>
      </c>
      <c r="M1241" s="61" t="s">
        <v>3745</v>
      </c>
      <c r="N1241" s="77"/>
      <c r="O1241" s="62"/>
      <c r="P1241" s="62"/>
      <c r="Q1241" s="62"/>
      <c r="R1241" s="62"/>
      <c r="S1241" s="37" t="str">
        <f>IFERROR(__xludf.DUMMYFUNCTION("if(not(iserror(index(split(C1241, "" ""),2))), index(split(C1241, "" ""),1),"""")"),"May")</f>
        <v>May</v>
      </c>
      <c r="T1241" s="38">
        <f>IFERROR(__xludf.DUMMYFUNCTION("if(S1241="""",C1241,if(not(iserror(index(split(C1241, "" ""),3))), index(split(C1241, "" ""),3),index(split(C1241, "" ""),2)))"),2018.0)</f>
        <v>2018</v>
      </c>
      <c r="U1241" s="38" t="b">
        <f t="shared" si="179"/>
        <v>1</v>
      </c>
      <c r="V1241" s="38"/>
      <c r="W1241" s="40"/>
      <c r="X1241" s="40"/>
      <c r="Y1241" s="40"/>
      <c r="Z1241" s="38"/>
      <c r="AA1241" s="38"/>
      <c r="AB1241" s="38"/>
      <c r="AC1241" s="38"/>
      <c r="AD1241" s="38"/>
      <c r="AE1241" s="38"/>
      <c r="AF1241" s="38"/>
      <c r="AG1241" s="38"/>
      <c r="AH1241" s="38"/>
      <c r="AI1241" s="38"/>
      <c r="AJ1241" s="38"/>
      <c r="AK1241" s="38"/>
      <c r="AL1241" s="38"/>
      <c r="AM1241" s="38"/>
      <c r="AN1241" s="38"/>
      <c r="AO1241" s="38"/>
      <c r="AP1241" s="38"/>
      <c r="AQ1241" s="38"/>
      <c r="AR1241" s="38"/>
      <c r="AS1241" s="38"/>
      <c r="AT1241" s="38"/>
      <c r="AU1241" s="38"/>
      <c r="AV1241" s="38"/>
      <c r="AW1241" s="38"/>
      <c r="AX1241" s="38"/>
      <c r="AY1241" s="38"/>
      <c r="AZ1241" s="38"/>
      <c r="BA1241" s="38"/>
      <c r="BB1241" s="38"/>
      <c r="BC1241" s="38"/>
      <c r="BD1241" s="38"/>
      <c r="BE1241" s="38"/>
      <c r="BF1241" s="38"/>
      <c r="BG1241" s="38"/>
      <c r="BH1241" s="38"/>
      <c r="BI1241" s="38"/>
      <c r="BJ1241" s="38"/>
      <c r="BK1241" s="38"/>
      <c r="BL1241" s="38"/>
      <c r="BM1241" s="38"/>
      <c r="BN1241" s="38"/>
      <c r="BO1241" s="38"/>
      <c r="BP1241" s="38"/>
      <c r="BQ1241" s="38"/>
    </row>
    <row r="1242">
      <c r="A1242" s="58" t="s">
        <v>3746</v>
      </c>
      <c r="B1242" s="59">
        <v>43320.0</v>
      </c>
      <c r="C1242" s="59">
        <v>43243.0</v>
      </c>
      <c r="D1242" s="60" t="s">
        <v>3742</v>
      </c>
      <c r="E1242" s="58" t="s">
        <v>31</v>
      </c>
      <c r="F1242" s="58">
        <v>1.0</v>
      </c>
      <c r="G1242" s="58" t="s">
        <v>32</v>
      </c>
      <c r="H1242" s="33">
        <f t="shared" si="185"/>
        <v>1</v>
      </c>
      <c r="I1242" s="58" t="s">
        <v>33</v>
      </c>
      <c r="J1242" s="58" t="s">
        <v>75</v>
      </c>
      <c r="K1242" s="58" t="s">
        <v>32</v>
      </c>
      <c r="L1242" s="58" t="s">
        <v>349</v>
      </c>
      <c r="M1242" s="61" t="s">
        <v>3747</v>
      </c>
      <c r="N1242" s="77"/>
      <c r="O1242" s="62"/>
      <c r="P1242" s="62"/>
      <c r="Q1242" s="62"/>
      <c r="R1242" s="62"/>
      <c r="S1242" s="37" t="str">
        <f>IFERROR(__xludf.DUMMYFUNCTION("if(not(iserror(index(split(C1242, "" ""),2))), index(split(C1242, "" ""),1),"""")"),"May")</f>
        <v>May</v>
      </c>
      <c r="T1242" s="38">
        <f>IFERROR(__xludf.DUMMYFUNCTION("if(S1242="""",C1242,if(not(iserror(index(split(C1242, "" ""),3))), index(split(C1242, "" ""),3),index(split(C1242, "" ""),2)))"),2018.0)</f>
        <v>2018</v>
      </c>
      <c r="U1242" s="38" t="b">
        <f t="shared" si="179"/>
        <v>0</v>
      </c>
      <c r="V1242" s="38"/>
      <c r="W1242" s="40"/>
      <c r="X1242" s="40"/>
      <c r="Y1242" s="40"/>
      <c r="Z1242" s="38"/>
      <c r="AA1242" s="38"/>
      <c r="AB1242" s="38"/>
      <c r="AC1242" s="38"/>
      <c r="AD1242" s="38"/>
      <c r="AE1242" s="38"/>
      <c r="AF1242" s="38"/>
      <c r="AG1242" s="38"/>
      <c r="AH1242" s="38"/>
      <c r="AI1242" s="38"/>
      <c r="AJ1242" s="38"/>
      <c r="AK1242" s="38"/>
      <c r="AL1242" s="38"/>
      <c r="AM1242" s="38"/>
      <c r="AN1242" s="38"/>
      <c r="AO1242" s="38"/>
      <c r="AP1242" s="38"/>
      <c r="AQ1242" s="38"/>
      <c r="AR1242" s="38"/>
      <c r="AS1242" s="38"/>
      <c r="AT1242" s="38"/>
      <c r="AU1242" s="38"/>
      <c r="AV1242" s="38"/>
      <c r="AW1242" s="38"/>
      <c r="AX1242" s="38"/>
      <c r="AY1242" s="38"/>
      <c r="AZ1242" s="38"/>
      <c r="BA1242" s="38"/>
      <c r="BB1242" s="38"/>
      <c r="BC1242" s="38"/>
      <c r="BD1242" s="38"/>
      <c r="BE1242" s="38"/>
      <c r="BF1242" s="38"/>
      <c r="BG1242" s="38"/>
      <c r="BH1242" s="38"/>
      <c r="BI1242" s="38"/>
      <c r="BJ1242" s="38"/>
      <c r="BK1242" s="38"/>
      <c r="BL1242" s="38"/>
      <c r="BM1242" s="38"/>
      <c r="BN1242" s="38"/>
      <c r="BO1242" s="38"/>
      <c r="BP1242" s="38"/>
      <c r="BQ1242" s="38"/>
    </row>
    <row r="1243">
      <c r="A1243" s="37" t="s">
        <v>3748</v>
      </c>
      <c r="B1243" s="59">
        <v>43244.0</v>
      </c>
      <c r="C1243" s="59">
        <v>43244.0</v>
      </c>
      <c r="D1243" s="60" t="s">
        <v>3112</v>
      </c>
      <c r="E1243" s="58" t="s">
        <v>41</v>
      </c>
      <c r="F1243" s="58">
        <v>2.0</v>
      </c>
      <c r="G1243" s="58" t="s">
        <v>32</v>
      </c>
      <c r="H1243" s="33">
        <f t="shared" si="185"/>
        <v>1</v>
      </c>
      <c r="I1243" s="58" t="s">
        <v>33</v>
      </c>
      <c r="J1243" s="58" t="s">
        <v>115</v>
      </c>
      <c r="K1243" s="58">
        <v>1.0</v>
      </c>
      <c r="L1243" s="58" t="s">
        <v>52</v>
      </c>
      <c r="M1243" s="61" t="s">
        <v>3749</v>
      </c>
      <c r="N1243" s="61" t="s">
        <v>3750</v>
      </c>
      <c r="O1243" s="83" t="str">
        <f>hyperlink("https://bad-boys.us/?q=ED-PA/2:18-mj-00685", "ED-PA 2:18-mj-00685")</f>
        <v>ED-PA 2:18-mj-00685</v>
      </c>
      <c r="P1243" s="88" t="s">
        <v>3751</v>
      </c>
      <c r="Q1243" s="58">
        <v>1.0</v>
      </c>
      <c r="R1243" s="62"/>
      <c r="S1243" s="37" t="str">
        <f>IFERROR(__xludf.DUMMYFUNCTION("if(not(iserror(index(split(C1243, "" ""),2))), index(split(C1243, "" ""),1),"""")"),"May")</f>
        <v>May</v>
      </c>
      <c r="T1243" s="38">
        <f>IFERROR(__xludf.DUMMYFUNCTION("if(S1243="""",C1243,if(not(iserror(index(split(C1243, "" ""),3))), index(split(C1243, "" ""),3),index(split(C1243, "" ""),2)))"),2018.0)</f>
        <v>2018</v>
      </c>
      <c r="U1243" s="38" t="b">
        <f t="shared" si="179"/>
        <v>0</v>
      </c>
      <c r="V1243" s="38"/>
      <c r="W1243" s="40"/>
      <c r="X1243" s="40"/>
      <c r="Y1243" s="40"/>
      <c r="Z1243" s="38"/>
      <c r="AA1243" s="38"/>
      <c r="AB1243" s="38"/>
      <c r="AC1243" s="38"/>
      <c r="AD1243" s="38"/>
      <c r="AE1243" s="38"/>
      <c r="AF1243" s="38"/>
      <c r="AG1243" s="38"/>
      <c r="AH1243" s="38"/>
      <c r="AI1243" s="38"/>
      <c r="AJ1243" s="38"/>
      <c r="AK1243" s="38"/>
      <c r="AL1243" s="38"/>
      <c r="AM1243" s="38"/>
      <c r="AN1243" s="38"/>
      <c r="AO1243" s="38"/>
      <c r="AP1243" s="38"/>
      <c r="AQ1243" s="38"/>
      <c r="AR1243" s="38"/>
      <c r="AS1243" s="38"/>
      <c r="AT1243" s="38"/>
      <c r="AU1243" s="38"/>
      <c r="AV1243" s="38"/>
      <c r="AW1243" s="38"/>
      <c r="AX1243" s="38"/>
      <c r="AY1243" s="38"/>
      <c r="AZ1243" s="38"/>
      <c r="BA1243" s="38"/>
      <c r="BB1243" s="38"/>
      <c r="BC1243" s="38"/>
      <c r="BD1243" s="38"/>
      <c r="BE1243" s="38"/>
      <c r="BF1243" s="38"/>
      <c r="BG1243" s="38"/>
      <c r="BH1243" s="38"/>
      <c r="BI1243" s="38"/>
      <c r="BJ1243" s="38"/>
      <c r="BK1243" s="38"/>
      <c r="BL1243" s="38"/>
      <c r="BM1243" s="38"/>
      <c r="BN1243" s="38"/>
      <c r="BO1243" s="38"/>
      <c r="BP1243" s="38"/>
      <c r="BQ1243" s="38"/>
    </row>
    <row r="1244">
      <c r="A1244" s="58" t="s">
        <v>3752</v>
      </c>
      <c r="B1244" s="59">
        <v>43249.0</v>
      </c>
      <c r="C1244" s="59">
        <v>43244.0</v>
      </c>
      <c r="D1244" s="60" t="s">
        <v>3112</v>
      </c>
      <c r="E1244" s="58" t="s">
        <v>31</v>
      </c>
      <c r="F1244" s="58">
        <v>1.0</v>
      </c>
      <c r="G1244" s="58" t="s">
        <v>32</v>
      </c>
      <c r="H1244" s="33">
        <f t="shared" si="185"/>
        <v>1</v>
      </c>
      <c r="I1244" s="58" t="s">
        <v>33</v>
      </c>
      <c r="J1244" s="58" t="s">
        <v>111</v>
      </c>
      <c r="K1244" s="58">
        <v>1.0</v>
      </c>
      <c r="L1244" s="58" t="s">
        <v>52</v>
      </c>
      <c r="M1244" s="35" t="s">
        <v>3753</v>
      </c>
      <c r="N1244" s="77"/>
      <c r="O1244" s="58"/>
      <c r="P1244" s="58"/>
      <c r="Q1244" s="84"/>
      <c r="R1244" s="62"/>
      <c r="S1244" s="37" t="str">
        <f>IFERROR(__xludf.DUMMYFUNCTION("if(not(iserror(index(split(C1244, "" ""),2))), index(split(C1244, "" ""),1),"""")"),"May")</f>
        <v>May</v>
      </c>
      <c r="T1244" s="38">
        <f>IFERROR(__xludf.DUMMYFUNCTION("if(S1244="""",C1244,if(not(iserror(index(split(C1244, "" ""),3))), index(split(C1244, "" ""),3),index(split(C1244, "" ""),2)))"),2018.0)</f>
        <v>2018</v>
      </c>
      <c r="U1244" s="38" t="b">
        <f t="shared" si="179"/>
        <v>0</v>
      </c>
      <c r="V1244" s="38"/>
      <c r="W1244" s="40"/>
      <c r="X1244" s="40"/>
      <c r="Y1244" s="40"/>
      <c r="Z1244" s="38"/>
      <c r="AA1244" s="38"/>
      <c r="AB1244" s="38"/>
      <c r="AC1244" s="38"/>
      <c r="AD1244" s="38"/>
      <c r="AE1244" s="38"/>
      <c r="AF1244" s="38"/>
      <c r="AG1244" s="38"/>
      <c r="AH1244" s="38"/>
      <c r="AI1244" s="38"/>
      <c r="AJ1244" s="38"/>
      <c r="AK1244" s="38"/>
      <c r="AL1244" s="38"/>
      <c r="AM1244" s="38"/>
      <c r="AN1244" s="38"/>
      <c r="AO1244" s="38"/>
      <c r="AP1244" s="38"/>
      <c r="AQ1244" s="38"/>
      <c r="AR1244" s="38"/>
      <c r="AS1244" s="38"/>
      <c r="AT1244" s="38"/>
      <c r="AU1244" s="38"/>
      <c r="AV1244" s="38"/>
      <c r="AW1244" s="38"/>
      <c r="AX1244" s="38"/>
      <c r="AY1244" s="38"/>
      <c r="AZ1244" s="38"/>
      <c r="BA1244" s="38"/>
      <c r="BB1244" s="38"/>
      <c r="BC1244" s="38"/>
      <c r="BD1244" s="38"/>
      <c r="BE1244" s="38"/>
      <c r="BF1244" s="38"/>
      <c r="BG1244" s="38"/>
      <c r="BH1244" s="38"/>
      <c r="BI1244" s="38"/>
      <c r="BJ1244" s="38"/>
      <c r="BK1244" s="38"/>
      <c r="BL1244" s="38"/>
      <c r="BM1244" s="38"/>
      <c r="BN1244" s="38"/>
      <c r="BO1244" s="38"/>
      <c r="BP1244" s="38"/>
      <c r="BQ1244" s="38"/>
    </row>
    <row r="1245">
      <c r="A1245" s="58" t="s">
        <v>3754</v>
      </c>
      <c r="B1245" s="59"/>
      <c r="C1245" s="59">
        <v>43244.0</v>
      </c>
      <c r="D1245" s="60"/>
      <c r="E1245" s="58" t="s">
        <v>41</v>
      </c>
      <c r="F1245" s="58">
        <v>1.0</v>
      </c>
      <c r="G1245" s="58" t="s">
        <v>32</v>
      </c>
      <c r="H1245" s="43">
        <v>1.0</v>
      </c>
      <c r="I1245" s="58" t="s">
        <v>33</v>
      </c>
      <c r="J1245" s="58" t="s">
        <v>47</v>
      </c>
      <c r="K1245" s="58"/>
      <c r="L1245" s="58" t="s">
        <v>76</v>
      </c>
      <c r="M1245" s="35" t="s">
        <v>3755</v>
      </c>
      <c r="N1245" s="77"/>
      <c r="O1245" s="58"/>
      <c r="P1245" s="58"/>
      <c r="Q1245" s="58"/>
      <c r="R1245" s="62"/>
      <c r="S1245" s="37"/>
      <c r="T1245" s="38"/>
      <c r="U1245" s="38" t="b">
        <f t="shared" si="179"/>
        <v>0</v>
      </c>
      <c r="V1245" s="38" t="s">
        <v>33</v>
      </c>
      <c r="W1245" s="40"/>
      <c r="X1245" s="40"/>
      <c r="Y1245" s="40"/>
      <c r="Z1245" s="38"/>
      <c r="AA1245" s="38"/>
      <c r="AB1245" s="38"/>
      <c r="AC1245" s="38"/>
      <c r="AD1245" s="38"/>
      <c r="AE1245" s="38"/>
      <c r="AF1245" s="38"/>
      <c r="AG1245" s="38"/>
      <c r="AH1245" s="38"/>
      <c r="AI1245" s="38"/>
      <c r="AJ1245" s="38"/>
      <c r="AK1245" s="38"/>
      <c r="AL1245" s="38"/>
      <c r="AM1245" s="38"/>
      <c r="AN1245" s="38"/>
      <c r="AO1245" s="38"/>
      <c r="AP1245" s="38"/>
      <c r="AQ1245" s="38"/>
      <c r="AR1245" s="38"/>
      <c r="AS1245" s="38"/>
      <c r="AT1245" s="38"/>
      <c r="AU1245" s="38"/>
      <c r="AV1245" s="38"/>
      <c r="AW1245" s="38"/>
      <c r="AX1245" s="38"/>
      <c r="AY1245" s="38"/>
      <c r="AZ1245" s="38"/>
      <c r="BA1245" s="38"/>
      <c r="BB1245" s="38"/>
      <c r="BC1245" s="38"/>
      <c r="BD1245" s="38"/>
      <c r="BE1245" s="38"/>
      <c r="BF1245" s="38"/>
      <c r="BG1245" s="38"/>
      <c r="BH1245" s="38"/>
      <c r="BI1245" s="38"/>
      <c r="BJ1245" s="38"/>
      <c r="BK1245" s="38"/>
      <c r="BL1245" s="38"/>
      <c r="BM1245" s="38"/>
      <c r="BN1245" s="38"/>
      <c r="BO1245" s="38"/>
      <c r="BP1245" s="38"/>
      <c r="BQ1245" s="38"/>
    </row>
    <row r="1246">
      <c r="A1246" s="58" t="s">
        <v>3756</v>
      </c>
      <c r="B1246" s="59">
        <v>43250.0</v>
      </c>
      <c r="C1246" s="59">
        <v>43244.0</v>
      </c>
      <c r="D1246" s="60" t="s">
        <v>3112</v>
      </c>
      <c r="E1246" s="58" t="s">
        <v>41</v>
      </c>
      <c r="F1246" s="58">
        <v>1.0</v>
      </c>
      <c r="G1246" s="58" t="s">
        <v>32</v>
      </c>
      <c r="H1246" s="33">
        <f>if(G1246="Unknown",1,G1246)</f>
        <v>1</v>
      </c>
      <c r="I1246" s="58" t="s">
        <v>33</v>
      </c>
      <c r="J1246" s="58" t="s">
        <v>111</v>
      </c>
      <c r="K1246" s="58">
        <v>1.0</v>
      </c>
      <c r="L1246" s="58" t="s">
        <v>119</v>
      </c>
      <c r="M1246" s="35" t="s">
        <v>3757</v>
      </c>
      <c r="N1246" s="77"/>
      <c r="O1246" s="83" t="str">
        <f>hyperlink("https://bad-boys.us/?q=ED-CA/2:18-cr-00100", "ED-CA 2:18-cr-00100")</f>
        <v>ED-CA 2:18-cr-00100</v>
      </c>
      <c r="P1246" s="88" t="s">
        <v>3758</v>
      </c>
      <c r="Q1246" s="58">
        <v>1.0</v>
      </c>
      <c r="R1246" s="62"/>
      <c r="S1246" s="37" t="str">
        <f>IFERROR(__xludf.DUMMYFUNCTION("if(not(iserror(index(split(C1246, "" ""),2))), index(split(C1246, "" ""),1),"""")"),"May")</f>
        <v>May</v>
      </c>
      <c r="T1246" s="38">
        <f>IFERROR(__xludf.DUMMYFUNCTION("if(S1246="""",C1246,if(not(iserror(index(split(C1246, "" ""),3))), index(split(C1246, "" ""),3),index(split(C1246, "" ""),2)))"),2018.0)</f>
        <v>2018</v>
      </c>
      <c r="U1246" s="38" t="b">
        <f t="shared" si="179"/>
        <v>0</v>
      </c>
      <c r="V1246" s="38"/>
      <c r="W1246" s="40"/>
      <c r="X1246" s="40"/>
      <c r="Y1246" s="40"/>
      <c r="Z1246" s="38"/>
      <c r="AA1246" s="38"/>
      <c r="AB1246" s="38"/>
      <c r="AC1246" s="38"/>
      <c r="AD1246" s="38"/>
      <c r="AE1246" s="38"/>
      <c r="AF1246" s="38"/>
      <c r="AG1246" s="38"/>
      <c r="AH1246" s="38"/>
      <c r="AI1246" s="38"/>
      <c r="AJ1246" s="38"/>
      <c r="AK1246" s="38"/>
      <c r="AL1246" s="38"/>
      <c r="AM1246" s="38"/>
      <c r="AN1246" s="38"/>
      <c r="AO1246" s="38"/>
      <c r="AP1246" s="38"/>
      <c r="AQ1246" s="38"/>
      <c r="AR1246" s="38"/>
      <c r="AS1246" s="38"/>
      <c r="AT1246" s="38"/>
      <c r="AU1246" s="38"/>
      <c r="AV1246" s="38"/>
      <c r="AW1246" s="38"/>
      <c r="AX1246" s="38"/>
      <c r="AY1246" s="38"/>
      <c r="AZ1246" s="38"/>
      <c r="BA1246" s="38"/>
      <c r="BB1246" s="38"/>
      <c r="BC1246" s="38"/>
      <c r="BD1246" s="38"/>
      <c r="BE1246" s="38"/>
      <c r="BF1246" s="38"/>
      <c r="BG1246" s="38"/>
      <c r="BH1246" s="38"/>
      <c r="BI1246" s="38"/>
      <c r="BJ1246" s="38"/>
      <c r="BK1246" s="38"/>
      <c r="BL1246" s="38"/>
      <c r="BM1246" s="38"/>
      <c r="BN1246" s="38"/>
      <c r="BO1246" s="38"/>
      <c r="BP1246" s="38"/>
      <c r="BQ1246" s="38"/>
    </row>
    <row r="1247">
      <c r="A1247" s="58" t="s">
        <v>3759</v>
      </c>
      <c r="B1247" s="59"/>
      <c r="C1247" s="59">
        <v>43244.0</v>
      </c>
      <c r="D1247" s="60"/>
      <c r="E1247" s="58" t="s">
        <v>41</v>
      </c>
      <c r="F1247" s="58">
        <v>1.0</v>
      </c>
      <c r="G1247" s="58">
        <v>1.0</v>
      </c>
      <c r="H1247" s="43">
        <v>1.0</v>
      </c>
      <c r="I1247" s="58" t="s">
        <v>33</v>
      </c>
      <c r="J1247" s="58" t="s">
        <v>172</v>
      </c>
      <c r="K1247" s="58"/>
      <c r="L1247" s="58" t="s">
        <v>646</v>
      </c>
      <c r="M1247" s="61" t="s">
        <v>3760</v>
      </c>
      <c r="N1247" s="77"/>
      <c r="O1247" s="62"/>
      <c r="P1247" s="62"/>
      <c r="Q1247" s="58"/>
      <c r="R1247" s="62"/>
      <c r="S1247" s="37"/>
      <c r="T1247" s="38"/>
      <c r="U1247" s="38" t="b">
        <f t="shared" si="179"/>
        <v>0</v>
      </c>
      <c r="V1247" s="38" t="s">
        <v>33</v>
      </c>
      <c r="W1247" s="40"/>
      <c r="X1247" s="40"/>
      <c r="Y1247" s="40"/>
      <c r="Z1247" s="38"/>
      <c r="AA1247" s="38"/>
      <c r="AB1247" s="38"/>
      <c r="AC1247" s="38"/>
      <c r="AD1247" s="38"/>
      <c r="AE1247" s="38"/>
      <c r="AF1247" s="38"/>
      <c r="AG1247" s="38"/>
      <c r="AH1247" s="38"/>
      <c r="AI1247" s="38"/>
      <c r="AJ1247" s="38"/>
      <c r="AK1247" s="38"/>
      <c r="AL1247" s="38"/>
      <c r="AM1247" s="38"/>
      <c r="AN1247" s="38"/>
      <c r="AO1247" s="38"/>
      <c r="AP1247" s="38"/>
      <c r="AQ1247" s="38"/>
      <c r="AR1247" s="38"/>
      <c r="AS1247" s="38"/>
      <c r="AT1247" s="38"/>
      <c r="AU1247" s="38"/>
      <c r="AV1247" s="38"/>
      <c r="AW1247" s="38"/>
      <c r="AX1247" s="38"/>
      <c r="AY1247" s="38"/>
      <c r="AZ1247" s="38"/>
      <c r="BA1247" s="38"/>
      <c r="BB1247" s="38"/>
      <c r="BC1247" s="38"/>
      <c r="BD1247" s="38"/>
      <c r="BE1247" s="38"/>
      <c r="BF1247" s="38"/>
      <c r="BG1247" s="38"/>
      <c r="BH1247" s="38"/>
      <c r="BI1247" s="38"/>
      <c r="BJ1247" s="38"/>
      <c r="BK1247" s="38"/>
      <c r="BL1247" s="38"/>
      <c r="BM1247" s="38"/>
      <c r="BN1247" s="38"/>
      <c r="BO1247" s="38"/>
      <c r="BP1247" s="38"/>
      <c r="BQ1247" s="38"/>
    </row>
    <row r="1248">
      <c r="A1248" s="58" t="s">
        <v>239</v>
      </c>
      <c r="B1248" s="59">
        <v>43245.0</v>
      </c>
      <c r="C1248" s="59">
        <v>43245.0</v>
      </c>
      <c r="D1248" s="60" t="s">
        <v>3114</v>
      </c>
      <c r="E1248" s="58" t="s">
        <v>41</v>
      </c>
      <c r="F1248" s="58">
        <v>1.0</v>
      </c>
      <c r="G1248" s="58" t="s">
        <v>32</v>
      </c>
      <c r="H1248" s="33">
        <f t="shared" ref="H1248:H1255" si="186">if(G1248="Unknown",1,G1248)</f>
        <v>1</v>
      </c>
      <c r="I1248" s="58" t="s">
        <v>33</v>
      </c>
      <c r="J1248" s="58" t="s">
        <v>222</v>
      </c>
      <c r="K1248" s="58">
        <v>1.0</v>
      </c>
      <c r="L1248" s="58" t="s">
        <v>52</v>
      </c>
      <c r="M1248" s="61" t="s">
        <v>3761</v>
      </c>
      <c r="N1248" s="77"/>
      <c r="O1248" s="62"/>
      <c r="P1248" s="62"/>
      <c r="Q1248" s="62"/>
      <c r="R1248" s="62"/>
      <c r="S1248" s="37" t="str">
        <f>IFERROR(__xludf.DUMMYFUNCTION("if(not(iserror(index(split(C1248, "" ""),2))), index(split(C1248, "" ""),1),"""")"),"May")</f>
        <v>May</v>
      </c>
      <c r="T1248" s="38">
        <f>IFERROR(__xludf.DUMMYFUNCTION("if(S1248="""",C1248,if(not(iserror(index(split(C1248, "" ""),3))), index(split(C1248, "" ""),3),index(split(C1248, "" ""),2)))"),2018.0)</f>
        <v>2018</v>
      </c>
      <c r="U1248" s="38" t="b">
        <f t="shared" si="179"/>
        <v>1</v>
      </c>
      <c r="V1248" s="38"/>
      <c r="W1248" s="40"/>
      <c r="X1248" s="40"/>
      <c r="Y1248" s="40"/>
      <c r="Z1248" s="38"/>
      <c r="AA1248" s="38"/>
      <c r="AB1248" s="38"/>
      <c r="AC1248" s="38"/>
      <c r="AD1248" s="38"/>
      <c r="AE1248" s="38"/>
      <c r="AF1248" s="38"/>
      <c r="AG1248" s="38"/>
      <c r="AH1248" s="38"/>
      <c r="AI1248" s="38"/>
      <c r="AJ1248" s="38"/>
      <c r="AK1248" s="38"/>
      <c r="AL1248" s="38"/>
      <c r="AM1248" s="38"/>
      <c r="AN1248" s="38"/>
      <c r="AO1248" s="38"/>
      <c r="AP1248" s="38"/>
      <c r="AQ1248" s="38"/>
      <c r="AR1248" s="38"/>
      <c r="AS1248" s="38"/>
      <c r="AT1248" s="38"/>
      <c r="AU1248" s="38"/>
      <c r="AV1248" s="38"/>
      <c r="AW1248" s="38"/>
      <c r="AX1248" s="38"/>
      <c r="AY1248" s="38"/>
      <c r="AZ1248" s="38"/>
      <c r="BA1248" s="38"/>
      <c r="BB1248" s="38"/>
      <c r="BC1248" s="38"/>
      <c r="BD1248" s="38"/>
      <c r="BE1248" s="38"/>
      <c r="BF1248" s="38"/>
      <c r="BG1248" s="38"/>
      <c r="BH1248" s="38"/>
      <c r="BI1248" s="38"/>
      <c r="BJ1248" s="38"/>
      <c r="BK1248" s="38"/>
      <c r="BL1248" s="38"/>
      <c r="BM1248" s="38"/>
      <c r="BN1248" s="38"/>
      <c r="BO1248" s="38"/>
      <c r="BP1248" s="38"/>
      <c r="BQ1248" s="38"/>
    </row>
    <row r="1249">
      <c r="A1249" s="58" t="s">
        <v>40</v>
      </c>
      <c r="B1249" s="59">
        <v>43247.0</v>
      </c>
      <c r="C1249" s="59">
        <v>43245.0</v>
      </c>
      <c r="D1249" s="60" t="s">
        <v>3762</v>
      </c>
      <c r="E1249" s="58" t="s">
        <v>41</v>
      </c>
      <c r="F1249" s="58">
        <v>10.0</v>
      </c>
      <c r="G1249" s="58" t="s">
        <v>32</v>
      </c>
      <c r="H1249" s="33">
        <f t="shared" si="186"/>
        <v>1</v>
      </c>
      <c r="I1249" s="58" t="s">
        <v>33</v>
      </c>
      <c r="J1249" s="58" t="s">
        <v>47</v>
      </c>
      <c r="K1249" s="58">
        <v>1.0</v>
      </c>
      <c r="L1249" s="58" t="s">
        <v>2942</v>
      </c>
      <c r="M1249" s="61" t="s">
        <v>3763</v>
      </c>
      <c r="N1249" s="77"/>
      <c r="O1249" s="62"/>
      <c r="P1249" s="62"/>
      <c r="Q1249" s="62"/>
      <c r="R1249" s="62"/>
      <c r="S1249" s="37" t="str">
        <f>IFERROR(__xludf.DUMMYFUNCTION("if(not(iserror(index(split(C1249, "" ""),2))), index(split(C1249, "" ""),1),"""")"),"May")</f>
        <v>May</v>
      </c>
      <c r="T1249" s="38">
        <f>IFERROR(__xludf.DUMMYFUNCTION("if(S1249="""",C1249,if(not(iserror(index(split(C1249, "" ""),3))), index(split(C1249, "" ""),3),index(split(C1249, "" ""),2)))"),2018.0)</f>
        <v>2018</v>
      </c>
      <c r="U1249" s="38" t="b">
        <f t="shared" si="179"/>
        <v>1</v>
      </c>
      <c r="V1249" s="38"/>
      <c r="W1249" s="40"/>
      <c r="X1249" s="40"/>
      <c r="Y1249" s="40"/>
      <c r="Z1249" s="38"/>
      <c r="AA1249" s="38"/>
      <c r="AB1249" s="38"/>
      <c r="AC1249" s="38"/>
      <c r="AD1249" s="38"/>
      <c r="AE1249" s="38"/>
      <c r="AF1249" s="38"/>
      <c r="AG1249" s="38"/>
      <c r="AH1249" s="38"/>
      <c r="AI1249" s="38"/>
      <c r="AJ1249" s="38"/>
      <c r="AK1249" s="38"/>
      <c r="AL1249" s="38"/>
      <c r="AM1249" s="38"/>
      <c r="AN1249" s="38"/>
      <c r="AO1249" s="38"/>
      <c r="AP1249" s="38"/>
      <c r="AQ1249" s="38"/>
      <c r="AR1249" s="38"/>
      <c r="AS1249" s="38"/>
      <c r="AT1249" s="38"/>
      <c r="AU1249" s="38"/>
      <c r="AV1249" s="38"/>
      <c r="AW1249" s="38"/>
      <c r="AX1249" s="38"/>
      <c r="AY1249" s="38"/>
      <c r="AZ1249" s="38"/>
      <c r="BA1249" s="38"/>
      <c r="BB1249" s="38"/>
      <c r="BC1249" s="38"/>
      <c r="BD1249" s="38"/>
      <c r="BE1249" s="38"/>
      <c r="BF1249" s="38"/>
      <c r="BG1249" s="38"/>
      <c r="BH1249" s="38"/>
      <c r="BI1249" s="38"/>
      <c r="BJ1249" s="38"/>
      <c r="BK1249" s="38"/>
      <c r="BL1249" s="38"/>
      <c r="BM1249" s="38"/>
      <c r="BN1249" s="38"/>
      <c r="BO1249" s="38"/>
      <c r="BP1249" s="38"/>
      <c r="BQ1249" s="38"/>
    </row>
    <row r="1250">
      <c r="A1250" s="58" t="s">
        <v>40</v>
      </c>
      <c r="B1250" s="59">
        <v>43246.0</v>
      </c>
      <c r="C1250" s="59">
        <v>43246.0</v>
      </c>
      <c r="D1250" s="60" t="s">
        <v>3762</v>
      </c>
      <c r="E1250" s="58" t="s">
        <v>31</v>
      </c>
      <c r="F1250" s="58">
        <v>3.0</v>
      </c>
      <c r="G1250" s="58" t="s">
        <v>32</v>
      </c>
      <c r="H1250" s="33">
        <f t="shared" si="186"/>
        <v>1</v>
      </c>
      <c r="I1250" s="58" t="s">
        <v>33</v>
      </c>
      <c r="J1250" s="58" t="s">
        <v>47</v>
      </c>
      <c r="K1250" s="58">
        <v>2.0</v>
      </c>
      <c r="L1250" s="58" t="s">
        <v>52</v>
      </c>
      <c r="M1250" s="61" t="s">
        <v>3764</v>
      </c>
      <c r="N1250" s="77"/>
      <c r="O1250" s="62"/>
      <c r="P1250" s="62"/>
      <c r="Q1250" s="62"/>
      <c r="R1250" s="62"/>
      <c r="S1250" s="37" t="str">
        <f>IFERROR(__xludf.DUMMYFUNCTION("if(not(iserror(index(split(C1250, "" ""),2))), index(split(C1250, "" ""),1),"""")"),"May")</f>
        <v>May</v>
      </c>
      <c r="T1250" s="38">
        <f>IFERROR(__xludf.DUMMYFUNCTION("if(S1250="""",C1250,if(not(iserror(index(split(C1250, "" ""),3))), index(split(C1250, "" ""),3),index(split(C1250, "" ""),2)))"),2018.0)</f>
        <v>2018</v>
      </c>
      <c r="U1250" s="38" t="b">
        <f t="shared" si="179"/>
        <v>1</v>
      </c>
      <c r="V1250" s="38"/>
      <c r="W1250" s="40"/>
      <c r="X1250" s="40"/>
      <c r="Y1250" s="40"/>
      <c r="Z1250" s="38"/>
      <c r="AA1250" s="38"/>
      <c r="AB1250" s="38"/>
      <c r="AC1250" s="38"/>
      <c r="AD1250" s="38"/>
      <c r="AE1250" s="38"/>
      <c r="AF1250" s="38"/>
      <c r="AG1250" s="38"/>
      <c r="AH1250" s="38"/>
      <c r="AI1250" s="38"/>
      <c r="AJ1250" s="38"/>
      <c r="AK1250" s="38"/>
      <c r="AL1250" s="38"/>
      <c r="AM1250" s="38"/>
      <c r="AN1250" s="38"/>
      <c r="AO1250" s="38"/>
      <c r="AP1250" s="38"/>
      <c r="AQ1250" s="38"/>
      <c r="AR1250" s="38"/>
      <c r="AS1250" s="38"/>
      <c r="AT1250" s="38"/>
      <c r="AU1250" s="38"/>
      <c r="AV1250" s="38"/>
      <c r="AW1250" s="38"/>
      <c r="AX1250" s="38"/>
      <c r="AY1250" s="38"/>
      <c r="AZ1250" s="38"/>
      <c r="BA1250" s="38"/>
      <c r="BB1250" s="38"/>
      <c r="BC1250" s="38"/>
      <c r="BD1250" s="38"/>
      <c r="BE1250" s="38"/>
      <c r="BF1250" s="38"/>
      <c r="BG1250" s="38"/>
      <c r="BH1250" s="38"/>
      <c r="BI1250" s="38"/>
      <c r="BJ1250" s="38"/>
      <c r="BK1250" s="38"/>
      <c r="BL1250" s="38"/>
      <c r="BM1250" s="38"/>
      <c r="BN1250" s="38"/>
      <c r="BO1250" s="38"/>
      <c r="BP1250" s="38"/>
      <c r="BQ1250" s="38"/>
    </row>
    <row r="1251">
      <c r="A1251" s="58" t="s">
        <v>3765</v>
      </c>
      <c r="B1251" s="59">
        <v>43248.0</v>
      </c>
      <c r="C1251" s="59">
        <v>43246.0</v>
      </c>
      <c r="D1251" s="60" t="s">
        <v>3762</v>
      </c>
      <c r="E1251" s="58" t="s">
        <v>31</v>
      </c>
      <c r="F1251" s="58">
        <v>2.0</v>
      </c>
      <c r="G1251" s="58" t="s">
        <v>32</v>
      </c>
      <c r="H1251" s="33">
        <f t="shared" si="186"/>
        <v>1</v>
      </c>
      <c r="I1251" s="58" t="s">
        <v>33</v>
      </c>
      <c r="J1251" s="58" t="s">
        <v>203</v>
      </c>
      <c r="K1251" s="58">
        <v>1.0</v>
      </c>
      <c r="L1251" s="58" t="s">
        <v>52</v>
      </c>
      <c r="M1251" s="35" t="s">
        <v>3766</v>
      </c>
      <c r="N1251" s="77"/>
      <c r="O1251" s="62"/>
      <c r="P1251" s="62"/>
      <c r="Q1251" s="62"/>
      <c r="R1251" s="62"/>
      <c r="S1251" s="37" t="str">
        <f>IFERROR(__xludf.DUMMYFUNCTION("if(not(iserror(index(split(C1251, "" ""),2))), index(split(C1251, "" ""),1),"""")"),"May")</f>
        <v>May</v>
      </c>
      <c r="T1251" s="38">
        <f>IFERROR(__xludf.DUMMYFUNCTION("if(S1251="""",C1251,if(not(iserror(index(split(C1251, "" ""),3))), index(split(C1251, "" ""),3),index(split(C1251, "" ""),2)))"),2018.0)</f>
        <v>2018</v>
      </c>
      <c r="U1251" s="38" t="b">
        <f t="shared" si="179"/>
        <v>0</v>
      </c>
      <c r="V1251" s="38"/>
      <c r="W1251" s="40"/>
      <c r="X1251" s="40"/>
      <c r="Y1251" s="40"/>
      <c r="Z1251" s="38"/>
      <c r="AA1251" s="38"/>
      <c r="AB1251" s="38"/>
      <c r="AC1251" s="38"/>
      <c r="AD1251" s="38"/>
      <c r="AE1251" s="38"/>
      <c r="AF1251" s="38"/>
      <c r="AG1251" s="38"/>
      <c r="AH1251" s="38"/>
      <c r="AI1251" s="38"/>
      <c r="AJ1251" s="38"/>
      <c r="AK1251" s="38"/>
      <c r="AL1251" s="38"/>
      <c r="AM1251" s="38"/>
      <c r="AN1251" s="38"/>
      <c r="AO1251" s="38"/>
      <c r="AP1251" s="38"/>
      <c r="AQ1251" s="38"/>
      <c r="AR1251" s="38"/>
      <c r="AS1251" s="38"/>
      <c r="AT1251" s="38"/>
      <c r="AU1251" s="38"/>
      <c r="AV1251" s="38"/>
      <c r="AW1251" s="38"/>
      <c r="AX1251" s="38"/>
      <c r="AY1251" s="38"/>
      <c r="AZ1251" s="38"/>
      <c r="BA1251" s="38"/>
      <c r="BB1251" s="38"/>
      <c r="BC1251" s="38"/>
      <c r="BD1251" s="38"/>
      <c r="BE1251" s="38"/>
      <c r="BF1251" s="38"/>
      <c r="BG1251" s="38"/>
      <c r="BH1251" s="38"/>
      <c r="BI1251" s="38"/>
      <c r="BJ1251" s="38"/>
      <c r="BK1251" s="38"/>
      <c r="BL1251" s="38"/>
      <c r="BM1251" s="38"/>
      <c r="BN1251" s="38"/>
      <c r="BO1251" s="38"/>
      <c r="BP1251" s="38"/>
      <c r="BQ1251" s="38"/>
    </row>
    <row r="1252">
      <c r="A1252" s="58" t="s">
        <v>3767</v>
      </c>
      <c r="B1252" s="59">
        <v>43249.0</v>
      </c>
      <c r="C1252" s="59">
        <v>43249.0</v>
      </c>
      <c r="D1252" s="60" t="s">
        <v>3768</v>
      </c>
      <c r="E1252" s="58" t="s">
        <v>41</v>
      </c>
      <c r="F1252" s="58">
        <v>1.0</v>
      </c>
      <c r="G1252" s="58" t="s">
        <v>32</v>
      </c>
      <c r="H1252" s="33">
        <f t="shared" si="186"/>
        <v>1</v>
      </c>
      <c r="I1252" s="58" t="s">
        <v>33</v>
      </c>
      <c r="J1252" s="58" t="s">
        <v>124</v>
      </c>
      <c r="K1252" s="58">
        <v>3.0</v>
      </c>
      <c r="L1252" s="58" t="s">
        <v>76</v>
      </c>
      <c r="M1252" s="56" t="s">
        <v>3769</v>
      </c>
      <c r="N1252" s="35" t="s">
        <v>3770</v>
      </c>
      <c r="O1252" s="83" t="str">
        <f>hyperlink("https://bad-boys.us/?q=SD-OH/3:18-cr-00075", "SD-OH 3:18-cr-00075")</f>
        <v>SD-OH 3:18-cr-00075</v>
      </c>
      <c r="P1252" s="88" t="s">
        <v>3771</v>
      </c>
      <c r="Q1252" s="58">
        <v>1.0</v>
      </c>
      <c r="R1252" s="62"/>
      <c r="S1252" s="37" t="str">
        <f>IFERROR(__xludf.DUMMYFUNCTION("if(not(iserror(index(split(C1252, "" ""),2))), index(split(C1252, "" ""),1),"""")"),"May")</f>
        <v>May</v>
      </c>
      <c r="T1252" s="38">
        <f>IFERROR(__xludf.DUMMYFUNCTION("if(S1252="""",C1252,if(not(iserror(index(split(C1252, "" ""),3))), index(split(C1252, "" ""),3),index(split(C1252, "" ""),2)))"),2018.0)</f>
        <v>2018</v>
      </c>
      <c r="U1252" s="38" t="b">
        <f t="shared" si="179"/>
        <v>0</v>
      </c>
      <c r="V1252" s="38" t="s">
        <v>33</v>
      </c>
      <c r="W1252" s="40"/>
      <c r="X1252" s="40"/>
      <c r="Y1252" s="40"/>
      <c r="Z1252" s="38"/>
      <c r="AA1252" s="38"/>
      <c r="AB1252" s="38"/>
      <c r="AC1252" s="38"/>
      <c r="AD1252" s="38"/>
      <c r="AE1252" s="38"/>
      <c r="AF1252" s="38"/>
      <c r="AG1252" s="38"/>
      <c r="AH1252" s="38"/>
      <c r="AI1252" s="38"/>
      <c r="AJ1252" s="38"/>
      <c r="AK1252" s="38"/>
      <c r="AL1252" s="38"/>
      <c r="AM1252" s="38"/>
      <c r="AN1252" s="38"/>
      <c r="AO1252" s="38"/>
      <c r="AP1252" s="38"/>
      <c r="AQ1252" s="38"/>
      <c r="AR1252" s="38"/>
      <c r="AS1252" s="38"/>
      <c r="AT1252" s="38"/>
      <c r="AU1252" s="38"/>
      <c r="AV1252" s="38"/>
      <c r="AW1252" s="38"/>
      <c r="AX1252" s="38"/>
      <c r="AY1252" s="38"/>
      <c r="AZ1252" s="38"/>
      <c r="BA1252" s="38"/>
      <c r="BB1252" s="38"/>
      <c r="BC1252" s="38"/>
      <c r="BD1252" s="38"/>
      <c r="BE1252" s="38"/>
      <c r="BF1252" s="38"/>
      <c r="BG1252" s="38"/>
      <c r="BH1252" s="38"/>
      <c r="BI1252" s="38"/>
      <c r="BJ1252" s="38"/>
      <c r="BK1252" s="38"/>
      <c r="BL1252" s="38"/>
      <c r="BM1252" s="38"/>
      <c r="BN1252" s="38"/>
      <c r="BO1252" s="38"/>
      <c r="BP1252" s="38"/>
      <c r="BQ1252" s="38"/>
    </row>
    <row r="1253">
      <c r="A1253" s="58" t="s">
        <v>239</v>
      </c>
      <c r="B1253" s="59">
        <v>43251.0</v>
      </c>
      <c r="C1253" s="59">
        <v>43249.0</v>
      </c>
      <c r="D1253" s="60" t="s">
        <v>3768</v>
      </c>
      <c r="E1253" s="58" t="s">
        <v>41</v>
      </c>
      <c r="F1253" s="58">
        <v>3.0</v>
      </c>
      <c r="G1253" s="58">
        <v>26.0</v>
      </c>
      <c r="H1253" s="33">
        <f t="shared" si="186"/>
        <v>26</v>
      </c>
      <c r="I1253" s="58" t="s">
        <v>33</v>
      </c>
      <c r="J1253" s="58" t="s">
        <v>147</v>
      </c>
      <c r="K1253" s="58">
        <v>1.0</v>
      </c>
      <c r="L1253" s="58" t="s">
        <v>194</v>
      </c>
      <c r="M1253" s="35" t="s">
        <v>3772</v>
      </c>
      <c r="N1253" s="77"/>
      <c r="O1253" s="62"/>
      <c r="P1253" s="62"/>
      <c r="Q1253" s="62"/>
      <c r="R1253" s="62"/>
      <c r="S1253" s="37" t="str">
        <f>IFERROR(__xludf.DUMMYFUNCTION("if(not(iserror(index(split(C1253, "" ""),2))), index(split(C1253, "" ""),1),"""")"),"May")</f>
        <v>May</v>
      </c>
      <c r="T1253" s="38">
        <f>IFERROR(__xludf.DUMMYFUNCTION("if(S1253="""",C1253,if(not(iserror(index(split(C1253, "" ""),3))), index(split(C1253, "" ""),3),index(split(C1253, "" ""),2)))"),2018.0)</f>
        <v>2018</v>
      </c>
      <c r="U1253" s="38" t="b">
        <f t="shared" si="179"/>
        <v>1</v>
      </c>
      <c r="V1253" s="38"/>
      <c r="W1253" s="40"/>
      <c r="X1253" s="40"/>
      <c r="Y1253" s="40"/>
      <c r="Z1253" s="38"/>
      <c r="AA1253" s="38"/>
      <c r="AB1253" s="38"/>
      <c r="AC1253" s="38"/>
      <c r="AD1253" s="38"/>
      <c r="AE1253" s="38"/>
      <c r="AF1253" s="38"/>
      <c r="AG1253" s="38"/>
      <c r="AH1253" s="38"/>
      <c r="AI1253" s="38"/>
      <c r="AJ1253" s="38"/>
      <c r="AK1253" s="38"/>
      <c r="AL1253" s="38"/>
      <c r="AM1253" s="38"/>
      <c r="AN1253" s="38"/>
      <c r="AO1253" s="38"/>
      <c r="AP1253" s="38"/>
      <c r="AQ1253" s="38"/>
      <c r="AR1253" s="38"/>
      <c r="AS1253" s="38"/>
      <c r="AT1253" s="38"/>
      <c r="AU1253" s="38"/>
      <c r="AV1253" s="38"/>
      <c r="AW1253" s="38"/>
      <c r="AX1253" s="38"/>
      <c r="AY1253" s="38"/>
      <c r="AZ1253" s="38"/>
      <c r="BA1253" s="38"/>
      <c r="BB1253" s="38"/>
      <c r="BC1253" s="38"/>
      <c r="BD1253" s="38"/>
      <c r="BE1253" s="38"/>
      <c r="BF1253" s="38"/>
      <c r="BG1253" s="38"/>
      <c r="BH1253" s="38"/>
      <c r="BI1253" s="38"/>
      <c r="BJ1253" s="38"/>
      <c r="BK1253" s="38"/>
      <c r="BL1253" s="38"/>
      <c r="BM1253" s="38"/>
      <c r="BN1253" s="38"/>
      <c r="BO1253" s="38"/>
      <c r="BP1253" s="38"/>
      <c r="BQ1253" s="38"/>
    </row>
    <row r="1254">
      <c r="A1254" s="58" t="s">
        <v>3773</v>
      </c>
      <c r="B1254" s="59">
        <v>43251.0</v>
      </c>
      <c r="C1254" s="59">
        <v>43249.0</v>
      </c>
      <c r="D1254" s="60" t="s">
        <v>3768</v>
      </c>
      <c r="E1254" s="58" t="s">
        <v>31</v>
      </c>
      <c r="F1254" s="58">
        <v>1.0</v>
      </c>
      <c r="G1254" s="58" t="s">
        <v>32</v>
      </c>
      <c r="H1254" s="33">
        <f t="shared" si="186"/>
        <v>1</v>
      </c>
      <c r="I1254" s="58" t="s">
        <v>33</v>
      </c>
      <c r="J1254" s="58" t="s">
        <v>111</v>
      </c>
      <c r="K1254" s="58" t="s">
        <v>32</v>
      </c>
      <c r="L1254" s="58" t="s">
        <v>3774</v>
      </c>
      <c r="M1254" s="35" t="s">
        <v>3775</v>
      </c>
      <c r="N1254" s="77"/>
      <c r="O1254" s="62"/>
      <c r="P1254" s="62"/>
      <c r="Q1254" s="62"/>
      <c r="R1254" s="62"/>
      <c r="S1254" s="37" t="str">
        <f>IFERROR(__xludf.DUMMYFUNCTION("if(not(iserror(index(split(C1254, "" ""),2))), index(split(C1254, "" ""),1),"""")"),"May")</f>
        <v>May</v>
      </c>
      <c r="T1254" s="38">
        <f>IFERROR(__xludf.DUMMYFUNCTION("if(S1254="""",C1254,if(not(iserror(index(split(C1254, "" ""),3))), index(split(C1254, "" ""),3),index(split(C1254, "" ""),2)))"),2018.0)</f>
        <v>2018</v>
      </c>
      <c r="U1254" s="38" t="b">
        <f t="shared" si="179"/>
        <v>0</v>
      </c>
      <c r="V1254" s="38"/>
      <c r="W1254" s="40"/>
      <c r="X1254" s="40"/>
      <c r="Y1254" s="40"/>
      <c r="Z1254" s="38"/>
      <c r="AA1254" s="38"/>
      <c r="AB1254" s="38"/>
      <c r="AC1254" s="38"/>
      <c r="AD1254" s="38"/>
      <c r="AE1254" s="38"/>
      <c r="AF1254" s="38"/>
      <c r="AG1254" s="38"/>
      <c r="AH1254" s="38"/>
      <c r="AI1254" s="38"/>
      <c r="AJ1254" s="38"/>
      <c r="AK1254" s="38"/>
      <c r="AL1254" s="38"/>
      <c r="AM1254" s="38"/>
      <c r="AN1254" s="38"/>
      <c r="AO1254" s="38"/>
      <c r="AP1254" s="38"/>
      <c r="AQ1254" s="38"/>
      <c r="AR1254" s="38"/>
      <c r="AS1254" s="38"/>
      <c r="AT1254" s="38"/>
      <c r="AU1254" s="38"/>
      <c r="AV1254" s="38"/>
      <c r="AW1254" s="38"/>
      <c r="AX1254" s="38"/>
      <c r="AY1254" s="38"/>
      <c r="AZ1254" s="38"/>
      <c r="BA1254" s="38"/>
      <c r="BB1254" s="38"/>
      <c r="BC1254" s="38"/>
      <c r="BD1254" s="38"/>
      <c r="BE1254" s="38"/>
      <c r="BF1254" s="38"/>
      <c r="BG1254" s="38"/>
      <c r="BH1254" s="38"/>
      <c r="BI1254" s="38"/>
      <c r="BJ1254" s="38"/>
      <c r="BK1254" s="38"/>
      <c r="BL1254" s="38"/>
      <c r="BM1254" s="38"/>
      <c r="BN1254" s="38"/>
      <c r="BO1254" s="38"/>
      <c r="BP1254" s="38"/>
      <c r="BQ1254" s="38"/>
    </row>
    <row r="1255">
      <c r="A1255" s="58" t="s">
        <v>3776</v>
      </c>
      <c r="B1255" s="59">
        <v>43250.0</v>
      </c>
      <c r="C1255" s="59">
        <v>43250.0</v>
      </c>
      <c r="D1255" s="60" t="s">
        <v>3777</v>
      </c>
      <c r="E1255" s="58" t="s">
        <v>41</v>
      </c>
      <c r="F1255" s="58">
        <v>1.0</v>
      </c>
      <c r="G1255" s="58" t="s">
        <v>32</v>
      </c>
      <c r="H1255" s="33">
        <f t="shared" si="186"/>
        <v>1</v>
      </c>
      <c r="I1255" s="58" t="s">
        <v>33</v>
      </c>
      <c r="J1255" s="58" t="s">
        <v>55</v>
      </c>
      <c r="K1255" s="58">
        <v>1.0</v>
      </c>
      <c r="L1255" s="34" t="s">
        <v>76</v>
      </c>
      <c r="M1255" s="35" t="s">
        <v>3778</v>
      </c>
      <c r="N1255" s="77"/>
      <c r="O1255" s="88" t="str">
        <f>hyperlink("https://bad-boys.us/?q=D-NJ/2:18-mj-08057", "D-NJ 2:18-mj-08057")</f>
        <v>D-NJ 2:18-mj-08057</v>
      </c>
      <c r="P1255" s="88" t="s">
        <v>3779</v>
      </c>
      <c r="Q1255" s="58">
        <v>1.0</v>
      </c>
      <c r="R1255" s="62"/>
      <c r="S1255" s="37" t="str">
        <f>IFERROR(__xludf.DUMMYFUNCTION("if(not(iserror(index(split(C1255, "" ""),2))), index(split(C1255, "" ""),1),"""")"),"May")</f>
        <v>May</v>
      </c>
      <c r="T1255" s="38">
        <f>IFERROR(__xludf.DUMMYFUNCTION("if(S1255="""",C1255,if(not(iserror(index(split(C1255, "" ""),3))), index(split(C1255, "" ""),3),index(split(C1255, "" ""),2)))"),2018.0)</f>
        <v>2018</v>
      </c>
      <c r="U1255" s="38" t="b">
        <f t="shared" si="179"/>
        <v>0</v>
      </c>
      <c r="V1255" s="38"/>
      <c r="W1255" s="40"/>
      <c r="X1255" s="40"/>
      <c r="Y1255" s="40"/>
      <c r="Z1255" s="38"/>
      <c r="AA1255" s="38"/>
      <c r="AB1255" s="38"/>
      <c r="AC1255" s="38"/>
      <c r="AD1255" s="38"/>
      <c r="AE1255" s="38"/>
      <c r="AF1255" s="38"/>
      <c r="AG1255" s="38"/>
      <c r="AH1255" s="38"/>
      <c r="AI1255" s="38"/>
      <c r="AJ1255" s="38"/>
      <c r="AK1255" s="38"/>
      <c r="AL1255" s="38"/>
      <c r="AM1255" s="38"/>
      <c r="AN1255" s="38"/>
      <c r="AO1255" s="38"/>
      <c r="AP1255" s="38"/>
      <c r="AQ1255" s="38"/>
      <c r="AR1255" s="38"/>
      <c r="AS1255" s="38"/>
      <c r="AT1255" s="38"/>
      <c r="AU1255" s="38"/>
      <c r="AV1255" s="38"/>
      <c r="AW1255" s="38"/>
      <c r="AX1255" s="38"/>
      <c r="AY1255" s="38"/>
      <c r="AZ1255" s="38"/>
      <c r="BA1255" s="38"/>
      <c r="BB1255" s="38"/>
      <c r="BC1255" s="38"/>
      <c r="BD1255" s="38"/>
      <c r="BE1255" s="38"/>
      <c r="BF1255" s="38"/>
      <c r="BG1255" s="38"/>
      <c r="BH1255" s="38"/>
      <c r="BI1255" s="38"/>
      <c r="BJ1255" s="38"/>
      <c r="BK1255" s="38"/>
      <c r="BL1255" s="38"/>
      <c r="BM1255" s="38"/>
      <c r="BN1255" s="38"/>
      <c r="BO1255" s="38"/>
      <c r="BP1255" s="38"/>
      <c r="BQ1255" s="38"/>
    </row>
    <row r="1256">
      <c r="A1256" s="58" t="s">
        <v>3780</v>
      </c>
      <c r="B1256" s="59"/>
      <c r="C1256" s="59">
        <v>43250.0</v>
      </c>
      <c r="D1256" s="60"/>
      <c r="E1256" s="58" t="s">
        <v>41</v>
      </c>
      <c r="F1256" s="58">
        <v>1.0</v>
      </c>
      <c r="G1256" s="58" t="s">
        <v>32</v>
      </c>
      <c r="H1256" s="33"/>
      <c r="I1256" s="58" t="s">
        <v>33</v>
      </c>
      <c r="J1256" s="58" t="s">
        <v>279</v>
      </c>
      <c r="K1256" s="58"/>
      <c r="L1256" s="34" t="s">
        <v>3781</v>
      </c>
      <c r="M1256" s="35" t="s">
        <v>3782</v>
      </c>
      <c r="N1256" s="77"/>
      <c r="O1256" s="83" t="str">
        <f>hyperlink("https://bad-boys.us/?q=WD-MO/4:18-cr-00165", "WD-MO 4:18-cr-00165")</f>
        <v>WD-MO 4:18-cr-00165</v>
      </c>
      <c r="P1256" s="88" t="s">
        <v>3783</v>
      </c>
      <c r="Q1256" s="58">
        <v>1.0</v>
      </c>
      <c r="R1256" s="62"/>
      <c r="S1256" s="37"/>
      <c r="T1256" s="38"/>
      <c r="U1256" s="38" t="b">
        <f t="shared" si="179"/>
        <v>0</v>
      </c>
      <c r="V1256" s="38"/>
      <c r="W1256" s="40"/>
      <c r="X1256" s="40"/>
      <c r="Y1256" s="40"/>
      <c r="Z1256" s="38"/>
      <c r="AA1256" s="38"/>
      <c r="AB1256" s="38"/>
      <c r="AC1256" s="38"/>
      <c r="AD1256" s="38"/>
      <c r="AE1256" s="38"/>
      <c r="AF1256" s="38"/>
      <c r="AG1256" s="38"/>
      <c r="AH1256" s="38"/>
      <c r="AI1256" s="38"/>
      <c r="AJ1256" s="38"/>
      <c r="AK1256" s="38"/>
      <c r="AL1256" s="38"/>
      <c r="AM1256" s="38"/>
      <c r="AN1256" s="38"/>
      <c r="AO1256" s="38"/>
      <c r="AP1256" s="38"/>
      <c r="AQ1256" s="38"/>
      <c r="AR1256" s="38"/>
      <c r="AS1256" s="38"/>
      <c r="AT1256" s="38"/>
      <c r="AU1256" s="38"/>
      <c r="AV1256" s="38"/>
      <c r="AW1256" s="38"/>
      <c r="AX1256" s="38"/>
      <c r="AY1256" s="38"/>
      <c r="AZ1256" s="38"/>
      <c r="BA1256" s="38"/>
      <c r="BB1256" s="38"/>
      <c r="BC1256" s="38"/>
      <c r="BD1256" s="38"/>
      <c r="BE1256" s="38"/>
      <c r="BF1256" s="38"/>
      <c r="BG1256" s="38"/>
      <c r="BH1256" s="38"/>
      <c r="BI1256" s="38"/>
      <c r="BJ1256" s="38"/>
      <c r="BK1256" s="38"/>
      <c r="BL1256" s="38"/>
      <c r="BM1256" s="38"/>
      <c r="BN1256" s="38"/>
      <c r="BO1256" s="38"/>
      <c r="BP1256" s="38"/>
      <c r="BQ1256" s="38"/>
    </row>
    <row r="1257">
      <c r="A1257" s="58" t="s">
        <v>3784</v>
      </c>
      <c r="B1257" s="59">
        <v>43250.0</v>
      </c>
      <c r="C1257" s="59">
        <v>43250.0</v>
      </c>
      <c r="D1257" s="60" t="s">
        <v>3777</v>
      </c>
      <c r="E1257" s="58" t="s">
        <v>31</v>
      </c>
      <c r="F1257" s="58">
        <v>1.0</v>
      </c>
      <c r="G1257" s="58" t="s">
        <v>32</v>
      </c>
      <c r="H1257" s="33">
        <f t="shared" ref="H1257:H1260" si="187">if(G1257="Unknown",1,G1257)</f>
        <v>1</v>
      </c>
      <c r="I1257" s="58" t="s">
        <v>33</v>
      </c>
      <c r="J1257" s="58" t="s">
        <v>47</v>
      </c>
      <c r="K1257" s="58">
        <v>1.0</v>
      </c>
      <c r="L1257" s="34" t="s">
        <v>35</v>
      </c>
      <c r="M1257" s="35" t="s">
        <v>3785</v>
      </c>
      <c r="N1257" s="77"/>
      <c r="O1257" s="62"/>
      <c r="P1257" s="62"/>
      <c r="Q1257" s="62"/>
      <c r="R1257" s="62"/>
      <c r="S1257" s="37" t="str">
        <f>IFERROR(__xludf.DUMMYFUNCTION("if(not(iserror(index(split(C1257, "" ""),2))), index(split(C1257, "" ""),1),"""")"),"May")</f>
        <v>May</v>
      </c>
      <c r="T1257" s="38">
        <f>IFERROR(__xludf.DUMMYFUNCTION("if(S1257="""",C1257,if(not(iserror(index(split(C1257, "" ""),3))), index(split(C1257, "" ""),3),index(split(C1257, "" ""),2)))"),2018.0)</f>
        <v>2018</v>
      </c>
      <c r="U1257" s="38" t="b">
        <f t="shared" si="179"/>
        <v>0</v>
      </c>
      <c r="V1257" s="38"/>
      <c r="W1257" s="40"/>
      <c r="X1257" s="40"/>
      <c r="Y1257" s="40"/>
      <c r="Z1257" s="38"/>
      <c r="AA1257" s="38"/>
      <c r="AB1257" s="38"/>
      <c r="AC1257" s="38"/>
      <c r="AD1257" s="38"/>
      <c r="AE1257" s="38"/>
      <c r="AF1257" s="38"/>
      <c r="AG1257" s="38"/>
      <c r="AH1257" s="38"/>
      <c r="AI1257" s="38"/>
      <c r="AJ1257" s="38"/>
      <c r="AK1257" s="38"/>
      <c r="AL1257" s="38"/>
      <c r="AM1257" s="38"/>
      <c r="AN1257" s="38"/>
      <c r="AO1257" s="38"/>
      <c r="AP1257" s="38"/>
      <c r="AQ1257" s="38"/>
      <c r="AR1257" s="38"/>
      <c r="AS1257" s="38"/>
      <c r="AT1257" s="38"/>
      <c r="AU1257" s="38"/>
      <c r="AV1257" s="38"/>
      <c r="AW1257" s="38"/>
      <c r="AX1257" s="38"/>
      <c r="AY1257" s="38"/>
      <c r="AZ1257" s="38"/>
      <c r="BA1257" s="38"/>
      <c r="BB1257" s="38"/>
      <c r="BC1257" s="38"/>
      <c r="BD1257" s="38"/>
      <c r="BE1257" s="38"/>
      <c r="BF1257" s="38"/>
      <c r="BG1257" s="38"/>
      <c r="BH1257" s="38"/>
      <c r="BI1257" s="38"/>
      <c r="BJ1257" s="38"/>
      <c r="BK1257" s="38"/>
      <c r="BL1257" s="38"/>
      <c r="BM1257" s="38"/>
      <c r="BN1257" s="38"/>
      <c r="BO1257" s="38"/>
      <c r="BP1257" s="38"/>
      <c r="BQ1257" s="38"/>
    </row>
    <row r="1258">
      <c r="A1258" s="58" t="s">
        <v>3786</v>
      </c>
      <c r="B1258" s="59">
        <v>43250.0</v>
      </c>
      <c r="C1258" s="59">
        <v>43250.0</v>
      </c>
      <c r="D1258" s="60" t="s">
        <v>3777</v>
      </c>
      <c r="E1258" s="58" t="s">
        <v>31</v>
      </c>
      <c r="F1258" s="58">
        <v>1.0</v>
      </c>
      <c r="G1258" s="58" t="s">
        <v>32</v>
      </c>
      <c r="H1258" s="33">
        <f t="shared" si="187"/>
        <v>1</v>
      </c>
      <c r="I1258" s="58" t="s">
        <v>33</v>
      </c>
      <c r="J1258" s="58" t="s">
        <v>47</v>
      </c>
      <c r="K1258" s="58" t="s">
        <v>32</v>
      </c>
      <c r="L1258" s="58" t="s">
        <v>99</v>
      </c>
      <c r="M1258" s="35" t="s">
        <v>3787</v>
      </c>
      <c r="N1258" s="77"/>
      <c r="O1258" s="62"/>
      <c r="P1258" s="62"/>
      <c r="Q1258" s="62"/>
      <c r="R1258" s="62"/>
      <c r="S1258" s="37" t="str">
        <f>IFERROR(__xludf.DUMMYFUNCTION("if(not(iserror(index(split(C1258, "" ""),2))), index(split(C1258, "" ""),1),"""")"),"May")</f>
        <v>May</v>
      </c>
      <c r="T1258" s="38">
        <f>IFERROR(__xludf.DUMMYFUNCTION("if(S1258="""",C1258,if(not(iserror(index(split(C1258, "" ""),3))), index(split(C1258, "" ""),3),index(split(C1258, "" ""),2)))"),2018.0)</f>
        <v>2018</v>
      </c>
      <c r="U1258" s="38" t="b">
        <f t="shared" si="179"/>
        <v>0</v>
      </c>
      <c r="V1258" s="38"/>
      <c r="W1258" s="40"/>
      <c r="X1258" s="40"/>
      <c r="Y1258" s="40"/>
      <c r="Z1258" s="38"/>
      <c r="AA1258" s="38"/>
      <c r="AB1258" s="38"/>
      <c r="AC1258" s="38"/>
      <c r="AD1258" s="38"/>
      <c r="AE1258" s="38"/>
      <c r="AF1258" s="38"/>
      <c r="AG1258" s="38"/>
      <c r="AH1258" s="38"/>
      <c r="AI1258" s="38"/>
      <c r="AJ1258" s="38"/>
      <c r="AK1258" s="38"/>
      <c r="AL1258" s="38"/>
      <c r="AM1258" s="38"/>
      <c r="AN1258" s="38"/>
      <c r="AO1258" s="38"/>
      <c r="AP1258" s="38"/>
      <c r="AQ1258" s="38"/>
      <c r="AR1258" s="38"/>
      <c r="AS1258" s="38"/>
      <c r="AT1258" s="38"/>
      <c r="AU1258" s="38"/>
      <c r="AV1258" s="38"/>
      <c r="AW1258" s="38"/>
      <c r="AX1258" s="38"/>
      <c r="AY1258" s="38"/>
      <c r="AZ1258" s="38"/>
      <c r="BA1258" s="38"/>
      <c r="BB1258" s="38"/>
      <c r="BC1258" s="38"/>
      <c r="BD1258" s="38"/>
      <c r="BE1258" s="38"/>
      <c r="BF1258" s="38"/>
      <c r="BG1258" s="38"/>
      <c r="BH1258" s="38"/>
      <c r="BI1258" s="38"/>
      <c r="BJ1258" s="38"/>
      <c r="BK1258" s="38"/>
      <c r="BL1258" s="38"/>
      <c r="BM1258" s="38"/>
      <c r="BN1258" s="38"/>
      <c r="BO1258" s="38"/>
      <c r="BP1258" s="38"/>
      <c r="BQ1258" s="38"/>
    </row>
    <row r="1259">
      <c r="A1259" s="78" t="s">
        <v>3788</v>
      </c>
      <c r="B1259" s="59">
        <v>43336.0</v>
      </c>
      <c r="C1259" s="59">
        <v>43250.0</v>
      </c>
      <c r="D1259" s="60" t="s">
        <v>3777</v>
      </c>
      <c r="E1259" s="58" t="s">
        <v>41</v>
      </c>
      <c r="F1259" s="58">
        <v>1.0</v>
      </c>
      <c r="G1259" s="58" t="s">
        <v>32</v>
      </c>
      <c r="H1259" s="33">
        <f t="shared" si="187"/>
        <v>1</v>
      </c>
      <c r="I1259" s="58" t="s">
        <v>33</v>
      </c>
      <c r="J1259" s="58" t="s">
        <v>909</v>
      </c>
      <c r="K1259" s="58">
        <v>2.0</v>
      </c>
      <c r="L1259" s="58" t="s">
        <v>119</v>
      </c>
      <c r="M1259" s="61" t="s">
        <v>3789</v>
      </c>
      <c r="N1259" s="61" t="s">
        <v>3790</v>
      </c>
      <c r="O1259" s="88" t="str">
        <f>hyperlink("https://bad-boys.us/?q=D-RI/1:18-cr-00128", "D-RI 1:18-cr-00128")</f>
        <v>D-RI 1:18-cr-00128</v>
      </c>
      <c r="P1259" s="88" t="s">
        <v>3791</v>
      </c>
      <c r="Q1259" s="58">
        <v>1.0</v>
      </c>
      <c r="R1259" s="62"/>
      <c r="S1259" s="37" t="str">
        <f>IFERROR(__xludf.DUMMYFUNCTION("if(not(iserror(index(split(C1259, "" ""),2))), index(split(C1259, "" ""),1),"""")"),"May")</f>
        <v>May</v>
      </c>
      <c r="T1259" s="38">
        <f>IFERROR(__xludf.DUMMYFUNCTION("if(S1259="""",C1259,if(not(iserror(index(split(C1259, "" ""),3))), index(split(C1259, "" ""),3),index(split(C1259, "" ""),2)))"),2018.0)</f>
        <v>2018</v>
      </c>
      <c r="U1259" s="38" t="b">
        <f t="shared" si="179"/>
        <v>0</v>
      </c>
      <c r="V1259" s="38"/>
      <c r="W1259" s="40"/>
      <c r="X1259" s="40"/>
      <c r="Y1259" s="40"/>
      <c r="Z1259" s="38"/>
      <c r="AA1259" s="38"/>
      <c r="AB1259" s="38"/>
      <c r="AC1259" s="38"/>
      <c r="AD1259" s="38"/>
      <c r="AE1259" s="38"/>
      <c r="AF1259" s="38"/>
      <c r="AG1259" s="38"/>
      <c r="AH1259" s="38"/>
      <c r="AI1259" s="38"/>
      <c r="AJ1259" s="38"/>
      <c r="AK1259" s="38"/>
      <c r="AL1259" s="38"/>
      <c r="AM1259" s="38"/>
      <c r="AN1259" s="38"/>
      <c r="AO1259" s="38"/>
      <c r="AP1259" s="38"/>
      <c r="AQ1259" s="38"/>
      <c r="AR1259" s="38"/>
      <c r="AS1259" s="38"/>
      <c r="AT1259" s="38"/>
      <c r="AU1259" s="38"/>
      <c r="AV1259" s="38"/>
      <c r="AW1259" s="38"/>
      <c r="AX1259" s="38"/>
      <c r="AY1259" s="38"/>
      <c r="AZ1259" s="38"/>
      <c r="BA1259" s="38"/>
      <c r="BB1259" s="38"/>
      <c r="BC1259" s="38"/>
      <c r="BD1259" s="38"/>
      <c r="BE1259" s="38"/>
      <c r="BF1259" s="38"/>
      <c r="BG1259" s="38"/>
      <c r="BH1259" s="38"/>
      <c r="BI1259" s="38"/>
      <c r="BJ1259" s="38"/>
      <c r="BK1259" s="38"/>
      <c r="BL1259" s="38"/>
      <c r="BM1259" s="38"/>
      <c r="BN1259" s="38"/>
      <c r="BO1259" s="38"/>
      <c r="BP1259" s="38"/>
      <c r="BQ1259" s="38"/>
    </row>
    <row r="1260">
      <c r="A1260" s="58" t="s">
        <v>40</v>
      </c>
      <c r="B1260" s="59">
        <v>43252.0</v>
      </c>
      <c r="C1260" s="59">
        <v>43251.0</v>
      </c>
      <c r="D1260" s="60" t="s">
        <v>2777</v>
      </c>
      <c r="E1260" s="58" t="s">
        <v>41</v>
      </c>
      <c r="F1260" s="58">
        <v>11.0</v>
      </c>
      <c r="G1260" s="58" t="s">
        <v>32</v>
      </c>
      <c r="H1260" s="33">
        <f t="shared" si="187"/>
        <v>1</v>
      </c>
      <c r="I1260" s="58" t="s">
        <v>33</v>
      </c>
      <c r="J1260" s="58" t="s">
        <v>111</v>
      </c>
      <c r="K1260" s="58">
        <v>1.0</v>
      </c>
      <c r="L1260" s="58" t="s">
        <v>3792</v>
      </c>
      <c r="M1260" s="35" t="s">
        <v>3793</v>
      </c>
      <c r="N1260" s="77"/>
      <c r="O1260" s="62"/>
      <c r="P1260" s="62"/>
      <c r="Q1260" s="62"/>
      <c r="R1260" s="62"/>
      <c r="S1260" s="37" t="str">
        <f>IFERROR(__xludf.DUMMYFUNCTION("if(not(iserror(index(split(C1260, "" ""),2))), index(split(C1260, "" ""),1),"""")"),"May")</f>
        <v>May</v>
      </c>
      <c r="T1260" s="38">
        <f>IFERROR(__xludf.DUMMYFUNCTION("if(S1260="""",C1260,if(not(iserror(index(split(C1260, "" ""),3))), index(split(C1260, "" ""),3),index(split(C1260, "" ""),2)))"),2018.0)</f>
        <v>2018</v>
      </c>
      <c r="U1260" s="38" t="b">
        <f t="shared" si="179"/>
        <v>1</v>
      </c>
      <c r="V1260" s="38"/>
      <c r="W1260" s="40"/>
      <c r="X1260" s="40"/>
      <c r="Y1260" s="40"/>
      <c r="Z1260" s="38"/>
      <c r="AA1260" s="38"/>
      <c r="AB1260" s="38"/>
      <c r="AC1260" s="38"/>
      <c r="AD1260" s="38"/>
      <c r="AE1260" s="38"/>
      <c r="AF1260" s="38"/>
      <c r="AG1260" s="38"/>
      <c r="AH1260" s="38"/>
      <c r="AI1260" s="38"/>
      <c r="AJ1260" s="38"/>
      <c r="AK1260" s="38"/>
      <c r="AL1260" s="38"/>
      <c r="AM1260" s="38"/>
      <c r="AN1260" s="38"/>
      <c r="AO1260" s="38"/>
      <c r="AP1260" s="38"/>
      <c r="AQ1260" s="38"/>
      <c r="AR1260" s="38"/>
      <c r="AS1260" s="38"/>
      <c r="AT1260" s="38"/>
      <c r="AU1260" s="38"/>
      <c r="AV1260" s="38"/>
      <c r="AW1260" s="38"/>
      <c r="AX1260" s="38"/>
      <c r="AY1260" s="38"/>
      <c r="AZ1260" s="38"/>
      <c r="BA1260" s="38"/>
      <c r="BB1260" s="38"/>
      <c r="BC1260" s="38"/>
      <c r="BD1260" s="38"/>
      <c r="BE1260" s="38"/>
      <c r="BF1260" s="38"/>
      <c r="BG1260" s="38"/>
      <c r="BH1260" s="38"/>
      <c r="BI1260" s="38"/>
      <c r="BJ1260" s="38"/>
      <c r="BK1260" s="38"/>
      <c r="BL1260" s="38"/>
      <c r="BM1260" s="38"/>
      <c r="BN1260" s="38"/>
      <c r="BO1260" s="38"/>
      <c r="BP1260" s="38"/>
      <c r="BQ1260" s="38"/>
    </row>
    <row r="1261">
      <c r="A1261" s="58" t="s">
        <v>3794</v>
      </c>
      <c r="B1261" s="59"/>
      <c r="C1261" s="59">
        <v>43251.0</v>
      </c>
      <c r="D1261" s="60"/>
      <c r="E1261" s="58" t="s">
        <v>41</v>
      </c>
      <c r="F1261" s="58">
        <v>1.0</v>
      </c>
      <c r="G1261" s="58" t="s">
        <v>32</v>
      </c>
      <c r="H1261" s="43">
        <v>1.0</v>
      </c>
      <c r="I1261" s="58" t="s">
        <v>33</v>
      </c>
      <c r="J1261" s="58" t="s">
        <v>279</v>
      </c>
      <c r="K1261" s="58"/>
      <c r="L1261" s="58" t="s">
        <v>119</v>
      </c>
      <c r="M1261" s="35" t="s">
        <v>3795</v>
      </c>
      <c r="N1261" s="77"/>
      <c r="O1261" s="83" t="str">
        <f>hyperlink("https://bad-boys.us/?q=ED-MO/4:18-cr-00398", "ED-MO 4:18-cr-00398")</f>
        <v>ED-MO 4:18-cr-00398</v>
      </c>
      <c r="P1261" s="88" t="s">
        <v>3796</v>
      </c>
      <c r="Q1261" s="58">
        <v>1.0</v>
      </c>
      <c r="R1261" s="62"/>
      <c r="S1261" s="37" t="str">
        <f>IFERROR(__xludf.DUMMYFUNCTION("if(not(iserror(index(split(C1261, "" ""),2))), index(split(C1261, "" ""),1),"""")"),"May")</f>
        <v>May</v>
      </c>
      <c r="T1261" s="38">
        <f>IFERROR(__xludf.DUMMYFUNCTION("if(S1261="""",C1261,if(not(iserror(index(split(C1261, "" ""),3))), index(split(C1261, "" ""),3),index(split(C1261, "" ""),2)))"),2018.0)</f>
        <v>2018</v>
      </c>
      <c r="U1261" s="38" t="b">
        <f t="shared" si="179"/>
        <v>0</v>
      </c>
      <c r="V1261" s="38" t="s">
        <v>33</v>
      </c>
      <c r="W1261" s="40"/>
      <c r="X1261" s="40"/>
      <c r="Y1261" s="40"/>
      <c r="Z1261" s="38"/>
      <c r="AA1261" s="38"/>
      <c r="AB1261" s="38"/>
      <c r="AC1261" s="38"/>
      <c r="AD1261" s="38"/>
      <c r="AE1261" s="38"/>
      <c r="AF1261" s="38"/>
      <c r="AG1261" s="38"/>
      <c r="AH1261" s="38"/>
      <c r="AI1261" s="38"/>
      <c r="AJ1261" s="38"/>
      <c r="AK1261" s="38"/>
      <c r="AL1261" s="38"/>
      <c r="AM1261" s="38"/>
      <c r="AN1261" s="38"/>
      <c r="AO1261" s="38"/>
      <c r="AP1261" s="38"/>
      <c r="AQ1261" s="38"/>
      <c r="AR1261" s="38"/>
      <c r="AS1261" s="38"/>
      <c r="AT1261" s="38"/>
      <c r="AU1261" s="38"/>
      <c r="AV1261" s="38"/>
      <c r="AW1261" s="38"/>
      <c r="AX1261" s="38"/>
      <c r="AY1261" s="38"/>
      <c r="AZ1261" s="38"/>
      <c r="BA1261" s="38"/>
      <c r="BB1261" s="38"/>
      <c r="BC1261" s="38"/>
      <c r="BD1261" s="38"/>
      <c r="BE1261" s="38"/>
      <c r="BF1261" s="38"/>
      <c r="BG1261" s="38"/>
      <c r="BH1261" s="38"/>
      <c r="BI1261" s="38"/>
      <c r="BJ1261" s="38"/>
      <c r="BK1261" s="38"/>
      <c r="BL1261" s="38"/>
      <c r="BM1261" s="38"/>
      <c r="BN1261" s="38"/>
      <c r="BO1261" s="38"/>
      <c r="BP1261" s="38"/>
      <c r="BQ1261" s="38"/>
    </row>
    <row r="1262">
      <c r="A1262" s="87" t="s">
        <v>3797</v>
      </c>
      <c r="B1262" s="59"/>
      <c r="C1262" s="79">
        <v>43252.0</v>
      </c>
      <c r="D1262" s="60"/>
      <c r="E1262" s="58" t="s">
        <v>41</v>
      </c>
      <c r="F1262" s="58">
        <v>1.0</v>
      </c>
      <c r="G1262" s="58" t="s">
        <v>32</v>
      </c>
      <c r="H1262" s="43">
        <v>1.0</v>
      </c>
      <c r="I1262" s="58" t="s">
        <v>33</v>
      </c>
      <c r="J1262" s="58" t="s">
        <v>47</v>
      </c>
      <c r="K1262" s="58"/>
      <c r="L1262" s="58" t="s">
        <v>69</v>
      </c>
      <c r="M1262" s="46" t="s">
        <v>3798</v>
      </c>
      <c r="N1262" s="77"/>
      <c r="O1262" s="83" t="str">
        <f>hyperlink("https://bad-boys.us/?q=MD-FL/2:18-cr-00084", "MD-FL 2:18-cr-00084")</f>
        <v>MD-FL 2:18-cr-00084</v>
      </c>
      <c r="P1262" s="88" t="s">
        <v>3799</v>
      </c>
      <c r="Q1262" s="58">
        <v>1.0</v>
      </c>
      <c r="R1262" s="62"/>
      <c r="S1262" s="37" t="str">
        <f>IFERROR(__xludf.DUMMYFUNCTION("if(not(iserror(index(split(C1262, "" ""),2))), index(split(C1262, "" ""),1),"""")"),"June,")</f>
        <v>June,</v>
      </c>
      <c r="T1262" s="38">
        <f>IFERROR(__xludf.DUMMYFUNCTION("if(S1262="""",C1262,if(not(iserror(index(split(C1262, "" ""),3))), index(split(C1262, "" ""),3),index(split(C1262, "" ""),2)))"),2018.0)</f>
        <v>2018</v>
      </c>
      <c r="U1262" s="38" t="b">
        <f t="shared" si="179"/>
        <v>0</v>
      </c>
      <c r="V1262" s="38" t="s">
        <v>33</v>
      </c>
      <c r="W1262" s="40"/>
      <c r="X1262" s="40"/>
      <c r="Y1262" s="40"/>
      <c r="Z1262" s="38"/>
      <c r="AA1262" s="38"/>
      <c r="AB1262" s="38"/>
      <c r="AC1262" s="38"/>
      <c r="AD1262" s="38"/>
      <c r="AE1262" s="38"/>
      <c r="AF1262" s="38"/>
      <c r="AG1262" s="38"/>
      <c r="AH1262" s="38"/>
      <c r="AI1262" s="38"/>
      <c r="AJ1262" s="38"/>
      <c r="AK1262" s="38"/>
      <c r="AL1262" s="38"/>
      <c r="AM1262" s="38"/>
      <c r="AN1262" s="38"/>
      <c r="AO1262" s="38"/>
      <c r="AP1262" s="38"/>
      <c r="AQ1262" s="38"/>
      <c r="AR1262" s="38"/>
      <c r="AS1262" s="38"/>
      <c r="AT1262" s="38"/>
      <c r="AU1262" s="38"/>
      <c r="AV1262" s="38"/>
      <c r="AW1262" s="38"/>
      <c r="AX1262" s="38"/>
      <c r="AY1262" s="38"/>
      <c r="AZ1262" s="38"/>
      <c r="BA1262" s="38"/>
      <c r="BB1262" s="38"/>
      <c r="BC1262" s="38"/>
      <c r="BD1262" s="38"/>
      <c r="BE1262" s="38"/>
      <c r="BF1262" s="38"/>
      <c r="BG1262" s="38"/>
      <c r="BH1262" s="38"/>
      <c r="BI1262" s="38"/>
      <c r="BJ1262" s="38"/>
      <c r="BK1262" s="38"/>
      <c r="BL1262" s="38"/>
      <c r="BM1262" s="38"/>
      <c r="BN1262" s="38"/>
      <c r="BO1262" s="38"/>
      <c r="BP1262" s="38"/>
      <c r="BQ1262" s="38"/>
    </row>
    <row r="1263">
      <c r="A1263" s="58" t="s">
        <v>3800</v>
      </c>
      <c r="B1263" s="59"/>
      <c r="C1263" s="79">
        <v>43252.0</v>
      </c>
      <c r="D1263" s="60"/>
      <c r="E1263" s="58" t="s">
        <v>41</v>
      </c>
      <c r="F1263" s="58">
        <v>1.0</v>
      </c>
      <c r="G1263" s="58" t="s">
        <v>32</v>
      </c>
      <c r="H1263" s="43">
        <v>1.0</v>
      </c>
      <c r="I1263" s="58" t="s">
        <v>33</v>
      </c>
      <c r="J1263" s="58" t="s">
        <v>288</v>
      </c>
      <c r="K1263" s="58"/>
      <c r="L1263" s="58" t="s">
        <v>69</v>
      </c>
      <c r="M1263" s="35" t="s">
        <v>3801</v>
      </c>
      <c r="N1263" s="77"/>
      <c r="O1263" s="83" t="str">
        <f>hyperlink("https://bad-boys.us/?q=D-NE/4:18-cr-03056", "D-NE 4:18-cr-03056")</f>
        <v>D-NE 4:18-cr-03056</v>
      </c>
      <c r="P1263" s="88" t="s">
        <v>3802</v>
      </c>
      <c r="Q1263" s="58">
        <v>1.0</v>
      </c>
      <c r="R1263" s="62"/>
      <c r="S1263" s="37" t="str">
        <f>IFERROR(__xludf.DUMMYFUNCTION("if(not(iserror(index(split(C1263, "" ""),2))), index(split(C1263, "" ""),1),"""")"),"June,")</f>
        <v>June,</v>
      </c>
      <c r="T1263" s="38">
        <f>IFERROR(__xludf.DUMMYFUNCTION("if(S1263="""",C1263,if(not(iserror(index(split(C1263, "" ""),3))), index(split(C1263, "" ""),3),index(split(C1263, "" ""),2)))"),2018.0)</f>
        <v>2018</v>
      </c>
      <c r="U1263" s="38" t="b">
        <f t="shared" si="179"/>
        <v>0</v>
      </c>
      <c r="V1263" s="38" t="s">
        <v>33</v>
      </c>
      <c r="W1263" s="40"/>
      <c r="X1263" s="40"/>
      <c r="Y1263" s="40"/>
      <c r="Z1263" s="38"/>
      <c r="AA1263" s="38"/>
      <c r="AB1263" s="38"/>
      <c r="AC1263" s="38"/>
      <c r="AD1263" s="38"/>
      <c r="AE1263" s="38"/>
      <c r="AF1263" s="38"/>
      <c r="AG1263" s="38"/>
      <c r="AH1263" s="38"/>
      <c r="AI1263" s="38"/>
      <c r="AJ1263" s="38"/>
      <c r="AK1263" s="38"/>
      <c r="AL1263" s="38"/>
      <c r="AM1263" s="38"/>
      <c r="AN1263" s="38"/>
      <c r="AO1263" s="38"/>
      <c r="AP1263" s="38"/>
      <c r="AQ1263" s="38"/>
      <c r="AR1263" s="38"/>
      <c r="AS1263" s="38"/>
      <c r="AT1263" s="38"/>
      <c r="AU1263" s="38"/>
      <c r="AV1263" s="38"/>
      <c r="AW1263" s="38"/>
      <c r="AX1263" s="38"/>
      <c r="AY1263" s="38"/>
      <c r="AZ1263" s="38"/>
      <c r="BA1263" s="38"/>
      <c r="BB1263" s="38"/>
      <c r="BC1263" s="38"/>
      <c r="BD1263" s="38"/>
      <c r="BE1263" s="38"/>
      <c r="BF1263" s="38"/>
      <c r="BG1263" s="38"/>
      <c r="BH1263" s="38"/>
      <c r="BI1263" s="38"/>
      <c r="BJ1263" s="38"/>
      <c r="BK1263" s="38"/>
      <c r="BL1263" s="38"/>
      <c r="BM1263" s="38"/>
      <c r="BN1263" s="38"/>
      <c r="BO1263" s="38"/>
      <c r="BP1263" s="38"/>
      <c r="BQ1263" s="38"/>
    </row>
    <row r="1264">
      <c r="A1264" s="58" t="s">
        <v>3803</v>
      </c>
      <c r="B1264" s="59">
        <v>43271.0</v>
      </c>
      <c r="C1264" s="79">
        <v>43252.0</v>
      </c>
      <c r="D1264" s="60" t="s">
        <v>2163</v>
      </c>
      <c r="E1264" s="58" t="s">
        <v>41</v>
      </c>
      <c r="F1264" s="58">
        <v>1.0</v>
      </c>
      <c r="G1264" s="58" t="s">
        <v>32</v>
      </c>
      <c r="H1264" s="43">
        <v>1.0</v>
      </c>
      <c r="I1264" s="58" t="s">
        <v>33</v>
      </c>
      <c r="J1264" s="58" t="s">
        <v>222</v>
      </c>
      <c r="K1264" s="58">
        <v>2.0</v>
      </c>
      <c r="L1264" s="58" t="s">
        <v>99</v>
      </c>
      <c r="M1264" s="46" t="s">
        <v>3804</v>
      </c>
      <c r="N1264" s="77"/>
      <c r="O1264" s="62"/>
      <c r="P1264" s="58"/>
      <c r="Q1264" s="58"/>
      <c r="R1264" s="62"/>
      <c r="S1264" s="37" t="str">
        <f>IFERROR(__xludf.DUMMYFUNCTION("if(not(iserror(index(split(C1264, "" ""),2))), index(split(C1264, "" ""),1),"""")"),"June,")</f>
        <v>June,</v>
      </c>
      <c r="T1264" s="38">
        <f>IFERROR(__xludf.DUMMYFUNCTION("if(S1264="""",C1264,if(not(iserror(index(split(C1264, "" ""),3))), index(split(C1264, "" ""),3),index(split(C1264, "" ""),2)))"),2018.0)</f>
        <v>2018</v>
      </c>
      <c r="U1264" s="38" t="b">
        <f t="shared" si="179"/>
        <v>1</v>
      </c>
      <c r="V1264" s="38" t="s">
        <v>33</v>
      </c>
      <c r="W1264" s="40"/>
      <c r="X1264" s="40"/>
      <c r="Y1264" s="40"/>
      <c r="Z1264" s="38"/>
      <c r="AA1264" s="38"/>
      <c r="AB1264" s="38"/>
      <c r="AC1264" s="38"/>
      <c r="AD1264" s="38"/>
      <c r="AE1264" s="38"/>
      <c r="AF1264" s="38"/>
      <c r="AG1264" s="38"/>
      <c r="AH1264" s="38"/>
      <c r="AI1264" s="38"/>
      <c r="AJ1264" s="38"/>
      <c r="AK1264" s="38"/>
      <c r="AL1264" s="38"/>
      <c r="AM1264" s="38"/>
      <c r="AN1264" s="38"/>
      <c r="AO1264" s="38"/>
      <c r="AP1264" s="38"/>
      <c r="AQ1264" s="38"/>
      <c r="AR1264" s="38"/>
      <c r="AS1264" s="38"/>
      <c r="AT1264" s="38"/>
      <c r="AU1264" s="38"/>
      <c r="AV1264" s="38"/>
      <c r="AW1264" s="38"/>
      <c r="AX1264" s="38"/>
      <c r="AY1264" s="38"/>
      <c r="AZ1264" s="38"/>
      <c r="BA1264" s="38"/>
      <c r="BB1264" s="38"/>
      <c r="BC1264" s="38"/>
      <c r="BD1264" s="38"/>
      <c r="BE1264" s="38"/>
      <c r="BF1264" s="38"/>
      <c r="BG1264" s="38"/>
      <c r="BH1264" s="38"/>
      <c r="BI1264" s="38"/>
      <c r="BJ1264" s="38"/>
      <c r="BK1264" s="38"/>
      <c r="BL1264" s="38"/>
      <c r="BM1264" s="38"/>
      <c r="BN1264" s="38"/>
      <c r="BO1264" s="38"/>
      <c r="BP1264" s="38"/>
      <c r="BQ1264" s="38"/>
    </row>
    <row r="1265">
      <c r="A1265" s="58" t="s">
        <v>3805</v>
      </c>
      <c r="B1265" s="59"/>
      <c r="C1265" s="79">
        <v>43252.0</v>
      </c>
      <c r="D1265" s="60"/>
      <c r="E1265" s="58" t="s">
        <v>41</v>
      </c>
      <c r="F1265" s="58">
        <v>1.0</v>
      </c>
      <c r="G1265" s="58" t="s">
        <v>32</v>
      </c>
      <c r="H1265" s="43">
        <v>1.0</v>
      </c>
      <c r="I1265" s="58" t="s">
        <v>33</v>
      </c>
      <c r="J1265" s="58" t="s">
        <v>68</v>
      </c>
      <c r="K1265" s="58"/>
      <c r="L1265" s="58" t="s">
        <v>69</v>
      </c>
      <c r="M1265" s="46" t="s">
        <v>3806</v>
      </c>
      <c r="N1265" s="77"/>
      <c r="O1265" s="62"/>
      <c r="P1265" s="58"/>
      <c r="Q1265" s="58"/>
      <c r="R1265" s="62"/>
      <c r="S1265" s="37"/>
      <c r="T1265" s="38"/>
      <c r="U1265" s="38"/>
      <c r="V1265" s="38" t="s">
        <v>33</v>
      </c>
      <c r="W1265" s="40"/>
      <c r="X1265" s="40"/>
      <c r="Y1265" s="40"/>
      <c r="Z1265" s="38"/>
      <c r="AA1265" s="38"/>
      <c r="AB1265" s="38"/>
      <c r="AC1265" s="38"/>
      <c r="AD1265" s="38"/>
      <c r="AE1265" s="38"/>
      <c r="AF1265" s="38"/>
      <c r="AG1265" s="38"/>
      <c r="AH1265" s="38"/>
      <c r="AI1265" s="38"/>
      <c r="AJ1265" s="38"/>
      <c r="AK1265" s="38"/>
      <c r="AL1265" s="38"/>
      <c r="AM1265" s="38"/>
      <c r="AN1265" s="38"/>
      <c r="AO1265" s="38"/>
      <c r="AP1265" s="38"/>
      <c r="AQ1265" s="38"/>
      <c r="AR1265" s="38"/>
      <c r="AS1265" s="38"/>
      <c r="AT1265" s="38"/>
      <c r="AU1265" s="38"/>
      <c r="AV1265" s="38"/>
      <c r="AW1265" s="38"/>
      <c r="AX1265" s="38"/>
      <c r="AY1265" s="38"/>
      <c r="AZ1265" s="38"/>
      <c r="BA1265" s="38"/>
      <c r="BB1265" s="38"/>
      <c r="BC1265" s="38"/>
      <c r="BD1265" s="38"/>
      <c r="BE1265" s="38"/>
      <c r="BF1265" s="38"/>
      <c r="BG1265" s="38"/>
      <c r="BH1265" s="38"/>
      <c r="BI1265" s="38"/>
      <c r="BJ1265" s="38"/>
      <c r="BK1265" s="38"/>
      <c r="BL1265" s="38"/>
      <c r="BM1265" s="38"/>
      <c r="BN1265" s="38"/>
      <c r="BO1265" s="38"/>
      <c r="BP1265" s="38"/>
      <c r="BQ1265" s="38"/>
    </row>
    <row r="1266">
      <c r="A1266" s="58" t="s">
        <v>3807</v>
      </c>
      <c r="B1266" s="59">
        <v>43252.0</v>
      </c>
      <c r="C1266" s="59">
        <v>43252.0</v>
      </c>
      <c r="D1266" s="60" t="s">
        <v>3727</v>
      </c>
      <c r="E1266" s="58" t="s">
        <v>41</v>
      </c>
      <c r="F1266" s="58">
        <v>1.0</v>
      </c>
      <c r="G1266" s="58" t="s">
        <v>32</v>
      </c>
      <c r="H1266" s="33">
        <f t="shared" ref="H1266:H1269" si="188">if(G1266="Unknown",1,G1266)</f>
        <v>1</v>
      </c>
      <c r="I1266" s="58" t="s">
        <v>33</v>
      </c>
      <c r="J1266" s="58" t="s">
        <v>115</v>
      </c>
      <c r="K1266" s="58">
        <v>2.0</v>
      </c>
      <c r="L1266" s="58" t="s">
        <v>119</v>
      </c>
      <c r="M1266" s="35" t="s">
        <v>3808</v>
      </c>
      <c r="N1266" s="77"/>
      <c r="O1266" s="83" t="str">
        <f>hyperlink("https://bad-boys.us/?q=ED-PA/2:18-cr-00229", "ED-PA 2:18-cr-00229")</f>
        <v>ED-PA 2:18-cr-00229</v>
      </c>
      <c r="P1266" s="88" t="s">
        <v>3809</v>
      </c>
      <c r="Q1266" s="58">
        <v>1.0</v>
      </c>
      <c r="R1266" s="62"/>
      <c r="S1266" s="37" t="str">
        <f>IFERROR(__xludf.DUMMYFUNCTION("if(not(iserror(index(split(C1266, "" ""),2))), index(split(C1266, "" ""),1),"""")"),"June")</f>
        <v>June</v>
      </c>
      <c r="T1266" s="38">
        <f>IFERROR(__xludf.DUMMYFUNCTION("if(S1266="""",C1266,if(not(iserror(index(split(C1266, "" ""),3))), index(split(C1266, "" ""),3),index(split(C1266, "" ""),2)))"),2018.0)</f>
        <v>2018</v>
      </c>
      <c r="U1266" s="38" t="b">
        <f t="shared" ref="U1266:U1312" si="189">countif(A$4:A4658, A1266)&gt;1</f>
        <v>0</v>
      </c>
      <c r="V1266" s="38"/>
      <c r="W1266" s="40"/>
      <c r="X1266" s="40"/>
      <c r="Y1266" s="40"/>
      <c r="Z1266" s="38"/>
      <c r="AA1266" s="38"/>
      <c r="AB1266" s="38"/>
      <c r="AC1266" s="38"/>
      <c r="AD1266" s="38"/>
      <c r="AE1266" s="38"/>
      <c r="AF1266" s="38"/>
      <c r="AG1266" s="38"/>
      <c r="AH1266" s="38"/>
      <c r="AI1266" s="38"/>
      <c r="AJ1266" s="38"/>
      <c r="AK1266" s="38"/>
      <c r="AL1266" s="38"/>
      <c r="AM1266" s="38"/>
      <c r="AN1266" s="38"/>
      <c r="AO1266" s="38"/>
      <c r="AP1266" s="38"/>
      <c r="AQ1266" s="38"/>
      <c r="AR1266" s="38"/>
      <c r="AS1266" s="38"/>
      <c r="AT1266" s="38"/>
      <c r="AU1266" s="38"/>
      <c r="AV1266" s="38"/>
      <c r="AW1266" s="38"/>
      <c r="AX1266" s="38"/>
      <c r="AY1266" s="38"/>
      <c r="AZ1266" s="38"/>
      <c r="BA1266" s="38"/>
      <c r="BB1266" s="38"/>
      <c r="BC1266" s="38"/>
      <c r="BD1266" s="38"/>
      <c r="BE1266" s="38"/>
      <c r="BF1266" s="38"/>
      <c r="BG1266" s="38"/>
      <c r="BH1266" s="38"/>
      <c r="BI1266" s="38"/>
      <c r="BJ1266" s="38"/>
      <c r="BK1266" s="38"/>
      <c r="BL1266" s="38"/>
      <c r="BM1266" s="38"/>
      <c r="BN1266" s="38"/>
      <c r="BO1266" s="38"/>
      <c r="BP1266" s="38"/>
      <c r="BQ1266" s="38"/>
    </row>
    <row r="1267">
      <c r="A1267" s="58" t="s">
        <v>3810</v>
      </c>
      <c r="B1267" s="59">
        <v>43252.0</v>
      </c>
      <c r="C1267" s="59">
        <v>43252.0</v>
      </c>
      <c r="D1267" s="60" t="s">
        <v>3727</v>
      </c>
      <c r="E1267" s="58" t="s">
        <v>41</v>
      </c>
      <c r="F1267" s="58">
        <v>1.0</v>
      </c>
      <c r="G1267" s="58">
        <v>1.0</v>
      </c>
      <c r="H1267" s="33">
        <f t="shared" si="188"/>
        <v>1</v>
      </c>
      <c r="I1267" s="58" t="s">
        <v>33</v>
      </c>
      <c r="J1267" s="58" t="s">
        <v>93</v>
      </c>
      <c r="K1267" s="58">
        <v>1.0</v>
      </c>
      <c r="L1267" s="58" t="s">
        <v>194</v>
      </c>
      <c r="M1267" s="35" t="s">
        <v>3811</v>
      </c>
      <c r="N1267" s="77"/>
      <c r="O1267" s="83" t="str">
        <f>hyperlink("https://bad-boys.us/?q=WD-NY/1:18-mj-05080", "WD-NY 1:18-mj-05080")</f>
        <v>WD-NY 1:18-mj-05080</v>
      </c>
      <c r="P1267" s="62"/>
      <c r="Q1267" s="84">
        <v>1.0</v>
      </c>
      <c r="R1267" s="62"/>
      <c r="S1267" s="37" t="str">
        <f>IFERROR(__xludf.DUMMYFUNCTION("if(not(iserror(index(split(C1267, "" ""),2))), index(split(C1267, "" ""),1),"""")"),"June")</f>
        <v>June</v>
      </c>
      <c r="T1267" s="38">
        <f>IFERROR(__xludf.DUMMYFUNCTION("if(S1267="""",C1267,if(not(iserror(index(split(C1267, "" ""),3))), index(split(C1267, "" ""),3),index(split(C1267, "" ""),2)))"),2018.0)</f>
        <v>2018</v>
      </c>
      <c r="U1267" s="38" t="b">
        <f t="shared" si="189"/>
        <v>0</v>
      </c>
      <c r="V1267" s="38"/>
      <c r="W1267" s="40"/>
      <c r="X1267" s="40"/>
      <c r="Y1267" s="40"/>
      <c r="Z1267" s="38"/>
      <c r="AA1267" s="38"/>
      <c r="AB1267" s="38"/>
      <c r="AC1267" s="38"/>
      <c r="AD1267" s="38"/>
      <c r="AE1267" s="38"/>
      <c r="AF1267" s="38"/>
      <c r="AG1267" s="38"/>
      <c r="AH1267" s="38"/>
      <c r="AI1267" s="38"/>
      <c r="AJ1267" s="38"/>
      <c r="AK1267" s="38"/>
      <c r="AL1267" s="38"/>
      <c r="AM1267" s="38"/>
      <c r="AN1267" s="38"/>
      <c r="AO1267" s="38"/>
      <c r="AP1267" s="38"/>
      <c r="AQ1267" s="38"/>
      <c r="AR1267" s="38"/>
      <c r="AS1267" s="38"/>
      <c r="AT1267" s="38"/>
      <c r="AU1267" s="38"/>
      <c r="AV1267" s="38"/>
      <c r="AW1267" s="38"/>
      <c r="AX1267" s="38"/>
      <c r="AY1267" s="38"/>
      <c r="AZ1267" s="38"/>
      <c r="BA1267" s="38"/>
      <c r="BB1267" s="38"/>
      <c r="BC1267" s="38"/>
      <c r="BD1267" s="38"/>
      <c r="BE1267" s="38"/>
      <c r="BF1267" s="38"/>
      <c r="BG1267" s="38"/>
      <c r="BH1267" s="38"/>
      <c r="BI1267" s="38"/>
      <c r="BJ1267" s="38"/>
      <c r="BK1267" s="38"/>
      <c r="BL1267" s="38"/>
      <c r="BM1267" s="38"/>
      <c r="BN1267" s="38"/>
      <c r="BO1267" s="38"/>
      <c r="BP1267" s="38"/>
      <c r="BQ1267" s="38"/>
    </row>
    <row r="1268">
      <c r="A1268" s="58" t="s">
        <v>3812</v>
      </c>
      <c r="B1268" s="59">
        <v>43252.0</v>
      </c>
      <c r="C1268" s="59">
        <v>43252.0</v>
      </c>
      <c r="D1268" s="60" t="s">
        <v>3727</v>
      </c>
      <c r="E1268" s="58" t="s">
        <v>31</v>
      </c>
      <c r="F1268" s="58">
        <v>3.0</v>
      </c>
      <c r="G1268" s="58" t="s">
        <v>32</v>
      </c>
      <c r="H1268" s="33">
        <f t="shared" si="188"/>
        <v>1</v>
      </c>
      <c r="I1268" s="58" t="s">
        <v>33</v>
      </c>
      <c r="J1268" s="58" t="s">
        <v>147</v>
      </c>
      <c r="K1268" s="58" t="s">
        <v>32</v>
      </c>
      <c r="L1268" s="58" t="s">
        <v>3813</v>
      </c>
      <c r="M1268" s="35" t="s">
        <v>3814</v>
      </c>
      <c r="N1268" s="77"/>
      <c r="O1268" s="62"/>
      <c r="P1268" s="62"/>
      <c r="Q1268" s="62"/>
      <c r="R1268" s="62"/>
      <c r="S1268" s="37" t="str">
        <f>IFERROR(__xludf.DUMMYFUNCTION("if(not(iserror(index(split(C1268, "" ""),2))), index(split(C1268, "" ""),1),"""")"),"June")</f>
        <v>June</v>
      </c>
      <c r="T1268" s="38">
        <f>IFERROR(__xludf.DUMMYFUNCTION("if(S1268="""",C1268,if(not(iserror(index(split(C1268, "" ""),3))), index(split(C1268, "" ""),3),index(split(C1268, "" ""),2)))"),2018.0)</f>
        <v>2018</v>
      </c>
      <c r="U1268" s="38" t="b">
        <f t="shared" si="189"/>
        <v>0</v>
      </c>
      <c r="V1268" s="38"/>
      <c r="W1268" s="40"/>
      <c r="X1268" s="40"/>
      <c r="Y1268" s="40"/>
      <c r="Z1268" s="38"/>
      <c r="AA1268" s="38"/>
      <c r="AB1268" s="38"/>
      <c r="AC1268" s="38"/>
      <c r="AD1268" s="38"/>
      <c r="AE1268" s="38"/>
      <c r="AF1268" s="38"/>
      <c r="AG1268" s="38"/>
      <c r="AH1268" s="38"/>
      <c r="AI1268" s="38"/>
      <c r="AJ1268" s="38"/>
      <c r="AK1268" s="38"/>
      <c r="AL1268" s="38"/>
      <c r="AM1268" s="38"/>
      <c r="AN1268" s="38"/>
      <c r="AO1268" s="38"/>
      <c r="AP1268" s="38"/>
      <c r="AQ1268" s="38"/>
      <c r="AR1268" s="38"/>
      <c r="AS1268" s="38"/>
      <c r="AT1268" s="38"/>
      <c r="AU1268" s="38"/>
      <c r="AV1268" s="38"/>
      <c r="AW1268" s="38"/>
      <c r="AX1268" s="38"/>
      <c r="AY1268" s="38"/>
      <c r="AZ1268" s="38"/>
      <c r="BA1268" s="38"/>
      <c r="BB1268" s="38"/>
      <c r="BC1268" s="38"/>
      <c r="BD1268" s="38"/>
      <c r="BE1268" s="38"/>
      <c r="BF1268" s="38"/>
      <c r="BG1268" s="38"/>
      <c r="BH1268" s="38"/>
      <c r="BI1268" s="38"/>
      <c r="BJ1268" s="38"/>
      <c r="BK1268" s="38"/>
      <c r="BL1268" s="38"/>
      <c r="BM1268" s="38"/>
      <c r="BN1268" s="38"/>
      <c r="BO1268" s="38"/>
      <c r="BP1268" s="38"/>
      <c r="BQ1268" s="38"/>
    </row>
    <row r="1269">
      <c r="A1269" s="58" t="s">
        <v>3815</v>
      </c>
      <c r="B1269" s="59">
        <v>43252.0</v>
      </c>
      <c r="C1269" s="59">
        <v>43252.0</v>
      </c>
      <c r="D1269" s="60" t="s">
        <v>3727</v>
      </c>
      <c r="E1269" s="58" t="s">
        <v>31</v>
      </c>
      <c r="F1269" s="58">
        <v>1.0</v>
      </c>
      <c r="G1269" s="58" t="s">
        <v>32</v>
      </c>
      <c r="H1269" s="33">
        <f t="shared" si="188"/>
        <v>1</v>
      </c>
      <c r="I1269" s="58" t="s">
        <v>33</v>
      </c>
      <c r="J1269" s="58" t="s">
        <v>93</v>
      </c>
      <c r="K1269" s="58" t="s">
        <v>32</v>
      </c>
      <c r="L1269" s="58" t="s">
        <v>3816</v>
      </c>
      <c r="M1269" s="35" t="s">
        <v>3817</v>
      </c>
      <c r="N1269" s="77"/>
      <c r="O1269" s="62"/>
      <c r="P1269" s="62"/>
      <c r="Q1269" s="62"/>
      <c r="R1269" s="62"/>
      <c r="S1269" s="37" t="str">
        <f>IFERROR(__xludf.DUMMYFUNCTION("if(not(iserror(index(split(C1269, "" ""),2))), index(split(C1269, "" ""),1),"""")"),"June")</f>
        <v>June</v>
      </c>
      <c r="T1269" s="38">
        <f>IFERROR(__xludf.DUMMYFUNCTION("if(S1269="""",C1269,if(not(iserror(index(split(C1269, "" ""),3))), index(split(C1269, "" ""),3),index(split(C1269, "" ""),2)))"),2018.0)</f>
        <v>2018</v>
      </c>
      <c r="U1269" s="38" t="b">
        <f t="shared" si="189"/>
        <v>0</v>
      </c>
      <c r="V1269" s="38"/>
      <c r="W1269" s="40"/>
      <c r="X1269" s="40"/>
      <c r="Y1269" s="40"/>
      <c r="Z1269" s="38"/>
      <c r="AA1269" s="38"/>
      <c r="AB1269" s="38"/>
      <c r="AC1269" s="38"/>
      <c r="AD1269" s="38"/>
      <c r="AE1269" s="38"/>
      <c r="AF1269" s="38"/>
      <c r="AG1269" s="38"/>
      <c r="AH1269" s="38"/>
      <c r="AI1269" s="38"/>
      <c r="AJ1269" s="38"/>
      <c r="AK1269" s="38"/>
      <c r="AL1269" s="38"/>
      <c r="AM1269" s="38"/>
      <c r="AN1269" s="38"/>
      <c r="AO1269" s="38"/>
      <c r="AP1269" s="38"/>
      <c r="AQ1269" s="38"/>
      <c r="AR1269" s="38"/>
      <c r="AS1269" s="38"/>
      <c r="AT1269" s="38"/>
      <c r="AU1269" s="38"/>
      <c r="AV1269" s="38"/>
      <c r="AW1269" s="38"/>
      <c r="AX1269" s="38"/>
      <c r="AY1269" s="38"/>
      <c r="AZ1269" s="38"/>
      <c r="BA1269" s="38"/>
      <c r="BB1269" s="38"/>
      <c r="BC1269" s="38"/>
      <c r="BD1269" s="38"/>
      <c r="BE1269" s="38"/>
      <c r="BF1269" s="38"/>
      <c r="BG1269" s="38"/>
      <c r="BH1269" s="38"/>
      <c r="BI1269" s="38"/>
      <c r="BJ1269" s="38"/>
      <c r="BK1269" s="38"/>
      <c r="BL1269" s="38"/>
      <c r="BM1269" s="38"/>
      <c r="BN1269" s="38"/>
      <c r="BO1269" s="38"/>
      <c r="BP1269" s="38"/>
      <c r="BQ1269" s="38"/>
    </row>
    <row r="1270">
      <c r="A1270" s="58" t="s">
        <v>3818</v>
      </c>
      <c r="B1270" s="59"/>
      <c r="C1270" s="79">
        <v>43252.0</v>
      </c>
      <c r="D1270" s="60"/>
      <c r="E1270" s="58" t="s">
        <v>41</v>
      </c>
      <c r="F1270" s="58">
        <v>1.0</v>
      </c>
      <c r="G1270" s="58">
        <v>8.0</v>
      </c>
      <c r="H1270" s="43">
        <v>8.0</v>
      </c>
      <c r="I1270" s="58" t="s">
        <v>33</v>
      </c>
      <c r="J1270" s="58" t="s">
        <v>172</v>
      </c>
      <c r="K1270" s="58"/>
      <c r="L1270" s="58" t="s">
        <v>76</v>
      </c>
      <c r="M1270" s="35" t="s">
        <v>3819</v>
      </c>
      <c r="N1270" s="77"/>
      <c r="O1270" s="83" t="str">
        <f>hyperlink("https://bad-boys.us/?q=WD-NC/1:18-cr-00076", "WD-NC 1:18-cr-00076")</f>
        <v>WD-NC 1:18-cr-00076</v>
      </c>
      <c r="P1270" s="88" t="s">
        <v>3820</v>
      </c>
      <c r="Q1270" s="58">
        <v>1.0</v>
      </c>
      <c r="R1270" s="62"/>
      <c r="S1270" s="37" t="str">
        <f>IFERROR(__xludf.DUMMYFUNCTION("if(not(iserror(index(split(C1270, "" ""),2))), index(split(C1270, "" ""),1),"""")"),"June,")</f>
        <v>June,</v>
      </c>
      <c r="T1270" s="38">
        <f>IFERROR(__xludf.DUMMYFUNCTION("if(S1270="""",C1270,if(not(iserror(index(split(C1270, "" ""),3))), index(split(C1270, "" ""),3),index(split(C1270, "" ""),2)))"),2018.0)</f>
        <v>2018</v>
      </c>
      <c r="U1270" s="38" t="b">
        <f t="shared" si="189"/>
        <v>0</v>
      </c>
      <c r="V1270" s="38" t="s">
        <v>33</v>
      </c>
      <c r="W1270" s="40"/>
      <c r="X1270" s="40"/>
      <c r="Y1270" s="40"/>
      <c r="Z1270" s="38"/>
      <c r="AA1270" s="38"/>
      <c r="AB1270" s="38"/>
      <c r="AC1270" s="38"/>
      <c r="AD1270" s="38"/>
      <c r="AE1270" s="38"/>
      <c r="AF1270" s="38"/>
      <c r="AG1270" s="38"/>
      <c r="AH1270" s="38"/>
      <c r="AI1270" s="38"/>
      <c r="AJ1270" s="38"/>
      <c r="AK1270" s="38"/>
      <c r="AL1270" s="38"/>
      <c r="AM1270" s="38"/>
      <c r="AN1270" s="38"/>
      <c r="AO1270" s="38"/>
      <c r="AP1270" s="38"/>
      <c r="AQ1270" s="38"/>
      <c r="AR1270" s="38"/>
      <c r="AS1270" s="38"/>
      <c r="AT1270" s="38"/>
      <c r="AU1270" s="38"/>
      <c r="AV1270" s="38"/>
      <c r="AW1270" s="38"/>
      <c r="AX1270" s="38"/>
      <c r="AY1270" s="38"/>
      <c r="AZ1270" s="38"/>
      <c r="BA1270" s="38"/>
      <c r="BB1270" s="38"/>
      <c r="BC1270" s="38"/>
      <c r="BD1270" s="38"/>
      <c r="BE1270" s="38"/>
      <c r="BF1270" s="38"/>
      <c r="BG1270" s="38"/>
      <c r="BH1270" s="38"/>
      <c r="BI1270" s="38"/>
      <c r="BJ1270" s="38"/>
      <c r="BK1270" s="38"/>
      <c r="BL1270" s="38"/>
      <c r="BM1270" s="38"/>
      <c r="BN1270" s="38"/>
      <c r="BO1270" s="38"/>
      <c r="BP1270" s="38"/>
      <c r="BQ1270" s="38"/>
    </row>
    <row r="1271">
      <c r="A1271" s="58" t="s">
        <v>3821</v>
      </c>
      <c r="B1271" s="59">
        <v>43263.0</v>
      </c>
      <c r="C1271" s="79">
        <v>43252.0</v>
      </c>
      <c r="D1271" s="60" t="s">
        <v>2163</v>
      </c>
      <c r="E1271" s="58" t="s">
        <v>41</v>
      </c>
      <c r="F1271" s="58">
        <v>1.0</v>
      </c>
      <c r="G1271" s="58" t="s">
        <v>32</v>
      </c>
      <c r="H1271" s="33">
        <f t="shared" ref="H1271:H1278" si="190">if(G1271="Unknown",1,G1271)</f>
        <v>1</v>
      </c>
      <c r="I1271" s="58" t="s">
        <v>33</v>
      </c>
      <c r="J1271" s="58" t="s">
        <v>34</v>
      </c>
      <c r="K1271" s="58">
        <v>9.0</v>
      </c>
      <c r="L1271" s="58" t="s">
        <v>76</v>
      </c>
      <c r="M1271" s="61" t="s">
        <v>3822</v>
      </c>
      <c r="N1271" s="61" t="s">
        <v>3823</v>
      </c>
      <c r="O1271" s="83" t="str">
        <f>hyperlink("https://bad-boys.us/?q=D-NH/1:17-cr-00187", "D-NH 1:17-cr-00187")</f>
        <v>D-NH 1:17-cr-00187</v>
      </c>
      <c r="P1271" s="88" t="s">
        <v>3824</v>
      </c>
      <c r="Q1271" s="58">
        <v>1.0</v>
      </c>
      <c r="R1271" s="62"/>
      <c r="S1271" s="37" t="str">
        <f>IFERROR(__xludf.DUMMYFUNCTION("if(not(iserror(index(split(C1271, "" ""),2))), index(split(C1271, "" ""),1),"""")"),"June,")</f>
        <v>June,</v>
      </c>
      <c r="T1271" s="38">
        <f>IFERROR(__xludf.DUMMYFUNCTION("if(S1271="""",C1271,if(not(iserror(index(split(C1271, "" ""),3))), index(split(C1271, "" ""),3),index(split(C1271, "" ""),2)))"),2018.0)</f>
        <v>2018</v>
      </c>
      <c r="U1271" s="38" t="b">
        <f t="shared" si="189"/>
        <v>0</v>
      </c>
      <c r="V1271" s="38" t="s">
        <v>33</v>
      </c>
      <c r="W1271" s="40"/>
      <c r="X1271" s="40"/>
      <c r="Y1271" s="40"/>
      <c r="Z1271" s="38"/>
      <c r="AA1271" s="38"/>
      <c r="AB1271" s="38"/>
      <c r="AC1271" s="38"/>
      <c r="AD1271" s="38"/>
      <c r="AE1271" s="38"/>
      <c r="AF1271" s="38"/>
      <c r="AG1271" s="38"/>
      <c r="AH1271" s="38"/>
      <c r="AI1271" s="38"/>
      <c r="AJ1271" s="38"/>
      <c r="AK1271" s="38"/>
      <c r="AL1271" s="38"/>
      <c r="AM1271" s="38"/>
      <c r="AN1271" s="38"/>
      <c r="AO1271" s="38"/>
      <c r="AP1271" s="38"/>
      <c r="AQ1271" s="38"/>
      <c r="AR1271" s="38"/>
      <c r="AS1271" s="38"/>
      <c r="AT1271" s="38"/>
      <c r="AU1271" s="38"/>
      <c r="AV1271" s="38"/>
      <c r="AW1271" s="38"/>
      <c r="AX1271" s="38"/>
      <c r="AY1271" s="38"/>
      <c r="AZ1271" s="38"/>
      <c r="BA1271" s="38"/>
      <c r="BB1271" s="38"/>
      <c r="BC1271" s="38"/>
      <c r="BD1271" s="38"/>
      <c r="BE1271" s="38"/>
      <c r="BF1271" s="38"/>
      <c r="BG1271" s="38"/>
      <c r="BH1271" s="38"/>
      <c r="BI1271" s="38"/>
      <c r="BJ1271" s="38"/>
      <c r="BK1271" s="38"/>
      <c r="BL1271" s="38"/>
      <c r="BM1271" s="38"/>
      <c r="BN1271" s="38"/>
      <c r="BO1271" s="38"/>
      <c r="BP1271" s="38"/>
      <c r="BQ1271" s="38"/>
    </row>
    <row r="1272">
      <c r="A1272" s="37" t="s">
        <v>3803</v>
      </c>
      <c r="B1272" s="215">
        <v>43271.0</v>
      </c>
      <c r="C1272" s="100">
        <v>43252.0</v>
      </c>
      <c r="D1272" s="144" t="s">
        <v>2163</v>
      </c>
      <c r="E1272" s="37" t="s">
        <v>41</v>
      </c>
      <c r="F1272" s="216">
        <v>1.0</v>
      </c>
      <c r="G1272" s="216" t="s">
        <v>32</v>
      </c>
      <c r="H1272" s="33">
        <f t="shared" si="190"/>
        <v>1</v>
      </c>
      <c r="I1272" s="37" t="s">
        <v>13</v>
      </c>
      <c r="J1272" s="37" t="s">
        <v>14</v>
      </c>
      <c r="K1272" s="216" t="s">
        <v>222</v>
      </c>
      <c r="L1272" s="58" t="s">
        <v>99</v>
      </c>
      <c r="M1272" s="120" t="s">
        <v>3804</v>
      </c>
      <c r="N1272" s="14"/>
      <c r="O1272" s="37"/>
      <c r="P1272" s="37"/>
      <c r="Q1272" s="217"/>
      <c r="R1272" s="218"/>
      <c r="S1272" s="37" t="str">
        <f>IFERROR(__xludf.DUMMYFUNCTION("if(not(iserror(index(split(C1272, "" ""),2))), index(split(C1272, "" ""),1),"""")"),"June,")</f>
        <v>June,</v>
      </c>
      <c r="T1272" s="38">
        <f>IFERROR(__xludf.DUMMYFUNCTION("if(S1272="""",C1272,if(not(iserror(index(split(C1272, "" ""),3))), index(split(C1272, "" ""),3),index(split(C1272, "" ""),2)))"),2018.0)</f>
        <v>2018</v>
      </c>
      <c r="U1272" s="38" t="b">
        <f t="shared" si="189"/>
        <v>1</v>
      </c>
      <c r="V1272" s="38"/>
      <c r="W1272" s="40"/>
      <c r="X1272" s="40"/>
      <c r="Y1272" s="40"/>
      <c r="Z1272" s="38"/>
      <c r="AA1272" s="38"/>
      <c r="AB1272" s="38"/>
      <c r="AC1272" s="38"/>
      <c r="AD1272" s="38"/>
      <c r="AE1272" s="38"/>
      <c r="AF1272" s="38"/>
      <c r="AG1272" s="38"/>
      <c r="AH1272" s="38"/>
      <c r="AI1272" s="38"/>
      <c r="AJ1272" s="38"/>
      <c r="AK1272" s="38"/>
      <c r="AL1272" s="38"/>
      <c r="AM1272" s="38"/>
      <c r="AN1272" s="38"/>
      <c r="AO1272" s="38"/>
      <c r="AP1272" s="38"/>
      <c r="AQ1272" s="38"/>
      <c r="AR1272" s="38"/>
      <c r="AS1272" s="38"/>
      <c r="AT1272" s="38"/>
      <c r="AU1272" s="38"/>
      <c r="AV1272" s="38"/>
      <c r="AW1272" s="38"/>
      <c r="AX1272" s="38"/>
      <c r="AY1272" s="38"/>
      <c r="AZ1272" s="38"/>
      <c r="BA1272" s="38"/>
      <c r="BB1272" s="38"/>
      <c r="BC1272" s="38"/>
      <c r="BD1272" s="38"/>
      <c r="BE1272" s="38"/>
      <c r="BF1272" s="38"/>
      <c r="BG1272" s="38"/>
      <c r="BH1272" s="38"/>
      <c r="BI1272" s="38"/>
      <c r="BJ1272" s="38"/>
      <c r="BK1272" s="38"/>
      <c r="BL1272" s="38"/>
      <c r="BM1272" s="38"/>
      <c r="BN1272" s="38"/>
      <c r="BO1272" s="38"/>
      <c r="BP1272" s="38"/>
      <c r="BQ1272" s="38"/>
    </row>
    <row r="1273">
      <c r="A1273" s="78" t="s">
        <v>3825</v>
      </c>
      <c r="B1273" s="59">
        <v>43279.0</v>
      </c>
      <c r="C1273" s="79">
        <v>43252.0</v>
      </c>
      <c r="D1273" s="60" t="s">
        <v>2163</v>
      </c>
      <c r="E1273" s="58" t="s">
        <v>41</v>
      </c>
      <c r="F1273" s="58">
        <v>1.0</v>
      </c>
      <c r="G1273" s="58" t="s">
        <v>32</v>
      </c>
      <c r="H1273" s="33">
        <f t="shared" si="190"/>
        <v>1</v>
      </c>
      <c r="I1273" s="58" t="s">
        <v>33</v>
      </c>
      <c r="J1273" s="58" t="s">
        <v>124</v>
      </c>
      <c r="K1273" s="58">
        <v>4.0</v>
      </c>
      <c r="L1273" s="58" t="s">
        <v>69</v>
      </c>
      <c r="M1273" s="61" t="s">
        <v>3826</v>
      </c>
      <c r="N1273" s="77"/>
      <c r="O1273" s="83" t="str">
        <f>hyperlink("https://bad-boys.us/?q=ND-OH/5:18-cr-00336", "ND-OH 5:18-cr-00336")</f>
        <v>ND-OH 5:18-cr-00336</v>
      </c>
      <c r="P1273" s="88" t="s">
        <v>3827</v>
      </c>
      <c r="Q1273" s="58">
        <v>1.0</v>
      </c>
      <c r="R1273" s="62"/>
      <c r="S1273" s="37" t="str">
        <f>IFERROR(__xludf.DUMMYFUNCTION("if(not(iserror(index(split(C1273, "" ""),2))), index(split(C1273, "" ""),1),"""")"),"June,")</f>
        <v>June,</v>
      </c>
      <c r="T1273" s="38">
        <f>IFERROR(__xludf.DUMMYFUNCTION("if(S1273="""",C1273,if(not(iserror(index(split(C1273, "" ""),3))), index(split(C1273, "" ""),3),index(split(C1273, "" ""),2)))"),2018.0)</f>
        <v>2018</v>
      </c>
      <c r="U1273" s="38" t="b">
        <f t="shared" si="189"/>
        <v>0</v>
      </c>
      <c r="V1273" s="38"/>
      <c r="W1273" s="40"/>
      <c r="X1273" s="40"/>
      <c r="Y1273" s="40"/>
      <c r="Z1273" s="38"/>
      <c r="AA1273" s="38"/>
      <c r="AB1273" s="38"/>
      <c r="AC1273" s="38"/>
      <c r="AD1273" s="38"/>
      <c r="AE1273" s="38"/>
      <c r="AF1273" s="38"/>
      <c r="AG1273" s="38"/>
      <c r="AH1273" s="38"/>
      <c r="AI1273" s="38"/>
      <c r="AJ1273" s="38"/>
      <c r="AK1273" s="38"/>
      <c r="AL1273" s="38"/>
      <c r="AM1273" s="38"/>
      <c r="AN1273" s="38"/>
      <c r="AO1273" s="38"/>
      <c r="AP1273" s="38"/>
      <c r="AQ1273" s="38"/>
      <c r="AR1273" s="38"/>
      <c r="AS1273" s="38"/>
      <c r="AT1273" s="38"/>
      <c r="AU1273" s="38"/>
      <c r="AV1273" s="38"/>
      <c r="AW1273" s="38"/>
      <c r="AX1273" s="38"/>
      <c r="AY1273" s="38"/>
      <c r="AZ1273" s="38"/>
      <c r="BA1273" s="38"/>
      <c r="BB1273" s="38"/>
      <c r="BC1273" s="38"/>
      <c r="BD1273" s="38"/>
      <c r="BE1273" s="38"/>
      <c r="BF1273" s="38"/>
      <c r="BG1273" s="38"/>
      <c r="BH1273" s="38"/>
      <c r="BI1273" s="38"/>
      <c r="BJ1273" s="38"/>
      <c r="BK1273" s="38"/>
      <c r="BL1273" s="38"/>
      <c r="BM1273" s="38"/>
      <c r="BN1273" s="38"/>
      <c r="BO1273" s="38"/>
      <c r="BP1273" s="38"/>
      <c r="BQ1273" s="38"/>
    </row>
    <row r="1274">
      <c r="A1274" s="78" t="s">
        <v>3828</v>
      </c>
      <c r="B1274" s="59">
        <v>43279.0</v>
      </c>
      <c r="C1274" s="79">
        <v>43252.0</v>
      </c>
      <c r="D1274" s="60" t="s">
        <v>2163</v>
      </c>
      <c r="E1274" s="58" t="s">
        <v>41</v>
      </c>
      <c r="F1274" s="58">
        <v>1.0</v>
      </c>
      <c r="G1274" s="58" t="s">
        <v>32</v>
      </c>
      <c r="H1274" s="33">
        <f t="shared" si="190"/>
        <v>1</v>
      </c>
      <c r="I1274" s="58" t="s">
        <v>33</v>
      </c>
      <c r="J1274" s="58" t="s">
        <v>124</v>
      </c>
      <c r="K1274" s="58">
        <v>4.0</v>
      </c>
      <c r="L1274" s="58" t="s">
        <v>69</v>
      </c>
      <c r="M1274" s="61" t="s">
        <v>3826</v>
      </c>
      <c r="N1274" s="77"/>
      <c r="O1274" s="83" t="str">
        <f>hyperlink("https://bad-boys.us/?q=ND-OH/5:18-cr-00337", "ND-OH 5:18-cr-00337")</f>
        <v>ND-OH 5:18-cr-00337</v>
      </c>
      <c r="P1274" s="88" t="s">
        <v>3829</v>
      </c>
      <c r="Q1274" s="58">
        <v>1.0</v>
      </c>
      <c r="R1274" s="62"/>
      <c r="S1274" s="37" t="str">
        <f>IFERROR(__xludf.DUMMYFUNCTION("if(not(iserror(index(split(C1274, "" ""),2))), index(split(C1274, "" ""),1),"""")"),"June,")</f>
        <v>June,</v>
      </c>
      <c r="T1274" s="38">
        <f>IFERROR(__xludf.DUMMYFUNCTION("if(S1274="""",C1274,if(not(iserror(index(split(C1274, "" ""),3))), index(split(C1274, "" ""),3),index(split(C1274, "" ""),2)))"),2018.0)</f>
        <v>2018</v>
      </c>
      <c r="U1274" s="38" t="b">
        <f t="shared" si="189"/>
        <v>0</v>
      </c>
      <c r="V1274" s="38"/>
      <c r="W1274" s="40"/>
      <c r="X1274" s="40"/>
      <c r="Y1274" s="40"/>
      <c r="Z1274" s="38"/>
      <c r="AA1274" s="38"/>
      <c r="AB1274" s="38"/>
      <c r="AC1274" s="38"/>
      <c r="AD1274" s="38"/>
      <c r="AE1274" s="38"/>
      <c r="AF1274" s="38"/>
      <c r="AG1274" s="38"/>
      <c r="AH1274" s="38"/>
      <c r="AI1274" s="38"/>
      <c r="AJ1274" s="38"/>
      <c r="AK1274" s="38"/>
      <c r="AL1274" s="38"/>
      <c r="AM1274" s="38"/>
      <c r="AN1274" s="38"/>
      <c r="AO1274" s="38"/>
      <c r="AP1274" s="38"/>
      <c r="AQ1274" s="38"/>
      <c r="AR1274" s="38"/>
      <c r="AS1274" s="38"/>
      <c r="AT1274" s="38"/>
      <c r="AU1274" s="38"/>
      <c r="AV1274" s="38"/>
      <c r="AW1274" s="38"/>
      <c r="AX1274" s="38"/>
      <c r="AY1274" s="38"/>
      <c r="AZ1274" s="38"/>
      <c r="BA1274" s="38"/>
      <c r="BB1274" s="38"/>
      <c r="BC1274" s="38"/>
      <c r="BD1274" s="38"/>
      <c r="BE1274" s="38"/>
      <c r="BF1274" s="38"/>
      <c r="BG1274" s="38"/>
      <c r="BH1274" s="38"/>
      <c r="BI1274" s="38"/>
      <c r="BJ1274" s="38"/>
      <c r="BK1274" s="38"/>
      <c r="BL1274" s="38"/>
      <c r="BM1274" s="38"/>
      <c r="BN1274" s="38"/>
      <c r="BO1274" s="38"/>
      <c r="BP1274" s="38"/>
      <c r="BQ1274" s="38"/>
    </row>
    <row r="1275">
      <c r="A1275" s="78" t="s">
        <v>3830</v>
      </c>
      <c r="B1275" s="59">
        <v>43279.0</v>
      </c>
      <c r="C1275" s="79">
        <v>43252.0</v>
      </c>
      <c r="D1275" s="60" t="s">
        <v>2163</v>
      </c>
      <c r="E1275" s="58" t="s">
        <v>41</v>
      </c>
      <c r="F1275" s="58">
        <v>1.0</v>
      </c>
      <c r="G1275" s="58" t="s">
        <v>32</v>
      </c>
      <c r="H1275" s="33">
        <f t="shared" si="190"/>
        <v>1</v>
      </c>
      <c r="I1275" s="58" t="s">
        <v>33</v>
      </c>
      <c r="J1275" s="58" t="s">
        <v>124</v>
      </c>
      <c r="K1275" s="58">
        <v>4.0</v>
      </c>
      <c r="L1275" s="58" t="s">
        <v>69</v>
      </c>
      <c r="M1275" s="61" t="s">
        <v>3826</v>
      </c>
      <c r="N1275" s="77"/>
      <c r="O1275" s="83" t="str">
        <f>hyperlink("https://bad-boys.us/?q=ND-OH/5:18-cr-00340", "ND-OH 5:18-cr-00340")</f>
        <v>ND-OH 5:18-cr-00340</v>
      </c>
      <c r="P1275" s="88" t="s">
        <v>3831</v>
      </c>
      <c r="Q1275" s="58">
        <v>1.0</v>
      </c>
      <c r="R1275" s="62"/>
      <c r="S1275" s="37" t="str">
        <f>IFERROR(__xludf.DUMMYFUNCTION("if(not(iserror(index(split(C1275, "" ""),2))), index(split(C1275, "" ""),1),"""")"),"June,")</f>
        <v>June,</v>
      </c>
      <c r="T1275" s="38">
        <f>IFERROR(__xludf.DUMMYFUNCTION("if(S1275="""",C1275,if(not(iserror(index(split(C1275, "" ""),3))), index(split(C1275, "" ""),3),index(split(C1275, "" ""),2)))"),2018.0)</f>
        <v>2018</v>
      </c>
      <c r="U1275" s="38" t="b">
        <f t="shared" si="189"/>
        <v>0</v>
      </c>
      <c r="V1275" s="38"/>
      <c r="W1275" s="40"/>
      <c r="X1275" s="40"/>
      <c r="Y1275" s="40"/>
      <c r="Z1275" s="38"/>
      <c r="AA1275" s="38"/>
      <c r="AB1275" s="38"/>
      <c r="AC1275" s="38"/>
      <c r="AD1275" s="38"/>
      <c r="AE1275" s="38"/>
      <c r="AF1275" s="38"/>
      <c r="AG1275" s="38"/>
      <c r="AH1275" s="38"/>
      <c r="AI1275" s="38"/>
      <c r="AJ1275" s="38"/>
      <c r="AK1275" s="38"/>
      <c r="AL1275" s="38"/>
      <c r="AM1275" s="38"/>
      <c r="AN1275" s="38"/>
      <c r="AO1275" s="38"/>
      <c r="AP1275" s="38"/>
      <c r="AQ1275" s="38"/>
      <c r="AR1275" s="38"/>
      <c r="AS1275" s="38"/>
      <c r="AT1275" s="38"/>
      <c r="AU1275" s="38"/>
      <c r="AV1275" s="38"/>
      <c r="AW1275" s="38"/>
      <c r="AX1275" s="38"/>
      <c r="AY1275" s="38"/>
      <c r="AZ1275" s="38"/>
      <c r="BA1275" s="38"/>
      <c r="BB1275" s="38"/>
      <c r="BC1275" s="38"/>
      <c r="BD1275" s="38"/>
      <c r="BE1275" s="38"/>
      <c r="BF1275" s="38"/>
      <c r="BG1275" s="38"/>
      <c r="BH1275" s="38"/>
      <c r="BI1275" s="38"/>
      <c r="BJ1275" s="38"/>
      <c r="BK1275" s="38"/>
      <c r="BL1275" s="38"/>
      <c r="BM1275" s="38"/>
      <c r="BN1275" s="38"/>
      <c r="BO1275" s="38"/>
      <c r="BP1275" s="38"/>
      <c r="BQ1275" s="38"/>
    </row>
    <row r="1276">
      <c r="A1276" s="78" t="s">
        <v>3832</v>
      </c>
      <c r="B1276" s="59">
        <v>43279.0</v>
      </c>
      <c r="C1276" s="79">
        <v>43252.0</v>
      </c>
      <c r="D1276" s="60" t="s">
        <v>2163</v>
      </c>
      <c r="E1276" s="58" t="s">
        <v>41</v>
      </c>
      <c r="F1276" s="58">
        <v>1.0</v>
      </c>
      <c r="G1276" s="58" t="s">
        <v>32</v>
      </c>
      <c r="H1276" s="33">
        <f t="shared" si="190"/>
        <v>1</v>
      </c>
      <c r="I1276" s="58" t="s">
        <v>33</v>
      </c>
      <c r="J1276" s="58" t="s">
        <v>124</v>
      </c>
      <c r="K1276" s="58">
        <v>4.0</v>
      </c>
      <c r="L1276" s="58" t="s">
        <v>69</v>
      </c>
      <c r="M1276" s="61" t="s">
        <v>3826</v>
      </c>
      <c r="N1276" s="77"/>
      <c r="O1276" s="83" t="str">
        <f>hyperlink("https://bad-boys.us/?q=ND-OH/5:18-cr-00341", "ND-OH 5:18-cr-00341")</f>
        <v>ND-OH 5:18-cr-00341</v>
      </c>
      <c r="P1276" s="88" t="s">
        <v>3833</v>
      </c>
      <c r="Q1276" s="58">
        <v>1.0</v>
      </c>
      <c r="R1276" s="62"/>
      <c r="S1276" s="37" t="str">
        <f>IFERROR(__xludf.DUMMYFUNCTION("if(not(iserror(index(split(C1276, "" ""),2))), index(split(C1276, "" ""),1),"""")"),"June,")</f>
        <v>June,</v>
      </c>
      <c r="T1276" s="38">
        <f>IFERROR(__xludf.DUMMYFUNCTION("if(S1276="""",C1276,if(not(iserror(index(split(C1276, "" ""),3))), index(split(C1276, "" ""),3),index(split(C1276, "" ""),2)))"),2018.0)</f>
        <v>2018</v>
      </c>
      <c r="U1276" s="38" t="b">
        <f t="shared" si="189"/>
        <v>0</v>
      </c>
      <c r="V1276" s="38"/>
      <c r="W1276" s="40"/>
      <c r="X1276" s="40"/>
      <c r="Y1276" s="40"/>
      <c r="Z1276" s="38"/>
      <c r="AA1276" s="38"/>
      <c r="AB1276" s="38"/>
      <c r="AC1276" s="38"/>
      <c r="AD1276" s="38"/>
      <c r="AE1276" s="38"/>
      <c r="AF1276" s="38"/>
      <c r="AG1276" s="38"/>
      <c r="AH1276" s="38"/>
      <c r="AI1276" s="38"/>
      <c r="AJ1276" s="38"/>
      <c r="AK1276" s="38"/>
      <c r="AL1276" s="38"/>
      <c r="AM1276" s="38"/>
      <c r="AN1276" s="38"/>
      <c r="AO1276" s="38"/>
      <c r="AP1276" s="38"/>
      <c r="AQ1276" s="38"/>
      <c r="AR1276" s="38"/>
      <c r="AS1276" s="38"/>
      <c r="AT1276" s="38"/>
      <c r="AU1276" s="38"/>
      <c r="AV1276" s="38"/>
      <c r="AW1276" s="38"/>
      <c r="AX1276" s="38"/>
      <c r="AY1276" s="38"/>
      <c r="AZ1276" s="38"/>
      <c r="BA1276" s="38"/>
      <c r="BB1276" s="38"/>
      <c r="BC1276" s="38"/>
      <c r="BD1276" s="38"/>
      <c r="BE1276" s="38"/>
      <c r="BF1276" s="38"/>
      <c r="BG1276" s="38"/>
      <c r="BH1276" s="38"/>
      <c r="BI1276" s="38"/>
      <c r="BJ1276" s="38"/>
      <c r="BK1276" s="38"/>
      <c r="BL1276" s="38"/>
      <c r="BM1276" s="38"/>
      <c r="BN1276" s="38"/>
      <c r="BO1276" s="38"/>
      <c r="BP1276" s="38"/>
      <c r="BQ1276" s="38"/>
    </row>
    <row r="1277">
      <c r="A1277" s="78" t="s">
        <v>3834</v>
      </c>
      <c r="B1277" s="59">
        <v>43279.0</v>
      </c>
      <c r="C1277" s="79">
        <v>43252.0</v>
      </c>
      <c r="D1277" s="60" t="s">
        <v>2163</v>
      </c>
      <c r="E1277" s="58" t="s">
        <v>41</v>
      </c>
      <c r="F1277" s="58">
        <v>1.0</v>
      </c>
      <c r="G1277" s="58" t="s">
        <v>32</v>
      </c>
      <c r="H1277" s="33">
        <f t="shared" si="190"/>
        <v>1</v>
      </c>
      <c r="I1277" s="58" t="s">
        <v>33</v>
      </c>
      <c r="J1277" s="58" t="s">
        <v>124</v>
      </c>
      <c r="K1277" s="58">
        <v>4.0</v>
      </c>
      <c r="L1277" s="58" t="s">
        <v>119</v>
      </c>
      <c r="M1277" s="61" t="s">
        <v>3826</v>
      </c>
      <c r="N1277" s="77"/>
      <c r="O1277" s="83" t="str">
        <f>hyperlink("https://bad-boys.us/?q=ND-OH/5:18-cr-00335", "ND-OH 5:18-cr-00335")</f>
        <v>ND-OH 5:18-cr-00335</v>
      </c>
      <c r="P1277" s="88" t="s">
        <v>3835</v>
      </c>
      <c r="Q1277" s="58">
        <v>1.0</v>
      </c>
      <c r="R1277" s="62"/>
      <c r="S1277" s="37" t="str">
        <f>IFERROR(__xludf.DUMMYFUNCTION("if(not(iserror(index(split(C1277, "" ""),2))), index(split(C1277, "" ""),1),"""")"),"June,")</f>
        <v>June,</v>
      </c>
      <c r="T1277" s="38">
        <f>IFERROR(__xludf.DUMMYFUNCTION("if(S1277="""",C1277,if(not(iserror(index(split(C1277, "" ""),3))), index(split(C1277, "" ""),3),index(split(C1277, "" ""),2)))"),2018.0)</f>
        <v>2018</v>
      </c>
      <c r="U1277" s="38" t="b">
        <f t="shared" si="189"/>
        <v>0</v>
      </c>
      <c r="V1277" s="38"/>
      <c r="W1277" s="40"/>
      <c r="X1277" s="40"/>
      <c r="Y1277" s="40"/>
      <c r="Z1277" s="38"/>
      <c r="AA1277" s="38"/>
      <c r="AB1277" s="38"/>
      <c r="AC1277" s="38"/>
      <c r="AD1277" s="38"/>
      <c r="AE1277" s="38"/>
      <c r="AF1277" s="38"/>
      <c r="AG1277" s="38"/>
      <c r="AH1277" s="38"/>
      <c r="AI1277" s="38"/>
      <c r="AJ1277" s="38"/>
      <c r="AK1277" s="38"/>
      <c r="AL1277" s="38"/>
      <c r="AM1277" s="38"/>
      <c r="AN1277" s="38"/>
      <c r="AO1277" s="38"/>
      <c r="AP1277" s="38"/>
      <c r="AQ1277" s="38"/>
      <c r="AR1277" s="38"/>
      <c r="AS1277" s="38"/>
      <c r="AT1277" s="38"/>
      <c r="AU1277" s="38"/>
      <c r="AV1277" s="38"/>
      <c r="AW1277" s="38"/>
      <c r="AX1277" s="38"/>
      <c r="AY1277" s="38"/>
      <c r="AZ1277" s="38"/>
      <c r="BA1277" s="38"/>
      <c r="BB1277" s="38"/>
      <c r="BC1277" s="38"/>
      <c r="BD1277" s="38"/>
      <c r="BE1277" s="38"/>
      <c r="BF1277" s="38"/>
      <c r="BG1277" s="38"/>
      <c r="BH1277" s="38"/>
      <c r="BI1277" s="38"/>
      <c r="BJ1277" s="38"/>
      <c r="BK1277" s="38"/>
      <c r="BL1277" s="38"/>
      <c r="BM1277" s="38"/>
      <c r="BN1277" s="38"/>
      <c r="BO1277" s="38"/>
      <c r="BP1277" s="38"/>
      <c r="BQ1277" s="38"/>
    </row>
    <row r="1278">
      <c r="A1278" s="78" t="s">
        <v>3836</v>
      </c>
      <c r="B1278" s="59">
        <v>43284.0</v>
      </c>
      <c r="C1278" s="79">
        <v>43252.0</v>
      </c>
      <c r="D1278" s="60" t="s">
        <v>2163</v>
      </c>
      <c r="E1278" s="58" t="s">
        <v>41</v>
      </c>
      <c r="F1278" s="58">
        <v>1.0</v>
      </c>
      <c r="G1278" s="58" t="s">
        <v>32</v>
      </c>
      <c r="H1278" s="33">
        <f t="shared" si="190"/>
        <v>1</v>
      </c>
      <c r="I1278" s="58" t="s">
        <v>33</v>
      </c>
      <c r="J1278" s="58" t="s">
        <v>111</v>
      </c>
      <c r="K1278" s="58">
        <v>1.0</v>
      </c>
      <c r="L1278" s="58" t="s">
        <v>35</v>
      </c>
      <c r="M1278" s="61" t="s">
        <v>3837</v>
      </c>
      <c r="N1278" s="77"/>
      <c r="O1278" s="62"/>
      <c r="P1278" s="62"/>
      <c r="Q1278" s="62"/>
      <c r="R1278" s="62"/>
      <c r="S1278" s="37" t="str">
        <f>IFERROR(__xludf.DUMMYFUNCTION("if(not(iserror(index(split(C1278, "" ""),2))), index(split(C1278, "" ""),1),"""")"),"June,")</f>
        <v>June,</v>
      </c>
      <c r="T1278" s="38">
        <f>IFERROR(__xludf.DUMMYFUNCTION("if(S1278="""",C1278,if(not(iserror(index(split(C1278, "" ""),3))), index(split(C1278, "" ""),3),index(split(C1278, "" ""),2)))"),2018.0)</f>
        <v>2018</v>
      </c>
      <c r="U1278" s="38" t="b">
        <f t="shared" si="189"/>
        <v>0</v>
      </c>
      <c r="V1278" s="38"/>
      <c r="W1278" s="40"/>
      <c r="X1278" s="40"/>
      <c r="Y1278" s="40"/>
      <c r="Z1278" s="38"/>
      <c r="AA1278" s="38"/>
      <c r="AB1278" s="38"/>
      <c r="AC1278" s="38"/>
      <c r="AD1278" s="38"/>
      <c r="AE1278" s="38"/>
      <c r="AF1278" s="38"/>
      <c r="AG1278" s="38"/>
      <c r="AH1278" s="38"/>
      <c r="AI1278" s="38"/>
      <c r="AJ1278" s="38"/>
      <c r="AK1278" s="38"/>
      <c r="AL1278" s="38"/>
      <c r="AM1278" s="38"/>
      <c r="AN1278" s="38"/>
      <c r="AO1278" s="38"/>
      <c r="AP1278" s="38"/>
      <c r="AQ1278" s="38"/>
      <c r="AR1278" s="38"/>
      <c r="AS1278" s="38"/>
      <c r="AT1278" s="38"/>
      <c r="AU1278" s="38"/>
      <c r="AV1278" s="38"/>
      <c r="AW1278" s="38"/>
      <c r="AX1278" s="38"/>
      <c r="AY1278" s="38"/>
      <c r="AZ1278" s="38"/>
      <c r="BA1278" s="38"/>
      <c r="BB1278" s="38"/>
      <c r="BC1278" s="38"/>
      <c r="BD1278" s="38"/>
      <c r="BE1278" s="38"/>
      <c r="BF1278" s="38"/>
      <c r="BG1278" s="38"/>
      <c r="BH1278" s="38"/>
      <c r="BI1278" s="38"/>
      <c r="BJ1278" s="38"/>
      <c r="BK1278" s="38"/>
      <c r="BL1278" s="38"/>
      <c r="BM1278" s="38"/>
      <c r="BN1278" s="38"/>
      <c r="BO1278" s="38"/>
      <c r="BP1278" s="38"/>
      <c r="BQ1278" s="38"/>
    </row>
    <row r="1279">
      <c r="A1279" s="58" t="s">
        <v>3838</v>
      </c>
      <c r="B1279" s="59">
        <v>43291.0</v>
      </c>
      <c r="C1279" s="79">
        <v>43252.0</v>
      </c>
      <c r="D1279" s="60" t="s">
        <v>2163</v>
      </c>
      <c r="E1279" s="58" t="s">
        <v>41</v>
      </c>
      <c r="F1279" s="58">
        <v>1.0</v>
      </c>
      <c r="G1279" s="58" t="s">
        <v>32</v>
      </c>
      <c r="H1279" s="50">
        <v>1.0</v>
      </c>
      <c r="I1279" s="58" t="s">
        <v>33</v>
      </c>
      <c r="J1279" s="58" t="s">
        <v>279</v>
      </c>
      <c r="K1279" s="58">
        <v>2.0</v>
      </c>
      <c r="L1279" s="58" t="s">
        <v>119</v>
      </c>
      <c r="M1279" s="219" t="s">
        <v>3839</v>
      </c>
      <c r="N1279" s="220"/>
      <c r="O1279" s="221" t="str">
        <f>hyperlink("https://bad-boys.us/?q=WD-MO/6:18-mj-02036", "WD-MO 6:18-mj-02036")</f>
        <v>WD-MO 6:18-mj-02036</v>
      </c>
      <c r="P1279" s="222" t="s">
        <v>3840</v>
      </c>
      <c r="Q1279" s="124">
        <v>1.0</v>
      </c>
      <c r="R1279" s="133"/>
      <c r="S1279" s="37" t="str">
        <f>IFERROR(__xludf.DUMMYFUNCTION("if(not(iserror(index(split(C1279, "" ""),2))), index(split(C1279, "" ""),1),"""")"),"June,")</f>
        <v>June,</v>
      </c>
      <c r="T1279" s="38">
        <f>IFERROR(__xludf.DUMMYFUNCTION("if(S1279="""",C1279,if(not(iserror(index(split(C1279, "" ""),3))), index(split(C1279, "" ""),3),index(split(C1279, "" ""),2)))"),2018.0)</f>
        <v>2018</v>
      </c>
      <c r="U1279" s="38" t="b">
        <f t="shared" si="189"/>
        <v>0</v>
      </c>
      <c r="V1279" s="128"/>
      <c r="W1279" s="138"/>
      <c r="X1279" s="138"/>
      <c r="Y1279" s="131"/>
      <c r="Z1279" s="128"/>
      <c r="AA1279" s="128"/>
      <c r="AB1279" s="128"/>
      <c r="AC1279" s="128"/>
      <c r="AD1279" s="128"/>
      <c r="AE1279" s="128"/>
      <c r="AF1279" s="134"/>
      <c r="AG1279" s="134"/>
      <c r="AH1279" s="134"/>
      <c r="AI1279" s="134"/>
      <c r="AJ1279" s="134"/>
      <c r="AK1279" s="134"/>
      <c r="AL1279" s="134"/>
      <c r="AM1279" s="134"/>
      <c r="AN1279" s="134"/>
      <c r="AO1279" s="134"/>
      <c r="AP1279" s="134"/>
      <c r="AQ1279" s="134"/>
      <c r="AR1279" s="134"/>
      <c r="AS1279" s="134"/>
      <c r="AT1279" s="134"/>
      <c r="AU1279" s="134"/>
      <c r="AV1279" s="134"/>
      <c r="AW1279" s="134"/>
      <c r="AX1279" s="134"/>
      <c r="AY1279" s="134"/>
      <c r="AZ1279" s="134"/>
      <c r="BA1279" s="134"/>
      <c r="BB1279" s="134"/>
      <c r="BC1279" s="134"/>
      <c r="BD1279" s="134"/>
      <c r="BE1279" s="134"/>
      <c r="BF1279" s="134"/>
      <c r="BG1279" s="134"/>
      <c r="BH1279" s="134"/>
      <c r="BI1279" s="134"/>
      <c r="BJ1279" s="134"/>
      <c r="BK1279" s="134"/>
      <c r="BL1279" s="134"/>
      <c r="BM1279" s="134"/>
      <c r="BN1279" s="134"/>
      <c r="BO1279" s="134"/>
      <c r="BP1279" s="134"/>
      <c r="BQ1279" s="134"/>
    </row>
    <row r="1280">
      <c r="A1280" s="78" t="s">
        <v>3841</v>
      </c>
      <c r="B1280" s="59">
        <v>43293.0</v>
      </c>
      <c r="C1280" s="79">
        <v>43252.0</v>
      </c>
      <c r="D1280" s="60" t="s">
        <v>637</v>
      </c>
      <c r="E1280" s="58" t="s">
        <v>31</v>
      </c>
      <c r="F1280" s="58">
        <v>2.0</v>
      </c>
      <c r="G1280" s="58" t="s">
        <v>32</v>
      </c>
      <c r="H1280" s="33">
        <f t="shared" ref="H1280:H1284" si="191">if(G1280="Unknown",1,G1280)</f>
        <v>1</v>
      </c>
      <c r="I1280" s="58" t="s">
        <v>33</v>
      </c>
      <c r="J1280" s="58" t="s">
        <v>433</v>
      </c>
      <c r="K1280" s="58" t="s">
        <v>32</v>
      </c>
      <c r="L1280" s="58" t="s">
        <v>52</v>
      </c>
      <c r="M1280" s="46" t="s">
        <v>3842</v>
      </c>
      <c r="N1280" s="77"/>
      <c r="O1280" s="62"/>
      <c r="P1280" s="62"/>
      <c r="Q1280" s="62"/>
      <c r="R1280" s="62"/>
      <c r="S1280" s="37" t="str">
        <f>IFERROR(__xludf.DUMMYFUNCTION("if(not(iserror(index(split(C1280, "" ""),2))), index(split(C1280, "" ""),1),"""")"),"June,")</f>
        <v>June,</v>
      </c>
      <c r="T1280" s="38">
        <f>IFERROR(__xludf.DUMMYFUNCTION("if(S1280="""",C1280,if(not(iserror(index(split(C1280, "" ""),3))), index(split(C1280, "" ""),3),index(split(C1280, "" ""),2)))"),2018.0)</f>
        <v>2018</v>
      </c>
      <c r="U1280" s="38" t="b">
        <f t="shared" si="189"/>
        <v>0</v>
      </c>
      <c r="V1280" s="38"/>
      <c r="W1280" s="40"/>
      <c r="X1280" s="40"/>
      <c r="Y1280" s="40"/>
      <c r="Z1280" s="38"/>
      <c r="AA1280" s="38"/>
      <c r="AB1280" s="38"/>
      <c r="AC1280" s="38"/>
      <c r="AD1280" s="38"/>
      <c r="AE1280" s="38"/>
      <c r="AF1280" s="38"/>
      <c r="AG1280" s="38"/>
      <c r="AH1280" s="38"/>
      <c r="AI1280" s="38"/>
      <c r="AJ1280" s="38"/>
      <c r="AK1280" s="38"/>
      <c r="AL1280" s="38"/>
      <c r="AM1280" s="38"/>
      <c r="AN1280" s="38"/>
      <c r="AO1280" s="38"/>
      <c r="AP1280" s="38"/>
      <c r="AQ1280" s="38"/>
      <c r="AR1280" s="38"/>
      <c r="AS1280" s="38"/>
      <c r="AT1280" s="38"/>
      <c r="AU1280" s="38"/>
      <c r="AV1280" s="38"/>
      <c r="AW1280" s="38"/>
      <c r="AX1280" s="38"/>
      <c r="AY1280" s="38"/>
      <c r="AZ1280" s="38"/>
      <c r="BA1280" s="38"/>
      <c r="BB1280" s="38"/>
      <c r="BC1280" s="38"/>
      <c r="BD1280" s="38"/>
      <c r="BE1280" s="38"/>
      <c r="BF1280" s="38"/>
      <c r="BG1280" s="38"/>
      <c r="BH1280" s="38"/>
      <c r="BI1280" s="38"/>
      <c r="BJ1280" s="38"/>
      <c r="BK1280" s="38"/>
      <c r="BL1280" s="38"/>
      <c r="BM1280" s="38"/>
      <c r="BN1280" s="38"/>
      <c r="BO1280" s="38"/>
      <c r="BP1280" s="38"/>
      <c r="BQ1280" s="38"/>
    </row>
    <row r="1281">
      <c r="A1281" s="78" t="s">
        <v>3843</v>
      </c>
      <c r="B1281" s="59">
        <v>43295.0</v>
      </c>
      <c r="C1281" s="59">
        <v>43252.0</v>
      </c>
      <c r="D1281" s="60" t="s">
        <v>3844</v>
      </c>
      <c r="E1281" s="58" t="s">
        <v>41</v>
      </c>
      <c r="F1281" s="58">
        <v>1.0</v>
      </c>
      <c r="G1281" s="58">
        <v>1.0</v>
      </c>
      <c r="H1281" s="33">
        <f t="shared" si="191"/>
        <v>1</v>
      </c>
      <c r="I1281" s="58" t="s">
        <v>33</v>
      </c>
      <c r="J1281" s="58" t="s">
        <v>147</v>
      </c>
      <c r="K1281" s="58">
        <v>2.0</v>
      </c>
      <c r="L1281" s="58" t="s">
        <v>194</v>
      </c>
      <c r="M1281" s="61" t="s">
        <v>3845</v>
      </c>
      <c r="N1281" s="61" t="s">
        <v>3846</v>
      </c>
      <c r="O1281" s="83" t="str">
        <f>hyperlink("https://bad-boys.us/?q=WD-TX/3:18-cr-02051", "WD-TX 3:18-cr-02051")</f>
        <v>WD-TX 3:18-cr-02051</v>
      </c>
      <c r="P1281" s="88" t="s">
        <v>3847</v>
      </c>
      <c r="Q1281" s="84">
        <v>1.0</v>
      </c>
      <c r="R1281" s="62"/>
      <c r="S1281" s="37" t="str">
        <f>IFERROR(__xludf.DUMMYFUNCTION("if(not(iserror(index(split(C1281, "" ""),2))), index(split(C1281, "" ""),1),"""")"),"June")</f>
        <v>June</v>
      </c>
      <c r="T1281" s="38">
        <f>IFERROR(__xludf.DUMMYFUNCTION("if(S1281="""",C1281,if(not(iserror(index(split(C1281, "" ""),3))), index(split(C1281, "" ""),3),index(split(C1281, "" ""),2)))"),2018.0)</f>
        <v>2018</v>
      </c>
      <c r="U1281" s="38" t="b">
        <f t="shared" si="189"/>
        <v>0</v>
      </c>
      <c r="V1281" s="38"/>
      <c r="W1281" s="40"/>
      <c r="X1281" s="40"/>
      <c r="Y1281" s="40"/>
      <c r="Z1281" s="38"/>
      <c r="AA1281" s="38"/>
      <c r="AB1281" s="38"/>
      <c r="AC1281" s="38"/>
      <c r="AD1281" s="38"/>
      <c r="AE1281" s="38"/>
      <c r="AF1281" s="38"/>
      <c r="AG1281" s="38"/>
      <c r="AH1281" s="38"/>
      <c r="AI1281" s="38"/>
      <c r="AJ1281" s="38"/>
      <c r="AK1281" s="38"/>
      <c r="AL1281" s="38"/>
      <c r="AM1281" s="38"/>
      <c r="AN1281" s="38"/>
      <c r="AO1281" s="38"/>
      <c r="AP1281" s="38"/>
      <c r="AQ1281" s="38"/>
      <c r="AR1281" s="38"/>
      <c r="AS1281" s="38"/>
      <c r="AT1281" s="38"/>
      <c r="AU1281" s="38"/>
      <c r="AV1281" s="38"/>
      <c r="AW1281" s="38"/>
      <c r="AX1281" s="38"/>
      <c r="AY1281" s="38"/>
      <c r="AZ1281" s="38"/>
      <c r="BA1281" s="38"/>
      <c r="BB1281" s="38"/>
      <c r="BC1281" s="38"/>
      <c r="BD1281" s="38"/>
      <c r="BE1281" s="38"/>
      <c r="BF1281" s="38"/>
      <c r="BG1281" s="38"/>
      <c r="BH1281" s="38"/>
      <c r="BI1281" s="38"/>
      <c r="BJ1281" s="38"/>
      <c r="BK1281" s="38"/>
      <c r="BL1281" s="38"/>
      <c r="BM1281" s="38"/>
      <c r="BN1281" s="38"/>
      <c r="BO1281" s="38"/>
      <c r="BP1281" s="38"/>
      <c r="BQ1281" s="38"/>
    </row>
    <row r="1282">
      <c r="A1282" s="78" t="s">
        <v>3848</v>
      </c>
      <c r="B1282" s="59">
        <v>43295.0</v>
      </c>
      <c r="C1282" s="59">
        <v>43252.0</v>
      </c>
      <c r="D1282" s="60" t="s">
        <v>3844</v>
      </c>
      <c r="E1282" s="58" t="s">
        <v>41</v>
      </c>
      <c r="F1282" s="58">
        <v>1.0</v>
      </c>
      <c r="G1282" s="58">
        <v>1.0</v>
      </c>
      <c r="H1282" s="33">
        <f t="shared" si="191"/>
        <v>1</v>
      </c>
      <c r="I1282" s="58" t="s">
        <v>33</v>
      </c>
      <c r="J1282" s="58" t="s">
        <v>147</v>
      </c>
      <c r="K1282" s="58">
        <v>2.0</v>
      </c>
      <c r="L1282" s="58" t="s">
        <v>194</v>
      </c>
      <c r="M1282" s="61" t="s">
        <v>3845</v>
      </c>
      <c r="N1282" s="61" t="s">
        <v>3846</v>
      </c>
      <c r="O1282" s="88" t="str">
        <f>hyperlink("https://bad-boys.us/?q=WD-TX/3:18-cr-01987", "WD-TX 3:18-cr-01987")</f>
        <v>WD-TX 3:18-cr-01987</v>
      </c>
      <c r="P1282" s="88" t="s">
        <v>3849</v>
      </c>
      <c r="Q1282" s="84">
        <v>1.0</v>
      </c>
      <c r="R1282" s="62"/>
      <c r="S1282" s="37" t="str">
        <f>IFERROR(__xludf.DUMMYFUNCTION("if(not(iserror(index(split(C1282, "" ""),2))), index(split(C1282, "" ""),1),"""")"),"June")</f>
        <v>June</v>
      </c>
      <c r="T1282" s="38">
        <f>IFERROR(__xludf.DUMMYFUNCTION("if(S1282="""",C1282,if(not(iserror(index(split(C1282, "" ""),3))), index(split(C1282, "" ""),3),index(split(C1282, "" ""),2)))"),2018.0)</f>
        <v>2018</v>
      </c>
      <c r="U1282" s="38" t="b">
        <f t="shared" si="189"/>
        <v>0</v>
      </c>
      <c r="V1282" s="38"/>
      <c r="W1282" s="40"/>
      <c r="X1282" s="40"/>
      <c r="Y1282" s="40"/>
      <c r="Z1282" s="38"/>
      <c r="AA1282" s="38"/>
      <c r="AB1282" s="38"/>
      <c r="AC1282" s="38"/>
      <c r="AD1282" s="38"/>
      <c r="AE1282" s="38"/>
      <c r="AF1282" s="38"/>
      <c r="AG1282" s="38"/>
      <c r="AH1282" s="38"/>
      <c r="AI1282" s="38"/>
      <c r="AJ1282" s="38"/>
      <c r="AK1282" s="38"/>
      <c r="AL1282" s="38"/>
      <c r="AM1282" s="38"/>
      <c r="AN1282" s="38"/>
      <c r="AO1282" s="38"/>
      <c r="AP1282" s="38"/>
      <c r="AQ1282" s="38"/>
      <c r="AR1282" s="38"/>
      <c r="AS1282" s="38"/>
      <c r="AT1282" s="38"/>
      <c r="AU1282" s="38"/>
      <c r="AV1282" s="38"/>
      <c r="AW1282" s="38"/>
      <c r="AX1282" s="38"/>
      <c r="AY1282" s="38"/>
      <c r="AZ1282" s="38"/>
      <c r="BA1282" s="38"/>
      <c r="BB1282" s="38"/>
      <c r="BC1282" s="38"/>
      <c r="BD1282" s="38"/>
      <c r="BE1282" s="38"/>
      <c r="BF1282" s="38"/>
      <c r="BG1282" s="38"/>
      <c r="BH1282" s="38"/>
      <c r="BI1282" s="38"/>
      <c r="BJ1282" s="38"/>
      <c r="BK1282" s="38"/>
      <c r="BL1282" s="38"/>
      <c r="BM1282" s="38"/>
      <c r="BN1282" s="38"/>
      <c r="BO1282" s="38"/>
      <c r="BP1282" s="38"/>
      <c r="BQ1282" s="38"/>
    </row>
    <row r="1283">
      <c r="A1283" s="78" t="s">
        <v>239</v>
      </c>
      <c r="B1283" s="59">
        <v>43295.0</v>
      </c>
      <c r="C1283" s="59">
        <v>43252.0</v>
      </c>
      <c r="D1283" s="60" t="s">
        <v>3844</v>
      </c>
      <c r="E1283" s="58" t="s">
        <v>41</v>
      </c>
      <c r="F1283" s="58">
        <v>16.0</v>
      </c>
      <c r="G1283" s="58">
        <v>115.0</v>
      </c>
      <c r="H1283" s="33">
        <f t="shared" si="191"/>
        <v>115</v>
      </c>
      <c r="I1283" s="58" t="s">
        <v>33</v>
      </c>
      <c r="J1283" s="58" t="s">
        <v>147</v>
      </c>
      <c r="K1283" s="58">
        <v>2.0</v>
      </c>
      <c r="L1283" s="58" t="s">
        <v>194</v>
      </c>
      <c r="M1283" s="61" t="s">
        <v>3845</v>
      </c>
      <c r="N1283" s="61" t="s">
        <v>3846</v>
      </c>
      <c r="O1283" s="62"/>
      <c r="P1283" s="62"/>
      <c r="Q1283" s="62"/>
      <c r="R1283" s="62"/>
      <c r="S1283" s="37" t="str">
        <f>IFERROR(__xludf.DUMMYFUNCTION("if(not(iserror(index(split(C1283, "" ""),2))), index(split(C1283, "" ""),1),"""")"),"June")</f>
        <v>June</v>
      </c>
      <c r="T1283" s="38">
        <f>IFERROR(__xludf.DUMMYFUNCTION("if(S1283="""",C1283,if(not(iserror(index(split(C1283, "" ""),3))), index(split(C1283, "" ""),3),index(split(C1283, "" ""),2)))"),2018.0)</f>
        <v>2018</v>
      </c>
      <c r="U1283" s="38" t="b">
        <f t="shared" si="189"/>
        <v>1</v>
      </c>
      <c r="V1283" s="38"/>
      <c r="W1283" s="40"/>
      <c r="X1283" s="40"/>
      <c r="Y1283" s="40"/>
      <c r="Z1283" s="38"/>
      <c r="AA1283" s="38"/>
      <c r="AB1283" s="38"/>
      <c r="AC1283" s="38"/>
      <c r="AD1283" s="38"/>
      <c r="AE1283" s="38"/>
      <c r="AF1283" s="38"/>
      <c r="AG1283" s="38"/>
      <c r="AH1283" s="38"/>
      <c r="AI1283" s="38"/>
      <c r="AJ1283" s="38"/>
      <c r="AK1283" s="38"/>
      <c r="AL1283" s="38"/>
      <c r="AM1283" s="38"/>
      <c r="AN1283" s="38"/>
      <c r="AO1283" s="38"/>
      <c r="AP1283" s="38"/>
      <c r="AQ1283" s="38"/>
      <c r="AR1283" s="38"/>
      <c r="AS1283" s="38"/>
      <c r="AT1283" s="38"/>
      <c r="AU1283" s="38"/>
      <c r="AV1283" s="38"/>
      <c r="AW1283" s="38"/>
      <c r="AX1283" s="38"/>
      <c r="AY1283" s="38"/>
      <c r="AZ1283" s="38"/>
      <c r="BA1283" s="38"/>
      <c r="BB1283" s="38"/>
      <c r="BC1283" s="38"/>
      <c r="BD1283" s="38"/>
      <c r="BE1283" s="38"/>
      <c r="BF1283" s="38"/>
      <c r="BG1283" s="38"/>
      <c r="BH1283" s="38"/>
      <c r="BI1283" s="38"/>
      <c r="BJ1283" s="38"/>
      <c r="BK1283" s="38"/>
      <c r="BL1283" s="38"/>
      <c r="BM1283" s="38"/>
      <c r="BN1283" s="38"/>
      <c r="BO1283" s="38"/>
      <c r="BP1283" s="38"/>
      <c r="BQ1283" s="38"/>
    </row>
    <row r="1284">
      <c r="A1284" s="58" t="s">
        <v>660</v>
      </c>
      <c r="B1284" s="59">
        <v>43341.0</v>
      </c>
      <c r="C1284" s="59">
        <v>43252.0</v>
      </c>
      <c r="D1284" s="60" t="s">
        <v>3850</v>
      </c>
      <c r="E1284" s="58" t="s">
        <v>31</v>
      </c>
      <c r="F1284" s="58">
        <v>68.0</v>
      </c>
      <c r="G1284" s="58" t="s">
        <v>32</v>
      </c>
      <c r="H1284" s="33">
        <f t="shared" si="191"/>
        <v>1</v>
      </c>
      <c r="I1284" s="58" t="s">
        <v>33</v>
      </c>
      <c r="J1284" s="58" t="s">
        <v>147</v>
      </c>
      <c r="K1284" s="58">
        <v>1.0</v>
      </c>
      <c r="L1284" s="58" t="s">
        <v>52</v>
      </c>
      <c r="M1284" s="61" t="s">
        <v>3851</v>
      </c>
      <c r="N1284" s="77"/>
      <c r="O1284" s="58"/>
      <c r="P1284" s="58"/>
      <c r="Q1284" s="84"/>
      <c r="R1284" s="62"/>
      <c r="S1284" s="37" t="str">
        <f>IFERROR(__xludf.DUMMYFUNCTION("if(not(iserror(index(split(C1284, "" ""),2))), index(split(C1284, "" ""),1),"""")"),"June")</f>
        <v>June</v>
      </c>
      <c r="T1284" s="38">
        <f>IFERROR(__xludf.DUMMYFUNCTION("if(S1284="""",C1284,if(not(iserror(index(split(C1284, "" ""),3))), index(split(C1284, "" ""),3),index(split(C1284, "" ""),2)))"),2018.0)</f>
        <v>2018</v>
      </c>
      <c r="U1284" s="38" t="b">
        <f t="shared" si="189"/>
        <v>1</v>
      </c>
      <c r="V1284" s="38"/>
      <c r="W1284" s="40"/>
      <c r="X1284" s="40"/>
      <c r="Y1284" s="40"/>
      <c r="Z1284" s="38"/>
      <c r="AA1284" s="38"/>
      <c r="AB1284" s="38"/>
      <c r="AC1284" s="38"/>
      <c r="AD1284" s="38"/>
      <c r="AE1284" s="38"/>
      <c r="AF1284" s="38"/>
      <c r="AG1284" s="38"/>
      <c r="AH1284" s="38"/>
      <c r="AI1284" s="38"/>
      <c r="AJ1284" s="38"/>
      <c r="AK1284" s="38"/>
      <c r="AL1284" s="38"/>
      <c r="AM1284" s="38"/>
      <c r="AN1284" s="38"/>
      <c r="AO1284" s="38"/>
      <c r="AP1284" s="38"/>
      <c r="AQ1284" s="38"/>
      <c r="AR1284" s="38"/>
      <c r="AS1284" s="38"/>
      <c r="AT1284" s="38"/>
      <c r="AU1284" s="38"/>
      <c r="AV1284" s="38"/>
      <c r="AW1284" s="38"/>
      <c r="AX1284" s="38"/>
      <c r="AY1284" s="38"/>
      <c r="AZ1284" s="38"/>
      <c r="BA1284" s="38"/>
      <c r="BB1284" s="38"/>
      <c r="BC1284" s="38"/>
      <c r="BD1284" s="38"/>
      <c r="BE1284" s="38"/>
      <c r="BF1284" s="38"/>
      <c r="BG1284" s="38"/>
      <c r="BH1284" s="38"/>
      <c r="BI1284" s="38"/>
      <c r="BJ1284" s="38"/>
      <c r="BK1284" s="38"/>
      <c r="BL1284" s="38"/>
      <c r="BM1284" s="38"/>
      <c r="BN1284" s="38"/>
      <c r="BO1284" s="38"/>
      <c r="BP1284" s="38"/>
      <c r="BQ1284" s="38"/>
    </row>
    <row r="1285">
      <c r="A1285" s="58" t="s">
        <v>3852</v>
      </c>
      <c r="B1285" s="59"/>
      <c r="C1285" s="59">
        <v>43252.0</v>
      </c>
      <c r="D1285" s="60"/>
      <c r="E1285" s="58" t="s">
        <v>41</v>
      </c>
      <c r="F1285" s="58">
        <v>1.0</v>
      </c>
      <c r="G1285" s="58" t="s">
        <v>32</v>
      </c>
      <c r="H1285" s="43">
        <v>1.0</v>
      </c>
      <c r="I1285" s="58" t="s">
        <v>33</v>
      </c>
      <c r="J1285" s="58" t="s">
        <v>2315</v>
      </c>
      <c r="K1285" s="58"/>
      <c r="L1285" s="58" t="s">
        <v>3853</v>
      </c>
      <c r="M1285" s="61" t="s">
        <v>3854</v>
      </c>
      <c r="N1285" s="77"/>
      <c r="O1285" s="58"/>
      <c r="P1285" s="58"/>
      <c r="Q1285" s="58"/>
      <c r="R1285" s="62"/>
      <c r="S1285" s="37" t="str">
        <f>IFERROR(__xludf.DUMMYFUNCTION("if(not(iserror(index(split(C1285, "" ""),2))), index(split(C1285, "" ""),1),"""")"),"June")</f>
        <v>June</v>
      </c>
      <c r="T1285" s="38">
        <f>IFERROR(__xludf.DUMMYFUNCTION("if(S1285="""",C1285,if(not(iserror(index(split(C1285, "" ""),3))), index(split(C1285, "" ""),3),index(split(C1285, "" ""),2)))"),2018.0)</f>
        <v>2018</v>
      </c>
      <c r="U1285" s="38" t="b">
        <f t="shared" si="189"/>
        <v>0</v>
      </c>
      <c r="V1285" s="38" t="s">
        <v>33</v>
      </c>
      <c r="W1285" s="40"/>
      <c r="X1285" s="40"/>
      <c r="Y1285" s="40"/>
      <c r="Z1285" s="38"/>
      <c r="AA1285" s="38"/>
      <c r="AB1285" s="38"/>
      <c r="AC1285" s="38"/>
      <c r="AD1285" s="38"/>
      <c r="AE1285" s="38"/>
      <c r="AF1285" s="38"/>
      <c r="AG1285" s="38"/>
      <c r="AH1285" s="38"/>
      <c r="AI1285" s="38"/>
      <c r="AJ1285" s="38"/>
      <c r="AK1285" s="38"/>
      <c r="AL1285" s="38"/>
      <c r="AM1285" s="38"/>
      <c r="AN1285" s="38"/>
      <c r="AO1285" s="38"/>
      <c r="AP1285" s="38"/>
      <c r="AQ1285" s="38"/>
      <c r="AR1285" s="38"/>
      <c r="AS1285" s="38"/>
      <c r="AT1285" s="38"/>
      <c r="AU1285" s="38"/>
      <c r="AV1285" s="38"/>
      <c r="AW1285" s="38"/>
      <c r="AX1285" s="38"/>
      <c r="AY1285" s="38"/>
      <c r="AZ1285" s="38"/>
      <c r="BA1285" s="38"/>
      <c r="BB1285" s="38"/>
      <c r="BC1285" s="38"/>
      <c r="BD1285" s="38"/>
      <c r="BE1285" s="38"/>
      <c r="BF1285" s="38"/>
      <c r="BG1285" s="38"/>
      <c r="BH1285" s="38"/>
      <c r="BI1285" s="38"/>
      <c r="BJ1285" s="38"/>
      <c r="BK1285" s="38"/>
      <c r="BL1285" s="38"/>
      <c r="BM1285" s="38"/>
      <c r="BN1285" s="38"/>
      <c r="BO1285" s="38"/>
      <c r="BP1285" s="38"/>
      <c r="BQ1285" s="38"/>
    </row>
    <row r="1286">
      <c r="A1286" s="194" t="s">
        <v>3855</v>
      </c>
      <c r="B1286" s="137">
        <v>43378.0</v>
      </c>
      <c r="C1286" s="195">
        <v>43252.0</v>
      </c>
      <c r="D1286" s="196" t="s">
        <v>2163</v>
      </c>
      <c r="E1286" s="124" t="s">
        <v>41</v>
      </c>
      <c r="F1286" s="129">
        <v>1.0</v>
      </c>
      <c r="G1286" s="128" t="s">
        <v>32</v>
      </c>
      <c r="H1286" s="33">
        <f t="shared" ref="H1286:H1288" si="192">if(G1286="Unknown",1,G1286)</f>
        <v>1</v>
      </c>
      <c r="I1286" s="128" t="s">
        <v>33</v>
      </c>
      <c r="J1286" s="128" t="s">
        <v>111</v>
      </c>
      <c r="K1286" s="58">
        <v>1.0</v>
      </c>
      <c r="L1286" s="128" t="s">
        <v>119</v>
      </c>
      <c r="M1286" s="197" t="s">
        <v>2426</v>
      </c>
      <c r="N1286" s="132"/>
      <c r="O1286" s="173" t="str">
        <f>hyperlink("https://bad-boys.us/?q=CD-CA/2:18-cr-00294", "CD-CA 2:18-cr-00294")</f>
        <v>CD-CA 2:18-cr-00294</v>
      </c>
      <c r="P1286" s="173" t="s">
        <v>3856</v>
      </c>
      <c r="Q1286" s="198">
        <v>1.0</v>
      </c>
      <c r="R1286" s="133"/>
      <c r="S1286" s="37" t="str">
        <f>IFERROR(__xludf.DUMMYFUNCTION("if(not(iserror(index(split(C1286, "" ""),2))), index(split(C1286, "" ""),1),"""")"),"June,")</f>
        <v>June,</v>
      </c>
      <c r="T1286" s="38">
        <f>IFERROR(__xludf.DUMMYFUNCTION("if(S1286="""",C1286,if(not(iserror(index(split(C1286, "" ""),3))), index(split(C1286, "" ""),3),index(split(C1286, "" ""),2)))"),2018.0)</f>
        <v>2018</v>
      </c>
      <c r="U1286" s="38" t="b">
        <f t="shared" si="189"/>
        <v>0</v>
      </c>
      <c r="V1286" s="38"/>
      <c r="W1286" s="40"/>
      <c r="X1286" s="40"/>
      <c r="Y1286" s="40"/>
      <c r="Z1286" s="38"/>
      <c r="AA1286" s="38"/>
      <c r="AB1286" s="38"/>
      <c r="AC1286" s="38"/>
      <c r="AD1286" s="38"/>
      <c r="AE1286" s="38"/>
      <c r="AF1286" s="38"/>
      <c r="AG1286" s="38"/>
      <c r="AH1286" s="38"/>
      <c r="AI1286" s="38"/>
      <c r="AJ1286" s="38"/>
      <c r="AK1286" s="38"/>
      <c r="AL1286" s="38"/>
      <c r="AM1286" s="38"/>
      <c r="AN1286" s="38"/>
      <c r="AO1286" s="38"/>
      <c r="AP1286" s="38"/>
      <c r="AQ1286" s="38"/>
      <c r="AR1286" s="38"/>
      <c r="AS1286" s="38"/>
      <c r="AT1286" s="38"/>
      <c r="AU1286" s="38"/>
      <c r="AV1286" s="38"/>
      <c r="AW1286" s="38"/>
      <c r="AX1286" s="38"/>
      <c r="AY1286" s="38"/>
      <c r="AZ1286" s="38"/>
      <c r="BA1286" s="38"/>
      <c r="BB1286" s="38"/>
      <c r="BC1286" s="38"/>
      <c r="BD1286" s="38"/>
      <c r="BE1286" s="38"/>
      <c r="BF1286" s="38"/>
      <c r="BG1286" s="38"/>
      <c r="BH1286" s="38"/>
      <c r="BI1286" s="38"/>
      <c r="BJ1286" s="38"/>
      <c r="BK1286" s="38"/>
      <c r="BL1286" s="38"/>
      <c r="BM1286" s="38"/>
      <c r="BN1286" s="38"/>
      <c r="BO1286" s="38"/>
      <c r="BP1286" s="38"/>
      <c r="BQ1286" s="38"/>
    </row>
    <row r="1287">
      <c r="A1287" s="194" t="s">
        <v>3857</v>
      </c>
      <c r="B1287" s="137">
        <v>43378.0</v>
      </c>
      <c r="C1287" s="195">
        <v>43252.0</v>
      </c>
      <c r="D1287" s="196" t="s">
        <v>2163</v>
      </c>
      <c r="E1287" s="124" t="s">
        <v>41</v>
      </c>
      <c r="F1287" s="129">
        <v>1.0</v>
      </c>
      <c r="G1287" s="128" t="s">
        <v>32</v>
      </c>
      <c r="H1287" s="33">
        <f t="shared" si="192"/>
        <v>1</v>
      </c>
      <c r="I1287" s="128" t="s">
        <v>33</v>
      </c>
      <c r="J1287" s="128" t="s">
        <v>111</v>
      </c>
      <c r="K1287" s="58">
        <v>1.0</v>
      </c>
      <c r="L1287" s="124" t="s">
        <v>646</v>
      </c>
      <c r="M1287" s="197" t="s">
        <v>2426</v>
      </c>
      <c r="N1287" s="132"/>
      <c r="O1287" s="173" t="str">
        <f>hyperlink("https://bad-boys.us/?q=CD-CA/2:18-cr-00400", "CD-CA 2:18-cr-00400")</f>
        <v>CD-CA 2:18-cr-00400</v>
      </c>
      <c r="P1287" s="173" t="s">
        <v>3858</v>
      </c>
      <c r="Q1287" s="198">
        <v>1.0</v>
      </c>
      <c r="R1287" s="133"/>
      <c r="S1287" s="37" t="str">
        <f>IFERROR(__xludf.DUMMYFUNCTION("if(not(iserror(index(split(C1287, "" ""),2))), index(split(C1287, "" ""),1),"""")"),"June,")</f>
        <v>June,</v>
      </c>
      <c r="T1287" s="38">
        <f>IFERROR(__xludf.DUMMYFUNCTION("if(S1287="""",C1287,if(not(iserror(index(split(C1287, "" ""),3))), index(split(C1287, "" ""),3),index(split(C1287, "" ""),2)))"),2018.0)</f>
        <v>2018</v>
      </c>
      <c r="U1287" s="38" t="b">
        <f t="shared" si="189"/>
        <v>0</v>
      </c>
      <c r="V1287" s="38"/>
      <c r="W1287" s="40"/>
      <c r="X1287" s="40"/>
      <c r="Y1287" s="40"/>
      <c r="Z1287" s="38"/>
      <c r="AA1287" s="38"/>
      <c r="AB1287" s="38"/>
      <c r="AC1287" s="38"/>
      <c r="AD1287" s="38"/>
      <c r="AE1287" s="38"/>
      <c r="AF1287" s="38"/>
      <c r="AG1287" s="38"/>
      <c r="AH1287" s="38"/>
      <c r="AI1287" s="38"/>
      <c r="AJ1287" s="38"/>
      <c r="AK1287" s="38"/>
      <c r="AL1287" s="38"/>
      <c r="AM1287" s="38"/>
      <c r="AN1287" s="38"/>
      <c r="AO1287" s="38"/>
      <c r="AP1287" s="38"/>
      <c r="AQ1287" s="38"/>
      <c r="AR1287" s="38"/>
      <c r="AS1287" s="38"/>
      <c r="AT1287" s="38"/>
      <c r="AU1287" s="38"/>
      <c r="AV1287" s="38"/>
      <c r="AW1287" s="38"/>
      <c r="AX1287" s="38"/>
      <c r="AY1287" s="38"/>
      <c r="AZ1287" s="38"/>
      <c r="BA1287" s="38"/>
      <c r="BB1287" s="38"/>
      <c r="BC1287" s="38"/>
      <c r="BD1287" s="38"/>
      <c r="BE1287" s="38"/>
      <c r="BF1287" s="38"/>
      <c r="BG1287" s="38"/>
      <c r="BH1287" s="38"/>
      <c r="BI1287" s="38"/>
      <c r="BJ1287" s="38"/>
      <c r="BK1287" s="38"/>
      <c r="BL1287" s="38"/>
      <c r="BM1287" s="38"/>
      <c r="BN1287" s="38"/>
      <c r="BO1287" s="38"/>
      <c r="BP1287" s="38"/>
      <c r="BQ1287" s="38"/>
    </row>
    <row r="1288">
      <c r="A1288" s="58" t="s">
        <v>3859</v>
      </c>
      <c r="B1288" s="59">
        <v>43383.0</v>
      </c>
      <c r="C1288" s="79">
        <v>43252.0</v>
      </c>
      <c r="D1288" s="60" t="s">
        <v>3860</v>
      </c>
      <c r="E1288" s="58" t="s">
        <v>41</v>
      </c>
      <c r="F1288" s="58">
        <v>1.0</v>
      </c>
      <c r="G1288" s="58" t="s">
        <v>32</v>
      </c>
      <c r="H1288" s="33">
        <f t="shared" si="192"/>
        <v>1</v>
      </c>
      <c r="I1288" s="58" t="s">
        <v>33</v>
      </c>
      <c r="J1288" s="58" t="s">
        <v>55</v>
      </c>
      <c r="K1288" s="58">
        <v>1.0</v>
      </c>
      <c r="L1288" s="58" t="s">
        <v>69</v>
      </c>
      <c r="M1288" s="61" t="s">
        <v>3861</v>
      </c>
      <c r="N1288" s="61" t="s">
        <v>3862</v>
      </c>
      <c r="O1288" s="88" t="str">
        <f>hyperlink("https://bad-boys.us/?q=D-NJ/2:18-cr-00610", "D-NJ 2:18-cr-00610")</f>
        <v>D-NJ 2:18-cr-00610</v>
      </c>
      <c r="P1288" s="58"/>
      <c r="Q1288" s="58">
        <v>1.0</v>
      </c>
      <c r="R1288" s="62"/>
      <c r="S1288" s="37" t="str">
        <f>IFERROR(__xludf.DUMMYFUNCTION("if(not(iserror(index(split(C1288, "" ""),2))), index(split(C1288, "" ""),1),"""")"),"June,")</f>
        <v>June,</v>
      </c>
      <c r="T1288" s="38">
        <f>IFERROR(__xludf.DUMMYFUNCTION("if(S1288="""",C1288,if(not(iserror(index(split(C1288, "" ""),3))), index(split(C1288, "" ""),3),index(split(C1288, "" ""),2)))"),2018.0)</f>
        <v>2018</v>
      </c>
      <c r="U1288" s="38" t="b">
        <f t="shared" si="189"/>
        <v>0</v>
      </c>
      <c r="V1288" s="38"/>
      <c r="W1288" s="40"/>
      <c r="X1288" s="40"/>
      <c r="Y1288" s="40"/>
      <c r="Z1288" s="38"/>
      <c r="AA1288" s="38"/>
      <c r="AB1288" s="38"/>
      <c r="AC1288" s="38"/>
      <c r="AD1288" s="38"/>
      <c r="AE1288" s="38"/>
      <c r="AF1288" s="38"/>
      <c r="AG1288" s="38"/>
      <c r="AH1288" s="38"/>
      <c r="AI1288" s="38"/>
      <c r="AJ1288" s="38"/>
      <c r="AK1288" s="38"/>
      <c r="AL1288" s="38"/>
      <c r="AM1288" s="38"/>
      <c r="AN1288" s="38"/>
      <c r="AO1288" s="38"/>
      <c r="AP1288" s="38"/>
      <c r="AQ1288" s="38"/>
      <c r="AR1288" s="38"/>
      <c r="AS1288" s="38"/>
      <c r="AT1288" s="38"/>
      <c r="AU1288" s="38"/>
      <c r="AV1288" s="38"/>
      <c r="AW1288" s="38"/>
      <c r="AX1288" s="38"/>
      <c r="AY1288" s="38"/>
      <c r="AZ1288" s="38"/>
      <c r="BA1288" s="38"/>
      <c r="BB1288" s="38"/>
      <c r="BC1288" s="38"/>
      <c r="BD1288" s="38"/>
      <c r="BE1288" s="38"/>
      <c r="BF1288" s="38"/>
      <c r="BG1288" s="38"/>
      <c r="BH1288" s="38"/>
      <c r="BI1288" s="38"/>
      <c r="BJ1288" s="38"/>
      <c r="BK1288" s="38"/>
      <c r="BL1288" s="38"/>
      <c r="BM1288" s="38"/>
      <c r="BN1288" s="38"/>
      <c r="BO1288" s="38"/>
      <c r="BP1288" s="38"/>
      <c r="BQ1288" s="38"/>
    </row>
    <row r="1289">
      <c r="A1289" s="58" t="s">
        <v>3863</v>
      </c>
      <c r="B1289" s="59"/>
      <c r="C1289" s="79">
        <v>43252.0</v>
      </c>
      <c r="D1289" s="60"/>
      <c r="E1289" s="58" t="s">
        <v>41</v>
      </c>
      <c r="F1289" s="58">
        <v>1.0</v>
      </c>
      <c r="G1289" s="58" t="s">
        <v>32</v>
      </c>
      <c r="H1289" s="43">
        <v>1.0</v>
      </c>
      <c r="I1289" s="58" t="s">
        <v>33</v>
      </c>
      <c r="J1289" s="58" t="s">
        <v>402</v>
      </c>
      <c r="K1289" s="58"/>
      <c r="L1289" s="58" t="s">
        <v>119</v>
      </c>
      <c r="M1289" s="223" t="s">
        <v>3864</v>
      </c>
      <c r="N1289" s="80"/>
      <c r="O1289" s="83" t="str">
        <f>hyperlink("https://bad-boys.us/?q=ND-IN/1:18-cr-00064", "ND-IN 1:18-cr-00064")</f>
        <v>ND-IN 1:18-cr-00064</v>
      </c>
      <c r="P1289" s="88" t="s">
        <v>3865</v>
      </c>
      <c r="Q1289" s="58">
        <v>1.0</v>
      </c>
      <c r="R1289" s="62"/>
      <c r="S1289" s="37"/>
      <c r="T1289" s="38"/>
      <c r="U1289" s="38" t="b">
        <f t="shared" si="189"/>
        <v>0</v>
      </c>
      <c r="V1289" s="38" t="s">
        <v>33</v>
      </c>
      <c r="W1289" s="40"/>
      <c r="X1289" s="40"/>
      <c r="Y1289" s="40"/>
      <c r="Z1289" s="38"/>
      <c r="AA1289" s="38"/>
      <c r="AB1289" s="38"/>
      <c r="AC1289" s="38"/>
      <c r="AD1289" s="38"/>
      <c r="AE1289" s="38"/>
      <c r="AF1289" s="38"/>
      <c r="AG1289" s="38"/>
      <c r="AH1289" s="38"/>
      <c r="AI1289" s="38"/>
      <c r="AJ1289" s="38"/>
      <c r="AK1289" s="38"/>
      <c r="AL1289" s="38"/>
      <c r="AM1289" s="38"/>
      <c r="AN1289" s="38"/>
      <c r="AO1289" s="38"/>
      <c r="AP1289" s="38"/>
      <c r="AQ1289" s="38"/>
      <c r="AR1289" s="38"/>
      <c r="AS1289" s="38"/>
      <c r="AT1289" s="38"/>
      <c r="AU1289" s="38"/>
      <c r="AV1289" s="38"/>
      <c r="AW1289" s="38"/>
      <c r="AX1289" s="38"/>
      <c r="AY1289" s="38"/>
      <c r="AZ1289" s="38"/>
      <c r="BA1289" s="38"/>
      <c r="BB1289" s="38"/>
      <c r="BC1289" s="38"/>
      <c r="BD1289" s="38"/>
      <c r="BE1289" s="38"/>
      <c r="BF1289" s="38"/>
      <c r="BG1289" s="38"/>
      <c r="BH1289" s="38"/>
      <c r="BI1289" s="38"/>
      <c r="BJ1289" s="38"/>
      <c r="BK1289" s="38"/>
      <c r="BL1289" s="38"/>
      <c r="BM1289" s="38"/>
      <c r="BN1289" s="38"/>
      <c r="BO1289" s="38"/>
      <c r="BP1289" s="38"/>
      <c r="BQ1289" s="38"/>
    </row>
    <row r="1290">
      <c r="A1290" s="58" t="s">
        <v>3866</v>
      </c>
      <c r="B1290" s="59">
        <v>43389.0</v>
      </c>
      <c r="C1290" s="79">
        <v>43252.0</v>
      </c>
      <c r="D1290" s="60" t="s">
        <v>2163</v>
      </c>
      <c r="E1290" s="58" t="s">
        <v>41</v>
      </c>
      <c r="F1290" s="58">
        <v>1.0</v>
      </c>
      <c r="G1290" s="58" t="s">
        <v>32</v>
      </c>
      <c r="H1290" s="33">
        <f>if(G1290="Unknown",1,G1290)</f>
        <v>1</v>
      </c>
      <c r="I1290" s="58" t="s">
        <v>33</v>
      </c>
      <c r="J1290" s="58" t="s">
        <v>850</v>
      </c>
      <c r="K1290" s="58">
        <v>1.0</v>
      </c>
      <c r="L1290" s="58" t="s">
        <v>119</v>
      </c>
      <c r="M1290" s="61" t="s">
        <v>3867</v>
      </c>
      <c r="N1290" s="80"/>
      <c r="O1290" s="62"/>
      <c r="P1290" s="62"/>
      <c r="Q1290" s="58"/>
      <c r="R1290" s="62"/>
      <c r="S1290" s="37" t="str">
        <f>IFERROR(__xludf.DUMMYFUNCTION("if(not(iserror(index(split(C1290, "" ""),2))), index(split(C1290, "" ""),1),"""")"),"June,")</f>
        <v>June,</v>
      </c>
      <c r="T1290" s="38">
        <f>IFERROR(__xludf.DUMMYFUNCTION("if(S1290="""",C1290,if(not(iserror(index(split(C1290, "" ""),3))), index(split(C1290, "" ""),3),index(split(C1290, "" ""),2)))"),2018.0)</f>
        <v>2018</v>
      </c>
      <c r="U1290" s="38" t="b">
        <f t="shared" si="189"/>
        <v>0</v>
      </c>
      <c r="V1290" s="38"/>
      <c r="W1290" s="40"/>
      <c r="X1290" s="40"/>
      <c r="Y1290" s="40"/>
      <c r="Z1290" s="38"/>
      <c r="AA1290" s="38"/>
      <c r="AB1290" s="38"/>
      <c r="AC1290" s="38"/>
      <c r="AD1290" s="38"/>
      <c r="AE1290" s="38"/>
      <c r="AF1290" s="38"/>
      <c r="AG1290" s="38"/>
      <c r="AH1290" s="38"/>
      <c r="AI1290" s="38"/>
      <c r="AJ1290" s="38"/>
      <c r="AK1290" s="38"/>
      <c r="AL1290" s="38"/>
      <c r="AM1290" s="38"/>
      <c r="AN1290" s="38"/>
      <c r="AO1290" s="38"/>
      <c r="AP1290" s="38"/>
      <c r="AQ1290" s="38"/>
      <c r="AR1290" s="38"/>
      <c r="AS1290" s="38"/>
      <c r="AT1290" s="38"/>
      <c r="AU1290" s="38"/>
      <c r="AV1290" s="38"/>
      <c r="AW1290" s="38"/>
      <c r="AX1290" s="38"/>
      <c r="AY1290" s="38"/>
      <c r="AZ1290" s="38"/>
      <c r="BA1290" s="38"/>
      <c r="BB1290" s="38"/>
      <c r="BC1290" s="38"/>
      <c r="BD1290" s="38"/>
      <c r="BE1290" s="38"/>
      <c r="BF1290" s="38"/>
      <c r="BG1290" s="38"/>
      <c r="BH1290" s="38"/>
      <c r="BI1290" s="38"/>
      <c r="BJ1290" s="38"/>
      <c r="BK1290" s="38"/>
      <c r="BL1290" s="38"/>
      <c r="BM1290" s="38"/>
      <c r="BN1290" s="38"/>
      <c r="BO1290" s="38"/>
      <c r="BP1290" s="38"/>
      <c r="BQ1290" s="38"/>
    </row>
    <row r="1291">
      <c r="A1291" s="58" t="s">
        <v>3868</v>
      </c>
      <c r="B1291" s="59"/>
      <c r="C1291" s="79">
        <v>43252.0</v>
      </c>
      <c r="D1291" s="60"/>
      <c r="E1291" s="58" t="s">
        <v>41</v>
      </c>
      <c r="F1291" s="58">
        <v>1.0</v>
      </c>
      <c r="G1291" s="58">
        <v>1.0</v>
      </c>
      <c r="H1291" s="43">
        <v>1.0</v>
      </c>
      <c r="I1291" s="58" t="s">
        <v>33</v>
      </c>
      <c r="J1291" s="58" t="s">
        <v>98</v>
      </c>
      <c r="K1291" s="58"/>
      <c r="L1291" s="58" t="s">
        <v>3869</v>
      </c>
      <c r="M1291" s="61" t="s">
        <v>3870</v>
      </c>
      <c r="N1291" s="80"/>
      <c r="O1291" s="83" t="str">
        <f>hyperlink("https://bad-boys.us/?q=SD-GA/1:19-cr-00036", "SD-GA 1:19-cr-00036 ❓")</f>
        <v>SD-GA 1:19-cr-00036 ❓</v>
      </c>
      <c r="P1291" s="62"/>
      <c r="Q1291" s="58">
        <v>1.0</v>
      </c>
      <c r="R1291" s="62"/>
      <c r="S1291" s="37"/>
      <c r="T1291" s="38"/>
      <c r="U1291" s="38" t="b">
        <f t="shared" si="189"/>
        <v>0</v>
      </c>
      <c r="V1291" s="38" t="s">
        <v>33</v>
      </c>
      <c r="W1291" s="40"/>
      <c r="X1291" s="40"/>
      <c r="Y1291" s="40"/>
      <c r="Z1291" s="38"/>
      <c r="AA1291" s="38"/>
      <c r="AB1291" s="38"/>
      <c r="AC1291" s="38"/>
      <c r="AD1291" s="38"/>
      <c r="AE1291" s="38"/>
      <c r="AF1291" s="38"/>
      <c r="AG1291" s="38"/>
      <c r="AH1291" s="38"/>
      <c r="AI1291" s="38"/>
      <c r="AJ1291" s="38"/>
      <c r="AK1291" s="38"/>
      <c r="AL1291" s="38"/>
      <c r="AM1291" s="38"/>
      <c r="AN1291" s="38"/>
      <c r="AO1291" s="38"/>
      <c r="AP1291" s="38"/>
      <c r="AQ1291" s="38"/>
      <c r="AR1291" s="38"/>
      <c r="AS1291" s="38"/>
      <c r="AT1291" s="38"/>
      <c r="AU1291" s="38"/>
      <c r="AV1291" s="38"/>
      <c r="AW1291" s="38"/>
      <c r="AX1291" s="38"/>
      <c r="AY1291" s="38"/>
      <c r="AZ1291" s="38"/>
      <c r="BA1291" s="38"/>
      <c r="BB1291" s="38"/>
      <c r="BC1291" s="38"/>
      <c r="BD1291" s="38"/>
      <c r="BE1291" s="38"/>
      <c r="BF1291" s="38"/>
      <c r="BG1291" s="38"/>
      <c r="BH1291" s="38"/>
      <c r="BI1291" s="38"/>
      <c r="BJ1291" s="38"/>
      <c r="BK1291" s="38"/>
      <c r="BL1291" s="38"/>
      <c r="BM1291" s="38"/>
      <c r="BN1291" s="38"/>
      <c r="BO1291" s="38"/>
      <c r="BP1291" s="38"/>
      <c r="BQ1291" s="38"/>
    </row>
    <row r="1292">
      <c r="A1292" s="58" t="s">
        <v>3871</v>
      </c>
      <c r="B1292" s="59">
        <v>43390.0</v>
      </c>
      <c r="C1292" s="79">
        <v>43252.0</v>
      </c>
      <c r="D1292" s="60" t="s">
        <v>637</v>
      </c>
      <c r="E1292" s="58" t="s">
        <v>41</v>
      </c>
      <c r="F1292" s="58">
        <v>1.0</v>
      </c>
      <c r="G1292" s="58" t="s">
        <v>32</v>
      </c>
      <c r="H1292" s="33">
        <f t="shared" ref="H1292:H1295" si="193">if(G1292="Unknown",1,G1292)</f>
        <v>1</v>
      </c>
      <c r="I1292" s="58" t="s">
        <v>33</v>
      </c>
      <c r="J1292" s="58" t="s">
        <v>524</v>
      </c>
      <c r="K1292" s="58">
        <v>1.0</v>
      </c>
      <c r="L1292" s="58" t="s">
        <v>119</v>
      </c>
      <c r="M1292" s="184" t="s">
        <v>3872</v>
      </c>
      <c r="N1292" s="61" t="s">
        <v>3873</v>
      </c>
      <c r="O1292" s="88" t="str">
        <f>hyperlink("https://bad-boys.us/?q=D-AK/3:18-cr-00123", "D-AK 3:18-cr-00123")</f>
        <v>D-AK 3:18-cr-00123</v>
      </c>
      <c r="P1292" s="88" t="s">
        <v>3874</v>
      </c>
      <c r="Q1292" s="58">
        <v>1.0</v>
      </c>
      <c r="R1292" s="58">
        <v>1.0</v>
      </c>
      <c r="S1292" s="37" t="str">
        <f>IFERROR(__xludf.DUMMYFUNCTION("if(not(iserror(index(split(C1292, "" ""),2))), index(split(C1292, "" ""),1),"""")"),"June,")</f>
        <v>June,</v>
      </c>
      <c r="T1292" s="38">
        <f>IFERROR(__xludf.DUMMYFUNCTION("if(S1292="""",C1292,if(not(iserror(index(split(C1292, "" ""),3))), index(split(C1292, "" ""),3),index(split(C1292, "" ""),2)))"),2018.0)</f>
        <v>2018</v>
      </c>
      <c r="U1292" s="38" t="b">
        <f t="shared" si="189"/>
        <v>0</v>
      </c>
      <c r="V1292" s="38"/>
      <c r="W1292" s="40"/>
      <c r="X1292" s="40"/>
      <c r="Y1292" s="40"/>
      <c r="Z1292" s="38"/>
      <c r="AA1292" s="38"/>
      <c r="AB1292" s="38"/>
      <c r="AC1292" s="38"/>
      <c r="AD1292" s="38"/>
      <c r="AE1292" s="38"/>
      <c r="AF1292" s="38"/>
      <c r="AG1292" s="38"/>
      <c r="AH1292" s="38"/>
      <c r="AI1292" s="38"/>
      <c r="AJ1292" s="38"/>
      <c r="AK1292" s="38"/>
      <c r="AL1292" s="38"/>
      <c r="AM1292" s="38"/>
      <c r="AN1292" s="38"/>
      <c r="AO1292" s="38"/>
      <c r="AP1292" s="38"/>
      <c r="AQ1292" s="38"/>
      <c r="AR1292" s="38"/>
      <c r="AS1292" s="38"/>
      <c r="AT1292" s="38"/>
      <c r="AU1292" s="38"/>
      <c r="AV1292" s="38"/>
      <c r="AW1292" s="38"/>
      <c r="AX1292" s="38"/>
      <c r="AY1292" s="38"/>
      <c r="AZ1292" s="38"/>
      <c r="BA1292" s="38"/>
      <c r="BB1292" s="38"/>
      <c r="BC1292" s="38"/>
      <c r="BD1292" s="38"/>
      <c r="BE1292" s="38"/>
      <c r="BF1292" s="38"/>
      <c r="BG1292" s="38"/>
      <c r="BH1292" s="38"/>
      <c r="BI1292" s="38"/>
      <c r="BJ1292" s="38"/>
      <c r="BK1292" s="38"/>
      <c r="BL1292" s="38"/>
      <c r="BM1292" s="38"/>
      <c r="BN1292" s="38"/>
      <c r="BO1292" s="38"/>
      <c r="BP1292" s="38"/>
      <c r="BQ1292" s="38"/>
    </row>
    <row r="1293">
      <c r="A1293" s="58" t="s">
        <v>3875</v>
      </c>
      <c r="B1293" s="59">
        <v>43409.0</v>
      </c>
      <c r="C1293" s="79">
        <v>43252.0</v>
      </c>
      <c r="D1293" s="60" t="s">
        <v>2163</v>
      </c>
      <c r="E1293" s="58" t="s">
        <v>41</v>
      </c>
      <c r="F1293" s="58">
        <v>1.0</v>
      </c>
      <c r="G1293" s="58" t="s">
        <v>32</v>
      </c>
      <c r="H1293" s="33">
        <f t="shared" si="193"/>
        <v>1</v>
      </c>
      <c r="I1293" s="58" t="s">
        <v>33</v>
      </c>
      <c r="J1293" s="58" t="s">
        <v>1184</v>
      </c>
      <c r="K1293" s="58">
        <v>2.0</v>
      </c>
      <c r="L1293" s="58" t="s">
        <v>119</v>
      </c>
      <c r="M1293" s="61" t="s">
        <v>3876</v>
      </c>
      <c r="N1293" s="80"/>
      <c r="O1293" s="88" t="str">
        <f>hyperlink("https://bad-boys.us/?q=D-ID/1:18-cr-00177", "D-ID 1:18-cr-00177")</f>
        <v>D-ID 1:18-cr-00177</v>
      </c>
      <c r="P1293" s="88" t="s">
        <v>3877</v>
      </c>
      <c r="Q1293" s="84">
        <v>1.0</v>
      </c>
      <c r="R1293" s="62"/>
      <c r="S1293" s="37" t="str">
        <f>IFERROR(__xludf.DUMMYFUNCTION("if(not(iserror(index(split(C1293, "" ""),2))), index(split(C1293, "" ""),1),"""")"),"June,")</f>
        <v>June,</v>
      </c>
      <c r="T1293" s="38">
        <f>IFERROR(__xludf.DUMMYFUNCTION("if(S1293="""",C1293,if(not(iserror(index(split(C1293, "" ""),3))), index(split(C1293, "" ""),3),index(split(C1293, "" ""),2)))"),2018.0)</f>
        <v>2018</v>
      </c>
      <c r="U1293" s="38" t="b">
        <f t="shared" si="189"/>
        <v>0</v>
      </c>
      <c r="V1293" s="38"/>
      <c r="W1293" s="40"/>
      <c r="X1293" s="40"/>
      <c r="Y1293" s="40"/>
      <c r="Z1293" s="38"/>
      <c r="AA1293" s="38"/>
      <c r="AB1293" s="38"/>
      <c r="AC1293" s="38"/>
      <c r="AD1293" s="38"/>
      <c r="AE1293" s="38"/>
      <c r="AF1293" s="38"/>
      <c r="AG1293" s="38"/>
      <c r="AH1293" s="38"/>
      <c r="AI1293" s="38"/>
      <c r="AJ1293" s="38"/>
      <c r="AK1293" s="38"/>
      <c r="AL1293" s="38"/>
      <c r="AM1293" s="38"/>
      <c r="AN1293" s="38"/>
      <c r="AO1293" s="38"/>
      <c r="AP1293" s="38"/>
      <c r="AQ1293" s="38"/>
      <c r="AR1293" s="38"/>
      <c r="AS1293" s="38"/>
      <c r="AT1293" s="38"/>
      <c r="AU1293" s="38"/>
      <c r="AV1293" s="38"/>
      <c r="AW1293" s="38"/>
      <c r="AX1293" s="38"/>
      <c r="AY1293" s="38"/>
      <c r="AZ1293" s="38"/>
      <c r="BA1293" s="38"/>
      <c r="BB1293" s="38"/>
      <c r="BC1293" s="38"/>
      <c r="BD1293" s="38"/>
      <c r="BE1293" s="38"/>
      <c r="BF1293" s="38"/>
      <c r="BG1293" s="38"/>
      <c r="BH1293" s="38"/>
      <c r="BI1293" s="38"/>
      <c r="BJ1293" s="38"/>
      <c r="BK1293" s="38"/>
      <c r="BL1293" s="38"/>
      <c r="BM1293" s="38"/>
      <c r="BN1293" s="38"/>
      <c r="BO1293" s="38"/>
      <c r="BP1293" s="38"/>
      <c r="BQ1293" s="38"/>
    </row>
    <row r="1294">
      <c r="A1294" s="58" t="s">
        <v>3878</v>
      </c>
      <c r="B1294" s="59">
        <v>43444.0</v>
      </c>
      <c r="C1294" s="79">
        <v>43252.0</v>
      </c>
      <c r="D1294" s="60" t="s">
        <v>2163</v>
      </c>
      <c r="E1294" s="58" t="s">
        <v>31</v>
      </c>
      <c r="F1294" s="58">
        <v>1.0</v>
      </c>
      <c r="G1294" s="58" t="s">
        <v>32</v>
      </c>
      <c r="H1294" s="33">
        <f t="shared" si="193"/>
        <v>1</v>
      </c>
      <c r="I1294" s="58" t="s">
        <v>33</v>
      </c>
      <c r="J1294" s="58" t="s">
        <v>47</v>
      </c>
      <c r="K1294" s="58">
        <v>2.0</v>
      </c>
      <c r="L1294" s="58" t="s">
        <v>119</v>
      </c>
      <c r="M1294" s="61" t="s">
        <v>3879</v>
      </c>
      <c r="N1294" s="61" t="s">
        <v>3880</v>
      </c>
      <c r="O1294" s="88" t="str">
        <f>hyperlink("https://bad-boys.us/?q=MD-FL/6:18-cr-00174", "MD-FL 6:18-cr-00174")</f>
        <v>MD-FL 6:18-cr-00174</v>
      </c>
      <c r="P1294" s="88" t="s">
        <v>3881</v>
      </c>
      <c r="Q1294" s="58">
        <v>1.0</v>
      </c>
      <c r="R1294" s="62"/>
      <c r="S1294" s="37" t="str">
        <f>IFERROR(__xludf.DUMMYFUNCTION("if(not(iserror(index(split(C1294, "" ""),2))), index(split(C1294, "" ""),1),"""")"),"June,")</f>
        <v>June,</v>
      </c>
      <c r="T1294" s="38">
        <f>IFERROR(__xludf.DUMMYFUNCTION("if(S1294="""",C1294,if(not(iserror(index(split(C1294, "" ""),3))), index(split(C1294, "" ""),3),index(split(C1294, "" ""),2)))"),2018.0)</f>
        <v>2018</v>
      </c>
      <c r="U1294" s="38" t="b">
        <f t="shared" si="189"/>
        <v>0</v>
      </c>
      <c r="V1294" s="38"/>
      <c r="W1294" s="40"/>
      <c r="X1294" s="40"/>
      <c r="Y1294" s="40"/>
      <c r="Z1294" s="38"/>
      <c r="AA1294" s="38"/>
      <c r="AB1294" s="38"/>
      <c r="AC1294" s="38"/>
      <c r="AD1294" s="38"/>
      <c r="AE1294" s="38"/>
      <c r="AF1294" s="38"/>
      <c r="AG1294" s="38"/>
      <c r="AH1294" s="38"/>
      <c r="AI1294" s="38"/>
      <c r="AJ1294" s="38"/>
      <c r="AK1294" s="38"/>
      <c r="AL1294" s="38"/>
      <c r="AM1294" s="38"/>
      <c r="AN1294" s="38"/>
      <c r="AO1294" s="38"/>
      <c r="AP1294" s="38"/>
      <c r="AQ1294" s="38"/>
      <c r="AR1294" s="38"/>
      <c r="AS1294" s="38"/>
      <c r="AT1294" s="38"/>
      <c r="AU1294" s="38"/>
      <c r="AV1294" s="38"/>
      <c r="AW1294" s="38"/>
      <c r="AX1294" s="38"/>
      <c r="AY1294" s="38"/>
      <c r="AZ1294" s="38"/>
      <c r="BA1294" s="38"/>
      <c r="BB1294" s="38"/>
      <c r="BC1294" s="38"/>
      <c r="BD1294" s="38"/>
      <c r="BE1294" s="38"/>
      <c r="BF1294" s="38"/>
      <c r="BG1294" s="38"/>
      <c r="BH1294" s="38"/>
      <c r="BI1294" s="38"/>
      <c r="BJ1294" s="38"/>
      <c r="BK1294" s="38"/>
      <c r="BL1294" s="38"/>
      <c r="BM1294" s="38"/>
      <c r="BN1294" s="38"/>
      <c r="BO1294" s="38"/>
      <c r="BP1294" s="38"/>
      <c r="BQ1294" s="38"/>
    </row>
    <row r="1295">
      <c r="A1295" s="58" t="s">
        <v>660</v>
      </c>
      <c r="B1295" s="59">
        <v>43447.0</v>
      </c>
      <c r="C1295" s="79">
        <v>43252.0</v>
      </c>
      <c r="D1295" s="60" t="s">
        <v>3882</v>
      </c>
      <c r="E1295" s="58" t="s">
        <v>41</v>
      </c>
      <c r="F1295" s="58">
        <v>17.0</v>
      </c>
      <c r="G1295" s="58">
        <v>15.0</v>
      </c>
      <c r="H1295" s="33">
        <f t="shared" si="193"/>
        <v>15</v>
      </c>
      <c r="I1295" s="58" t="s">
        <v>33</v>
      </c>
      <c r="J1295" s="58" t="s">
        <v>93</v>
      </c>
      <c r="K1295" s="58">
        <v>4.0</v>
      </c>
      <c r="L1295" s="58" t="s">
        <v>1203</v>
      </c>
      <c r="M1295" s="61" t="s">
        <v>3883</v>
      </c>
      <c r="N1295" s="80"/>
      <c r="O1295" s="88" t="str">
        <f>hyperlink("https://bad-boys.us/?q=SD-NY/1:18-cr-00528", "SD-NY 1:18-cr-00528 ❔")</f>
        <v>SD-NY 1:18-cr-00528 ❔</v>
      </c>
      <c r="P1295" s="88" t="s">
        <v>3884</v>
      </c>
      <c r="Q1295" s="84">
        <v>1.0</v>
      </c>
      <c r="R1295" s="62"/>
      <c r="S1295" s="37" t="str">
        <f>IFERROR(__xludf.DUMMYFUNCTION("if(not(iserror(index(split(C1295, "" ""),2))), index(split(C1295, "" ""),1),"""")"),"June,")</f>
        <v>June,</v>
      </c>
      <c r="T1295" s="38">
        <f>IFERROR(__xludf.DUMMYFUNCTION("if(S1295="""",C1295,if(not(iserror(index(split(C1295, "" ""),3))), index(split(C1295, "" ""),3),index(split(C1295, "" ""),2)))"),2018.0)</f>
        <v>2018</v>
      </c>
      <c r="U1295" s="38" t="b">
        <f t="shared" si="189"/>
        <v>1</v>
      </c>
      <c r="V1295" s="38"/>
      <c r="W1295" s="40"/>
      <c r="X1295" s="40"/>
      <c r="Y1295" s="40"/>
      <c r="Z1295" s="38"/>
      <c r="AA1295" s="38"/>
      <c r="AB1295" s="38"/>
      <c r="AC1295" s="38"/>
      <c r="AD1295" s="38"/>
      <c r="AE1295" s="38"/>
      <c r="AF1295" s="38"/>
      <c r="AG1295" s="38"/>
      <c r="AH1295" s="38"/>
      <c r="AI1295" s="38"/>
      <c r="AJ1295" s="38"/>
      <c r="AK1295" s="38"/>
      <c r="AL1295" s="38"/>
      <c r="AM1295" s="38"/>
      <c r="AN1295" s="38"/>
      <c r="AO1295" s="38"/>
      <c r="AP1295" s="38"/>
      <c r="AQ1295" s="38"/>
      <c r="AR1295" s="38"/>
      <c r="AS1295" s="38"/>
      <c r="AT1295" s="38"/>
      <c r="AU1295" s="38"/>
      <c r="AV1295" s="38"/>
      <c r="AW1295" s="38"/>
      <c r="AX1295" s="38"/>
      <c r="AY1295" s="38"/>
      <c r="AZ1295" s="38"/>
      <c r="BA1295" s="38"/>
      <c r="BB1295" s="38"/>
      <c r="BC1295" s="38"/>
      <c r="BD1295" s="38"/>
      <c r="BE1295" s="38"/>
      <c r="BF1295" s="38"/>
      <c r="BG1295" s="38"/>
      <c r="BH1295" s="38"/>
      <c r="BI1295" s="38"/>
      <c r="BJ1295" s="38"/>
      <c r="BK1295" s="38"/>
      <c r="BL1295" s="38"/>
      <c r="BM1295" s="38"/>
      <c r="BN1295" s="38"/>
      <c r="BO1295" s="38"/>
      <c r="BP1295" s="38"/>
      <c r="BQ1295" s="38"/>
    </row>
    <row r="1296">
      <c r="A1296" s="58" t="s">
        <v>3885</v>
      </c>
      <c r="B1296" s="59"/>
      <c r="C1296" s="79">
        <v>43252.0</v>
      </c>
      <c r="D1296" s="60"/>
      <c r="E1296" s="58" t="s">
        <v>41</v>
      </c>
      <c r="F1296" s="58">
        <v>1.0</v>
      </c>
      <c r="G1296" s="58">
        <v>1.0</v>
      </c>
      <c r="H1296" s="43">
        <v>1.0</v>
      </c>
      <c r="I1296" s="58" t="s">
        <v>33</v>
      </c>
      <c r="J1296" s="58" t="s">
        <v>93</v>
      </c>
      <c r="K1296" s="58"/>
      <c r="L1296" s="58" t="s">
        <v>1203</v>
      </c>
      <c r="M1296" s="80" t="s">
        <v>3886</v>
      </c>
      <c r="N1296" s="80"/>
      <c r="O1296" s="88" t="str">
        <f>hyperlink("https://bad-boys.us/?q=SD-NY/NY-S_Jul.pdf", "SD-NY NY-S_Jul.pdf ❓")</f>
        <v>SD-NY NY-S_Jul.pdf ❓</v>
      </c>
      <c r="P1296" s="88" t="s">
        <v>3884</v>
      </c>
      <c r="Q1296" s="58">
        <v>1.0</v>
      </c>
      <c r="R1296" s="62"/>
      <c r="S1296" s="37"/>
      <c r="T1296" s="38"/>
      <c r="U1296" s="38" t="b">
        <f t="shared" si="189"/>
        <v>0</v>
      </c>
      <c r="V1296" s="38"/>
      <c r="W1296" s="40"/>
      <c r="X1296" s="40"/>
      <c r="Y1296" s="40"/>
      <c r="Z1296" s="38"/>
      <c r="AA1296" s="38"/>
      <c r="AB1296" s="38"/>
      <c r="AC1296" s="38"/>
      <c r="AD1296" s="38"/>
      <c r="AE1296" s="38"/>
      <c r="AF1296" s="38"/>
      <c r="AG1296" s="38"/>
      <c r="AH1296" s="38"/>
      <c r="AI1296" s="38"/>
      <c r="AJ1296" s="38"/>
      <c r="AK1296" s="38"/>
      <c r="AL1296" s="38"/>
      <c r="AM1296" s="38"/>
      <c r="AN1296" s="38"/>
      <c r="AO1296" s="38"/>
      <c r="AP1296" s="38"/>
      <c r="AQ1296" s="38"/>
      <c r="AR1296" s="38"/>
      <c r="AS1296" s="38"/>
      <c r="AT1296" s="38"/>
      <c r="AU1296" s="38"/>
      <c r="AV1296" s="38"/>
      <c r="AW1296" s="38"/>
      <c r="AX1296" s="38"/>
      <c r="AY1296" s="38"/>
      <c r="AZ1296" s="38"/>
      <c r="BA1296" s="38"/>
      <c r="BB1296" s="38"/>
      <c r="BC1296" s="38"/>
      <c r="BD1296" s="38"/>
      <c r="BE1296" s="38"/>
      <c r="BF1296" s="38"/>
      <c r="BG1296" s="38"/>
      <c r="BH1296" s="38"/>
      <c r="BI1296" s="38"/>
      <c r="BJ1296" s="38"/>
      <c r="BK1296" s="38"/>
      <c r="BL1296" s="38"/>
      <c r="BM1296" s="38"/>
      <c r="BN1296" s="38"/>
      <c r="BO1296" s="38"/>
      <c r="BP1296" s="38"/>
      <c r="BQ1296" s="38"/>
    </row>
    <row r="1297">
      <c r="A1297" s="47" t="s">
        <v>3887</v>
      </c>
      <c r="B1297" s="48">
        <v>43502.0</v>
      </c>
      <c r="C1297" s="89">
        <v>43252.0</v>
      </c>
      <c r="D1297" s="49" t="s">
        <v>2163</v>
      </c>
      <c r="E1297" s="47" t="s">
        <v>31</v>
      </c>
      <c r="F1297" s="47">
        <v>1.0</v>
      </c>
      <c r="G1297" s="47">
        <v>1.0</v>
      </c>
      <c r="H1297" s="63">
        <v>1.0</v>
      </c>
      <c r="I1297" s="47" t="s">
        <v>33</v>
      </c>
      <c r="J1297" s="47" t="s">
        <v>179</v>
      </c>
      <c r="K1297" s="47">
        <v>1.0</v>
      </c>
      <c r="L1297" s="47" t="s">
        <v>3869</v>
      </c>
      <c r="M1297" s="51" t="s">
        <v>3888</v>
      </c>
      <c r="N1297" s="51" t="s">
        <v>3889</v>
      </c>
      <c r="O1297" s="53" t="str">
        <f>hyperlink("https://bad-boys.us/?q=ED-VA/3:19-cr-00019", "ED-VA 3:19-cr-00019")</f>
        <v>ED-VA 3:19-cr-00019</v>
      </c>
      <c r="P1297" s="47"/>
      <c r="Q1297" s="47">
        <v>1.0</v>
      </c>
      <c r="R1297" s="55"/>
      <c r="S1297" s="37" t="str">
        <f>IFERROR(__xludf.DUMMYFUNCTION("if(not(iserror(index(split(C1297, "" ""),2))), index(split(C1297, "" ""),1),"""")"),"June,")</f>
        <v>June,</v>
      </c>
      <c r="T1297" s="38">
        <f>IFERROR(__xludf.DUMMYFUNCTION("if(S1297="""",C1297,if(not(iserror(index(split(C1297, "" ""),3))), index(split(C1297, "" ""),3),index(split(C1297, "" ""),2)))"),2018.0)</f>
        <v>2018</v>
      </c>
      <c r="U1297" s="38" t="b">
        <f t="shared" si="189"/>
        <v>0</v>
      </c>
      <c r="V1297" s="38" t="s">
        <v>3890</v>
      </c>
      <c r="W1297" s="40"/>
      <c r="X1297" s="40"/>
      <c r="Y1297" s="40"/>
      <c r="Z1297" s="38"/>
      <c r="AA1297" s="38"/>
      <c r="AB1297" s="38"/>
      <c r="AC1297" s="38"/>
      <c r="AD1297" s="38"/>
      <c r="AE1297" s="38"/>
      <c r="AF1297" s="38"/>
      <c r="AG1297" s="38"/>
      <c r="AH1297" s="38"/>
      <c r="AI1297" s="38"/>
      <c r="AJ1297" s="38"/>
      <c r="AK1297" s="38"/>
      <c r="AL1297" s="38"/>
      <c r="AM1297" s="38"/>
      <c r="AN1297" s="38"/>
      <c r="AO1297" s="38"/>
      <c r="AP1297" s="38"/>
      <c r="AQ1297" s="38"/>
      <c r="AR1297" s="38"/>
      <c r="AS1297" s="38"/>
      <c r="AT1297" s="38"/>
      <c r="AU1297" s="38"/>
      <c r="AV1297" s="38"/>
      <c r="AW1297" s="38"/>
      <c r="AX1297" s="38"/>
      <c r="AY1297" s="38"/>
      <c r="AZ1297" s="38"/>
      <c r="BA1297" s="38"/>
      <c r="BB1297" s="38"/>
      <c r="BC1297" s="38"/>
      <c r="BD1297" s="38"/>
      <c r="BE1297" s="38"/>
      <c r="BF1297" s="38"/>
      <c r="BG1297" s="38"/>
      <c r="BH1297" s="38"/>
      <c r="BI1297" s="38"/>
      <c r="BJ1297" s="38"/>
      <c r="BK1297" s="38"/>
      <c r="BL1297" s="38"/>
      <c r="BM1297" s="38"/>
      <c r="BN1297" s="38"/>
      <c r="BO1297" s="38"/>
      <c r="BP1297" s="38"/>
      <c r="BQ1297" s="38"/>
    </row>
    <row r="1298">
      <c r="A1298" s="37" t="s">
        <v>3891</v>
      </c>
      <c r="B1298" s="59"/>
      <c r="C1298" s="59">
        <v>43252.0</v>
      </c>
      <c r="D1298" s="60"/>
      <c r="E1298" s="58" t="s">
        <v>41</v>
      </c>
      <c r="F1298" s="58">
        <v>1.0</v>
      </c>
      <c r="G1298" s="58" t="s">
        <v>32</v>
      </c>
      <c r="H1298" s="43">
        <v>1.0</v>
      </c>
      <c r="I1298" s="58" t="s">
        <v>33</v>
      </c>
      <c r="J1298" s="58" t="s">
        <v>47</v>
      </c>
      <c r="K1298" s="58"/>
      <c r="L1298" s="58" t="s">
        <v>119</v>
      </c>
      <c r="M1298" s="61" t="s">
        <v>3892</v>
      </c>
      <c r="N1298" s="77"/>
      <c r="O1298" s="83" t="str">
        <f>hyperlink("https://bad-boys.us/?q=MD-FL/8:18-cr-00257", "MD-FL 8:18-cr-00257")</f>
        <v>MD-FL 8:18-cr-00257</v>
      </c>
      <c r="P1298" s="88" t="s">
        <v>3893</v>
      </c>
      <c r="Q1298" s="58">
        <v>1.0</v>
      </c>
      <c r="R1298" s="62"/>
      <c r="S1298" s="37" t="str">
        <f>IFERROR(__xludf.DUMMYFUNCTION("if(not(iserror(index(split(C1298, "" ""),2))), index(split(C1298, "" ""),1),"""")"),"June")</f>
        <v>June</v>
      </c>
      <c r="T1298" s="38">
        <f>IFERROR(__xludf.DUMMYFUNCTION("if(S1298="""",C1298,if(not(iserror(index(split(C1298, "" ""),3))), index(split(C1298, "" ""),3),index(split(C1298, "" ""),2)))"),2018.0)</f>
        <v>2018</v>
      </c>
      <c r="U1298" s="38" t="b">
        <f t="shared" si="189"/>
        <v>0</v>
      </c>
      <c r="V1298" s="38" t="s">
        <v>33</v>
      </c>
      <c r="W1298" s="40"/>
      <c r="X1298" s="40"/>
      <c r="Y1298" s="40"/>
      <c r="Z1298" s="38"/>
      <c r="AA1298" s="38"/>
      <c r="AB1298" s="38"/>
      <c r="AC1298" s="38"/>
      <c r="AD1298" s="38"/>
      <c r="AE1298" s="38"/>
      <c r="AF1298" s="38"/>
      <c r="AG1298" s="38"/>
      <c r="AH1298" s="38"/>
      <c r="AI1298" s="38"/>
      <c r="AJ1298" s="38"/>
      <c r="AK1298" s="38"/>
      <c r="AL1298" s="38"/>
      <c r="AM1298" s="38"/>
      <c r="AN1298" s="38"/>
      <c r="AO1298" s="38"/>
      <c r="AP1298" s="38"/>
      <c r="AQ1298" s="38"/>
      <c r="AR1298" s="38"/>
      <c r="AS1298" s="38"/>
      <c r="AT1298" s="38"/>
      <c r="AU1298" s="38"/>
      <c r="AV1298" s="38"/>
      <c r="AW1298" s="38"/>
      <c r="AX1298" s="38"/>
      <c r="AY1298" s="38"/>
      <c r="AZ1298" s="38"/>
      <c r="BA1298" s="38"/>
      <c r="BB1298" s="38"/>
      <c r="BC1298" s="38"/>
      <c r="BD1298" s="38"/>
      <c r="BE1298" s="38"/>
      <c r="BF1298" s="38"/>
      <c r="BG1298" s="38"/>
      <c r="BH1298" s="38"/>
      <c r="BI1298" s="38"/>
      <c r="BJ1298" s="38"/>
      <c r="BK1298" s="38"/>
      <c r="BL1298" s="38"/>
      <c r="BM1298" s="38"/>
      <c r="BN1298" s="38"/>
      <c r="BO1298" s="38"/>
      <c r="BP1298" s="38"/>
      <c r="BQ1298" s="38"/>
    </row>
    <row r="1299">
      <c r="A1299" s="37" t="s">
        <v>239</v>
      </c>
      <c r="B1299" s="59">
        <v>43255.0</v>
      </c>
      <c r="C1299" s="59">
        <v>43253.0</v>
      </c>
      <c r="D1299" s="60" t="s">
        <v>3894</v>
      </c>
      <c r="E1299" s="58" t="s">
        <v>41</v>
      </c>
      <c r="F1299" s="58">
        <v>1.0</v>
      </c>
      <c r="G1299" s="58">
        <v>8.0</v>
      </c>
      <c r="H1299" s="33">
        <f t="shared" ref="H1299:H1306" si="194">if(G1299="Unknown",1,G1299)</f>
        <v>8</v>
      </c>
      <c r="I1299" s="58" t="s">
        <v>33</v>
      </c>
      <c r="J1299" s="58" t="s">
        <v>241</v>
      </c>
      <c r="K1299" s="58">
        <v>1.0</v>
      </c>
      <c r="L1299" s="58" t="s">
        <v>194</v>
      </c>
      <c r="M1299" s="61" t="s">
        <v>3895</v>
      </c>
      <c r="N1299" s="77"/>
      <c r="O1299" s="62"/>
      <c r="P1299" s="62"/>
      <c r="Q1299" s="62"/>
      <c r="R1299" s="62"/>
      <c r="S1299" s="37" t="str">
        <f>IFERROR(__xludf.DUMMYFUNCTION("if(not(iserror(index(split(C1299, "" ""),2))), index(split(C1299, "" ""),1),"""")"),"June")</f>
        <v>June</v>
      </c>
      <c r="T1299" s="38">
        <f>IFERROR(__xludf.DUMMYFUNCTION("if(S1299="""",C1299,if(not(iserror(index(split(C1299, "" ""),3))), index(split(C1299, "" ""),3),index(split(C1299, "" ""),2)))"),2018.0)</f>
        <v>2018</v>
      </c>
      <c r="U1299" s="38" t="b">
        <f t="shared" si="189"/>
        <v>1</v>
      </c>
      <c r="V1299" s="38"/>
      <c r="W1299" s="40"/>
      <c r="X1299" s="40"/>
      <c r="Y1299" s="40"/>
      <c r="Z1299" s="38"/>
      <c r="AA1299" s="38"/>
      <c r="AB1299" s="38"/>
      <c r="AC1299" s="38"/>
      <c r="AD1299" s="38"/>
      <c r="AE1299" s="38"/>
      <c r="AF1299" s="38"/>
      <c r="AG1299" s="38"/>
      <c r="AH1299" s="38"/>
      <c r="AI1299" s="38"/>
      <c r="AJ1299" s="38"/>
      <c r="AK1299" s="38"/>
      <c r="AL1299" s="38"/>
      <c r="AM1299" s="38"/>
      <c r="AN1299" s="38"/>
      <c r="AO1299" s="38"/>
      <c r="AP1299" s="38"/>
      <c r="AQ1299" s="38"/>
      <c r="AR1299" s="38"/>
      <c r="AS1299" s="38"/>
      <c r="AT1299" s="38"/>
      <c r="AU1299" s="38"/>
      <c r="AV1299" s="38"/>
      <c r="AW1299" s="38"/>
      <c r="AX1299" s="38"/>
      <c r="AY1299" s="38"/>
      <c r="AZ1299" s="38"/>
      <c r="BA1299" s="38"/>
      <c r="BB1299" s="38"/>
      <c r="BC1299" s="38"/>
      <c r="BD1299" s="38"/>
      <c r="BE1299" s="38"/>
      <c r="BF1299" s="38"/>
      <c r="BG1299" s="38"/>
      <c r="BH1299" s="38"/>
      <c r="BI1299" s="38"/>
      <c r="BJ1299" s="38"/>
      <c r="BK1299" s="38"/>
      <c r="BL1299" s="38"/>
      <c r="BM1299" s="38"/>
      <c r="BN1299" s="38"/>
      <c r="BO1299" s="38"/>
      <c r="BP1299" s="38"/>
      <c r="BQ1299" s="38"/>
    </row>
    <row r="1300">
      <c r="A1300" s="37" t="s">
        <v>239</v>
      </c>
      <c r="B1300" s="59">
        <v>43255.0</v>
      </c>
      <c r="C1300" s="59">
        <v>43253.0</v>
      </c>
      <c r="D1300" s="60" t="s">
        <v>3894</v>
      </c>
      <c r="E1300" s="58" t="s">
        <v>41</v>
      </c>
      <c r="F1300" s="58">
        <v>1.0</v>
      </c>
      <c r="G1300" s="58">
        <v>8.0</v>
      </c>
      <c r="H1300" s="33">
        <f t="shared" si="194"/>
        <v>8</v>
      </c>
      <c r="I1300" s="58" t="s">
        <v>33</v>
      </c>
      <c r="J1300" s="58" t="s">
        <v>241</v>
      </c>
      <c r="K1300" s="58">
        <v>1.0</v>
      </c>
      <c r="L1300" s="58" t="s">
        <v>194</v>
      </c>
      <c r="M1300" s="61" t="s">
        <v>3895</v>
      </c>
      <c r="N1300" s="77"/>
      <c r="O1300" s="62"/>
      <c r="P1300" s="62"/>
      <c r="Q1300" s="62"/>
      <c r="R1300" s="62"/>
      <c r="S1300" s="37" t="str">
        <f>IFERROR(__xludf.DUMMYFUNCTION("if(not(iserror(index(split(C1300, "" ""),2))), index(split(C1300, "" ""),1),"""")"),"June")</f>
        <v>June</v>
      </c>
      <c r="T1300" s="38">
        <f>IFERROR(__xludf.DUMMYFUNCTION("if(S1300="""",C1300,if(not(iserror(index(split(C1300, "" ""),3))), index(split(C1300, "" ""),3),index(split(C1300, "" ""),2)))"),2018.0)</f>
        <v>2018</v>
      </c>
      <c r="U1300" s="38" t="b">
        <f t="shared" si="189"/>
        <v>1</v>
      </c>
      <c r="V1300" s="38"/>
      <c r="W1300" s="40"/>
      <c r="X1300" s="40"/>
      <c r="Y1300" s="40"/>
      <c r="Z1300" s="38"/>
      <c r="AA1300" s="38"/>
      <c r="AB1300" s="38"/>
      <c r="AC1300" s="38"/>
      <c r="AD1300" s="38"/>
      <c r="AE1300" s="38"/>
      <c r="AF1300" s="38"/>
      <c r="AG1300" s="38"/>
      <c r="AH1300" s="38"/>
      <c r="AI1300" s="38"/>
      <c r="AJ1300" s="38"/>
      <c r="AK1300" s="38"/>
      <c r="AL1300" s="38"/>
      <c r="AM1300" s="38"/>
      <c r="AN1300" s="38"/>
      <c r="AO1300" s="38"/>
      <c r="AP1300" s="38"/>
      <c r="AQ1300" s="38"/>
      <c r="AR1300" s="38"/>
      <c r="AS1300" s="38"/>
      <c r="AT1300" s="38"/>
      <c r="AU1300" s="38"/>
      <c r="AV1300" s="38"/>
      <c r="AW1300" s="38"/>
      <c r="AX1300" s="38"/>
      <c r="AY1300" s="38"/>
      <c r="AZ1300" s="38"/>
      <c r="BA1300" s="38"/>
      <c r="BB1300" s="38"/>
      <c r="BC1300" s="38"/>
      <c r="BD1300" s="38"/>
      <c r="BE1300" s="38"/>
      <c r="BF1300" s="38"/>
      <c r="BG1300" s="38"/>
      <c r="BH1300" s="38"/>
      <c r="BI1300" s="38"/>
      <c r="BJ1300" s="38"/>
      <c r="BK1300" s="38"/>
      <c r="BL1300" s="38"/>
      <c r="BM1300" s="38"/>
      <c r="BN1300" s="38"/>
      <c r="BO1300" s="38"/>
      <c r="BP1300" s="38"/>
      <c r="BQ1300" s="38"/>
    </row>
    <row r="1301">
      <c r="A1301" s="37" t="s">
        <v>239</v>
      </c>
      <c r="B1301" s="59">
        <v>43256.0</v>
      </c>
      <c r="C1301" s="59">
        <v>43253.0</v>
      </c>
      <c r="D1301" s="60" t="s">
        <v>3894</v>
      </c>
      <c r="E1301" s="58" t="s">
        <v>41</v>
      </c>
      <c r="F1301" s="58">
        <v>3.0</v>
      </c>
      <c r="G1301" s="58">
        <v>4.0</v>
      </c>
      <c r="H1301" s="33">
        <f t="shared" si="194"/>
        <v>4</v>
      </c>
      <c r="I1301" s="58" t="s">
        <v>33</v>
      </c>
      <c r="J1301" s="58" t="s">
        <v>241</v>
      </c>
      <c r="K1301" s="58">
        <v>1.0</v>
      </c>
      <c r="L1301" s="58" t="s">
        <v>194</v>
      </c>
      <c r="M1301" s="61" t="s">
        <v>3896</v>
      </c>
      <c r="N1301" s="77"/>
      <c r="O1301" s="62"/>
      <c r="P1301" s="62"/>
      <c r="Q1301" s="62"/>
      <c r="R1301" s="62"/>
      <c r="S1301" s="37" t="str">
        <f>IFERROR(__xludf.DUMMYFUNCTION("if(not(iserror(index(split(C1301, "" ""),2))), index(split(C1301, "" ""),1),"""")"),"June")</f>
        <v>June</v>
      </c>
      <c r="T1301" s="38">
        <f>IFERROR(__xludf.DUMMYFUNCTION("if(S1301="""",C1301,if(not(iserror(index(split(C1301, "" ""),3))), index(split(C1301, "" ""),3),index(split(C1301, "" ""),2)))"),2018.0)</f>
        <v>2018</v>
      </c>
      <c r="U1301" s="38" t="b">
        <f t="shared" si="189"/>
        <v>1</v>
      </c>
      <c r="V1301" s="38"/>
      <c r="W1301" s="40"/>
      <c r="X1301" s="40"/>
      <c r="Y1301" s="40"/>
      <c r="Z1301" s="38"/>
      <c r="AA1301" s="38"/>
      <c r="AB1301" s="38"/>
      <c r="AC1301" s="38"/>
      <c r="AD1301" s="38"/>
      <c r="AE1301" s="38"/>
      <c r="AF1301" s="38"/>
      <c r="AG1301" s="38"/>
      <c r="AH1301" s="38"/>
      <c r="AI1301" s="38"/>
      <c r="AJ1301" s="38"/>
      <c r="AK1301" s="38"/>
      <c r="AL1301" s="38"/>
      <c r="AM1301" s="38"/>
      <c r="AN1301" s="38"/>
      <c r="AO1301" s="38"/>
      <c r="AP1301" s="38"/>
      <c r="AQ1301" s="38"/>
      <c r="AR1301" s="38"/>
      <c r="AS1301" s="38"/>
      <c r="AT1301" s="38"/>
      <c r="AU1301" s="38"/>
      <c r="AV1301" s="38"/>
      <c r="AW1301" s="38"/>
      <c r="AX1301" s="38"/>
      <c r="AY1301" s="38"/>
      <c r="AZ1301" s="38"/>
      <c r="BA1301" s="38"/>
      <c r="BB1301" s="38"/>
      <c r="BC1301" s="38"/>
      <c r="BD1301" s="38"/>
      <c r="BE1301" s="38"/>
      <c r="BF1301" s="38"/>
      <c r="BG1301" s="38"/>
      <c r="BH1301" s="38"/>
      <c r="BI1301" s="38"/>
      <c r="BJ1301" s="38"/>
      <c r="BK1301" s="38"/>
      <c r="BL1301" s="38"/>
      <c r="BM1301" s="38"/>
      <c r="BN1301" s="38"/>
      <c r="BO1301" s="38"/>
      <c r="BP1301" s="38"/>
      <c r="BQ1301" s="38"/>
    </row>
    <row r="1302">
      <c r="A1302" s="37" t="s">
        <v>3897</v>
      </c>
      <c r="B1302" s="59">
        <v>43256.0</v>
      </c>
      <c r="C1302" s="59">
        <v>43253.0</v>
      </c>
      <c r="D1302" s="60" t="s">
        <v>3894</v>
      </c>
      <c r="E1302" s="58" t="s">
        <v>41</v>
      </c>
      <c r="F1302" s="58">
        <v>1.0</v>
      </c>
      <c r="G1302" s="58" t="s">
        <v>32</v>
      </c>
      <c r="H1302" s="33">
        <f t="shared" si="194"/>
        <v>1</v>
      </c>
      <c r="I1302" s="58" t="s">
        <v>33</v>
      </c>
      <c r="J1302" s="58" t="s">
        <v>343</v>
      </c>
      <c r="K1302" s="58">
        <v>1.0</v>
      </c>
      <c r="L1302" s="58" t="s">
        <v>52</v>
      </c>
      <c r="M1302" s="61" t="s">
        <v>3898</v>
      </c>
      <c r="N1302" s="77"/>
      <c r="O1302" s="62"/>
      <c r="P1302" s="62"/>
      <c r="Q1302" s="62"/>
      <c r="R1302" s="62"/>
      <c r="S1302" s="37" t="str">
        <f>IFERROR(__xludf.DUMMYFUNCTION("if(not(iserror(index(split(C1302, "" ""),2))), index(split(C1302, "" ""),1),"""")"),"June")</f>
        <v>June</v>
      </c>
      <c r="T1302" s="38">
        <f>IFERROR(__xludf.DUMMYFUNCTION("if(S1302="""",C1302,if(not(iserror(index(split(C1302, "" ""),3))), index(split(C1302, "" ""),3),index(split(C1302, "" ""),2)))"),2018.0)</f>
        <v>2018</v>
      </c>
      <c r="U1302" s="38" t="b">
        <f t="shared" si="189"/>
        <v>0</v>
      </c>
      <c r="V1302" s="38"/>
      <c r="W1302" s="40"/>
      <c r="X1302" s="40"/>
      <c r="Y1302" s="40"/>
      <c r="Z1302" s="38"/>
      <c r="AA1302" s="38"/>
      <c r="AB1302" s="38"/>
      <c r="AC1302" s="38"/>
      <c r="AD1302" s="38"/>
      <c r="AE1302" s="38"/>
      <c r="AF1302" s="38"/>
      <c r="AG1302" s="38"/>
      <c r="AH1302" s="38"/>
      <c r="AI1302" s="38"/>
      <c r="AJ1302" s="38"/>
      <c r="AK1302" s="38"/>
      <c r="AL1302" s="38"/>
      <c r="AM1302" s="38"/>
      <c r="AN1302" s="38"/>
      <c r="AO1302" s="38"/>
      <c r="AP1302" s="38"/>
      <c r="AQ1302" s="38"/>
      <c r="AR1302" s="38"/>
      <c r="AS1302" s="38"/>
      <c r="AT1302" s="38"/>
      <c r="AU1302" s="38"/>
      <c r="AV1302" s="38"/>
      <c r="AW1302" s="38"/>
      <c r="AX1302" s="38"/>
      <c r="AY1302" s="38"/>
      <c r="AZ1302" s="38"/>
      <c r="BA1302" s="38"/>
      <c r="BB1302" s="38"/>
      <c r="BC1302" s="38"/>
      <c r="BD1302" s="38"/>
      <c r="BE1302" s="38"/>
      <c r="BF1302" s="38"/>
      <c r="BG1302" s="38"/>
      <c r="BH1302" s="38"/>
      <c r="BI1302" s="38"/>
      <c r="BJ1302" s="38"/>
      <c r="BK1302" s="38"/>
      <c r="BL1302" s="38"/>
      <c r="BM1302" s="38"/>
      <c r="BN1302" s="38"/>
      <c r="BO1302" s="38"/>
      <c r="BP1302" s="38"/>
      <c r="BQ1302" s="38"/>
    </row>
    <row r="1303">
      <c r="A1303" s="58" t="s">
        <v>239</v>
      </c>
      <c r="B1303" s="59">
        <v>43256.0</v>
      </c>
      <c r="C1303" s="59">
        <v>43253.0</v>
      </c>
      <c r="D1303" s="60" t="s">
        <v>3894</v>
      </c>
      <c r="E1303" s="58" t="s">
        <v>41</v>
      </c>
      <c r="F1303" s="58">
        <v>2.0</v>
      </c>
      <c r="G1303" s="58" t="s">
        <v>32</v>
      </c>
      <c r="H1303" s="33">
        <f t="shared" si="194"/>
        <v>1</v>
      </c>
      <c r="I1303" s="58" t="s">
        <v>33</v>
      </c>
      <c r="J1303" s="58" t="s">
        <v>241</v>
      </c>
      <c r="K1303" s="58">
        <v>1.0</v>
      </c>
      <c r="L1303" s="58" t="s">
        <v>2602</v>
      </c>
      <c r="M1303" s="61" t="s">
        <v>3899</v>
      </c>
      <c r="N1303" s="77"/>
      <c r="O1303" s="62"/>
      <c r="P1303" s="62"/>
      <c r="Q1303" s="62"/>
      <c r="R1303" s="62"/>
      <c r="S1303" s="37" t="str">
        <f>IFERROR(__xludf.DUMMYFUNCTION("if(not(iserror(index(split(C1303, "" ""),2))), index(split(C1303, "" ""),1),"""")"),"June")</f>
        <v>June</v>
      </c>
      <c r="T1303" s="38">
        <f>IFERROR(__xludf.DUMMYFUNCTION("if(S1303="""",C1303,if(not(iserror(index(split(C1303, "" ""),3))), index(split(C1303, "" ""),3),index(split(C1303, "" ""),2)))"),2018.0)</f>
        <v>2018</v>
      </c>
      <c r="U1303" s="38" t="b">
        <f t="shared" si="189"/>
        <v>1</v>
      </c>
      <c r="V1303" s="38"/>
      <c r="W1303" s="40"/>
      <c r="X1303" s="40"/>
      <c r="Y1303" s="40"/>
      <c r="Z1303" s="38"/>
      <c r="AA1303" s="38"/>
      <c r="AB1303" s="38"/>
      <c r="AC1303" s="38"/>
      <c r="AD1303" s="38"/>
      <c r="AE1303" s="38"/>
      <c r="AF1303" s="38"/>
      <c r="AG1303" s="38"/>
      <c r="AH1303" s="38"/>
      <c r="AI1303" s="38"/>
      <c r="AJ1303" s="38"/>
      <c r="AK1303" s="38"/>
      <c r="AL1303" s="38"/>
      <c r="AM1303" s="38"/>
      <c r="AN1303" s="38"/>
      <c r="AO1303" s="38"/>
      <c r="AP1303" s="38"/>
      <c r="AQ1303" s="38"/>
      <c r="AR1303" s="38"/>
      <c r="AS1303" s="38"/>
      <c r="AT1303" s="38"/>
      <c r="AU1303" s="38"/>
      <c r="AV1303" s="38"/>
      <c r="AW1303" s="38"/>
      <c r="AX1303" s="38"/>
      <c r="AY1303" s="38"/>
      <c r="AZ1303" s="38"/>
      <c r="BA1303" s="38"/>
      <c r="BB1303" s="38"/>
      <c r="BC1303" s="38"/>
      <c r="BD1303" s="38"/>
      <c r="BE1303" s="38"/>
      <c r="BF1303" s="38"/>
      <c r="BG1303" s="38"/>
      <c r="BH1303" s="38"/>
      <c r="BI1303" s="38"/>
      <c r="BJ1303" s="38"/>
      <c r="BK1303" s="38"/>
      <c r="BL1303" s="38"/>
      <c r="BM1303" s="38"/>
      <c r="BN1303" s="38"/>
      <c r="BO1303" s="38"/>
      <c r="BP1303" s="38"/>
      <c r="BQ1303" s="38"/>
    </row>
    <row r="1304">
      <c r="A1304" s="37" t="s">
        <v>40</v>
      </c>
      <c r="B1304" s="59">
        <v>43257.0</v>
      </c>
      <c r="C1304" s="59">
        <v>43254.0</v>
      </c>
      <c r="D1304" s="60" t="s">
        <v>3900</v>
      </c>
      <c r="E1304" s="58" t="s">
        <v>41</v>
      </c>
      <c r="F1304" s="58">
        <v>14.0</v>
      </c>
      <c r="G1304" s="58" t="s">
        <v>32</v>
      </c>
      <c r="H1304" s="33">
        <f t="shared" si="194"/>
        <v>1</v>
      </c>
      <c r="I1304" s="58" t="s">
        <v>33</v>
      </c>
      <c r="J1304" s="58" t="s">
        <v>909</v>
      </c>
      <c r="K1304" s="58">
        <v>1.0</v>
      </c>
      <c r="L1304" s="58" t="s">
        <v>52</v>
      </c>
      <c r="M1304" s="61" t="s">
        <v>3901</v>
      </c>
      <c r="N1304" s="77"/>
      <c r="O1304" s="62"/>
      <c r="P1304" s="62"/>
      <c r="Q1304" s="62"/>
      <c r="R1304" s="62"/>
      <c r="S1304" s="37" t="str">
        <f>IFERROR(__xludf.DUMMYFUNCTION("if(not(iserror(index(split(C1304, "" ""),2))), index(split(C1304, "" ""),1),"""")"),"June")</f>
        <v>June</v>
      </c>
      <c r="T1304" s="38">
        <f>IFERROR(__xludf.DUMMYFUNCTION("if(S1304="""",C1304,if(not(iserror(index(split(C1304, "" ""),3))), index(split(C1304, "" ""),3),index(split(C1304, "" ""),2)))"),2018.0)</f>
        <v>2018</v>
      </c>
      <c r="U1304" s="38" t="b">
        <f t="shared" si="189"/>
        <v>1</v>
      </c>
      <c r="V1304" s="38"/>
      <c r="W1304" s="40"/>
      <c r="X1304" s="40"/>
      <c r="Y1304" s="40"/>
      <c r="Z1304" s="38"/>
      <c r="AA1304" s="38"/>
      <c r="AB1304" s="38"/>
      <c r="AC1304" s="38"/>
      <c r="AD1304" s="38"/>
      <c r="AE1304" s="38"/>
      <c r="AF1304" s="38"/>
      <c r="AG1304" s="38"/>
      <c r="AH1304" s="38"/>
      <c r="AI1304" s="38"/>
      <c r="AJ1304" s="38"/>
      <c r="AK1304" s="38"/>
      <c r="AL1304" s="38"/>
      <c r="AM1304" s="38"/>
      <c r="AN1304" s="38"/>
      <c r="AO1304" s="38"/>
      <c r="AP1304" s="38"/>
      <c r="AQ1304" s="38"/>
      <c r="AR1304" s="38"/>
      <c r="AS1304" s="38"/>
      <c r="AT1304" s="38"/>
      <c r="AU1304" s="38"/>
      <c r="AV1304" s="38"/>
      <c r="AW1304" s="38"/>
      <c r="AX1304" s="38"/>
      <c r="AY1304" s="38"/>
      <c r="AZ1304" s="38"/>
      <c r="BA1304" s="38"/>
      <c r="BB1304" s="38"/>
      <c r="BC1304" s="38"/>
      <c r="BD1304" s="38"/>
      <c r="BE1304" s="38"/>
      <c r="BF1304" s="38"/>
      <c r="BG1304" s="38"/>
      <c r="BH1304" s="38"/>
      <c r="BI1304" s="38"/>
      <c r="BJ1304" s="38"/>
      <c r="BK1304" s="38"/>
      <c r="BL1304" s="38"/>
      <c r="BM1304" s="38"/>
      <c r="BN1304" s="38"/>
      <c r="BO1304" s="38"/>
      <c r="BP1304" s="38"/>
      <c r="BQ1304" s="38"/>
    </row>
    <row r="1305">
      <c r="A1305" s="58" t="s">
        <v>239</v>
      </c>
      <c r="B1305" s="59">
        <v>43259.0</v>
      </c>
      <c r="C1305" s="59">
        <v>43255.0</v>
      </c>
      <c r="D1305" s="60" t="s">
        <v>3902</v>
      </c>
      <c r="E1305" s="58" t="s">
        <v>41</v>
      </c>
      <c r="F1305" s="58">
        <v>3.0</v>
      </c>
      <c r="G1305" s="58">
        <v>10.0</v>
      </c>
      <c r="H1305" s="33">
        <f t="shared" si="194"/>
        <v>10</v>
      </c>
      <c r="I1305" s="58" t="s">
        <v>33</v>
      </c>
      <c r="J1305" s="58" t="s">
        <v>147</v>
      </c>
      <c r="K1305" s="58">
        <v>1.0</v>
      </c>
      <c r="L1305" s="58" t="s">
        <v>194</v>
      </c>
      <c r="M1305" s="61" t="s">
        <v>3903</v>
      </c>
      <c r="N1305" s="77"/>
      <c r="O1305" s="62"/>
      <c r="P1305" s="62"/>
      <c r="Q1305" s="62"/>
      <c r="R1305" s="62"/>
      <c r="S1305" s="37" t="str">
        <f>IFERROR(__xludf.DUMMYFUNCTION("if(not(iserror(index(split(C1305, "" ""),2))), index(split(C1305, "" ""),1),"""")"),"June")</f>
        <v>June</v>
      </c>
      <c r="T1305" s="38">
        <f>IFERROR(__xludf.DUMMYFUNCTION("if(S1305="""",C1305,if(not(iserror(index(split(C1305, "" ""),3))), index(split(C1305, "" ""),3),index(split(C1305, "" ""),2)))"),2018.0)</f>
        <v>2018</v>
      </c>
      <c r="U1305" s="38" t="b">
        <f t="shared" si="189"/>
        <v>1</v>
      </c>
      <c r="V1305" s="38"/>
      <c r="W1305" s="40"/>
      <c r="X1305" s="40"/>
      <c r="Y1305" s="40"/>
      <c r="Z1305" s="38"/>
      <c r="AA1305" s="38"/>
      <c r="AB1305" s="38"/>
      <c r="AC1305" s="38"/>
      <c r="AD1305" s="38"/>
      <c r="AE1305" s="38"/>
      <c r="AF1305" s="38"/>
      <c r="AG1305" s="38"/>
      <c r="AH1305" s="38"/>
      <c r="AI1305" s="38"/>
      <c r="AJ1305" s="38"/>
      <c r="AK1305" s="38"/>
      <c r="AL1305" s="38"/>
      <c r="AM1305" s="38"/>
      <c r="AN1305" s="38"/>
      <c r="AO1305" s="38"/>
      <c r="AP1305" s="38"/>
      <c r="AQ1305" s="38"/>
      <c r="AR1305" s="38"/>
      <c r="AS1305" s="38"/>
      <c r="AT1305" s="38"/>
      <c r="AU1305" s="38"/>
      <c r="AV1305" s="38"/>
      <c r="AW1305" s="38"/>
      <c r="AX1305" s="38"/>
      <c r="AY1305" s="38"/>
      <c r="AZ1305" s="38"/>
      <c r="BA1305" s="38"/>
      <c r="BB1305" s="38"/>
      <c r="BC1305" s="38"/>
      <c r="BD1305" s="38"/>
      <c r="BE1305" s="38"/>
      <c r="BF1305" s="38"/>
      <c r="BG1305" s="38"/>
      <c r="BH1305" s="38"/>
      <c r="BI1305" s="38"/>
      <c r="BJ1305" s="38"/>
      <c r="BK1305" s="38"/>
      <c r="BL1305" s="38"/>
      <c r="BM1305" s="38"/>
      <c r="BN1305" s="38"/>
      <c r="BO1305" s="38"/>
      <c r="BP1305" s="38"/>
      <c r="BQ1305" s="38"/>
    </row>
    <row r="1306">
      <c r="A1306" s="58" t="s">
        <v>239</v>
      </c>
      <c r="B1306" s="59">
        <v>43259.0</v>
      </c>
      <c r="C1306" s="59">
        <v>43255.0</v>
      </c>
      <c r="D1306" s="60" t="s">
        <v>3902</v>
      </c>
      <c r="E1306" s="58" t="s">
        <v>41</v>
      </c>
      <c r="F1306" s="58">
        <v>1.0</v>
      </c>
      <c r="G1306" s="58">
        <v>6.0</v>
      </c>
      <c r="H1306" s="33">
        <f t="shared" si="194"/>
        <v>6</v>
      </c>
      <c r="I1306" s="58" t="s">
        <v>33</v>
      </c>
      <c r="J1306" s="58" t="s">
        <v>147</v>
      </c>
      <c r="K1306" s="58">
        <v>1.0</v>
      </c>
      <c r="L1306" s="58" t="s">
        <v>194</v>
      </c>
      <c r="M1306" s="61" t="s">
        <v>3904</v>
      </c>
      <c r="N1306" s="77"/>
      <c r="O1306" s="62"/>
      <c r="P1306" s="62"/>
      <c r="Q1306" s="62"/>
      <c r="R1306" s="62"/>
      <c r="S1306" s="37" t="str">
        <f>IFERROR(__xludf.DUMMYFUNCTION("if(not(iserror(index(split(C1306, "" ""),2))), index(split(C1306, "" ""),1),"""")"),"June")</f>
        <v>June</v>
      </c>
      <c r="T1306" s="38">
        <f>IFERROR(__xludf.DUMMYFUNCTION("if(S1306="""",C1306,if(not(iserror(index(split(C1306, "" ""),3))), index(split(C1306, "" ""),3),index(split(C1306, "" ""),2)))"),2018.0)</f>
        <v>2018</v>
      </c>
      <c r="U1306" s="38" t="b">
        <f t="shared" si="189"/>
        <v>1</v>
      </c>
      <c r="V1306" s="38"/>
      <c r="W1306" s="40"/>
      <c r="X1306" s="40"/>
      <c r="Y1306" s="40"/>
      <c r="Z1306" s="38"/>
      <c r="AA1306" s="38"/>
      <c r="AB1306" s="38"/>
      <c r="AC1306" s="38"/>
      <c r="AD1306" s="38"/>
      <c r="AE1306" s="38"/>
      <c r="AF1306" s="38"/>
      <c r="AG1306" s="38"/>
      <c r="AH1306" s="38"/>
      <c r="AI1306" s="38"/>
      <c r="AJ1306" s="38"/>
      <c r="AK1306" s="38"/>
      <c r="AL1306" s="38"/>
      <c r="AM1306" s="38"/>
      <c r="AN1306" s="38"/>
      <c r="AO1306" s="38"/>
      <c r="AP1306" s="38"/>
      <c r="AQ1306" s="38"/>
      <c r="AR1306" s="38"/>
      <c r="AS1306" s="38"/>
      <c r="AT1306" s="38"/>
      <c r="AU1306" s="38"/>
      <c r="AV1306" s="38"/>
      <c r="AW1306" s="38"/>
      <c r="AX1306" s="38"/>
      <c r="AY1306" s="38"/>
      <c r="AZ1306" s="38"/>
      <c r="BA1306" s="38"/>
      <c r="BB1306" s="38"/>
      <c r="BC1306" s="38"/>
      <c r="BD1306" s="38"/>
      <c r="BE1306" s="38"/>
      <c r="BF1306" s="38"/>
      <c r="BG1306" s="38"/>
      <c r="BH1306" s="38"/>
      <c r="BI1306" s="38"/>
      <c r="BJ1306" s="38"/>
      <c r="BK1306" s="38"/>
      <c r="BL1306" s="38"/>
      <c r="BM1306" s="38"/>
      <c r="BN1306" s="38"/>
      <c r="BO1306" s="38"/>
      <c r="BP1306" s="38"/>
      <c r="BQ1306" s="38"/>
    </row>
    <row r="1307">
      <c r="A1307" s="58" t="s">
        <v>3905</v>
      </c>
      <c r="B1307" s="59"/>
      <c r="C1307" s="59">
        <v>43255.0</v>
      </c>
      <c r="D1307" s="60"/>
      <c r="E1307" s="58" t="s">
        <v>41</v>
      </c>
      <c r="F1307" s="58">
        <v>1.0</v>
      </c>
      <c r="G1307" s="58" t="s">
        <v>32</v>
      </c>
      <c r="H1307" s="43">
        <v>1.0</v>
      </c>
      <c r="I1307" s="58" t="s">
        <v>33</v>
      </c>
      <c r="J1307" s="58" t="s">
        <v>34</v>
      </c>
      <c r="K1307" s="58"/>
      <c r="L1307" s="58" t="s">
        <v>119</v>
      </c>
      <c r="M1307" s="61" t="s">
        <v>3906</v>
      </c>
      <c r="N1307" s="77"/>
      <c r="O1307" s="83" t="str">
        <f>hyperlink("https://bad-boys.us/?q=D-NH/1:18-cr-00082", "D-NH 1:18-cr-00082")</f>
        <v>D-NH 1:18-cr-00082</v>
      </c>
      <c r="P1307" s="88" t="s">
        <v>3907</v>
      </c>
      <c r="Q1307" s="84">
        <v>1.0</v>
      </c>
      <c r="R1307" s="62"/>
      <c r="S1307" s="37" t="str">
        <f>IFERROR(__xludf.DUMMYFUNCTION("if(not(iserror(index(split(C1307, "" ""),2))), index(split(C1307, "" ""),1),"""")"),"June")</f>
        <v>June</v>
      </c>
      <c r="T1307" s="38">
        <f>IFERROR(__xludf.DUMMYFUNCTION("if(S1307="""",C1307,if(not(iserror(index(split(C1307, "" ""),3))), index(split(C1307, "" ""),3),index(split(C1307, "" ""),2)))"),2018.0)</f>
        <v>2018</v>
      </c>
      <c r="U1307" s="38" t="b">
        <f t="shared" si="189"/>
        <v>0</v>
      </c>
      <c r="V1307" s="38"/>
      <c r="W1307" s="40"/>
      <c r="X1307" s="40"/>
      <c r="Y1307" s="40"/>
      <c r="Z1307" s="38"/>
      <c r="AA1307" s="38"/>
      <c r="AB1307" s="38"/>
      <c r="AC1307" s="38"/>
      <c r="AD1307" s="38"/>
      <c r="AE1307" s="38"/>
      <c r="AF1307" s="38"/>
      <c r="AG1307" s="38"/>
      <c r="AH1307" s="38"/>
      <c r="AI1307" s="38"/>
      <c r="AJ1307" s="38"/>
      <c r="AK1307" s="38"/>
      <c r="AL1307" s="38"/>
      <c r="AM1307" s="38"/>
      <c r="AN1307" s="38"/>
      <c r="AO1307" s="38"/>
      <c r="AP1307" s="38"/>
      <c r="AQ1307" s="38"/>
      <c r="AR1307" s="38"/>
      <c r="AS1307" s="38"/>
      <c r="AT1307" s="38"/>
      <c r="AU1307" s="38"/>
      <c r="AV1307" s="38"/>
      <c r="AW1307" s="38"/>
      <c r="AX1307" s="38"/>
      <c r="AY1307" s="38"/>
      <c r="AZ1307" s="38"/>
      <c r="BA1307" s="38"/>
      <c r="BB1307" s="38"/>
      <c r="BC1307" s="38"/>
      <c r="BD1307" s="38"/>
      <c r="BE1307" s="38"/>
      <c r="BF1307" s="38"/>
      <c r="BG1307" s="38"/>
      <c r="BH1307" s="38"/>
      <c r="BI1307" s="38"/>
      <c r="BJ1307" s="38"/>
      <c r="BK1307" s="38"/>
      <c r="BL1307" s="38"/>
      <c r="BM1307" s="38"/>
      <c r="BN1307" s="38"/>
      <c r="BO1307" s="38"/>
      <c r="BP1307" s="38"/>
      <c r="BQ1307" s="38"/>
    </row>
    <row r="1308">
      <c r="A1308" s="58" t="s">
        <v>3908</v>
      </c>
      <c r="B1308" s="59">
        <v>43369.0</v>
      </c>
      <c r="C1308" s="59">
        <v>43255.0</v>
      </c>
      <c r="D1308" s="60" t="s">
        <v>3902</v>
      </c>
      <c r="E1308" s="58" t="s">
        <v>41</v>
      </c>
      <c r="F1308" s="58">
        <v>1.0</v>
      </c>
      <c r="G1308" s="58" t="s">
        <v>32</v>
      </c>
      <c r="H1308" s="33">
        <f t="shared" ref="H1308:H1310" si="195">if(G1308="Unknown",1,G1308)</f>
        <v>1</v>
      </c>
      <c r="I1308" s="58" t="s">
        <v>33</v>
      </c>
      <c r="J1308" s="58" t="s">
        <v>61</v>
      </c>
      <c r="K1308" s="58">
        <v>4.0</v>
      </c>
      <c r="L1308" s="58" t="s">
        <v>119</v>
      </c>
      <c r="M1308" s="61" t="s">
        <v>3909</v>
      </c>
      <c r="N1308" s="61" t="s">
        <v>3910</v>
      </c>
      <c r="O1308" s="88" t="str">
        <f>hyperlink("https://bad-boys.us/?q=ED-LA/2:18-cr-00119", "ED-LA 2:18-cr-00119")</f>
        <v>ED-LA 2:18-cr-00119</v>
      </c>
      <c r="P1308" s="88" t="s">
        <v>3911</v>
      </c>
      <c r="Q1308" s="58">
        <v>1.0</v>
      </c>
      <c r="R1308" s="62"/>
      <c r="S1308" s="37" t="str">
        <f>IFERROR(__xludf.DUMMYFUNCTION("if(not(iserror(index(split(C1308, "" ""),2))), index(split(C1308, "" ""),1),"""")"),"June")</f>
        <v>June</v>
      </c>
      <c r="T1308" s="38">
        <f>IFERROR(__xludf.DUMMYFUNCTION("if(S1308="""",C1308,if(not(iserror(index(split(C1308, "" ""),3))), index(split(C1308, "" ""),3),index(split(C1308, "" ""),2)))"),2018.0)</f>
        <v>2018</v>
      </c>
      <c r="U1308" s="38" t="b">
        <f t="shared" si="189"/>
        <v>0</v>
      </c>
      <c r="V1308" s="38"/>
      <c r="W1308" s="40"/>
      <c r="X1308" s="40"/>
      <c r="Y1308" s="40"/>
      <c r="Z1308" s="38"/>
      <c r="AA1308" s="38"/>
      <c r="AB1308" s="38"/>
      <c r="AC1308" s="38"/>
      <c r="AD1308" s="38"/>
      <c r="AE1308" s="38"/>
      <c r="AF1308" s="38"/>
      <c r="AG1308" s="38"/>
      <c r="AH1308" s="38"/>
      <c r="AI1308" s="38"/>
      <c r="AJ1308" s="38"/>
      <c r="AK1308" s="38"/>
      <c r="AL1308" s="38"/>
      <c r="AM1308" s="38"/>
      <c r="AN1308" s="38"/>
      <c r="AO1308" s="38"/>
      <c r="AP1308" s="38"/>
      <c r="AQ1308" s="38"/>
      <c r="AR1308" s="38"/>
      <c r="AS1308" s="38"/>
      <c r="AT1308" s="38"/>
      <c r="AU1308" s="38"/>
      <c r="AV1308" s="38"/>
      <c r="AW1308" s="38"/>
      <c r="AX1308" s="38"/>
      <c r="AY1308" s="38"/>
      <c r="AZ1308" s="38"/>
      <c r="BA1308" s="38"/>
      <c r="BB1308" s="38"/>
      <c r="BC1308" s="38"/>
      <c r="BD1308" s="38"/>
      <c r="BE1308" s="38"/>
      <c r="BF1308" s="38"/>
      <c r="BG1308" s="38"/>
      <c r="BH1308" s="38"/>
      <c r="BI1308" s="38"/>
      <c r="BJ1308" s="38"/>
      <c r="BK1308" s="38"/>
      <c r="BL1308" s="38"/>
      <c r="BM1308" s="38"/>
      <c r="BN1308" s="38"/>
      <c r="BO1308" s="38"/>
      <c r="BP1308" s="38"/>
      <c r="BQ1308" s="38"/>
    </row>
    <row r="1309">
      <c r="A1309" s="37" t="s">
        <v>40</v>
      </c>
      <c r="B1309" s="59">
        <v>43256.0</v>
      </c>
      <c r="C1309" s="59">
        <v>43256.0</v>
      </c>
      <c r="D1309" s="60" t="s">
        <v>3912</v>
      </c>
      <c r="E1309" s="58" t="s">
        <v>31</v>
      </c>
      <c r="F1309" s="58">
        <v>5.0</v>
      </c>
      <c r="G1309" s="58" t="s">
        <v>32</v>
      </c>
      <c r="H1309" s="33">
        <f t="shared" si="195"/>
        <v>1</v>
      </c>
      <c r="I1309" s="58" t="s">
        <v>33</v>
      </c>
      <c r="J1309" s="58" t="s">
        <v>162</v>
      </c>
      <c r="K1309" s="58">
        <v>3.0</v>
      </c>
      <c r="L1309" s="58" t="s">
        <v>3913</v>
      </c>
      <c r="M1309" s="61" t="s">
        <v>3914</v>
      </c>
      <c r="N1309" s="77"/>
      <c r="O1309" s="62"/>
      <c r="P1309" s="62"/>
      <c r="Q1309" s="62"/>
      <c r="R1309" s="62"/>
      <c r="S1309" s="37" t="str">
        <f>IFERROR(__xludf.DUMMYFUNCTION("if(not(iserror(index(split(C1309, "" ""),2))), index(split(C1309, "" ""),1),"""")"),"June")</f>
        <v>June</v>
      </c>
      <c r="T1309" s="38">
        <f>IFERROR(__xludf.DUMMYFUNCTION("if(S1309="""",C1309,if(not(iserror(index(split(C1309, "" ""),3))), index(split(C1309, "" ""),3),index(split(C1309, "" ""),2)))"),2018.0)</f>
        <v>2018</v>
      </c>
      <c r="U1309" s="38" t="b">
        <f t="shared" si="189"/>
        <v>1</v>
      </c>
      <c r="V1309" s="38"/>
      <c r="W1309" s="40"/>
      <c r="X1309" s="40"/>
      <c r="Y1309" s="40"/>
      <c r="Z1309" s="38"/>
      <c r="AA1309" s="38"/>
      <c r="AB1309" s="38"/>
      <c r="AC1309" s="38"/>
      <c r="AD1309" s="38"/>
      <c r="AE1309" s="38"/>
      <c r="AF1309" s="38"/>
      <c r="AG1309" s="38"/>
      <c r="AH1309" s="38"/>
      <c r="AI1309" s="38"/>
      <c r="AJ1309" s="38"/>
      <c r="AK1309" s="38"/>
      <c r="AL1309" s="38"/>
      <c r="AM1309" s="38"/>
      <c r="AN1309" s="38"/>
      <c r="AO1309" s="38"/>
      <c r="AP1309" s="38"/>
      <c r="AQ1309" s="38"/>
      <c r="AR1309" s="38"/>
      <c r="AS1309" s="38"/>
      <c r="AT1309" s="38"/>
      <c r="AU1309" s="38"/>
      <c r="AV1309" s="38"/>
      <c r="AW1309" s="38"/>
      <c r="AX1309" s="38"/>
      <c r="AY1309" s="38"/>
      <c r="AZ1309" s="38"/>
      <c r="BA1309" s="38"/>
      <c r="BB1309" s="38"/>
      <c r="BC1309" s="38"/>
      <c r="BD1309" s="38"/>
      <c r="BE1309" s="38"/>
      <c r="BF1309" s="38"/>
      <c r="BG1309" s="38"/>
      <c r="BH1309" s="38"/>
      <c r="BI1309" s="38"/>
      <c r="BJ1309" s="38"/>
      <c r="BK1309" s="38"/>
      <c r="BL1309" s="38"/>
      <c r="BM1309" s="38"/>
      <c r="BN1309" s="38"/>
      <c r="BO1309" s="38"/>
      <c r="BP1309" s="38"/>
      <c r="BQ1309" s="38"/>
    </row>
    <row r="1310">
      <c r="A1310" s="37" t="s">
        <v>3915</v>
      </c>
      <c r="B1310" s="59">
        <v>43257.0</v>
      </c>
      <c r="C1310" s="59">
        <v>43256.0</v>
      </c>
      <c r="D1310" s="60" t="s">
        <v>3912</v>
      </c>
      <c r="E1310" s="58" t="s">
        <v>31</v>
      </c>
      <c r="F1310" s="58">
        <v>2.0</v>
      </c>
      <c r="G1310" s="58" t="s">
        <v>32</v>
      </c>
      <c r="H1310" s="33">
        <f t="shared" si="195"/>
        <v>1</v>
      </c>
      <c r="I1310" s="58" t="s">
        <v>33</v>
      </c>
      <c r="J1310" s="58" t="s">
        <v>111</v>
      </c>
      <c r="K1310" s="58" t="s">
        <v>32</v>
      </c>
      <c r="L1310" s="58" t="s">
        <v>816</v>
      </c>
      <c r="M1310" s="36" t="s">
        <v>3916</v>
      </c>
      <c r="N1310" s="77"/>
      <c r="O1310" s="58"/>
      <c r="P1310" s="58"/>
      <c r="Q1310" s="84"/>
      <c r="R1310" s="62"/>
      <c r="S1310" s="37" t="str">
        <f>IFERROR(__xludf.DUMMYFUNCTION("if(not(iserror(index(split(C1310, "" ""),2))), index(split(C1310, "" ""),1),"""")"),"June")</f>
        <v>June</v>
      </c>
      <c r="T1310" s="38">
        <f>IFERROR(__xludf.DUMMYFUNCTION("if(S1310="""",C1310,if(not(iserror(index(split(C1310, "" ""),3))), index(split(C1310, "" ""),3),index(split(C1310, "" ""),2)))"),2018.0)</f>
        <v>2018</v>
      </c>
      <c r="U1310" s="38" t="b">
        <f t="shared" si="189"/>
        <v>0</v>
      </c>
      <c r="V1310" s="38"/>
      <c r="W1310" s="40"/>
      <c r="X1310" s="40"/>
      <c r="Y1310" s="40"/>
      <c r="Z1310" s="38"/>
      <c r="AA1310" s="38"/>
      <c r="AB1310" s="38"/>
      <c r="AC1310" s="38"/>
      <c r="AD1310" s="38"/>
      <c r="AE1310" s="38"/>
      <c r="AF1310" s="38"/>
      <c r="AG1310" s="38"/>
      <c r="AH1310" s="38"/>
      <c r="AI1310" s="38"/>
      <c r="AJ1310" s="38"/>
      <c r="AK1310" s="38"/>
      <c r="AL1310" s="38"/>
      <c r="AM1310" s="38"/>
      <c r="AN1310" s="38"/>
      <c r="AO1310" s="38"/>
      <c r="AP1310" s="38"/>
      <c r="AQ1310" s="38"/>
      <c r="AR1310" s="38"/>
      <c r="AS1310" s="38"/>
      <c r="AT1310" s="38"/>
      <c r="AU1310" s="38"/>
      <c r="AV1310" s="38"/>
      <c r="AW1310" s="38"/>
      <c r="AX1310" s="38"/>
      <c r="AY1310" s="38"/>
      <c r="AZ1310" s="38"/>
      <c r="BA1310" s="38"/>
      <c r="BB1310" s="38"/>
      <c r="BC1310" s="38"/>
      <c r="BD1310" s="38"/>
      <c r="BE1310" s="38"/>
      <c r="BF1310" s="38"/>
      <c r="BG1310" s="38"/>
      <c r="BH1310" s="38"/>
      <c r="BI1310" s="38"/>
      <c r="BJ1310" s="38"/>
      <c r="BK1310" s="38"/>
      <c r="BL1310" s="38"/>
      <c r="BM1310" s="38"/>
      <c r="BN1310" s="38"/>
      <c r="BO1310" s="38"/>
      <c r="BP1310" s="38"/>
      <c r="BQ1310" s="38"/>
    </row>
    <row r="1311">
      <c r="A1311" s="37" t="s">
        <v>3917</v>
      </c>
      <c r="B1311" s="59"/>
      <c r="C1311" s="59">
        <v>43256.0</v>
      </c>
      <c r="D1311" s="60"/>
      <c r="E1311" s="58" t="s">
        <v>41</v>
      </c>
      <c r="F1311" s="58">
        <v>1.0</v>
      </c>
      <c r="G1311" s="58" t="s">
        <v>32</v>
      </c>
      <c r="H1311" s="43">
        <v>1.0</v>
      </c>
      <c r="I1311" s="58" t="s">
        <v>33</v>
      </c>
      <c r="J1311" s="58" t="s">
        <v>93</v>
      </c>
      <c r="K1311" s="58"/>
      <c r="L1311" s="58" t="s">
        <v>119</v>
      </c>
      <c r="M1311" s="36" t="s">
        <v>3918</v>
      </c>
      <c r="N1311" s="77"/>
      <c r="O1311" s="58"/>
      <c r="P1311" s="58"/>
      <c r="Q1311" s="58"/>
      <c r="R1311" s="62"/>
      <c r="S1311" s="37" t="str">
        <f>IFERROR(__xludf.DUMMYFUNCTION("if(not(iserror(index(split(C1311, "" ""),2))), index(split(C1311, "" ""),1),"""")"),"June")</f>
        <v>June</v>
      </c>
      <c r="T1311" s="38">
        <f>IFERROR(__xludf.DUMMYFUNCTION("if(S1311="""",C1311,if(not(iserror(index(split(C1311, "" ""),3))), index(split(C1311, "" ""),3),index(split(C1311, "" ""),2)))"),2018.0)</f>
        <v>2018</v>
      </c>
      <c r="U1311" s="38" t="b">
        <f t="shared" si="189"/>
        <v>0</v>
      </c>
      <c r="V1311" s="38" t="s">
        <v>3919</v>
      </c>
      <c r="W1311" s="40"/>
      <c r="X1311" s="40"/>
      <c r="Y1311" s="40"/>
      <c r="Z1311" s="38"/>
      <c r="AA1311" s="38"/>
      <c r="AB1311" s="38"/>
      <c r="AC1311" s="38"/>
      <c r="AD1311" s="38"/>
      <c r="AE1311" s="38"/>
      <c r="AF1311" s="38"/>
      <c r="AG1311" s="38"/>
      <c r="AH1311" s="38"/>
      <c r="AI1311" s="38"/>
      <c r="AJ1311" s="38"/>
      <c r="AK1311" s="38"/>
      <c r="AL1311" s="38"/>
      <c r="AM1311" s="38"/>
      <c r="AN1311" s="38"/>
      <c r="AO1311" s="38"/>
      <c r="AP1311" s="38"/>
      <c r="AQ1311" s="38"/>
      <c r="AR1311" s="38"/>
      <c r="AS1311" s="38"/>
      <c r="AT1311" s="38"/>
      <c r="AU1311" s="38"/>
      <c r="AV1311" s="38"/>
      <c r="AW1311" s="38"/>
      <c r="AX1311" s="38"/>
      <c r="AY1311" s="38"/>
      <c r="AZ1311" s="38"/>
      <c r="BA1311" s="38"/>
      <c r="BB1311" s="38"/>
      <c r="BC1311" s="38"/>
      <c r="BD1311" s="38"/>
      <c r="BE1311" s="38"/>
      <c r="BF1311" s="38"/>
      <c r="BG1311" s="38"/>
      <c r="BH1311" s="38"/>
      <c r="BI1311" s="38"/>
      <c r="BJ1311" s="38"/>
      <c r="BK1311" s="38"/>
      <c r="BL1311" s="38"/>
      <c r="BM1311" s="38"/>
      <c r="BN1311" s="38"/>
      <c r="BO1311" s="38"/>
      <c r="BP1311" s="38"/>
      <c r="BQ1311" s="38"/>
    </row>
    <row r="1312">
      <c r="A1312" s="47" t="s">
        <v>3920</v>
      </c>
      <c r="B1312" s="48">
        <v>43453.0</v>
      </c>
      <c r="C1312" s="48">
        <v>43256.0</v>
      </c>
      <c r="D1312" s="49" t="s">
        <v>3912</v>
      </c>
      <c r="E1312" s="47" t="s">
        <v>41</v>
      </c>
      <c r="F1312" s="47">
        <v>1.0</v>
      </c>
      <c r="G1312" s="47" t="s">
        <v>32</v>
      </c>
      <c r="H1312" s="33">
        <f>if(G1312="Unknown",1,G1312)</f>
        <v>1</v>
      </c>
      <c r="I1312" s="47" t="s">
        <v>33</v>
      </c>
      <c r="J1312" s="47" t="s">
        <v>47</v>
      </c>
      <c r="K1312" s="47">
        <v>2.0</v>
      </c>
      <c r="L1312" s="47" t="s">
        <v>119</v>
      </c>
      <c r="M1312" s="51" t="s">
        <v>3921</v>
      </c>
      <c r="N1312" s="139"/>
      <c r="O1312" s="55"/>
      <c r="P1312" s="47"/>
      <c r="Q1312" s="224"/>
      <c r="R1312" s="55"/>
      <c r="S1312" s="37" t="str">
        <f>IFERROR(__xludf.DUMMYFUNCTION("if(not(iserror(index(split(C1312, "" ""),2))), index(split(C1312, "" ""),1),"""")"),"June")</f>
        <v>June</v>
      </c>
      <c r="T1312" s="38">
        <f>IFERROR(__xludf.DUMMYFUNCTION("if(S1312="""",C1312,if(not(iserror(index(split(C1312, "" ""),3))), index(split(C1312, "" ""),3),index(split(C1312, "" ""),2)))"),2018.0)</f>
        <v>2018</v>
      </c>
      <c r="U1312" s="38" t="b">
        <f t="shared" si="189"/>
        <v>0</v>
      </c>
      <c r="V1312" s="38"/>
      <c r="W1312" s="40"/>
      <c r="X1312" s="40"/>
      <c r="Y1312" s="40"/>
      <c r="Z1312" s="38"/>
      <c r="AA1312" s="38"/>
      <c r="AB1312" s="38"/>
      <c r="AC1312" s="38"/>
      <c r="AD1312" s="38"/>
      <c r="AE1312" s="38"/>
      <c r="AF1312" s="38"/>
      <c r="AG1312" s="38"/>
      <c r="AH1312" s="38"/>
      <c r="AI1312" s="38"/>
      <c r="AJ1312" s="38"/>
      <c r="AK1312" s="38"/>
      <c r="AL1312" s="38"/>
      <c r="AM1312" s="38"/>
      <c r="AN1312" s="38"/>
      <c r="AO1312" s="38"/>
      <c r="AP1312" s="38"/>
      <c r="AQ1312" s="38"/>
      <c r="AR1312" s="38"/>
      <c r="AS1312" s="38"/>
      <c r="AT1312" s="38"/>
      <c r="AU1312" s="38"/>
      <c r="AV1312" s="38"/>
      <c r="AW1312" s="38"/>
      <c r="AX1312" s="38"/>
      <c r="AY1312" s="38"/>
      <c r="AZ1312" s="38"/>
      <c r="BA1312" s="38"/>
      <c r="BB1312" s="38"/>
      <c r="BC1312" s="38"/>
      <c r="BD1312" s="38"/>
      <c r="BE1312" s="38"/>
      <c r="BF1312" s="38"/>
      <c r="BG1312" s="38"/>
      <c r="BH1312" s="38"/>
      <c r="BI1312" s="38"/>
      <c r="BJ1312" s="38"/>
      <c r="BK1312" s="38"/>
      <c r="BL1312" s="38"/>
      <c r="BM1312" s="38"/>
      <c r="BN1312" s="38"/>
      <c r="BO1312" s="38"/>
      <c r="BP1312" s="38"/>
      <c r="BQ1312" s="38"/>
    </row>
    <row r="1313">
      <c r="A1313" s="47" t="s">
        <v>3922</v>
      </c>
      <c r="B1313" s="48"/>
      <c r="C1313" s="48">
        <v>43256.0</v>
      </c>
      <c r="D1313" s="49"/>
      <c r="E1313" s="47" t="s">
        <v>31</v>
      </c>
      <c r="F1313" s="47">
        <v>1.0</v>
      </c>
      <c r="G1313" s="47">
        <v>3.0</v>
      </c>
      <c r="H1313" s="43">
        <v>2.0</v>
      </c>
      <c r="I1313" s="47" t="s">
        <v>33</v>
      </c>
      <c r="J1313" s="47" t="s">
        <v>318</v>
      </c>
      <c r="K1313" s="47"/>
      <c r="L1313" s="47" t="s">
        <v>76</v>
      </c>
      <c r="M1313" s="52" t="s">
        <v>3923</v>
      </c>
      <c r="N1313" s="51" t="s">
        <v>3924</v>
      </c>
      <c r="O1313" s="53" t="str">
        <f>hyperlink("https://bad-boys.us/?q=ED-WA/4:18-cr-06029", "ED-WA 4:18-cr-06029")</f>
        <v>ED-WA 4:18-cr-06029</v>
      </c>
      <c r="P1313" s="54" t="s">
        <v>3925</v>
      </c>
      <c r="Q1313" s="47">
        <v>1.0</v>
      </c>
      <c r="R1313" s="55"/>
      <c r="S1313" s="37"/>
      <c r="T1313" s="38"/>
      <c r="U1313" s="38"/>
      <c r="V1313" s="38" t="s">
        <v>33</v>
      </c>
      <c r="W1313" s="39" t="s">
        <v>3926</v>
      </c>
      <c r="X1313" s="39" t="s">
        <v>3927</v>
      </c>
      <c r="Y1313" s="40"/>
      <c r="Z1313" s="38"/>
      <c r="AA1313" s="38"/>
      <c r="AB1313" s="38"/>
      <c r="AC1313" s="38"/>
      <c r="AD1313" s="38"/>
      <c r="AE1313" s="38"/>
      <c r="AF1313" s="38"/>
      <c r="AG1313" s="38"/>
      <c r="AH1313" s="38"/>
      <c r="AI1313" s="38"/>
      <c r="AJ1313" s="38"/>
      <c r="AK1313" s="38"/>
      <c r="AL1313" s="38"/>
      <c r="AM1313" s="38"/>
      <c r="AN1313" s="38"/>
      <c r="AO1313" s="38"/>
      <c r="AP1313" s="38"/>
      <c r="AQ1313" s="38"/>
      <c r="AR1313" s="38"/>
      <c r="AS1313" s="38"/>
      <c r="AT1313" s="38"/>
      <c r="AU1313" s="38"/>
      <c r="AV1313" s="38"/>
      <c r="AW1313" s="38"/>
      <c r="AX1313" s="38"/>
      <c r="AY1313" s="38"/>
      <c r="AZ1313" s="38"/>
      <c r="BA1313" s="38"/>
      <c r="BB1313" s="38"/>
      <c r="BC1313" s="38"/>
      <c r="BD1313" s="38"/>
      <c r="BE1313" s="38"/>
      <c r="BF1313" s="38"/>
      <c r="BG1313" s="38"/>
      <c r="BH1313" s="38"/>
      <c r="BI1313" s="38"/>
      <c r="BJ1313" s="38"/>
      <c r="BK1313" s="38"/>
      <c r="BL1313" s="38"/>
      <c r="BM1313" s="38"/>
      <c r="BN1313" s="38"/>
      <c r="BO1313" s="38"/>
      <c r="BP1313" s="38"/>
      <c r="BQ1313" s="38"/>
    </row>
    <row r="1314">
      <c r="A1314" s="47" t="s">
        <v>3928</v>
      </c>
      <c r="B1314" s="48"/>
      <c r="C1314" s="48">
        <v>43256.0</v>
      </c>
      <c r="D1314" s="49"/>
      <c r="E1314" s="47" t="s">
        <v>41</v>
      </c>
      <c r="F1314" s="47">
        <v>1.0</v>
      </c>
      <c r="G1314" s="47" t="s">
        <v>32</v>
      </c>
      <c r="H1314" s="43">
        <v>1.0</v>
      </c>
      <c r="I1314" s="47" t="s">
        <v>33</v>
      </c>
      <c r="J1314" s="47" t="s">
        <v>402</v>
      </c>
      <c r="K1314" s="47"/>
      <c r="L1314" s="47" t="s">
        <v>76</v>
      </c>
      <c r="M1314" s="225" t="s">
        <v>3929</v>
      </c>
      <c r="N1314" s="139"/>
      <c r="O1314" s="53" t="str">
        <f>hyperlink("https://bad-boys.us/?q=ND-IN/3:19-cr-00041", "ND-IN 3:19-cr-00041")</f>
        <v>ND-IN 3:19-cr-00041</v>
      </c>
      <c r="P1314" s="47"/>
      <c r="Q1314" s="47">
        <v>1.0</v>
      </c>
      <c r="R1314" s="55"/>
      <c r="S1314" s="37"/>
      <c r="T1314" s="38"/>
      <c r="U1314" s="38" t="b">
        <f t="shared" ref="U1314:U1318" si="196">countif(A$4:A4658, A1314)&gt;1</f>
        <v>0</v>
      </c>
      <c r="V1314" s="38" t="s">
        <v>33</v>
      </c>
      <c r="W1314" s="40"/>
      <c r="X1314" s="40"/>
      <c r="Y1314" s="40"/>
      <c r="Z1314" s="38"/>
      <c r="AA1314" s="38"/>
      <c r="AB1314" s="38"/>
      <c r="AC1314" s="38"/>
      <c r="AD1314" s="38"/>
      <c r="AE1314" s="38"/>
      <c r="AF1314" s="38"/>
      <c r="AG1314" s="38"/>
      <c r="AH1314" s="38"/>
      <c r="AI1314" s="38"/>
      <c r="AJ1314" s="38"/>
      <c r="AK1314" s="38"/>
      <c r="AL1314" s="38"/>
      <c r="AM1314" s="38"/>
      <c r="AN1314" s="38"/>
      <c r="AO1314" s="38"/>
      <c r="AP1314" s="38"/>
      <c r="AQ1314" s="38"/>
      <c r="AR1314" s="38"/>
      <c r="AS1314" s="38"/>
      <c r="AT1314" s="38"/>
      <c r="AU1314" s="38"/>
      <c r="AV1314" s="38"/>
      <c r="AW1314" s="38"/>
      <c r="AX1314" s="38"/>
      <c r="AY1314" s="38"/>
      <c r="AZ1314" s="38"/>
      <c r="BA1314" s="38"/>
      <c r="BB1314" s="38"/>
      <c r="BC1314" s="38"/>
      <c r="BD1314" s="38"/>
      <c r="BE1314" s="38"/>
      <c r="BF1314" s="38"/>
      <c r="BG1314" s="38"/>
      <c r="BH1314" s="38"/>
      <c r="BI1314" s="38"/>
      <c r="BJ1314" s="38"/>
      <c r="BK1314" s="38"/>
      <c r="BL1314" s="38"/>
      <c r="BM1314" s="38"/>
      <c r="BN1314" s="38"/>
      <c r="BO1314" s="38"/>
      <c r="BP1314" s="38"/>
      <c r="BQ1314" s="38"/>
    </row>
    <row r="1315">
      <c r="A1315" s="47" t="s">
        <v>3930</v>
      </c>
      <c r="B1315" s="48"/>
      <c r="C1315" s="48">
        <v>43257.0</v>
      </c>
      <c r="D1315" s="49"/>
      <c r="E1315" s="47" t="s">
        <v>41</v>
      </c>
      <c r="F1315" s="47">
        <v>1.0</v>
      </c>
      <c r="G1315" s="47" t="s">
        <v>32</v>
      </c>
      <c r="H1315" s="43">
        <v>1.0</v>
      </c>
      <c r="I1315" s="47" t="s">
        <v>33</v>
      </c>
      <c r="J1315" s="47" t="s">
        <v>460</v>
      </c>
      <c r="K1315" s="47"/>
      <c r="L1315" s="47" t="s">
        <v>119</v>
      </c>
      <c r="M1315" s="51" t="s">
        <v>3931</v>
      </c>
      <c r="N1315" s="139"/>
      <c r="O1315" s="53" t="str">
        <f>hyperlink("https://bad-boys.us/?q=ND-IA/1:18-cr-00058", "ND-IA 1:18-cr-00058")</f>
        <v>ND-IA 1:18-cr-00058</v>
      </c>
      <c r="P1315" s="54" t="s">
        <v>3932</v>
      </c>
      <c r="Q1315" s="47">
        <v>1.0</v>
      </c>
      <c r="R1315" s="55"/>
      <c r="S1315" s="37"/>
      <c r="T1315" s="38"/>
      <c r="U1315" s="38" t="b">
        <f t="shared" si="196"/>
        <v>0</v>
      </c>
      <c r="V1315" s="38" t="s">
        <v>33</v>
      </c>
      <c r="W1315" s="40"/>
      <c r="X1315" s="40"/>
      <c r="Y1315" s="40"/>
      <c r="Z1315" s="38"/>
      <c r="AA1315" s="38"/>
      <c r="AB1315" s="38"/>
      <c r="AC1315" s="38"/>
      <c r="AD1315" s="38"/>
      <c r="AE1315" s="38"/>
      <c r="AF1315" s="38"/>
      <c r="AG1315" s="38"/>
      <c r="AH1315" s="38"/>
      <c r="AI1315" s="38"/>
      <c r="AJ1315" s="38"/>
      <c r="AK1315" s="38"/>
      <c r="AL1315" s="38"/>
      <c r="AM1315" s="38"/>
      <c r="AN1315" s="38"/>
      <c r="AO1315" s="38"/>
      <c r="AP1315" s="38"/>
      <c r="AQ1315" s="38"/>
      <c r="AR1315" s="38"/>
      <c r="AS1315" s="38"/>
      <c r="AT1315" s="38"/>
      <c r="AU1315" s="38"/>
      <c r="AV1315" s="38"/>
      <c r="AW1315" s="38"/>
      <c r="AX1315" s="38"/>
      <c r="AY1315" s="38"/>
      <c r="AZ1315" s="38"/>
      <c r="BA1315" s="38"/>
      <c r="BB1315" s="38"/>
      <c r="BC1315" s="38"/>
      <c r="BD1315" s="38"/>
      <c r="BE1315" s="38"/>
      <c r="BF1315" s="38"/>
      <c r="BG1315" s="38"/>
      <c r="BH1315" s="38"/>
      <c r="BI1315" s="38"/>
      <c r="BJ1315" s="38"/>
      <c r="BK1315" s="38"/>
      <c r="BL1315" s="38"/>
      <c r="BM1315" s="38"/>
      <c r="BN1315" s="38"/>
      <c r="BO1315" s="38"/>
      <c r="BP1315" s="38"/>
      <c r="BQ1315" s="38"/>
    </row>
    <row r="1316">
      <c r="A1316" s="58" t="s">
        <v>3933</v>
      </c>
      <c r="B1316" s="59">
        <v>43257.0</v>
      </c>
      <c r="C1316" s="59">
        <v>43257.0</v>
      </c>
      <c r="D1316" s="60" t="s">
        <v>3934</v>
      </c>
      <c r="E1316" s="58" t="s">
        <v>41</v>
      </c>
      <c r="F1316" s="58">
        <v>1.0</v>
      </c>
      <c r="G1316" s="58" t="s">
        <v>32</v>
      </c>
      <c r="H1316" s="33">
        <f>if(G1316="Unknown",1,G1316)</f>
        <v>1</v>
      </c>
      <c r="I1316" s="58" t="s">
        <v>33</v>
      </c>
      <c r="J1316" s="58" t="s">
        <v>47</v>
      </c>
      <c r="K1316" s="58">
        <v>4.0</v>
      </c>
      <c r="L1316" s="58" t="s">
        <v>3935</v>
      </c>
      <c r="M1316" s="61" t="s">
        <v>3936</v>
      </c>
      <c r="N1316" s="77"/>
      <c r="O1316" s="88" t="str">
        <f>hyperlink("https://bad-boys.us/?q=SD-FL/9:18-mj-08239", "SD-FL 9:18-mj-08239")</f>
        <v>SD-FL 9:18-mj-08239</v>
      </c>
      <c r="P1316" s="88" t="s">
        <v>3937</v>
      </c>
      <c r="Q1316" s="84">
        <v>1.0</v>
      </c>
      <c r="R1316" s="62"/>
      <c r="S1316" s="37" t="str">
        <f>IFERROR(__xludf.DUMMYFUNCTION("if(not(iserror(index(split(C1316, "" ""),2))), index(split(C1316, "" ""),1),"""")"),"June")</f>
        <v>June</v>
      </c>
      <c r="T1316" s="38">
        <f>IFERROR(__xludf.DUMMYFUNCTION("if(S1316="""",C1316,if(not(iserror(index(split(C1316, "" ""),3))), index(split(C1316, "" ""),3),index(split(C1316, "" ""),2)))"),2018.0)</f>
        <v>2018</v>
      </c>
      <c r="U1316" s="38" t="b">
        <f t="shared" si="196"/>
        <v>0</v>
      </c>
      <c r="V1316" s="38"/>
      <c r="W1316" s="40"/>
      <c r="X1316" s="40"/>
      <c r="Y1316" s="40"/>
      <c r="Z1316" s="38"/>
      <c r="AA1316" s="38"/>
      <c r="AB1316" s="38"/>
      <c r="AC1316" s="38"/>
      <c r="AD1316" s="38"/>
      <c r="AE1316" s="38"/>
      <c r="AF1316" s="38"/>
      <c r="AG1316" s="38"/>
      <c r="AH1316" s="38"/>
      <c r="AI1316" s="38"/>
      <c r="AJ1316" s="38"/>
      <c r="AK1316" s="38"/>
      <c r="AL1316" s="38"/>
      <c r="AM1316" s="38"/>
      <c r="AN1316" s="38"/>
      <c r="AO1316" s="38"/>
      <c r="AP1316" s="38"/>
      <c r="AQ1316" s="38"/>
      <c r="AR1316" s="38"/>
      <c r="AS1316" s="38"/>
      <c r="AT1316" s="38"/>
      <c r="AU1316" s="38"/>
      <c r="AV1316" s="38"/>
      <c r="AW1316" s="38"/>
      <c r="AX1316" s="38"/>
      <c r="AY1316" s="38"/>
      <c r="AZ1316" s="38"/>
      <c r="BA1316" s="38"/>
      <c r="BB1316" s="38"/>
      <c r="BC1316" s="38"/>
      <c r="BD1316" s="38"/>
      <c r="BE1316" s="38"/>
      <c r="BF1316" s="38"/>
      <c r="BG1316" s="38"/>
      <c r="BH1316" s="38"/>
      <c r="BI1316" s="38"/>
      <c r="BJ1316" s="38"/>
      <c r="BK1316" s="38"/>
      <c r="BL1316" s="38"/>
      <c r="BM1316" s="38"/>
      <c r="BN1316" s="38"/>
      <c r="BO1316" s="38"/>
      <c r="BP1316" s="38"/>
      <c r="BQ1316" s="38"/>
    </row>
    <row r="1317">
      <c r="A1317" s="58" t="s">
        <v>3938</v>
      </c>
      <c r="B1317" s="59"/>
      <c r="C1317" s="59">
        <v>43257.0</v>
      </c>
      <c r="D1317" s="60"/>
      <c r="E1317" s="58" t="s">
        <v>31</v>
      </c>
      <c r="F1317" s="58">
        <v>1.0</v>
      </c>
      <c r="G1317" s="58" t="s">
        <v>32</v>
      </c>
      <c r="H1317" s="43">
        <v>1.0</v>
      </c>
      <c r="I1317" s="58" t="s">
        <v>33</v>
      </c>
      <c r="J1317" s="58" t="s">
        <v>147</v>
      </c>
      <c r="K1317" s="58"/>
      <c r="L1317" s="58" t="s">
        <v>76</v>
      </c>
      <c r="M1317" s="61" t="s">
        <v>3939</v>
      </c>
      <c r="N1317" s="61" t="s">
        <v>3940</v>
      </c>
      <c r="O1317" s="83" t="str">
        <f>hyperlink("https://bad-boys.us/?q=WD-TX/3:18-cr-01634", "WD-TX 3:18-cr-01634")</f>
        <v>WD-TX 3:18-cr-01634</v>
      </c>
      <c r="P1317" s="88" t="s">
        <v>3941</v>
      </c>
      <c r="Q1317" s="58">
        <v>1.0</v>
      </c>
      <c r="R1317" s="62"/>
      <c r="S1317" s="37" t="str">
        <f>IFERROR(__xludf.DUMMYFUNCTION("if(not(iserror(index(split(C1317, "" ""),2))), index(split(C1317, "" ""),1),"""")"),"June")</f>
        <v>June</v>
      </c>
      <c r="T1317" s="38">
        <f>IFERROR(__xludf.DUMMYFUNCTION("if(S1317="""",C1317,if(not(iserror(index(split(C1317, "" ""),3))), index(split(C1317, "" ""),3),index(split(C1317, "" ""),2)))"),2018.0)</f>
        <v>2018</v>
      </c>
      <c r="U1317" s="38" t="b">
        <f t="shared" si="196"/>
        <v>0</v>
      </c>
      <c r="V1317" s="38" t="s">
        <v>33</v>
      </c>
      <c r="W1317" s="39" t="s">
        <v>3942</v>
      </c>
      <c r="X1317" s="39" t="s">
        <v>3943</v>
      </c>
      <c r="Y1317" s="40"/>
      <c r="Z1317" s="38"/>
      <c r="AA1317" s="38"/>
      <c r="AB1317" s="38"/>
      <c r="AC1317" s="38"/>
      <c r="AD1317" s="38"/>
      <c r="AE1317" s="38"/>
      <c r="AF1317" s="38"/>
      <c r="AG1317" s="38"/>
      <c r="AH1317" s="38"/>
      <c r="AI1317" s="38"/>
      <c r="AJ1317" s="38"/>
      <c r="AK1317" s="38"/>
      <c r="AL1317" s="38"/>
      <c r="AM1317" s="38"/>
      <c r="AN1317" s="38"/>
      <c r="AO1317" s="38"/>
      <c r="AP1317" s="38"/>
      <c r="AQ1317" s="38"/>
      <c r="AR1317" s="38"/>
      <c r="AS1317" s="38"/>
      <c r="AT1317" s="38"/>
      <c r="AU1317" s="38"/>
      <c r="AV1317" s="38"/>
      <c r="AW1317" s="38"/>
      <c r="AX1317" s="38"/>
      <c r="AY1317" s="38"/>
      <c r="AZ1317" s="38"/>
      <c r="BA1317" s="38"/>
      <c r="BB1317" s="38"/>
      <c r="BC1317" s="38"/>
      <c r="BD1317" s="38"/>
      <c r="BE1317" s="38"/>
      <c r="BF1317" s="38"/>
      <c r="BG1317" s="38"/>
      <c r="BH1317" s="38"/>
      <c r="BI1317" s="38"/>
      <c r="BJ1317" s="38"/>
      <c r="BK1317" s="38"/>
      <c r="BL1317" s="38"/>
      <c r="BM1317" s="38"/>
      <c r="BN1317" s="38"/>
      <c r="BO1317" s="38"/>
      <c r="BP1317" s="38"/>
      <c r="BQ1317" s="38"/>
    </row>
    <row r="1318">
      <c r="A1318" s="58" t="s">
        <v>3944</v>
      </c>
      <c r="B1318" s="59"/>
      <c r="C1318" s="59">
        <v>43257.0</v>
      </c>
      <c r="D1318" s="60"/>
      <c r="E1318" s="58" t="s">
        <v>41</v>
      </c>
      <c r="F1318" s="58">
        <v>1.0</v>
      </c>
      <c r="G1318" s="58" t="s">
        <v>32</v>
      </c>
      <c r="H1318" s="43">
        <v>1.0</v>
      </c>
      <c r="I1318" s="58" t="s">
        <v>33</v>
      </c>
      <c r="J1318" s="58" t="s">
        <v>93</v>
      </c>
      <c r="K1318" s="58"/>
      <c r="L1318" s="58" t="s">
        <v>119</v>
      </c>
      <c r="M1318" s="80" t="s">
        <v>3945</v>
      </c>
      <c r="N1318" s="77"/>
      <c r="O1318" s="62"/>
      <c r="P1318" s="62"/>
      <c r="Q1318" s="58"/>
      <c r="R1318" s="62"/>
      <c r="S1318" s="37"/>
      <c r="T1318" s="38"/>
      <c r="U1318" s="38" t="b">
        <f t="shared" si="196"/>
        <v>0</v>
      </c>
      <c r="V1318" s="38" t="s">
        <v>33</v>
      </c>
      <c r="W1318" s="40"/>
      <c r="X1318" s="40"/>
      <c r="Y1318" s="40"/>
      <c r="Z1318" s="38"/>
      <c r="AA1318" s="38"/>
      <c r="AB1318" s="38"/>
      <c r="AC1318" s="38"/>
      <c r="AD1318" s="38"/>
      <c r="AE1318" s="38"/>
      <c r="AF1318" s="38"/>
      <c r="AG1318" s="38"/>
      <c r="AH1318" s="38"/>
      <c r="AI1318" s="38"/>
      <c r="AJ1318" s="38"/>
      <c r="AK1318" s="38"/>
      <c r="AL1318" s="38"/>
      <c r="AM1318" s="38"/>
      <c r="AN1318" s="38"/>
      <c r="AO1318" s="38"/>
      <c r="AP1318" s="38"/>
      <c r="AQ1318" s="38"/>
      <c r="AR1318" s="38"/>
      <c r="AS1318" s="38"/>
      <c r="AT1318" s="38"/>
      <c r="AU1318" s="38"/>
      <c r="AV1318" s="38"/>
      <c r="AW1318" s="38"/>
      <c r="AX1318" s="38"/>
      <c r="AY1318" s="38"/>
      <c r="AZ1318" s="38"/>
      <c r="BA1318" s="38"/>
      <c r="BB1318" s="38"/>
      <c r="BC1318" s="38"/>
      <c r="BD1318" s="38"/>
      <c r="BE1318" s="38"/>
      <c r="BF1318" s="38"/>
      <c r="BG1318" s="38"/>
      <c r="BH1318" s="38"/>
      <c r="BI1318" s="38"/>
      <c r="BJ1318" s="38"/>
      <c r="BK1318" s="38"/>
      <c r="BL1318" s="38"/>
      <c r="BM1318" s="38"/>
      <c r="BN1318" s="38"/>
      <c r="BO1318" s="38"/>
      <c r="BP1318" s="38"/>
      <c r="BQ1318" s="38"/>
    </row>
    <row r="1319">
      <c r="A1319" s="58" t="s">
        <v>3946</v>
      </c>
      <c r="B1319" s="59"/>
      <c r="C1319" s="59">
        <v>43257.0</v>
      </c>
      <c r="D1319" s="60"/>
      <c r="E1319" s="58" t="s">
        <v>41</v>
      </c>
      <c r="F1319" s="58">
        <v>1.0</v>
      </c>
      <c r="G1319" s="58" t="s">
        <v>32</v>
      </c>
      <c r="H1319" s="43">
        <v>1.0</v>
      </c>
      <c r="I1319" s="58" t="s">
        <v>33</v>
      </c>
      <c r="J1319" s="58" t="s">
        <v>279</v>
      </c>
      <c r="K1319" s="58"/>
      <c r="L1319" s="58" t="s">
        <v>69</v>
      </c>
      <c r="M1319" s="61" t="s">
        <v>3947</v>
      </c>
      <c r="N1319" s="77"/>
      <c r="O1319" s="62"/>
      <c r="P1319" s="62"/>
      <c r="Q1319" s="58"/>
      <c r="R1319" s="62"/>
      <c r="S1319" s="37"/>
      <c r="T1319" s="38"/>
      <c r="U1319" s="38"/>
      <c r="V1319" s="38" t="s">
        <v>33</v>
      </c>
      <c r="W1319" s="40"/>
      <c r="X1319" s="40"/>
      <c r="Y1319" s="40"/>
      <c r="Z1319" s="38"/>
      <c r="AA1319" s="38"/>
      <c r="AB1319" s="38"/>
      <c r="AC1319" s="38"/>
      <c r="AD1319" s="38"/>
      <c r="AE1319" s="38"/>
      <c r="AF1319" s="38"/>
      <c r="AG1319" s="38"/>
      <c r="AH1319" s="38"/>
      <c r="AI1319" s="38"/>
      <c r="AJ1319" s="38"/>
      <c r="AK1319" s="38"/>
      <c r="AL1319" s="38"/>
      <c r="AM1319" s="38"/>
      <c r="AN1319" s="38"/>
      <c r="AO1319" s="38"/>
      <c r="AP1319" s="38"/>
      <c r="AQ1319" s="38"/>
      <c r="AR1319" s="38"/>
      <c r="AS1319" s="38"/>
      <c r="AT1319" s="38"/>
      <c r="AU1319" s="38"/>
      <c r="AV1319" s="38"/>
      <c r="AW1319" s="38"/>
      <c r="AX1319" s="38"/>
      <c r="AY1319" s="38"/>
      <c r="AZ1319" s="38"/>
      <c r="BA1319" s="38"/>
      <c r="BB1319" s="38"/>
      <c r="BC1319" s="38"/>
      <c r="BD1319" s="38"/>
      <c r="BE1319" s="38"/>
      <c r="BF1319" s="38"/>
      <c r="BG1319" s="38"/>
      <c r="BH1319" s="38"/>
      <c r="BI1319" s="38"/>
      <c r="BJ1319" s="38"/>
      <c r="BK1319" s="38"/>
      <c r="BL1319" s="38"/>
      <c r="BM1319" s="38"/>
      <c r="BN1319" s="38"/>
      <c r="BO1319" s="38"/>
      <c r="BP1319" s="38"/>
      <c r="BQ1319" s="38"/>
    </row>
    <row r="1320">
      <c r="A1320" s="58" t="s">
        <v>239</v>
      </c>
      <c r="B1320" s="59">
        <v>43257.0</v>
      </c>
      <c r="C1320" s="59">
        <v>43257.0</v>
      </c>
      <c r="D1320" s="60" t="s">
        <v>3934</v>
      </c>
      <c r="E1320" s="58" t="s">
        <v>41</v>
      </c>
      <c r="F1320" s="58">
        <v>1.0</v>
      </c>
      <c r="G1320" s="58" t="s">
        <v>32</v>
      </c>
      <c r="H1320" s="33">
        <f t="shared" ref="H1320:H1325" si="197">if(G1320="Unknown",1,G1320)</f>
        <v>1</v>
      </c>
      <c r="I1320" s="58" t="s">
        <v>33</v>
      </c>
      <c r="J1320" s="58" t="s">
        <v>147</v>
      </c>
      <c r="K1320" s="58">
        <v>1.0</v>
      </c>
      <c r="L1320" s="58" t="s">
        <v>2602</v>
      </c>
      <c r="M1320" s="61" t="s">
        <v>3948</v>
      </c>
      <c r="N1320" s="77"/>
      <c r="O1320" s="62"/>
      <c r="P1320" s="62"/>
      <c r="Q1320" s="62"/>
      <c r="R1320" s="62"/>
      <c r="S1320" s="37" t="str">
        <f>IFERROR(__xludf.DUMMYFUNCTION("if(not(iserror(index(split(C1320, "" ""),2))), index(split(C1320, "" ""),1),"""")"),"June")</f>
        <v>June</v>
      </c>
      <c r="T1320" s="38">
        <f>IFERROR(__xludf.DUMMYFUNCTION("if(S1320="""",C1320,if(not(iserror(index(split(C1320, "" ""),3))), index(split(C1320, "" ""),3),index(split(C1320, "" ""),2)))"),2018.0)</f>
        <v>2018</v>
      </c>
      <c r="U1320" s="38" t="b">
        <f t="shared" ref="U1320:U1378" si="198">countif(A$4:A4658, A1320)&gt;1</f>
        <v>1</v>
      </c>
      <c r="V1320" s="38"/>
      <c r="W1320" s="40"/>
      <c r="X1320" s="40"/>
      <c r="Y1320" s="40"/>
      <c r="Z1320" s="38"/>
      <c r="AA1320" s="38"/>
      <c r="AB1320" s="38"/>
      <c r="AC1320" s="38"/>
      <c r="AD1320" s="38"/>
      <c r="AE1320" s="38"/>
      <c r="AF1320" s="38"/>
      <c r="AG1320" s="38"/>
      <c r="AH1320" s="38"/>
      <c r="AI1320" s="38"/>
      <c r="AJ1320" s="38"/>
      <c r="AK1320" s="38"/>
      <c r="AL1320" s="38"/>
      <c r="AM1320" s="38"/>
      <c r="AN1320" s="38"/>
      <c r="AO1320" s="38"/>
      <c r="AP1320" s="38"/>
      <c r="AQ1320" s="38"/>
      <c r="AR1320" s="38"/>
      <c r="AS1320" s="38"/>
      <c r="AT1320" s="38"/>
      <c r="AU1320" s="38"/>
      <c r="AV1320" s="38"/>
      <c r="AW1320" s="38"/>
      <c r="AX1320" s="38"/>
      <c r="AY1320" s="38"/>
      <c r="AZ1320" s="38"/>
      <c r="BA1320" s="38"/>
      <c r="BB1320" s="38"/>
      <c r="BC1320" s="38"/>
      <c r="BD1320" s="38"/>
      <c r="BE1320" s="38"/>
      <c r="BF1320" s="38"/>
      <c r="BG1320" s="38"/>
      <c r="BH1320" s="38"/>
      <c r="BI1320" s="38"/>
      <c r="BJ1320" s="38"/>
      <c r="BK1320" s="38"/>
      <c r="BL1320" s="38"/>
      <c r="BM1320" s="38"/>
      <c r="BN1320" s="38"/>
      <c r="BO1320" s="38"/>
      <c r="BP1320" s="38"/>
      <c r="BQ1320" s="38"/>
    </row>
    <row r="1321">
      <c r="A1321" s="58" t="s">
        <v>239</v>
      </c>
      <c r="B1321" s="59">
        <v>43259.0</v>
      </c>
      <c r="C1321" s="59">
        <v>43257.0</v>
      </c>
      <c r="D1321" s="60" t="s">
        <v>3934</v>
      </c>
      <c r="E1321" s="58" t="s">
        <v>41</v>
      </c>
      <c r="F1321" s="58">
        <v>2.0</v>
      </c>
      <c r="G1321" s="58">
        <v>2.0</v>
      </c>
      <c r="H1321" s="33">
        <f t="shared" si="197"/>
        <v>2</v>
      </c>
      <c r="I1321" s="58" t="s">
        <v>33</v>
      </c>
      <c r="J1321" s="58" t="s">
        <v>241</v>
      </c>
      <c r="K1321" s="58">
        <v>1.0</v>
      </c>
      <c r="L1321" s="58" t="s">
        <v>194</v>
      </c>
      <c r="M1321" s="61" t="s">
        <v>3949</v>
      </c>
      <c r="N1321" s="77"/>
      <c r="O1321" s="62"/>
      <c r="P1321" s="62"/>
      <c r="Q1321" s="62"/>
      <c r="R1321" s="62"/>
      <c r="S1321" s="37" t="str">
        <f>IFERROR(__xludf.DUMMYFUNCTION("if(not(iserror(index(split(C1321, "" ""),2))), index(split(C1321, "" ""),1),"""")"),"June")</f>
        <v>June</v>
      </c>
      <c r="T1321" s="38">
        <f>IFERROR(__xludf.DUMMYFUNCTION("if(S1321="""",C1321,if(not(iserror(index(split(C1321, "" ""),3))), index(split(C1321, "" ""),3),index(split(C1321, "" ""),2)))"),2018.0)</f>
        <v>2018</v>
      </c>
      <c r="U1321" s="38" t="b">
        <f t="shared" si="198"/>
        <v>1</v>
      </c>
      <c r="V1321" s="38"/>
      <c r="W1321" s="40"/>
      <c r="X1321" s="40"/>
      <c r="Y1321" s="40"/>
      <c r="Z1321" s="38"/>
      <c r="AA1321" s="38"/>
      <c r="AB1321" s="38"/>
      <c r="AC1321" s="38"/>
      <c r="AD1321" s="38"/>
      <c r="AE1321" s="38"/>
      <c r="AF1321" s="38"/>
      <c r="AG1321" s="38"/>
      <c r="AH1321" s="38"/>
      <c r="AI1321" s="38"/>
      <c r="AJ1321" s="38"/>
      <c r="AK1321" s="38"/>
      <c r="AL1321" s="38"/>
      <c r="AM1321" s="38"/>
      <c r="AN1321" s="38"/>
      <c r="AO1321" s="38"/>
      <c r="AP1321" s="38"/>
      <c r="AQ1321" s="38"/>
      <c r="AR1321" s="38"/>
      <c r="AS1321" s="38"/>
      <c r="AT1321" s="38"/>
      <c r="AU1321" s="38"/>
      <c r="AV1321" s="38"/>
      <c r="AW1321" s="38"/>
      <c r="AX1321" s="38"/>
      <c r="AY1321" s="38"/>
      <c r="AZ1321" s="38"/>
      <c r="BA1321" s="38"/>
      <c r="BB1321" s="38"/>
      <c r="BC1321" s="38"/>
      <c r="BD1321" s="38"/>
      <c r="BE1321" s="38"/>
      <c r="BF1321" s="38"/>
      <c r="BG1321" s="38"/>
      <c r="BH1321" s="38"/>
      <c r="BI1321" s="38"/>
      <c r="BJ1321" s="38"/>
      <c r="BK1321" s="38"/>
      <c r="BL1321" s="38"/>
      <c r="BM1321" s="38"/>
      <c r="BN1321" s="38"/>
      <c r="BO1321" s="38"/>
      <c r="BP1321" s="38"/>
      <c r="BQ1321" s="38"/>
    </row>
    <row r="1322">
      <c r="A1322" s="58" t="s">
        <v>40</v>
      </c>
      <c r="B1322" s="59">
        <v>43259.0</v>
      </c>
      <c r="C1322" s="59">
        <v>43257.0</v>
      </c>
      <c r="D1322" s="60" t="s">
        <v>3934</v>
      </c>
      <c r="E1322" s="58" t="s">
        <v>41</v>
      </c>
      <c r="F1322" s="58">
        <v>37.0</v>
      </c>
      <c r="G1322" s="58" t="s">
        <v>32</v>
      </c>
      <c r="H1322" s="33">
        <f t="shared" si="197"/>
        <v>1</v>
      </c>
      <c r="I1322" s="58" t="s">
        <v>33</v>
      </c>
      <c r="J1322" s="58" t="s">
        <v>68</v>
      </c>
      <c r="K1322" s="58">
        <v>7.0</v>
      </c>
      <c r="L1322" s="58" t="s">
        <v>2942</v>
      </c>
      <c r="M1322" s="61" t="s">
        <v>3950</v>
      </c>
      <c r="N1322" s="77"/>
      <c r="O1322" s="62"/>
      <c r="P1322" s="62"/>
      <c r="Q1322" s="62"/>
      <c r="R1322" s="62"/>
      <c r="S1322" s="37" t="str">
        <f>IFERROR(__xludf.DUMMYFUNCTION("if(not(iserror(index(split(C1322, "" ""),2))), index(split(C1322, "" ""),1),"""")"),"June")</f>
        <v>June</v>
      </c>
      <c r="T1322" s="38">
        <f>IFERROR(__xludf.DUMMYFUNCTION("if(S1322="""",C1322,if(not(iserror(index(split(C1322, "" ""),3))), index(split(C1322, "" ""),3),index(split(C1322, "" ""),2)))"),2018.0)</f>
        <v>2018</v>
      </c>
      <c r="U1322" s="38" t="b">
        <f t="shared" si="198"/>
        <v>1</v>
      </c>
      <c r="V1322" s="38"/>
      <c r="W1322" s="40"/>
      <c r="X1322" s="40"/>
      <c r="Y1322" s="40"/>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row>
    <row r="1323">
      <c r="A1323" s="37" t="s">
        <v>3951</v>
      </c>
      <c r="B1323" s="59">
        <v>43262.0</v>
      </c>
      <c r="C1323" s="59">
        <v>43257.0</v>
      </c>
      <c r="D1323" s="60" t="s">
        <v>3952</v>
      </c>
      <c r="E1323" s="58" t="s">
        <v>41</v>
      </c>
      <c r="F1323" s="58">
        <v>1.0</v>
      </c>
      <c r="G1323" s="58" t="s">
        <v>32</v>
      </c>
      <c r="H1323" s="33">
        <f t="shared" si="197"/>
        <v>1</v>
      </c>
      <c r="I1323" s="58" t="s">
        <v>33</v>
      </c>
      <c r="J1323" s="58" t="s">
        <v>111</v>
      </c>
      <c r="K1323" s="58">
        <v>1.0</v>
      </c>
      <c r="L1323" s="58" t="s">
        <v>52</v>
      </c>
      <c r="M1323" s="61" t="s">
        <v>3953</v>
      </c>
      <c r="N1323" s="77"/>
      <c r="O1323" s="62"/>
      <c r="P1323" s="62"/>
      <c r="Q1323" s="62"/>
      <c r="R1323" s="62"/>
      <c r="S1323" s="37" t="str">
        <f>IFERROR(__xludf.DUMMYFUNCTION("if(not(iserror(index(split(C1323, "" ""),2))), index(split(C1323, "" ""),1),"""")"),"June")</f>
        <v>June</v>
      </c>
      <c r="T1323" s="38">
        <f>IFERROR(__xludf.DUMMYFUNCTION("if(S1323="""",C1323,if(not(iserror(index(split(C1323, "" ""),3))), index(split(C1323, "" ""),3),index(split(C1323, "" ""),2)))"),2018.0)</f>
        <v>2018</v>
      </c>
      <c r="U1323" s="38" t="b">
        <f t="shared" si="198"/>
        <v>0</v>
      </c>
      <c r="V1323" s="38"/>
      <c r="W1323" s="40"/>
      <c r="X1323" s="40"/>
      <c r="Y1323" s="40"/>
      <c r="Z1323" s="38"/>
      <c r="AA1323" s="38"/>
      <c r="AB1323" s="38"/>
      <c r="AC1323" s="38"/>
      <c r="AD1323" s="38"/>
      <c r="AE1323" s="38"/>
      <c r="AF1323" s="38"/>
      <c r="AG1323" s="38"/>
      <c r="AH1323" s="38"/>
      <c r="AI1323" s="38"/>
      <c r="AJ1323" s="38"/>
      <c r="AK1323" s="38"/>
      <c r="AL1323" s="38"/>
      <c r="AM1323" s="38"/>
      <c r="AN1323" s="38"/>
      <c r="AO1323" s="38"/>
      <c r="AP1323" s="38"/>
      <c r="AQ1323" s="38"/>
      <c r="AR1323" s="38"/>
      <c r="AS1323" s="38"/>
      <c r="AT1323" s="38"/>
      <c r="AU1323" s="38"/>
      <c r="AV1323" s="38"/>
      <c r="AW1323" s="38"/>
      <c r="AX1323" s="38"/>
      <c r="AY1323" s="38"/>
      <c r="AZ1323" s="38"/>
      <c r="BA1323" s="38"/>
      <c r="BB1323" s="38"/>
      <c r="BC1323" s="38"/>
      <c r="BD1323" s="38"/>
      <c r="BE1323" s="38"/>
      <c r="BF1323" s="38"/>
      <c r="BG1323" s="38"/>
      <c r="BH1323" s="38"/>
      <c r="BI1323" s="38"/>
      <c r="BJ1323" s="38"/>
      <c r="BK1323" s="38"/>
      <c r="BL1323" s="38"/>
      <c r="BM1323" s="38"/>
      <c r="BN1323" s="38"/>
      <c r="BO1323" s="38"/>
      <c r="BP1323" s="38"/>
      <c r="BQ1323" s="38"/>
    </row>
    <row r="1324">
      <c r="A1324" s="37" t="s">
        <v>3954</v>
      </c>
      <c r="B1324" s="59">
        <v>43264.0</v>
      </c>
      <c r="C1324" s="59">
        <v>43258.0</v>
      </c>
      <c r="D1324" s="60" t="s">
        <v>3952</v>
      </c>
      <c r="E1324" s="58" t="s">
        <v>31</v>
      </c>
      <c r="F1324" s="58">
        <v>1.0</v>
      </c>
      <c r="G1324" s="58" t="s">
        <v>32</v>
      </c>
      <c r="H1324" s="33">
        <f t="shared" si="197"/>
        <v>1</v>
      </c>
      <c r="I1324" s="58" t="s">
        <v>33</v>
      </c>
      <c r="J1324" s="58" t="s">
        <v>147</v>
      </c>
      <c r="K1324" s="58">
        <v>1.0</v>
      </c>
      <c r="L1324" s="58" t="s">
        <v>52</v>
      </c>
      <c r="M1324" s="61" t="s">
        <v>3955</v>
      </c>
      <c r="N1324" s="77"/>
      <c r="O1324" s="62"/>
      <c r="P1324" s="62"/>
      <c r="Q1324" s="62"/>
      <c r="R1324" s="62"/>
      <c r="S1324" s="37" t="str">
        <f>IFERROR(__xludf.DUMMYFUNCTION("if(not(iserror(index(split(C1324, "" ""),2))), index(split(C1324, "" ""),1),"""")"),"June")</f>
        <v>June</v>
      </c>
      <c r="T1324" s="38">
        <f>IFERROR(__xludf.DUMMYFUNCTION("if(S1324="""",C1324,if(not(iserror(index(split(C1324, "" ""),3))), index(split(C1324, "" ""),3),index(split(C1324, "" ""),2)))"),2018.0)</f>
        <v>2018</v>
      </c>
      <c r="U1324" s="38" t="b">
        <f t="shared" si="198"/>
        <v>0</v>
      </c>
      <c r="V1324" s="38"/>
      <c r="W1324" s="40"/>
      <c r="X1324" s="40"/>
      <c r="Y1324" s="40"/>
      <c r="Z1324" s="38"/>
      <c r="AA1324" s="38"/>
      <c r="AB1324" s="38"/>
      <c r="AC1324" s="38"/>
      <c r="AD1324" s="38"/>
      <c r="AE1324" s="38"/>
      <c r="AF1324" s="38"/>
      <c r="AG1324" s="38"/>
      <c r="AH1324" s="38"/>
      <c r="AI1324" s="38"/>
      <c r="AJ1324" s="38"/>
      <c r="AK1324" s="38"/>
      <c r="AL1324" s="38"/>
      <c r="AM1324" s="38"/>
      <c r="AN1324" s="38"/>
      <c r="AO1324" s="38"/>
      <c r="AP1324" s="38"/>
      <c r="AQ1324" s="38"/>
      <c r="AR1324" s="38"/>
      <c r="AS1324" s="38"/>
      <c r="AT1324" s="38"/>
      <c r="AU1324" s="38"/>
      <c r="AV1324" s="38"/>
      <c r="AW1324" s="38"/>
      <c r="AX1324" s="38"/>
      <c r="AY1324" s="38"/>
      <c r="AZ1324" s="38"/>
      <c r="BA1324" s="38"/>
      <c r="BB1324" s="38"/>
      <c r="BC1324" s="38"/>
      <c r="BD1324" s="38"/>
      <c r="BE1324" s="38"/>
      <c r="BF1324" s="38"/>
      <c r="BG1324" s="38"/>
      <c r="BH1324" s="38"/>
      <c r="BI1324" s="38"/>
      <c r="BJ1324" s="38"/>
      <c r="BK1324" s="38"/>
      <c r="BL1324" s="38"/>
      <c r="BM1324" s="38"/>
      <c r="BN1324" s="38"/>
      <c r="BO1324" s="38"/>
      <c r="BP1324" s="38"/>
      <c r="BQ1324" s="38"/>
    </row>
    <row r="1325">
      <c r="A1325" s="78" t="s">
        <v>3956</v>
      </c>
      <c r="B1325" s="59">
        <v>43265.0</v>
      </c>
      <c r="C1325" s="59">
        <v>43258.0</v>
      </c>
      <c r="D1325" s="60" t="s">
        <v>3952</v>
      </c>
      <c r="E1325" s="58" t="s">
        <v>31</v>
      </c>
      <c r="F1325" s="58">
        <v>1.0</v>
      </c>
      <c r="G1325" s="58" t="s">
        <v>32</v>
      </c>
      <c r="H1325" s="33">
        <f t="shared" si="197"/>
        <v>1</v>
      </c>
      <c r="I1325" s="58" t="s">
        <v>33</v>
      </c>
      <c r="J1325" s="58" t="s">
        <v>514</v>
      </c>
      <c r="K1325" s="58" t="s">
        <v>32</v>
      </c>
      <c r="L1325" s="58" t="s">
        <v>99</v>
      </c>
      <c r="M1325" s="61" t="s">
        <v>3957</v>
      </c>
      <c r="N1325" s="77"/>
      <c r="O1325" s="62"/>
      <c r="P1325" s="62"/>
      <c r="Q1325" s="62"/>
      <c r="R1325" s="62"/>
      <c r="S1325" s="37" t="str">
        <f>IFERROR(__xludf.DUMMYFUNCTION("if(not(iserror(index(split(C1325, "" ""),2))), index(split(C1325, "" ""),1),"""")"),"June")</f>
        <v>June</v>
      </c>
      <c r="T1325" s="38">
        <f>IFERROR(__xludf.DUMMYFUNCTION("if(S1325="""",C1325,if(not(iserror(index(split(C1325, "" ""),3))), index(split(C1325, "" ""),3),index(split(C1325, "" ""),2)))"),2018.0)</f>
        <v>2018</v>
      </c>
      <c r="U1325" s="38" t="b">
        <f t="shared" si="198"/>
        <v>0</v>
      </c>
      <c r="V1325" s="38"/>
      <c r="W1325" s="40"/>
      <c r="X1325" s="40"/>
      <c r="Y1325" s="40"/>
      <c r="Z1325" s="38"/>
      <c r="AA1325" s="38"/>
      <c r="AB1325" s="38"/>
      <c r="AC1325" s="38"/>
      <c r="AD1325" s="38"/>
      <c r="AE1325" s="38"/>
      <c r="AF1325" s="38"/>
      <c r="AG1325" s="38"/>
      <c r="AH1325" s="38"/>
      <c r="AI1325" s="38"/>
      <c r="AJ1325" s="38"/>
      <c r="AK1325" s="38"/>
      <c r="AL1325" s="38"/>
      <c r="AM1325" s="38"/>
      <c r="AN1325" s="38"/>
      <c r="AO1325" s="38"/>
      <c r="AP1325" s="38"/>
      <c r="AQ1325" s="38"/>
      <c r="AR1325" s="38"/>
      <c r="AS1325" s="38"/>
      <c r="AT1325" s="38"/>
      <c r="AU1325" s="38"/>
      <c r="AV1325" s="38"/>
      <c r="AW1325" s="38"/>
      <c r="AX1325" s="38"/>
      <c r="AY1325" s="38"/>
      <c r="AZ1325" s="38"/>
      <c r="BA1325" s="38"/>
      <c r="BB1325" s="38"/>
      <c r="BC1325" s="38"/>
      <c r="BD1325" s="38"/>
      <c r="BE1325" s="38"/>
      <c r="BF1325" s="38"/>
      <c r="BG1325" s="38"/>
      <c r="BH1325" s="38"/>
      <c r="BI1325" s="38"/>
      <c r="BJ1325" s="38"/>
      <c r="BK1325" s="38"/>
      <c r="BL1325" s="38"/>
      <c r="BM1325" s="38"/>
      <c r="BN1325" s="38"/>
      <c r="BO1325" s="38"/>
      <c r="BP1325" s="38"/>
      <c r="BQ1325" s="38"/>
    </row>
    <row r="1326">
      <c r="A1326" s="78" t="s">
        <v>3958</v>
      </c>
      <c r="B1326" s="59"/>
      <c r="C1326" s="59">
        <v>43258.0</v>
      </c>
      <c r="D1326" s="60"/>
      <c r="E1326" s="58" t="s">
        <v>41</v>
      </c>
      <c r="F1326" s="58">
        <v>1.0</v>
      </c>
      <c r="G1326" s="58" t="s">
        <v>32</v>
      </c>
      <c r="H1326" s="43">
        <v>1.0</v>
      </c>
      <c r="I1326" s="58" t="s">
        <v>33</v>
      </c>
      <c r="J1326" s="58" t="s">
        <v>106</v>
      </c>
      <c r="K1326" s="58"/>
      <c r="L1326" s="58" t="s">
        <v>646</v>
      </c>
      <c r="M1326" s="61" t="s">
        <v>3959</v>
      </c>
      <c r="N1326" s="77"/>
      <c r="O1326" s="62"/>
      <c r="P1326" s="62"/>
      <c r="Q1326" s="58"/>
      <c r="R1326" s="62"/>
      <c r="S1326" s="37"/>
      <c r="T1326" s="38"/>
      <c r="U1326" s="38" t="b">
        <f t="shared" si="198"/>
        <v>0</v>
      </c>
      <c r="V1326" s="38" t="s">
        <v>33</v>
      </c>
      <c r="W1326" s="40"/>
      <c r="X1326" s="40"/>
      <c r="Y1326" s="40"/>
      <c r="Z1326" s="38"/>
      <c r="AA1326" s="38"/>
      <c r="AB1326" s="38"/>
      <c r="AC1326" s="38"/>
      <c r="AD1326" s="38"/>
      <c r="AE1326" s="38"/>
      <c r="AF1326" s="38"/>
      <c r="AG1326" s="38"/>
      <c r="AH1326" s="38"/>
      <c r="AI1326" s="38"/>
      <c r="AJ1326" s="38"/>
      <c r="AK1326" s="38"/>
      <c r="AL1326" s="38"/>
      <c r="AM1326" s="38"/>
      <c r="AN1326" s="38"/>
      <c r="AO1326" s="38"/>
      <c r="AP1326" s="38"/>
      <c r="AQ1326" s="38"/>
      <c r="AR1326" s="38"/>
      <c r="AS1326" s="38"/>
      <c r="AT1326" s="38"/>
      <c r="AU1326" s="38"/>
      <c r="AV1326" s="38"/>
      <c r="AW1326" s="38"/>
      <c r="AX1326" s="38"/>
      <c r="AY1326" s="38"/>
      <c r="AZ1326" s="38"/>
      <c r="BA1326" s="38"/>
      <c r="BB1326" s="38"/>
      <c r="BC1326" s="38"/>
      <c r="BD1326" s="38"/>
      <c r="BE1326" s="38"/>
      <c r="BF1326" s="38"/>
      <c r="BG1326" s="38"/>
      <c r="BH1326" s="38"/>
      <c r="BI1326" s="38"/>
      <c r="BJ1326" s="38"/>
      <c r="BK1326" s="38"/>
      <c r="BL1326" s="38"/>
      <c r="BM1326" s="38"/>
      <c r="BN1326" s="38"/>
      <c r="BO1326" s="38"/>
      <c r="BP1326" s="38"/>
      <c r="BQ1326" s="38"/>
    </row>
    <row r="1327">
      <c r="A1327" s="78" t="s">
        <v>3960</v>
      </c>
      <c r="B1327" s="59"/>
      <c r="C1327" s="59">
        <v>43258.0</v>
      </c>
      <c r="D1327" s="60"/>
      <c r="E1327" s="58" t="s">
        <v>41</v>
      </c>
      <c r="F1327" s="58">
        <v>1.0</v>
      </c>
      <c r="G1327" s="58" t="s">
        <v>32</v>
      </c>
      <c r="H1327" s="43">
        <v>1.0</v>
      </c>
      <c r="I1327" s="58" t="s">
        <v>33</v>
      </c>
      <c r="J1327" s="58" t="s">
        <v>111</v>
      </c>
      <c r="K1327" s="58"/>
      <c r="L1327" s="58" t="s">
        <v>69</v>
      </c>
      <c r="M1327" s="61" t="s">
        <v>3961</v>
      </c>
      <c r="N1327" s="77"/>
      <c r="O1327" s="83" t="str">
        <f>hyperlink("https://bad-boys.us/?q=ED-CA/1:18-cr-00123", "ED-CA 1:18-cr-00123")</f>
        <v>ED-CA 1:18-cr-00123</v>
      </c>
      <c r="P1327" s="88" t="s">
        <v>3962</v>
      </c>
      <c r="Q1327" s="58">
        <v>1.0</v>
      </c>
      <c r="R1327" s="62"/>
      <c r="S1327" s="37" t="str">
        <f>IFERROR(__xludf.DUMMYFUNCTION("if(not(iserror(index(split(C1327, "" ""),2))), index(split(C1327, "" ""),1),"""")"),"June")</f>
        <v>June</v>
      </c>
      <c r="T1327" s="38">
        <f>IFERROR(__xludf.DUMMYFUNCTION("if(S1327="""",C1327,if(not(iserror(index(split(C1327, "" ""),3))), index(split(C1327, "" ""),3),index(split(C1327, "" ""),2)))"),2018.0)</f>
        <v>2018</v>
      </c>
      <c r="U1327" s="38" t="b">
        <f t="shared" si="198"/>
        <v>0</v>
      </c>
      <c r="V1327" s="38" t="s">
        <v>33</v>
      </c>
      <c r="W1327" s="40"/>
      <c r="X1327" s="40"/>
      <c r="Y1327" s="40"/>
      <c r="Z1327" s="38"/>
      <c r="AA1327" s="38"/>
      <c r="AB1327" s="38"/>
      <c r="AC1327" s="38"/>
      <c r="AD1327" s="38"/>
      <c r="AE1327" s="38"/>
      <c r="AF1327" s="38"/>
      <c r="AG1327" s="38"/>
      <c r="AH1327" s="38"/>
      <c r="AI1327" s="38"/>
      <c r="AJ1327" s="38"/>
      <c r="AK1327" s="38"/>
      <c r="AL1327" s="38"/>
      <c r="AM1327" s="38"/>
      <c r="AN1327" s="38"/>
      <c r="AO1327" s="38"/>
      <c r="AP1327" s="38"/>
      <c r="AQ1327" s="38"/>
      <c r="AR1327" s="38"/>
      <c r="AS1327" s="38"/>
      <c r="AT1327" s="38"/>
      <c r="AU1327" s="38"/>
      <c r="AV1327" s="38"/>
      <c r="AW1327" s="38"/>
      <c r="AX1327" s="38"/>
      <c r="AY1327" s="38"/>
      <c r="AZ1327" s="38"/>
      <c r="BA1327" s="38"/>
      <c r="BB1327" s="38"/>
      <c r="BC1327" s="38"/>
      <c r="BD1327" s="38"/>
      <c r="BE1327" s="38"/>
      <c r="BF1327" s="38"/>
      <c r="BG1327" s="38"/>
      <c r="BH1327" s="38"/>
      <c r="BI1327" s="38"/>
      <c r="BJ1327" s="38"/>
      <c r="BK1327" s="38"/>
      <c r="BL1327" s="38"/>
      <c r="BM1327" s="38"/>
      <c r="BN1327" s="38"/>
      <c r="BO1327" s="38"/>
      <c r="BP1327" s="38"/>
      <c r="BQ1327" s="38"/>
    </row>
    <row r="1328">
      <c r="A1328" s="58" t="s">
        <v>3963</v>
      </c>
      <c r="B1328" s="59">
        <v>43417.0</v>
      </c>
      <c r="C1328" s="59">
        <v>43258.0</v>
      </c>
      <c r="D1328" s="60" t="s">
        <v>3952</v>
      </c>
      <c r="E1328" s="58" t="s">
        <v>41</v>
      </c>
      <c r="F1328" s="58">
        <v>1.0</v>
      </c>
      <c r="G1328" s="58" t="s">
        <v>32</v>
      </c>
      <c r="H1328" s="33">
        <f t="shared" ref="H1328:H1334" si="199">if(G1328="Unknown",1,G1328)</f>
        <v>1</v>
      </c>
      <c r="I1328" s="58" t="s">
        <v>33</v>
      </c>
      <c r="J1328" s="58" t="s">
        <v>55</v>
      </c>
      <c r="K1328" s="58">
        <v>2.0</v>
      </c>
      <c r="L1328" s="58" t="s">
        <v>119</v>
      </c>
      <c r="M1328" s="61" t="s">
        <v>3964</v>
      </c>
      <c r="N1328" s="61" t="s">
        <v>3965</v>
      </c>
      <c r="O1328" s="58"/>
      <c r="P1328" s="58"/>
      <c r="Q1328" s="58"/>
      <c r="R1328" s="62"/>
      <c r="S1328" s="37" t="str">
        <f>IFERROR(__xludf.DUMMYFUNCTION("if(not(iserror(index(split(C1328, "" ""),2))), index(split(C1328, "" ""),1),"""")"),"June")</f>
        <v>June</v>
      </c>
      <c r="T1328" s="38">
        <f>IFERROR(__xludf.DUMMYFUNCTION("if(S1328="""",C1328,if(not(iserror(index(split(C1328, "" ""),3))), index(split(C1328, "" ""),3),index(split(C1328, "" ""),2)))"),2018.0)</f>
        <v>2018</v>
      </c>
      <c r="U1328" s="38" t="b">
        <f t="shared" si="198"/>
        <v>0</v>
      </c>
      <c r="V1328" s="38"/>
      <c r="W1328" s="40"/>
      <c r="X1328" s="40"/>
      <c r="Y1328" s="40"/>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row>
    <row r="1329">
      <c r="A1329" s="58" t="s">
        <v>3966</v>
      </c>
      <c r="B1329" s="59">
        <v>43260.0</v>
      </c>
      <c r="C1329" s="59">
        <v>43258.0</v>
      </c>
      <c r="D1329" s="60" t="s">
        <v>3952</v>
      </c>
      <c r="E1329" s="58" t="s">
        <v>31</v>
      </c>
      <c r="F1329" s="58">
        <v>1.0</v>
      </c>
      <c r="G1329" s="58" t="s">
        <v>32</v>
      </c>
      <c r="H1329" s="33">
        <f t="shared" si="199"/>
        <v>1</v>
      </c>
      <c r="I1329" s="58" t="s">
        <v>33</v>
      </c>
      <c r="J1329" s="58" t="s">
        <v>124</v>
      </c>
      <c r="K1329" s="58">
        <v>1.0</v>
      </c>
      <c r="L1329" s="58" t="s">
        <v>52</v>
      </c>
      <c r="M1329" s="61" t="s">
        <v>3967</v>
      </c>
      <c r="N1329" s="77"/>
      <c r="O1329" s="62"/>
      <c r="P1329" s="62"/>
      <c r="Q1329" s="62"/>
      <c r="R1329" s="62"/>
      <c r="S1329" s="37" t="str">
        <f>IFERROR(__xludf.DUMMYFUNCTION("if(not(iserror(index(split(C1329, "" ""),2))), index(split(C1329, "" ""),1),"""")"),"June")</f>
        <v>June</v>
      </c>
      <c r="T1329" s="38">
        <f>IFERROR(__xludf.DUMMYFUNCTION("if(S1329="""",C1329,if(not(iserror(index(split(C1329, "" ""),3))), index(split(C1329, "" ""),3),index(split(C1329, "" ""),2)))"),2018.0)</f>
        <v>2018</v>
      </c>
      <c r="U1329" s="38" t="b">
        <f t="shared" si="198"/>
        <v>0</v>
      </c>
      <c r="V1329" s="38"/>
      <c r="W1329" s="40"/>
      <c r="X1329" s="40"/>
      <c r="Y1329" s="40"/>
      <c r="Z1329" s="38"/>
      <c r="AA1329" s="38"/>
      <c r="AB1329" s="38"/>
      <c r="AC1329" s="38"/>
      <c r="AD1329" s="38"/>
      <c r="AE1329" s="38"/>
      <c r="AF1329" s="38"/>
      <c r="AG1329" s="38"/>
      <c r="AH1329" s="38"/>
      <c r="AI1329" s="38"/>
      <c r="AJ1329" s="38"/>
      <c r="AK1329" s="38"/>
      <c r="AL1329" s="38"/>
      <c r="AM1329" s="38"/>
      <c r="AN1329" s="38"/>
      <c r="AO1329" s="38"/>
      <c r="AP1329" s="38"/>
      <c r="AQ1329" s="38"/>
      <c r="AR1329" s="38"/>
      <c r="AS1329" s="38"/>
      <c r="AT1329" s="38"/>
      <c r="AU1329" s="38"/>
      <c r="AV1329" s="38"/>
      <c r="AW1329" s="38"/>
      <c r="AX1329" s="38"/>
      <c r="AY1329" s="38"/>
      <c r="AZ1329" s="38"/>
      <c r="BA1329" s="38"/>
      <c r="BB1329" s="38"/>
      <c r="BC1329" s="38"/>
      <c r="BD1329" s="38"/>
      <c r="BE1329" s="38"/>
      <c r="BF1329" s="38"/>
      <c r="BG1329" s="38"/>
      <c r="BH1329" s="38"/>
      <c r="BI1329" s="38"/>
      <c r="BJ1329" s="38"/>
      <c r="BK1329" s="38"/>
      <c r="BL1329" s="38"/>
      <c r="BM1329" s="38"/>
      <c r="BN1329" s="38"/>
      <c r="BO1329" s="38"/>
      <c r="BP1329" s="38"/>
      <c r="BQ1329" s="38"/>
    </row>
    <row r="1330">
      <c r="A1330" s="58" t="s">
        <v>3968</v>
      </c>
      <c r="B1330" s="59">
        <v>43260.0</v>
      </c>
      <c r="C1330" s="59">
        <v>43258.0</v>
      </c>
      <c r="D1330" s="60" t="s">
        <v>3952</v>
      </c>
      <c r="E1330" s="58" t="s">
        <v>31</v>
      </c>
      <c r="F1330" s="58">
        <v>1.0</v>
      </c>
      <c r="G1330" s="58" t="s">
        <v>32</v>
      </c>
      <c r="H1330" s="33">
        <f t="shared" si="199"/>
        <v>1</v>
      </c>
      <c r="I1330" s="58" t="s">
        <v>33</v>
      </c>
      <c r="J1330" s="58" t="s">
        <v>460</v>
      </c>
      <c r="K1330" s="58">
        <v>1.0</v>
      </c>
      <c r="L1330" s="58" t="s">
        <v>35</v>
      </c>
      <c r="M1330" s="61" t="s">
        <v>3969</v>
      </c>
      <c r="N1330" s="77"/>
      <c r="O1330" s="62"/>
      <c r="P1330" s="62"/>
      <c r="Q1330" s="62"/>
      <c r="R1330" s="62"/>
      <c r="S1330" s="37" t="str">
        <f>IFERROR(__xludf.DUMMYFUNCTION("if(not(iserror(index(split(C1330, "" ""),2))), index(split(C1330, "" ""),1),"""")"),"June")</f>
        <v>June</v>
      </c>
      <c r="T1330" s="38">
        <f>IFERROR(__xludf.DUMMYFUNCTION("if(S1330="""",C1330,if(not(iserror(index(split(C1330, "" ""),3))), index(split(C1330, "" ""),3),index(split(C1330, "" ""),2)))"),2018.0)</f>
        <v>2018</v>
      </c>
      <c r="U1330" s="38" t="b">
        <f t="shared" si="198"/>
        <v>0</v>
      </c>
      <c r="V1330" s="38"/>
      <c r="W1330" s="40"/>
      <c r="X1330" s="40"/>
      <c r="Y1330" s="40"/>
      <c r="Z1330" s="38"/>
      <c r="AA1330" s="38"/>
      <c r="AB1330" s="38"/>
      <c r="AC1330" s="38"/>
      <c r="AD1330" s="38"/>
      <c r="AE1330" s="38"/>
      <c r="AF1330" s="38"/>
      <c r="AG1330" s="38"/>
      <c r="AH1330" s="38"/>
      <c r="AI1330" s="38"/>
      <c r="AJ1330" s="38"/>
      <c r="AK1330" s="38"/>
      <c r="AL1330" s="38"/>
      <c r="AM1330" s="38"/>
      <c r="AN1330" s="38"/>
      <c r="AO1330" s="38"/>
      <c r="AP1330" s="38"/>
      <c r="AQ1330" s="38"/>
      <c r="AR1330" s="38"/>
      <c r="AS1330" s="38"/>
      <c r="AT1330" s="38"/>
      <c r="AU1330" s="38"/>
      <c r="AV1330" s="38"/>
      <c r="AW1330" s="38"/>
      <c r="AX1330" s="38"/>
      <c r="AY1330" s="38"/>
      <c r="AZ1330" s="38"/>
      <c r="BA1330" s="38"/>
      <c r="BB1330" s="38"/>
      <c r="BC1330" s="38"/>
      <c r="BD1330" s="38"/>
      <c r="BE1330" s="38"/>
      <c r="BF1330" s="38"/>
      <c r="BG1330" s="38"/>
      <c r="BH1330" s="38"/>
      <c r="BI1330" s="38"/>
      <c r="BJ1330" s="38"/>
      <c r="BK1330" s="38"/>
      <c r="BL1330" s="38"/>
      <c r="BM1330" s="38"/>
      <c r="BN1330" s="38"/>
      <c r="BO1330" s="38"/>
      <c r="BP1330" s="38"/>
      <c r="BQ1330" s="38"/>
    </row>
    <row r="1331">
      <c r="A1331" s="58" t="s">
        <v>239</v>
      </c>
      <c r="B1331" s="59">
        <v>43259.0</v>
      </c>
      <c r="C1331" s="59">
        <v>43259.0</v>
      </c>
      <c r="D1331" s="60" t="s">
        <v>3058</v>
      </c>
      <c r="E1331" s="58" t="s">
        <v>41</v>
      </c>
      <c r="F1331" s="58">
        <v>2.0</v>
      </c>
      <c r="G1331" s="58">
        <v>2.0</v>
      </c>
      <c r="H1331" s="33">
        <f t="shared" si="199"/>
        <v>2</v>
      </c>
      <c r="I1331" s="58" t="s">
        <v>33</v>
      </c>
      <c r="J1331" s="58" t="s">
        <v>241</v>
      </c>
      <c r="K1331" s="58">
        <v>1.0</v>
      </c>
      <c r="L1331" s="58" t="s">
        <v>194</v>
      </c>
      <c r="M1331" s="61" t="s">
        <v>3949</v>
      </c>
      <c r="N1331" s="77"/>
      <c r="O1331" s="62"/>
      <c r="P1331" s="62"/>
      <c r="Q1331" s="62"/>
      <c r="R1331" s="62"/>
      <c r="S1331" s="37" t="str">
        <f>IFERROR(__xludf.DUMMYFUNCTION("if(not(iserror(index(split(C1331, "" ""),2))), index(split(C1331, "" ""),1),"""")"),"June")</f>
        <v>June</v>
      </c>
      <c r="T1331" s="38">
        <f>IFERROR(__xludf.DUMMYFUNCTION("if(S1331="""",C1331,if(not(iserror(index(split(C1331, "" ""),3))), index(split(C1331, "" ""),3),index(split(C1331, "" ""),2)))"),2018.0)</f>
        <v>2018</v>
      </c>
      <c r="U1331" s="38" t="b">
        <f t="shared" si="198"/>
        <v>1</v>
      </c>
      <c r="V1331" s="38"/>
      <c r="W1331" s="40"/>
      <c r="X1331" s="40"/>
      <c r="Y1331" s="40"/>
      <c r="Z1331" s="38"/>
      <c r="AA1331" s="38"/>
      <c r="AB1331" s="38"/>
      <c r="AC1331" s="38"/>
      <c r="AD1331" s="38"/>
      <c r="AE1331" s="38"/>
      <c r="AF1331" s="38"/>
      <c r="AG1331" s="38"/>
      <c r="AH1331" s="38"/>
      <c r="AI1331" s="38"/>
      <c r="AJ1331" s="38"/>
      <c r="AK1331" s="38"/>
      <c r="AL1331" s="38"/>
      <c r="AM1331" s="38"/>
      <c r="AN1331" s="38"/>
      <c r="AO1331" s="38"/>
      <c r="AP1331" s="38"/>
      <c r="AQ1331" s="38"/>
      <c r="AR1331" s="38"/>
      <c r="AS1331" s="38"/>
      <c r="AT1331" s="38"/>
      <c r="AU1331" s="38"/>
      <c r="AV1331" s="38"/>
      <c r="AW1331" s="38"/>
      <c r="AX1331" s="38"/>
      <c r="AY1331" s="38"/>
      <c r="AZ1331" s="38"/>
      <c r="BA1331" s="38"/>
      <c r="BB1331" s="38"/>
      <c r="BC1331" s="38"/>
      <c r="BD1331" s="38"/>
      <c r="BE1331" s="38"/>
      <c r="BF1331" s="38"/>
      <c r="BG1331" s="38"/>
      <c r="BH1331" s="38"/>
      <c r="BI1331" s="38"/>
      <c r="BJ1331" s="38"/>
      <c r="BK1331" s="38"/>
      <c r="BL1331" s="38"/>
      <c r="BM1331" s="38"/>
      <c r="BN1331" s="38"/>
      <c r="BO1331" s="38"/>
      <c r="BP1331" s="38"/>
      <c r="BQ1331" s="38"/>
    </row>
    <row r="1332">
      <c r="A1332" s="58" t="s">
        <v>239</v>
      </c>
      <c r="B1332" s="59">
        <v>43259.0</v>
      </c>
      <c r="C1332" s="59">
        <v>43259.0</v>
      </c>
      <c r="D1332" s="60" t="s">
        <v>3058</v>
      </c>
      <c r="E1332" s="58" t="s">
        <v>41</v>
      </c>
      <c r="F1332" s="58">
        <v>1.0</v>
      </c>
      <c r="G1332" s="58">
        <v>6.0</v>
      </c>
      <c r="H1332" s="33">
        <f t="shared" si="199"/>
        <v>6</v>
      </c>
      <c r="I1332" s="58" t="s">
        <v>33</v>
      </c>
      <c r="J1332" s="58" t="s">
        <v>147</v>
      </c>
      <c r="K1332" s="58">
        <v>1.0</v>
      </c>
      <c r="L1332" s="58" t="s">
        <v>194</v>
      </c>
      <c r="M1332" s="61" t="s">
        <v>3970</v>
      </c>
      <c r="N1332" s="77"/>
      <c r="O1332" s="62"/>
      <c r="P1332" s="62"/>
      <c r="Q1332" s="62"/>
      <c r="R1332" s="62"/>
      <c r="S1332" s="37" t="str">
        <f>IFERROR(__xludf.DUMMYFUNCTION("if(not(iserror(index(split(C1332, "" ""),2))), index(split(C1332, "" ""),1),"""")"),"June")</f>
        <v>June</v>
      </c>
      <c r="T1332" s="38">
        <f>IFERROR(__xludf.DUMMYFUNCTION("if(S1332="""",C1332,if(not(iserror(index(split(C1332, "" ""),3))), index(split(C1332, "" ""),3),index(split(C1332, "" ""),2)))"),2018.0)</f>
        <v>2018</v>
      </c>
      <c r="U1332" s="38" t="b">
        <f t="shared" si="198"/>
        <v>1</v>
      </c>
      <c r="V1332" s="38"/>
      <c r="W1332" s="40"/>
      <c r="X1332" s="40"/>
      <c r="Y1332" s="40"/>
      <c r="Z1332" s="38"/>
      <c r="AA1332" s="38"/>
      <c r="AB1332" s="38"/>
      <c r="AC1332" s="38"/>
      <c r="AD1332" s="38"/>
      <c r="AE1332" s="38"/>
      <c r="AF1332" s="38"/>
      <c r="AG1332" s="38"/>
      <c r="AH1332" s="38"/>
      <c r="AI1332" s="38"/>
      <c r="AJ1332" s="38"/>
      <c r="AK1332" s="38"/>
      <c r="AL1332" s="38"/>
      <c r="AM1332" s="38"/>
      <c r="AN1332" s="38"/>
      <c r="AO1332" s="38"/>
      <c r="AP1332" s="38"/>
      <c r="AQ1332" s="38"/>
      <c r="AR1332" s="38"/>
      <c r="AS1332" s="38"/>
      <c r="AT1332" s="38"/>
      <c r="AU1332" s="38"/>
      <c r="AV1332" s="38"/>
      <c r="AW1332" s="38"/>
      <c r="AX1332" s="38"/>
      <c r="AY1332" s="38"/>
      <c r="AZ1332" s="38"/>
      <c r="BA1332" s="38"/>
      <c r="BB1332" s="38"/>
      <c r="BC1332" s="38"/>
      <c r="BD1332" s="38"/>
      <c r="BE1332" s="38"/>
      <c r="BF1332" s="38"/>
      <c r="BG1332" s="38"/>
      <c r="BH1332" s="38"/>
      <c r="BI1332" s="38"/>
      <c r="BJ1332" s="38"/>
      <c r="BK1332" s="38"/>
      <c r="BL1332" s="38"/>
      <c r="BM1332" s="38"/>
      <c r="BN1332" s="38"/>
      <c r="BO1332" s="38"/>
      <c r="BP1332" s="38"/>
      <c r="BQ1332" s="38"/>
    </row>
    <row r="1333">
      <c r="A1333" s="58" t="s">
        <v>3971</v>
      </c>
      <c r="B1333" s="59">
        <v>43259.0</v>
      </c>
      <c r="C1333" s="59">
        <v>43259.0</v>
      </c>
      <c r="D1333" s="60" t="s">
        <v>3058</v>
      </c>
      <c r="E1333" s="58" t="s">
        <v>41</v>
      </c>
      <c r="F1333" s="58">
        <v>1.0</v>
      </c>
      <c r="G1333" s="58" t="s">
        <v>32</v>
      </c>
      <c r="H1333" s="33">
        <f t="shared" si="199"/>
        <v>1</v>
      </c>
      <c r="I1333" s="58" t="s">
        <v>33</v>
      </c>
      <c r="J1333" s="58" t="s">
        <v>241</v>
      </c>
      <c r="K1333" s="58">
        <v>1.0</v>
      </c>
      <c r="L1333" s="58" t="s">
        <v>35</v>
      </c>
      <c r="M1333" s="61" t="s">
        <v>3972</v>
      </c>
      <c r="N1333" s="77"/>
      <c r="O1333" s="62"/>
      <c r="P1333" s="62"/>
      <c r="Q1333" s="62"/>
      <c r="R1333" s="62"/>
      <c r="S1333" s="37" t="str">
        <f>IFERROR(__xludf.DUMMYFUNCTION("if(not(iserror(index(split(C1333, "" ""),2))), index(split(C1333, "" ""),1),"""")"),"June")</f>
        <v>June</v>
      </c>
      <c r="T1333" s="38">
        <f>IFERROR(__xludf.DUMMYFUNCTION("if(S1333="""",C1333,if(not(iserror(index(split(C1333, "" ""),3))), index(split(C1333, "" ""),3),index(split(C1333, "" ""),2)))"),2018.0)</f>
        <v>2018</v>
      </c>
      <c r="U1333" s="38" t="b">
        <f t="shared" si="198"/>
        <v>0</v>
      </c>
      <c r="V1333" s="38"/>
      <c r="W1333" s="40"/>
      <c r="X1333" s="40"/>
      <c r="Y1333" s="40"/>
      <c r="Z1333" s="38"/>
      <c r="AA1333" s="38"/>
      <c r="AB1333" s="38"/>
      <c r="AC1333" s="38"/>
      <c r="AD1333" s="38"/>
      <c r="AE1333" s="38"/>
      <c r="AF1333" s="38"/>
      <c r="AG1333" s="38"/>
      <c r="AH1333" s="38"/>
      <c r="AI1333" s="38"/>
      <c r="AJ1333" s="38"/>
      <c r="AK1333" s="38"/>
      <c r="AL1333" s="38"/>
      <c r="AM1333" s="38"/>
      <c r="AN1333" s="38"/>
      <c r="AO1333" s="38"/>
      <c r="AP1333" s="38"/>
      <c r="AQ1333" s="38"/>
      <c r="AR1333" s="38"/>
      <c r="AS1333" s="38"/>
      <c r="AT1333" s="38"/>
      <c r="AU1333" s="38"/>
      <c r="AV1333" s="38"/>
      <c r="AW1333" s="38"/>
      <c r="AX1333" s="38"/>
      <c r="AY1333" s="38"/>
      <c r="AZ1333" s="38"/>
      <c r="BA1333" s="38"/>
      <c r="BB1333" s="38"/>
      <c r="BC1333" s="38"/>
      <c r="BD1333" s="38"/>
      <c r="BE1333" s="38"/>
      <c r="BF1333" s="38"/>
      <c r="BG1333" s="38"/>
      <c r="BH1333" s="38"/>
      <c r="BI1333" s="38"/>
      <c r="BJ1333" s="38"/>
      <c r="BK1333" s="38"/>
      <c r="BL1333" s="38"/>
      <c r="BM1333" s="38"/>
      <c r="BN1333" s="38"/>
      <c r="BO1333" s="38"/>
      <c r="BP1333" s="38"/>
      <c r="BQ1333" s="38"/>
    </row>
    <row r="1334">
      <c r="A1334" s="58" t="s">
        <v>40</v>
      </c>
      <c r="B1334" s="59">
        <v>43263.0</v>
      </c>
      <c r="C1334" s="59">
        <v>43259.0</v>
      </c>
      <c r="D1334" s="60" t="s">
        <v>3973</v>
      </c>
      <c r="E1334" s="58" t="s">
        <v>41</v>
      </c>
      <c r="F1334" s="58">
        <v>7.0</v>
      </c>
      <c r="G1334" s="58" t="s">
        <v>32</v>
      </c>
      <c r="H1334" s="33">
        <f t="shared" si="199"/>
        <v>1</v>
      </c>
      <c r="I1334" s="58" t="s">
        <v>33</v>
      </c>
      <c r="J1334" s="58" t="s">
        <v>288</v>
      </c>
      <c r="K1334" s="58">
        <v>2.0</v>
      </c>
      <c r="L1334" s="58" t="s">
        <v>52</v>
      </c>
      <c r="M1334" s="61" t="s">
        <v>3974</v>
      </c>
      <c r="N1334" s="77"/>
      <c r="O1334" s="62"/>
      <c r="P1334" s="62"/>
      <c r="Q1334" s="62"/>
      <c r="R1334" s="62"/>
      <c r="S1334" s="37" t="str">
        <f>IFERROR(__xludf.DUMMYFUNCTION("if(not(iserror(index(split(C1334, "" ""),2))), index(split(C1334, "" ""),1),"""")"),"June")</f>
        <v>June</v>
      </c>
      <c r="T1334" s="38">
        <f>IFERROR(__xludf.DUMMYFUNCTION("if(S1334="""",C1334,if(not(iserror(index(split(C1334, "" ""),3))), index(split(C1334, "" ""),3),index(split(C1334, "" ""),2)))"),2018.0)</f>
        <v>2018</v>
      </c>
      <c r="U1334" s="38" t="b">
        <f t="shared" si="198"/>
        <v>1</v>
      </c>
      <c r="V1334" s="38"/>
      <c r="W1334" s="40"/>
      <c r="X1334" s="40"/>
      <c r="Y1334" s="40"/>
      <c r="Z1334" s="38"/>
      <c r="AA1334" s="38"/>
      <c r="AB1334" s="38"/>
      <c r="AC1334" s="38"/>
      <c r="AD1334" s="38"/>
      <c r="AE1334" s="38"/>
      <c r="AF1334" s="38"/>
      <c r="AG1334" s="38"/>
      <c r="AH1334" s="38"/>
      <c r="AI1334" s="38"/>
      <c r="AJ1334" s="38"/>
      <c r="AK1334" s="38"/>
      <c r="AL1334" s="38"/>
      <c r="AM1334" s="38"/>
      <c r="AN1334" s="38"/>
      <c r="AO1334" s="38"/>
      <c r="AP1334" s="38"/>
      <c r="AQ1334" s="38"/>
      <c r="AR1334" s="38"/>
      <c r="AS1334" s="38"/>
      <c r="AT1334" s="38"/>
      <c r="AU1334" s="38"/>
      <c r="AV1334" s="38"/>
      <c r="AW1334" s="38"/>
      <c r="AX1334" s="38"/>
      <c r="AY1334" s="38"/>
      <c r="AZ1334" s="38"/>
      <c r="BA1334" s="38"/>
      <c r="BB1334" s="38"/>
      <c r="BC1334" s="38"/>
      <c r="BD1334" s="38"/>
      <c r="BE1334" s="38"/>
      <c r="BF1334" s="38"/>
      <c r="BG1334" s="38"/>
      <c r="BH1334" s="38"/>
      <c r="BI1334" s="38"/>
      <c r="BJ1334" s="38"/>
      <c r="BK1334" s="38"/>
      <c r="BL1334" s="38"/>
      <c r="BM1334" s="38"/>
      <c r="BN1334" s="38"/>
      <c r="BO1334" s="38"/>
      <c r="BP1334" s="38"/>
      <c r="BQ1334" s="38"/>
    </row>
    <row r="1335">
      <c r="A1335" s="37" t="s">
        <v>3975</v>
      </c>
      <c r="B1335" s="59">
        <v>43262.0</v>
      </c>
      <c r="C1335" s="59">
        <v>43259.0</v>
      </c>
      <c r="D1335" s="60" t="s">
        <v>3058</v>
      </c>
      <c r="E1335" s="58" t="s">
        <v>41</v>
      </c>
      <c r="F1335" s="58">
        <v>1.0</v>
      </c>
      <c r="G1335" s="58" t="s">
        <v>32</v>
      </c>
      <c r="H1335" s="43">
        <v>3.0</v>
      </c>
      <c r="I1335" s="58" t="s">
        <v>33</v>
      </c>
      <c r="J1335" s="58" t="s">
        <v>460</v>
      </c>
      <c r="K1335" s="58" t="s">
        <v>32</v>
      </c>
      <c r="L1335" s="58" t="s">
        <v>52</v>
      </c>
      <c r="M1335" s="61" t="s">
        <v>3059</v>
      </c>
      <c r="N1335" s="61" t="s">
        <v>3060</v>
      </c>
      <c r="O1335" s="62"/>
      <c r="P1335" s="58"/>
      <c r="Q1335" s="58"/>
      <c r="R1335" s="62"/>
      <c r="S1335" s="37" t="str">
        <f>IFERROR(__xludf.DUMMYFUNCTION("if(not(iserror(index(split(C1335, "" ""),2))), index(split(C1335, "" ""),1),"""")"),"June")</f>
        <v>June</v>
      </c>
      <c r="T1335" s="38">
        <f>IFERROR(__xludf.DUMMYFUNCTION("if(S1335="""",C1335,if(not(iserror(index(split(C1335, "" ""),3))), index(split(C1335, "" ""),3),index(split(C1335, "" ""),2)))"),2018.0)</f>
        <v>2018</v>
      </c>
      <c r="U1335" s="38" t="b">
        <f t="shared" si="198"/>
        <v>0</v>
      </c>
      <c r="V1335" s="38" t="s">
        <v>33</v>
      </c>
      <c r="W1335" s="40"/>
      <c r="X1335" s="40"/>
      <c r="Y1335" s="40"/>
      <c r="Z1335" s="38"/>
      <c r="AA1335" s="38"/>
      <c r="AB1335" s="38"/>
      <c r="AC1335" s="38"/>
      <c r="AD1335" s="38"/>
      <c r="AE1335" s="38"/>
      <c r="AF1335" s="38"/>
      <c r="AG1335" s="38"/>
      <c r="AH1335" s="38"/>
      <c r="AI1335" s="38"/>
      <c r="AJ1335" s="38"/>
      <c r="AK1335" s="38"/>
      <c r="AL1335" s="38"/>
      <c r="AM1335" s="38"/>
      <c r="AN1335" s="38"/>
      <c r="AO1335" s="38"/>
      <c r="AP1335" s="38"/>
      <c r="AQ1335" s="38"/>
      <c r="AR1335" s="38"/>
      <c r="AS1335" s="38"/>
      <c r="AT1335" s="38"/>
      <c r="AU1335" s="38"/>
      <c r="AV1335" s="38"/>
      <c r="AW1335" s="38"/>
      <c r="AX1335" s="38"/>
      <c r="AY1335" s="38"/>
      <c r="AZ1335" s="38"/>
      <c r="BA1335" s="38"/>
      <c r="BB1335" s="38"/>
      <c r="BC1335" s="38"/>
      <c r="BD1335" s="38"/>
      <c r="BE1335" s="38"/>
      <c r="BF1335" s="38"/>
      <c r="BG1335" s="38"/>
      <c r="BH1335" s="38"/>
      <c r="BI1335" s="38"/>
      <c r="BJ1335" s="38"/>
      <c r="BK1335" s="38"/>
      <c r="BL1335" s="38"/>
      <c r="BM1335" s="38"/>
      <c r="BN1335" s="38"/>
      <c r="BO1335" s="38"/>
      <c r="BP1335" s="38"/>
      <c r="BQ1335" s="38"/>
    </row>
    <row r="1336">
      <c r="A1336" s="87" t="s">
        <v>3976</v>
      </c>
      <c r="B1336" s="59">
        <v>43410.0</v>
      </c>
      <c r="C1336" s="59">
        <v>43259.0</v>
      </c>
      <c r="D1336" s="60" t="s">
        <v>3058</v>
      </c>
      <c r="E1336" s="58" t="s">
        <v>41</v>
      </c>
      <c r="F1336" s="58">
        <v>1.0</v>
      </c>
      <c r="G1336" s="58">
        <v>10.0</v>
      </c>
      <c r="H1336" s="33">
        <f>if(G1336="Unknown",1,G1336)</f>
        <v>10</v>
      </c>
      <c r="I1336" s="58" t="s">
        <v>33</v>
      </c>
      <c r="J1336" s="58" t="s">
        <v>162</v>
      </c>
      <c r="K1336" s="58">
        <v>2.0</v>
      </c>
      <c r="L1336" s="58" t="s">
        <v>194</v>
      </c>
      <c r="M1336" s="61" t="s">
        <v>3977</v>
      </c>
      <c r="N1336" s="80"/>
      <c r="O1336" s="88" t="str">
        <f>hyperlink("https://bad-boys.us/?q=D-KS/6:18-cr-10072", "D-KS 6:18-cr-10072")</f>
        <v>D-KS 6:18-cr-10072</v>
      </c>
      <c r="P1336" s="88" t="s">
        <v>3978</v>
      </c>
      <c r="Q1336" s="58">
        <v>1.0</v>
      </c>
      <c r="R1336" s="62"/>
      <c r="S1336" s="37" t="str">
        <f>IFERROR(__xludf.DUMMYFUNCTION("if(not(iserror(index(split(C1336, "" ""),2))), index(split(C1336, "" ""),1),"""")"),"June")</f>
        <v>June</v>
      </c>
      <c r="T1336" s="38">
        <f>IFERROR(__xludf.DUMMYFUNCTION("if(S1336="""",C1336,if(not(iserror(index(split(C1336, "" ""),3))), index(split(C1336, "" ""),3),index(split(C1336, "" ""),2)))"),2018.0)</f>
        <v>2018</v>
      </c>
      <c r="U1336" s="38" t="b">
        <f t="shared" si="198"/>
        <v>0</v>
      </c>
      <c r="V1336" s="38"/>
      <c r="W1336" s="40"/>
      <c r="X1336" s="40"/>
      <c r="Y1336" s="40"/>
      <c r="Z1336" s="38"/>
      <c r="AA1336" s="38"/>
      <c r="AB1336" s="38"/>
      <c r="AC1336" s="38"/>
      <c r="AD1336" s="38"/>
      <c r="AE1336" s="38"/>
      <c r="AF1336" s="38"/>
      <c r="AG1336" s="38"/>
      <c r="AH1336" s="38"/>
      <c r="AI1336" s="38"/>
      <c r="AJ1336" s="38"/>
      <c r="AK1336" s="38"/>
      <c r="AL1336" s="38"/>
      <c r="AM1336" s="38"/>
      <c r="AN1336" s="38"/>
      <c r="AO1336" s="38"/>
      <c r="AP1336" s="38"/>
      <c r="AQ1336" s="38"/>
      <c r="AR1336" s="38"/>
      <c r="AS1336" s="38"/>
      <c r="AT1336" s="38"/>
      <c r="AU1336" s="38"/>
      <c r="AV1336" s="38"/>
      <c r="AW1336" s="38"/>
      <c r="AX1336" s="38"/>
      <c r="AY1336" s="38"/>
      <c r="AZ1336" s="38"/>
      <c r="BA1336" s="38"/>
      <c r="BB1336" s="38"/>
      <c r="BC1336" s="38"/>
      <c r="BD1336" s="38"/>
      <c r="BE1336" s="38"/>
      <c r="BF1336" s="38"/>
      <c r="BG1336" s="38"/>
      <c r="BH1336" s="38"/>
      <c r="BI1336" s="38"/>
      <c r="BJ1336" s="38"/>
      <c r="BK1336" s="38"/>
      <c r="BL1336" s="38"/>
      <c r="BM1336" s="38"/>
      <c r="BN1336" s="38"/>
      <c r="BO1336" s="38"/>
      <c r="BP1336" s="38"/>
      <c r="BQ1336" s="38"/>
    </row>
    <row r="1337">
      <c r="A1337" s="87" t="s">
        <v>3979</v>
      </c>
      <c r="B1337" s="59"/>
      <c r="C1337" s="59">
        <v>43259.0</v>
      </c>
      <c r="D1337" s="60"/>
      <c r="E1337" s="58" t="s">
        <v>31</v>
      </c>
      <c r="F1337" s="58">
        <v>1.0</v>
      </c>
      <c r="G1337" s="58" t="s">
        <v>32</v>
      </c>
      <c r="H1337" s="43">
        <v>1.0</v>
      </c>
      <c r="I1337" s="58" t="s">
        <v>33</v>
      </c>
      <c r="J1337" s="58" t="s">
        <v>162</v>
      </c>
      <c r="K1337" s="58"/>
      <c r="L1337" s="58" t="s">
        <v>52</v>
      </c>
      <c r="M1337" s="61" t="s">
        <v>3980</v>
      </c>
      <c r="N1337" s="61" t="s">
        <v>3981</v>
      </c>
      <c r="O1337" s="88" t="str">
        <f t="shared" ref="O1337:O1341" si="200">hyperlink("https://bad-boys.us/?q=D-KS/5:18-cr-40053", "D-KS 5:18-cr-40053")</f>
        <v>D-KS 5:18-cr-40053</v>
      </c>
      <c r="P1337" s="88" t="s">
        <v>3982</v>
      </c>
      <c r="Q1337" s="58">
        <v>1.0</v>
      </c>
      <c r="R1337" s="62"/>
      <c r="S1337" s="37" t="str">
        <f>IFERROR(__xludf.DUMMYFUNCTION("if(not(iserror(index(split(C1337, "" ""),2))), index(split(C1337, "" ""),1),"""")"),"June")</f>
        <v>June</v>
      </c>
      <c r="T1337" s="38">
        <f>IFERROR(__xludf.DUMMYFUNCTION("if(S1337="""",C1337,if(not(iserror(index(split(C1337, "" ""),3))), index(split(C1337, "" ""),3),index(split(C1337, "" ""),2)))"),2018.0)</f>
        <v>2018</v>
      </c>
      <c r="U1337" s="38" t="b">
        <f t="shared" si="198"/>
        <v>0</v>
      </c>
      <c r="V1337" s="38" t="s">
        <v>33</v>
      </c>
      <c r="W1337" s="39" t="s">
        <v>3983</v>
      </c>
      <c r="X1337" s="39" t="s">
        <v>3984</v>
      </c>
      <c r="Y1337" s="40"/>
      <c r="Z1337" s="38"/>
      <c r="AA1337" s="38"/>
      <c r="AB1337" s="38"/>
      <c r="AC1337" s="38"/>
      <c r="AD1337" s="38"/>
      <c r="AE1337" s="38"/>
      <c r="AF1337" s="38"/>
      <c r="AG1337" s="38"/>
      <c r="AH1337" s="38"/>
      <c r="AI1337" s="38"/>
      <c r="AJ1337" s="38"/>
      <c r="AK1337" s="38"/>
      <c r="AL1337" s="38"/>
      <c r="AM1337" s="38"/>
      <c r="AN1337" s="38"/>
      <c r="AO1337" s="38"/>
      <c r="AP1337" s="38"/>
      <c r="AQ1337" s="38"/>
      <c r="AR1337" s="38"/>
      <c r="AS1337" s="38"/>
      <c r="AT1337" s="38"/>
      <c r="AU1337" s="38"/>
      <c r="AV1337" s="38"/>
      <c r="AW1337" s="38"/>
      <c r="AX1337" s="38"/>
      <c r="AY1337" s="38"/>
      <c r="AZ1337" s="38"/>
      <c r="BA1337" s="38"/>
      <c r="BB1337" s="38"/>
      <c r="BC1337" s="38"/>
      <c r="BD1337" s="38"/>
      <c r="BE1337" s="38"/>
      <c r="BF1337" s="38"/>
      <c r="BG1337" s="38"/>
      <c r="BH1337" s="38"/>
      <c r="BI1337" s="38"/>
      <c r="BJ1337" s="38"/>
      <c r="BK1337" s="38"/>
      <c r="BL1337" s="38"/>
      <c r="BM1337" s="38"/>
      <c r="BN1337" s="38"/>
      <c r="BO1337" s="38"/>
      <c r="BP1337" s="38"/>
      <c r="BQ1337" s="38"/>
    </row>
    <row r="1338">
      <c r="A1338" s="226" t="s">
        <v>3985</v>
      </c>
      <c r="B1338" s="59"/>
      <c r="C1338" s="59">
        <v>43259.0</v>
      </c>
      <c r="D1338" s="60"/>
      <c r="E1338" s="58" t="s">
        <v>31</v>
      </c>
      <c r="F1338" s="58">
        <v>1.0</v>
      </c>
      <c r="G1338" s="58" t="s">
        <v>32</v>
      </c>
      <c r="H1338" s="43">
        <v>1.0</v>
      </c>
      <c r="I1338" s="58" t="s">
        <v>33</v>
      </c>
      <c r="J1338" s="58" t="s">
        <v>162</v>
      </c>
      <c r="K1338" s="58"/>
      <c r="L1338" s="58" t="s">
        <v>52</v>
      </c>
      <c r="M1338" s="61" t="s">
        <v>3980</v>
      </c>
      <c r="N1338" s="61" t="s">
        <v>3981</v>
      </c>
      <c r="O1338" s="88" t="str">
        <f t="shared" si="200"/>
        <v>D-KS 5:18-cr-40053</v>
      </c>
      <c r="P1338" s="88" t="s">
        <v>3982</v>
      </c>
      <c r="Q1338" s="58">
        <v>1.0</v>
      </c>
      <c r="R1338" s="62"/>
      <c r="S1338" s="37" t="str">
        <f>IFERROR(__xludf.DUMMYFUNCTION("if(not(iserror(index(split(C1338, "" ""),2))), index(split(C1338, "" ""),1),"""")"),"June")</f>
        <v>June</v>
      </c>
      <c r="T1338" s="38">
        <f>IFERROR(__xludf.DUMMYFUNCTION("if(S1338="""",C1338,if(not(iserror(index(split(C1338, "" ""),3))), index(split(C1338, "" ""),3),index(split(C1338, "" ""),2)))"),2018.0)</f>
        <v>2018</v>
      </c>
      <c r="U1338" s="38" t="b">
        <f t="shared" si="198"/>
        <v>0</v>
      </c>
      <c r="V1338" s="38" t="s">
        <v>33</v>
      </c>
      <c r="W1338" s="39" t="s">
        <v>3983</v>
      </c>
      <c r="X1338" s="39" t="s">
        <v>3986</v>
      </c>
      <c r="Y1338" s="40"/>
      <c r="Z1338" s="38"/>
      <c r="AA1338" s="38"/>
      <c r="AB1338" s="38"/>
      <c r="AC1338" s="38"/>
      <c r="AD1338" s="38"/>
      <c r="AE1338" s="38"/>
      <c r="AF1338" s="38"/>
      <c r="AG1338" s="38"/>
      <c r="AH1338" s="38"/>
      <c r="AI1338" s="38"/>
      <c r="AJ1338" s="38"/>
      <c r="AK1338" s="38"/>
      <c r="AL1338" s="38"/>
      <c r="AM1338" s="38"/>
      <c r="AN1338" s="38"/>
      <c r="AO1338" s="38"/>
      <c r="AP1338" s="38"/>
      <c r="AQ1338" s="38"/>
      <c r="AR1338" s="38"/>
      <c r="AS1338" s="38"/>
      <c r="AT1338" s="38"/>
      <c r="AU1338" s="38"/>
      <c r="AV1338" s="38"/>
      <c r="AW1338" s="38"/>
      <c r="AX1338" s="38"/>
      <c r="AY1338" s="38"/>
      <c r="AZ1338" s="38"/>
      <c r="BA1338" s="38"/>
      <c r="BB1338" s="38"/>
      <c r="BC1338" s="38"/>
      <c r="BD1338" s="38"/>
      <c r="BE1338" s="38"/>
      <c r="BF1338" s="38"/>
      <c r="BG1338" s="38"/>
      <c r="BH1338" s="38"/>
      <c r="BI1338" s="38"/>
      <c r="BJ1338" s="38"/>
      <c r="BK1338" s="38"/>
      <c r="BL1338" s="38"/>
      <c r="BM1338" s="38"/>
      <c r="BN1338" s="38"/>
      <c r="BO1338" s="38"/>
      <c r="BP1338" s="38"/>
      <c r="BQ1338" s="38"/>
    </row>
    <row r="1339">
      <c r="A1339" s="226" t="s">
        <v>3987</v>
      </c>
      <c r="B1339" s="59"/>
      <c r="C1339" s="59">
        <v>43259.0</v>
      </c>
      <c r="D1339" s="60"/>
      <c r="E1339" s="58" t="s">
        <v>41</v>
      </c>
      <c r="F1339" s="58">
        <v>1.0</v>
      </c>
      <c r="G1339" s="58" t="s">
        <v>32</v>
      </c>
      <c r="H1339" s="43">
        <v>1.0</v>
      </c>
      <c r="I1339" s="58" t="s">
        <v>33</v>
      </c>
      <c r="J1339" s="58" t="s">
        <v>162</v>
      </c>
      <c r="K1339" s="58"/>
      <c r="L1339" s="58" t="s">
        <v>52</v>
      </c>
      <c r="M1339" s="61" t="s">
        <v>3980</v>
      </c>
      <c r="N1339" s="61" t="s">
        <v>3981</v>
      </c>
      <c r="O1339" s="88" t="str">
        <f t="shared" si="200"/>
        <v>D-KS 5:18-cr-40053</v>
      </c>
      <c r="P1339" s="88" t="s">
        <v>3982</v>
      </c>
      <c r="Q1339" s="58">
        <v>1.0</v>
      </c>
      <c r="R1339" s="62"/>
      <c r="S1339" s="37" t="str">
        <f>IFERROR(__xludf.DUMMYFUNCTION("if(not(iserror(index(split(C1339, "" ""),2))), index(split(C1339, "" ""),1),"""")"),"June")</f>
        <v>June</v>
      </c>
      <c r="T1339" s="38">
        <f>IFERROR(__xludf.DUMMYFUNCTION("if(S1339="""",C1339,if(not(iserror(index(split(C1339, "" ""),3))), index(split(C1339, "" ""),3),index(split(C1339, "" ""),2)))"),2018.0)</f>
        <v>2018</v>
      </c>
      <c r="U1339" s="38" t="b">
        <f t="shared" si="198"/>
        <v>0</v>
      </c>
      <c r="V1339" s="38" t="s">
        <v>33</v>
      </c>
      <c r="W1339" s="39" t="s">
        <v>3983</v>
      </c>
      <c r="X1339" s="40"/>
      <c r="Y1339" s="40"/>
      <c r="Z1339" s="38"/>
      <c r="AA1339" s="38"/>
      <c r="AB1339" s="38"/>
      <c r="AC1339" s="38"/>
      <c r="AD1339" s="38"/>
      <c r="AE1339" s="38"/>
      <c r="AF1339" s="38"/>
      <c r="AG1339" s="38"/>
      <c r="AH1339" s="38"/>
      <c r="AI1339" s="38"/>
      <c r="AJ1339" s="38"/>
      <c r="AK1339" s="38"/>
      <c r="AL1339" s="38"/>
      <c r="AM1339" s="38"/>
      <c r="AN1339" s="38"/>
      <c r="AO1339" s="38"/>
      <c r="AP1339" s="38"/>
      <c r="AQ1339" s="38"/>
      <c r="AR1339" s="38"/>
      <c r="AS1339" s="38"/>
      <c r="AT1339" s="38"/>
      <c r="AU1339" s="38"/>
      <c r="AV1339" s="38"/>
      <c r="AW1339" s="38"/>
      <c r="AX1339" s="38"/>
      <c r="AY1339" s="38"/>
      <c r="AZ1339" s="38"/>
      <c r="BA1339" s="38"/>
      <c r="BB1339" s="38"/>
      <c r="BC1339" s="38"/>
      <c r="BD1339" s="38"/>
      <c r="BE1339" s="38"/>
      <c r="BF1339" s="38"/>
      <c r="BG1339" s="38"/>
      <c r="BH1339" s="38"/>
      <c r="BI1339" s="38"/>
      <c r="BJ1339" s="38"/>
      <c r="BK1339" s="38"/>
      <c r="BL1339" s="38"/>
      <c r="BM1339" s="38"/>
      <c r="BN1339" s="38"/>
      <c r="BO1339" s="38"/>
      <c r="BP1339" s="38"/>
      <c r="BQ1339" s="38"/>
    </row>
    <row r="1340">
      <c r="A1340" s="226" t="s">
        <v>3988</v>
      </c>
      <c r="B1340" s="59"/>
      <c r="C1340" s="59">
        <v>43259.0</v>
      </c>
      <c r="D1340" s="60"/>
      <c r="E1340" s="58" t="s">
        <v>41</v>
      </c>
      <c r="F1340" s="58">
        <v>1.0</v>
      </c>
      <c r="G1340" s="58" t="s">
        <v>32</v>
      </c>
      <c r="H1340" s="43">
        <v>1.0</v>
      </c>
      <c r="I1340" s="58" t="s">
        <v>33</v>
      </c>
      <c r="J1340" s="58" t="s">
        <v>162</v>
      </c>
      <c r="K1340" s="58"/>
      <c r="L1340" s="58" t="s">
        <v>52</v>
      </c>
      <c r="M1340" s="61" t="s">
        <v>3980</v>
      </c>
      <c r="N1340" s="61" t="s">
        <v>3981</v>
      </c>
      <c r="O1340" s="88" t="str">
        <f t="shared" si="200"/>
        <v>D-KS 5:18-cr-40053</v>
      </c>
      <c r="P1340" s="88" t="s">
        <v>3982</v>
      </c>
      <c r="Q1340" s="58">
        <v>1.0</v>
      </c>
      <c r="R1340" s="62"/>
      <c r="S1340" s="37" t="str">
        <f>IFERROR(__xludf.DUMMYFUNCTION("if(not(iserror(index(split(C1340, "" ""),2))), index(split(C1340, "" ""),1),"""")"),"June")</f>
        <v>June</v>
      </c>
      <c r="T1340" s="38">
        <f>IFERROR(__xludf.DUMMYFUNCTION("if(S1340="""",C1340,if(not(iserror(index(split(C1340, "" ""),3))), index(split(C1340, "" ""),3),index(split(C1340, "" ""),2)))"),2018.0)</f>
        <v>2018</v>
      </c>
      <c r="U1340" s="38" t="b">
        <f t="shared" si="198"/>
        <v>0</v>
      </c>
      <c r="V1340" s="38" t="s">
        <v>33</v>
      </c>
      <c r="W1340" s="39" t="s">
        <v>3983</v>
      </c>
      <c r="X1340" s="40"/>
      <c r="Y1340" s="40"/>
      <c r="Z1340" s="38"/>
      <c r="AA1340" s="38"/>
      <c r="AB1340" s="38"/>
      <c r="AC1340" s="38"/>
      <c r="AD1340" s="38"/>
      <c r="AE1340" s="38"/>
      <c r="AF1340" s="38"/>
      <c r="AG1340" s="38"/>
      <c r="AH1340" s="38"/>
      <c r="AI1340" s="38"/>
      <c r="AJ1340" s="38"/>
      <c r="AK1340" s="38"/>
      <c r="AL1340" s="38"/>
      <c r="AM1340" s="38"/>
      <c r="AN1340" s="38"/>
      <c r="AO1340" s="38"/>
      <c r="AP1340" s="38"/>
      <c r="AQ1340" s="38"/>
      <c r="AR1340" s="38"/>
      <c r="AS1340" s="38"/>
      <c r="AT1340" s="38"/>
      <c r="AU1340" s="38"/>
      <c r="AV1340" s="38"/>
      <c r="AW1340" s="38"/>
      <c r="AX1340" s="38"/>
      <c r="AY1340" s="38"/>
      <c r="AZ1340" s="38"/>
      <c r="BA1340" s="38"/>
      <c r="BB1340" s="38"/>
      <c r="BC1340" s="38"/>
      <c r="BD1340" s="38"/>
      <c r="BE1340" s="38"/>
      <c r="BF1340" s="38"/>
      <c r="BG1340" s="38"/>
      <c r="BH1340" s="38"/>
      <c r="BI1340" s="38"/>
      <c r="BJ1340" s="38"/>
      <c r="BK1340" s="38"/>
      <c r="BL1340" s="38"/>
      <c r="BM1340" s="38"/>
      <c r="BN1340" s="38"/>
      <c r="BO1340" s="38"/>
      <c r="BP1340" s="38"/>
      <c r="BQ1340" s="38"/>
    </row>
    <row r="1341">
      <c r="A1341" s="226" t="s">
        <v>3989</v>
      </c>
      <c r="B1341" s="59"/>
      <c r="C1341" s="59">
        <v>43259.0</v>
      </c>
      <c r="D1341" s="60"/>
      <c r="E1341" s="58" t="s">
        <v>41</v>
      </c>
      <c r="F1341" s="58">
        <v>1.0</v>
      </c>
      <c r="G1341" s="58" t="s">
        <v>32</v>
      </c>
      <c r="H1341" s="43">
        <v>1.0</v>
      </c>
      <c r="I1341" s="58" t="s">
        <v>33</v>
      </c>
      <c r="J1341" s="58" t="s">
        <v>162</v>
      </c>
      <c r="K1341" s="58"/>
      <c r="L1341" s="58" t="s">
        <v>52</v>
      </c>
      <c r="M1341" s="61" t="s">
        <v>3980</v>
      </c>
      <c r="N1341" s="61" t="s">
        <v>3981</v>
      </c>
      <c r="O1341" s="88" t="str">
        <f t="shared" si="200"/>
        <v>D-KS 5:18-cr-40053</v>
      </c>
      <c r="P1341" s="88" t="s">
        <v>3982</v>
      </c>
      <c r="Q1341" s="58">
        <v>1.0</v>
      </c>
      <c r="R1341" s="62"/>
      <c r="S1341" s="37" t="str">
        <f>IFERROR(__xludf.DUMMYFUNCTION("if(not(iserror(index(split(C1341, "" ""),2))), index(split(C1341, "" ""),1),"""")"),"June")</f>
        <v>June</v>
      </c>
      <c r="T1341" s="38">
        <f>IFERROR(__xludf.DUMMYFUNCTION("if(S1341="""",C1341,if(not(iserror(index(split(C1341, "" ""),3))), index(split(C1341, "" ""),3),index(split(C1341, "" ""),2)))"),2018.0)</f>
        <v>2018</v>
      </c>
      <c r="U1341" s="38" t="b">
        <f t="shared" si="198"/>
        <v>0</v>
      </c>
      <c r="V1341" s="38" t="s">
        <v>33</v>
      </c>
      <c r="W1341" s="39" t="s">
        <v>3983</v>
      </c>
      <c r="X1341" s="40"/>
      <c r="Y1341" s="40"/>
      <c r="Z1341" s="38"/>
      <c r="AA1341" s="38"/>
      <c r="AB1341" s="38"/>
      <c r="AC1341" s="38"/>
      <c r="AD1341" s="38"/>
      <c r="AE1341" s="38"/>
      <c r="AF1341" s="38"/>
      <c r="AG1341" s="38"/>
      <c r="AH1341" s="38"/>
      <c r="AI1341" s="38"/>
      <c r="AJ1341" s="38"/>
      <c r="AK1341" s="38"/>
      <c r="AL1341" s="38"/>
      <c r="AM1341" s="38"/>
      <c r="AN1341" s="38"/>
      <c r="AO1341" s="38"/>
      <c r="AP1341" s="38"/>
      <c r="AQ1341" s="38"/>
      <c r="AR1341" s="38"/>
      <c r="AS1341" s="38"/>
      <c r="AT1341" s="38"/>
      <c r="AU1341" s="38"/>
      <c r="AV1341" s="38"/>
      <c r="AW1341" s="38"/>
      <c r="AX1341" s="38"/>
      <c r="AY1341" s="38"/>
      <c r="AZ1341" s="38"/>
      <c r="BA1341" s="38"/>
      <c r="BB1341" s="38"/>
      <c r="BC1341" s="38"/>
      <c r="BD1341" s="38"/>
      <c r="BE1341" s="38"/>
      <c r="BF1341" s="38"/>
      <c r="BG1341" s="38"/>
      <c r="BH1341" s="38"/>
      <c r="BI1341" s="38"/>
      <c r="BJ1341" s="38"/>
      <c r="BK1341" s="38"/>
      <c r="BL1341" s="38"/>
      <c r="BM1341" s="38"/>
      <c r="BN1341" s="38"/>
      <c r="BO1341" s="38"/>
      <c r="BP1341" s="38"/>
      <c r="BQ1341" s="38"/>
    </row>
    <row r="1342">
      <c r="A1342" s="58" t="s">
        <v>239</v>
      </c>
      <c r="B1342" s="59">
        <v>43260.0</v>
      </c>
      <c r="C1342" s="59">
        <v>43259.0</v>
      </c>
      <c r="D1342" s="60" t="s">
        <v>3058</v>
      </c>
      <c r="E1342" s="58" t="s">
        <v>41</v>
      </c>
      <c r="F1342" s="58">
        <v>1.0</v>
      </c>
      <c r="G1342" s="58">
        <v>8.0</v>
      </c>
      <c r="H1342" s="33">
        <f t="shared" ref="H1342:H1346" si="201">if(G1342="Unknown",1,G1342)</f>
        <v>8</v>
      </c>
      <c r="I1342" s="58" t="s">
        <v>33</v>
      </c>
      <c r="J1342" s="58" t="s">
        <v>147</v>
      </c>
      <c r="K1342" s="58">
        <v>1.0</v>
      </c>
      <c r="L1342" s="58" t="s">
        <v>3990</v>
      </c>
      <c r="M1342" s="61" t="s">
        <v>3991</v>
      </c>
      <c r="N1342" s="77"/>
      <c r="O1342" s="62"/>
      <c r="P1342" s="62"/>
      <c r="Q1342" s="62"/>
      <c r="R1342" s="62"/>
      <c r="S1342" s="37" t="str">
        <f>IFERROR(__xludf.DUMMYFUNCTION("if(not(iserror(index(split(C1342, "" ""),2))), index(split(C1342, "" ""),1),"""")"),"June")</f>
        <v>June</v>
      </c>
      <c r="T1342" s="38">
        <f>IFERROR(__xludf.DUMMYFUNCTION("if(S1342="""",C1342,if(not(iserror(index(split(C1342, "" ""),3))), index(split(C1342, "" ""),3),index(split(C1342, "" ""),2)))"),2018.0)</f>
        <v>2018</v>
      </c>
      <c r="U1342" s="38" t="b">
        <f t="shared" si="198"/>
        <v>1</v>
      </c>
      <c r="V1342" s="38"/>
      <c r="W1342" s="40"/>
      <c r="X1342" s="40"/>
      <c r="Y1342" s="40"/>
      <c r="Z1342" s="38"/>
      <c r="AA1342" s="38"/>
      <c r="AB1342" s="38"/>
      <c r="AC1342" s="38"/>
      <c r="AD1342" s="38"/>
      <c r="AE1342" s="38"/>
      <c r="AF1342" s="38"/>
      <c r="AG1342" s="38"/>
      <c r="AH1342" s="38"/>
      <c r="AI1342" s="38"/>
      <c r="AJ1342" s="38"/>
      <c r="AK1342" s="38"/>
      <c r="AL1342" s="38"/>
      <c r="AM1342" s="38"/>
      <c r="AN1342" s="38"/>
      <c r="AO1342" s="38"/>
      <c r="AP1342" s="38"/>
      <c r="AQ1342" s="38"/>
      <c r="AR1342" s="38"/>
      <c r="AS1342" s="38"/>
      <c r="AT1342" s="38"/>
      <c r="AU1342" s="38"/>
      <c r="AV1342" s="38"/>
      <c r="AW1342" s="38"/>
      <c r="AX1342" s="38"/>
      <c r="AY1342" s="38"/>
      <c r="AZ1342" s="38"/>
      <c r="BA1342" s="38"/>
      <c r="BB1342" s="38"/>
      <c r="BC1342" s="38"/>
      <c r="BD1342" s="38"/>
      <c r="BE1342" s="38"/>
      <c r="BF1342" s="38"/>
      <c r="BG1342" s="38"/>
      <c r="BH1342" s="38"/>
      <c r="BI1342" s="38"/>
      <c r="BJ1342" s="38"/>
      <c r="BK1342" s="38"/>
      <c r="BL1342" s="38"/>
      <c r="BM1342" s="38"/>
      <c r="BN1342" s="38"/>
      <c r="BO1342" s="38"/>
      <c r="BP1342" s="38"/>
      <c r="BQ1342" s="38"/>
    </row>
    <row r="1343">
      <c r="A1343" s="37" t="s">
        <v>239</v>
      </c>
      <c r="B1343" s="59">
        <v>43262.0</v>
      </c>
      <c r="C1343" s="59">
        <v>43261.0</v>
      </c>
      <c r="D1343" s="60" t="s">
        <v>3973</v>
      </c>
      <c r="E1343" s="58" t="s">
        <v>41</v>
      </c>
      <c r="F1343" s="58">
        <v>2.0</v>
      </c>
      <c r="G1343" s="58">
        <v>4.0</v>
      </c>
      <c r="H1343" s="33">
        <f t="shared" si="201"/>
        <v>4</v>
      </c>
      <c r="I1343" s="58" t="s">
        <v>33</v>
      </c>
      <c r="J1343" s="58" t="s">
        <v>111</v>
      </c>
      <c r="K1343" s="58">
        <v>1.0</v>
      </c>
      <c r="L1343" s="58" t="s">
        <v>194</v>
      </c>
      <c r="M1343" s="61" t="s">
        <v>3992</v>
      </c>
      <c r="N1343" s="77"/>
      <c r="O1343" s="62"/>
      <c r="P1343" s="62"/>
      <c r="Q1343" s="62"/>
      <c r="R1343" s="62"/>
      <c r="S1343" s="37" t="str">
        <f>IFERROR(__xludf.DUMMYFUNCTION("if(not(iserror(index(split(C1343, "" ""),2))), index(split(C1343, "" ""),1),"""")"),"June")</f>
        <v>June</v>
      </c>
      <c r="T1343" s="38">
        <f>IFERROR(__xludf.DUMMYFUNCTION("if(S1343="""",C1343,if(not(iserror(index(split(C1343, "" ""),3))), index(split(C1343, "" ""),3),index(split(C1343, "" ""),2)))"),2018.0)</f>
        <v>2018</v>
      </c>
      <c r="U1343" s="38" t="b">
        <f t="shared" si="198"/>
        <v>1</v>
      </c>
      <c r="V1343" s="38"/>
      <c r="W1343" s="40"/>
      <c r="X1343" s="40"/>
      <c r="Y1343" s="40"/>
      <c r="Z1343" s="38"/>
      <c r="AA1343" s="38"/>
      <c r="AB1343" s="38"/>
      <c r="AC1343" s="38"/>
      <c r="AD1343" s="38"/>
      <c r="AE1343" s="38"/>
      <c r="AF1343" s="38"/>
      <c r="AG1343" s="38"/>
      <c r="AH1343" s="38"/>
      <c r="AI1343" s="38"/>
      <c r="AJ1343" s="38"/>
      <c r="AK1343" s="38"/>
      <c r="AL1343" s="38"/>
      <c r="AM1343" s="38"/>
      <c r="AN1343" s="38"/>
      <c r="AO1343" s="38"/>
      <c r="AP1343" s="38"/>
      <c r="AQ1343" s="38"/>
      <c r="AR1343" s="38"/>
      <c r="AS1343" s="38"/>
      <c r="AT1343" s="38"/>
      <c r="AU1343" s="38"/>
      <c r="AV1343" s="38"/>
      <c r="AW1343" s="38"/>
      <c r="AX1343" s="38"/>
      <c r="AY1343" s="38"/>
      <c r="AZ1343" s="38"/>
      <c r="BA1343" s="38"/>
      <c r="BB1343" s="38"/>
      <c r="BC1343" s="38"/>
      <c r="BD1343" s="38"/>
      <c r="BE1343" s="38"/>
      <c r="BF1343" s="38"/>
      <c r="BG1343" s="38"/>
      <c r="BH1343" s="38"/>
      <c r="BI1343" s="38"/>
      <c r="BJ1343" s="38"/>
      <c r="BK1343" s="38"/>
      <c r="BL1343" s="38"/>
      <c r="BM1343" s="38"/>
      <c r="BN1343" s="38"/>
      <c r="BO1343" s="38"/>
      <c r="BP1343" s="38"/>
      <c r="BQ1343" s="38"/>
    </row>
    <row r="1344">
      <c r="A1344" s="78" t="s">
        <v>3993</v>
      </c>
      <c r="B1344" s="59">
        <v>43265.0</v>
      </c>
      <c r="C1344" s="59">
        <v>43261.0</v>
      </c>
      <c r="D1344" s="60" t="s">
        <v>2382</v>
      </c>
      <c r="E1344" s="58" t="s">
        <v>31</v>
      </c>
      <c r="F1344" s="58">
        <v>3.0</v>
      </c>
      <c r="G1344" s="58" t="s">
        <v>32</v>
      </c>
      <c r="H1344" s="33">
        <f t="shared" si="201"/>
        <v>1</v>
      </c>
      <c r="I1344" s="58" t="s">
        <v>33</v>
      </c>
      <c r="J1344" s="58" t="s">
        <v>106</v>
      </c>
      <c r="K1344" s="58" t="s">
        <v>32</v>
      </c>
      <c r="L1344" s="58" t="s">
        <v>52</v>
      </c>
      <c r="M1344" s="61" t="s">
        <v>3994</v>
      </c>
      <c r="N1344" s="77"/>
      <c r="O1344" s="62"/>
      <c r="P1344" s="62"/>
      <c r="Q1344" s="62"/>
      <c r="R1344" s="62"/>
      <c r="S1344" s="37" t="str">
        <f>IFERROR(__xludf.DUMMYFUNCTION("if(not(iserror(index(split(C1344, "" ""),2))), index(split(C1344, "" ""),1),"""")"),"June")</f>
        <v>June</v>
      </c>
      <c r="T1344" s="38">
        <f>IFERROR(__xludf.DUMMYFUNCTION("if(S1344="""",C1344,if(not(iserror(index(split(C1344, "" ""),3))), index(split(C1344, "" ""),3),index(split(C1344, "" ""),2)))"),2018.0)</f>
        <v>2018</v>
      </c>
      <c r="U1344" s="38" t="b">
        <f t="shared" si="198"/>
        <v>0</v>
      </c>
      <c r="V1344" s="38"/>
      <c r="W1344" s="40"/>
      <c r="X1344" s="40"/>
      <c r="Y1344" s="40"/>
      <c r="Z1344" s="38"/>
      <c r="AA1344" s="38"/>
      <c r="AB1344" s="38"/>
      <c r="AC1344" s="38"/>
      <c r="AD1344" s="38"/>
      <c r="AE1344" s="38"/>
      <c r="AF1344" s="38"/>
      <c r="AG1344" s="38"/>
      <c r="AH1344" s="38"/>
      <c r="AI1344" s="38"/>
      <c r="AJ1344" s="38"/>
      <c r="AK1344" s="38"/>
      <c r="AL1344" s="38"/>
      <c r="AM1344" s="38"/>
      <c r="AN1344" s="38"/>
      <c r="AO1344" s="38"/>
      <c r="AP1344" s="38"/>
      <c r="AQ1344" s="38"/>
      <c r="AR1344" s="38"/>
      <c r="AS1344" s="38"/>
      <c r="AT1344" s="38"/>
      <c r="AU1344" s="38"/>
      <c r="AV1344" s="38"/>
      <c r="AW1344" s="38"/>
      <c r="AX1344" s="38"/>
      <c r="AY1344" s="38"/>
      <c r="AZ1344" s="38"/>
      <c r="BA1344" s="38"/>
      <c r="BB1344" s="38"/>
      <c r="BC1344" s="38"/>
      <c r="BD1344" s="38"/>
      <c r="BE1344" s="38"/>
      <c r="BF1344" s="38"/>
      <c r="BG1344" s="38"/>
      <c r="BH1344" s="38"/>
      <c r="BI1344" s="38"/>
      <c r="BJ1344" s="38"/>
      <c r="BK1344" s="38"/>
      <c r="BL1344" s="38"/>
      <c r="BM1344" s="38"/>
      <c r="BN1344" s="38"/>
      <c r="BO1344" s="38"/>
      <c r="BP1344" s="38"/>
      <c r="BQ1344" s="38"/>
    </row>
    <row r="1345">
      <c r="A1345" s="37" t="s">
        <v>3995</v>
      </c>
      <c r="B1345" s="59">
        <v>43262.0</v>
      </c>
      <c r="C1345" s="59">
        <v>43262.0</v>
      </c>
      <c r="D1345" s="60" t="s">
        <v>3996</v>
      </c>
      <c r="E1345" s="58" t="s">
        <v>31</v>
      </c>
      <c r="F1345" s="58">
        <v>2.0</v>
      </c>
      <c r="G1345" s="58" t="s">
        <v>32</v>
      </c>
      <c r="H1345" s="33">
        <f t="shared" si="201"/>
        <v>1</v>
      </c>
      <c r="I1345" s="58" t="s">
        <v>33</v>
      </c>
      <c r="J1345" s="58" t="s">
        <v>42</v>
      </c>
      <c r="K1345" s="58">
        <v>1.0</v>
      </c>
      <c r="L1345" s="58" t="s">
        <v>52</v>
      </c>
      <c r="M1345" s="61" t="s">
        <v>3997</v>
      </c>
      <c r="N1345" s="77"/>
      <c r="O1345" s="62"/>
      <c r="P1345" s="62"/>
      <c r="Q1345" s="62"/>
      <c r="R1345" s="62"/>
      <c r="S1345" s="37" t="str">
        <f>IFERROR(__xludf.DUMMYFUNCTION("if(not(iserror(index(split(C1345, "" ""),2))), index(split(C1345, "" ""),1),"""")"),"June")</f>
        <v>June</v>
      </c>
      <c r="T1345" s="38">
        <f>IFERROR(__xludf.DUMMYFUNCTION("if(S1345="""",C1345,if(not(iserror(index(split(C1345, "" ""),3))), index(split(C1345, "" ""),3),index(split(C1345, "" ""),2)))"),2018.0)</f>
        <v>2018</v>
      </c>
      <c r="U1345" s="38" t="b">
        <f t="shared" si="198"/>
        <v>0</v>
      </c>
      <c r="V1345" s="38"/>
      <c r="W1345" s="40"/>
      <c r="X1345" s="40"/>
      <c r="Y1345" s="40"/>
      <c r="Z1345" s="38"/>
      <c r="AA1345" s="38"/>
      <c r="AB1345" s="38"/>
      <c r="AC1345" s="38"/>
      <c r="AD1345" s="38"/>
      <c r="AE1345" s="38"/>
      <c r="AF1345" s="38"/>
      <c r="AG1345" s="38"/>
      <c r="AH1345" s="38"/>
      <c r="AI1345" s="38"/>
      <c r="AJ1345" s="38"/>
      <c r="AK1345" s="38"/>
      <c r="AL1345" s="38"/>
      <c r="AM1345" s="38"/>
      <c r="AN1345" s="38"/>
      <c r="AO1345" s="38"/>
      <c r="AP1345" s="38"/>
      <c r="AQ1345" s="38"/>
      <c r="AR1345" s="38"/>
      <c r="AS1345" s="38"/>
      <c r="AT1345" s="38"/>
      <c r="AU1345" s="38"/>
      <c r="AV1345" s="38"/>
      <c r="AW1345" s="38"/>
      <c r="AX1345" s="38"/>
      <c r="AY1345" s="38"/>
      <c r="AZ1345" s="38"/>
      <c r="BA1345" s="38"/>
      <c r="BB1345" s="38"/>
      <c r="BC1345" s="38"/>
      <c r="BD1345" s="38"/>
      <c r="BE1345" s="38"/>
      <c r="BF1345" s="38"/>
      <c r="BG1345" s="38"/>
      <c r="BH1345" s="38"/>
      <c r="BI1345" s="38"/>
      <c r="BJ1345" s="38"/>
      <c r="BK1345" s="38"/>
      <c r="BL1345" s="38"/>
      <c r="BM1345" s="38"/>
      <c r="BN1345" s="38"/>
      <c r="BO1345" s="38"/>
      <c r="BP1345" s="38"/>
      <c r="BQ1345" s="38"/>
    </row>
    <row r="1346">
      <c r="A1346" s="37" t="s">
        <v>3998</v>
      </c>
      <c r="B1346" s="59">
        <v>43262.0</v>
      </c>
      <c r="C1346" s="59">
        <v>43262.0</v>
      </c>
      <c r="D1346" s="60" t="s">
        <v>3996</v>
      </c>
      <c r="E1346" s="58" t="s">
        <v>31</v>
      </c>
      <c r="F1346" s="58">
        <v>2.0</v>
      </c>
      <c r="G1346" s="58" t="s">
        <v>32</v>
      </c>
      <c r="H1346" s="33">
        <f t="shared" si="201"/>
        <v>1</v>
      </c>
      <c r="I1346" s="58" t="s">
        <v>33</v>
      </c>
      <c r="J1346" s="58" t="s">
        <v>147</v>
      </c>
      <c r="K1346" s="58">
        <v>1.0</v>
      </c>
      <c r="L1346" s="58" t="s">
        <v>2602</v>
      </c>
      <c r="M1346" s="61" t="s">
        <v>3999</v>
      </c>
      <c r="N1346" s="77"/>
      <c r="O1346" s="58"/>
      <c r="P1346" s="58"/>
      <c r="Q1346" s="84"/>
      <c r="R1346" s="62"/>
      <c r="S1346" s="37" t="str">
        <f>IFERROR(__xludf.DUMMYFUNCTION("if(not(iserror(index(split(C1346, "" ""),2))), index(split(C1346, "" ""),1),"""")"),"June")</f>
        <v>June</v>
      </c>
      <c r="T1346" s="38">
        <f>IFERROR(__xludf.DUMMYFUNCTION("if(S1346="""",C1346,if(not(iserror(index(split(C1346, "" ""),3))), index(split(C1346, "" ""),3),index(split(C1346, "" ""),2)))"),2018.0)</f>
        <v>2018</v>
      </c>
      <c r="U1346" s="38" t="b">
        <f t="shared" si="198"/>
        <v>0</v>
      </c>
      <c r="V1346" s="38"/>
      <c r="W1346" s="40"/>
      <c r="X1346" s="40"/>
      <c r="Y1346" s="40"/>
      <c r="Z1346" s="38"/>
      <c r="AA1346" s="38"/>
      <c r="AB1346" s="38"/>
      <c r="AC1346" s="38"/>
      <c r="AD1346" s="38"/>
      <c r="AE1346" s="38"/>
      <c r="AF1346" s="38"/>
      <c r="AG1346" s="38"/>
      <c r="AH1346" s="38"/>
      <c r="AI1346" s="38"/>
      <c r="AJ1346" s="38"/>
      <c r="AK1346" s="38"/>
      <c r="AL1346" s="38"/>
      <c r="AM1346" s="38"/>
      <c r="AN1346" s="38"/>
      <c r="AO1346" s="38"/>
      <c r="AP1346" s="38"/>
      <c r="AQ1346" s="38"/>
      <c r="AR1346" s="38"/>
      <c r="AS1346" s="38"/>
      <c r="AT1346" s="38"/>
      <c r="AU1346" s="38"/>
      <c r="AV1346" s="38"/>
      <c r="AW1346" s="38"/>
      <c r="AX1346" s="38"/>
      <c r="AY1346" s="38"/>
      <c r="AZ1346" s="38"/>
      <c r="BA1346" s="38"/>
      <c r="BB1346" s="38"/>
      <c r="BC1346" s="38"/>
      <c r="BD1346" s="38"/>
      <c r="BE1346" s="38"/>
      <c r="BF1346" s="38"/>
      <c r="BG1346" s="38"/>
      <c r="BH1346" s="38"/>
      <c r="BI1346" s="38"/>
      <c r="BJ1346" s="38"/>
      <c r="BK1346" s="38"/>
      <c r="BL1346" s="38"/>
      <c r="BM1346" s="38"/>
      <c r="BN1346" s="38"/>
      <c r="BO1346" s="38"/>
      <c r="BP1346" s="38"/>
      <c r="BQ1346" s="38"/>
    </row>
    <row r="1347">
      <c r="A1347" s="58" t="s">
        <v>4000</v>
      </c>
      <c r="B1347" s="59"/>
      <c r="C1347" s="59">
        <v>43262.0</v>
      </c>
      <c r="D1347" s="60"/>
      <c r="E1347" s="58" t="s">
        <v>31</v>
      </c>
      <c r="F1347" s="58">
        <v>1.0</v>
      </c>
      <c r="G1347" s="58" t="s">
        <v>32</v>
      </c>
      <c r="H1347" s="43">
        <v>1.0</v>
      </c>
      <c r="I1347" s="58" t="s">
        <v>33</v>
      </c>
      <c r="J1347" s="58" t="s">
        <v>172</v>
      </c>
      <c r="K1347" s="58"/>
      <c r="L1347" s="58" t="s">
        <v>76</v>
      </c>
      <c r="M1347" s="106" t="s">
        <v>4001</v>
      </c>
      <c r="N1347" s="61" t="s">
        <v>4002</v>
      </c>
      <c r="O1347" s="83" t="str">
        <f>hyperlink("https://bad-boys.us/?q=WD-NC/1:19-cr-00003", "WD-NC 1:19-cr-00003")</f>
        <v>WD-NC 1:19-cr-00003</v>
      </c>
      <c r="P1347" s="88" t="s">
        <v>4003</v>
      </c>
      <c r="Q1347" s="58">
        <v>1.0</v>
      </c>
      <c r="R1347" s="62"/>
      <c r="S1347" s="37" t="str">
        <f>IFERROR(__xludf.DUMMYFUNCTION("if(not(iserror(index(split(C1347, "" ""),2))), index(split(C1347, "" ""),1),"""")"),"June")</f>
        <v>June</v>
      </c>
      <c r="T1347" s="38">
        <f>IFERROR(__xludf.DUMMYFUNCTION("if(S1347="""",C1347,if(not(iserror(index(split(C1347, "" ""),3))), index(split(C1347, "" ""),3),index(split(C1347, "" ""),2)))"),2018.0)</f>
        <v>2018</v>
      </c>
      <c r="U1347" s="38" t="b">
        <f t="shared" si="198"/>
        <v>0</v>
      </c>
      <c r="V1347" s="38" t="s">
        <v>33</v>
      </c>
      <c r="W1347" s="39" t="s">
        <v>4004</v>
      </c>
      <c r="X1347" s="39" t="s">
        <v>4005</v>
      </c>
      <c r="Y1347" s="40"/>
      <c r="Z1347" s="38"/>
      <c r="AA1347" s="38"/>
      <c r="AB1347" s="38"/>
      <c r="AC1347" s="38"/>
      <c r="AD1347" s="38"/>
      <c r="AE1347" s="38"/>
      <c r="AF1347" s="38"/>
      <c r="AG1347" s="38"/>
      <c r="AH1347" s="38"/>
      <c r="AI1347" s="38"/>
      <c r="AJ1347" s="38"/>
      <c r="AK1347" s="38"/>
      <c r="AL1347" s="38"/>
      <c r="AM1347" s="38"/>
      <c r="AN1347" s="38"/>
      <c r="AO1347" s="38"/>
      <c r="AP1347" s="38"/>
      <c r="AQ1347" s="38"/>
      <c r="AR1347" s="38"/>
      <c r="AS1347" s="38"/>
      <c r="AT1347" s="38"/>
      <c r="AU1347" s="38"/>
      <c r="AV1347" s="38"/>
      <c r="AW1347" s="38"/>
      <c r="AX1347" s="38"/>
      <c r="AY1347" s="38"/>
      <c r="AZ1347" s="38"/>
      <c r="BA1347" s="38"/>
      <c r="BB1347" s="38"/>
      <c r="BC1347" s="38"/>
      <c r="BD1347" s="38"/>
      <c r="BE1347" s="38"/>
      <c r="BF1347" s="38"/>
      <c r="BG1347" s="38"/>
      <c r="BH1347" s="38"/>
      <c r="BI1347" s="38"/>
      <c r="BJ1347" s="38"/>
      <c r="BK1347" s="38"/>
      <c r="BL1347" s="38"/>
      <c r="BM1347" s="38"/>
      <c r="BN1347" s="38"/>
      <c r="BO1347" s="38"/>
      <c r="BP1347" s="38"/>
      <c r="BQ1347" s="38"/>
    </row>
    <row r="1348">
      <c r="A1348" s="58" t="s">
        <v>4006</v>
      </c>
      <c r="B1348" s="59">
        <v>43272.0</v>
      </c>
      <c r="C1348" s="59">
        <v>43263.0</v>
      </c>
      <c r="D1348" s="60" t="s">
        <v>4007</v>
      </c>
      <c r="E1348" s="58" t="s">
        <v>31</v>
      </c>
      <c r="F1348" s="58">
        <v>1.0</v>
      </c>
      <c r="G1348" s="58" t="s">
        <v>32</v>
      </c>
      <c r="H1348" s="33">
        <f>if(G1348="Unknown",1,G1348)</f>
        <v>1</v>
      </c>
      <c r="I1348" s="58" t="s">
        <v>33</v>
      </c>
      <c r="J1348" s="58" t="s">
        <v>147</v>
      </c>
      <c r="K1348" s="58" t="s">
        <v>32</v>
      </c>
      <c r="L1348" s="58" t="s">
        <v>35</v>
      </c>
      <c r="M1348" s="227" t="s">
        <v>4008</v>
      </c>
      <c r="N1348" s="77"/>
      <c r="O1348" s="62"/>
      <c r="P1348" s="62"/>
      <c r="Q1348" s="62"/>
      <c r="R1348" s="62"/>
      <c r="S1348" s="37" t="str">
        <f>IFERROR(__xludf.DUMMYFUNCTION("if(not(iserror(index(split(C1348, "" ""),2))), index(split(C1348, "" ""),1),"""")"),"June")</f>
        <v>June</v>
      </c>
      <c r="T1348" s="38">
        <f>IFERROR(__xludf.DUMMYFUNCTION("if(S1348="""",C1348,if(not(iserror(index(split(C1348, "" ""),3))), index(split(C1348, "" ""),3),index(split(C1348, "" ""),2)))"),2018.0)</f>
        <v>2018</v>
      </c>
      <c r="U1348" s="38" t="b">
        <f t="shared" si="198"/>
        <v>0</v>
      </c>
      <c r="V1348" s="38"/>
      <c r="W1348" s="40"/>
      <c r="X1348" s="40"/>
      <c r="Y1348" s="40"/>
      <c r="Z1348" s="38"/>
      <c r="AA1348" s="38"/>
      <c r="AB1348" s="38"/>
      <c r="AC1348" s="38"/>
      <c r="AD1348" s="38"/>
      <c r="AE1348" s="38"/>
      <c r="AF1348" s="38"/>
      <c r="AG1348" s="38"/>
      <c r="AH1348" s="38"/>
      <c r="AI1348" s="38"/>
      <c r="AJ1348" s="38"/>
      <c r="AK1348" s="38"/>
      <c r="AL1348" s="38"/>
      <c r="AM1348" s="38"/>
      <c r="AN1348" s="38"/>
      <c r="AO1348" s="38"/>
      <c r="AP1348" s="38"/>
      <c r="AQ1348" s="38"/>
      <c r="AR1348" s="38"/>
      <c r="AS1348" s="38"/>
      <c r="AT1348" s="38"/>
      <c r="AU1348" s="38"/>
      <c r="AV1348" s="38"/>
      <c r="AW1348" s="38"/>
      <c r="AX1348" s="38"/>
      <c r="AY1348" s="38"/>
      <c r="AZ1348" s="38"/>
      <c r="BA1348" s="38"/>
      <c r="BB1348" s="38"/>
      <c r="BC1348" s="38"/>
      <c r="BD1348" s="38"/>
      <c r="BE1348" s="38"/>
      <c r="BF1348" s="38"/>
      <c r="BG1348" s="38"/>
      <c r="BH1348" s="38"/>
      <c r="BI1348" s="38"/>
      <c r="BJ1348" s="38"/>
      <c r="BK1348" s="38"/>
      <c r="BL1348" s="38"/>
      <c r="BM1348" s="38"/>
      <c r="BN1348" s="38"/>
      <c r="BO1348" s="38"/>
      <c r="BP1348" s="38"/>
      <c r="BQ1348" s="38"/>
    </row>
    <row r="1349">
      <c r="A1349" s="58" t="s">
        <v>4009</v>
      </c>
      <c r="B1349" s="59"/>
      <c r="C1349" s="59">
        <v>43263.0</v>
      </c>
      <c r="D1349" s="60"/>
      <c r="E1349" s="58" t="s">
        <v>41</v>
      </c>
      <c r="F1349" s="58">
        <v>1.0</v>
      </c>
      <c r="G1349" s="58" t="s">
        <v>32</v>
      </c>
      <c r="H1349" s="43">
        <v>1.0</v>
      </c>
      <c r="I1349" s="58" t="s">
        <v>33</v>
      </c>
      <c r="J1349" s="58" t="s">
        <v>460</v>
      </c>
      <c r="K1349" s="58"/>
      <c r="L1349" s="58" t="s">
        <v>69</v>
      </c>
      <c r="M1349" s="46" t="s">
        <v>4010</v>
      </c>
      <c r="N1349" s="77"/>
      <c r="O1349" s="83" t="str">
        <f>hyperlink("https://bad-boys.us/?q=SD-IA/4:18-cr-00077", "SD-IA 4:18-cr-00077")</f>
        <v>SD-IA 4:18-cr-00077</v>
      </c>
      <c r="P1349" s="88" t="s">
        <v>4011</v>
      </c>
      <c r="Q1349" s="58">
        <v>1.0</v>
      </c>
      <c r="R1349" s="62"/>
      <c r="S1349" s="37" t="str">
        <f>IFERROR(__xludf.DUMMYFUNCTION("if(not(iserror(index(split(C1349, "" ""),2))), index(split(C1349, "" ""),1),"""")"),"June")</f>
        <v>June</v>
      </c>
      <c r="T1349" s="38">
        <f>IFERROR(__xludf.DUMMYFUNCTION("if(S1349="""",C1349,if(not(iserror(index(split(C1349, "" ""),3))), index(split(C1349, "" ""),3),index(split(C1349, "" ""),2)))"),2018.0)</f>
        <v>2018</v>
      </c>
      <c r="U1349" s="38" t="b">
        <f t="shared" si="198"/>
        <v>0</v>
      </c>
      <c r="V1349" s="38" t="s">
        <v>33</v>
      </c>
      <c r="W1349" s="40"/>
      <c r="X1349" s="40"/>
      <c r="Y1349" s="40"/>
      <c r="Z1349" s="38"/>
      <c r="AA1349" s="38"/>
      <c r="AB1349" s="38"/>
      <c r="AC1349" s="38"/>
      <c r="AD1349" s="38"/>
      <c r="AE1349" s="38"/>
      <c r="AF1349" s="38"/>
      <c r="AG1349" s="38"/>
      <c r="AH1349" s="38"/>
      <c r="AI1349" s="38"/>
      <c r="AJ1349" s="38"/>
      <c r="AK1349" s="38"/>
      <c r="AL1349" s="38"/>
      <c r="AM1349" s="38"/>
      <c r="AN1349" s="38"/>
      <c r="AO1349" s="38"/>
      <c r="AP1349" s="38"/>
      <c r="AQ1349" s="38"/>
      <c r="AR1349" s="38"/>
      <c r="AS1349" s="38"/>
      <c r="AT1349" s="38"/>
      <c r="AU1349" s="38"/>
      <c r="AV1349" s="38"/>
      <c r="AW1349" s="38"/>
      <c r="AX1349" s="38"/>
      <c r="AY1349" s="38"/>
      <c r="AZ1349" s="38"/>
      <c r="BA1349" s="38"/>
      <c r="BB1349" s="38"/>
      <c r="BC1349" s="38"/>
      <c r="BD1349" s="38"/>
      <c r="BE1349" s="38"/>
      <c r="BF1349" s="38"/>
      <c r="BG1349" s="38"/>
      <c r="BH1349" s="38"/>
      <c r="BI1349" s="38"/>
      <c r="BJ1349" s="38"/>
      <c r="BK1349" s="38"/>
      <c r="BL1349" s="38"/>
      <c r="BM1349" s="38"/>
      <c r="BN1349" s="38"/>
      <c r="BO1349" s="38"/>
      <c r="BP1349" s="38"/>
      <c r="BQ1349" s="38"/>
    </row>
    <row r="1350">
      <c r="A1350" s="37" t="s">
        <v>239</v>
      </c>
      <c r="B1350" s="59">
        <v>43264.0</v>
      </c>
      <c r="C1350" s="59">
        <v>43264.0</v>
      </c>
      <c r="D1350" s="60" t="s">
        <v>2382</v>
      </c>
      <c r="E1350" s="58" t="s">
        <v>41</v>
      </c>
      <c r="F1350" s="58">
        <v>1.0</v>
      </c>
      <c r="G1350" s="58">
        <v>54.0</v>
      </c>
      <c r="H1350" s="33">
        <f t="shared" ref="H1350:H1351" si="202">if(G1350="Unknown",1,G1350)</f>
        <v>54</v>
      </c>
      <c r="I1350" s="58" t="s">
        <v>33</v>
      </c>
      <c r="J1350" s="58" t="s">
        <v>147</v>
      </c>
      <c r="K1350" s="58">
        <v>1.0</v>
      </c>
      <c r="L1350" s="58" t="s">
        <v>194</v>
      </c>
      <c r="M1350" s="61" t="s">
        <v>4012</v>
      </c>
      <c r="N1350" s="77"/>
      <c r="O1350" s="62"/>
      <c r="P1350" s="62"/>
      <c r="Q1350" s="62"/>
      <c r="R1350" s="62"/>
      <c r="S1350" s="37" t="str">
        <f>IFERROR(__xludf.DUMMYFUNCTION("if(not(iserror(index(split(C1350, "" ""),2))), index(split(C1350, "" ""),1),"""")"),"June")</f>
        <v>June</v>
      </c>
      <c r="T1350" s="38">
        <f>IFERROR(__xludf.DUMMYFUNCTION("if(S1350="""",C1350,if(not(iserror(index(split(C1350, "" ""),3))), index(split(C1350, "" ""),3),index(split(C1350, "" ""),2)))"),2018.0)</f>
        <v>2018</v>
      </c>
      <c r="U1350" s="38" t="b">
        <f t="shared" si="198"/>
        <v>1</v>
      </c>
      <c r="V1350" s="38"/>
      <c r="W1350" s="40"/>
      <c r="X1350" s="40"/>
      <c r="Y1350" s="40"/>
      <c r="Z1350" s="38"/>
      <c r="AA1350" s="38"/>
      <c r="AB1350" s="38"/>
      <c r="AC1350" s="38"/>
      <c r="AD1350" s="38"/>
      <c r="AE1350" s="38"/>
      <c r="AF1350" s="38"/>
      <c r="AG1350" s="38"/>
      <c r="AH1350" s="38"/>
      <c r="AI1350" s="38"/>
      <c r="AJ1350" s="38"/>
      <c r="AK1350" s="38"/>
      <c r="AL1350" s="38"/>
      <c r="AM1350" s="38"/>
      <c r="AN1350" s="38"/>
      <c r="AO1350" s="38"/>
      <c r="AP1350" s="38"/>
      <c r="AQ1350" s="38"/>
      <c r="AR1350" s="38"/>
      <c r="AS1350" s="38"/>
      <c r="AT1350" s="38"/>
      <c r="AU1350" s="38"/>
      <c r="AV1350" s="38"/>
      <c r="AW1350" s="38"/>
      <c r="AX1350" s="38"/>
      <c r="AY1350" s="38"/>
      <c r="AZ1350" s="38"/>
      <c r="BA1350" s="38"/>
      <c r="BB1350" s="38"/>
      <c r="BC1350" s="38"/>
      <c r="BD1350" s="38"/>
      <c r="BE1350" s="38"/>
      <c r="BF1350" s="38"/>
      <c r="BG1350" s="38"/>
      <c r="BH1350" s="38"/>
      <c r="BI1350" s="38"/>
      <c r="BJ1350" s="38"/>
      <c r="BK1350" s="38"/>
      <c r="BL1350" s="38"/>
      <c r="BM1350" s="38"/>
      <c r="BN1350" s="38"/>
      <c r="BO1350" s="38"/>
      <c r="BP1350" s="38"/>
      <c r="BQ1350" s="38"/>
    </row>
    <row r="1351">
      <c r="A1351" s="37" t="s">
        <v>4013</v>
      </c>
      <c r="B1351" s="59">
        <v>43264.0</v>
      </c>
      <c r="C1351" s="59">
        <v>43264.0</v>
      </c>
      <c r="D1351" s="60" t="s">
        <v>2382</v>
      </c>
      <c r="E1351" s="58" t="s">
        <v>41</v>
      </c>
      <c r="F1351" s="58">
        <v>1.0</v>
      </c>
      <c r="G1351" s="58" t="s">
        <v>32</v>
      </c>
      <c r="H1351" s="33">
        <f t="shared" si="202"/>
        <v>1</v>
      </c>
      <c r="I1351" s="58" t="s">
        <v>33</v>
      </c>
      <c r="J1351" s="58" t="s">
        <v>55</v>
      </c>
      <c r="K1351" s="58">
        <v>1.0</v>
      </c>
      <c r="L1351" s="58" t="s">
        <v>69</v>
      </c>
      <c r="M1351" s="61" t="s">
        <v>4014</v>
      </c>
      <c r="N1351" s="61" t="s">
        <v>4015</v>
      </c>
      <c r="O1351" s="88" t="str">
        <f>hyperlink("https://bad-boys.us/?q=D-NJ/1:19-cr-00141", "D-NJ 1:19-cr-00141")</f>
        <v>D-NJ 1:19-cr-00141</v>
      </c>
      <c r="P1351" s="62"/>
      <c r="Q1351" s="58">
        <v>1.0</v>
      </c>
      <c r="R1351" s="62"/>
      <c r="S1351" s="37" t="str">
        <f>IFERROR(__xludf.DUMMYFUNCTION("if(not(iserror(index(split(C1351, "" ""),2))), index(split(C1351, "" ""),1),"""")"),"June")</f>
        <v>June</v>
      </c>
      <c r="T1351" s="38">
        <f>IFERROR(__xludf.DUMMYFUNCTION("if(S1351="""",C1351,if(not(iserror(index(split(C1351, "" ""),3))), index(split(C1351, "" ""),3),index(split(C1351, "" ""),2)))"),2018.0)</f>
        <v>2018</v>
      </c>
      <c r="U1351" s="38" t="b">
        <f t="shared" si="198"/>
        <v>0</v>
      </c>
      <c r="V1351" s="38"/>
      <c r="W1351" s="40"/>
      <c r="X1351" s="40"/>
      <c r="Y1351" s="40"/>
      <c r="Z1351" s="38"/>
      <c r="AA1351" s="38"/>
      <c r="AB1351" s="38"/>
      <c r="AC1351" s="38"/>
      <c r="AD1351" s="38"/>
      <c r="AE1351" s="38"/>
      <c r="AF1351" s="38"/>
      <c r="AG1351" s="38"/>
      <c r="AH1351" s="38"/>
      <c r="AI1351" s="38"/>
      <c r="AJ1351" s="38"/>
      <c r="AK1351" s="38"/>
      <c r="AL1351" s="38"/>
      <c r="AM1351" s="38"/>
      <c r="AN1351" s="38"/>
      <c r="AO1351" s="38"/>
      <c r="AP1351" s="38"/>
      <c r="AQ1351" s="38"/>
      <c r="AR1351" s="38"/>
      <c r="AS1351" s="38"/>
      <c r="AT1351" s="38"/>
      <c r="AU1351" s="38"/>
      <c r="AV1351" s="38"/>
      <c r="AW1351" s="38"/>
      <c r="AX1351" s="38"/>
      <c r="AY1351" s="38"/>
      <c r="AZ1351" s="38"/>
      <c r="BA1351" s="38"/>
      <c r="BB1351" s="38"/>
      <c r="BC1351" s="38"/>
      <c r="BD1351" s="38"/>
      <c r="BE1351" s="38"/>
      <c r="BF1351" s="38"/>
      <c r="BG1351" s="38"/>
      <c r="BH1351" s="38"/>
      <c r="BI1351" s="38"/>
      <c r="BJ1351" s="38"/>
      <c r="BK1351" s="38"/>
      <c r="BL1351" s="38"/>
      <c r="BM1351" s="38"/>
      <c r="BN1351" s="38"/>
      <c r="BO1351" s="38"/>
      <c r="BP1351" s="38"/>
      <c r="BQ1351" s="38"/>
    </row>
    <row r="1352">
      <c r="A1352" s="207" t="s">
        <v>4016</v>
      </c>
      <c r="B1352" s="59"/>
      <c r="C1352" s="59">
        <v>43264.0</v>
      </c>
      <c r="D1352" s="60"/>
      <c r="E1352" s="58" t="s">
        <v>41</v>
      </c>
      <c r="F1352" s="58">
        <v>1.0</v>
      </c>
      <c r="G1352" s="58" t="s">
        <v>32</v>
      </c>
      <c r="H1352" s="43">
        <v>1.0</v>
      </c>
      <c r="I1352" s="58" t="s">
        <v>33</v>
      </c>
      <c r="J1352" s="58" t="s">
        <v>283</v>
      </c>
      <c r="K1352" s="58"/>
      <c r="L1352" s="58" t="s">
        <v>119</v>
      </c>
      <c r="M1352" s="46" t="s">
        <v>4017</v>
      </c>
      <c r="N1352" s="106"/>
      <c r="O1352" s="83" t="str">
        <f>hyperlink("https://bad-boys.us/?q=D-NV/2:18-cr-00189", "D-NV 2:18-cr-00189")</f>
        <v>D-NV 2:18-cr-00189</v>
      </c>
      <c r="P1352" s="88" t="s">
        <v>4018</v>
      </c>
      <c r="Q1352" s="58">
        <v>1.0</v>
      </c>
      <c r="R1352" s="62"/>
      <c r="S1352" s="37"/>
      <c r="T1352" s="38"/>
      <c r="U1352" s="38" t="b">
        <f t="shared" si="198"/>
        <v>0</v>
      </c>
      <c r="V1352" s="38" t="s">
        <v>33</v>
      </c>
      <c r="W1352" s="106"/>
      <c r="X1352" s="106"/>
      <c r="Y1352" s="40"/>
      <c r="Z1352" s="38"/>
      <c r="AA1352" s="38"/>
      <c r="AB1352" s="38"/>
      <c r="AC1352" s="38"/>
      <c r="AD1352" s="38"/>
      <c r="AE1352" s="38"/>
      <c r="AF1352" s="38"/>
      <c r="AG1352" s="38"/>
      <c r="AH1352" s="38"/>
      <c r="AI1352" s="38"/>
      <c r="AJ1352" s="38"/>
      <c r="AK1352" s="38"/>
      <c r="AL1352" s="38"/>
      <c r="AM1352" s="38"/>
      <c r="AN1352" s="38"/>
      <c r="AO1352" s="38"/>
      <c r="AP1352" s="38"/>
      <c r="AQ1352" s="38"/>
      <c r="AR1352" s="38"/>
      <c r="AS1352" s="38"/>
      <c r="AT1352" s="38"/>
      <c r="AU1352" s="38"/>
      <c r="AV1352" s="38"/>
      <c r="AW1352" s="38"/>
      <c r="AX1352" s="38"/>
      <c r="AY1352" s="38"/>
      <c r="AZ1352" s="38"/>
      <c r="BA1352" s="38"/>
      <c r="BB1352" s="38"/>
      <c r="BC1352" s="38"/>
      <c r="BD1352" s="38"/>
      <c r="BE1352" s="38"/>
      <c r="BF1352" s="38"/>
      <c r="BG1352" s="38"/>
      <c r="BH1352" s="38"/>
      <c r="BI1352" s="38"/>
      <c r="BJ1352" s="38"/>
      <c r="BK1352" s="38"/>
      <c r="BL1352" s="38"/>
      <c r="BM1352" s="38"/>
      <c r="BN1352" s="38"/>
      <c r="BO1352" s="38"/>
      <c r="BP1352" s="38"/>
      <c r="BQ1352" s="38"/>
    </row>
    <row r="1353">
      <c r="A1353" s="207" t="s">
        <v>4019</v>
      </c>
      <c r="B1353" s="59"/>
      <c r="C1353" s="59">
        <v>43264.0</v>
      </c>
      <c r="D1353" s="60"/>
      <c r="E1353" s="58" t="s">
        <v>31</v>
      </c>
      <c r="F1353" s="58">
        <v>1.0</v>
      </c>
      <c r="G1353" s="58" t="s">
        <v>32</v>
      </c>
      <c r="H1353" s="43">
        <v>1.0</v>
      </c>
      <c r="I1353" s="58" t="s">
        <v>33</v>
      </c>
      <c r="J1353" s="58" t="s">
        <v>222</v>
      </c>
      <c r="K1353" s="58"/>
      <c r="L1353" s="58" t="s">
        <v>76</v>
      </c>
      <c r="M1353" s="46" t="s">
        <v>4020</v>
      </c>
      <c r="N1353" s="46" t="s">
        <v>4021</v>
      </c>
      <c r="O1353" s="62"/>
      <c r="P1353" s="62"/>
      <c r="Q1353" s="58"/>
      <c r="R1353" s="62"/>
      <c r="S1353" s="37" t="str">
        <f>IFERROR(__xludf.DUMMYFUNCTION("if(not(iserror(index(split(C1353, "" ""),2))), index(split(C1353, "" ""),1),"""")"),"June")</f>
        <v>June</v>
      </c>
      <c r="T1353" s="38">
        <f>IFERROR(__xludf.DUMMYFUNCTION("if(S1353="""",C1353,if(not(iserror(index(split(C1353, "" ""),3))), index(split(C1353, "" ""),3),index(split(C1353, "" ""),2)))"),2018.0)</f>
        <v>2018</v>
      </c>
      <c r="U1353" s="38" t="b">
        <f t="shared" si="198"/>
        <v>0</v>
      </c>
      <c r="V1353" s="38" t="s">
        <v>33</v>
      </c>
      <c r="W1353" s="46" t="s">
        <v>4022</v>
      </c>
      <c r="X1353" s="46" t="s">
        <v>4023</v>
      </c>
      <c r="Y1353" s="40"/>
      <c r="Z1353" s="38"/>
      <c r="AA1353" s="38"/>
      <c r="AB1353" s="38"/>
      <c r="AC1353" s="38"/>
      <c r="AD1353" s="38"/>
      <c r="AE1353" s="38"/>
      <c r="AF1353" s="38"/>
      <c r="AG1353" s="38"/>
      <c r="AH1353" s="38"/>
      <c r="AI1353" s="38"/>
      <c r="AJ1353" s="38"/>
      <c r="AK1353" s="38"/>
      <c r="AL1353" s="38"/>
      <c r="AM1353" s="38"/>
      <c r="AN1353" s="38"/>
      <c r="AO1353" s="38"/>
      <c r="AP1353" s="38"/>
      <c r="AQ1353" s="38"/>
      <c r="AR1353" s="38"/>
      <c r="AS1353" s="38"/>
      <c r="AT1353" s="38"/>
      <c r="AU1353" s="38"/>
      <c r="AV1353" s="38"/>
      <c r="AW1353" s="38"/>
      <c r="AX1353" s="38"/>
      <c r="AY1353" s="38"/>
      <c r="AZ1353" s="38"/>
      <c r="BA1353" s="38"/>
      <c r="BB1353" s="38"/>
      <c r="BC1353" s="38"/>
      <c r="BD1353" s="38"/>
      <c r="BE1353" s="38"/>
      <c r="BF1353" s="38"/>
      <c r="BG1353" s="38"/>
      <c r="BH1353" s="38"/>
      <c r="BI1353" s="38"/>
      <c r="BJ1353" s="38"/>
      <c r="BK1353" s="38"/>
      <c r="BL1353" s="38"/>
      <c r="BM1353" s="38"/>
      <c r="BN1353" s="38"/>
      <c r="BO1353" s="38"/>
      <c r="BP1353" s="38"/>
      <c r="BQ1353" s="38"/>
    </row>
    <row r="1354">
      <c r="A1354" s="78" t="s">
        <v>4024</v>
      </c>
      <c r="B1354" s="59">
        <v>43264.0</v>
      </c>
      <c r="C1354" s="59">
        <v>43264.0</v>
      </c>
      <c r="D1354" s="60" t="s">
        <v>2382</v>
      </c>
      <c r="E1354" s="58" t="s">
        <v>41</v>
      </c>
      <c r="F1354" s="58">
        <v>1.0</v>
      </c>
      <c r="G1354" s="58" t="s">
        <v>32</v>
      </c>
      <c r="H1354" s="33">
        <f t="shared" ref="H1354:H1364" si="203">if(G1354="Unknown",1,G1354)</f>
        <v>1</v>
      </c>
      <c r="I1354" s="58" t="s">
        <v>33</v>
      </c>
      <c r="J1354" s="58" t="s">
        <v>147</v>
      </c>
      <c r="K1354" s="58" t="s">
        <v>32</v>
      </c>
      <c r="L1354" s="58" t="s">
        <v>194</v>
      </c>
      <c r="M1354" s="61" t="s">
        <v>4025</v>
      </c>
      <c r="N1354" s="61" t="s">
        <v>4026</v>
      </c>
      <c r="O1354" s="62"/>
      <c r="P1354" s="62"/>
      <c r="Q1354" s="62"/>
      <c r="R1354" s="62"/>
      <c r="S1354" s="37" t="str">
        <f>IFERROR(__xludf.DUMMYFUNCTION("if(not(iserror(index(split(C1354, "" ""),2))), index(split(C1354, "" ""),1),"""")"),"June")</f>
        <v>June</v>
      </c>
      <c r="T1354" s="38">
        <f>IFERROR(__xludf.DUMMYFUNCTION("if(S1354="""",C1354,if(not(iserror(index(split(C1354, "" ""),3))), index(split(C1354, "" ""),3),index(split(C1354, "" ""),2)))"),2018.0)</f>
        <v>2018</v>
      </c>
      <c r="U1354" s="38" t="b">
        <f t="shared" si="198"/>
        <v>0</v>
      </c>
      <c r="V1354" s="38"/>
      <c r="W1354" s="40"/>
      <c r="X1354" s="40"/>
      <c r="Y1354" s="40"/>
      <c r="Z1354" s="38"/>
      <c r="AA1354" s="38"/>
      <c r="AB1354" s="38"/>
      <c r="AC1354" s="38"/>
      <c r="AD1354" s="38"/>
      <c r="AE1354" s="38"/>
      <c r="AF1354" s="38"/>
      <c r="AG1354" s="38"/>
      <c r="AH1354" s="38"/>
      <c r="AI1354" s="38"/>
      <c r="AJ1354" s="38"/>
      <c r="AK1354" s="38"/>
      <c r="AL1354" s="38"/>
      <c r="AM1354" s="38"/>
      <c r="AN1354" s="38"/>
      <c r="AO1354" s="38"/>
      <c r="AP1354" s="38"/>
      <c r="AQ1354" s="38"/>
      <c r="AR1354" s="38"/>
      <c r="AS1354" s="38"/>
      <c r="AT1354" s="38"/>
      <c r="AU1354" s="38"/>
      <c r="AV1354" s="38"/>
      <c r="AW1354" s="38"/>
      <c r="AX1354" s="38"/>
      <c r="AY1354" s="38"/>
      <c r="AZ1354" s="38"/>
      <c r="BA1354" s="38"/>
      <c r="BB1354" s="38"/>
      <c r="BC1354" s="38"/>
      <c r="BD1354" s="38"/>
      <c r="BE1354" s="38"/>
      <c r="BF1354" s="38"/>
      <c r="BG1354" s="38"/>
      <c r="BH1354" s="38"/>
      <c r="BI1354" s="38"/>
      <c r="BJ1354" s="38"/>
      <c r="BK1354" s="38"/>
      <c r="BL1354" s="38"/>
      <c r="BM1354" s="38"/>
      <c r="BN1354" s="38"/>
      <c r="BO1354" s="38"/>
      <c r="BP1354" s="38"/>
      <c r="BQ1354" s="38"/>
    </row>
    <row r="1355">
      <c r="A1355" s="78" t="s">
        <v>4027</v>
      </c>
      <c r="B1355" s="59">
        <v>43264.0</v>
      </c>
      <c r="C1355" s="59">
        <v>43264.0</v>
      </c>
      <c r="D1355" s="60" t="s">
        <v>2382</v>
      </c>
      <c r="E1355" s="58" t="s">
        <v>31</v>
      </c>
      <c r="F1355" s="58">
        <v>1.0</v>
      </c>
      <c r="G1355" s="58" t="s">
        <v>32</v>
      </c>
      <c r="H1355" s="33">
        <f t="shared" si="203"/>
        <v>1</v>
      </c>
      <c r="I1355" s="58" t="s">
        <v>33</v>
      </c>
      <c r="J1355" s="58" t="s">
        <v>47</v>
      </c>
      <c r="K1355" s="58">
        <v>1.0</v>
      </c>
      <c r="L1355" s="58" t="s">
        <v>52</v>
      </c>
      <c r="M1355" s="61" t="s">
        <v>4028</v>
      </c>
      <c r="N1355" s="77"/>
      <c r="O1355" s="62"/>
      <c r="P1355" s="62"/>
      <c r="Q1355" s="62"/>
      <c r="R1355" s="62"/>
      <c r="S1355" s="37" t="str">
        <f>IFERROR(__xludf.DUMMYFUNCTION("if(not(iserror(index(split(C1355, "" ""),2))), index(split(C1355, "" ""),1),"""")"),"June")</f>
        <v>June</v>
      </c>
      <c r="T1355" s="38">
        <f>IFERROR(__xludf.DUMMYFUNCTION("if(S1355="""",C1355,if(not(iserror(index(split(C1355, "" ""),3))), index(split(C1355, "" ""),3),index(split(C1355, "" ""),2)))"),2018.0)</f>
        <v>2018</v>
      </c>
      <c r="U1355" s="38" t="b">
        <f t="shared" si="198"/>
        <v>0</v>
      </c>
      <c r="V1355" s="38"/>
      <c r="W1355" s="40"/>
      <c r="X1355" s="40"/>
      <c r="Y1355" s="40"/>
      <c r="Z1355" s="38"/>
      <c r="AA1355" s="38"/>
      <c r="AB1355" s="38"/>
      <c r="AC1355" s="38"/>
      <c r="AD1355" s="38"/>
      <c r="AE1355" s="38"/>
      <c r="AF1355" s="38"/>
      <c r="AG1355" s="38"/>
      <c r="AH1355" s="38"/>
      <c r="AI1355" s="38"/>
      <c r="AJ1355" s="38"/>
      <c r="AK1355" s="38"/>
      <c r="AL1355" s="38"/>
      <c r="AM1355" s="38"/>
      <c r="AN1355" s="38"/>
      <c r="AO1355" s="38"/>
      <c r="AP1355" s="38"/>
      <c r="AQ1355" s="38"/>
      <c r="AR1355" s="38"/>
      <c r="AS1355" s="38"/>
      <c r="AT1355" s="38"/>
      <c r="AU1355" s="38"/>
      <c r="AV1355" s="38"/>
      <c r="AW1355" s="38"/>
      <c r="AX1355" s="38"/>
      <c r="AY1355" s="38"/>
      <c r="AZ1355" s="38"/>
      <c r="BA1355" s="38"/>
      <c r="BB1355" s="38"/>
      <c r="BC1355" s="38"/>
      <c r="BD1355" s="38"/>
      <c r="BE1355" s="38"/>
      <c r="BF1355" s="38"/>
      <c r="BG1355" s="38"/>
      <c r="BH1355" s="38"/>
      <c r="BI1355" s="38"/>
      <c r="BJ1355" s="38"/>
      <c r="BK1355" s="38"/>
      <c r="BL1355" s="38"/>
      <c r="BM1355" s="38"/>
      <c r="BN1355" s="38"/>
      <c r="BO1355" s="38"/>
      <c r="BP1355" s="38"/>
      <c r="BQ1355" s="38"/>
    </row>
    <row r="1356">
      <c r="A1356" s="78" t="s">
        <v>4029</v>
      </c>
      <c r="B1356" s="59">
        <v>43265.0</v>
      </c>
      <c r="C1356" s="59">
        <v>43264.0</v>
      </c>
      <c r="D1356" s="60" t="s">
        <v>2382</v>
      </c>
      <c r="E1356" s="58" t="s">
        <v>31</v>
      </c>
      <c r="F1356" s="58">
        <v>1.0</v>
      </c>
      <c r="G1356" s="58" t="s">
        <v>32</v>
      </c>
      <c r="H1356" s="33">
        <f t="shared" si="203"/>
        <v>1</v>
      </c>
      <c r="I1356" s="58" t="s">
        <v>33</v>
      </c>
      <c r="J1356" s="58" t="s">
        <v>279</v>
      </c>
      <c r="K1356" s="58">
        <v>1.0</v>
      </c>
      <c r="L1356" s="58" t="s">
        <v>35</v>
      </c>
      <c r="M1356" s="61" t="s">
        <v>4030</v>
      </c>
      <c r="N1356" s="77"/>
      <c r="O1356" s="62"/>
      <c r="P1356" s="62"/>
      <c r="Q1356" s="62"/>
      <c r="R1356" s="62"/>
      <c r="S1356" s="37" t="str">
        <f>IFERROR(__xludf.DUMMYFUNCTION("if(not(iserror(index(split(C1356, "" ""),2))), index(split(C1356, "" ""),1),"""")"),"June")</f>
        <v>June</v>
      </c>
      <c r="T1356" s="38">
        <f>IFERROR(__xludf.DUMMYFUNCTION("if(S1356="""",C1356,if(not(iserror(index(split(C1356, "" ""),3))), index(split(C1356, "" ""),3),index(split(C1356, "" ""),2)))"),2018.0)</f>
        <v>2018</v>
      </c>
      <c r="U1356" s="38" t="b">
        <f t="shared" si="198"/>
        <v>0</v>
      </c>
      <c r="V1356" s="38"/>
      <c r="W1356" s="40"/>
      <c r="X1356" s="40"/>
      <c r="Y1356" s="40"/>
      <c r="Z1356" s="38"/>
      <c r="AA1356" s="38"/>
      <c r="AB1356" s="38"/>
      <c r="AC1356" s="38"/>
      <c r="AD1356" s="38"/>
      <c r="AE1356" s="38"/>
      <c r="AF1356" s="38"/>
      <c r="AG1356" s="38"/>
      <c r="AH1356" s="38"/>
      <c r="AI1356" s="38"/>
      <c r="AJ1356" s="38"/>
      <c r="AK1356" s="38"/>
      <c r="AL1356" s="38"/>
      <c r="AM1356" s="38"/>
      <c r="AN1356" s="38"/>
      <c r="AO1356" s="38"/>
      <c r="AP1356" s="38"/>
      <c r="AQ1356" s="38"/>
      <c r="AR1356" s="38"/>
      <c r="AS1356" s="38"/>
      <c r="AT1356" s="38"/>
      <c r="AU1356" s="38"/>
      <c r="AV1356" s="38"/>
      <c r="AW1356" s="38"/>
      <c r="AX1356" s="38"/>
      <c r="AY1356" s="38"/>
      <c r="AZ1356" s="38"/>
      <c r="BA1356" s="38"/>
      <c r="BB1356" s="38"/>
      <c r="BC1356" s="38"/>
      <c r="BD1356" s="38"/>
      <c r="BE1356" s="38"/>
      <c r="BF1356" s="38"/>
      <c r="BG1356" s="38"/>
      <c r="BH1356" s="38"/>
      <c r="BI1356" s="38"/>
      <c r="BJ1356" s="38"/>
      <c r="BK1356" s="38"/>
      <c r="BL1356" s="38"/>
      <c r="BM1356" s="38"/>
      <c r="BN1356" s="38"/>
      <c r="BO1356" s="38"/>
      <c r="BP1356" s="38"/>
      <c r="BQ1356" s="38"/>
    </row>
    <row r="1357">
      <c r="A1357" s="58" t="s">
        <v>4031</v>
      </c>
      <c r="B1357" s="59">
        <v>43265.0</v>
      </c>
      <c r="C1357" s="59">
        <v>43264.0</v>
      </c>
      <c r="D1357" s="60" t="s">
        <v>2382</v>
      </c>
      <c r="E1357" s="58" t="s">
        <v>41</v>
      </c>
      <c r="F1357" s="58">
        <v>2.0</v>
      </c>
      <c r="G1357" s="58" t="s">
        <v>32</v>
      </c>
      <c r="H1357" s="33">
        <f t="shared" si="203"/>
        <v>1</v>
      </c>
      <c r="I1357" s="58" t="s">
        <v>33</v>
      </c>
      <c r="J1357" s="58" t="s">
        <v>115</v>
      </c>
      <c r="K1357" s="58">
        <v>1.0</v>
      </c>
      <c r="L1357" s="58" t="s">
        <v>790</v>
      </c>
      <c r="M1357" s="61" t="s">
        <v>4032</v>
      </c>
      <c r="N1357" s="77"/>
      <c r="O1357" s="62"/>
      <c r="P1357" s="62"/>
      <c r="Q1357" s="62"/>
      <c r="R1357" s="62"/>
      <c r="S1357" s="37" t="str">
        <f>IFERROR(__xludf.DUMMYFUNCTION("if(not(iserror(index(split(C1357, "" ""),2))), index(split(C1357, "" ""),1),"""")"),"June")</f>
        <v>June</v>
      </c>
      <c r="T1357" s="38">
        <f>IFERROR(__xludf.DUMMYFUNCTION("if(S1357="""",C1357,if(not(iserror(index(split(C1357, "" ""),3))), index(split(C1357, "" ""),3),index(split(C1357, "" ""),2)))"),2018.0)</f>
        <v>2018</v>
      </c>
      <c r="U1357" s="38" t="b">
        <f t="shared" si="198"/>
        <v>0</v>
      </c>
      <c r="V1357" s="38"/>
      <c r="W1357" s="40"/>
      <c r="X1357" s="40"/>
      <c r="Y1357" s="40"/>
      <c r="Z1357" s="38"/>
      <c r="AA1357" s="38"/>
      <c r="AB1357" s="38"/>
      <c r="AC1357" s="38"/>
      <c r="AD1357" s="38"/>
      <c r="AE1357" s="38"/>
      <c r="AF1357" s="38"/>
      <c r="AG1357" s="38"/>
      <c r="AH1357" s="38"/>
      <c r="AI1357" s="38"/>
      <c r="AJ1357" s="38"/>
      <c r="AK1357" s="38"/>
      <c r="AL1357" s="38"/>
      <c r="AM1357" s="38"/>
      <c r="AN1357" s="38"/>
      <c r="AO1357" s="38"/>
      <c r="AP1357" s="38"/>
      <c r="AQ1357" s="38"/>
      <c r="AR1357" s="38"/>
      <c r="AS1357" s="38"/>
      <c r="AT1357" s="38"/>
      <c r="AU1357" s="38"/>
      <c r="AV1357" s="38"/>
      <c r="AW1357" s="38"/>
      <c r="AX1357" s="38"/>
      <c r="AY1357" s="38"/>
      <c r="AZ1357" s="38"/>
      <c r="BA1357" s="38"/>
      <c r="BB1357" s="38"/>
      <c r="BC1357" s="38"/>
      <c r="BD1357" s="38"/>
      <c r="BE1357" s="38"/>
      <c r="BF1357" s="38"/>
      <c r="BG1357" s="38"/>
      <c r="BH1357" s="38"/>
      <c r="BI1357" s="38"/>
      <c r="BJ1357" s="38"/>
      <c r="BK1357" s="38"/>
      <c r="BL1357" s="38"/>
      <c r="BM1357" s="38"/>
      <c r="BN1357" s="38"/>
      <c r="BO1357" s="38"/>
      <c r="BP1357" s="38"/>
      <c r="BQ1357" s="38"/>
    </row>
    <row r="1358">
      <c r="A1358" s="58" t="s">
        <v>4033</v>
      </c>
      <c r="B1358" s="59">
        <v>43444.0</v>
      </c>
      <c r="C1358" s="59">
        <v>43264.0</v>
      </c>
      <c r="D1358" s="60" t="s">
        <v>2382</v>
      </c>
      <c r="E1358" s="58" t="s">
        <v>41</v>
      </c>
      <c r="F1358" s="58">
        <v>2.0</v>
      </c>
      <c r="G1358" s="58">
        <v>2.0</v>
      </c>
      <c r="H1358" s="33">
        <f t="shared" si="203"/>
        <v>2</v>
      </c>
      <c r="I1358" s="58" t="s">
        <v>33</v>
      </c>
      <c r="J1358" s="58" t="s">
        <v>93</v>
      </c>
      <c r="K1358" s="58">
        <v>1.0</v>
      </c>
      <c r="L1358" s="58" t="s">
        <v>194</v>
      </c>
      <c r="M1358" s="61" t="s">
        <v>4034</v>
      </c>
      <c r="N1358" s="77"/>
      <c r="O1358" s="88" t="str">
        <f>hyperlink("https://bad-boys.us/?q=ND-NY/8:18-cr-00327", "ND-NY 8:18-cr-00327")</f>
        <v>ND-NY 8:18-cr-00327</v>
      </c>
      <c r="P1358" s="88" t="s">
        <v>4035</v>
      </c>
      <c r="Q1358" s="58">
        <v>1.0</v>
      </c>
      <c r="R1358" s="62"/>
      <c r="S1358" s="37" t="str">
        <f>IFERROR(__xludf.DUMMYFUNCTION("if(not(iserror(index(split(C1358, "" ""),2))), index(split(C1358, "" ""),1),"""")"),"June")</f>
        <v>June</v>
      </c>
      <c r="T1358" s="38">
        <f>IFERROR(__xludf.DUMMYFUNCTION("if(S1358="""",C1358,if(not(iserror(index(split(C1358, "" ""),3))), index(split(C1358, "" ""),3),index(split(C1358, "" ""),2)))"),2018.0)</f>
        <v>2018</v>
      </c>
      <c r="U1358" s="38" t="b">
        <f t="shared" si="198"/>
        <v>0</v>
      </c>
      <c r="V1358" s="38"/>
      <c r="W1358" s="40"/>
      <c r="X1358" s="40"/>
      <c r="Y1358" s="40"/>
      <c r="Z1358" s="38"/>
      <c r="AA1358" s="38"/>
      <c r="AB1358" s="38"/>
      <c r="AC1358" s="38"/>
      <c r="AD1358" s="38"/>
      <c r="AE1358" s="38"/>
      <c r="AF1358" s="38"/>
      <c r="AG1358" s="38"/>
      <c r="AH1358" s="38"/>
      <c r="AI1358" s="38"/>
      <c r="AJ1358" s="38"/>
      <c r="AK1358" s="38"/>
      <c r="AL1358" s="38"/>
      <c r="AM1358" s="38"/>
      <c r="AN1358" s="38"/>
      <c r="AO1358" s="38"/>
      <c r="AP1358" s="38"/>
      <c r="AQ1358" s="38"/>
      <c r="AR1358" s="38"/>
      <c r="AS1358" s="38"/>
      <c r="AT1358" s="38"/>
      <c r="AU1358" s="38"/>
      <c r="AV1358" s="38"/>
      <c r="AW1358" s="38"/>
      <c r="AX1358" s="38"/>
      <c r="AY1358" s="38"/>
      <c r="AZ1358" s="38"/>
      <c r="BA1358" s="38"/>
      <c r="BB1358" s="38"/>
      <c r="BC1358" s="38"/>
      <c r="BD1358" s="38"/>
      <c r="BE1358" s="38"/>
      <c r="BF1358" s="38"/>
      <c r="BG1358" s="38"/>
      <c r="BH1358" s="38"/>
      <c r="BI1358" s="38"/>
      <c r="BJ1358" s="38"/>
      <c r="BK1358" s="38"/>
      <c r="BL1358" s="38"/>
      <c r="BM1358" s="38"/>
      <c r="BN1358" s="38"/>
      <c r="BO1358" s="38"/>
      <c r="BP1358" s="38"/>
      <c r="BQ1358" s="38"/>
    </row>
    <row r="1359">
      <c r="A1359" s="78" t="s">
        <v>239</v>
      </c>
      <c r="B1359" s="59">
        <v>43265.0</v>
      </c>
      <c r="C1359" s="59">
        <v>43265.0</v>
      </c>
      <c r="D1359" s="60" t="s">
        <v>4036</v>
      </c>
      <c r="E1359" s="58" t="s">
        <v>41</v>
      </c>
      <c r="F1359" s="58">
        <v>3.0</v>
      </c>
      <c r="G1359" s="58">
        <v>47.0</v>
      </c>
      <c r="H1359" s="33">
        <f t="shared" si="203"/>
        <v>47</v>
      </c>
      <c r="I1359" s="58" t="s">
        <v>33</v>
      </c>
      <c r="J1359" s="58" t="s">
        <v>147</v>
      </c>
      <c r="K1359" s="58">
        <v>2.0</v>
      </c>
      <c r="L1359" s="58" t="s">
        <v>194</v>
      </c>
      <c r="M1359" s="61" t="s">
        <v>4037</v>
      </c>
      <c r="N1359" s="77"/>
      <c r="O1359" s="62"/>
      <c r="P1359" s="62"/>
      <c r="Q1359" s="62"/>
      <c r="R1359" s="62"/>
      <c r="S1359" s="37" t="str">
        <f>IFERROR(__xludf.DUMMYFUNCTION("if(not(iserror(index(split(C1359, "" ""),2))), index(split(C1359, "" ""),1),"""")"),"June")</f>
        <v>June</v>
      </c>
      <c r="T1359" s="38">
        <f>IFERROR(__xludf.DUMMYFUNCTION("if(S1359="""",C1359,if(not(iserror(index(split(C1359, "" ""),3))), index(split(C1359, "" ""),3),index(split(C1359, "" ""),2)))"),2018.0)</f>
        <v>2018</v>
      </c>
      <c r="U1359" s="38" t="b">
        <f t="shared" si="198"/>
        <v>1</v>
      </c>
      <c r="V1359" s="38"/>
      <c r="W1359" s="40"/>
      <c r="X1359" s="40"/>
      <c r="Y1359" s="40"/>
      <c r="Z1359" s="38"/>
      <c r="AA1359" s="38"/>
      <c r="AB1359" s="38"/>
      <c r="AC1359" s="38"/>
      <c r="AD1359" s="38"/>
      <c r="AE1359" s="38"/>
      <c r="AF1359" s="38"/>
      <c r="AG1359" s="38"/>
      <c r="AH1359" s="38"/>
      <c r="AI1359" s="38"/>
      <c r="AJ1359" s="38"/>
      <c r="AK1359" s="38"/>
      <c r="AL1359" s="38"/>
      <c r="AM1359" s="38"/>
      <c r="AN1359" s="38"/>
      <c r="AO1359" s="38"/>
      <c r="AP1359" s="38"/>
      <c r="AQ1359" s="38"/>
      <c r="AR1359" s="38"/>
      <c r="AS1359" s="38"/>
      <c r="AT1359" s="38"/>
      <c r="AU1359" s="38"/>
      <c r="AV1359" s="38"/>
      <c r="AW1359" s="38"/>
      <c r="AX1359" s="38"/>
      <c r="AY1359" s="38"/>
      <c r="AZ1359" s="38"/>
      <c r="BA1359" s="38"/>
      <c r="BB1359" s="38"/>
      <c r="BC1359" s="38"/>
      <c r="BD1359" s="38"/>
      <c r="BE1359" s="38"/>
      <c r="BF1359" s="38"/>
      <c r="BG1359" s="38"/>
      <c r="BH1359" s="38"/>
      <c r="BI1359" s="38"/>
      <c r="BJ1359" s="38"/>
      <c r="BK1359" s="38"/>
      <c r="BL1359" s="38"/>
      <c r="BM1359" s="38"/>
      <c r="BN1359" s="38"/>
      <c r="BO1359" s="38"/>
      <c r="BP1359" s="38"/>
      <c r="BQ1359" s="38"/>
    </row>
    <row r="1360">
      <c r="A1360" s="78" t="s">
        <v>4038</v>
      </c>
      <c r="B1360" s="59">
        <v>43265.0</v>
      </c>
      <c r="C1360" s="59">
        <v>43265.0</v>
      </c>
      <c r="D1360" s="60" t="s">
        <v>4036</v>
      </c>
      <c r="E1360" s="58" t="s">
        <v>31</v>
      </c>
      <c r="F1360" s="58">
        <v>2.0</v>
      </c>
      <c r="G1360" s="58" t="s">
        <v>32</v>
      </c>
      <c r="H1360" s="33">
        <f t="shared" si="203"/>
        <v>1</v>
      </c>
      <c r="I1360" s="58" t="s">
        <v>33</v>
      </c>
      <c r="J1360" s="58" t="s">
        <v>147</v>
      </c>
      <c r="K1360" s="58" t="s">
        <v>32</v>
      </c>
      <c r="L1360" s="58" t="s">
        <v>52</v>
      </c>
      <c r="M1360" s="61" t="s">
        <v>4039</v>
      </c>
      <c r="N1360" s="77"/>
      <c r="O1360" s="62"/>
      <c r="P1360" s="62"/>
      <c r="Q1360" s="62"/>
      <c r="R1360" s="62"/>
      <c r="S1360" s="37" t="str">
        <f>IFERROR(__xludf.DUMMYFUNCTION("if(not(iserror(index(split(C1360, "" ""),2))), index(split(C1360, "" ""),1),"""")"),"June")</f>
        <v>June</v>
      </c>
      <c r="T1360" s="38">
        <f>IFERROR(__xludf.DUMMYFUNCTION("if(S1360="""",C1360,if(not(iserror(index(split(C1360, "" ""),3))), index(split(C1360, "" ""),3),index(split(C1360, "" ""),2)))"),2018.0)</f>
        <v>2018</v>
      </c>
      <c r="U1360" s="38" t="b">
        <f t="shared" si="198"/>
        <v>0</v>
      </c>
      <c r="V1360" s="38"/>
      <c r="W1360" s="40"/>
      <c r="X1360" s="40"/>
      <c r="Y1360" s="40"/>
      <c r="Z1360" s="38"/>
      <c r="AA1360" s="38"/>
      <c r="AB1360" s="38"/>
      <c r="AC1360" s="38"/>
      <c r="AD1360" s="38"/>
      <c r="AE1360" s="38"/>
      <c r="AF1360" s="38"/>
      <c r="AG1360" s="38"/>
      <c r="AH1360" s="38"/>
      <c r="AI1360" s="38"/>
      <c r="AJ1360" s="38"/>
      <c r="AK1360" s="38"/>
      <c r="AL1360" s="38"/>
      <c r="AM1360" s="38"/>
      <c r="AN1360" s="38"/>
      <c r="AO1360" s="38"/>
      <c r="AP1360" s="38"/>
      <c r="AQ1360" s="38"/>
      <c r="AR1360" s="38"/>
      <c r="AS1360" s="38"/>
      <c r="AT1360" s="38"/>
      <c r="AU1360" s="38"/>
      <c r="AV1360" s="38"/>
      <c r="AW1360" s="38"/>
      <c r="AX1360" s="38"/>
      <c r="AY1360" s="38"/>
      <c r="AZ1360" s="38"/>
      <c r="BA1360" s="38"/>
      <c r="BB1360" s="38"/>
      <c r="BC1360" s="38"/>
      <c r="BD1360" s="38"/>
      <c r="BE1360" s="38"/>
      <c r="BF1360" s="38"/>
      <c r="BG1360" s="38"/>
      <c r="BH1360" s="38"/>
      <c r="BI1360" s="38"/>
      <c r="BJ1360" s="38"/>
      <c r="BK1360" s="38"/>
      <c r="BL1360" s="38"/>
      <c r="BM1360" s="38"/>
      <c r="BN1360" s="38"/>
      <c r="BO1360" s="38"/>
      <c r="BP1360" s="38"/>
      <c r="BQ1360" s="38"/>
    </row>
    <row r="1361">
      <c r="A1361" s="78" t="s">
        <v>4040</v>
      </c>
      <c r="B1361" s="59">
        <v>43265.0</v>
      </c>
      <c r="C1361" s="59">
        <v>43265.0</v>
      </c>
      <c r="D1361" s="60" t="s">
        <v>4036</v>
      </c>
      <c r="E1361" s="58" t="s">
        <v>41</v>
      </c>
      <c r="F1361" s="58">
        <v>2.0</v>
      </c>
      <c r="G1361" s="58" t="s">
        <v>32</v>
      </c>
      <c r="H1361" s="33">
        <f t="shared" si="203"/>
        <v>1</v>
      </c>
      <c r="I1361" s="58" t="s">
        <v>33</v>
      </c>
      <c r="J1361" s="58" t="s">
        <v>184</v>
      </c>
      <c r="K1361" s="58" t="s">
        <v>32</v>
      </c>
      <c r="L1361" s="58" t="s">
        <v>52</v>
      </c>
      <c r="M1361" s="61" t="s">
        <v>4041</v>
      </c>
      <c r="N1361" s="77"/>
      <c r="O1361" s="62"/>
      <c r="P1361" s="62"/>
      <c r="Q1361" s="62"/>
      <c r="R1361" s="62"/>
      <c r="S1361" s="37" t="str">
        <f>IFERROR(__xludf.DUMMYFUNCTION("if(not(iserror(index(split(C1361, "" ""),2))), index(split(C1361, "" ""),1),"""")"),"June")</f>
        <v>June</v>
      </c>
      <c r="T1361" s="38">
        <f>IFERROR(__xludf.DUMMYFUNCTION("if(S1361="""",C1361,if(not(iserror(index(split(C1361, "" ""),3))), index(split(C1361, "" ""),3),index(split(C1361, "" ""),2)))"),2018.0)</f>
        <v>2018</v>
      </c>
      <c r="U1361" s="38" t="b">
        <f t="shared" si="198"/>
        <v>0</v>
      </c>
      <c r="V1361" s="38"/>
      <c r="W1361" s="40"/>
      <c r="X1361" s="40"/>
      <c r="Y1361" s="40"/>
      <c r="Z1361" s="38"/>
      <c r="AA1361" s="38"/>
      <c r="AB1361" s="38"/>
      <c r="AC1361" s="38"/>
      <c r="AD1361" s="38"/>
      <c r="AE1361" s="38"/>
      <c r="AF1361" s="38"/>
      <c r="AG1361" s="38"/>
      <c r="AH1361" s="38"/>
      <c r="AI1361" s="38"/>
      <c r="AJ1361" s="38"/>
      <c r="AK1361" s="38"/>
      <c r="AL1361" s="38"/>
      <c r="AM1361" s="38"/>
      <c r="AN1361" s="38"/>
      <c r="AO1361" s="38"/>
      <c r="AP1361" s="38"/>
      <c r="AQ1361" s="38"/>
      <c r="AR1361" s="38"/>
      <c r="AS1361" s="38"/>
      <c r="AT1361" s="38"/>
      <c r="AU1361" s="38"/>
      <c r="AV1361" s="38"/>
      <c r="AW1361" s="38"/>
      <c r="AX1361" s="38"/>
      <c r="AY1361" s="38"/>
      <c r="AZ1361" s="38"/>
      <c r="BA1361" s="38"/>
      <c r="BB1361" s="38"/>
      <c r="BC1361" s="38"/>
      <c r="BD1361" s="38"/>
      <c r="BE1361" s="38"/>
      <c r="BF1361" s="38"/>
      <c r="BG1361" s="38"/>
      <c r="BH1361" s="38"/>
      <c r="BI1361" s="38"/>
      <c r="BJ1361" s="38"/>
      <c r="BK1361" s="38"/>
      <c r="BL1361" s="38"/>
      <c r="BM1361" s="38"/>
      <c r="BN1361" s="38"/>
      <c r="BO1361" s="38"/>
      <c r="BP1361" s="38"/>
      <c r="BQ1361" s="38"/>
    </row>
    <row r="1362">
      <c r="A1362" s="58" t="s">
        <v>4042</v>
      </c>
      <c r="B1362" s="59">
        <v>43266.0</v>
      </c>
      <c r="C1362" s="59">
        <v>43265.0</v>
      </c>
      <c r="D1362" s="60" t="s">
        <v>4036</v>
      </c>
      <c r="E1362" s="58" t="s">
        <v>31</v>
      </c>
      <c r="F1362" s="58">
        <v>2.0</v>
      </c>
      <c r="G1362" s="58" t="s">
        <v>32</v>
      </c>
      <c r="H1362" s="33">
        <f t="shared" si="203"/>
        <v>1</v>
      </c>
      <c r="I1362" s="58" t="s">
        <v>33</v>
      </c>
      <c r="J1362" s="58" t="s">
        <v>61</v>
      </c>
      <c r="K1362" s="58">
        <v>1.0</v>
      </c>
      <c r="L1362" s="58" t="s">
        <v>194</v>
      </c>
      <c r="M1362" s="61" t="s">
        <v>4043</v>
      </c>
      <c r="N1362" s="77"/>
      <c r="O1362" s="62"/>
      <c r="P1362" s="62"/>
      <c r="Q1362" s="62"/>
      <c r="R1362" s="62"/>
      <c r="S1362" s="37" t="str">
        <f>IFERROR(__xludf.DUMMYFUNCTION("if(not(iserror(index(split(C1362, "" ""),2))), index(split(C1362, "" ""),1),"""")"),"June")</f>
        <v>June</v>
      </c>
      <c r="T1362" s="38">
        <f>IFERROR(__xludf.DUMMYFUNCTION("if(S1362="""",C1362,if(not(iserror(index(split(C1362, "" ""),3))), index(split(C1362, "" ""),3),index(split(C1362, "" ""),2)))"),2018.0)</f>
        <v>2018</v>
      </c>
      <c r="U1362" s="38" t="b">
        <f t="shared" si="198"/>
        <v>0</v>
      </c>
      <c r="V1362" s="38"/>
      <c r="W1362" s="40"/>
      <c r="X1362" s="40"/>
      <c r="Y1362" s="40"/>
      <c r="Z1362" s="38"/>
      <c r="AA1362" s="38"/>
      <c r="AB1362" s="38"/>
      <c r="AC1362" s="38"/>
      <c r="AD1362" s="38"/>
      <c r="AE1362" s="38"/>
      <c r="AF1362" s="38"/>
      <c r="AG1362" s="38"/>
      <c r="AH1362" s="38"/>
      <c r="AI1362" s="38"/>
      <c r="AJ1362" s="38"/>
      <c r="AK1362" s="38"/>
      <c r="AL1362" s="38"/>
      <c r="AM1362" s="38"/>
      <c r="AN1362" s="38"/>
      <c r="AO1362" s="38"/>
      <c r="AP1362" s="38"/>
      <c r="AQ1362" s="38"/>
      <c r="AR1362" s="38"/>
      <c r="AS1362" s="38"/>
      <c r="AT1362" s="38"/>
      <c r="AU1362" s="38"/>
      <c r="AV1362" s="38"/>
      <c r="AW1362" s="38"/>
      <c r="AX1362" s="38"/>
      <c r="AY1362" s="38"/>
      <c r="AZ1362" s="38"/>
      <c r="BA1362" s="38"/>
      <c r="BB1362" s="38"/>
      <c r="BC1362" s="38"/>
      <c r="BD1362" s="38"/>
      <c r="BE1362" s="38"/>
      <c r="BF1362" s="38"/>
      <c r="BG1362" s="38"/>
      <c r="BH1362" s="38"/>
      <c r="BI1362" s="38"/>
      <c r="BJ1362" s="38"/>
      <c r="BK1362" s="38"/>
      <c r="BL1362" s="38"/>
      <c r="BM1362" s="38"/>
      <c r="BN1362" s="38"/>
      <c r="BO1362" s="38"/>
      <c r="BP1362" s="38"/>
      <c r="BQ1362" s="38"/>
    </row>
    <row r="1363">
      <c r="A1363" s="58" t="s">
        <v>4044</v>
      </c>
      <c r="B1363" s="59">
        <v>43267.0</v>
      </c>
      <c r="C1363" s="59">
        <v>43265.0</v>
      </c>
      <c r="D1363" s="60" t="s">
        <v>4036</v>
      </c>
      <c r="E1363" s="58" t="s">
        <v>31</v>
      </c>
      <c r="F1363" s="58">
        <v>1.0</v>
      </c>
      <c r="G1363" s="58" t="s">
        <v>32</v>
      </c>
      <c r="H1363" s="33">
        <f t="shared" si="203"/>
        <v>1</v>
      </c>
      <c r="I1363" s="58" t="s">
        <v>33</v>
      </c>
      <c r="J1363" s="58" t="s">
        <v>89</v>
      </c>
      <c r="K1363" s="58">
        <v>1.0</v>
      </c>
      <c r="L1363" s="58" t="s">
        <v>35</v>
      </c>
      <c r="M1363" s="61" t="s">
        <v>4045</v>
      </c>
      <c r="N1363" s="77"/>
      <c r="O1363" s="62"/>
      <c r="P1363" s="62"/>
      <c r="Q1363" s="62"/>
      <c r="R1363" s="62"/>
      <c r="S1363" s="37" t="str">
        <f>IFERROR(__xludf.DUMMYFUNCTION("if(not(iserror(index(split(C1363, "" ""),2))), index(split(C1363, "" ""),1),"""")"),"June")</f>
        <v>June</v>
      </c>
      <c r="T1363" s="38">
        <f>IFERROR(__xludf.DUMMYFUNCTION("if(S1363="""",C1363,if(not(iserror(index(split(C1363, "" ""),3))), index(split(C1363, "" ""),3),index(split(C1363, "" ""),2)))"),2018.0)</f>
        <v>2018</v>
      </c>
      <c r="U1363" s="38" t="b">
        <f t="shared" si="198"/>
        <v>0</v>
      </c>
      <c r="V1363" s="38"/>
      <c r="W1363" s="40"/>
      <c r="X1363" s="40"/>
      <c r="Y1363" s="40"/>
      <c r="Z1363" s="38"/>
      <c r="AA1363" s="38"/>
      <c r="AB1363" s="38"/>
      <c r="AC1363" s="38"/>
      <c r="AD1363" s="38"/>
      <c r="AE1363" s="38"/>
      <c r="AF1363" s="38"/>
      <c r="AG1363" s="38"/>
      <c r="AH1363" s="38"/>
      <c r="AI1363" s="38"/>
      <c r="AJ1363" s="38"/>
      <c r="AK1363" s="38"/>
      <c r="AL1363" s="38"/>
      <c r="AM1363" s="38"/>
      <c r="AN1363" s="38"/>
      <c r="AO1363" s="38"/>
      <c r="AP1363" s="38"/>
      <c r="AQ1363" s="38"/>
      <c r="AR1363" s="38"/>
      <c r="AS1363" s="38"/>
      <c r="AT1363" s="38"/>
      <c r="AU1363" s="38"/>
      <c r="AV1363" s="38"/>
      <c r="AW1363" s="38"/>
      <c r="AX1363" s="38"/>
      <c r="AY1363" s="38"/>
      <c r="AZ1363" s="38"/>
      <c r="BA1363" s="38"/>
      <c r="BB1363" s="38"/>
      <c r="BC1363" s="38"/>
      <c r="BD1363" s="38"/>
      <c r="BE1363" s="38"/>
      <c r="BF1363" s="38"/>
      <c r="BG1363" s="38"/>
      <c r="BH1363" s="38"/>
      <c r="BI1363" s="38"/>
      <c r="BJ1363" s="38"/>
      <c r="BK1363" s="38"/>
      <c r="BL1363" s="38"/>
      <c r="BM1363" s="38"/>
      <c r="BN1363" s="38"/>
      <c r="BO1363" s="38"/>
      <c r="BP1363" s="38"/>
      <c r="BQ1363" s="38"/>
    </row>
    <row r="1364">
      <c r="A1364" s="58" t="s">
        <v>4046</v>
      </c>
      <c r="B1364" s="59">
        <v>43269.0</v>
      </c>
      <c r="C1364" s="59">
        <v>43265.0</v>
      </c>
      <c r="D1364" s="60" t="s">
        <v>4036</v>
      </c>
      <c r="E1364" s="58" t="s">
        <v>31</v>
      </c>
      <c r="F1364" s="58">
        <v>1.0</v>
      </c>
      <c r="G1364" s="58" t="s">
        <v>32</v>
      </c>
      <c r="H1364" s="33">
        <f t="shared" si="203"/>
        <v>1</v>
      </c>
      <c r="I1364" s="58" t="s">
        <v>33</v>
      </c>
      <c r="J1364" s="58" t="s">
        <v>172</v>
      </c>
      <c r="K1364" s="58">
        <v>1.0</v>
      </c>
      <c r="L1364" s="58" t="s">
        <v>52</v>
      </c>
      <c r="M1364" s="61" t="s">
        <v>4047</v>
      </c>
      <c r="N1364" s="77"/>
      <c r="O1364" s="62"/>
      <c r="P1364" s="62"/>
      <c r="Q1364" s="62"/>
      <c r="R1364" s="62"/>
      <c r="S1364" s="37" t="str">
        <f>IFERROR(__xludf.DUMMYFUNCTION("if(not(iserror(index(split(C1364, "" ""),2))), index(split(C1364, "" ""),1),"""")"),"June")</f>
        <v>June</v>
      </c>
      <c r="T1364" s="38">
        <f>IFERROR(__xludf.DUMMYFUNCTION("if(S1364="""",C1364,if(not(iserror(index(split(C1364, "" ""),3))), index(split(C1364, "" ""),3),index(split(C1364, "" ""),2)))"),2018.0)</f>
        <v>2018</v>
      </c>
      <c r="U1364" s="38" t="b">
        <f t="shared" si="198"/>
        <v>0</v>
      </c>
      <c r="V1364" s="38"/>
      <c r="W1364" s="40"/>
      <c r="X1364" s="40"/>
      <c r="Y1364" s="40"/>
      <c r="Z1364" s="38"/>
      <c r="AA1364" s="38"/>
      <c r="AB1364" s="38"/>
      <c r="AC1364" s="38"/>
      <c r="AD1364" s="38"/>
      <c r="AE1364" s="38"/>
      <c r="AF1364" s="38"/>
      <c r="AG1364" s="38"/>
      <c r="AH1364" s="38"/>
      <c r="AI1364" s="38"/>
      <c r="AJ1364" s="38"/>
      <c r="AK1364" s="38"/>
      <c r="AL1364" s="38"/>
      <c r="AM1364" s="38"/>
      <c r="AN1364" s="38"/>
      <c r="AO1364" s="38"/>
      <c r="AP1364" s="38"/>
      <c r="AQ1364" s="38"/>
      <c r="AR1364" s="38"/>
      <c r="AS1364" s="38"/>
      <c r="AT1364" s="38"/>
      <c r="AU1364" s="38"/>
      <c r="AV1364" s="38"/>
      <c r="AW1364" s="38"/>
      <c r="AX1364" s="38"/>
      <c r="AY1364" s="38"/>
      <c r="AZ1364" s="38"/>
      <c r="BA1364" s="38"/>
      <c r="BB1364" s="38"/>
      <c r="BC1364" s="38"/>
      <c r="BD1364" s="38"/>
      <c r="BE1364" s="38"/>
      <c r="BF1364" s="38"/>
      <c r="BG1364" s="38"/>
      <c r="BH1364" s="38"/>
      <c r="BI1364" s="38"/>
      <c r="BJ1364" s="38"/>
      <c r="BK1364" s="38"/>
      <c r="BL1364" s="38"/>
      <c r="BM1364" s="38"/>
      <c r="BN1364" s="38"/>
      <c r="BO1364" s="38"/>
      <c r="BP1364" s="38"/>
      <c r="BQ1364" s="38"/>
    </row>
    <row r="1365">
      <c r="A1365" s="58" t="s">
        <v>4048</v>
      </c>
      <c r="B1365" s="59"/>
      <c r="C1365" s="59">
        <v>43265.0</v>
      </c>
      <c r="D1365" s="60"/>
      <c r="E1365" s="58" t="s">
        <v>41</v>
      </c>
      <c r="F1365" s="58">
        <v>1.0</v>
      </c>
      <c r="G1365" s="58">
        <v>5.0</v>
      </c>
      <c r="H1365" s="43">
        <v>5.0</v>
      </c>
      <c r="I1365" s="58" t="s">
        <v>33</v>
      </c>
      <c r="J1365" s="58" t="s">
        <v>106</v>
      </c>
      <c r="K1365" s="58"/>
      <c r="L1365" s="58" t="s">
        <v>2156</v>
      </c>
      <c r="M1365" s="61" t="s">
        <v>4049</v>
      </c>
      <c r="N1365" s="77"/>
      <c r="O1365" s="83" t="str">
        <f>hyperlink("https://bad-boys.us/?q=D-MD/1:18-cr-00330", "D-MD 1:18-cr-00330")</f>
        <v>D-MD 1:18-cr-00330</v>
      </c>
      <c r="P1365" s="88" t="s">
        <v>4050</v>
      </c>
      <c r="Q1365" s="58">
        <v>1.0</v>
      </c>
      <c r="R1365" s="62"/>
      <c r="S1365" s="37" t="str">
        <f>IFERROR(__xludf.DUMMYFUNCTION("if(not(iserror(index(split(C1365, "" ""),2))), index(split(C1365, "" ""),1),"""")"),"June")</f>
        <v>June</v>
      </c>
      <c r="T1365" s="38">
        <f>IFERROR(__xludf.DUMMYFUNCTION("if(S1365="""",C1365,if(not(iserror(index(split(C1365, "" ""),3))), index(split(C1365, "" ""),3),index(split(C1365, "" ""),2)))"),2018.0)</f>
        <v>2018</v>
      </c>
      <c r="U1365" s="38" t="b">
        <f t="shared" si="198"/>
        <v>0</v>
      </c>
      <c r="V1365" s="38" t="s">
        <v>33</v>
      </c>
      <c r="W1365" s="40"/>
      <c r="X1365" s="40"/>
      <c r="Y1365" s="40"/>
      <c r="Z1365" s="38"/>
      <c r="AA1365" s="38"/>
      <c r="AB1365" s="38"/>
      <c r="AC1365" s="38"/>
      <c r="AD1365" s="38"/>
      <c r="AE1365" s="38"/>
      <c r="AF1365" s="38"/>
      <c r="AG1365" s="38"/>
      <c r="AH1365" s="38"/>
      <c r="AI1365" s="38"/>
      <c r="AJ1365" s="38"/>
      <c r="AK1365" s="38"/>
      <c r="AL1365" s="38"/>
      <c r="AM1365" s="38"/>
      <c r="AN1365" s="38"/>
      <c r="AO1365" s="38"/>
      <c r="AP1365" s="38"/>
      <c r="AQ1365" s="38"/>
      <c r="AR1365" s="38"/>
      <c r="AS1365" s="38"/>
      <c r="AT1365" s="38"/>
      <c r="AU1365" s="38"/>
      <c r="AV1365" s="38"/>
      <c r="AW1365" s="38"/>
      <c r="AX1365" s="38"/>
      <c r="AY1365" s="38"/>
      <c r="AZ1365" s="38"/>
      <c r="BA1365" s="38"/>
      <c r="BB1365" s="38"/>
      <c r="BC1365" s="38"/>
      <c r="BD1365" s="38"/>
      <c r="BE1365" s="38"/>
      <c r="BF1365" s="38"/>
      <c r="BG1365" s="38"/>
      <c r="BH1365" s="38"/>
      <c r="BI1365" s="38"/>
      <c r="BJ1365" s="38"/>
      <c r="BK1365" s="38"/>
      <c r="BL1365" s="38"/>
      <c r="BM1365" s="38"/>
      <c r="BN1365" s="38"/>
      <c r="BO1365" s="38"/>
      <c r="BP1365" s="38"/>
      <c r="BQ1365" s="38"/>
    </row>
    <row r="1366">
      <c r="A1366" s="78" t="s">
        <v>4051</v>
      </c>
      <c r="B1366" s="59">
        <v>43266.0</v>
      </c>
      <c r="C1366" s="59">
        <v>43266.0</v>
      </c>
      <c r="D1366" s="60" t="s">
        <v>4052</v>
      </c>
      <c r="E1366" s="58" t="s">
        <v>41</v>
      </c>
      <c r="F1366" s="58">
        <v>1.0</v>
      </c>
      <c r="G1366" s="58" t="s">
        <v>32</v>
      </c>
      <c r="H1366" s="33">
        <f t="shared" ref="H1366:H1378" si="204">if(G1366="Unknown",1,G1366)</f>
        <v>1</v>
      </c>
      <c r="I1366" s="58" t="s">
        <v>33</v>
      </c>
      <c r="J1366" s="58" t="s">
        <v>410</v>
      </c>
      <c r="K1366" s="58">
        <v>1.0</v>
      </c>
      <c r="L1366" s="58" t="s">
        <v>52</v>
      </c>
      <c r="M1366" s="61" t="s">
        <v>4053</v>
      </c>
      <c r="N1366" s="77"/>
      <c r="O1366" s="62"/>
      <c r="P1366" s="62"/>
      <c r="Q1366" s="62"/>
      <c r="R1366" s="62"/>
      <c r="S1366" s="37" t="str">
        <f>IFERROR(__xludf.DUMMYFUNCTION("if(not(iserror(index(split(C1366, "" ""),2))), index(split(C1366, "" ""),1),"""")"),"June")</f>
        <v>June</v>
      </c>
      <c r="T1366" s="38">
        <f>IFERROR(__xludf.DUMMYFUNCTION("if(S1366="""",C1366,if(not(iserror(index(split(C1366, "" ""),3))), index(split(C1366, "" ""),3),index(split(C1366, "" ""),2)))"),2018.0)</f>
        <v>2018</v>
      </c>
      <c r="U1366" s="38" t="b">
        <f t="shared" si="198"/>
        <v>0</v>
      </c>
      <c r="V1366" s="38"/>
      <c r="W1366" s="40"/>
      <c r="X1366" s="40"/>
      <c r="Y1366" s="40"/>
      <c r="Z1366" s="38"/>
      <c r="AA1366" s="38"/>
      <c r="AB1366" s="38"/>
      <c r="AC1366" s="38"/>
      <c r="AD1366" s="38"/>
      <c r="AE1366" s="38"/>
      <c r="AF1366" s="38"/>
      <c r="AG1366" s="38"/>
      <c r="AH1366" s="38"/>
      <c r="AI1366" s="38"/>
      <c r="AJ1366" s="38"/>
      <c r="AK1366" s="38"/>
      <c r="AL1366" s="38"/>
      <c r="AM1366" s="38"/>
      <c r="AN1366" s="38"/>
      <c r="AO1366" s="38"/>
      <c r="AP1366" s="38"/>
      <c r="AQ1366" s="38"/>
      <c r="AR1366" s="38"/>
      <c r="AS1366" s="38"/>
      <c r="AT1366" s="38"/>
      <c r="AU1366" s="38"/>
      <c r="AV1366" s="38"/>
      <c r="AW1366" s="38"/>
      <c r="AX1366" s="38"/>
      <c r="AY1366" s="38"/>
      <c r="AZ1366" s="38"/>
      <c r="BA1366" s="38"/>
      <c r="BB1366" s="38"/>
      <c r="BC1366" s="38"/>
      <c r="BD1366" s="38"/>
      <c r="BE1366" s="38"/>
      <c r="BF1366" s="38"/>
      <c r="BG1366" s="38"/>
      <c r="BH1366" s="38"/>
      <c r="BI1366" s="38"/>
      <c r="BJ1366" s="38"/>
      <c r="BK1366" s="38"/>
      <c r="BL1366" s="38"/>
      <c r="BM1366" s="38"/>
      <c r="BN1366" s="38"/>
      <c r="BO1366" s="38"/>
      <c r="BP1366" s="38"/>
      <c r="BQ1366" s="38"/>
    </row>
    <row r="1367">
      <c r="A1367" s="58" t="s">
        <v>4054</v>
      </c>
      <c r="B1367" s="59">
        <v>43266.0</v>
      </c>
      <c r="C1367" s="59">
        <v>43266.0</v>
      </c>
      <c r="D1367" s="60" t="s">
        <v>4052</v>
      </c>
      <c r="E1367" s="58" t="s">
        <v>41</v>
      </c>
      <c r="F1367" s="58">
        <v>1.0</v>
      </c>
      <c r="G1367" s="58" t="s">
        <v>32</v>
      </c>
      <c r="H1367" s="33">
        <f t="shared" si="204"/>
        <v>1</v>
      </c>
      <c r="I1367" s="58" t="s">
        <v>33</v>
      </c>
      <c r="J1367" s="58" t="s">
        <v>115</v>
      </c>
      <c r="K1367" s="58">
        <v>1.0</v>
      </c>
      <c r="L1367" s="58" t="s">
        <v>223</v>
      </c>
      <c r="M1367" s="61" t="s">
        <v>4055</v>
      </c>
      <c r="N1367" s="77"/>
      <c r="O1367" s="83" t="str">
        <f>hyperlink("https://bad-boys.us/?q=ED-PA/2:18-cr-00255", "ED-PA 2:18-cr-00255")</f>
        <v>ED-PA 2:18-cr-00255</v>
      </c>
      <c r="P1367" s="88" t="s">
        <v>4056</v>
      </c>
      <c r="Q1367" s="58">
        <v>1.0</v>
      </c>
      <c r="R1367" s="62"/>
      <c r="S1367" s="37" t="str">
        <f>IFERROR(__xludf.DUMMYFUNCTION("if(not(iserror(index(split(C1367, "" ""),2))), index(split(C1367, "" ""),1),"""")"),"June")</f>
        <v>June</v>
      </c>
      <c r="T1367" s="38">
        <f>IFERROR(__xludf.DUMMYFUNCTION("if(S1367="""",C1367,if(not(iserror(index(split(C1367, "" ""),3))), index(split(C1367, "" ""),3),index(split(C1367, "" ""),2)))"),2018.0)</f>
        <v>2018</v>
      </c>
      <c r="U1367" s="38" t="b">
        <f t="shared" si="198"/>
        <v>0</v>
      </c>
      <c r="V1367" s="38"/>
      <c r="W1367" s="40"/>
      <c r="X1367" s="40"/>
      <c r="Y1367" s="40"/>
      <c r="Z1367" s="38"/>
      <c r="AA1367" s="38"/>
      <c r="AB1367" s="38"/>
      <c r="AC1367" s="38"/>
      <c r="AD1367" s="38"/>
      <c r="AE1367" s="38"/>
      <c r="AF1367" s="38"/>
      <c r="AG1367" s="38"/>
      <c r="AH1367" s="38"/>
      <c r="AI1367" s="38"/>
      <c r="AJ1367" s="38"/>
      <c r="AK1367" s="38"/>
      <c r="AL1367" s="38"/>
      <c r="AM1367" s="38"/>
      <c r="AN1367" s="38"/>
      <c r="AO1367" s="38"/>
      <c r="AP1367" s="38"/>
      <c r="AQ1367" s="38"/>
      <c r="AR1367" s="38"/>
      <c r="AS1367" s="38"/>
      <c r="AT1367" s="38"/>
      <c r="AU1367" s="38"/>
      <c r="AV1367" s="38"/>
      <c r="AW1367" s="38"/>
      <c r="AX1367" s="38"/>
      <c r="AY1367" s="38"/>
      <c r="AZ1367" s="38"/>
      <c r="BA1367" s="38"/>
      <c r="BB1367" s="38"/>
      <c r="BC1367" s="38"/>
      <c r="BD1367" s="38"/>
      <c r="BE1367" s="38"/>
      <c r="BF1367" s="38"/>
      <c r="BG1367" s="38"/>
      <c r="BH1367" s="38"/>
      <c r="BI1367" s="38"/>
      <c r="BJ1367" s="38"/>
      <c r="BK1367" s="38"/>
      <c r="BL1367" s="38"/>
      <c r="BM1367" s="38"/>
      <c r="BN1367" s="38"/>
      <c r="BO1367" s="38"/>
      <c r="BP1367" s="38"/>
      <c r="BQ1367" s="38"/>
    </row>
    <row r="1368">
      <c r="A1368" s="78" t="s">
        <v>4057</v>
      </c>
      <c r="B1368" s="59">
        <v>43270.0</v>
      </c>
      <c r="C1368" s="59">
        <v>43266.0</v>
      </c>
      <c r="D1368" s="60" t="s">
        <v>4052</v>
      </c>
      <c r="E1368" s="58" t="s">
        <v>41</v>
      </c>
      <c r="F1368" s="58">
        <v>2.0</v>
      </c>
      <c r="G1368" s="58" t="s">
        <v>32</v>
      </c>
      <c r="H1368" s="33">
        <f t="shared" si="204"/>
        <v>1</v>
      </c>
      <c r="I1368" s="58" t="s">
        <v>33</v>
      </c>
      <c r="J1368" s="58" t="s">
        <v>410</v>
      </c>
      <c r="K1368" s="58" t="s">
        <v>32</v>
      </c>
      <c r="L1368" s="58" t="s">
        <v>2316</v>
      </c>
      <c r="M1368" s="61" t="s">
        <v>4058</v>
      </c>
      <c r="N1368" s="77"/>
      <c r="O1368" s="62"/>
      <c r="P1368" s="62"/>
      <c r="Q1368" s="62"/>
      <c r="R1368" s="62"/>
      <c r="S1368" s="37" t="str">
        <f>IFERROR(__xludf.DUMMYFUNCTION("if(not(iserror(index(split(C1368, "" ""),2))), index(split(C1368, "" ""),1),"""")"),"June")</f>
        <v>June</v>
      </c>
      <c r="T1368" s="38">
        <f>IFERROR(__xludf.DUMMYFUNCTION("if(S1368="""",C1368,if(not(iserror(index(split(C1368, "" ""),3))), index(split(C1368, "" ""),3),index(split(C1368, "" ""),2)))"),2018.0)</f>
        <v>2018</v>
      </c>
      <c r="U1368" s="38" t="b">
        <f t="shared" si="198"/>
        <v>0</v>
      </c>
      <c r="V1368" s="38"/>
      <c r="W1368" s="40"/>
      <c r="X1368" s="40"/>
      <c r="Y1368" s="40"/>
      <c r="Z1368" s="38"/>
      <c r="AA1368" s="38"/>
      <c r="AB1368" s="38"/>
      <c r="AC1368" s="38"/>
      <c r="AD1368" s="38"/>
      <c r="AE1368" s="38"/>
      <c r="AF1368" s="38"/>
      <c r="AG1368" s="38"/>
      <c r="AH1368" s="38"/>
      <c r="AI1368" s="38"/>
      <c r="AJ1368" s="38"/>
      <c r="AK1368" s="38"/>
      <c r="AL1368" s="38"/>
      <c r="AM1368" s="38"/>
      <c r="AN1368" s="38"/>
      <c r="AO1368" s="38"/>
      <c r="AP1368" s="38"/>
      <c r="AQ1368" s="38"/>
      <c r="AR1368" s="38"/>
      <c r="AS1368" s="38"/>
      <c r="AT1368" s="38"/>
      <c r="AU1368" s="38"/>
      <c r="AV1368" s="38"/>
      <c r="AW1368" s="38"/>
      <c r="AX1368" s="38"/>
      <c r="AY1368" s="38"/>
      <c r="AZ1368" s="38"/>
      <c r="BA1368" s="38"/>
      <c r="BB1368" s="38"/>
      <c r="BC1368" s="38"/>
      <c r="BD1368" s="38"/>
      <c r="BE1368" s="38"/>
      <c r="BF1368" s="38"/>
      <c r="BG1368" s="38"/>
      <c r="BH1368" s="38"/>
      <c r="BI1368" s="38"/>
      <c r="BJ1368" s="38"/>
      <c r="BK1368" s="38"/>
      <c r="BL1368" s="38"/>
      <c r="BM1368" s="38"/>
      <c r="BN1368" s="38"/>
      <c r="BO1368" s="38"/>
      <c r="BP1368" s="38"/>
      <c r="BQ1368" s="38"/>
    </row>
    <row r="1369">
      <c r="A1369" s="58" t="s">
        <v>4059</v>
      </c>
      <c r="B1369" s="59">
        <v>43272.0</v>
      </c>
      <c r="C1369" s="59">
        <v>43266.0</v>
      </c>
      <c r="D1369" s="60" t="s">
        <v>4052</v>
      </c>
      <c r="E1369" s="58" t="s">
        <v>41</v>
      </c>
      <c r="F1369" s="58">
        <v>1.0</v>
      </c>
      <c r="G1369" s="58" t="s">
        <v>32</v>
      </c>
      <c r="H1369" s="33">
        <f t="shared" si="204"/>
        <v>1</v>
      </c>
      <c r="I1369" s="58" t="s">
        <v>33</v>
      </c>
      <c r="J1369" s="58" t="s">
        <v>193</v>
      </c>
      <c r="K1369" s="58">
        <v>2.0</v>
      </c>
      <c r="L1369" s="58" t="s">
        <v>69</v>
      </c>
      <c r="M1369" s="61" t="s">
        <v>4060</v>
      </c>
      <c r="N1369" s="61" t="s">
        <v>4061</v>
      </c>
      <c r="O1369" s="88" t="str">
        <f>hyperlink("https://bad-boys.us/?q=D-NM/2:18-cr-03079", "D-NM 2:18-cr-03079")</f>
        <v>D-NM 2:18-cr-03079</v>
      </c>
      <c r="P1369" s="62"/>
      <c r="Q1369" s="58">
        <v>1.0</v>
      </c>
      <c r="R1369" s="62"/>
      <c r="S1369" s="37" t="str">
        <f>IFERROR(__xludf.DUMMYFUNCTION("if(not(iserror(index(split(C1369, "" ""),2))), index(split(C1369, "" ""),1),"""")"),"June")</f>
        <v>June</v>
      </c>
      <c r="T1369" s="38">
        <f>IFERROR(__xludf.DUMMYFUNCTION("if(S1369="""",C1369,if(not(iserror(index(split(C1369, "" ""),3))), index(split(C1369, "" ""),3),index(split(C1369, "" ""),2)))"),2018.0)</f>
        <v>2018</v>
      </c>
      <c r="U1369" s="38" t="b">
        <f t="shared" si="198"/>
        <v>0</v>
      </c>
      <c r="V1369" s="38"/>
      <c r="W1369" s="40"/>
      <c r="X1369" s="40"/>
      <c r="Y1369" s="40"/>
      <c r="Z1369" s="38"/>
      <c r="AA1369" s="38"/>
      <c r="AB1369" s="38"/>
      <c r="AC1369" s="38"/>
      <c r="AD1369" s="38"/>
      <c r="AE1369" s="38"/>
      <c r="AF1369" s="38"/>
      <c r="AG1369" s="38"/>
      <c r="AH1369" s="38"/>
      <c r="AI1369" s="38"/>
      <c r="AJ1369" s="38"/>
      <c r="AK1369" s="38"/>
      <c r="AL1369" s="38"/>
      <c r="AM1369" s="38"/>
      <c r="AN1369" s="38"/>
      <c r="AO1369" s="38"/>
      <c r="AP1369" s="38"/>
      <c r="AQ1369" s="38"/>
      <c r="AR1369" s="38"/>
      <c r="AS1369" s="38"/>
      <c r="AT1369" s="38"/>
      <c r="AU1369" s="38"/>
      <c r="AV1369" s="38"/>
      <c r="AW1369" s="38"/>
      <c r="AX1369" s="38"/>
      <c r="AY1369" s="38"/>
      <c r="AZ1369" s="38"/>
      <c r="BA1369" s="38"/>
      <c r="BB1369" s="38"/>
      <c r="BC1369" s="38"/>
      <c r="BD1369" s="38"/>
      <c r="BE1369" s="38"/>
      <c r="BF1369" s="38"/>
      <c r="BG1369" s="38"/>
      <c r="BH1369" s="38"/>
      <c r="BI1369" s="38"/>
      <c r="BJ1369" s="38"/>
      <c r="BK1369" s="38"/>
      <c r="BL1369" s="38"/>
      <c r="BM1369" s="38"/>
      <c r="BN1369" s="38"/>
      <c r="BO1369" s="38"/>
      <c r="BP1369" s="38"/>
      <c r="BQ1369" s="38"/>
    </row>
    <row r="1370">
      <c r="A1370" s="58" t="s">
        <v>4062</v>
      </c>
      <c r="B1370" s="59">
        <v>43273.0</v>
      </c>
      <c r="C1370" s="59">
        <v>43266.0</v>
      </c>
      <c r="D1370" s="60" t="s">
        <v>4052</v>
      </c>
      <c r="E1370" s="58" t="s">
        <v>41</v>
      </c>
      <c r="F1370" s="58">
        <v>1.0</v>
      </c>
      <c r="G1370" s="58" t="s">
        <v>32</v>
      </c>
      <c r="H1370" s="33">
        <f t="shared" si="204"/>
        <v>1</v>
      </c>
      <c r="I1370" s="58" t="s">
        <v>33</v>
      </c>
      <c r="J1370" s="58" t="s">
        <v>89</v>
      </c>
      <c r="K1370" s="58" t="s">
        <v>32</v>
      </c>
      <c r="L1370" s="58" t="s">
        <v>790</v>
      </c>
      <c r="M1370" s="61" t="s">
        <v>4063</v>
      </c>
      <c r="N1370" s="77"/>
      <c r="O1370" s="62"/>
      <c r="P1370" s="62"/>
      <c r="Q1370" s="62"/>
      <c r="R1370" s="62"/>
      <c r="S1370" s="37" t="str">
        <f>IFERROR(__xludf.DUMMYFUNCTION("if(not(iserror(index(split(C1370, "" ""),2))), index(split(C1370, "" ""),1),"""")"),"June")</f>
        <v>June</v>
      </c>
      <c r="T1370" s="38">
        <f>IFERROR(__xludf.DUMMYFUNCTION("if(S1370="""",C1370,if(not(iserror(index(split(C1370, "" ""),3))), index(split(C1370, "" ""),3),index(split(C1370, "" ""),2)))"),2018.0)</f>
        <v>2018</v>
      </c>
      <c r="U1370" s="38" t="b">
        <f t="shared" si="198"/>
        <v>0</v>
      </c>
      <c r="V1370" s="38"/>
      <c r="W1370" s="40"/>
      <c r="X1370" s="40"/>
      <c r="Y1370" s="40"/>
      <c r="Z1370" s="38"/>
      <c r="AA1370" s="38"/>
      <c r="AB1370" s="38"/>
      <c r="AC1370" s="38"/>
      <c r="AD1370" s="38"/>
      <c r="AE1370" s="38"/>
      <c r="AF1370" s="38"/>
      <c r="AG1370" s="38"/>
      <c r="AH1370" s="38"/>
      <c r="AI1370" s="38"/>
      <c r="AJ1370" s="38"/>
      <c r="AK1370" s="38"/>
      <c r="AL1370" s="38"/>
      <c r="AM1370" s="38"/>
      <c r="AN1370" s="38"/>
      <c r="AO1370" s="38"/>
      <c r="AP1370" s="38"/>
      <c r="AQ1370" s="38"/>
      <c r="AR1370" s="38"/>
      <c r="AS1370" s="38"/>
      <c r="AT1370" s="38"/>
      <c r="AU1370" s="38"/>
      <c r="AV1370" s="38"/>
      <c r="AW1370" s="38"/>
      <c r="AX1370" s="38"/>
      <c r="AY1370" s="38"/>
      <c r="AZ1370" s="38"/>
      <c r="BA1370" s="38"/>
      <c r="BB1370" s="38"/>
      <c r="BC1370" s="38"/>
      <c r="BD1370" s="38"/>
      <c r="BE1370" s="38"/>
      <c r="BF1370" s="38"/>
      <c r="BG1370" s="38"/>
      <c r="BH1370" s="38"/>
      <c r="BI1370" s="38"/>
      <c r="BJ1370" s="38"/>
      <c r="BK1370" s="38"/>
      <c r="BL1370" s="38"/>
      <c r="BM1370" s="38"/>
      <c r="BN1370" s="38"/>
      <c r="BO1370" s="38"/>
      <c r="BP1370" s="38"/>
      <c r="BQ1370" s="38"/>
    </row>
    <row r="1371">
      <c r="A1371" s="58" t="s">
        <v>239</v>
      </c>
      <c r="B1371" s="59">
        <v>43270.0</v>
      </c>
      <c r="C1371" s="59">
        <v>43267.0</v>
      </c>
      <c r="D1371" s="60" t="s">
        <v>4064</v>
      </c>
      <c r="E1371" s="58" t="s">
        <v>41</v>
      </c>
      <c r="F1371" s="58">
        <v>1.0</v>
      </c>
      <c r="G1371" s="58" t="s">
        <v>32</v>
      </c>
      <c r="H1371" s="33">
        <f t="shared" si="204"/>
        <v>1</v>
      </c>
      <c r="I1371" s="58" t="s">
        <v>33</v>
      </c>
      <c r="J1371" s="58" t="s">
        <v>241</v>
      </c>
      <c r="K1371" s="58">
        <v>1.0</v>
      </c>
      <c r="L1371" s="58" t="s">
        <v>194</v>
      </c>
      <c r="M1371" s="61" t="s">
        <v>4065</v>
      </c>
      <c r="N1371" s="77"/>
      <c r="O1371" s="62"/>
      <c r="P1371" s="62"/>
      <c r="Q1371" s="62"/>
      <c r="R1371" s="62"/>
      <c r="S1371" s="37" t="str">
        <f>IFERROR(__xludf.DUMMYFUNCTION("if(not(iserror(index(split(C1371, "" ""),2))), index(split(C1371, "" ""),1),"""")"),"June")</f>
        <v>June</v>
      </c>
      <c r="T1371" s="38">
        <f>IFERROR(__xludf.DUMMYFUNCTION("if(S1371="""",C1371,if(not(iserror(index(split(C1371, "" ""),3))), index(split(C1371, "" ""),3),index(split(C1371, "" ""),2)))"),2018.0)</f>
        <v>2018</v>
      </c>
      <c r="U1371" s="38" t="b">
        <f t="shared" si="198"/>
        <v>1</v>
      </c>
      <c r="V1371" s="38"/>
      <c r="W1371" s="40"/>
      <c r="X1371" s="40"/>
      <c r="Y1371" s="40"/>
      <c r="Z1371" s="38"/>
      <c r="AA1371" s="38"/>
      <c r="AB1371" s="38"/>
      <c r="AC1371" s="38"/>
      <c r="AD1371" s="38"/>
      <c r="AE1371" s="38"/>
      <c r="AF1371" s="38"/>
      <c r="AG1371" s="38"/>
      <c r="AH1371" s="38"/>
      <c r="AI1371" s="38"/>
      <c r="AJ1371" s="38"/>
      <c r="AK1371" s="38"/>
      <c r="AL1371" s="38"/>
      <c r="AM1371" s="38"/>
      <c r="AN1371" s="38"/>
      <c r="AO1371" s="38"/>
      <c r="AP1371" s="38"/>
      <c r="AQ1371" s="38"/>
      <c r="AR1371" s="38"/>
      <c r="AS1371" s="38"/>
      <c r="AT1371" s="38"/>
      <c r="AU1371" s="38"/>
      <c r="AV1371" s="38"/>
      <c r="AW1371" s="38"/>
      <c r="AX1371" s="38"/>
      <c r="AY1371" s="38"/>
      <c r="AZ1371" s="38"/>
      <c r="BA1371" s="38"/>
      <c r="BB1371" s="38"/>
      <c r="BC1371" s="38"/>
      <c r="BD1371" s="38"/>
      <c r="BE1371" s="38"/>
      <c r="BF1371" s="38"/>
      <c r="BG1371" s="38"/>
      <c r="BH1371" s="38"/>
      <c r="BI1371" s="38"/>
      <c r="BJ1371" s="38"/>
      <c r="BK1371" s="38"/>
      <c r="BL1371" s="38"/>
      <c r="BM1371" s="38"/>
      <c r="BN1371" s="38"/>
      <c r="BO1371" s="38"/>
      <c r="BP1371" s="38"/>
      <c r="BQ1371" s="38"/>
    </row>
    <row r="1372">
      <c r="A1372" s="78" t="s">
        <v>4066</v>
      </c>
      <c r="B1372" s="59">
        <v>43268.0</v>
      </c>
      <c r="C1372" s="59">
        <v>43268.0</v>
      </c>
      <c r="D1372" s="60" t="s">
        <v>4067</v>
      </c>
      <c r="E1372" s="58" t="s">
        <v>31</v>
      </c>
      <c r="F1372" s="58">
        <v>2.0</v>
      </c>
      <c r="G1372" s="58" t="s">
        <v>32</v>
      </c>
      <c r="H1372" s="33">
        <f t="shared" si="204"/>
        <v>1</v>
      </c>
      <c r="I1372" s="58" t="s">
        <v>33</v>
      </c>
      <c r="J1372" s="58" t="s">
        <v>115</v>
      </c>
      <c r="K1372" s="58">
        <v>1.0</v>
      </c>
      <c r="L1372" s="58" t="s">
        <v>35</v>
      </c>
      <c r="M1372" s="46" t="s">
        <v>4068</v>
      </c>
      <c r="N1372" s="77"/>
      <c r="O1372" s="62"/>
      <c r="P1372" s="62"/>
      <c r="Q1372" s="62"/>
      <c r="R1372" s="62"/>
      <c r="S1372" s="37" t="str">
        <f>IFERROR(__xludf.DUMMYFUNCTION("if(not(iserror(index(split(C1372, "" ""),2))), index(split(C1372, "" ""),1),"""")"),"June")</f>
        <v>June</v>
      </c>
      <c r="T1372" s="38">
        <f>IFERROR(__xludf.DUMMYFUNCTION("if(S1372="""",C1372,if(not(iserror(index(split(C1372, "" ""),3))), index(split(C1372, "" ""),3),index(split(C1372, "" ""),2)))"),2018.0)</f>
        <v>2018</v>
      </c>
      <c r="U1372" s="38" t="b">
        <f t="shared" si="198"/>
        <v>0</v>
      </c>
      <c r="V1372" s="38"/>
      <c r="W1372" s="40"/>
      <c r="X1372" s="40"/>
      <c r="Y1372" s="40"/>
      <c r="Z1372" s="38"/>
      <c r="AA1372" s="38"/>
      <c r="AB1372" s="38"/>
      <c r="AC1372" s="38"/>
      <c r="AD1372" s="38"/>
      <c r="AE1372" s="38"/>
      <c r="AF1372" s="38"/>
      <c r="AG1372" s="38"/>
      <c r="AH1372" s="38"/>
      <c r="AI1372" s="38"/>
      <c r="AJ1372" s="38"/>
      <c r="AK1372" s="38"/>
      <c r="AL1372" s="38"/>
      <c r="AM1372" s="38"/>
      <c r="AN1372" s="38"/>
      <c r="AO1372" s="38"/>
      <c r="AP1372" s="38"/>
      <c r="AQ1372" s="38"/>
      <c r="AR1372" s="38"/>
      <c r="AS1372" s="38"/>
      <c r="AT1372" s="38"/>
      <c r="AU1372" s="38"/>
      <c r="AV1372" s="38"/>
      <c r="AW1372" s="38"/>
      <c r="AX1372" s="38"/>
      <c r="AY1372" s="38"/>
      <c r="AZ1372" s="38"/>
      <c r="BA1372" s="38"/>
      <c r="BB1372" s="38"/>
      <c r="BC1372" s="38"/>
      <c r="BD1372" s="38"/>
      <c r="BE1372" s="38"/>
      <c r="BF1372" s="38"/>
      <c r="BG1372" s="38"/>
      <c r="BH1372" s="38"/>
      <c r="BI1372" s="38"/>
      <c r="BJ1372" s="38"/>
      <c r="BK1372" s="38"/>
      <c r="BL1372" s="38"/>
      <c r="BM1372" s="38"/>
      <c r="BN1372" s="38"/>
      <c r="BO1372" s="38"/>
      <c r="BP1372" s="38"/>
      <c r="BQ1372" s="38"/>
    </row>
    <row r="1373">
      <c r="A1373" s="58" t="s">
        <v>40</v>
      </c>
      <c r="B1373" s="59">
        <v>43268.0</v>
      </c>
      <c r="C1373" s="59">
        <v>43268.0</v>
      </c>
      <c r="D1373" s="60" t="s">
        <v>4067</v>
      </c>
      <c r="E1373" s="58" t="s">
        <v>41</v>
      </c>
      <c r="F1373" s="58">
        <v>5.0</v>
      </c>
      <c r="G1373" s="58" t="s">
        <v>32</v>
      </c>
      <c r="H1373" s="33">
        <f t="shared" si="204"/>
        <v>1</v>
      </c>
      <c r="I1373" s="58" t="s">
        <v>33</v>
      </c>
      <c r="J1373" s="58" t="s">
        <v>147</v>
      </c>
      <c r="K1373" s="58" t="s">
        <v>32</v>
      </c>
      <c r="L1373" s="58" t="s">
        <v>194</v>
      </c>
      <c r="M1373" s="61" t="s">
        <v>4069</v>
      </c>
      <c r="N1373" s="77"/>
      <c r="O1373" s="62"/>
      <c r="P1373" s="62"/>
      <c r="Q1373" s="62"/>
      <c r="R1373" s="62"/>
      <c r="S1373" s="37" t="str">
        <f>IFERROR(__xludf.DUMMYFUNCTION("if(not(iserror(index(split(C1373, "" ""),2))), index(split(C1373, "" ""),1),"""")"),"June")</f>
        <v>June</v>
      </c>
      <c r="T1373" s="38">
        <f>IFERROR(__xludf.DUMMYFUNCTION("if(S1373="""",C1373,if(not(iserror(index(split(C1373, "" ""),3))), index(split(C1373, "" ""),3),index(split(C1373, "" ""),2)))"),2018.0)</f>
        <v>2018</v>
      </c>
      <c r="U1373" s="38" t="b">
        <f t="shared" si="198"/>
        <v>1</v>
      </c>
      <c r="V1373" s="38"/>
      <c r="W1373" s="40"/>
      <c r="X1373" s="40"/>
      <c r="Y1373" s="40"/>
      <c r="Z1373" s="38"/>
      <c r="AA1373" s="38"/>
      <c r="AB1373" s="38"/>
      <c r="AC1373" s="38"/>
      <c r="AD1373" s="38"/>
      <c r="AE1373" s="38"/>
      <c r="AF1373" s="38"/>
      <c r="AG1373" s="38"/>
      <c r="AH1373" s="38"/>
      <c r="AI1373" s="38"/>
      <c r="AJ1373" s="38"/>
      <c r="AK1373" s="38"/>
      <c r="AL1373" s="38"/>
      <c r="AM1373" s="38"/>
      <c r="AN1373" s="38"/>
      <c r="AO1373" s="38"/>
      <c r="AP1373" s="38"/>
      <c r="AQ1373" s="38"/>
      <c r="AR1373" s="38"/>
      <c r="AS1373" s="38"/>
      <c r="AT1373" s="38"/>
      <c r="AU1373" s="38"/>
      <c r="AV1373" s="38"/>
      <c r="AW1373" s="38"/>
      <c r="AX1373" s="38"/>
      <c r="AY1373" s="38"/>
      <c r="AZ1373" s="38"/>
      <c r="BA1373" s="38"/>
      <c r="BB1373" s="38"/>
      <c r="BC1373" s="38"/>
      <c r="BD1373" s="38"/>
      <c r="BE1373" s="38"/>
      <c r="BF1373" s="38"/>
      <c r="BG1373" s="38"/>
      <c r="BH1373" s="38"/>
      <c r="BI1373" s="38"/>
      <c r="BJ1373" s="38"/>
      <c r="BK1373" s="38"/>
      <c r="BL1373" s="38"/>
      <c r="BM1373" s="38"/>
      <c r="BN1373" s="38"/>
      <c r="BO1373" s="38"/>
      <c r="BP1373" s="38"/>
      <c r="BQ1373" s="38"/>
    </row>
    <row r="1374">
      <c r="A1374" s="78" t="s">
        <v>239</v>
      </c>
      <c r="B1374" s="59">
        <v>43270.0</v>
      </c>
      <c r="C1374" s="59">
        <v>43268.0</v>
      </c>
      <c r="D1374" s="60" t="s">
        <v>4067</v>
      </c>
      <c r="E1374" s="58" t="s">
        <v>41</v>
      </c>
      <c r="F1374" s="58">
        <v>1.0</v>
      </c>
      <c r="G1374" s="58">
        <v>18.0</v>
      </c>
      <c r="H1374" s="33">
        <f t="shared" si="204"/>
        <v>18</v>
      </c>
      <c r="I1374" s="58" t="s">
        <v>33</v>
      </c>
      <c r="J1374" s="58" t="s">
        <v>241</v>
      </c>
      <c r="K1374" s="58">
        <v>1.0</v>
      </c>
      <c r="L1374" s="58" t="s">
        <v>194</v>
      </c>
      <c r="M1374" s="61" t="s">
        <v>4070</v>
      </c>
      <c r="N1374" s="77"/>
      <c r="O1374" s="62"/>
      <c r="P1374" s="62"/>
      <c r="Q1374" s="62"/>
      <c r="R1374" s="62"/>
      <c r="S1374" s="37" t="str">
        <f>IFERROR(__xludf.DUMMYFUNCTION("if(not(iserror(index(split(C1374, "" ""),2))), index(split(C1374, "" ""),1),"""")"),"June")</f>
        <v>June</v>
      </c>
      <c r="T1374" s="38">
        <f>IFERROR(__xludf.DUMMYFUNCTION("if(S1374="""",C1374,if(not(iserror(index(split(C1374, "" ""),3))), index(split(C1374, "" ""),3),index(split(C1374, "" ""),2)))"),2018.0)</f>
        <v>2018</v>
      </c>
      <c r="U1374" s="38" t="b">
        <f t="shared" si="198"/>
        <v>1</v>
      </c>
      <c r="V1374" s="38"/>
      <c r="W1374" s="40"/>
      <c r="X1374" s="40"/>
      <c r="Y1374" s="40"/>
      <c r="Z1374" s="38"/>
      <c r="AA1374" s="38"/>
      <c r="AB1374" s="38"/>
      <c r="AC1374" s="38"/>
      <c r="AD1374" s="38"/>
      <c r="AE1374" s="38"/>
      <c r="AF1374" s="38"/>
      <c r="AG1374" s="38"/>
      <c r="AH1374" s="38"/>
      <c r="AI1374" s="38"/>
      <c r="AJ1374" s="38"/>
      <c r="AK1374" s="38"/>
      <c r="AL1374" s="38"/>
      <c r="AM1374" s="38"/>
      <c r="AN1374" s="38"/>
      <c r="AO1374" s="38"/>
      <c r="AP1374" s="38"/>
      <c r="AQ1374" s="38"/>
      <c r="AR1374" s="38"/>
      <c r="AS1374" s="38"/>
      <c r="AT1374" s="38"/>
      <c r="AU1374" s="38"/>
      <c r="AV1374" s="38"/>
      <c r="AW1374" s="38"/>
      <c r="AX1374" s="38"/>
      <c r="AY1374" s="38"/>
      <c r="AZ1374" s="38"/>
      <c r="BA1374" s="38"/>
      <c r="BB1374" s="38"/>
      <c r="BC1374" s="38"/>
      <c r="BD1374" s="38"/>
      <c r="BE1374" s="38"/>
      <c r="BF1374" s="38"/>
      <c r="BG1374" s="38"/>
      <c r="BH1374" s="38"/>
      <c r="BI1374" s="38"/>
      <c r="BJ1374" s="38"/>
      <c r="BK1374" s="38"/>
      <c r="BL1374" s="38"/>
      <c r="BM1374" s="38"/>
      <c r="BN1374" s="38"/>
      <c r="BO1374" s="38"/>
      <c r="BP1374" s="38"/>
      <c r="BQ1374" s="38"/>
    </row>
    <row r="1375">
      <c r="A1375" s="58" t="s">
        <v>4071</v>
      </c>
      <c r="B1375" s="59">
        <v>43270.0</v>
      </c>
      <c r="C1375" s="59">
        <v>43268.0</v>
      </c>
      <c r="D1375" s="60" t="s">
        <v>4067</v>
      </c>
      <c r="E1375" s="58" t="s">
        <v>41</v>
      </c>
      <c r="F1375" s="58">
        <v>2.0</v>
      </c>
      <c r="G1375" s="58">
        <v>8.0</v>
      </c>
      <c r="H1375" s="33">
        <f t="shared" si="204"/>
        <v>8</v>
      </c>
      <c r="I1375" s="58" t="s">
        <v>33</v>
      </c>
      <c r="J1375" s="58" t="s">
        <v>147</v>
      </c>
      <c r="K1375" s="58">
        <v>3.0</v>
      </c>
      <c r="L1375" s="58" t="s">
        <v>194</v>
      </c>
      <c r="M1375" s="61" t="s">
        <v>4072</v>
      </c>
      <c r="N1375" s="77"/>
      <c r="O1375" s="62"/>
      <c r="P1375" s="62"/>
      <c r="Q1375" s="62"/>
      <c r="R1375" s="62"/>
      <c r="S1375" s="37" t="str">
        <f>IFERROR(__xludf.DUMMYFUNCTION("if(not(iserror(index(split(C1375, "" ""),2))), index(split(C1375, "" ""),1),"""")"),"June")</f>
        <v>June</v>
      </c>
      <c r="T1375" s="38">
        <f>IFERROR(__xludf.DUMMYFUNCTION("if(S1375="""",C1375,if(not(iserror(index(split(C1375, "" ""),3))), index(split(C1375, "" ""),3),index(split(C1375, "" ""),2)))"),2018.0)</f>
        <v>2018</v>
      </c>
      <c r="U1375" s="38" t="b">
        <f t="shared" si="198"/>
        <v>0</v>
      </c>
      <c r="V1375" s="38"/>
      <c r="W1375" s="40"/>
      <c r="X1375" s="40"/>
      <c r="Y1375" s="40"/>
      <c r="Z1375" s="38"/>
      <c r="AA1375" s="38"/>
      <c r="AB1375" s="38"/>
      <c r="AC1375" s="38"/>
      <c r="AD1375" s="38"/>
      <c r="AE1375" s="38"/>
      <c r="AF1375" s="38"/>
      <c r="AG1375" s="38"/>
      <c r="AH1375" s="38"/>
      <c r="AI1375" s="38"/>
      <c r="AJ1375" s="38"/>
      <c r="AK1375" s="38"/>
      <c r="AL1375" s="38"/>
      <c r="AM1375" s="38"/>
      <c r="AN1375" s="38"/>
      <c r="AO1375" s="38"/>
      <c r="AP1375" s="38"/>
      <c r="AQ1375" s="38"/>
      <c r="AR1375" s="38"/>
      <c r="AS1375" s="38"/>
      <c r="AT1375" s="38"/>
      <c r="AU1375" s="38"/>
      <c r="AV1375" s="38"/>
      <c r="AW1375" s="38"/>
      <c r="AX1375" s="38"/>
      <c r="AY1375" s="38"/>
      <c r="AZ1375" s="38"/>
      <c r="BA1375" s="38"/>
      <c r="BB1375" s="38"/>
      <c r="BC1375" s="38"/>
      <c r="BD1375" s="38"/>
      <c r="BE1375" s="38"/>
      <c r="BF1375" s="38"/>
      <c r="BG1375" s="38"/>
      <c r="BH1375" s="38"/>
      <c r="BI1375" s="38"/>
      <c r="BJ1375" s="38"/>
      <c r="BK1375" s="38"/>
      <c r="BL1375" s="38"/>
      <c r="BM1375" s="38"/>
      <c r="BN1375" s="38"/>
      <c r="BO1375" s="38"/>
      <c r="BP1375" s="38"/>
      <c r="BQ1375" s="38"/>
    </row>
    <row r="1376">
      <c r="A1376" s="58" t="s">
        <v>4073</v>
      </c>
      <c r="B1376" s="59">
        <v>43269.0</v>
      </c>
      <c r="C1376" s="59">
        <v>43269.0</v>
      </c>
      <c r="D1376" s="60" t="s">
        <v>4074</v>
      </c>
      <c r="E1376" s="58" t="s">
        <v>31</v>
      </c>
      <c r="F1376" s="58">
        <v>1.0</v>
      </c>
      <c r="G1376" s="58" t="s">
        <v>32</v>
      </c>
      <c r="H1376" s="33">
        <f t="shared" si="204"/>
        <v>1</v>
      </c>
      <c r="I1376" s="58" t="s">
        <v>33</v>
      </c>
      <c r="J1376" s="58" t="s">
        <v>147</v>
      </c>
      <c r="K1376" s="58">
        <v>1.0</v>
      </c>
      <c r="L1376" s="58" t="s">
        <v>35</v>
      </c>
      <c r="M1376" s="61" t="s">
        <v>4075</v>
      </c>
      <c r="N1376" s="77"/>
      <c r="O1376" s="62"/>
      <c r="P1376" s="62"/>
      <c r="Q1376" s="62"/>
      <c r="R1376" s="62"/>
      <c r="S1376" s="37" t="str">
        <f>IFERROR(__xludf.DUMMYFUNCTION("if(not(iserror(index(split(C1376, "" ""),2))), index(split(C1376, "" ""),1),"""")"),"June")</f>
        <v>June</v>
      </c>
      <c r="T1376" s="38">
        <f>IFERROR(__xludf.DUMMYFUNCTION("if(S1376="""",C1376,if(not(iserror(index(split(C1376, "" ""),3))), index(split(C1376, "" ""),3),index(split(C1376, "" ""),2)))"),2018.0)</f>
        <v>2018</v>
      </c>
      <c r="U1376" s="38" t="b">
        <f t="shared" si="198"/>
        <v>0</v>
      </c>
      <c r="V1376" s="38"/>
      <c r="W1376" s="40"/>
      <c r="X1376" s="40"/>
      <c r="Y1376" s="40"/>
      <c r="Z1376" s="38"/>
      <c r="AA1376" s="38"/>
      <c r="AB1376" s="38"/>
      <c r="AC1376" s="38"/>
      <c r="AD1376" s="38"/>
      <c r="AE1376" s="38"/>
      <c r="AF1376" s="38"/>
      <c r="AG1376" s="38"/>
      <c r="AH1376" s="38"/>
      <c r="AI1376" s="38"/>
      <c r="AJ1376" s="38"/>
      <c r="AK1376" s="38"/>
      <c r="AL1376" s="38"/>
      <c r="AM1376" s="38"/>
      <c r="AN1376" s="38"/>
      <c r="AO1376" s="38"/>
      <c r="AP1376" s="38"/>
      <c r="AQ1376" s="38"/>
      <c r="AR1376" s="38"/>
      <c r="AS1376" s="38"/>
      <c r="AT1376" s="38"/>
      <c r="AU1376" s="38"/>
      <c r="AV1376" s="38"/>
      <c r="AW1376" s="38"/>
      <c r="AX1376" s="38"/>
      <c r="AY1376" s="38"/>
      <c r="AZ1376" s="38"/>
      <c r="BA1376" s="38"/>
      <c r="BB1376" s="38"/>
      <c r="BC1376" s="38"/>
      <c r="BD1376" s="38"/>
      <c r="BE1376" s="38"/>
      <c r="BF1376" s="38"/>
      <c r="BG1376" s="38"/>
      <c r="BH1376" s="38"/>
      <c r="BI1376" s="38"/>
      <c r="BJ1376" s="38"/>
      <c r="BK1376" s="38"/>
      <c r="BL1376" s="38"/>
      <c r="BM1376" s="38"/>
      <c r="BN1376" s="38"/>
      <c r="BO1376" s="38"/>
      <c r="BP1376" s="38"/>
      <c r="BQ1376" s="38"/>
    </row>
    <row r="1377">
      <c r="A1377" s="58" t="s">
        <v>4076</v>
      </c>
      <c r="B1377" s="59">
        <v>43270.0</v>
      </c>
      <c r="C1377" s="59">
        <v>43270.0</v>
      </c>
      <c r="D1377" s="60" t="s">
        <v>4077</v>
      </c>
      <c r="E1377" s="58" t="s">
        <v>41</v>
      </c>
      <c r="F1377" s="58">
        <v>1.0</v>
      </c>
      <c r="G1377" s="58" t="s">
        <v>32</v>
      </c>
      <c r="H1377" s="33">
        <f t="shared" si="204"/>
        <v>1</v>
      </c>
      <c r="I1377" s="58" t="s">
        <v>33</v>
      </c>
      <c r="J1377" s="58" t="s">
        <v>55</v>
      </c>
      <c r="K1377" s="58" t="s">
        <v>32</v>
      </c>
      <c r="L1377" s="58" t="s">
        <v>52</v>
      </c>
      <c r="M1377" s="61" t="s">
        <v>4078</v>
      </c>
      <c r="N1377" s="77"/>
      <c r="O1377" s="62"/>
      <c r="P1377" s="62"/>
      <c r="Q1377" s="62"/>
      <c r="R1377" s="62"/>
      <c r="S1377" s="37" t="str">
        <f>IFERROR(__xludf.DUMMYFUNCTION("if(not(iserror(index(split(C1377, "" ""),2))), index(split(C1377, "" ""),1),"""")"),"June")</f>
        <v>June</v>
      </c>
      <c r="T1377" s="38">
        <f>IFERROR(__xludf.DUMMYFUNCTION("if(S1377="""",C1377,if(not(iserror(index(split(C1377, "" ""),3))), index(split(C1377, "" ""),3),index(split(C1377, "" ""),2)))"),2018.0)</f>
        <v>2018</v>
      </c>
      <c r="U1377" s="38" t="b">
        <f t="shared" si="198"/>
        <v>0</v>
      </c>
      <c r="V1377" s="38"/>
      <c r="W1377" s="40"/>
      <c r="X1377" s="40"/>
      <c r="Y1377" s="40"/>
      <c r="Z1377" s="38"/>
      <c r="AA1377" s="38"/>
      <c r="AB1377" s="38"/>
      <c r="AC1377" s="38"/>
      <c r="AD1377" s="38"/>
      <c r="AE1377" s="38"/>
      <c r="AF1377" s="38"/>
      <c r="AG1377" s="38"/>
      <c r="AH1377" s="38"/>
      <c r="AI1377" s="38"/>
      <c r="AJ1377" s="38"/>
      <c r="AK1377" s="38"/>
      <c r="AL1377" s="38"/>
      <c r="AM1377" s="38"/>
      <c r="AN1377" s="38"/>
      <c r="AO1377" s="38"/>
      <c r="AP1377" s="38"/>
      <c r="AQ1377" s="38"/>
      <c r="AR1377" s="38"/>
      <c r="AS1377" s="38"/>
      <c r="AT1377" s="38"/>
      <c r="AU1377" s="38"/>
      <c r="AV1377" s="38"/>
      <c r="AW1377" s="38"/>
      <c r="AX1377" s="38"/>
      <c r="AY1377" s="38"/>
      <c r="AZ1377" s="38"/>
      <c r="BA1377" s="38"/>
      <c r="BB1377" s="38"/>
      <c r="BC1377" s="38"/>
      <c r="BD1377" s="38"/>
      <c r="BE1377" s="38"/>
      <c r="BF1377" s="38"/>
      <c r="BG1377" s="38"/>
      <c r="BH1377" s="38"/>
      <c r="BI1377" s="38"/>
      <c r="BJ1377" s="38"/>
      <c r="BK1377" s="38"/>
      <c r="BL1377" s="38"/>
      <c r="BM1377" s="38"/>
      <c r="BN1377" s="38"/>
      <c r="BO1377" s="38"/>
      <c r="BP1377" s="38"/>
      <c r="BQ1377" s="38"/>
    </row>
    <row r="1378">
      <c r="A1378" s="58" t="s">
        <v>4079</v>
      </c>
      <c r="B1378" s="59">
        <v>43272.0</v>
      </c>
      <c r="C1378" s="59">
        <v>43270.0</v>
      </c>
      <c r="D1378" s="60" t="s">
        <v>4077</v>
      </c>
      <c r="E1378" s="58" t="s">
        <v>31</v>
      </c>
      <c r="F1378" s="58">
        <v>1.0</v>
      </c>
      <c r="G1378" s="58" t="s">
        <v>32</v>
      </c>
      <c r="H1378" s="33">
        <f t="shared" si="204"/>
        <v>1</v>
      </c>
      <c r="I1378" s="58" t="s">
        <v>33</v>
      </c>
      <c r="J1378" s="58" t="s">
        <v>111</v>
      </c>
      <c r="K1378" s="58" t="s">
        <v>32</v>
      </c>
      <c r="L1378" s="58" t="s">
        <v>69</v>
      </c>
      <c r="M1378" s="46" t="s">
        <v>4080</v>
      </c>
      <c r="N1378" s="202" t="s">
        <v>4081</v>
      </c>
      <c r="O1378" s="62"/>
      <c r="P1378" s="62"/>
      <c r="Q1378" s="62"/>
      <c r="R1378" s="62"/>
      <c r="S1378" s="37" t="str">
        <f>IFERROR(__xludf.DUMMYFUNCTION("if(not(iserror(index(split(C1378, "" ""),2))), index(split(C1378, "" ""),1),"""")"),"June")</f>
        <v>June</v>
      </c>
      <c r="T1378" s="38">
        <f>IFERROR(__xludf.DUMMYFUNCTION("if(S1378="""",C1378,if(not(iserror(index(split(C1378, "" ""),3))), index(split(C1378, "" ""),3),index(split(C1378, "" ""),2)))"),2018.0)</f>
        <v>2018</v>
      </c>
      <c r="U1378" s="38" t="b">
        <f t="shared" si="198"/>
        <v>0</v>
      </c>
      <c r="V1378" s="38"/>
      <c r="W1378" s="40"/>
      <c r="X1378" s="40"/>
      <c r="Y1378" s="40"/>
      <c r="Z1378" s="38"/>
      <c r="AA1378" s="38"/>
      <c r="AB1378" s="38"/>
      <c r="AC1378" s="38"/>
      <c r="AD1378" s="38"/>
      <c r="AE1378" s="38"/>
      <c r="AF1378" s="38"/>
      <c r="AG1378" s="38"/>
      <c r="AH1378" s="38"/>
      <c r="AI1378" s="38"/>
      <c r="AJ1378" s="38"/>
      <c r="AK1378" s="38"/>
      <c r="AL1378" s="38"/>
      <c r="AM1378" s="38"/>
      <c r="AN1378" s="38"/>
      <c r="AO1378" s="38"/>
      <c r="AP1378" s="38"/>
      <c r="AQ1378" s="38"/>
      <c r="AR1378" s="38"/>
      <c r="AS1378" s="38"/>
      <c r="AT1378" s="38"/>
      <c r="AU1378" s="38"/>
      <c r="AV1378" s="38"/>
      <c r="AW1378" s="38"/>
      <c r="AX1378" s="38"/>
      <c r="AY1378" s="38"/>
      <c r="AZ1378" s="38"/>
      <c r="BA1378" s="38"/>
      <c r="BB1378" s="38"/>
      <c r="BC1378" s="38"/>
      <c r="BD1378" s="38"/>
      <c r="BE1378" s="38"/>
      <c r="BF1378" s="38"/>
      <c r="BG1378" s="38"/>
      <c r="BH1378" s="38"/>
      <c r="BI1378" s="38"/>
      <c r="BJ1378" s="38"/>
      <c r="BK1378" s="38"/>
      <c r="BL1378" s="38"/>
      <c r="BM1378" s="38"/>
      <c r="BN1378" s="38"/>
      <c r="BO1378" s="38"/>
      <c r="BP1378" s="38"/>
      <c r="BQ1378" s="38"/>
    </row>
    <row r="1379">
      <c r="A1379" s="58" t="s">
        <v>4082</v>
      </c>
      <c r="B1379" s="59"/>
      <c r="C1379" s="59">
        <v>43264.0</v>
      </c>
      <c r="D1379" s="60"/>
      <c r="E1379" s="58" t="s">
        <v>41</v>
      </c>
      <c r="F1379" s="58">
        <v>1.0</v>
      </c>
      <c r="G1379" s="58" t="s">
        <v>32</v>
      </c>
      <c r="H1379" s="43">
        <v>1.0</v>
      </c>
      <c r="I1379" s="58" t="s">
        <v>33</v>
      </c>
      <c r="J1379" s="58" t="s">
        <v>47</v>
      </c>
      <c r="K1379" s="58"/>
      <c r="L1379" s="58" t="s">
        <v>69</v>
      </c>
      <c r="M1379" s="80" t="s">
        <v>4083</v>
      </c>
      <c r="N1379" s="202"/>
      <c r="O1379" s="84"/>
      <c r="P1379" s="62"/>
      <c r="Q1379" s="58">
        <v>1.0</v>
      </c>
      <c r="R1379" s="62"/>
      <c r="S1379" s="37"/>
      <c r="T1379" s="38"/>
      <c r="U1379" s="38"/>
      <c r="V1379" s="38" t="s">
        <v>33</v>
      </c>
      <c r="W1379" s="40"/>
      <c r="X1379" s="40"/>
      <c r="Y1379" s="40"/>
      <c r="Z1379" s="38"/>
      <c r="AA1379" s="38"/>
      <c r="AB1379" s="38"/>
      <c r="AC1379" s="38"/>
      <c r="AD1379" s="38"/>
      <c r="AE1379" s="38"/>
      <c r="AF1379" s="38"/>
      <c r="AG1379" s="38"/>
      <c r="AH1379" s="38"/>
      <c r="AI1379" s="38"/>
      <c r="AJ1379" s="38"/>
      <c r="AK1379" s="38"/>
      <c r="AL1379" s="38"/>
      <c r="AM1379" s="38"/>
      <c r="AN1379" s="38"/>
      <c r="AO1379" s="38"/>
      <c r="AP1379" s="38"/>
      <c r="AQ1379" s="38"/>
      <c r="AR1379" s="38"/>
      <c r="AS1379" s="38"/>
      <c r="AT1379" s="38"/>
      <c r="AU1379" s="38"/>
      <c r="AV1379" s="38"/>
      <c r="AW1379" s="38"/>
      <c r="AX1379" s="38"/>
      <c r="AY1379" s="38"/>
      <c r="AZ1379" s="38"/>
      <c r="BA1379" s="38"/>
      <c r="BB1379" s="38"/>
      <c r="BC1379" s="38"/>
      <c r="BD1379" s="38"/>
      <c r="BE1379" s="38"/>
      <c r="BF1379" s="38"/>
      <c r="BG1379" s="38"/>
      <c r="BH1379" s="38"/>
      <c r="BI1379" s="38"/>
      <c r="BJ1379" s="38"/>
      <c r="BK1379" s="38"/>
      <c r="BL1379" s="38"/>
      <c r="BM1379" s="38"/>
      <c r="BN1379" s="38"/>
      <c r="BO1379" s="38"/>
      <c r="BP1379" s="38"/>
      <c r="BQ1379" s="38"/>
    </row>
    <row r="1380">
      <c r="A1380" s="58" t="s">
        <v>4084</v>
      </c>
      <c r="B1380" s="59">
        <v>43272.0</v>
      </c>
      <c r="C1380" s="59">
        <v>43270.0</v>
      </c>
      <c r="D1380" s="60" t="s">
        <v>4077</v>
      </c>
      <c r="E1380" s="58" t="s">
        <v>31</v>
      </c>
      <c r="F1380" s="58">
        <v>1.0</v>
      </c>
      <c r="G1380" s="58" t="s">
        <v>32</v>
      </c>
      <c r="H1380" s="33">
        <f t="shared" ref="H1380:H1381" si="205">if(G1380="Unknown",1,G1380)</f>
        <v>1</v>
      </c>
      <c r="I1380" s="58" t="s">
        <v>33</v>
      </c>
      <c r="J1380" s="58" t="s">
        <v>47</v>
      </c>
      <c r="K1380" s="58">
        <v>1.0</v>
      </c>
      <c r="L1380" s="58" t="s">
        <v>99</v>
      </c>
      <c r="M1380" s="61" t="s">
        <v>4085</v>
      </c>
      <c r="N1380" s="77"/>
      <c r="O1380" s="62"/>
      <c r="P1380" s="62"/>
      <c r="Q1380" s="62"/>
      <c r="R1380" s="62"/>
      <c r="S1380" s="37" t="str">
        <f>IFERROR(__xludf.DUMMYFUNCTION("if(not(iserror(index(split(C1380, "" ""),2))), index(split(C1380, "" ""),1),"""")"),"June")</f>
        <v>June</v>
      </c>
      <c r="T1380" s="38">
        <f>IFERROR(__xludf.DUMMYFUNCTION("if(S1380="""",C1380,if(not(iserror(index(split(C1380, "" ""),3))), index(split(C1380, "" ""),3),index(split(C1380, "" ""),2)))"),2018.0)</f>
        <v>2018</v>
      </c>
      <c r="U1380" s="38" t="b">
        <f t="shared" ref="U1380:U1387" si="206">countif(A$4:A4658, A1380)&gt;1</f>
        <v>0</v>
      </c>
      <c r="V1380" s="38"/>
      <c r="W1380" s="40"/>
      <c r="X1380" s="40"/>
      <c r="Y1380" s="40"/>
      <c r="Z1380" s="38"/>
      <c r="AA1380" s="38"/>
      <c r="AB1380" s="38"/>
      <c r="AC1380" s="38"/>
      <c r="AD1380" s="38"/>
      <c r="AE1380" s="38"/>
      <c r="AF1380" s="38"/>
      <c r="AG1380" s="38"/>
      <c r="AH1380" s="38"/>
      <c r="AI1380" s="38"/>
      <c r="AJ1380" s="38"/>
      <c r="AK1380" s="38"/>
      <c r="AL1380" s="38"/>
      <c r="AM1380" s="38"/>
      <c r="AN1380" s="38"/>
      <c r="AO1380" s="38"/>
      <c r="AP1380" s="38"/>
      <c r="AQ1380" s="38"/>
      <c r="AR1380" s="38"/>
      <c r="AS1380" s="38"/>
      <c r="AT1380" s="38"/>
      <c r="AU1380" s="38"/>
      <c r="AV1380" s="38"/>
      <c r="AW1380" s="38"/>
      <c r="AX1380" s="38"/>
      <c r="AY1380" s="38"/>
      <c r="AZ1380" s="38"/>
      <c r="BA1380" s="38"/>
      <c r="BB1380" s="38"/>
      <c r="BC1380" s="38"/>
      <c r="BD1380" s="38"/>
      <c r="BE1380" s="38"/>
      <c r="BF1380" s="38"/>
      <c r="BG1380" s="38"/>
      <c r="BH1380" s="38"/>
      <c r="BI1380" s="38"/>
      <c r="BJ1380" s="38"/>
      <c r="BK1380" s="38"/>
      <c r="BL1380" s="38"/>
      <c r="BM1380" s="38"/>
      <c r="BN1380" s="38"/>
      <c r="BO1380" s="38"/>
      <c r="BP1380" s="38"/>
      <c r="BQ1380" s="38"/>
    </row>
    <row r="1381">
      <c r="A1381" s="58" t="s">
        <v>4086</v>
      </c>
      <c r="B1381" s="59">
        <v>43272.0</v>
      </c>
      <c r="C1381" s="59">
        <v>43270.0</v>
      </c>
      <c r="D1381" s="60" t="s">
        <v>4077</v>
      </c>
      <c r="E1381" s="58" t="s">
        <v>41</v>
      </c>
      <c r="F1381" s="58">
        <v>1.0</v>
      </c>
      <c r="G1381" s="58" t="s">
        <v>32</v>
      </c>
      <c r="H1381" s="33">
        <f t="shared" si="205"/>
        <v>1</v>
      </c>
      <c r="I1381" s="58" t="s">
        <v>33</v>
      </c>
      <c r="J1381" s="58" t="s">
        <v>850</v>
      </c>
      <c r="K1381" s="58" t="s">
        <v>32</v>
      </c>
      <c r="L1381" s="58" t="s">
        <v>4087</v>
      </c>
      <c r="M1381" s="61" t="s">
        <v>4088</v>
      </c>
      <c r="N1381" s="77"/>
      <c r="O1381" s="62"/>
      <c r="P1381" s="62"/>
      <c r="Q1381" s="62"/>
      <c r="R1381" s="62"/>
      <c r="S1381" s="37" t="str">
        <f>IFERROR(__xludf.DUMMYFUNCTION("if(not(iserror(index(split(C1381, "" ""),2))), index(split(C1381, "" ""),1),"""")"),"June")</f>
        <v>June</v>
      </c>
      <c r="T1381" s="38">
        <f>IFERROR(__xludf.DUMMYFUNCTION("if(S1381="""",C1381,if(not(iserror(index(split(C1381, "" ""),3))), index(split(C1381, "" ""),3),index(split(C1381, "" ""),2)))"),2018.0)</f>
        <v>2018</v>
      </c>
      <c r="U1381" s="38" t="b">
        <f t="shared" si="206"/>
        <v>0</v>
      </c>
      <c r="V1381" s="38"/>
      <c r="W1381" s="40"/>
      <c r="X1381" s="40"/>
      <c r="Y1381" s="40"/>
      <c r="Z1381" s="38"/>
      <c r="AA1381" s="38"/>
      <c r="AB1381" s="38"/>
      <c r="AC1381" s="38"/>
      <c r="AD1381" s="38"/>
      <c r="AE1381" s="38"/>
      <c r="AF1381" s="38"/>
      <c r="AG1381" s="38"/>
      <c r="AH1381" s="38"/>
      <c r="AI1381" s="38"/>
      <c r="AJ1381" s="38"/>
      <c r="AK1381" s="38"/>
      <c r="AL1381" s="38"/>
      <c r="AM1381" s="38"/>
      <c r="AN1381" s="38"/>
      <c r="AO1381" s="38"/>
      <c r="AP1381" s="38"/>
      <c r="AQ1381" s="38"/>
      <c r="AR1381" s="38"/>
      <c r="AS1381" s="38"/>
      <c r="AT1381" s="38"/>
      <c r="AU1381" s="38"/>
      <c r="AV1381" s="38"/>
      <c r="AW1381" s="38"/>
      <c r="AX1381" s="38"/>
      <c r="AY1381" s="38"/>
      <c r="AZ1381" s="38"/>
      <c r="BA1381" s="38"/>
      <c r="BB1381" s="38"/>
      <c r="BC1381" s="38"/>
      <c r="BD1381" s="38"/>
      <c r="BE1381" s="38"/>
      <c r="BF1381" s="38"/>
      <c r="BG1381" s="38"/>
      <c r="BH1381" s="38"/>
      <c r="BI1381" s="38"/>
      <c r="BJ1381" s="38"/>
      <c r="BK1381" s="38"/>
      <c r="BL1381" s="38"/>
      <c r="BM1381" s="38"/>
      <c r="BN1381" s="38"/>
      <c r="BO1381" s="38"/>
      <c r="BP1381" s="38"/>
      <c r="BQ1381" s="38"/>
    </row>
    <row r="1382">
      <c r="A1382" s="58" t="s">
        <v>4089</v>
      </c>
      <c r="B1382" s="59"/>
      <c r="C1382" s="59">
        <v>43270.0</v>
      </c>
      <c r="D1382" s="60"/>
      <c r="E1382" s="58" t="s">
        <v>41</v>
      </c>
      <c r="F1382" s="58">
        <v>1.0</v>
      </c>
      <c r="G1382" s="58" t="s">
        <v>32</v>
      </c>
      <c r="H1382" s="43">
        <v>1.0</v>
      </c>
      <c r="I1382" s="58" t="s">
        <v>33</v>
      </c>
      <c r="J1382" s="58" t="s">
        <v>147</v>
      </c>
      <c r="K1382" s="58"/>
      <c r="L1382" s="58" t="s">
        <v>4087</v>
      </c>
      <c r="M1382" s="61" t="s">
        <v>4090</v>
      </c>
      <c r="N1382" s="77"/>
      <c r="O1382" s="83" t="str">
        <f>hyperlink("https://bad-boys.us/?q=ND-TX/3:19-cr-00296", "ND-TX 3:19-cr-00296")</f>
        <v>ND-TX 3:19-cr-00296</v>
      </c>
      <c r="P1382" s="62"/>
      <c r="Q1382" s="58">
        <v>1.0</v>
      </c>
      <c r="R1382" s="62"/>
      <c r="S1382" s="37"/>
      <c r="T1382" s="38"/>
      <c r="U1382" s="38" t="b">
        <f t="shared" si="206"/>
        <v>0</v>
      </c>
      <c r="V1382" s="38" t="s">
        <v>33</v>
      </c>
      <c r="W1382" s="40"/>
      <c r="X1382" s="40"/>
      <c r="Y1382" s="40"/>
      <c r="Z1382" s="38"/>
      <c r="AA1382" s="38"/>
      <c r="AB1382" s="38"/>
      <c r="AC1382" s="38"/>
      <c r="AD1382" s="38"/>
      <c r="AE1382" s="38"/>
      <c r="AF1382" s="38"/>
      <c r="AG1382" s="38"/>
      <c r="AH1382" s="38"/>
      <c r="AI1382" s="38"/>
      <c r="AJ1382" s="38"/>
      <c r="AK1382" s="38"/>
      <c r="AL1382" s="38"/>
      <c r="AM1382" s="38"/>
      <c r="AN1382" s="38"/>
      <c r="AO1382" s="38"/>
      <c r="AP1382" s="38"/>
      <c r="AQ1382" s="38"/>
      <c r="AR1382" s="38"/>
      <c r="AS1382" s="38"/>
      <c r="AT1382" s="38"/>
      <c r="AU1382" s="38"/>
      <c r="AV1382" s="38"/>
      <c r="AW1382" s="38"/>
      <c r="AX1382" s="38"/>
      <c r="AY1382" s="38"/>
      <c r="AZ1382" s="38"/>
      <c r="BA1382" s="38"/>
      <c r="BB1382" s="38"/>
      <c r="BC1382" s="38"/>
      <c r="BD1382" s="38"/>
      <c r="BE1382" s="38"/>
      <c r="BF1382" s="38"/>
      <c r="BG1382" s="38"/>
      <c r="BH1382" s="38"/>
      <c r="BI1382" s="38"/>
      <c r="BJ1382" s="38"/>
      <c r="BK1382" s="38"/>
      <c r="BL1382" s="38"/>
      <c r="BM1382" s="38"/>
      <c r="BN1382" s="38"/>
      <c r="BO1382" s="38"/>
      <c r="BP1382" s="38"/>
      <c r="BQ1382" s="38"/>
    </row>
    <row r="1383">
      <c r="A1383" s="58" t="s">
        <v>40</v>
      </c>
      <c r="B1383" s="59">
        <v>43272.0</v>
      </c>
      <c r="C1383" s="59">
        <v>43271.0</v>
      </c>
      <c r="D1383" s="60" t="s">
        <v>4091</v>
      </c>
      <c r="E1383" s="58" t="s">
        <v>31</v>
      </c>
      <c r="F1383" s="58">
        <v>10.0</v>
      </c>
      <c r="G1383" s="58" t="s">
        <v>32</v>
      </c>
      <c r="H1383" s="33">
        <f t="shared" ref="H1383:H1387" si="207">if(G1383="Unknown",1,G1383)</f>
        <v>1</v>
      </c>
      <c r="I1383" s="58" t="s">
        <v>33</v>
      </c>
      <c r="J1383" s="58" t="s">
        <v>124</v>
      </c>
      <c r="K1383" s="58">
        <v>1.0</v>
      </c>
      <c r="L1383" s="58" t="s">
        <v>52</v>
      </c>
      <c r="M1383" s="46" t="s">
        <v>4092</v>
      </c>
      <c r="N1383" s="77"/>
      <c r="O1383" s="62"/>
      <c r="P1383" s="62"/>
      <c r="Q1383" s="62"/>
      <c r="R1383" s="62"/>
      <c r="S1383" s="37" t="str">
        <f>IFERROR(__xludf.DUMMYFUNCTION("if(not(iserror(index(split(C1383, "" ""),2))), index(split(C1383, "" ""),1),"""")"),"June")</f>
        <v>June</v>
      </c>
      <c r="T1383" s="38">
        <f>IFERROR(__xludf.DUMMYFUNCTION("if(S1383="""",C1383,if(not(iserror(index(split(C1383, "" ""),3))), index(split(C1383, "" ""),3),index(split(C1383, "" ""),2)))"),2018.0)</f>
        <v>2018</v>
      </c>
      <c r="U1383" s="38" t="b">
        <f t="shared" si="206"/>
        <v>1</v>
      </c>
      <c r="V1383" s="38"/>
      <c r="W1383" s="40"/>
      <c r="X1383" s="40"/>
      <c r="Y1383" s="40"/>
      <c r="Z1383" s="38"/>
      <c r="AA1383" s="38"/>
      <c r="AB1383" s="38"/>
      <c r="AC1383" s="38"/>
      <c r="AD1383" s="38"/>
      <c r="AE1383" s="38"/>
      <c r="AF1383" s="38"/>
      <c r="AG1383" s="38"/>
      <c r="AH1383" s="38"/>
      <c r="AI1383" s="38"/>
      <c r="AJ1383" s="38"/>
      <c r="AK1383" s="38"/>
      <c r="AL1383" s="38"/>
      <c r="AM1383" s="38"/>
      <c r="AN1383" s="38"/>
      <c r="AO1383" s="38"/>
      <c r="AP1383" s="38"/>
      <c r="AQ1383" s="38"/>
      <c r="AR1383" s="38"/>
      <c r="AS1383" s="38"/>
      <c r="AT1383" s="38"/>
      <c r="AU1383" s="38"/>
      <c r="AV1383" s="38"/>
      <c r="AW1383" s="38"/>
      <c r="AX1383" s="38"/>
      <c r="AY1383" s="38"/>
      <c r="AZ1383" s="38"/>
      <c r="BA1383" s="38"/>
      <c r="BB1383" s="38"/>
      <c r="BC1383" s="38"/>
      <c r="BD1383" s="38"/>
      <c r="BE1383" s="38"/>
      <c r="BF1383" s="38"/>
      <c r="BG1383" s="38"/>
      <c r="BH1383" s="38"/>
      <c r="BI1383" s="38"/>
      <c r="BJ1383" s="38"/>
      <c r="BK1383" s="38"/>
      <c r="BL1383" s="38"/>
      <c r="BM1383" s="38"/>
      <c r="BN1383" s="38"/>
      <c r="BO1383" s="38"/>
      <c r="BP1383" s="38"/>
      <c r="BQ1383" s="38"/>
    </row>
    <row r="1384">
      <c r="A1384" s="78" t="s">
        <v>660</v>
      </c>
      <c r="B1384" s="59">
        <v>43277.0</v>
      </c>
      <c r="C1384" s="59">
        <v>43271.0</v>
      </c>
      <c r="D1384" s="60" t="s">
        <v>4091</v>
      </c>
      <c r="E1384" s="58" t="s">
        <v>41</v>
      </c>
      <c r="F1384" s="58">
        <v>5.0</v>
      </c>
      <c r="G1384" s="58" t="s">
        <v>32</v>
      </c>
      <c r="H1384" s="33">
        <f t="shared" si="207"/>
        <v>1</v>
      </c>
      <c r="I1384" s="58" t="s">
        <v>33</v>
      </c>
      <c r="J1384" s="58" t="s">
        <v>106</v>
      </c>
      <c r="K1384" s="58">
        <v>1.0</v>
      </c>
      <c r="L1384" s="58" t="s">
        <v>52</v>
      </c>
      <c r="M1384" s="61" t="s">
        <v>4093</v>
      </c>
      <c r="N1384" s="77"/>
      <c r="O1384" s="62"/>
      <c r="P1384" s="62"/>
      <c r="Q1384" s="62"/>
      <c r="R1384" s="62"/>
      <c r="S1384" s="37" t="str">
        <f>IFERROR(__xludf.DUMMYFUNCTION("if(not(iserror(index(split(C1384, "" ""),2))), index(split(C1384, "" ""),1),"""")"),"June")</f>
        <v>June</v>
      </c>
      <c r="T1384" s="38">
        <f>IFERROR(__xludf.DUMMYFUNCTION("if(S1384="""",C1384,if(not(iserror(index(split(C1384, "" ""),3))), index(split(C1384, "" ""),3),index(split(C1384, "" ""),2)))"),2018.0)</f>
        <v>2018</v>
      </c>
      <c r="U1384" s="38" t="b">
        <f t="shared" si="206"/>
        <v>1</v>
      </c>
      <c r="V1384" s="38"/>
      <c r="W1384" s="40"/>
      <c r="X1384" s="40"/>
      <c r="Y1384" s="40"/>
      <c r="Z1384" s="38"/>
      <c r="AA1384" s="38"/>
      <c r="AB1384" s="38"/>
      <c r="AC1384" s="38"/>
      <c r="AD1384" s="38"/>
      <c r="AE1384" s="38"/>
      <c r="AF1384" s="38"/>
      <c r="AG1384" s="38"/>
      <c r="AH1384" s="38"/>
      <c r="AI1384" s="38"/>
      <c r="AJ1384" s="38"/>
      <c r="AK1384" s="38"/>
      <c r="AL1384" s="38"/>
      <c r="AM1384" s="38"/>
      <c r="AN1384" s="38"/>
      <c r="AO1384" s="38"/>
      <c r="AP1384" s="38"/>
      <c r="AQ1384" s="38"/>
      <c r="AR1384" s="38"/>
      <c r="AS1384" s="38"/>
      <c r="AT1384" s="38"/>
      <c r="AU1384" s="38"/>
      <c r="AV1384" s="38"/>
      <c r="AW1384" s="38"/>
      <c r="AX1384" s="38"/>
      <c r="AY1384" s="38"/>
      <c r="AZ1384" s="38"/>
      <c r="BA1384" s="38"/>
      <c r="BB1384" s="38"/>
      <c r="BC1384" s="38"/>
      <c r="BD1384" s="38"/>
      <c r="BE1384" s="38"/>
      <c r="BF1384" s="38"/>
      <c r="BG1384" s="38"/>
      <c r="BH1384" s="38"/>
      <c r="BI1384" s="38"/>
      <c r="BJ1384" s="38"/>
      <c r="BK1384" s="38"/>
      <c r="BL1384" s="38"/>
      <c r="BM1384" s="38"/>
      <c r="BN1384" s="38"/>
      <c r="BO1384" s="38"/>
      <c r="BP1384" s="38"/>
      <c r="BQ1384" s="38"/>
    </row>
    <row r="1385">
      <c r="A1385" s="78" t="s">
        <v>4094</v>
      </c>
      <c r="B1385" s="59">
        <v>43278.0</v>
      </c>
      <c r="C1385" s="59">
        <v>43271.0</v>
      </c>
      <c r="D1385" s="60" t="s">
        <v>4091</v>
      </c>
      <c r="E1385" s="58" t="s">
        <v>41</v>
      </c>
      <c r="F1385" s="58">
        <v>1.0</v>
      </c>
      <c r="G1385" s="58" t="s">
        <v>32</v>
      </c>
      <c r="H1385" s="33">
        <f t="shared" si="207"/>
        <v>1</v>
      </c>
      <c r="I1385" s="58" t="s">
        <v>33</v>
      </c>
      <c r="J1385" s="58" t="s">
        <v>115</v>
      </c>
      <c r="K1385" s="58">
        <v>2.0</v>
      </c>
      <c r="L1385" s="58" t="s">
        <v>223</v>
      </c>
      <c r="M1385" s="80" t="s">
        <v>4095</v>
      </c>
      <c r="N1385" s="61" t="s">
        <v>4096</v>
      </c>
      <c r="O1385" s="62"/>
      <c r="P1385" s="58"/>
      <c r="Q1385" s="58"/>
      <c r="R1385" s="62"/>
      <c r="S1385" s="37" t="str">
        <f>IFERROR(__xludf.DUMMYFUNCTION("if(not(iserror(index(split(C1385, "" ""),2))), index(split(C1385, "" ""),1),"""")"),"June")</f>
        <v>June</v>
      </c>
      <c r="T1385" s="38">
        <f>IFERROR(__xludf.DUMMYFUNCTION("if(S1385="""",C1385,if(not(iserror(index(split(C1385, "" ""),3))), index(split(C1385, "" ""),3),index(split(C1385, "" ""),2)))"),2018.0)</f>
        <v>2018</v>
      </c>
      <c r="U1385" s="38" t="b">
        <f t="shared" si="206"/>
        <v>0</v>
      </c>
      <c r="V1385" s="38" t="s">
        <v>33</v>
      </c>
      <c r="W1385" s="40"/>
      <c r="X1385" s="40"/>
      <c r="Y1385" s="40"/>
      <c r="Z1385" s="38"/>
      <c r="AA1385" s="38"/>
      <c r="AB1385" s="38"/>
      <c r="AC1385" s="38"/>
      <c r="AD1385" s="38"/>
      <c r="AE1385" s="38"/>
      <c r="AF1385" s="38"/>
      <c r="AG1385" s="38"/>
      <c r="AH1385" s="38"/>
      <c r="AI1385" s="38"/>
      <c r="AJ1385" s="38"/>
      <c r="AK1385" s="38"/>
      <c r="AL1385" s="38"/>
      <c r="AM1385" s="38"/>
      <c r="AN1385" s="38"/>
      <c r="AO1385" s="38"/>
      <c r="AP1385" s="38"/>
      <c r="AQ1385" s="38"/>
      <c r="AR1385" s="38"/>
      <c r="AS1385" s="38"/>
      <c r="AT1385" s="38"/>
      <c r="AU1385" s="38"/>
      <c r="AV1385" s="38"/>
      <c r="AW1385" s="38"/>
      <c r="AX1385" s="38"/>
      <c r="AY1385" s="38"/>
      <c r="AZ1385" s="38"/>
      <c r="BA1385" s="38"/>
      <c r="BB1385" s="38"/>
      <c r="BC1385" s="38"/>
      <c r="BD1385" s="38"/>
      <c r="BE1385" s="38"/>
      <c r="BF1385" s="38"/>
      <c r="BG1385" s="38"/>
      <c r="BH1385" s="38"/>
      <c r="BI1385" s="38"/>
      <c r="BJ1385" s="38"/>
      <c r="BK1385" s="38"/>
      <c r="BL1385" s="38"/>
      <c r="BM1385" s="38"/>
      <c r="BN1385" s="38"/>
      <c r="BO1385" s="38"/>
      <c r="BP1385" s="38"/>
      <c r="BQ1385" s="38"/>
    </row>
    <row r="1386">
      <c r="A1386" s="58" t="s">
        <v>4097</v>
      </c>
      <c r="B1386" s="59">
        <v>43396.0</v>
      </c>
      <c r="C1386" s="59">
        <v>43271.0</v>
      </c>
      <c r="D1386" s="60" t="s">
        <v>4098</v>
      </c>
      <c r="E1386" s="58" t="s">
        <v>41</v>
      </c>
      <c r="F1386" s="58">
        <v>1.0</v>
      </c>
      <c r="G1386" s="58" t="s">
        <v>32</v>
      </c>
      <c r="H1386" s="33">
        <f t="shared" si="207"/>
        <v>1</v>
      </c>
      <c r="I1386" s="58" t="s">
        <v>33</v>
      </c>
      <c r="J1386" s="58" t="s">
        <v>93</v>
      </c>
      <c r="K1386" s="58">
        <v>1.0</v>
      </c>
      <c r="L1386" s="58" t="s">
        <v>119</v>
      </c>
      <c r="M1386" s="61" t="s">
        <v>4099</v>
      </c>
      <c r="N1386" s="61" t="s">
        <v>4100</v>
      </c>
      <c r="O1386" s="58"/>
      <c r="P1386" s="58"/>
      <c r="Q1386" s="84"/>
      <c r="R1386" s="62"/>
      <c r="S1386" s="37" t="str">
        <f>IFERROR(__xludf.DUMMYFUNCTION("if(not(iserror(index(split(C1386, "" ""),2))), index(split(C1386, "" ""),1),"""")"),"June")</f>
        <v>June</v>
      </c>
      <c r="T1386" s="38">
        <f>IFERROR(__xludf.DUMMYFUNCTION("if(S1386="""",C1386,if(not(iserror(index(split(C1386, "" ""),3))), index(split(C1386, "" ""),3),index(split(C1386, "" ""),2)))"),2018.0)</f>
        <v>2018</v>
      </c>
      <c r="U1386" s="38" t="b">
        <f t="shared" si="206"/>
        <v>0</v>
      </c>
      <c r="V1386" s="38"/>
      <c r="W1386" s="40"/>
      <c r="X1386" s="40"/>
      <c r="Y1386" s="40"/>
      <c r="Z1386" s="38"/>
      <c r="AA1386" s="38"/>
      <c r="AB1386" s="38"/>
      <c r="AC1386" s="38"/>
      <c r="AD1386" s="38"/>
      <c r="AE1386" s="38"/>
      <c r="AF1386" s="38"/>
      <c r="AG1386" s="38"/>
      <c r="AH1386" s="38"/>
      <c r="AI1386" s="38"/>
      <c r="AJ1386" s="38"/>
      <c r="AK1386" s="38"/>
      <c r="AL1386" s="38"/>
      <c r="AM1386" s="38"/>
      <c r="AN1386" s="38"/>
      <c r="AO1386" s="38"/>
      <c r="AP1386" s="38"/>
      <c r="AQ1386" s="38"/>
      <c r="AR1386" s="38"/>
      <c r="AS1386" s="38"/>
      <c r="AT1386" s="38"/>
      <c r="AU1386" s="38"/>
      <c r="AV1386" s="38"/>
      <c r="AW1386" s="38"/>
      <c r="AX1386" s="38"/>
      <c r="AY1386" s="38"/>
      <c r="AZ1386" s="38"/>
      <c r="BA1386" s="38"/>
      <c r="BB1386" s="38"/>
      <c r="BC1386" s="38"/>
      <c r="BD1386" s="38"/>
      <c r="BE1386" s="38"/>
      <c r="BF1386" s="38"/>
      <c r="BG1386" s="38"/>
      <c r="BH1386" s="38"/>
      <c r="BI1386" s="38"/>
      <c r="BJ1386" s="38"/>
      <c r="BK1386" s="38"/>
      <c r="BL1386" s="38"/>
      <c r="BM1386" s="38"/>
      <c r="BN1386" s="38"/>
      <c r="BO1386" s="38"/>
      <c r="BP1386" s="38"/>
      <c r="BQ1386" s="38"/>
    </row>
    <row r="1387">
      <c r="A1387" s="58" t="s">
        <v>4101</v>
      </c>
      <c r="B1387" s="59">
        <v>43273.0</v>
      </c>
      <c r="C1387" s="59">
        <v>43272.0</v>
      </c>
      <c r="D1387" s="60" t="s">
        <v>4102</v>
      </c>
      <c r="E1387" s="58" t="s">
        <v>31</v>
      </c>
      <c r="F1387" s="58">
        <v>1.0</v>
      </c>
      <c r="G1387" s="58" t="s">
        <v>32</v>
      </c>
      <c r="H1387" s="33">
        <f t="shared" si="207"/>
        <v>1</v>
      </c>
      <c r="I1387" s="58" t="s">
        <v>33</v>
      </c>
      <c r="J1387" s="58" t="s">
        <v>47</v>
      </c>
      <c r="K1387" s="58">
        <v>2.0</v>
      </c>
      <c r="L1387" s="58" t="s">
        <v>99</v>
      </c>
      <c r="M1387" s="61" t="s">
        <v>4103</v>
      </c>
      <c r="N1387" s="77"/>
      <c r="O1387" s="62"/>
      <c r="P1387" s="62"/>
      <c r="Q1387" s="62"/>
      <c r="R1387" s="62"/>
      <c r="S1387" s="37" t="str">
        <f>IFERROR(__xludf.DUMMYFUNCTION("if(not(iserror(index(split(C1387, "" ""),2))), index(split(C1387, "" ""),1),"""")"),"June")</f>
        <v>June</v>
      </c>
      <c r="T1387" s="38">
        <f>IFERROR(__xludf.DUMMYFUNCTION("if(S1387="""",C1387,if(not(iserror(index(split(C1387, "" ""),3))), index(split(C1387, "" ""),3),index(split(C1387, "" ""),2)))"),2018.0)</f>
        <v>2018</v>
      </c>
      <c r="U1387" s="38" t="b">
        <f t="shared" si="206"/>
        <v>0</v>
      </c>
      <c r="V1387" s="38"/>
      <c r="W1387" s="40"/>
      <c r="X1387" s="40"/>
      <c r="Y1387" s="40"/>
      <c r="Z1387" s="38"/>
      <c r="AA1387" s="38"/>
      <c r="AB1387" s="38"/>
      <c r="AC1387" s="38"/>
      <c r="AD1387" s="38"/>
      <c r="AE1387" s="38"/>
      <c r="AF1387" s="38"/>
      <c r="AG1387" s="38"/>
      <c r="AH1387" s="38"/>
      <c r="AI1387" s="38"/>
      <c r="AJ1387" s="38"/>
      <c r="AK1387" s="38"/>
      <c r="AL1387" s="38"/>
      <c r="AM1387" s="38"/>
      <c r="AN1387" s="38"/>
      <c r="AO1387" s="38"/>
      <c r="AP1387" s="38"/>
      <c r="AQ1387" s="38"/>
      <c r="AR1387" s="38"/>
      <c r="AS1387" s="38"/>
      <c r="AT1387" s="38"/>
      <c r="AU1387" s="38"/>
      <c r="AV1387" s="38"/>
      <c r="AW1387" s="38"/>
      <c r="AX1387" s="38"/>
      <c r="AY1387" s="38"/>
      <c r="AZ1387" s="38"/>
      <c r="BA1387" s="38"/>
      <c r="BB1387" s="38"/>
      <c r="BC1387" s="38"/>
      <c r="BD1387" s="38"/>
      <c r="BE1387" s="38"/>
      <c r="BF1387" s="38"/>
      <c r="BG1387" s="38"/>
      <c r="BH1387" s="38"/>
      <c r="BI1387" s="38"/>
      <c r="BJ1387" s="38"/>
      <c r="BK1387" s="38"/>
      <c r="BL1387" s="38"/>
      <c r="BM1387" s="38"/>
      <c r="BN1387" s="38"/>
      <c r="BO1387" s="38"/>
      <c r="BP1387" s="38"/>
      <c r="BQ1387" s="38"/>
    </row>
    <row r="1388">
      <c r="A1388" s="58" t="s">
        <v>4104</v>
      </c>
      <c r="B1388" s="59"/>
      <c r="C1388" s="59">
        <v>43272.0</v>
      </c>
      <c r="D1388" s="60"/>
      <c r="E1388" s="58" t="s">
        <v>41</v>
      </c>
      <c r="F1388" s="58">
        <v>1.0</v>
      </c>
      <c r="G1388" s="58" t="s">
        <v>32</v>
      </c>
      <c r="H1388" s="43">
        <v>1.0</v>
      </c>
      <c r="I1388" s="58" t="s">
        <v>33</v>
      </c>
      <c r="J1388" s="58" t="s">
        <v>93</v>
      </c>
      <c r="K1388" s="58"/>
      <c r="L1388" s="58" t="s">
        <v>2156</v>
      </c>
      <c r="M1388" s="61" t="s">
        <v>4105</v>
      </c>
      <c r="N1388" s="77"/>
      <c r="O1388" s="62"/>
      <c r="P1388" s="62"/>
      <c r="Q1388" s="58">
        <v>1.0</v>
      </c>
      <c r="R1388" s="62"/>
      <c r="S1388" s="37"/>
      <c r="T1388" s="38"/>
      <c r="U1388" s="38"/>
      <c r="V1388" s="38" t="s">
        <v>33</v>
      </c>
      <c r="W1388" s="40"/>
      <c r="X1388" s="40"/>
      <c r="Y1388" s="40"/>
      <c r="Z1388" s="38"/>
      <c r="AA1388" s="38"/>
      <c r="AB1388" s="38"/>
      <c r="AC1388" s="38"/>
      <c r="AD1388" s="38"/>
      <c r="AE1388" s="38"/>
      <c r="AF1388" s="38"/>
      <c r="AG1388" s="38"/>
      <c r="AH1388" s="38"/>
      <c r="AI1388" s="38"/>
      <c r="AJ1388" s="38"/>
      <c r="AK1388" s="38"/>
      <c r="AL1388" s="38"/>
      <c r="AM1388" s="38"/>
      <c r="AN1388" s="38"/>
      <c r="AO1388" s="38"/>
      <c r="AP1388" s="38"/>
      <c r="AQ1388" s="38"/>
      <c r="AR1388" s="38"/>
      <c r="AS1388" s="38"/>
      <c r="AT1388" s="38"/>
      <c r="AU1388" s="38"/>
      <c r="AV1388" s="38"/>
      <c r="AW1388" s="38"/>
      <c r="AX1388" s="38"/>
      <c r="AY1388" s="38"/>
      <c r="AZ1388" s="38"/>
      <c r="BA1388" s="38"/>
      <c r="BB1388" s="38"/>
      <c r="BC1388" s="38"/>
      <c r="BD1388" s="38"/>
      <c r="BE1388" s="38"/>
      <c r="BF1388" s="38"/>
      <c r="BG1388" s="38"/>
      <c r="BH1388" s="38"/>
      <c r="BI1388" s="38"/>
      <c r="BJ1388" s="38"/>
      <c r="BK1388" s="38"/>
      <c r="BL1388" s="38"/>
      <c r="BM1388" s="38"/>
      <c r="BN1388" s="38"/>
      <c r="BO1388" s="38"/>
      <c r="BP1388" s="38"/>
      <c r="BQ1388" s="38"/>
    </row>
    <row r="1389">
      <c r="A1389" s="78" t="s">
        <v>4106</v>
      </c>
      <c r="B1389" s="59">
        <v>43284.0</v>
      </c>
      <c r="C1389" s="59">
        <v>43272.0</v>
      </c>
      <c r="D1389" s="60" t="s">
        <v>4102</v>
      </c>
      <c r="E1389" s="58" t="s">
        <v>41</v>
      </c>
      <c r="F1389" s="58">
        <v>1.0</v>
      </c>
      <c r="G1389" s="58" t="s">
        <v>32</v>
      </c>
      <c r="H1389" s="33">
        <f t="shared" ref="H1389:H1391" si="208">if(G1389="Unknown",1,G1389)</f>
        <v>1</v>
      </c>
      <c r="I1389" s="58" t="s">
        <v>33</v>
      </c>
      <c r="J1389" s="58" t="s">
        <v>203</v>
      </c>
      <c r="K1389" s="58">
        <v>1.0</v>
      </c>
      <c r="L1389" s="58" t="s">
        <v>223</v>
      </c>
      <c r="M1389" s="61" t="s">
        <v>4107</v>
      </c>
      <c r="N1389" s="77"/>
      <c r="O1389" s="83" t="str">
        <f>hyperlink("https://bad-boys.us/?q=D-SD/5:18-cr-50074", "D-SD 5:18-cr-50074")</f>
        <v>D-SD 5:18-cr-50074</v>
      </c>
      <c r="P1389" s="88" t="s">
        <v>4108</v>
      </c>
      <c r="Q1389" s="58">
        <v>1.0</v>
      </c>
      <c r="R1389" s="62"/>
      <c r="S1389" s="37" t="str">
        <f>IFERROR(__xludf.DUMMYFUNCTION("if(not(iserror(index(split(C1389, "" ""),2))), index(split(C1389, "" ""),1),"""")"),"June")</f>
        <v>June</v>
      </c>
      <c r="T1389" s="38">
        <f>IFERROR(__xludf.DUMMYFUNCTION("if(S1389="""",C1389,if(not(iserror(index(split(C1389, "" ""),3))), index(split(C1389, "" ""),3),index(split(C1389, "" ""),2)))"),2018.0)</f>
        <v>2018</v>
      </c>
      <c r="U1389" s="38" t="b">
        <f t="shared" ref="U1389:U1391" si="209">countif(A$4:A4658, A1389)&gt;1</f>
        <v>0</v>
      </c>
      <c r="V1389" s="38"/>
      <c r="W1389" s="40"/>
      <c r="X1389" s="40"/>
      <c r="Y1389" s="40"/>
      <c r="Z1389" s="38"/>
      <c r="AA1389" s="38"/>
      <c r="AB1389" s="38"/>
      <c r="AC1389" s="38"/>
      <c r="AD1389" s="38"/>
      <c r="AE1389" s="38"/>
      <c r="AF1389" s="38"/>
      <c r="AG1389" s="38"/>
      <c r="AH1389" s="38"/>
      <c r="AI1389" s="38"/>
      <c r="AJ1389" s="38"/>
      <c r="AK1389" s="38"/>
      <c r="AL1389" s="38"/>
      <c r="AM1389" s="38"/>
      <c r="AN1389" s="38"/>
      <c r="AO1389" s="38"/>
      <c r="AP1389" s="38"/>
      <c r="AQ1389" s="38"/>
      <c r="AR1389" s="38"/>
      <c r="AS1389" s="38"/>
      <c r="AT1389" s="38"/>
      <c r="AU1389" s="38"/>
      <c r="AV1389" s="38"/>
      <c r="AW1389" s="38"/>
      <c r="AX1389" s="38"/>
      <c r="AY1389" s="38"/>
      <c r="AZ1389" s="38"/>
      <c r="BA1389" s="38"/>
      <c r="BB1389" s="38"/>
      <c r="BC1389" s="38"/>
      <c r="BD1389" s="38"/>
      <c r="BE1389" s="38"/>
      <c r="BF1389" s="38"/>
      <c r="BG1389" s="38"/>
      <c r="BH1389" s="38"/>
      <c r="BI1389" s="38"/>
      <c r="BJ1389" s="38"/>
      <c r="BK1389" s="38"/>
      <c r="BL1389" s="38"/>
      <c r="BM1389" s="38"/>
      <c r="BN1389" s="38"/>
      <c r="BO1389" s="38"/>
      <c r="BP1389" s="38"/>
      <c r="BQ1389" s="38"/>
    </row>
    <row r="1390">
      <c r="A1390" s="58" t="s">
        <v>4109</v>
      </c>
      <c r="B1390" s="59">
        <v>43277.0</v>
      </c>
      <c r="C1390" s="59">
        <v>43273.0</v>
      </c>
      <c r="D1390" s="60" t="s">
        <v>4110</v>
      </c>
      <c r="E1390" s="58" t="s">
        <v>41</v>
      </c>
      <c r="F1390" s="58">
        <v>1.0</v>
      </c>
      <c r="G1390" s="58">
        <v>5.0</v>
      </c>
      <c r="H1390" s="33">
        <f t="shared" si="208"/>
        <v>5</v>
      </c>
      <c r="I1390" s="58" t="s">
        <v>33</v>
      </c>
      <c r="J1390" s="58" t="s">
        <v>413</v>
      </c>
      <c r="K1390" s="58">
        <v>1.0</v>
      </c>
      <c r="L1390" s="58" t="s">
        <v>194</v>
      </c>
      <c r="M1390" s="61" t="s">
        <v>4111</v>
      </c>
      <c r="N1390" s="77"/>
      <c r="O1390" s="83" t="str">
        <f>hyperlink("https://bad-boys.us/?q=D-VT/5:18-cr-00077", "D-VT 5:18-cr-00077")</f>
        <v>D-VT 5:18-cr-00077</v>
      </c>
      <c r="P1390" s="88" t="s">
        <v>4112</v>
      </c>
      <c r="Q1390" s="58">
        <v>1.0</v>
      </c>
      <c r="R1390" s="62"/>
      <c r="S1390" s="37" t="str">
        <f>IFERROR(__xludf.DUMMYFUNCTION("if(not(iserror(index(split(C1390, "" ""),2))), index(split(C1390, "" ""),1),"""")"),"June")</f>
        <v>June</v>
      </c>
      <c r="T1390" s="38">
        <f>IFERROR(__xludf.DUMMYFUNCTION("if(S1390="""",C1390,if(not(iserror(index(split(C1390, "" ""),3))), index(split(C1390, "" ""),3),index(split(C1390, "" ""),2)))"),2018.0)</f>
        <v>2018</v>
      </c>
      <c r="U1390" s="38" t="b">
        <f t="shared" si="209"/>
        <v>0</v>
      </c>
      <c r="V1390" s="38"/>
      <c r="W1390" s="40"/>
      <c r="X1390" s="40"/>
      <c r="Y1390" s="40"/>
      <c r="Z1390" s="38"/>
      <c r="AA1390" s="38"/>
      <c r="AB1390" s="38"/>
      <c r="AC1390" s="38"/>
      <c r="AD1390" s="38"/>
      <c r="AE1390" s="38"/>
      <c r="AF1390" s="38"/>
      <c r="AG1390" s="38"/>
      <c r="AH1390" s="38"/>
      <c r="AI1390" s="38"/>
      <c r="AJ1390" s="38"/>
      <c r="AK1390" s="38"/>
      <c r="AL1390" s="38"/>
      <c r="AM1390" s="38"/>
      <c r="AN1390" s="38"/>
      <c r="AO1390" s="38"/>
      <c r="AP1390" s="38"/>
      <c r="AQ1390" s="38"/>
      <c r="AR1390" s="38"/>
      <c r="AS1390" s="38"/>
      <c r="AT1390" s="38"/>
      <c r="AU1390" s="38"/>
      <c r="AV1390" s="38"/>
      <c r="AW1390" s="38"/>
      <c r="AX1390" s="38"/>
      <c r="AY1390" s="38"/>
      <c r="AZ1390" s="38"/>
      <c r="BA1390" s="38"/>
      <c r="BB1390" s="38"/>
      <c r="BC1390" s="38"/>
      <c r="BD1390" s="38"/>
      <c r="BE1390" s="38"/>
      <c r="BF1390" s="38"/>
      <c r="BG1390" s="38"/>
      <c r="BH1390" s="38"/>
      <c r="BI1390" s="38"/>
      <c r="BJ1390" s="38"/>
      <c r="BK1390" s="38"/>
      <c r="BL1390" s="38"/>
      <c r="BM1390" s="38"/>
      <c r="BN1390" s="38"/>
      <c r="BO1390" s="38"/>
      <c r="BP1390" s="38"/>
      <c r="BQ1390" s="38"/>
    </row>
    <row r="1391">
      <c r="A1391" s="78" t="s">
        <v>239</v>
      </c>
      <c r="B1391" s="59">
        <v>43284.0</v>
      </c>
      <c r="C1391" s="59">
        <v>43273.0</v>
      </c>
      <c r="D1391" s="60" t="s">
        <v>4110</v>
      </c>
      <c r="E1391" s="58" t="s">
        <v>41</v>
      </c>
      <c r="F1391" s="58">
        <v>2.0</v>
      </c>
      <c r="G1391" s="58">
        <v>4.0</v>
      </c>
      <c r="H1391" s="33">
        <f t="shared" si="208"/>
        <v>4</v>
      </c>
      <c r="I1391" s="58" t="s">
        <v>33</v>
      </c>
      <c r="J1391" s="58" t="s">
        <v>147</v>
      </c>
      <c r="K1391" s="58">
        <v>1.0</v>
      </c>
      <c r="L1391" s="58" t="s">
        <v>194</v>
      </c>
      <c r="M1391" s="61" t="s">
        <v>4113</v>
      </c>
      <c r="N1391" s="77"/>
      <c r="O1391" s="62"/>
      <c r="P1391" s="62"/>
      <c r="Q1391" s="62"/>
      <c r="R1391" s="62"/>
      <c r="S1391" s="37" t="str">
        <f>IFERROR(__xludf.DUMMYFUNCTION("if(not(iserror(index(split(C1391, "" ""),2))), index(split(C1391, "" ""),1),"""")"),"June")</f>
        <v>June</v>
      </c>
      <c r="T1391" s="38">
        <f>IFERROR(__xludf.DUMMYFUNCTION("if(S1391="""",C1391,if(not(iserror(index(split(C1391, "" ""),3))), index(split(C1391, "" ""),3),index(split(C1391, "" ""),2)))"),2018.0)</f>
        <v>2018</v>
      </c>
      <c r="U1391" s="38" t="b">
        <f t="shared" si="209"/>
        <v>1</v>
      </c>
      <c r="V1391" s="38"/>
      <c r="W1391" s="40"/>
      <c r="X1391" s="40"/>
      <c r="Y1391" s="40"/>
      <c r="Z1391" s="38"/>
      <c r="AA1391" s="38"/>
      <c r="AB1391" s="38"/>
      <c r="AC1391" s="38"/>
      <c r="AD1391" s="38"/>
      <c r="AE1391" s="38"/>
      <c r="AF1391" s="38"/>
      <c r="AG1391" s="38"/>
      <c r="AH1391" s="38"/>
      <c r="AI1391" s="38"/>
      <c r="AJ1391" s="38"/>
      <c r="AK1391" s="38"/>
      <c r="AL1391" s="38"/>
      <c r="AM1391" s="38"/>
      <c r="AN1391" s="38"/>
      <c r="AO1391" s="38"/>
      <c r="AP1391" s="38"/>
      <c r="AQ1391" s="38"/>
      <c r="AR1391" s="38"/>
      <c r="AS1391" s="38"/>
      <c r="AT1391" s="38"/>
      <c r="AU1391" s="38"/>
      <c r="AV1391" s="38"/>
      <c r="AW1391" s="38"/>
      <c r="AX1391" s="38"/>
      <c r="AY1391" s="38"/>
      <c r="AZ1391" s="38"/>
      <c r="BA1391" s="38"/>
      <c r="BB1391" s="38"/>
      <c r="BC1391" s="38"/>
      <c r="BD1391" s="38"/>
      <c r="BE1391" s="38"/>
      <c r="BF1391" s="38"/>
      <c r="BG1391" s="38"/>
      <c r="BH1391" s="38"/>
      <c r="BI1391" s="38"/>
      <c r="BJ1391" s="38"/>
      <c r="BK1391" s="38"/>
      <c r="BL1391" s="38"/>
      <c r="BM1391" s="38"/>
      <c r="BN1391" s="38"/>
      <c r="BO1391" s="38"/>
      <c r="BP1391" s="38"/>
      <c r="BQ1391" s="38"/>
    </row>
    <row r="1392">
      <c r="A1392" s="78" t="s">
        <v>4114</v>
      </c>
      <c r="B1392" s="59"/>
      <c r="C1392" s="59">
        <v>43273.0</v>
      </c>
      <c r="D1392" s="60"/>
      <c r="E1392" s="58" t="s">
        <v>41</v>
      </c>
      <c r="F1392" s="58">
        <v>1.0</v>
      </c>
      <c r="G1392" s="58">
        <v>1.0</v>
      </c>
      <c r="H1392" s="43">
        <v>1.0</v>
      </c>
      <c r="I1392" s="58" t="s">
        <v>33</v>
      </c>
      <c r="J1392" s="58" t="s">
        <v>147</v>
      </c>
      <c r="K1392" s="58"/>
      <c r="L1392" s="58" t="s">
        <v>4115</v>
      </c>
      <c r="M1392" s="61" t="s">
        <v>4116</v>
      </c>
      <c r="N1392" s="77"/>
      <c r="O1392" s="62"/>
      <c r="P1392" s="62"/>
      <c r="Q1392" s="58"/>
      <c r="R1392" s="62"/>
      <c r="S1392" s="37"/>
      <c r="T1392" s="38"/>
      <c r="U1392" s="38"/>
      <c r="V1392" s="38" t="s">
        <v>33</v>
      </c>
      <c r="W1392" s="40"/>
      <c r="X1392" s="40"/>
      <c r="Y1392" s="40"/>
      <c r="Z1392" s="38"/>
      <c r="AA1392" s="38"/>
      <c r="AB1392" s="38"/>
      <c r="AC1392" s="38"/>
      <c r="AD1392" s="38"/>
      <c r="AE1392" s="38"/>
      <c r="AF1392" s="38"/>
      <c r="AG1392" s="38"/>
      <c r="AH1392" s="38"/>
      <c r="AI1392" s="38"/>
      <c r="AJ1392" s="38"/>
      <c r="AK1392" s="38"/>
      <c r="AL1392" s="38"/>
      <c r="AM1392" s="38"/>
      <c r="AN1392" s="38"/>
      <c r="AO1392" s="38"/>
      <c r="AP1392" s="38"/>
      <c r="AQ1392" s="38"/>
      <c r="AR1392" s="38"/>
      <c r="AS1392" s="38"/>
      <c r="AT1392" s="38"/>
      <c r="AU1392" s="38"/>
      <c r="AV1392" s="38"/>
      <c r="AW1392" s="38"/>
      <c r="AX1392" s="38"/>
      <c r="AY1392" s="38"/>
      <c r="AZ1392" s="38"/>
      <c r="BA1392" s="38"/>
      <c r="BB1392" s="38"/>
      <c r="BC1392" s="38"/>
      <c r="BD1392" s="38"/>
      <c r="BE1392" s="38"/>
      <c r="BF1392" s="38"/>
      <c r="BG1392" s="38"/>
      <c r="BH1392" s="38"/>
      <c r="BI1392" s="38"/>
      <c r="BJ1392" s="38"/>
      <c r="BK1392" s="38"/>
      <c r="BL1392" s="38"/>
      <c r="BM1392" s="38"/>
      <c r="BN1392" s="38"/>
      <c r="BO1392" s="38"/>
      <c r="BP1392" s="38"/>
      <c r="BQ1392" s="38"/>
    </row>
    <row r="1393">
      <c r="A1393" s="58" t="s">
        <v>4117</v>
      </c>
      <c r="B1393" s="59">
        <v>43446.0</v>
      </c>
      <c r="C1393" s="59">
        <v>43273.0</v>
      </c>
      <c r="D1393" s="60" t="s">
        <v>4110</v>
      </c>
      <c r="E1393" s="58" t="s">
        <v>41</v>
      </c>
      <c r="F1393" s="58">
        <v>1.0</v>
      </c>
      <c r="G1393" s="58">
        <v>3.0</v>
      </c>
      <c r="H1393" s="33">
        <f t="shared" ref="H1393:H1401" si="210">if(G1393="Unknown",1,G1393)</f>
        <v>3</v>
      </c>
      <c r="I1393" s="58" t="s">
        <v>33</v>
      </c>
      <c r="J1393" s="58" t="s">
        <v>93</v>
      </c>
      <c r="K1393" s="58">
        <v>1.0</v>
      </c>
      <c r="L1393" s="58" t="s">
        <v>194</v>
      </c>
      <c r="M1393" s="61" t="s">
        <v>4118</v>
      </c>
      <c r="N1393" s="80"/>
      <c r="O1393" s="83" t="str">
        <f>hyperlink("https://bad-boys.us/?q=ND-NY/8:18-cr-00334", "ND-NY 8:18-cr-00334")</f>
        <v>ND-NY 8:18-cr-00334</v>
      </c>
      <c r="P1393" s="88" t="s">
        <v>4119</v>
      </c>
      <c r="Q1393" s="58">
        <v>1.0</v>
      </c>
      <c r="R1393" s="62"/>
      <c r="S1393" s="37" t="str">
        <f>IFERROR(__xludf.DUMMYFUNCTION("if(not(iserror(index(split(C1393, "" ""),2))), index(split(C1393, "" ""),1),"""")"),"June")</f>
        <v>June</v>
      </c>
      <c r="T1393" s="38">
        <f>IFERROR(__xludf.DUMMYFUNCTION("if(S1393="""",C1393,if(not(iserror(index(split(C1393, "" ""),3))), index(split(C1393, "" ""),3),index(split(C1393, "" ""),2)))"),2018.0)</f>
        <v>2018</v>
      </c>
      <c r="U1393" s="38" t="b">
        <f t="shared" ref="U1393:U1411" si="211">countif(A$4:A4658, A1393)&gt;1</f>
        <v>0</v>
      </c>
      <c r="V1393" s="38"/>
      <c r="W1393" s="40"/>
      <c r="X1393" s="40"/>
      <c r="Y1393" s="40"/>
      <c r="Z1393" s="38"/>
      <c r="AA1393" s="38"/>
      <c r="AB1393" s="38"/>
      <c r="AC1393" s="38"/>
      <c r="AD1393" s="38"/>
      <c r="AE1393" s="38"/>
      <c r="AF1393" s="38"/>
      <c r="AG1393" s="38"/>
      <c r="AH1393" s="38"/>
      <c r="AI1393" s="38"/>
      <c r="AJ1393" s="38"/>
      <c r="AK1393" s="38"/>
      <c r="AL1393" s="38"/>
      <c r="AM1393" s="38"/>
      <c r="AN1393" s="38"/>
      <c r="AO1393" s="38"/>
      <c r="AP1393" s="38"/>
      <c r="AQ1393" s="38"/>
      <c r="AR1393" s="38"/>
      <c r="AS1393" s="38"/>
      <c r="AT1393" s="38"/>
      <c r="AU1393" s="38"/>
      <c r="AV1393" s="38"/>
      <c r="AW1393" s="38"/>
      <c r="AX1393" s="38"/>
      <c r="AY1393" s="38"/>
      <c r="AZ1393" s="38"/>
      <c r="BA1393" s="38"/>
      <c r="BB1393" s="38"/>
      <c r="BC1393" s="38"/>
      <c r="BD1393" s="38"/>
      <c r="BE1393" s="38"/>
      <c r="BF1393" s="38"/>
      <c r="BG1393" s="38"/>
      <c r="BH1393" s="38"/>
      <c r="BI1393" s="38"/>
      <c r="BJ1393" s="38"/>
      <c r="BK1393" s="38"/>
      <c r="BL1393" s="38"/>
      <c r="BM1393" s="38"/>
      <c r="BN1393" s="38"/>
      <c r="BO1393" s="38"/>
      <c r="BP1393" s="38"/>
      <c r="BQ1393" s="38"/>
    </row>
    <row r="1394">
      <c r="A1394" s="58" t="s">
        <v>239</v>
      </c>
      <c r="B1394" s="59">
        <v>43277.0</v>
      </c>
      <c r="C1394" s="59">
        <v>43274.0</v>
      </c>
      <c r="D1394" s="60" t="s">
        <v>4120</v>
      </c>
      <c r="E1394" s="58" t="s">
        <v>41</v>
      </c>
      <c r="F1394" s="58">
        <v>1.0</v>
      </c>
      <c r="G1394" s="58">
        <v>1.0</v>
      </c>
      <c r="H1394" s="33">
        <f t="shared" si="210"/>
        <v>1</v>
      </c>
      <c r="I1394" s="58" t="s">
        <v>33</v>
      </c>
      <c r="J1394" s="58" t="s">
        <v>147</v>
      </c>
      <c r="K1394" s="58">
        <v>1.0</v>
      </c>
      <c r="L1394" s="58" t="s">
        <v>194</v>
      </c>
      <c r="M1394" s="61" t="s">
        <v>4121</v>
      </c>
      <c r="N1394" s="77"/>
      <c r="O1394" s="62"/>
      <c r="P1394" s="62"/>
      <c r="Q1394" s="62"/>
      <c r="R1394" s="62"/>
      <c r="S1394" s="37" t="str">
        <f>IFERROR(__xludf.DUMMYFUNCTION("if(not(iserror(index(split(C1394, "" ""),2))), index(split(C1394, "" ""),1),"""")"),"June")</f>
        <v>June</v>
      </c>
      <c r="T1394" s="38">
        <f>IFERROR(__xludf.DUMMYFUNCTION("if(S1394="""",C1394,if(not(iserror(index(split(C1394, "" ""),3))), index(split(C1394, "" ""),3),index(split(C1394, "" ""),2)))"),2018.0)</f>
        <v>2018</v>
      </c>
      <c r="U1394" s="38" t="b">
        <f t="shared" si="211"/>
        <v>1</v>
      </c>
      <c r="V1394" s="38"/>
      <c r="W1394" s="40"/>
      <c r="X1394" s="40"/>
      <c r="Y1394" s="40"/>
      <c r="Z1394" s="38"/>
      <c r="AA1394" s="38"/>
      <c r="AB1394" s="38"/>
      <c r="AC1394" s="38"/>
      <c r="AD1394" s="38"/>
      <c r="AE1394" s="38"/>
      <c r="AF1394" s="38"/>
      <c r="AG1394" s="38"/>
      <c r="AH1394" s="38"/>
      <c r="AI1394" s="38"/>
      <c r="AJ1394" s="38"/>
      <c r="AK1394" s="38"/>
      <c r="AL1394" s="38"/>
      <c r="AM1394" s="38"/>
      <c r="AN1394" s="38"/>
      <c r="AO1394" s="38"/>
      <c r="AP1394" s="38"/>
      <c r="AQ1394" s="38"/>
      <c r="AR1394" s="38"/>
      <c r="AS1394" s="38"/>
      <c r="AT1394" s="38"/>
      <c r="AU1394" s="38"/>
      <c r="AV1394" s="38"/>
      <c r="AW1394" s="38"/>
      <c r="AX1394" s="38"/>
      <c r="AY1394" s="38"/>
      <c r="AZ1394" s="38"/>
      <c r="BA1394" s="38"/>
      <c r="BB1394" s="38"/>
      <c r="BC1394" s="38"/>
      <c r="BD1394" s="38"/>
      <c r="BE1394" s="38"/>
      <c r="BF1394" s="38"/>
      <c r="BG1394" s="38"/>
      <c r="BH1394" s="38"/>
      <c r="BI1394" s="38"/>
      <c r="BJ1394" s="38"/>
      <c r="BK1394" s="38"/>
      <c r="BL1394" s="38"/>
      <c r="BM1394" s="38"/>
      <c r="BN1394" s="38"/>
      <c r="BO1394" s="38"/>
      <c r="BP1394" s="38"/>
      <c r="BQ1394" s="38"/>
    </row>
    <row r="1395">
      <c r="A1395" s="78" t="s">
        <v>239</v>
      </c>
      <c r="B1395" s="59">
        <v>43277.0</v>
      </c>
      <c r="C1395" s="59">
        <v>43274.0</v>
      </c>
      <c r="D1395" s="60" t="s">
        <v>4120</v>
      </c>
      <c r="E1395" s="58" t="s">
        <v>41</v>
      </c>
      <c r="F1395" s="58">
        <v>1.0</v>
      </c>
      <c r="G1395" s="58" t="s">
        <v>32</v>
      </c>
      <c r="H1395" s="33">
        <f t="shared" si="210"/>
        <v>1</v>
      </c>
      <c r="I1395" s="58" t="s">
        <v>33</v>
      </c>
      <c r="J1395" s="58" t="s">
        <v>147</v>
      </c>
      <c r="K1395" s="58">
        <v>1.0</v>
      </c>
      <c r="L1395" s="58" t="s">
        <v>194</v>
      </c>
      <c r="M1395" s="61" t="s">
        <v>4122</v>
      </c>
      <c r="N1395" s="77"/>
      <c r="O1395" s="62"/>
      <c r="P1395" s="62"/>
      <c r="Q1395" s="62"/>
      <c r="R1395" s="62"/>
      <c r="S1395" s="37" t="str">
        <f>IFERROR(__xludf.DUMMYFUNCTION("if(not(iserror(index(split(C1395, "" ""),2))), index(split(C1395, "" ""),1),"""")"),"June")</f>
        <v>June</v>
      </c>
      <c r="T1395" s="38">
        <f>IFERROR(__xludf.DUMMYFUNCTION("if(S1395="""",C1395,if(not(iserror(index(split(C1395, "" ""),3))), index(split(C1395, "" ""),3),index(split(C1395, "" ""),2)))"),2018.0)</f>
        <v>2018</v>
      </c>
      <c r="U1395" s="38" t="b">
        <f t="shared" si="211"/>
        <v>1</v>
      </c>
      <c r="V1395" s="38"/>
      <c r="W1395" s="40"/>
      <c r="X1395" s="40"/>
      <c r="Y1395" s="40"/>
      <c r="Z1395" s="38"/>
      <c r="AA1395" s="38"/>
      <c r="AB1395" s="38"/>
      <c r="AC1395" s="38"/>
      <c r="AD1395" s="38"/>
      <c r="AE1395" s="38"/>
      <c r="AF1395" s="38"/>
      <c r="AG1395" s="38"/>
      <c r="AH1395" s="38"/>
      <c r="AI1395" s="38"/>
      <c r="AJ1395" s="38"/>
      <c r="AK1395" s="38"/>
      <c r="AL1395" s="38"/>
      <c r="AM1395" s="38"/>
      <c r="AN1395" s="38"/>
      <c r="AO1395" s="38"/>
      <c r="AP1395" s="38"/>
      <c r="AQ1395" s="38"/>
      <c r="AR1395" s="38"/>
      <c r="AS1395" s="38"/>
      <c r="AT1395" s="38"/>
      <c r="AU1395" s="38"/>
      <c r="AV1395" s="38"/>
      <c r="AW1395" s="38"/>
      <c r="AX1395" s="38"/>
      <c r="AY1395" s="38"/>
      <c r="AZ1395" s="38"/>
      <c r="BA1395" s="38"/>
      <c r="BB1395" s="38"/>
      <c r="BC1395" s="38"/>
      <c r="BD1395" s="38"/>
      <c r="BE1395" s="38"/>
      <c r="BF1395" s="38"/>
      <c r="BG1395" s="38"/>
      <c r="BH1395" s="38"/>
      <c r="BI1395" s="38"/>
      <c r="BJ1395" s="38"/>
      <c r="BK1395" s="38"/>
      <c r="BL1395" s="38"/>
      <c r="BM1395" s="38"/>
      <c r="BN1395" s="38"/>
      <c r="BO1395" s="38"/>
      <c r="BP1395" s="38"/>
      <c r="BQ1395" s="38"/>
    </row>
    <row r="1396">
      <c r="A1396" s="78" t="s">
        <v>660</v>
      </c>
      <c r="B1396" s="59">
        <v>43278.0</v>
      </c>
      <c r="C1396" s="59">
        <v>43275.0</v>
      </c>
      <c r="D1396" s="60" t="s">
        <v>4123</v>
      </c>
      <c r="E1396" s="58" t="s">
        <v>31</v>
      </c>
      <c r="F1396" s="58">
        <v>4.0</v>
      </c>
      <c r="G1396" s="58" t="s">
        <v>32</v>
      </c>
      <c r="H1396" s="33">
        <f t="shared" si="210"/>
        <v>1</v>
      </c>
      <c r="I1396" s="58" t="s">
        <v>33</v>
      </c>
      <c r="J1396" s="58" t="s">
        <v>184</v>
      </c>
      <c r="K1396" s="58">
        <v>1.0</v>
      </c>
      <c r="L1396" s="58" t="s">
        <v>52</v>
      </c>
      <c r="M1396" s="61" t="s">
        <v>4124</v>
      </c>
      <c r="N1396" s="77"/>
      <c r="O1396" s="62"/>
      <c r="P1396" s="62"/>
      <c r="Q1396" s="62"/>
      <c r="R1396" s="62"/>
      <c r="S1396" s="37" t="str">
        <f>IFERROR(__xludf.DUMMYFUNCTION("if(not(iserror(index(split(C1396, "" ""),2))), index(split(C1396, "" ""),1),"""")"),"June")</f>
        <v>June</v>
      </c>
      <c r="T1396" s="38">
        <f>IFERROR(__xludf.DUMMYFUNCTION("if(S1396="""",C1396,if(not(iserror(index(split(C1396, "" ""),3))), index(split(C1396, "" ""),3),index(split(C1396, "" ""),2)))"),2018.0)</f>
        <v>2018</v>
      </c>
      <c r="U1396" s="38" t="b">
        <f t="shared" si="211"/>
        <v>1</v>
      </c>
      <c r="V1396" s="38"/>
      <c r="W1396" s="40"/>
      <c r="X1396" s="40"/>
      <c r="Y1396" s="40"/>
      <c r="Z1396" s="38"/>
      <c r="AA1396" s="38"/>
      <c r="AB1396" s="38"/>
      <c r="AC1396" s="38"/>
      <c r="AD1396" s="38"/>
      <c r="AE1396" s="38"/>
      <c r="AF1396" s="38"/>
      <c r="AG1396" s="38"/>
      <c r="AH1396" s="38"/>
      <c r="AI1396" s="38"/>
      <c r="AJ1396" s="38"/>
      <c r="AK1396" s="38"/>
      <c r="AL1396" s="38"/>
      <c r="AM1396" s="38"/>
      <c r="AN1396" s="38"/>
      <c r="AO1396" s="38"/>
      <c r="AP1396" s="38"/>
      <c r="AQ1396" s="38"/>
      <c r="AR1396" s="38"/>
      <c r="AS1396" s="38"/>
      <c r="AT1396" s="38"/>
      <c r="AU1396" s="38"/>
      <c r="AV1396" s="38"/>
      <c r="AW1396" s="38"/>
      <c r="AX1396" s="38"/>
      <c r="AY1396" s="38"/>
      <c r="AZ1396" s="38"/>
      <c r="BA1396" s="38"/>
      <c r="BB1396" s="38"/>
      <c r="BC1396" s="38"/>
      <c r="BD1396" s="38"/>
      <c r="BE1396" s="38"/>
      <c r="BF1396" s="38"/>
      <c r="BG1396" s="38"/>
      <c r="BH1396" s="38"/>
      <c r="BI1396" s="38"/>
      <c r="BJ1396" s="38"/>
      <c r="BK1396" s="38"/>
      <c r="BL1396" s="38"/>
      <c r="BM1396" s="38"/>
      <c r="BN1396" s="38"/>
      <c r="BO1396" s="38"/>
      <c r="BP1396" s="38"/>
      <c r="BQ1396" s="38"/>
    </row>
    <row r="1397">
      <c r="A1397" s="58" t="s">
        <v>239</v>
      </c>
      <c r="B1397" s="59">
        <v>43277.0</v>
      </c>
      <c r="C1397" s="59">
        <v>43276.0</v>
      </c>
      <c r="D1397" s="60" t="s">
        <v>4125</v>
      </c>
      <c r="E1397" s="58" t="s">
        <v>41</v>
      </c>
      <c r="F1397" s="58">
        <v>1.0</v>
      </c>
      <c r="G1397" s="58">
        <v>3.0</v>
      </c>
      <c r="H1397" s="33">
        <f t="shared" si="210"/>
        <v>3</v>
      </c>
      <c r="I1397" s="58" t="s">
        <v>33</v>
      </c>
      <c r="J1397" s="58" t="s">
        <v>193</v>
      </c>
      <c r="K1397" s="58">
        <v>1.0</v>
      </c>
      <c r="L1397" s="58" t="s">
        <v>194</v>
      </c>
      <c r="M1397" s="61" t="s">
        <v>4126</v>
      </c>
      <c r="N1397" s="77"/>
      <c r="O1397" s="62"/>
      <c r="P1397" s="62"/>
      <c r="Q1397" s="62"/>
      <c r="R1397" s="62"/>
      <c r="S1397" s="37" t="str">
        <f>IFERROR(__xludf.DUMMYFUNCTION("if(not(iserror(index(split(C1397, "" ""),2))), index(split(C1397, "" ""),1),"""")"),"June")</f>
        <v>June</v>
      </c>
      <c r="T1397" s="38">
        <f>IFERROR(__xludf.DUMMYFUNCTION("if(S1397="""",C1397,if(not(iserror(index(split(C1397, "" ""),3))), index(split(C1397, "" ""),3),index(split(C1397, "" ""),2)))"),2018.0)</f>
        <v>2018</v>
      </c>
      <c r="U1397" s="38" t="b">
        <f t="shared" si="211"/>
        <v>1</v>
      </c>
      <c r="V1397" s="38"/>
      <c r="W1397" s="40"/>
      <c r="X1397" s="40"/>
      <c r="Y1397" s="40"/>
      <c r="Z1397" s="38"/>
      <c r="AA1397" s="38"/>
      <c r="AB1397" s="38"/>
      <c r="AC1397" s="38"/>
      <c r="AD1397" s="38"/>
      <c r="AE1397" s="38"/>
      <c r="AF1397" s="38"/>
      <c r="AG1397" s="38"/>
      <c r="AH1397" s="38"/>
      <c r="AI1397" s="38"/>
      <c r="AJ1397" s="38"/>
      <c r="AK1397" s="38"/>
      <c r="AL1397" s="38"/>
      <c r="AM1397" s="38"/>
      <c r="AN1397" s="38"/>
      <c r="AO1397" s="38"/>
      <c r="AP1397" s="38"/>
      <c r="AQ1397" s="38"/>
      <c r="AR1397" s="38"/>
      <c r="AS1397" s="38"/>
      <c r="AT1397" s="38"/>
      <c r="AU1397" s="38"/>
      <c r="AV1397" s="38"/>
      <c r="AW1397" s="38"/>
      <c r="AX1397" s="38"/>
      <c r="AY1397" s="38"/>
      <c r="AZ1397" s="38"/>
      <c r="BA1397" s="38"/>
      <c r="BB1397" s="38"/>
      <c r="BC1397" s="38"/>
      <c r="BD1397" s="38"/>
      <c r="BE1397" s="38"/>
      <c r="BF1397" s="38"/>
      <c r="BG1397" s="38"/>
      <c r="BH1397" s="38"/>
      <c r="BI1397" s="38"/>
      <c r="BJ1397" s="38"/>
      <c r="BK1397" s="38"/>
      <c r="BL1397" s="38"/>
      <c r="BM1397" s="38"/>
      <c r="BN1397" s="38"/>
      <c r="BO1397" s="38"/>
      <c r="BP1397" s="38"/>
      <c r="BQ1397" s="38"/>
    </row>
    <row r="1398">
      <c r="A1398" s="58" t="s">
        <v>4127</v>
      </c>
      <c r="B1398" s="59">
        <v>43277.0</v>
      </c>
      <c r="C1398" s="59">
        <v>43277.0</v>
      </c>
      <c r="D1398" s="60" t="s">
        <v>4128</v>
      </c>
      <c r="E1398" s="58" t="s">
        <v>31</v>
      </c>
      <c r="F1398" s="58">
        <v>1.0</v>
      </c>
      <c r="G1398" s="58" t="s">
        <v>32</v>
      </c>
      <c r="H1398" s="33">
        <f t="shared" si="210"/>
        <v>1</v>
      </c>
      <c r="I1398" s="58" t="s">
        <v>33</v>
      </c>
      <c r="J1398" s="58" t="s">
        <v>93</v>
      </c>
      <c r="K1398" s="58" t="s">
        <v>32</v>
      </c>
      <c r="L1398" s="58" t="s">
        <v>4129</v>
      </c>
      <c r="M1398" s="61" t="s">
        <v>4130</v>
      </c>
      <c r="N1398" s="61" t="s">
        <v>4131</v>
      </c>
      <c r="O1398" s="83" t="str">
        <f>hyperlink("https://bad-boys.us/?q=SD-NY/1:18-cr-00685", "SD-NY 1:18-cr-00685")</f>
        <v>SD-NY 1:18-cr-00685</v>
      </c>
      <c r="P1398" s="88" t="s">
        <v>4132</v>
      </c>
      <c r="Q1398" s="58">
        <v>1.0</v>
      </c>
      <c r="R1398" s="62"/>
      <c r="S1398" s="37" t="str">
        <f>IFERROR(__xludf.DUMMYFUNCTION("if(not(iserror(index(split(C1398, "" ""),2))), index(split(C1398, "" ""),1),"""")"),"June")</f>
        <v>June</v>
      </c>
      <c r="T1398" s="38">
        <f>IFERROR(__xludf.DUMMYFUNCTION("if(S1398="""",C1398,if(not(iserror(index(split(C1398, "" ""),3))), index(split(C1398, "" ""),3),index(split(C1398, "" ""),2)))"),2018.0)</f>
        <v>2018</v>
      </c>
      <c r="U1398" s="38" t="b">
        <f t="shared" si="211"/>
        <v>0</v>
      </c>
      <c r="V1398" s="38"/>
      <c r="W1398" s="40"/>
      <c r="X1398" s="40"/>
      <c r="Y1398" s="40"/>
      <c r="Z1398" s="38"/>
      <c r="AA1398" s="38"/>
      <c r="AB1398" s="38"/>
      <c r="AC1398" s="38"/>
      <c r="AD1398" s="38"/>
      <c r="AE1398" s="38"/>
      <c r="AF1398" s="38"/>
      <c r="AG1398" s="38"/>
      <c r="AH1398" s="38"/>
      <c r="AI1398" s="38"/>
      <c r="AJ1398" s="38"/>
      <c r="AK1398" s="38"/>
      <c r="AL1398" s="38"/>
      <c r="AM1398" s="38"/>
      <c r="AN1398" s="38"/>
      <c r="AO1398" s="38"/>
      <c r="AP1398" s="38"/>
      <c r="AQ1398" s="38"/>
      <c r="AR1398" s="38"/>
      <c r="AS1398" s="38"/>
      <c r="AT1398" s="38"/>
      <c r="AU1398" s="38"/>
      <c r="AV1398" s="38"/>
      <c r="AW1398" s="38"/>
      <c r="AX1398" s="38"/>
      <c r="AY1398" s="38"/>
      <c r="AZ1398" s="38"/>
      <c r="BA1398" s="38"/>
      <c r="BB1398" s="38"/>
      <c r="BC1398" s="38"/>
      <c r="BD1398" s="38"/>
      <c r="BE1398" s="38"/>
      <c r="BF1398" s="38"/>
      <c r="BG1398" s="38"/>
      <c r="BH1398" s="38"/>
      <c r="BI1398" s="38"/>
      <c r="BJ1398" s="38"/>
      <c r="BK1398" s="38"/>
      <c r="BL1398" s="38"/>
      <c r="BM1398" s="38"/>
      <c r="BN1398" s="38"/>
      <c r="BO1398" s="38"/>
      <c r="BP1398" s="38"/>
      <c r="BQ1398" s="38"/>
    </row>
    <row r="1399">
      <c r="A1399" s="78" t="s">
        <v>239</v>
      </c>
      <c r="B1399" s="59">
        <v>43277.0</v>
      </c>
      <c r="C1399" s="59">
        <v>43277.0</v>
      </c>
      <c r="D1399" s="60" t="s">
        <v>4128</v>
      </c>
      <c r="E1399" s="58" t="s">
        <v>41</v>
      </c>
      <c r="F1399" s="58">
        <v>1.0</v>
      </c>
      <c r="G1399" s="58" t="s">
        <v>32</v>
      </c>
      <c r="H1399" s="33">
        <f t="shared" si="210"/>
        <v>1</v>
      </c>
      <c r="I1399" s="58" t="s">
        <v>33</v>
      </c>
      <c r="J1399" s="58" t="s">
        <v>241</v>
      </c>
      <c r="K1399" s="58">
        <v>1.0</v>
      </c>
      <c r="L1399" s="58" t="s">
        <v>194</v>
      </c>
      <c r="M1399" s="61" t="s">
        <v>4133</v>
      </c>
      <c r="N1399" s="77"/>
      <c r="O1399" s="62"/>
      <c r="P1399" s="62"/>
      <c r="Q1399" s="62"/>
      <c r="R1399" s="62"/>
      <c r="S1399" s="37" t="str">
        <f>IFERROR(__xludf.DUMMYFUNCTION("if(not(iserror(index(split(C1399, "" ""),2))), index(split(C1399, "" ""),1),"""")"),"June")</f>
        <v>June</v>
      </c>
      <c r="T1399" s="38">
        <f>IFERROR(__xludf.DUMMYFUNCTION("if(S1399="""",C1399,if(not(iserror(index(split(C1399, "" ""),3))), index(split(C1399, "" ""),3),index(split(C1399, "" ""),2)))"),2018.0)</f>
        <v>2018</v>
      </c>
      <c r="U1399" s="38" t="b">
        <f t="shared" si="211"/>
        <v>1</v>
      </c>
      <c r="V1399" s="38"/>
      <c r="W1399" s="40"/>
      <c r="X1399" s="40"/>
      <c r="Y1399" s="40"/>
      <c r="Z1399" s="38"/>
      <c r="AA1399" s="38"/>
      <c r="AB1399" s="38"/>
      <c r="AC1399" s="38"/>
      <c r="AD1399" s="38"/>
      <c r="AE1399" s="38"/>
      <c r="AF1399" s="38"/>
      <c r="AG1399" s="38"/>
      <c r="AH1399" s="38"/>
      <c r="AI1399" s="38"/>
      <c r="AJ1399" s="38"/>
      <c r="AK1399" s="38"/>
      <c r="AL1399" s="38"/>
      <c r="AM1399" s="38"/>
      <c r="AN1399" s="38"/>
      <c r="AO1399" s="38"/>
      <c r="AP1399" s="38"/>
      <c r="AQ1399" s="38"/>
      <c r="AR1399" s="38"/>
      <c r="AS1399" s="38"/>
      <c r="AT1399" s="38"/>
      <c r="AU1399" s="38"/>
      <c r="AV1399" s="38"/>
      <c r="AW1399" s="38"/>
      <c r="AX1399" s="38"/>
      <c r="AY1399" s="38"/>
      <c r="AZ1399" s="38"/>
      <c r="BA1399" s="38"/>
      <c r="BB1399" s="38"/>
      <c r="BC1399" s="38"/>
      <c r="BD1399" s="38"/>
      <c r="BE1399" s="38"/>
      <c r="BF1399" s="38"/>
      <c r="BG1399" s="38"/>
      <c r="BH1399" s="38"/>
      <c r="BI1399" s="38"/>
      <c r="BJ1399" s="38"/>
      <c r="BK1399" s="38"/>
      <c r="BL1399" s="38"/>
      <c r="BM1399" s="38"/>
      <c r="BN1399" s="38"/>
      <c r="BO1399" s="38"/>
      <c r="BP1399" s="38"/>
      <c r="BQ1399" s="38"/>
    </row>
    <row r="1400">
      <c r="A1400" s="78" t="s">
        <v>4134</v>
      </c>
      <c r="B1400" s="59">
        <v>43278.0</v>
      </c>
      <c r="C1400" s="59">
        <v>43277.0</v>
      </c>
      <c r="D1400" s="60" t="s">
        <v>4128</v>
      </c>
      <c r="E1400" s="58" t="s">
        <v>41</v>
      </c>
      <c r="F1400" s="58">
        <v>1.0</v>
      </c>
      <c r="G1400" s="58" t="s">
        <v>32</v>
      </c>
      <c r="H1400" s="33">
        <f t="shared" si="210"/>
        <v>1</v>
      </c>
      <c r="I1400" s="58" t="s">
        <v>33</v>
      </c>
      <c r="J1400" s="58" t="s">
        <v>288</v>
      </c>
      <c r="K1400" s="58">
        <v>1.0</v>
      </c>
      <c r="L1400" s="58" t="s">
        <v>52</v>
      </c>
      <c r="M1400" s="61" t="s">
        <v>4135</v>
      </c>
      <c r="N1400" s="77"/>
      <c r="O1400" s="62"/>
      <c r="P1400" s="62"/>
      <c r="Q1400" s="62"/>
      <c r="R1400" s="62"/>
      <c r="S1400" s="37" t="str">
        <f>IFERROR(__xludf.DUMMYFUNCTION("if(not(iserror(index(split(C1400, "" ""),2))), index(split(C1400, "" ""),1),"""")"),"June")</f>
        <v>June</v>
      </c>
      <c r="T1400" s="38">
        <f>IFERROR(__xludf.DUMMYFUNCTION("if(S1400="""",C1400,if(not(iserror(index(split(C1400, "" ""),3))), index(split(C1400, "" ""),3),index(split(C1400, "" ""),2)))"),2018.0)</f>
        <v>2018</v>
      </c>
      <c r="U1400" s="38" t="b">
        <f t="shared" si="211"/>
        <v>0</v>
      </c>
      <c r="V1400" s="38"/>
      <c r="W1400" s="40"/>
      <c r="X1400" s="40"/>
      <c r="Y1400" s="40"/>
      <c r="Z1400" s="38"/>
      <c r="AA1400" s="38"/>
      <c r="AB1400" s="38"/>
      <c r="AC1400" s="38"/>
      <c r="AD1400" s="38"/>
      <c r="AE1400" s="38"/>
      <c r="AF1400" s="38"/>
      <c r="AG1400" s="38"/>
      <c r="AH1400" s="38"/>
      <c r="AI1400" s="38"/>
      <c r="AJ1400" s="38"/>
      <c r="AK1400" s="38"/>
      <c r="AL1400" s="38"/>
      <c r="AM1400" s="38"/>
      <c r="AN1400" s="38"/>
      <c r="AO1400" s="38"/>
      <c r="AP1400" s="38"/>
      <c r="AQ1400" s="38"/>
      <c r="AR1400" s="38"/>
      <c r="AS1400" s="38"/>
      <c r="AT1400" s="38"/>
      <c r="AU1400" s="38"/>
      <c r="AV1400" s="38"/>
      <c r="AW1400" s="38"/>
      <c r="AX1400" s="38"/>
      <c r="AY1400" s="38"/>
      <c r="AZ1400" s="38"/>
      <c r="BA1400" s="38"/>
      <c r="BB1400" s="38"/>
      <c r="BC1400" s="38"/>
      <c r="BD1400" s="38"/>
      <c r="BE1400" s="38"/>
      <c r="BF1400" s="38"/>
      <c r="BG1400" s="38"/>
      <c r="BH1400" s="38"/>
      <c r="BI1400" s="38"/>
      <c r="BJ1400" s="38"/>
      <c r="BK1400" s="38"/>
      <c r="BL1400" s="38"/>
      <c r="BM1400" s="38"/>
      <c r="BN1400" s="38"/>
      <c r="BO1400" s="38"/>
      <c r="BP1400" s="38"/>
      <c r="BQ1400" s="38"/>
    </row>
    <row r="1401">
      <c r="A1401" s="78" t="s">
        <v>4136</v>
      </c>
      <c r="B1401" s="59">
        <v>43278.0</v>
      </c>
      <c r="C1401" s="59">
        <v>43277.0</v>
      </c>
      <c r="D1401" s="60" t="s">
        <v>4128</v>
      </c>
      <c r="E1401" s="58" t="s">
        <v>31</v>
      </c>
      <c r="F1401" s="58">
        <v>1.0</v>
      </c>
      <c r="G1401" s="58" t="s">
        <v>32</v>
      </c>
      <c r="H1401" s="33">
        <f t="shared" si="210"/>
        <v>1</v>
      </c>
      <c r="I1401" s="58" t="s">
        <v>33</v>
      </c>
      <c r="J1401" s="58" t="s">
        <v>179</v>
      </c>
      <c r="K1401" s="58">
        <v>1.0</v>
      </c>
      <c r="L1401" s="58" t="s">
        <v>4137</v>
      </c>
      <c r="M1401" s="61" t="s">
        <v>4138</v>
      </c>
      <c r="N1401" s="77"/>
      <c r="O1401" s="62"/>
      <c r="P1401" s="62"/>
      <c r="Q1401" s="62"/>
      <c r="R1401" s="62"/>
      <c r="S1401" s="37" t="str">
        <f>IFERROR(__xludf.DUMMYFUNCTION("if(not(iserror(index(split(C1401, "" ""),2))), index(split(C1401, "" ""),1),"""")"),"June")</f>
        <v>June</v>
      </c>
      <c r="T1401" s="38">
        <f>IFERROR(__xludf.DUMMYFUNCTION("if(S1401="""",C1401,if(not(iserror(index(split(C1401, "" ""),3))), index(split(C1401, "" ""),3),index(split(C1401, "" ""),2)))"),2018.0)</f>
        <v>2018</v>
      </c>
      <c r="U1401" s="38" t="b">
        <f t="shared" si="211"/>
        <v>0</v>
      </c>
      <c r="V1401" s="38"/>
      <c r="W1401" s="40"/>
      <c r="X1401" s="40"/>
      <c r="Y1401" s="40"/>
      <c r="Z1401" s="38"/>
      <c r="AA1401" s="38"/>
      <c r="AB1401" s="38"/>
      <c r="AC1401" s="38"/>
      <c r="AD1401" s="38"/>
      <c r="AE1401" s="38"/>
      <c r="AF1401" s="38"/>
      <c r="AG1401" s="38"/>
      <c r="AH1401" s="38"/>
      <c r="AI1401" s="38"/>
      <c r="AJ1401" s="38"/>
      <c r="AK1401" s="38"/>
      <c r="AL1401" s="38"/>
      <c r="AM1401" s="38"/>
      <c r="AN1401" s="38"/>
      <c r="AO1401" s="38"/>
      <c r="AP1401" s="38"/>
      <c r="AQ1401" s="38"/>
      <c r="AR1401" s="38"/>
      <c r="AS1401" s="38"/>
      <c r="AT1401" s="38"/>
      <c r="AU1401" s="38"/>
      <c r="AV1401" s="38"/>
      <c r="AW1401" s="38"/>
      <c r="AX1401" s="38"/>
      <c r="AY1401" s="38"/>
      <c r="AZ1401" s="38"/>
      <c r="BA1401" s="38"/>
      <c r="BB1401" s="38"/>
      <c r="BC1401" s="38"/>
      <c r="BD1401" s="38"/>
      <c r="BE1401" s="38"/>
      <c r="BF1401" s="38"/>
      <c r="BG1401" s="38"/>
      <c r="BH1401" s="38"/>
      <c r="BI1401" s="38"/>
      <c r="BJ1401" s="38"/>
      <c r="BK1401" s="38"/>
      <c r="BL1401" s="38"/>
      <c r="BM1401" s="38"/>
      <c r="BN1401" s="38"/>
      <c r="BO1401" s="38"/>
      <c r="BP1401" s="38"/>
      <c r="BQ1401" s="38"/>
    </row>
    <row r="1402">
      <c r="A1402" s="78" t="s">
        <v>4139</v>
      </c>
      <c r="B1402" s="58"/>
      <c r="C1402" s="59">
        <v>43277.0</v>
      </c>
      <c r="D1402" s="60"/>
      <c r="E1402" s="58" t="s">
        <v>31</v>
      </c>
      <c r="F1402" s="58">
        <v>1.0</v>
      </c>
      <c r="G1402" s="58" t="s">
        <v>32</v>
      </c>
      <c r="H1402" s="43">
        <v>1.0</v>
      </c>
      <c r="I1402" s="58" t="s">
        <v>33</v>
      </c>
      <c r="J1402" s="58" t="s">
        <v>184</v>
      </c>
      <c r="K1402" s="58"/>
      <c r="L1402" s="58" t="s">
        <v>99</v>
      </c>
      <c r="M1402" s="80"/>
      <c r="N1402" s="77"/>
      <c r="O1402" s="62"/>
      <c r="P1402" s="62"/>
      <c r="Q1402" s="58"/>
      <c r="R1402" s="62"/>
      <c r="S1402" s="37" t="str">
        <f>IFERROR(__xludf.DUMMYFUNCTION("if(not(iserror(index(split(C1402, "" ""),2))), index(split(C1402, "" ""),1),"""")"),"June")</f>
        <v>June</v>
      </c>
      <c r="T1402" s="38">
        <f>IFERROR(__xludf.DUMMYFUNCTION("if(S1402="""",C1402,if(not(iserror(index(split(C1402, "" ""),3))), index(split(C1402, "" ""),3),index(split(C1402, "" ""),2)))"),2018.0)</f>
        <v>2018</v>
      </c>
      <c r="U1402" s="38" t="b">
        <f t="shared" si="211"/>
        <v>0</v>
      </c>
      <c r="V1402" s="38" t="s">
        <v>33</v>
      </c>
      <c r="W1402" s="40"/>
      <c r="X1402" s="46" t="s">
        <v>4140</v>
      </c>
      <c r="Y1402" s="40"/>
      <c r="Z1402" s="38"/>
      <c r="AA1402" s="38"/>
      <c r="AB1402" s="38"/>
      <c r="AC1402" s="38"/>
      <c r="AD1402" s="38"/>
      <c r="AE1402" s="38"/>
      <c r="AF1402" s="38"/>
      <c r="AG1402" s="38"/>
      <c r="AH1402" s="38"/>
      <c r="AI1402" s="38"/>
      <c r="AJ1402" s="38"/>
      <c r="AK1402" s="38"/>
      <c r="AL1402" s="38"/>
      <c r="AM1402" s="38"/>
      <c r="AN1402" s="38"/>
      <c r="AO1402" s="38"/>
      <c r="AP1402" s="38"/>
      <c r="AQ1402" s="38"/>
      <c r="AR1402" s="38"/>
      <c r="AS1402" s="38"/>
      <c r="AT1402" s="38"/>
      <c r="AU1402" s="38"/>
      <c r="AV1402" s="38"/>
      <c r="AW1402" s="38"/>
      <c r="AX1402" s="38"/>
      <c r="AY1402" s="38"/>
      <c r="AZ1402" s="38"/>
      <c r="BA1402" s="38"/>
      <c r="BB1402" s="38"/>
      <c r="BC1402" s="38"/>
      <c r="BD1402" s="38"/>
      <c r="BE1402" s="38"/>
      <c r="BF1402" s="38"/>
      <c r="BG1402" s="38"/>
      <c r="BH1402" s="38"/>
      <c r="BI1402" s="38"/>
      <c r="BJ1402" s="38"/>
      <c r="BK1402" s="38"/>
      <c r="BL1402" s="38"/>
      <c r="BM1402" s="38"/>
      <c r="BN1402" s="38"/>
      <c r="BO1402" s="38"/>
      <c r="BP1402" s="38"/>
      <c r="BQ1402" s="38"/>
    </row>
    <row r="1403">
      <c r="A1403" s="78" t="s">
        <v>4141</v>
      </c>
      <c r="B1403" s="59"/>
      <c r="C1403" s="59">
        <v>43278.0</v>
      </c>
      <c r="D1403" s="60"/>
      <c r="E1403" s="58" t="s">
        <v>41</v>
      </c>
      <c r="F1403" s="58">
        <v>1.0</v>
      </c>
      <c r="G1403" s="58" t="s">
        <v>32</v>
      </c>
      <c r="H1403" s="43">
        <v>1.0</v>
      </c>
      <c r="I1403" s="58" t="s">
        <v>33</v>
      </c>
      <c r="J1403" s="58" t="s">
        <v>93</v>
      </c>
      <c r="K1403" s="58"/>
      <c r="L1403" s="58" t="s">
        <v>223</v>
      </c>
      <c r="M1403" s="61" t="s">
        <v>4142</v>
      </c>
      <c r="N1403" s="77"/>
      <c r="O1403" s="83" t="str">
        <f>hyperlink("https://bad-boys.us/?q=WD-NY/6:18-cr-06175", "WD-NY 6:18-cr-06175")</f>
        <v>WD-NY 6:18-cr-06175</v>
      </c>
      <c r="P1403" s="62"/>
      <c r="Q1403" s="58">
        <v>1.0</v>
      </c>
      <c r="R1403" s="62"/>
      <c r="S1403" s="37" t="str">
        <f>IFERROR(__xludf.DUMMYFUNCTION("if(not(iserror(index(split(C1403, "" ""),2))), index(split(C1403, "" ""),1),"""")"),"June")</f>
        <v>June</v>
      </c>
      <c r="T1403" s="38">
        <f>IFERROR(__xludf.DUMMYFUNCTION("if(S1403="""",C1403,if(not(iserror(index(split(C1403, "" ""),3))), index(split(C1403, "" ""),3),index(split(C1403, "" ""),2)))"),2018.0)</f>
        <v>2018</v>
      </c>
      <c r="U1403" s="38" t="b">
        <f t="shared" si="211"/>
        <v>0</v>
      </c>
      <c r="V1403" s="38" t="s">
        <v>33</v>
      </c>
      <c r="W1403" s="40"/>
      <c r="X1403" s="40"/>
      <c r="Y1403" s="40"/>
      <c r="Z1403" s="38"/>
      <c r="AA1403" s="38"/>
      <c r="AB1403" s="38"/>
      <c r="AC1403" s="38"/>
      <c r="AD1403" s="38"/>
      <c r="AE1403" s="38"/>
      <c r="AF1403" s="38"/>
      <c r="AG1403" s="38"/>
      <c r="AH1403" s="38"/>
      <c r="AI1403" s="38"/>
      <c r="AJ1403" s="38"/>
      <c r="AK1403" s="38"/>
      <c r="AL1403" s="38"/>
      <c r="AM1403" s="38"/>
      <c r="AN1403" s="38"/>
      <c r="AO1403" s="38"/>
      <c r="AP1403" s="38"/>
      <c r="AQ1403" s="38"/>
      <c r="AR1403" s="38"/>
      <c r="AS1403" s="38"/>
      <c r="AT1403" s="38"/>
      <c r="AU1403" s="38"/>
      <c r="AV1403" s="38"/>
      <c r="AW1403" s="38"/>
      <c r="AX1403" s="38"/>
      <c r="AY1403" s="38"/>
      <c r="AZ1403" s="38"/>
      <c r="BA1403" s="38"/>
      <c r="BB1403" s="38"/>
      <c r="BC1403" s="38"/>
      <c r="BD1403" s="38"/>
      <c r="BE1403" s="38"/>
      <c r="BF1403" s="38"/>
      <c r="BG1403" s="38"/>
      <c r="BH1403" s="38"/>
      <c r="BI1403" s="38"/>
      <c r="BJ1403" s="38"/>
      <c r="BK1403" s="38"/>
      <c r="BL1403" s="38"/>
      <c r="BM1403" s="38"/>
      <c r="BN1403" s="38"/>
      <c r="BO1403" s="38"/>
      <c r="BP1403" s="38"/>
      <c r="BQ1403" s="38"/>
    </row>
    <row r="1404">
      <c r="A1404" s="78" t="s">
        <v>4143</v>
      </c>
      <c r="B1404" s="59">
        <v>43278.0</v>
      </c>
      <c r="C1404" s="59">
        <v>43278.0</v>
      </c>
      <c r="D1404" s="60" t="s">
        <v>4144</v>
      </c>
      <c r="E1404" s="58" t="s">
        <v>41</v>
      </c>
      <c r="F1404" s="58">
        <v>1.0</v>
      </c>
      <c r="G1404" s="58" t="s">
        <v>32</v>
      </c>
      <c r="H1404" s="33">
        <f t="shared" ref="H1404:H1411" si="212">if(G1404="Unknown",1,G1404)</f>
        <v>1</v>
      </c>
      <c r="I1404" s="58" t="s">
        <v>33</v>
      </c>
      <c r="J1404" s="58" t="s">
        <v>111</v>
      </c>
      <c r="K1404" s="58">
        <v>1.0</v>
      </c>
      <c r="L1404" s="58" t="s">
        <v>52</v>
      </c>
      <c r="M1404" s="61" t="s">
        <v>4145</v>
      </c>
      <c r="N1404" s="77"/>
      <c r="O1404" s="62"/>
      <c r="P1404" s="62"/>
      <c r="Q1404" s="62"/>
      <c r="R1404" s="62"/>
      <c r="S1404" s="37" t="str">
        <f>IFERROR(__xludf.DUMMYFUNCTION("if(not(iserror(index(split(C1404, "" ""),2))), index(split(C1404, "" ""),1),"""")"),"June")</f>
        <v>June</v>
      </c>
      <c r="T1404" s="38">
        <f>IFERROR(__xludf.DUMMYFUNCTION("if(S1404="""",C1404,if(not(iserror(index(split(C1404, "" ""),3))), index(split(C1404, "" ""),3),index(split(C1404, "" ""),2)))"),2018.0)</f>
        <v>2018</v>
      </c>
      <c r="U1404" s="38" t="b">
        <f t="shared" si="211"/>
        <v>0</v>
      </c>
      <c r="V1404" s="38"/>
      <c r="W1404" s="40"/>
      <c r="X1404" s="40"/>
      <c r="Y1404" s="40"/>
      <c r="Z1404" s="38"/>
      <c r="AA1404" s="38"/>
      <c r="AB1404" s="38"/>
      <c r="AC1404" s="38"/>
      <c r="AD1404" s="38"/>
      <c r="AE1404" s="38"/>
      <c r="AF1404" s="38"/>
      <c r="AG1404" s="38"/>
      <c r="AH1404" s="38"/>
      <c r="AI1404" s="38"/>
      <c r="AJ1404" s="38"/>
      <c r="AK1404" s="38"/>
      <c r="AL1404" s="38"/>
      <c r="AM1404" s="38"/>
      <c r="AN1404" s="38"/>
      <c r="AO1404" s="38"/>
      <c r="AP1404" s="38"/>
      <c r="AQ1404" s="38"/>
      <c r="AR1404" s="38"/>
      <c r="AS1404" s="38"/>
      <c r="AT1404" s="38"/>
      <c r="AU1404" s="38"/>
      <c r="AV1404" s="38"/>
      <c r="AW1404" s="38"/>
      <c r="AX1404" s="38"/>
      <c r="AY1404" s="38"/>
      <c r="AZ1404" s="38"/>
      <c r="BA1404" s="38"/>
      <c r="BB1404" s="38"/>
      <c r="BC1404" s="38"/>
      <c r="BD1404" s="38"/>
      <c r="BE1404" s="38"/>
      <c r="BF1404" s="38"/>
      <c r="BG1404" s="38"/>
      <c r="BH1404" s="38"/>
      <c r="BI1404" s="38"/>
      <c r="BJ1404" s="38"/>
      <c r="BK1404" s="38"/>
      <c r="BL1404" s="38"/>
      <c r="BM1404" s="38"/>
      <c r="BN1404" s="38"/>
      <c r="BO1404" s="38"/>
      <c r="BP1404" s="38"/>
      <c r="BQ1404" s="38"/>
    </row>
    <row r="1405">
      <c r="A1405" s="78" t="s">
        <v>4146</v>
      </c>
      <c r="B1405" s="59">
        <v>43278.0</v>
      </c>
      <c r="C1405" s="59">
        <v>43278.0</v>
      </c>
      <c r="D1405" s="60" t="s">
        <v>4144</v>
      </c>
      <c r="E1405" s="58" t="s">
        <v>31</v>
      </c>
      <c r="F1405" s="58">
        <v>1.0</v>
      </c>
      <c r="G1405" s="58" t="s">
        <v>32</v>
      </c>
      <c r="H1405" s="33">
        <f t="shared" si="212"/>
        <v>1</v>
      </c>
      <c r="I1405" s="58" t="s">
        <v>33</v>
      </c>
      <c r="J1405" s="58" t="s">
        <v>413</v>
      </c>
      <c r="K1405" s="58">
        <v>1.0</v>
      </c>
      <c r="L1405" s="58" t="s">
        <v>35</v>
      </c>
      <c r="M1405" s="61" t="s">
        <v>4147</v>
      </c>
      <c r="N1405" s="77"/>
      <c r="O1405" s="62"/>
      <c r="P1405" s="62"/>
      <c r="Q1405" s="62"/>
      <c r="R1405" s="62"/>
      <c r="S1405" s="37" t="str">
        <f>IFERROR(__xludf.DUMMYFUNCTION("if(not(iserror(index(split(C1405, "" ""),2))), index(split(C1405, "" ""),1),"""")"),"June")</f>
        <v>June</v>
      </c>
      <c r="T1405" s="38">
        <f>IFERROR(__xludf.DUMMYFUNCTION("if(S1405="""",C1405,if(not(iserror(index(split(C1405, "" ""),3))), index(split(C1405, "" ""),3),index(split(C1405, "" ""),2)))"),2018.0)</f>
        <v>2018</v>
      </c>
      <c r="U1405" s="38" t="b">
        <f t="shared" si="211"/>
        <v>0</v>
      </c>
      <c r="V1405" s="38"/>
      <c r="W1405" s="40"/>
      <c r="X1405" s="40"/>
      <c r="Y1405" s="40"/>
      <c r="Z1405" s="38"/>
      <c r="AA1405" s="38"/>
      <c r="AB1405" s="38"/>
      <c r="AC1405" s="38"/>
      <c r="AD1405" s="38"/>
      <c r="AE1405" s="38"/>
      <c r="AF1405" s="38"/>
      <c r="AG1405" s="38"/>
      <c r="AH1405" s="38"/>
      <c r="AI1405" s="38"/>
      <c r="AJ1405" s="38"/>
      <c r="AK1405" s="38"/>
      <c r="AL1405" s="38"/>
      <c r="AM1405" s="38"/>
      <c r="AN1405" s="38"/>
      <c r="AO1405" s="38"/>
      <c r="AP1405" s="38"/>
      <c r="AQ1405" s="38"/>
      <c r="AR1405" s="38"/>
      <c r="AS1405" s="38"/>
      <c r="AT1405" s="38"/>
      <c r="AU1405" s="38"/>
      <c r="AV1405" s="38"/>
      <c r="AW1405" s="38"/>
      <c r="AX1405" s="38"/>
      <c r="AY1405" s="38"/>
      <c r="AZ1405" s="38"/>
      <c r="BA1405" s="38"/>
      <c r="BB1405" s="38"/>
      <c r="BC1405" s="38"/>
      <c r="BD1405" s="38"/>
      <c r="BE1405" s="38"/>
      <c r="BF1405" s="38"/>
      <c r="BG1405" s="38"/>
      <c r="BH1405" s="38"/>
      <c r="BI1405" s="38"/>
      <c r="BJ1405" s="38"/>
      <c r="BK1405" s="38"/>
      <c r="BL1405" s="38"/>
      <c r="BM1405" s="38"/>
      <c r="BN1405" s="38"/>
      <c r="BO1405" s="38"/>
      <c r="BP1405" s="38"/>
      <c r="BQ1405" s="38"/>
    </row>
    <row r="1406">
      <c r="A1406" s="78" t="s">
        <v>660</v>
      </c>
      <c r="B1406" s="59">
        <v>43280.0</v>
      </c>
      <c r="C1406" s="59">
        <v>43278.0</v>
      </c>
      <c r="D1406" s="60" t="s">
        <v>4144</v>
      </c>
      <c r="E1406" s="58" t="s">
        <v>31</v>
      </c>
      <c r="F1406" s="58">
        <v>7.0</v>
      </c>
      <c r="G1406" s="58" t="s">
        <v>32</v>
      </c>
      <c r="H1406" s="33">
        <f t="shared" si="212"/>
        <v>1</v>
      </c>
      <c r="I1406" s="58" t="s">
        <v>33</v>
      </c>
      <c r="J1406" s="58" t="s">
        <v>448</v>
      </c>
      <c r="K1406" s="58">
        <v>1.0</v>
      </c>
      <c r="L1406" s="58" t="s">
        <v>52</v>
      </c>
      <c r="M1406" s="61" t="s">
        <v>4148</v>
      </c>
      <c r="N1406" s="77"/>
      <c r="O1406" s="62"/>
      <c r="P1406" s="62"/>
      <c r="Q1406" s="62"/>
      <c r="R1406" s="62"/>
      <c r="S1406" s="37" t="str">
        <f>IFERROR(__xludf.DUMMYFUNCTION("if(not(iserror(index(split(C1406, "" ""),2))), index(split(C1406, "" ""),1),"""")"),"June")</f>
        <v>June</v>
      </c>
      <c r="T1406" s="38">
        <f>IFERROR(__xludf.DUMMYFUNCTION("if(S1406="""",C1406,if(not(iserror(index(split(C1406, "" ""),3))), index(split(C1406, "" ""),3),index(split(C1406, "" ""),2)))"),2018.0)</f>
        <v>2018</v>
      </c>
      <c r="U1406" s="38" t="b">
        <f t="shared" si="211"/>
        <v>1</v>
      </c>
      <c r="V1406" s="38"/>
      <c r="W1406" s="40"/>
      <c r="X1406" s="40"/>
      <c r="Y1406" s="40"/>
      <c r="Z1406" s="38"/>
      <c r="AA1406" s="38"/>
      <c r="AB1406" s="38"/>
      <c r="AC1406" s="38"/>
      <c r="AD1406" s="38"/>
      <c r="AE1406" s="38"/>
      <c r="AF1406" s="38"/>
      <c r="AG1406" s="38"/>
      <c r="AH1406" s="38"/>
      <c r="AI1406" s="38"/>
      <c r="AJ1406" s="38"/>
      <c r="AK1406" s="38"/>
      <c r="AL1406" s="38"/>
      <c r="AM1406" s="38"/>
      <c r="AN1406" s="38"/>
      <c r="AO1406" s="38"/>
      <c r="AP1406" s="38"/>
      <c r="AQ1406" s="38"/>
      <c r="AR1406" s="38"/>
      <c r="AS1406" s="38"/>
      <c r="AT1406" s="38"/>
      <c r="AU1406" s="38"/>
      <c r="AV1406" s="38"/>
      <c r="AW1406" s="38"/>
      <c r="AX1406" s="38"/>
      <c r="AY1406" s="38"/>
      <c r="AZ1406" s="38"/>
      <c r="BA1406" s="38"/>
      <c r="BB1406" s="38"/>
      <c r="BC1406" s="38"/>
      <c r="BD1406" s="38"/>
      <c r="BE1406" s="38"/>
      <c r="BF1406" s="38"/>
      <c r="BG1406" s="38"/>
      <c r="BH1406" s="38"/>
      <c r="BI1406" s="38"/>
      <c r="BJ1406" s="38"/>
      <c r="BK1406" s="38"/>
      <c r="BL1406" s="38"/>
      <c r="BM1406" s="38"/>
      <c r="BN1406" s="38"/>
      <c r="BO1406" s="38"/>
      <c r="BP1406" s="38"/>
      <c r="BQ1406" s="38"/>
    </row>
    <row r="1407">
      <c r="A1407" s="78" t="s">
        <v>239</v>
      </c>
      <c r="B1407" s="59">
        <v>43280.0</v>
      </c>
      <c r="C1407" s="59">
        <v>43278.0</v>
      </c>
      <c r="D1407" s="60" t="s">
        <v>4144</v>
      </c>
      <c r="E1407" s="58" t="s">
        <v>41</v>
      </c>
      <c r="F1407" s="58">
        <v>1.0</v>
      </c>
      <c r="G1407" s="58">
        <v>2.0</v>
      </c>
      <c r="H1407" s="33">
        <f t="shared" si="212"/>
        <v>2</v>
      </c>
      <c r="I1407" s="58" t="s">
        <v>33</v>
      </c>
      <c r="J1407" s="58" t="s">
        <v>147</v>
      </c>
      <c r="K1407" s="58">
        <v>1.0</v>
      </c>
      <c r="L1407" s="58" t="s">
        <v>194</v>
      </c>
      <c r="M1407" s="61" t="s">
        <v>4149</v>
      </c>
      <c r="N1407" s="77"/>
      <c r="O1407" s="62"/>
      <c r="P1407" s="62"/>
      <c r="Q1407" s="62"/>
      <c r="R1407" s="62"/>
      <c r="S1407" s="37" t="str">
        <f>IFERROR(__xludf.DUMMYFUNCTION("if(not(iserror(index(split(C1407, "" ""),2))), index(split(C1407, "" ""),1),"""")"),"June")</f>
        <v>June</v>
      </c>
      <c r="T1407" s="38">
        <f>IFERROR(__xludf.DUMMYFUNCTION("if(S1407="""",C1407,if(not(iserror(index(split(C1407, "" ""),3))), index(split(C1407, "" ""),3),index(split(C1407, "" ""),2)))"),2018.0)</f>
        <v>2018</v>
      </c>
      <c r="U1407" s="38" t="b">
        <f t="shared" si="211"/>
        <v>1</v>
      </c>
      <c r="V1407" s="38"/>
      <c r="W1407" s="40"/>
      <c r="X1407" s="40"/>
      <c r="Y1407" s="40"/>
      <c r="Z1407" s="38"/>
      <c r="AA1407" s="38"/>
      <c r="AB1407" s="38"/>
      <c r="AC1407" s="38"/>
      <c r="AD1407" s="38"/>
      <c r="AE1407" s="38"/>
      <c r="AF1407" s="38"/>
      <c r="AG1407" s="38"/>
      <c r="AH1407" s="38"/>
      <c r="AI1407" s="38"/>
      <c r="AJ1407" s="38"/>
      <c r="AK1407" s="38"/>
      <c r="AL1407" s="38"/>
      <c r="AM1407" s="38"/>
      <c r="AN1407" s="38"/>
      <c r="AO1407" s="38"/>
      <c r="AP1407" s="38"/>
      <c r="AQ1407" s="38"/>
      <c r="AR1407" s="38"/>
      <c r="AS1407" s="38"/>
      <c r="AT1407" s="38"/>
      <c r="AU1407" s="38"/>
      <c r="AV1407" s="38"/>
      <c r="AW1407" s="38"/>
      <c r="AX1407" s="38"/>
      <c r="AY1407" s="38"/>
      <c r="AZ1407" s="38"/>
      <c r="BA1407" s="38"/>
      <c r="BB1407" s="38"/>
      <c r="BC1407" s="38"/>
      <c r="BD1407" s="38"/>
      <c r="BE1407" s="38"/>
      <c r="BF1407" s="38"/>
      <c r="BG1407" s="38"/>
      <c r="BH1407" s="38"/>
      <c r="BI1407" s="38"/>
      <c r="BJ1407" s="38"/>
      <c r="BK1407" s="38"/>
      <c r="BL1407" s="38"/>
      <c r="BM1407" s="38"/>
      <c r="BN1407" s="38"/>
      <c r="BO1407" s="38"/>
      <c r="BP1407" s="38"/>
      <c r="BQ1407" s="38"/>
    </row>
    <row r="1408">
      <c r="A1408" s="78" t="s">
        <v>4150</v>
      </c>
      <c r="B1408" s="59">
        <v>43280.0</v>
      </c>
      <c r="C1408" s="59">
        <v>43278.0</v>
      </c>
      <c r="D1408" s="60" t="s">
        <v>4144</v>
      </c>
      <c r="E1408" s="58" t="s">
        <v>41</v>
      </c>
      <c r="F1408" s="58">
        <v>1.0</v>
      </c>
      <c r="G1408" s="58" t="s">
        <v>32</v>
      </c>
      <c r="H1408" s="33">
        <f t="shared" si="212"/>
        <v>1</v>
      </c>
      <c r="I1408" s="58" t="s">
        <v>33</v>
      </c>
      <c r="J1408" s="58" t="s">
        <v>147</v>
      </c>
      <c r="K1408" s="58" t="s">
        <v>32</v>
      </c>
      <c r="L1408" s="58" t="s">
        <v>807</v>
      </c>
      <c r="M1408" s="61" t="s">
        <v>4151</v>
      </c>
      <c r="N1408" s="77"/>
      <c r="O1408" s="62"/>
      <c r="P1408" s="62"/>
      <c r="Q1408" s="62"/>
      <c r="R1408" s="62"/>
      <c r="S1408" s="37" t="str">
        <f>IFERROR(__xludf.DUMMYFUNCTION("if(not(iserror(index(split(C1408, "" ""),2))), index(split(C1408, "" ""),1),"""")"),"June")</f>
        <v>June</v>
      </c>
      <c r="T1408" s="38">
        <f>IFERROR(__xludf.DUMMYFUNCTION("if(S1408="""",C1408,if(not(iserror(index(split(C1408, "" ""),3))), index(split(C1408, "" ""),3),index(split(C1408, "" ""),2)))"),2018.0)</f>
        <v>2018</v>
      </c>
      <c r="U1408" s="38" t="b">
        <f t="shared" si="211"/>
        <v>0</v>
      </c>
      <c r="V1408" s="38"/>
      <c r="W1408" s="40"/>
      <c r="X1408" s="40"/>
      <c r="Y1408" s="40"/>
      <c r="Z1408" s="38"/>
      <c r="AA1408" s="38"/>
      <c r="AB1408" s="38"/>
      <c r="AC1408" s="38"/>
      <c r="AD1408" s="38"/>
      <c r="AE1408" s="38"/>
      <c r="AF1408" s="38"/>
      <c r="AG1408" s="38"/>
      <c r="AH1408" s="38"/>
      <c r="AI1408" s="38"/>
      <c r="AJ1408" s="38"/>
      <c r="AK1408" s="38"/>
      <c r="AL1408" s="38"/>
      <c r="AM1408" s="38"/>
      <c r="AN1408" s="38"/>
      <c r="AO1408" s="38"/>
      <c r="AP1408" s="38"/>
      <c r="AQ1408" s="38"/>
      <c r="AR1408" s="38"/>
      <c r="AS1408" s="38"/>
      <c r="AT1408" s="38"/>
      <c r="AU1408" s="38"/>
      <c r="AV1408" s="38"/>
      <c r="AW1408" s="38"/>
      <c r="AX1408" s="38"/>
      <c r="AY1408" s="38"/>
      <c r="AZ1408" s="38"/>
      <c r="BA1408" s="38"/>
      <c r="BB1408" s="38"/>
      <c r="BC1408" s="38"/>
      <c r="BD1408" s="38"/>
      <c r="BE1408" s="38"/>
      <c r="BF1408" s="38"/>
      <c r="BG1408" s="38"/>
      <c r="BH1408" s="38"/>
      <c r="BI1408" s="38"/>
      <c r="BJ1408" s="38"/>
      <c r="BK1408" s="38"/>
      <c r="BL1408" s="38"/>
      <c r="BM1408" s="38"/>
      <c r="BN1408" s="38"/>
      <c r="BO1408" s="38"/>
      <c r="BP1408" s="38"/>
      <c r="BQ1408" s="38"/>
    </row>
    <row r="1409">
      <c r="A1409" s="78" t="s">
        <v>40</v>
      </c>
      <c r="B1409" s="59">
        <v>43281.0</v>
      </c>
      <c r="C1409" s="59">
        <v>43278.0</v>
      </c>
      <c r="D1409" s="60" t="s">
        <v>4152</v>
      </c>
      <c r="E1409" s="58" t="s">
        <v>41</v>
      </c>
      <c r="F1409" s="58">
        <v>9.0</v>
      </c>
      <c r="G1409" s="58" t="s">
        <v>32</v>
      </c>
      <c r="H1409" s="33">
        <f t="shared" si="212"/>
        <v>1</v>
      </c>
      <c r="I1409" s="58" t="s">
        <v>33</v>
      </c>
      <c r="J1409" s="58" t="s">
        <v>162</v>
      </c>
      <c r="K1409" s="58">
        <v>1.0</v>
      </c>
      <c r="L1409" s="58" t="s">
        <v>52</v>
      </c>
      <c r="M1409" s="61" t="s">
        <v>4153</v>
      </c>
      <c r="N1409" s="77"/>
      <c r="O1409" s="62"/>
      <c r="P1409" s="62"/>
      <c r="Q1409" s="62"/>
      <c r="R1409" s="62"/>
      <c r="S1409" s="37" t="str">
        <f>IFERROR(__xludf.DUMMYFUNCTION("if(not(iserror(index(split(C1409, "" ""),2))), index(split(C1409, "" ""),1),"""")"),"June")</f>
        <v>June</v>
      </c>
      <c r="T1409" s="38">
        <f>IFERROR(__xludf.DUMMYFUNCTION("if(S1409="""",C1409,if(not(iserror(index(split(C1409, "" ""),3))), index(split(C1409, "" ""),3),index(split(C1409, "" ""),2)))"),2018.0)</f>
        <v>2018</v>
      </c>
      <c r="U1409" s="38" t="b">
        <f t="shared" si="211"/>
        <v>1</v>
      </c>
      <c r="V1409" s="38"/>
      <c r="W1409" s="40"/>
      <c r="X1409" s="40"/>
      <c r="Y1409" s="40"/>
      <c r="Z1409" s="38"/>
      <c r="AA1409" s="38"/>
      <c r="AB1409" s="38"/>
      <c r="AC1409" s="38"/>
      <c r="AD1409" s="38"/>
      <c r="AE1409" s="38"/>
      <c r="AF1409" s="38"/>
      <c r="AG1409" s="38"/>
      <c r="AH1409" s="38"/>
      <c r="AI1409" s="38"/>
      <c r="AJ1409" s="38"/>
      <c r="AK1409" s="38"/>
      <c r="AL1409" s="38"/>
      <c r="AM1409" s="38"/>
      <c r="AN1409" s="38"/>
      <c r="AO1409" s="38"/>
      <c r="AP1409" s="38"/>
      <c r="AQ1409" s="38"/>
      <c r="AR1409" s="38"/>
      <c r="AS1409" s="38"/>
      <c r="AT1409" s="38"/>
      <c r="AU1409" s="38"/>
      <c r="AV1409" s="38"/>
      <c r="AW1409" s="38"/>
      <c r="AX1409" s="38"/>
      <c r="AY1409" s="38"/>
      <c r="AZ1409" s="38"/>
      <c r="BA1409" s="38"/>
      <c r="BB1409" s="38"/>
      <c r="BC1409" s="38"/>
      <c r="BD1409" s="38"/>
      <c r="BE1409" s="38"/>
      <c r="BF1409" s="38"/>
      <c r="BG1409" s="38"/>
      <c r="BH1409" s="38"/>
      <c r="BI1409" s="38"/>
      <c r="BJ1409" s="38"/>
      <c r="BK1409" s="38"/>
      <c r="BL1409" s="38"/>
      <c r="BM1409" s="38"/>
      <c r="BN1409" s="38"/>
      <c r="BO1409" s="38"/>
      <c r="BP1409" s="38"/>
      <c r="BQ1409" s="38"/>
    </row>
    <row r="1410">
      <c r="A1410" s="78" t="s">
        <v>660</v>
      </c>
      <c r="B1410" s="59">
        <v>43283.0</v>
      </c>
      <c r="C1410" s="59">
        <v>43278.0</v>
      </c>
      <c r="D1410" s="60" t="s">
        <v>4144</v>
      </c>
      <c r="E1410" s="58" t="s">
        <v>31</v>
      </c>
      <c r="F1410" s="58">
        <v>3.0</v>
      </c>
      <c r="G1410" s="58" t="s">
        <v>32</v>
      </c>
      <c r="H1410" s="33">
        <f t="shared" si="212"/>
        <v>1</v>
      </c>
      <c r="I1410" s="58" t="s">
        <v>33</v>
      </c>
      <c r="J1410" s="58" t="s">
        <v>93</v>
      </c>
      <c r="K1410" s="58">
        <v>1.0</v>
      </c>
      <c r="L1410" s="58" t="s">
        <v>52</v>
      </c>
      <c r="M1410" s="61" t="s">
        <v>4154</v>
      </c>
      <c r="N1410" s="77"/>
      <c r="O1410" s="62"/>
      <c r="P1410" s="62"/>
      <c r="Q1410" s="62"/>
      <c r="R1410" s="62"/>
      <c r="S1410" s="37" t="str">
        <f>IFERROR(__xludf.DUMMYFUNCTION("if(not(iserror(index(split(C1410, "" ""),2))), index(split(C1410, "" ""),1),"""")"),"June")</f>
        <v>June</v>
      </c>
      <c r="T1410" s="38">
        <f>IFERROR(__xludf.DUMMYFUNCTION("if(S1410="""",C1410,if(not(iserror(index(split(C1410, "" ""),3))), index(split(C1410, "" ""),3),index(split(C1410, "" ""),2)))"),2018.0)</f>
        <v>2018</v>
      </c>
      <c r="U1410" s="38" t="b">
        <f t="shared" si="211"/>
        <v>1</v>
      </c>
      <c r="V1410" s="38"/>
      <c r="W1410" s="40"/>
      <c r="X1410" s="40"/>
      <c r="Y1410" s="40"/>
      <c r="Z1410" s="38"/>
      <c r="AA1410" s="38"/>
      <c r="AB1410" s="38"/>
      <c r="AC1410" s="38"/>
      <c r="AD1410" s="38"/>
      <c r="AE1410" s="38"/>
      <c r="AF1410" s="38"/>
      <c r="AG1410" s="38"/>
      <c r="AH1410" s="38"/>
      <c r="AI1410" s="38"/>
      <c r="AJ1410" s="38"/>
      <c r="AK1410" s="38"/>
      <c r="AL1410" s="38"/>
      <c r="AM1410" s="38"/>
      <c r="AN1410" s="38"/>
      <c r="AO1410" s="38"/>
      <c r="AP1410" s="38"/>
      <c r="AQ1410" s="38"/>
      <c r="AR1410" s="38"/>
      <c r="AS1410" s="38"/>
      <c r="AT1410" s="38"/>
      <c r="AU1410" s="38"/>
      <c r="AV1410" s="38"/>
      <c r="AW1410" s="38"/>
      <c r="AX1410" s="38"/>
      <c r="AY1410" s="38"/>
      <c r="AZ1410" s="38"/>
      <c r="BA1410" s="38"/>
      <c r="BB1410" s="38"/>
      <c r="BC1410" s="38"/>
      <c r="BD1410" s="38"/>
      <c r="BE1410" s="38"/>
      <c r="BF1410" s="38"/>
      <c r="BG1410" s="38"/>
      <c r="BH1410" s="38"/>
      <c r="BI1410" s="38"/>
      <c r="BJ1410" s="38"/>
      <c r="BK1410" s="38"/>
      <c r="BL1410" s="38"/>
      <c r="BM1410" s="38"/>
      <c r="BN1410" s="38"/>
      <c r="BO1410" s="38"/>
      <c r="BP1410" s="38"/>
      <c r="BQ1410" s="38"/>
    </row>
    <row r="1411">
      <c r="A1411" s="78" t="s">
        <v>660</v>
      </c>
      <c r="B1411" s="59">
        <v>43283.0</v>
      </c>
      <c r="C1411" s="59">
        <v>43279.0</v>
      </c>
      <c r="D1411" s="60" t="s">
        <v>4152</v>
      </c>
      <c r="E1411" s="58" t="s">
        <v>31</v>
      </c>
      <c r="F1411" s="58">
        <v>5.0</v>
      </c>
      <c r="G1411" s="58" t="s">
        <v>32</v>
      </c>
      <c r="H1411" s="33">
        <f t="shared" si="212"/>
        <v>1</v>
      </c>
      <c r="I1411" s="58" t="s">
        <v>33</v>
      </c>
      <c r="J1411" s="58" t="s">
        <v>47</v>
      </c>
      <c r="K1411" s="58">
        <v>1.0</v>
      </c>
      <c r="L1411" s="58" t="s">
        <v>52</v>
      </c>
      <c r="M1411" s="61" t="s">
        <v>4155</v>
      </c>
      <c r="N1411" s="77"/>
      <c r="O1411" s="58"/>
      <c r="P1411" s="58"/>
      <c r="Q1411" s="84"/>
      <c r="R1411" s="62"/>
      <c r="S1411" s="37" t="str">
        <f>IFERROR(__xludf.DUMMYFUNCTION("if(not(iserror(index(split(C1411, "" ""),2))), index(split(C1411, "" ""),1),"""")"),"June")</f>
        <v>June</v>
      </c>
      <c r="T1411" s="38">
        <f>IFERROR(__xludf.DUMMYFUNCTION("if(S1411="""",C1411,if(not(iserror(index(split(C1411, "" ""),3))), index(split(C1411, "" ""),3),index(split(C1411, "" ""),2)))"),2018.0)</f>
        <v>2018</v>
      </c>
      <c r="U1411" s="38" t="b">
        <f t="shared" si="211"/>
        <v>1</v>
      </c>
      <c r="V1411" s="38"/>
      <c r="W1411" s="40"/>
      <c r="X1411" s="40"/>
      <c r="Y1411" s="40"/>
      <c r="Z1411" s="38"/>
      <c r="AA1411" s="38"/>
      <c r="AB1411" s="38"/>
      <c r="AC1411" s="38"/>
      <c r="AD1411" s="38"/>
      <c r="AE1411" s="38"/>
      <c r="AF1411" s="38"/>
      <c r="AG1411" s="38"/>
      <c r="AH1411" s="38"/>
      <c r="AI1411" s="38"/>
      <c r="AJ1411" s="38"/>
      <c r="AK1411" s="38"/>
      <c r="AL1411" s="38"/>
      <c r="AM1411" s="38"/>
      <c r="AN1411" s="38"/>
      <c r="AO1411" s="38"/>
      <c r="AP1411" s="38"/>
      <c r="AQ1411" s="38"/>
      <c r="AR1411" s="38"/>
      <c r="AS1411" s="38"/>
      <c r="AT1411" s="38"/>
      <c r="AU1411" s="38"/>
      <c r="AV1411" s="38"/>
      <c r="AW1411" s="38"/>
      <c r="AX1411" s="38"/>
      <c r="AY1411" s="38"/>
      <c r="AZ1411" s="38"/>
      <c r="BA1411" s="38"/>
      <c r="BB1411" s="38"/>
      <c r="BC1411" s="38"/>
      <c r="BD1411" s="38"/>
      <c r="BE1411" s="38"/>
      <c r="BF1411" s="38"/>
      <c r="BG1411" s="38"/>
      <c r="BH1411" s="38"/>
      <c r="BI1411" s="38"/>
      <c r="BJ1411" s="38"/>
      <c r="BK1411" s="38"/>
      <c r="BL1411" s="38"/>
      <c r="BM1411" s="38"/>
      <c r="BN1411" s="38"/>
      <c r="BO1411" s="38"/>
      <c r="BP1411" s="38"/>
      <c r="BQ1411" s="38"/>
    </row>
    <row r="1412">
      <c r="A1412" s="78" t="s">
        <v>4156</v>
      </c>
      <c r="B1412" s="59"/>
      <c r="C1412" s="59">
        <v>43279.0</v>
      </c>
      <c r="D1412" s="60"/>
      <c r="E1412" s="58" t="s">
        <v>41</v>
      </c>
      <c r="F1412" s="58">
        <v>1.0</v>
      </c>
      <c r="G1412" s="58">
        <v>1.0</v>
      </c>
      <c r="H1412" s="43">
        <v>1.0</v>
      </c>
      <c r="I1412" s="58" t="s">
        <v>33</v>
      </c>
      <c r="J1412" s="58" t="s">
        <v>279</v>
      </c>
      <c r="K1412" s="58"/>
      <c r="L1412" s="58" t="s">
        <v>2156</v>
      </c>
      <c r="M1412" s="61" t="s">
        <v>4157</v>
      </c>
      <c r="N1412" s="77"/>
      <c r="O1412" s="58"/>
      <c r="P1412" s="62"/>
      <c r="Q1412" s="84"/>
      <c r="R1412" s="62"/>
      <c r="S1412" s="37"/>
      <c r="T1412" s="38"/>
      <c r="U1412" s="38"/>
      <c r="V1412" s="38" t="s">
        <v>33</v>
      </c>
      <c r="W1412" s="40"/>
      <c r="X1412" s="40"/>
      <c r="Y1412" s="40"/>
      <c r="Z1412" s="38"/>
      <c r="AA1412" s="38"/>
      <c r="AB1412" s="38"/>
      <c r="AC1412" s="38"/>
      <c r="AD1412" s="38"/>
      <c r="AE1412" s="38"/>
      <c r="AF1412" s="38"/>
      <c r="AG1412" s="38"/>
      <c r="AH1412" s="38"/>
      <c r="AI1412" s="38"/>
      <c r="AJ1412" s="38"/>
      <c r="AK1412" s="38"/>
      <c r="AL1412" s="38"/>
      <c r="AM1412" s="38"/>
      <c r="AN1412" s="38"/>
      <c r="AO1412" s="38"/>
      <c r="AP1412" s="38"/>
      <c r="AQ1412" s="38"/>
      <c r="AR1412" s="38"/>
      <c r="AS1412" s="38"/>
      <c r="AT1412" s="38"/>
      <c r="AU1412" s="38"/>
      <c r="AV1412" s="38"/>
      <c r="AW1412" s="38"/>
      <c r="AX1412" s="38"/>
      <c r="AY1412" s="38"/>
      <c r="AZ1412" s="38"/>
      <c r="BA1412" s="38"/>
      <c r="BB1412" s="38"/>
      <c r="BC1412" s="38"/>
      <c r="BD1412" s="38"/>
      <c r="BE1412" s="38"/>
      <c r="BF1412" s="38"/>
      <c r="BG1412" s="38"/>
      <c r="BH1412" s="38"/>
      <c r="BI1412" s="38"/>
      <c r="BJ1412" s="38"/>
      <c r="BK1412" s="38"/>
      <c r="BL1412" s="38"/>
      <c r="BM1412" s="38"/>
      <c r="BN1412" s="38"/>
      <c r="BO1412" s="38"/>
      <c r="BP1412" s="38"/>
      <c r="BQ1412" s="38"/>
    </row>
    <row r="1413">
      <c r="A1413" s="78" t="s">
        <v>4158</v>
      </c>
      <c r="B1413" s="59">
        <v>43339.0</v>
      </c>
      <c r="C1413" s="59">
        <v>43279.0</v>
      </c>
      <c r="D1413" s="60" t="s">
        <v>4152</v>
      </c>
      <c r="E1413" s="58" t="s">
        <v>31</v>
      </c>
      <c r="F1413" s="58">
        <v>2.0</v>
      </c>
      <c r="G1413" s="58" t="s">
        <v>32</v>
      </c>
      <c r="H1413" s="33">
        <f>if(G1413="Unknown",1,G1413)</f>
        <v>1</v>
      </c>
      <c r="I1413" s="58" t="s">
        <v>33</v>
      </c>
      <c r="J1413" s="58" t="s">
        <v>440</v>
      </c>
      <c r="K1413" s="58">
        <v>2.0</v>
      </c>
      <c r="L1413" s="58" t="s">
        <v>52</v>
      </c>
      <c r="M1413" s="61" t="s">
        <v>4159</v>
      </c>
      <c r="N1413" s="77"/>
      <c r="O1413" s="58"/>
      <c r="P1413" s="62"/>
      <c r="Q1413" s="84"/>
      <c r="R1413" s="62"/>
      <c r="S1413" s="37" t="str">
        <f>IFERROR(__xludf.DUMMYFUNCTION("if(not(iserror(index(split(C1413, "" ""),2))), index(split(C1413, "" ""),1),"""")"),"June")</f>
        <v>June</v>
      </c>
      <c r="T1413" s="38">
        <f>IFERROR(__xludf.DUMMYFUNCTION("if(S1413="""",C1413,if(not(iserror(index(split(C1413, "" ""),3))), index(split(C1413, "" ""),3),index(split(C1413, "" ""),2)))"),2018.0)</f>
        <v>2018</v>
      </c>
      <c r="U1413" s="38" t="b">
        <f t="shared" ref="U1413:U1426" si="213">countif(A$4:A4658, A1413)&gt;1</f>
        <v>0</v>
      </c>
      <c r="V1413" s="38"/>
      <c r="W1413" s="40"/>
      <c r="X1413" s="40"/>
      <c r="Y1413" s="40"/>
      <c r="Z1413" s="38"/>
      <c r="AA1413" s="38"/>
      <c r="AB1413" s="38"/>
      <c r="AC1413" s="38"/>
      <c r="AD1413" s="38"/>
      <c r="AE1413" s="38"/>
      <c r="AF1413" s="38"/>
      <c r="AG1413" s="38"/>
      <c r="AH1413" s="38"/>
      <c r="AI1413" s="38"/>
      <c r="AJ1413" s="38"/>
      <c r="AK1413" s="38"/>
      <c r="AL1413" s="38"/>
      <c r="AM1413" s="38"/>
      <c r="AN1413" s="38"/>
      <c r="AO1413" s="38"/>
      <c r="AP1413" s="38"/>
      <c r="AQ1413" s="38"/>
      <c r="AR1413" s="38"/>
      <c r="AS1413" s="38"/>
      <c r="AT1413" s="38"/>
      <c r="AU1413" s="38"/>
      <c r="AV1413" s="38"/>
      <c r="AW1413" s="38"/>
      <c r="AX1413" s="38"/>
      <c r="AY1413" s="38"/>
      <c r="AZ1413" s="38"/>
      <c r="BA1413" s="38"/>
      <c r="BB1413" s="38"/>
      <c r="BC1413" s="38"/>
      <c r="BD1413" s="38"/>
      <c r="BE1413" s="38"/>
      <c r="BF1413" s="38"/>
      <c r="BG1413" s="38"/>
      <c r="BH1413" s="38"/>
      <c r="BI1413" s="38"/>
      <c r="BJ1413" s="38"/>
      <c r="BK1413" s="38"/>
      <c r="BL1413" s="38"/>
      <c r="BM1413" s="38"/>
      <c r="BN1413" s="38"/>
      <c r="BO1413" s="38"/>
      <c r="BP1413" s="38"/>
      <c r="BQ1413" s="38"/>
    </row>
    <row r="1414">
      <c r="A1414" s="78" t="s">
        <v>4160</v>
      </c>
      <c r="B1414" s="59"/>
      <c r="C1414" s="59">
        <v>43279.0</v>
      </c>
      <c r="D1414" s="60"/>
      <c r="E1414" s="58" t="s">
        <v>41</v>
      </c>
      <c r="F1414" s="58">
        <v>1.0</v>
      </c>
      <c r="G1414" s="58" t="s">
        <v>32</v>
      </c>
      <c r="H1414" s="43">
        <v>1.0</v>
      </c>
      <c r="I1414" s="58" t="s">
        <v>33</v>
      </c>
      <c r="J1414" s="58" t="s">
        <v>460</v>
      </c>
      <c r="K1414" s="58"/>
      <c r="L1414" s="58" t="s">
        <v>76</v>
      </c>
      <c r="M1414" s="61" t="s">
        <v>4161</v>
      </c>
      <c r="N1414" s="77"/>
      <c r="O1414" s="83" t="str">
        <f>hyperlink("https://bad-boys.us/?q=SD-IA/4:18-cr-00134", "SD-IA 4:18-cr-00134")</f>
        <v>SD-IA 4:18-cr-00134</v>
      </c>
      <c r="P1414" s="88" t="s">
        <v>4162</v>
      </c>
      <c r="Q1414" s="58">
        <v>1.0</v>
      </c>
      <c r="R1414" s="62"/>
      <c r="S1414" s="37" t="str">
        <f>IFERROR(__xludf.DUMMYFUNCTION("if(not(iserror(index(split(C1414, "" ""),2))), index(split(C1414, "" ""),1),"""")"),"June")</f>
        <v>June</v>
      </c>
      <c r="T1414" s="38">
        <f>IFERROR(__xludf.DUMMYFUNCTION("if(S1414="""",C1414,if(not(iserror(index(split(C1414, "" ""),3))), index(split(C1414, "" ""),3),index(split(C1414, "" ""),2)))"),2018.0)</f>
        <v>2018</v>
      </c>
      <c r="U1414" s="38" t="b">
        <f t="shared" si="213"/>
        <v>0</v>
      </c>
      <c r="V1414" s="38" t="s">
        <v>33</v>
      </c>
      <c r="W1414" s="40"/>
      <c r="X1414" s="40"/>
      <c r="Y1414" s="40"/>
      <c r="Z1414" s="38"/>
      <c r="AA1414" s="38"/>
      <c r="AB1414" s="38"/>
      <c r="AC1414" s="38"/>
      <c r="AD1414" s="38"/>
      <c r="AE1414" s="38"/>
      <c r="AF1414" s="38"/>
      <c r="AG1414" s="38"/>
      <c r="AH1414" s="38"/>
      <c r="AI1414" s="38"/>
      <c r="AJ1414" s="38"/>
      <c r="AK1414" s="38"/>
      <c r="AL1414" s="38"/>
      <c r="AM1414" s="38"/>
      <c r="AN1414" s="38"/>
      <c r="AO1414" s="38"/>
      <c r="AP1414" s="38"/>
      <c r="AQ1414" s="38"/>
      <c r="AR1414" s="38"/>
      <c r="AS1414" s="38"/>
      <c r="AT1414" s="38"/>
      <c r="AU1414" s="38"/>
      <c r="AV1414" s="38"/>
      <c r="AW1414" s="38"/>
      <c r="AX1414" s="38"/>
      <c r="AY1414" s="38"/>
      <c r="AZ1414" s="38"/>
      <c r="BA1414" s="38"/>
      <c r="BB1414" s="38"/>
      <c r="BC1414" s="38"/>
      <c r="BD1414" s="38"/>
      <c r="BE1414" s="38"/>
      <c r="BF1414" s="38"/>
      <c r="BG1414" s="38"/>
      <c r="BH1414" s="38"/>
      <c r="BI1414" s="38"/>
      <c r="BJ1414" s="38"/>
      <c r="BK1414" s="38"/>
      <c r="BL1414" s="38"/>
      <c r="BM1414" s="38"/>
      <c r="BN1414" s="38"/>
      <c r="BO1414" s="38"/>
      <c r="BP1414" s="38"/>
      <c r="BQ1414" s="38"/>
    </row>
    <row r="1415">
      <c r="A1415" s="78" t="s">
        <v>239</v>
      </c>
      <c r="B1415" s="59">
        <v>43280.0</v>
      </c>
      <c r="C1415" s="59">
        <v>43280.0</v>
      </c>
      <c r="D1415" s="60" t="s">
        <v>4163</v>
      </c>
      <c r="E1415" s="58" t="s">
        <v>41</v>
      </c>
      <c r="F1415" s="58">
        <v>1.0</v>
      </c>
      <c r="G1415" s="58" t="s">
        <v>32</v>
      </c>
      <c r="H1415" s="33">
        <f t="shared" ref="H1415:H1426" si="214">if(G1415="Unknown",1,G1415)</f>
        <v>1</v>
      </c>
      <c r="I1415" s="58" t="s">
        <v>33</v>
      </c>
      <c r="J1415" s="58" t="s">
        <v>147</v>
      </c>
      <c r="K1415" s="58">
        <v>1.0</v>
      </c>
      <c r="L1415" s="58" t="s">
        <v>194</v>
      </c>
      <c r="M1415" s="61" t="s">
        <v>4164</v>
      </c>
      <c r="N1415" s="77"/>
      <c r="O1415" s="62"/>
      <c r="P1415" s="62"/>
      <c r="Q1415" s="62"/>
      <c r="R1415" s="62"/>
      <c r="S1415" s="37" t="str">
        <f>IFERROR(__xludf.DUMMYFUNCTION("if(not(iserror(index(split(C1415, "" ""),2))), index(split(C1415, "" ""),1),"""")"),"June")</f>
        <v>June</v>
      </c>
      <c r="T1415" s="38">
        <f>IFERROR(__xludf.DUMMYFUNCTION("if(S1415="""",C1415,if(not(iserror(index(split(C1415, "" ""),3))), index(split(C1415, "" ""),3),index(split(C1415, "" ""),2)))"),2018.0)</f>
        <v>2018</v>
      </c>
      <c r="U1415" s="38" t="b">
        <f t="shared" si="213"/>
        <v>1</v>
      </c>
      <c r="V1415" s="38"/>
      <c r="W1415" s="40"/>
      <c r="X1415" s="40"/>
      <c r="Y1415" s="40"/>
      <c r="Z1415" s="38"/>
      <c r="AA1415" s="38"/>
      <c r="AB1415" s="38"/>
      <c r="AC1415" s="38"/>
      <c r="AD1415" s="38"/>
      <c r="AE1415" s="38"/>
      <c r="AF1415" s="38"/>
      <c r="AG1415" s="38"/>
      <c r="AH1415" s="38"/>
      <c r="AI1415" s="38"/>
      <c r="AJ1415" s="38"/>
      <c r="AK1415" s="38"/>
      <c r="AL1415" s="38"/>
      <c r="AM1415" s="38"/>
      <c r="AN1415" s="38"/>
      <c r="AO1415" s="38"/>
      <c r="AP1415" s="38"/>
      <c r="AQ1415" s="38"/>
      <c r="AR1415" s="38"/>
      <c r="AS1415" s="38"/>
      <c r="AT1415" s="38"/>
      <c r="AU1415" s="38"/>
      <c r="AV1415" s="38"/>
      <c r="AW1415" s="38"/>
      <c r="AX1415" s="38"/>
      <c r="AY1415" s="38"/>
      <c r="AZ1415" s="38"/>
      <c r="BA1415" s="38"/>
      <c r="BB1415" s="38"/>
      <c r="BC1415" s="38"/>
      <c r="BD1415" s="38"/>
      <c r="BE1415" s="38"/>
      <c r="BF1415" s="38"/>
      <c r="BG1415" s="38"/>
      <c r="BH1415" s="38"/>
      <c r="BI1415" s="38"/>
      <c r="BJ1415" s="38"/>
      <c r="BK1415" s="38"/>
      <c r="BL1415" s="38"/>
      <c r="BM1415" s="38"/>
      <c r="BN1415" s="38"/>
      <c r="BO1415" s="38"/>
      <c r="BP1415" s="38"/>
      <c r="BQ1415" s="38"/>
    </row>
    <row r="1416">
      <c r="A1416" s="78" t="s">
        <v>4165</v>
      </c>
      <c r="B1416" s="59">
        <v>43280.0</v>
      </c>
      <c r="C1416" s="59">
        <v>43280.0</v>
      </c>
      <c r="D1416" s="60" t="s">
        <v>4163</v>
      </c>
      <c r="E1416" s="58" t="s">
        <v>31</v>
      </c>
      <c r="F1416" s="58">
        <v>2.0</v>
      </c>
      <c r="G1416" s="58" t="s">
        <v>32</v>
      </c>
      <c r="H1416" s="33">
        <f t="shared" si="214"/>
        <v>1</v>
      </c>
      <c r="I1416" s="58" t="s">
        <v>33</v>
      </c>
      <c r="J1416" s="58" t="s">
        <v>172</v>
      </c>
      <c r="K1416" s="58">
        <v>1.0</v>
      </c>
      <c r="L1416" s="58" t="s">
        <v>372</v>
      </c>
      <c r="M1416" s="61" t="s">
        <v>4166</v>
      </c>
      <c r="N1416" s="77"/>
      <c r="O1416" s="62"/>
      <c r="P1416" s="62"/>
      <c r="Q1416" s="62"/>
      <c r="R1416" s="62"/>
      <c r="S1416" s="37" t="str">
        <f>IFERROR(__xludf.DUMMYFUNCTION("if(not(iserror(index(split(C1416, "" ""),2))), index(split(C1416, "" ""),1),"""")"),"June")</f>
        <v>June</v>
      </c>
      <c r="T1416" s="38">
        <f>IFERROR(__xludf.DUMMYFUNCTION("if(S1416="""",C1416,if(not(iserror(index(split(C1416, "" ""),3))), index(split(C1416, "" ""),3),index(split(C1416, "" ""),2)))"),2018.0)</f>
        <v>2018</v>
      </c>
      <c r="U1416" s="38" t="b">
        <f t="shared" si="213"/>
        <v>0</v>
      </c>
      <c r="V1416" s="38"/>
      <c r="W1416" s="40"/>
      <c r="X1416" s="40"/>
      <c r="Y1416" s="40"/>
      <c r="Z1416" s="38"/>
      <c r="AA1416" s="38"/>
      <c r="AB1416" s="38"/>
      <c r="AC1416" s="38"/>
      <c r="AD1416" s="38"/>
      <c r="AE1416" s="38"/>
      <c r="AF1416" s="38"/>
      <c r="AG1416" s="38"/>
      <c r="AH1416" s="38"/>
      <c r="AI1416" s="38"/>
      <c r="AJ1416" s="38"/>
      <c r="AK1416" s="38"/>
      <c r="AL1416" s="38"/>
      <c r="AM1416" s="38"/>
      <c r="AN1416" s="38"/>
      <c r="AO1416" s="38"/>
      <c r="AP1416" s="38"/>
      <c r="AQ1416" s="38"/>
      <c r="AR1416" s="38"/>
      <c r="AS1416" s="38"/>
      <c r="AT1416" s="38"/>
      <c r="AU1416" s="38"/>
      <c r="AV1416" s="38"/>
      <c r="AW1416" s="38"/>
      <c r="AX1416" s="38"/>
      <c r="AY1416" s="38"/>
      <c r="AZ1416" s="38"/>
      <c r="BA1416" s="38"/>
      <c r="BB1416" s="38"/>
      <c r="BC1416" s="38"/>
      <c r="BD1416" s="38"/>
      <c r="BE1416" s="38"/>
      <c r="BF1416" s="38"/>
      <c r="BG1416" s="38"/>
      <c r="BH1416" s="38"/>
      <c r="BI1416" s="38"/>
      <c r="BJ1416" s="38"/>
      <c r="BK1416" s="38"/>
      <c r="BL1416" s="38"/>
      <c r="BM1416" s="38"/>
      <c r="BN1416" s="38"/>
      <c r="BO1416" s="38"/>
      <c r="BP1416" s="38"/>
      <c r="BQ1416" s="38"/>
    </row>
    <row r="1417">
      <c r="A1417" s="37" t="s">
        <v>4167</v>
      </c>
      <c r="B1417" s="59">
        <v>43281.0</v>
      </c>
      <c r="C1417" s="59">
        <v>43280.0</v>
      </c>
      <c r="D1417" s="60" t="s">
        <v>4163</v>
      </c>
      <c r="E1417" s="58" t="s">
        <v>41</v>
      </c>
      <c r="F1417" s="58">
        <v>1.0</v>
      </c>
      <c r="G1417" s="58" t="s">
        <v>32</v>
      </c>
      <c r="H1417" s="33">
        <f t="shared" si="214"/>
        <v>1</v>
      </c>
      <c r="I1417" s="58" t="s">
        <v>33</v>
      </c>
      <c r="J1417" s="58" t="s">
        <v>402</v>
      </c>
      <c r="K1417" s="58">
        <v>3.0</v>
      </c>
      <c r="L1417" s="58" t="s">
        <v>99</v>
      </c>
      <c r="M1417" s="80" t="s">
        <v>4168</v>
      </c>
      <c r="N1417" s="77"/>
      <c r="O1417" s="83" t="str">
        <f>hyperlink("https://bad-boys.us/?q=SD-IN/1:18-cr-00269", "SD-IN 1:18-cr-00269")</f>
        <v>SD-IN 1:18-cr-00269</v>
      </c>
      <c r="P1417" s="88" t="s">
        <v>4169</v>
      </c>
      <c r="Q1417" s="84">
        <v>1.0</v>
      </c>
      <c r="R1417" s="62"/>
      <c r="S1417" s="37" t="str">
        <f>IFERROR(__xludf.DUMMYFUNCTION("if(not(iserror(index(split(C1417, "" ""),2))), index(split(C1417, "" ""),1),"""")"),"June")</f>
        <v>June</v>
      </c>
      <c r="T1417" s="38">
        <f>IFERROR(__xludf.DUMMYFUNCTION("if(S1417="""",C1417,if(not(iserror(index(split(C1417, "" ""),3))), index(split(C1417, "" ""),3),index(split(C1417, "" ""),2)))"),2018.0)</f>
        <v>2018</v>
      </c>
      <c r="U1417" s="38" t="b">
        <f t="shared" si="213"/>
        <v>0</v>
      </c>
      <c r="V1417" s="38"/>
      <c r="W1417" s="40"/>
      <c r="X1417" s="40"/>
      <c r="Y1417" s="40"/>
      <c r="Z1417" s="38"/>
      <c r="AA1417" s="38"/>
      <c r="AB1417" s="38"/>
      <c r="AC1417" s="38"/>
      <c r="AD1417" s="38"/>
      <c r="AE1417" s="38"/>
      <c r="AF1417" s="38"/>
      <c r="AG1417" s="38"/>
      <c r="AH1417" s="38"/>
      <c r="AI1417" s="38"/>
      <c r="AJ1417" s="38"/>
      <c r="AK1417" s="38"/>
      <c r="AL1417" s="38"/>
      <c r="AM1417" s="38"/>
      <c r="AN1417" s="38"/>
      <c r="AO1417" s="38"/>
      <c r="AP1417" s="38"/>
      <c r="AQ1417" s="38"/>
      <c r="AR1417" s="38"/>
      <c r="AS1417" s="38"/>
      <c r="AT1417" s="38"/>
      <c r="AU1417" s="38"/>
      <c r="AV1417" s="38"/>
      <c r="AW1417" s="38"/>
      <c r="AX1417" s="38"/>
      <c r="AY1417" s="38"/>
      <c r="AZ1417" s="38"/>
      <c r="BA1417" s="38"/>
      <c r="BB1417" s="38"/>
      <c r="BC1417" s="38"/>
      <c r="BD1417" s="38"/>
      <c r="BE1417" s="38"/>
      <c r="BF1417" s="38"/>
      <c r="BG1417" s="38"/>
      <c r="BH1417" s="38"/>
      <c r="BI1417" s="38"/>
      <c r="BJ1417" s="38"/>
      <c r="BK1417" s="38"/>
      <c r="BL1417" s="38"/>
      <c r="BM1417" s="38"/>
      <c r="BN1417" s="38"/>
      <c r="BO1417" s="38"/>
      <c r="BP1417" s="38"/>
      <c r="BQ1417" s="38"/>
    </row>
    <row r="1418">
      <c r="A1418" s="78" t="s">
        <v>239</v>
      </c>
      <c r="B1418" s="59">
        <v>43284.0</v>
      </c>
      <c r="C1418" s="59">
        <v>43280.0</v>
      </c>
      <c r="D1418" s="60" t="s">
        <v>4163</v>
      </c>
      <c r="E1418" s="58" t="s">
        <v>41</v>
      </c>
      <c r="F1418" s="58">
        <v>1.0</v>
      </c>
      <c r="G1418" s="58">
        <v>2.0</v>
      </c>
      <c r="H1418" s="33">
        <f t="shared" si="214"/>
        <v>2</v>
      </c>
      <c r="I1418" s="58" t="s">
        <v>33</v>
      </c>
      <c r="J1418" s="58" t="s">
        <v>147</v>
      </c>
      <c r="K1418" s="58">
        <v>1.0</v>
      </c>
      <c r="L1418" s="58" t="s">
        <v>194</v>
      </c>
      <c r="M1418" s="61" t="s">
        <v>4170</v>
      </c>
      <c r="N1418" s="77"/>
      <c r="O1418" s="62"/>
      <c r="P1418" s="62"/>
      <c r="Q1418" s="62"/>
      <c r="R1418" s="62"/>
      <c r="S1418" s="37" t="str">
        <f>IFERROR(__xludf.DUMMYFUNCTION("if(not(iserror(index(split(C1418, "" ""),2))), index(split(C1418, "" ""),1),"""")"),"June")</f>
        <v>June</v>
      </c>
      <c r="T1418" s="38">
        <f>IFERROR(__xludf.DUMMYFUNCTION("if(S1418="""",C1418,if(not(iserror(index(split(C1418, "" ""),3))), index(split(C1418, "" ""),3),index(split(C1418, "" ""),2)))"),2018.0)</f>
        <v>2018</v>
      </c>
      <c r="U1418" s="38" t="b">
        <f t="shared" si="213"/>
        <v>1</v>
      </c>
      <c r="V1418" s="38"/>
      <c r="W1418" s="40"/>
      <c r="X1418" s="40"/>
      <c r="Y1418" s="40"/>
      <c r="Z1418" s="38"/>
      <c r="AA1418" s="38"/>
      <c r="AB1418" s="38"/>
      <c r="AC1418" s="38"/>
      <c r="AD1418" s="38"/>
      <c r="AE1418" s="38"/>
      <c r="AF1418" s="38"/>
      <c r="AG1418" s="38"/>
      <c r="AH1418" s="38"/>
      <c r="AI1418" s="38"/>
      <c r="AJ1418" s="38"/>
      <c r="AK1418" s="38"/>
      <c r="AL1418" s="38"/>
      <c r="AM1418" s="38"/>
      <c r="AN1418" s="38"/>
      <c r="AO1418" s="38"/>
      <c r="AP1418" s="38"/>
      <c r="AQ1418" s="38"/>
      <c r="AR1418" s="38"/>
      <c r="AS1418" s="38"/>
      <c r="AT1418" s="38"/>
      <c r="AU1418" s="38"/>
      <c r="AV1418" s="38"/>
      <c r="AW1418" s="38"/>
      <c r="AX1418" s="38"/>
      <c r="AY1418" s="38"/>
      <c r="AZ1418" s="38"/>
      <c r="BA1418" s="38"/>
      <c r="BB1418" s="38"/>
      <c r="BC1418" s="38"/>
      <c r="BD1418" s="38"/>
      <c r="BE1418" s="38"/>
      <c r="BF1418" s="38"/>
      <c r="BG1418" s="38"/>
      <c r="BH1418" s="38"/>
      <c r="BI1418" s="38"/>
      <c r="BJ1418" s="38"/>
      <c r="BK1418" s="38"/>
      <c r="BL1418" s="38"/>
      <c r="BM1418" s="38"/>
      <c r="BN1418" s="38"/>
      <c r="BO1418" s="38"/>
      <c r="BP1418" s="38"/>
      <c r="BQ1418" s="38"/>
    </row>
    <row r="1419">
      <c r="A1419" s="78" t="s">
        <v>4171</v>
      </c>
      <c r="B1419" s="59">
        <v>43284.0</v>
      </c>
      <c r="C1419" s="59">
        <v>43280.0</v>
      </c>
      <c r="D1419" s="60" t="s">
        <v>4163</v>
      </c>
      <c r="E1419" s="58" t="s">
        <v>31</v>
      </c>
      <c r="F1419" s="58">
        <v>1.0</v>
      </c>
      <c r="G1419" s="58" t="s">
        <v>32</v>
      </c>
      <c r="H1419" s="33">
        <f t="shared" si="214"/>
        <v>1</v>
      </c>
      <c r="I1419" s="58" t="s">
        <v>33</v>
      </c>
      <c r="J1419" s="58" t="s">
        <v>147</v>
      </c>
      <c r="K1419" s="58" t="s">
        <v>32</v>
      </c>
      <c r="L1419" s="58" t="s">
        <v>4172</v>
      </c>
      <c r="M1419" s="61" t="s">
        <v>4173</v>
      </c>
      <c r="N1419" s="77"/>
      <c r="O1419" s="62"/>
      <c r="P1419" s="62"/>
      <c r="Q1419" s="62"/>
      <c r="R1419" s="62"/>
      <c r="S1419" s="37" t="str">
        <f>IFERROR(__xludf.DUMMYFUNCTION("if(not(iserror(index(split(C1419, "" ""),2))), index(split(C1419, "" ""),1),"""")"),"June")</f>
        <v>June</v>
      </c>
      <c r="T1419" s="38">
        <f>IFERROR(__xludf.DUMMYFUNCTION("if(S1419="""",C1419,if(not(iserror(index(split(C1419, "" ""),3))), index(split(C1419, "" ""),3),index(split(C1419, "" ""),2)))"),2018.0)</f>
        <v>2018</v>
      </c>
      <c r="U1419" s="38" t="b">
        <f t="shared" si="213"/>
        <v>0</v>
      </c>
      <c r="V1419" s="38"/>
      <c r="W1419" s="40"/>
      <c r="X1419" s="40"/>
      <c r="Y1419" s="40"/>
      <c r="Z1419" s="38"/>
      <c r="AA1419" s="38"/>
      <c r="AB1419" s="38"/>
      <c r="AC1419" s="38"/>
      <c r="AD1419" s="38"/>
      <c r="AE1419" s="38"/>
      <c r="AF1419" s="38"/>
      <c r="AG1419" s="38"/>
      <c r="AH1419" s="38"/>
      <c r="AI1419" s="38"/>
      <c r="AJ1419" s="38"/>
      <c r="AK1419" s="38"/>
      <c r="AL1419" s="38"/>
      <c r="AM1419" s="38"/>
      <c r="AN1419" s="38"/>
      <c r="AO1419" s="38"/>
      <c r="AP1419" s="38"/>
      <c r="AQ1419" s="38"/>
      <c r="AR1419" s="38"/>
      <c r="AS1419" s="38"/>
      <c r="AT1419" s="38"/>
      <c r="AU1419" s="38"/>
      <c r="AV1419" s="38"/>
      <c r="AW1419" s="38"/>
      <c r="AX1419" s="38"/>
      <c r="AY1419" s="38"/>
      <c r="AZ1419" s="38"/>
      <c r="BA1419" s="38"/>
      <c r="BB1419" s="38"/>
      <c r="BC1419" s="38"/>
      <c r="BD1419" s="38"/>
      <c r="BE1419" s="38"/>
      <c r="BF1419" s="38"/>
      <c r="BG1419" s="38"/>
      <c r="BH1419" s="38"/>
      <c r="BI1419" s="38"/>
      <c r="BJ1419" s="38"/>
      <c r="BK1419" s="38"/>
      <c r="BL1419" s="38"/>
      <c r="BM1419" s="38"/>
      <c r="BN1419" s="38"/>
      <c r="BO1419" s="38"/>
      <c r="BP1419" s="38"/>
      <c r="BQ1419" s="38"/>
    </row>
    <row r="1420">
      <c r="A1420" s="58" t="s">
        <v>4174</v>
      </c>
      <c r="B1420" s="59">
        <v>43290.0</v>
      </c>
      <c r="C1420" s="59">
        <v>43280.0</v>
      </c>
      <c r="D1420" s="60" t="s">
        <v>4163</v>
      </c>
      <c r="E1420" s="58" t="s">
        <v>41</v>
      </c>
      <c r="F1420" s="58">
        <v>1.0</v>
      </c>
      <c r="G1420" s="58" t="s">
        <v>32</v>
      </c>
      <c r="H1420" s="33">
        <f t="shared" si="214"/>
        <v>1</v>
      </c>
      <c r="I1420" s="58" t="s">
        <v>33</v>
      </c>
      <c r="J1420" s="58" t="s">
        <v>2315</v>
      </c>
      <c r="K1420" s="58">
        <v>1.0</v>
      </c>
      <c r="L1420" s="58" t="s">
        <v>52</v>
      </c>
      <c r="M1420" s="61" t="s">
        <v>4175</v>
      </c>
      <c r="N1420" s="77"/>
      <c r="O1420" s="62"/>
      <c r="P1420" s="62"/>
      <c r="Q1420" s="62"/>
      <c r="R1420" s="62"/>
      <c r="S1420" s="37" t="str">
        <f>IFERROR(__xludf.DUMMYFUNCTION("if(not(iserror(index(split(C1420, "" ""),2))), index(split(C1420, "" ""),1),"""")"),"June")</f>
        <v>June</v>
      </c>
      <c r="T1420" s="38">
        <f>IFERROR(__xludf.DUMMYFUNCTION("if(S1420="""",C1420,if(not(iserror(index(split(C1420, "" ""),3))), index(split(C1420, "" ""),3),index(split(C1420, "" ""),2)))"),2018.0)</f>
        <v>2018</v>
      </c>
      <c r="U1420" s="38" t="b">
        <f t="shared" si="213"/>
        <v>0</v>
      </c>
      <c r="V1420" s="38"/>
      <c r="W1420" s="40"/>
      <c r="X1420" s="40"/>
      <c r="Y1420" s="40"/>
      <c r="Z1420" s="38"/>
      <c r="AA1420" s="38"/>
      <c r="AB1420" s="38"/>
      <c r="AC1420" s="38"/>
      <c r="AD1420" s="38"/>
      <c r="AE1420" s="38"/>
      <c r="AF1420" s="38"/>
      <c r="AG1420" s="38"/>
      <c r="AH1420" s="38"/>
      <c r="AI1420" s="38"/>
      <c r="AJ1420" s="38"/>
      <c r="AK1420" s="38"/>
      <c r="AL1420" s="38"/>
      <c r="AM1420" s="38"/>
      <c r="AN1420" s="38"/>
      <c r="AO1420" s="38"/>
      <c r="AP1420" s="38"/>
      <c r="AQ1420" s="38"/>
      <c r="AR1420" s="38"/>
      <c r="AS1420" s="38"/>
      <c r="AT1420" s="38"/>
      <c r="AU1420" s="38"/>
      <c r="AV1420" s="38"/>
      <c r="AW1420" s="38"/>
      <c r="AX1420" s="38"/>
      <c r="AY1420" s="38"/>
      <c r="AZ1420" s="38"/>
      <c r="BA1420" s="38"/>
      <c r="BB1420" s="38"/>
      <c r="BC1420" s="38"/>
      <c r="BD1420" s="38"/>
      <c r="BE1420" s="38"/>
      <c r="BF1420" s="38"/>
      <c r="BG1420" s="38"/>
      <c r="BH1420" s="38"/>
      <c r="BI1420" s="38"/>
      <c r="BJ1420" s="38"/>
      <c r="BK1420" s="38"/>
      <c r="BL1420" s="38"/>
      <c r="BM1420" s="38"/>
      <c r="BN1420" s="38"/>
      <c r="BO1420" s="38"/>
      <c r="BP1420" s="38"/>
      <c r="BQ1420" s="38"/>
    </row>
    <row r="1421">
      <c r="A1421" s="78" t="s">
        <v>4176</v>
      </c>
      <c r="B1421" s="59">
        <v>43292.0</v>
      </c>
      <c r="C1421" s="59">
        <v>43280.0</v>
      </c>
      <c r="D1421" s="60" t="s">
        <v>4163</v>
      </c>
      <c r="E1421" s="58" t="s">
        <v>31</v>
      </c>
      <c r="F1421" s="58">
        <v>1.0</v>
      </c>
      <c r="G1421" s="58" t="s">
        <v>32</v>
      </c>
      <c r="H1421" s="33">
        <f t="shared" si="214"/>
        <v>1</v>
      </c>
      <c r="I1421" s="58" t="s">
        <v>33</v>
      </c>
      <c r="J1421" s="58" t="s">
        <v>124</v>
      </c>
      <c r="K1421" s="58">
        <v>1.0</v>
      </c>
      <c r="L1421" s="58" t="s">
        <v>99</v>
      </c>
      <c r="M1421" s="46" t="s">
        <v>4177</v>
      </c>
      <c r="N1421" s="77"/>
      <c r="O1421" s="62"/>
      <c r="P1421" s="62"/>
      <c r="Q1421" s="62"/>
      <c r="R1421" s="62"/>
      <c r="S1421" s="37" t="str">
        <f>IFERROR(__xludf.DUMMYFUNCTION("if(not(iserror(index(split(C1421, "" ""),2))), index(split(C1421, "" ""),1),"""")"),"June")</f>
        <v>June</v>
      </c>
      <c r="T1421" s="38">
        <f>IFERROR(__xludf.DUMMYFUNCTION("if(S1421="""",C1421,if(not(iserror(index(split(C1421, "" ""),3))), index(split(C1421, "" ""),3),index(split(C1421, "" ""),2)))"),2018.0)</f>
        <v>2018</v>
      </c>
      <c r="U1421" s="38" t="b">
        <f t="shared" si="213"/>
        <v>0</v>
      </c>
      <c r="V1421" s="38"/>
      <c r="W1421" s="40"/>
      <c r="X1421" s="40"/>
      <c r="Y1421" s="40"/>
      <c r="Z1421" s="38"/>
      <c r="AA1421" s="38"/>
      <c r="AB1421" s="38"/>
      <c r="AC1421" s="38"/>
      <c r="AD1421" s="38"/>
      <c r="AE1421" s="38"/>
      <c r="AF1421" s="38"/>
      <c r="AG1421" s="38"/>
      <c r="AH1421" s="38"/>
      <c r="AI1421" s="38"/>
      <c r="AJ1421" s="38"/>
      <c r="AK1421" s="38"/>
      <c r="AL1421" s="38"/>
      <c r="AM1421" s="38"/>
      <c r="AN1421" s="38"/>
      <c r="AO1421" s="38"/>
      <c r="AP1421" s="38"/>
      <c r="AQ1421" s="38"/>
      <c r="AR1421" s="38"/>
      <c r="AS1421" s="38"/>
      <c r="AT1421" s="38"/>
      <c r="AU1421" s="38"/>
      <c r="AV1421" s="38"/>
      <c r="AW1421" s="38"/>
      <c r="AX1421" s="38"/>
      <c r="AY1421" s="38"/>
      <c r="AZ1421" s="38"/>
      <c r="BA1421" s="38"/>
      <c r="BB1421" s="38"/>
      <c r="BC1421" s="38"/>
      <c r="BD1421" s="38"/>
      <c r="BE1421" s="38"/>
      <c r="BF1421" s="38"/>
      <c r="BG1421" s="38"/>
      <c r="BH1421" s="38"/>
      <c r="BI1421" s="38"/>
      <c r="BJ1421" s="38"/>
      <c r="BK1421" s="38"/>
      <c r="BL1421" s="38"/>
      <c r="BM1421" s="38"/>
      <c r="BN1421" s="38"/>
      <c r="BO1421" s="38"/>
      <c r="BP1421" s="38"/>
      <c r="BQ1421" s="38"/>
    </row>
    <row r="1422">
      <c r="A1422" s="78" t="s">
        <v>239</v>
      </c>
      <c r="B1422" s="59">
        <v>43283.0</v>
      </c>
      <c r="C1422" s="59">
        <v>43281.0</v>
      </c>
      <c r="D1422" s="60" t="s">
        <v>3844</v>
      </c>
      <c r="E1422" s="58" t="s">
        <v>41</v>
      </c>
      <c r="F1422" s="58">
        <v>2.0</v>
      </c>
      <c r="G1422" s="58">
        <v>4.0</v>
      </c>
      <c r="H1422" s="33">
        <f t="shared" si="214"/>
        <v>4</v>
      </c>
      <c r="I1422" s="58" t="s">
        <v>33</v>
      </c>
      <c r="J1422" s="58" t="s">
        <v>241</v>
      </c>
      <c r="K1422" s="58">
        <v>1.0</v>
      </c>
      <c r="L1422" s="58" t="s">
        <v>194</v>
      </c>
      <c r="M1422" s="61" t="s">
        <v>4178</v>
      </c>
      <c r="N1422" s="77"/>
      <c r="O1422" s="62"/>
      <c r="P1422" s="62"/>
      <c r="Q1422" s="62"/>
      <c r="R1422" s="62"/>
      <c r="S1422" s="37" t="str">
        <f>IFERROR(__xludf.DUMMYFUNCTION("if(not(iserror(index(split(C1422, "" ""),2))), index(split(C1422, "" ""),1),"""")"),"June")</f>
        <v>June</v>
      </c>
      <c r="T1422" s="38">
        <f>IFERROR(__xludf.DUMMYFUNCTION("if(S1422="""",C1422,if(not(iserror(index(split(C1422, "" ""),3))), index(split(C1422, "" ""),3),index(split(C1422, "" ""),2)))"),2018.0)</f>
        <v>2018</v>
      </c>
      <c r="U1422" s="38" t="b">
        <f t="shared" si="213"/>
        <v>1</v>
      </c>
      <c r="V1422" s="38"/>
      <c r="W1422" s="40"/>
      <c r="X1422" s="40"/>
      <c r="Y1422" s="40"/>
      <c r="Z1422" s="38"/>
      <c r="AA1422" s="38"/>
      <c r="AB1422" s="38"/>
      <c r="AC1422" s="38"/>
      <c r="AD1422" s="38"/>
      <c r="AE1422" s="38"/>
      <c r="AF1422" s="38"/>
      <c r="AG1422" s="38"/>
      <c r="AH1422" s="38"/>
      <c r="AI1422" s="38"/>
      <c r="AJ1422" s="38"/>
      <c r="AK1422" s="38"/>
      <c r="AL1422" s="38"/>
      <c r="AM1422" s="38"/>
      <c r="AN1422" s="38"/>
      <c r="AO1422" s="38"/>
      <c r="AP1422" s="38"/>
      <c r="AQ1422" s="38"/>
      <c r="AR1422" s="38"/>
      <c r="AS1422" s="38"/>
      <c r="AT1422" s="38"/>
      <c r="AU1422" s="38"/>
      <c r="AV1422" s="38"/>
      <c r="AW1422" s="38"/>
      <c r="AX1422" s="38"/>
      <c r="AY1422" s="38"/>
      <c r="AZ1422" s="38"/>
      <c r="BA1422" s="38"/>
      <c r="BB1422" s="38"/>
      <c r="BC1422" s="38"/>
      <c r="BD1422" s="38"/>
      <c r="BE1422" s="38"/>
      <c r="BF1422" s="38"/>
      <c r="BG1422" s="38"/>
      <c r="BH1422" s="38"/>
      <c r="BI1422" s="38"/>
      <c r="BJ1422" s="38"/>
      <c r="BK1422" s="38"/>
      <c r="BL1422" s="38"/>
      <c r="BM1422" s="38"/>
      <c r="BN1422" s="38"/>
      <c r="BO1422" s="38"/>
      <c r="BP1422" s="38"/>
      <c r="BQ1422" s="38"/>
    </row>
    <row r="1423">
      <c r="A1423" s="78" t="s">
        <v>239</v>
      </c>
      <c r="B1423" s="59">
        <v>43286.0</v>
      </c>
      <c r="C1423" s="59">
        <v>43281.0</v>
      </c>
      <c r="D1423" s="60" t="s">
        <v>3844</v>
      </c>
      <c r="E1423" s="58" t="s">
        <v>41</v>
      </c>
      <c r="F1423" s="58">
        <v>1.0</v>
      </c>
      <c r="G1423" s="58">
        <v>10.0</v>
      </c>
      <c r="H1423" s="33">
        <f t="shared" si="214"/>
        <v>10</v>
      </c>
      <c r="I1423" s="58" t="s">
        <v>33</v>
      </c>
      <c r="J1423" s="58" t="s">
        <v>147</v>
      </c>
      <c r="K1423" s="58">
        <v>1.0</v>
      </c>
      <c r="L1423" s="58" t="s">
        <v>194</v>
      </c>
      <c r="M1423" s="61" t="s">
        <v>4179</v>
      </c>
      <c r="N1423" s="77"/>
      <c r="O1423" s="58"/>
      <c r="P1423" s="58"/>
      <c r="Q1423" s="84"/>
      <c r="R1423" s="62"/>
      <c r="S1423" s="37" t="str">
        <f>IFERROR(__xludf.DUMMYFUNCTION("if(not(iserror(index(split(C1423, "" ""),2))), index(split(C1423, "" ""),1),"""")"),"June")</f>
        <v>June</v>
      </c>
      <c r="T1423" s="38">
        <f>IFERROR(__xludf.DUMMYFUNCTION("if(S1423="""",C1423,if(not(iserror(index(split(C1423, "" ""),3))), index(split(C1423, "" ""),3),index(split(C1423, "" ""),2)))"),2018.0)</f>
        <v>2018</v>
      </c>
      <c r="U1423" s="38" t="b">
        <f t="shared" si="213"/>
        <v>1</v>
      </c>
      <c r="V1423" s="38"/>
      <c r="W1423" s="40"/>
      <c r="X1423" s="40"/>
      <c r="Y1423" s="40"/>
      <c r="Z1423" s="38"/>
      <c r="AA1423" s="38"/>
      <c r="AB1423" s="38"/>
      <c r="AC1423" s="38"/>
      <c r="AD1423" s="38"/>
      <c r="AE1423" s="38"/>
      <c r="AF1423" s="38"/>
      <c r="AG1423" s="38"/>
      <c r="AH1423" s="38"/>
      <c r="AI1423" s="38"/>
      <c r="AJ1423" s="38"/>
      <c r="AK1423" s="38"/>
      <c r="AL1423" s="38"/>
      <c r="AM1423" s="38"/>
      <c r="AN1423" s="38"/>
      <c r="AO1423" s="38"/>
      <c r="AP1423" s="38"/>
      <c r="AQ1423" s="38"/>
      <c r="AR1423" s="38"/>
      <c r="AS1423" s="38"/>
      <c r="AT1423" s="38"/>
      <c r="AU1423" s="38"/>
      <c r="AV1423" s="38"/>
      <c r="AW1423" s="38"/>
      <c r="AX1423" s="38"/>
      <c r="AY1423" s="38"/>
      <c r="AZ1423" s="38"/>
      <c r="BA1423" s="38"/>
      <c r="BB1423" s="38"/>
      <c r="BC1423" s="38"/>
      <c r="BD1423" s="38"/>
      <c r="BE1423" s="38"/>
      <c r="BF1423" s="38"/>
      <c r="BG1423" s="38"/>
      <c r="BH1423" s="38"/>
      <c r="BI1423" s="38"/>
      <c r="BJ1423" s="38"/>
      <c r="BK1423" s="38"/>
      <c r="BL1423" s="38"/>
      <c r="BM1423" s="38"/>
      <c r="BN1423" s="38"/>
      <c r="BO1423" s="38"/>
      <c r="BP1423" s="38"/>
      <c r="BQ1423" s="38"/>
    </row>
    <row r="1424">
      <c r="A1424" s="78" t="s">
        <v>239</v>
      </c>
      <c r="B1424" s="59">
        <v>43286.0</v>
      </c>
      <c r="C1424" s="59">
        <v>43281.0</v>
      </c>
      <c r="D1424" s="60" t="s">
        <v>3844</v>
      </c>
      <c r="E1424" s="58" t="s">
        <v>41</v>
      </c>
      <c r="F1424" s="58">
        <v>2.0</v>
      </c>
      <c r="G1424" s="58">
        <v>7.0</v>
      </c>
      <c r="H1424" s="33">
        <f t="shared" si="214"/>
        <v>7</v>
      </c>
      <c r="I1424" s="58" t="s">
        <v>33</v>
      </c>
      <c r="J1424" s="58" t="s">
        <v>147</v>
      </c>
      <c r="K1424" s="58">
        <v>1.0</v>
      </c>
      <c r="L1424" s="58" t="s">
        <v>194</v>
      </c>
      <c r="M1424" s="61" t="s">
        <v>4179</v>
      </c>
      <c r="N1424" s="77"/>
      <c r="O1424" s="58"/>
      <c r="P1424" s="58"/>
      <c r="Q1424" s="84"/>
      <c r="R1424" s="62"/>
      <c r="S1424" s="37" t="str">
        <f>IFERROR(__xludf.DUMMYFUNCTION("if(not(iserror(index(split(C1424, "" ""),2))), index(split(C1424, "" ""),1),"""")"),"June")</f>
        <v>June</v>
      </c>
      <c r="T1424" s="38">
        <f>IFERROR(__xludf.DUMMYFUNCTION("if(S1424="""",C1424,if(not(iserror(index(split(C1424, "" ""),3))), index(split(C1424, "" ""),3),index(split(C1424, "" ""),2)))"),2018.0)</f>
        <v>2018</v>
      </c>
      <c r="U1424" s="38" t="b">
        <f t="shared" si="213"/>
        <v>1</v>
      </c>
      <c r="V1424" s="38"/>
      <c r="W1424" s="40"/>
      <c r="X1424" s="40"/>
      <c r="Y1424" s="40"/>
      <c r="Z1424" s="38"/>
      <c r="AA1424" s="38"/>
      <c r="AB1424" s="38"/>
      <c r="AC1424" s="38"/>
      <c r="AD1424" s="38"/>
      <c r="AE1424" s="38"/>
      <c r="AF1424" s="38"/>
      <c r="AG1424" s="38"/>
      <c r="AH1424" s="38"/>
      <c r="AI1424" s="38"/>
      <c r="AJ1424" s="38"/>
      <c r="AK1424" s="38"/>
      <c r="AL1424" s="38"/>
      <c r="AM1424" s="38"/>
      <c r="AN1424" s="38"/>
      <c r="AO1424" s="38"/>
      <c r="AP1424" s="38"/>
      <c r="AQ1424" s="38"/>
      <c r="AR1424" s="38"/>
      <c r="AS1424" s="38"/>
      <c r="AT1424" s="38"/>
      <c r="AU1424" s="38"/>
      <c r="AV1424" s="38"/>
      <c r="AW1424" s="38"/>
      <c r="AX1424" s="38"/>
      <c r="AY1424" s="38"/>
      <c r="AZ1424" s="38"/>
      <c r="BA1424" s="38"/>
      <c r="BB1424" s="38"/>
      <c r="BC1424" s="38"/>
      <c r="BD1424" s="38"/>
      <c r="BE1424" s="38"/>
      <c r="BF1424" s="38"/>
      <c r="BG1424" s="38"/>
      <c r="BH1424" s="38"/>
      <c r="BI1424" s="38"/>
      <c r="BJ1424" s="38"/>
      <c r="BK1424" s="38"/>
      <c r="BL1424" s="38"/>
      <c r="BM1424" s="38"/>
      <c r="BN1424" s="38"/>
      <c r="BO1424" s="38"/>
      <c r="BP1424" s="38"/>
      <c r="BQ1424" s="38"/>
    </row>
    <row r="1425">
      <c r="A1425" s="78" t="s">
        <v>239</v>
      </c>
      <c r="B1425" s="59">
        <v>43286.0</v>
      </c>
      <c r="C1425" s="59">
        <v>43281.0</v>
      </c>
      <c r="D1425" s="60" t="s">
        <v>3844</v>
      </c>
      <c r="E1425" s="58" t="s">
        <v>41</v>
      </c>
      <c r="F1425" s="58">
        <v>2.0</v>
      </c>
      <c r="G1425" s="58">
        <v>21.0</v>
      </c>
      <c r="H1425" s="33">
        <f t="shared" si="214"/>
        <v>21</v>
      </c>
      <c r="I1425" s="58" t="s">
        <v>33</v>
      </c>
      <c r="J1425" s="58" t="s">
        <v>147</v>
      </c>
      <c r="K1425" s="58">
        <v>1.0</v>
      </c>
      <c r="L1425" s="58" t="s">
        <v>194</v>
      </c>
      <c r="M1425" s="61" t="s">
        <v>4179</v>
      </c>
      <c r="N1425" s="77"/>
      <c r="O1425" s="58"/>
      <c r="P1425" s="58"/>
      <c r="Q1425" s="84"/>
      <c r="R1425" s="62"/>
      <c r="S1425" s="37" t="str">
        <f>IFERROR(__xludf.DUMMYFUNCTION("if(not(iserror(index(split(C1425, "" ""),2))), index(split(C1425, "" ""),1),"""")"),"June")</f>
        <v>June</v>
      </c>
      <c r="T1425" s="38">
        <f>IFERROR(__xludf.DUMMYFUNCTION("if(S1425="""",C1425,if(not(iserror(index(split(C1425, "" ""),3))), index(split(C1425, "" ""),3),index(split(C1425, "" ""),2)))"),2018.0)</f>
        <v>2018</v>
      </c>
      <c r="U1425" s="38" t="b">
        <f t="shared" si="213"/>
        <v>1</v>
      </c>
      <c r="V1425" s="38"/>
      <c r="W1425" s="40"/>
      <c r="X1425" s="40"/>
      <c r="Y1425" s="40"/>
      <c r="Z1425" s="38"/>
      <c r="AA1425" s="38"/>
      <c r="AB1425" s="38"/>
      <c r="AC1425" s="38"/>
      <c r="AD1425" s="38"/>
      <c r="AE1425" s="38"/>
      <c r="AF1425" s="38"/>
      <c r="AG1425" s="38"/>
      <c r="AH1425" s="38"/>
      <c r="AI1425" s="38"/>
      <c r="AJ1425" s="38"/>
      <c r="AK1425" s="38"/>
      <c r="AL1425" s="38"/>
      <c r="AM1425" s="38"/>
      <c r="AN1425" s="38"/>
      <c r="AO1425" s="38"/>
      <c r="AP1425" s="38"/>
      <c r="AQ1425" s="38"/>
      <c r="AR1425" s="38"/>
      <c r="AS1425" s="38"/>
      <c r="AT1425" s="38"/>
      <c r="AU1425" s="38"/>
      <c r="AV1425" s="38"/>
      <c r="AW1425" s="38"/>
      <c r="AX1425" s="38"/>
      <c r="AY1425" s="38"/>
      <c r="AZ1425" s="38"/>
      <c r="BA1425" s="38"/>
      <c r="BB1425" s="38"/>
      <c r="BC1425" s="38"/>
      <c r="BD1425" s="38"/>
      <c r="BE1425" s="38"/>
      <c r="BF1425" s="38"/>
      <c r="BG1425" s="38"/>
      <c r="BH1425" s="38"/>
      <c r="BI1425" s="38"/>
      <c r="BJ1425" s="38"/>
      <c r="BK1425" s="38"/>
      <c r="BL1425" s="38"/>
      <c r="BM1425" s="38"/>
      <c r="BN1425" s="38"/>
      <c r="BO1425" s="38"/>
      <c r="BP1425" s="38"/>
      <c r="BQ1425" s="38"/>
    </row>
    <row r="1426">
      <c r="A1426" s="78" t="s">
        <v>239</v>
      </c>
      <c r="B1426" s="59">
        <v>43283.0</v>
      </c>
      <c r="C1426" s="59">
        <v>43282.0</v>
      </c>
      <c r="D1426" s="60" t="s">
        <v>4180</v>
      </c>
      <c r="E1426" s="58" t="s">
        <v>41</v>
      </c>
      <c r="F1426" s="58">
        <v>2.0</v>
      </c>
      <c r="G1426" s="58">
        <v>12.0</v>
      </c>
      <c r="H1426" s="33">
        <f t="shared" si="214"/>
        <v>12</v>
      </c>
      <c r="I1426" s="58" t="s">
        <v>33</v>
      </c>
      <c r="J1426" s="58" t="s">
        <v>147</v>
      </c>
      <c r="K1426" s="58">
        <v>1.0</v>
      </c>
      <c r="L1426" s="58" t="s">
        <v>194</v>
      </c>
      <c r="M1426" s="61" t="s">
        <v>4181</v>
      </c>
      <c r="N1426" s="77"/>
      <c r="O1426" s="62"/>
      <c r="P1426" s="62"/>
      <c r="Q1426" s="62"/>
      <c r="R1426" s="62"/>
      <c r="S1426" s="37" t="str">
        <f>IFERROR(__xludf.DUMMYFUNCTION("if(not(iserror(index(split(C1426, "" ""),2))), index(split(C1426, "" ""),1),"""")"),"July")</f>
        <v>July</v>
      </c>
      <c r="T1426" s="38">
        <f>IFERROR(__xludf.DUMMYFUNCTION("if(S1426="""",C1426,if(not(iserror(index(split(C1426, "" ""),3))), index(split(C1426, "" ""),3),index(split(C1426, "" ""),2)))"),2018.0)</f>
        <v>2018</v>
      </c>
      <c r="U1426" s="38" t="b">
        <f t="shared" si="213"/>
        <v>1</v>
      </c>
      <c r="V1426" s="38"/>
      <c r="W1426" s="40"/>
      <c r="X1426" s="40"/>
      <c r="Y1426" s="40"/>
      <c r="Z1426" s="38"/>
      <c r="AA1426" s="38"/>
      <c r="AB1426" s="38"/>
      <c r="AC1426" s="38"/>
      <c r="AD1426" s="38"/>
      <c r="AE1426" s="38"/>
      <c r="AF1426" s="38"/>
      <c r="AG1426" s="38"/>
      <c r="AH1426" s="38"/>
      <c r="AI1426" s="38"/>
      <c r="AJ1426" s="38"/>
      <c r="AK1426" s="38"/>
      <c r="AL1426" s="38"/>
      <c r="AM1426" s="38"/>
      <c r="AN1426" s="38"/>
      <c r="AO1426" s="38"/>
      <c r="AP1426" s="38"/>
      <c r="AQ1426" s="38"/>
      <c r="AR1426" s="38"/>
      <c r="AS1426" s="38"/>
      <c r="AT1426" s="38"/>
      <c r="AU1426" s="38"/>
      <c r="AV1426" s="38"/>
      <c r="AW1426" s="38"/>
      <c r="AX1426" s="38"/>
      <c r="AY1426" s="38"/>
      <c r="AZ1426" s="38"/>
      <c r="BA1426" s="38"/>
      <c r="BB1426" s="38"/>
      <c r="BC1426" s="38"/>
      <c r="BD1426" s="38"/>
      <c r="BE1426" s="38"/>
      <c r="BF1426" s="38"/>
      <c r="BG1426" s="38"/>
      <c r="BH1426" s="38"/>
      <c r="BI1426" s="38"/>
      <c r="BJ1426" s="38"/>
      <c r="BK1426" s="38"/>
      <c r="BL1426" s="38"/>
      <c r="BM1426" s="38"/>
      <c r="BN1426" s="38"/>
      <c r="BO1426" s="38"/>
      <c r="BP1426" s="38"/>
      <c r="BQ1426" s="38"/>
    </row>
    <row r="1427">
      <c r="A1427" s="78" t="s">
        <v>4182</v>
      </c>
      <c r="B1427" s="59"/>
      <c r="C1427" s="79">
        <v>43282.0</v>
      </c>
      <c r="D1427" s="60"/>
      <c r="E1427" s="58" t="s">
        <v>41</v>
      </c>
      <c r="F1427" s="58">
        <v>1.0</v>
      </c>
      <c r="G1427" s="58" t="s">
        <v>32</v>
      </c>
      <c r="H1427" s="43">
        <v>1.0</v>
      </c>
      <c r="I1427" s="58" t="s">
        <v>33</v>
      </c>
      <c r="J1427" s="58" t="s">
        <v>115</v>
      </c>
      <c r="K1427" s="58"/>
      <c r="L1427" s="58" t="s">
        <v>4183</v>
      </c>
      <c r="M1427" s="140" t="s">
        <v>4184</v>
      </c>
      <c r="N1427" s="80"/>
      <c r="O1427" s="78"/>
      <c r="P1427" s="78"/>
      <c r="Q1427" s="58">
        <v>1.0</v>
      </c>
      <c r="R1427" s="62"/>
      <c r="S1427" s="37"/>
      <c r="T1427" s="38"/>
      <c r="U1427" s="38"/>
      <c r="V1427" s="38" t="s">
        <v>33</v>
      </c>
      <c r="W1427" s="40"/>
      <c r="X1427" s="40"/>
      <c r="Y1427" s="40"/>
      <c r="Z1427" s="38"/>
      <c r="AA1427" s="38"/>
      <c r="AB1427" s="38"/>
      <c r="AC1427" s="38"/>
      <c r="AD1427" s="38"/>
      <c r="AE1427" s="38"/>
      <c r="AF1427" s="38"/>
      <c r="AG1427" s="38"/>
      <c r="AH1427" s="38"/>
      <c r="AI1427" s="38"/>
      <c r="AJ1427" s="38"/>
      <c r="AK1427" s="38"/>
      <c r="AL1427" s="38"/>
      <c r="AM1427" s="38"/>
      <c r="AN1427" s="38"/>
      <c r="AO1427" s="38"/>
      <c r="AP1427" s="38"/>
      <c r="AQ1427" s="38"/>
      <c r="AR1427" s="38"/>
      <c r="AS1427" s="38"/>
      <c r="AT1427" s="38"/>
      <c r="AU1427" s="38"/>
      <c r="AV1427" s="38"/>
      <c r="AW1427" s="38"/>
      <c r="AX1427" s="38"/>
      <c r="AY1427" s="38"/>
      <c r="AZ1427" s="38"/>
      <c r="BA1427" s="38"/>
      <c r="BB1427" s="38"/>
      <c r="BC1427" s="38"/>
      <c r="BD1427" s="38"/>
      <c r="BE1427" s="38"/>
      <c r="BF1427" s="38"/>
      <c r="BG1427" s="38"/>
      <c r="BH1427" s="38"/>
      <c r="BI1427" s="38"/>
      <c r="BJ1427" s="38"/>
      <c r="BK1427" s="38"/>
      <c r="BL1427" s="38"/>
      <c r="BM1427" s="38"/>
      <c r="BN1427" s="38"/>
      <c r="BO1427" s="38"/>
      <c r="BP1427" s="38"/>
      <c r="BQ1427" s="38"/>
    </row>
    <row r="1428">
      <c r="A1428" s="78" t="s">
        <v>4185</v>
      </c>
      <c r="B1428" s="59"/>
      <c r="C1428" s="79">
        <v>43282.0</v>
      </c>
      <c r="D1428" s="60"/>
      <c r="E1428" s="58" t="s">
        <v>41</v>
      </c>
      <c r="F1428" s="58">
        <v>1.0</v>
      </c>
      <c r="G1428" s="58" t="s">
        <v>32</v>
      </c>
      <c r="H1428" s="43">
        <v>1.0</v>
      </c>
      <c r="I1428" s="58" t="s">
        <v>33</v>
      </c>
      <c r="J1428" s="58" t="s">
        <v>115</v>
      </c>
      <c r="K1428" s="58"/>
      <c r="L1428" s="58" t="s">
        <v>4183</v>
      </c>
      <c r="M1428" s="140" t="s">
        <v>4186</v>
      </c>
      <c r="N1428" s="80"/>
      <c r="O1428" s="78"/>
      <c r="P1428" s="78"/>
      <c r="Q1428" s="58">
        <v>1.0</v>
      </c>
      <c r="R1428" s="62"/>
      <c r="S1428" s="37"/>
      <c r="T1428" s="38"/>
      <c r="U1428" s="38"/>
      <c r="V1428" s="38" t="s">
        <v>33</v>
      </c>
      <c r="W1428" s="40"/>
      <c r="X1428" s="40"/>
      <c r="Y1428" s="40"/>
      <c r="Z1428" s="38"/>
      <c r="AA1428" s="38"/>
      <c r="AB1428" s="38"/>
      <c r="AC1428" s="38"/>
      <c r="AD1428" s="38"/>
      <c r="AE1428" s="38"/>
      <c r="AF1428" s="38"/>
      <c r="AG1428" s="38"/>
      <c r="AH1428" s="38"/>
      <c r="AI1428" s="38"/>
      <c r="AJ1428" s="38"/>
      <c r="AK1428" s="38"/>
      <c r="AL1428" s="38"/>
      <c r="AM1428" s="38"/>
      <c r="AN1428" s="38"/>
      <c r="AO1428" s="38"/>
      <c r="AP1428" s="38"/>
      <c r="AQ1428" s="38"/>
      <c r="AR1428" s="38"/>
      <c r="AS1428" s="38"/>
      <c r="AT1428" s="38"/>
      <c r="AU1428" s="38"/>
      <c r="AV1428" s="38"/>
      <c r="AW1428" s="38"/>
      <c r="AX1428" s="38"/>
      <c r="AY1428" s="38"/>
      <c r="AZ1428" s="38"/>
      <c r="BA1428" s="38"/>
      <c r="BB1428" s="38"/>
      <c r="BC1428" s="38"/>
      <c r="BD1428" s="38"/>
      <c r="BE1428" s="38"/>
      <c r="BF1428" s="38"/>
      <c r="BG1428" s="38"/>
      <c r="BH1428" s="38"/>
      <c r="BI1428" s="38"/>
      <c r="BJ1428" s="38"/>
      <c r="BK1428" s="38"/>
      <c r="BL1428" s="38"/>
      <c r="BM1428" s="38"/>
      <c r="BN1428" s="38"/>
      <c r="BO1428" s="38"/>
      <c r="BP1428" s="38"/>
      <c r="BQ1428" s="38"/>
    </row>
    <row r="1429">
      <c r="A1429" s="78" t="s">
        <v>4187</v>
      </c>
      <c r="B1429" s="59">
        <v>43283.0</v>
      </c>
      <c r="C1429" s="79">
        <v>43282.0</v>
      </c>
      <c r="D1429" s="60" t="s">
        <v>637</v>
      </c>
      <c r="E1429" s="58" t="s">
        <v>41</v>
      </c>
      <c r="F1429" s="58">
        <v>1.0</v>
      </c>
      <c r="G1429" s="58" t="s">
        <v>32</v>
      </c>
      <c r="H1429" s="33">
        <f>if(G1429="Unknown",1,G1429)</f>
        <v>1</v>
      </c>
      <c r="I1429" s="58" t="s">
        <v>33</v>
      </c>
      <c r="J1429" s="58" t="s">
        <v>93</v>
      </c>
      <c r="K1429" s="58">
        <v>5.0</v>
      </c>
      <c r="L1429" s="58" t="s">
        <v>69</v>
      </c>
      <c r="M1429" s="140" t="s">
        <v>4188</v>
      </c>
      <c r="N1429" s="80"/>
      <c r="O1429" s="78"/>
      <c r="P1429" s="78"/>
      <c r="Q1429" s="58"/>
      <c r="R1429" s="62"/>
      <c r="S1429" s="37" t="str">
        <f>IFERROR(__xludf.DUMMYFUNCTION("if(not(iserror(index(split(C1429, "" ""),2))), index(split(C1429, "" ""),1),"""")"),"July,")</f>
        <v>July,</v>
      </c>
      <c r="T1429" s="38">
        <f>IFERROR(__xludf.DUMMYFUNCTION("if(S1429="""",C1429,if(not(iserror(index(split(C1429, "" ""),3))), index(split(C1429, "" ""),3),index(split(C1429, "" ""),2)))"),2018.0)</f>
        <v>2018</v>
      </c>
      <c r="U1429" s="38" t="b">
        <f>countif(A$4:A4658, A1429)&gt;1</f>
        <v>0</v>
      </c>
      <c r="V1429" s="38"/>
      <c r="W1429" s="40"/>
      <c r="X1429" s="40"/>
      <c r="Y1429" s="40"/>
      <c r="Z1429" s="38"/>
      <c r="AA1429" s="38"/>
      <c r="AB1429" s="38"/>
      <c r="AC1429" s="38"/>
      <c r="AD1429" s="38"/>
      <c r="AE1429" s="38"/>
      <c r="AF1429" s="38"/>
      <c r="AG1429" s="38"/>
      <c r="AH1429" s="38"/>
      <c r="AI1429" s="38"/>
      <c r="AJ1429" s="38"/>
      <c r="AK1429" s="38"/>
      <c r="AL1429" s="38"/>
      <c r="AM1429" s="38"/>
      <c r="AN1429" s="38"/>
      <c r="AO1429" s="38"/>
      <c r="AP1429" s="38"/>
      <c r="AQ1429" s="38"/>
      <c r="AR1429" s="38"/>
      <c r="AS1429" s="38"/>
      <c r="AT1429" s="38"/>
      <c r="AU1429" s="38"/>
      <c r="AV1429" s="38"/>
      <c r="AW1429" s="38"/>
      <c r="AX1429" s="38"/>
      <c r="AY1429" s="38"/>
      <c r="AZ1429" s="38"/>
      <c r="BA1429" s="38"/>
      <c r="BB1429" s="38"/>
      <c r="BC1429" s="38"/>
      <c r="BD1429" s="38"/>
      <c r="BE1429" s="38"/>
      <c r="BF1429" s="38"/>
      <c r="BG1429" s="38"/>
      <c r="BH1429" s="38"/>
      <c r="BI1429" s="38"/>
      <c r="BJ1429" s="38"/>
      <c r="BK1429" s="38"/>
      <c r="BL1429" s="38"/>
      <c r="BM1429" s="38"/>
      <c r="BN1429" s="38"/>
      <c r="BO1429" s="38"/>
      <c r="BP1429" s="38"/>
      <c r="BQ1429" s="38"/>
    </row>
    <row r="1430">
      <c r="A1430" s="78" t="s">
        <v>4189</v>
      </c>
      <c r="B1430" s="59"/>
      <c r="C1430" s="79">
        <v>43282.0</v>
      </c>
      <c r="D1430" s="60"/>
      <c r="E1430" s="58" t="s">
        <v>41</v>
      </c>
      <c r="F1430" s="58">
        <v>1.0</v>
      </c>
      <c r="G1430" s="58" t="s">
        <v>32</v>
      </c>
      <c r="H1430" s="43">
        <v>1.0</v>
      </c>
      <c r="I1430" s="58" t="s">
        <v>33</v>
      </c>
      <c r="J1430" s="58" t="s">
        <v>147</v>
      </c>
      <c r="K1430" s="58"/>
      <c r="L1430" s="58" t="s">
        <v>76</v>
      </c>
      <c r="M1430" s="140" t="s">
        <v>4190</v>
      </c>
      <c r="N1430" s="80"/>
      <c r="O1430" s="78"/>
      <c r="P1430" s="78"/>
      <c r="Q1430" s="58"/>
      <c r="R1430" s="62"/>
      <c r="S1430" s="37"/>
      <c r="T1430" s="38"/>
      <c r="U1430" s="38"/>
      <c r="V1430" s="38" t="s">
        <v>33</v>
      </c>
      <c r="W1430" s="40"/>
      <c r="X1430" s="40"/>
      <c r="Y1430" s="40"/>
      <c r="Z1430" s="38"/>
      <c r="AA1430" s="38"/>
      <c r="AB1430" s="38"/>
      <c r="AC1430" s="38"/>
      <c r="AD1430" s="38"/>
      <c r="AE1430" s="38"/>
      <c r="AF1430" s="38"/>
      <c r="AG1430" s="38"/>
      <c r="AH1430" s="38"/>
      <c r="AI1430" s="38"/>
      <c r="AJ1430" s="38"/>
      <c r="AK1430" s="38"/>
      <c r="AL1430" s="38"/>
      <c r="AM1430" s="38"/>
      <c r="AN1430" s="38"/>
      <c r="AO1430" s="38"/>
      <c r="AP1430" s="38"/>
      <c r="AQ1430" s="38"/>
      <c r="AR1430" s="38"/>
      <c r="AS1430" s="38"/>
      <c r="AT1430" s="38"/>
      <c r="AU1430" s="38"/>
      <c r="AV1430" s="38"/>
      <c r="AW1430" s="38"/>
      <c r="AX1430" s="38"/>
      <c r="AY1430" s="38"/>
      <c r="AZ1430" s="38"/>
      <c r="BA1430" s="38"/>
      <c r="BB1430" s="38"/>
      <c r="BC1430" s="38"/>
      <c r="BD1430" s="38"/>
      <c r="BE1430" s="38"/>
      <c r="BF1430" s="38"/>
      <c r="BG1430" s="38"/>
      <c r="BH1430" s="38"/>
      <c r="BI1430" s="38"/>
      <c r="BJ1430" s="38"/>
      <c r="BK1430" s="38"/>
      <c r="BL1430" s="38"/>
      <c r="BM1430" s="38"/>
      <c r="BN1430" s="38"/>
      <c r="BO1430" s="38"/>
      <c r="BP1430" s="38"/>
      <c r="BQ1430" s="38"/>
    </row>
    <row r="1431">
      <c r="A1431" s="78" t="s">
        <v>239</v>
      </c>
      <c r="B1431" s="59">
        <v>43286.0</v>
      </c>
      <c r="C1431" s="59">
        <v>43282.0</v>
      </c>
      <c r="D1431" s="60" t="s">
        <v>4180</v>
      </c>
      <c r="E1431" s="58" t="s">
        <v>41</v>
      </c>
      <c r="F1431" s="58">
        <v>2.0</v>
      </c>
      <c r="G1431" s="58">
        <v>14.0</v>
      </c>
      <c r="H1431" s="33">
        <f t="shared" ref="H1431:H1433" si="215">if(G1431="Unknown",1,G1431)</f>
        <v>14</v>
      </c>
      <c r="I1431" s="58" t="s">
        <v>33</v>
      </c>
      <c r="J1431" s="58" t="s">
        <v>147</v>
      </c>
      <c r="K1431" s="58">
        <v>1.0</v>
      </c>
      <c r="L1431" s="58" t="s">
        <v>194</v>
      </c>
      <c r="M1431" s="61" t="s">
        <v>4179</v>
      </c>
      <c r="N1431" s="77"/>
      <c r="O1431" s="58"/>
      <c r="P1431" s="58"/>
      <c r="Q1431" s="84"/>
      <c r="R1431" s="62"/>
      <c r="S1431" s="37" t="str">
        <f>IFERROR(__xludf.DUMMYFUNCTION("if(not(iserror(index(split(C1431, "" ""),2))), index(split(C1431, "" ""),1),"""")"),"July")</f>
        <v>July</v>
      </c>
      <c r="T1431" s="38">
        <f>IFERROR(__xludf.DUMMYFUNCTION("if(S1431="""",C1431,if(not(iserror(index(split(C1431, "" ""),3))), index(split(C1431, "" ""),3),index(split(C1431, "" ""),2)))"),2018.0)</f>
        <v>2018</v>
      </c>
      <c r="U1431" s="38" t="b">
        <f t="shared" ref="U1431:U1456" si="216">countif(A$4:A4658, A1431)&gt;1</f>
        <v>1</v>
      </c>
      <c r="V1431" s="38"/>
      <c r="W1431" s="40"/>
      <c r="X1431" s="40"/>
      <c r="Y1431" s="40"/>
      <c r="Z1431" s="38"/>
      <c r="AA1431" s="38"/>
      <c r="AB1431" s="38"/>
      <c r="AC1431" s="38"/>
      <c r="AD1431" s="38"/>
      <c r="AE1431" s="38"/>
      <c r="AF1431" s="38"/>
      <c r="AG1431" s="38"/>
      <c r="AH1431" s="38"/>
      <c r="AI1431" s="38"/>
      <c r="AJ1431" s="38"/>
      <c r="AK1431" s="38"/>
      <c r="AL1431" s="38"/>
      <c r="AM1431" s="38"/>
      <c r="AN1431" s="38"/>
      <c r="AO1431" s="38"/>
      <c r="AP1431" s="38"/>
      <c r="AQ1431" s="38"/>
      <c r="AR1431" s="38"/>
      <c r="AS1431" s="38"/>
      <c r="AT1431" s="38"/>
      <c r="AU1431" s="38"/>
      <c r="AV1431" s="38"/>
      <c r="AW1431" s="38"/>
      <c r="AX1431" s="38"/>
      <c r="AY1431" s="38"/>
      <c r="AZ1431" s="38"/>
      <c r="BA1431" s="38"/>
      <c r="BB1431" s="38"/>
      <c r="BC1431" s="38"/>
      <c r="BD1431" s="38"/>
      <c r="BE1431" s="38"/>
      <c r="BF1431" s="38"/>
      <c r="BG1431" s="38"/>
      <c r="BH1431" s="38"/>
      <c r="BI1431" s="38"/>
      <c r="BJ1431" s="38"/>
      <c r="BK1431" s="38"/>
      <c r="BL1431" s="38"/>
      <c r="BM1431" s="38"/>
      <c r="BN1431" s="38"/>
      <c r="BO1431" s="38"/>
      <c r="BP1431" s="38"/>
      <c r="BQ1431" s="38"/>
    </row>
    <row r="1432">
      <c r="A1432" s="78" t="s">
        <v>239</v>
      </c>
      <c r="B1432" s="59">
        <v>43286.0</v>
      </c>
      <c r="C1432" s="59">
        <v>43282.0</v>
      </c>
      <c r="D1432" s="60" t="s">
        <v>4180</v>
      </c>
      <c r="E1432" s="58" t="s">
        <v>41</v>
      </c>
      <c r="F1432" s="58">
        <v>2.0</v>
      </c>
      <c r="G1432" s="58">
        <v>12.0</v>
      </c>
      <c r="H1432" s="33">
        <f t="shared" si="215"/>
        <v>12</v>
      </c>
      <c r="I1432" s="58" t="s">
        <v>33</v>
      </c>
      <c r="J1432" s="58" t="s">
        <v>147</v>
      </c>
      <c r="K1432" s="58">
        <v>1.0</v>
      </c>
      <c r="L1432" s="58" t="s">
        <v>194</v>
      </c>
      <c r="M1432" s="61" t="s">
        <v>4179</v>
      </c>
      <c r="N1432" s="77"/>
      <c r="O1432" s="58"/>
      <c r="P1432" s="58"/>
      <c r="Q1432" s="84"/>
      <c r="R1432" s="62"/>
      <c r="S1432" s="37" t="str">
        <f>IFERROR(__xludf.DUMMYFUNCTION("if(not(iserror(index(split(C1432, "" ""),2))), index(split(C1432, "" ""),1),"""")"),"July")</f>
        <v>July</v>
      </c>
      <c r="T1432" s="38">
        <f>IFERROR(__xludf.DUMMYFUNCTION("if(S1432="""",C1432,if(not(iserror(index(split(C1432, "" ""),3))), index(split(C1432, "" ""),3),index(split(C1432, "" ""),2)))"),2018.0)</f>
        <v>2018</v>
      </c>
      <c r="U1432" s="38" t="b">
        <f t="shared" si="216"/>
        <v>1</v>
      </c>
      <c r="V1432" s="38"/>
      <c r="W1432" s="40"/>
      <c r="X1432" s="40"/>
      <c r="Y1432" s="40"/>
      <c r="Z1432" s="38"/>
      <c r="AA1432" s="38"/>
      <c r="AB1432" s="38"/>
      <c r="AC1432" s="38"/>
      <c r="AD1432" s="38"/>
      <c r="AE1432" s="38"/>
      <c r="AF1432" s="38"/>
      <c r="AG1432" s="38"/>
      <c r="AH1432" s="38"/>
      <c r="AI1432" s="38"/>
      <c r="AJ1432" s="38"/>
      <c r="AK1432" s="38"/>
      <c r="AL1432" s="38"/>
      <c r="AM1432" s="38"/>
      <c r="AN1432" s="38"/>
      <c r="AO1432" s="38"/>
      <c r="AP1432" s="38"/>
      <c r="AQ1432" s="38"/>
      <c r="AR1432" s="38"/>
      <c r="AS1432" s="38"/>
      <c r="AT1432" s="38"/>
      <c r="AU1432" s="38"/>
      <c r="AV1432" s="38"/>
      <c r="AW1432" s="38"/>
      <c r="AX1432" s="38"/>
      <c r="AY1432" s="38"/>
      <c r="AZ1432" s="38"/>
      <c r="BA1432" s="38"/>
      <c r="BB1432" s="38"/>
      <c r="BC1432" s="38"/>
      <c r="BD1432" s="38"/>
      <c r="BE1432" s="38"/>
      <c r="BF1432" s="38"/>
      <c r="BG1432" s="38"/>
      <c r="BH1432" s="38"/>
      <c r="BI1432" s="38"/>
      <c r="BJ1432" s="38"/>
      <c r="BK1432" s="38"/>
      <c r="BL1432" s="38"/>
      <c r="BM1432" s="38"/>
      <c r="BN1432" s="38"/>
      <c r="BO1432" s="38"/>
      <c r="BP1432" s="38"/>
      <c r="BQ1432" s="38"/>
    </row>
    <row r="1433">
      <c r="A1433" s="128" t="s">
        <v>660</v>
      </c>
      <c r="B1433" s="125">
        <v>43306.0</v>
      </c>
      <c r="C1433" s="228">
        <v>43282.0</v>
      </c>
      <c r="D1433" s="127" t="s">
        <v>637</v>
      </c>
      <c r="E1433" s="128" t="s">
        <v>41</v>
      </c>
      <c r="F1433" s="129">
        <v>4.0</v>
      </c>
      <c r="G1433" s="128" t="s">
        <v>32</v>
      </c>
      <c r="H1433" s="130">
        <f t="shared" si="215"/>
        <v>1</v>
      </c>
      <c r="I1433" s="128" t="s">
        <v>33</v>
      </c>
      <c r="J1433" s="128" t="s">
        <v>98</v>
      </c>
      <c r="K1433" s="128">
        <v>1.0</v>
      </c>
      <c r="L1433" s="128" t="s">
        <v>52</v>
      </c>
      <c r="M1433" s="131" t="s">
        <v>4191</v>
      </c>
      <c r="N1433" s="132"/>
      <c r="O1433" s="133"/>
      <c r="P1433" s="128"/>
      <c r="Q1433" s="128"/>
      <c r="R1433" s="133"/>
      <c r="S1433" s="37" t="str">
        <f>IFERROR(__xludf.DUMMYFUNCTION("if(not(iserror(index(split(C1433, "" ""),2))), index(split(C1433, "" ""),1),"""")"),"July,")</f>
        <v>July,</v>
      </c>
      <c r="T1433" s="38">
        <f>IFERROR(__xludf.DUMMYFUNCTION("if(S1433="""",C1433,if(not(iserror(index(split(C1433, "" ""),3))), index(split(C1433, "" ""),3),index(split(C1433, "" ""),2)))"),2018.0)</f>
        <v>2018</v>
      </c>
      <c r="U1433" s="38" t="b">
        <f t="shared" si="216"/>
        <v>1</v>
      </c>
      <c r="V1433" s="229"/>
      <c r="W1433" s="136"/>
      <c r="X1433" s="136"/>
      <c r="Y1433" s="230"/>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c r="BJ1433" s="229"/>
      <c r="BK1433" s="229"/>
      <c r="BL1433" s="229"/>
      <c r="BM1433" s="229"/>
      <c r="BN1433" s="229"/>
      <c r="BO1433" s="229"/>
      <c r="BP1433" s="229"/>
      <c r="BQ1433" s="229"/>
    </row>
    <row r="1434">
      <c r="A1434" s="124" t="s">
        <v>4192</v>
      </c>
      <c r="B1434" s="125"/>
      <c r="C1434" s="195">
        <v>43282.0</v>
      </c>
      <c r="D1434" s="127"/>
      <c r="E1434" s="124" t="s">
        <v>41</v>
      </c>
      <c r="F1434" s="198">
        <v>1.0</v>
      </c>
      <c r="G1434" s="124" t="s">
        <v>32</v>
      </c>
      <c r="H1434" s="231">
        <v>1.0</v>
      </c>
      <c r="I1434" s="124" t="s">
        <v>33</v>
      </c>
      <c r="J1434" s="124" t="s">
        <v>184</v>
      </c>
      <c r="K1434" s="128"/>
      <c r="L1434" s="124" t="s">
        <v>69</v>
      </c>
      <c r="M1434" s="46" t="s">
        <v>4193</v>
      </c>
      <c r="N1434" s="132"/>
      <c r="O1434" s="172" t="str">
        <f>hyperlink("https://bad-boys.us/?q=SD-IL/3:18-cr-30126", "SD-IL 3:18-cr-30126")</f>
        <v>SD-IL 3:18-cr-30126</v>
      </c>
      <c r="P1434" s="173" t="s">
        <v>4194</v>
      </c>
      <c r="Q1434" s="124">
        <v>1.0</v>
      </c>
      <c r="R1434" s="133"/>
      <c r="S1434" s="37" t="str">
        <f>IFERROR(__xludf.DUMMYFUNCTION("if(not(iserror(index(split(C1434, "" ""),2))), index(split(C1434, "" ""),1),"""")"),"July,")</f>
        <v>July,</v>
      </c>
      <c r="T1434" s="38">
        <f>IFERROR(__xludf.DUMMYFUNCTION("if(S1434="""",C1434,if(not(iserror(index(split(C1434, "" ""),3))), index(split(C1434, "" ""),3),index(split(C1434, "" ""),2)))"),2018.0)</f>
        <v>2018</v>
      </c>
      <c r="U1434" s="38" t="b">
        <f t="shared" si="216"/>
        <v>0</v>
      </c>
      <c r="V1434" s="232" t="s">
        <v>33</v>
      </c>
      <c r="W1434" s="136"/>
      <c r="X1434" s="136"/>
      <c r="Y1434" s="230"/>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c r="BJ1434" s="229"/>
      <c r="BK1434" s="229"/>
      <c r="BL1434" s="229"/>
      <c r="BM1434" s="229"/>
      <c r="BN1434" s="229"/>
      <c r="BO1434" s="229"/>
      <c r="BP1434" s="229"/>
      <c r="BQ1434" s="229"/>
    </row>
    <row r="1435">
      <c r="A1435" s="124" t="s">
        <v>4195</v>
      </c>
      <c r="B1435" s="125"/>
      <c r="C1435" s="195">
        <v>43282.0</v>
      </c>
      <c r="D1435" s="127"/>
      <c r="E1435" s="124" t="s">
        <v>41</v>
      </c>
      <c r="F1435" s="198">
        <v>1.0</v>
      </c>
      <c r="G1435" s="124" t="s">
        <v>32</v>
      </c>
      <c r="H1435" s="231">
        <v>1.0</v>
      </c>
      <c r="I1435" s="124" t="s">
        <v>33</v>
      </c>
      <c r="J1435" s="124" t="s">
        <v>162</v>
      </c>
      <c r="K1435" s="128"/>
      <c r="L1435" s="124" t="s">
        <v>69</v>
      </c>
      <c r="M1435" s="46" t="s">
        <v>4196</v>
      </c>
      <c r="N1435" s="132"/>
      <c r="O1435" s="172" t="str">
        <f>hyperlink("https://bad-boys.us/?q=D-KS/2:18-cr-20041", "D-KS 2:18-cr-20041")</f>
        <v>D-KS 2:18-cr-20041</v>
      </c>
      <c r="P1435" s="173" t="s">
        <v>4197</v>
      </c>
      <c r="Q1435" s="198">
        <v>1.0</v>
      </c>
      <c r="R1435" s="133"/>
      <c r="S1435" s="37" t="str">
        <f>IFERROR(__xludf.DUMMYFUNCTION("if(not(iserror(index(split(C1435, "" ""),2))), index(split(C1435, "" ""),1),"""")"),"July,")</f>
        <v>July,</v>
      </c>
      <c r="T1435" s="38">
        <f>IFERROR(__xludf.DUMMYFUNCTION("if(S1435="""",C1435,if(not(iserror(index(split(C1435, "" ""),3))), index(split(C1435, "" ""),3),index(split(C1435, "" ""),2)))"),2018.0)</f>
        <v>2018</v>
      </c>
      <c r="U1435" s="38" t="b">
        <f t="shared" si="216"/>
        <v>0</v>
      </c>
      <c r="V1435" s="232" t="s">
        <v>33</v>
      </c>
      <c r="W1435" s="136"/>
      <c r="X1435" s="136"/>
      <c r="Y1435" s="230"/>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c r="BJ1435" s="229"/>
      <c r="BK1435" s="229"/>
      <c r="BL1435" s="229"/>
      <c r="BM1435" s="229"/>
      <c r="BN1435" s="229"/>
      <c r="BO1435" s="229"/>
      <c r="BP1435" s="229"/>
      <c r="BQ1435" s="229"/>
    </row>
    <row r="1436">
      <c r="A1436" s="233" t="s">
        <v>4198</v>
      </c>
      <c r="B1436" s="125"/>
      <c r="C1436" s="195">
        <v>43282.0</v>
      </c>
      <c r="D1436" s="127"/>
      <c r="E1436" s="124" t="s">
        <v>41</v>
      </c>
      <c r="F1436" s="198">
        <v>1.0</v>
      </c>
      <c r="G1436" s="124" t="s">
        <v>32</v>
      </c>
      <c r="H1436" s="231">
        <v>1.0</v>
      </c>
      <c r="I1436" s="124" t="s">
        <v>33</v>
      </c>
      <c r="J1436" s="124" t="s">
        <v>460</v>
      </c>
      <c r="K1436" s="128"/>
      <c r="L1436" s="124" t="s">
        <v>223</v>
      </c>
      <c r="M1436" s="106" t="s">
        <v>4199</v>
      </c>
      <c r="N1436" s="132"/>
      <c r="O1436" s="172" t="str">
        <f>hyperlink("https://bad-boys.us/?q=ND-IA/5:18-cr-04065", "ND-IA 5:18-cr-04065")</f>
        <v>ND-IA 5:18-cr-04065</v>
      </c>
      <c r="P1436" s="173" t="s">
        <v>4200</v>
      </c>
      <c r="Q1436" s="198">
        <v>1.0</v>
      </c>
      <c r="R1436" s="133"/>
      <c r="S1436" s="37" t="str">
        <f>IFERROR(__xludf.DUMMYFUNCTION("if(not(iserror(index(split(C1436, "" ""),2))), index(split(C1436, "" ""),1),"""")"),"July,")</f>
        <v>July,</v>
      </c>
      <c r="T1436" s="38">
        <f>IFERROR(__xludf.DUMMYFUNCTION("if(S1436="""",C1436,if(not(iserror(index(split(C1436, "" ""),3))), index(split(C1436, "" ""),3),index(split(C1436, "" ""),2)))"),2018.0)</f>
        <v>2018</v>
      </c>
      <c r="U1436" s="38" t="b">
        <f t="shared" si="216"/>
        <v>0</v>
      </c>
      <c r="V1436" s="232" t="s">
        <v>33</v>
      </c>
      <c r="W1436" s="136"/>
      <c r="X1436" s="136"/>
      <c r="Y1436" s="230"/>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c r="BJ1436" s="229"/>
      <c r="BK1436" s="229"/>
      <c r="BL1436" s="229"/>
      <c r="BM1436" s="229"/>
      <c r="BN1436" s="229"/>
      <c r="BO1436" s="229"/>
      <c r="BP1436" s="229"/>
      <c r="BQ1436" s="229"/>
    </row>
    <row r="1437">
      <c r="A1437" s="233" t="s">
        <v>4201</v>
      </c>
      <c r="B1437" s="125"/>
      <c r="C1437" s="195">
        <v>43282.0</v>
      </c>
      <c r="D1437" s="127"/>
      <c r="E1437" s="124" t="s">
        <v>41</v>
      </c>
      <c r="F1437" s="198">
        <v>1.0</v>
      </c>
      <c r="G1437" s="124" t="s">
        <v>32</v>
      </c>
      <c r="H1437" s="231">
        <v>1.0</v>
      </c>
      <c r="I1437" s="124" t="s">
        <v>33</v>
      </c>
      <c r="J1437" s="124" t="s">
        <v>75</v>
      </c>
      <c r="K1437" s="128"/>
      <c r="L1437" s="124" t="s">
        <v>69</v>
      </c>
      <c r="M1437" s="46" t="s">
        <v>4202</v>
      </c>
      <c r="N1437" s="132"/>
      <c r="O1437" s="172" t="str">
        <f>hyperlink("https://bad-boys.us/?q=ED-KY/2:18-cr-00029", "ED-KY 2:18-cr-00029")</f>
        <v>ED-KY 2:18-cr-00029</v>
      </c>
      <c r="P1437" s="128"/>
      <c r="Q1437" s="198">
        <v>1.0</v>
      </c>
      <c r="R1437" s="133"/>
      <c r="S1437" s="37" t="str">
        <f>IFERROR(__xludf.DUMMYFUNCTION("if(not(iserror(index(split(C1437, "" ""),2))), index(split(C1437, "" ""),1),"""")"),"July,")</f>
        <v>July,</v>
      </c>
      <c r="T1437" s="38">
        <f>IFERROR(__xludf.DUMMYFUNCTION("if(S1437="""",C1437,if(not(iserror(index(split(C1437, "" ""),3))), index(split(C1437, "" ""),3),index(split(C1437, "" ""),2)))"),2018.0)</f>
        <v>2018</v>
      </c>
      <c r="U1437" s="38" t="b">
        <f t="shared" si="216"/>
        <v>0</v>
      </c>
      <c r="V1437" s="232" t="s">
        <v>33</v>
      </c>
      <c r="W1437" s="136"/>
      <c r="X1437" s="136"/>
      <c r="Y1437" s="230"/>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c r="BJ1437" s="229"/>
      <c r="BK1437" s="229"/>
      <c r="BL1437" s="229"/>
      <c r="BM1437" s="229"/>
      <c r="BN1437" s="229"/>
      <c r="BO1437" s="229"/>
      <c r="BP1437" s="229"/>
      <c r="BQ1437" s="229"/>
    </row>
    <row r="1438">
      <c r="A1438" s="233" t="s">
        <v>4203</v>
      </c>
      <c r="B1438" s="125"/>
      <c r="C1438" s="195">
        <v>43282.0</v>
      </c>
      <c r="D1438" s="127"/>
      <c r="E1438" s="124" t="s">
        <v>41</v>
      </c>
      <c r="F1438" s="198">
        <v>1.0</v>
      </c>
      <c r="G1438" s="124" t="s">
        <v>32</v>
      </c>
      <c r="H1438" s="231">
        <v>1.0</v>
      </c>
      <c r="I1438" s="124" t="s">
        <v>33</v>
      </c>
      <c r="J1438" s="124" t="s">
        <v>47</v>
      </c>
      <c r="K1438" s="128"/>
      <c r="L1438" s="124" t="s">
        <v>223</v>
      </c>
      <c r="M1438" s="46" t="s">
        <v>4204</v>
      </c>
      <c r="N1438" s="132"/>
      <c r="O1438" s="172" t="str">
        <f>hyperlink("https://bad-boys.us/?q=MD-FL/6:18-cr-00162", "MD-FL 6:18-cr-00162")</f>
        <v>MD-FL 6:18-cr-00162</v>
      </c>
      <c r="P1438" s="173" t="s">
        <v>4205</v>
      </c>
      <c r="Q1438" s="198">
        <v>1.0</v>
      </c>
      <c r="R1438" s="133"/>
      <c r="S1438" s="37" t="str">
        <f>IFERROR(__xludf.DUMMYFUNCTION("if(not(iserror(index(split(C1438, "" ""),2))), index(split(C1438, "" ""),1),"""")"),"July,")</f>
        <v>July,</v>
      </c>
      <c r="T1438" s="38">
        <f>IFERROR(__xludf.DUMMYFUNCTION("if(S1438="""",C1438,if(not(iserror(index(split(C1438, "" ""),3))), index(split(C1438, "" ""),3),index(split(C1438, "" ""),2)))"),2018.0)</f>
        <v>2018</v>
      </c>
      <c r="U1438" s="38" t="b">
        <f t="shared" si="216"/>
        <v>0</v>
      </c>
      <c r="V1438" s="232"/>
      <c r="W1438" s="136"/>
      <c r="X1438" s="136"/>
      <c r="Y1438" s="230"/>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c r="BJ1438" s="229"/>
      <c r="BK1438" s="229"/>
      <c r="BL1438" s="229"/>
      <c r="BM1438" s="229"/>
      <c r="BN1438" s="229"/>
      <c r="BO1438" s="229"/>
      <c r="BP1438" s="229"/>
      <c r="BQ1438" s="229"/>
    </row>
    <row r="1439">
      <c r="A1439" s="233" t="s">
        <v>4206</v>
      </c>
      <c r="B1439" s="125"/>
      <c r="C1439" s="195">
        <v>43282.0</v>
      </c>
      <c r="D1439" s="127"/>
      <c r="E1439" s="124" t="s">
        <v>31</v>
      </c>
      <c r="F1439" s="198">
        <v>1.0</v>
      </c>
      <c r="G1439" s="124" t="s">
        <v>32</v>
      </c>
      <c r="H1439" s="231">
        <v>1.0</v>
      </c>
      <c r="I1439" s="124" t="s">
        <v>33</v>
      </c>
      <c r="J1439" s="124" t="s">
        <v>47</v>
      </c>
      <c r="K1439" s="128"/>
      <c r="L1439" s="124" t="s">
        <v>76</v>
      </c>
      <c r="M1439" s="46" t="s">
        <v>4207</v>
      </c>
      <c r="N1439" s="219" t="s">
        <v>4208</v>
      </c>
      <c r="O1439" s="172" t="str">
        <f>hyperlink("https://bad-boys.us/?q=ND-FL/4:18-cr-00040", "ND-FL 4:18-cr-00040")</f>
        <v>ND-FL 4:18-cr-00040</v>
      </c>
      <c r="P1439" s="128"/>
      <c r="Q1439" s="198">
        <v>1.0</v>
      </c>
      <c r="R1439" s="133"/>
      <c r="S1439" s="37" t="str">
        <f>IFERROR(__xludf.DUMMYFUNCTION("if(not(iserror(index(split(C1439, "" ""),2))), index(split(C1439, "" ""),1),"""")"),"July,")</f>
        <v>July,</v>
      </c>
      <c r="T1439" s="38">
        <f>IFERROR(__xludf.DUMMYFUNCTION("if(S1439="""",C1439,if(not(iserror(index(split(C1439, "" ""),3))), index(split(C1439, "" ""),3),index(split(C1439, "" ""),2)))"),2018.0)</f>
        <v>2018</v>
      </c>
      <c r="U1439" s="38" t="b">
        <f t="shared" si="216"/>
        <v>0</v>
      </c>
      <c r="V1439" s="232" t="s">
        <v>33</v>
      </c>
      <c r="W1439" s="234" t="s">
        <v>4209</v>
      </c>
      <c r="X1439" s="234" t="s">
        <v>4210</v>
      </c>
      <c r="Y1439" s="230"/>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c r="BJ1439" s="229"/>
      <c r="BK1439" s="229"/>
      <c r="BL1439" s="229"/>
      <c r="BM1439" s="229"/>
      <c r="BN1439" s="229"/>
      <c r="BO1439" s="229"/>
      <c r="BP1439" s="229"/>
      <c r="BQ1439" s="229"/>
    </row>
    <row r="1440">
      <c r="A1440" s="78" t="s">
        <v>4211</v>
      </c>
      <c r="B1440" s="59">
        <v>43293.0</v>
      </c>
      <c r="C1440" s="79">
        <v>43282.0</v>
      </c>
      <c r="D1440" s="60" t="s">
        <v>1847</v>
      </c>
      <c r="E1440" s="58" t="s">
        <v>41</v>
      </c>
      <c r="F1440" s="58">
        <v>1.0</v>
      </c>
      <c r="G1440" s="58" t="s">
        <v>32</v>
      </c>
      <c r="H1440" s="33">
        <f t="shared" ref="H1440:H1443" si="217">if(G1440="Unknown",1,G1440)</f>
        <v>1</v>
      </c>
      <c r="I1440" s="58" t="s">
        <v>33</v>
      </c>
      <c r="J1440" s="58" t="s">
        <v>98</v>
      </c>
      <c r="K1440" s="58">
        <v>2.0</v>
      </c>
      <c r="L1440" s="58" t="s">
        <v>76</v>
      </c>
      <c r="M1440" s="106" t="s">
        <v>4212</v>
      </c>
      <c r="N1440" s="77"/>
      <c r="O1440" s="62"/>
      <c r="P1440" s="58"/>
      <c r="Q1440" s="58"/>
      <c r="R1440" s="62"/>
      <c r="S1440" s="37" t="str">
        <f>IFERROR(__xludf.DUMMYFUNCTION("if(not(iserror(index(split(C1440, "" ""),2))), index(split(C1440, "" ""),1),"""")"),"July,")</f>
        <v>July,</v>
      </c>
      <c r="T1440" s="38">
        <f>IFERROR(__xludf.DUMMYFUNCTION("if(S1440="""",C1440,if(not(iserror(index(split(C1440, "" ""),3))), index(split(C1440, "" ""),3),index(split(C1440, "" ""),2)))"),2018.0)</f>
        <v>2018</v>
      </c>
      <c r="U1440" s="38" t="b">
        <f t="shared" si="216"/>
        <v>0</v>
      </c>
      <c r="V1440" s="38" t="s">
        <v>33</v>
      </c>
      <c r="W1440" s="40"/>
      <c r="X1440" s="40"/>
      <c r="Y1440" s="40"/>
      <c r="Z1440" s="38"/>
      <c r="AA1440" s="38"/>
      <c r="AB1440" s="38"/>
      <c r="AC1440" s="38"/>
      <c r="AD1440" s="38"/>
      <c r="AE1440" s="38"/>
      <c r="AF1440" s="38"/>
      <c r="AG1440" s="38"/>
      <c r="AH1440" s="38"/>
      <c r="AI1440" s="38"/>
      <c r="AJ1440" s="38"/>
      <c r="AK1440" s="38"/>
      <c r="AL1440" s="38"/>
      <c r="AM1440" s="38"/>
      <c r="AN1440" s="38"/>
      <c r="AO1440" s="38"/>
      <c r="AP1440" s="38"/>
      <c r="AQ1440" s="38"/>
      <c r="AR1440" s="38"/>
      <c r="AS1440" s="38"/>
      <c r="AT1440" s="38"/>
      <c r="AU1440" s="38"/>
      <c r="AV1440" s="38"/>
      <c r="AW1440" s="38"/>
      <c r="AX1440" s="38"/>
      <c r="AY1440" s="38"/>
      <c r="AZ1440" s="38"/>
      <c r="BA1440" s="38"/>
      <c r="BB1440" s="38"/>
      <c r="BC1440" s="38"/>
      <c r="BD1440" s="38"/>
      <c r="BE1440" s="38"/>
      <c r="BF1440" s="38"/>
      <c r="BG1440" s="38"/>
      <c r="BH1440" s="38"/>
      <c r="BI1440" s="38"/>
      <c r="BJ1440" s="38"/>
      <c r="BK1440" s="38"/>
      <c r="BL1440" s="38"/>
      <c r="BM1440" s="38"/>
      <c r="BN1440" s="38"/>
      <c r="BO1440" s="38"/>
      <c r="BP1440" s="38"/>
      <c r="BQ1440" s="38"/>
    </row>
    <row r="1441">
      <c r="A1441" s="58" t="s">
        <v>4213</v>
      </c>
      <c r="B1441" s="59">
        <v>43320.0</v>
      </c>
      <c r="C1441" s="79">
        <v>43282.0</v>
      </c>
      <c r="D1441" s="60" t="s">
        <v>4214</v>
      </c>
      <c r="E1441" s="58" t="s">
        <v>41</v>
      </c>
      <c r="F1441" s="58">
        <v>1.0</v>
      </c>
      <c r="G1441" s="58" t="s">
        <v>32</v>
      </c>
      <c r="H1441" s="33">
        <f t="shared" si="217"/>
        <v>1</v>
      </c>
      <c r="I1441" s="58" t="s">
        <v>33</v>
      </c>
      <c r="J1441" s="58" t="s">
        <v>179</v>
      </c>
      <c r="K1441" s="58">
        <v>2.0</v>
      </c>
      <c r="L1441" s="58" t="s">
        <v>119</v>
      </c>
      <c r="M1441" s="61" t="s">
        <v>4215</v>
      </c>
      <c r="N1441" s="77"/>
      <c r="O1441" s="88" t="str">
        <f>hyperlink("https://bad-boys.us/?q=ED-VA/1:18-cr-00294", "ED-VA 1:18-cr-00294")</f>
        <v>ED-VA 1:18-cr-00294</v>
      </c>
      <c r="P1441" s="88" t="s">
        <v>4216</v>
      </c>
      <c r="Q1441" s="84">
        <v>1.0</v>
      </c>
      <c r="R1441" s="62"/>
      <c r="S1441" s="37" t="str">
        <f>IFERROR(__xludf.DUMMYFUNCTION("if(not(iserror(index(split(C1441, "" ""),2))), index(split(C1441, "" ""),1),"""")"),"July,")</f>
        <v>July,</v>
      </c>
      <c r="T1441" s="38">
        <f>IFERROR(__xludf.DUMMYFUNCTION("if(S1441="""",C1441,if(not(iserror(index(split(C1441, "" ""),3))), index(split(C1441, "" ""),3),index(split(C1441, "" ""),2)))"),2018.0)</f>
        <v>2018</v>
      </c>
      <c r="U1441" s="38" t="b">
        <f t="shared" si="216"/>
        <v>0</v>
      </c>
      <c r="V1441" s="38"/>
      <c r="W1441" s="40"/>
      <c r="X1441" s="40"/>
      <c r="Y1441" s="40"/>
      <c r="Z1441" s="38"/>
      <c r="AA1441" s="38"/>
      <c r="AB1441" s="38"/>
      <c r="AC1441" s="38"/>
      <c r="AD1441" s="38"/>
      <c r="AE1441" s="38"/>
      <c r="AF1441" s="38"/>
      <c r="AG1441" s="38"/>
      <c r="AH1441" s="38"/>
      <c r="AI1441" s="38"/>
      <c r="AJ1441" s="38"/>
      <c r="AK1441" s="38"/>
      <c r="AL1441" s="38"/>
      <c r="AM1441" s="38"/>
      <c r="AN1441" s="38"/>
      <c r="AO1441" s="38"/>
      <c r="AP1441" s="38"/>
      <c r="AQ1441" s="38"/>
      <c r="AR1441" s="38"/>
      <c r="AS1441" s="38"/>
      <c r="AT1441" s="38"/>
      <c r="AU1441" s="38"/>
      <c r="AV1441" s="38"/>
      <c r="AW1441" s="38"/>
      <c r="AX1441" s="38"/>
      <c r="AY1441" s="38"/>
      <c r="AZ1441" s="38"/>
      <c r="BA1441" s="38"/>
      <c r="BB1441" s="38"/>
      <c r="BC1441" s="38"/>
      <c r="BD1441" s="38"/>
      <c r="BE1441" s="38"/>
      <c r="BF1441" s="38"/>
      <c r="BG1441" s="38"/>
      <c r="BH1441" s="38"/>
      <c r="BI1441" s="38"/>
      <c r="BJ1441" s="38"/>
      <c r="BK1441" s="38"/>
      <c r="BL1441" s="38"/>
      <c r="BM1441" s="38"/>
      <c r="BN1441" s="38"/>
      <c r="BO1441" s="38"/>
      <c r="BP1441" s="38"/>
      <c r="BQ1441" s="38"/>
    </row>
    <row r="1442">
      <c r="A1442" s="58" t="s">
        <v>4217</v>
      </c>
      <c r="B1442" s="59">
        <v>43334.0</v>
      </c>
      <c r="C1442" s="79">
        <v>43282.0</v>
      </c>
      <c r="D1442" s="60" t="s">
        <v>637</v>
      </c>
      <c r="E1442" s="58" t="s">
        <v>41</v>
      </c>
      <c r="F1442" s="58">
        <v>1.0</v>
      </c>
      <c r="G1442" s="58" t="s">
        <v>32</v>
      </c>
      <c r="H1442" s="33">
        <f t="shared" si="217"/>
        <v>1</v>
      </c>
      <c r="I1442" s="58" t="s">
        <v>33</v>
      </c>
      <c r="J1442" s="58" t="s">
        <v>34</v>
      </c>
      <c r="K1442" s="58">
        <v>3.0</v>
      </c>
      <c r="L1442" s="152" t="s">
        <v>119</v>
      </c>
      <c r="M1442" s="61" t="s">
        <v>4218</v>
      </c>
      <c r="N1442" s="77"/>
      <c r="O1442" s="88" t="str">
        <f>hyperlink("https://bad-boys.us/?q=D-NH/1:18-cr-00121", "D-NH 1:18-cr-00121")</f>
        <v>D-NH 1:18-cr-00121</v>
      </c>
      <c r="P1442" s="88" t="s">
        <v>4219</v>
      </c>
      <c r="Q1442" s="58">
        <v>1.0</v>
      </c>
      <c r="R1442" s="62"/>
      <c r="S1442" s="37" t="str">
        <f>IFERROR(__xludf.DUMMYFUNCTION("if(not(iserror(index(split(C1442, "" ""),2))), index(split(C1442, "" ""),1),"""")"),"July,")</f>
        <v>July,</v>
      </c>
      <c r="T1442" s="38">
        <f>IFERROR(__xludf.DUMMYFUNCTION("if(S1442="""",C1442,if(not(iserror(index(split(C1442, "" ""),3))), index(split(C1442, "" ""),3),index(split(C1442, "" ""),2)))"),2018.0)</f>
        <v>2018</v>
      </c>
      <c r="U1442" s="38" t="b">
        <f t="shared" si="216"/>
        <v>0</v>
      </c>
      <c r="V1442" s="38"/>
      <c r="W1442" s="40"/>
      <c r="X1442" s="40"/>
      <c r="Y1442" s="40"/>
      <c r="Z1442" s="38"/>
      <c r="AA1442" s="38"/>
      <c r="AB1442" s="38"/>
      <c r="AC1442" s="38"/>
      <c r="AD1442" s="38"/>
      <c r="AE1442" s="38"/>
      <c r="AF1442" s="38"/>
      <c r="AG1442" s="38"/>
      <c r="AH1442" s="38"/>
      <c r="AI1442" s="38"/>
      <c r="AJ1442" s="38"/>
      <c r="AK1442" s="38"/>
      <c r="AL1442" s="38"/>
      <c r="AM1442" s="38"/>
      <c r="AN1442" s="38"/>
      <c r="AO1442" s="38"/>
      <c r="AP1442" s="38"/>
      <c r="AQ1442" s="38"/>
      <c r="AR1442" s="38"/>
      <c r="AS1442" s="38"/>
      <c r="AT1442" s="38"/>
      <c r="AU1442" s="38"/>
      <c r="AV1442" s="38"/>
      <c r="AW1442" s="38"/>
      <c r="AX1442" s="38"/>
      <c r="AY1442" s="38"/>
      <c r="AZ1442" s="38"/>
      <c r="BA1442" s="38"/>
      <c r="BB1442" s="38"/>
      <c r="BC1442" s="38"/>
      <c r="BD1442" s="38"/>
      <c r="BE1442" s="38"/>
      <c r="BF1442" s="38"/>
      <c r="BG1442" s="38"/>
      <c r="BH1442" s="38"/>
      <c r="BI1442" s="38"/>
      <c r="BJ1442" s="38"/>
      <c r="BK1442" s="38"/>
      <c r="BL1442" s="38"/>
      <c r="BM1442" s="38"/>
      <c r="BN1442" s="38"/>
      <c r="BO1442" s="38"/>
      <c r="BP1442" s="38"/>
      <c r="BQ1442" s="38"/>
    </row>
    <row r="1443">
      <c r="A1443" s="194" t="s">
        <v>4220</v>
      </c>
      <c r="B1443" s="137">
        <v>43378.0</v>
      </c>
      <c r="C1443" s="195">
        <v>43282.0</v>
      </c>
      <c r="D1443" s="196" t="s">
        <v>637</v>
      </c>
      <c r="E1443" s="124" t="s">
        <v>41</v>
      </c>
      <c r="F1443" s="129">
        <v>1.0</v>
      </c>
      <c r="G1443" s="128" t="s">
        <v>32</v>
      </c>
      <c r="H1443" s="33">
        <f t="shared" si="217"/>
        <v>1</v>
      </c>
      <c r="I1443" s="128" t="s">
        <v>33</v>
      </c>
      <c r="J1443" s="128" t="s">
        <v>111</v>
      </c>
      <c r="K1443" s="58">
        <v>1.0</v>
      </c>
      <c r="L1443" s="124" t="s">
        <v>76</v>
      </c>
      <c r="M1443" s="197" t="s">
        <v>2426</v>
      </c>
      <c r="N1443" s="132"/>
      <c r="O1443" s="173" t="str">
        <f>hyperlink("https://bad-boys.us/?q=CD-CA/2:18-cr-00418", "CD-CA 2:18-cr-00418")</f>
        <v>CD-CA 2:18-cr-00418</v>
      </c>
      <c r="P1443" s="173" t="s">
        <v>4221</v>
      </c>
      <c r="Q1443" s="198">
        <v>1.0</v>
      </c>
      <c r="R1443" s="133"/>
      <c r="S1443" s="37" t="str">
        <f>IFERROR(__xludf.DUMMYFUNCTION("if(not(iserror(index(split(C1443, "" ""),2))), index(split(C1443, "" ""),1),"""")"),"July,")</f>
        <v>July,</v>
      </c>
      <c r="T1443" s="38">
        <f>IFERROR(__xludf.DUMMYFUNCTION("if(S1443="""",C1443,if(not(iserror(index(split(C1443, "" ""),3))), index(split(C1443, "" ""),3),index(split(C1443, "" ""),2)))"),2018.0)</f>
        <v>2018</v>
      </c>
      <c r="U1443" s="38" t="b">
        <f t="shared" si="216"/>
        <v>0</v>
      </c>
      <c r="V1443" s="38"/>
      <c r="W1443" s="40"/>
      <c r="X1443" s="40"/>
      <c r="Y1443" s="40"/>
      <c r="Z1443" s="38"/>
      <c r="AA1443" s="38"/>
      <c r="AB1443" s="38"/>
      <c r="AC1443" s="38"/>
      <c r="AD1443" s="38"/>
      <c r="AE1443" s="38"/>
      <c r="AF1443" s="38"/>
      <c r="AG1443" s="38"/>
      <c r="AH1443" s="38"/>
      <c r="AI1443" s="38"/>
      <c r="AJ1443" s="38"/>
      <c r="AK1443" s="38"/>
      <c r="AL1443" s="38"/>
      <c r="AM1443" s="38"/>
      <c r="AN1443" s="38"/>
      <c r="AO1443" s="38"/>
      <c r="AP1443" s="38"/>
      <c r="AQ1443" s="38"/>
      <c r="AR1443" s="38"/>
      <c r="AS1443" s="38"/>
      <c r="AT1443" s="38"/>
      <c r="AU1443" s="38"/>
      <c r="AV1443" s="38"/>
      <c r="AW1443" s="38"/>
      <c r="AX1443" s="38"/>
      <c r="AY1443" s="38"/>
      <c r="AZ1443" s="38"/>
      <c r="BA1443" s="38"/>
      <c r="BB1443" s="38"/>
      <c r="BC1443" s="38"/>
      <c r="BD1443" s="38"/>
      <c r="BE1443" s="38"/>
      <c r="BF1443" s="38"/>
      <c r="BG1443" s="38"/>
      <c r="BH1443" s="38"/>
      <c r="BI1443" s="38"/>
      <c r="BJ1443" s="38"/>
      <c r="BK1443" s="38"/>
      <c r="BL1443" s="38"/>
      <c r="BM1443" s="38"/>
      <c r="BN1443" s="38"/>
      <c r="BO1443" s="38"/>
      <c r="BP1443" s="38"/>
      <c r="BQ1443" s="38"/>
    </row>
    <row r="1444">
      <c r="A1444" s="58" t="s">
        <v>4222</v>
      </c>
      <c r="B1444" s="59"/>
      <c r="C1444" s="79">
        <v>43282.0</v>
      </c>
      <c r="D1444" s="60"/>
      <c r="E1444" s="58" t="s">
        <v>41</v>
      </c>
      <c r="F1444" s="58">
        <v>1.0</v>
      </c>
      <c r="G1444" s="58">
        <v>3.0</v>
      </c>
      <c r="H1444" s="43">
        <v>3.0</v>
      </c>
      <c r="I1444" s="58" t="s">
        <v>33</v>
      </c>
      <c r="J1444" s="58" t="s">
        <v>514</v>
      </c>
      <c r="K1444" s="58"/>
      <c r="L1444" s="58" t="s">
        <v>76</v>
      </c>
      <c r="M1444" s="61" t="s">
        <v>4223</v>
      </c>
      <c r="N1444" s="80"/>
      <c r="O1444" s="83" t="str">
        <f>hyperlink("https://bad-boys.us/?q=WD-AR/2:18-cr-20011", "WD-AR 2:18-cr-20011")</f>
        <v>WD-AR 2:18-cr-20011</v>
      </c>
      <c r="P1444" s="88" t="s">
        <v>4224</v>
      </c>
      <c r="Q1444" s="58">
        <v>1.0</v>
      </c>
      <c r="R1444" s="62"/>
      <c r="S1444" s="37" t="str">
        <f>IFERROR(__xludf.DUMMYFUNCTION("if(not(iserror(index(split(C1444, "" ""),2))), index(split(C1444, "" ""),1),"""")"),"July,")</f>
        <v>July,</v>
      </c>
      <c r="T1444" s="38">
        <f>IFERROR(__xludf.DUMMYFUNCTION("if(S1444="""",C1444,if(not(iserror(index(split(C1444, "" ""),3))), index(split(C1444, "" ""),3),index(split(C1444, "" ""),2)))"),2018.0)</f>
        <v>2018</v>
      </c>
      <c r="U1444" s="38" t="b">
        <f t="shared" si="216"/>
        <v>0</v>
      </c>
      <c r="V1444" s="38" t="s">
        <v>33</v>
      </c>
      <c r="W1444" s="40"/>
      <c r="X1444" s="40"/>
      <c r="Y1444" s="40"/>
      <c r="Z1444" s="38"/>
      <c r="AA1444" s="38"/>
      <c r="AB1444" s="38"/>
      <c r="AC1444" s="38"/>
      <c r="AD1444" s="38"/>
      <c r="AE1444" s="38"/>
      <c r="AF1444" s="38"/>
      <c r="AG1444" s="38"/>
      <c r="AH1444" s="38"/>
      <c r="AI1444" s="38"/>
      <c r="AJ1444" s="38"/>
      <c r="AK1444" s="38"/>
      <c r="AL1444" s="38"/>
      <c r="AM1444" s="38"/>
      <c r="AN1444" s="38"/>
      <c r="AO1444" s="38"/>
      <c r="AP1444" s="38"/>
      <c r="AQ1444" s="38"/>
      <c r="AR1444" s="38"/>
      <c r="AS1444" s="38"/>
      <c r="AT1444" s="38"/>
      <c r="AU1444" s="38"/>
      <c r="AV1444" s="38"/>
      <c r="AW1444" s="38"/>
      <c r="AX1444" s="38"/>
      <c r="AY1444" s="38"/>
      <c r="AZ1444" s="38"/>
      <c r="BA1444" s="38"/>
      <c r="BB1444" s="38"/>
      <c r="BC1444" s="38"/>
      <c r="BD1444" s="38"/>
      <c r="BE1444" s="38"/>
      <c r="BF1444" s="38"/>
      <c r="BG1444" s="38"/>
      <c r="BH1444" s="38"/>
      <c r="BI1444" s="38"/>
      <c r="BJ1444" s="38"/>
      <c r="BK1444" s="38"/>
      <c r="BL1444" s="38"/>
      <c r="BM1444" s="38"/>
      <c r="BN1444" s="38"/>
      <c r="BO1444" s="38"/>
      <c r="BP1444" s="38"/>
      <c r="BQ1444" s="38"/>
    </row>
    <row r="1445">
      <c r="A1445" s="58" t="s">
        <v>4225</v>
      </c>
      <c r="B1445" s="59"/>
      <c r="C1445" s="79">
        <v>43282.0</v>
      </c>
      <c r="D1445" s="60"/>
      <c r="E1445" s="58" t="s">
        <v>41</v>
      </c>
      <c r="F1445" s="58">
        <v>1.0</v>
      </c>
      <c r="G1445" s="58" t="s">
        <v>32</v>
      </c>
      <c r="H1445" s="43">
        <v>1.0</v>
      </c>
      <c r="I1445" s="58" t="s">
        <v>33</v>
      </c>
      <c r="J1445" s="58" t="s">
        <v>93</v>
      </c>
      <c r="K1445" s="58"/>
      <c r="L1445" s="58" t="s">
        <v>119</v>
      </c>
      <c r="M1445" s="61" t="s">
        <v>4226</v>
      </c>
      <c r="N1445" s="61" t="s">
        <v>4227</v>
      </c>
      <c r="O1445" s="62"/>
      <c r="P1445" s="62"/>
      <c r="Q1445" s="84"/>
      <c r="R1445" s="62"/>
      <c r="S1445" s="37" t="str">
        <f>IFERROR(__xludf.DUMMYFUNCTION("if(not(iserror(index(split(C1445, "" ""),2))), index(split(C1445, "" ""),1),"""")"),"July,")</f>
        <v>July,</v>
      </c>
      <c r="T1445" s="38">
        <f>IFERROR(__xludf.DUMMYFUNCTION("if(S1445="""",C1445,if(not(iserror(index(split(C1445, "" ""),3))), index(split(C1445, "" ""),3),index(split(C1445, "" ""),2)))"),2018.0)</f>
        <v>2018</v>
      </c>
      <c r="U1445" s="38" t="b">
        <f t="shared" si="216"/>
        <v>0</v>
      </c>
      <c r="V1445" s="38" t="s">
        <v>33</v>
      </c>
      <c r="W1445" s="40"/>
      <c r="X1445" s="40"/>
      <c r="Y1445" s="40"/>
      <c r="Z1445" s="38"/>
      <c r="AA1445" s="38"/>
      <c r="AB1445" s="38"/>
      <c r="AC1445" s="38"/>
      <c r="AD1445" s="38"/>
      <c r="AE1445" s="38"/>
      <c r="AF1445" s="38"/>
      <c r="AG1445" s="38"/>
      <c r="AH1445" s="38"/>
      <c r="AI1445" s="38"/>
      <c r="AJ1445" s="38"/>
      <c r="AK1445" s="38"/>
      <c r="AL1445" s="38"/>
      <c r="AM1445" s="38"/>
      <c r="AN1445" s="38"/>
      <c r="AO1445" s="38"/>
      <c r="AP1445" s="38"/>
      <c r="AQ1445" s="38"/>
      <c r="AR1445" s="38"/>
      <c r="AS1445" s="38"/>
      <c r="AT1445" s="38"/>
      <c r="AU1445" s="38"/>
      <c r="AV1445" s="38"/>
      <c r="AW1445" s="38"/>
      <c r="AX1445" s="38"/>
      <c r="AY1445" s="38"/>
      <c r="AZ1445" s="38"/>
      <c r="BA1445" s="38"/>
      <c r="BB1445" s="38"/>
      <c r="BC1445" s="38"/>
      <c r="BD1445" s="38"/>
      <c r="BE1445" s="38"/>
      <c r="BF1445" s="38"/>
      <c r="BG1445" s="38"/>
      <c r="BH1445" s="38"/>
      <c r="BI1445" s="38"/>
      <c r="BJ1445" s="38"/>
      <c r="BK1445" s="38"/>
      <c r="BL1445" s="38"/>
      <c r="BM1445" s="38"/>
      <c r="BN1445" s="38"/>
      <c r="BO1445" s="38"/>
      <c r="BP1445" s="38"/>
      <c r="BQ1445" s="38"/>
    </row>
    <row r="1446">
      <c r="A1446" s="87" t="s">
        <v>4228</v>
      </c>
      <c r="B1446" s="59">
        <v>43424.0</v>
      </c>
      <c r="C1446" s="79">
        <v>43282.0</v>
      </c>
      <c r="D1446" s="60" t="s">
        <v>637</v>
      </c>
      <c r="E1446" s="58" t="s">
        <v>41</v>
      </c>
      <c r="F1446" s="58">
        <v>1.0</v>
      </c>
      <c r="G1446" s="58" t="s">
        <v>32</v>
      </c>
      <c r="H1446" s="33">
        <f>if(G1446="Unknown",1,G1446)</f>
        <v>1</v>
      </c>
      <c r="I1446" s="58" t="s">
        <v>33</v>
      </c>
      <c r="J1446" s="58" t="s">
        <v>111</v>
      </c>
      <c r="K1446" s="58">
        <v>2.0</v>
      </c>
      <c r="L1446" s="58" t="s">
        <v>69</v>
      </c>
      <c r="M1446" s="61" t="s">
        <v>4229</v>
      </c>
      <c r="N1446" s="80"/>
      <c r="O1446" s="88" t="str">
        <f>hyperlink("https://bad-boys.us/?q=ND-CA/3:18-cr-00230", "ND-CA 3:18-cr-00230")</f>
        <v>ND-CA 3:18-cr-00230</v>
      </c>
      <c r="P1446" s="88" t="s">
        <v>4230</v>
      </c>
      <c r="Q1446" s="84">
        <v>1.0</v>
      </c>
      <c r="R1446" s="62"/>
      <c r="S1446" s="37" t="str">
        <f>IFERROR(__xludf.DUMMYFUNCTION("if(not(iserror(index(split(C1446, "" ""),2))), index(split(C1446, "" ""),1),"""")"),"July,")</f>
        <v>July,</v>
      </c>
      <c r="T1446" s="38">
        <f>IFERROR(__xludf.DUMMYFUNCTION("if(S1446="""",C1446,if(not(iserror(index(split(C1446, "" ""),3))), index(split(C1446, "" ""),3),index(split(C1446, "" ""),2)))"),2018.0)</f>
        <v>2018</v>
      </c>
      <c r="U1446" s="38" t="b">
        <f t="shared" si="216"/>
        <v>0</v>
      </c>
      <c r="V1446" s="38"/>
      <c r="W1446" s="40"/>
      <c r="X1446" s="40"/>
      <c r="Y1446" s="40"/>
      <c r="Z1446" s="38"/>
      <c r="AA1446" s="38"/>
      <c r="AB1446" s="38"/>
      <c r="AC1446" s="38"/>
      <c r="AD1446" s="38"/>
      <c r="AE1446" s="38"/>
      <c r="AF1446" s="38"/>
      <c r="AG1446" s="38"/>
      <c r="AH1446" s="38"/>
      <c r="AI1446" s="38"/>
      <c r="AJ1446" s="38"/>
      <c r="AK1446" s="38"/>
      <c r="AL1446" s="38"/>
      <c r="AM1446" s="38"/>
      <c r="AN1446" s="38"/>
      <c r="AO1446" s="38"/>
      <c r="AP1446" s="38"/>
      <c r="AQ1446" s="38"/>
      <c r="AR1446" s="38"/>
      <c r="AS1446" s="38"/>
      <c r="AT1446" s="38"/>
      <c r="AU1446" s="38"/>
      <c r="AV1446" s="38"/>
      <c r="AW1446" s="38"/>
      <c r="AX1446" s="38"/>
      <c r="AY1446" s="38"/>
      <c r="AZ1446" s="38"/>
      <c r="BA1446" s="38"/>
      <c r="BB1446" s="38"/>
      <c r="BC1446" s="38"/>
      <c r="BD1446" s="38"/>
      <c r="BE1446" s="38"/>
      <c r="BF1446" s="38"/>
      <c r="BG1446" s="38"/>
      <c r="BH1446" s="38"/>
      <c r="BI1446" s="38"/>
      <c r="BJ1446" s="38"/>
      <c r="BK1446" s="38"/>
      <c r="BL1446" s="38"/>
      <c r="BM1446" s="38"/>
      <c r="BN1446" s="38"/>
      <c r="BO1446" s="38"/>
      <c r="BP1446" s="38"/>
      <c r="BQ1446" s="38"/>
    </row>
    <row r="1447">
      <c r="A1447" s="207" t="s">
        <v>4231</v>
      </c>
      <c r="B1447" s="48">
        <v>43504.0</v>
      </c>
      <c r="C1447" s="89">
        <v>43282.0</v>
      </c>
      <c r="D1447" s="49" t="s">
        <v>637</v>
      </c>
      <c r="E1447" s="47" t="s">
        <v>41</v>
      </c>
      <c r="F1447" s="47">
        <v>1.0</v>
      </c>
      <c r="G1447" s="47">
        <v>1.0</v>
      </c>
      <c r="H1447" s="63">
        <v>1.0</v>
      </c>
      <c r="I1447" s="47" t="s">
        <v>33</v>
      </c>
      <c r="J1447" s="47" t="s">
        <v>179</v>
      </c>
      <c r="K1447" s="47" t="s">
        <v>32</v>
      </c>
      <c r="L1447" s="47" t="s">
        <v>76</v>
      </c>
      <c r="M1447" s="235" t="s">
        <v>4232</v>
      </c>
      <c r="N1447" s="52"/>
      <c r="O1447" s="53" t="str">
        <f>hyperlink("https://bad-boys.us/?q=ED-VA/1:18-cr-00345", "ED-VA 1:18-cr-00345")</f>
        <v>ED-VA 1:18-cr-00345</v>
      </c>
      <c r="P1447" s="54" t="s">
        <v>4233</v>
      </c>
      <c r="Q1447" s="47">
        <v>1.0</v>
      </c>
      <c r="R1447" s="55"/>
      <c r="S1447" s="37" t="str">
        <f>IFERROR(__xludf.DUMMYFUNCTION("if(not(iserror(index(split(C1447, "" ""),2))), index(split(C1447, "" ""),1),"""")"),"July,")</f>
        <v>July,</v>
      </c>
      <c r="T1447" s="38">
        <f>IFERROR(__xludf.DUMMYFUNCTION("if(S1447="""",C1447,if(not(iserror(index(split(C1447, "" ""),3))), index(split(C1447, "" ""),3),index(split(C1447, "" ""),2)))"),2018.0)</f>
        <v>2018</v>
      </c>
      <c r="U1447" s="38" t="b">
        <f t="shared" si="216"/>
        <v>0</v>
      </c>
      <c r="V1447" s="38" t="s">
        <v>33</v>
      </c>
      <c r="W1447" s="40"/>
      <c r="X1447" s="40"/>
      <c r="Y1447" s="40"/>
      <c r="Z1447" s="38"/>
      <c r="AA1447" s="38"/>
      <c r="AB1447" s="38"/>
      <c r="AC1447" s="38"/>
      <c r="AD1447" s="38"/>
      <c r="AE1447" s="38"/>
      <c r="AF1447" s="38"/>
      <c r="AG1447" s="38"/>
      <c r="AH1447" s="38"/>
      <c r="AI1447" s="38"/>
      <c r="AJ1447" s="38"/>
      <c r="AK1447" s="38"/>
      <c r="AL1447" s="38"/>
      <c r="AM1447" s="38"/>
      <c r="AN1447" s="38"/>
      <c r="AO1447" s="38"/>
      <c r="AP1447" s="38"/>
      <c r="AQ1447" s="38"/>
      <c r="AR1447" s="38"/>
      <c r="AS1447" s="38"/>
      <c r="AT1447" s="38"/>
      <c r="AU1447" s="38"/>
      <c r="AV1447" s="38"/>
      <c r="AW1447" s="38"/>
      <c r="AX1447" s="38"/>
      <c r="AY1447" s="38"/>
      <c r="AZ1447" s="38"/>
      <c r="BA1447" s="38"/>
      <c r="BB1447" s="38"/>
      <c r="BC1447" s="38"/>
      <c r="BD1447" s="38"/>
      <c r="BE1447" s="38"/>
      <c r="BF1447" s="38"/>
      <c r="BG1447" s="38"/>
      <c r="BH1447" s="38"/>
      <c r="BI1447" s="38"/>
      <c r="BJ1447" s="38"/>
      <c r="BK1447" s="38"/>
      <c r="BL1447" s="38"/>
      <c r="BM1447" s="38"/>
      <c r="BN1447" s="38"/>
      <c r="BO1447" s="38"/>
      <c r="BP1447" s="38"/>
      <c r="BQ1447" s="38"/>
    </row>
    <row r="1448">
      <c r="A1448" s="207" t="s">
        <v>4234</v>
      </c>
      <c r="B1448" s="48"/>
      <c r="C1448" s="89">
        <v>43282.0</v>
      </c>
      <c r="D1448" s="49"/>
      <c r="E1448" s="47" t="s">
        <v>41</v>
      </c>
      <c r="F1448" s="47">
        <v>1.0</v>
      </c>
      <c r="G1448" s="47" t="s">
        <v>32</v>
      </c>
      <c r="H1448" s="63">
        <v>1.0</v>
      </c>
      <c r="I1448" s="47" t="s">
        <v>33</v>
      </c>
      <c r="J1448" s="47" t="s">
        <v>124</v>
      </c>
      <c r="K1448" s="47"/>
      <c r="L1448" s="47" t="s">
        <v>99</v>
      </c>
      <c r="M1448" s="235" t="s">
        <v>4235</v>
      </c>
      <c r="N1448" s="52"/>
      <c r="O1448" s="53" t="str">
        <f>hyperlink("https://bad-boys.us/?q=ND-OH/3:18-cr-00359", "ND-OH 3:18-cr-00359")</f>
        <v>ND-OH 3:18-cr-00359</v>
      </c>
      <c r="P1448" s="54" t="s">
        <v>4236</v>
      </c>
      <c r="Q1448" s="47">
        <v>1.0</v>
      </c>
      <c r="R1448" s="55"/>
      <c r="S1448" s="37" t="str">
        <f>IFERROR(__xludf.DUMMYFUNCTION("if(not(iserror(index(split(C1448, "" ""),2))), index(split(C1448, "" ""),1),"""")"),"July,")</f>
        <v>July,</v>
      </c>
      <c r="T1448" s="38">
        <f>IFERROR(__xludf.DUMMYFUNCTION("if(S1448="""",C1448,if(not(iserror(index(split(C1448, "" ""),3))), index(split(C1448, "" ""),3),index(split(C1448, "" ""),2)))"),2018.0)</f>
        <v>2018</v>
      </c>
      <c r="U1448" s="38" t="b">
        <f t="shared" si="216"/>
        <v>0</v>
      </c>
      <c r="V1448" s="38"/>
      <c r="W1448" s="40"/>
      <c r="X1448" s="40"/>
      <c r="Y1448" s="40"/>
      <c r="Z1448" s="38"/>
      <c r="AA1448" s="38"/>
      <c r="AB1448" s="38"/>
      <c r="AC1448" s="38"/>
      <c r="AD1448" s="38"/>
      <c r="AE1448" s="38"/>
      <c r="AF1448" s="38"/>
      <c r="AG1448" s="38"/>
      <c r="AH1448" s="38"/>
      <c r="AI1448" s="38"/>
      <c r="AJ1448" s="38"/>
      <c r="AK1448" s="38"/>
      <c r="AL1448" s="38"/>
      <c r="AM1448" s="38"/>
      <c r="AN1448" s="38"/>
      <c r="AO1448" s="38"/>
      <c r="AP1448" s="38"/>
      <c r="AQ1448" s="38"/>
      <c r="AR1448" s="38"/>
      <c r="AS1448" s="38"/>
      <c r="AT1448" s="38"/>
      <c r="AU1448" s="38"/>
      <c r="AV1448" s="38"/>
      <c r="AW1448" s="38"/>
      <c r="AX1448" s="38"/>
      <c r="AY1448" s="38"/>
      <c r="AZ1448" s="38"/>
      <c r="BA1448" s="38"/>
      <c r="BB1448" s="38"/>
      <c r="BC1448" s="38"/>
      <c r="BD1448" s="38"/>
      <c r="BE1448" s="38"/>
      <c r="BF1448" s="38"/>
      <c r="BG1448" s="38"/>
      <c r="BH1448" s="38"/>
      <c r="BI1448" s="38"/>
      <c r="BJ1448" s="38"/>
      <c r="BK1448" s="38"/>
      <c r="BL1448" s="38"/>
      <c r="BM1448" s="38"/>
      <c r="BN1448" s="38"/>
      <c r="BO1448" s="38"/>
      <c r="BP1448" s="38"/>
      <c r="BQ1448" s="38"/>
    </row>
    <row r="1449">
      <c r="A1449" s="80" t="s">
        <v>4237</v>
      </c>
      <c r="B1449" s="59"/>
      <c r="C1449" s="79">
        <v>43282.0</v>
      </c>
      <c r="D1449" s="60"/>
      <c r="E1449" s="58" t="s">
        <v>41</v>
      </c>
      <c r="F1449" s="58">
        <v>1.0</v>
      </c>
      <c r="G1449" s="58" t="s">
        <v>32</v>
      </c>
      <c r="H1449" s="43">
        <v>1.0</v>
      </c>
      <c r="I1449" s="58" t="s">
        <v>33</v>
      </c>
      <c r="J1449" s="58" t="s">
        <v>115</v>
      </c>
      <c r="K1449" s="58"/>
      <c r="L1449" s="58" t="s">
        <v>119</v>
      </c>
      <c r="M1449" s="106" t="s">
        <v>4238</v>
      </c>
      <c r="N1449" s="80"/>
      <c r="O1449" s="83" t="str">
        <f>hyperlink("https://bad-boys.us/?q=WD-PA/2:19-cr-00050", "WD-PA 2:19-cr-00050")</f>
        <v>WD-PA 2:19-cr-00050</v>
      </c>
      <c r="P1449" s="88" t="s">
        <v>4239</v>
      </c>
      <c r="Q1449" s="58">
        <v>1.0</v>
      </c>
      <c r="R1449" s="62"/>
      <c r="S1449" s="37" t="str">
        <f>IFERROR(__xludf.DUMMYFUNCTION("if(not(iserror(index(split(C1449, "" ""),2))), index(split(C1449, "" ""),1),"""")"),"July,")</f>
        <v>July,</v>
      </c>
      <c r="T1449" s="38">
        <f>IFERROR(__xludf.DUMMYFUNCTION("if(S1449="""",C1449,if(not(iserror(index(split(C1449, "" ""),3))), index(split(C1449, "" ""),3),index(split(C1449, "" ""),2)))"),2018.0)</f>
        <v>2018</v>
      </c>
      <c r="U1449" s="38" t="b">
        <f t="shared" si="216"/>
        <v>0</v>
      </c>
      <c r="V1449" s="38" t="s">
        <v>33</v>
      </c>
      <c r="W1449" s="40"/>
      <c r="X1449" s="40"/>
      <c r="Y1449" s="40"/>
      <c r="Z1449" s="38"/>
      <c r="AA1449" s="38"/>
      <c r="AB1449" s="38"/>
      <c r="AC1449" s="38"/>
      <c r="AD1449" s="38"/>
      <c r="AE1449" s="38"/>
      <c r="AF1449" s="38"/>
      <c r="AG1449" s="38"/>
      <c r="AH1449" s="38"/>
      <c r="AI1449" s="38"/>
      <c r="AJ1449" s="38"/>
      <c r="AK1449" s="38"/>
      <c r="AL1449" s="38"/>
      <c r="AM1449" s="38"/>
      <c r="AN1449" s="38"/>
      <c r="AO1449" s="38"/>
      <c r="AP1449" s="38"/>
      <c r="AQ1449" s="38"/>
      <c r="AR1449" s="38"/>
      <c r="AS1449" s="38"/>
      <c r="AT1449" s="38"/>
      <c r="AU1449" s="38"/>
      <c r="AV1449" s="38"/>
      <c r="AW1449" s="38"/>
      <c r="AX1449" s="38"/>
      <c r="AY1449" s="38"/>
      <c r="AZ1449" s="38"/>
      <c r="BA1449" s="38"/>
      <c r="BB1449" s="38"/>
      <c r="BC1449" s="38"/>
      <c r="BD1449" s="38"/>
      <c r="BE1449" s="38"/>
      <c r="BF1449" s="38"/>
      <c r="BG1449" s="38"/>
      <c r="BH1449" s="38"/>
      <c r="BI1449" s="38"/>
      <c r="BJ1449" s="38"/>
      <c r="BK1449" s="38"/>
      <c r="BL1449" s="38"/>
      <c r="BM1449" s="38"/>
      <c r="BN1449" s="38"/>
      <c r="BO1449" s="38"/>
      <c r="BP1449" s="38"/>
      <c r="BQ1449" s="38"/>
    </row>
    <row r="1450">
      <c r="A1450" s="58" t="s">
        <v>4240</v>
      </c>
      <c r="B1450" s="59">
        <v>43389.0</v>
      </c>
      <c r="C1450" s="79">
        <v>43282.0</v>
      </c>
      <c r="D1450" s="60" t="s">
        <v>4241</v>
      </c>
      <c r="E1450" s="58" t="s">
        <v>31</v>
      </c>
      <c r="F1450" s="58">
        <v>2.0</v>
      </c>
      <c r="G1450" s="58" t="s">
        <v>32</v>
      </c>
      <c r="H1450" s="33">
        <f t="shared" ref="H1450:H1456" si="218">if(G1450="Unknown",1,G1450)</f>
        <v>1</v>
      </c>
      <c r="I1450" s="58" t="s">
        <v>33</v>
      </c>
      <c r="J1450" s="58" t="s">
        <v>115</v>
      </c>
      <c r="K1450" s="58" t="s">
        <v>32</v>
      </c>
      <c r="L1450" s="58" t="s">
        <v>790</v>
      </c>
      <c r="M1450" s="61" t="s">
        <v>4242</v>
      </c>
      <c r="N1450" s="80"/>
      <c r="O1450" s="62"/>
      <c r="P1450" s="62"/>
      <c r="Q1450" s="62"/>
      <c r="R1450" s="62"/>
      <c r="S1450" s="37" t="str">
        <f>IFERROR(__xludf.DUMMYFUNCTION("if(not(iserror(index(split(C1450, "" ""),2))), index(split(C1450, "" ""),1),"""")"),"July,")</f>
        <v>July,</v>
      </c>
      <c r="T1450" s="38">
        <f>IFERROR(__xludf.DUMMYFUNCTION("if(S1450="""",C1450,if(not(iserror(index(split(C1450, "" ""),3))), index(split(C1450, "" ""),3),index(split(C1450, "" ""),2)))"),2018.0)</f>
        <v>2018</v>
      </c>
      <c r="U1450" s="38" t="b">
        <f t="shared" si="216"/>
        <v>0</v>
      </c>
      <c r="V1450" s="38"/>
      <c r="W1450" s="40"/>
      <c r="X1450" s="40"/>
      <c r="Y1450" s="40"/>
      <c r="Z1450" s="38"/>
      <c r="AA1450" s="38"/>
      <c r="AB1450" s="38"/>
      <c r="AC1450" s="38"/>
      <c r="AD1450" s="38"/>
      <c r="AE1450" s="38"/>
      <c r="AF1450" s="38"/>
      <c r="AG1450" s="38"/>
      <c r="AH1450" s="38"/>
      <c r="AI1450" s="38"/>
      <c r="AJ1450" s="38"/>
      <c r="AK1450" s="38"/>
      <c r="AL1450" s="38"/>
      <c r="AM1450" s="38"/>
      <c r="AN1450" s="38"/>
      <c r="AO1450" s="38"/>
      <c r="AP1450" s="38"/>
      <c r="AQ1450" s="38"/>
      <c r="AR1450" s="38"/>
      <c r="AS1450" s="38"/>
      <c r="AT1450" s="38"/>
      <c r="AU1450" s="38"/>
      <c r="AV1450" s="38"/>
      <c r="AW1450" s="38"/>
      <c r="AX1450" s="38"/>
      <c r="AY1450" s="38"/>
      <c r="AZ1450" s="38"/>
      <c r="BA1450" s="38"/>
      <c r="BB1450" s="38"/>
      <c r="BC1450" s="38"/>
      <c r="BD1450" s="38"/>
      <c r="BE1450" s="38"/>
      <c r="BF1450" s="38"/>
      <c r="BG1450" s="38"/>
      <c r="BH1450" s="38"/>
      <c r="BI1450" s="38"/>
      <c r="BJ1450" s="38"/>
      <c r="BK1450" s="38"/>
      <c r="BL1450" s="38"/>
      <c r="BM1450" s="38"/>
      <c r="BN1450" s="38"/>
      <c r="BO1450" s="38"/>
      <c r="BP1450" s="38"/>
      <c r="BQ1450" s="38"/>
    </row>
    <row r="1451">
      <c r="A1451" s="78" t="s">
        <v>4243</v>
      </c>
      <c r="B1451" s="59">
        <v>43283.0</v>
      </c>
      <c r="C1451" s="59">
        <v>43283.0</v>
      </c>
      <c r="D1451" s="60" t="s">
        <v>4244</v>
      </c>
      <c r="E1451" s="58" t="s">
        <v>31</v>
      </c>
      <c r="F1451" s="58">
        <v>2.0</v>
      </c>
      <c r="G1451" s="58" t="s">
        <v>32</v>
      </c>
      <c r="H1451" s="33">
        <f t="shared" si="218"/>
        <v>1</v>
      </c>
      <c r="I1451" s="58" t="s">
        <v>33</v>
      </c>
      <c r="J1451" s="58" t="s">
        <v>147</v>
      </c>
      <c r="K1451" s="58">
        <v>1.0</v>
      </c>
      <c r="L1451" s="58" t="s">
        <v>99</v>
      </c>
      <c r="M1451" s="61" t="s">
        <v>4245</v>
      </c>
      <c r="N1451" s="77"/>
      <c r="O1451" s="62"/>
      <c r="P1451" s="62"/>
      <c r="Q1451" s="62"/>
      <c r="R1451" s="62"/>
      <c r="S1451" s="37" t="str">
        <f>IFERROR(__xludf.DUMMYFUNCTION("if(not(iserror(index(split(C1451, "" ""),2))), index(split(C1451, "" ""),1),"""")"),"July")</f>
        <v>July</v>
      </c>
      <c r="T1451" s="38">
        <f>IFERROR(__xludf.DUMMYFUNCTION("if(S1451="""",C1451,if(not(iserror(index(split(C1451, "" ""),3))), index(split(C1451, "" ""),3),index(split(C1451, "" ""),2)))"),2018.0)</f>
        <v>2018</v>
      </c>
      <c r="U1451" s="38" t="b">
        <f t="shared" si="216"/>
        <v>0</v>
      </c>
      <c r="V1451" s="38"/>
      <c r="W1451" s="40"/>
      <c r="X1451" s="40"/>
      <c r="Y1451" s="40"/>
      <c r="Z1451" s="38"/>
      <c r="AA1451" s="38"/>
      <c r="AB1451" s="38"/>
      <c r="AC1451" s="38"/>
      <c r="AD1451" s="38"/>
      <c r="AE1451" s="38"/>
      <c r="AF1451" s="38"/>
      <c r="AG1451" s="38"/>
      <c r="AH1451" s="38"/>
      <c r="AI1451" s="38"/>
      <c r="AJ1451" s="38"/>
      <c r="AK1451" s="38"/>
      <c r="AL1451" s="38"/>
      <c r="AM1451" s="38"/>
      <c r="AN1451" s="38"/>
      <c r="AO1451" s="38"/>
      <c r="AP1451" s="38"/>
      <c r="AQ1451" s="38"/>
      <c r="AR1451" s="38"/>
      <c r="AS1451" s="38"/>
      <c r="AT1451" s="38"/>
      <c r="AU1451" s="38"/>
      <c r="AV1451" s="38"/>
      <c r="AW1451" s="38"/>
      <c r="AX1451" s="38"/>
      <c r="AY1451" s="38"/>
      <c r="AZ1451" s="38"/>
      <c r="BA1451" s="38"/>
      <c r="BB1451" s="38"/>
      <c r="BC1451" s="38"/>
      <c r="BD1451" s="38"/>
      <c r="BE1451" s="38"/>
      <c r="BF1451" s="38"/>
      <c r="BG1451" s="38"/>
      <c r="BH1451" s="38"/>
      <c r="BI1451" s="38"/>
      <c r="BJ1451" s="38"/>
      <c r="BK1451" s="38"/>
      <c r="BL1451" s="38"/>
      <c r="BM1451" s="38"/>
      <c r="BN1451" s="38"/>
      <c r="BO1451" s="38"/>
      <c r="BP1451" s="38"/>
      <c r="BQ1451" s="38"/>
    </row>
    <row r="1452">
      <c r="A1452" s="78" t="s">
        <v>4246</v>
      </c>
      <c r="B1452" s="59">
        <v>43286.0</v>
      </c>
      <c r="C1452" s="59">
        <v>43283.0</v>
      </c>
      <c r="D1452" s="60" t="s">
        <v>4244</v>
      </c>
      <c r="E1452" s="58" t="s">
        <v>31</v>
      </c>
      <c r="F1452" s="58">
        <v>1.0</v>
      </c>
      <c r="G1452" s="58" t="s">
        <v>32</v>
      </c>
      <c r="H1452" s="33">
        <f t="shared" si="218"/>
        <v>1</v>
      </c>
      <c r="I1452" s="58" t="s">
        <v>33</v>
      </c>
      <c r="J1452" s="58" t="s">
        <v>111</v>
      </c>
      <c r="K1452" s="58">
        <v>8.0</v>
      </c>
      <c r="L1452" s="58" t="s">
        <v>2383</v>
      </c>
      <c r="M1452" s="61" t="s">
        <v>4247</v>
      </c>
      <c r="N1452" s="77"/>
      <c r="O1452" s="62"/>
      <c r="P1452" s="62"/>
      <c r="Q1452" s="62"/>
      <c r="R1452" s="62"/>
      <c r="S1452" s="37" t="str">
        <f>IFERROR(__xludf.DUMMYFUNCTION("if(not(iserror(index(split(C1452, "" ""),2))), index(split(C1452, "" ""),1),"""")"),"July")</f>
        <v>July</v>
      </c>
      <c r="T1452" s="38">
        <f>IFERROR(__xludf.DUMMYFUNCTION("if(S1452="""",C1452,if(not(iserror(index(split(C1452, "" ""),3))), index(split(C1452, "" ""),3),index(split(C1452, "" ""),2)))"),2018.0)</f>
        <v>2018</v>
      </c>
      <c r="U1452" s="38" t="b">
        <f t="shared" si="216"/>
        <v>0</v>
      </c>
      <c r="V1452" s="38"/>
      <c r="W1452" s="40"/>
      <c r="X1452" s="40"/>
      <c r="Y1452" s="40"/>
      <c r="Z1452" s="38"/>
      <c r="AA1452" s="38"/>
      <c r="AB1452" s="38"/>
      <c r="AC1452" s="38"/>
      <c r="AD1452" s="38"/>
      <c r="AE1452" s="38"/>
      <c r="AF1452" s="38"/>
      <c r="AG1452" s="38"/>
      <c r="AH1452" s="38"/>
      <c r="AI1452" s="38"/>
      <c r="AJ1452" s="38"/>
      <c r="AK1452" s="38"/>
      <c r="AL1452" s="38"/>
      <c r="AM1452" s="38"/>
      <c r="AN1452" s="38"/>
      <c r="AO1452" s="38"/>
      <c r="AP1452" s="38"/>
      <c r="AQ1452" s="38"/>
      <c r="AR1452" s="38"/>
      <c r="AS1452" s="38"/>
      <c r="AT1452" s="38"/>
      <c r="AU1452" s="38"/>
      <c r="AV1452" s="38"/>
      <c r="AW1452" s="38"/>
      <c r="AX1452" s="38"/>
      <c r="AY1452" s="38"/>
      <c r="AZ1452" s="38"/>
      <c r="BA1452" s="38"/>
      <c r="BB1452" s="38"/>
      <c r="BC1452" s="38"/>
      <c r="BD1452" s="38"/>
      <c r="BE1452" s="38"/>
      <c r="BF1452" s="38"/>
      <c r="BG1452" s="38"/>
      <c r="BH1452" s="38"/>
      <c r="BI1452" s="38"/>
      <c r="BJ1452" s="38"/>
      <c r="BK1452" s="38"/>
      <c r="BL1452" s="38"/>
      <c r="BM1452" s="38"/>
      <c r="BN1452" s="38"/>
      <c r="BO1452" s="38"/>
      <c r="BP1452" s="38"/>
      <c r="BQ1452" s="38"/>
    </row>
    <row r="1453">
      <c r="A1453" s="78" t="s">
        <v>239</v>
      </c>
      <c r="B1453" s="59">
        <v>43286.0</v>
      </c>
      <c r="C1453" s="59">
        <v>43283.0</v>
      </c>
      <c r="D1453" s="60" t="s">
        <v>4244</v>
      </c>
      <c r="E1453" s="58" t="s">
        <v>41</v>
      </c>
      <c r="F1453" s="58">
        <v>1.0</v>
      </c>
      <c r="G1453" s="58">
        <v>1.0</v>
      </c>
      <c r="H1453" s="33">
        <f t="shared" si="218"/>
        <v>1</v>
      </c>
      <c r="I1453" s="58" t="s">
        <v>33</v>
      </c>
      <c r="J1453" s="58" t="s">
        <v>241</v>
      </c>
      <c r="K1453" s="58">
        <v>1.0</v>
      </c>
      <c r="L1453" s="58" t="s">
        <v>194</v>
      </c>
      <c r="M1453" s="61" t="s">
        <v>4248</v>
      </c>
      <c r="N1453" s="77"/>
      <c r="O1453" s="58"/>
      <c r="P1453" s="58"/>
      <c r="Q1453" s="84"/>
      <c r="R1453" s="62"/>
      <c r="S1453" s="37" t="str">
        <f>IFERROR(__xludf.DUMMYFUNCTION("if(not(iserror(index(split(C1453, "" ""),2))), index(split(C1453, "" ""),1),"""")"),"July")</f>
        <v>July</v>
      </c>
      <c r="T1453" s="38">
        <f>IFERROR(__xludf.DUMMYFUNCTION("if(S1453="""",C1453,if(not(iserror(index(split(C1453, "" ""),3))), index(split(C1453, "" ""),3),index(split(C1453, "" ""),2)))"),2018.0)</f>
        <v>2018</v>
      </c>
      <c r="U1453" s="38" t="b">
        <f t="shared" si="216"/>
        <v>1</v>
      </c>
      <c r="V1453" s="38"/>
      <c r="W1453" s="40"/>
      <c r="X1453" s="40"/>
      <c r="Y1453" s="40"/>
      <c r="Z1453" s="38"/>
      <c r="AA1453" s="38"/>
      <c r="AB1453" s="38"/>
      <c r="AC1453" s="38"/>
      <c r="AD1453" s="38"/>
      <c r="AE1453" s="38"/>
      <c r="AF1453" s="38"/>
      <c r="AG1453" s="38"/>
      <c r="AH1453" s="38"/>
      <c r="AI1453" s="38"/>
      <c r="AJ1453" s="38"/>
      <c r="AK1453" s="38"/>
      <c r="AL1453" s="38"/>
      <c r="AM1453" s="38"/>
      <c r="AN1453" s="38"/>
      <c r="AO1453" s="38"/>
      <c r="AP1453" s="38"/>
      <c r="AQ1453" s="38"/>
      <c r="AR1453" s="38"/>
      <c r="AS1453" s="38"/>
      <c r="AT1453" s="38"/>
      <c r="AU1453" s="38"/>
      <c r="AV1453" s="38"/>
      <c r="AW1453" s="38"/>
      <c r="AX1453" s="38"/>
      <c r="AY1453" s="38"/>
      <c r="AZ1453" s="38"/>
      <c r="BA1453" s="38"/>
      <c r="BB1453" s="38"/>
      <c r="BC1453" s="38"/>
      <c r="BD1453" s="38"/>
      <c r="BE1453" s="38"/>
      <c r="BF1453" s="38"/>
      <c r="BG1453" s="38"/>
      <c r="BH1453" s="38"/>
      <c r="BI1453" s="38"/>
      <c r="BJ1453" s="38"/>
      <c r="BK1453" s="38"/>
      <c r="BL1453" s="38"/>
      <c r="BM1453" s="38"/>
      <c r="BN1453" s="38"/>
      <c r="BO1453" s="38"/>
      <c r="BP1453" s="38"/>
      <c r="BQ1453" s="38"/>
    </row>
    <row r="1454">
      <c r="A1454" s="58" t="s">
        <v>4249</v>
      </c>
      <c r="B1454" s="59">
        <v>43296.0</v>
      </c>
      <c r="C1454" s="59">
        <v>43283.0</v>
      </c>
      <c r="D1454" s="60" t="s">
        <v>4244</v>
      </c>
      <c r="E1454" s="58" t="s">
        <v>31</v>
      </c>
      <c r="F1454" s="58">
        <v>1.0</v>
      </c>
      <c r="G1454" s="58" t="s">
        <v>32</v>
      </c>
      <c r="H1454" s="33">
        <f t="shared" si="218"/>
        <v>1</v>
      </c>
      <c r="I1454" s="58" t="s">
        <v>33</v>
      </c>
      <c r="J1454" s="58" t="s">
        <v>124</v>
      </c>
      <c r="K1454" s="58">
        <v>3.0</v>
      </c>
      <c r="L1454" s="58" t="s">
        <v>119</v>
      </c>
      <c r="M1454" s="120" t="s">
        <v>4250</v>
      </c>
      <c r="N1454" s="61" t="s">
        <v>4251</v>
      </c>
      <c r="O1454" s="83" t="str">
        <f>hyperlink("https://bad-boys.us/?q=ND-OH/5:18-cr-00361", "ND-OH 5:18-cr-00361")</f>
        <v>ND-OH 5:18-cr-00361</v>
      </c>
      <c r="P1454" s="88" t="s">
        <v>4252</v>
      </c>
      <c r="Q1454" s="58">
        <v>1.0</v>
      </c>
      <c r="R1454" s="62"/>
      <c r="S1454" s="37" t="str">
        <f>IFERROR(__xludf.DUMMYFUNCTION("if(not(iserror(index(split(C1454, "" ""),2))), index(split(C1454, "" ""),1),"""")"),"July")</f>
        <v>July</v>
      </c>
      <c r="T1454" s="38">
        <f>IFERROR(__xludf.DUMMYFUNCTION("if(S1454="""",C1454,if(not(iserror(index(split(C1454, "" ""),3))), index(split(C1454, "" ""),3),index(split(C1454, "" ""),2)))"),2018.0)</f>
        <v>2018</v>
      </c>
      <c r="U1454" s="38" t="b">
        <f t="shared" si="216"/>
        <v>0</v>
      </c>
      <c r="V1454" s="38" t="s">
        <v>33</v>
      </c>
      <c r="W1454" s="39" t="s">
        <v>4253</v>
      </c>
      <c r="X1454" s="39" t="s">
        <v>4254</v>
      </c>
      <c r="Y1454" s="40"/>
      <c r="Z1454" s="38"/>
      <c r="AA1454" s="38"/>
      <c r="AB1454" s="38"/>
      <c r="AC1454" s="38"/>
      <c r="AD1454" s="38"/>
      <c r="AE1454" s="38"/>
      <c r="AF1454" s="38"/>
      <c r="AG1454" s="38"/>
      <c r="AH1454" s="38"/>
      <c r="AI1454" s="38"/>
      <c r="AJ1454" s="38"/>
      <c r="AK1454" s="38"/>
      <c r="AL1454" s="38"/>
      <c r="AM1454" s="38"/>
      <c r="AN1454" s="38"/>
      <c r="AO1454" s="38"/>
      <c r="AP1454" s="38"/>
      <c r="AQ1454" s="38"/>
      <c r="AR1454" s="38"/>
      <c r="AS1454" s="38"/>
      <c r="AT1454" s="38"/>
      <c r="AU1454" s="38"/>
      <c r="AV1454" s="38"/>
      <c r="AW1454" s="38"/>
      <c r="AX1454" s="38"/>
      <c r="AY1454" s="38"/>
      <c r="AZ1454" s="38"/>
      <c r="BA1454" s="38"/>
      <c r="BB1454" s="38"/>
      <c r="BC1454" s="38"/>
      <c r="BD1454" s="38"/>
      <c r="BE1454" s="38"/>
      <c r="BF1454" s="38"/>
      <c r="BG1454" s="38"/>
      <c r="BH1454" s="38"/>
      <c r="BI1454" s="38"/>
      <c r="BJ1454" s="38"/>
      <c r="BK1454" s="38"/>
      <c r="BL1454" s="38"/>
      <c r="BM1454" s="38"/>
      <c r="BN1454" s="38"/>
      <c r="BO1454" s="38"/>
      <c r="BP1454" s="38"/>
      <c r="BQ1454" s="38"/>
    </row>
    <row r="1455">
      <c r="A1455" s="78" t="s">
        <v>4255</v>
      </c>
      <c r="B1455" s="59">
        <v>43286.0</v>
      </c>
      <c r="C1455" s="59">
        <v>43284.0</v>
      </c>
      <c r="D1455" s="60" t="s">
        <v>4256</v>
      </c>
      <c r="E1455" s="58" t="s">
        <v>41</v>
      </c>
      <c r="F1455" s="58">
        <v>1.0</v>
      </c>
      <c r="G1455" s="58" t="s">
        <v>32</v>
      </c>
      <c r="H1455" s="33">
        <f t="shared" si="218"/>
        <v>1</v>
      </c>
      <c r="I1455" s="58" t="s">
        <v>33</v>
      </c>
      <c r="J1455" s="58" t="s">
        <v>402</v>
      </c>
      <c r="K1455" s="58">
        <v>2.0</v>
      </c>
      <c r="L1455" s="58" t="s">
        <v>4257</v>
      </c>
      <c r="M1455" s="61" t="s">
        <v>4258</v>
      </c>
      <c r="N1455" s="61" t="s">
        <v>4259</v>
      </c>
      <c r="O1455" s="83" t="str">
        <f>hyperlink("https://bad-boys.us/?q=SD-IN/1:18-cr-00341", "SD-IN 1:18-cr-00341")</f>
        <v>SD-IN 1:18-cr-00341</v>
      </c>
      <c r="P1455" s="88" t="s">
        <v>4260</v>
      </c>
      <c r="Q1455" s="58">
        <v>1.0</v>
      </c>
      <c r="R1455" s="62"/>
      <c r="S1455" s="37" t="str">
        <f>IFERROR(__xludf.DUMMYFUNCTION("if(not(iserror(index(split(C1455, "" ""),2))), index(split(C1455, "" ""),1),"""")"),"July")</f>
        <v>July</v>
      </c>
      <c r="T1455" s="38">
        <f>IFERROR(__xludf.DUMMYFUNCTION("if(S1455="""",C1455,if(not(iserror(index(split(C1455, "" ""),3))), index(split(C1455, "" ""),3),index(split(C1455, "" ""),2)))"),2018.0)</f>
        <v>2018</v>
      </c>
      <c r="U1455" s="38" t="b">
        <f t="shared" si="216"/>
        <v>0</v>
      </c>
      <c r="V1455" s="38"/>
      <c r="W1455" s="40"/>
      <c r="X1455" s="40"/>
      <c r="Y1455" s="40"/>
      <c r="Z1455" s="38"/>
      <c r="AA1455" s="38"/>
      <c r="AB1455" s="38"/>
      <c r="AC1455" s="38"/>
      <c r="AD1455" s="38"/>
      <c r="AE1455" s="38"/>
      <c r="AF1455" s="38"/>
      <c r="AG1455" s="38"/>
      <c r="AH1455" s="38"/>
      <c r="AI1455" s="38"/>
      <c r="AJ1455" s="38"/>
      <c r="AK1455" s="38"/>
      <c r="AL1455" s="38"/>
      <c r="AM1455" s="38"/>
      <c r="AN1455" s="38"/>
      <c r="AO1455" s="38"/>
      <c r="AP1455" s="38"/>
      <c r="AQ1455" s="38"/>
      <c r="AR1455" s="38"/>
      <c r="AS1455" s="38"/>
      <c r="AT1455" s="38"/>
      <c r="AU1455" s="38"/>
      <c r="AV1455" s="38"/>
      <c r="AW1455" s="38"/>
      <c r="AX1455" s="38"/>
      <c r="AY1455" s="38"/>
      <c r="AZ1455" s="38"/>
      <c r="BA1455" s="38"/>
      <c r="BB1455" s="38"/>
      <c r="BC1455" s="38"/>
      <c r="BD1455" s="38"/>
      <c r="BE1455" s="38"/>
      <c r="BF1455" s="38"/>
      <c r="BG1455" s="38"/>
      <c r="BH1455" s="38"/>
      <c r="BI1455" s="38"/>
      <c r="BJ1455" s="38"/>
      <c r="BK1455" s="38"/>
      <c r="BL1455" s="38"/>
      <c r="BM1455" s="38"/>
      <c r="BN1455" s="38"/>
      <c r="BO1455" s="38"/>
      <c r="BP1455" s="38"/>
      <c r="BQ1455" s="38"/>
    </row>
    <row r="1456">
      <c r="A1456" s="78" t="s">
        <v>4261</v>
      </c>
      <c r="B1456" s="59">
        <v>43287.0</v>
      </c>
      <c r="C1456" s="59">
        <v>43284.0</v>
      </c>
      <c r="D1456" s="60" t="s">
        <v>4256</v>
      </c>
      <c r="E1456" s="58" t="s">
        <v>41</v>
      </c>
      <c r="F1456" s="58">
        <v>1.0</v>
      </c>
      <c r="G1456" s="58" t="s">
        <v>32</v>
      </c>
      <c r="H1456" s="33">
        <f t="shared" si="218"/>
        <v>1</v>
      </c>
      <c r="I1456" s="58" t="s">
        <v>33</v>
      </c>
      <c r="J1456" s="58" t="s">
        <v>193</v>
      </c>
      <c r="K1456" s="58">
        <v>3.0</v>
      </c>
      <c r="L1456" s="58" t="s">
        <v>119</v>
      </c>
      <c r="M1456" s="61" t="s">
        <v>4262</v>
      </c>
      <c r="N1456" s="77"/>
      <c r="O1456" s="83" t="str">
        <f>hyperlink("https://bad-boys.us/?q=D-NM/5:18-cr-03413", "D-NM 5:18-cr-03413")</f>
        <v>D-NM 5:18-cr-03413</v>
      </c>
      <c r="P1456" s="88" t="s">
        <v>4263</v>
      </c>
      <c r="Q1456" s="84">
        <v>1.0</v>
      </c>
      <c r="R1456" s="62"/>
      <c r="S1456" s="37" t="str">
        <f>IFERROR(__xludf.DUMMYFUNCTION("if(not(iserror(index(split(C1456, "" ""),2))), index(split(C1456, "" ""),1),"""")"),"July")</f>
        <v>July</v>
      </c>
      <c r="T1456" s="38">
        <f>IFERROR(__xludf.DUMMYFUNCTION("if(S1456="""",C1456,if(not(iserror(index(split(C1456, "" ""),3))), index(split(C1456, "" ""),3),index(split(C1456, "" ""),2)))"),2018.0)</f>
        <v>2018</v>
      </c>
      <c r="U1456" s="38" t="b">
        <f t="shared" si="216"/>
        <v>0</v>
      </c>
      <c r="V1456" s="38"/>
      <c r="W1456" s="40"/>
      <c r="X1456" s="40"/>
      <c r="Y1456" s="40"/>
      <c r="Z1456" s="38"/>
      <c r="AA1456" s="38"/>
      <c r="AB1456" s="38"/>
      <c r="AC1456" s="38"/>
      <c r="AD1456" s="38"/>
      <c r="AE1456" s="38"/>
      <c r="AF1456" s="38"/>
      <c r="AG1456" s="38"/>
      <c r="AH1456" s="38"/>
      <c r="AI1456" s="38"/>
      <c r="AJ1456" s="38"/>
      <c r="AK1456" s="38"/>
      <c r="AL1456" s="38"/>
      <c r="AM1456" s="38"/>
      <c r="AN1456" s="38"/>
      <c r="AO1456" s="38"/>
      <c r="AP1456" s="38"/>
      <c r="AQ1456" s="38"/>
      <c r="AR1456" s="38"/>
      <c r="AS1456" s="38"/>
      <c r="AT1456" s="38"/>
      <c r="AU1456" s="38"/>
      <c r="AV1456" s="38"/>
      <c r="AW1456" s="38"/>
      <c r="AX1456" s="38"/>
      <c r="AY1456" s="38"/>
      <c r="AZ1456" s="38"/>
      <c r="BA1456" s="38"/>
      <c r="BB1456" s="38"/>
      <c r="BC1456" s="38"/>
      <c r="BD1456" s="38"/>
      <c r="BE1456" s="38"/>
      <c r="BF1456" s="38"/>
      <c r="BG1456" s="38"/>
      <c r="BH1456" s="38"/>
      <c r="BI1456" s="38"/>
      <c r="BJ1456" s="38"/>
      <c r="BK1456" s="38"/>
      <c r="BL1456" s="38"/>
      <c r="BM1456" s="38"/>
      <c r="BN1456" s="38"/>
      <c r="BO1456" s="38"/>
      <c r="BP1456" s="38"/>
      <c r="BQ1456" s="38"/>
    </row>
    <row r="1457">
      <c r="A1457" s="78" t="s">
        <v>4264</v>
      </c>
      <c r="B1457" s="59"/>
      <c r="C1457" s="59">
        <v>43284.0</v>
      </c>
      <c r="D1457" s="60"/>
      <c r="E1457" s="58" t="s">
        <v>41</v>
      </c>
      <c r="F1457" s="58">
        <v>1.0</v>
      </c>
      <c r="G1457" s="58" t="s">
        <v>32</v>
      </c>
      <c r="H1457" s="43">
        <v>1.0</v>
      </c>
      <c r="I1457" s="58" t="s">
        <v>33</v>
      </c>
      <c r="J1457" s="58" t="s">
        <v>115</v>
      </c>
      <c r="K1457" s="58"/>
      <c r="L1457" s="58" t="s">
        <v>76</v>
      </c>
      <c r="M1457" s="61" t="s">
        <v>4186</v>
      </c>
      <c r="N1457" s="77"/>
      <c r="O1457" s="62"/>
      <c r="P1457" s="62"/>
      <c r="Q1457" s="58">
        <v>1.0</v>
      </c>
      <c r="R1457" s="62"/>
      <c r="S1457" s="37"/>
      <c r="T1457" s="38"/>
      <c r="U1457" s="38"/>
      <c r="V1457" s="38" t="s">
        <v>33</v>
      </c>
      <c r="W1457" s="40"/>
      <c r="X1457" s="40"/>
      <c r="Y1457" s="40"/>
      <c r="Z1457" s="38"/>
      <c r="AA1457" s="38"/>
      <c r="AB1457" s="38"/>
      <c r="AC1457" s="38"/>
      <c r="AD1457" s="38"/>
      <c r="AE1457" s="38"/>
      <c r="AF1457" s="38"/>
      <c r="AG1457" s="38"/>
      <c r="AH1457" s="38"/>
      <c r="AI1457" s="38"/>
      <c r="AJ1457" s="38"/>
      <c r="AK1457" s="38"/>
      <c r="AL1457" s="38"/>
      <c r="AM1457" s="38"/>
      <c r="AN1457" s="38"/>
      <c r="AO1457" s="38"/>
      <c r="AP1457" s="38"/>
      <c r="AQ1457" s="38"/>
      <c r="AR1457" s="38"/>
      <c r="AS1457" s="38"/>
      <c r="AT1457" s="38"/>
      <c r="AU1457" s="38"/>
      <c r="AV1457" s="38"/>
      <c r="AW1457" s="38"/>
      <c r="AX1457" s="38"/>
      <c r="AY1457" s="38"/>
      <c r="AZ1457" s="38"/>
      <c r="BA1457" s="38"/>
      <c r="BB1457" s="38"/>
      <c r="BC1457" s="38"/>
      <c r="BD1457" s="38"/>
      <c r="BE1457" s="38"/>
      <c r="BF1457" s="38"/>
      <c r="BG1457" s="38"/>
      <c r="BH1457" s="38"/>
      <c r="BI1457" s="38"/>
      <c r="BJ1457" s="38"/>
      <c r="BK1457" s="38"/>
      <c r="BL1457" s="38"/>
      <c r="BM1457" s="38"/>
      <c r="BN1457" s="38"/>
      <c r="BO1457" s="38"/>
      <c r="BP1457" s="38"/>
      <c r="BQ1457" s="38"/>
    </row>
    <row r="1458">
      <c r="A1458" s="78" t="s">
        <v>4265</v>
      </c>
      <c r="B1458" s="59">
        <v>43290.0</v>
      </c>
      <c r="C1458" s="59">
        <v>43284.0</v>
      </c>
      <c r="D1458" s="60" t="s">
        <v>4256</v>
      </c>
      <c r="E1458" s="58" t="s">
        <v>31</v>
      </c>
      <c r="F1458" s="58">
        <v>1.0</v>
      </c>
      <c r="G1458" s="58" t="s">
        <v>32</v>
      </c>
      <c r="H1458" s="33">
        <f t="shared" ref="H1458:H1481" si="219">if(G1458="Unknown",1,G1458)</f>
        <v>1</v>
      </c>
      <c r="I1458" s="58" t="s">
        <v>33</v>
      </c>
      <c r="J1458" s="58" t="s">
        <v>504</v>
      </c>
      <c r="K1458" s="58" t="s">
        <v>32</v>
      </c>
      <c r="L1458" s="58" t="s">
        <v>35</v>
      </c>
      <c r="M1458" s="61" t="s">
        <v>4266</v>
      </c>
      <c r="N1458" s="77"/>
      <c r="O1458" s="62"/>
      <c r="P1458" s="62"/>
      <c r="Q1458" s="62"/>
      <c r="R1458" s="62"/>
      <c r="S1458" s="37" t="str">
        <f>IFERROR(__xludf.DUMMYFUNCTION("if(not(iserror(index(split(C1458, "" ""),2))), index(split(C1458, "" ""),1),"""")"),"July")</f>
        <v>July</v>
      </c>
      <c r="T1458" s="38">
        <f>IFERROR(__xludf.DUMMYFUNCTION("if(S1458="""",C1458,if(not(iserror(index(split(C1458, "" ""),3))), index(split(C1458, "" ""),3),index(split(C1458, "" ""),2)))"),2018.0)</f>
        <v>2018</v>
      </c>
      <c r="U1458" s="38" t="b">
        <f t="shared" ref="U1458:U1481" si="220">countif(A$4:A4658, A1458)&gt;1</f>
        <v>0</v>
      </c>
      <c r="V1458" s="38"/>
      <c r="W1458" s="40"/>
      <c r="X1458" s="40"/>
      <c r="Y1458" s="40"/>
      <c r="Z1458" s="38"/>
      <c r="AA1458" s="38"/>
      <c r="AB1458" s="38"/>
      <c r="AC1458" s="38"/>
      <c r="AD1458" s="38"/>
      <c r="AE1458" s="38"/>
      <c r="AF1458" s="38"/>
      <c r="AG1458" s="38"/>
      <c r="AH1458" s="38"/>
      <c r="AI1458" s="38"/>
      <c r="AJ1458" s="38"/>
      <c r="AK1458" s="38"/>
      <c r="AL1458" s="38"/>
      <c r="AM1458" s="38"/>
      <c r="AN1458" s="38"/>
      <c r="AO1458" s="38"/>
      <c r="AP1458" s="38"/>
      <c r="AQ1458" s="38"/>
      <c r="AR1458" s="38"/>
      <c r="AS1458" s="38"/>
      <c r="AT1458" s="38"/>
      <c r="AU1458" s="38"/>
      <c r="AV1458" s="38"/>
      <c r="AW1458" s="38"/>
      <c r="AX1458" s="38"/>
      <c r="AY1458" s="38"/>
      <c r="AZ1458" s="38"/>
      <c r="BA1458" s="38"/>
      <c r="BB1458" s="38"/>
      <c r="BC1458" s="38"/>
      <c r="BD1458" s="38"/>
      <c r="BE1458" s="38"/>
      <c r="BF1458" s="38"/>
      <c r="BG1458" s="38"/>
      <c r="BH1458" s="38"/>
      <c r="BI1458" s="38"/>
      <c r="BJ1458" s="38"/>
      <c r="BK1458" s="38"/>
      <c r="BL1458" s="38"/>
      <c r="BM1458" s="38"/>
      <c r="BN1458" s="38"/>
      <c r="BO1458" s="38"/>
      <c r="BP1458" s="38"/>
      <c r="BQ1458" s="38"/>
    </row>
    <row r="1459">
      <c r="A1459" s="78" t="s">
        <v>4267</v>
      </c>
      <c r="B1459" s="59">
        <v>43286.0</v>
      </c>
      <c r="C1459" s="59">
        <v>43286.0</v>
      </c>
      <c r="D1459" s="60" t="s">
        <v>2131</v>
      </c>
      <c r="E1459" s="58" t="s">
        <v>41</v>
      </c>
      <c r="F1459" s="58">
        <v>1.0</v>
      </c>
      <c r="G1459" s="58" t="s">
        <v>32</v>
      </c>
      <c r="H1459" s="33">
        <f t="shared" si="219"/>
        <v>1</v>
      </c>
      <c r="I1459" s="58" t="s">
        <v>33</v>
      </c>
      <c r="J1459" s="58" t="s">
        <v>106</v>
      </c>
      <c r="K1459" s="58">
        <v>1.0</v>
      </c>
      <c r="L1459" s="58" t="s">
        <v>52</v>
      </c>
      <c r="M1459" s="61" t="s">
        <v>4268</v>
      </c>
      <c r="N1459" s="77"/>
      <c r="O1459" s="62"/>
      <c r="P1459" s="62"/>
      <c r="Q1459" s="62"/>
      <c r="R1459" s="62"/>
      <c r="S1459" s="37" t="str">
        <f>IFERROR(__xludf.DUMMYFUNCTION("if(not(iserror(index(split(C1459, "" ""),2))), index(split(C1459, "" ""),1),"""")"),"July")</f>
        <v>July</v>
      </c>
      <c r="T1459" s="38">
        <f>IFERROR(__xludf.DUMMYFUNCTION("if(S1459="""",C1459,if(not(iserror(index(split(C1459, "" ""),3))), index(split(C1459, "" ""),3),index(split(C1459, "" ""),2)))"),2018.0)</f>
        <v>2018</v>
      </c>
      <c r="U1459" s="38" t="b">
        <f t="shared" si="220"/>
        <v>0</v>
      </c>
      <c r="V1459" s="38"/>
      <c r="W1459" s="40"/>
      <c r="X1459" s="40"/>
      <c r="Y1459" s="40"/>
      <c r="Z1459" s="38"/>
      <c r="AA1459" s="38"/>
      <c r="AB1459" s="38"/>
      <c r="AC1459" s="38"/>
      <c r="AD1459" s="38"/>
      <c r="AE1459" s="38"/>
      <c r="AF1459" s="38"/>
      <c r="AG1459" s="38"/>
      <c r="AH1459" s="38"/>
      <c r="AI1459" s="38"/>
      <c r="AJ1459" s="38"/>
      <c r="AK1459" s="38"/>
      <c r="AL1459" s="38"/>
      <c r="AM1459" s="38"/>
      <c r="AN1459" s="38"/>
      <c r="AO1459" s="38"/>
      <c r="AP1459" s="38"/>
      <c r="AQ1459" s="38"/>
      <c r="AR1459" s="38"/>
      <c r="AS1459" s="38"/>
      <c r="AT1459" s="38"/>
      <c r="AU1459" s="38"/>
      <c r="AV1459" s="38"/>
      <c r="AW1459" s="38"/>
      <c r="AX1459" s="38"/>
      <c r="AY1459" s="38"/>
      <c r="AZ1459" s="38"/>
      <c r="BA1459" s="38"/>
      <c r="BB1459" s="38"/>
      <c r="BC1459" s="38"/>
      <c r="BD1459" s="38"/>
      <c r="BE1459" s="38"/>
      <c r="BF1459" s="38"/>
      <c r="BG1459" s="38"/>
      <c r="BH1459" s="38"/>
      <c r="BI1459" s="38"/>
      <c r="BJ1459" s="38"/>
      <c r="BK1459" s="38"/>
      <c r="BL1459" s="38"/>
      <c r="BM1459" s="38"/>
      <c r="BN1459" s="38"/>
      <c r="BO1459" s="38"/>
      <c r="BP1459" s="38"/>
      <c r="BQ1459" s="38"/>
    </row>
    <row r="1460">
      <c r="A1460" s="78" t="s">
        <v>4269</v>
      </c>
      <c r="B1460" s="59">
        <v>43286.0</v>
      </c>
      <c r="C1460" s="59">
        <v>43286.0</v>
      </c>
      <c r="D1460" s="60" t="s">
        <v>2131</v>
      </c>
      <c r="E1460" s="58" t="s">
        <v>41</v>
      </c>
      <c r="F1460" s="58">
        <v>2.0</v>
      </c>
      <c r="G1460" s="58" t="s">
        <v>32</v>
      </c>
      <c r="H1460" s="33">
        <f t="shared" si="219"/>
        <v>1</v>
      </c>
      <c r="I1460" s="58" t="s">
        <v>33</v>
      </c>
      <c r="J1460" s="58" t="s">
        <v>147</v>
      </c>
      <c r="K1460" s="58">
        <v>1.0</v>
      </c>
      <c r="L1460" s="58" t="s">
        <v>194</v>
      </c>
      <c r="M1460" s="61" t="s">
        <v>4270</v>
      </c>
      <c r="N1460" s="77"/>
      <c r="O1460" s="62"/>
      <c r="P1460" s="62"/>
      <c r="Q1460" s="62"/>
      <c r="R1460" s="62"/>
      <c r="S1460" s="37" t="str">
        <f>IFERROR(__xludf.DUMMYFUNCTION("if(not(iserror(index(split(C1460, "" ""),2))), index(split(C1460, "" ""),1),"""")"),"July")</f>
        <v>July</v>
      </c>
      <c r="T1460" s="38">
        <f>IFERROR(__xludf.DUMMYFUNCTION("if(S1460="""",C1460,if(not(iserror(index(split(C1460, "" ""),3))), index(split(C1460, "" ""),3),index(split(C1460, "" ""),2)))"),2018.0)</f>
        <v>2018</v>
      </c>
      <c r="U1460" s="38" t="b">
        <f t="shared" si="220"/>
        <v>0</v>
      </c>
      <c r="V1460" s="38"/>
      <c r="W1460" s="40"/>
      <c r="X1460" s="40"/>
      <c r="Y1460" s="40"/>
      <c r="Z1460" s="38"/>
      <c r="AA1460" s="38"/>
      <c r="AB1460" s="38"/>
      <c r="AC1460" s="38"/>
      <c r="AD1460" s="38"/>
      <c r="AE1460" s="38"/>
      <c r="AF1460" s="38"/>
      <c r="AG1460" s="38"/>
      <c r="AH1460" s="38"/>
      <c r="AI1460" s="38"/>
      <c r="AJ1460" s="38"/>
      <c r="AK1460" s="38"/>
      <c r="AL1460" s="38"/>
      <c r="AM1460" s="38"/>
      <c r="AN1460" s="38"/>
      <c r="AO1460" s="38"/>
      <c r="AP1460" s="38"/>
      <c r="AQ1460" s="38"/>
      <c r="AR1460" s="38"/>
      <c r="AS1460" s="38"/>
      <c r="AT1460" s="38"/>
      <c r="AU1460" s="38"/>
      <c r="AV1460" s="38"/>
      <c r="AW1460" s="38"/>
      <c r="AX1460" s="38"/>
      <c r="AY1460" s="38"/>
      <c r="AZ1460" s="38"/>
      <c r="BA1460" s="38"/>
      <c r="BB1460" s="38"/>
      <c r="BC1460" s="38"/>
      <c r="BD1460" s="38"/>
      <c r="BE1460" s="38"/>
      <c r="BF1460" s="38"/>
      <c r="BG1460" s="38"/>
      <c r="BH1460" s="38"/>
      <c r="BI1460" s="38"/>
      <c r="BJ1460" s="38"/>
      <c r="BK1460" s="38"/>
      <c r="BL1460" s="38"/>
      <c r="BM1460" s="38"/>
      <c r="BN1460" s="38"/>
      <c r="BO1460" s="38"/>
      <c r="BP1460" s="38"/>
      <c r="BQ1460" s="38"/>
    </row>
    <row r="1461">
      <c r="A1461" s="78" t="s">
        <v>4271</v>
      </c>
      <c r="B1461" s="59">
        <v>43287.0</v>
      </c>
      <c r="C1461" s="59">
        <v>43286.0</v>
      </c>
      <c r="D1461" s="60" t="s">
        <v>2131</v>
      </c>
      <c r="E1461" s="58" t="s">
        <v>31</v>
      </c>
      <c r="F1461" s="58">
        <v>2.0</v>
      </c>
      <c r="G1461" s="58" t="s">
        <v>32</v>
      </c>
      <c r="H1461" s="33">
        <f t="shared" si="219"/>
        <v>1</v>
      </c>
      <c r="I1461" s="58" t="s">
        <v>33</v>
      </c>
      <c r="J1461" s="58" t="s">
        <v>98</v>
      </c>
      <c r="K1461" s="58">
        <v>1.0</v>
      </c>
      <c r="L1461" s="58" t="s">
        <v>2383</v>
      </c>
      <c r="M1461" s="61" t="s">
        <v>4272</v>
      </c>
      <c r="N1461" s="77"/>
      <c r="O1461" s="58"/>
      <c r="P1461" s="58"/>
      <c r="Q1461" s="84"/>
      <c r="R1461" s="62"/>
      <c r="S1461" s="37" t="str">
        <f>IFERROR(__xludf.DUMMYFUNCTION("if(not(iserror(index(split(C1461, "" ""),2))), index(split(C1461, "" ""),1),"""")"),"July")</f>
        <v>July</v>
      </c>
      <c r="T1461" s="38">
        <f>IFERROR(__xludf.DUMMYFUNCTION("if(S1461="""",C1461,if(not(iserror(index(split(C1461, "" ""),3))), index(split(C1461, "" ""),3),index(split(C1461, "" ""),2)))"),2018.0)</f>
        <v>2018</v>
      </c>
      <c r="U1461" s="38" t="b">
        <f t="shared" si="220"/>
        <v>0</v>
      </c>
      <c r="V1461" s="38"/>
      <c r="W1461" s="40"/>
      <c r="X1461" s="40"/>
      <c r="Y1461" s="40"/>
      <c r="Z1461" s="38"/>
      <c r="AA1461" s="38"/>
      <c r="AB1461" s="38"/>
      <c r="AC1461" s="38"/>
      <c r="AD1461" s="38"/>
      <c r="AE1461" s="38"/>
      <c r="AF1461" s="38"/>
      <c r="AG1461" s="38"/>
      <c r="AH1461" s="38"/>
      <c r="AI1461" s="38"/>
      <c r="AJ1461" s="38"/>
      <c r="AK1461" s="38"/>
      <c r="AL1461" s="38"/>
      <c r="AM1461" s="38"/>
      <c r="AN1461" s="38"/>
      <c r="AO1461" s="38"/>
      <c r="AP1461" s="38"/>
      <c r="AQ1461" s="38"/>
      <c r="AR1461" s="38"/>
      <c r="AS1461" s="38"/>
      <c r="AT1461" s="38"/>
      <c r="AU1461" s="38"/>
      <c r="AV1461" s="38"/>
      <c r="AW1461" s="38"/>
      <c r="AX1461" s="38"/>
      <c r="AY1461" s="38"/>
      <c r="AZ1461" s="38"/>
      <c r="BA1461" s="38"/>
      <c r="BB1461" s="38"/>
      <c r="BC1461" s="38"/>
      <c r="BD1461" s="38"/>
      <c r="BE1461" s="38"/>
      <c r="BF1461" s="38"/>
      <c r="BG1461" s="38"/>
      <c r="BH1461" s="38"/>
      <c r="BI1461" s="38"/>
      <c r="BJ1461" s="38"/>
      <c r="BK1461" s="38"/>
      <c r="BL1461" s="38"/>
      <c r="BM1461" s="38"/>
      <c r="BN1461" s="38"/>
      <c r="BO1461" s="38"/>
      <c r="BP1461" s="38"/>
      <c r="BQ1461" s="38"/>
    </row>
    <row r="1462">
      <c r="A1462" s="78" t="s">
        <v>4273</v>
      </c>
      <c r="B1462" s="59">
        <v>43287.0</v>
      </c>
      <c r="C1462" s="59">
        <v>43286.0</v>
      </c>
      <c r="D1462" s="60" t="s">
        <v>2131</v>
      </c>
      <c r="E1462" s="58" t="s">
        <v>31</v>
      </c>
      <c r="F1462" s="58">
        <v>1.0</v>
      </c>
      <c r="G1462" s="58" t="s">
        <v>32</v>
      </c>
      <c r="H1462" s="33">
        <f t="shared" si="219"/>
        <v>1</v>
      </c>
      <c r="I1462" s="58" t="s">
        <v>33</v>
      </c>
      <c r="J1462" s="58" t="s">
        <v>184</v>
      </c>
      <c r="K1462" s="58">
        <v>1.0</v>
      </c>
      <c r="L1462" s="58" t="s">
        <v>52</v>
      </c>
      <c r="M1462" s="61" t="s">
        <v>4274</v>
      </c>
      <c r="N1462" s="77"/>
      <c r="O1462" s="62"/>
      <c r="P1462" s="62"/>
      <c r="Q1462" s="62"/>
      <c r="R1462" s="62"/>
      <c r="S1462" s="37" t="str">
        <f>IFERROR(__xludf.DUMMYFUNCTION("if(not(iserror(index(split(C1462, "" ""),2))), index(split(C1462, "" ""),1),"""")"),"July")</f>
        <v>July</v>
      </c>
      <c r="T1462" s="38">
        <f>IFERROR(__xludf.DUMMYFUNCTION("if(S1462="""",C1462,if(not(iserror(index(split(C1462, "" ""),3))), index(split(C1462, "" ""),3),index(split(C1462, "" ""),2)))"),2018.0)</f>
        <v>2018</v>
      </c>
      <c r="U1462" s="38" t="b">
        <f t="shared" si="220"/>
        <v>0</v>
      </c>
      <c r="V1462" s="38"/>
      <c r="W1462" s="40"/>
      <c r="X1462" s="40"/>
      <c r="Y1462" s="40"/>
      <c r="Z1462" s="38"/>
      <c r="AA1462" s="38"/>
      <c r="AB1462" s="38"/>
      <c r="AC1462" s="38"/>
      <c r="AD1462" s="38"/>
      <c r="AE1462" s="38"/>
      <c r="AF1462" s="38"/>
      <c r="AG1462" s="38"/>
      <c r="AH1462" s="38"/>
      <c r="AI1462" s="38"/>
      <c r="AJ1462" s="38"/>
      <c r="AK1462" s="38"/>
      <c r="AL1462" s="38"/>
      <c r="AM1462" s="38"/>
      <c r="AN1462" s="38"/>
      <c r="AO1462" s="38"/>
      <c r="AP1462" s="38"/>
      <c r="AQ1462" s="38"/>
      <c r="AR1462" s="38"/>
      <c r="AS1462" s="38"/>
      <c r="AT1462" s="38"/>
      <c r="AU1462" s="38"/>
      <c r="AV1462" s="38"/>
      <c r="AW1462" s="38"/>
      <c r="AX1462" s="38"/>
      <c r="AY1462" s="38"/>
      <c r="AZ1462" s="38"/>
      <c r="BA1462" s="38"/>
      <c r="BB1462" s="38"/>
      <c r="BC1462" s="38"/>
      <c r="BD1462" s="38"/>
      <c r="BE1462" s="38"/>
      <c r="BF1462" s="38"/>
      <c r="BG1462" s="38"/>
      <c r="BH1462" s="38"/>
      <c r="BI1462" s="38"/>
      <c r="BJ1462" s="38"/>
      <c r="BK1462" s="38"/>
      <c r="BL1462" s="38"/>
      <c r="BM1462" s="38"/>
      <c r="BN1462" s="38"/>
      <c r="BO1462" s="38"/>
      <c r="BP1462" s="38"/>
      <c r="BQ1462" s="38"/>
    </row>
    <row r="1463">
      <c r="A1463" s="78" t="s">
        <v>4275</v>
      </c>
      <c r="B1463" s="59">
        <v>43292.0</v>
      </c>
      <c r="C1463" s="59">
        <v>43286.0</v>
      </c>
      <c r="D1463" s="60" t="s">
        <v>2131</v>
      </c>
      <c r="E1463" s="58" t="s">
        <v>31</v>
      </c>
      <c r="F1463" s="58">
        <v>1.0</v>
      </c>
      <c r="G1463" s="58" t="s">
        <v>32</v>
      </c>
      <c r="H1463" s="33">
        <f t="shared" si="219"/>
        <v>1</v>
      </c>
      <c r="I1463" s="58" t="s">
        <v>33</v>
      </c>
      <c r="J1463" s="58" t="s">
        <v>85</v>
      </c>
      <c r="K1463" s="58">
        <v>1.0</v>
      </c>
      <c r="L1463" s="58" t="s">
        <v>52</v>
      </c>
      <c r="M1463" s="46" t="s">
        <v>4276</v>
      </c>
      <c r="N1463" s="77"/>
      <c r="O1463" s="62"/>
      <c r="P1463" s="62"/>
      <c r="Q1463" s="62"/>
      <c r="R1463" s="62"/>
      <c r="S1463" s="37" t="str">
        <f>IFERROR(__xludf.DUMMYFUNCTION("if(not(iserror(index(split(C1463, "" ""),2))), index(split(C1463, "" ""),1),"""")"),"July")</f>
        <v>July</v>
      </c>
      <c r="T1463" s="38">
        <f>IFERROR(__xludf.DUMMYFUNCTION("if(S1463="""",C1463,if(not(iserror(index(split(C1463, "" ""),3))), index(split(C1463, "" ""),3),index(split(C1463, "" ""),2)))"),2018.0)</f>
        <v>2018</v>
      </c>
      <c r="U1463" s="38" t="b">
        <f t="shared" si="220"/>
        <v>0</v>
      </c>
      <c r="V1463" s="38"/>
      <c r="W1463" s="40"/>
      <c r="X1463" s="40"/>
      <c r="Y1463" s="40"/>
      <c r="Z1463" s="38"/>
      <c r="AA1463" s="38"/>
      <c r="AB1463" s="38"/>
      <c r="AC1463" s="38"/>
      <c r="AD1463" s="38"/>
      <c r="AE1463" s="38"/>
      <c r="AF1463" s="38"/>
      <c r="AG1463" s="38"/>
      <c r="AH1463" s="38"/>
      <c r="AI1463" s="38"/>
      <c r="AJ1463" s="38"/>
      <c r="AK1463" s="38"/>
      <c r="AL1463" s="38"/>
      <c r="AM1463" s="38"/>
      <c r="AN1463" s="38"/>
      <c r="AO1463" s="38"/>
      <c r="AP1463" s="38"/>
      <c r="AQ1463" s="38"/>
      <c r="AR1463" s="38"/>
      <c r="AS1463" s="38"/>
      <c r="AT1463" s="38"/>
      <c r="AU1463" s="38"/>
      <c r="AV1463" s="38"/>
      <c r="AW1463" s="38"/>
      <c r="AX1463" s="38"/>
      <c r="AY1463" s="38"/>
      <c r="AZ1463" s="38"/>
      <c r="BA1463" s="38"/>
      <c r="BB1463" s="38"/>
      <c r="BC1463" s="38"/>
      <c r="BD1463" s="38"/>
      <c r="BE1463" s="38"/>
      <c r="BF1463" s="38"/>
      <c r="BG1463" s="38"/>
      <c r="BH1463" s="38"/>
      <c r="BI1463" s="38"/>
      <c r="BJ1463" s="38"/>
      <c r="BK1463" s="38"/>
      <c r="BL1463" s="38"/>
      <c r="BM1463" s="38"/>
      <c r="BN1463" s="38"/>
      <c r="BO1463" s="38"/>
      <c r="BP1463" s="38"/>
      <c r="BQ1463" s="38"/>
    </row>
    <row r="1464">
      <c r="A1464" s="58" t="s">
        <v>239</v>
      </c>
      <c r="B1464" s="59">
        <v>43291.0</v>
      </c>
      <c r="C1464" s="59">
        <v>43289.0</v>
      </c>
      <c r="D1464" s="60" t="s">
        <v>4277</v>
      </c>
      <c r="E1464" s="58" t="s">
        <v>41</v>
      </c>
      <c r="F1464" s="58">
        <v>1.0</v>
      </c>
      <c r="G1464" s="58">
        <v>3.0</v>
      </c>
      <c r="H1464" s="33">
        <f t="shared" si="219"/>
        <v>3</v>
      </c>
      <c r="I1464" s="58" t="s">
        <v>33</v>
      </c>
      <c r="J1464" s="58" t="s">
        <v>147</v>
      </c>
      <c r="K1464" s="58">
        <v>3.0</v>
      </c>
      <c r="L1464" s="58" t="s">
        <v>194</v>
      </c>
      <c r="M1464" s="61" t="s">
        <v>4278</v>
      </c>
      <c r="N1464" s="77"/>
      <c r="O1464" s="62"/>
      <c r="P1464" s="62"/>
      <c r="Q1464" s="62"/>
      <c r="R1464" s="62"/>
      <c r="S1464" s="37" t="str">
        <f>IFERROR(__xludf.DUMMYFUNCTION("if(not(iserror(index(split(C1464, "" ""),2))), index(split(C1464, "" ""),1),"""")"),"July")</f>
        <v>July</v>
      </c>
      <c r="T1464" s="38">
        <f>IFERROR(__xludf.DUMMYFUNCTION("if(S1464="""",C1464,if(not(iserror(index(split(C1464, "" ""),3))), index(split(C1464, "" ""),3),index(split(C1464, "" ""),2)))"),2018.0)</f>
        <v>2018</v>
      </c>
      <c r="U1464" s="38" t="b">
        <f t="shared" si="220"/>
        <v>1</v>
      </c>
      <c r="V1464" s="38"/>
      <c r="W1464" s="40"/>
      <c r="X1464" s="40"/>
      <c r="Y1464" s="40"/>
      <c r="Z1464" s="38"/>
      <c r="AA1464" s="38"/>
      <c r="AB1464" s="38"/>
      <c r="AC1464" s="38"/>
      <c r="AD1464" s="38"/>
      <c r="AE1464" s="38"/>
      <c r="AF1464" s="38"/>
      <c r="AG1464" s="38"/>
      <c r="AH1464" s="38"/>
      <c r="AI1464" s="38"/>
      <c r="AJ1464" s="38"/>
      <c r="AK1464" s="38"/>
      <c r="AL1464" s="38"/>
      <c r="AM1464" s="38"/>
      <c r="AN1464" s="38"/>
      <c r="AO1464" s="38"/>
      <c r="AP1464" s="38"/>
      <c r="AQ1464" s="38"/>
      <c r="AR1464" s="38"/>
      <c r="AS1464" s="38"/>
      <c r="AT1464" s="38"/>
      <c r="AU1464" s="38"/>
      <c r="AV1464" s="38"/>
      <c r="AW1464" s="38"/>
      <c r="AX1464" s="38"/>
      <c r="AY1464" s="38"/>
      <c r="AZ1464" s="38"/>
      <c r="BA1464" s="38"/>
      <c r="BB1464" s="38"/>
      <c r="BC1464" s="38"/>
      <c r="BD1464" s="38"/>
      <c r="BE1464" s="38"/>
      <c r="BF1464" s="38"/>
      <c r="BG1464" s="38"/>
      <c r="BH1464" s="38"/>
      <c r="BI1464" s="38"/>
      <c r="BJ1464" s="38"/>
      <c r="BK1464" s="38"/>
      <c r="BL1464" s="38"/>
      <c r="BM1464" s="38"/>
      <c r="BN1464" s="38"/>
      <c r="BO1464" s="38"/>
      <c r="BP1464" s="38"/>
      <c r="BQ1464" s="38"/>
    </row>
    <row r="1465">
      <c r="A1465" s="78" t="s">
        <v>4279</v>
      </c>
      <c r="B1465" s="59">
        <v>43292.0</v>
      </c>
      <c r="C1465" s="59">
        <v>43289.0</v>
      </c>
      <c r="D1465" s="60" t="s">
        <v>4277</v>
      </c>
      <c r="E1465" s="58" t="s">
        <v>31</v>
      </c>
      <c r="F1465" s="58">
        <v>1.0</v>
      </c>
      <c r="G1465" s="58" t="s">
        <v>32</v>
      </c>
      <c r="H1465" s="33">
        <f t="shared" si="219"/>
        <v>1</v>
      </c>
      <c r="I1465" s="58" t="s">
        <v>33</v>
      </c>
      <c r="J1465" s="58" t="s">
        <v>179</v>
      </c>
      <c r="K1465" s="58" t="s">
        <v>32</v>
      </c>
      <c r="L1465" s="58" t="s">
        <v>52</v>
      </c>
      <c r="M1465" s="46" t="s">
        <v>4280</v>
      </c>
      <c r="N1465" s="46" t="s">
        <v>4281</v>
      </c>
      <c r="O1465" s="62"/>
      <c r="P1465" s="58"/>
      <c r="Q1465" s="58"/>
      <c r="R1465" s="62"/>
      <c r="S1465" s="37" t="str">
        <f>IFERROR(__xludf.DUMMYFUNCTION("if(not(iserror(index(split(C1465, "" ""),2))), index(split(C1465, "" ""),1),"""")"),"July")</f>
        <v>July</v>
      </c>
      <c r="T1465" s="38">
        <f>IFERROR(__xludf.DUMMYFUNCTION("if(S1465="""",C1465,if(not(iserror(index(split(C1465, "" ""),3))), index(split(C1465, "" ""),3),index(split(C1465, "" ""),2)))"),2018.0)</f>
        <v>2018</v>
      </c>
      <c r="U1465" s="38" t="b">
        <f t="shared" si="220"/>
        <v>0</v>
      </c>
      <c r="V1465" s="38" t="s">
        <v>33</v>
      </c>
      <c r="W1465" s="39" t="s">
        <v>4282</v>
      </c>
      <c r="X1465" s="39" t="s">
        <v>4283</v>
      </c>
      <c r="Y1465" s="40"/>
      <c r="Z1465" s="38"/>
      <c r="AA1465" s="38"/>
      <c r="AB1465" s="38"/>
      <c r="AC1465" s="38"/>
      <c r="AD1465" s="38"/>
      <c r="AE1465" s="38"/>
      <c r="AF1465" s="38"/>
      <c r="AG1465" s="38"/>
      <c r="AH1465" s="38"/>
      <c r="AI1465" s="38"/>
      <c r="AJ1465" s="38"/>
      <c r="AK1465" s="38"/>
      <c r="AL1465" s="38"/>
      <c r="AM1465" s="38"/>
      <c r="AN1465" s="38"/>
      <c r="AO1465" s="38"/>
      <c r="AP1465" s="38"/>
      <c r="AQ1465" s="38"/>
      <c r="AR1465" s="38"/>
      <c r="AS1465" s="38"/>
      <c r="AT1465" s="38"/>
      <c r="AU1465" s="38"/>
      <c r="AV1465" s="38"/>
      <c r="AW1465" s="38"/>
      <c r="AX1465" s="38"/>
      <c r="AY1465" s="38"/>
      <c r="AZ1465" s="38"/>
      <c r="BA1465" s="38"/>
      <c r="BB1465" s="38"/>
      <c r="BC1465" s="38"/>
      <c r="BD1465" s="38"/>
      <c r="BE1465" s="38"/>
      <c r="BF1465" s="38"/>
      <c r="BG1465" s="38"/>
      <c r="BH1465" s="38"/>
      <c r="BI1465" s="38"/>
      <c r="BJ1465" s="38"/>
      <c r="BK1465" s="38"/>
      <c r="BL1465" s="38"/>
      <c r="BM1465" s="38"/>
      <c r="BN1465" s="38"/>
      <c r="BO1465" s="38"/>
      <c r="BP1465" s="38"/>
      <c r="BQ1465" s="38"/>
    </row>
    <row r="1466">
      <c r="A1466" s="236" t="s">
        <v>4284</v>
      </c>
      <c r="B1466" s="59"/>
      <c r="C1466" s="59">
        <v>43289.0</v>
      </c>
      <c r="D1466" s="60" t="s">
        <v>4277</v>
      </c>
      <c r="E1466" s="58" t="s">
        <v>31</v>
      </c>
      <c r="F1466" s="58">
        <v>1.0</v>
      </c>
      <c r="G1466" s="58" t="s">
        <v>32</v>
      </c>
      <c r="H1466" s="33">
        <f t="shared" si="219"/>
        <v>1</v>
      </c>
      <c r="I1466" s="58" t="s">
        <v>33</v>
      </c>
      <c r="J1466" s="58" t="s">
        <v>179</v>
      </c>
      <c r="K1466" s="58" t="s">
        <v>32</v>
      </c>
      <c r="L1466" s="58" t="s">
        <v>52</v>
      </c>
      <c r="M1466" s="61" t="s">
        <v>4280</v>
      </c>
      <c r="N1466" s="46" t="s">
        <v>4281</v>
      </c>
      <c r="O1466" s="62"/>
      <c r="P1466" s="58"/>
      <c r="Q1466" s="58"/>
      <c r="R1466" s="62"/>
      <c r="S1466" s="37" t="str">
        <f>IFERROR(__xludf.DUMMYFUNCTION("if(not(iserror(index(split(C1466, "" ""),2))), index(split(C1466, "" ""),1),"""")"),"July")</f>
        <v>July</v>
      </c>
      <c r="T1466" s="38">
        <f>IFERROR(__xludf.DUMMYFUNCTION("if(S1466="""",C1466,if(not(iserror(index(split(C1466, "" ""),3))), index(split(C1466, "" ""),3),index(split(C1466, "" ""),2)))"),2018.0)</f>
        <v>2018</v>
      </c>
      <c r="U1466" s="38" t="b">
        <f t="shared" si="220"/>
        <v>0</v>
      </c>
      <c r="V1466" s="38" t="s">
        <v>33</v>
      </c>
      <c r="W1466" s="39" t="s">
        <v>4282</v>
      </c>
      <c r="X1466" s="39" t="s">
        <v>4285</v>
      </c>
      <c r="Y1466" s="40"/>
      <c r="Z1466" s="38"/>
      <c r="AA1466" s="38"/>
      <c r="AB1466" s="38"/>
      <c r="AC1466" s="38"/>
      <c r="AD1466" s="38"/>
      <c r="AE1466" s="38"/>
      <c r="AF1466" s="38"/>
      <c r="AG1466" s="38"/>
      <c r="AH1466" s="38"/>
      <c r="AI1466" s="38"/>
      <c r="AJ1466" s="38"/>
      <c r="AK1466" s="38"/>
      <c r="AL1466" s="38"/>
      <c r="AM1466" s="38"/>
      <c r="AN1466" s="38"/>
      <c r="AO1466" s="38"/>
      <c r="AP1466" s="38"/>
      <c r="AQ1466" s="38"/>
      <c r="AR1466" s="38"/>
      <c r="AS1466" s="38"/>
      <c r="AT1466" s="38"/>
      <c r="AU1466" s="38"/>
      <c r="AV1466" s="38"/>
      <c r="AW1466" s="38"/>
      <c r="AX1466" s="38"/>
      <c r="AY1466" s="38"/>
      <c r="AZ1466" s="38"/>
      <c r="BA1466" s="38"/>
      <c r="BB1466" s="38"/>
      <c r="BC1466" s="38"/>
      <c r="BD1466" s="38"/>
      <c r="BE1466" s="38"/>
      <c r="BF1466" s="38"/>
      <c r="BG1466" s="38"/>
      <c r="BH1466" s="38"/>
      <c r="BI1466" s="38"/>
      <c r="BJ1466" s="38"/>
      <c r="BK1466" s="38"/>
      <c r="BL1466" s="38"/>
      <c r="BM1466" s="38"/>
      <c r="BN1466" s="38"/>
      <c r="BO1466" s="38"/>
      <c r="BP1466" s="38"/>
      <c r="BQ1466" s="38"/>
    </row>
    <row r="1467">
      <c r="A1467" s="58" t="s">
        <v>4286</v>
      </c>
      <c r="B1467" s="59">
        <v>43318.0</v>
      </c>
      <c r="C1467" s="59">
        <v>43289.0</v>
      </c>
      <c r="D1467" s="60" t="s">
        <v>4287</v>
      </c>
      <c r="E1467" s="58" t="s">
        <v>31</v>
      </c>
      <c r="F1467" s="58">
        <v>2.0</v>
      </c>
      <c r="G1467" s="58" t="s">
        <v>32</v>
      </c>
      <c r="H1467" s="33">
        <f t="shared" si="219"/>
        <v>1</v>
      </c>
      <c r="I1467" s="58" t="s">
        <v>33</v>
      </c>
      <c r="J1467" s="58" t="s">
        <v>124</v>
      </c>
      <c r="K1467" s="58" t="s">
        <v>32</v>
      </c>
      <c r="L1467" s="58" t="s">
        <v>349</v>
      </c>
      <c r="M1467" s="61" t="s">
        <v>4288</v>
      </c>
      <c r="N1467" s="61" t="s">
        <v>4289</v>
      </c>
      <c r="O1467" s="62"/>
      <c r="P1467" s="62"/>
      <c r="Q1467" s="62"/>
      <c r="R1467" s="62"/>
      <c r="S1467" s="37" t="str">
        <f>IFERROR(__xludf.DUMMYFUNCTION("if(not(iserror(index(split(C1467, "" ""),2))), index(split(C1467, "" ""),1),"""")"),"July")</f>
        <v>July</v>
      </c>
      <c r="T1467" s="38">
        <f>IFERROR(__xludf.DUMMYFUNCTION("if(S1467="""",C1467,if(not(iserror(index(split(C1467, "" ""),3))), index(split(C1467, "" ""),3),index(split(C1467, "" ""),2)))"),2018.0)</f>
        <v>2018</v>
      </c>
      <c r="U1467" s="38" t="b">
        <f t="shared" si="220"/>
        <v>0</v>
      </c>
      <c r="V1467" s="38"/>
      <c r="W1467" s="40"/>
      <c r="X1467" s="40"/>
      <c r="Y1467" s="40"/>
      <c r="Z1467" s="38"/>
      <c r="AA1467" s="38"/>
      <c r="AB1467" s="38"/>
      <c r="AC1467" s="38"/>
      <c r="AD1467" s="38"/>
      <c r="AE1467" s="38"/>
      <c r="AF1467" s="38"/>
      <c r="AG1467" s="38"/>
      <c r="AH1467" s="38"/>
      <c r="AI1467" s="38"/>
      <c r="AJ1467" s="38"/>
      <c r="AK1467" s="38"/>
      <c r="AL1467" s="38"/>
      <c r="AM1467" s="38"/>
      <c r="AN1467" s="38"/>
      <c r="AO1467" s="38"/>
      <c r="AP1467" s="38"/>
      <c r="AQ1467" s="38"/>
      <c r="AR1467" s="38"/>
      <c r="AS1467" s="38"/>
      <c r="AT1467" s="38"/>
      <c r="AU1467" s="38"/>
      <c r="AV1467" s="38"/>
      <c r="AW1467" s="38"/>
      <c r="AX1467" s="38"/>
      <c r="AY1467" s="38"/>
      <c r="AZ1467" s="38"/>
      <c r="BA1467" s="38"/>
      <c r="BB1467" s="38"/>
      <c r="BC1467" s="38"/>
      <c r="BD1467" s="38"/>
      <c r="BE1467" s="38"/>
      <c r="BF1467" s="38"/>
      <c r="BG1467" s="38"/>
      <c r="BH1467" s="38"/>
      <c r="BI1467" s="38"/>
      <c r="BJ1467" s="38"/>
      <c r="BK1467" s="38"/>
      <c r="BL1467" s="38"/>
      <c r="BM1467" s="38"/>
      <c r="BN1467" s="38"/>
      <c r="BO1467" s="38"/>
      <c r="BP1467" s="38"/>
      <c r="BQ1467" s="38"/>
    </row>
    <row r="1468">
      <c r="A1468" s="78" t="s">
        <v>4290</v>
      </c>
      <c r="B1468" s="59">
        <v>43290.0</v>
      </c>
      <c r="C1468" s="59">
        <v>43290.0</v>
      </c>
      <c r="D1468" s="60" t="s">
        <v>4291</v>
      </c>
      <c r="E1468" s="58" t="s">
        <v>31</v>
      </c>
      <c r="F1468" s="58">
        <v>1.0</v>
      </c>
      <c r="G1468" s="58" t="s">
        <v>32</v>
      </c>
      <c r="H1468" s="33">
        <f t="shared" si="219"/>
        <v>1</v>
      </c>
      <c r="I1468" s="58" t="s">
        <v>33</v>
      </c>
      <c r="J1468" s="58" t="s">
        <v>93</v>
      </c>
      <c r="K1468" s="58" t="s">
        <v>32</v>
      </c>
      <c r="L1468" s="58" t="s">
        <v>99</v>
      </c>
      <c r="M1468" s="61" t="s">
        <v>4292</v>
      </c>
      <c r="N1468" s="61" t="s">
        <v>4293</v>
      </c>
      <c r="O1468" s="62"/>
      <c r="P1468" s="62"/>
      <c r="Q1468" s="58"/>
      <c r="R1468" s="62"/>
      <c r="S1468" s="37" t="str">
        <f>IFERROR(__xludf.DUMMYFUNCTION("if(not(iserror(index(split(C1468, "" ""),2))), index(split(C1468, "" ""),1),"""")"),"July")</f>
        <v>July</v>
      </c>
      <c r="T1468" s="38">
        <f>IFERROR(__xludf.DUMMYFUNCTION("if(S1468="""",C1468,if(not(iserror(index(split(C1468, "" ""),3))), index(split(C1468, "" ""),3),index(split(C1468, "" ""),2)))"),2018.0)</f>
        <v>2018</v>
      </c>
      <c r="U1468" s="38" t="b">
        <f t="shared" si="220"/>
        <v>0</v>
      </c>
      <c r="V1468" s="38" t="s">
        <v>33</v>
      </c>
      <c r="W1468" s="40"/>
      <c r="X1468" s="40"/>
      <c r="Y1468" s="40"/>
      <c r="Z1468" s="38"/>
      <c r="AA1468" s="38"/>
      <c r="AB1468" s="38"/>
      <c r="AC1468" s="38"/>
      <c r="AD1468" s="38"/>
      <c r="AE1468" s="38"/>
      <c r="AF1468" s="38"/>
      <c r="AG1468" s="38"/>
      <c r="AH1468" s="38"/>
      <c r="AI1468" s="38"/>
      <c r="AJ1468" s="38"/>
      <c r="AK1468" s="38"/>
      <c r="AL1468" s="38"/>
      <c r="AM1468" s="38"/>
      <c r="AN1468" s="38"/>
      <c r="AO1468" s="38"/>
      <c r="AP1468" s="38"/>
      <c r="AQ1468" s="38"/>
      <c r="AR1468" s="38"/>
      <c r="AS1468" s="38"/>
      <c r="AT1468" s="38"/>
      <c r="AU1468" s="38"/>
      <c r="AV1468" s="38"/>
      <c r="AW1468" s="38"/>
      <c r="AX1468" s="38"/>
      <c r="AY1468" s="38"/>
      <c r="AZ1468" s="38"/>
      <c r="BA1468" s="38"/>
      <c r="BB1468" s="38"/>
      <c r="BC1468" s="38"/>
      <c r="BD1468" s="38"/>
      <c r="BE1468" s="38"/>
      <c r="BF1468" s="38"/>
      <c r="BG1468" s="38"/>
      <c r="BH1468" s="38"/>
      <c r="BI1468" s="38"/>
      <c r="BJ1468" s="38"/>
      <c r="BK1468" s="38"/>
      <c r="BL1468" s="38"/>
      <c r="BM1468" s="38"/>
      <c r="BN1468" s="38"/>
      <c r="BO1468" s="38"/>
      <c r="BP1468" s="38"/>
      <c r="BQ1468" s="38"/>
    </row>
    <row r="1469">
      <c r="A1469" s="58" t="s">
        <v>239</v>
      </c>
      <c r="B1469" s="59">
        <v>43291.0</v>
      </c>
      <c r="C1469" s="59">
        <v>43290.0</v>
      </c>
      <c r="D1469" s="60" t="s">
        <v>4291</v>
      </c>
      <c r="E1469" s="58" t="s">
        <v>41</v>
      </c>
      <c r="F1469" s="58">
        <v>2.0</v>
      </c>
      <c r="G1469" s="58" t="s">
        <v>32</v>
      </c>
      <c r="H1469" s="33">
        <f t="shared" si="219"/>
        <v>1</v>
      </c>
      <c r="I1469" s="58" t="s">
        <v>33</v>
      </c>
      <c r="J1469" s="58" t="s">
        <v>147</v>
      </c>
      <c r="K1469" s="58">
        <v>1.0</v>
      </c>
      <c r="L1469" s="58" t="s">
        <v>194</v>
      </c>
      <c r="M1469" s="61" t="s">
        <v>4294</v>
      </c>
      <c r="N1469" s="77"/>
      <c r="O1469" s="62"/>
      <c r="P1469" s="62"/>
      <c r="Q1469" s="62"/>
      <c r="R1469" s="62"/>
      <c r="S1469" s="37" t="str">
        <f>IFERROR(__xludf.DUMMYFUNCTION("if(not(iserror(index(split(C1469, "" ""),2))), index(split(C1469, "" ""),1),"""")"),"July")</f>
        <v>July</v>
      </c>
      <c r="T1469" s="38">
        <f>IFERROR(__xludf.DUMMYFUNCTION("if(S1469="""",C1469,if(not(iserror(index(split(C1469, "" ""),3))), index(split(C1469, "" ""),3),index(split(C1469, "" ""),2)))"),2018.0)</f>
        <v>2018</v>
      </c>
      <c r="U1469" s="38" t="b">
        <f t="shared" si="220"/>
        <v>1</v>
      </c>
      <c r="V1469" s="38"/>
      <c r="W1469" s="40"/>
      <c r="X1469" s="40"/>
      <c r="Y1469" s="40"/>
      <c r="Z1469" s="38"/>
      <c r="AA1469" s="38"/>
      <c r="AB1469" s="38"/>
      <c r="AC1469" s="38"/>
      <c r="AD1469" s="38"/>
      <c r="AE1469" s="38"/>
      <c r="AF1469" s="38"/>
      <c r="AG1469" s="38"/>
      <c r="AH1469" s="38"/>
      <c r="AI1469" s="38"/>
      <c r="AJ1469" s="38"/>
      <c r="AK1469" s="38"/>
      <c r="AL1469" s="38"/>
      <c r="AM1469" s="38"/>
      <c r="AN1469" s="38"/>
      <c r="AO1469" s="38"/>
      <c r="AP1469" s="38"/>
      <c r="AQ1469" s="38"/>
      <c r="AR1469" s="38"/>
      <c r="AS1469" s="38"/>
      <c r="AT1469" s="38"/>
      <c r="AU1469" s="38"/>
      <c r="AV1469" s="38"/>
      <c r="AW1469" s="38"/>
      <c r="AX1469" s="38"/>
      <c r="AY1469" s="38"/>
      <c r="AZ1469" s="38"/>
      <c r="BA1469" s="38"/>
      <c r="BB1469" s="38"/>
      <c r="BC1469" s="38"/>
      <c r="BD1469" s="38"/>
      <c r="BE1469" s="38"/>
      <c r="BF1469" s="38"/>
      <c r="BG1469" s="38"/>
      <c r="BH1469" s="38"/>
      <c r="BI1469" s="38"/>
      <c r="BJ1469" s="38"/>
      <c r="BK1469" s="38"/>
      <c r="BL1469" s="38"/>
      <c r="BM1469" s="38"/>
      <c r="BN1469" s="38"/>
      <c r="BO1469" s="38"/>
      <c r="BP1469" s="38"/>
      <c r="BQ1469" s="38"/>
    </row>
    <row r="1470">
      <c r="A1470" s="58" t="s">
        <v>4295</v>
      </c>
      <c r="B1470" s="59">
        <v>43367.0</v>
      </c>
      <c r="C1470" s="59">
        <v>43290.0</v>
      </c>
      <c r="D1470" s="60" t="s">
        <v>4291</v>
      </c>
      <c r="E1470" s="58" t="s">
        <v>41</v>
      </c>
      <c r="F1470" s="58">
        <v>1.0</v>
      </c>
      <c r="G1470" s="58" t="s">
        <v>32</v>
      </c>
      <c r="H1470" s="33">
        <f t="shared" si="219"/>
        <v>1</v>
      </c>
      <c r="I1470" s="58" t="s">
        <v>33</v>
      </c>
      <c r="J1470" s="58" t="s">
        <v>61</v>
      </c>
      <c r="K1470" s="58">
        <v>2.0</v>
      </c>
      <c r="L1470" s="58" t="s">
        <v>119</v>
      </c>
      <c r="M1470" s="61" t="s">
        <v>4296</v>
      </c>
      <c r="N1470" s="77"/>
      <c r="O1470" s="58"/>
      <c r="P1470" s="58"/>
      <c r="Q1470" s="84"/>
      <c r="R1470" s="62"/>
      <c r="S1470" s="37" t="str">
        <f>IFERROR(__xludf.DUMMYFUNCTION("if(not(iserror(index(split(C1470, "" ""),2))), index(split(C1470, "" ""),1),"""")"),"July")</f>
        <v>July</v>
      </c>
      <c r="T1470" s="38">
        <f>IFERROR(__xludf.DUMMYFUNCTION("if(S1470="""",C1470,if(not(iserror(index(split(C1470, "" ""),3))), index(split(C1470, "" ""),3),index(split(C1470, "" ""),2)))"),2018.0)</f>
        <v>2018</v>
      </c>
      <c r="U1470" s="38" t="b">
        <f t="shared" si="220"/>
        <v>0</v>
      </c>
      <c r="V1470" s="38"/>
      <c r="W1470" s="40"/>
      <c r="X1470" s="40"/>
      <c r="Y1470" s="40"/>
      <c r="Z1470" s="38"/>
      <c r="AA1470" s="38"/>
      <c r="AB1470" s="38"/>
      <c r="AC1470" s="38"/>
      <c r="AD1470" s="38"/>
      <c r="AE1470" s="38"/>
      <c r="AF1470" s="38"/>
      <c r="AG1470" s="38"/>
      <c r="AH1470" s="38"/>
      <c r="AI1470" s="38"/>
      <c r="AJ1470" s="38"/>
      <c r="AK1470" s="38"/>
      <c r="AL1470" s="38"/>
      <c r="AM1470" s="38"/>
      <c r="AN1470" s="38"/>
      <c r="AO1470" s="38"/>
      <c r="AP1470" s="38"/>
      <c r="AQ1470" s="38"/>
      <c r="AR1470" s="38"/>
      <c r="AS1470" s="38"/>
      <c r="AT1470" s="38"/>
      <c r="AU1470" s="38"/>
      <c r="AV1470" s="38"/>
      <c r="AW1470" s="38"/>
      <c r="AX1470" s="38"/>
      <c r="AY1470" s="38"/>
      <c r="AZ1470" s="38"/>
      <c r="BA1470" s="38"/>
      <c r="BB1470" s="38"/>
      <c r="BC1470" s="38"/>
      <c r="BD1470" s="38"/>
      <c r="BE1470" s="38"/>
      <c r="BF1470" s="38"/>
      <c r="BG1470" s="38"/>
      <c r="BH1470" s="38"/>
      <c r="BI1470" s="38"/>
      <c r="BJ1470" s="38"/>
      <c r="BK1470" s="38"/>
      <c r="BL1470" s="38"/>
      <c r="BM1470" s="38"/>
      <c r="BN1470" s="38"/>
      <c r="BO1470" s="38"/>
      <c r="BP1470" s="38"/>
      <c r="BQ1470" s="38"/>
    </row>
    <row r="1471">
      <c r="A1471" s="237" t="s">
        <v>4297</v>
      </c>
      <c r="B1471" s="59">
        <v>43377.0</v>
      </c>
      <c r="C1471" s="59">
        <v>43290.0</v>
      </c>
      <c r="D1471" s="60" t="s">
        <v>4291</v>
      </c>
      <c r="E1471" s="58" t="s">
        <v>41</v>
      </c>
      <c r="F1471" s="58">
        <v>1.0</v>
      </c>
      <c r="G1471" s="58" t="s">
        <v>32</v>
      </c>
      <c r="H1471" s="33">
        <f t="shared" si="219"/>
        <v>1</v>
      </c>
      <c r="I1471" s="58" t="s">
        <v>4298</v>
      </c>
      <c r="J1471" s="58"/>
      <c r="K1471" s="58">
        <v>1.0</v>
      </c>
      <c r="L1471" s="58" t="s">
        <v>52</v>
      </c>
      <c r="M1471" s="61" t="s">
        <v>4299</v>
      </c>
      <c r="N1471" s="77"/>
      <c r="O1471" s="62"/>
      <c r="P1471" s="62"/>
      <c r="Q1471" s="62"/>
      <c r="R1471" s="62"/>
      <c r="S1471" s="37" t="str">
        <f>IFERROR(__xludf.DUMMYFUNCTION("if(not(iserror(index(split(C1471, "" ""),2))), index(split(C1471, "" ""),1),"""")"),"July")</f>
        <v>July</v>
      </c>
      <c r="T1471" s="38">
        <f>IFERROR(__xludf.DUMMYFUNCTION("if(S1471="""",C1471,if(not(iserror(index(split(C1471, "" ""),3))), index(split(C1471, "" ""),3),index(split(C1471, "" ""),2)))"),2018.0)</f>
        <v>2018</v>
      </c>
      <c r="U1471" s="38" t="b">
        <f t="shared" si="220"/>
        <v>0</v>
      </c>
      <c r="V1471" s="38"/>
      <c r="W1471" s="40"/>
      <c r="X1471" s="40"/>
      <c r="Y1471" s="40"/>
      <c r="Z1471" s="38"/>
      <c r="AA1471" s="38"/>
      <c r="AB1471" s="38"/>
      <c r="AC1471" s="38"/>
      <c r="AD1471" s="38"/>
      <c r="AE1471" s="38"/>
      <c r="AF1471" s="38"/>
      <c r="AG1471" s="38"/>
      <c r="AH1471" s="38"/>
      <c r="AI1471" s="38"/>
      <c r="AJ1471" s="38"/>
      <c r="AK1471" s="38"/>
      <c r="AL1471" s="38"/>
      <c r="AM1471" s="38"/>
      <c r="AN1471" s="38"/>
      <c r="AO1471" s="38"/>
      <c r="AP1471" s="38"/>
      <c r="AQ1471" s="38"/>
      <c r="AR1471" s="38"/>
      <c r="AS1471" s="38"/>
      <c r="AT1471" s="38"/>
      <c r="AU1471" s="38"/>
      <c r="AV1471" s="38"/>
      <c r="AW1471" s="38"/>
      <c r="AX1471" s="38"/>
      <c r="AY1471" s="38"/>
      <c r="AZ1471" s="38"/>
      <c r="BA1471" s="38"/>
      <c r="BB1471" s="38"/>
      <c r="BC1471" s="38"/>
      <c r="BD1471" s="38"/>
      <c r="BE1471" s="38"/>
      <c r="BF1471" s="38"/>
      <c r="BG1471" s="38"/>
      <c r="BH1471" s="38"/>
      <c r="BI1471" s="38"/>
      <c r="BJ1471" s="38"/>
      <c r="BK1471" s="38"/>
      <c r="BL1471" s="38"/>
      <c r="BM1471" s="38"/>
      <c r="BN1471" s="38"/>
      <c r="BO1471" s="38"/>
      <c r="BP1471" s="38"/>
      <c r="BQ1471" s="38"/>
    </row>
    <row r="1472">
      <c r="A1472" s="58" t="s">
        <v>239</v>
      </c>
      <c r="B1472" s="59">
        <v>43291.0</v>
      </c>
      <c r="C1472" s="59">
        <v>43291.0</v>
      </c>
      <c r="D1472" s="60" t="s">
        <v>4300</v>
      </c>
      <c r="E1472" s="58" t="s">
        <v>41</v>
      </c>
      <c r="F1472" s="58">
        <v>1.0</v>
      </c>
      <c r="G1472" s="58" t="s">
        <v>32</v>
      </c>
      <c r="H1472" s="33">
        <f t="shared" si="219"/>
        <v>1</v>
      </c>
      <c r="I1472" s="58" t="s">
        <v>33</v>
      </c>
      <c r="J1472" s="58" t="s">
        <v>147</v>
      </c>
      <c r="K1472" s="58">
        <v>3.0</v>
      </c>
      <c r="L1472" s="58" t="s">
        <v>194</v>
      </c>
      <c r="M1472" s="61" t="s">
        <v>4301</v>
      </c>
      <c r="N1472" s="77"/>
      <c r="O1472" s="62"/>
      <c r="P1472" s="62"/>
      <c r="Q1472" s="62"/>
      <c r="R1472" s="62"/>
      <c r="S1472" s="37" t="str">
        <f>IFERROR(__xludf.DUMMYFUNCTION("if(not(iserror(index(split(C1472, "" ""),2))), index(split(C1472, "" ""),1),"""")"),"July")</f>
        <v>July</v>
      </c>
      <c r="T1472" s="38">
        <f>IFERROR(__xludf.DUMMYFUNCTION("if(S1472="""",C1472,if(not(iserror(index(split(C1472, "" ""),3))), index(split(C1472, "" ""),3),index(split(C1472, "" ""),2)))"),2018.0)</f>
        <v>2018</v>
      </c>
      <c r="U1472" s="38" t="b">
        <f t="shared" si="220"/>
        <v>1</v>
      </c>
      <c r="V1472" s="38"/>
      <c r="W1472" s="40"/>
      <c r="X1472" s="40"/>
      <c r="Y1472" s="40"/>
      <c r="Z1472" s="38"/>
      <c r="AA1472" s="38"/>
      <c r="AB1472" s="38"/>
      <c r="AC1472" s="38"/>
      <c r="AD1472" s="38"/>
      <c r="AE1472" s="38"/>
      <c r="AF1472" s="38"/>
      <c r="AG1472" s="38"/>
      <c r="AH1472" s="38"/>
      <c r="AI1472" s="38"/>
      <c r="AJ1472" s="38"/>
      <c r="AK1472" s="38"/>
      <c r="AL1472" s="38"/>
      <c r="AM1472" s="38"/>
      <c r="AN1472" s="38"/>
      <c r="AO1472" s="38"/>
      <c r="AP1472" s="38"/>
      <c r="AQ1472" s="38"/>
      <c r="AR1472" s="38"/>
      <c r="AS1472" s="38"/>
      <c r="AT1472" s="38"/>
      <c r="AU1472" s="38"/>
      <c r="AV1472" s="38"/>
      <c r="AW1472" s="38"/>
      <c r="AX1472" s="38"/>
      <c r="AY1472" s="38"/>
      <c r="AZ1472" s="38"/>
      <c r="BA1472" s="38"/>
      <c r="BB1472" s="38"/>
      <c r="BC1472" s="38"/>
      <c r="BD1472" s="38"/>
      <c r="BE1472" s="38"/>
      <c r="BF1472" s="38"/>
      <c r="BG1472" s="38"/>
      <c r="BH1472" s="38"/>
      <c r="BI1472" s="38"/>
      <c r="BJ1472" s="38"/>
      <c r="BK1472" s="38"/>
      <c r="BL1472" s="38"/>
      <c r="BM1472" s="38"/>
      <c r="BN1472" s="38"/>
      <c r="BO1472" s="38"/>
      <c r="BP1472" s="38"/>
      <c r="BQ1472" s="38"/>
    </row>
    <row r="1473">
      <c r="A1473" s="58" t="s">
        <v>4302</v>
      </c>
      <c r="B1473" s="59">
        <v>43291.0</v>
      </c>
      <c r="C1473" s="59">
        <v>43291.0</v>
      </c>
      <c r="D1473" s="60" t="s">
        <v>4300</v>
      </c>
      <c r="E1473" s="58" t="s">
        <v>41</v>
      </c>
      <c r="F1473" s="58">
        <v>1.0</v>
      </c>
      <c r="G1473" s="58" t="s">
        <v>32</v>
      </c>
      <c r="H1473" s="33">
        <f t="shared" si="219"/>
        <v>1</v>
      </c>
      <c r="I1473" s="58" t="s">
        <v>33</v>
      </c>
      <c r="J1473" s="58" t="s">
        <v>115</v>
      </c>
      <c r="K1473" s="58">
        <v>2.0</v>
      </c>
      <c r="L1473" s="58" t="s">
        <v>119</v>
      </c>
      <c r="M1473" s="46" t="s">
        <v>4303</v>
      </c>
      <c r="N1473" s="61" t="s">
        <v>4304</v>
      </c>
      <c r="O1473" s="140" t="str">
        <f>hyperlink("https://bad-boys.us/?q=WD-PA/1:18-cr-00018", "WD-PA 1:18-cr-00018")</f>
        <v>WD-PA 1:18-cr-00018</v>
      </c>
      <c r="P1473" s="140" t="s">
        <v>4305</v>
      </c>
      <c r="Q1473" s="84">
        <v>1.0</v>
      </c>
      <c r="R1473" s="62"/>
      <c r="S1473" s="37" t="str">
        <f>IFERROR(__xludf.DUMMYFUNCTION("if(not(iserror(index(split(C1473, "" ""),2))), index(split(C1473, "" ""),1),"""")"),"July")</f>
        <v>July</v>
      </c>
      <c r="T1473" s="38">
        <f>IFERROR(__xludf.DUMMYFUNCTION("if(S1473="""",C1473,if(not(iserror(index(split(C1473, "" ""),3))), index(split(C1473, "" ""),3),index(split(C1473, "" ""),2)))"),2018.0)</f>
        <v>2018</v>
      </c>
      <c r="U1473" s="38" t="b">
        <f t="shared" si="220"/>
        <v>0</v>
      </c>
      <c r="V1473" s="38"/>
      <c r="W1473" s="40"/>
      <c r="X1473" s="40"/>
      <c r="Y1473" s="40"/>
      <c r="Z1473" s="38"/>
      <c r="AA1473" s="38"/>
      <c r="AB1473" s="38"/>
      <c r="AC1473" s="38"/>
      <c r="AD1473" s="38"/>
      <c r="AE1473" s="38"/>
      <c r="AF1473" s="38"/>
      <c r="AG1473" s="38"/>
      <c r="AH1473" s="38"/>
      <c r="AI1473" s="38"/>
      <c r="AJ1473" s="38"/>
      <c r="AK1473" s="38"/>
      <c r="AL1473" s="38"/>
      <c r="AM1473" s="38"/>
      <c r="AN1473" s="38"/>
      <c r="AO1473" s="38"/>
      <c r="AP1473" s="38"/>
      <c r="AQ1473" s="38"/>
      <c r="AR1473" s="38"/>
      <c r="AS1473" s="38"/>
      <c r="AT1473" s="38"/>
      <c r="AU1473" s="38"/>
      <c r="AV1473" s="38"/>
      <c r="AW1473" s="38"/>
      <c r="AX1473" s="38"/>
      <c r="AY1473" s="38"/>
      <c r="AZ1473" s="38"/>
      <c r="BA1473" s="38"/>
      <c r="BB1473" s="38"/>
      <c r="BC1473" s="38"/>
      <c r="BD1473" s="38"/>
      <c r="BE1473" s="38"/>
      <c r="BF1473" s="38"/>
      <c r="BG1473" s="38"/>
      <c r="BH1473" s="38"/>
      <c r="BI1473" s="38"/>
      <c r="BJ1473" s="38"/>
      <c r="BK1473" s="38"/>
      <c r="BL1473" s="38"/>
      <c r="BM1473" s="38"/>
      <c r="BN1473" s="38"/>
      <c r="BO1473" s="38"/>
      <c r="BP1473" s="38"/>
      <c r="BQ1473" s="38"/>
    </row>
    <row r="1474">
      <c r="A1474" s="78" t="s">
        <v>239</v>
      </c>
      <c r="B1474" s="59">
        <v>43292.0</v>
      </c>
      <c r="C1474" s="59">
        <v>43291.0</v>
      </c>
      <c r="D1474" s="60" t="s">
        <v>4300</v>
      </c>
      <c r="E1474" s="58" t="s">
        <v>41</v>
      </c>
      <c r="F1474" s="58">
        <v>1.0</v>
      </c>
      <c r="G1474" s="58">
        <v>2.0</v>
      </c>
      <c r="H1474" s="33">
        <f t="shared" si="219"/>
        <v>2</v>
      </c>
      <c r="I1474" s="58" t="s">
        <v>33</v>
      </c>
      <c r="J1474" s="58" t="s">
        <v>147</v>
      </c>
      <c r="K1474" s="58">
        <v>1.0</v>
      </c>
      <c r="L1474" s="58" t="s">
        <v>194</v>
      </c>
      <c r="M1474" s="46" t="s">
        <v>4306</v>
      </c>
      <c r="N1474" s="77"/>
      <c r="O1474" s="62"/>
      <c r="P1474" s="62"/>
      <c r="Q1474" s="62"/>
      <c r="R1474" s="62"/>
      <c r="S1474" s="37" t="str">
        <f>IFERROR(__xludf.DUMMYFUNCTION("if(not(iserror(index(split(C1474, "" ""),2))), index(split(C1474, "" ""),1),"""")"),"July")</f>
        <v>July</v>
      </c>
      <c r="T1474" s="38">
        <f>IFERROR(__xludf.DUMMYFUNCTION("if(S1474="""",C1474,if(not(iserror(index(split(C1474, "" ""),3))), index(split(C1474, "" ""),3),index(split(C1474, "" ""),2)))"),2018.0)</f>
        <v>2018</v>
      </c>
      <c r="U1474" s="38" t="b">
        <f t="shared" si="220"/>
        <v>1</v>
      </c>
      <c r="V1474" s="38"/>
      <c r="W1474" s="40"/>
      <c r="X1474" s="40"/>
      <c r="Y1474" s="40"/>
      <c r="Z1474" s="38"/>
      <c r="AA1474" s="38"/>
      <c r="AB1474" s="38"/>
      <c r="AC1474" s="38"/>
      <c r="AD1474" s="38"/>
      <c r="AE1474" s="38"/>
      <c r="AF1474" s="38"/>
      <c r="AG1474" s="38"/>
      <c r="AH1474" s="38"/>
      <c r="AI1474" s="38"/>
      <c r="AJ1474" s="38"/>
      <c r="AK1474" s="38"/>
      <c r="AL1474" s="38"/>
      <c r="AM1474" s="38"/>
      <c r="AN1474" s="38"/>
      <c r="AO1474" s="38"/>
      <c r="AP1474" s="38"/>
      <c r="AQ1474" s="38"/>
      <c r="AR1474" s="38"/>
      <c r="AS1474" s="38"/>
      <c r="AT1474" s="38"/>
      <c r="AU1474" s="38"/>
      <c r="AV1474" s="38"/>
      <c r="AW1474" s="38"/>
      <c r="AX1474" s="38"/>
      <c r="AY1474" s="38"/>
      <c r="AZ1474" s="38"/>
      <c r="BA1474" s="38"/>
      <c r="BB1474" s="38"/>
      <c r="BC1474" s="38"/>
      <c r="BD1474" s="38"/>
      <c r="BE1474" s="38"/>
      <c r="BF1474" s="38"/>
      <c r="BG1474" s="38"/>
      <c r="BH1474" s="38"/>
      <c r="BI1474" s="38"/>
      <c r="BJ1474" s="38"/>
      <c r="BK1474" s="38"/>
      <c r="BL1474" s="38"/>
      <c r="BM1474" s="38"/>
      <c r="BN1474" s="38"/>
      <c r="BO1474" s="38"/>
      <c r="BP1474" s="38"/>
      <c r="BQ1474" s="38"/>
    </row>
    <row r="1475">
      <c r="A1475" s="78" t="s">
        <v>239</v>
      </c>
      <c r="B1475" s="59">
        <v>43292.0</v>
      </c>
      <c r="C1475" s="59">
        <v>43291.0</v>
      </c>
      <c r="D1475" s="60" t="s">
        <v>4300</v>
      </c>
      <c r="E1475" s="58" t="s">
        <v>41</v>
      </c>
      <c r="F1475" s="58">
        <v>1.0</v>
      </c>
      <c r="G1475" s="58">
        <v>2.0</v>
      </c>
      <c r="H1475" s="33">
        <f t="shared" si="219"/>
        <v>2</v>
      </c>
      <c r="I1475" s="58" t="s">
        <v>33</v>
      </c>
      <c r="J1475" s="58" t="s">
        <v>147</v>
      </c>
      <c r="K1475" s="58">
        <v>1.0</v>
      </c>
      <c r="L1475" s="58" t="s">
        <v>194</v>
      </c>
      <c r="M1475" s="46" t="s">
        <v>4306</v>
      </c>
      <c r="N1475" s="77"/>
      <c r="O1475" s="62"/>
      <c r="P1475" s="62"/>
      <c r="Q1475" s="62"/>
      <c r="R1475" s="62"/>
      <c r="S1475" s="37" t="str">
        <f>IFERROR(__xludf.DUMMYFUNCTION("if(not(iserror(index(split(C1475, "" ""),2))), index(split(C1475, "" ""),1),"""")"),"July")</f>
        <v>July</v>
      </c>
      <c r="T1475" s="38">
        <f>IFERROR(__xludf.DUMMYFUNCTION("if(S1475="""",C1475,if(not(iserror(index(split(C1475, "" ""),3))), index(split(C1475, "" ""),3),index(split(C1475, "" ""),2)))"),2018.0)</f>
        <v>2018</v>
      </c>
      <c r="U1475" s="38" t="b">
        <f t="shared" si="220"/>
        <v>1</v>
      </c>
      <c r="V1475" s="38"/>
      <c r="W1475" s="40"/>
      <c r="X1475" s="40"/>
      <c r="Y1475" s="40"/>
      <c r="Z1475" s="38"/>
      <c r="AA1475" s="38"/>
      <c r="AB1475" s="38"/>
      <c r="AC1475" s="38"/>
      <c r="AD1475" s="38"/>
      <c r="AE1475" s="38"/>
      <c r="AF1475" s="38"/>
      <c r="AG1475" s="38"/>
      <c r="AH1475" s="38"/>
      <c r="AI1475" s="38"/>
      <c r="AJ1475" s="38"/>
      <c r="AK1475" s="38"/>
      <c r="AL1475" s="38"/>
      <c r="AM1475" s="38"/>
      <c r="AN1475" s="38"/>
      <c r="AO1475" s="38"/>
      <c r="AP1475" s="38"/>
      <c r="AQ1475" s="38"/>
      <c r="AR1475" s="38"/>
      <c r="AS1475" s="38"/>
      <c r="AT1475" s="38"/>
      <c r="AU1475" s="38"/>
      <c r="AV1475" s="38"/>
      <c r="AW1475" s="38"/>
      <c r="AX1475" s="38"/>
      <c r="AY1475" s="38"/>
      <c r="AZ1475" s="38"/>
      <c r="BA1475" s="38"/>
      <c r="BB1475" s="38"/>
      <c r="BC1475" s="38"/>
      <c r="BD1475" s="38"/>
      <c r="BE1475" s="38"/>
      <c r="BF1475" s="38"/>
      <c r="BG1475" s="38"/>
      <c r="BH1475" s="38"/>
      <c r="BI1475" s="38"/>
      <c r="BJ1475" s="38"/>
      <c r="BK1475" s="38"/>
      <c r="BL1475" s="38"/>
      <c r="BM1475" s="38"/>
      <c r="BN1475" s="38"/>
      <c r="BO1475" s="38"/>
      <c r="BP1475" s="38"/>
      <c r="BQ1475" s="38"/>
    </row>
    <row r="1476">
      <c r="A1476" s="58" t="s">
        <v>239</v>
      </c>
      <c r="B1476" s="59">
        <v>43292.0</v>
      </c>
      <c r="C1476" s="59">
        <v>43291.0</v>
      </c>
      <c r="D1476" s="60" t="s">
        <v>4300</v>
      </c>
      <c r="E1476" s="58" t="s">
        <v>41</v>
      </c>
      <c r="F1476" s="58">
        <v>1.0</v>
      </c>
      <c r="G1476" s="58" t="s">
        <v>32</v>
      </c>
      <c r="H1476" s="33">
        <f t="shared" si="219"/>
        <v>1</v>
      </c>
      <c r="I1476" s="58" t="s">
        <v>33</v>
      </c>
      <c r="J1476" s="58" t="s">
        <v>147</v>
      </c>
      <c r="K1476" s="58">
        <v>1.0</v>
      </c>
      <c r="L1476" s="58" t="s">
        <v>194</v>
      </c>
      <c r="M1476" s="46" t="s">
        <v>4307</v>
      </c>
      <c r="N1476" s="77"/>
      <c r="O1476" s="62"/>
      <c r="P1476" s="62"/>
      <c r="Q1476" s="62"/>
      <c r="R1476" s="62"/>
      <c r="S1476" s="37" t="str">
        <f>IFERROR(__xludf.DUMMYFUNCTION("if(not(iserror(index(split(C1476, "" ""),2))), index(split(C1476, "" ""),1),"""")"),"July")</f>
        <v>July</v>
      </c>
      <c r="T1476" s="38">
        <f>IFERROR(__xludf.DUMMYFUNCTION("if(S1476="""",C1476,if(not(iserror(index(split(C1476, "" ""),3))), index(split(C1476, "" ""),3),index(split(C1476, "" ""),2)))"),2018.0)</f>
        <v>2018</v>
      </c>
      <c r="U1476" s="38" t="b">
        <f t="shared" si="220"/>
        <v>1</v>
      </c>
      <c r="V1476" s="38"/>
      <c r="W1476" s="40"/>
      <c r="X1476" s="40"/>
      <c r="Y1476" s="40"/>
      <c r="Z1476" s="38"/>
      <c r="AA1476" s="38"/>
      <c r="AB1476" s="38"/>
      <c r="AC1476" s="38"/>
      <c r="AD1476" s="38"/>
      <c r="AE1476" s="38"/>
      <c r="AF1476" s="38"/>
      <c r="AG1476" s="38"/>
      <c r="AH1476" s="38"/>
      <c r="AI1476" s="38"/>
      <c r="AJ1476" s="38"/>
      <c r="AK1476" s="38"/>
      <c r="AL1476" s="38"/>
      <c r="AM1476" s="38"/>
      <c r="AN1476" s="38"/>
      <c r="AO1476" s="38"/>
      <c r="AP1476" s="38"/>
      <c r="AQ1476" s="38"/>
      <c r="AR1476" s="38"/>
      <c r="AS1476" s="38"/>
      <c r="AT1476" s="38"/>
      <c r="AU1476" s="38"/>
      <c r="AV1476" s="38"/>
      <c r="AW1476" s="38"/>
      <c r="AX1476" s="38"/>
      <c r="AY1476" s="38"/>
      <c r="AZ1476" s="38"/>
      <c r="BA1476" s="38"/>
      <c r="BB1476" s="38"/>
      <c r="BC1476" s="38"/>
      <c r="BD1476" s="38"/>
      <c r="BE1476" s="38"/>
      <c r="BF1476" s="38"/>
      <c r="BG1476" s="38"/>
      <c r="BH1476" s="38"/>
      <c r="BI1476" s="38"/>
      <c r="BJ1476" s="38"/>
      <c r="BK1476" s="38"/>
      <c r="BL1476" s="38"/>
      <c r="BM1476" s="38"/>
      <c r="BN1476" s="38"/>
      <c r="BO1476" s="38"/>
      <c r="BP1476" s="38"/>
      <c r="BQ1476" s="38"/>
    </row>
    <row r="1477">
      <c r="A1477" s="78" t="s">
        <v>4308</v>
      </c>
      <c r="B1477" s="59">
        <v>43292.0</v>
      </c>
      <c r="C1477" s="59">
        <v>43291.0</v>
      </c>
      <c r="D1477" s="60" t="s">
        <v>4300</v>
      </c>
      <c r="E1477" s="58" t="s">
        <v>31</v>
      </c>
      <c r="F1477" s="58">
        <v>1.0</v>
      </c>
      <c r="G1477" s="58" t="s">
        <v>32</v>
      </c>
      <c r="H1477" s="33">
        <f t="shared" si="219"/>
        <v>1</v>
      </c>
      <c r="I1477" s="58" t="s">
        <v>33</v>
      </c>
      <c r="J1477" s="58" t="s">
        <v>172</v>
      </c>
      <c r="K1477" s="58">
        <v>1.0</v>
      </c>
      <c r="L1477" s="58" t="s">
        <v>52</v>
      </c>
      <c r="M1477" s="46" t="s">
        <v>4309</v>
      </c>
      <c r="N1477" s="77"/>
      <c r="O1477" s="62"/>
      <c r="P1477" s="62"/>
      <c r="Q1477" s="62"/>
      <c r="R1477" s="62"/>
      <c r="S1477" s="37" t="str">
        <f>IFERROR(__xludf.DUMMYFUNCTION("if(not(iserror(index(split(C1477, "" ""),2))), index(split(C1477, "" ""),1),"""")"),"July")</f>
        <v>July</v>
      </c>
      <c r="T1477" s="38">
        <f>IFERROR(__xludf.DUMMYFUNCTION("if(S1477="""",C1477,if(not(iserror(index(split(C1477, "" ""),3))), index(split(C1477, "" ""),3),index(split(C1477, "" ""),2)))"),2018.0)</f>
        <v>2018</v>
      </c>
      <c r="U1477" s="38" t="b">
        <f t="shared" si="220"/>
        <v>0</v>
      </c>
      <c r="V1477" s="38"/>
      <c r="W1477" s="40"/>
      <c r="X1477" s="40"/>
      <c r="Y1477" s="40"/>
      <c r="Z1477" s="38"/>
      <c r="AA1477" s="38"/>
      <c r="AB1477" s="38"/>
      <c r="AC1477" s="38"/>
      <c r="AD1477" s="38"/>
      <c r="AE1477" s="38"/>
      <c r="AF1477" s="38"/>
      <c r="AG1477" s="38"/>
      <c r="AH1477" s="38"/>
      <c r="AI1477" s="38"/>
      <c r="AJ1477" s="38"/>
      <c r="AK1477" s="38"/>
      <c r="AL1477" s="38"/>
      <c r="AM1477" s="38"/>
      <c r="AN1477" s="38"/>
      <c r="AO1477" s="38"/>
      <c r="AP1477" s="38"/>
      <c r="AQ1477" s="38"/>
      <c r="AR1477" s="38"/>
      <c r="AS1477" s="38"/>
      <c r="AT1477" s="38"/>
      <c r="AU1477" s="38"/>
      <c r="AV1477" s="38"/>
      <c r="AW1477" s="38"/>
      <c r="AX1477" s="38"/>
      <c r="AY1477" s="38"/>
      <c r="AZ1477" s="38"/>
      <c r="BA1477" s="38"/>
      <c r="BB1477" s="38"/>
      <c r="BC1477" s="38"/>
      <c r="BD1477" s="38"/>
      <c r="BE1477" s="38"/>
      <c r="BF1477" s="38"/>
      <c r="BG1477" s="38"/>
      <c r="BH1477" s="38"/>
      <c r="BI1477" s="38"/>
      <c r="BJ1477" s="38"/>
      <c r="BK1477" s="38"/>
      <c r="BL1477" s="38"/>
      <c r="BM1477" s="38"/>
      <c r="BN1477" s="38"/>
      <c r="BO1477" s="38"/>
      <c r="BP1477" s="38"/>
      <c r="BQ1477" s="38"/>
    </row>
    <row r="1478">
      <c r="A1478" s="78" t="s">
        <v>239</v>
      </c>
      <c r="B1478" s="99">
        <v>43293.0</v>
      </c>
      <c r="C1478" s="59">
        <v>43291.0</v>
      </c>
      <c r="D1478" s="60" t="s">
        <v>4300</v>
      </c>
      <c r="E1478" s="58" t="s">
        <v>41</v>
      </c>
      <c r="F1478" s="58">
        <v>1.0</v>
      </c>
      <c r="G1478" s="58">
        <v>2.0</v>
      </c>
      <c r="H1478" s="33">
        <f t="shared" si="219"/>
        <v>2</v>
      </c>
      <c r="I1478" s="58" t="s">
        <v>33</v>
      </c>
      <c r="J1478" s="58" t="s">
        <v>241</v>
      </c>
      <c r="K1478" s="58">
        <v>1.0</v>
      </c>
      <c r="L1478" s="58" t="s">
        <v>194</v>
      </c>
      <c r="M1478" s="46" t="s">
        <v>4310</v>
      </c>
      <c r="N1478" s="77"/>
      <c r="O1478" s="62"/>
      <c r="P1478" s="62"/>
      <c r="Q1478" s="62"/>
      <c r="R1478" s="62"/>
      <c r="S1478" s="37" t="str">
        <f>IFERROR(__xludf.DUMMYFUNCTION("if(not(iserror(index(split(C1478, "" ""),2))), index(split(C1478, "" ""),1),"""")"),"July")</f>
        <v>July</v>
      </c>
      <c r="T1478" s="38">
        <f>IFERROR(__xludf.DUMMYFUNCTION("if(S1478="""",C1478,if(not(iserror(index(split(C1478, "" ""),3))), index(split(C1478, "" ""),3),index(split(C1478, "" ""),2)))"),2018.0)</f>
        <v>2018</v>
      </c>
      <c r="U1478" s="38" t="b">
        <f t="shared" si="220"/>
        <v>1</v>
      </c>
      <c r="V1478" s="38"/>
      <c r="W1478" s="40"/>
      <c r="X1478" s="40"/>
      <c r="Y1478" s="40"/>
      <c r="Z1478" s="38"/>
      <c r="AA1478" s="38"/>
      <c r="AB1478" s="38"/>
      <c r="AC1478" s="38"/>
      <c r="AD1478" s="38"/>
      <c r="AE1478" s="38"/>
      <c r="AF1478" s="38"/>
      <c r="AG1478" s="38"/>
      <c r="AH1478" s="38"/>
      <c r="AI1478" s="38"/>
      <c r="AJ1478" s="38"/>
      <c r="AK1478" s="38"/>
      <c r="AL1478" s="38"/>
      <c r="AM1478" s="38"/>
      <c r="AN1478" s="38"/>
      <c r="AO1478" s="38"/>
      <c r="AP1478" s="38"/>
      <c r="AQ1478" s="38"/>
      <c r="AR1478" s="38"/>
      <c r="AS1478" s="38"/>
      <c r="AT1478" s="38"/>
      <c r="AU1478" s="38"/>
      <c r="AV1478" s="38"/>
      <c r="AW1478" s="38"/>
      <c r="AX1478" s="38"/>
      <c r="AY1478" s="38"/>
      <c r="AZ1478" s="38"/>
      <c r="BA1478" s="38"/>
      <c r="BB1478" s="38"/>
      <c r="BC1478" s="38"/>
      <c r="BD1478" s="38"/>
      <c r="BE1478" s="38"/>
      <c r="BF1478" s="38"/>
      <c r="BG1478" s="38"/>
      <c r="BH1478" s="38"/>
      <c r="BI1478" s="38"/>
      <c r="BJ1478" s="38"/>
      <c r="BK1478" s="38"/>
      <c r="BL1478" s="38"/>
      <c r="BM1478" s="38"/>
      <c r="BN1478" s="38"/>
      <c r="BO1478" s="38"/>
      <c r="BP1478" s="38"/>
      <c r="BQ1478" s="38"/>
    </row>
    <row r="1479">
      <c r="A1479" s="58" t="s">
        <v>4311</v>
      </c>
      <c r="B1479" s="59">
        <v>43294.0</v>
      </c>
      <c r="C1479" s="59">
        <v>43291.0</v>
      </c>
      <c r="D1479" s="60" t="s">
        <v>4300</v>
      </c>
      <c r="E1479" s="58" t="s">
        <v>31</v>
      </c>
      <c r="F1479" s="58">
        <v>1.0</v>
      </c>
      <c r="G1479" s="58" t="s">
        <v>32</v>
      </c>
      <c r="H1479" s="33">
        <f t="shared" si="219"/>
        <v>1</v>
      </c>
      <c r="I1479" s="58" t="s">
        <v>33</v>
      </c>
      <c r="J1479" s="58" t="s">
        <v>111</v>
      </c>
      <c r="K1479" s="58">
        <v>1.0</v>
      </c>
      <c r="L1479" s="58" t="s">
        <v>349</v>
      </c>
      <c r="M1479" s="46" t="s">
        <v>4312</v>
      </c>
      <c r="N1479" s="77"/>
      <c r="O1479" s="62"/>
      <c r="P1479" s="62"/>
      <c r="Q1479" s="62"/>
      <c r="R1479" s="62"/>
      <c r="S1479" s="37" t="str">
        <f>IFERROR(__xludf.DUMMYFUNCTION("if(not(iserror(index(split(C1479, "" ""),2))), index(split(C1479, "" ""),1),"""")"),"July")</f>
        <v>July</v>
      </c>
      <c r="T1479" s="38">
        <f>IFERROR(__xludf.DUMMYFUNCTION("if(S1479="""",C1479,if(not(iserror(index(split(C1479, "" ""),3))), index(split(C1479, "" ""),3),index(split(C1479, "" ""),2)))"),2018.0)</f>
        <v>2018</v>
      </c>
      <c r="U1479" s="38" t="b">
        <f t="shared" si="220"/>
        <v>0</v>
      </c>
      <c r="V1479" s="38"/>
      <c r="W1479" s="40"/>
      <c r="X1479" s="40"/>
      <c r="Y1479" s="40"/>
      <c r="Z1479" s="38"/>
      <c r="AA1479" s="38"/>
      <c r="AB1479" s="38"/>
      <c r="AC1479" s="38"/>
      <c r="AD1479" s="38"/>
      <c r="AE1479" s="38"/>
      <c r="AF1479" s="38"/>
      <c r="AG1479" s="38"/>
      <c r="AH1479" s="38"/>
      <c r="AI1479" s="38"/>
      <c r="AJ1479" s="38"/>
      <c r="AK1479" s="38"/>
      <c r="AL1479" s="38"/>
      <c r="AM1479" s="38"/>
      <c r="AN1479" s="38"/>
      <c r="AO1479" s="38"/>
      <c r="AP1479" s="38"/>
      <c r="AQ1479" s="38"/>
      <c r="AR1479" s="38"/>
      <c r="AS1479" s="38"/>
      <c r="AT1479" s="38"/>
      <c r="AU1479" s="38"/>
      <c r="AV1479" s="38"/>
      <c r="AW1479" s="38"/>
      <c r="AX1479" s="38"/>
      <c r="AY1479" s="38"/>
      <c r="AZ1479" s="38"/>
      <c r="BA1479" s="38"/>
      <c r="BB1479" s="38"/>
      <c r="BC1479" s="38"/>
      <c r="BD1479" s="38"/>
      <c r="BE1479" s="38"/>
      <c r="BF1479" s="38"/>
      <c r="BG1479" s="38"/>
      <c r="BH1479" s="38"/>
      <c r="BI1479" s="38"/>
      <c r="BJ1479" s="38"/>
      <c r="BK1479" s="38"/>
      <c r="BL1479" s="38"/>
      <c r="BM1479" s="38"/>
      <c r="BN1479" s="38"/>
      <c r="BO1479" s="38"/>
      <c r="BP1479" s="38"/>
      <c r="BQ1479" s="38"/>
    </row>
    <row r="1480">
      <c r="A1480" s="78" t="s">
        <v>40</v>
      </c>
      <c r="B1480" s="59">
        <v>43292.0</v>
      </c>
      <c r="C1480" s="59">
        <v>43292.0</v>
      </c>
      <c r="D1480" s="60" t="s">
        <v>4313</v>
      </c>
      <c r="E1480" s="58" t="s">
        <v>41</v>
      </c>
      <c r="F1480" s="58">
        <v>6.0</v>
      </c>
      <c r="G1480" s="58" t="s">
        <v>32</v>
      </c>
      <c r="H1480" s="33">
        <f t="shared" si="219"/>
        <v>1</v>
      </c>
      <c r="I1480" s="58" t="s">
        <v>33</v>
      </c>
      <c r="J1480" s="58" t="s">
        <v>106</v>
      </c>
      <c r="K1480" s="58">
        <v>1.0</v>
      </c>
      <c r="L1480" s="58" t="s">
        <v>52</v>
      </c>
      <c r="M1480" s="46" t="s">
        <v>4314</v>
      </c>
      <c r="N1480" s="77"/>
      <c r="O1480" s="62"/>
      <c r="P1480" s="62"/>
      <c r="Q1480" s="62"/>
      <c r="R1480" s="62"/>
      <c r="S1480" s="37" t="str">
        <f>IFERROR(__xludf.DUMMYFUNCTION("if(not(iserror(index(split(C1480, "" ""),2))), index(split(C1480, "" ""),1),"""")"),"July")</f>
        <v>July</v>
      </c>
      <c r="T1480" s="38">
        <f>IFERROR(__xludf.DUMMYFUNCTION("if(S1480="""",C1480,if(not(iserror(index(split(C1480, "" ""),3))), index(split(C1480, "" ""),3),index(split(C1480, "" ""),2)))"),2018.0)</f>
        <v>2018</v>
      </c>
      <c r="U1480" s="38" t="b">
        <f t="shared" si="220"/>
        <v>1</v>
      </c>
      <c r="V1480" s="38"/>
      <c r="W1480" s="40"/>
      <c r="X1480" s="40"/>
      <c r="Y1480" s="40"/>
      <c r="Z1480" s="38"/>
      <c r="AA1480" s="38"/>
      <c r="AB1480" s="38"/>
      <c r="AC1480" s="38"/>
      <c r="AD1480" s="38"/>
      <c r="AE1480" s="38"/>
      <c r="AF1480" s="38"/>
      <c r="AG1480" s="38"/>
      <c r="AH1480" s="38"/>
      <c r="AI1480" s="38"/>
      <c r="AJ1480" s="38"/>
      <c r="AK1480" s="38"/>
      <c r="AL1480" s="38"/>
      <c r="AM1480" s="38"/>
      <c r="AN1480" s="38"/>
      <c r="AO1480" s="38"/>
      <c r="AP1480" s="38"/>
      <c r="AQ1480" s="38"/>
      <c r="AR1480" s="38"/>
      <c r="AS1480" s="38"/>
      <c r="AT1480" s="38"/>
      <c r="AU1480" s="38"/>
      <c r="AV1480" s="38"/>
      <c r="AW1480" s="38"/>
      <c r="AX1480" s="38"/>
      <c r="AY1480" s="38"/>
      <c r="AZ1480" s="38"/>
      <c r="BA1480" s="38"/>
      <c r="BB1480" s="38"/>
      <c r="BC1480" s="38"/>
      <c r="BD1480" s="38"/>
      <c r="BE1480" s="38"/>
      <c r="BF1480" s="38"/>
      <c r="BG1480" s="38"/>
      <c r="BH1480" s="38"/>
      <c r="BI1480" s="38"/>
      <c r="BJ1480" s="38"/>
      <c r="BK1480" s="38"/>
      <c r="BL1480" s="38"/>
      <c r="BM1480" s="38"/>
      <c r="BN1480" s="38"/>
      <c r="BO1480" s="38"/>
      <c r="BP1480" s="38"/>
      <c r="BQ1480" s="38"/>
    </row>
    <row r="1481">
      <c r="A1481" s="78" t="s">
        <v>4315</v>
      </c>
      <c r="B1481" s="59">
        <v>43292.0</v>
      </c>
      <c r="C1481" s="59">
        <v>43292.0</v>
      </c>
      <c r="D1481" s="60" t="s">
        <v>4313</v>
      </c>
      <c r="E1481" s="58" t="s">
        <v>31</v>
      </c>
      <c r="F1481" s="58">
        <v>1.0</v>
      </c>
      <c r="G1481" s="58" t="s">
        <v>32</v>
      </c>
      <c r="H1481" s="33">
        <f t="shared" si="219"/>
        <v>1</v>
      </c>
      <c r="I1481" s="58" t="s">
        <v>33</v>
      </c>
      <c r="J1481" s="58" t="s">
        <v>115</v>
      </c>
      <c r="K1481" s="58">
        <v>1.0</v>
      </c>
      <c r="L1481" s="58" t="s">
        <v>76</v>
      </c>
      <c r="M1481" s="46" t="s">
        <v>4316</v>
      </c>
      <c r="N1481" s="61" t="s">
        <v>4317</v>
      </c>
      <c r="O1481" s="88" t="str">
        <f>hyperlink("https://bad-boys.us/?q=ED-PA/2:19-cr-00005", "ED-PA 2:19-cr-00005")</f>
        <v>ED-PA 2:19-cr-00005</v>
      </c>
      <c r="P1481" s="88" t="s">
        <v>4318</v>
      </c>
      <c r="Q1481" s="58">
        <v>1.0</v>
      </c>
      <c r="R1481" s="62"/>
      <c r="S1481" s="37" t="str">
        <f>IFERROR(__xludf.DUMMYFUNCTION("if(not(iserror(index(split(C1481, "" ""),2))), index(split(C1481, "" ""),1),"""")"),"July")</f>
        <v>July</v>
      </c>
      <c r="T1481" s="38">
        <f>IFERROR(__xludf.DUMMYFUNCTION("if(S1481="""",C1481,if(not(iserror(index(split(C1481, "" ""),3))), index(split(C1481, "" ""),3),index(split(C1481, "" ""),2)))"),2018.0)</f>
        <v>2018</v>
      </c>
      <c r="U1481" s="38" t="b">
        <f t="shared" si="220"/>
        <v>0</v>
      </c>
      <c r="V1481" s="38" t="s">
        <v>33</v>
      </c>
      <c r="W1481" s="39" t="s">
        <v>4319</v>
      </c>
      <c r="X1481" s="40"/>
      <c r="Y1481" s="40"/>
      <c r="Z1481" s="38"/>
      <c r="AA1481" s="38"/>
      <c r="AB1481" s="38"/>
      <c r="AC1481" s="38"/>
      <c r="AD1481" s="38"/>
      <c r="AE1481" s="38"/>
      <c r="AF1481" s="38"/>
      <c r="AG1481" s="38"/>
      <c r="AH1481" s="38"/>
      <c r="AI1481" s="38"/>
      <c r="AJ1481" s="38"/>
      <c r="AK1481" s="38"/>
      <c r="AL1481" s="38"/>
      <c r="AM1481" s="38"/>
      <c r="AN1481" s="38"/>
      <c r="AO1481" s="38"/>
      <c r="AP1481" s="38"/>
      <c r="AQ1481" s="38"/>
      <c r="AR1481" s="38"/>
      <c r="AS1481" s="38"/>
      <c r="AT1481" s="38"/>
      <c r="AU1481" s="38"/>
      <c r="AV1481" s="38"/>
      <c r="AW1481" s="38"/>
      <c r="AX1481" s="38"/>
      <c r="AY1481" s="38"/>
      <c r="AZ1481" s="38"/>
      <c r="BA1481" s="38"/>
      <c r="BB1481" s="38"/>
      <c r="BC1481" s="38"/>
      <c r="BD1481" s="38"/>
      <c r="BE1481" s="38"/>
      <c r="BF1481" s="38"/>
      <c r="BG1481" s="38"/>
      <c r="BH1481" s="38"/>
      <c r="BI1481" s="38"/>
      <c r="BJ1481" s="38"/>
      <c r="BK1481" s="38"/>
      <c r="BL1481" s="38"/>
      <c r="BM1481" s="38"/>
      <c r="BN1481" s="38"/>
      <c r="BO1481" s="38"/>
      <c r="BP1481" s="38"/>
      <c r="BQ1481" s="38"/>
    </row>
    <row r="1482">
      <c r="A1482" s="78" t="s">
        <v>4320</v>
      </c>
      <c r="B1482" s="99"/>
      <c r="C1482" s="59">
        <v>43292.0</v>
      </c>
      <c r="D1482" s="60"/>
      <c r="E1482" s="58" t="s">
        <v>41</v>
      </c>
      <c r="F1482" s="58">
        <v>1.0</v>
      </c>
      <c r="G1482" s="58" t="s">
        <v>32</v>
      </c>
      <c r="H1482" s="43">
        <v>1.0</v>
      </c>
      <c r="I1482" s="58" t="s">
        <v>33</v>
      </c>
      <c r="J1482" s="58" t="s">
        <v>115</v>
      </c>
      <c r="K1482" s="58"/>
      <c r="L1482" s="58" t="s">
        <v>76</v>
      </c>
      <c r="M1482" s="46" t="s">
        <v>4321</v>
      </c>
      <c r="N1482" s="77"/>
      <c r="O1482" s="62"/>
      <c r="P1482" s="62"/>
      <c r="Q1482" s="58">
        <v>1.0</v>
      </c>
      <c r="R1482" s="62"/>
      <c r="S1482" s="37"/>
      <c r="T1482" s="38"/>
      <c r="U1482" s="38"/>
      <c r="V1482" s="38" t="s">
        <v>33</v>
      </c>
      <c r="W1482" s="40"/>
      <c r="X1482" s="40"/>
      <c r="Y1482" s="40"/>
      <c r="Z1482" s="38"/>
      <c r="AA1482" s="38"/>
      <c r="AB1482" s="38"/>
      <c r="AC1482" s="38"/>
      <c r="AD1482" s="38"/>
      <c r="AE1482" s="38"/>
      <c r="AF1482" s="38"/>
      <c r="AG1482" s="38"/>
      <c r="AH1482" s="38"/>
      <c r="AI1482" s="38"/>
      <c r="AJ1482" s="38"/>
      <c r="AK1482" s="38"/>
      <c r="AL1482" s="38"/>
      <c r="AM1482" s="38"/>
      <c r="AN1482" s="38"/>
      <c r="AO1482" s="38"/>
      <c r="AP1482" s="38"/>
      <c r="AQ1482" s="38"/>
      <c r="AR1482" s="38"/>
      <c r="AS1482" s="38"/>
      <c r="AT1482" s="38"/>
      <c r="AU1482" s="38"/>
      <c r="AV1482" s="38"/>
      <c r="AW1482" s="38"/>
      <c r="AX1482" s="38"/>
      <c r="AY1482" s="38"/>
      <c r="AZ1482" s="38"/>
      <c r="BA1482" s="38"/>
      <c r="BB1482" s="38"/>
      <c r="BC1482" s="38"/>
      <c r="BD1482" s="38"/>
      <c r="BE1482" s="38"/>
      <c r="BF1482" s="38"/>
      <c r="BG1482" s="38"/>
      <c r="BH1482" s="38"/>
      <c r="BI1482" s="38"/>
      <c r="BJ1482" s="38"/>
      <c r="BK1482" s="38"/>
      <c r="BL1482" s="38"/>
      <c r="BM1482" s="38"/>
      <c r="BN1482" s="38"/>
      <c r="BO1482" s="38"/>
      <c r="BP1482" s="38"/>
      <c r="BQ1482" s="38"/>
    </row>
    <row r="1483">
      <c r="A1483" s="78" t="s">
        <v>239</v>
      </c>
      <c r="B1483" s="99">
        <v>43293.0</v>
      </c>
      <c r="C1483" s="59">
        <v>43292.0</v>
      </c>
      <c r="D1483" s="60" t="s">
        <v>4313</v>
      </c>
      <c r="E1483" s="58" t="s">
        <v>41</v>
      </c>
      <c r="F1483" s="58">
        <v>1.0</v>
      </c>
      <c r="G1483" s="58">
        <v>12.0</v>
      </c>
      <c r="H1483" s="33">
        <f t="shared" ref="H1483:H1493" si="221">if(G1483="Unknown",1,G1483)</f>
        <v>12</v>
      </c>
      <c r="I1483" s="58">
        <v>12.0</v>
      </c>
      <c r="J1483" s="58" t="s">
        <v>241</v>
      </c>
      <c r="K1483" s="58">
        <v>1.0</v>
      </c>
      <c r="L1483" s="58" t="s">
        <v>194</v>
      </c>
      <c r="M1483" s="46" t="s">
        <v>4322</v>
      </c>
      <c r="N1483" s="77"/>
      <c r="O1483" s="62"/>
      <c r="P1483" s="62"/>
      <c r="Q1483" s="62"/>
      <c r="R1483" s="62"/>
      <c r="S1483" s="37" t="str">
        <f>IFERROR(__xludf.DUMMYFUNCTION("if(not(iserror(index(split(C1483, "" ""),2))), index(split(C1483, "" ""),1),"""")"),"July")</f>
        <v>July</v>
      </c>
      <c r="T1483" s="38">
        <f>IFERROR(__xludf.DUMMYFUNCTION("if(S1483="""",C1483,if(not(iserror(index(split(C1483, "" ""),3))), index(split(C1483, "" ""),3),index(split(C1483, "" ""),2)))"),2018.0)</f>
        <v>2018</v>
      </c>
      <c r="U1483" s="38" t="b">
        <f t="shared" ref="U1483:U1493" si="222">countif(A$4:A4658, A1483)&gt;1</f>
        <v>1</v>
      </c>
      <c r="V1483" s="38"/>
      <c r="W1483" s="40"/>
      <c r="X1483" s="40"/>
      <c r="Y1483" s="40"/>
      <c r="Z1483" s="38"/>
      <c r="AA1483" s="38"/>
      <c r="AB1483" s="38"/>
      <c r="AC1483" s="38"/>
      <c r="AD1483" s="38"/>
      <c r="AE1483" s="38"/>
      <c r="AF1483" s="38"/>
      <c r="AG1483" s="38"/>
      <c r="AH1483" s="38"/>
      <c r="AI1483" s="38"/>
      <c r="AJ1483" s="38"/>
      <c r="AK1483" s="38"/>
      <c r="AL1483" s="38"/>
      <c r="AM1483" s="38"/>
      <c r="AN1483" s="38"/>
      <c r="AO1483" s="38"/>
      <c r="AP1483" s="38"/>
      <c r="AQ1483" s="38"/>
      <c r="AR1483" s="38"/>
      <c r="AS1483" s="38"/>
      <c r="AT1483" s="38"/>
      <c r="AU1483" s="38"/>
      <c r="AV1483" s="38"/>
      <c r="AW1483" s="38"/>
      <c r="AX1483" s="38"/>
      <c r="AY1483" s="38"/>
      <c r="AZ1483" s="38"/>
      <c r="BA1483" s="38"/>
      <c r="BB1483" s="38"/>
      <c r="BC1483" s="38"/>
      <c r="BD1483" s="38"/>
      <c r="BE1483" s="38"/>
      <c r="BF1483" s="38"/>
      <c r="BG1483" s="38"/>
      <c r="BH1483" s="38"/>
      <c r="BI1483" s="38"/>
      <c r="BJ1483" s="38"/>
      <c r="BK1483" s="38"/>
      <c r="BL1483" s="38"/>
      <c r="BM1483" s="38"/>
      <c r="BN1483" s="38"/>
      <c r="BO1483" s="38"/>
      <c r="BP1483" s="38"/>
      <c r="BQ1483" s="38"/>
    </row>
    <row r="1484">
      <c r="A1484" s="78" t="s">
        <v>4323</v>
      </c>
      <c r="B1484" s="59">
        <v>43299.0</v>
      </c>
      <c r="C1484" s="59">
        <v>43292.0</v>
      </c>
      <c r="D1484" s="60" t="s">
        <v>4313</v>
      </c>
      <c r="E1484" s="58" t="s">
        <v>31</v>
      </c>
      <c r="F1484" s="58">
        <v>2.0</v>
      </c>
      <c r="G1484" s="58" t="s">
        <v>32</v>
      </c>
      <c r="H1484" s="33">
        <f t="shared" si="221"/>
        <v>1</v>
      </c>
      <c r="I1484" s="58" t="s">
        <v>33</v>
      </c>
      <c r="J1484" s="58" t="s">
        <v>93</v>
      </c>
      <c r="K1484" s="58" t="s">
        <v>32</v>
      </c>
      <c r="L1484" s="58" t="s">
        <v>52</v>
      </c>
      <c r="M1484" s="61" t="s">
        <v>4324</v>
      </c>
      <c r="N1484" s="77"/>
      <c r="O1484" s="62"/>
      <c r="P1484" s="62"/>
      <c r="Q1484" s="62"/>
      <c r="R1484" s="62"/>
      <c r="S1484" s="37" t="str">
        <f>IFERROR(__xludf.DUMMYFUNCTION("if(not(iserror(index(split(C1484, "" ""),2))), index(split(C1484, "" ""),1),"""")"),"July")</f>
        <v>July</v>
      </c>
      <c r="T1484" s="38">
        <f>IFERROR(__xludf.DUMMYFUNCTION("if(S1484="""",C1484,if(not(iserror(index(split(C1484, "" ""),3))), index(split(C1484, "" ""),3),index(split(C1484, "" ""),2)))"),2018.0)</f>
        <v>2018</v>
      </c>
      <c r="U1484" s="38" t="b">
        <f t="shared" si="222"/>
        <v>0</v>
      </c>
      <c r="V1484" s="38"/>
      <c r="W1484" s="40"/>
      <c r="X1484" s="40"/>
      <c r="Y1484" s="40"/>
      <c r="Z1484" s="38"/>
      <c r="AA1484" s="38"/>
      <c r="AB1484" s="38"/>
      <c r="AC1484" s="38"/>
      <c r="AD1484" s="38"/>
      <c r="AE1484" s="38"/>
      <c r="AF1484" s="38"/>
      <c r="AG1484" s="38"/>
      <c r="AH1484" s="38"/>
      <c r="AI1484" s="38"/>
      <c r="AJ1484" s="38"/>
      <c r="AK1484" s="38"/>
      <c r="AL1484" s="38"/>
      <c r="AM1484" s="38"/>
      <c r="AN1484" s="38"/>
      <c r="AO1484" s="38"/>
      <c r="AP1484" s="38"/>
      <c r="AQ1484" s="38"/>
      <c r="AR1484" s="38"/>
      <c r="AS1484" s="38"/>
      <c r="AT1484" s="38"/>
      <c r="AU1484" s="38"/>
      <c r="AV1484" s="38"/>
      <c r="AW1484" s="38"/>
      <c r="AX1484" s="38"/>
      <c r="AY1484" s="38"/>
      <c r="AZ1484" s="38"/>
      <c r="BA1484" s="38"/>
      <c r="BB1484" s="38"/>
      <c r="BC1484" s="38"/>
      <c r="BD1484" s="38"/>
      <c r="BE1484" s="38"/>
      <c r="BF1484" s="38"/>
      <c r="BG1484" s="38"/>
      <c r="BH1484" s="38"/>
      <c r="BI1484" s="38"/>
      <c r="BJ1484" s="38"/>
      <c r="BK1484" s="38"/>
      <c r="BL1484" s="38"/>
      <c r="BM1484" s="38"/>
      <c r="BN1484" s="38"/>
      <c r="BO1484" s="38"/>
      <c r="BP1484" s="38"/>
      <c r="BQ1484" s="38"/>
    </row>
    <row r="1485">
      <c r="A1485" s="58" t="s">
        <v>4325</v>
      </c>
      <c r="B1485" s="59">
        <v>43378.0</v>
      </c>
      <c r="C1485" s="59">
        <v>43292.0</v>
      </c>
      <c r="D1485" s="60" t="s">
        <v>4313</v>
      </c>
      <c r="E1485" s="58" t="s">
        <v>41</v>
      </c>
      <c r="F1485" s="58">
        <v>1.0</v>
      </c>
      <c r="G1485" s="58" t="s">
        <v>32</v>
      </c>
      <c r="H1485" s="33">
        <f t="shared" si="221"/>
        <v>1</v>
      </c>
      <c r="I1485" s="58" t="s">
        <v>33</v>
      </c>
      <c r="J1485" s="58" t="s">
        <v>75</v>
      </c>
      <c r="K1485" s="58">
        <v>1.0</v>
      </c>
      <c r="L1485" s="58" t="s">
        <v>119</v>
      </c>
      <c r="M1485" s="120" t="s">
        <v>4326</v>
      </c>
      <c r="N1485" s="77"/>
      <c r="O1485" s="88" t="str">
        <f>hyperlink("https://bad-boys.us/?q=WD-KY/3:18-cr-00117", "WD-KY 3:18-cr-00117")</f>
        <v>WD-KY 3:18-cr-00117</v>
      </c>
      <c r="P1485" s="88" t="s">
        <v>4327</v>
      </c>
      <c r="Q1485" s="58">
        <v>1.0</v>
      </c>
      <c r="R1485" s="62"/>
      <c r="S1485" s="37" t="str">
        <f>IFERROR(__xludf.DUMMYFUNCTION("if(not(iserror(index(split(C1485, "" ""),2))), index(split(C1485, "" ""),1),"""")"),"July")</f>
        <v>July</v>
      </c>
      <c r="T1485" s="38">
        <f>IFERROR(__xludf.DUMMYFUNCTION("if(S1485="""",C1485,if(not(iserror(index(split(C1485, "" ""),3))), index(split(C1485, "" ""),3),index(split(C1485, "" ""),2)))"),2018.0)</f>
        <v>2018</v>
      </c>
      <c r="U1485" s="38" t="b">
        <f t="shared" si="222"/>
        <v>0</v>
      </c>
      <c r="V1485" s="38" t="s">
        <v>33</v>
      </c>
      <c r="W1485" s="40"/>
      <c r="X1485" s="40"/>
      <c r="Y1485" s="40"/>
      <c r="Z1485" s="38"/>
      <c r="AA1485" s="38"/>
      <c r="AB1485" s="38"/>
      <c r="AC1485" s="38"/>
      <c r="AD1485" s="38"/>
      <c r="AE1485" s="38"/>
      <c r="AF1485" s="38"/>
      <c r="AG1485" s="38"/>
      <c r="AH1485" s="38"/>
      <c r="AI1485" s="38"/>
      <c r="AJ1485" s="38"/>
      <c r="AK1485" s="38"/>
      <c r="AL1485" s="38"/>
      <c r="AM1485" s="38"/>
      <c r="AN1485" s="38"/>
      <c r="AO1485" s="38"/>
      <c r="AP1485" s="38"/>
      <c r="AQ1485" s="38"/>
      <c r="AR1485" s="38"/>
      <c r="AS1485" s="38"/>
      <c r="AT1485" s="38"/>
      <c r="AU1485" s="38"/>
      <c r="AV1485" s="38"/>
      <c r="AW1485" s="38"/>
      <c r="AX1485" s="38"/>
      <c r="AY1485" s="38"/>
      <c r="AZ1485" s="38"/>
      <c r="BA1485" s="38"/>
      <c r="BB1485" s="38"/>
      <c r="BC1485" s="38"/>
      <c r="BD1485" s="38"/>
      <c r="BE1485" s="38"/>
      <c r="BF1485" s="38"/>
      <c r="BG1485" s="38"/>
      <c r="BH1485" s="38"/>
      <c r="BI1485" s="38"/>
      <c r="BJ1485" s="38"/>
      <c r="BK1485" s="38"/>
      <c r="BL1485" s="38"/>
      <c r="BM1485" s="38"/>
      <c r="BN1485" s="38"/>
      <c r="BO1485" s="38"/>
      <c r="BP1485" s="38"/>
      <c r="BQ1485" s="38"/>
    </row>
    <row r="1486">
      <c r="A1486" s="78" t="s">
        <v>4328</v>
      </c>
      <c r="B1486" s="59">
        <v>43293.0</v>
      </c>
      <c r="C1486" s="59">
        <v>43293.0</v>
      </c>
      <c r="D1486" s="60" t="s">
        <v>4329</v>
      </c>
      <c r="E1486" s="58" t="s">
        <v>31</v>
      </c>
      <c r="F1486" s="58">
        <v>1.0</v>
      </c>
      <c r="G1486" s="58">
        <v>5.0</v>
      </c>
      <c r="H1486" s="33">
        <f t="shared" si="221"/>
        <v>5</v>
      </c>
      <c r="I1486" s="58" t="s">
        <v>33</v>
      </c>
      <c r="J1486" s="58" t="s">
        <v>115</v>
      </c>
      <c r="K1486" s="58">
        <v>4.0</v>
      </c>
      <c r="L1486" s="58" t="s">
        <v>76</v>
      </c>
      <c r="M1486" s="106" t="s">
        <v>4330</v>
      </c>
      <c r="N1486" s="61" t="s">
        <v>4331</v>
      </c>
      <c r="O1486" s="88" t="str">
        <f>hyperlink("https://bad-boys.us/?q=ED-PA/2:18-cr-00295", "ED-PA 2:18-cr-00295")</f>
        <v>ED-PA 2:18-cr-00295</v>
      </c>
      <c r="P1486" s="88" t="s">
        <v>4332</v>
      </c>
      <c r="Q1486" s="58">
        <v>1.0</v>
      </c>
      <c r="R1486" s="62"/>
      <c r="S1486" s="37" t="str">
        <f>IFERROR(__xludf.DUMMYFUNCTION("if(not(iserror(index(split(C1486, "" ""),2))), index(split(C1486, "" ""),1),"""")"),"July")</f>
        <v>July</v>
      </c>
      <c r="T1486" s="38">
        <f>IFERROR(__xludf.DUMMYFUNCTION("if(S1486="""",C1486,if(not(iserror(index(split(C1486, "" ""),3))), index(split(C1486, "" ""),3),index(split(C1486, "" ""),2)))"),2018.0)</f>
        <v>2018</v>
      </c>
      <c r="U1486" s="38" t="b">
        <f t="shared" si="222"/>
        <v>0</v>
      </c>
      <c r="V1486" s="38"/>
      <c r="W1486" s="40"/>
      <c r="X1486" s="40"/>
      <c r="Y1486" s="40"/>
      <c r="Z1486" s="38"/>
      <c r="AA1486" s="38"/>
      <c r="AB1486" s="38"/>
      <c r="AC1486" s="38"/>
      <c r="AD1486" s="38"/>
      <c r="AE1486" s="38"/>
      <c r="AF1486" s="38"/>
      <c r="AG1486" s="38"/>
      <c r="AH1486" s="38"/>
      <c r="AI1486" s="38"/>
      <c r="AJ1486" s="38"/>
      <c r="AK1486" s="38"/>
      <c r="AL1486" s="38"/>
      <c r="AM1486" s="38"/>
      <c r="AN1486" s="38"/>
      <c r="AO1486" s="38"/>
      <c r="AP1486" s="38"/>
      <c r="AQ1486" s="38"/>
      <c r="AR1486" s="38"/>
      <c r="AS1486" s="38"/>
      <c r="AT1486" s="38"/>
      <c r="AU1486" s="38"/>
      <c r="AV1486" s="38"/>
      <c r="AW1486" s="38"/>
      <c r="AX1486" s="38"/>
      <c r="AY1486" s="38"/>
      <c r="AZ1486" s="38"/>
      <c r="BA1486" s="38"/>
      <c r="BB1486" s="38"/>
      <c r="BC1486" s="38"/>
      <c r="BD1486" s="38"/>
      <c r="BE1486" s="38"/>
      <c r="BF1486" s="38"/>
      <c r="BG1486" s="38"/>
      <c r="BH1486" s="38"/>
      <c r="BI1486" s="38"/>
      <c r="BJ1486" s="38"/>
      <c r="BK1486" s="38"/>
      <c r="BL1486" s="38"/>
      <c r="BM1486" s="38"/>
      <c r="BN1486" s="38"/>
      <c r="BO1486" s="38"/>
      <c r="BP1486" s="38"/>
      <c r="BQ1486" s="38"/>
    </row>
    <row r="1487">
      <c r="A1487" s="78" t="s">
        <v>4333</v>
      </c>
      <c r="B1487" s="59">
        <v>43293.0</v>
      </c>
      <c r="C1487" s="59">
        <v>43293.0</v>
      </c>
      <c r="D1487" s="60" t="s">
        <v>4329</v>
      </c>
      <c r="E1487" s="58" t="s">
        <v>41</v>
      </c>
      <c r="F1487" s="58">
        <v>1.0</v>
      </c>
      <c r="G1487" s="58" t="s">
        <v>32</v>
      </c>
      <c r="H1487" s="33">
        <f t="shared" si="221"/>
        <v>1</v>
      </c>
      <c r="I1487" s="58" t="s">
        <v>33</v>
      </c>
      <c r="J1487" s="58" t="s">
        <v>162</v>
      </c>
      <c r="K1487" s="58">
        <v>1.0</v>
      </c>
      <c r="L1487" s="58" t="s">
        <v>69</v>
      </c>
      <c r="M1487" s="46" t="s">
        <v>4334</v>
      </c>
      <c r="N1487" s="46" t="s">
        <v>4335</v>
      </c>
      <c r="O1487" s="88" t="str">
        <f>hyperlink("https://bad-boys.us/?q=D-KS/2:18-cr-20042", "D-KS 2:18-cr-20042")</f>
        <v>D-KS 2:18-cr-20042</v>
      </c>
      <c r="P1487" s="88" t="s">
        <v>4336</v>
      </c>
      <c r="Q1487" s="58">
        <v>1.0</v>
      </c>
      <c r="R1487" s="62"/>
      <c r="S1487" s="37" t="str">
        <f>IFERROR(__xludf.DUMMYFUNCTION("if(not(iserror(index(split(C1487, "" ""),2))), index(split(C1487, "" ""),1),"""")"),"July")</f>
        <v>July</v>
      </c>
      <c r="T1487" s="38">
        <f>IFERROR(__xludf.DUMMYFUNCTION("if(S1487="""",C1487,if(not(iserror(index(split(C1487, "" ""),3))), index(split(C1487, "" ""),3),index(split(C1487, "" ""),2)))"),2018.0)</f>
        <v>2018</v>
      </c>
      <c r="U1487" s="38" t="b">
        <f t="shared" si="222"/>
        <v>0</v>
      </c>
      <c r="V1487" s="38" t="s">
        <v>33</v>
      </c>
      <c r="W1487" s="40"/>
      <c r="X1487" s="40"/>
      <c r="Y1487" s="40"/>
      <c r="Z1487" s="38"/>
      <c r="AA1487" s="38"/>
      <c r="AB1487" s="38"/>
      <c r="AC1487" s="38"/>
      <c r="AD1487" s="38"/>
      <c r="AE1487" s="38"/>
      <c r="AF1487" s="38"/>
      <c r="AG1487" s="38"/>
      <c r="AH1487" s="38"/>
      <c r="AI1487" s="38"/>
      <c r="AJ1487" s="38"/>
      <c r="AK1487" s="38"/>
      <c r="AL1487" s="38"/>
      <c r="AM1487" s="38"/>
      <c r="AN1487" s="38"/>
      <c r="AO1487" s="38"/>
      <c r="AP1487" s="38"/>
      <c r="AQ1487" s="38"/>
      <c r="AR1487" s="38"/>
      <c r="AS1487" s="38"/>
      <c r="AT1487" s="38"/>
      <c r="AU1487" s="38"/>
      <c r="AV1487" s="38"/>
      <c r="AW1487" s="38"/>
      <c r="AX1487" s="38"/>
      <c r="AY1487" s="38"/>
      <c r="AZ1487" s="38"/>
      <c r="BA1487" s="38"/>
      <c r="BB1487" s="38"/>
      <c r="BC1487" s="38"/>
      <c r="BD1487" s="38"/>
      <c r="BE1487" s="38"/>
      <c r="BF1487" s="38"/>
      <c r="BG1487" s="38"/>
      <c r="BH1487" s="38"/>
      <c r="BI1487" s="38"/>
      <c r="BJ1487" s="38"/>
      <c r="BK1487" s="38"/>
      <c r="BL1487" s="38"/>
      <c r="BM1487" s="38"/>
      <c r="BN1487" s="38"/>
      <c r="BO1487" s="38"/>
      <c r="BP1487" s="38"/>
      <c r="BQ1487" s="38"/>
    </row>
    <row r="1488">
      <c r="A1488" s="78" t="s">
        <v>4337</v>
      </c>
      <c r="B1488" s="59">
        <v>43293.0</v>
      </c>
      <c r="C1488" s="59">
        <v>43293.0</v>
      </c>
      <c r="D1488" s="60" t="s">
        <v>4329</v>
      </c>
      <c r="E1488" s="58" t="s">
        <v>41</v>
      </c>
      <c r="F1488" s="58">
        <v>1.0</v>
      </c>
      <c r="G1488" s="58" t="s">
        <v>32</v>
      </c>
      <c r="H1488" s="33">
        <f t="shared" si="221"/>
        <v>1</v>
      </c>
      <c r="I1488" s="58" t="s">
        <v>33</v>
      </c>
      <c r="J1488" s="58" t="s">
        <v>162</v>
      </c>
      <c r="K1488" s="58">
        <v>1.0</v>
      </c>
      <c r="L1488" s="58" t="s">
        <v>69</v>
      </c>
      <c r="M1488" s="46" t="s">
        <v>4335</v>
      </c>
      <c r="N1488" s="77"/>
      <c r="O1488" s="83" t="str">
        <f>hyperlink("https://bad-boys.us/?q=D-KS/2:18-cr-20043", "D-KS 2:18-cr-20043")</f>
        <v>D-KS 2:18-cr-20043</v>
      </c>
      <c r="P1488" s="88" t="s">
        <v>4338</v>
      </c>
      <c r="Q1488" s="58">
        <v>1.0</v>
      </c>
      <c r="R1488" s="62"/>
      <c r="S1488" s="37" t="str">
        <f>IFERROR(__xludf.DUMMYFUNCTION("if(not(iserror(index(split(C1488, "" ""),2))), index(split(C1488, "" ""),1),"""")"),"July")</f>
        <v>July</v>
      </c>
      <c r="T1488" s="38">
        <f>IFERROR(__xludf.DUMMYFUNCTION("if(S1488="""",C1488,if(not(iserror(index(split(C1488, "" ""),3))), index(split(C1488, "" ""),3),index(split(C1488, "" ""),2)))"),2018.0)</f>
        <v>2018</v>
      </c>
      <c r="U1488" s="38" t="b">
        <f t="shared" si="222"/>
        <v>0</v>
      </c>
      <c r="V1488" s="38"/>
      <c r="W1488" s="40"/>
      <c r="X1488" s="40"/>
      <c r="Y1488" s="40"/>
      <c r="Z1488" s="38"/>
      <c r="AA1488" s="38"/>
      <c r="AB1488" s="38"/>
      <c r="AC1488" s="38"/>
      <c r="AD1488" s="38"/>
      <c r="AE1488" s="38"/>
      <c r="AF1488" s="38"/>
      <c r="AG1488" s="38"/>
      <c r="AH1488" s="38"/>
      <c r="AI1488" s="38"/>
      <c r="AJ1488" s="38"/>
      <c r="AK1488" s="38"/>
      <c r="AL1488" s="38"/>
      <c r="AM1488" s="38"/>
      <c r="AN1488" s="38"/>
      <c r="AO1488" s="38"/>
      <c r="AP1488" s="38"/>
      <c r="AQ1488" s="38"/>
      <c r="AR1488" s="38"/>
      <c r="AS1488" s="38"/>
      <c r="AT1488" s="38"/>
      <c r="AU1488" s="38"/>
      <c r="AV1488" s="38"/>
      <c r="AW1488" s="38"/>
      <c r="AX1488" s="38"/>
      <c r="AY1488" s="38"/>
      <c r="AZ1488" s="38"/>
      <c r="BA1488" s="38"/>
      <c r="BB1488" s="38"/>
      <c r="BC1488" s="38"/>
      <c r="BD1488" s="38"/>
      <c r="BE1488" s="38"/>
      <c r="BF1488" s="38"/>
      <c r="BG1488" s="38"/>
      <c r="BH1488" s="38"/>
      <c r="BI1488" s="38"/>
      <c r="BJ1488" s="38"/>
      <c r="BK1488" s="38"/>
      <c r="BL1488" s="38"/>
      <c r="BM1488" s="38"/>
      <c r="BN1488" s="38"/>
      <c r="BO1488" s="38"/>
      <c r="BP1488" s="38"/>
      <c r="BQ1488" s="38"/>
    </row>
    <row r="1489">
      <c r="A1489" s="78" t="s">
        <v>660</v>
      </c>
      <c r="B1489" s="59">
        <v>43293.0</v>
      </c>
      <c r="C1489" s="59">
        <v>43293.0</v>
      </c>
      <c r="D1489" s="60" t="s">
        <v>4329</v>
      </c>
      <c r="E1489" s="58" t="s">
        <v>31</v>
      </c>
      <c r="F1489" s="58">
        <v>5.0</v>
      </c>
      <c r="G1489" s="58" t="s">
        <v>32</v>
      </c>
      <c r="H1489" s="33">
        <f t="shared" si="221"/>
        <v>1</v>
      </c>
      <c r="I1489" s="58" t="s">
        <v>33</v>
      </c>
      <c r="J1489" s="58" t="s">
        <v>343</v>
      </c>
      <c r="K1489" s="58">
        <v>1.0</v>
      </c>
      <c r="L1489" s="58" t="s">
        <v>52</v>
      </c>
      <c r="M1489" s="46" t="s">
        <v>4339</v>
      </c>
      <c r="N1489" s="77"/>
      <c r="O1489" s="62"/>
      <c r="P1489" s="62"/>
      <c r="Q1489" s="62"/>
      <c r="R1489" s="62"/>
      <c r="S1489" s="37" t="str">
        <f>IFERROR(__xludf.DUMMYFUNCTION("if(not(iserror(index(split(C1489, "" ""),2))), index(split(C1489, "" ""),1),"""")"),"July")</f>
        <v>July</v>
      </c>
      <c r="T1489" s="38">
        <f>IFERROR(__xludf.DUMMYFUNCTION("if(S1489="""",C1489,if(not(iserror(index(split(C1489, "" ""),3))), index(split(C1489, "" ""),3),index(split(C1489, "" ""),2)))"),2018.0)</f>
        <v>2018</v>
      </c>
      <c r="U1489" s="38" t="b">
        <f t="shared" si="222"/>
        <v>1</v>
      </c>
      <c r="V1489" s="38"/>
      <c r="W1489" s="40"/>
      <c r="X1489" s="40"/>
      <c r="Y1489" s="40"/>
      <c r="Z1489" s="38"/>
      <c r="AA1489" s="38"/>
      <c r="AB1489" s="38"/>
      <c r="AC1489" s="38"/>
      <c r="AD1489" s="38"/>
      <c r="AE1489" s="38"/>
      <c r="AF1489" s="38"/>
      <c r="AG1489" s="38"/>
      <c r="AH1489" s="38"/>
      <c r="AI1489" s="38"/>
      <c r="AJ1489" s="38"/>
      <c r="AK1489" s="38"/>
      <c r="AL1489" s="38"/>
      <c r="AM1489" s="38"/>
      <c r="AN1489" s="38"/>
      <c r="AO1489" s="38"/>
      <c r="AP1489" s="38"/>
      <c r="AQ1489" s="38"/>
      <c r="AR1489" s="38"/>
      <c r="AS1489" s="38"/>
      <c r="AT1489" s="38"/>
      <c r="AU1489" s="38"/>
      <c r="AV1489" s="38"/>
      <c r="AW1489" s="38"/>
      <c r="AX1489" s="38"/>
      <c r="AY1489" s="38"/>
      <c r="AZ1489" s="38"/>
      <c r="BA1489" s="38"/>
      <c r="BB1489" s="38"/>
      <c r="BC1489" s="38"/>
      <c r="BD1489" s="38"/>
      <c r="BE1489" s="38"/>
      <c r="BF1489" s="38"/>
      <c r="BG1489" s="38"/>
      <c r="BH1489" s="38"/>
      <c r="BI1489" s="38"/>
      <c r="BJ1489" s="38"/>
      <c r="BK1489" s="38"/>
      <c r="BL1489" s="38"/>
      <c r="BM1489" s="38"/>
      <c r="BN1489" s="38"/>
      <c r="BO1489" s="38"/>
      <c r="BP1489" s="38"/>
      <c r="BQ1489" s="38"/>
    </row>
    <row r="1490">
      <c r="A1490" s="78" t="s">
        <v>239</v>
      </c>
      <c r="B1490" s="59">
        <v>43293.0</v>
      </c>
      <c r="C1490" s="59">
        <v>43293.0</v>
      </c>
      <c r="D1490" s="60" t="s">
        <v>4329</v>
      </c>
      <c r="E1490" s="58" t="s">
        <v>41</v>
      </c>
      <c r="F1490" s="58">
        <v>1.0</v>
      </c>
      <c r="G1490" s="58" t="s">
        <v>32</v>
      </c>
      <c r="H1490" s="33">
        <f t="shared" si="221"/>
        <v>1</v>
      </c>
      <c r="I1490" s="58" t="s">
        <v>33</v>
      </c>
      <c r="J1490" s="58" t="s">
        <v>241</v>
      </c>
      <c r="K1490" s="58">
        <v>1.0</v>
      </c>
      <c r="L1490" s="58" t="s">
        <v>194</v>
      </c>
      <c r="M1490" s="46" t="s">
        <v>4340</v>
      </c>
      <c r="N1490" s="77"/>
      <c r="O1490" s="62"/>
      <c r="P1490" s="62"/>
      <c r="Q1490" s="62"/>
      <c r="R1490" s="62"/>
      <c r="S1490" s="37" t="str">
        <f>IFERROR(__xludf.DUMMYFUNCTION("if(not(iserror(index(split(C1490, "" ""),2))), index(split(C1490, "" ""),1),"""")"),"July")</f>
        <v>July</v>
      </c>
      <c r="T1490" s="38">
        <f>IFERROR(__xludf.DUMMYFUNCTION("if(S1490="""",C1490,if(not(iserror(index(split(C1490, "" ""),3))), index(split(C1490, "" ""),3),index(split(C1490, "" ""),2)))"),2018.0)</f>
        <v>2018</v>
      </c>
      <c r="U1490" s="38" t="b">
        <f t="shared" si="222"/>
        <v>1</v>
      </c>
      <c r="V1490" s="38"/>
      <c r="W1490" s="40"/>
      <c r="X1490" s="40"/>
      <c r="Y1490" s="40"/>
      <c r="Z1490" s="38"/>
      <c r="AA1490" s="38"/>
      <c r="AB1490" s="38"/>
      <c r="AC1490" s="38"/>
      <c r="AD1490" s="38"/>
      <c r="AE1490" s="38"/>
      <c r="AF1490" s="38"/>
      <c r="AG1490" s="38"/>
      <c r="AH1490" s="38"/>
      <c r="AI1490" s="38"/>
      <c r="AJ1490" s="38"/>
      <c r="AK1490" s="38"/>
      <c r="AL1490" s="38"/>
      <c r="AM1490" s="38"/>
      <c r="AN1490" s="38"/>
      <c r="AO1490" s="38"/>
      <c r="AP1490" s="38"/>
      <c r="AQ1490" s="38"/>
      <c r="AR1490" s="38"/>
      <c r="AS1490" s="38"/>
      <c r="AT1490" s="38"/>
      <c r="AU1490" s="38"/>
      <c r="AV1490" s="38"/>
      <c r="AW1490" s="38"/>
      <c r="AX1490" s="38"/>
      <c r="AY1490" s="38"/>
      <c r="AZ1490" s="38"/>
      <c r="BA1490" s="38"/>
      <c r="BB1490" s="38"/>
      <c r="BC1490" s="38"/>
      <c r="BD1490" s="38"/>
      <c r="BE1490" s="38"/>
      <c r="BF1490" s="38"/>
      <c r="BG1490" s="38"/>
      <c r="BH1490" s="38"/>
      <c r="BI1490" s="38"/>
      <c r="BJ1490" s="38"/>
      <c r="BK1490" s="38"/>
      <c r="BL1490" s="38"/>
      <c r="BM1490" s="38"/>
      <c r="BN1490" s="38"/>
      <c r="BO1490" s="38"/>
      <c r="BP1490" s="38"/>
      <c r="BQ1490" s="38"/>
    </row>
    <row r="1491">
      <c r="A1491" s="58" t="s">
        <v>660</v>
      </c>
      <c r="B1491" s="59">
        <v>43294.0</v>
      </c>
      <c r="C1491" s="59">
        <v>43293.0</v>
      </c>
      <c r="D1491" s="60" t="s">
        <v>4329</v>
      </c>
      <c r="E1491" s="58" t="s">
        <v>31</v>
      </c>
      <c r="F1491" s="58">
        <v>3.0</v>
      </c>
      <c r="G1491" s="58" t="s">
        <v>32</v>
      </c>
      <c r="H1491" s="33">
        <f t="shared" si="221"/>
        <v>1</v>
      </c>
      <c r="I1491" s="58" t="s">
        <v>33</v>
      </c>
      <c r="J1491" s="58" t="s">
        <v>241</v>
      </c>
      <c r="K1491" s="58">
        <v>1.0</v>
      </c>
      <c r="L1491" s="58" t="s">
        <v>52</v>
      </c>
      <c r="M1491" s="46" t="s">
        <v>4341</v>
      </c>
      <c r="N1491" s="77"/>
      <c r="O1491" s="62"/>
      <c r="P1491" s="62"/>
      <c r="Q1491" s="62"/>
      <c r="R1491" s="62"/>
      <c r="S1491" s="37" t="str">
        <f>IFERROR(__xludf.DUMMYFUNCTION("if(not(iserror(index(split(C1491, "" ""),2))), index(split(C1491, "" ""),1),"""")"),"July")</f>
        <v>July</v>
      </c>
      <c r="T1491" s="38">
        <f>IFERROR(__xludf.DUMMYFUNCTION("if(S1491="""",C1491,if(not(iserror(index(split(C1491, "" ""),3))), index(split(C1491, "" ""),3),index(split(C1491, "" ""),2)))"),2018.0)</f>
        <v>2018</v>
      </c>
      <c r="U1491" s="38" t="b">
        <f t="shared" si="222"/>
        <v>1</v>
      </c>
      <c r="V1491" s="38"/>
      <c r="W1491" s="40"/>
      <c r="X1491" s="40"/>
      <c r="Y1491" s="40"/>
      <c r="Z1491" s="38"/>
      <c r="AA1491" s="38"/>
      <c r="AB1491" s="38"/>
      <c r="AC1491" s="38"/>
      <c r="AD1491" s="38"/>
      <c r="AE1491" s="38"/>
      <c r="AF1491" s="38"/>
      <c r="AG1491" s="38"/>
      <c r="AH1491" s="38"/>
      <c r="AI1491" s="38"/>
      <c r="AJ1491" s="38"/>
      <c r="AK1491" s="38"/>
      <c r="AL1491" s="38"/>
      <c r="AM1491" s="38"/>
      <c r="AN1491" s="38"/>
      <c r="AO1491" s="38"/>
      <c r="AP1491" s="38"/>
      <c r="AQ1491" s="38"/>
      <c r="AR1491" s="38"/>
      <c r="AS1491" s="38"/>
      <c r="AT1491" s="38"/>
      <c r="AU1491" s="38"/>
      <c r="AV1491" s="38"/>
      <c r="AW1491" s="38"/>
      <c r="AX1491" s="38"/>
      <c r="AY1491" s="38"/>
      <c r="AZ1491" s="38"/>
      <c r="BA1491" s="38"/>
      <c r="BB1491" s="38"/>
      <c r="BC1491" s="38"/>
      <c r="BD1491" s="38"/>
      <c r="BE1491" s="38"/>
      <c r="BF1491" s="38"/>
      <c r="BG1491" s="38"/>
      <c r="BH1491" s="38"/>
      <c r="BI1491" s="38"/>
      <c r="BJ1491" s="38"/>
      <c r="BK1491" s="38"/>
      <c r="BL1491" s="38"/>
      <c r="BM1491" s="38"/>
      <c r="BN1491" s="38"/>
      <c r="BO1491" s="38"/>
      <c r="BP1491" s="38"/>
      <c r="BQ1491" s="38"/>
    </row>
    <row r="1492">
      <c r="A1492" s="58" t="s">
        <v>660</v>
      </c>
      <c r="B1492" s="59">
        <v>43297.0</v>
      </c>
      <c r="C1492" s="59">
        <v>43293.0</v>
      </c>
      <c r="D1492" s="60" t="s">
        <v>4329</v>
      </c>
      <c r="E1492" s="58" t="s">
        <v>41</v>
      </c>
      <c r="F1492" s="58">
        <v>3.0</v>
      </c>
      <c r="G1492" s="58" t="s">
        <v>32</v>
      </c>
      <c r="H1492" s="33">
        <f t="shared" si="221"/>
        <v>1</v>
      </c>
      <c r="I1492" s="58" t="s">
        <v>33</v>
      </c>
      <c r="J1492" s="58" t="s">
        <v>111</v>
      </c>
      <c r="K1492" s="58">
        <v>1.0</v>
      </c>
      <c r="L1492" s="58" t="s">
        <v>52</v>
      </c>
      <c r="M1492" s="61" t="s">
        <v>4342</v>
      </c>
      <c r="N1492" s="77"/>
      <c r="O1492" s="62"/>
      <c r="P1492" s="62"/>
      <c r="Q1492" s="62"/>
      <c r="R1492" s="62"/>
      <c r="S1492" s="37" t="str">
        <f>IFERROR(__xludf.DUMMYFUNCTION("if(not(iserror(index(split(C1492, "" ""),2))), index(split(C1492, "" ""),1),"""")"),"July")</f>
        <v>July</v>
      </c>
      <c r="T1492" s="38">
        <f>IFERROR(__xludf.DUMMYFUNCTION("if(S1492="""",C1492,if(not(iserror(index(split(C1492, "" ""),3))), index(split(C1492, "" ""),3),index(split(C1492, "" ""),2)))"),2018.0)</f>
        <v>2018</v>
      </c>
      <c r="U1492" s="38" t="b">
        <f t="shared" si="222"/>
        <v>1</v>
      </c>
      <c r="V1492" s="38"/>
      <c r="W1492" s="40"/>
      <c r="X1492" s="40"/>
      <c r="Y1492" s="40"/>
      <c r="Z1492" s="38"/>
      <c r="AA1492" s="38"/>
      <c r="AB1492" s="38"/>
      <c r="AC1492" s="38"/>
      <c r="AD1492" s="38"/>
      <c r="AE1492" s="38"/>
      <c r="AF1492" s="38"/>
      <c r="AG1492" s="38"/>
      <c r="AH1492" s="38"/>
      <c r="AI1492" s="38"/>
      <c r="AJ1492" s="38"/>
      <c r="AK1492" s="38"/>
      <c r="AL1492" s="38"/>
      <c r="AM1492" s="38"/>
      <c r="AN1492" s="38"/>
      <c r="AO1492" s="38"/>
      <c r="AP1492" s="38"/>
      <c r="AQ1492" s="38"/>
      <c r="AR1492" s="38"/>
      <c r="AS1492" s="38"/>
      <c r="AT1492" s="38"/>
      <c r="AU1492" s="38"/>
      <c r="AV1492" s="38"/>
      <c r="AW1492" s="38"/>
      <c r="AX1492" s="38"/>
      <c r="AY1492" s="38"/>
      <c r="AZ1492" s="38"/>
      <c r="BA1492" s="38"/>
      <c r="BB1492" s="38"/>
      <c r="BC1492" s="38"/>
      <c r="BD1492" s="38"/>
      <c r="BE1492" s="38"/>
      <c r="BF1492" s="38"/>
      <c r="BG1492" s="38"/>
      <c r="BH1492" s="38"/>
      <c r="BI1492" s="38"/>
      <c r="BJ1492" s="38"/>
      <c r="BK1492" s="38"/>
      <c r="BL1492" s="38"/>
      <c r="BM1492" s="38"/>
      <c r="BN1492" s="38"/>
      <c r="BO1492" s="38"/>
      <c r="BP1492" s="38"/>
      <c r="BQ1492" s="38"/>
    </row>
    <row r="1493">
      <c r="A1493" s="238" t="s">
        <v>4343</v>
      </c>
      <c r="B1493" s="59">
        <v>43298.0</v>
      </c>
      <c r="C1493" s="59">
        <v>43293.0</v>
      </c>
      <c r="D1493" s="60" t="s">
        <v>4329</v>
      </c>
      <c r="E1493" s="58" t="s">
        <v>31</v>
      </c>
      <c r="F1493" s="58">
        <v>1.0</v>
      </c>
      <c r="G1493" s="58" t="s">
        <v>32</v>
      </c>
      <c r="H1493" s="33">
        <f t="shared" si="221"/>
        <v>1</v>
      </c>
      <c r="I1493" s="58" t="s">
        <v>33</v>
      </c>
      <c r="J1493" s="58" t="s">
        <v>132</v>
      </c>
      <c r="K1493" s="58" t="s">
        <v>32</v>
      </c>
      <c r="L1493" s="58" t="s">
        <v>35</v>
      </c>
      <c r="M1493" s="61" t="s">
        <v>4344</v>
      </c>
      <c r="N1493" s="77"/>
      <c r="O1493" s="62"/>
      <c r="P1493" s="62"/>
      <c r="Q1493" s="62"/>
      <c r="R1493" s="62"/>
      <c r="S1493" s="37" t="str">
        <f>IFERROR(__xludf.DUMMYFUNCTION("if(not(iserror(index(split(C1493, "" ""),2))), index(split(C1493, "" ""),1),"""")"),"July")</f>
        <v>July</v>
      </c>
      <c r="T1493" s="38">
        <f>IFERROR(__xludf.DUMMYFUNCTION("if(S1493="""",C1493,if(not(iserror(index(split(C1493, "" ""),3))), index(split(C1493, "" ""),3),index(split(C1493, "" ""),2)))"),2018.0)</f>
        <v>2018</v>
      </c>
      <c r="U1493" s="38" t="b">
        <f t="shared" si="222"/>
        <v>0</v>
      </c>
      <c r="V1493" s="38"/>
      <c r="W1493" s="40"/>
      <c r="X1493" s="40"/>
      <c r="Y1493" s="40"/>
      <c r="Z1493" s="38"/>
      <c r="AA1493" s="38"/>
      <c r="AB1493" s="38"/>
      <c r="AC1493" s="38"/>
      <c r="AD1493" s="38"/>
      <c r="AE1493" s="38"/>
      <c r="AF1493" s="38"/>
      <c r="AG1493" s="38"/>
      <c r="AH1493" s="38"/>
      <c r="AI1493" s="38"/>
      <c r="AJ1493" s="38"/>
      <c r="AK1493" s="38"/>
      <c r="AL1493" s="38"/>
      <c r="AM1493" s="38"/>
      <c r="AN1493" s="38"/>
      <c r="AO1493" s="38"/>
      <c r="AP1493" s="38"/>
      <c r="AQ1493" s="38"/>
      <c r="AR1493" s="38"/>
      <c r="AS1493" s="38"/>
      <c r="AT1493" s="38"/>
      <c r="AU1493" s="38"/>
      <c r="AV1493" s="38"/>
      <c r="AW1493" s="38"/>
      <c r="AX1493" s="38"/>
      <c r="AY1493" s="38"/>
      <c r="AZ1493" s="38"/>
      <c r="BA1493" s="38"/>
      <c r="BB1493" s="38"/>
      <c r="BC1493" s="38"/>
      <c r="BD1493" s="38"/>
      <c r="BE1493" s="38"/>
      <c r="BF1493" s="38"/>
      <c r="BG1493" s="38"/>
      <c r="BH1493" s="38"/>
      <c r="BI1493" s="38"/>
      <c r="BJ1493" s="38"/>
      <c r="BK1493" s="38"/>
      <c r="BL1493" s="38"/>
      <c r="BM1493" s="38"/>
      <c r="BN1493" s="38"/>
      <c r="BO1493" s="38"/>
      <c r="BP1493" s="38"/>
      <c r="BQ1493" s="38"/>
    </row>
    <row r="1494">
      <c r="A1494" s="78" t="s">
        <v>4345</v>
      </c>
      <c r="B1494" s="59"/>
      <c r="C1494" s="59">
        <v>43293.0</v>
      </c>
      <c r="D1494" s="60"/>
      <c r="E1494" s="58" t="s">
        <v>41</v>
      </c>
      <c r="F1494" s="58">
        <v>1.0</v>
      </c>
      <c r="G1494" s="58" t="s">
        <v>32</v>
      </c>
      <c r="H1494" s="43">
        <v>1.0</v>
      </c>
      <c r="I1494" s="58" t="s">
        <v>33</v>
      </c>
      <c r="J1494" s="58" t="s">
        <v>1111</v>
      </c>
      <c r="K1494" s="58"/>
      <c r="L1494" s="58" t="s">
        <v>69</v>
      </c>
      <c r="M1494" s="80" t="s">
        <v>4346</v>
      </c>
      <c r="N1494" s="77"/>
      <c r="O1494" s="58"/>
      <c r="P1494" s="58"/>
      <c r="Q1494" s="58">
        <v>1.0</v>
      </c>
      <c r="R1494" s="62"/>
      <c r="S1494" s="37"/>
      <c r="T1494" s="38"/>
      <c r="U1494" s="38"/>
      <c r="V1494" s="38" t="s">
        <v>33</v>
      </c>
      <c r="W1494" s="40"/>
      <c r="X1494" s="40"/>
      <c r="Y1494" s="40"/>
      <c r="Z1494" s="38"/>
      <c r="AA1494" s="38"/>
      <c r="AB1494" s="38"/>
      <c r="AC1494" s="38"/>
      <c r="AD1494" s="38"/>
      <c r="AE1494" s="38"/>
      <c r="AF1494" s="38"/>
      <c r="AG1494" s="38"/>
      <c r="AH1494" s="38"/>
      <c r="AI1494" s="38"/>
      <c r="AJ1494" s="38"/>
      <c r="AK1494" s="38"/>
      <c r="AL1494" s="38"/>
      <c r="AM1494" s="38"/>
      <c r="AN1494" s="38"/>
      <c r="AO1494" s="38"/>
      <c r="AP1494" s="38"/>
      <c r="AQ1494" s="38"/>
      <c r="AR1494" s="38"/>
      <c r="AS1494" s="38"/>
      <c r="AT1494" s="38"/>
      <c r="AU1494" s="38"/>
      <c r="AV1494" s="38"/>
      <c r="AW1494" s="38"/>
      <c r="AX1494" s="38"/>
      <c r="AY1494" s="38"/>
      <c r="AZ1494" s="38"/>
      <c r="BA1494" s="38"/>
      <c r="BB1494" s="38"/>
      <c r="BC1494" s="38"/>
      <c r="BD1494" s="38"/>
      <c r="BE1494" s="38"/>
      <c r="BF1494" s="38"/>
      <c r="BG1494" s="38"/>
      <c r="BH1494" s="38"/>
      <c r="BI1494" s="38"/>
      <c r="BJ1494" s="38"/>
      <c r="BK1494" s="38"/>
      <c r="BL1494" s="38"/>
      <c r="BM1494" s="38"/>
      <c r="BN1494" s="38"/>
      <c r="BO1494" s="38"/>
      <c r="BP1494" s="38"/>
      <c r="BQ1494" s="38"/>
    </row>
    <row r="1495">
      <c r="A1495" s="78" t="s">
        <v>4347</v>
      </c>
      <c r="B1495" s="59">
        <v>43294.0</v>
      </c>
      <c r="C1495" s="59">
        <v>43294.0</v>
      </c>
      <c r="D1495" s="60" t="s">
        <v>4348</v>
      </c>
      <c r="E1495" s="58" t="s">
        <v>41</v>
      </c>
      <c r="F1495" s="58">
        <v>1.0</v>
      </c>
      <c r="G1495" s="58" t="s">
        <v>32</v>
      </c>
      <c r="H1495" s="33">
        <f>if(G1495="Unknown",1,G1495)</f>
        <v>1</v>
      </c>
      <c r="I1495" s="58" t="s">
        <v>33</v>
      </c>
      <c r="J1495" s="58" t="s">
        <v>193</v>
      </c>
      <c r="K1495" s="58">
        <v>2.0</v>
      </c>
      <c r="L1495" s="58" t="s">
        <v>76</v>
      </c>
      <c r="M1495" s="61" t="s">
        <v>4349</v>
      </c>
      <c r="N1495" s="77"/>
      <c r="O1495" s="58"/>
      <c r="P1495" s="58"/>
      <c r="Q1495" s="58"/>
      <c r="R1495" s="62"/>
      <c r="S1495" s="37" t="str">
        <f>IFERROR(__xludf.DUMMYFUNCTION("if(not(iserror(index(split(C1495, "" ""),2))), index(split(C1495, "" ""),1),"""")"),"July")</f>
        <v>July</v>
      </c>
      <c r="T1495" s="38">
        <f>IFERROR(__xludf.DUMMYFUNCTION("if(S1495="""",C1495,if(not(iserror(index(split(C1495, "" ""),3))), index(split(C1495, "" ""),3),index(split(C1495, "" ""),2)))"),2018.0)</f>
        <v>2018</v>
      </c>
      <c r="U1495" s="38" t="b">
        <f>countif(A$4:A4658, A1495)&gt;1</f>
        <v>0</v>
      </c>
      <c r="V1495" s="38"/>
      <c r="W1495" s="40"/>
      <c r="X1495" s="40"/>
      <c r="Y1495" s="40"/>
      <c r="Z1495" s="38"/>
      <c r="AA1495" s="38"/>
      <c r="AB1495" s="38"/>
      <c r="AC1495" s="38"/>
      <c r="AD1495" s="38"/>
      <c r="AE1495" s="38"/>
      <c r="AF1495" s="38"/>
      <c r="AG1495" s="38"/>
      <c r="AH1495" s="38"/>
      <c r="AI1495" s="38"/>
      <c r="AJ1495" s="38"/>
      <c r="AK1495" s="38"/>
      <c r="AL1495" s="38"/>
      <c r="AM1495" s="38"/>
      <c r="AN1495" s="38"/>
      <c r="AO1495" s="38"/>
      <c r="AP1495" s="38"/>
      <c r="AQ1495" s="38"/>
      <c r="AR1495" s="38"/>
      <c r="AS1495" s="38"/>
      <c r="AT1495" s="38"/>
      <c r="AU1495" s="38"/>
      <c r="AV1495" s="38"/>
      <c r="AW1495" s="38"/>
      <c r="AX1495" s="38"/>
      <c r="AY1495" s="38"/>
      <c r="AZ1495" s="38"/>
      <c r="BA1495" s="38"/>
      <c r="BB1495" s="38"/>
      <c r="BC1495" s="38"/>
      <c r="BD1495" s="38"/>
      <c r="BE1495" s="38"/>
      <c r="BF1495" s="38"/>
      <c r="BG1495" s="38"/>
      <c r="BH1495" s="38"/>
      <c r="BI1495" s="38"/>
      <c r="BJ1495" s="38"/>
      <c r="BK1495" s="38"/>
      <c r="BL1495" s="38"/>
      <c r="BM1495" s="38"/>
      <c r="BN1495" s="38"/>
      <c r="BO1495" s="38"/>
      <c r="BP1495" s="38"/>
      <c r="BQ1495" s="38"/>
    </row>
    <row r="1496">
      <c r="A1496" s="78" t="s">
        <v>4350</v>
      </c>
      <c r="B1496" s="59"/>
      <c r="C1496" s="59">
        <v>43295.0</v>
      </c>
      <c r="D1496" s="60"/>
      <c r="E1496" s="58" t="s">
        <v>41</v>
      </c>
      <c r="F1496" s="58">
        <v>1.0</v>
      </c>
      <c r="G1496" s="58" t="s">
        <v>32</v>
      </c>
      <c r="H1496" s="43">
        <v>1.0</v>
      </c>
      <c r="I1496" s="58" t="s">
        <v>33</v>
      </c>
      <c r="J1496" s="58" t="s">
        <v>288</v>
      </c>
      <c r="K1496" s="58"/>
      <c r="L1496" s="58" t="s">
        <v>119</v>
      </c>
      <c r="M1496" s="61" t="s">
        <v>4351</v>
      </c>
      <c r="N1496" s="80"/>
      <c r="O1496" s="62"/>
      <c r="P1496" s="62"/>
      <c r="Q1496" s="62"/>
      <c r="R1496" s="62"/>
      <c r="S1496" s="37"/>
      <c r="T1496" s="38"/>
      <c r="U1496" s="38"/>
      <c r="V1496" s="38" t="s">
        <v>33</v>
      </c>
      <c r="W1496" s="40"/>
      <c r="X1496" s="40"/>
      <c r="Y1496" s="40"/>
      <c r="Z1496" s="38"/>
      <c r="AA1496" s="38"/>
      <c r="AB1496" s="38"/>
      <c r="AC1496" s="38"/>
      <c r="AD1496" s="38"/>
      <c r="AE1496" s="38"/>
      <c r="AF1496" s="38"/>
      <c r="AG1496" s="38"/>
      <c r="AH1496" s="38"/>
      <c r="AI1496" s="38"/>
      <c r="AJ1496" s="38"/>
      <c r="AK1496" s="38"/>
      <c r="AL1496" s="38"/>
      <c r="AM1496" s="38"/>
      <c r="AN1496" s="38"/>
      <c r="AO1496" s="38"/>
      <c r="AP1496" s="38"/>
      <c r="AQ1496" s="38"/>
      <c r="AR1496" s="38"/>
      <c r="AS1496" s="38"/>
      <c r="AT1496" s="38"/>
      <c r="AU1496" s="38"/>
      <c r="AV1496" s="38"/>
      <c r="AW1496" s="38"/>
      <c r="AX1496" s="38"/>
      <c r="AY1496" s="38"/>
      <c r="AZ1496" s="38"/>
      <c r="BA1496" s="38"/>
      <c r="BB1496" s="38"/>
      <c r="BC1496" s="38"/>
      <c r="BD1496" s="38"/>
      <c r="BE1496" s="38"/>
      <c r="BF1496" s="38"/>
      <c r="BG1496" s="38"/>
      <c r="BH1496" s="38"/>
      <c r="BI1496" s="38"/>
      <c r="BJ1496" s="38"/>
      <c r="BK1496" s="38"/>
      <c r="BL1496" s="38"/>
      <c r="BM1496" s="38"/>
      <c r="BN1496" s="38"/>
      <c r="BO1496" s="38"/>
      <c r="BP1496" s="38"/>
      <c r="BQ1496" s="38"/>
    </row>
    <row r="1497">
      <c r="A1497" s="78" t="s">
        <v>239</v>
      </c>
      <c r="B1497" s="59">
        <v>43295.0</v>
      </c>
      <c r="C1497" s="59">
        <v>43295.0</v>
      </c>
      <c r="D1497" s="60" t="s">
        <v>4352</v>
      </c>
      <c r="E1497" s="58" t="s">
        <v>41</v>
      </c>
      <c r="F1497" s="58">
        <v>1.0</v>
      </c>
      <c r="G1497" s="58">
        <v>41.0</v>
      </c>
      <c r="H1497" s="33">
        <f t="shared" ref="H1497:H1503" si="223">if(G1497="Unknown",1,G1497)</f>
        <v>41</v>
      </c>
      <c r="I1497" s="58" t="s">
        <v>33</v>
      </c>
      <c r="J1497" s="58" t="s">
        <v>147</v>
      </c>
      <c r="K1497" s="58">
        <v>1.0</v>
      </c>
      <c r="L1497" s="58" t="s">
        <v>194</v>
      </c>
      <c r="M1497" s="61" t="s">
        <v>4353</v>
      </c>
      <c r="N1497" s="80"/>
      <c r="O1497" s="62"/>
      <c r="P1497" s="62"/>
      <c r="Q1497" s="62"/>
      <c r="R1497" s="62"/>
      <c r="S1497" s="37" t="str">
        <f>IFERROR(__xludf.DUMMYFUNCTION("if(not(iserror(index(split(C1497, "" ""),2))), index(split(C1497, "" ""),1),"""")"),"July")</f>
        <v>July</v>
      </c>
      <c r="T1497" s="38">
        <f>IFERROR(__xludf.DUMMYFUNCTION("if(S1497="""",C1497,if(not(iserror(index(split(C1497, "" ""),3))), index(split(C1497, "" ""),3),index(split(C1497, "" ""),2)))"),2018.0)</f>
        <v>2018</v>
      </c>
      <c r="U1497" s="38" t="b">
        <f t="shared" ref="U1497:U1511" si="224">countif(A$4:A4658, A1497)&gt;1</f>
        <v>1</v>
      </c>
      <c r="V1497" s="38"/>
      <c r="W1497" s="40"/>
      <c r="X1497" s="40"/>
      <c r="Y1497" s="40"/>
      <c r="Z1497" s="38"/>
      <c r="AA1497" s="38"/>
      <c r="AB1497" s="38"/>
      <c r="AC1497" s="38"/>
      <c r="AD1497" s="38"/>
      <c r="AE1497" s="38"/>
      <c r="AF1497" s="38"/>
      <c r="AG1497" s="38"/>
      <c r="AH1497" s="38"/>
      <c r="AI1497" s="38"/>
      <c r="AJ1497" s="38"/>
      <c r="AK1497" s="38"/>
      <c r="AL1497" s="38"/>
      <c r="AM1497" s="38"/>
      <c r="AN1497" s="38"/>
      <c r="AO1497" s="38"/>
      <c r="AP1497" s="38"/>
      <c r="AQ1497" s="38"/>
      <c r="AR1497" s="38"/>
      <c r="AS1497" s="38"/>
      <c r="AT1497" s="38"/>
      <c r="AU1497" s="38"/>
      <c r="AV1497" s="38"/>
      <c r="AW1497" s="38"/>
      <c r="AX1497" s="38"/>
      <c r="AY1497" s="38"/>
      <c r="AZ1497" s="38"/>
      <c r="BA1497" s="38"/>
      <c r="BB1497" s="38"/>
      <c r="BC1497" s="38"/>
      <c r="BD1497" s="38"/>
      <c r="BE1497" s="38"/>
      <c r="BF1497" s="38"/>
      <c r="BG1497" s="38"/>
      <c r="BH1497" s="38"/>
      <c r="BI1497" s="38"/>
      <c r="BJ1497" s="38"/>
      <c r="BK1497" s="38"/>
      <c r="BL1497" s="38"/>
      <c r="BM1497" s="38"/>
      <c r="BN1497" s="38"/>
      <c r="BO1497" s="38"/>
      <c r="BP1497" s="38"/>
      <c r="BQ1497" s="38"/>
    </row>
    <row r="1498">
      <c r="A1498" s="78" t="s">
        <v>4354</v>
      </c>
      <c r="B1498" s="59">
        <v>43304.0</v>
      </c>
      <c r="C1498" s="59">
        <v>43297.0</v>
      </c>
      <c r="D1498" s="60" t="s">
        <v>4355</v>
      </c>
      <c r="E1498" s="58" t="s">
        <v>31</v>
      </c>
      <c r="F1498" s="58">
        <v>1.0</v>
      </c>
      <c r="G1498" s="58" t="s">
        <v>32</v>
      </c>
      <c r="H1498" s="33">
        <f t="shared" si="223"/>
        <v>1</v>
      </c>
      <c r="I1498" s="58" t="s">
        <v>33</v>
      </c>
      <c r="J1498" s="58" t="s">
        <v>47</v>
      </c>
      <c r="K1498" s="58" t="s">
        <v>32</v>
      </c>
      <c r="L1498" s="58" t="s">
        <v>76</v>
      </c>
      <c r="M1498" s="61" t="s">
        <v>4356</v>
      </c>
      <c r="N1498" s="77"/>
      <c r="O1498" s="62"/>
      <c r="P1498" s="62"/>
      <c r="Q1498" s="62"/>
      <c r="R1498" s="62"/>
      <c r="S1498" s="37" t="str">
        <f>IFERROR(__xludf.DUMMYFUNCTION("if(not(iserror(index(split(C1498, "" ""),2))), index(split(C1498, "" ""),1),"""")"),"July")</f>
        <v>July</v>
      </c>
      <c r="T1498" s="38">
        <f>IFERROR(__xludf.DUMMYFUNCTION("if(S1498="""",C1498,if(not(iserror(index(split(C1498, "" ""),3))), index(split(C1498, "" ""),3),index(split(C1498, "" ""),2)))"),2018.0)</f>
        <v>2018</v>
      </c>
      <c r="U1498" s="38" t="b">
        <f t="shared" si="224"/>
        <v>0</v>
      </c>
      <c r="V1498" s="38"/>
      <c r="W1498" s="40"/>
      <c r="X1498" s="40"/>
      <c r="Y1498" s="40"/>
      <c r="Z1498" s="38"/>
      <c r="AA1498" s="38"/>
      <c r="AB1498" s="38"/>
      <c r="AC1498" s="38"/>
      <c r="AD1498" s="38"/>
      <c r="AE1498" s="38"/>
      <c r="AF1498" s="38"/>
      <c r="AG1498" s="38"/>
      <c r="AH1498" s="38"/>
      <c r="AI1498" s="38"/>
      <c r="AJ1498" s="38"/>
      <c r="AK1498" s="38"/>
      <c r="AL1498" s="38"/>
      <c r="AM1498" s="38"/>
      <c r="AN1498" s="38"/>
      <c r="AO1498" s="38"/>
      <c r="AP1498" s="38"/>
      <c r="AQ1498" s="38"/>
      <c r="AR1498" s="38"/>
      <c r="AS1498" s="38"/>
      <c r="AT1498" s="38"/>
      <c r="AU1498" s="38"/>
      <c r="AV1498" s="38"/>
      <c r="AW1498" s="38"/>
      <c r="AX1498" s="38"/>
      <c r="AY1498" s="38"/>
      <c r="AZ1498" s="38"/>
      <c r="BA1498" s="38"/>
      <c r="BB1498" s="38"/>
      <c r="BC1498" s="38"/>
      <c r="BD1498" s="38"/>
      <c r="BE1498" s="38"/>
      <c r="BF1498" s="38"/>
      <c r="BG1498" s="38"/>
      <c r="BH1498" s="38"/>
      <c r="BI1498" s="38"/>
      <c r="BJ1498" s="38"/>
      <c r="BK1498" s="38"/>
      <c r="BL1498" s="38"/>
      <c r="BM1498" s="38"/>
      <c r="BN1498" s="38"/>
      <c r="BO1498" s="38"/>
      <c r="BP1498" s="38"/>
      <c r="BQ1498" s="38"/>
    </row>
    <row r="1499">
      <c r="A1499" s="78" t="s">
        <v>4357</v>
      </c>
      <c r="B1499" s="59">
        <v>43298.0</v>
      </c>
      <c r="C1499" s="59">
        <v>43298.0</v>
      </c>
      <c r="D1499" s="60" t="s">
        <v>4358</v>
      </c>
      <c r="E1499" s="58" t="s">
        <v>41</v>
      </c>
      <c r="F1499" s="58">
        <v>1.0</v>
      </c>
      <c r="G1499" s="58" t="s">
        <v>32</v>
      </c>
      <c r="H1499" s="33">
        <f t="shared" si="223"/>
        <v>1</v>
      </c>
      <c r="I1499" s="58" t="s">
        <v>33</v>
      </c>
      <c r="J1499" s="58" t="s">
        <v>132</v>
      </c>
      <c r="K1499" s="58">
        <v>1.0</v>
      </c>
      <c r="L1499" s="58" t="s">
        <v>52</v>
      </c>
      <c r="M1499" s="61" t="s">
        <v>4359</v>
      </c>
      <c r="N1499" s="77"/>
      <c r="O1499" s="62"/>
      <c r="P1499" s="62"/>
      <c r="Q1499" s="62"/>
      <c r="R1499" s="62"/>
      <c r="S1499" s="37" t="str">
        <f>IFERROR(__xludf.DUMMYFUNCTION("if(not(iserror(index(split(C1499, "" ""),2))), index(split(C1499, "" ""),1),"""")"),"July")</f>
        <v>July</v>
      </c>
      <c r="T1499" s="38">
        <f>IFERROR(__xludf.DUMMYFUNCTION("if(S1499="""",C1499,if(not(iserror(index(split(C1499, "" ""),3))), index(split(C1499, "" ""),3),index(split(C1499, "" ""),2)))"),2018.0)</f>
        <v>2018</v>
      </c>
      <c r="U1499" s="38" t="b">
        <f t="shared" si="224"/>
        <v>0</v>
      </c>
      <c r="V1499" s="38"/>
      <c r="W1499" s="40"/>
      <c r="X1499" s="40"/>
      <c r="Y1499" s="40"/>
      <c r="Z1499" s="38"/>
      <c r="AA1499" s="38"/>
      <c r="AB1499" s="38"/>
      <c r="AC1499" s="38"/>
      <c r="AD1499" s="38"/>
      <c r="AE1499" s="38"/>
      <c r="AF1499" s="38"/>
      <c r="AG1499" s="38"/>
      <c r="AH1499" s="38"/>
      <c r="AI1499" s="38"/>
      <c r="AJ1499" s="38"/>
      <c r="AK1499" s="38"/>
      <c r="AL1499" s="38"/>
      <c r="AM1499" s="38"/>
      <c r="AN1499" s="38"/>
      <c r="AO1499" s="38"/>
      <c r="AP1499" s="38"/>
      <c r="AQ1499" s="38"/>
      <c r="AR1499" s="38"/>
      <c r="AS1499" s="38"/>
      <c r="AT1499" s="38"/>
      <c r="AU1499" s="38"/>
      <c r="AV1499" s="38"/>
      <c r="AW1499" s="38"/>
      <c r="AX1499" s="38"/>
      <c r="AY1499" s="38"/>
      <c r="AZ1499" s="38"/>
      <c r="BA1499" s="38"/>
      <c r="BB1499" s="38"/>
      <c r="BC1499" s="38"/>
      <c r="BD1499" s="38"/>
      <c r="BE1499" s="38"/>
      <c r="BF1499" s="38"/>
      <c r="BG1499" s="38"/>
      <c r="BH1499" s="38"/>
      <c r="BI1499" s="38"/>
      <c r="BJ1499" s="38"/>
      <c r="BK1499" s="38"/>
      <c r="BL1499" s="38"/>
      <c r="BM1499" s="38"/>
      <c r="BN1499" s="38"/>
      <c r="BO1499" s="38"/>
      <c r="BP1499" s="38"/>
      <c r="BQ1499" s="38"/>
    </row>
    <row r="1500">
      <c r="A1500" s="78" t="s">
        <v>4360</v>
      </c>
      <c r="B1500" s="59">
        <v>43298.0</v>
      </c>
      <c r="C1500" s="59">
        <v>43298.0</v>
      </c>
      <c r="D1500" s="60" t="s">
        <v>4358</v>
      </c>
      <c r="E1500" s="58" t="s">
        <v>31</v>
      </c>
      <c r="F1500" s="58">
        <v>2.0</v>
      </c>
      <c r="G1500" s="58" t="s">
        <v>32</v>
      </c>
      <c r="H1500" s="33">
        <f t="shared" si="223"/>
        <v>1</v>
      </c>
      <c r="I1500" s="58" t="s">
        <v>33</v>
      </c>
      <c r="J1500" s="58" t="s">
        <v>172</v>
      </c>
      <c r="K1500" s="58" t="s">
        <v>32</v>
      </c>
      <c r="L1500" s="58" t="s">
        <v>52</v>
      </c>
      <c r="M1500" s="61" t="s">
        <v>4361</v>
      </c>
      <c r="N1500" s="77"/>
      <c r="O1500" s="62"/>
      <c r="P1500" s="62"/>
      <c r="Q1500" s="62"/>
      <c r="R1500" s="62"/>
      <c r="S1500" s="37" t="str">
        <f>IFERROR(__xludf.DUMMYFUNCTION("if(not(iserror(index(split(C1500, "" ""),2))), index(split(C1500, "" ""),1),"""")"),"July")</f>
        <v>July</v>
      </c>
      <c r="T1500" s="38">
        <f>IFERROR(__xludf.DUMMYFUNCTION("if(S1500="""",C1500,if(not(iserror(index(split(C1500, "" ""),3))), index(split(C1500, "" ""),3),index(split(C1500, "" ""),2)))"),2018.0)</f>
        <v>2018</v>
      </c>
      <c r="U1500" s="38" t="b">
        <f t="shared" si="224"/>
        <v>0</v>
      </c>
      <c r="V1500" s="38"/>
      <c r="W1500" s="40"/>
      <c r="X1500" s="40"/>
      <c r="Y1500" s="40"/>
      <c r="Z1500" s="38"/>
      <c r="AA1500" s="38"/>
      <c r="AB1500" s="38"/>
      <c r="AC1500" s="38"/>
      <c r="AD1500" s="38"/>
      <c r="AE1500" s="38"/>
      <c r="AF1500" s="38"/>
      <c r="AG1500" s="38"/>
      <c r="AH1500" s="38"/>
      <c r="AI1500" s="38"/>
      <c r="AJ1500" s="38"/>
      <c r="AK1500" s="38"/>
      <c r="AL1500" s="38"/>
      <c r="AM1500" s="38"/>
      <c r="AN1500" s="38"/>
      <c r="AO1500" s="38"/>
      <c r="AP1500" s="38"/>
      <c r="AQ1500" s="38"/>
      <c r="AR1500" s="38"/>
      <c r="AS1500" s="38"/>
      <c r="AT1500" s="38"/>
      <c r="AU1500" s="38"/>
      <c r="AV1500" s="38"/>
      <c r="AW1500" s="38"/>
      <c r="AX1500" s="38"/>
      <c r="AY1500" s="38"/>
      <c r="AZ1500" s="38"/>
      <c r="BA1500" s="38"/>
      <c r="BB1500" s="38"/>
      <c r="BC1500" s="38"/>
      <c r="BD1500" s="38"/>
      <c r="BE1500" s="38"/>
      <c r="BF1500" s="38"/>
      <c r="BG1500" s="38"/>
      <c r="BH1500" s="38"/>
      <c r="BI1500" s="38"/>
      <c r="BJ1500" s="38"/>
      <c r="BK1500" s="38"/>
      <c r="BL1500" s="38"/>
      <c r="BM1500" s="38"/>
      <c r="BN1500" s="38"/>
      <c r="BO1500" s="38"/>
      <c r="BP1500" s="38"/>
      <c r="BQ1500" s="38"/>
    </row>
    <row r="1501">
      <c r="A1501" s="78" t="s">
        <v>4362</v>
      </c>
      <c r="B1501" s="59">
        <v>43298.0</v>
      </c>
      <c r="C1501" s="59">
        <v>43298.0</v>
      </c>
      <c r="D1501" s="60" t="s">
        <v>4358</v>
      </c>
      <c r="E1501" s="58" t="s">
        <v>31</v>
      </c>
      <c r="F1501" s="58">
        <v>1.0</v>
      </c>
      <c r="G1501" s="58" t="s">
        <v>32</v>
      </c>
      <c r="H1501" s="33">
        <f t="shared" si="223"/>
        <v>1</v>
      </c>
      <c r="I1501" s="58" t="s">
        <v>33</v>
      </c>
      <c r="J1501" s="58" t="s">
        <v>89</v>
      </c>
      <c r="K1501" s="58">
        <v>1.0</v>
      </c>
      <c r="L1501" s="58" t="s">
        <v>52</v>
      </c>
      <c r="M1501" s="61" t="s">
        <v>4363</v>
      </c>
      <c r="N1501" s="77"/>
      <c r="O1501" s="62"/>
      <c r="P1501" s="62"/>
      <c r="Q1501" s="62"/>
      <c r="R1501" s="62"/>
      <c r="S1501" s="37" t="str">
        <f>IFERROR(__xludf.DUMMYFUNCTION("if(not(iserror(index(split(C1501, "" ""),2))), index(split(C1501, "" ""),1),"""")"),"July")</f>
        <v>July</v>
      </c>
      <c r="T1501" s="38">
        <f>IFERROR(__xludf.DUMMYFUNCTION("if(S1501="""",C1501,if(not(iserror(index(split(C1501, "" ""),3))), index(split(C1501, "" ""),3),index(split(C1501, "" ""),2)))"),2018.0)</f>
        <v>2018</v>
      </c>
      <c r="U1501" s="38" t="b">
        <f t="shared" si="224"/>
        <v>0</v>
      </c>
      <c r="V1501" s="38"/>
      <c r="W1501" s="40"/>
      <c r="X1501" s="40"/>
      <c r="Y1501" s="40"/>
      <c r="Z1501" s="38"/>
      <c r="AA1501" s="38"/>
      <c r="AB1501" s="38"/>
      <c r="AC1501" s="38"/>
      <c r="AD1501" s="38"/>
      <c r="AE1501" s="38"/>
      <c r="AF1501" s="38"/>
      <c r="AG1501" s="38"/>
      <c r="AH1501" s="38"/>
      <c r="AI1501" s="38"/>
      <c r="AJ1501" s="38"/>
      <c r="AK1501" s="38"/>
      <c r="AL1501" s="38"/>
      <c r="AM1501" s="38"/>
      <c r="AN1501" s="38"/>
      <c r="AO1501" s="38"/>
      <c r="AP1501" s="38"/>
      <c r="AQ1501" s="38"/>
      <c r="AR1501" s="38"/>
      <c r="AS1501" s="38"/>
      <c r="AT1501" s="38"/>
      <c r="AU1501" s="38"/>
      <c r="AV1501" s="38"/>
      <c r="AW1501" s="38"/>
      <c r="AX1501" s="38"/>
      <c r="AY1501" s="38"/>
      <c r="AZ1501" s="38"/>
      <c r="BA1501" s="38"/>
      <c r="BB1501" s="38"/>
      <c r="BC1501" s="38"/>
      <c r="BD1501" s="38"/>
      <c r="BE1501" s="38"/>
      <c r="BF1501" s="38"/>
      <c r="BG1501" s="38"/>
      <c r="BH1501" s="38"/>
      <c r="BI1501" s="38"/>
      <c r="BJ1501" s="38"/>
      <c r="BK1501" s="38"/>
      <c r="BL1501" s="38"/>
      <c r="BM1501" s="38"/>
      <c r="BN1501" s="38"/>
      <c r="BO1501" s="38"/>
      <c r="BP1501" s="38"/>
      <c r="BQ1501" s="38"/>
    </row>
    <row r="1502">
      <c r="A1502" s="78" t="s">
        <v>4364</v>
      </c>
      <c r="B1502" s="59">
        <v>43299.0</v>
      </c>
      <c r="C1502" s="59">
        <v>43298.0</v>
      </c>
      <c r="D1502" s="60" t="s">
        <v>4358</v>
      </c>
      <c r="E1502" s="58" t="s">
        <v>31</v>
      </c>
      <c r="F1502" s="58">
        <v>1.0</v>
      </c>
      <c r="G1502" s="58" t="s">
        <v>32</v>
      </c>
      <c r="H1502" s="33">
        <f t="shared" si="223"/>
        <v>1</v>
      </c>
      <c r="I1502" s="58" t="s">
        <v>33</v>
      </c>
      <c r="J1502" s="58" t="s">
        <v>115</v>
      </c>
      <c r="K1502" s="58" t="s">
        <v>32</v>
      </c>
      <c r="L1502" s="58" t="s">
        <v>35</v>
      </c>
      <c r="M1502" s="61" t="s">
        <v>4365</v>
      </c>
      <c r="N1502" s="77"/>
      <c r="O1502" s="62"/>
      <c r="P1502" s="62"/>
      <c r="Q1502" s="62"/>
      <c r="R1502" s="62"/>
      <c r="S1502" s="37" t="str">
        <f>IFERROR(__xludf.DUMMYFUNCTION("if(not(iserror(index(split(C1502, "" ""),2))), index(split(C1502, "" ""),1),"""")"),"July")</f>
        <v>July</v>
      </c>
      <c r="T1502" s="38">
        <f>IFERROR(__xludf.DUMMYFUNCTION("if(S1502="""",C1502,if(not(iserror(index(split(C1502, "" ""),3))), index(split(C1502, "" ""),3),index(split(C1502, "" ""),2)))"),2018.0)</f>
        <v>2018</v>
      </c>
      <c r="U1502" s="38" t="b">
        <f t="shared" si="224"/>
        <v>0</v>
      </c>
      <c r="V1502" s="38"/>
      <c r="W1502" s="40"/>
      <c r="X1502" s="40"/>
      <c r="Y1502" s="40"/>
      <c r="Z1502" s="38"/>
      <c r="AA1502" s="38"/>
      <c r="AB1502" s="38"/>
      <c r="AC1502" s="38"/>
      <c r="AD1502" s="38"/>
      <c r="AE1502" s="38"/>
      <c r="AF1502" s="38"/>
      <c r="AG1502" s="38"/>
      <c r="AH1502" s="38"/>
      <c r="AI1502" s="38"/>
      <c r="AJ1502" s="38"/>
      <c r="AK1502" s="38"/>
      <c r="AL1502" s="38"/>
      <c r="AM1502" s="38"/>
      <c r="AN1502" s="38"/>
      <c r="AO1502" s="38"/>
      <c r="AP1502" s="38"/>
      <c r="AQ1502" s="38"/>
      <c r="AR1502" s="38"/>
      <c r="AS1502" s="38"/>
      <c r="AT1502" s="38"/>
      <c r="AU1502" s="38"/>
      <c r="AV1502" s="38"/>
      <c r="AW1502" s="38"/>
      <c r="AX1502" s="38"/>
      <c r="AY1502" s="38"/>
      <c r="AZ1502" s="38"/>
      <c r="BA1502" s="38"/>
      <c r="BB1502" s="38"/>
      <c r="BC1502" s="38"/>
      <c r="BD1502" s="38"/>
      <c r="BE1502" s="38"/>
      <c r="BF1502" s="38"/>
      <c r="BG1502" s="38"/>
      <c r="BH1502" s="38"/>
      <c r="BI1502" s="38"/>
      <c r="BJ1502" s="38"/>
      <c r="BK1502" s="38"/>
      <c r="BL1502" s="38"/>
      <c r="BM1502" s="38"/>
      <c r="BN1502" s="38"/>
      <c r="BO1502" s="38"/>
      <c r="BP1502" s="38"/>
      <c r="BQ1502" s="38"/>
    </row>
    <row r="1503">
      <c r="A1503" s="58" t="s">
        <v>660</v>
      </c>
      <c r="B1503" s="59">
        <v>43299.0</v>
      </c>
      <c r="C1503" s="59">
        <v>43298.0</v>
      </c>
      <c r="D1503" s="60" t="s">
        <v>4358</v>
      </c>
      <c r="E1503" s="58" t="s">
        <v>41</v>
      </c>
      <c r="F1503" s="58">
        <v>3.0</v>
      </c>
      <c r="G1503" s="58" t="s">
        <v>32</v>
      </c>
      <c r="H1503" s="33">
        <f t="shared" si="223"/>
        <v>1</v>
      </c>
      <c r="I1503" s="58" t="s">
        <v>33</v>
      </c>
      <c r="J1503" s="58" t="s">
        <v>402</v>
      </c>
      <c r="K1503" s="58">
        <v>1.0</v>
      </c>
      <c r="L1503" s="58" t="s">
        <v>52</v>
      </c>
      <c r="M1503" s="61" t="s">
        <v>4366</v>
      </c>
      <c r="N1503" s="77"/>
      <c r="O1503" s="62"/>
      <c r="P1503" s="62"/>
      <c r="Q1503" s="62"/>
      <c r="R1503" s="62"/>
      <c r="S1503" s="37" t="str">
        <f>IFERROR(__xludf.DUMMYFUNCTION("if(not(iserror(index(split(C1503, "" ""),2))), index(split(C1503, "" ""),1),"""")"),"July")</f>
        <v>July</v>
      </c>
      <c r="T1503" s="38">
        <f>IFERROR(__xludf.DUMMYFUNCTION("if(S1503="""",C1503,if(not(iserror(index(split(C1503, "" ""),3))), index(split(C1503, "" ""),3),index(split(C1503, "" ""),2)))"),2018.0)</f>
        <v>2018</v>
      </c>
      <c r="U1503" s="38" t="b">
        <f t="shared" si="224"/>
        <v>1</v>
      </c>
      <c r="V1503" s="38"/>
      <c r="W1503" s="40"/>
      <c r="X1503" s="40"/>
      <c r="Y1503" s="40"/>
      <c r="Z1503" s="38"/>
      <c r="AA1503" s="38"/>
      <c r="AB1503" s="38"/>
      <c r="AC1503" s="38"/>
      <c r="AD1503" s="38"/>
      <c r="AE1503" s="38"/>
      <c r="AF1503" s="38"/>
      <c r="AG1503" s="38"/>
      <c r="AH1503" s="38"/>
      <c r="AI1503" s="38"/>
      <c r="AJ1503" s="38"/>
      <c r="AK1503" s="38"/>
      <c r="AL1503" s="38"/>
      <c r="AM1503" s="38"/>
      <c r="AN1503" s="38"/>
      <c r="AO1503" s="38"/>
      <c r="AP1503" s="38"/>
      <c r="AQ1503" s="38"/>
      <c r="AR1503" s="38"/>
      <c r="AS1503" s="38"/>
      <c r="AT1503" s="38"/>
      <c r="AU1503" s="38"/>
      <c r="AV1503" s="38"/>
      <c r="AW1503" s="38"/>
      <c r="AX1503" s="38"/>
      <c r="AY1503" s="38"/>
      <c r="AZ1503" s="38"/>
      <c r="BA1503" s="38"/>
      <c r="BB1503" s="38"/>
      <c r="BC1503" s="38"/>
      <c r="BD1503" s="38"/>
      <c r="BE1503" s="38"/>
      <c r="BF1503" s="38"/>
      <c r="BG1503" s="38"/>
      <c r="BH1503" s="38"/>
      <c r="BI1503" s="38"/>
      <c r="BJ1503" s="38"/>
      <c r="BK1503" s="38"/>
      <c r="BL1503" s="38"/>
      <c r="BM1503" s="38"/>
      <c r="BN1503" s="38"/>
      <c r="BO1503" s="38"/>
      <c r="BP1503" s="38"/>
      <c r="BQ1503" s="38"/>
    </row>
    <row r="1504">
      <c r="A1504" s="58" t="s">
        <v>4367</v>
      </c>
      <c r="B1504" s="59"/>
      <c r="C1504" s="59">
        <v>43298.0</v>
      </c>
      <c r="D1504" s="60"/>
      <c r="E1504" s="58" t="s">
        <v>31</v>
      </c>
      <c r="F1504" s="58">
        <v>1.0</v>
      </c>
      <c r="G1504" s="58">
        <v>1.0</v>
      </c>
      <c r="H1504" s="43">
        <v>1.0</v>
      </c>
      <c r="I1504" s="58" t="s">
        <v>33</v>
      </c>
      <c r="J1504" s="58" t="s">
        <v>61</v>
      </c>
      <c r="K1504" s="58"/>
      <c r="L1504" s="58" t="s">
        <v>76</v>
      </c>
      <c r="M1504" s="61" t="s">
        <v>4368</v>
      </c>
      <c r="N1504" s="61" t="s">
        <v>4369</v>
      </c>
      <c r="O1504" s="62"/>
      <c r="P1504" s="58"/>
      <c r="Q1504" s="84"/>
      <c r="R1504" s="62"/>
      <c r="S1504" s="37" t="str">
        <f>IFERROR(__xludf.DUMMYFUNCTION("if(not(iserror(index(split(C1504, "" ""),2))), index(split(C1504, "" ""),1),"""")"),"July")</f>
        <v>July</v>
      </c>
      <c r="T1504" s="38">
        <f>IFERROR(__xludf.DUMMYFUNCTION("if(S1504="""",C1504,if(not(iserror(index(split(C1504, "" ""),3))), index(split(C1504, "" ""),3),index(split(C1504, "" ""),2)))"),2018.0)</f>
        <v>2018</v>
      </c>
      <c r="U1504" s="38" t="b">
        <f t="shared" si="224"/>
        <v>0</v>
      </c>
      <c r="V1504" s="38" t="s">
        <v>33</v>
      </c>
      <c r="W1504" s="39" t="s">
        <v>4370</v>
      </c>
      <c r="X1504" s="39" t="s">
        <v>4371</v>
      </c>
      <c r="Y1504" s="40"/>
      <c r="Z1504" s="38"/>
      <c r="AA1504" s="38"/>
      <c r="AB1504" s="38"/>
      <c r="AC1504" s="38"/>
      <c r="AD1504" s="38"/>
      <c r="AE1504" s="38"/>
      <c r="AF1504" s="38"/>
      <c r="AG1504" s="38"/>
      <c r="AH1504" s="38"/>
      <c r="AI1504" s="38"/>
      <c r="AJ1504" s="38"/>
      <c r="AK1504" s="38"/>
      <c r="AL1504" s="38"/>
      <c r="AM1504" s="38"/>
      <c r="AN1504" s="38"/>
      <c r="AO1504" s="38"/>
      <c r="AP1504" s="38"/>
      <c r="AQ1504" s="38"/>
      <c r="AR1504" s="38"/>
      <c r="AS1504" s="38"/>
      <c r="AT1504" s="38"/>
      <c r="AU1504" s="38"/>
      <c r="AV1504" s="38"/>
      <c r="AW1504" s="38"/>
      <c r="AX1504" s="38"/>
      <c r="AY1504" s="38"/>
      <c r="AZ1504" s="38"/>
      <c r="BA1504" s="38"/>
      <c r="BB1504" s="38"/>
      <c r="BC1504" s="38"/>
      <c r="BD1504" s="38"/>
      <c r="BE1504" s="38"/>
      <c r="BF1504" s="38"/>
      <c r="BG1504" s="38"/>
      <c r="BH1504" s="38"/>
      <c r="BI1504" s="38"/>
      <c r="BJ1504" s="38"/>
      <c r="BK1504" s="38"/>
      <c r="BL1504" s="38"/>
      <c r="BM1504" s="38"/>
      <c r="BN1504" s="38"/>
      <c r="BO1504" s="38"/>
      <c r="BP1504" s="38"/>
      <c r="BQ1504" s="38"/>
    </row>
    <row r="1505">
      <c r="A1505" s="239" t="s">
        <v>4372</v>
      </c>
      <c r="B1505" s="240"/>
      <c r="C1505" s="59">
        <v>43298.0</v>
      </c>
      <c r="D1505" s="209"/>
      <c r="E1505" s="239" t="s">
        <v>41</v>
      </c>
      <c r="F1505" s="239">
        <v>1.0</v>
      </c>
      <c r="G1505" s="239" t="s">
        <v>32</v>
      </c>
      <c r="H1505" s="33">
        <v>1.0</v>
      </c>
      <c r="I1505" s="239" t="s">
        <v>33</v>
      </c>
      <c r="J1505" s="239" t="s">
        <v>268</v>
      </c>
      <c r="K1505" s="239"/>
      <c r="L1505" s="239" t="s">
        <v>119</v>
      </c>
      <c r="M1505" s="241" t="s">
        <v>4373</v>
      </c>
      <c r="N1505" s="241"/>
      <c r="O1505" s="83" t="str">
        <f>hyperlink("https://bad-boys.us/?q=ND-OK/4:18-cr-00154", "ND-OK 4:18-cr-00154")</f>
        <v>ND-OK 4:18-cr-00154</v>
      </c>
      <c r="P1505" s="62"/>
      <c r="Q1505" s="84">
        <v>1.0</v>
      </c>
      <c r="R1505" s="62"/>
      <c r="S1505" s="37" t="str">
        <f>IFERROR(__xludf.DUMMYFUNCTION("if(not(iserror(index(split(C1505, "" ""),2))), index(split(C1505, "" ""),1),"""")"),"July")</f>
        <v>July</v>
      </c>
      <c r="T1505" s="38">
        <f>IFERROR(__xludf.DUMMYFUNCTION("if(S1505="""",C1505,if(not(iserror(index(split(C1505, "" ""),3))), index(split(C1505, "" ""),3),index(split(C1505, "" ""),2)))"),2018.0)</f>
        <v>2018</v>
      </c>
      <c r="U1505" s="38" t="b">
        <f t="shared" si="224"/>
        <v>1</v>
      </c>
      <c r="V1505" s="96" t="s">
        <v>33</v>
      </c>
      <c r="W1505" s="97"/>
      <c r="X1505" s="97"/>
      <c r="Y1505" s="97"/>
      <c r="Z1505" s="96"/>
      <c r="AA1505" s="96"/>
      <c r="AB1505" s="96"/>
      <c r="AC1505" s="96"/>
      <c r="AD1505" s="96"/>
      <c r="AE1505" s="96"/>
      <c r="AF1505" s="96"/>
      <c r="AG1505" s="96"/>
      <c r="AH1505" s="96"/>
      <c r="AI1505" s="96"/>
      <c r="AJ1505" s="96"/>
      <c r="AK1505" s="96"/>
      <c r="AL1505" s="96"/>
      <c r="AM1505" s="96"/>
      <c r="AN1505" s="96"/>
      <c r="AO1505" s="96"/>
      <c r="AP1505" s="96"/>
      <c r="AQ1505" s="96"/>
      <c r="AR1505" s="96"/>
      <c r="AS1505" s="96"/>
      <c r="AT1505" s="96"/>
      <c r="AU1505" s="96"/>
      <c r="AV1505" s="96"/>
      <c r="AW1505" s="96"/>
      <c r="AX1505" s="96"/>
      <c r="AY1505" s="96"/>
      <c r="AZ1505" s="96"/>
      <c r="BA1505" s="96"/>
      <c r="BB1505" s="96"/>
      <c r="BC1505" s="96"/>
      <c r="BD1505" s="96"/>
      <c r="BE1505" s="96"/>
      <c r="BF1505" s="96"/>
      <c r="BG1505" s="96"/>
      <c r="BH1505" s="96"/>
      <c r="BI1505" s="96"/>
      <c r="BJ1505" s="96"/>
      <c r="BK1505" s="96"/>
      <c r="BL1505" s="96"/>
      <c r="BM1505" s="96"/>
      <c r="BN1505" s="96"/>
      <c r="BO1505" s="96"/>
      <c r="BP1505" s="96"/>
      <c r="BQ1505" s="96"/>
    </row>
    <row r="1506">
      <c r="A1506" s="78" t="s">
        <v>4374</v>
      </c>
      <c r="B1506" s="59">
        <v>43304.0</v>
      </c>
      <c r="C1506" s="59">
        <v>43298.0</v>
      </c>
      <c r="D1506" s="60" t="s">
        <v>4358</v>
      </c>
      <c r="E1506" s="58" t="s">
        <v>31</v>
      </c>
      <c r="F1506" s="58">
        <v>1.0</v>
      </c>
      <c r="G1506" s="58" t="s">
        <v>32</v>
      </c>
      <c r="H1506" s="33">
        <f t="shared" ref="H1506:H1507" si="225">if(G1506="Unknown",1,G1506)</f>
        <v>1</v>
      </c>
      <c r="I1506" s="58" t="s">
        <v>33</v>
      </c>
      <c r="J1506" s="58" t="s">
        <v>124</v>
      </c>
      <c r="K1506" s="58" t="s">
        <v>32</v>
      </c>
      <c r="L1506" s="58" t="s">
        <v>99</v>
      </c>
      <c r="M1506" s="61" t="s">
        <v>4375</v>
      </c>
      <c r="N1506" s="61" t="s">
        <v>4376</v>
      </c>
      <c r="O1506" s="83" t="str">
        <f>hyperlink("https://bad-boys.us/?q=ND-OH/5:18-cr-00448", "ND-OH 5:18-cr-00448")</f>
        <v>ND-OH 5:18-cr-00448</v>
      </c>
      <c r="P1506" s="88" t="s">
        <v>4377</v>
      </c>
      <c r="Q1506" s="58">
        <v>1.0</v>
      </c>
      <c r="R1506" s="62"/>
      <c r="S1506" s="37" t="str">
        <f>IFERROR(__xludf.DUMMYFUNCTION("if(not(iserror(index(split(C1506, "" ""),2))), index(split(C1506, "" ""),1),"""")"),"July")</f>
        <v>July</v>
      </c>
      <c r="T1506" s="38">
        <f>IFERROR(__xludf.DUMMYFUNCTION("if(S1506="""",C1506,if(not(iserror(index(split(C1506, "" ""),3))), index(split(C1506, "" ""),3),index(split(C1506, "" ""),2)))"),2018.0)</f>
        <v>2018</v>
      </c>
      <c r="U1506" s="38" t="b">
        <f t="shared" si="224"/>
        <v>0</v>
      </c>
      <c r="V1506" s="38"/>
      <c r="W1506" s="40"/>
      <c r="X1506" s="40"/>
      <c r="Y1506" s="40"/>
      <c r="Z1506" s="38"/>
      <c r="AA1506" s="38"/>
      <c r="AB1506" s="38"/>
      <c r="AC1506" s="38"/>
      <c r="AD1506" s="38"/>
      <c r="AE1506" s="38"/>
      <c r="AF1506" s="38"/>
      <c r="AG1506" s="38"/>
      <c r="AH1506" s="38"/>
      <c r="AI1506" s="38"/>
      <c r="AJ1506" s="38"/>
      <c r="AK1506" s="38"/>
      <c r="AL1506" s="38"/>
      <c r="AM1506" s="38"/>
      <c r="AN1506" s="38"/>
      <c r="AO1506" s="38"/>
      <c r="AP1506" s="38"/>
      <c r="AQ1506" s="38"/>
      <c r="AR1506" s="38"/>
      <c r="AS1506" s="38"/>
      <c r="AT1506" s="38"/>
      <c r="AU1506" s="38"/>
      <c r="AV1506" s="38"/>
      <c r="AW1506" s="38"/>
      <c r="AX1506" s="38"/>
      <c r="AY1506" s="38"/>
      <c r="AZ1506" s="38"/>
      <c r="BA1506" s="38"/>
      <c r="BB1506" s="38"/>
      <c r="BC1506" s="38"/>
      <c r="BD1506" s="38"/>
      <c r="BE1506" s="38"/>
      <c r="BF1506" s="38"/>
      <c r="BG1506" s="38"/>
      <c r="BH1506" s="38"/>
      <c r="BI1506" s="38"/>
      <c r="BJ1506" s="38"/>
      <c r="BK1506" s="38"/>
      <c r="BL1506" s="38"/>
      <c r="BM1506" s="38"/>
      <c r="BN1506" s="38"/>
      <c r="BO1506" s="38"/>
      <c r="BP1506" s="38"/>
      <c r="BQ1506" s="38"/>
    </row>
    <row r="1507">
      <c r="A1507" s="58" t="s">
        <v>4378</v>
      </c>
      <c r="B1507" s="59">
        <v>43451.0</v>
      </c>
      <c r="C1507" s="59">
        <v>43298.0</v>
      </c>
      <c r="D1507" s="60" t="s">
        <v>4358</v>
      </c>
      <c r="E1507" s="58" t="s">
        <v>41</v>
      </c>
      <c r="F1507" s="58">
        <v>1.0</v>
      </c>
      <c r="G1507" s="58" t="s">
        <v>32</v>
      </c>
      <c r="H1507" s="33">
        <f t="shared" si="225"/>
        <v>1</v>
      </c>
      <c r="I1507" s="58" t="s">
        <v>33</v>
      </c>
      <c r="J1507" s="58" t="s">
        <v>850</v>
      </c>
      <c r="K1507" s="58">
        <v>2.0</v>
      </c>
      <c r="L1507" s="58" t="s">
        <v>119</v>
      </c>
      <c r="M1507" s="61" t="s">
        <v>4379</v>
      </c>
      <c r="N1507" s="61" t="s">
        <v>4380</v>
      </c>
      <c r="O1507" s="88" t="str">
        <f>hyperlink("https://bad-boys.us/?q=D-SC/7:18-cr-01116", "D-SC 7:18-cr-01116")</f>
        <v>D-SC 7:18-cr-01116</v>
      </c>
      <c r="P1507" s="58"/>
      <c r="Q1507" s="58">
        <v>1.0</v>
      </c>
      <c r="R1507" s="62"/>
      <c r="S1507" s="37" t="str">
        <f>IFERROR(__xludf.DUMMYFUNCTION("if(not(iserror(index(split(C1507, "" ""),2))), index(split(C1507, "" ""),1),"""")"),"July")</f>
        <v>July</v>
      </c>
      <c r="T1507" s="38">
        <f>IFERROR(__xludf.DUMMYFUNCTION("if(S1507="""",C1507,if(not(iserror(index(split(C1507, "" ""),3))), index(split(C1507, "" ""),3),index(split(C1507, "" ""),2)))"),2018.0)</f>
        <v>2018</v>
      </c>
      <c r="U1507" s="38" t="b">
        <f t="shared" si="224"/>
        <v>0</v>
      </c>
      <c r="V1507" s="38"/>
      <c r="W1507" s="40"/>
      <c r="X1507" s="40"/>
      <c r="Y1507" s="40"/>
      <c r="Z1507" s="38"/>
      <c r="AA1507" s="38"/>
      <c r="AB1507" s="38"/>
      <c r="AC1507" s="38"/>
      <c r="AD1507" s="38"/>
      <c r="AE1507" s="38"/>
      <c r="AF1507" s="38"/>
      <c r="AG1507" s="38"/>
      <c r="AH1507" s="38"/>
      <c r="AI1507" s="38"/>
      <c r="AJ1507" s="38"/>
      <c r="AK1507" s="38"/>
      <c r="AL1507" s="38"/>
      <c r="AM1507" s="38"/>
      <c r="AN1507" s="38"/>
      <c r="AO1507" s="38"/>
      <c r="AP1507" s="38"/>
      <c r="AQ1507" s="38"/>
      <c r="AR1507" s="38"/>
      <c r="AS1507" s="38"/>
      <c r="AT1507" s="38"/>
      <c r="AU1507" s="38"/>
      <c r="AV1507" s="38"/>
      <c r="AW1507" s="38"/>
      <c r="AX1507" s="38"/>
      <c r="AY1507" s="38"/>
      <c r="AZ1507" s="38"/>
      <c r="BA1507" s="38"/>
      <c r="BB1507" s="38"/>
      <c r="BC1507" s="38"/>
      <c r="BD1507" s="38"/>
      <c r="BE1507" s="38"/>
      <c r="BF1507" s="38"/>
      <c r="BG1507" s="38"/>
      <c r="BH1507" s="38"/>
      <c r="BI1507" s="38"/>
      <c r="BJ1507" s="38"/>
      <c r="BK1507" s="38"/>
      <c r="BL1507" s="38"/>
      <c r="BM1507" s="38"/>
      <c r="BN1507" s="38"/>
      <c r="BO1507" s="38"/>
      <c r="BP1507" s="38"/>
      <c r="BQ1507" s="38"/>
    </row>
    <row r="1508">
      <c r="A1508" s="58" t="s">
        <v>4381</v>
      </c>
      <c r="B1508" s="59"/>
      <c r="C1508" s="59">
        <v>43299.0</v>
      </c>
      <c r="D1508" s="60"/>
      <c r="E1508" s="58" t="s">
        <v>41</v>
      </c>
      <c r="F1508" s="58">
        <v>1.0</v>
      </c>
      <c r="G1508" s="58" t="s">
        <v>32</v>
      </c>
      <c r="H1508" s="43">
        <v>1.0</v>
      </c>
      <c r="I1508" s="58" t="s">
        <v>33</v>
      </c>
      <c r="J1508" s="58" t="s">
        <v>433</v>
      </c>
      <c r="K1508" s="58"/>
      <c r="L1508" s="58" t="s">
        <v>76</v>
      </c>
      <c r="M1508" s="61" t="s">
        <v>4382</v>
      </c>
      <c r="N1508" s="80"/>
      <c r="O1508" s="88" t="str">
        <f>hyperlink("https://bad-boys.us/?q=D-MN/0:19-cr-00027", "D-MN 0:19-cr-00027 ❓")</f>
        <v>D-MN 0:19-cr-00027 ❓</v>
      </c>
      <c r="P1508" s="88" t="s">
        <v>4383</v>
      </c>
      <c r="Q1508" s="58">
        <v>1.0</v>
      </c>
      <c r="R1508" s="62"/>
      <c r="S1508" s="37"/>
      <c r="T1508" s="38"/>
      <c r="U1508" s="38" t="b">
        <f t="shared" si="224"/>
        <v>0</v>
      </c>
      <c r="V1508" s="38" t="s">
        <v>33</v>
      </c>
      <c r="W1508" s="40"/>
      <c r="X1508" s="40"/>
      <c r="Y1508" s="40"/>
      <c r="Z1508" s="38"/>
      <c r="AA1508" s="38"/>
      <c r="AB1508" s="38"/>
      <c r="AC1508" s="38"/>
      <c r="AD1508" s="38"/>
      <c r="AE1508" s="38"/>
      <c r="AF1508" s="38"/>
      <c r="AG1508" s="38"/>
      <c r="AH1508" s="38"/>
      <c r="AI1508" s="38"/>
      <c r="AJ1508" s="38"/>
      <c r="AK1508" s="38"/>
      <c r="AL1508" s="38"/>
      <c r="AM1508" s="38"/>
      <c r="AN1508" s="38"/>
      <c r="AO1508" s="38"/>
      <c r="AP1508" s="38"/>
      <c r="AQ1508" s="38"/>
      <c r="AR1508" s="38"/>
      <c r="AS1508" s="38"/>
      <c r="AT1508" s="38"/>
      <c r="AU1508" s="38"/>
      <c r="AV1508" s="38"/>
      <c r="AW1508" s="38"/>
      <c r="AX1508" s="38"/>
      <c r="AY1508" s="38"/>
      <c r="AZ1508" s="38"/>
      <c r="BA1508" s="38"/>
      <c r="BB1508" s="38"/>
      <c r="BC1508" s="38"/>
      <c r="BD1508" s="38"/>
      <c r="BE1508" s="38"/>
      <c r="BF1508" s="38"/>
      <c r="BG1508" s="38"/>
      <c r="BH1508" s="38"/>
      <c r="BI1508" s="38"/>
      <c r="BJ1508" s="38"/>
      <c r="BK1508" s="38"/>
      <c r="BL1508" s="38"/>
      <c r="BM1508" s="38"/>
      <c r="BN1508" s="38"/>
      <c r="BO1508" s="38"/>
      <c r="BP1508" s="38"/>
      <c r="BQ1508" s="38"/>
    </row>
    <row r="1509">
      <c r="A1509" s="78" t="s">
        <v>4384</v>
      </c>
      <c r="B1509" s="59">
        <v>43299.0</v>
      </c>
      <c r="C1509" s="59">
        <v>43299.0</v>
      </c>
      <c r="D1509" s="60" t="s">
        <v>4385</v>
      </c>
      <c r="E1509" s="58" t="s">
        <v>31</v>
      </c>
      <c r="F1509" s="58">
        <v>1.0</v>
      </c>
      <c r="G1509" s="58" t="s">
        <v>32</v>
      </c>
      <c r="H1509" s="33">
        <f t="shared" ref="H1509:H1511" si="226">if(G1509="Unknown",1,G1509)</f>
        <v>1</v>
      </c>
      <c r="I1509" s="58" t="s">
        <v>33</v>
      </c>
      <c r="J1509" s="58" t="s">
        <v>184</v>
      </c>
      <c r="K1509" s="58">
        <v>1.0</v>
      </c>
      <c r="L1509" s="58" t="s">
        <v>807</v>
      </c>
      <c r="M1509" s="61" t="s">
        <v>4386</v>
      </c>
      <c r="N1509" s="77"/>
      <c r="O1509" s="62"/>
      <c r="P1509" s="62"/>
      <c r="Q1509" s="62"/>
      <c r="R1509" s="62"/>
      <c r="S1509" s="37" t="str">
        <f>IFERROR(__xludf.DUMMYFUNCTION("if(not(iserror(index(split(C1509, "" ""),2))), index(split(C1509, "" ""),1),"""")"),"July")</f>
        <v>July</v>
      </c>
      <c r="T1509" s="38">
        <f>IFERROR(__xludf.DUMMYFUNCTION("if(S1509="""",C1509,if(not(iserror(index(split(C1509, "" ""),3))), index(split(C1509, "" ""),3),index(split(C1509, "" ""),2)))"),2018.0)</f>
        <v>2018</v>
      </c>
      <c r="U1509" s="38" t="b">
        <f t="shared" si="224"/>
        <v>0</v>
      </c>
      <c r="V1509" s="38"/>
      <c r="W1509" s="40"/>
      <c r="X1509" s="40"/>
      <c r="Y1509" s="40"/>
      <c r="Z1509" s="38"/>
      <c r="AA1509" s="38"/>
      <c r="AB1509" s="38"/>
      <c r="AC1509" s="38"/>
      <c r="AD1509" s="38"/>
      <c r="AE1509" s="38"/>
      <c r="AF1509" s="38"/>
      <c r="AG1509" s="38"/>
      <c r="AH1509" s="38"/>
      <c r="AI1509" s="38"/>
      <c r="AJ1509" s="38"/>
      <c r="AK1509" s="38"/>
      <c r="AL1509" s="38"/>
      <c r="AM1509" s="38"/>
      <c r="AN1509" s="38"/>
      <c r="AO1509" s="38"/>
      <c r="AP1509" s="38"/>
      <c r="AQ1509" s="38"/>
      <c r="AR1509" s="38"/>
      <c r="AS1509" s="38"/>
      <c r="AT1509" s="38"/>
      <c r="AU1509" s="38"/>
      <c r="AV1509" s="38"/>
      <c r="AW1509" s="38"/>
      <c r="AX1509" s="38"/>
      <c r="AY1509" s="38"/>
      <c r="AZ1509" s="38"/>
      <c r="BA1509" s="38"/>
      <c r="BB1509" s="38"/>
      <c r="BC1509" s="38"/>
      <c r="BD1509" s="38"/>
      <c r="BE1509" s="38"/>
      <c r="BF1509" s="38"/>
      <c r="BG1509" s="38"/>
      <c r="BH1509" s="38"/>
      <c r="BI1509" s="38"/>
      <c r="BJ1509" s="38"/>
      <c r="BK1509" s="38"/>
      <c r="BL1509" s="38"/>
      <c r="BM1509" s="38"/>
      <c r="BN1509" s="38"/>
      <c r="BO1509" s="38"/>
      <c r="BP1509" s="38"/>
      <c r="BQ1509" s="38"/>
    </row>
    <row r="1510">
      <c r="A1510" s="58" t="s">
        <v>239</v>
      </c>
      <c r="B1510" s="59">
        <v>43299.0</v>
      </c>
      <c r="C1510" s="59">
        <v>43299.0</v>
      </c>
      <c r="D1510" s="60" t="s">
        <v>4385</v>
      </c>
      <c r="E1510" s="58" t="s">
        <v>41</v>
      </c>
      <c r="F1510" s="58">
        <v>1.0</v>
      </c>
      <c r="G1510" s="58" t="s">
        <v>32</v>
      </c>
      <c r="H1510" s="33">
        <f t="shared" si="226"/>
        <v>1</v>
      </c>
      <c r="I1510" s="58" t="s">
        <v>33</v>
      </c>
      <c r="J1510" s="58" t="s">
        <v>147</v>
      </c>
      <c r="K1510" s="58">
        <v>1.0</v>
      </c>
      <c r="L1510" s="58" t="s">
        <v>194</v>
      </c>
      <c r="M1510" s="61" t="s">
        <v>4387</v>
      </c>
      <c r="N1510" s="77"/>
      <c r="O1510" s="62"/>
      <c r="P1510" s="62"/>
      <c r="Q1510" s="62"/>
      <c r="R1510" s="62"/>
      <c r="S1510" s="37" t="str">
        <f>IFERROR(__xludf.DUMMYFUNCTION("if(not(iserror(index(split(C1510, "" ""),2))), index(split(C1510, "" ""),1),"""")"),"July")</f>
        <v>July</v>
      </c>
      <c r="T1510" s="38">
        <f>IFERROR(__xludf.DUMMYFUNCTION("if(S1510="""",C1510,if(not(iserror(index(split(C1510, "" ""),3))), index(split(C1510, "" ""),3),index(split(C1510, "" ""),2)))"),2018.0)</f>
        <v>2018</v>
      </c>
      <c r="U1510" s="38" t="b">
        <f t="shared" si="224"/>
        <v>1</v>
      </c>
      <c r="V1510" s="38"/>
      <c r="W1510" s="40"/>
      <c r="X1510" s="40"/>
      <c r="Y1510" s="40"/>
      <c r="Z1510" s="38"/>
      <c r="AA1510" s="38"/>
      <c r="AB1510" s="38"/>
      <c r="AC1510" s="38"/>
      <c r="AD1510" s="38"/>
      <c r="AE1510" s="38"/>
      <c r="AF1510" s="38"/>
      <c r="AG1510" s="38"/>
      <c r="AH1510" s="38"/>
      <c r="AI1510" s="38"/>
      <c r="AJ1510" s="38"/>
      <c r="AK1510" s="38"/>
      <c r="AL1510" s="38"/>
      <c r="AM1510" s="38"/>
      <c r="AN1510" s="38"/>
      <c r="AO1510" s="38"/>
      <c r="AP1510" s="38"/>
      <c r="AQ1510" s="38"/>
      <c r="AR1510" s="38"/>
      <c r="AS1510" s="38"/>
      <c r="AT1510" s="38"/>
      <c r="AU1510" s="38"/>
      <c r="AV1510" s="38"/>
      <c r="AW1510" s="38"/>
      <c r="AX1510" s="38"/>
      <c r="AY1510" s="38"/>
      <c r="AZ1510" s="38"/>
      <c r="BA1510" s="38"/>
      <c r="BB1510" s="38"/>
      <c r="BC1510" s="38"/>
      <c r="BD1510" s="38"/>
      <c r="BE1510" s="38"/>
      <c r="BF1510" s="38"/>
      <c r="BG1510" s="38"/>
      <c r="BH1510" s="38"/>
      <c r="BI1510" s="38"/>
      <c r="BJ1510" s="38"/>
      <c r="BK1510" s="38"/>
      <c r="BL1510" s="38"/>
      <c r="BM1510" s="38"/>
      <c r="BN1510" s="38"/>
      <c r="BO1510" s="38"/>
      <c r="BP1510" s="38"/>
      <c r="BQ1510" s="38"/>
    </row>
    <row r="1511">
      <c r="A1511" s="78" t="s">
        <v>4388</v>
      </c>
      <c r="B1511" s="59">
        <v>43311.0</v>
      </c>
      <c r="C1511" s="59">
        <v>43299.0</v>
      </c>
      <c r="D1511" s="60" t="s">
        <v>4385</v>
      </c>
      <c r="E1511" s="58" t="s">
        <v>41</v>
      </c>
      <c r="F1511" s="58">
        <v>1.0</v>
      </c>
      <c r="G1511" s="58" t="s">
        <v>32</v>
      </c>
      <c r="H1511" s="33">
        <f t="shared" si="226"/>
        <v>1</v>
      </c>
      <c r="I1511" s="58" t="s">
        <v>33</v>
      </c>
      <c r="J1511" s="58" t="s">
        <v>241</v>
      </c>
      <c r="K1511" s="58">
        <v>5.0</v>
      </c>
      <c r="L1511" s="58" t="s">
        <v>194</v>
      </c>
      <c r="M1511" s="61" t="s">
        <v>4389</v>
      </c>
      <c r="N1511" s="123"/>
      <c r="O1511" s="83" t="str">
        <f>hyperlink("https://bad-boys.us/?q=D-AZ/2:18-cr-00990", "D-AZ 2:18-cr-00990")</f>
        <v>D-AZ 2:18-cr-00990</v>
      </c>
      <c r="P1511" s="88" t="s">
        <v>4390</v>
      </c>
      <c r="Q1511" s="84">
        <v>1.0</v>
      </c>
      <c r="R1511" s="62"/>
      <c r="S1511" s="37" t="str">
        <f>IFERROR(__xludf.DUMMYFUNCTION("if(not(iserror(index(split(C1511, "" ""),2))), index(split(C1511, "" ""),1),"""")"),"July")</f>
        <v>July</v>
      </c>
      <c r="T1511" s="38">
        <f>IFERROR(__xludf.DUMMYFUNCTION("if(S1511="""",C1511,if(not(iserror(index(split(C1511, "" ""),3))), index(split(C1511, "" ""),3),index(split(C1511, "" ""),2)))"),2018.0)</f>
        <v>2018</v>
      </c>
      <c r="U1511" s="38" t="b">
        <f t="shared" si="224"/>
        <v>0</v>
      </c>
      <c r="V1511" s="38"/>
      <c r="W1511" s="40"/>
      <c r="X1511" s="40"/>
      <c r="Y1511" s="40"/>
      <c r="Z1511" s="38"/>
      <c r="AA1511" s="38"/>
      <c r="AB1511" s="38"/>
      <c r="AC1511" s="38"/>
      <c r="AD1511" s="38"/>
      <c r="AE1511" s="38"/>
      <c r="AF1511" s="38"/>
      <c r="AG1511" s="38"/>
      <c r="AH1511" s="38"/>
      <c r="AI1511" s="38"/>
      <c r="AJ1511" s="38"/>
      <c r="AK1511" s="38"/>
      <c r="AL1511" s="38"/>
      <c r="AM1511" s="38"/>
      <c r="AN1511" s="38"/>
      <c r="AO1511" s="38"/>
      <c r="AP1511" s="38"/>
      <c r="AQ1511" s="38"/>
      <c r="AR1511" s="38"/>
      <c r="AS1511" s="38"/>
      <c r="AT1511" s="38"/>
      <c r="AU1511" s="38"/>
      <c r="AV1511" s="38"/>
      <c r="AW1511" s="38"/>
      <c r="AX1511" s="38"/>
      <c r="AY1511" s="38"/>
      <c r="AZ1511" s="38"/>
      <c r="BA1511" s="38"/>
      <c r="BB1511" s="38"/>
      <c r="BC1511" s="38"/>
      <c r="BD1511" s="38"/>
      <c r="BE1511" s="38"/>
      <c r="BF1511" s="38"/>
      <c r="BG1511" s="38"/>
      <c r="BH1511" s="38"/>
      <c r="BI1511" s="38"/>
      <c r="BJ1511" s="38"/>
      <c r="BK1511" s="38"/>
      <c r="BL1511" s="38"/>
      <c r="BM1511" s="38"/>
      <c r="BN1511" s="38"/>
      <c r="BO1511" s="38"/>
      <c r="BP1511" s="38"/>
      <c r="BQ1511" s="38"/>
    </row>
    <row r="1512">
      <c r="A1512" s="58" t="s">
        <v>4391</v>
      </c>
      <c r="B1512" s="59"/>
      <c r="C1512" s="59">
        <v>43300.0</v>
      </c>
      <c r="D1512" s="60"/>
      <c r="E1512" s="58" t="s">
        <v>41</v>
      </c>
      <c r="F1512" s="58">
        <v>1.0</v>
      </c>
      <c r="G1512" s="58" t="s">
        <v>32</v>
      </c>
      <c r="H1512" s="43">
        <v>1.0</v>
      </c>
      <c r="I1512" s="58" t="s">
        <v>33</v>
      </c>
      <c r="J1512" s="58" t="s">
        <v>288</v>
      </c>
      <c r="K1512" s="58"/>
      <c r="L1512" s="58" t="s">
        <v>119</v>
      </c>
      <c r="M1512" s="61" t="s">
        <v>4392</v>
      </c>
      <c r="N1512" s="77"/>
      <c r="O1512" s="62"/>
      <c r="P1512" s="62"/>
      <c r="Q1512" s="62"/>
      <c r="R1512" s="62"/>
      <c r="S1512" s="37"/>
      <c r="T1512" s="38"/>
      <c r="U1512" s="38"/>
      <c r="V1512" s="38" t="s">
        <v>33</v>
      </c>
      <c r="W1512" s="40"/>
      <c r="X1512" s="40"/>
      <c r="Y1512" s="40"/>
      <c r="Z1512" s="38"/>
      <c r="AA1512" s="38"/>
      <c r="AB1512" s="38"/>
      <c r="AC1512" s="38"/>
      <c r="AD1512" s="38"/>
      <c r="AE1512" s="38"/>
      <c r="AF1512" s="38"/>
      <c r="AG1512" s="38"/>
      <c r="AH1512" s="38"/>
      <c r="AI1512" s="38"/>
      <c r="AJ1512" s="38"/>
      <c r="AK1512" s="38"/>
      <c r="AL1512" s="38"/>
      <c r="AM1512" s="38"/>
      <c r="AN1512" s="38"/>
      <c r="AO1512" s="38"/>
      <c r="AP1512" s="38"/>
      <c r="AQ1512" s="38"/>
      <c r="AR1512" s="38"/>
      <c r="AS1512" s="38"/>
      <c r="AT1512" s="38"/>
      <c r="AU1512" s="38"/>
      <c r="AV1512" s="38"/>
      <c r="AW1512" s="38"/>
      <c r="AX1512" s="38"/>
      <c r="AY1512" s="38"/>
      <c r="AZ1512" s="38"/>
      <c r="BA1512" s="38"/>
      <c r="BB1512" s="38"/>
      <c r="BC1512" s="38"/>
      <c r="BD1512" s="38"/>
      <c r="BE1512" s="38"/>
      <c r="BF1512" s="38"/>
      <c r="BG1512" s="38"/>
      <c r="BH1512" s="38"/>
      <c r="BI1512" s="38"/>
      <c r="BJ1512" s="38"/>
      <c r="BK1512" s="38"/>
      <c r="BL1512" s="38"/>
      <c r="BM1512" s="38"/>
      <c r="BN1512" s="38"/>
      <c r="BO1512" s="38"/>
      <c r="BP1512" s="38"/>
      <c r="BQ1512" s="38"/>
    </row>
    <row r="1513">
      <c r="A1513" s="58" t="s">
        <v>4393</v>
      </c>
      <c r="B1513" s="59">
        <v>43300.0</v>
      </c>
      <c r="C1513" s="59">
        <v>43300.0</v>
      </c>
      <c r="D1513" s="60" t="s">
        <v>4394</v>
      </c>
      <c r="E1513" s="58" t="s">
        <v>41</v>
      </c>
      <c r="F1513" s="58">
        <v>3.0</v>
      </c>
      <c r="G1513" s="58" t="s">
        <v>32</v>
      </c>
      <c r="H1513" s="33">
        <f t="shared" ref="H1513:H1515" si="227">if(G1513="Unknown",1,G1513)</f>
        <v>1</v>
      </c>
      <c r="I1513" s="58" t="s">
        <v>33</v>
      </c>
      <c r="J1513" s="58" t="s">
        <v>47</v>
      </c>
      <c r="K1513" s="58">
        <v>1.0</v>
      </c>
      <c r="L1513" s="58" t="s">
        <v>35</v>
      </c>
      <c r="M1513" s="61" t="s">
        <v>4395</v>
      </c>
      <c r="N1513" s="77"/>
      <c r="O1513" s="62"/>
      <c r="P1513" s="62"/>
      <c r="Q1513" s="62"/>
      <c r="R1513" s="62"/>
      <c r="S1513" s="37" t="str">
        <f>IFERROR(__xludf.DUMMYFUNCTION("if(not(iserror(index(split(C1513, "" ""),2))), index(split(C1513, "" ""),1),"""")"),"July")</f>
        <v>July</v>
      </c>
      <c r="T1513" s="38">
        <f>IFERROR(__xludf.DUMMYFUNCTION("if(S1513="""",C1513,if(not(iserror(index(split(C1513, "" ""),3))), index(split(C1513, "" ""),3),index(split(C1513, "" ""),2)))"),2018.0)</f>
        <v>2018</v>
      </c>
      <c r="U1513" s="38" t="b">
        <f t="shared" ref="U1513:U1585" si="228">countif(A$4:A4658, A1513)&gt;1</f>
        <v>0</v>
      </c>
      <c r="V1513" s="38"/>
      <c r="W1513" s="40"/>
      <c r="X1513" s="40"/>
      <c r="Y1513" s="40"/>
      <c r="Z1513" s="38"/>
      <c r="AA1513" s="38"/>
      <c r="AB1513" s="38"/>
      <c r="AC1513" s="38"/>
      <c r="AD1513" s="38"/>
      <c r="AE1513" s="38"/>
      <c r="AF1513" s="38"/>
      <c r="AG1513" s="38"/>
      <c r="AH1513" s="38"/>
      <c r="AI1513" s="38"/>
      <c r="AJ1513" s="38"/>
      <c r="AK1513" s="38"/>
      <c r="AL1513" s="38"/>
      <c r="AM1513" s="38"/>
      <c r="AN1513" s="38"/>
      <c r="AO1513" s="38"/>
      <c r="AP1513" s="38"/>
      <c r="AQ1513" s="38"/>
      <c r="AR1513" s="38"/>
      <c r="AS1513" s="38"/>
      <c r="AT1513" s="38"/>
      <c r="AU1513" s="38"/>
      <c r="AV1513" s="38"/>
      <c r="AW1513" s="38"/>
      <c r="AX1513" s="38"/>
      <c r="AY1513" s="38"/>
      <c r="AZ1513" s="38"/>
      <c r="BA1513" s="38"/>
      <c r="BB1513" s="38"/>
      <c r="BC1513" s="38"/>
      <c r="BD1513" s="38"/>
      <c r="BE1513" s="38"/>
      <c r="BF1513" s="38"/>
      <c r="BG1513" s="38"/>
      <c r="BH1513" s="38"/>
      <c r="BI1513" s="38"/>
      <c r="BJ1513" s="38"/>
      <c r="BK1513" s="38"/>
      <c r="BL1513" s="38"/>
      <c r="BM1513" s="38"/>
      <c r="BN1513" s="38"/>
      <c r="BO1513" s="38"/>
      <c r="BP1513" s="38"/>
      <c r="BQ1513" s="38"/>
    </row>
    <row r="1514">
      <c r="A1514" s="58" t="s">
        <v>4396</v>
      </c>
      <c r="B1514" s="59">
        <v>43301.0</v>
      </c>
      <c r="C1514" s="59">
        <v>43300.0</v>
      </c>
      <c r="D1514" s="60" t="s">
        <v>4394</v>
      </c>
      <c r="E1514" s="58" t="s">
        <v>31</v>
      </c>
      <c r="F1514" s="58">
        <v>1.0</v>
      </c>
      <c r="G1514" s="58" t="s">
        <v>32</v>
      </c>
      <c r="H1514" s="33">
        <f t="shared" si="227"/>
        <v>1</v>
      </c>
      <c r="I1514" s="58" t="s">
        <v>33</v>
      </c>
      <c r="J1514" s="58" t="s">
        <v>410</v>
      </c>
      <c r="K1514" s="58" t="s">
        <v>32</v>
      </c>
      <c r="L1514" s="58" t="s">
        <v>99</v>
      </c>
      <c r="M1514" s="61" t="s">
        <v>4397</v>
      </c>
      <c r="N1514" s="202" t="s">
        <v>4398</v>
      </c>
      <c r="O1514" s="62"/>
      <c r="P1514" s="62"/>
      <c r="Q1514" s="62"/>
      <c r="R1514" s="62"/>
      <c r="S1514" s="37" t="str">
        <f>IFERROR(__xludf.DUMMYFUNCTION("if(not(iserror(index(split(C1514, "" ""),2))), index(split(C1514, "" ""),1),"""")"),"July")</f>
        <v>July</v>
      </c>
      <c r="T1514" s="38">
        <f>IFERROR(__xludf.DUMMYFUNCTION("if(S1514="""",C1514,if(not(iserror(index(split(C1514, "" ""),3))), index(split(C1514, "" ""),3),index(split(C1514, "" ""),2)))"),2018.0)</f>
        <v>2018</v>
      </c>
      <c r="U1514" s="38" t="b">
        <f t="shared" si="228"/>
        <v>0</v>
      </c>
      <c r="V1514" s="38"/>
      <c r="W1514" s="40"/>
      <c r="X1514" s="40"/>
      <c r="Y1514" s="40"/>
      <c r="Z1514" s="38"/>
      <c r="AA1514" s="38"/>
      <c r="AB1514" s="38"/>
      <c r="AC1514" s="38"/>
      <c r="AD1514" s="38"/>
      <c r="AE1514" s="38"/>
      <c r="AF1514" s="38"/>
      <c r="AG1514" s="38"/>
      <c r="AH1514" s="38"/>
      <c r="AI1514" s="38"/>
      <c r="AJ1514" s="38"/>
      <c r="AK1514" s="38"/>
      <c r="AL1514" s="38"/>
      <c r="AM1514" s="38"/>
      <c r="AN1514" s="38"/>
      <c r="AO1514" s="38"/>
      <c r="AP1514" s="38"/>
      <c r="AQ1514" s="38"/>
      <c r="AR1514" s="38"/>
      <c r="AS1514" s="38"/>
      <c r="AT1514" s="38"/>
      <c r="AU1514" s="38"/>
      <c r="AV1514" s="38"/>
      <c r="AW1514" s="38"/>
      <c r="AX1514" s="38"/>
      <c r="AY1514" s="38"/>
      <c r="AZ1514" s="38"/>
      <c r="BA1514" s="38"/>
      <c r="BB1514" s="38"/>
      <c r="BC1514" s="38"/>
      <c r="BD1514" s="38"/>
      <c r="BE1514" s="38"/>
      <c r="BF1514" s="38"/>
      <c r="BG1514" s="38"/>
      <c r="BH1514" s="38"/>
      <c r="BI1514" s="38"/>
      <c r="BJ1514" s="38"/>
      <c r="BK1514" s="38"/>
      <c r="BL1514" s="38"/>
      <c r="BM1514" s="38"/>
      <c r="BN1514" s="38"/>
      <c r="BO1514" s="38"/>
      <c r="BP1514" s="38"/>
      <c r="BQ1514" s="38"/>
    </row>
    <row r="1515">
      <c r="A1515" s="78" t="s">
        <v>660</v>
      </c>
      <c r="B1515" s="59">
        <v>43311.0</v>
      </c>
      <c r="C1515" s="59">
        <v>43300.0</v>
      </c>
      <c r="D1515" s="60" t="s">
        <v>4394</v>
      </c>
      <c r="E1515" s="58" t="s">
        <v>31</v>
      </c>
      <c r="F1515" s="58">
        <v>10.0</v>
      </c>
      <c r="G1515" s="58" t="s">
        <v>32</v>
      </c>
      <c r="H1515" s="33">
        <f t="shared" si="227"/>
        <v>1</v>
      </c>
      <c r="I1515" s="58" t="s">
        <v>33</v>
      </c>
      <c r="J1515" s="58" t="s">
        <v>115</v>
      </c>
      <c r="K1515" s="58">
        <v>1.0</v>
      </c>
      <c r="L1515" s="58" t="s">
        <v>52</v>
      </c>
      <c r="M1515" s="61" t="s">
        <v>4399</v>
      </c>
      <c r="N1515" s="77"/>
      <c r="O1515" s="62"/>
      <c r="P1515" s="62"/>
      <c r="Q1515" s="62"/>
      <c r="R1515" s="62"/>
      <c r="S1515" s="37" t="str">
        <f>IFERROR(__xludf.DUMMYFUNCTION("if(not(iserror(index(split(C1515, "" ""),2))), index(split(C1515, "" ""),1),"""")"),"July")</f>
        <v>July</v>
      </c>
      <c r="T1515" s="38">
        <f>IFERROR(__xludf.DUMMYFUNCTION("if(S1515="""",C1515,if(not(iserror(index(split(C1515, "" ""),3))), index(split(C1515, "" ""),3),index(split(C1515, "" ""),2)))"),2018.0)</f>
        <v>2018</v>
      </c>
      <c r="U1515" s="38" t="b">
        <f t="shared" si="228"/>
        <v>1</v>
      </c>
      <c r="V1515" s="38"/>
      <c r="W1515" s="40"/>
      <c r="X1515" s="40"/>
      <c r="Y1515" s="40"/>
      <c r="Z1515" s="38"/>
      <c r="AA1515" s="38"/>
      <c r="AB1515" s="38"/>
      <c r="AC1515" s="38"/>
      <c r="AD1515" s="38"/>
      <c r="AE1515" s="38"/>
      <c r="AF1515" s="38"/>
      <c r="AG1515" s="38"/>
      <c r="AH1515" s="38"/>
      <c r="AI1515" s="38"/>
      <c r="AJ1515" s="38"/>
      <c r="AK1515" s="38"/>
      <c r="AL1515" s="38"/>
      <c r="AM1515" s="38"/>
      <c r="AN1515" s="38"/>
      <c r="AO1515" s="38"/>
      <c r="AP1515" s="38"/>
      <c r="AQ1515" s="38"/>
      <c r="AR1515" s="38"/>
      <c r="AS1515" s="38"/>
      <c r="AT1515" s="38"/>
      <c r="AU1515" s="38"/>
      <c r="AV1515" s="38"/>
      <c r="AW1515" s="38"/>
      <c r="AX1515" s="38"/>
      <c r="AY1515" s="38"/>
      <c r="AZ1515" s="38"/>
      <c r="BA1515" s="38"/>
      <c r="BB1515" s="38"/>
      <c r="BC1515" s="38"/>
      <c r="BD1515" s="38"/>
      <c r="BE1515" s="38"/>
      <c r="BF1515" s="38"/>
      <c r="BG1515" s="38"/>
      <c r="BH1515" s="38"/>
      <c r="BI1515" s="38"/>
      <c r="BJ1515" s="38"/>
      <c r="BK1515" s="38"/>
      <c r="BL1515" s="38"/>
      <c r="BM1515" s="38"/>
      <c r="BN1515" s="38"/>
      <c r="BO1515" s="38"/>
      <c r="BP1515" s="38"/>
      <c r="BQ1515" s="38"/>
    </row>
    <row r="1516">
      <c r="A1516" s="78" t="s">
        <v>4400</v>
      </c>
      <c r="B1516" s="59"/>
      <c r="C1516" s="59">
        <v>43300.0</v>
      </c>
      <c r="D1516" s="60"/>
      <c r="E1516" s="58" t="s">
        <v>41</v>
      </c>
      <c r="F1516" s="58">
        <v>1.0</v>
      </c>
      <c r="G1516" s="58" t="s">
        <v>32</v>
      </c>
      <c r="H1516" s="43">
        <v>1.0</v>
      </c>
      <c r="I1516" s="58" t="s">
        <v>33</v>
      </c>
      <c r="J1516" s="58" t="s">
        <v>440</v>
      </c>
      <c r="K1516" s="58"/>
      <c r="L1516" s="58" t="s">
        <v>119</v>
      </c>
      <c r="M1516" s="61" t="s">
        <v>4401</v>
      </c>
      <c r="N1516" s="77"/>
      <c r="O1516" s="62"/>
      <c r="P1516" s="58"/>
      <c r="Q1516" s="84"/>
      <c r="R1516" s="62"/>
      <c r="S1516" s="37" t="str">
        <f>IFERROR(__xludf.DUMMYFUNCTION("if(not(iserror(index(split(C1516, "" ""),2))), index(split(C1516, "" ""),1),"""")"),"July")</f>
        <v>July</v>
      </c>
      <c r="T1516" s="38">
        <f>IFERROR(__xludf.DUMMYFUNCTION("if(S1516="""",C1516,if(not(iserror(index(split(C1516, "" ""),3))), index(split(C1516, "" ""),3),index(split(C1516, "" ""),2)))"),2018.0)</f>
        <v>2018</v>
      </c>
      <c r="U1516" s="38" t="b">
        <f t="shared" si="228"/>
        <v>0</v>
      </c>
      <c r="V1516" s="38" t="s">
        <v>33</v>
      </c>
      <c r="W1516" s="40"/>
      <c r="X1516" s="40"/>
      <c r="Y1516" s="40"/>
      <c r="Z1516" s="38"/>
      <c r="AA1516" s="38"/>
      <c r="AB1516" s="38"/>
      <c r="AC1516" s="38"/>
      <c r="AD1516" s="38"/>
      <c r="AE1516" s="38"/>
      <c r="AF1516" s="38"/>
      <c r="AG1516" s="38"/>
      <c r="AH1516" s="38"/>
      <c r="AI1516" s="38"/>
      <c r="AJ1516" s="38"/>
      <c r="AK1516" s="38"/>
      <c r="AL1516" s="38"/>
      <c r="AM1516" s="38"/>
      <c r="AN1516" s="38"/>
      <c r="AO1516" s="38"/>
      <c r="AP1516" s="38"/>
      <c r="AQ1516" s="38"/>
      <c r="AR1516" s="38"/>
      <c r="AS1516" s="38"/>
      <c r="AT1516" s="38"/>
      <c r="AU1516" s="38"/>
      <c r="AV1516" s="38"/>
      <c r="AW1516" s="38"/>
      <c r="AX1516" s="38"/>
      <c r="AY1516" s="38"/>
      <c r="AZ1516" s="38"/>
      <c r="BA1516" s="38"/>
      <c r="BB1516" s="38"/>
      <c r="BC1516" s="38"/>
      <c r="BD1516" s="38"/>
      <c r="BE1516" s="38"/>
      <c r="BF1516" s="38"/>
      <c r="BG1516" s="38"/>
      <c r="BH1516" s="38"/>
      <c r="BI1516" s="38"/>
      <c r="BJ1516" s="38"/>
      <c r="BK1516" s="38"/>
      <c r="BL1516" s="38"/>
      <c r="BM1516" s="38"/>
      <c r="BN1516" s="38"/>
      <c r="BO1516" s="38"/>
      <c r="BP1516" s="38"/>
      <c r="BQ1516" s="38"/>
    </row>
    <row r="1517">
      <c r="A1517" s="78" t="s">
        <v>4402</v>
      </c>
      <c r="B1517" s="59">
        <v>43313.0</v>
      </c>
      <c r="C1517" s="59">
        <v>43300.0</v>
      </c>
      <c r="D1517" s="60" t="s">
        <v>4394</v>
      </c>
      <c r="E1517" s="58" t="s">
        <v>41</v>
      </c>
      <c r="F1517" s="58">
        <v>1.0</v>
      </c>
      <c r="G1517" s="58" t="s">
        <v>32</v>
      </c>
      <c r="H1517" s="33">
        <f t="shared" ref="H1517:H1519" si="229">if(G1517="Unknown",1,G1517)</f>
        <v>1</v>
      </c>
      <c r="I1517" s="58" t="s">
        <v>33</v>
      </c>
      <c r="J1517" s="58" t="s">
        <v>909</v>
      </c>
      <c r="K1517" s="58" t="s">
        <v>32</v>
      </c>
      <c r="L1517" s="58" t="s">
        <v>119</v>
      </c>
      <c r="M1517" s="61" t="s">
        <v>4403</v>
      </c>
      <c r="N1517" s="77"/>
      <c r="O1517" s="62"/>
      <c r="P1517" s="58"/>
      <c r="Q1517" s="84"/>
      <c r="R1517" s="62"/>
      <c r="S1517" s="37" t="str">
        <f>IFERROR(__xludf.DUMMYFUNCTION("if(not(iserror(index(split(C1517, "" ""),2))), index(split(C1517, "" ""),1),"""")"),"July")</f>
        <v>July</v>
      </c>
      <c r="T1517" s="38">
        <f>IFERROR(__xludf.DUMMYFUNCTION("if(S1517="""",C1517,if(not(iserror(index(split(C1517, "" ""),3))), index(split(C1517, "" ""),3),index(split(C1517, "" ""),2)))"),2018.0)</f>
        <v>2018</v>
      </c>
      <c r="U1517" s="38" t="b">
        <f t="shared" si="228"/>
        <v>0</v>
      </c>
      <c r="V1517" s="38"/>
      <c r="W1517" s="40"/>
      <c r="X1517" s="40"/>
      <c r="Y1517" s="40"/>
      <c r="Z1517" s="38"/>
      <c r="AA1517" s="38"/>
      <c r="AB1517" s="38"/>
      <c r="AC1517" s="38"/>
      <c r="AD1517" s="38"/>
      <c r="AE1517" s="38"/>
      <c r="AF1517" s="38"/>
      <c r="AG1517" s="38"/>
      <c r="AH1517" s="38"/>
      <c r="AI1517" s="38"/>
      <c r="AJ1517" s="38"/>
      <c r="AK1517" s="38"/>
      <c r="AL1517" s="38"/>
      <c r="AM1517" s="38"/>
      <c r="AN1517" s="38"/>
      <c r="AO1517" s="38"/>
      <c r="AP1517" s="38"/>
      <c r="AQ1517" s="38"/>
      <c r="AR1517" s="38"/>
      <c r="AS1517" s="38"/>
      <c r="AT1517" s="38"/>
      <c r="AU1517" s="38"/>
      <c r="AV1517" s="38"/>
      <c r="AW1517" s="38"/>
      <c r="AX1517" s="38"/>
      <c r="AY1517" s="38"/>
      <c r="AZ1517" s="38"/>
      <c r="BA1517" s="38"/>
      <c r="BB1517" s="38"/>
      <c r="BC1517" s="38"/>
      <c r="BD1517" s="38"/>
      <c r="BE1517" s="38"/>
      <c r="BF1517" s="38"/>
      <c r="BG1517" s="38"/>
      <c r="BH1517" s="38"/>
      <c r="BI1517" s="38"/>
      <c r="BJ1517" s="38"/>
      <c r="BK1517" s="38"/>
      <c r="BL1517" s="38"/>
      <c r="BM1517" s="38"/>
      <c r="BN1517" s="38"/>
      <c r="BO1517" s="38"/>
      <c r="BP1517" s="38"/>
      <c r="BQ1517" s="38"/>
    </row>
    <row r="1518">
      <c r="A1518" s="58" t="s">
        <v>4404</v>
      </c>
      <c r="B1518" s="59">
        <v>43319.0</v>
      </c>
      <c r="C1518" s="59">
        <v>43300.0</v>
      </c>
      <c r="D1518" s="60" t="s">
        <v>4394</v>
      </c>
      <c r="E1518" s="58" t="s">
        <v>31</v>
      </c>
      <c r="F1518" s="58">
        <v>1.0</v>
      </c>
      <c r="G1518" s="58" t="s">
        <v>32</v>
      </c>
      <c r="H1518" s="33">
        <f t="shared" si="229"/>
        <v>1</v>
      </c>
      <c r="I1518" s="58" t="s">
        <v>33</v>
      </c>
      <c r="J1518" s="58" t="s">
        <v>162</v>
      </c>
      <c r="K1518" s="58">
        <v>4.0</v>
      </c>
      <c r="L1518" s="58" t="s">
        <v>1273</v>
      </c>
      <c r="M1518" s="61" t="s">
        <v>4405</v>
      </c>
      <c r="N1518" s="77"/>
      <c r="O1518" s="88" t="str">
        <f>hyperlink("https://bad-boys.us/?q=WD-MO/4:18-cr-00200", "WD-MO 4:18-cr-00200")</f>
        <v>WD-MO 4:18-cr-00200</v>
      </c>
      <c r="P1518" s="88" t="s">
        <v>4406</v>
      </c>
      <c r="Q1518" s="84">
        <v>1.0</v>
      </c>
      <c r="R1518" s="62"/>
      <c r="S1518" s="37" t="str">
        <f>IFERROR(__xludf.DUMMYFUNCTION("if(not(iserror(index(split(C1518, "" ""),2))), index(split(C1518, "" ""),1),"""")"),"July")</f>
        <v>July</v>
      </c>
      <c r="T1518" s="38">
        <f>IFERROR(__xludf.DUMMYFUNCTION("if(S1518="""",C1518,if(not(iserror(index(split(C1518, "" ""),3))), index(split(C1518, "" ""),3),index(split(C1518, "" ""),2)))"),2018.0)</f>
        <v>2018</v>
      </c>
      <c r="U1518" s="38" t="b">
        <f t="shared" si="228"/>
        <v>0</v>
      </c>
      <c r="V1518" s="38"/>
      <c r="W1518" s="40"/>
      <c r="X1518" s="40"/>
      <c r="Y1518" s="40"/>
      <c r="Z1518" s="38"/>
      <c r="AA1518" s="38"/>
      <c r="AB1518" s="38"/>
      <c r="AC1518" s="38"/>
      <c r="AD1518" s="38"/>
      <c r="AE1518" s="38"/>
      <c r="AF1518" s="38"/>
      <c r="AG1518" s="38"/>
      <c r="AH1518" s="38"/>
      <c r="AI1518" s="38"/>
      <c r="AJ1518" s="38"/>
      <c r="AK1518" s="38"/>
      <c r="AL1518" s="38"/>
      <c r="AM1518" s="38"/>
      <c r="AN1518" s="38"/>
      <c r="AO1518" s="38"/>
      <c r="AP1518" s="38"/>
      <c r="AQ1518" s="38"/>
      <c r="AR1518" s="38"/>
      <c r="AS1518" s="38"/>
      <c r="AT1518" s="38"/>
      <c r="AU1518" s="38"/>
      <c r="AV1518" s="38"/>
      <c r="AW1518" s="38"/>
      <c r="AX1518" s="38"/>
      <c r="AY1518" s="38"/>
      <c r="AZ1518" s="38"/>
      <c r="BA1518" s="38"/>
      <c r="BB1518" s="38"/>
      <c r="BC1518" s="38"/>
      <c r="BD1518" s="38"/>
      <c r="BE1518" s="38"/>
      <c r="BF1518" s="38"/>
      <c r="BG1518" s="38"/>
      <c r="BH1518" s="38"/>
      <c r="BI1518" s="38"/>
      <c r="BJ1518" s="38"/>
      <c r="BK1518" s="38"/>
      <c r="BL1518" s="38"/>
      <c r="BM1518" s="38"/>
      <c r="BN1518" s="38"/>
      <c r="BO1518" s="38"/>
      <c r="BP1518" s="38"/>
      <c r="BQ1518" s="38"/>
    </row>
    <row r="1519">
      <c r="A1519" s="58" t="s">
        <v>4407</v>
      </c>
      <c r="B1519" s="59">
        <v>43451.0</v>
      </c>
      <c r="C1519" s="59">
        <v>43300.0</v>
      </c>
      <c r="D1519" s="60" t="s">
        <v>4394</v>
      </c>
      <c r="E1519" s="58" t="s">
        <v>41</v>
      </c>
      <c r="F1519" s="58">
        <v>1.0</v>
      </c>
      <c r="G1519" s="58" t="s">
        <v>32</v>
      </c>
      <c r="H1519" s="33">
        <f t="shared" si="229"/>
        <v>1</v>
      </c>
      <c r="I1519" s="58" t="s">
        <v>33</v>
      </c>
      <c r="J1519" s="58" t="s">
        <v>162</v>
      </c>
      <c r="K1519" s="58">
        <v>1.0</v>
      </c>
      <c r="L1519" s="58" t="s">
        <v>69</v>
      </c>
      <c r="M1519" s="80" t="s">
        <v>4408</v>
      </c>
      <c r="N1519" s="77"/>
      <c r="O1519" s="88" t="str">
        <f>hyperlink("https://bad-boys.us/?q=D-KS/2:18-cr-20032", "D-KS 2:18-cr-20032")</f>
        <v>D-KS 2:18-cr-20032</v>
      </c>
      <c r="P1519" s="88" t="s">
        <v>4409</v>
      </c>
      <c r="Q1519" s="58">
        <v>1.0</v>
      </c>
      <c r="R1519" s="62"/>
      <c r="S1519" s="37" t="str">
        <f>IFERROR(__xludf.DUMMYFUNCTION("if(not(iserror(index(split(C1519, "" ""),2))), index(split(C1519, "" ""),1),"""")"),"July")</f>
        <v>July</v>
      </c>
      <c r="T1519" s="38">
        <f>IFERROR(__xludf.DUMMYFUNCTION("if(S1519="""",C1519,if(not(iserror(index(split(C1519, "" ""),3))), index(split(C1519, "" ""),3),index(split(C1519, "" ""),2)))"),2018.0)</f>
        <v>2018</v>
      </c>
      <c r="U1519" s="38" t="b">
        <f t="shared" si="228"/>
        <v>0</v>
      </c>
      <c r="V1519" s="38"/>
      <c r="W1519" s="40"/>
      <c r="X1519" s="40"/>
      <c r="Y1519" s="40"/>
      <c r="Z1519" s="38"/>
      <c r="AA1519" s="38"/>
      <c r="AB1519" s="38"/>
      <c r="AC1519" s="38"/>
      <c r="AD1519" s="38"/>
      <c r="AE1519" s="38"/>
      <c r="AF1519" s="38"/>
      <c r="AG1519" s="38"/>
      <c r="AH1519" s="38"/>
      <c r="AI1519" s="38"/>
      <c r="AJ1519" s="38"/>
      <c r="AK1519" s="38"/>
      <c r="AL1519" s="38"/>
      <c r="AM1519" s="38"/>
      <c r="AN1519" s="38"/>
      <c r="AO1519" s="38"/>
      <c r="AP1519" s="38"/>
      <c r="AQ1519" s="38"/>
      <c r="AR1519" s="38"/>
      <c r="AS1519" s="38"/>
      <c r="AT1519" s="38"/>
      <c r="AU1519" s="38"/>
      <c r="AV1519" s="38"/>
      <c r="AW1519" s="38"/>
      <c r="AX1519" s="38"/>
      <c r="AY1519" s="38"/>
      <c r="AZ1519" s="38"/>
      <c r="BA1519" s="38"/>
      <c r="BB1519" s="38"/>
      <c r="BC1519" s="38"/>
      <c r="BD1519" s="38"/>
      <c r="BE1519" s="38"/>
      <c r="BF1519" s="38"/>
      <c r="BG1519" s="38"/>
      <c r="BH1519" s="38"/>
      <c r="BI1519" s="38"/>
      <c r="BJ1519" s="38"/>
      <c r="BK1519" s="38"/>
      <c r="BL1519" s="38"/>
      <c r="BM1519" s="38"/>
      <c r="BN1519" s="38"/>
      <c r="BO1519" s="38"/>
      <c r="BP1519" s="38"/>
      <c r="BQ1519" s="38"/>
    </row>
    <row r="1520">
      <c r="A1520" s="58" t="s">
        <v>4410</v>
      </c>
      <c r="B1520" s="59"/>
      <c r="C1520" s="59">
        <v>43666.0</v>
      </c>
      <c r="D1520" s="60"/>
      <c r="E1520" s="58" t="s">
        <v>41</v>
      </c>
      <c r="F1520" s="58">
        <v>1.0</v>
      </c>
      <c r="G1520" s="58" t="s">
        <v>32</v>
      </c>
      <c r="H1520" s="43">
        <v>1.0</v>
      </c>
      <c r="I1520" s="58" t="s">
        <v>33</v>
      </c>
      <c r="J1520" s="58" t="s">
        <v>47</v>
      </c>
      <c r="K1520" s="58"/>
      <c r="L1520" s="58" t="s">
        <v>76</v>
      </c>
      <c r="M1520" s="61" t="s">
        <v>4411</v>
      </c>
      <c r="N1520" s="77"/>
      <c r="O1520" s="83" t="str">
        <f>hyperlink("https://bad-boys.us/?q=MD-FL/8:18-cr-00302", "MD-FL 8:18-cr-00302")</f>
        <v>MD-FL 8:18-cr-00302</v>
      </c>
      <c r="P1520" s="88" t="s">
        <v>4412</v>
      </c>
      <c r="Q1520" s="58">
        <v>1.0</v>
      </c>
      <c r="R1520" s="62"/>
      <c r="S1520" s="37" t="str">
        <f>IFERROR(__xludf.DUMMYFUNCTION("if(not(iserror(index(split(C1520, "" ""),2))), index(split(C1520, "" ""),1),"""")"),"July")</f>
        <v>July</v>
      </c>
      <c r="T1520" s="38">
        <f>IFERROR(__xludf.DUMMYFUNCTION("if(S1520="""",C1520,if(not(iserror(index(split(C1520, "" ""),3))), index(split(C1520, "" ""),3),index(split(C1520, "" ""),2)))"),2019.0)</f>
        <v>2019</v>
      </c>
      <c r="U1520" s="38" t="b">
        <f t="shared" si="228"/>
        <v>0</v>
      </c>
      <c r="V1520" s="38" t="s">
        <v>33</v>
      </c>
      <c r="W1520" s="40"/>
      <c r="X1520" s="40"/>
      <c r="Y1520" s="40"/>
      <c r="Z1520" s="38"/>
      <c r="AA1520" s="38"/>
      <c r="AB1520" s="38"/>
      <c r="AC1520" s="38"/>
      <c r="AD1520" s="38"/>
      <c r="AE1520" s="38"/>
      <c r="AF1520" s="38"/>
      <c r="AG1520" s="38"/>
      <c r="AH1520" s="38"/>
      <c r="AI1520" s="38"/>
      <c r="AJ1520" s="38"/>
      <c r="AK1520" s="38"/>
      <c r="AL1520" s="38"/>
      <c r="AM1520" s="38"/>
      <c r="AN1520" s="38"/>
      <c r="AO1520" s="38"/>
      <c r="AP1520" s="38"/>
      <c r="AQ1520" s="38"/>
      <c r="AR1520" s="38"/>
      <c r="AS1520" s="38"/>
      <c r="AT1520" s="38"/>
      <c r="AU1520" s="38"/>
      <c r="AV1520" s="38"/>
      <c r="AW1520" s="38"/>
      <c r="AX1520" s="38"/>
      <c r="AY1520" s="38"/>
      <c r="AZ1520" s="38"/>
      <c r="BA1520" s="38"/>
      <c r="BB1520" s="38"/>
      <c r="BC1520" s="38"/>
      <c r="BD1520" s="38"/>
      <c r="BE1520" s="38"/>
      <c r="BF1520" s="38"/>
      <c r="BG1520" s="38"/>
      <c r="BH1520" s="38"/>
      <c r="BI1520" s="38"/>
      <c r="BJ1520" s="38"/>
      <c r="BK1520" s="38"/>
      <c r="BL1520" s="38"/>
      <c r="BM1520" s="38"/>
      <c r="BN1520" s="38"/>
      <c r="BO1520" s="38"/>
      <c r="BP1520" s="38"/>
      <c r="BQ1520" s="38"/>
    </row>
    <row r="1521">
      <c r="A1521" s="58" t="s">
        <v>4413</v>
      </c>
      <c r="B1521" s="59">
        <v>43334.0</v>
      </c>
      <c r="C1521" s="59">
        <v>43301.0</v>
      </c>
      <c r="D1521" s="60" t="s">
        <v>4414</v>
      </c>
      <c r="E1521" s="58" t="s">
        <v>31</v>
      </c>
      <c r="F1521" s="58">
        <v>3.0</v>
      </c>
      <c r="G1521" s="58" t="s">
        <v>32</v>
      </c>
      <c r="H1521" s="33">
        <f>if(G1521="Unknown",1,G1521)</f>
        <v>1</v>
      </c>
      <c r="I1521" s="58" t="s">
        <v>33</v>
      </c>
      <c r="J1521" s="58" t="s">
        <v>147</v>
      </c>
      <c r="K1521" s="58">
        <v>1.0</v>
      </c>
      <c r="L1521" s="58" t="s">
        <v>52</v>
      </c>
      <c r="M1521" s="61" t="s">
        <v>4415</v>
      </c>
      <c r="N1521" s="77"/>
      <c r="O1521" s="62"/>
      <c r="P1521" s="62"/>
      <c r="Q1521" s="62"/>
      <c r="R1521" s="62"/>
      <c r="S1521" s="37" t="str">
        <f>IFERROR(__xludf.DUMMYFUNCTION("if(not(iserror(index(split(C1521, "" ""),2))), index(split(C1521, "" ""),1),"""")"),"July")</f>
        <v>July</v>
      </c>
      <c r="T1521" s="38">
        <f>IFERROR(__xludf.DUMMYFUNCTION("if(S1521="""",C1521,if(not(iserror(index(split(C1521, "" ""),3))), index(split(C1521, "" ""),3),index(split(C1521, "" ""),2)))"),2018.0)</f>
        <v>2018</v>
      </c>
      <c r="U1521" s="38" t="b">
        <f t="shared" si="228"/>
        <v>0</v>
      </c>
      <c r="V1521" s="38"/>
      <c r="W1521" s="40"/>
      <c r="X1521" s="40"/>
      <c r="Y1521" s="40"/>
      <c r="Z1521" s="38"/>
      <c r="AA1521" s="38"/>
      <c r="AB1521" s="38"/>
      <c r="AC1521" s="38"/>
      <c r="AD1521" s="38"/>
      <c r="AE1521" s="38"/>
      <c r="AF1521" s="38"/>
      <c r="AG1521" s="38"/>
      <c r="AH1521" s="38"/>
      <c r="AI1521" s="38"/>
      <c r="AJ1521" s="38"/>
      <c r="AK1521" s="38"/>
      <c r="AL1521" s="38"/>
      <c r="AM1521" s="38"/>
      <c r="AN1521" s="38"/>
      <c r="AO1521" s="38"/>
      <c r="AP1521" s="38"/>
      <c r="AQ1521" s="38"/>
      <c r="AR1521" s="38"/>
      <c r="AS1521" s="38"/>
      <c r="AT1521" s="38"/>
      <c r="AU1521" s="38"/>
      <c r="AV1521" s="38"/>
      <c r="AW1521" s="38"/>
      <c r="AX1521" s="38"/>
      <c r="AY1521" s="38"/>
      <c r="AZ1521" s="38"/>
      <c r="BA1521" s="38"/>
      <c r="BB1521" s="38"/>
      <c r="BC1521" s="38"/>
      <c r="BD1521" s="38"/>
      <c r="BE1521" s="38"/>
      <c r="BF1521" s="38"/>
      <c r="BG1521" s="38"/>
      <c r="BH1521" s="38"/>
      <c r="BI1521" s="38"/>
      <c r="BJ1521" s="38"/>
      <c r="BK1521" s="38"/>
      <c r="BL1521" s="38"/>
      <c r="BM1521" s="38"/>
      <c r="BN1521" s="38"/>
      <c r="BO1521" s="38"/>
      <c r="BP1521" s="38"/>
      <c r="BQ1521" s="38"/>
    </row>
    <row r="1522">
      <c r="A1522" s="58" t="s">
        <v>4416</v>
      </c>
      <c r="B1522" s="59"/>
      <c r="C1522" s="59">
        <v>43301.0</v>
      </c>
      <c r="D1522" s="60"/>
      <c r="E1522" s="58" t="s">
        <v>41</v>
      </c>
      <c r="F1522" s="58">
        <v>1.0</v>
      </c>
      <c r="G1522" s="58" t="s">
        <v>32</v>
      </c>
      <c r="H1522" s="43">
        <v>1.0</v>
      </c>
      <c r="I1522" s="58" t="s">
        <v>33</v>
      </c>
      <c r="J1522" s="58" t="s">
        <v>440</v>
      </c>
      <c r="K1522" s="58"/>
      <c r="L1522" s="58" t="s">
        <v>119</v>
      </c>
      <c r="M1522" s="61" t="s">
        <v>4417</v>
      </c>
      <c r="N1522" s="77"/>
      <c r="O1522" s="62"/>
      <c r="P1522" s="62"/>
      <c r="Q1522" s="62"/>
      <c r="R1522" s="62"/>
      <c r="S1522" s="37" t="str">
        <f>IFERROR(__xludf.DUMMYFUNCTION("if(not(iserror(index(split(C1522, "" ""),2))), index(split(C1522, "" ""),1),"""")"),"July")</f>
        <v>July</v>
      </c>
      <c r="T1522" s="38">
        <f>IFERROR(__xludf.DUMMYFUNCTION("if(S1522="""",C1522,if(not(iserror(index(split(C1522, "" ""),3))), index(split(C1522, "" ""),3),index(split(C1522, "" ""),2)))"),2018.0)</f>
        <v>2018</v>
      </c>
      <c r="U1522" s="38" t="b">
        <f t="shared" si="228"/>
        <v>0</v>
      </c>
      <c r="V1522" s="38" t="s">
        <v>33</v>
      </c>
      <c r="W1522" s="40"/>
      <c r="X1522" s="40"/>
      <c r="Y1522" s="40"/>
      <c r="Z1522" s="38"/>
      <c r="AA1522" s="38"/>
      <c r="AB1522" s="38"/>
      <c r="AC1522" s="38"/>
      <c r="AD1522" s="38"/>
      <c r="AE1522" s="38"/>
      <c r="AF1522" s="38"/>
      <c r="AG1522" s="38"/>
      <c r="AH1522" s="38"/>
      <c r="AI1522" s="38"/>
      <c r="AJ1522" s="38"/>
      <c r="AK1522" s="38"/>
      <c r="AL1522" s="38"/>
      <c r="AM1522" s="38"/>
      <c r="AN1522" s="38"/>
      <c r="AO1522" s="38"/>
      <c r="AP1522" s="38"/>
      <c r="AQ1522" s="38"/>
      <c r="AR1522" s="38"/>
      <c r="AS1522" s="38"/>
      <c r="AT1522" s="38"/>
      <c r="AU1522" s="38"/>
      <c r="AV1522" s="38"/>
      <c r="AW1522" s="38"/>
      <c r="AX1522" s="38"/>
      <c r="AY1522" s="38"/>
      <c r="AZ1522" s="38"/>
      <c r="BA1522" s="38"/>
      <c r="BB1522" s="38"/>
      <c r="BC1522" s="38"/>
      <c r="BD1522" s="38"/>
      <c r="BE1522" s="38"/>
      <c r="BF1522" s="38"/>
      <c r="BG1522" s="38"/>
      <c r="BH1522" s="38"/>
      <c r="BI1522" s="38"/>
      <c r="BJ1522" s="38"/>
      <c r="BK1522" s="38"/>
      <c r="BL1522" s="38"/>
      <c r="BM1522" s="38"/>
      <c r="BN1522" s="38"/>
      <c r="BO1522" s="38"/>
      <c r="BP1522" s="38"/>
      <c r="BQ1522" s="38"/>
    </row>
    <row r="1523">
      <c r="A1523" s="58" t="s">
        <v>239</v>
      </c>
      <c r="B1523" s="59">
        <v>43305.0</v>
      </c>
      <c r="C1523" s="59">
        <v>43305.0</v>
      </c>
      <c r="D1523" s="60" t="s">
        <v>4418</v>
      </c>
      <c r="E1523" s="58" t="s">
        <v>41</v>
      </c>
      <c r="F1523" s="58">
        <v>1.0</v>
      </c>
      <c r="G1523" s="58" t="s">
        <v>32</v>
      </c>
      <c r="H1523" s="33">
        <f t="shared" ref="H1523:H1524" si="230">if(G1523="Unknown",1,G1523)</f>
        <v>1</v>
      </c>
      <c r="I1523" s="58" t="s">
        <v>33</v>
      </c>
      <c r="J1523" s="58" t="s">
        <v>147</v>
      </c>
      <c r="K1523" s="58">
        <v>1.0</v>
      </c>
      <c r="L1523" s="58" t="s">
        <v>194</v>
      </c>
      <c r="M1523" s="61" t="s">
        <v>4419</v>
      </c>
      <c r="N1523" s="77"/>
      <c r="O1523" s="62"/>
      <c r="P1523" s="62"/>
      <c r="Q1523" s="62"/>
      <c r="R1523" s="62"/>
      <c r="S1523" s="37" t="str">
        <f>IFERROR(__xludf.DUMMYFUNCTION("if(not(iserror(index(split(C1523, "" ""),2))), index(split(C1523, "" ""),1),"""")"),"July")</f>
        <v>July</v>
      </c>
      <c r="T1523" s="38">
        <f>IFERROR(__xludf.DUMMYFUNCTION("if(S1523="""",C1523,if(not(iserror(index(split(C1523, "" ""),3))), index(split(C1523, "" ""),3),index(split(C1523, "" ""),2)))"),2018.0)</f>
        <v>2018</v>
      </c>
      <c r="U1523" s="38" t="b">
        <f t="shared" si="228"/>
        <v>1</v>
      </c>
      <c r="V1523" s="38"/>
      <c r="W1523" s="40"/>
      <c r="X1523" s="40"/>
      <c r="Y1523" s="40"/>
      <c r="Z1523" s="38"/>
      <c r="AA1523" s="38"/>
      <c r="AB1523" s="38"/>
      <c r="AC1523" s="38"/>
      <c r="AD1523" s="38"/>
      <c r="AE1523" s="38"/>
      <c r="AF1523" s="38"/>
      <c r="AG1523" s="38"/>
      <c r="AH1523" s="38"/>
      <c r="AI1523" s="38"/>
      <c r="AJ1523" s="38"/>
      <c r="AK1523" s="38"/>
      <c r="AL1523" s="38"/>
      <c r="AM1523" s="38"/>
      <c r="AN1523" s="38"/>
      <c r="AO1523" s="38"/>
      <c r="AP1523" s="38"/>
      <c r="AQ1523" s="38"/>
      <c r="AR1523" s="38"/>
      <c r="AS1523" s="38"/>
      <c r="AT1523" s="38"/>
      <c r="AU1523" s="38"/>
      <c r="AV1523" s="38"/>
      <c r="AW1523" s="38"/>
      <c r="AX1523" s="38"/>
      <c r="AY1523" s="38"/>
      <c r="AZ1523" s="38"/>
      <c r="BA1523" s="38"/>
      <c r="BB1523" s="38"/>
      <c r="BC1523" s="38"/>
      <c r="BD1523" s="38"/>
      <c r="BE1523" s="38"/>
      <c r="BF1523" s="38"/>
      <c r="BG1523" s="38"/>
      <c r="BH1523" s="38"/>
      <c r="BI1523" s="38"/>
      <c r="BJ1523" s="38"/>
      <c r="BK1523" s="38"/>
      <c r="BL1523" s="38"/>
      <c r="BM1523" s="38"/>
      <c r="BN1523" s="38"/>
      <c r="BO1523" s="38"/>
      <c r="BP1523" s="38"/>
      <c r="BQ1523" s="38"/>
    </row>
    <row r="1524">
      <c r="A1524" s="58" t="s">
        <v>239</v>
      </c>
      <c r="B1524" s="59">
        <v>43305.0</v>
      </c>
      <c r="C1524" s="59">
        <v>43305.0</v>
      </c>
      <c r="D1524" s="60" t="s">
        <v>4418</v>
      </c>
      <c r="E1524" s="58" t="s">
        <v>41</v>
      </c>
      <c r="F1524" s="58">
        <v>1.0</v>
      </c>
      <c r="G1524" s="58" t="s">
        <v>32</v>
      </c>
      <c r="H1524" s="33">
        <f t="shared" si="230"/>
        <v>1</v>
      </c>
      <c r="I1524" s="58" t="s">
        <v>33</v>
      </c>
      <c r="J1524" s="58" t="s">
        <v>147</v>
      </c>
      <c r="K1524" s="58">
        <v>1.0</v>
      </c>
      <c r="L1524" s="58" t="s">
        <v>194</v>
      </c>
      <c r="M1524" s="61" t="s">
        <v>4420</v>
      </c>
      <c r="N1524" s="77"/>
      <c r="O1524" s="62"/>
      <c r="P1524" s="62"/>
      <c r="Q1524" s="62"/>
      <c r="R1524" s="62"/>
      <c r="S1524" s="37" t="str">
        <f>IFERROR(__xludf.DUMMYFUNCTION("if(not(iserror(index(split(C1524, "" ""),2))), index(split(C1524, "" ""),1),"""")"),"July")</f>
        <v>July</v>
      </c>
      <c r="T1524" s="38">
        <f>IFERROR(__xludf.DUMMYFUNCTION("if(S1524="""",C1524,if(not(iserror(index(split(C1524, "" ""),3))), index(split(C1524, "" ""),3),index(split(C1524, "" ""),2)))"),2018.0)</f>
        <v>2018</v>
      </c>
      <c r="U1524" s="38" t="b">
        <f t="shared" si="228"/>
        <v>1</v>
      </c>
      <c r="V1524" s="38"/>
      <c r="W1524" s="40"/>
      <c r="X1524" s="40"/>
      <c r="Y1524" s="40"/>
      <c r="Z1524" s="38"/>
      <c r="AA1524" s="38"/>
      <c r="AB1524" s="38"/>
      <c r="AC1524" s="38"/>
      <c r="AD1524" s="38"/>
      <c r="AE1524" s="38"/>
      <c r="AF1524" s="38"/>
      <c r="AG1524" s="38"/>
      <c r="AH1524" s="38"/>
      <c r="AI1524" s="38"/>
      <c r="AJ1524" s="38"/>
      <c r="AK1524" s="38"/>
      <c r="AL1524" s="38"/>
      <c r="AM1524" s="38"/>
      <c r="AN1524" s="38"/>
      <c r="AO1524" s="38"/>
      <c r="AP1524" s="38"/>
      <c r="AQ1524" s="38"/>
      <c r="AR1524" s="38"/>
      <c r="AS1524" s="38"/>
      <c r="AT1524" s="38"/>
      <c r="AU1524" s="38"/>
      <c r="AV1524" s="38"/>
      <c r="AW1524" s="38"/>
      <c r="AX1524" s="38"/>
      <c r="AY1524" s="38"/>
      <c r="AZ1524" s="38"/>
      <c r="BA1524" s="38"/>
      <c r="BB1524" s="38"/>
      <c r="BC1524" s="38"/>
      <c r="BD1524" s="38"/>
      <c r="BE1524" s="38"/>
      <c r="BF1524" s="38"/>
      <c r="BG1524" s="38"/>
      <c r="BH1524" s="38"/>
      <c r="BI1524" s="38"/>
      <c r="BJ1524" s="38"/>
      <c r="BK1524" s="38"/>
      <c r="BL1524" s="38"/>
      <c r="BM1524" s="38"/>
      <c r="BN1524" s="38"/>
      <c r="BO1524" s="38"/>
      <c r="BP1524" s="38"/>
      <c r="BQ1524" s="38"/>
    </row>
    <row r="1525">
      <c r="A1525" s="58" t="s">
        <v>4421</v>
      </c>
      <c r="B1525" s="59"/>
      <c r="C1525" s="59">
        <v>43305.0</v>
      </c>
      <c r="D1525" s="60"/>
      <c r="E1525" s="58" t="s">
        <v>41</v>
      </c>
      <c r="F1525" s="58">
        <v>1.0</v>
      </c>
      <c r="G1525" s="58" t="s">
        <v>32</v>
      </c>
      <c r="H1525" s="43">
        <v>1.0</v>
      </c>
      <c r="I1525" s="58" t="s">
        <v>33</v>
      </c>
      <c r="J1525" s="58" t="s">
        <v>115</v>
      </c>
      <c r="K1525" s="58"/>
      <c r="L1525" s="58" t="s">
        <v>119</v>
      </c>
      <c r="M1525" s="61" t="s">
        <v>4422</v>
      </c>
      <c r="N1525" s="77"/>
      <c r="O1525" s="83" t="str">
        <f>hyperlink("https://bad-boys.us/?q=MD-PA/1:18-cr-00248", "MD-PA 1:18-cr-00248")</f>
        <v>MD-PA 1:18-cr-00248</v>
      </c>
      <c r="P1525" s="62"/>
      <c r="Q1525" s="58">
        <v>1.0</v>
      </c>
      <c r="R1525" s="62"/>
      <c r="S1525" s="37"/>
      <c r="T1525" s="38"/>
      <c r="U1525" s="38" t="b">
        <f t="shared" si="228"/>
        <v>0</v>
      </c>
      <c r="V1525" s="38" t="s">
        <v>33</v>
      </c>
      <c r="W1525" s="40"/>
      <c r="X1525" s="40"/>
      <c r="Y1525" s="40"/>
      <c r="Z1525" s="38"/>
      <c r="AA1525" s="38"/>
      <c r="AB1525" s="38"/>
      <c r="AC1525" s="38"/>
      <c r="AD1525" s="38"/>
      <c r="AE1525" s="38"/>
      <c r="AF1525" s="38"/>
      <c r="AG1525" s="38"/>
      <c r="AH1525" s="38"/>
      <c r="AI1525" s="38"/>
      <c r="AJ1525" s="38"/>
      <c r="AK1525" s="38"/>
      <c r="AL1525" s="38"/>
      <c r="AM1525" s="38"/>
      <c r="AN1525" s="38"/>
      <c r="AO1525" s="38"/>
      <c r="AP1525" s="38"/>
      <c r="AQ1525" s="38"/>
      <c r="AR1525" s="38"/>
      <c r="AS1525" s="38"/>
      <c r="AT1525" s="38"/>
      <c r="AU1525" s="38"/>
      <c r="AV1525" s="38"/>
      <c r="AW1525" s="38"/>
      <c r="AX1525" s="38"/>
      <c r="AY1525" s="38"/>
      <c r="AZ1525" s="38"/>
      <c r="BA1525" s="38"/>
      <c r="BB1525" s="38"/>
      <c r="BC1525" s="38"/>
      <c r="BD1525" s="38"/>
      <c r="BE1525" s="38"/>
      <c r="BF1525" s="38"/>
      <c r="BG1525" s="38"/>
      <c r="BH1525" s="38"/>
      <c r="BI1525" s="38"/>
      <c r="BJ1525" s="38"/>
      <c r="BK1525" s="38"/>
      <c r="BL1525" s="38"/>
      <c r="BM1525" s="38"/>
      <c r="BN1525" s="38"/>
      <c r="BO1525" s="38"/>
      <c r="BP1525" s="38"/>
      <c r="BQ1525" s="38"/>
    </row>
    <row r="1526">
      <c r="A1526" s="78" t="s">
        <v>4423</v>
      </c>
      <c r="B1526" s="59">
        <v>43305.0</v>
      </c>
      <c r="C1526" s="59">
        <v>43305.0</v>
      </c>
      <c r="D1526" s="60" t="s">
        <v>4418</v>
      </c>
      <c r="E1526" s="58" t="s">
        <v>41</v>
      </c>
      <c r="F1526" s="58">
        <v>1.0</v>
      </c>
      <c r="G1526" s="58" t="s">
        <v>32</v>
      </c>
      <c r="H1526" s="33">
        <f t="shared" ref="H1526:H1540" si="231">if(G1526="Unknown",1,G1526)</f>
        <v>1</v>
      </c>
      <c r="I1526" s="58" t="s">
        <v>33</v>
      </c>
      <c r="J1526" s="58" t="s">
        <v>93</v>
      </c>
      <c r="K1526" s="58" t="s">
        <v>32</v>
      </c>
      <c r="L1526" s="58" t="s">
        <v>3339</v>
      </c>
      <c r="M1526" s="61" t="s">
        <v>3020</v>
      </c>
      <c r="N1526" s="61" t="s">
        <v>4424</v>
      </c>
      <c r="O1526" s="62"/>
      <c r="P1526" s="58"/>
      <c r="Q1526" s="58"/>
      <c r="R1526" s="62"/>
      <c r="S1526" s="37" t="str">
        <f>IFERROR(__xludf.DUMMYFUNCTION("if(not(iserror(index(split(C1526, "" ""),2))), index(split(C1526, "" ""),1),"""")"),"July")</f>
        <v>July</v>
      </c>
      <c r="T1526" s="38">
        <f>IFERROR(__xludf.DUMMYFUNCTION("if(S1526="""",C1526,if(not(iserror(index(split(C1526, "" ""),3))), index(split(C1526, "" ""),3),index(split(C1526, "" ""),2)))"),2018.0)</f>
        <v>2018</v>
      </c>
      <c r="U1526" s="38" t="b">
        <f t="shared" si="228"/>
        <v>0</v>
      </c>
      <c r="V1526" s="38" t="s">
        <v>33</v>
      </c>
      <c r="W1526" s="40"/>
      <c r="X1526" s="40"/>
      <c r="Y1526" s="40"/>
      <c r="Z1526" s="38"/>
      <c r="AA1526" s="38"/>
      <c r="AB1526" s="38"/>
      <c r="AC1526" s="38"/>
      <c r="AD1526" s="38"/>
      <c r="AE1526" s="38"/>
      <c r="AF1526" s="38"/>
      <c r="AG1526" s="38"/>
      <c r="AH1526" s="38"/>
      <c r="AI1526" s="38"/>
      <c r="AJ1526" s="38"/>
      <c r="AK1526" s="38"/>
      <c r="AL1526" s="38"/>
      <c r="AM1526" s="38"/>
      <c r="AN1526" s="38"/>
      <c r="AO1526" s="38"/>
      <c r="AP1526" s="38"/>
      <c r="AQ1526" s="38"/>
      <c r="AR1526" s="38"/>
      <c r="AS1526" s="38"/>
      <c r="AT1526" s="38"/>
      <c r="AU1526" s="38"/>
      <c r="AV1526" s="38"/>
      <c r="AW1526" s="38"/>
      <c r="AX1526" s="38"/>
      <c r="AY1526" s="38"/>
      <c r="AZ1526" s="38"/>
      <c r="BA1526" s="38"/>
      <c r="BB1526" s="38"/>
      <c r="BC1526" s="38"/>
      <c r="BD1526" s="38"/>
      <c r="BE1526" s="38"/>
      <c r="BF1526" s="38"/>
      <c r="BG1526" s="38"/>
      <c r="BH1526" s="38"/>
      <c r="BI1526" s="38"/>
      <c r="BJ1526" s="38"/>
      <c r="BK1526" s="38"/>
      <c r="BL1526" s="38"/>
      <c r="BM1526" s="38"/>
      <c r="BN1526" s="38"/>
      <c r="BO1526" s="38"/>
      <c r="BP1526" s="38"/>
      <c r="BQ1526" s="38"/>
    </row>
    <row r="1527">
      <c r="A1527" s="58" t="s">
        <v>4425</v>
      </c>
      <c r="B1527" s="59">
        <v>43305.0</v>
      </c>
      <c r="C1527" s="59">
        <v>43305.0</v>
      </c>
      <c r="D1527" s="60" t="s">
        <v>4418</v>
      </c>
      <c r="E1527" s="58" t="s">
        <v>41</v>
      </c>
      <c r="F1527" s="58">
        <v>1.0</v>
      </c>
      <c r="G1527" s="58" t="s">
        <v>32</v>
      </c>
      <c r="H1527" s="33">
        <f t="shared" si="231"/>
        <v>1</v>
      </c>
      <c r="I1527" s="58" t="s">
        <v>33</v>
      </c>
      <c r="J1527" s="58" t="s">
        <v>93</v>
      </c>
      <c r="K1527" s="58" t="s">
        <v>32</v>
      </c>
      <c r="L1527" s="58" t="s">
        <v>3339</v>
      </c>
      <c r="M1527" s="61" t="s">
        <v>3020</v>
      </c>
      <c r="N1527" s="61" t="s">
        <v>4424</v>
      </c>
      <c r="O1527" s="62"/>
      <c r="P1527" s="58"/>
      <c r="Q1527" s="58"/>
      <c r="R1527" s="62"/>
      <c r="S1527" s="37" t="str">
        <f>IFERROR(__xludf.DUMMYFUNCTION("if(not(iserror(index(split(C1527, "" ""),2))), index(split(C1527, "" ""),1),"""")"),"July")</f>
        <v>July</v>
      </c>
      <c r="T1527" s="38">
        <f>IFERROR(__xludf.DUMMYFUNCTION("if(S1527="""",C1527,if(not(iserror(index(split(C1527, "" ""),3))), index(split(C1527, "" ""),3),index(split(C1527, "" ""),2)))"),2018.0)</f>
        <v>2018</v>
      </c>
      <c r="U1527" s="38" t="b">
        <f t="shared" si="228"/>
        <v>0</v>
      </c>
      <c r="V1527" s="38" t="s">
        <v>33</v>
      </c>
      <c r="W1527" s="40"/>
      <c r="X1527" s="40"/>
      <c r="Y1527" s="40"/>
      <c r="Z1527" s="38"/>
      <c r="AA1527" s="38"/>
      <c r="AB1527" s="38"/>
      <c r="AC1527" s="38"/>
      <c r="AD1527" s="38"/>
      <c r="AE1527" s="38"/>
      <c r="AF1527" s="38"/>
      <c r="AG1527" s="38"/>
      <c r="AH1527" s="38"/>
      <c r="AI1527" s="38"/>
      <c r="AJ1527" s="38"/>
      <c r="AK1527" s="38"/>
      <c r="AL1527" s="38"/>
      <c r="AM1527" s="38"/>
      <c r="AN1527" s="38"/>
      <c r="AO1527" s="38"/>
      <c r="AP1527" s="38"/>
      <c r="AQ1527" s="38"/>
      <c r="AR1527" s="38"/>
      <c r="AS1527" s="38"/>
      <c r="AT1527" s="38"/>
      <c r="AU1527" s="38"/>
      <c r="AV1527" s="38"/>
      <c r="AW1527" s="38"/>
      <c r="AX1527" s="38"/>
      <c r="AY1527" s="38"/>
      <c r="AZ1527" s="38"/>
      <c r="BA1527" s="38"/>
      <c r="BB1527" s="38"/>
      <c r="BC1527" s="38"/>
      <c r="BD1527" s="38"/>
      <c r="BE1527" s="38"/>
      <c r="BF1527" s="38"/>
      <c r="BG1527" s="38"/>
      <c r="BH1527" s="38"/>
      <c r="BI1527" s="38"/>
      <c r="BJ1527" s="38"/>
      <c r="BK1527" s="38"/>
      <c r="BL1527" s="38"/>
      <c r="BM1527" s="38"/>
      <c r="BN1527" s="38"/>
      <c r="BO1527" s="38"/>
      <c r="BP1527" s="38"/>
      <c r="BQ1527" s="38"/>
    </row>
    <row r="1528">
      <c r="A1528" s="58" t="s">
        <v>4426</v>
      </c>
      <c r="B1528" s="59">
        <v>43305.0</v>
      </c>
      <c r="C1528" s="59">
        <v>43305.0</v>
      </c>
      <c r="D1528" s="60" t="s">
        <v>4418</v>
      </c>
      <c r="E1528" s="58" t="s">
        <v>41</v>
      </c>
      <c r="F1528" s="58">
        <v>1.0</v>
      </c>
      <c r="G1528" s="58" t="s">
        <v>32</v>
      </c>
      <c r="H1528" s="33">
        <f t="shared" si="231"/>
        <v>1</v>
      </c>
      <c r="I1528" s="58" t="s">
        <v>33</v>
      </c>
      <c r="J1528" s="58" t="s">
        <v>93</v>
      </c>
      <c r="K1528" s="58" t="s">
        <v>32</v>
      </c>
      <c r="L1528" s="58" t="s">
        <v>3339</v>
      </c>
      <c r="M1528" s="61" t="s">
        <v>3020</v>
      </c>
      <c r="N1528" s="61" t="s">
        <v>4424</v>
      </c>
      <c r="O1528" s="62"/>
      <c r="P1528" s="58"/>
      <c r="Q1528" s="58"/>
      <c r="R1528" s="62"/>
      <c r="S1528" s="37" t="str">
        <f>IFERROR(__xludf.DUMMYFUNCTION("if(not(iserror(index(split(C1528, "" ""),2))), index(split(C1528, "" ""),1),"""")"),"July")</f>
        <v>July</v>
      </c>
      <c r="T1528" s="38">
        <f>IFERROR(__xludf.DUMMYFUNCTION("if(S1528="""",C1528,if(not(iserror(index(split(C1528, "" ""),3))), index(split(C1528, "" ""),3),index(split(C1528, "" ""),2)))"),2018.0)</f>
        <v>2018</v>
      </c>
      <c r="U1528" s="38" t="b">
        <f t="shared" si="228"/>
        <v>0</v>
      </c>
      <c r="V1528" s="38" t="s">
        <v>33</v>
      </c>
      <c r="W1528" s="40"/>
      <c r="X1528" s="40"/>
      <c r="Y1528" s="40"/>
      <c r="Z1528" s="38"/>
      <c r="AA1528" s="38"/>
      <c r="AB1528" s="38"/>
      <c r="AC1528" s="38"/>
      <c r="AD1528" s="38"/>
      <c r="AE1528" s="38"/>
      <c r="AF1528" s="38"/>
      <c r="AG1528" s="38"/>
      <c r="AH1528" s="38"/>
      <c r="AI1528" s="38"/>
      <c r="AJ1528" s="38"/>
      <c r="AK1528" s="38"/>
      <c r="AL1528" s="38"/>
      <c r="AM1528" s="38"/>
      <c r="AN1528" s="38"/>
      <c r="AO1528" s="38"/>
      <c r="AP1528" s="38"/>
      <c r="AQ1528" s="38"/>
      <c r="AR1528" s="38"/>
      <c r="AS1528" s="38"/>
      <c r="AT1528" s="38"/>
      <c r="AU1528" s="38"/>
      <c r="AV1528" s="38"/>
      <c r="AW1528" s="38"/>
      <c r="AX1528" s="38"/>
      <c r="AY1528" s="38"/>
      <c r="AZ1528" s="38"/>
      <c r="BA1528" s="38"/>
      <c r="BB1528" s="38"/>
      <c r="BC1528" s="38"/>
      <c r="BD1528" s="38"/>
      <c r="BE1528" s="38"/>
      <c r="BF1528" s="38"/>
      <c r="BG1528" s="38"/>
      <c r="BH1528" s="38"/>
      <c r="BI1528" s="38"/>
      <c r="BJ1528" s="38"/>
      <c r="BK1528" s="38"/>
      <c r="BL1528" s="38"/>
      <c r="BM1528" s="38"/>
      <c r="BN1528" s="38"/>
      <c r="BO1528" s="38"/>
      <c r="BP1528" s="38"/>
      <c r="BQ1528" s="38"/>
    </row>
    <row r="1529">
      <c r="A1529" s="58" t="s">
        <v>4427</v>
      </c>
      <c r="B1529" s="59">
        <v>43305.0</v>
      </c>
      <c r="C1529" s="59">
        <v>43305.0</v>
      </c>
      <c r="D1529" s="60" t="s">
        <v>4418</v>
      </c>
      <c r="E1529" s="58" t="s">
        <v>41</v>
      </c>
      <c r="F1529" s="58">
        <v>1.0</v>
      </c>
      <c r="G1529" s="58" t="s">
        <v>32</v>
      </c>
      <c r="H1529" s="33">
        <f t="shared" si="231"/>
        <v>1</v>
      </c>
      <c r="I1529" s="58" t="s">
        <v>33</v>
      </c>
      <c r="J1529" s="58" t="s">
        <v>93</v>
      </c>
      <c r="K1529" s="58" t="s">
        <v>32</v>
      </c>
      <c r="L1529" s="58" t="s">
        <v>3339</v>
      </c>
      <c r="M1529" s="61" t="s">
        <v>3020</v>
      </c>
      <c r="N1529" s="61" t="s">
        <v>4424</v>
      </c>
      <c r="O1529" s="62"/>
      <c r="P1529" s="58"/>
      <c r="Q1529" s="58"/>
      <c r="R1529" s="62"/>
      <c r="S1529" s="37" t="str">
        <f>IFERROR(__xludf.DUMMYFUNCTION("if(not(iserror(index(split(C1529, "" ""),2))), index(split(C1529, "" ""),1),"""")"),"July")</f>
        <v>July</v>
      </c>
      <c r="T1529" s="38">
        <f>IFERROR(__xludf.DUMMYFUNCTION("if(S1529="""",C1529,if(not(iserror(index(split(C1529, "" ""),3))), index(split(C1529, "" ""),3),index(split(C1529, "" ""),2)))"),2018.0)</f>
        <v>2018</v>
      </c>
      <c r="U1529" s="38" t="b">
        <f t="shared" si="228"/>
        <v>0</v>
      </c>
      <c r="V1529" s="38" t="s">
        <v>33</v>
      </c>
      <c r="W1529" s="40"/>
      <c r="X1529" s="40"/>
      <c r="Y1529" s="40"/>
      <c r="Z1529" s="38"/>
      <c r="AA1529" s="38"/>
      <c r="AB1529" s="38"/>
      <c r="AC1529" s="38"/>
      <c r="AD1529" s="38"/>
      <c r="AE1529" s="38"/>
      <c r="AF1529" s="38"/>
      <c r="AG1529" s="38"/>
      <c r="AH1529" s="38"/>
      <c r="AI1529" s="38"/>
      <c r="AJ1529" s="38"/>
      <c r="AK1529" s="38"/>
      <c r="AL1529" s="38"/>
      <c r="AM1529" s="38"/>
      <c r="AN1529" s="38"/>
      <c r="AO1529" s="38"/>
      <c r="AP1529" s="38"/>
      <c r="AQ1529" s="38"/>
      <c r="AR1529" s="38"/>
      <c r="AS1529" s="38"/>
      <c r="AT1529" s="38"/>
      <c r="AU1529" s="38"/>
      <c r="AV1529" s="38"/>
      <c r="AW1529" s="38"/>
      <c r="AX1529" s="38"/>
      <c r="AY1529" s="38"/>
      <c r="AZ1529" s="38"/>
      <c r="BA1529" s="38"/>
      <c r="BB1529" s="38"/>
      <c r="BC1529" s="38"/>
      <c r="BD1529" s="38"/>
      <c r="BE1529" s="38"/>
      <c r="BF1529" s="38"/>
      <c r="BG1529" s="38"/>
      <c r="BH1529" s="38"/>
      <c r="BI1529" s="38"/>
      <c r="BJ1529" s="38"/>
      <c r="BK1529" s="38"/>
      <c r="BL1529" s="38"/>
      <c r="BM1529" s="38"/>
      <c r="BN1529" s="38"/>
      <c r="BO1529" s="38"/>
      <c r="BP1529" s="38"/>
      <c r="BQ1529" s="38"/>
    </row>
    <row r="1530">
      <c r="A1530" s="58" t="s">
        <v>4428</v>
      </c>
      <c r="B1530" s="59">
        <v>43305.0</v>
      </c>
      <c r="C1530" s="59">
        <v>43305.0</v>
      </c>
      <c r="D1530" s="60" t="s">
        <v>4418</v>
      </c>
      <c r="E1530" s="58" t="s">
        <v>31</v>
      </c>
      <c r="F1530" s="58">
        <v>2.0</v>
      </c>
      <c r="G1530" s="58" t="s">
        <v>32</v>
      </c>
      <c r="H1530" s="33">
        <f t="shared" si="231"/>
        <v>1</v>
      </c>
      <c r="I1530" s="58" t="s">
        <v>33</v>
      </c>
      <c r="J1530" s="58" t="s">
        <v>93</v>
      </c>
      <c r="K1530" s="58" t="s">
        <v>32</v>
      </c>
      <c r="L1530" s="58" t="s">
        <v>52</v>
      </c>
      <c r="M1530" s="61" t="s">
        <v>4429</v>
      </c>
      <c r="N1530" s="77"/>
      <c r="O1530" s="62"/>
      <c r="P1530" s="62"/>
      <c r="Q1530" s="62"/>
      <c r="R1530" s="62"/>
      <c r="S1530" s="37" t="str">
        <f>IFERROR(__xludf.DUMMYFUNCTION("if(not(iserror(index(split(C1530, "" ""),2))), index(split(C1530, "" ""),1),"""")"),"July")</f>
        <v>July</v>
      </c>
      <c r="T1530" s="38">
        <f>IFERROR(__xludf.DUMMYFUNCTION("if(S1530="""",C1530,if(not(iserror(index(split(C1530, "" ""),3))), index(split(C1530, "" ""),3),index(split(C1530, "" ""),2)))"),2018.0)</f>
        <v>2018</v>
      </c>
      <c r="U1530" s="38" t="b">
        <f t="shared" si="228"/>
        <v>0</v>
      </c>
      <c r="V1530" s="38"/>
      <c r="W1530" s="40"/>
      <c r="X1530" s="40"/>
      <c r="Y1530" s="40"/>
      <c r="Z1530" s="38"/>
      <c r="AA1530" s="38"/>
      <c r="AB1530" s="38"/>
      <c r="AC1530" s="38"/>
      <c r="AD1530" s="38"/>
      <c r="AE1530" s="38"/>
      <c r="AF1530" s="38"/>
      <c r="AG1530" s="38"/>
      <c r="AH1530" s="38"/>
      <c r="AI1530" s="38"/>
      <c r="AJ1530" s="38"/>
      <c r="AK1530" s="38"/>
      <c r="AL1530" s="38"/>
      <c r="AM1530" s="38"/>
      <c r="AN1530" s="38"/>
      <c r="AO1530" s="38"/>
      <c r="AP1530" s="38"/>
      <c r="AQ1530" s="38"/>
      <c r="AR1530" s="38"/>
      <c r="AS1530" s="38"/>
      <c r="AT1530" s="38"/>
      <c r="AU1530" s="38"/>
      <c r="AV1530" s="38"/>
      <c r="AW1530" s="38"/>
      <c r="AX1530" s="38"/>
      <c r="AY1530" s="38"/>
      <c r="AZ1530" s="38"/>
      <c r="BA1530" s="38"/>
      <c r="BB1530" s="38"/>
      <c r="BC1530" s="38"/>
      <c r="BD1530" s="38"/>
      <c r="BE1530" s="38"/>
      <c r="BF1530" s="38"/>
      <c r="BG1530" s="38"/>
      <c r="BH1530" s="38"/>
      <c r="BI1530" s="38"/>
      <c r="BJ1530" s="38"/>
      <c r="BK1530" s="38"/>
      <c r="BL1530" s="38"/>
      <c r="BM1530" s="38"/>
      <c r="BN1530" s="38"/>
      <c r="BO1530" s="38"/>
      <c r="BP1530" s="38"/>
      <c r="BQ1530" s="38"/>
    </row>
    <row r="1531">
      <c r="A1531" s="58" t="s">
        <v>4430</v>
      </c>
      <c r="B1531" s="59">
        <v>43306.0</v>
      </c>
      <c r="C1531" s="59">
        <v>43305.0</v>
      </c>
      <c r="D1531" s="60" t="s">
        <v>4418</v>
      </c>
      <c r="E1531" s="58" t="s">
        <v>31</v>
      </c>
      <c r="F1531" s="58">
        <v>1.0</v>
      </c>
      <c r="G1531" s="58" t="s">
        <v>32</v>
      </c>
      <c r="H1531" s="33">
        <f t="shared" si="231"/>
        <v>1</v>
      </c>
      <c r="I1531" s="58" t="s">
        <v>33</v>
      </c>
      <c r="J1531" s="58" t="s">
        <v>68</v>
      </c>
      <c r="K1531" s="58">
        <v>1.0</v>
      </c>
      <c r="L1531" s="58" t="s">
        <v>52</v>
      </c>
      <c r="M1531" s="61" t="s">
        <v>4431</v>
      </c>
      <c r="N1531" s="77"/>
      <c r="O1531" s="62"/>
      <c r="P1531" s="62"/>
      <c r="Q1531" s="62"/>
      <c r="R1531" s="62"/>
      <c r="S1531" s="37" t="str">
        <f>IFERROR(__xludf.DUMMYFUNCTION("if(not(iserror(index(split(C1531, "" ""),2))), index(split(C1531, "" ""),1),"""")"),"July")</f>
        <v>July</v>
      </c>
      <c r="T1531" s="38">
        <f>IFERROR(__xludf.DUMMYFUNCTION("if(S1531="""",C1531,if(not(iserror(index(split(C1531, "" ""),3))), index(split(C1531, "" ""),3),index(split(C1531, "" ""),2)))"),2018.0)</f>
        <v>2018</v>
      </c>
      <c r="U1531" s="38" t="b">
        <f t="shared" si="228"/>
        <v>0</v>
      </c>
      <c r="V1531" s="38"/>
      <c r="W1531" s="40"/>
      <c r="X1531" s="40"/>
      <c r="Y1531" s="40"/>
      <c r="Z1531" s="38"/>
      <c r="AA1531" s="38"/>
      <c r="AB1531" s="38"/>
      <c r="AC1531" s="38"/>
      <c r="AD1531" s="38"/>
      <c r="AE1531" s="38"/>
      <c r="AF1531" s="38"/>
      <c r="AG1531" s="38"/>
      <c r="AH1531" s="38"/>
      <c r="AI1531" s="38"/>
      <c r="AJ1531" s="38"/>
      <c r="AK1531" s="38"/>
      <c r="AL1531" s="38"/>
      <c r="AM1531" s="38"/>
      <c r="AN1531" s="38"/>
      <c r="AO1531" s="38"/>
      <c r="AP1531" s="38"/>
      <c r="AQ1531" s="38"/>
      <c r="AR1531" s="38"/>
      <c r="AS1531" s="38"/>
      <c r="AT1531" s="38"/>
      <c r="AU1531" s="38"/>
      <c r="AV1531" s="38"/>
      <c r="AW1531" s="38"/>
      <c r="AX1531" s="38"/>
      <c r="AY1531" s="38"/>
      <c r="AZ1531" s="38"/>
      <c r="BA1531" s="38"/>
      <c r="BB1531" s="38"/>
      <c r="BC1531" s="38"/>
      <c r="BD1531" s="38"/>
      <c r="BE1531" s="38"/>
      <c r="BF1531" s="38"/>
      <c r="BG1531" s="38"/>
      <c r="BH1531" s="38"/>
      <c r="BI1531" s="38"/>
      <c r="BJ1531" s="38"/>
      <c r="BK1531" s="38"/>
      <c r="BL1531" s="38"/>
      <c r="BM1531" s="38"/>
      <c r="BN1531" s="38"/>
      <c r="BO1531" s="38"/>
      <c r="BP1531" s="38"/>
      <c r="BQ1531" s="38"/>
    </row>
    <row r="1532">
      <c r="A1532" s="58" t="s">
        <v>4432</v>
      </c>
      <c r="B1532" s="59">
        <v>43307.0</v>
      </c>
      <c r="C1532" s="59">
        <v>43305.0</v>
      </c>
      <c r="D1532" s="60" t="s">
        <v>4418</v>
      </c>
      <c r="E1532" s="58" t="s">
        <v>31</v>
      </c>
      <c r="F1532" s="58">
        <v>1.0</v>
      </c>
      <c r="G1532" s="58" t="s">
        <v>32</v>
      </c>
      <c r="H1532" s="33">
        <f t="shared" si="231"/>
        <v>1</v>
      </c>
      <c r="I1532" s="58" t="s">
        <v>33</v>
      </c>
      <c r="J1532" s="58" t="s">
        <v>433</v>
      </c>
      <c r="K1532" s="58" t="s">
        <v>32</v>
      </c>
      <c r="L1532" s="58" t="s">
        <v>52</v>
      </c>
      <c r="M1532" s="61" t="s">
        <v>4433</v>
      </c>
      <c r="N1532" s="77"/>
      <c r="O1532" s="62"/>
      <c r="P1532" s="62"/>
      <c r="Q1532" s="62"/>
      <c r="R1532" s="62"/>
      <c r="S1532" s="37" t="str">
        <f>IFERROR(__xludf.DUMMYFUNCTION("if(not(iserror(index(split(C1532, "" ""),2))), index(split(C1532, "" ""),1),"""")"),"July")</f>
        <v>July</v>
      </c>
      <c r="T1532" s="38">
        <f>IFERROR(__xludf.DUMMYFUNCTION("if(S1532="""",C1532,if(not(iserror(index(split(C1532, "" ""),3))), index(split(C1532, "" ""),3),index(split(C1532, "" ""),2)))"),2018.0)</f>
        <v>2018</v>
      </c>
      <c r="U1532" s="38" t="b">
        <f t="shared" si="228"/>
        <v>0</v>
      </c>
      <c r="V1532" s="38"/>
      <c r="W1532" s="40"/>
      <c r="X1532" s="40"/>
      <c r="Y1532" s="40"/>
      <c r="Z1532" s="38"/>
      <c r="AA1532" s="38"/>
      <c r="AB1532" s="38"/>
      <c r="AC1532" s="38"/>
      <c r="AD1532" s="38"/>
      <c r="AE1532" s="38"/>
      <c r="AF1532" s="38"/>
      <c r="AG1532" s="38"/>
      <c r="AH1532" s="38"/>
      <c r="AI1532" s="38"/>
      <c r="AJ1532" s="38"/>
      <c r="AK1532" s="38"/>
      <c r="AL1532" s="38"/>
      <c r="AM1532" s="38"/>
      <c r="AN1532" s="38"/>
      <c r="AO1532" s="38"/>
      <c r="AP1532" s="38"/>
      <c r="AQ1532" s="38"/>
      <c r="AR1532" s="38"/>
      <c r="AS1532" s="38"/>
      <c r="AT1532" s="38"/>
      <c r="AU1532" s="38"/>
      <c r="AV1532" s="38"/>
      <c r="AW1532" s="38"/>
      <c r="AX1532" s="38"/>
      <c r="AY1532" s="38"/>
      <c r="AZ1532" s="38"/>
      <c r="BA1532" s="38"/>
      <c r="BB1532" s="38"/>
      <c r="BC1532" s="38"/>
      <c r="BD1532" s="38"/>
      <c r="BE1532" s="38"/>
      <c r="BF1532" s="38"/>
      <c r="BG1532" s="38"/>
      <c r="BH1532" s="38"/>
      <c r="BI1532" s="38"/>
      <c r="BJ1532" s="38"/>
      <c r="BK1532" s="38"/>
      <c r="BL1532" s="38"/>
      <c r="BM1532" s="38"/>
      <c r="BN1532" s="38"/>
      <c r="BO1532" s="38"/>
      <c r="BP1532" s="38"/>
      <c r="BQ1532" s="38"/>
    </row>
    <row r="1533">
      <c r="A1533" s="78" t="s">
        <v>4434</v>
      </c>
      <c r="B1533" s="59">
        <v>43315.0</v>
      </c>
      <c r="C1533" s="59">
        <v>43305.0</v>
      </c>
      <c r="D1533" s="60" t="s">
        <v>4435</v>
      </c>
      <c r="E1533" s="58" t="s">
        <v>31</v>
      </c>
      <c r="F1533" s="58">
        <v>3.0</v>
      </c>
      <c r="G1533" s="58" t="s">
        <v>32</v>
      </c>
      <c r="H1533" s="33">
        <f t="shared" si="231"/>
        <v>1</v>
      </c>
      <c r="I1533" s="58" t="s">
        <v>33</v>
      </c>
      <c r="J1533" s="58" t="s">
        <v>85</v>
      </c>
      <c r="K1533" s="58" t="s">
        <v>32</v>
      </c>
      <c r="L1533" s="58" t="s">
        <v>35</v>
      </c>
      <c r="M1533" s="61" t="s">
        <v>4436</v>
      </c>
      <c r="N1533" s="77"/>
      <c r="O1533" s="62"/>
      <c r="P1533" s="62"/>
      <c r="Q1533" s="62"/>
      <c r="R1533" s="62"/>
      <c r="S1533" s="37" t="str">
        <f>IFERROR(__xludf.DUMMYFUNCTION("if(not(iserror(index(split(C1533, "" ""),2))), index(split(C1533, "" ""),1),"""")"),"July")</f>
        <v>July</v>
      </c>
      <c r="T1533" s="38">
        <f>IFERROR(__xludf.DUMMYFUNCTION("if(S1533="""",C1533,if(not(iserror(index(split(C1533, "" ""),3))), index(split(C1533, "" ""),3),index(split(C1533, "" ""),2)))"),2018.0)</f>
        <v>2018</v>
      </c>
      <c r="U1533" s="38" t="b">
        <f t="shared" si="228"/>
        <v>0</v>
      </c>
      <c r="V1533" s="38"/>
      <c r="W1533" s="40"/>
      <c r="X1533" s="40"/>
      <c r="Y1533" s="40"/>
      <c r="Z1533" s="38"/>
      <c r="AA1533" s="38"/>
      <c r="AB1533" s="38"/>
      <c r="AC1533" s="38"/>
      <c r="AD1533" s="38"/>
      <c r="AE1533" s="38"/>
      <c r="AF1533" s="38"/>
      <c r="AG1533" s="38"/>
      <c r="AH1533" s="38"/>
      <c r="AI1533" s="38"/>
      <c r="AJ1533" s="38"/>
      <c r="AK1533" s="38"/>
      <c r="AL1533" s="38"/>
      <c r="AM1533" s="38"/>
      <c r="AN1533" s="38"/>
      <c r="AO1533" s="38"/>
      <c r="AP1533" s="38"/>
      <c r="AQ1533" s="38"/>
      <c r="AR1533" s="38"/>
      <c r="AS1533" s="38"/>
      <c r="AT1533" s="38"/>
      <c r="AU1533" s="38"/>
      <c r="AV1533" s="38"/>
      <c r="AW1533" s="38"/>
      <c r="AX1533" s="38"/>
      <c r="AY1533" s="38"/>
      <c r="AZ1533" s="38"/>
      <c r="BA1533" s="38"/>
      <c r="BB1533" s="38"/>
      <c r="BC1533" s="38"/>
      <c r="BD1533" s="38"/>
      <c r="BE1533" s="38"/>
      <c r="BF1533" s="38"/>
      <c r="BG1533" s="38"/>
      <c r="BH1533" s="38"/>
      <c r="BI1533" s="38"/>
      <c r="BJ1533" s="38"/>
      <c r="BK1533" s="38"/>
      <c r="BL1533" s="38"/>
      <c r="BM1533" s="38"/>
      <c r="BN1533" s="38"/>
      <c r="BO1533" s="38"/>
      <c r="BP1533" s="38"/>
      <c r="BQ1533" s="38"/>
    </row>
    <row r="1534">
      <c r="A1534" s="58" t="s">
        <v>239</v>
      </c>
      <c r="B1534" s="59">
        <v>43307.0</v>
      </c>
      <c r="C1534" s="59">
        <v>43306.0</v>
      </c>
      <c r="D1534" s="60" t="s">
        <v>2247</v>
      </c>
      <c r="E1534" s="58" t="s">
        <v>41</v>
      </c>
      <c r="F1534" s="58">
        <v>1.0</v>
      </c>
      <c r="G1534" s="58">
        <v>8.0</v>
      </c>
      <c r="H1534" s="33">
        <f t="shared" si="231"/>
        <v>8</v>
      </c>
      <c r="I1534" s="58" t="s">
        <v>33</v>
      </c>
      <c r="J1534" s="58" t="s">
        <v>147</v>
      </c>
      <c r="K1534" s="58">
        <v>1.0</v>
      </c>
      <c r="L1534" s="58" t="s">
        <v>194</v>
      </c>
      <c r="M1534" s="61" t="s">
        <v>4437</v>
      </c>
      <c r="N1534" s="77"/>
      <c r="O1534" s="62"/>
      <c r="P1534" s="62"/>
      <c r="Q1534" s="62"/>
      <c r="R1534" s="62"/>
      <c r="S1534" s="37" t="str">
        <f>IFERROR(__xludf.DUMMYFUNCTION("if(not(iserror(index(split(C1534, "" ""),2))), index(split(C1534, "" ""),1),"""")"),"July")</f>
        <v>July</v>
      </c>
      <c r="T1534" s="38">
        <f>IFERROR(__xludf.DUMMYFUNCTION("if(S1534="""",C1534,if(not(iserror(index(split(C1534, "" ""),3))), index(split(C1534, "" ""),3),index(split(C1534, "" ""),2)))"),2018.0)</f>
        <v>2018</v>
      </c>
      <c r="U1534" s="38" t="b">
        <f t="shared" si="228"/>
        <v>1</v>
      </c>
      <c r="V1534" s="38"/>
      <c r="W1534" s="40"/>
      <c r="X1534" s="40"/>
      <c r="Y1534" s="40"/>
      <c r="Z1534" s="38"/>
      <c r="AA1534" s="38"/>
      <c r="AB1534" s="38"/>
      <c r="AC1534" s="38"/>
      <c r="AD1534" s="38"/>
      <c r="AE1534" s="38"/>
      <c r="AF1534" s="38"/>
      <c r="AG1534" s="38"/>
      <c r="AH1534" s="38"/>
      <c r="AI1534" s="38"/>
      <c r="AJ1534" s="38"/>
      <c r="AK1534" s="38"/>
      <c r="AL1534" s="38"/>
      <c r="AM1534" s="38"/>
      <c r="AN1534" s="38"/>
      <c r="AO1534" s="38"/>
      <c r="AP1534" s="38"/>
      <c r="AQ1534" s="38"/>
      <c r="AR1534" s="38"/>
      <c r="AS1534" s="38"/>
      <c r="AT1534" s="38"/>
      <c r="AU1534" s="38"/>
      <c r="AV1534" s="38"/>
      <c r="AW1534" s="38"/>
      <c r="AX1534" s="38"/>
      <c r="AY1534" s="38"/>
      <c r="AZ1534" s="38"/>
      <c r="BA1534" s="38"/>
      <c r="BB1534" s="38"/>
      <c r="BC1534" s="38"/>
      <c r="BD1534" s="38"/>
      <c r="BE1534" s="38"/>
      <c r="BF1534" s="38"/>
      <c r="BG1534" s="38"/>
      <c r="BH1534" s="38"/>
      <c r="BI1534" s="38"/>
      <c r="BJ1534" s="38"/>
      <c r="BK1534" s="38"/>
      <c r="BL1534" s="38"/>
      <c r="BM1534" s="38"/>
      <c r="BN1534" s="38"/>
      <c r="BO1534" s="38"/>
      <c r="BP1534" s="38"/>
      <c r="BQ1534" s="38"/>
    </row>
    <row r="1535">
      <c r="A1535" s="78" t="s">
        <v>4438</v>
      </c>
      <c r="B1535" s="59">
        <v>43307.0</v>
      </c>
      <c r="C1535" s="59">
        <v>43306.0</v>
      </c>
      <c r="D1535" s="60" t="s">
        <v>2247</v>
      </c>
      <c r="E1535" s="58" t="s">
        <v>31</v>
      </c>
      <c r="F1535" s="58">
        <v>1.0</v>
      </c>
      <c r="G1535" s="58" t="s">
        <v>32</v>
      </c>
      <c r="H1535" s="33">
        <f t="shared" si="231"/>
        <v>1</v>
      </c>
      <c r="I1535" s="58" t="s">
        <v>33</v>
      </c>
      <c r="J1535" s="58" t="s">
        <v>172</v>
      </c>
      <c r="K1535" s="58" t="s">
        <v>32</v>
      </c>
      <c r="L1535" s="58" t="s">
        <v>52</v>
      </c>
      <c r="M1535" s="61" t="s">
        <v>4439</v>
      </c>
      <c r="N1535" s="77"/>
      <c r="O1535" s="62"/>
      <c r="P1535" s="62"/>
      <c r="Q1535" s="62"/>
      <c r="R1535" s="62"/>
      <c r="S1535" s="37" t="str">
        <f>IFERROR(__xludf.DUMMYFUNCTION("if(not(iserror(index(split(C1535, "" ""),2))), index(split(C1535, "" ""),1),"""")"),"July")</f>
        <v>July</v>
      </c>
      <c r="T1535" s="38">
        <f>IFERROR(__xludf.DUMMYFUNCTION("if(S1535="""",C1535,if(not(iserror(index(split(C1535, "" ""),3))), index(split(C1535, "" ""),3),index(split(C1535, "" ""),2)))"),2018.0)</f>
        <v>2018</v>
      </c>
      <c r="U1535" s="38" t="b">
        <f t="shared" si="228"/>
        <v>0</v>
      </c>
      <c r="V1535" s="38"/>
      <c r="W1535" s="40"/>
      <c r="X1535" s="40"/>
      <c r="Y1535" s="40"/>
      <c r="Z1535" s="38"/>
      <c r="AA1535" s="38"/>
      <c r="AB1535" s="38"/>
      <c r="AC1535" s="38"/>
      <c r="AD1535" s="38"/>
      <c r="AE1535" s="38"/>
      <c r="AF1535" s="38"/>
      <c r="AG1535" s="38"/>
      <c r="AH1535" s="38"/>
      <c r="AI1535" s="38"/>
      <c r="AJ1535" s="38"/>
      <c r="AK1535" s="38"/>
      <c r="AL1535" s="38"/>
      <c r="AM1535" s="38"/>
      <c r="AN1535" s="38"/>
      <c r="AO1535" s="38"/>
      <c r="AP1535" s="38"/>
      <c r="AQ1535" s="38"/>
      <c r="AR1535" s="38"/>
      <c r="AS1535" s="38"/>
      <c r="AT1535" s="38"/>
      <c r="AU1535" s="38"/>
      <c r="AV1535" s="38"/>
      <c r="AW1535" s="38"/>
      <c r="AX1535" s="38"/>
      <c r="AY1535" s="38"/>
      <c r="AZ1535" s="38"/>
      <c r="BA1535" s="38"/>
      <c r="BB1535" s="38"/>
      <c r="BC1535" s="38"/>
      <c r="BD1535" s="38"/>
      <c r="BE1535" s="38"/>
      <c r="BF1535" s="38"/>
      <c r="BG1535" s="38"/>
      <c r="BH1535" s="38"/>
      <c r="BI1535" s="38"/>
      <c r="BJ1535" s="38"/>
      <c r="BK1535" s="38"/>
      <c r="BL1535" s="38"/>
      <c r="BM1535" s="38"/>
      <c r="BN1535" s="38"/>
      <c r="BO1535" s="38"/>
      <c r="BP1535" s="38"/>
      <c r="BQ1535" s="38"/>
    </row>
    <row r="1536">
      <c r="A1536" s="78" t="s">
        <v>4440</v>
      </c>
      <c r="B1536" s="59">
        <v>43313.0</v>
      </c>
      <c r="C1536" s="59">
        <v>43306.0</v>
      </c>
      <c r="D1536" s="60" t="s">
        <v>3850</v>
      </c>
      <c r="E1536" s="58" t="s">
        <v>31</v>
      </c>
      <c r="F1536" s="58">
        <v>1.0</v>
      </c>
      <c r="G1536" s="58" t="s">
        <v>32</v>
      </c>
      <c r="H1536" s="33">
        <f t="shared" si="231"/>
        <v>1</v>
      </c>
      <c r="I1536" s="58" t="s">
        <v>33</v>
      </c>
      <c r="J1536" s="58" t="s">
        <v>47</v>
      </c>
      <c r="K1536" s="58">
        <v>1.0</v>
      </c>
      <c r="L1536" s="58" t="s">
        <v>35</v>
      </c>
      <c r="M1536" s="61" t="s">
        <v>4441</v>
      </c>
      <c r="N1536" s="77"/>
      <c r="O1536" s="62"/>
      <c r="P1536" s="62"/>
      <c r="Q1536" s="62"/>
      <c r="R1536" s="62"/>
      <c r="S1536" s="37" t="str">
        <f>IFERROR(__xludf.DUMMYFUNCTION("if(not(iserror(index(split(C1536, "" ""),2))), index(split(C1536, "" ""),1),"""")"),"July")</f>
        <v>July</v>
      </c>
      <c r="T1536" s="38">
        <f>IFERROR(__xludf.DUMMYFUNCTION("if(S1536="""",C1536,if(not(iserror(index(split(C1536, "" ""),3))), index(split(C1536, "" ""),3),index(split(C1536, "" ""),2)))"),2018.0)</f>
        <v>2018</v>
      </c>
      <c r="U1536" s="38" t="b">
        <f t="shared" si="228"/>
        <v>0</v>
      </c>
      <c r="V1536" s="38"/>
      <c r="W1536" s="40"/>
      <c r="X1536" s="40"/>
      <c r="Y1536" s="40"/>
      <c r="Z1536" s="38"/>
      <c r="AA1536" s="38"/>
      <c r="AB1536" s="38"/>
      <c r="AC1536" s="38"/>
      <c r="AD1536" s="38"/>
      <c r="AE1536" s="38"/>
      <c r="AF1536" s="38"/>
      <c r="AG1536" s="38"/>
      <c r="AH1536" s="38"/>
      <c r="AI1536" s="38"/>
      <c r="AJ1536" s="38"/>
      <c r="AK1536" s="38"/>
      <c r="AL1536" s="38"/>
      <c r="AM1536" s="38"/>
      <c r="AN1536" s="38"/>
      <c r="AO1536" s="38"/>
      <c r="AP1536" s="38"/>
      <c r="AQ1536" s="38"/>
      <c r="AR1536" s="38"/>
      <c r="AS1536" s="38"/>
      <c r="AT1536" s="38"/>
      <c r="AU1536" s="38"/>
      <c r="AV1536" s="38"/>
      <c r="AW1536" s="38"/>
      <c r="AX1536" s="38"/>
      <c r="AY1536" s="38"/>
      <c r="AZ1536" s="38"/>
      <c r="BA1536" s="38"/>
      <c r="BB1536" s="38"/>
      <c r="BC1536" s="38"/>
      <c r="BD1536" s="38"/>
      <c r="BE1536" s="38"/>
      <c r="BF1536" s="38"/>
      <c r="BG1536" s="38"/>
      <c r="BH1536" s="38"/>
      <c r="BI1536" s="38"/>
      <c r="BJ1536" s="38"/>
      <c r="BK1536" s="38"/>
      <c r="BL1536" s="38"/>
      <c r="BM1536" s="38"/>
      <c r="BN1536" s="38"/>
      <c r="BO1536" s="38"/>
      <c r="BP1536" s="38"/>
      <c r="BQ1536" s="38"/>
    </row>
    <row r="1537">
      <c r="A1537" s="58" t="s">
        <v>660</v>
      </c>
      <c r="B1537" s="59">
        <v>43320.0</v>
      </c>
      <c r="C1537" s="59">
        <v>43306.0</v>
      </c>
      <c r="D1537" s="60" t="s">
        <v>4442</v>
      </c>
      <c r="E1537" s="58" t="s">
        <v>31</v>
      </c>
      <c r="F1537" s="58">
        <v>19.0</v>
      </c>
      <c r="G1537" s="58" t="s">
        <v>32</v>
      </c>
      <c r="H1537" s="33">
        <f t="shared" si="231"/>
        <v>1</v>
      </c>
      <c r="I1537" s="58" t="s">
        <v>33</v>
      </c>
      <c r="J1537" s="58" t="s">
        <v>433</v>
      </c>
      <c r="K1537" s="58">
        <v>1.0</v>
      </c>
      <c r="L1537" s="58" t="s">
        <v>349</v>
      </c>
      <c r="M1537" s="61" t="s">
        <v>4443</v>
      </c>
      <c r="N1537" s="77"/>
      <c r="O1537" s="58"/>
      <c r="P1537" s="58"/>
      <c r="Q1537" s="84"/>
      <c r="R1537" s="62"/>
      <c r="S1537" s="37" t="str">
        <f>IFERROR(__xludf.DUMMYFUNCTION("if(not(iserror(index(split(C1537, "" ""),2))), index(split(C1537, "" ""),1),"""")"),"July")</f>
        <v>July</v>
      </c>
      <c r="T1537" s="38">
        <f>IFERROR(__xludf.DUMMYFUNCTION("if(S1537="""",C1537,if(not(iserror(index(split(C1537, "" ""),3))), index(split(C1537, "" ""),3),index(split(C1537, "" ""),2)))"),2018.0)</f>
        <v>2018</v>
      </c>
      <c r="U1537" s="38" t="b">
        <f t="shared" si="228"/>
        <v>1</v>
      </c>
      <c r="V1537" s="38"/>
      <c r="W1537" s="40"/>
      <c r="X1537" s="40"/>
      <c r="Y1537" s="40"/>
      <c r="Z1537" s="38"/>
      <c r="AA1537" s="38"/>
      <c r="AB1537" s="38"/>
      <c r="AC1537" s="38"/>
      <c r="AD1537" s="38"/>
      <c r="AE1537" s="38"/>
      <c r="AF1537" s="38"/>
      <c r="AG1537" s="38"/>
      <c r="AH1537" s="38"/>
      <c r="AI1537" s="38"/>
      <c r="AJ1537" s="38"/>
      <c r="AK1537" s="38"/>
      <c r="AL1537" s="38"/>
      <c r="AM1537" s="38"/>
      <c r="AN1537" s="38"/>
      <c r="AO1537" s="38"/>
      <c r="AP1537" s="38"/>
      <c r="AQ1537" s="38"/>
      <c r="AR1537" s="38"/>
      <c r="AS1537" s="38"/>
      <c r="AT1537" s="38"/>
      <c r="AU1537" s="38"/>
      <c r="AV1537" s="38"/>
      <c r="AW1537" s="38"/>
      <c r="AX1537" s="38"/>
      <c r="AY1537" s="38"/>
      <c r="AZ1537" s="38"/>
      <c r="BA1537" s="38"/>
      <c r="BB1537" s="38"/>
      <c r="BC1537" s="38"/>
      <c r="BD1537" s="38"/>
      <c r="BE1537" s="38"/>
      <c r="BF1537" s="38"/>
      <c r="BG1537" s="38"/>
      <c r="BH1537" s="38"/>
      <c r="BI1537" s="38"/>
      <c r="BJ1537" s="38"/>
      <c r="BK1537" s="38"/>
      <c r="BL1537" s="38"/>
      <c r="BM1537" s="38"/>
      <c r="BN1537" s="38"/>
      <c r="BO1537" s="38"/>
      <c r="BP1537" s="38"/>
      <c r="BQ1537" s="38"/>
    </row>
    <row r="1538">
      <c r="A1538" s="58" t="s">
        <v>40</v>
      </c>
      <c r="B1538" s="59">
        <v>43339.0</v>
      </c>
      <c r="C1538" s="59">
        <v>43306.0</v>
      </c>
      <c r="D1538" s="60" t="s">
        <v>4444</v>
      </c>
      <c r="E1538" s="58" t="s">
        <v>41</v>
      </c>
      <c r="F1538" s="58">
        <v>473.0</v>
      </c>
      <c r="G1538" s="58" t="s">
        <v>32</v>
      </c>
      <c r="H1538" s="33">
        <f t="shared" si="231"/>
        <v>1</v>
      </c>
      <c r="I1538" s="58" t="s">
        <v>33</v>
      </c>
      <c r="J1538" s="58" t="s">
        <v>40</v>
      </c>
      <c r="K1538" s="58">
        <v>24.0</v>
      </c>
      <c r="L1538" s="58" t="s">
        <v>4445</v>
      </c>
      <c r="M1538" s="61" t="s">
        <v>4446</v>
      </c>
      <c r="N1538" s="77"/>
      <c r="O1538" s="58"/>
      <c r="P1538" s="62"/>
      <c r="Q1538" s="84"/>
      <c r="R1538" s="62"/>
      <c r="S1538" s="37" t="str">
        <f>IFERROR(__xludf.DUMMYFUNCTION("if(not(iserror(index(split(C1538, "" ""),2))), index(split(C1538, "" ""),1),"""")"),"July")</f>
        <v>July</v>
      </c>
      <c r="T1538" s="38">
        <f>IFERROR(__xludf.DUMMYFUNCTION("if(S1538="""",C1538,if(not(iserror(index(split(C1538, "" ""),3))), index(split(C1538, "" ""),3),index(split(C1538, "" ""),2)))"),2018.0)</f>
        <v>2018</v>
      </c>
      <c r="U1538" s="38" t="b">
        <f t="shared" si="228"/>
        <v>1</v>
      </c>
      <c r="V1538" s="38"/>
      <c r="W1538" s="40"/>
      <c r="X1538" s="40"/>
      <c r="Y1538" s="40"/>
      <c r="Z1538" s="38"/>
      <c r="AA1538" s="38"/>
      <c r="AB1538" s="38"/>
      <c r="AC1538" s="38"/>
      <c r="AD1538" s="38"/>
      <c r="AE1538" s="38"/>
      <c r="AF1538" s="38"/>
      <c r="AG1538" s="38"/>
      <c r="AH1538" s="38"/>
      <c r="AI1538" s="38"/>
      <c r="AJ1538" s="38"/>
      <c r="AK1538" s="38"/>
      <c r="AL1538" s="38"/>
      <c r="AM1538" s="38"/>
      <c r="AN1538" s="38"/>
      <c r="AO1538" s="38"/>
      <c r="AP1538" s="38"/>
      <c r="AQ1538" s="38"/>
      <c r="AR1538" s="38"/>
      <c r="AS1538" s="38"/>
      <c r="AT1538" s="38"/>
      <c r="AU1538" s="38"/>
      <c r="AV1538" s="38"/>
      <c r="AW1538" s="38"/>
      <c r="AX1538" s="38"/>
      <c r="AY1538" s="38"/>
      <c r="AZ1538" s="38"/>
      <c r="BA1538" s="38"/>
      <c r="BB1538" s="38"/>
      <c r="BC1538" s="38"/>
      <c r="BD1538" s="38"/>
      <c r="BE1538" s="38"/>
      <c r="BF1538" s="38"/>
      <c r="BG1538" s="38"/>
      <c r="BH1538" s="38"/>
      <c r="BI1538" s="38"/>
      <c r="BJ1538" s="38"/>
      <c r="BK1538" s="38"/>
      <c r="BL1538" s="38"/>
      <c r="BM1538" s="38"/>
      <c r="BN1538" s="38"/>
      <c r="BO1538" s="38"/>
      <c r="BP1538" s="38"/>
      <c r="BQ1538" s="38"/>
    </row>
    <row r="1539">
      <c r="A1539" s="58" t="s">
        <v>660</v>
      </c>
      <c r="B1539" s="59">
        <v>43359.0</v>
      </c>
      <c r="C1539" s="59">
        <v>43306.0</v>
      </c>
      <c r="D1539" s="60" t="s">
        <v>4444</v>
      </c>
      <c r="E1539" s="58" t="s">
        <v>41</v>
      </c>
      <c r="F1539" s="58">
        <v>19.0</v>
      </c>
      <c r="G1539" s="58" t="s">
        <v>32</v>
      </c>
      <c r="H1539" s="33">
        <f t="shared" si="231"/>
        <v>1</v>
      </c>
      <c r="I1539" s="58" t="s">
        <v>33</v>
      </c>
      <c r="J1539" s="58" t="s">
        <v>222</v>
      </c>
      <c r="K1539" s="58">
        <v>5.0</v>
      </c>
      <c r="L1539" s="58" t="s">
        <v>4445</v>
      </c>
      <c r="M1539" s="61" t="s">
        <v>4447</v>
      </c>
      <c r="N1539" s="77"/>
      <c r="O1539" s="58"/>
      <c r="P1539" s="62"/>
      <c r="Q1539" s="84"/>
      <c r="R1539" s="62"/>
      <c r="S1539" s="37" t="str">
        <f>IFERROR(__xludf.DUMMYFUNCTION("if(not(iserror(index(split(C1539, "" ""),2))), index(split(C1539, "" ""),1),"""")"),"July")</f>
        <v>July</v>
      </c>
      <c r="T1539" s="38">
        <f>IFERROR(__xludf.DUMMYFUNCTION("if(S1539="""",C1539,if(not(iserror(index(split(C1539, "" ""),3))), index(split(C1539, "" ""),3),index(split(C1539, "" ""),2)))"),2018.0)</f>
        <v>2018</v>
      </c>
      <c r="U1539" s="38" t="b">
        <f t="shared" si="228"/>
        <v>1</v>
      </c>
      <c r="V1539" s="38"/>
      <c r="W1539" s="40"/>
      <c r="X1539" s="40"/>
      <c r="Y1539" s="40"/>
      <c r="Z1539" s="38"/>
      <c r="AA1539" s="38"/>
      <c r="AB1539" s="38"/>
      <c r="AC1539" s="38"/>
      <c r="AD1539" s="38"/>
      <c r="AE1539" s="38"/>
      <c r="AF1539" s="38"/>
      <c r="AG1539" s="38"/>
      <c r="AH1539" s="38"/>
      <c r="AI1539" s="38"/>
      <c r="AJ1539" s="38"/>
      <c r="AK1539" s="38"/>
      <c r="AL1539" s="38"/>
      <c r="AM1539" s="38"/>
      <c r="AN1539" s="38"/>
      <c r="AO1539" s="38"/>
      <c r="AP1539" s="38"/>
      <c r="AQ1539" s="38"/>
      <c r="AR1539" s="38"/>
      <c r="AS1539" s="38"/>
      <c r="AT1539" s="38"/>
      <c r="AU1539" s="38"/>
      <c r="AV1539" s="38"/>
      <c r="AW1539" s="38"/>
      <c r="AX1539" s="38"/>
      <c r="AY1539" s="38"/>
      <c r="AZ1539" s="38"/>
      <c r="BA1539" s="38"/>
      <c r="BB1539" s="38"/>
      <c r="BC1539" s="38"/>
      <c r="BD1539" s="38"/>
      <c r="BE1539" s="38"/>
      <c r="BF1539" s="38"/>
      <c r="BG1539" s="38"/>
      <c r="BH1539" s="38"/>
      <c r="BI1539" s="38"/>
      <c r="BJ1539" s="38"/>
      <c r="BK1539" s="38"/>
      <c r="BL1539" s="38"/>
      <c r="BM1539" s="38"/>
      <c r="BN1539" s="38"/>
      <c r="BO1539" s="38"/>
      <c r="BP1539" s="38"/>
      <c r="BQ1539" s="38"/>
    </row>
    <row r="1540">
      <c r="A1540" s="58" t="s">
        <v>4448</v>
      </c>
      <c r="B1540" s="59">
        <v>43412.0</v>
      </c>
      <c r="C1540" s="59">
        <v>43306.0</v>
      </c>
      <c r="D1540" s="60" t="s">
        <v>2247</v>
      </c>
      <c r="E1540" s="58" t="s">
        <v>31</v>
      </c>
      <c r="F1540" s="58">
        <v>1.0</v>
      </c>
      <c r="G1540" s="58" t="s">
        <v>32</v>
      </c>
      <c r="H1540" s="33">
        <f t="shared" si="231"/>
        <v>1</v>
      </c>
      <c r="I1540" s="58" t="s">
        <v>33</v>
      </c>
      <c r="J1540" s="58" t="s">
        <v>115</v>
      </c>
      <c r="K1540" s="58">
        <v>3.0</v>
      </c>
      <c r="L1540" s="58" t="s">
        <v>76</v>
      </c>
      <c r="M1540" s="61" t="s">
        <v>4449</v>
      </c>
      <c r="N1540" s="61" t="s">
        <v>4450</v>
      </c>
      <c r="O1540" s="88" t="str">
        <f>hyperlink("https://bad-boys.us/?q=ED-PA/2:18-cr-00505", "ED-PA 2:18-cr-00505")</f>
        <v>ED-PA 2:18-cr-00505</v>
      </c>
      <c r="P1540" s="88" t="s">
        <v>4451</v>
      </c>
      <c r="Q1540" s="84">
        <v>1.0</v>
      </c>
      <c r="R1540" s="62"/>
      <c r="S1540" s="37" t="str">
        <f>IFERROR(__xludf.DUMMYFUNCTION("if(not(iserror(index(split(C1540, "" ""),2))), index(split(C1540, "" ""),1),"""")"),"July")</f>
        <v>July</v>
      </c>
      <c r="T1540" s="38">
        <f>IFERROR(__xludf.DUMMYFUNCTION("if(S1540="""",C1540,if(not(iserror(index(split(C1540, "" ""),3))), index(split(C1540, "" ""),3),index(split(C1540, "" ""),2)))"),2018.0)</f>
        <v>2018</v>
      </c>
      <c r="U1540" s="38" t="b">
        <f t="shared" si="228"/>
        <v>0</v>
      </c>
      <c r="V1540" s="38"/>
      <c r="W1540" s="40"/>
      <c r="X1540" s="40"/>
      <c r="Y1540" s="40"/>
      <c r="Z1540" s="38"/>
      <c r="AA1540" s="38"/>
      <c r="AB1540" s="38"/>
      <c r="AC1540" s="38"/>
      <c r="AD1540" s="38"/>
      <c r="AE1540" s="38"/>
      <c r="AF1540" s="38"/>
      <c r="AG1540" s="38"/>
      <c r="AH1540" s="38"/>
      <c r="AI1540" s="38"/>
      <c r="AJ1540" s="38"/>
      <c r="AK1540" s="38"/>
      <c r="AL1540" s="38"/>
      <c r="AM1540" s="38"/>
      <c r="AN1540" s="38"/>
      <c r="AO1540" s="38"/>
      <c r="AP1540" s="38"/>
      <c r="AQ1540" s="38"/>
      <c r="AR1540" s="38"/>
      <c r="AS1540" s="38"/>
      <c r="AT1540" s="38"/>
      <c r="AU1540" s="38"/>
      <c r="AV1540" s="38"/>
      <c r="AW1540" s="38"/>
      <c r="AX1540" s="38"/>
      <c r="AY1540" s="38"/>
      <c r="AZ1540" s="38"/>
      <c r="BA1540" s="38"/>
      <c r="BB1540" s="38"/>
      <c r="BC1540" s="38"/>
      <c r="BD1540" s="38"/>
      <c r="BE1540" s="38"/>
      <c r="BF1540" s="38"/>
      <c r="BG1540" s="38"/>
      <c r="BH1540" s="38"/>
      <c r="BI1540" s="38"/>
      <c r="BJ1540" s="38"/>
      <c r="BK1540" s="38"/>
      <c r="BL1540" s="38"/>
      <c r="BM1540" s="38"/>
      <c r="BN1540" s="38"/>
      <c r="BO1540" s="38"/>
      <c r="BP1540" s="38"/>
      <c r="BQ1540" s="38"/>
    </row>
    <row r="1541">
      <c r="A1541" s="58" t="s">
        <v>4452</v>
      </c>
      <c r="B1541" s="59"/>
      <c r="C1541" s="59">
        <v>43306.0</v>
      </c>
      <c r="D1541" s="60"/>
      <c r="E1541" s="58" t="s">
        <v>41</v>
      </c>
      <c r="F1541" s="58">
        <v>1.0</v>
      </c>
      <c r="G1541" s="58" t="s">
        <v>32</v>
      </c>
      <c r="H1541" s="43">
        <v>1.0</v>
      </c>
      <c r="I1541" s="58" t="s">
        <v>33</v>
      </c>
      <c r="J1541" s="58" t="s">
        <v>132</v>
      </c>
      <c r="K1541" s="58"/>
      <c r="L1541" s="58" t="s">
        <v>76</v>
      </c>
      <c r="M1541" s="61" t="s">
        <v>4453</v>
      </c>
      <c r="N1541" s="77"/>
      <c r="O1541" s="83" t="str">
        <f>hyperlink("https://bad-boys.us/?q=SD-MS/3:18-cr-00146", "SD-MS 3:18-cr-00146")</f>
        <v>SD-MS 3:18-cr-00146</v>
      </c>
      <c r="P1541" s="88" t="s">
        <v>4454</v>
      </c>
      <c r="Q1541" s="58">
        <v>1.0</v>
      </c>
      <c r="R1541" s="62"/>
      <c r="S1541" s="37" t="str">
        <f>IFERROR(__xludf.DUMMYFUNCTION("if(not(iserror(index(split(C1541, "" ""),2))), index(split(C1541, "" ""),1),"""")"),"July")</f>
        <v>July</v>
      </c>
      <c r="T1541" s="38">
        <f>IFERROR(__xludf.DUMMYFUNCTION("if(S1541="""",C1541,if(not(iserror(index(split(C1541, "" ""),3))), index(split(C1541, "" ""),3),index(split(C1541, "" ""),2)))"),2018.0)</f>
        <v>2018</v>
      </c>
      <c r="U1541" s="38" t="b">
        <f t="shared" si="228"/>
        <v>0</v>
      </c>
      <c r="V1541" s="38" t="s">
        <v>33</v>
      </c>
      <c r="W1541" s="40"/>
      <c r="X1541" s="40"/>
      <c r="Y1541" s="40"/>
      <c r="Z1541" s="38"/>
      <c r="AA1541" s="38"/>
      <c r="AB1541" s="38"/>
      <c r="AC1541" s="38"/>
      <c r="AD1541" s="38"/>
      <c r="AE1541" s="38"/>
      <c r="AF1541" s="38"/>
      <c r="AG1541" s="38"/>
      <c r="AH1541" s="38"/>
      <c r="AI1541" s="38"/>
      <c r="AJ1541" s="38"/>
      <c r="AK1541" s="38"/>
      <c r="AL1541" s="38"/>
      <c r="AM1541" s="38"/>
      <c r="AN1541" s="38"/>
      <c r="AO1541" s="38"/>
      <c r="AP1541" s="38"/>
      <c r="AQ1541" s="38"/>
      <c r="AR1541" s="38"/>
      <c r="AS1541" s="38"/>
      <c r="AT1541" s="38"/>
      <c r="AU1541" s="38"/>
      <c r="AV1541" s="38"/>
      <c r="AW1541" s="38"/>
      <c r="AX1541" s="38"/>
      <c r="AY1541" s="38"/>
      <c r="AZ1541" s="38"/>
      <c r="BA1541" s="38"/>
      <c r="BB1541" s="38"/>
      <c r="BC1541" s="38"/>
      <c r="BD1541" s="38"/>
      <c r="BE1541" s="38"/>
      <c r="BF1541" s="38"/>
      <c r="BG1541" s="38"/>
      <c r="BH1541" s="38"/>
      <c r="BI1541" s="38"/>
      <c r="BJ1541" s="38"/>
      <c r="BK1541" s="38"/>
      <c r="BL1541" s="38"/>
      <c r="BM1541" s="38"/>
      <c r="BN1541" s="38"/>
      <c r="BO1541" s="38"/>
      <c r="BP1541" s="38"/>
      <c r="BQ1541" s="38"/>
    </row>
    <row r="1542">
      <c r="A1542" s="58" t="s">
        <v>4455</v>
      </c>
      <c r="B1542" s="59">
        <v>43307.0</v>
      </c>
      <c r="C1542" s="59">
        <v>43307.0</v>
      </c>
      <c r="D1542" s="60" t="s">
        <v>4456</v>
      </c>
      <c r="E1542" s="58" t="s">
        <v>31</v>
      </c>
      <c r="F1542" s="58">
        <v>1.0</v>
      </c>
      <c r="G1542" s="58" t="s">
        <v>32</v>
      </c>
      <c r="H1542" s="33">
        <f t="shared" ref="H1542:H1568" si="232">if(G1542="Unknown",1,G1542)</f>
        <v>1</v>
      </c>
      <c r="I1542" s="58" t="s">
        <v>33</v>
      </c>
      <c r="J1542" s="58" t="s">
        <v>268</v>
      </c>
      <c r="K1542" s="58">
        <v>1.0</v>
      </c>
      <c r="L1542" s="58" t="s">
        <v>99</v>
      </c>
      <c r="M1542" s="61" t="s">
        <v>4457</v>
      </c>
      <c r="N1542" s="77"/>
      <c r="O1542" s="62"/>
      <c r="P1542" s="62"/>
      <c r="Q1542" s="62"/>
      <c r="R1542" s="62"/>
      <c r="S1542" s="37" t="str">
        <f>IFERROR(__xludf.DUMMYFUNCTION("if(not(iserror(index(split(C1542, "" ""),2))), index(split(C1542, "" ""),1),"""")"),"July")</f>
        <v>July</v>
      </c>
      <c r="T1542" s="38">
        <f>IFERROR(__xludf.DUMMYFUNCTION("if(S1542="""",C1542,if(not(iserror(index(split(C1542, "" ""),3))), index(split(C1542, "" ""),3),index(split(C1542, "" ""),2)))"),2018.0)</f>
        <v>2018</v>
      </c>
      <c r="U1542" s="38" t="b">
        <f t="shared" si="228"/>
        <v>0</v>
      </c>
      <c r="V1542" s="38"/>
      <c r="W1542" s="40"/>
      <c r="X1542" s="40"/>
      <c r="Y1542" s="40"/>
      <c r="Z1542" s="38"/>
      <c r="AA1542" s="38"/>
      <c r="AB1542" s="38"/>
      <c r="AC1542" s="38"/>
      <c r="AD1542" s="38"/>
      <c r="AE1542" s="38"/>
      <c r="AF1542" s="38"/>
      <c r="AG1542" s="38"/>
      <c r="AH1542" s="38"/>
      <c r="AI1542" s="38"/>
      <c r="AJ1542" s="38"/>
      <c r="AK1542" s="38"/>
      <c r="AL1542" s="38"/>
      <c r="AM1542" s="38"/>
      <c r="AN1542" s="38"/>
      <c r="AO1542" s="38"/>
      <c r="AP1542" s="38"/>
      <c r="AQ1542" s="38"/>
      <c r="AR1542" s="38"/>
      <c r="AS1542" s="38"/>
      <c r="AT1542" s="38"/>
      <c r="AU1542" s="38"/>
      <c r="AV1542" s="38"/>
      <c r="AW1542" s="38"/>
      <c r="AX1542" s="38"/>
      <c r="AY1542" s="38"/>
      <c r="AZ1542" s="38"/>
      <c r="BA1542" s="38"/>
      <c r="BB1542" s="38"/>
      <c r="BC1542" s="38"/>
      <c r="BD1542" s="38"/>
      <c r="BE1542" s="38"/>
      <c r="BF1542" s="38"/>
      <c r="BG1542" s="38"/>
      <c r="BH1542" s="38"/>
      <c r="BI1542" s="38"/>
      <c r="BJ1542" s="38"/>
      <c r="BK1542" s="38"/>
      <c r="BL1542" s="38"/>
      <c r="BM1542" s="38"/>
      <c r="BN1542" s="38"/>
      <c r="BO1542" s="38"/>
      <c r="BP1542" s="38"/>
      <c r="BQ1542" s="38"/>
    </row>
    <row r="1543">
      <c r="A1543" s="58" t="s">
        <v>4458</v>
      </c>
      <c r="B1543" s="59">
        <v>43307.0</v>
      </c>
      <c r="C1543" s="59">
        <v>43307.0</v>
      </c>
      <c r="D1543" s="60" t="s">
        <v>4456</v>
      </c>
      <c r="E1543" s="58" t="s">
        <v>41</v>
      </c>
      <c r="F1543" s="58">
        <v>1.0</v>
      </c>
      <c r="G1543" s="58" t="s">
        <v>32</v>
      </c>
      <c r="H1543" s="33">
        <f t="shared" si="232"/>
        <v>1</v>
      </c>
      <c r="I1543" s="58" t="s">
        <v>33</v>
      </c>
      <c r="J1543" s="58" t="s">
        <v>55</v>
      </c>
      <c r="K1543" s="58">
        <v>1.0</v>
      </c>
      <c r="L1543" s="58" t="s">
        <v>69</v>
      </c>
      <c r="M1543" s="61" t="s">
        <v>4459</v>
      </c>
      <c r="N1543" s="77"/>
      <c r="O1543" s="88" t="str">
        <f>hyperlink("https://bad-boys.us/?q=D-NJ/2:19-cr-00039", "D-NJ 2:19-cr-00039")</f>
        <v>D-NJ 2:19-cr-00039</v>
      </c>
      <c r="P1543" s="62"/>
      <c r="Q1543" s="58">
        <v>1.0</v>
      </c>
      <c r="R1543" s="62"/>
      <c r="S1543" s="37" t="str">
        <f>IFERROR(__xludf.DUMMYFUNCTION("if(not(iserror(index(split(C1543, "" ""),2))), index(split(C1543, "" ""),1),"""")"),"July")</f>
        <v>July</v>
      </c>
      <c r="T1543" s="38">
        <f>IFERROR(__xludf.DUMMYFUNCTION("if(S1543="""",C1543,if(not(iserror(index(split(C1543, "" ""),3))), index(split(C1543, "" ""),3),index(split(C1543, "" ""),2)))"),2018.0)</f>
        <v>2018</v>
      </c>
      <c r="U1543" s="38" t="b">
        <f t="shared" si="228"/>
        <v>0</v>
      </c>
      <c r="V1543" s="38"/>
      <c r="W1543" s="40"/>
      <c r="X1543" s="40"/>
      <c r="Y1543" s="40"/>
      <c r="Z1543" s="38"/>
      <c r="AA1543" s="38"/>
      <c r="AB1543" s="38"/>
      <c r="AC1543" s="38"/>
      <c r="AD1543" s="38"/>
      <c r="AE1543" s="38"/>
      <c r="AF1543" s="38"/>
      <c r="AG1543" s="38"/>
      <c r="AH1543" s="38"/>
      <c r="AI1543" s="38"/>
      <c r="AJ1543" s="38"/>
      <c r="AK1543" s="38"/>
      <c r="AL1543" s="38"/>
      <c r="AM1543" s="38"/>
      <c r="AN1543" s="38"/>
      <c r="AO1543" s="38"/>
      <c r="AP1543" s="38"/>
      <c r="AQ1543" s="38"/>
      <c r="AR1543" s="38"/>
      <c r="AS1543" s="38"/>
      <c r="AT1543" s="38"/>
      <c r="AU1543" s="38"/>
      <c r="AV1543" s="38"/>
      <c r="AW1543" s="38"/>
      <c r="AX1543" s="38"/>
      <c r="AY1543" s="38"/>
      <c r="AZ1543" s="38"/>
      <c r="BA1543" s="38"/>
      <c r="BB1543" s="38"/>
      <c r="BC1543" s="38"/>
      <c r="BD1543" s="38"/>
      <c r="BE1543" s="38"/>
      <c r="BF1543" s="38"/>
      <c r="BG1543" s="38"/>
      <c r="BH1543" s="38"/>
      <c r="BI1543" s="38"/>
      <c r="BJ1543" s="38"/>
      <c r="BK1543" s="38"/>
      <c r="BL1543" s="38"/>
      <c r="BM1543" s="38"/>
      <c r="BN1543" s="38"/>
      <c r="BO1543" s="38"/>
      <c r="BP1543" s="38"/>
      <c r="BQ1543" s="38"/>
    </row>
    <row r="1544">
      <c r="A1544" s="58" t="s">
        <v>239</v>
      </c>
      <c r="B1544" s="59">
        <v>43315.0</v>
      </c>
      <c r="C1544" s="59">
        <v>43307.0</v>
      </c>
      <c r="D1544" s="60" t="s">
        <v>4460</v>
      </c>
      <c r="E1544" s="58" t="s">
        <v>31</v>
      </c>
      <c r="F1544" s="58">
        <v>18.0</v>
      </c>
      <c r="G1544" s="58">
        <v>250.0</v>
      </c>
      <c r="H1544" s="33">
        <f t="shared" si="232"/>
        <v>250</v>
      </c>
      <c r="I1544" s="58" t="s">
        <v>4461</v>
      </c>
      <c r="J1544" s="62"/>
      <c r="K1544" s="58">
        <v>4.0</v>
      </c>
      <c r="L1544" s="58" t="s">
        <v>4462</v>
      </c>
      <c r="M1544" s="61" t="s">
        <v>4463</v>
      </c>
      <c r="N1544" s="61" t="s">
        <v>4464</v>
      </c>
      <c r="O1544" s="62"/>
      <c r="P1544" s="62"/>
      <c r="Q1544" s="62"/>
      <c r="R1544" s="62"/>
      <c r="S1544" s="37" t="str">
        <f>IFERROR(__xludf.DUMMYFUNCTION("if(not(iserror(index(split(C1544, "" ""),2))), index(split(C1544, "" ""),1),"""")"),"July")</f>
        <v>July</v>
      </c>
      <c r="T1544" s="38">
        <f>IFERROR(__xludf.DUMMYFUNCTION("if(S1544="""",C1544,if(not(iserror(index(split(C1544, "" ""),3))), index(split(C1544, "" ""),3),index(split(C1544, "" ""),2)))"),2018.0)</f>
        <v>2018</v>
      </c>
      <c r="U1544" s="38" t="b">
        <f t="shared" si="228"/>
        <v>1</v>
      </c>
      <c r="V1544" s="38"/>
      <c r="W1544" s="40"/>
      <c r="X1544" s="40"/>
      <c r="Y1544" s="40"/>
      <c r="Z1544" s="38"/>
      <c r="AA1544" s="38"/>
      <c r="AB1544" s="38"/>
      <c r="AC1544" s="38"/>
      <c r="AD1544" s="38"/>
      <c r="AE1544" s="38"/>
      <c r="AF1544" s="38"/>
      <c r="AG1544" s="38"/>
      <c r="AH1544" s="38"/>
      <c r="AI1544" s="38"/>
      <c r="AJ1544" s="38"/>
      <c r="AK1544" s="38"/>
      <c r="AL1544" s="38"/>
      <c r="AM1544" s="38"/>
      <c r="AN1544" s="38"/>
      <c r="AO1544" s="38"/>
      <c r="AP1544" s="38"/>
      <c r="AQ1544" s="38"/>
      <c r="AR1544" s="38"/>
      <c r="AS1544" s="38"/>
      <c r="AT1544" s="38"/>
      <c r="AU1544" s="38"/>
      <c r="AV1544" s="38"/>
      <c r="AW1544" s="38"/>
      <c r="AX1544" s="38"/>
      <c r="AY1544" s="38"/>
      <c r="AZ1544" s="38"/>
      <c r="BA1544" s="38"/>
      <c r="BB1544" s="38"/>
      <c r="BC1544" s="38"/>
      <c r="BD1544" s="38"/>
      <c r="BE1544" s="38"/>
      <c r="BF1544" s="38"/>
      <c r="BG1544" s="38"/>
      <c r="BH1544" s="38"/>
      <c r="BI1544" s="38"/>
      <c r="BJ1544" s="38"/>
      <c r="BK1544" s="38"/>
      <c r="BL1544" s="38"/>
      <c r="BM1544" s="38"/>
      <c r="BN1544" s="38"/>
      <c r="BO1544" s="38"/>
      <c r="BP1544" s="38"/>
      <c r="BQ1544" s="38"/>
    </row>
    <row r="1545">
      <c r="A1545" s="58" t="s">
        <v>4465</v>
      </c>
      <c r="B1545" s="59">
        <v>43339.0</v>
      </c>
      <c r="C1545" s="59">
        <v>43307.0</v>
      </c>
      <c r="D1545" s="60" t="s">
        <v>3860</v>
      </c>
      <c r="E1545" s="58" t="s">
        <v>31</v>
      </c>
      <c r="F1545" s="58">
        <v>3.0</v>
      </c>
      <c r="G1545" s="58" t="s">
        <v>32</v>
      </c>
      <c r="H1545" s="33">
        <f t="shared" si="232"/>
        <v>1</v>
      </c>
      <c r="I1545" s="58" t="s">
        <v>33</v>
      </c>
      <c r="J1545" s="58" t="s">
        <v>42</v>
      </c>
      <c r="K1545" s="58">
        <v>3.0</v>
      </c>
      <c r="L1545" s="58" t="s">
        <v>807</v>
      </c>
      <c r="M1545" s="61" t="s">
        <v>4466</v>
      </c>
      <c r="N1545" s="77"/>
      <c r="O1545" s="62"/>
      <c r="P1545" s="62"/>
      <c r="Q1545" s="62"/>
      <c r="R1545" s="62"/>
      <c r="S1545" s="37" t="str">
        <f>IFERROR(__xludf.DUMMYFUNCTION("if(not(iserror(index(split(C1545, "" ""),2))), index(split(C1545, "" ""),1),"""")"),"July")</f>
        <v>July</v>
      </c>
      <c r="T1545" s="38">
        <f>IFERROR(__xludf.DUMMYFUNCTION("if(S1545="""",C1545,if(not(iserror(index(split(C1545, "" ""),3))), index(split(C1545, "" ""),3),index(split(C1545, "" ""),2)))"),2018.0)</f>
        <v>2018</v>
      </c>
      <c r="U1545" s="38" t="b">
        <f t="shared" si="228"/>
        <v>0</v>
      </c>
      <c r="V1545" s="38"/>
      <c r="W1545" s="40"/>
      <c r="X1545" s="40"/>
      <c r="Y1545" s="40"/>
      <c r="Z1545" s="38"/>
      <c r="AA1545" s="38"/>
      <c r="AB1545" s="38"/>
      <c r="AC1545" s="38"/>
      <c r="AD1545" s="38"/>
      <c r="AE1545" s="38"/>
      <c r="AF1545" s="38"/>
      <c r="AG1545" s="38"/>
      <c r="AH1545" s="38"/>
      <c r="AI1545" s="38"/>
      <c r="AJ1545" s="38"/>
      <c r="AK1545" s="38"/>
      <c r="AL1545" s="38"/>
      <c r="AM1545" s="38"/>
      <c r="AN1545" s="38"/>
      <c r="AO1545" s="38"/>
      <c r="AP1545" s="38"/>
      <c r="AQ1545" s="38"/>
      <c r="AR1545" s="38"/>
      <c r="AS1545" s="38"/>
      <c r="AT1545" s="38"/>
      <c r="AU1545" s="38"/>
      <c r="AV1545" s="38"/>
      <c r="AW1545" s="38"/>
      <c r="AX1545" s="38"/>
      <c r="AY1545" s="38"/>
      <c r="AZ1545" s="38"/>
      <c r="BA1545" s="38"/>
      <c r="BB1545" s="38"/>
      <c r="BC1545" s="38"/>
      <c r="BD1545" s="38"/>
      <c r="BE1545" s="38"/>
      <c r="BF1545" s="38"/>
      <c r="BG1545" s="38"/>
      <c r="BH1545" s="38"/>
      <c r="BI1545" s="38"/>
      <c r="BJ1545" s="38"/>
      <c r="BK1545" s="38"/>
      <c r="BL1545" s="38"/>
      <c r="BM1545" s="38"/>
      <c r="BN1545" s="38"/>
      <c r="BO1545" s="38"/>
      <c r="BP1545" s="38"/>
      <c r="BQ1545" s="38"/>
    </row>
    <row r="1546">
      <c r="A1546" s="58" t="s">
        <v>4467</v>
      </c>
      <c r="B1546" s="59">
        <v>43308.0</v>
      </c>
      <c r="C1546" s="59">
        <v>43308.0</v>
      </c>
      <c r="D1546" s="60" t="s">
        <v>4468</v>
      </c>
      <c r="E1546" s="58" t="s">
        <v>41</v>
      </c>
      <c r="F1546" s="58">
        <v>1.0</v>
      </c>
      <c r="G1546" s="58" t="s">
        <v>32</v>
      </c>
      <c r="H1546" s="33">
        <f t="shared" si="232"/>
        <v>1</v>
      </c>
      <c r="I1546" s="58" t="s">
        <v>33</v>
      </c>
      <c r="J1546" s="58" t="s">
        <v>93</v>
      </c>
      <c r="K1546" s="58">
        <v>2.0</v>
      </c>
      <c r="L1546" s="58" t="s">
        <v>119</v>
      </c>
      <c r="M1546" s="80" t="s">
        <v>4469</v>
      </c>
      <c r="N1546" s="77"/>
      <c r="O1546" s="62"/>
      <c r="P1546" s="58"/>
      <c r="Q1546" s="84"/>
      <c r="R1546" s="62"/>
      <c r="S1546" s="37" t="str">
        <f>IFERROR(__xludf.DUMMYFUNCTION("if(not(iserror(index(split(C1546, "" ""),2))), index(split(C1546, "" ""),1),"""")"),"July")</f>
        <v>July</v>
      </c>
      <c r="T1546" s="38">
        <f>IFERROR(__xludf.DUMMYFUNCTION("if(S1546="""",C1546,if(not(iserror(index(split(C1546, "" ""),3))), index(split(C1546, "" ""),3),index(split(C1546, "" ""),2)))"),2018.0)</f>
        <v>2018</v>
      </c>
      <c r="U1546" s="38" t="b">
        <f t="shared" si="228"/>
        <v>0</v>
      </c>
      <c r="V1546" s="38"/>
      <c r="W1546" s="40"/>
      <c r="X1546" s="40"/>
      <c r="Y1546" s="40"/>
      <c r="Z1546" s="38"/>
      <c r="AA1546" s="38"/>
      <c r="AB1546" s="38"/>
      <c r="AC1546" s="38"/>
      <c r="AD1546" s="38"/>
      <c r="AE1546" s="38"/>
      <c r="AF1546" s="38"/>
      <c r="AG1546" s="38"/>
      <c r="AH1546" s="38"/>
      <c r="AI1546" s="38"/>
      <c r="AJ1546" s="38"/>
      <c r="AK1546" s="38"/>
      <c r="AL1546" s="38"/>
      <c r="AM1546" s="38"/>
      <c r="AN1546" s="38"/>
      <c r="AO1546" s="38"/>
      <c r="AP1546" s="38"/>
      <c r="AQ1546" s="38"/>
      <c r="AR1546" s="38"/>
      <c r="AS1546" s="38"/>
      <c r="AT1546" s="38"/>
      <c r="AU1546" s="38"/>
      <c r="AV1546" s="38"/>
      <c r="AW1546" s="38"/>
      <c r="AX1546" s="38"/>
      <c r="AY1546" s="38"/>
      <c r="AZ1546" s="38"/>
      <c r="BA1546" s="38"/>
      <c r="BB1546" s="38"/>
      <c r="BC1546" s="38"/>
      <c r="BD1546" s="38"/>
      <c r="BE1546" s="38"/>
      <c r="BF1546" s="38"/>
      <c r="BG1546" s="38"/>
      <c r="BH1546" s="38"/>
      <c r="BI1546" s="38"/>
      <c r="BJ1546" s="38"/>
      <c r="BK1546" s="38"/>
      <c r="BL1546" s="38"/>
      <c r="BM1546" s="38"/>
      <c r="BN1546" s="38"/>
      <c r="BO1546" s="38"/>
      <c r="BP1546" s="38"/>
      <c r="BQ1546" s="38"/>
    </row>
    <row r="1547">
      <c r="A1547" s="78" t="s">
        <v>4470</v>
      </c>
      <c r="B1547" s="59">
        <v>43308.0</v>
      </c>
      <c r="C1547" s="59">
        <v>43308.0</v>
      </c>
      <c r="D1547" s="60" t="s">
        <v>4468</v>
      </c>
      <c r="E1547" s="58" t="s">
        <v>31</v>
      </c>
      <c r="F1547" s="58">
        <v>1.0</v>
      </c>
      <c r="G1547" s="58" t="s">
        <v>32</v>
      </c>
      <c r="H1547" s="33">
        <f t="shared" si="232"/>
        <v>1</v>
      </c>
      <c r="I1547" s="58" t="s">
        <v>33</v>
      </c>
      <c r="J1547" s="58" t="s">
        <v>147</v>
      </c>
      <c r="K1547" s="58">
        <v>1.0</v>
      </c>
      <c r="L1547" s="58" t="s">
        <v>52</v>
      </c>
      <c r="M1547" s="61" t="s">
        <v>4471</v>
      </c>
      <c r="N1547" s="77"/>
      <c r="O1547" s="62"/>
      <c r="P1547" s="62"/>
      <c r="Q1547" s="62"/>
      <c r="R1547" s="62"/>
      <c r="S1547" s="37" t="str">
        <f>IFERROR(__xludf.DUMMYFUNCTION("if(not(iserror(index(split(C1547, "" ""),2))), index(split(C1547, "" ""),1),"""")"),"July")</f>
        <v>July</v>
      </c>
      <c r="T1547" s="38">
        <f>IFERROR(__xludf.DUMMYFUNCTION("if(S1547="""",C1547,if(not(iserror(index(split(C1547, "" ""),3))), index(split(C1547, "" ""),3),index(split(C1547, "" ""),2)))"),2018.0)</f>
        <v>2018</v>
      </c>
      <c r="U1547" s="38" t="b">
        <f t="shared" si="228"/>
        <v>0</v>
      </c>
      <c r="V1547" s="38"/>
      <c r="W1547" s="40"/>
      <c r="X1547" s="40"/>
      <c r="Y1547" s="40"/>
      <c r="Z1547" s="38"/>
      <c r="AA1547" s="38"/>
      <c r="AB1547" s="38"/>
      <c r="AC1547" s="38"/>
      <c r="AD1547" s="38"/>
      <c r="AE1547" s="38"/>
      <c r="AF1547" s="38"/>
      <c r="AG1547" s="38"/>
      <c r="AH1547" s="38"/>
      <c r="AI1547" s="38"/>
      <c r="AJ1547" s="38"/>
      <c r="AK1547" s="38"/>
      <c r="AL1547" s="38"/>
      <c r="AM1547" s="38"/>
      <c r="AN1547" s="38"/>
      <c r="AO1547" s="38"/>
      <c r="AP1547" s="38"/>
      <c r="AQ1547" s="38"/>
      <c r="AR1547" s="38"/>
      <c r="AS1547" s="38"/>
      <c r="AT1547" s="38"/>
      <c r="AU1547" s="38"/>
      <c r="AV1547" s="38"/>
      <c r="AW1547" s="38"/>
      <c r="AX1547" s="38"/>
      <c r="AY1547" s="38"/>
      <c r="AZ1547" s="38"/>
      <c r="BA1547" s="38"/>
      <c r="BB1547" s="38"/>
      <c r="BC1547" s="38"/>
      <c r="BD1547" s="38"/>
      <c r="BE1547" s="38"/>
      <c r="BF1547" s="38"/>
      <c r="BG1547" s="38"/>
      <c r="BH1547" s="38"/>
      <c r="BI1547" s="38"/>
      <c r="BJ1547" s="38"/>
      <c r="BK1547" s="38"/>
      <c r="BL1547" s="38"/>
      <c r="BM1547" s="38"/>
      <c r="BN1547" s="38"/>
      <c r="BO1547" s="38"/>
      <c r="BP1547" s="38"/>
      <c r="BQ1547" s="38"/>
    </row>
    <row r="1548">
      <c r="A1548" s="78" t="s">
        <v>660</v>
      </c>
      <c r="B1548" s="59">
        <v>43308.0</v>
      </c>
      <c r="C1548" s="59">
        <v>43308.0</v>
      </c>
      <c r="D1548" s="60" t="s">
        <v>4468</v>
      </c>
      <c r="E1548" s="58" t="s">
        <v>41</v>
      </c>
      <c r="F1548" s="58">
        <v>8.0</v>
      </c>
      <c r="G1548" s="58" t="s">
        <v>32</v>
      </c>
      <c r="H1548" s="33">
        <f t="shared" si="232"/>
        <v>1</v>
      </c>
      <c r="I1548" s="58" t="s">
        <v>33</v>
      </c>
      <c r="J1548" s="58" t="s">
        <v>93</v>
      </c>
      <c r="K1548" s="58">
        <v>1.0</v>
      </c>
      <c r="L1548" s="58" t="s">
        <v>52</v>
      </c>
      <c r="M1548" s="61" t="s">
        <v>4472</v>
      </c>
      <c r="N1548" s="77"/>
      <c r="O1548" s="62"/>
      <c r="P1548" s="62"/>
      <c r="Q1548" s="62"/>
      <c r="R1548" s="62"/>
      <c r="S1548" s="37" t="str">
        <f>IFERROR(__xludf.DUMMYFUNCTION("if(not(iserror(index(split(C1548, "" ""),2))), index(split(C1548, "" ""),1),"""")"),"July")</f>
        <v>July</v>
      </c>
      <c r="T1548" s="38">
        <f>IFERROR(__xludf.DUMMYFUNCTION("if(S1548="""",C1548,if(not(iserror(index(split(C1548, "" ""),3))), index(split(C1548, "" ""),3),index(split(C1548, "" ""),2)))"),2018.0)</f>
        <v>2018</v>
      </c>
      <c r="U1548" s="38" t="b">
        <f t="shared" si="228"/>
        <v>1</v>
      </c>
      <c r="V1548" s="38"/>
      <c r="W1548" s="40"/>
      <c r="X1548" s="40"/>
      <c r="Y1548" s="40"/>
      <c r="Z1548" s="38"/>
      <c r="AA1548" s="38"/>
      <c r="AB1548" s="38"/>
      <c r="AC1548" s="38"/>
      <c r="AD1548" s="38"/>
      <c r="AE1548" s="38"/>
      <c r="AF1548" s="38"/>
      <c r="AG1548" s="38"/>
      <c r="AH1548" s="38"/>
      <c r="AI1548" s="38"/>
      <c r="AJ1548" s="38"/>
      <c r="AK1548" s="38"/>
      <c r="AL1548" s="38"/>
      <c r="AM1548" s="38"/>
      <c r="AN1548" s="38"/>
      <c r="AO1548" s="38"/>
      <c r="AP1548" s="38"/>
      <c r="AQ1548" s="38"/>
      <c r="AR1548" s="38"/>
      <c r="AS1548" s="38"/>
      <c r="AT1548" s="38"/>
      <c r="AU1548" s="38"/>
      <c r="AV1548" s="38"/>
      <c r="AW1548" s="38"/>
      <c r="AX1548" s="38"/>
      <c r="AY1548" s="38"/>
      <c r="AZ1548" s="38"/>
      <c r="BA1548" s="38"/>
      <c r="BB1548" s="38"/>
      <c r="BC1548" s="38"/>
      <c r="BD1548" s="38"/>
      <c r="BE1548" s="38"/>
      <c r="BF1548" s="38"/>
      <c r="BG1548" s="38"/>
      <c r="BH1548" s="38"/>
      <c r="BI1548" s="38"/>
      <c r="BJ1548" s="38"/>
      <c r="BK1548" s="38"/>
      <c r="BL1548" s="38"/>
      <c r="BM1548" s="38"/>
      <c r="BN1548" s="38"/>
      <c r="BO1548" s="38"/>
      <c r="BP1548" s="38"/>
      <c r="BQ1548" s="38"/>
    </row>
    <row r="1549">
      <c r="A1549" s="58" t="s">
        <v>239</v>
      </c>
      <c r="B1549" s="59">
        <v>43311.0</v>
      </c>
      <c r="C1549" s="59">
        <v>43308.0</v>
      </c>
      <c r="D1549" s="60" t="s">
        <v>4468</v>
      </c>
      <c r="E1549" s="58" t="s">
        <v>41</v>
      </c>
      <c r="F1549" s="58">
        <v>1.0</v>
      </c>
      <c r="G1549" s="58">
        <v>14.0</v>
      </c>
      <c r="H1549" s="33">
        <f t="shared" si="232"/>
        <v>14</v>
      </c>
      <c r="I1549" s="58" t="s">
        <v>33</v>
      </c>
      <c r="J1549" s="58" t="s">
        <v>147</v>
      </c>
      <c r="K1549" s="58">
        <v>1.0</v>
      </c>
      <c r="L1549" s="58" t="s">
        <v>194</v>
      </c>
      <c r="M1549" s="61" t="s">
        <v>4473</v>
      </c>
      <c r="N1549" s="77"/>
      <c r="O1549" s="62"/>
      <c r="P1549" s="62"/>
      <c r="Q1549" s="62"/>
      <c r="R1549" s="62"/>
      <c r="S1549" s="37" t="str">
        <f>IFERROR(__xludf.DUMMYFUNCTION("if(not(iserror(index(split(C1549, "" ""),2))), index(split(C1549, "" ""),1),"""")"),"July")</f>
        <v>July</v>
      </c>
      <c r="T1549" s="38">
        <f>IFERROR(__xludf.DUMMYFUNCTION("if(S1549="""",C1549,if(not(iserror(index(split(C1549, "" ""),3))), index(split(C1549, "" ""),3),index(split(C1549, "" ""),2)))"),2018.0)</f>
        <v>2018</v>
      </c>
      <c r="U1549" s="38" t="b">
        <f t="shared" si="228"/>
        <v>1</v>
      </c>
      <c r="V1549" s="38"/>
      <c r="W1549" s="40"/>
      <c r="X1549" s="40"/>
      <c r="Y1549" s="40"/>
      <c r="Z1549" s="38"/>
      <c r="AA1549" s="38"/>
      <c r="AB1549" s="38"/>
      <c r="AC1549" s="38"/>
      <c r="AD1549" s="38"/>
      <c r="AE1549" s="38"/>
      <c r="AF1549" s="38"/>
      <c r="AG1549" s="38"/>
      <c r="AH1549" s="38"/>
      <c r="AI1549" s="38"/>
      <c r="AJ1549" s="38"/>
      <c r="AK1549" s="38"/>
      <c r="AL1549" s="38"/>
      <c r="AM1549" s="38"/>
      <c r="AN1549" s="38"/>
      <c r="AO1549" s="38"/>
      <c r="AP1549" s="38"/>
      <c r="AQ1549" s="38"/>
      <c r="AR1549" s="38"/>
      <c r="AS1549" s="38"/>
      <c r="AT1549" s="38"/>
      <c r="AU1549" s="38"/>
      <c r="AV1549" s="38"/>
      <c r="AW1549" s="38"/>
      <c r="AX1549" s="38"/>
      <c r="AY1549" s="38"/>
      <c r="AZ1549" s="38"/>
      <c r="BA1549" s="38"/>
      <c r="BB1549" s="38"/>
      <c r="BC1549" s="38"/>
      <c r="BD1549" s="38"/>
      <c r="BE1549" s="38"/>
      <c r="BF1549" s="38"/>
      <c r="BG1549" s="38"/>
      <c r="BH1549" s="38"/>
      <c r="BI1549" s="38"/>
      <c r="BJ1549" s="38"/>
      <c r="BK1549" s="38"/>
      <c r="BL1549" s="38"/>
      <c r="BM1549" s="38"/>
      <c r="BN1549" s="38"/>
      <c r="BO1549" s="38"/>
      <c r="BP1549" s="38"/>
      <c r="BQ1549" s="38"/>
    </row>
    <row r="1550">
      <c r="A1550" s="58" t="s">
        <v>239</v>
      </c>
      <c r="B1550" s="59">
        <v>43311.0</v>
      </c>
      <c r="C1550" s="59">
        <v>43309.0</v>
      </c>
      <c r="D1550" s="60" t="s">
        <v>4474</v>
      </c>
      <c r="E1550" s="58" t="s">
        <v>41</v>
      </c>
      <c r="F1550" s="58">
        <v>1.0</v>
      </c>
      <c r="G1550" s="58">
        <v>5.0</v>
      </c>
      <c r="H1550" s="33">
        <f t="shared" si="232"/>
        <v>5</v>
      </c>
      <c r="I1550" s="58" t="s">
        <v>33</v>
      </c>
      <c r="J1550" s="58" t="s">
        <v>147</v>
      </c>
      <c r="K1550" s="58">
        <v>1.0</v>
      </c>
      <c r="L1550" s="58" t="s">
        <v>194</v>
      </c>
      <c r="M1550" s="61" t="s">
        <v>4475</v>
      </c>
      <c r="N1550" s="77"/>
      <c r="O1550" s="62"/>
      <c r="P1550" s="62"/>
      <c r="Q1550" s="62"/>
      <c r="R1550" s="62"/>
      <c r="S1550" s="37" t="str">
        <f>IFERROR(__xludf.DUMMYFUNCTION("if(not(iserror(index(split(C1550, "" ""),2))), index(split(C1550, "" ""),1),"""")"),"July")</f>
        <v>July</v>
      </c>
      <c r="T1550" s="38">
        <f>IFERROR(__xludf.DUMMYFUNCTION("if(S1550="""",C1550,if(not(iserror(index(split(C1550, "" ""),3))), index(split(C1550, "" ""),3),index(split(C1550, "" ""),2)))"),2018.0)</f>
        <v>2018</v>
      </c>
      <c r="U1550" s="38" t="b">
        <f t="shared" si="228"/>
        <v>1</v>
      </c>
      <c r="V1550" s="38"/>
      <c r="W1550" s="40"/>
      <c r="X1550" s="40"/>
      <c r="Y1550" s="40"/>
      <c r="Z1550" s="38"/>
      <c r="AA1550" s="38"/>
      <c r="AB1550" s="38"/>
      <c r="AC1550" s="38"/>
      <c r="AD1550" s="38"/>
      <c r="AE1550" s="38"/>
      <c r="AF1550" s="38"/>
      <c r="AG1550" s="38"/>
      <c r="AH1550" s="38"/>
      <c r="AI1550" s="38"/>
      <c r="AJ1550" s="38"/>
      <c r="AK1550" s="38"/>
      <c r="AL1550" s="38"/>
      <c r="AM1550" s="38"/>
      <c r="AN1550" s="38"/>
      <c r="AO1550" s="38"/>
      <c r="AP1550" s="38"/>
      <c r="AQ1550" s="38"/>
      <c r="AR1550" s="38"/>
      <c r="AS1550" s="38"/>
      <c r="AT1550" s="38"/>
      <c r="AU1550" s="38"/>
      <c r="AV1550" s="38"/>
      <c r="AW1550" s="38"/>
      <c r="AX1550" s="38"/>
      <c r="AY1550" s="38"/>
      <c r="AZ1550" s="38"/>
      <c r="BA1550" s="38"/>
      <c r="BB1550" s="38"/>
      <c r="BC1550" s="38"/>
      <c r="BD1550" s="38"/>
      <c r="BE1550" s="38"/>
      <c r="BF1550" s="38"/>
      <c r="BG1550" s="38"/>
      <c r="BH1550" s="38"/>
      <c r="BI1550" s="38"/>
      <c r="BJ1550" s="38"/>
      <c r="BK1550" s="38"/>
      <c r="BL1550" s="38"/>
      <c r="BM1550" s="38"/>
      <c r="BN1550" s="38"/>
      <c r="BO1550" s="38"/>
      <c r="BP1550" s="38"/>
      <c r="BQ1550" s="38"/>
    </row>
    <row r="1551">
      <c r="A1551" s="58" t="s">
        <v>239</v>
      </c>
      <c r="B1551" s="59">
        <v>43311.0</v>
      </c>
      <c r="C1551" s="59">
        <v>43309.0</v>
      </c>
      <c r="D1551" s="60" t="s">
        <v>4474</v>
      </c>
      <c r="E1551" s="58" t="s">
        <v>41</v>
      </c>
      <c r="F1551" s="58">
        <v>1.0</v>
      </c>
      <c r="G1551" s="58">
        <v>4.0</v>
      </c>
      <c r="H1551" s="33">
        <f t="shared" si="232"/>
        <v>4</v>
      </c>
      <c r="I1551" s="58" t="s">
        <v>33</v>
      </c>
      <c r="J1551" s="58" t="s">
        <v>147</v>
      </c>
      <c r="K1551" s="58">
        <v>1.0</v>
      </c>
      <c r="L1551" s="58" t="s">
        <v>194</v>
      </c>
      <c r="M1551" s="61" t="s">
        <v>4475</v>
      </c>
      <c r="N1551" s="77"/>
      <c r="O1551" s="62"/>
      <c r="P1551" s="62"/>
      <c r="Q1551" s="62"/>
      <c r="R1551" s="62"/>
      <c r="S1551" s="37" t="str">
        <f>IFERROR(__xludf.DUMMYFUNCTION("if(not(iserror(index(split(C1551, "" ""),2))), index(split(C1551, "" ""),1),"""")"),"July")</f>
        <v>July</v>
      </c>
      <c r="T1551" s="38">
        <f>IFERROR(__xludf.DUMMYFUNCTION("if(S1551="""",C1551,if(not(iserror(index(split(C1551, "" ""),3))), index(split(C1551, "" ""),3),index(split(C1551, "" ""),2)))"),2018.0)</f>
        <v>2018</v>
      </c>
      <c r="U1551" s="38" t="b">
        <f t="shared" si="228"/>
        <v>1</v>
      </c>
      <c r="V1551" s="38"/>
      <c r="W1551" s="40"/>
      <c r="X1551" s="40"/>
      <c r="Y1551" s="40"/>
      <c r="Z1551" s="38"/>
      <c r="AA1551" s="38"/>
      <c r="AB1551" s="38"/>
      <c r="AC1551" s="38"/>
      <c r="AD1551" s="38"/>
      <c r="AE1551" s="38"/>
      <c r="AF1551" s="38"/>
      <c r="AG1551" s="38"/>
      <c r="AH1551" s="38"/>
      <c r="AI1551" s="38"/>
      <c r="AJ1551" s="38"/>
      <c r="AK1551" s="38"/>
      <c r="AL1551" s="38"/>
      <c r="AM1551" s="38"/>
      <c r="AN1551" s="38"/>
      <c r="AO1551" s="38"/>
      <c r="AP1551" s="38"/>
      <c r="AQ1551" s="38"/>
      <c r="AR1551" s="38"/>
      <c r="AS1551" s="38"/>
      <c r="AT1551" s="38"/>
      <c r="AU1551" s="38"/>
      <c r="AV1551" s="38"/>
      <c r="AW1551" s="38"/>
      <c r="AX1551" s="38"/>
      <c r="AY1551" s="38"/>
      <c r="AZ1551" s="38"/>
      <c r="BA1551" s="38"/>
      <c r="BB1551" s="38"/>
      <c r="BC1551" s="38"/>
      <c r="BD1551" s="38"/>
      <c r="BE1551" s="38"/>
      <c r="BF1551" s="38"/>
      <c r="BG1551" s="38"/>
      <c r="BH1551" s="38"/>
      <c r="BI1551" s="38"/>
      <c r="BJ1551" s="38"/>
      <c r="BK1551" s="38"/>
      <c r="BL1551" s="38"/>
      <c r="BM1551" s="38"/>
      <c r="BN1551" s="38"/>
      <c r="BO1551" s="38"/>
      <c r="BP1551" s="38"/>
      <c r="BQ1551" s="38"/>
    </row>
    <row r="1552">
      <c r="A1552" s="58" t="s">
        <v>239</v>
      </c>
      <c r="B1552" s="59">
        <v>43315.0</v>
      </c>
      <c r="C1552" s="59">
        <v>43309.0</v>
      </c>
      <c r="D1552" s="60" t="s">
        <v>4435</v>
      </c>
      <c r="E1552" s="58" t="s">
        <v>41</v>
      </c>
      <c r="F1552" s="58">
        <v>2.0</v>
      </c>
      <c r="G1552" s="58" t="s">
        <v>32</v>
      </c>
      <c r="H1552" s="33">
        <f t="shared" si="232"/>
        <v>1</v>
      </c>
      <c r="I1552" s="58" t="s">
        <v>33</v>
      </c>
      <c r="J1552" s="58" t="s">
        <v>504</v>
      </c>
      <c r="K1552" s="58">
        <v>1.0</v>
      </c>
      <c r="L1552" s="58" t="s">
        <v>52</v>
      </c>
      <c r="M1552" s="61" t="s">
        <v>4476</v>
      </c>
      <c r="N1552" s="77"/>
      <c r="O1552" s="62"/>
      <c r="P1552" s="62"/>
      <c r="Q1552" s="62"/>
      <c r="R1552" s="62"/>
      <c r="S1552" s="37" t="str">
        <f>IFERROR(__xludf.DUMMYFUNCTION("if(not(iserror(index(split(C1552, "" ""),2))), index(split(C1552, "" ""),1),"""")"),"July")</f>
        <v>July</v>
      </c>
      <c r="T1552" s="38">
        <f>IFERROR(__xludf.DUMMYFUNCTION("if(S1552="""",C1552,if(not(iserror(index(split(C1552, "" ""),3))), index(split(C1552, "" ""),3),index(split(C1552, "" ""),2)))"),2018.0)</f>
        <v>2018</v>
      </c>
      <c r="U1552" s="38" t="b">
        <f t="shared" si="228"/>
        <v>1</v>
      </c>
      <c r="V1552" s="38"/>
      <c r="W1552" s="40"/>
      <c r="X1552" s="40"/>
      <c r="Y1552" s="40"/>
      <c r="Z1552" s="38"/>
      <c r="AA1552" s="38"/>
      <c r="AB1552" s="38"/>
      <c r="AC1552" s="38"/>
      <c r="AD1552" s="38"/>
      <c r="AE1552" s="38"/>
      <c r="AF1552" s="38"/>
      <c r="AG1552" s="38"/>
      <c r="AH1552" s="38"/>
      <c r="AI1552" s="38"/>
      <c r="AJ1552" s="38"/>
      <c r="AK1552" s="38"/>
      <c r="AL1552" s="38"/>
      <c r="AM1552" s="38"/>
      <c r="AN1552" s="38"/>
      <c r="AO1552" s="38"/>
      <c r="AP1552" s="38"/>
      <c r="AQ1552" s="38"/>
      <c r="AR1552" s="38"/>
      <c r="AS1552" s="38"/>
      <c r="AT1552" s="38"/>
      <c r="AU1552" s="38"/>
      <c r="AV1552" s="38"/>
      <c r="AW1552" s="38"/>
      <c r="AX1552" s="38"/>
      <c r="AY1552" s="38"/>
      <c r="AZ1552" s="38"/>
      <c r="BA1552" s="38"/>
      <c r="BB1552" s="38"/>
      <c r="BC1552" s="38"/>
      <c r="BD1552" s="38"/>
      <c r="BE1552" s="38"/>
      <c r="BF1552" s="38"/>
      <c r="BG1552" s="38"/>
      <c r="BH1552" s="38"/>
      <c r="BI1552" s="38"/>
      <c r="BJ1552" s="38"/>
      <c r="BK1552" s="38"/>
      <c r="BL1552" s="38"/>
      <c r="BM1552" s="38"/>
      <c r="BN1552" s="38"/>
      <c r="BO1552" s="38"/>
      <c r="BP1552" s="38"/>
      <c r="BQ1552" s="38"/>
    </row>
    <row r="1553">
      <c r="A1553" s="78" t="s">
        <v>239</v>
      </c>
      <c r="B1553" s="59">
        <v>43310.0</v>
      </c>
      <c r="C1553" s="59">
        <v>43310.0</v>
      </c>
      <c r="D1553" s="60" t="s">
        <v>4460</v>
      </c>
      <c r="E1553" s="58" t="s">
        <v>41</v>
      </c>
      <c r="F1553" s="58">
        <v>2.0</v>
      </c>
      <c r="G1553" s="58" t="s">
        <v>32</v>
      </c>
      <c r="H1553" s="33">
        <f t="shared" si="232"/>
        <v>1</v>
      </c>
      <c r="I1553" s="58" t="s">
        <v>33</v>
      </c>
      <c r="J1553" s="58" t="s">
        <v>241</v>
      </c>
      <c r="K1553" s="58">
        <v>1.0</v>
      </c>
      <c r="L1553" s="58" t="s">
        <v>194</v>
      </c>
      <c r="M1553" s="61" t="s">
        <v>4477</v>
      </c>
      <c r="N1553" s="77"/>
      <c r="O1553" s="62"/>
      <c r="P1553" s="62"/>
      <c r="Q1553" s="62"/>
      <c r="R1553" s="62"/>
      <c r="S1553" s="37" t="str">
        <f>IFERROR(__xludf.DUMMYFUNCTION("if(not(iserror(index(split(C1553, "" ""),2))), index(split(C1553, "" ""),1),"""")"),"July")</f>
        <v>July</v>
      </c>
      <c r="T1553" s="38">
        <f>IFERROR(__xludf.DUMMYFUNCTION("if(S1553="""",C1553,if(not(iserror(index(split(C1553, "" ""),3))), index(split(C1553, "" ""),3),index(split(C1553, "" ""),2)))"),2018.0)</f>
        <v>2018</v>
      </c>
      <c r="U1553" s="38" t="b">
        <f t="shared" si="228"/>
        <v>1</v>
      </c>
      <c r="V1553" s="38"/>
      <c r="W1553" s="40"/>
      <c r="X1553" s="40"/>
      <c r="Y1553" s="40"/>
      <c r="Z1553" s="38"/>
      <c r="AA1553" s="38"/>
      <c r="AB1553" s="38"/>
      <c r="AC1553" s="38"/>
      <c r="AD1553" s="38"/>
      <c r="AE1553" s="38"/>
      <c r="AF1553" s="38"/>
      <c r="AG1553" s="38"/>
      <c r="AH1553" s="38"/>
      <c r="AI1553" s="38"/>
      <c r="AJ1553" s="38"/>
      <c r="AK1553" s="38"/>
      <c r="AL1553" s="38"/>
      <c r="AM1553" s="38"/>
      <c r="AN1553" s="38"/>
      <c r="AO1553" s="38"/>
      <c r="AP1553" s="38"/>
      <c r="AQ1553" s="38"/>
      <c r="AR1553" s="38"/>
      <c r="AS1553" s="38"/>
      <c r="AT1553" s="38"/>
      <c r="AU1553" s="38"/>
      <c r="AV1553" s="38"/>
      <c r="AW1553" s="38"/>
      <c r="AX1553" s="38"/>
      <c r="AY1553" s="38"/>
      <c r="AZ1553" s="38"/>
      <c r="BA1553" s="38"/>
      <c r="BB1553" s="38"/>
      <c r="BC1553" s="38"/>
      <c r="BD1553" s="38"/>
      <c r="BE1553" s="38"/>
      <c r="BF1553" s="38"/>
      <c r="BG1553" s="38"/>
      <c r="BH1553" s="38"/>
      <c r="BI1553" s="38"/>
      <c r="BJ1553" s="38"/>
      <c r="BK1553" s="38"/>
      <c r="BL1553" s="38"/>
      <c r="BM1553" s="38"/>
      <c r="BN1553" s="38"/>
      <c r="BO1553" s="38"/>
      <c r="BP1553" s="38"/>
      <c r="BQ1553" s="38"/>
    </row>
    <row r="1554">
      <c r="A1554" s="58" t="s">
        <v>239</v>
      </c>
      <c r="B1554" s="59">
        <v>43311.0</v>
      </c>
      <c r="C1554" s="59">
        <v>43310.0</v>
      </c>
      <c r="D1554" s="60" t="s">
        <v>4460</v>
      </c>
      <c r="E1554" s="58" t="s">
        <v>41</v>
      </c>
      <c r="F1554" s="58">
        <v>1.0</v>
      </c>
      <c r="G1554" s="58">
        <v>3.0</v>
      </c>
      <c r="H1554" s="33">
        <f t="shared" si="232"/>
        <v>3</v>
      </c>
      <c r="I1554" s="58" t="s">
        <v>33</v>
      </c>
      <c r="J1554" s="58" t="s">
        <v>147</v>
      </c>
      <c r="K1554" s="58">
        <v>1.0</v>
      </c>
      <c r="L1554" s="58" t="s">
        <v>194</v>
      </c>
      <c r="M1554" s="61" t="s">
        <v>4473</v>
      </c>
      <c r="N1554" s="77"/>
      <c r="O1554" s="62"/>
      <c r="P1554" s="62"/>
      <c r="Q1554" s="62"/>
      <c r="R1554" s="62"/>
      <c r="S1554" s="37" t="str">
        <f>IFERROR(__xludf.DUMMYFUNCTION("if(not(iserror(index(split(C1554, "" ""),2))), index(split(C1554, "" ""),1),"""")"),"July")</f>
        <v>July</v>
      </c>
      <c r="T1554" s="38">
        <f>IFERROR(__xludf.DUMMYFUNCTION("if(S1554="""",C1554,if(not(iserror(index(split(C1554, "" ""),3))), index(split(C1554, "" ""),3),index(split(C1554, "" ""),2)))"),2018.0)</f>
        <v>2018</v>
      </c>
      <c r="U1554" s="38" t="b">
        <f t="shared" si="228"/>
        <v>1</v>
      </c>
      <c r="V1554" s="38"/>
      <c r="W1554" s="40"/>
      <c r="X1554" s="40"/>
      <c r="Y1554" s="40"/>
      <c r="Z1554" s="38"/>
      <c r="AA1554" s="38"/>
      <c r="AB1554" s="38"/>
      <c r="AC1554" s="38"/>
      <c r="AD1554" s="38"/>
      <c r="AE1554" s="38"/>
      <c r="AF1554" s="38"/>
      <c r="AG1554" s="38"/>
      <c r="AH1554" s="38"/>
      <c r="AI1554" s="38"/>
      <c r="AJ1554" s="38"/>
      <c r="AK1554" s="38"/>
      <c r="AL1554" s="38"/>
      <c r="AM1554" s="38"/>
      <c r="AN1554" s="38"/>
      <c r="AO1554" s="38"/>
      <c r="AP1554" s="38"/>
      <c r="AQ1554" s="38"/>
      <c r="AR1554" s="38"/>
      <c r="AS1554" s="38"/>
      <c r="AT1554" s="38"/>
      <c r="AU1554" s="38"/>
      <c r="AV1554" s="38"/>
      <c r="AW1554" s="38"/>
      <c r="AX1554" s="38"/>
      <c r="AY1554" s="38"/>
      <c r="AZ1554" s="38"/>
      <c r="BA1554" s="38"/>
      <c r="BB1554" s="38"/>
      <c r="BC1554" s="38"/>
      <c r="BD1554" s="38"/>
      <c r="BE1554" s="38"/>
      <c r="BF1554" s="38"/>
      <c r="BG1554" s="38"/>
      <c r="BH1554" s="38"/>
      <c r="BI1554" s="38"/>
      <c r="BJ1554" s="38"/>
      <c r="BK1554" s="38"/>
      <c r="BL1554" s="38"/>
      <c r="BM1554" s="38"/>
      <c r="BN1554" s="38"/>
      <c r="BO1554" s="38"/>
      <c r="BP1554" s="38"/>
      <c r="BQ1554" s="38"/>
    </row>
    <row r="1555">
      <c r="A1555" s="58" t="s">
        <v>239</v>
      </c>
      <c r="B1555" s="59">
        <v>43311.0</v>
      </c>
      <c r="C1555" s="59">
        <v>43310.0</v>
      </c>
      <c r="D1555" s="60" t="s">
        <v>4460</v>
      </c>
      <c r="E1555" s="58" t="s">
        <v>41</v>
      </c>
      <c r="F1555" s="58">
        <v>1.0</v>
      </c>
      <c r="G1555" s="58">
        <v>3.0</v>
      </c>
      <c r="H1555" s="33">
        <f t="shared" si="232"/>
        <v>3</v>
      </c>
      <c r="I1555" s="58" t="s">
        <v>33</v>
      </c>
      <c r="J1555" s="58" t="s">
        <v>147</v>
      </c>
      <c r="K1555" s="58">
        <v>1.0</v>
      </c>
      <c r="L1555" s="58" t="s">
        <v>194</v>
      </c>
      <c r="M1555" s="61" t="s">
        <v>4475</v>
      </c>
      <c r="N1555" s="77"/>
      <c r="O1555" s="62"/>
      <c r="P1555" s="62"/>
      <c r="Q1555" s="62"/>
      <c r="R1555" s="62"/>
      <c r="S1555" s="37" t="str">
        <f>IFERROR(__xludf.DUMMYFUNCTION("if(not(iserror(index(split(C1555, "" ""),2))), index(split(C1555, "" ""),1),"""")"),"July")</f>
        <v>July</v>
      </c>
      <c r="T1555" s="38">
        <f>IFERROR(__xludf.DUMMYFUNCTION("if(S1555="""",C1555,if(not(iserror(index(split(C1555, "" ""),3))), index(split(C1555, "" ""),3),index(split(C1555, "" ""),2)))"),2018.0)</f>
        <v>2018</v>
      </c>
      <c r="U1555" s="38" t="b">
        <f t="shared" si="228"/>
        <v>1</v>
      </c>
      <c r="V1555" s="38"/>
      <c r="W1555" s="40"/>
      <c r="X1555" s="40"/>
      <c r="Y1555" s="40"/>
      <c r="Z1555" s="38"/>
      <c r="AA1555" s="38"/>
      <c r="AB1555" s="38"/>
      <c r="AC1555" s="38"/>
      <c r="AD1555" s="38"/>
      <c r="AE1555" s="38"/>
      <c r="AF1555" s="38"/>
      <c r="AG1555" s="38"/>
      <c r="AH1555" s="38"/>
      <c r="AI1555" s="38"/>
      <c r="AJ1555" s="38"/>
      <c r="AK1555" s="38"/>
      <c r="AL1555" s="38"/>
      <c r="AM1555" s="38"/>
      <c r="AN1555" s="38"/>
      <c r="AO1555" s="38"/>
      <c r="AP1555" s="38"/>
      <c r="AQ1555" s="38"/>
      <c r="AR1555" s="38"/>
      <c r="AS1555" s="38"/>
      <c r="AT1555" s="38"/>
      <c r="AU1555" s="38"/>
      <c r="AV1555" s="38"/>
      <c r="AW1555" s="38"/>
      <c r="AX1555" s="38"/>
      <c r="AY1555" s="38"/>
      <c r="AZ1555" s="38"/>
      <c r="BA1555" s="38"/>
      <c r="BB1555" s="38"/>
      <c r="BC1555" s="38"/>
      <c r="BD1555" s="38"/>
      <c r="BE1555" s="38"/>
      <c r="BF1555" s="38"/>
      <c r="BG1555" s="38"/>
      <c r="BH1555" s="38"/>
      <c r="BI1555" s="38"/>
      <c r="BJ1555" s="38"/>
      <c r="BK1555" s="38"/>
      <c r="BL1555" s="38"/>
      <c r="BM1555" s="38"/>
      <c r="BN1555" s="38"/>
      <c r="BO1555" s="38"/>
      <c r="BP1555" s="38"/>
      <c r="BQ1555" s="38"/>
    </row>
    <row r="1556">
      <c r="A1556" s="58" t="s">
        <v>239</v>
      </c>
      <c r="B1556" s="59">
        <v>43311.0</v>
      </c>
      <c r="C1556" s="59">
        <v>43310.0</v>
      </c>
      <c r="D1556" s="60" t="s">
        <v>4460</v>
      </c>
      <c r="E1556" s="58" t="s">
        <v>41</v>
      </c>
      <c r="F1556" s="58">
        <v>2.0</v>
      </c>
      <c r="G1556" s="58">
        <v>2.0</v>
      </c>
      <c r="H1556" s="33">
        <f t="shared" si="232"/>
        <v>2</v>
      </c>
      <c r="I1556" s="58" t="s">
        <v>33</v>
      </c>
      <c r="J1556" s="58" t="s">
        <v>241</v>
      </c>
      <c r="K1556" s="58">
        <v>1.0</v>
      </c>
      <c r="L1556" s="58" t="s">
        <v>194</v>
      </c>
      <c r="M1556" s="61" t="s">
        <v>4478</v>
      </c>
      <c r="N1556" s="77"/>
      <c r="O1556" s="62"/>
      <c r="P1556" s="62"/>
      <c r="Q1556" s="62"/>
      <c r="R1556" s="62"/>
      <c r="S1556" s="37" t="str">
        <f>IFERROR(__xludf.DUMMYFUNCTION("if(not(iserror(index(split(C1556, "" ""),2))), index(split(C1556, "" ""),1),"""")"),"July")</f>
        <v>July</v>
      </c>
      <c r="T1556" s="38">
        <f>IFERROR(__xludf.DUMMYFUNCTION("if(S1556="""",C1556,if(not(iserror(index(split(C1556, "" ""),3))), index(split(C1556, "" ""),3),index(split(C1556, "" ""),2)))"),2018.0)</f>
        <v>2018</v>
      </c>
      <c r="U1556" s="38" t="b">
        <f t="shared" si="228"/>
        <v>1</v>
      </c>
      <c r="V1556" s="38"/>
      <c r="W1556" s="40"/>
      <c r="X1556" s="40"/>
      <c r="Y1556" s="40"/>
      <c r="Z1556" s="38"/>
      <c r="AA1556" s="38"/>
      <c r="AB1556" s="38"/>
      <c r="AC1556" s="38"/>
      <c r="AD1556" s="38"/>
      <c r="AE1556" s="38"/>
      <c r="AF1556" s="38"/>
      <c r="AG1556" s="38"/>
      <c r="AH1556" s="38"/>
      <c r="AI1556" s="38"/>
      <c r="AJ1556" s="38"/>
      <c r="AK1556" s="38"/>
      <c r="AL1556" s="38"/>
      <c r="AM1556" s="38"/>
      <c r="AN1556" s="38"/>
      <c r="AO1556" s="38"/>
      <c r="AP1556" s="38"/>
      <c r="AQ1556" s="38"/>
      <c r="AR1556" s="38"/>
      <c r="AS1556" s="38"/>
      <c r="AT1556" s="38"/>
      <c r="AU1556" s="38"/>
      <c r="AV1556" s="38"/>
      <c r="AW1556" s="38"/>
      <c r="AX1556" s="38"/>
      <c r="AY1556" s="38"/>
      <c r="AZ1556" s="38"/>
      <c r="BA1556" s="38"/>
      <c r="BB1556" s="38"/>
      <c r="BC1556" s="38"/>
      <c r="BD1556" s="38"/>
      <c r="BE1556" s="38"/>
      <c r="BF1556" s="38"/>
      <c r="BG1556" s="38"/>
      <c r="BH1556" s="38"/>
      <c r="BI1556" s="38"/>
      <c r="BJ1556" s="38"/>
      <c r="BK1556" s="38"/>
      <c r="BL1556" s="38"/>
      <c r="BM1556" s="38"/>
      <c r="BN1556" s="38"/>
      <c r="BO1556" s="38"/>
      <c r="BP1556" s="38"/>
      <c r="BQ1556" s="38"/>
    </row>
    <row r="1557">
      <c r="A1557" s="78" t="s">
        <v>4479</v>
      </c>
      <c r="B1557" s="59">
        <v>43323.0</v>
      </c>
      <c r="C1557" s="59">
        <v>43310.0</v>
      </c>
      <c r="D1557" s="60" t="s">
        <v>4480</v>
      </c>
      <c r="E1557" s="58" t="s">
        <v>31</v>
      </c>
      <c r="F1557" s="58">
        <v>1.0</v>
      </c>
      <c r="G1557" s="58" t="s">
        <v>32</v>
      </c>
      <c r="H1557" s="33">
        <f t="shared" si="232"/>
        <v>1</v>
      </c>
      <c r="I1557" s="58" t="s">
        <v>33</v>
      </c>
      <c r="J1557" s="58" t="s">
        <v>111</v>
      </c>
      <c r="K1557" s="58">
        <v>1.0</v>
      </c>
      <c r="L1557" s="58" t="s">
        <v>35</v>
      </c>
      <c r="M1557" s="61" t="s">
        <v>4481</v>
      </c>
      <c r="N1557" s="77"/>
      <c r="O1557" s="62"/>
      <c r="P1557" s="62"/>
      <c r="Q1557" s="62"/>
      <c r="R1557" s="62"/>
      <c r="S1557" s="37" t="str">
        <f>IFERROR(__xludf.DUMMYFUNCTION("if(not(iserror(index(split(C1557, "" ""),2))), index(split(C1557, "" ""),1),"""")"),"July")</f>
        <v>July</v>
      </c>
      <c r="T1557" s="38">
        <f>IFERROR(__xludf.DUMMYFUNCTION("if(S1557="""",C1557,if(not(iserror(index(split(C1557, "" ""),3))), index(split(C1557, "" ""),3),index(split(C1557, "" ""),2)))"),2018.0)</f>
        <v>2018</v>
      </c>
      <c r="U1557" s="38" t="b">
        <f t="shared" si="228"/>
        <v>0</v>
      </c>
      <c r="V1557" s="38"/>
      <c r="W1557" s="40"/>
      <c r="X1557" s="40"/>
      <c r="Y1557" s="40"/>
      <c r="Z1557" s="38"/>
      <c r="AA1557" s="38"/>
      <c r="AB1557" s="38"/>
      <c r="AC1557" s="38"/>
      <c r="AD1557" s="38"/>
      <c r="AE1557" s="38"/>
      <c r="AF1557" s="38"/>
      <c r="AG1557" s="38"/>
      <c r="AH1557" s="38"/>
      <c r="AI1557" s="38"/>
      <c r="AJ1557" s="38"/>
      <c r="AK1557" s="38"/>
      <c r="AL1557" s="38"/>
      <c r="AM1557" s="38"/>
      <c r="AN1557" s="38"/>
      <c r="AO1557" s="38"/>
      <c r="AP1557" s="38"/>
      <c r="AQ1557" s="38"/>
      <c r="AR1557" s="38"/>
      <c r="AS1557" s="38"/>
      <c r="AT1557" s="38"/>
      <c r="AU1557" s="38"/>
      <c r="AV1557" s="38"/>
      <c r="AW1557" s="38"/>
      <c r="AX1557" s="38"/>
      <c r="AY1557" s="38"/>
      <c r="AZ1557" s="38"/>
      <c r="BA1557" s="38"/>
      <c r="BB1557" s="38"/>
      <c r="BC1557" s="38"/>
      <c r="BD1557" s="38"/>
      <c r="BE1557" s="38"/>
      <c r="BF1557" s="38"/>
      <c r="BG1557" s="38"/>
      <c r="BH1557" s="38"/>
      <c r="BI1557" s="38"/>
      <c r="BJ1557" s="38"/>
      <c r="BK1557" s="38"/>
      <c r="BL1557" s="38"/>
      <c r="BM1557" s="38"/>
      <c r="BN1557" s="38"/>
      <c r="BO1557" s="38"/>
      <c r="BP1557" s="38"/>
      <c r="BQ1557" s="38"/>
    </row>
    <row r="1558">
      <c r="A1558" s="58" t="s">
        <v>239</v>
      </c>
      <c r="B1558" s="59">
        <v>43311.0</v>
      </c>
      <c r="C1558" s="59">
        <v>43311.0</v>
      </c>
      <c r="D1558" s="60" t="s">
        <v>4482</v>
      </c>
      <c r="E1558" s="58" t="s">
        <v>41</v>
      </c>
      <c r="F1558" s="58">
        <v>1.0</v>
      </c>
      <c r="G1558" s="58">
        <v>10.0</v>
      </c>
      <c r="H1558" s="33">
        <f t="shared" si="232"/>
        <v>10</v>
      </c>
      <c r="I1558" s="58" t="s">
        <v>33</v>
      </c>
      <c r="J1558" s="58" t="s">
        <v>147</v>
      </c>
      <c r="K1558" s="58">
        <v>1.0</v>
      </c>
      <c r="L1558" s="58" t="s">
        <v>194</v>
      </c>
      <c r="M1558" s="61" t="s">
        <v>4475</v>
      </c>
      <c r="N1558" s="77"/>
      <c r="O1558" s="62"/>
      <c r="P1558" s="62"/>
      <c r="Q1558" s="62"/>
      <c r="R1558" s="62"/>
      <c r="S1558" s="37" t="str">
        <f>IFERROR(__xludf.DUMMYFUNCTION("if(not(iserror(index(split(C1558, "" ""),2))), index(split(C1558, "" ""),1),"""")"),"July")</f>
        <v>July</v>
      </c>
      <c r="T1558" s="38">
        <f>IFERROR(__xludf.DUMMYFUNCTION("if(S1558="""",C1558,if(not(iserror(index(split(C1558, "" ""),3))), index(split(C1558, "" ""),3),index(split(C1558, "" ""),2)))"),2018.0)</f>
        <v>2018</v>
      </c>
      <c r="U1558" s="38" t="b">
        <f t="shared" si="228"/>
        <v>1</v>
      </c>
      <c r="V1558" s="38"/>
      <c r="W1558" s="40"/>
      <c r="X1558" s="40"/>
      <c r="Y1558" s="40"/>
      <c r="Z1558" s="38"/>
      <c r="AA1558" s="38"/>
      <c r="AB1558" s="38"/>
      <c r="AC1558" s="38"/>
      <c r="AD1558" s="38"/>
      <c r="AE1558" s="38"/>
      <c r="AF1558" s="38"/>
      <c r="AG1558" s="38"/>
      <c r="AH1558" s="38"/>
      <c r="AI1558" s="38"/>
      <c r="AJ1558" s="38"/>
      <c r="AK1558" s="38"/>
      <c r="AL1558" s="38"/>
      <c r="AM1558" s="38"/>
      <c r="AN1558" s="38"/>
      <c r="AO1558" s="38"/>
      <c r="AP1558" s="38"/>
      <c r="AQ1558" s="38"/>
      <c r="AR1558" s="38"/>
      <c r="AS1558" s="38"/>
      <c r="AT1558" s="38"/>
      <c r="AU1558" s="38"/>
      <c r="AV1558" s="38"/>
      <c r="AW1558" s="38"/>
      <c r="AX1558" s="38"/>
      <c r="AY1558" s="38"/>
      <c r="AZ1558" s="38"/>
      <c r="BA1558" s="38"/>
      <c r="BB1558" s="38"/>
      <c r="BC1558" s="38"/>
      <c r="BD1558" s="38"/>
      <c r="BE1558" s="38"/>
      <c r="BF1558" s="38"/>
      <c r="BG1558" s="38"/>
      <c r="BH1558" s="38"/>
      <c r="BI1558" s="38"/>
      <c r="BJ1558" s="38"/>
      <c r="BK1558" s="38"/>
      <c r="BL1558" s="38"/>
      <c r="BM1558" s="38"/>
      <c r="BN1558" s="38"/>
      <c r="BO1558" s="38"/>
      <c r="BP1558" s="38"/>
      <c r="BQ1558" s="38"/>
    </row>
    <row r="1559">
      <c r="A1559" s="58" t="s">
        <v>239</v>
      </c>
      <c r="B1559" s="59">
        <v>43312.0</v>
      </c>
      <c r="C1559" s="59">
        <v>43311.0</v>
      </c>
      <c r="D1559" s="60" t="s">
        <v>4483</v>
      </c>
      <c r="E1559" s="58" t="s">
        <v>41</v>
      </c>
      <c r="F1559" s="58">
        <v>1.0</v>
      </c>
      <c r="G1559" s="58" t="s">
        <v>32</v>
      </c>
      <c r="H1559" s="33">
        <f t="shared" si="232"/>
        <v>1</v>
      </c>
      <c r="I1559" s="58" t="s">
        <v>33</v>
      </c>
      <c r="J1559" s="58" t="s">
        <v>147</v>
      </c>
      <c r="K1559" s="58">
        <v>1.0</v>
      </c>
      <c r="L1559" s="58" t="s">
        <v>194</v>
      </c>
      <c r="M1559" s="61" t="s">
        <v>4484</v>
      </c>
      <c r="N1559" s="77"/>
      <c r="O1559" s="62"/>
      <c r="P1559" s="62"/>
      <c r="Q1559" s="62"/>
      <c r="R1559" s="62"/>
      <c r="S1559" s="37" t="str">
        <f>IFERROR(__xludf.DUMMYFUNCTION("if(not(iserror(index(split(C1559, "" ""),2))), index(split(C1559, "" ""),1),"""")"),"July")</f>
        <v>July</v>
      </c>
      <c r="T1559" s="38">
        <f>IFERROR(__xludf.DUMMYFUNCTION("if(S1559="""",C1559,if(not(iserror(index(split(C1559, "" ""),3))), index(split(C1559, "" ""),3),index(split(C1559, "" ""),2)))"),2018.0)</f>
        <v>2018</v>
      </c>
      <c r="U1559" s="38" t="b">
        <f t="shared" si="228"/>
        <v>1</v>
      </c>
      <c r="V1559" s="38"/>
      <c r="W1559" s="40"/>
      <c r="X1559" s="40"/>
      <c r="Y1559" s="40"/>
      <c r="Z1559" s="38"/>
      <c r="AA1559" s="38"/>
      <c r="AB1559" s="38"/>
      <c r="AC1559" s="38"/>
      <c r="AD1559" s="38"/>
      <c r="AE1559" s="38"/>
      <c r="AF1559" s="38"/>
      <c r="AG1559" s="38"/>
      <c r="AH1559" s="38"/>
      <c r="AI1559" s="38"/>
      <c r="AJ1559" s="38"/>
      <c r="AK1559" s="38"/>
      <c r="AL1559" s="38"/>
      <c r="AM1559" s="38"/>
      <c r="AN1559" s="38"/>
      <c r="AO1559" s="38"/>
      <c r="AP1559" s="38"/>
      <c r="AQ1559" s="38"/>
      <c r="AR1559" s="38"/>
      <c r="AS1559" s="38"/>
      <c r="AT1559" s="38"/>
      <c r="AU1559" s="38"/>
      <c r="AV1559" s="38"/>
      <c r="AW1559" s="38"/>
      <c r="AX1559" s="38"/>
      <c r="AY1559" s="38"/>
      <c r="AZ1559" s="38"/>
      <c r="BA1559" s="38"/>
      <c r="BB1559" s="38"/>
      <c r="BC1559" s="38"/>
      <c r="BD1559" s="38"/>
      <c r="BE1559" s="38"/>
      <c r="BF1559" s="38"/>
      <c r="BG1559" s="38"/>
      <c r="BH1559" s="38"/>
      <c r="BI1559" s="38"/>
      <c r="BJ1559" s="38"/>
      <c r="BK1559" s="38"/>
      <c r="BL1559" s="38"/>
      <c r="BM1559" s="38"/>
      <c r="BN1559" s="38"/>
      <c r="BO1559" s="38"/>
      <c r="BP1559" s="38"/>
      <c r="BQ1559" s="38"/>
    </row>
    <row r="1560">
      <c r="A1560" s="58" t="s">
        <v>239</v>
      </c>
      <c r="B1560" s="59">
        <v>43312.0</v>
      </c>
      <c r="C1560" s="59">
        <v>43311.0</v>
      </c>
      <c r="D1560" s="60" t="s">
        <v>4482</v>
      </c>
      <c r="E1560" s="58" t="s">
        <v>41</v>
      </c>
      <c r="F1560" s="58">
        <v>1.0</v>
      </c>
      <c r="G1560" s="58" t="s">
        <v>32</v>
      </c>
      <c r="H1560" s="33">
        <f t="shared" si="232"/>
        <v>1</v>
      </c>
      <c r="I1560" s="58" t="s">
        <v>33</v>
      </c>
      <c r="J1560" s="58" t="s">
        <v>241</v>
      </c>
      <c r="K1560" s="58">
        <v>1.0</v>
      </c>
      <c r="L1560" s="58" t="s">
        <v>194</v>
      </c>
      <c r="M1560" s="61" t="s">
        <v>4485</v>
      </c>
      <c r="N1560" s="77"/>
      <c r="O1560" s="62"/>
      <c r="P1560" s="62"/>
      <c r="Q1560" s="62"/>
      <c r="R1560" s="62"/>
      <c r="S1560" s="37" t="str">
        <f>IFERROR(__xludf.DUMMYFUNCTION("if(not(iserror(index(split(C1560, "" ""),2))), index(split(C1560, "" ""),1),"""")"),"July")</f>
        <v>July</v>
      </c>
      <c r="T1560" s="38">
        <f>IFERROR(__xludf.DUMMYFUNCTION("if(S1560="""",C1560,if(not(iserror(index(split(C1560, "" ""),3))), index(split(C1560, "" ""),3),index(split(C1560, "" ""),2)))"),2018.0)</f>
        <v>2018</v>
      </c>
      <c r="U1560" s="38" t="b">
        <f t="shared" si="228"/>
        <v>1</v>
      </c>
      <c r="V1560" s="38"/>
      <c r="W1560" s="40"/>
      <c r="X1560" s="40"/>
      <c r="Y1560" s="40"/>
      <c r="Z1560" s="38"/>
      <c r="AA1560" s="38"/>
      <c r="AB1560" s="38"/>
      <c r="AC1560" s="38"/>
      <c r="AD1560" s="38"/>
      <c r="AE1560" s="38"/>
      <c r="AF1560" s="38"/>
      <c r="AG1560" s="38"/>
      <c r="AH1560" s="38"/>
      <c r="AI1560" s="38"/>
      <c r="AJ1560" s="38"/>
      <c r="AK1560" s="38"/>
      <c r="AL1560" s="38"/>
      <c r="AM1560" s="38"/>
      <c r="AN1560" s="38"/>
      <c r="AO1560" s="38"/>
      <c r="AP1560" s="38"/>
      <c r="AQ1560" s="38"/>
      <c r="AR1560" s="38"/>
      <c r="AS1560" s="38"/>
      <c r="AT1560" s="38"/>
      <c r="AU1560" s="38"/>
      <c r="AV1560" s="38"/>
      <c r="AW1560" s="38"/>
      <c r="AX1560" s="38"/>
      <c r="AY1560" s="38"/>
      <c r="AZ1560" s="38"/>
      <c r="BA1560" s="38"/>
      <c r="BB1560" s="38"/>
      <c r="BC1560" s="38"/>
      <c r="BD1560" s="38"/>
      <c r="BE1560" s="38"/>
      <c r="BF1560" s="38"/>
      <c r="BG1560" s="38"/>
      <c r="BH1560" s="38"/>
      <c r="BI1560" s="38"/>
      <c r="BJ1560" s="38"/>
      <c r="BK1560" s="38"/>
      <c r="BL1560" s="38"/>
      <c r="BM1560" s="38"/>
      <c r="BN1560" s="38"/>
      <c r="BO1560" s="38"/>
      <c r="BP1560" s="38"/>
      <c r="BQ1560" s="38"/>
    </row>
    <row r="1561">
      <c r="A1561" s="78" t="s">
        <v>4486</v>
      </c>
      <c r="B1561" s="59">
        <v>43312.0</v>
      </c>
      <c r="C1561" s="59">
        <v>43311.0</v>
      </c>
      <c r="D1561" s="60" t="s">
        <v>4482</v>
      </c>
      <c r="E1561" s="58" t="s">
        <v>31</v>
      </c>
      <c r="F1561" s="58">
        <v>1.0</v>
      </c>
      <c r="G1561" s="58" t="s">
        <v>32</v>
      </c>
      <c r="H1561" s="33">
        <f t="shared" si="232"/>
        <v>1</v>
      </c>
      <c r="I1561" s="58" t="s">
        <v>33</v>
      </c>
      <c r="J1561" s="58" t="s">
        <v>89</v>
      </c>
      <c r="K1561" s="58" t="s">
        <v>32</v>
      </c>
      <c r="L1561" s="58" t="s">
        <v>99</v>
      </c>
      <c r="M1561" s="61" t="s">
        <v>4487</v>
      </c>
      <c r="N1561" s="77"/>
      <c r="O1561" s="62"/>
      <c r="P1561" s="62"/>
      <c r="Q1561" s="62"/>
      <c r="R1561" s="62"/>
      <c r="S1561" s="37" t="str">
        <f>IFERROR(__xludf.DUMMYFUNCTION("if(not(iserror(index(split(C1561, "" ""),2))), index(split(C1561, "" ""),1),"""")"),"July")</f>
        <v>July</v>
      </c>
      <c r="T1561" s="38">
        <f>IFERROR(__xludf.DUMMYFUNCTION("if(S1561="""",C1561,if(not(iserror(index(split(C1561, "" ""),3))), index(split(C1561, "" ""),3),index(split(C1561, "" ""),2)))"),2018.0)</f>
        <v>2018</v>
      </c>
      <c r="U1561" s="38" t="b">
        <f t="shared" si="228"/>
        <v>0</v>
      </c>
      <c r="V1561" s="38"/>
      <c r="W1561" s="40"/>
      <c r="X1561" s="40"/>
      <c r="Y1561" s="40"/>
      <c r="Z1561" s="38"/>
      <c r="AA1561" s="38"/>
      <c r="AB1561" s="38"/>
      <c r="AC1561" s="38"/>
      <c r="AD1561" s="38"/>
      <c r="AE1561" s="38"/>
      <c r="AF1561" s="38"/>
      <c r="AG1561" s="38"/>
      <c r="AH1561" s="38"/>
      <c r="AI1561" s="38"/>
      <c r="AJ1561" s="38"/>
      <c r="AK1561" s="38"/>
      <c r="AL1561" s="38"/>
      <c r="AM1561" s="38"/>
      <c r="AN1561" s="38"/>
      <c r="AO1561" s="38"/>
      <c r="AP1561" s="38"/>
      <c r="AQ1561" s="38"/>
      <c r="AR1561" s="38"/>
      <c r="AS1561" s="38"/>
      <c r="AT1561" s="38"/>
      <c r="AU1561" s="38"/>
      <c r="AV1561" s="38"/>
      <c r="AW1561" s="38"/>
      <c r="AX1561" s="38"/>
      <c r="AY1561" s="38"/>
      <c r="AZ1561" s="38"/>
      <c r="BA1561" s="38"/>
      <c r="BB1561" s="38"/>
      <c r="BC1561" s="38"/>
      <c r="BD1561" s="38"/>
      <c r="BE1561" s="38"/>
      <c r="BF1561" s="38"/>
      <c r="BG1561" s="38"/>
      <c r="BH1561" s="38"/>
      <c r="BI1561" s="38"/>
      <c r="BJ1561" s="38"/>
      <c r="BK1561" s="38"/>
      <c r="BL1561" s="38"/>
      <c r="BM1561" s="38"/>
      <c r="BN1561" s="38"/>
      <c r="BO1561" s="38"/>
      <c r="BP1561" s="38"/>
      <c r="BQ1561" s="38"/>
    </row>
    <row r="1562">
      <c r="A1562" s="78" t="s">
        <v>239</v>
      </c>
      <c r="B1562" s="59">
        <v>43313.0</v>
      </c>
      <c r="C1562" s="59">
        <v>43311.0</v>
      </c>
      <c r="D1562" s="60" t="s">
        <v>4482</v>
      </c>
      <c r="E1562" s="58" t="s">
        <v>41</v>
      </c>
      <c r="F1562" s="58">
        <v>1.0</v>
      </c>
      <c r="G1562" s="58">
        <v>5.0</v>
      </c>
      <c r="H1562" s="33">
        <f t="shared" si="232"/>
        <v>5</v>
      </c>
      <c r="I1562" s="58" t="s">
        <v>33</v>
      </c>
      <c r="J1562" s="58" t="s">
        <v>241</v>
      </c>
      <c r="K1562" s="58">
        <v>1.0</v>
      </c>
      <c r="L1562" s="58" t="s">
        <v>194</v>
      </c>
      <c r="M1562" s="61" t="s">
        <v>4488</v>
      </c>
      <c r="N1562" s="77"/>
      <c r="O1562" s="58"/>
      <c r="P1562" s="62"/>
      <c r="Q1562" s="84"/>
      <c r="R1562" s="62"/>
      <c r="S1562" s="37" t="str">
        <f>IFERROR(__xludf.DUMMYFUNCTION("if(not(iserror(index(split(C1562, "" ""),2))), index(split(C1562, "" ""),1),"""")"),"July")</f>
        <v>July</v>
      </c>
      <c r="T1562" s="38">
        <f>IFERROR(__xludf.DUMMYFUNCTION("if(S1562="""",C1562,if(not(iserror(index(split(C1562, "" ""),3))), index(split(C1562, "" ""),3),index(split(C1562, "" ""),2)))"),2018.0)</f>
        <v>2018</v>
      </c>
      <c r="U1562" s="38" t="b">
        <f t="shared" si="228"/>
        <v>1</v>
      </c>
      <c r="V1562" s="38"/>
      <c r="W1562" s="40"/>
      <c r="X1562" s="40"/>
      <c r="Y1562" s="40"/>
      <c r="Z1562" s="38"/>
      <c r="AA1562" s="38"/>
      <c r="AB1562" s="38"/>
      <c r="AC1562" s="38"/>
      <c r="AD1562" s="38"/>
      <c r="AE1562" s="38"/>
      <c r="AF1562" s="38"/>
      <c r="AG1562" s="38"/>
      <c r="AH1562" s="38"/>
      <c r="AI1562" s="38"/>
      <c r="AJ1562" s="38"/>
      <c r="AK1562" s="38"/>
      <c r="AL1562" s="38"/>
      <c r="AM1562" s="38"/>
      <c r="AN1562" s="38"/>
      <c r="AO1562" s="38"/>
      <c r="AP1562" s="38"/>
      <c r="AQ1562" s="38"/>
      <c r="AR1562" s="38"/>
      <c r="AS1562" s="38"/>
      <c r="AT1562" s="38"/>
      <c r="AU1562" s="38"/>
      <c r="AV1562" s="38"/>
      <c r="AW1562" s="38"/>
      <c r="AX1562" s="38"/>
      <c r="AY1562" s="38"/>
      <c r="AZ1562" s="38"/>
      <c r="BA1562" s="38"/>
      <c r="BB1562" s="38"/>
      <c r="BC1562" s="38"/>
      <c r="BD1562" s="38"/>
      <c r="BE1562" s="38"/>
      <c r="BF1562" s="38"/>
      <c r="BG1562" s="38"/>
      <c r="BH1562" s="38"/>
      <c r="BI1562" s="38"/>
      <c r="BJ1562" s="38"/>
      <c r="BK1562" s="38"/>
      <c r="BL1562" s="38"/>
      <c r="BM1562" s="38"/>
      <c r="BN1562" s="38"/>
      <c r="BO1562" s="38"/>
      <c r="BP1562" s="38"/>
      <c r="BQ1562" s="38"/>
    </row>
    <row r="1563">
      <c r="A1563" s="58" t="s">
        <v>4489</v>
      </c>
      <c r="B1563" s="59">
        <v>43312.0</v>
      </c>
      <c r="C1563" s="59">
        <v>43312.0</v>
      </c>
      <c r="D1563" s="60" t="s">
        <v>3850</v>
      </c>
      <c r="E1563" s="58" t="s">
        <v>31</v>
      </c>
      <c r="F1563" s="58">
        <v>1.0</v>
      </c>
      <c r="G1563" s="58" t="s">
        <v>32</v>
      </c>
      <c r="H1563" s="33">
        <f t="shared" si="232"/>
        <v>1</v>
      </c>
      <c r="I1563" s="58" t="s">
        <v>33</v>
      </c>
      <c r="J1563" s="58" t="s">
        <v>147</v>
      </c>
      <c r="K1563" s="58">
        <v>1.0</v>
      </c>
      <c r="L1563" s="58" t="s">
        <v>35</v>
      </c>
      <c r="M1563" s="61" t="s">
        <v>4490</v>
      </c>
      <c r="N1563" s="77"/>
      <c r="O1563" s="62"/>
      <c r="P1563" s="62"/>
      <c r="Q1563" s="62"/>
      <c r="R1563" s="62"/>
      <c r="S1563" s="37" t="str">
        <f>IFERROR(__xludf.DUMMYFUNCTION("if(not(iserror(index(split(C1563, "" ""),2))), index(split(C1563, "" ""),1),"""")"),"July")</f>
        <v>July</v>
      </c>
      <c r="T1563" s="38">
        <f>IFERROR(__xludf.DUMMYFUNCTION("if(S1563="""",C1563,if(not(iserror(index(split(C1563, "" ""),3))), index(split(C1563, "" ""),3),index(split(C1563, "" ""),2)))"),2018.0)</f>
        <v>2018</v>
      </c>
      <c r="U1563" s="38" t="b">
        <f t="shared" si="228"/>
        <v>0</v>
      </c>
      <c r="V1563" s="38"/>
      <c r="W1563" s="40"/>
      <c r="X1563" s="40"/>
      <c r="Y1563" s="40"/>
      <c r="Z1563" s="38"/>
      <c r="AA1563" s="38"/>
      <c r="AB1563" s="38"/>
      <c r="AC1563" s="38"/>
      <c r="AD1563" s="38"/>
      <c r="AE1563" s="38"/>
      <c r="AF1563" s="38"/>
      <c r="AG1563" s="38"/>
      <c r="AH1563" s="38"/>
      <c r="AI1563" s="38"/>
      <c r="AJ1563" s="38"/>
      <c r="AK1563" s="38"/>
      <c r="AL1563" s="38"/>
      <c r="AM1563" s="38"/>
      <c r="AN1563" s="38"/>
      <c r="AO1563" s="38"/>
      <c r="AP1563" s="38"/>
      <c r="AQ1563" s="38"/>
      <c r="AR1563" s="38"/>
      <c r="AS1563" s="38"/>
      <c r="AT1563" s="38"/>
      <c r="AU1563" s="38"/>
      <c r="AV1563" s="38"/>
      <c r="AW1563" s="38"/>
      <c r="AX1563" s="38"/>
      <c r="AY1563" s="38"/>
      <c r="AZ1563" s="38"/>
      <c r="BA1563" s="38"/>
      <c r="BB1563" s="38"/>
      <c r="BC1563" s="38"/>
      <c r="BD1563" s="38"/>
      <c r="BE1563" s="38"/>
      <c r="BF1563" s="38"/>
      <c r="BG1563" s="38"/>
      <c r="BH1563" s="38"/>
      <c r="BI1563" s="38"/>
      <c r="BJ1563" s="38"/>
      <c r="BK1563" s="38"/>
      <c r="BL1563" s="38"/>
      <c r="BM1563" s="38"/>
      <c r="BN1563" s="38"/>
      <c r="BO1563" s="38"/>
      <c r="BP1563" s="38"/>
      <c r="BQ1563" s="38"/>
    </row>
    <row r="1564">
      <c r="A1564" s="58" t="s">
        <v>4491</v>
      </c>
      <c r="B1564" s="59">
        <v>43312.0</v>
      </c>
      <c r="C1564" s="59">
        <v>43312.0</v>
      </c>
      <c r="D1564" s="60" t="s">
        <v>3850</v>
      </c>
      <c r="E1564" s="58" t="s">
        <v>31</v>
      </c>
      <c r="F1564" s="58">
        <v>1.0</v>
      </c>
      <c r="G1564" s="58" t="s">
        <v>32</v>
      </c>
      <c r="H1564" s="33">
        <f t="shared" si="232"/>
        <v>1</v>
      </c>
      <c r="I1564" s="58" t="s">
        <v>33</v>
      </c>
      <c r="J1564" s="58" t="s">
        <v>115</v>
      </c>
      <c r="K1564" s="58">
        <v>2.0</v>
      </c>
      <c r="L1564" s="58" t="s">
        <v>35</v>
      </c>
      <c r="M1564" s="61" t="s">
        <v>4492</v>
      </c>
      <c r="N1564" s="77"/>
      <c r="O1564" s="62"/>
      <c r="P1564" s="62"/>
      <c r="Q1564" s="62"/>
      <c r="R1564" s="62"/>
      <c r="S1564" s="37" t="str">
        <f>IFERROR(__xludf.DUMMYFUNCTION("if(not(iserror(index(split(C1564, "" ""),2))), index(split(C1564, "" ""),1),"""")"),"July")</f>
        <v>July</v>
      </c>
      <c r="T1564" s="38">
        <f>IFERROR(__xludf.DUMMYFUNCTION("if(S1564="""",C1564,if(not(iserror(index(split(C1564, "" ""),3))), index(split(C1564, "" ""),3),index(split(C1564, "" ""),2)))"),2018.0)</f>
        <v>2018</v>
      </c>
      <c r="U1564" s="38" t="b">
        <f t="shared" si="228"/>
        <v>0</v>
      </c>
      <c r="V1564" s="38"/>
      <c r="W1564" s="40"/>
      <c r="X1564" s="40"/>
      <c r="Y1564" s="40"/>
      <c r="Z1564" s="38"/>
      <c r="AA1564" s="38"/>
      <c r="AB1564" s="38"/>
      <c r="AC1564" s="38"/>
      <c r="AD1564" s="38"/>
      <c r="AE1564" s="38"/>
      <c r="AF1564" s="38"/>
      <c r="AG1564" s="38"/>
      <c r="AH1564" s="38"/>
      <c r="AI1564" s="38"/>
      <c r="AJ1564" s="38"/>
      <c r="AK1564" s="38"/>
      <c r="AL1564" s="38"/>
      <c r="AM1564" s="38"/>
      <c r="AN1564" s="38"/>
      <c r="AO1564" s="38"/>
      <c r="AP1564" s="38"/>
      <c r="AQ1564" s="38"/>
      <c r="AR1564" s="38"/>
      <c r="AS1564" s="38"/>
      <c r="AT1564" s="38"/>
      <c r="AU1564" s="38"/>
      <c r="AV1564" s="38"/>
      <c r="AW1564" s="38"/>
      <c r="AX1564" s="38"/>
      <c r="AY1564" s="38"/>
      <c r="AZ1564" s="38"/>
      <c r="BA1564" s="38"/>
      <c r="BB1564" s="38"/>
      <c r="BC1564" s="38"/>
      <c r="BD1564" s="38"/>
      <c r="BE1564" s="38"/>
      <c r="BF1564" s="38"/>
      <c r="BG1564" s="38"/>
      <c r="BH1564" s="38"/>
      <c r="BI1564" s="38"/>
      <c r="BJ1564" s="38"/>
      <c r="BK1564" s="38"/>
      <c r="BL1564" s="38"/>
      <c r="BM1564" s="38"/>
      <c r="BN1564" s="38"/>
      <c r="BO1564" s="38"/>
      <c r="BP1564" s="38"/>
      <c r="BQ1564" s="38"/>
    </row>
    <row r="1565">
      <c r="A1565" s="78" t="s">
        <v>4493</v>
      </c>
      <c r="B1565" s="59">
        <v>43312.0</v>
      </c>
      <c r="C1565" s="59">
        <v>43312.0</v>
      </c>
      <c r="D1565" s="60" t="s">
        <v>3850</v>
      </c>
      <c r="E1565" s="58" t="s">
        <v>31</v>
      </c>
      <c r="F1565" s="58">
        <v>1.0</v>
      </c>
      <c r="G1565" s="58" t="s">
        <v>32</v>
      </c>
      <c r="H1565" s="33">
        <f t="shared" si="232"/>
        <v>1</v>
      </c>
      <c r="I1565" s="58" t="s">
        <v>33</v>
      </c>
      <c r="J1565" s="58" t="s">
        <v>47</v>
      </c>
      <c r="K1565" s="58">
        <v>1.0</v>
      </c>
      <c r="L1565" s="58" t="s">
        <v>99</v>
      </c>
      <c r="M1565" s="61" t="s">
        <v>4494</v>
      </c>
      <c r="N1565" s="77"/>
      <c r="O1565" s="62"/>
      <c r="P1565" s="62"/>
      <c r="Q1565" s="62"/>
      <c r="R1565" s="62"/>
      <c r="S1565" s="37" t="str">
        <f>IFERROR(__xludf.DUMMYFUNCTION("if(not(iserror(index(split(C1565, "" ""),2))), index(split(C1565, "" ""),1),"""")"),"July")</f>
        <v>July</v>
      </c>
      <c r="T1565" s="38">
        <f>IFERROR(__xludf.DUMMYFUNCTION("if(S1565="""",C1565,if(not(iserror(index(split(C1565, "" ""),3))), index(split(C1565, "" ""),3),index(split(C1565, "" ""),2)))"),2018.0)</f>
        <v>2018</v>
      </c>
      <c r="U1565" s="38" t="b">
        <f t="shared" si="228"/>
        <v>0</v>
      </c>
      <c r="V1565" s="38"/>
      <c r="W1565" s="40"/>
      <c r="X1565" s="40"/>
      <c r="Y1565" s="40"/>
      <c r="Z1565" s="38"/>
      <c r="AA1565" s="38"/>
      <c r="AB1565" s="38"/>
      <c r="AC1565" s="38"/>
      <c r="AD1565" s="38"/>
      <c r="AE1565" s="38"/>
      <c r="AF1565" s="38"/>
      <c r="AG1565" s="38"/>
      <c r="AH1565" s="38"/>
      <c r="AI1565" s="38"/>
      <c r="AJ1565" s="38"/>
      <c r="AK1565" s="38"/>
      <c r="AL1565" s="38"/>
      <c r="AM1565" s="38"/>
      <c r="AN1565" s="38"/>
      <c r="AO1565" s="38"/>
      <c r="AP1565" s="38"/>
      <c r="AQ1565" s="38"/>
      <c r="AR1565" s="38"/>
      <c r="AS1565" s="38"/>
      <c r="AT1565" s="38"/>
      <c r="AU1565" s="38"/>
      <c r="AV1565" s="38"/>
      <c r="AW1565" s="38"/>
      <c r="AX1565" s="38"/>
      <c r="AY1565" s="38"/>
      <c r="AZ1565" s="38"/>
      <c r="BA1565" s="38"/>
      <c r="BB1565" s="38"/>
      <c r="BC1565" s="38"/>
      <c r="BD1565" s="38"/>
      <c r="BE1565" s="38"/>
      <c r="BF1565" s="38"/>
      <c r="BG1565" s="38"/>
      <c r="BH1565" s="38"/>
      <c r="BI1565" s="38"/>
      <c r="BJ1565" s="38"/>
      <c r="BK1565" s="38"/>
      <c r="BL1565" s="38"/>
      <c r="BM1565" s="38"/>
      <c r="BN1565" s="38"/>
      <c r="BO1565" s="38"/>
      <c r="BP1565" s="38"/>
      <c r="BQ1565" s="38"/>
    </row>
    <row r="1566">
      <c r="A1566" s="78" t="s">
        <v>4495</v>
      </c>
      <c r="B1566" s="59">
        <v>43313.0</v>
      </c>
      <c r="C1566" s="59">
        <v>43312.0</v>
      </c>
      <c r="D1566" s="60" t="s">
        <v>3850</v>
      </c>
      <c r="E1566" s="58" t="s">
        <v>31</v>
      </c>
      <c r="F1566" s="58">
        <v>1.0</v>
      </c>
      <c r="G1566" s="58" t="s">
        <v>32</v>
      </c>
      <c r="H1566" s="33">
        <f t="shared" si="232"/>
        <v>1</v>
      </c>
      <c r="I1566" s="58" t="s">
        <v>33</v>
      </c>
      <c r="J1566" s="58" t="s">
        <v>124</v>
      </c>
      <c r="K1566" s="58" t="s">
        <v>32</v>
      </c>
      <c r="L1566" s="58" t="s">
        <v>119</v>
      </c>
      <c r="M1566" s="61" t="s">
        <v>4496</v>
      </c>
      <c r="N1566" s="61" t="s">
        <v>4497</v>
      </c>
      <c r="O1566" s="83" t="str">
        <f>hyperlink("https://bad-boys.us/?q=ND-OH/1:18-cr-00425", "ND-OH 1:18-cr-00425")</f>
        <v>ND-OH 1:18-cr-00425</v>
      </c>
      <c r="P1566" s="88" t="s">
        <v>4498</v>
      </c>
      <c r="Q1566" s="58">
        <v>1.0</v>
      </c>
      <c r="R1566" s="62"/>
      <c r="S1566" s="37" t="str">
        <f>IFERROR(__xludf.DUMMYFUNCTION("if(not(iserror(index(split(C1566, "" ""),2))), index(split(C1566, "" ""),1),"""")"),"July")</f>
        <v>July</v>
      </c>
      <c r="T1566" s="38">
        <f>IFERROR(__xludf.DUMMYFUNCTION("if(S1566="""",C1566,if(not(iserror(index(split(C1566, "" ""),3))), index(split(C1566, "" ""),3),index(split(C1566, "" ""),2)))"),2018.0)</f>
        <v>2018</v>
      </c>
      <c r="U1566" s="38" t="b">
        <f t="shared" si="228"/>
        <v>0</v>
      </c>
      <c r="V1566" s="38"/>
      <c r="W1566" s="40"/>
      <c r="X1566" s="40"/>
      <c r="Y1566" s="40"/>
      <c r="Z1566" s="38"/>
      <c r="AA1566" s="38"/>
      <c r="AB1566" s="38"/>
      <c r="AC1566" s="38"/>
      <c r="AD1566" s="38"/>
      <c r="AE1566" s="38"/>
      <c r="AF1566" s="38"/>
      <c r="AG1566" s="38"/>
      <c r="AH1566" s="38"/>
      <c r="AI1566" s="38"/>
      <c r="AJ1566" s="38"/>
      <c r="AK1566" s="38"/>
      <c r="AL1566" s="38"/>
      <c r="AM1566" s="38"/>
      <c r="AN1566" s="38"/>
      <c r="AO1566" s="38"/>
      <c r="AP1566" s="38"/>
      <c r="AQ1566" s="38"/>
      <c r="AR1566" s="38"/>
      <c r="AS1566" s="38"/>
      <c r="AT1566" s="38"/>
      <c r="AU1566" s="38"/>
      <c r="AV1566" s="38"/>
      <c r="AW1566" s="38"/>
      <c r="AX1566" s="38"/>
      <c r="AY1566" s="38"/>
      <c r="AZ1566" s="38"/>
      <c r="BA1566" s="38"/>
      <c r="BB1566" s="38"/>
      <c r="BC1566" s="38"/>
      <c r="BD1566" s="38"/>
      <c r="BE1566" s="38"/>
      <c r="BF1566" s="38"/>
      <c r="BG1566" s="38"/>
      <c r="BH1566" s="38"/>
      <c r="BI1566" s="38"/>
      <c r="BJ1566" s="38"/>
      <c r="BK1566" s="38"/>
      <c r="BL1566" s="38"/>
      <c r="BM1566" s="38"/>
      <c r="BN1566" s="38"/>
      <c r="BO1566" s="38"/>
      <c r="BP1566" s="38"/>
      <c r="BQ1566" s="38"/>
    </row>
    <row r="1567">
      <c r="A1567" s="78" t="s">
        <v>239</v>
      </c>
      <c r="B1567" s="59">
        <v>43313.0</v>
      </c>
      <c r="C1567" s="59">
        <v>43312.0</v>
      </c>
      <c r="D1567" s="60" t="s">
        <v>3850</v>
      </c>
      <c r="E1567" s="58" t="s">
        <v>41</v>
      </c>
      <c r="F1567" s="58">
        <v>1.0</v>
      </c>
      <c r="G1567" s="58" t="s">
        <v>32</v>
      </c>
      <c r="H1567" s="33">
        <f t="shared" si="232"/>
        <v>1</v>
      </c>
      <c r="I1567" s="58" t="s">
        <v>33</v>
      </c>
      <c r="J1567" s="58" t="s">
        <v>111</v>
      </c>
      <c r="K1567" s="58">
        <v>1.0</v>
      </c>
      <c r="L1567" s="58" t="s">
        <v>194</v>
      </c>
      <c r="M1567" s="61" t="s">
        <v>4499</v>
      </c>
      <c r="N1567" s="77"/>
      <c r="O1567" s="58"/>
      <c r="P1567" s="62"/>
      <c r="Q1567" s="84"/>
      <c r="R1567" s="62"/>
      <c r="S1567" s="37" t="str">
        <f>IFERROR(__xludf.DUMMYFUNCTION("if(not(iserror(index(split(C1567, "" ""),2))), index(split(C1567, "" ""),1),"""")"),"July")</f>
        <v>July</v>
      </c>
      <c r="T1567" s="38">
        <f>IFERROR(__xludf.DUMMYFUNCTION("if(S1567="""",C1567,if(not(iserror(index(split(C1567, "" ""),3))), index(split(C1567, "" ""),3),index(split(C1567, "" ""),2)))"),2018.0)</f>
        <v>2018</v>
      </c>
      <c r="U1567" s="38" t="b">
        <f t="shared" si="228"/>
        <v>1</v>
      </c>
      <c r="V1567" s="38"/>
      <c r="W1567" s="40"/>
      <c r="X1567" s="40"/>
      <c r="Y1567" s="40"/>
      <c r="Z1567" s="38"/>
      <c r="AA1567" s="38"/>
      <c r="AB1567" s="38"/>
      <c r="AC1567" s="38"/>
      <c r="AD1567" s="38"/>
      <c r="AE1567" s="38"/>
      <c r="AF1567" s="38"/>
      <c r="AG1567" s="38"/>
      <c r="AH1567" s="38"/>
      <c r="AI1567" s="38"/>
      <c r="AJ1567" s="38"/>
      <c r="AK1567" s="38"/>
      <c r="AL1567" s="38"/>
      <c r="AM1567" s="38"/>
      <c r="AN1567" s="38"/>
      <c r="AO1567" s="38"/>
      <c r="AP1567" s="38"/>
      <c r="AQ1567" s="38"/>
      <c r="AR1567" s="38"/>
      <c r="AS1567" s="38"/>
      <c r="AT1567" s="38"/>
      <c r="AU1567" s="38"/>
      <c r="AV1567" s="38"/>
      <c r="AW1567" s="38"/>
      <c r="AX1567" s="38"/>
      <c r="AY1567" s="38"/>
      <c r="AZ1567" s="38"/>
      <c r="BA1567" s="38"/>
      <c r="BB1567" s="38"/>
      <c r="BC1567" s="38"/>
      <c r="BD1567" s="38"/>
      <c r="BE1567" s="38"/>
      <c r="BF1567" s="38"/>
      <c r="BG1567" s="38"/>
      <c r="BH1567" s="38"/>
      <c r="BI1567" s="38"/>
      <c r="BJ1567" s="38"/>
      <c r="BK1567" s="38"/>
      <c r="BL1567" s="38"/>
      <c r="BM1567" s="38"/>
      <c r="BN1567" s="38"/>
      <c r="BO1567" s="38"/>
      <c r="BP1567" s="38"/>
      <c r="BQ1567" s="38"/>
    </row>
    <row r="1568">
      <c r="A1568" s="58" t="s">
        <v>239</v>
      </c>
      <c r="B1568" s="59">
        <v>43319.0</v>
      </c>
      <c r="C1568" s="59">
        <v>43312.0</v>
      </c>
      <c r="D1568" s="60" t="s">
        <v>3850</v>
      </c>
      <c r="E1568" s="58" t="s">
        <v>41</v>
      </c>
      <c r="F1568" s="58">
        <v>1.0</v>
      </c>
      <c r="G1568" s="58" t="s">
        <v>32</v>
      </c>
      <c r="H1568" s="33">
        <f t="shared" si="232"/>
        <v>1</v>
      </c>
      <c r="I1568" s="58" t="s">
        <v>33</v>
      </c>
      <c r="J1568" s="58" t="s">
        <v>111</v>
      </c>
      <c r="K1568" s="58">
        <v>1.0</v>
      </c>
      <c r="L1568" s="58" t="s">
        <v>194</v>
      </c>
      <c r="M1568" s="61" t="s">
        <v>4500</v>
      </c>
      <c r="N1568" s="77"/>
      <c r="O1568" s="62"/>
      <c r="P1568" s="62"/>
      <c r="Q1568" s="62"/>
      <c r="R1568" s="62"/>
      <c r="S1568" s="37" t="str">
        <f>IFERROR(__xludf.DUMMYFUNCTION("if(not(iserror(index(split(C1568, "" ""),2))), index(split(C1568, "" ""),1),"""")"),"July")</f>
        <v>July</v>
      </c>
      <c r="T1568" s="38">
        <f>IFERROR(__xludf.DUMMYFUNCTION("if(S1568="""",C1568,if(not(iserror(index(split(C1568, "" ""),3))), index(split(C1568, "" ""),3),index(split(C1568, "" ""),2)))"),2018.0)</f>
        <v>2018</v>
      </c>
      <c r="U1568" s="38" t="b">
        <f t="shared" si="228"/>
        <v>1</v>
      </c>
      <c r="V1568" s="38"/>
      <c r="W1568" s="40"/>
      <c r="X1568" s="40"/>
      <c r="Y1568" s="40"/>
      <c r="Z1568" s="38"/>
      <c r="AA1568" s="38"/>
      <c r="AB1568" s="38"/>
      <c r="AC1568" s="38"/>
      <c r="AD1568" s="38"/>
      <c r="AE1568" s="38"/>
      <c r="AF1568" s="38"/>
      <c r="AG1568" s="38"/>
      <c r="AH1568" s="38"/>
      <c r="AI1568" s="38"/>
      <c r="AJ1568" s="38"/>
      <c r="AK1568" s="38"/>
      <c r="AL1568" s="38"/>
      <c r="AM1568" s="38"/>
      <c r="AN1568" s="38"/>
      <c r="AO1568" s="38"/>
      <c r="AP1568" s="38"/>
      <c r="AQ1568" s="38"/>
      <c r="AR1568" s="38"/>
      <c r="AS1568" s="38"/>
      <c r="AT1568" s="38"/>
      <c r="AU1568" s="38"/>
      <c r="AV1568" s="38"/>
      <c r="AW1568" s="38"/>
      <c r="AX1568" s="38"/>
      <c r="AY1568" s="38"/>
      <c r="AZ1568" s="38"/>
      <c r="BA1568" s="38"/>
      <c r="BB1568" s="38"/>
      <c r="BC1568" s="38"/>
      <c r="BD1568" s="38"/>
      <c r="BE1568" s="38"/>
      <c r="BF1568" s="38"/>
      <c r="BG1568" s="38"/>
      <c r="BH1568" s="38"/>
      <c r="BI1568" s="38"/>
      <c r="BJ1568" s="38"/>
      <c r="BK1568" s="38"/>
      <c r="BL1568" s="38"/>
      <c r="BM1568" s="38"/>
      <c r="BN1568" s="38"/>
      <c r="BO1568" s="38"/>
      <c r="BP1568" s="38"/>
      <c r="BQ1568" s="38"/>
    </row>
    <row r="1569">
      <c r="A1569" s="58" t="s">
        <v>4501</v>
      </c>
      <c r="B1569" s="59"/>
      <c r="C1569" s="79">
        <v>43313.0</v>
      </c>
      <c r="D1569" s="60"/>
      <c r="E1569" s="58" t="s">
        <v>31</v>
      </c>
      <c r="F1569" s="58">
        <v>1.0</v>
      </c>
      <c r="G1569" s="58" t="s">
        <v>32</v>
      </c>
      <c r="H1569" s="43">
        <v>1.0</v>
      </c>
      <c r="I1569" s="58" t="s">
        <v>33</v>
      </c>
      <c r="J1569" s="58" t="s">
        <v>288</v>
      </c>
      <c r="K1569" s="58"/>
      <c r="L1569" s="58" t="s">
        <v>4502</v>
      </c>
      <c r="M1569" s="61" t="s">
        <v>4503</v>
      </c>
      <c r="N1569" s="61" t="s">
        <v>4504</v>
      </c>
      <c r="O1569" s="62"/>
      <c r="P1569" s="62"/>
      <c r="Q1569" s="62"/>
      <c r="R1569" s="62"/>
      <c r="S1569" s="37" t="str">
        <f>IFERROR(__xludf.DUMMYFUNCTION("if(not(iserror(index(split(C1569, "" ""),2))), index(split(C1569, "" ""),1),"""")"),"August,")</f>
        <v>August,</v>
      </c>
      <c r="T1569" s="38">
        <f>IFERROR(__xludf.DUMMYFUNCTION("if(S1569="""",C1569,if(not(iserror(index(split(C1569, "" ""),3))), index(split(C1569, "" ""),3),index(split(C1569, "" ""),2)))"),2018.0)</f>
        <v>2018</v>
      </c>
      <c r="U1569" s="38" t="b">
        <f t="shared" si="228"/>
        <v>0</v>
      </c>
      <c r="V1569" s="38" t="s">
        <v>3919</v>
      </c>
      <c r="W1569" s="40"/>
      <c r="X1569" s="40"/>
      <c r="Y1569" s="40"/>
      <c r="Z1569" s="38"/>
      <c r="AA1569" s="38"/>
      <c r="AB1569" s="38"/>
      <c r="AC1569" s="38"/>
      <c r="AD1569" s="38"/>
      <c r="AE1569" s="38"/>
      <c r="AF1569" s="38"/>
      <c r="AG1569" s="38"/>
      <c r="AH1569" s="38"/>
      <c r="AI1569" s="38"/>
      <c r="AJ1569" s="38"/>
      <c r="AK1569" s="38"/>
      <c r="AL1569" s="38"/>
      <c r="AM1569" s="38"/>
      <c r="AN1569" s="38"/>
      <c r="AO1569" s="38"/>
      <c r="AP1569" s="38"/>
      <c r="AQ1569" s="38"/>
      <c r="AR1569" s="38"/>
      <c r="AS1569" s="38"/>
      <c r="AT1569" s="38"/>
      <c r="AU1569" s="38"/>
      <c r="AV1569" s="38"/>
      <c r="AW1569" s="38"/>
      <c r="AX1569" s="38"/>
      <c r="AY1569" s="38"/>
      <c r="AZ1569" s="38"/>
      <c r="BA1569" s="38"/>
      <c r="BB1569" s="38"/>
      <c r="BC1569" s="38"/>
      <c r="BD1569" s="38"/>
      <c r="BE1569" s="38"/>
      <c r="BF1569" s="38"/>
      <c r="BG1569" s="38"/>
      <c r="BH1569" s="38"/>
      <c r="BI1569" s="38"/>
      <c r="BJ1569" s="38"/>
      <c r="BK1569" s="38"/>
      <c r="BL1569" s="38"/>
      <c r="BM1569" s="38"/>
      <c r="BN1569" s="38"/>
      <c r="BO1569" s="38"/>
      <c r="BP1569" s="38"/>
      <c r="BQ1569" s="38"/>
    </row>
    <row r="1570">
      <c r="A1570" s="58" t="s">
        <v>4505</v>
      </c>
      <c r="B1570" s="59"/>
      <c r="C1570" s="79">
        <v>43313.0</v>
      </c>
      <c r="D1570" s="60"/>
      <c r="E1570" s="58" t="s">
        <v>31</v>
      </c>
      <c r="F1570" s="58">
        <v>1.0</v>
      </c>
      <c r="G1570" s="58" t="s">
        <v>32</v>
      </c>
      <c r="H1570" s="43">
        <v>1.0</v>
      </c>
      <c r="I1570" s="58" t="s">
        <v>33</v>
      </c>
      <c r="J1570" s="58" t="s">
        <v>288</v>
      </c>
      <c r="K1570" s="58"/>
      <c r="L1570" s="58" t="s">
        <v>4502</v>
      </c>
      <c r="M1570" s="80"/>
      <c r="N1570" s="61" t="s">
        <v>4504</v>
      </c>
      <c r="O1570" s="62"/>
      <c r="P1570" s="62"/>
      <c r="Q1570" s="62"/>
      <c r="R1570" s="62"/>
      <c r="S1570" s="37" t="str">
        <f>IFERROR(__xludf.DUMMYFUNCTION("if(not(iserror(index(split(C1570, "" ""),2))), index(split(C1570, "" ""),1),"""")"),"August,")</f>
        <v>August,</v>
      </c>
      <c r="T1570" s="38">
        <f>IFERROR(__xludf.DUMMYFUNCTION("if(S1570="""",C1570,if(not(iserror(index(split(C1570, "" ""),3))), index(split(C1570, "" ""),3),index(split(C1570, "" ""),2)))"),2018.0)</f>
        <v>2018</v>
      </c>
      <c r="U1570" s="38" t="b">
        <f t="shared" si="228"/>
        <v>0</v>
      </c>
      <c r="V1570" s="38"/>
      <c r="W1570" s="40"/>
      <c r="X1570" s="40"/>
      <c r="Y1570" s="40"/>
      <c r="Z1570" s="38"/>
      <c r="AA1570" s="38"/>
      <c r="AB1570" s="38"/>
      <c r="AC1570" s="38"/>
      <c r="AD1570" s="38"/>
      <c r="AE1570" s="38"/>
      <c r="AF1570" s="38"/>
      <c r="AG1570" s="38"/>
      <c r="AH1570" s="38"/>
      <c r="AI1570" s="38"/>
      <c r="AJ1570" s="38"/>
      <c r="AK1570" s="38"/>
      <c r="AL1570" s="38"/>
      <c r="AM1570" s="38"/>
      <c r="AN1570" s="38"/>
      <c r="AO1570" s="38"/>
      <c r="AP1570" s="38"/>
      <c r="AQ1570" s="38"/>
      <c r="AR1570" s="38"/>
      <c r="AS1570" s="38"/>
      <c r="AT1570" s="38"/>
      <c r="AU1570" s="38"/>
      <c r="AV1570" s="38"/>
      <c r="AW1570" s="38"/>
      <c r="AX1570" s="38"/>
      <c r="AY1570" s="38"/>
      <c r="AZ1570" s="38"/>
      <c r="BA1570" s="38"/>
      <c r="BB1570" s="38"/>
      <c r="BC1570" s="38"/>
      <c r="BD1570" s="38"/>
      <c r="BE1570" s="38"/>
      <c r="BF1570" s="38"/>
      <c r="BG1570" s="38"/>
      <c r="BH1570" s="38"/>
      <c r="BI1570" s="38"/>
      <c r="BJ1570" s="38"/>
      <c r="BK1570" s="38"/>
      <c r="BL1570" s="38"/>
      <c r="BM1570" s="38"/>
      <c r="BN1570" s="38"/>
      <c r="BO1570" s="38"/>
      <c r="BP1570" s="38"/>
      <c r="BQ1570" s="38"/>
    </row>
    <row r="1571">
      <c r="A1571" s="58" t="s">
        <v>4506</v>
      </c>
      <c r="B1571" s="59"/>
      <c r="C1571" s="79">
        <v>43313.0</v>
      </c>
      <c r="D1571" s="60"/>
      <c r="E1571" s="58" t="s">
        <v>31</v>
      </c>
      <c r="F1571" s="58">
        <v>1.0</v>
      </c>
      <c r="G1571" s="58" t="s">
        <v>32</v>
      </c>
      <c r="H1571" s="43">
        <v>1.0</v>
      </c>
      <c r="I1571" s="58" t="s">
        <v>33</v>
      </c>
      <c r="J1571" s="58" t="s">
        <v>288</v>
      </c>
      <c r="K1571" s="58"/>
      <c r="L1571" s="58" t="s">
        <v>4502</v>
      </c>
      <c r="M1571" s="80"/>
      <c r="N1571" s="202" t="s">
        <v>4504</v>
      </c>
      <c r="O1571" s="62"/>
      <c r="P1571" s="62"/>
      <c r="Q1571" s="62"/>
      <c r="R1571" s="62"/>
      <c r="S1571" s="37" t="str">
        <f>IFERROR(__xludf.DUMMYFUNCTION("if(not(iserror(index(split(C1571, "" ""),2))), index(split(C1571, "" ""),1),"""")"),"August,")</f>
        <v>August,</v>
      </c>
      <c r="T1571" s="38">
        <f>IFERROR(__xludf.DUMMYFUNCTION("if(S1571="""",C1571,if(not(iserror(index(split(C1571, "" ""),3))), index(split(C1571, "" ""),3),index(split(C1571, "" ""),2)))"),2018.0)</f>
        <v>2018</v>
      </c>
      <c r="U1571" s="38" t="b">
        <f t="shared" si="228"/>
        <v>0</v>
      </c>
      <c r="V1571" s="38"/>
      <c r="W1571" s="40"/>
      <c r="X1571" s="40"/>
      <c r="Y1571" s="40"/>
      <c r="Z1571" s="38"/>
      <c r="AA1571" s="38"/>
      <c r="AB1571" s="38"/>
      <c r="AC1571" s="38"/>
      <c r="AD1571" s="38"/>
      <c r="AE1571" s="38"/>
      <c r="AF1571" s="38"/>
      <c r="AG1571" s="38"/>
      <c r="AH1571" s="38"/>
      <c r="AI1571" s="38"/>
      <c r="AJ1571" s="38"/>
      <c r="AK1571" s="38"/>
      <c r="AL1571" s="38"/>
      <c r="AM1571" s="38"/>
      <c r="AN1571" s="38"/>
      <c r="AO1571" s="38"/>
      <c r="AP1571" s="38"/>
      <c r="AQ1571" s="38"/>
      <c r="AR1571" s="38"/>
      <c r="AS1571" s="38"/>
      <c r="AT1571" s="38"/>
      <c r="AU1571" s="38"/>
      <c r="AV1571" s="38"/>
      <c r="AW1571" s="38"/>
      <c r="AX1571" s="38"/>
      <c r="AY1571" s="38"/>
      <c r="AZ1571" s="38"/>
      <c r="BA1571" s="38"/>
      <c r="BB1571" s="38"/>
      <c r="BC1571" s="38"/>
      <c r="BD1571" s="38"/>
      <c r="BE1571" s="38"/>
      <c r="BF1571" s="38"/>
      <c r="BG1571" s="38"/>
      <c r="BH1571" s="38"/>
      <c r="BI1571" s="38"/>
      <c r="BJ1571" s="38"/>
      <c r="BK1571" s="38"/>
      <c r="BL1571" s="38"/>
      <c r="BM1571" s="38"/>
      <c r="BN1571" s="38"/>
      <c r="BO1571" s="38"/>
      <c r="BP1571" s="38"/>
      <c r="BQ1571" s="38"/>
    </row>
    <row r="1572">
      <c r="A1572" s="58" t="s">
        <v>4507</v>
      </c>
      <c r="B1572" s="59"/>
      <c r="C1572" s="79">
        <v>43313.0</v>
      </c>
      <c r="D1572" s="60"/>
      <c r="E1572" s="58" t="s">
        <v>31</v>
      </c>
      <c r="F1572" s="58">
        <v>1.0</v>
      </c>
      <c r="G1572" s="58" t="s">
        <v>32</v>
      </c>
      <c r="H1572" s="43">
        <v>1.0</v>
      </c>
      <c r="I1572" s="58" t="s">
        <v>33</v>
      </c>
      <c r="J1572" s="58" t="s">
        <v>288</v>
      </c>
      <c r="K1572" s="58"/>
      <c r="L1572" s="58" t="s">
        <v>4502</v>
      </c>
      <c r="M1572" s="80"/>
      <c r="N1572" s="202" t="s">
        <v>4504</v>
      </c>
      <c r="O1572" s="62"/>
      <c r="P1572" s="62"/>
      <c r="Q1572" s="62"/>
      <c r="R1572" s="62"/>
      <c r="S1572" s="37" t="str">
        <f>IFERROR(__xludf.DUMMYFUNCTION("if(not(iserror(index(split(C1572, "" ""),2))), index(split(C1572, "" ""),1),"""")"),"August,")</f>
        <v>August,</v>
      </c>
      <c r="T1572" s="38">
        <f>IFERROR(__xludf.DUMMYFUNCTION("if(S1572="""",C1572,if(not(iserror(index(split(C1572, "" ""),3))), index(split(C1572, "" ""),3),index(split(C1572, "" ""),2)))"),2018.0)</f>
        <v>2018</v>
      </c>
      <c r="U1572" s="38" t="b">
        <f t="shared" si="228"/>
        <v>0</v>
      </c>
      <c r="V1572" s="38"/>
      <c r="W1572" s="40"/>
      <c r="X1572" s="40"/>
      <c r="Y1572" s="40"/>
      <c r="Z1572" s="38"/>
      <c r="AA1572" s="38"/>
      <c r="AB1572" s="38"/>
      <c r="AC1572" s="38"/>
      <c r="AD1572" s="38"/>
      <c r="AE1572" s="38"/>
      <c r="AF1572" s="38"/>
      <c r="AG1572" s="38"/>
      <c r="AH1572" s="38"/>
      <c r="AI1572" s="38"/>
      <c r="AJ1572" s="38"/>
      <c r="AK1572" s="38"/>
      <c r="AL1572" s="38"/>
      <c r="AM1572" s="38"/>
      <c r="AN1572" s="38"/>
      <c r="AO1572" s="38"/>
      <c r="AP1572" s="38"/>
      <c r="AQ1572" s="38"/>
      <c r="AR1572" s="38"/>
      <c r="AS1572" s="38"/>
      <c r="AT1572" s="38"/>
      <c r="AU1572" s="38"/>
      <c r="AV1572" s="38"/>
      <c r="AW1572" s="38"/>
      <c r="AX1572" s="38"/>
      <c r="AY1572" s="38"/>
      <c r="AZ1572" s="38"/>
      <c r="BA1572" s="38"/>
      <c r="BB1572" s="38"/>
      <c r="BC1572" s="38"/>
      <c r="BD1572" s="38"/>
      <c r="BE1572" s="38"/>
      <c r="BF1572" s="38"/>
      <c r="BG1572" s="38"/>
      <c r="BH1572" s="38"/>
      <c r="BI1572" s="38"/>
      <c r="BJ1572" s="38"/>
      <c r="BK1572" s="38"/>
      <c r="BL1572" s="38"/>
      <c r="BM1572" s="38"/>
      <c r="BN1572" s="38"/>
      <c r="BO1572" s="38"/>
      <c r="BP1572" s="38"/>
      <c r="BQ1572" s="38"/>
    </row>
    <row r="1573">
      <c r="A1573" s="58" t="s">
        <v>4508</v>
      </c>
      <c r="B1573" s="59"/>
      <c r="C1573" s="79">
        <v>43313.0</v>
      </c>
      <c r="D1573" s="60"/>
      <c r="E1573" s="58" t="s">
        <v>31</v>
      </c>
      <c r="F1573" s="58">
        <v>1.0</v>
      </c>
      <c r="G1573" s="58" t="s">
        <v>32</v>
      </c>
      <c r="H1573" s="43">
        <v>1.0</v>
      </c>
      <c r="I1573" s="58" t="s">
        <v>33</v>
      </c>
      <c r="J1573" s="58" t="s">
        <v>288</v>
      </c>
      <c r="K1573" s="58"/>
      <c r="L1573" s="58" t="s">
        <v>4502</v>
      </c>
      <c r="M1573" s="80"/>
      <c r="N1573" s="202" t="s">
        <v>4504</v>
      </c>
      <c r="O1573" s="62"/>
      <c r="P1573" s="62"/>
      <c r="Q1573" s="62"/>
      <c r="R1573" s="62"/>
      <c r="S1573" s="37" t="str">
        <f>IFERROR(__xludf.DUMMYFUNCTION("if(not(iserror(index(split(C1573, "" ""),2))), index(split(C1573, "" ""),1),"""")"),"August,")</f>
        <v>August,</v>
      </c>
      <c r="T1573" s="38">
        <f>IFERROR(__xludf.DUMMYFUNCTION("if(S1573="""",C1573,if(not(iserror(index(split(C1573, "" ""),3))), index(split(C1573, "" ""),3),index(split(C1573, "" ""),2)))"),2018.0)</f>
        <v>2018</v>
      </c>
      <c r="U1573" s="38" t="b">
        <f t="shared" si="228"/>
        <v>0</v>
      </c>
      <c r="V1573" s="38"/>
      <c r="W1573" s="40"/>
      <c r="X1573" s="40"/>
      <c r="Y1573" s="40"/>
      <c r="Z1573" s="38"/>
      <c r="AA1573" s="38"/>
      <c r="AB1573" s="38"/>
      <c r="AC1573" s="38"/>
      <c r="AD1573" s="38"/>
      <c r="AE1573" s="38"/>
      <c r="AF1573" s="38"/>
      <c r="AG1573" s="38"/>
      <c r="AH1573" s="38"/>
      <c r="AI1573" s="38"/>
      <c r="AJ1573" s="38"/>
      <c r="AK1573" s="38"/>
      <c r="AL1573" s="38"/>
      <c r="AM1573" s="38"/>
      <c r="AN1573" s="38"/>
      <c r="AO1573" s="38"/>
      <c r="AP1573" s="38"/>
      <c r="AQ1573" s="38"/>
      <c r="AR1573" s="38"/>
      <c r="AS1573" s="38"/>
      <c r="AT1573" s="38"/>
      <c r="AU1573" s="38"/>
      <c r="AV1573" s="38"/>
      <c r="AW1573" s="38"/>
      <c r="AX1573" s="38"/>
      <c r="AY1573" s="38"/>
      <c r="AZ1573" s="38"/>
      <c r="BA1573" s="38"/>
      <c r="BB1573" s="38"/>
      <c r="BC1573" s="38"/>
      <c r="BD1573" s="38"/>
      <c r="BE1573" s="38"/>
      <c r="BF1573" s="38"/>
      <c r="BG1573" s="38"/>
      <c r="BH1573" s="38"/>
      <c r="BI1573" s="38"/>
      <c r="BJ1573" s="38"/>
      <c r="BK1573" s="38"/>
      <c r="BL1573" s="38"/>
      <c r="BM1573" s="38"/>
      <c r="BN1573" s="38"/>
      <c r="BO1573" s="38"/>
      <c r="BP1573" s="38"/>
      <c r="BQ1573" s="38"/>
    </row>
    <row r="1574">
      <c r="A1574" s="58" t="s">
        <v>4509</v>
      </c>
      <c r="B1574" s="59"/>
      <c r="C1574" s="79">
        <v>43313.0</v>
      </c>
      <c r="D1574" s="60"/>
      <c r="E1574" s="58" t="s">
        <v>31</v>
      </c>
      <c r="F1574" s="58">
        <v>1.0</v>
      </c>
      <c r="G1574" s="58" t="s">
        <v>32</v>
      </c>
      <c r="H1574" s="43">
        <v>1.0</v>
      </c>
      <c r="I1574" s="58" t="s">
        <v>33</v>
      </c>
      <c r="J1574" s="58" t="s">
        <v>288</v>
      </c>
      <c r="K1574" s="58"/>
      <c r="L1574" s="58" t="s">
        <v>4502</v>
      </c>
      <c r="M1574" s="80"/>
      <c r="N1574" s="202" t="s">
        <v>4504</v>
      </c>
      <c r="O1574" s="62"/>
      <c r="P1574" s="62"/>
      <c r="Q1574" s="62"/>
      <c r="R1574" s="62"/>
      <c r="S1574" s="37" t="str">
        <f>IFERROR(__xludf.DUMMYFUNCTION("if(not(iserror(index(split(C1574, "" ""),2))), index(split(C1574, "" ""),1),"""")"),"August,")</f>
        <v>August,</v>
      </c>
      <c r="T1574" s="38">
        <f>IFERROR(__xludf.DUMMYFUNCTION("if(S1574="""",C1574,if(not(iserror(index(split(C1574, "" ""),3))), index(split(C1574, "" ""),3),index(split(C1574, "" ""),2)))"),2018.0)</f>
        <v>2018</v>
      </c>
      <c r="U1574" s="38" t="b">
        <f t="shared" si="228"/>
        <v>0</v>
      </c>
      <c r="V1574" s="38"/>
      <c r="W1574" s="40"/>
      <c r="X1574" s="40"/>
      <c r="Y1574" s="40"/>
      <c r="Z1574" s="38"/>
      <c r="AA1574" s="38"/>
      <c r="AB1574" s="38"/>
      <c r="AC1574" s="38"/>
      <c r="AD1574" s="38"/>
      <c r="AE1574" s="38"/>
      <c r="AF1574" s="38"/>
      <c r="AG1574" s="38"/>
      <c r="AH1574" s="38"/>
      <c r="AI1574" s="38"/>
      <c r="AJ1574" s="38"/>
      <c r="AK1574" s="38"/>
      <c r="AL1574" s="38"/>
      <c r="AM1574" s="38"/>
      <c r="AN1574" s="38"/>
      <c r="AO1574" s="38"/>
      <c r="AP1574" s="38"/>
      <c r="AQ1574" s="38"/>
      <c r="AR1574" s="38"/>
      <c r="AS1574" s="38"/>
      <c r="AT1574" s="38"/>
      <c r="AU1574" s="38"/>
      <c r="AV1574" s="38"/>
      <c r="AW1574" s="38"/>
      <c r="AX1574" s="38"/>
      <c r="AY1574" s="38"/>
      <c r="AZ1574" s="38"/>
      <c r="BA1574" s="38"/>
      <c r="BB1574" s="38"/>
      <c r="BC1574" s="38"/>
      <c r="BD1574" s="38"/>
      <c r="BE1574" s="38"/>
      <c r="BF1574" s="38"/>
      <c r="BG1574" s="38"/>
      <c r="BH1574" s="38"/>
      <c r="BI1574" s="38"/>
      <c r="BJ1574" s="38"/>
      <c r="BK1574" s="38"/>
      <c r="BL1574" s="38"/>
      <c r="BM1574" s="38"/>
      <c r="BN1574" s="38"/>
      <c r="BO1574" s="38"/>
      <c r="BP1574" s="38"/>
      <c r="BQ1574" s="38"/>
    </row>
    <row r="1575">
      <c r="A1575" s="58" t="s">
        <v>4510</v>
      </c>
      <c r="B1575" s="59"/>
      <c r="C1575" s="79">
        <v>43313.0</v>
      </c>
      <c r="D1575" s="60"/>
      <c r="E1575" s="58" t="s">
        <v>31</v>
      </c>
      <c r="F1575" s="58">
        <v>1.0</v>
      </c>
      <c r="G1575" s="58" t="s">
        <v>32</v>
      </c>
      <c r="H1575" s="43">
        <v>1.0</v>
      </c>
      <c r="I1575" s="58" t="s">
        <v>33</v>
      </c>
      <c r="J1575" s="58" t="s">
        <v>288</v>
      </c>
      <c r="K1575" s="58"/>
      <c r="L1575" s="58" t="s">
        <v>4502</v>
      </c>
      <c r="M1575" s="80"/>
      <c r="N1575" s="202" t="s">
        <v>4504</v>
      </c>
      <c r="O1575" s="62"/>
      <c r="P1575" s="62"/>
      <c r="Q1575" s="62"/>
      <c r="R1575" s="62"/>
      <c r="S1575" s="37" t="str">
        <f>IFERROR(__xludf.DUMMYFUNCTION("if(not(iserror(index(split(C1575, "" ""),2))), index(split(C1575, "" ""),1),"""")"),"August,")</f>
        <v>August,</v>
      </c>
      <c r="T1575" s="38">
        <f>IFERROR(__xludf.DUMMYFUNCTION("if(S1575="""",C1575,if(not(iserror(index(split(C1575, "" ""),3))), index(split(C1575, "" ""),3),index(split(C1575, "" ""),2)))"),2018.0)</f>
        <v>2018</v>
      </c>
      <c r="U1575" s="38" t="b">
        <f t="shared" si="228"/>
        <v>0</v>
      </c>
      <c r="V1575" s="38"/>
      <c r="W1575" s="40"/>
      <c r="X1575" s="40"/>
      <c r="Y1575" s="40"/>
      <c r="Z1575" s="38"/>
      <c r="AA1575" s="38"/>
      <c r="AB1575" s="38"/>
      <c r="AC1575" s="38"/>
      <c r="AD1575" s="38"/>
      <c r="AE1575" s="38"/>
      <c r="AF1575" s="38"/>
      <c r="AG1575" s="38"/>
      <c r="AH1575" s="38"/>
      <c r="AI1575" s="38"/>
      <c r="AJ1575" s="38"/>
      <c r="AK1575" s="38"/>
      <c r="AL1575" s="38"/>
      <c r="AM1575" s="38"/>
      <c r="AN1575" s="38"/>
      <c r="AO1575" s="38"/>
      <c r="AP1575" s="38"/>
      <c r="AQ1575" s="38"/>
      <c r="AR1575" s="38"/>
      <c r="AS1575" s="38"/>
      <c r="AT1575" s="38"/>
      <c r="AU1575" s="38"/>
      <c r="AV1575" s="38"/>
      <c r="AW1575" s="38"/>
      <c r="AX1575" s="38"/>
      <c r="AY1575" s="38"/>
      <c r="AZ1575" s="38"/>
      <c r="BA1575" s="38"/>
      <c r="BB1575" s="38"/>
      <c r="BC1575" s="38"/>
      <c r="BD1575" s="38"/>
      <c r="BE1575" s="38"/>
      <c r="BF1575" s="38"/>
      <c r="BG1575" s="38"/>
      <c r="BH1575" s="38"/>
      <c r="BI1575" s="38"/>
      <c r="BJ1575" s="38"/>
      <c r="BK1575" s="38"/>
      <c r="BL1575" s="38"/>
      <c r="BM1575" s="38"/>
      <c r="BN1575" s="38"/>
      <c r="BO1575" s="38"/>
      <c r="BP1575" s="38"/>
      <c r="BQ1575" s="38"/>
    </row>
    <row r="1576">
      <c r="A1576" s="58" t="s">
        <v>4511</v>
      </c>
      <c r="B1576" s="59"/>
      <c r="C1576" s="79">
        <v>43313.0</v>
      </c>
      <c r="D1576" s="60"/>
      <c r="E1576" s="58" t="s">
        <v>31</v>
      </c>
      <c r="F1576" s="58">
        <v>1.0</v>
      </c>
      <c r="G1576" s="58" t="s">
        <v>32</v>
      </c>
      <c r="H1576" s="43">
        <v>1.0</v>
      </c>
      <c r="I1576" s="58" t="s">
        <v>33</v>
      </c>
      <c r="J1576" s="58" t="s">
        <v>288</v>
      </c>
      <c r="K1576" s="58"/>
      <c r="L1576" s="58" t="s">
        <v>4502</v>
      </c>
      <c r="M1576" s="80"/>
      <c r="N1576" s="202" t="s">
        <v>4504</v>
      </c>
      <c r="O1576" s="62"/>
      <c r="P1576" s="62"/>
      <c r="Q1576" s="62"/>
      <c r="R1576" s="62"/>
      <c r="S1576" s="37" t="str">
        <f>IFERROR(__xludf.DUMMYFUNCTION("if(not(iserror(index(split(C1576, "" ""),2))), index(split(C1576, "" ""),1),"""")"),"August,")</f>
        <v>August,</v>
      </c>
      <c r="T1576" s="38">
        <f>IFERROR(__xludf.DUMMYFUNCTION("if(S1576="""",C1576,if(not(iserror(index(split(C1576, "" ""),3))), index(split(C1576, "" ""),3),index(split(C1576, "" ""),2)))"),2018.0)</f>
        <v>2018</v>
      </c>
      <c r="U1576" s="38" t="b">
        <f t="shared" si="228"/>
        <v>0</v>
      </c>
      <c r="V1576" s="38"/>
      <c r="W1576" s="40"/>
      <c r="X1576" s="40"/>
      <c r="Y1576" s="40"/>
      <c r="Z1576" s="38"/>
      <c r="AA1576" s="38"/>
      <c r="AB1576" s="38"/>
      <c r="AC1576" s="38"/>
      <c r="AD1576" s="38"/>
      <c r="AE1576" s="38"/>
      <c r="AF1576" s="38"/>
      <c r="AG1576" s="38"/>
      <c r="AH1576" s="38"/>
      <c r="AI1576" s="38"/>
      <c r="AJ1576" s="38"/>
      <c r="AK1576" s="38"/>
      <c r="AL1576" s="38"/>
      <c r="AM1576" s="38"/>
      <c r="AN1576" s="38"/>
      <c r="AO1576" s="38"/>
      <c r="AP1576" s="38"/>
      <c r="AQ1576" s="38"/>
      <c r="AR1576" s="38"/>
      <c r="AS1576" s="38"/>
      <c r="AT1576" s="38"/>
      <c r="AU1576" s="38"/>
      <c r="AV1576" s="38"/>
      <c r="AW1576" s="38"/>
      <c r="AX1576" s="38"/>
      <c r="AY1576" s="38"/>
      <c r="AZ1576" s="38"/>
      <c r="BA1576" s="38"/>
      <c r="BB1576" s="38"/>
      <c r="BC1576" s="38"/>
      <c r="BD1576" s="38"/>
      <c r="BE1576" s="38"/>
      <c r="BF1576" s="38"/>
      <c r="BG1576" s="38"/>
      <c r="BH1576" s="38"/>
      <c r="BI1576" s="38"/>
      <c r="BJ1576" s="38"/>
      <c r="BK1576" s="38"/>
      <c r="BL1576" s="38"/>
      <c r="BM1576" s="38"/>
      <c r="BN1576" s="38"/>
      <c r="BO1576" s="38"/>
      <c r="BP1576" s="38"/>
      <c r="BQ1576" s="38"/>
    </row>
    <row r="1577">
      <c r="A1577" s="58" t="s">
        <v>4512</v>
      </c>
      <c r="B1577" s="59"/>
      <c r="C1577" s="79">
        <v>43313.0</v>
      </c>
      <c r="D1577" s="60"/>
      <c r="E1577" s="58" t="s">
        <v>31</v>
      </c>
      <c r="F1577" s="58">
        <v>1.0</v>
      </c>
      <c r="G1577" s="58" t="s">
        <v>32</v>
      </c>
      <c r="H1577" s="43">
        <v>1.0</v>
      </c>
      <c r="I1577" s="58" t="s">
        <v>33</v>
      </c>
      <c r="J1577" s="58" t="s">
        <v>288</v>
      </c>
      <c r="K1577" s="58"/>
      <c r="L1577" s="58" t="s">
        <v>4502</v>
      </c>
      <c r="M1577" s="80"/>
      <c r="N1577" s="202" t="s">
        <v>4504</v>
      </c>
      <c r="O1577" s="62"/>
      <c r="P1577" s="62"/>
      <c r="Q1577" s="62"/>
      <c r="R1577" s="62"/>
      <c r="S1577" s="37" t="str">
        <f>IFERROR(__xludf.DUMMYFUNCTION("if(not(iserror(index(split(C1577, "" ""),2))), index(split(C1577, "" ""),1),"""")"),"August,")</f>
        <v>August,</v>
      </c>
      <c r="T1577" s="38">
        <f>IFERROR(__xludf.DUMMYFUNCTION("if(S1577="""",C1577,if(not(iserror(index(split(C1577, "" ""),3))), index(split(C1577, "" ""),3),index(split(C1577, "" ""),2)))"),2018.0)</f>
        <v>2018</v>
      </c>
      <c r="U1577" s="38" t="b">
        <f t="shared" si="228"/>
        <v>0</v>
      </c>
      <c r="V1577" s="38"/>
      <c r="W1577" s="40"/>
      <c r="X1577" s="40"/>
      <c r="Y1577" s="40"/>
      <c r="Z1577" s="38"/>
      <c r="AA1577" s="38"/>
      <c r="AB1577" s="38"/>
      <c r="AC1577" s="38"/>
      <c r="AD1577" s="38"/>
      <c r="AE1577" s="38"/>
      <c r="AF1577" s="38"/>
      <c r="AG1577" s="38"/>
      <c r="AH1577" s="38"/>
      <c r="AI1577" s="38"/>
      <c r="AJ1577" s="38"/>
      <c r="AK1577" s="38"/>
      <c r="AL1577" s="38"/>
      <c r="AM1577" s="38"/>
      <c r="AN1577" s="38"/>
      <c r="AO1577" s="38"/>
      <c r="AP1577" s="38"/>
      <c r="AQ1577" s="38"/>
      <c r="AR1577" s="38"/>
      <c r="AS1577" s="38"/>
      <c r="AT1577" s="38"/>
      <c r="AU1577" s="38"/>
      <c r="AV1577" s="38"/>
      <c r="AW1577" s="38"/>
      <c r="AX1577" s="38"/>
      <c r="AY1577" s="38"/>
      <c r="AZ1577" s="38"/>
      <c r="BA1577" s="38"/>
      <c r="BB1577" s="38"/>
      <c r="BC1577" s="38"/>
      <c r="BD1577" s="38"/>
      <c r="BE1577" s="38"/>
      <c r="BF1577" s="38"/>
      <c r="BG1577" s="38"/>
      <c r="BH1577" s="38"/>
      <c r="BI1577" s="38"/>
      <c r="BJ1577" s="38"/>
      <c r="BK1577" s="38"/>
      <c r="BL1577" s="38"/>
      <c r="BM1577" s="38"/>
      <c r="BN1577" s="38"/>
      <c r="BO1577" s="38"/>
      <c r="BP1577" s="38"/>
      <c r="BQ1577" s="38"/>
    </row>
    <row r="1578">
      <c r="A1578" s="58" t="s">
        <v>4513</v>
      </c>
      <c r="B1578" s="59"/>
      <c r="C1578" s="79">
        <v>43313.0</v>
      </c>
      <c r="D1578" s="60"/>
      <c r="E1578" s="58" t="s">
        <v>31</v>
      </c>
      <c r="F1578" s="58">
        <v>1.0</v>
      </c>
      <c r="G1578" s="58" t="s">
        <v>32</v>
      </c>
      <c r="H1578" s="43">
        <v>1.0</v>
      </c>
      <c r="I1578" s="58" t="s">
        <v>33</v>
      </c>
      <c r="J1578" s="58" t="s">
        <v>288</v>
      </c>
      <c r="K1578" s="58"/>
      <c r="L1578" s="58" t="s">
        <v>4502</v>
      </c>
      <c r="M1578" s="80"/>
      <c r="N1578" s="202" t="s">
        <v>4504</v>
      </c>
      <c r="O1578" s="62"/>
      <c r="P1578" s="62"/>
      <c r="Q1578" s="62"/>
      <c r="R1578" s="62"/>
      <c r="S1578" s="37" t="str">
        <f>IFERROR(__xludf.DUMMYFUNCTION("if(not(iserror(index(split(C1578, "" ""),2))), index(split(C1578, "" ""),1),"""")"),"August,")</f>
        <v>August,</v>
      </c>
      <c r="T1578" s="38">
        <f>IFERROR(__xludf.DUMMYFUNCTION("if(S1578="""",C1578,if(not(iserror(index(split(C1578, "" ""),3))), index(split(C1578, "" ""),3),index(split(C1578, "" ""),2)))"),2018.0)</f>
        <v>2018</v>
      </c>
      <c r="U1578" s="38" t="b">
        <f t="shared" si="228"/>
        <v>0</v>
      </c>
      <c r="V1578" s="38"/>
      <c r="W1578" s="40"/>
      <c r="X1578" s="40"/>
      <c r="Y1578" s="40"/>
      <c r="Z1578" s="38"/>
      <c r="AA1578" s="38"/>
      <c r="AB1578" s="38"/>
      <c r="AC1578" s="38"/>
      <c r="AD1578" s="38"/>
      <c r="AE1578" s="38"/>
      <c r="AF1578" s="38"/>
      <c r="AG1578" s="38"/>
      <c r="AH1578" s="38"/>
      <c r="AI1578" s="38"/>
      <c r="AJ1578" s="38"/>
      <c r="AK1578" s="38"/>
      <c r="AL1578" s="38"/>
      <c r="AM1578" s="38"/>
      <c r="AN1578" s="38"/>
      <c r="AO1578" s="38"/>
      <c r="AP1578" s="38"/>
      <c r="AQ1578" s="38"/>
      <c r="AR1578" s="38"/>
      <c r="AS1578" s="38"/>
      <c r="AT1578" s="38"/>
      <c r="AU1578" s="38"/>
      <c r="AV1578" s="38"/>
      <c r="AW1578" s="38"/>
      <c r="AX1578" s="38"/>
      <c r="AY1578" s="38"/>
      <c r="AZ1578" s="38"/>
      <c r="BA1578" s="38"/>
      <c r="BB1578" s="38"/>
      <c r="BC1578" s="38"/>
      <c r="BD1578" s="38"/>
      <c r="BE1578" s="38"/>
      <c r="BF1578" s="38"/>
      <c r="BG1578" s="38"/>
      <c r="BH1578" s="38"/>
      <c r="BI1578" s="38"/>
      <c r="BJ1578" s="38"/>
      <c r="BK1578" s="38"/>
      <c r="BL1578" s="38"/>
      <c r="BM1578" s="38"/>
      <c r="BN1578" s="38"/>
      <c r="BO1578" s="38"/>
      <c r="BP1578" s="38"/>
      <c r="BQ1578" s="38"/>
    </row>
    <row r="1579">
      <c r="A1579" s="58" t="s">
        <v>4514</v>
      </c>
      <c r="B1579" s="59"/>
      <c r="C1579" s="79">
        <v>43313.0</v>
      </c>
      <c r="D1579" s="60"/>
      <c r="E1579" s="58" t="s">
        <v>31</v>
      </c>
      <c r="F1579" s="58">
        <v>1.0</v>
      </c>
      <c r="G1579" s="58" t="s">
        <v>32</v>
      </c>
      <c r="H1579" s="43">
        <v>1.0</v>
      </c>
      <c r="I1579" s="58" t="s">
        <v>33</v>
      </c>
      <c r="J1579" s="58" t="s">
        <v>288</v>
      </c>
      <c r="K1579" s="58"/>
      <c r="L1579" s="58" t="s">
        <v>4502</v>
      </c>
      <c r="M1579" s="80"/>
      <c r="N1579" s="202" t="s">
        <v>4504</v>
      </c>
      <c r="O1579" s="62"/>
      <c r="P1579" s="62"/>
      <c r="Q1579" s="62"/>
      <c r="R1579" s="62"/>
      <c r="S1579" s="37" t="str">
        <f>IFERROR(__xludf.DUMMYFUNCTION("if(not(iserror(index(split(C1579, "" ""),2))), index(split(C1579, "" ""),1),"""")"),"August,")</f>
        <v>August,</v>
      </c>
      <c r="T1579" s="38">
        <f>IFERROR(__xludf.DUMMYFUNCTION("if(S1579="""",C1579,if(not(iserror(index(split(C1579, "" ""),3))), index(split(C1579, "" ""),3),index(split(C1579, "" ""),2)))"),2018.0)</f>
        <v>2018</v>
      </c>
      <c r="U1579" s="38" t="b">
        <f t="shared" si="228"/>
        <v>0</v>
      </c>
      <c r="V1579" s="38"/>
      <c r="W1579" s="40"/>
      <c r="X1579" s="40"/>
      <c r="Y1579" s="40"/>
      <c r="Z1579" s="38"/>
      <c r="AA1579" s="38"/>
      <c r="AB1579" s="38"/>
      <c r="AC1579" s="38"/>
      <c r="AD1579" s="38"/>
      <c r="AE1579" s="38"/>
      <c r="AF1579" s="38"/>
      <c r="AG1579" s="38"/>
      <c r="AH1579" s="38"/>
      <c r="AI1579" s="38"/>
      <c r="AJ1579" s="38"/>
      <c r="AK1579" s="38"/>
      <c r="AL1579" s="38"/>
      <c r="AM1579" s="38"/>
      <c r="AN1579" s="38"/>
      <c r="AO1579" s="38"/>
      <c r="AP1579" s="38"/>
      <c r="AQ1579" s="38"/>
      <c r="AR1579" s="38"/>
      <c r="AS1579" s="38"/>
      <c r="AT1579" s="38"/>
      <c r="AU1579" s="38"/>
      <c r="AV1579" s="38"/>
      <c r="AW1579" s="38"/>
      <c r="AX1579" s="38"/>
      <c r="AY1579" s="38"/>
      <c r="AZ1579" s="38"/>
      <c r="BA1579" s="38"/>
      <c r="BB1579" s="38"/>
      <c r="BC1579" s="38"/>
      <c r="BD1579" s="38"/>
      <c r="BE1579" s="38"/>
      <c r="BF1579" s="38"/>
      <c r="BG1579" s="38"/>
      <c r="BH1579" s="38"/>
      <c r="BI1579" s="38"/>
      <c r="BJ1579" s="38"/>
      <c r="BK1579" s="38"/>
      <c r="BL1579" s="38"/>
      <c r="BM1579" s="38"/>
      <c r="BN1579" s="38"/>
      <c r="BO1579" s="38"/>
      <c r="BP1579" s="38"/>
      <c r="BQ1579" s="38"/>
    </row>
    <row r="1580">
      <c r="A1580" s="58" t="s">
        <v>4515</v>
      </c>
      <c r="B1580" s="59"/>
      <c r="C1580" s="79">
        <v>43313.0</v>
      </c>
      <c r="D1580" s="60"/>
      <c r="E1580" s="58" t="s">
        <v>31</v>
      </c>
      <c r="F1580" s="58">
        <v>1.0</v>
      </c>
      <c r="G1580" s="58" t="s">
        <v>32</v>
      </c>
      <c r="H1580" s="43">
        <v>1.0</v>
      </c>
      <c r="I1580" s="58" t="s">
        <v>33</v>
      </c>
      <c r="J1580" s="58" t="s">
        <v>288</v>
      </c>
      <c r="K1580" s="58"/>
      <c r="L1580" s="58" t="s">
        <v>4502</v>
      </c>
      <c r="M1580" s="80"/>
      <c r="N1580" s="202" t="s">
        <v>4504</v>
      </c>
      <c r="O1580" s="62"/>
      <c r="P1580" s="62"/>
      <c r="Q1580" s="62"/>
      <c r="R1580" s="62"/>
      <c r="S1580" s="37" t="str">
        <f>IFERROR(__xludf.DUMMYFUNCTION("if(not(iserror(index(split(C1580, "" ""),2))), index(split(C1580, "" ""),1),"""")"),"August,")</f>
        <v>August,</v>
      </c>
      <c r="T1580" s="38">
        <f>IFERROR(__xludf.DUMMYFUNCTION("if(S1580="""",C1580,if(not(iserror(index(split(C1580, "" ""),3))), index(split(C1580, "" ""),3),index(split(C1580, "" ""),2)))"),2018.0)</f>
        <v>2018</v>
      </c>
      <c r="U1580" s="38" t="b">
        <f t="shared" si="228"/>
        <v>0</v>
      </c>
      <c r="V1580" s="38"/>
      <c r="W1580" s="40"/>
      <c r="X1580" s="40"/>
      <c r="Y1580" s="40"/>
      <c r="Z1580" s="38"/>
      <c r="AA1580" s="38"/>
      <c r="AB1580" s="38"/>
      <c r="AC1580" s="38"/>
      <c r="AD1580" s="38"/>
      <c r="AE1580" s="38"/>
      <c r="AF1580" s="38"/>
      <c r="AG1580" s="38"/>
      <c r="AH1580" s="38"/>
      <c r="AI1580" s="38"/>
      <c r="AJ1580" s="38"/>
      <c r="AK1580" s="38"/>
      <c r="AL1580" s="38"/>
      <c r="AM1580" s="38"/>
      <c r="AN1580" s="38"/>
      <c r="AO1580" s="38"/>
      <c r="AP1580" s="38"/>
      <c r="AQ1580" s="38"/>
      <c r="AR1580" s="38"/>
      <c r="AS1580" s="38"/>
      <c r="AT1580" s="38"/>
      <c r="AU1580" s="38"/>
      <c r="AV1580" s="38"/>
      <c r="AW1580" s="38"/>
      <c r="AX1580" s="38"/>
      <c r="AY1580" s="38"/>
      <c r="AZ1580" s="38"/>
      <c r="BA1580" s="38"/>
      <c r="BB1580" s="38"/>
      <c r="BC1580" s="38"/>
      <c r="BD1580" s="38"/>
      <c r="BE1580" s="38"/>
      <c r="BF1580" s="38"/>
      <c r="BG1580" s="38"/>
      <c r="BH1580" s="38"/>
      <c r="BI1580" s="38"/>
      <c r="BJ1580" s="38"/>
      <c r="BK1580" s="38"/>
      <c r="BL1580" s="38"/>
      <c r="BM1580" s="38"/>
      <c r="BN1580" s="38"/>
      <c r="BO1580" s="38"/>
      <c r="BP1580" s="38"/>
      <c r="BQ1580" s="38"/>
    </row>
    <row r="1581">
      <c r="A1581" s="58" t="s">
        <v>4516</v>
      </c>
      <c r="B1581" s="59"/>
      <c r="C1581" s="79">
        <v>43313.0</v>
      </c>
      <c r="D1581" s="60"/>
      <c r="E1581" s="58" t="s">
        <v>31</v>
      </c>
      <c r="F1581" s="58">
        <v>1.0</v>
      </c>
      <c r="G1581" s="58" t="s">
        <v>32</v>
      </c>
      <c r="H1581" s="43">
        <v>1.0</v>
      </c>
      <c r="I1581" s="58" t="s">
        <v>33</v>
      </c>
      <c r="J1581" s="58" t="s">
        <v>288</v>
      </c>
      <c r="K1581" s="58"/>
      <c r="L1581" s="58" t="s">
        <v>4502</v>
      </c>
      <c r="M1581" s="80"/>
      <c r="N1581" s="202" t="s">
        <v>4504</v>
      </c>
      <c r="O1581" s="62"/>
      <c r="P1581" s="62"/>
      <c r="Q1581" s="62"/>
      <c r="R1581" s="62"/>
      <c r="S1581" s="37" t="str">
        <f>IFERROR(__xludf.DUMMYFUNCTION("if(not(iserror(index(split(C1581, "" ""),2))), index(split(C1581, "" ""),1),"""")"),"August,")</f>
        <v>August,</v>
      </c>
      <c r="T1581" s="38">
        <f>IFERROR(__xludf.DUMMYFUNCTION("if(S1581="""",C1581,if(not(iserror(index(split(C1581, "" ""),3))), index(split(C1581, "" ""),3),index(split(C1581, "" ""),2)))"),2018.0)</f>
        <v>2018</v>
      </c>
      <c r="U1581" s="38" t="b">
        <f t="shared" si="228"/>
        <v>0</v>
      </c>
      <c r="V1581" s="38"/>
      <c r="W1581" s="40"/>
      <c r="X1581" s="40"/>
      <c r="Y1581" s="40"/>
      <c r="Z1581" s="38"/>
      <c r="AA1581" s="38"/>
      <c r="AB1581" s="38"/>
      <c r="AC1581" s="38"/>
      <c r="AD1581" s="38"/>
      <c r="AE1581" s="38"/>
      <c r="AF1581" s="38"/>
      <c r="AG1581" s="38"/>
      <c r="AH1581" s="38"/>
      <c r="AI1581" s="38"/>
      <c r="AJ1581" s="38"/>
      <c r="AK1581" s="38"/>
      <c r="AL1581" s="38"/>
      <c r="AM1581" s="38"/>
      <c r="AN1581" s="38"/>
      <c r="AO1581" s="38"/>
      <c r="AP1581" s="38"/>
      <c r="AQ1581" s="38"/>
      <c r="AR1581" s="38"/>
      <c r="AS1581" s="38"/>
      <c r="AT1581" s="38"/>
      <c r="AU1581" s="38"/>
      <c r="AV1581" s="38"/>
      <c r="AW1581" s="38"/>
      <c r="AX1581" s="38"/>
      <c r="AY1581" s="38"/>
      <c r="AZ1581" s="38"/>
      <c r="BA1581" s="38"/>
      <c r="BB1581" s="38"/>
      <c r="BC1581" s="38"/>
      <c r="BD1581" s="38"/>
      <c r="BE1581" s="38"/>
      <c r="BF1581" s="38"/>
      <c r="BG1581" s="38"/>
      <c r="BH1581" s="38"/>
      <c r="BI1581" s="38"/>
      <c r="BJ1581" s="38"/>
      <c r="BK1581" s="38"/>
      <c r="BL1581" s="38"/>
      <c r="BM1581" s="38"/>
      <c r="BN1581" s="38"/>
      <c r="BO1581" s="38"/>
      <c r="BP1581" s="38"/>
      <c r="BQ1581" s="38"/>
    </row>
    <row r="1582">
      <c r="A1582" s="58" t="s">
        <v>4517</v>
      </c>
      <c r="B1582" s="59"/>
      <c r="C1582" s="79">
        <v>43313.0</v>
      </c>
      <c r="D1582" s="60"/>
      <c r="E1582" s="58" t="s">
        <v>31</v>
      </c>
      <c r="F1582" s="58">
        <v>1.0</v>
      </c>
      <c r="G1582" s="58" t="s">
        <v>32</v>
      </c>
      <c r="H1582" s="43">
        <v>1.0</v>
      </c>
      <c r="I1582" s="58" t="s">
        <v>33</v>
      </c>
      <c r="J1582" s="58" t="s">
        <v>288</v>
      </c>
      <c r="K1582" s="58"/>
      <c r="L1582" s="58" t="s">
        <v>4502</v>
      </c>
      <c r="M1582" s="80"/>
      <c r="N1582" s="202" t="s">
        <v>4504</v>
      </c>
      <c r="O1582" s="62"/>
      <c r="P1582" s="62"/>
      <c r="Q1582" s="62"/>
      <c r="R1582" s="62"/>
      <c r="S1582" s="37" t="str">
        <f>IFERROR(__xludf.DUMMYFUNCTION("if(not(iserror(index(split(C1582, "" ""),2))), index(split(C1582, "" ""),1),"""")"),"August,")</f>
        <v>August,</v>
      </c>
      <c r="T1582" s="38">
        <f>IFERROR(__xludf.DUMMYFUNCTION("if(S1582="""",C1582,if(not(iserror(index(split(C1582, "" ""),3))), index(split(C1582, "" ""),3),index(split(C1582, "" ""),2)))"),2018.0)</f>
        <v>2018</v>
      </c>
      <c r="U1582" s="38" t="b">
        <f t="shared" si="228"/>
        <v>0</v>
      </c>
      <c r="V1582" s="38"/>
      <c r="W1582" s="40"/>
      <c r="X1582" s="40"/>
      <c r="Y1582" s="40"/>
      <c r="Z1582" s="38"/>
      <c r="AA1582" s="38"/>
      <c r="AB1582" s="38"/>
      <c r="AC1582" s="38"/>
      <c r="AD1582" s="38"/>
      <c r="AE1582" s="38"/>
      <c r="AF1582" s="38"/>
      <c r="AG1582" s="38"/>
      <c r="AH1582" s="38"/>
      <c r="AI1582" s="38"/>
      <c r="AJ1582" s="38"/>
      <c r="AK1582" s="38"/>
      <c r="AL1582" s="38"/>
      <c r="AM1582" s="38"/>
      <c r="AN1582" s="38"/>
      <c r="AO1582" s="38"/>
      <c r="AP1582" s="38"/>
      <c r="AQ1582" s="38"/>
      <c r="AR1582" s="38"/>
      <c r="AS1582" s="38"/>
      <c r="AT1582" s="38"/>
      <c r="AU1582" s="38"/>
      <c r="AV1582" s="38"/>
      <c r="AW1582" s="38"/>
      <c r="AX1582" s="38"/>
      <c r="AY1582" s="38"/>
      <c r="AZ1582" s="38"/>
      <c r="BA1582" s="38"/>
      <c r="BB1582" s="38"/>
      <c r="BC1582" s="38"/>
      <c r="BD1582" s="38"/>
      <c r="BE1582" s="38"/>
      <c r="BF1582" s="38"/>
      <c r="BG1582" s="38"/>
      <c r="BH1582" s="38"/>
      <c r="BI1582" s="38"/>
      <c r="BJ1582" s="38"/>
      <c r="BK1582" s="38"/>
      <c r="BL1582" s="38"/>
      <c r="BM1582" s="38"/>
      <c r="BN1582" s="38"/>
      <c r="BO1582" s="38"/>
      <c r="BP1582" s="38"/>
      <c r="BQ1582" s="38"/>
    </row>
    <row r="1583">
      <c r="A1583" s="58" t="s">
        <v>4518</v>
      </c>
      <c r="B1583" s="59"/>
      <c r="C1583" s="79">
        <v>43313.0</v>
      </c>
      <c r="D1583" s="60"/>
      <c r="E1583" s="58" t="s">
        <v>31</v>
      </c>
      <c r="F1583" s="58">
        <v>1.0</v>
      </c>
      <c r="G1583" s="58" t="s">
        <v>32</v>
      </c>
      <c r="H1583" s="43">
        <v>1.0</v>
      </c>
      <c r="I1583" s="58" t="s">
        <v>33</v>
      </c>
      <c r="J1583" s="58" t="s">
        <v>288</v>
      </c>
      <c r="K1583" s="58"/>
      <c r="L1583" s="58" t="s">
        <v>4502</v>
      </c>
      <c r="M1583" s="80"/>
      <c r="N1583" s="202" t="s">
        <v>4504</v>
      </c>
      <c r="O1583" s="62"/>
      <c r="P1583" s="62"/>
      <c r="Q1583" s="62"/>
      <c r="R1583" s="62"/>
      <c r="S1583" s="37" t="str">
        <f>IFERROR(__xludf.DUMMYFUNCTION("if(not(iserror(index(split(C1583, "" ""),2))), index(split(C1583, "" ""),1),"""")"),"August,")</f>
        <v>August,</v>
      </c>
      <c r="T1583" s="38">
        <f>IFERROR(__xludf.DUMMYFUNCTION("if(S1583="""",C1583,if(not(iserror(index(split(C1583, "" ""),3))), index(split(C1583, "" ""),3),index(split(C1583, "" ""),2)))"),2018.0)</f>
        <v>2018</v>
      </c>
      <c r="U1583" s="38" t="b">
        <f t="shared" si="228"/>
        <v>0</v>
      </c>
      <c r="V1583" s="38"/>
      <c r="W1583" s="40"/>
      <c r="X1583" s="40"/>
      <c r="Y1583" s="40"/>
      <c r="Z1583" s="38"/>
      <c r="AA1583" s="38"/>
      <c r="AB1583" s="38"/>
      <c r="AC1583" s="38"/>
      <c r="AD1583" s="38"/>
      <c r="AE1583" s="38"/>
      <c r="AF1583" s="38"/>
      <c r="AG1583" s="38"/>
      <c r="AH1583" s="38"/>
      <c r="AI1583" s="38"/>
      <c r="AJ1583" s="38"/>
      <c r="AK1583" s="38"/>
      <c r="AL1583" s="38"/>
      <c r="AM1583" s="38"/>
      <c r="AN1583" s="38"/>
      <c r="AO1583" s="38"/>
      <c r="AP1583" s="38"/>
      <c r="AQ1583" s="38"/>
      <c r="AR1583" s="38"/>
      <c r="AS1583" s="38"/>
      <c r="AT1583" s="38"/>
      <c r="AU1583" s="38"/>
      <c r="AV1583" s="38"/>
      <c r="AW1583" s="38"/>
      <c r="AX1583" s="38"/>
      <c r="AY1583" s="38"/>
      <c r="AZ1583" s="38"/>
      <c r="BA1583" s="38"/>
      <c r="BB1583" s="38"/>
      <c r="BC1583" s="38"/>
      <c r="BD1583" s="38"/>
      <c r="BE1583" s="38"/>
      <c r="BF1583" s="38"/>
      <c r="BG1583" s="38"/>
      <c r="BH1583" s="38"/>
      <c r="BI1583" s="38"/>
      <c r="BJ1583" s="38"/>
      <c r="BK1583" s="38"/>
      <c r="BL1583" s="38"/>
      <c r="BM1583" s="38"/>
      <c r="BN1583" s="38"/>
      <c r="BO1583" s="38"/>
      <c r="BP1583" s="38"/>
      <c r="BQ1583" s="38"/>
    </row>
    <row r="1584">
      <c r="A1584" s="58" t="s">
        <v>4519</v>
      </c>
      <c r="B1584" s="59"/>
      <c r="C1584" s="79">
        <v>43313.0</v>
      </c>
      <c r="D1584" s="60"/>
      <c r="E1584" s="58" t="s">
        <v>31</v>
      </c>
      <c r="F1584" s="58">
        <v>1.0</v>
      </c>
      <c r="G1584" s="58" t="s">
        <v>32</v>
      </c>
      <c r="H1584" s="43">
        <v>1.0</v>
      </c>
      <c r="I1584" s="58" t="s">
        <v>33</v>
      </c>
      <c r="J1584" s="58" t="s">
        <v>288</v>
      </c>
      <c r="K1584" s="58"/>
      <c r="L1584" s="58" t="s">
        <v>4502</v>
      </c>
      <c r="M1584" s="80"/>
      <c r="N1584" s="202" t="s">
        <v>4504</v>
      </c>
      <c r="O1584" s="62"/>
      <c r="P1584" s="62"/>
      <c r="Q1584" s="62"/>
      <c r="R1584" s="62"/>
      <c r="S1584" s="37" t="str">
        <f>IFERROR(__xludf.DUMMYFUNCTION("if(not(iserror(index(split(C1584, "" ""),2))), index(split(C1584, "" ""),1),"""")"),"August,")</f>
        <v>August,</v>
      </c>
      <c r="T1584" s="38">
        <f>IFERROR(__xludf.DUMMYFUNCTION("if(S1584="""",C1584,if(not(iserror(index(split(C1584, "" ""),3))), index(split(C1584, "" ""),3),index(split(C1584, "" ""),2)))"),2018.0)</f>
        <v>2018</v>
      </c>
      <c r="U1584" s="38" t="b">
        <f t="shared" si="228"/>
        <v>0</v>
      </c>
      <c r="V1584" s="38"/>
      <c r="W1584" s="40"/>
      <c r="X1584" s="40"/>
      <c r="Y1584" s="40"/>
      <c r="Z1584" s="38"/>
      <c r="AA1584" s="38"/>
      <c r="AB1584" s="38"/>
      <c r="AC1584" s="38"/>
      <c r="AD1584" s="38"/>
      <c r="AE1584" s="38"/>
      <c r="AF1584" s="38"/>
      <c r="AG1584" s="38"/>
      <c r="AH1584" s="38"/>
      <c r="AI1584" s="38"/>
      <c r="AJ1584" s="38"/>
      <c r="AK1584" s="38"/>
      <c r="AL1584" s="38"/>
      <c r="AM1584" s="38"/>
      <c r="AN1584" s="38"/>
      <c r="AO1584" s="38"/>
      <c r="AP1584" s="38"/>
      <c r="AQ1584" s="38"/>
      <c r="AR1584" s="38"/>
      <c r="AS1584" s="38"/>
      <c r="AT1584" s="38"/>
      <c r="AU1584" s="38"/>
      <c r="AV1584" s="38"/>
      <c r="AW1584" s="38"/>
      <c r="AX1584" s="38"/>
      <c r="AY1584" s="38"/>
      <c r="AZ1584" s="38"/>
      <c r="BA1584" s="38"/>
      <c r="BB1584" s="38"/>
      <c r="BC1584" s="38"/>
      <c r="BD1584" s="38"/>
      <c r="BE1584" s="38"/>
      <c r="BF1584" s="38"/>
      <c r="BG1584" s="38"/>
      <c r="BH1584" s="38"/>
      <c r="BI1584" s="38"/>
      <c r="BJ1584" s="38"/>
      <c r="BK1584" s="38"/>
      <c r="BL1584" s="38"/>
      <c r="BM1584" s="38"/>
      <c r="BN1584" s="38"/>
      <c r="BO1584" s="38"/>
      <c r="BP1584" s="38"/>
      <c r="BQ1584" s="38"/>
    </row>
    <row r="1585">
      <c r="A1585" s="58" t="s">
        <v>4520</v>
      </c>
      <c r="B1585" s="59"/>
      <c r="C1585" s="79">
        <v>43313.0</v>
      </c>
      <c r="D1585" s="60"/>
      <c r="E1585" s="58" t="s">
        <v>31</v>
      </c>
      <c r="F1585" s="58">
        <v>1.0</v>
      </c>
      <c r="G1585" s="58" t="s">
        <v>32</v>
      </c>
      <c r="H1585" s="43">
        <v>1.0</v>
      </c>
      <c r="I1585" s="58" t="s">
        <v>33</v>
      </c>
      <c r="J1585" s="58" t="s">
        <v>288</v>
      </c>
      <c r="K1585" s="58"/>
      <c r="L1585" s="58" t="s">
        <v>4502</v>
      </c>
      <c r="M1585" s="80"/>
      <c r="N1585" s="202" t="s">
        <v>4504</v>
      </c>
      <c r="O1585" s="62"/>
      <c r="P1585" s="62"/>
      <c r="Q1585" s="62"/>
      <c r="R1585" s="62"/>
      <c r="S1585" s="37" t="str">
        <f>IFERROR(__xludf.DUMMYFUNCTION("if(not(iserror(index(split(C1585, "" ""),2))), index(split(C1585, "" ""),1),"""")"),"August,")</f>
        <v>August,</v>
      </c>
      <c r="T1585" s="38">
        <f>IFERROR(__xludf.DUMMYFUNCTION("if(S1585="""",C1585,if(not(iserror(index(split(C1585, "" ""),3))), index(split(C1585, "" ""),3),index(split(C1585, "" ""),2)))"),2018.0)</f>
        <v>2018</v>
      </c>
      <c r="U1585" s="38" t="b">
        <f t="shared" si="228"/>
        <v>0</v>
      </c>
      <c r="V1585" s="38"/>
      <c r="W1585" s="40"/>
      <c r="X1585" s="40"/>
      <c r="Y1585" s="40"/>
      <c r="Z1585" s="38"/>
      <c r="AA1585" s="38"/>
      <c r="AB1585" s="38"/>
      <c r="AC1585" s="38"/>
      <c r="AD1585" s="38"/>
      <c r="AE1585" s="38"/>
      <c r="AF1585" s="38"/>
      <c r="AG1585" s="38"/>
      <c r="AH1585" s="38"/>
      <c r="AI1585" s="38"/>
      <c r="AJ1585" s="38"/>
      <c r="AK1585" s="38"/>
      <c r="AL1585" s="38"/>
      <c r="AM1585" s="38"/>
      <c r="AN1585" s="38"/>
      <c r="AO1585" s="38"/>
      <c r="AP1585" s="38"/>
      <c r="AQ1585" s="38"/>
      <c r="AR1585" s="38"/>
      <c r="AS1585" s="38"/>
      <c r="AT1585" s="38"/>
      <c r="AU1585" s="38"/>
      <c r="AV1585" s="38"/>
      <c r="AW1585" s="38"/>
      <c r="AX1585" s="38"/>
      <c r="AY1585" s="38"/>
      <c r="AZ1585" s="38"/>
      <c r="BA1585" s="38"/>
      <c r="BB1585" s="38"/>
      <c r="BC1585" s="38"/>
      <c r="BD1585" s="38"/>
      <c r="BE1585" s="38"/>
      <c r="BF1585" s="38"/>
      <c r="BG1585" s="38"/>
      <c r="BH1585" s="38"/>
      <c r="BI1585" s="38"/>
      <c r="BJ1585" s="38"/>
      <c r="BK1585" s="38"/>
      <c r="BL1585" s="38"/>
      <c r="BM1585" s="38"/>
      <c r="BN1585" s="38"/>
      <c r="BO1585" s="38"/>
      <c r="BP1585" s="38"/>
      <c r="BQ1585" s="38"/>
    </row>
    <row r="1586">
      <c r="A1586" s="58" t="s">
        <v>4521</v>
      </c>
      <c r="B1586" s="59"/>
      <c r="C1586" s="59">
        <v>43313.0</v>
      </c>
      <c r="D1586" s="60"/>
      <c r="E1586" s="58" t="s">
        <v>41</v>
      </c>
      <c r="F1586" s="58">
        <v>1.0</v>
      </c>
      <c r="G1586" s="58" t="s">
        <v>32</v>
      </c>
      <c r="H1586" s="43">
        <v>1.0</v>
      </c>
      <c r="I1586" s="58" t="s">
        <v>33</v>
      </c>
      <c r="J1586" s="58" t="s">
        <v>410</v>
      </c>
      <c r="K1586" s="58"/>
      <c r="L1586" s="58" t="s">
        <v>807</v>
      </c>
      <c r="M1586" s="61" t="s">
        <v>4522</v>
      </c>
      <c r="N1586" s="77"/>
      <c r="O1586" s="62"/>
      <c r="P1586" s="62"/>
      <c r="Q1586" s="62"/>
      <c r="R1586" s="62"/>
      <c r="S1586" s="37"/>
      <c r="T1586" s="38"/>
      <c r="U1586" s="38"/>
      <c r="V1586" s="38" t="s">
        <v>33</v>
      </c>
      <c r="W1586" s="40"/>
      <c r="X1586" s="40"/>
      <c r="Y1586" s="40"/>
      <c r="Z1586" s="38"/>
      <c r="AA1586" s="38"/>
      <c r="AB1586" s="38"/>
      <c r="AC1586" s="38"/>
      <c r="AD1586" s="38"/>
      <c r="AE1586" s="38"/>
      <c r="AF1586" s="38"/>
      <c r="AG1586" s="38"/>
      <c r="AH1586" s="38"/>
      <c r="AI1586" s="38"/>
      <c r="AJ1586" s="38"/>
      <c r="AK1586" s="38"/>
      <c r="AL1586" s="38"/>
      <c r="AM1586" s="38"/>
      <c r="AN1586" s="38"/>
      <c r="AO1586" s="38"/>
      <c r="AP1586" s="38"/>
      <c r="AQ1586" s="38"/>
      <c r="AR1586" s="38"/>
      <c r="AS1586" s="38"/>
      <c r="AT1586" s="38"/>
      <c r="AU1586" s="38"/>
      <c r="AV1586" s="38"/>
      <c r="AW1586" s="38"/>
      <c r="AX1586" s="38"/>
      <c r="AY1586" s="38"/>
      <c r="AZ1586" s="38"/>
      <c r="BA1586" s="38"/>
      <c r="BB1586" s="38"/>
      <c r="BC1586" s="38"/>
      <c r="BD1586" s="38"/>
      <c r="BE1586" s="38"/>
      <c r="BF1586" s="38"/>
      <c r="BG1586" s="38"/>
      <c r="BH1586" s="38"/>
      <c r="BI1586" s="38"/>
      <c r="BJ1586" s="38"/>
      <c r="BK1586" s="38"/>
      <c r="BL1586" s="38"/>
      <c r="BM1586" s="38"/>
      <c r="BN1586" s="38"/>
      <c r="BO1586" s="38"/>
      <c r="BP1586" s="38"/>
      <c r="BQ1586" s="38"/>
    </row>
    <row r="1587">
      <c r="A1587" s="58" t="s">
        <v>4523</v>
      </c>
      <c r="B1587" s="59">
        <v>43313.0</v>
      </c>
      <c r="C1587" s="59">
        <v>43313.0</v>
      </c>
      <c r="D1587" s="60" t="s">
        <v>4442</v>
      </c>
      <c r="E1587" s="58" t="s">
        <v>41</v>
      </c>
      <c r="F1587" s="58">
        <v>1.0</v>
      </c>
      <c r="G1587" s="58" t="s">
        <v>32</v>
      </c>
      <c r="H1587" s="33">
        <f t="shared" ref="H1587:H1591" si="233">if(G1587="Unknown",1,G1587)</f>
        <v>1</v>
      </c>
      <c r="I1587" s="58" t="s">
        <v>33</v>
      </c>
      <c r="J1587" s="58" t="s">
        <v>228</v>
      </c>
      <c r="K1587" s="58">
        <v>1.0</v>
      </c>
      <c r="L1587" s="58" t="s">
        <v>4524</v>
      </c>
      <c r="M1587" s="61" t="s">
        <v>4525</v>
      </c>
      <c r="N1587" s="77"/>
      <c r="O1587" s="62"/>
      <c r="P1587" s="62"/>
      <c r="Q1587" s="62"/>
      <c r="R1587" s="62"/>
      <c r="S1587" s="37" t="str">
        <f>IFERROR(__xludf.DUMMYFUNCTION("if(not(iserror(index(split(C1587, "" ""),2))), index(split(C1587, "" ""),1),"""")"),"August")</f>
        <v>August</v>
      </c>
      <c r="T1587" s="38">
        <f>IFERROR(__xludf.DUMMYFUNCTION("if(S1587="""",C1587,if(not(iserror(index(split(C1587, "" ""),3))), index(split(C1587, "" ""),3),index(split(C1587, "" ""),2)))"),2018.0)</f>
        <v>2018</v>
      </c>
      <c r="U1587" s="38" t="b">
        <f t="shared" ref="U1587:U1600" si="234">countif(A$4:A4658, A1587)&gt;1</f>
        <v>0</v>
      </c>
      <c r="V1587" s="38"/>
      <c r="W1587" s="40"/>
      <c r="X1587" s="40"/>
      <c r="Y1587" s="40"/>
      <c r="Z1587" s="38"/>
      <c r="AA1587" s="38"/>
      <c r="AB1587" s="38"/>
      <c r="AC1587" s="38"/>
      <c r="AD1587" s="38"/>
      <c r="AE1587" s="38"/>
      <c r="AF1587" s="38"/>
      <c r="AG1587" s="38"/>
      <c r="AH1587" s="38"/>
      <c r="AI1587" s="38"/>
      <c r="AJ1587" s="38"/>
      <c r="AK1587" s="38"/>
      <c r="AL1587" s="38"/>
      <c r="AM1587" s="38"/>
      <c r="AN1587" s="38"/>
      <c r="AO1587" s="38"/>
      <c r="AP1587" s="38"/>
      <c r="AQ1587" s="38"/>
      <c r="AR1587" s="38"/>
      <c r="AS1587" s="38"/>
      <c r="AT1587" s="38"/>
      <c r="AU1587" s="38"/>
      <c r="AV1587" s="38"/>
      <c r="AW1587" s="38"/>
      <c r="AX1587" s="38"/>
      <c r="AY1587" s="38"/>
      <c r="AZ1587" s="38"/>
      <c r="BA1587" s="38"/>
      <c r="BB1587" s="38"/>
      <c r="BC1587" s="38"/>
      <c r="BD1587" s="38"/>
      <c r="BE1587" s="38"/>
      <c r="BF1587" s="38"/>
      <c r="BG1587" s="38"/>
      <c r="BH1587" s="38"/>
      <c r="BI1587" s="38"/>
      <c r="BJ1587" s="38"/>
      <c r="BK1587" s="38"/>
      <c r="BL1587" s="38"/>
      <c r="BM1587" s="38"/>
      <c r="BN1587" s="38"/>
      <c r="BO1587" s="38"/>
      <c r="BP1587" s="38"/>
      <c r="BQ1587" s="38"/>
    </row>
    <row r="1588">
      <c r="A1588" s="58" t="s">
        <v>4526</v>
      </c>
      <c r="B1588" s="59">
        <v>43313.0</v>
      </c>
      <c r="C1588" s="59">
        <v>43313.0</v>
      </c>
      <c r="D1588" s="60" t="s">
        <v>4442</v>
      </c>
      <c r="E1588" s="58" t="s">
        <v>41</v>
      </c>
      <c r="F1588" s="58">
        <v>1.0</v>
      </c>
      <c r="G1588" s="58" t="s">
        <v>32</v>
      </c>
      <c r="H1588" s="33">
        <f t="shared" si="233"/>
        <v>1</v>
      </c>
      <c r="I1588" s="58" t="s">
        <v>33</v>
      </c>
      <c r="J1588" s="58" t="s">
        <v>93</v>
      </c>
      <c r="K1588" s="58" t="s">
        <v>32</v>
      </c>
      <c r="L1588" s="58" t="s">
        <v>35</v>
      </c>
      <c r="M1588" s="61" t="s">
        <v>4527</v>
      </c>
      <c r="N1588" s="77"/>
      <c r="O1588" s="62"/>
      <c r="P1588" s="62"/>
      <c r="Q1588" s="62"/>
      <c r="R1588" s="62"/>
      <c r="S1588" s="37" t="str">
        <f>IFERROR(__xludf.DUMMYFUNCTION("if(not(iserror(index(split(C1588, "" ""),2))), index(split(C1588, "" ""),1),"""")"),"August")</f>
        <v>August</v>
      </c>
      <c r="T1588" s="38">
        <f>IFERROR(__xludf.DUMMYFUNCTION("if(S1588="""",C1588,if(not(iserror(index(split(C1588, "" ""),3))), index(split(C1588, "" ""),3),index(split(C1588, "" ""),2)))"),2018.0)</f>
        <v>2018</v>
      </c>
      <c r="U1588" s="38" t="b">
        <f t="shared" si="234"/>
        <v>0</v>
      </c>
      <c r="V1588" s="38"/>
      <c r="W1588" s="40"/>
      <c r="X1588" s="40"/>
      <c r="Y1588" s="40"/>
      <c r="Z1588" s="38"/>
      <c r="AA1588" s="38"/>
      <c r="AB1588" s="38"/>
      <c r="AC1588" s="38"/>
      <c r="AD1588" s="38"/>
      <c r="AE1588" s="38"/>
      <c r="AF1588" s="38"/>
      <c r="AG1588" s="38"/>
      <c r="AH1588" s="38"/>
      <c r="AI1588" s="38"/>
      <c r="AJ1588" s="38"/>
      <c r="AK1588" s="38"/>
      <c r="AL1588" s="38"/>
      <c r="AM1588" s="38"/>
      <c r="AN1588" s="38"/>
      <c r="AO1588" s="38"/>
      <c r="AP1588" s="38"/>
      <c r="AQ1588" s="38"/>
      <c r="AR1588" s="38"/>
      <c r="AS1588" s="38"/>
      <c r="AT1588" s="38"/>
      <c r="AU1588" s="38"/>
      <c r="AV1588" s="38"/>
      <c r="AW1588" s="38"/>
      <c r="AX1588" s="38"/>
      <c r="AY1588" s="38"/>
      <c r="AZ1588" s="38"/>
      <c r="BA1588" s="38"/>
      <c r="BB1588" s="38"/>
      <c r="BC1588" s="38"/>
      <c r="BD1588" s="38"/>
      <c r="BE1588" s="38"/>
      <c r="BF1588" s="38"/>
      <c r="BG1588" s="38"/>
      <c r="BH1588" s="38"/>
      <c r="BI1588" s="38"/>
      <c r="BJ1588" s="38"/>
      <c r="BK1588" s="38"/>
      <c r="BL1588" s="38"/>
      <c r="BM1588" s="38"/>
      <c r="BN1588" s="38"/>
      <c r="BO1588" s="38"/>
      <c r="BP1588" s="38"/>
      <c r="BQ1588" s="38"/>
    </row>
    <row r="1589">
      <c r="A1589" s="78" t="s">
        <v>4528</v>
      </c>
      <c r="B1589" s="59">
        <v>43313.0</v>
      </c>
      <c r="C1589" s="59">
        <v>43313.0</v>
      </c>
      <c r="D1589" s="60" t="s">
        <v>4442</v>
      </c>
      <c r="E1589" s="58" t="s">
        <v>31</v>
      </c>
      <c r="F1589" s="58">
        <v>1.0</v>
      </c>
      <c r="G1589" s="58" t="s">
        <v>32</v>
      </c>
      <c r="H1589" s="33">
        <f t="shared" si="233"/>
        <v>1</v>
      </c>
      <c r="I1589" s="58" t="s">
        <v>33</v>
      </c>
      <c r="J1589" s="58" t="s">
        <v>460</v>
      </c>
      <c r="K1589" s="58">
        <v>1.0</v>
      </c>
      <c r="L1589" s="58" t="s">
        <v>76</v>
      </c>
      <c r="M1589" s="61" t="s">
        <v>4529</v>
      </c>
      <c r="N1589" s="61" t="s">
        <v>4530</v>
      </c>
      <c r="O1589" s="58"/>
      <c r="P1589" s="58"/>
      <c r="Q1589" s="58"/>
      <c r="R1589" s="62"/>
      <c r="S1589" s="37" t="str">
        <f>IFERROR(__xludf.DUMMYFUNCTION("if(not(iserror(index(split(C1589, "" ""),2))), index(split(C1589, "" ""),1),"""")"),"August")</f>
        <v>August</v>
      </c>
      <c r="T1589" s="38">
        <f>IFERROR(__xludf.DUMMYFUNCTION("if(S1589="""",C1589,if(not(iserror(index(split(C1589, "" ""),3))), index(split(C1589, "" ""),3),index(split(C1589, "" ""),2)))"),2018.0)</f>
        <v>2018</v>
      </c>
      <c r="U1589" s="38" t="b">
        <f t="shared" si="234"/>
        <v>0</v>
      </c>
      <c r="V1589" s="38"/>
      <c r="W1589" s="40"/>
      <c r="X1589" s="40"/>
      <c r="Y1589" s="40"/>
      <c r="Z1589" s="38"/>
      <c r="AA1589" s="38"/>
      <c r="AB1589" s="38"/>
      <c r="AC1589" s="38"/>
      <c r="AD1589" s="38"/>
      <c r="AE1589" s="38"/>
      <c r="AF1589" s="38"/>
      <c r="AG1589" s="38"/>
      <c r="AH1589" s="38"/>
      <c r="AI1589" s="38"/>
      <c r="AJ1589" s="38"/>
      <c r="AK1589" s="38"/>
      <c r="AL1589" s="38"/>
      <c r="AM1589" s="38"/>
      <c r="AN1589" s="38"/>
      <c r="AO1589" s="38"/>
      <c r="AP1589" s="38"/>
      <c r="AQ1589" s="38"/>
      <c r="AR1589" s="38"/>
      <c r="AS1589" s="38"/>
      <c r="AT1589" s="38"/>
      <c r="AU1589" s="38"/>
      <c r="AV1589" s="38"/>
      <c r="AW1589" s="38"/>
      <c r="AX1589" s="38"/>
      <c r="AY1589" s="38"/>
      <c r="AZ1589" s="38"/>
      <c r="BA1589" s="38"/>
      <c r="BB1589" s="38"/>
      <c r="BC1589" s="38"/>
      <c r="BD1589" s="38"/>
      <c r="BE1589" s="38"/>
      <c r="BF1589" s="38"/>
      <c r="BG1589" s="38"/>
      <c r="BH1589" s="38"/>
      <c r="BI1589" s="38"/>
      <c r="BJ1589" s="38"/>
      <c r="BK1589" s="38"/>
      <c r="BL1589" s="38"/>
      <c r="BM1589" s="38"/>
      <c r="BN1589" s="38"/>
      <c r="BO1589" s="38"/>
      <c r="BP1589" s="38"/>
      <c r="BQ1589" s="38"/>
    </row>
    <row r="1590">
      <c r="A1590" s="58" t="s">
        <v>4531</v>
      </c>
      <c r="B1590" s="59">
        <v>43315.0</v>
      </c>
      <c r="C1590" s="59">
        <v>43313.0</v>
      </c>
      <c r="D1590" s="60" t="s">
        <v>4442</v>
      </c>
      <c r="E1590" s="58" t="s">
        <v>31</v>
      </c>
      <c r="F1590" s="58">
        <v>2.0</v>
      </c>
      <c r="G1590" s="58" t="s">
        <v>32</v>
      </c>
      <c r="H1590" s="33">
        <f t="shared" si="233"/>
        <v>1</v>
      </c>
      <c r="I1590" s="58" t="s">
        <v>33</v>
      </c>
      <c r="J1590" s="58" t="s">
        <v>402</v>
      </c>
      <c r="K1590" s="58" t="s">
        <v>32</v>
      </c>
      <c r="L1590" s="58" t="s">
        <v>349</v>
      </c>
      <c r="M1590" s="61" t="s">
        <v>4532</v>
      </c>
      <c r="N1590" s="77"/>
      <c r="O1590" s="62"/>
      <c r="P1590" s="62"/>
      <c r="Q1590" s="62"/>
      <c r="R1590" s="62"/>
      <c r="S1590" s="37" t="str">
        <f>IFERROR(__xludf.DUMMYFUNCTION("if(not(iserror(index(split(C1590, "" ""),2))), index(split(C1590, "" ""),1),"""")"),"August")</f>
        <v>August</v>
      </c>
      <c r="T1590" s="38">
        <f>IFERROR(__xludf.DUMMYFUNCTION("if(S1590="""",C1590,if(not(iserror(index(split(C1590, "" ""),3))), index(split(C1590, "" ""),3),index(split(C1590, "" ""),2)))"),2018.0)</f>
        <v>2018</v>
      </c>
      <c r="U1590" s="38" t="b">
        <f t="shared" si="234"/>
        <v>0</v>
      </c>
      <c r="V1590" s="38"/>
      <c r="W1590" s="40"/>
      <c r="X1590" s="40"/>
      <c r="Y1590" s="40"/>
      <c r="Z1590" s="38"/>
      <c r="AA1590" s="38"/>
      <c r="AB1590" s="38"/>
      <c r="AC1590" s="38"/>
      <c r="AD1590" s="38"/>
      <c r="AE1590" s="38"/>
      <c r="AF1590" s="38"/>
      <c r="AG1590" s="38"/>
      <c r="AH1590" s="38"/>
      <c r="AI1590" s="38"/>
      <c r="AJ1590" s="38"/>
      <c r="AK1590" s="38"/>
      <c r="AL1590" s="38"/>
      <c r="AM1590" s="38"/>
      <c r="AN1590" s="38"/>
      <c r="AO1590" s="38"/>
      <c r="AP1590" s="38"/>
      <c r="AQ1590" s="38"/>
      <c r="AR1590" s="38"/>
      <c r="AS1590" s="38"/>
      <c r="AT1590" s="38"/>
      <c r="AU1590" s="38"/>
      <c r="AV1590" s="38"/>
      <c r="AW1590" s="38"/>
      <c r="AX1590" s="38"/>
      <c r="AY1590" s="38"/>
      <c r="AZ1590" s="38"/>
      <c r="BA1590" s="38"/>
      <c r="BB1590" s="38"/>
      <c r="BC1590" s="38"/>
      <c r="BD1590" s="38"/>
      <c r="BE1590" s="38"/>
      <c r="BF1590" s="38"/>
      <c r="BG1590" s="38"/>
      <c r="BH1590" s="38"/>
      <c r="BI1590" s="38"/>
      <c r="BJ1590" s="38"/>
      <c r="BK1590" s="38"/>
      <c r="BL1590" s="38"/>
      <c r="BM1590" s="38"/>
      <c r="BN1590" s="38"/>
      <c r="BO1590" s="38"/>
      <c r="BP1590" s="38"/>
      <c r="BQ1590" s="38"/>
    </row>
    <row r="1591">
      <c r="A1591" s="58" t="s">
        <v>4533</v>
      </c>
      <c r="B1591" s="59">
        <v>43315.0</v>
      </c>
      <c r="C1591" s="59">
        <v>43313.0</v>
      </c>
      <c r="D1591" s="60" t="s">
        <v>4442</v>
      </c>
      <c r="E1591" s="58" t="s">
        <v>41</v>
      </c>
      <c r="F1591" s="58">
        <v>2.0</v>
      </c>
      <c r="G1591" s="58" t="s">
        <v>32</v>
      </c>
      <c r="H1591" s="33">
        <f t="shared" si="233"/>
        <v>1</v>
      </c>
      <c r="I1591" s="58" t="s">
        <v>33</v>
      </c>
      <c r="J1591" s="58" t="s">
        <v>140</v>
      </c>
      <c r="K1591" s="58" t="s">
        <v>32</v>
      </c>
      <c r="L1591" s="58" t="s">
        <v>35</v>
      </c>
      <c r="M1591" s="61" t="s">
        <v>4534</v>
      </c>
      <c r="N1591" s="77"/>
      <c r="O1591" s="62"/>
      <c r="P1591" s="62"/>
      <c r="Q1591" s="62"/>
      <c r="R1591" s="62"/>
      <c r="S1591" s="37" t="str">
        <f>IFERROR(__xludf.DUMMYFUNCTION("if(not(iserror(index(split(C1591, "" ""),2))), index(split(C1591, "" ""),1),"""")"),"August")</f>
        <v>August</v>
      </c>
      <c r="T1591" s="38">
        <f>IFERROR(__xludf.DUMMYFUNCTION("if(S1591="""",C1591,if(not(iserror(index(split(C1591, "" ""),3))), index(split(C1591, "" ""),3),index(split(C1591, "" ""),2)))"),2018.0)</f>
        <v>2018</v>
      </c>
      <c r="U1591" s="38" t="b">
        <f t="shared" si="234"/>
        <v>0</v>
      </c>
      <c r="V1591" s="38"/>
      <c r="W1591" s="40"/>
      <c r="X1591" s="40"/>
      <c r="Y1591" s="40"/>
      <c r="Z1591" s="38"/>
      <c r="AA1591" s="38"/>
      <c r="AB1591" s="38"/>
      <c r="AC1591" s="38"/>
      <c r="AD1591" s="38"/>
      <c r="AE1591" s="38"/>
      <c r="AF1591" s="38"/>
      <c r="AG1591" s="38"/>
      <c r="AH1591" s="38"/>
      <c r="AI1591" s="38"/>
      <c r="AJ1591" s="38"/>
      <c r="AK1591" s="38"/>
      <c r="AL1591" s="38"/>
      <c r="AM1591" s="38"/>
      <c r="AN1591" s="38"/>
      <c r="AO1591" s="38"/>
      <c r="AP1591" s="38"/>
      <c r="AQ1591" s="38"/>
      <c r="AR1591" s="38"/>
      <c r="AS1591" s="38"/>
      <c r="AT1591" s="38"/>
      <c r="AU1591" s="38"/>
      <c r="AV1591" s="38"/>
      <c r="AW1591" s="38"/>
      <c r="AX1591" s="38"/>
      <c r="AY1591" s="38"/>
      <c r="AZ1591" s="38"/>
      <c r="BA1591" s="38"/>
      <c r="BB1591" s="38"/>
      <c r="BC1591" s="38"/>
      <c r="BD1591" s="38"/>
      <c r="BE1591" s="38"/>
      <c r="BF1591" s="38"/>
      <c r="BG1591" s="38"/>
      <c r="BH1591" s="38"/>
      <c r="BI1591" s="38"/>
      <c r="BJ1591" s="38"/>
      <c r="BK1591" s="38"/>
      <c r="BL1591" s="38"/>
      <c r="BM1591" s="38"/>
      <c r="BN1591" s="38"/>
      <c r="BO1591" s="38"/>
      <c r="BP1591" s="38"/>
      <c r="BQ1591" s="38"/>
    </row>
    <row r="1592">
      <c r="A1592" s="58" t="s">
        <v>4535</v>
      </c>
      <c r="B1592" s="59"/>
      <c r="C1592" s="79">
        <v>43313.0</v>
      </c>
      <c r="D1592" s="60"/>
      <c r="E1592" s="58" t="s">
        <v>41</v>
      </c>
      <c r="F1592" s="58">
        <v>1.0</v>
      </c>
      <c r="G1592" s="58" t="s">
        <v>32</v>
      </c>
      <c r="H1592" s="43">
        <v>1.0</v>
      </c>
      <c r="I1592" s="58" t="s">
        <v>33</v>
      </c>
      <c r="J1592" s="58" t="s">
        <v>47</v>
      </c>
      <c r="K1592" s="58"/>
      <c r="L1592" s="58" t="s">
        <v>4536</v>
      </c>
      <c r="M1592" s="61" t="s">
        <v>4537</v>
      </c>
      <c r="N1592" s="61" t="s">
        <v>4538</v>
      </c>
      <c r="O1592" s="83" t="str">
        <f>hyperlink("https://bad-boys.us/?q=SD-FL/1:18-cr-20762", "SD-FL 1:18-cr-20762")</f>
        <v>SD-FL 1:18-cr-20762</v>
      </c>
      <c r="P1592" s="88" t="s">
        <v>4539</v>
      </c>
      <c r="Q1592" s="84">
        <v>1.0</v>
      </c>
      <c r="R1592" s="62"/>
      <c r="S1592" s="37" t="str">
        <f>IFERROR(__xludf.DUMMYFUNCTION("if(not(iserror(index(split(C1592, "" ""),2))), index(split(C1592, "" ""),1),"""")"),"August,")</f>
        <v>August,</v>
      </c>
      <c r="T1592" s="38">
        <f>IFERROR(__xludf.DUMMYFUNCTION("if(S1592="""",C1592,if(not(iserror(index(split(C1592, "" ""),3))), index(split(C1592, "" ""),3),index(split(C1592, "" ""),2)))"),2018.0)</f>
        <v>2018</v>
      </c>
      <c r="U1592" s="38" t="b">
        <f t="shared" si="234"/>
        <v>0</v>
      </c>
      <c r="V1592" s="38" t="s">
        <v>33</v>
      </c>
      <c r="W1592" s="40"/>
      <c r="X1592" s="40"/>
      <c r="Y1592" s="40"/>
      <c r="Z1592" s="38"/>
      <c r="AA1592" s="38"/>
      <c r="AB1592" s="38"/>
      <c r="AC1592" s="38"/>
      <c r="AD1592" s="38"/>
      <c r="AE1592" s="38"/>
      <c r="AF1592" s="38"/>
      <c r="AG1592" s="38"/>
      <c r="AH1592" s="38"/>
      <c r="AI1592" s="38"/>
      <c r="AJ1592" s="38"/>
      <c r="AK1592" s="38"/>
      <c r="AL1592" s="38"/>
      <c r="AM1592" s="38"/>
      <c r="AN1592" s="38"/>
      <c r="AO1592" s="38"/>
      <c r="AP1592" s="38"/>
      <c r="AQ1592" s="38"/>
      <c r="AR1592" s="38"/>
      <c r="AS1592" s="38"/>
      <c r="AT1592" s="38"/>
      <c r="AU1592" s="38"/>
      <c r="AV1592" s="38"/>
      <c r="AW1592" s="38"/>
      <c r="AX1592" s="38"/>
      <c r="AY1592" s="38"/>
      <c r="AZ1592" s="38"/>
      <c r="BA1592" s="38"/>
      <c r="BB1592" s="38"/>
      <c r="BC1592" s="38"/>
      <c r="BD1592" s="38"/>
      <c r="BE1592" s="38"/>
      <c r="BF1592" s="38"/>
      <c r="BG1592" s="38"/>
      <c r="BH1592" s="38"/>
      <c r="BI1592" s="38"/>
      <c r="BJ1592" s="38"/>
      <c r="BK1592" s="38"/>
      <c r="BL1592" s="38"/>
      <c r="BM1592" s="38"/>
      <c r="BN1592" s="38"/>
      <c r="BO1592" s="38"/>
      <c r="BP1592" s="38"/>
      <c r="BQ1592" s="38"/>
    </row>
    <row r="1593">
      <c r="A1593" s="58" t="s">
        <v>4540</v>
      </c>
      <c r="B1593" s="59">
        <v>43325.0</v>
      </c>
      <c r="C1593" s="79">
        <v>43313.0</v>
      </c>
      <c r="D1593" s="60" t="s">
        <v>1847</v>
      </c>
      <c r="E1593" s="58" t="s">
        <v>41</v>
      </c>
      <c r="F1593" s="58">
        <v>1.0</v>
      </c>
      <c r="G1593" s="58" t="s">
        <v>32</v>
      </c>
      <c r="H1593" s="33">
        <f>if(G1593="Unknown",1,G1593)</f>
        <v>1</v>
      </c>
      <c r="I1593" s="58" t="s">
        <v>33</v>
      </c>
      <c r="J1593" s="58" t="s">
        <v>124</v>
      </c>
      <c r="K1593" s="58">
        <v>1.0</v>
      </c>
      <c r="L1593" s="58" t="s">
        <v>69</v>
      </c>
      <c r="M1593" s="61" t="s">
        <v>4541</v>
      </c>
      <c r="N1593" s="77"/>
      <c r="O1593" s="88" t="str">
        <f>hyperlink("https://bad-boys.us/?q=ND-OH/3:18-cr-00438", "ND-OH 3:18-cr-00438")</f>
        <v>ND-OH 3:18-cr-00438</v>
      </c>
      <c r="P1593" s="88" t="s">
        <v>4542</v>
      </c>
      <c r="Q1593" s="84">
        <v>1.0</v>
      </c>
      <c r="R1593" s="62"/>
      <c r="S1593" s="37" t="str">
        <f>IFERROR(__xludf.DUMMYFUNCTION("if(not(iserror(index(split(C1593, "" ""),2))), index(split(C1593, "" ""),1),"""")"),"August,")</f>
        <v>August,</v>
      </c>
      <c r="T1593" s="38">
        <f>IFERROR(__xludf.DUMMYFUNCTION("if(S1593="""",C1593,if(not(iserror(index(split(C1593, "" ""),3))), index(split(C1593, "" ""),3),index(split(C1593, "" ""),2)))"),2018.0)</f>
        <v>2018</v>
      </c>
      <c r="U1593" s="38" t="b">
        <f t="shared" si="234"/>
        <v>0</v>
      </c>
      <c r="V1593" s="38"/>
      <c r="W1593" s="40"/>
      <c r="X1593" s="40"/>
      <c r="Y1593" s="40"/>
      <c r="Z1593" s="38"/>
      <c r="AA1593" s="38"/>
      <c r="AB1593" s="38"/>
      <c r="AC1593" s="38"/>
      <c r="AD1593" s="38"/>
      <c r="AE1593" s="38"/>
      <c r="AF1593" s="38"/>
      <c r="AG1593" s="38"/>
      <c r="AH1593" s="38"/>
      <c r="AI1593" s="38"/>
      <c r="AJ1593" s="38"/>
      <c r="AK1593" s="38"/>
      <c r="AL1593" s="38"/>
      <c r="AM1593" s="38"/>
      <c r="AN1593" s="38"/>
      <c r="AO1593" s="38"/>
      <c r="AP1593" s="38"/>
      <c r="AQ1593" s="38"/>
      <c r="AR1593" s="38"/>
      <c r="AS1593" s="38"/>
      <c r="AT1593" s="38"/>
      <c r="AU1593" s="38"/>
      <c r="AV1593" s="38"/>
      <c r="AW1593" s="38"/>
      <c r="AX1593" s="38"/>
      <c r="AY1593" s="38"/>
      <c r="AZ1593" s="38"/>
      <c r="BA1593" s="38"/>
      <c r="BB1593" s="38"/>
      <c r="BC1593" s="38"/>
      <c r="BD1593" s="38"/>
      <c r="BE1593" s="38"/>
      <c r="BF1593" s="38"/>
      <c r="BG1593" s="38"/>
      <c r="BH1593" s="38"/>
      <c r="BI1593" s="38"/>
      <c r="BJ1593" s="38"/>
      <c r="BK1593" s="38"/>
      <c r="BL1593" s="38"/>
      <c r="BM1593" s="38"/>
      <c r="BN1593" s="38"/>
      <c r="BO1593" s="38"/>
      <c r="BP1593" s="38"/>
      <c r="BQ1593" s="38"/>
    </row>
    <row r="1594">
      <c r="A1594" s="58" t="s">
        <v>4543</v>
      </c>
      <c r="B1594" s="59">
        <v>43325.0</v>
      </c>
      <c r="C1594" s="79">
        <v>43313.0</v>
      </c>
      <c r="D1594" s="60" t="s">
        <v>1847</v>
      </c>
      <c r="E1594" s="58" t="s">
        <v>41</v>
      </c>
      <c r="F1594" s="58">
        <v>1.0</v>
      </c>
      <c r="G1594" s="58" t="s">
        <v>32</v>
      </c>
      <c r="H1594" s="43">
        <v>1.0</v>
      </c>
      <c r="I1594" s="58" t="s">
        <v>33</v>
      </c>
      <c r="J1594" s="58" t="s">
        <v>124</v>
      </c>
      <c r="K1594" s="58"/>
      <c r="L1594" s="58" t="s">
        <v>69</v>
      </c>
      <c r="M1594" s="61" t="s">
        <v>4541</v>
      </c>
      <c r="N1594" s="77"/>
      <c r="O1594" s="83" t="str">
        <f>hyperlink("https://bad-boys.us/?q=ND-OH/3:18-cr-00435", "ND-OH 3:18-cr-00435")</f>
        <v>ND-OH 3:18-cr-00435</v>
      </c>
      <c r="P1594" s="88" t="s">
        <v>4544</v>
      </c>
      <c r="Q1594" s="84">
        <v>1.0</v>
      </c>
      <c r="R1594" s="62"/>
      <c r="S1594" s="37" t="str">
        <f>IFERROR(__xludf.DUMMYFUNCTION("if(not(iserror(index(split(C1594, "" ""),2))), index(split(C1594, "" ""),1),"""")"),"August,")</f>
        <v>August,</v>
      </c>
      <c r="T1594" s="38">
        <f>IFERROR(__xludf.DUMMYFUNCTION("if(S1594="""",C1594,if(not(iserror(index(split(C1594, "" ""),3))), index(split(C1594, "" ""),3),index(split(C1594, "" ""),2)))"),2018.0)</f>
        <v>2018</v>
      </c>
      <c r="U1594" s="38" t="b">
        <f t="shared" si="234"/>
        <v>0</v>
      </c>
      <c r="V1594" s="38"/>
      <c r="W1594" s="40"/>
      <c r="X1594" s="40"/>
      <c r="Y1594" s="40"/>
      <c r="Z1594" s="38"/>
      <c r="AA1594" s="38"/>
      <c r="AB1594" s="38"/>
      <c r="AC1594" s="38"/>
      <c r="AD1594" s="38"/>
      <c r="AE1594" s="38"/>
      <c r="AF1594" s="38"/>
      <c r="AG1594" s="38"/>
      <c r="AH1594" s="38"/>
      <c r="AI1594" s="38"/>
      <c r="AJ1594" s="38"/>
      <c r="AK1594" s="38"/>
      <c r="AL1594" s="38"/>
      <c r="AM1594" s="38"/>
      <c r="AN1594" s="38"/>
      <c r="AO1594" s="38"/>
      <c r="AP1594" s="38"/>
      <c r="AQ1594" s="38"/>
      <c r="AR1594" s="38"/>
      <c r="AS1594" s="38"/>
      <c r="AT1594" s="38"/>
      <c r="AU1594" s="38"/>
      <c r="AV1594" s="38"/>
      <c r="AW1594" s="38"/>
      <c r="AX1594" s="38"/>
      <c r="AY1594" s="38"/>
      <c r="AZ1594" s="38"/>
      <c r="BA1594" s="38"/>
      <c r="BB1594" s="38"/>
      <c r="BC1594" s="38"/>
      <c r="BD1594" s="38"/>
      <c r="BE1594" s="38"/>
      <c r="BF1594" s="38"/>
      <c r="BG1594" s="38"/>
      <c r="BH1594" s="38"/>
      <c r="BI1594" s="38"/>
      <c r="BJ1594" s="38"/>
      <c r="BK1594" s="38"/>
      <c r="BL1594" s="38"/>
      <c r="BM1594" s="38"/>
      <c r="BN1594" s="38"/>
      <c r="BO1594" s="38"/>
      <c r="BP1594" s="38"/>
      <c r="BQ1594" s="38"/>
    </row>
    <row r="1595">
      <c r="A1595" s="58" t="s">
        <v>4545</v>
      </c>
      <c r="B1595" s="59">
        <v>43326.0</v>
      </c>
      <c r="C1595" s="79">
        <v>43313.0</v>
      </c>
      <c r="D1595" s="60" t="s">
        <v>1847</v>
      </c>
      <c r="E1595" s="58" t="s">
        <v>41</v>
      </c>
      <c r="F1595" s="58">
        <v>1.0</v>
      </c>
      <c r="G1595" s="58" t="s">
        <v>32</v>
      </c>
      <c r="H1595" s="33">
        <f t="shared" ref="H1595:H1600" si="235">if(G1595="Unknown",1,G1595)</f>
        <v>1</v>
      </c>
      <c r="I1595" s="58" t="s">
        <v>33</v>
      </c>
      <c r="J1595" s="58" t="s">
        <v>203</v>
      </c>
      <c r="K1595" s="58">
        <v>1.0</v>
      </c>
      <c r="L1595" s="58" t="s">
        <v>646</v>
      </c>
      <c r="M1595" s="61" t="s">
        <v>4546</v>
      </c>
      <c r="N1595" s="77"/>
      <c r="O1595" s="83" t="str">
        <f>hyperlink("https://bad-boys.us/?q=D-SD/5:18-cr-50090", "D-SD 5:18-cr-50090")</f>
        <v>D-SD 5:18-cr-50090</v>
      </c>
      <c r="P1595" s="88" t="s">
        <v>4547</v>
      </c>
      <c r="Q1595" s="58">
        <v>1.0</v>
      </c>
      <c r="R1595" s="62"/>
      <c r="S1595" s="37" t="str">
        <f>IFERROR(__xludf.DUMMYFUNCTION("if(not(iserror(index(split(C1595, "" ""),2))), index(split(C1595, "" ""),1),"""")"),"August,")</f>
        <v>August,</v>
      </c>
      <c r="T1595" s="38">
        <f>IFERROR(__xludf.DUMMYFUNCTION("if(S1595="""",C1595,if(not(iserror(index(split(C1595, "" ""),3))), index(split(C1595, "" ""),3),index(split(C1595, "" ""),2)))"),2018.0)</f>
        <v>2018</v>
      </c>
      <c r="U1595" s="38" t="b">
        <f t="shared" si="234"/>
        <v>1</v>
      </c>
      <c r="V1595" s="38"/>
      <c r="W1595" s="40"/>
      <c r="X1595" s="40"/>
      <c r="Y1595" s="40"/>
      <c r="Z1595" s="38"/>
      <c r="AA1595" s="38"/>
      <c r="AB1595" s="38"/>
      <c r="AC1595" s="38"/>
      <c r="AD1595" s="38"/>
      <c r="AE1595" s="38"/>
      <c r="AF1595" s="38"/>
      <c r="AG1595" s="38"/>
      <c r="AH1595" s="38"/>
      <c r="AI1595" s="38"/>
      <c r="AJ1595" s="38"/>
      <c r="AK1595" s="38"/>
      <c r="AL1595" s="38"/>
      <c r="AM1595" s="38"/>
      <c r="AN1595" s="38"/>
      <c r="AO1595" s="38"/>
      <c r="AP1595" s="38"/>
      <c r="AQ1595" s="38"/>
      <c r="AR1595" s="38"/>
      <c r="AS1595" s="38"/>
      <c r="AT1595" s="38"/>
      <c r="AU1595" s="38"/>
      <c r="AV1595" s="38"/>
      <c r="AW1595" s="38"/>
      <c r="AX1595" s="38"/>
      <c r="AY1595" s="38"/>
      <c r="AZ1595" s="38"/>
      <c r="BA1595" s="38"/>
      <c r="BB1595" s="38"/>
      <c r="BC1595" s="38"/>
      <c r="BD1595" s="38"/>
      <c r="BE1595" s="38"/>
      <c r="BF1595" s="38"/>
      <c r="BG1595" s="38"/>
      <c r="BH1595" s="38"/>
      <c r="BI1595" s="38"/>
      <c r="BJ1595" s="38"/>
      <c r="BK1595" s="38"/>
      <c r="BL1595" s="38"/>
      <c r="BM1595" s="38"/>
      <c r="BN1595" s="38"/>
      <c r="BO1595" s="38"/>
      <c r="BP1595" s="38"/>
      <c r="BQ1595" s="38"/>
    </row>
    <row r="1596">
      <c r="A1596" s="58" t="s">
        <v>4548</v>
      </c>
      <c r="B1596" s="59">
        <v>43326.0</v>
      </c>
      <c r="C1596" s="79">
        <v>43313.0</v>
      </c>
      <c r="D1596" s="60" t="s">
        <v>1847</v>
      </c>
      <c r="E1596" s="58" t="s">
        <v>41</v>
      </c>
      <c r="F1596" s="58">
        <v>1.0</v>
      </c>
      <c r="G1596" s="58" t="s">
        <v>32</v>
      </c>
      <c r="H1596" s="33">
        <f t="shared" si="235"/>
        <v>1</v>
      </c>
      <c r="I1596" s="58" t="s">
        <v>33</v>
      </c>
      <c r="J1596" s="58" t="s">
        <v>203</v>
      </c>
      <c r="K1596" s="58">
        <v>1.0</v>
      </c>
      <c r="L1596" s="58" t="s">
        <v>646</v>
      </c>
      <c r="M1596" s="80" t="s">
        <v>4549</v>
      </c>
      <c r="N1596" s="77"/>
      <c r="O1596" s="83" t="str">
        <f>hyperlink("https://bad-boys.us/?q=D-SD/5:18-cr-50091", "D-SD 5:18-cr-50091")</f>
        <v>D-SD 5:18-cr-50091</v>
      </c>
      <c r="P1596" s="88" t="s">
        <v>4550</v>
      </c>
      <c r="Q1596" s="58">
        <v>1.0</v>
      </c>
      <c r="R1596" s="62"/>
      <c r="S1596" s="37" t="str">
        <f>IFERROR(__xludf.DUMMYFUNCTION("if(not(iserror(index(split(C1596, "" ""),2))), index(split(C1596, "" ""),1),"""")"),"August,")</f>
        <v>August,</v>
      </c>
      <c r="T1596" s="38">
        <f>IFERROR(__xludf.DUMMYFUNCTION("if(S1596="""",C1596,if(not(iserror(index(split(C1596, "" ""),3))), index(split(C1596, "" ""),3),index(split(C1596, "" ""),2)))"),2018.0)</f>
        <v>2018</v>
      </c>
      <c r="U1596" s="38" t="b">
        <f t="shared" si="234"/>
        <v>0</v>
      </c>
      <c r="V1596" s="38"/>
      <c r="W1596" s="40"/>
      <c r="X1596" s="40"/>
      <c r="Y1596" s="40"/>
      <c r="Z1596" s="38"/>
      <c r="AA1596" s="38"/>
      <c r="AB1596" s="38"/>
      <c r="AC1596" s="38"/>
      <c r="AD1596" s="38"/>
      <c r="AE1596" s="38"/>
      <c r="AF1596" s="38"/>
      <c r="AG1596" s="38"/>
      <c r="AH1596" s="38"/>
      <c r="AI1596" s="38"/>
      <c r="AJ1596" s="38"/>
      <c r="AK1596" s="38"/>
      <c r="AL1596" s="38"/>
      <c r="AM1596" s="38"/>
      <c r="AN1596" s="38"/>
      <c r="AO1596" s="38"/>
      <c r="AP1596" s="38"/>
      <c r="AQ1596" s="38"/>
      <c r="AR1596" s="38"/>
      <c r="AS1596" s="38"/>
      <c r="AT1596" s="38"/>
      <c r="AU1596" s="38"/>
      <c r="AV1596" s="38"/>
      <c r="AW1596" s="38"/>
      <c r="AX1596" s="38"/>
      <c r="AY1596" s="38"/>
      <c r="AZ1596" s="38"/>
      <c r="BA1596" s="38"/>
      <c r="BB1596" s="38"/>
      <c r="BC1596" s="38"/>
      <c r="BD1596" s="38"/>
      <c r="BE1596" s="38"/>
      <c r="BF1596" s="38"/>
      <c r="BG1596" s="38"/>
      <c r="BH1596" s="38"/>
      <c r="BI1596" s="38"/>
      <c r="BJ1596" s="38"/>
      <c r="BK1596" s="38"/>
      <c r="BL1596" s="38"/>
      <c r="BM1596" s="38"/>
      <c r="BN1596" s="38"/>
      <c r="BO1596" s="38"/>
      <c r="BP1596" s="38"/>
      <c r="BQ1596" s="38"/>
    </row>
    <row r="1597">
      <c r="A1597" s="124" t="s">
        <v>4551</v>
      </c>
      <c r="B1597" s="137">
        <v>43326.0</v>
      </c>
      <c r="C1597" s="228">
        <v>43313.0</v>
      </c>
      <c r="D1597" s="127" t="s">
        <v>1847</v>
      </c>
      <c r="E1597" s="124" t="s">
        <v>41</v>
      </c>
      <c r="F1597" s="129">
        <v>1.0</v>
      </c>
      <c r="G1597" s="128" t="s">
        <v>32</v>
      </c>
      <c r="H1597" s="33">
        <f t="shared" si="235"/>
        <v>1</v>
      </c>
      <c r="I1597" s="128" t="s">
        <v>33</v>
      </c>
      <c r="J1597" s="128" t="s">
        <v>203</v>
      </c>
      <c r="K1597" s="129">
        <v>1.0</v>
      </c>
      <c r="L1597" s="128" t="s">
        <v>646</v>
      </c>
      <c r="M1597" s="131" t="s">
        <v>4546</v>
      </c>
      <c r="N1597" s="132"/>
      <c r="O1597" s="172" t="str">
        <f>hyperlink("https://bad-boys.us/?q=D-SD/5:18-cr-50092", "D-SD 5:18-cr-50092")</f>
        <v>D-SD 5:18-cr-50092</v>
      </c>
      <c r="P1597" s="173" t="s">
        <v>4552</v>
      </c>
      <c r="Q1597" s="198">
        <v>1.0</v>
      </c>
      <c r="R1597" s="133"/>
      <c r="S1597" s="37" t="str">
        <f>IFERROR(__xludf.DUMMYFUNCTION("if(not(iserror(index(split(C1597, "" ""),2))), index(split(C1597, "" ""),1),"""")"),"August,")</f>
        <v>August,</v>
      </c>
      <c r="T1597" s="38">
        <f>IFERROR(__xludf.DUMMYFUNCTION("if(S1597="""",C1597,if(not(iserror(index(split(C1597, "" ""),3))), index(split(C1597, "" ""),3),index(split(C1597, "" ""),2)))"),2018.0)</f>
        <v>2018</v>
      </c>
      <c r="U1597" s="38" t="b">
        <f t="shared" si="234"/>
        <v>0</v>
      </c>
      <c r="V1597" s="134"/>
      <c r="W1597" s="136"/>
      <c r="X1597" s="136"/>
      <c r="Y1597" s="136"/>
      <c r="Z1597" s="134"/>
      <c r="AA1597" s="134"/>
      <c r="AB1597" s="134"/>
      <c r="AC1597" s="134"/>
      <c r="AD1597" s="134"/>
      <c r="AE1597" s="134"/>
      <c r="AF1597" s="134"/>
      <c r="AG1597" s="134"/>
      <c r="AH1597" s="134"/>
      <c r="AI1597" s="134"/>
      <c r="AJ1597" s="134"/>
      <c r="AK1597" s="134"/>
      <c r="AL1597" s="134"/>
      <c r="AM1597" s="134"/>
      <c r="AN1597" s="134"/>
      <c r="AO1597" s="134"/>
      <c r="AP1597" s="134"/>
      <c r="AQ1597" s="134"/>
      <c r="AR1597" s="134"/>
      <c r="AS1597" s="134"/>
      <c r="AT1597" s="134"/>
      <c r="AU1597" s="134"/>
      <c r="AV1597" s="134"/>
      <c r="AW1597" s="134"/>
      <c r="AX1597" s="134"/>
      <c r="AY1597" s="134"/>
      <c r="AZ1597" s="134"/>
      <c r="BA1597" s="134"/>
      <c r="BB1597" s="134"/>
      <c r="BC1597" s="134"/>
      <c r="BD1597" s="134"/>
      <c r="BE1597" s="134"/>
      <c r="BF1597" s="134"/>
      <c r="BG1597" s="134"/>
      <c r="BH1597" s="134"/>
      <c r="BI1597" s="134"/>
      <c r="BJ1597" s="134"/>
      <c r="BK1597" s="134"/>
      <c r="BL1597" s="134"/>
      <c r="BM1597" s="134"/>
      <c r="BN1597" s="134"/>
      <c r="BO1597" s="134"/>
      <c r="BP1597" s="134"/>
      <c r="BQ1597" s="134"/>
    </row>
    <row r="1598">
      <c r="A1598" s="124" t="s">
        <v>4553</v>
      </c>
      <c r="B1598" s="137">
        <v>43326.0</v>
      </c>
      <c r="C1598" s="228">
        <v>43313.0</v>
      </c>
      <c r="D1598" s="127" t="s">
        <v>1847</v>
      </c>
      <c r="E1598" s="124" t="s">
        <v>41</v>
      </c>
      <c r="F1598" s="129">
        <v>1.0</v>
      </c>
      <c r="G1598" s="128" t="s">
        <v>32</v>
      </c>
      <c r="H1598" s="33">
        <f t="shared" si="235"/>
        <v>1</v>
      </c>
      <c r="I1598" s="128" t="s">
        <v>33</v>
      </c>
      <c r="J1598" s="128" t="s">
        <v>203</v>
      </c>
      <c r="K1598" s="129">
        <v>1.0</v>
      </c>
      <c r="L1598" s="128" t="s">
        <v>646</v>
      </c>
      <c r="M1598" s="131" t="s">
        <v>4546</v>
      </c>
      <c r="N1598" s="132"/>
      <c r="O1598" s="172" t="str">
        <f>hyperlink("https://bad-boys.us/?q=D-SD/5:18-cr-50093", "D-SD 5:18-cr-50093")</f>
        <v>D-SD 5:18-cr-50093</v>
      </c>
      <c r="P1598" s="173" t="s">
        <v>4554</v>
      </c>
      <c r="Q1598" s="198">
        <v>1.0</v>
      </c>
      <c r="R1598" s="133"/>
      <c r="S1598" s="37" t="str">
        <f>IFERROR(__xludf.DUMMYFUNCTION("if(not(iserror(index(split(C1598, "" ""),2))), index(split(C1598, "" ""),1),"""")"),"August,")</f>
        <v>August,</v>
      </c>
      <c r="T1598" s="38">
        <f>IFERROR(__xludf.DUMMYFUNCTION("if(S1598="""",C1598,if(not(iserror(index(split(C1598, "" ""),3))), index(split(C1598, "" ""),3),index(split(C1598, "" ""),2)))"),2018.0)</f>
        <v>2018</v>
      </c>
      <c r="U1598" s="38" t="b">
        <f t="shared" si="234"/>
        <v>0</v>
      </c>
      <c r="V1598" s="134"/>
      <c r="W1598" s="136"/>
      <c r="X1598" s="136"/>
      <c r="Y1598" s="136"/>
      <c r="Z1598" s="134"/>
      <c r="AA1598" s="134"/>
      <c r="AB1598" s="134"/>
      <c r="AC1598" s="134"/>
      <c r="AD1598" s="134"/>
      <c r="AE1598" s="134"/>
      <c r="AF1598" s="134"/>
      <c r="AG1598" s="134"/>
      <c r="AH1598" s="134"/>
      <c r="AI1598" s="134"/>
      <c r="AJ1598" s="134"/>
      <c r="AK1598" s="134"/>
      <c r="AL1598" s="134"/>
      <c r="AM1598" s="134"/>
      <c r="AN1598" s="134"/>
      <c r="AO1598" s="134"/>
      <c r="AP1598" s="134"/>
      <c r="AQ1598" s="134"/>
      <c r="AR1598" s="134"/>
      <c r="AS1598" s="134"/>
      <c r="AT1598" s="134"/>
      <c r="AU1598" s="134"/>
      <c r="AV1598" s="134"/>
      <c r="AW1598" s="134"/>
      <c r="AX1598" s="134"/>
      <c r="AY1598" s="134"/>
      <c r="AZ1598" s="134"/>
      <c r="BA1598" s="134"/>
      <c r="BB1598" s="134"/>
      <c r="BC1598" s="134"/>
      <c r="BD1598" s="134"/>
      <c r="BE1598" s="134"/>
      <c r="BF1598" s="134"/>
      <c r="BG1598" s="134"/>
      <c r="BH1598" s="134"/>
      <c r="BI1598" s="134"/>
      <c r="BJ1598" s="134"/>
      <c r="BK1598" s="134"/>
      <c r="BL1598" s="134"/>
      <c r="BM1598" s="134"/>
      <c r="BN1598" s="134"/>
      <c r="BO1598" s="134"/>
      <c r="BP1598" s="134"/>
      <c r="BQ1598" s="134"/>
    </row>
    <row r="1599">
      <c r="A1599" s="124" t="s">
        <v>4555</v>
      </c>
      <c r="B1599" s="137">
        <v>43326.0</v>
      </c>
      <c r="C1599" s="228">
        <v>43313.0</v>
      </c>
      <c r="D1599" s="127" t="s">
        <v>1847</v>
      </c>
      <c r="E1599" s="124" t="s">
        <v>41</v>
      </c>
      <c r="F1599" s="129">
        <v>1.0</v>
      </c>
      <c r="G1599" s="128" t="s">
        <v>32</v>
      </c>
      <c r="H1599" s="33">
        <f t="shared" si="235"/>
        <v>1</v>
      </c>
      <c r="I1599" s="128" t="s">
        <v>33</v>
      </c>
      <c r="J1599" s="128" t="s">
        <v>203</v>
      </c>
      <c r="K1599" s="129">
        <v>1.0</v>
      </c>
      <c r="L1599" s="128" t="s">
        <v>646</v>
      </c>
      <c r="M1599" s="242" t="s">
        <v>4556</v>
      </c>
      <c r="N1599" s="132"/>
      <c r="O1599" s="172" t="str">
        <f>hyperlink("https://bad-boys.us/?q=D-SD/5:18-cr-50094", "D-SD 5:18-cr-50094")</f>
        <v>D-SD 5:18-cr-50094</v>
      </c>
      <c r="P1599" s="173" t="s">
        <v>4557</v>
      </c>
      <c r="Q1599" s="198">
        <v>1.0</v>
      </c>
      <c r="R1599" s="133"/>
      <c r="S1599" s="37" t="str">
        <f>IFERROR(__xludf.DUMMYFUNCTION("if(not(iserror(index(split(C1599, "" ""),2))), index(split(C1599, "" ""),1),"""")"),"August,")</f>
        <v>August,</v>
      </c>
      <c r="T1599" s="38">
        <f>IFERROR(__xludf.DUMMYFUNCTION("if(S1599="""",C1599,if(not(iserror(index(split(C1599, "" ""),3))), index(split(C1599, "" ""),3),index(split(C1599, "" ""),2)))"),2018.0)</f>
        <v>2018</v>
      </c>
      <c r="U1599" s="38" t="b">
        <f t="shared" si="234"/>
        <v>0</v>
      </c>
      <c r="V1599" s="134"/>
      <c r="W1599" s="136"/>
      <c r="X1599" s="136"/>
      <c r="Y1599" s="136"/>
      <c r="Z1599" s="134"/>
      <c r="AA1599" s="134"/>
      <c r="AB1599" s="134"/>
      <c r="AC1599" s="134"/>
      <c r="AD1599" s="134"/>
      <c r="AE1599" s="134"/>
      <c r="AF1599" s="134"/>
      <c r="AG1599" s="134"/>
      <c r="AH1599" s="134"/>
      <c r="AI1599" s="134"/>
      <c r="AJ1599" s="134"/>
      <c r="AK1599" s="134"/>
      <c r="AL1599" s="134"/>
      <c r="AM1599" s="134"/>
      <c r="AN1599" s="134"/>
      <c r="AO1599" s="134"/>
      <c r="AP1599" s="134"/>
      <c r="AQ1599" s="134"/>
      <c r="AR1599" s="134"/>
      <c r="AS1599" s="134"/>
      <c r="AT1599" s="134"/>
      <c r="AU1599" s="134"/>
      <c r="AV1599" s="134"/>
      <c r="AW1599" s="134"/>
      <c r="AX1599" s="134"/>
      <c r="AY1599" s="134"/>
      <c r="AZ1599" s="134"/>
      <c r="BA1599" s="134"/>
      <c r="BB1599" s="134"/>
      <c r="BC1599" s="134"/>
      <c r="BD1599" s="134"/>
      <c r="BE1599" s="134"/>
      <c r="BF1599" s="134"/>
      <c r="BG1599" s="134"/>
      <c r="BH1599" s="134"/>
      <c r="BI1599" s="134"/>
      <c r="BJ1599" s="134"/>
      <c r="BK1599" s="134"/>
      <c r="BL1599" s="134"/>
      <c r="BM1599" s="134"/>
      <c r="BN1599" s="134"/>
      <c r="BO1599" s="134"/>
      <c r="BP1599" s="134"/>
      <c r="BQ1599" s="134"/>
    </row>
    <row r="1600">
      <c r="A1600" s="124" t="s">
        <v>4558</v>
      </c>
      <c r="B1600" s="137">
        <v>43326.0</v>
      </c>
      <c r="C1600" s="228">
        <v>43313.0</v>
      </c>
      <c r="D1600" s="127" t="s">
        <v>1847</v>
      </c>
      <c r="E1600" s="124" t="s">
        <v>41</v>
      </c>
      <c r="F1600" s="129">
        <v>1.0</v>
      </c>
      <c r="G1600" s="128" t="s">
        <v>32</v>
      </c>
      <c r="H1600" s="33">
        <f t="shared" si="235"/>
        <v>1</v>
      </c>
      <c r="I1600" s="128" t="s">
        <v>33</v>
      </c>
      <c r="J1600" s="128" t="s">
        <v>203</v>
      </c>
      <c r="K1600" s="129">
        <v>1.0</v>
      </c>
      <c r="L1600" s="128" t="s">
        <v>646</v>
      </c>
      <c r="M1600" s="243" t="s">
        <v>4546</v>
      </c>
      <c r="N1600" s="132"/>
      <c r="O1600" s="172" t="str">
        <f>hyperlink("https://bad-boys.us/?q=D-SD/5:18-cr-50090", "D-SD 5:18-cr-50090 ❓")</f>
        <v>D-SD 5:18-cr-50090 ❓</v>
      </c>
      <c r="P1600" s="173" t="s">
        <v>4547</v>
      </c>
      <c r="Q1600" s="198">
        <v>1.0</v>
      </c>
      <c r="R1600" s="133"/>
      <c r="S1600" s="37" t="str">
        <f>IFERROR(__xludf.DUMMYFUNCTION("if(not(iserror(index(split(C1600, "" ""),2))), index(split(C1600, "" ""),1),"""")"),"August,")</f>
        <v>August,</v>
      </c>
      <c r="T1600" s="38">
        <f>IFERROR(__xludf.DUMMYFUNCTION("if(S1600="""",C1600,if(not(iserror(index(split(C1600, "" ""),3))), index(split(C1600, "" ""),3),index(split(C1600, "" ""),2)))"),2018.0)</f>
        <v>2018</v>
      </c>
      <c r="U1600" s="38" t="b">
        <f t="shared" si="234"/>
        <v>0</v>
      </c>
      <c r="V1600" s="134"/>
      <c r="W1600" s="136"/>
      <c r="X1600" s="136"/>
      <c r="Y1600" s="136"/>
      <c r="Z1600" s="134"/>
      <c r="AA1600" s="134"/>
      <c r="AB1600" s="134"/>
      <c r="AC1600" s="134"/>
      <c r="AD1600" s="134"/>
      <c r="AE1600" s="134"/>
      <c r="AF1600" s="134"/>
      <c r="AG1600" s="134"/>
      <c r="AH1600" s="134"/>
      <c r="AI1600" s="134"/>
      <c r="AJ1600" s="134"/>
      <c r="AK1600" s="134"/>
      <c r="AL1600" s="134"/>
      <c r="AM1600" s="134"/>
      <c r="AN1600" s="134"/>
      <c r="AO1600" s="134"/>
      <c r="AP1600" s="134"/>
      <c r="AQ1600" s="134"/>
      <c r="AR1600" s="134"/>
      <c r="AS1600" s="134"/>
      <c r="AT1600" s="134"/>
      <c r="AU1600" s="134"/>
      <c r="AV1600" s="134"/>
      <c r="AW1600" s="134"/>
      <c r="AX1600" s="134"/>
      <c r="AY1600" s="134"/>
      <c r="AZ1600" s="134"/>
      <c r="BA1600" s="134"/>
      <c r="BB1600" s="134"/>
      <c r="BC1600" s="134"/>
      <c r="BD1600" s="134"/>
      <c r="BE1600" s="134"/>
      <c r="BF1600" s="134"/>
      <c r="BG1600" s="134"/>
      <c r="BH1600" s="134"/>
      <c r="BI1600" s="134"/>
      <c r="BJ1600" s="134"/>
      <c r="BK1600" s="134"/>
      <c r="BL1600" s="134"/>
      <c r="BM1600" s="134"/>
      <c r="BN1600" s="134"/>
      <c r="BO1600" s="134"/>
      <c r="BP1600" s="134"/>
      <c r="BQ1600" s="134"/>
    </row>
    <row r="1601">
      <c r="A1601" s="58" t="s">
        <v>4545</v>
      </c>
      <c r="B1601" s="59"/>
      <c r="C1601" s="79">
        <v>43313.0</v>
      </c>
      <c r="D1601" s="60"/>
      <c r="E1601" s="58" t="s">
        <v>41</v>
      </c>
      <c r="F1601" s="58">
        <v>1.0</v>
      </c>
      <c r="G1601" s="58" t="s">
        <v>32</v>
      </c>
      <c r="H1601" s="43">
        <v>1.0</v>
      </c>
      <c r="I1601" s="58" t="s">
        <v>33</v>
      </c>
      <c r="J1601" s="58" t="s">
        <v>203</v>
      </c>
      <c r="K1601" s="58"/>
      <c r="L1601" s="58" t="s">
        <v>119</v>
      </c>
      <c r="M1601" s="61" t="s">
        <v>4559</v>
      </c>
      <c r="N1601" s="80"/>
      <c r="O1601" s="58"/>
      <c r="P1601" s="58"/>
      <c r="Q1601" s="58"/>
      <c r="R1601" s="62"/>
      <c r="S1601" s="37"/>
      <c r="T1601" s="38"/>
      <c r="U1601" s="38"/>
      <c r="V1601" s="38" t="s">
        <v>33</v>
      </c>
      <c r="W1601" s="40"/>
      <c r="X1601" s="40"/>
      <c r="Y1601" s="40"/>
      <c r="Z1601" s="38"/>
      <c r="AA1601" s="38"/>
      <c r="AB1601" s="38"/>
      <c r="AC1601" s="38"/>
      <c r="AD1601" s="38"/>
      <c r="AE1601" s="38"/>
      <c r="AF1601" s="38"/>
      <c r="AG1601" s="38"/>
      <c r="AH1601" s="38"/>
      <c r="AI1601" s="38"/>
      <c r="AJ1601" s="38"/>
      <c r="AK1601" s="38"/>
      <c r="AL1601" s="38"/>
      <c r="AM1601" s="38"/>
      <c r="AN1601" s="38"/>
      <c r="AO1601" s="38"/>
      <c r="AP1601" s="38"/>
      <c r="AQ1601" s="38"/>
      <c r="AR1601" s="38"/>
      <c r="AS1601" s="38"/>
      <c r="AT1601" s="38"/>
      <c r="AU1601" s="38"/>
      <c r="AV1601" s="38"/>
      <c r="AW1601" s="38"/>
      <c r="AX1601" s="38"/>
      <c r="AY1601" s="38"/>
      <c r="AZ1601" s="38"/>
      <c r="BA1601" s="38"/>
      <c r="BB1601" s="38"/>
      <c r="BC1601" s="38"/>
      <c r="BD1601" s="38"/>
      <c r="BE1601" s="38"/>
      <c r="BF1601" s="38"/>
      <c r="BG1601" s="38"/>
      <c r="BH1601" s="38"/>
      <c r="BI1601" s="38"/>
      <c r="BJ1601" s="38"/>
      <c r="BK1601" s="38"/>
      <c r="BL1601" s="38"/>
      <c r="BM1601" s="38"/>
      <c r="BN1601" s="38"/>
      <c r="BO1601" s="38"/>
      <c r="BP1601" s="38"/>
      <c r="BQ1601" s="38"/>
    </row>
    <row r="1602">
      <c r="A1602" s="58" t="s">
        <v>4560</v>
      </c>
      <c r="B1602" s="59">
        <v>43336.0</v>
      </c>
      <c r="C1602" s="79">
        <v>43313.0</v>
      </c>
      <c r="D1602" s="60" t="s">
        <v>1847</v>
      </c>
      <c r="E1602" s="58" t="s">
        <v>41</v>
      </c>
      <c r="F1602" s="58">
        <v>1.0</v>
      </c>
      <c r="G1602" s="58" t="s">
        <v>32</v>
      </c>
      <c r="H1602" s="33">
        <f t="shared" ref="H1602:H1607" si="236">if(G1602="Unknown",1,G1602)</f>
        <v>1</v>
      </c>
      <c r="I1602" s="58" t="s">
        <v>33</v>
      </c>
      <c r="J1602" s="58" t="s">
        <v>124</v>
      </c>
      <c r="K1602" s="58" t="s">
        <v>32</v>
      </c>
      <c r="L1602" s="58" t="s">
        <v>790</v>
      </c>
      <c r="M1602" s="80" t="s">
        <v>4561</v>
      </c>
      <c r="N1602" s="80"/>
      <c r="O1602" s="58"/>
      <c r="P1602" s="58"/>
      <c r="Q1602" s="58"/>
      <c r="R1602" s="62"/>
      <c r="S1602" s="37" t="str">
        <f>IFERROR(__xludf.DUMMYFUNCTION("if(not(iserror(index(split(C1602, "" ""),2))), index(split(C1602, "" ""),1),"""")"),"August,")</f>
        <v>August,</v>
      </c>
      <c r="T1602" s="38">
        <f>IFERROR(__xludf.DUMMYFUNCTION("if(S1602="""",C1602,if(not(iserror(index(split(C1602, "" ""),3))), index(split(C1602, "" ""),3),index(split(C1602, "" ""),2)))"),2018.0)</f>
        <v>2018</v>
      </c>
      <c r="U1602" s="38" t="b">
        <f t="shared" ref="U1602:U1620" si="237">countif(A$4:A4658, A1602)&gt;1</f>
        <v>0</v>
      </c>
      <c r="V1602" s="38" t="s">
        <v>33</v>
      </c>
      <c r="W1602" s="40"/>
      <c r="X1602" s="40"/>
      <c r="Y1602" s="40"/>
      <c r="Z1602" s="38"/>
      <c r="AA1602" s="38"/>
      <c r="AB1602" s="38"/>
      <c r="AC1602" s="38"/>
      <c r="AD1602" s="38"/>
      <c r="AE1602" s="38"/>
      <c r="AF1602" s="38"/>
      <c r="AG1602" s="38"/>
      <c r="AH1602" s="38"/>
      <c r="AI1602" s="38"/>
      <c r="AJ1602" s="38"/>
      <c r="AK1602" s="38"/>
      <c r="AL1602" s="38"/>
      <c r="AM1602" s="38"/>
      <c r="AN1602" s="38"/>
      <c r="AO1602" s="38"/>
      <c r="AP1602" s="38"/>
      <c r="AQ1602" s="38"/>
      <c r="AR1602" s="38"/>
      <c r="AS1602" s="38"/>
      <c r="AT1602" s="38"/>
      <c r="AU1602" s="38"/>
      <c r="AV1602" s="38"/>
      <c r="AW1602" s="38"/>
      <c r="AX1602" s="38"/>
      <c r="AY1602" s="38"/>
      <c r="AZ1602" s="38"/>
      <c r="BA1602" s="38"/>
      <c r="BB1602" s="38"/>
      <c r="BC1602" s="38"/>
      <c r="BD1602" s="38"/>
      <c r="BE1602" s="38"/>
      <c r="BF1602" s="38"/>
      <c r="BG1602" s="38"/>
      <c r="BH1602" s="38"/>
      <c r="BI1602" s="38"/>
      <c r="BJ1602" s="38"/>
      <c r="BK1602" s="38"/>
      <c r="BL1602" s="38"/>
      <c r="BM1602" s="38"/>
      <c r="BN1602" s="38"/>
      <c r="BO1602" s="38"/>
      <c r="BP1602" s="38"/>
      <c r="BQ1602" s="38"/>
    </row>
    <row r="1603">
      <c r="A1603" s="58" t="s">
        <v>4562</v>
      </c>
      <c r="B1603" s="59">
        <v>43336.0</v>
      </c>
      <c r="C1603" s="79">
        <v>43313.0</v>
      </c>
      <c r="D1603" s="60" t="s">
        <v>1847</v>
      </c>
      <c r="E1603" s="58" t="s">
        <v>41</v>
      </c>
      <c r="F1603" s="58">
        <v>1.0</v>
      </c>
      <c r="G1603" s="58" t="s">
        <v>32</v>
      </c>
      <c r="H1603" s="33">
        <f t="shared" si="236"/>
        <v>1</v>
      </c>
      <c r="I1603" s="58" t="s">
        <v>33</v>
      </c>
      <c r="J1603" s="58" t="s">
        <v>124</v>
      </c>
      <c r="K1603" s="58" t="s">
        <v>32</v>
      </c>
      <c r="L1603" s="58" t="s">
        <v>790</v>
      </c>
      <c r="M1603" s="61" t="s">
        <v>4561</v>
      </c>
      <c r="N1603" s="77"/>
      <c r="O1603" s="58"/>
      <c r="P1603" s="58"/>
      <c r="Q1603" s="84"/>
      <c r="R1603" s="62"/>
      <c r="S1603" s="37" t="str">
        <f>IFERROR(__xludf.DUMMYFUNCTION("if(not(iserror(index(split(C1603, "" ""),2))), index(split(C1603, "" ""),1),"""")"),"August,")</f>
        <v>August,</v>
      </c>
      <c r="T1603" s="38">
        <f>IFERROR(__xludf.DUMMYFUNCTION("if(S1603="""",C1603,if(not(iserror(index(split(C1603, "" ""),3))), index(split(C1603, "" ""),3),index(split(C1603, "" ""),2)))"),2018.0)</f>
        <v>2018</v>
      </c>
      <c r="U1603" s="38" t="b">
        <f t="shared" si="237"/>
        <v>0</v>
      </c>
      <c r="V1603" s="38" t="s">
        <v>33</v>
      </c>
      <c r="W1603" s="40"/>
      <c r="X1603" s="40"/>
      <c r="Y1603" s="40"/>
      <c r="Z1603" s="38"/>
      <c r="AA1603" s="38"/>
      <c r="AB1603" s="38"/>
      <c r="AC1603" s="38"/>
      <c r="AD1603" s="38"/>
      <c r="AE1603" s="38"/>
      <c r="AF1603" s="38"/>
      <c r="AG1603" s="38"/>
      <c r="AH1603" s="38"/>
      <c r="AI1603" s="38"/>
      <c r="AJ1603" s="38"/>
      <c r="AK1603" s="38"/>
      <c r="AL1603" s="38"/>
      <c r="AM1603" s="38"/>
      <c r="AN1603" s="38"/>
      <c r="AO1603" s="38"/>
      <c r="AP1603" s="38"/>
      <c r="AQ1603" s="38"/>
      <c r="AR1603" s="38"/>
      <c r="AS1603" s="38"/>
      <c r="AT1603" s="38"/>
      <c r="AU1603" s="38"/>
      <c r="AV1603" s="38"/>
      <c r="AW1603" s="38"/>
      <c r="AX1603" s="38"/>
      <c r="AY1603" s="38"/>
      <c r="AZ1603" s="38"/>
      <c r="BA1603" s="38"/>
      <c r="BB1603" s="38"/>
      <c r="BC1603" s="38"/>
      <c r="BD1603" s="38"/>
      <c r="BE1603" s="38"/>
      <c r="BF1603" s="38"/>
      <c r="BG1603" s="38"/>
      <c r="BH1603" s="38"/>
      <c r="BI1603" s="38"/>
      <c r="BJ1603" s="38"/>
      <c r="BK1603" s="38"/>
      <c r="BL1603" s="38"/>
      <c r="BM1603" s="38"/>
      <c r="BN1603" s="38"/>
      <c r="BO1603" s="38"/>
      <c r="BP1603" s="38"/>
      <c r="BQ1603" s="38"/>
    </row>
    <row r="1604">
      <c r="A1604" s="58" t="s">
        <v>4563</v>
      </c>
      <c r="B1604" s="59">
        <v>43336.0</v>
      </c>
      <c r="C1604" s="79">
        <v>43313.0</v>
      </c>
      <c r="D1604" s="60" t="s">
        <v>1847</v>
      </c>
      <c r="E1604" s="58" t="s">
        <v>41</v>
      </c>
      <c r="F1604" s="58">
        <v>1.0</v>
      </c>
      <c r="G1604" s="58" t="s">
        <v>32</v>
      </c>
      <c r="H1604" s="33">
        <f t="shared" si="236"/>
        <v>1</v>
      </c>
      <c r="I1604" s="58" t="s">
        <v>33</v>
      </c>
      <c r="J1604" s="58" t="s">
        <v>124</v>
      </c>
      <c r="K1604" s="58" t="s">
        <v>32</v>
      </c>
      <c r="L1604" s="58" t="s">
        <v>790</v>
      </c>
      <c r="M1604" s="61" t="s">
        <v>4561</v>
      </c>
      <c r="N1604" s="77"/>
      <c r="O1604" s="58"/>
      <c r="P1604" s="58"/>
      <c r="Q1604" s="84"/>
      <c r="R1604" s="62"/>
      <c r="S1604" s="37" t="str">
        <f>IFERROR(__xludf.DUMMYFUNCTION("if(not(iserror(index(split(C1604, "" ""),2))), index(split(C1604, "" ""),1),"""")"),"August,")</f>
        <v>August,</v>
      </c>
      <c r="T1604" s="38">
        <f>IFERROR(__xludf.DUMMYFUNCTION("if(S1604="""",C1604,if(not(iserror(index(split(C1604, "" ""),3))), index(split(C1604, "" ""),3),index(split(C1604, "" ""),2)))"),2018.0)</f>
        <v>2018</v>
      </c>
      <c r="U1604" s="38" t="b">
        <f t="shared" si="237"/>
        <v>0</v>
      </c>
      <c r="V1604" s="38" t="s">
        <v>33</v>
      </c>
      <c r="W1604" s="40"/>
      <c r="X1604" s="40"/>
      <c r="Y1604" s="40"/>
      <c r="Z1604" s="38"/>
      <c r="AA1604" s="38"/>
      <c r="AB1604" s="38"/>
      <c r="AC1604" s="38"/>
      <c r="AD1604" s="38"/>
      <c r="AE1604" s="38"/>
      <c r="AF1604" s="38"/>
      <c r="AG1604" s="38"/>
      <c r="AH1604" s="38"/>
      <c r="AI1604" s="38"/>
      <c r="AJ1604" s="38"/>
      <c r="AK1604" s="38"/>
      <c r="AL1604" s="38"/>
      <c r="AM1604" s="38"/>
      <c r="AN1604" s="38"/>
      <c r="AO1604" s="38"/>
      <c r="AP1604" s="38"/>
      <c r="AQ1604" s="38"/>
      <c r="AR1604" s="38"/>
      <c r="AS1604" s="38"/>
      <c r="AT1604" s="38"/>
      <c r="AU1604" s="38"/>
      <c r="AV1604" s="38"/>
      <c r="AW1604" s="38"/>
      <c r="AX1604" s="38"/>
      <c r="AY1604" s="38"/>
      <c r="AZ1604" s="38"/>
      <c r="BA1604" s="38"/>
      <c r="BB1604" s="38"/>
      <c r="BC1604" s="38"/>
      <c r="BD1604" s="38"/>
      <c r="BE1604" s="38"/>
      <c r="BF1604" s="38"/>
      <c r="BG1604" s="38"/>
      <c r="BH1604" s="38"/>
      <c r="BI1604" s="38"/>
      <c r="BJ1604" s="38"/>
      <c r="BK1604" s="38"/>
      <c r="BL1604" s="38"/>
      <c r="BM1604" s="38"/>
      <c r="BN1604" s="38"/>
      <c r="BO1604" s="38"/>
      <c r="BP1604" s="38"/>
      <c r="BQ1604" s="38"/>
    </row>
    <row r="1605">
      <c r="A1605" s="58" t="s">
        <v>4564</v>
      </c>
      <c r="B1605" s="59">
        <v>43336.0</v>
      </c>
      <c r="C1605" s="79">
        <v>43313.0</v>
      </c>
      <c r="D1605" s="60" t="s">
        <v>1847</v>
      </c>
      <c r="E1605" s="58" t="s">
        <v>41</v>
      </c>
      <c r="F1605" s="58">
        <v>1.0</v>
      </c>
      <c r="G1605" s="58" t="s">
        <v>32</v>
      </c>
      <c r="H1605" s="33">
        <f t="shared" si="236"/>
        <v>1</v>
      </c>
      <c r="I1605" s="58" t="s">
        <v>33</v>
      </c>
      <c r="J1605" s="58" t="s">
        <v>124</v>
      </c>
      <c r="K1605" s="58" t="s">
        <v>32</v>
      </c>
      <c r="L1605" s="58" t="s">
        <v>790</v>
      </c>
      <c r="M1605" s="61" t="s">
        <v>4561</v>
      </c>
      <c r="N1605" s="77"/>
      <c r="O1605" s="58"/>
      <c r="P1605" s="58"/>
      <c r="Q1605" s="84"/>
      <c r="R1605" s="62"/>
      <c r="S1605" s="37" t="str">
        <f>IFERROR(__xludf.DUMMYFUNCTION("if(not(iserror(index(split(C1605, "" ""),2))), index(split(C1605, "" ""),1),"""")"),"August,")</f>
        <v>August,</v>
      </c>
      <c r="T1605" s="38">
        <f>IFERROR(__xludf.DUMMYFUNCTION("if(S1605="""",C1605,if(not(iserror(index(split(C1605, "" ""),3))), index(split(C1605, "" ""),3),index(split(C1605, "" ""),2)))"),2018.0)</f>
        <v>2018</v>
      </c>
      <c r="U1605" s="38" t="b">
        <f t="shared" si="237"/>
        <v>0</v>
      </c>
      <c r="V1605" s="38" t="s">
        <v>33</v>
      </c>
      <c r="W1605" s="40"/>
      <c r="X1605" s="40"/>
      <c r="Y1605" s="40"/>
      <c r="Z1605" s="38"/>
      <c r="AA1605" s="38"/>
      <c r="AB1605" s="38"/>
      <c r="AC1605" s="38"/>
      <c r="AD1605" s="38"/>
      <c r="AE1605" s="38"/>
      <c r="AF1605" s="38"/>
      <c r="AG1605" s="38"/>
      <c r="AH1605" s="38"/>
      <c r="AI1605" s="38"/>
      <c r="AJ1605" s="38"/>
      <c r="AK1605" s="38"/>
      <c r="AL1605" s="38"/>
      <c r="AM1605" s="38"/>
      <c r="AN1605" s="38"/>
      <c r="AO1605" s="38"/>
      <c r="AP1605" s="38"/>
      <c r="AQ1605" s="38"/>
      <c r="AR1605" s="38"/>
      <c r="AS1605" s="38"/>
      <c r="AT1605" s="38"/>
      <c r="AU1605" s="38"/>
      <c r="AV1605" s="38"/>
      <c r="AW1605" s="38"/>
      <c r="AX1605" s="38"/>
      <c r="AY1605" s="38"/>
      <c r="AZ1605" s="38"/>
      <c r="BA1605" s="38"/>
      <c r="BB1605" s="38"/>
      <c r="BC1605" s="38"/>
      <c r="BD1605" s="38"/>
      <c r="BE1605" s="38"/>
      <c r="BF1605" s="38"/>
      <c r="BG1605" s="38"/>
      <c r="BH1605" s="38"/>
      <c r="BI1605" s="38"/>
      <c r="BJ1605" s="38"/>
      <c r="BK1605" s="38"/>
      <c r="BL1605" s="38"/>
      <c r="BM1605" s="38"/>
      <c r="BN1605" s="38"/>
      <c r="BO1605" s="38"/>
      <c r="BP1605" s="38"/>
      <c r="BQ1605" s="38"/>
    </row>
    <row r="1606">
      <c r="A1606" s="58" t="s">
        <v>4565</v>
      </c>
      <c r="B1606" s="59">
        <v>43336.0</v>
      </c>
      <c r="C1606" s="79">
        <v>43313.0</v>
      </c>
      <c r="D1606" s="60" t="s">
        <v>1847</v>
      </c>
      <c r="E1606" s="58" t="s">
        <v>41</v>
      </c>
      <c r="F1606" s="58">
        <v>1.0</v>
      </c>
      <c r="G1606" s="58" t="s">
        <v>32</v>
      </c>
      <c r="H1606" s="33">
        <f t="shared" si="236"/>
        <v>1</v>
      </c>
      <c r="I1606" s="58" t="s">
        <v>33</v>
      </c>
      <c r="J1606" s="58" t="s">
        <v>124</v>
      </c>
      <c r="K1606" s="58" t="s">
        <v>32</v>
      </c>
      <c r="L1606" s="58" t="s">
        <v>790</v>
      </c>
      <c r="M1606" s="61" t="s">
        <v>4561</v>
      </c>
      <c r="N1606" s="77"/>
      <c r="O1606" s="88" t="str">
        <f>hyperlink("https://bad-boys.us/?q=SD-OH/2:18-cr-00230", "SD-OH 2:18-cr-00230")</f>
        <v>SD-OH 2:18-cr-00230</v>
      </c>
      <c r="P1606" s="88" t="s">
        <v>4566</v>
      </c>
      <c r="Q1606" s="84">
        <v>1.0</v>
      </c>
      <c r="R1606" s="62"/>
      <c r="S1606" s="37" t="str">
        <f>IFERROR(__xludf.DUMMYFUNCTION("if(not(iserror(index(split(C1606, "" ""),2))), index(split(C1606, "" ""),1),"""")"),"August,")</f>
        <v>August,</v>
      </c>
      <c r="T1606" s="38">
        <f>IFERROR(__xludf.DUMMYFUNCTION("if(S1606="""",C1606,if(not(iserror(index(split(C1606, "" ""),3))), index(split(C1606, "" ""),3),index(split(C1606, "" ""),2)))"),2018.0)</f>
        <v>2018</v>
      </c>
      <c r="U1606" s="38" t="b">
        <f t="shared" si="237"/>
        <v>0</v>
      </c>
      <c r="V1606" s="38" t="s">
        <v>33</v>
      </c>
      <c r="W1606" s="40"/>
      <c r="X1606" s="40"/>
      <c r="Y1606" s="40"/>
      <c r="Z1606" s="38"/>
      <c r="AA1606" s="38"/>
      <c r="AB1606" s="38"/>
      <c r="AC1606" s="38"/>
      <c r="AD1606" s="38"/>
      <c r="AE1606" s="38"/>
      <c r="AF1606" s="38"/>
      <c r="AG1606" s="38"/>
      <c r="AH1606" s="38"/>
      <c r="AI1606" s="38"/>
      <c r="AJ1606" s="38"/>
      <c r="AK1606" s="38"/>
      <c r="AL1606" s="38"/>
      <c r="AM1606" s="38"/>
      <c r="AN1606" s="38"/>
      <c r="AO1606" s="38"/>
      <c r="AP1606" s="38"/>
      <c r="AQ1606" s="38"/>
      <c r="AR1606" s="38"/>
      <c r="AS1606" s="38"/>
      <c r="AT1606" s="38"/>
      <c r="AU1606" s="38"/>
      <c r="AV1606" s="38"/>
      <c r="AW1606" s="38"/>
      <c r="AX1606" s="38"/>
      <c r="AY1606" s="38"/>
      <c r="AZ1606" s="38"/>
      <c r="BA1606" s="38"/>
      <c r="BB1606" s="38"/>
      <c r="BC1606" s="38"/>
      <c r="BD1606" s="38"/>
      <c r="BE1606" s="38"/>
      <c r="BF1606" s="38"/>
      <c r="BG1606" s="38"/>
      <c r="BH1606" s="38"/>
      <c r="BI1606" s="38"/>
      <c r="BJ1606" s="38"/>
      <c r="BK1606" s="38"/>
      <c r="BL1606" s="38"/>
      <c r="BM1606" s="38"/>
      <c r="BN1606" s="38"/>
      <c r="BO1606" s="38"/>
      <c r="BP1606" s="38"/>
      <c r="BQ1606" s="38"/>
    </row>
    <row r="1607">
      <c r="A1607" s="58" t="s">
        <v>4567</v>
      </c>
      <c r="B1607" s="59">
        <v>43336.0</v>
      </c>
      <c r="C1607" s="79">
        <v>43313.0</v>
      </c>
      <c r="D1607" s="60" t="s">
        <v>1847</v>
      </c>
      <c r="E1607" s="58" t="s">
        <v>41</v>
      </c>
      <c r="F1607" s="58">
        <v>1.0</v>
      </c>
      <c r="G1607" s="58" t="s">
        <v>32</v>
      </c>
      <c r="H1607" s="33">
        <f t="shared" si="236"/>
        <v>1</v>
      </c>
      <c r="I1607" s="58" t="s">
        <v>33</v>
      </c>
      <c r="J1607" s="58" t="s">
        <v>124</v>
      </c>
      <c r="K1607" s="58" t="s">
        <v>32</v>
      </c>
      <c r="L1607" s="58" t="s">
        <v>790</v>
      </c>
      <c r="M1607" s="61" t="s">
        <v>4561</v>
      </c>
      <c r="N1607" s="61" t="s">
        <v>4568</v>
      </c>
      <c r="O1607" s="58"/>
      <c r="P1607" s="58"/>
      <c r="Q1607" s="84"/>
      <c r="R1607" s="62"/>
      <c r="S1607" s="37" t="str">
        <f>IFERROR(__xludf.DUMMYFUNCTION("if(not(iserror(index(split(C1607, "" ""),2))), index(split(C1607, "" ""),1),"""")"),"August,")</f>
        <v>August,</v>
      </c>
      <c r="T1607" s="38">
        <f>IFERROR(__xludf.DUMMYFUNCTION("if(S1607="""",C1607,if(not(iserror(index(split(C1607, "" ""),3))), index(split(C1607, "" ""),3),index(split(C1607, "" ""),2)))"),2018.0)</f>
        <v>2018</v>
      </c>
      <c r="U1607" s="38" t="b">
        <f t="shared" si="237"/>
        <v>0</v>
      </c>
      <c r="V1607" s="38" t="s">
        <v>33</v>
      </c>
      <c r="W1607" s="40"/>
      <c r="X1607" s="40"/>
      <c r="Y1607" s="40"/>
      <c r="Z1607" s="38"/>
      <c r="AA1607" s="38"/>
      <c r="AB1607" s="38"/>
      <c r="AC1607" s="38"/>
      <c r="AD1607" s="38"/>
      <c r="AE1607" s="38"/>
      <c r="AF1607" s="38"/>
      <c r="AG1607" s="38"/>
      <c r="AH1607" s="38"/>
      <c r="AI1607" s="38"/>
      <c r="AJ1607" s="38"/>
      <c r="AK1607" s="38"/>
      <c r="AL1607" s="38"/>
      <c r="AM1607" s="38"/>
      <c r="AN1607" s="38"/>
      <c r="AO1607" s="38"/>
      <c r="AP1607" s="38"/>
      <c r="AQ1607" s="38"/>
      <c r="AR1607" s="38"/>
      <c r="AS1607" s="38"/>
      <c r="AT1607" s="38"/>
      <c r="AU1607" s="38"/>
      <c r="AV1607" s="38"/>
      <c r="AW1607" s="38"/>
      <c r="AX1607" s="38"/>
      <c r="AY1607" s="38"/>
      <c r="AZ1607" s="38"/>
      <c r="BA1607" s="38"/>
      <c r="BB1607" s="38"/>
      <c r="BC1607" s="38"/>
      <c r="BD1607" s="38"/>
      <c r="BE1607" s="38"/>
      <c r="BF1607" s="38"/>
      <c r="BG1607" s="38"/>
      <c r="BH1607" s="38"/>
      <c r="BI1607" s="38"/>
      <c r="BJ1607" s="38"/>
      <c r="BK1607" s="38"/>
      <c r="BL1607" s="38"/>
      <c r="BM1607" s="38"/>
      <c r="BN1607" s="38"/>
      <c r="BO1607" s="38"/>
      <c r="BP1607" s="38"/>
      <c r="BQ1607" s="38"/>
    </row>
    <row r="1608">
      <c r="A1608" s="78" t="s">
        <v>4569</v>
      </c>
      <c r="B1608" s="59"/>
      <c r="C1608" s="79">
        <v>43313.0</v>
      </c>
      <c r="D1608" s="60"/>
      <c r="E1608" s="58" t="s">
        <v>41</v>
      </c>
      <c r="F1608" s="58">
        <v>1.0</v>
      </c>
      <c r="G1608" s="58" t="s">
        <v>32</v>
      </c>
      <c r="H1608" s="50">
        <v>1.0</v>
      </c>
      <c r="I1608" s="58" t="s">
        <v>33</v>
      </c>
      <c r="J1608" s="58" t="s">
        <v>124</v>
      </c>
      <c r="K1608" s="58"/>
      <c r="L1608" s="58" t="s">
        <v>99</v>
      </c>
      <c r="M1608" s="61" t="s">
        <v>4570</v>
      </c>
      <c r="N1608" s="77"/>
      <c r="O1608" s="83" t="str">
        <f>hyperlink("https://bad-boys.us/?q=SD-OH/2:18-cr-00230", "SD-OH 2:18-cr-00230 ❓")</f>
        <v>SD-OH 2:18-cr-00230 ❓</v>
      </c>
      <c r="P1608" s="88" t="s">
        <v>4566</v>
      </c>
      <c r="Q1608" s="58">
        <v>1.0</v>
      </c>
      <c r="R1608" s="62"/>
      <c r="S1608" s="37"/>
      <c r="T1608" s="38"/>
      <c r="U1608" s="38" t="b">
        <f t="shared" si="237"/>
        <v>0</v>
      </c>
      <c r="V1608" s="38"/>
      <c r="W1608" s="40"/>
      <c r="X1608" s="40"/>
      <c r="Y1608" s="40"/>
      <c r="Z1608" s="38"/>
      <c r="AA1608" s="38"/>
      <c r="AB1608" s="38"/>
      <c r="AC1608" s="38"/>
      <c r="AD1608" s="38"/>
      <c r="AE1608" s="38"/>
      <c r="AF1608" s="38"/>
      <c r="AG1608" s="38"/>
      <c r="AH1608" s="38"/>
      <c r="AI1608" s="38"/>
      <c r="AJ1608" s="38"/>
      <c r="AK1608" s="38"/>
      <c r="AL1608" s="38"/>
      <c r="AM1608" s="38"/>
      <c r="AN1608" s="38"/>
      <c r="AO1608" s="38"/>
      <c r="AP1608" s="38"/>
      <c r="AQ1608" s="38"/>
      <c r="AR1608" s="38"/>
      <c r="AS1608" s="38"/>
      <c r="AT1608" s="38"/>
      <c r="AU1608" s="38"/>
      <c r="AV1608" s="38"/>
      <c r="AW1608" s="38"/>
      <c r="AX1608" s="38"/>
      <c r="AY1608" s="38"/>
      <c r="AZ1608" s="38"/>
      <c r="BA1608" s="38"/>
      <c r="BB1608" s="38"/>
      <c r="BC1608" s="38"/>
      <c r="BD1608" s="38"/>
      <c r="BE1608" s="38"/>
      <c r="BF1608" s="38"/>
      <c r="BG1608" s="38"/>
      <c r="BH1608" s="38"/>
      <c r="BI1608" s="38"/>
      <c r="BJ1608" s="38"/>
      <c r="BK1608" s="38"/>
      <c r="BL1608" s="38"/>
      <c r="BM1608" s="38"/>
      <c r="BN1608" s="38"/>
      <c r="BO1608" s="38"/>
      <c r="BP1608" s="38"/>
      <c r="BQ1608" s="38"/>
    </row>
    <row r="1609">
      <c r="A1609" s="78" t="s">
        <v>4571</v>
      </c>
      <c r="B1609" s="59">
        <v>43336.0</v>
      </c>
      <c r="C1609" s="79">
        <v>43313.0</v>
      </c>
      <c r="D1609" s="60" t="s">
        <v>1847</v>
      </c>
      <c r="E1609" s="58" t="s">
        <v>41</v>
      </c>
      <c r="F1609" s="58">
        <v>1.0</v>
      </c>
      <c r="G1609" s="58" t="s">
        <v>32</v>
      </c>
      <c r="H1609" s="50">
        <v>1.0</v>
      </c>
      <c r="I1609" s="58" t="s">
        <v>33</v>
      </c>
      <c r="J1609" s="58" t="s">
        <v>93</v>
      </c>
      <c r="K1609" s="58">
        <v>1.0</v>
      </c>
      <c r="L1609" s="58" t="s">
        <v>99</v>
      </c>
      <c r="M1609" s="61" t="s">
        <v>4572</v>
      </c>
      <c r="N1609" s="77"/>
      <c r="O1609" s="62"/>
      <c r="P1609" s="62"/>
      <c r="Q1609" s="58"/>
      <c r="R1609" s="62"/>
      <c r="S1609" s="37" t="str">
        <f>IFERROR(__xludf.DUMMYFUNCTION("if(not(iserror(index(split(C1609, "" ""),2))), index(split(C1609, "" ""),1),"""")"),"August,")</f>
        <v>August,</v>
      </c>
      <c r="T1609" s="38">
        <f>IFERROR(__xludf.DUMMYFUNCTION("if(S1609="""",C1609,if(not(iserror(index(split(C1609, "" ""),3))), index(split(C1609, "" ""),3),index(split(C1609, "" ""),2)))"),2018.0)</f>
        <v>2018</v>
      </c>
      <c r="U1609" s="38" t="b">
        <f t="shared" si="237"/>
        <v>0</v>
      </c>
      <c r="V1609" s="38"/>
      <c r="W1609" s="40"/>
      <c r="X1609" s="40"/>
      <c r="Y1609" s="40"/>
      <c r="Z1609" s="38"/>
      <c r="AA1609" s="38"/>
      <c r="AB1609" s="38"/>
      <c r="AC1609" s="38"/>
      <c r="AD1609" s="38"/>
      <c r="AE1609" s="38"/>
      <c r="AF1609" s="38"/>
      <c r="AG1609" s="38"/>
      <c r="AH1609" s="38"/>
      <c r="AI1609" s="38"/>
      <c r="AJ1609" s="38"/>
      <c r="AK1609" s="38"/>
      <c r="AL1609" s="38"/>
      <c r="AM1609" s="38"/>
      <c r="AN1609" s="38"/>
      <c r="AO1609" s="38"/>
      <c r="AP1609" s="38"/>
      <c r="AQ1609" s="38"/>
      <c r="AR1609" s="38"/>
      <c r="AS1609" s="38"/>
      <c r="AT1609" s="38"/>
      <c r="AU1609" s="38"/>
      <c r="AV1609" s="38"/>
      <c r="AW1609" s="38"/>
      <c r="AX1609" s="38"/>
      <c r="AY1609" s="38"/>
      <c r="AZ1609" s="38"/>
      <c r="BA1609" s="38"/>
      <c r="BB1609" s="38"/>
      <c r="BC1609" s="38"/>
      <c r="BD1609" s="38"/>
      <c r="BE1609" s="38"/>
      <c r="BF1609" s="38"/>
      <c r="BG1609" s="38"/>
      <c r="BH1609" s="38"/>
      <c r="BI1609" s="38"/>
      <c r="BJ1609" s="38"/>
      <c r="BK1609" s="38"/>
      <c r="BL1609" s="38"/>
      <c r="BM1609" s="38"/>
      <c r="BN1609" s="38"/>
      <c r="BO1609" s="38"/>
      <c r="BP1609" s="38"/>
      <c r="BQ1609" s="38"/>
    </row>
    <row r="1610">
      <c r="A1610" s="58" t="s">
        <v>4573</v>
      </c>
      <c r="B1610" s="59">
        <v>43350.0</v>
      </c>
      <c r="C1610" s="79">
        <v>43313.0</v>
      </c>
      <c r="D1610" s="60" t="s">
        <v>1847</v>
      </c>
      <c r="E1610" s="58" t="s">
        <v>41</v>
      </c>
      <c r="F1610" s="58">
        <v>1.0</v>
      </c>
      <c r="G1610" s="58" t="s">
        <v>32</v>
      </c>
      <c r="H1610" s="33">
        <f t="shared" ref="H1610:H1613" si="238">if(G1610="Unknown",1,G1610)</f>
        <v>1</v>
      </c>
      <c r="I1610" s="58" t="s">
        <v>33</v>
      </c>
      <c r="J1610" s="58" t="s">
        <v>222</v>
      </c>
      <c r="K1610" s="58">
        <v>7.0</v>
      </c>
      <c r="L1610" s="58" t="s">
        <v>4574</v>
      </c>
      <c r="M1610" s="80" t="s">
        <v>4575</v>
      </c>
      <c r="N1610" s="77"/>
      <c r="O1610" s="88" t="str">
        <f>hyperlink("https://bad-boys.us/?q=WD-WI/3:18-cr-00133", "WD-WI 3:18-cr-00133")</f>
        <v>WD-WI 3:18-cr-00133</v>
      </c>
      <c r="P1610" s="88" t="s">
        <v>4576</v>
      </c>
      <c r="Q1610" s="58">
        <v>1.0</v>
      </c>
      <c r="R1610" s="62"/>
      <c r="S1610" s="37" t="str">
        <f>IFERROR(__xludf.DUMMYFUNCTION("if(not(iserror(index(split(C1610, "" ""),2))), index(split(C1610, "" ""),1),"""")"),"August,")</f>
        <v>August,</v>
      </c>
      <c r="T1610" s="38">
        <f>IFERROR(__xludf.DUMMYFUNCTION("if(S1610="""",C1610,if(not(iserror(index(split(C1610, "" ""),3))), index(split(C1610, "" ""),3),index(split(C1610, "" ""),2)))"),2018.0)</f>
        <v>2018</v>
      </c>
      <c r="U1610" s="38" t="b">
        <f t="shared" si="237"/>
        <v>0</v>
      </c>
      <c r="V1610" s="38" t="s">
        <v>33</v>
      </c>
      <c r="W1610" s="40"/>
      <c r="X1610" s="40"/>
      <c r="Y1610" s="40"/>
      <c r="Z1610" s="38"/>
      <c r="AA1610" s="38"/>
      <c r="AB1610" s="38"/>
      <c r="AC1610" s="38"/>
      <c r="AD1610" s="38"/>
      <c r="AE1610" s="38"/>
      <c r="AF1610" s="38"/>
      <c r="AG1610" s="38"/>
      <c r="AH1610" s="38"/>
      <c r="AI1610" s="38"/>
      <c r="AJ1610" s="38"/>
      <c r="AK1610" s="38"/>
      <c r="AL1610" s="38"/>
      <c r="AM1610" s="38"/>
      <c r="AN1610" s="38"/>
      <c r="AO1610" s="38"/>
      <c r="AP1610" s="38"/>
      <c r="AQ1610" s="38"/>
      <c r="AR1610" s="38"/>
      <c r="AS1610" s="38"/>
      <c r="AT1610" s="38"/>
      <c r="AU1610" s="38"/>
      <c r="AV1610" s="38"/>
      <c r="AW1610" s="38"/>
      <c r="AX1610" s="38"/>
      <c r="AY1610" s="38"/>
      <c r="AZ1610" s="38"/>
      <c r="BA1610" s="38"/>
      <c r="BB1610" s="38"/>
      <c r="BC1610" s="38"/>
      <c r="BD1610" s="38"/>
      <c r="BE1610" s="38"/>
      <c r="BF1610" s="38"/>
      <c r="BG1610" s="38"/>
      <c r="BH1610" s="38"/>
      <c r="BI1610" s="38"/>
      <c r="BJ1610" s="38"/>
      <c r="BK1610" s="38"/>
      <c r="BL1610" s="38"/>
      <c r="BM1610" s="38"/>
      <c r="BN1610" s="38"/>
      <c r="BO1610" s="38"/>
      <c r="BP1610" s="38"/>
      <c r="BQ1610" s="38"/>
    </row>
    <row r="1611">
      <c r="A1611" s="58" t="s">
        <v>660</v>
      </c>
      <c r="B1611" s="59">
        <v>43361.0</v>
      </c>
      <c r="C1611" s="79">
        <v>43313.0</v>
      </c>
      <c r="D1611" s="60" t="s">
        <v>640</v>
      </c>
      <c r="E1611" s="58" t="s">
        <v>31</v>
      </c>
      <c r="F1611" s="58">
        <v>12.0</v>
      </c>
      <c r="G1611" s="58" t="s">
        <v>32</v>
      </c>
      <c r="H1611" s="33">
        <f t="shared" si="238"/>
        <v>1</v>
      </c>
      <c r="I1611" s="58" t="s">
        <v>33</v>
      </c>
      <c r="J1611" s="58" t="s">
        <v>147</v>
      </c>
      <c r="K1611" s="58">
        <v>20.0</v>
      </c>
      <c r="L1611" s="58" t="s">
        <v>4577</v>
      </c>
      <c r="M1611" s="61" t="s">
        <v>4578</v>
      </c>
      <c r="N1611" s="77"/>
      <c r="O1611" s="62"/>
      <c r="P1611" s="62"/>
      <c r="Q1611" s="62"/>
      <c r="R1611" s="62"/>
      <c r="S1611" s="37" t="str">
        <f>IFERROR(__xludf.DUMMYFUNCTION("if(not(iserror(index(split(C1611, "" ""),2))), index(split(C1611, "" ""),1),"""")"),"August,")</f>
        <v>August,</v>
      </c>
      <c r="T1611" s="38">
        <f>IFERROR(__xludf.DUMMYFUNCTION("if(S1611="""",C1611,if(not(iserror(index(split(C1611, "" ""),3))), index(split(C1611, "" ""),3),index(split(C1611, "" ""),2)))"),2018.0)</f>
        <v>2018</v>
      </c>
      <c r="U1611" s="38" t="b">
        <f t="shared" si="237"/>
        <v>1</v>
      </c>
      <c r="V1611" s="38"/>
      <c r="W1611" s="40"/>
      <c r="X1611" s="40"/>
      <c r="Y1611" s="40"/>
      <c r="Z1611" s="38"/>
      <c r="AA1611" s="38"/>
      <c r="AB1611" s="38"/>
      <c r="AC1611" s="38"/>
      <c r="AD1611" s="38"/>
      <c r="AE1611" s="38"/>
      <c r="AF1611" s="38"/>
      <c r="AG1611" s="38"/>
      <c r="AH1611" s="38"/>
      <c r="AI1611" s="38"/>
      <c r="AJ1611" s="38"/>
      <c r="AK1611" s="38"/>
      <c r="AL1611" s="38"/>
      <c r="AM1611" s="38"/>
      <c r="AN1611" s="38"/>
      <c r="AO1611" s="38"/>
      <c r="AP1611" s="38"/>
      <c r="AQ1611" s="38"/>
      <c r="AR1611" s="38"/>
      <c r="AS1611" s="38"/>
      <c r="AT1611" s="38"/>
      <c r="AU1611" s="38"/>
      <c r="AV1611" s="38"/>
      <c r="AW1611" s="38"/>
      <c r="AX1611" s="38"/>
      <c r="AY1611" s="38"/>
      <c r="AZ1611" s="38"/>
      <c r="BA1611" s="38"/>
      <c r="BB1611" s="38"/>
      <c r="BC1611" s="38"/>
      <c r="BD1611" s="38"/>
      <c r="BE1611" s="38"/>
      <c r="BF1611" s="38"/>
      <c r="BG1611" s="38"/>
      <c r="BH1611" s="38"/>
      <c r="BI1611" s="38"/>
      <c r="BJ1611" s="38"/>
      <c r="BK1611" s="38"/>
      <c r="BL1611" s="38"/>
      <c r="BM1611" s="38"/>
      <c r="BN1611" s="38"/>
      <c r="BO1611" s="38"/>
      <c r="BP1611" s="38"/>
      <c r="BQ1611" s="38"/>
    </row>
    <row r="1612">
      <c r="A1612" s="58" t="s">
        <v>660</v>
      </c>
      <c r="B1612" s="59">
        <v>43367.0</v>
      </c>
      <c r="C1612" s="59">
        <v>43313.0</v>
      </c>
      <c r="D1612" s="60" t="s">
        <v>4579</v>
      </c>
      <c r="E1612" s="58" t="s">
        <v>31</v>
      </c>
      <c r="F1612" s="58">
        <v>54.0</v>
      </c>
      <c r="G1612" s="58" t="s">
        <v>32</v>
      </c>
      <c r="H1612" s="33">
        <f t="shared" si="238"/>
        <v>1</v>
      </c>
      <c r="I1612" s="58" t="s">
        <v>33</v>
      </c>
      <c r="J1612" s="58" t="s">
        <v>147</v>
      </c>
      <c r="K1612" s="58">
        <v>1.0</v>
      </c>
      <c r="L1612" s="58" t="s">
        <v>52</v>
      </c>
      <c r="M1612" s="61" t="s">
        <v>4580</v>
      </c>
      <c r="N1612" s="77"/>
      <c r="O1612" s="62"/>
      <c r="P1612" s="62"/>
      <c r="Q1612" s="62"/>
      <c r="R1612" s="62"/>
      <c r="S1612" s="37" t="str">
        <f>IFERROR(__xludf.DUMMYFUNCTION("if(not(iserror(index(split(C1612, "" ""),2))), index(split(C1612, "" ""),1),"""")"),"August")</f>
        <v>August</v>
      </c>
      <c r="T1612" s="38">
        <f>IFERROR(__xludf.DUMMYFUNCTION("if(S1612="""",C1612,if(not(iserror(index(split(C1612, "" ""),3))), index(split(C1612, "" ""),3),index(split(C1612, "" ""),2)))"),2018.0)</f>
        <v>2018</v>
      </c>
      <c r="U1612" s="38" t="b">
        <f t="shared" si="237"/>
        <v>1</v>
      </c>
      <c r="V1612" s="38"/>
      <c r="W1612" s="40"/>
      <c r="X1612" s="40"/>
      <c r="Y1612" s="40"/>
      <c r="Z1612" s="38"/>
      <c r="AA1612" s="38"/>
      <c r="AB1612" s="38"/>
      <c r="AC1612" s="38"/>
      <c r="AD1612" s="38"/>
      <c r="AE1612" s="38"/>
      <c r="AF1612" s="38"/>
      <c r="AG1612" s="38"/>
      <c r="AH1612" s="38"/>
      <c r="AI1612" s="38"/>
      <c r="AJ1612" s="38"/>
      <c r="AK1612" s="38"/>
      <c r="AL1612" s="38"/>
      <c r="AM1612" s="38"/>
      <c r="AN1612" s="38"/>
      <c r="AO1612" s="38"/>
      <c r="AP1612" s="38"/>
      <c r="AQ1612" s="38"/>
      <c r="AR1612" s="38"/>
      <c r="AS1612" s="38"/>
      <c r="AT1612" s="38"/>
      <c r="AU1612" s="38"/>
      <c r="AV1612" s="38"/>
      <c r="AW1612" s="38"/>
      <c r="AX1612" s="38"/>
      <c r="AY1612" s="38"/>
      <c r="AZ1612" s="38"/>
      <c r="BA1612" s="38"/>
      <c r="BB1612" s="38"/>
      <c r="BC1612" s="38"/>
      <c r="BD1612" s="38"/>
      <c r="BE1612" s="38"/>
      <c r="BF1612" s="38"/>
      <c r="BG1612" s="38"/>
      <c r="BH1612" s="38"/>
      <c r="BI1612" s="38"/>
      <c r="BJ1612" s="38"/>
      <c r="BK1612" s="38"/>
      <c r="BL1612" s="38"/>
      <c r="BM1612" s="38"/>
      <c r="BN1612" s="38"/>
      <c r="BO1612" s="38"/>
      <c r="BP1612" s="38"/>
      <c r="BQ1612" s="38"/>
    </row>
    <row r="1613">
      <c r="A1613" s="58" t="s">
        <v>4581</v>
      </c>
      <c r="B1613" s="59">
        <v>43445.0</v>
      </c>
      <c r="C1613" s="79">
        <v>43313.0</v>
      </c>
      <c r="D1613" s="60" t="s">
        <v>1847</v>
      </c>
      <c r="E1613" s="58" t="s">
        <v>41</v>
      </c>
      <c r="F1613" s="58">
        <v>11.0</v>
      </c>
      <c r="G1613" s="58" t="s">
        <v>32</v>
      </c>
      <c r="H1613" s="33">
        <f t="shared" si="238"/>
        <v>1</v>
      </c>
      <c r="I1613" s="58" t="s">
        <v>33</v>
      </c>
      <c r="J1613" s="58" t="s">
        <v>222</v>
      </c>
      <c r="K1613" s="58">
        <v>2.0</v>
      </c>
      <c r="L1613" s="58" t="s">
        <v>119</v>
      </c>
      <c r="M1613" s="61" t="s">
        <v>4582</v>
      </c>
      <c r="N1613" s="80"/>
      <c r="O1613" s="88" t="str">
        <f>hyperlink("https://bad-boys.us/?q=ED-WI/1:18-cr-00164", "ED-WI 1:18-cr-00164")</f>
        <v>ED-WI 1:18-cr-00164</v>
      </c>
      <c r="P1613" s="88" t="s">
        <v>4583</v>
      </c>
      <c r="Q1613" s="58">
        <v>1.0</v>
      </c>
      <c r="R1613" s="62"/>
      <c r="S1613" s="37" t="str">
        <f>IFERROR(__xludf.DUMMYFUNCTION("if(not(iserror(index(split(C1613, "" ""),2))), index(split(C1613, "" ""),1),"""")"),"August,")</f>
        <v>August,</v>
      </c>
      <c r="T1613" s="38">
        <f>IFERROR(__xludf.DUMMYFUNCTION("if(S1613="""",C1613,if(not(iserror(index(split(C1613, "" ""),3))), index(split(C1613, "" ""),3),index(split(C1613, "" ""),2)))"),2018.0)</f>
        <v>2018</v>
      </c>
      <c r="U1613" s="38" t="b">
        <f t="shared" si="237"/>
        <v>0</v>
      </c>
      <c r="V1613" s="38"/>
      <c r="W1613" s="40"/>
      <c r="X1613" s="40"/>
      <c r="Y1613" s="40"/>
      <c r="Z1613" s="38"/>
      <c r="AA1613" s="38"/>
      <c r="AB1613" s="38"/>
      <c r="AC1613" s="38"/>
      <c r="AD1613" s="38"/>
      <c r="AE1613" s="38"/>
      <c r="AF1613" s="38"/>
      <c r="AG1613" s="38"/>
      <c r="AH1613" s="38"/>
      <c r="AI1613" s="38"/>
      <c r="AJ1613" s="38"/>
      <c r="AK1613" s="38"/>
      <c r="AL1613" s="38"/>
      <c r="AM1613" s="38"/>
      <c r="AN1613" s="38"/>
      <c r="AO1613" s="38"/>
      <c r="AP1613" s="38"/>
      <c r="AQ1613" s="38"/>
      <c r="AR1613" s="38"/>
      <c r="AS1613" s="38"/>
      <c r="AT1613" s="38"/>
      <c r="AU1613" s="38"/>
      <c r="AV1613" s="38"/>
      <c r="AW1613" s="38"/>
      <c r="AX1613" s="38"/>
      <c r="AY1613" s="38"/>
      <c r="AZ1613" s="38"/>
      <c r="BA1613" s="38"/>
      <c r="BB1613" s="38"/>
      <c r="BC1613" s="38"/>
      <c r="BD1613" s="38"/>
      <c r="BE1613" s="38"/>
      <c r="BF1613" s="38"/>
      <c r="BG1613" s="38"/>
      <c r="BH1613" s="38"/>
      <c r="BI1613" s="38"/>
      <c r="BJ1613" s="38"/>
      <c r="BK1613" s="38"/>
      <c r="BL1613" s="38"/>
      <c r="BM1613" s="38"/>
      <c r="BN1613" s="38"/>
      <c r="BO1613" s="38"/>
      <c r="BP1613" s="38"/>
      <c r="BQ1613" s="38"/>
    </row>
    <row r="1614">
      <c r="A1614" s="58" t="s">
        <v>4584</v>
      </c>
      <c r="B1614" s="59"/>
      <c r="C1614" s="59">
        <v>43314.0</v>
      </c>
      <c r="D1614" s="60"/>
      <c r="E1614" s="58" t="s">
        <v>41</v>
      </c>
      <c r="F1614" s="58">
        <v>1.0</v>
      </c>
      <c r="G1614" s="58">
        <v>10.0</v>
      </c>
      <c r="H1614" s="43">
        <v>10.0</v>
      </c>
      <c r="I1614" s="58" t="s">
        <v>33</v>
      </c>
      <c r="J1614" s="58" t="s">
        <v>279</v>
      </c>
      <c r="K1614" s="58"/>
      <c r="L1614" s="58" t="s">
        <v>194</v>
      </c>
      <c r="M1614" s="61" t="s">
        <v>4585</v>
      </c>
      <c r="N1614" s="77"/>
      <c r="O1614" s="62"/>
      <c r="P1614" s="62"/>
      <c r="Q1614" s="62"/>
      <c r="R1614" s="62"/>
      <c r="S1614" s="37" t="str">
        <f>IFERROR(__xludf.DUMMYFUNCTION("if(not(iserror(index(split(C1614, "" ""),2))), index(split(C1614, "" ""),1),"""")"),"August")</f>
        <v>August</v>
      </c>
      <c r="T1614" s="38">
        <f>IFERROR(__xludf.DUMMYFUNCTION("if(S1614="""",C1614,if(not(iserror(index(split(C1614, "" ""),3))), index(split(C1614, "" ""),3),index(split(C1614, "" ""),2)))"),2018.0)</f>
        <v>2018</v>
      </c>
      <c r="U1614" s="38" t="b">
        <f t="shared" si="237"/>
        <v>0</v>
      </c>
      <c r="V1614" s="38" t="s">
        <v>3919</v>
      </c>
      <c r="W1614" s="40"/>
      <c r="X1614" s="40"/>
      <c r="Y1614" s="40"/>
      <c r="Z1614" s="38"/>
      <c r="AA1614" s="38"/>
      <c r="AB1614" s="38"/>
      <c r="AC1614" s="38"/>
      <c r="AD1614" s="38"/>
      <c r="AE1614" s="38"/>
      <c r="AF1614" s="38"/>
      <c r="AG1614" s="38"/>
      <c r="AH1614" s="38"/>
      <c r="AI1614" s="38"/>
      <c r="AJ1614" s="38"/>
      <c r="AK1614" s="38"/>
      <c r="AL1614" s="38"/>
      <c r="AM1614" s="38"/>
      <c r="AN1614" s="38"/>
      <c r="AO1614" s="38"/>
      <c r="AP1614" s="38"/>
      <c r="AQ1614" s="38"/>
      <c r="AR1614" s="38"/>
      <c r="AS1614" s="38"/>
      <c r="AT1614" s="38"/>
      <c r="AU1614" s="38"/>
      <c r="AV1614" s="38"/>
      <c r="AW1614" s="38"/>
      <c r="AX1614" s="38"/>
      <c r="AY1614" s="38"/>
      <c r="AZ1614" s="38"/>
      <c r="BA1614" s="38"/>
      <c r="BB1614" s="38"/>
      <c r="BC1614" s="38"/>
      <c r="BD1614" s="38"/>
      <c r="BE1614" s="38"/>
      <c r="BF1614" s="38"/>
      <c r="BG1614" s="38"/>
      <c r="BH1614" s="38"/>
      <c r="BI1614" s="38"/>
      <c r="BJ1614" s="38"/>
      <c r="BK1614" s="38"/>
      <c r="BL1614" s="38"/>
      <c r="BM1614" s="38"/>
      <c r="BN1614" s="38"/>
      <c r="BO1614" s="38"/>
      <c r="BP1614" s="38"/>
      <c r="BQ1614" s="38"/>
    </row>
    <row r="1615">
      <c r="A1615" s="58" t="s">
        <v>4586</v>
      </c>
      <c r="B1615" s="59">
        <v>43314.0</v>
      </c>
      <c r="C1615" s="59">
        <v>43314.0</v>
      </c>
      <c r="D1615" s="60" t="s">
        <v>4435</v>
      </c>
      <c r="E1615" s="58" t="s">
        <v>31</v>
      </c>
      <c r="F1615" s="58">
        <v>1.0</v>
      </c>
      <c r="G1615" s="58" t="s">
        <v>32</v>
      </c>
      <c r="H1615" s="33">
        <f t="shared" ref="H1615:H1620" si="239">if(G1615="Unknown",1,G1615)</f>
        <v>1</v>
      </c>
      <c r="I1615" s="58" t="s">
        <v>33</v>
      </c>
      <c r="J1615" s="58" t="s">
        <v>147</v>
      </c>
      <c r="K1615" s="58">
        <v>1.0</v>
      </c>
      <c r="L1615" s="58" t="s">
        <v>52</v>
      </c>
      <c r="M1615" s="61" t="s">
        <v>4587</v>
      </c>
      <c r="N1615" s="77"/>
      <c r="O1615" s="62"/>
      <c r="P1615" s="62"/>
      <c r="Q1615" s="62"/>
      <c r="R1615" s="62"/>
      <c r="S1615" s="37" t="str">
        <f>IFERROR(__xludf.DUMMYFUNCTION("if(not(iserror(index(split(C1615, "" ""),2))), index(split(C1615, "" ""),1),"""")"),"August")</f>
        <v>August</v>
      </c>
      <c r="T1615" s="38">
        <f>IFERROR(__xludf.DUMMYFUNCTION("if(S1615="""",C1615,if(not(iserror(index(split(C1615, "" ""),3))), index(split(C1615, "" ""),3),index(split(C1615, "" ""),2)))"),2018.0)</f>
        <v>2018</v>
      </c>
      <c r="U1615" s="38" t="b">
        <f t="shared" si="237"/>
        <v>0</v>
      </c>
      <c r="V1615" s="38"/>
      <c r="W1615" s="40"/>
      <c r="X1615" s="40"/>
      <c r="Y1615" s="40"/>
      <c r="Z1615" s="38"/>
      <c r="AA1615" s="38"/>
      <c r="AB1615" s="38"/>
      <c r="AC1615" s="38"/>
      <c r="AD1615" s="38"/>
      <c r="AE1615" s="38"/>
      <c r="AF1615" s="38"/>
      <c r="AG1615" s="38"/>
      <c r="AH1615" s="38"/>
      <c r="AI1615" s="38"/>
      <c r="AJ1615" s="38"/>
      <c r="AK1615" s="38"/>
      <c r="AL1615" s="38"/>
      <c r="AM1615" s="38"/>
      <c r="AN1615" s="38"/>
      <c r="AO1615" s="38"/>
      <c r="AP1615" s="38"/>
      <c r="AQ1615" s="38"/>
      <c r="AR1615" s="38"/>
      <c r="AS1615" s="38"/>
      <c r="AT1615" s="38"/>
      <c r="AU1615" s="38"/>
      <c r="AV1615" s="38"/>
      <c r="AW1615" s="38"/>
      <c r="AX1615" s="38"/>
      <c r="AY1615" s="38"/>
      <c r="AZ1615" s="38"/>
      <c r="BA1615" s="38"/>
      <c r="BB1615" s="38"/>
      <c r="BC1615" s="38"/>
      <c r="BD1615" s="38"/>
      <c r="BE1615" s="38"/>
      <c r="BF1615" s="38"/>
      <c r="BG1615" s="38"/>
      <c r="BH1615" s="38"/>
      <c r="BI1615" s="38"/>
      <c r="BJ1615" s="38"/>
      <c r="BK1615" s="38"/>
      <c r="BL1615" s="38"/>
      <c r="BM1615" s="38"/>
      <c r="BN1615" s="38"/>
      <c r="BO1615" s="38"/>
      <c r="BP1615" s="38"/>
      <c r="BQ1615" s="38"/>
    </row>
    <row r="1616">
      <c r="A1616" s="58" t="s">
        <v>4588</v>
      </c>
      <c r="B1616" s="59">
        <v>43314.0</v>
      </c>
      <c r="C1616" s="59">
        <v>43314.0</v>
      </c>
      <c r="D1616" s="60" t="s">
        <v>4435</v>
      </c>
      <c r="E1616" s="58" t="s">
        <v>41</v>
      </c>
      <c r="F1616" s="58">
        <v>2.0</v>
      </c>
      <c r="G1616" s="58" t="s">
        <v>32</v>
      </c>
      <c r="H1616" s="33">
        <f t="shared" si="239"/>
        <v>1</v>
      </c>
      <c r="I1616" s="58" t="s">
        <v>33</v>
      </c>
      <c r="J1616" s="58" t="s">
        <v>106</v>
      </c>
      <c r="K1616" s="58">
        <v>1.0</v>
      </c>
      <c r="L1616" s="58" t="s">
        <v>501</v>
      </c>
      <c r="M1616" s="61" t="s">
        <v>4589</v>
      </c>
      <c r="N1616" s="77"/>
      <c r="O1616" s="62"/>
      <c r="P1616" s="62"/>
      <c r="Q1616" s="62"/>
      <c r="R1616" s="62"/>
      <c r="S1616" s="37" t="str">
        <f>IFERROR(__xludf.DUMMYFUNCTION("if(not(iserror(index(split(C1616, "" ""),2))), index(split(C1616, "" ""),1),"""")"),"August")</f>
        <v>August</v>
      </c>
      <c r="T1616" s="38">
        <f>IFERROR(__xludf.DUMMYFUNCTION("if(S1616="""",C1616,if(not(iserror(index(split(C1616, "" ""),3))), index(split(C1616, "" ""),3),index(split(C1616, "" ""),2)))"),2018.0)</f>
        <v>2018</v>
      </c>
      <c r="U1616" s="38" t="b">
        <f t="shared" si="237"/>
        <v>0</v>
      </c>
      <c r="V1616" s="38"/>
      <c r="W1616" s="40"/>
      <c r="X1616" s="40"/>
      <c r="Y1616" s="40"/>
      <c r="Z1616" s="38"/>
      <c r="AA1616" s="38"/>
      <c r="AB1616" s="38"/>
      <c r="AC1616" s="38"/>
      <c r="AD1616" s="38"/>
      <c r="AE1616" s="38"/>
      <c r="AF1616" s="38"/>
      <c r="AG1616" s="38"/>
      <c r="AH1616" s="38"/>
      <c r="AI1616" s="38"/>
      <c r="AJ1616" s="38"/>
      <c r="AK1616" s="38"/>
      <c r="AL1616" s="38"/>
      <c r="AM1616" s="38"/>
      <c r="AN1616" s="38"/>
      <c r="AO1616" s="38"/>
      <c r="AP1616" s="38"/>
      <c r="AQ1616" s="38"/>
      <c r="AR1616" s="38"/>
      <c r="AS1616" s="38"/>
      <c r="AT1616" s="38"/>
      <c r="AU1616" s="38"/>
      <c r="AV1616" s="38"/>
      <c r="AW1616" s="38"/>
      <c r="AX1616" s="38"/>
      <c r="AY1616" s="38"/>
      <c r="AZ1616" s="38"/>
      <c r="BA1616" s="38"/>
      <c r="BB1616" s="38"/>
      <c r="BC1616" s="38"/>
      <c r="BD1616" s="38"/>
      <c r="BE1616" s="38"/>
      <c r="BF1616" s="38"/>
      <c r="BG1616" s="38"/>
      <c r="BH1616" s="38"/>
      <c r="BI1616" s="38"/>
      <c r="BJ1616" s="38"/>
      <c r="BK1616" s="38"/>
      <c r="BL1616" s="38"/>
      <c r="BM1616" s="38"/>
      <c r="BN1616" s="38"/>
      <c r="BO1616" s="38"/>
      <c r="BP1616" s="38"/>
      <c r="BQ1616" s="38"/>
    </row>
    <row r="1617">
      <c r="A1617" s="78" t="s">
        <v>4590</v>
      </c>
      <c r="B1617" s="59">
        <v>43321.0</v>
      </c>
      <c r="C1617" s="59">
        <v>43314.0</v>
      </c>
      <c r="D1617" s="60" t="s">
        <v>4435</v>
      </c>
      <c r="E1617" s="58" t="s">
        <v>31</v>
      </c>
      <c r="F1617" s="58">
        <v>2.0</v>
      </c>
      <c r="G1617" s="58" t="s">
        <v>32</v>
      </c>
      <c r="H1617" s="33">
        <f t="shared" si="239"/>
        <v>1</v>
      </c>
      <c r="I1617" s="58" t="s">
        <v>33</v>
      </c>
      <c r="J1617" s="58" t="s">
        <v>147</v>
      </c>
      <c r="K1617" s="58" t="s">
        <v>32</v>
      </c>
      <c r="L1617" s="58" t="s">
        <v>372</v>
      </c>
      <c r="M1617" s="46" t="s">
        <v>4591</v>
      </c>
      <c r="N1617" s="77"/>
      <c r="O1617" s="58"/>
      <c r="P1617" s="58"/>
      <c r="Q1617" s="84"/>
      <c r="R1617" s="62"/>
      <c r="S1617" s="37" t="str">
        <f>IFERROR(__xludf.DUMMYFUNCTION("if(not(iserror(index(split(C1617, "" ""),2))), index(split(C1617, "" ""),1),"""")"),"August")</f>
        <v>August</v>
      </c>
      <c r="T1617" s="38">
        <f>IFERROR(__xludf.DUMMYFUNCTION("if(S1617="""",C1617,if(not(iserror(index(split(C1617, "" ""),3))), index(split(C1617, "" ""),3),index(split(C1617, "" ""),2)))"),2018.0)</f>
        <v>2018</v>
      </c>
      <c r="U1617" s="38" t="b">
        <f t="shared" si="237"/>
        <v>0</v>
      </c>
      <c r="V1617" s="38"/>
      <c r="W1617" s="40"/>
      <c r="X1617" s="40"/>
      <c r="Y1617" s="40"/>
      <c r="Z1617" s="38"/>
      <c r="AA1617" s="38"/>
      <c r="AB1617" s="38"/>
      <c r="AC1617" s="38"/>
      <c r="AD1617" s="38"/>
      <c r="AE1617" s="38"/>
      <c r="AF1617" s="38"/>
      <c r="AG1617" s="38"/>
      <c r="AH1617" s="38"/>
      <c r="AI1617" s="38"/>
      <c r="AJ1617" s="38"/>
      <c r="AK1617" s="38"/>
      <c r="AL1617" s="38"/>
      <c r="AM1617" s="38"/>
      <c r="AN1617" s="38"/>
      <c r="AO1617" s="38"/>
      <c r="AP1617" s="38"/>
      <c r="AQ1617" s="38"/>
      <c r="AR1617" s="38"/>
      <c r="AS1617" s="38"/>
      <c r="AT1617" s="38"/>
      <c r="AU1617" s="38"/>
      <c r="AV1617" s="38"/>
      <c r="AW1617" s="38"/>
      <c r="AX1617" s="38"/>
      <c r="AY1617" s="38"/>
      <c r="AZ1617" s="38"/>
      <c r="BA1617" s="38"/>
      <c r="BB1617" s="38"/>
      <c r="BC1617" s="38"/>
      <c r="BD1617" s="38"/>
      <c r="BE1617" s="38"/>
      <c r="BF1617" s="38"/>
      <c r="BG1617" s="38"/>
      <c r="BH1617" s="38"/>
      <c r="BI1617" s="38"/>
      <c r="BJ1617" s="38"/>
      <c r="BK1617" s="38"/>
      <c r="BL1617" s="38"/>
      <c r="BM1617" s="38"/>
      <c r="BN1617" s="38"/>
      <c r="BO1617" s="38"/>
      <c r="BP1617" s="38"/>
      <c r="BQ1617" s="38"/>
    </row>
    <row r="1618">
      <c r="A1618" s="58" t="s">
        <v>660</v>
      </c>
      <c r="B1618" s="59">
        <v>43319.0</v>
      </c>
      <c r="C1618" s="59">
        <v>43315.0</v>
      </c>
      <c r="D1618" s="60" t="s">
        <v>4287</v>
      </c>
      <c r="E1618" s="58" t="s">
        <v>41</v>
      </c>
      <c r="F1618" s="58">
        <v>5.0</v>
      </c>
      <c r="G1618" s="58" t="s">
        <v>32</v>
      </c>
      <c r="H1618" s="33">
        <f t="shared" si="239"/>
        <v>1</v>
      </c>
      <c r="I1618" s="58" t="s">
        <v>33</v>
      </c>
      <c r="J1618" s="58" t="s">
        <v>111</v>
      </c>
      <c r="K1618" s="58">
        <v>1.0</v>
      </c>
      <c r="L1618" s="58" t="s">
        <v>4592</v>
      </c>
      <c r="M1618" s="61" t="s">
        <v>4593</v>
      </c>
      <c r="N1618" s="77"/>
      <c r="O1618" s="62"/>
      <c r="P1618" s="62"/>
      <c r="Q1618" s="62"/>
      <c r="R1618" s="62"/>
      <c r="S1618" s="37" t="str">
        <f>IFERROR(__xludf.DUMMYFUNCTION("if(not(iserror(index(split(C1618, "" ""),2))), index(split(C1618, "" ""),1),"""")"),"August")</f>
        <v>August</v>
      </c>
      <c r="T1618" s="38">
        <f>IFERROR(__xludf.DUMMYFUNCTION("if(S1618="""",C1618,if(not(iserror(index(split(C1618, "" ""),3))), index(split(C1618, "" ""),3),index(split(C1618, "" ""),2)))"),2018.0)</f>
        <v>2018</v>
      </c>
      <c r="U1618" s="38" t="b">
        <f t="shared" si="237"/>
        <v>1</v>
      </c>
      <c r="V1618" s="38"/>
      <c r="W1618" s="40"/>
      <c r="X1618" s="40"/>
      <c r="Y1618" s="40"/>
      <c r="Z1618" s="38"/>
      <c r="AA1618" s="38"/>
      <c r="AB1618" s="38"/>
      <c r="AC1618" s="38"/>
      <c r="AD1618" s="38"/>
      <c r="AE1618" s="38"/>
      <c r="AF1618" s="38"/>
      <c r="AG1618" s="38"/>
      <c r="AH1618" s="38"/>
      <c r="AI1618" s="38"/>
      <c r="AJ1618" s="38"/>
      <c r="AK1618" s="38"/>
      <c r="AL1618" s="38"/>
      <c r="AM1618" s="38"/>
      <c r="AN1618" s="38"/>
      <c r="AO1618" s="38"/>
      <c r="AP1618" s="38"/>
      <c r="AQ1618" s="38"/>
      <c r="AR1618" s="38"/>
      <c r="AS1618" s="38"/>
      <c r="AT1618" s="38"/>
      <c r="AU1618" s="38"/>
      <c r="AV1618" s="38"/>
      <c r="AW1618" s="38"/>
      <c r="AX1618" s="38"/>
      <c r="AY1618" s="38"/>
      <c r="AZ1618" s="38"/>
      <c r="BA1618" s="38"/>
      <c r="BB1618" s="38"/>
      <c r="BC1618" s="38"/>
      <c r="BD1618" s="38"/>
      <c r="BE1618" s="38"/>
      <c r="BF1618" s="38"/>
      <c r="BG1618" s="38"/>
      <c r="BH1618" s="38"/>
      <c r="BI1618" s="38"/>
      <c r="BJ1618" s="38"/>
      <c r="BK1618" s="38"/>
      <c r="BL1618" s="38"/>
      <c r="BM1618" s="38"/>
      <c r="BN1618" s="38"/>
      <c r="BO1618" s="38"/>
      <c r="BP1618" s="38"/>
      <c r="BQ1618" s="38"/>
    </row>
    <row r="1619">
      <c r="A1619" s="58" t="s">
        <v>660</v>
      </c>
      <c r="B1619" s="59">
        <v>43327.0</v>
      </c>
      <c r="C1619" s="59">
        <v>43315.0</v>
      </c>
      <c r="D1619" s="60" t="s">
        <v>4594</v>
      </c>
      <c r="E1619" s="58" t="s">
        <v>41</v>
      </c>
      <c r="F1619" s="58">
        <v>6.0</v>
      </c>
      <c r="G1619" s="58" t="s">
        <v>32</v>
      </c>
      <c r="H1619" s="33">
        <f t="shared" si="239"/>
        <v>1</v>
      </c>
      <c r="I1619" s="58" t="s">
        <v>33</v>
      </c>
      <c r="J1619" s="58" t="s">
        <v>203</v>
      </c>
      <c r="K1619" s="58">
        <v>4.0</v>
      </c>
      <c r="L1619" s="58" t="s">
        <v>646</v>
      </c>
      <c r="M1619" s="61" t="s">
        <v>4595</v>
      </c>
      <c r="N1619" s="77"/>
      <c r="O1619" s="62"/>
      <c r="P1619" s="62"/>
      <c r="Q1619" s="62"/>
      <c r="R1619" s="62"/>
      <c r="S1619" s="37" t="str">
        <f>IFERROR(__xludf.DUMMYFUNCTION("if(not(iserror(index(split(C1619, "" ""),2))), index(split(C1619, "" ""),1),"""")"),"August")</f>
        <v>August</v>
      </c>
      <c r="T1619" s="38">
        <f>IFERROR(__xludf.DUMMYFUNCTION("if(S1619="""",C1619,if(not(iserror(index(split(C1619, "" ""),3))), index(split(C1619, "" ""),3),index(split(C1619, "" ""),2)))"),2018.0)</f>
        <v>2018</v>
      </c>
      <c r="U1619" s="38" t="b">
        <f t="shared" si="237"/>
        <v>1</v>
      </c>
      <c r="V1619" s="38"/>
      <c r="W1619" s="40"/>
      <c r="X1619" s="40"/>
      <c r="Y1619" s="40"/>
      <c r="Z1619" s="38"/>
      <c r="AA1619" s="38"/>
      <c r="AB1619" s="38"/>
      <c r="AC1619" s="38"/>
      <c r="AD1619" s="38"/>
      <c r="AE1619" s="38"/>
      <c r="AF1619" s="38"/>
      <c r="AG1619" s="38"/>
      <c r="AH1619" s="38"/>
      <c r="AI1619" s="38"/>
      <c r="AJ1619" s="38"/>
      <c r="AK1619" s="38"/>
      <c r="AL1619" s="38"/>
      <c r="AM1619" s="38"/>
      <c r="AN1619" s="38"/>
      <c r="AO1619" s="38"/>
      <c r="AP1619" s="38"/>
      <c r="AQ1619" s="38"/>
      <c r="AR1619" s="38"/>
      <c r="AS1619" s="38"/>
      <c r="AT1619" s="38"/>
      <c r="AU1619" s="38"/>
      <c r="AV1619" s="38"/>
      <c r="AW1619" s="38"/>
      <c r="AX1619" s="38"/>
      <c r="AY1619" s="38"/>
      <c r="AZ1619" s="38"/>
      <c r="BA1619" s="38"/>
      <c r="BB1619" s="38"/>
      <c r="BC1619" s="38"/>
      <c r="BD1619" s="38"/>
      <c r="BE1619" s="38"/>
      <c r="BF1619" s="38"/>
      <c r="BG1619" s="38"/>
      <c r="BH1619" s="38"/>
      <c r="BI1619" s="38"/>
      <c r="BJ1619" s="38"/>
      <c r="BK1619" s="38"/>
      <c r="BL1619" s="38"/>
      <c r="BM1619" s="38"/>
      <c r="BN1619" s="38"/>
      <c r="BO1619" s="38"/>
      <c r="BP1619" s="38"/>
      <c r="BQ1619" s="38"/>
    </row>
    <row r="1620">
      <c r="A1620" s="58" t="s">
        <v>239</v>
      </c>
      <c r="B1620" s="59">
        <v>43319.0</v>
      </c>
      <c r="C1620" s="59">
        <v>43316.0</v>
      </c>
      <c r="D1620" s="60" t="s">
        <v>4480</v>
      </c>
      <c r="E1620" s="58" t="s">
        <v>41</v>
      </c>
      <c r="F1620" s="58">
        <v>1.0</v>
      </c>
      <c r="G1620" s="58">
        <v>3.0</v>
      </c>
      <c r="H1620" s="33">
        <f t="shared" si="239"/>
        <v>3</v>
      </c>
      <c r="I1620" s="58" t="s">
        <v>33</v>
      </c>
      <c r="J1620" s="58" t="s">
        <v>147</v>
      </c>
      <c r="K1620" s="58">
        <v>1.0</v>
      </c>
      <c r="L1620" s="58" t="s">
        <v>194</v>
      </c>
      <c r="M1620" s="61" t="s">
        <v>4596</v>
      </c>
      <c r="N1620" s="77"/>
      <c r="O1620" s="62"/>
      <c r="P1620" s="62"/>
      <c r="Q1620" s="62"/>
      <c r="R1620" s="62"/>
      <c r="S1620" s="37" t="str">
        <f>IFERROR(__xludf.DUMMYFUNCTION("if(not(iserror(index(split(C1620, "" ""),2))), index(split(C1620, "" ""),1),"""")"),"August")</f>
        <v>August</v>
      </c>
      <c r="T1620" s="38">
        <f>IFERROR(__xludf.DUMMYFUNCTION("if(S1620="""",C1620,if(not(iserror(index(split(C1620, "" ""),3))), index(split(C1620, "" ""),3),index(split(C1620, "" ""),2)))"),2018.0)</f>
        <v>2018</v>
      </c>
      <c r="U1620" s="38" t="b">
        <f t="shared" si="237"/>
        <v>1</v>
      </c>
      <c r="V1620" s="38"/>
      <c r="W1620" s="40"/>
      <c r="X1620" s="40"/>
      <c r="Y1620" s="40"/>
      <c r="Z1620" s="38"/>
      <c r="AA1620" s="38"/>
      <c r="AB1620" s="38"/>
      <c r="AC1620" s="38"/>
      <c r="AD1620" s="38"/>
      <c r="AE1620" s="38"/>
      <c r="AF1620" s="38"/>
      <c r="AG1620" s="38"/>
      <c r="AH1620" s="38"/>
      <c r="AI1620" s="38"/>
      <c r="AJ1620" s="38"/>
      <c r="AK1620" s="38"/>
      <c r="AL1620" s="38"/>
      <c r="AM1620" s="38"/>
      <c r="AN1620" s="38"/>
      <c r="AO1620" s="38"/>
      <c r="AP1620" s="38"/>
      <c r="AQ1620" s="38"/>
      <c r="AR1620" s="38"/>
      <c r="AS1620" s="38"/>
      <c r="AT1620" s="38"/>
      <c r="AU1620" s="38"/>
      <c r="AV1620" s="38"/>
      <c r="AW1620" s="38"/>
      <c r="AX1620" s="38"/>
      <c r="AY1620" s="38"/>
      <c r="AZ1620" s="38"/>
      <c r="BA1620" s="38"/>
      <c r="BB1620" s="38"/>
      <c r="BC1620" s="38"/>
      <c r="BD1620" s="38"/>
      <c r="BE1620" s="38"/>
      <c r="BF1620" s="38"/>
      <c r="BG1620" s="38"/>
      <c r="BH1620" s="38"/>
      <c r="BI1620" s="38"/>
      <c r="BJ1620" s="38"/>
      <c r="BK1620" s="38"/>
      <c r="BL1620" s="38"/>
      <c r="BM1620" s="38"/>
      <c r="BN1620" s="38"/>
      <c r="BO1620" s="38"/>
      <c r="BP1620" s="38"/>
      <c r="BQ1620" s="38"/>
    </row>
    <row r="1621">
      <c r="A1621" s="78" t="s">
        <v>4597</v>
      </c>
      <c r="B1621" s="59"/>
      <c r="C1621" s="59">
        <v>44048.0</v>
      </c>
      <c r="D1621" s="60"/>
      <c r="E1621" s="58" t="s">
        <v>41</v>
      </c>
      <c r="F1621" s="58">
        <v>1.0</v>
      </c>
      <c r="G1621" s="58" t="s">
        <v>32</v>
      </c>
      <c r="H1621" s="43">
        <v>1.0</v>
      </c>
      <c r="I1621" s="58" t="s">
        <v>33</v>
      </c>
      <c r="J1621" s="58" t="s">
        <v>279</v>
      </c>
      <c r="K1621" s="58"/>
      <c r="L1621" s="58" t="s">
        <v>69</v>
      </c>
      <c r="M1621" s="61" t="s">
        <v>4598</v>
      </c>
      <c r="N1621" s="77"/>
      <c r="O1621" s="62"/>
      <c r="P1621" s="62"/>
      <c r="Q1621" s="62"/>
      <c r="R1621" s="62"/>
      <c r="S1621" s="37"/>
      <c r="T1621" s="38"/>
      <c r="U1621" s="38"/>
      <c r="V1621" s="38" t="s">
        <v>33</v>
      </c>
      <c r="W1621" s="40"/>
      <c r="X1621" s="40"/>
      <c r="Y1621" s="40"/>
      <c r="Z1621" s="38"/>
      <c r="AA1621" s="38"/>
      <c r="AB1621" s="38"/>
      <c r="AC1621" s="38"/>
      <c r="AD1621" s="38"/>
      <c r="AE1621" s="38"/>
      <c r="AF1621" s="38"/>
      <c r="AG1621" s="38"/>
      <c r="AH1621" s="38"/>
      <c r="AI1621" s="38"/>
      <c r="AJ1621" s="38"/>
      <c r="AK1621" s="38"/>
      <c r="AL1621" s="38"/>
      <c r="AM1621" s="38"/>
      <c r="AN1621" s="38"/>
      <c r="AO1621" s="38"/>
      <c r="AP1621" s="38"/>
      <c r="AQ1621" s="38"/>
      <c r="AR1621" s="38"/>
      <c r="AS1621" s="38"/>
      <c r="AT1621" s="38"/>
      <c r="AU1621" s="38"/>
      <c r="AV1621" s="38"/>
      <c r="AW1621" s="38"/>
      <c r="AX1621" s="38"/>
      <c r="AY1621" s="38"/>
      <c r="AZ1621" s="38"/>
      <c r="BA1621" s="38"/>
      <c r="BB1621" s="38"/>
      <c r="BC1621" s="38"/>
      <c r="BD1621" s="38"/>
      <c r="BE1621" s="38"/>
      <c r="BF1621" s="38"/>
      <c r="BG1621" s="38"/>
      <c r="BH1621" s="38"/>
      <c r="BI1621" s="38"/>
      <c r="BJ1621" s="38"/>
      <c r="BK1621" s="38"/>
      <c r="BL1621" s="38"/>
      <c r="BM1621" s="38"/>
      <c r="BN1621" s="38"/>
      <c r="BO1621" s="38"/>
      <c r="BP1621" s="38"/>
      <c r="BQ1621" s="38"/>
    </row>
    <row r="1622">
      <c r="A1622" s="78" t="s">
        <v>4599</v>
      </c>
      <c r="B1622" s="59">
        <v>43321.0</v>
      </c>
      <c r="C1622" s="59">
        <v>43318.0</v>
      </c>
      <c r="D1622" s="60" t="s">
        <v>4600</v>
      </c>
      <c r="E1622" s="58" t="s">
        <v>31</v>
      </c>
      <c r="F1622" s="58">
        <v>2.0</v>
      </c>
      <c r="G1622" s="58" t="s">
        <v>32</v>
      </c>
      <c r="H1622" s="33">
        <f t="shared" ref="H1622:H1623" si="240">if(G1622="Unknown",1,G1622)</f>
        <v>1</v>
      </c>
      <c r="I1622" s="58" t="s">
        <v>33</v>
      </c>
      <c r="J1622" s="58" t="s">
        <v>42</v>
      </c>
      <c r="K1622" s="58">
        <v>1.0</v>
      </c>
      <c r="L1622" s="58" t="s">
        <v>35</v>
      </c>
      <c r="M1622" s="61" t="s">
        <v>4601</v>
      </c>
      <c r="N1622" s="77"/>
      <c r="O1622" s="62"/>
      <c r="P1622" s="62"/>
      <c r="Q1622" s="62"/>
      <c r="R1622" s="62"/>
      <c r="S1622" s="37" t="str">
        <f>IFERROR(__xludf.DUMMYFUNCTION("if(not(iserror(index(split(C1622, "" ""),2))), index(split(C1622, "" ""),1),"""")"),"August")</f>
        <v>August</v>
      </c>
      <c r="T1622" s="38">
        <f>IFERROR(__xludf.DUMMYFUNCTION("if(S1622="""",C1622,if(not(iserror(index(split(C1622, "" ""),3))), index(split(C1622, "" ""),3),index(split(C1622, "" ""),2)))"),2018.0)</f>
        <v>2018</v>
      </c>
      <c r="U1622" s="38" t="b">
        <f t="shared" ref="U1622:U1632" si="241">countif(A$4:A4658, A1622)&gt;1</f>
        <v>0</v>
      </c>
      <c r="V1622" s="38"/>
      <c r="W1622" s="40"/>
      <c r="X1622" s="40"/>
      <c r="Y1622" s="40"/>
      <c r="Z1622" s="38"/>
      <c r="AA1622" s="38"/>
      <c r="AB1622" s="38"/>
      <c r="AC1622" s="38"/>
      <c r="AD1622" s="38"/>
      <c r="AE1622" s="38"/>
      <c r="AF1622" s="38"/>
      <c r="AG1622" s="38"/>
      <c r="AH1622" s="38"/>
      <c r="AI1622" s="38"/>
      <c r="AJ1622" s="38"/>
      <c r="AK1622" s="38"/>
      <c r="AL1622" s="38"/>
      <c r="AM1622" s="38"/>
      <c r="AN1622" s="38"/>
      <c r="AO1622" s="38"/>
      <c r="AP1622" s="38"/>
      <c r="AQ1622" s="38"/>
      <c r="AR1622" s="38"/>
      <c r="AS1622" s="38"/>
      <c r="AT1622" s="38"/>
      <c r="AU1622" s="38"/>
      <c r="AV1622" s="38"/>
      <c r="AW1622" s="38"/>
      <c r="AX1622" s="38"/>
      <c r="AY1622" s="38"/>
      <c r="AZ1622" s="38"/>
      <c r="BA1622" s="38"/>
      <c r="BB1622" s="38"/>
      <c r="BC1622" s="38"/>
      <c r="BD1622" s="38"/>
      <c r="BE1622" s="38"/>
      <c r="BF1622" s="38"/>
      <c r="BG1622" s="38"/>
      <c r="BH1622" s="38"/>
      <c r="BI1622" s="38"/>
      <c r="BJ1622" s="38"/>
      <c r="BK1622" s="38"/>
      <c r="BL1622" s="38"/>
      <c r="BM1622" s="38"/>
      <c r="BN1622" s="38"/>
      <c r="BO1622" s="38"/>
      <c r="BP1622" s="38"/>
      <c r="BQ1622" s="38"/>
    </row>
    <row r="1623">
      <c r="A1623" s="78" t="s">
        <v>4602</v>
      </c>
      <c r="B1623" s="59">
        <v>43322.0</v>
      </c>
      <c r="C1623" s="59">
        <v>43318.0</v>
      </c>
      <c r="D1623" s="60" t="s">
        <v>4603</v>
      </c>
      <c r="E1623" s="58" t="s">
        <v>41</v>
      </c>
      <c r="F1623" s="58">
        <v>3.0</v>
      </c>
      <c r="G1623" s="58" t="s">
        <v>32</v>
      </c>
      <c r="H1623" s="33">
        <f t="shared" si="240"/>
        <v>1</v>
      </c>
      <c r="I1623" s="58" t="s">
        <v>33</v>
      </c>
      <c r="J1623" s="58" t="s">
        <v>111</v>
      </c>
      <c r="K1623" s="58">
        <v>1.0</v>
      </c>
      <c r="L1623" s="58" t="s">
        <v>349</v>
      </c>
      <c r="M1623" s="46" t="s">
        <v>4604</v>
      </c>
      <c r="N1623" s="77"/>
      <c r="O1623" s="62"/>
      <c r="P1623" s="62"/>
      <c r="Q1623" s="62"/>
      <c r="R1623" s="62"/>
      <c r="S1623" s="37" t="str">
        <f>IFERROR(__xludf.DUMMYFUNCTION("if(not(iserror(index(split(C1623, "" ""),2))), index(split(C1623, "" ""),1),"""")"),"August")</f>
        <v>August</v>
      </c>
      <c r="T1623" s="38">
        <f>IFERROR(__xludf.DUMMYFUNCTION("if(S1623="""",C1623,if(not(iserror(index(split(C1623, "" ""),3))), index(split(C1623, "" ""),3),index(split(C1623, "" ""),2)))"),2018.0)</f>
        <v>2018</v>
      </c>
      <c r="U1623" s="38" t="b">
        <f t="shared" si="241"/>
        <v>0</v>
      </c>
      <c r="V1623" s="38"/>
      <c r="W1623" s="40"/>
      <c r="X1623" s="40"/>
      <c r="Y1623" s="40"/>
      <c r="Z1623" s="38"/>
      <c r="AA1623" s="38"/>
      <c r="AB1623" s="38"/>
      <c r="AC1623" s="38"/>
      <c r="AD1623" s="38"/>
      <c r="AE1623" s="38"/>
      <c r="AF1623" s="38"/>
      <c r="AG1623" s="38"/>
      <c r="AH1623" s="38"/>
      <c r="AI1623" s="38"/>
      <c r="AJ1623" s="38"/>
      <c r="AK1623" s="38"/>
      <c r="AL1623" s="38"/>
      <c r="AM1623" s="38"/>
      <c r="AN1623" s="38"/>
      <c r="AO1623" s="38"/>
      <c r="AP1623" s="38"/>
      <c r="AQ1623" s="38"/>
      <c r="AR1623" s="38"/>
      <c r="AS1623" s="38"/>
      <c r="AT1623" s="38"/>
      <c r="AU1623" s="38"/>
      <c r="AV1623" s="38"/>
      <c r="AW1623" s="38"/>
      <c r="AX1623" s="38"/>
      <c r="AY1623" s="38"/>
      <c r="AZ1623" s="38"/>
      <c r="BA1623" s="38"/>
      <c r="BB1623" s="38"/>
      <c r="BC1623" s="38"/>
      <c r="BD1623" s="38"/>
      <c r="BE1623" s="38"/>
      <c r="BF1623" s="38"/>
      <c r="BG1623" s="38"/>
      <c r="BH1623" s="38"/>
      <c r="BI1623" s="38"/>
      <c r="BJ1623" s="38"/>
      <c r="BK1623" s="38"/>
      <c r="BL1623" s="38"/>
      <c r="BM1623" s="38"/>
      <c r="BN1623" s="38"/>
      <c r="BO1623" s="38"/>
      <c r="BP1623" s="38"/>
      <c r="BQ1623" s="38"/>
    </row>
    <row r="1624">
      <c r="A1624" s="78" t="s">
        <v>4605</v>
      </c>
      <c r="B1624" s="59"/>
      <c r="C1624" s="59">
        <v>43318.0</v>
      </c>
      <c r="D1624" s="60"/>
      <c r="E1624" s="58" t="s">
        <v>41</v>
      </c>
      <c r="F1624" s="58">
        <v>1.0</v>
      </c>
      <c r="G1624" s="58" t="s">
        <v>32</v>
      </c>
      <c r="H1624" s="43">
        <v>1.0</v>
      </c>
      <c r="I1624" s="58" t="s">
        <v>33</v>
      </c>
      <c r="J1624" s="58" t="s">
        <v>460</v>
      </c>
      <c r="K1624" s="58"/>
      <c r="L1624" s="58" t="s">
        <v>119</v>
      </c>
      <c r="M1624" s="46" t="s">
        <v>4606</v>
      </c>
      <c r="N1624" s="77"/>
      <c r="O1624" s="83" t="str">
        <f>hyperlink("https://bad-boys.us/?q=SD-IA/1:18-cr-00042", "SD-IA 1:18-cr-00042")</f>
        <v>SD-IA 1:18-cr-00042</v>
      </c>
      <c r="P1624" s="88" t="s">
        <v>4607</v>
      </c>
      <c r="Q1624" s="58">
        <v>1.0</v>
      </c>
      <c r="R1624" s="62"/>
      <c r="S1624" s="37" t="str">
        <f>IFERROR(__xludf.DUMMYFUNCTION("if(not(iserror(index(split(C1624, "" ""),2))), index(split(C1624, "" ""),1),"""")"),"August")</f>
        <v>August</v>
      </c>
      <c r="T1624" s="38">
        <f>IFERROR(__xludf.DUMMYFUNCTION("if(S1624="""",C1624,if(not(iserror(index(split(C1624, "" ""),3))), index(split(C1624, "" ""),3),index(split(C1624, "" ""),2)))"),2018.0)</f>
        <v>2018</v>
      </c>
      <c r="U1624" s="38" t="b">
        <f t="shared" si="241"/>
        <v>0</v>
      </c>
      <c r="V1624" s="38" t="s">
        <v>33</v>
      </c>
      <c r="W1624" s="40"/>
      <c r="X1624" s="40"/>
      <c r="Y1624" s="40"/>
      <c r="Z1624" s="38"/>
      <c r="AA1624" s="38"/>
      <c r="AB1624" s="38"/>
      <c r="AC1624" s="38"/>
      <c r="AD1624" s="38"/>
      <c r="AE1624" s="38"/>
      <c r="AF1624" s="38"/>
      <c r="AG1624" s="38"/>
      <c r="AH1624" s="38"/>
      <c r="AI1624" s="38"/>
      <c r="AJ1624" s="38"/>
      <c r="AK1624" s="38"/>
      <c r="AL1624" s="38"/>
      <c r="AM1624" s="38"/>
      <c r="AN1624" s="38"/>
      <c r="AO1624" s="38"/>
      <c r="AP1624" s="38"/>
      <c r="AQ1624" s="38"/>
      <c r="AR1624" s="38"/>
      <c r="AS1624" s="38"/>
      <c r="AT1624" s="38"/>
      <c r="AU1624" s="38"/>
      <c r="AV1624" s="38"/>
      <c r="AW1624" s="38"/>
      <c r="AX1624" s="38"/>
      <c r="AY1624" s="38"/>
      <c r="AZ1624" s="38"/>
      <c r="BA1624" s="38"/>
      <c r="BB1624" s="38"/>
      <c r="BC1624" s="38"/>
      <c r="BD1624" s="38"/>
      <c r="BE1624" s="38"/>
      <c r="BF1624" s="38"/>
      <c r="BG1624" s="38"/>
      <c r="BH1624" s="38"/>
      <c r="BI1624" s="38"/>
      <c r="BJ1624" s="38"/>
      <c r="BK1624" s="38"/>
      <c r="BL1624" s="38"/>
      <c r="BM1624" s="38"/>
      <c r="BN1624" s="38"/>
      <c r="BO1624" s="38"/>
      <c r="BP1624" s="38"/>
      <c r="BQ1624" s="38"/>
    </row>
    <row r="1625">
      <c r="A1625" s="87" t="s">
        <v>4608</v>
      </c>
      <c r="B1625" s="59">
        <v>43396.0</v>
      </c>
      <c r="C1625" s="59">
        <v>43318.0</v>
      </c>
      <c r="D1625" s="60" t="s">
        <v>4603</v>
      </c>
      <c r="E1625" s="58" t="s">
        <v>41</v>
      </c>
      <c r="F1625" s="58">
        <v>1.0</v>
      </c>
      <c r="G1625" s="58">
        <v>5.0</v>
      </c>
      <c r="H1625" s="50">
        <v>5.0</v>
      </c>
      <c r="I1625" s="58" t="s">
        <v>33</v>
      </c>
      <c r="J1625" s="58" t="s">
        <v>132</v>
      </c>
      <c r="K1625" s="58">
        <v>3.0</v>
      </c>
      <c r="L1625" s="58" t="s">
        <v>194</v>
      </c>
      <c r="M1625" s="61" t="s">
        <v>4609</v>
      </c>
      <c r="N1625" s="80"/>
      <c r="O1625" s="83" t="str">
        <f>hyperlink("https://bad-boys.us/?q=SD-MS/1:18-cr-00125", "SD-MS 1:18-cr-00125")</f>
        <v>SD-MS 1:18-cr-00125</v>
      </c>
      <c r="P1625" s="88" t="s">
        <v>4610</v>
      </c>
      <c r="Q1625" s="58">
        <v>1.0</v>
      </c>
      <c r="R1625" s="62"/>
      <c r="S1625" s="37" t="str">
        <f>IFERROR(__xludf.DUMMYFUNCTION("if(not(iserror(index(split(C1625, "" ""),2))), index(split(C1625, "" ""),1),"""")"),"August")</f>
        <v>August</v>
      </c>
      <c r="T1625" s="38">
        <f>IFERROR(__xludf.DUMMYFUNCTION("if(S1625="""",C1625,if(not(iserror(index(split(C1625, "" ""),3))), index(split(C1625, "" ""),3),index(split(C1625, "" ""),2)))"),2018.0)</f>
        <v>2018</v>
      </c>
      <c r="U1625" s="38" t="b">
        <f t="shared" si="241"/>
        <v>0</v>
      </c>
      <c r="V1625" s="38"/>
      <c r="W1625" s="40"/>
      <c r="X1625" s="40"/>
      <c r="Y1625" s="40"/>
      <c r="Z1625" s="38"/>
      <c r="AA1625" s="38"/>
      <c r="AB1625" s="38"/>
      <c r="AC1625" s="38"/>
      <c r="AD1625" s="38"/>
      <c r="AE1625" s="38"/>
      <c r="AF1625" s="38"/>
      <c r="AG1625" s="38"/>
      <c r="AH1625" s="38"/>
      <c r="AI1625" s="38"/>
      <c r="AJ1625" s="38"/>
      <c r="AK1625" s="38"/>
      <c r="AL1625" s="38"/>
      <c r="AM1625" s="38"/>
      <c r="AN1625" s="38"/>
      <c r="AO1625" s="38"/>
      <c r="AP1625" s="38"/>
      <c r="AQ1625" s="38"/>
      <c r="AR1625" s="38"/>
      <c r="AS1625" s="38"/>
      <c r="AT1625" s="38"/>
      <c r="AU1625" s="38"/>
      <c r="AV1625" s="38"/>
      <c r="AW1625" s="38"/>
      <c r="AX1625" s="38"/>
      <c r="AY1625" s="38"/>
      <c r="AZ1625" s="38"/>
      <c r="BA1625" s="38"/>
      <c r="BB1625" s="38"/>
      <c r="BC1625" s="38"/>
      <c r="BD1625" s="38"/>
      <c r="BE1625" s="38"/>
      <c r="BF1625" s="38"/>
      <c r="BG1625" s="38"/>
      <c r="BH1625" s="38"/>
      <c r="BI1625" s="38"/>
      <c r="BJ1625" s="38"/>
      <c r="BK1625" s="38"/>
      <c r="BL1625" s="38"/>
      <c r="BM1625" s="38"/>
      <c r="BN1625" s="38"/>
      <c r="BO1625" s="38"/>
      <c r="BP1625" s="38"/>
      <c r="BQ1625" s="38"/>
    </row>
    <row r="1626">
      <c r="A1626" s="58" t="s">
        <v>4611</v>
      </c>
      <c r="B1626" s="59"/>
      <c r="C1626" s="59">
        <v>43319.0</v>
      </c>
      <c r="D1626" s="60"/>
      <c r="E1626" s="58" t="s">
        <v>41</v>
      </c>
      <c r="F1626" s="58">
        <v>1.0</v>
      </c>
      <c r="G1626" s="58" t="s">
        <v>32</v>
      </c>
      <c r="H1626" s="43">
        <v>1.0</v>
      </c>
      <c r="I1626" s="58" t="s">
        <v>33</v>
      </c>
      <c r="J1626" s="58" t="s">
        <v>850</v>
      </c>
      <c r="K1626" s="58"/>
      <c r="L1626" s="58" t="s">
        <v>76</v>
      </c>
      <c r="M1626" s="61" t="s">
        <v>4612</v>
      </c>
      <c r="N1626" s="77"/>
      <c r="O1626" s="83" t="str">
        <f>hyperlink("https://bad-boys.us/?q=D-SC/0:18-cr-00746", "D-SC 0:18-cr-00746")</f>
        <v>D-SC 0:18-cr-00746</v>
      </c>
      <c r="P1626" s="62"/>
      <c r="Q1626" s="58">
        <v>1.0</v>
      </c>
      <c r="R1626" s="62"/>
      <c r="S1626" s="37"/>
      <c r="T1626" s="38"/>
      <c r="U1626" s="38" t="b">
        <f t="shared" si="241"/>
        <v>0</v>
      </c>
      <c r="V1626" s="38" t="s">
        <v>33</v>
      </c>
      <c r="W1626" s="40"/>
      <c r="X1626" s="40"/>
      <c r="Y1626" s="40"/>
      <c r="Z1626" s="38"/>
      <c r="AA1626" s="38"/>
      <c r="AB1626" s="38"/>
      <c r="AC1626" s="38"/>
      <c r="AD1626" s="38"/>
      <c r="AE1626" s="38"/>
      <c r="AF1626" s="38"/>
      <c r="AG1626" s="38"/>
      <c r="AH1626" s="38"/>
      <c r="AI1626" s="38"/>
      <c r="AJ1626" s="38"/>
      <c r="AK1626" s="38"/>
      <c r="AL1626" s="38"/>
      <c r="AM1626" s="38"/>
      <c r="AN1626" s="38"/>
      <c r="AO1626" s="38"/>
      <c r="AP1626" s="38"/>
      <c r="AQ1626" s="38"/>
      <c r="AR1626" s="38"/>
      <c r="AS1626" s="38"/>
      <c r="AT1626" s="38"/>
      <c r="AU1626" s="38"/>
      <c r="AV1626" s="38"/>
      <c r="AW1626" s="38"/>
      <c r="AX1626" s="38"/>
      <c r="AY1626" s="38"/>
      <c r="AZ1626" s="38"/>
      <c r="BA1626" s="38"/>
      <c r="BB1626" s="38"/>
      <c r="BC1626" s="38"/>
      <c r="BD1626" s="38"/>
      <c r="BE1626" s="38"/>
      <c r="BF1626" s="38"/>
      <c r="BG1626" s="38"/>
      <c r="BH1626" s="38"/>
      <c r="BI1626" s="38"/>
      <c r="BJ1626" s="38"/>
      <c r="BK1626" s="38"/>
      <c r="BL1626" s="38"/>
      <c r="BM1626" s="38"/>
      <c r="BN1626" s="38"/>
      <c r="BO1626" s="38"/>
      <c r="BP1626" s="38"/>
      <c r="BQ1626" s="38"/>
    </row>
    <row r="1627">
      <c r="A1627" s="58" t="s">
        <v>239</v>
      </c>
      <c r="B1627" s="59">
        <v>43319.0</v>
      </c>
      <c r="C1627" s="59">
        <v>43319.0</v>
      </c>
      <c r="D1627" s="60" t="s">
        <v>4613</v>
      </c>
      <c r="E1627" s="58" t="s">
        <v>41</v>
      </c>
      <c r="F1627" s="58">
        <v>1.0</v>
      </c>
      <c r="G1627" s="58" t="s">
        <v>32</v>
      </c>
      <c r="H1627" s="33">
        <f t="shared" ref="H1627:H1632" si="242">if(G1627="Unknown",1,G1627)</f>
        <v>1</v>
      </c>
      <c r="I1627" s="58" t="s">
        <v>33</v>
      </c>
      <c r="J1627" s="58" t="s">
        <v>147</v>
      </c>
      <c r="K1627" s="58">
        <v>1.0</v>
      </c>
      <c r="L1627" s="58" t="s">
        <v>194</v>
      </c>
      <c r="M1627" s="61" t="s">
        <v>4614</v>
      </c>
      <c r="N1627" s="77"/>
      <c r="O1627" s="62"/>
      <c r="P1627" s="62"/>
      <c r="Q1627" s="62"/>
      <c r="R1627" s="62"/>
      <c r="S1627" s="37" t="str">
        <f>IFERROR(__xludf.DUMMYFUNCTION("if(not(iserror(index(split(C1627, "" ""),2))), index(split(C1627, "" ""),1),"""")"),"August")</f>
        <v>August</v>
      </c>
      <c r="T1627" s="38">
        <f>IFERROR(__xludf.DUMMYFUNCTION("if(S1627="""",C1627,if(not(iserror(index(split(C1627, "" ""),3))), index(split(C1627, "" ""),3),index(split(C1627, "" ""),2)))"),2018.0)</f>
        <v>2018</v>
      </c>
      <c r="U1627" s="38" t="b">
        <f t="shared" si="241"/>
        <v>1</v>
      </c>
      <c r="V1627" s="38"/>
      <c r="W1627" s="40"/>
      <c r="X1627" s="40"/>
      <c r="Y1627" s="40"/>
      <c r="Z1627" s="38"/>
      <c r="AA1627" s="38"/>
      <c r="AB1627" s="38"/>
      <c r="AC1627" s="38"/>
      <c r="AD1627" s="38"/>
      <c r="AE1627" s="38"/>
      <c r="AF1627" s="38"/>
      <c r="AG1627" s="38"/>
      <c r="AH1627" s="38"/>
      <c r="AI1627" s="38"/>
      <c r="AJ1627" s="38"/>
      <c r="AK1627" s="38"/>
      <c r="AL1627" s="38"/>
      <c r="AM1627" s="38"/>
      <c r="AN1627" s="38"/>
      <c r="AO1627" s="38"/>
      <c r="AP1627" s="38"/>
      <c r="AQ1627" s="38"/>
      <c r="AR1627" s="38"/>
      <c r="AS1627" s="38"/>
      <c r="AT1627" s="38"/>
      <c r="AU1627" s="38"/>
      <c r="AV1627" s="38"/>
      <c r="AW1627" s="38"/>
      <c r="AX1627" s="38"/>
      <c r="AY1627" s="38"/>
      <c r="AZ1627" s="38"/>
      <c r="BA1627" s="38"/>
      <c r="BB1627" s="38"/>
      <c r="BC1627" s="38"/>
      <c r="BD1627" s="38"/>
      <c r="BE1627" s="38"/>
      <c r="BF1627" s="38"/>
      <c r="BG1627" s="38"/>
      <c r="BH1627" s="38"/>
      <c r="BI1627" s="38"/>
      <c r="BJ1627" s="38"/>
      <c r="BK1627" s="38"/>
      <c r="BL1627" s="38"/>
      <c r="BM1627" s="38"/>
      <c r="BN1627" s="38"/>
      <c r="BO1627" s="38"/>
      <c r="BP1627" s="38"/>
      <c r="BQ1627" s="38"/>
    </row>
    <row r="1628">
      <c r="A1628" s="58" t="s">
        <v>239</v>
      </c>
      <c r="B1628" s="59">
        <v>43320.0</v>
      </c>
      <c r="C1628" s="59">
        <v>43319.0</v>
      </c>
      <c r="D1628" s="60" t="s">
        <v>4613</v>
      </c>
      <c r="E1628" s="58" t="s">
        <v>41</v>
      </c>
      <c r="F1628" s="58">
        <v>1.0</v>
      </c>
      <c r="G1628" s="58">
        <v>1.0</v>
      </c>
      <c r="H1628" s="33">
        <f t="shared" si="242"/>
        <v>1</v>
      </c>
      <c r="I1628" s="58" t="s">
        <v>33</v>
      </c>
      <c r="J1628" s="58" t="s">
        <v>147</v>
      </c>
      <c r="K1628" s="58">
        <v>1.0</v>
      </c>
      <c r="L1628" s="58" t="s">
        <v>194</v>
      </c>
      <c r="M1628" s="61" t="s">
        <v>4615</v>
      </c>
      <c r="N1628" s="77"/>
      <c r="O1628" s="58"/>
      <c r="P1628" s="58"/>
      <c r="Q1628" s="84"/>
      <c r="R1628" s="62"/>
      <c r="S1628" s="37" t="str">
        <f>IFERROR(__xludf.DUMMYFUNCTION("if(not(iserror(index(split(C1628, "" ""),2))), index(split(C1628, "" ""),1),"""")"),"August")</f>
        <v>August</v>
      </c>
      <c r="T1628" s="38">
        <f>IFERROR(__xludf.DUMMYFUNCTION("if(S1628="""",C1628,if(not(iserror(index(split(C1628, "" ""),3))), index(split(C1628, "" ""),3),index(split(C1628, "" ""),2)))"),2018.0)</f>
        <v>2018</v>
      </c>
      <c r="U1628" s="38" t="b">
        <f t="shared" si="241"/>
        <v>1</v>
      </c>
      <c r="V1628" s="38"/>
      <c r="W1628" s="40"/>
      <c r="X1628" s="40"/>
      <c r="Y1628" s="40"/>
      <c r="Z1628" s="38"/>
      <c r="AA1628" s="38"/>
      <c r="AB1628" s="38"/>
      <c r="AC1628" s="38"/>
      <c r="AD1628" s="38"/>
      <c r="AE1628" s="38"/>
      <c r="AF1628" s="38"/>
      <c r="AG1628" s="38"/>
      <c r="AH1628" s="38"/>
      <c r="AI1628" s="38"/>
      <c r="AJ1628" s="38"/>
      <c r="AK1628" s="38"/>
      <c r="AL1628" s="38"/>
      <c r="AM1628" s="38"/>
      <c r="AN1628" s="38"/>
      <c r="AO1628" s="38"/>
      <c r="AP1628" s="38"/>
      <c r="AQ1628" s="38"/>
      <c r="AR1628" s="38"/>
      <c r="AS1628" s="38"/>
      <c r="AT1628" s="38"/>
      <c r="AU1628" s="38"/>
      <c r="AV1628" s="38"/>
      <c r="AW1628" s="38"/>
      <c r="AX1628" s="38"/>
      <c r="AY1628" s="38"/>
      <c r="AZ1628" s="38"/>
      <c r="BA1628" s="38"/>
      <c r="BB1628" s="38"/>
      <c r="BC1628" s="38"/>
      <c r="BD1628" s="38"/>
      <c r="BE1628" s="38"/>
      <c r="BF1628" s="38"/>
      <c r="BG1628" s="38"/>
      <c r="BH1628" s="38"/>
      <c r="BI1628" s="38"/>
      <c r="BJ1628" s="38"/>
      <c r="BK1628" s="38"/>
      <c r="BL1628" s="38"/>
      <c r="BM1628" s="38"/>
      <c r="BN1628" s="38"/>
      <c r="BO1628" s="38"/>
      <c r="BP1628" s="38"/>
      <c r="BQ1628" s="38"/>
    </row>
    <row r="1629">
      <c r="A1629" s="58" t="s">
        <v>239</v>
      </c>
      <c r="B1629" s="59">
        <v>43320.0</v>
      </c>
      <c r="C1629" s="59">
        <v>43319.0</v>
      </c>
      <c r="D1629" s="60" t="s">
        <v>4613</v>
      </c>
      <c r="E1629" s="58" t="s">
        <v>41</v>
      </c>
      <c r="F1629" s="58">
        <v>2.0</v>
      </c>
      <c r="G1629" s="58">
        <v>4.0</v>
      </c>
      <c r="H1629" s="33">
        <f t="shared" si="242"/>
        <v>4</v>
      </c>
      <c r="I1629" s="58" t="s">
        <v>33</v>
      </c>
      <c r="J1629" s="58" t="s">
        <v>147</v>
      </c>
      <c r="K1629" s="58">
        <v>1.0</v>
      </c>
      <c r="L1629" s="58" t="s">
        <v>194</v>
      </c>
      <c r="M1629" s="61" t="s">
        <v>4615</v>
      </c>
      <c r="N1629" s="77"/>
      <c r="O1629" s="58"/>
      <c r="P1629" s="58"/>
      <c r="Q1629" s="84"/>
      <c r="R1629" s="62"/>
      <c r="S1629" s="37" t="str">
        <f>IFERROR(__xludf.DUMMYFUNCTION("if(not(iserror(index(split(C1629, "" ""),2))), index(split(C1629, "" ""),1),"""")"),"August")</f>
        <v>August</v>
      </c>
      <c r="T1629" s="38">
        <f>IFERROR(__xludf.DUMMYFUNCTION("if(S1629="""",C1629,if(not(iserror(index(split(C1629, "" ""),3))), index(split(C1629, "" ""),3),index(split(C1629, "" ""),2)))"),2018.0)</f>
        <v>2018</v>
      </c>
      <c r="U1629" s="38" t="b">
        <f t="shared" si="241"/>
        <v>1</v>
      </c>
      <c r="V1629" s="38"/>
      <c r="W1629" s="40"/>
      <c r="X1629" s="40"/>
      <c r="Y1629" s="40"/>
      <c r="Z1629" s="38"/>
      <c r="AA1629" s="38"/>
      <c r="AB1629" s="38"/>
      <c r="AC1629" s="38"/>
      <c r="AD1629" s="38"/>
      <c r="AE1629" s="38"/>
      <c r="AF1629" s="38"/>
      <c r="AG1629" s="38"/>
      <c r="AH1629" s="38"/>
      <c r="AI1629" s="38"/>
      <c r="AJ1629" s="38"/>
      <c r="AK1629" s="38"/>
      <c r="AL1629" s="38"/>
      <c r="AM1629" s="38"/>
      <c r="AN1629" s="38"/>
      <c r="AO1629" s="38"/>
      <c r="AP1629" s="38"/>
      <c r="AQ1629" s="38"/>
      <c r="AR1629" s="38"/>
      <c r="AS1629" s="38"/>
      <c r="AT1629" s="38"/>
      <c r="AU1629" s="38"/>
      <c r="AV1629" s="38"/>
      <c r="AW1629" s="38"/>
      <c r="AX1629" s="38"/>
      <c r="AY1629" s="38"/>
      <c r="AZ1629" s="38"/>
      <c r="BA1629" s="38"/>
      <c r="BB1629" s="38"/>
      <c r="BC1629" s="38"/>
      <c r="BD1629" s="38"/>
      <c r="BE1629" s="38"/>
      <c r="BF1629" s="38"/>
      <c r="BG1629" s="38"/>
      <c r="BH1629" s="38"/>
      <c r="BI1629" s="38"/>
      <c r="BJ1629" s="38"/>
      <c r="BK1629" s="38"/>
      <c r="BL1629" s="38"/>
      <c r="BM1629" s="38"/>
      <c r="BN1629" s="38"/>
      <c r="BO1629" s="38"/>
      <c r="BP1629" s="38"/>
      <c r="BQ1629" s="38"/>
    </row>
    <row r="1630">
      <c r="A1630" s="58" t="s">
        <v>239</v>
      </c>
      <c r="B1630" s="59">
        <v>43320.0</v>
      </c>
      <c r="C1630" s="59">
        <v>43319.0</v>
      </c>
      <c r="D1630" s="60" t="s">
        <v>4613</v>
      </c>
      <c r="E1630" s="58" t="s">
        <v>41</v>
      </c>
      <c r="F1630" s="58">
        <v>2.0</v>
      </c>
      <c r="G1630" s="58">
        <v>2.0</v>
      </c>
      <c r="H1630" s="33">
        <f t="shared" si="242"/>
        <v>2</v>
      </c>
      <c r="I1630" s="58" t="s">
        <v>33</v>
      </c>
      <c r="J1630" s="58" t="s">
        <v>147</v>
      </c>
      <c r="K1630" s="58">
        <v>1.0</v>
      </c>
      <c r="L1630" s="58" t="s">
        <v>194</v>
      </c>
      <c r="M1630" s="61" t="s">
        <v>4615</v>
      </c>
      <c r="N1630" s="77"/>
      <c r="O1630" s="58"/>
      <c r="P1630" s="58"/>
      <c r="Q1630" s="84"/>
      <c r="R1630" s="62"/>
      <c r="S1630" s="37" t="str">
        <f>IFERROR(__xludf.DUMMYFUNCTION("if(not(iserror(index(split(C1630, "" ""),2))), index(split(C1630, "" ""),1),"""")"),"August")</f>
        <v>August</v>
      </c>
      <c r="T1630" s="38">
        <f>IFERROR(__xludf.DUMMYFUNCTION("if(S1630="""",C1630,if(not(iserror(index(split(C1630, "" ""),3))), index(split(C1630, "" ""),3),index(split(C1630, "" ""),2)))"),2018.0)</f>
        <v>2018</v>
      </c>
      <c r="U1630" s="38" t="b">
        <f t="shared" si="241"/>
        <v>1</v>
      </c>
      <c r="V1630" s="38"/>
      <c r="W1630" s="40"/>
      <c r="X1630" s="40"/>
      <c r="Y1630" s="40"/>
      <c r="Z1630" s="38"/>
      <c r="AA1630" s="38"/>
      <c r="AB1630" s="38"/>
      <c r="AC1630" s="38"/>
      <c r="AD1630" s="38"/>
      <c r="AE1630" s="38"/>
      <c r="AF1630" s="38"/>
      <c r="AG1630" s="38"/>
      <c r="AH1630" s="38"/>
      <c r="AI1630" s="38"/>
      <c r="AJ1630" s="38"/>
      <c r="AK1630" s="38"/>
      <c r="AL1630" s="38"/>
      <c r="AM1630" s="38"/>
      <c r="AN1630" s="38"/>
      <c r="AO1630" s="38"/>
      <c r="AP1630" s="38"/>
      <c r="AQ1630" s="38"/>
      <c r="AR1630" s="38"/>
      <c r="AS1630" s="38"/>
      <c r="AT1630" s="38"/>
      <c r="AU1630" s="38"/>
      <c r="AV1630" s="38"/>
      <c r="AW1630" s="38"/>
      <c r="AX1630" s="38"/>
      <c r="AY1630" s="38"/>
      <c r="AZ1630" s="38"/>
      <c r="BA1630" s="38"/>
      <c r="BB1630" s="38"/>
      <c r="BC1630" s="38"/>
      <c r="BD1630" s="38"/>
      <c r="BE1630" s="38"/>
      <c r="BF1630" s="38"/>
      <c r="BG1630" s="38"/>
      <c r="BH1630" s="38"/>
      <c r="BI1630" s="38"/>
      <c r="BJ1630" s="38"/>
      <c r="BK1630" s="38"/>
      <c r="BL1630" s="38"/>
      <c r="BM1630" s="38"/>
      <c r="BN1630" s="38"/>
      <c r="BO1630" s="38"/>
      <c r="BP1630" s="38"/>
      <c r="BQ1630" s="38"/>
    </row>
    <row r="1631">
      <c r="A1631" s="58" t="s">
        <v>239</v>
      </c>
      <c r="B1631" s="59">
        <v>43320.0</v>
      </c>
      <c r="C1631" s="59">
        <v>43319.0</v>
      </c>
      <c r="D1631" s="60" t="s">
        <v>4613</v>
      </c>
      <c r="E1631" s="58" t="s">
        <v>41</v>
      </c>
      <c r="F1631" s="58">
        <v>1.0</v>
      </c>
      <c r="G1631" s="58">
        <v>2.0</v>
      </c>
      <c r="H1631" s="33">
        <f t="shared" si="242"/>
        <v>2</v>
      </c>
      <c r="I1631" s="58" t="s">
        <v>33</v>
      </c>
      <c r="J1631" s="58" t="s">
        <v>147</v>
      </c>
      <c r="K1631" s="58">
        <v>1.0</v>
      </c>
      <c r="L1631" s="58" t="s">
        <v>194</v>
      </c>
      <c r="M1631" s="61" t="s">
        <v>4615</v>
      </c>
      <c r="N1631" s="77"/>
      <c r="O1631" s="58"/>
      <c r="P1631" s="58"/>
      <c r="Q1631" s="84"/>
      <c r="R1631" s="62"/>
      <c r="S1631" s="37" t="str">
        <f>IFERROR(__xludf.DUMMYFUNCTION("if(not(iserror(index(split(C1631, "" ""),2))), index(split(C1631, "" ""),1),"""")"),"August")</f>
        <v>August</v>
      </c>
      <c r="T1631" s="38">
        <f>IFERROR(__xludf.DUMMYFUNCTION("if(S1631="""",C1631,if(not(iserror(index(split(C1631, "" ""),3))), index(split(C1631, "" ""),3),index(split(C1631, "" ""),2)))"),2018.0)</f>
        <v>2018</v>
      </c>
      <c r="U1631" s="38" t="b">
        <f t="shared" si="241"/>
        <v>1</v>
      </c>
      <c r="V1631" s="38"/>
      <c r="W1631" s="40"/>
      <c r="X1631" s="40"/>
      <c r="Y1631" s="40"/>
      <c r="Z1631" s="38"/>
      <c r="AA1631" s="38"/>
      <c r="AB1631" s="38"/>
      <c r="AC1631" s="38"/>
      <c r="AD1631" s="38"/>
      <c r="AE1631" s="38"/>
      <c r="AF1631" s="38"/>
      <c r="AG1631" s="38"/>
      <c r="AH1631" s="38"/>
      <c r="AI1631" s="38"/>
      <c r="AJ1631" s="38"/>
      <c r="AK1631" s="38"/>
      <c r="AL1631" s="38"/>
      <c r="AM1631" s="38"/>
      <c r="AN1631" s="38"/>
      <c r="AO1631" s="38"/>
      <c r="AP1631" s="38"/>
      <c r="AQ1631" s="38"/>
      <c r="AR1631" s="38"/>
      <c r="AS1631" s="38"/>
      <c r="AT1631" s="38"/>
      <c r="AU1631" s="38"/>
      <c r="AV1631" s="38"/>
      <c r="AW1631" s="38"/>
      <c r="AX1631" s="38"/>
      <c r="AY1631" s="38"/>
      <c r="AZ1631" s="38"/>
      <c r="BA1631" s="38"/>
      <c r="BB1631" s="38"/>
      <c r="BC1631" s="38"/>
      <c r="BD1631" s="38"/>
      <c r="BE1631" s="38"/>
      <c r="BF1631" s="38"/>
      <c r="BG1631" s="38"/>
      <c r="BH1631" s="38"/>
      <c r="BI1631" s="38"/>
      <c r="BJ1631" s="38"/>
      <c r="BK1631" s="38"/>
      <c r="BL1631" s="38"/>
      <c r="BM1631" s="38"/>
      <c r="BN1631" s="38"/>
      <c r="BO1631" s="38"/>
      <c r="BP1631" s="38"/>
      <c r="BQ1631" s="38"/>
    </row>
    <row r="1632">
      <c r="A1632" s="58" t="s">
        <v>4616</v>
      </c>
      <c r="B1632" s="59">
        <v>43325.0</v>
      </c>
      <c r="C1632" s="59">
        <v>43319.0</v>
      </c>
      <c r="D1632" s="60" t="s">
        <v>4613</v>
      </c>
      <c r="E1632" s="58" t="s">
        <v>31</v>
      </c>
      <c r="F1632" s="58">
        <v>1.0</v>
      </c>
      <c r="G1632" s="58" t="s">
        <v>32</v>
      </c>
      <c r="H1632" s="33">
        <f t="shared" si="242"/>
        <v>1</v>
      </c>
      <c r="I1632" s="58" t="s">
        <v>33</v>
      </c>
      <c r="J1632" s="58" t="s">
        <v>55</v>
      </c>
      <c r="K1632" s="58">
        <v>1.0</v>
      </c>
      <c r="L1632" s="58" t="s">
        <v>1328</v>
      </c>
      <c r="M1632" s="61" t="s">
        <v>4617</v>
      </c>
      <c r="N1632" s="77"/>
      <c r="O1632" s="62"/>
      <c r="P1632" s="62"/>
      <c r="Q1632" s="62"/>
      <c r="R1632" s="62"/>
      <c r="S1632" s="37" t="str">
        <f>IFERROR(__xludf.DUMMYFUNCTION("if(not(iserror(index(split(C1632, "" ""),2))), index(split(C1632, "" ""),1),"""")"),"August")</f>
        <v>August</v>
      </c>
      <c r="T1632" s="38">
        <f>IFERROR(__xludf.DUMMYFUNCTION("if(S1632="""",C1632,if(not(iserror(index(split(C1632, "" ""),3))), index(split(C1632, "" ""),3),index(split(C1632, "" ""),2)))"),2018.0)</f>
        <v>2018</v>
      </c>
      <c r="U1632" s="38" t="b">
        <f t="shared" si="241"/>
        <v>0</v>
      </c>
      <c r="V1632" s="38"/>
      <c r="W1632" s="40"/>
      <c r="X1632" s="40"/>
      <c r="Y1632" s="40"/>
      <c r="Z1632" s="38"/>
      <c r="AA1632" s="38"/>
      <c r="AB1632" s="38"/>
      <c r="AC1632" s="38"/>
      <c r="AD1632" s="38"/>
      <c r="AE1632" s="38"/>
      <c r="AF1632" s="38"/>
      <c r="AG1632" s="38"/>
      <c r="AH1632" s="38"/>
      <c r="AI1632" s="38"/>
      <c r="AJ1632" s="38"/>
      <c r="AK1632" s="38"/>
      <c r="AL1632" s="38"/>
      <c r="AM1632" s="38"/>
      <c r="AN1632" s="38"/>
      <c r="AO1632" s="38"/>
      <c r="AP1632" s="38"/>
      <c r="AQ1632" s="38"/>
      <c r="AR1632" s="38"/>
      <c r="AS1632" s="38"/>
      <c r="AT1632" s="38"/>
      <c r="AU1632" s="38"/>
      <c r="AV1632" s="38"/>
      <c r="AW1632" s="38"/>
      <c r="AX1632" s="38"/>
      <c r="AY1632" s="38"/>
      <c r="AZ1632" s="38"/>
      <c r="BA1632" s="38"/>
      <c r="BB1632" s="38"/>
      <c r="BC1632" s="38"/>
      <c r="BD1632" s="38"/>
      <c r="BE1632" s="38"/>
      <c r="BF1632" s="38"/>
      <c r="BG1632" s="38"/>
      <c r="BH1632" s="38"/>
      <c r="BI1632" s="38"/>
      <c r="BJ1632" s="38"/>
      <c r="BK1632" s="38"/>
      <c r="BL1632" s="38"/>
      <c r="BM1632" s="38"/>
      <c r="BN1632" s="38"/>
      <c r="BO1632" s="38"/>
      <c r="BP1632" s="38"/>
      <c r="BQ1632" s="38"/>
    </row>
    <row r="1633">
      <c r="A1633" s="58" t="s">
        <v>4618</v>
      </c>
      <c r="B1633" s="59"/>
      <c r="C1633" s="59">
        <v>43319.0</v>
      </c>
      <c r="D1633" s="60"/>
      <c r="E1633" s="58" t="s">
        <v>41</v>
      </c>
      <c r="F1633" s="58">
        <v>1.0</v>
      </c>
      <c r="G1633" s="58" t="s">
        <v>32</v>
      </c>
      <c r="H1633" s="43">
        <v>1.0</v>
      </c>
      <c r="I1633" s="58" t="s">
        <v>33</v>
      </c>
      <c r="J1633" s="58" t="s">
        <v>93</v>
      </c>
      <c r="K1633" s="58"/>
      <c r="L1633" s="58" t="s">
        <v>646</v>
      </c>
      <c r="M1633" s="61" t="s">
        <v>4619</v>
      </c>
      <c r="N1633" s="80"/>
      <c r="O1633" s="58"/>
      <c r="P1633" s="58"/>
      <c r="Q1633" s="58">
        <v>1.0</v>
      </c>
      <c r="R1633" s="62"/>
      <c r="S1633" s="37"/>
      <c r="T1633" s="38"/>
      <c r="U1633" s="38"/>
      <c r="V1633" s="38" t="s">
        <v>33</v>
      </c>
      <c r="W1633" s="40"/>
      <c r="X1633" s="40"/>
      <c r="Y1633" s="40"/>
      <c r="Z1633" s="38"/>
      <c r="AA1633" s="38"/>
      <c r="AB1633" s="38"/>
      <c r="AC1633" s="38"/>
      <c r="AD1633" s="38"/>
      <c r="AE1633" s="38"/>
      <c r="AF1633" s="38"/>
      <c r="AG1633" s="38"/>
      <c r="AH1633" s="38"/>
      <c r="AI1633" s="38"/>
      <c r="AJ1633" s="38"/>
      <c r="AK1633" s="38"/>
      <c r="AL1633" s="38"/>
      <c r="AM1633" s="38"/>
      <c r="AN1633" s="38"/>
      <c r="AO1633" s="38"/>
      <c r="AP1633" s="38"/>
      <c r="AQ1633" s="38"/>
      <c r="AR1633" s="38"/>
      <c r="AS1633" s="38"/>
      <c r="AT1633" s="38"/>
      <c r="AU1633" s="38"/>
      <c r="AV1633" s="38"/>
      <c r="AW1633" s="38"/>
      <c r="AX1633" s="38"/>
      <c r="AY1633" s="38"/>
      <c r="AZ1633" s="38"/>
      <c r="BA1633" s="38"/>
      <c r="BB1633" s="38"/>
      <c r="BC1633" s="38"/>
      <c r="BD1633" s="38"/>
      <c r="BE1633" s="38"/>
      <c r="BF1633" s="38"/>
      <c r="BG1633" s="38"/>
      <c r="BH1633" s="38"/>
      <c r="BI1633" s="38"/>
      <c r="BJ1633" s="38"/>
      <c r="BK1633" s="38"/>
      <c r="BL1633" s="38"/>
      <c r="BM1633" s="38"/>
      <c r="BN1633" s="38"/>
      <c r="BO1633" s="38"/>
      <c r="BP1633" s="38"/>
      <c r="BQ1633" s="38"/>
    </row>
    <row r="1634">
      <c r="A1634" s="58" t="s">
        <v>4620</v>
      </c>
      <c r="B1634" s="59"/>
      <c r="C1634" s="59">
        <v>43319.0</v>
      </c>
      <c r="D1634" s="60"/>
      <c r="E1634" s="58" t="s">
        <v>41</v>
      </c>
      <c r="F1634" s="58">
        <v>1.0</v>
      </c>
      <c r="G1634" s="58" t="s">
        <v>32</v>
      </c>
      <c r="H1634" s="43">
        <v>1.0</v>
      </c>
      <c r="I1634" s="58" t="s">
        <v>33</v>
      </c>
      <c r="J1634" s="58" t="s">
        <v>93</v>
      </c>
      <c r="K1634" s="58"/>
      <c r="L1634" s="58" t="s">
        <v>646</v>
      </c>
      <c r="M1634" s="80" t="s">
        <v>4619</v>
      </c>
      <c r="N1634" s="80"/>
      <c r="O1634" s="58"/>
      <c r="P1634" s="58"/>
      <c r="Q1634" s="84">
        <v>1.0</v>
      </c>
      <c r="R1634" s="62"/>
      <c r="S1634" s="37"/>
      <c r="T1634" s="38"/>
      <c r="U1634" s="38"/>
      <c r="V1634" s="38" t="s">
        <v>33</v>
      </c>
      <c r="W1634" s="40"/>
      <c r="X1634" s="40"/>
      <c r="Y1634" s="40"/>
      <c r="Z1634" s="38"/>
      <c r="AA1634" s="38"/>
      <c r="AB1634" s="38"/>
      <c r="AC1634" s="38"/>
      <c r="AD1634" s="38"/>
      <c r="AE1634" s="38"/>
      <c r="AF1634" s="38"/>
      <c r="AG1634" s="38"/>
      <c r="AH1634" s="38"/>
      <c r="AI1634" s="38"/>
      <c r="AJ1634" s="38"/>
      <c r="AK1634" s="38"/>
      <c r="AL1634" s="38"/>
      <c r="AM1634" s="38"/>
      <c r="AN1634" s="38"/>
      <c r="AO1634" s="38"/>
      <c r="AP1634" s="38"/>
      <c r="AQ1634" s="38"/>
      <c r="AR1634" s="38"/>
      <c r="AS1634" s="38"/>
      <c r="AT1634" s="38"/>
      <c r="AU1634" s="38"/>
      <c r="AV1634" s="38"/>
      <c r="AW1634" s="38"/>
      <c r="AX1634" s="38"/>
      <c r="AY1634" s="38"/>
      <c r="AZ1634" s="38"/>
      <c r="BA1634" s="38"/>
      <c r="BB1634" s="38"/>
      <c r="BC1634" s="38"/>
      <c r="BD1634" s="38"/>
      <c r="BE1634" s="38"/>
      <c r="BF1634" s="38"/>
      <c r="BG1634" s="38"/>
      <c r="BH1634" s="38"/>
      <c r="BI1634" s="38"/>
      <c r="BJ1634" s="38"/>
      <c r="BK1634" s="38"/>
      <c r="BL1634" s="38"/>
      <c r="BM1634" s="38"/>
      <c r="BN1634" s="38"/>
      <c r="BO1634" s="38"/>
      <c r="BP1634" s="38"/>
      <c r="BQ1634" s="38"/>
    </row>
    <row r="1635">
      <c r="A1635" s="58" t="s">
        <v>4621</v>
      </c>
      <c r="B1635" s="59">
        <v>43320.0</v>
      </c>
      <c r="C1635" s="59">
        <v>43320.0</v>
      </c>
      <c r="D1635" s="60" t="s">
        <v>4622</v>
      </c>
      <c r="E1635" s="58" t="s">
        <v>41</v>
      </c>
      <c r="F1635" s="58">
        <v>1.0</v>
      </c>
      <c r="G1635" s="58" t="s">
        <v>32</v>
      </c>
      <c r="H1635" s="33">
        <f t="shared" ref="H1635:H1642" si="243">if(G1635="Unknown",1,G1635)</f>
        <v>1</v>
      </c>
      <c r="I1635" s="58" t="s">
        <v>33</v>
      </c>
      <c r="J1635" s="58" t="s">
        <v>268</v>
      </c>
      <c r="K1635" s="58">
        <v>1.0</v>
      </c>
      <c r="L1635" s="58" t="s">
        <v>76</v>
      </c>
      <c r="M1635" s="61" t="s">
        <v>4623</v>
      </c>
      <c r="N1635" s="61" t="s">
        <v>4624</v>
      </c>
      <c r="O1635" s="88" t="str">
        <f>hyperlink("https://bad-boys.us/?q=WD-OK/5:18-cr-00205", "WD-OK 5:18-cr-00205")</f>
        <v>WD-OK 5:18-cr-00205</v>
      </c>
      <c r="P1635" s="88" t="s">
        <v>4625</v>
      </c>
      <c r="Q1635" s="84">
        <v>1.0</v>
      </c>
      <c r="R1635" s="62"/>
      <c r="S1635" s="37" t="str">
        <f>IFERROR(__xludf.DUMMYFUNCTION("if(not(iserror(index(split(C1635, "" ""),2))), index(split(C1635, "" ""),1),"""")"),"August")</f>
        <v>August</v>
      </c>
      <c r="T1635" s="38">
        <f>IFERROR(__xludf.DUMMYFUNCTION("if(S1635="""",C1635,if(not(iserror(index(split(C1635, "" ""),3))), index(split(C1635, "" ""),3),index(split(C1635, "" ""),2)))"),2018.0)</f>
        <v>2018</v>
      </c>
      <c r="U1635" s="38" t="b">
        <f t="shared" ref="U1635:U1642" si="244">countif(A$4:A4658, A1635)&gt;1</f>
        <v>0</v>
      </c>
      <c r="V1635" s="38"/>
      <c r="W1635" s="40"/>
      <c r="X1635" s="40"/>
      <c r="Y1635" s="40"/>
      <c r="Z1635" s="38"/>
      <c r="AA1635" s="38"/>
      <c r="AB1635" s="38"/>
      <c r="AC1635" s="38"/>
      <c r="AD1635" s="38"/>
      <c r="AE1635" s="38"/>
      <c r="AF1635" s="38"/>
      <c r="AG1635" s="38"/>
      <c r="AH1635" s="38"/>
      <c r="AI1635" s="38"/>
      <c r="AJ1635" s="38"/>
      <c r="AK1635" s="38"/>
      <c r="AL1635" s="38"/>
      <c r="AM1635" s="38"/>
      <c r="AN1635" s="38"/>
      <c r="AO1635" s="38"/>
      <c r="AP1635" s="38"/>
      <c r="AQ1635" s="38"/>
      <c r="AR1635" s="38"/>
      <c r="AS1635" s="38"/>
      <c r="AT1635" s="38"/>
      <c r="AU1635" s="38"/>
      <c r="AV1635" s="38"/>
      <c r="AW1635" s="38"/>
      <c r="AX1635" s="38"/>
      <c r="AY1635" s="38"/>
      <c r="AZ1635" s="38"/>
      <c r="BA1635" s="38"/>
      <c r="BB1635" s="38"/>
      <c r="BC1635" s="38"/>
      <c r="BD1635" s="38"/>
      <c r="BE1635" s="38"/>
      <c r="BF1635" s="38"/>
      <c r="BG1635" s="38"/>
      <c r="BH1635" s="38"/>
      <c r="BI1635" s="38"/>
      <c r="BJ1635" s="38"/>
      <c r="BK1635" s="38"/>
      <c r="BL1635" s="38"/>
      <c r="BM1635" s="38"/>
      <c r="BN1635" s="38"/>
      <c r="BO1635" s="38"/>
      <c r="BP1635" s="38"/>
      <c r="BQ1635" s="38"/>
    </row>
    <row r="1636">
      <c r="A1636" s="78" t="s">
        <v>239</v>
      </c>
      <c r="B1636" s="59">
        <v>43321.0</v>
      </c>
      <c r="C1636" s="59">
        <v>43320.0</v>
      </c>
      <c r="D1636" s="60" t="s">
        <v>4622</v>
      </c>
      <c r="E1636" s="58" t="s">
        <v>41</v>
      </c>
      <c r="F1636" s="58">
        <v>5.0</v>
      </c>
      <c r="G1636" s="58" t="s">
        <v>32</v>
      </c>
      <c r="H1636" s="33">
        <f t="shared" si="243"/>
        <v>1</v>
      </c>
      <c r="I1636" s="58" t="s">
        <v>33</v>
      </c>
      <c r="J1636" s="58" t="s">
        <v>93</v>
      </c>
      <c r="K1636" s="58">
        <v>2.0</v>
      </c>
      <c r="L1636" s="58" t="s">
        <v>52</v>
      </c>
      <c r="M1636" s="61" t="s">
        <v>4626</v>
      </c>
      <c r="N1636" s="77"/>
      <c r="O1636" s="62"/>
      <c r="P1636" s="62"/>
      <c r="Q1636" s="62"/>
      <c r="R1636" s="62"/>
      <c r="S1636" s="37" t="str">
        <f>IFERROR(__xludf.DUMMYFUNCTION("if(not(iserror(index(split(C1636, "" ""),2))), index(split(C1636, "" ""),1),"""")"),"August")</f>
        <v>August</v>
      </c>
      <c r="T1636" s="38">
        <f>IFERROR(__xludf.DUMMYFUNCTION("if(S1636="""",C1636,if(not(iserror(index(split(C1636, "" ""),3))), index(split(C1636, "" ""),3),index(split(C1636, "" ""),2)))"),2018.0)</f>
        <v>2018</v>
      </c>
      <c r="U1636" s="38" t="b">
        <f t="shared" si="244"/>
        <v>1</v>
      </c>
      <c r="V1636" s="38"/>
      <c r="W1636" s="40"/>
      <c r="X1636" s="40"/>
      <c r="Y1636" s="40"/>
      <c r="Z1636" s="38"/>
      <c r="AA1636" s="38"/>
      <c r="AB1636" s="38"/>
      <c r="AC1636" s="38"/>
      <c r="AD1636" s="38"/>
      <c r="AE1636" s="38"/>
      <c r="AF1636" s="38"/>
      <c r="AG1636" s="38"/>
      <c r="AH1636" s="38"/>
      <c r="AI1636" s="38"/>
      <c r="AJ1636" s="38"/>
      <c r="AK1636" s="38"/>
      <c r="AL1636" s="38"/>
      <c r="AM1636" s="38"/>
      <c r="AN1636" s="38"/>
      <c r="AO1636" s="38"/>
      <c r="AP1636" s="38"/>
      <c r="AQ1636" s="38"/>
      <c r="AR1636" s="38"/>
      <c r="AS1636" s="38"/>
      <c r="AT1636" s="38"/>
      <c r="AU1636" s="38"/>
      <c r="AV1636" s="38"/>
      <c r="AW1636" s="38"/>
      <c r="AX1636" s="38"/>
      <c r="AY1636" s="38"/>
      <c r="AZ1636" s="38"/>
      <c r="BA1636" s="38"/>
      <c r="BB1636" s="38"/>
      <c r="BC1636" s="38"/>
      <c r="BD1636" s="38"/>
      <c r="BE1636" s="38"/>
      <c r="BF1636" s="38"/>
      <c r="BG1636" s="38"/>
      <c r="BH1636" s="38"/>
      <c r="BI1636" s="38"/>
      <c r="BJ1636" s="38"/>
      <c r="BK1636" s="38"/>
      <c r="BL1636" s="38"/>
      <c r="BM1636" s="38"/>
      <c r="BN1636" s="38"/>
      <c r="BO1636" s="38"/>
      <c r="BP1636" s="38"/>
      <c r="BQ1636" s="38"/>
    </row>
    <row r="1637">
      <c r="A1637" s="58" t="s">
        <v>4627</v>
      </c>
      <c r="B1637" s="59">
        <v>43321.0</v>
      </c>
      <c r="C1637" s="59">
        <v>43320.0</v>
      </c>
      <c r="D1637" s="60" t="s">
        <v>4622</v>
      </c>
      <c r="E1637" s="58" t="s">
        <v>31</v>
      </c>
      <c r="F1637" s="58">
        <v>1.0</v>
      </c>
      <c r="G1637" s="58" t="s">
        <v>32</v>
      </c>
      <c r="H1637" s="33">
        <f t="shared" si="243"/>
        <v>1</v>
      </c>
      <c r="I1637" s="58" t="s">
        <v>33</v>
      </c>
      <c r="J1637" s="58" t="s">
        <v>55</v>
      </c>
      <c r="K1637" s="58" t="s">
        <v>32</v>
      </c>
      <c r="L1637" s="58" t="s">
        <v>99</v>
      </c>
      <c r="M1637" s="61" t="s">
        <v>4628</v>
      </c>
      <c r="N1637" s="77"/>
      <c r="O1637" s="62"/>
      <c r="P1637" s="62"/>
      <c r="Q1637" s="62"/>
      <c r="R1637" s="62"/>
      <c r="S1637" s="37" t="str">
        <f>IFERROR(__xludf.DUMMYFUNCTION("if(not(iserror(index(split(C1637, "" ""),2))), index(split(C1637, "" ""),1),"""")"),"August")</f>
        <v>August</v>
      </c>
      <c r="T1637" s="38">
        <f>IFERROR(__xludf.DUMMYFUNCTION("if(S1637="""",C1637,if(not(iserror(index(split(C1637, "" ""),3))), index(split(C1637, "" ""),3),index(split(C1637, "" ""),2)))"),2018.0)</f>
        <v>2018</v>
      </c>
      <c r="U1637" s="38" t="b">
        <f t="shared" si="244"/>
        <v>0</v>
      </c>
      <c r="V1637" s="38"/>
      <c r="W1637" s="40"/>
      <c r="X1637" s="40"/>
      <c r="Y1637" s="40"/>
      <c r="Z1637" s="38"/>
      <c r="AA1637" s="38"/>
      <c r="AB1637" s="38"/>
      <c r="AC1637" s="38"/>
      <c r="AD1637" s="38"/>
      <c r="AE1637" s="38"/>
      <c r="AF1637" s="38"/>
      <c r="AG1637" s="38"/>
      <c r="AH1637" s="38"/>
      <c r="AI1637" s="38"/>
      <c r="AJ1637" s="38"/>
      <c r="AK1637" s="38"/>
      <c r="AL1637" s="38"/>
      <c r="AM1637" s="38"/>
      <c r="AN1637" s="38"/>
      <c r="AO1637" s="38"/>
      <c r="AP1637" s="38"/>
      <c r="AQ1637" s="38"/>
      <c r="AR1637" s="38"/>
      <c r="AS1637" s="38"/>
      <c r="AT1637" s="38"/>
      <c r="AU1637" s="38"/>
      <c r="AV1637" s="38"/>
      <c r="AW1637" s="38"/>
      <c r="AX1637" s="38"/>
      <c r="AY1637" s="38"/>
      <c r="AZ1637" s="38"/>
      <c r="BA1637" s="38"/>
      <c r="BB1637" s="38"/>
      <c r="BC1637" s="38"/>
      <c r="BD1637" s="38"/>
      <c r="BE1637" s="38"/>
      <c r="BF1637" s="38"/>
      <c r="BG1637" s="38"/>
      <c r="BH1637" s="38"/>
      <c r="BI1637" s="38"/>
      <c r="BJ1637" s="38"/>
      <c r="BK1637" s="38"/>
      <c r="BL1637" s="38"/>
      <c r="BM1637" s="38"/>
      <c r="BN1637" s="38"/>
      <c r="BO1637" s="38"/>
      <c r="BP1637" s="38"/>
      <c r="BQ1637" s="38"/>
    </row>
    <row r="1638">
      <c r="A1638" s="58" t="s">
        <v>4629</v>
      </c>
      <c r="B1638" s="59">
        <v>43348.0</v>
      </c>
      <c r="C1638" s="59">
        <v>43320.0</v>
      </c>
      <c r="D1638" s="60" t="s">
        <v>4622</v>
      </c>
      <c r="E1638" s="58" t="s">
        <v>41</v>
      </c>
      <c r="F1638" s="58">
        <v>1.0</v>
      </c>
      <c r="G1638" s="58" t="s">
        <v>32</v>
      </c>
      <c r="H1638" s="33">
        <f t="shared" si="243"/>
        <v>1</v>
      </c>
      <c r="I1638" s="58" t="s">
        <v>33</v>
      </c>
      <c r="J1638" s="58" t="s">
        <v>222</v>
      </c>
      <c r="K1638" s="58">
        <v>4.0</v>
      </c>
      <c r="L1638" s="58" t="s">
        <v>76</v>
      </c>
      <c r="M1638" s="61" t="s">
        <v>4630</v>
      </c>
      <c r="N1638" s="77"/>
      <c r="O1638" s="88" t="str">
        <f>hyperlink("https://bad-boys.us/?q=D-NV/2:18-mj-00730", "D-NV 2:18-mj-00730")</f>
        <v>D-NV 2:18-mj-00730</v>
      </c>
      <c r="P1638" s="62"/>
      <c r="Q1638" s="58">
        <v>1.0</v>
      </c>
      <c r="R1638" s="62"/>
      <c r="S1638" s="37" t="str">
        <f>IFERROR(__xludf.DUMMYFUNCTION("if(not(iserror(index(split(C1638, "" ""),2))), index(split(C1638, "" ""),1),"""")"),"August")</f>
        <v>August</v>
      </c>
      <c r="T1638" s="38">
        <f>IFERROR(__xludf.DUMMYFUNCTION("if(S1638="""",C1638,if(not(iserror(index(split(C1638, "" ""),3))), index(split(C1638, "" ""),3),index(split(C1638, "" ""),2)))"),2018.0)</f>
        <v>2018</v>
      </c>
      <c r="U1638" s="38" t="b">
        <f t="shared" si="244"/>
        <v>0</v>
      </c>
      <c r="V1638" s="38"/>
      <c r="W1638" s="40"/>
      <c r="X1638" s="40"/>
      <c r="Y1638" s="40"/>
      <c r="Z1638" s="38"/>
      <c r="AA1638" s="38"/>
      <c r="AB1638" s="38"/>
      <c r="AC1638" s="38"/>
      <c r="AD1638" s="38"/>
      <c r="AE1638" s="38"/>
      <c r="AF1638" s="38"/>
      <c r="AG1638" s="38"/>
      <c r="AH1638" s="38"/>
      <c r="AI1638" s="38"/>
      <c r="AJ1638" s="38"/>
      <c r="AK1638" s="38"/>
      <c r="AL1638" s="38"/>
      <c r="AM1638" s="38"/>
      <c r="AN1638" s="38"/>
      <c r="AO1638" s="38"/>
      <c r="AP1638" s="38"/>
      <c r="AQ1638" s="38"/>
      <c r="AR1638" s="38"/>
      <c r="AS1638" s="38"/>
      <c r="AT1638" s="38"/>
      <c r="AU1638" s="38"/>
      <c r="AV1638" s="38"/>
      <c r="AW1638" s="38"/>
      <c r="AX1638" s="38"/>
      <c r="AY1638" s="38"/>
      <c r="AZ1638" s="38"/>
      <c r="BA1638" s="38"/>
      <c r="BB1638" s="38"/>
      <c r="BC1638" s="38"/>
      <c r="BD1638" s="38"/>
      <c r="BE1638" s="38"/>
      <c r="BF1638" s="38"/>
      <c r="BG1638" s="38"/>
      <c r="BH1638" s="38"/>
      <c r="BI1638" s="38"/>
      <c r="BJ1638" s="38"/>
      <c r="BK1638" s="38"/>
      <c r="BL1638" s="38"/>
      <c r="BM1638" s="38"/>
      <c r="BN1638" s="38"/>
      <c r="BO1638" s="38"/>
      <c r="BP1638" s="38"/>
      <c r="BQ1638" s="38"/>
    </row>
    <row r="1639">
      <c r="A1639" s="78" t="s">
        <v>239</v>
      </c>
      <c r="B1639" s="59">
        <v>43321.0</v>
      </c>
      <c r="C1639" s="59">
        <v>43321.0</v>
      </c>
      <c r="D1639" s="60" t="s">
        <v>4600</v>
      </c>
      <c r="E1639" s="58" t="s">
        <v>41</v>
      </c>
      <c r="F1639" s="58">
        <v>1.0</v>
      </c>
      <c r="G1639" s="58">
        <v>14.0</v>
      </c>
      <c r="H1639" s="33">
        <f t="shared" si="243"/>
        <v>14</v>
      </c>
      <c r="I1639" s="58" t="s">
        <v>33</v>
      </c>
      <c r="J1639" s="58" t="s">
        <v>147</v>
      </c>
      <c r="K1639" s="58">
        <v>1.0</v>
      </c>
      <c r="L1639" s="58" t="s">
        <v>194</v>
      </c>
      <c r="M1639" s="61" t="s">
        <v>4631</v>
      </c>
      <c r="N1639" s="77"/>
      <c r="O1639" s="62"/>
      <c r="P1639" s="62"/>
      <c r="Q1639" s="62"/>
      <c r="R1639" s="62"/>
      <c r="S1639" s="37" t="str">
        <f>IFERROR(__xludf.DUMMYFUNCTION("if(not(iserror(index(split(C1639, "" ""),2))), index(split(C1639, "" ""),1),"""")"),"August")</f>
        <v>August</v>
      </c>
      <c r="T1639" s="38">
        <f>IFERROR(__xludf.DUMMYFUNCTION("if(S1639="""",C1639,if(not(iserror(index(split(C1639, "" ""),3))), index(split(C1639, "" ""),3),index(split(C1639, "" ""),2)))"),2018.0)</f>
        <v>2018</v>
      </c>
      <c r="U1639" s="38" t="b">
        <f t="shared" si="244"/>
        <v>1</v>
      </c>
      <c r="V1639" s="38"/>
      <c r="W1639" s="40"/>
      <c r="X1639" s="40"/>
      <c r="Y1639" s="40"/>
      <c r="Z1639" s="38"/>
      <c r="AA1639" s="38"/>
      <c r="AB1639" s="38"/>
      <c r="AC1639" s="38"/>
      <c r="AD1639" s="38"/>
      <c r="AE1639" s="38"/>
      <c r="AF1639" s="38"/>
      <c r="AG1639" s="38"/>
      <c r="AH1639" s="38"/>
      <c r="AI1639" s="38"/>
      <c r="AJ1639" s="38"/>
      <c r="AK1639" s="38"/>
      <c r="AL1639" s="38"/>
      <c r="AM1639" s="38"/>
      <c r="AN1639" s="38"/>
      <c r="AO1639" s="38"/>
      <c r="AP1639" s="38"/>
      <c r="AQ1639" s="38"/>
      <c r="AR1639" s="38"/>
      <c r="AS1639" s="38"/>
      <c r="AT1639" s="38"/>
      <c r="AU1639" s="38"/>
      <c r="AV1639" s="38"/>
      <c r="AW1639" s="38"/>
      <c r="AX1639" s="38"/>
      <c r="AY1639" s="38"/>
      <c r="AZ1639" s="38"/>
      <c r="BA1639" s="38"/>
      <c r="BB1639" s="38"/>
      <c r="BC1639" s="38"/>
      <c r="BD1639" s="38"/>
      <c r="BE1639" s="38"/>
      <c r="BF1639" s="38"/>
      <c r="BG1639" s="38"/>
      <c r="BH1639" s="38"/>
      <c r="BI1639" s="38"/>
      <c r="BJ1639" s="38"/>
      <c r="BK1639" s="38"/>
      <c r="BL1639" s="38"/>
      <c r="BM1639" s="38"/>
      <c r="BN1639" s="38"/>
      <c r="BO1639" s="38"/>
      <c r="BP1639" s="38"/>
      <c r="BQ1639" s="38"/>
    </row>
    <row r="1640">
      <c r="A1640" s="78" t="s">
        <v>4632</v>
      </c>
      <c r="B1640" s="59">
        <v>43321.0</v>
      </c>
      <c r="C1640" s="59">
        <v>43321.0</v>
      </c>
      <c r="D1640" s="60" t="s">
        <v>4600</v>
      </c>
      <c r="E1640" s="58" t="s">
        <v>41</v>
      </c>
      <c r="F1640" s="58">
        <v>2.0</v>
      </c>
      <c r="G1640" s="58" t="s">
        <v>32</v>
      </c>
      <c r="H1640" s="33">
        <f t="shared" si="243"/>
        <v>1</v>
      </c>
      <c r="I1640" s="58" t="s">
        <v>33</v>
      </c>
      <c r="J1640" s="58" t="s">
        <v>147</v>
      </c>
      <c r="K1640" s="58">
        <v>1.0</v>
      </c>
      <c r="L1640" s="58" t="s">
        <v>52</v>
      </c>
      <c r="M1640" s="61" t="s">
        <v>4633</v>
      </c>
      <c r="N1640" s="77"/>
      <c r="O1640" s="62"/>
      <c r="P1640" s="62"/>
      <c r="Q1640" s="62"/>
      <c r="R1640" s="62"/>
      <c r="S1640" s="37" t="str">
        <f>IFERROR(__xludf.DUMMYFUNCTION("if(not(iserror(index(split(C1640, "" ""),2))), index(split(C1640, "" ""),1),"""")"),"August")</f>
        <v>August</v>
      </c>
      <c r="T1640" s="38">
        <f>IFERROR(__xludf.DUMMYFUNCTION("if(S1640="""",C1640,if(not(iserror(index(split(C1640, "" ""),3))), index(split(C1640, "" ""),3),index(split(C1640, "" ""),2)))"),2018.0)</f>
        <v>2018</v>
      </c>
      <c r="U1640" s="38" t="b">
        <f t="shared" si="244"/>
        <v>0</v>
      </c>
      <c r="V1640" s="38"/>
      <c r="W1640" s="40"/>
      <c r="X1640" s="40"/>
      <c r="Y1640" s="40"/>
      <c r="Z1640" s="38"/>
      <c r="AA1640" s="38"/>
      <c r="AB1640" s="38"/>
      <c r="AC1640" s="38"/>
      <c r="AD1640" s="38"/>
      <c r="AE1640" s="38"/>
      <c r="AF1640" s="38"/>
      <c r="AG1640" s="38"/>
      <c r="AH1640" s="38"/>
      <c r="AI1640" s="38"/>
      <c r="AJ1640" s="38"/>
      <c r="AK1640" s="38"/>
      <c r="AL1640" s="38"/>
      <c r="AM1640" s="38"/>
      <c r="AN1640" s="38"/>
      <c r="AO1640" s="38"/>
      <c r="AP1640" s="38"/>
      <c r="AQ1640" s="38"/>
      <c r="AR1640" s="38"/>
      <c r="AS1640" s="38"/>
      <c r="AT1640" s="38"/>
      <c r="AU1640" s="38"/>
      <c r="AV1640" s="38"/>
      <c r="AW1640" s="38"/>
      <c r="AX1640" s="38"/>
      <c r="AY1640" s="38"/>
      <c r="AZ1640" s="38"/>
      <c r="BA1640" s="38"/>
      <c r="BB1640" s="38"/>
      <c r="BC1640" s="38"/>
      <c r="BD1640" s="38"/>
      <c r="BE1640" s="38"/>
      <c r="BF1640" s="38"/>
      <c r="BG1640" s="38"/>
      <c r="BH1640" s="38"/>
      <c r="BI1640" s="38"/>
      <c r="BJ1640" s="38"/>
      <c r="BK1640" s="38"/>
      <c r="BL1640" s="38"/>
      <c r="BM1640" s="38"/>
      <c r="BN1640" s="38"/>
      <c r="BO1640" s="38"/>
      <c r="BP1640" s="38"/>
      <c r="BQ1640" s="38"/>
    </row>
    <row r="1641">
      <c r="A1641" s="78" t="s">
        <v>239</v>
      </c>
      <c r="B1641" s="59">
        <v>43322.0</v>
      </c>
      <c r="C1641" s="59">
        <v>43321.0</v>
      </c>
      <c r="D1641" s="60" t="s">
        <v>4600</v>
      </c>
      <c r="E1641" s="58" t="s">
        <v>41</v>
      </c>
      <c r="F1641" s="58">
        <v>1.0</v>
      </c>
      <c r="G1641" s="58">
        <v>15.0</v>
      </c>
      <c r="H1641" s="33">
        <f t="shared" si="243"/>
        <v>15</v>
      </c>
      <c r="I1641" s="58" t="s">
        <v>33</v>
      </c>
      <c r="J1641" s="58" t="s">
        <v>147</v>
      </c>
      <c r="K1641" s="58">
        <v>1.0</v>
      </c>
      <c r="L1641" s="58" t="s">
        <v>194</v>
      </c>
      <c r="M1641" s="61" t="s">
        <v>4634</v>
      </c>
      <c r="N1641" s="77"/>
      <c r="O1641" s="62"/>
      <c r="P1641" s="62"/>
      <c r="Q1641" s="62"/>
      <c r="R1641" s="62"/>
      <c r="S1641" s="37" t="str">
        <f>IFERROR(__xludf.DUMMYFUNCTION("if(not(iserror(index(split(C1641, "" ""),2))), index(split(C1641, "" ""),1),"""")"),"August")</f>
        <v>August</v>
      </c>
      <c r="T1641" s="38">
        <f>IFERROR(__xludf.DUMMYFUNCTION("if(S1641="""",C1641,if(not(iserror(index(split(C1641, "" ""),3))), index(split(C1641, "" ""),3),index(split(C1641, "" ""),2)))"),2018.0)</f>
        <v>2018</v>
      </c>
      <c r="U1641" s="38" t="b">
        <f t="shared" si="244"/>
        <v>1</v>
      </c>
      <c r="V1641" s="38"/>
      <c r="W1641" s="40"/>
      <c r="X1641" s="40"/>
      <c r="Y1641" s="40"/>
      <c r="Z1641" s="38"/>
      <c r="AA1641" s="38"/>
      <c r="AB1641" s="38"/>
      <c r="AC1641" s="38"/>
      <c r="AD1641" s="38"/>
      <c r="AE1641" s="38"/>
      <c r="AF1641" s="38"/>
      <c r="AG1641" s="38"/>
      <c r="AH1641" s="38"/>
      <c r="AI1641" s="38"/>
      <c r="AJ1641" s="38"/>
      <c r="AK1641" s="38"/>
      <c r="AL1641" s="38"/>
      <c r="AM1641" s="38"/>
      <c r="AN1641" s="38"/>
      <c r="AO1641" s="38"/>
      <c r="AP1641" s="38"/>
      <c r="AQ1641" s="38"/>
      <c r="AR1641" s="38"/>
      <c r="AS1641" s="38"/>
      <c r="AT1641" s="38"/>
      <c r="AU1641" s="38"/>
      <c r="AV1641" s="38"/>
      <c r="AW1641" s="38"/>
      <c r="AX1641" s="38"/>
      <c r="AY1641" s="38"/>
      <c r="AZ1641" s="38"/>
      <c r="BA1641" s="38"/>
      <c r="BB1641" s="38"/>
      <c r="BC1641" s="38"/>
      <c r="BD1641" s="38"/>
      <c r="BE1641" s="38"/>
      <c r="BF1641" s="38"/>
      <c r="BG1641" s="38"/>
      <c r="BH1641" s="38"/>
      <c r="BI1641" s="38"/>
      <c r="BJ1641" s="38"/>
      <c r="BK1641" s="38"/>
      <c r="BL1641" s="38"/>
      <c r="BM1641" s="38"/>
      <c r="BN1641" s="38"/>
      <c r="BO1641" s="38"/>
      <c r="BP1641" s="38"/>
      <c r="BQ1641" s="38"/>
    </row>
    <row r="1642">
      <c r="A1642" s="78" t="s">
        <v>4635</v>
      </c>
      <c r="B1642" s="59">
        <v>43328.0</v>
      </c>
      <c r="C1642" s="59">
        <v>43321.0</v>
      </c>
      <c r="D1642" s="60" t="s">
        <v>4600</v>
      </c>
      <c r="E1642" s="58" t="s">
        <v>41</v>
      </c>
      <c r="F1642" s="58">
        <v>1.0</v>
      </c>
      <c r="G1642" s="58" t="s">
        <v>32</v>
      </c>
      <c r="H1642" s="33">
        <f t="shared" si="243"/>
        <v>1</v>
      </c>
      <c r="I1642" s="58" t="s">
        <v>33</v>
      </c>
      <c r="J1642" s="58" t="s">
        <v>93</v>
      </c>
      <c r="K1642" s="58">
        <v>1.0</v>
      </c>
      <c r="L1642" s="58" t="s">
        <v>35</v>
      </c>
      <c r="M1642" s="61" t="s">
        <v>4636</v>
      </c>
      <c r="N1642" s="77"/>
      <c r="O1642" s="62"/>
      <c r="P1642" s="62"/>
      <c r="Q1642" s="62"/>
      <c r="R1642" s="62"/>
      <c r="S1642" s="37" t="str">
        <f>IFERROR(__xludf.DUMMYFUNCTION("if(not(iserror(index(split(C1642, "" ""),2))), index(split(C1642, "" ""),1),"""")"),"August")</f>
        <v>August</v>
      </c>
      <c r="T1642" s="38">
        <f>IFERROR(__xludf.DUMMYFUNCTION("if(S1642="""",C1642,if(not(iserror(index(split(C1642, "" ""),3))), index(split(C1642, "" ""),3),index(split(C1642, "" ""),2)))"),2018.0)</f>
        <v>2018</v>
      </c>
      <c r="U1642" s="38" t="b">
        <f t="shared" si="244"/>
        <v>0</v>
      </c>
      <c r="V1642" s="38"/>
      <c r="W1642" s="40"/>
      <c r="X1642" s="40"/>
      <c r="Y1642" s="40"/>
      <c r="Z1642" s="38"/>
      <c r="AA1642" s="38"/>
      <c r="AB1642" s="38"/>
      <c r="AC1642" s="38"/>
      <c r="AD1642" s="38"/>
      <c r="AE1642" s="38"/>
      <c r="AF1642" s="38"/>
      <c r="AG1642" s="38"/>
      <c r="AH1642" s="38"/>
      <c r="AI1642" s="38"/>
      <c r="AJ1642" s="38"/>
      <c r="AK1642" s="38"/>
      <c r="AL1642" s="38"/>
      <c r="AM1642" s="38"/>
      <c r="AN1642" s="38"/>
      <c r="AO1642" s="38"/>
      <c r="AP1642" s="38"/>
      <c r="AQ1642" s="38"/>
      <c r="AR1642" s="38"/>
      <c r="AS1642" s="38"/>
      <c r="AT1642" s="38"/>
      <c r="AU1642" s="38"/>
      <c r="AV1642" s="38"/>
      <c r="AW1642" s="38"/>
      <c r="AX1642" s="38"/>
      <c r="AY1642" s="38"/>
      <c r="AZ1642" s="38"/>
      <c r="BA1642" s="38"/>
      <c r="BB1642" s="38"/>
      <c r="BC1642" s="38"/>
      <c r="BD1642" s="38"/>
      <c r="BE1642" s="38"/>
      <c r="BF1642" s="38"/>
      <c r="BG1642" s="38"/>
      <c r="BH1642" s="38"/>
      <c r="BI1642" s="38"/>
      <c r="BJ1642" s="38"/>
      <c r="BK1642" s="38"/>
      <c r="BL1642" s="38"/>
      <c r="BM1642" s="38"/>
      <c r="BN1642" s="38"/>
      <c r="BO1642" s="38"/>
      <c r="BP1642" s="38"/>
      <c r="BQ1642" s="38"/>
    </row>
    <row r="1643">
      <c r="A1643" s="78" t="s">
        <v>4637</v>
      </c>
      <c r="B1643" s="59"/>
      <c r="C1643" s="59">
        <v>43321.0</v>
      </c>
      <c r="D1643" s="60"/>
      <c r="E1643" s="58" t="s">
        <v>41</v>
      </c>
      <c r="F1643" s="58">
        <v>1.0</v>
      </c>
      <c r="G1643" s="58" t="s">
        <v>32</v>
      </c>
      <c r="H1643" s="43">
        <v>1.0</v>
      </c>
      <c r="I1643" s="58" t="s">
        <v>33</v>
      </c>
      <c r="J1643" s="58" t="s">
        <v>147</v>
      </c>
      <c r="K1643" s="58"/>
      <c r="L1643" s="58" t="s">
        <v>119</v>
      </c>
      <c r="M1643" s="140" t="s">
        <v>4638</v>
      </c>
      <c r="N1643" s="80"/>
      <c r="O1643" s="58"/>
      <c r="P1643" s="58"/>
      <c r="Q1643" s="58"/>
      <c r="R1643" s="62"/>
      <c r="S1643" s="37"/>
      <c r="T1643" s="38"/>
      <c r="U1643" s="38"/>
      <c r="V1643" s="38" t="s">
        <v>33</v>
      </c>
      <c r="W1643" s="40"/>
      <c r="X1643" s="40"/>
      <c r="Y1643" s="40"/>
      <c r="Z1643" s="38"/>
      <c r="AA1643" s="38"/>
      <c r="AB1643" s="38"/>
      <c r="AC1643" s="38"/>
      <c r="AD1643" s="38"/>
      <c r="AE1643" s="38"/>
      <c r="AF1643" s="38"/>
      <c r="AG1643" s="38"/>
      <c r="AH1643" s="38"/>
      <c r="AI1643" s="38"/>
      <c r="AJ1643" s="38"/>
      <c r="AK1643" s="38"/>
      <c r="AL1643" s="38"/>
      <c r="AM1643" s="38"/>
      <c r="AN1643" s="38"/>
      <c r="AO1643" s="38"/>
      <c r="AP1643" s="38"/>
      <c r="AQ1643" s="38"/>
      <c r="AR1643" s="38"/>
      <c r="AS1643" s="38"/>
      <c r="AT1643" s="38"/>
      <c r="AU1643" s="38"/>
      <c r="AV1643" s="38"/>
      <c r="AW1643" s="38"/>
      <c r="AX1643" s="38"/>
      <c r="AY1643" s="38"/>
      <c r="AZ1643" s="38"/>
      <c r="BA1643" s="38"/>
      <c r="BB1643" s="38"/>
      <c r="BC1643" s="38"/>
      <c r="BD1643" s="38"/>
      <c r="BE1643" s="38"/>
      <c r="BF1643" s="38"/>
      <c r="BG1643" s="38"/>
      <c r="BH1643" s="38"/>
      <c r="BI1643" s="38"/>
      <c r="BJ1643" s="38"/>
      <c r="BK1643" s="38"/>
      <c r="BL1643" s="38"/>
      <c r="BM1643" s="38"/>
      <c r="BN1643" s="38"/>
      <c r="BO1643" s="38"/>
      <c r="BP1643" s="38"/>
      <c r="BQ1643" s="38"/>
    </row>
    <row r="1644">
      <c r="A1644" s="78" t="s">
        <v>4639</v>
      </c>
      <c r="B1644" s="59">
        <v>43322.0</v>
      </c>
      <c r="C1644" s="59">
        <v>43322.0</v>
      </c>
      <c r="D1644" s="60" t="s">
        <v>4640</v>
      </c>
      <c r="E1644" s="58" t="s">
        <v>41</v>
      </c>
      <c r="F1644" s="58">
        <v>1.0</v>
      </c>
      <c r="G1644" s="58" t="s">
        <v>32</v>
      </c>
      <c r="H1644" s="33">
        <f>if(G1644="Unknown",1,G1644)</f>
        <v>1</v>
      </c>
      <c r="I1644" s="58" t="s">
        <v>33</v>
      </c>
      <c r="J1644" s="58" t="s">
        <v>47</v>
      </c>
      <c r="K1644" s="58">
        <v>1.0</v>
      </c>
      <c r="L1644" s="58" t="s">
        <v>119</v>
      </c>
      <c r="M1644" s="120" t="s">
        <v>4641</v>
      </c>
      <c r="N1644" s="61" t="s">
        <v>4642</v>
      </c>
      <c r="O1644" s="88" t="str">
        <f>hyperlink("https://bad-boys.us/?q=MD-FL/6:18-cr-00208", "MD-FL 6:18-cr-00208")</f>
        <v>MD-FL 6:18-cr-00208</v>
      </c>
      <c r="P1644" s="88" t="s">
        <v>4643</v>
      </c>
      <c r="Q1644" s="58">
        <v>1.0</v>
      </c>
      <c r="R1644" s="62"/>
      <c r="S1644" s="37" t="str">
        <f>IFERROR(__xludf.DUMMYFUNCTION("if(not(iserror(index(split(C1644, "" ""),2))), index(split(C1644, "" ""),1),"""")"),"August")</f>
        <v>August</v>
      </c>
      <c r="T1644" s="38">
        <f>IFERROR(__xludf.DUMMYFUNCTION("if(S1644="""",C1644,if(not(iserror(index(split(C1644, "" ""),3))), index(split(C1644, "" ""),3),index(split(C1644, "" ""),2)))"),2018.0)</f>
        <v>2018</v>
      </c>
      <c r="U1644" s="38" t="b">
        <f t="shared" ref="U1644:U1669" si="245">countif(A$4:A4658, A1644)&gt;1</f>
        <v>0</v>
      </c>
      <c r="V1644" s="38" t="s">
        <v>33</v>
      </c>
      <c r="W1644" s="39" t="s">
        <v>4644</v>
      </c>
      <c r="X1644" s="40"/>
      <c r="Y1644" s="40"/>
      <c r="Z1644" s="38"/>
      <c r="AA1644" s="38"/>
      <c r="AB1644" s="38"/>
      <c r="AC1644" s="38"/>
      <c r="AD1644" s="38"/>
      <c r="AE1644" s="38"/>
      <c r="AF1644" s="38"/>
      <c r="AG1644" s="38"/>
      <c r="AH1644" s="38"/>
      <c r="AI1644" s="38"/>
      <c r="AJ1644" s="38"/>
      <c r="AK1644" s="38"/>
      <c r="AL1644" s="38"/>
      <c r="AM1644" s="38"/>
      <c r="AN1644" s="38"/>
      <c r="AO1644" s="38"/>
      <c r="AP1644" s="38"/>
      <c r="AQ1644" s="38"/>
      <c r="AR1644" s="38"/>
      <c r="AS1644" s="38"/>
      <c r="AT1644" s="38"/>
      <c r="AU1644" s="38"/>
      <c r="AV1644" s="38"/>
      <c r="AW1644" s="38"/>
      <c r="AX1644" s="38"/>
      <c r="AY1644" s="38"/>
      <c r="AZ1644" s="38"/>
      <c r="BA1644" s="38"/>
      <c r="BB1644" s="38"/>
      <c r="BC1644" s="38"/>
      <c r="BD1644" s="38"/>
      <c r="BE1644" s="38"/>
      <c r="BF1644" s="38"/>
      <c r="BG1644" s="38"/>
      <c r="BH1644" s="38"/>
      <c r="BI1644" s="38"/>
      <c r="BJ1644" s="38"/>
      <c r="BK1644" s="38"/>
      <c r="BL1644" s="38"/>
      <c r="BM1644" s="38"/>
      <c r="BN1644" s="38"/>
      <c r="BO1644" s="38"/>
      <c r="BP1644" s="38"/>
      <c r="BQ1644" s="38"/>
    </row>
    <row r="1645">
      <c r="A1645" s="78" t="s">
        <v>4645</v>
      </c>
      <c r="B1645" s="59"/>
      <c r="C1645" s="59">
        <v>43322.0</v>
      </c>
      <c r="D1645" s="60"/>
      <c r="E1645" s="58" t="s">
        <v>41</v>
      </c>
      <c r="F1645" s="58">
        <v>1.0</v>
      </c>
      <c r="G1645" s="58" t="s">
        <v>32</v>
      </c>
      <c r="H1645" s="43">
        <v>1.0</v>
      </c>
      <c r="I1645" s="58" t="s">
        <v>33</v>
      </c>
      <c r="J1645" s="58" t="s">
        <v>55</v>
      </c>
      <c r="K1645" s="58"/>
      <c r="L1645" s="58" t="s">
        <v>119</v>
      </c>
      <c r="M1645" s="61" t="s">
        <v>4646</v>
      </c>
      <c r="N1645" s="77"/>
      <c r="O1645" s="88" t="str">
        <f>hyperlink("https://bad-boys.us/?q=D-NJ/3:18-cr-00467", "D-NJ 3:18-cr-00467")</f>
        <v>D-NJ 3:18-cr-00467</v>
      </c>
      <c r="P1645" s="58"/>
      <c r="Q1645" s="58">
        <v>1.0</v>
      </c>
      <c r="R1645" s="62"/>
      <c r="S1645" s="37" t="str">
        <f>IFERROR(__xludf.DUMMYFUNCTION("if(not(iserror(index(split(C1645, "" ""),2))), index(split(C1645, "" ""),1),"""")"),"August")</f>
        <v>August</v>
      </c>
      <c r="T1645" s="38">
        <f>IFERROR(__xludf.DUMMYFUNCTION("if(S1645="""",C1645,if(not(iserror(index(split(C1645, "" ""),3))), index(split(C1645, "" ""),3),index(split(C1645, "" ""),2)))"),2018.0)</f>
        <v>2018</v>
      </c>
      <c r="U1645" s="38" t="b">
        <f t="shared" si="245"/>
        <v>0</v>
      </c>
      <c r="V1645" s="38" t="s">
        <v>33</v>
      </c>
      <c r="W1645" s="40"/>
      <c r="X1645" s="40"/>
      <c r="Y1645" s="40"/>
      <c r="Z1645" s="38"/>
      <c r="AA1645" s="38"/>
      <c r="AB1645" s="38"/>
      <c r="AC1645" s="38"/>
      <c r="AD1645" s="38"/>
      <c r="AE1645" s="38"/>
      <c r="AF1645" s="38"/>
      <c r="AG1645" s="38"/>
      <c r="AH1645" s="38"/>
      <c r="AI1645" s="38"/>
      <c r="AJ1645" s="38"/>
      <c r="AK1645" s="38"/>
      <c r="AL1645" s="38"/>
      <c r="AM1645" s="38"/>
      <c r="AN1645" s="38"/>
      <c r="AO1645" s="38"/>
      <c r="AP1645" s="38"/>
      <c r="AQ1645" s="38"/>
      <c r="AR1645" s="38"/>
      <c r="AS1645" s="38"/>
      <c r="AT1645" s="38"/>
      <c r="AU1645" s="38"/>
      <c r="AV1645" s="38"/>
      <c r="AW1645" s="38"/>
      <c r="AX1645" s="38"/>
      <c r="AY1645" s="38"/>
      <c r="AZ1645" s="38"/>
      <c r="BA1645" s="38"/>
      <c r="BB1645" s="38"/>
      <c r="BC1645" s="38"/>
      <c r="BD1645" s="38"/>
      <c r="BE1645" s="38"/>
      <c r="BF1645" s="38"/>
      <c r="BG1645" s="38"/>
      <c r="BH1645" s="38"/>
      <c r="BI1645" s="38"/>
      <c r="BJ1645" s="38"/>
      <c r="BK1645" s="38"/>
      <c r="BL1645" s="38"/>
      <c r="BM1645" s="38"/>
      <c r="BN1645" s="38"/>
      <c r="BO1645" s="38"/>
      <c r="BP1645" s="38"/>
      <c r="BQ1645" s="38"/>
    </row>
    <row r="1646">
      <c r="A1646" s="78" t="s">
        <v>239</v>
      </c>
      <c r="B1646" s="59">
        <v>43325.0</v>
      </c>
      <c r="C1646" s="59">
        <v>43322.0</v>
      </c>
      <c r="D1646" s="60" t="s">
        <v>4640</v>
      </c>
      <c r="E1646" s="58" t="s">
        <v>41</v>
      </c>
      <c r="F1646" s="58">
        <v>1.0</v>
      </c>
      <c r="G1646" s="58">
        <v>4.0</v>
      </c>
      <c r="H1646" s="33">
        <f t="shared" ref="H1646:H1657" si="246">if(G1646="Unknown",1,G1646)</f>
        <v>4</v>
      </c>
      <c r="I1646" s="58" t="s">
        <v>33</v>
      </c>
      <c r="J1646" s="58" t="s">
        <v>241</v>
      </c>
      <c r="K1646" s="58">
        <v>1.0</v>
      </c>
      <c r="L1646" s="58" t="s">
        <v>194</v>
      </c>
      <c r="M1646" s="61" t="s">
        <v>4647</v>
      </c>
      <c r="N1646" s="77"/>
      <c r="O1646" s="58"/>
      <c r="P1646" s="58"/>
      <c r="Q1646" s="84"/>
      <c r="R1646" s="62"/>
      <c r="S1646" s="37" t="str">
        <f>IFERROR(__xludf.DUMMYFUNCTION("if(not(iserror(index(split(C1646, "" ""),2))), index(split(C1646, "" ""),1),"""")"),"August")</f>
        <v>August</v>
      </c>
      <c r="T1646" s="38">
        <f>IFERROR(__xludf.DUMMYFUNCTION("if(S1646="""",C1646,if(not(iserror(index(split(C1646, "" ""),3))), index(split(C1646, "" ""),3),index(split(C1646, "" ""),2)))"),2018.0)</f>
        <v>2018</v>
      </c>
      <c r="U1646" s="38" t="b">
        <f t="shared" si="245"/>
        <v>1</v>
      </c>
      <c r="V1646" s="38"/>
      <c r="W1646" s="40"/>
      <c r="X1646" s="40"/>
      <c r="Y1646" s="40"/>
      <c r="Z1646" s="38"/>
      <c r="AA1646" s="38"/>
      <c r="AB1646" s="38"/>
      <c r="AC1646" s="38"/>
      <c r="AD1646" s="38"/>
      <c r="AE1646" s="38"/>
      <c r="AF1646" s="38"/>
      <c r="AG1646" s="38"/>
      <c r="AH1646" s="38"/>
      <c r="AI1646" s="38"/>
      <c r="AJ1646" s="38"/>
      <c r="AK1646" s="38"/>
      <c r="AL1646" s="38"/>
      <c r="AM1646" s="38"/>
      <c r="AN1646" s="38"/>
      <c r="AO1646" s="38"/>
      <c r="AP1646" s="38"/>
      <c r="AQ1646" s="38"/>
      <c r="AR1646" s="38"/>
      <c r="AS1646" s="38"/>
      <c r="AT1646" s="38"/>
      <c r="AU1646" s="38"/>
      <c r="AV1646" s="38"/>
      <c r="AW1646" s="38"/>
      <c r="AX1646" s="38"/>
      <c r="AY1646" s="38"/>
      <c r="AZ1646" s="38"/>
      <c r="BA1646" s="38"/>
      <c r="BB1646" s="38"/>
      <c r="BC1646" s="38"/>
      <c r="BD1646" s="38"/>
      <c r="BE1646" s="38"/>
      <c r="BF1646" s="38"/>
      <c r="BG1646" s="38"/>
      <c r="BH1646" s="38"/>
      <c r="BI1646" s="38"/>
      <c r="BJ1646" s="38"/>
      <c r="BK1646" s="38"/>
      <c r="BL1646" s="38"/>
      <c r="BM1646" s="38"/>
      <c r="BN1646" s="38"/>
      <c r="BO1646" s="38"/>
      <c r="BP1646" s="38"/>
      <c r="BQ1646" s="38"/>
    </row>
    <row r="1647">
      <c r="A1647" s="58" t="s">
        <v>239</v>
      </c>
      <c r="B1647" s="59">
        <v>43326.0</v>
      </c>
      <c r="C1647" s="59">
        <v>43322.0</v>
      </c>
      <c r="D1647" s="60" t="s">
        <v>4640</v>
      </c>
      <c r="E1647" s="58" t="s">
        <v>41</v>
      </c>
      <c r="F1647" s="58">
        <v>1.0</v>
      </c>
      <c r="G1647" s="58">
        <v>3.0</v>
      </c>
      <c r="H1647" s="33">
        <f t="shared" si="246"/>
        <v>3</v>
      </c>
      <c r="I1647" s="58" t="s">
        <v>33</v>
      </c>
      <c r="J1647" s="58" t="s">
        <v>241</v>
      </c>
      <c r="K1647" s="58">
        <v>1.0</v>
      </c>
      <c r="L1647" s="58" t="s">
        <v>194</v>
      </c>
      <c r="M1647" s="61" t="s">
        <v>4648</v>
      </c>
      <c r="N1647" s="77"/>
      <c r="O1647" s="62"/>
      <c r="P1647" s="62"/>
      <c r="Q1647" s="62"/>
      <c r="R1647" s="62"/>
      <c r="S1647" s="37" t="str">
        <f>IFERROR(__xludf.DUMMYFUNCTION("if(not(iserror(index(split(C1647, "" ""),2))), index(split(C1647, "" ""),1),"""")"),"August")</f>
        <v>August</v>
      </c>
      <c r="T1647" s="38">
        <f>IFERROR(__xludf.DUMMYFUNCTION("if(S1647="""",C1647,if(not(iserror(index(split(C1647, "" ""),3))), index(split(C1647, "" ""),3),index(split(C1647, "" ""),2)))"),2018.0)</f>
        <v>2018</v>
      </c>
      <c r="U1647" s="38" t="b">
        <f t="shared" si="245"/>
        <v>1</v>
      </c>
      <c r="V1647" s="38"/>
      <c r="W1647" s="40"/>
      <c r="X1647" s="40"/>
      <c r="Y1647" s="40"/>
      <c r="Z1647" s="38"/>
      <c r="AA1647" s="38"/>
      <c r="AB1647" s="38"/>
      <c r="AC1647" s="38"/>
      <c r="AD1647" s="38"/>
      <c r="AE1647" s="38"/>
      <c r="AF1647" s="38"/>
      <c r="AG1647" s="38"/>
      <c r="AH1647" s="38"/>
      <c r="AI1647" s="38"/>
      <c r="AJ1647" s="38"/>
      <c r="AK1647" s="38"/>
      <c r="AL1647" s="38"/>
      <c r="AM1647" s="38"/>
      <c r="AN1647" s="38"/>
      <c r="AO1647" s="38"/>
      <c r="AP1647" s="38"/>
      <c r="AQ1647" s="38"/>
      <c r="AR1647" s="38"/>
      <c r="AS1647" s="38"/>
      <c r="AT1647" s="38"/>
      <c r="AU1647" s="38"/>
      <c r="AV1647" s="38"/>
      <c r="AW1647" s="38"/>
      <c r="AX1647" s="38"/>
      <c r="AY1647" s="38"/>
      <c r="AZ1647" s="38"/>
      <c r="BA1647" s="38"/>
      <c r="BB1647" s="38"/>
      <c r="BC1647" s="38"/>
      <c r="BD1647" s="38"/>
      <c r="BE1647" s="38"/>
      <c r="BF1647" s="38"/>
      <c r="BG1647" s="38"/>
      <c r="BH1647" s="38"/>
      <c r="BI1647" s="38"/>
      <c r="BJ1647" s="38"/>
      <c r="BK1647" s="38"/>
      <c r="BL1647" s="38"/>
      <c r="BM1647" s="38"/>
      <c r="BN1647" s="38"/>
      <c r="BO1647" s="38"/>
      <c r="BP1647" s="38"/>
      <c r="BQ1647" s="38"/>
    </row>
    <row r="1648">
      <c r="A1648" s="78" t="s">
        <v>239</v>
      </c>
      <c r="B1648" s="59">
        <v>43323.0</v>
      </c>
      <c r="C1648" s="59">
        <v>43323.0</v>
      </c>
      <c r="D1648" s="60" t="s">
        <v>4649</v>
      </c>
      <c r="E1648" s="58" t="s">
        <v>41</v>
      </c>
      <c r="F1648" s="58">
        <v>2.0</v>
      </c>
      <c r="G1648" s="58">
        <v>78.0</v>
      </c>
      <c r="H1648" s="33">
        <f t="shared" si="246"/>
        <v>78</v>
      </c>
      <c r="I1648" s="58" t="s">
        <v>33</v>
      </c>
      <c r="J1648" s="58" t="s">
        <v>147</v>
      </c>
      <c r="K1648" s="58">
        <v>1.0</v>
      </c>
      <c r="L1648" s="58" t="s">
        <v>194</v>
      </c>
      <c r="M1648" s="61" t="s">
        <v>4650</v>
      </c>
      <c r="N1648" s="77"/>
      <c r="O1648" s="62"/>
      <c r="P1648" s="62"/>
      <c r="Q1648" s="62"/>
      <c r="R1648" s="62"/>
      <c r="S1648" s="37" t="str">
        <f>IFERROR(__xludf.DUMMYFUNCTION("if(not(iserror(index(split(C1648, "" ""),2))), index(split(C1648, "" ""),1),"""")"),"August")</f>
        <v>August</v>
      </c>
      <c r="T1648" s="38">
        <f>IFERROR(__xludf.DUMMYFUNCTION("if(S1648="""",C1648,if(not(iserror(index(split(C1648, "" ""),3))), index(split(C1648, "" ""),3),index(split(C1648, "" ""),2)))"),2018.0)</f>
        <v>2018</v>
      </c>
      <c r="U1648" s="38" t="b">
        <f t="shared" si="245"/>
        <v>1</v>
      </c>
      <c r="V1648" s="38"/>
      <c r="W1648" s="40"/>
      <c r="X1648" s="40"/>
      <c r="Y1648" s="40"/>
      <c r="Z1648" s="38"/>
      <c r="AA1648" s="38"/>
      <c r="AB1648" s="38"/>
      <c r="AC1648" s="38"/>
      <c r="AD1648" s="38"/>
      <c r="AE1648" s="38"/>
      <c r="AF1648" s="38"/>
      <c r="AG1648" s="38"/>
      <c r="AH1648" s="38"/>
      <c r="AI1648" s="38"/>
      <c r="AJ1648" s="38"/>
      <c r="AK1648" s="38"/>
      <c r="AL1648" s="38"/>
      <c r="AM1648" s="38"/>
      <c r="AN1648" s="38"/>
      <c r="AO1648" s="38"/>
      <c r="AP1648" s="38"/>
      <c r="AQ1648" s="38"/>
      <c r="AR1648" s="38"/>
      <c r="AS1648" s="38"/>
      <c r="AT1648" s="38"/>
      <c r="AU1648" s="38"/>
      <c r="AV1648" s="38"/>
      <c r="AW1648" s="38"/>
      <c r="AX1648" s="38"/>
      <c r="AY1648" s="38"/>
      <c r="AZ1648" s="38"/>
      <c r="BA1648" s="38"/>
      <c r="BB1648" s="38"/>
      <c r="BC1648" s="38"/>
      <c r="BD1648" s="38"/>
      <c r="BE1648" s="38"/>
      <c r="BF1648" s="38"/>
      <c r="BG1648" s="38"/>
      <c r="BH1648" s="38"/>
      <c r="BI1648" s="38"/>
      <c r="BJ1648" s="38"/>
      <c r="BK1648" s="38"/>
      <c r="BL1648" s="38"/>
      <c r="BM1648" s="38"/>
      <c r="BN1648" s="38"/>
      <c r="BO1648" s="38"/>
      <c r="BP1648" s="38"/>
      <c r="BQ1648" s="38"/>
    </row>
    <row r="1649">
      <c r="A1649" s="78" t="s">
        <v>239</v>
      </c>
      <c r="B1649" s="59">
        <v>43325.0</v>
      </c>
      <c r="C1649" s="59">
        <v>43323.0</v>
      </c>
      <c r="D1649" s="60" t="s">
        <v>4649</v>
      </c>
      <c r="E1649" s="58" t="s">
        <v>41</v>
      </c>
      <c r="F1649" s="58">
        <v>2.0</v>
      </c>
      <c r="G1649" s="58" t="s">
        <v>32</v>
      </c>
      <c r="H1649" s="33">
        <f t="shared" si="246"/>
        <v>1</v>
      </c>
      <c r="I1649" s="58" t="s">
        <v>33</v>
      </c>
      <c r="J1649" s="58" t="s">
        <v>147</v>
      </c>
      <c r="K1649" s="58">
        <v>1.0</v>
      </c>
      <c r="L1649" s="58" t="s">
        <v>194</v>
      </c>
      <c r="M1649" s="61" t="s">
        <v>4651</v>
      </c>
      <c r="N1649" s="77"/>
      <c r="O1649" s="62"/>
      <c r="P1649" s="62"/>
      <c r="Q1649" s="62"/>
      <c r="R1649" s="62"/>
      <c r="S1649" s="37" t="str">
        <f>IFERROR(__xludf.DUMMYFUNCTION("if(not(iserror(index(split(C1649, "" ""),2))), index(split(C1649, "" ""),1),"""")"),"August")</f>
        <v>August</v>
      </c>
      <c r="T1649" s="38">
        <f>IFERROR(__xludf.DUMMYFUNCTION("if(S1649="""",C1649,if(not(iserror(index(split(C1649, "" ""),3))), index(split(C1649, "" ""),3),index(split(C1649, "" ""),2)))"),2018.0)</f>
        <v>2018</v>
      </c>
      <c r="U1649" s="38" t="b">
        <f t="shared" si="245"/>
        <v>1</v>
      </c>
      <c r="V1649" s="38"/>
      <c r="W1649" s="40"/>
      <c r="X1649" s="40"/>
      <c r="Y1649" s="40"/>
      <c r="Z1649" s="38"/>
      <c r="AA1649" s="38"/>
      <c r="AB1649" s="38"/>
      <c r="AC1649" s="38"/>
      <c r="AD1649" s="38"/>
      <c r="AE1649" s="38"/>
      <c r="AF1649" s="38"/>
      <c r="AG1649" s="38"/>
      <c r="AH1649" s="38"/>
      <c r="AI1649" s="38"/>
      <c r="AJ1649" s="38"/>
      <c r="AK1649" s="38"/>
      <c r="AL1649" s="38"/>
      <c r="AM1649" s="38"/>
      <c r="AN1649" s="38"/>
      <c r="AO1649" s="38"/>
      <c r="AP1649" s="38"/>
      <c r="AQ1649" s="38"/>
      <c r="AR1649" s="38"/>
      <c r="AS1649" s="38"/>
      <c r="AT1649" s="38"/>
      <c r="AU1649" s="38"/>
      <c r="AV1649" s="38"/>
      <c r="AW1649" s="38"/>
      <c r="AX1649" s="38"/>
      <c r="AY1649" s="38"/>
      <c r="AZ1649" s="38"/>
      <c r="BA1649" s="38"/>
      <c r="BB1649" s="38"/>
      <c r="BC1649" s="38"/>
      <c r="BD1649" s="38"/>
      <c r="BE1649" s="38"/>
      <c r="BF1649" s="38"/>
      <c r="BG1649" s="38"/>
      <c r="BH1649" s="38"/>
      <c r="BI1649" s="38"/>
      <c r="BJ1649" s="38"/>
      <c r="BK1649" s="38"/>
      <c r="BL1649" s="38"/>
      <c r="BM1649" s="38"/>
      <c r="BN1649" s="38"/>
      <c r="BO1649" s="38"/>
      <c r="BP1649" s="38"/>
      <c r="BQ1649" s="38"/>
    </row>
    <row r="1650">
      <c r="A1650" s="78" t="s">
        <v>239</v>
      </c>
      <c r="B1650" s="59">
        <v>43325.0</v>
      </c>
      <c r="C1650" s="59">
        <v>43323.0</v>
      </c>
      <c r="D1650" s="60" t="s">
        <v>4649</v>
      </c>
      <c r="E1650" s="58" t="s">
        <v>41</v>
      </c>
      <c r="F1650" s="58">
        <v>1.0</v>
      </c>
      <c r="G1650" s="58">
        <v>2.0</v>
      </c>
      <c r="H1650" s="33">
        <f t="shared" si="246"/>
        <v>2</v>
      </c>
      <c r="I1650" s="58" t="s">
        <v>4652</v>
      </c>
      <c r="J1650" s="58" t="s">
        <v>241</v>
      </c>
      <c r="K1650" s="58">
        <v>1.0</v>
      </c>
      <c r="L1650" s="58" t="s">
        <v>194</v>
      </c>
      <c r="M1650" s="61" t="s">
        <v>4653</v>
      </c>
      <c r="N1650" s="77"/>
      <c r="O1650" s="58"/>
      <c r="P1650" s="58"/>
      <c r="Q1650" s="84"/>
      <c r="R1650" s="62"/>
      <c r="S1650" s="37" t="str">
        <f>IFERROR(__xludf.DUMMYFUNCTION("if(not(iserror(index(split(C1650, "" ""),2))), index(split(C1650, "" ""),1),"""")"),"August")</f>
        <v>August</v>
      </c>
      <c r="T1650" s="38">
        <f>IFERROR(__xludf.DUMMYFUNCTION("if(S1650="""",C1650,if(not(iserror(index(split(C1650, "" ""),3))), index(split(C1650, "" ""),3),index(split(C1650, "" ""),2)))"),2018.0)</f>
        <v>2018</v>
      </c>
      <c r="U1650" s="38" t="b">
        <f t="shared" si="245"/>
        <v>1</v>
      </c>
      <c r="V1650" s="38"/>
      <c r="W1650" s="40"/>
      <c r="X1650" s="40"/>
      <c r="Y1650" s="40"/>
      <c r="Z1650" s="38"/>
      <c r="AA1650" s="38"/>
      <c r="AB1650" s="38"/>
      <c r="AC1650" s="38"/>
      <c r="AD1650" s="38"/>
      <c r="AE1650" s="38"/>
      <c r="AF1650" s="38"/>
      <c r="AG1650" s="38"/>
      <c r="AH1650" s="38"/>
      <c r="AI1650" s="38"/>
      <c r="AJ1650" s="38"/>
      <c r="AK1650" s="38"/>
      <c r="AL1650" s="38"/>
      <c r="AM1650" s="38"/>
      <c r="AN1650" s="38"/>
      <c r="AO1650" s="38"/>
      <c r="AP1650" s="38"/>
      <c r="AQ1650" s="38"/>
      <c r="AR1650" s="38"/>
      <c r="AS1650" s="38"/>
      <c r="AT1650" s="38"/>
      <c r="AU1650" s="38"/>
      <c r="AV1650" s="38"/>
      <c r="AW1650" s="38"/>
      <c r="AX1650" s="38"/>
      <c r="AY1650" s="38"/>
      <c r="AZ1650" s="38"/>
      <c r="BA1650" s="38"/>
      <c r="BB1650" s="38"/>
      <c r="BC1650" s="38"/>
      <c r="BD1650" s="38"/>
      <c r="BE1650" s="38"/>
      <c r="BF1650" s="38"/>
      <c r="BG1650" s="38"/>
      <c r="BH1650" s="38"/>
      <c r="BI1650" s="38"/>
      <c r="BJ1650" s="38"/>
      <c r="BK1650" s="38"/>
      <c r="BL1650" s="38"/>
      <c r="BM1650" s="38"/>
      <c r="BN1650" s="38"/>
      <c r="BO1650" s="38"/>
      <c r="BP1650" s="38"/>
      <c r="BQ1650" s="38"/>
    </row>
    <row r="1651">
      <c r="A1651" s="78" t="s">
        <v>4654</v>
      </c>
      <c r="B1651" s="59">
        <v>43325.0</v>
      </c>
      <c r="C1651" s="59">
        <v>43325.0</v>
      </c>
      <c r="D1651" s="60" t="s">
        <v>4655</v>
      </c>
      <c r="E1651" s="58" t="s">
        <v>31</v>
      </c>
      <c r="F1651" s="58">
        <v>1.0</v>
      </c>
      <c r="G1651" s="58" t="s">
        <v>32</v>
      </c>
      <c r="H1651" s="33">
        <f t="shared" si="246"/>
        <v>1</v>
      </c>
      <c r="I1651" s="58" t="s">
        <v>33</v>
      </c>
      <c r="J1651" s="58" t="s">
        <v>93</v>
      </c>
      <c r="K1651" s="58">
        <v>1.0</v>
      </c>
      <c r="L1651" s="58" t="s">
        <v>119</v>
      </c>
      <c r="M1651" s="61" t="s">
        <v>4656</v>
      </c>
      <c r="N1651" s="61" t="s">
        <v>4657</v>
      </c>
      <c r="O1651" s="58"/>
      <c r="P1651" s="58"/>
      <c r="Q1651" s="58"/>
      <c r="R1651" s="62"/>
      <c r="S1651" s="37" t="str">
        <f>IFERROR(__xludf.DUMMYFUNCTION("if(not(iserror(index(split(C1651, "" ""),2))), index(split(C1651, "" ""),1),"""")"),"August")</f>
        <v>August</v>
      </c>
      <c r="T1651" s="38">
        <f>IFERROR(__xludf.DUMMYFUNCTION("if(S1651="""",C1651,if(not(iserror(index(split(C1651, "" ""),3))), index(split(C1651, "" ""),3),index(split(C1651, "" ""),2)))"),2018.0)</f>
        <v>2018</v>
      </c>
      <c r="U1651" s="38" t="b">
        <f t="shared" si="245"/>
        <v>0</v>
      </c>
      <c r="V1651" s="38"/>
      <c r="W1651" s="40"/>
      <c r="X1651" s="40"/>
      <c r="Y1651" s="40"/>
      <c r="Z1651" s="38"/>
      <c r="AA1651" s="38"/>
      <c r="AB1651" s="38"/>
      <c r="AC1651" s="38"/>
      <c r="AD1651" s="38"/>
      <c r="AE1651" s="38"/>
      <c r="AF1651" s="38"/>
      <c r="AG1651" s="38"/>
      <c r="AH1651" s="38"/>
      <c r="AI1651" s="38"/>
      <c r="AJ1651" s="38"/>
      <c r="AK1651" s="38"/>
      <c r="AL1651" s="38"/>
      <c r="AM1651" s="38"/>
      <c r="AN1651" s="38"/>
      <c r="AO1651" s="38"/>
      <c r="AP1651" s="38"/>
      <c r="AQ1651" s="38"/>
      <c r="AR1651" s="38"/>
      <c r="AS1651" s="38"/>
      <c r="AT1651" s="38"/>
      <c r="AU1651" s="38"/>
      <c r="AV1651" s="38"/>
      <c r="AW1651" s="38"/>
      <c r="AX1651" s="38"/>
      <c r="AY1651" s="38"/>
      <c r="AZ1651" s="38"/>
      <c r="BA1651" s="38"/>
      <c r="BB1651" s="38"/>
      <c r="BC1651" s="38"/>
      <c r="BD1651" s="38"/>
      <c r="BE1651" s="38"/>
      <c r="BF1651" s="38"/>
      <c r="BG1651" s="38"/>
      <c r="BH1651" s="38"/>
      <c r="BI1651" s="38"/>
      <c r="BJ1651" s="38"/>
      <c r="BK1651" s="38"/>
      <c r="BL1651" s="38"/>
      <c r="BM1651" s="38"/>
      <c r="BN1651" s="38"/>
      <c r="BO1651" s="38"/>
      <c r="BP1651" s="38"/>
      <c r="BQ1651" s="38"/>
    </row>
    <row r="1652">
      <c r="A1652" s="58" t="s">
        <v>239</v>
      </c>
      <c r="B1652" s="59">
        <v>43326.0</v>
      </c>
      <c r="C1652" s="59">
        <v>43325.0</v>
      </c>
      <c r="D1652" s="60" t="s">
        <v>4655</v>
      </c>
      <c r="E1652" s="58" t="s">
        <v>41</v>
      </c>
      <c r="F1652" s="58">
        <v>1.0</v>
      </c>
      <c r="G1652" s="58">
        <v>6.0</v>
      </c>
      <c r="H1652" s="33">
        <f t="shared" si="246"/>
        <v>6</v>
      </c>
      <c r="I1652" s="58" t="s">
        <v>33</v>
      </c>
      <c r="J1652" s="58" t="s">
        <v>147</v>
      </c>
      <c r="K1652" s="58">
        <v>1.0</v>
      </c>
      <c r="L1652" s="58" t="s">
        <v>194</v>
      </c>
      <c r="M1652" s="61" t="s">
        <v>4658</v>
      </c>
      <c r="N1652" s="77"/>
      <c r="O1652" s="62"/>
      <c r="P1652" s="62"/>
      <c r="Q1652" s="62"/>
      <c r="R1652" s="62"/>
      <c r="S1652" s="37" t="str">
        <f>IFERROR(__xludf.DUMMYFUNCTION("if(not(iserror(index(split(C1652, "" ""),2))), index(split(C1652, "" ""),1),"""")"),"August")</f>
        <v>August</v>
      </c>
      <c r="T1652" s="38">
        <f>IFERROR(__xludf.DUMMYFUNCTION("if(S1652="""",C1652,if(not(iserror(index(split(C1652, "" ""),3))), index(split(C1652, "" ""),3),index(split(C1652, "" ""),2)))"),2018.0)</f>
        <v>2018</v>
      </c>
      <c r="U1652" s="38" t="b">
        <f t="shared" si="245"/>
        <v>1</v>
      </c>
      <c r="V1652" s="38"/>
      <c r="W1652" s="40"/>
      <c r="X1652" s="40"/>
      <c r="Y1652" s="40"/>
      <c r="Z1652" s="38"/>
      <c r="AA1652" s="38"/>
      <c r="AB1652" s="38"/>
      <c r="AC1652" s="38"/>
      <c r="AD1652" s="38"/>
      <c r="AE1652" s="38"/>
      <c r="AF1652" s="38"/>
      <c r="AG1652" s="38"/>
      <c r="AH1652" s="38"/>
      <c r="AI1652" s="38"/>
      <c r="AJ1652" s="38"/>
      <c r="AK1652" s="38"/>
      <c r="AL1652" s="38"/>
      <c r="AM1652" s="38"/>
      <c r="AN1652" s="38"/>
      <c r="AO1652" s="38"/>
      <c r="AP1652" s="38"/>
      <c r="AQ1652" s="38"/>
      <c r="AR1652" s="38"/>
      <c r="AS1652" s="38"/>
      <c r="AT1652" s="38"/>
      <c r="AU1652" s="38"/>
      <c r="AV1652" s="38"/>
      <c r="AW1652" s="38"/>
      <c r="AX1652" s="38"/>
      <c r="AY1652" s="38"/>
      <c r="AZ1652" s="38"/>
      <c r="BA1652" s="38"/>
      <c r="BB1652" s="38"/>
      <c r="BC1652" s="38"/>
      <c r="BD1652" s="38"/>
      <c r="BE1652" s="38"/>
      <c r="BF1652" s="38"/>
      <c r="BG1652" s="38"/>
      <c r="BH1652" s="38"/>
      <c r="BI1652" s="38"/>
      <c r="BJ1652" s="38"/>
      <c r="BK1652" s="38"/>
      <c r="BL1652" s="38"/>
      <c r="BM1652" s="38"/>
      <c r="BN1652" s="38"/>
      <c r="BO1652" s="38"/>
      <c r="BP1652" s="38"/>
      <c r="BQ1652" s="38"/>
    </row>
    <row r="1653">
      <c r="A1653" s="58" t="s">
        <v>4659</v>
      </c>
      <c r="B1653" s="59">
        <v>43327.0</v>
      </c>
      <c r="C1653" s="59">
        <v>43326.0</v>
      </c>
      <c r="D1653" s="60" t="s">
        <v>4660</v>
      </c>
      <c r="E1653" s="58" t="s">
        <v>31</v>
      </c>
      <c r="F1653" s="58">
        <v>1.0</v>
      </c>
      <c r="G1653" s="58" t="s">
        <v>32</v>
      </c>
      <c r="H1653" s="33">
        <f t="shared" si="246"/>
        <v>1</v>
      </c>
      <c r="I1653" s="58" t="s">
        <v>33</v>
      </c>
      <c r="J1653" s="58" t="s">
        <v>343</v>
      </c>
      <c r="K1653" s="58">
        <v>2.0</v>
      </c>
      <c r="L1653" s="58" t="s">
        <v>76</v>
      </c>
      <c r="M1653" s="120" t="s">
        <v>4661</v>
      </c>
      <c r="N1653" s="61" t="s">
        <v>4662</v>
      </c>
      <c r="O1653" s="62"/>
      <c r="P1653" s="58"/>
      <c r="Q1653" s="58"/>
      <c r="R1653" s="62"/>
      <c r="S1653" s="37" t="str">
        <f>IFERROR(__xludf.DUMMYFUNCTION("if(not(iserror(index(split(C1653, "" ""),2))), index(split(C1653, "" ""),1),"""")"),"August")</f>
        <v>August</v>
      </c>
      <c r="T1653" s="38">
        <f>IFERROR(__xludf.DUMMYFUNCTION("if(S1653="""",C1653,if(not(iserror(index(split(C1653, "" ""),3))), index(split(C1653, "" ""),3),index(split(C1653, "" ""),2)))"),2018.0)</f>
        <v>2018</v>
      </c>
      <c r="U1653" s="38" t="b">
        <f t="shared" si="245"/>
        <v>0</v>
      </c>
      <c r="V1653" s="38" t="s">
        <v>33</v>
      </c>
      <c r="W1653" s="39" t="s">
        <v>4663</v>
      </c>
      <c r="X1653" s="39" t="s">
        <v>4664</v>
      </c>
      <c r="Y1653" s="40"/>
      <c r="Z1653" s="38"/>
      <c r="AA1653" s="38"/>
      <c r="AB1653" s="38"/>
      <c r="AC1653" s="38"/>
      <c r="AD1653" s="38"/>
      <c r="AE1653" s="38"/>
      <c r="AF1653" s="38"/>
      <c r="AG1653" s="38"/>
      <c r="AH1653" s="38"/>
      <c r="AI1653" s="38"/>
      <c r="AJ1653" s="38"/>
      <c r="AK1653" s="38"/>
      <c r="AL1653" s="38"/>
      <c r="AM1653" s="38"/>
      <c r="AN1653" s="38"/>
      <c r="AO1653" s="38"/>
      <c r="AP1653" s="38"/>
      <c r="AQ1653" s="38"/>
      <c r="AR1653" s="38"/>
      <c r="AS1653" s="38"/>
      <c r="AT1653" s="38"/>
      <c r="AU1653" s="38"/>
      <c r="AV1653" s="38"/>
      <c r="AW1653" s="38"/>
      <c r="AX1653" s="38"/>
      <c r="AY1653" s="38"/>
      <c r="AZ1653" s="38"/>
      <c r="BA1653" s="38"/>
      <c r="BB1653" s="38"/>
      <c r="BC1653" s="38"/>
      <c r="BD1653" s="38"/>
      <c r="BE1653" s="38"/>
      <c r="BF1653" s="38"/>
      <c r="BG1653" s="38"/>
      <c r="BH1653" s="38"/>
      <c r="BI1653" s="38"/>
      <c r="BJ1653" s="38"/>
      <c r="BK1653" s="38"/>
      <c r="BL1653" s="38"/>
      <c r="BM1653" s="38"/>
      <c r="BN1653" s="38"/>
      <c r="BO1653" s="38"/>
      <c r="BP1653" s="38"/>
      <c r="BQ1653" s="38"/>
    </row>
    <row r="1654">
      <c r="A1654" s="58" t="s">
        <v>239</v>
      </c>
      <c r="B1654" s="59">
        <v>43328.0</v>
      </c>
      <c r="C1654" s="59">
        <v>43326.0</v>
      </c>
      <c r="D1654" s="60" t="s">
        <v>4660</v>
      </c>
      <c r="E1654" s="58" t="s">
        <v>41</v>
      </c>
      <c r="F1654" s="58">
        <v>8.0</v>
      </c>
      <c r="G1654" s="58" t="s">
        <v>32</v>
      </c>
      <c r="H1654" s="33">
        <f t="shared" si="246"/>
        <v>1</v>
      </c>
      <c r="I1654" s="58" t="s">
        <v>33</v>
      </c>
      <c r="J1654" s="58" t="s">
        <v>111</v>
      </c>
      <c r="K1654" s="58">
        <v>1.0</v>
      </c>
      <c r="L1654" s="58" t="s">
        <v>52</v>
      </c>
      <c r="M1654" s="61" t="s">
        <v>4665</v>
      </c>
      <c r="N1654" s="77"/>
      <c r="O1654" s="62"/>
      <c r="P1654" s="62"/>
      <c r="Q1654" s="62"/>
      <c r="R1654" s="62"/>
      <c r="S1654" s="37" t="str">
        <f>IFERROR(__xludf.DUMMYFUNCTION("if(not(iserror(index(split(C1654, "" ""),2))), index(split(C1654, "" ""),1),"""")"),"August")</f>
        <v>August</v>
      </c>
      <c r="T1654" s="38">
        <f>IFERROR(__xludf.DUMMYFUNCTION("if(S1654="""",C1654,if(not(iserror(index(split(C1654, "" ""),3))), index(split(C1654, "" ""),3),index(split(C1654, "" ""),2)))"),2018.0)</f>
        <v>2018</v>
      </c>
      <c r="U1654" s="38" t="b">
        <f t="shared" si="245"/>
        <v>1</v>
      </c>
      <c r="V1654" s="38"/>
      <c r="W1654" s="40"/>
      <c r="X1654" s="40"/>
      <c r="Y1654" s="40"/>
      <c r="Z1654" s="38"/>
      <c r="AA1654" s="38"/>
      <c r="AB1654" s="38"/>
      <c r="AC1654" s="38"/>
      <c r="AD1654" s="38"/>
      <c r="AE1654" s="38"/>
      <c r="AF1654" s="38"/>
      <c r="AG1654" s="38"/>
      <c r="AH1654" s="38"/>
      <c r="AI1654" s="38"/>
      <c r="AJ1654" s="38"/>
      <c r="AK1654" s="38"/>
      <c r="AL1654" s="38"/>
      <c r="AM1654" s="38"/>
      <c r="AN1654" s="38"/>
      <c r="AO1654" s="38"/>
      <c r="AP1654" s="38"/>
      <c r="AQ1654" s="38"/>
      <c r="AR1654" s="38"/>
      <c r="AS1654" s="38"/>
      <c r="AT1654" s="38"/>
      <c r="AU1654" s="38"/>
      <c r="AV1654" s="38"/>
      <c r="AW1654" s="38"/>
      <c r="AX1654" s="38"/>
      <c r="AY1654" s="38"/>
      <c r="AZ1654" s="38"/>
      <c r="BA1654" s="38"/>
      <c r="BB1654" s="38"/>
      <c r="BC1654" s="38"/>
      <c r="BD1654" s="38"/>
      <c r="BE1654" s="38"/>
      <c r="BF1654" s="38"/>
      <c r="BG1654" s="38"/>
      <c r="BH1654" s="38"/>
      <c r="BI1654" s="38"/>
      <c r="BJ1654" s="38"/>
      <c r="BK1654" s="38"/>
      <c r="BL1654" s="38"/>
      <c r="BM1654" s="38"/>
      <c r="BN1654" s="38"/>
      <c r="BO1654" s="38"/>
      <c r="BP1654" s="38"/>
      <c r="BQ1654" s="38"/>
    </row>
    <row r="1655">
      <c r="A1655" s="58" t="s">
        <v>4666</v>
      </c>
      <c r="B1655" s="59">
        <v>43327.0</v>
      </c>
      <c r="C1655" s="59">
        <v>43327.0</v>
      </c>
      <c r="D1655" s="60" t="s">
        <v>4667</v>
      </c>
      <c r="E1655" s="58" t="s">
        <v>31</v>
      </c>
      <c r="F1655" s="58">
        <v>1.0</v>
      </c>
      <c r="G1655" s="58" t="s">
        <v>32</v>
      </c>
      <c r="H1655" s="33">
        <f t="shared" si="246"/>
        <v>1</v>
      </c>
      <c r="I1655" s="58" t="s">
        <v>33</v>
      </c>
      <c r="J1655" s="58" t="s">
        <v>172</v>
      </c>
      <c r="K1655" s="58">
        <v>1.0</v>
      </c>
      <c r="L1655" s="58" t="s">
        <v>52</v>
      </c>
      <c r="M1655" s="61" t="s">
        <v>4668</v>
      </c>
      <c r="N1655" s="77"/>
      <c r="O1655" s="62"/>
      <c r="P1655" s="62"/>
      <c r="Q1655" s="62"/>
      <c r="R1655" s="62"/>
      <c r="S1655" s="37" t="str">
        <f>IFERROR(__xludf.DUMMYFUNCTION("if(not(iserror(index(split(C1655, "" ""),2))), index(split(C1655, "" ""),1),"""")"),"August")</f>
        <v>August</v>
      </c>
      <c r="T1655" s="38">
        <f>IFERROR(__xludf.DUMMYFUNCTION("if(S1655="""",C1655,if(not(iserror(index(split(C1655, "" ""),3))), index(split(C1655, "" ""),3),index(split(C1655, "" ""),2)))"),2018.0)</f>
        <v>2018</v>
      </c>
      <c r="U1655" s="38" t="b">
        <f t="shared" si="245"/>
        <v>0</v>
      </c>
      <c r="V1655" s="38"/>
      <c r="W1655" s="40"/>
      <c r="X1655" s="40"/>
      <c r="Y1655" s="40"/>
      <c r="Z1655" s="38"/>
      <c r="AA1655" s="38"/>
      <c r="AB1655" s="38"/>
      <c r="AC1655" s="38"/>
      <c r="AD1655" s="38"/>
      <c r="AE1655" s="38"/>
      <c r="AF1655" s="38"/>
      <c r="AG1655" s="38"/>
      <c r="AH1655" s="38"/>
      <c r="AI1655" s="38"/>
      <c r="AJ1655" s="38"/>
      <c r="AK1655" s="38"/>
      <c r="AL1655" s="38"/>
      <c r="AM1655" s="38"/>
      <c r="AN1655" s="38"/>
      <c r="AO1655" s="38"/>
      <c r="AP1655" s="38"/>
      <c r="AQ1655" s="38"/>
      <c r="AR1655" s="38"/>
      <c r="AS1655" s="38"/>
      <c r="AT1655" s="38"/>
      <c r="AU1655" s="38"/>
      <c r="AV1655" s="38"/>
      <c r="AW1655" s="38"/>
      <c r="AX1655" s="38"/>
      <c r="AY1655" s="38"/>
      <c r="AZ1655" s="38"/>
      <c r="BA1655" s="38"/>
      <c r="BB1655" s="38"/>
      <c r="BC1655" s="38"/>
      <c r="BD1655" s="38"/>
      <c r="BE1655" s="38"/>
      <c r="BF1655" s="38"/>
      <c r="BG1655" s="38"/>
      <c r="BH1655" s="38"/>
      <c r="BI1655" s="38"/>
      <c r="BJ1655" s="38"/>
      <c r="BK1655" s="38"/>
      <c r="BL1655" s="38"/>
      <c r="BM1655" s="38"/>
      <c r="BN1655" s="38"/>
      <c r="BO1655" s="38"/>
      <c r="BP1655" s="38"/>
      <c r="BQ1655" s="38"/>
    </row>
    <row r="1656">
      <c r="A1656" s="58" t="s">
        <v>239</v>
      </c>
      <c r="B1656" s="59">
        <v>43328.0</v>
      </c>
      <c r="C1656" s="59">
        <v>43327.0</v>
      </c>
      <c r="D1656" s="60" t="s">
        <v>4667</v>
      </c>
      <c r="E1656" s="58" t="s">
        <v>41</v>
      </c>
      <c r="F1656" s="58">
        <v>1.0</v>
      </c>
      <c r="G1656" s="58">
        <v>4.0</v>
      </c>
      <c r="H1656" s="33">
        <f t="shared" si="246"/>
        <v>4</v>
      </c>
      <c r="I1656" s="58" t="s">
        <v>33</v>
      </c>
      <c r="J1656" s="58" t="s">
        <v>241</v>
      </c>
      <c r="K1656" s="58">
        <v>3.0</v>
      </c>
      <c r="L1656" s="58" t="s">
        <v>194</v>
      </c>
      <c r="M1656" s="61" t="s">
        <v>4669</v>
      </c>
      <c r="N1656" s="77"/>
      <c r="O1656" s="62"/>
      <c r="P1656" s="62"/>
      <c r="Q1656" s="62"/>
      <c r="R1656" s="62"/>
      <c r="S1656" s="37" t="str">
        <f>IFERROR(__xludf.DUMMYFUNCTION("if(not(iserror(index(split(C1656, "" ""),2))), index(split(C1656, "" ""),1),"""")"),"August")</f>
        <v>August</v>
      </c>
      <c r="T1656" s="38">
        <f>IFERROR(__xludf.DUMMYFUNCTION("if(S1656="""",C1656,if(not(iserror(index(split(C1656, "" ""),3))), index(split(C1656, "" ""),3),index(split(C1656, "" ""),2)))"),2018.0)</f>
        <v>2018</v>
      </c>
      <c r="U1656" s="38" t="b">
        <f t="shared" si="245"/>
        <v>1</v>
      </c>
      <c r="V1656" s="38"/>
      <c r="W1656" s="40"/>
      <c r="X1656" s="40"/>
      <c r="Y1656" s="40"/>
      <c r="Z1656" s="38"/>
      <c r="AA1656" s="38"/>
      <c r="AB1656" s="38"/>
      <c r="AC1656" s="38"/>
      <c r="AD1656" s="38"/>
      <c r="AE1656" s="38"/>
      <c r="AF1656" s="38"/>
      <c r="AG1656" s="38"/>
      <c r="AH1656" s="38"/>
      <c r="AI1656" s="38"/>
      <c r="AJ1656" s="38"/>
      <c r="AK1656" s="38"/>
      <c r="AL1656" s="38"/>
      <c r="AM1656" s="38"/>
      <c r="AN1656" s="38"/>
      <c r="AO1656" s="38"/>
      <c r="AP1656" s="38"/>
      <c r="AQ1656" s="38"/>
      <c r="AR1656" s="38"/>
      <c r="AS1656" s="38"/>
      <c r="AT1656" s="38"/>
      <c r="AU1656" s="38"/>
      <c r="AV1656" s="38"/>
      <c r="AW1656" s="38"/>
      <c r="AX1656" s="38"/>
      <c r="AY1656" s="38"/>
      <c r="AZ1656" s="38"/>
      <c r="BA1656" s="38"/>
      <c r="BB1656" s="38"/>
      <c r="BC1656" s="38"/>
      <c r="BD1656" s="38"/>
      <c r="BE1656" s="38"/>
      <c r="BF1656" s="38"/>
      <c r="BG1656" s="38"/>
      <c r="BH1656" s="38"/>
      <c r="BI1656" s="38"/>
      <c r="BJ1656" s="38"/>
      <c r="BK1656" s="38"/>
      <c r="BL1656" s="38"/>
      <c r="BM1656" s="38"/>
      <c r="BN1656" s="38"/>
      <c r="BO1656" s="38"/>
      <c r="BP1656" s="38"/>
      <c r="BQ1656" s="38"/>
    </row>
    <row r="1657">
      <c r="A1657" s="58" t="s">
        <v>239</v>
      </c>
      <c r="B1657" s="59">
        <v>43328.0</v>
      </c>
      <c r="C1657" s="59">
        <v>43327.0</v>
      </c>
      <c r="D1657" s="60" t="s">
        <v>4667</v>
      </c>
      <c r="E1657" s="58" t="s">
        <v>41</v>
      </c>
      <c r="F1657" s="58">
        <v>1.0</v>
      </c>
      <c r="G1657" s="58">
        <v>2.0</v>
      </c>
      <c r="H1657" s="33">
        <f t="shared" si="246"/>
        <v>2</v>
      </c>
      <c r="I1657" s="58" t="s">
        <v>33</v>
      </c>
      <c r="J1657" s="58" t="s">
        <v>241</v>
      </c>
      <c r="K1657" s="58">
        <v>1.0</v>
      </c>
      <c r="L1657" s="58" t="s">
        <v>194</v>
      </c>
      <c r="M1657" s="61" t="s">
        <v>4669</v>
      </c>
      <c r="N1657" s="77"/>
      <c r="O1657" s="62"/>
      <c r="P1657" s="62"/>
      <c r="Q1657" s="62"/>
      <c r="R1657" s="62"/>
      <c r="S1657" s="37" t="str">
        <f>IFERROR(__xludf.DUMMYFUNCTION("if(not(iserror(index(split(C1657, "" ""),2))), index(split(C1657, "" ""),1),"""")"),"August")</f>
        <v>August</v>
      </c>
      <c r="T1657" s="38">
        <f>IFERROR(__xludf.DUMMYFUNCTION("if(S1657="""",C1657,if(not(iserror(index(split(C1657, "" ""),3))), index(split(C1657, "" ""),3),index(split(C1657, "" ""),2)))"),2018.0)</f>
        <v>2018</v>
      </c>
      <c r="U1657" s="38" t="b">
        <f t="shared" si="245"/>
        <v>1</v>
      </c>
      <c r="V1657" s="38"/>
      <c r="W1657" s="40"/>
      <c r="X1657" s="40"/>
      <c r="Y1657" s="40"/>
      <c r="Z1657" s="38"/>
      <c r="AA1657" s="38"/>
      <c r="AB1657" s="38"/>
      <c r="AC1657" s="38"/>
      <c r="AD1657" s="38"/>
      <c r="AE1657" s="38"/>
      <c r="AF1657" s="38"/>
      <c r="AG1657" s="38"/>
      <c r="AH1657" s="38"/>
      <c r="AI1657" s="38"/>
      <c r="AJ1657" s="38"/>
      <c r="AK1657" s="38"/>
      <c r="AL1657" s="38"/>
      <c r="AM1657" s="38"/>
      <c r="AN1657" s="38"/>
      <c r="AO1657" s="38"/>
      <c r="AP1657" s="38"/>
      <c r="AQ1657" s="38"/>
      <c r="AR1657" s="38"/>
      <c r="AS1657" s="38"/>
      <c r="AT1657" s="38"/>
      <c r="AU1657" s="38"/>
      <c r="AV1657" s="38"/>
      <c r="AW1657" s="38"/>
      <c r="AX1657" s="38"/>
      <c r="AY1657" s="38"/>
      <c r="AZ1657" s="38"/>
      <c r="BA1657" s="38"/>
      <c r="BB1657" s="38"/>
      <c r="BC1657" s="38"/>
      <c r="BD1657" s="38"/>
      <c r="BE1657" s="38"/>
      <c r="BF1657" s="38"/>
      <c r="BG1657" s="38"/>
      <c r="BH1657" s="38"/>
      <c r="BI1657" s="38"/>
      <c r="BJ1657" s="38"/>
      <c r="BK1657" s="38"/>
      <c r="BL1657" s="38"/>
      <c r="BM1657" s="38"/>
      <c r="BN1657" s="38"/>
      <c r="BO1657" s="38"/>
      <c r="BP1657" s="38"/>
      <c r="BQ1657" s="38"/>
    </row>
    <row r="1658">
      <c r="A1658" s="58" t="s">
        <v>4670</v>
      </c>
      <c r="B1658" s="59">
        <v>43353.0</v>
      </c>
      <c r="C1658" s="59">
        <v>43327.0</v>
      </c>
      <c r="D1658" s="60" t="s">
        <v>4667</v>
      </c>
      <c r="E1658" s="58" t="s">
        <v>31</v>
      </c>
      <c r="F1658" s="58">
        <v>1.0</v>
      </c>
      <c r="G1658" s="58">
        <v>1.0</v>
      </c>
      <c r="H1658" s="50">
        <v>1.0</v>
      </c>
      <c r="I1658" s="58" t="s">
        <v>33</v>
      </c>
      <c r="J1658" s="58" t="s">
        <v>268</v>
      </c>
      <c r="K1658" s="58">
        <v>1.0</v>
      </c>
      <c r="L1658" s="58" t="s">
        <v>119</v>
      </c>
      <c r="M1658" s="61" t="s">
        <v>4671</v>
      </c>
      <c r="N1658" s="61" t="s">
        <v>4672</v>
      </c>
      <c r="O1658" s="88" t="str">
        <f>hyperlink("https://bad-boys.us/?q=ND-OK/4:18-cr-00189", "ND-OK 4:18-cr-00189")</f>
        <v>ND-OK 4:18-cr-00189</v>
      </c>
      <c r="P1658" s="88" t="s">
        <v>4673</v>
      </c>
      <c r="Q1658" s="58">
        <v>1.0</v>
      </c>
      <c r="R1658" s="62"/>
      <c r="S1658" s="37" t="str">
        <f>IFERROR(__xludf.DUMMYFUNCTION("if(not(iserror(index(split(C1658, "" ""),2))), index(split(C1658, "" ""),1),"""")"),"August")</f>
        <v>August</v>
      </c>
      <c r="T1658" s="38">
        <f>IFERROR(__xludf.DUMMYFUNCTION("if(S1658="""",C1658,if(not(iserror(index(split(C1658, "" ""),3))), index(split(C1658, "" ""),3),index(split(C1658, "" ""),2)))"),2018.0)</f>
        <v>2018</v>
      </c>
      <c r="U1658" s="38" t="b">
        <f t="shared" si="245"/>
        <v>0</v>
      </c>
      <c r="V1658" s="38"/>
      <c r="W1658" s="40"/>
      <c r="X1658" s="40"/>
      <c r="Y1658" s="40"/>
      <c r="Z1658" s="38"/>
      <c r="AA1658" s="38"/>
      <c r="AB1658" s="38"/>
      <c r="AC1658" s="38"/>
      <c r="AD1658" s="38"/>
      <c r="AE1658" s="38"/>
      <c r="AF1658" s="38"/>
      <c r="AG1658" s="38"/>
      <c r="AH1658" s="38"/>
      <c r="AI1658" s="38"/>
      <c r="AJ1658" s="38"/>
      <c r="AK1658" s="38"/>
      <c r="AL1658" s="38"/>
      <c r="AM1658" s="38"/>
      <c r="AN1658" s="38"/>
      <c r="AO1658" s="38"/>
      <c r="AP1658" s="38"/>
      <c r="AQ1658" s="38"/>
      <c r="AR1658" s="38"/>
      <c r="AS1658" s="38"/>
      <c r="AT1658" s="38"/>
      <c r="AU1658" s="38"/>
      <c r="AV1658" s="38"/>
      <c r="AW1658" s="38"/>
      <c r="AX1658" s="38"/>
      <c r="AY1658" s="38"/>
      <c r="AZ1658" s="38"/>
      <c r="BA1658" s="38"/>
      <c r="BB1658" s="38"/>
      <c r="BC1658" s="38"/>
      <c r="BD1658" s="38"/>
      <c r="BE1658" s="38"/>
      <c r="BF1658" s="38"/>
      <c r="BG1658" s="38"/>
      <c r="BH1658" s="38"/>
      <c r="BI1658" s="38"/>
      <c r="BJ1658" s="38"/>
      <c r="BK1658" s="38"/>
      <c r="BL1658" s="38"/>
      <c r="BM1658" s="38"/>
      <c r="BN1658" s="38"/>
      <c r="BO1658" s="38"/>
      <c r="BP1658" s="38"/>
      <c r="BQ1658" s="38"/>
    </row>
    <row r="1659">
      <c r="A1659" s="58" t="s">
        <v>4674</v>
      </c>
      <c r="B1659" s="59">
        <v>43328.0</v>
      </c>
      <c r="C1659" s="59">
        <v>43328.0</v>
      </c>
      <c r="D1659" s="60" t="s">
        <v>4667</v>
      </c>
      <c r="E1659" s="58" t="s">
        <v>41</v>
      </c>
      <c r="F1659" s="58">
        <v>1.0</v>
      </c>
      <c r="G1659" s="58" t="s">
        <v>32</v>
      </c>
      <c r="H1659" s="33">
        <f t="shared" ref="H1659:H1665" si="247">if(G1659="Unknown",1,G1659)</f>
        <v>1</v>
      </c>
      <c r="I1659" s="58" t="s">
        <v>33</v>
      </c>
      <c r="J1659" s="58" t="s">
        <v>47</v>
      </c>
      <c r="K1659" s="58" t="s">
        <v>32</v>
      </c>
      <c r="L1659" s="58" t="s">
        <v>349</v>
      </c>
      <c r="M1659" s="61" t="s">
        <v>4675</v>
      </c>
      <c r="N1659" s="77"/>
      <c r="O1659" s="62"/>
      <c r="P1659" s="62"/>
      <c r="Q1659" s="62"/>
      <c r="R1659" s="62"/>
      <c r="S1659" s="37" t="str">
        <f>IFERROR(__xludf.DUMMYFUNCTION("if(not(iserror(index(split(C1659, "" ""),2))), index(split(C1659, "" ""),1),"""")"),"August")</f>
        <v>August</v>
      </c>
      <c r="T1659" s="38">
        <f>IFERROR(__xludf.DUMMYFUNCTION("if(S1659="""",C1659,if(not(iserror(index(split(C1659, "" ""),3))), index(split(C1659, "" ""),3),index(split(C1659, "" ""),2)))"),2018.0)</f>
        <v>2018</v>
      </c>
      <c r="U1659" s="38" t="b">
        <f t="shared" si="245"/>
        <v>0</v>
      </c>
      <c r="V1659" s="38"/>
      <c r="W1659" s="40"/>
      <c r="X1659" s="40"/>
      <c r="Y1659" s="40"/>
      <c r="Z1659" s="38"/>
      <c r="AA1659" s="38"/>
      <c r="AB1659" s="38"/>
      <c r="AC1659" s="38"/>
      <c r="AD1659" s="38"/>
      <c r="AE1659" s="38"/>
      <c r="AF1659" s="38"/>
      <c r="AG1659" s="38"/>
      <c r="AH1659" s="38"/>
      <c r="AI1659" s="38"/>
      <c r="AJ1659" s="38"/>
      <c r="AK1659" s="38"/>
      <c r="AL1659" s="38"/>
      <c r="AM1659" s="38"/>
      <c r="AN1659" s="38"/>
      <c r="AO1659" s="38"/>
      <c r="AP1659" s="38"/>
      <c r="AQ1659" s="38"/>
      <c r="AR1659" s="38"/>
      <c r="AS1659" s="38"/>
      <c r="AT1659" s="38"/>
      <c r="AU1659" s="38"/>
      <c r="AV1659" s="38"/>
      <c r="AW1659" s="38"/>
      <c r="AX1659" s="38"/>
      <c r="AY1659" s="38"/>
      <c r="AZ1659" s="38"/>
      <c r="BA1659" s="38"/>
      <c r="BB1659" s="38"/>
      <c r="BC1659" s="38"/>
      <c r="BD1659" s="38"/>
      <c r="BE1659" s="38"/>
      <c r="BF1659" s="38"/>
      <c r="BG1659" s="38"/>
      <c r="BH1659" s="38"/>
      <c r="BI1659" s="38"/>
      <c r="BJ1659" s="38"/>
      <c r="BK1659" s="38"/>
      <c r="BL1659" s="38"/>
      <c r="BM1659" s="38"/>
      <c r="BN1659" s="38"/>
      <c r="BO1659" s="38"/>
      <c r="BP1659" s="38"/>
      <c r="BQ1659" s="38"/>
    </row>
    <row r="1660">
      <c r="A1660" s="58" t="s">
        <v>239</v>
      </c>
      <c r="B1660" s="59">
        <v>43328.0</v>
      </c>
      <c r="C1660" s="59">
        <v>43328.0</v>
      </c>
      <c r="D1660" s="60" t="s">
        <v>4676</v>
      </c>
      <c r="E1660" s="58" t="s">
        <v>41</v>
      </c>
      <c r="F1660" s="58">
        <v>3.0</v>
      </c>
      <c r="G1660" s="58" t="s">
        <v>32</v>
      </c>
      <c r="H1660" s="33">
        <f t="shared" si="247"/>
        <v>1</v>
      </c>
      <c r="I1660" s="58" t="s">
        <v>33</v>
      </c>
      <c r="J1660" s="58" t="s">
        <v>203</v>
      </c>
      <c r="K1660" s="58">
        <v>1.0</v>
      </c>
      <c r="L1660" s="58" t="s">
        <v>310</v>
      </c>
      <c r="M1660" s="61" t="s">
        <v>4677</v>
      </c>
      <c r="N1660" s="77"/>
      <c r="O1660" s="62"/>
      <c r="P1660" s="62"/>
      <c r="Q1660" s="62"/>
      <c r="R1660" s="62"/>
      <c r="S1660" s="37" t="str">
        <f>IFERROR(__xludf.DUMMYFUNCTION("if(not(iserror(index(split(C1660, "" ""),2))), index(split(C1660, "" ""),1),"""")"),"August")</f>
        <v>August</v>
      </c>
      <c r="T1660" s="38">
        <f>IFERROR(__xludf.DUMMYFUNCTION("if(S1660="""",C1660,if(not(iserror(index(split(C1660, "" ""),3))), index(split(C1660, "" ""),3),index(split(C1660, "" ""),2)))"),2018.0)</f>
        <v>2018</v>
      </c>
      <c r="U1660" s="38" t="b">
        <f t="shared" si="245"/>
        <v>1</v>
      </c>
      <c r="V1660" s="38"/>
      <c r="W1660" s="40"/>
      <c r="X1660" s="40"/>
      <c r="Y1660" s="40"/>
      <c r="Z1660" s="38"/>
      <c r="AA1660" s="38"/>
      <c r="AB1660" s="38"/>
      <c r="AC1660" s="38"/>
      <c r="AD1660" s="38"/>
      <c r="AE1660" s="38"/>
      <c r="AF1660" s="38"/>
      <c r="AG1660" s="38"/>
      <c r="AH1660" s="38"/>
      <c r="AI1660" s="38"/>
      <c r="AJ1660" s="38"/>
      <c r="AK1660" s="38"/>
      <c r="AL1660" s="38"/>
      <c r="AM1660" s="38"/>
      <c r="AN1660" s="38"/>
      <c r="AO1660" s="38"/>
      <c r="AP1660" s="38"/>
      <c r="AQ1660" s="38"/>
      <c r="AR1660" s="38"/>
      <c r="AS1660" s="38"/>
      <c r="AT1660" s="38"/>
      <c r="AU1660" s="38"/>
      <c r="AV1660" s="38"/>
      <c r="AW1660" s="38"/>
      <c r="AX1660" s="38"/>
      <c r="AY1660" s="38"/>
      <c r="AZ1660" s="38"/>
      <c r="BA1660" s="38"/>
      <c r="BB1660" s="38"/>
      <c r="BC1660" s="38"/>
      <c r="BD1660" s="38"/>
      <c r="BE1660" s="38"/>
      <c r="BF1660" s="38"/>
      <c r="BG1660" s="38"/>
      <c r="BH1660" s="38"/>
      <c r="BI1660" s="38"/>
      <c r="BJ1660" s="38"/>
      <c r="BK1660" s="38"/>
      <c r="BL1660" s="38"/>
      <c r="BM1660" s="38"/>
      <c r="BN1660" s="38"/>
      <c r="BO1660" s="38"/>
      <c r="BP1660" s="38"/>
      <c r="BQ1660" s="38"/>
    </row>
    <row r="1661">
      <c r="A1661" s="58" t="s">
        <v>4678</v>
      </c>
      <c r="B1661" s="59">
        <v>43328.0</v>
      </c>
      <c r="C1661" s="59">
        <v>43328.0</v>
      </c>
      <c r="D1661" s="60" t="s">
        <v>4676</v>
      </c>
      <c r="E1661" s="58" t="s">
        <v>41</v>
      </c>
      <c r="F1661" s="58">
        <v>1.0</v>
      </c>
      <c r="G1661" s="58" t="s">
        <v>32</v>
      </c>
      <c r="H1661" s="33">
        <f t="shared" si="247"/>
        <v>1</v>
      </c>
      <c r="I1661" s="58" t="s">
        <v>33</v>
      </c>
      <c r="J1661" s="58" t="s">
        <v>222</v>
      </c>
      <c r="K1661" s="58" t="s">
        <v>32</v>
      </c>
      <c r="L1661" s="58" t="s">
        <v>1328</v>
      </c>
      <c r="M1661" s="61" t="s">
        <v>4679</v>
      </c>
      <c r="N1661" s="77"/>
      <c r="O1661" s="62"/>
      <c r="P1661" s="62"/>
      <c r="Q1661" s="62"/>
      <c r="R1661" s="62"/>
      <c r="S1661" s="37" t="str">
        <f>IFERROR(__xludf.DUMMYFUNCTION("if(not(iserror(index(split(C1661, "" ""),2))), index(split(C1661, "" ""),1),"""")"),"August")</f>
        <v>August</v>
      </c>
      <c r="T1661" s="38">
        <f>IFERROR(__xludf.DUMMYFUNCTION("if(S1661="""",C1661,if(not(iserror(index(split(C1661, "" ""),3))), index(split(C1661, "" ""),3),index(split(C1661, "" ""),2)))"),2018.0)</f>
        <v>2018</v>
      </c>
      <c r="U1661" s="38" t="b">
        <f t="shared" si="245"/>
        <v>0</v>
      </c>
      <c r="V1661" s="38"/>
      <c r="W1661" s="40"/>
      <c r="X1661" s="40"/>
      <c r="Y1661" s="40"/>
      <c r="Z1661" s="38"/>
      <c r="AA1661" s="38"/>
      <c r="AB1661" s="38"/>
      <c r="AC1661" s="38"/>
      <c r="AD1661" s="38"/>
      <c r="AE1661" s="38"/>
      <c r="AF1661" s="38"/>
      <c r="AG1661" s="38"/>
      <c r="AH1661" s="38"/>
      <c r="AI1661" s="38"/>
      <c r="AJ1661" s="38"/>
      <c r="AK1661" s="38"/>
      <c r="AL1661" s="38"/>
      <c r="AM1661" s="38"/>
      <c r="AN1661" s="38"/>
      <c r="AO1661" s="38"/>
      <c r="AP1661" s="38"/>
      <c r="AQ1661" s="38"/>
      <c r="AR1661" s="38"/>
      <c r="AS1661" s="38"/>
      <c r="AT1661" s="38"/>
      <c r="AU1661" s="38"/>
      <c r="AV1661" s="38"/>
      <c r="AW1661" s="38"/>
      <c r="AX1661" s="38"/>
      <c r="AY1661" s="38"/>
      <c r="AZ1661" s="38"/>
      <c r="BA1661" s="38"/>
      <c r="BB1661" s="38"/>
      <c r="BC1661" s="38"/>
      <c r="BD1661" s="38"/>
      <c r="BE1661" s="38"/>
      <c r="BF1661" s="38"/>
      <c r="BG1661" s="38"/>
      <c r="BH1661" s="38"/>
      <c r="BI1661" s="38"/>
      <c r="BJ1661" s="38"/>
      <c r="BK1661" s="38"/>
      <c r="BL1661" s="38"/>
      <c r="BM1661" s="38"/>
      <c r="BN1661" s="38"/>
      <c r="BO1661" s="38"/>
      <c r="BP1661" s="38"/>
      <c r="BQ1661" s="38"/>
    </row>
    <row r="1662">
      <c r="A1662" s="58" t="s">
        <v>4680</v>
      </c>
      <c r="B1662" s="59">
        <v>43330.0</v>
      </c>
      <c r="C1662" s="59">
        <v>43328.0</v>
      </c>
      <c r="D1662" s="60" t="s">
        <v>4676</v>
      </c>
      <c r="E1662" s="58" t="s">
        <v>31</v>
      </c>
      <c r="F1662" s="58">
        <v>1.0</v>
      </c>
      <c r="G1662" s="58" t="s">
        <v>32</v>
      </c>
      <c r="H1662" s="33">
        <f t="shared" si="247"/>
        <v>1</v>
      </c>
      <c r="I1662" s="58" t="s">
        <v>33</v>
      </c>
      <c r="J1662" s="58" t="s">
        <v>440</v>
      </c>
      <c r="K1662" s="58">
        <v>2.0</v>
      </c>
      <c r="L1662" s="58" t="s">
        <v>99</v>
      </c>
      <c r="M1662" s="61" t="s">
        <v>4681</v>
      </c>
      <c r="N1662" s="77"/>
      <c r="O1662" s="58"/>
      <c r="P1662" s="58"/>
      <c r="Q1662" s="84"/>
      <c r="R1662" s="62"/>
      <c r="S1662" s="37" t="str">
        <f>IFERROR(__xludf.DUMMYFUNCTION("if(not(iserror(index(split(C1662, "" ""),2))), index(split(C1662, "" ""),1),"""")"),"August")</f>
        <v>August</v>
      </c>
      <c r="T1662" s="38">
        <f>IFERROR(__xludf.DUMMYFUNCTION("if(S1662="""",C1662,if(not(iserror(index(split(C1662, "" ""),3))), index(split(C1662, "" ""),3),index(split(C1662, "" ""),2)))"),2018.0)</f>
        <v>2018</v>
      </c>
      <c r="U1662" s="38" t="b">
        <f t="shared" si="245"/>
        <v>0</v>
      </c>
      <c r="V1662" s="38"/>
      <c r="W1662" s="40"/>
      <c r="X1662" s="40"/>
      <c r="Y1662" s="40"/>
      <c r="Z1662" s="38"/>
      <c r="AA1662" s="38"/>
      <c r="AB1662" s="38"/>
      <c r="AC1662" s="38"/>
      <c r="AD1662" s="38"/>
      <c r="AE1662" s="38"/>
      <c r="AF1662" s="38"/>
      <c r="AG1662" s="38"/>
      <c r="AH1662" s="38"/>
      <c r="AI1662" s="38"/>
      <c r="AJ1662" s="38"/>
      <c r="AK1662" s="38"/>
      <c r="AL1662" s="38"/>
      <c r="AM1662" s="38"/>
      <c r="AN1662" s="38"/>
      <c r="AO1662" s="38"/>
      <c r="AP1662" s="38"/>
      <c r="AQ1662" s="38"/>
      <c r="AR1662" s="38"/>
      <c r="AS1662" s="38"/>
      <c r="AT1662" s="38"/>
      <c r="AU1662" s="38"/>
      <c r="AV1662" s="38"/>
      <c r="AW1662" s="38"/>
      <c r="AX1662" s="38"/>
      <c r="AY1662" s="38"/>
      <c r="AZ1662" s="38"/>
      <c r="BA1662" s="38"/>
      <c r="BB1662" s="38"/>
      <c r="BC1662" s="38"/>
      <c r="BD1662" s="38"/>
      <c r="BE1662" s="38"/>
      <c r="BF1662" s="38"/>
      <c r="BG1662" s="38"/>
      <c r="BH1662" s="38"/>
      <c r="BI1662" s="38"/>
      <c r="BJ1662" s="38"/>
      <c r="BK1662" s="38"/>
      <c r="BL1662" s="38"/>
      <c r="BM1662" s="38"/>
      <c r="BN1662" s="38"/>
      <c r="BO1662" s="38"/>
      <c r="BP1662" s="38"/>
      <c r="BQ1662" s="38"/>
    </row>
    <row r="1663">
      <c r="A1663" s="58" t="s">
        <v>239</v>
      </c>
      <c r="B1663" s="59">
        <v>43332.0</v>
      </c>
      <c r="C1663" s="59">
        <v>43328.0</v>
      </c>
      <c r="D1663" s="60" t="s">
        <v>4676</v>
      </c>
      <c r="E1663" s="58" t="s">
        <v>41</v>
      </c>
      <c r="F1663" s="58">
        <v>3.0</v>
      </c>
      <c r="G1663" s="58">
        <v>3.0</v>
      </c>
      <c r="H1663" s="33">
        <f t="shared" si="247"/>
        <v>3</v>
      </c>
      <c r="I1663" s="58" t="s">
        <v>33</v>
      </c>
      <c r="J1663" s="58" t="s">
        <v>241</v>
      </c>
      <c r="K1663" s="58">
        <v>1.0</v>
      </c>
      <c r="L1663" s="58" t="s">
        <v>194</v>
      </c>
      <c r="M1663" s="61" t="s">
        <v>4682</v>
      </c>
      <c r="N1663" s="77"/>
      <c r="O1663" s="58"/>
      <c r="P1663" s="58"/>
      <c r="Q1663" s="84"/>
      <c r="R1663" s="62"/>
      <c r="S1663" s="37" t="str">
        <f>IFERROR(__xludf.DUMMYFUNCTION("if(not(iserror(index(split(C1663, "" ""),2))), index(split(C1663, "" ""),1),"""")"),"August")</f>
        <v>August</v>
      </c>
      <c r="T1663" s="38">
        <f>IFERROR(__xludf.DUMMYFUNCTION("if(S1663="""",C1663,if(not(iserror(index(split(C1663, "" ""),3))), index(split(C1663, "" ""),3),index(split(C1663, "" ""),2)))"),2018.0)</f>
        <v>2018</v>
      </c>
      <c r="U1663" s="38" t="b">
        <f t="shared" si="245"/>
        <v>1</v>
      </c>
      <c r="V1663" s="38"/>
      <c r="W1663" s="40"/>
      <c r="X1663" s="40"/>
      <c r="Y1663" s="40"/>
      <c r="Z1663" s="38"/>
      <c r="AA1663" s="38"/>
      <c r="AB1663" s="38"/>
      <c r="AC1663" s="38"/>
      <c r="AD1663" s="38"/>
      <c r="AE1663" s="38"/>
      <c r="AF1663" s="38"/>
      <c r="AG1663" s="38"/>
      <c r="AH1663" s="38"/>
      <c r="AI1663" s="38"/>
      <c r="AJ1663" s="38"/>
      <c r="AK1663" s="38"/>
      <c r="AL1663" s="38"/>
      <c r="AM1663" s="38"/>
      <c r="AN1663" s="38"/>
      <c r="AO1663" s="38"/>
      <c r="AP1663" s="38"/>
      <c r="AQ1663" s="38"/>
      <c r="AR1663" s="38"/>
      <c r="AS1663" s="38"/>
      <c r="AT1663" s="38"/>
      <c r="AU1663" s="38"/>
      <c r="AV1663" s="38"/>
      <c r="AW1663" s="38"/>
      <c r="AX1663" s="38"/>
      <c r="AY1663" s="38"/>
      <c r="AZ1663" s="38"/>
      <c r="BA1663" s="38"/>
      <c r="BB1663" s="38"/>
      <c r="BC1663" s="38"/>
      <c r="BD1663" s="38"/>
      <c r="BE1663" s="38"/>
      <c r="BF1663" s="38"/>
      <c r="BG1663" s="38"/>
      <c r="BH1663" s="38"/>
      <c r="BI1663" s="38"/>
      <c r="BJ1663" s="38"/>
      <c r="BK1663" s="38"/>
      <c r="BL1663" s="38"/>
      <c r="BM1663" s="38"/>
      <c r="BN1663" s="38"/>
      <c r="BO1663" s="38"/>
      <c r="BP1663" s="38"/>
      <c r="BQ1663" s="38"/>
    </row>
    <row r="1664">
      <c r="A1664" s="58" t="s">
        <v>4683</v>
      </c>
      <c r="B1664" s="59">
        <v>43334.0</v>
      </c>
      <c r="C1664" s="59">
        <v>43328.0</v>
      </c>
      <c r="D1664" s="60" t="s">
        <v>4676</v>
      </c>
      <c r="E1664" s="58" t="s">
        <v>31</v>
      </c>
      <c r="F1664" s="58">
        <v>1.0</v>
      </c>
      <c r="G1664" s="58" t="s">
        <v>32</v>
      </c>
      <c r="H1664" s="33">
        <f t="shared" si="247"/>
        <v>1</v>
      </c>
      <c r="I1664" s="58" t="s">
        <v>33</v>
      </c>
      <c r="J1664" s="58" t="s">
        <v>241</v>
      </c>
      <c r="K1664" s="58">
        <v>2.0</v>
      </c>
      <c r="L1664" s="58" t="s">
        <v>790</v>
      </c>
      <c r="M1664" s="61" t="s">
        <v>4684</v>
      </c>
      <c r="N1664" s="77"/>
      <c r="O1664" s="62"/>
      <c r="P1664" s="62"/>
      <c r="Q1664" s="62"/>
      <c r="R1664" s="62"/>
      <c r="S1664" s="37" t="str">
        <f>IFERROR(__xludf.DUMMYFUNCTION("if(not(iserror(index(split(C1664, "" ""),2))), index(split(C1664, "" ""),1),"""")"),"August")</f>
        <v>August</v>
      </c>
      <c r="T1664" s="38">
        <f>IFERROR(__xludf.DUMMYFUNCTION("if(S1664="""",C1664,if(not(iserror(index(split(C1664, "" ""),3))), index(split(C1664, "" ""),3),index(split(C1664, "" ""),2)))"),2018.0)</f>
        <v>2018</v>
      </c>
      <c r="U1664" s="38" t="b">
        <f t="shared" si="245"/>
        <v>0</v>
      </c>
      <c r="V1664" s="38"/>
      <c r="W1664" s="40"/>
      <c r="X1664" s="40"/>
      <c r="Y1664" s="40"/>
      <c r="Z1664" s="38"/>
      <c r="AA1664" s="38"/>
      <c r="AB1664" s="38"/>
      <c r="AC1664" s="38"/>
      <c r="AD1664" s="38"/>
      <c r="AE1664" s="38"/>
      <c r="AF1664" s="38"/>
      <c r="AG1664" s="38"/>
      <c r="AH1664" s="38"/>
      <c r="AI1664" s="38"/>
      <c r="AJ1664" s="38"/>
      <c r="AK1664" s="38"/>
      <c r="AL1664" s="38"/>
      <c r="AM1664" s="38"/>
      <c r="AN1664" s="38"/>
      <c r="AO1664" s="38"/>
      <c r="AP1664" s="38"/>
      <c r="AQ1664" s="38"/>
      <c r="AR1664" s="38"/>
      <c r="AS1664" s="38"/>
      <c r="AT1664" s="38"/>
      <c r="AU1664" s="38"/>
      <c r="AV1664" s="38"/>
      <c r="AW1664" s="38"/>
      <c r="AX1664" s="38"/>
      <c r="AY1664" s="38"/>
      <c r="AZ1664" s="38"/>
      <c r="BA1664" s="38"/>
      <c r="BB1664" s="38"/>
      <c r="BC1664" s="38"/>
      <c r="BD1664" s="38"/>
      <c r="BE1664" s="38"/>
      <c r="BF1664" s="38"/>
      <c r="BG1664" s="38"/>
      <c r="BH1664" s="38"/>
      <c r="BI1664" s="38"/>
      <c r="BJ1664" s="38"/>
      <c r="BK1664" s="38"/>
      <c r="BL1664" s="38"/>
      <c r="BM1664" s="38"/>
      <c r="BN1664" s="38"/>
      <c r="BO1664" s="38"/>
      <c r="BP1664" s="38"/>
      <c r="BQ1664" s="38"/>
    </row>
    <row r="1665">
      <c r="A1665" s="58" t="s">
        <v>239</v>
      </c>
      <c r="B1665" s="59">
        <v>43329.0</v>
      </c>
      <c r="C1665" s="59">
        <v>43329.0</v>
      </c>
      <c r="D1665" s="60" t="s">
        <v>4685</v>
      </c>
      <c r="E1665" s="58" t="s">
        <v>41</v>
      </c>
      <c r="F1665" s="58">
        <v>1.0</v>
      </c>
      <c r="G1665" s="58">
        <v>2.0</v>
      </c>
      <c r="H1665" s="33">
        <f t="shared" si="247"/>
        <v>2</v>
      </c>
      <c r="I1665" s="58" t="s">
        <v>33</v>
      </c>
      <c r="J1665" s="58" t="s">
        <v>147</v>
      </c>
      <c r="K1665" s="58">
        <v>1.0</v>
      </c>
      <c r="L1665" s="58" t="s">
        <v>194</v>
      </c>
      <c r="M1665" s="61" t="s">
        <v>4686</v>
      </c>
      <c r="N1665" s="77"/>
      <c r="O1665" s="62"/>
      <c r="P1665" s="58"/>
      <c r="Q1665" s="84"/>
      <c r="R1665" s="62"/>
      <c r="S1665" s="37" t="str">
        <f>IFERROR(__xludf.DUMMYFUNCTION("if(not(iserror(index(split(C1665, "" ""),2))), index(split(C1665, "" ""),1),"""")"),"August")</f>
        <v>August</v>
      </c>
      <c r="T1665" s="38">
        <f>IFERROR(__xludf.DUMMYFUNCTION("if(S1665="""",C1665,if(not(iserror(index(split(C1665, "" ""),3))), index(split(C1665, "" ""),3),index(split(C1665, "" ""),2)))"),2018.0)</f>
        <v>2018</v>
      </c>
      <c r="U1665" s="38" t="b">
        <f t="shared" si="245"/>
        <v>1</v>
      </c>
      <c r="V1665" s="38"/>
      <c r="W1665" s="40"/>
      <c r="X1665" s="40"/>
      <c r="Y1665" s="40"/>
      <c r="Z1665" s="38"/>
      <c r="AA1665" s="38"/>
      <c r="AB1665" s="38"/>
      <c r="AC1665" s="38"/>
      <c r="AD1665" s="38"/>
      <c r="AE1665" s="38"/>
      <c r="AF1665" s="38"/>
      <c r="AG1665" s="38"/>
      <c r="AH1665" s="38"/>
      <c r="AI1665" s="38"/>
      <c r="AJ1665" s="38"/>
      <c r="AK1665" s="38"/>
      <c r="AL1665" s="38"/>
      <c r="AM1665" s="38"/>
      <c r="AN1665" s="38"/>
      <c r="AO1665" s="38"/>
      <c r="AP1665" s="38"/>
      <c r="AQ1665" s="38"/>
      <c r="AR1665" s="38"/>
      <c r="AS1665" s="38"/>
      <c r="AT1665" s="38"/>
      <c r="AU1665" s="38"/>
      <c r="AV1665" s="38"/>
      <c r="AW1665" s="38"/>
      <c r="AX1665" s="38"/>
      <c r="AY1665" s="38"/>
      <c r="AZ1665" s="38"/>
      <c r="BA1665" s="38"/>
      <c r="BB1665" s="38"/>
      <c r="BC1665" s="38"/>
      <c r="BD1665" s="38"/>
      <c r="BE1665" s="38"/>
      <c r="BF1665" s="38"/>
      <c r="BG1665" s="38"/>
      <c r="BH1665" s="38"/>
      <c r="BI1665" s="38"/>
      <c r="BJ1665" s="38"/>
      <c r="BK1665" s="38"/>
      <c r="BL1665" s="38"/>
      <c r="BM1665" s="38"/>
      <c r="BN1665" s="38"/>
      <c r="BO1665" s="38"/>
      <c r="BP1665" s="38"/>
      <c r="BQ1665" s="38"/>
    </row>
    <row r="1666">
      <c r="A1666" s="58" t="s">
        <v>4687</v>
      </c>
      <c r="B1666" s="59"/>
      <c r="C1666" s="59">
        <v>43329.0</v>
      </c>
      <c r="D1666" s="60"/>
      <c r="E1666" s="58" t="s">
        <v>41</v>
      </c>
      <c r="F1666" s="58">
        <v>1.0</v>
      </c>
      <c r="G1666" s="58">
        <v>1.0</v>
      </c>
      <c r="H1666" s="43">
        <v>1.0</v>
      </c>
      <c r="I1666" s="58" t="s">
        <v>33</v>
      </c>
      <c r="J1666" s="58" t="s">
        <v>203</v>
      </c>
      <c r="K1666" s="58"/>
      <c r="L1666" s="58" t="s">
        <v>4688</v>
      </c>
      <c r="M1666" s="61" t="s">
        <v>4689</v>
      </c>
      <c r="N1666" s="77"/>
      <c r="O1666" s="83" t="str">
        <f>hyperlink("https://bad-boys.us/?q=D-SD/5:16-cr-50102", "D-SD 5:16-cr-50102")</f>
        <v>D-SD 5:16-cr-50102</v>
      </c>
      <c r="P1666" s="58"/>
      <c r="Q1666" s="58">
        <v>1.0</v>
      </c>
      <c r="R1666" s="62"/>
      <c r="S1666" s="37"/>
      <c r="T1666" s="38"/>
      <c r="U1666" s="38" t="b">
        <f t="shared" si="245"/>
        <v>0</v>
      </c>
      <c r="V1666" s="38" t="s">
        <v>928</v>
      </c>
      <c r="W1666" s="40"/>
      <c r="X1666" s="40"/>
      <c r="Y1666" s="40"/>
      <c r="Z1666" s="38"/>
      <c r="AA1666" s="38"/>
      <c r="AB1666" s="38"/>
      <c r="AC1666" s="38"/>
      <c r="AD1666" s="38"/>
      <c r="AE1666" s="38"/>
      <c r="AF1666" s="38"/>
      <c r="AG1666" s="38"/>
      <c r="AH1666" s="38"/>
      <c r="AI1666" s="38"/>
      <c r="AJ1666" s="38"/>
      <c r="AK1666" s="38"/>
      <c r="AL1666" s="38"/>
      <c r="AM1666" s="38"/>
      <c r="AN1666" s="38"/>
      <c r="AO1666" s="38"/>
      <c r="AP1666" s="38"/>
      <c r="AQ1666" s="38"/>
      <c r="AR1666" s="38"/>
      <c r="AS1666" s="38"/>
      <c r="AT1666" s="38"/>
      <c r="AU1666" s="38"/>
      <c r="AV1666" s="38"/>
      <c r="AW1666" s="38"/>
      <c r="AX1666" s="38"/>
      <c r="AY1666" s="38"/>
      <c r="AZ1666" s="38"/>
      <c r="BA1666" s="38"/>
      <c r="BB1666" s="38"/>
      <c r="BC1666" s="38"/>
      <c r="BD1666" s="38"/>
      <c r="BE1666" s="38"/>
      <c r="BF1666" s="38"/>
      <c r="BG1666" s="38"/>
      <c r="BH1666" s="38"/>
      <c r="BI1666" s="38"/>
      <c r="BJ1666" s="38"/>
      <c r="BK1666" s="38"/>
      <c r="BL1666" s="38"/>
      <c r="BM1666" s="38"/>
      <c r="BN1666" s="38"/>
      <c r="BO1666" s="38"/>
      <c r="BP1666" s="38"/>
      <c r="BQ1666" s="38"/>
    </row>
    <row r="1667">
      <c r="A1667" s="58" t="s">
        <v>2209</v>
      </c>
      <c r="B1667" s="59"/>
      <c r="C1667" s="59">
        <v>43329.0</v>
      </c>
      <c r="D1667" s="60"/>
      <c r="E1667" s="58" t="s">
        <v>41</v>
      </c>
      <c r="F1667" s="58">
        <v>1.0</v>
      </c>
      <c r="G1667" s="58" t="s">
        <v>32</v>
      </c>
      <c r="H1667" s="43">
        <v>1.0</v>
      </c>
      <c r="I1667" s="58" t="s">
        <v>33</v>
      </c>
      <c r="J1667" s="58" t="s">
        <v>93</v>
      </c>
      <c r="K1667" s="58"/>
      <c r="L1667" s="58" t="s">
        <v>119</v>
      </c>
      <c r="M1667" s="61" t="s">
        <v>4690</v>
      </c>
      <c r="N1667" s="77"/>
      <c r="O1667" s="83" t="str">
        <f>hyperlink("https://bad-boys.us/?q=ND-NY/1:18-cr-00258", "ND-NY 1:18-cr-00258")</f>
        <v>ND-NY 1:18-cr-00258</v>
      </c>
      <c r="P1667" s="88" t="s">
        <v>4691</v>
      </c>
      <c r="Q1667" s="58">
        <v>1.0</v>
      </c>
      <c r="R1667" s="62"/>
      <c r="S1667" s="37" t="str">
        <f>IFERROR(__xludf.DUMMYFUNCTION("if(not(iserror(index(split(C1667, "" ""),2))), index(split(C1667, "" ""),1),"""")"),"August")</f>
        <v>August</v>
      </c>
      <c r="T1667" s="38">
        <f>IFERROR(__xludf.DUMMYFUNCTION("if(S1667="""",C1667,if(not(iserror(index(split(C1667, "" ""),3))), index(split(C1667, "" ""),3),index(split(C1667, "" ""),2)))"),2018.0)</f>
        <v>2018</v>
      </c>
      <c r="U1667" s="38" t="b">
        <f t="shared" si="245"/>
        <v>1</v>
      </c>
      <c r="V1667" s="38"/>
      <c r="W1667" s="40"/>
      <c r="X1667" s="40"/>
      <c r="Y1667" s="40"/>
      <c r="Z1667" s="38"/>
      <c r="AA1667" s="38"/>
      <c r="AB1667" s="38"/>
      <c r="AC1667" s="38"/>
      <c r="AD1667" s="38"/>
      <c r="AE1667" s="38"/>
      <c r="AF1667" s="38"/>
      <c r="AG1667" s="38"/>
      <c r="AH1667" s="38"/>
      <c r="AI1667" s="38"/>
      <c r="AJ1667" s="38"/>
      <c r="AK1667" s="38"/>
      <c r="AL1667" s="38"/>
      <c r="AM1667" s="38"/>
      <c r="AN1667" s="38"/>
      <c r="AO1667" s="38"/>
      <c r="AP1667" s="38"/>
      <c r="AQ1667" s="38"/>
      <c r="AR1667" s="38"/>
      <c r="AS1667" s="38"/>
      <c r="AT1667" s="38"/>
      <c r="AU1667" s="38"/>
      <c r="AV1667" s="38"/>
      <c r="AW1667" s="38"/>
      <c r="AX1667" s="38"/>
      <c r="AY1667" s="38"/>
      <c r="AZ1667" s="38"/>
      <c r="BA1667" s="38"/>
      <c r="BB1667" s="38"/>
      <c r="BC1667" s="38"/>
      <c r="BD1667" s="38"/>
      <c r="BE1667" s="38"/>
      <c r="BF1667" s="38"/>
      <c r="BG1667" s="38"/>
      <c r="BH1667" s="38"/>
      <c r="BI1667" s="38"/>
      <c r="BJ1667" s="38"/>
      <c r="BK1667" s="38"/>
      <c r="BL1667" s="38"/>
      <c r="BM1667" s="38"/>
      <c r="BN1667" s="38"/>
      <c r="BO1667" s="38"/>
      <c r="BP1667" s="38"/>
      <c r="BQ1667" s="38"/>
    </row>
    <row r="1668">
      <c r="A1668" s="152" t="s">
        <v>4692</v>
      </c>
      <c r="B1668" s="153">
        <v>43360.0</v>
      </c>
      <c r="C1668" s="153">
        <v>43329.0</v>
      </c>
      <c r="D1668" s="154" t="s">
        <v>4685</v>
      </c>
      <c r="E1668" s="155" t="s">
        <v>31</v>
      </c>
      <c r="F1668" s="152">
        <v>1.0</v>
      </c>
      <c r="G1668" s="152" t="s">
        <v>32</v>
      </c>
      <c r="H1668" s="33">
        <f t="shared" ref="H1668:H1669" si="248">if(G1668="Unknown",1,G1668)</f>
        <v>1</v>
      </c>
      <c r="I1668" s="152" t="s">
        <v>33</v>
      </c>
      <c r="J1668" s="152" t="s">
        <v>410</v>
      </c>
      <c r="K1668" s="152" t="s">
        <v>32</v>
      </c>
      <c r="L1668" s="152" t="s">
        <v>99</v>
      </c>
      <c r="M1668" s="162" t="s">
        <v>4693</v>
      </c>
      <c r="N1668" s="158" t="s">
        <v>4694</v>
      </c>
      <c r="O1668" s="88" t="str">
        <f>hyperlink("https://bad-boys.us/?q=D-MA/1:18-cr-10391", "D-MA 1:18-cr-10391")</f>
        <v>D-MA 1:18-cr-10391</v>
      </c>
      <c r="P1668" s="88" t="s">
        <v>4695</v>
      </c>
      <c r="Q1668" s="84">
        <v>1.0</v>
      </c>
      <c r="R1668" s="62"/>
      <c r="S1668" s="37" t="str">
        <f>IFERROR(__xludf.DUMMYFUNCTION("if(not(iserror(index(split(C1668, "" ""),2))), index(split(C1668, "" ""),1),"""")"),"August")</f>
        <v>August</v>
      </c>
      <c r="T1668" s="38">
        <f>IFERROR(__xludf.DUMMYFUNCTION("if(S1668="""",C1668,if(not(iserror(index(split(C1668, "" ""),3))), index(split(C1668, "" ""),3),index(split(C1668, "" ""),2)))"),2018.0)</f>
        <v>2018</v>
      </c>
      <c r="U1668" s="38" t="b">
        <f t="shared" si="245"/>
        <v>0</v>
      </c>
      <c r="V1668" s="38"/>
      <c r="W1668" s="40"/>
      <c r="X1668" s="40"/>
      <c r="Y1668" s="40"/>
      <c r="Z1668" s="38"/>
      <c r="AA1668" s="38"/>
      <c r="AB1668" s="38"/>
      <c r="AC1668" s="38"/>
      <c r="AD1668" s="38"/>
      <c r="AE1668" s="38"/>
      <c r="AF1668" s="38"/>
      <c r="AG1668" s="38"/>
      <c r="AH1668" s="38"/>
      <c r="AI1668" s="38"/>
      <c r="AJ1668" s="38"/>
      <c r="AK1668" s="38"/>
      <c r="AL1668" s="38"/>
      <c r="AM1668" s="38"/>
      <c r="AN1668" s="38"/>
      <c r="AO1668" s="38"/>
      <c r="AP1668" s="38"/>
      <c r="AQ1668" s="38"/>
      <c r="AR1668" s="38"/>
      <c r="AS1668" s="38"/>
      <c r="AT1668" s="38"/>
      <c r="AU1668" s="38"/>
      <c r="AV1668" s="38"/>
      <c r="AW1668" s="38"/>
      <c r="AX1668" s="38"/>
      <c r="AY1668" s="38"/>
      <c r="AZ1668" s="38"/>
      <c r="BA1668" s="38"/>
      <c r="BB1668" s="38"/>
      <c r="BC1668" s="38"/>
      <c r="BD1668" s="38"/>
      <c r="BE1668" s="38"/>
      <c r="BF1668" s="38"/>
      <c r="BG1668" s="38"/>
      <c r="BH1668" s="38"/>
      <c r="BI1668" s="38"/>
      <c r="BJ1668" s="38"/>
      <c r="BK1668" s="38"/>
      <c r="BL1668" s="38"/>
      <c r="BM1668" s="38"/>
      <c r="BN1668" s="38"/>
      <c r="BO1668" s="38"/>
      <c r="BP1668" s="38"/>
      <c r="BQ1668" s="38"/>
    </row>
    <row r="1669">
      <c r="A1669" s="58" t="s">
        <v>4696</v>
      </c>
      <c r="B1669" s="59">
        <v>43332.0</v>
      </c>
      <c r="C1669" s="59">
        <v>43332.0</v>
      </c>
      <c r="D1669" s="60" t="s">
        <v>4697</v>
      </c>
      <c r="E1669" s="58" t="s">
        <v>41</v>
      </c>
      <c r="F1669" s="58">
        <v>1.0</v>
      </c>
      <c r="G1669" s="58" t="s">
        <v>32</v>
      </c>
      <c r="H1669" s="33">
        <f t="shared" si="248"/>
        <v>1</v>
      </c>
      <c r="I1669" s="58" t="s">
        <v>33</v>
      </c>
      <c r="J1669" s="58" t="s">
        <v>184</v>
      </c>
      <c r="K1669" s="58" t="s">
        <v>32</v>
      </c>
      <c r="L1669" s="58" t="s">
        <v>99</v>
      </c>
      <c r="M1669" s="61" t="s">
        <v>4698</v>
      </c>
      <c r="N1669" s="77"/>
      <c r="O1669" s="88" t="str">
        <f>hyperlink("https://bad-boys.us/?q=ND-IL/1:18-cr-00505", "ND-IL 1:18-cr-00505")</f>
        <v>ND-IL 1:18-cr-00505</v>
      </c>
      <c r="P1669" s="88" t="s">
        <v>4699</v>
      </c>
      <c r="Q1669" s="84">
        <v>1.0</v>
      </c>
      <c r="R1669" s="62"/>
      <c r="S1669" s="37" t="str">
        <f>IFERROR(__xludf.DUMMYFUNCTION("if(not(iserror(index(split(C1669, "" ""),2))), index(split(C1669, "" ""),1),"""")"),"August")</f>
        <v>August</v>
      </c>
      <c r="T1669" s="38">
        <f>IFERROR(__xludf.DUMMYFUNCTION("if(S1669="""",C1669,if(not(iserror(index(split(C1669, "" ""),3))), index(split(C1669, "" ""),3),index(split(C1669, "" ""),2)))"),2018.0)</f>
        <v>2018</v>
      </c>
      <c r="U1669" s="38" t="b">
        <f t="shared" si="245"/>
        <v>0</v>
      </c>
      <c r="V1669" s="38"/>
      <c r="W1669" s="40"/>
      <c r="X1669" s="40"/>
      <c r="Y1669" s="40"/>
      <c r="Z1669" s="38"/>
      <c r="AA1669" s="38"/>
      <c r="AB1669" s="38"/>
      <c r="AC1669" s="38"/>
      <c r="AD1669" s="38"/>
      <c r="AE1669" s="38"/>
      <c r="AF1669" s="38"/>
      <c r="AG1669" s="38"/>
      <c r="AH1669" s="38"/>
      <c r="AI1669" s="38"/>
      <c r="AJ1669" s="38"/>
      <c r="AK1669" s="38"/>
      <c r="AL1669" s="38"/>
      <c r="AM1669" s="38"/>
      <c r="AN1669" s="38"/>
      <c r="AO1669" s="38"/>
      <c r="AP1669" s="38"/>
      <c r="AQ1669" s="38"/>
      <c r="AR1669" s="38"/>
      <c r="AS1669" s="38"/>
      <c r="AT1669" s="38"/>
      <c r="AU1669" s="38"/>
      <c r="AV1669" s="38"/>
      <c r="AW1669" s="38"/>
      <c r="AX1669" s="38"/>
      <c r="AY1669" s="38"/>
      <c r="AZ1669" s="38"/>
      <c r="BA1669" s="38"/>
      <c r="BB1669" s="38"/>
      <c r="BC1669" s="38"/>
      <c r="BD1669" s="38"/>
      <c r="BE1669" s="38"/>
      <c r="BF1669" s="38"/>
      <c r="BG1669" s="38"/>
      <c r="BH1669" s="38"/>
      <c r="BI1669" s="38"/>
      <c r="BJ1669" s="38"/>
      <c r="BK1669" s="38"/>
      <c r="BL1669" s="38"/>
      <c r="BM1669" s="38"/>
      <c r="BN1669" s="38"/>
      <c r="BO1669" s="38"/>
      <c r="BP1669" s="38"/>
      <c r="BQ1669" s="38"/>
    </row>
    <row r="1670">
      <c r="A1670" s="78" t="s">
        <v>4700</v>
      </c>
      <c r="B1670" s="59"/>
      <c r="C1670" s="59">
        <v>43332.0</v>
      </c>
      <c r="D1670" s="60"/>
      <c r="E1670" s="58" t="s">
        <v>31</v>
      </c>
      <c r="F1670" s="58">
        <v>1.0</v>
      </c>
      <c r="G1670" s="58" t="s">
        <v>32</v>
      </c>
      <c r="H1670" s="43">
        <v>1.0</v>
      </c>
      <c r="I1670" s="58" t="s">
        <v>33</v>
      </c>
      <c r="J1670" s="58" t="s">
        <v>61</v>
      </c>
      <c r="K1670" s="58"/>
      <c r="L1670" s="58" t="s">
        <v>69</v>
      </c>
      <c r="M1670" s="61" t="s">
        <v>4701</v>
      </c>
      <c r="N1670" s="80" t="s">
        <v>4702</v>
      </c>
      <c r="O1670" s="62"/>
      <c r="P1670" s="62"/>
      <c r="Q1670" s="62"/>
      <c r="R1670" s="62"/>
      <c r="S1670" s="37"/>
      <c r="T1670" s="38"/>
      <c r="U1670" s="38"/>
      <c r="V1670" s="38" t="s">
        <v>33</v>
      </c>
      <c r="W1670" s="39" t="s">
        <v>4703</v>
      </c>
      <c r="X1670" s="39" t="s">
        <v>4704</v>
      </c>
      <c r="Y1670" s="40"/>
      <c r="Z1670" s="38"/>
      <c r="AA1670" s="38"/>
      <c r="AB1670" s="38"/>
      <c r="AC1670" s="38"/>
      <c r="AD1670" s="38"/>
      <c r="AE1670" s="38"/>
      <c r="AF1670" s="38"/>
      <c r="AG1670" s="38"/>
      <c r="AH1670" s="38"/>
      <c r="AI1670" s="38"/>
      <c r="AJ1670" s="38"/>
      <c r="AK1670" s="38"/>
      <c r="AL1670" s="38"/>
      <c r="AM1670" s="38"/>
      <c r="AN1670" s="38"/>
      <c r="AO1670" s="38"/>
      <c r="AP1670" s="38"/>
      <c r="AQ1670" s="38"/>
      <c r="AR1670" s="38"/>
      <c r="AS1670" s="38"/>
      <c r="AT1670" s="38"/>
      <c r="AU1670" s="38"/>
      <c r="AV1670" s="38"/>
      <c r="AW1670" s="38"/>
      <c r="AX1670" s="38"/>
      <c r="AY1670" s="38"/>
      <c r="AZ1670" s="38"/>
      <c r="BA1670" s="38"/>
      <c r="BB1670" s="38"/>
      <c r="BC1670" s="38"/>
      <c r="BD1670" s="38"/>
      <c r="BE1670" s="38"/>
      <c r="BF1670" s="38"/>
      <c r="BG1670" s="38"/>
      <c r="BH1670" s="38"/>
      <c r="BI1670" s="38"/>
      <c r="BJ1670" s="38"/>
      <c r="BK1670" s="38"/>
      <c r="BL1670" s="38"/>
      <c r="BM1670" s="38"/>
      <c r="BN1670" s="38"/>
      <c r="BO1670" s="38"/>
      <c r="BP1670" s="38"/>
      <c r="BQ1670" s="38"/>
    </row>
    <row r="1671">
      <c r="A1671" s="78" t="s">
        <v>4705</v>
      </c>
      <c r="B1671" s="59"/>
      <c r="C1671" s="59">
        <v>43332.0</v>
      </c>
      <c r="D1671" s="60"/>
      <c r="E1671" s="58" t="s">
        <v>41</v>
      </c>
      <c r="F1671" s="58">
        <v>1.0</v>
      </c>
      <c r="G1671" s="58" t="s">
        <v>32</v>
      </c>
      <c r="H1671" s="43">
        <v>1.0</v>
      </c>
      <c r="I1671" s="58" t="s">
        <v>33</v>
      </c>
      <c r="J1671" s="58" t="s">
        <v>115</v>
      </c>
      <c r="K1671" s="58"/>
      <c r="L1671" s="58" t="s">
        <v>4706</v>
      </c>
      <c r="M1671" s="61" t="s">
        <v>4186</v>
      </c>
      <c r="N1671" s="77"/>
      <c r="O1671" s="62"/>
      <c r="P1671" s="62"/>
      <c r="Q1671" s="62"/>
      <c r="R1671" s="62"/>
      <c r="S1671" s="37"/>
      <c r="T1671" s="38"/>
      <c r="U1671" s="38"/>
      <c r="V1671" s="38" t="s">
        <v>33</v>
      </c>
      <c r="W1671" s="40"/>
      <c r="X1671" s="40"/>
      <c r="Y1671" s="40"/>
      <c r="Z1671" s="38"/>
      <c r="AA1671" s="38"/>
      <c r="AB1671" s="38"/>
      <c r="AC1671" s="38"/>
      <c r="AD1671" s="38"/>
      <c r="AE1671" s="38"/>
      <c r="AF1671" s="38"/>
      <c r="AG1671" s="38"/>
      <c r="AH1671" s="38"/>
      <c r="AI1671" s="38"/>
      <c r="AJ1671" s="38"/>
      <c r="AK1671" s="38"/>
      <c r="AL1671" s="38"/>
      <c r="AM1671" s="38"/>
      <c r="AN1671" s="38"/>
      <c r="AO1671" s="38"/>
      <c r="AP1671" s="38"/>
      <c r="AQ1671" s="38"/>
      <c r="AR1671" s="38"/>
      <c r="AS1671" s="38"/>
      <c r="AT1671" s="38"/>
      <c r="AU1671" s="38"/>
      <c r="AV1671" s="38"/>
      <c r="AW1671" s="38"/>
      <c r="AX1671" s="38"/>
      <c r="AY1671" s="38"/>
      <c r="AZ1671" s="38"/>
      <c r="BA1671" s="38"/>
      <c r="BB1671" s="38"/>
      <c r="BC1671" s="38"/>
      <c r="BD1671" s="38"/>
      <c r="BE1671" s="38"/>
      <c r="BF1671" s="38"/>
      <c r="BG1671" s="38"/>
      <c r="BH1671" s="38"/>
      <c r="BI1671" s="38"/>
      <c r="BJ1671" s="38"/>
      <c r="BK1671" s="38"/>
      <c r="BL1671" s="38"/>
      <c r="BM1671" s="38"/>
      <c r="BN1671" s="38"/>
      <c r="BO1671" s="38"/>
      <c r="BP1671" s="38"/>
      <c r="BQ1671" s="38"/>
    </row>
    <row r="1672">
      <c r="A1672" s="78" t="s">
        <v>239</v>
      </c>
      <c r="B1672" s="59">
        <v>43333.0</v>
      </c>
      <c r="C1672" s="59">
        <v>43332.0</v>
      </c>
      <c r="D1672" s="60" t="s">
        <v>4697</v>
      </c>
      <c r="E1672" s="58" t="s">
        <v>41</v>
      </c>
      <c r="F1672" s="58">
        <v>1.0</v>
      </c>
      <c r="G1672" s="58">
        <v>8.0</v>
      </c>
      <c r="H1672" s="33">
        <f t="shared" ref="H1672:H1684" si="249">if(G1672="Unknown",1,G1672)</f>
        <v>8</v>
      </c>
      <c r="I1672" s="58" t="s">
        <v>33</v>
      </c>
      <c r="J1672" s="58" t="s">
        <v>147</v>
      </c>
      <c r="K1672" s="58">
        <v>1.0</v>
      </c>
      <c r="L1672" s="58" t="s">
        <v>194</v>
      </c>
      <c r="M1672" s="61" t="s">
        <v>4707</v>
      </c>
      <c r="N1672" s="77"/>
      <c r="O1672" s="62"/>
      <c r="P1672" s="62"/>
      <c r="Q1672" s="62"/>
      <c r="R1672" s="62"/>
      <c r="S1672" s="37" t="str">
        <f>IFERROR(__xludf.DUMMYFUNCTION("if(not(iserror(index(split(C1672, "" ""),2))), index(split(C1672, "" ""),1),"""")"),"August")</f>
        <v>August</v>
      </c>
      <c r="T1672" s="38">
        <f>IFERROR(__xludf.DUMMYFUNCTION("if(S1672="""",C1672,if(not(iserror(index(split(C1672, "" ""),3))), index(split(C1672, "" ""),3),index(split(C1672, "" ""),2)))"),2018.0)</f>
        <v>2018</v>
      </c>
      <c r="U1672" s="38" t="b">
        <f t="shared" ref="U1672:U1688" si="250">countif(A$4:A4658, A1672)&gt;1</f>
        <v>1</v>
      </c>
      <c r="V1672" s="38"/>
      <c r="W1672" s="40"/>
      <c r="X1672" s="40"/>
      <c r="Y1672" s="40"/>
      <c r="Z1672" s="38"/>
      <c r="AA1672" s="38"/>
      <c r="AB1672" s="38"/>
      <c r="AC1672" s="38"/>
      <c r="AD1672" s="38"/>
      <c r="AE1672" s="38"/>
      <c r="AF1672" s="38"/>
      <c r="AG1672" s="38"/>
      <c r="AH1672" s="38"/>
      <c r="AI1672" s="38"/>
      <c r="AJ1672" s="38"/>
      <c r="AK1672" s="38"/>
      <c r="AL1672" s="38"/>
      <c r="AM1672" s="38"/>
      <c r="AN1672" s="38"/>
      <c r="AO1672" s="38"/>
      <c r="AP1672" s="38"/>
      <c r="AQ1672" s="38"/>
      <c r="AR1672" s="38"/>
      <c r="AS1672" s="38"/>
      <c r="AT1672" s="38"/>
      <c r="AU1672" s="38"/>
      <c r="AV1672" s="38"/>
      <c r="AW1672" s="38"/>
      <c r="AX1672" s="38"/>
      <c r="AY1672" s="38"/>
      <c r="AZ1672" s="38"/>
      <c r="BA1672" s="38"/>
      <c r="BB1672" s="38"/>
      <c r="BC1672" s="38"/>
      <c r="BD1672" s="38"/>
      <c r="BE1672" s="38"/>
      <c r="BF1672" s="38"/>
      <c r="BG1672" s="38"/>
      <c r="BH1672" s="38"/>
      <c r="BI1672" s="38"/>
      <c r="BJ1672" s="38"/>
      <c r="BK1672" s="38"/>
      <c r="BL1672" s="38"/>
      <c r="BM1672" s="38"/>
      <c r="BN1672" s="38"/>
      <c r="BO1672" s="38"/>
      <c r="BP1672" s="38"/>
      <c r="BQ1672" s="38"/>
    </row>
    <row r="1673">
      <c r="A1673" s="78" t="s">
        <v>660</v>
      </c>
      <c r="B1673" s="59">
        <v>43333.0</v>
      </c>
      <c r="C1673" s="59">
        <v>43332.0</v>
      </c>
      <c r="D1673" s="60" t="s">
        <v>4697</v>
      </c>
      <c r="E1673" s="58" t="s">
        <v>31</v>
      </c>
      <c r="F1673" s="58">
        <v>4.0</v>
      </c>
      <c r="G1673" s="58" t="s">
        <v>32</v>
      </c>
      <c r="H1673" s="33">
        <f t="shared" si="249"/>
        <v>1</v>
      </c>
      <c r="I1673" s="58" t="s">
        <v>33</v>
      </c>
      <c r="J1673" s="58" t="s">
        <v>98</v>
      </c>
      <c r="K1673" s="58">
        <v>1.0</v>
      </c>
      <c r="L1673" s="58" t="s">
        <v>35</v>
      </c>
      <c r="M1673" s="61" t="s">
        <v>4708</v>
      </c>
      <c r="N1673" s="77"/>
      <c r="O1673" s="62"/>
      <c r="P1673" s="62"/>
      <c r="Q1673" s="62"/>
      <c r="R1673" s="62"/>
      <c r="S1673" s="37" t="str">
        <f>IFERROR(__xludf.DUMMYFUNCTION("if(not(iserror(index(split(C1673, "" ""),2))), index(split(C1673, "" ""),1),"""")"),"August")</f>
        <v>August</v>
      </c>
      <c r="T1673" s="38">
        <f>IFERROR(__xludf.DUMMYFUNCTION("if(S1673="""",C1673,if(not(iserror(index(split(C1673, "" ""),3))), index(split(C1673, "" ""),3),index(split(C1673, "" ""),2)))"),2018.0)</f>
        <v>2018</v>
      </c>
      <c r="U1673" s="38" t="b">
        <f t="shared" si="250"/>
        <v>1</v>
      </c>
      <c r="V1673" s="38"/>
      <c r="W1673" s="40"/>
      <c r="X1673" s="40"/>
      <c r="Y1673" s="40"/>
      <c r="Z1673" s="38"/>
      <c r="AA1673" s="38"/>
      <c r="AB1673" s="38"/>
      <c r="AC1673" s="38"/>
      <c r="AD1673" s="38"/>
      <c r="AE1673" s="38"/>
      <c r="AF1673" s="38"/>
      <c r="AG1673" s="38"/>
      <c r="AH1673" s="38"/>
      <c r="AI1673" s="38"/>
      <c r="AJ1673" s="38"/>
      <c r="AK1673" s="38"/>
      <c r="AL1673" s="38"/>
      <c r="AM1673" s="38"/>
      <c r="AN1673" s="38"/>
      <c r="AO1673" s="38"/>
      <c r="AP1673" s="38"/>
      <c r="AQ1673" s="38"/>
      <c r="AR1673" s="38"/>
      <c r="AS1673" s="38"/>
      <c r="AT1673" s="38"/>
      <c r="AU1673" s="38"/>
      <c r="AV1673" s="38"/>
      <c r="AW1673" s="38"/>
      <c r="AX1673" s="38"/>
      <c r="AY1673" s="38"/>
      <c r="AZ1673" s="38"/>
      <c r="BA1673" s="38"/>
      <c r="BB1673" s="38"/>
      <c r="BC1673" s="38"/>
      <c r="BD1673" s="38"/>
      <c r="BE1673" s="38"/>
      <c r="BF1673" s="38"/>
      <c r="BG1673" s="38"/>
      <c r="BH1673" s="38"/>
      <c r="BI1673" s="38"/>
      <c r="BJ1673" s="38"/>
      <c r="BK1673" s="38"/>
      <c r="BL1673" s="38"/>
      <c r="BM1673" s="38"/>
      <c r="BN1673" s="38"/>
      <c r="BO1673" s="38"/>
      <c r="BP1673" s="38"/>
      <c r="BQ1673" s="38"/>
    </row>
    <row r="1674">
      <c r="A1674" s="78" t="s">
        <v>4709</v>
      </c>
      <c r="B1674" s="59">
        <v>43333.0</v>
      </c>
      <c r="C1674" s="59">
        <v>43332.0</v>
      </c>
      <c r="D1674" s="60" t="s">
        <v>4697</v>
      </c>
      <c r="E1674" s="58" t="s">
        <v>41</v>
      </c>
      <c r="F1674" s="58">
        <v>1.0</v>
      </c>
      <c r="G1674" s="58" t="s">
        <v>32</v>
      </c>
      <c r="H1674" s="33">
        <f t="shared" si="249"/>
        <v>1</v>
      </c>
      <c r="I1674" s="58" t="s">
        <v>33</v>
      </c>
      <c r="J1674" s="58" t="s">
        <v>93</v>
      </c>
      <c r="K1674" s="58" t="s">
        <v>32</v>
      </c>
      <c r="L1674" s="58" t="s">
        <v>995</v>
      </c>
      <c r="M1674" s="80" t="s">
        <v>4710</v>
      </c>
      <c r="N1674" s="77"/>
      <c r="O1674" s="88" t="str">
        <f>hyperlink("https://bad-boys.us/?q=WD-NY/6:19-cr-06131", "WD-NY 6:19-cr-06131")</f>
        <v>WD-NY 6:19-cr-06131</v>
      </c>
      <c r="P1674" s="62"/>
      <c r="Q1674" s="84">
        <v>1.0</v>
      </c>
      <c r="R1674" s="62"/>
      <c r="S1674" s="37" t="str">
        <f>IFERROR(__xludf.DUMMYFUNCTION("if(not(iserror(index(split(C1674, "" ""),2))), index(split(C1674, "" ""),1),"""")"),"August")</f>
        <v>August</v>
      </c>
      <c r="T1674" s="38">
        <f>IFERROR(__xludf.DUMMYFUNCTION("if(S1674="""",C1674,if(not(iserror(index(split(C1674, "" ""),3))), index(split(C1674, "" ""),3),index(split(C1674, "" ""),2)))"),2018.0)</f>
        <v>2018</v>
      </c>
      <c r="U1674" s="38" t="b">
        <f t="shared" si="250"/>
        <v>0</v>
      </c>
      <c r="V1674" s="38" t="s">
        <v>33</v>
      </c>
      <c r="W1674" s="40"/>
      <c r="X1674" s="40"/>
      <c r="Y1674" s="40"/>
      <c r="Z1674" s="38"/>
      <c r="AA1674" s="38"/>
      <c r="AB1674" s="38"/>
      <c r="AC1674" s="38"/>
      <c r="AD1674" s="38"/>
      <c r="AE1674" s="38"/>
      <c r="AF1674" s="38"/>
      <c r="AG1674" s="38"/>
      <c r="AH1674" s="38"/>
      <c r="AI1674" s="38"/>
      <c r="AJ1674" s="38"/>
      <c r="AK1674" s="38"/>
      <c r="AL1674" s="38"/>
      <c r="AM1674" s="38"/>
      <c r="AN1674" s="38"/>
      <c r="AO1674" s="38"/>
      <c r="AP1674" s="38"/>
      <c r="AQ1674" s="38"/>
      <c r="AR1674" s="38"/>
      <c r="AS1674" s="38"/>
      <c r="AT1674" s="38"/>
      <c r="AU1674" s="38"/>
      <c r="AV1674" s="38"/>
      <c r="AW1674" s="38"/>
      <c r="AX1674" s="38"/>
      <c r="AY1674" s="38"/>
      <c r="AZ1674" s="38"/>
      <c r="BA1674" s="38"/>
      <c r="BB1674" s="38"/>
      <c r="BC1674" s="38"/>
      <c r="BD1674" s="38"/>
      <c r="BE1674" s="38"/>
      <c r="BF1674" s="38"/>
      <c r="BG1674" s="38"/>
      <c r="BH1674" s="38"/>
      <c r="BI1674" s="38"/>
      <c r="BJ1674" s="38"/>
      <c r="BK1674" s="38"/>
      <c r="BL1674" s="38"/>
      <c r="BM1674" s="38"/>
      <c r="BN1674" s="38"/>
      <c r="BO1674" s="38"/>
      <c r="BP1674" s="38"/>
      <c r="BQ1674" s="38"/>
    </row>
    <row r="1675">
      <c r="A1675" s="78" t="s">
        <v>4711</v>
      </c>
      <c r="B1675" s="59">
        <v>43333.0</v>
      </c>
      <c r="C1675" s="59">
        <v>43333.0</v>
      </c>
      <c r="D1675" s="60" t="s">
        <v>4712</v>
      </c>
      <c r="E1675" s="58" t="s">
        <v>31</v>
      </c>
      <c r="F1675" s="58">
        <v>2.0</v>
      </c>
      <c r="G1675" s="58" t="s">
        <v>32</v>
      </c>
      <c r="H1675" s="33">
        <f t="shared" si="249"/>
        <v>1</v>
      </c>
      <c r="I1675" s="58" t="s">
        <v>33</v>
      </c>
      <c r="J1675" s="58" t="s">
        <v>850</v>
      </c>
      <c r="K1675" s="58">
        <v>1.0</v>
      </c>
      <c r="L1675" s="58" t="s">
        <v>35</v>
      </c>
      <c r="M1675" s="61" t="s">
        <v>4713</v>
      </c>
      <c r="N1675" s="77"/>
      <c r="O1675" s="58"/>
      <c r="P1675" s="62"/>
      <c r="Q1675" s="84"/>
      <c r="R1675" s="62"/>
      <c r="S1675" s="37" t="str">
        <f>IFERROR(__xludf.DUMMYFUNCTION("if(not(iserror(index(split(C1675, "" ""),2))), index(split(C1675, "" ""),1),"""")"),"August")</f>
        <v>August</v>
      </c>
      <c r="T1675" s="38">
        <f>IFERROR(__xludf.DUMMYFUNCTION("if(S1675="""",C1675,if(not(iserror(index(split(C1675, "" ""),3))), index(split(C1675, "" ""),3),index(split(C1675, "" ""),2)))"),2018.0)</f>
        <v>2018</v>
      </c>
      <c r="U1675" s="38" t="b">
        <f t="shared" si="250"/>
        <v>0</v>
      </c>
      <c r="V1675" s="38"/>
      <c r="W1675" s="40"/>
      <c r="X1675" s="40"/>
      <c r="Y1675" s="40"/>
      <c r="Z1675" s="38"/>
      <c r="AA1675" s="38"/>
      <c r="AB1675" s="38"/>
      <c r="AC1675" s="38"/>
      <c r="AD1675" s="38"/>
      <c r="AE1675" s="38"/>
      <c r="AF1675" s="38"/>
      <c r="AG1675" s="38"/>
      <c r="AH1675" s="38"/>
      <c r="AI1675" s="38"/>
      <c r="AJ1675" s="38"/>
      <c r="AK1675" s="38"/>
      <c r="AL1675" s="38"/>
      <c r="AM1675" s="38"/>
      <c r="AN1675" s="38"/>
      <c r="AO1675" s="38"/>
      <c r="AP1675" s="38"/>
      <c r="AQ1675" s="38"/>
      <c r="AR1675" s="38"/>
      <c r="AS1675" s="38"/>
      <c r="AT1675" s="38"/>
      <c r="AU1675" s="38"/>
      <c r="AV1675" s="38"/>
      <c r="AW1675" s="38"/>
      <c r="AX1675" s="38"/>
      <c r="AY1675" s="38"/>
      <c r="AZ1675" s="38"/>
      <c r="BA1675" s="38"/>
      <c r="BB1675" s="38"/>
      <c r="BC1675" s="38"/>
      <c r="BD1675" s="38"/>
      <c r="BE1675" s="38"/>
      <c r="BF1675" s="38"/>
      <c r="BG1675" s="38"/>
      <c r="BH1675" s="38"/>
      <c r="BI1675" s="38"/>
      <c r="BJ1675" s="38"/>
      <c r="BK1675" s="38"/>
      <c r="BL1675" s="38"/>
      <c r="BM1675" s="38"/>
      <c r="BN1675" s="38"/>
      <c r="BO1675" s="38"/>
      <c r="BP1675" s="38"/>
      <c r="BQ1675" s="38"/>
    </row>
    <row r="1676">
      <c r="A1676" s="152" t="s">
        <v>4714</v>
      </c>
      <c r="B1676" s="153">
        <v>43334.0</v>
      </c>
      <c r="C1676" s="153">
        <v>43333.0</v>
      </c>
      <c r="D1676" s="154" t="s">
        <v>4712</v>
      </c>
      <c r="E1676" s="155" t="s">
        <v>31</v>
      </c>
      <c r="F1676" s="152">
        <v>1.0</v>
      </c>
      <c r="G1676" s="152" t="s">
        <v>32</v>
      </c>
      <c r="H1676" s="33">
        <f t="shared" si="249"/>
        <v>1</v>
      </c>
      <c r="I1676" s="152" t="s">
        <v>33</v>
      </c>
      <c r="J1676" s="152" t="s">
        <v>410</v>
      </c>
      <c r="K1676" s="152" t="s">
        <v>32</v>
      </c>
      <c r="L1676" s="152" t="s">
        <v>99</v>
      </c>
      <c r="M1676" s="158" t="s">
        <v>4715</v>
      </c>
      <c r="N1676" s="158" t="s">
        <v>4716</v>
      </c>
      <c r="O1676" s="58"/>
      <c r="P1676" s="58"/>
      <c r="Q1676" s="84"/>
      <c r="R1676" s="62"/>
      <c r="S1676" s="37" t="str">
        <f>IFERROR(__xludf.DUMMYFUNCTION("if(not(iserror(index(split(C1676, "" ""),2))), index(split(C1676, "" ""),1),"""")"),"August")</f>
        <v>August</v>
      </c>
      <c r="T1676" s="38">
        <f>IFERROR(__xludf.DUMMYFUNCTION("if(S1676="""",C1676,if(not(iserror(index(split(C1676, "" ""),3))), index(split(C1676, "" ""),3),index(split(C1676, "" ""),2)))"),2018.0)</f>
        <v>2018</v>
      </c>
      <c r="U1676" s="38" t="b">
        <f t="shared" si="250"/>
        <v>0</v>
      </c>
      <c r="V1676" s="38"/>
      <c r="W1676" s="40"/>
      <c r="X1676" s="40"/>
      <c r="Y1676" s="40"/>
      <c r="Z1676" s="38"/>
      <c r="AA1676" s="38"/>
      <c r="AB1676" s="38"/>
      <c r="AC1676" s="38"/>
      <c r="AD1676" s="38"/>
      <c r="AE1676" s="38"/>
      <c r="AF1676" s="38"/>
      <c r="AG1676" s="38"/>
      <c r="AH1676" s="38"/>
      <c r="AI1676" s="38"/>
      <c r="AJ1676" s="38"/>
      <c r="AK1676" s="38"/>
      <c r="AL1676" s="38"/>
      <c r="AM1676" s="38"/>
      <c r="AN1676" s="38"/>
      <c r="AO1676" s="38"/>
      <c r="AP1676" s="38"/>
      <c r="AQ1676" s="38"/>
      <c r="AR1676" s="38"/>
      <c r="AS1676" s="38"/>
      <c r="AT1676" s="38"/>
      <c r="AU1676" s="38"/>
      <c r="AV1676" s="38"/>
      <c r="AW1676" s="38"/>
      <c r="AX1676" s="38"/>
      <c r="AY1676" s="38"/>
      <c r="AZ1676" s="38"/>
      <c r="BA1676" s="38"/>
      <c r="BB1676" s="38"/>
      <c r="BC1676" s="38"/>
      <c r="BD1676" s="38"/>
      <c r="BE1676" s="38"/>
      <c r="BF1676" s="38"/>
      <c r="BG1676" s="38"/>
      <c r="BH1676" s="38"/>
      <c r="BI1676" s="38"/>
      <c r="BJ1676" s="38"/>
      <c r="BK1676" s="38"/>
      <c r="BL1676" s="38"/>
      <c r="BM1676" s="38"/>
      <c r="BN1676" s="38"/>
      <c r="BO1676" s="38"/>
      <c r="BP1676" s="38"/>
      <c r="BQ1676" s="38"/>
    </row>
    <row r="1677">
      <c r="A1677" s="58" t="s">
        <v>239</v>
      </c>
      <c r="B1677" s="59">
        <v>43334.0</v>
      </c>
      <c r="C1677" s="59">
        <v>43333.0</v>
      </c>
      <c r="D1677" s="60" t="s">
        <v>4712</v>
      </c>
      <c r="E1677" s="58" t="s">
        <v>41</v>
      </c>
      <c r="F1677" s="58">
        <v>2.0</v>
      </c>
      <c r="G1677" s="58" t="s">
        <v>32</v>
      </c>
      <c r="H1677" s="33">
        <f t="shared" si="249"/>
        <v>1</v>
      </c>
      <c r="I1677" s="58" t="s">
        <v>33</v>
      </c>
      <c r="J1677" s="58" t="s">
        <v>413</v>
      </c>
      <c r="K1677" s="58">
        <v>1.0</v>
      </c>
      <c r="L1677" s="58" t="s">
        <v>620</v>
      </c>
      <c r="M1677" s="61" t="s">
        <v>4717</v>
      </c>
      <c r="N1677" s="77"/>
      <c r="O1677" s="62"/>
      <c r="P1677" s="62"/>
      <c r="Q1677" s="62"/>
      <c r="R1677" s="62"/>
      <c r="S1677" s="37" t="str">
        <f>IFERROR(__xludf.DUMMYFUNCTION("if(not(iserror(index(split(C1677, "" ""),2))), index(split(C1677, "" ""),1),"""")"),"August")</f>
        <v>August</v>
      </c>
      <c r="T1677" s="38">
        <f>IFERROR(__xludf.DUMMYFUNCTION("if(S1677="""",C1677,if(not(iserror(index(split(C1677, "" ""),3))), index(split(C1677, "" ""),3),index(split(C1677, "" ""),2)))"),2018.0)</f>
        <v>2018</v>
      </c>
      <c r="U1677" s="38" t="b">
        <f t="shared" si="250"/>
        <v>1</v>
      </c>
      <c r="V1677" s="38"/>
      <c r="W1677" s="40"/>
      <c r="X1677" s="40"/>
      <c r="Y1677" s="40"/>
      <c r="Z1677" s="38"/>
      <c r="AA1677" s="38"/>
      <c r="AB1677" s="38"/>
      <c r="AC1677" s="38"/>
      <c r="AD1677" s="38"/>
      <c r="AE1677" s="38"/>
      <c r="AF1677" s="38"/>
      <c r="AG1677" s="38"/>
      <c r="AH1677" s="38"/>
      <c r="AI1677" s="38"/>
      <c r="AJ1677" s="38"/>
      <c r="AK1677" s="38"/>
      <c r="AL1677" s="38"/>
      <c r="AM1677" s="38"/>
      <c r="AN1677" s="38"/>
      <c r="AO1677" s="38"/>
      <c r="AP1677" s="38"/>
      <c r="AQ1677" s="38"/>
      <c r="AR1677" s="38"/>
      <c r="AS1677" s="38"/>
      <c r="AT1677" s="38"/>
      <c r="AU1677" s="38"/>
      <c r="AV1677" s="38"/>
      <c r="AW1677" s="38"/>
      <c r="AX1677" s="38"/>
      <c r="AY1677" s="38"/>
      <c r="AZ1677" s="38"/>
      <c r="BA1677" s="38"/>
      <c r="BB1677" s="38"/>
      <c r="BC1677" s="38"/>
      <c r="BD1677" s="38"/>
      <c r="BE1677" s="38"/>
      <c r="BF1677" s="38"/>
      <c r="BG1677" s="38"/>
      <c r="BH1677" s="38"/>
      <c r="BI1677" s="38"/>
      <c r="BJ1677" s="38"/>
      <c r="BK1677" s="38"/>
      <c r="BL1677" s="38"/>
      <c r="BM1677" s="38"/>
      <c r="BN1677" s="38"/>
      <c r="BO1677" s="38"/>
      <c r="BP1677" s="38"/>
      <c r="BQ1677" s="38"/>
    </row>
    <row r="1678">
      <c r="A1678" s="58" t="s">
        <v>239</v>
      </c>
      <c r="B1678" s="59">
        <v>43334.0</v>
      </c>
      <c r="C1678" s="59">
        <v>43333.0</v>
      </c>
      <c r="D1678" s="60" t="s">
        <v>4712</v>
      </c>
      <c r="E1678" s="58" t="s">
        <v>41</v>
      </c>
      <c r="F1678" s="58">
        <v>1.0</v>
      </c>
      <c r="G1678" s="58">
        <v>3.0</v>
      </c>
      <c r="H1678" s="33">
        <f t="shared" si="249"/>
        <v>3</v>
      </c>
      <c r="I1678" s="58" t="s">
        <v>33</v>
      </c>
      <c r="J1678" s="58" t="s">
        <v>111</v>
      </c>
      <c r="K1678" s="58">
        <v>1.0</v>
      </c>
      <c r="L1678" s="58" t="s">
        <v>194</v>
      </c>
      <c r="M1678" s="61" t="s">
        <v>4718</v>
      </c>
      <c r="N1678" s="77"/>
      <c r="O1678" s="62"/>
      <c r="P1678" s="62"/>
      <c r="Q1678" s="62"/>
      <c r="R1678" s="62"/>
      <c r="S1678" s="37" t="str">
        <f>IFERROR(__xludf.DUMMYFUNCTION("if(not(iserror(index(split(C1678, "" ""),2))), index(split(C1678, "" ""),1),"""")"),"August")</f>
        <v>August</v>
      </c>
      <c r="T1678" s="38">
        <f>IFERROR(__xludf.DUMMYFUNCTION("if(S1678="""",C1678,if(not(iserror(index(split(C1678, "" ""),3))), index(split(C1678, "" ""),3),index(split(C1678, "" ""),2)))"),2018.0)</f>
        <v>2018</v>
      </c>
      <c r="U1678" s="38" t="b">
        <f t="shared" si="250"/>
        <v>1</v>
      </c>
      <c r="V1678" s="38"/>
      <c r="W1678" s="40"/>
      <c r="X1678" s="40"/>
      <c r="Y1678" s="40"/>
      <c r="Z1678" s="38"/>
      <c r="AA1678" s="38"/>
      <c r="AB1678" s="38"/>
      <c r="AC1678" s="38"/>
      <c r="AD1678" s="38"/>
      <c r="AE1678" s="38"/>
      <c r="AF1678" s="38"/>
      <c r="AG1678" s="38"/>
      <c r="AH1678" s="38"/>
      <c r="AI1678" s="38"/>
      <c r="AJ1678" s="38"/>
      <c r="AK1678" s="38"/>
      <c r="AL1678" s="38"/>
      <c r="AM1678" s="38"/>
      <c r="AN1678" s="38"/>
      <c r="AO1678" s="38"/>
      <c r="AP1678" s="38"/>
      <c r="AQ1678" s="38"/>
      <c r="AR1678" s="38"/>
      <c r="AS1678" s="38"/>
      <c r="AT1678" s="38"/>
      <c r="AU1678" s="38"/>
      <c r="AV1678" s="38"/>
      <c r="AW1678" s="38"/>
      <c r="AX1678" s="38"/>
      <c r="AY1678" s="38"/>
      <c r="AZ1678" s="38"/>
      <c r="BA1678" s="38"/>
      <c r="BB1678" s="38"/>
      <c r="BC1678" s="38"/>
      <c r="BD1678" s="38"/>
      <c r="BE1678" s="38"/>
      <c r="BF1678" s="38"/>
      <c r="BG1678" s="38"/>
      <c r="BH1678" s="38"/>
      <c r="BI1678" s="38"/>
      <c r="BJ1678" s="38"/>
      <c r="BK1678" s="38"/>
      <c r="BL1678" s="38"/>
      <c r="BM1678" s="38"/>
      <c r="BN1678" s="38"/>
      <c r="BO1678" s="38"/>
      <c r="BP1678" s="38"/>
      <c r="BQ1678" s="38"/>
    </row>
    <row r="1679">
      <c r="A1679" s="58" t="s">
        <v>239</v>
      </c>
      <c r="B1679" s="59">
        <v>43334.0</v>
      </c>
      <c r="C1679" s="59">
        <v>43333.0</v>
      </c>
      <c r="D1679" s="60" t="s">
        <v>4712</v>
      </c>
      <c r="E1679" s="58" t="s">
        <v>41</v>
      </c>
      <c r="F1679" s="58">
        <v>1.0</v>
      </c>
      <c r="G1679" s="58">
        <v>5.0</v>
      </c>
      <c r="H1679" s="33">
        <f t="shared" si="249"/>
        <v>5</v>
      </c>
      <c r="I1679" s="58" t="s">
        <v>33</v>
      </c>
      <c r="J1679" s="58" t="s">
        <v>111</v>
      </c>
      <c r="K1679" s="58">
        <v>1.0</v>
      </c>
      <c r="L1679" s="58" t="s">
        <v>194</v>
      </c>
      <c r="M1679" s="61" t="s">
        <v>4719</v>
      </c>
      <c r="N1679" s="77"/>
      <c r="O1679" s="62"/>
      <c r="P1679" s="62"/>
      <c r="Q1679" s="62"/>
      <c r="R1679" s="62"/>
      <c r="S1679" s="37" t="str">
        <f>IFERROR(__xludf.DUMMYFUNCTION("if(not(iserror(index(split(C1679, "" ""),2))), index(split(C1679, "" ""),1),"""")"),"August")</f>
        <v>August</v>
      </c>
      <c r="T1679" s="38">
        <f>IFERROR(__xludf.DUMMYFUNCTION("if(S1679="""",C1679,if(not(iserror(index(split(C1679, "" ""),3))), index(split(C1679, "" ""),3),index(split(C1679, "" ""),2)))"),2018.0)</f>
        <v>2018</v>
      </c>
      <c r="U1679" s="38" t="b">
        <f t="shared" si="250"/>
        <v>1</v>
      </c>
      <c r="V1679" s="38"/>
      <c r="W1679" s="40"/>
      <c r="X1679" s="40"/>
      <c r="Y1679" s="40"/>
      <c r="Z1679" s="38"/>
      <c r="AA1679" s="38"/>
      <c r="AB1679" s="38"/>
      <c r="AC1679" s="38"/>
      <c r="AD1679" s="38"/>
      <c r="AE1679" s="38"/>
      <c r="AF1679" s="38"/>
      <c r="AG1679" s="38"/>
      <c r="AH1679" s="38"/>
      <c r="AI1679" s="38"/>
      <c r="AJ1679" s="38"/>
      <c r="AK1679" s="38"/>
      <c r="AL1679" s="38"/>
      <c r="AM1679" s="38"/>
      <c r="AN1679" s="38"/>
      <c r="AO1679" s="38"/>
      <c r="AP1679" s="38"/>
      <c r="AQ1679" s="38"/>
      <c r="AR1679" s="38"/>
      <c r="AS1679" s="38"/>
      <c r="AT1679" s="38"/>
      <c r="AU1679" s="38"/>
      <c r="AV1679" s="38"/>
      <c r="AW1679" s="38"/>
      <c r="AX1679" s="38"/>
      <c r="AY1679" s="38"/>
      <c r="AZ1679" s="38"/>
      <c r="BA1679" s="38"/>
      <c r="BB1679" s="38"/>
      <c r="BC1679" s="38"/>
      <c r="BD1679" s="38"/>
      <c r="BE1679" s="38"/>
      <c r="BF1679" s="38"/>
      <c r="BG1679" s="38"/>
      <c r="BH1679" s="38"/>
      <c r="BI1679" s="38"/>
      <c r="BJ1679" s="38"/>
      <c r="BK1679" s="38"/>
      <c r="BL1679" s="38"/>
      <c r="BM1679" s="38"/>
      <c r="BN1679" s="38"/>
      <c r="BO1679" s="38"/>
      <c r="BP1679" s="38"/>
      <c r="BQ1679" s="38"/>
    </row>
    <row r="1680">
      <c r="A1680" s="58" t="s">
        <v>4720</v>
      </c>
      <c r="B1680" s="59">
        <v>43334.0</v>
      </c>
      <c r="C1680" s="59">
        <v>43333.0</v>
      </c>
      <c r="D1680" s="60" t="s">
        <v>4712</v>
      </c>
      <c r="E1680" s="58" t="s">
        <v>31</v>
      </c>
      <c r="F1680" s="58">
        <v>1.0</v>
      </c>
      <c r="G1680" s="58" t="s">
        <v>32</v>
      </c>
      <c r="H1680" s="33">
        <f t="shared" si="249"/>
        <v>1</v>
      </c>
      <c r="I1680" s="58" t="s">
        <v>33</v>
      </c>
      <c r="J1680" s="58" t="s">
        <v>47</v>
      </c>
      <c r="K1680" s="58" t="s">
        <v>32</v>
      </c>
      <c r="L1680" s="58" t="s">
        <v>99</v>
      </c>
      <c r="M1680" s="61" t="s">
        <v>4721</v>
      </c>
      <c r="N1680" s="77"/>
      <c r="O1680" s="62"/>
      <c r="P1680" s="62"/>
      <c r="Q1680" s="62"/>
      <c r="R1680" s="62"/>
      <c r="S1680" s="37" t="str">
        <f>IFERROR(__xludf.DUMMYFUNCTION("if(not(iserror(index(split(C1680, "" ""),2))), index(split(C1680, "" ""),1),"""")"),"August")</f>
        <v>August</v>
      </c>
      <c r="T1680" s="38">
        <f>IFERROR(__xludf.DUMMYFUNCTION("if(S1680="""",C1680,if(not(iserror(index(split(C1680, "" ""),3))), index(split(C1680, "" ""),3),index(split(C1680, "" ""),2)))"),2018.0)</f>
        <v>2018</v>
      </c>
      <c r="U1680" s="38" t="b">
        <f t="shared" si="250"/>
        <v>0</v>
      </c>
      <c r="V1680" s="38"/>
      <c r="W1680" s="40"/>
      <c r="X1680" s="40"/>
      <c r="Y1680" s="40"/>
      <c r="Z1680" s="38"/>
      <c r="AA1680" s="38"/>
      <c r="AB1680" s="38"/>
      <c r="AC1680" s="38"/>
      <c r="AD1680" s="38"/>
      <c r="AE1680" s="38"/>
      <c r="AF1680" s="38"/>
      <c r="AG1680" s="38"/>
      <c r="AH1680" s="38"/>
      <c r="AI1680" s="38"/>
      <c r="AJ1680" s="38"/>
      <c r="AK1680" s="38"/>
      <c r="AL1680" s="38"/>
      <c r="AM1680" s="38"/>
      <c r="AN1680" s="38"/>
      <c r="AO1680" s="38"/>
      <c r="AP1680" s="38"/>
      <c r="AQ1680" s="38"/>
      <c r="AR1680" s="38"/>
      <c r="AS1680" s="38"/>
      <c r="AT1680" s="38"/>
      <c r="AU1680" s="38"/>
      <c r="AV1680" s="38"/>
      <c r="AW1680" s="38"/>
      <c r="AX1680" s="38"/>
      <c r="AY1680" s="38"/>
      <c r="AZ1680" s="38"/>
      <c r="BA1680" s="38"/>
      <c r="BB1680" s="38"/>
      <c r="BC1680" s="38"/>
      <c r="BD1680" s="38"/>
      <c r="BE1680" s="38"/>
      <c r="BF1680" s="38"/>
      <c r="BG1680" s="38"/>
      <c r="BH1680" s="38"/>
      <c r="BI1680" s="38"/>
      <c r="BJ1680" s="38"/>
      <c r="BK1680" s="38"/>
      <c r="BL1680" s="38"/>
      <c r="BM1680" s="38"/>
      <c r="BN1680" s="38"/>
      <c r="BO1680" s="38"/>
      <c r="BP1680" s="38"/>
      <c r="BQ1680" s="38"/>
    </row>
    <row r="1681">
      <c r="A1681" s="58" t="s">
        <v>239</v>
      </c>
      <c r="B1681" s="59">
        <v>43335.0</v>
      </c>
      <c r="C1681" s="59">
        <v>43333.0</v>
      </c>
      <c r="D1681" s="60" t="s">
        <v>4712</v>
      </c>
      <c r="E1681" s="58" t="s">
        <v>41</v>
      </c>
      <c r="F1681" s="58">
        <v>1.0</v>
      </c>
      <c r="G1681" s="58" t="s">
        <v>32</v>
      </c>
      <c r="H1681" s="33">
        <f t="shared" si="249"/>
        <v>1</v>
      </c>
      <c r="I1681" s="58" t="s">
        <v>33</v>
      </c>
      <c r="J1681" s="58" t="s">
        <v>111</v>
      </c>
      <c r="K1681" s="58">
        <v>1.0</v>
      </c>
      <c r="L1681" s="58" t="s">
        <v>194</v>
      </c>
      <c r="M1681" s="61" t="s">
        <v>4722</v>
      </c>
      <c r="N1681" s="77"/>
      <c r="O1681" s="62"/>
      <c r="P1681" s="62"/>
      <c r="Q1681" s="62"/>
      <c r="R1681" s="62"/>
      <c r="S1681" s="37" t="str">
        <f>IFERROR(__xludf.DUMMYFUNCTION("if(not(iserror(index(split(C1681, "" ""),2))), index(split(C1681, "" ""),1),"""")"),"August")</f>
        <v>August</v>
      </c>
      <c r="T1681" s="38">
        <f>IFERROR(__xludf.DUMMYFUNCTION("if(S1681="""",C1681,if(not(iserror(index(split(C1681, "" ""),3))), index(split(C1681, "" ""),3),index(split(C1681, "" ""),2)))"),2018.0)</f>
        <v>2018</v>
      </c>
      <c r="U1681" s="38" t="b">
        <f t="shared" si="250"/>
        <v>1</v>
      </c>
      <c r="V1681" s="38"/>
      <c r="W1681" s="40"/>
      <c r="X1681" s="40"/>
      <c r="Y1681" s="40"/>
      <c r="Z1681" s="38"/>
      <c r="AA1681" s="38"/>
      <c r="AB1681" s="38"/>
      <c r="AC1681" s="38"/>
      <c r="AD1681" s="38"/>
      <c r="AE1681" s="38"/>
      <c r="AF1681" s="38"/>
      <c r="AG1681" s="38"/>
      <c r="AH1681" s="38"/>
      <c r="AI1681" s="38"/>
      <c r="AJ1681" s="38"/>
      <c r="AK1681" s="38"/>
      <c r="AL1681" s="38"/>
      <c r="AM1681" s="38"/>
      <c r="AN1681" s="38"/>
      <c r="AO1681" s="38"/>
      <c r="AP1681" s="38"/>
      <c r="AQ1681" s="38"/>
      <c r="AR1681" s="38"/>
      <c r="AS1681" s="38"/>
      <c r="AT1681" s="38"/>
      <c r="AU1681" s="38"/>
      <c r="AV1681" s="38"/>
      <c r="AW1681" s="38"/>
      <c r="AX1681" s="38"/>
      <c r="AY1681" s="38"/>
      <c r="AZ1681" s="38"/>
      <c r="BA1681" s="38"/>
      <c r="BB1681" s="38"/>
      <c r="BC1681" s="38"/>
      <c r="BD1681" s="38"/>
      <c r="BE1681" s="38"/>
      <c r="BF1681" s="38"/>
      <c r="BG1681" s="38"/>
      <c r="BH1681" s="38"/>
      <c r="BI1681" s="38"/>
      <c r="BJ1681" s="38"/>
      <c r="BK1681" s="38"/>
      <c r="BL1681" s="38"/>
      <c r="BM1681" s="38"/>
      <c r="BN1681" s="38"/>
      <c r="BO1681" s="38"/>
      <c r="BP1681" s="38"/>
      <c r="BQ1681" s="38"/>
    </row>
    <row r="1682">
      <c r="A1682" s="58" t="s">
        <v>239</v>
      </c>
      <c r="B1682" s="59">
        <v>43335.0</v>
      </c>
      <c r="C1682" s="59">
        <v>43333.0</v>
      </c>
      <c r="D1682" s="60" t="s">
        <v>4712</v>
      </c>
      <c r="E1682" s="58" t="s">
        <v>41</v>
      </c>
      <c r="F1682" s="58">
        <v>1.0</v>
      </c>
      <c r="G1682" s="58">
        <v>18.0</v>
      </c>
      <c r="H1682" s="33">
        <f t="shared" si="249"/>
        <v>18</v>
      </c>
      <c r="I1682" s="58" t="s">
        <v>33</v>
      </c>
      <c r="J1682" s="58" t="s">
        <v>147</v>
      </c>
      <c r="K1682" s="58">
        <v>1.0</v>
      </c>
      <c r="L1682" s="58" t="s">
        <v>194</v>
      </c>
      <c r="M1682" s="61" t="s">
        <v>4723</v>
      </c>
      <c r="N1682" s="77"/>
      <c r="O1682" s="62"/>
      <c r="P1682" s="62"/>
      <c r="Q1682" s="62"/>
      <c r="R1682" s="62"/>
      <c r="S1682" s="37" t="str">
        <f>IFERROR(__xludf.DUMMYFUNCTION("if(not(iserror(index(split(C1682, "" ""),2))), index(split(C1682, "" ""),1),"""")"),"August")</f>
        <v>August</v>
      </c>
      <c r="T1682" s="38">
        <f>IFERROR(__xludf.DUMMYFUNCTION("if(S1682="""",C1682,if(not(iserror(index(split(C1682, "" ""),3))), index(split(C1682, "" ""),3),index(split(C1682, "" ""),2)))"),2018.0)</f>
        <v>2018</v>
      </c>
      <c r="U1682" s="38" t="b">
        <f t="shared" si="250"/>
        <v>1</v>
      </c>
      <c r="V1682" s="38"/>
      <c r="W1682" s="40"/>
      <c r="X1682" s="40"/>
      <c r="Y1682" s="40"/>
      <c r="Z1682" s="38"/>
      <c r="AA1682" s="38"/>
      <c r="AB1682" s="38"/>
      <c r="AC1682" s="38"/>
      <c r="AD1682" s="38"/>
      <c r="AE1682" s="38"/>
      <c r="AF1682" s="38"/>
      <c r="AG1682" s="38"/>
      <c r="AH1682" s="38"/>
      <c r="AI1682" s="38"/>
      <c r="AJ1682" s="38"/>
      <c r="AK1682" s="38"/>
      <c r="AL1682" s="38"/>
      <c r="AM1682" s="38"/>
      <c r="AN1682" s="38"/>
      <c r="AO1682" s="38"/>
      <c r="AP1682" s="38"/>
      <c r="AQ1682" s="38"/>
      <c r="AR1682" s="38"/>
      <c r="AS1682" s="38"/>
      <c r="AT1682" s="38"/>
      <c r="AU1682" s="38"/>
      <c r="AV1682" s="38"/>
      <c r="AW1682" s="38"/>
      <c r="AX1682" s="38"/>
      <c r="AY1682" s="38"/>
      <c r="AZ1682" s="38"/>
      <c r="BA1682" s="38"/>
      <c r="BB1682" s="38"/>
      <c r="BC1682" s="38"/>
      <c r="BD1682" s="38"/>
      <c r="BE1682" s="38"/>
      <c r="BF1682" s="38"/>
      <c r="BG1682" s="38"/>
      <c r="BH1682" s="38"/>
      <c r="BI1682" s="38"/>
      <c r="BJ1682" s="38"/>
      <c r="BK1682" s="38"/>
      <c r="BL1682" s="38"/>
      <c r="BM1682" s="38"/>
      <c r="BN1682" s="38"/>
      <c r="BO1682" s="38"/>
      <c r="BP1682" s="38"/>
      <c r="BQ1682" s="38"/>
    </row>
    <row r="1683">
      <c r="A1683" s="78" t="s">
        <v>4724</v>
      </c>
      <c r="B1683" s="59">
        <v>43336.0</v>
      </c>
      <c r="C1683" s="59">
        <v>43333.0</v>
      </c>
      <c r="D1683" s="60" t="s">
        <v>4712</v>
      </c>
      <c r="E1683" s="58" t="s">
        <v>31</v>
      </c>
      <c r="F1683" s="58">
        <v>2.0</v>
      </c>
      <c r="G1683" s="58" t="s">
        <v>32</v>
      </c>
      <c r="H1683" s="33">
        <f t="shared" si="249"/>
        <v>1</v>
      </c>
      <c r="I1683" s="58" t="s">
        <v>33</v>
      </c>
      <c r="J1683" s="58" t="s">
        <v>279</v>
      </c>
      <c r="K1683" s="58">
        <v>2.0</v>
      </c>
      <c r="L1683" s="58" t="s">
        <v>35</v>
      </c>
      <c r="M1683" s="61" t="s">
        <v>4725</v>
      </c>
      <c r="N1683" s="77"/>
      <c r="O1683" s="62"/>
      <c r="P1683" s="62"/>
      <c r="Q1683" s="62"/>
      <c r="R1683" s="62"/>
      <c r="S1683" s="37" t="str">
        <f>IFERROR(__xludf.DUMMYFUNCTION("if(not(iserror(index(split(C1683, "" ""),2))), index(split(C1683, "" ""),1),"""")"),"August")</f>
        <v>August</v>
      </c>
      <c r="T1683" s="38">
        <f>IFERROR(__xludf.DUMMYFUNCTION("if(S1683="""",C1683,if(not(iserror(index(split(C1683, "" ""),3))), index(split(C1683, "" ""),3),index(split(C1683, "" ""),2)))"),2018.0)</f>
        <v>2018</v>
      </c>
      <c r="U1683" s="38" t="b">
        <f t="shared" si="250"/>
        <v>0</v>
      </c>
      <c r="V1683" s="38"/>
      <c r="W1683" s="40"/>
      <c r="X1683" s="40"/>
      <c r="Y1683" s="40"/>
      <c r="Z1683" s="38"/>
      <c r="AA1683" s="38"/>
      <c r="AB1683" s="38"/>
      <c r="AC1683" s="38"/>
      <c r="AD1683" s="38"/>
      <c r="AE1683" s="38"/>
      <c r="AF1683" s="38"/>
      <c r="AG1683" s="38"/>
      <c r="AH1683" s="38"/>
      <c r="AI1683" s="38"/>
      <c r="AJ1683" s="38"/>
      <c r="AK1683" s="38"/>
      <c r="AL1683" s="38"/>
      <c r="AM1683" s="38"/>
      <c r="AN1683" s="38"/>
      <c r="AO1683" s="38"/>
      <c r="AP1683" s="38"/>
      <c r="AQ1683" s="38"/>
      <c r="AR1683" s="38"/>
      <c r="AS1683" s="38"/>
      <c r="AT1683" s="38"/>
      <c r="AU1683" s="38"/>
      <c r="AV1683" s="38"/>
      <c r="AW1683" s="38"/>
      <c r="AX1683" s="38"/>
      <c r="AY1683" s="38"/>
      <c r="AZ1683" s="38"/>
      <c r="BA1683" s="38"/>
      <c r="BB1683" s="38"/>
      <c r="BC1683" s="38"/>
      <c r="BD1683" s="38"/>
      <c r="BE1683" s="38"/>
      <c r="BF1683" s="38"/>
      <c r="BG1683" s="38"/>
      <c r="BH1683" s="38"/>
      <c r="BI1683" s="38"/>
      <c r="BJ1683" s="38"/>
      <c r="BK1683" s="38"/>
      <c r="BL1683" s="38"/>
      <c r="BM1683" s="38"/>
      <c r="BN1683" s="38"/>
      <c r="BO1683" s="38"/>
      <c r="BP1683" s="38"/>
      <c r="BQ1683" s="38"/>
    </row>
    <row r="1684">
      <c r="A1684" s="58" t="s">
        <v>239</v>
      </c>
      <c r="B1684" s="59">
        <v>43336.0</v>
      </c>
      <c r="C1684" s="59">
        <v>43333.0</v>
      </c>
      <c r="D1684" s="60" t="s">
        <v>4712</v>
      </c>
      <c r="E1684" s="58" t="s">
        <v>41</v>
      </c>
      <c r="F1684" s="58">
        <v>1.0</v>
      </c>
      <c r="G1684" s="58">
        <v>1.0</v>
      </c>
      <c r="H1684" s="33">
        <f t="shared" si="249"/>
        <v>1</v>
      </c>
      <c r="I1684" s="58" t="s">
        <v>33</v>
      </c>
      <c r="J1684" s="58" t="s">
        <v>147</v>
      </c>
      <c r="K1684" s="58">
        <v>1.0</v>
      </c>
      <c r="L1684" s="58" t="s">
        <v>194</v>
      </c>
      <c r="M1684" s="61" t="s">
        <v>4726</v>
      </c>
      <c r="N1684" s="77"/>
      <c r="O1684" s="58"/>
      <c r="P1684" s="58"/>
      <c r="Q1684" s="84"/>
      <c r="R1684" s="62"/>
      <c r="S1684" s="37" t="str">
        <f>IFERROR(__xludf.DUMMYFUNCTION("if(not(iserror(index(split(C1684, "" ""),2))), index(split(C1684, "" ""),1),"""")"),"August")</f>
        <v>August</v>
      </c>
      <c r="T1684" s="38">
        <f>IFERROR(__xludf.DUMMYFUNCTION("if(S1684="""",C1684,if(not(iserror(index(split(C1684, "" ""),3))), index(split(C1684, "" ""),3),index(split(C1684, "" ""),2)))"),2018.0)</f>
        <v>2018</v>
      </c>
      <c r="U1684" s="38" t="b">
        <f t="shared" si="250"/>
        <v>1</v>
      </c>
      <c r="V1684" s="38"/>
      <c r="W1684" s="40"/>
      <c r="X1684" s="40"/>
      <c r="Y1684" s="40"/>
      <c r="Z1684" s="38"/>
      <c r="AA1684" s="38"/>
      <c r="AB1684" s="38"/>
      <c r="AC1684" s="38"/>
      <c r="AD1684" s="38"/>
      <c r="AE1684" s="38"/>
      <c r="AF1684" s="38"/>
      <c r="AG1684" s="38"/>
      <c r="AH1684" s="38"/>
      <c r="AI1684" s="38"/>
      <c r="AJ1684" s="38"/>
      <c r="AK1684" s="38"/>
      <c r="AL1684" s="38"/>
      <c r="AM1684" s="38"/>
      <c r="AN1684" s="38"/>
      <c r="AO1684" s="38"/>
      <c r="AP1684" s="38"/>
      <c r="AQ1684" s="38"/>
      <c r="AR1684" s="38"/>
      <c r="AS1684" s="38"/>
      <c r="AT1684" s="38"/>
      <c r="AU1684" s="38"/>
      <c r="AV1684" s="38"/>
      <c r="AW1684" s="38"/>
      <c r="AX1684" s="38"/>
      <c r="AY1684" s="38"/>
      <c r="AZ1684" s="38"/>
      <c r="BA1684" s="38"/>
      <c r="BB1684" s="38"/>
      <c r="BC1684" s="38"/>
      <c r="BD1684" s="38"/>
      <c r="BE1684" s="38"/>
      <c r="BF1684" s="38"/>
      <c r="BG1684" s="38"/>
      <c r="BH1684" s="38"/>
      <c r="BI1684" s="38"/>
      <c r="BJ1684" s="38"/>
      <c r="BK1684" s="38"/>
      <c r="BL1684" s="38"/>
      <c r="BM1684" s="38"/>
      <c r="BN1684" s="38"/>
      <c r="BO1684" s="38"/>
      <c r="BP1684" s="38"/>
      <c r="BQ1684" s="38"/>
    </row>
    <row r="1685">
      <c r="A1685" s="58" t="s">
        <v>4727</v>
      </c>
      <c r="B1685" s="59"/>
      <c r="C1685" s="59">
        <v>43333.0</v>
      </c>
      <c r="D1685" s="60"/>
      <c r="E1685" s="58" t="s">
        <v>41</v>
      </c>
      <c r="F1685" s="58">
        <v>1.0</v>
      </c>
      <c r="G1685" s="58" t="s">
        <v>32</v>
      </c>
      <c r="H1685" s="43">
        <v>1.0</v>
      </c>
      <c r="I1685" s="58" t="s">
        <v>33</v>
      </c>
      <c r="J1685" s="58" t="s">
        <v>115</v>
      </c>
      <c r="K1685" s="58"/>
      <c r="L1685" s="58" t="s">
        <v>4728</v>
      </c>
      <c r="M1685" s="61" t="s">
        <v>4729</v>
      </c>
      <c r="N1685" s="61" t="s">
        <v>4730</v>
      </c>
      <c r="O1685" s="88" t="str">
        <f t="shared" ref="O1685:O1687" si="251">hyperlink("https://bad-boys.us/?q=ED-PA/2:18-cr-00352", "ED-PA 2:18-cr-00352")</f>
        <v>ED-PA 2:18-cr-00352</v>
      </c>
      <c r="P1685" s="88" t="s">
        <v>4731</v>
      </c>
      <c r="Q1685" s="58">
        <v>1.0</v>
      </c>
      <c r="R1685" s="62"/>
      <c r="S1685" s="37"/>
      <c r="T1685" s="38"/>
      <c r="U1685" s="38" t="b">
        <f t="shared" si="250"/>
        <v>0</v>
      </c>
      <c r="V1685" s="38" t="s">
        <v>33</v>
      </c>
      <c r="W1685" s="40"/>
      <c r="X1685" s="40"/>
      <c r="Y1685" s="40"/>
      <c r="Z1685" s="38"/>
      <c r="AA1685" s="38"/>
      <c r="AB1685" s="38"/>
      <c r="AC1685" s="38"/>
      <c r="AD1685" s="38"/>
      <c r="AE1685" s="38"/>
      <c r="AF1685" s="38"/>
      <c r="AG1685" s="38"/>
      <c r="AH1685" s="38"/>
      <c r="AI1685" s="38"/>
      <c r="AJ1685" s="38"/>
      <c r="AK1685" s="38"/>
      <c r="AL1685" s="38"/>
      <c r="AM1685" s="38"/>
      <c r="AN1685" s="38"/>
      <c r="AO1685" s="38"/>
      <c r="AP1685" s="38"/>
      <c r="AQ1685" s="38"/>
      <c r="AR1685" s="38"/>
      <c r="AS1685" s="38"/>
      <c r="AT1685" s="38"/>
      <c r="AU1685" s="38"/>
      <c r="AV1685" s="38"/>
      <c r="AW1685" s="38"/>
      <c r="AX1685" s="38"/>
      <c r="AY1685" s="38"/>
      <c r="AZ1685" s="38"/>
      <c r="BA1685" s="38"/>
      <c r="BB1685" s="38"/>
      <c r="BC1685" s="38"/>
      <c r="BD1685" s="38"/>
      <c r="BE1685" s="38"/>
      <c r="BF1685" s="38"/>
      <c r="BG1685" s="38"/>
      <c r="BH1685" s="38"/>
      <c r="BI1685" s="38"/>
      <c r="BJ1685" s="38"/>
      <c r="BK1685" s="38"/>
      <c r="BL1685" s="38"/>
      <c r="BM1685" s="38"/>
      <c r="BN1685" s="38"/>
      <c r="BO1685" s="38"/>
      <c r="BP1685" s="38"/>
      <c r="BQ1685" s="38"/>
    </row>
    <row r="1686">
      <c r="A1686" s="58" t="s">
        <v>4732</v>
      </c>
      <c r="B1686" s="59"/>
      <c r="C1686" s="59">
        <v>43333.0</v>
      </c>
      <c r="D1686" s="60"/>
      <c r="E1686" s="58" t="s">
        <v>41</v>
      </c>
      <c r="F1686" s="58">
        <v>1.0</v>
      </c>
      <c r="G1686" s="58" t="s">
        <v>32</v>
      </c>
      <c r="H1686" s="43">
        <v>1.0</v>
      </c>
      <c r="I1686" s="58" t="s">
        <v>33</v>
      </c>
      <c r="J1686" s="58" t="s">
        <v>115</v>
      </c>
      <c r="K1686" s="58"/>
      <c r="L1686" s="58" t="s">
        <v>4728</v>
      </c>
      <c r="M1686" s="80" t="s">
        <v>4729</v>
      </c>
      <c r="N1686" s="80" t="s">
        <v>4733</v>
      </c>
      <c r="O1686" s="88" t="str">
        <f t="shared" si="251"/>
        <v>ED-PA 2:18-cr-00352</v>
      </c>
      <c r="P1686" s="88" t="s">
        <v>4731</v>
      </c>
      <c r="Q1686" s="58">
        <v>1.0</v>
      </c>
      <c r="R1686" s="62"/>
      <c r="S1686" s="37"/>
      <c r="T1686" s="38"/>
      <c r="U1686" s="38" t="b">
        <f t="shared" si="250"/>
        <v>0</v>
      </c>
      <c r="V1686" s="38" t="s">
        <v>33</v>
      </c>
      <c r="W1686" s="39" t="s">
        <v>4734</v>
      </c>
      <c r="X1686" s="40"/>
      <c r="Y1686" s="40"/>
      <c r="Z1686" s="38"/>
      <c r="AA1686" s="38"/>
      <c r="AB1686" s="38"/>
      <c r="AC1686" s="38"/>
      <c r="AD1686" s="38"/>
      <c r="AE1686" s="38"/>
      <c r="AF1686" s="38"/>
      <c r="AG1686" s="38"/>
      <c r="AH1686" s="38"/>
      <c r="AI1686" s="38"/>
      <c r="AJ1686" s="38"/>
      <c r="AK1686" s="38"/>
      <c r="AL1686" s="38"/>
      <c r="AM1686" s="38"/>
      <c r="AN1686" s="38"/>
      <c r="AO1686" s="38"/>
      <c r="AP1686" s="38"/>
      <c r="AQ1686" s="38"/>
      <c r="AR1686" s="38"/>
      <c r="AS1686" s="38"/>
      <c r="AT1686" s="38"/>
      <c r="AU1686" s="38"/>
      <c r="AV1686" s="38"/>
      <c r="AW1686" s="38"/>
      <c r="AX1686" s="38"/>
      <c r="AY1686" s="38"/>
      <c r="AZ1686" s="38"/>
      <c r="BA1686" s="38"/>
      <c r="BB1686" s="38"/>
      <c r="BC1686" s="38"/>
      <c r="BD1686" s="38"/>
      <c r="BE1686" s="38"/>
      <c r="BF1686" s="38"/>
      <c r="BG1686" s="38"/>
      <c r="BH1686" s="38"/>
      <c r="BI1686" s="38"/>
      <c r="BJ1686" s="38"/>
      <c r="BK1686" s="38"/>
      <c r="BL1686" s="38"/>
      <c r="BM1686" s="38"/>
      <c r="BN1686" s="38"/>
      <c r="BO1686" s="38"/>
      <c r="BP1686" s="38"/>
      <c r="BQ1686" s="38"/>
    </row>
    <row r="1687">
      <c r="A1687" s="58" t="s">
        <v>4735</v>
      </c>
      <c r="B1687" s="59"/>
      <c r="C1687" s="59">
        <v>43333.0</v>
      </c>
      <c r="D1687" s="60"/>
      <c r="E1687" s="58" t="s">
        <v>41</v>
      </c>
      <c r="F1687" s="58">
        <v>1.0</v>
      </c>
      <c r="G1687" s="58" t="s">
        <v>32</v>
      </c>
      <c r="H1687" s="43">
        <v>1.0</v>
      </c>
      <c r="I1687" s="58" t="s">
        <v>33</v>
      </c>
      <c r="J1687" s="58" t="s">
        <v>115</v>
      </c>
      <c r="K1687" s="58"/>
      <c r="L1687" s="58" t="s">
        <v>4728</v>
      </c>
      <c r="M1687" s="80" t="s">
        <v>4729</v>
      </c>
      <c r="N1687" s="61" t="s">
        <v>4730</v>
      </c>
      <c r="O1687" s="88" t="str">
        <f t="shared" si="251"/>
        <v>ED-PA 2:18-cr-00352</v>
      </c>
      <c r="P1687" s="88" t="s">
        <v>4731</v>
      </c>
      <c r="Q1687" s="58">
        <v>1.0</v>
      </c>
      <c r="R1687" s="62"/>
      <c r="S1687" s="37"/>
      <c r="T1687" s="38"/>
      <c r="U1687" s="38" t="b">
        <f t="shared" si="250"/>
        <v>0</v>
      </c>
      <c r="V1687" s="38" t="s">
        <v>33</v>
      </c>
      <c r="W1687" s="40"/>
      <c r="X1687" s="40"/>
      <c r="Y1687" s="40"/>
      <c r="Z1687" s="38"/>
      <c r="AA1687" s="38"/>
      <c r="AB1687" s="38"/>
      <c r="AC1687" s="38"/>
      <c r="AD1687" s="38"/>
      <c r="AE1687" s="38"/>
      <c r="AF1687" s="38"/>
      <c r="AG1687" s="38"/>
      <c r="AH1687" s="38"/>
      <c r="AI1687" s="38"/>
      <c r="AJ1687" s="38"/>
      <c r="AK1687" s="38"/>
      <c r="AL1687" s="38"/>
      <c r="AM1687" s="38"/>
      <c r="AN1687" s="38"/>
      <c r="AO1687" s="38"/>
      <c r="AP1687" s="38"/>
      <c r="AQ1687" s="38"/>
      <c r="AR1687" s="38"/>
      <c r="AS1687" s="38"/>
      <c r="AT1687" s="38"/>
      <c r="AU1687" s="38"/>
      <c r="AV1687" s="38"/>
      <c r="AW1687" s="38"/>
      <c r="AX1687" s="38"/>
      <c r="AY1687" s="38"/>
      <c r="AZ1687" s="38"/>
      <c r="BA1687" s="38"/>
      <c r="BB1687" s="38"/>
      <c r="BC1687" s="38"/>
      <c r="BD1687" s="38"/>
      <c r="BE1687" s="38"/>
      <c r="BF1687" s="38"/>
      <c r="BG1687" s="38"/>
      <c r="BH1687" s="38"/>
      <c r="BI1687" s="38"/>
      <c r="BJ1687" s="38"/>
      <c r="BK1687" s="38"/>
      <c r="BL1687" s="38"/>
      <c r="BM1687" s="38"/>
      <c r="BN1687" s="38"/>
      <c r="BO1687" s="38"/>
      <c r="BP1687" s="38"/>
      <c r="BQ1687" s="38"/>
    </row>
    <row r="1688">
      <c r="A1688" s="152" t="s">
        <v>4736</v>
      </c>
      <c r="B1688" s="153">
        <v>43334.0</v>
      </c>
      <c r="C1688" s="153">
        <v>43334.0</v>
      </c>
      <c r="D1688" s="154" t="s">
        <v>4737</v>
      </c>
      <c r="E1688" s="155" t="s">
        <v>41</v>
      </c>
      <c r="F1688" s="152">
        <v>1.0</v>
      </c>
      <c r="G1688" s="152" t="s">
        <v>32</v>
      </c>
      <c r="H1688" s="33">
        <f>if(G1688="Unknown",1,G1688)</f>
        <v>1</v>
      </c>
      <c r="I1688" s="152" t="s">
        <v>33</v>
      </c>
      <c r="J1688" s="152" t="s">
        <v>410</v>
      </c>
      <c r="K1688" s="152">
        <v>2.0</v>
      </c>
      <c r="L1688" s="152" t="s">
        <v>119</v>
      </c>
      <c r="M1688" s="158" t="s">
        <v>4738</v>
      </c>
      <c r="N1688" s="163"/>
      <c r="O1688" s="88" t="str">
        <f>hyperlink("https://bad-boys.us/?q=D-MA/1:18-mj-01209", "D-MA 1:18-mj-01209")</f>
        <v>D-MA 1:18-mj-01209</v>
      </c>
      <c r="P1688" s="88" t="s">
        <v>4739</v>
      </c>
      <c r="Q1688" s="84">
        <v>1.0</v>
      </c>
      <c r="R1688" s="62"/>
      <c r="S1688" s="37" t="str">
        <f>IFERROR(__xludf.DUMMYFUNCTION("if(not(iserror(index(split(C1688, "" ""),2))), index(split(C1688, "" ""),1),"""")"),"August")</f>
        <v>August</v>
      </c>
      <c r="T1688" s="38">
        <f>IFERROR(__xludf.DUMMYFUNCTION("if(S1688="""",C1688,if(not(iserror(index(split(C1688, "" ""),3))), index(split(C1688, "" ""),3),index(split(C1688, "" ""),2)))"),2018.0)</f>
        <v>2018</v>
      </c>
      <c r="U1688" s="38" t="b">
        <f t="shared" si="250"/>
        <v>0</v>
      </c>
      <c r="V1688" s="38"/>
      <c r="W1688" s="40"/>
      <c r="X1688" s="40"/>
      <c r="Y1688" s="40"/>
      <c r="Z1688" s="38"/>
      <c r="AA1688" s="38"/>
      <c r="AB1688" s="38"/>
      <c r="AC1688" s="38"/>
      <c r="AD1688" s="38"/>
      <c r="AE1688" s="38"/>
      <c r="AF1688" s="38"/>
      <c r="AG1688" s="38"/>
      <c r="AH1688" s="38"/>
      <c r="AI1688" s="38"/>
      <c r="AJ1688" s="38"/>
      <c r="AK1688" s="38"/>
      <c r="AL1688" s="38"/>
      <c r="AM1688" s="38"/>
      <c r="AN1688" s="38"/>
      <c r="AO1688" s="38"/>
      <c r="AP1688" s="38"/>
      <c r="AQ1688" s="38"/>
      <c r="AR1688" s="38"/>
      <c r="AS1688" s="38"/>
      <c r="AT1688" s="38"/>
      <c r="AU1688" s="38"/>
      <c r="AV1688" s="38"/>
      <c r="AW1688" s="38"/>
      <c r="AX1688" s="38"/>
      <c r="AY1688" s="38"/>
      <c r="AZ1688" s="38"/>
      <c r="BA1688" s="38"/>
      <c r="BB1688" s="38"/>
      <c r="BC1688" s="38"/>
      <c r="BD1688" s="38"/>
      <c r="BE1688" s="38"/>
      <c r="BF1688" s="38"/>
      <c r="BG1688" s="38"/>
      <c r="BH1688" s="38"/>
      <c r="BI1688" s="38"/>
      <c r="BJ1688" s="38"/>
      <c r="BK1688" s="38"/>
      <c r="BL1688" s="38"/>
      <c r="BM1688" s="38"/>
      <c r="BN1688" s="38"/>
      <c r="BO1688" s="38"/>
      <c r="BP1688" s="38"/>
      <c r="BQ1688" s="38"/>
    </row>
    <row r="1689">
      <c r="A1689" s="78" t="s">
        <v>4740</v>
      </c>
      <c r="B1689" s="59"/>
      <c r="C1689" s="59">
        <v>43334.0</v>
      </c>
      <c r="D1689" s="60"/>
      <c r="E1689" s="58" t="s">
        <v>41</v>
      </c>
      <c r="F1689" s="58">
        <v>1.0</v>
      </c>
      <c r="G1689" s="58" t="s">
        <v>32</v>
      </c>
      <c r="H1689" s="43">
        <v>1.0</v>
      </c>
      <c r="I1689" s="58" t="s">
        <v>33</v>
      </c>
      <c r="J1689" s="58" t="s">
        <v>93</v>
      </c>
      <c r="K1689" s="58"/>
      <c r="L1689" s="239" t="s">
        <v>119</v>
      </c>
      <c r="M1689" s="80" t="s">
        <v>4741</v>
      </c>
      <c r="N1689" s="77"/>
      <c r="O1689" s="62"/>
      <c r="P1689" s="62"/>
      <c r="Q1689" s="58"/>
      <c r="R1689" s="62"/>
      <c r="S1689" s="37"/>
      <c r="T1689" s="38"/>
      <c r="U1689" s="38"/>
      <c r="V1689" s="38" t="s">
        <v>33</v>
      </c>
      <c r="W1689" s="40"/>
      <c r="X1689" s="40"/>
      <c r="Y1689" s="40"/>
      <c r="Z1689" s="38"/>
      <c r="AA1689" s="38"/>
      <c r="AB1689" s="38"/>
      <c r="AC1689" s="38"/>
      <c r="AD1689" s="38"/>
      <c r="AE1689" s="38"/>
      <c r="AF1689" s="38"/>
      <c r="AG1689" s="38"/>
      <c r="AH1689" s="38"/>
      <c r="AI1689" s="38"/>
      <c r="AJ1689" s="38"/>
      <c r="AK1689" s="38"/>
      <c r="AL1689" s="38"/>
      <c r="AM1689" s="38"/>
      <c r="AN1689" s="38"/>
      <c r="AO1689" s="38"/>
      <c r="AP1689" s="38"/>
      <c r="AQ1689" s="38"/>
      <c r="AR1689" s="38"/>
      <c r="AS1689" s="38"/>
      <c r="AT1689" s="38"/>
      <c r="AU1689" s="38"/>
      <c r="AV1689" s="38"/>
      <c r="AW1689" s="38"/>
      <c r="AX1689" s="38"/>
      <c r="AY1689" s="38"/>
      <c r="AZ1689" s="38"/>
      <c r="BA1689" s="38"/>
      <c r="BB1689" s="38"/>
      <c r="BC1689" s="38"/>
      <c r="BD1689" s="38"/>
      <c r="BE1689" s="38"/>
      <c r="BF1689" s="38"/>
      <c r="BG1689" s="38"/>
      <c r="BH1689" s="38"/>
      <c r="BI1689" s="38"/>
      <c r="BJ1689" s="38"/>
      <c r="BK1689" s="38"/>
      <c r="BL1689" s="38"/>
      <c r="BM1689" s="38"/>
      <c r="BN1689" s="38"/>
      <c r="BO1689" s="38"/>
      <c r="BP1689" s="38"/>
      <c r="BQ1689" s="38"/>
    </row>
    <row r="1690">
      <c r="A1690" s="78" t="s">
        <v>4742</v>
      </c>
      <c r="B1690" s="59">
        <v>43334.0</v>
      </c>
      <c r="C1690" s="59">
        <v>43334.0</v>
      </c>
      <c r="D1690" s="60" t="s">
        <v>4737</v>
      </c>
      <c r="E1690" s="58" t="s">
        <v>41</v>
      </c>
      <c r="F1690" s="58">
        <v>2.0</v>
      </c>
      <c r="G1690" s="58" t="s">
        <v>32</v>
      </c>
      <c r="H1690" s="33">
        <f t="shared" ref="H1690:H1696" si="252">if(G1690="Unknown",1,G1690)</f>
        <v>1</v>
      </c>
      <c r="I1690" s="58" t="s">
        <v>33</v>
      </c>
      <c r="J1690" s="58" t="s">
        <v>98</v>
      </c>
      <c r="K1690" s="58">
        <v>1.0</v>
      </c>
      <c r="L1690" s="58" t="s">
        <v>52</v>
      </c>
      <c r="M1690" s="227" t="s">
        <v>4743</v>
      </c>
      <c r="N1690" s="77"/>
      <c r="O1690" s="62"/>
      <c r="P1690" s="62"/>
      <c r="Q1690" s="62"/>
      <c r="R1690" s="62"/>
      <c r="S1690" s="37" t="str">
        <f>IFERROR(__xludf.DUMMYFUNCTION("if(not(iserror(index(split(C1690, "" ""),2))), index(split(C1690, "" ""),1),"""")"),"August")</f>
        <v>August</v>
      </c>
      <c r="T1690" s="38">
        <f>IFERROR(__xludf.DUMMYFUNCTION("if(S1690="""",C1690,if(not(iserror(index(split(C1690, "" ""),3))), index(split(C1690, "" ""),3),index(split(C1690, "" ""),2)))"),2018.0)</f>
        <v>2018</v>
      </c>
      <c r="U1690" s="38" t="b">
        <f t="shared" ref="U1690:U1741" si="253">countif(A$4:A4658, A1690)&gt;1</f>
        <v>0</v>
      </c>
      <c r="V1690" s="38"/>
      <c r="W1690" s="40"/>
      <c r="X1690" s="40"/>
      <c r="Y1690" s="40"/>
      <c r="Z1690" s="38"/>
      <c r="AA1690" s="38"/>
      <c r="AB1690" s="38"/>
      <c r="AC1690" s="38"/>
      <c r="AD1690" s="38"/>
      <c r="AE1690" s="38"/>
      <c r="AF1690" s="38"/>
      <c r="AG1690" s="38"/>
      <c r="AH1690" s="38"/>
      <c r="AI1690" s="38"/>
      <c r="AJ1690" s="38"/>
      <c r="AK1690" s="38"/>
      <c r="AL1690" s="38"/>
      <c r="AM1690" s="38"/>
      <c r="AN1690" s="38"/>
      <c r="AO1690" s="38"/>
      <c r="AP1690" s="38"/>
      <c r="AQ1690" s="38"/>
      <c r="AR1690" s="38"/>
      <c r="AS1690" s="38"/>
      <c r="AT1690" s="38"/>
      <c r="AU1690" s="38"/>
      <c r="AV1690" s="38"/>
      <c r="AW1690" s="38"/>
      <c r="AX1690" s="38"/>
      <c r="AY1690" s="38"/>
      <c r="AZ1690" s="38"/>
      <c r="BA1690" s="38"/>
      <c r="BB1690" s="38"/>
      <c r="BC1690" s="38"/>
      <c r="BD1690" s="38"/>
      <c r="BE1690" s="38"/>
      <c r="BF1690" s="38"/>
      <c r="BG1690" s="38"/>
      <c r="BH1690" s="38"/>
      <c r="BI1690" s="38"/>
      <c r="BJ1690" s="38"/>
      <c r="BK1690" s="38"/>
      <c r="BL1690" s="38"/>
      <c r="BM1690" s="38"/>
      <c r="BN1690" s="38"/>
      <c r="BO1690" s="38"/>
      <c r="BP1690" s="38"/>
      <c r="BQ1690" s="38"/>
    </row>
    <row r="1691">
      <c r="A1691" s="58" t="s">
        <v>4744</v>
      </c>
      <c r="B1691" s="59">
        <v>43334.0</v>
      </c>
      <c r="C1691" s="59">
        <v>43334.0</v>
      </c>
      <c r="D1691" s="60" t="s">
        <v>4737</v>
      </c>
      <c r="E1691" s="58" t="s">
        <v>31</v>
      </c>
      <c r="F1691" s="58">
        <v>1.0</v>
      </c>
      <c r="G1691" s="58" t="s">
        <v>32</v>
      </c>
      <c r="H1691" s="33">
        <f t="shared" si="252"/>
        <v>1</v>
      </c>
      <c r="I1691" s="58" t="s">
        <v>33</v>
      </c>
      <c r="J1691" s="58" t="s">
        <v>47</v>
      </c>
      <c r="K1691" s="58">
        <v>1.0</v>
      </c>
      <c r="L1691" s="58" t="s">
        <v>99</v>
      </c>
      <c r="M1691" s="61" t="s">
        <v>4745</v>
      </c>
      <c r="N1691" s="77"/>
      <c r="O1691" s="62"/>
      <c r="P1691" s="62"/>
      <c r="Q1691" s="62"/>
      <c r="R1691" s="62"/>
      <c r="S1691" s="37" t="str">
        <f>IFERROR(__xludf.DUMMYFUNCTION("if(not(iserror(index(split(C1691, "" ""),2))), index(split(C1691, "" ""),1),"""")"),"August")</f>
        <v>August</v>
      </c>
      <c r="T1691" s="38">
        <f>IFERROR(__xludf.DUMMYFUNCTION("if(S1691="""",C1691,if(not(iserror(index(split(C1691, "" ""),3))), index(split(C1691, "" ""),3),index(split(C1691, "" ""),2)))"),2018.0)</f>
        <v>2018</v>
      </c>
      <c r="U1691" s="38" t="b">
        <f t="shared" si="253"/>
        <v>0</v>
      </c>
      <c r="V1691" s="38"/>
      <c r="W1691" s="40"/>
      <c r="X1691" s="40"/>
      <c r="Y1691" s="40"/>
      <c r="Z1691" s="38"/>
      <c r="AA1691" s="38"/>
      <c r="AB1691" s="38"/>
      <c r="AC1691" s="38"/>
      <c r="AD1691" s="38"/>
      <c r="AE1691" s="38"/>
      <c r="AF1691" s="38"/>
      <c r="AG1691" s="38"/>
      <c r="AH1691" s="38"/>
      <c r="AI1691" s="38"/>
      <c r="AJ1691" s="38"/>
      <c r="AK1691" s="38"/>
      <c r="AL1691" s="38"/>
      <c r="AM1691" s="38"/>
      <c r="AN1691" s="38"/>
      <c r="AO1691" s="38"/>
      <c r="AP1691" s="38"/>
      <c r="AQ1691" s="38"/>
      <c r="AR1691" s="38"/>
      <c r="AS1691" s="38"/>
      <c r="AT1691" s="38"/>
      <c r="AU1691" s="38"/>
      <c r="AV1691" s="38"/>
      <c r="AW1691" s="38"/>
      <c r="AX1691" s="38"/>
      <c r="AY1691" s="38"/>
      <c r="AZ1691" s="38"/>
      <c r="BA1691" s="38"/>
      <c r="BB1691" s="38"/>
      <c r="BC1691" s="38"/>
      <c r="BD1691" s="38"/>
      <c r="BE1691" s="38"/>
      <c r="BF1691" s="38"/>
      <c r="BG1691" s="38"/>
      <c r="BH1691" s="38"/>
      <c r="BI1691" s="38"/>
      <c r="BJ1691" s="38"/>
      <c r="BK1691" s="38"/>
      <c r="BL1691" s="38"/>
      <c r="BM1691" s="38"/>
      <c r="BN1691" s="38"/>
      <c r="BO1691" s="38"/>
      <c r="BP1691" s="38"/>
      <c r="BQ1691" s="38"/>
    </row>
    <row r="1692">
      <c r="A1692" s="58" t="s">
        <v>4746</v>
      </c>
      <c r="B1692" s="59">
        <v>43334.0</v>
      </c>
      <c r="C1692" s="59">
        <v>43334.0</v>
      </c>
      <c r="D1692" s="60" t="s">
        <v>4737</v>
      </c>
      <c r="E1692" s="58" t="s">
        <v>41</v>
      </c>
      <c r="F1692" s="58">
        <v>1.0</v>
      </c>
      <c r="G1692" s="58" t="s">
        <v>32</v>
      </c>
      <c r="H1692" s="33">
        <f t="shared" si="252"/>
        <v>1</v>
      </c>
      <c r="I1692" s="58" t="s">
        <v>33</v>
      </c>
      <c r="J1692" s="58" t="s">
        <v>47</v>
      </c>
      <c r="K1692" s="58">
        <v>1.0</v>
      </c>
      <c r="L1692" s="58" t="s">
        <v>99</v>
      </c>
      <c r="M1692" s="61" t="s">
        <v>4747</v>
      </c>
      <c r="N1692" s="77"/>
      <c r="O1692" s="58"/>
      <c r="P1692" s="58"/>
      <c r="Q1692" s="84"/>
      <c r="R1692" s="62"/>
      <c r="S1692" s="37" t="str">
        <f>IFERROR(__xludf.DUMMYFUNCTION("if(not(iserror(index(split(C1692, "" ""),2))), index(split(C1692, "" ""),1),"""")"),"August")</f>
        <v>August</v>
      </c>
      <c r="T1692" s="38">
        <f>IFERROR(__xludf.DUMMYFUNCTION("if(S1692="""",C1692,if(not(iserror(index(split(C1692, "" ""),3))), index(split(C1692, "" ""),3),index(split(C1692, "" ""),2)))"),2018.0)</f>
        <v>2018</v>
      </c>
      <c r="U1692" s="38" t="b">
        <f t="shared" si="253"/>
        <v>0</v>
      </c>
      <c r="V1692" s="38"/>
      <c r="W1692" s="40"/>
      <c r="X1692" s="40"/>
      <c r="Y1692" s="40"/>
      <c r="Z1692" s="38"/>
      <c r="AA1692" s="38"/>
      <c r="AB1692" s="38"/>
      <c r="AC1692" s="38"/>
      <c r="AD1692" s="38"/>
      <c r="AE1692" s="38"/>
      <c r="AF1692" s="38"/>
      <c r="AG1692" s="38"/>
      <c r="AH1692" s="38"/>
      <c r="AI1692" s="38"/>
      <c r="AJ1692" s="38"/>
      <c r="AK1692" s="38"/>
      <c r="AL1692" s="38"/>
      <c r="AM1692" s="38"/>
      <c r="AN1692" s="38"/>
      <c r="AO1692" s="38"/>
      <c r="AP1692" s="38"/>
      <c r="AQ1692" s="38"/>
      <c r="AR1692" s="38"/>
      <c r="AS1692" s="38"/>
      <c r="AT1692" s="38"/>
      <c r="AU1692" s="38"/>
      <c r="AV1692" s="38"/>
      <c r="AW1692" s="38"/>
      <c r="AX1692" s="38"/>
      <c r="AY1692" s="38"/>
      <c r="AZ1692" s="38"/>
      <c r="BA1692" s="38"/>
      <c r="BB1692" s="38"/>
      <c r="BC1692" s="38"/>
      <c r="BD1692" s="38"/>
      <c r="BE1692" s="38"/>
      <c r="BF1692" s="38"/>
      <c r="BG1692" s="38"/>
      <c r="BH1692" s="38"/>
      <c r="BI1692" s="38"/>
      <c r="BJ1692" s="38"/>
      <c r="BK1692" s="38"/>
      <c r="BL1692" s="38"/>
      <c r="BM1692" s="38"/>
      <c r="BN1692" s="38"/>
      <c r="BO1692" s="38"/>
      <c r="BP1692" s="38"/>
      <c r="BQ1692" s="38"/>
    </row>
    <row r="1693">
      <c r="A1693" s="58" t="s">
        <v>4748</v>
      </c>
      <c r="B1693" s="59">
        <v>43335.0</v>
      </c>
      <c r="C1693" s="59">
        <v>43334.0</v>
      </c>
      <c r="D1693" s="60" t="s">
        <v>4737</v>
      </c>
      <c r="E1693" s="58" t="s">
        <v>31</v>
      </c>
      <c r="F1693" s="58">
        <v>1.0</v>
      </c>
      <c r="G1693" s="58" t="s">
        <v>32</v>
      </c>
      <c r="H1693" s="33">
        <f t="shared" si="252"/>
        <v>1</v>
      </c>
      <c r="I1693" s="58" t="s">
        <v>33</v>
      </c>
      <c r="J1693" s="58" t="s">
        <v>47</v>
      </c>
      <c r="K1693" s="58" t="s">
        <v>32</v>
      </c>
      <c r="L1693" s="58" t="s">
        <v>99</v>
      </c>
      <c r="M1693" s="61" t="s">
        <v>4749</v>
      </c>
      <c r="N1693" s="77"/>
      <c r="O1693" s="62"/>
      <c r="P1693" s="62"/>
      <c r="Q1693" s="62"/>
      <c r="R1693" s="62"/>
      <c r="S1693" s="37" t="str">
        <f>IFERROR(__xludf.DUMMYFUNCTION("if(not(iserror(index(split(C1693, "" ""),2))), index(split(C1693, "" ""),1),"""")"),"August")</f>
        <v>August</v>
      </c>
      <c r="T1693" s="38">
        <f>IFERROR(__xludf.DUMMYFUNCTION("if(S1693="""",C1693,if(not(iserror(index(split(C1693, "" ""),3))), index(split(C1693, "" ""),3),index(split(C1693, "" ""),2)))"),2018.0)</f>
        <v>2018</v>
      </c>
      <c r="U1693" s="38" t="b">
        <f t="shared" si="253"/>
        <v>0</v>
      </c>
      <c r="V1693" s="38"/>
      <c r="W1693" s="40"/>
      <c r="X1693" s="40"/>
      <c r="Y1693" s="40"/>
      <c r="Z1693" s="38"/>
      <c r="AA1693" s="38"/>
      <c r="AB1693" s="38"/>
      <c r="AC1693" s="38"/>
      <c r="AD1693" s="38"/>
      <c r="AE1693" s="38"/>
      <c r="AF1693" s="38"/>
      <c r="AG1693" s="38"/>
      <c r="AH1693" s="38"/>
      <c r="AI1693" s="38"/>
      <c r="AJ1693" s="38"/>
      <c r="AK1693" s="38"/>
      <c r="AL1693" s="38"/>
      <c r="AM1693" s="38"/>
      <c r="AN1693" s="38"/>
      <c r="AO1693" s="38"/>
      <c r="AP1693" s="38"/>
      <c r="AQ1693" s="38"/>
      <c r="AR1693" s="38"/>
      <c r="AS1693" s="38"/>
      <c r="AT1693" s="38"/>
      <c r="AU1693" s="38"/>
      <c r="AV1693" s="38"/>
      <c r="AW1693" s="38"/>
      <c r="AX1693" s="38"/>
      <c r="AY1693" s="38"/>
      <c r="AZ1693" s="38"/>
      <c r="BA1693" s="38"/>
      <c r="BB1693" s="38"/>
      <c r="BC1693" s="38"/>
      <c r="BD1693" s="38"/>
      <c r="BE1693" s="38"/>
      <c r="BF1693" s="38"/>
      <c r="BG1693" s="38"/>
      <c r="BH1693" s="38"/>
      <c r="BI1693" s="38"/>
      <c r="BJ1693" s="38"/>
      <c r="BK1693" s="38"/>
      <c r="BL1693" s="38"/>
      <c r="BM1693" s="38"/>
      <c r="BN1693" s="38"/>
      <c r="BO1693" s="38"/>
      <c r="BP1693" s="38"/>
      <c r="BQ1693" s="38"/>
    </row>
    <row r="1694">
      <c r="A1694" s="58" t="s">
        <v>239</v>
      </c>
      <c r="B1694" s="59">
        <v>43335.0</v>
      </c>
      <c r="C1694" s="59">
        <v>43334.0</v>
      </c>
      <c r="D1694" s="60" t="s">
        <v>4737</v>
      </c>
      <c r="E1694" s="58" t="s">
        <v>41</v>
      </c>
      <c r="F1694" s="58">
        <v>2.0</v>
      </c>
      <c r="G1694" s="58">
        <v>6.0</v>
      </c>
      <c r="H1694" s="33">
        <f t="shared" si="252"/>
        <v>6</v>
      </c>
      <c r="I1694" s="58" t="s">
        <v>33</v>
      </c>
      <c r="J1694" s="58" t="s">
        <v>147</v>
      </c>
      <c r="K1694" s="58">
        <v>1.0</v>
      </c>
      <c r="L1694" s="58" t="s">
        <v>194</v>
      </c>
      <c r="M1694" s="61" t="s">
        <v>4750</v>
      </c>
      <c r="N1694" s="77"/>
      <c r="O1694" s="62"/>
      <c r="P1694" s="62"/>
      <c r="Q1694" s="62"/>
      <c r="R1694" s="62"/>
      <c r="S1694" s="37" t="str">
        <f>IFERROR(__xludf.DUMMYFUNCTION("if(not(iserror(index(split(C1694, "" ""),2))), index(split(C1694, "" ""),1),"""")"),"August")</f>
        <v>August</v>
      </c>
      <c r="T1694" s="38">
        <f>IFERROR(__xludf.DUMMYFUNCTION("if(S1694="""",C1694,if(not(iserror(index(split(C1694, "" ""),3))), index(split(C1694, "" ""),3),index(split(C1694, "" ""),2)))"),2018.0)</f>
        <v>2018</v>
      </c>
      <c r="U1694" s="38" t="b">
        <f t="shared" si="253"/>
        <v>1</v>
      </c>
      <c r="V1694" s="38"/>
      <c r="W1694" s="40"/>
      <c r="X1694" s="40"/>
      <c r="Y1694" s="40"/>
      <c r="Z1694" s="38"/>
      <c r="AA1694" s="38"/>
      <c r="AB1694" s="38"/>
      <c r="AC1694" s="38"/>
      <c r="AD1694" s="38"/>
      <c r="AE1694" s="38"/>
      <c r="AF1694" s="38"/>
      <c r="AG1694" s="38"/>
      <c r="AH1694" s="38"/>
      <c r="AI1694" s="38"/>
      <c r="AJ1694" s="38"/>
      <c r="AK1694" s="38"/>
      <c r="AL1694" s="38"/>
      <c r="AM1694" s="38"/>
      <c r="AN1694" s="38"/>
      <c r="AO1694" s="38"/>
      <c r="AP1694" s="38"/>
      <c r="AQ1694" s="38"/>
      <c r="AR1694" s="38"/>
      <c r="AS1694" s="38"/>
      <c r="AT1694" s="38"/>
      <c r="AU1694" s="38"/>
      <c r="AV1694" s="38"/>
      <c r="AW1694" s="38"/>
      <c r="AX1694" s="38"/>
      <c r="AY1694" s="38"/>
      <c r="AZ1694" s="38"/>
      <c r="BA1694" s="38"/>
      <c r="BB1694" s="38"/>
      <c r="BC1694" s="38"/>
      <c r="BD1694" s="38"/>
      <c r="BE1694" s="38"/>
      <c r="BF1694" s="38"/>
      <c r="BG1694" s="38"/>
      <c r="BH1694" s="38"/>
      <c r="BI1694" s="38"/>
      <c r="BJ1694" s="38"/>
      <c r="BK1694" s="38"/>
      <c r="BL1694" s="38"/>
      <c r="BM1694" s="38"/>
      <c r="BN1694" s="38"/>
      <c r="BO1694" s="38"/>
      <c r="BP1694" s="38"/>
      <c r="BQ1694" s="38"/>
    </row>
    <row r="1695">
      <c r="A1695" s="58" t="s">
        <v>4751</v>
      </c>
      <c r="B1695" s="59">
        <v>43336.0</v>
      </c>
      <c r="C1695" s="59">
        <v>43334.0</v>
      </c>
      <c r="D1695" s="60" t="s">
        <v>4737</v>
      </c>
      <c r="E1695" s="58" t="s">
        <v>31</v>
      </c>
      <c r="F1695" s="58">
        <v>1.0</v>
      </c>
      <c r="G1695" s="58" t="s">
        <v>32</v>
      </c>
      <c r="H1695" s="33">
        <f t="shared" si="252"/>
        <v>1</v>
      </c>
      <c r="I1695" s="58" t="s">
        <v>33</v>
      </c>
      <c r="J1695" s="58" t="s">
        <v>47</v>
      </c>
      <c r="K1695" s="58" t="s">
        <v>32</v>
      </c>
      <c r="L1695" s="58" t="s">
        <v>99</v>
      </c>
      <c r="M1695" s="61" t="s">
        <v>4752</v>
      </c>
      <c r="N1695" s="77"/>
      <c r="O1695" s="62"/>
      <c r="P1695" s="62"/>
      <c r="Q1695" s="62"/>
      <c r="R1695" s="62"/>
      <c r="S1695" s="37" t="str">
        <f>IFERROR(__xludf.DUMMYFUNCTION("if(not(iserror(index(split(C1695, "" ""),2))), index(split(C1695, "" ""),1),"""")"),"August")</f>
        <v>August</v>
      </c>
      <c r="T1695" s="38">
        <f>IFERROR(__xludf.DUMMYFUNCTION("if(S1695="""",C1695,if(not(iserror(index(split(C1695, "" ""),3))), index(split(C1695, "" ""),3),index(split(C1695, "" ""),2)))"),2018.0)</f>
        <v>2018</v>
      </c>
      <c r="U1695" s="38" t="b">
        <f t="shared" si="253"/>
        <v>0</v>
      </c>
      <c r="V1695" s="38"/>
      <c r="W1695" s="40"/>
      <c r="X1695" s="40"/>
      <c r="Y1695" s="40"/>
      <c r="Z1695" s="38"/>
      <c r="AA1695" s="38"/>
      <c r="AB1695" s="38"/>
      <c r="AC1695" s="38"/>
      <c r="AD1695" s="38"/>
      <c r="AE1695" s="38"/>
      <c r="AF1695" s="38"/>
      <c r="AG1695" s="38"/>
      <c r="AH1695" s="38"/>
      <c r="AI1695" s="38"/>
      <c r="AJ1695" s="38"/>
      <c r="AK1695" s="38"/>
      <c r="AL1695" s="38"/>
      <c r="AM1695" s="38"/>
      <c r="AN1695" s="38"/>
      <c r="AO1695" s="38"/>
      <c r="AP1695" s="38"/>
      <c r="AQ1695" s="38"/>
      <c r="AR1695" s="38"/>
      <c r="AS1695" s="38"/>
      <c r="AT1695" s="38"/>
      <c r="AU1695" s="38"/>
      <c r="AV1695" s="38"/>
      <c r="AW1695" s="38"/>
      <c r="AX1695" s="38"/>
      <c r="AY1695" s="38"/>
      <c r="AZ1695" s="38"/>
      <c r="BA1695" s="38"/>
      <c r="BB1695" s="38"/>
      <c r="BC1695" s="38"/>
      <c r="BD1695" s="38"/>
      <c r="BE1695" s="38"/>
      <c r="BF1695" s="38"/>
      <c r="BG1695" s="38"/>
      <c r="BH1695" s="38"/>
      <c r="BI1695" s="38"/>
      <c r="BJ1695" s="38"/>
      <c r="BK1695" s="38"/>
      <c r="BL1695" s="38"/>
      <c r="BM1695" s="38"/>
      <c r="BN1695" s="38"/>
      <c r="BO1695" s="38"/>
      <c r="BP1695" s="38"/>
      <c r="BQ1695" s="38"/>
    </row>
    <row r="1696">
      <c r="A1696" s="58" t="s">
        <v>239</v>
      </c>
      <c r="B1696" s="59">
        <v>43339.0</v>
      </c>
      <c r="C1696" s="59">
        <v>43334.0</v>
      </c>
      <c r="D1696" s="60" t="s">
        <v>4737</v>
      </c>
      <c r="E1696" s="58" t="s">
        <v>41</v>
      </c>
      <c r="F1696" s="58">
        <v>2.0</v>
      </c>
      <c r="G1696" s="58" t="s">
        <v>32</v>
      </c>
      <c r="H1696" s="33">
        <f t="shared" si="252"/>
        <v>1</v>
      </c>
      <c r="I1696" s="58" t="s">
        <v>33</v>
      </c>
      <c r="J1696" s="58" t="s">
        <v>147</v>
      </c>
      <c r="K1696" s="58">
        <v>2.0</v>
      </c>
      <c r="L1696" s="58" t="s">
        <v>194</v>
      </c>
      <c r="M1696" s="61" t="s">
        <v>4753</v>
      </c>
      <c r="N1696" s="77"/>
      <c r="O1696" s="62"/>
      <c r="P1696" s="62"/>
      <c r="Q1696" s="62"/>
      <c r="R1696" s="62"/>
      <c r="S1696" s="37" t="str">
        <f>IFERROR(__xludf.DUMMYFUNCTION("if(not(iserror(index(split(C1696, "" ""),2))), index(split(C1696, "" ""),1),"""")"),"August")</f>
        <v>August</v>
      </c>
      <c r="T1696" s="38">
        <f>IFERROR(__xludf.DUMMYFUNCTION("if(S1696="""",C1696,if(not(iserror(index(split(C1696, "" ""),3))), index(split(C1696, "" ""),3),index(split(C1696, "" ""),2)))"),2018.0)</f>
        <v>2018</v>
      </c>
      <c r="U1696" s="38" t="b">
        <f t="shared" si="253"/>
        <v>1</v>
      </c>
      <c r="V1696" s="38"/>
      <c r="W1696" s="40"/>
      <c r="X1696" s="40"/>
      <c r="Y1696" s="40"/>
      <c r="Z1696" s="38"/>
      <c r="AA1696" s="38"/>
      <c r="AB1696" s="38"/>
      <c r="AC1696" s="38"/>
      <c r="AD1696" s="38"/>
      <c r="AE1696" s="38"/>
      <c r="AF1696" s="38"/>
      <c r="AG1696" s="38"/>
      <c r="AH1696" s="38"/>
      <c r="AI1696" s="38"/>
      <c r="AJ1696" s="38"/>
      <c r="AK1696" s="38"/>
      <c r="AL1696" s="38"/>
      <c r="AM1696" s="38"/>
      <c r="AN1696" s="38"/>
      <c r="AO1696" s="38"/>
      <c r="AP1696" s="38"/>
      <c r="AQ1696" s="38"/>
      <c r="AR1696" s="38"/>
      <c r="AS1696" s="38"/>
      <c r="AT1696" s="38"/>
      <c r="AU1696" s="38"/>
      <c r="AV1696" s="38"/>
      <c r="AW1696" s="38"/>
      <c r="AX1696" s="38"/>
      <c r="AY1696" s="38"/>
      <c r="AZ1696" s="38"/>
      <c r="BA1696" s="38"/>
      <c r="BB1696" s="38"/>
      <c r="BC1696" s="38"/>
      <c r="BD1696" s="38"/>
      <c r="BE1696" s="38"/>
      <c r="BF1696" s="38"/>
      <c r="BG1696" s="38"/>
      <c r="BH1696" s="38"/>
      <c r="BI1696" s="38"/>
      <c r="BJ1696" s="38"/>
      <c r="BK1696" s="38"/>
      <c r="BL1696" s="38"/>
      <c r="BM1696" s="38"/>
      <c r="BN1696" s="38"/>
      <c r="BO1696" s="38"/>
      <c r="BP1696" s="38"/>
      <c r="BQ1696" s="38"/>
    </row>
    <row r="1697">
      <c r="A1697" s="58" t="s">
        <v>4754</v>
      </c>
      <c r="B1697" s="59">
        <v>43430.0</v>
      </c>
      <c r="C1697" s="59">
        <v>43334.0</v>
      </c>
      <c r="D1697" s="60" t="s">
        <v>4737</v>
      </c>
      <c r="E1697" s="58" t="s">
        <v>41</v>
      </c>
      <c r="F1697" s="58">
        <v>1.0</v>
      </c>
      <c r="G1697" s="58" t="s">
        <v>32</v>
      </c>
      <c r="H1697" s="50">
        <v>1.0</v>
      </c>
      <c r="I1697" s="58" t="s">
        <v>33</v>
      </c>
      <c r="J1697" s="58" t="s">
        <v>147</v>
      </c>
      <c r="K1697" s="58">
        <v>1.0</v>
      </c>
      <c r="L1697" s="58" t="s">
        <v>194</v>
      </c>
      <c r="M1697" s="61" t="s">
        <v>4755</v>
      </c>
      <c r="N1697" s="80"/>
      <c r="O1697" s="88" t="str">
        <f>hyperlink("https://bad-boys.us/?q=SD-TX/2:18-cr-01009", "SD-TX 2:18-cr-01009")</f>
        <v>SD-TX 2:18-cr-01009</v>
      </c>
      <c r="P1697" s="88" t="s">
        <v>4756</v>
      </c>
      <c r="Q1697" s="58">
        <v>1.0</v>
      </c>
      <c r="R1697" s="62"/>
      <c r="S1697" s="37" t="str">
        <f>IFERROR(__xludf.DUMMYFUNCTION("if(not(iserror(index(split(C1697, "" ""),2))), index(split(C1697, "" ""),1),"""")"),"August")</f>
        <v>August</v>
      </c>
      <c r="T1697" s="38">
        <f>IFERROR(__xludf.DUMMYFUNCTION("if(S1697="""",C1697,if(not(iserror(index(split(C1697, "" ""),3))), index(split(C1697, "" ""),3),index(split(C1697, "" ""),2)))"),2018.0)</f>
        <v>2018</v>
      </c>
      <c r="U1697" s="38" t="b">
        <f t="shared" si="253"/>
        <v>0</v>
      </c>
      <c r="V1697" s="38"/>
      <c r="W1697" s="40"/>
      <c r="X1697" s="40"/>
      <c r="Y1697" s="40"/>
      <c r="Z1697" s="38"/>
      <c r="AA1697" s="38"/>
      <c r="AB1697" s="38"/>
      <c r="AC1697" s="38"/>
      <c r="AD1697" s="38"/>
      <c r="AE1697" s="38"/>
      <c r="AF1697" s="38"/>
      <c r="AG1697" s="38"/>
      <c r="AH1697" s="38"/>
      <c r="AI1697" s="38"/>
      <c r="AJ1697" s="38"/>
      <c r="AK1697" s="38"/>
      <c r="AL1697" s="38"/>
      <c r="AM1697" s="38"/>
      <c r="AN1697" s="38"/>
      <c r="AO1697" s="38"/>
      <c r="AP1697" s="38"/>
      <c r="AQ1697" s="38"/>
      <c r="AR1697" s="38"/>
      <c r="AS1697" s="38"/>
      <c r="AT1697" s="38"/>
      <c r="AU1697" s="38"/>
      <c r="AV1697" s="38"/>
      <c r="AW1697" s="38"/>
      <c r="AX1697" s="38"/>
      <c r="AY1697" s="38"/>
      <c r="AZ1697" s="38"/>
      <c r="BA1697" s="38"/>
      <c r="BB1697" s="38"/>
      <c r="BC1697" s="38"/>
      <c r="BD1697" s="38"/>
      <c r="BE1697" s="38"/>
      <c r="BF1697" s="38"/>
      <c r="BG1697" s="38"/>
      <c r="BH1697" s="38"/>
      <c r="BI1697" s="38"/>
      <c r="BJ1697" s="38"/>
      <c r="BK1697" s="38"/>
      <c r="BL1697" s="38"/>
      <c r="BM1697" s="38"/>
      <c r="BN1697" s="38"/>
      <c r="BO1697" s="38"/>
      <c r="BP1697" s="38"/>
      <c r="BQ1697" s="38"/>
    </row>
    <row r="1698">
      <c r="A1698" s="58" t="s">
        <v>4757</v>
      </c>
      <c r="B1698" s="59"/>
      <c r="C1698" s="59">
        <v>43335.0</v>
      </c>
      <c r="D1698" s="60"/>
      <c r="E1698" s="58" t="s">
        <v>41</v>
      </c>
      <c r="F1698" s="58">
        <v>1.0</v>
      </c>
      <c r="G1698" s="58" t="s">
        <v>32</v>
      </c>
      <c r="H1698" s="50">
        <v>1.0</v>
      </c>
      <c r="I1698" s="58" t="s">
        <v>33</v>
      </c>
      <c r="J1698" s="58" t="s">
        <v>93</v>
      </c>
      <c r="K1698" s="58"/>
      <c r="L1698" s="58" t="s">
        <v>119</v>
      </c>
      <c r="M1698" s="80" t="s">
        <v>4758</v>
      </c>
      <c r="N1698" s="80"/>
      <c r="O1698" s="88" t="str">
        <f>hyperlink("https://bad-boys.us/?q=ND-NY/5:18-cr-00263", "ND-NY 5:18-cr-00263")</f>
        <v>ND-NY 5:18-cr-00263</v>
      </c>
      <c r="P1698" s="88" t="s">
        <v>4759</v>
      </c>
      <c r="Q1698" s="58">
        <v>1.0</v>
      </c>
      <c r="R1698" s="62"/>
      <c r="S1698" s="37" t="str">
        <f>IFERROR(__xludf.DUMMYFUNCTION("if(not(iserror(index(split(C1698, "" ""),2))), index(split(C1698, "" ""),1),"""")"),"August")</f>
        <v>August</v>
      </c>
      <c r="T1698" s="38">
        <f>IFERROR(__xludf.DUMMYFUNCTION("if(S1698="""",C1698,if(not(iserror(index(split(C1698, "" ""),3))), index(split(C1698, "" ""),3),index(split(C1698, "" ""),2)))"),2018.0)</f>
        <v>2018</v>
      </c>
      <c r="U1698" s="38" t="b">
        <f t="shared" si="253"/>
        <v>0</v>
      </c>
      <c r="V1698" s="38" t="s">
        <v>33</v>
      </c>
      <c r="W1698" s="40"/>
      <c r="X1698" s="40"/>
      <c r="Y1698" s="40"/>
      <c r="Z1698" s="38"/>
      <c r="AA1698" s="38"/>
      <c r="AB1698" s="38"/>
      <c r="AC1698" s="38"/>
      <c r="AD1698" s="38"/>
      <c r="AE1698" s="38"/>
      <c r="AF1698" s="38"/>
      <c r="AG1698" s="38"/>
      <c r="AH1698" s="38"/>
      <c r="AI1698" s="38"/>
      <c r="AJ1698" s="38"/>
      <c r="AK1698" s="38"/>
      <c r="AL1698" s="38"/>
      <c r="AM1698" s="38"/>
      <c r="AN1698" s="38"/>
      <c r="AO1698" s="38"/>
      <c r="AP1698" s="38"/>
      <c r="AQ1698" s="38"/>
      <c r="AR1698" s="38"/>
      <c r="AS1698" s="38"/>
      <c r="AT1698" s="38"/>
      <c r="AU1698" s="38"/>
      <c r="AV1698" s="38"/>
      <c r="AW1698" s="38"/>
      <c r="AX1698" s="38"/>
      <c r="AY1698" s="38"/>
      <c r="AZ1698" s="38"/>
      <c r="BA1698" s="38"/>
      <c r="BB1698" s="38"/>
      <c r="BC1698" s="38"/>
      <c r="BD1698" s="38"/>
      <c r="BE1698" s="38"/>
      <c r="BF1698" s="38"/>
      <c r="BG1698" s="38"/>
      <c r="BH1698" s="38"/>
      <c r="BI1698" s="38"/>
      <c r="BJ1698" s="38"/>
      <c r="BK1698" s="38"/>
      <c r="BL1698" s="38"/>
      <c r="BM1698" s="38"/>
      <c r="BN1698" s="38"/>
      <c r="BO1698" s="38"/>
      <c r="BP1698" s="38"/>
      <c r="BQ1698" s="38"/>
    </row>
    <row r="1699">
      <c r="A1699" s="58" t="s">
        <v>4760</v>
      </c>
      <c r="B1699" s="59">
        <v>43335.0</v>
      </c>
      <c r="C1699" s="59">
        <v>43335.0</v>
      </c>
      <c r="D1699" s="60" t="s">
        <v>3860</v>
      </c>
      <c r="E1699" s="58" t="s">
        <v>31</v>
      </c>
      <c r="F1699" s="58">
        <v>1.0</v>
      </c>
      <c r="G1699" s="58" t="s">
        <v>32</v>
      </c>
      <c r="H1699" s="33">
        <f t="shared" ref="H1699:H1722" si="254">if(G1699="Unknown",1,G1699)</f>
        <v>1</v>
      </c>
      <c r="I1699" s="58" t="s">
        <v>33</v>
      </c>
      <c r="J1699" s="58" t="s">
        <v>268</v>
      </c>
      <c r="K1699" s="58">
        <v>1.0</v>
      </c>
      <c r="L1699" s="58" t="s">
        <v>35</v>
      </c>
      <c r="M1699" s="61" t="s">
        <v>4761</v>
      </c>
      <c r="N1699" s="77"/>
      <c r="O1699" s="62"/>
      <c r="P1699" s="62"/>
      <c r="Q1699" s="62"/>
      <c r="R1699" s="62"/>
      <c r="S1699" s="37" t="str">
        <f>IFERROR(__xludf.DUMMYFUNCTION("if(not(iserror(index(split(C1699, "" ""),2))), index(split(C1699, "" ""),1),"""")"),"August")</f>
        <v>August</v>
      </c>
      <c r="T1699" s="38">
        <f>IFERROR(__xludf.DUMMYFUNCTION("if(S1699="""",C1699,if(not(iserror(index(split(C1699, "" ""),3))), index(split(C1699, "" ""),3),index(split(C1699, "" ""),2)))"),2018.0)</f>
        <v>2018</v>
      </c>
      <c r="U1699" s="38" t="b">
        <f t="shared" si="253"/>
        <v>0</v>
      </c>
      <c r="V1699" s="38"/>
      <c r="W1699" s="40"/>
      <c r="X1699" s="40"/>
      <c r="Y1699" s="40"/>
      <c r="Z1699" s="38"/>
      <c r="AA1699" s="38"/>
      <c r="AB1699" s="38"/>
      <c r="AC1699" s="38"/>
      <c r="AD1699" s="38"/>
      <c r="AE1699" s="38"/>
      <c r="AF1699" s="38"/>
      <c r="AG1699" s="38"/>
      <c r="AH1699" s="38"/>
      <c r="AI1699" s="38"/>
      <c r="AJ1699" s="38"/>
      <c r="AK1699" s="38"/>
      <c r="AL1699" s="38"/>
      <c r="AM1699" s="38"/>
      <c r="AN1699" s="38"/>
      <c r="AO1699" s="38"/>
      <c r="AP1699" s="38"/>
      <c r="AQ1699" s="38"/>
      <c r="AR1699" s="38"/>
      <c r="AS1699" s="38"/>
      <c r="AT1699" s="38"/>
      <c r="AU1699" s="38"/>
      <c r="AV1699" s="38"/>
      <c r="AW1699" s="38"/>
      <c r="AX1699" s="38"/>
      <c r="AY1699" s="38"/>
      <c r="AZ1699" s="38"/>
      <c r="BA1699" s="38"/>
      <c r="BB1699" s="38"/>
      <c r="BC1699" s="38"/>
      <c r="BD1699" s="38"/>
      <c r="BE1699" s="38"/>
      <c r="BF1699" s="38"/>
      <c r="BG1699" s="38"/>
      <c r="BH1699" s="38"/>
      <c r="BI1699" s="38"/>
      <c r="BJ1699" s="38"/>
      <c r="BK1699" s="38"/>
      <c r="BL1699" s="38"/>
      <c r="BM1699" s="38"/>
      <c r="BN1699" s="38"/>
      <c r="BO1699" s="38"/>
      <c r="BP1699" s="38"/>
      <c r="BQ1699" s="38"/>
    </row>
    <row r="1700">
      <c r="A1700" s="78" t="s">
        <v>4762</v>
      </c>
      <c r="B1700" s="59">
        <v>43335.0</v>
      </c>
      <c r="C1700" s="59">
        <v>43335.0</v>
      </c>
      <c r="D1700" s="60" t="s">
        <v>3860</v>
      </c>
      <c r="E1700" s="58" t="s">
        <v>41</v>
      </c>
      <c r="F1700" s="58">
        <v>1.0</v>
      </c>
      <c r="G1700" s="58" t="s">
        <v>32</v>
      </c>
      <c r="H1700" s="33">
        <f t="shared" si="254"/>
        <v>1</v>
      </c>
      <c r="I1700" s="58" t="s">
        <v>33</v>
      </c>
      <c r="J1700" s="58" t="s">
        <v>147</v>
      </c>
      <c r="K1700" s="58">
        <v>1.0</v>
      </c>
      <c r="L1700" s="58" t="s">
        <v>4763</v>
      </c>
      <c r="M1700" s="61" t="s">
        <v>4764</v>
      </c>
      <c r="N1700" s="77"/>
      <c r="O1700" s="62"/>
      <c r="P1700" s="62"/>
      <c r="Q1700" s="62"/>
      <c r="R1700" s="62"/>
      <c r="S1700" s="37" t="str">
        <f>IFERROR(__xludf.DUMMYFUNCTION("if(not(iserror(index(split(C1700, "" ""),2))), index(split(C1700, "" ""),1),"""")"),"August")</f>
        <v>August</v>
      </c>
      <c r="T1700" s="38">
        <f>IFERROR(__xludf.DUMMYFUNCTION("if(S1700="""",C1700,if(not(iserror(index(split(C1700, "" ""),3))), index(split(C1700, "" ""),3),index(split(C1700, "" ""),2)))"),2018.0)</f>
        <v>2018</v>
      </c>
      <c r="U1700" s="38" t="b">
        <f t="shared" si="253"/>
        <v>0</v>
      </c>
      <c r="V1700" s="38"/>
      <c r="W1700" s="40"/>
      <c r="X1700" s="40"/>
      <c r="Y1700" s="40"/>
      <c r="Z1700" s="38"/>
      <c r="AA1700" s="38"/>
      <c r="AB1700" s="38"/>
      <c r="AC1700" s="38"/>
      <c r="AD1700" s="38"/>
      <c r="AE1700" s="38"/>
      <c r="AF1700" s="38"/>
      <c r="AG1700" s="38"/>
      <c r="AH1700" s="38"/>
      <c r="AI1700" s="38"/>
      <c r="AJ1700" s="38"/>
      <c r="AK1700" s="38"/>
      <c r="AL1700" s="38"/>
      <c r="AM1700" s="38"/>
      <c r="AN1700" s="38"/>
      <c r="AO1700" s="38"/>
      <c r="AP1700" s="38"/>
      <c r="AQ1700" s="38"/>
      <c r="AR1700" s="38"/>
      <c r="AS1700" s="38"/>
      <c r="AT1700" s="38"/>
      <c r="AU1700" s="38"/>
      <c r="AV1700" s="38"/>
      <c r="AW1700" s="38"/>
      <c r="AX1700" s="38"/>
      <c r="AY1700" s="38"/>
      <c r="AZ1700" s="38"/>
      <c r="BA1700" s="38"/>
      <c r="BB1700" s="38"/>
      <c r="BC1700" s="38"/>
      <c r="BD1700" s="38"/>
      <c r="BE1700" s="38"/>
      <c r="BF1700" s="38"/>
      <c r="BG1700" s="38"/>
      <c r="BH1700" s="38"/>
      <c r="BI1700" s="38"/>
      <c r="BJ1700" s="38"/>
      <c r="BK1700" s="38"/>
      <c r="BL1700" s="38"/>
      <c r="BM1700" s="38"/>
      <c r="BN1700" s="38"/>
      <c r="BO1700" s="38"/>
      <c r="BP1700" s="38"/>
      <c r="BQ1700" s="38"/>
    </row>
    <row r="1701">
      <c r="A1701" s="78" t="s">
        <v>4765</v>
      </c>
      <c r="B1701" s="59">
        <v>43335.0</v>
      </c>
      <c r="C1701" s="59">
        <v>43335.0</v>
      </c>
      <c r="D1701" s="60" t="s">
        <v>3860</v>
      </c>
      <c r="E1701" s="58" t="s">
        <v>31</v>
      </c>
      <c r="F1701" s="58">
        <v>1.0</v>
      </c>
      <c r="G1701" s="58" t="s">
        <v>32</v>
      </c>
      <c r="H1701" s="33">
        <f t="shared" si="254"/>
        <v>1</v>
      </c>
      <c r="I1701" s="58" t="s">
        <v>33</v>
      </c>
      <c r="J1701" s="58" t="s">
        <v>55</v>
      </c>
      <c r="K1701" s="58">
        <v>1.0</v>
      </c>
      <c r="L1701" s="58" t="s">
        <v>99</v>
      </c>
      <c r="M1701" s="61" t="s">
        <v>4766</v>
      </c>
      <c r="N1701" s="77"/>
      <c r="O1701" s="58"/>
      <c r="P1701" s="58"/>
      <c r="Q1701" s="84"/>
      <c r="R1701" s="62"/>
      <c r="S1701" s="37" t="str">
        <f>IFERROR(__xludf.DUMMYFUNCTION("if(not(iserror(index(split(C1701, "" ""),2))), index(split(C1701, "" ""),1),"""")"),"August")</f>
        <v>August</v>
      </c>
      <c r="T1701" s="38">
        <f>IFERROR(__xludf.DUMMYFUNCTION("if(S1701="""",C1701,if(not(iserror(index(split(C1701, "" ""),3))), index(split(C1701, "" ""),3),index(split(C1701, "" ""),2)))"),2018.0)</f>
        <v>2018</v>
      </c>
      <c r="U1701" s="38" t="b">
        <f t="shared" si="253"/>
        <v>0</v>
      </c>
      <c r="V1701" s="38"/>
      <c r="W1701" s="40"/>
      <c r="X1701" s="40"/>
      <c r="Y1701" s="40"/>
      <c r="Z1701" s="38"/>
      <c r="AA1701" s="38"/>
      <c r="AB1701" s="38"/>
      <c r="AC1701" s="38"/>
      <c r="AD1701" s="38"/>
      <c r="AE1701" s="38"/>
      <c r="AF1701" s="38"/>
      <c r="AG1701" s="38"/>
      <c r="AH1701" s="38"/>
      <c r="AI1701" s="38"/>
      <c r="AJ1701" s="38"/>
      <c r="AK1701" s="38"/>
      <c r="AL1701" s="38"/>
      <c r="AM1701" s="38"/>
      <c r="AN1701" s="38"/>
      <c r="AO1701" s="38"/>
      <c r="AP1701" s="38"/>
      <c r="AQ1701" s="38"/>
      <c r="AR1701" s="38"/>
      <c r="AS1701" s="38"/>
      <c r="AT1701" s="38"/>
      <c r="AU1701" s="38"/>
      <c r="AV1701" s="38"/>
      <c r="AW1701" s="38"/>
      <c r="AX1701" s="38"/>
      <c r="AY1701" s="38"/>
      <c r="AZ1701" s="38"/>
      <c r="BA1701" s="38"/>
      <c r="BB1701" s="38"/>
      <c r="BC1701" s="38"/>
      <c r="BD1701" s="38"/>
      <c r="BE1701" s="38"/>
      <c r="BF1701" s="38"/>
      <c r="BG1701" s="38"/>
      <c r="BH1701" s="38"/>
      <c r="BI1701" s="38"/>
      <c r="BJ1701" s="38"/>
      <c r="BK1701" s="38"/>
      <c r="BL1701" s="38"/>
      <c r="BM1701" s="38"/>
      <c r="BN1701" s="38"/>
      <c r="BO1701" s="38"/>
      <c r="BP1701" s="38"/>
      <c r="BQ1701" s="38"/>
    </row>
    <row r="1702">
      <c r="A1702" s="78" t="s">
        <v>4767</v>
      </c>
      <c r="B1702" s="59">
        <v>43336.0</v>
      </c>
      <c r="C1702" s="59">
        <v>43335.0</v>
      </c>
      <c r="D1702" s="60" t="s">
        <v>4768</v>
      </c>
      <c r="E1702" s="58" t="s">
        <v>31</v>
      </c>
      <c r="F1702" s="58">
        <v>6.0</v>
      </c>
      <c r="G1702" s="58" t="s">
        <v>32</v>
      </c>
      <c r="H1702" s="33">
        <f t="shared" si="254"/>
        <v>1</v>
      </c>
      <c r="I1702" s="58" t="s">
        <v>33</v>
      </c>
      <c r="J1702" s="58" t="s">
        <v>162</v>
      </c>
      <c r="K1702" s="58">
        <v>3.0</v>
      </c>
      <c r="L1702" s="58" t="s">
        <v>4769</v>
      </c>
      <c r="M1702" s="61" t="s">
        <v>4770</v>
      </c>
      <c r="N1702" s="77"/>
      <c r="O1702" s="62"/>
      <c r="P1702" s="62"/>
      <c r="Q1702" s="62"/>
      <c r="R1702" s="62"/>
      <c r="S1702" s="37" t="str">
        <f>IFERROR(__xludf.DUMMYFUNCTION("if(not(iserror(index(split(C1702, "" ""),2))), index(split(C1702, "" ""),1),"""")"),"August")</f>
        <v>August</v>
      </c>
      <c r="T1702" s="38">
        <f>IFERROR(__xludf.DUMMYFUNCTION("if(S1702="""",C1702,if(not(iserror(index(split(C1702, "" ""),3))), index(split(C1702, "" ""),3),index(split(C1702, "" ""),2)))"),2018.0)</f>
        <v>2018</v>
      </c>
      <c r="U1702" s="38" t="b">
        <f t="shared" si="253"/>
        <v>0</v>
      </c>
      <c r="V1702" s="38"/>
      <c r="W1702" s="40"/>
      <c r="X1702" s="40"/>
      <c r="Y1702" s="40"/>
      <c r="Z1702" s="38"/>
      <c r="AA1702" s="38"/>
      <c r="AB1702" s="38"/>
      <c r="AC1702" s="38"/>
      <c r="AD1702" s="38"/>
      <c r="AE1702" s="38"/>
      <c r="AF1702" s="38"/>
      <c r="AG1702" s="38"/>
      <c r="AH1702" s="38"/>
      <c r="AI1702" s="38"/>
      <c r="AJ1702" s="38"/>
      <c r="AK1702" s="38"/>
      <c r="AL1702" s="38"/>
      <c r="AM1702" s="38"/>
      <c r="AN1702" s="38"/>
      <c r="AO1702" s="38"/>
      <c r="AP1702" s="38"/>
      <c r="AQ1702" s="38"/>
      <c r="AR1702" s="38"/>
      <c r="AS1702" s="38"/>
      <c r="AT1702" s="38"/>
      <c r="AU1702" s="38"/>
      <c r="AV1702" s="38"/>
      <c r="AW1702" s="38"/>
      <c r="AX1702" s="38"/>
      <c r="AY1702" s="38"/>
      <c r="AZ1702" s="38"/>
      <c r="BA1702" s="38"/>
      <c r="BB1702" s="38"/>
      <c r="BC1702" s="38"/>
      <c r="BD1702" s="38"/>
      <c r="BE1702" s="38"/>
      <c r="BF1702" s="38"/>
      <c r="BG1702" s="38"/>
      <c r="BH1702" s="38"/>
      <c r="BI1702" s="38"/>
      <c r="BJ1702" s="38"/>
      <c r="BK1702" s="38"/>
      <c r="BL1702" s="38"/>
      <c r="BM1702" s="38"/>
      <c r="BN1702" s="38"/>
      <c r="BO1702" s="38"/>
      <c r="BP1702" s="38"/>
      <c r="BQ1702" s="38"/>
    </row>
    <row r="1703">
      <c r="A1703" s="78" t="s">
        <v>4771</v>
      </c>
      <c r="B1703" s="59">
        <v>43336.0</v>
      </c>
      <c r="C1703" s="59">
        <v>43335.0</v>
      </c>
      <c r="D1703" s="60" t="s">
        <v>3860</v>
      </c>
      <c r="E1703" s="58" t="s">
        <v>31</v>
      </c>
      <c r="F1703" s="58">
        <v>1.0</v>
      </c>
      <c r="G1703" s="58" t="s">
        <v>32</v>
      </c>
      <c r="H1703" s="33">
        <f t="shared" si="254"/>
        <v>1</v>
      </c>
      <c r="I1703" s="58" t="s">
        <v>33</v>
      </c>
      <c r="J1703" s="58" t="s">
        <v>172</v>
      </c>
      <c r="K1703" s="58">
        <v>1.0</v>
      </c>
      <c r="L1703" s="58" t="s">
        <v>35</v>
      </c>
      <c r="M1703" s="61" t="s">
        <v>4772</v>
      </c>
      <c r="N1703" s="77"/>
      <c r="O1703" s="62"/>
      <c r="P1703" s="62"/>
      <c r="Q1703" s="62"/>
      <c r="R1703" s="62"/>
      <c r="S1703" s="37" t="str">
        <f>IFERROR(__xludf.DUMMYFUNCTION("if(not(iserror(index(split(C1703, "" ""),2))), index(split(C1703, "" ""),1),"""")"),"August")</f>
        <v>August</v>
      </c>
      <c r="T1703" s="38">
        <f>IFERROR(__xludf.DUMMYFUNCTION("if(S1703="""",C1703,if(not(iserror(index(split(C1703, "" ""),3))), index(split(C1703, "" ""),3),index(split(C1703, "" ""),2)))"),2018.0)</f>
        <v>2018</v>
      </c>
      <c r="U1703" s="38" t="b">
        <f t="shared" si="253"/>
        <v>0</v>
      </c>
      <c r="V1703" s="38"/>
      <c r="W1703" s="40"/>
      <c r="X1703" s="40"/>
      <c r="Y1703" s="40"/>
      <c r="Z1703" s="38"/>
      <c r="AA1703" s="38"/>
      <c r="AB1703" s="38"/>
      <c r="AC1703" s="38"/>
      <c r="AD1703" s="38"/>
      <c r="AE1703" s="38"/>
      <c r="AF1703" s="38"/>
      <c r="AG1703" s="38"/>
      <c r="AH1703" s="38"/>
      <c r="AI1703" s="38"/>
      <c r="AJ1703" s="38"/>
      <c r="AK1703" s="38"/>
      <c r="AL1703" s="38"/>
      <c r="AM1703" s="38"/>
      <c r="AN1703" s="38"/>
      <c r="AO1703" s="38"/>
      <c r="AP1703" s="38"/>
      <c r="AQ1703" s="38"/>
      <c r="AR1703" s="38"/>
      <c r="AS1703" s="38"/>
      <c r="AT1703" s="38"/>
      <c r="AU1703" s="38"/>
      <c r="AV1703" s="38"/>
      <c r="AW1703" s="38"/>
      <c r="AX1703" s="38"/>
      <c r="AY1703" s="38"/>
      <c r="AZ1703" s="38"/>
      <c r="BA1703" s="38"/>
      <c r="BB1703" s="38"/>
      <c r="BC1703" s="38"/>
      <c r="BD1703" s="38"/>
      <c r="BE1703" s="38"/>
      <c r="BF1703" s="38"/>
      <c r="BG1703" s="38"/>
      <c r="BH1703" s="38"/>
      <c r="BI1703" s="38"/>
      <c r="BJ1703" s="38"/>
      <c r="BK1703" s="38"/>
      <c r="BL1703" s="38"/>
      <c r="BM1703" s="38"/>
      <c r="BN1703" s="38"/>
      <c r="BO1703" s="38"/>
      <c r="BP1703" s="38"/>
      <c r="BQ1703" s="38"/>
    </row>
    <row r="1704">
      <c r="A1704" s="58" t="s">
        <v>239</v>
      </c>
      <c r="B1704" s="59">
        <v>43336.0</v>
      </c>
      <c r="C1704" s="59">
        <v>43335.0</v>
      </c>
      <c r="D1704" s="60" t="s">
        <v>3860</v>
      </c>
      <c r="E1704" s="58" t="s">
        <v>41</v>
      </c>
      <c r="F1704" s="58">
        <v>3.0</v>
      </c>
      <c r="G1704" s="58">
        <v>5.0</v>
      </c>
      <c r="H1704" s="33">
        <f t="shared" si="254"/>
        <v>5</v>
      </c>
      <c r="I1704" s="58" t="s">
        <v>33</v>
      </c>
      <c r="J1704" s="58" t="s">
        <v>111</v>
      </c>
      <c r="K1704" s="58">
        <v>1.0</v>
      </c>
      <c r="L1704" s="58" t="s">
        <v>194</v>
      </c>
      <c r="M1704" s="61" t="s">
        <v>4773</v>
      </c>
      <c r="N1704" s="77"/>
      <c r="O1704" s="58"/>
      <c r="P1704" s="58"/>
      <c r="Q1704" s="84"/>
      <c r="R1704" s="62"/>
      <c r="S1704" s="37" t="str">
        <f>IFERROR(__xludf.DUMMYFUNCTION("if(not(iserror(index(split(C1704, "" ""),2))), index(split(C1704, "" ""),1),"""")"),"August")</f>
        <v>August</v>
      </c>
      <c r="T1704" s="38">
        <f>IFERROR(__xludf.DUMMYFUNCTION("if(S1704="""",C1704,if(not(iserror(index(split(C1704, "" ""),3))), index(split(C1704, "" ""),3),index(split(C1704, "" ""),2)))"),2018.0)</f>
        <v>2018</v>
      </c>
      <c r="U1704" s="38" t="b">
        <f t="shared" si="253"/>
        <v>1</v>
      </c>
      <c r="V1704" s="38"/>
      <c r="W1704" s="40"/>
      <c r="X1704" s="40"/>
      <c r="Y1704" s="40"/>
      <c r="Z1704" s="38"/>
      <c r="AA1704" s="38"/>
      <c r="AB1704" s="38"/>
      <c r="AC1704" s="38"/>
      <c r="AD1704" s="38"/>
      <c r="AE1704" s="38"/>
      <c r="AF1704" s="38"/>
      <c r="AG1704" s="38"/>
      <c r="AH1704" s="38"/>
      <c r="AI1704" s="38"/>
      <c r="AJ1704" s="38"/>
      <c r="AK1704" s="38"/>
      <c r="AL1704" s="38"/>
      <c r="AM1704" s="38"/>
      <c r="AN1704" s="38"/>
      <c r="AO1704" s="38"/>
      <c r="AP1704" s="38"/>
      <c r="AQ1704" s="38"/>
      <c r="AR1704" s="38"/>
      <c r="AS1704" s="38"/>
      <c r="AT1704" s="38"/>
      <c r="AU1704" s="38"/>
      <c r="AV1704" s="38"/>
      <c r="AW1704" s="38"/>
      <c r="AX1704" s="38"/>
      <c r="AY1704" s="38"/>
      <c r="AZ1704" s="38"/>
      <c r="BA1704" s="38"/>
      <c r="BB1704" s="38"/>
      <c r="BC1704" s="38"/>
      <c r="BD1704" s="38"/>
      <c r="BE1704" s="38"/>
      <c r="BF1704" s="38"/>
      <c r="BG1704" s="38"/>
      <c r="BH1704" s="38"/>
      <c r="BI1704" s="38"/>
      <c r="BJ1704" s="38"/>
      <c r="BK1704" s="38"/>
      <c r="BL1704" s="38"/>
      <c r="BM1704" s="38"/>
      <c r="BN1704" s="38"/>
      <c r="BO1704" s="38"/>
      <c r="BP1704" s="38"/>
      <c r="BQ1704" s="38"/>
    </row>
    <row r="1705">
      <c r="A1705" s="58" t="s">
        <v>239</v>
      </c>
      <c r="B1705" s="59">
        <v>43341.0</v>
      </c>
      <c r="C1705" s="59">
        <v>43335.0</v>
      </c>
      <c r="D1705" s="60" t="s">
        <v>3860</v>
      </c>
      <c r="E1705" s="58" t="s">
        <v>41</v>
      </c>
      <c r="F1705" s="58">
        <v>1.0</v>
      </c>
      <c r="G1705" s="58">
        <v>3.0</v>
      </c>
      <c r="H1705" s="33">
        <f t="shared" si="254"/>
        <v>3</v>
      </c>
      <c r="I1705" s="58" t="s">
        <v>33</v>
      </c>
      <c r="J1705" s="58" t="s">
        <v>147</v>
      </c>
      <c r="K1705" s="58">
        <v>1.0</v>
      </c>
      <c r="L1705" s="58" t="s">
        <v>194</v>
      </c>
      <c r="M1705" s="61" t="s">
        <v>4774</v>
      </c>
      <c r="N1705" s="244"/>
      <c r="O1705" s="58"/>
      <c r="P1705" s="58"/>
      <c r="Q1705" s="84"/>
      <c r="R1705" s="62"/>
      <c r="S1705" s="37" t="str">
        <f>IFERROR(__xludf.DUMMYFUNCTION("if(not(iserror(index(split(C1705, "" ""),2))), index(split(C1705, "" ""),1),"""")"),"August")</f>
        <v>August</v>
      </c>
      <c r="T1705" s="38">
        <f>IFERROR(__xludf.DUMMYFUNCTION("if(S1705="""",C1705,if(not(iserror(index(split(C1705, "" ""),3))), index(split(C1705, "" ""),3),index(split(C1705, "" ""),2)))"),2018.0)</f>
        <v>2018</v>
      </c>
      <c r="U1705" s="38" t="b">
        <f t="shared" si="253"/>
        <v>1</v>
      </c>
      <c r="V1705" s="38"/>
      <c r="W1705" s="40"/>
      <c r="X1705" s="40"/>
      <c r="Y1705" s="40"/>
      <c r="Z1705" s="38"/>
      <c r="AA1705" s="38"/>
      <c r="AB1705" s="38"/>
      <c r="AC1705" s="38"/>
      <c r="AD1705" s="38"/>
      <c r="AE1705" s="38"/>
      <c r="AF1705" s="38"/>
      <c r="AG1705" s="38"/>
      <c r="AH1705" s="38"/>
      <c r="AI1705" s="38"/>
      <c r="AJ1705" s="38"/>
      <c r="AK1705" s="38"/>
      <c r="AL1705" s="38"/>
      <c r="AM1705" s="38"/>
      <c r="AN1705" s="38"/>
      <c r="AO1705" s="38"/>
      <c r="AP1705" s="38"/>
      <c r="AQ1705" s="38"/>
      <c r="AR1705" s="38"/>
      <c r="AS1705" s="38"/>
      <c r="AT1705" s="38"/>
      <c r="AU1705" s="38"/>
      <c r="AV1705" s="38"/>
      <c r="AW1705" s="38"/>
      <c r="AX1705" s="38"/>
      <c r="AY1705" s="38"/>
      <c r="AZ1705" s="38"/>
      <c r="BA1705" s="38"/>
      <c r="BB1705" s="38"/>
      <c r="BC1705" s="38"/>
      <c r="BD1705" s="38"/>
      <c r="BE1705" s="38"/>
      <c r="BF1705" s="38"/>
      <c r="BG1705" s="38"/>
      <c r="BH1705" s="38"/>
      <c r="BI1705" s="38"/>
      <c r="BJ1705" s="38"/>
      <c r="BK1705" s="38"/>
      <c r="BL1705" s="38"/>
      <c r="BM1705" s="38"/>
      <c r="BN1705" s="38"/>
      <c r="BO1705" s="38"/>
      <c r="BP1705" s="38"/>
      <c r="BQ1705" s="38"/>
    </row>
    <row r="1706">
      <c r="A1706" s="58" t="s">
        <v>239</v>
      </c>
      <c r="B1706" s="59">
        <v>43354.0</v>
      </c>
      <c r="C1706" s="59">
        <v>43335.0</v>
      </c>
      <c r="D1706" s="60" t="s">
        <v>4768</v>
      </c>
      <c r="E1706" s="58" t="s">
        <v>41</v>
      </c>
      <c r="F1706" s="58">
        <v>3.0</v>
      </c>
      <c r="G1706" s="58" t="s">
        <v>32</v>
      </c>
      <c r="H1706" s="33">
        <f t="shared" si="254"/>
        <v>1</v>
      </c>
      <c r="I1706" s="58" t="s">
        <v>33</v>
      </c>
      <c r="J1706" s="58" t="s">
        <v>147</v>
      </c>
      <c r="K1706" s="58">
        <v>2.0</v>
      </c>
      <c r="L1706" s="58" t="s">
        <v>35</v>
      </c>
      <c r="M1706" s="61" t="s">
        <v>4775</v>
      </c>
      <c r="N1706" s="244"/>
      <c r="O1706" s="62"/>
      <c r="P1706" s="62"/>
      <c r="Q1706" s="62"/>
      <c r="R1706" s="62"/>
      <c r="S1706" s="37" t="str">
        <f>IFERROR(__xludf.DUMMYFUNCTION("if(not(iserror(index(split(C1706, "" ""),2))), index(split(C1706, "" ""),1),"""")"),"August")</f>
        <v>August</v>
      </c>
      <c r="T1706" s="38">
        <f>IFERROR(__xludf.DUMMYFUNCTION("if(S1706="""",C1706,if(not(iserror(index(split(C1706, "" ""),3))), index(split(C1706, "" ""),3),index(split(C1706, "" ""),2)))"),2018.0)</f>
        <v>2018</v>
      </c>
      <c r="U1706" s="38" t="b">
        <f t="shared" si="253"/>
        <v>1</v>
      </c>
      <c r="V1706" s="38"/>
      <c r="W1706" s="40"/>
      <c r="X1706" s="40"/>
      <c r="Y1706" s="40"/>
      <c r="Z1706" s="38"/>
      <c r="AA1706" s="38"/>
      <c r="AB1706" s="38"/>
      <c r="AC1706" s="38"/>
      <c r="AD1706" s="38"/>
      <c r="AE1706" s="38"/>
      <c r="AF1706" s="38"/>
      <c r="AG1706" s="38"/>
      <c r="AH1706" s="38"/>
      <c r="AI1706" s="38"/>
      <c r="AJ1706" s="38"/>
      <c r="AK1706" s="38"/>
      <c r="AL1706" s="38"/>
      <c r="AM1706" s="38"/>
      <c r="AN1706" s="38"/>
      <c r="AO1706" s="38"/>
      <c r="AP1706" s="38"/>
      <c r="AQ1706" s="38"/>
      <c r="AR1706" s="38"/>
      <c r="AS1706" s="38"/>
      <c r="AT1706" s="38"/>
      <c r="AU1706" s="38"/>
      <c r="AV1706" s="38"/>
      <c r="AW1706" s="38"/>
      <c r="AX1706" s="38"/>
      <c r="AY1706" s="38"/>
      <c r="AZ1706" s="38"/>
      <c r="BA1706" s="38"/>
      <c r="BB1706" s="38"/>
      <c r="BC1706" s="38"/>
      <c r="BD1706" s="38"/>
      <c r="BE1706" s="38"/>
      <c r="BF1706" s="38"/>
      <c r="BG1706" s="38"/>
      <c r="BH1706" s="38"/>
      <c r="BI1706" s="38"/>
      <c r="BJ1706" s="38"/>
      <c r="BK1706" s="38"/>
      <c r="BL1706" s="38"/>
      <c r="BM1706" s="38"/>
      <c r="BN1706" s="38"/>
      <c r="BO1706" s="38"/>
      <c r="BP1706" s="38"/>
      <c r="BQ1706" s="38"/>
    </row>
    <row r="1707">
      <c r="A1707" s="152" t="s">
        <v>4776</v>
      </c>
      <c r="B1707" s="153">
        <v>43336.0</v>
      </c>
      <c r="C1707" s="153">
        <v>43336.0</v>
      </c>
      <c r="D1707" s="154" t="s">
        <v>4768</v>
      </c>
      <c r="E1707" s="155" t="s">
        <v>41</v>
      </c>
      <c r="F1707" s="152">
        <v>1.0</v>
      </c>
      <c r="G1707" s="152" t="s">
        <v>32</v>
      </c>
      <c r="H1707" s="33">
        <f t="shared" si="254"/>
        <v>1</v>
      </c>
      <c r="I1707" s="152" t="s">
        <v>33</v>
      </c>
      <c r="J1707" s="152" t="s">
        <v>106</v>
      </c>
      <c r="K1707" s="152">
        <v>2.0</v>
      </c>
      <c r="L1707" s="152" t="s">
        <v>99</v>
      </c>
      <c r="M1707" s="158" t="s">
        <v>4777</v>
      </c>
      <c r="N1707" s="158" t="s">
        <v>4778</v>
      </c>
      <c r="O1707" s="58"/>
      <c r="P1707" s="58"/>
      <c r="Q1707" s="84"/>
      <c r="R1707" s="62"/>
      <c r="S1707" s="37" t="str">
        <f>IFERROR(__xludf.DUMMYFUNCTION("if(not(iserror(index(split(C1707, "" ""),2))), index(split(C1707, "" ""),1),"""")"),"August")</f>
        <v>August</v>
      </c>
      <c r="T1707" s="38">
        <f>IFERROR(__xludf.DUMMYFUNCTION("if(S1707="""",C1707,if(not(iserror(index(split(C1707, "" ""),3))), index(split(C1707, "" ""),3),index(split(C1707, "" ""),2)))"),2018.0)</f>
        <v>2018</v>
      </c>
      <c r="U1707" s="38" t="b">
        <f t="shared" si="253"/>
        <v>0</v>
      </c>
      <c r="V1707" s="38"/>
      <c r="W1707" s="40"/>
      <c r="X1707" s="40"/>
      <c r="Y1707" s="40"/>
      <c r="Z1707" s="38"/>
      <c r="AA1707" s="38"/>
      <c r="AB1707" s="38"/>
      <c r="AC1707" s="38"/>
      <c r="AD1707" s="38"/>
      <c r="AE1707" s="38"/>
      <c r="AF1707" s="38"/>
      <c r="AG1707" s="38"/>
      <c r="AH1707" s="38"/>
      <c r="AI1707" s="38"/>
      <c r="AJ1707" s="38"/>
      <c r="AK1707" s="38"/>
      <c r="AL1707" s="38"/>
      <c r="AM1707" s="38"/>
      <c r="AN1707" s="38"/>
      <c r="AO1707" s="38"/>
      <c r="AP1707" s="38"/>
      <c r="AQ1707" s="38"/>
      <c r="AR1707" s="38"/>
      <c r="AS1707" s="38"/>
      <c r="AT1707" s="38"/>
      <c r="AU1707" s="38"/>
      <c r="AV1707" s="38"/>
      <c r="AW1707" s="38"/>
      <c r="AX1707" s="38"/>
      <c r="AY1707" s="38"/>
      <c r="AZ1707" s="38"/>
      <c r="BA1707" s="38"/>
      <c r="BB1707" s="38"/>
      <c r="BC1707" s="38"/>
      <c r="BD1707" s="38"/>
      <c r="BE1707" s="38"/>
      <c r="BF1707" s="38"/>
      <c r="BG1707" s="38"/>
      <c r="BH1707" s="38"/>
      <c r="BI1707" s="38"/>
      <c r="BJ1707" s="38"/>
      <c r="BK1707" s="38"/>
      <c r="BL1707" s="38"/>
      <c r="BM1707" s="38"/>
      <c r="BN1707" s="38"/>
      <c r="BO1707" s="38"/>
      <c r="BP1707" s="38"/>
      <c r="BQ1707" s="38"/>
    </row>
    <row r="1708">
      <c r="A1708" s="78" t="s">
        <v>4779</v>
      </c>
      <c r="B1708" s="59">
        <v>43336.0</v>
      </c>
      <c r="C1708" s="59">
        <v>43336.0</v>
      </c>
      <c r="D1708" s="60" t="s">
        <v>4768</v>
      </c>
      <c r="E1708" s="58" t="s">
        <v>41</v>
      </c>
      <c r="F1708" s="58">
        <v>1.0</v>
      </c>
      <c r="G1708" s="58" t="s">
        <v>32</v>
      </c>
      <c r="H1708" s="33">
        <f t="shared" si="254"/>
        <v>1</v>
      </c>
      <c r="I1708" s="58" t="s">
        <v>33</v>
      </c>
      <c r="J1708" s="58" t="s">
        <v>115</v>
      </c>
      <c r="K1708" s="58">
        <v>2.0</v>
      </c>
      <c r="L1708" s="58" t="s">
        <v>119</v>
      </c>
      <c r="M1708" s="80" t="s">
        <v>4780</v>
      </c>
      <c r="N1708" s="77"/>
      <c r="O1708" s="58"/>
      <c r="P1708" s="58"/>
      <c r="Q1708" s="84"/>
      <c r="R1708" s="62"/>
      <c r="S1708" s="37" t="str">
        <f>IFERROR(__xludf.DUMMYFUNCTION("if(not(iserror(index(split(C1708, "" ""),2))), index(split(C1708, "" ""),1),"""")"),"August")</f>
        <v>August</v>
      </c>
      <c r="T1708" s="38">
        <f>IFERROR(__xludf.DUMMYFUNCTION("if(S1708="""",C1708,if(not(iserror(index(split(C1708, "" ""),3))), index(split(C1708, "" ""),3),index(split(C1708, "" ""),2)))"),2018.0)</f>
        <v>2018</v>
      </c>
      <c r="U1708" s="38" t="b">
        <f t="shared" si="253"/>
        <v>0</v>
      </c>
      <c r="V1708" s="38"/>
      <c r="W1708" s="40"/>
      <c r="X1708" s="40"/>
      <c r="Y1708" s="40"/>
      <c r="Z1708" s="38"/>
      <c r="AA1708" s="38"/>
      <c r="AB1708" s="38"/>
      <c r="AC1708" s="38"/>
      <c r="AD1708" s="38"/>
      <c r="AE1708" s="38"/>
      <c r="AF1708" s="38"/>
      <c r="AG1708" s="38"/>
      <c r="AH1708" s="38"/>
      <c r="AI1708" s="38"/>
      <c r="AJ1708" s="38"/>
      <c r="AK1708" s="38"/>
      <c r="AL1708" s="38"/>
      <c r="AM1708" s="38"/>
      <c r="AN1708" s="38"/>
      <c r="AO1708" s="38"/>
      <c r="AP1708" s="38"/>
      <c r="AQ1708" s="38"/>
      <c r="AR1708" s="38"/>
      <c r="AS1708" s="38"/>
      <c r="AT1708" s="38"/>
      <c r="AU1708" s="38"/>
      <c r="AV1708" s="38"/>
      <c r="AW1708" s="38"/>
      <c r="AX1708" s="38"/>
      <c r="AY1708" s="38"/>
      <c r="AZ1708" s="38"/>
      <c r="BA1708" s="38"/>
      <c r="BB1708" s="38"/>
      <c r="BC1708" s="38"/>
      <c r="BD1708" s="38"/>
      <c r="BE1708" s="38"/>
      <c r="BF1708" s="38"/>
      <c r="BG1708" s="38"/>
      <c r="BH1708" s="38"/>
      <c r="BI1708" s="38"/>
      <c r="BJ1708" s="38"/>
      <c r="BK1708" s="38"/>
      <c r="BL1708" s="38"/>
      <c r="BM1708" s="38"/>
      <c r="BN1708" s="38"/>
      <c r="BO1708" s="38"/>
      <c r="BP1708" s="38"/>
      <c r="BQ1708" s="38"/>
    </row>
    <row r="1709">
      <c r="A1709" s="58" t="s">
        <v>4781</v>
      </c>
      <c r="B1709" s="59">
        <v>43336.0</v>
      </c>
      <c r="C1709" s="59">
        <v>43336.0</v>
      </c>
      <c r="D1709" s="60" t="s">
        <v>4768</v>
      </c>
      <c r="E1709" s="58" t="s">
        <v>41</v>
      </c>
      <c r="F1709" s="58">
        <v>1.0</v>
      </c>
      <c r="G1709" s="58" t="s">
        <v>32</v>
      </c>
      <c r="H1709" s="33">
        <f t="shared" si="254"/>
        <v>1</v>
      </c>
      <c r="I1709" s="58" t="s">
        <v>33</v>
      </c>
      <c r="J1709" s="58" t="s">
        <v>909</v>
      </c>
      <c r="K1709" s="58">
        <v>1.0</v>
      </c>
      <c r="L1709" s="58" t="s">
        <v>119</v>
      </c>
      <c r="M1709" s="61" t="s">
        <v>4782</v>
      </c>
      <c r="N1709" s="77"/>
      <c r="O1709" s="88" t="str">
        <f>hyperlink("https://bad-boys.us/?q=D-RI/1:18-cr-00126", "D-RI 1:18-cr-00126")</f>
        <v>D-RI 1:18-cr-00126</v>
      </c>
      <c r="P1709" s="88" t="s">
        <v>4783</v>
      </c>
      <c r="Q1709" s="84">
        <v>1.0</v>
      </c>
      <c r="R1709" s="62"/>
      <c r="S1709" s="37" t="str">
        <f>IFERROR(__xludf.DUMMYFUNCTION("if(not(iserror(index(split(C1709, "" ""),2))), index(split(C1709, "" ""),1),"""")"),"August")</f>
        <v>August</v>
      </c>
      <c r="T1709" s="38">
        <f>IFERROR(__xludf.DUMMYFUNCTION("if(S1709="""",C1709,if(not(iserror(index(split(C1709, "" ""),3))), index(split(C1709, "" ""),3),index(split(C1709, "" ""),2)))"),2018.0)</f>
        <v>2018</v>
      </c>
      <c r="U1709" s="38" t="b">
        <f t="shared" si="253"/>
        <v>0</v>
      </c>
      <c r="V1709" s="38"/>
      <c r="W1709" s="40"/>
      <c r="X1709" s="40"/>
      <c r="Y1709" s="40"/>
      <c r="Z1709" s="38"/>
      <c r="AA1709" s="38"/>
      <c r="AB1709" s="38"/>
      <c r="AC1709" s="38"/>
      <c r="AD1709" s="38"/>
      <c r="AE1709" s="38"/>
      <c r="AF1709" s="38"/>
      <c r="AG1709" s="38"/>
      <c r="AH1709" s="38"/>
      <c r="AI1709" s="38"/>
      <c r="AJ1709" s="38"/>
      <c r="AK1709" s="38"/>
      <c r="AL1709" s="38"/>
      <c r="AM1709" s="38"/>
      <c r="AN1709" s="38"/>
      <c r="AO1709" s="38"/>
      <c r="AP1709" s="38"/>
      <c r="AQ1709" s="38"/>
      <c r="AR1709" s="38"/>
      <c r="AS1709" s="38"/>
      <c r="AT1709" s="38"/>
      <c r="AU1709" s="38"/>
      <c r="AV1709" s="38"/>
      <c r="AW1709" s="38"/>
      <c r="AX1709" s="38"/>
      <c r="AY1709" s="38"/>
      <c r="AZ1709" s="38"/>
      <c r="BA1709" s="38"/>
      <c r="BB1709" s="38"/>
      <c r="BC1709" s="38"/>
      <c r="BD1709" s="38"/>
      <c r="BE1709" s="38"/>
      <c r="BF1709" s="38"/>
      <c r="BG1709" s="38"/>
      <c r="BH1709" s="38"/>
      <c r="BI1709" s="38"/>
      <c r="BJ1709" s="38"/>
      <c r="BK1709" s="38"/>
      <c r="BL1709" s="38"/>
      <c r="BM1709" s="38"/>
      <c r="BN1709" s="38"/>
      <c r="BO1709" s="38"/>
      <c r="BP1709" s="38"/>
      <c r="BQ1709" s="38"/>
    </row>
    <row r="1710">
      <c r="A1710" s="58" t="s">
        <v>239</v>
      </c>
      <c r="B1710" s="59">
        <v>43336.0</v>
      </c>
      <c r="C1710" s="59">
        <v>43336.0</v>
      </c>
      <c r="D1710" s="60" t="s">
        <v>4768</v>
      </c>
      <c r="E1710" s="58" t="s">
        <v>41</v>
      </c>
      <c r="F1710" s="58">
        <v>2.0</v>
      </c>
      <c r="G1710" s="58" t="s">
        <v>32</v>
      </c>
      <c r="H1710" s="33">
        <f t="shared" si="254"/>
        <v>1</v>
      </c>
      <c r="I1710" s="58" t="s">
        <v>33</v>
      </c>
      <c r="J1710" s="58" t="s">
        <v>241</v>
      </c>
      <c r="K1710" s="58">
        <v>1.0</v>
      </c>
      <c r="L1710" s="58" t="s">
        <v>194</v>
      </c>
      <c r="M1710" s="61" t="s">
        <v>4784</v>
      </c>
      <c r="N1710" s="77"/>
      <c r="O1710" s="58"/>
      <c r="P1710" s="58"/>
      <c r="Q1710" s="84"/>
      <c r="R1710" s="62"/>
      <c r="S1710" s="37" t="str">
        <f>IFERROR(__xludf.DUMMYFUNCTION("if(not(iserror(index(split(C1710, "" ""),2))), index(split(C1710, "" ""),1),"""")"),"August")</f>
        <v>August</v>
      </c>
      <c r="T1710" s="38">
        <f>IFERROR(__xludf.DUMMYFUNCTION("if(S1710="""",C1710,if(not(iserror(index(split(C1710, "" ""),3))), index(split(C1710, "" ""),3),index(split(C1710, "" ""),2)))"),2018.0)</f>
        <v>2018</v>
      </c>
      <c r="U1710" s="38" t="b">
        <f t="shared" si="253"/>
        <v>1</v>
      </c>
      <c r="V1710" s="38"/>
      <c r="W1710" s="40"/>
      <c r="X1710" s="40"/>
      <c r="Y1710" s="40"/>
      <c r="Z1710" s="38"/>
      <c r="AA1710" s="38"/>
      <c r="AB1710" s="38"/>
      <c r="AC1710" s="38"/>
      <c r="AD1710" s="38"/>
      <c r="AE1710" s="38"/>
      <c r="AF1710" s="38"/>
      <c r="AG1710" s="38"/>
      <c r="AH1710" s="38"/>
      <c r="AI1710" s="38"/>
      <c r="AJ1710" s="38"/>
      <c r="AK1710" s="38"/>
      <c r="AL1710" s="38"/>
      <c r="AM1710" s="38"/>
      <c r="AN1710" s="38"/>
      <c r="AO1710" s="38"/>
      <c r="AP1710" s="38"/>
      <c r="AQ1710" s="38"/>
      <c r="AR1710" s="38"/>
      <c r="AS1710" s="38"/>
      <c r="AT1710" s="38"/>
      <c r="AU1710" s="38"/>
      <c r="AV1710" s="38"/>
      <c r="AW1710" s="38"/>
      <c r="AX1710" s="38"/>
      <c r="AY1710" s="38"/>
      <c r="AZ1710" s="38"/>
      <c r="BA1710" s="38"/>
      <c r="BB1710" s="38"/>
      <c r="BC1710" s="38"/>
      <c r="BD1710" s="38"/>
      <c r="BE1710" s="38"/>
      <c r="BF1710" s="38"/>
      <c r="BG1710" s="38"/>
      <c r="BH1710" s="38"/>
      <c r="BI1710" s="38"/>
      <c r="BJ1710" s="38"/>
      <c r="BK1710" s="38"/>
      <c r="BL1710" s="38"/>
      <c r="BM1710" s="38"/>
      <c r="BN1710" s="38"/>
      <c r="BO1710" s="38"/>
      <c r="BP1710" s="38"/>
      <c r="BQ1710" s="38"/>
    </row>
    <row r="1711">
      <c r="A1711" s="58" t="s">
        <v>239</v>
      </c>
      <c r="B1711" s="59">
        <v>43337.0</v>
      </c>
      <c r="C1711" s="59">
        <v>43336.0</v>
      </c>
      <c r="D1711" s="60" t="s">
        <v>4768</v>
      </c>
      <c r="E1711" s="58" t="s">
        <v>41</v>
      </c>
      <c r="F1711" s="58">
        <v>1.0</v>
      </c>
      <c r="G1711" s="58" t="s">
        <v>32</v>
      </c>
      <c r="H1711" s="33">
        <f t="shared" si="254"/>
        <v>1</v>
      </c>
      <c r="I1711" s="58" t="s">
        <v>33</v>
      </c>
      <c r="J1711" s="58" t="s">
        <v>440</v>
      </c>
      <c r="K1711" s="58">
        <v>1.0</v>
      </c>
      <c r="L1711" s="58" t="s">
        <v>52</v>
      </c>
      <c r="M1711" s="61" t="s">
        <v>4785</v>
      </c>
      <c r="N1711" s="77"/>
      <c r="O1711" s="62"/>
      <c r="P1711" s="62"/>
      <c r="Q1711" s="62"/>
      <c r="R1711" s="62"/>
      <c r="S1711" s="37" t="str">
        <f>IFERROR(__xludf.DUMMYFUNCTION("if(not(iserror(index(split(C1711, "" ""),2))), index(split(C1711, "" ""),1),"""")"),"August")</f>
        <v>August</v>
      </c>
      <c r="T1711" s="38">
        <f>IFERROR(__xludf.DUMMYFUNCTION("if(S1711="""",C1711,if(not(iserror(index(split(C1711, "" ""),3))), index(split(C1711, "" ""),3),index(split(C1711, "" ""),2)))"),2018.0)</f>
        <v>2018</v>
      </c>
      <c r="U1711" s="38" t="b">
        <f t="shared" si="253"/>
        <v>1</v>
      </c>
      <c r="V1711" s="38"/>
      <c r="W1711" s="40"/>
      <c r="X1711" s="40"/>
      <c r="Y1711" s="40"/>
      <c r="Z1711" s="38"/>
      <c r="AA1711" s="38"/>
      <c r="AB1711" s="38"/>
      <c r="AC1711" s="38"/>
      <c r="AD1711" s="38"/>
      <c r="AE1711" s="38"/>
      <c r="AF1711" s="38"/>
      <c r="AG1711" s="38"/>
      <c r="AH1711" s="38"/>
      <c r="AI1711" s="38"/>
      <c r="AJ1711" s="38"/>
      <c r="AK1711" s="38"/>
      <c r="AL1711" s="38"/>
      <c r="AM1711" s="38"/>
      <c r="AN1711" s="38"/>
      <c r="AO1711" s="38"/>
      <c r="AP1711" s="38"/>
      <c r="AQ1711" s="38"/>
      <c r="AR1711" s="38"/>
      <c r="AS1711" s="38"/>
      <c r="AT1711" s="38"/>
      <c r="AU1711" s="38"/>
      <c r="AV1711" s="38"/>
      <c r="AW1711" s="38"/>
      <c r="AX1711" s="38"/>
      <c r="AY1711" s="38"/>
      <c r="AZ1711" s="38"/>
      <c r="BA1711" s="38"/>
      <c r="BB1711" s="38"/>
      <c r="BC1711" s="38"/>
      <c r="BD1711" s="38"/>
      <c r="BE1711" s="38"/>
      <c r="BF1711" s="38"/>
      <c r="BG1711" s="38"/>
      <c r="BH1711" s="38"/>
      <c r="BI1711" s="38"/>
      <c r="BJ1711" s="38"/>
      <c r="BK1711" s="38"/>
      <c r="BL1711" s="38"/>
      <c r="BM1711" s="38"/>
      <c r="BN1711" s="38"/>
      <c r="BO1711" s="38"/>
      <c r="BP1711" s="38"/>
      <c r="BQ1711" s="38"/>
    </row>
    <row r="1712">
      <c r="A1712" s="78" t="s">
        <v>4786</v>
      </c>
      <c r="B1712" s="59">
        <v>43339.0</v>
      </c>
      <c r="C1712" s="59">
        <v>43336.0</v>
      </c>
      <c r="D1712" s="60" t="s">
        <v>4768</v>
      </c>
      <c r="E1712" s="58" t="s">
        <v>41</v>
      </c>
      <c r="F1712" s="58">
        <v>1.0</v>
      </c>
      <c r="G1712" s="58" t="s">
        <v>32</v>
      </c>
      <c r="H1712" s="33">
        <f t="shared" si="254"/>
        <v>1</v>
      </c>
      <c r="I1712" s="58" t="s">
        <v>33</v>
      </c>
      <c r="J1712" s="58" t="s">
        <v>184</v>
      </c>
      <c r="K1712" s="58">
        <v>2.0</v>
      </c>
      <c r="L1712" s="58" t="s">
        <v>119</v>
      </c>
      <c r="M1712" s="46" t="s">
        <v>4787</v>
      </c>
      <c r="N1712" s="46" t="s">
        <v>4788</v>
      </c>
      <c r="O1712" s="83" t="str">
        <f>hyperlink("https://bad-boys.us/?q=SD-IL/3:18-cr-30139", "SD-IL 3:18-cr-30139")</f>
        <v>SD-IL 3:18-cr-30139</v>
      </c>
      <c r="P1712" s="88" t="s">
        <v>4789</v>
      </c>
      <c r="Q1712" s="58">
        <v>1.0</v>
      </c>
      <c r="R1712" s="62"/>
      <c r="S1712" s="37" t="str">
        <f>IFERROR(__xludf.DUMMYFUNCTION("if(not(iserror(index(split(C1712, "" ""),2))), index(split(C1712, "" ""),1),"""")"),"August")</f>
        <v>August</v>
      </c>
      <c r="T1712" s="38">
        <f>IFERROR(__xludf.DUMMYFUNCTION("if(S1712="""",C1712,if(not(iserror(index(split(C1712, "" ""),3))), index(split(C1712, "" ""),3),index(split(C1712, "" ""),2)))"),2018.0)</f>
        <v>2018</v>
      </c>
      <c r="U1712" s="38" t="b">
        <f t="shared" si="253"/>
        <v>0</v>
      </c>
      <c r="V1712" s="38"/>
      <c r="W1712" s="40"/>
      <c r="X1712" s="40"/>
      <c r="Y1712" s="40"/>
      <c r="Z1712" s="38"/>
      <c r="AA1712" s="38"/>
      <c r="AB1712" s="38"/>
      <c r="AC1712" s="38"/>
      <c r="AD1712" s="38"/>
      <c r="AE1712" s="38"/>
      <c r="AF1712" s="38"/>
      <c r="AG1712" s="38"/>
      <c r="AH1712" s="38"/>
      <c r="AI1712" s="38"/>
      <c r="AJ1712" s="38"/>
      <c r="AK1712" s="38"/>
      <c r="AL1712" s="38"/>
      <c r="AM1712" s="38"/>
      <c r="AN1712" s="38"/>
      <c r="AO1712" s="38"/>
      <c r="AP1712" s="38"/>
      <c r="AQ1712" s="38"/>
      <c r="AR1712" s="38"/>
      <c r="AS1712" s="38"/>
      <c r="AT1712" s="38"/>
      <c r="AU1712" s="38"/>
      <c r="AV1712" s="38"/>
      <c r="AW1712" s="38"/>
      <c r="AX1712" s="38"/>
      <c r="AY1712" s="38"/>
      <c r="AZ1712" s="38"/>
      <c r="BA1712" s="38"/>
      <c r="BB1712" s="38"/>
      <c r="BC1712" s="38"/>
      <c r="BD1712" s="38"/>
      <c r="BE1712" s="38"/>
      <c r="BF1712" s="38"/>
      <c r="BG1712" s="38"/>
      <c r="BH1712" s="38"/>
      <c r="BI1712" s="38"/>
      <c r="BJ1712" s="38"/>
      <c r="BK1712" s="38"/>
      <c r="BL1712" s="38"/>
      <c r="BM1712" s="38"/>
      <c r="BN1712" s="38"/>
      <c r="BO1712" s="38"/>
      <c r="BP1712" s="38"/>
      <c r="BQ1712" s="38"/>
    </row>
    <row r="1713">
      <c r="A1713" s="58" t="s">
        <v>239</v>
      </c>
      <c r="B1713" s="59">
        <v>43339.0</v>
      </c>
      <c r="C1713" s="59">
        <v>43336.0</v>
      </c>
      <c r="D1713" s="60" t="s">
        <v>4768</v>
      </c>
      <c r="E1713" s="58" t="s">
        <v>41</v>
      </c>
      <c r="F1713" s="58">
        <v>1.0</v>
      </c>
      <c r="G1713" s="58">
        <v>4.0</v>
      </c>
      <c r="H1713" s="33">
        <f t="shared" si="254"/>
        <v>4</v>
      </c>
      <c r="I1713" s="58" t="s">
        <v>33</v>
      </c>
      <c r="J1713" s="58" t="s">
        <v>111</v>
      </c>
      <c r="K1713" s="58">
        <v>1.0</v>
      </c>
      <c r="L1713" s="58" t="s">
        <v>194</v>
      </c>
      <c r="M1713" s="61" t="s">
        <v>4790</v>
      </c>
      <c r="N1713" s="77"/>
      <c r="O1713" s="62"/>
      <c r="P1713" s="62"/>
      <c r="Q1713" s="62"/>
      <c r="R1713" s="62"/>
      <c r="S1713" s="37" t="str">
        <f>IFERROR(__xludf.DUMMYFUNCTION("if(not(iserror(index(split(C1713, "" ""),2))), index(split(C1713, "" ""),1),"""")"),"August")</f>
        <v>August</v>
      </c>
      <c r="T1713" s="38">
        <f>IFERROR(__xludf.DUMMYFUNCTION("if(S1713="""",C1713,if(not(iserror(index(split(C1713, "" ""),3))), index(split(C1713, "" ""),3),index(split(C1713, "" ""),2)))"),2018.0)</f>
        <v>2018</v>
      </c>
      <c r="U1713" s="38" t="b">
        <f t="shared" si="253"/>
        <v>1</v>
      </c>
      <c r="V1713" s="38"/>
      <c r="W1713" s="40"/>
      <c r="X1713" s="40"/>
      <c r="Y1713" s="40"/>
      <c r="Z1713" s="38"/>
      <c r="AA1713" s="38"/>
      <c r="AB1713" s="38"/>
      <c r="AC1713" s="38"/>
      <c r="AD1713" s="38"/>
      <c r="AE1713" s="38"/>
      <c r="AF1713" s="38"/>
      <c r="AG1713" s="38"/>
      <c r="AH1713" s="38"/>
      <c r="AI1713" s="38"/>
      <c r="AJ1713" s="38"/>
      <c r="AK1713" s="38"/>
      <c r="AL1713" s="38"/>
      <c r="AM1713" s="38"/>
      <c r="AN1713" s="38"/>
      <c r="AO1713" s="38"/>
      <c r="AP1713" s="38"/>
      <c r="AQ1713" s="38"/>
      <c r="AR1713" s="38"/>
      <c r="AS1713" s="38"/>
      <c r="AT1713" s="38"/>
      <c r="AU1713" s="38"/>
      <c r="AV1713" s="38"/>
      <c r="AW1713" s="38"/>
      <c r="AX1713" s="38"/>
      <c r="AY1713" s="38"/>
      <c r="AZ1713" s="38"/>
      <c r="BA1713" s="38"/>
      <c r="BB1713" s="38"/>
      <c r="BC1713" s="38"/>
      <c r="BD1713" s="38"/>
      <c r="BE1713" s="38"/>
      <c r="BF1713" s="38"/>
      <c r="BG1713" s="38"/>
      <c r="BH1713" s="38"/>
      <c r="BI1713" s="38"/>
      <c r="BJ1713" s="38"/>
      <c r="BK1713" s="38"/>
      <c r="BL1713" s="38"/>
      <c r="BM1713" s="38"/>
      <c r="BN1713" s="38"/>
      <c r="BO1713" s="38"/>
      <c r="BP1713" s="38"/>
      <c r="BQ1713" s="38"/>
    </row>
    <row r="1714">
      <c r="A1714" s="58" t="s">
        <v>239</v>
      </c>
      <c r="B1714" s="59">
        <v>43339.0</v>
      </c>
      <c r="C1714" s="59">
        <v>43336.0</v>
      </c>
      <c r="D1714" s="60" t="s">
        <v>4444</v>
      </c>
      <c r="E1714" s="58" t="s">
        <v>41</v>
      </c>
      <c r="F1714" s="58">
        <v>1.0</v>
      </c>
      <c r="G1714" s="58" t="s">
        <v>32</v>
      </c>
      <c r="H1714" s="33">
        <f t="shared" si="254"/>
        <v>1</v>
      </c>
      <c r="I1714" s="58" t="s">
        <v>33</v>
      </c>
      <c r="J1714" s="58" t="s">
        <v>147</v>
      </c>
      <c r="K1714" s="58">
        <v>1.0</v>
      </c>
      <c r="L1714" s="58" t="s">
        <v>194</v>
      </c>
      <c r="M1714" s="61" t="s">
        <v>4791</v>
      </c>
      <c r="N1714" s="77"/>
      <c r="O1714" s="62"/>
      <c r="P1714" s="62"/>
      <c r="Q1714" s="62"/>
      <c r="R1714" s="62"/>
      <c r="S1714" s="37" t="str">
        <f>IFERROR(__xludf.DUMMYFUNCTION("if(not(iserror(index(split(C1714, "" ""),2))), index(split(C1714, "" ""),1),"""")"),"August")</f>
        <v>August</v>
      </c>
      <c r="T1714" s="38">
        <f>IFERROR(__xludf.DUMMYFUNCTION("if(S1714="""",C1714,if(not(iserror(index(split(C1714, "" ""),3))), index(split(C1714, "" ""),3),index(split(C1714, "" ""),2)))"),2018.0)</f>
        <v>2018</v>
      </c>
      <c r="U1714" s="38" t="b">
        <f t="shared" si="253"/>
        <v>1</v>
      </c>
      <c r="V1714" s="38"/>
      <c r="W1714" s="40"/>
      <c r="X1714" s="40"/>
      <c r="Y1714" s="40"/>
      <c r="Z1714" s="38"/>
      <c r="AA1714" s="38"/>
      <c r="AB1714" s="38"/>
      <c r="AC1714" s="38"/>
      <c r="AD1714" s="38"/>
      <c r="AE1714" s="38"/>
      <c r="AF1714" s="38"/>
      <c r="AG1714" s="38"/>
      <c r="AH1714" s="38"/>
      <c r="AI1714" s="38"/>
      <c r="AJ1714" s="38"/>
      <c r="AK1714" s="38"/>
      <c r="AL1714" s="38"/>
      <c r="AM1714" s="38"/>
      <c r="AN1714" s="38"/>
      <c r="AO1714" s="38"/>
      <c r="AP1714" s="38"/>
      <c r="AQ1714" s="38"/>
      <c r="AR1714" s="38"/>
      <c r="AS1714" s="38"/>
      <c r="AT1714" s="38"/>
      <c r="AU1714" s="38"/>
      <c r="AV1714" s="38"/>
      <c r="AW1714" s="38"/>
      <c r="AX1714" s="38"/>
      <c r="AY1714" s="38"/>
      <c r="AZ1714" s="38"/>
      <c r="BA1714" s="38"/>
      <c r="BB1714" s="38"/>
      <c r="BC1714" s="38"/>
      <c r="BD1714" s="38"/>
      <c r="BE1714" s="38"/>
      <c r="BF1714" s="38"/>
      <c r="BG1714" s="38"/>
      <c r="BH1714" s="38"/>
      <c r="BI1714" s="38"/>
      <c r="BJ1714" s="38"/>
      <c r="BK1714" s="38"/>
      <c r="BL1714" s="38"/>
      <c r="BM1714" s="38"/>
      <c r="BN1714" s="38"/>
      <c r="BO1714" s="38"/>
      <c r="BP1714" s="38"/>
      <c r="BQ1714" s="38"/>
    </row>
    <row r="1715">
      <c r="A1715" s="58" t="s">
        <v>239</v>
      </c>
      <c r="B1715" s="59">
        <v>43341.0</v>
      </c>
      <c r="C1715" s="59">
        <v>43338.0</v>
      </c>
      <c r="D1715" s="60" t="s">
        <v>4444</v>
      </c>
      <c r="E1715" s="58" t="s">
        <v>41</v>
      </c>
      <c r="F1715" s="58">
        <v>1.0</v>
      </c>
      <c r="G1715" s="58">
        <v>2.0</v>
      </c>
      <c r="H1715" s="33">
        <f t="shared" si="254"/>
        <v>2</v>
      </c>
      <c r="I1715" s="58" t="s">
        <v>33</v>
      </c>
      <c r="J1715" s="58" t="s">
        <v>147</v>
      </c>
      <c r="K1715" s="58">
        <v>1.0</v>
      </c>
      <c r="L1715" s="58" t="s">
        <v>194</v>
      </c>
      <c r="M1715" s="61" t="s">
        <v>4774</v>
      </c>
      <c r="N1715" s="77"/>
      <c r="O1715" s="58"/>
      <c r="P1715" s="58"/>
      <c r="Q1715" s="84"/>
      <c r="R1715" s="62"/>
      <c r="S1715" s="37" t="str">
        <f>IFERROR(__xludf.DUMMYFUNCTION("if(not(iserror(index(split(C1715, "" ""),2))), index(split(C1715, "" ""),1),"""")"),"August")</f>
        <v>August</v>
      </c>
      <c r="T1715" s="38">
        <f>IFERROR(__xludf.DUMMYFUNCTION("if(S1715="""",C1715,if(not(iserror(index(split(C1715, "" ""),3))), index(split(C1715, "" ""),3),index(split(C1715, "" ""),2)))"),2018.0)</f>
        <v>2018</v>
      </c>
      <c r="U1715" s="38" t="b">
        <f t="shared" si="253"/>
        <v>1</v>
      </c>
      <c r="V1715" s="38"/>
      <c r="W1715" s="40"/>
      <c r="X1715" s="40"/>
      <c r="Y1715" s="40"/>
      <c r="Z1715" s="38"/>
      <c r="AA1715" s="38"/>
      <c r="AB1715" s="38"/>
      <c r="AC1715" s="38"/>
      <c r="AD1715" s="38"/>
      <c r="AE1715" s="38"/>
      <c r="AF1715" s="38"/>
      <c r="AG1715" s="38"/>
      <c r="AH1715" s="38"/>
      <c r="AI1715" s="38"/>
      <c r="AJ1715" s="38"/>
      <c r="AK1715" s="38"/>
      <c r="AL1715" s="38"/>
      <c r="AM1715" s="38"/>
      <c r="AN1715" s="38"/>
      <c r="AO1715" s="38"/>
      <c r="AP1715" s="38"/>
      <c r="AQ1715" s="38"/>
      <c r="AR1715" s="38"/>
      <c r="AS1715" s="38"/>
      <c r="AT1715" s="38"/>
      <c r="AU1715" s="38"/>
      <c r="AV1715" s="38"/>
      <c r="AW1715" s="38"/>
      <c r="AX1715" s="38"/>
      <c r="AY1715" s="38"/>
      <c r="AZ1715" s="38"/>
      <c r="BA1715" s="38"/>
      <c r="BB1715" s="38"/>
      <c r="BC1715" s="38"/>
      <c r="BD1715" s="38"/>
      <c r="BE1715" s="38"/>
      <c r="BF1715" s="38"/>
      <c r="BG1715" s="38"/>
      <c r="BH1715" s="38"/>
      <c r="BI1715" s="38"/>
      <c r="BJ1715" s="38"/>
      <c r="BK1715" s="38"/>
      <c r="BL1715" s="38"/>
      <c r="BM1715" s="38"/>
      <c r="BN1715" s="38"/>
      <c r="BO1715" s="38"/>
      <c r="BP1715" s="38"/>
      <c r="BQ1715" s="38"/>
    </row>
    <row r="1716">
      <c r="A1716" s="58" t="s">
        <v>239</v>
      </c>
      <c r="B1716" s="59">
        <v>43339.0</v>
      </c>
      <c r="C1716" s="59">
        <v>43339.0</v>
      </c>
      <c r="D1716" s="60" t="s">
        <v>4792</v>
      </c>
      <c r="E1716" s="58" t="s">
        <v>41</v>
      </c>
      <c r="F1716" s="58">
        <v>2.0</v>
      </c>
      <c r="G1716" s="58" t="s">
        <v>32</v>
      </c>
      <c r="H1716" s="33">
        <f t="shared" si="254"/>
        <v>1</v>
      </c>
      <c r="I1716" s="58" t="s">
        <v>33</v>
      </c>
      <c r="J1716" s="58" t="s">
        <v>111</v>
      </c>
      <c r="K1716" s="58">
        <v>2.0</v>
      </c>
      <c r="L1716" s="58" t="s">
        <v>194</v>
      </c>
      <c r="M1716" s="61" t="s">
        <v>4793</v>
      </c>
      <c r="N1716" s="77"/>
      <c r="O1716" s="62"/>
      <c r="P1716" s="62"/>
      <c r="Q1716" s="62"/>
      <c r="R1716" s="62"/>
      <c r="S1716" s="37" t="str">
        <f>IFERROR(__xludf.DUMMYFUNCTION("if(not(iserror(index(split(C1716, "" ""),2))), index(split(C1716, "" ""),1),"""")"),"August")</f>
        <v>August</v>
      </c>
      <c r="T1716" s="38">
        <f>IFERROR(__xludf.DUMMYFUNCTION("if(S1716="""",C1716,if(not(iserror(index(split(C1716, "" ""),3))), index(split(C1716, "" ""),3),index(split(C1716, "" ""),2)))"),2018.0)</f>
        <v>2018</v>
      </c>
      <c r="U1716" s="38" t="b">
        <f t="shared" si="253"/>
        <v>1</v>
      </c>
      <c r="V1716" s="38"/>
      <c r="W1716" s="40"/>
      <c r="X1716" s="40"/>
      <c r="Y1716" s="40"/>
      <c r="Z1716" s="38"/>
      <c r="AA1716" s="38"/>
      <c r="AB1716" s="38"/>
      <c r="AC1716" s="38"/>
      <c r="AD1716" s="38"/>
      <c r="AE1716" s="38"/>
      <c r="AF1716" s="38"/>
      <c r="AG1716" s="38"/>
      <c r="AH1716" s="38"/>
      <c r="AI1716" s="38"/>
      <c r="AJ1716" s="38"/>
      <c r="AK1716" s="38"/>
      <c r="AL1716" s="38"/>
      <c r="AM1716" s="38"/>
      <c r="AN1716" s="38"/>
      <c r="AO1716" s="38"/>
      <c r="AP1716" s="38"/>
      <c r="AQ1716" s="38"/>
      <c r="AR1716" s="38"/>
      <c r="AS1716" s="38"/>
      <c r="AT1716" s="38"/>
      <c r="AU1716" s="38"/>
      <c r="AV1716" s="38"/>
      <c r="AW1716" s="38"/>
      <c r="AX1716" s="38"/>
      <c r="AY1716" s="38"/>
      <c r="AZ1716" s="38"/>
      <c r="BA1716" s="38"/>
      <c r="BB1716" s="38"/>
      <c r="BC1716" s="38"/>
      <c r="BD1716" s="38"/>
      <c r="BE1716" s="38"/>
      <c r="BF1716" s="38"/>
      <c r="BG1716" s="38"/>
      <c r="BH1716" s="38"/>
      <c r="BI1716" s="38"/>
      <c r="BJ1716" s="38"/>
      <c r="BK1716" s="38"/>
      <c r="BL1716" s="38"/>
      <c r="BM1716" s="38"/>
      <c r="BN1716" s="38"/>
      <c r="BO1716" s="38"/>
      <c r="BP1716" s="38"/>
      <c r="BQ1716" s="38"/>
    </row>
    <row r="1717">
      <c r="A1717" s="58" t="s">
        <v>4794</v>
      </c>
      <c r="B1717" s="59">
        <v>43339.0</v>
      </c>
      <c r="C1717" s="59">
        <v>43339.0</v>
      </c>
      <c r="D1717" s="60" t="s">
        <v>4792</v>
      </c>
      <c r="E1717" s="58" t="s">
        <v>41</v>
      </c>
      <c r="F1717" s="58">
        <v>1.0</v>
      </c>
      <c r="G1717" s="58" t="s">
        <v>32</v>
      </c>
      <c r="H1717" s="33">
        <f t="shared" si="254"/>
        <v>1</v>
      </c>
      <c r="I1717" s="58" t="s">
        <v>33</v>
      </c>
      <c r="J1717" s="58" t="s">
        <v>55</v>
      </c>
      <c r="K1717" s="58">
        <v>3.0</v>
      </c>
      <c r="L1717" s="58" t="s">
        <v>69</v>
      </c>
      <c r="M1717" s="80" t="s">
        <v>4795</v>
      </c>
      <c r="N1717" s="77"/>
      <c r="O1717" s="88" t="str">
        <f>hyperlink("https://bad-boys.us/?q=D-NJ/2:19-cr-00566", "D-NJ 2:19-cr-00566")</f>
        <v>D-NJ 2:19-cr-00566</v>
      </c>
      <c r="P1717" s="62"/>
      <c r="Q1717" s="58">
        <v>1.0</v>
      </c>
      <c r="R1717" s="62"/>
      <c r="S1717" s="37" t="str">
        <f>IFERROR(__xludf.DUMMYFUNCTION("if(not(iserror(index(split(C1717, "" ""),2))), index(split(C1717, "" ""),1),"""")"),"August")</f>
        <v>August</v>
      </c>
      <c r="T1717" s="38">
        <f>IFERROR(__xludf.DUMMYFUNCTION("if(S1717="""",C1717,if(not(iserror(index(split(C1717, "" ""),3))), index(split(C1717, "" ""),3),index(split(C1717, "" ""),2)))"),2018.0)</f>
        <v>2018</v>
      </c>
      <c r="U1717" s="38" t="b">
        <f t="shared" si="253"/>
        <v>0</v>
      </c>
      <c r="V1717" s="38"/>
      <c r="W1717" s="40"/>
      <c r="X1717" s="40"/>
      <c r="Y1717" s="40"/>
      <c r="Z1717" s="38"/>
      <c r="AA1717" s="38"/>
      <c r="AB1717" s="38"/>
      <c r="AC1717" s="38"/>
      <c r="AD1717" s="38"/>
      <c r="AE1717" s="38"/>
      <c r="AF1717" s="38"/>
      <c r="AG1717" s="38"/>
      <c r="AH1717" s="38"/>
      <c r="AI1717" s="38"/>
      <c r="AJ1717" s="38"/>
      <c r="AK1717" s="38"/>
      <c r="AL1717" s="38"/>
      <c r="AM1717" s="38"/>
      <c r="AN1717" s="38"/>
      <c r="AO1717" s="38"/>
      <c r="AP1717" s="38"/>
      <c r="AQ1717" s="38"/>
      <c r="AR1717" s="38"/>
      <c r="AS1717" s="38"/>
      <c r="AT1717" s="38"/>
      <c r="AU1717" s="38"/>
      <c r="AV1717" s="38"/>
      <c r="AW1717" s="38"/>
      <c r="AX1717" s="38"/>
      <c r="AY1717" s="38"/>
      <c r="AZ1717" s="38"/>
      <c r="BA1717" s="38"/>
      <c r="BB1717" s="38"/>
      <c r="BC1717" s="38"/>
      <c r="BD1717" s="38"/>
      <c r="BE1717" s="38"/>
      <c r="BF1717" s="38"/>
      <c r="BG1717" s="38"/>
      <c r="BH1717" s="38"/>
      <c r="BI1717" s="38"/>
      <c r="BJ1717" s="38"/>
      <c r="BK1717" s="38"/>
      <c r="BL1717" s="38"/>
      <c r="BM1717" s="38"/>
      <c r="BN1717" s="38"/>
      <c r="BO1717" s="38"/>
      <c r="BP1717" s="38"/>
      <c r="BQ1717" s="38"/>
    </row>
    <row r="1718">
      <c r="A1718" s="58" t="s">
        <v>239</v>
      </c>
      <c r="B1718" s="59">
        <v>43340.0</v>
      </c>
      <c r="C1718" s="59">
        <v>43339.0</v>
      </c>
      <c r="D1718" s="60" t="s">
        <v>4792</v>
      </c>
      <c r="E1718" s="58" t="s">
        <v>41</v>
      </c>
      <c r="F1718" s="58">
        <v>2.0</v>
      </c>
      <c r="G1718" s="58">
        <v>3.0</v>
      </c>
      <c r="H1718" s="33">
        <f t="shared" si="254"/>
        <v>3</v>
      </c>
      <c r="I1718" s="58" t="s">
        <v>33</v>
      </c>
      <c r="J1718" s="58" t="s">
        <v>241</v>
      </c>
      <c r="K1718" s="58">
        <v>1.0</v>
      </c>
      <c r="L1718" s="58" t="s">
        <v>194</v>
      </c>
      <c r="M1718" s="61" t="s">
        <v>4796</v>
      </c>
      <c r="N1718" s="77"/>
      <c r="O1718" s="58"/>
      <c r="P1718" s="62"/>
      <c r="Q1718" s="84"/>
      <c r="R1718" s="62"/>
      <c r="S1718" s="37" t="str">
        <f>IFERROR(__xludf.DUMMYFUNCTION("if(not(iserror(index(split(C1718, "" ""),2))), index(split(C1718, "" ""),1),"""")"),"August")</f>
        <v>August</v>
      </c>
      <c r="T1718" s="38">
        <f>IFERROR(__xludf.DUMMYFUNCTION("if(S1718="""",C1718,if(not(iserror(index(split(C1718, "" ""),3))), index(split(C1718, "" ""),3),index(split(C1718, "" ""),2)))"),2018.0)</f>
        <v>2018</v>
      </c>
      <c r="U1718" s="38" t="b">
        <f t="shared" si="253"/>
        <v>1</v>
      </c>
      <c r="V1718" s="38"/>
      <c r="W1718" s="40"/>
      <c r="X1718" s="40"/>
      <c r="Y1718" s="40"/>
      <c r="Z1718" s="38"/>
      <c r="AA1718" s="38"/>
      <c r="AB1718" s="38"/>
      <c r="AC1718" s="38"/>
      <c r="AD1718" s="38"/>
      <c r="AE1718" s="38"/>
      <c r="AF1718" s="38"/>
      <c r="AG1718" s="38"/>
      <c r="AH1718" s="38"/>
      <c r="AI1718" s="38"/>
      <c r="AJ1718" s="38"/>
      <c r="AK1718" s="38"/>
      <c r="AL1718" s="38"/>
      <c r="AM1718" s="38"/>
      <c r="AN1718" s="38"/>
      <c r="AO1718" s="38"/>
      <c r="AP1718" s="38"/>
      <c r="AQ1718" s="38"/>
      <c r="AR1718" s="38"/>
      <c r="AS1718" s="38"/>
      <c r="AT1718" s="38"/>
      <c r="AU1718" s="38"/>
      <c r="AV1718" s="38"/>
      <c r="AW1718" s="38"/>
      <c r="AX1718" s="38"/>
      <c r="AY1718" s="38"/>
      <c r="AZ1718" s="38"/>
      <c r="BA1718" s="38"/>
      <c r="BB1718" s="38"/>
      <c r="BC1718" s="38"/>
      <c r="BD1718" s="38"/>
      <c r="BE1718" s="38"/>
      <c r="BF1718" s="38"/>
      <c r="BG1718" s="38"/>
      <c r="BH1718" s="38"/>
      <c r="BI1718" s="38"/>
      <c r="BJ1718" s="38"/>
      <c r="BK1718" s="38"/>
      <c r="BL1718" s="38"/>
      <c r="BM1718" s="38"/>
      <c r="BN1718" s="38"/>
      <c r="BO1718" s="38"/>
      <c r="BP1718" s="38"/>
      <c r="BQ1718" s="38"/>
    </row>
    <row r="1719">
      <c r="A1719" s="58" t="s">
        <v>239</v>
      </c>
      <c r="B1719" s="59">
        <v>43340.0</v>
      </c>
      <c r="C1719" s="59">
        <v>43339.0</v>
      </c>
      <c r="D1719" s="60" t="s">
        <v>4792</v>
      </c>
      <c r="E1719" s="58" t="s">
        <v>41</v>
      </c>
      <c r="F1719" s="58">
        <v>1.0</v>
      </c>
      <c r="G1719" s="58">
        <v>20.0</v>
      </c>
      <c r="H1719" s="33">
        <f t="shared" si="254"/>
        <v>20</v>
      </c>
      <c r="I1719" s="58" t="s">
        <v>33</v>
      </c>
      <c r="J1719" s="58" t="s">
        <v>147</v>
      </c>
      <c r="K1719" s="58">
        <v>1.0</v>
      </c>
      <c r="L1719" s="58" t="s">
        <v>194</v>
      </c>
      <c r="M1719" s="61" t="s">
        <v>4797</v>
      </c>
      <c r="N1719" s="77"/>
      <c r="O1719" s="58"/>
      <c r="P1719" s="62"/>
      <c r="Q1719" s="84"/>
      <c r="R1719" s="62"/>
      <c r="S1719" s="37" t="str">
        <f>IFERROR(__xludf.DUMMYFUNCTION("if(not(iserror(index(split(C1719, "" ""),2))), index(split(C1719, "" ""),1),"""")"),"August")</f>
        <v>August</v>
      </c>
      <c r="T1719" s="38">
        <f>IFERROR(__xludf.DUMMYFUNCTION("if(S1719="""",C1719,if(not(iserror(index(split(C1719, "" ""),3))), index(split(C1719, "" ""),3),index(split(C1719, "" ""),2)))"),2018.0)</f>
        <v>2018</v>
      </c>
      <c r="U1719" s="38" t="b">
        <f t="shared" si="253"/>
        <v>1</v>
      </c>
      <c r="V1719" s="38"/>
      <c r="W1719" s="40"/>
      <c r="X1719" s="40"/>
      <c r="Y1719" s="40"/>
      <c r="Z1719" s="38"/>
      <c r="AA1719" s="38"/>
      <c r="AB1719" s="38"/>
      <c r="AC1719" s="38"/>
      <c r="AD1719" s="38"/>
      <c r="AE1719" s="38"/>
      <c r="AF1719" s="38"/>
      <c r="AG1719" s="38"/>
      <c r="AH1719" s="38"/>
      <c r="AI1719" s="38"/>
      <c r="AJ1719" s="38"/>
      <c r="AK1719" s="38"/>
      <c r="AL1719" s="38"/>
      <c r="AM1719" s="38"/>
      <c r="AN1719" s="38"/>
      <c r="AO1719" s="38"/>
      <c r="AP1719" s="38"/>
      <c r="AQ1719" s="38"/>
      <c r="AR1719" s="38"/>
      <c r="AS1719" s="38"/>
      <c r="AT1719" s="38"/>
      <c r="AU1719" s="38"/>
      <c r="AV1719" s="38"/>
      <c r="AW1719" s="38"/>
      <c r="AX1719" s="38"/>
      <c r="AY1719" s="38"/>
      <c r="AZ1719" s="38"/>
      <c r="BA1719" s="38"/>
      <c r="BB1719" s="38"/>
      <c r="BC1719" s="38"/>
      <c r="BD1719" s="38"/>
      <c r="BE1719" s="38"/>
      <c r="BF1719" s="38"/>
      <c r="BG1719" s="38"/>
      <c r="BH1719" s="38"/>
      <c r="BI1719" s="38"/>
      <c r="BJ1719" s="38"/>
      <c r="BK1719" s="38"/>
      <c r="BL1719" s="38"/>
      <c r="BM1719" s="38"/>
      <c r="BN1719" s="38"/>
      <c r="BO1719" s="38"/>
      <c r="BP1719" s="38"/>
      <c r="BQ1719" s="38"/>
    </row>
    <row r="1720">
      <c r="A1720" s="58" t="s">
        <v>239</v>
      </c>
      <c r="B1720" s="59">
        <v>43341.0</v>
      </c>
      <c r="C1720" s="59">
        <v>43339.0</v>
      </c>
      <c r="D1720" s="60" t="s">
        <v>4792</v>
      </c>
      <c r="E1720" s="58" t="s">
        <v>41</v>
      </c>
      <c r="F1720" s="58">
        <v>2.0</v>
      </c>
      <c r="G1720" s="58">
        <v>3.0</v>
      </c>
      <c r="H1720" s="33">
        <f t="shared" si="254"/>
        <v>3</v>
      </c>
      <c r="I1720" s="58" t="s">
        <v>33</v>
      </c>
      <c r="J1720" s="58" t="s">
        <v>147</v>
      </c>
      <c r="K1720" s="58">
        <v>2.0</v>
      </c>
      <c r="L1720" s="58" t="s">
        <v>194</v>
      </c>
      <c r="M1720" s="61" t="s">
        <v>4798</v>
      </c>
      <c r="N1720" s="77"/>
      <c r="O1720" s="58"/>
      <c r="P1720" s="58"/>
      <c r="Q1720" s="84"/>
      <c r="R1720" s="62"/>
      <c r="S1720" s="37" t="str">
        <f>IFERROR(__xludf.DUMMYFUNCTION("if(not(iserror(index(split(C1720, "" ""),2))), index(split(C1720, "" ""),1),"""")"),"August")</f>
        <v>August</v>
      </c>
      <c r="T1720" s="38">
        <f>IFERROR(__xludf.DUMMYFUNCTION("if(S1720="""",C1720,if(not(iserror(index(split(C1720, "" ""),3))), index(split(C1720, "" ""),3),index(split(C1720, "" ""),2)))"),2018.0)</f>
        <v>2018</v>
      </c>
      <c r="U1720" s="38" t="b">
        <f t="shared" si="253"/>
        <v>1</v>
      </c>
      <c r="V1720" s="38"/>
      <c r="W1720" s="40"/>
      <c r="X1720" s="40"/>
      <c r="Y1720" s="40"/>
      <c r="Z1720" s="38"/>
      <c r="AA1720" s="38"/>
      <c r="AB1720" s="38"/>
      <c r="AC1720" s="38"/>
      <c r="AD1720" s="38"/>
      <c r="AE1720" s="38"/>
      <c r="AF1720" s="38"/>
      <c r="AG1720" s="38"/>
      <c r="AH1720" s="38"/>
      <c r="AI1720" s="38"/>
      <c r="AJ1720" s="38"/>
      <c r="AK1720" s="38"/>
      <c r="AL1720" s="38"/>
      <c r="AM1720" s="38"/>
      <c r="AN1720" s="38"/>
      <c r="AO1720" s="38"/>
      <c r="AP1720" s="38"/>
      <c r="AQ1720" s="38"/>
      <c r="AR1720" s="38"/>
      <c r="AS1720" s="38"/>
      <c r="AT1720" s="38"/>
      <c r="AU1720" s="38"/>
      <c r="AV1720" s="38"/>
      <c r="AW1720" s="38"/>
      <c r="AX1720" s="38"/>
      <c r="AY1720" s="38"/>
      <c r="AZ1720" s="38"/>
      <c r="BA1720" s="38"/>
      <c r="BB1720" s="38"/>
      <c r="BC1720" s="38"/>
      <c r="BD1720" s="38"/>
      <c r="BE1720" s="38"/>
      <c r="BF1720" s="38"/>
      <c r="BG1720" s="38"/>
      <c r="BH1720" s="38"/>
      <c r="BI1720" s="38"/>
      <c r="BJ1720" s="38"/>
      <c r="BK1720" s="38"/>
      <c r="BL1720" s="38"/>
      <c r="BM1720" s="38"/>
      <c r="BN1720" s="38"/>
      <c r="BO1720" s="38"/>
      <c r="BP1720" s="38"/>
      <c r="BQ1720" s="38"/>
    </row>
    <row r="1721">
      <c r="A1721" s="78" t="s">
        <v>660</v>
      </c>
      <c r="B1721" s="59">
        <v>43348.0</v>
      </c>
      <c r="C1721" s="59">
        <v>43339.0</v>
      </c>
      <c r="D1721" s="60" t="s">
        <v>4799</v>
      </c>
      <c r="E1721" s="58" t="s">
        <v>31</v>
      </c>
      <c r="F1721" s="58">
        <v>13.0</v>
      </c>
      <c r="G1721" s="58" t="s">
        <v>32</v>
      </c>
      <c r="H1721" s="33">
        <f t="shared" si="254"/>
        <v>1</v>
      </c>
      <c r="I1721" s="58" t="s">
        <v>33</v>
      </c>
      <c r="J1721" s="58" t="s">
        <v>147</v>
      </c>
      <c r="K1721" s="58">
        <v>1.0</v>
      </c>
      <c r="L1721" s="58" t="s">
        <v>52</v>
      </c>
      <c r="M1721" s="61" t="s">
        <v>4800</v>
      </c>
      <c r="N1721" s="77"/>
      <c r="O1721" s="62"/>
      <c r="P1721" s="62"/>
      <c r="Q1721" s="62"/>
      <c r="R1721" s="62"/>
      <c r="S1721" s="37" t="str">
        <f>IFERROR(__xludf.DUMMYFUNCTION("if(not(iserror(index(split(C1721, "" ""),2))), index(split(C1721, "" ""),1),"""")"),"August")</f>
        <v>August</v>
      </c>
      <c r="T1721" s="38">
        <f>IFERROR(__xludf.DUMMYFUNCTION("if(S1721="""",C1721,if(not(iserror(index(split(C1721, "" ""),3))), index(split(C1721, "" ""),3),index(split(C1721, "" ""),2)))"),2018.0)</f>
        <v>2018</v>
      </c>
      <c r="U1721" s="38" t="b">
        <f t="shared" si="253"/>
        <v>1</v>
      </c>
      <c r="V1721" s="38"/>
      <c r="W1721" s="40"/>
      <c r="X1721" s="40"/>
      <c r="Y1721" s="40"/>
      <c r="Z1721" s="38"/>
      <c r="AA1721" s="38"/>
      <c r="AB1721" s="38"/>
      <c r="AC1721" s="38"/>
      <c r="AD1721" s="38"/>
      <c r="AE1721" s="38"/>
      <c r="AF1721" s="38"/>
      <c r="AG1721" s="38"/>
      <c r="AH1721" s="38"/>
      <c r="AI1721" s="38"/>
      <c r="AJ1721" s="38"/>
      <c r="AK1721" s="38"/>
      <c r="AL1721" s="38"/>
      <c r="AM1721" s="38"/>
      <c r="AN1721" s="38"/>
      <c r="AO1721" s="38"/>
      <c r="AP1721" s="38"/>
      <c r="AQ1721" s="38"/>
      <c r="AR1721" s="38"/>
      <c r="AS1721" s="38"/>
      <c r="AT1721" s="38"/>
      <c r="AU1721" s="38"/>
      <c r="AV1721" s="38"/>
      <c r="AW1721" s="38"/>
      <c r="AX1721" s="38"/>
      <c r="AY1721" s="38"/>
      <c r="AZ1721" s="38"/>
      <c r="BA1721" s="38"/>
      <c r="BB1721" s="38"/>
      <c r="BC1721" s="38"/>
      <c r="BD1721" s="38"/>
      <c r="BE1721" s="38"/>
      <c r="BF1721" s="38"/>
      <c r="BG1721" s="38"/>
      <c r="BH1721" s="38"/>
      <c r="BI1721" s="38"/>
      <c r="BJ1721" s="38"/>
      <c r="BK1721" s="38"/>
      <c r="BL1721" s="38"/>
      <c r="BM1721" s="38"/>
      <c r="BN1721" s="38"/>
      <c r="BO1721" s="38"/>
      <c r="BP1721" s="38"/>
      <c r="BQ1721" s="38"/>
    </row>
    <row r="1722">
      <c r="A1722" s="58" t="s">
        <v>239</v>
      </c>
      <c r="B1722" s="59">
        <v>43341.0</v>
      </c>
      <c r="C1722" s="59">
        <v>43340.0</v>
      </c>
      <c r="D1722" s="60" t="s">
        <v>4801</v>
      </c>
      <c r="E1722" s="58" t="s">
        <v>41</v>
      </c>
      <c r="F1722" s="58">
        <v>1.0</v>
      </c>
      <c r="G1722" s="58">
        <v>4.0</v>
      </c>
      <c r="H1722" s="33">
        <f t="shared" si="254"/>
        <v>4</v>
      </c>
      <c r="I1722" s="58" t="s">
        <v>33</v>
      </c>
      <c r="J1722" s="58" t="s">
        <v>111</v>
      </c>
      <c r="K1722" s="58">
        <v>1.0</v>
      </c>
      <c r="L1722" s="58" t="s">
        <v>194</v>
      </c>
      <c r="M1722" s="61" t="s">
        <v>4802</v>
      </c>
      <c r="N1722" s="77"/>
      <c r="O1722" s="58"/>
      <c r="P1722" s="58"/>
      <c r="Q1722" s="84"/>
      <c r="R1722" s="62"/>
      <c r="S1722" s="37" t="str">
        <f>IFERROR(__xludf.DUMMYFUNCTION("if(not(iserror(index(split(C1722, "" ""),2))), index(split(C1722, "" ""),1),"""")"),"August")</f>
        <v>August</v>
      </c>
      <c r="T1722" s="38">
        <f>IFERROR(__xludf.DUMMYFUNCTION("if(S1722="""",C1722,if(not(iserror(index(split(C1722, "" ""),3))), index(split(C1722, "" ""),3),index(split(C1722, "" ""),2)))"),2018.0)</f>
        <v>2018</v>
      </c>
      <c r="U1722" s="38" t="b">
        <f t="shared" si="253"/>
        <v>1</v>
      </c>
      <c r="V1722" s="38"/>
      <c r="W1722" s="40"/>
      <c r="X1722" s="40"/>
      <c r="Y1722" s="40"/>
      <c r="Z1722" s="38"/>
      <c r="AA1722" s="38"/>
      <c r="AB1722" s="38"/>
      <c r="AC1722" s="38"/>
      <c r="AD1722" s="38"/>
      <c r="AE1722" s="38"/>
      <c r="AF1722" s="38"/>
      <c r="AG1722" s="38"/>
      <c r="AH1722" s="38"/>
      <c r="AI1722" s="38"/>
      <c r="AJ1722" s="38"/>
      <c r="AK1722" s="38"/>
      <c r="AL1722" s="38"/>
      <c r="AM1722" s="38"/>
      <c r="AN1722" s="38"/>
      <c r="AO1722" s="38"/>
      <c r="AP1722" s="38"/>
      <c r="AQ1722" s="38"/>
      <c r="AR1722" s="38"/>
      <c r="AS1722" s="38"/>
      <c r="AT1722" s="38"/>
      <c r="AU1722" s="38"/>
      <c r="AV1722" s="38"/>
      <c r="AW1722" s="38"/>
      <c r="AX1722" s="38"/>
      <c r="AY1722" s="38"/>
      <c r="AZ1722" s="38"/>
      <c r="BA1722" s="38"/>
      <c r="BB1722" s="38"/>
      <c r="BC1722" s="38"/>
      <c r="BD1722" s="38"/>
      <c r="BE1722" s="38"/>
      <c r="BF1722" s="38"/>
      <c r="BG1722" s="38"/>
      <c r="BH1722" s="38"/>
      <c r="BI1722" s="38"/>
      <c r="BJ1722" s="38"/>
      <c r="BK1722" s="38"/>
      <c r="BL1722" s="38"/>
      <c r="BM1722" s="38"/>
      <c r="BN1722" s="38"/>
      <c r="BO1722" s="38"/>
      <c r="BP1722" s="38"/>
      <c r="BQ1722" s="38"/>
    </row>
    <row r="1723">
      <c r="A1723" s="58" t="s">
        <v>4803</v>
      </c>
      <c r="B1723" s="59"/>
      <c r="C1723" s="59">
        <v>43340.0</v>
      </c>
      <c r="D1723" s="60"/>
      <c r="E1723" s="58" t="s">
        <v>41</v>
      </c>
      <c r="F1723" s="58">
        <v>1.0</v>
      </c>
      <c r="G1723" s="58" t="s">
        <v>32</v>
      </c>
      <c r="H1723" s="43">
        <v>1.0</v>
      </c>
      <c r="I1723" s="58" t="s">
        <v>33</v>
      </c>
      <c r="J1723" s="58" t="s">
        <v>147</v>
      </c>
      <c r="K1723" s="58"/>
      <c r="L1723" s="58" t="s">
        <v>1819</v>
      </c>
      <c r="M1723" s="46" t="s">
        <v>4804</v>
      </c>
      <c r="N1723" s="77"/>
      <c r="O1723" s="58"/>
      <c r="P1723" s="58"/>
      <c r="Q1723" s="58"/>
      <c r="R1723" s="62"/>
      <c r="S1723" s="37" t="str">
        <f>IFERROR(__xludf.DUMMYFUNCTION("if(not(iserror(index(split(C1723, "" ""),2))), index(split(C1723, "" ""),1),"""")"),"August")</f>
        <v>August</v>
      </c>
      <c r="T1723" s="38">
        <f>IFERROR(__xludf.DUMMYFUNCTION("if(S1723="""",C1723,if(not(iserror(index(split(C1723, "" ""),3))), index(split(C1723, "" ""),3),index(split(C1723, "" ""),2)))"),2018.0)</f>
        <v>2018</v>
      </c>
      <c r="U1723" s="38" t="b">
        <f t="shared" si="253"/>
        <v>0</v>
      </c>
      <c r="V1723" s="38" t="s">
        <v>33</v>
      </c>
      <c r="W1723" s="40"/>
      <c r="X1723" s="40"/>
      <c r="Y1723" s="40"/>
      <c r="Z1723" s="38"/>
      <c r="AA1723" s="38"/>
      <c r="AB1723" s="38"/>
      <c r="AC1723" s="38"/>
      <c r="AD1723" s="38"/>
      <c r="AE1723" s="38"/>
      <c r="AF1723" s="38"/>
      <c r="AG1723" s="38"/>
      <c r="AH1723" s="38"/>
      <c r="AI1723" s="38"/>
      <c r="AJ1723" s="38"/>
      <c r="AK1723" s="38"/>
      <c r="AL1723" s="38"/>
      <c r="AM1723" s="38"/>
      <c r="AN1723" s="38"/>
      <c r="AO1723" s="38"/>
      <c r="AP1723" s="38"/>
      <c r="AQ1723" s="38"/>
      <c r="AR1723" s="38"/>
      <c r="AS1723" s="38"/>
      <c r="AT1723" s="38"/>
      <c r="AU1723" s="38"/>
      <c r="AV1723" s="38"/>
      <c r="AW1723" s="38"/>
      <c r="AX1723" s="38"/>
      <c r="AY1723" s="38"/>
      <c r="AZ1723" s="38"/>
      <c r="BA1723" s="38"/>
      <c r="BB1723" s="38"/>
      <c r="BC1723" s="38"/>
      <c r="BD1723" s="38"/>
      <c r="BE1723" s="38"/>
      <c r="BF1723" s="38"/>
      <c r="BG1723" s="38"/>
      <c r="BH1723" s="38"/>
      <c r="BI1723" s="38"/>
      <c r="BJ1723" s="38"/>
      <c r="BK1723" s="38"/>
      <c r="BL1723" s="38"/>
      <c r="BM1723" s="38"/>
      <c r="BN1723" s="38"/>
      <c r="BO1723" s="38"/>
      <c r="BP1723" s="38"/>
      <c r="BQ1723" s="38"/>
    </row>
    <row r="1724">
      <c r="A1724" s="58" t="s">
        <v>4805</v>
      </c>
      <c r="B1724" s="59">
        <v>43341.0</v>
      </c>
      <c r="C1724" s="59">
        <v>43341.0</v>
      </c>
      <c r="D1724" s="60" t="s">
        <v>4806</v>
      </c>
      <c r="E1724" s="58" t="s">
        <v>41</v>
      </c>
      <c r="F1724" s="58">
        <v>1.0</v>
      </c>
      <c r="G1724" s="58" t="s">
        <v>32</v>
      </c>
      <c r="H1724" s="33">
        <f t="shared" ref="H1724:H1733" si="255">if(G1724="Unknown",1,G1724)</f>
        <v>1</v>
      </c>
      <c r="I1724" s="58" t="s">
        <v>33</v>
      </c>
      <c r="J1724" s="58" t="s">
        <v>55</v>
      </c>
      <c r="K1724" s="58">
        <v>2.0</v>
      </c>
      <c r="L1724" s="58" t="s">
        <v>119</v>
      </c>
      <c r="M1724" s="61" t="s">
        <v>4807</v>
      </c>
      <c r="N1724" s="77"/>
      <c r="O1724" s="58"/>
      <c r="P1724" s="62"/>
      <c r="Q1724" s="84"/>
      <c r="R1724" s="62"/>
      <c r="S1724" s="37" t="str">
        <f>IFERROR(__xludf.DUMMYFUNCTION("if(not(iserror(index(split(C1724, "" ""),2))), index(split(C1724, "" ""),1),"""")"),"August")</f>
        <v>August</v>
      </c>
      <c r="T1724" s="38">
        <f>IFERROR(__xludf.DUMMYFUNCTION("if(S1724="""",C1724,if(not(iserror(index(split(C1724, "" ""),3))), index(split(C1724, "" ""),3),index(split(C1724, "" ""),2)))"),2018.0)</f>
        <v>2018</v>
      </c>
      <c r="U1724" s="38" t="b">
        <f t="shared" si="253"/>
        <v>0</v>
      </c>
      <c r="V1724" s="38"/>
      <c r="W1724" s="40"/>
      <c r="X1724" s="40"/>
      <c r="Y1724" s="40"/>
      <c r="Z1724" s="38"/>
      <c r="AA1724" s="38"/>
      <c r="AB1724" s="38"/>
      <c r="AC1724" s="38"/>
      <c r="AD1724" s="38"/>
      <c r="AE1724" s="38"/>
      <c r="AF1724" s="38"/>
      <c r="AG1724" s="38"/>
      <c r="AH1724" s="38"/>
      <c r="AI1724" s="38"/>
      <c r="AJ1724" s="38"/>
      <c r="AK1724" s="38"/>
      <c r="AL1724" s="38"/>
      <c r="AM1724" s="38"/>
      <c r="AN1724" s="38"/>
      <c r="AO1724" s="38"/>
      <c r="AP1724" s="38"/>
      <c r="AQ1724" s="38"/>
      <c r="AR1724" s="38"/>
      <c r="AS1724" s="38"/>
      <c r="AT1724" s="38"/>
      <c r="AU1724" s="38"/>
      <c r="AV1724" s="38"/>
      <c r="AW1724" s="38"/>
      <c r="AX1724" s="38"/>
      <c r="AY1724" s="38"/>
      <c r="AZ1724" s="38"/>
      <c r="BA1724" s="38"/>
      <c r="BB1724" s="38"/>
      <c r="BC1724" s="38"/>
      <c r="BD1724" s="38"/>
      <c r="BE1724" s="38"/>
      <c r="BF1724" s="38"/>
      <c r="BG1724" s="38"/>
      <c r="BH1724" s="38"/>
      <c r="BI1724" s="38"/>
      <c r="BJ1724" s="38"/>
      <c r="BK1724" s="38"/>
      <c r="BL1724" s="38"/>
      <c r="BM1724" s="38"/>
      <c r="BN1724" s="38"/>
      <c r="BO1724" s="38"/>
      <c r="BP1724" s="38"/>
      <c r="BQ1724" s="38"/>
    </row>
    <row r="1725">
      <c r="A1725" s="58" t="s">
        <v>239</v>
      </c>
      <c r="B1725" s="59">
        <v>43342.0</v>
      </c>
      <c r="C1725" s="59">
        <v>43341.0</v>
      </c>
      <c r="D1725" s="60" t="s">
        <v>4806</v>
      </c>
      <c r="E1725" s="58" t="s">
        <v>41</v>
      </c>
      <c r="F1725" s="58">
        <v>1.0</v>
      </c>
      <c r="G1725" s="58">
        <v>62.0</v>
      </c>
      <c r="H1725" s="33">
        <f t="shared" si="255"/>
        <v>62</v>
      </c>
      <c r="I1725" s="58" t="s">
        <v>33</v>
      </c>
      <c r="J1725" s="58" t="s">
        <v>147</v>
      </c>
      <c r="K1725" s="58">
        <v>1.0</v>
      </c>
      <c r="L1725" s="58" t="s">
        <v>194</v>
      </c>
      <c r="M1725" s="105" t="s">
        <v>4808</v>
      </c>
      <c r="N1725" s="77"/>
      <c r="O1725" s="62"/>
      <c r="P1725" s="62"/>
      <c r="Q1725" s="62"/>
      <c r="R1725" s="62"/>
      <c r="S1725" s="37" t="str">
        <f>IFERROR(__xludf.DUMMYFUNCTION("if(not(iserror(index(split(C1725, "" ""),2))), index(split(C1725, "" ""),1),"""")"),"August")</f>
        <v>August</v>
      </c>
      <c r="T1725" s="38">
        <f>IFERROR(__xludf.DUMMYFUNCTION("if(S1725="""",C1725,if(not(iserror(index(split(C1725, "" ""),3))), index(split(C1725, "" ""),3),index(split(C1725, "" ""),2)))"),2018.0)</f>
        <v>2018</v>
      </c>
      <c r="U1725" s="38" t="b">
        <f t="shared" si="253"/>
        <v>1</v>
      </c>
      <c r="V1725" s="38"/>
      <c r="W1725" s="40"/>
      <c r="X1725" s="40"/>
      <c r="Y1725" s="40"/>
      <c r="Z1725" s="38"/>
      <c r="AA1725" s="38"/>
      <c r="AB1725" s="38"/>
      <c r="AC1725" s="38"/>
      <c r="AD1725" s="38"/>
      <c r="AE1725" s="38"/>
      <c r="AF1725" s="38"/>
      <c r="AG1725" s="38"/>
      <c r="AH1725" s="38"/>
      <c r="AI1725" s="38"/>
      <c r="AJ1725" s="38"/>
      <c r="AK1725" s="38"/>
      <c r="AL1725" s="38"/>
      <c r="AM1725" s="38"/>
      <c r="AN1725" s="38"/>
      <c r="AO1725" s="38"/>
      <c r="AP1725" s="38"/>
      <c r="AQ1725" s="38"/>
      <c r="AR1725" s="38"/>
      <c r="AS1725" s="38"/>
      <c r="AT1725" s="38"/>
      <c r="AU1725" s="38"/>
      <c r="AV1725" s="38"/>
      <c r="AW1725" s="38"/>
      <c r="AX1725" s="38"/>
      <c r="AY1725" s="38"/>
      <c r="AZ1725" s="38"/>
      <c r="BA1725" s="38"/>
      <c r="BB1725" s="38"/>
      <c r="BC1725" s="38"/>
      <c r="BD1725" s="38"/>
      <c r="BE1725" s="38"/>
      <c r="BF1725" s="38"/>
      <c r="BG1725" s="38"/>
      <c r="BH1725" s="38"/>
      <c r="BI1725" s="38"/>
      <c r="BJ1725" s="38"/>
      <c r="BK1725" s="38"/>
      <c r="BL1725" s="38"/>
      <c r="BM1725" s="38"/>
      <c r="BN1725" s="38"/>
      <c r="BO1725" s="38"/>
      <c r="BP1725" s="38"/>
      <c r="BQ1725" s="38"/>
    </row>
    <row r="1726">
      <c r="A1726" s="87" t="s">
        <v>4809</v>
      </c>
      <c r="B1726" s="59">
        <v>43349.0</v>
      </c>
      <c r="C1726" s="59">
        <v>43341.0</v>
      </c>
      <c r="D1726" s="60" t="s">
        <v>4806</v>
      </c>
      <c r="E1726" s="58" t="s">
        <v>41</v>
      </c>
      <c r="F1726" s="58">
        <v>2.0</v>
      </c>
      <c r="G1726" s="58">
        <v>5.0</v>
      </c>
      <c r="H1726" s="33">
        <f t="shared" si="255"/>
        <v>5</v>
      </c>
      <c r="I1726" s="58" t="s">
        <v>33</v>
      </c>
      <c r="J1726" s="58" t="s">
        <v>93</v>
      </c>
      <c r="K1726" s="58">
        <v>1.0</v>
      </c>
      <c r="L1726" s="58" t="s">
        <v>194</v>
      </c>
      <c r="M1726" s="120" t="s">
        <v>4810</v>
      </c>
      <c r="N1726" s="77"/>
      <c r="O1726" s="83" t="str">
        <f>hyperlink("https://bad-boys.us/?q=ND-NY/8:18-cr-00323", "ND-NY 8:18-cr-00323")</f>
        <v>ND-NY 8:18-cr-00323</v>
      </c>
      <c r="P1726" s="88" t="s">
        <v>4811</v>
      </c>
      <c r="Q1726" s="58">
        <v>1.0</v>
      </c>
      <c r="R1726" s="62"/>
      <c r="S1726" s="37" t="str">
        <f>IFERROR(__xludf.DUMMYFUNCTION("if(not(iserror(index(split(C1726, "" ""),2))), index(split(C1726, "" ""),1),"""")"),"August")</f>
        <v>August</v>
      </c>
      <c r="T1726" s="38">
        <f>IFERROR(__xludf.DUMMYFUNCTION("if(S1726="""",C1726,if(not(iserror(index(split(C1726, "" ""),3))), index(split(C1726, "" ""),3),index(split(C1726, "" ""),2)))"),2018.0)</f>
        <v>2018</v>
      </c>
      <c r="U1726" s="38" t="b">
        <f t="shared" si="253"/>
        <v>0</v>
      </c>
      <c r="V1726" s="38"/>
      <c r="W1726" s="40"/>
      <c r="X1726" s="40"/>
      <c r="Y1726" s="40"/>
      <c r="Z1726" s="38"/>
      <c r="AA1726" s="38"/>
      <c r="AB1726" s="38"/>
      <c r="AC1726" s="38"/>
      <c r="AD1726" s="38"/>
      <c r="AE1726" s="38"/>
      <c r="AF1726" s="38"/>
      <c r="AG1726" s="38"/>
      <c r="AH1726" s="38"/>
      <c r="AI1726" s="38"/>
      <c r="AJ1726" s="38"/>
      <c r="AK1726" s="38"/>
      <c r="AL1726" s="38"/>
      <c r="AM1726" s="38"/>
      <c r="AN1726" s="38"/>
      <c r="AO1726" s="38"/>
      <c r="AP1726" s="38"/>
      <c r="AQ1726" s="38"/>
      <c r="AR1726" s="38"/>
      <c r="AS1726" s="38"/>
      <c r="AT1726" s="38"/>
      <c r="AU1726" s="38"/>
      <c r="AV1726" s="38"/>
      <c r="AW1726" s="38"/>
      <c r="AX1726" s="38"/>
      <c r="AY1726" s="38"/>
      <c r="AZ1726" s="38"/>
      <c r="BA1726" s="38"/>
      <c r="BB1726" s="38"/>
      <c r="BC1726" s="38"/>
      <c r="BD1726" s="38"/>
      <c r="BE1726" s="38"/>
      <c r="BF1726" s="38"/>
      <c r="BG1726" s="38"/>
      <c r="BH1726" s="38"/>
      <c r="BI1726" s="38"/>
      <c r="BJ1726" s="38"/>
      <c r="BK1726" s="38"/>
      <c r="BL1726" s="38"/>
      <c r="BM1726" s="38"/>
      <c r="BN1726" s="38"/>
      <c r="BO1726" s="38"/>
      <c r="BP1726" s="38"/>
      <c r="BQ1726" s="38"/>
    </row>
    <row r="1727">
      <c r="A1727" s="58" t="s">
        <v>4812</v>
      </c>
      <c r="B1727" s="59">
        <v>43360.0</v>
      </c>
      <c r="C1727" s="59">
        <v>43341.0</v>
      </c>
      <c r="D1727" s="60" t="s">
        <v>4806</v>
      </c>
      <c r="E1727" s="58" t="s">
        <v>31</v>
      </c>
      <c r="F1727" s="58">
        <v>1.0</v>
      </c>
      <c r="G1727" s="58" t="s">
        <v>32</v>
      </c>
      <c r="H1727" s="33">
        <f t="shared" si="255"/>
        <v>1</v>
      </c>
      <c r="I1727" s="58" t="s">
        <v>33</v>
      </c>
      <c r="J1727" s="58" t="s">
        <v>147</v>
      </c>
      <c r="K1727" s="58">
        <v>1.0</v>
      </c>
      <c r="L1727" s="58" t="s">
        <v>194</v>
      </c>
      <c r="M1727" s="61" t="s">
        <v>4813</v>
      </c>
      <c r="N1727" s="77"/>
      <c r="O1727" s="62"/>
      <c r="P1727" s="62"/>
      <c r="Q1727" s="62"/>
      <c r="R1727" s="62"/>
      <c r="S1727" s="37" t="str">
        <f>IFERROR(__xludf.DUMMYFUNCTION("if(not(iserror(index(split(C1727, "" ""),2))), index(split(C1727, "" ""),1),"""")"),"August")</f>
        <v>August</v>
      </c>
      <c r="T1727" s="38">
        <f>IFERROR(__xludf.DUMMYFUNCTION("if(S1727="""",C1727,if(not(iserror(index(split(C1727, "" ""),3))), index(split(C1727, "" ""),3),index(split(C1727, "" ""),2)))"),2018.0)</f>
        <v>2018</v>
      </c>
      <c r="U1727" s="38" t="b">
        <f t="shared" si="253"/>
        <v>0</v>
      </c>
      <c r="V1727" s="38"/>
      <c r="W1727" s="40"/>
      <c r="X1727" s="40"/>
      <c r="Y1727" s="40"/>
      <c r="Z1727" s="38"/>
      <c r="AA1727" s="38"/>
      <c r="AB1727" s="38"/>
      <c r="AC1727" s="38"/>
      <c r="AD1727" s="38"/>
      <c r="AE1727" s="38"/>
      <c r="AF1727" s="38"/>
      <c r="AG1727" s="38"/>
      <c r="AH1727" s="38"/>
      <c r="AI1727" s="38"/>
      <c r="AJ1727" s="38"/>
      <c r="AK1727" s="38"/>
      <c r="AL1727" s="38"/>
      <c r="AM1727" s="38"/>
      <c r="AN1727" s="38"/>
      <c r="AO1727" s="38"/>
      <c r="AP1727" s="38"/>
      <c r="AQ1727" s="38"/>
      <c r="AR1727" s="38"/>
      <c r="AS1727" s="38"/>
      <c r="AT1727" s="38"/>
      <c r="AU1727" s="38"/>
      <c r="AV1727" s="38"/>
      <c r="AW1727" s="38"/>
      <c r="AX1727" s="38"/>
      <c r="AY1727" s="38"/>
      <c r="AZ1727" s="38"/>
      <c r="BA1727" s="38"/>
      <c r="BB1727" s="38"/>
      <c r="BC1727" s="38"/>
      <c r="BD1727" s="38"/>
      <c r="BE1727" s="38"/>
      <c r="BF1727" s="38"/>
      <c r="BG1727" s="38"/>
      <c r="BH1727" s="38"/>
      <c r="BI1727" s="38"/>
      <c r="BJ1727" s="38"/>
      <c r="BK1727" s="38"/>
      <c r="BL1727" s="38"/>
      <c r="BM1727" s="38"/>
      <c r="BN1727" s="38"/>
      <c r="BO1727" s="38"/>
      <c r="BP1727" s="38"/>
      <c r="BQ1727" s="38"/>
    </row>
    <row r="1728">
      <c r="A1728" s="58" t="s">
        <v>4814</v>
      </c>
      <c r="B1728" s="59">
        <v>43413.0</v>
      </c>
      <c r="C1728" s="59">
        <v>43341.0</v>
      </c>
      <c r="D1728" s="60" t="s">
        <v>4806</v>
      </c>
      <c r="E1728" s="58" t="s">
        <v>41</v>
      </c>
      <c r="F1728" s="58">
        <v>1.0</v>
      </c>
      <c r="G1728" s="58" t="s">
        <v>32</v>
      </c>
      <c r="H1728" s="33">
        <f t="shared" si="255"/>
        <v>1</v>
      </c>
      <c r="I1728" s="58" t="s">
        <v>33</v>
      </c>
      <c r="J1728" s="58" t="s">
        <v>524</v>
      </c>
      <c r="K1728" s="58">
        <v>2.0</v>
      </c>
      <c r="L1728" s="58" t="s">
        <v>119</v>
      </c>
      <c r="M1728" s="61" t="s">
        <v>4815</v>
      </c>
      <c r="N1728" s="80"/>
      <c r="O1728" s="88" t="str">
        <f>hyperlink("https://bad-boys.us/?q=D-AK/3:18-cr-00067", "D-AK 3:18-cr-00067")</f>
        <v>D-AK 3:18-cr-00067</v>
      </c>
      <c r="P1728" s="88" t="s">
        <v>4816</v>
      </c>
      <c r="Q1728" s="58">
        <v>1.0</v>
      </c>
      <c r="R1728" s="62"/>
      <c r="S1728" s="37" t="str">
        <f>IFERROR(__xludf.DUMMYFUNCTION("if(not(iserror(index(split(C1728, "" ""),2))), index(split(C1728, "" ""),1),"""")"),"August")</f>
        <v>August</v>
      </c>
      <c r="T1728" s="38">
        <f>IFERROR(__xludf.DUMMYFUNCTION("if(S1728="""",C1728,if(not(iserror(index(split(C1728, "" ""),3))), index(split(C1728, "" ""),3),index(split(C1728, "" ""),2)))"),2018.0)</f>
        <v>2018</v>
      </c>
      <c r="U1728" s="38" t="b">
        <f t="shared" si="253"/>
        <v>0</v>
      </c>
      <c r="V1728" s="38"/>
      <c r="W1728" s="40"/>
      <c r="X1728" s="40"/>
      <c r="Y1728" s="40"/>
      <c r="Z1728" s="38"/>
      <c r="AA1728" s="38"/>
      <c r="AB1728" s="38"/>
      <c r="AC1728" s="38"/>
      <c r="AD1728" s="38"/>
      <c r="AE1728" s="38"/>
      <c r="AF1728" s="38"/>
      <c r="AG1728" s="38"/>
      <c r="AH1728" s="38"/>
      <c r="AI1728" s="38"/>
      <c r="AJ1728" s="38"/>
      <c r="AK1728" s="38"/>
      <c r="AL1728" s="38"/>
      <c r="AM1728" s="38"/>
      <c r="AN1728" s="38"/>
      <c r="AO1728" s="38"/>
      <c r="AP1728" s="38"/>
      <c r="AQ1728" s="38"/>
      <c r="AR1728" s="38"/>
      <c r="AS1728" s="38"/>
      <c r="AT1728" s="38"/>
      <c r="AU1728" s="38"/>
      <c r="AV1728" s="38"/>
      <c r="AW1728" s="38"/>
      <c r="AX1728" s="38"/>
      <c r="AY1728" s="38"/>
      <c r="AZ1728" s="38"/>
      <c r="BA1728" s="38"/>
      <c r="BB1728" s="38"/>
      <c r="BC1728" s="38"/>
      <c r="BD1728" s="38"/>
      <c r="BE1728" s="38"/>
      <c r="BF1728" s="38"/>
      <c r="BG1728" s="38"/>
      <c r="BH1728" s="38"/>
      <c r="BI1728" s="38"/>
      <c r="BJ1728" s="38"/>
      <c r="BK1728" s="38"/>
      <c r="BL1728" s="38"/>
      <c r="BM1728" s="38"/>
      <c r="BN1728" s="38"/>
      <c r="BO1728" s="38"/>
      <c r="BP1728" s="38"/>
      <c r="BQ1728" s="38"/>
    </row>
    <row r="1729">
      <c r="A1729" s="58" t="s">
        <v>4817</v>
      </c>
      <c r="B1729" s="59">
        <v>43342.0</v>
      </c>
      <c r="C1729" s="59">
        <v>43342.0</v>
      </c>
      <c r="D1729" s="60" t="s">
        <v>4799</v>
      </c>
      <c r="E1729" s="58" t="s">
        <v>41</v>
      </c>
      <c r="F1729" s="58">
        <v>1.0</v>
      </c>
      <c r="G1729" s="58" t="s">
        <v>32</v>
      </c>
      <c r="H1729" s="33">
        <f t="shared" si="255"/>
        <v>1</v>
      </c>
      <c r="I1729" s="58" t="s">
        <v>33</v>
      </c>
      <c r="J1729" s="58" t="s">
        <v>124</v>
      </c>
      <c r="K1729" s="58">
        <v>3.0</v>
      </c>
      <c r="L1729" s="58" t="s">
        <v>76</v>
      </c>
      <c r="M1729" s="61" t="s">
        <v>4818</v>
      </c>
      <c r="N1729" s="77"/>
      <c r="O1729" s="88" t="str">
        <f>hyperlink("https://bad-boys.us/?q=ND-OH/1:18-cr-00514", "ND-OH 1:18-cr-00514")</f>
        <v>ND-OH 1:18-cr-00514</v>
      </c>
      <c r="P1729" s="88" t="s">
        <v>4819</v>
      </c>
      <c r="Q1729" s="84">
        <v>1.0</v>
      </c>
      <c r="R1729" s="62"/>
      <c r="S1729" s="37" t="str">
        <f>IFERROR(__xludf.DUMMYFUNCTION("if(not(iserror(index(split(C1729, "" ""),2))), index(split(C1729, "" ""),1),"""")"),"August")</f>
        <v>August</v>
      </c>
      <c r="T1729" s="38">
        <f>IFERROR(__xludf.DUMMYFUNCTION("if(S1729="""",C1729,if(not(iserror(index(split(C1729, "" ""),3))), index(split(C1729, "" ""),3),index(split(C1729, "" ""),2)))"),2018.0)</f>
        <v>2018</v>
      </c>
      <c r="U1729" s="38" t="b">
        <f t="shared" si="253"/>
        <v>0</v>
      </c>
      <c r="V1729" s="38"/>
      <c r="W1729" s="40"/>
      <c r="X1729" s="40"/>
      <c r="Y1729" s="40"/>
      <c r="Z1729" s="38"/>
      <c r="AA1729" s="38"/>
      <c r="AB1729" s="38"/>
      <c r="AC1729" s="38"/>
      <c r="AD1729" s="38"/>
      <c r="AE1729" s="38"/>
      <c r="AF1729" s="38"/>
      <c r="AG1729" s="38"/>
      <c r="AH1729" s="38"/>
      <c r="AI1729" s="38"/>
      <c r="AJ1729" s="38"/>
      <c r="AK1729" s="38"/>
      <c r="AL1729" s="38"/>
      <c r="AM1729" s="38"/>
      <c r="AN1729" s="38"/>
      <c r="AO1729" s="38"/>
      <c r="AP1729" s="38"/>
      <c r="AQ1729" s="38"/>
      <c r="AR1729" s="38"/>
      <c r="AS1729" s="38"/>
      <c r="AT1729" s="38"/>
      <c r="AU1729" s="38"/>
      <c r="AV1729" s="38"/>
      <c r="AW1729" s="38"/>
      <c r="AX1729" s="38"/>
      <c r="AY1729" s="38"/>
      <c r="AZ1729" s="38"/>
      <c r="BA1729" s="38"/>
      <c r="BB1729" s="38"/>
      <c r="BC1729" s="38"/>
      <c r="BD1729" s="38"/>
      <c r="BE1729" s="38"/>
      <c r="BF1729" s="38"/>
      <c r="BG1729" s="38"/>
      <c r="BH1729" s="38"/>
      <c r="BI1729" s="38"/>
      <c r="BJ1729" s="38"/>
      <c r="BK1729" s="38"/>
      <c r="BL1729" s="38"/>
      <c r="BM1729" s="38"/>
      <c r="BN1729" s="38"/>
      <c r="BO1729" s="38"/>
      <c r="BP1729" s="38"/>
      <c r="BQ1729" s="38"/>
    </row>
    <row r="1730">
      <c r="A1730" s="58" t="s">
        <v>239</v>
      </c>
      <c r="B1730" s="59">
        <v>43343.0</v>
      </c>
      <c r="C1730" s="59">
        <v>43342.0</v>
      </c>
      <c r="D1730" s="60" t="s">
        <v>4799</v>
      </c>
      <c r="E1730" s="58" t="s">
        <v>41</v>
      </c>
      <c r="F1730" s="58">
        <v>2.0</v>
      </c>
      <c r="G1730" s="58">
        <v>5.0</v>
      </c>
      <c r="H1730" s="33">
        <f t="shared" si="255"/>
        <v>5</v>
      </c>
      <c r="I1730" s="58" t="s">
        <v>33</v>
      </c>
      <c r="J1730" s="58" t="s">
        <v>111</v>
      </c>
      <c r="K1730" s="58">
        <v>1.0</v>
      </c>
      <c r="L1730" s="58" t="s">
        <v>194</v>
      </c>
      <c r="M1730" s="61" t="s">
        <v>4820</v>
      </c>
      <c r="N1730" s="77"/>
      <c r="O1730" s="62"/>
      <c r="P1730" s="62"/>
      <c r="Q1730" s="62"/>
      <c r="R1730" s="62"/>
      <c r="S1730" s="37" t="str">
        <f>IFERROR(__xludf.DUMMYFUNCTION("if(not(iserror(index(split(C1730, "" ""),2))), index(split(C1730, "" ""),1),"""")"),"August")</f>
        <v>August</v>
      </c>
      <c r="T1730" s="38">
        <f>IFERROR(__xludf.DUMMYFUNCTION("if(S1730="""",C1730,if(not(iserror(index(split(C1730, "" ""),3))), index(split(C1730, "" ""),3),index(split(C1730, "" ""),2)))"),2018.0)</f>
        <v>2018</v>
      </c>
      <c r="U1730" s="38" t="b">
        <f t="shared" si="253"/>
        <v>1</v>
      </c>
      <c r="V1730" s="38"/>
      <c r="W1730" s="40"/>
      <c r="X1730" s="40"/>
      <c r="Y1730" s="40"/>
      <c r="Z1730" s="38"/>
      <c r="AA1730" s="38"/>
      <c r="AB1730" s="38"/>
      <c r="AC1730" s="38"/>
      <c r="AD1730" s="38"/>
      <c r="AE1730" s="38"/>
      <c r="AF1730" s="38"/>
      <c r="AG1730" s="38"/>
      <c r="AH1730" s="38"/>
      <c r="AI1730" s="38"/>
      <c r="AJ1730" s="38"/>
      <c r="AK1730" s="38"/>
      <c r="AL1730" s="38"/>
      <c r="AM1730" s="38"/>
      <c r="AN1730" s="38"/>
      <c r="AO1730" s="38"/>
      <c r="AP1730" s="38"/>
      <c r="AQ1730" s="38"/>
      <c r="AR1730" s="38"/>
      <c r="AS1730" s="38"/>
      <c r="AT1730" s="38"/>
      <c r="AU1730" s="38"/>
      <c r="AV1730" s="38"/>
      <c r="AW1730" s="38"/>
      <c r="AX1730" s="38"/>
      <c r="AY1730" s="38"/>
      <c r="AZ1730" s="38"/>
      <c r="BA1730" s="38"/>
      <c r="BB1730" s="38"/>
      <c r="BC1730" s="38"/>
      <c r="BD1730" s="38"/>
      <c r="BE1730" s="38"/>
      <c r="BF1730" s="38"/>
      <c r="BG1730" s="38"/>
      <c r="BH1730" s="38"/>
      <c r="BI1730" s="38"/>
      <c r="BJ1730" s="38"/>
      <c r="BK1730" s="38"/>
      <c r="BL1730" s="38"/>
      <c r="BM1730" s="38"/>
      <c r="BN1730" s="38"/>
      <c r="BO1730" s="38"/>
      <c r="BP1730" s="38"/>
      <c r="BQ1730" s="38"/>
    </row>
    <row r="1731">
      <c r="A1731" s="58" t="s">
        <v>4821</v>
      </c>
      <c r="B1731" s="59">
        <v>43357.0</v>
      </c>
      <c r="C1731" s="59">
        <v>43342.0</v>
      </c>
      <c r="D1731" s="60" t="s">
        <v>4799</v>
      </c>
      <c r="E1731" s="58" t="s">
        <v>41</v>
      </c>
      <c r="F1731" s="58">
        <v>1.0</v>
      </c>
      <c r="G1731" s="58" t="s">
        <v>32</v>
      </c>
      <c r="H1731" s="33">
        <f t="shared" si="255"/>
        <v>1</v>
      </c>
      <c r="I1731" s="58" t="s">
        <v>33</v>
      </c>
      <c r="J1731" s="58" t="s">
        <v>111</v>
      </c>
      <c r="K1731" s="58">
        <v>1.0</v>
      </c>
      <c r="L1731" s="58" t="s">
        <v>35</v>
      </c>
      <c r="M1731" s="61" t="s">
        <v>4822</v>
      </c>
      <c r="N1731" s="77"/>
      <c r="O1731" s="62"/>
      <c r="P1731" s="62"/>
      <c r="Q1731" s="62"/>
      <c r="R1731" s="62"/>
      <c r="S1731" s="37" t="str">
        <f>IFERROR(__xludf.DUMMYFUNCTION("if(not(iserror(index(split(C1731, "" ""),2))), index(split(C1731, "" ""),1),"""")"),"August")</f>
        <v>August</v>
      </c>
      <c r="T1731" s="38">
        <f>IFERROR(__xludf.DUMMYFUNCTION("if(S1731="""",C1731,if(not(iserror(index(split(C1731, "" ""),3))), index(split(C1731, "" ""),3),index(split(C1731, "" ""),2)))"),2018.0)</f>
        <v>2018</v>
      </c>
      <c r="U1731" s="38" t="b">
        <f t="shared" si="253"/>
        <v>0</v>
      </c>
      <c r="V1731" s="38"/>
      <c r="W1731" s="40"/>
      <c r="X1731" s="40"/>
      <c r="Y1731" s="40"/>
      <c r="Z1731" s="38"/>
      <c r="AA1731" s="38"/>
      <c r="AB1731" s="38"/>
      <c r="AC1731" s="38"/>
      <c r="AD1731" s="38"/>
      <c r="AE1731" s="38"/>
      <c r="AF1731" s="38"/>
      <c r="AG1731" s="38"/>
      <c r="AH1731" s="38"/>
      <c r="AI1731" s="38"/>
      <c r="AJ1731" s="38"/>
      <c r="AK1731" s="38"/>
      <c r="AL1731" s="38"/>
      <c r="AM1731" s="38"/>
      <c r="AN1731" s="38"/>
      <c r="AO1731" s="38"/>
      <c r="AP1731" s="38"/>
      <c r="AQ1731" s="38"/>
      <c r="AR1731" s="38"/>
      <c r="AS1731" s="38"/>
      <c r="AT1731" s="38"/>
      <c r="AU1731" s="38"/>
      <c r="AV1731" s="38"/>
      <c r="AW1731" s="38"/>
      <c r="AX1731" s="38"/>
      <c r="AY1731" s="38"/>
      <c r="AZ1731" s="38"/>
      <c r="BA1731" s="38"/>
      <c r="BB1731" s="38"/>
      <c r="BC1731" s="38"/>
      <c r="BD1731" s="38"/>
      <c r="BE1731" s="38"/>
      <c r="BF1731" s="38"/>
      <c r="BG1731" s="38"/>
      <c r="BH1731" s="38"/>
      <c r="BI1731" s="38"/>
      <c r="BJ1731" s="38"/>
      <c r="BK1731" s="38"/>
      <c r="BL1731" s="38"/>
      <c r="BM1731" s="38"/>
      <c r="BN1731" s="38"/>
      <c r="BO1731" s="38"/>
      <c r="BP1731" s="38"/>
      <c r="BQ1731" s="38"/>
    </row>
    <row r="1732">
      <c r="A1732" s="194" t="s">
        <v>4823</v>
      </c>
      <c r="B1732" s="137">
        <v>43378.0</v>
      </c>
      <c r="C1732" s="126">
        <v>43342.0</v>
      </c>
      <c r="D1732" s="196" t="s">
        <v>4799</v>
      </c>
      <c r="E1732" s="124" t="s">
        <v>41</v>
      </c>
      <c r="F1732" s="129">
        <v>1.0</v>
      </c>
      <c r="G1732" s="128" t="s">
        <v>32</v>
      </c>
      <c r="H1732" s="33">
        <f t="shared" si="255"/>
        <v>1</v>
      </c>
      <c r="I1732" s="128" t="s">
        <v>33</v>
      </c>
      <c r="J1732" s="128" t="s">
        <v>111</v>
      </c>
      <c r="K1732" s="58">
        <v>1.0</v>
      </c>
      <c r="L1732" s="124" t="s">
        <v>76</v>
      </c>
      <c r="M1732" s="197" t="s">
        <v>2426</v>
      </c>
      <c r="N1732" s="233"/>
      <c r="O1732" s="173" t="str">
        <f>hyperlink("https://bad-boys.us/?q=CD-CA/2:18-cr-00553", "CD-CA 2:18-cr-00553")</f>
        <v>CD-CA 2:18-cr-00553</v>
      </c>
      <c r="P1732" s="173" t="s">
        <v>4824</v>
      </c>
      <c r="Q1732" s="198">
        <v>1.0</v>
      </c>
      <c r="R1732" s="133"/>
      <c r="S1732" s="37" t="str">
        <f>IFERROR(__xludf.DUMMYFUNCTION("if(not(iserror(index(split(C1732, "" ""),2))), index(split(C1732, "" ""),1),"""")"),"August")</f>
        <v>August</v>
      </c>
      <c r="T1732" s="38">
        <f>IFERROR(__xludf.DUMMYFUNCTION("if(S1732="""",C1732,if(not(iserror(index(split(C1732, "" ""),3))), index(split(C1732, "" ""),3),index(split(C1732, "" ""),2)))"),2018.0)</f>
        <v>2018</v>
      </c>
      <c r="U1732" s="38" t="b">
        <f t="shared" si="253"/>
        <v>0</v>
      </c>
      <c r="V1732" s="38"/>
      <c r="W1732" s="40"/>
      <c r="X1732" s="40"/>
      <c r="Y1732" s="40"/>
      <c r="Z1732" s="38"/>
      <c r="AA1732" s="38"/>
      <c r="AB1732" s="38"/>
      <c r="AC1732" s="38"/>
      <c r="AD1732" s="38"/>
      <c r="AE1732" s="38"/>
      <c r="AF1732" s="38"/>
      <c r="AG1732" s="38"/>
      <c r="AH1732" s="38"/>
      <c r="AI1732" s="38"/>
      <c r="AJ1732" s="38"/>
      <c r="AK1732" s="38"/>
      <c r="AL1732" s="38"/>
      <c r="AM1732" s="38"/>
      <c r="AN1732" s="38"/>
      <c r="AO1732" s="38"/>
      <c r="AP1732" s="38"/>
      <c r="AQ1732" s="38"/>
      <c r="AR1732" s="38"/>
      <c r="AS1732" s="38"/>
      <c r="AT1732" s="38"/>
      <c r="AU1732" s="38"/>
      <c r="AV1732" s="38"/>
      <c r="AW1732" s="38"/>
      <c r="AX1732" s="38"/>
      <c r="AY1732" s="38"/>
      <c r="AZ1732" s="38"/>
      <c r="BA1732" s="38"/>
      <c r="BB1732" s="38"/>
      <c r="BC1732" s="38"/>
      <c r="BD1732" s="38"/>
      <c r="BE1732" s="38"/>
      <c r="BF1732" s="38"/>
      <c r="BG1732" s="38"/>
      <c r="BH1732" s="38"/>
      <c r="BI1732" s="38"/>
      <c r="BJ1732" s="38"/>
      <c r="BK1732" s="38"/>
      <c r="BL1732" s="38"/>
      <c r="BM1732" s="38"/>
      <c r="BN1732" s="38"/>
      <c r="BO1732" s="38"/>
      <c r="BP1732" s="38"/>
      <c r="BQ1732" s="38"/>
    </row>
    <row r="1733">
      <c r="A1733" s="58" t="s">
        <v>4825</v>
      </c>
      <c r="B1733" s="59">
        <v>43411.0</v>
      </c>
      <c r="C1733" s="59">
        <v>43342.0</v>
      </c>
      <c r="D1733" s="60" t="s">
        <v>4799</v>
      </c>
      <c r="E1733" s="58" t="s">
        <v>31</v>
      </c>
      <c r="F1733" s="58">
        <v>1.0</v>
      </c>
      <c r="G1733" s="58" t="s">
        <v>32</v>
      </c>
      <c r="H1733" s="33">
        <f t="shared" si="255"/>
        <v>1</v>
      </c>
      <c r="I1733" s="58" t="s">
        <v>33</v>
      </c>
      <c r="J1733" s="58" t="s">
        <v>115</v>
      </c>
      <c r="K1733" s="58" t="s">
        <v>32</v>
      </c>
      <c r="L1733" s="58" t="s">
        <v>99</v>
      </c>
      <c r="M1733" s="61" t="s">
        <v>4826</v>
      </c>
      <c r="N1733" s="80"/>
      <c r="O1733" s="58"/>
      <c r="P1733" s="58"/>
      <c r="Q1733" s="84"/>
      <c r="R1733" s="62"/>
      <c r="S1733" s="37" t="str">
        <f>IFERROR(__xludf.DUMMYFUNCTION("if(not(iserror(index(split(C1733, "" ""),2))), index(split(C1733, "" ""),1),"""")"),"August")</f>
        <v>August</v>
      </c>
      <c r="T1733" s="38">
        <f>IFERROR(__xludf.DUMMYFUNCTION("if(S1733="""",C1733,if(not(iserror(index(split(C1733, "" ""),3))), index(split(C1733, "" ""),3),index(split(C1733, "" ""),2)))"),2018.0)</f>
        <v>2018</v>
      </c>
      <c r="U1733" s="38" t="b">
        <f t="shared" si="253"/>
        <v>0</v>
      </c>
      <c r="V1733" s="38"/>
      <c r="W1733" s="40"/>
      <c r="X1733" s="40"/>
      <c r="Y1733" s="40"/>
      <c r="Z1733" s="38"/>
      <c r="AA1733" s="38"/>
      <c r="AB1733" s="38"/>
      <c r="AC1733" s="38"/>
      <c r="AD1733" s="38"/>
      <c r="AE1733" s="38"/>
      <c r="AF1733" s="38"/>
      <c r="AG1733" s="38"/>
      <c r="AH1733" s="38"/>
      <c r="AI1733" s="38"/>
      <c r="AJ1733" s="38"/>
      <c r="AK1733" s="38"/>
      <c r="AL1733" s="38"/>
      <c r="AM1733" s="38"/>
      <c r="AN1733" s="38"/>
      <c r="AO1733" s="38"/>
      <c r="AP1733" s="38"/>
      <c r="AQ1733" s="38"/>
      <c r="AR1733" s="38"/>
      <c r="AS1733" s="38"/>
      <c r="AT1733" s="38"/>
      <c r="AU1733" s="38"/>
      <c r="AV1733" s="38"/>
      <c r="AW1733" s="38"/>
      <c r="AX1733" s="38"/>
      <c r="AY1733" s="38"/>
      <c r="AZ1733" s="38"/>
      <c r="BA1733" s="38"/>
      <c r="BB1733" s="38"/>
      <c r="BC1733" s="38"/>
      <c r="BD1733" s="38"/>
      <c r="BE1733" s="38"/>
      <c r="BF1733" s="38"/>
      <c r="BG1733" s="38"/>
      <c r="BH1733" s="38"/>
      <c r="BI1733" s="38"/>
      <c r="BJ1733" s="38"/>
      <c r="BK1733" s="38"/>
      <c r="BL1733" s="38"/>
      <c r="BM1733" s="38"/>
      <c r="BN1733" s="38"/>
      <c r="BO1733" s="38"/>
      <c r="BP1733" s="38"/>
      <c r="BQ1733" s="38"/>
    </row>
    <row r="1734">
      <c r="A1734" s="58" t="s">
        <v>4827</v>
      </c>
      <c r="B1734" s="59"/>
      <c r="C1734" s="59">
        <v>43342.0</v>
      </c>
      <c r="D1734" s="60"/>
      <c r="E1734" s="58" t="s">
        <v>41</v>
      </c>
      <c r="F1734" s="58">
        <v>1.0</v>
      </c>
      <c r="G1734" s="58">
        <v>3.0</v>
      </c>
      <c r="H1734" s="33"/>
      <c r="I1734" s="58" t="s">
        <v>33</v>
      </c>
      <c r="J1734" s="58" t="s">
        <v>47</v>
      </c>
      <c r="K1734" s="58"/>
      <c r="L1734" s="58" t="s">
        <v>790</v>
      </c>
      <c r="M1734" s="61" t="s">
        <v>4828</v>
      </c>
      <c r="N1734" s="80"/>
      <c r="O1734" s="88" t="str">
        <f>hyperlink("https://bad-boys.us/?q=SD-FL/0:18-cr-60240", "SD-FL 0:18-cr-60240")</f>
        <v>SD-FL 0:18-cr-60240</v>
      </c>
      <c r="P1734" s="88" t="s">
        <v>4829</v>
      </c>
      <c r="Q1734" s="58">
        <v>1.0</v>
      </c>
      <c r="R1734" s="62"/>
      <c r="S1734" s="37"/>
      <c r="T1734" s="38"/>
      <c r="U1734" s="38" t="b">
        <f t="shared" si="253"/>
        <v>0</v>
      </c>
      <c r="V1734" s="38" t="s">
        <v>33</v>
      </c>
      <c r="W1734" s="40"/>
      <c r="X1734" s="40"/>
      <c r="Y1734" s="40"/>
      <c r="Z1734" s="38"/>
      <c r="AA1734" s="38"/>
      <c r="AB1734" s="38"/>
      <c r="AC1734" s="38"/>
      <c r="AD1734" s="38"/>
      <c r="AE1734" s="38"/>
      <c r="AF1734" s="38"/>
      <c r="AG1734" s="38"/>
      <c r="AH1734" s="38"/>
      <c r="AI1734" s="38"/>
      <c r="AJ1734" s="38"/>
      <c r="AK1734" s="38"/>
      <c r="AL1734" s="38"/>
      <c r="AM1734" s="38"/>
      <c r="AN1734" s="38"/>
      <c r="AO1734" s="38"/>
      <c r="AP1734" s="38"/>
      <c r="AQ1734" s="38"/>
      <c r="AR1734" s="38"/>
      <c r="AS1734" s="38"/>
      <c r="AT1734" s="38"/>
      <c r="AU1734" s="38"/>
      <c r="AV1734" s="38"/>
      <c r="AW1734" s="38"/>
      <c r="AX1734" s="38"/>
      <c r="AY1734" s="38"/>
      <c r="AZ1734" s="38"/>
      <c r="BA1734" s="38"/>
      <c r="BB1734" s="38"/>
      <c r="BC1734" s="38"/>
      <c r="BD1734" s="38"/>
      <c r="BE1734" s="38"/>
      <c r="BF1734" s="38"/>
      <c r="BG1734" s="38"/>
      <c r="BH1734" s="38"/>
      <c r="BI1734" s="38"/>
      <c r="BJ1734" s="38"/>
      <c r="BK1734" s="38"/>
      <c r="BL1734" s="38"/>
      <c r="BM1734" s="38"/>
      <c r="BN1734" s="38"/>
      <c r="BO1734" s="38"/>
      <c r="BP1734" s="38"/>
      <c r="BQ1734" s="38"/>
    </row>
    <row r="1735">
      <c r="A1735" s="58" t="s">
        <v>4830</v>
      </c>
      <c r="B1735" s="59">
        <v>43343.0</v>
      </c>
      <c r="C1735" s="59">
        <v>43343.0</v>
      </c>
      <c r="D1735" s="60" t="s">
        <v>4579</v>
      </c>
      <c r="E1735" s="58" t="s">
        <v>41</v>
      </c>
      <c r="F1735" s="58">
        <v>1.0</v>
      </c>
      <c r="G1735" s="58" t="s">
        <v>32</v>
      </c>
      <c r="H1735" s="33">
        <f t="shared" ref="H1735:H1741" si="256">if(G1735="Unknown",1,G1735)</f>
        <v>1</v>
      </c>
      <c r="I1735" s="58" t="s">
        <v>33</v>
      </c>
      <c r="J1735" s="58" t="s">
        <v>909</v>
      </c>
      <c r="K1735" s="58">
        <v>4.0</v>
      </c>
      <c r="L1735" s="58" t="s">
        <v>119</v>
      </c>
      <c r="M1735" s="61" t="s">
        <v>3790</v>
      </c>
      <c r="N1735" s="77"/>
      <c r="O1735" s="88" t="str">
        <f>hyperlink("https://bad-boys.us/?q=D-RI/1:18-mj-00270", "D-RI 1:18-mj-00270")</f>
        <v>D-RI 1:18-mj-00270</v>
      </c>
      <c r="P1735" s="88" t="s">
        <v>4831</v>
      </c>
      <c r="Q1735" s="84">
        <v>1.0</v>
      </c>
      <c r="R1735" s="62"/>
      <c r="S1735" s="37" t="str">
        <f>IFERROR(__xludf.DUMMYFUNCTION("if(not(iserror(index(split(C1735, "" ""),2))), index(split(C1735, "" ""),1),"""")"),"August")</f>
        <v>August</v>
      </c>
      <c r="T1735" s="38">
        <f>IFERROR(__xludf.DUMMYFUNCTION("if(S1735="""",C1735,if(not(iserror(index(split(C1735, "" ""),3))), index(split(C1735, "" ""),3),index(split(C1735, "" ""),2)))"),2018.0)</f>
        <v>2018</v>
      </c>
      <c r="U1735" s="38" t="b">
        <f t="shared" si="253"/>
        <v>0</v>
      </c>
      <c r="V1735" s="38"/>
      <c r="W1735" s="40"/>
      <c r="X1735" s="40"/>
      <c r="Y1735" s="40"/>
      <c r="Z1735" s="38"/>
      <c r="AA1735" s="38"/>
      <c r="AB1735" s="38"/>
      <c r="AC1735" s="38"/>
      <c r="AD1735" s="38"/>
      <c r="AE1735" s="38"/>
      <c r="AF1735" s="38"/>
      <c r="AG1735" s="38"/>
      <c r="AH1735" s="38"/>
      <c r="AI1735" s="38"/>
      <c r="AJ1735" s="38"/>
      <c r="AK1735" s="38"/>
      <c r="AL1735" s="38"/>
      <c r="AM1735" s="38"/>
      <c r="AN1735" s="38"/>
      <c r="AO1735" s="38"/>
      <c r="AP1735" s="38"/>
      <c r="AQ1735" s="38"/>
      <c r="AR1735" s="38"/>
      <c r="AS1735" s="38"/>
      <c r="AT1735" s="38"/>
      <c r="AU1735" s="38"/>
      <c r="AV1735" s="38"/>
      <c r="AW1735" s="38"/>
      <c r="AX1735" s="38"/>
      <c r="AY1735" s="38"/>
      <c r="AZ1735" s="38"/>
      <c r="BA1735" s="38"/>
      <c r="BB1735" s="38"/>
      <c r="BC1735" s="38"/>
      <c r="BD1735" s="38"/>
      <c r="BE1735" s="38"/>
      <c r="BF1735" s="38"/>
      <c r="BG1735" s="38"/>
      <c r="BH1735" s="38"/>
      <c r="BI1735" s="38"/>
      <c r="BJ1735" s="38"/>
      <c r="BK1735" s="38"/>
      <c r="BL1735" s="38"/>
      <c r="BM1735" s="38"/>
      <c r="BN1735" s="38"/>
      <c r="BO1735" s="38"/>
      <c r="BP1735" s="38"/>
      <c r="BQ1735" s="38"/>
    </row>
    <row r="1736">
      <c r="A1736" s="58" t="s">
        <v>4832</v>
      </c>
      <c r="B1736" s="59">
        <v>43343.0</v>
      </c>
      <c r="C1736" s="59">
        <v>43343.0</v>
      </c>
      <c r="D1736" s="60" t="s">
        <v>4579</v>
      </c>
      <c r="E1736" s="58" t="s">
        <v>31</v>
      </c>
      <c r="F1736" s="58">
        <v>1.0</v>
      </c>
      <c r="G1736" s="58" t="s">
        <v>32</v>
      </c>
      <c r="H1736" s="33">
        <f t="shared" si="256"/>
        <v>1</v>
      </c>
      <c r="I1736" s="58" t="s">
        <v>33</v>
      </c>
      <c r="J1736" s="58" t="s">
        <v>111</v>
      </c>
      <c r="K1736" s="58" t="s">
        <v>32</v>
      </c>
      <c r="L1736" s="58" t="s">
        <v>4833</v>
      </c>
      <c r="M1736" s="61" t="s">
        <v>4834</v>
      </c>
      <c r="N1736" s="77"/>
      <c r="O1736" s="62"/>
      <c r="P1736" s="62"/>
      <c r="Q1736" s="62"/>
      <c r="R1736" s="62"/>
      <c r="S1736" s="37" t="str">
        <f>IFERROR(__xludf.DUMMYFUNCTION("if(not(iserror(index(split(C1736, "" ""),2))), index(split(C1736, "" ""),1),"""")"),"August")</f>
        <v>August</v>
      </c>
      <c r="T1736" s="38">
        <f>IFERROR(__xludf.DUMMYFUNCTION("if(S1736="""",C1736,if(not(iserror(index(split(C1736, "" ""),3))), index(split(C1736, "" ""),3),index(split(C1736, "" ""),2)))"),2018.0)</f>
        <v>2018</v>
      </c>
      <c r="U1736" s="38" t="b">
        <f t="shared" si="253"/>
        <v>0</v>
      </c>
      <c r="V1736" s="38"/>
      <c r="W1736" s="40"/>
      <c r="X1736" s="40"/>
      <c r="Y1736" s="40"/>
      <c r="Z1736" s="38"/>
      <c r="AA1736" s="38"/>
      <c r="AB1736" s="38"/>
      <c r="AC1736" s="38"/>
      <c r="AD1736" s="38"/>
      <c r="AE1736" s="38"/>
      <c r="AF1736" s="38"/>
      <c r="AG1736" s="38"/>
      <c r="AH1736" s="38"/>
      <c r="AI1736" s="38"/>
      <c r="AJ1736" s="38"/>
      <c r="AK1736" s="38"/>
      <c r="AL1736" s="38"/>
      <c r="AM1736" s="38"/>
      <c r="AN1736" s="38"/>
      <c r="AO1736" s="38"/>
      <c r="AP1736" s="38"/>
      <c r="AQ1736" s="38"/>
      <c r="AR1736" s="38"/>
      <c r="AS1736" s="38"/>
      <c r="AT1736" s="38"/>
      <c r="AU1736" s="38"/>
      <c r="AV1736" s="38"/>
      <c r="AW1736" s="38"/>
      <c r="AX1736" s="38"/>
      <c r="AY1736" s="38"/>
      <c r="AZ1736" s="38"/>
      <c r="BA1736" s="38"/>
      <c r="BB1736" s="38"/>
      <c r="BC1736" s="38"/>
      <c r="BD1736" s="38"/>
      <c r="BE1736" s="38"/>
      <c r="BF1736" s="38"/>
      <c r="BG1736" s="38"/>
      <c r="BH1736" s="38"/>
      <c r="BI1736" s="38"/>
      <c r="BJ1736" s="38"/>
      <c r="BK1736" s="38"/>
      <c r="BL1736" s="38"/>
      <c r="BM1736" s="38"/>
      <c r="BN1736" s="38"/>
      <c r="BO1736" s="38"/>
      <c r="BP1736" s="38"/>
      <c r="BQ1736" s="38"/>
    </row>
    <row r="1737">
      <c r="A1737" s="58" t="s">
        <v>4835</v>
      </c>
      <c r="B1737" s="59">
        <v>43344.0</v>
      </c>
      <c r="C1737" s="59">
        <v>43343.0</v>
      </c>
      <c r="D1737" s="60" t="s">
        <v>4579</v>
      </c>
      <c r="E1737" s="58" t="s">
        <v>41</v>
      </c>
      <c r="F1737" s="58">
        <v>1.0</v>
      </c>
      <c r="G1737" s="58" t="s">
        <v>32</v>
      </c>
      <c r="H1737" s="33">
        <f t="shared" si="256"/>
        <v>1</v>
      </c>
      <c r="I1737" s="58" t="s">
        <v>33</v>
      </c>
      <c r="J1737" s="58" t="s">
        <v>111</v>
      </c>
      <c r="K1737" s="58">
        <v>2.0</v>
      </c>
      <c r="L1737" s="58" t="s">
        <v>35</v>
      </c>
      <c r="M1737" s="61" t="s">
        <v>4836</v>
      </c>
      <c r="N1737" s="77"/>
      <c r="O1737" s="62"/>
      <c r="P1737" s="62"/>
      <c r="Q1737" s="62"/>
      <c r="R1737" s="62"/>
      <c r="S1737" s="37" t="str">
        <f>IFERROR(__xludf.DUMMYFUNCTION("if(not(iserror(index(split(C1737, "" ""),2))), index(split(C1737, "" ""),1),"""")"),"August")</f>
        <v>August</v>
      </c>
      <c r="T1737" s="38">
        <f>IFERROR(__xludf.DUMMYFUNCTION("if(S1737="""",C1737,if(not(iserror(index(split(C1737, "" ""),3))), index(split(C1737, "" ""),3),index(split(C1737, "" ""),2)))"),2018.0)</f>
        <v>2018</v>
      </c>
      <c r="U1737" s="38" t="b">
        <f t="shared" si="253"/>
        <v>0</v>
      </c>
      <c r="V1737" s="38"/>
      <c r="W1737" s="40"/>
      <c r="X1737" s="40"/>
      <c r="Y1737" s="40"/>
      <c r="Z1737" s="38"/>
      <c r="AA1737" s="38"/>
      <c r="AB1737" s="38"/>
      <c r="AC1737" s="38"/>
      <c r="AD1737" s="38"/>
      <c r="AE1737" s="38"/>
      <c r="AF1737" s="38"/>
      <c r="AG1737" s="38"/>
      <c r="AH1737" s="38"/>
      <c r="AI1737" s="38"/>
      <c r="AJ1737" s="38"/>
      <c r="AK1737" s="38"/>
      <c r="AL1737" s="38"/>
      <c r="AM1737" s="38"/>
      <c r="AN1737" s="38"/>
      <c r="AO1737" s="38"/>
      <c r="AP1737" s="38"/>
      <c r="AQ1737" s="38"/>
      <c r="AR1737" s="38"/>
      <c r="AS1737" s="38"/>
      <c r="AT1737" s="38"/>
      <c r="AU1737" s="38"/>
      <c r="AV1737" s="38"/>
      <c r="AW1737" s="38"/>
      <c r="AX1737" s="38"/>
      <c r="AY1737" s="38"/>
      <c r="AZ1737" s="38"/>
      <c r="BA1737" s="38"/>
      <c r="BB1737" s="38"/>
      <c r="BC1737" s="38"/>
      <c r="BD1737" s="38"/>
      <c r="BE1737" s="38"/>
      <c r="BF1737" s="38"/>
      <c r="BG1737" s="38"/>
      <c r="BH1737" s="38"/>
      <c r="BI1737" s="38"/>
      <c r="BJ1737" s="38"/>
      <c r="BK1737" s="38"/>
      <c r="BL1737" s="38"/>
      <c r="BM1737" s="38"/>
      <c r="BN1737" s="38"/>
      <c r="BO1737" s="38"/>
      <c r="BP1737" s="38"/>
      <c r="BQ1737" s="38"/>
    </row>
    <row r="1738">
      <c r="A1738" s="58" t="s">
        <v>4837</v>
      </c>
      <c r="B1738" s="59">
        <v>43344.0</v>
      </c>
      <c r="C1738" s="59">
        <v>43343.0</v>
      </c>
      <c r="D1738" s="60" t="s">
        <v>4579</v>
      </c>
      <c r="E1738" s="58" t="s">
        <v>31</v>
      </c>
      <c r="F1738" s="58">
        <v>1.0</v>
      </c>
      <c r="G1738" s="58" t="s">
        <v>32</v>
      </c>
      <c r="H1738" s="33">
        <f t="shared" si="256"/>
        <v>1</v>
      </c>
      <c r="I1738" s="58" t="s">
        <v>33</v>
      </c>
      <c r="J1738" s="58" t="s">
        <v>61</v>
      </c>
      <c r="K1738" s="58">
        <v>1.0</v>
      </c>
      <c r="L1738" s="58" t="s">
        <v>35</v>
      </c>
      <c r="M1738" s="61" t="s">
        <v>4838</v>
      </c>
      <c r="N1738" s="77"/>
      <c r="O1738" s="62"/>
      <c r="P1738" s="62"/>
      <c r="Q1738" s="62"/>
      <c r="R1738" s="62"/>
      <c r="S1738" s="37" t="str">
        <f>IFERROR(__xludf.DUMMYFUNCTION("if(not(iserror(index(split(C1738, "" ""),2))), index(split(C1738, "" ""),1),"""")"),"August")</f>
        <v>August</v>
      </c>
      <c r="T1738" s="38">
        <f>IFERROR(__xludf.DUMMYFUNCTION("if(S1738="""",C1738,if(not(iserror(index(split(C1738, "" ""),3))), index(split(C1738, "" ""),3),index(split(C1738, "" ""),2)))"),2018.0)</f>
        <v>2018</v>
      </c>
      <c r="U1738" s="38" t="b">
        <f t="shared" si="253"/>
        <v>0</v>
      </c>
      <c r="V1738" s="38"/>
      <c r="W1738" s="40"/>
      <c r="X1738" s="40"/>
      <c r="Y1738" s="40"/>
      <c r="Z1738" s="38"/>
      <c r="AA1738" s="38"/>
      <c r="AB1738" s="38"/>
      <c r="AC1738" s="38"/>
      <c r="AD1738" s="38"/>
      <c r="AE1738" s="38"/>
      <c r="AF1738" s="38"/>
      <c r="AG1738" s="38"/>
      <c r="AH1738" s="38"/>
      <c r="AI1738" s="38"/>
      <c r="AJ1738" s="38"/>
      <c r="AK1738" s="38"/>
      <c r="AL1738" s="38"/>
      <c r="AM1738" s="38"/>
      <c r="AN1738" s="38"/>
      <c r="AO1738" s="38"/>
      <c r="AP1738" s="38"/>
      <c r="AQ1738" s="38"/>
      <c r="AR1738" s="38"/>
      <c r="AS1738" s="38"/>
      <c r="AT1738" s="38"/>
      <c r="AU1738" s="38"/>
      <c r="AV1738" s="38"/>
      <c r="AW1738" s="38"/>
      <c r="AX1738" s="38"/>
      <c r="AY1738" s="38"/>
      <c r="AZ1738" s="38"/>
      <c r="BA1738" s="38"/>
      <c r="BB1738" s="38"/>
      <c r="BC1738" s="38"/>
      <c r="BD1738" s="38"/>
      <c r="BE1738" s="38"/>
      <c r="BF1738" s="38"/>
      <c r="BG1738" s="38"/>
      <c r="BH1738" s="38"/>
      <c r="BI1738" s="38"/>
      <c r="BJ1738" s="38"/>
      <c r="BK1738" s="38"/>
      <c r="BL1738" s="38"/>
      <c r="BM1738" s="38"/>
      <c r="BN1738" s="38"/>
      <c r="BO1738" s="38"/>
      <c r="BP1738" s="38"/>
      <c r="BQ1738" s="38"/>
    </row>
    <row r="1739">
      <c r="A1739" s="58" t="s">
        <v>4839</v>
      </c>
      <c r="B1739" s="59">
        <v>43348.0</v>
      </c>
      <c r="C1739" s="59">
        <v>43343.0</v>
      </c>
      <c r="D1739" s="60" t="s">
        <v>4579</v>
      </c>
      <c r="E1739" s="58" t="s">
        <v>31</v>
      </c>
      <c r="F1739" s="58">
        <v>1.0</v>
      </c>
      <c r="G1739" s="58" t="s">
        <v>32</v>
      </c>
      <c r="H1739" s="33">
        <f t="shared" si="256"/>
        <v>1</v>
      </c>
      <c r="I1739" s="58" t="s">
        <v>33</v>
      </c>
      <c r="J1739" s="58" t="s">
        <v>193</v>
      </c>
      <c r="K1739" s="58">
        <v>1.0</v>
      </c>
      <c r="L1739" s="58" t="s">
        <v>52</v>
      </c>
      <c r="M1739" s="61" t="s">
        <v>4840</v>
      </c>
      <c r="N1739" s="77"/>
      <c r="O1739" s="58"/>
      <c r="P1739" s="62"/>
      <c r="Q1739" s="84"/>
      <c r="R1739" s="62"/>
      <c r="S1739" s="37" t="str">
        <f>IFERROR(__xludf.DUMMYFUNCTION("if(not(iserror(index(split(C1739, "" ""),2))), index(split(C1739, "" ""),1),"""")"),"August")</f>
        <v>August</v>
      </c>
      <c r="T1739" s="38">
        <f>IFERROR(__xludf.DUMMYFUNCTION("if(S1739="""",C1739,if(not(iserror(index(split(C1739, "" ""),3))), index(split(C1739, "" ""),3),index(split(C1739, "" ""),2)))"),2018.0)</f>
        <v>2018</v>
      </c>
      <c r="U1739" s="38" t="b">
        <f t="shared" si="253"/>
        <v>0</v>
      </c>
      <c r="V1739" s="38"/>
      <c r="W1739" s="40"/>
      <c r="X1739" s="40"/>
      <c r="Y1739" s="40"/>
      <c r="Z1739" s="38"/>
      <c r="AA1739" s="38"/>
      <c r="AB1739" s="38"/>
      <c r="AC1739" s="38"/>
      <c r="AD1739" s="38"/>
      <c r="AE1739" s="38"/>
      <c r="AF1739" s="38"/>
      <c r="AG1739" s="38"/>
      <c r="AH1739" s="38"/>
      <c r="AI1739" s="38"/>
      <c r="AJ1739" s="38"/>
      <c r="AK1739" s="38"/>
      <c r="AL1739" s="38"/>
      <c r="AM1739" s="38"/>
      <c r="AN1739" s="38"/>
      <c r="AO1739" s="38"/>
      <c r="AP1739" s="38"/>
      <c r="AQ1739" s="38"/>
      <c r="AR1739" s="38"/>
      <c r="AS1739" s="38"/>
      <c r="AT1739" s="38"/>
      <c r="AU1739" s="38"/>
      <c r="AV1739" s="38"/>
      <c r="AW1739" s="38"/>
      <c r="AX1739" s="38"/>
      <c r="AY1739" s="38"/>
      <c r="AZ1739" s="38"/>
      <c r="BA1739" s="38"/>
      <c r="BB1739" s="38"/>
      <c r="BC1739" s="38"/>
      <c r="BD1739" s="38"/>
      <c r="BE1739" s="38"/>
      <c r="BF1739" s="38"/>
      <c r="BG1739" s="38"/>
      <c r="BH1739" s="38"/>
      <c r="BI1739" s="38"/>
      <c r="BJ1739" s="38"/>
      <c r="BK1739" s="38"/>
      <c r="BL1739" s="38"/>
      <c r="BM1739" s="38"/>
      <c r="BN1739" s="38"/>
      <c r="BO1739" s="38"/>
      <c r="BP1739" s="38"/>
      <c r="BQ1739" s="38"/>
    </row>
    <row r="1740">
      <c r="A1740" s="78" t="s">
        <v>4841</v>
      </c>
      <c r="B1740" s="59">
        <v>43354.0</v>
      </c>
      <c r="C1740" s="59">
        <v>43343.0</v>
      </c>
      <c r="D1740" s="60" t="s">
        <v>4579</v>
      </c>
      <c r="E1740" s="58" t="s">
        <v>41</v>
      </c>
      <c r="F1740" s="58">
        <v>2.0</v>
      </c>
      <c r="G1740" s="58" t="s">
        <v>32</v>
      </c>
      <c r="H1740" s="33">
        <f t="shared" si="256"/>
        <v>1</v>
      </c>
      <c r="I1740" s="58" t="s">
        <v>33</v>
      </c>
      <c r="J1740" s="58" t="s">
        <v>111</v>
      </c>
      <c r="K1740" s="58">
        <v>1.0</v>
      </c>
      <c r="L1740" s="58" t="s">
        <v>35</v>
      </c>
      <c r="M1740" s="46" t="s">
        <v>4842</v>
      </c>
      <c r="N1740" s="77"/>
      <c r="O1740" s="62"/>
      <c r="P1740" s="62"/>
      <c r="Q1740" s="62"/>
      <c r="R1740" s="62"/>
      <c r="S1740" s="37" t="str">
        <f>IFERROR(__xludf.DUMMYFUNCTION("if(not(iserror(index(split(C1740, "" ""),2))), index(split(C1740, "" ""),1),"""")"),"August")</f>
        <v>August</v>
      </c>
      <c r="T1740" s="38">
        <f>IFERROR(__xludf.DUMMYFUNCTION("if(S1740="""",C1740,if(not(iserror(index(split(C1740, "" ""),3))), index(split(C1740, "" ""),3),index(split(C1740, "" ""),2)))"),2018.0)</f>
        <v>2018</v>
      </c>
      <c r="U1740" s="38" t="b">
        <f t="shared" si="253"/>
        <v>0</v>
      </c>
      <c r="V1740" s="38"/>
      <c r="W1740" s="40"/>
      <c r="X1740" s="40"/>
      <c r="Y1740" s="40"/>
      <c r="Z1740" s="38"/>
      <c r="AA1740" s="38"/>
      <c r="AB1740" s="38"/>
      <c r="AC1740" s="38"/>
      <c r="AD1740" s="38"/>
      <c r="AE1740" s="38"/>
      <c r="AF1740" s="38"/>
      <c r="AG1740" s="38"/>
      <c r="AH1740" s="38"/>
      <c r="AI1740" s="38"/>
      <c r="AJ1740" s="38"/>
      <c r="AK1740" s="38"/>
      <c r="AL1740" s="38"/>
      <c r="AM1740" s="38"/>
      <c r="AN1740" s="38"/>
      <c r="AO1740" s="38"/>
      <c r="AP1740" s="38"/>
      <c r="AQ1740" s="38"/>
      <c r="AR1740" s="38"/>
      <c r="AS1740" s="38"/>
      <c r="AT1740" s="38"/>
      <c r="AU1740" s="38"/>
      <c r="AV1740" s="38"/>
      <c r="AW1740" s="38"/>
      <c r="AX1740" s="38"/>
      <c r="AY1740" s="38"/>
      <c r="AZ1740" s="38"/>
      <c r="BA1740" s="38"/>
      <c r="BB1740" s="38"/>
      <c r="BC1740" s="38"/>
      <c r="BD1740" s="38"/>
      <c r="BE1740" s="38"/>
      <c r="BF1740" s="38"/>
      <c r="BG1740" s="38"/>
      <c r="BH1740" s="38"/>
      <c r="BI1740" s="38"/>
      <c r="BJ1740" s="38"/>
      <c r="BK1740" s="38"/>
      <c r="BL1740" s="38"/>
      <c r="BM1740" s="38"/>
      <c r="BN1740" s="38"/>
      <c r="BO1740" s="38"/>
      <c r="BP1740" s="38"/>
      <c r="BQ1740" s="38"/>
    </row>
    <row r="1741">
      <c r="A1741" s="58" t="s">
        <v>660</v>
      </c>
      <c r="B1741" s="59">
        <v>43354.0</v>
      </c>
      <c r="C1741" s="79">
        <v>43344.0</v>
      </c>
      <c r="D1741" s="60" t="s">
        <v>640</v>
      </c>
      <c r="E1741" s="58" t="s">
        <v>31</v>
      </c>
      <c r="F1741" s="58">
        <v>24.0</v>
      </c>
      <c r="G1741" s="58" t="s">
        <v>32</v>
      </c>
      <c r="H1741" s="33">
        <f t="shared" si="256"/>
        <v>1</v>
      </c>
      <c r="I1741" s="58" t="s">
        <v>33</v>
      </c>
      <c r="J1741" s="58" t="s">
        <v>241</v>
      </c>
      <c r="K1741" s="58">
        <v>1.0</v>
      </c>
      <c r="L1741" s="58" t="s">
        <v>4843</v>
      </c>
      <c r="M1741" s="61" t="s">
        <v>4844</v>
      </c>
      <c r="N1741" s="77"/>
      <c r="O1741" s="58"/>
      <c r="P1741" s="58"/>
      <c r="Q1741" s="84"/>
      <c r="R1741" s="62"/>
      <c r="S1741" s="37" t="str">
        <f>IFERROR(__xludf.DUMMYFUNCTION("if(not(iserror(index(split(C1741, "" ""),2))), index(split(C1741, "" ""),1),"""")"),"September,")</f>
        <v>September,</v>
      </c>
      <c r="T1741" s="38">
        <f>IFERROR(__xludf.DUMMYFUNCTION("if(S1741="""",C1741,if(not(iserror(index(split(C1741, "" ""),3))), index(split(C1741, "" ""),3),index(split(C1741, "" ""),2)))"),2018.0)</f>
        <v>2018</v>
      </c>
      <c r="U1741" s="38" t="b">
        <f t="shared" si="253"/>
        <v>1</v>
      </c>
      <c r="V1741" s="38"/>
      <c r="W1741" s="40"/>
      <c r="X1741" s="40"/>
      <c r="Y1741" s="40"/>
      <c r="Z1741" s="38"/>
      <c r="AA1741" s="38"/>
      <c r="AB1741" s="38"/>
      <c r="AC1741" s="38"/>
      <c r="AD1741" s="38"/>
      <c r="AE1741" s="38"/>
      <c r="AF1741" s="38"/>
      <c r="AG1741" s="38"/>
      <c r="AH1741" s="38"/>
      <c r="AI1741" s="38"/>
      <c r="AJ1741" s="38"/>
      <c r="AK1741" s="38"/>
      <c r="AL1741" s="38"/>
      <c r="AM1741" s="38"/>
      <c r="AN1741" s="38"/>
      <c r="AO1741" s="38"/>
      <c r="AP1741" s="38"/>
      <c r="AQ1741" s="38"/>
      <c r="AR1741" s="38"/>
      <c r="AS1741" s="38"/>
      <c r="AT1741" s="38"/>
      <c r="AU1741" s="38"/>
      <c r="AV1741" s="38"/>
      <c r="AW1741" s="38"/>
      <c r="AX1741" s="38"/>
      <c r="AY1741" s="38"/>
      <c r="AZ1741" s="38"/>
      <c r="BA1741" s="38"/>
      <c r="BB1741" s="38"/>
      <c r="BC1741" s="38"/>
      <c r="BD1741" s="38"/>
      <c r="BE1741" s="38"/>
      <c r="BF1741" s="38"/>
      <c r="BG1741" s="38"/>
      <c r="BH1741" s="38"/>
      <c r="BI1741" s="38"/>
      <c r="BJ1741" s="38"/>
      <c r="BK1741" s="38"/>
      <c r="BL1741" s="38"/>
      <c r="BM1741" s="38"/>
      <c r="BN1741" s="38"/>
      <c r="BO1741" s="38"/>
      <c r="BP1741" s="38"/>
      <c r="BQ1741" s="38"/>
    </row>
    <row r="1742">
      <c r="A1742" s="58" t="s">
        <v>4845</v>
      </c>
      <c r="B1742" s="59"/>
      <c r="C1742" s="79">
        <v>43344.0</v>
      </c>
      <c r="D1742" s="60"/>
      <c r="E1742" s="58" t="s">
        <v>31</v>
      </c>
      <c r="F1742" s="58">
        <v>1.0</v>
      </c>
      <c r="G1742" s="58" t="s">
        <v>32</v>
      </c>
      <c r="H1742" s="43">
        <v>170.0</v>
      </c>
      <c r="I1742" s="58" t="s">
        <v>33</v>
      </c>
      <c r="J1742" s="58" t="s">
        <v>115</v>
      </c>
      <c r="K1742" s="58"/>
      <c r="L1742" s="58" t="s">
        <v>76</v>
      </c>
      <c r="M1742" s="80" t="s">
        <v>4846</v>
      </c>
      <c r="N1742" s="61" t="s">
        <v>4847</v>
      </c>
      <c r="O1742" s="58"/>
      <c r="P1742" s="58"/>
      <c r="Q1742" s="58">
        <v>1.0</v>
      </c>
      <c r="R1742" s="62"/>
      <c r="S1742" s="37"/>
      <c r="T1742" s="38"/>
      <c r="U1742" s="38"/>
      <c r="V1742" s="38" t="s">
        <v>33</v>
      </c>
      <c r="W1742" s="39" t="s">
        <v>4848</v>
      </c>
      <c r="X1742" s="39" t="s">
        <v>4849</v>
      </c>
      <c r="Y1742" s="40"/>
      <c r="Z1742" s="38"/>
      <c r="AA1742" s="38"/>
      <c r="AB1742" s="38"/>
      <c r="AC1742" s="38"/>
      <c r="AD1742" s="38"/>
      <c r="AE1742" s="38"/>
      <c r="AF1742" s="38"/>
      <c r="AG1742" s="38"/>
      <c r="AH1742" s="38"/>
      <c r="AI1742" s="38"/>
      <c r="AJ1742" s="38"/>
      <c r="AK1742" s="38"/>
      <c r="AL1742" s="38"/>
      <c r="AM1742" s="38"/>
      <c r="AN1742" s="38"/>
      <c r="AO1742" s="38"/>
      <c r="AP1742" s="38"/>
      <c r="AQ1742" s="38"/>
      <c r="AR1742" s="38"/>
      <c r="AS1742" s="38"/>
      <c r="AT1742" s="38"/>
      <c r="AU1742" s="38"/>
      <c r="AV1742" s="38"/>
      <c r="AW1742" s="38"/>
      <c r="AX1742" s="38"/>
      <c r="AY1742" s="38"/>
      <c r="AZ1742" s="38"/>
      <c r="BA1742" s="38"/>
      <c r="BB1742" s="38"/>
      <c r="BC1742" s="38"/>
      <c r="BD1742" s="38"/>
      <c r="BE1742" s="38"/>
      <c r="BF1742" s="38"/>
      <c r="BG1742" s="38"/>
      <c r="BH1742" s="38"/>
      <c r="BI1742" s="38"/>
      <c r="BJ1742" s="38"/>
      <c r="BK1742" s="38"/>
      <c r="BL1742" s="38"/>
      <c r="BM1742" s="38"/>
      <c r="BN1742" s="38"/>
      <c r="BO1742" s="38"/>
      <c r="BP1742" s="38"/>
      <c r="BQ1742" s="38"/>
    </row>
    <row r="1743">
      <c r="A1743" s="58" t="s">
        <v>4850</v>
      </c>
      <c r="B1743" s="59"/>
      <c r="C1743" s="79">
        <v>43344.0</v>
      </c>
      <c r="D1743" s="60"/>
      <c r="E1743" s="58" t="s">
        <v>41</v>
      </c>
      <c r="F1743" s="58">
        <v>1.0</v>
      </c>
      <c r="G1743" s="58" t="s">
        <v>32</v>
      </c>
      <c r="H1743" s="43">
        <v>1.0</v>
      </c>
      <c r="I1743" s="58" t="s">
        <v>33</v>
      </c>
      <c r="J1743" s="58" t="s">
        <v>147</v>
      </c>
      <c r="K1743" s="58"/>
      <c r="L1743" s="58" t="s">
        <v>194</v>
      </c>
      <c r="M1743" s="61" t="s">
        <v>4851</v>
      </c>
      <c r="N1743" s="77"/>
      <c r="O1743" s="58"/>
      <c r="P1743" s="58"/>
      <c r="Q1743" s="84"/>
      <c r="R1743" s="62"/>
      <c r="S1743" s="37"/>
      <c r="T1743" s="38"/>
      <c r="U1743" s="38"/>
      <c r="V1743" s="38"/>
      <c r="W1743" s="40"/>
      <c r="X1743" s="40"/>
      <c r="Y1743" s="40"/>
      <c r="Z1743" s="38"/>
      <c r="AA1743" s="38"/>
      <c r="AB1743" s="38"/>
      <c r="AC1743" s="38"/>
      <c r="AD1743" s="38"/>
      <c r="AE1743" s="38"/>
      <c r="AF1743" s="38"/>
      <c r="AG1743" s="38"/>
      <c r="AH1743" s="38"/>
      <c r="AI1743" s="38"/>
      <c r="AJ1743" s="38"/>
      <c r="AK1743" s="38"/>
      <c r="AL1743" s="38"/>
      <c r="AM1743" s="38"/>
      <c r="AN1743" s="38"/>
      <c r="AO1743" s="38"/>
      <c r="AP1743" s="38"/>
      <c r="AQ1743" s="38"/>
      <c r="AR1743" s="38"/>
      <c r="AS1743" s="38"/>
      <c r="AT1743" s="38"/>
      <c r="AU1743" s="38"/>
      <c r="AV1743" s="38"/>
      <c r="AW1743" s="38"/>
      <c r="AX1743" s="38"/>
      <c r="AY1743" s="38"/>
      <c r="AZ1743" s="38"/>
      <c r="BA1743" s="38"/>
      <c r="BB1743" s="38"/>
      <c r="BC1743" s="38"/>
      <c r="BD1743" s="38"/>
      <c r="BE1743" s="38"/>
      <c r="BF1743" s="38"/>
      <c r="BG1743" s="38"/>
      <c r="BH1743" s="38"/>
      <c r="BI1743" s="38"/>
      <c r="BJ1743" s="38"/>
      <c r="BK1743" s="38"/>
      <c r="BL1743" s="38"/>
      <c r="BM1743" s="38"/>
      <c r="BN1743" s="38"/>
      <c r="BO1743" s="38"/>
      <c r="BP1743" s="38"/>
      <c r="BQ1743" s="38"/>
    </row>
    <row r="1744">
      <c r="A1744" s="58" t="s">
        <v>4852</v>
      </c>
      <c r="B1744" s="59"/>
      <c r="C1744" s="79">
        <v>43344.0</v>
      </c>
      <c r="D1744" s="60"/>
      <c r="E1744" s="58" t="s">
        <v>41</v>
      </c>
      <c r="F1744" s="58">
        <v>1.0</v>
      </c>
      <c r="G1744" s="58" t="s">
        <v>32</v>
      </c>
      <c r="H1744" s="43">
        <v>1.0</v>
      </c>
      <c r="I1744" s="58" t="s">
        <v>33</v>
      </c>
      <c r="J1744" s="58" t="s">
        <v>132</v>
      </c>
      <c r="K1744" s="58"/>
      <c r="L1744" s="58" t="s">
        <v>76</v>
      </c>
      <c r="M1744" s="61" t="s">
        <v>4853</v>
      </c>
      <c r="N1744" s="77"/>
      <c r="O1744" s="58"/>
      <c r="P1744" s="58"/>
      <c r="Q1744" s="84"/>
      <c r="R1744" s="62"/>
      <c r="S1744" s="37"/>
      <c r="T1744" s="38"/>
      <c r="U1744" s="38" t="b">
        <f t="shared" ref="U1744:U1776" si="257">countif(A$4:A4658, A1744)&gt;1</f>
        <v>0</v>
      </c>
      <c r="V1744" s="38" t="s">
        <v>33</v>
      </c>
      <c r="W1744" s="40"/>
      <c r="X1744" s="40"/>
      <c r="Y1744" s="40"/>
      <c r="Z1744" s="38"/>
      <c r="AA1744" s="38"/>
      <c r="AB1744" s="38"/>
      <c r="AC1744" s="38"/>
      <c r="AD1744" s="38"/>
      <c r="AE1744" s="38"/>
      <c r="AF1744" s="38"/>
      <c r="AG1744" s="38"/>
      <c r="AH1744" s="38"/>
      <c r="AI1744" s="38"/>
      <c r="AJ1744" s="38"/>
      <c r="AK1744" s="38"/>
      <c r="AL1744" s="38"/>
      <c r="AM1744" s="38"/>
      <c r="AN1744" s="38"/>
      <c r="AO1744" s="38"/>
      <c r="AP1744" s="38"/>
      <c r="AQ1744" s="38"/>
      <c r="AR1744" s="38"/>
      <c r="AS1744" s="38"/>
      <c r="AT1744" s="38"/>
      <c r="AU1744" s="38"/>
      <c r="AV1744" s="38"/>
      <c r="AW1744" s="38"/>
      <c r="AX1744" s="38"/>
      <c r="AY1744" s="38"/>
      <c r="AZ1744" s="38"/>
      <c r="BA1744" s="38"/>
      <c r="BB1744" s="38"/>
      <c r="BC1744" s="38"/>
      <c r="BD1744" s="38"/>
      <c r="BE1744" s="38"/>
      <c r="BF1744" s="38"/>
      <c r="BG1744" s="38"/>
      <c r="BH1744" s="38"/>
      <c r="BI1744" s="38"/>
      <c r="BJ1744" s="38"/>
      <c r="BK1744" s="38"/>
      <c r="BL1744" s="38"/>
      <c r="BM1744" s="38"/>
      <c r="BN1744" s="38"/>
      <c r="BO1744" s="38"/>
      <c r="BP1744" s="38"/>
      <c r="BQ1744" s="38"/>
    </row>
    <row r="1745">
      <c r="A1745" s="58" t="s">
        <v>4854</v>
      </c>
      <c r="B1745" s="59"/>
      <c r="C1745" s="79">
        <v>43344.0</v>
      </c>
      <c r="D1745" s="60"/>
      <c r="E1745" s="58" t="s">
        <v>41</v>
      </c>
      <c r="F1745" s="58">
        <v>1.0</v>
      </c>
      <c r="G1745" s="58" t="s">
        <v>32</v>
      </c>
      <c r="H1745" s="43">
        <v>1.0</v>
      </c>
      <c r="I1745" s="58" t="s">
        <v>33</v>
      </c>
      <c r="J1745" s="58" t="s">
        <v>514</v>
      </c>
      <c r="K1745" s="58"/>
      <c r="L1745" s="58" t="s">
        <v>119</v>
      </c>
      <c r="M1745" s="61" t="s">
        <v>4855</v>
      </c>
      <c r="N1745" s="77"/>
      <c r="O1745" s="88" t="str">
        <f>hyperlink("https://bad-boys.us/?q=WD-AR/5:18-cr-50071", "WD-AR 5:18-cr-50071")</f>
        <v>WD-AR 5:18-cr-50071</v>
      </c>
      <c r="P1745" s="88" t="s">
        <v>4856</v>
      </c>
      <c r="Q1745" s="58">
        <v>1.0</v>
      </c>
      <c r="R1745" s="62"/>
      <c r="S1745" s="37" t="str">
        <f>IFERROR(__xludf.DUMMYFUNCTION("if(not(iserror(index(split(C1745, "" ""),2))), index(split(C1745, "" ""),1),"""")"),"September,")</f>
        <v>September,</v>
      </c>
      <c r="T1745" s="38">
        <f>IFERROR(__xludf.DUMMYFUNCTION("if(S1745="""",C1745,if(not(iserror(index(split(C1745, "" ""),3))), index(split(C1745, "" ""),3),index(split(C1745, "" ""),2)))"),2018.0)</f>
        <v>2018</v>
      </c>
      <c r="U1745" s="38" t="b">
        <f t="shared" si="257"/>
        <v>0</v>
      </c>
      <c r="V1745" s="38" t="s">
        <v>33</v>
      </c>
      <c r="W1745" s="40"/>
      <c r="X1745" s="40"/>
      <c r="Y1745" s="40"/>
      <c r="Z1745" s="38"/>
      <c r="AA1745" s="38"/>
      <c r="AB1745" s="38"/>
      <c r="AC1745" s="38"/>
      <c r="AD1745" s="38"/>
      <c r="AE1745" s="38"/>
      <c r="AF1745" s="38"/>
      <c r="AG1745" s="38"/>
      <c r="AH1745" s="38"/>
      <c r="AI1745" s="38"/>
      <c r="AJ1745" s="38"/>
      <c r="AK1745" s="38"/>
      <c r="AL1745" s="38"/>
      <c r="AM1745" s="38"/>
      <c r="AN1745" s="38"/>
      <c r="AO1745" s="38"/>
      <c r="AP1745" s="38"/>
      <c r="AQ1745" s="38"/>
      <c r="AR1745" s="38"/>
      <c r="AS1745" s="38"/>
      <c r="AT1745" s="38"/>
      <c r="AU1745" s="38"/>
      <c r="AV1745" s="38"/>
      <c r="AW1745" s="38"/>
      <c r="AX1745" s="38"/>
      <c r="AY1745" s="38"/>
      <c r="AZ1745" s="38"/>
      <c r="BA1745" s="38"/>
      <c r="BB1745" s="38"/>
      <c r="BC1745" s="38"/>
      <c r="BD1745" s="38"/>
      <c r="BE1745" s="38"/>
      <c r="BF1745" s="38"/>
      <c r="BG1745" s="38"/>
      <c r="BH1745" s="38"/>
      <c r="BI1745" s="38"/>
      <c r="BJ1745" s="38"/>
      <c r="BK1745" s="38"/>
      <c r="BL1745" s="38"/>
      <c r="BM1745" s="38"/>
      <c r="BN1745" s="38"/>
      <c r="BO1745" s="38"/>
      <c r="BP1745" s="38"/>
      <c r="BQ1745" s="38"/>
    </row>
    <row r="1746">
      <c r="A1746" s="58" t="s">
        <v>4857</v>
      </c>
      <c r="B1746" s="59">
        <v>43363.0</v>
      </c>
      <c r="C1746" s="79">
        <v>43344.0</v>
      </c>
      <c r="D1746" s="60" t="s">
        <v>640</v>
      </c>
      <c r="E1746" s="58" t="s">
        <v>41</v>
      </c>
      <c r="F1746" s="58">
        <v>1.0</v>
      </c>
      <c r="G1746" s="58" t="s">
        <v>32</v>
      </c>
      <c r="H1746" s="50">
        <v>1.0</v>
      </c>
      <c r="I1746" s="58" t="s">
        <v>33</v>
      </c>
      <c r="J1746" s="58" t="s">
        <v>279</v>
      </c>
      <c r="K1746" s="58">
        <v>2.0</v>
      </c>
      <c r="L1746" s="58" t="s">
        <v>99</v>
      </c>
      <c r="M1746" s="61" t="s">
        <v>4858</v>
      </c>
      <c r="N1746" s="77"/>
      <c r="O1746" s="83" t="str">
        <f>hyperlink("https://bad-boys.us/?q=WD-MO/2:18-cr-04100", "WD-MO 2:18-cr-04100")</f>
        <v>WD-MO 2:18-cr-04100</v>
      </c>
      <c r="P1746" s="88" t="s">
        <v>4859</v>
      </c>
      <c r="Q1746" s="58">
        <v>1.0</v>
      </c>
      <c r="R1746" s="62"/>
      <c r="S1746" s="37" t="str">
        <f>IFERROR(__xludf.DUMMYFUNCTION("if(not(iserror(index(split(C1746, "" ""),2))), index(split(C1746, "" ""),1),"""")"),"September,")</f>
        <v>September,</v>
      </c>
      <c r="T1746" s="38">
        <f>IFERROR(__xludf.DUMMYFUNCTION("if(S1746="""",C1746,if(not(iserror(index(split(C1746, "" ""),3))), index(split(C1746, "" ""),3),index(split(C1746, "" ""),2)))"),2018.0)</f>
        <v>2018</v>
      </c>
      <c r="U1746" s="38" t="b">
        <f t="shared" si="257"/>
        <v>0</v>
      </c>
      <c r="V1746" s="38"/>
      <c r="W1746" s="40"/>
      <c r="X1746" s="40"/>
      <c r="Y1746" s="40"/>
      <c r="Z1746" s="38"/>
      <c r="AA1746" s="38"/>
      <c r="AB1746" s="38"/>
      <c r="AC1746" s="38"/>
      <c r="AD1746" s="38"/>
      <c r="AE1746" s="38"/>
      <c r="AF1746" s="38"/>
      <c r="AG1746" s="38"/>
      <c r="AH1746" s="38"/>
      <c r="AI1746" s="38"/>
      <c r="AJ1746" s="38"/>
      <c r="AK1746" s="38"/>
      <c r="AL1746" s="38"/>
      <c r="AM1746" s="38"/>
      <c r="AN1746" s="38"/>
      <c r="AO1746" s="38"/>
      <c r="AP1746" s="38"/>
      <c r="AQ1746" s="38"/>
      <c r="AR1746" s="38"/>
      <c r="AS1746" s="38"/>
      <c r="AT1746" s="38"/>
      <c r="AU1746" s="38"/>
      <c r="AV1746" s="38"/>
      <c r="AW1746" s="38"/>
      <c r="AX1746" s="38"/>
      <c r="AY1746" s="38"/>
      <c r="AZ1746" s="38"/>
      <c r="BA1746" s="38"/>
      <c r="BB1746" s="38"/>
      <c r="BC1746" s="38"/>
      <c r="BD1746" s="38"/>
      <c r="BE1746" s="38"/>
      <c r="BF1746" s="38"/>
      <c r="BG1746" s="38"/>
      <c r="BH1746" s="38"/>
      <c r="BI1746" s="38"/>
      <c r="BJ1746" s="38"/>
      <c r="BK1746" s="38"/>
      <c r="BL1746" s="38"/>
      <c r="BM1746" s="38"/>
      <c r="BN1746" s="38"/>
      <c r="BO1746" s="38"/>
      <c r="BP1746" s="38"/>
      <c r="BQ1746" s="38"/>
    </row>
    <row r="1747">
      <c r="A1747" s="213" t="s">
        <v>4860</v>
      </c>
      <c r="B1747" s="245">
        <v>43370.0</v>
      </c>
      <c r="C1747" s="246">
        <v>43344.0</v>
      </c>
      <c r="D1747" s="247" t="s">
        <v>640</v>
      </c>
      <c r="E1747" s="213" t="s">
        <v>31</v>
      </c>
      <c r="F1747" s="213">
        <v>1.0</v>
      </c>
      <c r="G1747" s="213" t="s">
        <v>32</v>
      </c>
      <c r="H1747" s="33">
        <f>if(G1747="Unknown",1,G1747)</f>
        <v>1</v>
      </c>
      <c r="I1747" s="213" t="s">
        <v>33</v>
      </c>
      <c r="J1747" s="213" t="s">
        <v>433</v>
      </c>
      <c r="K1747" s="213">
        <v>7.0</v>
      </c>
      <c r="L1747" s="213" t="s">
        <v>119</v>
      </c>
      <c r="M1747" s="214" t="s">
        <v>4861</v>
      </c>
      <c r="N1747" s="214" t="s">
        <v>4862</v>
      </c>
      <c r="O1747" s="58"/>
      <c r="P1747" s="58"/>
      <c r="Q1747" s="84"/>
      <c r="R1747" s="62"/>
      <c r="S1747" s="37" t="str">
        <f>IFERROR(__xludf.DUMMYFUNCTION("if(not(iserror(index(split(C1747, "" ""),2))), index(split(C1747, "" ""),1),"""")"),"September,")</f>
        <v>September,</v>
      </c>
      <c r="T1747" s="38">
        <f>IFERROR(__xludf.DUMMYFUNCTION("if(S1747="""",C1747,if(not(iserror(index(split(C1747, "" ""),3))), index(split(C1747, "" ""),3),index(split(C1747, "" ""),2)))"),2018.0)</f>
        <v>2018</v>
      </c>
      <c r="U1747" s="38" t="b">
        <f t="shared" si="257"/>
        <v>0</v>
      </c>
      <c r="V1747" s="38"/>
      <c r="W1747" s="40"/>
      <c r="X1747" s="40"/>
      <c r="Y1747" s="40"/>
      <c r="Z1747" s="38"/>
      <c r="AA1747" s="38"/>
      <c r="AB1747" s="38"/>
      <c r="AC1747" s="38"/>
      <c r="AD1747" s="38"/>
      <c r="AE1747" s="38"/>
      <c r="AF1747" s="38"/>
      <c r="AG1747" s="38"/>
      <c r="AH1747" s="38"/>
      <c r="AI1747" s="38"/>
      <c r="AJ1747" s="38"/>
      <c r="AK1747" s="38"/>
      <c r="AL1747" s="38"/>
      <c r="AM1747" s="38"/>
      <c r="AN1747" s="38"/>
      <c r="AO1747" s="38"/>
      <c r="AP1747" s="38"/>
      <c r="AQ1747" s="38"/>
      <c r="AR1747" s="38"/>
      <c r="AS1747" s="38"/>
      <c r="AT1747" s="38"/>
      <c r="AU1747" s="38"/>
      <c r="AV1747" s="38"/>
      <c r="AW1747" s="38"/>
      <c r="AX1747" s="38"/>
      <c r="AY1747" s="38"/>
      <c r="AZ1747" s="38"/>
      <c r="BA1747" s="38"/>
      <c r="BB1747" s="38"/>
      <c r="BC1747" s="38"/>
      <c r="BD1747" s="38"/>
      <c r="BE1747" s="38"/>
      <c r="BF1747" s="38"/>
      <c r="BG1747" s="38"/>
      <c r="BH1747" s="38"/>
      <c r="BI1747" s="38"/>
      <c r="BJ1747" s="38"/>
      <c r="BK1747" s="38"/>
      <c r="BL1747" s="38"/>
      <c r="BM1747" s="38"/>
      <c r="BN1747" s="38"/>
      <c r="BO1747" s="38"/>
      <c r="BP1747" s="38"/>
      <c r="BQ1747" s="38"/>
    </row>
    <row r="1748">
      <c r="A1748" s="58" t="s">
        <v>4863</v>
      </c>
      <c r="B1748" s="59"/>
      <c r="C1748" s="79">
        <v>43344.0</v>
      </c>
      <c r="D1748" s="60"/>
      <c r="E1748" s="58" t="s">
        <v>41</v>
      </c>
      <c r="F1748" s="58">
        <v>1.0</v>
      </c>
      <c r="G1748" s="58" t="s">
        <v>32</v>
      </c>
      <c r="H1748" s="43">
        <v>1.0</v>
      </c>
      <c r="I1748" s="58" t="s">
        <v>33</v>
      </c>
      <c r="J1748" s="58" t="s">
        <v>147</v>
      </c>
      <c r="K1748" s="58"/>
      <c r="L1748" s="58" t="s">
        <v>99</v>
      </c>
      <c r="M1748" s="61" t="s">
        <v>4864</v>
      </c>
      <c r="N1748" s="80"/>
      <c r="O1748" s="83" t="str">
        <f>hyperlink("https://bad-boys.us/?q=ND-TX/4:18-cr-00130", "ND-TX 4:18-cr-00130")</f>
        <v>ND-TX 4:18-cr-00130</v>
      </c>
      <c r="P1748" s="88" t="s">
        <v>4865</v>
      </c>
      <c r="Q1748" s="58">
        <v>1.0</v>
      </c>
      <c r="R1748" s="62"/>
      <c r="S1748" s="37" t="str">
        <f>IFERROR(__xludf.DUMMYFUNCTION("if(not(iserror(index(split(C1748, "" ""),2))), index(split(C1748, "" ""),1),"""")"),"September,")</f>
        <v>September,</v>
      </c>
      <c r="T1748" s="38">
        <f>IFERROR(__xludf.DUMMYFUNCTION("if(S1748="""",C1748,if(not(iserror(index(split(C1748, "" ""),3))), index(split(C1748, "" ""),3),index(split(C1748, "" ""),2)))"),2018.0)</f>
        <v>2018</v>
      </c>
      <c r="U1748" s="38" t="b">
        <f t="shared" si="257"/>
        <v>0</v>
      </c>
      <c r="V1748" s="38" t="s">
        <v>33</v>
      </c>
      <c r="W1748" s="40"/>
      <c r="X1748" s="40"/>
      <c r="Y1748" s="40"/>
      <c r="Z1748" s="38"/>
      <c r="AA1748" s="38"/>
      <c r="AB1748" s="38"/>
      <c r="AC1748" s="38"/>
      <c r="AD1748" s="38"/>
      <c r="AE1748" s="38"/>
      <c r="AF1748" s="38"/>
      <c r="AG1748" s="38"/>
      <c r="AH1748" s="38"/>
      <c r="AI1748" s="38"/>
      <c r="AJ1748" s="38"/>
      <c r="AK1748" s="38"/>
      <c r="AL1748" s="38"/>
      <c r="AM1748" s="38"/>
      <c r="AN1748" s="38"/>
      <c r="AO1748" s="38"/>
      <c r="AP1748" s="38"/>
      <c r="AQ1748" s="38"/>
      <c r="AR1748" s="38"/>
      <c r="AS1748" s="38"/>
      <c r="AT1748" s="38"/>
      <c r="AU1748" s="38"/>
      <c r="AV1748" s="38"/>
      <c r="AW1748" s="38"/>
      <c r="AX1748" s="38"/>
      <c r="AY1748" s="38"/>
      <c r="AZ1748" s="38"/>
      <c r="BA1748" s="38"/>
      <c r="BB1748" s="38"/>
      <c r="BC1748" s="38"/>
      <c r="BD1748" s="38"/>
      <c r="BE1748" s="38"/>
      <c r="BF1748" s="38"/>
      <c r="BG1748" s="38"/>
      <c r="BH1748" s="38"/>
      <c r="BI1748" s="38"/>
      <c r="BJ1748" s="38"/>
      <c r="BK1748" s="38"/>
      <c r="BL1748" s="38"/>
      <c r="BM1748" s="38"/>
      <c r="BN1748" s="38"/>
      <c r="BO1748" s="38"/>
      <c r="BP1748" s="38"/>
      <c r="BQ1748" s="38"/>
    </row>
    <row r="1749">
      <c r="A1749" s="58" t="s">
        <v>4866</v>
      </c>
      <c r="B1749" s="59"/>
      <c r="C1749" s="79">
        <v>43344.0</v>
      </c>
      <c r="D1749" s="60"/>
      <c r="E1749" s="58" t="s">
        <v>41</v>
      </c>
      <c r="F1749" s="58">
        <v>1.0</v>
      </c>
      <c r="G1749" s="58" t="s">
        <v>32</v>
      </c>
      <c r="H1749" s="43">
        <v>1.0</v>
      </c>
      <c r="I1749" s="58" t="s">
        <v>33</v>
      </c>
      <c r="J1749" s="58" t="s">
        <v>47</v>
      </c>
      <c r="K1749" s="58"/>
      <c r="L1749" s="58" t="s">
        <v>76</v>
      </c>
      <c r="M1749" s="80" t="s">
        <v>4867</v>
      </c>
      <c r="N1749" s="80"/>
      <c r="O1749" s="83" t="str">
        <f>hyperlink("https://bad-boys.us/?q=SD-FL/0:18-cr-60256", "SD-FL 0:18-cr-60256")</f>
        <v>SD-FL 0:18-cr-60256</v>
      </c>
      <c r="P1749" s="88" t="s">
        <v>4868</v>
      </c>
      <c r="Q1749" s="58">
        <v>1.0</v>
      </c>
      <c r="R1749" s="62"/>
      <c r="S1749" s="37"/>
      <c r="T1749" s="38"/>
      <c r="U1749" s="38" t="b">
        <f t="shared" si="257"/>
        <v>0</v>
      </c>
      <c r="V1749" s="38" t="s">
        <v>33</v>
      </c>
      <c r="W1749" s="40"/>
      <c r="X1749" s="40"/>
      <c r="Y1749" s="40"/>
      <c r="Z1749" s="38"/>
      <c r="AA1749" s="38"/>
      <c r="AB1749" s="38"/>
      <c r="AC1749" s="38"/>
      <c r="AD1749" s="38"/>
      <c r="AE1749" s="38"/>
      <c r="AF1749" s="38"/>
      <c r="AG1749" s="38"/>
      <c r="AH1749" s="38"/>
      <c r="AI1749" s="38"/>
      <c r="AJ1749" s="38"/>
      <c r="AK1749" s="38"/>
      <c r="AL1749" s="38"/>
      <c r="AM1749" s="38"/>
      <c r="AN1749" s="38"/>
      <c r="AO1749" s="38"/>
      <c r="AP1749" s="38"/>
      <c r="AQ1749" s="38"/>
      <c r="AR1749" s="38"/>
      <c r="AS1749" s="38"/>
      <c r="AT1749" s="38"/>
      <c r="AU1749" s="38"/>
      <c r="AV1749" s="38"/>
      <c r="AW1749" s="38"/>
      <c r="AX1749" s="38"/>
      <c r="AY1749" s="38"/>
      <c r="AZ1749" s="38"/>
      <c r="BA1749" s="38"/>
      <c r="BB1749" s="38"/>
      <c r="BC1749" s="38"/>
      <c r="BD1749" s="38"/>
      <c r="BE1749" s="38"/>
      <c r="BF1749" s="38"/>
      <c r="BG1749" s="38"/>
      <c r="BH1749" s="38"/>
      <c r="BI1749" s="38"/>
      <c r="BJ1749" s="38"/>
      <c r="BK1749" s="38"/>
      <c r="BL1749" s="38"/>
      <c r="BM1749" s="38"/>
      <c r="BN1749" s="38"/>
      <c r="BO1749" s="38"/>
      <c r="BP1749" s="38"/>
      <c r="BQ1749" s="38"/>
    </row>
    <row r="1750">
      <c r="A1750" s="58" t="s">
        <v>660</v>
      </c>
      <c r="B1750" s="59">
        <v>43371.0</v>
      </c>
      <c r="C1750" s="79">
        <v>43344.0</v>
      </c>
      <c r="D1750" s="60" t="s">
        <v>640</v>
      </c>
      <c r="E1750" s="58" t="s">
        <v>31</v>
      </c>
      <c r="F1750" s="58">
        <v>14.0</v>
      </c>
      <c r="G1750" s="58" t="s">
        <v>32</v>
      </c>
      <c r="H1750" s="33">
        <f t="shared" ref="H1750:H1751" si="258">if(G1750="Unknown",1,G1750)</f>
        <v>1</v>
      </c>
      <c r="I1750" s="58" t="s">
        <v>33</v>
      </c>
      <c r="J1750" s="58" t="s">
        <v>147</v>
      </c>
      <c r="K1750" s="58">
        <v>1.0</v>
      </c>
      <c r="L1750" s="58" t="s">
        <v>4869</v>
      </c>
      <c r="M1750" s="61" t="s">
        <v>4870</v>
      </c>
      <c r="N1750" s="80"/>
      <c r="O1750" s="62"/>
      <c r="P1750" s="62"/>
      <c r="Q1750" s="62"/>
      <c r="R1750" s="62"/>
      <c r="S1750" s="37" t="str">
        <f>IFERROR(__xludf.DUMMYFUNCTION("if(not(iserror(index(split(C1750, "" ""),2))), index(split(C1750, "" ""),1),"""")"),"September,")</f>
        <v>September,</v>
      </c>
      <c r="T1750" s="38">
        <f>IFERROR(__xludf.DUMMYFUNCTION("if(S1750="""",C1750,if(not(iserror(index(split(C1750, "" ""),3))), index(split(C1750, "" ""),3),index(split(C1750, "" ""),2)))"),2018.0)</f>
        <v>2018</v>
      </c>
      <c r="U1750" s="38" t="b">
        <f t="shared" si="257"/>
        <v>1</v>
      </c>
      <c r="V1750" s="38"/>
      <c r="W1750" s="40"/>
      <c r="X1750" s="40"/>
      <c r="Y1750" s="40"/>
      <c r="Z1750" s="38"/>
      <c r="AA1750" s="38"/>
      <c r="AB1750" s="38"/>
      <c r="AC1750" s="38"/>
      <c r="AD1750" s="38"/>
      <c r="AE1750" s="38"/>
      <c r="AF1750" s="38"/>
      <c r="AG1750" s="38"/>
      <c r="AH1750" s="38"/>
      <c r="AI1750" s="38"/>
      <c r="AJ1750" s="38"/>
      <c r="AK1750" s="38"/>
      <c r="AL1750" s="38"/>
      <c r="AM1750" s="38"/>
      <c r="AN1750" s="38"/>
      <c r="AO1750" s="38"/>
      <c r="AP1750" s="38"/>
      <c r="AQ1750" s="38"/>
      <c r="AR1750" s="38"/>
      <c r="AS1750" s="38"/>
      <c r="AT1750" s="38"/>
      <c r="AU1750" s="38"/>
      <c r="AV1750" s="38"/>
      <c r="AW1750" s="38"/>
      <c r="AX1750" s="38"/>
      <c r="AY1750" s="38"/>
      <c r="AZ1750" s="38"/>
      <c r="BA1750" s="38"/>
      <c r="BB1750" s="38"/>
      <c r="BC1750" s="38"/>
      <c r="BD1750" s="38"/>
      <c r="BE1750" s="38"/>
      <c r="BF1750" s="38"/>
      <c r="BG1750" s="38"/>
      <c r="BH1750" s="38"/>
      <c r="BI1750" s="38"/>
      <c r="BJ1750" s="38"/>
      <c r="BK1750" s="38"/>
      <c r="BL1750" s="38"/>
      <c r="BM1750" s="38"/>
      <c r="BN1750" s="38"/>
      <c r="BO1750" s="38"/>
      <c r="BP1750" s="38"/>
      <c r="BQ1750" s="38"/>
    </row>
    <row r="1751">
      <c r="A1751" s="58" t="s">
        <v>239</v>
      </c>
      <c r="B1751" s="59">
        <v>43371.0</v>
      </c>
      <c r="C1751" s="79">
        <v>43344.0</v>
      </c>
      <c r="D1751" s="60" t="s">
        <v>640</v>
      </c>
      <c r="E1751" s="58" t="s">
        <v>41</v>
      </c>
      <c r="F1751" s="58">
        <v>1.0</v>
      </c>
      <c r="G1751" s="58" t="s">
        <v>32</v>
      </c>
      <c r="H1751" s="33">
        <f t="shared" si="258"/>
        <v>1</v>
      </c>
      <c r="I1751" s="58" t="s">
        <v>33</v>
      </c>
      <c r="J1751" s="58" t="s">
        <v>147</v>
      </c>
      <c r="K1751" s="58" t="s">
        <v>32</v>
      </c>
      <c r="L1751" s="58" t="s">
        <v>194</v>
      </c>
      <c r="M1751" s="61" t="s">
        <v>4871</v>
      </c>
      <c r="N1751" s="77"/>
      <c r="O1751" s="62"/>
      <c r="P1751" s="62"/>
      <c r="Q1751" s="62"/>
      <c r="R1751" s="62"/>
      <c r="S1751" s="37" t="str">
        <f>IFERROR(__xludf.DUMMYFUNCTION("if(not(iserror(index(split(C1751, "" ""),2))), index(split(C1751, "" ""),1),"""")"),"September,")</f>
        <v>September,</v>
      </c>
      <c r="T1751" s="38">
        <f>IFERROR(__xludf.DUMMYFUNCTION("if(S1751="""",C1751,if(not(iserror(index(split(C1751, "" ""),3))), index(split(C1751, "" ""),3),index(split(C1751, "" ""),2)))"),2018.0)</f>
        <v>2018</v>
      </c>
      <c r="U1751" s="38" t="b">
        <f t="shared" si="257"/>
        <v>1</v>
      </c>
      <c r="V1751" s="38"/>
      <c r="W1751" s="40"/>
      <c r="X1751" s="40"/>
      <c r="Y1751" s="40"/>
      <c r="Z1751" s="38"/>
      <c r="AA1751" s="38"/>
      <c r="AB1751" s="38"/>
      <c r="AC1751" s="38"/>
      <c r="AD1751" s="38"/>
      <c r="AE1751" s="38"/>
      <c r="AF1751" s="38"/>
      <c r="AG1751" s="38"/>
      <c r="AH1751" s="38"/>
      <c r="AI1751" s="38"/>
      <c r="AJ1751" s="38"/>
      <c r="AK1751" s="38"/>
      <c r="AL1751" s="38"/>
      <c r="AM1751" s="38"/>
      <c r="AN1751" s="38"/>
      <c r="AO1751" s="38"/>
      <c r="AP1751" s="38"/>
      <c r="AQ1751" s="38"/>
      <c r="AR1751" s="38"/>
      <c r="AS1751" s="38"/>
      <c r="AT1751" s="38"/>
      <c r="AU1751" s="38"/>
      <c r="AV1751" s="38"/>
      <c r="AW1751" s="38"/>
      <c r="AX1751" s="38"/>
      <c r="AY1751" s="38"/>
      <c r="AZ1751" s="38"/>
      <c r="BA1751" s="38"/>
      <c r="BB1751" s="38"/>
      <c r="BC1751" s="38"/>
      <c r="BD1751" s="38"/>
      <c r="BE1751" s="38"/>
      <c r="BF1751" s="38"/>
      <c r="BG1751" s="38"/>
      <c r="BH1751" s="38"/>
      <c r="BI1751" s="38"/>
      <c r="BJ1751" s="38"/>
      <c r="BK1751" s="38"/>
      <c r="BL1751" s="38"/>
      <c r="BM1751" s="38"/>
      <c r="BN1751" s="38"/>
      <c r="BO1751" s="38"/>
      <c r="BP1751" s="38"/>
      <c r="BQ1751" s="38"/>
    </row>
    <row r="1752">
      <c r="A1752" s="58" t="s">
        <v>4872</v>
      </c>
      <c r="B1752" s="59"/>
      <c r="C1752" s="79">
        <v>43344.0</v>
      </c>
      <c r="D1752" s="60"/>
      <c r="E1752" s="58" t="s">
        <v>41</v>
      </c>
      <c r="F1752" s="58">
        <v>1.0</v>
      </c>
      <c r="G1752" s="58" t="s">
        <v>32</v>
      </c>
      <c r="H1752" s="43">
        <v>1.0</v>
      </c>
      <c r="I1752" s="58" t="s">
        <v>33</v>
      </c>
      <c r="J1752" s="58" t="s">
        <v>93</v>
      </c>
      <c r="K1752" s="58"/>
      <c r="L1752" s="58" t="s">
        <v>119</v>
      </c>
      <c r="M1752" s="61" t="s">
        <v>4873</v>
      </c>
      <c r="N1752" s="77"/>
      <c r="O1752" s="62"/>
      <c r="P1752" s="62"/>
      <c r="Q1752" s="84"/>
      <c r="R1752" s="62"/>
      <c r="S1752" s="37" t="str">
        <f>IFERROR(__xludf.DUMMYFUNCTION("if(not(iserror(index(split(C1752, "" ""),2))), index(split(C1752, "" ""),1),"""")"),"September,")</f>
        <v>September,</v>
      </c>
      <c r="T1752" s="38">
        <f>IFERROR(__xludf.DUMMYFUNCTION("if(S1752="""",C1752,if(not(iserror(index(split(C1752, "" ""),3))), index(split(C1752, "" ""),3),index(split(C1752, "" ""),2)))"),2018.0)</f>
        <v>2018</v>
      </c>
      <c r="U1752" s="38" t="b">
        <f t="shared" si="257"/>
        <v>0</v>
      </c>
      <c r="V1752" s="38" t="s">
        <v>33</v>
      </c>
      <c r="W1752" s="40"/>
      <c r="X1752" s="40"/>
      <c r="Y1752" s="40"/>
      <c r="Z1752" s="38"/>
      <c r="AA1752" s="38"/>
      <c r="AB1752" s="38"/>
      <c r="AC1752" s="38"/>
      <c r="AD1752" s="38"/>
      <c r="AE1752" s="38"/>
      <c r="AF1752" s="38"/>
      <c r="AG1752" s="38"/>
      <c r="AH1752" s="38"/>
      <c r="AI1752" s="38"/>
      <c r="AJ1752" s="38"/>
      <c r="AK1752" s="38"/>
      <c r="AL1752" s="38"/>
      <c r="AM1752" s="38"/>
      <c r="AN1752" s="38"/>
      <c r="AO1752" s="38"/>
      <c r="AP1752" s="38"/>
      <c r="AQ1752" s="38"/>
      <c r="AR1752" s="38"/>
      <c r="AS1752" s="38"/>
      <c r="AT1752" s="38"/>
      <c r="AU1752" s="38"/>
      <c r="AV1752" s="38"/>
      <c r="AW1752" s="38"/>
      <c r="AX1752" s="38"/>
      <c r="AY1752" s="38"/>
      <c r="AZ1752" s="38"/>
      <c r="BA1752" s="38"/>
      <c r="BB1752" s="38"/>
      <c r="BC1752" s="38"/>
      <c r="BD1752" s="38"/>
      <c r="BE1752" s="38"/>
      <c r="BF1752" s="38"/>
      <c r="BG1752" s="38"/>
      <c r="BH1752" s="38"/>
      <c r="BI1752" s="38"/>
      <c r="BJ1752" s="38"/>
      <c r="BK1752" s="38"/>
      <c r="BL1752" s="38"/>
      <c r="BM1752" s="38"/>
      <c r="BN1752" s="38"/>
      <c r="BO1752" s="38"/>
      <c r="BP1752" s="38"/>
      <c r="BQ1752" s="38"/>
    </row>
    <row r="1753">
      <c r="A1753" s="58" t="s">
        <v>4874</v>
      </c>
      <c r="B1753" s="59">
        <v>43384.0</v>
      </c>
      <c r="C1753" s="79">
        <v>43344.0</v>
      </c>
      <c r="D1753" s="60" t="s">
        <v>640</v>
      </c>
      <c r="E1753" s="58" t="s">
        <v>41</v>
      </c>
      <c r="F1753" s="58">
        <v>1.0</v>
      </c>
      <c r="G1753" s="58" t="s">
        <v>32</v>
      </c>
      <c r="H1753" s="50">
        <v>1.0</v>
      </c>
      <c r="I1753" s="58" t="s">
        <v>33</v>
      </c>
      <c r="J1753" s="58" t="s">
        <v>343</v>
      </c>
      <c r="K1753" s="58">
        <v>3.0</v>
      </c>
      <c r="L1753" s="58" t="s">
        <v>119</v>
      </c>
      <c r="M1753" s="120" t="s">
        <v>4875</v>
      </c>
      <c r="N1753" s="77"/>
      <c r="O1753" s="83" t="str">
        <f>hyperlink("https://bad-boys.us/?q=ND-WV/5:18-cr-00038", "ND-WV 5:18-cr-00038")</f>
        <v>ND-WV 5:18-cr-00038</v>
      </c>
      <c r="P1753" s="88" t="s">
        <v>4876</v>
      </c>
      <c r="Q1753" s="58">
        <v>1.0</v>
      </c>
      <c r="R1753" s="62"/>
      <c r="S1753" s="37" t="str">
        <f>IFERROR(__xludf.DUMMYFUNCTION("if(not(iserror(index(split(C1753, "" ""),2))), index(split(C1753, "" ""),1),"""")"),"September,")</f>
        <v>September,</v>
      </c>
      <c r="T1753" s="38">
        <f>IFERROR(__xludf.DUMMYFUNCTION("if(S1753="""",C1753,if(not(iserror(index(split(C1753, "" ""),3))), index(split(C1753, "" ""),3),index(split(C1753, "" ""),2)))"),2018.0)</f>
        <v>2018</v>
      </c>
      <c r="U1753" s="38" t="b">
        <f t="shared" si="257"/>
        <v>0</v>
      </c>
      <c r="V1753" s="38"/>
      <c r="W1753" s="40"/>
      <c r="X1753" s="40"/>
      <c r="Y1753" s="40"/>
      <c r="Z1753" s="38"/>
      <c r="AA1753" s="38"/>
      <c r="AB1753" s="38"/>
      <c r="AC1753" s="38"/>
      <c r="AD1753" s="38"/>
      <c r="AE1753" s="38"/>
      <c r="AF1753" s="38"/>
      <c r="AG1753" s="38"/>
      <c r="AH1753" s="38"/>
      <c r="AI1753" s="38"/>
      <c r="AJ1753" s="38"/>
      <c r="AK1753" s="38"/>
      <c r="AL1753" s="38"/>
      <c r="AM1753" s="38"/>
      <c r="AN1753" s="38"/>
      <c r="AO1753" s="38"/>
      <c r="AP1753" s="38"/>
      <c r="AQ1753" s="38"/>
      <c r="AR1753" s="38"/>
      <c r="AS1753" s="38"/>
      <c r="AT1753" s="38"/>
      <c r="AU1753" s="38"/>
      <c r="AV1753" s="38"/>
      <c r="AW1753" s="38"/>
      <c r="AX1753" s="38"/>
      <c r="AY1753" s="38"/>
      <c r="AZ1753" s="38"/>
      <c r="BA1753" s="38"/>
      <c r="BB1753" s="38"/>
      <c r="BC1753" s="38"/>
      <c r="BD1753" s="38"/>
      <c r="BE1753" s="38"/>
      <c r="BF1753" s="38"/>
      <c r="BG1753" s="38"/>
      <c r="BH1753" s="38"/>
      <c r="BI1753" s="38"/>
      <c r="BJ1753" s="38"/>
      <c r="BK1753" s="38"/>
      <c r="BL1753" s="38"/>
      <c r="BM1753" s="38"/>
      <c r="BN1753" s="38"/>
      <c r="BO1753" s="38"/>
      <c r="BP1753" s="38"/>
      <c r="BQ1753" s="38"/>
    </row>
    <row r="1754">
      <c r="A1754" s="207" t="s">
        <v>4877</v>
      </c>
      <c r="B1754" s="59"/>
      <c r="C1754" s="79">
        <v>43344.0</v>
      </c>
      <c r="D1754" s="60"/>
      <c r="E1754" s="58" t="s">
        <v>41</v>
      </c>
      <c r="F1754" s="58">
        <v>1.0</v>
      </c>
      <c r="G1754" s="58" t="s">
        <v>32</v>
      </c>
      <c r="H1754" s="43">
        <v>1.0</v>
      </c>
      <c r="I1754" s="58" t="s">
        <v>33</v>
      </c>
      <c r="J1754" s="58" t="s">
        <v>115</v>
      </c>
      <c r="K1754" s="58"/>
      <c r="L1754" s="58" t="s">
        <v>69</v>
      </c>
      <c r="M1754" s="61" t="s">
        <v>4878</v>
      </c>
      <c r="N1754" s="77"/>
      <c r="O1754" s="83" t="str">
        <f>hyperlink("https://bad-boys.us/?q=MD-PA/1:18-cr-00343", "MD-PA 1:18-cr-00343")</f>
        <v>MD-PA 1:18-cr-00343</v>
      </c>
      <c r="P1754" s="58"/>
      <c r="Q1754" s="58">
        <v>1.0</v>
      </c>
      <c r="R1754" s="62"/>
      <c r="S1754" s="37"/>
      <c r="T1754" s="38"/>
      <c r="U1754" s="38" t="b">
        <f t="shared" si="257"/>
        <v>0</v>
      </c>
      <c r="V1754" s="38" t="s">
        <v>33</v>
      </c>
      <c r="W1754" s="40"/>
      <c r="X1754" s="40"/>
      <c r="Y1754" s="40"/>
      <c r="Z1754" s="38"/>
      <c r="AA1754" s="38"/>
      <c r="AB1754" s="38"/>
      <c r="AC1754" s="38"/>
      <c r="AD1754" s="38"/>
      <c r="AE1754" s="38"/>
      <c r="AF1754" s="38"/>
      <c r="AG1754" s="38"/>
      <c r="AH1754" s="38"/>
      <c r="AI1754" s="38"/>
      <c r="AJ1754" s="38"/>
      <c r="AK1754" s="38"/>
      <c r="AL1754" s="38"/>
      <c r="AM1754" s="38"/>
      <c r="AN1754" s="38"/>
      <c r="AO1754" s="38"/>
      <c r="AP1754" s="38"/>
      <c r="AQ1754" s="38"/>
      <c r="AR1754" s="38"/>
      <c r="AS1754" s="38"/>
      <c r="AT1754" s="38"/>
      <c r="AU1754" s="38"/>
      <c r="AV1754" s="38"/>
      <c r="AW1754" s="38"/>
      <c r="AX1754" s="38"/>
      <c r="AY1754" s="38"/>
      <c r="AZ1754" s="38"/>
      <c r="BA1754" s="38"/>
      <c r="BB1754" s="38"/>
      <c r="BC1754" s="38"/>
      <c r="BD1754" s="38"/>
      <c r="BE1754" s="38"/>
      <c r="BF1754" s="38"/>
      <c r="BG1754" s="38"/>
      <c r="BH1754" s="38"/>
      <c r="BI1754" s="38"/>
      <c r="BJ1754" s="38"/>
      <c r="BK1754" s="38"/>
      <c r="BL1754" s="38"/>
      <c r="BM1754" s="38"/>
      <c r="BN1754" s="38"/>
      <c r="BO1754" s="38"/>
      <c r="BP1754" s="38"/>
      <c r="BQ1754" s="38"/>
    </row>
    <row r="1755">
      <c r="A1755" s="207" t="s">
        <v>4879</v>
      </c>
      <c r="B1755" s="59">
        <v>43375.0</v>
      </c>
      <c r="C1755" s="79">
        <v>43344.0</v>
      </c>
      <c r="D1755" s="60" t="s">
        <v>640</v>
      </c>
      <c r="E1755" s="58" t="s">
        <v>41</v>
      </c>
      <c r="F1755" s="58">
        <v>1.0</v>
      </c>
      <c r="G1755" s="58" t="s">
        <v>32</v>
      </c>
      <c r="H1755" s="33">
        <f>if(G1755="Unknown",1,G1755)</f>
        <v>1</v>
      </c>
      <c r="I1755" s="58" t="s">
        <v>33</v>
      </c>
      <c r="J1755" s="58" t="s">
        <v>179</v>
      </c>
      <c r="K1755" s="58">
        <v>1.0</v>
      </c>
      <c r="L1755" s="58" t="s">
        <v>119</v>
      </c>
      <c r="M1755" s="61" t="s">
        <v>4880</v>
      </c>
      <c r="N1755" s="77"/>
      <c r="O1755" s="62"/>
      <c r="P1755" s="58"/>
      <c r="Q1755" s="58"/>
      <c r="R1755" s="62"/>
      <c r="S1755" s="37" t="str">
        <f>IFERROR(__xludf.DUMMYFUNCTION("if(not(iserror(index(split(C1755, "" ""),2))), index(split(C1755, "" ""),1),"""")"),"September,")</f>
        <v>September,</v>
      </c>
      <c r="T1755" s="38">
        <f>IFERROR(__xludf.DUMMYFUNCTION("if(S1755="""",C1755,if(not(iserror(index(split(C1755, "" ""),3))), index(split(C1755, "" ""),3),index(split(C1755, "" ""),2)))"),2018.0)</f>
        <v>2018</v>
      </c>
      <c r="U1755" s="38" t="b">
        <f t="shared" si="257"/>
        <v>0</v>
      </c>
      <c r="V1755" s="38"/>
      <c r="W1755" s="40"/>
      <c r="X1755" s="40"/>
      <c r="Y1755" s="40"/>
      <c r="Z1755" s="38"/>
      <c r="AA1755" s="38"/>
      <c r="AB1755" s="38"/>
      <c r="AC1755" s="38"/>
      <c r="AD1755" s="38"/>
      <c r="AE1755" s="38"/>
      <c r="AF1755" s="38"/>
      <c r="AG1755" s="38"/>
      <c r="AH1755" s="38"/>
      <c r="AI1755" s="38"/>
      <c r="AJ1755" s="38"/>
      <c r="AK1755" s="38"/>
      <c r="AL1755" s="38"/>
      <c r="AM1755" s="38"/>
      <c r="AN1755" s="38"/>
      <c r="AO1755" s="38"/>
      <c r="AP1755" s="38"/>
      <c r="AQ1755" s="38"/>
      <c r="AR1755" s="38"/>
      <c r="AS1755" s="38"/>
      <c r="AT1755" s="38"/>
      <c r="AU1755" s="38"/>
      <c r="AV1755" s="38"/>
      <c r="AW1755" s="38"/>
      <c r="AX1755" s="38"/>
      <c r="AY1755" s="38"/>
      <c r="AZ1755" s="38"/>
      <c r="BA1755" s="38"/>
      <c r="BB1755" s="38"/>
      <c r="BC1755" s="38"/>
      <c r="BD1755" s="38"/>
      <c r="BE1755" s="38"/>
      <c r="BF1755" s="38"/>
      <c r="BG1755" s="38"/>
      <c r="BH1755" s="38"/>
      <c r="BI1755" s="38"/>
      <c r="BJ1755" s="38"/>
      <c r="BK1755" s="38"/>
      <c r="BL1755" s="38"/>
      <c r="BM1755" s="38"/>
      <c r="BN1755" s="38"/>
      <c r="BO1755" s="38"/>
      <c r="BP1755" s="38"/>
      <c r="BQ1755" s="38"/>
    </row>
    <row r="1756">
      <c r="A1756" s="78" t="s">
        <v>4881</v>
      </c>
      <c r="B1756" s="248"/>
      <c r="C1756" s="100">
        <v>43344.0</v>
      </c>
      <c r="E1756" s="78" t="s">
        <v>41</v>
      </c>
      <c r="F1756" s="37">
        <v>1.0</v>
      </c>
      <c r="G1756" s="78" t="s">
        <v>32</v>
      </c>
      <c r="H1756" s="200">
        <v>1.0</v>
      </c>
      <c r="I1756" s="78" t="s">
        <v>33</v>
      </c>
      <c r="J1756" s="78" t="s">
        <v>144</v>
      </c>
      <c r="L1756" s="78" t="s">
        <v>76</v>
      </c>
      <c r="M1756" s="46" t="s">
        <v>4882</v>
      </c>
      <c r="N1756" s="102"/>
      <c r="P1756" s="78"/>
      <c r="Q1756" s="37"/>
      <c r="S1756" s="37" t="str">
        <f>IFERROR(__xludf.DUMMYFUNCTION("if(not(iserror(index(split(C1756, "" ""),2))), index(split(C1756, "" ""),1),"""")"),"September,")</f>
        <v>September,</v>
      </c>
      <c r="T1756" s="38">
        <f>IFERROR(__xludf.DUMMYFUNCTION("if(S1756="""",C1756,if(not(iserror(index(split(C1756, "" ""),3))), index(split(C1756, "" ""),3),index(split(C1756, "" ""),2)))"),2018.0)</f>
        <v>2018</v>
      </c>
      <c r="U1756" s="38" t="b">
        <f t="shared" si="257"/>
        <v>0</v>
      </c>
      <c r="V1756" s="78" t="s">
        <v>33</v>
      </c>
      <c r="W1756" s="102"/>
      <c r="X1756" s="102"/>
      <c r="Y1756" s="102"/>
    </row>
    <row r="1757">
      <c r="A1757" s="58" t="s">
        <v>4883</v>
      </c>
      <c r="B1757" s="59">
        <v>43413.0</v>
      </c>
      <c r="C1757" s="79">
        <v>43344.0</v>
      </c>
      <c r="D1757" s="60" t="s">
        <v>640</v>
      </c>
      <c r="E1757" s="58" t="s">
        <v>41</v>
      </c>
      <c r="F1757" s="58">
        <v>1.0</v>
      </c>
      <c r="G1757" s="58" t="s">
        <v>32</v>
      </c>
      <c r="H1757" s="50">
        <v>1.0</v>
      </c>
      <c r="I1757" s="58" t="s">
        <v>33</v>
      </c>
      <c r="J1757" s="58" t="s">
        <v>268</v>
      </c>
      <c r="K1757" s="58">
        <v>1.0</v>
      </c>
      <c r="L1757" s="58" t="s">
        <v>119</v>
      </c>
      <c r="M1757" s="61" t="s">
        <v>4884</v>
      </c>
      <c r="N1757" s="80"/>
      <c r="O1757" s="88" t="str">
        <f>hyperlink("https://bad-boys.us/?q=ND-OK/4:18-cr-00184", "ND-OK 4:18-cr-00184")</f>
        <v>ND-OK 4:18-cr-00184</v>
      </c>
      <c r="P1757" s="58"/>
      <c r="Q1757" s="58">
        <v>1.0</v>
      </c>
      <c r="R1757" s="62"/>
      <c r="S1757" s="37" t="str">
        <f>IFERROR(__xludf.DUMMYFUNCTION("if(not(iserror(index(split(C1757, "" ""),2))), index(split(C1757, "" ""),1),"""")"),"September,")</f>
        <v>September,</v>
      </c>
      <c r="T1757" s="38">
        <f>IFERROR(__xludf.DUMMYFUNCTION("if(S1757="""",C1757,if(not(iserror(index(split(C1757, "" ""),3))), index(split(C1757, "" ""),3),index(split(C1757, "" ""),2)))"),2018.0)</f>
        <v>2018</v>
      </c>
      <c r="U1757" s="38" t="b">
        <f t="shared" si="257"/>
        <v>0</v>
      </c>
      <c r="V1757" s="38"/>
      <c r="W1757" s="40"/>
      <c r="X1757" s="40"/>
      <c r="Y1757" s="40"/>
      <c r="Z1757" s="38"/>
      <c r="AA1757" s="38"/>
      <c r="AB1757" s="38"/>
      <c r="AC1757" s="38"/>
      <c r="AD1757" s="38"/>
      <c r="AE1757" s="38"/>
      <c r="AF1757" s="38"/>
      <c r="AG1757" s="38"/>
      <c r="AH1757" s="38"/>
      <c r="AI1757" s="38"/>
      <c r="AJ1757" s="38"/>
      <c r="AK1757" s="38"/>
      <c r="AL1757" s="38"/>
      <c r="AM1757" s="38"/>
      <c r="AN1757" s="38"/>
      <c r="AO1757" s="38"/>
      <c r="AP1757" s="38"/>
      <c r="AQ1757" s="38"/>
      <c r="AR1757" s="38"/>
      <c r="AS1757" s="38"/>
      <c r="AT1757" s="38"/>
      <c r="AU1757" s="38"/>
      <c r="AV1757" s="38"/>
      <c r="AW1757" s="38"/>
      <c r="AX1757" s="38"/>
      <c r="AY1757" s="38"/>
      <c r="AZ1757" s="38"/>
      <c r="BA1757" s="38"/>
      <c r="BB1757" s="38"/>
      <c r="BC1757" s="38"/>
      <c r="BD1757" s="38"/>
      <c r="BE1757" s="38"/>
      <c r="BF1757" s="38"/>
      <c r="BG1757" s="38"/>
      <c r="BH1757" s="38"/>
      <c r="BI1757" s="38"/>
      <c r="BJ1757" s="38"/>
      <c r="BK1757" s="38"/>
      <c r="BL1757" s="38"/>
      <c r="BM1757" s="38"/>
      <c r="BN1757" s="38"/>
      <c r="BO1757" s="38"/>
      <c r="BP1757" s="38"/>
      <c r="BQ1757" s="38"/>
    </row>
    <row r="1758">
      <c r="A1758" s="58" t="s">
        <v>4885</v>
      </c>
      <c r="B1758" s="59">
        <v>43417.0</v>
      </c>
      <c r="C1758" s="79">
        <v>43344.0</v>
      </c>
      <c r="D1758" s="60" t="s">
        <v>4886</v>
      </c>
      <c r="E1758" s="58" t="s">
        <v>41</v>
      </c>
      <c r="F1758" s="58">
        <v>1.0</v>
      </c>
      <c r="G1758" s="58" t="s">
        <v>32</v>
      </c>
      <c r="H1758" s="33">
        <f t="shared" ref="H1758:H1760" si="259">if(G1758="Unknown",1,G1758)</f>
        <v>1</v>
      </c>
      <c r="I1758" s="58" t="s">
        <v>33</v>
      </c>
      <c r="J1758" s="58" t="s">
        <v>68</v>
      </c>
      <c r="K1758" s="58">
        <v>2.0</v>
      </c>
      <c r="L1758" s="58" t="s">
        <v>69</v>
      </c>
      <c r="M1758" s="61" t="s">
        <v>4887</v>
      </c>
      <c r="N1758" s="80"/>
      <c r="O1758" s="58"/>
      <c r="P1758" s="58"/>
      <c r="Q1758" s="58"/>
      <c r="R1758" s="62"/>
      <c r="S1758" s="37" t="str">
        <f>IFERROR(__xludf.DUMMYFUNCTION("if(not(iserror(index(split(C1758, "" ""),2))), index(split(C1758, "" ""),1),"""")"),"September,")</f>
        <v>September,</v>
      </c>
      <c r="T1758" s="38">
        <f>IFERROR(__xludf.DUMMYFUNCTION("if(S1758="""",C1758,if(not(iserror(index(split(C1758, "" ""),3))), index(split(C1758, "" ""),3),index(split(C1758, "" ""),2)))"),2018.0)</f>
        <v>2018</v>
      </c>
      <c r="U1758" s="38" t="b">
        <f t="shared" si="257"/>
        <v>0</v>
      </c>
      <c r="V1758" s="38"/>
      <c r="W1758" s="40"/>
      <c r="X1758" s="40"/>
      <c r="Y1758" s="40"/>
      <c r="Z1758" s="38"/>
      <c r="AA1758" s="38"/>
      <c r="AB1758" s="38"/>
      <c r="AC1758" s="38"/>
      <c r="AD1758" s="38"/>
      <c r="AE1758" s="38"/>
      <c r="AF1758" s="38"/>
      <c r="AG1758" s="38"/>
      <c r="AH1758" s="38"/>
      <c r="AI1758" s="38"/>
      <c r="AJ1758" s="38"/>
      <c r="AK1758" s="38"/>
      <c r="AL1758" s="38"/>
      <c r="AM1758" s="38"/>
      <c r="AN1758" s="38"/>
      <c r="AO1758" s="38"/>
      <c r="AP1758" s="38"/>
      <c r="AQ1758" s="38"/>
      <c r="AR1758" s="38"/>
      <c r="AS1758" s="38"/>
      <c r="AT1758" s="38"/>
      <c r="AU1758" s="38"/>
      <c r="AV1758" s="38"/>
      <c r="AW1758" s="38"/>
      <c r="AX1758" s="38"/>
      <c r="AY1758" s="38"/>
      <c r="AZ1758" s="38"/>
      <c r="BA1758" s="38"/>
      <c r="BB1758" s="38"/>
      <c r="BC1758" s="38"/>
      <c r="BD1758" s="38"/>
      <c r="BE1758" s="38"/>
      <c r="BF1758" s="38"/>
      <c r="BG1758" s="38"/>
      <c r="BH1758" s="38"/>
      <c r="BI1758" s="38"/>
      <c r="BJ1758" s="38"/>
      <c r="BK1758" s="38"/>
      <c r="BL1758" s="38"/>
      <c r="BM1758" s="38"/>
      <c r="BN1758" s="38"/>
      <c r="BO1758" s="38"/>
      <c r="BP1758" s="38"/>
      <c r="BQ1758" s="38"/>
    </row>
    <row r="1759">
      <c r="A1759" s="58" t="s">
        <v>4888</v>
      </c>
      <c r="B1759" s="59">
        <v>43369.0</v>
      </c>
      <c r="C1759" s="59">
        <v>43344.0</v>
      </c>
      <c r="D1759" s="60" t="s">
        <v>640</v>
      </c>
      <c r="E1759" s="58" t="s">
        <v>41</v>
      </c>
      <c r="F1759" s="58">
        <v>1.0</v>
      </c>
      <c r="G1759" s="58" t="s">
        <v>32</v>
      </c>
      <c r="H1759" s="33">
        <f t="shared" si="259"/>
        <v>1</v>
      </c>
      <c r="I1759" s="58" t="s">
        <v>33</v>
      </c>
      <c r="J1759" s="58" t="s">
        <v>124</v>
      </c>
      <c r="K1759" s="58">
        <v>1.0</v>
      </c>
      <c r="L1759" s="58" t="s">
        <v>69</v>
      </c>
      <c r="M1759" s="61" t="s">
        <v>4889</v>
      </c>
      <c r="N1759" s="80"/>
      <c r="O1759" s="88" t="str">
        <f>hyperlink("https://bad-boys.us/?q=ND-OH/1:18-cr-00561", "ND-OH 1:18-cr-00561")</f>
        <v>ND-OH 1:18-cr-00561</v>
      </c>
      <c r="P1759" s="88" t="s">
        <v>4890</v>
      </c>
      <c r="Q1759" s="58">
        <v>1.0</v>
      </c>
      <c r="R1759" s="62"/>
      <c r="S1759" s="37" t="str">
        <f>IFERROR(__xludf.DUMMYFUNCTION("if(not(iserror(index(split(C1759, "" ""),2))), index(split(C1759, "" ""),1),"""")"),"September")</f>
        <v>September</v>
      </c>
      <c r="T1759" s="38">
        <f>IFERROR(__xludf.DUMMYFUNCTION("if(S1759="""",C1759,if(not(iserror(index(split(C1759, "" ""),3))), index(split(C1759, "" ""),3),index(split(C1759, "" ""),2)))"),2018.0)</f>
        <v>2018</v>
      </c>
      <c r="U1759" s="38" t="b">
        <f t="shared" si="257"/>
        <v>0</v>
      </c>
      <c r="V1759" s="38"/>
      <c r="W1759" s="40"/>
      <c r="X1759" s="40"/>
      <c r="Y1759" s="40"/>
      <c r="Z1759" s="38"/>
      <c r="AA1759" s="38"/>
      <c r="AB1759" s="38"/>
      <c r="AC1759" s="38"/>
      <c r="AD1759" s="38"/>
      <c r="AE1759" s="38"/>
      <c r="AF1759" s="38"/>
      <c r="AG1759" s="38"/>
      <c r="AH1759" s="38"/>
      <c r="AI1759" s="38"/>
      <c r="AJ1759" s="38"/>
      <c r="AK1759" s="38"/>
      <c r="AL1759" s="38"/>
      <c r="AM1759" s="38"/>
      <c r="AN1759" s="38"/>
      <c r="AO1759" s="38"/>
      <c r="AP1759" s="38"/>
      <c r="AQ1759" s="38"/>
      <c r="AR1759" s="38"/>
      <c r="AS1759" s="38"/>
      <c r="AT1759" s="38"/>
      <c r="AU1759" s="38"/>
      <c r="AV1759" s="38"/>
      <c r="AW1759" s="38"/>
      <c r="AX1759" s="38"/>
      <c r="AY1759" s="38"/>
      <c r="AZ1759" s="38"/>
      <c r="BA1759" s="38"/>
      <c r="BB1759" s="38"/>
      <c r="BC1759" s="38"/>
      <c r="BD1759" s="38"/>
      <c r="BE1759" s="38"/>
      <c r="BF1759" s="38"/>
      <c r="BG1759" s="38"/>
      <c r="BH1759" s="38"/>
      <c r="BI1759" s="38"/>
      <c r="BJ1759" s="38"/>
      <c r="BK1759" s="38"/>
      <c r="BL1759" s="38"/>
      <c r="BM1759" s="38"/>
      <c r="BN1759" s="38"/>
      <c r="BO1759" s="38"/>
      <c r="BP1759" s="38"/>
      <c r="BQ1759" s="38"/>
    </row>
    <row r="1760">
      <c r="A1760" s="58" t="s">
        <v>4891</v>
      </c>
      <c r="B1760" s="59">
        <v>43369.0</v>
      </c>
      <c r="C1760" s="59">
        <v>43344.0</v>
      </c>
      <c r="D1760" s="60" t="s">
        <v>640</v>
      </c>
      <c r="E1760" s="58" t="s">
        <v>41</v>
      </c>
      <c r="F1760" s="58">
        <v>1.0</v>
      </c>
      <c r="G1760" s="58" t="s">
        <v>32</v>
      </c>
      <c r="H1760" s="33">
        <f t="shared" si="259"/>
        <v>1</v>
      </c>
      <c r="I1760" s="58" t="s">
        <v>33</v>
      </c>
      <c r="J1760" s="58" t="s">
        <v>124</v>
      </c>
      <c r="K1760" s="58">
        <v>1.0</v>
      </c>
      <c r="L1760" s="58" t="s">
        <v>119</v>
      </c>
      <c r="M1760" s="61" t="s">
        <v>4889</v>
      </c>
      <c r="N1760" s="80"/>
      <c r="O1760" s="88" t="str">
        <f>hyperlink("https://bad-boys.us/?q=ND-OH/1:18-cr-00560", "ND-OH 1:18-cr-00560")</f>
        <v>ND-OH 1:18-cr-00560</v>
      </c>
      <c r="P1760" s="88" t="s">
        <v>4892</v>
      </c>
      <c r="Q1760" s="58">
        <v>1.0</v>
      </c>
      <c r="R1760" s="62"/>
      <c r="S1760" s="37" t="str">
        <f>IFERROR(__xludf.DUMMYFUNCTION("if(not(iserror(index(split(C1760, "" ""),2))), index(split(C1760, "" ""),1),"""")"),"September")</f>
        <v>September</v>
      </c>
      <c r="T1760" s="38">
        <f>IFERROR(__xludf.DUMMYFUNCTION("if(S1760="""",C1760,if(not(iserror(index(split(C1760, "" ""),3))), index(split(C1760, "" ""),3),index(split(C1760, "" ""),2)))"),2018.0)</f>
        <v>2018</v>
      </c>
      <c r="U1760" s="38" t="b">
        <f t="shared" si="257"/>
        <v>0</v>
      </c>
      <c r="V1760" s="38"/>
      <c r="W1760" s="40"/>
      <c r="X1760" s="40"/>
      <c r="Y1760" s="40"/>
      <c r="Z1760" s="38"/>
      <c r="AA1760" s="38"/>
      <c r="AB1760" s="38"/>
      <c r="AC1760" s="38"/>
      <c r="AD1760" s="38"/>
      <c r="AE1760" s="38"/>
      <c r="AF1760" s="38"/>
      <c r="AG1760" s="38"/>
      <c r="AH1760" s="38"/>
      <c r="AI1760" s="38"/>
      <c r="AJ1760" s="38"/>
      <c r="AK1760" s="38"/>
      <c r="AL1760" s="38"/>
      <c r="AM1760" s="38"/>
      <c r="AN1760" s="38"/>
      <c r="AO1760" s="38"/>
      <c r="AP1760" s="38"/>
      <c r="AQ1760" s="38"/>
      <c r="AR1760" s="38"/>
      <c r="AS1760" s="38"/>
      <c r="AT1760" s="38"/>
      <c r="AU1760" s="38"/>
      <c r="AV1760" s="38"/>
      <c r="AW1760" s="38"/>
      <c r="AX1760" s="38"/>
      <c r="AY1760" s="38"/>
      <c r="AZ1760" s="38"/>
      <c r="BA1760" s="38"/>
      <c r="BB1760" s="38"/>
      <c r="BC1760" s="38"/>
      <c r="BD1760" s="38"/>
      <c r="BE1760" s="38"/>
      <c r="BF1760" s="38"/>
      <c r="BG1760" s="38"/>
      <c r="BH1760" s="38"/>
      <c r="BI1760" s="38"/>
      <c r="BJ1760" s="38"/>
      <c r="BK1760" s="38"/>
      <c r="BL1760" s="38"/>
      <c r="BM1760" s="38"/>
      <c r="BN1760" s="38"/>
      <c r="BO1760" s="38"/>
      <c r="BP1760" s="38"/>
      <c r="BQ1760" s="38"/>
    </row>
    <row r="1761">
      <c r="A1761" s="58" t="s">
        <v>4893</v>
      </c>
      <c r="B1761" s="59"/>
      <c r="C1761" s="59">
        <v>43344.0</v>
      </c>
      <c r="D1761" s="60"/>
      <c r="E1761" s="58" t="s">
        <v>41</v>
      </c>
      <c r="F1761" s="58">
        <v>1.0</v>
      </c>
      <c r="G1761" s="58" t="s">
        <v>32</v>
      </c>
      <c r="H1761" s="43">
        <v>1.0</v>
      </c>
      <c r="I1761" s="58" t="s">
        <v>33</v>
      </c>
      <c r="J1761" s="58" t="s">
        <v>288</v>
      </c>
      <c r="K1761" s="58"/>
      <c r="L1761" s="58" t="s">
        <v>119</v>
      </c>
      <c r="M1761" s="61" t="s">
        <v>4894</v>
      </c>
      <c r="N1761" s="77"/>
      <c r="O1761" s="62"/>
      <c r="P1761" s="62"/>
      <c r="Q1761" s="62"/>
      <c r="R1761" s="62"/>
      <c r="S1761" s="37" t="str">
        <f>IFERROR(__xludf.DUMMYFUNCTION("if(not(iserror(index(split(C1761, "" ""),2))), index(split(C1761, "" ""),1),"""")"),"September")</f>
        <v>September</v>
      </c>
      <c r="T1761" s="38">
        <f>IFERROR(__xludf.DUMMYFUNCTION("if(S1761="""",C1761,if(not(iserror(index(split(C1761, "" ""),3))), index(split(C1761, "" ""),3),index(split(C1761, "" ""),2)))"),2018.0)</f>
        <v>2018</v>
      </c>
      <c r="U1761" s="38" t="b">
        <f t="shared" si="257"/>
        <v>0</v>
      </c>
      <c r="V1761" s="38" t="s">
        <v>33</v>
      </c>
      <c r="W1761" s="40"/>
      <c r="X1761" s="40"/>
      <c r="Y1761" s="40"/>
      <c r="Z1761" s="38"/>
      <c r="AA1761" s="38"/>
      <c r="AB1761" s="38"/>
      <c r="AC1761" s="38"/>
      <c r="AD1761" s="38"/>
      <c r="AE1761" s="38"/>
      <c r="AF1761" s="38"/>
      <c r="AG1761" s="38"/>
      <c r="AH1761" s="38"/>
      <c r="AI1761" s="38"/>
      <c r="AJ1761" s="38"/>
      <c r="AK1761" s="38"/>
      <c r="AL1761" s="38"/>
      <c r="AM1761" s="38"/>
      <c r="AN1761" s="38"/>
      <c r="AO1761" s="38"/>
      <c r="AP1761" s="38"/>
      <c r="AQ1761" s="38"/>
      <c r="AR1761" s="38"/>
      <c r="AS1761" s="38"/>
      <c r="AT1761" s="38"/>
      <c r="AU1761" s="38"/>
      <c r="AV1761" s="38"/>
      <c r="AW1761" s="38"/>
      <c r="AX1761" s="38"/>
      <c r="AY1761" s="38"/>
      <c r="AZ1761" s="38"/>
      <c r="BA1761" s="38"/>
      <c r="BB1761" s="38"/>
      <c r="BC1761" s="38"/>
      <c r="BD1761" s="38"/>
      <c r="BE1761" s="38"/>
      <c r="BF1761" s="38"/>
      <c r="BG1761" s="38"/>
      <c r="BH1761" s="38"/>
      <c r="BI1761" s="38"/>
      <c r="BJ1761" s="38"/>
      <c r="BK1761" s="38"/>
      <c r="BL1761" s="38"/>
      <c r="BM1761" s="38"/>
      <c r="BN1761" s="38"/>
      <c r="BO1761" s="38"/>
      <c r="BP1761" s="38"/>
      <c r="BQ1761" s="38"/>
    </row>
    <row r="1762">
      <c r="A1762" s="58" t="s">
        <v>239</v>
      </c>
      <c r="B1762" s="59">
        <v>43346.0</v>
      </c>
      <c r="C1762" s="59">
        <v>43345.0</v>
      </c>
      <c r="D1762" s="60" t="s">
        <v>4895</v>
      </c>
      <c r="E1762" s="58" t="s">
        <v>41</v>
      </c>
      <c r="F1762" s="58">
        <v>1.0</v>
      </c>
      <c r="G1762" s="58">
        <v>3.0</v>
      </c>
      <c r="H1762" s="33">
        <f t="shared" ref="H1762:H1772" si="260">if(G1762="Unknown",1,G1762)</f>
        <v>3</v>
      </c>
      <c r="I1762" s="58" t="s">
        <v>33</v>
      </c>
      <c r="J1762" s="58" t="s">
        <v>147</v>
      </c>
      <c r="K1762" s="58">
        <v>1.0</v>
      </c>
      <c r="L1762" s="58" t="s">
        <v>194</v>
      </c>
      <c r="M1762" s="61" t="s">
        <v>4896</v>
      </c>
      <c r="N1762" s="77"/>
      <c r="O1762" s="62"/>
      <c r="P1762" s="62"/>
      <c r="Q1762" s="62"/>
      <c r="R1762" s="62"/>
      <c r="S1762" s="37" t="str">
        <f>IFERROR(__xludf.DUMMYFUNCTION("if(not(iserror(index(split(C1762, "" ""),2))), index(split(C1762, "" ""),1),"""")"),"September")</f>
        <v>September</v>
      </c>
      <c r="T1762" s="38">
        <f>IFERROR(__xludf.DUMMYFUNCTION("if(S1762="""",C1762,if(not(iserror(index(split(C1762, "" ""),3))), index(split(C1762, "" ""),3),index(split(C1762, "" ""),2)))"),2018.0)</f>
        <v>2018</v>
      </c>
      <c r="U1762" s="38" t="b">
        <f t="shared" si="257"/>
        <v>1</v>
      </c>
      <c r="V1762" s="38"/>
      <c r="W1762" s="40"/>
      <c r="X1762" s="40"/>
      <c r="Y1762" s="40"/>
      <c r="Z1762" s="38"/>
      <c r="AA1762" s="38"/>
      <c r="AB1762" s="38"/>
      <c r="AC1762" s="38"/>
      <c r="AD1762" s="38"/>
      <c r="AE1762" s="38"/>
      <c r="AF1762" s="38"/>
      <c r="AG1762" s="38"/>
      <c r="AH1762" s="38"/>
      <c r="AI1762" s="38"/>
      <c r="AJ1762" s="38"/>
      <c r="AK1762" s="38"/>
      <c r="AL1762" s="38"/>
      <c r="AM1762" s="38"/>
      <c r="AN1762" s="38"/>
      <c r="AO1762" s="38"/>
      <c r="AP1762" s="38"/>
      <c r="AQ1762" s="38"/>
      <c r="AR1762" s="38"/>
      <c r="AS1762" s="38"/>
      <c r="AT1762" s="38"/>
      <c r="AU1762" s="38"/>
      <c r="AV1762" s="38"/>
      <c r="AW1762" s="38"/>
      <c r="AX1762" s="38"/>
      <c r="AY1762" s="38"/>
      <c r="AZ1762" s="38"/>
      <c r="BA1762" s="38"/>
      <c r="BB1762" s="38"/>
      <c r="BC1762" s="38"/>
      <c r="BD1762" s="38"/>
      <c r="BE1762" s="38"/>
      <c r="BF1762" s="38"/>
      <c r="BG1762" s="38"/>
      <c r="BH1762" s="38"/>
      <c r="BI1762" s="38"/>
      <c r="BJ1762" s="38"/>
      <c r="BK1762" s="38"/>
      <c r="BL1762" s="38"/>
      <c r="BM1762" s="38"/>
      <c r="BN1762" s="38"/>
      <c r="BO1762" s="38"/>
      <c r="BP1762" s="38"/>
      <c r="BQ1762" s="38"/>
    </row>
    <row r="1763">
      <c r="A1763" s="78" t="s">
        <v>239</v>
      </c>
      <c r="B1763" s="59">
        <v>43347.0</v>
      </c>
      <c r="C1763" s="59">
        <v>43345.0</v>
      </c>
      <c r="D1763" s="60" t="s">
        <v>4895</v>
      </c>
      <c r="E1763" s="58" t="s">
        <v>41</v>
      </c>
      <c r="F1763" s="58">
        <v>1.0</v>
      </c>
      <c r="G1763" s="58">
        <v>1.0</v>
      </c>
      <c r="H1763" s="33">
        <f t="shared" si="260"/>
        <v>1</v>
      </c>
      <c r="I1763" s="58" t="s">
        <v>33</v>
      </c>
      <c r="J1763" s="58" t="s">
        <v>241</v>
      </c>
      <c r="K1763" s="58">
        <v>1.0</v>
      </c>
      <c r="L1763" s="58" t="s">
        <v>194</v>
      </c>
      <c r="M1763" s="61" t="s">
        <v>4897</v>
      </c>
      <c r="N1763" s="77"/>
      <c r="O1763" s="62"/>
      <c r="P1763" s="62"/>
      <c r="Q1763" s="62"/>
      <c r="R1763" s="62"/>
      <c r="S1763" s="37" t="str">
        <f>IFERROR(__xludf.DUMMYFUNCTION("if(not(iserror(index(split(C1763, "" ""),2))), index(split(C1763, "" ""),1),"""")"),"September")</f>
        <v>September</v>
      </c>
      <c r="T1763" s="38">
        <f>IFERROR(__xludf.DUMMYFUNCTION("if(S1763="""",C1763,if(not(iserror(index(split(C1763, "" ""),3))), index(split(C1763, "" ""),3),index(split(C1763, "" ""),2)))"),2018.0)</f>
        <v>2018</v>
      </c>
      <c r="U1763" s="38" t="b">
        <f t="shared" si="257"/>
        <v>1</v>
      </c>
      <c r="V1763" s="38"/>
      <c r="W1763" s="40"/>
      <c r="X1763" s="40"/>
      <c r="Y1763" s="40"/>
      <c r="Z1763" s="38"/>
      <c r="AA1763" s="38"/>
      <c r="AB1763" s="38"/>
      <c r="AC1763" s="38"/>
      <c r="AD1763" s="38"/>
      <c r="AE1763" s="38"/>
      <c r="AF1763" s="38"/>
      <c r="AG1763" s="38"/>
      <c r="AH1763" s="38"/>
      <c r="AI1763" s="38"/>
      <c r="AJ1763" s="38"/>
      <c r="AK1763" s="38"/>
      <c r="AL1763" s="38"/>
      <c r="AM1763" s="38"/>
      <c r="AN1763" s="38"/>
      <c r="AO1763" s="38"/>
      <c r="AP1763" s="38"/>
      <c r="AQ1763" s="38"/>
      <c r="AR1763" s="38"/>
      <c r="AS1763" s="38"/>
      <c r="AT1763" s="38"/>
      <c r="AU1763" s="38"/>
      <c r="AV1763" s="38"/>
      <c r="AW1763" s="38"/>
      <c r="AX1763" s="38"/>
      <c r="AY1763" s="38"/>
      <c r="AZ1763" s="38"/>
      <c r="BA1763" s="38"/>
      <c r="BB1763" s="38"/>
      <c r="BC1763" s="38"/>
      <c r="BD1763" s="38"/>
      <c r="BE1763" s="38"/>
      <c r="BF1763" s="38"/>
      <c r="BG1763" s="38"/>
      <c r="BH1763" s="38"/>
      <c r="BI1763" s="38"/>
      <c r="BJ1763" s="38"/>
      <c r="BK1763" s="38"/>
      <c r="BL1763" s="38"/>
      <c r="BM1763" s="38"/>
      <c r="BN1763" s="38"/>
      <c r="BO1763" s="38"/>
      <c r="BP1763" s="38"/>
      <c r="BQ1763" s="38"/>
    </row>
    <row r="1764">
      <c r="A1764" s="58" t="s">
        <v>239</v>
      </c>
      <c r="B1764" s="59">
        <v>43348.0</v>
      </c>
      <c r="C1764" s="59">
        <v>43345.0</v>
      </c>
      <c r="D1764" s="60" t="s">
        <v>4895</v>
      </c>
      <c r="E1764" s="58" t="s">
        <v>41</v>
      </c>
      <c r="F1764" s="58">
        <v>1.0</v>
      </c>
      <c r="G1764" s="58">
        <v>3.0</v>
      </c>
      <c r="H1764" s="33">
        <f t="shared" si="260"/>
        <v>3</v>
      </c>
      <c r="I1764" s="58" t="s">
        <v>33</v>
      </c>
      <c r="J1764" s="58" t="s">
        <v>147</v>
      </c>
      <c r="K1764" s="58">
        <v>1.0</v>
      </c>
      <c r="L1764" s="58" t="s">
        <v>194</v>
      </c>
      <c r="M1764" s="61" t="s">
        <v>4898</v>
      </c>
      <c r="N1764" s="77"/>
      <c r="O1764" s="62"/>
      <c r="P1764" s="62"/>
      <c r="Q1764" s="62"/>
      <c r="R1764" s="62"/>
      <c r="S1764" s="37" t="str">
        <f>IFERROR(__xludf.DUMMYFUNCTION("if(not(iserror(index(split(C1764, "" ""),2))), index(split(C1764, "" ""),1),"""")"),"September")</f>
        <v>September</v>
      </c>
      <c r="T1764" s="38">
        <f>IFERROR(__xludf.DUMMYFUNCTION("if(S1764="""",C1764,if(not(iserror(index(split(C1764, "" ""),3))), index(split(C1764, "" ""),3),index(split(C1764, "" ""),2)))"),2018.0)</f>
        <v>2018</v>
      </c>
      <c r="U1764" s="38" t="b">
        <f t="shared" si="257"/>
        <v>1</v>
      </c>
      <c r="V1764" s="38"/>
      <c r="W1764" s="40"/>
      <c r="X1764" s="40"/>
      <c r="Y1764" s="40"/>
      <c r="Z1764" s="38"/>
      <c r="AA1764" s="38"/>
      <c r="AB1764" s="38"/>
      <c r="AC1764" s="38"/>
      <c r="AD1764" s="38"/>
      <c r="AE1764" s="38"/>
      <c r="AF1764" s="38"/>
      <c r="AG1764" s="38"/>
      <c r="AH1764" s="38"/>
      <c r="AI1764" s="38"/>
      <c r="AJ1764" s="38"/>
      <c r="AK1764" s="38"/>
      <c r="AL1764" s="38"/>
      <c r="AM1764" s="38"/>
      <c r="AN1764" s="38"/>
      <c r="AO1764" s="38"/>
      <c r="AP1764" s="38"/>
      <c r="AQ1764" s="38"/>
      <c r="AR1764" s="38"/>
      <c r="AS1764" s="38"/>
      <c r="AT1764" s="38"/>
      <c r="AU1764" s="38"/>
      <c r="AV1764" s="38"/>
      <c r="AW1764" s="38"/>
      <c r="AX1764" s="38"/>
      <c r="AY1764" s="38"/>
      <c r="AZ1764" s="38"/>
      <c r="BA1764" s="38"/>
      <c r="BB1764" s="38"/>
      <c r="BC1764" s="38"/>
      <c r="BD1764" s="38"/>
      <c r="BE1764" s="38"/>
      <c r="BF1764" s="38"/>
      <c r="BG1764" s="38"/>
      <c r="BH1764" s="38"/>
      <c r="BI1764" s="38"/>
      <c r="BJ1764" s="38"/>
      <c r="BK1764" s="38"/>
      <c r="BL1764" s="38"/>
      <c r="BM1764" s="38"/>
      <c r="BN1764" s="38"/>
      <c r="BO1764" s="38"/>
      <c r="BP1764" s="38"/>
      <c r="BQ1764" s="38"/>
    </row>
    <row r="1765">
      <c r="A1765" s="58" t="s">
        <v>239</v>
      </c>
      <c r="B1765" s="59">
        <v>43348.0</v>
      </c>
      <c r="C1765" s="59">
        <v>43345.0</v>
      </c>
      <c r="D1765" s="60" t="s">
        <v>4895</v>
      </c>
      <c r="E1765" s="58" t="s">
        <v>41</v>
      </c>
      <c r="F1765" s="58">
        <v>1.0</v>
      </c>
      <c r="G1765" s="58">
        <v>1.0</v>
      </c>
      <c r="H1765" s="33">
        <f t="shared" si="260"/>
        <v>1</v>
      </c>
      <c r="I1765" s="58" t="s">
        <v>33</v>
      </c>
      <c r="J1765" s="58" t="s">
        <v>147</v>
      </c>
      <c r="K1765" s="58">
        <v>1.0</v>
      </c>
      <c r="L1765" s="58" t="s">
        <v>194</v>
      </c>
      <c r="M1765" s="61" t="s">
        <v>4898</v>
      </c>
      <c r="N1765" s="77"/>
      <c r="O1765" s="62"/>
      <c r="P1765" s="62"/>
      <c r="Q1765" s="62"/>
      <c r="R1765" s="62"/>
      <c r="S1765" s="37" t="str">
        <f>IFERROR(__xludf.DUMMYFUNCTION("if(not(iserror(index(split(C1765, "" ""),2))), index(split(C1765, "" ""),1),"""")"),"September")</f>
        <v>September</v>
      </c>
      <c r="T1765" s="38">
        <f>IFERROR(__xludf.DUMMYFUNCTION("if(S1765="""",C1765,if(not(iserror(index(split(C1765, "" ""),3))), index(split(C1765, "" ""),3),index(split(C1765, "" ""),2)))"),2018.0)</f>
        <v>2018</v>
      </c>
      <c r="U1765" s="38" t="b">
        <f t="shared" si="257"/>
        <v>1</v>
      </c>
      <c r="V1765" s="38"/>
      <c r="W1765" s="40"/>
      <c r="X1765" s="40"/>
      <c r="Y1765" s="40"/>
      <c r="Z1765" s="38"/>
      <c r="AA1765" s="38"/>
      <c r="AB1765" s="38"/>
      <c r="AC1765" s="38"/>
      <c r="AD1765" s="38"/>
      <c r="AE1765" s="38"/>
      <c r="AF1765" s="38"/>
      <c r="AG1765" s="38"/>
      <c r="AH1765" s="38"/>
      <c r="AI1765" s="38"/>
      <c r="AJ1765" s="38"/>
      <c r="AK1765" s="38"/>
      <c r="AL1765" s="38"/>
      <c r="AM1765" s="38"/>
      <c r="AN1765" s="38"/>
      <c r="AO1765" s="38"/>
      <c r="AP1765" s="38"/>
      <c r="AQ1765" s="38"/>
      <c r="AR1765" s="38"/>
      <c r="AS1765" s="38"/>
      <c r="AT1765" s="38"/>
      <c r="AU1765" s="38"/>
      <c r="AV1765" s="38"/>
      <c r="AW1765" s="38"/>
      <c r="AX1765" s="38"/>
      <c r="AY1765" s="38"/>
      <c r="AZ1765" s="38"/>
      <c r="BA1765" s="38"/>
      <c r="BB1765" s="38"/>
      <c r="BC1765" s="38"/>
      <c r="BD1765" s="38"/>
      <c r="BE1765" s="38"/>
      <c r="BF1765" s="38"/>
      <c r="BG1765" s="38"/>
      <c r="BH1765" s="38"/>
      <c r="BI1765" s="38"/>
      <c r="BJ1765" s="38"/>
      <c r="BK1765" s="38"/>
      <c r="BL1765" s="38"/>
      <c r="BM1765" s="38"/>
      <c r="BN1765" s="38"/>
      <c r="BO1765" s="38"/>
      <c r="BP1765" s="38"/>
      <c r="BQ1765" s="38"/>
    </row>
    <row r="1766">
      <c r="A1766" s="128" t="s">
        <v>239</v>
      </c>
      <c r="B1766" s="137">
        <v>43348.0</v>
      </c>
      <c r="C1766" s="137">
        <v>43345.0</v>
      </c>
      <c r="D1766" s="127" t="s">
        <v>4895</v>
      </c>
      <c r="E1766" s="124" t="s">
        <v>41</v>
      </c>
      <c r="F1766" s="129">
        <v>1.0</v>
      </c>
      <c r="G1766" s="198">
        <v>2.0</v>
      </c>
      <c r="H1766" s="33">
        <f t="shared" si="260"/>
        <v>2</v>
      </c>
      <c r="I1766" s="128" t="s">
        <v>33</v>
      </c>
      <c r="J1766" s="128" t="s">
        <v>147</v>
      </c>
      <c r="K1766" s="129">
        <v>1.0</v>
      </c>
      <c r="L1766" s="128" t="s">
        <v>194</v>
      </c>
      <c r="M1766" s="131" t="s">
        <v>4898</v>
      </c>
      <c r="N1766" s="132"/>
      <c r="O1766" s="133"/>
      <c r="P1766" s="133"/>
      <c r="Q1766" s="133"/>
      <c r="R1766" s="133"/>
      <c r="S1766" s="37" t="str">
        <f>IFERROR(__xludf.DUMMYFUNCTION("if(not(iserror(index(split(C1766, "" ""),2))), index(split(C1766, "" ""),1),"""")"),"September")</f>
        <v>September</v>
      </c>
      <c r="T1766" s="38">
        <f>IFERROR(__xludf.DUMMYFUNCTION("if(S1766="""",C1766,if(not(iserror(index(split(C1766, "" ""),3))), index(split(C1766, "" ""),3),index(split(C1766, "" ""),2)))"),2018.0)</f>
        <v>2018</v>
      </c>
      <c r="U1766" s="38" t="b">
        <f t="shared" si="257"/>
        <v>1</v>
      </c>
      <c r="V1766" s="134"/>
      <c r="W1766" s="136"/>
      <c r="X1766" s="136"/>
      <c r="Y1766" s="136"/>
      <c r="Z1766" s="134"/>
      <c r="AA1766" s="134"/>
      <c r="AB1766" s="134"/>
      <c r="AC1766" s="134"/>
      <c r="AD1766" s="134"/>
      <c r="AE1766" s="134"/>
      <c r="AF1766" s="134"/>
      <c r="AG1766" s="134"/>
      <c r="AH1766" s="134"/>
      <c r="AI1766" s="134"/>
      <c r="AJ1766" s="134"/>
      <c r="AK1766" s="134"/>
      <c r="AL1766" s="134"/>
      <c r="AM1766" s="134"/>
      <c r="AN1766" s="134"/>
      <c r="AO1766" s="134"/>
      <c r="AP1766" s="134"/>
      <c r="AQ1766" s="134"/>
      <c r="AR1766" s="134"/>
      <c r="AS1766" s="134"/>
      <c r="AT1766" s="134"/>
      <c r="AU1766" s="134"/>
      <c r="AV1766" s="134"/>
      <c r="AW1766" s="134"/>
      <c r="AX1766" s="134"/>
      <c r="AY1766" s="134"/>
      <c r="AZ1766" s="134"/>
      <c r="BA1766" s="134"/>
      <c r="BB1766" s="134"/>
      <c r="BC1766" s="134"/>
      <c r="BD1766" s="134"/>
      <c r="BE1766" s="134"/>
      <c r="BF1766" s="134"/>
      <c r="BG1766" s="134"/>
      <c r="BH1766" s="134"/>
      <c r="BI1766" s="134"/>
      <c r="BJ1766" s="134"/>
      <c r="BK1766" s="134"/>
      <c r="BL1766" s="134"/>
      <c r="BM1766" s="134"/>
      <c r="BN1766" s="134"/>
      <c r="BO1766" s="134"/>
      <c r="BP1766" s="134"/>
      <c r="BQ1766" s="134"/>
    </row>
    <row r="1767">
      <c r="A1767" s="78" t="s">
        <v>239</v>
      </c>
      <c r="B1767" s="59">
        <v>43347.0</v>
      </c>
      <c r="C1767" s="59">
        <v>43346.0</v>
      </c>
      <c r="D1767" s="60" t="s">
        <v>4899</v>
      </c>
      <c r="E1767" s="58" t="s">
        <v>41</v>
      </c>
      <c r="F1767" s="58">
        <v>1.0</v>
      </c>
      <c r="G1767" s="58">
        <v>6.0</v>
      </c>
      <c r="H1767" s="33">
        <f t="shared" si="260"/>
        <v>6</v>
      </c>
      <c r="I1767" s="58" t="s">
        <v>33</v>
      </c>
      <c r="J1767" s="58" t="s">
        <v>241</v>
      </c>
      <c r="K1767" s="58">
        <v>1.0</v>
      </c>
      <c r="L1767" s="58" t="s">
        <v>194</v>
      </c>
      <c r="M1767" s="61" t="s">
        <v>4900</v>
      </c>
      <c r="N1767" s="77"/>
      <c r="O1767" s="62"/>
      <c r="P1767" s="62"/>
      <c r="Q1767" s="62"/>
      <c r="R1767" s="62"/>
      <c r="S1767" s="37" t="str">
        <f>IFERROR(__xludf.DUMMYFUNCTION("if(not(iserror(index(split(C1767, "" ""),2))), index(split(C1767, "" ""),1),"""")"),"September")</f>
        <v>September</v>
      </c>
      <c r="T1767" s="38">
        <f>IFERROR(__xludf.DUMMYFUNCTION("if(S1767="""",C1767,if(not(iserror(index(split(C1767, "" ""),3))), index(split(C1767, "" ""),3),index(split(C1767, "" ""),2)))"),2018.0)</f>
        <v>2018</v>
      </c>
      <c r="U1767" s="38" t="b">
        <f t="shared" si="257"/>
        <v>1</v>
      </c>
      <c r="V1767" s="38"/>
      <c r="W1767" s="40"/>
      <c r="X1767" s="40"/>
      <c r="Y1767" s="40"/>
      <c r="Z1767" s="38"/>
      <c r="AA1767" s="38"/>
      <c r="AB1767" s="38"/>
      <c r="AC1767" s="38"/>
      <c r="AD1767" s="38"/>
      <c r="AE1767" s="38"/>
      <c r="AF1767" s="38"/>
      <c r="AG1767" s="38"/>
      <c r="AH1767" s="38"/>
      <c r="AI1767" s="38"/>
      <c r="AJ1767" s="38"/>
      <c r="AK1767" s="38"/>
      <c r="AL1767" s="38"/>
      <c r="AM1767" s="38"/>
      <c r="AN1767" s="38"/>
      <c r="AO1767" s="38"/>
      <c r="AP1767" s="38"/>
      <c r="AQ1767" s="38"/>
      <c r="AR1767" s="38"/>
      <c r="AS1767" s="38"/>
      <c r="AT1767" s="38"/>
      <c r="AU1767" s="38"/>
      <c r="AV1767" s="38"/>
      <c r="AW1767" s="38"/>
      <c r="AX1767" s="38"/>
      <c r="AY1767" s="38"/>
      <c r="AZ1767" s="38"/>
      <c r="BA1767" s="38"/>
      <c r="BB1767" s="38"/>
      <c r="BC1767" s="38"/>
      <c r="BD1767" s="38"/>
      <c r="BE1767" s="38"/>
      <c r="BF1767" s="38"/>
      <c r="BG1767" s="38"/>
      <c r="BH1767" s="38"/>
      <c r="BI1767" s="38"/>
      <c r="BJ1767" s="38"/>
      <c r="BK1767" s="38"/>
      <c r="BL1767" s="38"/>
      <c r="BM1767" s="38"/>
      <c r="BN1767" s="38"/>
      <c r="BO1767" s="38"/>
      <c r="BP1767" s="38"/>
      <c r="BQ1767" s="38"/>
    </row>
    <row r="1768">
      <c r="A1768" s="58" t="s">
        <v>239</v>
      </c>
      <c r="B1768" s="59">
        <v>43348.0</v>
      </c>
      <c r="C1768" s="59">
        <v>43346.0</v>
      </c>
      <c r="D1768" s="60" t="s">
        <v>4899</v>
      </c>
      <c r="E1768" s="58" t="s">
        <v>41</v>
      </c>
      <c r="F1768" s="58">
        <v>1.0</v>
      </c>
      <c r="G1768" s="58" t="s">
        <v>32</v>
      </c>
      <c r="H1768" s="33">
        <f t="shared" si="260"/>
        <v>1</v>
      </c>
      <c r="I1768" s="58" t="s">
        <v>33</v>
      </c>
      <c r="J1768" s="58" t="s">
        <v>241</v>
      </c>
      <c r="K1768" s="58">
        <v>1.0</v>
      </c>
      <c r="L1768" s="58" t="s">
        <v>194</v>
      </c>
      <c r="M1768" s="61" t="s">
        <v>4901</v>
      </c>
      <c r="N1768" s="77"/>
      <c r="O1768" s="62"/>
      <c r="P1768" s="62"/>
      <c r="Q1768" s="62"/>
      <c r="R1768" s="62"/>
      <c r="S1768" s="37" t="str">
        <f>IFERROR(__xludf.DUMMYFUNCTION("if(not(iserror(index(split(C1768, "" ""),2))), index(split(C1768, "" ""),1),"""")"),"September")</f>
        <v>September</v>
      </c>
      <c r="T1768" s="38">
        <f>IFERROR(__xludf.DUMMYFUNCTION("if(S1768="""",C1768,if(not(iserror(index(split(C1768, "" ""),3))), index(split(C1768, "" ""),3),index(split(C1768, "" ""),2)))"),2018.0)</f>
        <v>2018</v>
      </c>
      <c r="U1768" s="38" t="b">
        <f t="shared" si="257"/>
        <v>1</v>
      </c>
      <c r="V1768" s="38"/>
      <c r="W1768" s="40"/>
      <c r="X1768" s="40"/>
      <c r="Y1768" s="40"/>
      <c r="Z1768" s="38"/>
      <c r="AA1768" s="38"/>
      <c r="AB1768" s="38"/>
      <c r="AC1768" s="38"/>
      <c r="AD1768" s="38"/>
      <c r="AE1768" s="38"/>
      <c r="AF1768" s="38"/>
      <c r="AG1768" s="38"/>
      <c r="AH1768" s="38"/>
      <c r="AI1768" s="38"/>
      <c r="AJ1768" s="38"/>
      <c r="AK1768" s="38"/>
      <c r="AL1768" s="38"/>
      <c r="AM1768" s="38"/>
      <c r="AN1768" s="38"/>
      <c r="AO1768" s="38"/>
      <c r="AP1768" s="38"/>
      <c r="AQ1768" s="38"/>
      <c r="AR1768" s="38"/>
      <c r="AS1768" s="38"/>
      <c r="AT1768" s="38"/>
      <c r="AU1768" s="38"/>
      <c r="AV1768" s="38"/>
      <c r="AW1768" s="38"/>
      <c r="AX1768" s="38"/>
      <c r="AY1768" s="38"/>
      <c r="AZ1768" s="38"/>
      <c r="BA1768" s="38"/>
      <c r="BB1768" s="38"/>
      <c r="BC1768" s="38"/>
      <c r="BD1768" s="38"/>
      <c r="BE1768" s="38"/>
      <c r="BF1768" s="38"/>
      <c r="BG1768" s="38"/>
      <c r="BH1768" s="38"/>
      <c r="BI1768" s="38"/>
      <c r="BJ1768" s="38"/>
      <c r="BK1768" s="38"/>
      <c r="BL1768" s="38"/>
      <c r="BM1768" s="38"/>
      <c r="BN1768" s="38"/>
      <c r="BO1768" s="38"/>
      <c r="BP1768" s="38"/>
      <c r="BQ1768" s="38"/>
    </row>
    <row r="1769">
      <c r="A1769" s="58" t="s">
        <v>239</v>
      </c>
      <c r="B1769" s="59">
        <v>43348.0</v>
      </c>
      <c r="C1769" s="59">
        <v>43347.0</v>
      </c>
      <c r="D1769" s="60" t="s">
        <v>4902</v>
      </c>
      <c r="E1769" s="58" t="s">
        <v>41</v>
      </c>
      <c r="F1769" s="58">
        <v>1.0</v>
      </c>
      <c r="G1769" s="58">
        <v>2.0</v>
      </c>
      <c r="H1769" s="33">
        <f t="shared" si="260"/>
        <v>2</v>
      </c>
      <c r="I1769" s="58" t="s">
        <v>33</v>
      </c>
      <c r="J1769" s="58" t="s">
        <v>241</v>
      </c>
      <c r="K1769" s="58">
        <v>1.0</v>
      </c>
      <c r="L1769" s="58" t="s">
        <v>194</v>
      </c>
      <c r="M1769" s="61" t="s">
        <v>4903</v>
      </c>
      <c r="N1769" s="77"/>
      <c r="O1769" s="62"/>
      <c r="P1769" s="62"/>
      <c r="Q1769" s="62"/>
      <c r="R1769" s="62"/>
      <c r="S1769" s="37" t="str">
        <f>IFERROR(__xludf.DUMMYFUNCTION("if(not(iserror(index(split(C1769, "" ""),2))), index(split(C1769, "" ""),1),"""")"),"September")</f>
        <v>September</v>
      </c>
      <c r="T1769" s="38">
        <f>IFERROR(__xludf.DUMMYFUNCTION("if(S1769="""",C1769,if(not(iserror(index(split(C1769, "" ""),3))), index(split(C1769, "" ""),3),index(split(C1769, "" ""),2)))"),2018.0)</f>
        <v>2018</v>
      </c>
      <c r="U1769" s="38" t="b">
        <f t="shared" si="257"/>
        <v>1</v>
      </c>
      <c r="V1769" s="38"/>
      <c r="W1769" s="40"/>
      <c r="X1769" s="40"/>
      <c r="Y1769" s="40"/>
      <c r="Z1769" s="38"/>
      <c r="AA1769" s="38"/>
      <c r="AB1769" s="38"/>
      <c r="AC1769" s="38"/>
      <c r="AD1769" s="38"/>
      <c r="AE1769" s="38"/>
      <c r="AF1769" s="38"/>
      <c r="AG1769" s="38"/>
      <c r="AH1769" s="38"/>
      <c r="AI1769" s="38"/>
      <c r="AJ1769" s="38"/>
      <c r="AK1769" s="38"/>
      <c r="AL1769" s="38"/>
      <c r="AM1769" s="38"/>
      <c r="AN1769" s="38"/>
      <c r="AO1769" s="38"/>
      <c r="AP1769" s="38"/>
      <c r="AQ1769" s="38"/>
      <c r="AR1769" s="38"/>
      <c r="AS1769" s="38"/>
      <c r="AT1769" s="38"/>
      <c r="AU1769" s="38"/>
      <c r="AV1769" s="38"/>
      <c r="AW1769" s="38"/>
      <c r="AX1769" s="38"/>
      <c r="AY1769" s="38"/>
      <c r="AZ1769" s="38"/>
      <c r="BA1769" s="38"/>
      <c r="BB1769" s="38"/>
      <c r="BC1769" s="38"/>
      <c r="BD1769" s="38"/>
      <c r="BE1769" s="38"/>
      <c r="BF1769" s="38"/>
      <c r="BG1769" s="38"/>
      <c r="BH1769" s="38"/>
      <c r="BI1769" s="38"/>
      <c r="BJ1769" s="38"/>
      <c r="BK1769" s="38"/>
      <c r="BL1769" s="38"/>
      <c r="BM1769" s="38"/>
      <c r="BN1769" s="38"/>
      <c r="BO1769" s="38"/>
      <c r="BP1769" s="38"/>
      <c r="BQ1769" s="38"/>
    </row>
    <row r="1770">
      <c r="A1770" s="58" t="s">
        <v>239</v>
      </c>
      <c r="B1770" s="59">
        <v>43348.0</v>
      </c>
      <c r="C1770" s="59">
        <v>43348.0</v>
      </c>
      <c r="D1770" s="60" t="s">
        <v>4904</v>
      </c>
      <c r="E1770" s="58" t="s">
        <v>41</v>
      </c>
      <c r="F1770" s="58">
        <v>1.0</v>
      </c>
      <c r="G1770" s="58" t="s">
        <v>32</v>
      </c>
      <c r="H1770" s="33">
        <f t="shared" si="260"/>
        <v>1</v>
      </c>
      <c r="I1770" s="58" t="s">
        <v>33</v>
      </c>
      <c r="J1770" s="58" t="s">
        <v>241</v>
      </c>
      <c r="K1770" s="58">
        <v>1.0</v>
      </c>
      <c r="L1770" s="58" t="s">
        <v>194</v>
      </c>
      <c r="M1770" s="61" t="s">
        <v>4905</v>
      </c>
      <c r="N1770" s="77"/>
      <c r="O1770" s="58"/>
      <c r="P1770" s="58"/>
      <c r="Q1770" s="84"/>
      <c r="R1770" s="62"/>
      <c r="S1770" s="37" t="str">
        <f>IFERROR(__xludf.DUMMYFUNCTION("if(not(iserror(index(split(C1770, "" ""),2))), index(split(C1770, "" ""),1),"""")"),"September")</f>
        <v>September</v>
      </c>
      <c r="T1770" s="38">
        <f>IFERROR(__xludf.DUMMYFUNCTION("if(S1770="""",C1770,if(not(iserror(index(split(C1770, "" ""),3))), index(split(C1770, "" ""),3),index(split(C1770, "" ""),2)))"),2018.0)</f>
        <v>2018</v>
      </c>
      <c r="U1770" s="38" t="b">
        <f t="shared" si="257"/>
        <v>1</v>
      </c>
      <c r="V1770" s="38"/>
      <c r="W1770" s="40"/>
      <c r="X1770" s="40"/>
      <c r="Y1770" s="40"/>
      <c r="Z1770" s="38"/>
      <c r="AA1770" s="38"/>
      <c r="AB1770" s="38"/>
      <c r="AC1770" s="38"/>
      <c r="AD1770" s="38"/>
      <c r="AE1770" s="38"/>
      <c r="AF1770" s="38"/>
      <c r="AG1770" s="38"/>
      <c r="AH1770" s="38"/>
      <c r="AI1770" s="38"/>
      <c r="AJ1770" s="38"/>
      <c r="AK1770" s="38"/>
      <c r="AL1770" s="38"/>
      <c r="AM1770" s="38"/>
      <c r="AN1770" s="38"/>
      <c r="AO1770" s="38"/>
      <c r="AP1770" s="38"/>
      <c r="AQ1770" s="38"/>
      <c r="AR1770" s="38"/>
      <c r="AS1770" s="38"/>
      <c r="AT1770" s="38"/>
      <c r="AU1770" s="38"/>
      <c r="AV1770" s="38"/>
      <c r="AW1770" s="38"/>
      <c r="AX1770" s="38"/>
      <c r="AY1770" s="38"/>
      <c r="AZ1770" s="38"/>
      <c r="BA1770" s="38"/>
      <c r="BB1770" s="38"/>
      <c r="BC1770" s="38"/>
      <c r="BD1770" s="38"/>
      <c r="BE1770" s="38"/>
      <c r="BF1770" s="38"/>
      <c r="BG1770" s="38"/>
      <c r="BH1770" s="38"/>
      <c r="BI1770" s="38"/>
      <c r="BJ1770" s="38"/>
      <c r="BK1770" s="38"/>
      <c r="BL1770" s="38"/>
      <c r="BM1770" s="38"/>
      <c r="BN1770" s="38"/>
      <c r="BO1770" s="38"/>
      <c r="BP1770" s="38"/>
      <c r="BQ1770" s="38"/>
    </row>
    <row r="1771">
      <c r="A1771" s="58" t="s">
        <v>4906</v>
      </c>
      <c r="B1771" s="59">
        <v>43349.0</v>
      </c>
      <c r="C1771" s="59">
        <v>43348.0</v>
      </c>
      <c r="D1771" s="60" t="s">
        <v>4904</v>
      </c>
      <c r="E1771" s="58" t="s">
        <v>41</v>
      </c>
      <c r="F1771" s="58">
        <v>1.0</v>
      </c>
      <c r="G1771" s="58" t="s">
        <v>32</v>
      </c>
      <c r="H1771" s="33">
        <f t="shared" si="260"/>
        <v>1</v>
      </c>
      <c r="I1771" s="58" t="s">
        <v>33</v>
      </c>
      <c r="J1771" s="58" t="s">
        <v>440</v>
      </c>
      <c r="K1771" s="58">
        <v>2.0</v>
      </c>
      <c r="L1771" s="58" t="s">
        <v>69</v>
      </c>
      <c r="M1771" s="61" t="s">
        <v>4907</v>
      </c>
      <c r="N1771" s="77"/>
      <c r="O1771" s="62"/>
      <c r="P1771" s="58"/>
      <c r="Q1771" s="84"/>
      <c r="R1771" s="62"/>
      <c r="S1771" s="37" t="str">
        <f>IFERROR(__xludf.DUMMYFUNCTION("if(not(iserror(index(split(C1771, "" ""),2))), index(split(C1771, "" ""),1),"""")"),"September")</f>
        <v>September</v>
      </c>
      <c r="T1771" s="38">
        <f>IFERROR(__xludf.DUMMYFUNCTION("if(S1771="""",C1771,if(not(iserror(index(split(C1771, "" ""),3))), index(split(C1771, "" ""),3),index(split(C1771, "" ""),2)))"),2018.0)</f>
        <v>2018</v>
      </c>
      <c r="U1771" s="38" t="b">
        <f t="shared" si="257"/>
        <v>0</v>
      </c>
      <c r="V1771" s="38"/>
      <c r="W1771" s="40"/>
      <c r="X1771" s="40"/>
      <c r="Y1771" s="40"/>
      <c r="Z1771" s="38"/>
      <c r="AA1771" s="38"/>
      <c r="AB1771" s="38"/>
      <c r="AC1771" s="38"/>
      <c r="AD1771" s="38"/>
      <c r="AE1771" s="38"/>
      <c r="AF1771" s="38"/>
      <c r="AG1771" s="38"/>
      <c r="AH1771" s="38"/>
      <c r="AI1771" s="38"/>
      <c r="AJ1771" s="38"/>
      <c r="AK1771" s="38"/>
      <c r="AL1771" s="38"/>
      <c r="AM1771" s="38"/>
      <c r="AN1771" s="38"/>
      <c r="AO1771" s="38"/>
      <c r="AP1771" s="38"/>
      <c r="AQ1771" s="38"/>
      <c r="AR1771" s="38"/>
      <c r="AS1771" s="38"/>
      <c r="AT1771" s="38"/>
      <c r="AU1771" s="38"/>
      <c r="AV1771" s="38"/>
      <c r="AW1771" s="38"/>
      <c r="AX1771" s="38"/>
      <c r="AY1771" s="38"/>
      <c r="AZ1771" s="38"/>
      <c r="BA1771" s="38"/>
      <c r="BB1771" s="38"/>
      <c r="BC1771" s="38"/>
      <c r="BD1771" s="38"/>
      <c r="BE1771" s="38"/>
      <c r="BF1771" s="38"/>
      <c r="BG1771" s="38"/>
      <c r="BH1771" s="38"/>
      <c r="BI1771" s="38"/>
      <c r="BJ1771" s="38"/>
      <c r="BK1771" s="38"/>
      <c r="BL1771" s="38"/>
      <c r="BM1771" s="38"/>
      <c r="BN1771" s="38"/>
      <c r="BO1771" s="38"/>
      <c r="BP1771" s="38"/>
      <c r="BQ1771" s="38"/>
    </row>
    <row r="1772">
      <c r="A1772" s="58" t="s">
        <v>4908</v>
      </c>
      <c r="B1772" s="59">
        <v>43349.0</v>
      </c>
      <c r="C1772" s="59">
        <v>43348.0</v>
      </c>
      <c r="D1772" s="60" t="s">
        <v>4904</v>
      </c>
      <c r="E1772" s="58" t="s">
        <v>31</v>
      </c>
      <c r="F1772" s="58">
        <v>1.0</v>
      </c>
      <c r="G1772" s="58" t="s">
        <v>32</v>
      </c>
      <c r="H1772" s="33">
        <f t="shared" si="260"/>
        <v>1</v>
      </c>
      <c r="I1772" s="58" t="s">
        <v>33</v>
      </c>
      <c r="J1772" s="58" t="s">
        <v>179</v>
      </c>
      <c r="K1772" s="58">
        <v>9.0</v>
      </c>
      <c r="L1772" s="58" t="s">
        <v>76</v>
      </c>
      <c r="M1772" s="61" t="s">
        <v>4909</v>
      </c>
      <c r="N1772" s="61" t="s">
        <v>4910</v>
      </c>
      <c r="O1772" s="62"/>
      <c r="P1772" s="58"/>
      <c r="Q1772" s="58"/>
      <c r="R1772" s="62"/>
      <c r="S1772" s="37" t="str">
        <f>IFERROR(__xludf.DUMMYFUNCTION("if(not(iserror(index(split(C1772, "" ""),2))), index(split(C1772, "" ""),1),"""")"),"September")</f>
        <v>September</v>
      </c>
      <c r="T1772" s="38">
        <f>IFERROR(__xludf.DUMMYFUNCTION("if(S1772="""",C1772,if(not(iserror(index(split(C1772, "" ""),3))), index(split(C1772, "" ""),3),index(split(C1772, "" ""),2)))"),2018.0)</f>
        <v>2018</v>
      </c>
      <c r="U1772" s="38" t="b">
        <f t="shared" si="257"/>
        <v>0</v>
      </c>
      <c r="V1772" s="38"/>
      <c r="W1772" s="40"/>
      <c r="X1772" s="40"/>
      <c r="Y1772" s="40"/>
      <c r="Z1772" s="38"/>
      <c r="AA1772" s="38"/>
      <c r="AB1772" s="38"/>
      <c r="AC1772" s="38"/>
      <c r="AD1772" s="38"/>
      <c r="AE1772" s="38"/>
      <c r="AF1772" s="38"/>
      <c r="AG1772" s="38"/>
      <c r="AH1772" s="38"/>
      <c r="AI1772" s="38"/>
      <c r="AJ1772" s="38"/>
      <c r="AK1772" s="38"/>
      <c r="AL1772" s="38"/>
      <c r="AM1772" s="38"/>
      <c r="AN1772" s="38"/>
      <c r="AO1772" s="38"/>
      <c r="AP1772" s="38"/>
      <c r="AQ1772" s="38"/>
      <c r="AR1772" s="38"/>
      <c r="AS1772" s="38"/>
      <c r="AT1772" s="38"/>
      <c r="AU1772" s="38"/>
      <c r="AV1772" s="38"/>
      <c r="AW1772" s="38"/>
      <c r="AX1772" s="38"/>
      <c r="AY1772" s="38"/>
      <c r="AZ1772" s="38"/>
      <c r="BA1772" s="38"/>
      <c r="BB1772" s="38"/>
      <c r="BC1772" s="38"/>
      <c r="BD1772" s="38"/>
      <c r="BE1772" s="38"/>
      <c r="BF1772" s="38"/>
      <c r="BG1772" s="38"/>
      <c r="BH1772" s="38"/>
      <c r="BI1772" s="38"/>
      <c r="BJ1772" s="38"/>
      <c r="BK1772" s="38"/>
      <c r="BL1772" s="38"/>
      <c r="BM1772" s="38"/>
      <c r="BN1772" s="38"/>
      <c r="BO1772" s="38"/>
      <c r="BP1772" s="38"/>
      <c r="BQ1772" s="38"/>
    </row>
    <row r="1773">
      <c r="A1773" s="58" t="s">
        <v>4911</v>
      </c>
      <c r="B1773" s="59"/>
      <c r="C1773" s="59">
        <v>43348.0</v>
      </c>
      <c r="D1773" s="60"/>
      <c r="E1773" s="58" t="s">
        <v>41</v>
      </c>
      <c r="F1773" s="58">
        <v>1.0</v>
      </c>
      <c r="G1773" s="58" t="s">
        <v>32</v>
      </c>
      <c r="H1773" s="43">
        <v>1.0</v>
      </c>
      <c r="I1773" s="58" t="s">
        <v>33</v>
      </c>
      <c r="J1773" s="58" t="s">
        <v>172</v>
      </c>
      <c r="K1773" s="58"/>
      <c r="L1773" s="58" t="s">
        <v>790</v>
      </c>
      <c r="M1773" s="61" t="s">
        <v>4912</v>
      </c>
      <c r="N1773" s="77"/>
      <c r="O1773" s="83" t="str">
        <f>hyperlink("https://bad-boys.us/?q=MD-NC/1:18-cr-00321", "MD-NC 1:18-cr-00321")</f>
        <v>MD-NC 1:18-cr-00321</v>
      </c>
      <c r="P1773" s="88" t="s">
        <v>4913</v>
      </c>
      <c r="Q1773" s="58">
        <v>1.0</v>
      </c>
      <c r="R1773" s="62"/>
      <c r="S1773" s="37" t="str">
        <f>IFERROR(__xludf.DUMMYFUNCTION("if(not(iserror(index(split(C1773, "" ""),2))), index(split(C1773, "" ""),1),"""")"),"September")</f>
        <v>September</v>
      </c>
      <c r="T1773" s="38">
        <f>IFERROR(__xludf.DUMMYFUNCTION("if(S1773="""",C1773,if(not(iserror(index(split(C1773, "" ""),3))), index(split(C1773, "" ""),3),index(split(C1773, "" ""),2)))"),2018.0)</f>
        <v>2018</v>
      </c>
      <c r="U1773" s="38" t="b">
        <f t="shared" si="257"/>
        <v>0</v>
      </c>
      <c r="V1773" s="38" t="s">
        <v>33</v>
      </c>
      <c r="W1773" s="40"/>
      <c r="X1773" s="40"/>
      <c r="Y1773" s="40"/>
      <c r="Z1773" s="38"/>
      <c r="AA1773" s="38"/>
      <c r="AB1773" s="38"/>
      <c r="AC1773" s="38"/>
      <c r="AD1773" s="38"/>
      <c r="AE1773" s="38"/>
      <c r="AF1773" s="38"/>
      <c r="AG1773" s="38"/>
      <c r="AH1773" s="38"/>
      <c r="AI1773" s="38"/>
      <c r="AJ1773" s="38"/>
      <c r="AK1773" s="38"/>
      <c r="AL1773" s="38"/>
      <c r="AM1773" s="38"/>
      <c r="AN1773" s="38"/>
      <c r="AO1773" s="38"/>
      <c r="AP1773" s="38"/>
      <c r="AQ1773" s="38"/>
      <c r="AR1773" s="38"/>
      <c r="AS1773" s="38"/>
      <c r="AT1773" s="38"/>
      <c r="AU1773" s="38"/>
      <c r="AV1773" s="38"/>
      <c r="AW1773" s="38"/>
      <c r="AX1773" s="38"/>
      <c r="AY1773" s="38"/>
      <c r="AZ1773" s="38"/>
      <c r="BA1773" s="38"/>
      <c r="BB1773" s="38"/>
      <c r="BC1773" s="38"/>
      <c r="BD1773" s="38"/>
      <c r="BE1773" s="38"/>
      <c r="BF1773" s="38"/>
      <c r="BG1773" s="38"/>
      <c r="BH1773" s="38"/>
      <c r="BI1773" s="38"/>
      <c r="BJ1773" s="38"/>
      <c r="BK1773" s="38"/>
      <c r="BL1773" s="38"/>
      <c r="BM1773" s="38"/>
      <c r="BN1773" s="38"/>
      <c r="BO1773" s="38"/>
      <c r="BP1773" s="38"/>
      <c r="BQ1773" s="38"/>
    </row>
    <row r="1774">
      <c r="A1774" s="58" t="s">
        <v>239</v>
      </c>
      <c r="B1774" s="59">
        <v>43349.0</v>
      </c>
      <c r="C1774" s="59">
        <v>43348.0</v>
      </c>
      <c r="D1774" s="60" t="s">
        <v>4904</v>
      </c>
      <c r="E1774" s="58" t="s">
        <v>41</v>
      </c>
      <c r="F1774" s="58">
        <v>1.0</v>
      </c>
      <c r="G1774" s="58">
        <v>55.0</v>
      </c>
      <c r="H1774" s="33">
        <f t="shared" ref="H1774:H1775" si="261">if(G1774="Unknown",1,G1774)</f>
        <v>55</v>
      </c>
      <c r="I1774" s="58" t="s">
        <v>33</v>
      </c>
      <c r="J1774" s="58" t="s">
        <v>147</v>
      </c>
      <c r="K1774" s="58">
        <v>1.0</v>
      </c>
      <c r="L1774" s="58" t="s">
        <v>194</v>
      </c>
      <c r="M1774" s="61" t="s">
        <v>4914</v>
      </c>
      <c r="N1774" s="77"/>
      <c r="O1774" s="62"/>
      <c r="P1774" s="62"/>
      <c r="Q1774" s="62"/>
      <c r="R1774" s="62"/>
      <c r="S1774" s="37" t="str">
        <f>IFERROR(__xludf.DUMMYFUNCTION("if(not(iserror(index(split(C1774, "" ""),2))), index(split(C1774, "" ""),1),"""")"),"September")</f>
        <v>September</v>
      </c>
      <c r="T1774" s="38">
        <f>IFERROR(__xludf.DUMMYFUNCTION("if(S1774="""",C1774,if(not(iserror(index(split(C1774, "" ""),3))), index(split(C1774, "" ""),3),index(split(C1774, "" ""),2)))"),2018.0)</f>
        <v>2018</v>
      </c>
      <c r="U1774" s="38" t="b">
        <f t="shared" si="257"/>
        <v>1</v>
      </c>
      <c r="V1774" s="38"/>
      <c r="W1774" s="40"/>
      <c r="X1774" s="40"/>
      <c r="Y1774" s="40"/>
      <c r="Z1774" s="38"/>
      <c r="AA1774" s="38"/>
      <c r="AB1774" s="38"/>
      <c r="AC1774" s="38"/>
      <c r="AD1774" s="38"/>
      <c r="AE1774" s="38"/>
      <c r="AF1774" s="38"/>
      <c r="AG1774" s="38"/>
      <c r="AH1774" s="38"/>
      <c r="AI1774" s="38"/>
      <c r="AJ1774" s="38"/>
      <c r="AK1774" s="38"/>
      <c r="AL1774" s="38"/>
      <c r="AM1774" s="38"/>
      <c r="AN1774" s="38"/>
      <c r="AO1774" s="38"/>
      <c r="AP1774" s="38"/>
      <c r="AQ1774" s="38"/>
      <c r="AR1774" s="38"/>
      <c r="AS1774" s="38"/>
      <c r="AT1774" s="38"/>
      <c r="AU1774" s="38"/>
      <c r="AV1774" s="38"/>
      <c r="AW1774" s="38"/>
      <c r="AX1774" s="38"/>
      <c r="AY1774" s="38"/>
      <c r="AZ1774" s="38"/>
      <c r="BA1774" s="38"/>
      <c r="BB1774" s="38"/>
      <c r="BC1774" s="38"/>
      <c r="BD1774" s="38"/>
      <c r="BE1774" s="38"/>
      <c r="BF1774" s="38"/>
      <c r="BG1774" s="38"/>
      <c r="BH1774" s="38"/>
      <c r="BI1774" s="38"/>
      <c r="BJ1774" s="38"/>
      <c r="BK1774" s="38"/>
      <c r="BL1774" s="38"/>
      <c r="BM1774" s="38"/>
      <c r="BN1774" s="38"/>
      <c r="BO1774" s="38"/>
      <c r="BP1774" s="38"/>
      <c r="BQ1774" s="38"/>
    </row>
    <row r="1775">
      <c r="A1775" s="58" t="s">
        <v>4915</v>
      </c>
      <c r="B1775" s="59">
        <v>43374.0</v>
      </c>
      <c r="C1775" s="59">
        <v>43348.0</v>
      </c>
      <c r="D1775" s="60" t="s">
        <v>4916</v>
      </c>
      <c r="E1775" s="58" t="s">
        <v>31</v>
      </c>
      <c r="F1775" s="58">
        <v>2.0</v>
      </c>
      <c r="G1775" s="58" t="s">
        <v>32</v>
      </c>
      <c r="H1775" s="33">
        <f t="shared" si="261"/>
        <v>1</v>
      </c>
      <c r="I1775" s="58" t="s">
        <v>33</v>
      </c>
      <c r="J1775" s="58" t="s">
        <v>172</v>
      </c>
      <c r="K1775" s="58" t="s">
        <v>32</v>
      </c>
      <c r="L1775" s="58" t="s">
        <v>4769</v>
      </c>
      <c r="M1775" s="61" t="s">
        <v>4917</v>
      </c>
      <c r="N1775" s="77"/>
      <c r="O1775" s="58"/>
      <c r="P1775" s="62"/>
      <c r="Q1775" s="84"/>
      <c r="R1775" s="62"/>
      <c r="S1775" s="37" t="str">
        <f>IFERROR(__xludf.DUMMYFUNCTION("if(not(iserror(index(split(C1775, "" ""),2))), index(split(C1775, "" ""),1),"""")"),"September")</f>
        <v>September</v>
      </c>
      <c r="T1775" s="38">
        <f>IFERROR(__xludf.DUMMYFUNCTION("if(S1775="""",C1775,if(not(iserror(index(split(C1775, "" ""),3))), index(split(C1775, "" ""),3),index(split(C1775, "" ""),2)))"),2018.0)</f>
        <v>2018</v>
      </c>
      <c r="U1775" s="38" t="b">
        <f t="shared" si="257"/>
        <v>0</v>
      </c>
      <c r="V1775" s="38"/>
      <c r="W1775" s="40"/>
      <c r="X1775" s="40"/>
      <c r="Y1775" s="40"/>
      <c r="Z1775" s="38"/>
      <c r="AA1775" s="38"/>
      <c r="AB1775" s="38"/>
      <c r="AC1775" s="38"/>
      <c r="AD1775" s="38"/>
      <c r="AE1775" s="38"/>
      <c r="AF1775" s="38"/>
      <c r="AG1775" s="38"/>
      <c r="AH1775" s="38"/>
      <c r="AI1775" s="38"/>
      <c r="AJ1775" s="38"/>
      <c r="AK1775" s="38"/>
      <c r="AL1775" s="38"/>
      <c r="AM1775" s="38"/>
      <c r="AN1775" s="38"/>
      <c r="AO1775" s="38"/>
      <c r="AP1775" s="38"/>
      <c r="AQ1775" s="38"/>
      <c r="AR1775" s="38"/>
      <c r="AS1775" s="38"/>
      <c r="AT1775" s="38"/>
      <c r="AU1775" s="38"/>
      <c r="AV1775" s="38"/>
      <c r="AW1775" s="38"/>
      <c r="AX1775" s="38"/>
      <c r="AY1775" s="38"/>
      <c r="AZ1775" s="38"/>
      <c r="BA1775" s="38"/>
      <c r="BB1775" s="38"/>
      <c r="BC1775" s="38"/>
      <c r="BD1775" s="38"/>
      <c r="BE1775" s="38"/>
      <c r="BF1775" s="38"/>
      <c r="BG1775" s="38"/>
      <c r="BH1775" s="38"/>
      <c r="BI1775" s="38"/>
      <c r="BJ1775" s="38"/>
      <c r="BK1775" s="38"/>
      <c r="BL1775" s="38"/>
      <c r="BM1775" s="38"/>
      <c r="BN1775" s="38"/>
      <c r="BO1775" s="38"/>
      <c r="BP1775" s="38"/>
      <c r="BQ1775" s="38"/>
    </row>
    <row r="1776">
      <c r="A1776" s="58" t="s">
        <v>4918</v>
      </c>
      <c r="B1776" s="59"/>
      <c r="C1776" s="59">
        <v>43348.0</v>
      </c>
      <c r="D1776" s="60"/>
      <c r="E1776" s="58" t="s">
        <v>41</v>
      </c>
      <c r="F1776" s="58">
        <v>1.0</v>
      </c>
      <c r="G1776" s="58" t="s">
        <v>32</v>
      </c>
      <c r="H1776" s="43">
        <v>1.0</v>
      </c>
      <c r="I1776" s="58" t="s">
        <v>33</v>
      </c>
      <c r="J1776" s="58" t="s">
        <v>179</v>
      </c>
      <c r="K1776" s="58"/>
      <c r="L1776" s="58" t="s">
        <v>76</v>
      </c>
      <c r="M1776" s="61" t="s">
        <v>4919</v>
      </c>
      <c r="N1776" s="77"/>
      <c r="O1776" s="58"/>
      <c r="P1776" s="62"/>
      <c r="Q1776" s="58"/>
      <c r="R1776" s="62"/>
      <c r="S1776" s="37" t="str">
        <f>IFERROR(__xludf.DUMMYFUNCTION("if(not(iserror(index(split(C1776, "" ""),2))), index(split(C1776, "" ""),1),"""")"),"September")</f>
        <v>September</v>
      </c>
      <c r="T1776" s="38">
        <f>IFERROR(__xludf.DUMMYFUNCTION("if(S1776="""",C1776,if(not(iserror(index(split(C1776, "" ""),3))), index(split(C1776, "" ""),3),index(split(C1776, "" ""),2)))"),2018.0)</f>
        <v>2018</v>
      </c>
      <c r="U1776" s="38" t="b">
        <f t="shared" si="257"/>
        <v>0</v>
      </c>
      <c r="V1776" s="38" t="s">
        <v>33</v>
      </c>
      <c r="W1776" s="40"/>
      <c r="X1776" s="40"/>
      <c r="Y1776" s="40"/>
      <c r="Z1776" s="38"/>
      <c r="AA1776" s="38"/>
      <c r="AB1776" s="38"/>
      <c r="AC1776" s="38"/>
      <c r="AD1776" s="38"/>
      <c r="AE1776" s="38"/>
      <c r="AF1776" s="38"/>
      <c r="AG1776" s="38"/>
      <c r="AH1776" s="38"/>
      <c r="AI1776" s="38"/>
      <c r="AJ1776" s="38"/>
      <c r="AK1776" s="38"/>
      <c r="AL1776" s="38"/>
      <c r="AM1776" s="38"/>
      <c r="AN1776" s="38"/>
      <c r="AO1776" s="38"/>
      <c r="AP1776" s="38"/>
      <c r="AQ1776" s="38"/>
      <c r="AR1776" s="38"/>
      <c r="AS1776" s="38"/>
      <c r="AT1776" s="38"/>
      <c r="AU1776" s="38"/>
      <c r="AV1776" s="38"/>
      <c r="AW1776" s="38"/>
      <c r="AX1776" s="38"/>
      <c r="AY1776" s="38"/>
      <c r="AZ1776" s="38"/>
      <c r="BA1776" s="38"/>
      <c r="BB1776" s="38"/>
      <c r="BC1776" s="38"/>
      <c r="BD1776" s="38"/>
      <c r="BE1776" s="38"/>
      <c r="BF1776" s="38"/>
      <c r="BG1776" s="38"/>
      <c r="BH1776" s="38"/>
      <c r="BI1776" s="38"/>
      <c r="BJ1776" s="38"/>
      <c r="BK1776" s="38"/>
      <c r="BL1776" s="38"/>
      <c r="BM1776" s="38"/>
      <c r="BN1776" s="38"/>
      <c r="BO1776" s="38"/>
      <c r="BP1776" s="38"/>
      <c r="BQ1776" s="38"/>
    </row>
    <row r="1777">
      <c r="A1777" s="58" t="s">
        <v>4920</v>
      </c>
      <c r="B1777" s="59"/>
      <c r="C1777" s="59">
        <v>43348.0</v>
      </c>
      <c r="D1777" s="60"/>
      <c r="E1777" s="58" t="s">
        <v>41</v>
      </c>
      <c r="F1777" s="58">
        <v>1.0</v>
      </c>
      <c r="G1777" s="58" t="s">
        <v>32</v>
      </c>
      <c r="H1777" s="43">
        <v>1.0</v>
      </c>
      <c r="I1777" s="58" t="s">
        <v>33</v>
      </c>
      <c r="J1777" s="58" t="s">
        <v>55</v>
      </c>
      <c r="K1777" s="58"/>
      <c r="L1777" s="58" t="s">
        <v>69</v>
      </c>
      <c r="M1777" s="61" t="s">
        <v>4921</v>
      </c>
      <c r="N1777" s="77"/>
      <c r="O1777" s="58"/>
      <c r="P1777" s="62"/>
      <c r="Q1777" s="58">
        <v>1.0</v>
      </c>
      <c r="R1777" s="62"/>
      <c r="S1777" s="37"/>
      <c r="T1777" s="38"/>
      <c r="U1777" s="38"/>
      <c r="V1777" s="38" t="s">
        <v>33</v>
      </c>
      <c r="W1777" s="40"/>
      <c r="X1777" s="40"/>
      <c r="Y1777" s="40"/>
      <c r="Z1777" s="38"/>
      <c r="AA1777" s="38"/>
      <c r="AB1777" s="38"/>
      <c r="AC1777" s="38"/>
      <c r="AD1777" s="38"/>
      <c r="AE1777" s="38"/>
      <c r="AF1777" s="38"/>
      <c r="AG1777" s="38"/>
      <c r="AH1777" s="38"/>
      <c r="AI1777" s="38"/>
      <c r="AJ1777" s="38"/>
      <c r="AK1777" s="38"/>
      <c r="AL1777" s="38"/>
      <c r="AM1777" s="38"/>
      <c r="AN1777" s="38"/>
      <c r="AO1777" s="38"/>
      <c r="AP1777" s="38"/>
      <c r="AQ1777" s="38"/>
      <c r="AR1777" s="38"/>
      <c r="AS1777" s="38"/>
      <c r="AT1777" s="38"/>
      <c r="AU1777" s="38"/>
      <c r="AV1777" s="38"/>
      <c r="AW1777" s="38"/>
      <c r="AX1777" s="38"/>
      <c r="AY1777" s="38"/>
      <c r="AZ1777" s="38"/>
      <c r="BA1777" s="38"/>
      <c r="BB1777" s="38"/>
      <c r="BC1777" s="38"/>
      <c r="BD1777" s="38"/>
      <c r="BE1777" s="38"/>
      <c r="BF1777" s="38"/>
      <c r="BG1777" s="38"/>
      <c r="BH1777" s="38"/>
      <c r="BI1777" s="38"/>
      <c r="BJ1777" s="38"/>
      <c r="BK1777" s="38"/>
      <c r="BL1777" s="38"/>
      <c r="BM1777" s="38"/>
      <c r="BN1777" s="38"/>
      <c r="BO1777" s="38"/>
      <c r="BP1777" s="38"/>
      <c r="BQ1777" s="38"/>
    </row>
    <row r="1778">
      <c r="A1778" s="194" t="s">
        <v>4922</v>
      </c>
      <c r="B1778" s="137">
        <v>43378.0</v>
      </c>
      <c r="C1778" s="126">
        <v>43348.0</v>
      </c>
      <c r="D1778" s="196" t="s">
        <v>4923</v>
      </c>
      <c r="E1778" s="124" t="s">
        <v>41</v>
      </c>
      <c r="F1778" s="129">
        <v>1.0</v>
      </c>
      <c r="G1778" s="128" t="s">
        <v>32</v>
      </c>
      <c r="H1778" s="33">
        <f t="shared" ref="H1778:H1779" si="262">if(G1778="Unknown",1,G1778)</f>
        <v>1</v>
      </c>
      <c r="I1778" s="128" t="s">
        <v>33</v>
      </c>
      <c r="J1778" s="128" t="s">
        <v>111</v>
      </c>
      <c r="K1778" s="58">
        <v>1.0</v>
      </c>
      <c r="L1778" s="124" t="s">
        <v>119</v>
      </c>
      <c r="M1778" s="197" t="s">
        <v>2426</v>
      </c>
      <c r="N1778" s="249"/>
      <c r="O1778" s="173" t="str">
        <f>hyperlink("https://bad-boys.us/?q=CD-CA/2:18-cr-00552", "CD-CA 2:18-cr-00552")</f>
        <v>CD-CA 2:18-cr-00552</v>
      </c>
      <c r="P1778" s="173" t="s">
        <v>4924</v>
      </c>
      <c r="Q1778" s="198">
        <v>1.0</v>
      </c>
      <c r="R1778" s="133"/>
      <c r="S1778" s="37" t="str">
        <f>IFERROR(__xludf.DUMMYFUNCTION("if(not(iserror(index(split(C1778, "" ""),2))), index(split(C1778, "" ""),1),"""")"),"September")</f>
        <v>September</v>
      </c>
      <c r="T1778" s="38">
        <f>IFERROR(__xludf.DUMMYFUNCTION("if(S1778="""",C1778,if(not(iserror(index(split(C1778, "" ""),3))), index(split(C1778, "" ""),3),index(split(C1778, "" ""),2)))"),2018.0)</f>
        <v>2018</v>
      </c>
      <c r="U1778" s="38" t="b">
        <f t="shared" ref="U1778:U1784" si="263">countif(A$4:A4658, A1778)&gt;1</f>
        <v>0</v>
      </c>
      <c r="V1778" s="38"/>
      <c r="W1778" s="40"/>
      <c r="X1778" s="40"/>
      <c r="Y1778" s="40"/>
      <c r="Z1778" s="38"/>
      <c r="AA1778" s="38"/>
      <c r="AB1778" s="38"/>
      <c r="AC1778" s="38"/>
      <c r="AD1778" s="38"/>
      <c r="AE1778" s="38"/>
      <c r="AF1778" s="38"/>
      <c r="AG1778" s="38"/>
      <c r="AH1778" s="38"/>
      <c r="AI1778" s="38"/>
      <c r="AJ1778" s="38"/>
      <c r="AK1778" s="38"/>
      <c r="AL1778" s="38"/>
      <c r="AM1778" s="38"/>
      <c r="AN1778" s="38"/>
      <c r="AO1778" s="38"/>
      <c r="AP1778" s="38"/>
      <c r="AQ1778" s="38"/>
      <c r="AR1778" s="38"/>
      <c r="AS1778" s="38"/>
      <c r="AT1778" s="38"/>
      <c r="AU1778" s="38"/>
      <c r="AV1778" s="38"/>
      <c r="AW1778" s="38"/>
      <c r="AX1778" s="38"/>
      <c r="AY1778" s="38"/>
      <c r="AZ1778" s="38"/>
      <c r="BA1778" s="38"/>
      <c r="BB1778" s="38"/>
      <c r="BC1778" s="38"/>
      <c r="BD1778" s="38"/>
      <c r="BE1778" s="38"/>
      <c r="BF1778" s="38"/>
      <c r="BG1778" s="38"/>
      <c r="BH1778" s="38"/>
      <c r="BI1778" s="38"/>
      <c r="BJ1778" s="38"/>
      <c r="BK1778" s="38"/>
      <c r="BL1778" s="38"/>
      <c r="BM1778" s="38"/>
      <c r="BN1778" s="38"/>
      <c r="BO1778" s="38"/>
      <c r="BP1778" s="38"/>
      <c r="BQ1778" s="38"/>
    </row>
    <row r="1779">
      <c r="A1779" s="152" t="s">
        <v>4925</v>
      </c>
      <c r="B1779" s="153">
        <v>43349.0</v>
      </c>
      <c r="C1779" s="153">
        <v>43349.0</v>
      </c>
      <c r="D1779" s="154" t="s">
        <v>4926</v>
      </c>
      <c r="E1779" s="155" t="s">
        <v>41</v>
      </c>
      <c r="F1779" s="152">
        <v>1.0</v>
      </c>
      <c r="G1779" s="152" t="s">
        <v>32</v>
      </c>
      <c r="H1779" s="33">
        <f t="shared" si="262"/>
        <v>1</v>
      </c>
      <c r="I1779" s="152" t="s">
        <v>33</v>
      </c>
      <c r="J1779" s="152" t="s">
        <v>410</v>
      </c>
      <c r="K1779" s="152">
        <v>3.0</v>
      </c>
      <c r="L1779" s="152" t="s">
        <v>2885</v>
      </c>
      <c r="M1779" s="158" t="s">
        <v>4927</v>
      </c>
      <c r="N1779" s="163"/>
      <c r="O1779" s="58"/>
      <c r="P1779" s="58"/>
      <c r="Q1779" s="84"/>
      <c r="R1779" s="62"/>
      <c r="S1779" s="37" t="str">
        <f>IFERROR(__xludf.DUMMYFUNCTION("if(not(iserror(index(split(C1779, "" ""),2))), index(split(C1779, "" ""),1),"""")"),"September")</f>
        <v>September</v>
      </c>
      <c r="T1779" s="38">
        <f>IFERROR(__xludf.DUMMYFUNCTION("if(S1779="""",C1779,if(not(iserror(index(split(C1779, "" ""),3))), index(split(C1779, "" ""),3),index(split(C1779, "" ""),2)))"),2018.0)</f>
        <v>2018</v>
      </c>
      <c r="U1779" s="38" t="b">
        <f t="shared" si="263"/>
        <v>0</v>
      </c>
      <c r="V1779" s="38"/>
      <c r="W1779" s="40"/>
      <c r="X1779" s="40"/>
      <c r="Y1779" s="40"/>
      <c r="Z1779" s="38"/>
      <c r="AA1779" s="38"/>
      <c r="AB1779" s="38"/>
      <c r="AC1779" s="38"/>
      <c r="AD1779" s="38"/>
      <c r="AE1779" s="38"/>
      <c r="AF1779" s="38"/>
      <c r="AG1779" s="38"/>
      <c r="AH1779" s="38"/>
      <c r="AI1779" s="38"/>
      <c r="AJ1779" s="38"/>
      <c r="AK1779" s="38"/>
      <c r="AL1779" s="38"/>
      <c r="AM1779" s="38"/>
      <c r="AN1779" s="38"/>
      <c r="AO1779" s="38"/>
      <c r="AP1779" s="38"/>
      <c r="AQ1779" s="38"/>
      <c r="AR1779" s="38"/>
      <c r="AS1779" s="38"/>
      <c r="AT1779" s="38"/>
      <c r="AU1779" s="38"/>
      <c r="AV1779" s="38"/>
      <c r="AW1779" s="38"/>
      <c r="AX1779" s="38"/>
      <c r="AY1779" s="38"/>
      <c r="AZ1779" s="38"/>
      <c r="BA1779" s="38"/>
      <c r="BB1779" s="38"/>
      <c r="BC1779" s="38"/>
      <c r="BD1779" s="38"/>
      <c r="BE1779" s="38"/>
      <c r="BF1779" s="38"/>
      <c r="BG1779" s="38"/>
      <c r="BH1779" s="38"/>
      <c r="BI1779" s="38"/>
      <c r="BJ1779" s="38"/>
      <c r="BK1779" s="38"/>
      <c r="BL1779" s="38"/>
      <c r="BM1779" s="38"/>
      <c r="BN1779" s="38"/>
      <c r="BO1779" s="38"/>
      <c r="BP1779" s="38"/>
      <c r="BQ1779" s="38"/>
    </row>
    <row r="1780">
      <c r="A1780" s="78" t="s">
        <v>4928</v>
      </c>
      <c r="B1780" s="59"/>
      <c r="C1780" s="240">
        <v>43349.0</v>
      </c>
      <c r="D1780" s="60"/>
      <c r="E1780" s="58" t="s">
        <v>41</v>
      </c>
      <c r="F1780" s="58">
        <v>1.0</v>
      </c>
      <c r="G1780" s="58" t="s">
        <v>32</v>
      </c>
      <c r="H1780" s="43">
        <v>1.0</v>
      </c>
      <c r="I1780" s="58" t="s">
        <v>33</v>
      </c>
      <c r="J1780" s="58" t="s">
        <v>179</v>
      </c>
      <c r="K1780" s="58"/>
      <c r="L1780" s="58" t="s">
        <v>119</v>
      </c>
      <c r="M1780" s="61" t="s">
        <v>4929</v>
      </c>
      <c r="N1780" s="61" t="s">
        <v>4930</v>
      </c>
      <c r="O1780" s="83" t="str">
        <f>hyperlink("https://bad-boys.us/?q=ED-VA/1:18-cr-00339", "ED-VA 1:18-cr-00339")</f>
        <v>ED-VA 1:18-cr-00339</v>
      </c>
      <c r="P1780" s="88" t="s">
        <v>4931</v>
      </c>
      <c r="Q1780" s="58">
        <v>1.0</v>
      </c>
      <c r="R1780" s="62"/>
      <c r="S1780" s="37" t="str">
        <f>IFERROR(__xludf.DUMMYFUNCTION("if(not(iserror(index(split(C1780, "" ""),2))), index(split(C1780, "" ""),1),"""")"),"September")</f>
        <v>September</v>
      </c>
      <c r="T1780" s="38">
        <f>IFERROR(__xludf.DUMMYFUNCTION("if(S1780="""",C1780,if(not(iserror(index(split(C1780, "" ""),3))), index(split(C1780, "" ""),3),index(split(C1780, "" ""),2)))"),2018.0)</f>
        <v>2018</v>
      </c>
      <c r="U1780" s="38" t="b">
        <f t="shared" si="263"/>
        <v>0</v>
      </c>
      <c r="V1780" s="38" t="s">
        <v>33</v>
      </c>
      <c r="W1780" s="39" t="s">
        <v>4932</v>
      </c>
      <c r="X1780" s="40"/>
      <c r="Y1780" s="40"/>
      <c r="Z1780" s="38"/>
      <c r="AA1780" s="38"/>
      <c r="AB1780" s="38"/>
      <c r="AC1780" s="38"/>
      <c r="AD1780" s="38"/>
      <c r="AE1780" s="38"/>
      <c r="AF1780" s="38"/>
      <c r="AG1780" s="38"/>
      <c r="AH1780" s="38"/>
      <c r="AI1780" s="38"/>
      <c r="AJ1780" s="38"/>
      <c r="AK1780" s="38"/>
      <c r="AL1780" s="38"/>
      <c r="AM1780" s="38"/>
      <c r="AN1780" s="38"/>
      <c r="AO1780" s="38"/>
      <c r="AP1780" s="38"/>
      <c r="AQ1780" s="38"/>
      <c r="AR1780" s="38"/>
      <c r="AS1780" s="38"/>
      <c r="AT1780" s="38"/>
      <c r="AU1780" s="38"/>
      <c r="AV1780" s="38"/>
      <c r="AW1780" s="38"/>
      <c r="AX1780" s="38"/>
      <c r="AY1780" s="38"/>
      <c r="AZ1780" s="38"/>
      <c r="BA1780" s="38"/>
      <c r="BB1780" s="38"/>
      <c r="BC1780" s="38"/>
      <c r="BD1780" s="38"/>
      <c r="BE1780" s="38"/>
      <c r="BF1780" s="38"/>
      <c r="BG1780" s="38"/>
      <c r="BH1780" s="38"/>
      <c r="BI1780" s="38"/>
      <c r="BJ1780" s="38"/>
      <c r="BK1780" s="38"/>
      <c r="BL1780" s="38"/>
      <c r="BM1780" s="38"/>
      <c r="BN1780" s="38"/>
      <c r="BO1780" s="38"/>
      <c r="BP1780" s="38"/>
      <c r="BQ1780" s="38"/>
    </row>
    <row r="1781">
      <c r="A1781" s="78" t="s">
        <v>660</v>
      </c>
      <c r="B1781" s="59">
        <v>43350.0</v>
      </c>
      <c r="C1781" s="59">
        <v>43349.0</v>
      </c>
      <c r="D1781" s="60" t="s">
        <v>4926</v>
      </c>
      <c r="E1781" s="58" t="s">
        <v>41</v>
      </c>
      <c r="F1781" s="58">
        <v>6.0</v>
      </c>
      <c r="G1781" s="58" t="s">
        <v>32</v>
      </c>
      <c r="H1781" s="33">
        <f t="shared" ref="H1781:H1784" si="264">if(G1781="Unknown",1,G1781)</f>
        <v>1</v>
      </c>
      <c r="I1781" s="58" t="s">
        <v>33</v>
      </c>
      <c r="J1781" s="58" t="s">
        <v>140</v>
      </c>
      <c r="K1781" s="58">
        <v>1.0</v>
      </c>
      <c r="L1781" s="58" t="s">
        <v>52</v>
      </c>
      <c r="M1781" s="61" t="s">
        <v>4933</v>
      </c>
      <c r="N1781" s="77"/>
      <c r="O1781" s="62"/>
      <c r="P1781" s="62"/>
      <c r="Q1781" s="62"/>
      <c r="R1781" s="62"/>
      <c r="S1781" s="37" t="str">
        <f>IFERROR(__xludf.DUMMYFUNCTION("if(not(iserror(index(split(C1781, "" ""),2))), index(split(C1781, "" ""),1),"""")"),"September")</f>
        <v>September</v>
      </c>
      <c r="T1781" s="38">
        <f>IFERROR(__xludf.DUMMYFUNCTION("if(S1781="""",C1781,if(not(iserror(index(split(C1781, "" ""),3))), index(split(C1781, "" ""),3),index(split(C1781, "" ""),2)))"),2018.0)</f>
        <v>2018</v>
      </c>
      <c r="U1781" s="38" t="b">
        <f t="shared" si="263"/>
        <v>1</v>
      </c>
      <c r="V1781" s="38"/>
      <c r="W1781" s="40"/>
      <c r="X1781" s="40"/>
      <c r="Y1781" s="40"/>
      <c r="Z1781" s="38"/>
      <c r="AA1781" s="38"/>
      <c r="AB1781" s="38"/>
      <c r="AC1781" s="38"/>
      <c r="AD1781" s="38"/>
      <c r="AE1781" s="38"/>
      <c r="AF1781" s="38"/>
      <c r="AG1781" s="38"/>
      <c r="AH1781" s="38"/>
      <c r="AI1781" s="38"/>
      <c r="AJ1781" s="38"/>
      <c r="AK1781" s="38"/>
      <c r="AL1781" s="38"/>
      <c r="AM1781" s="38"/>
      <c r="AN1781" s="38"/>
      <c r="AO1781" s="38"/>
      <c r="AP1781" s="38"/>
      <c r="AQ1781" s="38"/>
      <c r="AR1781" s="38"/>
      <c r="AS1781" s="38"/>
      <c r="AT1781" s="38"/>
      <c r="AU1781" s="38"/>
      <c r="AV1781" s="38"/>
      <c r="AW1781" s="38"/>
      <c r="AX1781" s="38"/>
      <c r="AY1781" s="38"/>
      <c r="AZ1781" s="38"/>
      <c r="BA1781" s="38"/>
      <c r="BB1781" s="38"/>
      <c r="BC1781" s="38"/>
      <c r="BD1781" s="38"/>
      <c r="BE1781" s="38"/>
      <c r="BF1781" s="38"/>
      <c r="BG1781" s="38"/>
      <c r="BH1781" s="38"/>
      <c r="BI1781" s="38"/>
      <c r="BJ1781" s="38"/>
      <c r="BK1781" s="38"/>
      <c r="BL1781" s="38"/>
      <c r="BM1781" s="38"/>
      <c r="BN1781" s="38"/>
      <c r="BO1781" s="38"/>
      <c r="BP1781" s="38"/>
      <c r="BQ1781" s="38"/>
    </row>
    <row r="1782">
      <c r="A1782" s="58" t="s">
        <v>4934</v>
      </c>
      <c r="B1782" s="59">
        <v>43351.0</v>
      </c>
      <c r="C1782" s="59">
        <v>43349.0</v>
      </c>
      <c r="D1782" s="60" t="s">
        <v>4926</v>
      </c>
      <c r="E1782" s="58" t="s">
        <v>31</v>
      </c>
      <c r="F1782" s="58">
        <v>3.0</v>
      </c>
      <c r="G1782" s="58" t="s">
        <v>32</v>
      </c>
      <c r="H1782" s="33">
        <f t="shared" si="264"/>
        <v>1</v>
      </c>
      <c r="I1782" s="58" t="s">
        <v>33</v>
      </c>
      <c r="J1782" s="58" t="s">
        <v>343</v>
      </c>
      <c r="K1782" s="58">
        <v>1.0</v>
      </c>
      <c r="L1782" s="58" t="s">
        <v>52</v>
      </c>
      <c r="M1782" s="61" t="s">
        <v>4935</v>
      </c>
      <c r="N1782" s="77"/>
      <c r="O1782" s="62"/>
      <c r="P1782" s="62"/>
      <c r="Q1782" s="62"/>
      <c r="R1782" s="62"/>
      <c r="S1782" s="37" t="str">
        <f>IFERROR(__xludf.DUMMYFUNCTION("if(not(iserror(index(split(C1782, "" ""),2))), index(split(C1782, "" ""),1),"""")"),"September")</f>
        <v>September</v>
      </c>
      <c r="T1782" s="38">
        <f>IFERROR(__xludf.DUMMYFUNCTION("if(S1782="""",C1782,if(not(iserror(index(split(C1782, "" ""),3))), index(split(C1782, "" ""),3),index(split(C1782, "" ""),2)))"),2018.0)</f>
        <v>2018</v>
      </c>
      <c r="U1782" s="38" t="b">
        <f t="shared" si="263"/>
        <v>0</v>
      </c>
      <c r="V1782" s="38"/>
      <c r="W1782" s="40"/>
      <c r="X1782" s="40"/>
      <c r="Y1782" s="40"/>
      <c r="Z1782" s="38"/>
      <c r="AA1782" s="38"/>
      <c r="AB1782" s="38"/>
      <c r="AC1782" s="38"/>
      <c r="AD1782" s="38"/>
      <c r="AE1782" s="38"/>
      <c r="AF1782" s="38"/>
      <c r="AG1782" s="38"/>
      <c r="AH1782" s="38"/>
      <c r="AI1782" s="38"/>
      <c r="AJ1782" s="38"/>
      <c r="AK1782" s="38"/>
      <c r="AL1782" s="38"/>
      <c r="AM1782" s="38"/>
      <c r="AN1782" s="38"/>
      <c r="AO1782" s="38"/>
      <c r="AP1782" s="38"/>
      <c r="AQ1782" s="38"/>
      <c r="AR1782" s="38"/>
      <c r="AS1782" s="38"/>
      <c r="AT1782" s="38"/>
      <c r="AU1782" s="38"/>
      <c r="AV1782" s="38"/>
      <c r="AW1782" s="38"/>
      <c r="AX1782" s="38"/>
      <c r="AY1782" s="38"/>
      <c r="AZ1782" s="38"/>
      <c r="BA1782" s="38"/>
      <c r="BB1782" s="38"/>
      <c r="BC1782" s="38"/>
      <c r="BD1782" s="38"/>
      <c r="BE1782" s="38"/>
      <c r="BF1782" s="38"/>
      <c r="BG1782" s="38"/>
      <c r="BH1782" s="38"/>
      <c r="BI1782" s="38"/>
      <c r="BJ1782" s="38"/>
      <c r="BK1782" s="38"/>
      <c r="BL1782" s="38"/>
      <c r="BM1782" s="38"/>
      <c r="BN1782" s="38"/>
      <c r="BO1782" s="38"/>
      <c r="BP1782" s="38"/>
      <c r="BQ1782" s="38"/>
    </row>
    <row r="1783">
      <c r="A1783" s="58" t="s">
        <v>4936</v>
      </c>
      <c r="B1783" s="59">
        <v>43351.0</v>
      </c>
      <c r="C1783" s="59">
        <v>43349.0</v>
      </c>
      <c r="D1783" s="60" t="s">
        <v>4926</v>
      </c>
      <c r="E1783" s="58" t="s">
        <v>31</v>
      </c>
      <c r="F1783" s="58">
        <v>1.0</v>
      </c>
      <c r="G1783" s="58" t="s">
        <v>32</v>
      </c>
      <c r="H1783" s="33">
        <f t="shared" si="264"/>
        <v>1</v>
      </c>
      <c r="I1783" s="58" t="s">
        <v>33</v>
      </c>
      <c r="J1783" s="58" t="s">
        <v>147</v>
      </c>
      <c r="K1783" s="58">
        <v>4.0</v>
      </c>
      <c r="L1783" s="58" t="s">
        <v>99</v>
      </c>
      <c r="M1783" s="61" t="s">
        <v>4937</v>
      </c>
      <c r="N1783" s="77"/>
      <c r="O1783" s="62"/>
      <c r="P1783" s="62"/>
      <c r="Q1783" s="62"/>
      <c r="R1783" s="62"/>
      <c r="S1783" s="37" t="str">
        <f>IFERROR(__xludf.DUMMYFUNCTION("if(not(iserror(index(split(C1783, "" ""),2))), index(split(C1783, "" ""),1),"""")"),"September")</f>
        <v>September</v>
      </c>
      <c r="T1783" s="38">
        <f>IFERROR(__xludf.DUMMYFUNCTION("if(S1783="""",C1783,if(not(iserror(index(split(C1783, "" ""),3))), index(split(C1783, "" ""),3),index(split(C1783, "" ""),2)))"),2018.0)</f>
        <v>2018</v>
      </c>
      <c r="U1783" s="38" t="b">
        <f t="shared" si="263"/>
        <v>0</v>
      </c>
      <c r="V1783" s="38"/>
      <c r="W1783" s="40"/>
      <c r="X1783" s="40"/>
      <c r="Y1783" s="40"/>
      <c r="Z1783" s="38"/>
      <c r="AA1783" s="38"/>
      <c r="AB1783" s="38"/>
      <c r="AC1783" s="38"/>
      <c r="AD1783" s="38"/>
      <c r="AE1783" s="38"/>
      <c r="AF1783" s="38"/>
      <c r="AG1783" s="38"/>
      <c r="AH1783" s="38"/>
      <c r="AI1783" s="38"/>
      <c r="AJ1783" s="38"/>
      <c r="AK1783" s="38"/>
      <c r="AL1783" s="38"/>
      <c r="AM1783" s="38"/>
      <c r="AN1783" s="38"/>
      <c r="AO1783" s="38"/>
      <c r="AP1783" s="38"/>
      <c r="AQ1783" s="38"/>
      <c r="AR1783" s="38"/>
      <c r="AS1783" s="38"/>
      <c r="AT1783" s="38"/>
      <c r="AU1783" s="38"/>
      <c r="AV1783" s="38"/>
      <c r="AW1783" s="38"/>
      <c r="AX1783" s="38"/>
      <c r="AY1783" s="38"/>
      <c r="AZ1783" s="38"/>
      <c r="BA1783" s="38"/>
      <c r="BB1783" s="38"/>
      <c r="BC1783" s="38"/>
      <c r="BD1783" s="38"/>
      <c r="BE1783" s="38"/>
      <c r="BF1783" s="38"/>
      <c r="BG1783" s="38"/>
      <c r="BH1783" s="38"/>
      <c r="BI1783" s="38"/>
      <c r="BJ1783" s="38"/>
      <c r="BK1783" s="38"/>
      <c r="BL1783" s="38"/>
      <c r="BM1783" s="38"/>
      <c r="BN1783" s="38"/>
      <c r="BO1783" s="38"/>
      <c r="BP1783" s="38"/>
      <c r="BQ1783" s="38"/>
    </row>
    <row r="1784">
      <c r="A1784" s="58" t="s">
        <v>239</v>
      </c>
      <c r="B1784" s="59">
        <v>43353.0</v>
      </c>
      <c r="C1784" s="59">
        <v>43349.0</v>
      </c>
      <c r="D1784" s="60" t="s">
        <v>4926</v>
      </c>
      <c r="E1784" s="58" t="s">
        <v>41</v>
      </c>
      <c r="F1784" s="58">
        <v>1.0</v>
      </c>
      <c r="G1784" s="58">
        <v>10.0</v>
      </c>
      <c r="H1784" s="33">
        <f t="shared" si="264"/>
        <v>10</v>
      </c>
      <c r="I1784" s="58" t="s">
        <v>33</v>
      </c>
      <c r="J1784" s="58" t="s">
        <v>147</v>
      </c>
      <c r="K1784" s="58">
        <v>1.0</v>
      </c>
      <c r="L1784" s="58" t="s">
        <v>194</v>
      </c>
      <c r="M1784" s="61" t="s">
        <v>4938</v>
      </c>
      <c r="N1784" s="77"/>
      <c r="O1784" s="62"/>
      <c r="P1784" s="62"/>
      <c r="Q1784" s="62"/>
      <c r="R1784" s="62"/>
      <c r="S1784" s="37" t="str">
        <f>IFERROR(__xludf.DUMMYFUNCTION("if(not(iserror(index(split(C1784, "" ""),2))), index(split(C1784, "" ""),1),"""")"),"September")</f>
        <v>September</v>
      </c>
      <c r="T1784" s="38">
        <f>IFERROR(__xludf.DUMMYFUNCTION("if(S1784="""",C1784,if(not(iserror(index(split(C1784, "" ""),3))), index(split(C1784, "" ""),3),index(split(C1784, "" ""),2)))"),2018.0)</f>
        <v>2018</v>
      </c>
      <c r="U1784" s="38" t="b">
        <f t="shared" si="263"/>
        <v>1</v>
      </c>
      <c r="V1784" s="38"/>
      <c r="W1784" s="40"/>
      <c r="X1784" s="40"/>
      <c r="Y1784" s="40"/>
      <c r="Z1784" s="38"/>
      <c r="AA1784" s="38"/>
      <c r="AB1784" s="38"/>
      <c r="AC1784" s="38"/>
      <c r="AD1784" s="38"/>
      <c r="AE1784" s="38"/>
      <c r="AF1784" s="38"/>
      <c r="AG1784" s="38"/>
      <c r="AH1784" s="38"/>
      <c r="AI1784" s="38"/>
      <c r="AJ1784" s="38"/>
      <c r="AK1784" s="38"/>
      <c r="AL1784" s="38"/>
      <c r="AM1784" s="38"/>
      <c r="AN1784" s="38"/>
      <c r="AO1784" s="38"/>
      <c r="AP1784" s="38"/>
      <c r="AQ1784" s="38"/>
      <c r="AR1784" s="38"/>
      <c r="AS1784" s="38"/>
      <c r="AT1784" s="38"/>
      <c r="AU1784" s="38"/>
      <c r="AV1784" s="38"/>
      <c r="AW1784" s="38"/>
      <c r="AX1784" s="38"/>
      <c r="AY1784" s="38"/>
      <c r="AZ1784" s="38"/>
      <c r="BA1784" s="38"/>
      <c r="BB1784" s="38"/>
      <c r="BC1784" s="38"/>
      <c r="BD1784" s="38"/>
      <c r="BE1784" s="38"/>
      <c r="BF1784" s="38"/>
      <c r="BG1784" s="38"/>
      <c r="BH1784" s="38"/>
      <c r="BI1784" s="38"/>
      <c r="BJ1784" s="38"/>
      <c r="BK1784" s="38"/>
      <c r="BL1784" s="38"/>
      <c r="BM1784" s="38"/>
      <c r="BN1784" s="38"/>
      <c r="BO1784" s="38"/>
      <c r="BP1784" s="38"/>
      <c r="BQ1784" s="38"/>
    </row>
    <row r="1785">
      <c r="A1785" s="58" t="s">
        <v>4939</v>
      </c>
      <c r="B1785" s="59"/>
      <c r="C1785" s="59">
        <v>43349.0</v>
      </c>
      <c r="D1785" s="60"/>
      <c r="E1785" s="58" t="s">
        <v>41</v>
      </c>
      <c r="F1785" s="58">
        <v>1.0</v>
      </c>
      <c r="G1785" s="58" t="s">
        <v>32</v>
      </c>
      <c r="H1785" s="43">
        <v>1.0</v>
      </c>
      <c r="I1785" s="58" t="s">
        <v>33</v>
      </c>
      <c r="J1785" s="58" t="s">
        <v>460</v>
      </c>
      <c r="K1785" s="58"/>
      <c r="L1785" s="58" t="s">
        <v>119</v>
      </c>
      <c r="M1785" s="61" t="s">
        <v>4940</v>
      </c>
      <c r="N1785" s="77"/>
      <c r="O1785" s="62"/>
      <c r="P1785" s="62"/>
      <c r="Q1785" s="58">
        <v>1.0</v>
      </c>
      <c r="R1785" s="62"/>
      <c r="S1785" s="37"/>
      <c r="T1785" s="38"/>
      <c r="U1785" s="38"/>
      <c r="V1785" s="38" t="s">
        <v>33</v>
      </c>
      <c r="W1785" s="40"/>
      <c r="X1785" s="40"/>
      <c r="Y1785" s="40"/>
      <c r="Z1785" s="38"/>
      <c r="AA1785" s="38"/>
      <c r="AB1785" s="38"/>
      <c r="AC1785" s="38"/>
      <c r="AD1785" s="38"/>
      <c r="AE1785" s="38"/>
      <c r="AF1785" s="38"/>
      <c r="AG1785" s="38"/>
      <c r="AH1785" s="38"/>
      <c r="AI1785" s="38"/>
      <c r="AJ1785" s="38"/>
      <c r="AK1785" s="38"/>
      <c r="AL1785" s="38"/>
      <c r="AM1785" s="38"/>
      <c r="AN1785" s="38"/>
      <c r="AO1785" s="38"/>
      <c r="AP1785" s="38"/>
      <c r="AQ1785" s="38"/>
      <c r="AR1785" s="38"/>
      <c r="AS1785" s="38"/>
      <c r="AT1785" s="38"/>
      <c r="AU1785" s="38"/>
      <c r="AV1785" s="38"/>
      <c r="AW1785" s="38"/>
      <c r="AX1785" s="38"/>
      <c r="AY1785" s="38"/>
      <c r="AZ1785" s="38"/>
      <c r="BA1785" s="38"/>
      <c r="BB1785" s="38"/>
      <c r="BC1785" s="38"/>
      <c r="BD1785" s="38"/>
      <c r="BE1785" s="38"/>
      <c r="BF1785" s="38"/>
      <c r="BG1785" s="38"/>
      <c r="BH1785" s="38"/>
      <c r="BI1785" s="38"/>
      <c r="BJ1785" s="38"/>
      <c r="BK1785" s="38"/>
      <c r="BL1785" s="38"/>
      <c r="BM1785" s="38"/>
      <c r="BN1785" s="38"/>
      <c r="BO1785" s="38"/>
      <c r="BP1785" s="38"/>
      <c r="BQ1785" s="38"/>
    </row>
    <row r="1786">
      <c r="A1786" s="78" t="s">
        <v>660</v>
      </c>
      <c r="B1786" s="59">
        <v>43350.0</v>
      </c>
      <c r="C1786" s="59">
        <v>43350.0</v>
      </c>
      <c r="D1786" s="60" t="s">
        <v>4941</v>
      </c>
      <c r="E1786" s="58" t="s">
        <v>31</v>
      </c>
      <c r="F1786" s="58">
        <v>7.0</v>
      </c>
      <c r="G1786" s="58" t="s">
        <v>32</v>
      </c>
      <c r="H1786" s="33">
        <f t="shared" ref="H1786:H1788" si="265">if(G1786="Unknown",1,G1786)</f>
        <v>1</v>
      </c>
      <c r="I1786" s="58" t="s">
        <v>33</v>
      </c>
      <c r="J1786" s="58" t="s">
        <v>184</v>
      </c>
      <c r="K1786" s="58">
        <v>1.0</v>
      </c>
      <c r="L1786" s="58" t="s">
        <v>52</v>
      </c>
      <c r="M1786" s="61" t="s">
        <v>4942</v>
      </c>
      <c r="N1786" s="77"/>
      <c r="O1786" s="62"/>
      <c r="P1786" s="62"/>
      <c r="Q1786" s="62"/>
      <c r="R1786" s="62"/>
      <c r="S1786" s="37" t="str">
        <f>IFERROR(__xludf.DUMMYFUNCTION("if(not(iserror(index(split(C1786, "" ""),2))), index(split(C1786, "" ""),1),"""")"),"September")</f>
        <v>September</v>
      </c>
      <c r="T1786" s="38">
        <f>IFERROR(__xludf.DUMMYFUNCTION("if(S1786="""",C1786,if(not(iserror(index(split(C1786, "" ""),3))), index(split(C1786, "" ""),3),index(split(C1786, "" ""),2)))"),2018.0)</f>
        <v>2018</v>
      </c>
      <c r="U1786" s="38" t="b">
        <f t="shared" ref="U1786:U1788" si="266">countif(A$4:A4658, A1786)&gt;1</f>
        <v>1</v>
      </c>
      <c r="V1786" s="38"/>
      <c r="W1786" s="40"/>
      <c r="X1786" s="40"/>
      <c r="Y1786" s="40"/>
      <c r="Z1786" s="38"/>
      <c r="AA1786" s="38"/>
      <c r="AB1786" s="38"/>
      <c r="AC1786" s="38"/>
      <c r="AD1786" s="38"/>
      <c r="AE1786" s="38"/>
      <c r="AF1786" s="38"/>
      <c r="AG1786" s="38"/>
      <c r="AH1786" s="38"/>
      <c r="AI1786" s="38"/>
      <c r="AJ1786" s="38"/>
      <c r="AK1786" s="38"/>
      <c r="AL1786" s="38"/>
      <c r="AM1786" s="38"/>
      <c r="AN1786" s="38"/>
      <c r="AO1786" s="38"/>
      <c r="AP1786" s="38"/>
      <c r="AQ1786" s="38"/>
      <c r="AR1786" s="38"/>
      <c r="AS1786" s="38"/>
      <c r="AT1786" s="38"/>
      <c r="AU1786" s="38"/>
      <c r="AV1786" s="38"/>
      <c r="AW1786" s="38"/>
      <c r="AX1786" s="38"/>
      <c r="AY1786" s="38"/>
      <c r="AZ1786" s="38"/>
      <c r="BA1786" s="38"/>
      <c r="BB1786" s="38"/>
      <c r="BC1786" s="38"/>
      <c r="BD1786" s="38"/>
      <c r="BE1786" s="38"/>
      <c r="BF1786" s="38"/>
      <c r="BG1786" s="38"/>
      <c r="BH1786" s="38"/>
      <c r="BI1786" s="38"/>
      <c r="BJ1786" s="38"/>
      <c r="BK1786" s="38"/>
      <c r="BL1786" s="38"/>
      <c r="BM1786" s="38"/>
      <c r="BN1786" s="38"/>
      <c r="BO1786" s="38"/>
      <c r="BP1786" s="38"/>
      <c r="BQ1786" s="38"/>
    </row>
    <row r="1787">
      <c r="A1787" s="78" t="s">
        <v>4943</v>
      </c>
      <c r="B1787" s="59">
        <v>43350.0</v>
      </c>
      <c r="C1787" s="59">
        <v>43350.0</v>
      </c>
      <c r="D1787" s="60" t="s">
        <v>4941</v>
      </c>
      <c r="E1787" s="58" t="s">
        <v>31</v>
      </c>
      <c r="F1787" s="58">
        <v>4.0</v>
      </c>
      <c r="G1787" s="58" t="s">
        <v>32</v>
      </c>
      <c r="H1787" s="33">
        <f t="shared" si="265"/>
        <v>1</v>
      </c>
      <c r="I1787" s="58" t="s">
        <v>33</v>
      </c>
      <c r="J1787" s="58" t="s">
        <v>111</v>
      </c>
      <c r="K1787" s="58" t="s">
        <v>32</v>
      </c>
      <c r="L1787" s="58" t="s">
        <v>4944</v>
      </c>
      <c r="M1787" s="61" t="s">
        <v>4945</v>
      </c>
      <c r="N1787" s="77"/>
      <c r="O1787" s="58"/>
      <c r="P1787" s="58"/>
      <c r="Q1787" s="84"/>
      <c r="R1787" s="62"/>
      <c r="S1787" s="37" t="str">
        <f>IFERROR(__xludf.DUMMYFUNCTION("if(not(iserror(index(split(C1787, "" ""),2))), index(split(C1787, "" ""),1),"""")"),"September")</f>
        <v>September</v>
      </c>
      <c r="T1787" s="38">
        <f>IFERROR(__xludf.DUMMYFUNCTION("if(S1787="""",C1787,if(not(iserror(index(split(C1787, "" ""),3))), index(split(C1787, "" ""),3),index(split(C1787, "" ""),2)))"),2018.0)</f>
        <v>2018</v>
      </c>
      <c r="U1787" s="38" t="b">
        <f t="shared" si="266"/>
        <v>0</v>
      </c>
      <c r="V1787" s="38"/>
      <c r="W1787" s="40"/>
      <c r="X1787" s="40"/>
      <c r="Y1787" s="40"/>
      <c r="Z1787" s="38"/>
      <c r="AA1787" s="38"/>
      <c r="AB1787" s="38"/>
      <c r="AC1787" s="38"/>
      <c r="AD1787" s="38"/>
      <c r="AE1787" s="38"/>
      <c r="AF1787" s="38"/>
      <c r="AG1787" s="38"/>
      <c r="AH1787" s="38"/>
      <c r="AI1787" s="38"/>
      <c r="AJ1787" s="38"/>
      <c r="AK1787" s="38"/>
      <c r="AL1787" s="38"/>
      <c r="AM1787" s="38"/>
      <c r="AN1787" s="38"/>
      <c r="AO1787" s="38"/>
      <c r="AP1787" s="38"/>
      <c r="AQ1787" s="38"/>
      <c r="AR1787" s="38"/>
      <c r="AS1787" s="38"/>
      <c r="AT1787" s="38"/>
      <c r="AU1787" s="38"/>
      <c r="AV1787" s="38"/>
      <c r="AW1787" s="38"/>
      <c r="AX1787" s="38"/>
      <c r="AY1787" s="38"/>
      <c r="AZ1787" s="38"/>
      <c r="BA1787" s="38"/>
      <c r="BB1787" s="38"/>
      <c r="BC1787" s="38"/>
      <c r="BD1787" s="38"/>
      <c r="BE1787" s="38"/>
      <c r="BF1787" s="38"/>
      <c r="BG1787" s="38"/>
      <c r="BH1787" s="38"/>
      <c r="BI1787" s="38"/>
      <c r="BJ1787" s="38"/>
      <c r="BK1787" s="38"/>
      <c r="BL1787" s="38"/>
      <c r="BM1787" s="38"/>
      <c r="BN1787" s="38"/>
      <c r="BO1787" s="38"/>
      <c r="BP1787" s="38"/>
      <c r="BQ1787" s="38"/>
    </row>
    <row r="1788">
      <c r="A1788" s="58" t="s">
        <v>4946</v>
      </c>
      <c r="B1788" s="59">
        <v>43353.0</v>
      </c>
      <c r="C1788" s="59">
        <v>43350.0</v>
      </c>
      <c r="D1788" s="60" t="s">
        <v>4941</v>
      </c>
      <c r="E1788" s="58" t="s">
        <v>31</v>
      </c>
      <c r="F1788" s="58">
        <v>1.0</v>
      </c>
      <c r="G1788" s="58" t="s">
        <v>32</v>
      </c>
      <c r="H1788" s="33">
        <f t="shared" si="265"/>
        <v>1</v>
      </c>
      <c r="I1788" s="58" t="s">
        <v>33</v>
      </c>
      <c r="J1788" s="58" t="s">
        <v>61</v>
      </c>
      <c r="K1788" s="58" t="s">
        <v>32</v>
      </c>
      <c r="L1788" s="58" t="s">
        <v>35</v>
      </c>
      <c r="M1788" s="61" t="s">
        <v>4947</v>
      </c>
      <c r="N1788" s="77"/>
      <c r="O1788" s="58"/>
      <c r="P1788" s="58"/>
      <c r="Q1788" s="84"/>
      <c r="R1788" s="62"/>
      <c r="S1788" s="37" t="str">
        <f>IFERROR(__xludf.DUMMYFUNCTION("if(not(iserror(index(split(C1788, "" ""),2))), index(split(C1788, "" ""),1),"""")"),"September")</f>
        <v>September</v>
      </c>
      <c r="T1788" s="38">
        <f>IFERROR(__xludf.DUMMYFUNCTION("if(S1788="""",C1788,if(not(iserror(index(split(C1788, "" ""),3))), index(split(C1788, "" ""),3),index(split(C1788, "" ""),2)))"),2018.0)</f>
        <v>2018</v>
      </c>
      <c r="U1788" s="38" t="b">
        <f t="shared" si="266"/>
        <v>0</v>
      </c>
      <c r="V1788" s="38"/>
      <c r="W1788" s="40"/>
      <c r="X1788" s="40"/>
      <c r="Y1788" s="40"/>
      <c r="Z1788" s="38"/>
      <c r="AA1788" s="38"/>
      <c r="AB1788" s="38"/>
      <c r="AC1788" s="38"/>
      <c r="AD1788" s="38"/>
      <c r="AE1788" s="38"/>
      <c r="AF1788" s="38"/>
      <c r="AG1788" s="38"/>
      <c r="AH1788" s="38"/>
      <c r="AI1788" s="38"/>
      <c r="AJ1788" s="38"/>
      <c r="AK1788" s="38"/>
      <c r="AL1788" s="38"/>
      <c r="AM1788" s="38"/>
      <c r="AN1788" s="38"/>
      <c r="AO1788" s="38"/>
      <c r="AP1788" s="38"/>
      <c r="AQ1788" s="38"/>
      <c r="AR1788" s="38"/>
      <c r="AS1788" s="38"/>
      <c r="AT1788" s="38"/>
      <c r="AU1788" s="38"/>
      <c r="AV1788" s="38"/>
      <c r="AW1788" s="38"/>
      <c r="AX1788" s="38"/>
      <c r="AY1788" s="38"/>
      <c r="AZ1788" s="38"/>
      <c r="BA1788" s="38"/>
      <c r="BB1788" s="38"/>
      <c r="BC1788" s="38"/>
      <c r="BD1788" s="38"/>
      <c r="BE1788" s="38"/>
      <c r="BF1788" s="38"/>
      <c r="BG1788" s="38"/>
      <c r="BH1788" s="38"/>
      <c r="BI1788" s="38"/>
      <c r="BJ1788" s="38"/>
      <c r="BK1788" s="38"/>
      <c r="BL1788" s="38"/>
      <c r="BM1788" s="38"/>
      <c r="BN1788" s="38"/>
      <c r="BO1788" s="38"/>
      <c r="BP1788" s="38"/>
      <c r="BQ1788" s="38"/>
    </row>
    <row r="1789">
      <c r="A1789" s="58" t="s">
        <v>4948</v>
      </c>
      <c r="B1789" s="59"/>
      <c r="C1789" s="59">
        <v>43350.0</v>
      </c>
      <c r="D1789" s="60"/>
      <c r="E1789" s="58" t="s">
        <v>41</v>
      </c>
      <c r="F1789" s="58">
        <v>1.0</v>
      </c>
      <c r="G1789" s="58" t="s">
        <v>32</v>
      </c>
      <c r="H1789" s="43">
        <v>1.0</v>
      </c>
      <c r="I1789" s="58" t="s">
        <v>33</v>
      </c>
      <c r="J1789" s="58" t="s">
        <v>132</v>
      </c>
      <c r="K1789" s="58"/>
      <c r="L1789" s="58" t="s">
        <v>119</v>
      </c>
      <c r="M1789" s="61" t="s">
        <v>4949</v>
      </c>
      <c r="N1789" s="77"/>
      <c r="O1789" s="58"/>
      <c r="P1789" s="58"/>
      <c r="Q1789" s="58">
        <v>1.0</v>
      </c>
      <c r="R1789" s="62"/>
      <c r="S1789" s="37"/>
      <c r="T1789" s="38"/>
      <c r="U1789" s="38"/>
      <c r="V1789" s="38" t="s">
        <v>33</v>
      </c>
      <c r="W1789" s="40"/>
      <c r="X1789" s="40"/>
      <c r="Y1789" s="40"/>
      <c r="Z1789" s="38"/>
      <c r="AA1789" s="38"/>
      <c r="AB1789" s="38"/>
      <c r="AC1789" s="38"/>
      <c r="AD1789" s="38"/>
      <c r="AE1789" s="38"/>
      <c r="AF1789" s="38"/>
      <c r="AG1789" s="38"/>
      <c r="AH1789" s="38"/>
      <c r="AI1789" s="38"/>
      <c r="AJ1789" s="38"/>
      <c r="AK1789" s="38"/>
      <c r="AL1789" s="38"/>
      <c r="AM1789" s="38"/>
      <c r="AN1789" s="38"/>
      <c r="AO1789" s="38"/>
      <c r="AP1789" s="38"/>
      <c r="AQ1789" s="38"/>
      <c r="AR1789" s="38"/>
      <c r="AS1789" s="38"/>
      <c r="AT1789" s="38"/>
      <c r="AU1789" s="38"/>
      <c r="AV1789" s="38"/>
      <c r="AW1789" s="38"/>
      <c r="AX1789" s="38"/>
      <c r="AY1789" s="38"/>
      <c r="AZ1789" s="38"/>
      <c r="BA1789" s="38"/>
      <c r="BB1789" s="38"/>
      <c r="BC1789" s="38"/>
      <c r="BD1789" s="38"/>
      <c r="BE1789" s="38"/>
      <c r="BF1789" s="38"/>
      <c r="BG1789" s="38"/>
      <c r="BH1789" s="38"/>
      <c r="BI1789" s="38"/>
      <c r="BJ1789" s="38"/>
      <c r="BK1789" s="38"/>
      <c r="BL1789" s="38"/>
      <c r="BM1789" s="38"/>
      <c r="BN1789" s="38"/>
      <c r="BO1789" s="38"/>
      <c r="BP1789" s="38"/>
      <c r="BQ1789" s="38"/>
    </row>
    <row r="1790">
      <c r="A1790" s="58" t="s">
        <v>4950</v>
      </c>
      <c r="B1790" s="59">
        <v>43423.0</v>
      </c>
      <c r="C1790" s="59">
        <v>43350.0</v>
      </c>
      <c r="D1790" s="60" t="s">
        <v>4941</v>
      </c>
      <c r="E1790" s="58" t="s">
        <v>31</v>
      </c>
      <c r="F1790" s="58">
        <v>1.0</v>
      </c>
      <c r="G1790" s="58">
        <v>10.0</v>
      </c>
      <c r="H1790" s="33">
        <f t="shared" ref="H1790:H1791" si="267">if(G1790="Unknown",1,G1790)</f>
        <v>10</v>
      </c>
      <c r="I1790" s="58" t="s">
        <v>33</v>
      </c>
      <c r="J1790" s="58" t="s">
        <v>42</v>
      </c>
      <c r="K1790" s="58">
        <v>3.0</v>
      </c>
      <c r="L1790" s="58" t="s">
        <v>76</v>
      </c>
      <c r="M1790" s="61" t="s">
        <v>4951</v>
      </c>
      <c r="N1790" s="61" t="s">
        <v>4952</v>
      </c>
      <c r="O1790" s="88" t="str">
        <f>hyperlink("https://bad-boys.us/?q=WD-MI/1:18-cr-00244", "WD-MI 1:18-cr-00244")</f>
        <v>WD-MI 1:18-cr-00244</v>
      </c>
      <c r="P1790" s="88" t="s">
        <v>4953</v>
      </c>
      <c r="Q1790" s="58">
        <v>1.0</v>
      </c>
      <c r="R1790" s="62"/>
      <c r="S1790" s="37" t="str">
        <f>IFERROR(__xludf.DUMMYFUNCTION("if(not(iserror(index(split(C1790, "" ""),2))), index(split(C1790, "" ""),1),"""")"),"September")</f>
        <v>September</v>
      </c>
      <c r="T1790" s="38">
        <f>IFERROR(__xludf.DUMMYFUNCTION("if(S1790="""",C1790,if(not(iserror(index(split(C1790, "" ""),3))), index(split(C1790, "" ""),3),index(split(C1790, "" ""),2)))"),2018.0)</f>
        <v>2018</v>
      </c>
      <c r="U1790" s="38" t="b">
        <f t="shared" ref="U1790:U1812" si="268">countif(A$4:A4658, A1790)&gt;1</f>
        <v>0</v>
      </c>
      <c r="V1790" s="38" t="s">
        <v>33</v>
      </c>
      <c r="W1790" s="39" t="s">
        <v>4954</v>
      </c>
      <c r="X1790" s="39" t="s">
        <v>4955</v>
      </c>
      <c r="Y1790" s="40"/>
      <c r="Z1790" s="38"/>
      <c r="AA1790" s="38"/>
      <c r="AB1790" s="38"/>
      <c r="AC1790" s="38"/>
      <c r="AD1790" s="38"/>
      <c r="AE1790" s="38"/>
      <c r="AF1790" s="38"/>
      <c r="AG1790" s="38"/>
      <c r="AH1790" s="38"/>
      <c r="AI1790" s="38"/>
      <c r="AJ1790" s="38"/>
      <c r="AK1790" s="38"/>
      <c r="AL1790" s="38"/>
      <c r="AM1790" s="38"/>
      <c r="AN1790" s="38"/>
      <c r="AO1790" s="38"/>
      <c r="AP1790" s="38"/>
      <c r="AQ1790" s="38"/>
      <c r="AR1790" s="38"/>
      <c r="AS1790" s="38"/>
      <c r="AT1790" s="38"/>
      <c r="AU1790" s="38"/>
      <c r="AV1790" s="38"/>
      <c r="AW1790" s="38"/>
      <c r="AX1790" s="38"/>
      <c r="AY1790" s="38"/>
      <c r="AZ1790" s="38"/>
      <c r="BA1790" s="38"/>
      <c r="BB1790" s="38"/>
      <c r="BC1790" s="38"/>
      <c r="BD1790" s="38"/>
      <c r="BE1790" s="38"/>
      <c r="BF1790" s="38"/>
      <c r="BG1790" s="38"/>
      <c r="BH1790" s="38"/>
      <c r="BI1790" s="38"/>
      <c r="BJ1790" s="38"/>
      <c r="BK1790" s="38"/>
      <c r="BL1790" s="38"/>
      <c r="BM1790" s="38"/>
      <c r="BN1790" s="38"/>
      <c r="BO1790" s="38"/>
      <c r="BP1790" s="38"/>
      <c r="BQ1790" s="38"/>
    </row>
    <row r="1791">
      <c r="A1791" s="58" t="s">
        <v>4956</v>
      </c>
      <c r="B1791" s="59">
        <v>43423.0</v>
      </c>
      <c r="C1791" s="59">
        <v>43350.0</v>
      </c>
      <c r="D1791" s="60" t="s">
        <v>4941</v>
      </c>
      <c r="E1791" s="58" t="s">
        <v>31</v>
      </c>
      <c r="F1791" s="58">
        <v>1.0</v>
      </c>
      <c r="G1791" s="58">
        <v>2.0</v>
      </c>
      <c r="H1791" s="33">
        <f t="shared" si="267"/>
        <v>2</v>
      </c>
      <c r="I1791" s="58" t="s">
        <v>33</v>
      </c>
      <c r="J1791" s="58" t="s">
        <v>115</v>
      </c>
      <c r="K1791" s="58">
        <v>2.0</v>
      </c>
      <c r="L1791" s="58" t="s">
        <v>3268</v>
      </c>
      <c r="M1791" s="61" t="s">
        <v>4957</v>
      </c>
      <c r="N1791" s="61" t="s">
        <v>4958</v>
      </c>
      <c r="O1791" s="58"/>
      <c r="P1791" s="62"/>
      <c r="Q1791" s="84"/>
      <c r="R1791" s="62"/>
      <c r="S1791" s="37" t="str">
        <f>IFERROR(__xludf.DUMMYFUNCTION("if(not(iserror(index(split(C1791, "" ""),2))), index(split(C1791, "" ""),1),"""")"),"September")</f>
        <v>September</v>
      </c>
      <c r="T1791" s="38">
        <f>IFERROR(__xludf.DUMMYFUNCTION("if(S1791="""",C1791,if(not(iserror(index(split(C1791, "" ""),3))), index(split(C1791, "" ""),3),index(split(C1791, "" ""),2)))"),2018.0)</f>
        <v>2018</v>
      </c>
      <c r="U1791" s="38" t="b">
        <f t="shared" si="268"/>
        <v>0</v>
      </c>
      <c r="V1791" s="38"/>
      <c r="W1791" s="40"/>
      <c r="X1791" s="40"/>
      <c r="Y1791" s="40"/>
      <c r="Z1791" s="38"/>
      <c r="AA1791" s="38"/>
      <c r="AB1791" s="38"/>
      <c r="AC1791" s="38"/>
      <c r="AD1791" s="38"/>
      <c r="AE1791" s="38"/>
      <c r="AF1791" s="38"/>
      <c r="AG1791" s="38"/>
      <c r="AH1791" s="38"/>
      <c r="AI1791" s="38"/>
      <c r="AJ1791" s="38"/>
      <c r="AK1791" s="38"/>
      <c r="AL1791" s="38"/>
      <c r="AM1791" s="38"/>
      <c r="AN1791" s="38"/>
      <c r="AO1791" s="38"/>
      <c r="AP1791" s="38"/>
      <c r="AQ1791" s="38"/>
      <c r="AR1791" s="38"/>
      <c r="AS1791" s="38"/>
      <c r="AT1791" s="38"/>
      <c r="AU1791" s="38"/>
      <c r="AV1791" s="38"/>
      <c r="AW1791" s="38"/>
      <c r="AX1791" s="38"/>
      <c r="AY1791" s="38"/>
      <c r="AZ1791" s="38"/>
      <c r="BA1791" s="38"/>
      <c r="BB1791" s="38"/>
      <c r="BC1791" s="38"/>
      <c r="BD1791" s="38"/>
      <c r="BE1791" s="38"/>
      <c r="BF1791" s="38"/>
      <c r="BG1791" s="38"/>
      <c r="BH1791" s="38"/>
      <c r="BI1791" s="38"/>
      <c r="BJ1791" s="38"/>
      <c r="BK1791" s="38"/>
      <c r="BL1791" s="38"/>
      <c r="BM1791" s="38"/>
      <c r="BN1791" s="38"/>
      <c r="BO1791" s="38"/>
      <c r="BP1791" s="38"/>
      <c r="BQ1791" s="38"/>
    </row>
    <row r="1792">
      <c r="A1792" s="47" t="s">
        <v>4959</v>
      </c>
      <c r="B1792" s="48">
        <v>43497.0</v>
      </c>
      <c r="C1792" s="48">
        <v>43350.0</v>
      </c>
      <c r="D1792" s="49" t="s">
        <v>4941</v>
      </c>
      <c r="E1792" s="47" t="s">
        <v>41</v>
      </c>
      <c r="F1792" s="47">
        <v>1.0</v>
      </c>
      <c r="G1792" s="47">
        <v>1.0</v>
      </c>
      <c r="H1792" s="63">
        <v>1.0</v>
      </c>
      <c r="I1792" s="47" t="s">
        <v>33</v>
      </c>
      <c r="J1792" s="47" t="s">
        <v>343</v>
      </c>
      <c r="K1792" s="47">
        <v>4.0</v>
      </c>
      <c r="L1792" s="47" t="s">
        <v>4960</v>
      </c>
      <c r="M1792" s="51" t="s">
        <v>346</v>
      </c>
      <c r="N1792" s="52"/>
      <c r="O1792" s="53" t="str">
        <f>hyperlink("https://bad-boys.us/?q=SD-WV/2:18-cr-00085", "SD-WV 2:18-cr-00085 ❓")</f>
        <v>SD-WV 2:18-cr-00085 ❓</v>
      </c>
      <c r="P1792" s="54" t="s">
        <v>1849</v>
      </c>
      <c r="Q1792" s="47">
        <v>1.0</v>
      </c>
      <c r="R1792" s="55"/>
      <c r="S1792" s="37" t="str">
        <f>IFERROR(__xludf.DUMMYFUNCTION("if(not(iserror(index(split(C1792, "" ""),2))), index(split(C1792, "" ""),1),"""")"),"September")</f>
        <v>September</v>
      </c>
      <c r="T1792" s="38">
        <f>IFERROR(__xludf.DUMMYFUNCTION("if(S1792="""",C1792,if(not(iserror(index(split(C1792, "" ""),3))), index(split(C1792, "" ""),3),index(split(C1792, "" ""),2)))"),2018.0)</f>
        <v>2018</v>
      </c>
      <c r="U1792" s="38" t="b">
        <f t="shared" si="268"/>
        <v>0</v>
      </c>
      <c r="V1792" s="38"/>
      <c r="W1792" s="40"/>
      <c r="X1792" s="40"/>
      <c r="Y1792" s="40"/>
      <c r="Z1792" s="38"/>
      <c r="AA1792" s="38"/>
      <c r="AB1792" s="38"/>
      <c r="AC1792" s="38"/>
      <c r="AD1792" s="38"/>
      <c r="AE1792" s="38"/>
      <c r="AF1792" s="38"/>
      <c r="AG1792" s="38"/>
      <c r="AH1792" s="38"/>
      <c r="AI1792" s="38"/>
      <c r="AJ1792" s="38"/>
      <c r="AK1792" s="38"/>
      <c r="AL1792" s="38"/>
      <c r="AM1792" s="38"/>
      <c r="AN1792" s="38"/>
      <c r="AO1792" s="38"/>
      <c r="AP1792" s="38"/>
      <c r="AQ1792" s="38"/>
      <c r="AR1792" s="38"/>
      <c r="AS1792" s="38"/>
      <c r="AT1792" s="38"/>
      <c r="AU1792" s="38"/>
      <c r="AV1792" s="38"/>
      <c r="AW1792" s="38"/>
      <c r="AX1792" s="38"/>
      <c r="AY1792" s="38"/>
      <c r="AZ1792" s="38"/>
      <c r="BA1792" s="38"/>
      <c r="BB1792" s="38"/>
      <c r="BC1792" s="38"/>
      <c r="BD1792" s="38"/>
      <c r="BE1792" s="38"/>
      <c r="BF1792" s="38"/>
      <c r="BG1792" s="38"/>
      <c r="BH1792" s="38"/>
      <c r="BI1792" s="38"/>
      <c r="BJ1792" s="38"/>
      <c r="BK1792" s="38"/>
      <c r="BL1792" s="38"/>
      <c r="BM1792" s="38"/>
      <c r="BN1792" s="38"/>
      <c r="BO1792" s="38"/>
      <c r="BP1792" s="38"/>
      <c r="BQ1792" s="38"/>
    </row>
    <row r="1793">
      <c r="A1793" s="250" t="s">
        <v>4961</v>
      </c>
      <c r="B1793" s="59"/>
      <c r="C1793" s="59">
        <v>43351.0</v>
      </c>
      <c r="D1793" s="60"/>
      <c r="E1793" s="58" t="s">
        <v>41</v>
      </c>
      <c r="F1793" s="58">
        <v>1.0</v>
      </c>
      <c r="G1793" s="58" t="s">
        <v>32</v>
      </c>
      <c r="H1793" s="43">
        <v>1.0</v>
      </c>
      <c r="I1793" s="58" t="s">
        <v>33</v>
      </c>
      <c r="J1793" s="58" t="s">
        <v>440</v>
      </c>
      <c r="K1793" s="58"/>
      <c r="L1793" s="58" t="s">
        <v>119</v>
      </c>
      <c r="M1793" s="61" t="s">
        <v>4962</v>
      </c>
      <c r="N1793" s="77"/>
      <c r="O1793" s="83" t="str">
        <f>hyperlink("https://bad-boys.us/?q=D-CT/3:19-cr-00036", "D-CT 3:19-cr-00036")</f>
        <v>D-CT 3:19-cr-00036</v>
      </c>
      <c r="P1793" s="88" t="s">
        <v>4963</v>
      </c>
      <c r="Q1793" s="84">
        <v>1.0</v>
      </c>
      <c r="R1793" s="62"/>
      <c r="S1793" s="37" t="str">
        <f>IFERROR(__xludf.DUMMYFUNCTION("if(not(iserror(index(split(C1793, "" ""),2))), index(split(C1793, "" ""),1),"""")"),"September")</f>
        <v>September</v>
      </c>
      <c r="T1793" s="38">
        <f>IFERROR(__xludf.DUMMYFUNCTION("if(S1793="""",C1793,if(not(iserror(index(split(C1793, "" ""),3))), index(split(C1793, "" ""),3),index(split(C1793, "" ""),2)))"),2018.0)</f>
        <v>2018</v>
      </c>
      <c r="U1793" s="38" t="b">
        <f t="shared" si="268"/>
        <v>0</v>
      </c>
      <c r="V1793" s="38"/>
      <c r="W1793" s="40"/>
      <c r="X1793" s="40"/>
      <c r="Y1793" s="40"/>
      <c r="Z1793" s="38"/>
      <c r="AA1793" s="38"/>
      <c r="AB1793" s="38"/>
      <c r="AC1793" s="38"/>
      <c r="AD1793" s="38"/>
      <c r="AE1793" s="38"/>
      <c r="AF1793" s="38"/>
      <c r="AG1793" s="38"/>
      <c r="AH1793" s="38"/>
      <c r="AI1793" s="38"/>
      <c r="AJ1793" s="38"/>
      <c r="AK1793" s="38"/>
      <c r="AL1793" s="38"/>
      <c r="AM1793" s="38"/>
      <c r="AN1793" s="38"/>
      <c r="AO1793" s="38"/>
      <c r="AP1793" s="38"/>
      <c r="AQ1793" s="38"/>
      <c r="AR1793" s="38"/>
      <c r="AS1793" s="38"/>
      <c r="AT1793" s="38"/>
      <c r="AU1793" s="38"/>
      <c r="AV1793" s="38"/>
      <c r="AW1793" s="38"/>
      <c r="AX1793" s="38"/>
      <c r="AY1793" s="38"/>
      <c r="AZ1793" s="38"/>
      <c r="BA1793" s="38"/>
      <c r="BB1793" s="38"/>
      <c r="BC1793" s="38"/>
      <c r="BD1793" s="38"/>
      <c r="BE1793" s="38"/>
      <c r="BF1793" s="38"/>
      <c r="BG1793" s="38"/>
      <c r="BH1793" s="38"/>
      <c r="BI1793" s="38"/>
      <c r="BJ1793" s="38"/>
      <c r="BK1793" s="38"/>
      <c r="BL1793" s="38"/>
      <c r="BM1793" s="38"/>
      <c r="BN1793" s="38"/>
      <c r="BO1793" s="38"/>
      <c r="BP1793" s="38"/>
      <c r="BQ1793" s="38"/>
    </row>
    <row r="1794">
      <c r="A1794" s="58" t="s">
        <v>239</v>
      </c>
      <c r="B1794" s="59">
        <v>43353.0</v>
      </c>
      <c r="C1794" s="59">
        <v>43351.0</v>
      </c>
      <c r="D1794" s="60" t="s">
        <v>1261</v>
      </c>
      <c r="E1794" s="58" t="s">
        <v>41</v>
      </c>
      <c r="F1794" s="58">
        <v>1.0</v>
      </c>
      <c r="G1794" s="58">
        <v>4.0</v>
      </c>
      <c r="H1794" s="33">
        <f t="shared" ref="H1794:H1809" si="269">if(G1794="Unknown",1,G1794)</f>
        <v>4</v>
      </c>
      <c r="I1794" s="58" t="s">
        <v>33</v>
      </c>
      <c r="J1794" s="58" t="s">
        <v>111</v>
      </c>
      <c r="K1794" s="58">
        <v>1.0</v>
      </c>
      <c r="L1794" s="58" t="s">
        <v>194</v>
      </c>
      <c r="M1794" s="61" t="s">
        <v>4964</v>
      </c>
      <c r="N1794" s="77"/>
      <c r="O1794" s="62"/>
      <c r="P1794" s="62"/>
      <c r="Q1794" s="62"/>
      <c r="R1794" s="62"/>
      <c r="S1794" s="37" t="str">
        <f>IFERROR(__xludf.DUMMYFUNCTION("if(not(iserror(index(split(C1794, "" ""),2))), index(split(C1794, "" ""),1),"""")"),"September")</f>
        <v>September</v>
      </c>
      <c r="T1794" s="38">
        <f>IFERROR(__xludf.DUMMYFUNCTION("if(S1794="""",C1794,if(not(iserror(index(split(C1794, "" ""),3))), index(split(C1794, "" ""),3),index(split(C1794, "" ""),2)))"),2018.0)</f>
        <v>2018</v>
      </c>
      <c r="U1794" s="38" t="b">
        <f t="shared" si="268"/>
        <v>1</v>
      </c>
      <c r="V1794" s="38"/>
      <c r="W1794" s="40"/>
      <c r="X1794" s="40"/>
      <c r="Y1794" s="40"/>
      <c r="Z1794" s="38"/>
      <c r="AA1794" s="38"/>
      <c r="AB1794" s="38"/>
      <c r="AC1794" s="38"/>
      <c r="AD1794" s="38"/>
      <c r="AE1794" s="38"/>
      <c r="AF1794" s="38"/>
      <c r="AG1794" s="38"/>
      <c r="AH1794" s="38"/>
      <c r="AI1794" s="38"/>
      <c r="AJ1794" s="38"/>
      <c r="AK1794" s="38"/>
      <c r="AL1794" s="38"/>
      <c r="AM1794" s="38"/>
      <c r="AN1794" s="38"/>
      <c r="AO1794" s="38"/>
      <c r="AP1794" s="38"/>
      <c r="AQ1794" s="38"/>
      <c r="AR1794" s="38"/>
      <c r="AS1794" s="38"/>
      <c r="AT1794" s="38"/>
      <c r="AU1794" s="38"/>
      <c r="AV1794" s="38"/>
      <c r="AW1794" s="38"/>
      <c r="AX1794" s="38"/>
      <c r="AY1794" s="38"/>
      <c r="AZ1794" s="38"/>
      <c r="BA1794" s="38"/>
      <c r="BB1794" s="38"/>
      <c r="BC1794" s="38"/>
      <c r="BD1794" s="38"/>
      <c r="BE1794" s="38"/>
      <c r="BF1794" s="38"/>
      <c r="BG1794" s="38"/>
      <c r="BH1794" s="38"/>
      <c r="BI1794" s="38"/>
      <c r="BJ1794" s="38"/>
      <c r="BK1794" s="38"/>
      <c r="BL1794" s="38"/>
      <c r="BM1794" s="38"/>
      <c r="BN1794" s="38"/>
      <c r="BO1794" s="38"/>
      <c r="BP1794" s="38"/>
      <c r="BQ1794" s="38"/>
    </row>
    <row r="1795">
      <c r="A1795" s="58" t="s">
        <v>239</v>
      </c>
      <c r="B1795" s="59">
        <v>43353.0</v>
      </c>
      <c r="C1795" s="59">
        <v>43352.0</v>
      </c>
      <c r="D1795" s="60" t="s">
        <v>4965</v>
      </c>
      <c r="E1795" s="58" t="s">
        <v>41</v>
      </c>
      <c r="F1795" s="58">
        <v>2.0</v>
      </c>
      <c r="G1795" s="58">
        <v>47.0</v>
      </c>
      <c r="H1795" s="33">
        <f t="shared" si="269"/>
        <v>47</v>
      </c>
      <c r="I1795" s="58" t="s">
        <v>33</v>
      </c>
      <c r="J1795" s="58" t="s">
        <v>147</v>
      </c>
      <c r="K1795" s="58">
        <v>1.0</v>
      </c>
      <c r="L1795" s="58" t="s">
        <v>194</v>
      </c>
      <c r="M1795" s="61" t="s">
        <v>4966</v>
      </c>
      <c r="N1795" s="77"/>
      <c r="O1795" s="62"/>
      <c r="P1795" s="62"/>
      <c r="Q1795" s="62"/>
      <c r="R1795" s="62"/>
      <c r="S1795" s="37" t="str">
        <f>IFERROR(__xludf.DUMMYFUNCTION("if(not(iserror(index(split(C1795, "" ""),2))), index(split(C1795, "" ""),1),"""")"),"September")</f>
        <v>September</v>
      </c>
      <c r="T1795" s="38">
        <f>IFERROR(__xludf.DUMMYFUNCTION("if(S1795="""",C1795,if(not(iserror(index(split(C1795, "" ""),3))), index(split(C1795, "" ""),3),index(split(C1795, "" ""),2)))"),2018.0)</f>
        <v>2018</v>
      </c>
      <c r="U1795" s="38" t="b">
        <f t="shared" si="268"/>
        <v>1</v>
      </c>
      <c r="V1795" s="38"/>
      <c r="W1795" s="40"/>
      <c r="X1795" s="40"/>
      <c r="Y1795" s="40"/>
      <c r="Z1795" s="38"/>
      <c r="AA1795" s="38"/>
      <c r="AB1795" s="38"/>
      <c r="AC1795" s="38"/>
      <c r="AD1795" s="38"/>
      <c r="AE1795" s="38"/>
      <c r="AF1795" s="38"/>
      <c r="AG1795" s="38"/>
      <c r="AH1795" s="38"/>
      <c r="AI1795" s="38"/>
      <c r="AJ1795" s="38"/>
      <c r="AK1795" s="38"/>
      <c r="AL1795" s="38"/>
      <c r="AM1795" s="38"/>
      <c r="AN1795" s="38"/>
      <c r="AO1795" s="38"/>
      <c r="AP1795" s="38"/>
      <c r="AQ1795" s="38"/>
      <c r="AR1795" s="38"/>
      <c r="AS1795" s="38"/>
      <c r="AT1795" s="38"/>
      <c r="AU1795" s="38"/>
      <c r="AV1795" s="38"/>
      <c r="AW1795" s="38"/>
      <c r="AX1795" s="38"/>
      <c r="AY1795" s="38"/>
      <c r="AZ1795" s="38"/>
      <c r="BA1795" s="38"/>
      <c r="BB1795" s="38"/>
      <c r="BC1795" s="38"/>
      <c r="BD1795" s="38"/>
      <c r="BE1795" s="38"/>
      <c r="BF1795" s="38"/>
      <c r="BG1795" s="38"/>
      <c r="BH1795" s="38"/>
      <c r="BI1795" s="38"/>
      <c r="BJ1795" s="38"/>
      <c r="BK1795" s="38"/>
      <c r="BL1795" s="38"/>
      <c r="BM1795" s="38"/>
      <c r="BN1795" s="38"/>
      <c r="BO1795" s="38"/>
      <c r="BP1795" s="38"/>
      <c r="BQ1795" s="38"/>
    </row>
    <row r="1796">
      <c r="A1796" s="58" t="s">
        <v>239</v>
      </c>
      <c r="B1796" s="59">
        <v>43354.0</v>
      </c>
      <c r="C1796" s="59">
        <v>43352.0</v>
      </c>
      <c r="D1796" s="60" t="s">
        <v>4965</v>
      </c>
      <c r="E1796" s="58" t="s">
        <v>41</v>
      </c>
      <c r="F1796" s="58">
        <v>2.0</v>
      </c>
      <c r="G1796" s="58" t="s">
        <v>32</v>
      </c>
      <c r="H1796" s="33">
        <f t="shared" si="269"/>
        <v>1</v>
      </c>
      <c r="I1796" s="58" t="s">
        <v>33</v>
      </c>
      <c r="J1796" s="58" t="s">
        <v>147</v>
      </c>
      <c r="K1796" s="58">
        <v>1.0</v>
      </c>
      <c r="L1796" s="58" t="s">
        <v>194</v>
      </c>
      <c r="M1796" s="61" t="s">
        <v>4967</v>
      </c>
      <c r="N1796" s="77"/>
      <c r="O1796" s="62"/>
      <c r="P1796" s="62"/>
      <c r="Q1796" s="62"/>
      <c r="R1796" s="62"/>
      <c r="S1796" s="37" t="str">
        <f>IFERROR(__xludf.DUMMYFUNCTION("if(not(iserror(index(split(C1796, "" ""),2))), index(split(C1796, "" ""),1),"""")"),"September")</f>
        <v>September</v>
      </c>
      <c r="T1796" s="38">
        <f>IFERROR(__xludf.DUMMYFUNCTION("if(S1796="""",C1796,if(not(iserror(index(split(C1796, "" ""),3))), index(split(C1796, "" ""),3),index(split(C1796, "" ""),2)))"),2018.0)</f>
        <v>2018</v>
      </c>
      <c r="U1796" s="38" t="b">
        <f t="shared" si="268"/>
        <v>1</v>
      </c>
      <c r="V1796" s="38"/>
      <c r="W1796" s="40"/>
      <c r="X1796" s="40"/>
      <c r="Y1796" s="40"/>
      <c r="Z1796" s="38"/>
      <c r="AA1796" s="38"/>
      <c r="AB1796" s="38"/>
      <c r="AC1796" s="38"/>
      <c r="AD1796" s="38"/>
      <c r="AE1796" s="38"/>
      <c r="AF1796" s="38"/>
      <c r="AG1796" s="38"/>
      <c r="AH1796" s="38"/>
      <c r="AI1796" s="38"/>
      <c r="AJ1796" s="38"/>
      <c r="AK1796" s="38"/>
      <c r="AL1796" s="38"/>
      <c r="AM1796" s="38"/>
      <c r="AN1796" s="38"/>
      <c r="AO1796" s="38"/>
      <c r="AP1796" s="38"/>
      <c r="AQ1796" s="38"/>
      <c r="AR1796" s="38"/>
      <c r="AS1796" s="38"/>
      <c r="AT1796" s="38"/>
      <c r="AU1796" s="38"/>
      <c r="AV1796" s="38"/>
      <c r="AW1796" s="38"/>
      <c r="AX1796" s="38"/>
      <c r="AY1796" s="38"/>
      <c r="AZ1796" s="38"/>
      <c r="BA1796" s="38"/>
      <c r="BB1796" s="38"/>
      <c r="BC1796" s="38"/>
      <c r="BD1796" s="38"/>
      <c r="BE1796" s="38"/>
      <c r="BF1796" s="38"/>
      <c r="BG1796" s="38"/>
      <c r="BH1796" s="38"/>
      <c r="BI1796" s="38"/>
      <c r="BJ1796" s="38"/>
      <c r="BK1796" s="38"/>
      <c r="BL1796" s="38"/>
      <c r="BM1796" s="38"/>
      <c r="BN1796" s="38"/>
      <c r="BO1796" s="38"/>
      <c r="BP1796" s="38"/>
      <c r="BQ1796" s="38"/>
    </row>
    <row r="1797">
      <c r="A1797" s="78" t="s">
        <v>660</v>
      </c>
      <c r="B1797" s="59">
        <v>43353.0</v>
      </c>
      <c r="C1797" s="59">
        <v>43353.0</v>
      </c>
      <c r="D1797" s="60" t="s">
        <v>4968</v>
      </c>
      <c r="E1797" s="58" t="s">
        <v>41</v>
      </c>
      <c r="F1797" s="58">
        <v>8.0</v>
      </c>
      <c r="G1797" s="58" t="s">
        <v>32</v>
      </c>
      <c r="H1797" s="33">
        <f t="shared" si="269"/>
        <v>1</v>
      </c>
      <c r="I1797" s="58" t="s">
        <v>33</v>
      </c>
      <c r="J1797" s="58" t="s">
        <v>93</v>
      </c>
      <c r="K1797" s="58">
        <v>4.0</v>
      </c>
      <c r="L1797" s="58" t="s">
        <v>35</v>
      </c>
      <c r="M1797" s="61" t="s">
        <v>4969</v>
      </c>
      <c r="N1797" s="77"/>
      <c r="O1797" s="62"/>
      <c r="P1797" s="62"/>
      <c r="Q1797" s="62"/>
      <c r="R1797" s="62"/>
      <c r="S1797" s="37" t="str">
        <f>IFERROR(__xludf.DUMMYFUNCTION("if(not(iserror(index(split(C1797, "" ""),2))), index(split(C1797, "" ""),1),"""")"),"September")</f>
        <v>September</v>
      </c>
      <c r="T1797" s="38">
        <f>IFERROR(__xludf.DUMMYFUNCTION("if(S1797="""",C1797,if(not(iserror(index(split(C1797, "" ""),3))), index(split(C1797, "" ""),3),index(split(C1797, "" ""),2)))"),2018.0)</f>
        <v>2018</v>
      </c>
      <c r="U1797" s="38" t="b">
        <f t="shared" si="268"/>
        <v>1</v>
      </c>
      <c r="V1797" s="38"/>
      <c r="W1797" s="40"/>
      <c r="X1797" s="40"/>
      <c r="Y1797" s="40"/>
      <c r="Z1797" s="38"/>
      <c r="AA1797" s="38"/>
      <c r="AB1797" s="38"/>
      <c r="AC1797" s="38"/>
      <c r="AD1797" s="38"/>
      <c r="AE1797" s="38"/>
      <c r="AF1797" s="38"/>
      <c r="AG1797" s="38"/>
      <c r="AH1797" s="38"/>
      <c r="AI1797" s="38"/>
      <c r="AJ1797" s="38"/>
      <c r="AK1797" s="38"/>
      <c r="AL1797" s="38"/>
      <c r="AM1797" s="38"/>
      <c r="AN1797" s="38"/>
      <c r="AO1797" s="38"/>
      <c r="AP1797" s="38"/>
      <c r="AQ1797" s="38"/>
      <c r="AR1797" s="38"/>
      <c r="AS1797" s="38"/>
      <c r="AT1797" s="38"/>
      <c r="AU1797" s="38"/>
      <c r="AV1797" s="38"/>
      <c r="AW1797" s="38"/>
      <c r="AX1797" s="38"/>
      <c r="AY1797" s="38"/>
      <c r="AZ1797" s="38"/>
      <c r="BA1797" s="38"/>
      <c r="BB1797" s="38"/>
      <c r="BC1797" s="38"/>
      <c r="BD1797" s="38"/>
      <c r="BE1797" s="38"/>
      <c r="BF1797" s="38"/>
      <c r="BG1797" s="38"/>
      <c r="BH1797" s="38"/>
      <c r="BI1797" s="38"/>
      <c r="BJ1797" s="38"/>
      <c r="BK1797" s="38"/>
      <c r="BL1797" s="38"/>
      <c r="BM1797" s="38"/>
      <c r="BN1797" s="38"/>
      <c r="BO1797" s="38"/>
      <c r="BP1797" s="38"/>
      <c r="BQ1797" s="38"/>
    </row>
    <row r="1798">
      <c r="A1798" s="78" t="s">
        <v>4970</v>
      </c>
      <c r="B1798" s="59">
        <v>43353.0</v>
      </c>
      <c r="C1798" s="59">
        <v>43353.0</v>
      </c>
      <c r="D1798" s="60" t="s">
        <v>4968</v>
      </c>
      <c r="E1798" s="58" t="s">
        <v>31</v>
      </c>
      <c r="F1798" s="58">
        <v>1.0</v>
      </c>
      <c r="G1798" s="58" t="s">
        <v>32</v>
      </c>
      <c r="H1798" s="33">
        <f t="shared" si="269"/>
        <v>1</v>
      </c>
      <c r="I1798" s="58" t="s">
        <v>33</v>
      </c>
      <c r="J1798" s="58" t="s">
        <v>42</v>
      </c>
      <c r="K1798" s="58" t="s">
        <v>32</v>
      </c>
      <c r="L1798" s="58" t="s">
        <v>52</v>
      </c>
      <c r="M1798" s="61" t="s">
        <v>4971</v>
      </c>
      <c r="N1798" s="77"/>
      <c r="O1798" s="62"/>
      <c r="P1798" s="62"/>
      <c r="Q1798" s="62"/>
      <c r="R1798" s="62"/>
      <c r="S1798" s="37" t="str">
        <f>IFERROR(__xludf.DUMMYFUNCTION("if(not(iserror(index(split(C1798, "" ""),2))), index(split(C1798, "" ""),1),"""")"),"September")</f>
        <v>September</v>
      </c>
      <c r="T1798" s="38">
        <f>IFERROR(__xludf.DUMMYFUNCTION("if(S1798="""",C1798,if(not(iserror(index(split(C1798, "" ""),3))), index(split(C1798, "" ""),3),index(split(C1798, "" ""),2)))"),2018.0)</f>
        <v>2018</v>
      </c>
      <c r="U1798" s="38" t="b">
        <f t="shared" si="268"/>
        <v>0</v>
      </c>
      <c r="V1798" s="38"/>
      <c r="W1798" s="40"/>
      <c r="X1798" s="40"/>
      <c r="Y1798" s="40"/>
      <c r="Z1798" s="38"/>
      <c r="AA1798" s="38"/>
      <c r="AB1798" s="38"/>
      <c r="AC1798" s="38"/>
      <c r="AD1798" s="38"/>
      <c r="AE1798" s="38"/>
      <c r="AF1798" s="38"/>
      <c r="AG1798" s="38"/>
      <c r="AH1798" s="38"/>
      <c r="AI1798" s="38"/>
      <c r="AJ1798" s="38"/>
      <c r="AK1798" s="38"/>
      <c r="AL1798" s="38"/>
      <c r="AM1798" s="38"/>
      <c r="AN1798" s="38"/>
      <c r="AO1798" s="38"/>
      <c r="AP1798" s="38"/>
      <c r="AQ1798" s="38"/>
      <c r="AR1798" s="38"/>
      <c r="AS1798" s="38"/>
      <c r="AT1798" s="38"/>
      <c r="AU1798" s="38"/>
      <c r="AV1798" s="38"/>
      <c r="AW1798" s="38"/>
      <c r="AX1798" s="38"/>
      <c r="AY1798" s="38"/>
      <c r="AZ1798" s="38"/>
      <c r="BA1798" s="38"/>
      <c r="BB1798" s="38"/>
      <c r="BC1798" s="38"/>
      <c r="BD1798" s="38"/>
      <c r="BE1798" s="38"/>
      <c r="BF1798" s="38"/>
      <c r="BG1798" s="38"/>
      <c r="BH1798" s="38"/>
      <c r="BI1798" s="38"/>
      <c r="BJ1798" s="38"/>
      <c r="BK1798" s="38"/>
      <c r="BL1798" s="38"/>
      <c r="BM1798" s="38"/>
      <c r="BN1798" s="38"/>
      <c r="BO1798" s="38"/>
      <c r="BP1798" s="38"/>
      <c r="BQ1798" s="38"/>
    </row>
    <row r="1799">
      <c r="A1799" s="58" t="s">
        <v>4972</v>
      </c>
      <c r="B1799" s="59">
        <v>43353.0</v>
      </c>
      <c r="C1799" s="59">
        <v>43353.0</v>
      </c>
      <c r="D1799" s="60" t="s">
        <v>4968</v>
      </c>
      <c r="E1799" s="58" t="s">
        <v>41</v>
      </c>
      <c r="F1799" s="58">
        <v>1.0</v>
      </c>
      <c r="G1799" s="58" t="s">
        <v>32</v>
      </c>
      <c r="H1799" s="33">
        <f t="shared" si="269"/>
        <v>1</v>
      </c>
      <c r="I1799" s="58" t="s">
        <v>33</v>
      </c>
      <c r="J1799" s="58" t="s">
        <v>402</v>
      </c>
      <c r="K1799" s="58">
        <v>3.0</v>
      </c>
      <c r="L1799" s="58" t="s">
        <v>76</v>
      </c>
      <c r="M1799" s="61" t="s">
        <v>4973</v>
      </c>
      <c r="N1799" s="77"/>
      <c r="O1799" s="88" t="str">
        <f>hyperlink("https://bad-boys.us/?q=SD-IN/1:18-cr-00301", "SD-IN 1:18-cr-00301")</f>
        <v>SD-IN 1:18-cr-00301</v>
      </c>
      <c r="P1799" s="88" t="s">
        <v>4974</v>
      </c>
      <c r="Q1799" s="84">
        <v>1.0</v>
      </c>
      <c r="R1799" s="62"/>
      <c r="S1799" s="37" t="str">
        <f>IFERROR(__xludf.DUMMYFUNCTION("if(not(iserror(index(split(C1799, "" ""),2))), index(split(C1799, "" ""),1),"""")"),"September")</f>
        <v>September</v>
      </c>
      <c r="T1799" s="38">
        <f>IFERROR(__xludf.DUMMYFUNCTION("if(S1799="""",C1799,if(not(iserror(index(split(C1799, "" ""),3))), index(split(C1799, "" ""),3),index(split(C1799, "" ""),2)))"),2018.0)</f>
        <v>2018</v>
      </c>
      <c r="U1799" s="38" t="b">
        <f t="shared" si="268"/>
        <v>0</v>
      </c>
      <c r="V1799" s="38"/>
      <c r="W1799" s="40"/>
      <c r="X1799" s="40"/>
      <c r="Y1799" s="40"/>
      <c r="Z1799" s="38"/>
      <c r="AA1799" s="38"/>
      <c r="AB1799" s="38"/>
      <c r="AC1799" s="38"/>
      <c r="AD1799" s="38"/>
      <c r="AE1799" s="38"/>
      <c r="AF1799" s="38"/>
      <c r="AG1799" s="38"/>
      <c r="AH1799" s="38"/>
      <c r="AI1799" s="38"/>
      <c r="AJ1799" s="38"/>
      <c r="AK1799" s="38"/>
      <c r="AL1799" s="38"/>
      <c r="AM1799" s="38"/>
      <c r="AN1799" s="38"/>
      <c r="AO1799" s="38"/>
      <c r="AP1799" s="38"/>
      <c r="AQ1799" s="38"/>
      <c r="AR1799" s="38"/>
      <c r="AS1799" s="38"/>
      <c r="AT1799" s="38"/>
      <c r="AU1799" s="38"/>
      <c r="AV1799" s="38"/>
      <c r="AW1799" s="38"/>
      <c r="AX1799" s="38"/>
      <c r="AY1799" s="38"/>
      <c r="AZ1799" s="38"/>
      <c r="BA1799" s="38"/>
      <c r="BB1799" s="38"/>
      <c r="BC1799" s="38"/>
      <c r="BD1799" s="38"/>
      <c r="BE1799" s="38"/>
      <c r="BF1799" s="38"/>
      <c r="BG1799" s="38"/>
      <c r="BH1799" s="38"/>
      <c r="BI1799" s="38"/>
      <c r="BJ1799" s="38"/>
      <c r="BK1799" s="38"/>
      <c r="BL1799" s="38"/>
      <c r="BM1799" s="38"/>
      <c r="BN1799" s="38"/>
      <c r="BO1799" s="38"/>
      <c r="BP1799" s="38"/>
      <c r="BQ1799" s="38"/>
    </row>
    <row r="1800">
      <c r="A1800" s="58" t="s">
        <v>4975</v>
      </c>
      <c r="B1800" s="59">
        <v>43354.0</v>
      </c>
      <c r="C1800" s="59">
        <v>43353.0</v>
      </c>
      <c r="D1800" s="60" t="s">
        <v>4968</v>
      </c>
      <c r="E1800" s="58" t="s">
        <v>31</v>
      </c>
      <c r="F1800" s="58">
        <v>1.0</v>
      </c>
      <c r="G1800" s="58" t="s">
        <v>32</v>
      </c>
      <c r="H1800" s="33">
        <f t="shared" si="269"/>
        <v>1</v>
      </c>
      <c r="I1800" s="58" t="s">
        <v>33</v>
      </c>
      <c r="J1800" s="58" t="s">
        <v>47</v>
      </c>
      <c r="K1800" s="58">
        <v>4.0</v>
      </c>
      <c r="L1800" s="58" t="s">
        <v>807</v>
      </c>
      <c r="M1800" s="61" t="s">
        <v>4976</v>
      </c>
      <c r="N1800" s="77"/>
      <c r="O1800" s="62"/>
      <c r="P1800" s="62"/>
      <c r="Q1800" s="62"/>
      <c r="R1800" s="62"/>
      <c r="S1800" s="37" t="str">
        <f>IFERROR(__xludf.DUMMYFUNCTION("if(not(iserror(index(split(C1800, "" ""),2))), index(split(C1800, "" ""),1),"""")"),"September")</f>
        <v>September</v>
      </c>
      <c r="T1800" s="38">
        <f>IFERROR(__xludf.DUMMYFUNCTION("if(S1800="""",C1800,if(not(iserror(index(split(C1800, "" ""),3))), index(split(C1800, "" ""),3),index(split(C1800, "" ""),2)))"),2018.0)</f>
        <v>2018</v>
      </c>
      <c r="U1800" s="38" t="b">
        <f t="shared" si="268"/>
        <v>0</v>
      </c>
      <c r="V1800" s="38"/>
      <c r="W1800" s="40"/>
      <c r="X1800" s="40"/>
      <c r="Y1800" s="40"/>
      <c r="Z1800" s="38"/>
      <c r="AA1800" s="38"/>
      <c r="AB1800" s="38"/>
      <c r="AC1800" s="38"/>
      <c r="AD1800" s="38"/>
      <c r="AE1800" s="38"/>
      <c r="AF1800" s="38"/>
      <c r="AG1800" s="38"/>
      <c r="AH1800" s="38"/>
      <c r="AI1800" s="38"/>
      <c r="AJ1800" s="38"/>
      <c r="AK1800" s="38"/>
      <c r="AL1800" s="38"/>
      <c r="AM1800" s="38"/>
      <c r="AN1800" s="38"/>
      <c r="AO1800" s="38"/>
      <c r="AP1800" s="38"/>
      <c r="AQ1800" s="38"/>
      <c r="AR1800" s="38"/>
      <c r="AS1800" s="38"/>
      <c r="AT1800" s="38"/>
      <c r="AU1800" s="38"/>
      <c r="AV1800" s="38"/>
      <c r="AW1800" s="38"/>
      <c r="AX1800" s="38"/>
      <c r="AY1800" s="38"/>
      <c r="AZ1800" s="38"/>
      <c r="BA1800" s="38"/>
      <c r="BB1800" s="38"/>
      <c r="BC1800" s="38"/>
      <c r="BD1800" s="38"/>
      <c r="BE1800" s="38"/>
      <c r="BF1800" s="38"/>
      <c r="BG1800" s="38"/>
      <c r="BH1800" s="38"/>
      <c r="BI1800" s="38"/>
      <c r="BJ1800" s="38"/>
      <c r="BK1800" s="38"/>
      <c r="BL1800" s="38"/>
      <c r="BM1800" s="38"/>
      <c r="BN1800" s="38"/>
      <c r="BO1800" s="38"/>
      <c r="BP1800" s="38"/>
      <c r="BQ1800" s="38"/>
    </row>
    <row r="1801">
      <c r="A1801" s="152" t="s">
        <v>4977</v>
      </c>
      <c r="B1801" s="153">
        <v>43360.0</v>
      </c>
      <c r="C1801" s="153">
        <v>43353.0</v>
      </c>
      <c r="D1801" s="154" t="s">
        <v>4968</v>
      </c>
      <c r="E1801" s="155" t="s">
        <v>41</v>
      </c>
      <c r="F1801" s="152">
        <v>1.0</v>
      </c>
      <c r="G1801" s="152" t="s">
        <v>32</v>
      </c>
      <c r="H1801" s="33">
        <f t="shared" si="269"/>
        <v>1</v>
      </c>
      <c r="I1801" s="152" t="s">
        <v>33</v>
      </c>
      <c r="J1801" s="152" t="s">
        <v>410</v>
      </c>
      <c r="K1801" s="152">
        <v>3.0</v>
      </c>
      <c r="L1801" s="152" t="s">
        <v>119</v>
      </c>
      <c r="M1801" s="156" t="s">
        <v>4978</v>
      </c>
      <c r="N1801" s="163"/>
      <c r="O1801" s="88" t="str">
        <f>hyperlink("https://bad-boys.us/?q=D-MA/1:18-mj-02478", "D-MA 1:18-mj-02478")</f>
        <v>D-MA 1:18-mj-02478</v>
      </c>
      <c r="P1801" s="58"/>
      <c r="Q1801" s="84">
        <v>1.0</v>
      </c>
      <c r="R1801" s="62"/>
      <c r="S1801" s="37" t="str">
        <f>IFERROR(__xludf.DUMMYFUNCTION("if(not(iserror(index(split(C1801, "" ""),2))), index(split(C1801, "" ""),1),"""")"),"September")</f>
        <v>September</v>
      </c>
      <c r="T1801" s="38">
        <f>IFERROR(__xludf.DUMMYFUNCTION("if(S1801="""",C1801,if(not(iserror(index(split(C1801, "" ""),3))), index(split(C1801, "" ""),3),index(split(C1801, "" ""),2)))"),2018.0)</f>
        <v>2018</v>
      </c>
      <c r="U1801" s="38" t="b">
        <f t="shared" si="268"/>
        <v>0</v>
      </c>
      <c r="V1801" s="38"/>
      <c r="W1801" s="40"/>
      <c r="X1801" s="40"/>
      <c r="Y1801" s="40"/>
      <c r="Z1801" s="38"/>
      <c r="AA1801" s="38"/>
      <c r="AB1801" s="38"/>
      <c r="AC1801" s="38"/>
      <c r="AD1801" s="38"/>
      <c r="AE1801" s="38"/>
      <c r="AF1801" s="38"/>
      <c r="AG1801" s="38"/>
      <c r="AH1801" s="38"/>
      <c r="AI1801" s="38"/>
      <c r="AJ1801" s="38"/>
      <c r="AK1801" s="38"/>
      <c r="AL1801" s="38"/>
      <c r="AM1801" s="38"/>
      <c r="AN1801" s="38"/>
      <c r="AO1801" s="38"/>
      <c r="AP1801" s="38"/>
      <c r="AQ1801" s="38"/>
      <c r="AR1801" s="38"/>
      <c r="AS1801" s="38"/>
      <c r="AT1801" s="38"/>
      <c r="AU1801" s="38"/>
      <c r="AV1801" s="38"/>
      <c r="AW1801" s="38"/>
      <c r="AX1801" s="38"/>
      <c r="AY1801" s="38"/>
      <c r="AZ1801" s="38"/>
      <c r="BA1801" s="38"/>
      <c r="BB1801" s="38"/>
      <c r="BC1801" s="38"/>
      <c r="BD1801" s="38"/>
      <c r="BE1801" s="38"/>
      <c r="BF1801" s="38"/>
      <c r="BG1801" s="38"/>
      <c r="BH1801" s="38"/>
      <c r="BI1801" s="38"/>
      <c r="BJ1801" s="38"/>
      <c r="BK1801" s="38"/>
      <c r="BL1801" s="38"/>
      <c r="BM1801" s="38"/>
      <c r="BN1801" s="38"/>
      <c r="BO1801" s="38"/>
      <c r="BP1801" s="38"/>
      <c r="BQ1801" s="38"/>
    </row>
    <row r="1802">
      <c r="A1802" s="58" t="s">
        <v>4979</v>
      </c>
      <c r="B1802" s="59">
        <v>43355.0</v>
      </c>
      <c r="C1802" s="59">
        <v>43354.0</v>
      </c>
      <c r="D1802" s="60" t="s">
        <v>4980</v>
      </c>
      <c r="E1802" s="58" t="s">
        <v>41</v>
      </c>
      <c r="F1802" s="58">
        <v>1.0</v>
      </c>
      <c r="G1802" s="58" t="s">
        <v>32</v>
      </c>
      <c r="H1802" s="33">
        <f t="shared" si="269"/>
        <v>1</v>
      </c>
      <c r="I1802" s="58" t="s">
        <v>33</v>
      </c>
      <c r="J1802" s="58" t="s">
        <v>68</v>
      </c>
      <c r="K1802" s="58">
        <v>2.0</v>
      </c>
      <c r="L1802" s="58" t="s">
        <v>119</v>
      </c>
      <c r="M1802" s="61" t="s">
        <v>4981</v>
      </c>
      <c r="N1802" s="77"/>
      <c r="O1802" s="88" t="str">
        <f>hyperlink("https://bad-boys.us/?q=D-OR/3:18-cr-00638", "D-OR 3:18-cr-00638")</f>
        <v>D-OR 3:18-cr-00638</v>
      </c>
      <c r="P1802" s="88" t="s">
        <v>4982</v>
      </c>
      <c r="Q1802" s="84">
        <v>1.0</v>
      </c>
      <c r="R1802" s="62"/>
      <c r="S1802" s="37" t="str">
        <f>IFERROR(__xludf.DUMMYFUNCTION("if(not(iserror(index(split(C1802, "" ""),2))), index(split(C1802, "" ""),1),"""")"),"September")</f>
        <v>September</v>
      </c>
      <c r="T1802" s="38">
        <f>IFERROR(__xludf.DUMMYFUNCTION("if(S1802="""",C1802,if(not(iserror(index(split(C1802, "" ""),3))), index(split(C1802, "" ""),3),index(split(C1802, "" ""),2)))"),2018.0)</f>
        <v>2018</v>
      </c>
      <c r="U1802" s="38" t="b">
        <f t="shared" si="268"/>
        <v>0</v>
      </c>
      <c r="V1802" s="38"/>
      <c r="W1802" s="40"/>
      <c r="X1802" s="40"/>
      <c r="Y1802" s="40"/>
      <c r="Z1802" s="38"/>
      <c r="AA1802" s="38"/>
      <c r="AB1802" s="38"/>
      <c r="AC1802" s="38"/>
      <c r="AD1802" s="38"/>
      <c r="AE1802" s="38"/>
      <c r="AF1802" s="38"/>
      <c r="AG1802" s="38"/>
      <c r="AH1802" s="38"/>
      <c r="AI1802" s="38"/>
      <c r="AJ1802" s="38"/>
      <c r="AK1802" s="38"/>
      <c r="AL1802" s="38"/>
      <c r="AM1802" s="38"/>
      <c r="AN1802" s="38"/>
      <c r="AO1802" s="38"/>
      <c r="AP1802" s="38"/>
      <c r="AQ1802" s="38"/>
      <c r="AR1802" s="38"/>
      <c r="AS1802" s="38"/>
      <c r="AT1802" s="38"/>
      <c r="AU1802" s="38"/>
      <c r="AV1802" s="38"/>
      <c r="AW1802" s="38"/>
      <c r="AX1802" s="38"/>
      <c r="AY1802" s="38"/>
      <c r="AZ1802" s="38"/>
      <c r="BA1802" s="38"/>
      <c r="BB1802" s="38"/>
      <c r="BC1802" s="38"/>
      <c r="BD1802" s="38"/>
      <c r="BE1802" s="38"/>
      <c r="BF1802" s="38"/>
      <c r="BG1802" s="38"/>
      <c r="BH1802" s="38"/>
      <c r="BI1802" s="38"/>
      <c r="BJ1802" s="38"/>
      <c r="BK1802" s="38"/>
      <c r="BL1802" s="38"/>
      <c r="BM1802" s="38"/>
      <c r="BN1802" s="38"/>
      <c r="BO1802" s="38"/>
      <c r="BP1802" s="38"/>
      <c r="BQ1802" s="38"/>
    </row>
    <row r="1803">
      <c r="A1803" s="58" t="s">
        <v>4983</v>
      </c>
      <c r="B1803" s="59">
        <v>43355.0</v>
      </c>
      <c r="C1803" s="59">
        <v>43354.0</v>
      </c>
      <c r="D1803" s="60" t="s">
        <v>4980</v>
      </c>
      <c r="E1803" s="58" t="s">
        <v>31</v>
      </c>
      <c r="F1803" s="58">
        <v>3.0</v>
      </c>
      <c r="G1803" s="58">
        <v>15.0</v>
      </c>
      <c r="H1803" s="33">
        <f t="shared" si="269"/>
        <v>15</v>
      </c>
      <c r="I1803" s="58" t="s">
        <v>33</v>
      </c>
      <c r="J1803" s="58" t="s">
        <v>147</v>
      </c>
      <c r="K1803" s="58">
        <v>7.0</v>
      </c>
      <c r="L1803" s="58" t="s">
        <v>52</v>
      </c>
      <c r="M1803" s="61" t="s">
        <v>4984</v>
      </c>
      <c r="N1803" s="77"/>
      <c r="O1803" s="62"/>
      <c r="P1803" s="62"/>
      <c r="Q1803" s="62"/>
      <c r="R1803" s="62"/>
      <c r="S1803" s="37" t="str">
        <f>IFERROR(__xludf.DUMMYFUNCTION("if(not(iserror(index(split(C1803, "" ""),2))), index(split(C1803, "" ""),1),"""")"),"September")</f>
        <v>September</v>
      </c>
      <c r="T1803" s="38">
        <f>IFERROR(__xludf.DUMMYFUNCTION("if(S1803="""",C1803,if(not(iserror(index(split(C1803, "" ""),3))), index(split(C1803, "" ""),3),index(split(C1803, "" ""),2)))"),2018.0)</f>
        <v>2018</v>
      </c>
      <c r="U1803" s="38" t="b">
        <f t="shared" si="268"/>
        <v>0</v>
      </c>
      <c r="V1803" s="38"/>
      <c r="W1803" s="40"/>
      <c r="X1803" s="40"/>
      <c r="Y1803" s="40"/>
      <c r="Z1803" s="38"/>
      <c r="AA1803" s="38"/>
      <c r="AB1803" s="38"/>
      <c r="AC1803" s="38"/>
      <c r="AD1803" s="38"/>
      <c r="AE1803" s="38"/>
      <c r="AF1803" s="38"/>
      <c r="AG1803" s="38"/>
      <c r="AH1803" s="38"/>
      <c r="AI1803" s="38"/>
      <c r="AJ1803" s="38"/>
      <c r="AK1803" s="38"/>
      <c r="AL1803" s="38"/>
      <c r="AM1803" s="38"/>
      <c r="AN1803" s="38"/>
      <c r="AO1803" s="38"/>
      <c r="AP1803" s="38"/>
      <c r="AQ1803" s="38"/>
      <c r="AR1803" s="38"/>
      <c r="AS1803" s="38"/>
      <c r="AT1803" s="38"/>
      <c r="AU1803" s="38"/>
      <c r="AV1803" s="38"/>
      <c r="AW1803" s="38"/>
      <c r="AX1803" s="38"/>
      <c r="AY1803" s="38"/>
      <c r="AZ1803" s="38"/>
      <c r="BA1803" s="38"/>
      <c r="BB1803" s="38"/>
      <c r="BC1803" s="38"/>
      <c r="BD1803" s="38"/>
      <c r="BE1803" s="38"/>
      <c r="BF1803" s="38"/>
      <c r="BG1803" s="38"/>
      <c r="BH1803" s="38"/>
      <c r="BI1803" s="38"/>
      <c r="BJ1803" s="38"/>
      <c r="BK1803" s="38"/>
      <c r="BL1803" s="38"/>
      <c r="BM1803" s="38"/>
      <c r="BN1803" s="38"/>
      <c r="BO1803" s="38"/>
      <c r="BP1803" s="38"/>
      <c r="BQ1803" s="38"/>
    </row>
    <row r="1804">
      <c r="A1804" s="58" t="s">
        <v>239</v>
      </c>
      <c r="B1804" s="59">
        <v>43355.0</v>
      </c>
      <c r="C1804" s="59">
        <v>43354.0</v>
      </c>
      <c r="D1804" s="60" t="s">
        <v>4980</v>
      </c>
      <c r="E1804" s="58" t="s">
        <v>41</v>
      </c>
      <c r="F1804" s="58">
        <v>1.0</v>
      </c>
      <c r="G1804" s="58">
        <v>2.0</v>
      </c>
      <c r="H1804" s="33">
        <f t="shared" si="269"/>
        <v>2</v>
      </c>
      <c r="I1804" s="58" t="s">
        <v>33</v>
      </c>
      <c r="J1804" s="58" t="s">
        <v>147</v>
      </c>
      <c r="K1804" s="58">
        <v>1.0</v>
      </c>
      <c r="L1804" s="58" t="s">
        <v>194</v>
      </c>
      <c r="M1804" s="61" t="s">
        <v>4985</v>
      </c>
      <c r="N1804" s="77"/>
      <c r="O1804" s="62"/>
      <c r="P1804" s="62"/>
      <c r="Q1804" s="62"/>
      <c r="R1804" s="62"/>
      <c r="S1804" s="37" t="str">
        <f>IFERROR(__xludf.DUMMYFUNCTION("if(not(iserror(index(split(C1804, "" ""),2))), index(split(C1804, "" ""),1),"""")"),"September")</f>
        <v>September</v>
      </c>
      <c r="T1804" s="38">
        <f>IFERROR(__xludf.DUMMYFUNCTION("if(S1804="""",C1804,if(not(iserror(index(split(C1804, "" ""),3))), index(split(C1804, "" ""),3),index(split(C1804, "" ""),2)))"),2018.0)</f>
        <v>2018</v>
      </c>
      <c r="U1804" s="38" t="b">
        <f t="shared" si="268"/>
        <v>1</v>
      </c>
      <c r="V1804" s="38"/>
      <c r="W1804" s="40"/>
      <c r="X1804" s="40"/>
      <c r="Y1804" s="40"/>
      <c r="Z1804" s="38"/>
      <c r="AA1804" s="38"/>
      <c r="AB1804" s="38"/>
      <c r="AC1804" s="38"/>
      <c r="AD1804" s="38"/>
      <c r="AE1804" s="38"/>
      <c r="AF1804" s="38"/>
      <c r="AG1804" s="38"/>
      <c r="AH1804" s="38"/>
      <c r="AI1804" s="38"/>
      <c r="AJ1804" s="38"/>
      <c r="AK1804" s="38"/>
      <c r="AL1804" s="38"/>
      <c r="AM1804" s="38"/>
      <c r="AN1804" s="38"/>
      <c r="AO1804" s="38"/>
      <c r="AP1804" s="38"/>
      <c r="AQ1804" s="38"/>
      <c r="AR1804" s="38"/>
      <c r="AS1804" s="38"/>
      <c r="AT1804" s="38"/>
      <c r="AU1804" s="38"/>
      <c r="AV1804" s="38"/>
      <c r="AW1804" s="38"/>
      <c r="AX1804" s="38"/>
      <c r="AY1804" s="38"/>
      <c r="AZ1804" s="38"/>
      <c r="BA1804" s="38"/>
      <c r="BB1804" s="38"/>
      <c r="BC1804" s="38"/>
      <c r="BD1804" s="38"/>
      <c r="BE1804" s="38"/>
      <c r="BF1804" s="38"/>
      <c r="BG1804" s="38"/>
      <c r="BH1804" s="38"/>
      <c r="BI1804" s="38"/>
      <c r="BJ1804" s="38"/>
      <c r="BK1804" s="38"/>
      <c r="BL1804" s="38"/>
      <c r="BM1804" s="38"/>
      <c r="BN1804" s="38"/>
      <c r="BO1804" s="38"/>
      <c r="BP1804" s="38"/>
      <c r="BQ1804" s="38"/>
    </row>
    <row r="1805">
      <c r="A1805" s="58" t="s">
        <v>4986</v>
      </c>
      <c r="B1805" s="59">
        <v>43357.0</v>
      </c>
      <c r="C1805" s="59">
        <v>43354.0</v>
      </c>
      <c r="D1805" s="60" t="s">
        <v>4980</v>
      </c>
      <c r="E1805" s="58" t="s">
        <v>31</v>
      </c>
      <c r="F1805" s="58">
        <v>1.0</v>
      </c>
      <c r="G1805" s="58" t="s">
        <v>32</v>
      </c>
      <c r="H1805" s="33">
        <f t="shared" si="269"/>
        <v>1</v>
      </c>
      <c r="I1805" s="58" t="s">
        <v>33</v>
      </c>
      <c r="J1805" s="58" t="s">
        <v>111</v>
      </c>
      <c r="K1805" s="58" t="s">
        <v>32</v>
      </c>
      <c r="L1805" s="58" t="s">
        <v>99</v>
      </c>
      <c r="M1805" s="61" t="s">
        <v>4987</v>
      </c>
      <c r="N1805" s="77"/>
      <c r="O1805" s="62"/>
      <c r="P1805" s="62"/>
      <c r="Q1805" s="62"/>
      <c r="R1805" s="62"/>
      <c r="S1805" s="37" t="str">
        <f>IFERROR(__xludf.DUMMYFUNCTION("if(not(iserror(index(split(C1805, "" ""),2))), index(split(C1805, "" ""),1),"""")"),"September")</f>
        <v>September</v>
      </c>
      <c r="T1805" s="38">
        <f>IFERROR(__xludf.DUMMYFUNCTION("if(S1805="""",C1805,if(not(iserror(index(split(C1805, "" ""),3))), index(split(C1805, "" ""),3),index(split(C1805, "" ""),2)))"),2018.0)</f>
        <v>2018</v>
      </c>
      <c r="U1805" s="38" t="b">
        <f t="shared" si="268"/>
        <v>0</v>
      </c>
      <c r="V1805" s="38"/>
      <c r="W1805" s="40"/>
      <c r="X1805" s="40"/>
      <c r="Y1805" s="40"/>
      <c r="Z1805" s="38"/>
      <c r="AA1805" s="38"/>
      <c r="AB1805" s="38"/>
      <c r="AC1805" s="38"/>
      <c r="AD1805" s="38"/>
      <c r="AE1805" s="38"/>
      <c r="AF1805" s="38"/>
      <c r="AG1805" s="38"/>
      <c r="AH1805" s="38"/>
      <c r="AI1805" s="38"/>
      <c r="AJ1805" s="38"/>
      <c r="AK1805" s="38"/>
      <c r="AL1805" s="38"/>
      <c r="AM1805" s="38"/>
      <c r="AN1805" s="38"/>
      <c r="AO1805" s="38"/>
      <c r="AP1805" s="38"/>
      <c r="AQ1805" s="38"/>
      <c r="AR1805" s="38"/>
      <c r="AS1805" s="38"/>
      <c r="AT1805" s="38"/>
      <c r="AU1805" s="38"/>
      <c r="AV1805" s="38"/>
      <c r="AW1805" s="38"/>
      <c r="AX1805" s="38"/>
      <c r="AY1805" s="38"/>
      <c r="AZ1805" s="38"/>
      <c r="BA1805" s="38"/>
      <c r="BB1805" s="38"/>
      <c r="BC1805" s="38"/>
      <c r="BD1805" s="38"/>
      <c r="BE1805" s="38"/>
      <c r="BF1805" s="38"/>
      <c r="BG1805" s="38"/>
      <c r="BH1805" s="38"/>
      <c r="BI1805" s="38"/>
      <c r="BJ1805" s="38"/>
      <c r="BK1805" s="38"/>
      <c r="BL1805" s="38"/>
      <c r="BM1805" s="38"/>
      <c r="BN1805" s="38"/>
      <c r="BO1805" s="38"/>
      <c r="BP1805" s="38"/>
      <c r="BQ1805" s="38"/>
    </row>
    <row r="1806">
      <c r="A1806" s="58" t="s">
        <v>4988</v>
      </c>
      <c r="B1806" s="59">
        <v>43356.0</v>
      </c>
      <c r="C1806" s="59">
        <v>43355.0</v>
      </c>
      <c r="D1806" s="60" t="s">
        <v>4989</v>
      </c>
      <c r="E1806" s="58" t="s">
        <v>31</v>
      </c>
      <c r="F1806" s="58">
        <v>1.0</v>
      </c>
      <c r="G1806" s="58" t="s">
        <v>32</v>
      </c>
      <c r="H1806" s="33">
        <f t="shared" si="269"/>
        <v>1</v>
      </c>
      <c r="I1806" s="58" t="s">
        <v>33</v>
      </c>
      <c r="J1806" s="58" t="s">
        <v>132</v>
      </c>
      <c r="K1806" s="58">
        <v>1.0</v>
      </c>
      <c r="L1806" s="58" t="s">
        <v>52</v>
      </c>
      <c r="M1806" s="61" t="s">
        <v>4990</v>
      </c>
      <c r="N1806" s="77"/>
      <c r="O1806" s="62"/>
      <c r="P1806" s="62"/>
      <c r="Q1806" s="62"/>
      <c r="R1806" s="62"/>
      <c r="S1806" s="37" t="str">
        <f>IFERROR(__xludf.DUMMYFUNCTION("if(not(iserror(index(split(C1806, "" ""),2))), index(split(C1806, "" ""),1),"""")"),"September")</f>
        <v>September</v>
      </c>
      <c r="T1806" s="38">
        <f>IFERROR(__xludf.DUMMYFUNCTION("if(S1806="""",C1806,if(not(iserror(index(split(C1806, "" ""),3))), index(split(C1806, "" ""),3),index(split(C1806, "" ""),2)))"),2018.0)</f>
        <v>2018</v>
      </c>
      <c r="U1806" s="38" t="b">
        <f t="shared" si="268"/>
        <v>0</v>
      </c>
      <c r="V1806" s="38"/>
      <c r="W1806" s="40"/>
      <c r="X1806" s="40"/>
      <c r="Y1806" s="40"/>
      <c r="Z1806" s="38"/>
      <c r="AA1806" s="38"/>
      <c r="AB1806" s="38"/>
      <c r="AC1806" s="38"/>
      <c r="AD1806" s="38"/>
      <c r="AE1806" s="38"/>
      <c r="AF1806" s="38"/>
      <c r="AG1806" s="38"/>
      <c r="AH1806" s="38"/>
      <c r="AI1806" s="38"/>
      <c r="AJ1806" s="38"/>
      <c r="AK1806" s="38"/>
      <c r="AL1806" s="38"/>
      <c r="AM1806" s="38"/>
      <c r="AN1806" s="38"/>
      <c r="AO1806" s="38"/>
      <c r="AP1806" s="38"/>
      <c r="AQ1806" s="38"/>
      <c r="AR1806" s="38"/>
      <c r="AS1806" s="38"/>
      <c r="AT1806" s="38"/>
      <c r="AU1806" s="38"/>
      <c r="AV1806" s="38"/>
      <c r="AW1806" s="38"/>
      <c r="AX1806" s="38"/>
      <c r="AY1806" s="38"/>
      <c r="AZ1806" s="38"/>
      <c r="BA1806" s="38"/>
      <c r="BB1806" s="38"/>
      <c r="BC1806" s="38"/>
      <c r="BD1806" s="38"/>
      <c r="BE1806" s="38"/>
      <c r="BF1806" s="38"/>
      <c r="BG1806" s="38"/>
      <c r="BH1806" s="38"/>
      <c r="BI1806" s="38"/>
      <c r="BJ1806" s="38"/>
      <c r="BK1806" s="38"/>
      <c r="BL1806" s="38"/>
      <c r="BM1806" s="38"/>
      <c r="BN1806" s="38"/>
      <c r="BO1806" s="38"/>
      <c r="BP1806" s="38"/>
      <c r="BQ1806" s="38"/>
    </row>
    <row r="1807">
      <c r="A1807" s="81" t="s">
        <v>4991</v>
      </c>
      <c r="B1807" s="59">
        <v>43356.0</v>
      </c>
      <c r="C1807" s="59">
        <v>43355.0</v>
      </c>
      <c r="D1807" s="60" t="s">
        <v>4989</v>
      </c>
      <c r="E1807" s="58" t="s">
        <v>41</v>
      </c>
      <c r="F1807" s="58">
        <v>2.0</v>
      </c>
      <c r="G1807" s="58">
        <v>2.0</v>
      </c>
      <c r="H1807" s="33">
        <f t="shared" si="269"/>
        <v>2</v>
      </c>
      <c r="I1807" s="58" t="s">
        <v>33</v>
      </c>
      <c r="J1807" s="58" t="s">
        <v>410</v>
      </c>
      <c r="K1807" s="58">
        <v>1.0</v>
      </c>
      <c r="L1807" s="58" t="s">
        <v>35</v>
      </c>
      <c r="M1807" s="61" t="s">
        <v>4992</v>
      </c>
      <c r="N1807" s="77"/>
      <c r="O1807" s="62"/>
      <c r="P1807" s="62"/>
      <c r="Q1807" s="62"/>
      <c r="R1807" s="62"/>
      <c r="S1807" s="37" t="str">
        <f>IFERROR(__xludf.DUMMYFUNCTION("if(not(iserror(index(split(C1807, "" ""),2))), index(split(C1807, "" ""),1),"""")"),"September")</f>
        <v>September</v>
      </c>
      <c r="T1807" s="38">
        <f>IFERROR(__xludf.DUMMYFUNCTION("if(S1807="""",C1807,if(not(iserror(index(split(C1807, "" ""),3))), index(split(C1807, "" ""),3),index(split(C1807, "" ""),2)))"),2018.0)</f>
        <v>2018</v>
      </c>
      <c r="U1807" s="38" t="b">
        <f t="shared" si="268"/>
        <v>0</v>
      </c>
      <c r="V1807" s="38"/>
      <c r="W1807" s="40"/>
      <c r="X1807" s="40"/>
      <c r="Y1807" s="40"/>
      <c r="Z1807" s="38"/>
      <c r="AA1807" s="38"/>
      <c r="AB1807" s="38"/>
      <c r="AC1807" s="38"/>
      <c r="AD1807" s="38"/>
      <c r="AE1807" s="38"/>
      <c r="AF1807" s="38"/>
      <c r="AG1807" s="38"/>
      <c r="AH1807" s="38"/>
      <c r="AI1807" s="38"/>
      <c r="AJ1807" s="38"/>
      <c r="AK1807" s="38"/>
      <c r="AL1807" s="38"/>
      <c r="AM1807" s="38"/>
      <c r="AN1807" s="38"/>
      <c r="AO1807" s="38"/>
      <c r="AP1807" s="38"/>
      <c r="AQ1807" s="38"/>
      <c r="AR1807" s="38"/>
      <c r="AS1807" s="38"/>
      <c r="AT1807" s="38"/>
      <c r="AU1807" s="38"/>
      <c r="AV1807" s="38"/>
      <c r="AW1807" s="38"/>
      <c r="AX1807" s="38"/>
      <c r="AY1807" s="38"/>
      <c r="AZ1807" s="38"/>
      <c r="BA1807" s="38"/>
      <c r="BB1807" s="38"/>
      <c r="BC1807" s="38"/>
      <c r="BD1807" s="38"/>
      <c r="BE1807" s="38"/>
      <c r="BF1807" s="38"/>
      <c r="BG1807" s="38"/>
      <c r="BH1807" s="38"/>
      <c r="BI1807" s="38"/>
      <c r="BJ1807" s="38"/>
      <c r="BK1807" s="38"/>
      <c r="BL1807" s="38"/>
      <c r="BM1807" s="38"/>
      <c r="BN1807" s="38"/>
      <c r="BO1807" s="38"/>
      <c r="BP1807" s="38"/>
      <c r="BQ1807" s="38"/>
    </row>
    <row r="1808">
      <c r="A1808" s="58" t="s">
        <v>660</v>
      </c>
      <c r="B1808" s="59">
        <v>43356.0</v>
      </c>
      <c r="C1808" s="59">
        <v>43355.0</v>
      </c>
      <c r="D1808" s="60" t="s">
        <v>4989</v>
      </c>
      <c r="E1808" s="58" t="s">
        <v>41</v>
      </c>
      <c r="F1808" s="58">
        <v>4.0</v>
      </c>
      <c r="G1808" s="58" t="s">
        <v>32</v>
      </c>
      <c r="H1808" s="33">
        <f t="shared" si="269"/>
        <v>1</v>
      </c>
      <c r="I1808" s="58" t="s">
        <v>33</v>
      </c>
      <c r="J1808" s="58" t="s">
        <v>93</v>
      </c>
      <c r="K1808" s="58" t="s">
        <v>32</v>
      </c>
      <c r="L1808" s="58" t="s">
        <v>52</v>
      </c>
      <c r="M1808" s="61" t="s">
        <v>4993</v>
      </c>
      <c r="N1808" s="77"/>
      <c r="O1808" s="62"/>
      <c r="P1808" s="62"/>
      <c r="Q1808" s="62"/>
      <c r="R1808" s="62"/>
      <c r="S1808" s="37" t="str">
        <f>IFERROR(__xludf.DUMMYFUNCTION("if(not(iserror(index(split(C1808, "" ""),2))), index(split(C1808, "" ""),1),"""")"),"September")</f>
        <v>September</v>
      </c>
      <c r="T1808" s="38">
        <f>IFERROR(__xludf.DUMMYFUNCTION("if(S1808="""",C1808,if(not(iserror(index(split(C1808, "" ""),3))), index(split(C1808, "" ""),3),index(split(C1808, "" ""),2)))"),2018.0)</f>
        <v>2018</v>
      </c>
      <c r="U1808" s="38" t="b">
        <f t="shared" si="268"/>
        <v>1</v>
      </c>
      <c r="V1808" s="38"/>
      <c r="W1808" s="40"/>
      <c r="X1808" s="40"/>
      <c r="Y1808" s="40"/>
      <c r="Z1808" s="38"/>
      <c r="AA1808" s="38"/>
      <c r="AB1808" s="38"/>
      <c r="AC1808" s="38"/>
      <c r="AD1808" s="38"/>
      <c r="AE1808" s="38"/>
      <c r="AF1808" s="38"/>
      <c r="AG1808" s="38"/>
      <c r="AH1808" s="38"/>
      <c r="AI1808" s="38"/>
      <c r="AJ1808" s="38"/>
      <c r="AK1808" s="38"/>
      <c r="AL1808" s="38"/>
      <c r="AM1808" s="38"/>
      <c r="AN1808" s="38"/>
      <c r="AO1808" s="38"/>
      <c r="AP1808" s="38"/>
      <c r="AQ1808" s="38"/>
      <c r="AR1808" s="38"/>
      <c r="AS1808" s="38"/>
      <c r="AT1808" s="38"/>
      <c r="AU1808" s="38"/>
      <c r="AV1808" s="38"/>
      <c r="AW1808" s="38"/>
      <c r="AX1808" s="38"/>
      <c r="AY1808" s="38"/>
      <c r="AZ1808" s="38"/>
      <c r="BA1808" s="38"/>
      <c r="BB1808" s="38"/>
      <c r="BC1808" s="38"/>
      <c r="BD1808" s="38"/>
      <c r="BE1808" s="38"/>
      <c r="BF1808" s="38"/>
      <c r="BG1808" s="38"/>
      <c r="BH1808" s="38"/>
      <c r="BI1808" s="38"/>
      <c r="BJ1808" s="38"/>
      <c r="BK1808" s="38"/>
      <c r="BL1808" s="38"/>
      <c r="BM1808" s="38"/>
      <c r="BN1808" s="38"/>
      <c r="BO1808" s="38"/>
      <c r="BP1808" s="38"/>
      <c r="BQ1808" s="38"/>
    </row>
    <row r="1809">
      <c r="A1809" s="58" t="s">
        <v>239</v>
      </c>
      <c r="B1809" s="59">
        <v>43357.0</v>
      </c>
      <c r="C1809" s="59">
        <v>43355.0</v>
      </c>
      <c r="D1809" s="60" t="s">
        <v>4989</v>
      </c>
      <c r="E1809" s="58" t="s">
        <v>41</v>
      </c>
      <c r="F1809" s="58">
        <v>1.0</v>
      </c>
      <c r="G1809" s="58">
        <v>2.0</v>
      </c>
      <c r="H1809" s="33">
        <f t="shared" si="269"/>
        <v>2</v>
      </c>
      <c r="I1809" s="58" t="s">
        <v>33</v>
      </c>
      <c r="J1809" s="58" t="s">
        <v>111</v>
      </c>
      <c r="K1809" s="58">
        <v>1.0</v>
      </c>
      <c r="L1809" s="58" t="s">
        <v>194</v>
      </c>
      <c r="M1809" s="61" t="s">
        <v>4994</v>
      </c>
      <c r="N1809" s="80"/>
      <c r="O1809" s="62"/>
      <c r="P1809" s="62"/>
      <c r="Q1809" s="62"/>
      <c r="R1809" s="62"/>
      <c r="S1809" s="37" t="str">
        <f>IFERROR(__xludf.DUMMYFUNCTION("if(not(iserror(index(split(C1809, "" ""),2))), index(split(C1809, "" ""),1),"""")"),"September")</f>
        <v>September</v>
      </c>
      <c r="T1809" s="38">
        <f>IFERROR(__xludf.DUMMYFUNCTION("if(S1809="""",C1809,if(not(iserror(index(split(C1809, "" ""),3))), index(split(C1809, "" ""),3),index(split(C1809, "" ""),2)))"),2018.0)</f>
        <v>2018</v>
      </c>
      <c r="U1809" s="38" t="b">
        <f t="shared" si="268"/>
        <v>1</v>
      </c>
      <c r="V1809" s="38"/>
      <c r="W1809" s="40"/>
      <c r="X1809" s="40"/>
      <c r="Y1809" s="40"/>
      <c r="Z1809" s="38"/>
      <c r="AA1809" s="38"/>
      <c r="AB1809" s="38"/>
      <c r="AC1809" s="38"/>
      <c r="AD1809" s="38"/>
      <c r="AE1809" s="38"/>
      <c r="AF1809" s="38"/>
      <c r="AG1809" s="38"/>
      <c r="AH1809" s="38"/>
      <c r="AI1809" s="38"/>
      <c r="AJ1809" s="38"/>
      <c r="AK1809" s="38"/>
      <c r="AL1809" s="38"/>
      <c r="AM1809" s="38"/>
      <c r="AN1809" s="38"/>
      <c r="AO1809" s="38"/>
      <c r="AP1809" s="38"/>
      <c r="AQ1809" s="38"/>
      <c r="AR1809" s="38"/>
      <c r="AS1809" s="38"/>
      <c r="AT1809" s="38"/>
      <c r="AU1809" s="38"/>
      <c r="AV1809" s="38"/>
      <c r="AW1809" s="38"/>
      <c r="AX1809" s="38"/>
      <c r="AY1809" s="38"/>
      <c r="AZ1809" s="38"/>
      <c r="BA1809" s="38"/>
      <c r="BB1809" s="38"/>
      <c r="BC1809" s="38"/>
      <c r="BD1809" s="38"/>
      <c r="BE1809" s="38"/>
      <c r="BF1809" s="38"/>
      <c r="BG1809" s="38"/>
      <c r="BH1809" s="38"/>
      <c r="BI1809" s="38"/>
      <c r="BJ1809" s="38"/>
      <c r="BK1809" s="38"/>
      <c r="BL1809" s="38"/>
      <c r="BM1809" s="38"/>
      <c r="BN1809" s="38"/>
      <c r="BO1809" s="38"/>
      <c r="BP1809" s="38"/>
      <c r="BQ1809" s="38"/>
    </row>
    <row r="1810">
      <c r="A1810" s="58" t="s">
        <v>4995</v>
      </c>
      <c r="B1810" s="59"/>
      <c r="C1810" s="59">
        <v>43355.0</v>
      </c>
      <c r="D1810" s="60"/>
      <c r="E1810" s="58" t="s">
        <v>41</v>
      </c>
      <c r="F1810" s="58">
        <v>1.0</v>
      </c>
      <c r="G1810" s="58">
        <v>1.0</v>
      </c>
      <c r="H1810" s="43">
        <v>1.0</v>
      </c>
      <c r="I1810" s="58" t="s">
        <v>33</v>
      </c>
      <c r="J1810" s="58" t="s">
        <v>279</v>
      </c>
      <c r="K1810" s="58"/>
      <c r="L1810" s="58" t="s">
        <v>4996</v>
      </c>
      <c r="M1810" s="61" t="s">
        <v>4997</v>
      </c>
      <c r="N1810" s="80"/>
      <c r="O1810" s="83" t="str">
        <f>hyperlink("https://bad-boys.us/?q=ED-MO/4:18-cr-00766", "ED-MO 4:18-cr-00766")</f>
        <v>ED-MO 4:18-cr-00766</v>
      </c>
      <c r="P1810" s="88" t="s">
        <v>4998</v>
      </c>
      <c r="Q1810" s="58">
        <v>1.0</v>
      </c>
      <c r="R1810" s="62"/>
      <c r="S1810" s="37" t="str">
        <f>IFERROR(__xludf.DUMMYFUNCTION("if(not(iserror(index(split(C1810, "" ""),2))), index(split(C1810, "" ""),1),"""")"),"September")</f>
        <v>September</v>
      </c>
      <c r="T1810" s="38">
        <f>IFERROR(__xludf.DUMMYFUNCTION("if(S1810="""",C1810,if(not(iserror(index(split(C1810, "" ""),3))), index(split(C1810, "" ""),3),index(split(C1810, "" ""),2)))"),2018.0)</f>
        <v>2018</v>
      </c>
      <c r="U1810" s="38" t="b">
        <f t="shared" si="268"/>
        <v>0</v>
      </c>
      <c r="V1810" s="38" t="s">
        <v>33</v>
      </c>
      <c r="W1810" s="40"/>
      <c r="X1810" s="40"/>
      <c r="Y1810" s="40"/>
      <c r="Z1810" s="38"/>
      <c r="AA1810" s="38"/>
      <c r="AB1810" s="38"/>
      <c r="AC1810" s="38"/>
      <c r="AD1810" s="38"/>
      <c r="AE1810" s="38"/>
      <c r="AF1810" s="38"/>
      <c r="AG1810" s="38"/>
      <c r="AH1810" s="38"/>
      <c r="AI1810" s="38"/>
      <c r="AJ1810" s="38"/>
      <c r="AK1810" s="38"/>
      <c r="AL1810" s="38"/>
      <c r="AM1810" s="38"/>
      <c r="AN1810" s="38"/>
      <c r="AO1810" s="38"/>
      <c r="AP1810" s="38"/>
      <c r="AQ1810" s="38"/>
      <c r="AR1810" s="38"/>
      <c r="AS1810" s="38"/>
      <c r="AT1810" s="38"/>
      <c r="AU1810" s="38"/>
      <c r="AV1810" s="38"/>
      <c r="AW1810" s="38"/>
      <c r="AX1810" s="38"/>
      <c r="AY1810" s="38"/>
      <c r="AZ1810" s="38"/>
      <c r="BA1810" s="38"/>
      <c r="BB1810" s="38"/>
      <c r="BC1810" s="38"/>
      <c r="BD1810" s="38"/>
      <c r="BE1810" s="38"/>
      <c r="BF1810" s="38"/>
      <c r="BG1810" s="38"/>
      <c r="BH1810" s="38"/>
      <c r="BI1810" s="38"/>
      <c r="BJ1810" s="38"/>
      <c r="BK1810" s="38"/>
      <c r="BL1810" s="38"/>
      <c r="BM1810" s="38"/>
      <c r="BN1810" s="38"/>
      <c r="BO1810" s="38"/>
      <c r="BP1810" s="38"/>
      <c r="BQ1810" s="38"/>
    </row>
    <row r="1811">
      <c r="A1811" s="58" t="s">
        <v>4999</v>
      </c>
      <c r="B1811" s="59"/>
      <c r="C1811" s="59">
        <v>43355.0</v>
      </c>
      <c r="D1811" s="60"/>
      <c r="E1811" s="58" t="s">
        <v>41</v>
      </c>
      <c r="F1811" s="58">
        <v>1.0</v>
      </c>
      <c r="G1811" s="58" t="s">
        <v>32</v>
      </c>
      <c r="H1811" s="43">
        <v>1.0</v>
      </c>
      <c r="I1811" s="58" t="s">
        <v>33</v>
      </c>
      <c r="J1811" s="58" t="s">
        <v>402</v>
      </c>
      <c r="K1811" s="58"/>
      <c r="L1811" s="58" t="s">
        <v>69</v>
      </c>
      <c r="M1811" s="61" t="s">
        <v>5000</v>
      </c>
      <c r="N1811" s="80"/>
      <c r="O1811" s="83" t="str">
        <f>hyperlink("https://bad-boys.us/?q=ND-IN/3:18-cr-00104", "ND-IN 3:18-cr-00104")</f>
        <v>ND-IN 3:18-cr-00104</v>
      </c>
      <c r="P1811" s="88" t="s">
        <v>5001</v>
      </c>
      <c r="Q1811" s="58">
        <v>1.0</v>
      </c>
      <c r="R1811" s="62"/>
      <c r="S1811" s="37" t="str">
        <f>IFERROR(__xludf.DUMMYFUNCTION("if(not(iserror(index(split(C1811, "" ""),2))), index(split(C1811, "" ""),1),"""")"),"September")</f>
        <v>September</v>
      </c>
      <c r="T1811" s="38">
        <f>IFERROR(__xludf.DUMMYFUNCTION("if(S1811="""",C1811,if(not(iserror(index(split(C1811, "" ""),3))), index(split(C1811, "" ""),3),index(split(C1811, "" ""),2)))"),2018.0)</f>
        <v>2018</v>
      </c>
      <c r="U1811" s="38" t="b">
        <f t="shared" si="268"/>
        <v>0</v>
      </c>
      <c r="V1811" s="38" t="s">
        <v>33</v>
      </c>
      <c r="W1811" s="40"/>
      <c r="X1811" s="40"/>
      <c r="Y1811" s="40"/>
      <c r="Z1811" s="38"/>
      <c r="AA1811" s="38"/>
      <c r="AB1811" s="38"/>
      <c r="AC1811" s="38"/>
      <c r="AD1811" s="38"/>
      <c r="AE1811" s="38"/>
      <c r="AF1811" s="38"/>
      <c r="AG1811" s="38"/>
      <c r="AH1811" s="38"/>
      <c r="AI1811" s="38"/>
      <c r="AJ1811" s="38"/>
      <c r="AK1811" s="38"/>
      <c r="AL1811" s="38"/>
      <c r="AM1811" s="38"/>
      <c r="AN1811" s="38"/>
      <c r="AO1811" s="38"/>
      <c r="AP1811" s="38"/>
      <c r="AQ1811" s="38"/>
      <c r="AR1811" s="38"/>
      <c r="AS1811" s="38"/>
      <c r="AT1811" s="38"/>
      <c r="AU1811" s="38"/>
      <c r="AV1811" s="38"/>
      <c r="AW1811" s="38"/>
      <c r="AX1811" s="38"/>
      <c r="AY1811" s="38"/>
      <c r="AZ1811" s="38"/>
      <c r="BA1811" s="38"/>
      <c r="BB1811" s="38"/>
      <c r="BC1811" s="38"/>
      <c r="BD1811" s="38"/>
      <c r="BE1811" s="38"/>
      <c r="BF1811" s="38"/>
      <c r="BG1811" s="38"/>
      <c r="BH1811" s="38"/>
      <c r="BI1811" s="38"/>
      <c r="BJ1811" s="38"/>
      <c r="BK1811" s="38"/>
      <c r="BL1811" s="38"/>
      <c r="BM1811" s="38"/>
      <c r="BN1811" s="38"/>
      <c r="BO1811" s="38"/>
      <c r="BP1811" s="38"/>
      <c r="BQ1811" s="38"/>
    </row>
    <row r="1812">
      <c r="A1812" s="58" t="s">
        <v>5002</v>
      </c>
      <c r="B1812" s="59">
        <v>43356.0</v>
      </c>
      <c r="C1812" s="59">
        <v>43356.0</v>
      </c>
      <c r="D1812" s="60" t="s">
        <v>5003</v>
      </c>
      <c r="E1812" s="58" t="s">
        <v>41</v>
      </c>
      <c r="F1812" s="58">
        <v>1.0</v>
      </c>
      <c r="G1812" s="58" t="s">
        <v>32</v>
      </c>
      <c r="H1812" s="33">
        <f>if(G1812="Unknown",1,G1812)</f>
        <v>1</v>
      </c>
      <c r="I1812" s="58" t="s">
        <v>33</v>
      </c>
      <c r="J1812" s="58" t="s">
        <v>179</v>
      </c>
      <c r="K1812" s="58">
        <v>11.0</v>
      </c>
      <c r="L1812" s="58" t="s">
        <v>69</v>
      </c>
      <c r="M1812" s="61" t="s">
        <v>5004</v>
      </c>
      <c r="N1812" s="77"/>
      <c r="O1812" s="83" t="str">
        <f>hyperlink("https://bad-boys.us/?q=ED-VA/1:18-cr-00340", "ED-VA 1:18-cr-00340")</f>
        <v>ED-VA 1:18-cr-00340</v>
      </c>
      <c r="P1812" s="88" t="s">
        <v>5005</v>
      </c>
      <c r="Q1812" s="84">
        <v>1.0</v>
      </c>
      <c r="R1812" s="62"/>
      <c r="S1812" s="37" t="str">
        <f>IFERROR(__xludf.DUMMYFUNCTION("if(not(iserror(index(split(C1812, "" ""),2))), index(split(C1812, "" ""),1),"""")"),"September")</f>
        <v>September</v>
      </c>
      <c r="T1812" s="38">
        <f>IFERROR(__xludf.DUMMYFUNCTION("if(S1812="""",C1812,if(not(iserror(index(split(C1812, "" ""),3))), index(split(C1812, "" ""),3),index(split(C1812, "" ""),2)))"),2018.0)</f>
        <v>2018</v>
      </c>
      <c r="U1812" s="38" t="b">
        <f t="shared" si="268"/>
        <v>0</v>
      </c>
      <c r="V1812" s="38"/>
      <c r="W1812" s="40"/>
      <c r="X1812" s="40"/>
      <c r="Y1812" s="40"/>
      <c r="Z1812" s="38"/>
      <c r="AA1812" s="38"/>
      <c r="AB1812" s="38"/>
      <c r="AC1812" s="38"/>
      <c r="AD1812" s="38"/>
      <c r="AE1812" s="38"/>
      <c r="AF1812" s="38"/>
      <c r="AG1812" s="38"/>
      <c r="AH1812" s="38"/>
      <c r="AI1812" s="38"/>
      <c r="AJ1812" s="38"/>
      <c r="AK1812" s="38"/>
      <c r="AL1812" s="38"/>
      <c r="AM1812" s="38"/>
      <c r="AN1812" s="38"/>
      <c r="AO1812" s="38"/>
      <c r="AP1812" s="38"/>
      <c r="AQ1812" s="38"/>
      <c r="AR1812" s="38"/>
      <c r="AS1812" s="38"/>
      <c r="AT1812" s="38"/>
      <c r="AU1812" s="38"/>
      <c r="AV1812" s="38"/>
      <c r="AW1812" s="38"/>
      <c r="AX1812" s="38"/>
      <c r="AY1812" s="38"/>
      <c r="AZ1812" s="38"/>
      <c r="BA1812" s="38"/>
      <c r="BB1812" s="38"/>
      <c r="BC1812" s="38"/>
      <c r="BD1812" s="38"/>
      <c r="BE1812" s="38"/>
      <c r="BF1812" s="38"/>
      <c r="BG1812" s="38"/>
      <c r="BH1812" s="38"/>
      <c r="BI1812" s="38"/>
      <c r="BJ1812" s="38"/>
      <c r="BK1812" s="38"/>
      <c r="BL1812" s="38"/>
      <c r="BM1812" s="38"/>
      <c r="BN1812" s="38"/>
      <c r="BO1812" s="38"/>
      <c r="BP1812" s="38"/>
      <c r="BQ1812" s="38"/>
    </row>
    <row r="1813">
      <c r="A1813" s="58" t="s">
        <v>5006</v>
      </c>
      <c r="B1813" s="59"/>
      <c r="C1813" s="59">
        <v>43356.0</v>
      </c>
      <c r="D1813" s="60"/>
      <c r="E1813" s="58" t="s">
        <v>41</v>
      </c>
      <c r="F1813" s="58">
        <v>1.0</v>
      </c>
      <c r="G1813" s="58">
        <v>3.0</v>
      </c>
      <c r="H1813" s="43">
        <v>3.0</v>
      </c>
      <c r="I1813" s="58" t="s">
        <v>33</v>
      </c>
      <c r="J1813" s="58" t="s">
        <v>115</v>
      </c>
      <c r="K1813" s="58"/>
      <c r="L1813" s="58" t="s">
        <v>349</v>
      </c>
      <c r="M1813" s="61" t="s">
        <v>5007</v>
      </c>
      <c r="N1813" s="77"/>
      <c r="O1813" s="62"/>
      <c r="P1813" s="62"/>
      <c r="Q1813" s="58">
        <v>1.0</v>
      </c>
      <c r="R1813" s="62"/>
      <c r="S1813" s="37"/>
      <c r="T1813" s="38"/>
      <c r="U1813" s="38"/>
      <c r="V1813" s="38" t="s">
        <v>33</v>
      </c>
      <c r="W1813" s="40"/>
      <c r="X1813" s="40"/>
      <c r="Y1813" s="40"/>
      <c r="Z1813" s="38"/>
      <c r="AA1813" s="38"/>
      <c r="AB1813" s="38"/>
      <c r="AC1813" s="38"/>
      <c r="AD1813" s="38"/>
      <c r="AE1813" s="38"/>
      <c r="AF1813" s="38"/>
      <c r="AG1813" s="38"/>
      <c r="AH1813" s="38"/>
      <c r="AI1813" s="38"/>
      <c r="AJ1813" s="38"/>
      <c r="AK1813" s="38"/>
      <c r="AL1813" s="38"/>
      <c r="AM1813" s="38"/>
      <c r="AN1813" s="38"/>
      <c r="AO1813" s="38"/>
      <c r="AP1813" s="38"/>
      <c r="AQ1813" s="38"/>
      <c r="AR1813" s="38"/>
      <c r="AS1813" s="38"/>
      <c r="AT1813" s="38"/>
      <c r="AU1813" s="38"/>
      <c r="AV1813" s="38"/>
      <c r="AW1813" s="38"/>
      <c r="AX1813" s="38"/>
      <c r="AY1813" s="38"/>
      <c r="AZ1813" s="38"/>
      <c r="BA1813" s="38"/>
      <c r="BB1813" s="38"/>
      <c r="BC1813" s="38"/>
      <c r="BD1813" s="38"/>
      <c r="BE1813" s="38"/>
      <c r="BF1813" s="38"/>
      <c r="BG1813" s="38"/>
      <c r="BH1813" s="38"/>
      <c r="BI1813" s="38"/>
      <c r="BJ1813" s="38"/>
      <c r="BK1813" s="38"/>
      <c r="BL1813" s="38"/>
      <c r="BM1813" s="38"/>
      <c r="BN1813" s="38"/>
      <c r="BO1813" s="38"/>
      <c r="BP1813" s="38"/>
      <c r="BQ1813" s="38"/>
    </row>
    <row r="1814">
      <c r="A1814" s="58" t="s">
        <v>660</v>
      </c>
      <c r="B1814" s="59">
        <v>43357.0</v>
      </c>
      <c r="C1814" s="59">
        <v>43356.0</v>
      </c>
      <c r="D1814" s="60" t="s">
        <v>5003</v>
      </c>
      <c r="E1814" s="58" t="s">
        <v>31</v>
      </c>
      <c r="F1814" s="58">
        <v>4.0</v>
      </c>
      <c r="G1814" s="58" t="s">
        <v>32</v>
      </c>
      <c r="H1814" s="33">
        <f>if(G1814="Unknown",1,G1814)</f>
        <v>1</v>
      </c>
      <c r="I1814" s="58" t="s">
        <v>33</v>
      </c>
      <c r="J1814" s="58" t="s">
        <v>147</v>
      </c>
      <c r="K1814" s="58">
        <v>1.0</v>
      </c>
      <c r="L1814" s="58" t="s">
        <v>52</v>
      </c>
      <c r="M1814" s="61" t="s">
        <v>5008</v>
      </c>
      <c r="N1814" s="77"/>
      <c r="O1814" s="62"/>
      <c r="P1814" s="62"/>
      <c r="Q1814" s="62"/>
      <c r="R1814" s="62"/>
      <c r="S1814" s="37" t="str">
        <f>IFERROR(__xludf.DUMMYFUNCTION("if(not(iserror(index(split(C1814, "" ""),2))), index(split(C1814, "" ""),1),"""")"),"September")</f>
        <v>September</v>
      </c>
      <c r="T1814" s="38">
        <f>IFERROR(__xludf.DUMMYFUNCTION("if(S1814="""",C1814,if(not(iserror(index(split(C1814, "" ""),3))), index(split(C1814, "" ""),3),index(split(C1814, "" ""),2)))"),2018.0)</f>
        <v>2018</v>
      </c>
      <c r="U1814" s="38" t="b">
        <f t="shared" ref="U1814:U1817" si="270">countif(A$4:A4658, A1814)&gt;1</f>
        <v>1</v>
      </c>
      <c r="V1814" s="38"/>
      <c r="W1814" s="40"/>
      <c r="X1814" s="40"/>
      <c r="Y1814" s="40"/>
      <c r="Z1814" s="38"/>
      <c r="AA1814" s="38"/>
      <c r="AB1814" s="38"/>
      <c r="AC1814" s="38"/>
      <c r="AD1814" s="38"/>
      <c r="AE1814" s="38"/>
      <c r="AF1814" s="38"/>
      <c r="AG1814" s="38"/>
      <c r="AH1814" s="38"/>
      <c r="AI1814" s="38"/>
      <c r="AJ1814" s="38"/>
      <c r="AK1814" s="38"/>
      <c r="AL1814" s="38"/>
      <c r="AM1814" s="38"/>
      <c r="AN1814" s="38"/>
      <c r="AO1814" s="38"/>
      <c r="AP1814" s="38"/>
      <c r="AQ1814" s="38"/>
      <c r="AR1814" s="38"/>
      <c r="AS1814" s="38"/>
      <c r="AT1814" s="38"/>
      <c r="AU1814" s="38"/>
      <c r="AV1814" s="38"/>
      <c r="AW1814" s="38"/>
      <c r="AX1814" s="38"/>
      <c r="AY1814" s="38"/>
      <c r="AZ1814" s="38"/>
      <c r="BA1814" s="38"/>
      <c r="BB1814" s="38"/>
      <c r="BC1814" s="38"/>
      <c r="BD1814" s="38"/>
      <c r="BE1814" s="38"/>
      <c r="BF1814" s="38"/>
      <c r="BG1814" s="38"/>
      <c r="BH1814" s="38"/>
      <c r="BI1814" s="38"/>
      <c r="BJ1814" s="38"/>
      <c r="BK1814" s="38"/>
      <c r="BL1814" s="38"/>
      <c r="BM1814" s="38"/>
      <c r="BN1814" s="38"/>
      <c r="BO1814" s="38"/>
      <c r="BP1814" s="38"/>
      <c r="BQ1814" s="38"/>
    </row>
    <row r="1815">
      <c r="A1815" s="58" t="s">
        <v>5009</v>
      </c>
      <c r="B1815" s="59"/>
      <c r="C1815" s="59">
        <v>43356.0</v>
      </c>
      <c r="D1815" s="60"/>
      <c r="E1815" s="58" t="s">
        <v>41</v>
      </c>
      <c r="F1815" s="58">
        <v>1.0</v>
      </c>
      <c r="G1815" s="58" t="s">
        <v>32</v>
      </c>
      <c r="H1815" s="43">
        <v>1.0</v>
      </c>
      <c r="I1815" s="58" t="s">
        <v>33</v>
      </c>
      <c r="J1815" s="58" t="s">
        <v>147</v>
      </c>
      <c r="K1815" s="58"/>
      <c r="L1815" s="58" t="s">
        <v>4996</v>
      </c>
      <c r="M1815" s="61" t="s">
        <v>5010</v>
      </c>
      <c r="N1815" s="77"/>
      <c r="O1815" s="83" t="str">
        <f>hyperlink("https://bad-boys.us/?q=ED-TX/4:18-cr-00197", "ED-TX 4:18-cr-00197")</f>
        <v>ED-TX 4:18-cr-00197</v>
      </c>
      <c r="P1815" s="88" t="s">
        <v>5011</v>
      </c>
      <c r="Q1815" s="84">
        <v>1.0</v>
      </c>
      <c r="R1815" s="62"/>
      <c r="S1815" s="37" t="str">
        <f>IFERROR(__xludf.DUMMYFUNCTION("if(not(iserror(index(split(C1815, "" ""),2))), index(split(C1815, "" ""),1),"""")"),"September")</f>
        <v>September</v>
      </c>
      <c r="T1815" s="38">
        <f>IFERROR(__xludf.DUMMYFUNCTION("if(S1815="""",C1815,if(not(iserror(index(split(C1815, "" ""),3))), index(split(C1815, "" ""),3),index(split(C1815, "" ""),2)))"),2018.0)</f>
        <v>2018</v>
      </c>
      <c r="U1815" s="38" t="b">
        <f t="shared" si="270"/>
        <v>0</v>
      </c>
      <c r="V1815" s="38" t="s">
        <v>33</v>
      </c>
      <c r="W1815" s="40"/>
      <c r="X1815" s="40"/>
      <c r="Y1815" s="40"/>
      <c r="Z1815" s="38"/>
      <c r="AA1815" s="38"/>
      <c r="AB1815" s="38"/>
      <c r="AC1815" s="38"/>
      <c r="AD1815" s="38"/>
      <c r="AE1815" s="38"/>
      <c r="AF1815" s="38"/>
      <c r="AG1815" s="38"/>
      <c r="AH1815" s="38"/>
      <c r="AI1815" s="38"/>
      <c r="AJ1815" s="38"/>
      <c r="AK1815" s="38"/>
      <c r="AL1815" s="38"/>
      <c r="AM1815" s="38"/>
      <c r="AN1815" s="38"/>
      <c r="AO1815" s="38"/>
      <c r="AP1815" s="38"/>
      <c r="AQ1815" s="38"/>
      <c r="AR1815" s="38"/>
      <c r="AS1815" s="38"/>
      <c r="AT1815" s="38"/>
      <c r="AU1815" s="38"/>
      <c r="AV1815" s="38"/>
      <c r="AW1815" s="38"/>
      <c r="AX1815" s="38"/>
      <c r="AY1815" s="38"/>
      <c r="AZ1815" s="38"/>
      <c r="BA1815" s="38"/>
      <c r="BB1815" s="38"/>
      <c r="BC1815" s="38"/>
      <c r="BD1815" s="38"/>
      <c r="BE1815" s="38"/>
      <c r="BF1815" s="38"/>
      <c r="BG1815" s="38"/>
      <c r="BH1815" s="38"/>
      <c r="BI1815" s="38"/>
      <c r="BJ1815" s="38"/>
      <c r="BK1815" s="38"/>
      <c r="BL1815" s="38"/>
      <c r="BM1815" s="38"/>
      <c r="BN1815" s="38"/>
      <c r="BO1815" s="38"/>
      <c r="BP1815" s="38"/>
      <c r="BQ1815" s="38"/>
    </row>
    <row r="1816">
      <c r="A1816" s="251" t="s">
        <v>5012</v>
      </c>
      <c r="B1816" s="59">
        <v>43357.0</v>
      </c>
      <c r="C1816" s="59">
        <v>43356.0</v>
      </c>
      <c r="D1816" s="60" t="s">
        <v>5003</v>
      </c>
      <c r="E1816" s="58" t="s">
        <v>41</v>
      </c>
      <c r="F1816" s="58">
        <v>4.0</v>
      </c>
      <c r="G1816" s="58" t="s">
        <v>32</v>
      </c>
      <c r="H1816" s="50">
        <v>1.0</v>
      </c>
      <c r="I1816" s="58" t="s">
        <v>33</v>
      </c>
      <c r="J1816" s="58" t="s">
        <v>413</v>
      </c>
      <c r="K1816" s="58">
        <v>1.0</v>
      </c>
      <c r="L1816" s="58" t="s">
        <v>194</v>
      </c>
      <c r="M1816" s="61" t="s">
        <v>5013</v>
      </c>
      <c r="N1816" s="77"/>
      <c r="O1816" s="88" t="str">
        <f>hyperlink("https://bad-boys.us/?q=D-VT/2:18-mj-00128", "D-VT 2:18-mj-00128")</f>
        <v>D-VT 2:18-mj-00128</v>
      </c>
      <c r="P1816" s="88" t="s">
        <v>5014</v>
      </c>
      <c r="Q1816" s="58">
        <v>1.0</v>
      </c>
      <c r="R1816" s="62"/>
      <c r="S1816" s="37" t="str">
        <f>IFERROR(__xludf.DUMMYFUNCTION("if(not(iserror(index(split(C1816, "" ""),2))), index(split(C1816, "" ""),1),"""")"),"September")</f>
        <v>September</v>
      </c>
      <c r="T1816" s="38">
        <f>IFERROR(__xludf.DUMMYFUNCTION("if(S1816="""",C1816,if(not(iserror(index(split(C1816, "" ""),3))), index(split(C1816, "" ""),3),index(split(C1816, "" ""),2)))"),2018.0)</f>
        <v>2018</v>
      </c>
      <c r="U1816" s="38" t="b">
        <f t="shared" si="270"/>
        <v>0</v>
      </c>
      <c r="V1816" s="38"/>
      <c r="W1816" s="40"/>
      <c r="X1816" s="40"/>
      <c r="Y1816" s="40"/>
      <c r="Z1816" s="38"/>
      <c r="AA1816" s="38"/>
      <c r="AB1816" s="38"/>
      <c r="AC1816" s="38"/>
      <c r="AD1816" s="38"/>
      <c r="AE1816" s="38"/>
      <c r="AF1816" s="38"/>
      <c r="AG1816" s="38"/>
      <c r="AH1816" s="38"/>
      <c r="AI1816" s="38"/>
      <c r="AJ1816" s="38"/>
      <c r="AK1816" s="38"/>
      <c r="AL1816" s="38"/>
      <c r="AM1816" s="38"/>
      <c r="AN1816" s="38"/>
      <c r="AO1816" s="38"/>
      <c r="AP1816" s="38"/>
      <c r="AQ1816" s="38"/>
      <c r="AR1816" s="38"/>
      <c r="AS1816" s="38"/>
      <c r="AT1816" s="38"/>
      <c r="AU1816" s="38"/>
      <c r="AV1816" s="38"/>
      <c r="AW1816" s="38"/>
      <c r="AX1816" s="38"/>
      <c r="AY1816" s="38"/>
      <c r="AZ1816" s="38"/>
      <c r="BA1816" s="38"/>
      <c r="BB1816" s="38"/>
      <c r="BC1816" s="38"/>
      <c r="BD1816" s="38"/>
      <c r="BE1816" s="38"/>
      <c r="BF1816" s="38"/>
      <c r="BG1816" s="38"/>
      <c r="BH1816" s="38"/>
      <c r="BI1816" s="38"/>
      <c r="BJ1816" s="38"/>
      <c r="BK1816" s="38"/>
      <c r="BL1816" s="38"/>
      <c r="BM1816" s="38"/>
      <c r="BN1816" s="38"/>
      <c r="BO1816" s="38"/>
      <c r="BP1816" s="38"/>
      <c r="BQ1816" s="38"/>
    </row>
    <row r="1817">
      <c r="A1817" s="58" t="s">
        <v>5015</v>
      </c>
      <c r="B1817" s="59">
        <v>43378.0</v>
      </c>
      <c r="C1817" s="59">
        <v>43356.0</v>
      </c>
      <c r="D1817" s="60" t="s">
        <v>5003</v>
      </c>
      <c r="E1817" s="58" t="s">
        <v>31</v>
      </c>
      <c r="F1817" s="58">
        <v>1.0</v>
      </c>
      <c r="G1817" s="58" t="s">
        <v>32</v>
      </c>
      <c r="H1817" s="33">
        <f>if(G1817="Unknown",1,G1817)</f>
        <v>1</v>
      </c>
      <c r="I1817" s="58" t="s">
        <v>33</v>
      </c>
      <c r="J1817" s="58" t="s">
        <v>111</v>
      </c>
      <c r="K1817" s="58">
        <v>2.0</v>
      </c>
      <c r="L1817" s="58" t="s">
        <v>790</v>
      </c>
      <c r="M1817" s="80" t="s">
        <v>5016</v>
      </c>
      <c r="N1817" s="80" t="s">
        <v>5017</v>
      </c>
      <c r="O1817" s="83" t="str">
        <f>hyperlink("https://bad-boys.us/?q=CD-CA/2:18-cr-00549", "CD-CA 2:18-cr-00549")</f>
        <v>CD-CA 2:18-cr-00549</v>
      </c>
      <c r="P1817" s="58"/>
      <c r="Q1817" s="58">
        <v>1.0</v>
      </c>
      <c r="R1817" s="62"/>
      <c r="S1817" s="37" t="str">
        <f>IFERROR(__xludf.DUMMYFUNCTION("if(not(iserror(index(split(C1817, "" ""),2))), index(split(C1817, "" ""),1),"""")"),"September")</f>
        <v>September</v>
      </c>
      <c r="T1817" s="38">
        <f>IFERROR(__xludf.DUMMYFUNCTION("if(S1817="""",C1817,if(not(iserror(index(split(C1817, "" ""),3))), index(split(C1817, "" ""),3),index(split(C1817, "" ""),2)))"),2018.0)</f>
        <v>2018</v>
      </c>
      <c r="U1817" s="38" t="b">
        <f t="shared" si="270"/>
        <v>0</v>
      </c>
      <c r="V1817" s="38" t="s">
        <v>33</v>
      </c>
      <c r="W1817" s="121" t="s">
        <v>5018</v>
      </c>
      <c r="X1817" s="39" t="s">
        <v>5019</v>
      </c>
      <c r="Y1817" s="40"/>
      <c r="Z1817" s="38"/>
      <c r="AA1817" s="38"/>
      <c r="AB1817" s="38"/>
      <c r="AC1817" s="38"/>
      <c r="AD1817" s="38"/>
      <c r="AE1817" s="38"/>
      <c r="AF1817" s="38"/>
      <c r="AG1817" s="38"/>
      <c r="AH1817" s="38"/>
      <c r="AI1817" s="38"/>
      <c r="AJ1817" s="38"/>
      <c r="AK1817" s="38"/>
      <c r="AL1817" s="38"/>
      <c r="AM1817" s="38"/>
      <c r="AN1817" s="38"/>
      <c r="AO1817" s="38"/>
      <c r="AP1817" s="38"/>
      <c r="AQ1817" s="38"/>
      <c r="AR1817" s="38"/>
      <c r="AS1817" s="38"/>
      <c r="AT1817" s="38"/>
      <c r="AU1817" s="38"/>
      <c r="AV1817" s="38"/>
      <c r="AW1817" s="38"/>
      <c r="AX1817" s="38"/>
      <c r="AY1817" s="38"/>
      <c r="AZ1817" s="38"/>
      <c r="BA1817" s="38"/>
      <c r="BB1817" s="38"/>
      <c r="BC1817" s="38"/>
      <c r="BD1817" s="38"/>
      <c r="BE1817" s="38"/>
      <c r="BF1817" s="38"/>
      <c r="BG1817" s="38"/>
      <c r="BH1817" s="38"/>
      <c r="BI1817" s="38"/>
      <c r="BJ1817" s="38"/>
      <c r="BK1817" s="38"/>
      <c r="BL1817" s="38"/>
      <c r="BM1817" s="38"/>
      <c r="BN1817" s="38"/>
      <c r="BO1817" s="38"/>
      <c r="BP1817" s="38"/>
      <c r="BQ1817" s="38"/>
    </row>
    <row r="1818">
      <c r="A1818" s="58" t="s">
        <v>5020</v>
      </c>
      <c r="B1818" s="59"/>
      <c r="C1818" s="59">
        <v>43356.0</v>
      </c>
      <c r="D1818" s="60"/>
      <c r="E1818" s="58" t="s">
        <v>41</v>
      </c>
      <c r="F1818" s="58">
        <v>1.0</v>
      </c>
      <c r="G1818" s="58" t="s">
        <v>32</v>
      </c>
      <c r="H1818" s="43">
        <v>1.0</v>
      </c>
      <c r="I1818" s="58" t="s">
        <v>33</v>
      </c>
      <c r="J1818" s="58" t="s">
        <v>410</v>
      </c>
      <c r="K1818" s="58"/>
      <c r="L1818" s="58" t="s">
        <v>4996</v>
      </c>
      <c r="M1818" s="80" t="s">
        <v>5021</v>
      </c>
      <c r="N1818" s="80"/>
      <c r="O1818" s="58"/>
      <c r="P1818" s="58"/>
      <c r="Q1818" s="84"/>
      <c r="R1818" s="62"/>
      <c r="S1818" s="37"/>
      <c r="T1818" s="38"/>
      <c r="U1818" s="38"/>
      <c r="V1818" s="38" t="s">
        <v>33</v>
      </c>
      <c r="W1818" s="40"/>
      <c r="X1818" s="40"/>
      <c r="Y1818" s="40"/>
      <c r="Z1818" s="38"/>
      <c r="AA1818" s="38"/>
      <c r="AB1818" s="38"/>
      <c r="AC1818" s="38"/>
      <c r="AD1818" s="38"/>
      <c r="AE1818" s="38"/>
      <c r="AF1818" s="38"/>
      <c r="AG1818" s="38"/>
      <c r="AH1818" s="38"/>
      <c r="AI1818" s="38"/>
      <c r="AJ1818" s="38"/>
      <c r="AK1818" s="38"/>
      <c r="AL1818" s="38"/>
      <c r="AM1818" s="38"/>
      <c r="AN1818" s="38"/>
      <c r="AO1818" s="38"/>
      <c r="AP1818" s="38"/>
      <c r="AQ1818" s="38"/>
      <c r="AR1818" s="38"/>
      <c r="AS1818" s="38"/>
      <c r="AT1818" s="38"/>
      <c r="AU1818" s="38"/>
      <c r="AV1818" s="38"/>
      <c r="AW1818" s="38"/>
      <c r="AX1818" s="38"/>
      <c r="AY1818" s="38"/>
      <c r="AZ1818" s="38"/>
      <c r="BA1818" s="38"/>
      <c r="BB1818" s="38"/>
      <c r="BC1818" s="38"/>
      <c r="BD1818" s="38"/>
      <c r="BE1818" s="38"/>
      <c r="BF1818" s="38"/>
      <c r="BG1818" s="38"/>
      <c r="BH1818" s="38"/>
      <c r="BI1818" s="38"/>
      <c r="BJ1818" s="38"/>
      <c r="BK1818" s="38"/>
      <c r="BL1818" s="38"/>
      <c r="BM1818" s="38"/>
      <c r="BN1818" s="38"/>
      <c r="BO1818" s="38"/>
      <c r="BP1818" s="38"/>
      <c r="BQ1818" s="38"/>
    </row>
    <row r="1819">
      <c r="A1819" s="58" t="s">
        <v>5022</v>
      </c>
      <c r="B1819" s="59">
        <v>43405.0</v>
      </c>
      <c r="C1819" s="59">
        <v>43356.0</v>
      </c>
      <c r="D1819" s="60" t="s">
        <v>5003</v>
      </c>
      <c r="E1819" s="58" t="s">
        <v>31</v>
      </c>
      <c r="F1819" s="58">
        <v>2.0</v>
      </c>
      <c r="G1819" s="58" t="s">
        <v>32</v>
      </c>
      <c r="H1819" s="33">
        <f t="shared" ref="H1819:H1822" si="271">if(G1819="Unknown",1,G1819)</f>
        <v>1</v>
      </c>
      <c r="I1819" s="58" t="s">
        <v>33</v>
      </c>
      <c r="J1819" s="58" t="s">
        <v>93</v>
      </c>
      <c r="K1819" s="58">
        <v>2.0</v>
      </c>
      <c r="L1819" s="58" t="s">
        <v>76</v>
      </c>
      <c r="M1819" s="80" t="s">
        <v>5023</v>
      </c>
      <c r="N1819" s="61" t="s">
        <v>5024</v>
      </c>
      <c r="O1819" s="58"/>
      <c r="P1819" s="58"/>
      <c r="Q1819" s="84"/>
      <c r="R1819" s="62"/>
      <c r="S1819" s="37" t="str">
        <f>IFERROR(__xludf.DUMMYFUNCTION("if(not(iserror(index(split(C1819, "" ""),2))), index(split(C1819, "" ""),1),"""")"),"September")</f>
        <v>September</v>
      </c>
      <c r="T1819" s="38">
        <f>IFERROR(__xludf.DUMMYFUNCTION("if(S1819="""",C1819,if(not(iserror(index(split(C1819, "" ""),3))), index(split(C1819, "" ""),3),index(split(C1819, "" ""),2)))"),2018.0)</f>
        <v>2018</v>
      </c>
      <c r="U1819" s="38" t="b">
        <f t="shared" ref="U1819:U1827" si="272">countif(A$4:A4658, A1819)&gt;1</f>
        <v>0</v>
      </c>
      <c r="V1819" s="38"/>
      <c r="W1819" s="40"/>
      <c r="X1819" s="40"/>
      <c r="Y1819" s="40"/>
      <c r="Z1819" s="38"/>
      <c r="AA1819" s="38"/>
      <c r="AB1819" s="38"/>
      <c r="AC1819" s="38"/>
      <c r="AD1819" s="38"/>
      <c r="AE1819" s="38"/>
      <c r="AF1819" s="38"/>
      <c r="AG1819" s="38"/>
      <c r="AH1819" s="38"/>
      <c r="AI1819" s="38"/>
      <c r="AJ1819" s="38"/>
      <c r="AK1819" s="38"/>
      <c r="AL1819" s="38"/>
      <c r="AM1819" s="38"/>
      <c r="AN1819" s="38"/>
      <c r="AO1819" s="38"/>
      <c r="AP1819" s="38"/>
      <c r="AQ1819" s="38"/>
      <c r="AR1819" s="38"/>
      <c r="AS1819" s="38"/>
      <c r="AT1819" s="38"/>
      <c r="AU1819" s="38"/>
      <c r="AV1819" s="38"/>
      <c r="AW1819" s="38"/>
      <c r="AX1819" s="38"/>
      <c r="AY1819" s="38"/>
      <c r="AZ1819" s="38"/>
      <c r="BA1819" s="38"/>
      <c r="BB1819" s="38"/>
      <c r="BC1819" s="38"/>
      <c r="BD1819" s="38"/>
      <c r="BE1819" s="38"/>
      <c r="BF1819" s="38"/>
      <c r="BG1819" s="38"/>
      <c r="BH1819" s="38"/>
      <c r="BI1819" s="38"/>
      <c r="BJ1819" s="38"/>
      <c r="BK1819" s="38"/>
      <c r="BL1819" s="38"/>
      <c r="BM1819" s="38"/>
      <c r="BN1819" s="38"/>
      <c r="BO1819" s="38"/>
      <c r="BP1819" s="38"/>
      <c r="BQ1819" s="38"/>
    </row>
    <row r="1820">
      <c r="A1820" s="252" t="s">
        <v>5025</v>
      </c>
      <c r="B1820" s="59">
        <v>43357.0</v>
      </c>
      <c r="C1820" s="59">
        <v>43357.0</v>
      </c>
      <c r="D1820" s="60" t="s">
        <v>5026</v>
      </c>
      <c r="E1820" s="58" t="s">
        <v>31</v>
      </c>
      <c r="F1820" s="58">
        <v>1.0</v>
      </c>
      <c r="G1820" s="58" t="s">
        <v>32</v>
      </c>
      <c r="H1820" s="33">
        <f t="shared" si="271"/>
        <v>1</v>
      </c>
      <c r="I1820" s="58" t="s">
        <v>33</v>
      </c>
      <c r="J1820" s="58" t="s">
        <v>147</v>
      </c>
      <c r="K1820" s="58">
        <v>1.0</v>
      </c>
      <c r="L1820" s="58" t="s">
        <v>99</v>
      </c>
      <c r="M1820" s="227" t="s">
        <v>5027</v>
      </c>
      <c r="N1820" s="77"/>
      <c r="O1820" s="58"/>
      <c r="P1820" s="62"/>
      <c r="Q1820" s="84"/>
      <c r="R1820" s="62"/>
      <c r="S1820" s="37" t="str">
        <f>IFERROR(__xludf.DUMMYFUNCTION("if(not(iserror(index(split(C1820, "" ""),2))), index(split(C1820, "" ""),1),"""")"),"September")</f>
        <v>September</v>
      </c>
      <c r="T1820" s="38">
        <f>IFERROR(__xludf.DUMMYFUNCTION("if(S1820="""",C1820,if(not(iserror(index(split(C1820, "" ""),3))), index(split(C1820, "" ""),3),index(split(C1820, "" ""),2)))"),2018.0)</f>
        <v>2018</v>
      </c>
      <c r="U1820" s="38" t="b">
        <f t="shared" si="272"/>
        <v>0</v>
      </c>
      <c r="V1820" s="38"/>
      <c r="W1820" s="40"/>
      <c r="X1820" s="40"/>
      <c r="Y1820" s="40"/>
      <c r="Z1820" s="38"/>
      <c r="AA1820" s="38"/>
      <c r="AB1820" s="38"/>
      <c r="AC1820" s="38"/>
      <c r="AD1820" s="38"/>
      <c r="AE1820" s="38"/>
      <c r="AF1820" s="38"/>
      <c r="AG1820" s="38"/>
      <c r="AH1820" s="38"/>
      <c r="AI1820" s="38"/>
      <c r="AJ1820" s="38"/>
      <c r="AK1820" s="38"/>
      <c r="AL1820" s="38"/>
      <c r="AM1820" s="38"/>
      <c r="AN1820" s="38"/>
      <c r="AO1820" s="38"/>
      <c r="AP1820" s="38"/>
      <c r="AQ1820" s="38"/>
      <c r="AR1820" s="38"/>
      <c r="AS1820" s="38"/>
      <c r="AT1820" s="38"/>
      <c r="AU1820" s="38"/>
      <c r="AV1820" s="38"/>
      <c r="AW1820" s="38"/>
      <c r="AX1820" s="38"/>
      <c r="AY1820" s="38"/>
      <c r="AZ1820" s="38"/>
      <c r="BA1820" s="38"/>
      <c r="BB1820" s="38"/>
      <c r="BC1820" s="38"/>
      <c r="BD1820" s="38"/>
      <c r="BE1820" s="38"/>
      <c r="BF1820" s="38"/>
      <c r="BG1820" s="38"/>
      <c r="BH1820" s="38"/>
      <c r="BI1820" s="38"/>
      <c r="BJ1820" s="38"/>
      <c r="BK1820" s="38"/>
      <c r="BL1820" s="38"/>
      <c r="BM1820" s="38"/>
      <c r="BN1820" s="38"/>
      <c r="BO1820" s="38"/>
      <c r="BP1820" s="38"/>
      <c r="BQ1820" s="38"/>
    </row>
    <row r="1821">
      <c r="A1821" s="58" t="s">
        <v>5028</v>
      </c>
      <c r="B1821" s="59">
        <v>43357.0</v>
      </c>
      <c r="C1821" s="59">
        <v>43357.0</v>
      </c>
      <c r="D1821" s="60" t="s">
        <v>5026</v>
      </c>
      <c r="E1821" s="58" t="s">
        <v>41</v>
      </c>
      <c r="F1821" s="58">
        <v>1.0</v>
      </c>
      <c r="G1821" s="58" t="s">
        <v>32</v>
      </c>
      <c r="H1821" s="33">
        <f t="shared" si="271"/>
        <v>1</v>
      </c>
      <c r="I1821" s="58" t="s">
        <v>33</v>
      </c>
      <c r="J1821" s="58" t="s">
        <v>93</v>
      </c>
      <c r="K1821" s="58">
        <v>2.0</v>
      </c>
      <c r="L1821" s="58" t="s">
        <v>119</v>
      </c>
      <c r="M1821" s="253" t="s">
        <v>5029</v>
      </c>
      <c r="N1821" s="61" t="s">
        <v>5030</v>
      </c>
      <c r="O1821" s="88" t="str">
        <f>hyperlink("https://bad-boys.us/?q=WD-NY/1:18-cr-00184", "WD-NY 1:18-cr-00184")</f>
        <v>WD-NY 1:18-cr-00184</v>
      </c>
      <c r="P1821" s="58"/>
      <c r="Q1821" s="58">
        <v>1.0</v>
      </c>
      <c r="R1821" s="62"/>
      <c r="S1821" s="37" t="str">
        <f>IFERROR(__xludf.DUMMYFUNCTION("if(not(iserror(index(split(C1821, "" ""),2))), index(split(C1821, "" ""),1),"""")"),"September")</f>
        <v>September</v>
      </c>
      <c r="T1821" s="38">
        <f>IFERROR(__xludf.DUMMYFUNCTION("if(S1821="""",C1821,if(not(iserror(index(split(C1821, "" ""),3))), index(split(C1821, "" ""),3),index(split(C1821, "" ""),2)))"),2018.0)</f>
        <v>2018</v>
      </c>
      <c r="U1821" s="38" t="b">
        <f t="shared" si="272"/>
        <v>0</v>
      </c>
      <c r="V1821" s="38" t="s">
        <v>33</v>
      </c>
      <c r="W1821" s="40"/>
      <c r="X1821" s="40"/>
      <c r="Y1821" s="40"/>
      <c r="Z1821" s="38"/>
      <c r="AA1821" s="38"/>
      <c r="AB1821" s="38"/>
      <c r="AC1821" s="38"/>
      <c r="AD1821" s="38"/>
      <c r="AE1821" s="38"/>
      <c r="AF1821" s="38"/>
      <c r="AG1821" s="38"/>
      <c r="AH1821" s="38"/>
      <c r="AI1821" s="38"/>
      <c r="AJ1821" s="38"/>
      <c r="AK1821" s="38"/>
      <c r="AL1821" s="38"/>
      <c r="AM1821" s="38"/>
      <c r="AN1821" s="38"/>
      <c r="AO1821" s="38"/>
      <c r="AP1821" s="38"/>
      <c r="AQ1821" s="38"/>
      <c r="AR1821" s="38"/>
      <c r="AS1821" s="38"/>
      <c r="AT1821" s="38"/>
      <c r="AU1821" s="38"/>
      <c r="AV1821" s="38"/>
      <c r="AW1821" s="38"/>
      <c r="AX1821" s="38"/>
      <c r="AY1821" s="38"/>
      <c r="AZ1821" s="38"/>
      <c r="BA1821" s="38"/>
      <c r="BB1821" s="38"/>
      <c r="BC1821" s="38"/>
      <c r="BD1821" s="38"/>
      <c r="BE1821" s="38"/>
      <c r="BF1821" s="38"/>
      <c r="BG1821" s="38"/>
      <c r="BH1821" s="38"/>
      <c r="BI1821" s="38"/>
      <c r="BJ1821" s="38"/>
      <c r="BK1821" s="38"/>
      <c r="BL1821" s="38"/>
      <c r="BM1821" s="38"/>
      <c r="BN1821" s="38"/>
      <c r="BO1821" s="38"/>
      <c r="BP1821" s="38"/>
      <c r="BQ1821" s="38"/>
    </row>
    <row r="1822">
      <c r="A1822" s="152" t="s">
        <v>5031</v>
      </c>
      <c r="B1822" s="153">
        <v>43357.0</v>
      </c>
      <c r="C1822" s="153">
        <v>43357.0</v>
      </c>
      <c r="D1822" s="154" t="s">
        <v>5026</v>
      </c>
      <c r="E1822" s="155" t="s">
        <v>41</v>
      </c>
      <c r="F1822" s="152">
        <v>1.0</v>
      </c>
      <c r="G1822" s="152" t="s">
        <v>32</v>
      </c>
      <c r="H1822" s="33">
        <f t="shared" si="271"/>
        <v>1</v>
      </c>
      <c r="I1822" s="152" t="s">
        <v>33</v>
      </c>
      <c r="J1822" s="152" t="s">
        <v>410</v>
      </c>
      <c r="K1822" s="152">
        <v>1.0</v>
      </c>
      <c r="L1822" s="152" t="s">
        <v>5032</v>
      </c>
      <c r="M1822" s="254" t="s">
        <v>5033</v>
      </c>
      <c r="N1822" s="162" t="s">
        <v>5034</v>
      </c>
      <c r="O1822" s="88" t="str">
        <f>hyperlink("https://bad-boys.us/?q=D-MA/1:18-mj-01256", "D-MA 1:18-mj-01256")</f>
        <v>D-MA 1:18-mj-01256</v>
      </c>
      <c r="P1822" s="88" t="s">
        <v>5035</v>
      </c>
      <c r="Q1822" s="84">
        <v>1.0</v>
      </c>
      <c r="R1822" s="62"/>
      <c r="S1822" s="37" t="str">
        <f>IFERROR(__xludf.DUMMYFUNCTION("if(not(iserror(index(split(C1822, "" ""),2))), index(split(C1822, "" ""),1),"""")"),"September")</f>
        <v>September</v>
      </c>
      <c r="T1822" s="38">
        <f>IFERROR(__xludf.DUMMYFUNCTION("if(S1822="""",C1822,if(not(iserror(index(split(C1822, "" ""),3))), index(split(C1822, "" ""),3),index(split(C1822, "" ""),2)))"),2018.0)</f>
        <v>2018</v>
      </c>
      <c r="U1822" s="38" t="b">
        <f t="shared" si="272"/>
        <v>0</v>
      </c>
      <c r="V1822" s="38"/>
      <c r="W1822" s="40"/>
      <c r="X1822" s="40"/>
      <c r="Y1822" s="40"/>
      <c r="Z1822" s="38"/>
      <c r="AA1822" s="38"/>
      <c r="AB1822" s="38"/>
      <c r="AC1822" s="38"/>
      <c r="AD1822" s="38"/>
      <c r="AE1822" s="38"/>
      <c r="AF1822" s="38"/>
      <c r="AG1822" s="38"/>
      <c r="AH1822" s="38"/>
      <c r="AI1822" s="38"/>
      <c r="AJ1822" s="38"/>
      <c r="AK1822" s="38"/>
      <c r="AL1822" s="38"/>
      <c r="AM1822" s="38"/>
      <c r="AN1822" s="38"/>
      <c r="AO1822" s="38"/>
      <c r="AP1822" s="38"/>
      <c r="AQ1822" s="38"/>
      <c r="AR1822" s="38"/>
      <c r="AS1822" s="38"/>
      <c r="AT1822" s="38"/>
      <c r="AU1822" s="38"/>
      <c r="AV1822" s="38"/>
      <c r="AW1822" s="38"/>
      <c r="AX1822" s="38"/>
      <c r="AY1822" s="38"/>
      <c r="AZ1822" s="38"/>
      <c r="BA1822" s="38"/>
      <c r="BB1822" s="38"/>
      <c r="BC1822" s="38"/>
      <c r="BD1822" s="38"/>
      <c r="BE1822" s="38"/>
      <c r="BF1822" s="38"/>
      <c r="BG1822" s="38"/>
      <c r="BH1822" s="38"/>
      <c r="BI1822" s="38"/>
      <c r="BJ1822" s="38"/>
      <c r="BK1822" s="38"/>
      <c r="BL1822" s="38"/>
      <c r="BM1822" s="38"/>
      <c r="BN1822" s="38"/>
      <c r="BO1822" s="38"/>
      <c r="BP1822" s="38"/>
      <c r="BQ1822" s="38"/>
    </row>
    <row r="1823">
      <c r="A1823" s="58" t="s">
        <v>5036</v>
      </c>
      <c r="B1823" s="59">
        <v>43357.0</v>
      </c>
      <c r="C1823" s="59">
        <v>43357.0</v>
      </c>
      <c r="D1823" s="60" t="s">
        <v>5026</v>
      </c>
      <c r="E1823" s="58" t="s">
        <v>31</v>
      </c>
      <c r="F1823" s="58">
        <v>1.0</v>
      </c>
      <c r="G1823" s="58" t="s">
        <v>32</v>
      </c>
      <c r="H1823" s="50">
        <v>1.0</v>
      </c>
      <c r="I1823" s="58" t="s">
        <v>33</v>
      </c>
      <c r="J1823" s="58" t="s">
        <v>93</v>
      </c>
      <c r="K1823" s="58">
        <v>1.0</v>
      </c>
      <c r="L1823" s="58" t="s">
        <v>99</v>
      </c>
      <c r="M1823" s="227" t="s">
        <v>5037</v>
      </c>
      <c r="N1823" s="61" t="s">
        <v>5038</v>
      </c>
      <c r="O1823" s="62"/>
      <c r="P1823" s="62"/>
      <c r="Q1823" s="58"/>
      <c r="R1823" s="62"/>
      <c r="S1823" s="37" t="str">
        <f>IFERROR(__xludf.DUMMYFUNCTION("if(not(iserror(index(split(C1823, "" ""),2))), index(split(C1823, "" ""),1),"""")"),"September")</f>
        <v>September</v>
      </c>
      <c r="T1823" s="38">
        <f>IFERROR(__xludf.DUMMYFUNCTION("if(S1823="""",C1823,if(not(iserror(index(split(C1823, "" ""),3))), index(split(C1823, "" ""),3),index(split(C1823, "" ""),2)))"),2018.0)</f>
        <v>2018</v>
      </c>
      <c r="U1823" s="38" t="b">
        <f t="shared" si="272"/>
        <v>0</v>
      </c>
      <c r="V1823" s="38"/>
      <c r="W1823" s="40"/>
      <c r="X1823" s="40"/>
      <c r="Y1823" s="40"/>
      <c r="Z1823" s="38"/>
      <c r="AA1823" s="38"/>
      <c r="AB1823" s="38"/>
      <c r="AC1823" s="38"/>
      <c r="AD1823" s="38"/>
      <c r="AE1823" s="38"/>
      <c r="AF1823" s="38"/>
      <c r="AG1823" s="38"/>
      <c r="AH1823" s="38"/>
      <c r="AI1823" s="38"/>
      <c r="AJ1823" s="38"/>
      <c r="AK1823" s="38"/>
      <c r="AL1823" s="38"/>
      <c r="AM1823" s="38"/>
      <c r="AN1823" s="38"/>
      <c r="AO1823" s="38"/>
      <c r="AP1823" s="38"/>
      <c r="AQ1823" s="38"/>
      <c r="AR1823" s="38"/>
      <c r="AS1823" s="38"/>
      <c r="AT1823" s="38"/>
      <c r="AU1823" s="38"/>
      <c r="AV1823" s="38"/>
      <c r="AW1823" s="38"/>
      <c r="AX1823" s="38"/>
      <c r="AY1823" s="38"/>
      <c r="AZ1823" s="38"/>
      <c r="BA1823" s="38"/>
      <c r="BB1823" s="38"/>
      <c r="BC1823" s="38"/>
      <c r="BD1823" s="38"/>
      <c r="BE1823" s="38"/>
      <c r="BF1823" s="38"/>
      <c r="BG1823" s="38"/>
      <c r="BH1823" s="38"/>
      <c r="BI1823" s="38"/>
      <c r="BJ1823" s="38"/>
      <c r="BK1823" s="38"/>
      <c r="BL1823" s="38"/>
      <c r="BM1823" s="38"/>
      <c r="BN1823" s="38"/>
      <c r="BO1823" s="38"/>
      <c r="BP1823" s="38"/>
      <c r="BQ1823" s="38"/>
    </row>
    <row r="1824">
      <c r="A1824" s="58" t="s">
        <v>5039</v>
      </c>
      <c r="B1824" s="59">
        <v>43359.0</v>
      </c>
      <c r="C1824" s="59">
        <v>43357.0</v>
      </c>
      <c r="D1824" s="60" t="s">
        <v>5026</v>
      </c>
      <c r="E1824" s="58" t="s">
        <v>41</v>
      </c>
      <c r="F1824" s="58">
        <v>1.0</v>
      </c>
      <c r="G1824" s="58">
        <v>1.0</v>
      </c>
      <c r="H1824" s="33">
        <f t="shared" ref="H1824:H1827" si="273">if(G1824="Unknown",1,G1824)</f>
        <v>1</v>
      </c>
      <c r="I1824" s="58" t="s">
        <v>33</v>
      </c>
      <c r="J1824" s="58" t="s">
        <v>172</v>
      </c>
      <c r="K1824" s="58">
        <v>1.0</v>
      </c>
      <c r="L1824" s="58" t="s">
        <v>35</v>
      </c>
      <c r="M1824" s="61" t="s">
        <v>5040</v>
      </c>
      <c r="N1824" s="77"/>
      <c r="O1824" s="62"/>
      <c r="P1824" s="62"/>
      <c r="Q1824" s="62"/>
      <c r="R1824" s="62"/>
      <c r="S1824" s="37" t="str">
        <f>IFERROR(__xludf.DUMMYFUNCTION("if(not(iserror(index(split(C1824, "" ""),2))), index(split(C1824, "" ""),1),"""")"),"September")</f>
        <v>September</v>
      </c>
      <c r="T1824" s="38">
        <f>IFERROR(__xludf.DUMMYFUNCTION("if(S1824="""",C1824,if(not(iserror(index(split(C1824, "" ""),3))), index(split(C1824, "" ""),3),index(split(C1824, "" ""),2)))"),2018.0)</f>
        <v>2018</v>
      </c>
      <c r="U1824" s="38" t="b">
        <f t="shared" si="272"/>
        <v>0</v>
      </c>
      <c r="V1824" s="38"/>
      <c r="W1824" s="40"/>
      <c r="X1824" s="40"/>
      <c r="Y1824" s="40"/>
      <c r="Z1824" s="38"/>
      <c r="AA1824" s="38"/>
      <c r="AB1824" s="38"/>
      <c r="AC1824" s="38"/>
      <c r="AD1824" s="38"/>
      <c r="AE1824" s="38"/>
      <c r="AF1824" s="38"/>
      <c r="AG1824" s="38"/>
      <c r="AH1824" s="38"/>
      <c r="AI1824" s="38"/>
      <c r="AJ1824" s="38"/>
      <c r="AK1824" s="38"/>
      <c r="AL1824" s="38"/>
      <c r="AM1824" s="38"/>
      <c r="AN1824" s="38"/>
      <c r="AO1824" s="38"/>
      <c r="AP1824" s="38"/>
      <c r="AQ1824" s="38"/>
      <c r="AR1824" s="38"/>
      <c r="AS1824" s="38"/>
      <c r="AT1824" s="38"/>
      <c r="AU1824" s="38"/>
      <c r="AV1824" s="38"/>
      <c r="AW1824" s="38"/>
      <c r="AX1824" s="38"/>
      <c r="AY1824" s="38"/>
      <c r="AZ1824" s="38"/>
      <c r="BA1824" s="38"/>
      <c r="BB1824" s="38"/>
      <c r="BC1824" s="38"/>
      <c r="BD1824" s="38"/>
      <c r="BE1824" s="38"/>
      <c r="BF1824" s="38"/>
      <c r="BG1824" s="38"/>
      <c r="BH1824" s="38"/>
      <c r="BI1824" s="38"/>
      <c r="BJ1824" s="38"/>
      <c r="BK1824" s="38"/>
      <c r="BL1824" s="38"/>
      <c r="BM1824" s="38"/>
      <c r="BN1824" s="38"/>
      <c r="BO1824" s="38"/>
      <c r="BP1824" s="38"/>
      <c r="BQ1824" s="38"/>
    </row>
    <row r="1825">
      <c r="A1825" s="87" t="s">
        <v>239</v>
      </c>
      <c r="B1825" s="59">
        <v>43361.0</v>
      </c>
      <c r="C1825" s="59">
        <v>43357.0</v>
      </c>
      <c r="D1825" s="60" t="s">
        <v>5026</v>
      </c>
      <c r="E1825" s="58" t="s">
        <v>41</v>
      </c>
      <c r="F1825" s="58">
        <v>1.0</v>
      </c>
      <c r="G1825" s="58">
        <v>2.0</v>
      </c>
      <c r="H1825" s="33">
        <f t="shared" si="273"/>
        <v>2</v>
      </c>
      <c r="I1825" s="58" t="s">
        <v>33</v>
      </c>
      <c r="J1825" s="58" t="s">
        <v>147</v>
      </c>
      <c r="K1825" s="58">
        <v>1.0</v>
      </c>
      <c r="L1825" s="58" t="s">
        <v>194</v>
      </c>
      <c r="M1825" s="61" t="s">
        <v>5041</v>
      </c>
      <c r="N1825" s="77"/>
      <c r="O1825" s="62"/>
      <c r="P1825" s="62"/>
      <c r="Q1825" s="62"/>
      <c r="R1825" s="62"/>
      <c r="S1825" s="37" t="str">
        <f>IFERROR(__xludf.DUMMYFUNCTION("if(not(iserror(index(split(C1825, "" ""),2))), index(split(C1825, "" ""),1),"""")"),"September")</f>
        <v>September</v>
      </c>
      <c r="T1825" s="38">
        <f>IFERROR(__xludf.DUMMYFUNCTION("if(S1825="""",C1825,if(not(iserror(index(split(C1825, "" ""),3))), index(split(C1825, "" ""),3),index(split(C1825, "" ""),2)))"),2018.0)</f>
        <v>2018</v>
      </c>
      <c r="U1825" s="38" t="b">
        <f t="shared" si="272"/>
        <v>1</v>
      </c>
      <c r="V1825" s="38"/>
      <c r="W1825" s="40"/>
      <c r="X1825" s="40"/>
      <c r="Y1825" s="40"/>
      <c r="Z1825" s="38"/>
      <c r="AA1825" s="38"/>
      <c r="AB1825" s="38"/>
      <c r="AC1825" s="38"/>
      <c r="AD1825" s="38"/>
      <c r="AE1825" s="38"/>
      <c r="AF1825" s="38"/>
      <c r="AG1825" s="38"/>
      <c r="AH1825" s="38"/>
      <c r="AI1825" s="38"/>
      <c r="AJ1825" s="38"/>
      <c r="AK1825" s="38"/>
      <c r="AL1825" s="38"/>
      <c r="AM1825" s="38"/>
      <c r="AN1825" s="38"/>
      <c r="AO1825" s="38"/>
      <c r="AP1825" s="38"/>
      <c r="AQ1825" s="38"/>
      <c r="AR1825" s="38"/>
      <c r="AS1825" s="38"/>
      <c r="AT1825" s="38"/>
      <c r="AU1825" s="38"/>
      <c r="AV1825" s="38"/>
      <c r="AW1825" s="38"/>
      <c r="AX1825" s="38"/>
      <c r="AY1825" s="38"/>
      <c r="AZ1825" s="38"/>
      <c r="BA1825" s="38"/>
      <c r="BB1825" s="38"/>
      <c r="BC1825" s="38"/>
      <c r="BD1825" s="38"/>
      <c r="BE1825" s="38"/>
      <c r="BF1825" s="38"/>
      <c r="BG1825" s="38"/>
      <c r="BH1825" s="38"/>
      <c r="BI1825" s="38"/>
      <c r="BJ1825" s="38"/>
      <c r="BK1825" s="38"/>
      <c r="BL1825" s="38"/>
      <c r="BM1825" s="38"/>
      <c r="BN1825" s="38"/>
      <c r="BO1825" s="38"/>
      <c r="BP1825" s="38"/>
      <c r="BQ1825" s="38"/>
    </row>
    <row r="1826">
      <c r="A1826" s="204" t="s">
        <v>239</v>
      </c>
      <c r="B1826" s="59">
        <v>43364.0</v>
      </c>
      <c r="C1826" s="59">
        <v>43357.0</v>
      </c>
      <c r="D1826" s="60" t="s">
        <v>5026</v>
      </c>
      <c r="E1826" s="58" t="s">
        <v>41</v>
      </c>
      <c r="F1826" s="58">
        <v>1.0</v>
      </c>
      <c r="G1826" s="58">
        <v>4.0</v>
      </c>
      <c r="H1826" s="33">
        <f t="shared" si="273"/>
        <v>4</v>
      </c>
      <c r="I1826" s="58" t="s">
        <v>33</v>
      </c>
      <c r="J1826" s="58" t="s">
        <v>241</v>
      </c>
      <c r="K1826" s="58">
        <v>1.0</v>
      </c>
      <c r="L1826" s="58" t="s">
        <v>194</v>
      </c>
      <c r="M1826" s="205" t="s">
        <v>5042</v>
      </c>
      <c r="N1826" s="77"/>
      <c r="O1826" s="62"/>
      <c r="P1826" s="62"/>
      <c r="Q1826" s="62"/>
      <c r="R1826" s="62"/>
      <c r="S1826" s="37" t="str">
        <f>IFERROR(__xludf.DUMMYFUNCTION("if(not(iserror(index(split(C1826, "" ""),2))), index(split(C1826, "" ""),1),"""")"),"September")</f>
        <v>September</v>
      </c>
      <c r="T1826" s="38">
        <f>IFERROR(__xludf.DUMMYFUNCTION("if(S1826="""",C1826,if(not(iserror(index(split(C1826, "" ""),3))), index(split(C1826, "" ""),3),index(split(C1826, "" ""),2)))"),2018.0)</f>
        <v>2018</v>
      </c>
      <c r="U1826" s="38" t="b">
        <f t="shared" si="272"/>
        <v>1</v>
      </c>
      <c r="V1826" s="38"/>
      <c r="W1826" s="40"/>
      <c r="X1826" s="40"/>
      <c r="Y1826" s="40"/>
      <c r="Z1826" s="38"/>
      <c r="AA1826" s="38"/>
      <c r="AB1826" s="38"/>
      <c r="AC1826" s="38"/>
      <c r="AD1826" s="38"/>
      <c r="AE1826" s="38"/>
      <c r="AF1826" s="38"/>
      <c r="AG1826" s="38"/>
      <c r="AH1826" s="38"/>
      <c r="AI1826" s="38"/>
      <c r="AJ1826" s="38"/>
      <c r="AK1826" s="38"/>
      <c r="AL1826" s="38"/>
      <c r="AM1826" s="38"/>
      <c r="AN1826" s="38"/>
      <c r="AO1826" s="38"/>
      <c r="AP1826" s="38"/>
      <c r="AQ1826" s="38"/>
      <c r="AR1826" s="38"/>
      <c r="AS1826" s="38"/>
      <c r="AT1826" s="38"/>
      <c r="AU1826" s="38"/>
      <c r="AV1826" s="38"/>
      <c r="AW1826" s="38"/>
      <c r="AX1826" s="38"/>
      <c r="AY1826" s="38"/>
      <c r="AZ1826" s="38"/>
      <c r="BA1826" s="38"/>
      <c r="BB1826" s="38"/>
      <c r="BC1826" s="38"/>
      <c r="BD1826" s="38"/>
      <c r="BE1826" s="38"/>
      <c r="BF1826" s="38"/>
      <c r="BG1826" s="38"/>
      <c r="BH1826" s="38"/>
      <c r="BI1826" s="38"/>
      <c r="BJ1826" s="38"/>
      <c r="BK1826" s="38"/>
      <c r="BL1826" s="38"/>
      <c r="BM1826" s="38"/>
      <c r="BN1826" s="38"/>
      <c r="BO1826" s="38"/>
      <c r="BP1826" s="38"/>
      <c r="BQ1826" s="38"/>
    </row>
    <row r="1827">
      <c r="A1827" s="87" t="s">
        <v>5043</v>
      </c>
      <c r="B1827" s="59">
        <v>43362.0</v>
      </c>
      <c r="C1827" s="59">
        <v>43358.0</v>
      </c>
      <c r="D1827" s="60" t="s">
        <v>5044</v>
      </c>
      <c r="E1827" s="58" t="s">
        <v>31</v>
      </c>
      <c r="F1827" s="58">
        <v>1.0</v>
      </c>
      <c r="G1827" s="58">
        <v>1.0</v>
      </c>
      <c r="H1827" s="33">
        <f t="shared" si="273"/>
        <v>1</v>
      </c>
      <c r="I1827" s="58" t="s">
        <v>33</v>
      </c>
      <c r="J1827" s="58" t="s">
        <v>147</v>
      </c>
      <c r="K1827" s="58">
        <v>2.0</v>
      </c>
      <c r="L1827" s="58" t="s">
        <v>790</v>
      </c>
      <c r="M1827" s="61" t="s">
        <v>5045</v>
      </c>
      <c r="N1827" s="61" t="s">
        <v>5046</v>
      </c>
      <c r="O1827" s="83" t="str">
        <f>hyperlink("https://bad-boys.us/?q=ED-NY/1:18-cr-00669", "ED-NY 1:18-cr-00669")</f>
        <v>ED-NY 1:18-cr-00669</v>
      </c>
      <c r="P1827" s="88" t="s">
        <v>5047</v>
      </c>
      <c r="Q1827" s="58">
        <v>1.0</v>
      </c>
      <c r="R1827" s="62"/>
      <c r="S1827" s="37" t="str">
        <f>IFERROR(__xludf.DUMMYFUNCTION("if(not(iserror(index(split(C1827, "" ""),2))), index(split(C1827, "" ""),1),"""")"),"September")</f>
        <v>September</v>
      </c>
      <c r="T1827" s="38">
        <f>IFERROR(__xludf.DUMMYFUNCTION("if(S1827="""",C1827,if(not(iserror(index(split(C1827, "" ""),3))), index(split(C1827, "" ""),3),index(split(C1827, "" ""),2)))"),2018.0)</f>
        <v>2018</v>
      </c>
      <c r="U1827" s="38" t="b">
        <f t="shared" si="272"/>
        <v>0</v>
      </c>
      <c r="V1827" s="38"/>
      <c r="W1827" s="40"/>
      <c r="X1827" s="40"/>
      <c r="Y1827" s="40"/>
      <c r="Z1827" s="38"/>
      <c r="AA1827" s="38"/>
      <c r="AB1827" s="38"/>
      <c r="AC1827" s="38"/>
      <c r="AD1827" s="38"/>
      <c r="AE1827" s="38"/>
      <c r="AF1827" s="38"/>
      <c r="AG1827" s="38"/>
      <c r="AH1827" s="38"/>
      <c r="AI1827" s="38"/>
      <c r="AJ1827" s="38"/>
      <c r="AK1827" s="38"/>
      <c r="AL1827" s="38"/>
      <c r="AM1827" s="38"/>
      <c r="AN1827" s="38"/>
      <c r="AO1827" s="38"/>
      <c r="AP1827" s="38"/>
      <c r="AQ1827" s="38"/>
      <c r="AR1827" s="38"/>
      <c r="AS1827" s="38"/>
      <c r="AT1827" s="38"/>
      <c r="AU1827" s="38"/>
      <c r="AV1827" s="38"/>
      <c r="AW1827" s="38"/>
      <c r="AX1827" s="38"/>
      <c r="AY1827" s="38"/>
      <c r="AZ1827" s="38"/>
      <c r="BA1827" s="38"/>
      <c r="BB1827" s="38"/>
      <c r="BC1827" s="38"/>
      <c r="BD1827" s="38"/>
      <c r="BE1827" s="38"/>
      <c r="BF1827" s="38"/>
      <c r="BG1827" s="38"/>
      <c r="BH1827" s="38"/>
      <c r="BI1827" s="38"/>
      <c r="BJ1827" s="38"/>
      <c r="BK1827" s="38"/>
      <c r="BL1827" s="38"/>
      <c r="BM1827" s="38"/>
      <c r="BN1827" s="38"/>
      <c r="BO1827" s="38"/>
      <c r="BP1827" s="38"/>
      <c r="BQ1827" s="38"/>
    </row>
    <row r="1828">
      <c r="A1828" s="58" t="s">
        <v>5048</v>
      </c>
      <c r="B1828" s="59"/>
      <c r="C1828" s="59">
        <v>43359.0</v>
      </c>
      <c r="D1828" s="60"/>
      <c r="E1828" s="58" t="s">
        <v>41</v>
      </c>
      <c r="F1828" s="58">
        <v>1.0</v>
      </c>
      <c r="G1828" s="58" t="s">
        <v>32</v>
      </c>
      <c r="H1828" s="43">
        <v>1.0</v>
      </c>
      <c r="I1828" s="58" t="s">
        <v>33</v>
      </c>
      <c r="J1828" s="58" t="s">
        <v>460</v>
      </c>
      <c r="K1828" s="58"/>
      <c r="L1828" s="58" t="s">
        <v>69</v>
      </c>
      <c r="M1828" s="61" t="s">
        <v>5049</v>
      </c>
      <c r="N1828" s="77"/>
      <c r="O1828" s="62"/>
      <c r="P1828" s="62"/>
      <c r="Q1828" s="62"/>
      <c r="R1828" s="62"/>
      <c r="S1828" s="37"/>
      <c r="T1828" s="38"/>
      <c r="U1828" s="38"/>
      <c r="V1828" s="38" t="s">
        <v>33</v>
      </c>
      <c r="W1828" s="40"/>
      <c r="X1828" s="40"/>
      <c r="Y1828" s="40"/>
      <c r="Z1828" s="38"/>
      <c r="AA1828" s="38"/>
      <c r="AB1828" s="38"/>
      <c r="AC1828" s="38"/>
      <c r="AD1828" s="38"/>
      <c r="AE1828" s="38"/>
      <c r="AF1828" s="38"/>
      <c r="AG1828" s="38"/>
      <c r="AH1828" s="38"/>
      <c r="AI1828" s="38"/>
      <c r="AJ1828" s="38"/>
      <c r="AK1828" s="38"/>
      <c r="AL1828" s="38"/>
      <c r="AM1828" s="38"/>
      <c r="AN1828" s="38"/>
      <c r="AO1828" s="38"/>
      <c r="AP1828" s="38"/>
      <c r="AQ1828" s="38"/>
      <c r="AR1828" s="38"/>
      <c r="AS1828" s="38"/>
      <c r="AT1828" s="38"/>
      <c r="AU1828" s="38"/>
      <c r="AV1828" s="38"/>
      <c r="AW1828" s="38"/>
      <c r="AX1828" s="38"/>
      <c r="AY1828" s="38"/>
      <c r="AZ1828" s="38"/>
      <c r="BA1828" s="38"/>
      <c r="BB1828" s="38"/>
      <c r="BC1828" s="38"/>
      <c r="BD1828" s="38"/>
      <c r="BE1828" s="38"/>
      <c r="BF1828" s="38"/>
      <c r="BG1828" s="38"/>
      <c r="BH1828" s="38"/>
      <c r="BI1828" s="38"/>
      <c r="BJ1828" s="38"/>
      <c r="BK1828" s="38"/>
      <c r="BL1828" s="38"/>
      <c r="BM1828" s="38"/>
      <c r="BN1828" s="38"/>
      <c r="BO1828" s="38"/>
      <c r="BP1828" s="38"/>
      <c r="BQ1828" s="38"/>
    </row>
    <row r="1829">
      <c r="A1829" s="58" t="s">
        <v>5050</v>
      </c>
      <c r="B1829" s="59">
        <v>43359.0</v>
      </c>
      <c r="C1829" s="59">
        <v>43359.0</v>
      </c>
      <c r="D1829" s="60" t="s">
        <v>5051</v>
      </c>
      <c r="E1829" s="58" t="s">
        <v>31</v>
      </c>
      <c r="F1829" s="58">
        <v>2.0</v>
      </c>
      <c r="G1829" s="58" t="s">
        <v>32</v>
      </c>
      <c r="H1829" s="33">
        <f t="shared" ref="H1829:H1835" si="274">if(G1829="Unknown",1,G1829)</f>
        <v>1</v>
      </c>
      <c r="I1829" s="58" t="s">
        <v>33</v>
      </c>
      <c r="J1829" s="58" t="s">
        <v>132</v>
      </c>
      <c r="K1829" s="58">
        <v>1.0</v>
      </c>
      <c r="L1829" s="58" t="s">
        <v>5052</v>
      </c>
      <c r="M1829" s="61" t="s">
        <v>5053</v>
      </c>
      <c r="N1829" s="77"/>
      <c r="O1829" s="62"/>
      <c r="P1829" s="62"/>
      <c r="Q1829" s="62"/>
      <c r="R1829" s="62"/>
      <c r="S1829" s="37" t="str">
        <f>IFERROR(__xludf.DUMMYFUNCTION("if(not(iserror(index(split(C1829, "" ""),2))), index(split(C1829, "" ""),1),"""")"),"September")</f>
        <v>September</v>
      </c>
      <c r="T1829" s="38">
        <f>IFERROR(__xludf.DUMMYFUNCTION("if(S1829="""",C1829,if(not(iserror(index(split(C1829, "" ""),3))), index(split(C1829, "" ""),3),index(split(C1829, "" ""),2)))"),2018.0)</f>
        <v>2018</v>
      </c>
      <c r="U1829" s="38" t="b">
        <f t="shared" ref="U1829:U1835" si="275">countif(A$4:A4658, A1829)&gt;1</f>
        <v>0</v>
      </c>
      <c r="V1829" s="38"/>
      <c r="W1829" s="40"/>
      <c r="X1829" s="40"/>
      <c r="Y1829" s="40"/>
      <c r="Z1829" s="38"/>
      <c r="AA1829" s="38"/>
      <c r="AB1829" s="38"/>
      <c r="AC1829" s="38"/>
      <c r="AD1829" s="38"/>
      <c r="AE1829" s="38"/>
      <c r="AF1829" s="38"/>
      <c r="AG1829" s="38"/>
      <c r="AH1829" s="38"/>
      <c r="AI1829" s="38"/>
      <c r="AJ1829" s="38"/>
      <c r="AK1829" s="38"/>
      <c r="AL1829" s="38"/>
      <c r="AM1829" s="38"/>
      <c r="AN1829" s="38"/>
      <c r="AO1829" s="38"/>
      <c r="AP1829" s="38"/>
      <c r="AQ1829" s="38"/>
      <c r="AR1829" s="38"/>
      <c r="AS1829" s="38"/>
      <c r="AT1829" s="38"/>
      <c r="AU1829" s="38"/>
      <c r="AV1829" s="38"/>
      <c r="AW1829" s="38"/>
      <c r="AX1829" s="38"/>
      <c r="AY1829" s="38"/>
      <c r="AZ1829" s="38"/>
      <c r="BA1829" s="38"/>
      <c r="BB1829" s="38"/>
      <c r="BC1829" s="38"/>
      <c r="BD1829" s="38"/>
      <c r="BE1829" s="38"/>
      <c r="BF1829" s="38"/>
      <c r="BG1829" s="38"/>
      <c r="BH1829" s="38"/>
      <c r="BI1829" s="38"/>
      <c r="BJ1829" s="38"/>
      <c r="BK1829" s="38"/>
      <c r="BL1829" s="38"/>
      <c r="BM1829" s="38"/>
      <c r="BN1829" s="38"/>
      <c r="BO1829" s="38"/>
      <c r="BP1829" s="38"/>
      <c r="BQ1829" s="38"/>
    </row>
    <row r="1830">
      <c r="A1830" s="58" t="s">
        <v>5054</v>
      </c>
      <c r="B1830" s="59">
        <v>43361.0</v>
      </c>
      <c r="C1830" s="59">
        <v>43360.0</v>
      </c>
      <c r="D1830" s="60" t="s">
        <v>1289</v>
      </c>
      <c r="E1830" s="58" t="s">
        <v>31</v>
      </c>
      <c r="F1830" s="58">
        <v>1.0</v>
      </c>
      <c r="G1830" s="58">
        <v>1.0</v>
      </c>
      <c r="H1830" s="33">
        <f t="shared" si="274"/>
        <v>1</v>
      </c>
      <c r="I1830" s="58" t="s">
        <v>33</v>
      </c>
      <c r="J1830" s="58" t="s">
        <v>514</v>
      </c>
      <c r="K1830" s="58">
        <v>1.0</v>
      </c>
      <c r="L1830" s="58" t="s">
        <v>52</v>
      </c>
      <c r="M1830" s="61" t="s">
        <v>5055</v>
      </c>
      <c r="N1830" s="77"/>
      <c r="O1830" s="62"/>
      <c r="P1830" s="62"/>
      <c r="Q1830" s="62"/>
      <c r="R1830" s="62"/>
      <c r="S1830" s="37" t="str">
        <f>IFERROR(__xludf.DUMMYFUNCTION("if(not(iserror(index(split(C1830, "" ""),2))), index(split(C1830, "" ""),1),"""")"),"September")</f>
        <v>September</v>
      </c>
      <c r="T1830" s="38">
        <f>IFERROR(__xludf.DUMMYFUNCTION("if(S1830="""",C1830,if(not(iserror(index(split(C1830, "" ""),3))), index(split(C1830, "" ""),3),index(split(C1830, "" ""),2)))"),2018.0)</f>
        <v>2018</v>
      </c>
      <c r="U1830" s="38" t="b">
        <f t="shared" si="275"/>
        <v>0</v>
      </c>
      <c r="V1830" s="38"/>
      <c r="W1830" s="40"/>
      <c r="X1830" s="40"/>
      <c r="Y1830" s="40"/>
      <c r="Z1830" s="38"/>
      <c r="AA1830" s="38"/>
      <c r="AB1830" s="38"/>
      <c r="AC1830" s="38"/>
      <c r="AD1830" s="38"/>
      <c r="AE1830" s="38"/>
      <c r="AF1830" s="38"/>
      <c r="AG1830" s="38"/>
      <c r="AH1830" s="38"/>
      <c r="AI1830" s="38"/>
      <c r="AJ1830" s="38"/>
      <c r="AK1830" s="38"/>
      <c r="AL1830" s="38"/>
      <c r="AM1830" s="38"/>
      <c r="AN1830" s="38"/>
      <c r="AO1830" s="38"/>
      <c r="AP1830" s="38"/>
      <c r="AQ1830" s="38"/>
      <c r="AR1830" s="38"/>
      <c r="AS1830" s="38"/>
      <c r="AT1830" s="38"/>
      <c r="AU1830" s="38"/>
      <c r="AV1830" s="38"/>
      <c r="AW1830" s="38"/>
      <c r="AX1830" s="38"/>
      <c r="AY1830" s="38"/>
      <c r="AZ1830" s="38"/>
      <c r="BA1830" s="38"/>
      <c r="BB1830" s="38"/>
      <c r="BC1830" s="38"/>
      <c r="BD1830" s="38"/>
      <c r="BE1830" s="38"/>
      <c r="BF1830" s="38"/>
      <c r="BG1830" s="38"/>
      <c r="BH1830" s="38"/>
      <c r="BI1830" s="38"/>
      <c r="BJ1830" s="38"/>
      <c r="BK1830" s="38"/>
      <c r="BL1830" s="38"/>
      <c r="BM1830" s="38"/>
      <c r="BN1830" s="38"/>
      <c r="BO1830" s="38"/>
      <c r="BP1830" s="38"/>
      <c r="BQ1830" s="38"/>
    </row>
    <row r="1831">
      <c r="A1831" s="87" t="s">
        <v>239</v>
      </c>
      <c r="B1831" s="59">
        <v>43361.0</v>
      </c>
      <c r="C1831" s="59">
        <v>43360.0</v>
      </c>
      <c r="D1831" s="60" t="s">
        <v>1289</v>
      </c>
      <c r="E1831" s="58" t="s">
        <v>41</v>
      </c>
      <c r="F1831" s="58">
        <v>1.0</v>
      </c>
      <c r="G1831" s="58">
        <v>2.0</v>
      </c>
      <c r="H1831" s="33">
        <f t="shared" si="274"/>
        <v>2</v>
      </c>
      <c r="I1831" s="58" t="s">
        <v>33</v>
      </c>
      <c r="J1831" s="58" t="s">
        <v>147</v>
      </c>
      <c r="K1831" s="58">
        <v>1.0</v>
      </c>
      <c r="L1831" s="58" t="s">
        <v>194</v>
      </c>
      <c r="M1831" s="61" t="s">
        <v>5056</v>
      </c>
      <c r="N1831" s="77"/>
      <c r="O1831" s="62"/>
      <c r="P1831" s="62"/>
      <c r="Q1831" s="62"/>
      <c r="R1831" s="62"/>
      <c r="S1831" s="37" t="str">
        <f>IFERROR(__xludf.DUMMYFUNCTION("if(not(iserror(index(split(C1831, "" ""),2))), index(split(C1831, "" ""),1),"""")"),"September")</f>
        <v>September</v>
      </c>
      <c r="T1831" s="38">
        <f>IFERROR(__xludf.DUMMYFUNCTION("if(S1831="""",C1831,if(not(iserror(index(split(C1831, "" ""),3))), index(split(C1831, "" ""),3),index(split(C1831, "" ""),2)))"),2018.0)</f>
        <v>2018</v>
      </c>
      <c r="U1831" s="38" t="b">
        <f t="shared" si="275"/>
        <v>1</v>
      </c>
      <c r="V1831" s="38"/>
      <c r="W1831" s="40"/>
      <c r="X1831" s="40"/>
      <c r="Y1831" s="40"/>
      <c r="Z1831" s="38"/>
      <c r="AA1831" s="38"/>
      <c r="AB1831" s="38"/>
      <c r="AC1831" s="38"/>
      <c r="AD1831" s="38"/>
      <c r="AE1831" s="38"/>
      <c r="AF1831" s="38"/>
      <c r="AG1831" s="38"/>
      <c r="AH1831" s="38"/>
      <c r="AI1831" s="38"/>
      <c r="AJ1831" s="38"/>
      <c r="AK1831" s="38"/>
      <c r="AL1831" s="38"/>
      <c r="AM1831" s="38"/>
      <c r="AN1831" s="38"/>
      <c r="AO1831" s="38"/>
      <c r="AP1831" s="38"/>
      <c r="AQ1831" s="38"/>
      <c r="AR1831" s="38"/>
      <c r="AS1831" s="38"/>
      <c r="AT1831" s="38"/>
      <c r="AU1831" s="38"/>
      <c r="AV1831" s="38"/>
      <c r="AW1831" s="38"/>
      <c r="AX1831" s="38"/>
      <c r="AY1831" s="38"/>
      <c r="AZ1831" s="38"/>
      <c r="BA1831" s="38"/>
      <c r="BB1831" s="38"/>
      <c r="BC1831" s="38"/>
      <c r="BD1831" s="38"/>
      <c r="BE1831" s="38"/>
      <c r="BF1831" s="38"/>
      <c r="BG1831" s="38"/>
      <c r="BH1831" s="38"/>
      <c r="BI1831" s="38"/>
      <c r="BJ1831" s="38"/>
      <c r="BK1831" s="38"/>
      <c r="BL1831" s="38"/>
      <c r="BM1831" s="38"/>
      <c r="BN1831" s="38"/>
      <c r="BO1831" s="38"/>
      <c r="BP1831" s="38"/>
      <c r="BQ1831" s="38"/>
    </row>
    <row r="1832">
      <c r="A1832" s="58" t="s">
        <v>5057</v>
      </c>
      <c r="B1832" s="59">
        <v>43384.0</v>
      </c>
      <c r="C1832" s="59">
        <v>43360.0</v>
      </c>
      <c r="D1832" s="60" t="s">
        <v>1289</v>
      </c>
      <c r="E1832" s="58" t="s">
        <v>41</v>
      </c>
      <c r="F1832" s="58">
        <v>1.0</v>
      </c>
      <c r="G1832" s="58" t="s">
        <v>32</v>
      </c>
      <c r="H1832" s="33">
        <f t="shared" si="274"/>
        <v>1</v>
      </c>
      <c r="I1832" s="58" t="s">
        <v>33</v>
      </c>
      <c r="J1832" s="58" t="s">
        <v>222</v>
      </c>
      <c r="K1832" s="58">
        <v>7.0</v>
      </c>
      <c r="L1832" s="58" t="s">
        <v>119</v>
      </c>
      <c r="M1832" s="61" t="s">
        <v>5058</v>
      </c>
      <c r="N1832" s="77"/>
      <c r="O1832" s="62"/>
      <c r="P1832" s="62"/>
      <c r="Q1832" s="62"/>
      <c r="R1832" s="62"/>
      <c r="S1832" s="37" t="str">
        <f>IFERROR(__xludf.DUMMYFUNCTION("if(not(iserror(index(split(C1832, "" ""),2))), index(split(C1832, "" ""),1),"""")"),"September")</f>
        <v>September</v>
      </c>
      <c r="T1832" s="38">
        <f>IFERROR(__xludf.DUMMYFUNCTION("if(S1832="""",C1832,if(not(iserror(index(split(C1832, "" ""),3))), index(split(C1832, "" ""),3),index(split(C1832, "" ""),2)))"),2018.0)</f>
        <v>2018</v>
      </c>
      <c r="U1832" s="38" t="b">
        <f t="shared" si="275"/>
        <v>1</v>
      </c>
      <c r="V1832" s="38"/>
      <c r="W1832" s="40"/>
      <c r="X1832" s="40"/>
      <c r="Y1832" s="40"/>
      <c r="Z1832" s="38"/>
      <c r="AA1832" s="38"/>
      <c r="AB1832" s="38"/>
      <c r="AC1832" s="38"/>
      <c r="AD1832" s="38"/>
      <c r="AE1832" s="38"/>
      <c r="AF1832" s="38"/>
      <c r="AG1832" s="38"/>
      <c r="AH1832" s="38"/>
      <c r="AI1832" s="38"/>
      <c r="AJ1832" s="38"/>
      <c r="AK1832" s="38"/>
      <c r="AL1832" s="38"/>
      <c r="AM1832" s="38"/>
      <c r="AN1832" s="38"/>
      <c r="AO1832" s="38"/>
      <c r="AP1832" s="38"/>
      <c r="AQ1832" s="38"/>
      <c r="AR1832" s="38"/>
      <c r="AS1832" s="38"/>
      <c r="AT1832" s="38"/>
      <c r="AU1832" s="38"/>
      <c r="AV1832" s="38"/>
      <c r="AW1832" s="38"/>
      <c r="AX1832" s="38"/>
      <c r="AY1832" s="38"/>
      <c r="AZ1832" s="38"/>
      <c r="BA1832" s="38"/>
      <c r="BB1832" s="38"/>
      <c r="BC1832" s="38"/>
      <c r="BD1832" s="38"/>
      <c r="BE1832" s="38"/>
      <c r="BF1832" s="38"/>
      <c r="BG1832" s="38"/>
      <c r="BH1832" s="38"/>
      <c r="BI1832" s="38"/>
      <c r="BJ1832" s="38"/>
      <c r="BK1832" s="38"/>
      <c r="BL1832" s="38"/>
      <c r="BM1832" s="38"/>
      <c r="BN1832" s="38"/>
      <c r="BO1832" s="38"/>
      <c r="BP1832" s="38"/>
      <c r="BQ1832" s="38"/>
    </row>
    <row r="1833">
      <c r="A1833" s="58" t="s">
        <v>5059</v>
      </c>
      <c r="B1833" s="59">
        <v>43361.0</v>
      </c>
      <c r="C1833" s="59">
        <v>43361.0</v>
      </c>
      <c r="D1833" s="60" t="s">
        <v>5060</v>
      </c>
      <c r="E1833" s="58" t="s">
        <v>41</v>
      </c>
      <c r="F1833" s="58">
        <v>1.0</v>
      </c>
      <c r="G1833" s="58" t="s">
        <v>32</v>
      </c>
      <c r="H1833" s="33">
        <f t="shared" si="274"/>
        <v>1</v>
      </c>
      <c r="I1833" s="58" t="s">
        <v>33</v>
      </c>
      <c r="J1833" s="58" t="s">
        <v>34</v>
      </c>
      <c r="K1833" s="58">
        <v>1.0</v>
      </c>
      <c r="L1833" s="58" t="s">
        <v>2248</v>
      </c>
      <c r="M1833" s="61" t="s">
        <v>5061</v>
      </c>
      <c r="N1833" s="77"/>
      <c r="O1833" s="62"/>
      <c r="P1833" s="62"/>
      <c r="Q1833" s="62"/>
      <c r="R1833" s="62"/>
      <c r="S1833" s="37" t="str">
        <f>IFERROR(__xludf.DUMMYFUNCTION("if(not(iserror(index(split(C1833, "" ""),2))), index(split(C1833, "" ""),1),"""")"),"September")</f>
        <v>September</v>
      </c>
      <c r="T1833" s="38">
        <f>IFERROR(__xludf.DUMMYFUNCTION("if(S1833="""",C1833,if(not(iserror(index(split(C1833, "" ""),3))), index(split(C1833, "" ""),3),index(split(C1833, "" ""),2)))"),2018.0)</f>
        <v>2018</v>
      </c>
      <c r="U1833" s="38" t="b">
        <f t="shared" si="275"/>
        <v>0</v>
      </c>
      <c r="V1833" s="38"/>
      <c r="W1833" s="40"/>
      <c r="X1833" s="40"/>
      <c r="Y1833" s="40"/>
      <c r="Z1833" s="38"/>
      <c r="AA1833" s="38"/>
      <c r="AB1833" s="38"/>
      <c r="AC1833" s="38"/>
      <c r="AD1833" s="38"/>
      <c r="AE1833" s="38"/>
      <c r="AF1833" s="38"/>
      <c r="AG1833" s="38"/>
      <c r="AH1833" s="38"/>
      <c r="AI1833" s="38"/>
      <c r="AJ1833" s="38"/>
      <c r="AK1833" s="38"/>
      <c r="AL1833" s="38"/>
      <c r="AM1833" s="38"/>
      <c r="AN1833" s="38"/>
      <c r="AO1833" s="38"/>
      <c r="AP1833" s="38"/>
      <c r="AQ1833" s="38"/>
      <c r="AR1833" s="38"/>
      <c r="AS1833" s="38"/>
      <c r="AT1833" s="38"/>
      <c r="AU1833" s="38"/>
      <c r="AV1833" s="38"/>
      <c r="AW1833" s="38"/>
      <c r="AX1833" s="38"/>
      <c r="AY1833" s="38"/>
      <c r="AZ1833" s="38"/>
      <c r="BA1833" s="38"/>
      <c r="BB1833" s="38"/>
      <c r="BC1833" s="38"/>
      <c r="BD1833" s="38"/>
      <c r="BE1833" s="38"/>
      <c r="BF1833" s="38"/>
      <c r="BG1833" s="38"/>
      <c r="BH1833" s="38"/>
      <c r="BI1833" s="38"/>
      <c r="BJ1833" s="38"/>
      <c r="BK1833" s="38"/>
      <c r="BL1833" s="38"/>
      <c r="BM1833" s="38"/>
      <c r="BN1833" s="38"/>
      <c r="BO1833" s="38"/>
      <c r="BP1833" s="38"/>
      <c r="BQ1833" s="38"/>
    </row>
    <row r="1834">
      <c r="A1834" s="58" t="s">
        <v>5062</v>
      </c>
      <c r="B1834" s="59">
        <v>43363.0</v>
      </c>
      <c r="C1834" s="59">
        <v>43361.0</v>
      </c>
      <c r="D1834" s="60" t="s">
        <v>5060</v>
      </c>
      <c r="E1834" s="58" t="s">
        <v>41</v>
      </c>
      <c r="F1834" s="58">
        <v>12.0</v>
      </c>
      <c r="G1834" s="58">
        <v>7.0</v>
      </c>
      <c r="H1834" s="33">
        <f t="shared" si="274"/>
        <v>7</v>
      </c>
      <c r="I1834" s="58" t="s">
        <v>33</v>
      </c>
      <c r="J1834" s="58" t="s">
        <v>111</v>
      </c>
      <c r="K1834" s="58">
        <v>4.0</v>
      </c>
      <c r="L1834" s="58" t="s">
        <v>5063</v>
      </c>
      <c r="M1834" s="61" t="s">
        <v>5064</v>
      </c>
      <c r="N1834" s="77"/>
      <c r="O1834" s="58"/>
      <c r="P1834" s="58"/>
      <c r="Q1834" s="84"/>
      <c r="R1834" s="62"/>
      <c r="S1834" s="37" t="str">
        <f>IFERROR(__xludf.DUMMYFUNCTION("if(not(iserror(index(split(C1834, "" ""),2))), index(split(C1834, "" ""),1),"""")"),"September")</f>
        <v>September</v>
      </c>
      <c r="T1834" s="38">
        <f>IFERROR(__xludf.DUMMYFUNCTION("if(S1834="""",C1834,if(not(iserror(index(split(C1834, "" ""),3))), index(split(C1834, "" ""),3),index(split(C1834, "" ""),2)))"),2018.0)</f>
        <v>2018</v>
      </c>
      <c r="U1834" s="38" t="b">
        <f t="shared" si="275"/>
        <v>0</v>
      </c>
      <c r="V1834" s="38"/>
      <c r="W1834" s="40"/>
      <c r="X1834" s="40"/>
      <c r="Y1834" s="40"/>
      <c r="Z1834" s="38"/>
      <c r="AA1834" s="38"/>
      <c r="AB1834" s="38"/>
      <c r="AC1834" s="38"/>
      <c r="AD1834" s="38"/>
      <c r="AE1834" s="38"/>
      <c r="AF1834" s="38"/>
      <c r="AG1834" s="38"/>
      <c r="AH1834" s="38"/>
      <c r="AI1834" s="38"/>
      <c r="AJ1834" s="38"/>
      <c r="AK1834" s="38"/>
      <c r="AL1834" s="38"/>
      <c r="AM1834" s="38"/>
      <c r="AN1834" s="38"/>
      <c r="AO1834" s="38"/>
      <c r="AP1834" s="38"/>
      <c r="AQ1834" s="38"/>
      <c r="AR1834" s="38"/>
      <c r="AS1834" s="38"/>
      <c r="AT1834" s="38"/>
      <c r="AU1834" s="38"/>
      <c r="AV1834" s="38"/>
      <c r="AW1834" s="38"/>
      <c r="AX1834" s="38"/>
      <c r="AY1834" s="38"/>
      <c r="AZ1834" s="38"/>
      <c r="BA1834" s="38"/>
      <c r="BB1834" s="38"/>
      <c r="BC1834" s="38"/>
      <c r="BD1834" s="38"/>
      <c r="BE1834" s="38"/>
      <c r="BF1834" s="38"/>
      <c r="BG1834" s="38"/>
      <c r="BH1834" s="38"/>
      <c r="BI1834" s="38"/>
      <c r="BJ1834" s="38"/>
      <c r="BK1834" s="38"/>
      <c r="BL1834" s="38"/>
      <c r="BM1834" s="38"/>
      <c r="BN1834" s="38"/>
      <c r="BO1834" s="38"/>
      <c r="BP1834" s="38"/>
      <c r="BQ1834" s="38"/>
    </row>
    <row r="1835">
      <c r="A1835" s="58" t="s">
        <v>5065</v>
      </c>
      <c r="B1835" s="59">
        <v>43367.0</v>
      </c>
      <c r="C1835" s="59">
        <v>43361.0</v>
      </c>
      <c r="D1835" s="60" t="s">
        <v>5066</v>
      </c>
      <c r="E1835" s="58" t="s">
        <v>31</v>
      </c>
      <c r="F1835" s="58">
        <v>1.0</v>
      </c>
      <c r="G1835" s="58" t="s">
        <v>32</v>
      </c>
      <c r="H1835" s="33">
        <f t="shared" si="274"/>
        <v>1</v>
      </c>
      <c r="I1835" s="58" t="s">
        <v>33</v>
      </c>
      <c r="J1835" s="58" t="s">
        <v>402</v>
      </c>
      <c r="K1835" s="58">
        <v>1.0</v>
      </c>
      <c r="L1835" s="58" t="s">
        <v>99</v>
      </c>
      <c r="M1835" s="61" t="s">
        <v>5067</v>
      </c>
      <c r="N1835" s="77"/>
      <c r="O1835" s="62"/>
      <c r="P1835" s="62"/>
      <c r="Q1835" s="62"/>
      <c r="R1835" s="62"/>
      <c r="S1835" s="37" t="str">
        <f>IFERROR(__xludf.DUMMYFUNCTION("if(not(iserror(index(split(C1835, "" ""),2))), index(split(C1835, "" ""),1),"""")"),"September")</f>
        <v>September</v>
      </c>
      <c r="T1835" s="38">
        <f>IFERROR(__xludf.DUMMYFUNCTION("if(S1835="""",C1835,if(not(iserror(index(split(C1835, "" ""),3))), index(split(C1835, "" ""),3),index(split(C1835, "" ""),2)))"),2018.0)</f>
        <v>2018</v>
      </c>
      <c r="U1835" s="38" t="b">
        <f t="shared" si="275"/>
        <v>0</v>
      </c>
      <c r="V1835" s="38"/>
      <c r="W1835" s="40"/>
      <c r="X1835" s="40"/>
      <c r="Y1835" s="40"/>
      <c r="Z1835" s="38"/>
      <c r="AA1835" s="38"/>
      <c r="AB1835" s="38"/>
      <c r="AC1835" s="38"/>
      <c r="AD1835" s="38"/>
      <c r="AE1835" s="38"/>
      <c r="AF1835" s="38"/>
      <c r="AG1835" s="38"/>
      <c r="AH1835" s="38"/>
      <c r="AI1835" s="38"/>
      <c r="AJ1835" s="38"/>
      <c r="AK1835" s="38"/>
      <c r="AL1835" s="38"/>
      <c r="AM1835" s="38"/>
      <c r="AN1835" s="38"/>
      <c r="AO1835" s="38"/>
      <c r="AP1835" s="38"/>
      <c r="AQ1835" s="38"/>
      <c r="AR1835" s="38"/>
      <c r="AS1835" s="38"/>
      <c r="AT1835" s="38"/>
      <c r="AU1835" s="38"/>
      <c r="AV1835" s="38"/>
      <c r="AW1835" s="38"/>
      <c r="AX1835" s="38"/>
      <c r="AY1835" s="38"/>
      <c r="AZ1835" s="38"/>
      <c r="BA1835" s="38"/>
      <c r="BB1835" s="38"/>
      <c r="BC1835" s="38"/>
      <c r="BD1835" s="38"/>
      <c r="BE1835" s="38"/>
      <c r="BF1835" s="38"/>
      <c r="BG1835" s="38"/>
      <c r="BH1835" s="38"/>
      <c r="BI1835" s="38"/>
      <c r="BJ1835" s="38"/>
      <c r="BK1835" s="38"/>
      <c r="BL1835" s="38"/>
      <c r="BM1835" s="38"/>
      <c r="BN1835" s="38"/>
      <c r="BO1835" s="38"/>
      <c r="BP1835" s="38"/>
      <c r="BQ1835" s="38"/>
    </row>
    <row r="1836">
      <c r="A1836" s="58" t="s">
        <v>5068</v>
      </c>
      <c r="B1836" s="59"/>
      <c r="C1836" s="59">
        <v>43361.0</v>
      </c>
      <c r="D1836" s="60"/>
      <c r="E1836" s="58" t="s">
        <v>41</v>
      </c>
      <c r="F1836" s="58">
        <v>1.0</v>
      </c>
      <c r="G1836" s="58" t="s">
        <v>32</v>
      </c>
      <c r="H1836" s="43">
        <v>1.0</v>
      </c>
      <c r="I1836" s="58" t="s">
        <v>33</v>
      </c>
      <c r="J1836" s="58" t="s">
        <v>279</v>
      </c>
      <c r="K1836" s="58"/>
      <c r="L1836" s="58" t="s">
        <v>4960</v>
      </c>
      <c r="M1836" s="61" t="s">
        <v>5069</v>
      </c>
      <c r="N1836" s="77"/>
      <c r="O1836" s="62"/>
      <c r="P1836" s="62"/>
      <c r="Q1836" s="58">
        <v>1.0</v>
      </c>
      <c r="R1836" s="62"/>
      <c r="S1836" s="37"/>
      <c r="T1836" s="38"/>
      <c r="U1836" s="38"/>
      <c r="V1836" s="38" t="s">
        <v>33</v>
      </c>
      <c r="W1836" s="40"/>
      <c r="X1836" s="40"/>
      <c r="Y1836" s="40"/>
      <c r="Z1836" s="38"/>
      <c r="AA1836" s="38"/>
      <c r="AB1836" s="38"/>
      <c r="AC1836" s="38"/>
      <c r="AD1836" s="38"/>
      <c r="AE1836" s="38"/>
      <c r="AF1836" s="38"/>
      <c r="AG1836" s="38"/>
      <c r="AH1836" s="38"/>
      <c r="AI1836" s="38"/>
      <c r="AJ1836" s="38"/>
      <c r="AK1836" s="38"/>
      <c r="AL1836" s="38"/>
      <c r="AM1836" s="38"/>
      <c r="AN1836" s="38"/>
      <c r="AO1836" s="38"/>
      <c r="AP1836" s="38"/>
      <c r="AQ1836" s="38"/>
      <c r="AR1836" s="38"/>
      <c r="AS1836" s="38"/>
      <c r="AT1836" s="38"/>
      <c r="AU1836" s="38"/>
      <c r="AV1836" s="38"/>
      <c r="AW1836" s="38"/>
      <c r="AX1836" s="38"/>
      <c r="AY1836" s="38"/>
      <c r="AZ1836" s="38"/>
      <c r="BA1836" s="38"/>
      <c r="BB1836" s="38"/>
      <c r="BC1836" s="38"/>
      <c r="BD1836" s="38"/>
      <c r="BE1836" s="38"/>
      <c r="BF1836" s="38"/>
      <c r="BG1836" s="38"/>
      <c r="BH1836" s="38"/>
      <c r="BI1836" s="38"/>
      <c r="BJ1836" s="38"/>
      <c r="BK1836" s="38"/>
      <c r="BL1836" s="38"/>
      <c r="BM1836" s="38"/>
      <c r="BN1836" s="38"/>
      <c r="BO1836" s="38"/>
      <c r="BP1836" s="38"/>
      <c r="BQ1836" s="38"/>
    </row>
    <row r="1837">
      <c r="A1837" s="194" t="s">
        <v>5070</v>
      </c>
      <c r="B1837" s="137">
        <v>43378.0</v>
      </c>
      <c r="C1837" s="126">
        <v>43361.0</v>
      </c>
      <c r="D1837" s="196" t="s">
        <v>5060</v>
      </c>
      <c r="E1837" s="124" t="s">
        <v>41</v>
      </c>
      <c r="F1837" s="129">
        <v>1.0</v>
      </c>
      <c r="G1837" s="128" t="s">
        <v>32</v>
      </c>
      <c r="H1837" s="33">
        <f t="shared" ref="H1837:H1838" si="276">if(G1837="Unknown",1,G1837)</f>
        <v>1</v>
      </c>
      <c r="I1837" s="128" t="s">
        <v>33</v>
      </c>
      <c r="J1837" s="128" t="s">
        <v>111</v>
      </c>
      <c r="K1837" s="58">
        <v>1.0</v>
      </c>
      <c r="L1837" s="124" t="s">
        <v>69</v>
      </c>
      <c r="M1837" s="197" t="s">
        <v>2426</v>
      </c>
      <c r="N1837" s="249"/>
      <c r="O1837" s="173" t="str">
        <f>hyperlink("https://bad-boys.us/?q=CD-CA/2:18-cr-00611", "CD-CA 2:18-cr-00611")</f>
        <v>CD-CA 2:18-cr-00611</v>
      </c>
      <c r="P1837" s="173" t="s">
        <v>5071</v>
      </c>
      <c r="Q1837" s="198">
        <v>1.0</v>
      </c>
      <c r="R1837" s="133"/>
      <c r="S1837" s="37" t="str">
        <f>IFERROR(__xludf.DUMMYFUNCTION("if(not(iserror(index(split(C1837, "" ""),2))), index(split(C1837, "" ""),1),"""")"),"September")</f>
        <v>September</v>
      </c>
      <c r="T1837" s="38">
        <f>IFERROR(__xludf.DUMMYFUNCTION("if(S1837="""",C1837,if(not(iserror(index(split(C1837, "" ""),3))), index(split(C1837, "" ""),3),index(split(C1837, "" ""),2)))"),2018.0)</f>
        <v>2018</v>
      </c>
      <c r="U1837" s="38" t="b">
        <f t="shared" ref="U1837:U1838" si="277">countif(A$4:A4658, A1837)&gt;1</f>
        <v>0</v>
      </c>
      <c r="V1837" s="38"/>
      <c r="W1837" s="40"/>
      <c r="X1837" s="40"/>
      <c r="Y1837" s="40"/>
      <c r="Z1837" s="38"/>
      <c r="AA1837" s="38"/>
      <c r="AB1837" s="38"/>
      <c r="AC1837" s="38"/>
      <c r="AD1837" s="38"/>
      <c r="AE1837" s="38"/>
      <c r="AF1837" s="38"/>
      <c r="AG1837" s="38"/>
      <c r="AH1837" s="38"/>
      <c r="AI1837" s="38"/>
      <c r="AJ1837" s="38"/>
      <c r="AK1837" s="38"/>
      <c r="AL1837" s="38"/>
      <c r="AM1837" s="38"/>
      <c r="AN1837" s="38"/>
      <c r="AO1837" s="38"/>
      <c r="AP1837" s="38"/>
      <c r="AQ1837" s="38"/>
      <c r="AR1837" s="38"/>
      <c r="AS1837" s="38"/>
      <c r="AT1837" s="38"/>
      <c r="AU1837" s="38"/>
      <c r="AV1837" s="38"/>
      <c r="AW1837" s="38"/>
      <c r="AX1837" s="38"/>
      <c r="AY1837" s="38"/>
      <c r="AZ1837" s="38"/>
      <c r="BA1837" s="38"/>
      <c r="BB1837" s="38"/>
      <c r="BC1837" s="38"/>
      <c r="BD1837" s="38"/>
      <c r="BE1837" s="38"/>
      <c r="BF1837" s="38"/>
      <c r="BG1837" s="38"/>
      <c r="BH1837" s="38"/>
      <c r="BI1837" s="38"/>
      <c r="BJ1837" s="38"/>
      <c r="BK1837" s="38"/>
      <c r="BL1837" s="38"/>
      <c r="BM1837" s="38"/>
      <c r="BN1837" s="38"/>
      <c r="BO1837" s="38"/>
      <c r="BP1837" s="38"/>
      <c r="BQ1837" s="38"/>
    </row>
    <row r="1838">
      <c r="A1838" s="58" t="s">
        <v>5072</v>
      </c>
      <c r="B1838" s="59">
        <v>43362.0</v>
      </c>
      <c r="C1838" s="59">
        <v>43362.0</v>
      </c>
      <c r="D1838" s="60" t="s">
        <v>5073</v>
      </c>
      <c r="E1838" s="58" t="s">
        <v>31</v>
      </c>
      <c r="F1838" s="58">
        <v>1.0</v>
      </c>
      <c r="G1838" s="58" t="s">
        <v>32</v>
      </c>
      <c r="H1838" s="33">
        <f t="shared" si="276"/>
        <v>1</v>
      </c>
      <c r="I1838" s="58" t="s">
        <v>33</v>
      </c>
      <c r="J1838" s="58" t="s">
        <v>93</v>
      </c>
      <c r="K1838" s="58">
        <v>1.0</v>
      </c>
      <c r="L1838" s="58" t="s">
        <v>76</v>
      </c>
      <c r="M1838" s="61" t="s">
        <v>5074</v>
      </c>
      <c r="N1838" s="61" t="s">
        <v>5075</v>
      </c>
      <c r="O1838" s="83" t="str">
        <f>hyperlink("https://bad-boys.us/?q=ED-NY/1:18-cr-00502", "ED-NY 1:18-cr-00502")</f>
        <v>ED-NY 1:18-cr-00502</v>
      </c>
      <c r="P1838" s="88" t="s">
        <v>5076</v>
      </c>
      <c r="Q1838" s="58">
        <v>1.0</v>
      </c>
      <c r="R1838" s="62"/>
      <c r="S1838" s="37" t="str">
        <f>IFERROR(__xludf.DUMMYFUNCTION("if(not(iserror(index(split(C1838, "" ""),2))), index(split(C1838, "" ""),1),"""")"),"September")</f>
        <v>September</v>
      </c>
      <c r="T1838" s="38">
        <f>IFERROR(__xludf.DUMMYFUNCTION("if(S1838="""",C1838,if(not(iserror(index(split(C1838, "" ""),3))), index(split(C1838, "" ""),3),index(split(C1838, "" ""),2)))"),2018.0)</f>
        <v>2018</v>
      </c>
      <c r="U1838" s="38" t="b">
        <f t="shared" si="277"/>
        <v>0</v>
      </c>
      <c r="V1838" s="38"/>
      <c r="W1838" s="40"/>
      <c r="X1838" s="40"/>
      <c r="Y1838" s="40"/>
      <c r="Z1838" s="38"/>
      <c r="AA1838" s="38"/>
      <c r="AB1838" s="38"/>
      <c r="AC1838" s="38"/>
      <c r="AD1838" s="38"/>
      <c r="AE1838" s="38"/>
      <c r="AF1838" s="38"/>
      <c r="AG1838" s="38"/>
      <c r="AH1838" s="38"/>
      <c r="AI1838" s="38"/>
      <c r="AJ1838" s="38"/>
      <c r="AK1838" s="38"/>
      <c r="AL1838" s="38"/>
      <c r="AM1838" s="38"/>
      <c r="AN1838" s="38"/>
      <c r="AO1838" s="38"/>
      <c r="AP1838" s="38"/>
      <c r="AQ1838" s="38"/>
      <c r="AR1838" s="38"/>
      <c r="AS1838" s="38"/>
      <c r="AT1838" s="38"/>
      <c r="AU1838" s="38"/>
      <c r="AV1838" s="38"/>
      <c r="AW1838" s="38"/>
      <c r="AX1838" s="38"/>
      <c r="AY1838" s="38"/>
      <c r="AZ1838" s="38"/>
      <c r="BA1838" s="38"/>
      <c r="BB1838" s="38"/>
      <c r="BC1838" s="38"/>
      <c r="BD1838" s="38"/>
      <c r="BE1838" s="38"/>
      <c r="BF1838" s="38"/>
      <c r="BG1838" s="38"/>
      <c r="BH1838" s="38"/>
      <c r="BI1838" s="38"/>
      <c r="BJ1838" s="38"/>
      <c r="BK1838" s="38"/>
      <c r="BL1838" s="38"/>
      <c r="BM1838" s="38"/>
      <c r="BN1838" s="38"/>
      <c r="BO1838" s="38"/>
      <c r="BP1838" s="38"/>
      <c r="BQ1838" s="38"/>
    </row>
    <row r="1839">
      <c r="A1839" s="58" t="s">
        <v>5077</v>
      </c>
      <c r="B1839" s="59"/>
      <c r="C1839" s="59">
        <v>43362.0</v>
      </c>
      <c r="D1839" s="60"/>
      <c r="E1839" s="58" t="s">
        <v>31</v>
      </c>
      <c r="F1839" s="58">
        <v>1.0</v>
      </c>
      <c r="G1839" s="58">
        <v>2.0</v>
      </c>
      <c r="H1839" s="43">
        <v>2.0</v>
      </c>
      <c r="I1839" s="58" t="s">
        <v>33</v>
      </c>
      <c r="J1839" s="58" t="s">
        <v>47</v>
      </c>
      <c r="K1839" s="58"/>
      <c r="L1839" s="58" t="s">
        <v>76</v>
      </c>
      <c r="M1839" s="61" t="s">
        <v>5078</v>
      </c>
      <c r="N1839" s="61" t="s">
        <v>5079</v>
      </c>
      <c r="O1839" s="62"/>
      <c r="P1839" s="62"/>
      <c r="Q1839" s="58">
        <v>1.0</v>
      </c>
      <c r="R1839" s="62"/>
      <c r="S1839" s="37"/>
      <c r="T1839" s="38"/>
      <c r="U1839" s="38"/>
      <c r="V1839" s="38" t="s">
        <v>33</v>
      </c>
      <c r="W1839" s="39" t="s">
        <v>5080</v>
      </c>
      <c r="X1839" s="39" t="s">
        <v>5081</v>
      </c>
      <c r="Y1839" s="40"/>
      <c r="Z1839" s="38"/>
      <c r="AA1839" s="38"/>
      <c r="AB1839" s="38"/>
      <c r="AC1839" s="38"/>
      <c r="AD1839" s="38"/>
      <c r="AE1839" s="38"/>
      <c r="AF1839" s="38"/>
      <c r="AG1839" s="38"/>
      <c r="AH1839" s="38"/>
      <c r="AI1839" s="38"/>
      <c r="AJ1839" s="38"/>
      <c r="AK1839" s="38"/>
      <c r="AL1839" s="38"/>
      <c r="AM1839" s="38"/>
      <c r="AN1839" s="38"/>
      <c r="AO1839" s="38"/>
      <c r="AP1839" s="38"/>
      <c r="AQ1839" s="38"/>
      <c r="AR1839" s="38"/>
      <c r="AS1839" s="38"/>
      <c r="AT1839" s="38"/>
      <c r="AU1839" s="38"/>
      <c r="AV1839" s="38"/>
      <c r="AW1839" s="38"/>
      <c r="AX1839" s="38"/>
      <c r="AY1839" s="38"/>
      <c r="AZ1839" s="38"/>
      <c r="BA1839" s="38"/>
      <c r="BB1839" s="38"/>
      <c r="BC1839" s="38"/>
      <c r="BD1839" s="38"/>
      <c r="BE1839" s="38"/>
      <c r="BF1839" s="38"/>
      <c r="BG1839" s="38"/>
      <c r="BH1839" s="38"/>
      <c r="BI1839" s="38"/>
      <c r="BJ1839" s="38"/>
      <c r="BK1839" s="38"/>
      <c r="BL1839" s="38"/>
      <c r="BM1839" s="38"/>
      <c r="BN1839" s="38"/>
      <c r="BO1839" s="38"/>
      <c r="BP1839" s="38"/>
      <c r="BQ1839" s="38"/>
    </row>
    <row r="1840">
      <c r="A1840" s="58" t="s">
        <v>5082</v>
      </c>
      <c r="B1840" s="59">
        <v>43362.0</v>
      </c>
      <c r="C1840" s="59">
        <v>43362.0</v>
      </c>
      <c r="D1840" s="60" t="s">
        <v>5073</v>
      </c>
      <c r="E1840" s="58" t="s">
        <v>41</v>
      </c>
      <c r="F1840" s="58">
        <v>1.0</v>
      </c>
      <c r="G1840" s="58" t="s">
        <v>32</v>
      </c>
      <c r="H1840" s="33">
        <f t="shared" ref="H1840:H1847" si="278">if(G1840="Unknown",1,G1840)</f>
        <v>1</v>
      </c>
      <c r="I1840" s="58" t="s">
        <v>33</v>
      </c>
      <c r="J1840" s="58" t="s">
        <v>172</v>
      </c>
      <c r="K1840" s="58">
        <v>1.0</v>
      </c>
      <c r="L1840" s="58" t="s">
        <v>52</v>
      </c>
      <c r="M1840" s="61" t="s">
        <v>5083</v>
      </c>
      <c r="N1840" s="77"/>
      <c r="O1840" s="62"/>
      <c r="P1840" s="62"/>
      <c r="Q1840" s="62"/>
      <c r="R1840" s="62"/>
      <c r="S1840" s="37" t="str">
        <f>IFERROR(__xludf.DUMMYFUNCTION("if(not(iserror(index(split(C1840, "" ""),2))), index(split(C1840, "" ""),1),"""")"),"September")</f>
        <v>September</v>
      </c>
      <c r="T1840" s="38">
        <f>IFERROR(__xludf.DUMMYFUNCTION("if(S1840="""",C1840,if(not(iserror(index(split(C1840, "" ""),3))), index(split(C1840, "" ""),3),index(split(C1840, "" ""),2)))"),2018.0)</f>
        <v>2018</v>
      </c>
      <c r="U1840" s="38" t="b">
        <f t="shared" ref="U1840:U1882" si="279">countif(A$4:A4658, A1840)&gt;1</f>
        <v>0</v>
      </c>
      <c r="V1840" s="38"/>
      <c r="W1840" s="40"/>
      <c r="X1840" s="40"/>
      <c r="Y1840" s="40"/>
      <c r="Z1840" s="38"/>
      <c r="AA1840" s="38"/>
      <c r="AB1840" s="38"/>
      <c r="AC1840" s="38"/>
      <c r="AD1840" s="38"/>
      <c r="AE1840" s="38"/>
      <c r="AF1840" s="38"/>
      <c r="AG1840" s="38"/>
      <c r="AH1840" s="38"/>
      <c r="AI1840" s="38"/>
      <c r="AJ1840" s="38"/>
      <c r="AK1840" s="38"/>
      <c r="AL1840" s="38"/>
      <c r="AM1840" s="38"/>
      <c r="AN1840" s="38"/>
      <c r="AO1840" s="38"/>
      <c r="AP1840" s="38"/>
      <c r="AQ1840" s="38"/>
      <c r="AR1840" s="38"/>
      <c r="AS1840" s="38"/>
      <c r="AT1840" s="38"/>
      <c r="AU1840" s="38"/>
      <c r="AV1840" s="38"/>
      <c r="AW1840" s="38"/>
      <c r="AX1840" s="38"/>
      <c r="AY1840" s="38"/>
      <c r="AZ1840" s="38"/>
      <c r="BA1840" s="38"/>
      <c r="BB1840" s="38"/>
      <c r="BC1840" s="38"/>
      <c r="BD1840" s="38"/>
      <c r="BE1840" s="38"/>
      <c r="BF1840" s="38"/>
      <c r="BG1840" s="38"/>
      <c r="BH1840" s="38"/>
      <c r="BI1840" s="38"/>
      <c r="BJ1840" s="38"/>
      <c r="BK1840" s="38"/>
      <c r="BL1840" s="38"/>
      <c r="BM1840" s="38"/>
      <c r="BN1840" s="38"/>
      <c r="BO1840" s="38"/>
      <c r="BP1840" s="38"/>
      <c r="BQ1840" s="38"/>
    </row>
    <row r="1841">
      <c r="A1841" s="58" t="s">
        <v>5084</v>
      </c>
      <c r="B1841" s="59">
        <v>43362.0</v>
      </c>
      <c r="C1841" s="59">
        <v>43362.0</v>
      </c>
      <c r="D1841" s="60" t="s">
        <v>5073</v>
      </c>
      <c r="E1841" s="58" t="s">
        <v>31</v>
      </c>
      <c r="F1841" s="58">
        <v>1.0</v>
      </c>
      <c r="G1841" s="58" t="s">
        <v>32</v>
      </c>
      <c r="H1841" s="33">
        <f t="shared" si="278"/>
        <v>1</v>
      </c>
      <c r="I1841" s="58" t="s">
        <v>33</v>
      </c>
      <c r="J1841" s="58" t="s">
        <v>147</v>
      </c>
      <c r="K1841" s="58" t="s">
        <v>32</v>
      </c>
      <c r="L1841" s="58" t="s">
        <v>99</v>
      </c>
      <c r="M1841" s="105" t="s">
        <v>5085</v>
      </c>
      <c r="N1841" s="77"/>
      <c r="O1841" s="62"/>
      <c r="P1841" s="62"/>
      <c r="Q1841" s="62"/>
      <c r="R1841" s="62"/>
      <c r="S1841" s="37" t="str">
        <f>IFERROR(__xludf.DUMMYFUNCTION("if(not(iserror(index(split(C1841, "" ""),2))), index(split(C1841, "" ""),1),"""")"),"September")</f>
        <v>September</v>
      </c>
      <c r="T1841" s="38">
        <f>IFERROR(__xludf.DUMMYFUNCTION("if(S1841="""",C1841,if(not(iserror(index(split(C1841, "" ""),3))), index(split(C1841, "" ""),3),index(split(C1841, "" ""),2)))"),2018.0)</f>
        <v>2018</v>
      </c>
      <c r="U1841" s="38" t="b">
        <f t="shared" si="279"/>
        <v>0</v>
      </c>
      <c r="V1841" s="38"/>
      <c r="W1841" s="40"/>
      <c r="X1841" s="40"/>
      <c r="Y1841" s="40"/>
      <c r="Z1841" s="38"/>
      <c r="AA1841" s="38"/>
      <c r="AB1841" s="38"/>
      <c r="AC1841" s="38"/>
      <c r="AD1841" s="38"/>
      <c r="AE1841" s="38"/>
      <c r="AF1841" s="38"/>
      <c r="AG1841" s="38"/>
      <c r="AH1841" s="38"/>
      <c r="AI1841" s="38"/>
      <c r="AJ1841" s="38"/>
      <c r="AK1841" s="38"/>
      <c r="AL1841" s="38"/>
      <c r="AM1841" s="38"/>
      <c r="AN1841" s="38"/>
      <c r="AO1841" s="38"/>
      <c r="AP1841" s="38"/>
      <c r="AQ1841" s="38"/>
      <c r="AR1841" s="38"/>
      <c r="AS1841" s="38"/>
      <c r="AT1841" s="38"/>
      <c r="AU1841" s="38"/>
      <c r="AV1841" s="38"/>
      <c r="AW1841" s="38"/>
      <c r="AX1841" s="38"/>
      <c r="AY1841" s="38"/>
      <c r="AZ1841" s="38"/>
      <c r="BA1841" s="38"/>
      <c r="BB1841" s="38"/>
      <c r="BC1841" s="38"/>
      <c r="BD1841" s="38"/>
      <c r="BE1841" s="38"/>
      <c r="BF1841" s="38"/>
      <c r="BG1841" s="38"/>
      <c r="BH1841" s="38"/>
      <c r="BI1841" s="38"/>
      <c r="BJ1841" s="38"/>
      <c r="BK1841" s="38"/>
      <c r="BL1841" s="38"/>
      <c r="BM1841" s="38"/>
      <c r="BN1841" s="38"/>
      <c r="BO1841" s="38"/>
      <c r="BP1841" s="38"/>
      <c r="BQ1841" s="38"/>
    </row>
    <row r="1842">
      <c r="A1842" s="204" t="s">
        <v>239</v>
      </c>
      <c r="B1842" s="59">
        <v>43364.0</v>
      </c>
      <c r="C1842" s="59">
        <v>43362.0</v>
      </c>
      <c r="D1842" s="60" t="s">
        <v>5073</v>
      </c>
      <c r="E1842" s="58" t="s">
        <v>41</v>
      </c>
      <c r="F1842" s="58">
        <v>2.0</v>
      </c>
      <c r="G1842" s="58">
        <v>4.0</v>
      </c>
      <c r="H1842" s="33">
        <f t="shared" si="278"/>
        <v>4</v>
      </c>
      <c r="I1842" s="58" t="s">
        <v>33</v>
      </c>
      <c r="J1842" s="58" t="s">
        <v>241</v>
      </c>
      <c r="K1842" s="58">
        <v>1.0</v>
      </c>
      <c r="L1842" s="58" t="s">
        <v>194</v>
      </c>
      <c r="M1842" s="205" t="s">
        <v>5086</v>
      </c>
      <c r="N1842" s="77"/>
      <c r="O1842" s="62"/>
      <c r="P1842" s="62"/>
      <c r="Q1842" s="62"/>
      <c r="R1842" s="62"/>
      <c r="S1842" s="37" t="str">
        <f>IFERROR(__xludf.DUMMYFUNCTION("if(not(iserror(index(split(C1842, "" ""),2))), index(split(C1842, "" ""),1),"""")"),"September")</f>
        <v>September</v>
      </c>
      <c r="T1842" s="38">
        <f>IFERROR(__xludf.DUMMYFUNCTION("if(S1842="""",C1842,if(not(iserror(index(split(C1842, "" ""),3))), index(split(C1842, "" ""),3),index(split(C1842, "" ""),2)))"),2018.0)</f>
        <v>2018</v>
      </c>
      <c r="U1842" s="38" t="b">
        <f t="shared" si="279"/>
        <v>1</v>
      </c>
      <c r="V1842" s="38"/>
      <c r="W1842" s="40"/>
      <c r="X1842" s="40"/>
      <c r="Y1842" s="40"/>
      <c r="Z1842" s="38"/>
      <c r="AA1842" s="38"/>
      <c r="AB1842" s="38"/>
      <c r="AC1842" s="38"/>
      <c r="AD1842" s="38"/>
      <c r="AE1842" s="38"/>
      <c r="AF1842" s="38"/>
      <c r="AG1842" s="38"/>
      <c r="AH1842" s="38"/>
      <c r="AI1842" s="38"/>
      <c r="AJ1842" s="38"/>
      <c r="AK1842" s="38"/>
      <c r="AL1842" s="38"/>
      <c r="AM1842" s="38"/>
      <c r="AN1842" s="38"/>
      <c r="AO1842" s="38"/>
      <c r="AP1842" s="38"/>
      <c r="AQ1842" s="38"/>
      <c r="AR1842" s="38"/>
      <c r="AS1842" s="38"/>
      <c r="AT1842" s="38"/>
      <c r="AU1842" s="38"/>
      <c r="AV1842" s="38"/>
      <c r="AW1842" s="38"/>
      <c r="AX1842" s="38"/>
      <c r="AY1842" s="38"/>
      <c r="AZ1842" s="38"/>
      <c r="BA1842" s="38"/>
      <c r="BB1842" s="38"/>
      <c r="BC1842" s="38"/>
      <c r="BD1842" s="38"/>
      <c r="BE1842" s="38"/>
      <c r="BF1842" s="38"/>
      <c r="BG1842" s="38"/>
      <c r="BH1842" s="38"/>
      <c r="BI1842" s="38"/>
      <c r="BJ1842" s="38"/>
      <c r="BK1842" s="38"/>
      <c r="BL1842" s="38"/>
      <c r="BM1842" s="38"/>
      <c r="BN1842" s="38"/>
      <c r="BO1842" s="38"/>
      <c r="BP1842" s="38"/>
      <c r="BQ1842" s="38"/>
    </row>
    <row r="1843">
      <c r="A1843" s="204" t="s">
        <v>239</v>
      </c>
      <c r="B1843" s="59">
        <v>43364.0</v>
      </c>
      <c r="C1843" s="59">
        <v>43362.0</v>
      </c>
      <c r="D1843" s="60" t="s">
        <v>5073</v>
      </c>
      <c r="E1843" s="58" t="s">
        <v>41</v>
      </c>
      <c r="F1843" s="58">
        <v>1.0</v>
      </c>
      <c r="G1843" s="58">
        <v>2.0</v>
      </c>
      <c r="H1843" s="33">
        <f t="shared" si="278"/>
        <v>2</v>
      </c>
      <c r="I1843" s="58" t="s">
        <v>33</v>
      </c>
      <c r="J1843" s="58" t="s">
        <v>241</v>
      </c>
      <c r="K1843" s="58">
        <v>1.0</v>
      </c>
      <c r="L1843" s="58" t="s">
        <v>194</v>
      </c>
      <c r="M1843" s="205" t="s">
        <v>5086</v>
      </c>
      <c r="N1843" s="77"/>
      <c r="O1843" s="62"/>
      <c r="P1843" s="62"/>
      <c r="Q1843" s="62"/>
      <c r="R1843" s="62"/>
      <c r="S1843" s="37" t="str">
        <f>IFERROR(__xludf.DUMMYFUNCTION("if(not(iserror(index(split(C1843, "" ""),2))), index(split(C1843, "" ""),1),"""")"),"September")</f>
        <v>September</v>
      </c>
      <c r="T1843" s="38">
        <f>IFERROR(__xludf.DUMMYFUNCTION("if(S1843="""",C1843,if(not(iserror(index(split(C1843, "" ""),3))), index(split(C1843, "" ""),3),index(split(C1843, "" ""),2)))"),2018.0)</f>
        <v>2018</v>
      </c>
      <c r="U1843" s="38" t="b">
        <f t="shared" si="279"/>
        <v>1</v>
      </c>
      <c r="V1843" s="38"/>
      <c r="W1843" s="40"/>
      <c r="X1843" s="40"/>
      <c r="Y1843" s="40"/>
      <c r="Z1843" s="38"/>
      <c r="AA1843" s="38"/>
      <c r="AB1843" s="38"/>
      <c r="AC1843" s="38"/>
      <c r="AD1843" s="38"/>
      <c r="AE1843" s="38"/>
      <c r="AF1843" s="38"/>
      <c r="AG1843" s="38"/>
      <c r="AH1843" s="38"/>
      <c r="AI1843" s="38"/>
      <c r="AJ1843" s="38"/>
      <c r="AK1843" s="38"/>
      <c r="AL1843" s="38"/>
      <c r="AM1843" s="38"/>
      <c r="AN1843" s="38"/>
      <c r="AO1843" s="38"/>
      <c r="AP1843" s="38"/>
      <c r="AQ1843" s="38"/>
      <c r="AR1843" s="38"/>
      <c r="AS1843" s="38"/>
      <c r="AT1843" s="38"/>
      <c r="AU1843" s="38"/>
      <c r="AV1843" s="38"/>
      <c r="AW1843" s="38"/>
      <c r="AX1843" s="38"/>
      <c r="AY1843" s="38"/>
      <c r="AZ1843" s="38"/>
      <c r="BA1843" s="38"/>
      <c r="BB1843" s="38"/>
      <c r="BC1843" s="38"/>
      <c r="BD1843" s="38"/>
      <c r="BE1843" s="38"/>
      <c r="BF1843" s="38"/>
      <c r="BG1843" s="38"/>
      <c r="BH1843" s="38"/>
      <c r="BI1843" s="38"/>
      <c r="BJ1843" s="38"/>
      <c r="BK1843" s="38"/>
      <c r="BL1843" s="38"/>
      <c r="BM1843" s="38"/>
      <c r="BN1843" s="38"/>
      <c r="BO1843" s="38"/>
      <c r="BP1843" s="38"/>
      <c r="BQ1843" s="38"/>
    </row>
    <row r="1844">
      <c r="A1844" s="204" t="s">
        <v>239</v>
      </c>
      <c r="B1844" s="59">
        <v>43364.0</v>
      </c>
      <c r="C1844" s="59">
        <v>43362.0</v>
      </c>
      <c r="D1844" s="60" t="s">
        <v>5073</v>
      </c>
      <c r="E1844" s="58" t="s">
        <v>41</v>
      </c>
      <c r="F1844" s="58">
        <v>1.0</v>
      </c>
      <c r="G1844" s="58">
        <v>2.0</v>
      </c>
      <c r="H1844" s="33">
        <f t="shared" si="278"/>
        <v>2</v>
      </c>
      <c r="I1844" s="58" t="s">
        <v>33</v>
      </c>
      <c r="J1844" s="58" t="s">
        <v>241</v>
      </c>
      <c r="K1844" s="58">
        <v>1.0</v>
      </c>
      <c r="L1844" s="58" t="s">
        <v>194</v>
      </c>
      <c r="M1844" s="205" t="s">
        <v>5086</v>
      </c>
      <c r="N1844" s="77"/>
      <c r="O1844" s="62"/>
      <c r="P1844" s="62"/>
      <c r="Q1844" s="62"/>
      <c r="R1844" s="62"/>
      <c r="S1844" s="37" t="str">
        <f>IFERROR(__xludf.DUMMYFUNCTION("if(not(iserror(index(split(C1844, "" ""),2))), index(split(C1844, "" ""),1),"""")"),"September")</f>
        <v>September</v>
      </c>
      <c r="T1844" s="38">
        <f>IFERROR(__xludf.DUMMYFUNCTION("if(S1844="""",C1844,if(not(iserror(index(split(C1844, "" ""),3))), index(split(C1844, "" ""),3),index(split(C1844, "" ""),2)))"),2018.0)</f>
        <v>2018</v>
      </c>
      <c r="U1844" s="38" t="b">
        <f t="shared" si="279"/>
        <v>1</v>
      </c>
      <c r="V1844" s="38"/>
      <c r="W1844" s="40"/>
      <c r="X1844" s="40"/>
      <c r="Y1844" s="40"/>
      <c r="Z1844" s="38"/>
      <c r="AA1844" s="38"/>
      <c r="AB1844" s="38"/>
      <c r="AC1844" s="38"/>
      <c r="AD1844" s="38"/>
      <c r="AE1844" s="38"/>
      <c r="AF1844" s="38"/>
      <c r="AG1844" s="38"/>
      <c r="AH1844" s="38"/>
      <c r="AI1844" s="38"/>
      <c r="AJ1844" s="38"/>
      <c r="AK1844" s="38"/>
      <c r="AL1844" s="38"/>
      <c r="AM1844" s="38"/>
      <c r="AN1844" s="38"/>
      <c r="AO1844" s="38"/>
      <c r="AP1844" s="38"/>
      <c r="AQ1844" s="38"/>
      <c r="AR1844" s="38"/>
      <c r="AS1844" s="38"/>
      <c r="AT1844" s="38"/>
      <c r="AU1844" s="38"/>
      <c r="AV1844" s="38"/>
      <c r="AW1844" s="38"/>
      <c r="AX1844" s="38"/>
      <c r="AY1844" s="38"/>
      <c r="AZ1844" s="38"/>
      <c r="BA1844" s="38"/>
      <c r="BB1844" s="38"/>
      <c r="BC1844" s="38"/>
      <c r="BD1844" s="38"/>
      <c r="BE1844" s="38"/>
      <c r="BF1844" s="38"/>
      <c r="BG1844" s="38"/>
      <c r="BH1844" s="38"/>
      <c r="BI1844" s="38"/>
      <c r="BJ1844" s="38"/>
      <c r="BK1844" s="38"/>
      <c r="BL1844" s="38"/>
      <c r="BM1844" s="38"/>
      <c r="BN1844" s="38"/>
      <c r="BO1844" s="38"/>
      <c r="BP1844" s="38"/>
      <c r="BQ1844" s="38"/>
    </row>
    <row r="1845">
      <c r="A1845" s="204" t="s">
        <v>239</v>
      </c>
      <c r="B1845" s="59">
        <v>43364.0</v>
      </c>
      <c r="C1845" s="59">
        <v>43362.0</v>
      </c>
      <c r="D1845" s="60" t="s">
        <v>5073</v>
      </c>
      <c r="E1845" s="58" t="s">
        <v>41</v>
      </c>
      <c r="F1845" s="58">
        <v>1.0</v>
      </c>
      <c r="G1845" s="58">
        <v>2.0</v>
      </c>
      <c r="H1845" s="33">
        <f t="shared" si="278"/>
        <v>2</v>
      </c>
      <c r="I1845" s="58" t="s">
        <v>33</v>
      </c>
      <c r="J1845" s="58" t="s">
        <v>241</v>
      </c>
      <c r="K1845" s="58">
        <v>1.0</v>
      </c>
      <c r="L1845" s="58" t="s">
        <v>194</v>
      </c>
      <c r="M1845" s="205" t="s">
        <v>5086</v>
      </c>
      <c r="N1845" s="77"/>
      <c r="O1845" s="62"/>
      <c r="P1845" s="62"/>
      <c r="Q1845" s="62"/>
      <c r="R1845" s="62"/>
      <c r="S1845" s="37" t="str">
        <f>IFERROR(__xludf.DUMMYFUNCTION("if(not(iserror(index(split(C1845, "" ""),2))), index(split(C1845, "" ""),1),"""")"),"September")</f>
        <v>September</v>
      </c>
      <c r="T1845" s="38">
        <f>IFERROR(__xludf.DUMMYFUNCTION("if(S1845="""",C1845,if(not(iserror(index(split(C1845, "" ""),3))), index(split(C1845, "" ""),3),index(split(C1845, "" ""),2)))"),2018.0)</f>
        <v>2018</v>
      </c>
      <c r="U1845" s="38" t="b">
        <f t="shared" si="279"/>
        <v>1</v>
      </c>
      <c r="V1845" s="38"/>
      <c r="W1845" s="40"/>
      <c r="X1845" s="40"/>
      <c r="Y1845" s="40"/>
      <c r="Z1845" s="38"/>
      <c r="AA1845" s="38"/>
      <c r="AB1845" s="38"/>
      <c r="AC1845" s="38"/>
      <c r="AD1845" s="38"/>
      <c r="AE1845" s="38"/>
      <c r="AF1845" s="38"/>
      <c r="AG1845" s="38"/>
      <c r="AH1845" s="38"/>
      <c r="AI1845" s="38"/>
      <c r="AJ1845" s="38"/>
      <c r="AK1845" s="38"/>
      <c r="AL1845" s="38"/>
      <c r="AM1845" s="38"/>
      <c r="AN1845" s="38"/>
      <c r="AO1845" s="38"/>
      <c r="AP1845" s="38"/>
      <c r="AQ1845" s="38"/>
      <c r="AR1845" s="38"/>
      <c r="AS1845" s="38"/>
      <c r="AT1845" s="38"/>
      <c r="AU1845" s="38"/>
      <c r="AV1845" s="38"/>
      <c r="AW1845" s="38"/>
      <c r="AX1845" s="38"/>
      <c r="AY1845" s="38"/>
      <c r="AZ1845" s="38"/>
      <c r="BA1845" s="38"/>
      <c r="BB1845" s="38"/>
      <c r="BC1845" s="38"/>
      <c r="BD1845" s="38"/>
      <c r="BE1845" s="38"/>
      <c r="BF1845" s="38"/>
      <c r="BG1845" s="38"/>
      <c r="BH1845" s="38"/>
      <c r="BI1845" s="38"/>
      <c r="BJ1845" s="38"/>
      <c r="BK1845" s="38"/>
      <c r="BL1845" s="38"/>
      <c r="BM1845" s="38"/>
      <c r="BN1845" s="38"/>
      <c r="BO1845" s="38"/>
      <c r="BP1845" s="38"/>
      <c r="BQ1845" s="38"/>
    </row>
    <row r="1846">
      <c r="A1846" s="204" t="s">
        <v>239</v>
      </c>
      <c r="B1846" s="59">
        <v>43364.0</v>
      </c>
      <c r="C1846" s="59">
        <v>43362.0</v>
      </c>
      <c r="D1846" s="60" t="s">
        <v>5073</v>
      </c>
      <c r="E1846" s="58" t="s">
        <v>41</v>
      </c>
      <c r="F1846" s="58">
        <v>1.0</v>
      </c>
      <c r="G1846" s="58">
        <v>1.0</v>
      </c>
      <c r="H1846" s="33">
        <f t="shared" si="278"/>
        <v>1</v>
      </c>
      <c r="I1846" s="58" t="s">
        <v>33</v>
      </c>
      <c r="J1846" s="58" t="s">
        <v>241</v>
      </c>
      <c r="K1846" s="58">
        <v>1.0</v>
      </c>
      <c r="L1846" s="58" t="s">
        <v>194</v>
      </c>
      <c r="M1846" s="205" t="s">
        <v>5042</v>
      </c>
      <c r="N1846" s="77"/>
      <c r="O1846" s="62"/>
      <c r="P1846" s="62"/>
      <c r="Q1846" s="62"/>
      <c r="R1846" s="62"/>
      <c r="S1846" s="37" t="str">
        <f>IFERROR(__xludf.DUMMYFUNCTION("if(not(iserror(index(split(C1846, "" ""),2))), index(split(C1846, "" ""),1),"""")"),"September")</f>
        <v>September</v>
      </c>
      <c r="T1846" s="38">
        <f>IFERROR(__xludf.DUMMYFUNCTION("if(S1846="""",C1846,if(not(iserror(index(split(C1846, "" ""),3))), index(split(C1846, "" ""),3),index(split(C1846, "" ""),2)))"),2018.0)</f>
        <v>2018</v>
      </c>
      <c r="U1846" s="38" t="b">
        <f t="shared" si="279"/>
        <v>1</v>
      </c>
      <c r="V1846" s="38"/>
      <c r="W1846" s="40"/>
      <c r="X1846" s="40"/>
      <c r="Y1846" s="40"/>
      <c r="Z1846" s="38"/>
      <c r="AA1846" s="38"/>
      <c r="AB1846" s="38"/>
      <c r="AC1846" s="38"/>
      <c r="AD1846" s="38"/>
      <c r="AE1846" s="38"/>
      <c r="AF1846" s="38"/>
      <c r="AG1846" s="38"/>
      <c r="AH1846" s="38"/>
      <c r="AI1846" s="38"/>
      <c r="AJ1846" s="38"/>
      <c r="AK1846" s="38"/>
      <c r="AL1846" s="38"/>
      <c r="AM1846" s="38"/>
      <c r="AN1846" s="38"/>
      <c r="AO1846" s="38"/>
      <c r="AP1846" s="38"/>
      <c r="AQ1846" s="38"/>
      <c r="AR1846" s="38"/>
      <c r="AS1846" s="38"/>
      <c r="AT1846" s="38"/>
      <c r="AU1846" s="38"/>
      <c r="AV1846" s="38"/>
      <c r="AW1846" s="38"/>
      <c r="AX1846" s="38"/>
      <c r="AY1846" s="38"/>
      <c r="AZ1846" s="38"/>
      <c r="BA1846" s="38"/>
      <c r="BB1846" s="38"/>
      <c r="BC1846" s="38"/>
      <c r="BD1846" s="38"/>
      <c r="BE1846" s="38"/>
      <c r="BF1846" s="38"/>
      <c r="BG1846" s="38"/>
      <c r="BH1846" s="38"/>
      <c r="BI1846" s="38"/>
      <c r="BJ1846" s="38"/>
      <c r="BK1846" s="38"/>
      <c r="BL1846" s="38"/>
      <c r="BM1846" s="38"/>
      <c r="BN1846" s="38"/>
      <c r="BO1846" s="38"/>
      <c r="BP1846" s="38"/>
      <c r="BQ1846" s="38"/>
    </row>
    <row r="1847">
      <c r="A1847" s="204" t="s">
        <v>239</v>
      </c>
      <c r="B1847" s="59">
        <v>43364.0</v>
      </c>
      <c r="C1847" s="59">
        <v>43362.0</v>
      </c>
      <c r="D1847" s="60" t="s">
        <v>5073</v>
      </c>
      <c r="E1847" s="58" t="s">
        <v>41</v>
      </c>
      <c r="F1847" s="58">
        <v>1.0</v>
      </c>
      <c r="G1847" s="58">
        <v>2.0</v>
      </c>
      <c r="H1847" s="33">
        <f t="shared" si="278"/>
        <v>2</v>
      </c>
      <c r="I1847" s="58" t="s">
        <v>33</v>
      </c>
      <c r="J1847" s="58" t="s">
        <v>147</v>
      </c>
      <c r="K1847" s="58">
        <v>1.0</v>
      </c>
      <c r="L1847" s="58" t="s">
        <v>194</v>
      </c>
      <c r="M1847" s="205" t="s">
        <v>5087</v>
      </c>
      <c r="N1847" s="77"/>
      <c r="O1847" s="62"/>
      <c r="P1847" s="62"/>
      <c r="Q1847" s="62"/>
      <c r="R1847" s="62"/>
      <c r="S1847" s="37" t="str">
        <f>IFERROR(__xludf.DUMMYFUNCTION("if(not(iserror(index(split(C1847, "" ""),2))), index(split(C1847, "" ""),1),"""")"),"September")</f>
        <v>September</v>
      </c>
      <c r="T1847" s="38">
        <f>IFERROR(__xludf.DUMMYFUNCTION("if(S1847="""",C1847,if(not(iserror(index(split(C1847, "" ""),3))), index(split(C1847, "" ""),3),index(split(C1847, "" ""),2)))"),2018.0)</f>
        <v>2018</v>
      </c>
      <c r="U1847" s="38" t="b">
        <f t="shared" si="279"/>
        <v>1</v>
      </c>
      <c r="V1847" s="38"/>
      <c r="W1847" s="40"/>
      <c r="X1847" s="40"/>
      <c r="Y1847" s="40"/>
      <c r="Z1847" s="38"/>
      <c r="AA1847" s="38"/>
      <c r="AB1847" s="38"/>
      <c r="AC1847" s="38"/>
      <c r="AD1847" s="38"/>
      <c r="AE1847" s="38"/>
      <c r="AF1847" s="38"/>
      <c r="AG1847" s="38"/>
      <c r="AH1847" s="38"/>
      <c r="AI1847" s="38"/>
      <c r="AJ1847" s="38"/>
      <c r="AK1847" s="38"/>
      <c r="AL1847" s="38"/>
      <c r="AM1847" s="38"/>
      <c r="AN1847" s="38"/>
      <c r="AO1847" s="38"/>
      <c r="AP1847" s="38"/>
      <c r="AQ1847" s="38"/>
      <c r="AR1847" s="38"/>
      <c r="AS1847" s="38"/>
      <c r="AT1847" s="38"/>
      <c r="AU1847" s="38"/>
      <c r="AV1847" s="38"/>
      <c r="AW1847" s="38"/>
      <c r="AX1847" s="38"/>
      <c r="AY1847" s="38"/>
      <c r="AZ1847" s="38"/>
      <c r="BA1847" s="38"/>
      <c r="BB1847" s="38"/>
      <c r="BC1847" s="38"/>
      <c r="BD1847" s="38"/>
      <c r="BE1847" s="38"/>
      <c r="BF1847" s="38"/>
      <c r="BG1847" s="38"/>
      <c r="BH1847" s="38"/>
      <c r="BI1847" s="38"/>
      <c r="BJ1847" s="38"/>
      <c r="BK1847" s="38"/>
      <c r="BL1847" s="38"/>
      <c r="BM1847" s="38"/>
      <c r="BN1847" s="38"/>
      <c r="BO1847" s="38"/>
      <c r="BP1847" s="38"/>
      <c r="BQ1847" s="38"/>
    </row>
    <row r="1848">
      <c r="A1848" s="58" t="s">
        <v>5088</v>
      </c>
      <c r="B1848" s="59"/>
      <c r="C1848" s="59">
        <v>43362.0</v>
      </c>
      <c r="D1848" s="60"/>
      <c r="E1848" s="58" t="s">
        <v>41</v>
      </c>
      <c r="F1848" s="58">
        <v>1.0</v>
      </c>
      <c r="G1848" s="58" t="s">
        <v>32</v>
      </c>
      <c r="H1848" s="43">
        <v>1.0</v>
      </c>
      <c r="I1848" s="58" t="s">
        <v>33</v>
      </c>
      <c r="J1848" s="58" t="s">
        <v>111</v>
      </c>
      <c r="K1848" s="58"/>
      <c r="L1848" s="58" t="s">
        <v>35</v>
      </c>
      <c r="M1848" s="80" t="s">
        <v>5089</v>
      </c>
      <c r="N1848" s="77"/>
      <c r="O1848" s="58"/>
      <c r="P1848" s="58"/>
      <c r="Q1848" s="58">
        <v>1.0</v>
      </c>
      <c r="R1848" s="62"/>
      <c r="S1848" s="37"/>
      <c r="T1848" s="38"/>
      <c r="U1848" s="38" t="b">
        <f t="shared" si="279"/>
        <v>0</v>
      </c>
      <c r="V1848" s="38" t="s">
        <v>33</v>
      </c>
      <c r="W1848" s="40"/>
      <c r="X1848" s="40"/>
      <c r="Y1848" s="40"/>
      <c r="Z1848" s="38"/>
      <c r="AA1848" s="38"/>
      <c r="AB1848" s="38"/>
      <c r="AC1848" s="38"/>
      <c r="AD1848" s="38"/>
      <c r="AE1848" s="38"/>
      <c r="AF1848" s="38"/>
      <c r="AG1848" s="38"/>
      <c r="AH1848" s="38"/>
      <c r="AI1848" s="38"/>
      <c r="AJ1848" s="38"/>
      <c r="AK1848" s="38"/>
      <c r="AL1848" s="38"/>
      <c r="AM1848" s="38"/>
      <c r="AN1848" s="38"/>
      <c r="AO1848" s="38"/>
      <c r="AP1848" s="38"/>
      <c r="AQ1848" s="38"/>
      <c r="AR1848" s="38"/>
      <c r="AS1848" s="38"/>
      <c r="AT1848" s="38"/>
      <c r="AU1848" s="38"/>
      <c r="AV1848" s="38"/>
      <c r="AW1848" s="38"/>
      <c r="AX1848" s="38"/>
      <c r="AY1848" s="38"/>
      <c r="AZ1848" s="38"/>
      <c r="BA1848" s="38"/>
      <c r="BB1848" s="38"/>
      <c r="BC1848" s="38"/>
      <c r="BD1848" s="38"/>
      <c r="BE1848" s="38"/>
      <c r="BF1848" s="38"/>
      <c r="BG1848" s="38"/>
      <c r="BH1848" s="38"/>
      <c r="BI1848" s="38"/>
      <c r="BJ1848" s="38"/>
      <c r="BK1848" s="38"/>
      <c r="BL1848" s="38"/>
      <c r="BM1848" s="38"/>
      <c r="BN1848" s="38"/>
      <c r="BO1848" s="38"/>
      <c r="BP1848" s="38"/>
      <c r="BQ1848" s="38"/>
    </row>
    <row r="1849">
      <c r="A1849" s="58" t="s">
        <v>5090</v>
      </c>
      <c r="B1849" s="59">
        <v>43368.0</v>
      </c>
      <c r="C1849" s="59">
        <v>43362.0</v>
      </c>
      <c r="D1849" s="60" t="s">
        <v>5073</v>
      </c>
      <c r="E1849" s="58" t="s">
        <v>41</v>
      </c>
      <c r="F1849" s="58">
        <v>1.0</v>
      </c>
      <c r="G1849" s="58" t="s">
        <v>32</v>
      </c>
      <c r="H1849" s="33">
        <f>if(G1849="Unknown",1,G1849)</f>
        <v>1</v>
      </c>
      <c r="I1849" s="58" t="s">
        <v>33</v>
      </c>
      <c r="J1849" s="58" t="s">
        <v>193</v>
      </c>
      <c r="K1849" s="58">
        <v>4.0</v>
      </c>
      <c r="L1849" s="58" t="s">
        <v>119</v>
      </c>
      <c r="M1849" s="80" t="s">
        <v>5091</v>
      </c>
      <c r="N1849" s="77"/>
      <c r="O1849" s="88" t="str">
        <f>hyperlink("https://bad-boys.us/?q=D-NM/5:18-mj-03032", "D-NM 5:18-mj-03032")</f>
        <v>D-NM 5:18-mj-03032</v>
      </c>
      <c r="P1849" s="88" t="s">
        <v>5092</v>
      </c>
      <c r="Q1849" s="84">
        <v>1.0</v>
      </c>
      <c r="R1849" s="62"/>
      <c r="S1849" s="37" t="str">
        <f>IFERROR(__xludf.DUMMYFUNCTION("if(not(iserror(index(split(C1849, "" ""),2))), index(split(C1849, "" ""),1),"""")"),"September")</f>
        <v>September</v>
      </c>
      <c r="T1849" s="38">
        <f>IFERROR(__xludf.DUMMYFUNCTION("if(S1849="""",C1849,if(not(iserror(index(split(C1849, "" ""),3))), index(split(C1849, "" ""),3),index(split(C1849, "" ""),2)))"),2018.0)</f>
        <v>2018</v>
      </c>
      <c r="U1849" s="38" t="b">
        <f t="shared" si="279"/>
        <v>0</v>
      </c>
      <c r="V1849" s="38"/>
      <c r="W1849" s="40"/>
      <c r="X1849" s="40"/>
      <c r="Y1849" s="40"/>
      <c r="Z1849" s="38"/>
      <c r="AA1849" s="38"/>
      <c r="AB1849" s="38"/>
      <c r="AC1849" s="38"/>
      <c r="AD1849" s="38"/>
      <c r="AE1849" s="38"/>
      <c r="AF1849" s="38"/>
      <c r="AG1849" s="38"/>
      <c r="AH1849" s="38"/>
      <c r="AI1849" s="38"/>
      <c r="AJ1849" s="38"/>
      <c r="AK1849" s="38"/>
      <c r="AL1849" s="38"/>
      <c r="AM1849" s="38"/>
      <c r="AN1849" s="38"/>
      <c r="AO1849" s="38"/>
      <c r="AP1849" s="38"/>
      <c r="AQ1849" s="38"/>
      <c r="AR1849" s="38"/>
      <c r="AS1849" s="38"/>
      <c r="AT1849" s="38"/>
      <c r="AU1849" s="38"/>
      <c r="AV1849" s="38"/>
      <c r="AW1849" s="38"/>
      <c r="AX1849" s="38"/>
      <c r="AY1849" s="38"/>
      <c r="AZ1849" s="38"/>
      <c r="BA1849" s="38"/>
      <c r="BB1849" s="38"/>
      <c r="BC1849" s="38"/>
      <c r="BD1849" s="38"/>
      <c r="BE1849" s="38"/>
      <c r="BF1849" s="38"/>
      <c r="BG1849" s="38"/>
      <c r="BH1849" s="38"/>
      <c r="BI1849" s="38"/>
      <c r="BJ1849" s="38"/>
      <c r="BK1849" s="38"/>
      <c r="BL1849" s="38"/>
      <c r="BM1849" s="38"/>
      <c r="BN1849" s="38"/>
      <c r="BO1849" s="38"/>
      <c r="BP1849" s="38"/>
      <c r="BQ1849" s="38"/>
    </row>
    <row r="1850">
      <c r="A1850" s="58" t="s">
        <v>5093</v>
      </c>
      <c r="B1850" s="59">
        <v>43363.0</v>
      </c>
      <c r="C1850" s="59">
        <v>43363.0</v>
      </c>
      <c r="D1850" s="60" t="s">
        <v>5094</v>
      </c>
      <c r="E1850" s="58" t="s">
        <v>41</v>
      </c>
      <c r="F1850" s="58">
        <v>1.0</v>
      </c>
      <c r="G1850" s="58" t="s">
        <v>32</v>
      </c>
      <c r="H1850" s="50">
        <v>1.0</v>
      </c>
      <c r="I1850" s="58" t="s">
        <v>33</v>
      </c>
      <c r="J1850" s="58" t="s">
        <v>402</v>
      </c>
      <c r="K1850" s="58">
        <v>2.0</v>
      </c>
      <c r="L1850" s="58" t="s">
        <v>99</v>
      </c>
      <c r="M1850" s="61" t="s">
        <v>5095</v>
      </c>
      <c r="N1850" s="77"/>
      <c r="O1850" s="62"/>
      <c r="P1850" s="58"/>
      <c r="Q1850" s="58"/>
      <c r="R1850" s="62"/>
      <c r="S1850" s="37" t="str">
        <f>IFERROR(__xludf.DUMMYFUNCTION("if(not(iserror(index(split(C1850, "" ""),2))), index(split(C1850, "" ""),1),"""")"),"September")</f>
        <v>September</v>
      </c>
      <c r="T1850" s="38">
        <f>IFERROR(__xludf.DUMMYFUNCTION("if(S1850="""",C1850,if(not(iserror(index(split(C1850, "" ""),3))), index(split(C1850, "" ""),3),index(split(C1850, "" ""),2)))"),2018.0)</f>
        <v>2018</v>
      </c>
      <c r="U1850" s="38" t="b">
        <f t="shared" si="279"/>
        <v>0</v>
      </c>
      <c r="V1850" s="38"/>
      <c r="W1850" s="40"/>
      <c r="X1850" s="40"/>
      <c r="Y1850" s="40"/>
      <c r="Z1850" s="38"/>
      <c r="AA1850" s="38"/>
      <c r="AB1850" s="38"/>
      <c r="AC1850" s="38"/>
      <c r="AD1850" s="38"/>
      <c r="AE1850" s="38"/>
      <c r="AF1850" s="38"/>
      <c r="AG1850" s="38"/>
      <c r="AH1850" s="38"/>
      <c r="AI1850" s="38"/>
      <c r="AJ1850" s="38"/>
      <c r="AK1850" s="38"/>
      <c r="AL1850" s="38"/>
      <c r="AM1850" s="38"/>
      <c r="AN1850" s="38"/>
      <c r="AO1850" s="38"/>
      <c r="AP1850" s="38"/>
      <c r="AQ1850" s="38"/>
      <c r="AR1850" s="38"/>
      <c r="AS1850" s="38"/>
      <c r="AT1850" s="38"/>
      <c r="AU1850" s="38"/>
      <c r="AV1850" s="38"/>
      <c r="AW1850" s="38"/>
      <c r="AX1850" s="38"/>
      <c r="AY1850" s="38"/>
      <c r="AZ1850" s="38"/>
      <c r="BA1850" s="38"/>
      <c r="BB1850" s="38"/>
      <c r="BC1850" s="38"/>
      <c r="BD1850" s="38"/>
      <c r="BE1850" s="38"/>
      <c r="BF1850" s="38"/>
      <c r="BG1850" s="38"/>
      <c r="BH1850" s="38"/>
      <c r="BI1850" s="38"/>
      <c r="BJ1850" s="38"/>
      <c r="BK1850" s="38"/>
      <c r="BL1850" s="38"/>
      <c r="BM1850" s="38"/>
      <c r="BN1850" s="38"/>
      <c r="BO1850" s="38"/>
      <c r="BP1850" s="38"/>
      <c r="BQ1850" s="38"/>
    </row>
    <row r="1851">
      <c r="A1851" s="87" t="s">
        <v>5096</v>
      </c>
      <c r="B1851" s="59">
        <v>43363.0</v>
      </c>
      <c r="C1851" s="59">
        <v>43363.0</v>
      </c>
      <c r="D1851" s="60" t="s">
        <v>5094</v>
      </c>
      <c r="E1851" s="58" t="s">
        <v>41</v>
      </c>
      <c r="F1851" s="58">
        <v>1.0</v>
      </c>
      <c r="G1851" s="58" t="s">
        <v>32</v>
      </c>
      <c r="H1851" s="33">
        <f t="shared" ref="H1851:H1853" si="280">if(G1851="Unknown",1,G1851)</f>
        <v>1</v>
      </c>
      <c r="I1851" s="58" t="s">
        <v>33</v>
      </c>
      <c r="J1851" s="58" t="s">
        <v>111</v>
      </c>
      <c r="K1851" s="58">
        <v>2.0</v>
      </c>
      <c r="L1851" s="58" t="s">
        <v>1163</v>
      </c>
      <c r="M1851" s="61" t="s">
        <v>5097</v>
      </c>
      <c r="N1851" s="77"/>
      <c r="O1851" s="58"/>
      <c r="P1851" s="58"/>
      <c r="Q1851" s="84"/>
      <c r="R1851" s="62"/>
      <c r="S1851" s="37" t="str">
        <f>IFERROR(__xludf.DUMMYFUNCTION("if(not(iserror(index(split(C1851, "" ""),2))), index(split(C1851, "" ""),1),"""")"),"September")</f>
        <v>September</v>
      </c>
      <c r="T1851" s="38">
        <f>IFERROR(__xludf.DUMMYFUNCTION("if(S1851="""",C1851,if(not(iserror(index(split(C1851, "" ""),3))), index(split(C1851, "" ""),3),index(split(C1851, "" ""),2)))"),2018.0)</f>
        <v>2018</v>
      </c>
      <c r="U1851" s="38" t="b">
        <f t="shared" si="279"/>
        <v>0</v>
      </c>
      <c r="V1851" s="38"/>
      <c r="W1851" s="40"/>
      <c r="X1851" s="40"/>
      <c r="Y1851" s="40"/>
      <c r="Z1851" s="38"/>
      <c r="AA1851" s="38"/>
      <c r="AB1851" s="38"/>
      <c r="AC1851" s="38"/>
      <c r="AD1851" s="38"/>
      <c r="AE1851" s="38"/>
      <c r="AF1851" s="38"/>
      <c r="AG1851" s="38"/>
      <c r="AH1851" s="38"/>
      <c r="AI1851" s="38"/>
      <c r="AJ1851" s="38"/>
      <c r="AK1851" s="38"/>
      <c r="AL1851" s="38"/>
      <c r="AM1851" s="38"/>
      <c r="AN1851" s="38"/>
      <c r="AO1851" s="38"/>
      <c r="AP1851" s="38"/>
      <c r="AQ1851" s="38"/>
      <c r="AR1851" s="38"/>
      <c r="AS1851" s="38"/>
      <c r="AT1851" s="38"/>
      <c r="AU1851" s="38"/>
      <c r="AV1851" s="38"/>
      <c r="AW1851" s="38"/>
      <c r="AX1851" s="38"/>
      <c r="AY1851" s="38"/>
      <c r="AZ1851" s="38"/>
      <c r="BA1851" s="38"/>
      <c r="BB1851" s="38"/>
      <c r="BC1851" s="38"/>
      <c r="BD1851" s="38"/>
      <c r="BE1851" s="38"/>
      <c r="BF1851" s="38"/>
      <c r="BG1851" s="38"/>
      <c r="BH1851" s="38"/>
      <c r="BI1851" s="38"/>
      <c r="BJ1851" s="38"/>
      <c r="BK1851" s="38"/>
      <c r="BL1851" s="38"/>
      <c r="BM1851" s="38"/>
      <c r="BN1851" s="38"/>
      <c r="BO1851" s="38"/>
      <c r="BP1851" s="38"/>
      <c r="BQ1851" s="38"/>
    </row>
    <row r="1852">
      <c r="A1852" s="58" t="s">
        <v>5098</v>
      </c>
      <c r="B1852" s="59">
        <v>43364.0</v>
      </c>
      <c r="C1852" s="59">
        <v>43363.0</v>
      </c>
      <c r="D1852" s="60" t="s">
        <v>5094</v>
      </c>
      <c r="E1852" s="58" t="s">
        <v>41</v>
      </c>
      <c r="F1852" s="58">
        <v>1.0</v>
      </c>
      <c r="G1852" s="58" t="s">
        <v>32</v>
      </c>
      <c r="H1852" s="33">
        <f t="shared" si="280"/>
        <v>1</v>
      </c>
      <c r="I1852" s="58" t="s">
        <v>33</v>
      </c>
      <c r="J1852" s="58" t="s">
        <v>47</v>
      </c>
      <c r="K1852" s="58">
        <v>5.0</v>
      </c>
      <c r="L1852" s="58" t="s">
        <v>69</v>
      </c>
      <c r="M1852" s="80" t="s">
        <v>5099</v>
      </c>
      <c r="N1852" s="77"/>
      <c r="O1852" s="58"/>
      <c r="P1852" s="58"/>
      <c r="Q1852" s="58"/>
      <c r="R1852" s="62"/>
      <c r="S1852" s="37" t="str">
        <f>IFERROR(__xludf.DUMMYFUNCTION("if(not(iserror(index(split(C1852, "" ""),2))), index(split(C1852, "" ""),1),"""")"),"September")</f>
        <v>September</v>
      </c>
      <c r="T1852" s="38">
        <f>IFERROR(__xludf.DUMMYFUNCTION("if(S1852="""",C1852,if(not(iserror(index(split(C1852, "" ""),3))), index(split(C1852, "" ""),3),index(split(C1852, "" ""),2)))"),2018.0)</f>
        <v>2018</v>
      </c>
      <c r="U1852" s="38" t="b">
        <f t="shared" si="279"/>
        <v>0</v>
      </c>
      <c r="V1852" s="38" t="s">
        <v>33</v>
      </c>
      <c r="W1852" s="40"/>
      <c r="X1852" s="40"/>
      <c r="Y1852" s="40"/>
      <c r="Z1852" s="38"/>
      <c r="AA1852" s="38"/>
      <c r="AB1852" s="38"/>
      <c r="AC1852" s="38"/>
      <c r="AD1852" s="38"/>
      <c r="AE1852" s="38"/>
      <c r="AF1852" s="38"/>
      <c r="AG1852" s="38"/>
      <c r="AH1852" s="38"/>
      <c r="AI1852" s="38"/>
      <c r="AJ1852" s="38"/>
      <c r="AK1852" s="38"/>
      <c r="AL1852" s="38"/>
      <c r="AM1852" s="38"/>
      <c r="AN1852" s="38"/>
      <c r="AO1852" s="38"/>
      <c r="AP1852" s="38"/>
      <c r="AQ1852" s="38"/>
      <c r="AR1852" s="38"/>
      <c r="AS1852" s="38"/>
      <c r="AT1852" s="38"/>
      <c r="AU1852" s="38"/>
      <c r="AV1852" s="38"/>
      <c r="AW1852" s="38"/>
      <c r="AX1852" s="38"/>
      <c r="AY1852" s="38"/>
      <c r="AZ1852" s="38"/>
      <c r="BA1852" s="38"/>
      <c r="BB1852" s="38"/>
      <c r="BC1852" s="38"/>
      <c r="BD1852" s="38"/>
      <c r="BE1852" s="38"/>
      <c r="BF1852" s="38"/>
      <c r="BG1852" s="38"/>
      <c r="BH1852" s="38"/>
      <c r="BI1852" s="38"/>
      <c r="BJ1852" s="38"/>
      <c r="BK1852" s="38"/>
      <c r="BL1852" s="38"/>
      <c r="BM1852" s="38"/>
      <c r="BN1852" s="38"/>
      <c r="BO1852" s="38"/>
      <c r="BP1852" s="38"/>
      <c r="BQ1852" s="38"/>
    </row>
    <row r="1853">
      <c r="A1853" s="58" t="s">
        <v>5100</v>
      </c>
      <c r="B1853" s="59">
        <v>43364.0</v>
      </c>
      <c r="C1853" s="59">
        <v>43363.0</v>
      </c>
      <c r="D1853" s="60" t="s">
        <v>5094</v>
      </c>
      <c r="E1853" s="58" t="s">
        <v>41</v>
      </c>
      <c r="F1853" s="58">
        <v>1.0</v>
      </c>
      <c r="G1853" s="58" t="s">
        <v>32</v>
      </c>
      <c r="H1853" s="33">
        <f t="shared" si="280"/>
        <v>1</v>
      </c>
      <c r="I1853" s="58" t="s">
        <v>33</v>
      </c>
      <c r="J1853" s="58" t="s">
        <v>93</v>
      </c>
      <c r="K1853" s="58">
        <v>1.0</v>
      </c>
      <c r="L1853" s="58" t="s">
        <v>76</v>
      </c>
      <c r="M1853" s="80" t="s">
        <v>5101</v>
      </c>
      <c r="N1853" s="77"/>
      <c r="O1853" s="58"/>
      <c r="P1853" s="58"/>
      <c r="Q1853" s="58">
        <v>1.0</v>
      </c>
      <c r="R1853" s="62"/>
      <c r="S1853" s="37" t="str">
        <f>IFERROR(__xludf.DUMMYFUNCTION("if(not(iserror(index(split(C1853, "" ""),2))), index(split(C1853, "" ""),1),"""")"),"September")</f>
        <v>September</v>
      </c>
      <c r="T1853" s="38">
        <f>IFERROR(__xludf.DUMMYFUNCTION("if(S1853="""",C1853,if(not(iserror(index(split(C1853, "" ""),3))), index(split(C1853, "" ""),3),index(split(C1853, "" ""),2)))"),2018.0)</f>
        <v>2018</v>
      </c>
      <c r="U1853" s="38" t="b">
        <f t="shared" si="279"/>
        <v>0</v>
      </c>
      <c r="V1853" s="38" t="s">
        <v>33</v>
      </c>
      <c r="W1853" s="40"/>
      <c r="X1853" s="40"/>
      <c r="Y1853" s="40"/>
      <c r="Z1853" s="38"/>
      <c r="AA1853" s="38"/>
      <c r="AB1853" s="38"/>
      <c r="AC1853" s="38"/>
      <c r="AD1853" s="38"/>
      <c r="AE1853" s="38"/>
      <c r="AF1853" s="38"/>
      <c r="AG1853" s="38"/>
      <c r="AH1853" s="38"/>
      <c r="AI1853" s="38"/>
      <c r="AJ1853" s="38"/>
      <c r="AK1853" s="38"/>
      <c r="AL1853" s="38"/>
      <c r="AM1853" s="38"/>
      <c r="AN1853" s="38"/>
      <c r="AO1853" s="38"/>
      <c r="AP1853" s="38"/>
      <c r="AQ1853" s="38"/>
      <c r="AR1853" s="38"/>
      <c r="AS1853" s="38"/>
      <c r="AT1853" s="38"/>
      <c r="AU1853" s="38"/>
      <c r="AV1853" s="38"/>
      <c r="AW1853" s="38"/>
      <c r="AX1853" s="38"/>
      <c r="AY1853" s="38"/>
      <c r="AZ1853" s="38"/>
      <c r="BA1853" s="38"/>
      <c r="BB1853" s="38"/>
      <c r="BC1853" s="38"/>
      <c r="BD1853" s="38"/>
      <c r="BE1853" s="38"/>
      <c r="BF1853" s="38"/>
      <c r="BG1853" s="38"/>
      <c r="BH1853" s="38"/>
      <c r="BI1853" s="38"/>
      <c r="BJ1853" s="38"/>
      <c r="BK1853" s="38"/>
      <c r="BL1853" s="38"/>
      <c r="BM1853" s="38"/>
      <c r="BN1853" s="38"/>
      <c r="BO1853" s="38"/>
      <c r="BP1853" s="38"/>
      <c r="BQ1853" s="38"/>
    </row>
    <row r="1854">
      <c r="A1854" s="204" t="s">
        <v>5102</v>
      </c>
      <c r="B1854" s="59"/>
      <c r="C1854" s="59">
        <v>43363.0</v>
      </c>
      <c r="D1854" s="60"/>
      <c r="E1854" s="58" t="s">
        <v>41</v>
      </c>
      <c r="F1854" s="58">
        <v>1.0</v>
      </c>
      <c r="G1854" s="58" t="s">
        <v>32</v>
      </c>
      <c r="H1854" s="43">
        <v>1.0</v>
      </c>
      <c r="I1854" s="58" t="s">
        <v>33</v>
      </c>
      <c r="J1854" s="58" t="s">
        <v>147</v>
      </c>
      <c r="K1854" s="58"/>
      <c r="L1854" s="58" t="s">
        <v>69</v>
      </c>
      <c r="M1854" s="46" t="s">
        <v>5103</v>
      </c>
      <c r="N1854" s="77"/>
      <c r="O1854" s="83" t="str">
        <f>hyperlink("https://bad-boys.us/?q=SD-TX/2:18-cr-00983", "SD-TX 2:18-cr-00983")</f>
        <v>SD-TX 2:18-cr-00983</v>
      </c>
      <c r="P1854" s="88" t="s">
        <v>5104</v>
      </c>
      <c r="Q1854" s="58">
        <v>1.0</v>
      </c>
      <c r="R1854" s="62"/>
      <c r="S1854" s="37" t="str">
        <f>IFERROR(__xludf.DUMMYFUNCTION("if(not(iserror(index(split(C1854, "" ""),2))), index(split(C1854, "" ""),1),"""")"),"September")</f>
        <v>September</v>
      </c>
      <c r="T1854" s="38">
        <f>IFERROR(__xludf.DUMMYFUNCTION("if(S1854="""",C1854,if(not(iserror(index(split(C1854, "" ""),3))), index(split(C1854, "" ""),3),index(split(C1854, "" ""),2)))"),2018.0)</f>
        <v>2018</v>
      </c>
      <c r="U1854" s="38" t="b">
        <f t="shared" si="279"/>
        <v>0</v>
      </c>
      <c r="V1854" s="38" t="s">
        <v>33</v>
      </c>
      <c r="W1854" s="40"/>
      <c r="X1854" s="40"/>
      <c r="Y1854" s="40"/>
      <c r="Z1854" s="38"/>
      <c r="AA1854" s="38"/>
      <c r="AB1854" s="38"/>
      <c r="AC1854" s="38"/>
      <c r="AD1854" s="38"/>
      <c r="AE1854" s="38"/>
      <c r="AF1854" s="38"/>
      <c r="AG1854" s="38"/>
      <c r="AH1854" s="38"/>
      <c r="AI1854" s="38"/>
      <c r="AJ1854" s="38"/>
      <c r="AK1854" s="38"/>
      <c r="AL1854" s="38"/>
      <c r="AM1854" s="38"/>
      <c r="AN1854" s="38"/>
      <c r="AO1854" s="38"/>
      <c r="AP1854" s="38"/>
      <c r="AQ1854" s="38"/>
      <c r="AR1854" s="38"/>
      <c r="AS1854" s="38"/>
      <c r="AT1854" s="38"/>
      <c r="AU1854" s="38"/>
      <c r="AV1854" s="38"/>
      <c r="AW1854" s="38"/>
      <c r="AX1854" s="38"/>
      <c r="AY1854" s="38"/>
      <c r="AZ1854" s="38"/>
      <c r="BA1854" s="38"/>
      <c r="BB1854" s="38"/>
      <c r="BC1854" s="38"/>
      <c r="BD1854" s="38"/>
      <c r="BE1854" s="38"/>
      <c r="BF1854" s="38"/>
      <c r="BG1854" s="38"/>
      <c r="BH1854" s="38"/>
      <c r="BI1854" s="38"/>
      <c r="BJ1854" s="38"/>
      <c r="BK1854" s="38"/>
      <c r="BL1854" s="38"/>
      <c r="BM1854" s="38"/>
      <c r="BN1854" s="38"/>
      <c r="BO1854" s="38"/>
      <c r="BP1854" s="38"/>
      <c r="BQ1854" s="38"/>
    </row>
    <row r="1855">
      <c r="A1855" s="204" t="s">
        <v>5105</v>
      </c>
      <c r="B1855" s="59"/>
      <c r="C1855" s="59">
        <v>43363.0</v>
      </c>
      <c r="D1855" s="60"/>
      <c r="E1855" s="58" t="s">
        <v>31</v>
      </c>
      <c r="F1855" s="58">
        <v>1.0</v>
      </c>
      <c r="G1855" s="58" t="s">
        <v>32</v>
      </c>
      <c r="H1855" s="43">
        <v>1.0</v>
      </c>
      <c r="I1855" s="58" t="s">
        <v>33</v>
      </c>
      <c r="J1855" s="58" t="s">
        <v>193</v>
      </c>
      <c r="K1855" s="58"/>
      <c r="L1855" s="58" t="s">
        <v>5106</v>
      </c>
      <c r="M1855" s="205" t="s">
        <v>5107</v>
      </c>
      <c r="N1855" s="61" t="s">
        <v>5108</v>
      </c>
      <c r="O1855" s="62"/>
      <c r="P1855" s="62"/>
      <c r="Q1855" s="62"/>
      <c r="R1855" s="62"/>
      <c r="S1855" s="37" t="str">
        <f>IFERROR(__xludf.DUMMYFUNCTION("if(not(iserror(index(split(C1855, "" ""),2))), index(split(C1855, "" ""),1),"""")"),"September")</f>
        <v>September</v>
      </c>
      <c r="T1855" s="38">
        <f>IFERROR(__xludf.DUMMYFUNCTION("if(S1855="""",C1855,if(not(iserror(index(split(C1855, "" ""),3))), index(split(C1855, "" ""),3),index(split(C1855, "" ""),2)))"),2018.0)</f>
        <v>2018</v>
      </c>
      <c r="U1855" s="38" t="b">
        <f t="shared" si="279"/>
        <v>0</v>
      </c>
      <c r="V1855" s="38" t="s">
        <v>33</v>
      </c>
      <c r="W1855" s="46" t="s">
        <v>5109</v>
      </c>
      <c r="X1855" s="39" t="s">
        <v>5110</v>
      </c>
      <c r="Y1855" s="40"/>
      <c r="Z1855" s="38"/>
      <c r="AA1855" s="38"/>
      <c r="AB1855" s="38"/>
      <c r="AC1855" s="38"/>
      <c r="AD1855" s="38"/>
      <c r="AE1855" s="38"/>
      <c r="AF1855" s="38"/>
      <c r="AG1855" s="38"/>
      <c r="AH1855" s="38"/>
      <c r="AI1855" s="38"/>
      <c r="AJ1855" s="38"/>
      <c r="AK1855" s="38"/>
      <c r="AL1855" s="38"/>
      <c r="AM1855" s="38"/>
      <c r="AN1855" s="38"/>
      <c r="AO1855" s="38"/>
      <c r="AP1855" s="38"/>
      <c r="AQ1855" s="38"/>
      <c r="AR1855" s="38"/>
      <c r="AS1855" s="38"/>
      <c r="AT1855" s="38"/>
      <c r="AU1855" s="38"/>
      <c r="AV1855" s="38"/>
      <c r="AW1855" s="38"/>
      <c r="AX1855" s="38"/>
      <c r="AY1855" s="38"/>
      <c r="AZ1855" s="38"/>
      <c r="BA1855" s="38"/>
      <c r="BB1855" s="38"/>
      <c r="BC1855" s="38"/>
      <c r="BD1855" s="38"/>
      <c r="BE1855" s="38"/>
      <c r="BF1855" s="38"/>
      <c r="BG1855" s="38"/>
      <c r="BH1855" s="38"/>
      <c r="BI1855" s="38"/>
      <c r="BJ1855" s="38"/>
      <c r="BK1855" s="38"/>
      <c r="BL1855" s="38"/>
      <c r="BM1855" s="38"/>
      <c r="BN1855" s="38"/>
      <c r="BO1855" s="38"/>
      <c r="BP1855" s="38"/>
      <c r="BQ1855" s="38"/>
    </row>
    <row r="1856">
      <c r="A1856" s="204" t="s">
        <v>239</v>
      </c>
      <c r="B1856" s="59">
        <v>43364.0</v>
      </c>
      <c r="C1856" s="59">
        <v>43363.0</v>
      </c>
      <c r="D1856" s="60" t="s">
        <v>5094</v>
      </c>
      <c r="E1856" s="58" t="s">
        <v>41</v>
      </c>
      <c r="F1856" s="58">
        <v>1.0</v>
      </c>
      <c r="G1856" s="58">
        <v>47.0</v>
      </c>
      <c r="H1856" s="33">
        <f t="shared" ref="H1856:H1862" si="281">if(G1856="Unknown",1,G1856)</f>
        <v>47</v>
      </c>
      <c r="I1856" s="58" t="s">
        <v>33</v>
      </c>
      <c r="J1856" s="58" t="s">
        <v>147</v>
      </c>
      <c r="K1856" s="58">
        <v>1.0</v>
      </c>
      <c r="L1856" s="58" t="s">
        <v>194</v>
      </c>
      <c r="M1856" s="205" t="s">
        <v>5111</v>
      </c>
      <c r="N1856" s="77"/>
      <c r="O1856" s="62"/>
      <c r="P1856" s="62"/>
      <c r="Q1856" s="62"/>
      <c r="R1856" s="62"/>
      <c r="S1856" s="37" t="str">
        <f>IFERROR(__xludf.DUMMYFUNCTION("if(not(iserror(index(split(C1856, "" ""),2))), index(split(C1856, "" ""),1),"""")"),"September")</f>
        <v>September</v>
      </c>
      <c r="T1856" s="38">
        <f>IFERROR(__xludf.DUMMYFUNCTION("if(S1856="""",C1856,if(not(iserror(index(split(C1856, "" ""),3))), index(split(C1856, "" ""),3),index(split(C1856, "" ""),2)))"),2018.0)</f>
        <v>2018</v>
      </c>
      <c r="U1856" s="38" t="b">
        <f t="shared" si="279"/>
        <v>1</v>
      </c>
      <c r="V1856" s="38"/>
      <c r="W1856" s="40"/>
      <c r="X1856" s="40"/>
      <c r="Y1856" s="40"/>
      <c r="Z1856" s="38"/>
      <c r="AA1856" s="38"/>
      <c r="AB1856" s="38"/>
      <c r="AC1856" s="38"/>
      <c r="AD1856" s="38"/>
      <c r="AE1856" s="38"/>
      <c r="AF1856" s="38"/>
      <c r="AG1856" s="38"/>
      <c r="AH1856" s="38"/>
      <c r="AI1856" s="38"/>
      <c r="AJ1856" s="38"/>
      <c r="AK1856" s="38"/>
      <c r="AL1856" s="38"/>
      <c r="AM1856" s="38"/>
      <c r="AN1856" s="38"/>
      <c r="AO1856" s="38"/>
      <c r="AP1856" s="38"/>
      <c r="AQ1856" s="38"/>
      <c r="AR1856" s="38"/>
      <c r="AS1856" s="38"/>
      <c r="AT1856" s="38"/>
      <c r="AU1856" s="38"/>
      <c r="AV1856" s="38"/>
      <c r="AW1856" s="38"/>
      <c r="AX1856" s="38"/>
      <c r="AY1856" s="38"/>
      <c r="AZ1856" s="38"/>
      <c r="BA1856" s="38"/>
      <c r="BB1856" s="38"/>
      <c r="BC1856" s="38"/>
      <c r="BD1856" s="38"/>
      <c r="BE1856" s="38"/>
      <c r="BF1856" s="38"/>
      <c r="BG1856" s="38"/>
      <c r="BH1856" s="38"/>
      <c r="BI1856" s="38"/>
      <c r="BJ1856" s="38"/>
      <c r="BK1856" s="38"/>
      <c r="BL1856" s="38"/>
      <c r="BM1856" s="38"/>
      <c r="BN1856" s="38"/>
      <c r="BO1856" s="38"/>
      <c r="BP1856" s="38"/>
      <c r="BQ1856" s="38"/>
    </row>
    <row r="1857">
      <c r="A1857" s="204" t="s">
        <v>239</v>
      </c>
      <c r="B1857" s="59">
        <v>43364.0</v>
      </c>
      <c r="C1857" s="59">
        <v>43363.0</v>
      </c>
      <c r="D1857" s="60" t="s">
        <v>5094</v>
      </c>
      <c r="E1857" s="58" t="s">
        <v>41</v>
      </c>
      <c r="F1857" s="58">
        <v>1.0</v>
      </c>
      <c r="G1857" s="58">
        <v>15.0</v>
      </c>
      <c r="H1857" s="33">
        <f t="shared" si="281"/>
        <v>15</v>
      </c>
      <c r="I1857" s="58" t="s">
        <v>33</v>
      </c>
      <c r="J1857" s="58" t="s">
        <v>147</v>
      </c>
      <c r="K1857" s="58">
        <v>1.0</v>
      </c>
      <c r="L1857" s="58" t="s">
        <v>194</v>
      </c>
      <c r="M1857" s="205" t="s">
        <v>5112</v>
      </c>
      <c r="N1857" s="77"/>
      <c r="O1857" s="62"/>
      <c r="P1857" s="62"/>
      <c r="Q1857" s="62"/>
      <c r="R1857" s="62"/>
      <c r="S1857" s="37" t="str">
        <f>IFERROR(__xludf.DUMMYFUNCTION("if(not(iserror(index(split(C1857, "" ""),2))), index(split(C1857, "" ""),1),"""")"),"September")</f>
        <v>September</v>
      </c>
      <c r="T1857" s="38">
        <f>IFERROR(__xludf.DUMMYFUNCTION("if(S1857="""",C1857,if(not(iserror(index(split(C1857, "" ""),3))), index(split(C1857, "" ""),3),index(split(C1857, "" ""),2)))"),2018.0)</f>
        <v>2018</v>
      </c>
      <c r="U1857" s="38" t="b">
        <f t="shared" si="279"/>
        <v>1</v>
      </c>
      <c r="V1857" s="38"/>
      <c r="W1857" s="40"/>
      <c r="X1857" s="40"/>
      <c r="Y1857" s="40"/>
      <c r="Z1857" s="38"/>
      <c r="AA1857" s="38"/>
      <c r="AB1857" s="38"/>
      <c r="AC1857" s="38"/>
      <c r="AD1857" s="38"/>
      <c r="AE1857" s="38"/>
      <c r="AF1857" s="38"/>
      <c r="AG1857" s="38"/>
      <c r="AH1857" s="38"/>
      <c r="AI1857" s="38"/>
      <c r="AJ1857" s="38"/>
      <c r="AK1857" s="38"/>
      <c r="AL1857" s="38"/>
      <c r="AM1857" s="38"/>
      <c r="AN1857" s="38"/>
      <c r="AO1857" s="38"/>
      <c r="AP1857" s="38"/>
      <c r="AQ1857" s="38"/>
      <c r="AR1857" s="38"/>
      <c r="AS1857" s="38"/>
      <c r="AT1857" s="38"/>
      <c r="AU1857" s="38"/>
      <c r="AV1857" s="38"/>
      <c r="AW1857" s="38"/>
      <c r="AX1857" s="38"/>
      <c r="AY1857" s="38"/>
      <c r="AZ1857" s="38"/>
      <c r="BA1857" s="38"/>
      <c r="BB1857" s="38"/>
      <c r="BC1857" s="38"/>
      <c r="BD1857" s="38"/>
      <c r="BE1857" s="38"/>
      <c r="BF1857" s="38"/>
      <c r="BG1857" s="38"/>
      <c r="BH1857" s="38"/>
      <c r="BI1857" s="38"/>
      <c r="BJ1857" s="38"/>
      <c r="BK1857" s="38"/>
      <c r="BL1857" s="38"/>
      <c r="BM1857" s="38"/>
      <c r="BN1857" s="38"/>
      <c r="BO1857" s="38"/>
      <c r="BP1857" s="38"/>
      <c r="BQ1857" s="38"/>
    </row>
    <row r="1858">
      <c r="A1858" s="204" t="s">
        <v>239</v>
      </c>
      <c r="B1858" s="59">
        <v>43364.0</v>
      </c>
      <c r="C1858" s="59">
        <v>43363.0</v>
      </c>
      <c r="D1858" s="60" t="s">
        <v>5094</v>
      </c>
      <c r="E1858" s="58" t="s">
        <v>41</v>
      </c>
      <c r="F1858" s="58">
        <v>2.0</v>
      </c>
      <c r="G1858" s="58">
        <v>12.0</v>
      </c>
      <c r="H1858" s="33">
        <f t="shared" si="281"/>
        <v>12</v>
      </c>
      <c r="I1858" s="58" t="s">
        <v>33</v>
      </c>
      <c r="J1858" s="58" t="s">
        <v>147</v>
      </c>
      <c r="K1858" s="58">
        <v>1.0</v>
      </c>
      <c r="L1858" s="58" t="s">
        <v>194</v>
      </c>
      <c r="M1858" s="205" t="s">
        <v>5113</v>
      </c>
      <c r="N1858" s="77"/>
      <c r="O1858" s="62"/>
      <c r="P1858" s="62"/>
      <c r="Q1858" s="62"/>
      <c r="R1858" s="62"/>
      <c r="S1858" s="37" t="str">
        <f>IFERROR(__xludf.DUMMYFUNCTION("if(not(iserror(index(split(C1858, "" ""),2))), index(split(C1858, "" ""),1),"""")"),"September")</f>
        <v>September</v>
      </c>
      <c r="T1858" s="38">
        <f>IFERROR(__xludf.DUMMYFUNCTION("if(S1858="""",C1858,if(not(iserror(index(split(C1858, "" ""),3))), index(split(C1858, "" ""),3),index(split(C1858, "" ""),2)))"),2018.0)</f>
        <v>2018</v>
      </c>
      <c r="U1858" s="38" t="b">
        <f t="shared" si="279"/>
        <v>1</v>
      </c>
      <c r="V1858" s="38"/>
      <c r="W1858" s="40"/>
      <c r="X1858" s="40"/>
      <c r="Y1858" s="40"/>
      <c r="Z1858" s="38"/>
      <c r="AA1858" s="38"/>
      <c r="AB1858" s="38"/>
      <c r="AC1858" s="38"/>
      <c r="AD1858" s="38"/>
      <c r="AE1858" s="38"/>
      <c r="AF1858" s="38"/>
      <c r="AG1858" s="38"/>
      <c r="AH1858" s="38"/>
      <c r="AI1858" s="38"/>
      <c r="AJ1858" s="38"/>
      <c r="AK1858" s="38"/>
      <c r="AL1858" s="38"/>
      <c r="AM1858" s="38"/>
      <c r="AN1858" s="38"/>
      <c r="AO1858" s="38"/>
      <c r="AP1858" s="38"/>
      <c r="AQ1858" s="38"/>
      <c r="AR1858" s="38"/>
      <c r="AS1858" s="38"/>
      <c r="AT1858" s="38"/>
      <c r="AU1858" s="38"/>
      <c r="AV1858" s="38"/>
      <c r="AW1858" s="38"/>
      <c r="AX1858" s="38"/>
      <c r="AY1858" s="38"/>
      <c r="AZ1858" s="38"/>
      <c r="BA1858" s="38"/>
      <c r="BB1858" s="38"/>
      <c r="BC1858" s="38"/>
      <c r="BD1858" s="38"/>
      <c r="BE1858" s="38"/>
      <c r="BF1858" s="38"/>
      <c r="BG1858" s="38"/>
      <c r="BH1858" s="38"/>
      <c r="BI1858" s="38"/>
      <c r="BJ1858" s="38"/>
      <c r="BK1858" s="38"/>
      <c r="BL1858" s="38"/>
      <c r="BM1858" s="38"/>
      <c r="BN1858" s="38"/>
      <c r="BO1858" s="38"/>
      <c r="BP1858" s="38"/>
      <c r="BQ1858" s="38"/>
    </row>
    <row r="1859">
      <c r="A1859" s="58" t="s">
        <v>660</v>
      </c>
      <c r="B1859" s="59">
        <v>43369.0</v>
      </c>
      <c r="C1859" s="59">
        <v>43363.0</v>
      </c>
      <c r="D1859" s="60" t="s">
        <v>5114</v>
      </c>
      <c r="E1859" s="58" t="s">
        <v>31</v>
      </c>
      <c r="F1859" s="58">
        <v>17.0</v>
      </c>
      <c r="G1859" s="58" t="s">
        <v>32</v>
      </c>
      <c r="H1859" s="33">
        <f t="shared" si="281"/>
        <v>1</v>
      </c>
      <c r="I1859" s="58" t="s">
        <v>33</v>
      </c>
      <c r="J1859" s="58" t="s">
        <v>111</v>
      </c>
      <c r="K1859" s="58">
        <v>1.0</v>
      </c>
      <c r="L1859" s="58" t="s">
        <v>4769</v>
      </c>
      <c r="M1859" s="61" t="s">
        <v>5115</v>
      </c>
      <c r="N1859" s="77"/>
      <c r="O1859" s="58"/>
      <c r="P1859" s="58"/>
      <c r="Q1859" s="84"/>
      <c r="R1859" s="62"/>
      <c r="S1859" s="37" t="str">
        <f>IFERROR(__xludf.DUMMYFUNCTION("if(not(iserror(index(split(C1859, "" ""),2))), index(split(C1859, "" ""),1),"""")"),"September")</f>
        <v>September</v>
      </c>
      <c r="T1859" s="38">
        <f>IFERROR(__xludf.DUMMYFUNCTION("if(S1859="""",C1859,if(not(iserror(index(split(C1859, "" ""),3))), index(split(C1859, "" ""),3),index(split(C1859, "" ""),2)))"),2018.0)</f>
        <v>2018</v>
      </c>
      <c r="U1859" s="38" t="b">
        <f t="shared" si="279"/>
        <v>1</v>
      </c>
      <c r="V1859" s="38"/>
      <c r="W1859" s="40"/>
      <c r="X1859" s="40"/>
      <c r="Y1859" s="40"/>
      <c r="Z1859" s="38"/>
      <c r="AA1859" s="38"/>
      <c r="AB1859" s="38"/>
      <c r="AC1859" s="38"/>
      <c r="AD1859" s="38"/>
      <c r="AE1859" s="38"/>
      <c r="AF1859" s="38"/>
      <c r="AG1859" s="38"/>
      <c r="AH1859" s="38"/>
      <c r="AI1859" s="38"/>
      <c r="AJ1859" s="38"/>
      <c r="AK1859" s="38"/>
      <c r="AL1859" s="38"/>
      <c r="AM1859" s="38"/>
      <c r="AN1859" s="38"/>
      <c r="AO1859" s="38"/>
      <c r="AP1859" s="38"/>
      <c r="AQ1859" s="38"/>
      <c r="AR1859" s="38"/>
      <c r="AS1859" s="38"/>
      <c r="AT1859" s="38"/>
      <c r="AU1859" s="38"/>
      <c r="AV1859" s="38"/>
      <c r="AW1859" s="38"/>
      <c r="AX1859" s="38"/>
      <c r="AY1859" s="38"/>
      <c r="AZ1859" s="38"/>
      <c r="BA1859" s="38"/>
      <c r="BB1859" s="38"/>
      <c r="BC1859" s="38"/>
      <c r="BD1859" s="38"/>
      <c r="BE1859" s="38"/>
      <c r="BF1859" s="38"/>
      <c r="BG1859" s="38"/>
      <c r="BH1859" s="38"/>
      <c r="BI1859" s="38"/>
      <c r="BJ1859" s="38"/>
      <c r="BK1859" s="38"/>
      <c r="BL1859" s="38"/>
      <c r="BM1859" s="38"/>
      <c r="BN1859" s="38"/>
      <c r="BO1859" s="38"/>
      <c r="BP1859" s="38"/>
      <c r="BQ1859" s="38"/>
    </row>
    <row r="1860">
      <c r="A1860" s="58" t="s">
        <v>5116</v>
      </c>
      <c r="B1860" s="59">
        <v>43385.0</v>
      </c>
      <c r="C1860" s="59">
        <v>43363.0</v>
      </c>
      <c r="D1860" s="60" t="s">
        <v>5094</v>
      </c>
      <c r="E1860" s="58" t="s">
        <v>31</v>
      </c>
      <c r="F1860" s="58">
        <v>1.0</v>
      </c>
      <c r="G1860" s="58" t="s">
        <v>32</v>
      </c>
      <c r="H1860" s="33">
        <f t="shared" si="281"/>
        <v>1</v>
      </c>
      <c r="I1860" s="58" t="s">
        <v>33</v>
      </c>
      <c r="J1860" s="58" t="s">
        <v>115</v>
      </c>
      <c r="K1860" s="58">
        <v>1.0</v>
      </c>
      <c r="L1860" s="58" t="s">
        <v>52</v>
      </c>
      <c r="M1860" s="61" t="s">
        <v>5117</v>
      </c>
      <c r="N1860" s="77"/>
      <c r="O1860" s="62"/>
      <c r="P1860" s="62"/>
      <c r="Q1860" s="62"/>
      <c r="R1860" s="62"/>
      <c r="S1860" s="37" t="str">
        <f>IFERROR(__xludf.DUMMYFUNCTION("if(not(iserror(index(split(C1860, "" ""),2))), index(split(C1860, "" ""),1),"""")"),"September")</f>
        <v>September</v>
      </c>
      <c r="T1860" s="38">
        <f>IFERROR(__xludf.DUMMYFUNCTION("if(S1860="""",C1860,if(not(iserror(index(split(C1860, "" ""),3))), index(split(C1860, "" ""),3),index(split(C1860, "" ""),2)))"),2018.0)</f>
        <v>2018</v>
      </c>
      <c r="U1860" s="38" t="b">
        <f t="shared" si="279"/>
        <v>0</v>
      </c>
      <c r="V1860" s="38"/>
      <c r="W1860" s="40"/>
      <c r="X1860" s="40"/>
      <c r="Y1860" s="40"/>
      <c r="Z1860" s="38"/>
      <c r="AA1860" s="38"/>
      <c r="AB1860" s="38"/>
      <c r="AC1860" s="38"/>
      <c r="AD1860" s="38"/>
      <c r="AE1860" s="38"/>
      <c r="AF1860" s="38"/>
      <c r="AG1860" s="38"/>
      <c r="AH1860" s="38"/>
      <c r="AI1860" s="38"/>
      <c r="AJ1860" s="38"/>
      <c r="AK1860" s="38"/>
      <c r="AL1860" s="38"/>
      <c r="AM1860" s="38"/>
      <c r="AN1860" s="38"/>
      <c r="AO1860" s="38"/>
      <c r="AP1860" s="38"/>
      <c r="AQ1860" s="38"/>
      <c r="AR1860" s="38"/>
      <c r="AS1860" s="38"/>
      <c r="AT1860" s="38"/>
      <c r="AU1860" s="38"/>
      <c r="AV1860" s="38"/>
      <c r="AW1860" s="38"/>
      <c r="AX1860" s="38"/>
      <c r="AY1860" s="38"/>
      <c r="AZ1860" s="38"/>
      <c r="BA1860" s="38"/>
      <c r="BB1860" s="38"/>
      <c r="BC1860" s="38"/>
      <c r="BD1860" s="38"/>
      <c r="BE1860" s="38"/>
      <c r="BF1860" s="38"/>
      <c r="BG1860" s="38"/>
      <c r="BH1860" s="38"/>
      <c r="BI1860" s="38"/>
      <c r="BJ1860" s="38"/>
      <c r="BK1860" s="38"/>
      <c r="BL1860" s="38"/>
      <c r="BM1860" s="38"/>
      <c r="BN1860" s="38"/>
      <c r="BO1860" s="38"/>
      <c r="BP1860" s="38"/>
      <c r="BQ1860" s="38"/>
    </row>
    <row r="1861">
      <c r="A1861" s="87" t="s">
        <v>5118</v>
      </c>
      <c r="B1861" s="59">
        <v>43390.0</v>
      </c>
      <c r="C1861" s="59">
        <v>43363.0</v>
      </c>
      <c r="D1861" s="60" t="s">
        <v>5094</v>
      </c>
      <c r="E1861" s="58" t="s">
        <v>41</v>
      </c>
      <c r="F1861" s="58">
        <v>1.0</v>
      </c>
      <c r="G1861" s="58" t="s">
        <v>32</v>
      </c>
      <c r="H1861" s="33">
        <f t="shared" si="281"/>
        <v>1</v>
      </c>
      <c r="I1861" s="58" t="s">
        <v>33</v>
      </c>
      <c r="J1861" s="58" t="s">
        <v>184</v>
      </c>
      <c r="K1861" s="58">
        <v>1.0</v>
      </c>
      <c r="L1861" s="58" t="s">
        <v>119</v>
      </c>
      <c r="M1861" s="61" t="s">
        <v>5119</v>
      </c>
      <c r="N1861" s="80"/>
      <c r="O1861" s="88" t="str">
        <f>hyperlink("https://bad-boys.us/?q=CD-IL/1:18-cr-10059", "CD-IL 1:18-cr-10059")</f>
        <v>CD-IL 1:18-cr-10059</v>
      </c>
      <c r="P1861" s="88" t="s">
        <v>5120</v>
      </c>
      <c r="Q1861" s="84">
        <v>1.0</v>
      </c>
      <c r="R1861" s="62"/>
      <c r="S1861" s="37" t="str">
        <f>IFERROR(__xludf.DUMMYFUNCTION("if(not(iserror(index(split(C1861, "" ""),2))), index(split(C1861, "" ""),1),"""")"),"September")</f>
        <v>September</v>
      </c>
      <c r="T1861" s="38">
        <f>IFERROR(__xludf.DUMMYFUNCTION("if(S1861="""",C1861,if(not(iserror(index(split(C1861, "" ""),3))), index(split(C1861, "" ""),3),index(split(C1861, "" ""),2)))"),2018.0)</f>
        <v>2018</v>
      </c>
      <c r="U1861" s="38" t="b">
        <f t="shared" si="279"/>
        <v>0</v>
      </c>
      <c r="V1861" s="38"/>
      <c r="W1861" s="40"/>
      <c r="X1861" s="40"/>
      <c r="Y1861" s="40"/>
      <c r="Z1861" s="38"/>
      <c r="AA1861" s="38"/>
      <c r="AB1861" s="38"/>
      <c r="AC1861" s="38"/>
      <c r="AD1861" s="38"/>
      <c r="AE1861" s="38"/>
      <c r="AF1861" s="38"/>
      <c r="AG1861" s="38"/>
      <c r="AH1861" s="38"/>
      <c r="AI1861" s="38"/>
      <c r="AJ1861" s="38"/>
      <c r="AK1861" s="38"/>
      <c r="AL1861" s="38"/>
      <c r="AM1861" s="38"/>
      <c r="AN1861" s="38"/>
      <c r="AO1861" s="38"/>
      <c r="AP1861" s="38"/>
      <c r="AQ1861" s="38"/>
      <c r="AR1861" s="38"/>
      <c r="AS1861" s="38"/>
      <c r="AT1861" s="38"/>
      <c r="AU1861" s="38"/>
      <c r="AV1861" s="38"/>
      <c r="AW1861" s="38"/>
      <c r="AX1861" s="38"/>
      <c r="AY1861" s="38"/>
      <c r="AZ1861" s="38"/>
      <c r="BA1861" s="38"/>
      <c r="BB1861" s="38"/>
      <c r="BC1861" s="38"/>
      <c r="BD1861" s="38"/>
      <c r="BE1861" s="38"/>
      <c r="BF1861" s="38"/>
      <c r="BG1861" s="38"/>
      <c r="BH1861" s="38"/>
      <c r="BI1861" s="38"/>
      <c r="BJ1861" s="38"/>
      <c r="BK1861" s="38"/>
      <c r="BL1861" s="38"/>
      <c r="BM1861" s="38"/>
      <c r="BN1861" s="38"/>
      <c r="BO1861" s="38"/>
      <c r="BP1861" s="38"/>
      <c r="BQ1861" s="38"/>
    </row>
    <row r="1862">
      <c r="A1862" s="58" t="s">
        <v>5121</v>
      </c>
      <c r="B1862" s="59">
        <v>43370.0</v>
      </c>
      <c r="C1862" s="59">
        <v>43364.0</v>
      </c>
      <c r="D1862" s="60" t="s">
        <v>5114</v>
      </c>
      <c r="E1862" s="58" t="s">
        <v>31</v>
      </c>
      <c r="F1862" s="58">
        <v>4.0</v>
      </c>
      <c r="G1862" s="58" t="s">
        <v>32</v>
      </c>
      <c r="H1862" s="33">
        <f t="shared" si="281"/>
        <v>1</v>
      </c>
      <c r="I1862" s="58" t="s">
        <v>33</v>
      </c>
      <c r="J1862" s="58" t="s">
        <v>42</v>
      </c>
      <c r="K1862" s="58">
        <v>2.0</v>
      </c>
      <c r="L1862" s="58" t="s">
        <v>5122</v>
      </c>
      <c r="M1862" s="105" t="s">
        <v>5123</v>
      </c>
      <c r="N1862" s="80"/>
      <c r="O1862" s="58"/>
      <c r="P1862" s="58"/>
      <c r="Q1862" s="84"/>
      <c r="R1862" s="62"/>
      <c r="S1862" s="37" t="str">
        <f>IFERROR(__xludf.DUMMYFUNCTION("if(not(iserror(index(split(C1862, "" ""),2))), index(split(C1862, "" ""),1),"""")"),"September")</f>
        <v>September</v>
      </c>
      <c r="T1862" s="38">
        <f>IFERROR(__xludf.DUMMYFUNCTION("if(S1862="""",C1862,if(not(iserror(index(split(C1862, "" ""),3))), index(split(C1862, "" ""),3),index(split(C1862, "" ""),2)))"),2018.0)</f>
        <v>2018</v>
      </c>
      <c r="U1862" s="38" t="b">
        <f t="shared" si="279"/>
        <v>0</v>
      </c>
      <c r="V1862" s="38"/>
      <c r="W1862" s="40"/>
      <c r="X1862" s="40"/>
      <c r="Y1862" s="40"/>
      <c r="Z1862" s="38"/>
      <c r="AA1862" s="38"/>
      <c r="AB1862" s="38"/>
      <c r="AC1862" s="38"/>
      <c r="AD1862" s="38"/>
      <c r="AE1862" s="38"/>
      <c r="AF1862" s="38"/>
      <c r="AG1862" s="38"/>
      <c r="AH1862" s="38"/>
      <c r="AI1862" s="38"/>
      <c r="AJ1862" s="38"/>
      <c r="AK1862" s="38"/>
      <c r="AL1862" s="38"/>
      <c r="AM1862" s="38"/>
      <c r="AN1862" s="38"/>
      <c r="AO1862" s="38"/>
      <c r="AP1862" s="38"/>
      <c r="AQ1862" s="38"/>
      <c r="AR1862" s="38"/>
      <c r="AS1862" s="38"/>
      <c r="AT1862" s="38"/>
      <c r="AU1862" s="38"/>
      <c r="AV1862" s="38"/>
      <c r="AW1862" s="38"/>
      <c r="AX1862" s="38"/>
      <c r="AY1862" s="38"/>
      <c r="AZ1862" s="38"/>
      <c r="BA1862" s="38"/>
      <c r="BB1862" s="38"/>
      <c r="BC1862" s="38"/>
      <c r="BD1862" s="38"/>
      <c r="BE1862" s="38"/>
      <c r="BF1862" s="38"/>
      <c r="BG1862" s="38"/>
      <c r="BH1862" s="38"/>
      <c r="BI1862" s="38"/>
      <c r="BJ1862" s="38"/>
      <c r="BK1862" s="38"/>
      <c r="BL1862" s="38"/>
      <c r="BM1862" s="38"/>
      <c r="BN1862" s="38"/>
      <c r="BO1862" s="38"/>
      <c r="BP1862" s="38"/>
      <c r="BQ1862" s="38"/>
    </row>
    <row r="1863">
      <c r="A1863" s="255" t="s">
        <v>5124</v>
      </c>
      <c r="B1863" s="59"/>
      <c r="C1863" s="59">
        <v>43364.0</v>
      </c>
      <c r="D1863" s="60"/>
      <c r="E1863" s="58" t="s">
        <v>41</v>
      </c>
      <c r="F1863" s="58">
        <v>1.0</v>
      </c>
      <c r="G1863" s="58" t="s">
        <v>32</v>
      </c>
      <c r="H1863" s="43">
        <v>1.0</v>
      </c>
      <c r="I1863" s="58" t="s">
        <v>33</v>
      </c>
      <c r="J1863" s="58" t="s">
        <v>279</v>
      </c>
      <c r="K1863" s="58"/>
      <c r="L1863" s="80" t="s">
        <v>5125</v>
      </c>
      <c r="M1863" s="205" t="s">
        <v>5126</v>
      </c>
      <c r="N1863" s="77"/>
      <c r="O1863" s="62"/>
      <c r="P1863" s="58"/>
      <c r="Q1863" s="58"/>
      <c r="R1863" s="62"/>
      <c r="S1863" s="37" t="str">
        <f>IFERROR(__xludf.DUMMYFUNCTION("if(not(iserror(index(split(C1863, "" ""),2))), index(split(C1863, "" ""),1),"""")"),"September")</f>
        <v>September</v>
      </c>
      <c r="T1863" s="38">
        <f>IFERROR(__xludf.DUMMYFUNCTION("if(S1863="""",C1863,if(not(iserror(index(split(C1863, "" ""),3))), index(split(C1863, "" ""),3),index(split(C1863, "" ""),2)))"),2018.0)</f>
        <v>2018</v>
      </c>
      <c r="U1863" s="38" t="b">
        <f t="shared" si="279"/>
        <v>0</v>
      </c>
      <c r="V1863" s="38" t="s">
        <v>33</v>
      </c>
      <c r="W1863" s="40"/>
      <c r="X1863" s="40"/>
      <c r="Y1863" s="40"/>
      <c r="Z1863" s="38"/>
      <c r="AA1863" s="38"/>
      <c r="AB1863" s="38"/>
      <c r="AC1863" s="38"/>
      <c r="AD1863" s="38"/>
      <c r="AE1863" s="38"/>
      <c r="AF1863" s="38"/>
      <c r="AG1863" s="38"/>
      <c r="AH1863" s="38"/>
      <c r="AI1863" s="38"/>
      <c r="AJ1863" s="38"/>
      <c r="AK1863" s="38"/>
      <c r="AL1863" s="38"/>
      <c r="AM1863" s="38"/>
      <c r="AN1863" s="38"/>
      <c r="AO1863" s="38"/>
      <c r="AP1863" s="38"/>
      <c r="AQ1863" s="38"/>
      <c r="AR1863" s="38"/>
      <c r="AS1863" s="38"/>
      <c r="AT1863" s="38"/>
      <c r="AU1863" s="38"/>
      <c r="AV1863" s="38"/>
      <c r="AW1863" s="38"/>
      <c r="AX1863" s="38"/>
      <c r="AY1863" s="38"/>
      <c r="AZ1863" s="38"/>
      <c r="BA1863" s="38"/>
      <c r="BB1863" s="38"/>
      <c r="BC1863" s="38"/>
      <c r="BD1863" s="38"/>
      <c r="BE1863" s="38"/>
      <c r="BF1863" s="38"/>
      <c r="BG1863" s="38"/>
      <c r="BH1863" s="38"/>
      <c r="BI1863" s="38"/>
      <c r="BJ1863" s="38"/>
      <c r="BK1863" s="38"/>
      <c r="BL1863" s="38"/>
      <c r="BM1863" s="38"/>
      <c r="BN1863" s="38"/>
      <c r="BO1863" s="38"/>
      <c r="BP1863" s="38"/>
      <c r="BQ1863" s="38"/>
    </row>
    <row r="1864">
      <c r="A1864" s="204" t="s">
        <v>5127</v>
      </c>
      <c r="B1864" s="59">
        <v>43365.0</v>
      </c>
      <c r="C1864" s="59">
        <v>43365.0</v>
      </c>
      <c r="D1864" s="60" t="s">
        <v>5128</v>
      </c>
      <c r="E1864" s="58" t="s">
        <v>31</v>
      </c>
      <c r="F1864" s="58">
        <v>1.0</v>
      </c>
      <c r="G1864" s="58" t="s">
        <v>32</v>
      </c>
      <c r="H1864" s="33">
        <f t="shared" ref="H1864:H1866" si="282">if(G1864="Unknown",1,G1864)</f>
        <v>1</v>
      </c>
      <c r="I1864" s="58" t="s">
        <v>33</v>
      </c>
      <c r="J1864" s="58" t="s">
        <v>448</v>
      </c>
      <c r="K1864" s="58">
        <v>1.0</v>
      </c>
      <c r="L1864" s="58" t="s">
        <v>52</v>
      </c>
      <c r="M1864" s="205" t="s">
        <v>5129</v>
      </c>
      <c r="N1864" s="77"/>
      <c r="O1864" s="62"/>
      <c r="P1864" s="62"/>
      <c r="Q1864" s="62"/>
      <c r="R1864" s="62"/>
      <c r="S1864" s="37" t="str">
        <f>IFERROR(__xludf.DUMMYFUNCTION("if(not(iserror(index(split(C1864, "" ""),2))), index(split(C1864, "" ""),1),"""")"),"September")</f>
        <v>September</v>
      </c>
      <c r="T1864" s="38">
        <f>IFERROR(__xludf.DUMMYFUNCTION("if(S1864="""",C1864,if(not(iserror(index(split(C1864, "" ""),3))), index(split(C1864, "" ""),3),index(split(C1864, "" ""),2)))"),2018.0)</f>
        <v>2018</v>
      </c>
      <c r="U1864" s="38" t="b">
        <f t="shared" si="279"/>
        <v>0</v>
      </c>
      <c r="V1864" s="38"/>
      <c r="W1864" s="40"/>
      <c r="X1864" s="40"/>
      <c r="Y1864" s="40"/>
      <c r="Z1864" s="38"/>
      <c r="AA1864" s="38"/>
      <c r="AB1864" s="38"/>
      <c r="AC1864" s="38"/>
      <c r="AD1864" s="38"/>
      <c r="AE1864" s="38"/>
      <c r="AF1864" s="38"/>
      <c r="AG1864" s="38"/>
      <c r="AH1864" s="38"/>
      <c r="AI1864" s="38"/>
      <c r="AJ1864" s="38"/>
      <c r="AK1864" s="38"/>
      <c r="AL1864" s="38"/>
      <c r="AM1864" s="38"/>
      <c r="AN1864" s="38"/>
      <c r="AO1864" s="38"/>
      <c r="AP1864" s="38"/>
      <c r="AQ1864" s="38"/>
      <c r="AR1864" s="38"/>
      <c r="AS1864" s="38"/>
      <c r="AT1864" s="38"/>
      <c r="AU1864" s="38"/>
      <c r="AV1864" s="38"/>
      <c r="AW1864" s="38"/>
      <c r="AX1864" s="38"/>
      <c r="AY1864" s="38"/>
      <c r="AZ1864" s="38"/>
      <c r="BA1864" s="38"/>
      <c r="BB1864" s="38"/>
      <c r="BC1864" s="38"/>
      <c r="BD1864" s="38"/>
      <c r="BE1864" s="38"/>
      <c r="BF1864" s="38"/>
      <c r="BG1864" s="38"/>
      <c r="BH1864" s="38"/>
      <c r="BI1864" s="38"/>
      <c r="BJ1864" s="38"/>
      <c r="BK1864" s="38"/>
      <c r="BL1864" s="38"/>
      <c r="BM1864" s="38"/>
      <c r="BN1864" s="38"/>
      <c r="BO1864" s="38"/>
      <c r="BP1864" s="38"/>
      <c r="BQ1864" s="38"/>
    </row>
    <row r="1865">
      <c r="A1865" s="58" t="s">
        <v>239</v>
      </c>
      <c r="B1865" s="59">
        <v>43367.0</v>
      </c>
      <c r="C1865" s="59">
        <v>43366.0</v>
      </c>
      <c r="D1865" s="60" t="s">
        <v>5066</v>
      </c>
      <c r="E1865" s="58" t="s">
        <v>41</v>
      </c>
      <c r="F1865" s="58">
        <v>2.0</v>
      </c>
      <c r="G1865" s="58">
        <v>2.0</v>
      </c>
      <c r="H1865" s="33">
        <f t="shared" si="282"/>
        <v>2</v>
      </c>
      <c r="I1865" s="58" t="s">
        <v>33</v>
      </c>
      <c r="J1865" s="58" t="s">
        <v>241</v>
      </c>
      <c r="K1865" s="58">
        <v>1.0</v>
      </c>
      <c r="L1865" s="58" t="s">
        <v>194</v>
      </c>
      <c r="M1865" s="61" t="s">
        <v>5130</v>
      </c>
      <c r="N1865" s="77"/>
      <c r="O1865" s="62"/>
      <c r="P1865" s="62"/>
      <c r="Q1865" s="62"/>
      <c r="R1865" s="62"/>
      <c r="S1865" s="37" t="str">
        <f>IFERROR(__xludf.DUMMYFUNCTION("if(not(iserror(index(split(C1865, "" ""),2))), index(split(C1865, "" ""),1),"""")"),"September")</f>
        <v>September</v>
      </c>
      <c r="T1865" s="38">
        <f>IFERROR(__xludf.DUMMYFUNCTION("if(S1865="""",C1865,if(not(iserror(index(split(C1865, "" ""),3))), index(split(C1865, "" ""),3),index(split(C1865, "" ""),2)))"),2018.0)</f>
        <v>2018</v>
      </c>
      <c r="U1865" s="38" t="b">
        <f t="shared" si="279"/>
        <v>1</v>
      </c>
      <c r="V1865" s="38"/>
      <c r="W1865" s="40"/>
      <c r="X1865" s="40"/>
      <c r="Y1865" s="40"/>
      <c r="Z1865" s="38"/>
      <c r="AA1865" s="38"/>
      <c r="AB1865" s="38"/>
      <c r="AC1865" s="38"/>
      <c r="AD1865" s="38"/>
      <c r="AE1865" s="38"/>
      <c r="AF1865" s="38"/>
      <c r="AG1865" s="38"/>
      <c r="AH1865" s="38"/>
      <c r="AI1865" s="38"/>
      <c r="AJ1865" s="38"/>
      <c r="AK1865" s="38"/>
      <c r="AL1865" s="38"/>
      <c r="AM1865" s="38"/>
      <c r="AN1865" s="38"/>
      <c r="AO1865" s="38"/>
      <c r="AP1865" s="38"/>
      <c r="AQ1865" s="38"/>
      <c r="AR1865" s="38"/>
      <c r="AS1865" s="38"/>
      <c r="AT1865" s="38"/>
      <c r="AU1865" s="38"/>
      <c r="AV1865" s="38"/>
      <c r="AW1865" s="38"/>
      <c r="AX1865" s="38"/>
      <c r="AY1865" s="38"/>
      <c r="AZ1865" s="38"/>
      <c r="BA1865" s="38"/>
      <c r="BB1865" s="38"/>
      <c r="BC1865" s="38"/>
      <c r="BD1865" s="38"/>
      <c r="BE1865" s="38"/>
      <c r="BF1865" s="38"/>
      <c r="BG1865" s="38"/>
      <c r="BH1865" s="38"/>
      <c r="BI1865" s="38"/>
      <c r="BJ1865" s="38"/>
      <c r="BK1865" s="38"/>
      <c r="BL1865" s="38"/>
      <c r="BM1865" s="38"/>
      <c r="BN1865" s="38"/>
      <c r="BO1865" s="38"/>
      <c r="BP1865" s="38"/>
      <c r="BQ1865" s="38"/>
    </row>
    <row r="1866">
      <c r="A1866" s="58" t="s">
        <v>5131</v>
      </c>
      <c r="B1866" s="59">
        <v>43373.0</v>
      </c>
      <c r="C1866" s="59">
        <v>43366.0</v>
      </c>
      <c r="D1866" s="60" t="s">
        <v>4916</v>
      </c>
      <c r="E1866" s="58" t="s">
        <v>31</v>
      </c>
      <c r="F1866" s="58">
        <v>1.0</v>
      </c>
      <c r="G1866" s="58" t="s">
        <v>32</v>
      </c>
      <c r="H1866" s="33">
        <f t="shared" si="282"/>
        <v>1</v>
      </c>
      <c r="I1866" s="58" t="s">
        <v>33</v>
      </c>
      <c r="J1866" s="58" t="s">
        <v>179</v>
      </c>
      <c r="K1866" s="58" t="s">
        <v>32</v>
      </c>
      <c r="L1866" s="58" t="s">
        <v>52</v>
      </c>
      <c r="M1866" s="61" t="s">
        <v>5132</v>
      </c>
      <c r="N1866" s="80"/>
      <c r="O1866" s="62"/>
      <c r="P1866" s="62"/>
      <c r="Q1866" s="62"/>
      <c r="R1866" s="62"/>
      <c r="S1866" s="37" t="str">
        <f>IFERROR(__xludf.DUMMYFUNCTION("if(not(iserror(index(split(C1866, "" ""),2))), index(split(C1866, "" ""),1),"""")"),"September")</f>
        <v>September</v>
      </c>
      <c r="T1866" s="38">
        <f>IFERROR(__xludf.DUMMYFUNCTION("if(S1866="""",C1866,if(not(iserror(index(split(C1866, "" ""),3))), index(split(C1866, "" ""),3),index(split(C1866, "" ""),2)))"),2018.0)</f>
        <v>2018</v>
      </c>
      <c r="U1866" s="38" t="b">
        <f t="shared" si="279"/>
        <v>0</v>
      </c>
      <c r="V1866" s="38"/>
      <c r="W1866" s="40"/>
      <c r="X1866" s="40"/>
      <c r="Y1866" s="40"/>
      <c r="Z1866" s="38"/>
      <c r="AA1866" s="38"/>
      <c r="AB1866" s="38"/>
      <c r="AC1866" s="38"/>
      <c r="AD1866" s="38"/>
      <c r="AE1866" s="38"/>
      <c r="AF1866" s="38"/>
      <c r="AG1866" s="38"/>
      <c r="AH1866" s="38"/>
      <c r="AI1866" s="38"/>
      <c r="AJ1866" s="38"/>
      <c r="AK1866" s="38"/>
      <c r="AL1866" s="38"/>
      <c r="AM1866" s="38"/>
      <c r="AN1866" s="38"/>
      <c r="AO1866" s="38"/>
      <c r="AP1866" s="38"/>
      <c r="AQ1866" s="38"/>
      <c r="AR1866" s="38"/>
      <c r="AS1866" s="38"/>
      <c r="AT1866" s="38"/>
      <c r="AU1866" s="38"/>
      <c r="AV1866" s="38"/>
      <c r="AW1866" s="38"/>
      <c r="AX1866" s="38"/>
      <c r="AY1866" s="38"/>
      <c r="AZ1866" s="38"/>
      <c r="BA1866" s="38"/>
      <c r="BB1866" s="38"/>
      <c r="BC1866" s="38"/>
      <c r="BD1866" s="38"/>
      <c r="BE1866" s="38"/>
      <c r="BF1866" s="38"/>
      <c r="BG1866" s="38"/>
      <c r="BH1866" s="38"/>
      <c r="BI1866" s="38"/>
      <c r="BJ1866" s="38"/>
      <c r="BK1866" s="38"/>
      <c r="BL1866" s="38"/>
      <c r="BM1866" s="38"/>
      <c r="BN1866" s="38"/>
      <c r="BO1866" s="38"/>
      <c r="BP1866" s="38"/>
      <c r="BQ1866" s="38"/>
    </row>
    <row r="1867">
      <c r="A1867" s="58" t="s">
        <v>5133</v>
      </c>
      <c r="B1867" s="59"/>
      <c r="C1867" s="59">
        <v>43366.0</v>
      </c>
      <c r="D1867" s="60"/>
      <c r="E1867" s="58" t="s">
        <v>41</v>
      </c>
      <c r="F1867" s="58">
        <v>1.0</v>
      </c>
      <c r="G1867" s="58" t="s">
        <v>32</v>
      </c>
      <c r="H1867" s="43">
        <v>1.0</v>
      </c>
      <c r="I1867" s="58" t="s">
        <v>33</v>
      </c>
      <c r="J1867" s="58" t="s">
        <v>106</v>
      </c>
      <c r="K1867" s="58"/>
      <c r="L1867" s="58" t="s">
        <v>119</v>
      </c>
      <c r="M1867" s="61" t="s">
        <v>5134</v>
      </c>
      <c r="N1867" s="77"/>
      <c r="O1867" s="83" t="str">
        <f>hyperlink("https://bad-boys.us/?q=D-MD/1:18-cr-00528", "D-MD 1:18-cr-00528")</f>
        <v>D-MD 1:18-cr-00528</v>
      </c>
      <c r="P1867" s="62"/>
      <c r="Q1867" s="58">
        <v>1.0</v>
      </c>
      <c r="R1867" s="62"/>
      <c r="S1867" s="37"/>
      <c r="T1867" s="38"/>
      <c r="U1867" s="38" t="b">
        <f t="shared" si="279"/>
        <v>0</v>
      </c>
      <c r="V1867" s="38" t="s">
        <v>4652</v>
      </c>
      <c r="W1867" s="40"/>
      <c r="X1867" s="40"/>
      <c r="Y1867" s="40"/>
      <c r="Z1867" s="38"/>
      <c r="AA1867" s="38"/>
      <c r="AB1867" s="38"/>
      <c r="AC1867" s="38"/>
      <c r="AD1867" s="38"/>
      <c r="AE1867" s="38"/>
      <c r="AF1867" s="38"/>
      <c r="AG1867" s="38"/>
      <c r="AH1867" s="38"/>
      <c r="AI1867" s="38"/>
      <c r="AJ1867" s="38"/>
      <c r="AK1867" s="38"/>
      <c r="AL1867" s="38"/>
      <c r="AM1867" s="38"/>
      <c r="AN1867" s="38"/>
      <c r="AO1867" s="38"/>
      <c r="AP1867" s="38"/>
      <c r="AQ1867" s="38"/>
      <c r="AR1867" s="38"/>
      <c r="AS1867" s="38"/>
      <c r="AT1867" s="38"/>
      <c r="AU1867" s="38"/>
      <c r="AV1867" s="38"/>
      <c r="AW1867" s="38"/>
      <c r="AX1867" s="38"/>
      <c r="AY1867" s="38"/>
      <c r="AZ1867" s="38"/>
      <c r="BA1867" s="38"/>
      <c r="BB1867" s="38"/>
      <c r="BC1867" s="38"/>
      <c r="BD1867" s="38"/>
      <c r="BE1867" s="38"/>
      <c r="BF1867" s="38"/>
      <c r="BG1867" s="38"/>
      <c r="BH1867" s="38"/>
      <c r="BI1867" s="38"/>
      <c r="BJ1867" s="38"/>
      <c r="BK1867" s="38"/>
      <c r="BL1867" s="38"/>
      <c r="BM1867" s="38"/>
      <c r="BN1867" s="38"/>
      <c r="BO1867" s="38"/>
      <c r="BP1867" s="38"/>
      <c r="BQ1867" s="38"/>
    </row>
    <row r="1868">
      <c r="A1868" s="58" t="s">
        <v>5135</v>
      </c>
      <c r="B1868" s="59">
        <v>43367.0</v>
      </c>
      <c r="C1868" s="59">
        <v>43367.0</v>
      </c>
      <c r="D1868" s="60" t="s">
        <v>5136</v>
      </c>
      <c r="E1868" s="58" t="s">
        <v>41</v>
      </c>
      <c r="F1868" s="58">
        <v>1.0</v>
      </c>
      <c r="G1868" s="58" t="s">
        <v>32</v>
      </c>
      <c r="H1868" s="33">
        <f t="shared" ref="H1868:H1882" si="283">if(G1868="Unknown",1,G1868)</f>
        <v>1</v>
      </c>
      <c r="I1868" s="58" t="s">
        <v>33</v>
      </c>
      <c r="J1868" s="58" t="s">
        <v>85</v>
      </c>
      <c r="K1868" s="58">
        <v>1.0</v>
      </c>
      <c r="L1868" s="58" t="s">
        <v>35</v>
      </c>
      <c r="M1868" s="61" t="s">
        <v>5137</v>
      </c>
      <c r="N1868" s="77"/>
      <c r="O1868" s="62"/>
      <c r="P1868" s="62"/>
      <c r="Q1868" s="62"/>
      <c r="R1868" s="62"/>
      <c r="S1868" s="37" t="str">
        <f>IFERROR(__xludf.DUMMYFUNCTION("if(not(iserror(index(split(C1868, "" ""),2))), index(split(C1868, "" ""),1),"""")"),"September")</f>
        <v>September</v>
      </c>
      <c r="T1868" s="38">
        <f>IFERROR(__xludf.DUMMYFUNCTION("if(S1868="""",C1868,if(not(iserror(index(split(C1868, "" ""),3))), index(split(C1868, "" ""),3),index(split(C1868, "" ""),2)))"),2018.0)</f>
        <v>2018</v>
      </c>
      <c r="U1868" s="38" t="b">
        <f t="shared" si="279"/>
        <v>0</v>
      </c>
      <c r="V1868" s="38"/>
      <c r="W1868" s="40"/>
      <c r="X1868" s="40"/>
      <c r="Y1868" s="40"/>
      <c r="Z1868" s="38"/>
      <c r="AA1868" s="38"/>
      <c r="AB1868" s="38"/>
      <c r="AC1868" s="38"/>
      <c r="AD1868" s="38"/>
      <c r="AE1868" s="38"/>
      <c r="AF1868" s="38"/>
      <c r="AG1868" s="38"/>
      <c r="AH1868" s="38"/>
      <c r="AI1868" s="38"/>
      <c r="AJ1868" s="38"/>
      <c r="AK1868" s="38"/>
      <c r="AL1868" s="38"/>
      <c r="AM1868" s="38"/>
      <c r="AN1868" s="38"/>
      <c r="AO1868" s="38"/>
      <c r="AP1868" s="38"/>
      <c r="AQ1868" s="38"/>
      <c r="AR1868" s="38"/>
      <c r="AS1868" s="38"/>
      <c r="AT1868" s="38"/>
      <c r="AU1868" s="38"/>
      <c r="AV1868" s="38"/>
      <c r="AW1868" s="38"/>
      <c r="AX1868" s="38"/>
      <c r="AY1868" s="38"/>
      <c r="AZ1868" s="38"/>
      <c r="BA1868" s="38"/>
      <c r="BB1868" s="38"/>
      <c r="BC1868" s="38"/>
      <c r="BD1868" s="38"/>
      <c r="BE1868" s="38"/>
      <c r="BF1868" s="38"/>
      <c r="BG1868" s="38"/>
      <c r="BH1868" s="38"/>
      <c r="BI1868" s="38"/>
      <c r="BJ1868" s="38"/>
      <c r="BK1868" s="38"/>
      <c r="BL1868" s="38"/>
      <c r="BM1868" s="38"/>
      <c r="BN1868" s="38"/>
      <c r="BO1868" s="38"/>
      <c r="BP1868" s="38"/>
      <c r="BQ1868" s="38"/>
    </row>
    <row r="1869">
      <c r="A1869" s="256" t="s">
        <v>5138</v>
      </c>
      <c r="B1869" s="59">
        <v>43376.0</v>
      </c>
      <c r="C1869" s="59">
        <v>43367.0</v>
      </c>
      <c r="D1869" s="60" t="s">
        <v>5136</v>
      </c>
      <c r="E1869" s="58" t="s">
        <v>31</v>
      </c>
      <c r="F1869" s="58">
        <v>1.0</v>
      </c>
      <c r="G1869" s="58" t="s">
        <v>32</v>
      </c>
      <c r="H1869" s="33">
        <f t="shared" si="283"/>
        <v>1</v>
      </c>
      <c r="I1869" s="58" t="s">
        <v>33</v>
      </c>
      <c r="J1869" s="58" t="s">
        <v>2167</v>
      </c>
      <c r="K1869" s="58" t="s">
        <v>32</v>
      </c>
      <c r="L1869" s="58" t="s">
        <v>52</v>
      </c>
      <c r="M1869" s="61" t="s">
        <v>5139</v>
      </c>
      <c r="N1869" s="77"/>
      <c r="O1869" s="62"/>
      <c r="P1869" s="62"/>
      <c r="Q1869" s="62"/>
      <c r="R1869" s="62"/>
      <c r="S1869" s="37" t="str">
        <f>IFERROR(__xludf.DUMMYFUNCTION("if(not(iserror(index(split(C1869, "" ""),2))), index(split(C1869, "" ""),1),"""")"),"September")</f>
        <v>September</v>
      </c>
      <c r="T1869" s="38">
        <f>IFERROR(__xludf.DUMMYFUNCTION("if(S1869="""",C1869,if(not(iserror(index(split(C1869, "" ""),3))), index(split(C1869, "" ""),3),index(split(C1869, "" ""),2)))"),2018.0)</f>
        <v>2018</v>
      </c>
      <c r="U1869" s="38" t="b">
        <f t="shared" si="279"/>
        <v>0</v>
      </c>
      <c r="V1869" s="38"/>
      <c r="W1869" s="40"/>
      <c r="X1869" s="40"/>
      <c r="Y1869" s="40"/>
      <c r="Z1869" s="38"/>
      <c r="AA1869" s="38"/>
      <c r="AB1869" s="38"/>
      <c r="AC1869" s="38"/>
      <c r="AD1869" s="38"/>
      <c r="AE1869" s="38"/>
      <c r="AF1869" s="38"/>
      <c r="AG1869" s="38"/>
      <c r="AH1869" s="38"/>
      <c r="AI1869" s="38"/>
      <c r="AJ1869" s="38"/>
      <c r="AK1869" s="38"/>
      <c r="AL1869" s="38"/>
      <c r="AM1869" s="38"/>
      <c r="AN1869" s="38"/>
      <c r="AO1869" s="38"/>
      <c r="AP1869" s="38"/>
      <c r="AQ1869" s="38"/>
      <c r="AR1869" s="38"/>
      <c r="AS1869" s="38"/>
      <c r="AT1869" s="38"/>
      <c r="AU1869" s="38"/>
      <c r="AV1869" s="38"/>
      <c r="AW1869" s="38"/>
      <c r="AX1869" s="38"/>
      <c r="AY1869" s="38"/>
      <c r="AZ1869" s="38"/>
      <c r="BA1869" s="38"/>
      <c r="BB1869" s="38"/>
      <c r="BC1869" s="38"/>
      <c r="BD1869" s="38"/>
      <c r="BE1869" s="38"/>
      <c r="BF1869" s="38"/>
      <c r="BG1869" s="38"/>
      <c r="BH1869" s="38"/>
      <c r="BI1869" s="38"/>
      <c r="BJ1869" s="38"/>
      <c r="BK1869" s="38"/>
      <c r="BL1869" s="38"/>
      <c r="BM1869" s="38"/>
      <c r="BN1869" s="38"/>
      <c r="BO1869" s="38"/>
      <c r="BP1869" s="38"/>
      <c r="BQ1869" s="38"/>
    </row>
    <row r="1870">
      <c r="A1870" s="257" t="s">
        <v>5140</v>
      </c>
      <c r="B1870" s="137">
        <v>43378.0</v>
      </c>
      <c r="C1870" s="126">
        <v>43367.0</v>
      </c>
      <c r="D1870" s="196" t="s">
        <v>5136</v>
      </c>
      <c r="E1870" s="124" t="s">
        <v>41</v>
      </c>
      <c r="F1870" s="129">
        <v>1.0</v>
      </c>
      <c r="G1870" s="128" t="s">
        <v>32</v>
      </c>
      <c r="H1870" s="33">
        <f t="shared" si="283"/>
        <v>1</v>
      </c>
      <c r="I1870" s="128" t="s">
        <v>33</v>
      </c>
      <c r="J1870" s="128" t="s">
        <v>111</v>
      </c>
      <c r="K1870" s="58">
        <v>1.0</v>
      </c>
      <c r="L1870" s="124" t="s">
        <v>76</v>
      </c>
      <c r="M1870" s="258" t="s">
        <v>5141</v>
      </c>
      <c r="N1870" s="219" t="s">
        <v>5142</v>
      </c>
      <c r="O1870" s="173" t="str">
        <f>hyperlink("https://bad-boys.us/?q=CD-CA/2:18-cr-00624", "CD-CA 2:18-cr-00624")</f>
        <v>CD-CA 2:18-cr-00624</v>
      </c>
      <c r="P1870" s="173" t="s">
        <v>5143</v>
      </c>
      <c r="Q1870" s="198">
        <v>1.0</v>
      </c>
      <c r="R1870" s="133"/>
      <c r="S1870" s="37" t="str">
        <f>IFERROR(__xludf.DUMMYFUNCTION("if(not(iserror(index(split(C1870, "" ""),2))), index(split(C1870, "" ""),1),"""")"),"September")</f>
        <v>September</v>
      </c>
      <c r="T1870" s="38">
        <f>IFERROR(__xludf.DUMMYFUNCTION("if(S1870="""",C1870,if(not(iserror(index(split(C1870, "" ""),3))), index(split(C1870, "" ""),3),index(split(C1870, "" ""),2)))"),2018.0)</f>
        <v>2018</v>
      </c>
      <c r="U1870" s="38" t="b">
        <f t="shared" si="279"/>
        <v>0</v>
      </c>
      <c r="V1870" s="38"/>
      <c r="W1870" s="40"/>
      <c r="X1870" s="40"/>
      <c r="Y1870" s="40"/>
      <c r="Z1870" s="38"/>
      <c r="AA1870" s="38"/>
      <c r="AB1870" s="38"/>
      <c r="AC1870" s="38"/>
      <c r="AD1870" s="38"/>
      <c r="AE1870" s="38"/>
      <c r="AF1870" s="38"/>
      <c r="AG1870" s="38"/>
      <c r="AH1870" s="38"/>
      <c r="AI1870" s="38"/>
      <c r="AJ1870" s="38"/>
      <c r="AK1870" s="38"/>
      <c r="AL1870" s="38"/>
      <c r="AM1870" s="38"/>
      <c r="AN1870" s="38"/>
      <c r="AO1870" s="38"/>
      <c r="AP1870" s="38"/>
      <c r="AQ1870" s="38"/>
      <c r="AR1870" s="38"/>
      <c r="AS1870" s="38"/>
      <c r="AT1870" s="38"/>
      <c r="AU1870" s="38"/>
      <c r="AV1870" s="38"/>
      <c r="AW1870" s="38"/>
      <c r="AX1870" s="38"/>
      <c r="AY1870" s="38"/>
      <c r="AZ1870" s="38"/>
      <c r="BA1870" s="38"/>
      <c r="BB1870" s="38"/>
      <c r="BC1870" s="38"/>
      <c r="BD1870" s="38"/>
      <c r="BE1870" s="38"/>
      <c r="BF1870" s="38"/>
      <c r="BG1870" s="38"/>
      <c r="BH1870" s="38"/>
      <c r="BI1870" s="38"/>
      <c r="BJ1870" s="38"/>
      <c r="BK1870" s="38"/>
      <c r="BL1870" s="38"/>
      <c r="BM1870" s="38"/>
      <c r="BN1870" s="38"/>
      <c r="BO1870" s="38"/>
      <c r="BP1870" s="38"/>
      <c r="BQ1870" s="38"/>
    </row>
    <row r="1871">
      <c r="A1871" s="185" t="s">
        <v>5144</v>
      </c>
      <c r="B1871" s="186">
        <v>43368.0</v>
      </c>
      <c r="C1871" s="186">
        <v>43368.0</v>
      </c>
      <c r="D1871" s="187" t="s">
        <v>5145</v>
      </c>
      <c r="E1871" s="188" t="s">
        <v>31</v>
      </c>
      <c r="F1871" s="185">
        <v>1.0</v>
      </c>
      <c r="G1871" s="185" t="s">
        <v>32</v>
      </c>
      <c r="H1871" s="33">
        <f t="shared" si="283"/>
        <v>1</v>
      </c>
      <c r="I1871" s="185" t="s">
        <v>33</v>
      </c>
      <c r="J1871" s="185" t="s">
        <v>410</v>
      </c>
      <c r="K1871" s="185" t="s">
        <v>32</v>
      </c>
      <c r="L1871" s="185" t="s">
        <v>5146</v>
      </c>
      <c r="M1871" s="190" t="s">
        <v>5147</v>
      </c>
      <c r="N1871" s="190" t="s">
        <v>5148</v>
      </c>
      <c r="O1871" s="88" t="str">
        <f>hyperlink("https://bad-boys.us/?q=D-MA/1:19-cr-10059", "D-MA 1:19-cr-10059")</f>
        <v>D-MA 1:19-cr-10059</v>
      </c>
      <c r="P1871" s="88" t="s">
        <v>5149</v>
      </c>
      <c r="Q1871" s="84">
        <v>1.0</v>
      </c>
      <c r="R1871" s="62"/>
      <c r="S1871" s="37" t="str">
        <f>IFERROR(__xludf.DUMMYFUNCTION("if(not(iserror(index(split(C1871, "" ""),2))), index(split(C1871, "" ""),1),"""")"),"September")</f>
        <v>September</v>
      </c>
      <c r="T1871" s="38">
        <f>IFERROR(__xludf.DUMMYFUNCTION("if(S1871="""",C1871,if(not(iserror(index(split(C1871, "" ""),3))), index(split(C1871, "" ""),3),index(split(C1871, "" ""),2)))"),2018.0)</f>
        <v>2018</v>
      </c>
      <c r="U1871" s="38" t="b">
        <f t="shared" si="279"/>
        <v>0</v>
      </c>
      <c r="V1871" s="38"/>
      <c r="W1871" s="40"/>
      <c r="X1871" s="40"/>
      <c r="Y1871" s="40"/>
      <c r="Z1871" s="38"/>
      <c r="AA1871" s="38"/>
      <c r="AB1871" s="38"/>
      <c r="AC1871" s="38"/>
      <c r="AD1871" s="38"/>
      <c r="AE1871" s="38"/>
      <c r="AF1871" s="38"/>
      <c r="AG1871" s="38"/>
      <c r="AH1871" s="38"/>
      <c r="AI1871" s="38"/>
      <c r="AJ1871" s="38"/>
      <c r="AK1871" s="38"/>
      <c r="AL1871" s="38"/>
      <c r="AM1871" s="38"/>
      <c r="AN1871" s="38"/>
      <c r="AO1871" s="38"/>
      <c r="AP1871" s="38"/>
      <c r="AQ1871" s="38"/>
      <c r="AR1871" s="38"/>
      <c r="AS1871" s="38"/>
      <c r="AT1871" s="38"/>
      <c r="AU1871" s="38"/>
      <c r="AV1871" s="38"/>
      <c r="AW1871" s="38"/>
      <c r="AX1871" s="38"/>
      <c r="AY1871" s="38"/>
      <c r="AZ1871" s="38"/>
      <c r="BA1871" s="38"/>
      <c r="BB1871" s="38"/>
      <c r="BC1871" s="38"/>
      <c r="BD1871" s="38"/>
      <c r="BE1871" s="38"/>
      <c r="BF1871" s="38"/>
      <c r="BG1871" s="38"/>
      <c r="BH1871" s="38"/>
      <c r="BI1871" s="38"/>
      <c r="BJ1871" s="38"/>
      <c r="BK1871" s="38"/>
      <c r="BL1871" s="38"/>
      <c r="BM1871" s="38"/>
      <c r="BN1871" s="38"/>
      <c r="BO1871" s="38"/>
      <c r="BP1871" s="38"/>
      <c r="BQ1871" s="38"/>
    </row>
    <row r="1872">
      <c r="A1872" s="58" t="s">
        <v>5150</v>
      </c>
      <c r="B1872" s="59">
        <v>43368.0</v>
      </c>
      <c r="C1872" s="59">
        <v>43368.0</v>
      </c>
      <c r="D1872" s="60" t="s">
        <v>5145</v>
      </c>
      <c r="E1872" s="58" t="s">
        <v>41</v>
      </c>
      <c r="F1872" s="58">
        <v>7.0</v>
      </c>
      <c r="G1872" s="58">
        <v>2.0</v>
      </c>
      <c r="H1872" s="33">
        <f t="shared" si="283"/>
        <v>2</v>
      </c>
      <c r="I1872" s="58" t="s">
        <v>33</v>
      </c>
      <c r="J1872" s="58" t="s">
        <v>241</v>
      </c>
      <c r="K1872" s="58">
        <v>3.0</v>
      </c>
      <c r="L1872" s="58" t="s">
        <v>52</v>
      </c>
      <c r="M1872" s="61" t="s">
        <v>5151</v>
      </c>
      <c r="N1872" s="77"/>
      <c r="O1872" s="58"/>
      <c r="P1872" s="58"/>
      <c r="Q1872" s="84"/>
      <c r="R1872" s="62"/>
      <c r="S1872" s="37" t="str">
        <f>IFERROR(__xludf.DUMMYFUNCTION("if(not(iserror(index(split(C1872, "" ""),2))), index(split(C1872, "" ""),1),"""")"),"September")</f>
        <v>September</v>
      </c>
      <c r="T1872" s="38">
        <f>IFERROR(__xludf.DUMMYFUNCTION("if(S1872="""",C1872,if(not(iserror(index(split(C1872, "" ""),3))), index(split(C1872, "" ""),3),index(split(C1872, "" ""),2)))"),2018.0)</f>
        <v>2018</v>
      </c>
      <c r="U1872" s="38" t="b">
        <f t="shared" si="279"/>
        <v>0</v>
      </c>
      <c r="V1872" s="38"/>
      <c r="W1872" s="40"/>
      <c r="X1872" s="40"/>
      <c r="Y1872" s="40"/>
      <c r="Z1872" s="38"/>
      <c r="AA1872" s="38"/>
      <c r="AB1872" s="38"/>
      <c r="AC1872" s="38"/>
      <c r="AD1872" s="38"/>
      <c r="AE1872" s="38"/>
      <c r="AF1872" s="38"/>
      <c r="AG1872" s="38"/>
      <c r="AH1872" s="38"/>
      <c r="AI1872" s="38"/>
      <c r="AJ1872" s="38"/>
      <c r="AK1872" s="38"/>
      <c r="AL1872" s="38"/>
      <c r="AM1872" s="38"/>
      <c r="AN1872" s="38"/>
      <c r="AO1872" s="38"/>
      <c r="AP1872" s="38"/>
      <c r="AQ1872" s="38"/>
      <c r="AR1872" s="38"/>
      <c r="AS1872" s="38"/>
      <c r="AT1872" s="38"/>
      <c r="AU1872" s="38"/>
      <c r="AV1872" s="38"/>
      <c r="AW1872" s="38"/>
      <c r="AX1872" s="38"/>
      <c r="AY1872" s="38"/>
      <c r="AZ1872" s="38"/>
      <c r="BA1872" s="38"/>
      <c r="BB1872" s="38"/>
      <c r="BC1872" s="38"/>
      <c r="BD1872" s="38"/>
      <c r="BE1872" s="38"/>
      <c r="BF1872" s="38"/>
      <c r="BG1872" s="38"/>
      <c r="BH1872" s="38"/>
      <c r="BI1872" s="38"/>
      <c r="BJ1872" s="38"/>
      <c r="BK1872" s="38"/>
      <c r="BL1872" s="38"/>
      <c r="BM1872" s="38"/>
      <c r="BN1872" s="38"/>
      <c r="BO1872" s="38"/>
      <c r="BP1872" s="38"/>
      <c r="BQ1872" s="38"/>
    </row>
    <row r="1873">
      <c r="A1873" s="58" t="s">
        <v>239</v>
      </c>
      <c r="B1873" s="59">
        <v>43368.0</v>
      </c>
      <c r="C1873" s="59">
        <v>43368.0</v>
      </c>
      <c r="D1873" s="60" t="s">
        <v>5145</v>
      </c>
      <c r="E1873" s="58" t="s">
        <v>41</v>
      </c>
      <c r="F1873" s="58">
        <v>1.0</v>
      </c>
      <c r="G1873" s="58" t="s">
        <v>32</v>
      </c>
      <c r="H1873" s="33">
        <f t="shared" si="283"/>
        <v>1</v>
      </c>
      <c r="I1873" s="58" t="s">
        <v>33</v>
      </c>
      <c r="J1873" s="58" t="s">
        <v>147</v>
      </c>
      <c r="K1873" s="58">
        <v>1.0</v>
      </c>
      <c r="L1873" s="58" t="s">
        <v>194</v>
      </c>
      <c r="M1873" s="61" t="s">
        <v>5152</v>
      </c>
      <c r="N1873" s="77"/>
      <c r="O1873" s="62"/>
      <c r="P1873" s="62"/>
      <c r="Q1873" s="62"/>
      <c r="R1873" s="62"/>
      <c r="S1873" s="37" t="str">
        <f>IFERROR(__xludf.DUMMYFUNCTION("if(not(iserror(index(split(C1873, "" ""),2))), index(split(C1873, "" ""),1),"""")"),"September")</f>
        <v>September</v>
      </c>
      <c r="T1873" s="38">
        <f>IFERROR(__xludf.DUMMYFUNCTION("if(S1873="""",C1873,if(not(iserror(index(split(C1873, "" ""),3))), index(split(C1873, "" ""),3),index(split(C1873, "" ""),2)))"),2018.0)</f>
        <v>2018</v>
      </c>
      <c r="U1873" s="38" t="b">
        <f t="shared" si="279"/>
        <v>1</v>
      </c>
      <c r="V1873" s="38"/>
      <c r="W1873" s="40"/>
      <c r="X1873" s="40"/>
      <c r="Y1873" s="40"/>
      <c r="Z1873" s="38"/>
      <c r="AA1873" s="38"/>
      <c r="AB1873" s="38"/>
      <c r="AC1873" s="38"/>
      <c r="AD1873" s="38"/>
      <c r="AE1873" s="38"/>
      <c r="AF1873" s="38"/>
      <c r="AG1873" s="38"/>
      <c r="AH1873" s="38"/>
      <c r="AI1873" s="38"/>
      <c r="AJ1873" s="38"/>
      <c r="AK1873" s="38"/>
      <c r="AL1873" s="38"/>
      <c r="AM1873" s="38"/>
      <c r="AN1873" s="38"/>
      <c r="AO1873" s="38"/>
      <c r="AP1873" s="38"/>
      <c r="AQ1873" s="38"/>
      <c r="AR1873" s="38"/>
      <c r="AS1873" s="38"/>
      <c r="AT1873" s="38"/>
      <c r="AU1873" s="38"/>
      <c r="AV1873" s="38"/>
      <c r="AW1873" s="38"/>
      <c r="AX1873" s="38"/>
      <c r="AY1873" s="38"/>
      <c r="AZ1873" s="38"/>
      <c r="BA1873" s="38"/>
      <c r="BB1873" s="38"/>
      <c r="BC1873" s="38"/>
      <c r="BD1873" s="38"/>
      <c r="BE1873" s="38"/>
      <c r="BF1873" s="38"/>
      <c r="BG1873" s="38"/>
      <c r="BH1873" s="38"/>
      <c r="BI1873" s="38"/>
      <c r="BJ1873" s="38"/>
      <c r="BK1873" s="38"/>
      <c r="BL1873" s="38"/>
      <c r="BM1873" s="38"/>
      <c r="BN1873" s="38"/>
      <c r="BO1873" s="38"/>
      <c r="BP1873" s="38"/>
      <c r="BQ1873" s="38"/>
    </row>
    <row r="1874">
      <c r="A1874" s="58" t="s">
        <v>5153</v>
      </c>
      <c r="B1874" s="59">
        <v>43369.0</v>
      </c>
      <c r="C1874" s="59">
        <v>43368.0</v>
      </c>
      <c r="D1874" s="60" t="s">
        <v>5145</v>
      </c>
      <c r="E1874" s="58" t="s">
        <v>41</v>
      </c>
      <c r="F1874" s="58">
        <v>3.0</v>
      </c>
      <c r="G1874" s="58" t="s">
        <v>32</v>
      </c>
      <c r="H1874" s="33">
        <f t="shared" si="283"/>
        <v>1</v>
      </c>
      <c r="I1874" s="58" t="s">
        <v>33</v>
      </c>
      <c r="J1874" s="58" t="s">
        <v>184</v>
      </c>
      <c r="K1874" s="58">
        <v>4.0</v>
      </c>
      <c r="L1874" s="58" t="s">
        <v>99</v>
      </c>
      <c r="M1874" s="120" t="s">
        <v>5154</v>
      </c>
      <c r="N1874" s="77"/>
      <c r="O1874" s="88" t="str">
        <f>hyperlink("https://bad-boys.us/?q=ND-IL/3:18-cr-50054", "ND-IL 3:18-cr-50054")</f>
        <v>ND-IL 3:18-cr-50054</v>
      </c>
      <c r="P1874" s="88" t="s">
        <v>5155</v>
      </c>
      <c r="Q1874" s="84">
        <v>1.0</v>
      </c>
      <c r="R1874" s="62"/>
      <c r="S1874" s="37" t="str">
        <f>IFERROR(__xludf.DUMMYFUNCTION("if(not(iserror(index(split(C1874, "" ""),2))), index(split(C1874, "" ""),1),"""")"),"September")</f>
        <v>September</v>
      </c>
      <c r="T1874" s="38">
        <f>IFERROR(__xludf.DUMMYFUNCTION("if(S1874="""",C1874,if(not(iserror(index(split(C1874, "" ""),3))), index(split(C1874, "" ""),3),index(split(C1874, "" ""),2)))"),2018.0)</f>
        <v>2018</v>
      </c>
      <c r="U1874" s="38" t="b">
        <f t="shared" si="279"/>
        <v>0</v>
      </c>
      <c r="V1874" s="38"/>
      <c r="W1874" s="40"/>
      <c r="X1874" s="40"/>
      <c r="Y1874" s="40"/>
      <c r="Z1874" s="38"/>
      <c r="AA1874" s="38"/>
      <c r="AB1874" s="38"/>
      <c r="AC1874" s="38"/>
      <c r="AD1874" s="38"/>
      <c r="AE1874" s="38"/>
      <c r="AF1874" s="38"/>
      <c r="AG1874" s="38"/>
      <c r="AH1874" s="38"/>
      <c r="AI1874" s="38"/>
      <c r="AJ1874" s="38"/>
      <c r="AK1874" s="38"/>
      <c r="AL1874" s="38"/>
      <c r="AM1874" s="38"/>
      <c r="AN1874" s="38"/>
      <c r="AO1874" s="38"/>
      <c r="AP1874" s="38"/>
      <c r="AQ1874" s="38"/>
      <c r="AR1874" s="38"/>
      <c r="AS1874" s="38"/>
      <c r="AT1874" s="38"/>
      <c r="AU1874" s="38"/>
      <c r="AV1874" s="38"/>
      <c r="AW1874" s="38"/>
      <c r="AX1874" s="38"/>
      <c r="AY1874" s="38"/>
      <c r="AZ1874" s="38"/>
      <c r="BA1874" s="38"/>
      <c r="BB1874" s="38"/>
      <c r="BC1874" s="38"/>
      <c r="BD1874" s="38"/>
      <c r="BE1874" s="38"/>
      <c r="BF1874" s="38"/>
      <c r="BG1874" s="38"/>
      <c r="BH1874" s="38"/>
      <c r="BI1874" s="38"/>
      <c r="BJ1874" s="38"/>
      <c r="BK1874" s="38"/>
      <c r="BL1874" s="38"/>
      <c r="BM1874" s="38"/>
      <c r="BN1874" s="38"/>
      <c r="BO1874" s="38"/>
      <c r="BP1874" s="38"/>
      <c r="BQ1874" s="38"/>
    </row>
    <row r="1875">
      <c r="A1875" s="58" t="s">
        <v>239</v>
      </c>
      <c r="B1875" s="59">
        <v>43370.0</v>
      </c>
      <c r="C1875" s="59">
        <v>43368.0</v>
      </c>
      <c r="D1875" s="60" t="s">
        <v>5145</v>
      </c>
      <c r="E1875" s="58" t="s">
        <v>41</v>
      </c>
      <c r="F1875" s="58">
        <v>1.0</v>
      </c>
      <c r="G1875" s="58" t="s">
        <v>32</v>
      </c>
      <c r="H1875" s="33">
        <f t="shared" si="283"/>
        <v>1</v>
      </c>
      <c r="I1875" s="58" t="s">
        <v>33</v>
      </c>
      <c r="J1875" s="58" t="s">
        <v>111</v>
      </c>
      <c r="K1875" s="58">
        <v>1.0</v>
      </c>
      <c r="L1875" s="58" t="s">
        <v>194</v>
      </c>
      <c r="M1875" s="227" t="s">
        <v>5156</v>
      </c>
      <c r="N1875" s="77"/>
      <c r="O1875" s="58"/>
      <c r="P1875" s="58"/>
      <c r="Q1875" s="84"/>
      <c r="R1875" s="62"/>
      <c r="S1875" s="37" t="str">
        <f>IFERROR(__xludf.DUMMYFUNCTION("if(not(iserror(index(split(C1875, "" ""),2))), index(split(C1875, "" ""),1),"""")"),"September")</f>
        <v>September</v>
      </c>
      <c r="T1875" s="38">
        <f>IFERROR(__xludf.DUMMYFUNCTION("if(S1875="""",C1875,if(not(iserror(index(split(C1875, "" ""),3))), index(split(C1875, "" ""),3),index(split(C1875, "" ""),2)))"),2018.0)</f>
        <v>2018</v>
      </c>
      <c r="U1875" s="38" t="b">
        <f t="shared" si="279"/>
        <v>1</v>
      </c>
      <c r="V1875" s="38"/>
      <c r="W1875" s="40"/>
      <c r="X1875" s="40"/>
      <c r="Y1875" s="40"/>
      <c r="Z1875" s="38"/>
      <c r="AA1875" s="38"/>
      <c r="AB1875" s="38"/>
      <c r="AC1875" s="38"/>
      <c r="AD1875" s="38"/>
      <c r="AE1875" s="38"/>
      <c r="AF1875" s="38"/>
      <c r="AG1875" s="38"/>
      <c r="AH1875" s="38"/>
      <c r="AI1875" s="38"/>
      <c r="AJ1875" s="38"/>
      <c r="AK1875" s="38"/>
      <c r="AL1875" s="38"/>
      <c r="AM1875" s="38"/>
      <c r="AN1875" s="38"/>
      <c r="AO1875" s="38"/>
      <c r="AP1875" s="38"/>
      <c r="AQ1875" s="38"/>
      <c r="AR1875" s="38"/>
      <c r="AS1875" s="38"/>
      <c r="AT1875" s="38"/>
      <c r="AU1875" s="38"/>
      <c r="AV1875" s="38"/>
      <c r="AW1875" s="38"/>
      <c r="AX1875" s="38"/>
      <c r="AY1875" s="38"/>
      <c r="AZ1875" s="38"/>
      <c r="BA1875" s="38"/>
      <c r="BB1875" s="38"/>
      <c r="BC1875" s="38"/>
      <c r="BD1875" s="38"/>
      <c r="BE1875" s="38"/>
      <c r="BF1875" s="38"/>
      <c r="BG1875" s="38"/>
      <c r="BH1875" s="38"/>
      <c r="BI1875" s="38"/>
      <c r="BJ1875" s="38"/>
      <c r="BK1875" s="38"/>
      <c r="BL1875" s="38"/>
      <c r="BM1875" s="38"/>
      <c r="BN1875" s="38"/>
      <c r="BO1875" s="38"/>
      <c r="BP1875" s="38"/>
      <c r="BQ1875" s="38"/>
    </row>
    <row r="1876">
      <c r="A1876" s="58" t="s">
        <v>660</v>
      </c>
      <c r="B1876" s="59">
        <v>43371.0</v>
      </c>
      <c r="C1876" s="59">
        <v>43368.0</v>
      </c>
      <c r="D1876" s="60" t="s">
        <v>5145</v>
      </c>
      <c r="E1876" s="58" t="s">
        <v>41</v>
      </c>
      <c r="F1876" s="58">
        <v>6.0</v>
      </c>
      <c r="G1876" s="58" t="s">
        <v>32</v>
      </c>
      <c r="H1876" s="33">
        <f t="shared" si="283"/>
        <v>1</v>
      </c>
      <c r="I1876" s="58" t="s">
        <v>33</v>
      </c>
      <c r="J1876" s="58" t="s">
        <v>42</v>
      </c>
      <c r="K1876" s="58">
        <v>1.0</v>
      </c>
      <c r="L1876" s="58" t="s">
        <v>52</v>
      </c>
      <c r="M1876" s="61" t="s">
        <v>5157</v>
      </c>
      <c r="N1876" s="80"/>
      <c r="O1876" s="58"/>
      <c r="P1876" s="58"/>
      <c r="Q1876" s="84"/>
      <c r="R1876" s="62"/>
      <c r="S1876" s="37" t="str">
        <f>IFERROR(__xludf.DUMMYFUNCTION("if(not(iserror(index(split(C1876, "" ""),2))), index(split(C1876, "" ""),1),"""")"),"September")</f>
        <v>September</v>
      </c>
      <c r="T1876" s="38">
        <f>IFERROR(__xludf.DUMMYFUNCTION("if(S1876="""",C1876,if(not(iserror(index(split(C1876, "" ""),3))), index(split(C1876, "" ""),3),index(split(C1876, "" ""),2)))"),2018.0)</f>
        <v>2018</v>
      </c>
      <c r="U1876" s="38" t="b">
        <f t="shared" si="279"/>
        <v>1</v>
      </c>
      <c r="V1876" s="38"/>
      <c r="W1876" s="40"/>
      <c r="X1876" s="40"/>
      <c r="Y1876" s="40"/>
      <c r="Z1876" s="38"/>
      <c r="AA1876" s="38"/>
      <c r="AB1876" s="38"/>
      <c r="AC1876" s="38"/>
      <c r="AD1876" s="38"/>
      <c r="AE1876" s="38"/>
      <c r="AF1876" s="38"/>
      <c r="AG1876" s="38"/>
      <c r="AH1876" s="38"/>
      <c r="AI1876" s="38"/>
      <c r="AJ1876" s="38"/>
      <c r="AK1876" s="38"/>
      <c r="AL1876" s="38"/>
      <c r="AM1876" s="38"/>
      <c r="AN1876" s="38"/>
      <c r="AO1876" s="38"/>
      <c r="AP1876" s="38"/>
      <c r="AQ1876" s="38"/>
      <c r="AR1876" s="38"/>
      <c r="AS1876" s="38"/>
      <c r="AT1876" s="38"/>
      <c r="AU1876" s="38"/>
      <c r="AV1876" s="38"/>
      <c r="AW1876" s="38"/>
      <c r="AX1876" s="38"/>
      <c r="AY1876" s="38"/>
      <c r="AZ1876" s="38"/>
      <c r="BA1876" s="38"/>
      <c r="BB1876" s="38"/>
      <c r="BC1876" s="38"/>
      <c r="BD1876" s="38"/>
      <c r="BE1876" s="38"/>
      <c r="BF1876" s="38"/>
      <c r="BG1876" s="38"/>
      <c r="BH1876" s="38"/>
      <c r="BI1876" s="38"/>
      <c r="BJ1876" s="38"/>
      <c r="BK1876" s="38"/>
      <c r="BL1876" s="38"/>
      <c r="BM1876" s="38"/>
      <c r="BN1876" s="38"/>
      <c r="BO1876" s="38"/>
      <c r="BP1876" s="38"/>
      <c r="BQ1876" s="38"/>
    </row>
    <row r="1877">
      <c r="A1877" s="58" t="s">
        <v>5158</v>
      </c>
      <c r="B1877" s="59">
        <v>43375.0</v>
      </c>
      <c r="C1877" s="59">
        <v>43368.0</v>
      </c>
      <c r="D1877" s="60" t="s">
        <v>5159</v>
      </c>
      <c r="E1877" s="58" t="s">
        <v>31</v>
      </c>
      <c r="F1877" s="58">
        <v>2.0</v>
      </c>
      <c r="G1877" s="58" t="s">
        <v>32</v>
      </c>
      <c r="H1877" s="33">
        <f t="shared" si="283"/>
        <v>1</v>
      </c>
      <c r="I1877" s="58" t="s">
        <v>33</v>
      </c>
      <c r="J1877" s="58" t="s">
        <v>318</v>
      </c>
      <c r="K1877" s="58">
        <v>1.0</v>
      </c>
      <c r="L1877" s="58" t="s">
        <v>35</v>
      </c>
      <c r="M1877" s="61" t="s">
        <v>5160</v>
      </c>
      <c r="N1877" s="77"/>
      <c r="O1877" s="62"/>
      <c r="P1877" s="62"/>
      <c r="Q1877" s="62"/>
      <c r="R1877" s="62"/>
      <c r="S1877" s="37" t="str">
        <f>IFERROR(__xludf.DUMMYFUNCTION("if(not(iserror(index(split(C1877, "" ""),2))), index(split(C1877, "" ""),1),"""")"),"September")</f>
        <v>September</v>
      </c>
      <c r="T1877" s="38">
        <f>IFERROR(__xludf.DUMMYFUNCTION("if(S1877="""",C1877,if(not(iserror(index(split(C1877, "" ""),3))), index(split(C1877, "" ""),3),index(split(C1877, "" ""),2)))"),2018.0)</f>
        <v>2018</v>
      </c>
      <c r="U1877" s="38" t="b">
        <f t="shared" si="279"/>
        <v>0</v>
      </c>
      <c r="V1877" s="38"/>
      <c r="W1877" s="40"/>
      <c r="X1877" s="40"/>
      <c r="Y1877" s="40"/>
      <c r="Z1877" s="38"/>
      <c r="AA1877" s="38"/>
      <c r="AB1877" s="38"/>
      <c r="AC1877" s="38"/>
      <c r="AD1877" s="38"/>
      <c r="AE1877" s="38"/>
      <c r="AF1877" s="38"/>
      <c r="AG1877" s="38"/>
      <c r="AH1877" s="38"/>
      <c r="AI1877" s="38"/>
      <c r="AJ1877" s="38"/>
      <c r="AK1877" s="38"/>
      <c r="AL1877" s="38"/>
      <c r="AM1877" s="38"/>
      <c r="AN1877" s="38"/>
      <c r="AO1877" s="38"/>
      <c r="AP1877" s="38"/>
      <c r="AQ1877" s="38"/>
      <c r="AR1877" s="38"/>
      <c r="AS1877" s="38"/>
      <c r="AT1877" s="38"/>
      <c r="AU1877" s="38"/>
      <c r="AV1877" s="38"/>
      <c r="AW1877" s="38"/>
      <c r="AX1877" s="38"/>
      <c r="AY1877" s="38"/>
      <c r="AZ1877" s="38"/>
      <c r="BA1877" s="38"/>
      <c r="BB1877" s="38"/>
      <c r="BC1877" s="38"/>
      <c r="BD1877" s="38"/>
      <c r="BE1877" s="38"/>
      <c r="BF1877" s="38"/>
      <c r="BG1877" s="38"/>
      <c r="BH1877" s="38"/>
      <c r="BI1877" s="38"/>
      <c r="BJ1877" s="38"/>
      <c r="BK1877" s="38"/>
      <c r="BL1877" s="38"/>
      <c r="BM1877" s="38"/>
      <c r="BN1877" s="38"/>
      <c r="BO1877" s="38"/>
      <c r="BP1877" s="38"/>
      <c r="BQ1877" s="38"/>
    </row>
    <row r="1878">
      <c r="A1878" s="58" t="s">
        <v>239</v>
      </c>
      <c r="B1878" s="59">
        <v>43370.0</v>
      </c>
      <c r="C1878" s="59">
        <v>43369.0</v>
      </c>
      <c r="D1878" s="60" t="s">
        <v>5161</v>
      </c>
      <c r="E1878" s="58" t="s">
        <v>41</v>
      </c>
      <c r="F1878" s="58">
        <v>8.0</v>
      </c>
      <c r="G1878" s="58" t="s">
        <v>32</v>
      </c>
      <c r="H1878" s="33">
        <f t="shared" si="283"/>
        <v>1</v>
      </c>
      <c r="I1878" s="58" t="s">
        <v>33</v>
      </c>
      <c r="J1878" s="58" t="s">
        <v>162</v>
      </c>
      <c r="K1878" s="58">
        <v>1.0</v>
      </c>
      <c r="L1878" s="58" t="s">
        <v>52</v>
      </c>
      <c r="M1878" s="61" t="s">
        <v>5162</v>
      </c>
      <c r="N1878" s="77"/>
      <c r="O1878" s="62"/>
      <c r="P1878" s="62"/>
      <c r="Q1878" s="62"/>
      <c r="R1878" s="62"/>
      <c r="S1878" s="37" t="str">
        <f>IFERROR(__xludf.DUMMYFUNCTION("if(not(iserror(index(split(C1878, "" ""),2))), index(split(C1878, "" ""),1),"""")"),"September")</f>
        <v>September</v>
      </c>
      <c r="T1878" s="38">
        <f>IFERROR(__xludf.DUMMYFUNCTION("if(S1878="""",C1878,if(not(iserror(index(split(C1878, "" ""),3))), index(split(C1878, "" ""),3),index(split(C1878, "" ""),2)))"),2018.0)</f>
        <v>2018</v>
      </c>
      <c r="U1878" s="38" t="b">
        <f t="shared" si="279"/>
        <v>1</v>
      </c>
      <c r="V1878" s="38"/>
      <c r="W1878" s="40"/>
      <c r="X1878" s="40"/>
      <c r="Y1878" s="40"/>
      <c r="Z1878" s="38"/>
      <c r="AA1878" s="38"/>
      <c r="AB1878" s="38"/>
      <c r="AC1878" s="38"/>
      <c r="AD1878" s="38"/>
      <c r="AE1878" s="38"/>
      <c r="AF1878" s="38"/>
      <c r="AG1878" s="38"/>
      <c r="AH1878" s="38"/>
      <c r="AI1878" s="38"/>
      <c r="AJ1878" s="38"/>
      <c r="AK1878" s="38"/>
      <c r="AL1878" s="38"/>
      <c r="AM1878" s="38"/>
      <c r="AN1878" s="38"/>
      <c r="AO1878" s="38"/>
      <c r="AP1878" s="38"/>
      <c r="AQ1878" s="38"/>
      <c r="AR1878" s="38"/>
      <c r="AS1878" s="38"/>
      <c r="AT1878" s="38"/>
      <c r="AU1878" s="38"/>
      <c r="AV1878" s="38"/>
      <c r="AW1878" s="38"/>
      <c r="AX1878" s="38"/>
      <c r="AY1878" s="38"/>
      <c r="AZ1878" s="38"/>
      <c r="BA1878" s="38"/>
      <c r="BB1878" s="38"/>
      <c r="BC1878" s="38"/>
      <c r="BD1878" s="38"/>
      <c r="BE1878" s="38"/>
      <c r="BF1878" s="38"/>
      <c r="BG1878" s="38"/>
      <c r="BH1878" s="38"/>
      <c r="BI1878" s="38"/>
      <c r="BJ1878" s="38"/>
      <c r="BK1878" s="38"/>
      <c r="BL1878" s="38"/>
      <c r="BM1878" s="38"/>
      <c r="BN1878" s="38"/>
      <c r="BO1878" s="38"/>
      <c r="BP1878" s="38"/>
      <c r="BQ1878" s="38"/>
    </row>
    <row r="1879">
      <c r="A1879" s="58" t="s">
        <v>660</v>
      </c>
      <c r="B1879" s="59">
        <v>43370.0</v>
      </c>
      <c r="C1879" s="59">
        <v>43369.0</v>
      </c>
      <c r="D1879" s="60" t="s">
        <v>5161</v>
      </c>
      <c r="E1879" s="58" t="s">
        <v>31</v>
      </c>
      <c r="F1879" s="58">
        <v>13.0</v>
      </c>
      <c r="G1879" s="58" t="s">
        <v>32</v>
      </c>
      <c r="H1879" s="33">
        <f t="shared" si="283"/>
        <v>1</v>
      </c>
      <c r="I1879" s="58" t="s">
        <v>33</v>
      </c>
      <c r="J1879" s="58" t="s">
        <v>410</v>
      </c>
      <c r="K1879" s="58">
        <v>1.0</v>
      </c>
      <c r="L1879" s="58" t="s">
        <v>52</v>
      </c>
      <c r="M1879" s="61" t="s">
        <v>5163</v>
      </c>
      <c r="N1879" s="77"/>
      <c r="O1879" s="62"/>
      <c r="P1879" s="62"/>
      <c r="Q1879" s="62"/>
      <c r="R1879" s="62"/>
      <c r="S1879" s="37" t="str">
        <f>IFERROR(__xludf.DUMMYFUNCTION("if(not(iserror(index(split(C1879, "" ""),2))), index(split(C1879, "" ""),1),"""")"),"September")</f>
        <v>September</v>
      </c>
      <c r="T1879" s="38">
        <f>IFERROR(__xludf.DUMMYFUNCTION("if(S1879="""",C1879,if(not(iserror(index(split(C1879, "" ""),3))), index(split(C1879, "" ""),3),index(split(C1879, "" ""),2)))"),2018.0)</f>
        <v>2018</v>
      </c>
      <c r="U1879" s="38" t="b">
        <f t="shared" si="279"/>
        <v>1</v>
      </c>
      <c r="V1879" s="38"/>
      <c r="W1879" s="40"/>
      <c r="X1879" s="40"/>
      <c r="Y1879" s="40"/>
      <c r="Z1879" s="38"/>
      <c r="AA1879" s="38"/>
      <c r="AB1879" s="38"/>
      <c r="AC1879" s="38"/>
      <c r="AD1879" s="38"/>
      <c r="AE1879" s="38"/>
      <c r="AF1879" s="38"/>
      <c r="AG1879" s="38"/>
      <c r="AH1879" s="38"/>
      <c r="AI1879" s="38"/>
      <c r="AJ1879" s="38"/>
      <c r="AK1879" s="38"/>
      <c r="AL1879" s="38"/>
      <c r="AM1879" s="38"/>
      <c r="AN1879" s="38"/>
      <c r="AO1879" s="38"/>
      <c r="AP1879" s="38"/>
      <c r="AQ1879" s="38"/>
      <c r="AR1879" s="38"/>
      <c r="AS1879" s="38"/>
      <c r="AT1879" s="38"/>
      <c r="AU1879" s="38"/>
      <c r="AV1879" s="38"/>
      <c r="AW1879" s="38"/>
      <c r="AX1879" s="38"/>
      <c r="AY1879" s="38"/>
      <c r="AZ1879" s="38"/>
      <c r="BA1879" s="38"/>
      <c r="BB1879" s="38"/>
      <c r="BC1879" s="38"/>
      <c r="BD1879" s="38"/>
      <c r="BE1879" s="38"/>
      <c r="BF1879" s="38"/>
      <c r="BG1879" s="38"/>
      <c r="BH1879" s="38"/>
      <c r="BI1879" s="38"/>
      <c r="BJ1879" s="38"/>
      <c r="BK1879" s="38"/>
      <c r="BL1879" s="38"/>
      <c r="BM1879" s="38"/>
      <c r="BN1879" s="38"/>
      <c r="BO1879" s="38"/>
      <c r="BP1879" s="38"/>
      <c r="BQ1879" s="38"/>
    </row>
    <row r="1880">
      <c r="A1880" s="58" t="s">
        <v>660</v>
      </c>
      <c r="B1880" s="59">
        <v>43370.0</v>
      </c>
      <c r="C1880" s="59">
        <v>43369.0</v>
      </c>
      <c r="D1880" s="60" t="s">
        <v>5161</v>
      </c>
      <c r="E1880" s="58" t="s">
        <v>41</v>
      </c>
      <c r="F1880" s="58">
        <v>21.0</v>
      </c>
      <c r="G1880" s="58" t="s">
        <v>32</v>
      </c>
      <c r="H1880" s="33">
        <f t="shared" si="283"/>
        <v>1</v>
      </c>
      <c r="I1880" s="58" t="s">
        <v>33</v>
      </c>
      <c r="J1880" s="58" t="s">
        <v>111</v>
      </c>
      <c r="K1880" s="58">
        <v>1.0</v>
      </c>
      <c r="L1880" s="58" t="s">
        <v>52</v>
      </c>
      <c r="M1880" s="61" t="s">
        <v>5164</v>
      </c>
      <c r="N1880" s="77"/>
      <c r="O1880" s="62"/>
      <c r="P1880" s="62"/>
      <c r="Q1880" s="62"/>
      <c r="R1880" s="62"/>
      <c r="S1880" s="37" t="str">
        <f>IFERROR(__xludf.DUMMYFUNCTION("if(not(iserror(index(split(C1880, "" ""),2))), index(split(C1880, "" ""),1),"""")"),"September")</f>
        <v>September</v>
      </c>
      <c r="T1880" s="38">
        <f>IFERROR(__xludf.DUMMYFUNCTION("if(S1880="""",C1880,if(not(iserror(index(split(C1880, "" ""),3))), index(split(C1880, "" ""),3),index(split(C1880, "" ""),2)))"),2018.0)</f>
        <v>2018</v>
      </c>
      <c r="U1880" s="38" t="b">
        <f t="shared" si="279"/>
        <v>1</v>
      </c>
      <c r="V1880" s="38"/>
      <c r="W1880" s="40"/>
      <c r="X1880" s="40"/>
      <c r="Y1880" s="40"/>
      <c r="Z1880" s="38"/>
      <c r="AA1880" s="38"/>
      <c r="AB1880" s="38"/>
      <c r="AC1880" s="38"/>
      <c r="AD1880" s="38"/>
      <c r="AE1880" s="38"/>
      <c r="AF1880" s="38"/>
      <c r="AG1880" s="38"/>
      <c r="AH1880" s="38"/>
      <c r="AI1880" s="38"/>
      <c r="AJ1880" s="38"/>
      <c r="AK1880" s="38"/>
      <c r="AL1880" s="38"/>
      <c r="AM1880" s="38"/>
      <c r="AN1880" s="38"/>
      <c r="AO1880" s="38"/>
      <c r="AP1880" s="38"/>
      <c r="AQ1880" s="38"/>
      <c r="AR1880" s="38"/>
      <c r="AS1880" s="38"/>
      <c r="AT1880" s="38"/>
      <c r="AU1880" s="38"/>
      <c r="AV1880" s="38"/>
      <c r="AW1880" s="38"/>
      <c r="AX1880" s="38"/>
      <c r="AY1880" s="38"/>
      <c r="AZ1880" s="38"/>
      <c r="BA1880" s="38"/>
      <c r="BB1880" s="38"/>
      <c r="BC1880" s="38"/>
      <c r="BD1880" s="38"/>
      <c r="BE1880" s="38"/>
      <c r="BF1880" s="38"/>
      <c r="BG1880" s="38"/>
      <c r="BH1880" s="38"/>
      <c r="BI1880" s="38"/>
      <c r="BJ1880" s="38"/>
      <c r="BK1880" s="38"/>
      <c r="BL1880" s="38"/>
      <c r="BM1880" s="38"/>
      <c r="BN1880" s="38"/>
      <c r="BO1880" s="38"/>
      <c r="BP1880" s="38"/>
      <c r="BQ1880" s="38"/>
    </row>
    <row r="1881">
      <c r="A1881" s="58" t="s">
        <v>5165</v>
      </c>
      <c r="B1881" s="59">
        <v>43370.0</v>
      </c>
      <c r="C1881" s="59">
        <v>43369.0</v>
      </c>
      <c r="D1881" s="60" t="s">
        <v>5161</v>
      </c>
      <c r="E1881" s="58" t="s">
        <v>31</v>
      </c>
      <c r="F1881" s="58">
        <v>1.0</v>
      </c>
      <c r="G1881" s="58" t="s">
        <v>32</v>
      </c>
      <c r="H1881" s="33">
        <f t="shared" si="283"/>
        <v>1</v>
      </c>
      <c r="I1881" s="58" t="s">
        <v>33</v>
      </c>
      <c r="J1881" s="58" t="s">
        <v>124</v>
      </c>
      <c r="K1881" s="58">
        <v>1.0</v>
      </c>
      <c r="L1881" s="58" t="s">
        <v>52</v>
      </c>
      <c r="M1881" s="61" t="s">
        <v>5166</v>
      </c>
      <c r="N1881" s="77"/>
      <c r="O1881" s="62"/>
      <c r="P1881" s="62"/>
      <c r="Q1881" s="62"/>
      <c r="R1881" s="62"/>
      <c r="S1881" s="37" t="str">
        <f>IFERROR(__xludf.DUMMYFUNCTION("if(not(iserror(index(split(C1881, "" ""),2))), index(split(C1881, "" ""),1),"""")"),"September")</f>
        <v>September</v>
      </c>
      <c r="T1881" s="38">
        <f>IFERROR(__xludf.DUMMYFUNCTION("if(S1881="""",C1881,if(not(iserror(index(split(C1881, "" ""),3))), index(split(C1881, "" ""),3),index(split(C1881, "" ""),2)))"),2018.0)</f>
        <v>2018</v>
      </c>
      <c r="U1881" s="38" t="b">
        <f t="shared" si="279"/>
        <v>0</v>
      </c>
      <c r="V1881" s="38"/>
      <c r="W1881" s="40"/>
      <c r="X1881" s="40"/>
      <c r="Y1881" s="40"/>
      <c r="Z1881" s="38"/>
      <c r="AA1881" s="38"/>
      <c r="AB1881" s="38"/>
      <c r="AC1881" s="38"/>
      <c r="AD1881" s="38"/>
      <c r="AE1881" s="38"/>
      <c r="AF1881" s="38"/>
      <c r="AG1881" s="38"/>
      <c r="AH1881" s="38"/>
      <c r="AI1881" s="38"/>
      <c r="AJ1881" s="38"/>
      <c r="AK1881" s="38"/>
      <c r="AL1881" s="38"/>
      <c r="AM1881" s="38"/>
      <c r="AN1881" s="38"/>
      <c r="AO1881" s="38"/>
      <c r="AP1881" s="38"/>
      <c r="AQ1881" s="38"/>
      <c r="AR1881" s="38"/>
      <c r="AS1881" s="38"/>
      <c r="AT1881" s="38"/>
      <c r="AU1881" s="38"/>
      <c r="AV1881" s="38"/>
      <c r="AW1881" s="38"/>
      <c r="AX1881" s="38"/>
      <c r="AY1881" s="38"/>
      <c r="AZ1881" s="38"/>
      <c r="BA1881" s="38"/>
      <c r="BB1881" s="38"/>
      <c r="BC1881" s="38"/>
      <c r="BD1881" s="38"/>
      <c r="BE1881" s="38"/>
      <c r="BF1881" s="38"/>
      <c r="BG1881" s="38"/>
      <c r="BH1881" s="38"/>
      <c r="BI1881" s="38"/>
      <c r="BJ1881" s="38"/>
      <c r="BK1881" s="38"/>
      <c r="BL1881" s="38"/>
      <c r="BM1881" s="38"/>
      <c r="BN1881" s="38"/>
      <c r="BO1881" s="38"/>
      <c r="BP1881" s="38"/>
      <c r="BQ1881" s="38"/>
    </row>
    <row r="1882">
      <c r="A1882" s="256" t="s">
        <v>5167</v>
      </c>
      <c r="B1882" s="59">
        <v>43370.0</v>
      </c>
      <c r="C1882" s="59">
        <v>43369.0</v>
      </c>
      <c r="D1882" s="60" t="s">
        <v>5161</v>
      </c>
      <c r="E1882" s="58" t="s">
        <v>41</v>
      </c>
      <c r="F1882" s="58">
        <v>1.0</v>
      </c>
      <c r="G1882" s="58" t="s">
        <v>32</v>
      </c>
      <c r="H1882" s="33">
        <f t="shared" si="283"/>
        <v>1</v>
      </c>
      <c r="I1882" s="58" t="s">
        <v>33</v>
      </c>
      <c r="J1882" s="58" t="s">
        <v>61</v>
      </c>
      <c r="K1882" s="58" t="s">
        <v>32</v>
      </c>
      <c r="L1882" s="58" t="s">
        <v>35</v>
      </c>
      <c r="M1882" s="120" t="s">
        <v>5168</v>
      </c>
      <c r="N1882" s="61" t="s">
        <v>5169</v>
      </c>
      <c r="O1882" s="88" t="str">
        <f>hyperlink("https://bad-boys.us/?q=ED-LA/2:18-cr-00203", "ED-LA 2:18-cr-00203")</f>
        <v>ED-LA 2:18-cr-00203</v>
      </c>
      <c r="P1882" s="88" t="s">
        <v>5170</v>
      </c>
      <c r="Q1882" s="58">
        <v>1.0</v>
      </c>
      <c r="R1882" s="62"/>
      <c r="S1882" s="37" t="str">
        <f>IFERROR(__xludf.DUMMYFUNCTION("if(not(iserror(index(split(C1882, "" ""),2))), index(split(C1882, "" ""),1),"""")"),"September")</f>
        <v>September</v>
      </c>
      <c r="T1882" s="38">
        <f>IFERROR(__xludf.DUMMYFUNCTION("if(S1882="""",C1882,if(not(iserror(index(split(C1882, "" ""),3))), index(split(C1882, "" ""),3),index(split(C1882, "" ""),2)))"),2018.0)</f>
        <v>2018</v>
      </c>
      <c r="U1882" s="38" t="b">
        <f t="shared" si="279"/>
        <v>0</v>
      </c>
      <c r="V1882" s="38" t="s">
        <v>33</v>
      </c>
      <c r="W1882" s="40"/>
      <c r="X1882" s="40"/>
      <c r="Y1882" s="40"/>
      <c r="Z1882" s="38"/>
      <c r="AA1882" s="38"/>
      <c r="AB1882" s="38"/>
      <c r="AC1882" s="38"/>
      <c r="AD1882" s="38"/>
      <c r="AE1882" s="38"/>
      <c r="AF1882" s="38"/>
      <c r="AG1882" s="38"/>
      <c r="AH1882" s="38"/>
      <c r="AI1882" s="38"/>
      <c r="AJ1882" s="38"/>
      <c r="AK1882" s="38"/>
      <c r="AL1882" s="38"/>
      <c r="AM1882" s="38"/>
      <c r="AN1882" s="38"/>
      <c r="AO1882" s="38"/>
      <c r="AP1882" s="38"/>
      <c r="AQ1882" s="38"/>
      <c r="AR1882" s="38"/>
      <c r="AS1882" s="38"/>
      <c r="AT1882" s="38"/>
      <c r="AU1882" s="38"/>
      <c r="AV1882" s="38"/>
      <c r="AW1882" s="38"/>
      <c r="AX1882" s="38"/>
      <c r="AY1882" s="38"/>
      <c r="AZ1882" s="38"/>
      <c r="BA1882" s="38"/>
      <c r="BB1882" s="38"/>
      <c r="BC1882" s="38"/>
      <c r="BD1882" s="38"/>
      <c r="BE1882" s="38"/>
      <c r="BF1882" s="38"/>
      <c r="BG1882" s="38"/>
      <c r="BH1882" s="38"/>
      <c r="BI1882" s="38"/>
      <c r="BJ1882" s="38"/>
      <c r="BK1882" s="38"/>
      <c r="BL1882" s="38"/>
      <c r="BM1882" s="38"/>
      <c r="BN1882" s="38"/>
      <c r="BO1882" s="38"/>
      <c r="BP1882" s="38"/>
      <c r="BQ1882" s="38"/>
    </row>
    <row r="1883">
      <c r="A1883" s="58" t="s">
        <v>5171</v>
      </c>
      <c r="B1883" s="59"/>
      <c r="C1883" s="59">
        <v>43369.0</v>
      </c>
      <c r="D1883" s="60"/>
      <c r="E1883" s="58" t="s">
        <v>41</v>
      </c>
      <c r="F1883" s="58">
        <v>1.0</v>
      </c>
      <c r="G1883" s="58" t="s">
        <v>32</v>
      </c>
      <c r="H1883" s="43">
        <v>1.0</v>
      </c>
      <c r="I1883" s="58" t="s">
        <v>33</v>
      </c>
      <c r="J1883" s="58" t="s">
        <v>283</v>
      </c>
      <c r="K1883" s="58"/>
      <c r="L1883" s="58" t="s">
        <v>69</v>
      </c>
      <c r="M1883" s="61" t="s">
        <v>5172</v>
      </c>
      <c r="N1883" s="80"/>
      <c r="O1883" s="62"/>
      <c r="P1883" s="62"/>
      <c r="Q1883" s="58">
        <v>1.0</v>
      </c>
      <c r="R1883" s="62"/>
      <c r="S1883" s="37"/>
      <c r="T1883" s="38"/>
      <c r="U1883" s="38"/>
      <c r="V1883" s="38" t="s">
        <v>33</v>
      </c>
      <c r="W1883" s="40"/>
      <c r="X1883" s="40"/>
      <c r="Y1883" s="40"/>
      <c r="Z1883" s="38"/>
      <c r="AA1883" s="38"/>
      <c r="AB1883" s="38"/>
      <c r="AC1883" s="38"/>
      <c r="AD1883" s="38"/>
      <c r="AE1883" s="38"/>
      <c r="AF1883" s="38"/>
      <c r="AG1883" s="38"/>
      <c r="AH1883" s="38"/>
      <c r="AI1883" s="38"/>
      <c r="AJ1883" s="38"/>
      <c r="AK1883" s="38"/>
      <c r="AL1883" s="38"/>
      <c r="AM1883" s="38"/>
      <c r="AN1883" s="38"/>
      <c r="AO1883" s="38"/>
      <c r="AP1883" s="38"/>
      <c r="AQ1883" s="38"/>
      <c r="AR1883" s="38"/>
      <c r="AS1883" s="38"/>
      <c r="AT1883" s="38"/>
      <c r="AU1883" s="38"/>
      <c r="AV1883" s="38"/>
      <c r="AW1883" s="38"/>
      <c r="AX1883" s="38"/>
      <c r="AY1883" s="38"/>
      <c r="AZ1883" s="38"/>
      <c r="BA1883" s="38"/>
      <c r="BB1883" s="38"/>
      <c r="BC1883" s="38"/>
      <c r="BD1883" s="38"/>
      <c r="BE1883" s="38"/>
      <c r="BF1883" s="38"/>
      <c r="BG1883" s="38"/>
      <c r="BH1883" s="38"/>
      <c r="BI1883" s="38"/>
      <c r="BJ1883" s="38"/>
      <c r="BK1883" s="38"/>
      <c r="BL1883" s="38"/>
      <c r="BM1883" s="38"/>
      <c r="BN1883" s="38"/>
      <c r="BO1883" s="38"/>
      <c r="BP1883" s="38"/>
      <c r="BQ1883" s="38"/>
    </row>
    <row r="1884">
      <c r="A1884" s="58" t="s">
        <v>5173</v>
      </c>
      <c r="B1884" s="59">
        <v>43371.0</v>
      </c>
      <c r="C1884" s="59">
        <v>43369.0</v>
      </c>
      <c r="D1884" s="60" t="s">
        <v>5161</v>
      </c>
      <c r="E1884" s="58" t="s">
        <v>41</v>
      </c>
      <c r="F1884" s="58">
        <v>1.0</v>
      </c>
      <c r="G1884" s="58" t="s">
        <v>32</v>
      </c>
      <c r="H1884" s="33">
        <f>if(G1884="Unknown",1,G1884)</f>
        <v>1</v>
      </c>
      <c r="I1884" s="58" t="s">
        <v>33</v>
      </c>
      <c r="J1884" s="58" t="s">
        <v>111</v>
      </c>
      <c r="K1884" s="58">
        <v>1.0</v>
      </c>
      <c r="L1884" s="58" t="s">
        <v>35</v>
      </c>
      <c r="M1884" s="61" t="s">
        <v>5174</v>
      </c>
      <c r="N1884" s="80"/>
      <c r="O1884" s="62"/>
      <c r="P1884" s="62"/>
      <c r="Q1884" s="62"/>
      <c r="R1884" s="62"/>
      <c r="S1884" s="37" t="str">
        <f>IFERROR(__xludf.DUMMYFUNCTION("if(not(iserror(index(split(C1884, "" ""),2))), index(split(C1884, "" ""),1),"""")"),"September")</f>
        <v>September</v>
      </c>
      <c r="T1884" s="38">
        <f>IFERROR(__xludf.DUMMYFUNCTION("if(S1884="""",C1884,if(not(iserror(index(split(C1884, "" ""),3))), index(split(C1884, "" ""),3),index(split(C1884, "" ""),2)))"),2018.0)</f>
        <v>2018</v>
      </c>
      <c r="U1884" s="38" t="b">
        <f t="shared" ref="U1884:U1910" si="284">countif(A$4:A4658, A1884)&gt;1</f>
        <v>0</v>
      </c>
      <c r="V1884" s="38"/>
      <c r="W1884" s="40"/>
      <c r="X1884" s="40"/>
      <c r="Y1884" s="40"/>
      <c r="Z1884" s="38"/>
      <c r="AA1884" s="38"/>
      <c r="AB1884" s="38"/>
      <c r="AC1884" s="38"/>
      <c r="AD1884" s="38"/>
      <c r="AE1884" s="38"/>
      <c r="AF1884" s="38"/>
      <c r="AG1884" s="38"/>
      <c r="AH1884" s="38"/>
      <c r="AI1884" s="38"/>
      <c r="AJ1884" s="38"/>
      <c r="AK1884" s="38"/>
      <c r="AL1884" s="38"/>
      <c r="AM1884" s="38"/>
      <c r="AN1884" s="38"/>
      <c r="AO1884" s="38"/>
      <c r="AP1884" s="38"/>
      <c r="AQ1884" s="38"/>
      <c r="AR1884" s="38"/>
      <c r="AS1884" s="38"/>
      <c r="AT1884" s="38"/>
      <c r="AU1884" s="38"/>
      <c r="AV1884" s="38"/>
      <c r="AW1884" s="38"/>
      <c r="AX1884" s="38"/>
      <c r="AY1884" s="38"/>
      <c r="AZ1884" s="38"/>
      <c r="BA1884" s="38"/>
      <c r="BB1884" s="38"/>
      <c r="BC1884" s="38"/>
      <c r="BD1884" s="38"/>
      <c r="BE1884" s="38"/>
      <c r="BF1884" s="38"/>
      <c r="BG1884" s="38"/>
      <c r="BH1884" s="38"/>
      <c r="BI1884" s="38"/>
      <c r="BJ1884" s="38"/>
      <c r="BK1884" s="38"/>
      <c r="BL1884" s="38"/>
      <c r="BM1884" s="38"/>
      <c r="BN1884" s="38"/>
      <c r="BO1884" s="38"/>
      <c r="BP1884" s="38"/>
      <c r="BQ1884" s="38"/>
    </row>
    <row r="1885">
      <c r="A1885" s="58" t="s">
        <v>5175</v>
      </c>
      <c r="B1885" s="59"/>
      <c r="C1885" s="59">
        <v>43369.0</v>
      </c>
      <c r="D1885" s="60"/>
      <c r="E1885" s="58" t="s">
        <v>41</v>
      </c>
      <c r="F1885" s="58">
        <v>1.0</v>
      </c>
      <c r="G1885" s="58">
        <v>2.0</v>
      </c>
      <c r="H1885" s="43">
        <v>2.0</v>
      </c>
      <c r="I1885" s="58" t="s">
        <v>33</v>
      </c>
      <c r="J1885" s="58" t="s">
        <v>47</v>
      </c>
      <c r="K1885" s="58"/>
      <c r="L1885" s="58" t="s">
        <v>76</v>
      </c>
      <c r="M1885" s="80" t="s">
        <v>5176</v>
      </c>
      <c r="N1885" s="80"/>
      <c r="O1885" s="62"/>
      <c r="P1885" s="62"/>
      <c r="Q1885" s="62"/>
      <c r="R1885" s="62"/>
      <c r="S1885" s="37" t="str">
        <f>IFERROR(__xludf.DUMMYFUNCTION("if(not(iserror(index(split(C1885, "" ""),2))), index(split(C1885, "" ""),1),"""")"),"September")</f>
        <v>September</v>
      </c>
      <c r="T1885" s="38">
        <f>IFERROR(__xludf.DUMMYFUNCTION("if(S1885="""",C1885,if(not(iserror(index(split(C1885, "" ""),3))), index(split(C1885, "" ""),3),index(split(C1885, "" ""),2)))"),2018.0)</f>
        <v>2018</v>
      </c>
      <c r="U1885" s="38" t="b">
        <f t="shared" si="284"/>
        <v>0</v>
      </c>
      <c r="V1885" s="38" t="s">
        <v>33</v>
      </c>
      <c r="W1885" s="40"/>
      <c r="X1885" s="40"/>
      <c r="Y1885" s="40"/>
      <c r="Z1885" s="38"/>
      <c r="AA1885" s="38"/>
      <c r="AB1885" s="38"/>
      <c r="AC1885" s="38"/>
      <c r="AD1885" s="38"/>
      <c r="AE1885" s="38"/>
      <c r="AF1885" s="38"/>
      <c r="AG1885" s="38"/>
      <c r="AH1885" s="38"/>
      <c r="AI1885" s="38"/>
      <c r="AJ1885" s="38"/>
      <c r="AK1885" s="38"/>
      <c r="AL1885" s="38"/>
      <c r="AM1885" s="38"/>
      <c r="AN1885" s="38"/>
      <c r="AO1885" s="38"/>
      <c r="AP1885" s="38"/>
      <c r="AQ1885" s="38"/>
      <c r="AR1885" s="38"/>
      <c r="AS1885" s="38"/>
      <c r="AT1885" s="38"/>
      <c r="AU1885" s="38"/>
      <c r="AV1885" s="38"/>
      <c r="AW1885" s="38"/>
      <c r="AX1885" s="38"/>
      <c r="AY1885" s="38"/>
      <c r="AZ1885" s="38"/>
      <c r="BA1885" s="38"/>
      <c r="BB1885" s="38"/>
      <c r="BC1885" s="38"/>
      <c r="BD1885" s="38"/>
      <c r="BE1885" s="38"/>
      <c r="BF1885" s="38"/>
      <c r="BG1885" s="38"/>
      <c r="BH1885" s="38"/>
      <c r="BI1885" s="38"/>
      <c r="BJ1885" s="38"/>
      <c r="BK1885" s="38"/>
      <c r="BL1885" s="38"/>
      <c r="BM1885" s="38"/>
      <c r="BN1885" s="38"/>
      <c r="BO1885" s="38"/>
      <c r="BP1885" s="38"/>
      <c r="BQ1885" s="38"/>
    </row>
    <row r="1886">
      <c r="A1886" s="87" t="s">
        <v>5177</v>
      </c>
      <c r="B1886" s="59">
        <v>43378.0</v>
      </c>
      <c r="C1886" s="59">
        <v>43369.0</v>
      </c>
      <c r="D1886" s="60" t="s">
        <v>5178</v>
      </c>
      <c r="E1886" s="58" t="s">
        <v>41</v>
      </c>
      <c r="F1886" s="58">
        <v>1.0</v>
      </c>
      <c r="G1886" s="58" t="s">
        <v>32</v>
      </c>
      <c r="H1886" s="33">
        <f t="shared" ref="H1886:H1891" si="285">if(G1886="Unknown",1,G1886)</f>
        <v>1</v>
      </c>
      <c r="I1886" s="58" t="s">
        <v>33</v>
      </c>
      <c r="J1886" s="58" t="s">
        <v>111</v>
      </c>
      <c r="K1886" s="58">
        <v>1.0</v>
      </c>
      <c r="L1886" s="58" t="s">
        <v>119</v>
      </c>
      <c r="M1886" s="105" t="s">
        <v>2426</v>
      </c>
      <c r="N1886" s="77"/>
      <c r="O1886" s="88" t="str">
        <f>hyperlink("https://bad-boys.us/?q=CD-CA/2:18-cr-00477", "CD-CA 2:18-cr-00477")</f>
        <v>CD-CA 2:18-cr-00477</v>
      </c>
      <c r="P1886" s="88" t="s">
        <v>5179</v>
      </c>
      <c r="Q1886" s="58">
        <v>1.0</v>
      </c>
      <c r="R1886" s="62"/>
      <c r="S1886" s="37" t="str">
        <f>IFERROR(__xludf.DUMMYFUNCTION("if(not(iserror(index(split(C1886, "" ""),2))), index(split(C1886, "" ""),1),"""")"),"September")</f>
        <v>September</v>
      </c>
      <c r="T1886" s="38">
        <f>IFERROR(__xludf.DUMMYFUNCTION("if(S1886="""",C1886,if(not(iserror(index(split(C1886, "" ""),3))), index(split(C1886, "" ""),3),index(split(C1886, "" ""),2)))"),2018.0)</f>
        <v>2018</v>
      </c>
      <c r="U1886" s="38" t="b">
        <f t="shared" si="284"/>
        <v>0</v>
      </c>
      <c r="V1886" s="38"/>
      <c r="W1886" s="40"/>
      <c r="X1886" s="40"/>
      <c r="Y1886" s="40"/>
      <c r="Z1886" s="38"/>
      <c r="AA1886" s="38"/>
      <c r="AB1886" s="38"/>
      <c r="AC1886" s="38"/>
      <c r="AD1886" s="38"/>
      <c r="AE1886" s="38"/>
      <c r="AF1886" s="38"/>
      <c r="AG1886" s="38"/>
      <c r="AH1886" s="38"/>
      <c r="AI1886" s="38"/>
      <c r="AJ1886" s="38"/>
      <c r="AK1886" s="38"/>
      <c r="AL1886" s="38"/>
      <c r="AM1886" s="38"/>
      <c r="AN1886" s="38"/>
      <c r="AO1886" s="38"/>
      <c r="AP1886" s="38"/>
      <c r="AQ1886" s="38"/>
      <c r="AR1886" s="38"/>
      <c r="AS1886" s="38"/>
      <c r="AT1886" s="38"/>
      <c r="AU1886" s="38"/>
      <c r="AV1886" s="38"/>
      <c r="AW1886" s="38"/>
      <c r="AX1886" s="38"/>
      <c r="AY1886" s="38"/>
      <c r="AZ1886" s="38"/>
      <c r="BA1886" s="38"/>
      <c r="BB1886" s="38"/>
      <c r="BC1886" s="38"/>
      <c r="BD1886" s="38"/>
      <c r="BE1886" s="38"/>
      <c r="BF1886" s="38"/>
      <c r="BG1886" s="38"/>
      <c r="BH1886" s="38"/>
      <c r="BI1886" s="38"/>
      <c r="BJ1886" s="38"/>
      <c r="BK1886" s="38"/>
      <c r="BL1886" s="38"/>
      <c r="BM1886" s="38"/>
      <c r="BN1886" s="38"/>
      <c r="BO1886" s="38"/>
      <c r="BP1886" s="38"/>
      <c r="BQ1886" s="38"/>
    </row>
    <row r="1887">
      <c r="A1887" s="194" t="s">
        <v>5180</v>
      </c>
      <c r="B1887" s="137">
        <v>43378.0</v>
      </c>
      <c r="C1887" s="137">
        <v>43369.0</v>
      </c>
      <c r="D1887" s="127" t="s">
        <v>5178</v>
      </c>
      <c r="E1887" s="124" t="s">
        <v>41</v>
      </c>
      <c r="F1887" s="129">
        <v>1.0</v>
      </c>
      <c r="G1887" s="128" t="s">
        <v>32</v>
      </c>
      <c r="H1887" s="33">
        <f t="shared" si="285"/>
        <v>1</v>
      </c>
      <c r="I1887" s="128" t="s">
        <v>33</v>
      </c>
      <c r="J1887" s="128" t="s">
        <v>111</v>
      </c>
      <c r="K1887" s="58">
        <v>1.0</v>
      </c>
      <c r="L1887" s="124" t="s">
        <v>76</v>
      </c>
      <c r="M1887" s="197" t="s">
        <v>2426</v>
      </c>
      <c r="N1887" s="132"/>
      <c r="O1887" s="172" t="str">
        <f>hyperlink("https://bad-boys.us/?q=CD-CA/2:18-cr-00609", "CD-CA 2:18-cr-00609")</f>
        <v>CD-CA 2:18-cr-00609</v>
      </c>
      <c r="P1887" s="173" t="s">
        <v>5181</v>
      </c>
      <c r="Q1887" s="198">
        <v>1.0</v>
      </c>
      <c r="R1887" s="133"/>
      <c r="S1887" s="37" t="str">
        <f>IFERROR(__xludf.DUMMYFUNCTION("if(not(iserror(index(split(C1887, "" ""),2))), index(split(C1887, "" ""),1),"""")"),"September")</f>
        <v>September</v>
      </c>
      <c r="T1887" s="38">
        <f>IFERROR(__xludf.DUMMYFUNCTION("if(S1887="""",C1887,if(not(iserror(index(split(C1887, "" ""),3))), index(split(C1887, "" ""),3),index(split(C1887, "" ""),2)))"),2018.0)</f>
        <v>2018</v>
      </c>
      <c r="U1887" s="38" t="b">
        <f t="shared" si="284"/>
        <v>0</v>
      </c>
      <c r="V1887" s="38"/>
      <c r="W1887" s="40"/>
      <c r="X1887" s="40"/>
      <c r="Y1887" s="40"/>
      <c r="Z1887" s="38"/>
      <c r="AA1887" s="38"/>
      <c r="AB1887" s="38"/>
      <c r="AC1887" s="38"/>
      <c r="AD1887" s="38"/>
      <c r="AE1887" s="38"/>
      <c r="AF1887" s="38"/>
      <c r="AG1887" s="38"/>
      <c r="AH1887" s="38"/>
      <c r="AI1887" s="38"/>
      <c r="AJ1887" s="38"/>
      <c r="AK1887" s="38"/>
      <c r="AL1887" s="38"/>
      <c r="AM1887" s="38"/>
      <c r="AN1887" s="38"/>
      <c r="AO1887" s="38"/>
      <c r="AP1887" s="38"/>
      <c r="AQ1887" s="38"/>
      <c r="AR1887" s="38"/>
      <c r="AS1887" s="38"/>
      <c r="AT1887" s="38"/>
      <c r="AU1887" s="38"/>
      <c r="AV1887" s="38"/>
      <c r="AW1887" s="38"/>
      <c r="AX1887" s="38"/>
      <c r="AY1887" s="38"/>
      <c r="AZ1887" s="38"/>
      <c r="BA1887" s="38"/>
      <c r="BB1887" s="38"/>
      <c r="BC1887" s="38"/>
      <c r="BD1887" s="38"/>
      <c r="BE1887" s="38"/>
      <c r="BF1887" s="38"/>
      <c r="BG1887" s="38"/>
      <c r="BH1887" s="38"/>
      <c r="BI1887" s="38"/>
      <c r="BJ1887" s="38"/>
      <c r="BK1887" s="38"/>
      <c r="BL1887" s="38"/>
      <c r="BM1887" s="38"/>
      <c r="BN1887" s="38"/>
      <c r="BO1887" s="38"/>
      <c r="BP1887" s="38"/>
      <c r="BQ1887" s="38"/>
    </row>
    <row r="1888">
      <c r="A1888" s="194" t="s">
        <v>5182</v>
      </c>
      <c r="B1888" s="137">
        <v>43378.0</v>
      </c>
      <c r="C1888" s="137">
        <v>43369.0</v>
      </c>
      <c r="D1888" s="127" t="s">
        <v>5178</v>
      </c>
      <c r="E1888" s="124" t="s">
        <v>41</v>
      </c>
      <c r="F1888" s="129">
        <v>1.0</v>
      </c>
      <c r="G1888" s="128" t="s">
        <v>32</v>
      </c>
      <c r="H1888" s="33">
        <f t="shared" si="285"/>
        <v>1</v>
      </c>
      <c r="I1888" s="128" t="s">
        <v>33</v>
      </c>
      <c r="J1888" s="128" t="s">
        <v>111</v>
      </c>
      <c r="K1888" s="58">
        <v>1.0</v>
      </c>
      <c r="L1888" s="128" t="s">
        <v>119</v>
      </c>
      <c r="M1888" s="197" t="s">
        <v>2426</v>
      </c>
      <c r="N1888" s="132"/>
      <c r="O1888" s="173" t="str">
        <f>hyperlink("https://bad-boys.us/?q=CD-CA/2:18-cr-00477", "CD-CA 2:18-cr-00477")</f>
        <v>CD-CA 2:18-cr-00477</v>
      </c>
      <c r="P1888" s="173" t="s">
        <v>5179</v>
      </c>
      <c r="Q1888" s="198">
        <v>1.0</v>
      </c>
      <c r="R1888" s="133"/>
      <c r="S1888" s="37" t="str">
        <f>IFERROR(__xludf.DUMMYFUNCTION("if(not(iserror(index(split(C1888, "" ""),2))), index(split(C1888, "" ""),1),"""")"),"September")</f>
        <v>September</v>
      </c>
      <c r="T1888" s="38">
        <f>IFERROR(__xludf.DUMMYFUNCTION("if(S1888="""",C1888,if(not(iserror(index(split(C1888, "" ""),3))), index(split(C1888, "" ""),3),index(split(C1888, "" ""),2)))"),2018.0)</f>
        <v>2018</v>
      </c>
      <c r="U1888" s="38" t="b">
        <f t="shared" si="284"/>
        <v>0</v>
      </c>
      <c r="V1888" s="38"/>
      <c r="W1888" s="40"/>
      <c r="X1888" s="40"/>
      <c r="Y1888" s="40"/>
      <c r="Z1888" s="38"/>
      <c r="AA1888" s="38"/>
      <c r="AB1888" s="38"/>
      <c r="AC1888" s="38"/>
      <c r="AD1888" s="38"/>
      <c r="AE1888" s="38"/>
      <c r="AF1888" s="38"/>
      <c r="AG1888" s="38"/>
      <c r="AH1888" s="38"/>
      <c r="AI1888" s="38"/>
      <c r="AJ1888" s="38"/>
      <c r="AK1888" s="38"/>
      <c r="AL1888" s="38"/>
      <c r="AM1888" s="38"/>
      <c r="AN1888" s="38"/>
      <c r="AO1888" s="38"/>
      <c r="AP1888" s="38"/>
      <c r="AQ1888" s="38"/>
      <c r="AR1888" s="38"/>
      <c r="AS1888" s="38"/>
      <c r="AT1888" s="38"/>
      <c r="AU1888" s="38"/>
      <c r="AV1888" s="38"/>
      <c r="AW1888" s="38"/>
      <c r="AX1888" s="38"/>
      <c r="AY1888" s="38"/>
      <c r="AZ1888" s="38"/>
      <c r="BA1888" s="38"/>
      <c r="BB1888" s="38"/>
      <c r="BC1888" s="38"/>
      <c r="BD1888" s="38"/>
      <c r="BE1888" s="38"/>
      <c r="BF1888" s="38"/>
      <c r="BG1888" s="38"/>
      <c r="BH1888" s="38"/>
      <c r="BI1888" s="38"/>
      <c r="BJ1888" s="38"/>
      <c r="BK1888" s="38"/>
      <c r="BL1888" s="38"/>
      <c r="BM1888" s="38"/>
      <c r="BN1888" s="38"/>
      <c r="BO1888" s="38"/>
      <c r="BP1888" s="38"/>
      <c r="BQ1888" s="38"/>
    </row>
    <row r="1889">
      <c r="A1889" s="194" t="s">
        <v>5183</v>
      </c>
      <c r="B1889" s="137">
        <v>43378.0</v>
      </c>
      <c r="C1889" s="137">
        <v>43369.0</v>
      </c>
      <c r="D1889" s="127" t="s">
        <v>5178</v>
      </c>
      <c r="E1889" s="124" t="s">
        <v>41</v>
      </c>
      <c r="F1889" s="129">
        <v>1.0</v>
      </c>
      <c r="G1889" s="128" t="s">
        <v>32</v>
      </c>
      <c r="H1889" s="33">
        <f t="shared" si="285"/>
        <v>1</v>
      </c>
      <c r="I1889" s="128" t="s">
        <v>33</v>
      </c>
      <c r="J1889" s="128" t="s">
        <v>111</v>
      </c>
      <c r="K1889" s="58">
        <v>1.0</v>
      </c>
      <c r="L1889" s="128" t="s">
        <v>119</v>
      </c>
      <c r="M1889" s="197" t="s">
        <v>2426</v>
      </c>
      <c r="N1889" s="132"/>
      <c r="O1889" s="173" t="str">
        <f>hyperlink("https://bad-boys.us/?q=CD-CA/CA-C_Jun.pdf", "CD-CA CA-C_Jun.pdf ❓")</f>
        <v>CD-CA CA-C_Jun.pdf ❓</v>
      </c>
      <c r="P1889" s="173" t="s">
        <v>5184</v>
      </c>
      <c r="Q1889" s="198">
        <v>1.0</v>
      </c>
      <c r="R1889" s="133"/>
      <c r="S1889" s="37" t="str">
        <f>IFERROR(__xludf.DUMMYFUNCTION("if(not(iserror(index(split(C1889, "" ""),2))), index(split(C1889, "" ""),1),"""")"),"September")</f>
        <v>September</v>
      </c>
      <c r="T1889" s="38">
        <f>IFERROR(__xludf.DUMMYFUNCTION("if(S1889="""",C1889,if(not(iserror(index(split(C1889, "" ""),3))), index(split(C1889, "" ""),3),index(split(C1889, "" ""),2)))"),2018.0)</f>
        <v>2018</v>
      </c>
      <c r="U1889" s="38" t="b">
        <f t="shared" si="284"/>
        <v>0</v>
      </c>
      <c r="V1889" s="38"/>
      <c r="W1889" s="40"/>
      <c r="X1889" s="40"/>
      <c r="Y1889" s="40"/>
      <c r="Z1889" s="38"/>
      <c r="AA1889" s="38"/>
      <c r="AB1889" s="38"/>
      <c r="AC1889" s="38"/>
      <c r="AD1889" s="38"/>
      <c r="AE1889" s="38"/>
      <c r="AF1889" s="38"/>
      <c r="AG1889" s="38"/>
      <c r="AH1889" s="38"/>
      <c r="AI1889" s="38"/>
      <c r="AJ1889" s="38"/>
      <c r="AK1889" s="38"/>
      <c r="AL1889" s="38"/>
      <c r="AM1889" s="38"/>
      <c r="AN1889" s="38"/>
      <c r="AO1889" s="38"/>
      <c r="AP1889" s="38"/>
      <c r="AQ1889" s="38"/>
      <c r="AR1889" s="38"/>
      <c r="AS1889" s="38"/>
      <c r="AT1889" s="38"/>
      <c r="AU1889" s="38"/>
      <c r="AV1889" s="38"/>
      <c r="AW1889" s="38"/>
      <c r="AX1889" s="38"/>
      <c r="AY1889" s="38"/>
      <c r="AZ1889" s="38"/>
      <c r="BA1889" s="38"/>
      <c r="BB1889" s="38"/>
      <c r="BC1889" s="38"/>
      <c r="BD1889" s="38"/>
      <c r="BE1889" s="38"/>
      <c r="BF1889" s="38"/>
      <c r="BG1889" s="38"/>
      <c r="BH1889" s="38"/>
      <c r="BI1889" s="38"/>
      <c r="BJ1889" s="38"/>
      <c r="BK1889" s="38"/>
      <c r="BL1889" s="38"/>
      <c r="BM1889" s="38"/>
      <c r="BN1889" s="38"/>
      <c r="BO1889" s="38"/>
      <c r="BP1889" s="38"/>
      <c r="BQ1889" s="38"/>
    </row>
    <row r="1890">
      <c r="A1890" s="194" t="s">
        <v>5185</v>
      </c>
      <c r="B1890" s="137">
        <v>43378.0</v>
      </c>
      <c r="C1890" s="137">
        <v>43369.0</v>
      </c>
      <c r="D1890" s="127" t="s">
        <v>5178</v>
      </c>
      <c r="E1890" s="124" t="s">
        <v>41</v>
      </c>
      <c r="F1890" s="129">
        <v>1.0</v>
      </c>
      <c r="G1890" s="128" t="s">
        <v>32</v>
      </c>
      <c r="H1890" s="33">
        <f t="shared" si="285"/>
        <v>1</v>
      </c>
      <c r="I1890" s="128" t="s">
        <v>33</v>
      </c>
      <c r="J1890" s="128" t="s">
        <v>111</v>
      </c>
      <c r="K1890" s="58">
        <v>1.0</v>
      </c>
      <c r="L1890" s="128" t="s">
        <v>119</v>
      </c>
      <c r="M1890" s="197" t="s">
        <v>2426</v>
      </c>
      <c r="N1890" s="132"/>
      <c r="O1890" s="173" t="str">
        <f>hyperlink("https://bad-boys.us/?q=CD-CA/2:18-cr-00367", "CD-CA 2:18-cr-00367")</f>
        <v>CD-CA 2:18-cr-00367</v>
      </c>
      <c r="P1890" s="173" t="s">
        <v>5186</v>
      </c>
      <c r="Q1890" s="198">
        <v>1.0</v>
      </c>
      <c r="R1890" s="133"/>
      <c r="S1890" s="37" t="str">
        <f>IFERROR(__xludf.DUMMYFUNCTION("if(not(iserror(index(split(C1890, "" ""),2))), index(split(C1890, "" ""),1),"""")"),"September")</f>
        <v>September</v>
      </c>
      <c r="T1890" s="38">
        <f>IFERROR(__xludf.DUMMYFUNCTION("if(S1890="""",C1890,if(not(iserror(index(split(C1890, "" ""),3))), index(split(C1890, "" ""),3),index(split(C1890, "" ""),2)))"),2018.0)</f>
        <v>2018</v>
      </c>
      <c r="U1890" s="38" t="b">
        <f t="shared" si="284"/>
        <v>0</v>
      </c>
      <c r="V1890" s="38"/>
      <c r="W1890" s="40"/>
      <c r="X1890" s="40"/>
      <c r="Y1890" s="40"/>
      <c r="Z1890" s="38"/>
      <c r="AA1890" s="38"/>
      <c r="AB1890" s="38"/>
      <c r="AC1890" s="38"/>
      <c r="AD1890" s="38"/>
      <c r="AE1890" s="38"/>
      <c r="AF1890" s="38"/>
      <c r="AG1890" s="38"/>
      <c r="AH1890" s="38"/>
      <c r="AI1890" s="38"/>
      <c r="AJ1890" s="38"/>
      <c r="AK1890" s="38"/>
      <c r="AL1890" s="38"/>
      <c r="AM1890" s="38"/>
      <c r="AN1890" s="38"/>
      <c r="AO1890" s="38"/>
      <c r="AP1890" s="38"/>
      <c r="AQ1890" s="38"/>
      <c r="AR1890" s="38"/>
      <c r="AS1890" s="38"/>
      <c r="AT1890" s="38"/>
      <c r="AU1890" s="38"/>
      <c r="AV1890" s="38"/>
      <c r="AW1890" s="38"/>
      <c r="AX1890" s="38"/>
      <c r="AY1890" s="38"/>
      <c r="AZ1890" s="38"/>
      <c r="BA1890" s="38"/>
      <c r="BB1890" s="38"/>
      <c r="BC1890" s="38"/>
      <c r="BD1890" s="38"/>
      <c r="BE1890" s="38"/>
      <c r="BF1890" s="38"/>
      <c r="BG1890" s="38"/>
      <c r="BH1890" s="38"/>
      <c r="BI1890" s="38"/>
      <c r="BJ1890" s="38"/>
      <c r="BK1890" s="38"/>
      <c r="BL1890" s="38"/>
      <c r="BM1890" s="38"/>
      <c r="BN1890" s="38"/>
      <c r="BO1890" s="38"/>
      <c r="BP1890" s="38"/>
      <c r="BQ1890" s="38"/>
    </row>
    <row r="1891">
      <c r="A1891" s="194" t="s">
        <v>5187</v>
      </c>
      <c r="B1891" s="137">
        <v>43378.0</v>
      </c>
      <c r="C1891" s="137">
        <v>43369.0</v>
      </c>
      <c r="D1891" s="127" t="s">
        <v>5178</v>
      </c>
      <c r="E1891" s="124" t="s">
        <v>41</v>
      </c>
      <c r="F1891" s="129">
        <v>1.0</v>
      </c>
      <c r="G1891" s="128" t="s">
        <v>32</v>
      </c>
      <c r="H1891" s="33">
        <f t="shared" si="285"/>
        <v>1</v>
      </c>
      <c r="I1891" s="128" t="s">
        <v>33</v>
      </c>
      <c r="J1891" s="128" t="s">
        <v>111</v>
      </c>
      <c r="K1891" s="58">
        <v>1.0</v>
      </c>
      <c r="L1891" s="128" t="s">
        <v>119</v>
      </c>
      <c r="M1891" s="197" t="s">
        <v>2426</v>
      </c>
      <c r="N1891" s="132"/>
      <c r="O1891" s="173" t="str">
        <f>hyperlink("https://bad-boys.us/?q=CD-CA/2:18-cr-00342", "CD-CA 2:18-cr-00342")</f>
        <v>CD-CA 2:18-cr-00342</v>
      </c>
      <c r="P1891" s="173" t="s">
        <v>5184</v>
      </c>
      <c r="Q1891" s="198">
        <v>1.0</v>
      </c>
      <c r="R1891" s="133"/>
      <c r="S1891" s="37" t="str">
        <f>IFERROR(__xludf.DUMMYFUNCTION("if(not(iserror(index(split(C1891, "" ""),2))), index(split(C1891, "" ""),1),"""")"),"September")</f>
        <v>September</v>
      </c>
      <c r="T1891" s="38">
        <f>IFERROR(__xludf.DUMMYFUNCTION("if(S1891="""",C1891,if(not(iserror(index(split(C1891, "" ""),3))), index(split(C1891, "" ""),3),index(split(C1891, "" ""),2)))"),2018.0)</f>
        <v>2018</v>
      </c>
      <c r="U1891" s="38" t="b">
        <f t="shared" si="284"/>
        <v>0</v>
      </c>
      <c r="V1891" s="38"/>
      <c r="W1891" s="40"/>
      <c r="X1891" s="40"/>
      <c r="Y1891" s="40"/>
      <c r="Z1891" s="38"/>
      <c r="AA1891" s="38"/>
      <c r="AB1891" s="38"/>
      <c r="AC1891" s="38"/>
      <c r="AD1891" s="38"/>
      <c r="AE1891" s="38"/>
      <c r="AF1891" s="38"/>
      <c r="AG1891" s="38"/>
      <c r="AH1891" s="38"/>
      <c r="AI1891" s="38"/>
      <c r="AJ1891" s="38"/>
      <c r="AK1891" s="38"/>
      <c r="AL1891" s="38"/>
      <c r="AM1891" s="38"/>
      <c r="AN1891" s="38"/>
      <c r="AO1891" s="38"/>
      <c r="AP1891" s="38"/>
      <c r="AQ1891" s="38"/>
      <c r="AR1891" s="38"/>
      <c r="AS1891" s="38"/>
      <c r="AT1891" s="38"/>
      <c r="AU1891" s="38"/>
      <c r="AV1891" s="38"/>
      <c r="AW1891" s="38"/>
      <c r="AX1891" s="38"/>
      <c r="AY1891" s="38"/>
      <c r="AZ1891" s="38"/>
      <c r="BA1891" s="38"/>
      <c r="BB1891" s="38"/>
      <c r="BC1891" s="38"/>
      <c r="BD1891" s="38"/>
      <c r="BE1891" s="38"/>
      <c r="BF1891" s="38"/>
      <c r="BG1891" s="38"/>
      <c r="BH1891" s="38"/>
      <c r="BI1891" s="38"/>
      <c r="BJ1891" s="38"/>
      <c r="BK1891" s="38"/>
      <c r="BL1891" s="38"/>
      <c r="BM1891" s="38"/>
      <c r="BN1891" s="38"/>
      <c r="BO1891" s="38"/>
      <c r="BP1891" s="38"/>
      <c r="BQ1891" s="38"/>
    </row>
    <row r="1892">
      <c r="A1892" s="58" t="s">
        <v>5188</v>
      </c>
      <c r="B1892" s="59"/>
      <c r="C1892" s="59">
        <v>43369.0</v>
      </c>
      <c r="D1892" s="60"/>
      <c r="E1892" s="58" t="s">
        <v>41</v>
      </c>
      <c r="F1892" s="58">
        <v>1.0</v>
      </c>
      <c r="G1892" s="58" t="s">
        <v>32</v>
      </c>
      <c r="H1892" s="43">
        <v>1.0</v>
      </c>
      <c r="I1892" s="58" t="s">
        <v>33</v>
      </c>
      <c r="J1892" s="58" t="s">
        <v>402</v>
      </c>
      <c r="K1892" s="58"/>
      <c r="L1892" s="58" t="s">
        <v>76</v>
      </c>
      <c r="M1892" s="80" t="s">
        <v>5189</v>
      </c>
      <c r="N1892" s="61" t="s">
        <v>5190</v>
      </c>
      <c r="O1892" s="83" t="str">
        <f>hyperlink("https://bad-boys.us/?q=ND-IN/1:18-cr-00083", "ND-IN 1:18-cr-00083")</f>
        <v>ND-IN 1:18-cr-00083</v>
      </c>
      <c r="P1892" s="88" t="s">
        <v>5191</v>
      </c>
      <c r="Q1892" s="58">
        <v>1.0</v>
      </c>
      <c r="R1892" s="62"/>
      <c r="S1892" s="37" t="str">
        <f>IFERROR(__xludf.DUMMYFUNCTION("if(not(iserror(index(split(C1892, "" ""),2))), index(split(C1892, "" ""),1),"""")"),"September")</f>
        <v>September</v>
      </c>
      <c r="T1892" s="38">
        <f>IFERROR(__xludf.DUMMYFUNCTION("if(S1892="""",C1892,if(not(iserror(index(split(C1892, "" ""),3))), index(split(C1892, "" ""),3),index(split(C1892, "" ""),2)))"),2018.0)</f>
        <v>2018</v>
      </c>
      <c r="U1892" s="38" t="b">
        <f t="shared" si="284"/>
        <v>0</v>
      </c>
      <c r="V1892" s="38" t="s">
        <v>33</v>
      </c>
      <c r="W1892" s="39" t="s">
        <v>5192</v>
      </c>
      <c r="X1892" s="40"/>
      <c r="Y1892" s="40"/>
      <c r="Z1892" s="38"/>
      <c r="AA1892" s="38"/>
      <c r="AB1892" s="38"/>
      <c r="AC1892" s="38"/>
      <c r="AD1892" s="38"/>
      <c r="AE1892" s="38"/>
      <c r="AF1892" s="38"/>
      <c r="AG1892" s="38"/>
      <c r="AH1892" s="38"/>
      <c r="AI1892" s="38"/>
      <c r="AJ1892" s="38"/>
      <c r="AK1892" s="38"/>
      <c r="AL1892" s="38"/>
      <c r="AM1892" s="38"/>
      <c r="AN1892" s="38"/>
      <c r="AO1892" s="38"/>
      <c r="AP1892" s="38"/>
      <c r="AQ1892" s="38"/>
      <c r="AR1892" s="38"/>
      <c r="AS1892" s="38"/>
      <c r="AT1892" s="38"/>
      <c r="AU1892" s="38"/>
      <c r="AV1892" s="38"/>
      <c r="AW1892" s="38"/>
      <c r="AX1892" s="38"/>
      <c r="AY1892" s="38"/>
      <c r="AZ1892" s="38"/>
      <c r="BA1892" s="38"/>
      <c r="BB1892" s="38"/>
      <c r="BC1892" s="38"/>
      <c r="BD1892" s="38"/>
      <c r="BE1892" s="38"/>
      <c r="BF1892" s="38"/>
      <c r="BG1892" s="38"/>
      <c r="BH1892" s="38"/>
      <c r="BI1892" s="38"/>
      <c r="BJ1892" s="38"/>
      <c r="BK1892" s="38"/>
      <c r="BL1892" s="38"/>
      <c r="BM1892" s="38"/>
      <c r="BN1892" s="38"/>
      <c r="BO1892" s="38"/>
      <c r="BP1892" s="38"/>
      <c r="BQ1892" s="38"/>
    </row>
    <row r="1893">
      <c r="A1893" s="58" t="s">
        <v>5193</v>
      </c>
      <c r="B1893" s="59">
        <v>43382.0</v>
      </c>
      <c r="C1893" s="59">
        <v>43369.0</v>
      </c>
      <c r="D1893" s="60" t="s">
        <v>5161</v>
      </c>
      <c r="E1893" s="58" t="s">
        <v>41</v>
      </c>
      <c r="F1893" s="58" t="s">
        <v>32</v>
      </c>
      <c r="G1893" s="58">
        <v>123.0</v>
      </c>
      <c r="H1893" s="33">
        <f t="shared" ref="H1893:H1894" si="286">if(G1893="Unknown",1,G1893)</f>
        <v>123</v>
      </c>
      <c r="I1893" s="58" t="s">
        <v>33</v>
      </c>
      <c r="J1893" s="58" t="s">
        <v>42</v>
      </c>
      <c r="K1893" s="58">
        <v>23.0</v>
      </c>
      <c r="L1893" s="58" t="s">
        <v>5194</v>
      </c>
      <c r="M1893" s="61" t="s">
        <v>5195</v>
      </c>
      <c r="N1893" s="77"/>
      <c r="O1893" s="62"/>
      <c r="P1893" s="62"/>
      <c r="Q1893" s="62"/>
      <c r="R1893" s="62"/>
      <c r="S1893" s="37" t="str">
        <f>IFERROR(__xludf.DUMMYFUNCTION("if(not(iserror(index(split(C1893, "" ""),2))), index(split(C1893, "" ""),1),"""")"),"September")</f>
        <v>September</v>
      </c>
      <c r="T1893" s="38">
        <f>IFERROR(__xludf.DUMMYFUNCTION("if(S1893="""",C1893,if(not(iserror(index(split(C1893, "" ""),3))), index(split(C1893, "" ""),3),index(split(C1893, "" ""),2)))"),2018.0)</f>
        <v>2018</v>
      </c>
      <c r="U1893" s="38" t="b">
        <f t="shared" si="284"/>
        <v>0</v>
      </c>
      <c r="V1893" s="38"/>
      <c r="W1893" s="40"/>
      <c r="X1893" s="40"/>
      <c r="Y1893" s="40"/>
      <c r="Z1893" s="38"/>
      <c r="AA1893" s="38"/>
      <c r="AB1893" s="38"/>
      <c r="AC1893" s="38"/>
      <c r="AD1893" s="38"/>
      <c r="AE1893" s="38"/>
      <c r="AF1893" s="38"/>
      <c r="AG1893" s="38"/>
      <c r="AH1893" s="38"/>
      <c r="AI1893" s="38"/>
      <c r="AJ1893" s="38"/>
      <c r="AK1893" s="38"/>
      <c r="AL1893" s="38"/>
      <c r="AM1893" s="38"/>
      <c r="AN1893" s="38"/>
      <c r="AO1893" s="38"/>
      <c r="AP1893" s="38"/>
      <c r="AQ1893" s="38"/>
      <c r="AR1893" s="38"/>
      <c r="AS1893" s="38"/>
      <c r="AT1893" s="38"/>
      <c r="AU1893" s="38"/>
      <c r="AV1893" s="38"/>
      <c r="AW1893" s="38"/>
      <c r="AX1893" s="38"/>
      <c r="AY1893" s="38"/>
      <c r="AZ1893" s="38"/>
      <c r="BA1893" s="38"/>
      <c r="BB1893" s="38"/>
      <c r="BC1893" s="38"/>
      <c r="BD1893" s="38"/>
      <c r="BE1893" s="38"/>
      <c r="BF1893" s="38"/>
      <c r="BG1893" s="38"/>
      <c r="BH1893" s="38"/>
      <c r="BI1893" s="38"/>
      <c r="BJ1893" s="38"/>
      <c r="BK1893" s="38"/>
      <c r="BL1893" s="38"/>
      <c r="BM1893" s="38"/>
      <c r="BN1893" s="38"/>
      <c r="BO1893" s="38"/>
      <c r="BP1893" s="38"/>
      <c r="BQ1893" s="38"/>
    </row>
    <row r="1894">
      <c r="A1894" s="58" t="s">
        <v>5196</v>
      </c>
      <c r="B1894" s="59">
        <v>43370.0</v>
      </c>
      <c r="C1894" s="59">
        <v>43370.0</v>
      </c>
      <c r="D1894" s="60" t="s">
        <v>5178</v>
      </c>
      <c r="E1894" s="58" t="s">
        <v>41</v>
      </c>
      <c r="F1894" s="58">
        <v>1.0</v>
      </c>
      <c r="G1894" s="58" t="s">
        <v>32</v>
      </c>
      <c r="H1894" s="33">
        <f t="shared" si="286"/>
        <v>1</v>
      </c>
      <c r="I1894" s="58" t="s">
        <v>33</v>
      </c>
      <c r="J1894" s="58" t="s">
        <v>318</v>
      </c>
      <c r="K1894" s="58">
        <v>1.0</v>
      </c>
      <c r="L1894" s="58" t="s">
        <v>52</v>
      </c>
      <c r="M1894" s="61" t="s">
        <v>5197</v>
      </c>
      <c r="N1894" s="77"/>
      <c r="O1894" s="58"/>
      <c r="P1894" s="58"/>
      <c r="Q1894" s="84"/>
      <c r="R1894" s="62"/>
      <c r="S1894" s="37" t="str">
        <f>IFERROR(__xludf.DUMMYFUNCTION("if(not(iserror(index(split(C1894, "" ""),2))), index(split(C1894, "" ""),1),"""")"),"September")</f>
        <v>September</v>
      </c>
      <c r="T1894" s="38">
        <f>IFERROR(__xludf.DUMMYFUNCTION("if(S1894="""",C1894,if(not(iserror(index(split(C1894, "" ""),3))), index(split(C1894, "" ""),3),index(split(C1894, "" ""),2)))"),2018.0)</f>
        <v>2018</v>
      </c>
      <c r="U1894" s="38" t="b">
        <f t="shared" si="284"/>
        <v>0</v>
      </c>
      <c r="V1894" s="38"/>
      <c r="W1894" s="40"/>
      <c r="X1894" s="40"/>
      <c r="Y1894" s="40"/>
      <c r="Z1894" s="38"/>
      <c r="AA1894" s="38"/>
      <c r="AB1894" s="38"/>
      <c r="AC1894" s="38"/>
      <c r="AD1894" s="38"/>
      <c r="AE1894" s="38"/>
      <c r="AF1894" s="38"/>
      <c r="AG1894" s="38"/>
      <c r="AH1894" s="38"/>
      <c r="AI1894" s="38"/>
      <c r="AJ1894" s="38"/>
      <c r="AK1894" s="38"/>
      <c r="AL1894" s="38"/>
      <c r="AM1894" s="38"/>
      <c r="AN1894" s="38"/>
      <c r="AO1894" s="38"/>
      <c r="AP1894" s="38"/>
      <c r="AQ1894" s="38"/>
      <c r="AR1894" s="38"/>
      <c r="AS1894" s="38"/>
      <c r="AT1894" s="38"/>
      <c r="AU1894" s="38"/>
      <c r="AV1894" s="38"/>
      <c r="AW1894" s="38"/>
      <c r="AX1894" s="38"/>
      <c r="AY1894" s="38"/>
      <c r="AZ1894" s="38"/>
      <c r="BA1894" s="38"/>
      <c r="BB1894" s="38"/>
      <c r="BC1894" s="38"/>
      <c r="BD1894" s="38"/>
      <c r="BE1894" s="38"/>
      <c r="BF1894" s="38"/>
      <c r="BG1894" s="38"/>
      <c r="BH1894" s="38"/>
      <c r="BI1894" s="38"/>
      <c r="BJ1894" s="38"/>
      <c r="BK1894" s="38"/>
      <c r="BL1894" s="38"/>
      <c r="BM1894" s="38"/>
      <c r="BN1894" s="38"/>
      <c r="BO1894" s="38"/>
      <c r="BP1894" s="38"/>
      <c r="BQ1894" s="38"/>
    </row>
    <row r="1895">
      <c r="A1895" s="58" t="s">
        <v>5198</v>
      </c>
      <c r="B1895" s="59"/>
      <c r="C1895" s="59">
        <v>43370.0</v>
      </c>
      <c r="D1895" s="60"/>
      <c r="E1895" s="58" t="s">
        <v>31</v>
      </c>
      <c r="F1895" s="58">
        <v>1.0</v>
      </c>
      <c r="G1895" s="58" t="s">
        <v>32</v>
      </c>
      <c r="H1895" s="43">
        <v>1.0</v>
      </c>
      <c r="I1895" s="58" t="s">
        <v>33</v>
      </c>
      <c r="J1895" s="58" t="s">
        <v>144</v>
      </c>
      <c r="K1895" s="58"/>
      <c r="L1895" s="58" t="s">
        <v>99</v>
      </c>
      <c r="M1895" s="61" t="s">
        <v>5199</v>
      </c>
      <c r="N1895" s="61" t="s">
        <v>5200</v>
      </c>
      <c r="O1895" s="88" t="str">
        <f>hyperlink("https://bad-boys.us/?q=D-MT/1:18-cr-00055", "D-MT 1:18-cr-00055")</f>
        <v>D-MT 1:18-cr-00055</v>
      </c>
      <c r="P1895" s="88" t="s">
        <v>5201</v>
      </c>
      <c r="Q1895" s="58">
        <v>1.0</v>
      </c>
      <c r="R1895" s="62"/>
      <c r="S1895" s="37" t="str">
        <f>IFERROR(__xludf.DUMMYFUNCTION("if(not(iserror(index(split(C1895, "" ""),2))), index(split(C1895, "" ""),1),"""")"),"September")</f>
        <v>September</v>
      </c>
      <c r="T1895" s="38">
        <f>IFERROR(__xludf.DUMMYFUNCTION("if(S1895="""",C1895,if(not(iserror(index(split(C1895, "" ""),3))), index(split(C1895, "" ""),3),index(split(C1895, "" ""),2)))"),2018.0)</f>
        <v>2018</v>
      </c>
      <c r="U1895" s="38" t="b">
        <f t="shared" si="284"/>
        <v>0</v>
      </c>
      <c r="V1895" s="38" t="s">
        <v>33</v>
      </c>
      <c r="W1895" s="39" t="s">
        <v>5202</v>
      </c>
      <c r="X1895" s="39" t="s">
        <v>5203</v>
      </c>
      <c r="Y1895" s="40"/>
      <c r="Z1895" s="38"/>
      <c r="AA1895" s="38"/>
      <c r="AB1895" s="38"/>
      <c r="AC1895" s="38"/>
      <c r="AD1895" s="38"/>
      <c r="AE1895" s="38"/>
      <c r="AF1895" s="38"/>
      <c r="AG1895" s="38"/>
      <c r="AH1895" s="38"/>
      <c r="AI1895" s="38"/>
      <c r="AJ1895" s="38"/>
      <c r="AK1895" s="38"/>
      <c r="AL1895" s="38"/>
      <c r="AM1895" s="38"/>
      <c r="AN1895" s="38"/>
      <c r="AO1895" s="38"/>
      <c r="AP1895" s="38"/>
      <c r="AQ1895" s="38"/>
      <c r="AR1895" s="38"/>
      <c r="AS1895" s="38"/>
      <c r="AT1895" s="38"/>
      <c r="AU1895" s="38"/>
      <c r="AV1895" s="38"/>
      <c r="AW1895" s="38"/>
      <c r="AX1895" s="38"/>
      <c r="AY1895" s="38"/>
      <c r="AZ1895" s="38"/>
      <c r="BA1895" s="38"/>
      <c r="BB1895" s="38"/>
      <c r="BC1895" s="38"/>
      <c r="BD1895" s="38"/>
      <c r="BE1895" s="38"/>
      <c r="BF1895" s="38"/>
      <c r="BG1895" s="38"/>
      <c r="BH1895" s="38"/>
      <c r="BI1895" s="38"/>
      <c r="BJ1895" s="38"/>
      <c r="BK1895" s="38"/>
      <c r="BL1895" s="38"/>
      <c r="BM1895" s="38"/>
      <c r="BN1895" s="38"/>
      <c r="BO1895" s="38"/>
      <c r="BP1895" s="38"/>
      <c r="BQ1895" s="38"/>
    </row>
    <row r="1896">
      <c r="A1896" s="58" t="s">
        <v>5204</v>
      </c>
      <c r="B1896" s="59">
        <v>43370.0</v>
      </c>
      <c r="C1896" s="59">
        <v>43370.0</v>
      </c>
      <c r="D1896" s="60" t="s">
        <v>5178</v>
      </c>
      <c r="E1896" s="58" t="s">
        <v>41</v>
      </c>
      <c r="F1896" s="58">
        <v>1.0</v>
      </c>
      <c r="G1896" s="58">
        <v>10.0</v>
      </c>
      <c r="H1896" s="33">
        <f t="shared" ref="H1896:H1908" si="287">if(G1896="Unknown",1,G1896)</f>
        <v>10</v>
      </c>
      <c r="I1896" s="58" t="s">
        <v>33</v>
      </c>
      <c r="J1896" s="58" t="s">
        <v>85</v>
      </c>
      <c r="K1896" s="58">
        <v>1.0</v>
      </c>
      <c r="L1896" s="58" t="s">
        <v>790</v>
      </c>
      <c r="M1896" s="80" t="s">
        <v>5205</v>
      </c>
      <c r="N1896" s="80" t="s">
        <v>5206</v>
      </c>
      <c r="O1896" s="83" t="str">
        <f>hyperlink("https://bad-boys.us/?q=ND-AL/2:18-cr-00469", "ND-AL 2:18-cr-00469")</f>
        <v>ND-AL 2:18-cr-00469</v>
      </c>
      <c r="P1896" s="62"/>
      <c r="Q1896" s="58">
        <v>1.0</v>
      </c>
      <c r="R1896" s="62"/>
      <c r="S1896" s="37" t="str">
        <f>IFERROR(__xludf.DUMMYFUNCTION("if(not(iserror(index(split(C1896, "" ""),2))), index(split(C1896, "" ""),1),"""")"),"September")</f>
        <v>September</v>
      </c>
      <c r="T1896" s="38">
        <f>IFERROR(__xludf.DUMMYFUNCTION("if(S1896="""",C1896,if(not(iserror(index(split(C1896, "" ""),3))), index(split(C1896, "" ""),3),index(split(C1896, "" ""),2)))"),2018.0)</f>
        <v>2018</v>
      </c>
      <c r="U1896" s="38" t="b">
        <f t="shared" si="284"/>
        <v>0</v>
      </c>
      <c r="V1896" s="38"/>
      <c r="W1896" s="40"/>
      <c r="X1896" s="40"/>
      <c r="Y1896" s="40"/>
      <c r="Z1896" s="38"/>
      <c r="AA1896" s="38"/>
      <c r="AB1896" s="38"/>
      <c r="AC1896" s="38"/>
      <c r="AD1896" s="38"/>
      <c r="AE1896" s="38"/>
      <c r="AF1896" s="38"/>
      <c r="AG1896" s="38"/>
      <c r="AH1896" s="38"/>
      <c r="AI1896" s="38"/>
      <c r="AJ1896" s="38"/>
      <c r="AK1896" s="38"/>
      <c r="AL1896" s="38"/>
      <c r="AM1896" s="38"/>
      <c r="AN1896" s="38"/>
      <c r="AO1896" s="38"/>
      <c r="AP1896" s="38"/>
      <c r="AQ1896" s="38"/>
      <c r="AR1896" s="38"/>
      <c r="AS1896" s="38"/>
      <c r="AT1896" s="38"/>
      <c r="AU1896" s="38"/>
      <c r="AV1896" s="38"/>
      <c r="AW1896" s="38"/>
      <c r="AX1896" s="38"/>
      <c r="AY1896" s="38"/>
      <c r="AZ1896" s="38"/>
      <c r="BA1896" s="38"/>
      <c r="BB1896" s="38"/>
      <c r="BC1896" s="38"/>
      <c r="BD1896" s="38"/>
      <c r="BE1896" s="38"/>
      <c r="BF1896" s="38"/>
      <c r="BG1896" s="38"/>
      <c r="BH1896" s="38"/>
      <c r="BI1896" s="38"/>
      <c r="BJ1896" s="38"/>
      <c r="BK1896" s="38"/>
      <c r="BL1896" s="38"/>
      <c r="BM1896" s="38"/>
      <c r="BN1896" s="38"/>
      <c r="BO1896" s="38"/>
      <c r="BP1896" s="38"/>
      <c r="BQ1896" s="38"/>
    </row>
    <row r="1897">
      <c r="A1897" s="58" t="s">
        <v>239</v>
      </c>
      <c r="B1897" s="59">
        <v>43371.0</v>
      </c>
      <c r="C1897" s="59">
        <v>43370.0</v>
      </c>
      <c r="D1897" s="60" t="s">
        <v>5178</v>
      </c>
      <c r="E1897" s="58" t="s">
        <v>41</v>
      </c>
      <c r="F1897" s="58">
        <v>1.0</v>
      </c>
      <c r="G1897" s="58">
        <v>11.0</v>
      </c>
      <c r="H1897" s="33">
        <f t="shared" si="287"/>
        <v>11</v>
      </c>
      <c r="I1897" s="58" t="s">
        <v>33</v>
      </c>
      <c r="J1897" s="58" t="s">
        <v>241</v>
      </c>
      <c r="K1897" s="58">
        <v>1.0</v>
      </c>
      <c r="L1897" s="58" t="s">
        <v>194</v>
      </c>
      <c r="M1897" s="61" t="s">
        <v>5207</v>
      </c>
      <c r="N1897" s="77"/>
      <c r="O1897" s="58"/>
      <c r="P1897" s="62"/>
      <c r="Q1897" s="84"/>
      <c r="R1897" s="62"/>
      <c r="S1897" s="37" t="str">
        <f>IFERROR(__xludf.DUMMYFUNCTION("if(not(iserror(index(split(C1897, "" ""),2))), index(split(C1897, "" ""),1),"""")"),"September")</f>
        <v>September</v>
      </c>
      <c r="T1897" s="38">
        <f>IFERROR(__xludf.DUMMYFUNCTION("if(S1897="""",C1897,if(not(iserror(index(split(C1897, "" ""),3))), index(split(C1897, "" ""),3),index(split(C1897, "" ""),2)))"),2018.0)</f>
        <v>2018</v>
      </c>
      <c r="U1897" s="38" t="b">
        <f t="shared" si="284"/>
        <v>1</v>
      </c>
      <c r="V1897" s="38"/>
      <c r="W1897" s="40"/>
      <c r="X1897" s="40"/>
      <c r="Y1897" s="40"/>
      <c r="Z1897" s="38"/>
      <c r="AA1897" s="38"/>
      <c r="AB1897" s="38"/>
      <c r="AC1897" s="38"/>
      <c r="AD1897" s="38"/>
      <c r="AE1897" s="38"/>
      <c r="AF1897" s="38"/>
      <c r="AG1897" s="38"/>
      <c r="AH1897" s="38"/>
      <c r="AI1897" s="38"/>
      <c r="AJ1897" s="38"/>
      <c r="AK1897" s="38"/>
      <c r="AL1897" s="38"/>
      <c r="AM1897" s="38"/>
      <c r="AN1897" s="38"/>
      <c r="AO1897" s="38"/>
      <c r="AP1897" s="38"/>
      <c r="AQ1897" s="38"/>
      <c r="AR1897" s="38"/>
      <c r="AS1897" s="38"/>
      <c r="AT1897" s="38"/>
      <c r="AU1897" s="38"/>
      <c r="AV1897" s="38"/>
      <c r="AW1897" s="38"/>
      <c r="AX1897" s="38"/>
      <c r="AY1897" s="38"/>
      <c r="AZ1897" s="38"/>
      <c r="BA1897" s="38"/>
      <c r="BB1897" s="38"/>
      <c r="BC1897" s="38"/>
      <c r="BD1897" s="38"/>
      <c r="BE1897" s="38"/>
      <c r="BF1897" s="38"/>
      <c r="BG1897" s="38"/>
      <c r="BH1897" s="38"/>
      <c r="BI1897" s="38"/>
      <c r="BJ1897" s="38"/>
      <c r="BK1897" s="38"/>
      <c r="BL1897" s="38"/>
      <c r="BM1897" s="38"/>
      <c r="BN1897" s="38"/>
      <c r="BO1897" s="38"/>
      <c r="BP1897" s="38"/>
      <c r="BQ1897" s="38"/>
    </row>
    <row r="1898">
      <c r="A1898" s="58" t="s">
        <v>5208</v>
      </c>
      <c r="B1898" s="59">
        <v>43371.0</v>
      </c>
      <c r="C1898" s="59">
        <v>43370.0</v>
      </c>
      <c r="D1898" s="60" t="s">
        <v>5178</v>
      </c>
      <c r="E1898" s="58" t="s">
        <v>31</v>
      </c>
      <c r="F1898" s="58">
        <v>1.0</v>
      </c>
      <c r="G1898" s="58" t="s">
        <v>32</v>
      </c>
      <c r="H1898" s="33">
        <f t="shared" si="287"/>
        <v>1</v>
      </c>
      <c r="I1898" s="58" t="s">
        <v>33</v>
      </c>
      <c r="J1898" s="58" t="s">
        <v>147</v>
      </c>
      <c r="K1898" s="58">
        <v>1.0</v>
      </c>
      <c r="L1898" s="58" t="s">
        <v>99</v>
      </c>
      <c r="M1898" s="61" t="s">
        <v>5209</v>
      </c>
      <c r="N1898" s="77"/>
      <c r="O1898" s="58"/>
      <c r="P1898" s="62"/>
      <c r="Q1898" s="84"/>
      <c r="R1898" s="62"/>
      <c r="S1898" s="37" t="str">
        <f>IFERROR(__xludf.DUMMYFUNCTION("if(not(iserror(index(split(C1898, "" ""),2))), index(split(C1898, "" ""),1),"""")"),"September")</f>
        <v>September</v>
      </c>
      <c r="T1898" s="38">
        <f>IFERROR(__xludf.DUMMYFUNCTION("if(S1898="""",C1898,if(not(iserror(index(split(C1898, "" ""),3))), index(split(C1898, "" ""),3),index(split(C1898, "" ""),2)))"),2018.0)</f>
        <v>2018</v>
      </c>
      <c r="U1898" s="38" t="b">
        <f t="shared" si="284"/>
        <v>0</v>
      </c>
      <c r="V1898" s="38"/>
      <c r="W1898" s="40"/>
      <c r="X1898" s="40"/>
      <c r="Y1898" s="40"/>
      <c r="Z1898" s="38"/>
      <c r="AA1898" s="38"/>
      <c r="AB1898" s="38"/>
      <c r="AC1898" s="38"/>
      <c r="AD1898" s="38"/>
      <c r="AE1898" s="38"/>
      <c r="AF1898" s="38"/>
      <c r="AG1898" s="38"/>
      <c r="AH1898" s="38"/>
      <c r="AI1898" s="38"/>
      <c r="AJ1898" s="38"/>
      <c r="AK1898" s="38"/>
      <c r="AL1898" s="38"/>
      <c r="AM1898" s="38"/>
      <c r="AN1898" s="38"/>
      <c r="AO1898" s="38"/>
      <c r="AP1898" s="38"/>
      <c r="AQ1898" s="38"/>
      <c r="AR1898" s="38"/>
      <c r="AS1898" s="38"/>
      <c r="AT1898" s="38"/>
      <c r="AU1898" s="38"/>
      <c r="AV1898" s="38"/>
      <c r="AW1898" s="38"/>
      <c r="AX1898" s="38"/>
      <c r="AY1898" s="38"/>
      <c r="AZ1898" s="38"/>
      <c r="BA1898" s="38"/>
      <c r="BB1898" s="38"/>
      <c r="BC1898" s="38"/>
      <c r="BD1898" s="38"/>
      <c r="BE1898" s="38"/>
      <c r="BF1898" s="38"/>
      <c r="BG1898" s="38"/>
      <c r="BH1898" s="38"/>
      <c r="BI1898" s="38"/>
      <c r="BJ1898" s="38"/>
      <c r="BK1898" s="38"/>
      <c r="BL1898" s="38"/>
      <c r="BM1898" s="38"/>
      <c r="BN1898" s="38"/>
      <c r="BO1898" s="38"/>
      <c r="BP1898" s="38"/>
      <c r="BQ1898" s="38"/>
    </row>
    <row r="1899">
      <c r="A1899" s="58" t="s">
        <v>5210</v>
      </c>
      <c r="B1899" s="59">
        <v>43371.0</v>
      </c>
      <c r="C1899" s="59">
        <v>43371.0</v>
      </c>
      <c r="D1899" s="60" t="s">
        <v>5211</v>
      </c>
      <c r="E1899" s="58" t="s">
        <v>41</v>
      </c>
      <c r="F1899" s="58">
        <v>1.0</v>
      </c>
      <c r="G1899" s="58" t="s">
        <v>32</v>
      </c>
      <c r="H1899" s="33">
        <f t="shared" si="287"/>
        <v>1</v>
      </c>
      <c r="I1899" s="58" t="s">
        <v>33</v>
      </c>
      <c r="J1899" s="58" t="s">
        <v>283</v>
      </c>
      <c r="K1899" s="58">
        <v>2.0</v>
      </c>
      <c r="L1899" s="58" t="s">
        <v>76</v>
      </c>
      <c r="M1899" s="61" t="s">
        <v>5212</v>
      </c>
      <c r="N1899" s="80"/>
      <c r="O1899" s="88" t="str">
        <f>hyperlink("https://bad-boys.us/?q=D-NV/2:18-mj-00836", "D-NV 2:18-mj-00836")</f>
        <v>D-NV 2:18-mj-00836</v>
      </c>
      <c r="P1899" s="88" t="s">
        <v>5213</v>
      </c>
      <c r="Q1899" s="58">
        <v>1.0</v>
      </c>
      <c r="R1899" s="62"/>
      <c r="S1899" s="37" t="str">
        <f>IFERROR(__xludf.DUMMYFUNCTION("if(not(iserror(index(split(C1899, "" ""),2))), index(split(C1899, "" ""),1),"""")"),"September")</f>
        <v>September</v>
      </c>
      <c r="T1899" s="38">
        <f>IFERROR(__xludf.DUMMYFUNCTION("if(S1899="""",C1899,if(not(iserror(index(split(C1899, "" ""),3))), index(split(C1899, "" ""),3),index(split(C1899, "" ""),2)))"),2018.0)</f>
        <v>2018</v>
      </c>
      <c r="U1899" s="38" t="b">
        <f t="shared" si="284"/>
        <v>0</v>
      </c>
      <c r="V1899" s="38"/>
      <c r="W1899" s="40"/>
      <c r="X1899" s="40"/>
      <c r="Y1899" s="40"/>
      <c r="Z1899" s="38"/>
      <c r="AA1899" s="38"/>
      <c r="AB1899" s="38"/>
      <c r="AC1899" s="38"/>
      <c r="AD1899" s="38"/>
      <c r="AE1899" s="38"/>
      <c r="AF1899" s="38"/>
      <c r="AG1899" s="38"/>
      <c r="AH1899" s="38"/>
      <c r="AI1899" s="38"/>
      <c r="AJ1899" s="38"/>
      <c r="AK1899" s="38"/>
      <c r="AL1899" s="38"/>
      <c r="AM1899" s="38"/>
      <c r="AN1899" s="38"/>
      <c r="AO1899" s="38"/>
      <c r="AP1899" s="38"/>
      <c r="AQ1899" s="38"/>
      <c r="AR1899" s="38"/>
      <c r="AS1899" s="38"/>
      <c r="AT1899" s="38"/>
      <c r="AU1899" s="38"/>
      <c r="AV1899" s="38"/>
      <c r="AW1899" s="38"/>
      <c r="AX1899" s="38"/>
      <c r="AY1899" s="38"/>
      <c r="AZ1899" s="38"/>
      <c r="BA1899" s="38"/>
      <c r="BB1899" s="38"/>
      <c r="BC1899" s="38"/>
      <c r="BD1899" s="38"/>
      <c r="BE1899" s="38"/>
      <c r="BF1899" s="38"/>
      <c r="BG1899" s="38"/>
      <c r="BH1899" s="38"/>
      <c r="BI1899" s="38"/>
      <c r="BJ1899" s="38"/>
      <c r="BK1899" s="38"/>
      <c r="BL1899" s="38"/>
      <c r="BM1899" s="38"/>
      <c r="BN1899" s="38"/>
      <c r="BO1899" s="38"/>
      <c r="BP1899" s="38"/>
      <c r="BQ1899" s="38"/>
    </row>
    <row r="1900">
      <c r="A1900" s="259" t="s">
        <v>5214</v>
      </c>
      <c r="B1900" s="59">
        <v>43371.0</v>
      </c>
      <c r="C1900" s="59">
        <v>43371.0</v>
      </c>
      <c r="D1900" s="60" t="s">
        <v>5211</v>
      </c>
      <c r="E1900" s="58" t="s">
        <v>31</v>
      </c>
      <c r="F1900" s="58">
        <v>2.0</v>
      </c>
      <c r="G1900" s="58" t="s">
        <v>32</v>
      </c>
      <c r="H1900" s="33">
        <f t="shared" si="287"/>
        <v>1</v>
      </c>
      <c r="I1900" s="58" t="s">
        <v>33</v>
      </c>
      <c r="J1900" s="58" t="s">
        <v>47</v>
      </c>
      <c r="K1900" s="58">
        <v>1.0</v>
      </c>
      <c r="L1900" s="58" t="s">
        <v>35</v>
      </c>
      <c r="M1900" s="61" t="s">
        <v>5215</v>
      </c>
      <c r="N1900" s="80"/>
      <c r="O1900" s="58"/>
      <c r="P1900" s="58"/>
      <c r="Q1900" s="84"/>
      <c r="R1900" s="62"/>
      <c r="S1900" s="37" t="str">
        <f>IFERROR(__xludf.DUMMYFUNCTION("if(not(iserror(index(split(C1900, "" ""),2))), index(split(C1900, "" ""),1),"""")"),"September")</f>
        <v>September</v>
      </c>
      <c r="T1900" s="38">
        <f>IFERROR(__xludf.DUMMYFUNCTION("if(S1900="""",C1900,if(not(iserror(index(split(C1900, "" ""),3))), index(split(C1900, "" ""),3),index(split(C1900, "" ""),2)))"),2018.0)</f>
        <v>2018</v>
      </c>
      <c r="U1900" s="38" t="b">
        <f t="shared" si="284"/>
        <v>0</v>
      </c>
      <c r="V1900" s="38"/>
      <c r="W1900" s="40"/>
      <c r="X1900" s="40"/>
      <c r="Y1900" s="40"/>
      <c r="Z1900" s="38"/>
      <c r="AA1900" s="38"/>
      <c r="AB1900" s="38"/>
      <c r="AC1900" s="38"/>
      <c r="AD1900" s="38"/>
      <c r="AE1900" s="38"/>
      <c r="AF1900" s="38"/>
      <c r="AG1900" s="38"/>
      <c r="AH1900" s="38"/>
      <c r="AI1900" s="38"/>
      <c r="AJ1900" s="38"/>
      <c r="AK1900" s="38"/>
      <c r="AL1900" s="38"/>
      <c r="AM1900" s="38"/>
      <c r="AN1900" s="38"/>
      <c r="AO1900" s="38"/>
      <c r="AP1900" s="38"/>
      <c r="AQ1900" s="38"/>
      <c r="AR1900" s="38"/>
      <c r="AS1900" s="38"/>
      <c r="AT1900" s="38"/>
      <c r="AU1900" s="38"/>
      <c r="AV1900" s="38"/>
      <c r="AW1900" s="38"/>
      <c r="AX1900" s="38"/>
      <c r="AY1900" s="38"/>
      <c r="AZ1900" s="38"/>
      <c r="BA1900" s="38"/>
      <c r="BB1900" s="38"/>
      <c r="BC1900" s="38"/>
      <c r="BD1900" s="38"/>
      <c r="BE1900" s="38"/>
      <c r="BF1900" s="38"/>
      <c r="BG1900" s="38"/>
      <c r="BH1900" s="38"/>
      <c r="BI1900" s="38"/>
      <c r="BJ1900" s="38"/>
      <c r="BK1900" s="38"/>
      <c r="BL1900" s="38"/>
      <c r="BM1900" s="38"/>
      <c r="BN1900" s="38"/>
      <c r="BO1900" s="38"/>
      <c r="BP1900" s="38"/>
      <c r="BQ1900" s="38"/>
    </row>
    <row r="1901">
      <c r="A1901" s="58" t="s">
        <v>239</v>
      </c>
      <c r="B1901" s="59">
        <v>43372.0</v>
      </c>
      <c r="C1901" s="59">
        <v>43372.0</v>
      </c>
      <c r="D1901" s="60" t="s">
        <v>5216</v>
      </c>
      <c r="E1901" s="58" t="s">
        <v>41</v>
      </c>
      <c r="F1901" s="58">
        <v>1.0</v>
      </c>
      <c r="G1901" s="58">
        <v>13.0</v>
      </c>
      <c r="H1901" s="33">
        <f t="shared" si="287"/>
        <v>13</v>
      </c>
      <c r="I1901" s="58" t="s">
        <v>33</v>
      </c>
      <c r="J1901" s="58" t="s">
        <v>147</v>
      </c>
      <c r="K1901" s="58">
        <v>1.0</v>
      </c>
      <c r="L1901" s="58" t="s">
        <v>194</v>
      </c>
      <c r="M1901" s="61" t="s">
        <v>5217</v>
      </c>
      <c r="N1901" s="80"/>
      <c r="O1901" s="62"/>
      <c r="P1901" s="62"/>
      <c r="Q1901" s="62"/>
      <c r="R1901" s="62"/>
      <c r="S1901" s="37" t="str">
        <f>IFERROR(__xludf.DUMMYFUNCTION("if(not(iserror(index(split(C1901, "" ""),2))), index(split(C1901, "" ""),1),"""")"),"September")</f>
        <v>September</v>
      </c>
      <c r="T1901" s="38">
        <f>IFERROR(__xludf.DUMMYFUNCTION("if(S1901="""",C1901,if(not(iserror(index(split(C1901, "" ""),3))), index(split(C1901, "" ""),3),index(split(C1901, "" ""),2)))"),2018.0)</f>
        <v>2018</v>
      </c>
      <c r="U1901" s="38" t="b">
        <f t="shared" si="284"/>
        <v>1</v>
      </c>
      <c r="V1901" s="38"/>
      <c r="W1901" s="40"/>
      <c r="X1901" s="40"/>
      <c r="Y1901" s="40"/>
      <c r="Z1901" s="38"/>
      <c r="AA1901" s="38"/>
      <c r="AB1901" s="38"/>
      <c r="AC1901" s="38"/>
      <c r="AD1901" s="38"/>
      <c r="AE1901" s="38"/>
      <c r="AF1901" s="38"/>
      <c r="AG1901" s="38"/>
      <c r="AH1901" s="38"/>
      <c r="AI1901" s="38"/>
      <c r="AJ1901" s="38"/>
      <c r="AK1901" s="38"/>
      <c r="AL1901" s="38"/>
      <c r="AM1901" s="38"/>
      <c r="AN1901" s="38"/>
      <c r="AO1901" s="38"/>
      <c r="AP1901" s="38"/>
      <c r="AQ1901" s="38"/>
      <c r="AR1901" s="38"/>
      <c r="AS1901" s="38"/>
      <c r="AT1901" s="38"/>
      <c r="AU1901" s="38"/>
      <c r="AV1901" s="38"/>
      <c r="AW1901" s="38"/>
      <c r="AX1901" s="38"/>
      <c r="AY1901" s="38"/>
      <c r="AZ1901" s="38"/>
      <c r="BA1901" s="38"/>
      <c r="BB1901" s="38"/>
      <c r="BC1901" s="38"/>
      <c r="BD1901" s="38"/>
      <c r="BE1901" s="38"/>
      <c r="BF1901" s="38"/>
      <c r="BG1901" s="38"/>
      <c r="BH1901" s="38"/>
      <c r="BI1901" s="38"/>
      <c r="BJ1901" s="38"/>
      <c r="BK1901" s="38"/>
      <c r="BL1901" s="38"/>
      <c r="BM1901" s="38"/>
      <c r="BN1901" s="38"/>
      <c r="BO1901" s="38"/>
      <c r="BP1901" s="38"/>
      <c r="BQ1901" s="38"/>
    </row>
    <row r="1902">
      <c r="A1902" s="58" t="s">
        <v>5218</v>
      </c>
      <c r="B1902" s="59">
        <v>43374.0</v>
      </c>
      <c r="C1902" s="59">
        <v>43372.0</v>
      </c>
      <c r="D1902" s="60" t="s">
        <v>5159</v>
      </c>
      <c r="E1902" s="58" t="s">
        <v>31</v>
      </c>
      <c r="F1902" s="58">
        <v>1.0</v>
      </c>
      <c r="G1902" s="58" t="s">
        <v>32</v>
      </c>
      <c r="H1902" s="33">
        <f t="shared" si="287"/>
        <v>1</v>
      </c>
      <c r="I1902" s="58" t="s">
        <v>33</v>
      </c>
      <c r="J1902" s="58" t="s">
        <v>288</v>
      </c>
      <c r="K1902" s="58">
        <v>1.0</v>
      </c>
      <c r="L1902" s="58" t="s">
        <v>52</v>
      </c>
      <c r="M1902" s="61" t="s">
        <v>5219</v>
      </c>
      <c r="N1902" s="77"/>
      <c r="O1902" s="62"/>
      <c r="P1902" s="62"/>
      <c r="Q1902" s="62"/>
      <c r="R1902" s="62"/>
      <c r="S1902" s="37" t="str">
        <f>IFERROR(__xludf.DUMMYFUNCTION("if(not(iserror(index(split(C1902, "" ""),2))), index(split(C1902, "" ""),1),"""")"),"September")</f>
        <v>September</v>
      </c>
      <c r="T1902" s="38">
        <f>IFERROR(__xludf.DUMMYFUNCTION("if(S1902="""",C1902,if(not(iserror(index(split(C1902, "" ""),3))), index(split(C1902, "" ""),3),index(split(C1902, "" ""),2)))"),2018.0)</f>
        <v>2018</v>
      </c>
      <c r="U1902" s="38" t="b">
        <f t="shared" si="284"/>
        <v>0</v>
      </c>
      <c r="V1902" s="38"/>
      <c r="W1902" s="40"/>
      <c r="X1902" s="40"/>
      <c r="Y1902" s="40"/>
      <c r="Z1902" s="38"/>
      <c r="AA1902" s="38"/>
      <c r="AB1902" s="38"/>
      <c r="AC1902" s="38"/>
      <c r="AD1902" s="38"/>
      <c r="AE1902" s="38"/>
      <c r="AF1902" s="38"/>
      <c r="AG1902" s="38"/>
      <c r="AH1902" s="38"/>
      <c r="AI1902" s="38"/>
      <c r="AJ1902" s="38"/>
      <c r="AK1902" s="38"/>
      <c r="AL1902" s="38"/>
      <c r="AM1902" s="38"/>
      <c r="AN1902" s="38"/>
      <c r="AO1902" s="38"/>
      <c r="AP1902" s="38"/>
      <c r="AQ1902" s="38"/>
      <c r="AR1902" s="38"/>
      <c r="AS1902" s="38"/>
      <c r="AT1902" s="38"/>
      <c r="AU1902" s="38"/>
      <c r="AV1902" s="38"/>
      <c r="AW1902" s="38"/>
      <c r="AX1902" s="38"/>
      <c r="AY1902" s="38"/>
      <c r="AZ1902" s="38"/>
      <c r="BA1902" s="38"/>
      <c r="BB1902" s="38"/>
      <c r="BC1902" s="38"/>
      <c r="BD1902" s="38"/>
      <c r="BE1902" s="38"/>
      <c r="BF1902" s="38"/>
      <c r="BG1902" s="38"/>
      <c r="BH1902" s="38"/>
      <c r="BI1902" s="38"/>
      <c r="BJ1902" s="38"/>
      <c r="BK1902" s="38"/>
      <c r="BL1902" s="38"/>
      <c r="BM1902" s="38"/>
      <c r="BN1902" s="38"/>
      <c r="BO1902" s="38"/>
      <c r="BP1902" s="38"/>
      <c r="BQ1902" s="38"/>
    </row>
    <row r="1903">
      <c r="A1903" s="58" t="s">
        <v>239</v>
      </c>
      <c r="B1903" s="59">
        <v>43375.0</v>
      </c>
      <c r="C1903" s="59">
        <v>43372.0</v>
      </c>
      <c r="D1903" s="60" t="s">
        <v>5216</v>
      </c>
      <c r="E1903" s="58" t="s">
        <v>41</v>
      </c>
      <c r="F1903" s="58">
        <v>1.0</v>
      </c>
      <c r="G1903" s="58" t="s">
        <v>32</v>
      </c>
      <c r="H1903" s="33">
        <f t="shared" si="287"/>
        <v>1</v>
      </c>
      <c r="I1903" s="58" t="s">
        <v>33</v>
      </c>
      <c r="J1903" s="58" t="s">
        <v>241</v>
      </c>
      <c r="K1903" s="58">
        <v>1.0</v>
      </c>
      <c r="L1903" s="58" t="s">
        <v>194</v>
      </c>
      <c r="M1903" s="61" t="s">
        <v>5220</v>
      </c>
      <c r="N1903" s="61" t="s">
        <v>5221</v>
      </c>
      <c r="O1903" s="62"/>
      <c r="P1903" s="62"/>
      <c r="Q1903" s="62"/>
      <c r="R1903" s="62"/>
      <c r="S1903" s="37" t="str">
        <f>IFERROR(__xludf.DUMMYFUNCTION("if(not(iserror(index(split(C1903, "" ""),2))), index(split(C1903, "" ""),1),"""")"),"September")</f>
        <v>September</v>
      </c>
      <c r="T1903" s="38">
        <f>IFERROR(__xludf.DUMMYFUNCTION("if(S1903="""",C1903,if(not(iserror(index(split(C1903, "" ""),3))), index(split(C1903, "" ""),3),index(split(C1903, "" ""),2)))"),2018.0)</f>
        <v>2018</v>
      </c>
      <c r="U1903" s="38" t="b">
        <f t="shared" si="284"/>
        <v>1</v>
      </c>
      <c r="V1903" s="38"/>
      <c r="W1903" s="40"/>
      <c r="X1903" s="40"/>
      <c r="Y1903" s="40"/>
      <c r="Z1903" s="38"/>
      <c r="AA1903" s="38"/>
      <c r="AB1903" s="38"/>
      <c r="AC1903" s="38"/>
      <c r="AD1903" s="38"/>
      <c r="AE1903" s="38"/>
      <c r="AF1903" s="38"/>
      <c r="AG1903" s="38"/>
      <c r="AH1903" s="38"/>
      <c r="AI1903" s="38"/>
      <c r="AJ1903" s="38"/>
      <c r="AK1903" s="38"/>
      <c r="AL1903" s="38"/>
      <c r="AM1903" s="38"/>
      <c r="AN1903" s="38"/>
      <c r="AO1903" s="38"/>
      <c r="AP1903" s="38"/>
      <c r="AQ1903" s="38"/>
      <c r="AR1903" s="38"/>
      <c r="AS1903" s="38"/>
      <c r="AT1903" s="38"/>
      <c r="AU1903" s="38"/>
      <c r="AV1903" s="38"/>
      <c r="AW1903" s="38"/>
      <c r="AX1903" s="38"/>
      <c r="AY1903" s="38"/>
      <c r="AZ1903" s="38"/>
      <c r="BA1903" s="38"/>
      <c r="BB1903" s="38"/>
      <c r="BC1903" s="38"/>
      <c r="BD1903" s="38"/>
      <c r="BE1903" s="38"/>
      <c r="BF1903" s="38"/>
      <c r="BG1903" s="38"/>
      <c r="BH1903" s="38"/>
      <c r="BI1903" s="38"/>
      <c r="BJ1903" s="38"/>
      <c r="BK1903" s="38"/>
      <c r="BL1903" s="38"/>
      <c r="BM1903" s="38"/>
      <c r="BN1903" s="38"/>
      <c r="BO1903" s="38"/>
      <c r="BP1903" s="38"/>
      <c r="BQ1903" s="38"/>
    </row>
    <row r="1904">
      <c r="A1904" s="58" t="s">
        <v>239</v>
      </c>
      <c r="B1904" s="59">
        <v>43375.0</v>
      </c>
      <c r="C1904" s="59">
        <v>43372.0</v>
      </c>
      <c r="D1904" s="60" t="s">
        <v>5216</v>
      </c>
      <c r="E1904" s="58" t="s">
        <v>41</v>
      </c>
      <c r="F1904" s="58">
        <v>3.0</v>
      </c>
      <c r="G1904" s="58">
        <v>3.0</v>
      </c>
      <c r="H1904" s="33">
        <f t="shared" si="287"/>
        <v>3</v>
      </c>
      <c r="I1904" s="58" t="s">
        <v>33</v>
      </c>
      <c r="J1904" s="58" t="s">
        <v>147</v>
      </c>
      <c r="K1904" s="58">
        <v>1.0</v>
      </c>
      <c r="L1904" s="58" t="s">
        <v>194</v>
      </c>
      <c r="M1904" s="61" t="s">
        <v>5222</v>
      </c>
      <c r="N1904" s="77"/>
      <c r="O1904" s="62"/>
      <c r="P1904" s="62"/>
      <c r="Q1904" s="62"/>
      <c r="R1904" s="62"/>
      <c r="S1904" s="37" t="str">
        <f>IFERROR(__xludf.DUMMYFUNCTION("if(not(iserror(index(split(C1904, "" ""),2))), index(split(C1904, "" ""),1),"""")"),"September")</f>
        <v>September</v>
      </c>
      <c r="T1904" s="38">
        <f>IFERROR(__xludf.DUMMYFUNCTION("if(S1904="""",C1904,if(not(iserror(index(split(C1904, "" ""),3))), index(split(C1904, "" ""),3),index(split(C1904, "" ""),2)))"),2018.0)</f>
        <v>2018</v>
      </c>
      <c r="U1904" s="38" t="b">
        <f t="shared" si="284"/>
        <v>1</v>
      </c>
      <c r="V1904" s="38"/>
      <c r="W1904" s="40"/>
      <c r="X1904" s="40"/>
      <c r="Y1904" s="40"/>
      <c r="Z1904" s="38"/>
      <c r="AA1904" s="38"/>
      <c r="AB1904" s="38"/>
      <c r="AC1904" s="38"/>
      <c r="AD1904" s="38"/>
      <c r="AE1904" s="38"/>
      <c r="AF1904" s="38"/>
      <c r="AG1904" s="38"/>
      <c r="AH1904" s="38"/>
      <c r="AI1904" s="38"/>
      <c r="AJ1904" s="38"/>
      <c r="AK1904" s="38"/>
      <c r="AL1904" s="38"/>
      <c r="AM1904" s="38"/>
      <c r="AN1904" s="38"/>
      <c r="AO1904" s="38"/>
      <c r="AP1904" s="38"/>
      <c r="AQ1904" s="38"/>
      <c r="AR1904" s="38"/>
      <c r="AS1904" s="38"/>
      <c r="AT1904" s="38"/>
      <c r="AU1904" s="38"/>
      <c r="AV1904" s="38"/>
      <c r="AW1904" s="38"/>
      <c r="AX1904" s="38"/>
      <c r="AY1904" s="38"/>
      <c r="AZ1904" s="38"/>
      <c r="BA1904" s="38"/>
      <c r="BB1904" s="38"/>
      <c r="BC1904" s="38"/>
      <c r="BD1904" s="38"/>
      <c r="BE1904" s="38"/>
      <c r="BF1904" s="38"/>
      <c r="BG1904" s="38"/>
      <c r="BH1904" s="38"/>
      <c r="BI1904" s="38"/>
      <c r="BJ1904" s="38"/>
      <c r="BK1904" s="38"/>
      <c r="BL1904" s="38"/>
      <c r="BM1904" s="38"/>
      <c r="BN1904" s="38"/>
      <c r="BO1904" s="38"/>
      <c r="BP1904" s="38"/>
      <c r="BQ1904" s="38"/>
    </row>
    <row r="1905">
      <c r="A1905" s="58" t="s">
        <v>239</v>
      </c>
      <c r="B1905" s="59">
        <v>43378.0</v>
      </c>
      <c r="C1905" s="59">
        <v>43372.0</v>
      </c>
      <c r="D1905" s="60" t="s">
        <v>5216</v>
      </c>
      <c r="E1905" s="58" t="s">
        <v>41</v>
      </c>
      <c r="F1905" s="58">
        <v>1.0</v>
      </c>
      <c r="G1905" s="58">
        <v>2.0</v>
      </c>
      <c r="H1905" s="33">
        <f t="shared" si="287"/>
        <v>2</v>
      </c>
      <c r="I1905" s="58" t="s">
        <v>33</v>
      </c>
      <c r="J1905" s="58" t="s">
        <v>147</v>
      </c>
      <c r="K1905" s="58">
        <v>1.0</v>
      </c>
      <c r="L1905" s="58" t="s">
        <v>194</v>
      </c>
      <c r="M1905" s="61" t="s">
        <v>5223</v>
      </c>
      <c r="N1905" s="77"/>
      <c r="O1905" s="62"/>
      <c r="P1905" s="62"/>
      <c r="Q1905" s="62"/>
      <c r="R1905" s="62"/>
      <c r="S1905" s="37" t="str">
        <f>IFERROR(__xludf.DUMMYFUNCTION("if(not(iserror(index(split(C1905, "" ""),2))), index(split(C1905, "" ""),1),"""")"),"September")</f>
        <v>September</v>
      </c>
      <c r="T1905" s="38">
        <f>IFERROR(__xludf.DUMMYFUNCTION("if(S1905="""",C1905,if(not(iserror(index(split(C1905, "" ""),3))), index(split(C1905, "" ""),3),index(split(C1905, "" ""),2)))"),2018.0)</f>
        <v>2018</v>
      </c>
      <c r="U1905" s="38" t="b">
        <f t="shared" si="284"/>
        <v>1</v>
      </c>
      <c r="V1905" s="38"/>
      <c r="W1905" s="40"/>
      <c r="X1905" s="40"/>
      <c r="Y1905" s="40"/>
      <c r="Z1905" s="38"/>
      <c r="AA1905" s="38"/>
      <c r="AB1905" s="38"/>
      <c r="AC1905" s="38"/>
      <c r="AD1905" s="38"/>
      <c r="AE1905" s="38"/>
      <c r="AF1905" s="38"/>
      <c r="AG1905" s="38"/>
      <c r="AH1905" s="38"/>
      <c r="AI1905" s="38"/>
      <c r="AJ1905" s="38"/>
      <c r="AK1905" s="38"/>
      <c r="AL1905" s="38"/>
      <c r="AM1905" s="38"/>
      <c r="AN1905" s="38"/>
      <c r="AO1905" s="38"/>
      <c r="AP1905" s="38"/>
      <c r="AQ1905" s="38"/>
      <c r="AR1905" s="38"/>
      <c r="AS1905" s="38"/>
      <c r="AT1905" s="38"/>
      <c r="AU1905" s="38"/>
      <c r="AV1905" s="38"/>
      <c r="AW1905" s="38"/>
      <c r="AX1905" s="38"/>
      <c r="AY1905" s="38"/>
      <c r="AZ1905" s="38"/>
      <c r="BA1905" s="38"/>
      <c r="BB1905" s="38"/>
      <c r="BC1905" s="38"/>
      <c r="BD1905" s="38"/>
      <c r="BE1905" s="38"/>
      <c r="BF1905" s="38"/>
      <c r="BG1905" s="38"/>
      <c r="BH1905" s="38"/>
      <c r="BI1905" s="38"/>
      <c r="BJ1905" s="38"/>
      <c r="BK1905" s="38"/>
      <c r="BL1905" s="38"/>
      <c r="BM1905" s="38"/>
      <c r="BN1905" s="38"/>
      <c r="BO1905" s="38"/>
      <c r="BP1905" s="38"/>
      <c r="BQ1905" s="38"/>
    </row>
    <row r="1906">
      <c r="A1906" s="58" t="s">
        <v>5224</v>
      </c>
      <c r="B1906" s="59">
        <v>43373.0</v>
      </c>
      <c r="C1906" s="59">
        <v>43373.0</v>
      </c>
      <c r="D1906" s="60" t="s">
        <v>4916</v>
      </c>
      <c r="E1906" s="58" t="s">
        <v>41</v>
      </c>
      <c r="F1906" s="58">
        <v>1.0</v>
      </c>
      <c r="G1906" s="58" t="s">
        <v>32</v>
      </c>
      <c r="H1906" s="33">
        <f t="shared" si="287"/>
        <v>1</v>
      </c>
      <c r="I1906" s="58" t="s">
        <v>33</v>
      </c>
      <c r="J1906" s="58" t="s">
        <v>410</v>
      </c>
      <c r="K1906" s="58" t="s">
        <v>32</v>
      </c>
      <c r="L1906" s="58" t="s">
        <v>35</v>
      </c>
      <c r="M1906" s="61" t="s">
        <v>5225</v>
      </c>
      <c r="N1906" s="80"/>
      <c r="O1906" s="62"/>
      <c r="P1906" s="62"/>
      <c r="Q1906" s="62"/>
      <c r="R1906" s="62"/>
      <c r="S1906" s="37" t="str">
        <f>IFERROR(__xludf.DUMMYFUNCTION("if(not(iserror(index(split(C1906, "" ""),2))), index(split(C1906, "" ""),1),"""")"),"September")</f>
        <v>September</v>
      </c>
      <c r="T1906" s="38">
        <f>IFERROR(__xludf.DUMMYFUNCTION("if(S1906="""",C1906,if(not(iserror(index(split(C1906, "" ""),3))), index(split(C1906, "" ""),3),index(split(C1906, "" ""),2)))"),2018.0)</f>
        <v>2018</v>
      </c>
      <c r="U1906" s="38" t="b">
        <f t="shared" si="284"/>
        <v>0</v>
      </c>
      <c r="V1906" s="38"/>
      <c r="W1906" s="40"/>
      <c r="X1906" s="40"/>
      <c r="Y1906" s="40"/>
      <c r="Z1906" s="38"/>
      <c r="AA1906" s="38"/>
      <c r="AB1906" s="38"/>
      <c r="AC1906" s="38"/>
      <c r="AD1906" s="38"/>
      <c r="AE1906" s="38"/>
      <c r="AF1906" s="38"/>
      <c r="AG1906" s="38"/>
      <c r="AH1906" s="38"/>
      <c r="AI1906" s="38"/>
      <c r="AJ1906" s="38"/>
      <c r="AK1906" s="38"/>
      <c r="AL1906" s="38"/>
      <c r="AM1906" s="38"/>
      <c r="AN1906" s="38"/>
      <c r="AO1906" s="38"/>
      <c r="AP1906" s="38"/>
      <c r="AQ1906" s="38"/>
      <c r="AR1906" s="38"/>
      <c r="AS1906" s="38"/>
      <c r="AT1906" s="38"/>
      <c r="AU1906" s="38"/>
      <c r="AV1906" s="38"/>
      <c r="AW1906" s="38"/>
      <c r="AX1906" s="38"/>
      <c r="AY1906" s="38"/>
      <c r="AZ1906" s="38"/>
      <c r="BA1906" s="38"/>
      <c r="BB1906" s="38"/>
      <c r="BC1906" s="38"/>
      <c r="BD1906" s="38"/>
      <c r="BE1906" s="38"/>
      <c r="BF1906" s="38"/>
      <c r="BG1906" s="38"/>
      <c r="BH1906" s="38"/>
      <c r="BI1906" s="38"/>
      <c r="BJ1906" s="38"/>
      <c r="BK1906" s="38"/>
      <c r="BL1906" s="38"/>
      <c r="BM1906" s="38"/>
      <c r="BN1906" s="38"/>
      <c r="BO1906" s="38"/>
      <c r="BP1906" s="38"/>
      <c r="BQ1906" s="38"/>
    </row>
    <row r="1907">
      <c r="A1907" s="58" t="s">
        <v>239</v>
      </c>
      <c r="B1907" s="59">
        <v>43375.0</v>
      </c>
      <c r="C1907" s="59">
        <v>43373.0</v>
      </c>
      <c r="D1907" s="60" t="s">
        <v>4916</v>
      </c>
      <c r="E1907" s="58" t="s">
        <v>41</v>
      </c>
      <c r="F1907" s="58">
        <v>8.0</v>
      </c>
      <c r="G1907" s="58" t="s">
        <v>32</v>
      </c>
      <c r="H1907" s="33">
        <f t="shared" si="287"/>
        <v>1</v>
      </c>
      <c r="I1907" s="58" t="s">
        <v>33</v>
      </c>
      <c r="J1907" s="58" t="s">
        <v>147</v>
      </c>
      <c r="K1907" s="58">
        <v>1.0</v>
      </c>
      <c r="L1907" s="58" t="s">
        <v>194</v>
      </c>
      <c r="M1907" s="61" t="s">
        <v>5226</v>
      </c>
      <c r="N1907" s="77"/>
      <c r="O1907" s="62"/>
      <c r="P1907" s="62"/>
      <c r="Q1907" s="62"/>
      <c r="R1907" s="62"/>
      <c r="S1907" s="37" t="str">
        <f>IFERROR(__xludf.DUMMYFUNCTION("if(not(iserror(index(split(C1907, "" ""),2))), index(split(C1907, "" ""),1),"""")"),"September")</f>
        <v>September</v>
      </c>
      <c r="T1907" s="38">
        <f>IFERROR(__xludf.DUMMYFUNCTION("if(S1907="""",C1907,if(not(iserror(index(split(C1907, "" ""),3))), index(split(C1907, "" ""),3),index(split(C1907, "" ""),2)))"),2018.0)</f>
        <v>2018</v>
      </c>
      <c r="U1907" s="38" t="b">
        <f t="shared" si="284"/>
        <v>1</v>
      </c>
      <c r="V1907" s="38"/>
      <c r="W1907" s="40"/>
      <c r="X1907" s="40"/>
      <c r="Y1907" s="40"/>
      <c r="Z1907" s="38"/>
      <c r="AA1907" s="38"/>
      <c r="AB1907" s="38"/>
      <c r="AC1907" s="38"/>
      <c r="AD1907" s="38"/>
      <c r="AE1907" s="38"/>
      <c r="AF1907" s="38"/>
      <c r="AG1907" s="38"/>
      <c r="AH1907" s="38"/>
      <c r="AI1907" s="38"/>
      <c r="AJ1907" s="38"/>
      <c r="AK1907" s="38"/>
      <c r="AL1907" s="38"/>
      <c r="AM1907" s="38"/>
      <c r="AN1907" s="38"/>
      <c r="AO1907" s="38"/>
      <c r="AP1907" s="38"/>
      <c r="AQ1907" s="38"/>
      <c r="AR1907" s="38"/>
      <c r="AS1907" s="38"/>
      <c r="AT1907" s="38"/>
      <c r="AU1907" s="38"/>
      <c r="AV1907" s="38"/>
      <c r="AW1907" s="38"/>
      <c r="AX1907" s="38"/>
      <c r="AY1907" s="38"/>
      <c r="AZ1907" s="38"/>
      <c r="BA1907" s="38"/>
      <c r="BB1907" s="38"/>
      <c r="BC1907" s="38"/>
      <c r="BD1907" s="38"/>
      <c r="BE1907" s="38"/>
      <c r="BF1907" s="38"/>
      <c r="BG1907" s="38"/>
      <c r="BH1907" s="38"/>
      <c r="BI1907" s="38"/>
      <c r="BJ1907" s="38"/>
      <c r="BK1907" s="38"/>
      <c r="BL1907" s="38"/>
      <c r="BM1907" s="38"/>
      <c r="BN1907" s="38"/>
      <c r="BO1907" s="38"/>
      <c r="BP1907" s="38"/>
      <c r="BQ1907" s="38"/>
    </row>
    <row r="1908">
      <c r="A1908" s="58" t="s">
        <v>5227</v>
      </c>
      <c r="B1908" s="59">
        <v>43374.0</v>
      </c>
      <c r="C1908" s="59">
        <v>43374.0</v>
      </c>
      <c r="D1908" s="60" t="s">
        <v>5159</v>
      </c>
      <c r="E1908" s="58" t="s">
        <v>41</v>
      </c>
      <c r="F1908" s="58">
        <v>1.0</v>
      </c>
      <c r="G1908" s="58" t="s">
        <v>32</v>
      </c>
      <c r="H1908" s="33">
        <f t="shared" si="287"/>
        <v>1</v>
      </c>
      <c r="I1908" s="58" t="s">
        <v>33</v>
      </c>
      <c r="J1908" s="58" t="s">
        <v>93</v>
      </c>
      <c r="K1908" s="58">
        <v>2.0</v>
      </c>
      <c r="L1908" s="58" t="s">
        <v>119</v>
      </c>
      <c r="M1908" s="80" t="s">
        <v>5228</v>
      </c>
      <c r="N1908" s="77"/>
      <c r="O1908" s="58"/>
      <c r="P1908" s="62"/>
      <c r="Q1908" s="58"/>
      <c r="R1908" s="62"/>
      <c r="S1908" s="37" t="str">
        <f>IFERROR(__xludf.DUMMYFUNCTION("if(not(iserror(index(split(C1908, "" ""),2))), index(split(C1908, "" ""),1),"""")"),"October")</f>
        <v>October</v>
      </c>
      <c r="T1908" s="38">
        <f>IFERROR(__xludf.DUMMYFUNCTION("if(S1908="""",C1908,if(not(iserror(index(split(C1908, "" ""),3))), index(split(C1908, "" ""),3),index(split(C1908, "" ""),2)))"),2018.0)</f>
        <v>2018</v>
      </c>
      <c r="U1908" s="38" t="b">
        <f t="shared" si="284"/>
        <v>0</v>
      </c>
      <c r="V1908" s="38" t="s">
        <v>33</v>
      </c>
      <c r="W1908" s="40"/>
      <c r="X1908" s="40"/>
      <c r="Y1908" s="40"/>
      <c r="Z1908" s="38"/>
      <c r="AA1908" s="38"/>
      <c r="AB1908" s="38"/>
      <c r="AC1908" s="38"/>
      <c r="AD1908" s="38"/>
      <c r="AE1908" s="38"/>
      <c r="AF1908" s="38"/>
      <c r="AG1908" s="38"/>
      <c r="AH1908" s="38"/>
      <c r="AI1908" s="38"/>
      <c r="AJ1908" s="38"/>
      <c r="AK1908" s="38"/>
      <c r="AL1908" s="38"/>
      <c r="AM1908" s="38"/>
      <c r="AN1908" s="38"/>
      <c r="AO1908" s="38"/>
      <c r="AP1908" s="38"/>
      <c r="AQ1908" s="38"/>
      <c r="AR1908" s="38"/>
      <c r="AS1908" s="38"/>
      <c r="AT1908" s="38"/>
      <c r="AU1908" s="38"/>
      <c r="AV1908" s="38"/>
      <c r="AW1908" s="38"/>
      <c r="AX1908" s="38"/>
      <c r="AY1908" s="38"/>
      <c r="AZ1908" s="38"/>
      <c r="BA1908" s="38"/>
      <c r="BB1908" s="38"/>
      <c r="BC1908" s="38"/>
      <c r="BD1908" s="38"/>
      <c r="BE1908" s="38"/>
      <c r="BF1908" s="38"/>
      <c r="BG1908" s="38"/>
      <c r="BH1908" s="38"/>
      <c r="BI1908" s="38"/>
      <c r="BJ1908" s="38"/>
      <c r="BK1908" s="38"/>
      <c r="BL1908" s="38"/>
      <c r="BM1908" s="38"/>
      <c r="BN1908" s="38"/>
      <c r="BO1908" s="38"/>
      <c r="BP1908" s="38"/>
      <c r="BQ1908" s="38"/>
    </row>
    <row r="1909">
      <c r="A1909" s="260" t="s">
        <v>5229</v>
      </c>
      <c r="B1909" s="126">
        <v>43376.0</v>
      </c>
      <c r="C1909" s="195">
        <v>43374.0</v>
      </c>
      <c r="D1909" s="196" t="s">
        <v>4886</v>
      </c>
      <c r="E1909" s="124" t="s">
        <v>41</v>
      </c>
      <c r="F1909" s="198">
        <v>1.0</v>
      </c>
      <c r="G1909" s="124" t="s">
        <v>32</v>
      </c>
      <c r="H1909" s="231">
        <v>1.0</v>
      </c>
      <c r="I1909" s="124" t="s">
        <v>33</v>
      </c>
      <c r="J1909" s="124" t="s">
        <v>318</v>
      </c>
      <c r="K1909" s="198">
        <v>3.0</v>
      </c>
      <c r="L1909" s="124" t="s">
        <v>76</v>
      </c>
      <c r="M1909" s="242" t="s">
        <v>5230</v>
      </c>
      <c r="N1909" s="132"/>
      <c r="O1909" s="133"/>
      <c r="P1909" s="124"/>
      <c r="Q1909" s="198"/>
      <c r="R1909" s="133"/>
      <c r="S1909" s="37" t="str">
        <f>IFERROR(__xludf.DUMMYFUNCTION("if(not(iserror(index(split(C1909, "" ""),2))), index(split(C1909, "" ""),1),"""")"),"October,")</f>
        <v>October,</v>
      </c>
      <c r="T1909" s="38">
        <f>IFERROR(__xludf.DUMMYFUNCTION("if(S1909="""",C1909,if(not(iserror(index(split(C1909, "" ""),3))), index(split(C1909, "" ""),3),index(split(C1909, "" ""),2)))"),2018.0)</f>
        <v>2018</v>
      </c>
      <c r="U1909" s="38" t="b">
        <f t="shared" si="284"/>
        <v>0</v>
      </c>
      <c r="V1909" s="134"/>
      <c r="W1909" s="136"/>
      <c r="X1909" s="136"/>
      <c r="Y1909" s="136"/>
      <c r="Z1909" s="134"/>
      <c r="AA1909" s="134"/>
      <c r="AB1909" s="134"/>
      <c r="AC1909" s="134"/>
      <c r="AD1909" s="134"/>
      <c r="AE1909" s="134"/>
      <c r="AF1909" s="134"/>
      <c r="AG1909" s="134"/>
      <c r="AH1909" s="134"/>
      <c r="AI1909" s="134"/>
      <c r="AJ1909" s="134"/>
      <c r="AK1909" s="134"/>
      <c r="AL1909" s="134"/>
      <c r="AM1909" s="134"/>
      <c r="AN1909" s="134"/>
      <c r="AO1909" s="134"/>
      <c r="AP1909" s="134"/>
      <c r="AQ1909" s="134"/>
      <c r="AR1909" s="134"/>
      <c r="AS1909" s="134"/>
      <c r="AT1909" s="134"/>
      <c r="AU1909" s="134"/>
      <c r="AV1909" s="134"/>
      <c r="AW1909" s="134"/>
      <c r="AX1909" s="134"/>
      <c r="AY1909" s="134"/>
      <c r="AZ1909" s="134"/>
      <c r="BA1909" s="134"/>
      <c r="BB1909" s="134"/>
      <c r="BC1909" s="134"/>
      <c r="BD1909" s="134"/>
      <c r="BE1909" s="134"/>
      <c r="BF1909" s="134"/>
      <c r="BG1909" s="134"/>
      <c r="BH1909" s="134"/>
      <c r="BI1909" s="134"/>
      <c r="BJ1909" s="134"/>
      <c r="BK1909" s="134"/>
      <c r="BL1909" s="134"/>
      <c r="BM1909" s="134"/>
      <c r="BN1909" s="134"/>
      <c r="BO1909" s="134"/>
      <c r="BP1909" s="134"/>
      <c r="BQ1909" s="134"/>
    </row>
    <row r="1910">
      <c r="A1910" s="256" t="s">
        <v>5231</v>
      </c>
      <c r="B1910" s="59">
        <v>43376.0</v>
      </c>
      <c r="C1910" s="79">
        <v>43374.0</v>
      </c>
      <c r="D1910" s="60" t="s">
        <v>4886</v>
      </c>
      <c r="E1910" s="58" t="s">
        <v>41</v>
      </c>
      <c r="F1910" s="58">
        <v>1.0</v>
      </c>
      <c r="G1910" s="58" t="s">
        <v>32</v>
      </c>
      <c r="H1910" s="50">
        <v>1.0</v>
      </c>
      <c r="I1910" s="58" t="s">
        <v>33</v>
      </c>
      <c r="J1910" s="58" t="s">
        <v>268</v>
      </c>
      <c r="K1910" s="58" t="s">
        <v>32</v>
      </c>
      <c r="L1910" s="58" t="s">
        <v>807</v>
      </c>
      <c r="M1910" s="61" t="s">
        <v>5232</v>
      </c>
      <c r="N1910" s="80"/>
      <c r="O1910" s="62"/>
      <c r="P1910" s="62"/>
      <c r="Q1910" s="58"/>
      <c r="R1910" s="62"/>
      <c r="S1910" s="37" t="str">
        <f>IFERROR(__xludf.DUMMYFUNCTION("if(not(iserror(index(split(C1910, "" ""),2))), index(split(C1910, "" ""),1),"""")"),"October,")</f>
        <v>October,</v>
      </c>
      <c r="T1910" s="38">
        <f>IFERROR(__xludf.DUMMYFUNCTION("if(S1910="""",C1910,if(not(iserror(index(split(C1910, "" ""),3))), index(split(C1910, "" ""),3),index(split(C1910, "" ""),2)))"),2018.0)</f>
        <v>2018</v>
      </c>
      <c r="U1910" s="38" t="b">
        <f t="shared" si="284"/>
        <v>0</v>
      </c>
      <c r="V1910" s="38"/>
      <c r="W1910" s="40"/>
      <c r="X1910" s="40"/>
      <c r="Y1910" s="40"/>
      <c r="Z1910" s="38"/>
      <c r="AA1910" s="38"/>
      <c r="AB1910" s="38"/>
      <c r="AC1910" s="38"/>
      <c r="AD1910" s="38"/>
      <c r="AE1910" s="38"/>
      <c r="AF1910" s="38"/>
      <c r="AG1910" s="38"/>
      <c r="AH1910" s="38"/>
      <c r="AI1910" s="38"/>
      <c r="AJ1910" s="38"/>
      <c r="AK1910" s="38"/>
      <c r="AL1910" s="38"/>
      <c r="AM1910" s="38"/>
      <c r="AN1910" s="38"/>
      <c r="AO1910" s="38"/>
      <c r="AP1910" s="38"/>
      <c r="AQ1910" s="38"/>
      <c r="AR1910" s="38"/>
      <c r="AS1910" s="38"/>
      <c r="AT1910" s="38"/>
      <c r="AU1910" s="38"/>
      <c r="AV1910" s="38"/>
      <c r="AW1910" s="38"/>
      <c r="AX1910" s="38"/>
      <c r="AY1910" s="38"/>
      <c r="AZ1910" s="38"/>
      <c r="BA1910" s="38"/>
      <c r="BB1910" s="38"/>
      <c r="BC1910" s="38"/>
      <c r="BD1910" s="38"/>
      <c r="BE1910" s="38"/>
      <c r="BF1910" s="38"/>
      <c r="BG1910" s="38"/>
      <c r="BH1910" s="38"/>
      <c r="BI1910" s="38"/>
      <c r="BJ1910" s="38"/>
      <c r="BK1910" s="38"/>
      <c r="BL1910" s="38"/>
      <c r="BM1910" s="38"/>
      <c r="BN1910" s="38"/>
      <c r="BO1910" s="38"/>
      <c r="BP1910" s="38"/>
      <c r="BQ1910" s="38"/>
    </row>
    <row r="1911">
      <c r="A1911" s="256" t="s">
        <v>5233</v>
      </c>
      <c r="B1911" s="59"/>
      <c r="C1911" s="79">
        <v>43374.0</v>
      </c>
      <c r="D1911" s="60"/>
      <c r="E1911" s="58" t="s">
        <v>41</v>
      </c>
      <c r="F1911" s="58">
        <v>1.0</v>
      </c>
      <c r="G1911" s="58" t="s">
        <v>32</v>
      </c>
      <c r="H1911" s="50">
        <v>1.0</v>
      </c>
      <c r="I1911" s="58" t="s">
        <v>33</v>
      </c>
      <c r="J1911" s="58" t="s">
        <v>47</v>
      </c>
      <c r="K1911" s="58"/>
      <c r="L1911" s="58" t="s">
        <v>119</v>
      </c>
      <c r="M1911" s="61" t="s">
        <v>5234</v>
      </c>
      <c r="N1911" s="80"/>
      <c r="O1911" s="62"/>
      <c r="P1911" s="62"/>
      <c r="Q1911" s="58">
        <v>1.0</v>
      </c>
      <c r="R1911" s="62"/>
      <c r="S1911" s="37"/>
      <c r="T1911" s="38"/>
      <c r="U1911" s="38"/>
      <c r="V1911" s="38" t="s">
        <v>33</v>
      </c>
      <c r="W1911" s="40"/>
      <c r="X1911" s="40"/>
      <c r="Y1911" s="40"/>
      <c r="Z1911" s="38"/>
      <c r="AA1911" s="38"/>
      <c r="AB1911" s="38"/>
      <c r="AC1911" s="38"/>
      <c r="AD1911" s="38"/>
      <c r="AE1911" s="38"/>
      <c r="AF1911" s="38"/>
      <c r="AG1911" s="38"/>
      <c r="AH1911" s="38"/>
      <c r="AI1911" s="38"/>
      <c r="AJ1911" s="38"/>
      <c r="AK1911" s="38"/>
      <c r="AL1911" s="38"/>
      <c r="AM1911" s="38"/>
      <c r="AN1911" s="38"/>
      <c r="AO1911" s="38"/>
      <c r="AP1911" s="38"/>
      <c r="AQ1911" s="38"/>
      <c r="AR1911" s="38"/>
      <c r="AS1911" s="38"/>
      <c r="AT1911" s="38"/>
      <c r="AU1911" s="38"/>
      <c r="AV1911" s="38"/>
      <c r="AW1911" s="38"/>
      <c r="AX1911" s="38"/>
      <c r="AY1911" s="38"/>
      <c r="AZ1911" s="38"/>
      <c r="BA1911" s="38"/>
      <c r="BB1911" s="38"/>
      <c r="BC1911" s="38"/>
      <c r="BD1911" s="38"/>
      <c r="BE1911" s="38"/>
      <c r="BF1911" s="38"/>
      <c r="BG1911" s="38"/>
      <c r="BH1911" s="38"/>
      <c r="BI1911" s="38"/>
      <c r="BJ1911" s="38"/>
      <c r="BK1911" s="38"/>
      <c r="BL1911" s="38"/>
      <c r="BM1911" s="38"/>
      <c r="BN1911" s="38"/>
      <c r="BO1911" s="38"/>
      <c r="BP1911" s="38"/>
      <c r="BQ1911" s="38"/>
    </row>
    <row r="1912">
      <c r="A1912" s="58" t="s">
        <v>5235</v>
      </c>
      <c r="B1912" s="59">
        <v>43384.0</v>
      </c>
      <c r="C1912" s="79">
        <v>43374.0</v>
      </c>
      <c r="D1912" s="60" t="s">
        <v>4886</v>
      </c>
      <c r="E1912" s="58" t="s">
        <v>41</v>
      </c>
      <c r="F1912" s="58">
        <v>1.0</v>
      </c>
      <c r="G1912" s="58" t="s">
        <v>32</v>
      </c>
      <c r="H1912" s="50">
        <v>1.0</v>
      </c>
      <c r="I1912" s="58" t="s">
        <v>33</v>
      </c>
      <c r="J1912" s="58" t="s">
        <v>124</v>
      </c>
      <c r="K1912" s="58">
        <v>1.0</v>
      </c>
      <c r="L1912" s="58" t="s">
        <v>69</v>
      </c>
      <c r="M1912" s="261" t="s">
        <v>5236</v>
      </c>
      <c r="N1912" s="77"/>
      <c r="O1912" s="83" t="str">
        <f>hyperlink("https://bad-boys.us/?q=ND-OH/3:18-cr-00565", "ND-OH 3:18-cr-00565")</f>
        <v>ND-OH 3:18-cr-00565</v>
      </c>
      <c r="P1912" s="88" t="s">
        <v>5237</v>
      </c>
      <c r="Q1912" s="58">
        <v>1.0</v>
      </c>
      <c r="R1912" s="62"/>
      <c r="S1912" s="37" t="str">
        <f>IFERROR(__xludf.DUMMYFUNCTION("if(not(iserror(index(split(C1912, "" ""),2))), index(split(C1912, "" ""),1),"""")"),"October,")</f>
        <v>October,</v>
      </c>
      <c r="T1912" s="38">
        <f>IFERROR(__xludf.DUMMYFUNCTION("if(S1912="""",C1912,if(not(iserror(index(split(C1912, "" ""),3))), index(split(C1912, "" ""),3),index(split(C1912, "" ""),2)))"),2018.0)</f>
        <v>2018</v>
      </c>
      <c r="U1912" s="38" t="b">
        <f t="shared" ref="U1912:U1923" si="288">countif(A$4:A4658, A1912)&gt;1</f>
        <v>0</v>
      </c>
      <c r="V1912" s="38"/>
      <c r="W1912" s="40"/>
      <c r="X1912" s="40"/>
      <c r="Y1912" s="40"/>
      <c r="Z1912" s="38"/>
      <c r="AA1912" s="38"/>
      <c r="AB1912" s="38"/>
      <c r="AC1912" s="38"/>
      <c r="AD1912" s="38"/>
      <c r="AE1912" s="38"/>
      <c r="AF1912" s="38"/>
      <c r="AG1912" s="38"/>
      <c r="AH1912" s="38"/>
      <c r="AI1912" s="38"/>
      <c r="AJ1912" s="38"/>
      <c r="AK1912" s="38"/>
      <c r="AL1912" s="38"/>
      <c r="AM1912" s="38"/>
      <c r="AN1912" s="38"/>
      <c r="AO1912" s="38"/>
      <c r="AP1912" s="38"/>
      <c r="AQ1912" s="38"/>
      <c r="AR1912" s="38"/>
      <c r="AS1912" s="38"/>
      <c r="AT1912" s="38"/>
      <c r="AU1912" s="38"/>
      <c r="AV1912" s="38"/>
      <c r="AW1912" s="38"/>
      <c r="AX1912" s="38"/>
      <c r="AY1912" s="38"/>
      <c r="AZ1912" s="38"/>
      <c r="BA1912" s="38"/>
      <c r="BB1912" s="38"/>
      <c r="BC1912" s="38"/>
      <c r="BD1912" s="38"/>
      <c r="BE1912" s="38"/>
      <c r="BF1912" s="38"/>
      <c r="BG1912" s="38"/>
      <c r="BH1912" s="38"/>
      <c r="BI1912" s="38"/>
      <c r="BJ1912" s="38"/>
      <c r="BK1912" s="38"/>
      <c r="BL1912" s="38"/>
      <c r="BM1912" s="38"/>
      <c r="BN1912" s="38"/>
      <c r="BO1912" s="38"/>
      <c r="BP1912" s="38"/>
      <c r="BQ1912" s="38"/>
    </row>
    <row r="1913">
      <c r="A1913" s="80" t="s">
        <v>5238</v>
      </c>
      <c r="B1913" s="59">
        <v>43384.0</v>
      </c>
      <c r="C1913" s="79">
        <v>43374.0</v>
      </c>
      <c r="D1913" s="60" t="s">
        <v>4886</v>
      </c>
      <c r="E1913" s="58" t="s">
        <v>41</v>
      </c>
      <c r="F1913" s="58">
        <v>1.0</v>
      </c>
      <c r="G1913" s="58" t="s">
        <v>32</v>
      </c>
      <c r="H1913" s="50">
        <v>1.0</v>
      </c>
      <c r="I1913" s="58" t="s">
        <v>33</v>
      </c>
      <c r="J1913" s="58" t="s">
        <v>124</v>
      </c>
      <c r="K1913" s="58">
        <v>1.0</v>
      </c>
      <c r="L1913" s="58" t="s">
        <v>69</v>
      </c>
      <c r="M1913" s="261" t="s">
        <v>5239</v>
      </c>
      <c r="N1913" s="77"/>
      <c r="O1913" s="83" t="str">
        <f>hyperlink("https://bad-boys.us/?q=ND-OH/3:18-cr-00570", "ND-OH 3:18-cr-00570")</f>
        <v>ND-OH 3:18-cr-00570</v>
      </c>
      <c r="P1913" s="88" t="s">
        <v>5240</v>
      </c>
      <c r="Q1913" s="58">
        <v>1.0</v>
      </c>
      <c r="R1913" s="62"/>
      <c r="S1913" s="37" t="str">
        <f>IFERROR(__xludf.DUMMYFUNCTION("if(not(iserror(index(split(C1913, "" ""),2))), index(split(C1913, "" ""),1),"""")"),"October,")</f>
        <v>October,</v>
      </c>
      <c r="T1913" s="38">
        <f>IFERROR(__xludf.DUMMYFUNCTION("if(S1913="""",C1913,if(not(iserror(index(split(C1913, "" ""),3))), index(split(C1913, "" ""),3),index(split(C1913, "" ""),2)))"),2018.0)</f>
        <v>2018</v>
      </c>
      <c r="U1913" s="38" t="b">
        <f t="shared" si="288"/>
        <v>0</v>
      </c>
      <c r="V1913" s="38"/>
      <c r="W1913" s="40"/>
      <c r="X1913" s="40"/>
      <c r="Y1913" s="40"/>
      <c r="Z1913" s="38"/>
      <c r="AA1913" s="38"/>
      <c r="AB1913" s="38"/>
      <c r="AC1913" s="38"/>
      <c r="AD1913" s="38"/>
      <c r="AE1913" s="38"/>
      <c r="AF1913" s="38"/>
      <c r="AG1913" s="38"/>
      <c r="AH1913" s="38"/>
      <c r="AI1913" s="38"/>
      <c r="AJ1913" s="38"/>
      <c r="AK1913" s="38"/>
      <c r="AL1913" s="38"/>
      <c r="AM1913" s="38"/>
      <c r="AN1913" s="38"/>
      <c r="AO1913" s="38"/>
      <c r="AP1913" s="38"/>
      <c r="AQ1913" s="38"/>
      <c r="AR1913" s="38"/>
      <c r="AS1913" s="38"/>
      <c r="AT1913" s="38"/>
      <c r="AU1913" s="38"/>
      <c r="AV1913" s="38"/>
      <c r="AW1913" s="38"/>
      <c r="AX1913" s="38"/>
      <c r="AY1913" s="38"/>
      <c r="AZ1913" s="38"/>
      <c r="BA1913" s="38"/>
      <c r="BB1913" s="38"/>
      <c r="BC1913" s="38"/>
      <c r="BD1913" s="38"/>
      <c r="BE1913" s="38"/>
      <c r="BF1913" s="38"/>
      <c r="BG1913" s="38"/>
      <c r="BH1913" s="38"/>
      <c r="BI1913" s="38"/>
      <c r="BJ1913" s="38"/>
      <c r="BK1913" s="38"/>
      <c r="BL1913" s="38"/>
      <c r="BM1913" s="38"/>
      <c r="BN1913" s="38"/>
      <c r="BO1913" s="38"/>
      <c r="BP1913" s="38"/>
      <c r="BQ1913" s="38"/>
    </row>
    <row r="1914">
      <c r="A1914" s="58" t="s">
        <v>5241</v>
      </c>
      <c r="B1914" s="59">
        <v>43384.0</v>
      </c>
      <c r="C1914" s="79">
        <v>43374.0</v>
      </c>
      <c r="D1914" s="60" t="s">
        <v>4886</v>
      </c>
      <c r="E1914" s="58" t="s">
        <v>41</v>
      </c>
      <c r="F1914" s="58">
        <v>1.0</v>
      </c>
      <c r="G1914" s="58" t="s">
        <v>32</v>
      </c>
      <c r="H1914" s="43">
        <v>1.0</v>
      </c>
      <c r="I1914" s="58" t="s">
        <v>33</v>
      </c>
      <c r="J1914" s="58" t="s">
        <v>222</v>
      </c>
      <c r="K1914" s="58">
        <v>8.0</v>
      </c>
      <c r="L1914" s="58" t="s">
        <v>99</v>
      </c>
      <c r="M1914" s="262" t="s">
        <v>5242</v>
      </c>
      <c r="N1914" s="77"/>
      <c r="O1914" s="83" t="str">
        <f>hyperlink("https://bad-boys.us/?q=WD-WI/3:18-cr-00145", "WD-WI 3:18-cr-00145")</f>
        <v>WD-WI 3:18-cr-00145</v>
      </c>
      <c r="P1914" s="88" t="s">
        <v>5243</v>
      </c>
      <c r="Q1914" s="58">
        <v>1.0</v>
      </c>
      <c r="R1914" s="62"/>
      <c r="S1914" s="37" t="str">
        <f>IFERROR(__xludf.DUMMYFUNCTION("if(not(iserror(index(split(C1914, "" ""),2))), index(split(C1914, "" ""),1),"""")"),"October,")</f>
        <v>October,</v>
      </c>
      <c r="T1914" s="38">
        <f>IFERROR(__xludf.DUMMYFUNCTION("if(S1914="""",C1914,if(not(iserror(index(split(C1914, "" ""),3))), index(split(C1914, "" ""),3),index(split(C1914, "" ""),2)))"),2018.0)</f>
        <v>2018</v>
      </c>
      <c r="U1914" s="38" t="b">
        <f t="shared" si="288"/>
        <v>0</v>
      </c>
      <c r="V1914" s="38" t="s">
        <v>33</v>
      </c>
      <c r="W1914" s="40"/>
      <c r="X1914" s="40"/>
      <c r="Y1914" s="40"/>
      <c r="Z1914" s="38"/>
      <c r="AA1914" s="38"/>
      <c r="AB1914" s="38"/>
      <c r="AC1914" s="38"/>
      <c r="AD1914" s="38"/>
      <c r="AE1914" s="38"/>
      <c r="AF1914" s="38"/>
      <c r="AG1914" s="38"/>
      <c r="AH1914" s="38"/>
      <c r="AI1914" s="38"/>
      <c r="AJ1914" s="38"/>
      <c r="AK1914" s="38"/>
      <c r="AL1914" s="38"/>
      <c r="AM1914" s="38"/>
      <c r="AN1914" s="38"/>
      <c r="AO1914" s="38"/>
      <c r="AP1914" s="38"/>
      <c r="AQ1914" s="38"/>
      <c r="AR1914" s="38"/>
      <c r="AS1914" s="38"/>
      <c r="AT1914" s="38"/>
      <c r="AU1914" s="38"/>
      <c r="AV1914" s="38"/>
      <c r="AW1914" s="38"/>
      <c r="AX1914" s="38"/>
      <c r="AY1914" s="38"/>
      <c r="AZ1914" s="38"/>
      <c r="BA1914" s="38"/>
      <c r="BB1914" s="38"/>
      <c r="BC1914" s="38"/>
      <c r="BD1914" s="38"/>
      <c r="BE1914" s="38"/>
      <c r="BF1914" s="38"/>
      <c r="BG1914" s="38"/>
      <c r="BH1914" s="38"/>
      <c r="BI1914" s="38"/>
      <c r="BJ1914" s="38"/>
      <c r="BK1914" s="38"/>
      <c r="BL1914" s="38"/>
      <c r="BM1914" s="38"/>
      <c r="BN1914" s="38"/>
      <c r="BO1914" s="38"/>
      <c r="BP1914" s="38"/>
      <c r="BQ1914" s="38"/>
    </row>
    <row r="1915">
      <c r="A1915" s="87" t="s">
        <v>5057</v>
      </c>
      <c r="B1915" s="59">
        <v>43384.0</v>
      </c>
      <c r="C1915" s="79">
        <v>43374.0</v>
      </c>
      <c r="D1915" s="60" t="s">
        <v>4886</v>
      </c>
      <c r="E1915" s="58" t="s">
        <v>41</v>
      </c>
      <c r="F1915" s="58">
        <v>1.0</v>
      </c>
      <c r="G1915" s="58" t="s">
        <v>32</v>
      </c>
      <c r="H1915" s="43">
        <v>1.0</v>
      </c>
      <c r="I1915" s="58" t="s">
        <v>33</v>
      </c>
      <c r="J1915" s="58" t="s">
        <v>222</v>
      </c>
      <c r="K1915" s="58">
        <v>2.0</v>
      </c>
      <c r="L1915" s="58" t="s">
        <v>99</v>
      </c>
      <c r="M1915" s="122" t="s">
        <v>5244</v>
      </c>
      <c r="N1915" s="77"/>
      <c r="O1915" s="83" t="str">
        <f>hyperlink("https://bad-boys.us/?q=WD-WI/3:18-cr-00146", "WD-WI 3:18-cr-00146")</f>
        <v>WD-WI 3:18-cr-00146</v>
      </c>
      <c r="P1915" s="88" t="s">
        <v>5245</v>
      </c>
      <c r="Q1915" s="58">
        <v>1.0</v>
      </c>
      <c r="R1915" s="62"/>
      <c r="S1915" s="37" t="str">
        <f>IFERROR(__xludf.DUMMYFUNCTION("if(not(iserror(index(split(C1915, "" ""),2))), index(split(C1915, "" ""),1),"""")"),"October,")</f>
        <v>October,</v>
      </c>
      <c r="T1915" s="38">
        <f>IFERROR(__xludf.DUMMYFUNCTION("if(S1915="""",C1915,if(not(iserror(index(split(C1915, "" ""),3))), index(split(C1915, "" ""),3),index(split(C1915, "" ""),2)))"),2018.0)</f>
        <v>2018</v>
      </c>
      <c r="U1915" s="38" t="b">
        <f t="shared" si="288"/>
        <v>1</v>
      </c>
      <c r="V1915" s="38" t="s">
        <v>33</v>
      </c>
      <c r="W1915" s="40"/>
      <c r="X1915" s="40"/>
      <c r="Y1915" s="40"/>
      <c r="Z1915" s="38"/>
      <c r="AA1915" s="38"/>
      <c r="AB1915" s="38"/>
      <c r="AC1915" s="38"/>
      <c r="AD1915" s="38"/>
      <c r="AE1915" s="38"/>
      <c r="AF1915" s="38"/>
      <c r="AG1915" s="38"/>
      <c r="AH1915" s="38"/>
      <c r="AI1915" s="38"/>
      <c r="AJ1915" s="38"/>
      <c r="AK1915" s="38"/>
      <c r="AL1915" s="38"/>
      <c r="AM1915" s="38"/>
      <c r="AN1915" s="38"/>
      <c r="AO1915" s="38"/>
      <c r="AP1915" s="38"/>
      <c r="AQ1915" s="38"/>
      <c r="AR1915" s="38"/>
      <c r="AS1915" s="38"/>
      <c r="AT1915" s="38"/>
      <c r="AU1915" s="38"/>
      <c r="AV1915" s="38"/>
      <c r="AW1915" s="38"/>
      <c r="AX1915" s="38"/>
      <c r="AY1915" s="38"/>
      <c r="AZ1915" s="38"/>
      <c r="BA1915" s="38"/>
      <c r="BB1915" s="38"/>
      <c r="BC1915" s="38"/>
      <c r="BD1915" s="38"/>
      <c r="BE1915" s="38"/>
      <c r="BF1915" s="38"/>
      <c r="BG1915" s="38"/>
      <c r="BH1915" s="38"/>
      <c r="BI1915" s="38"/>
      <c r="BJ1915" s="38"/>
      <c r="BK1915" s="38"/>
      <c r="BL1915" s="38"/>
      <c r="BM1915" s="38"/>
      <c r="BN1915" s="38"/>
      <c r="BO1915" s="38"/>
      <c r="BP1915" s="38"/>
      <c r="BQ1915" s="38"/>
    </row>
    <row r="1916">
      <c r="A1916" s="58" t="s">
        <v>5246</v>
      </c>
      <c r="B1916" s="59">
        <v>43385.0</v>
      </c>
      <c r="C1916" s="79">
        <v>43374.0</v>
      </c>
      <c r="D1916" s="60" t="s">
        <v>4886</v>
      </c>
      <c r="E1916" s="58" t="s">
        <v>41</v>
      </c>
      <c r="F1916" s="58">
        <v>1.0</v>
      </c>
      <c r="G1916" s="58">
        <v>1.0</v>
      </c>
      <c r="H1916" s="50">
        <v>1.0</v>
      </c>
      <c r="I1916" s="58" t="s">
        <v>33</v>
      </c>
      <c r="J1916" s="58" t="s">
        <v>279</v>
      </c>
      <c r="K1916" s="58">
        <v>1.0</v>
      </c>
      <c r="L1916" s="58" t="s">
        <v>69</v>
      </c>
      <c r="M1916" s="61" t="s">
        <v>5247</v>
      </c>
      <c r="N1916" s="77"/>
      <c r="O1916" s="83" t="str">
        <f>hyperlink("https://bad-boys.us/?q=WD-MO/3:18-cr-05046", "WD-MO 3:18-cr-05046")</f>
        <v>WD-MO 3:18-cr-05046</v>
      </c>
      <c r="P1916" s="88" t="s">
        <v>5248</v>
      </c>
      <c r="Q1916" s="58">
        <v>1.0</v>
      </c>
      <c r="R1916" s="62"/>
      <c r="S1916" s="37" t="str">
        <f>IFERROR(__xludf.DUMMYFUNCTION("if(not(iserror(index(split(C1916, "" ""),2))), index(split(C1916, "" ""),1),"""")"),"October,")</f>
        <v>October,</v>
      </c>
      <c r="T1916" s="38">
        <f>IFERROR(__xludf.DUMMYFUNCTION("if(S1916="""",C1916,if(not(iserror(index(split(C1916, "" ""),3))), index(split(C1916, "" ""),3),index(split(C1916, "" ""),2)))"),2018.0)</f>
        <v>2018</v>
      </c>
      <c r="U1916" s="38" t="b">
        <f t="shared" si="288"/>
        <v>0</v>
      </c>
      <c r="V1916" s="38"/>
      <c r="W1916" s="40"/>
      <c r="X1916" s="40"/>
      <c r="Y1916" s="40"/>
      <c r="Z1916" s="38"/>
      <c r="AA1916" s="38"/>
      <c r="AB1916" s="38"/>
      <c r="AC1916" s="38"/>
      <c r="AD1916" s="38"/>
      <c r="AE1916" s="38"/>
      <c r="AF1916" s="38"/>
      <c r="AG1916" s="38"/>
      <c r="AH1916" s="38"/>
      <c r="AI1916" s="38"/>
      <c r="AJ1916" s="38"/>
      <c r="AK1916" s="38"/>
      <c r="AL1916" s="38"/>
      <c r="AM1916" s="38"/>
      <c r="AN1916" s="38"/>
      <c r="AO1916" s="38"/>
      <c r="AP1916" s="38"/>
      <c r="AQ1916" s="38"/>
      <c r="AR1916" s="38"/>
      <c r="AS1916" s="38"/>
      <c r="AT1916" s="38"/>
      <c r="AU1916" s="38"/>
      <c r="AV1916" s="38"/>
      <c r="AW1916" s="38"/>
      <c r="AX1916" s="38"/>
      <c r="AY1916" s="38"/>
      <c r="AZ1916" s="38"/>
      <c r="BA1916" s="38"/>
      <c r="BB1916" s="38"/>
      <c r="BC1916" s="38"/>
      <c r="BD1916" s="38"/>
      <c r="BE1916" s="38"/>
      <c r="BF1916" s="38"/>
      <c r="BG1916" s="38"/>
      <c r="BH1916" s="38"/>
      <c r="BI1916" s="38"/>
      <c r="BJ1916" s="38"/>
      <c r="BK1916" s="38"/>
      <c r="BL1916" s="38"/>
      <c r="BM1916" s="38"/>
      <c r="BN1916" s="38"/>
      <c r="BO1916" s="38"/>
      <c r="BP1916" s="38"/>
      <c r="BQ1916" s="38"/>
    </row>
    <row r="1917">
      <c r="A1917" s="58" t="s">
        <v>5249</v>
      </c>
      <c r="B1917" s="59">
        <v>43390.0</v>
      </c>
      <c r="C1917" s="79">
        <v>43374.0</v>
      </c>
      <c r="D1917" s="60" t="s">
        <v>4886</v>
      </c>
      <c r="E1917" s="58" t="s">
        <v>41</v>
      </c>
      <c r="F1917" s="58">
        <v>1.0</v>
      </c>
      <c r="G1917" s="58" t="s">
        <v>32</v>
      </c>
      <c r="H1917" s="33">
        <f t="shared" ref="H1917:H1920" si="289">if(G1917="Unknown",1,G1917)</f>
        <v>1</v>
      </c>
      <c r="I1917" s="58" t="s">
        <v>33</v>
      </c>
      <c r="J1917" s="58" t="s">
        <v>222</v>
      </c>
      <c r="K1917" s="58">
        <v>1.0</v>
      </c>
      <c r="L1917" s="58" t="s">
        <v>119</v>
      </c>
      <c r="M1917" s="105" t="s">
        <v>5250</v>
      </c>
      <c r="N1917" s="80"/>
      <c r="O1917" s="58"/>
      <c r="P1917" s="58"/>
      <c r="Q1917" s="58"/>
      <c r="R1917" s="58"/>
      <c r="S1917" s="37" t="str">
        <f>IFERROR(__xludf.DUMMYFUNCTION("if(not(iserror(index(split(C1917, "" ""),2))), index(split(C1917, "" ""),1),"""")"),"October,")</f>
        <v>October,</v>
      </c>
      <c r="T1917" s="38">
        <f>IFERROR(__xludf.DUMMYFUNCTION("if(S1917="""",C1917,if(not(iserror(index(split(C1917, "" ""),3))), index(split(C1917, "" ""),3),index(split(C1917, "" ""),2)))"),2018.0)</f>
        <v>2018</v>
      </c>
      <c r="U1917" s="38" t="b">
        <f t="shared" si="288"/>
        <v>0</v>
      </c>
      <c r="V1917" s="38"/>
      <c r="W1917" s="40"/>
      <c r="X1917" s="40"/>
      <c r="Y1917" s="40"/>
      <c r="Z1917" s="38"/>
      <c r="AA1917" s="38"/>
      <c r="AB1917" s="38"/>
      <c r="AC1917" s="38"/>
      <c r="AD1917" s="38"/>
      <c r="AE1917" s="38"/>
      <c r="AF1917" s="38"/>
      <c r="AG1917" s="38"/>
      <c r="AH1917" s="38"/>
      <c r="AI1917" s="38"/>
      <c r="AJ1917" s="38"/>
      <c r="AK1917" s="38"/>
      <c r="AL1917" s="38"/>
      <c r="AM1917" s="38"/>
      <c r="AN1917" s="38"/>
      <c r="AO1917" s="38"/>
      <c r="AP1917" s="38"/>
      <c r="AQ1917" s="38"/>
      <c r="AR1917" s="38"/>
      <c r="AS1917" s="38"/>
      <c r="AT1917" s="38"/>
      <c r="AU1917" s="38"/>
      <c r="AV1917" s="38"/>
      <c r="AW1917" s="38"/>
      <c r="AX1917" s="38"/>
      <c r="AY1917" s="38"/>
      <c r="AZ1917" s="38"/>
      <c r="BA1917" s="38"/>
      <c r="BB1917" s="38"/>
      <c r="BC1917" s="38"/>
      <c r="BD1917" s="38"/>
      <c r="BE1917" s="38"/>
      <c r="BF1917" s="38"/>
      <c r="BG1917" s="38"/>
      <c r="BH1917" s="38"/>
      <c r="BI1917" s="38"/>
      <c r="BJ1917" s="38"/>
      <c r="BK1917" s="38"/>
      <c r="BL1917" s="38"/>
      <c r="BM1917" s="38"/>
      <c r="BN1917" s="38"/>
      <c r="BO1917" s="38"/>
      <c r="BP1917" s="38"/>
      <c r="BQ1917" s="38"/>
    </row>
    <row r="1918">
      <c r="A1918" s="58" t="s">
        <v>5251</v>
      </c>
      <c r="B1918" s="59">
        <v>43392.0</v>
      </c>
      <c r="C1918" s="79">
        <v>43374.0</v>
      </c>
      <c r="D1918" s="60" t="s">
        <v>4886</v>
      </c>
      <c r="E1918" s="58" t="s">
        <v>41</v>
      </c>
      <c r="F1918" s="58">
        <v>1.0</v>
      </c>
      <c r="G1918" s="58">
        <v>8.0</v>
      </c>
      <c r="H1918" s="33">
        <f t="shared" si="289"/>
        <v>8</v>
      </c>
      <c r="I1918" s="58" t="s">
        <v>33</v>
      </c>
      <c r="J1918" s="58" t="s">
        <v>184</v>
      </c>
      <c r="K1918" s="58">
        <v>3.0</v>
      </c>
      <c r="L1918" s="58" t="s">
        <v>35</v>
      </c>
      <c r="M1918" s="61" t="s">
        <v>5252</v>
      </c>
      <c r="N1918" s="80"/>
      <c r="O1918" s="83" t="str">
        <f>hyperlink("https://bad-boys.us/?q=ND-IL/1:18-cr-00703", "ND-IL 1:18-cr-00703")</f>
        <v>ND-IL 1:18-cr-00703</v>
      </c>
      <c r="P1918" s="88" t="s">
        <v>5253</v>
      </c>
      <c r="Q1918" s="58">
        <v>1.0</v>
      </c>
      <c r="R1918" s="62"/>
      <c r="S1918" s="37" t="str">
        <f>IFERROR(__xludf.DUMMYFUNCTION("if(not(iserror(index(split(C1918, "" ""),2))), index(split(C1918, "" ""),1),"""")"),"October,")</f>
        <v>October,</v>
      </c>
      <c r="T1918" s="38">
        <f>IFERROR(__xludf.DUMMYFUNCTION("if(S1918="""",C1918,if(not(iserror(index(split(C1918, "" ""),3))), index(split(C1918, "" ""),3),index(split(C1918, "" ""),2)))"),2018.0)</f>
        <v>2018</v>
      </c>
      <c r="U1918" s="38" t="b">
        <f t="shared" si="288"/>
        <v>0</v>
      </c>
      <c r="V1918" s="38"/>
      <c r="W1918" s="40"/>
      <c r="X1918" s="40"/>
      <c r="Y1918" s="40"/>
      <c r="Z1918" s="38"/>
      <c r="AA1918" s="38"/>
      <c r="AB1918" s="38"/>
      <c r="AC1918" s="38"/>
      <c r="AD1918" s="38"/>
      <c r="AE1918" s="38"/>
      <c r="AF1918" s="38"/>
      <c r="AG1918" s="38"/>
      <c r="AH1918" s="38"/>
      <c r="AI1918" s="38"/>
      <c r="AJ1918" s="38"/>
      <c r="AK1918" s="38"/>
      <c r="AL1918" s="38"/>
      <c r="AM1918" s="38"/>
      <c r="AN1918" s="38"/>
      <c r="AO1918" s="38"/>
      <c r="AP1918" s="38"/>
      <c r="AQ1918" s="38"/>
      <c r="AR1918" s="38"/>
      <c r="AS1918" s="38"/>
      <c r="AT1918" s="38"/>
      <c r="AU1918" s="38"/>
      <c r="AV1918" s="38"/>
      <c r="AW1918" s="38"/>
      <c r="AX1918" s="38"/>
      <c r="AY1918" s="38"/>
      <c r="AZ1918" s="38"/>
      <c r="BA1918" s="38"/>
      <c r="BB1918" s="38"/>
      <c r="BC1918" s="38"/>
      <c r="BD1918" s="38"/>
      <c r="BE1918" s="38"/>
      <c r="BF1918" s="38"/>
      <c r="BG1918" s="38"/>
      <c r="BH1918" s="38"/>
      <c r="BI1918" s="38"/>
      <c r="BJ1918" s="38"/>
      <c r="BK1918" s="38"/>
      <c r="BL1918" s="38"/>
      <c r="BM1918" s="38"/>
      <c r="BN1918" s="38"/>
      <c r="BO1918" s="38"/>
      <c r="BP1918" s="38"/>
      <c r="BQ1918" s="38"/>
    </row>
    <row r="1919">
      <c r="A1919" s="58" t="s">
        <v>5254</v>
      </c>
      <c r="B1919" s="59">
        <v>43397.0</v>
      </c>
      <c r="C1919" s="79">
        <v>43374.0</v>
      </c>
      <c r="D1919" s="60" t="s">
        <v>4886</v>
      </c>
      <c r="E1919" s="58" t="s">
        <v>41</v>
      </c>
      <c r="F1919" s="58">
        <v>1.0</v>
      </c>
      <c r="G1919" s="58">
        <v>1.0</v>
      </c>
      <c r="H1919" s="33">
        <f t="shared" si="289"/>
        <v>1</v>
      </c>
      <c r="I1919" s="58" t="s">
        <v>33</v>
      </c>
      <c r="J1919" s="58" t="s">
        <v>184</v>
      </c>
      <c r="K1919" s="58">
        <v>1.0</v>
      </c>
      <c r="L1919" s="58" t="s">
        <v>790</v>
      </c>
      <c r="M1919" s="61" t="s">
        <v>5255</v>
      </c>
      <c r="N1919" s="80"/>
      <c r="O1919" s="88" t="str">
        <f>hyperlink("https://bad-boys.us/?q=ND-IL/1:18-cr-00704", "ND-IL 1:18-cr-00704")</f>
        <v>ND-IL 1:18-cr-00704</v>
      </c>
      <c r="P1919" s="88" t="s">
        <v>5256</v>
      </c>
      <c r="Q1919" s="58">
        <v>1.0</v>
      </c>
      <c r="R1919" s="62"/>
      <c r="S1919" s="37" t="str">
        <f>IFERROR(__xludf.DUMMYFUNCTION("if(not(iserror(index(split(C1919, "" ""),2))), index(split(C1919, "" ""),1),"""")"),"October,")</f>
        <v>October,</v>
      </c>
      <c r="T1919" s="38">
        <f>IFERROR(__xludf.DUMMYFUNCTION("if(S1919="""",C1919,if(not(iserror(index(split(C1919, "" ""),3))), index(split(C1919, "" ""),3),index(split(C1919, "" ""),2)))"),2018.0)</f>
        <v>2018</v>
      </c>
      <c r="U1919" s="38" t="b">
        <f t="shared" si="288"/>
        <v>0</v>
      </c>
      <c r="V1919" s="38"/>
      <c r="W1919" s="40"/>
      <c r="X1919" s="40"/>
      <c r="Y1919" s="40"/>
      <c r="Z1919" s="38"/>
      <c r="AA1919" s="38"/>
      <c r="AB1919" s="38"/>
      <c r="AC1919" s="38"/>
      <c r="AD1919" s="38"/>
      <c r="AE1919" s="38"/>
      <c r="AF1919" s="38"/>
      <c r="AG1919" s="38"/>
      <c r="AH1919" s="38"/>
      <c r="AI1919" s="38"/>
      <c r="AJ1919" s="38"/>
      <c r="AK1919" s="38"/>
      <c r="AL1919" s="38"/>
      <c r="AM1919" s="38"/>
      <c r="AN1919" s="38"/>
      <c r="AO1919" s="38"/>
      <c r="AP1919" s="38"/>
      <c r="AQ1919" s="38"/>
      <c r="AR1919" s="38"/>
      <c r="AS1919" s="38"/>
      <c r="AT1919" s="38"/>
      <c r="AU1919" s="38"/>
      <c r="AV1919" s="38"/>
      <c r="AW1919" s="38"/>
      <c r="AX1919" s="38"/>
      <c r="AY1919" s="38"/>
      <c r="AZ1919" s="38"/>
      <c r="BA1919" s="38"/>
      <c r="BB1919" s="38"/>
      <c r="BC1919" s="38"/>
      <c r="BD1919" s="38"/>
      <c r="BE1919" s="38"/>
      <c r="BF1919" s="38"/>
      <c r="BG1919" s="38"/>
      <c r="BH1919" s="38"/>
      <c r="BI1919" s="38"/>
      <c r="BJ1919" s="38"/>
      <c r="BK1919" s="38"/>
      <c r="BL1919" s="38"/>
      <c r="BM1919" s="38"/>
      <c r="BN1919" s="38"/>
      <c r="BO1919" s="38"/>
      <c r="BP1919" s="38"/>
      <c r="BQ1919" s="38"/>
    </row>
    <row r="1920">
      <c r="A1920" s="58" t="s">
        <v>5257</v>
      </c>
      <c r="B1920" s="59">
        <v>43402.0</v>
      </c>
      <c r="C1920" s="79">
        <v>43374.0</v>
      </c>
      <c r="D1920" s="60" t="s">
        <v>4886</v>
      </c>
      <c r="E1920" s="58" t="s">
        <v>41</v>
      </c>
      <c r="F1920" s="58">
        <v>1.0</v>
      </c>
      <c r="G1920" s="58">
        <v>1.0</v>
      </c>
      <c r="H1920" s="33">
        <f t="shared" si="289"/>
        <v>1</v>
      </c>
      <c r="I1920" s="58" t="s">
        <v>33</v>
      </c>
      <c r="J1920" s="58" t="s">
        <v>85</v>
      </c>
      <c r="K1920" s="58">
        <v>2.0</v>
      </c>
      <c r="L1920" s="58" t="s">
        <v>76</v>
      </c>
      <c r="M1920" s="61" t="s">
        <v>5258</v>
      </c>
      <c r="N1920" s="80"/>
      <c r="O1920" s="58"/>
      <c r="P1920" s="58"/>
      <c r="Q1920" s="58"/>
      <c r="R1920" s="62"/>
      <c r="S1920" s="37" t="str">
        <f>IFERROR(__xludf.DUMMYFUNCTION("if(not(iserror(index(split(C1920, "" ""),2))), index(split(C1920, "" ""),1),"""")"),"October,")</f>
        <v>October,</v>
      </c>
      <c r="T1920" s="38">
        <f>IFERROR(__xludf.DUMMYFUNCTION("if(S1920="""",C1920,if(not(iserror(index(split(C1920, "" ""),3))), index(split(C1920, "" ""),3),index(split(C1920, "" ""),2)))"),2018.0)</f>
        <v>2018</v>
      </c>
      <c r="U1920" s="38" t="b">
        <f t="shared" si="288"/>
        <v>0</v>
      </c>
      <c r="V1920" s="38"/>
      <c r="W1920" s="40"/>
      <c r="X1920" s="40"/>
      <c r="Y1920" s="40"/>
      <c r="Z1920" s="38"/>
      <c r="AA1920" s="38"/>
      <c r="AB1920" s="38"/>
      <c r="AC1920" s="38"/>
      <c r="AD1920" s="38"/>
      <c r="AE1920" s="38"/>
      <c r="AF1920" s="38"/>
      <c r="AG1920" s="38"/>
      <c r="AH1920" s="38"/>
      <c r="AI1920" s="38"/>
      <c r="AJ1920" s="38"/>
      <c r="AK1920" s="38"/>
      <c r="AL1920" s="38"/>
      <c r="AM1920" s="38"/>
      <c r="AN1920" s="38"/>
      <c r="AO1920" s="38"/>
      <c r="AP1920" s="38"/>
      <c r="AQ1920" s="38"/>
      <c r="AR1920" s="38"/>
      <c r="AS1920" s="38"/>
      <c r="AT1920" s="38"/>
      <c r="AU1920" s="38"/>
      <c r="AV1920" s="38"/>
      <c r="AW1920" s="38"/>
      <c r="AX1920" s="38"/>
      <c r="AY1920" s="38"/>
      <c r="AZ1920" s="38"/>
      <c r="BA1920" s="38"/>
      <c r="BB1920" s="38"/>
      <c r="BC1920" s="38"/>
      <c r="BD1920" s="38"/>
      <c r="BE1920" s="38"/>
      <c r="BF1920" s="38"/>
      <c r="BG1920" s="38"/>
      <c r="BH1920" s="38"/>
      <c r="BI1920" s="38"/>
      <c r="BJ1920" s="38"/>
      <c r="BK1920" s="38"/>
      <c r="BL1920" s="38"/>
      <c r="BM1920" s="38"/>
      <c r="BN1920" s="38"/>
      <c r="BO1920" s="38"/>
      <c r="BP1920" s="38"/>
      <c r="BQ1920" s="38"/>
    </row>
    <row r="1921">
      <c r="A1921" s="87" t="s">
        <v>5259</v>
      </c>
      <c r="B1921" s="59">
        <v>43423.0</v>
      </c>
      <c r="C1921" s="79">
        <v>43374.0</v>
      </c>
      <c r="D1921" s="60" t="s">
        <v>4886</v>
      </c>
      <c r="E1921" s="58" t="s">
        <v>41</v>
      </c>
      <c r="F1921" s="58">
        <v>1.0</v>
      </c>
      <c r="G1921" s="58">
        <v>9.0</v>
      </c>
      <c r="H1921" s="43">
        <v>9.0</v>
      </c>
      <c r="I1921" s="58" t="s">
        <v>33</v>
      </c>
      <c r="J1921" s="58" t="s">
        <v>89</v>
      </c>
      <c r="K1921" s="58">
        <v>1.0</v>
      </c>
      <c r="L1921" s="58" t="s">
        <v>194</v>
      </c>
      <c r="M1921" s="61" t="s">
        <v>5260</v>
      </c>
      <c r="N1921" s="80"/>
      <c r="O1921" s="88" t="str">
        <f>hyperlink("https://bad-boys.us/?q=WD-TN/2:18-cr-20340", "WD-TN 2:18-cr-20340")</f>
        <v>WD-TN 2:18-cr-20340</v>
      </c>
      <c r="P1921" s="62"/>
      <c r="Q1921" s="58">
        <v>1.0</v>
      </c>
      <c r="R1921" s="62"/>
      <c r="S1921" s="37" t="str">
        <f>IFERROR(__xludf.DUMMYFUNCTION("if(not(iserror(index(split(C1921, "" ""),2))), index(split(C1921, "" ""),1),"""")"),"October,")</f>
        <v>October,</v>
      </c>
      <c r="T1921" s="38">
        <f>IFERROR(__xludf.DUMMYFUNCTION("if(S1921="""",C1921,if(not(iserror(index(split(C1921, "" ""),3))), index(split(C1921, "" ""),3),index(split(C1921, "" ""),2)))"),2018.0)</f>
        <v>2018</v>
      </c>
      <c r="U1921" s="38" t="b">
        <f t="shared" si="288"/>
        <v>0</v>
      </c>
      <c r="V1921" s="38" t="s">
        <v>3919</v>
      </c>
      <c r="W1921" s="40"/>
      <c r="X1921" s="40"/>
      <c r="Y1921" s="40"/>
      <c r="Z1921" s="38"/>
      <c r="AA1921" s="38"/>
      <c r="AB1921" s="38"/>
      <c r="AC1921" s="38"/>
      <c r="AD1921" s="38"/>
      <c r="AE1921" s="38"/>
      <c r="AF1921" s="38"/>
      <c r="AG1921" s="38"/>
      <c r="AH1921" s="38"/>
      <c r="AI1921" s="38"/>
      <c r="AJ1921" s="38"/>
      <c r="AK1921" s="38"/>
      <c r="AL1921" s="38"/>
      <c r="AM1921" s="38"/>
      <c r="AN1921" s="38"/>
      <c r="AO1921" s="38"/>
      <c r="AP1921" s="38"/>
      <c r="AQ1921" s="38"/>
      <c r="AR1921" s="38"/>
      <c r="AS1921" s="38"/>
      <c r="AT1921" s="38"/>
      <c r="AU1921" s="38"/>
      <c r="AV1921" s="38"/>
      <c r="AW1921" s="38"/>
      <c r="AX1921" s="38"/>
      <c r="AY1921" s="38"/>
      <c r="AZ1921" s="38"/>
      <c r="BA1921" s="38"/>
      <c r="BB1921" s="38"/>
      <c r="BC1921" s="38"/>
      <c r="BD1921" s="38"/>
      <c r="BE1921" s="38"/>
      <c r="BF1921" s="38"/>
      <c r="BG1921" s="38"/>
      <c r="BH1921" s="38"/>
      <c r="BI1921" s="38"/>
      <c r="BJ1921" s="38"/>
      <c r="BK1921" s="38"/>
      <c r="BL1921" s="38"/>
      <c r="BM1921" s="38"/>
      <c r="BN1921" s="38"/>
      <c r="BO1921" s="38"/>
      <c r="BP1921" s="38"/>
      <c r="BQ1921" s="38"/>
    </row>
    <row r="1922">
      <c r="A1922" s="58" t="s">
        <v>5261</v>
      </c>
      <c r="B1922" s="59">
        <v>43447.0</v>
      </c>
      <c r="C1922" s="79">
        <v>43374.0</v>
      </c>
      <c r="D1922" s="60" t="s">
        <v>4886</v>
      </c>
      <c r="E1922" s="58" t="s">
        <v>41</v>
      </c>
      <c r="F1922" s="58">
        <v>1.0</v>
      </c>
      <c r="G1922" s="58" t="s">
        <v>32</v>
      </c>
      <c r="H1922" s="33">
        <f>if(G1922="Unknown",1,G1922)</f>
        <v>1</v>
      </c>
      <c r="I1922" s="58" t="s">
        <v>33</v>
      </c>
      <c r="J1922" s="58" t="s">
        <v>179</v>
      </c>
      <c r="K1922" s="58">
        <v>13.0</v>
      </c>
      <c r="L1922" s="58" t="s">
        <v>119</v>
      </c>
      <c r="M1922" s="61" t="s">
        <v>5262</v>
      </c>
      <c r="N1922" s="77"/>
      <c r="O1922" s="83" t="str">
        <f>hyperlink("https://bad-boys.us/?q=ED-VA/1:18-cr-00355", "ED-VA 1:18-cr-00355")</f>
        <v>ED-VA 1:18-cr-00355</v>
      </c>
      <c r="P1922" s="88" t="s">
        <v>5263</v>
      </c>
      <c r="Q1922" s="58">
        <v>1.0</v>
      </c>
      <c r="R1922" s="62"/>
      <c r="S1922" s="37" t="str">
        <f>IFERROR(__xludf.DUMMYFUNCTION("if(not(iserror(index(split(C1922, "" ""),2))), index(split(C1922, "" ""),1),"""")"),"October,")</f>
        <v>October,</v>
      </c>
      <c r="T1922" s="38">
        <f>IFERROR(__xludf.DUMMYFUNCTION("if(S1922="""",C1922,if(not(iserror(index(split(C1922, "" ""),3))), index(split(C1922, "" ""),3),index(split(C1922, "" ""),2)))"),2018.0)</f>
        <v>2018</v>
      </c>
      <c r="U1922" s="38" t="b">
        <f t="shared" si="288"/>
        <v>0</v>
      </c>
      <c r="V1922" s="38"/>
      <c r="W1922" s="40"/>
      <c r="X1922" s="40"/>
      <c r="Y1922" s="40"/>
      <c r="Z1922" s="38"/>
      <c r="AA1922" s="38"/>
      <c r="AB1922" s="38"/>
      <c r="AC1922" s="38"/>
      <c r="AD1922" s="38"/>
      <c r="AE1922" s="38"/>
      <c r="AF1922" s="38"/>
      <c r="AG1922" s="38"/>
      <c r="AH1922" s="38"/>
      <c r="AI1922" s="38"/>
      <c r="AJ1922" s="38"/>
      <c r="AK1922" s="38"/>
      <c r="AL1922" s="38"/>
      <c r="AM1922" s="38"/>
      <c r="AN1922" s="38"/>
      <c r="AO1922" s="38"/>
      <c r="AP1922" s="38"/>
      <c r="AQ1922" s="38"/>
      <c r="AR1922" s="38"/>
      <c r="AS1922" s="38"/>
      <c r="AT1922" s="38"/>
      <c r="AU1922" s="38"/>
      <c r="AV1922" s="38"/>
      <c r="AW1922" s="38"/>
      <c r="AX1922" s="38"/>
      <c r="AY1922" s="38"/>
      <c r="AZ1922" s="38"/>
      <c r="BA1922" s="38"/>
      <c r="BB1922" s="38"/>
      <c r="BC1922" s="38"/>
      <c r="BD1922" s="38"/>
      <c r="BE1922" s="38"/>
      <c r="BF1922" s="38"/>
      <c r="BG1922" s="38"/>
      <c r="BH1922" s="38"/>
      <c r="BI1922" s="38"/>
      <c r="BJ1922" s="38"/>
      <c r="BK1922" s="38"/>
      <c r="BL1922" s="38"/>
      <c r="BM1922" s="38"/>
      <c r="BN1922" s="38"/>
      <c r="BO1922" s="38"/>
      <c r="BP1922" s="38"/>
      <c r="BQ1922" s="38"/>
    </row>
    <row r="1923">
      <c r="A1923" s="256" t="s">
        <v>5264</v>
      </c>
      <c r="B1923" s="59"/>
      <c r="C1923" s="79">
        <v>43374.0</v>
      </c>
      <c r="D1923" s="60"/>
      <c r="E1923" s="58" t="s">
        <v>41</v>
      </c>
      <c r="F1923" s="58">
        <v>1.0</v>
      </c>
      <c r="G1923" s="58" t="s">
        <v>32</v>
      </c>
      <c r="H1923" s="43">
        <v>2.0</v>
      </c>
      <c r="I1923" s="58" t="s">
        <v>33</v>
      </c>
      <c r="J1923" s="58" t="s">
        <v>47</v>
      </c>
      <c r="K1923" s="58"/>
      <c r="L1923" s="58" t="s">
        <v>76</v>
      </c>
      <c r="M1923" s="105" t="s">
        <v>5265</v>
      </c>
      <c r="N1923" s="77"/>
      <c r="O1923" s="58"/>
      <c r="P1923" s="58"/>
      <c r="Q1923" s="58"/>
      <c r="R1923" s="62"/>
      <c r="S1923" s="37" t="str">
        <f>IFERROR(__xludf.DUMMYFUNCTION("if(not(iserror(index(split(C1923, "" ""),2))), index(split(C1923, "" ""),1),"""")"),"October,")</f>
        <v>October,</v>
      </c>
      <c r="T1923" s="38">
        <f>IFERROR(__xludf.DUMMYFUNCTION("if(S1923="""",C1923,if(not(iserror(index(split(C1923, "" ""),3))), index(split(C1923, "" ""),3),index(split(C1923, "" ""),2)))"),2018.0)</f>
        <v>2018</v>
      </c>
      <c r="U1923" s="38" t="b">
        <f t="shared" si="288"/>
        <v>0</v>
      </c>
      <c r="V1923" s="38" t="s">
        <v>33</v>
      </c>
      <c r="W1923" s="40"/>
      <c r="X1923" s="40"/>
      <c r="Y1923" s="40"/>
      <c r="Z1923" s="38"/>
      <c r="AA1923" s="38"/>
      <c r="AB1923" s="38"/>
      <c r="AC1923" s="38"/>
      <c r="AD1923" s="38"/>
      <c r="AE1923" s="38"/>
      <c r="AF1923" s="38"/>
      <c r="AG1923" s="38"/>
      <c r="AH1923" s="38"/>
      <c r="AI1923" s="38"/>
      <c r="AJ1923" s="38"/>
      <c r="AK1923" s="38"/>
      <c r="AL1923" s="38"/>
      <c r="AM1923" s="38"/>
      <c r="AN1923" s="38"/>
      <c r="AO1923" s="38"/>
      <c r="AP1923" s="38"/>
      <c r="AQ1923" s="38"/>
      <c r="AR1923" s="38"/>
      <c r="AS1923" s="38"/>
      <c r="AT1923" s="38"/>
      <c r="AU1923" s="38"/>
      <c r="AV1923" s="38"/>
      <c r="AW1923" s="38"/>
      <c r="AX1923" s="38"/>
      <c r="AY1923" s="38"/>
      <c r="AZ1923" s="38"/>
      <c r="BA1923" s="38"/>
      <c r="BB1923" s="38"/>
      <c r="BC1923" s="38"/>
      <c r="BD1923" s="38"/>
      <c r="BE1923" s="38"/>
      <c r="BF1923" s="38"/>
      <c r="BG1923" s="38"/>
      <c r="BH1923" s="38"/>
      <c r="BI1923" s="38"/>
      <c r="BJ1923" s="38"/>
      <c r="BK1923" s="38"/>
      <c r="BL1923" s="38"/>
      <c r="BM1923" s="38"/>
      <c r="BN1923" s="38"/>
      <c r="BO1923" s="38"/>
      <c r="BP1923" s="38"/>
      <c r="BQ1923" s="38"/>
    </row>
    <row r="1924">
      <c r="A1924" s="256" t="s">
        <v>5266</v>
      </c>
      <c r="B1924" s="59"/>
      <c r="C1924" s="79">
        <v>43374.0</v>
      </c>
      <c r="D1924" s="60"/>
      <c r="E1924" s="58" t="s">
        <v>41</v>
      </c>
      <c r="F1924" s="58">
        <v>1.0</v>
      </c>
      <c r="G1924" s="58" t="s">
        <v>32</v>
      </c>
      <c r="H1924" s="43">
        <v>1.0</v>
      </c>
      <c r="I1924" s="58" t="s">
        <v>33</v>
      </c>
      <c r="J1924" s="58" t="s">
        <v>115</v>
      </c>
      <c r="K1924" s="58"/>
      <c r="L1924" s="58" t="s">
        <v>119</v>
      </c>
      <c r="M1924" s="105" t="s">
        <v>5267</v>
      </c>
      <c r="N1924" s="77"/>
      <c r="O1924" s="58"/>
      <c r="P1924" s="58"/>
      <c r="Q1924" s="58"/>
      <c r="R1924" s="62"/>
      <c r="S1924" s="37"/>
      <c r="T1924" s="38"/>
      <c r="U1924" s="38"/>
      <c r="V1924" s="38" t="s">
        <v>33</v>
      </c>
      <c r="W1924" s="40"/>
      <c r="X1924" s="40"/>
      <c r="Y1924" s="40"/>
      <c r="Z1924" s="38"/>
      <c r="AA1924" s="38"/>
      <c r="AB1924" s="38"/>
      <c r="AC1924" s="38"/>
      <c r="AD1924" s="38"/>
      <c r="AE1924" s="38"/>
      <c r="AF1924" s="38"/>
      <c r="AG1924" s="38"/>
      <c r="AH1924" s="38"/>
      <c r="AI1924" s="38"/>
      <c r="AJ1924" s="38"/>
      <c r="AK1924" s="38"/>
      <c r="AL1924" s="38"/>
      <c r="AM1924" s="38"/>
      <c r="AN1924" s="38"/>
      <c r="AO1924" s="38"/>
      <c r="AP1924" s="38"/>
      <c r="AQ1924" s="38"/>
      <c r="AR1924" s="38"/>
      <c r="AS1924" s="38"/>
      <c r="AT1924" s="38"/>
      <c r="AU1924" s="38"/>
      <c r="AV1924" s="38"/>
      <c r="AW1924" s="38"/>
      <c r="AX1924" s="38"/>
      <c r="AY1924" s="38"/>
      <c r="AZ1924" s="38"/>
      <c r="BA1924" s="38"/>
      <c r="BB1924" s="38"/>
      <c r="BC1924" s="38"/>
      <c r="BD1924" s="38"/>
      <c r="BE1924" s="38"/>
      <c r="BF1924" s="38"/>
      <c r="BG1924" s="38"/>
      <c r="BH1924" s="38"/>
      <c r="BI1924" s="38"/>
      <c r="BJ1924" s="38"/>
      <c r="BK1924" s="38"/>
      <c r="BL1924" s="38"/>
      <c r="BM1924" s="38"/>
      <c r="BN1924" s="38"/>
      <c r="BO1924" s="38"/>
      <c r="BP1924" s="38"/>
      <c r="BQ1924" s="38"/>
    </row>
    <row r="1925">
      <c r="A1925" s="256" t="s">
        <v>5268</v>
      </c>
      <c r="B1925" s="59"/>
      <c r="C1925" s="79">
        <v>43374.0</v>
      </c>
      <c r="D1925" s="60"/>
      <c r="E1925" s="58" t="s">
        <v>41</v>
      </c>
      <c r="F1925" s="58">
        <v>1.0</v>
      </c>
      <c r="G1925" s="58" t="s">
        <v>32</v>
      </c>
      <c r="H1925" s="43">
        <v>1.0</v>
      </c>
      <c r="I1925" s="58" t="s">
        <v>33</v>
      </c>
      <c r="J1925" s="58" t="s">
        <v>47</v>
      </c>
      <c r="K1925" s="58"/>
      <c r="L1925" s="58" t="s">
        <v>69</v>
      </c>
      <c r="M1925" s="105" t="s">
        <v>5269</v>
      </c>
      <c r="N1925" s="77"/>
      <c r="O1925" s="88" t="str">
        <f>hyperlink("https://bad-boys.us/?q=SD-FL/1:18-cr-20839", "SD-FL 1:18-cr-20839")</f>
        <v>SD-FL 1:18-cr-20839</v>
      </c>
      <c r="P1925" s="88" t="s">
        <v>5270</v>
      </c>
      <c r="Q1925" s="58">
        <v>1.0</v>
      </c>
      <c r="R1925" s="62"/>
      <c r="S1925" s="37" t="str">
        <f>IFERROR(__xludf.DUMMYFUNCTION("if(not(iserror(index(split(C1925, "" ""),2))), index(split(C1925, "" ""),1),"""")"),"October,")</f>
        <v>October,</v>
      </c>
      <c r="T1925" s="38">
        <f>IFERROR(__xludf.DUMMYFUNCTION("if(S1925="""",C1925,if(not(iserror(index(split(C1925, "" ""),3))), index(split(C1925, "" ""),3),index(split(C1925, "" ""),2)))"),2018.0)</f>
        <v>2018</v>
      </c>
      <c r="U1925" s="38" t="b">
        <f t="shared" ref="U1925:U1938" si="290">countif(A$4:A4658, A1925)&gt;1</f>
        <v>0</v>
      </c>
      <c r="V1925" s="38" t="s">
        <v>33</v>
      </c>
      <c r="W1925" s="40"/>
      <c r="X1925" s="40"/>
      <c r="Y1925" s="40"/>
      <c r="Z1925" s="38"/>
      <c r="AA1925" s="38"/>
      <c r="AB1925" s="38"/>
      <c r="AC1925" s="38"/>
      <c r="AD1925" s="38"/>
      <c r="AE1925" s="38"/>
      <c r="AF1925" s="38"/>
      <c r="AG1925" s="38"/>
      <c r="AH1925" s="38"/>
      <c r="AI1925" s="38"/>
      <c r="AJ1925" s="38"/>
      <c r="AK1925" s="38"/>
      <c r="AL1925" s="38"/>
      <c r="AM1925" s="38"/>
      <c r="AN1925" s="38"/>
      <c r="AO1925" s="38"/>
      <c r="AP1925" s="38"/>
      <c r="AQ1925" s="38"/>
      <c r="AR1925" s="38"/>
      <c r="AS1925" s="38"/>
      <c r="AT1925" s="38"/>
      <c r="AU1925" s="38"/>
      <c r="AV1925" s="38"/>
      <c r="AW1925" s="38"/>
      <c r="AX1925" s="38"/>
      <c r="AY1925" s="38"/>
      <c r="AZ1925" s="38"/>
      <c r="BA1925" s="38"/>
      <c r="BB1925" s="38"/>
      <c r="BC1925" s="38"/>
      <c r="BD1925" s="38"/>
      <c r="BE1925" s="38"/>
      <c r="BF1925" s="38"/>
      <c r="BG1925" s="38"/>
      <c r="BH1925" s="38"/>
      <c r="BI1925" s="38"/>
      <c r="BJ1925" s="38"/>
      <c r="BK1925" s="38"/>
      <c r="BL1925" s="38"/>
      <c r="BM1925" s="38"/>
      <c r="BN1925" s="38"/>
      <c r="BO1925" s="38"/>
      <c r="BP1925" s="38"/>
      <c r="BQ1925" s="38"/>
    </row>
    <row r="1926">
      <c r="A1926" s="256" t="s">
        <v>5271</v>
      </c>
      <c r="B1926" s="59"/>
      <c r="C1926" s="79">
        <v>43374.0</v>
      </c>
      <c r="D1926" s="60"/>
      <c r="E1926" s="58" t="s">
        <v>31</v>
      </c>
      <c r="F1926" s="58">
        <v>1.0</v>
      </c>
      <c r="G1926" s="58">
        <v>1.0</v>
      </c>
      <c r="H1926" s="43">
        <v>1.0</v>
      </c>
      <c r="I1926" s="58" t="s">
        <v>33</v>
      </c>
      <c r="J1926" s="58" t="s">
        <v>47</v>
      </c>
      <c r="K1926" s="58"/>
      <c r="L1926" s="58" t="s">
        <v>76</v>
      </c>
      <c r="M1926" s="105" t="s">
        <v>5272</v>
      </c>
      <c r="N1926" s="61" t="s">
        <v>5273</v>
      </c>
      <c r="O1926" s="58"/>
      <c r="P1926" s="58"/>
      <c r="Q1926" s="58"/>
      <c r="R1926" s="62"/>
      <c r="S1926" s="37" t="str">
        <f>IFERROR(__xludf.DUMMYFUNCTION("if(not(iserror(index(split(C1926, "" ""),2))), index(split(C1926, "" ""),1),"""")"),"October,")</f>
        <v>October,</v>
      </c>
      <c r="T1926" s="38">
        <f>IFERROR(__xludf.DUMMYFUNCTION("if(S1926="""",C1926,if(not(iserror(index(split(C1926, "" ""),3))), index(split(C1926, "" ""),3),index(split(C1926, "" ""),2)))"),2018.0)</f>
        <v>2018</v>
      </c>
      <c r="U1926" s="38" t="b">
        <f t="shared" si="290"/>
        <v>0</v>
      </c>
      <c r="V1926" s="38" t="s">
        <v>33</v>
      </c>
      <c r="W1926" s="39" t="s">
        <v>5274</v>
      </c>
      <c r="X1926" s="39" t="s">
        <v>5275</v>
      </c>
      <c r="Y1926" s="40"/>
      <c r="Z1926" s="38"/>
      <c r="AA1926" s="38"/>
      <c r="AB1926" s="38"/>
      <c r="AC1926" s="38"/>
      <c r="AD1926" s="38"/>
      <c r="AE1926" s="38"/>
      <c r="AF1926" s="38"/>
      <c r="AG1926" s="38"/>
      <c r="AH1926" s="38"/>
      <c r="AI1926" s="38"/>
      <c r="AJ1926" s="38"/>
      <c r="AK1926" s="38"/>
      <c r="AL1926" s="38"/>
      <c r="AM1926" s="38"/>
      <c r="AN1926" s="38"/>
      <c r="AO1926" s="38"/>
      <c r="AP1926" s="38"/>
      <c r="AQ1926" s="38"/>
      <c r="AR1926" s="38"/>
      <c r="AS1926" s="38"/>
      <c r="AT1926" s="38"/>
      <c r="AU1926" s="38"/>
      <c r="AV1926" s="38"/>
      <c r="AW1926" s="38"/>
      <c r="AX1926" s="38"/>
      <c r="AY1926" s="38"/>
      <c r="AZ1926" s="38"/>
      <c r="BA1926" s="38"/>
      <c r="BB1926" s="38"/>
      <c r="BC1926" s="38"/>
      <c r="BD1926" s="38"/>
      <c r="BE1926" s="38"/>
      <c r="BF1926" s="38"/>
      <c r="BG1926" s="38"/>
      <c r="BH1926" s="38"/>
      <c r="BI1926" s="38"/>
      <c r="BJ1926" s="38"/>
      <c r="BK1926" s="38"/>
      <c r="BL1926" s="38"/>
      <c r="BM1926" s="38"/>
      <c r="BN1926" s="38"/>
      <c r="BO1926" s="38"/>
      <c r="BP1926" s="38"/>
      <c r="BQ1926" s="38"/>
    </row>
    <row r="1927">
      <c r="A1927" s="256" t="s">
        <v>5276</v>
      </c>
      <c r="B1927" s="59"/>
      <c r="C1927" s="79">
        <v>43374.0</v>
      </c>
      <c r="D1927" s="60"/>
      <c r="E1927" s="58" t="s">
        <v>41</v>
      </c>
      <c r="F1927" s="58">
        <v>1.0</v>
      </c>
      <c r="G1927" s="58" t="s">
        <v>32</v>
      </c>
      <c r="H1927" s="43">
        <v>1.0</v>
      </c>
      <c r="I1927" s="58" t="s">
        <v>33</v>
      </c>
      <c r="J1927" s="58" t="s">
        <v>343</v>
      </c>
      <c r="K1927" s="58"/>
      <c r="L1927" s="58" t="s">
        <v>119</v>
      </c>
      <c r="M1927" s="184" t="s">
        <v>5277</v>
      </c>
      <c r="N1927" s="77"/>
      <c r="O1927" s="88" t="str">
        <f>hyperlink("https://bad-boys.us/?q=SD-WV/2:18-cr-00219", "SD-WV 2:18-cr-00219")</f>
        <v>SD-WV 2:18-cr-00219</v>
      </c>
      <c r="P1927" s="88" t="s">
        <v>5278</v>
      </c>
      <c r="Q1927" s="58">
        <v>1.0</v>
      </c>
      <c r="R1927" s="62"/>
      <c r="S1927" s="37" t="str">
        <f>IFERROR(__xludf.DUMMYFUNCTION("if(not(iserror(index(split(C1927, "" ""),2))), index(split(C1927, "" ""),1),"""")"),"October,")</f>
        <v>October,</v>
      </c>
      <c r="T1927" s="38">
        <f>IFERROR(__xludf.DUMMYFUNCTION("if(S1927="""",C1927,if(not(iserror(index(split(C1927, "" ""),3))), index(split(C1927, "" ""),3),index(split(C1927, "" ""),2)))"),2018.0)</f>
        <v>2018</v>
      </c>
      <c r="U1927" s="38" t="b">
        <f t="shared" si="290"/>
        <v>0</v>
      </c>
      <c r="V1927" s="38" t="s">
        <v>33</v>
      </c>
      <c r="W1927" s="40"/>
      <c r="X1927" s="40"/>
      <c r="Y1927" s="40"/>
      <c r="Z1927" s="38"/>
      <c r="AA1927" s="38"/>
      <c r="AB1927" s="38"/>
      <c r="AC1927" s="38"/>
      <c r="AD1927" s="38"/>
      <c r="AE1927" s="38"/>
      <c r="AF1927" s="38"/>
      <c r="AG1927" s="38"/>
      <c r="AH1927" s="38"/>
      <c r="AI1927" s="38"/>
      <c r="AJ1927" s="38"/>
      <c r="AK1927" s="38"/>
      <c r="AL1927" s="38"/>
      <c r="AM1927" s="38"/>
      <c r="AN1927" s="38"/>
      <c r="AO1927" s="38"/>
      <c r="AP1927" s="38"/>
      <c r="AQ1927" s="38"/>
      <c r="AR1927" s="38"/>
      <c r="AS1927" s="38"/>
      <c r="AT1927" s="38"/>
      <c r="AU1927" s="38"/>
      <c r="AV1927" s="38"/>
      <c r="AW1927" s="38"/>
      <c r="AX1927" s="38"/>
      <c r="AY1927" s="38"/>
      <c r="AZ1927" s="38"/>
      <c r="BA1927" s="38"/>
      <c r="BB1927" s="38"/>
      <c r="BC1927" s="38"/>
      <c r="BD1927" s="38"/>
      <c r="BE1927" s="38"/>
      <c r="BF1927" s="38"/>
      <c r="BG1927" s="38"/>
      <c r="BH1927" s="38"/>
      <c r="BI1927" s="38"/>
      <c r="BJ1927" s="38"/>
      <c r="BK1927" s="38"/>
      <c r="BL1927" s="38"/>
      <c r="BM1927" s="38"/>
      <c r="BN1927" s="38"/>
      <c r="BO1927" s="38"/>
      <c r="BP1927" s="38"/>
      <c r="BQ1927" s="38"/>
    </row>
    <row r="1928">
      <c r="A1928" s="256" t="s">
        <v>5279</v>
      </c>
      <c r="B1928" s="59">
        <v>43375.0</v>
      </c>
      <c r="C1928" s="59">
        <v>43375.0</v>
      </c>
      <c r="D1928" s="60" t="s">
        <v>5280</v>
      </c>
      <c r="E1928" s="58" t="s">
        <v>41</v>
      </c>
      <c r="F1928" s="58">
        <v>1.0</v>
      </c>
      <c r="G1928" s="58" t="s">
        <v>32</v>
      </c>
      <c r="H1928" s="33">
        <f t="shared" ref="H1928:H1933" si="291">if(G1928="Unknown",1,G1928)</f>
        <v>1</v>
      </c>
      <c r="I1928" s="58" t="s">
        <v>33</v>
      </c>
      <c r="J1928" s="58" t="s">
        <v>433</v>
      </c>
      <c r="K1928" s="58" t="s">
        <v>32</v>
      </c>
      <c r="L1928" s="58" t="s">
        <v>52</v>
      </c>
      <c r="M1928" s="105" t="s">
        <v>5281</v>
      </c>
      <c r="N1928" s="77"/>
      <c r="O1928" s="58"/>
      <c r="P1928" s="58"/>
      <c r="Q1928" s="84"/>
      <c r="R1928" s="62"/>
      <c r="S1928" s="37" t="str">
        <f>IFERROR(__xludf.DUMMYFUNCTION("if(not(iserror(index(split(C1928, "" ""),2))), index(split(C1928, "" ""),1),"""")"),"October")</f>
        <v>October</v>
      </c>
      <c r="T1928" s="38">
        <f>IFERROR(__xludf.DUMMYFUNCTION("if(S1928="""",C1928,if(not(iserror(index(split(C1928, "" ""),3))), index(split(C1928, "" ""),3),index(split(C1928, "" ""),2)))"),2018.0)</f>
        <v>2018</v>
      </c>
      <c r="U1928" s="38" t="b">
        <f t="shared" si="290"/>
        <v>0</v>
      </c>
      <c r="V1928" s="38"/>
      <c r="W1928" s="40"/>
      <c r="X1928" s="40"/>
      <c r="Y1928" s="40"/>
      <c r="Z1928" s="38"/>
      <c r="AA1928" s="38"/>
      <c r="AB1928" s="38"/>
      <c r="AC1928" s="38"/>
      <c r="AD1928" s="38"/>
      <c r="AE1928" s="38"/>
      <c r="AF1928" s="38"/>
      <c r="AG1928" s="38"/>
      <c r="AH1928" s="38"/>
      <c r="AI1928" s="38"/>
      <c r="AJ1928" s="38"/>
      <c r="AK1928" s="38"/>
      <c r="AL1928" s="38"/>
      <c r="AM1928" s="38"/>
      <c r="AN1928" s="38"/>
      <c r="AO1928" s="38"/>
      <c r="AP1928" s="38"/>
      <c r="AQ1928" s="38"/>
      <c r="AR1928" s="38"/>
      <c r="AS1928" s="38"/>
      <c r="AT1928" s="38"/>
      <c r="AU1928" s="38"/>
      <c r="AV1928" s="38"/>
      <c r="AW1928" s="38"/>
      <c r="AX1928" s="38"/>
      <c r="AY1928" s="38"/>
      <c r="AZ1928" s="38"/>
      <c r="BA1928" s="38"/>
      <c r="BB1928" s="38"/>
      <c r="BC1928" s="38"/>
      <c r="BD1928" s="38"/>
      <c r="BE1928" s="38"/>
      <c r="BF1928" s="38"/>
      <c r="BG1928" s="38"/>
      <c r="BH1928" s="38"/>
      <c r="BI1928" s="38"/>
      <c r="BJ1928" s="38"/>
      <c r="BK1928" s="38"/>
      <c r="BL1928" s="38"/>
      <c r="BM1928" s="38"/>
      <c r="BN1928" s="38"/>
      <c r="BO1928" s="38"/>
      <c r="BP1928" s="38"/>
      <c r="BQ1928" s="38"/>
    </row>
    <row r="1929">
      <c r="A1929" s="256" t="s">
        <v>239</v>
      </c>
      <c r="B1929" s="59">
        <v>43376.0</v>
      </c>
      <c r="C1929" s="59">
        <v>43375.0</v>
      </c>
      <c r="D1929" s="60" t="s">
        <v>5280</v>
      </c>
      <c r="E1929" s="58" t="s">
        <v>41</v>
      </c>
      <c r="F1929" s="58">
        <v>2.0</v>
      </c>
      <c r="G1929" s="58">
        <v>7.0</v>
      </c>
      <c r="H1929" s="33">
        <f t="shared" si="291"/>
        <v>7</v>
      </c>
      <c r="I1929" s="58" t="s">
        <v>33</v>
      </c>
      <c r="J1929" s="58" t="s">
        <v>241</v>
      </c>
      <c r="K1929" s="58">
        <v>1.0</v>
      </c>
      <c r="L1929" s="58" t="s">
        <v>194</v>
      </c>
      <c r="M1929" s="61" t="s">
        <v>5282</v>
      </c>
      <c r="N1929" s="77"/>
      <c r="O1929" s="62"/>
      <c r="P1929" s="62"/>
      <c r="Q1929" s="62"/>
      <c r="R1929" s="62"/>
      <c r="S1929" s="37" t="str">
        <f>IFERROR(__xludf.DUMMYFUNCTION("if(not(iserror(index(split(C1929, "" ""),2))), index(split(C1929, "" ""),1),"""")"),"October")</f>
        <v>October</v>
      </c>
      <c r="T1929" s="38">
        <f>IFERROR(__xludf.DUMMYFUNCTION("if(S1929="""",C1929,if(not(iserror(index(split(C1929, "" ""),3))), index(split(C1929, "" ""),3),index(split(C1929, "" ""),2)))"),2018.0)</f>
        <v>2018</v>
      </c>
      <c r="U1929" s="38" t="b">
        <f t="shared" si="290"/>
        <v>1</v>
      </c>
      <c r="V1929" s="38"/>
      <c r="W1929" s="40"/>
      <c r="X1929" s="40"/>
      <c r="Y1929" s="40"/>
      <c r="Z1929" s="38"/>
      <c r="AA1929" s="38"/>
      <c r="AB1929" s="38"/>
      <c r="AC1929" s="38"/>
      <c r="AD1929" s="38"/>
      <c r="AE1929" s="38"/>
      <c r="AF1929" s="38"/>
      <c r="AG1929" s="38"/>
      <c r="AH1929" s="38"/>
      <c r="AI1929" s="38"/>
      <c r="AJ1929" s="38"/>
      <c r="AK1929" s="38"/>
      <c r="AL1929" s="38"/>
      <c r="AM1929" s="38"/>
      <c r="AN1929" s="38"/>
      <c r="AO1929" s="38"/>
      <c r="AP1929" s="38"/>
      <c r="AQ1929" s="38"/>
      <c r="AR1929" s="38"/>
      <c r="AS1929" s="38"/>
      <c r="AT1929" s="38"/>
      <c r="AU1929" s="38"/>
      <c r="AV1929" s="38"/>
      <c r="AW1929" s="38"/>
      <c r="AX1929" s="38"/>
      <c r="AY1929" s="38"/>
      <c r="AZ1929" s="38"/>
      <c r="BA1929" s="38"/>
      <c r="BB1929" s="38"/>
      <c r="BC1929" s="38"/>
      <c r="BD1929" s="38"/>
      <c r="BE1929" s="38"/>
      <c r="BF1929" s="38"/>
      <c r="BG1929" s="38"/>
      <c r="BH1929" s="38"/>
      <c r="BI1929" s="38"/>
      <c r="BJ1929" s="38"/>
      <c r="BK1929" s="38"/>
      <c r="BL1929" s="38"/>
      <c r="BM1929" s="38"/>
      <c r="BN1929" s="38"/>
      <c r="BO1929" s="38"/>
      <c r="BP1929" s="38"/>
      <c r="BQ1929" s="38"/>
    </row>
    <row r="1930">
      <c r="A1930" s="256" t="s">
        <v>5283</v>
      </c>
      <c r="B1930" s="59">
        <v>43376.0</v>
      </c>
      <c r="C1930" s="59">
        <v>43375.0</v>
      </c>
      <c r="D1930" s="60" t="s">
        <v>5280</v>
      </c>
      <c r="E1930" s="58" t="s">
        <v>41</v>
      </c>
      <c r="F1930" s="58">
        <v>1.0</v>
      </c>
      <c r="G1930" s="58" t="s">
        <v>32</v>
      </c>
      <c r="H1930" s="33">
        <f t="shared" si="291"/>
        <v>1</v>
      </c>
      <c r="I1930" s="58" t="s">
        <v>33</v>
      </c>
      <c r="J1930" s="58" t="s">
        <v>111</v>
      </c>
      <c r="K1930" s="58" t="s">
        <v>32</v>
      </c>
      <c r="L1930" s="58" t="s">
        <v>35</v>
      </c>
      <c r="M1930" s="61" t="s">
        <v>5284</v>
      </c>
      <c r="N1930" s="77"/>
      <c r="O1930" s="62"/>
      <c r="P1930" s="62"/>
      <c r="Q1930" s="62"/>
      <c r="R1930" s="62"/>
      <c r="S1930" s="37" t="str">
        <f>IFERROR(__xludf.DUMMYFUNCTION("if(not(iserror(index(split(C1930, "" ""),2))), index(split(C1930, "" ""),1),"""")"),"October")</f>
        <v>October</v>
      </c>
      <c r="T1930" s="38">
        <f>IFERROR(__xludf.DUMMYFUNCTION("if(S1930="""",C1930,if(not(iserror(index(split(C1930, "" ""),3))), index(split(C1930, "" ""),3),index(split(C1930, "" ""),2)))"),2018.0)</f>
        <v>2018</v>
      </c>
      <c r="U1930" s="38" t="b">
        <f t="shared" si="290"/>
        <v>0</v>
      </c>
      <c r="V1930" s="38"/>
      <c r="W1930" s="40"/>
      <c r="X1930" s="40"/>
      <c r="Y1930" s="40"/>
      <c r="Z1930" s="38"/>
      <c r="AA1930" s="38"/>
      <c r="AB1930" s="38"/>
      <c r="AC1930" s="38"/>
      <c r="AD1930" s="38"/>
      <c r="AE1930" s="38"/>
      <c r="AF1930" s="38"/>
      <c r="AG1930" s="38"/>
      <c r="AH1930" s="38"/>
      <c r="AI1930" s="38"/>
      <c r="AJ1930" s="38"/>
      <c r="AK1930" s="38"/>
      <c r="AL1930" s="38"/>
      <c r="AM1930" s="38"/>
      <c r="AN1930" s="38"/>
      <c r="AO1930" s="38"/>
      <c r="AP1930" s="38"/>
      <c r="AQ1930" s="38"/>
      <c r="AR1930" s="38"/>
      <c r="AS1930" s="38"/>
      <c r="AT1930" s="38"/>
      <c r="AU1930" s="38"/>
      <c r="AV1930" s="38"/>
      <c r="AW1930" s="38"/>
      <c r="AX1930" s="38"/>
      <c r="AY1930" s="38"/>
      <c r="AZ1930" s="38"/>
      <c r="BA1930" s="38"/>
      <c r="BB1930" s="38"/>
      <c r="BC1930" s="38"/>
      <c r="BD1930" s="38"/>
      <c r="BE1930" s="38"/>
      <c r="BF1930" s="38"/>
      <c r="BG1930" s="38"/>
      <c r="BH1930" s="38"/>
      <c r="BI1930" s="38"/>
      <c r="BJ1930" s="38"/>
      <c r="BK1930" s="38"/>
      <c r="BL1930" s="38"/>
      <c r="BM1930" s="38"/>
      <c r="BN1930" s="38"/>
      <c r="BO1930" s="38"/>
      <c r="BP1930" s="38"/>
      <c r="BQ1930" s="38"/>
    </row>
    <row r="1931">
      <c r="A1931" s="58" t="s">
        <v>5285</v>
      </c>
      <c r="B1931" s="59">
        <v>43376.0</v>
      </c>
      <c r="C1931" s="59">
        <v>43375.0</v>
      </c>
      <c r="D1931" s="60" t="s">
        <v>5280</v>
      </c>
      <c r="E1931" s="58" t="s">
        <v>31</v>
      </c>
      <c r="F1931" s="58">
        <v>1.0</v>
      </c>
      <c r="G1931" s="58" t="s">
        <v>32</v>
      </c>
      <c r="H1931" s="33">
        <f t="shared" si="291"/>
        <v>1</v>
      </c>
      <c r="I1931" s="58" t="s">
        <v>33</v>
      </c>
      <c r="J1931" s="58" t="s">
        <v>47</v>
      </c>
      <c r="K1931" s="58" t="s">
        <v>32</v>
      </c>
      <c r="L1931" s="58" t="s">
        <v>807</v>
      </c>
      <c r="M1931" s="61" t="s">
        <v>5286</v>
      </c>
      <c r="N1931" s="61" t="s">
        <v>5287</v>
      </c>
      <c r="O1931" s="88" t="str">
        <f>hyperlink("https://bad-boys.us/?q=MD-FL/3:18-cr-00179", "MD-FL 3:18-cr-00179")</f>
        <v>MD-FL 3:18-cr-00179</v>
      </c>
      <c r="P1931" s="88" t="s">
        <v>5288</v>
      </c>
      <c r="Q1931" s="58">
        <v>1.0</v>
      </c>
      <c r="R1931" s="62"/>
      <c r="S1931" s="37" t="str">
        <f>IFERROR(__xludf.DUMMYFUNCTION("if(not(iserror(index(split(C1931, "" ""),2))), index(split(C1931, "" ""),1),"""")"),"October")</f>
        <v>October</v>
      </c>
      <c r="T1931" s="38">
        <f>IFERROR(__xludf.DUMMYFUNCTION("if(S1931="""",C1931,if(not(iserror(index(split(C1931, "" ""),3))), index(split(C1931, "" ""),3),index(split(C1931, "" ""),2)))"),2018.0)</f>
        <v>2018</v>
      </c>
      <c r="U1931" s="38" t="b">
        <f t="shared" si="290"/>
        <v>0</v>
      </c>
      <c r="V1931" s="38"/>
      <c r="W1931" s="40"/>
      <c r="X1931" s="40"/>
      <c r="Y1931" s="40"/>
      <c r="Z1931" s="38"/>
      <c r="AA1931" s="38"/>
      <c r="AB1931" s="38"/>
      <c r="AC1931" s="38"/>
      <c r="AD1931" s="38"/>
      <c r="AE1931" s="38"/>
      <c r="AF1931" s="38"/>
      <c r="AG1931" s="38"/>
      <c r="AH1931" s="38"/>
      <c r="AI1931" s="38"/>
      <c r="AJ1931" s="38"/>
      <c r="AK1931" s="38"/>
      <c r="AL1931" s="38"/>
      <c r="AM1931" s="38"/>
      <c r="AN1931" s="38"/>
      <c r="AO1931" s="38"/>
      <c r="AP1931" s="38"/>
      <c r="AQ1931" s="38"/>
      <c r="AR1931" s="38"/>
      <c r="AS1931" s="38"/>
      <c r="AT1931" s="38"/>
      <c r="AU1931" s="38"/>
      <c r="AV1931" s="38"/>
      <c r="AW1931" s="38"/>
      <c r="AX1931" s="38"/>
      <c r="AY1931" s="38"/>
      <c r="AZ1931" s="38"/>
      <c r="BA1931" s="38"/>
      <c r="BB1931" s="38"/>
      <c r="BC1931" s="38"/>
      <c r="BD1931" s="38"/>
      <c r="BE1931" s="38"/>
      <c r="BF1931" s="38"/>
      <c r="BG1931" s="38"/>
      <c r="BH1931" s="38"/>
      <c r="BI1931" s="38"/>
      <c r="BJ1931" s="38"/>
      <c r="BK1931" s="38"/>
      <c r="BL1931" s="38"/>
      <c r="BM1931" s="38"/>
      <c r="BN1931" s="38"/>
      <c r="BO1931" s="38"/>
      <c r="BP1931" s="38"/>
      <c r="BQ1931" s="38"/>
    </row>
    <row r="1932">
      <c r="A1932" s="58" t="s">
        <v>239</v>
      </c>
      <c r="B1932" s="59">
        <v>43378.0</v>
      </c>
      <c r="C1932" s="59">
        <v>43375.0</v>
      </c>
      <c r="D1932" s="60" t="s">
        <v>5280</v>
      </c>
      <c r="E1932" s="58" t="s">
        <v>41</v>
      </c>
      <c r="F1932" s="58">
        <v>1.0</v>
      </c>
      <c r="G1932" s="58">
        <v>2.0</v>
      </c>
      <c r="H1932" s="33">
        <f t="shared" si="291"/>
        <v>2</v>
      </c>
      <c r="I1932" s="58" t="s">
        <v>33</v>
      </c>
      <c r="J1932" s="58" t="s">
        <v>241</v>
      </c>
      <c r="K1932" s="58">
        <v>1.0</v>
      </c>
      <c r="L1932" s="58" t="s">
        <v>194</v>
      </c>
      <c r="M1932" s="61" t="s">
        <v>5289</v>
      </c>
      <c r="N1932" s="77"/>
      <c r="O1932" s="62"/>
      <c r="P1932" s="62"/>
      <c r="Q1932" s="62"/>
      <c r="R1932" s="62"/>
      <c r="S1932" s="37" t="str">
        <f>IFERROR(__xludf.DUMMYFUNCTION("if(not(iserror(index(split(C1932, "" ""),2))), index(split(C1932, "" ""),1),"""")"),"October")</f>
        <v>October</v>
      </c>
      <c r="T1932" s="38">
        <f>IFERROR(__xludf.DUMMYFUNCTION("if(S1932="""",C1932,if(not(iserror(index(split(C1932, "" ""),3))), index(split(C1932, "" ""),3),index(split(C1932, "" ""),2)))"),2018.0)</f>
        <v>2018</v>
      </c>
      <c r="U1932" s="38" t="b">
        <f t="shared" si="290"/>
        <v>1</v>
      </c>
      <c r="V1932" s="38"/>
      <c r="W1932" s="40"/>
      <c r="X1932" s="40"/>
      <c r="Y1932" s="40"/>
      <c r="Z1932" s="38"/>
      <c r="AA1932" s="38"/>
      <c r="AB1932" s="38"/>
      <c r="AC1932" s="38"/>
      <c r="AD1932" s="38"/>
      <c r="AE1932" s="38"/>
      <c r="AF1932" s="38"/>
      <c r="AG1932" s="38"/>
      <c r="AH1932" s="38"/>
      <c r="AI1932" s="38"/>
      <c r="AJ1932" s="38"/>
      <c r="AK1932" s="38"/>
      <c r="AL1932" s="38"/>
      <c r="AM1932" s="38"/>
      <c r="AN1932" s="38"/>
      <c r="AO1932" s="38"/>
      <c r="AP1932" s="38"/>
      <c r="AQ1932" s="38"/>
      <c r="AR1932" s="38"/>
      <c r="AS1932" s="38"/>
      <c r="AT1932" s="38"/>
      <c r="AU1932" s="38"/>
      <c r="AV1932" s="38"/>
      <c r="AW1932" s="38"/>
      <c r="AX1932" s="38"/>
      <c r="AY1932" s="38"/>
      <c r="AZ1932" s="38"/>
      <c r="BA1932" s="38"/>
      <c r="BB1932" s="38"/>
      <c r="BC1932" s="38"/>
      <c r="BD1932" s="38"/>
      <c r="BE1932" s="38"/>
      <c r="BF1932" s="38"/>
      <c r="BG1932" s="38"/>
      <c r="BH1932" s="38"/>
      <c r="BI1932" s="38"/>
      <c r="BJ1932" s="38"/>
      <c r="BK1932" s="38"/>
      <c r="BL1932" s="38"/>
      <c r="BM1932" s="38"/>
      <c r="BN1932" s="38"/>
      <c r="BO1932" s="38"/>
      <c r="BP1932" s="38"/>
      <c r="BQ1932" s="38"/>
    </row>
    <row r="1933">
      <c r="A1933" s="263" t="s">
        <v>5290</v>
      </c>
      <c r="B1933" s="137">
        <v>43376.0</v>
      </c>
      <c r="C1933" s="137">
        <v>43376.0</v>
      </c>
      <c r="D1933" s="127" t="s">
        <v>5291</v>
      </c>
      <c r="E1933" s="124" t="s">
        <v>41</v>
      </c>
      <c r="F1933" s="129">
        <v>1.0</v>
      </c>
      <c r="G1933" s="128" t="s">
        <v>32</v>
      </c>
      <c r="H1933" s="130">
        <f t="shared" si="291"/>
        <v>1</v>
      </c>
      <c r="I1933" s="128" t="s">
        <v>33</v>
      </c>
      <c r="J1933" s="128" t="s">
        <v>115</v>
      </c>
      <c r="K1933" s="129">
        <v>1.0</v>
      </c>
      <c r="L1933" s="128" t="s">
        <v>119</v>
      </c>
      <c r="M1933" s="131" t="s">
        <v>5292</v>
      </c>
      <c r="N1933" s="132"/>
      <c r="O1933" s="172" t="str">
        <f>hyperlink("https://bad-boys.us/?q=WD-PA/2:18-cr-00252", "WD-PA 2:18-cr-00252")</f>
        <v>WD-PA 2:18-cr-00252</v>
      </c>
      <c r="P1933" s="173" t="s">
        <v>5293</v>
      </c>
      <c r="Q1933" s="124">
        <v>1.0</v>
      </c>
      <c r="R1933" s="133"/>
      <c r="S1933" s="37" t="str">
        <f>IFERROR(__xludf.DUMMYFUNCTION("if(not(iserror(index(split(C1933, "" ""),2))), index(split(C1933, "" ""),1),"""")"),"October")</f>
        <v>October</v>
      </c>
      <c r="T1933" s="38">
        <f>IFERROR(__xludf.DUMMYFUNCTION("if(S1933="""",C1933,if(not(iserror(index(split(C1933, "" ""),3))), index(split(C1933, "" ""),3),index(split(C1933, "" ""),2)))"),2018.0)</f>
        <v>2018</v>
      </c>
      <c r="U1933" s="38" t="b">
        <f t="shared" si="290"/>
        <v>0</v>
      </c>
      <c r="V1933" s="134"/>
      <c r="W1933" s="136"/>
      <c r="X1933" s="136"/>
      <c r="Y1933" s="136"/>
      <c r="Z1933" s="134"/>
      <c r="AA1933" s="134"/>
      <c r="AB1933" s="134"/>
      <c r="AC1933" s="134"/>
      <c r="AD1933" s="134"/>
      <c r="AE1933" s="134"/>
      <c r="AF1933" s="134"/>
      <c r="AG1933" s="134"/>
      <c r="AH1933" s="134"/>
      <c r="AI1933" s="134"/>
      <c r="AJ1933" s="134"/>
      <c r="AK1933" s="134"/>
      <c r="AL1933" s="134"/>
      <c r="AM1933" s="134"/>
      <c r="AN1933" s="134"/>
      <c r="AO1933" s="134"/>
      <c r="AP1933" s="134"/>
      <c r="AQ1933" s="134"/>
      <c r="AR1933" s="134"/>
      <c r="AS1933" s="134"/>
      <c r="AT1933" s="134"/>
      <c r="AU1933" s="134"/>
      <c r="AV1933" s="134"/>
      <c r="AW1933" s="134"/>
      <c r="AX1933" s="134"/>
      <c r="AY1933" s="134"/>
      <c r="AZ1933" s="134"/>
      <c r="BA1933" s="134"/>
      <c r="BB1933" s="134"/>
      <c r="BC1933" s="134"/>
      <c r="BD1933" s="134"/>
      <c r="BE1933" s="134"/>
      <c r="BF1933" s="134"/>
      <c r="BG1933" s="134"/>
      <c r="BH1933" s="134"/>
      <c r="BI1933" s="134"/>
      <c r="BJ1933" s="134"/>
      <c r="BK1933" s="134"/>
      <c r="BL1933" s="134"/>
      <c r="BM1933" s="134"/>
      <c r="BN1933" s="134"/>
      <c r="BO1933" s="134"/>
      <c r="BP1933" s="134"/>
      <c r="BQ1933" s="134"/>
    </row>
    <row r="1934">
      <c r="A1934" s="256" t="s">
        <v>5294</v>
      </c>
      <c r="B1934" s="59">
        <v>43376.0</v>
      </c>
      <c r="C1934" s="59">
        <v>43376.0</v>
      </c>
      <c r="D1934" s="60" t="s">
        <v>5291</v>
      </c>
      <c r="E1934" s="58" t="s">
        <v>41</v>
      </c>
      <c r="F1934" s="58">
        <v>1.0</v>
      </c>
      <c r="G1934" s="58">
        <v>1.0</v>
      </c>
      <c r="H1934" s="43">
        <v>1.0</v>
      </c>
      <c r="I1934" s="58" t="s">
        <v>33</v>
      </c>
      <c r="J1934" s="58" t="s">
        <v>93</v>
      </c>
      <c r="K1934" s="58">
        <v>2.0</v>
      </c>
      <c r="L1934" s="58" t="s">
        <v>2396</v>
      </c>
      <c r="M1934" s="61" t="s">
        <v>5295</v>
      </c>
      <c r="N1934" s="77"/>
      <c r="O1934" s="58"/>
      <c r="P1934" s="58"/>
      <c r="Q1934" s="58"/>
      <c r="R1934" s="62"/>
      <c r="S1934" s="37" t="str">
        <f>IFERROR(__xludf.DUMMYFUNCTION("if(not(iserror(index(split(C1934, "" ""),2))), index(split(C1934, "" ""),1),"""")"),"October")</f>
        <v>October</v>
      </c>
      <c r="T1934" s="38">
        <f>IFERROR(__xludf.DUMMYFUNCTION("if(S1934="""",C1934,if(not(iserror(index(split(C1934, "" ""),3))), index(split(C1934, "" ""),3),index(split(C1934, "" ""),2)))"),2018.0)</f>
        <v>2018</v>
      </c>
      <c r="U1934" s="38" t="b">
        <f t="shared" si="290"/>
        <v>0</v>
      </c>
      <c r="V1934" s="38"/>
      <c r="W1934" s="40"/>
      <c r="X1934" s="40"/>
      <c r="Y1934" s="40"/>
      <c r="Z1934" s="38"/>
      <c r="AA1934" s="38"/>
      <c r="AB1934" s="38"/>
      <c r="AC1934" s="38"/>
      <c r="AD1934" s="38"/>
      <c r="AE1934" s="38"/>
      <c r="AF1934" s="38"/>
      <c r="AG1934" s="38"/>
      <c r="AH1934" s="38"/>
      <c r="AI1934" s="38"/>
      <c r="AJ1934" s="38"/>
      <c r="AK1934" s="38"/>
      <c r="AL1934" s="38"/>
      <c r="AM1934" s="38"/>
      <c r="AN1934" s="38"/>
      <c r="AO1934" s="38"/>
      <c r="AP1934" s="38"/>
      <c r="AQ1934" s="38"/>
      <c r="AR1934" s="38"/>
      <c r="AS1934" s="38"/>
      <c r="AT1934" s="38"/>
      <c r="AU1934" s="38"/>
      <c r="AV1934" s="38"/>
      <c r="AW1934" s="38"/>
      <c r="AX1934" s="38"/>
      <c r="AY1934" s="38"/>
      <c r="AZ1934" s="38"/>
      <c r="BA1934" s="38"/>
      <c r="BB1934" s="38"/>
      <c r="BC1934" s="38"/>
      <c r="BD1934" s="38"/>
      <c r="BE1934" s="38"/>
      <c r="BF1934" s="38"/>
      <c r="BG1934" s="38"/>
      <c r="BH1934" s="38"/>
      <c r="BI1934" s="38"/>
      <c r="BJ1934" s="38"/>
      <c r="BK1934" s="38"/>
      <c r="BL1934" s="38"/>
      <c r="BM1934" s="38"/>
      <c r="BN1934" s="38"/>
      <c r="BO1934" s="38"/>
      <c r="BP1934" s="38"/>
      <c r="BQ1934" s="38"/>
    </row>
    <row r="1935">
      <c r="A1935" s="58" t="s">
        <v>5296</v>
      </c>
      <c r="B1935" s="59">
        <v>43377.0</v>
      </c>
      <c r="C1935" s="59">
        <v>43376.0</v>
      </c>
      <c r="D1935" s="60" t="s">
        <v>5291</v>
      </c>
      <c r="E1935" s="58" t="s">
        <v>41</v>
      </c>
      <c r="F1935" s="58">
        <v>1.0</v>
      </c>
      <c r="G1935" s="58" t="s">
        <v>32</v>
      </c>
      <c r="H1935" s="33">
        <f t="shared" ref="H1935:H1936" si="292">if(G1935="Unknown",1,G1935)</f>
        <v>1</v>
      </c>
      <c r="I1935" s="58" t="s">
        <v>33</v>
      </c>
      <c r="J1935" s="58" t="s">
        <v>111</v>
      </c>
      <c r="K1935" s="58">
        <v>1.0</v>
      </c>
      <c r="L1935" s="58" t="s">
        <v>52</v>
      </c>
      <c r="M1935" s="61" t="s">
        <v>5297</v>
      </c>
      <c r="N1935" s="77"/>
      <c r="O1935" s="62"/>
      <c r="P1935" s="62"/>
      <c r="Q1935" s="62"/>
      <c r="R1935" s="62"/>
      <c r="S1935" s="37" t="str">
        <f>IFERROR(__xludf.DUMMYFUNCTION("if(not(iserror(index(split(C1935, "" ""),2))), index(split(C1935, "" ""),1),"""")"),"October")</f>
        <v>October</v>
      </c>
      <c r="T1935" s="38">
        <f>IFERROR(__xludf.DUMMYFUNCTION("if(S1935="""",C1935,if(not(iserror(index(split(C1935, "" ""),3))), index(split(C1935, "" ""),3),index(split(C1935, "" ""),2)))"),2018.0)</f>
        <v>2018</v>
      </c>
      <c r="U1935" s="38" t="b">
        <f t="shared" si="290"/>
        <v>0</v>
      </c>
      <c r="V1935" s="38"/>
      <c r="W1935" s="40"/>
      <c r="X1935" s="40"/>
      <c r="Y1935" s="40"/>
      <c r="Z1935" s="38"/>
      <c r="AA1935" s="38"/>
      <c r="AB1935" s="38"/>
      <c r="AC1935" s="38"/>
      <c r="AD1935" s="38"/>
      <c r="AE1935" s="38"/>
      <c r="AF1935" s="38"/>
      <c r="AG1935" s="38"/>
      <c r="AH1935" s="38"/>
      <c r="AI1935" s="38"/>
      <c r="AJ1935" s="38"/>
      <c r="AK1935" s="38"/>
      <c r="AL1935" s="38"/>
      <c r="AM1935" s="38"/>
      <c r="AN1935" s="38"/>
      <c r="AO1935" s="38"/>
      <c r="AP1935" s="38"/>
      <c r="AQ1935" s="38"/>
      <c r="AR1935" s="38"/>
      <c r="AS1935" s="38"/>
      <c r="AT1935" s="38"/>
      <c r="AU1935" s="38"/>
      <c r="AV1935" s="38"/>
      <c r="AW1935" s="38"/>
      <c r="AX1935" s="38"/>
      <c r="AY1935" s="38"/>
      <c r="AZ1935" s="38"/>
      <c r="BA1935" s="38"/>
      <c r="BB1935" s="38"/>
      <c r="BC1935" s="38"/>
      <c r="BD1935" s="38"/>
      <c r="BE1935" s="38"/>
      <c r="BF1935" s="38"/>
      <c r="BG1935" s="38"/>
      <c r="BH1935" s="38"/>
      <c r="BI1935" s="38"/>
      <c r="BJ1935" s="38"/>
      <c r="BK1935" s="38"/>
      <c r="BL1935" s="38"/>
      <c r="BM1935" s="38"/>
      <c r="BN1935" s="38"/>
      <c r="BO1935" s="38"/>
      <c r="BP1935" s="38"/>
      <c r="BQ1935" s="38"/>
    </row>
    <row r="1936">
      <c r="A1936" s="58" t="s">
        <v>239</v>
      </c>
      <c r="B1936" s="59">
        <v>43378.0</v>
      </c>
      <c r="C1936" s="59">
        <v>43376.0</v>
      </c>
      <c r="D1936" s="60" t="s">
        <v>5291</v>
      </c>
      <c r="E1936" s="58" t="s">
        <v>41</v>
      </c>
      <c r="F1936" s="58">
        <v>2.0</v>
      </c>
      <c r="G1936" s="58">
        <v>2.0</v>
      </c>
      <c r="H1936" s="33">
        <f t="shared" si="292"/>
        <v>2</v>
      </c>
      <c r="I1936" s="58" t="s">
        <v>33</v>
      </c>
      <c r="J1936" s="58" t="s">
        <v>241</v>
      </c>
      <c r="K1936" s="58">
        <v>1.0</v>
      </c>
      <c r="L1936" s="58" t="s">
        <v>194</v>
      </c>
      <c r="M1936" s="61" t="s">
        <v>5289</v>
      </c>
      <c r="N1936" s="77"/>
      <c r="O1936" s="62"/>
      <c r="P1936" s="62"/>
      <c r="Q1936" s="62"/>
      <c r="R1936" s="62"/>
      <c r="S1936" s="37" t="str">
        <f>IFERROR(__xludf.DUMMYFUNCTION("if(not(iserror(index(split(C1936, "" ""),2))), index(split(C1936, "" ""),1),"""")"),"October")</f>
        <v>October</v>
      </c>
      <c r="T1936" s="38">
        <f>IFERROR(__xludf.DUMMYFUNCTION("if(S1936="""",C1936,if(not(iserror(index(split(C1936, "" ""),3))), index(split(C1936, "" ""),3),index(split(C1936, "" ""),2)))"),2018.0)</f>
        <v>2018</v>
      </c>
      <c r="U1936" s="38" t="b">
        <f t="shared" si="290"/>
        <v>1</v>
      </c>
      <c r="V1936" s="38"/>
      <c r="W1936" s="40"/>
      <c r="X1936" s="40"/>
      <c r="Y1936" s="40"/>
      <c r="Z1936" s="38"/>
      <c r="AA1936" s="38"/>
      <c r="AB1936" s="38"/>
      <c r="AC1936" s="38"/>
      <c r="AD1936" s="38"/>
      <c r="AE1936" s="38"/>
      <c r="AF1936" s="38"/>
      <c r="AG1936" s="38"/>
      <c r="AH1936" s="38"/>
      <c r="AI1936" s="38"/>
      <c r="AJ1936" s="38"/>
      <c r="AK1936" s="38"/>
      <c r="AL1936" s="38"/>
      <c r="AM1936" s="38"/>
      <c r="AN1936" s="38"/>
      <c r="AO1936" s="38"/>
      <c r="AP1936" s="38"/>
      <c r="AQ1936" s="38"/>
      <c r="AR1936" s="38"/>
      <c r="AS1936" s="38"/>
      <c r="AT1936" s="38"/>
      <c r="AU1936" s="38"/>
      <c r="AV1936" s="38"/>
      <c r="AW1936" s="38"/>
      <c r="AX1936" s="38"/>
      <c r="AY1936" s="38"/>
      <c r="AZ1936" s="38"/>
      <c r="BA1936" s="38"/>
      <c r="BB1936" s="38"/>
      <c r="BC1936" s="38"/>
      <c r="BD1936" s="38"/>
      <c r="BE1936" s="38"/>
      <c r="BF1936" s="38"/>
      <c r="BG1936" s="38"/>
      <c r="BH1936" s="38"/>
      <c r="BI1936" s="38"/>
      <c r="BJ1936" s="38"/>
      <c r="BK1936" s="38"/>
      <c r="BL1936" s="38"/>
      <c r="BM1936" s="38"/>
      <c r="BN1936" s="38"/>
      <c r="BO1936" s="38"/>
      <c r="BP1936" s="38"/>
      <c r="BQ1936" s="38"/>
    </row>
    <row r="1937">
      <c r="A1937" s="58" t="s">
        <v>5298</v>
      </c>
      <c r="B1937" s="59">
        <v>43378.0</v>
      </c>
      <c r="C1937" s="59">
        <v>43376.0</v>
      </c>
      <c r="D1937" s="60" t="s">
        <v>5291</v>
      </c>
      <c r="E1937" s="58" t="s">
        <v>41</v>
      </c>
      <c r="F1937" s="58">
        <v>1.0</v>
      </c>
      <c r="G1937" s="58" t="s">
        <v>32</v>
      </c>
      <c r="H1937" s="50">
        <v>1.0</v>
      </c>
      <c r="I1937" s="58" t="s">
        <v>33</v>
      </c>
      <c r="J1937" s="58" t="s">
        <v>279</v>
      </c>
      <c r="K1937" s="58">
        <v>3.0</v>
      </c>
      <c r="L1937" s="58" t="s">
        <v>76</v>
      </c>
      <c r="M1937" s="80" t="s">
        <v>5299</v>
      </c>
      <c r="N1937" s="61" t="s">
        <v>5300</v>
      </c>
      <c r="O1937" s="83" t="str">
        <f>hyperlink("https://bad-boys.us/?q=WD-MO/3:18-cr-05041", "WD-MO 3:18-cr-05041")</f>
        <v>WD-MO 3:18-cr-05041</v>
      </c>
      <c r="P1937" s="88" t="s">
        <v>5301</v>
      </c>
      <c r="Q1937" s="58">
        <v>1.0</v>
      </c>
      <c r="R1937" s="62"/>
      <c r="S1937" s="37" t="str">
        <f>IFERROR(__xludf.DUMMYFUNCTION("if(not(iserror(index(split(C1937, "" ""),2))), index(split(C1937, "" ""),1),"""")"),"October")</f>
        <v>October</v>
      </c>
      <c r="T1937" s="38">
        <f>IFERROR(__xludf.DUMMYFUNCTION("if(S1937="""",C1937,if(not(iserror(index(split(C1937, "" ""),3))), index(split(C1937, "" ""),3),index(split(C1937, "" ""),2)))"),2018.0)</f>
        <v>2018</v>
      </c>
      <c r="U1937" s="38" t="b">
        <f t="shared" si="290"/>
        <v>0</v>
      </c>
      <c r="V1937" s="38"/>
      <c r="W1937" s="40"/>
      <c r="X1937" s="40"/>
      <c r="Y1937" s="40"/>
      <c r="Z1937" s="38"/>
      <c r="AA1937" s="38"/>
      <c r="AB1937" s="38"/>
      <c r="AC1937" s="38"/>
      <c r="AD1937" s="38"/>
      <c r="AE1937" s="38"/>
      <c r="AF1937" s="38"/>
      <c r="AG1937" s="38"/>
      <c r="AH1937" s="38"/>
      <c r="AI1937" s="38"/>
      <c r="AJ1937" s="38"/>
      <c r="AK1937" s="38"/>
      <c r="AL1937" s="38"/>
      <c r="AM1937" s="38"/>
      <c r="AN1937" s="38"/>
      <c r="AO1937" s="38"/>
      <c r="AP1937" s="38"/>
      <c r="AQ1937" s="38"/>
      <c r="AR1937" s="38"/>
      <c r="AS1937" s="38"/>
      <c r="AT1937" s="38"/>
      <c r="AU1937" s="38"/>
      <c r="AV1937" s="38"/>
      <c r="AW1937" s="38"/>
      <c r="AX1937" s="38"/>
      <c r="AY1937" s="38"/>
      <c r="AZ1937" s="38"/>
      <c r="BA1937" s="38"/>
      <c r="BB1937" s="38"/>
      <c r="BC1937" s="38"/>
      <c r="BD1937" s="38"/>
      <c r="BE1937" s="38"/>
      <c r="BF1937" s="38"/>
      <c r="BG1937" s="38"/>
      <c r="BH1937" s="38"/>
      <c r="BI1937" s="38"/>
      <c r="BJ1937" s="38"/>
      <c r="BK1937" s="38"/>
      <c r="BL1937" s="38"/>
      <c r="BM1937" s="38"/>
      <c r="BN1937" s="38"/>
      <c r="BO1937" s="38"/>
      <c r="BP1937" s="38"/>
      <c r="BQ1937" s="38"/>
    </row>
    <row r="1938">
      <c r="A1938" s="58" t="s">
        <v>5302</v>
      </c>
      <c r="B1938" s="59">
        <v>43378.0</v>
      </c>
      <c r="C1938" s="59">
        <v>43376.0</v>
      </c>
      <c r="D1938" s="60" t="s">
        <v>5291</v>
      </c>
      <c r="E1938" s="58" t="s">
        <v>41</v>
      </c>
      <c r="F1938" s="58">
        <v>1.0</v>
      </c>
      <c r="G1938" s="58" t="s">
        <v>32</v>
      </c>
      <c r="H1938" s="33">
        <f>if(G1938="Unknown",1,G1938)</f>
        <v>1</v>
      </c>
      <c r="I1938" s="58" t="s">
        <v>33</v>
      </c>
      <c r="J1938" s="58" t="s">
        <v>279</v>
      </c>
      <c r="K1938" s="58">
        <v>3.0</v>
      </c>
      <c r="L1938" s="58" t="s">
        <v>807</v>
      </c>
      <c r="M1938" s="80" t="s">
        <v>5303</v>
      </c>
      <c r="N1938" s="61" t="s">
        <v>5300</v>
      </c>
      <c r="O1938" s="83" t="str">
        <f>hyperlink("https://bad-boys.us/?q=WD-MO/3:18-cr-05042", "WD-MO 3:18-cr-05042")</f>
        <v>WD-MO 3:18-cr-05042</v>
      </c>
      <c r="P1938" s="88" t="s">
        <v>5304</v>
      </c>
      <c r="Q1938" s="58">
        <v>1.0</v>
      </c>
      <c r="R1938" s="62"/>
      <c r="S1938" s="37" t="str">
        <f>IFERROR(__xludf.DUMMYFUNCTION("if(not(iserror(index(split(C1938, "" ""),2))), index(split(C1938, "" ""),1),"""")"),"October")</f>
        <v>October</v>
      </c>
      <c r="T1938" s="38">
        <f>IFERROR(__xludf.DUMMYFUNCTION("if(S1938="""",C1938,if(not(iserror(index(split(C1938, "" ""),3))), index(split(C1938, "" ""),3),index(split(C1938, "" ""),2)))"),2018.0)</f>
        <v>2018</v>
      </c>
      <c r="U1938" s="38" t="b">
        <f t="shared" si="290"/>
        <v>0</v>
      </c>
      <c r="V1938" s="38"/>
      <c r="W1938" s="40"/>
      <c r="X1938" s="40"/>
      <c r="Y1938" s="40"/>
      <c r="Z1938" s="38"/>
      <c r="AA1938" s="38"/>
      <c r="AB1938" s="38"/>
      <c r="AC1938" s="38"/>
      <c r="AD1938" s="38"/>
      <c r="AE1938" s="38"/>
      <c r="AF1938" s="38"/>
      <c r="AG1938" s="38"/>
      <c r="AH1938" s="38"/>
      <c r="AI1938" s="38"/>
      <c r="AJ1938" s="38"/>
      <c r="AK1938" s="38"/>
      <c r="AL1938" s="38"/>
      <c r="AM1938" s="38"/>
      <c r="AN1938" s="38"/>
      <c r="AO1938" s="38"/>
      <c r="AP1938" s="38"/>
      <c r="AQ1938" s="38"/>
      <c r="AR1938" s="38"/>
      <c r="AS1938" s="38"/>
      <c r="AT1938" s="38"/>
      <c r="AU1938" s="38"/>
      <c r="AV1938" s="38"/>
      <c r="AW1938" s="38"/>
      <c r="AX1938" s="38"/>
      <c r="AY1938" s="38"/>
      <c r="AZ1938" s="38"/>
      <c r="BA1938" s="38"/>
      <c r="BB1938" s="38"/>
      <c r="BC1938" s="38"/>
      <c r="BD1938" s="38"/>
      <c r="BE1938" s="38"/>
      <c r="BF1938" s="38"/>
      <c r="BG1938" s="38"/>
      <c r="BH1938" s="38"/>
      <c r="BI1938" s="38"/>
      <c r="BJ1938" s="38"/>
      <c r="BK1938" s="38"/>
      <c r="BL1938" s="38"/>
      <c r="BM1938" s="38"/>
      <c r="BN1938" s="38"/>
      <c r="BO1938" s="38"/>
      <c r="BP1938" s="38"/>
      <c r="BQ1938" s="38"/>
    </row>
    <row r="1939">
      <c r="A1939" s="58" t="s">
        <v>5305</v>
      </c>
      <c r="B1939" s="59"/>
      <c r="C1939" s="59">
        <v>43377.0</v>
      </c>
      <c r="D1939" s="60"/>
      <c r="E1939" s="58" t="s">
        <v>41</v>
      </c>
      <c r="F1939" s="58">
        <v>1.0</v>
      </c>
      <c r="G1939" s="58">
        <v>4.0</v>
      </c>
      <c r="H1939" s="43">
        <v>4.0</v>
      </c>
      <c r="I1939" s="58" t="s">
        <v>33</v>
      </c>
      <c r="J1939" s="58" t="s">
        <v>115</v>
      </c>
      <c r="K1939" s="58"/>
      <c r="L1939" s="58" t="s">
        <v>76</v>
      </c>
      <c r="M1939" s="61" t="s">
        <v>5306</v>
      </c>
      <c r="N1939" s="80"/>
      <c r="O1939" s="62"/>
      <c r="P1939" s="58"/>
      <c r="Q1939" s="58">
        <v>1.0</v>
      </c>
      <c r="R1939" s="62"/>
      <c r="S1939" s="37"/>
      <c r="T1939" s="38"/>
      <c r="U1939" s="38"/>
      <c r="V1939" s="38" t="s">
        <v>33</v>
      </c>
      <c r="W1939" s="40"/>
      <c r="X1939" s="40"/>
      <c r="Y1939" s="40"/>
      <c r="Z1939" s="38"/>
      <c r="AA1939" s="38"/>
      <c r="AB1939" s="38"/>
      <c r="AC1939" s="38"/>
      <c r="AD1939" s="38"/>
      <c r="AE1939" s="38"/>
      <c r="AF1939" s="38"/>
      <c r="AG1939" s="38"/>
      <c r="AH1939" s="38"/>
      <c r="AI1939" s="38"/>
      <c r="AJ1939" s="38"/>
      <c r="AK1939" s="38"/>
      <c r="AL1939" s="38"/>
      <c r="AM1939" s="38"/>
      <c r="AN1939" s="38"/>
      <c r="AO1939" s="38"/>
      <c r="AP1939" s="38"/>
      <c r="AQ1939" s="38"/>
      <c r="AR1939" s="38"/>
      <c r="AS1939" s="38"/>
      <c r="AT1939" s="38"/>
      <c r="AU1939" s="38"/>
      <c r="AV1939" s="38"/>
      <c r="AW1939" s="38"/>
      <c r="AX1939" s="38"/>
      <c r="AY1939" s="38"/>
      <c r="AZ1939" s="38"/>
      <c r="BA1939" s="38"/>
      <c r="BB1939" s="38"/>
      <c r="BC1939" s="38"/>
      <c r="BD1939" s="38"/>
      <c r="BE1939" s="38"/>
      <c r="BF1939" s="38"/>
      <c r="BG1939" s="38"/>
      <c r="BH1939" s="38"/>
      <c r="BI1939" s="38"/>
      <c r="BJ1939" s="38"/>
      <c r="BK1939" s="38"/>
      <c r="BL1939" s="38"/>
      <c r="BM1939" s="38"/>
      <c r="BN1939" s="38"/>
      <c r="BO1939" s="38"/>
      <c r="BP1939" s="38"/>
      <c r="BQ1939" s="38"/>
    </row>
    <row r="1940">
      <c r="A1940" s="58" t="s">
        <v>5307</v>
      </c>
      <c r="B1940" s="59">
        <v>43377.0</v>
      </c>
      <c r="C1940" s="59">
        <v>43377.0</v>
      </c>
      <c r="D1940" s="60" t="s">
        <v>5308</v>
      </c>
      <c r="E1940" s="58" t="s">
        <v>41</v>
      </c>
      <c r="F1940" s="58">
        <v>1.0</v>
      </c>
      <c r="G1940" s="58" t="s">
        <v>32</v>
      </c>
      <c r="H1940" s="33">
        <f t="shared" ref="H1940:H1941" si="293">if(G1940="Unknown",1,G1940)</f>
        <v>1</v>
      </c>
      <c r="I1940" s="58" t="s">
        <v>33</v>
      </c>
      <c r="J1940" s="58" t="s">
        <v>241</v>
      </c>
      <c r="K1940" s="58" t="s">
        <v>32</v>
      </c>
      <c r="L1940" s="58" t="s">
        <v>52</v>
      </c>
      <c r="M1940" s="61" t="s">
        <v>5309</v>
      </c>
      <c r="N1940" s="77"/>
      <c r="O1940" s="62"/>
      <c r="P1940" s="62"/>
      <c r="Q1940" s="62"/>
      <c r="R1940" s="62"/>
      <c r="S1940" s="37" t="str">
        <f>IFERROR(__xludf.DUMMYFUNCTION("if(not(iserror(index(split(C1940, "" ""),2))), index(split(C1940, "" ""),1),"""")"),"October")</f>
        <v>October</v>
      </c>
      <c r="T1940" s="38">
        <f>IFERROR(__xludf.DUMMYFUNCTION("if(S1940="""",C1940,if(not(iserror(index(split(C1940, "" ""),3))), index(split(C1940, "" ""),3),index(split(C1940, "" ""),2)))"),2018.0)</f>
        <v>2018</v>
      </c>
      <c r="U1940" s="38" t="b">
        <f t="shared" ref="U1940:U1975" si="294">countif(A$4:A4658, A1940)&gt;1</f>
        <v>0</v>
      </c>
      <c r="V1940" s="38"/>
      <c r="W1940" s="40"/>
      <c r="X1940" s="40"/>
      <c r="Y1940" s="40"/>
      <c r="Z1940" s="38"/>
      <c r="AA1940" s="38"/>
      <c r="AB1940" s="38"/>
      <c r="AC1940" s="38"/>
      <c r="AD1940" s="38"/>
      <c r="AE1940" s="38"/>
      <c r="AF1940" s="38"/>
      <c r="AG1940" s="38"/>
      <c r="AH1940" s="38"/>
      <c r="AI1940" s="38"/>
      <c r="AJ1940" s="38"/>
      <c r="AK1940" s="38"/>
      <c r="AL1940" s="38"/>
      <c r="AM1940" s="38"/>
      <c r="AN1940" s="38"/>
      <c r="AO1940" s="38"/>
      <c r="AP1940" s="38"/>
      <c r="AQ1940" s="38"/>
      <c r="AR1940" s="38"/>
      <c r="AS1940" s="38"/>
      <c r="AT1940" s="38"/>
      <c r="AU1940" s="38"/>
      <c r="AV1940" s="38"/>
      <c r="AW1940" s="38"/>
      <c r="AX1940" s="38"/>
      <c r="AY1940" s="38"/>
      <c r="AZ1940" s="38"/>
      <c r="BA1940" s="38"/>
      <c r="BB1940" s="38"/>
      <c r="BC1940" s="38"/>
      <c r="BD1940" s="38"/>
      <c r="BE1940" s="38"/>
      <c r="BF1940" s="38"/>
      <c r="BG1940" s="38"/>
      <c r="BH1940" s="38"/>
      <c r="BI1940" s="38"/>
      <c r="BJ1940" s="38"/>
      <c r="BK1940" s="38"/>
      <c r="BL1940" s="38"/>
      <c r="BM1940" s="38"/>
      <c r="BN1940" s="38"/>
      <c r="BO1940" s="38"/>
      <c r="BP1940" s="38"/>
      <c r="BQ1940" s="38"/>
    </row>
    <row r="1941">
      <c r="A1941" s="58" t="s">
        <v>239</v>
      </c>
      <c r="B1941" s="59">
        <v>43378.0</v>
      </c>
      <c r="C1941" s="59">
        <v>43377.0</v>
      </c>
      <c r="D1941" s="60" t="s">
        <v>5308</v>
      </c>
      <c r="E1941" s="58" t="s">
        <v>41</v>
      </c>
      <c r="F1941" s="58">
        <v>2.0</v>
      </c>
      <c r="G1941" s="58">
        <v>2.0</v>
      </c>
      <c r="H1941" s="33">
        <f t="shared" si="293"/>
        <v>2</v>
      </c>
      <c r="I1941" s="58" t="s">
        <v>33</v>
      </c>
      <c r="J1941" s="58" t="s">
        <v>241</v>
      </c>
      <c r="K1941" s="58">
        <v>1.0</v>
      </c>
      <c r="L1941" s="58" t="s">
        <v>194</v>
      </c>
      <c r="M1941" s="61" t="s">
        <v>5289</v>
      </c>
      <c r="N1941" s="77"/>
      <c r="O1941" s="62"/>
      <c r="P1941" s="62"/>
      <c r="Q1941" s="62"/>
      <c r="R1941" s="62"/>
      <c r="S1941" s="37" t="str">
        <f>IFERROR(__xludf.DUMMYFUNCTION("if(not(iserror(index(split(C1941, "" ""),2))), index(split(C1941, "" ""),1),"""")"),"October")</f>
        <v>October</v>
      </c>
      <c r="T1941" s="38">
        <f>IFERROR(__xludf.DUMMYFUNCTION("if(S1941="""",C1941,if(not(iserror(index(split(C1941, "" ""),3))), index(split(C1941, "" ""),3),index(split(C1941, "" ""),2)))"),2018.0)</f>
        <v>2018</v>
      </c>
      <c r="U1941" s="38" t="b">
        <f t="shared" si="294"/>
        <v>1</v>
      </c>
      <c r="V1941" s="38"/>
      <c r="W1941" s="40"/>
      <c r="X1941" s="40"/>
      <c r="Y1941" s="40"/>
      <c r="Z1941" s="38"/>
      <c r="AA1941" s="38"/>
      <c r="AB1941" s="38"/>
      <c r="AC1941" s="38"/>
      <c r="AD1941" s="38"/>
      <c r="AE1941" s="38"/>
      <c r="AF1941" s="38"/>
      <c r="AG1941" s="38"/>
      <c r="AH1941" s="38"/>
      <c r="AI1941" s="38"/>
      <c r="AJ1941" s="38"/>
      <c r="AK1941" s="38"/>
      <c r="AL1941" s="38"/>
      <c r="AM1941" s="38"/>
      <c r="AN1941" s="38"/>
      <c r="AO1941" s="38"/>
      <c r="AP1941" s="38"/>
      <c r="AQ1941" s="38"/>
      <c r="AR1941" s="38"/>
      <c r="AS1941" s="38"/>
      <c r="AT1941" s="38"/>
      <c r="AU1941" s="38"/>
      <c r="AV1941" s="38"/>
      <c r="AW1941" s="38"/>
      <c r="AX1941" s="38"/>
      <c r="AY1941" s="38"/>
      <c r="AZ1941" s="38"/>
      <c r="BA1941" s="38"/>
      <c r="BB1941" s="38"/>
      <c r="BC1941" s="38"/>
      <c r="BD1941" s="38"/>
      <c r="BE1941" s="38"/>
      <c r="BF1941" s="38"/>
      <c r="BG1941" s="38"/>
      <c r="BH1941" s="38"/>
      <c r="BI1941" s="38"/>
      <c r="BJ1941" s="38"/>
      <c r="BK1941" s="38"/>
      <c r="BL1941" s="38"/>
      <c r="BM1941" s="38"/>
      <c r="BN1941" s="38"/>
      <c r="BO1941" s="38"/>
      <c r="BP1941" s="38"/>
      <c r="BQ1941" s="38"/>
    </row>
    <row r="1942">
      <c r="A1942" s="58" t="s">
        <v>5310</v>
      </c>
      <c r="B1942" s="59"/>
      <c r="C1942" s="59">
        <v>43377.0</v>
      </c>
      <c r="D1942" s="60"/>
      <c r="E1942" s="58" t="s">
        <v>41</v>
      </c>
      <c r="F1942" s="58">
        <v>1.0</v>
      </c>
      <c r="G1942" s="58" t="s">
        <v>32</v>
      </c>
      <c r="H1942" s="43">
        <v>1.0</v>
      </c>
      <c r="I1942" s="58" t="s">
        <v>33</v>
      </c>
      <c r="J1942" s="58" t="s">
        <v>68</v>
      </c>
      <c r="K1942" s="58"/>
      <c r="L1942" s="58" t="s">
        <v>5311</v>
      </c>
      <c r="M1942" s="61" t="s">
        <v>5312</v>
      </c>
      <c r="N1942" s="77"/>
      <c r="O1942" s="62"/>
      <c r="P1942" s="62"/>
      <c r="Q1942" s="58"/>
      <c r="R1942" s="62"/>
      <c r="S1942" s="37"/>
      <c r="T1942" s="38"/>
      <c r="U1942" s="38" t="b">
        <f t="shared" si="294"/>
        <v>0</v>
      </c>
      <c r="V1942" s="38" t="s">
        <v>33</v>
      </c>
      <c r="W1942" s="40"/>
      <c r="X1942" s="40"/>
      <c r="Y1942" s="40"/>
      <c r="Z1942" s="38"/>
      <c r="AA1942" s="38"/>
      <c r="AB1942" s="38"/>
      <c r="AC1942" s="38"/>
      <c r="AD1942" s="38"/>
      <c r="AE1942" s="38"/>
      <c r="AF1942" s="38"/>
      <c r="AG1942" s="38"/>
      <c r="AH1942" s="38"/>
      <c r="AI1942" s="38"/>
      <c r="AJ1942" s="38"/>
      <c r="AK1942" s="38"/>
      <c r="AL1942" s="38"/>
      <c r="AM1942" s="38"/>
      <c r="AN1942" s="38"/>
      <c r="AO1942" s="38"/>
      <c r="AP1942" s="38"/>
      <c r="AQ1942" s="38"/>
      <c r="AR1942" s="38"/>
      <c r="AS1942" s="38"/>
      <c r="AT1942" s="38"/>
      <c r="AU1942" s="38"/>
      <c r="AV1942" s="38"/>
      <c r="AW1942" s="38"/>
      <c r="AX1942" s="38"/>
      <c r="AY1942" s="38"/>
      <c r="AZ1942" s="38"/>
      <c r="BA1942" s="38"/>
      <c r="BB1942" s="38"/>
      <c r="BC1942" s="38"/>
      <c r="BD1942" s="38"/>
      <c r="BE1942" s="38"/>
      <c r="BF1942" s="38"/>
      <c r="BG1942" s="38"/>
      <c r="BH1942" s="38"/>
      <c r="BI1942" s="38"/>
      <c r="BJ1942" s="38"/>
      <c r="BK1942" s="38"/>
      <c r="BL1942" s="38"/>
      <c r="BM1942" s="38"/>
      <c r="BN1942" s="38"/>
      <c r="BO1942" s="38"/>
      <c r="BP1942" s="38"/>
      <c r="BQ1942" s="38"/>
    </row>
    <row r="1943">
      <c r="A1943" s="58" t="s">
        <v>5313</v>
      </c>
      <c r="B1943" s="59">
        <v>43378.0</v>
      </c>
      <c r="C1943" s="59">
        <v>43377.0</v>
      </c>
      <c r="D1943" s="60" t="s">
        <v>5308</v>
      </c>
      <c r="E1943" s="58" t="s">
        <v>41</v>
      </c>
      <c r="F1943" s="58">
        <v>1.0</v>
      </c>
      <c r="G1943" s="58" t="s">
        <v>32</v>
      </c>
      <c r="H1943" s="33">
        <f t="shared" ref="H1943:H1948" si="295">if(G1943="Unknown",1,G1943)</f>
        <v>1</v>
      </c>
      <c r="I1943" s="58" t="s">
        <v>33</v>
      </c>
      <c r="J1943" s="58" t="s">
        <v>93</v>
      </c>
      <c r="K1943" s="58">
        <v>2.0</v>
      </c>
      <c r="L1943" s="58" t="s">
        <v>119</v>
      </c>
      <c r="M1943" s="120" t="s">
        <v>5314</v>
      </c>
      <c r="N1943" s="77"/>
      <c r="O1943" s="83" t="str">
        <f>hyperlink("https://bad-boys.us/?q=ND-NY/5:18-mj-00580", "ND-NY 5:18-mj-00580")</f>
        <v>ND-NY 5:18-mj-00580</v>
      </c>
      <c r="P1943" s="88" t="s">
        <v>5315</v>
      </c>
      <c r="Q1943" s="58">
        <v>1.0</v>
      </c>
      <c r="R1943" s="62"/>
      <c r="S1943" s="37" t="str">
        <f>IFERROR(__xludf.DUMMYFUNCTION("if(not(iserror(index(split(C1943, "" ""),2))), index(split(C1943, "" ""),1),"""")"),"October")</f>
        <v>October</v>
      </c>
      <c r="T1943" s="38">
        <f>IFERROR(__xludf.DUMMYFUNCTION("if(S1943="""",C1943,if(not(iserror(index(split(C1943, "" ""),3))), index(split(C1943, "" ""),3),index(split(C1943, "" ""),2)))"),2018.0)</f>
        <v>2018</v>
      </c>
      <c r="U1943" s="38" t="b">
        <f t="shared" si="294"/>
        <v>0</v>
      </c>
      <c r="V1943" s="38"/>
      <c r="W1943" s="40"/>
      <c r="X1943" s="40"/>
      <c r="Y1943" s="40"/>
      <c r="Z1943" s="38"/>
      <c r="AA1943" s="38"/>
      <c r="AB1943" s="38"/>
      <c r="AC1943" s="38"/>
      <c r="AD1943" s="38"/>
      <c r="AE1943" s="38"/>
      <c r="AF1943" s="38"/>
      <c r="AG1943" s="38"/>
      <c r="AH1943" s="38"/>
      <c r="AI1943" s="38"/>
      <c r="AJ1943" s="38"/>
      <c r="AK1943" s="38"/>
      <c r="AL1943" s="38"/>
      <c r="AM1943" s="38"/>
      <c r="AN1943" s="38"/>
      <c r="AO1943" s="38"/>
      <c r="AP1943" s="38"/>
      <c r="AQ1943" s="38"/>
      <c r="AR1943" s="38"/>
      <c r="AS1943" s="38"/>
      <c r="AT1943" s="38"/>
      <c r="AU1943" s="38"/>
      <c r="AV1943" s="38"/>
      <c r="AW1943" s="38"/>
      <c r="AX1943" s="38"/>
      <c r="AY1943" s="38"/>
      <c r="AZ1943" s="38"/>
      <c r="BA1943" s="38"/>
      <c r="BB1943" s="38"/>
      <c r="BC1943" s="38"/>
      <c r="BD1943" s="38"/>
      <c r="BE1943" s="38"/>
      <c r="BF1943" s="38"/>
      <c r="BG1943" s="38"/>
      <c r="BH1943" s="38"/>
      <c r="BI1943" s="38"/>
      <c r="BJ1943" s="38"/>
      <c r="BK1943" s="38"/>
      <c r="BL1943" s="38"/>
      <c r="BM1943" s="38"/>
      <c r="BN1943" s="38"/>
      <c r="BO1943" s="38"/>
      <c r="BP1943" s="38"/>
      <c r="BQ1943" s="38"/>
    </row>
    <row r="1944">
      <c r="A1944" s="58" t="s">
        <v>5316</v>
      </c>
      <c r="B1944" s="59">
        <v>43378.0</v>
      </c>
      <c r="C1944" s="59">
        <v>43377.0</v>
      </c>
      <c r="D1944" s="60" t="s">
        <v>5308</v>
      </c>
      <c r="E1944" s="58" t="s">
        <v>41</v>
      </c>
      <c r="F1944" s="58">
        <v>1.0</v>
      </c>
      <c r="G1944" s="58" t="s">
        <v>32</v>
      </c>
      <c r="H1944" s="33">
        <f t="shared" si="295"/>
        <v>1</v>
      </c>
      <c r="I1944" s="58" t="s">
        <v>33</v>
      </c>
      <c r="J1944" s="58" t="s">
        <v>111</v>
      </c>
      <c r="K1944" s="58">
        <v>1.0</v>
      </c>
      <c r="L1944" s="58" t="s">
        <v>76</v>
      </c>
      <c r="M1944" s="61" t="s">
        <v>2426</v>
      </c>
      <c r="N1944" s="77"/>
      <c r="O1944" s="83" t="str">
        <f>hyperlink("https://bad-boys.us/?q=CD-CA/2:18-cr-00643", "CD-CA 2:18-cr-00643")</f>
        <v>CD-CA 2:18-cr-00643</v>
      </c>
      <c r="P1944" s="88" t="s">
        <v>5317</v>
      </c>
      <c r="Q1944" s="58">
        <v>1.0</v>
      </c>
      <c r="R1944" s="62"/>
      <c r="S1944" s="37" t="str">
        <f>IFERROR(__xludf.DUMMYFUNCTION("if(not(iserror(index(split(C1944, "" ""),2))), index(split(C1944, "" ""),1),"""")"),"October")</f>
        <v>October</v>
      </c>
      <c r="T1944" s="38">
        <f>IFERROR(__xludf.DUMMYFUNCTION("if(S1944="""",C1944,if(not(iserror(index(split(C1944, "" ""),3))), index(split(C1944, "" ""),3),index(split(C1944, "" ""),2)))"),2018.0)</f>
        <v>2018</v>
      </c>
      <c r="U1944" s="38" t="b">
        <f t="shared" si="294"/>
        <v>0</v>
      </c>
      <c r="V1944" s="38"/>
      <c r="W1944" s="40"/>
      <c r="X1944" s="40"/>
      <c r="Y1944" s="40"/>
      <c r="Z1944" s="38"/>
      <c r="AA1944" s="38"/>
      <c r="AB1944" s="38"/>
      <c r="AC1944" s="38"/>
      <c r="AD1944" s="38"/>
      <c r="AE1944" s="38"/>
      <c r="AF1944" s="38"/>
      <c r="AG1944" s="38"/>
      <c r="AH1944" s="38"/>
      <c r="AI1944" s="38"/>
      <c r="AJ1944" s="38"/>
      <c r="AK1944" s="38"/>
      <c r="AL1944" s="38"/>
      <c r="AM1944" s="38"/>
      <c r="AN1944" s="38"/>
      <c r="AO1944" s="38"/>
      <c r="AP1944" s="38"/>
      <c r="AQ1944" s="38"/>
      <c r="AR1944" s="38"/>
      <c r="AS1944" s="38"/>
      <c r="AT1944" s="38"/>
      <c r="AU1944" s="38"/>
      <c r="AV1944" s="38"/>
      <c r="AW1944" s="38"/>
      <c r="AX1944" s="38"/>
      <c r="AY1944" s="38"/>
      <c r="AZ1944" s="38"/>
      <c r="BA1944" s="38"/>
      <c r="BB1944" s="38"/>
      <c r="BC1944" s="38"/>
      <c r="BD1944" s="38"/>
      <c r="BE1944" s="38"/>
      <c r="BF1944" s="38"/>
      <c r="BG1944" s="38"/>
      <c r="BH1944" s="38"/>
      <c r="BI1944" s="38"/>
      <c r="BJ1944" s="38"/>
      <c r="BK1944" s="38"/>
      <c r="BL1944" s="38"/>
      <c r="BM1944" s="38"/>
      <c r="BN1944" s="38"/>
      <c r="BO1944" s="38"/>
      <c r="BP1944" s="38"/>
      <c r="BQ1944" s="38"/>
    </row>
    <row r="1945">
      <c r="A1945" s="87" t="s">
        <v>5318</v>
      </c>
      <c r="B1945" s="59">
        <v>43378.0</v>
      </c>
      <c r="C1945" s="59">
        <v>43377.0</v>
      </c>
      <c r="D1945" s="60" t="s">
        <v>5308</v>
      </c>
      <c r="E1945" s="58" t="s">
        <v>41</v>
      </c>
      <c r="F1945" s="58">
        <v>1.0</v>
      </c>
      <c r="G1945" s="58" t="s">
        <v>32</v>
      </c>
      <c r="H1945" s="33">
        <f t="shared" si="295"/>
        <v>1</v>
      </c>
      <c r="I1945" s="58" t="s">
        <v>33</v>
      </c>
      <c r="J1945" s="58" t="s">
        <v>111</v>
      </c>
      <c r="K1945" s="58">
        <v>1.0</v>
      </c>
      <c r="L1945" s="58" t="s">
        <v>119</v>
      </c>
      <c r="M1945" s="105" t="s">
        <v>2426</v>
      </c>
      <c r="N1945" s="77"/>
      <c r="O1945" s="83" t="str">
        <f>hyperlink("https://bad-boys.us/?q=CD-CA/2:18-cr-00418", "CD-CA 2:18-cr-00418")</f>
        <v>CD-CA 2:18-cr-00418</v>
      </c>
      <c r="P1945" s="88" t="s">
        <v>4221</v>
      </c>
      <c r="Q1945" s="58">
        <v>1.0</v>
      </c>
      <c r="R1945" s="62"/>
      <c r="S1945" s="37" t="str">
        <f>IFERROR(__xludf.DUMMYFUNCTION("if(not(iserror(index(split(C1945, "" ""),2))), index(split(C1945, "" ""),1),"""")"),"October")</f>
        <v>October</v>
      </c>
      <c r="T1945" s="38">
        <f>IFERROR(__xludf.DUMMYFUNCTION("if(S1945="""",C1945,if(not(iserror(index(split(C1945, "" ""),3))), index(split(C1945, "" ""),3),index(split(C1945, "" ""),2)))"),2018.0)</f>
        <v>2018</v>
      </c>
      <c r="U1945" s="38" t="b">
        <f t="shared" si="294"/>
        <v>0</v>
      </c>
      <c r="V1945" s="38"/>
      <c r="W1945" s="40"/>
      <c r="X1945" s="40"/>
      <c r="Y1945" s="40"/>
      <c r="Z1945" s="38"/>
      <c r="AA1945" s="38"/>
      <c r="AB1945" s="38"/>
      <c r="AC1945" s="38"/>
      <c r="AD1945" s="38"/>
      <c r="AE1945" s="38"/>
      <c r="AF1945" s="38"/>
      <c r="AG1945" s="38"/>
      <c r="AH1945" s="38"/>
      <c r="AI1945" s="38"/>
      <c r="AJ1945" s="38"/>
      <c r="AK1945" s="38"/>
      <c r="AL1945" s="38"/>
      <c r="AM1945" s="38"/>
      <c r="AN1945" s="38"/>
      <c r="AO1945" s="38"/>
      <c r="AP1945" s="38"/>
      <c r="AQ1945" s="38"/>
      <c r="AR1945" s="38"/>
      <c r="AS1945" s="38"/>
      <c r="AT1945" s="38"/>
      <c r="AU1945" s="38"/>
      <c r="AV1945" s="38"/>
      <c r="AW1945" s="38"/>
      <c r="AX1945" s="38"/>
      <c r="AY1945" s="38"/>
      <c r="AZ1945" s="38"/>
      <c r="BA1945" s="38"/>
      <c r="BB1945" s="38"/>
      <c r="BC1945" s="38"/>
      <c r="BD1945" s="38"/>
      <c r="BE1945" s="38"/>
      <c r="BF1945" s="38"/>
      <c r="BG1945" s="38"/>
      <c r="BH1945" s="38"/>
      <c r="BI1945" s="38"/>
      <c r="BJ1945" s="38"/>
      <c r="BK1945" s="38"/>
      <c r="BL1945" s="38"/>
      <c r="BM1945" s="38"/>
      <c r="BN1945" s="38"/>
      <c r="BO1945" s="38"/>
      <c r="BP1945" s="38"/>
      <c r="BQ1945" s="38"/>
    </row>
    <row r="1946">
      <c r="A1946" s="87" t="s">
        <v>5319</v>
      </c>
      <c r="B1946" s="59">
        <v>43390.0</v>
      </c>
      <c r="C1946" s="59">
        <v>43377.0</v>
      </c>
      <c r="D1946" s="60" t="s">
        <v>5308</v>
      </c>
      <c r="E1946" s="58" t="s">
        <v>41</v>
      </c>
      <c r="F1946" s="58">
        <v>1.0</v>
      </c>
      <c r="G1946" s="58" t="s">
        <v>32</v>
      </c>
      <c r="H1946" s="33">
        <f t="shared" si="295"/>
        <v>1</v>
      </c>
      <c r="I1946" s="58" t="s">
        <v>33</v>
      </c>
      <c r="J1946" s="58" t="s">
        <v>184</v>
      </c>
      <c r="K1946" s="58">
        <v>2.0</v>
      </c>
      <c r="L1946" s="58" t="s">
        <v>119</v>
      </c>
      <c r="M1946" s="61" t="s">
        <v>5320</v>
      </c>
      <c r="N1946" s="80"/>
      <c r="O1946" s="58"/>
      <c r="P1946" s="58"/>
      <c r="Q1946" s="58"/>
      <c r="R1946" s="62"/>
      <c r="S1946" s="37" t="str">
        <f>IFERROR(__xludf.DUMMYFUNCTION("if(not(iserror(index(split(C1946, "" ""),2))), index(split(C1946, "" ""),1),"""")"),"October")</f>
        <v>October</v>
      </c>
      <c r="T1946" s="38">
        <f>IFERROR(__xludf.DUMMYFUNCTION("if(S1946="""",C1946,if(not(iserror(index(split(C1946, "" ""),3))), index(split(C1946, "" ""),3),index(split(C1946, "" ""),2)))"),2018.0)</f>
        <v>2018</v>
      </c>
      <c r="U1946" s="38" t="b">
        <f t="shared" si="294"/>
        <v>0</v>
      </c>
      <c r="V1946" s="38"/>
      <c r="W1946" s="40"/>
      <c r="X1946" s="40"/>
      <c r="Y1946" s="40"/>
      <c r="Z1946" s="38"/>
      <c r="AA1946" s="38"/>
      <c r="AB1946" s="38"/>
      <c r="AC1946" s="38"/>
      <c r="AD1946" s="38"/>
      <c r="AE1946" s="38"/>
      <c r="AF1946" s="38"/>
      <c r="AG1946" s="38"/>
      <c r="AH1946" s="38"/>
      <c r="AI1946" s="38"/>
      <c r="AJ1946" s="38"/>
      <c r="AK1946" s="38"/>
      <c r="AL1946" s="38"/>
      <c r="AM1946" s="38"/>
      <c r="AN1946" s="38"/>
      <c r="AO1946" s="38"/>
      <c r="AP1946" s="38"/>
      <c r="AQ1946" s="38"/>
      <c r="AR1946" s="38"/>
      <c r="AS1946" s="38"/>
      <c r="AT1946" s="38"/>
      <c r="AU1946" s="38"/>
      <c r="AV1946" s="38"/>
      <c r="AW1946" s="38"/>
      <c r="AX1946" s="38"/>
      <c r="AY1946" s="38"/>
      <c r="AZ1946" s="38"/>
      <c r="BA1946" s="38"/>
      <c r="BB1946" s="38"/>
      <c r="BC1946" s="38"/>
      <c r="BD1946" s="38"/>
      <c r="BE1946" s="38"/>
      <c r="BF1946" s="38"/>
      <c r="BG1946" s="38"/>
      <c r="BH1946" s="38"/>
      <c r="BI1946" s="38"/>
      <c r="BJ1946" s="38"/>
      <c r="BK1946" s="38"/>
      <c r="BL1946" s="38"/>
      <c r="BM1946" s="38"/>
      <c r="BN1946" s="38"/>
      <c r="BO1946" s="38"/>
      <c r="BP1946" s="38"/>
      <c r="BQ1946" s="38"/>
    </row>
    <row r="1947">
      <c r="A1947" s="58" t="s">
        <v>239</v>
      </c>
      <c r="B1947" s="59">
        <v>43390.0</v>
      </c>
      <c r="C1947" s="59">
        <v>43377.0</v>
      </c>
      <c r="D1947" s="60" t="s">
        <v>5308</v>
      </c>
      <c r="E1947" s="58" t="s">
        <v>41</v>
      </c>
      <c r="F1947" s="58">
        <v>2.0</v>
      </c>
      <c r="G1947" s="58">
        <v>2.0</v>
      </c>
      <c r="H1947" s="33">
        <f t="shared" si="295"/>
        <v>2</v>
      </c>
      <c r="I1947" s="58" t="s">
        <v>33</v>
      </c>
      <c r="J1947" s="58" t="s">
        <v>433</v>
      </c>
      <c r="K1947" s="58">
        <v>1.0</v>
      </c>
      <c r="L1947" s="58" t="s">
        <v>194</v>
      </c>
      <c r="M1947" s="105" t="s">
        <v>5321</v>
      </c>
      <c r="N1947" s="80"/>
      <c r="O1947" s="62"/>
      <c r="P1947" s="62"/>
      <c r="Q1947" s="62"/>
      <c r="R1947" s="62"/>
      <c r="S1947" s="37" t="str">
        <f>IFERROR(__xludf.DUMMYFUNCTION("if(not(iserror(index(split(C1947, "" ""),2))), index(split(C1947, "" ""),1),"""")"),"October")</f>
        <v>October</v>
      </c>
      <c r="T1947" s="38">
        <f>IFERROR(__xludf.DUMMYFUNCTION("if(S1947="""",C1947,if(not(iserror(index(split(C1947, "" ""),3))), index(split(C1947, "" ""),3),index(split(C1947, "" ""),2)))"),2018.0)</f>
        <v>2018</v>
      </c>
      <c r="U1947" s="38" t="b">
        <f t="shared" si="294"/>
        <v>1</v>
      </c>
      <c r="V1947" s="38"/>
      <c r="W1947" s="40"/>
      <c r="X1947" s="40"/>
      <c r="Y1947" s="40"/>
      <c r="Z1947" s="38"/>
      <c r="AA1947" s="38"/>
      <c r="AB1947" s="38"/>
      <c r="AC1947" s="38"/>
      <c r="AD1947" s="38"/>
      <c r="AE1947" s="38"/>
      <c r="AF1947" s="38"/>
      <c r="AG1947" s="38"/>
      <c r="AH1947" s="38"/>
      <c r="AI1947" s="38"/>
      <c r="AJ1947" s="38"/>
      <c r="AK1947" s="38"/>
      <c r="AL1947" s="38"/>
      <c r="AM1947" s="38"/>
      <c r="AN1947" s="38"/>
      <c r="AO1947" s="38"/>
      <c r="AP1947" s="38"/>
      <c r="AQ1947" s="38"/>
      <c r="AR1947" s="38"/>
      <c r="AS1947" s="38"/>
      <c r="AT1947" s="38"/>
      <c r="AU1947" s="38"/>
      <c r="AV1947" s="38"/>
      <c r="AW1947" s="38"/>
      <c r="AX1947" s="38"/>
      <c r="AY1947" s="38"/>
      <c r="AZ1947" s="38"/>
      <c r="BA1947" s="38"/>
      <c r="BB1947" s="38"/>
      <c r="BC1947" s="38"/>
      <c r="BD1947" s="38"/>
      <c r="BE1947" s="38"/>
      <c r="BF1947" s="38"/>
      <c r="BG1947" s="38"/>
      <c r="BH1947" s="38"/>
      <c r="BI1947" s="38"/>
      <c r="BJ1947" s="38"/>
      <c r="BK1947" s="38"/>
      <c r="BL1947" s="38"/>
      <c r="BM1947" s="38"/>
      <c r="BN1947" s="38"/>
      <c r="BO1947" s="38"/>
      <c r="BP1947" s="38"/>
      <c r="BQ1947" s="38"/>
    </row>
    <row r="1948">
      <c r="A1948" s="58" t="s">
        <v>5322</v>
      </c>
      <c r="B1948" s="59">
        <v>43392.0</v>
      </c>
      <c r="C1948" s="59">
        <v>43377.0</v>
      </c>
      <c r="D1948" s="60" t="s">
        <v>5308</v>
      </c>
      <c r="E1948" s="58" t="s">
        <v>41</v>
      </c>
      <c r="F1948" s="58">
        <v>1.0</v>
      </c>
      <c r="G1948" s="58" t="s">
        <v>32</v>
      </c>
      <c r="H1948" s="33">
        <f t="shared" si="295"/>
        <v>1</v>
      </c>
      <c r="I1948" s="58" t="s">
        <v>33</v>
      </c>
      <c r="J1948" s="58" t="s">
        <v>413</v>
      </c>
      <c r="K1948" s="58">
        <v>1.0</v>
      </c>
      <c r="L1948" s="58" t="s">
        <v>119</v>
      </c>
      <c r="M1948" s="80" t="s">
        <v>5323</v>
      </c>
      <c r="N1948" s="77"/>
      <c r="O1948" s="88" t="str">
        <f>hyperlink("https://bad-boys.us/?q=D-VT/5:18-cr-00124", "D-VT 5:18-cr-00124")</f>
        <v>D-VT 5:18-cr-00124</v>
      </c>
      <c r="P1948" s="88" t="s">
        <v>5324</v>
      </c>
      <c r="Q1948" s="84">
        <v>1.0</v>
      </c>
      <c r="R1948" s="62"/>
      <c r="S1948" s="37" t="str">
        <f>IFERROR(__xludf.DUMMYFUNCTION("if(not(iserror(index(split(C1948, "" ""),2))), index(split(C1948, "" ""),1),"""")"),"October")</f>
        <v>October</v>
      </c>
      <c r="T1948" s="38">
        <f>IFERROR(__xludf.DUMMYFUNCTION("if(S1948="""",C1948,if(not(iserror(index(split(C1948, "" ""),3))), index(split(C1948, "" ""),3),index(split(C1948, "" ""),2)))"),2018.0)</f>
        <v>2018</v>
      </c>
      <c r="U1948" s="38" t="b">
        <f t="shared" si="294"/>
        <v>0</v>
      </c>
      <c r="V1948" s="38"/>
      <c r="W1948" s="40"/>
      <c r="X1948" s="40"/>
      <c r="Y1948" s="40"/>
      <c r="Z1948" s="38"/>
      <c r="AA1948" s="38"/>
      <c r="AB1948" s="38"/>
      <c r="AC1948" s="38"/>
      <c r="AD1948" s="38"/>
      <c r="AE1948" s="38"/>
      <c r="AF1948" s="38"/>
      <c r="AG1948" s="38"/>
      <c r="AH1948" s="38"/>
      <c r="AI1948" s="38"/>
      <c r="AJ1948" s="38"/>
      <c r="AK1948" s="38"/>
      <c r="AL1948" s="38"/>
      <c r="AM1948" s="38"/>
      <c r="AN1948" s="38"/>
      <c r="AO1948" s="38"/>
      <c r="AP1948" s="38"/>
      <c r="AQ1948" s="38"/>
      <c r="AR1948" s="38"/>
      <c r="AS1948" s="38"/>
      <c r="AT1948" s="38"/>
      <c r="AU1948" s="38"/>
      <c r="AV1948" s="38"/>
      <c r="AW1948" s="38"/>
      <c r="AX1948" s="38"/>
      <c r="AY1948" s="38"/>
      <c r="AZ1948" s="38"/>
      <c r="BA1948" s="38"/>
      <c r="BB1948" s="38"/>
      <c r="BC1948" s="38"/>
      <c r="BD1948" s="38"/>
      <c r="BE1948" s="38"/>
      <c r="BF1948" s="38"/>
      <c r="BG1948" s="38"/>
      <c r="BH1948" s="38"/>
      <c r="BI1948" s="38"/>
      <c r="BJ1948" s="38"/>
      <c r="BK1948" s="38"/>
      <c r="BL1948" s="38"/>
      <c r="BM1948" s="38"/>
      <c r="BN1948" s="38"/>
      <c r="BO1948" s="38"/>
      <c r="BP1948" s="38"/>
      <c r="BQ1948" s="38"/>
    </row>
    <row r="1949">
      <c r="A1949" s="58" t="s">
        <v>5325</v>
      </c>
      <c r="B1949" s="59"/>
      <c r="C1949" s="59">
        <v>43378.0</v>
      </c>
      <c r="D1949" s="60"/>
      <c r="E1949" s="58" t="s">
        <v>41</v>
      </c>
      <c r="F1949" s="58">
        <v>1.0</v>
      </c>
      <c r="G1949" s="58" t="s">
        <v>32</v>
      </c>
      <c r="H1949" s="43">
        <v>1.0</v>
      </c>
      <c r="I1949" s="58" t="s">
        <v>33</v>
      </c>
      <c r="J1949" s="58" t="s">
        <v>124</v>
      </c>
      <c r="K1949" s="58"/>
      <c r="L1949" s="58" t="s">
        <v>119</v>
      </c>
      <c r="M1949" s="227" t="s">
        <v>5326</v>
      </c>
      <c r="N1949" s="77"/>
      <c r="O1949" s="58"/>
      <c r="P1949" s="58"/>
      <c r="Q1949" s="58"/>
      <c r="R1949" s="62"/>
      <c r="S1949" s="37"/>
      <c r="T1949" s="38"/>
      <c r="U1949" s="38" t="b">
        <f t="shared" si="294"/>
        <v>0</v>
      </c>
      <c r="V1949" s="38" t="s">
        <v>33</v>
      </c>
      <c r="W1949" s="40"/>
      <c r="X1949" s="40"/>
      <c r="Y1949" s="40"/>
      <c r="Z1949" s="38"/>
      <c r="AA1949" s="38"/>
      <c r="AB1949" s="38"/>
      <c r="AC1949" s="38"/>
      <c r="AD1949" s="38"/>
      <c r="AE1949" s="38"/>
      <c r="AF1949" s="38"/>
      <c r="AG1949" s="38"/>
      <c r="AH1949" s="38"/>
      <c r="AI1949" s="38"/>
      <c r="AJ1949" s="38"/>
      <c r="AK1949" s="38"/>
      <c r="AL1949" s="38"/>
      <c r="AM1949" s="38"/>
      <c r="AN1949" s="38"/>
      <c r="AO1949" s="38"/>
      <c r="AP1949" s="38"/>
      <c r="AQ1949" s="38"/>
      <c r="AR1949" s="38"/>
      <c r="AS1949" s="38"/>
      <c r="AT1949" s="38"/>
      <c r="AU1949" s="38"/>
      <c r="AV1949" s="38"/>
      <c r="AW1949" s="38"/>
      <c r="AX1949" s="38"/>
      <c r="AY1949" s="38"/>
      <c r="AZ1949" s="38"/>
      <c r="BA1949" s="38"/>
      <c r="BB1949" s="38"/>
      <c r="BC1949" s="38"/>
      <c r="BD1949" s="38"/>
      <c r="BE1949" s="38"/>
      <c r="BF1949" s="38"/>
      <c r="BG1949" s="38"/>
      <c r="BH1949" s="38"/>
      <c r="BI1949" s="38"/>
      <c r="BJ1949" s="38"/>
      <c r="BK1949" s="38"/>
      <c r="BL1949" s="38"/>
      <c r="BM1949" s="38"/>
      <c r="BN1949" s="38"/>
      <c r="BO1949" s="38"/>
      <c r="BP1949" s="38"/>
      <c r="BQ1949" s="38"/>
    </row>
    <row r="1950">
      <c r="A1950" s="58" t="s">
        <v>5327</v>
      </c>
      <c r="B1950" s="59">
        <v>43382.0</v>
      </c>
      <c r="C1950" s="59">
        <v>43378.0</v>
      </c>
      <c r="D1950" s="60" t="s">
        <v>5328</v>
      </c>
      <c r="E1950" s="58" t="s">
        <v>31</v>
      </c>
      <c r="F1950" s="58">
        <v>1.0</v>
      </c>
      <c r="G1950" s="58" t="s">
        <v>32</v>
      </c>
      <c r="H1950" s="33">
        <f t="shared" ref="H1950:H1955" si="296">if(G1950="Unknown",1,G1950)</f>
        <v>1</v>
      </c>
      <c r="I1950" s="58" t="s">
        <v>33</v>
      </c>
      <c r="J1950" s="58" t="s">
        <v>111</v>
      </c>
      <c r="K1950" s="58">
        <v>1.0</v>
      </c>
      <c r="L1950" s="58" t="s">
        <v>35</v>
      </c>
      <c r="M1950" s="61" t="s">
        <v>5329</v>
      </c>
      <c r="N1950" s="77"/>
      <c r="O1950" s="62"/>
      <c r="P1950" s="62"/>
      <c r="Q1950" s="62"/>
      <c r="R1950" s="62"/>
      <c r="S1950" s="37" t="str">
        <f>IFERROR(__xludf.DUMMYFUNCTION("if(not(iserror(index(split(C1950, "" ""),2))), index(split(C1950, "" ""),1),"""")"),"October")</f>
        <v>October</v>
      </c>
      <c r="T1950" s="38">
        <f>IFERROR(__xludf.DUMMYFUNCTION("if(S1950="""",C1950,if(not(iserror(index(split(C1950, "" ""),3))), index(split(C1950, "" ""),3),index(split(C1950, "" ""),2)))"),2018.0)</f>
        <v>2018</v>
      </c>
      <c r="U1950" s="38" t="b">
        <f t="shared" si="294"/>
        <v>0</v>
      </c>
      <c r="V1950" s="38"/>
      <c r="W1950" s="40"/>
      <c r="X1950" s="40"/>
      <c r="Y1950" s="40"/>
      <c r="Z1950" s="38"/>
      <c r="AA1950" s="38"/>
      <c r="AB1950" s="38"/>
      <c r="AC1950" s="38"/>
      <c r="AD1950" s="38"/>
      <c r="AE1950" s="38"/>
      <c r="AF1950" s="38"/>
      <c r="AG1950" s="38"/>
      <c r="AH1950" s="38"/>
      <c r="AI1950" s="38"/>
      <c r="AJ1950" s="38"/>
      <c r="AK1950" s="38"/>
      <c r="AL1950" s="38"/>
      <c r="AM1950" s="38"/>
      <c r="AN1950" s="38"/>
      <c r="AO1950" s="38"/>
      <c r="AP1950" s="38"/>
      <c r="AQ1950" s="38"/>
      <c r="AR1950" s="38"/>
      <c r="AS1950" s="38"/>
      <c r="AT1950" s="38"/>
      <c r="AU1950" s="38"/>
      <c r="AV1950" s="38"/>
      <c r="AW1950" s="38"/>
      <c r="AX1950" s="38"/>
      <c r="AY1950" s="38"/>
      <c r="AZ1950" s="38"/>
      <c r="BA1950" s="38"/>
      <c r="BB1950" s="38"/>
      <c r="BC1950" s="38"/>
      <c r="BD1950" s="38"/>
      <c r="BE1950" s="38"/>
      <c r="BF1950" s="38"/>
      <c r="BG1950" s="38"/>
      <c r="BH1950" s="38"/>
      <c r="BI1950" s="38"/>
      <c r="BJ1950" s="38"/>
      <c r="BK1950" s="38"/>
      <c r="BL1950" s="38"/>
      <c r="BM1950" s="38"/>
      <c r="BN1950" s="38"/>
      <c r="BO1950" s="38"/>
      <c r="BP1950" s="38"/>
      <c r="BQ1950" s="38"/>
    </row>
    <row r="1951">
      <c r="A1951" s="58" t="s">
        <v>239</v>
      </c>
      <c r="B1951" s="59">
        <v>43382.0</v>
      </c>
      <c r="C1951" s="59">
        <v>43379.0</v>
      </c>
      <c r="D1951" s="60" t="s">
        <v>5330</v>
      </c>
      <c r="E1951" s="58" t="s">
        <v>41</v>
      </c>
      <c r="F1951" s="58">
        <v>1.0</v>
      </c>
      <c r="G1951" s="58">
        <v>2.0</v>
      </c>
      <c r="H1951" s="33">
        <f t="shared" si="296"/>
        <v>2</v>
      </c>
      <c r="I1951" s="58" t="s">
        <v>33</v>
      </c>
      <c r="J1951" s="58" t="s">
        <v>241</v>
      </c>
      <c r="K1951" s="58">
        <v>1.0</v>
      </c>
      <c r="L1951" s="58" t="s">
        <v>194</v>
      </c>
      <c r="M1951" s="61" t="s">
        <v>5331</v>
      </c>
      <c r="N1951" s="77"/>
      <c r="O1951" s="62"/>
      <c r="P1951" s="62"/>
      <c r="Q1951" s="62"/>
      <c r="R1951" s="62"/>
      <c r="S1951" s="37" t="str">
        <f>IFERROR(__xludf.DUMMYFUNCTION("if(not(iserror(index(split(C1951, "" ""),2))), index(split(C1951, "" ""),1),"""")"),"October")</f>
        <v>October</v>
      </c>
      <c r="T1951" s="38">
        <f>IFERROR(__xludf.DUMMYFUNCTION("if(S1951="""",C1951,if(not(iserror(index(split(C1951, "" ""),3))), index(split(C1951, "" ""),3),index(split(C1951, "" ""),2)))"),2018.0)</f>
        <v>2018</v>
      </c>
      <c r="U1951" s="38" t="b">
        <f t="shared" si="294"/>
        <v>1</v>
      </c>
      <c r="V1951" s="38"/>
      <c r="W1951" s="40"/>
      <c r="X1951" s="40"/>
      <c r="Y1951" s="40"/>
      <c r="Z1951" s="38"/>
      <c r="AA1951" s="38"/>
      <c r="AB1951" s="38"/>
      <c r="AC1951" s="38"/>
      <c r="AD1951" s="38"/>
      <c r="AE1951" s="38"/>
      <c r="AF1951" s="38"/>
      <c r="AG1951" s="38"/>
      <c r="AH1951" s="38"/>
      <c r="AI1951" s="38"/>
      <c r="AJ1951" s="38"/>
      <c r="AK1951" s="38"/>
      <c r="AL1951" s="38"/>
      <c r="AM1951" s="38"/>
      <c r="AN1951" s="38"/>
      <c r="AO1951" s="38"/>
      <c r="AP1951" s="38"/>
      <c r="AQ1951" s="38"/>
      <c r="AR1951" s="38"/>
      <c r="AS1951" s="38"/>
      <c r="AT1951" s="38"/>
      <c r="AU1951" s="38"/>
      <c r="AV1951" s="38"/>
      <c r="AW1951" s="38"/>
      <c r="AX1951" s="38"/>
      <c r="AY1951" s="38"/>
      <c r="AZ1951" s="38"/>
      <c r="BA1951" s="38"/>
      <c r="BB1951" s="38"/>
      <c r="BC1951" s="38"/>
      <c r="BD1951" s="38"/>
      <c r="BE1951" s="38"/>
      <c r="BF1951" s="38"/>
      <c r="BG1951" s="38"/>
      <c r="BH1951" s="38"/>
      <c r="BI1951" s="38"/>
      <c r="BJ1951" s="38"/>
      <c r="BK1951" s="38"/>
      <c r="BL1951" s="38"/>
      <c r="BM1951" s="38"/>
      <c r="BN1951" s="38"/>
      <c r="BO1951" s="38"/>
      <c r="BP1951" s="38"/>
      <c r="BQ1951" s="38"/>
    </row>
    <row r="1952">
      <c r="A1952" s="87" t="s">
        <v>5332</v>
      </c>
      <c r="B1952" s="59">
        <v>43382.0</v>
      </c>
      <c r="C1952" s="59">
        <v>43379.0</v>
      </c>
      <c r="D1952" s="60" t="s">
        <v>5330</v>
      </c>
      <c r="E1952" s="58" t="s">
        <v>41</v>
      </c>
      <c r="F1952" s="58">
        <v>1.0</v>
      </c>
      <c r="G1952" s="58">
        <v>1.0</v>
      </c>
      <c r="H1952" s="33">
        <f t="shared" si="296"/>
        <v>1</v>
      </c>
      <c r="I1952" s="58" t="s">
        <v>33</v>
      </c>
      <c r="J1952" s="58" t="s">
        <v>93</v>
      </c>
      <c r="K1952" s="58">
        <v>1.0</v>
      </c>
      <c r="L1952" s="58" t="s">
        <v>194</v>
      </c>
      <c r="M1952" s="61" t="s">
        <v>5333</v>
      </c>
      <c r="N1952" s="77"/>
      <c r="O1952" s="83" t="str">
        <f>hyperlink("https://bad-boys.us/?q=ND-NY/8:18-cr-00365", "ND-NY 8:18-cr-00365")</f>
        <v>ND-NY 8:18-cr-00365</v>
      </c>
      <c r="P1952" s="88" t="s">
        <v>5334</v>
      </c>
      <c r="Q1952" s="58">
        <v>1.0</v>
      </c>
      <c r="R1952" s="62"/>
      <c r="S1952" s="37" t="str">
        <f>IFERROR(__xludf.DUMMYFUNCTION("if(not(iserror(index(split(C1952, "" ""),2))), index(split(C1952, "" ""),1),"""")"),"October")</f>
        <v>October</v>
      </c>
      <c r="T1952" s="38">
        <f>IFERROR(__xludf.DUMMYFUNCTION("if(S1952="""",C1952,if(not(iserror(index(split(C1952, "" ""),3))), index(split(C1952, "" ""),3),index(split(C1952, "" ""),2)))"),2018.0)</f>
        <v>2018</v>
      </c>
      <c r="U1952" s="38" t="b">
        <f t="shared" si="294"/>
        <v>0</v>
      </c>
      <c r="V1952" s="38"/>
      <c r="W1952" s="40"/>
      <c r="X1952" s="40"/>
      <c r="Y1952" s="40"/>
      <c r="Z1952" s="38"/>
      <c r="AA1952" s="38"/>
      <c r="AB1952" s="38"/>
      <c r="AC1952" s="38"/>
      <c r="AD1952" s="38"/>
      <c r="AE1952" s="38"/>
      <c r="AF1952" s="38"/>
      <c r="AG1952" s="38"/>
      <c r="AH1952" s="38"/>
      <c r="AI1952" s="38"/>
      <c r="AJ1952" s="38"/>
      <c r="AK1952" s="38"/>
      <c r="AL1952" s="38"/>
      <c r="AM1952" s="38"/>
      <c r="AN1952" s="38"/>
      <c r="AO1952" s="38"/>
      <c r="AP1952" s="38"/>
      <c r="AQ1952" s="38"/>
      <c r="AR1952" s="38"/>
      <c r="AS1952" s="38"/>
      <c r="AT1952" s="38"/>
      <c r="AU1952" s="38"/>
      <c r="AV1952" s="38"/>
      <c r="AW1952" s="38"/>
      <c r="AX1952" s="38"/>
      <c r="AY1952" s="38"/>
      <c r="AZ1952" s="38"/>
      <c r="BA1952" s="38"/>
      <c r="BB1952" s="38"/>
      <c r="BC1952" s="38"/>
      <c r="BD1952" s="38"/>
      <c r="BE1952" s="38"/>
      <c r="BF1952" s="38"/>
      <c r="BG1952" s="38"/>
      <c r="BH1952" s="38"/>
      <c r="BI1952" s="38"/>
      <c r="BJ1952" s="38"/>
      <c r="BK1952" s="38"/>
      <c r="BL1952" s="38"/>
      <c r="BM1952" s="38"/>
      <c r="BN1952" s="38"/>
      <c r="BO1952" s="38"/>
      <c r="BP1952" s="38"/>
      <c r="BQ1952" s="38"/>
    </row>
    <row r="1953">
      <c r="A1953" s="58" t="s">
        <v>239</v>
      </c>
      <c r="B1953" s="59">
        <v>43384.0</v>
      </c>
      <c r="C1953" s="59">
        <v>43379.0</v>
      </c>
      <c r="D1953" s="60" t="s">
        <v>5330</v>
      </c>
      <c r="E1953" s="58" t="s">
        <v>41</v>
      </c>
      <c r="F1953" s="58">
        <v>1.0</v>
      </c>
      <c r="G1953" s="58">
        <v>4.0</v>
      </c>
      <c r="H1953" s="33">
        <f t="shared" si="296"/>
        <v>4</v>
      </c>
      <c r="I1953" s="58" t="s">
        <v>33</v>
      </c>
      <c r="J1953" s="58" t="s">
        <v>147</v>
      </c>
      <c r="K1953" s="58">
        <v>1.0</v>
      </c>
      <c r="L1953" s="58" t="s">
        <v>194</v>
      </c>
      <c r="M1953" s="61" t="s">
        <v>5335</v>
      </c>
      <c r="N1953" s="77"/>
      <c r="O1953" s="62"/>
      <c r="P1953" s="62"/>
      <c r="Q1953" s="62"/>
      <c r="R1953" s="62"/>
      <c r="S1953" s="37" t="str">
        <f>IFERROR(__xludf.DUMMYFUNCTION("if(not(iserror(index(split(C1953, "" ""),2))), index(split(C1953, "" ""),1),"""")"),"October")</f>
        <v>October</v>
      </c>
      <c r="T1953" s="38">
        <f>IFERROR(__xludf.DUMMYFUNCTION("if(S1953="""",C1953,if(not(iserror(index(split(C1953, "" ""),3))), index(split(C1953, "" ""),3),index(split(C1953, "" ""),2)))"),2018.0)</f>
        <v>2018</v>
      </c>
      <c r="U1953" s="38" t="b">
        <f t="shared" si="294"/>
        <v>1</v>
      </c>
      <c r="V1953" s="38"/>
      <c r="W1953" s="40"/>
      <c r="X1953" s="40"/>
      <c r="Y1953" s="40"/>
      <c r="Z1953" s="38"/>
      <c r="AA1953" s="38"/>
      <c r="AB1953" s="38"/>
      <c r="AC1953" s="38"/>
      <c r="AD1953" s="38"/>
      <c r="AE1953" s="38"/>
      <c r="AF1953" s="38"/>
      <c r="AG1953" s="38"/>
      <c r="AH1953" s="38"/>
      <c r="AI1953" s="38"/>
      <c r="AJ1953" s="38"/>
      <c r="AK1953" s="38"/>
      <c r="AL1953" s="38"/>
      <c r="AM1953" s="38"/>
      <c r="AN1953" s="38"/>
      <c r="AO1953" s="38"/>
      <c r="AP1953" s="38"/>
      <c r="AQ1953" s="38"/>
      <c r="AR1953" s="38"/>
      <c r="AS1953" s="38"/>
      <c r="AT1953" s="38"/>
      <c r="AU1953" s="38"/>
      <c r="AV1953" s="38"/>
      <c r="AW1953" s="38"/>
      <c r="AX1953" s="38"/>
      <c r="AY1953" s="38"/>
      <c r="AZ1953" s="38"/>
      <c r="BA1953" s="38"/>
      <c r="BB1953" s="38"/>
      <c r="BC1953" s="38"/>
      <c r="BD1953" s="38"/>
      <c r="BE1953" s="38"/>
      <c r="BF1953" s="38"/>
      <c r="BG1953" s="38"/>
      <c r="BH1953" s="38"/>
      <c r="BI1953" s="38"/>
      <c r="BJ1953" s="38"/>
      <c r="BK1953" s="38"/>
      <c r="BL1953" s="38"/>
      <c r="BM1953" s="38"/>
      <c r="BN1953" s="38"/>
      <c r="BO1953" s="38"/>
      <c r="BP1953" s="38"/>
      <c r="BQ1953" s="38"/>
    </row>
    <row r="1954">
      <c r="A1954" s="58" t="s">
        <v>239</v>
      </c>
      <c r="B1954" s="59">
        <v>43380.0</v>
      </c>
      <c r="C1954" s="59">
        <v>43380.0</v>
      </c>
      <c r="D1954" s="60" t="s">
        <v>5336</v>
      </c>
      <c r="E1954" s="58" t="s">
        <v>41</v>
      </c>
      <c r="F1954" s="58">
        <v>2.0</v>
      </c>
      <c r="G1954" s="58">
        <v>43.0</v>
      </c>
      <c r="H1954" s="33">
        <f t="shared" si="296"/>
        <v>43</v>
      </c>
      <c r="I1954" s="58" t="s">
        <v>33</v>
      </c>
      <c r="J1954" s="58" t="s">
        <v>147</v>
      </c>
      <c r="K1954" s="58">
        <v>1.0</v>
      </c>
      <c r="L1954" s="58" t="s">
        <v>194</v>
      </c>
      <c r="M1954" s="61" t="s">
        <v>5337</v>
      </c>
      <c r="N1954" s="77"/>
      <c r="O1954" s="62"/>
      <c r="P1954" s="62"/>
      <c r="Q1954" s="62"/>
      <c r="R1954" s="62"/>
      <c r="S1954" s="37" t="str">
        <f>IFERROR(__xludf.DUMMYFUNCTION("if(not(iserror(index(split(C1954, "" ""),2))), index(split(C1954, "" ""),1),"""")"),"October")</f>
        <v>October</v>
      </c>
      <c r="T1954" s="38">
        <f>IFERROR(__xludf.DUMMYFUNCTION("if(S1954="""",C1954,if(not(iserror(index(split(C1954, "" ""),3))), index(split(C1954, "" ""),3),index(split(C1954, "" ""),2)))"),2018.0)</f>
        <v>2018</v>
      </c>
      <c r="U1954" s="38" t="b">
        <f t="shared" si="294"/>
        <v>1</v>
      </c>
      <c r="V1954" s="38"/>
      <c r="W1954" s="40"/>
      <c r="X1954" s="40"/>
      <c r="Y1954" s="40"/>
      <c r="Z1954" s="38"/>
      <c r="AA1954" s="38"/>
      <c r="AB1954" s="38"/>
      <c r="AC1954" s="38"/>
      <c r="AD1954" s="38"/>
      <c r="AE1954" s="38"/>
      <c r="AF1954" s="38"/>
      <c r="AG1954" s="38"/>
      <c r="AH1954" s="38"/>
      <c r="AI1954" s="38"/>
      <c r="AJ1954" s="38"/>
      <c r="AK1954" s="38"/>
      <c r="AL1954" s="38"/>
      <c r="AM1954" s="38"/>
      <c r="AN1954" s="38"/>
      <c r="AO1954" s="38"/>
      <c r="AP1954" s="38"/>
      <c r="AQ1954" s="38"/>
      <c r="AR1954" s="38"/>
      <c r="AS1954" s="38"/>
      <c r="AT1954" s="38"/>
      <c r="AU1954" s="38"/>
      <c r="AV1954" s="38"/>
      <c r="AW1954" s="38"/>
      <c r="AX1954" s="38"/>
      <c r="AY1954" s="38"/>
      <c r="AZ1954" s="38"/>
      <c r="BA1954" s="38"/>
      <c r="BB1954" s="38"/>
      <c r="BC1954" s="38"/>
      <c r="BD1954" s="38"/>
      <c r="BE1954" s="38"/>
      <c r="BF1954" s="38"/>
      <c r="BG1954" s="38"/>
      <c r="BH1954" s="38"/>
      <c r="BI1954" s="38"/>
      <c r="BJ1954" s="38"/>
      <c r="BK1954" s="38"/>
      <c r="BL1954" s="38"/>
      <c r="BM1954" s="38"/>
      <c r="BN1954" s="38"/>
      <c r="BO1954" s="38"/>
      <c r="BP1954" s="38"/>
      <c r="BQ1954" s="38"/>
    </row>
    <row r="1955">
      <c r="A1955" s="58" t="s">
        <v>239</v>
      </c>
      <c r="B1955" s="59">
        <v>43381.0</v>
      </c>
      <c r="C1955" s="59">
        <v>43380.0</v>
      </c>
      <c r="D1955" s="60" t="s">
        <v>5336</v>
      </c>
      <c r="E1955" s="58" t="s">
        <v>41</v>
      </c>
      <c r="F1955" s="58">
        <v>1.0</v>
      </c>
      <c r="G1955" s="58" t="s">
        <v>32</v>
      </c>
      <c r="H1955" s="33">
        <f t="shared" si="296"/>
        <v>1</v>
      </c>
      <c r="I1955" s="58" t="s">
        <v>33</v>
      </c>
      <c r="J1955" s="58" t="s">
        <v>147</v>
      </c>
      <c r="K1955" s="58" t="s">
        <v>32</v>
      </c>
      <c r="L1955" s="58" t="s">
        <v>194</v>
      </c>
      <c r="M1955" s="61" t="s">
        <v>5338</v>
      </c>
      <c r="N1955" s="77"/>
      <c r="O1955" s="62"/>
      <c r="P1955" s="62"/>
      <c r="Q1955" s="62"/>
      <c r="R1955" s="62"/>
      <c r="S1955" s="37" t="str">
        <f>IFERROR(__xludf.DUMMYFUNCTION("if(not(iserror(index(split(C1955, "" ""),2))), index(split(C1955, "" ""),1),"""")"),"October")</f>
        <v>October</v>
      </c>
      <c r="T1955" s="38">
        <f>IFERROR(__xludf.DUMMYFUNCTION("if(S1955="""",C1955,if(not(iserror(index(split(C1955, "" ""),3))), index(split(C1955, "" ""),3),index(split(C1955, "" ""),2)))"),2018.0)</f>
        <v>2018</v>
      </c>
      <c r="U1955" s="38" t="b">
        <f t="shared" si="294"/>
        <v>1</v>
      </c>
      <c r="V1955" s="38"/>
      <c r="W1955" s="40"/>
      <c r="X1955" s="40"/>
      <c r="Y1955" s="40"/>
      <c r="Z1955" s="38"/>
      <c r="AA1955" s="38"/>
      <c r="AB1955" s="38"/>
      <c r="AC1955" s="38"/>
      <c r="AD1955" s="38"/>
      <c r="AE1955" s="38"/>
      <c r="AF1955" s="38"/>
      <c r="AG1955" s="38"/>
      <c r="AH1955" s="38"/>
      <c r="AI1955" s="38"/>
      <c r="AJ1955" s="38"/>
      <c r="AK1955" s="38"/>
      <c r="AL1955" s="38"/>
      <c r="AM1955" s="38"/>
      <c r="AN1955" s="38"/>
      <c r="AO1955" s="38"/>
      <c r="AP1955" s="38"/>
      <c r="AQ1955" s="38"/>
      <c r="AR1955" s="38"/>
      <c r="AS1955" s="38"/>
      <c r="AT1955" s="38"/>
      <c r="AU1955" s="38"/>
      <c r="AV1955" s="38"/>
      <c r="AW1955" s="38"/>
      <c r="AX1955" s="38"/>
      <c r="AY1955" s="38"/>
      <c r="AZ1955" s="38"/>
      <c r="BA1955" s="38"/>
      <c r="BB1955" s="38"/>
      <c r="BC1955" s="38"/>
      <c r="BD1955" s="38"/>
      <c r="BE1955" s="38"/>
      <c r="BF1955" s="38"/>
      <c r="BG1955" s="38"/>
      <c r="BH1955" s="38"/>
      <c r="BI1955" s="38"/>
      <c r="BJ1955" s="38"/>
      <c r="BK1955" s="38"/>
      <c r="BL1955" s="38"/>
      <c r="BM1955" s="38"/>
      <c r="BN1955" s="38"/>
      <c r="BO1955" s="38"/>
      <c r="BP1955" s="38"/>
      <c r="BQ1955" s="38"/>
    </row>
    <row r="1956">
      <c r="A1956" s="58" t="s">
        <v>5339</v>
      </c>
      <c r="B1956" s="59"/>
      <c r="C1956" s="59">
        <v>43381.0</v>
      </c>
      <c r="D1956" s="60"/>
      <c r="E1956" s="58" t="s">
        <v>41</v>
      </c>
      <c r="F1956" s="58">
        <v>1.0</v>
      </c>
      <c r="G1956" s="58" t="s">
        <v>32</v>
      </c>
      <c r="H1956" s="43">
        <v>1.0</v>
      </c>
      <c r="I1956" s="58" t="s">
        <v>33</v>
      </c>
      <c r="J1956" s="58" t="s">
        <v>203</v>
      </c>
      <c r="K1956" s="58"/>
      <c r="L1956" s="58" t="s">
        <v>69</v>
      </c>
      <c r="M1956" s="61" t="s">
        <v>5340</v>
      </c>
      <c r="N1956" s="77"/>
      <c r="O1956" s="83" t="str">
        <f>hyperlink("https://bad-boys.us/?q=D-SD/4:19-cr-40081", "D-SD 4:19-cr-40081")</f>
        <v>D-SD 4:19-cr-40081</v>
      </c>
      <c r="P1956" s="62"/>
      <c r="Q1956" s="58">
        <v>1.0</v>
      </c>
      <c r="R1956" s="62"/>
      <c r="S1956" s="37"/>
      <c r="T1956" s="38"/>
      <c r="U1956" s="38" t="b">
        <f t="shared" si="294"/>
        <v>0</v>
      </c>
      <c r="V1956" s="38" t="s">
        <v>33</v>
      </c>
      <c r="W1956" s="40"/>
      <c r="X1956" s="40"/>
      <c r="Y1956" s="40"/>
      <c r="Z1956" s="38"/>
      <c r="AA1956" s="38"/>
      <c r="AB1956" s="38"/>
      <c r="AC1956" s="38"/>
      <c r="AD1956" s="38"/>
      <c r="AE1956" s="38"/>
      <c r="AF1956" s="38"/>
      <c r="AG1956" s="38"/>
      <c r="AH1956" s="38"/>
      <c r="AI1956" s="38"/>
      <c r="AJ1956" s="38"/>
      <c r="AK1956" s="38"/>
      <c r="AL1956" s="38"/>
      <c r="AM1956" s="38"/>
      <c r="AN1956" s="38"/>
      <c r="AO1956" s="38"/>
      <c r="AP1956" s="38"/>
      <c r="AQ1956" s="38"/>
      <c r="AR1956" s="38"/>
      <c r="AS1956" s="38"/>
      <c r="AT1956" s="38"/>
      <c r="AU1956" s="38"/>
      <c r="AV1956" s="38"/>
      <c r="AW1956" s="38"/>
      <c r="AX1956" s="38"/>
      <c r="AY1956" s="38"/>
      <c r="AZ1956" s="38"/>
      <c r="BA1956" s="38"/>
      <c r="BB1956" s="38"/>
      <c r="BC1956" s="38"/>
      <c r="BD1956" s="38"/>
      <c r="BE1956" s="38"/>
      <c r="BF1956" s="38"/>
      <c r="BG1956" s="38"/>
      <c r="BH1956" s="38"/>
      <c r="BI1956" s="38"/>
      <c r="BJ1956" s="38"/>
      <c r="BK1956" s="38"/>
      <c r="BL1956" s="38"/>
      <c r="BM1956" s="38"/>
      <c r="BN1956" s="38"/>
      <c r="BO1956" s="38"/>
      <c r="BP1956" s="38"/>
      <c r="BQ1956" s="38"/>
    </row>
    <row r="1957">
      <c r="A1957" s="58" t="s">
        <v>5341</v>
      </c>
      <c r="B1957" s="59">
        <v>43382.0</v>
      </c>
      <c r="C1957" s="59">
        <v>43381.0</v>
      </c>
      <c r="D1957" s="60" t="s">
        <v>5342</v>
      </c>
      <c r="E1957" s="58" t="s">
        <v>41</v>
      </c>
      <c r="F1957" s="58">
        <v>2.0</v>
      </c>
      <c r="G1957" s="58" t="s">
        <v>32</v>
      </c>
      <c r="H1957" s="33">
        <f t="shared" ref="H1957:H1963" si="297">if(G1957="Unknown",1,G1957)</f>
        <v>1</v>
      </c>
      <c r="I1957" s="58" t="s">
        <v>33</v>
      </c>
      <c r="J1957" s="58" t="s">
        <v>147</v>
      </c>
      <c r="K1957" s="58">
        <v>1.0</v>
      </c>
      <c r="L1957" s="58" t="s">
        <v>194</v>
      </c>
      <c r="M1957" s="61" t="s">
        <v>5343</v>
      </c>
      <c r="N1957" s="77"/>
      <c r="O1957" s="62"/>
      <c r="P1957" s="62"/>
      <c r="Q1957" s="62"/>
      <c r="R1957" s="62"/>
      <c r="S1957" s="37" t="str">
        <f>IFERROR(__xludf.DUMMYFUNCTION("if(not(iserror(index(split(C1957, "" ""),2))), index(split(C1957, "" ""),1),"""")"),"October")</f>
        <v>October</v>
      </c>
      <c r="T1957" s="38">
        <f>IFERROR(__xludf.DUMMYFUNCTION("if(S1957="""",C1957,if(not(iserror(index(split(C1957, "" ""),3))), index(split(C1957, "" ""),3),index(split(C1957, "" ""),2)))"),2018.0)</f>
        <v>2018</v>
      </c>
      <c r="U1957" s="38" t="b">
        <f t="shared" si="294"/>
        <v>0</v>
      </c>
      <c r="V1957" s="38"/>
      <c r="W1957" s="40"/>
      <c r="X1957" s="40"/>
      <c r="Y1957" s="40"/>
      <c r="Z1957" s="38"/>
      <c r="AA1957" s="38"/>
      <c r="AB1957" s="38"/>
      <c r="AC1957" s="38"/>
      <c r="AD1957" s="38"/>
      <c r="AE1957" s="38"/>
      <c r="AF1957" s="38"/>
      <c r="AG1957" s="38"/>
      <c r="AH1957" s="38"/>
      <c r="AI1957" s="38"/>
      <c r="AJ1957" s="38"/>
      <c r="AK1957" s="38"/>
      <c r="AL1957" s="38"/>
      <c r="AM1957" s="38"/>
      <c r="AN1957" s="38"/>
      <c r="AO1957" s="38"/>
      <c r="AP1957" s="38"/>
      <c r="AQ1957" s="38"/>
      <c r="AR1957" s="38"/>
      <c r="AS1957" s="38"/>
      <c r="AT1957" s="38"/>
      <c r="AU1957" s="38"/>
      <c r="AV1957" s="38"/>
      <c r="AW1957" s="38"/>
      <c r="AX1957" s="38"/>
      <c r="AY1957" s="38"/>
      <c r="AZ1957" s="38"/>
      <c r="BA1957" s="38"/>
      <c r="BB1957" s="38"/>
      <c r="BC1957" s="38"/>
      <c r="BD1957" s="38"/>
      <c r="BE1957" s="38"/>
      <c r="BF1957" s="38"/>
      <c r="BG1957" s="38"/>
      <c r="BH1957" s="38"/>
      <c r="BI1957" s="38"/>
      <c r="BJ1957" s="38"/>
      <c r="BK1957" s="38"/>
      <c r="BL1957" s="38"/>
      <c r="BM1957" s="38"/>
      <c r="BN1957" s="38"/>
      <c r="BO1957" s="38"/>
      <c r="BP1957" s="38"/>
      <c r="BQ1957" s="38"/>
    </row>
    <row r="1958">
      <c r="A1958" s="58" t="s">
        <v>239</v>
      </c>
      <c r="B1958" s="59">
        <v>43383.0</v>
      </c>
      <c r="C1958" s="59">
        <v>43382.0</v>
      </c>
      <c r="D1958" s="60" t="s">
        <v>5344</v>
      </c>
      <c r="E1958" s="58" t="s">
        <v>41</v>
      </c>
      <c r="F1958" s="58">
        <v>2.0</v>
      </c>
      <c r="G1958" s="58">
        <v>5.0</v>
      </c>
      <c r="H1958" s="33">
        <f t="shared" si="297"/>
        <v>5</v>
      </c>
      <c r="I1958" s="58" t="s">
        <v>33</v>
      </c>
      <c r="J1958" s="58" t="s">
        <v>241</v>
      </c>
      <c r="K1958" s="58">
        <v>1.0</v>
      </c>
      <c r="L1958" s="58" t="s">
        <v>194</v>
      </c>
      <c r="M1958" s="61" t="s">
        <v>5345</v>
      </c>
      <c r="N1958" s="77"/>
      <c r="O1958" s="62"/>
      <c r="P1958" s="62"/>
      <c r="Q1958" s="62"/>
      <c r="R1958" s="62"/>
      <c r="S1958" s="37" t="str">
        <f>IFERROR(__xludf.DUMMYFUNCTION("if(not(iserror(index(split(C1958, "" ""),2))), index(split(C1958, "" ""),1),"""")"),"October")</f>
        <v>October</v>
      </c>
      <c r="T1958" s="38">
        <f>IFERROR(__xludf.DUMMYFUNCTION("if(S1958="""",C1958,if(not(iserror(index(split(C1958, "" ""),3))), index(split(C1958, "" ""),3),index(split(C1958, "" ""),2)))"),2018.0)</f>
        <v>2018</v>
      </c>
      <c r="U1958" s="38" t="b">
        <f t="shared" si="294"/>
        <v>1</v>
      </c>
      <c r="V1958" s="38"/>
      <c r="W1958" s="40"/>
      <c r="X1958" s="40"/>
      <c r="Y1958" s="40"/>
      <c r="Z1958" s="38"/>
      <c r="AA1958" s="38"/>
      <c r="AB1958" s="38"/>
      <c r="AC1958" s="38"/>
      <c r="AD1958" s="38"/>
      <c r="AE1958" s="38"/>
      <c r="AF1958" s="38"/>
      <c r="AG1958" s="38"/>
      <c r="AH1958" s="38"/>
      <c r="AI1958" s="38"/>
      <c r="AJ1958" s="38"/>
      <c r="AK1958" s="38"/>
      <c r="AL1958" s="38"/>
      <c r="AM1958" s="38"/>
      <c r="AN1958" s="38"/>
      <c r="AO1958" s="38"/>
      <c r="AP1958" s="38"/>
      <c r="AQ1958" s="38"/>
      <c r="AR1958" s="38"/>
      <c r="AS1958" s="38"/>
      <c r="AT1958" s="38"/>
      <c r="AU1958" s="38"/>
      <c r="AV1958" s="38"/>
      <c r="AW1958" s="38"/>
      <c r="AX1958" s="38"/>
      <c r="AY1958" s="38"/>
      <c r="AZ1958" s="38"/>
      <c r="BA1958" s="38"/>
      <c r="BB1958" s="38"/>
      <c r="BC1958" s="38"/>
      <c r="BD1958" s="38"/>
      <c r="BE1958" s="38"/>
      <c r="BF1958" s="38"/>
      <c r="BG1958" s="38"/>
      <c r="BH1958" s="38"/>
      <c r="BI1958" s="38"/>
      <c r="BJ1958" s="38"/>
      <c r="BK1958" s="38"/>
      <c r="BL1958" s="38"/>
      <c r="BM1958" s="38"/>
      <c r="BN1958" s="38"/>
      <c r="BO1958" s="38"/>
      <c r="BP1958" s="38"/>
      <c r="BQ1958" s="38"/>
    </row>
    <row r="1959">
      <c r="A1959" s="58" t="s">
        <v>5346</v>
      </c>
      <c r="B1959" s="59">
        <v>43383.0</v>
      </c>
      <c r="C1959" s="59">
        <v>43382.0</v>
      </c>
      <c r="D1959" s="60" t="s">
        <v>5344</v>
      </c>
      <c r="E1959" s="58" t="s">
        <v>31</v>
      </c>
      <c r="F1959" s="58">
        <v>1.0</v>
      </c>
      <c r="G1959" s="58" t="s">
        <v>32</v>
      </c>
      <c r="H1959" s="33">
        <f t="shared" si="297"/>
        <v>1</v>
      </c>
      <c r="I1959" s="58" t="s">
        <v>33</v>
      </c>
      <c r="J1959" s="58" t="s">
        <v>147</v>
      </c>
      <c r="K1959" s="58">
        <v>1.0</v>
      </c>
      <c r="L1959" s="58" t="s">
        <v>52</v>
      </c>
      <c r="M1959" s="61" t="s">
        <v>5347</v>
      </c>
      <c r="N1959" s="77"/>
      <c r="O1959" s="62"/>
      <c r="P1959" s="62"/>
      <c r="Q1959" s="62"/>
      <c r="R1959" s="62"/>
      <c r="S1959" s="37" t="str">
        <f>IFERROR(__xludf.DUMMYFUNCTION("if(not(iserror(index(split(C1959, "" ""),2))), index(split(C1959, "" ""),1),"""")"),"October")</f>
        <v>October</v>
      </c>
      <c r="T1959" s="38">
        <f>IFERROR(__xludf.DUMMYFUNCTION("if(S1959="""",C1959,if(not(iserror(index(split(C1959, "" ""),3))), index(split(C1959, "" ""),3),index(split(C1959, "" ""),2)))"),2018.0)</f>
        <v>2018</v>
      </c>
      <c r="U1959" s="38" t="b">
        <f t="shared" si="294"/>
        <v>0</v>
      </c>
      <c r="V1959" s="38"/>
      <c r="W1959" s="40"/>
      <c r="X1959" s="40"/>
      <c r="Y1959" s="40"/>
      <c r="Z1959" s="38"/>
      <c r="AA1959" s="38"/>
      <c r="AB1959" s="38"/>
      <c r="AC1959" s="38"/>
      <c r="AD1959" s="38"/>
      <c r="AE1959" s="38"/>
      <c r="AF1959" s="38"/>
      <c r="AG1959" s="38"/>
      <c r="AH1959" s="38"/>
      <c r="AI1959" s="38"/>
      <c r="AJ1959" s="38"/>
      <c r="AK1959" s="38"/>
      <c r="AL1959" s="38"/>
      <c r="AM1959" s="38"/>
      <c r="AN1959" s="38"/>
      <c r="AO1959" s="38"/>
      <c r="AP1959" s="38"/>
      <c r="AQ1959" s="38"/>
      <c r="AR1959" s="38"/>
      <c r="AS1959" s="38"/>
      <c r="AT1959" s="38"/>
      <c r="AU1959" s="38"/>
      <c r="AV1959" s="38"/>
      <c r="AW1959" s="38"/>
      <c r="AX1959" s="38"/>
      <c r="AY1959" s="38"/>
      <c r="AZ1959" s="38"/>
      <c r="BA1959" s="38"/>
      <c r="BB1959" s="38"/>
      <c r="BC1959" s="38"/>
      <c r="BD1959" s="38"/>
      <c r="BE1959" s="38"/>
      <c r="BF1959" s="38"/>
      <c r="BG1959" s="38"/>
      <c r="BH1959" s="38"/>
      <c r="BI1959" s="38"/>
      <c r="BJ1959" s="38"/>
      <c r="BK1959" s="38"/>
      <c r="BL1959" s="38"/>
      <c r="BM1959" s="38"/>
      <c r="BN1959" s="38"/>
      <c r="BO1959" s="38"/>
      <c r="BP1959" s="38"/>
      <c r="BQ1959" s="38"/>
    </row>
    <row r="1960">
      <c r="A1960" s="80" t="s">
        <v>5348</v>
      </c>
      <c r="B1960" s="59">
        <v>43383.0</v>
      </c>
      <c r="C1960" s="59">
        <v>43382.0</v>
      </c>
      <c r="D1960" s="60" t="s">
        <v>5344</v>
      </c>
      <c r="E1960" s="58" t="s">
        <v>41</v>
      </c>
      <c r="F1960" s="58">
        <v>1.0</v>
      </c>
      <c r="G1960" s="58" t="s">
        <v>32</v>
      </c>
      <c r="H1960" s="33">
        <f t="shared" si="297"/>
        <v>1</v>
      </c>
      <c r="I1960" s="58" t="s">
        <v>33</v>
      </c>
      <c r="J1960" s="58" t="s">
        <v>93</v>
      </c>
      <c r="K1960" s="58">
        <v>2.0</v>
      </c>
      <c r="L1960" s="58" t="s">
        <v>119</v>
      </c>
      <c r="M1960" s="80" t="s">
        <v>5349</v>
      </c>
      <c r="N1960" s="77"/>
      <c r="O1960" s="88" t="str">
        <f>hyperlink("https://bad-boys.us/?q=ND-NY/5:18-mj-00592", "ND-NY 5:18-mj-00592")</f>
        <v>ND-NY 5:18-mj-00592</v>
      </c>
      <c r="P1960" s="88" t="s">
        <v>5350</v>
      </c>
      <c r="Q1960" s="84">
        <v>1.0</v>
      </c>
      <c r="R1960" s="62"/>
      <c r="S1960" s="37" t="str">
        <f>IFERROR(__xludf.DUMMYFUNCTION("if(not(iserror(index(split(C1960, "" ""),2))), index(split(C1960, "" ""),1),"""")"),"October")</f>
        <v>October</v>
      </c>
      <c r="T1960" s="38">
        <f>IFERROR(__xludf.DUMMYFUNCTION("if(S1960="""",C1960,if(not(iserror(index(split(C1960, "" ""),3))), index(split(C1960, "" ""),3),index(split(C1960, "" ""),2)))"),2018.0)</f>
        <v>2018</v>
      </c>
      <c r="U1960" s="38" t="b">
        <f t="shared" si="294"/>
        <v>0</v>
      </c>
      <c r="V1960" s="38"/>
      <c r="W1960" s="40"/>
      <c r="X1960" s="40"/>
      <c r="Y1960" s="40"/>
      <c r="Z1960" s="38"/>
      <c r="AA1960" s="38"/>
      <c r="AB1960" s="38"/>
      <c r="AC1960" s="38"/>
      <c r="AD1960" s="38"/>
      <c r="AE1960" s="38"/>
      <c r="AF1960" s="38"/>
      <c r="AG1960" s="38"/>
      <c r="AH1960" s="38"/>
      <c r="AI1960" s="38"/>
      <c r="AJ1960" s="38"/>
      <c r="AK1960" s="38"/>
      <c r="AL1960" s="38"/>
      <c r="AM1960" s="38"/>
      <c r="AN1960" s="38"/>
      <c r="AO1960" s="38"/>
      <c r="AP1960" s="38"/>
      <c r="AQ1960" s="38"/>
      <c r="AR1960" s="38"/>
      <c r="AS1960" s="38"/>
      <c r="AT1960" s="38"/>
      <c r="AU1960" s="38"/>
      <c r="AV1960" s="38"/>
      <c r="AW1960" s="38"/>
      <c r="AX1960" s="38"/>
      <c r="AY1960" s="38"/>
      <c r="AZ1960" s="38"/>
      <c r="BA1960" s="38"/>
      <c r="BB1960" s="38"/>
      <c r="BC1960" s="38"/>
      <c r="BD1960" s="38"/>
      <c r="BE1960" s="38"/>
      <c r="BF1960" s="38"/>
      <c r="BG1960" s="38"/>
      <c r="BH1960" s="38"/>
      <c r="BI1960" s="38"/>
      <c r="BJ1960" s="38"/>
      <c r="BK1960" s="38"/>
      <c r="BL1960" s="38"/>
      <c r="BM1960" s="38"/>
      <c r="BN1960" s="38"/>
      <c r="BO1960" s="38"/>
      <c r="BP1960" s="38"/>
      <c r="BQ1960" s="38"/>
    </row>
    <row r="1961">
      <c r="A1961" s="58" t="s">
        <v>5351</v>
      </c>
      <c r="B1961" s="59">
        <v>43383.0</v>
      </c>
      <c r="C1961" s="59">
        <v>43383.0</v>
      </c>
      <c r="D1961" s="60" t="s">
        <v>5352</v>
      </c>
      <c r="E1961" s="58" t="s">
        <v>31</v>
      </c>
      <c r="F1961" s="58">
        <v>2.0</v>
      </c>
      <c r="G1961" s="58">
        <v>1.0</v>
      </c>
      <c r="H1961" s="33">
        <f t="shared" si="297"/>
        <v>1</v>
      </c>
      <c r="I1961" s="58" t="s">
        <v>33</v>
      </c>
      <c r="J1961" s="58" t="s">
        <v>42</v>
      </c>
      <c r="K1961" s="58" t="s">
        <v>32</v>
      </c>
      <c r="L1961" s="58" t="s">
        <v>35</v>
      </c>
      <c r="M1961" s="227" t="s">
        <v>5353</v>
      </c>
      <c r="N1961" s="77"/>
      <c r="O1961" s="62"/>
      <c r="P1961" s="62"/>
      <c r="Q1961" s="62"/>
      <c r="R1961" s="62"/>
      <c r="S1961" s="37" t="str">
        <f>IFERROR(__xludf.DUMMYFUNCTION("if(not(iserror(index(split(C1961, "" ""),2))), index(split(C1961, "" ""),1),"""")"),"October")</f>
        <v>October</v>
      </c>
      <c r="T1961" s="38">
        <f>IFERROR(__xludf.DUMMYFUNCTION("if(S1961="""",C1961,if(not(iserror(index(split(C1961, "" ""),3))), index(split(C1961, "" ""),3),index(split(C1961, "" ""),2)))"),2018.0)</f>
        <v>2018</v>
      </c>
      <c r="U1961" s="38" t="b">
        <f t="shared" si="294"/>
        <v>0</v>
      </c>
      <c r="V1961" s="38"/>
      <c r="W1961" s="40"/>
      <c r="X1961" s="40"/>
      <c r="Y1961" s="40"/>
      <c r="Z1961" s="38"/>
      <c r="AA1961" s="38"/>
      <c r="AB1961" s="38"/>
      <c r="AC1961" s="38"/>
      <c r="AD1961" s="38"/>
      <c r="AE1961" s="38"/>
      <c r="AF1961" s="38"/>
      <c r="AG1961" s="38"/>
      <c r="AH1961" s="38"/>
      <c r="AI1961" s="38"/>
      <c r="AJ1961" s="38"/>
      <c r="AK1961" s="38"/>
      <c r="AL1961" s="38"/>
      <c r="AM1961" s="38"/>
      <c r="AN1961" s="38"/>
      <c r="AO1961" s="38"/>
      <c r="AP1961" s="38"/>
      <c r="AQ1961" s="38"/>
      <c r="AR1961" s="38"/>
      <c r="AS1961" s="38"/>
      <c r="AT1961" s="38"/>
      <c r="AU1961" s="38"/>
      <c r="AV1961" s="38"/>
      <c r="AW1961" s="38"/>
      <c r="AX1961" s="38"/>
      <c r="AY1961" s="38"/>
      <c r="AZ1961" s="38"/>
      <c r="BA1961" s="38"/>
      <c r="BB1961" s="38"/>
      <c r="BC1961" s="38"/>
      <c r="BD1961" s="38"/>
      <c r="BE1961" s="38"/>
      <c r="BF1961" s="38"/>
      <c r="BG1961" s="38"/>
      <c r="BH1961" s="38"/>
      <c r="BI1961" s="38"/>
      <c r="BJ1961" s="38"/>
      <c r="BK1961" s="38"/>
      <c r="BL1961" s="38"/>
      <c r="BM1961" s="38"/>
      <c r="BN1961" s="38"/>
      <c r="BO1961" s="38"/>
      <c r="BP1961" s="38"/>
      <c r="BQ1961" s="38"/>
    </row>
    <row r="1962">
      <c r="A1962" s="58" t="s">
        <v>5354</v>
      </c>
      <c r="B1962" s="59">
        <v>43383.0</v>
      </c>
      <c r="C1962" s="59">
        <v>43383.0</v>
      </c>
      <c r="D1962" s="60" t="s">
        <v>5352</v>
      </c>
      <c r="E1962" s="58" t="s">
        <v>31</v>
      </c>
      <c r="F1962" s="58">
        <v>1.0</v>
      </c>
      <c r="G1962" s="58">
        <v>1.0</v>
      </c>
      <c r="H1962" s="33">
        <f t="shared" si="297"/>
        <v>1</v>
      </c>
      <c r="I1962" s="58" t="s">
        <v>33</v>
      </c>
      <c r="J1962" s="58" t="s">
        <v>652</v>
      </c>
      <c r="K1962" s="58" t="s">
        <v>32</v>
      </c>
      <c r="L1962" s="58" t="s">
        <v>52</v>
      </c>
      <c r="M1962" s="61" t="s">
        <v>5355</v>
      </c>
      <c r="N1962" s="77"/>
      <c r="O1962" s="62"/>
      <c r="P1962" s="62"/>
      <c r="Q1962" s="62"/>
      <c r="R1962" s="62"/>
      <c r="S1962" s="37" t="str">
        <f>IFERROR(__xludf.DUMMYFUNCTION("if(not(iserror(index(split(C1962, "" ""),2))), index(split(C1962, "" ""),1),"""")"),"October")</f>
        <v>October</v>
      </c>
      <c r="T1962" s="38">
        <f>IFERROR(__xludf.DUMMYFUNCTION("if(S1962="""",C1962,if(not(iserror(index(split(C1962, "" ""),3))), index(split(C1962, "" ""),3),index(split(C1962, "" ""),2)))"),2018.0)</f>
        <v>2018</v>
      </c>
      <c r="U1962" s="38" t="b">
        <f t="shared" si="294"/>
        <v>0</v>
      </c>
      <c r="V1962" s="38"/>
      <c r="W1962" s="40"/>
      <c r="X1962" s="40"/>
      <c r="Y1962" s="40"/>
      <c r="Z1962" s="38"/>
      <c r="AA1962" s="38"/>
      <c r="AB1962" s="38"/>
      <c r="AC1962" s="38"/>
      <c r="AD1962" s="38"/>
      <c r="AE1962" s="38"/>
      <c r="AF1962" s="38"/>
      <c r="AG1962" s="38"/>
      <c r="AH1962" s="38"/>
      <c r="AI1962" s="38"/>
      <c r="AJ1962" s="38"/>
      <c r="AK1962" s="38"/>
      <c r="AL1962" s="38"/>
      <c r="AM1962" s="38"/>
      <c r="AN1962" s="38"/>
      <c r="AO1962" s="38"/>
      <c r="AP1962" s="38"/>
      <c r="AQ1962" s="38"/>
      <c r="AR1962" s="38"/>
      <c r="AS1962" s="38"/>
      <c r="AT1962" s="38"/>
      <c r="AU1962" s="38"/>
      <c r="AV1962" s="38"/>
      <c r="AW1962" s="38"/>
      <c r="AX1962" s="38"/>
      <c r="AY1962" s="38"/>
      <c r="AZ1962" s="38"/>
      <c r="BA1962" s="38"/>
      <c r="BB1962" s="38"/>
      <c r="BC1962" s="38"/>
      <c r="BD1962" s="38"/>
      <c r="BE1962" s="38"/>
      <c r="BF1962" s="38"/>
      <c r="BG1962" s="38"/>
      <c r="BH1962" s="38"/>
      <c r="BI1962" s="38"/>
      <c r="BJ1962" s="38"/>
      <c r="BK1962" s="38"/>
      <c r="BL1962" s="38"/>
      <c r="BM1962" s="38"/>
      <c r="BN1962" s="38"/>
      <c r="BO1962" s="38"/>
      <c r="BP1962" s="38"/>
      <c r="BQ1962" s="38"/>
    </row>
    <row r="1963">
      <c r="A1963" s="58" t="s">
        <v>5356</v>
      </c>
      <c r="B1963" s="59">
        <v>43388.0</v>
      </c>
      <c r="C1963" s="59">
        <v>43383.0</v>
      </c>
      <c r="D1963" s="60" t="s">
        <v>5352</v>
      </c>
      <c r="E1963" s="58" t="s">
        <v>41</v>
      </c>
      <c r="F1963" s="58">
        <v>1.0</v>
      </c>
      <c r="G1963" s="58">
        <v>1.0</v>
      </c>
      <c r="H1963" s="33">
        <f t="shared" si="297"/>
        <v>1</v>
      </c>
      <c r="I1963" s="58" t="s">
        <v>33</v>
      </c>
      <c r="J1963" s="58" t="s">
        <v>124</v>
      </c>
      <c r="K1963" s="58">
        <v>1.0</v>
      </c>
      <c r="L1963" s="58" t="s">
        <v>69</v>
      </c>
      <c r="M1963" s="61" t="s">
        <v>5357</v>
      </c>
      <c r="N1963" s="61" t="s">
        <v>5358</v>
      </c>
      <c r="O1963" s="62"/>
      <c r="P1963" s="58"/>
      <c r="Q1963" s="58"/>
      <c r="R1963" s="62"/>
      <c r="S1963" s="37" t="str">
        <f>IFERROR(__xludf.DUMMYFUNCTION("if(not(iserror(index(split(C1963, "" ""),2))), index(split(C1963, "" ""),1),"""")"),"October")</f>
        <v>October</v>
      </c>
      <c r="T1963" s="38">
        <f>IFERROR(__xludf.DUMMYFUNCTION("if(S1963="""",C1963,if(not(iserror(index(split(C1963, "" ""),3))), index(split(C1963, "" ""),3),index(split(C1963, "" ""),2)))"),2018.0)</f>
        <v>2018</v>
      </c>
      <c r="U1963" s="38" t="b">
        <f t="shared" si="294"/>
        <v>0</v>
      </c>
      <c r="V1963" s="38"/>
      <c r="W1963" s="40"/>
      <c r="X1963" s="40"/>
      <c r="Y1963" s="40"/>
      <c r="Z1963" s="38"/>
      <c r="AA1963" s="38"/>
      <c r="AB1963" s="38"/>
      <c r="AC1963" s="38"/>
      <c r="AD1963" s="38"/>
      <c r="AE1963" s="38"/>
      <c r="AF1963" s="38"/>
      <c r="AG1963" s="38"/>
      <c r="AH1963" s="38"/>
      <c r="AI1963" s="38"/>
      <c r="AJ1963" s="38"/>
      <c r="AK1963" s="38"/>
      <c r="AL1963" s="38"/>
      <c r="AM1963" s="38"/>
      <c r="AN1963" s="38"/>
      <c r="AO1963" s="38"/>
      <c r="AP1963" s="38"/>
      <c r="AQ1963" s="38"/>
      <c r="AR1963" s="38"/>
      <c r="AS1963" s="38"/>
      <c r="AT1963" s="38"/>
      <c r="AU1963" s="38"/>
      <c r="AV1963" s="38"/>
      <c r="AW1963" s="38"/>
      <c r="AX1963" s="38"/>
      <c r="AY1963" s="38"/>
      <c r="AZ1963" s="38"/>
      <c r="BA1963" s="38"/>
      <c r="BB1963" s="38"/>
      <c r="BC1963" s="38"/>
      <c r="BD1963" s="38"/>
      <c r="BE1963" s="38"/>
      <c r="BF1963" s="38"/>
      <c r="BG1963" s="38"/>
      <c r="BH1963" s="38"/>
      <c r="BI1963" s="38"/>
      <c r="BJ1963" s="38"/>
      <c r="BK1963" s="38"/>
      <c r="BL1963" s="38"/>
      <c r="BM1963" s="38"/>
      <c r="BN1963" s="38"/>
      <c r="BO1963" s="38"/>
      <c r="BP1963" s="38"/>
      <c r="BQ1963" s="38"/>
    </row>
    <row r="1964">
      <c r="A1964" s="58" t="s">
        <v>5359</v>
      </c>
      <c r="B1964" s="59">
        <v>43384.0</v>
      </c>
      <c r="C1964" s="59">
        <v>43384.0</v>
      </c>
      <c r="D1964" s="60" t="s">
        <v>5360</v>
      </c>
      <c r="E1964" s="58" t="s">
        <v>41</v>
      </c>
      <c r="F1964" s="58">
        <v>1.0</v>
      </c>
      <c r="G1964" s="58" t="s">
        <v>32</v>
      </c>
      <c r="H1964" s="43">
        <v>1.0</v>
      </c>
      <c r="I1964" s="58" t="s">
        <v>33</v>
      </c>
      <c r="J1964" s="58" t="s">
        <v>93</v>
      </c>
      <c r="K1964" s="58">
        <v>3.0</v>
      </c>
      <c r="L1964" s="58" t="s">
        <v>99</v>
      </c>
      <c r="M1964" s="262" t="s">
        <v>5361</v>
      </c>
      <c r="N1964" s="77"/>
      <c r="O1964" s="83" t="str">
        <f>hyperlink("https://bad-boys.us/?q=WD-NY/6:19-cr-06019", "WD-NY 6:19-cr-06019")</f>
        <v>WD-NY 6:19-cr-06019</v>
      </c>
      <c r="P1964" s="62"/>
      <c r="Q1964" s="58">
        <v>1.0</v>
      </c>
      <c r="R1964" s="62"/>
      <c r="S1964" s="37" t="str">
        <f>IFERROR(__xludf.DUMMYFUNCTION("if(not(iserror(index(split(C1964, "" ""),2))), index(split(C1964, "" ""),1),"""")"),"October")</f>
        <v>October</v>
      </c>
      <c r="T1964" s="38">
        <f>IFERROR(__xludf.DUMMYFUNCTION("if(S1964="""",C1964,if(not(iserror(index(split(C1964, "" ""),3))), index(split(C1964, "" ""),3),index(split(C1964, "" ""),2)))"),2018.0)</f>
        <v>2018</v>
      </c>
      <c r="U1964" s="38" t="b">
        <f t="shared" si="294"/>
        <v>0</v>
      </c>
      <c r="V1964" s="38" t="s">
        <v>33</v>
      </c>
      <c r="W1964" s="40"/>
      <c r="X1964" s="40"/>
      <c r="Y1964" s="40"/>
      <c r="Z1964" s="38"/>
      <c r="AA1964" s="38"/>
      <c r="AB1964" s="38"/>
      <c r="AC1964" s="38"/>
      <c r="AD1964" s="38"/>
      <c r="AE1964" s="38"/>
      <c r="AF1964" s="38"/>
      <c r="AG1964" s="38"/>
      <c r="AH1964" s="38"/>
      <c r="AI1964" s="38"/>
      <c r="AJ1964" s="38"/>
      <c r="AK1964" s="38"/>
      <c r="AL1964" s="38"/>
      <c r="AM1964" s="38"/>
      <c r="AN1964" s="38"/>
      <c r="AO1964" s="38"/>
      <c r="AP1964" s="38"/>
      <c r="AQ1964" s="38"/>
      <c r="AR1964" s="38"/>
      <c r="AS1964" s="38"/>
      <c r="AT1964" s="38"/>
      <c r="AU1964" s="38"/>
      <c r="AV1964" s="38"/>
      <c r="AW1964" s="38"/>
      <c r="AX1964" s="38"/>
      <c r="AY1964" s="38"/>
      <c r="AZ1964" s="38"/>
      <c r="BA1964" s="38"/>
      <c r="BB1964" s="38"/>
      <c r="BC1964" s="38"/>
      <c r="BD1964" s="38"/>
      <c r="BE1964" s="38"/>
      <c r="BF1964" s="38"/>
      <c r="BG1964" s="38"/>
      <c r="BH1964" s="38"/>
      <c r="BI1964" s="38"/>
      <c r="BJ1964" s="38"/>
      <c r="BK1964" s="38"/>
      <c r="BL1964" s="38"/>
      <c r="BM1964" s="38"/>
      <c r="BN1964" s="38"/>
      <c r="BO1964" s="38"/>
      <c r="BP1964" s="38"/>
      <c r="BQ1964" s="38"/>
    </row>
    <row r="1965">
      <c r="A1965" s="58" t="s">
        <v>5362</v>
      </c>
      <c r="B1965" s="59"/>
      <c r="C1965" s="59">
        <v>43384.0</v>
      </c>
      <c r="D1965" s="60"/>
      <c r="E1965" s="58" t="s">
        <v>31</v>
      </c>
      <c r="F1965" s="58">
        <v>1.0</v>
      </c>
      <c r="G1965" s="58" t="s">
        <v>32</v>
      </c>
      <c r="H1965" s="43">
        <v>1.0</v>
      </c>
      <c r="I1965" s="58" t="s">
        <v>33</v>
      </c>
      <c r="J1965" s="58" t="s">
        <v>85</v>
      </c>
      <c r="K1965" s="58"/>
      <c r="L1965" s="58" t="s">
        <v>99</v>
      </c>
      <c r="M1965" s="261" t="s">
        <v>5363</v>
      </c>
      <c r="N1965" s="61" t="s">
        <v>5364</v>
      </c>
      <c r="O1965" s="83" t="str">
        <f>hyperlink("https://bad-boys.us/?q=ND-AL/2:19-cr-00186", "ND-AL 2:19-cr-00186")</f>
        <v>ND-AL 2:19-cr-00186</v>
      </c>
      <c r="P1965" s="62"/>
      <c r="Q1965" s="58">
        <v>1.0</v>
      </c>
      <c r="R1965" s="62"/>
      <c r="S1965" s="37" t="str">
        <f>IFERROR(__xludf.DUMMYFUNCTION("if(not(iserror(index(split(C1965, "" ""),2))), index(split(C1965, "" ""),1),"""")"),"October")</f>
        <v>October</v>
      </c>
      <c r="T1965" s="38">
        <f>IFERROR(__xludf.DUMMYFUNCTION("if(S1965="""",C1965,if(not(iserror(index(split(C1965, "" ""),3))), index(split(C1965, "" ""),3),index(split(C1965, "" ""),2)))"),2018.0)</f>
        <v>2018</v>
      </c>
      <c r="U1965" s="38" t="b">
        <f t="shared" si="294"/>
        <v>0</v>
      </c>
      <c r="V1965" s="38" t="s">
        <v>33</v>
      </c>
      <c r="W1965" s="39" t="s">
        <v>5365</v>
      </c>
      <c r="X1965" s="46" t="s">
        <v>5366</v>
      </c>
      <c r="Y1965" s="40"/>
      <c r="Z1965" s="38"/>
      <c r="AA1965" s="38"/>
      <c r="AB1965" s="38"/>
      <c r="AC1965" s="38"/>
      <c r="AD1965" s="38"/>
      <c r="AE1965" s="38"/>
      <c r="AF1965" s="38"/>
      <c r="AG1965" s="38"/>
      <c r="AH1965" s="38"/>
      <c r="AI1965" s="38"/>
      <c r="AJ1965" s="38"/>
      <c r="AK1965" s="38"/>
      <c r="AL1965" s="38"/>
      <c r="AM1965" s="38"/>
      <c r="AN1965" s="38"/>
      <c r="AO1965" s="38"/>
      <c r="AP1965" s="38"/>
      <c r="AQ1965" s="38"/>
      <c r="AR1965" s="38"/>
      <c r="AS1965" s="38"/>
      <c r="AT1965" s="38"/>
      <c r="AU1965" s="38"/>
      <c r="AV1965" s="38"/>
      <c r="AW1965" s="38"/>
      <c r="AX1965" s="38"/>
      <c r="AY1965" s="38"/>
      <c r="AZ1965" s="38"/>
      <c r="BA1965" s="38"/>
      <c r="BB1965" s="38"/>
      <c r="BC1965" s="38"/>
      <c r="BD1965" s="38"/>
      <c r="BE1965" s="38"/>
      <c r="BF1965" s="38"/>
      <c r="BG1965" s="38"/>
      <c r="BH1965" s="38"/>
      <c r="BI1965" s="38"/>
      <c r="BJ1965" s="38"/>
      <c r="BK1965" s="38"/>
      <c r="BL1965" s="38"/>
      <c r="BM1965" s="38"/>
      <c r="BN1965" s="38"/>
      <c r="BO1965" s="38"/>
      <c r="BP1965" s="38"/>
      <c r="BQ1965" s="38"/>
    </row>
    <row r="1966">
      <c r="A1966" s="58" t="s">
        <v>5367</v>
      </c>
      <c r="B1966" s="59">
        <v>43384.0</v>
      </c>
      <c r="C1966" s="59">
        <v>43384.0</v>
      </c>
      <c r="D1966" s="60" t="s">
        <v>5360</v>
      </c>
      <c r="E1966" s="58" t="s">
        <v>41</v>
      </c>
      <c r="F1966" s="58">
        <v>3.0</v>
      </c>
      <c r="G1966" s="58" t="s">
        <v>32</v>
      </c>
      <c r="H1966" s="33">
        <f t="shared" ref="H1966:H1970" si="298">if(G1966="Unknown",1,G1966)</f>
        <v>1</v>
      </c>
      <c r="I1966" s="58" t="s">
        <v>33</v>
      </c>
      <c r="J1966" s="58" t="s">
        <v>124</v>
      </c>
      <c r="K1966" s="58" t="s">
        <v>32</v>
      </c>
      <c r="L1966" s="58" t="s">
        <v>52</v>
      </c>
      <c r="M1966" s="261" t="s">
        <v>5368</v>
      </c>
      <c r="N1966" s="77"/>
      <c r="O1966" s="62"/>
      <c r="P1966" s="62"/>
      <c r="Q1966" s="62"/>
      <c r="R1966" s="62"/>
      <c r="S1966" s="37" t="str">
        <f>IFERROR(__xludf.DUMMYFUNCTION("if(not(iserror(index(split(C1966, "" ""),2))), index(split(C1966, "" ""),1),"""")"),"October")</f>
        <v>October</v>
      </c>
      <c r="T1966" s="38">
        <f>IFERROR(__xludf.DUMMYFUNCTION("if(S1966="""",C1966,if(not(iserror(index(split(C1966, "" ""),3))), index(split(C1966, "" ""),3),index(split(C1966, "" ""),2)))"),2018.0)</f>
        <v>2018</v>
      </c>
      <c r="U1966" s="38" t="b">
        <f t="shared" si="294"/>
        <v>0</v>
      </c>
      <c r="V1966" s="38"/>
      <c r="W1966" s="40"/>
      <c r="X1966" s="40"/>
      <c r="Y1966" s="40"/>
      <c r="Z1966" s="38"/>
      <c r="AA1966" s="38"/>
      <c r="AB1966" s="38"/>
      <c r="AC1966" s="38"/>
      <c r="AD1966" s="38"/>
      <c r="AE1966" s="38"/>
      <c r="AF1966" s="38"/>
      <c r="AG1966" s="38"/>
      <c r="AH1966" s="38"/>
      <c r="AI1966" s="38"/>
      <c r="AJ1966" s="38"/>
      <c r="AK1966" s="38"/>
      <c r="AL1966" s="38"/>
      <c r="AM1966" s="38"/>
      <c r="AN1966" s="38"/>
      <c r="AO1966" s="38"/>
      <c r="AP1966" s="38"/>
      <c r="AQ1966" s="38"/>
      <c r="AR1966" s="38"/>
      <c r="AS1966" s="38"/>
      <c r="AT1966" s="38"/>
      <c r="AU1966" s="38"/>
      <c r="AV1966" s="38"/>
      <c r="AW1966" s="38"/>
      <c r="AX1966" s="38"/>
      <c r="AY1966" s="38"/>
      <c r="AZ1966" s="38"/>
      <c r="BA1966" s="38"/>
      <c r="BB1966" s="38"/>
      <c r="BC1966" s="38"/>
      <c r="BD1966" s="38"/>
      <c r="BE1966" s="38"/>
      <c r="BF1966" s="38"/>
      <c r="BG1966" s="38"/>
      <c r="BH1966" s="38"/>
      <c r="BI1966" s="38"/>
      <c r="BJ1966" s="38"/>
      <c r="BK1966" s="38"/>
      <c r="BL1966" s="38"/>
      <c r="BM1966" s="38"/>
      <c r="BN1966" s="38"/>
      <c r="BO1966" s="38"/>
      <c r="BP1966" s="38"/>
      <c r="BQ1966" s="38"/>
    </row>
    <row r="1967">
      <c r="A1967" s="58" t="s">
        <v>239</v>
      </c>
      <c r="B1967" s="59">
        <v>43384.0</v>
      </c>
      <c r="C1967" s="59">
        <v>43384.0</v>
      </c>
      <c r="D1967" s="60" t="s">
        <v>5360</v>
      </c>
      <c r="E1967" s="58" t="s">
        <v>41</v>
      </c>
      <c r="F1967" s="58">
        <v>1.0</v>
      </c>
      <c r="G1967" s="58">
        <v>2.0</v>
      </c>
      <c r="H1967" s="33">
        <f t="shared" si="298"/>
        <v>2</v>
      </c>
      <c r="I1967" s="58" t="s">
        <v>33</v>
      </c>
      <c r="J1967" s="58" t="s">
        <v>147</v>
      </c>
      <c r="K1967" s="58">
        <v>1.0</v>
      </c>
      <c r="L1967" s="58" t="s">
        <v>194</v>
      </c>
      <c r="M1967" s="61" t="s">
        <v>5335</v>
      </c>
      <c r="N1967" s="77"/>
      <c r="O1967" s="62"/>
      <c r="P1967" s="62"/>
      <c r="Q1967" s="62"/>
      <c r="R1967" s="62"/>
      <c r="S1967" s="37" t="str">
        <f>IFERROR(__xludf.DUMMYFUNCTION("if(not(iserror(index(split(C1967, "" ""),2))), index(split(C1967, "" ""),1),"""")"),"October")</f>
        <v>October</v>
      </c>
      <c r="T1967" s="38">
        <f>IFERROR(__xludf.DUMMYFUNCTION("if(S1967="""",C1967,if(not(iserror(index(split(C1967, "" ""),3))), index(split(C1967, "" ""),3),index(split(C1967, "" ""),2)))"),2018.0)</f>
        <v>2018</v>
      </c>
      <c r="U1967" s="38" t="b">
        <f t="shared" si="294"/>
        <v>1</v>
      </c>
      <c r="V1967" s="38"/>
      <c r="W1967" s="40"/>
      <c r="X1967" s="40"/>
      <c r="Y1967" s="40"/>
      <c r="Z1967" s="38"/>
      <c r="AA1967" s="38"/>
      <c r="AB1967" s="38"/>
      <c r="AC1967" s="38"/>
      <c r="AD1967" s="38"/>
      <c r="AE1967" s="38"/>
      <c r="AF1967" s="38"/>
      <c r="AG1967" s="38"/>
      <c r="AH1967" s="38"/>
      <c r="AI1967" s="38"/>
      <c r="AJ1967" s="38"/>
      <c r="AK1967" s="38"/>
      <c r="AL1967" s="38"/>
      <c r="AM1967" s="38"/>
      <c r="AN1967" s="38"/>
      <c r="AO1967" s="38"/>
      <c r="AP1967" s="38"/>
      <c r="AQ1967" s="38"/>
      <c r="AR1967" s="38"/>
      <c r="AS1967" s="38"/>
      <c r="AT1967" s="38"/>
      <c r="AU1967" s="38"/>
      <c r="AV1967" s="38"/>
      <c r="AW1967" s="38"/>
      <c r="AX1967" s="38"/>
      <c r="AY1967" s="38"/>
      <c r="AZ1967" s="38"/>
      <c r="BA1967" s="38"/>
      <c r="BB1967" s="38"/>
      <c r="BC1967" s="38"/>
      <c r="BD1967" s="38"/>
      <c r="BE1967" s="38"/>
      <c r="BF1967" s="38"/>
      <c r="BG1967" s="38"/>
      <c r="BH1967" s="38"/>
      <c r="BI1967" s="38"/>
      <c r="BJ1967" s="38"/>
      <c r="BK1967" s="38"/>
      <c r="BL1967" s="38"/>
      <c r="BM1967" s="38"/>
      <c r="BN1967" s="38"/>
      <c r="BO1967" s="38"/>
      <c r="BP1967" s="38"/>
      <c r="BQ1967" s="38"/>
    </row>
    <row r="1968">
      <c r="A1968" s="58" t="s">
        <v>239</v>
      </c>
      <c r="B1968" s="59">
        <v>43384.0</v>
      </c>
      <c r="C1968" s="59">
        <v>43384.0</v>
      </c>
      <c r="D1968" s="60" t="s">
        <v>5360</v>
      </c>
      <c r="E1968" s="58" t="s">
        <v>41</v>
      </c>
      <c r="F1968" s="58">
        <v>1.0</v>
      </c>
      <c r="G1968" s="58" t="s">
        <v>32</v>
      </c>
      <c r="H1968" s="33">
        <f t="shared" si="298"/>
        <v>1</v>
      </c>
      <c r="I1968" s="58" t="s">
        <v>33</v>
      </c>
      <c r="J1968" s="58" t="s">
        <v>268</v>
      </c>
      <c r="K1968" s="58">
        <v>1.0</v>
      </c>
      <c r="L1968" s="58" t="s">
        <v>35</v>
      </c>
      <c r="M1968" s="61" t="s">
        <v>5369</v>
      </c>
      <c r="N1968" s="77"/>
      <c r="O1968" s="62"/>
      <c r="P1968" s="62"/>
      <c r="Q1968" s="62"/>
      <c r="R1968" s="62"/>
      <c r="S1968" s="37" t="str">
        <f>IFERROR(__xludf.DUMMYFUNCTION("if(not(iserror(index(split(C1968, "" ""),2))), index(split(C1968, "" ""),1),"""")"),"October")</f>
        <v>October</v>
      </c>
      <c r="T1968" s="38">
        <f>IFERROR(__xludf.DUMMYFUNCTION("if(S1968="""",C1968,if(not(iserror(index(split(C1968, "" ""),3))), index(split(C1968, "" ""),3),index(split(C1968, "" ""),2)))"),2018.0)</f>
        <v>2018</v>
      </c>
      <c r="U1968" s="38" t="b">
        <f t="shared" si="294"/>
        <v>1</v>
      </c>
      <c r="V1968" s="38"/>
      <c r="W1968" s="40"/>
      <c r="X1968" s="40"/>
      <c r="Y1968" s="40"/>
      <c r="Z1968" s="38"/>
      <c r="AA1968" s="38"/>
      <c r="AB1968" s="38"/>
      <c r="AC1968" s="38"/>
      <c r="AD1968" s="38"/>
      <c r="AE1968" s="38"/>
      <c r="AF1968" s="38"/>
      <c r="AG1968" s="38"/>
      <c r="AH1968" s="38"/>
      <c r="AI1968" s="38"/>
      <c r="AJ1968" s="38"/>
      <c r="AK1968" s="38"/>
      <c r="AL1968" s="38"/>
      <c r="AM1968" s="38"/>
      <c r="AN1968" s="38"/>
      <c r="AO1968" s="38"/>
      <c r="AP1968" s="38"/>
      <c r="AQ1968" s="38"/>
      <c r="AR1968" s="38"/>
      <c r="AS1968" s="38"/>
      <c r="AT1968" s="38"/>
      <c r="AU1968" s="38"/>
      <c r="AV1968" s="38"/>
      <c r="AW1968" s="38"/>
      <c r="AX1968" s="38"/>
      <c r="AY1968" s="38"/>
      <c r="AZ1968" s="38"/>
      <c r="BA1968" s="38"/>
      <c r="BB1968" s="38"/>
      <c r="BC1968" s="38"/>
      <c r="BD1968" s="38"/>
      <c r="BE1968" s="38"/>
      <c r="BF1968" s="38"/>
      <c r="BG1968" s="38"/>
      <c r="BH1968" s="38"/>
      <c r="BI1968" s="38"/>
      <c r="BJ1968" s="38"/>
      <c r="BK1968" s="38"/>
      <c r="BL1968" s="38"/>
      <c r="BM1968" s="38"/>
      <c r="BN1968" s="38"/>
      <c r="BO1968" s="38"/>
      <c r="BP1968" s="38"/>
      <c r="BQ1968" s="38"/>
    </row>
    <row r="1969">
      <c r="A1969" s="58" t="s">
        <v>5370</v>
      </c>
      <c r="B1969" s="59">
        <v>43385.0</v>
      </c>
      <c r="C1969" s="59">
        <v>43385.0</v>
      </c>
      <c r="D1969" s="60" t="s">
        <v>5371</v>
      </c>
      <c r="E1969" s="58" t="s">
        <v>31</v>
      </c>
      <c r="F1969" s="58">
        <v>2.0</v>
      </c>
      <c r="G1969" s="58" t="s">
        <v>32</v>
      </c>
      <c r="H1969" s="33">
        <f t="shared" si="298"/>
        <v>1</v>
      </c>
      <c r="I1969" s="58" t="s">
        <v>33</v>
      </c>
      <c r="J1969" s="58" t="s">
        <v>61</v>
      </c>
      <c r="K1969" s="58">
        <v>5.0</v>
      </c>
      <c r="L1969" s="58" t="s">
        <v>807</v>
      </c>
      <c r="M1969" s="61" t="s">
        <v>5372</v>
      </c>
      <c r="N1969" s="77"/>
      <c r="O1969" s="62"/>
      <c r="P1969" s="62"/>
      <c r="Q1969" s="62"/>
      <c r="R1969" s="62"/>
      <c r="S1969" s="37" t="str">
        <f>IFERROR(__xludf.DUMMYFUNCTION("if(not(iserror(index(split(C1969, "" ""),2))), index(split(C1969, "" ""),1),"""")"),"October")</f>
        <v>October</v>
      </c>
      <c r="T1969" s="38">
        <f>IFERROR(__xludf.DUMMYFUNCTION("if(S1969="""",C1969,if(not(iserror(index(split(C1969, "" ""),3))), index(split(C1969, "" ""),3),index(split(C1969, "" ""),2)))"),2018.0)</f>
        <v>2018</v>
      </c>
      <c r="U1969" s="38" t="b">
        <f t="shared" si="294"/>
        <v>0</v>
      </c>
      <c r="V1969" s="38"/>
      <c r="W1969" s="40"/>
      <c r="X1969" s="40"/>
      <c r="Y1969" s="40"/>
      <c r="Z1969" s="38"/>
      <c r="AA1969" s="38"/>
      <c r="AB1969" s="38"/>
      <c r="AC1969" s="38"/>
      <c r="AD1969" s="38"/>
      <c r="AE1969" s="38"/>
      <c r="AF1969" s="38"/>
      <c r="AG1969" s="38"/>
      <c r="AH1969" s="38"/>
      <c r="AI1969" s="38"/>
      <c r="AJ1969" s="38"/>
      <c r="AK1969" s="38"/>
      <c r="AL1969" s="38"/>
      <c r="AM1969" s="38"/>
      <c r="AN1969" s="38"/>
      <c r="AO1969" s="38"/>
      <c r="AP1969" s="38"/>
      <c r="AQ1969" s="38"/>
      <c r="AR1969" s="38"/>
      <c r="AS1969" s="38"/>
      <c r="AT1969" s="38"/>
      <c r="AU1969" s="38"/>
      <c r="AV1969" s="38"/>
      <c r="AW1969" s="38"/>
      <c r="AX1969" s="38"/>
      <c r="AY1969" s="38"/>
      <c r="AZ1969" s="38"/>
      <c r="BA1969" s="38"/>
      <c r="BB1969" s="38"/>
      <c r="BC1969" s="38"/>
      <c r="BD1969" s="38"/>
      <c r="BE1969" s="38"/>
      <c r="BF1969" s="38"/>
      <c r="BG1969" s="38"/>
      <c r="BH1969" s="38"/>
      <c r="BI1969" s="38"/>
      <c r="BJ1969" s="38"/>
      <c r="BK1969" s="38"/>
      <c r="BL1969" s="38"/>
      <c r="BM1969" s="38"/>
      <c r="BN1969" s="38"/>
      <c r="BO1969" s="38"/>
      <c r="BP1969" s="38"/>
      <c r="BQ1969" s="38"/>
    </row>
    <row r="1970">
      <c r="A1970" s="58" t="s">
        <v>239</v>
      </c>
      <c r="B1970" s="59">
        <v>43388.0</v>
      </c>
      <c r="C1970" s="59">
        <v>43385.0</v>
      </c>
      <c r="D1970" s="60" t="s">
        <v>5371</v>
      </c>
      <c r="E1970" s="58" t="s">
        <v>41</v>
      </c>
      <c r="F1970" s="58">
        <v>1.0</v>
      </c>
      <c r="G1970" s="58">
        <v>24.0</v>
      </c>
      <c r="H1970" s="33">
        <f t="shared" si="298"/>
        <v>24</v>
      </c>
      <c r="I1970" s="58" t="s">
        <v>33</v>
      </c>
      <c r="J1970" s="58" t="s">
        <v>147</v>
      </c>
      <c r="K1970" s="58">
        <v>1.0</v>
      </c>
      <c r="L1970" s="58" t="s">
        <v>194</v>
      </c>
      <c r="M1970" s="61" t="s">
        <v>5373</v>
      </c>
      <c r="N1970" s="80"/>
      <c r="O1970" s="62"/>
      <c r="P1970" s="62"/>
      <c r="Q1970" s="62"/>
      <c r="R1970" s="62"/>
      <c r="S1970" s="37" t="str">
        <f>IFERROR(__xludf.DUMMYFUNCTION("if(not(iserror(index(split(C1970, "" ""),2))), index(split(C1970, "" ""),1),"""")"),"October")</f>
        <v>October</v>
      </c>
      <c r="T1970" s="38">
        <f>IFERROR(__xludf.DUMMYFUNCTION("if(S1970="""",C1970,if(not(iserror(index(split(C1970, "" ""),3))), index(split(C1970, "" ""),3),index(split(C1970, "" ""),2)))"),2018.0)</f>
        <v>2018</v>
      </c>
      <c r="U1970" s="38" t="b">
        <f t="shared" si="294"/>
        <v>1</v>
      </c>
      <c r="V1970" s="38"/>
      <c r="W1970" s="40"/>
      <c r="X1970" s="40"/>
      <c r="Y1970" s="40"/>
      <c r="Z1970" s="38"/>
      <c r="AA1970" s="38"/>
      <c r="AB1970" s="38"/>
      <c r="AC1970" s="38"/>
      <c r="AD1970" s="38"/>
      <c r="AE1970" s="38"/>
      <c r="AF1970" s="38"/>
      <c r="AG1970" s="38"/>
      <c r="AH1970" s="38"/>
      <c r="AI1970" s="38"/>
      <c r="AJ1970" s="38"/>
      <c r="AK1970" s="38"/>
      <c r="AL1970" s="38"/>
      <c r="AM1970" s="38"/>
      <c r="AN1970" s="38"/>
      <c r="AO1970" s="38"/>
      <c r="AP1970" s="38"/>
      <c r="AQ1970" s="38"/>
      <c r="AR1970" s="38"/>
      <c r="AS1970" s="38"/>
      <c r="AT1970" s="38"/>
      <c r="AU1970" s="38"/>
      <c r="AV1970" s="38"/>
      <c r="AW1970" s="38"/>
      <c r="AX1970" s="38"/>
      <c r="AY1970" s="38"/>
      <c r="AZ1970" s="38"/>
      <c r="BA1970" s="38"/>
      <c r="BB1970" s="38"/>
      <c r="BC1970" s="38"/>
      <c r="BD1970" s="38"/>
      <c r="BE1970" s="38"/>
      <c r="BF1970" s="38"/>
      <c r="BG1970" s="38"/>
      <c r="BH1970" s="38"/>
      <c r="BI1970" s="38"/>
      <c r="BJ1970" s="38"/>
      <c r="BK1970" s="38"/>
      <c r="BL1970" s="38"/>
      <c r="BM1970" s="38"/>
      <c r="BN1970" s="38"/>
      <c r="BO1970" s="38"/>
      <c r="BP1970" s="38"/>
      <c r="BQ1970" s="38"/>
    </row>
    <row r="1971">
      <c r="A1971" s="58" t="s">
        <v>5374</v>
      </c>
      <c r="B1971" s="59"/>
      <c r="C1971" s="59">
        <v>43388.0</v>
      </c>
      <c r="D1971" s="60"/>
      <c r="E1971" s="58" t="s">
        <v>41</v>
      </c>
      <c r="F1971" s="58">
        <v>1.0</v>
      </c>
      <c r="G1971" s="58" t="s">
        <v>32</v>
      </c>
      <c r="H1971" s="43">
        <v>1.0</v>
      </c>
      <c r="I1971" s="58" t="s">
        <v>33</v>
      </c>
      <c r="J1971" s="58" t="s">
        <v>47</v>
      </c>
      <c r="K1971" s="58"/>
      <c r="L1971" s="58" t="s">
        <v>5375</v>
      </c>
      <c r="M1971" s="264" t="s">
        <v>5376</v>
      </c>
      <c r="N1971" s="77"/>
      <c r="O1971" s="62"/>
      <c r="P1971" s="58"/>
      <c r="Q1971" s="58"/>
      <c r="R1971" s="62"/>
      <c r="S1971" s="37" t="str">
        <f>IFERROR(__xludf.DUMMYFUNCTION("if(not(iserror(index(split(C1971, "" ""),2))), index(split(C1971, "" ""),1),"""")"),"October")</f>
        <v>October</v>
      </c>
      <c r="T1971" s="38">
        <f>IFERROR(__xludf.DUMMYFUNCTION("if(S1971="""",C1971,if(not(iserror(index(split(C1971, "" ""),3))), index(split(C1971, "" ""),3),index(split(C1971, "" ""),2)))"),2018.0)</f>
        <v>2018</v>
      </c>
      <c r="U1971" s="38" t="b">
        <f t="shared" si="294"/>
        <v>0</v>
      </c>
      <c r="V1971" s="38" t="s">
        <v>33</v>
      </c>
      <c r="W1971" s="40"/>
      <c r="X1971" s="40"/>
      <c r="Y1971" s="40"/>
      <c r="Z1971" s="38"/>
      <c r="AA1971" s="38"/>
      <c r="AB1971" s="38"/>
      <c r="AC1971" s="38"/>
      <c r="AD1971" s="38"/>
      <c r="AE1971" s="38"/>
      <c r="AF1971" s="38"/>
      <c r="AG1971" s="38"/>
      <c r="AH1971" s="38"/>
      <c r="AI1971" s="38"/>
      <c r="AJ1971" s="38"/>
      <c r="AK1971" s="38"/>
      <c r="AL1971" s="38"/>
      <c r="AM1971" s="38"/>
      <c r="AN1971" s="38"/>
      <c r="AO1971" s="38"/>
      <c r="AP1971" s="38"/>
      <c r="AQ1971" s="38"/>
      <c r="AR1971" s="38"/>
      <c r="AS1971" s="38"/>
      <c r="AT1971" s="38"/>
      <c r="AU1971" s="38"/>
      <c r="AV1971" s="38"/>
      <c r="AW1971" s="38"/>
      <c r="AX1971" s="38"/>
      <c r="AY1971" s="38"/>
      <c r="AZ1971" s="38"/>
      <c r="BA1971" s="38"/>
      <c r="BB1971" s="38"/>
      <c r="BC1971" s="38"/>
      <c r="BD1971" s="38"/>
      <c r="BE1971" s="38"/>
      <c r="BF1971" s="38"/>
      <c r="BG1971" s="38"/>
      <c r="BH1971" s="38"/>
      <c r="BI1971" s="38"/>
      <c r="BJ1971" s="38"/>
      <c r="BK1971" s="38"/>
      <c r="BL1971" s="38"/>
      <c r="BM1971" s="38"/>
      <c r="BN1971" s="38"/>
      <c r="BO1971" s="38"/>
      <c r="BP1971" s="38"/>
      <c r="BQ1971" s="38"/>
    </row>
    <row r="1972">
      <c r="A1972" s="58" t="s">
        <v>5377</v>
      </c>
      <c r="B1972" s="59">
        <v>43388.0</v>
      </c>
      <c r="C1972" s="59">
        <v>43388.0</v>
      </c>
      <c r="D1972" s="60" t="s">
        <v>5378</v>
      </c>
      <c r="E1972" s="58" t="s">
        <v>31</v>
      </c>
      <c r="F1972" s="58">
        <v>3.0</v>
      </c>
      <c r="G1972" s="58" t="s">
        <v>32</v>
      </c>
      <c r="H1972" s="33">
        <f t="shared" ref="H1972:H1974" si="299">if(G1972="Unknown",1,G1972)</f>
        <v>1</v>
      </c>
      <c r="I1972" s="58" t="s">
        <v>33</v>
      </c>
      <c r="J1972" s="58" t="s">
        <v>75</v>
      </c>
      <c r="K1972" s="58" t="s">
        <v>32</v>
      </c>
      <c r="L1972" s="58" t="s">
        <v>35</v>
      </c>
      <c r="M1972" s="264" t="s">
        <v>5379</v>
      </c>
      <c r="N1972" s="77"/>
      <c r="O1972" s="62"/>
      <c r="P1972" s="62"/>
      <c r="Q1972" s="62"/>
      <c r="R1972" s="62"/>
      <c r="S1972" s="37" t="str">
        <f>IFERROR(__xludf.DUMMYFUNCTION("if(not(iserror(index(split(C1972, "" ""),2))), index(split(C1972, "" ""),1),"""")"),"October")</f>
        <v>October</v>
      </c>
      <c r="T1972" s="38">
        <f>IFERROR(__xludf.DUMMYFUNCTION("if(S1972="""",C1972,if(not(iserror(index(split(C1972, "" ""),3))), index(split(C1972, "" ""),3),index(split(C1972, "" ""),2)))"),2018.0)</f>
        <v>2018</v>
      </c>
      <c r="U1972" s="38" t="b">
        <f t="shared" si="294"/>
        <v>0</v>
      </c>
      <c r="V1972" s="38"/>
      <c r="W1972" s="40"/>
      <c r="X1972" s="40"/>
      <c r="Y1972" s="40"/>
      <c r="Z1972" s="38"/>
      <c r="AA1972" s="38"/>
      <c r="AB1972" s="38"/>
      <c r="AC1972" s="38"/>
      <c r="AD1972" s="38"/>
      <c r="AE1972" s="38"/>
      <c r="AF1972" s="38"/>
      <c r="AG1972" s="38"/>
      <c r="AH1972" s="38"/>
      <c r="AI1972" s="38"/>
      <c r="AJ1972" s="38"/>
      <c r="AK1972" s="38"/>
      <c r="AL1972" s="38"/>
      <c r="AM1972" s="38"/>
      <c r="AN1972" s="38"/>
      <c r="AO1972" s="38"/>
      <c r="AP1972" s="38"/>
      <c r="AQ1972" s="38"/>
      <c r="AR1972" s="38"/>
      <c r="AS1972" s="38"/>
      <c r="AT1972" s="38"/>
      <c r="AU1972" s="38"/>
      <c r="AV1972" s="38"/>
      <c r="AW1972" s="38"/>
      <c r="AX1972" s="38"/>
      <c r="AY1972" s="38"/>
      <c r="AZ1972" s="38"/>
      <c r="BA1972" s="38"/>
      <c r="BB1972" s="38"/>
      <c r="BC1972" s="38"/>
      <c r="BD1972" s="38"/>
      <c r="BE1972" s="38"/>
      <c r="BF1972" s="38"/>
      <c r="BG1972" s="38"/>
      <c r="BH1972" s="38"/>
      <c r="BI1972" s="38"/>
      <c r="BJ1972" s="38"/>
      <c r="BK1972" s="38"/>
      <c r="BL1972" s="38"/>
      <c r="BM1972" s="38"/>
      <c r="BN1972" s="38"/>
      <c r="BO1972" s="38"/>
      <c r="BP1972" s="38"/>
      <c r="BQ1972" s="38"/>
    </row>
    <row r="1973">
      <c r="A1973" s="58" t="s">
        <v>40</v>
      </c>
      <c r="B1973" s="59">
        <v>43392.0</v>
      </c>
      <c r="C1973" s="59">
        <v>43388.0</v>
      </c>
      <c r="D1973" s="60" t="s">
        <v>5380</v>
      </c>
      <c r="E1973" s="58" t="s">
        <v>41</v>
      </c>
      <c r="F1973" s="58">
        <v>120.0</v>
      </c>
      <c r="G1973" s="58">
        <v>84.0</v>
      </c>
      <c r="H1973" s="33">
        <f t="shared" si="299"/>
        <v>84</v>
      </c>
      <c r="I1973" s="58" t="s">
        <v>33</v>
      </c>
      <c r="J1973" s="58" t="s">
        <v>40</v>
      </c>
      <c r="K1973" s="58">
        <v>133.0</v>
      </c>
      <c r="L1973" s="58" t="s">
        <v>5381</v>
      </c>
      <c r="M1973" s="61" t="s">
        <v>5382</v>
      </c>
      <c r="N1973" s="80"/>
      <c r="O1973" s="62"/>
      <c r="P1973" s="62"/>
      <c r="Q1973" s="62"/>
      <c r="R1973" s="62"/>
      <c r="S1973" s="37" t="str">
        <f>IFERROR(__xludf.DUMMYFUNCTION("if(not(iserror(index(split(C1973, "" ""),2))), index(split(C1973, "" ""),1),"""")"),"October")</f>
        <v>October</v>
      </c>
      <c r="T1973" s="38">
        <f>IFERROR(__xludf.DUMMYFUNCTION("if(S1973="""",C1973,if(not(iserror(index(split(C1973, "" ""),3))), index(split(C1973, "" ""),3),index(split(C1973, "" ""),2)))"),2018.0)</f>
        <v>2018</v>
      </c>
      <c r="U1973" s="38" t="b">
        <f t="shared" si="294"/>
        <v>1</v>
      </c>
      <c r="V1973" s="38"/>
      <c r="W1973" s="40"/>
      <c r="X1973" s="40"/>
      <c r="Y1973" s="40"/>
      <c r="Z1973" s="38"/>
      <c r="AA1973" s="38"/>
      <c r="AB1973" s="38"/>
      <c r="AC1973" s="38"/>
      <c r="AD1973" s="38"/>
      <c r="AE1973" s="38"/>
      <c r="AF1973" s="38"/>
      <c r="AG1973" s="38"/>
      <c r="AH1973" s="38"/>
      <c r="AI1973" s="38"/>
      <c r="AJ1973" s="38"/>
      <c r="AK1973" s="38"/>
      <c r="AL1973" s="38"/>
      <c r="AM1973" s="38"/>
      <c r="AN1973" s="38"/>
      <c r="AO1973" s="38"/>
      <c r="AP1973" s="38"/>
      <c r="AQ1973" s="38"/>
      <c r="AR1973" s="38"/>
      <c r="AS1973" s="38"/>
      <c r="AT1973" s="38"/>
      <c r="AU1973" s="38"/>
      <c r="AV1973" s="38"/>
      <c r="AW1973" s="38"/>
      <c r="AX1973" s="38"/>
      <c r="AY1973" s="38"/>
      <c r="AZ1973" s="38"/>
      <c r="BA1973" s="38"/>
      <c r="BB1973" s="38"/>
      <c r="BC1973" s="38"/>
      <c r="BD1973" s="38"/>
      <c r="BE1973" s="38"/>
      <c r="BF1973" s="38"/>
      <c r="BG1973" s="38"/>
      <c r="BH1973" s="38"/>
      <c r="BI1973" s="38"/>
      <c r="BJ1973" s="38"/>
      <c r="BK1973" s="38"/>
      <c r="BL1973" s="38"/>
      <c r="BM1973" s="38"/>
      <c r="BN1973" s="38"/>
      <c r="BO1973" s="38"/>
      <c r="BP1973" s="38"/>
      <c r="BQ1973" s="38"/>
    </row>
    <row r="1974">
      <c r="A1974" s="58" t="s">
        <v>5383</v>
      </c>
      <c r="B1974" s="59">
        <v>43392.0</v>
      </c>
      <c r="C1974" s="59">
        <v>43388.0</v>
      </c>
      <c r="D1974" s="60" t="s">
        <v>5378</v>
      </c>
      <c r="E1974" s="58" t="s">
        <v>41</v>
      </c>
      <c r="F1974" s="58">
        <v>1.0</v>
      </c>
      <c r="G1974" s="58" t="s">
        <v>32</v>
      </c>
      <c r="H1974" s="33">
        <f t="shared" si="299"/>
        <v>1</v>
      </c>
      <c r="I1974" s="58" t="s">
        <v>33</v>
      </c>
      <c r="J1974" s="58" t="s">
        <v>124</v>
      </c>
      <c r="K1974" s="58" t="s">
        <v>32</v>
      </c>
      <c r="L1974" s="58" t="s">
        <v>99</v>
      </c>
      <c r="M1974" s="61" t="s">
        <v>5384</v>
      </c>
      <c r="N1974" s="61" t="s">
        <v>5385</v>
      </c>
      <c r="O1974" s="88" t="str">
        <f>hyperlink("https://bad-boys.us/?q=ND-OH/5:18-cr-00660", "ND-OH 5:18-cr-00660")</f>
        <v>ND-OH 5:18-cr-00660</v>
      </c>
      <c r="P1974" s="88" t="s">
        <v>5386</v>
      </c>
      <c r="Q1974" s="84">
        <v>1.0</v>
      </c>
      <c r="R1974" s="62"/>
      <c r="S1974" s="37" t="str">
        <f>IFERROR(__xludf.DUMMYFUNCTION("if(not(iserror(index(split(C1974, "" ""),2))), index(split(C1974, "" ""),1),"""")"),"October")</f>
        <v>October</v>
      </c>
      <c r="T1974" s="38">
        <f>IFERROR(__xludf.DUMMYFUNCTION("if(S1974="""",C1974,if(not(iserror(index(split(C1974, "" ""),3))), index(split(C1974, "" ""),3),index(split(C1974, "" ""),2)))"),2018.0)</f>
        <v>2018</v>
      </c>
      <c r="U1974" s="38" t="b">
        <f t="shared" si="294"/>
        <v>0</v>
      </c>
      <c r="V1974" s="38"/>
      <c r="W1974" s="40"/>
      <c r="X1974" s="40"/>
      <c r="Y1974" s="40"/>
      <c r="Z1974" s="38"/>
      <c r="AA1974" s="38"/>
      <c r="AB1974" s="38"/>
      <c r="AC1974" s="38"/>
      <c r="AD1974" s="38"/>
      <c r="AE1974" s="38"/>
      <c r="AF1974" s="38"/>
      <c r="AG1974" s="38"/>
      <c r="AH1974" s="38"/>
      <c r="AI1974" s="38"/>
      <c r="AJ1974" s="38"/>
      <c r="AK1974" s="38"/>
      <c r="AL1974" s="38"/>
      <c r="AM1974" s="38"/>
      <c r="AN1974" s="38"/>
      <c r="AO1974" s="38"/>
      <c r="AP1974" s="38"/>
      <c r="AQ1974" s="38"/>
      <c r="AR1974" s="38"/>
      <c r="AS1974" s="38"/>
      <c r="AT1974" s="38"/>
      <c r="AU1974" s="38"/>
      <c r="AV1974" s="38"/>
      <c r="AW1974" s="38"/>
      <c r="AX1974" s="38"/>
      <c r="AY1974" s="38"/>
      <c r="AZ1974" s="38"/>
      <c r="BA1974" s="38"/>
      <c r="BB1974" s="38"/>
      <c r="BC1974" s="38"/>
      <c r="BD1974" s="38"/>
      <c r="BE1974" s="38"/>
      <c r="BF1974" s="38"/>
      <c r="BG1974" s="38"/>
      <c r="BH1974" s="38"/>
      <c r="BI1974" s="38"/>
      <c r="BJ1974" s="38"/>
      <c r="BK1974" s="38"/>
      <c r="BL1974" s="38"/>
      <c r="BM1974" s="38"/>
      <c r="BN1974" s="38"/>
      <c r="BO1974" s="38"/>
      <c r="BP1974" s="38"/>
      <c r="BQ1974" s="38"/>
    </row>
    <row r="1975">
      <c r="A1975" s="58" t="s">
        <v>5387</v>
      </c>
      <c r="B1975" s="59"/>
      <c r="C1975" s="59">
        <v>43389.0</v>
      </c>
      <c r="D1975" s="60"/>
      <c r="E1975" s="58" t="s">
        <v>41</v>
      </c>
      <c r="F1975" s="58">
        <v>1.0</v>
      </c>
      <c r="G1975" s="58" t="s">
        <v>32</v>
      </c>
      <c r="H1975" s="43">
        <v>1.0</v>
      </c>
      <c r="I1975" s="58" t="s">
        <v>33</v>
      </c>
      <c r="J1975" s="58" t="s">
        <v>433</v>
      </c>
      <c r="K1975" s="58"/>
      <c r="L1975" s="58" t="s">
        <v>807</v>
      </c>
      <c r="M1975" s="61" t="s">
        <v>5388</v>
      </c>
      <c r="N1975" s="80"/>
      <c r="O1975" s="88" t="str">
        <f>hyperlink("https://bad-boys.us/?q=D-MN/0:18-cr-00250", "D-MN 0:18-cr-00250")</f>
        <v>D-MN 0:18-cr-00250</v>
      </c>
      <c r="P1975" s="88" t="s">
        <v>5389</v>
      </c>
      <c r="Q1975" s="58">
        <v>1.0</v>
      </c>
      <c r="R1975" s="62"/>
      <c r="S1975" s="37"/>
      <c r="T1975" s="38"/>
      <c r="U1975" s="38" t="b">
        <f t="shared" si="294"/>
        <v>0</v>
      </c>
      <c r="V1975" s="38" t="s">
        <v>33</v>
      </c>
      <c r="W1975" s="40"/>
      <c r="X1975" s="40"/>
      <c r="Y1975" s="40"/>
      <c r="Z1975" s="38"/>
      <c r="AA1975" s="38"/>
      <c r="AB1975" s="38"/>
      <c r="AC1975" s="38"/>
      <c r="AD1975" s="38"/>
      <c r="AE1975" s="38"/>
      <c r="AF1975" s="38"/>
      <c r="AG1975" s="38"/>
      <c r="AH1975" s="38"/>
      <c r="AI1975" s="38"/>
      <c r="AJ1975" s="38"/>
      <c r="AK1975" s="38"/>
      <c r="AL1975" s="38"/>
      <c r="AM1975" s="38"/>
      <c r="AN1975" s="38"/>
      <c r="AO1975" s="38"/>
      <c r="AP1975" s="38"/>
      <c r="AQ1975" s="38"/>
      <c r="AR1975" s="38"/>
      <c r="AS1975" s="38"/>
      <c r="AT1975" s="38"/>
      <c r="AU1975" s="38"/>
      <c r="AV1975" s="38"/>
      <c r="AW1975" s="38"/>
      <c r="AX1975" s="38"/>
      <c r="AY1975" s="38"/>
      <c r="AZ1975" s="38"/>
      <c r="BA1975" s="38"/>
      <c r="BB1975" s="38"/>
      <c r="BC1975" s="38"/>
      <c r="BD1975" s="38"/>
      <c r="BE1975" s="38"/>
      <c r="BF1975" s="38"/>
      <c r="BG1975" s="38"/>
      <c r="BH1975" s="38"/>
      <c r="BI1975" s="38"/>
      <c r="BJ1975" s="38"/>
      <c r="BK1975" s="38"/>
      <c r="BL1975" s="38"/>
      <c r="BM1975" s="38"/>
      <c r="BN1975" s="38"/>
      <c r="BO1975" s="38"/>
      <c r="BP1975" s="38"/>
      <c r="BQ1975" s="38"/>
    </row>
    <row r="1976">
      <c r="A1976" s="58" t="s">
        <v>5390</v>
      </c>
      <c r="B1976" s="59"/>
      <c r="C1976" s="59">
        <v>43389.0</v>
      </c>
      <c r="D1976" s="60"/>
      <c r="E1976" s="58" t="s">
        <v>41</v>
      </c>
      <c r="F1976" s="58">
        <v>1.0</v>
      </c>
      <c r="G1976" s="58" t="s">
        <v>32</v>
      </c>
      <c r="H1976" s="43">
        <v>1.0</v>
      </c>
      <c r="I1976" s="58" t="s">
        <v>33</v>
      </c>
      <c r="J1976" s="58" t="s">
        <v>147</v>
      </c>
      <c r="K1976" s="58"/>
      <c r="L1976" s="58" t="s">
        <v>119</v>
      </c>
      <c r="M1976" s="61" t="s">
        <v>5391</v>
      </c>
      <c r="N1976" s="80"/>
      <c r="O1976" s="58"/>
      <c r="P1976" s="58"/>
      <c r="Q1976" s="58">
        <v>1.0</v>
      </c>
      <c r="R1976" s="62"/>
      <c r="S1976" s="37"/>
      <c r="T1976" s="38"/>
      <c r="U1976" s="38"/>
      <c r="V1976" s="38" t="s">
        <v>33</v>
      </c>
      <c r="W1976" s="40"/>
      <c r="X1976" s="40"/>
      <c r="Y1976" s="40"/>
      <c r="Z1976" s="38"/>
      <c r="AA1976" s="38"/>
      <c r="AB1976" s="38"/>
      <c r="AC1976" s="38"/>
      <c r="AD1976" s="38"/>
      <c r="AE1976" s="38"/>
      <c r="AF1976" s="38"/>
      <c r="AG1976" s="38"/>
      <c r="AH1976" s="38"/>
      <c r="AI1976" s="38"/>
      <c r="AJ1976" s="38"/>
      <c r="AK1976" s="38"/>
      <c r="AL1976" s="38"/>
      <c r="AM1976" s="38"/>
      <c r="AN1976" s="38"/>
      <c r="AO1976" s="38"/>
      <c r="AP1976" s="38"/>
      <c r="AQ1976" s="38"/>
      <c r="AR1976" s="38"/>
      <c r="AS1976" s="38"/>
      <c r="AT1976" s="38"/>
      <c r="AU1976" s="38"/>
      <c r="AV1976" s="38"/>
      <c r="AW1976" s="38"/>
      <c r="AX1976" s="38"/>
      <c r="AY1976" s="38"/>
      <c r="AZ1976" s="38"/>
      <c r="BA1976" s="38"/>
      <c r="BB1976" s="38"/>
      <c r="BC1976" s="38"/>
      <c r="BD1976" s="38"/>
      <c r="BE1976" s="38"/>
      <c r="BF1976" s="38"/>
      <c r="BG1976" s="38"/>
      <c r="BH1976" s="38"/>
      <c r="BI1976" s="38"/>
      <c r="BJ1976" s="38"/>
      <c r="BK1976" s="38"/>
      <c r="BL1976" s="38"/>
      <c r="BM1976" s="38"/>
      <c r="BN1976" s="38"/>
      <c r="BO1976" s="38"/>
      <c r="BP1976" s="38"/>
      <c r="BQ1976" s="38"/>
    </row>
    <row r="1977">
      <c r="A1977" s="58" t="s">
        <v>239</v>
      </c>
      <c r="B1977" s="59">
        <v>43389.0</v>
      </c>
      <c r="C1977" s="59">
        <v>43389.0</v>
      </c>
      <c r="D1977" s="60" t="s">
        <v>4241</v>
      </c>
      <c r="E1977" s="58" t="s">
        <v>41</v>
      </c>
      <c r="F1977" s="58">
        <v>2.0</v>
      </c>
      <c r="G1977" s="58" t="s">
        <v>32</v>
      </c>
      <c r="H1977" s="33">
        <f t="shared" ref="H1977:H1981" si="300">if(G1977="Unknown",1,G1977)</f>
        <v>1</v>
      </c>
      <c r="I1977" s="58" t="s">
        <v>33</v>
      </c>
      <c r="J1977" s="58" t="s">
        <v>147</v>
      </c>
      <c r="K1977" s="58">
        <v>1.0</v>
      </c>
      <c r="L1977" s="58" t="s">
        <v>194</v>
      </c>
      <c r="M1977" s="61" t="s">
        <v>5392</v>
      </c>
      <c r="N1977" s="80"/>
      <c r="O1977" s="58"/>
      <c r="P1977" s="58"/>
      <c r="Q1977" s="84"/>
      <c r="R1977" s="62"/>
      <c r="S1977" s="37" t="str">
        <f>IFERROR(__xludf.DUMMYFUNCTION("if(not(iserror(index(split(C1977, "" ""),2))), index(split(C1977, "" ""),1),"""")"),"October")</f>
        <v>October</v>
      </c>
      <c r="T1977" s="38">
        <f>IFERROR(__xludf.DUMMYFUNCTION("if(S1977="""",C1977,if(not(iserror(index(split(C1977, "" ""),3))), index(split(C1977, "" ""),3),index(split(C1977, "" ""),2)))"),2018.0)</f>
        <v>2018</v>
      </c>
      <c r="U1977" s="38" t="b">
        <f t="shared" ref="U1977:U1981" si="301">countif(A$4:A4658, A1977)&gt;1</f>
        <v>1</v>
      </c>
      <c r="V1977" s="38"/>
      <c r="W1977" s="40"/>
      <c r="X1977" s="40"/>
      <c r="Y1977" s="40"/>
      <c r="Z1977" s="38"/>
      <c r="AA1977" s="38"/>
      <c r="AB1977" s="38"/>
      <c r="AC1977" s="38"/>
      <c r="AD1977" s="38"/>
      <c r="AE1977" s="38"/>
      <c r="AF1977" s="38"/>
      <c r="AG1977" s="38"/>
      <c r="AH1977" s="38"/>
      <c r="AI1977" s="38"/>
      <c r="AJ1977" s="38"/>
      <c r="AK1977" s="38"/>
      <c r="AL1977" s="38"/>
      <c r="AM1977" s="38"/>
      <c r="AN1977" s="38"/>
      <c r="AO1977" s="38"/>
      <c r="AP1977" s="38"/>
      <c r="AQ1977" s="38"/>
      <c r="AR1977" s="38"/>
      <c r="AS1977" s="38"/>
      <c r="AT1977" s="38"/>
      <c r="AU1977" s="38"/>
      <c r="AV1977" s="38"/>
      <c r="AW1977" s="38"/>
      <c r="AX1977" s="38"/>
      <c r="AY1977" s="38"/>
      <c r="AZ1977" s="38"/>
      <c r="BA1977" s="38"/>
      <c r="BB1977" s="38"/>
      <c r="BC1977" s="38"/>
      <c r="BD1977" s="38"/>
      <c r="BE1977" s="38"/>
      <c r="BF1977" s="38"/>
      <c r="BG1977" s="38"/>
      <c r="BH1977" s="38"/>
      <c r="BI1977" s="38"/>
      <c r="BJ1977" s="38"/>
      <c r="BK1977" s="38"/>
      <c r="BL1977" s="38"/>
      <c r="BM1977" s="38"/>
      <c r="BN1977" s="38"/>
      <c r="BO1977" s="38"/>
      <c r="BP1977" s="38"/>
      <c r="BQ1977" s="38"/>
    </row>
    <row r="1978">
      <c r="A1978" s="58" t="s">
        <v>239</v>
      </c>
      <c r="B1978" s="59">
        <v>43390.0</v>
      </c>
      <c r="C1978" s="59">
        <v>43389.0</v>
      </c>
      <c r="D1978" s="60" t="s">
        <v>4241</v>
      </c>
      <c r="E1978" s="58" t="s">
        <v>41</v>
      </c>
      <c r="F1978" s="58">
        <v>1.0</v>
      </c>
      <c r="G1978" s="58">
        <v>37.0</v>
      </c>
      <c r="H1978" s="33">
        <f t="shared" si="300"/>
        <v>37</v>
      </c>
      <c r="I1978" s="58" t="s">
        <v>33</v>
      </c>
      <c r="J1978" s="58" t="s">
        <v>147</v>
      </c>
      <c r="K1978" s="58">
        <v>1.0</v>
      </c>
      <c r="L1978" s="58" t="s">
        <v>194</v>
      </c>
      <c r="M1978" s="105" t="s">
        <v>5393</v>
      </c>
      <c r="N1978" s="80"/>
      <c r="O1978" s="62"/>
      <c r="P1978" s="62"/>
      <c r="Q1978" s="62"/>
      <c r="R1978" s="62"/>
      <c r="S1978" s="37" t="str">
        <f>IFERROR(__xludf.DUMMYFUNCTION("if(not(iserror(index(split(C1978, "" ""),2))), index(split(C1978, "" ""),1),"""")"),"October")</f>
        <v>October</v>
      </c>
      <c r="T1978" s="38">
        <f>IFERROR(__xludf.DUMMYFUNCTION("if(S1978="""",C1978,if(not(iserror(index(split(C1978, "" ""),3))), index(split(C1978, "" ""),3),index(split(C1978, "" ""),2)))"),2018.0)</f>
        <v>2018</v>
      </c>
      <c r="U1978" s="38" t="b">
        <f t="shared" si="301"/>
        <v>1</v>
      </c>
      <c r="V1978" s="38"/>
      <c r="W1978" s="40"/>
      <c r="X1978" s="40"/>
      <c r="Y1978" s="40"/>
      <c r="Z1978" s="38"/>
      <c r="AA1978" s="38"/>
      <c r="AB1978" s="38"/>
      <c r="AC1978" s="38"/>
      <c r="AD1978" s="38"/>
      <c r="AE1978" s="38"/>
      <c r="AF1978" s="38"/>
      <c r="AG1978" s="38"/>
      <c r="AH1978" s="38"/>
      <c r="AI1978" s="38"/>
      <c r="AJ1978" s="38"/>
      <c r="AK1978" s="38"/>
      <c r="AL1978" s="38"/>
      <c r="AM1978" s="38"/>
      <c r="AN1978" s="38"/>
      <c r="AO1978" s="38"/>
      <c r="AP1978" s="38"/>
      <c r="AQ1978" s="38"/>
      <c r="AR1978" s="38"/>
      <c r="AS1978" s="38"/>
      <c r="AT1978" s="38"/>
      <c r="AU1978" s="38"/>
      <c r="AV1978" s="38"/>
      <c r="AW1978" s="38"/>
      <c r="AX1978" s="38"/>
      <c r="AY1978" s="38"/>
      <c r="AZ1978" s="38"/>
      <c r="BA1978" s="38"/>
      <c r="BB1978" s="38"/>
      <c r="BC1978" s="38"/>
      <c r="BD1978" s="38"/>
      <c r="BE1978" s="38"/>
      <c r="BF1978" s="38"/>
      <c r="BG1978" s="38"/>
      <c r="BH1978" s="38"/>
      <c r="BI1978" s="38"/>
      <c r="BJ1978" s="38"/>
      <c r="BK1978" s="38"/>
      <c r="BL1978" s="38"/>
      <c r="BM1978" s="38"/>
      <c r="BN1978" s="38"/>
      <c r="BO1978" s="38"/>
      <c r="BP1978" s="38"/>
      <c r="BQ1978" s="38"/>
    </row>
    <row r="1979">
      <c r="A1979" s="58" t="s">
        <v>5394</v>
      </c>
      <c r="B1979" s="59">
        <v>43391.0</v>
      </c>
      <c r="C1979" s="59">
        <v>43389.0</v>
      </c>
      <c r="D1979" s="60" t="s">
        <v>4241</v>
      </c>
      <c r="E1979" s="58" t="s">
        <v>31</v>
      </c>
      <c r="F1979" s="58">
        <v>1.0</v>
      </c>
      <c r="G1979" s="58" t="s">
        <v>32</v>
      </c>
      <c r="H1979" s="33">
        <f t="shared" si="300"/>
        <v>1</v>
      </c>
      <c r="I1979" s="58" t="s">
        <v>33</v>
      </c>
      <c r="J1979" s="58" t="s">
        <v>61</v>
      </c>
      <c r="K1979" s="58">
        <v>1.0</v>
      </c>
      <c r="L1979" s="58" t="s">
        <v>52</v>
      </c>
      <c r="M1979" s="105" t="s">
        <v>5395</v>
      </c>
      <c r="N1979" s="80"/>
      <c r="O1979" s="62"/>
      <c r="P1979" s="62"/>
      <c r="Q1979" s="62"/>
      <c r="R1979" s="62"/>
      <c r="S1979" s="37" t="str">
        <f>IFERROR(__xludf.DUMMYFUNCTION("if(not(iserror(index(split(C1979, "" ""),2))), index(split(C1979, "" ""),1),"""")"),"October")</f>
        <v>October</v>
      </c>
      <c r="T1979" s="38">
        <f>IFERROR(__xludf.DUMMYFUNCTION("if(S1979="""",C1979,if(not(iserror(index(split(C1979, "" ""),3))), index(split(C1979, "" ""),3),index(split(C1979, "" ""),2)))"),2018.0)</f>
        <v>2018</v>
      </c>
      <c r="U1979" s="38" t="b">
        <f t="shared" si="301"/>
        <v>0</v>
      </c>
      <c r="V1979" s="38"/>
      <c r="W1979" s="40"/>
      <c r="X1979" s="40"/>
      <c r="Y1979" s="40"/>
      <c r="Z1979" s="38"/>
      <c r="AA1979" s="38"/>
      <c r="AB1979" s="38"/>
      <c r="AC1979" s="38"/>
      <c r="AD1979" s="38"/>
      <c r="AE1979" s="38"/>
      <c r="AF1979" s="38"/>
      <c r="AG1979" s="38"/>
      <c r="AH1979" s="38"/>
      <c r="AI1979" s="38"/>
      <c r="AJ1979" s="38"/>
      <c r="AK1979" s="38"/>
      <c r="AL1979" s="38"/>
      <c r="AM1979" s="38"/>
      <c r="AN1979" s="38"/>
      <c r="AO1979" s="38"/>
      <c r="AP1979" s="38"/>
      <c r="AQ1979" s="38"/>
      <c r="AR1979" s="38"/>
      <c r="AS1979" s="38"/>
      <c r="AT1979" s="38"/>
      <c r="AU1979" s="38"/>
      <c r="AV1979" s="38"/>
      <c r="AW1979" s="38"/>
      <c r="AX1979" s="38"/>
      <c r="AY1979" s="38"/>
      <c r="AZ1979" s="38"/>
      <c r="BA1979" s="38"/>
      <c r="BB1979" s="38"/>
      <c r="BC1979" s="38"/>
      <c r="BD1979" s="38"/>
      <c r="BE1979" s="38"/>
      <c r="BF1979" s="38"/>
      <c r="BG1979" s="38"/>
      <c r="BH1979" s="38"/>
      <c r="BI1979" s="38"/>
      <c r="BJ1979" s="38"/>
      <c r="BK1979" s="38"/>
      <c r="BL1979" s="38"/>
      <c r="BM1979" s="38"/>
      <c r="BN1979" s="38"/>
      <c r="BO1979" s="38"/>
      <c r="BP1979" s="38"/>
      <c r="BQ1979" s="38"/>
    </row>
    <row r="1980">
      <c r="A1980" s="58" t="s">
        <v>5396</v>
      </c>
      <c r="B1980" s="59">
        <v>43391.0</v>
      </c>
      <c r="C1980" s="59">
        <v>43389.0</v>
      </c>
      <c r="D1980" s="60" t="s">
        <v>4241</v>
      </c>
      <c r="E1980" s="58" t="s">
        <v>31</v>
      </c>
      <c r="F1980" s="58">
        <v>1.0</v>
      </c>
      <c r="G1980" s="58" t="s">
        <v>32</v>
      </c>
      <c r="H1980" s="33">
        <f t="shared" si="300"/>
        <v>1</v>
      </c>
      <c r="I1980" s="58" t="s">
        <v>33</v>
      </c>
      <c r="J1980" s="58" t="s">
        <v>93</v>
      </c>
      <c r="K1980" s="58">
        <v>3.0</v>
      </c>
      <c r="L1980" s="58" t="s">
        <v>99</v>
      </c>
      <c r="M1980" s="105" t="s">
        <v>5397</v>
      </c>
      <c r="N1980" s="80"/>
      <c r="O1980" s="62"/>
      <c r="P1980" s="62"/>
      <c r="Q1980" s="62"/>
      <c r="R1980" s="62"/>
      <c r="S1980" s="37" t="str">
        <f>IFERROR(__xludf.DUMMYFUNCTION("if(not(iserror(index(split(C1980, "" ""),2))), index(split(C1980, "" ""),1),"""")"),"October")</f>
        <v>October</v>
      </c>
      <c r="T1980" s="38">
        <f>IFERROR(__xludf.DUMMYFUNCTION("if(S1980="""",C1980,if(not(iserror(index(split(C1980, "" ""),3))), index(split(C1980, "" ""),3),index(split(C1980, "" ""),2)))"),2018.0)</f>
        <v>2018</v>
      </c>
      <c r="U1980" s="38" t="b">
        <f t="shared" si="301"/>
        <v>0</v>
      </c>
      <c r="V1980" s="38"/>
      <c r="W1980" s="40"/>
      <c r="X1980" s="40"/>
      <c r="Y1980" s="40"/>
      <c r="Z1980" s="38"/>
      <c r="AA1980" s="38"/>
      <c r="AB1980" s="38"/>
      <c r="AC1980" s="38"/>
      <c r="AD1980" s="38"/>
      <c r="AE1980" s="38"/>
      <c r="AF1980" s="38"/>
      <c r="AG1980" s="38"/>
      <c r="AH1980" s="38"/>
      <c r="AI1980" s="38"/>
      <c r="AJ1980" s="38"/>
      <c r="AK1980" s="38"/>
      <c r="AL1980" s="38"/>
      <c r="AM1980" s="38"/>
      <c r="AN1980" s="38"/>
      <c r="AO1980" s="38"/>
      <c r="AP1980" s="38"/>
      <c r="AQ1980" s="38"/>
      <c r="AR1980" s="38"/>
      <c r="AS1980" s="38"/>
      <c r="AT1980" s="38"/>
      <c r="AU1980" s="38"/>
      <c r="AV1980" s="38"/>
      <c r="AW1980" s="38"/>
      <c r="AX1980" s="38"/>
      <c r="AY1980" s="38"/>
      <c r="AZ1980" s="38"/>
      <c r="BA1980" s="38"/>
      <c r="BB1980" s="38"/>
      <c r="BC1980" s="38"/>
      <c r="BD1980" s="38"/>
      <c r="BE1980" s="38"/>
      <c r="BF1980" s="38"/>
      <c r="BG1980" s="38"/>
      <c r="BH1980" s="38"/>
      <c r="BI1980" s="38"/>
      <c r="BJ1980" s="38"/>
      <c r="BK1980" s="38"/>
      <c r="BL1980" s="38"/>
      <c r="BM1980" s="38"/>
      <c r="BN1980" s="38"/>
      <c r="BO1980" s="38"/>
      <c r="BP1980" s="38"/>
      <c r="BQ1980" s="38"/>
    </row>
    <row r="1981">
      <c r="A1981" s="58" t="s">
        <v>5398</v>
      </c>
      <c r="B1981" s="59">
        <v>43391.0</v>
      </c>
      <c r="C1981" s="59">
        <v>43389.0</v>
      </c>
      <c r="D1981" s="60" t="s">
        <v>4241</v>
      </c>
      <c r="E1981" s="58" t="s">
        <v>41</v>
      </c>
      <c r="F1981" s="58">
        <v>1.0</v>
      </c>
      <c r="G1981" s="58" t="s">
        <v>32</v>
      </c>
      <c r="H1981" s="33">
        <f t="shared" si="300"/>
        <v>1</v>
      </c>
      <c r="I1981" s="58" t="s">
        <v>33</v>
      </c>
      <c r="J1981" s="58" t="s">
        <v>652</v>
      </c>
      <c r="K1981" s="58">
        <v>5.0</v>
      </c>
      <c r="L1981" s="58" t="s">
        <v>5399</v>
      </c>
      <c r="M1981" s="105" t="s">
        <v>5400</v>
      </c>
      <c r="N1981" s="80"/>
      <c r="O1981" s="62"/>
      <c r="P1981" s="62"/>
      <c r="Q1981" s="62"/>
      <c r="R1981" s="62"/>
      <c r="S1981" s="37" t="str">
        <f>IFERROR(__xludf.DUMMYFUNCTION("if(not(iserror(index(split(C1981, "" ""),2))), index(split(C1981, "" ""),1),"""")"),"October")</f>
        <v>October</v>
      </c>
      <c r="T1981" s="38">
        <f>IFERROR(__xludf.DUMMYFUNCTION("if(S1981="""",C1981,if(not(iserror(index(split(C1981, "" ""),3))), index(split(C1981, "" ""),3),index(split(C1981, "" ""),2)))"),2018.0)</f>
        <v>2018</v>
      </c>
      <c r="U1981" s="38" t="b">
        <f t="shared" si="301"/>
        <v>0</v>
      </c>
      <c r="V1981" s="38"/>
      <c r="W1981" s="40"/>
      <c r="X1981" s="40"/>
      <c r="Y1981" s="40"/>
      <c r="Z1981" s="38"/>
      <c r="AA1981" s="38"/>
      <c r="AB1981" s="38"/>
      <c r="AC1981" s="38"/>
      <c r="AD1981" s="38"/>
      <c r="AE1981" s="38"/>
      <c r="AF1981" s="38"/>
      <c r="AG1981" s="38"/>
      <c r="AH1981" s="38"/>
      <c r="AI1981" s="38"/>
      <c r="AJ1981" s="38"/>
      <c r="AK1981" s="38"/>
      <c r="AL1981" s="38"/>
      <c r="AM1981" s="38"/>
      <c r="AN1981" s="38"/>
      <c r="AO1981" s="38"/>
      <c r="AP1981" s="38"/>
      <c r="AQ1981" s="38"/>
      <c r="AR1981" s="38"/>
      <c r="AS1981" s="38"/>
      <c r="AT1981" s="38"/>
      <c r="AU1981" s="38"/>
      <c r="AV1981" s="38"/>
      <c r="AW1981" s="38"/>
      <c r="AX1981" s="38"/>
      <c r="AY1981" s="38"/>
      <c r="AZ1981" s="38"/>
      <c r="BA1981" s="38"/>
      <c r="BB1981" s="38"/>
      <c r="BC1981" s="38"/>
      <c r="BD1981" s="38"/>
      <c r="BE1981" s="38"/>
      <c r="BF1981" s="38"/>
      <c r="BG1981" s="38"/>
      <c r="BH1981" s="38"/>
      <c r="BI1981" s="38"/>
      <c r="BJ1981" s="38"/>
      <c r="BK1981" s="38"/>
      <c r="BL1981" s="38"/>
      <c r="BM1981" s="38"/>
      <c r="BN1981" s="38"/>
      <c r="BO1981" s="38"/>
      <c r="BP1981" s="38"/>
      <c r="BQ1981" s="38"/>
    </row>
    <row r="1982">
      <c r="A1982" s="58" t="s">
        <v>5401</v>
      </c>
      <c r="B1982" s="59"/>
      <c r="C1982" s="59">
        <v>43390.0</v>
      </c>
      <c r="D1982" s="60"/>
      <c r="E1982" s="58" t="s">
        <v>41</v>
      </c>
      <c r="F1982" s="58">
        <v>1.0</v>
      </c>
      <c r="G1982" s="58" t="s">
        <v>32</v>
      </c>
      <c r="H1982" s="43">
        <v>1.0</v>
      </c>
      <c r="I1982" s="58" t="s">
        <v>33</v>
      </c>
      <c r="J1982" s="58" t="s">
        <v>93</v>
      </c>
      <c r="K1982" s="58"/>
      <c r="L1982" s="58" t="s">
        <v>76</v>
      </c>
      <c r="M1982" s="105" t="s">
        <v>5402</v>
      </c>
      <c r="N1982" s="80"/>
      <c r="O1982" s="58"/>
      <c r="P1982" s="58"/>
      <c r="Q1982" s="58">
        <v>1.0</v>
      </c>
      <c r="R1982" s="62"/>
      <c r="S1982" s="37"/>
      <c r="T1982" s="38"/>
      <c r="U1982" s="38"/>
      <c r="V1982" s="38" t="s">
        <v>33</v>
      </c>
      <c r="W1982" s="40"/>
      <c r="X1982" s="40"/>
      <c r="Y1982" s="40"/>
      <c r="Z1982" s="38"/>
      <c r="AA1982" s="38"/>
      <c r="AB1982" s="38"/>
      <c r="AC1982" s="38"/>
      <c r="AD1982" s="38"/>
      <c r="AE1982" s="38"/>
      <c r="AF1982" s="38"/>
      <c r="AG1982" s="38"/>
      <c r="AH1982" s="38"/>
      <c r="AI1982" s="38"/>
      <c r="AJ1982" s="38"/>
      <c r="AK1982" s="38"/>
      <c r="AL1982" s="38"/>
      <c r="AM1982" s="38"/>
      <c r="AN1982" s="38"/>
      <c r="AO1982" s="38"/>
      <c r="AP1982" s="38"/>
      <c r="AQ1982" s="38"/>
      <c r="AR1982" s="38"/>
      <c r="AS1982" s="38"/>
      <c r="AT1982" s="38"/>
      <c r="AU1982" s="38"/>
      <c r="AV1982" s="38"/>
      <c r="AW1982" s="38"/>
      <c r="AX1982" s="38"/>
      <c r="AY1982" s="38"/>
      <c r="AZ1982" s="38"/>
      <c r="BA1982" s="38"/>
      <c r="BB1982" s="38"/>
      <c r="BC1982" s="38"/>
      <c r="BD1982" s="38"/>
      <c r="BE1982" s="38"/>
      <c r="BF1982" s="38"/>
      <c r="BG1982" s="38"/>
      <c r="BH1982" s="38"/>
      <c r="BI1982" s="38"/>
      <c r="BJ1982" s="38"/>
      <c r="BK1982" s="38"/>
      <c r="BL1982" s="38"/>
      <c r="BM1982" s="38"/>
      <c r="BN1982" s="38"/>
      <c r="BO1982" s="38"/>
      <c r="BP1982" s="38"/>
      <c r="BQ1982" s="38"/>
    </row>
    <row r="1983">
      <c r="A1983" s="58" t="s">
        <v>5403</v>
      </c>
      <c r="B1983" s="59"/>
      <c r="C1983" s="59">
        <v>43390.0</v>
      </c>
      <c r="D1983" s="60"/>
      <c r="E1983" s="58" t="s">
        <v>41</v>
      </c>
      <c r="F1983" s="58">
        <v>1.0</v>
      </c>
      <c r="G1983" s="58" t="s">
        <v>32</v>
      </c>
      <c r="H1983" s="43">
        <v>1.0</v>
      </c>
      <c r="I1983" s="58" t="s">
        <v>33</v>
      </c>
      <c r="J1983" s="58" t="s">
        <v>162</v>
      </c>
      <c r="K1983" s="58"/>
      <c r="L1983" s="58" t="s">
        <v>69</v>
      </c>
      <c r="M1983" s="105" t="s">
        <v>5404</v>
      </c>
      <c r="N1983" s="80"/>
      <c r="O1983" s="58"/>
      <c r="P1983" s="58"/>
      <c r="Q1983" s="58"/>
      <c r="R1983" s="62"/>
      <c r="S1983" s="37"/>
      <c r="T1983" s="38"/>
      <c r="U1983" s="38" t="b">
        <f>countif(A$4:A4658, A1983)&gt;1</f>
        <v>0</v>
      </c>
      <c r="V1983" s="38" t="s">
        <v>33</v>
      </c>
      <c r="W1983" s="40"/>
      <c r="X1983" s="40"/>
      <c r="Y1983" s="40"/>
      <c r="Z1983" s="38"/>
      <c r="AA1983" s="38"/>
      <c r="AB1983" s="38"/>
      <c r="AC1983" s="38"/>
      <c r="AD1983" s="38"/>
      <c r="AE1983" s="38"/>
      <c r="AF1983" s="38"/>
      <c r="AG1983" s="38"/>
      <c r="AH1983" s="38"/>
      <c r="AI1983" s="38"/>
      <c r="AJ1983" s="38"/>
      <c r="AK1983" s="38"/>
      <c r="AL1983" s="38"/>
      <c r="AM1983" s="38"/>
      <c r="AN1983" s="38"/>
      <c r="AO1983" s="38"/>
      <c r="AP1983" s="38"/>
      <c r="AQ1983" s="38"/>
      <c r="AR1983" s="38"/>
      <c r="AS1983" s="38"/>
      <c r="AT1983" s="38"/>
      <c r="AU1983" s="38"/>
      <c r="AV1983" s="38"/>
      <c r="AW1983" s="38"/>
      <c r="AX1983" s="38"/>
      <c r="AY1983" s="38"/>
      <c r="AZ1983" s="38"/>
      <c r="BA1983" s="38"/>
      <c r="BB1983" s="38"/>
      <c r="BC1983" s="38"/>
      <c r="BD1983" s="38"/>
      <c r="BE1983" s="38"/>
      <c r="BF1983" s="38"/>
      <c r="BG1983" s="38"/>
      <c r="BH1983" s="38"/>
      <c r="BI1983" s="38"/>
      <c r="BJ1983" s="38"/>
      <c r="BK1983" s="38"/>
      <c r="BL1983" s="38"/>
      <c r="BM1983" s="38"/>
      <c r="BN1983" s="38"/>
      <c r="BO1983" s="38"/>
      <c r="BP1983" s="38"/>
      <c r="BQ1983" s="38"/>
    </row>
    <row r="1984">
      <c r="A1984" s="58" t="s">
        <v>5405</v>
      </c>
      <c r="B1984" s="59"/>
      <c r="C1984" s="59">
        <v>43390.0</v>
      </c>
      <c r="D1984" s="60"/>
      <c r="E1984" s="58" t="s">
        <v>41</v>
      </c>
      <c r="F1984" s="58">
        <v>1.0</v>
      </c>
      <c r="G1984" s="58" t="s">
        <v>32</v>
      </c>
      <c r="H1984" s="43">
        <v>1.0</v>
      </c>
      <c r="I1984" s="58" t="s">
        <v>33</v>
      </c>
      <c r="J1984" s="58" t="s">
        <v>288</v>
      </c>
      <c r="K1984" s="58"/>
      <c r="L1984" s="58" t="s">
        <v>119</v>
      </c>
      <c r="M1984" s="105" t="s">
        <v>5406</v>
      </c>
      <c r="N1984" s="80"/>
      <c r="O1984" s="58"/>
      <c r="P1984" s="58"/>
      <c r="Q1984" s="58"/>
      <c r="R1984" s="62"/>
      <c r="S1984" s="37"/>
      <c r="T1984" s="38"/>
      <c r="U1984" s="38"/>
      <c r="V1984" s="38" t="s">
        <v>33</v>
      </c>
      <c r="W1984" s="40"/>
      <c r="X1984" s="40"/>
      <c r="Y1984" s="40"/>
      <c r="Z1984" s="38"/>
      <c r="AA1984" s="38"/>
      <c r="AB1984" s="38"/>
      <c r="AC1984" s="38"/>
      <c r="AD1984" s="38"/>
      <c r="AE1984" s="38"/>
      <c r="AF1984" s="38"/>
      <c r="AG1984" s="38"/>
      <c r="AH1984" s="38"/>
      <c r="AI1984" s="38"/>
      <c r="AJ1984" s="38"/>
      <c r="AK1984" s="38"/>
      <c r="AL1984" s="38"/>
      <c r="AM1984" s="38"/>
      <c r="AN1984" s="38"/>
      <c r="AO1984" s="38"/>
      <c r="AP1984" s="38"/>
      <c r="AQ1984" s="38"/>
      <c r="AR1984" s="38"/>
      <c r="AS1984" s="38"/>
      <c r="AT1984" s="38"/>
      <c r="AU1984" s="38"/>
      <c r="AV1984" s="38"/>
      <c r="AW1984" s="38"/>
      <c r="AX1984" s="38"/>
      <c r="AY1984" s="38"/>
      <c r="AZ1984" s="38"/>
      <c r="BA1984" s="38"/>
      <c r="BB1984" s="38"/>
      <c r="BC1984" s="38"/>
      <c r="BD1984" s="38"/>
      <c r="BE1984" s="38"/>
      <c r="BF1984" s="38"/>
      <c r="BG1984" s="38"/>
      <c r="BH1984" s="38"/>
      <c r="BI1984" s="38"/>
      <c r="BJ1984" s="38"/>
      <c r="BK1984" s="38"/>
      <c r="BL1984" s="38"/>
      <c r="BM1984" s="38"/>
      <c r="BN1984" s="38"/>
      <c r="BO1984" s="38"/>
      <c r="BP1984" s="38"/>
      <c r="BQ1984" s="38"/>
    </row>
    <row r="1985">
      <c r="A1985" s="58" t="s">
        <v>5407</v>
      </c>
      <c r="B1985" s="59">
        <v>43390.0</v>
      </c>
      <c r="C1985" s="59">
        <v>43390.0</v>
      </c>
      <c r="D1985" s="60" t="s">
        <v>5380</v>
      </c>
      <c r="E1985" s="58" t="s">
        <v>31</v>
      </c>
      <c r="F1985" s="58">
        <v>1.0</v>
      </c>
      <c r="G1985" s="58" t="s">
        <v>32</v>
      </c>
      <c r="H1985" s="33">
        <f t="shared" ref="H1985:H1988" si="302">if(G1985="Unknown",1,G1985)</f>
        <v>1</v>
      </c>
      <c r="I1985" s="58" t="s">
        <v>33</v>
      </c>
      <c r="J1985" s="58" t="s">
        <v>504</v>
      </c>
      <c r="K1985" s="58" t="s">
        <v>32</v>
      </c>
      <c r="L1985" s="58" t="s">
        <v>5408</v>
      </c>
      <c r="M1985" s="105" t="s">
        <v>5409</v>
      </c>
      <c r="N1985" s="80"/>
      <c r="O1985" s="58"/>
      <c r="P1985" s="58"/>
      <c r="Q1985" s="84"/>
      <c r="R1985" s="62"/>
      <c r="S1985" s="37" t="str">
        <f>IFERROR(__xludf.DUMMYFUNCTION("if(not(iserror(index(split(C1985, "" ""),2))), index(split(C1985, "" ""),1),"""")"),"October")</f>
        <v>October</v>
      </c>
      <c r="T1985" s="38">
        <f>IFERROR(__xludf.DUMMYFUNCTION("if(S1985="""",C1985,if(not(iserror(index(split(C1985, "" ""),3))), index(split(C1985, "" ""),3),index(split(C1985, "" ""),2)))"),2018.0)</f>
        <v>2018</v>
      </c>
      <c r="U1985" s="38" t="b">
        <f t="shared" ref="U1985:U1988" si="303">countif(A$4:A4658, A1985)&gt;1</f>
        <v>0</v>
      </c>
      <c r="V1985" s="38"/>
      <c r="W1985" s="40"/>
      <c r="X1985" s="40"/>
      <c r="Y1985" s="40"/>
      <c r="Z1985" s="38"/>
      <c r="AA1985" s="38"/>
      <c r="AB1985" s="38"/>
      <c r="AC1985" s="38"/>
      <c r="AD1985" s="38"/>
      <c r="AE1985" s="38"/>
      <c r="AF1985" s="38"/>
      <c r="AG1985" s="38"/>
      <c r="AH1985" s="38"/>
      <c r="AI1985" s="38"/>
      <c r="AJ1985" s="38"/>
      <c r="AK1985" s="38"/>
      <c r="AL1985" s="38"/>
      <c r="AM1985" s="38"/>
      <c r="AN1985" s="38"/>
      <c r="AO1985" s="38"/>
      <c r="AP1985" s="38"/>
      <c r="AQ1985" s="38"/>
      <c r="AR1985" s="38"/>
      <c r="AS1985" s="38"/>
      <c r="AT1985" s="38"/>
      <c r="AU1985" s="38"/>
      <c r="AV1985" s="38"/>
      <c r="AW1985" s="38"/>
      <c r="AX1985" s="38"/>
      <c r="AY1985" s="38"/>
      <c r="AZ1985" s="38"/>
      <c r="BA1985" s="38"/>
      <c r="BB1985" s="38"/>
      <c r="BC1985" s="38"/>
      <c r="BD1985" s="38"/>
      <c r="BE1985" s="38"/>
      <c r="BF1985" s="38"/>
      <c r="BG1985" s="38"/>
      <c r="BH1985" s="38"/>
      <c r="BI1985" s="38"/>
      <c r="BJ1985" s="38"/>
      <c r="BK1985" s="38"/>
      <c r="BL1985" s="38"/>
      <c r="BM1985" s="38"/>
      <c r="BN1985" s="38"/>
      <c r="BO1985" s="38"/>
      <c r="BP1985" s="38"/>
      <c r="BQ1985" s="38"/>
    </row>
    <row r="1986">
      <c r="A1986" s="58" t="s">
        <v>5410</v>
      </c>
      <c r="B1986" s="59">
        <v>43391.0</v>
      </c>
      <c r="C1986" s="59">
        <v>43390.0</v>
      </c>
      <c r="D1986" s="60" t="s">
        <v>5380</v>
      </c>
      <c r="E1986" s="58" t="s">
        <v>31</v>
      </c>
      <c r="F1986" s="58">
        <v>3.0</v>
      </c>
      <c r="G1986" s="58" t="s">
        <v>32</v>
      </c>
      <c r="H1986" s="33">
        <f t="shared" si="302"/>
        <v>1</v>
      </c>
      <c r="I1986" s="58" t="s">
        <v>33</v>
      </c>
      <c r="J1986" s="58" t="s">
        <v>343</v>
      </c>
      <c r="K1986" s="58">
        <v>1.0</v>
      </c>
      <c r="L1986" s="58" t="s">
        <v>52</v>
      </c>
      <c r="M1986" s="105" t="s">
        <v>5411</v>
      </c>
      <c r="N1986" s="80"/>
      <c r="O1986" s="62"/>
      <c r="P1986" s="62"/>
      <c r="Q1986" s="62"/>
      <c r="R1986" s="62"/>
      <c r="S1986" s="37" t="str">
        <f>IFERROR(__xludf.DUMMYFUNCTION("if(not(iserror(index(split(C1986, "" ""),2))), index(split(C1986, "" ""),1),"""")"),"October")</f>
        <v>October</v>
      </c>
      <c r="T1986" s="38">
        <f>IFERROR(__xludf.DUMMYFUNCTION("if(S1986="""",C1986,if(not(iserror(index(split(C1986, "" ""),3))), index(split(C1986, "" ""),3),index(split(C1986, "" ""),2)))"),2018.0)</f>
        <v>2018</v>
      </c>
      <c r="U1986" s="38" t="b">
        <f t="shared" si="303"/>
        <v>0</v>
      </c>
      <c r="V1986" s="38"/>
      <c r="W1986" s="40"/>
      <c r="X1986" s="40"/>
      <c r="Y1986" s="40"/>
      <c r="Z1986" s="38"/>
      <c r="AA1986" s="38"/>
      <c r="AB1986" s="38"/>
      <c r="AC1986" s="38"/>
      <c r="AD1986" s="38"/>
      <c r="AE1986" s="38"/>
      <c r="AF1986" s="38"/>
      <c r="AG1986" s="38"/>
      <c r="AH1986" s="38"/>
      <c r="AI1986" s="38"/>
      <c r="AJ1986" s="38"/>
      <c r="AK1986" s="38"/>
      <c r="AL1986" s="38"/>
      <c r="AM1986" s="38"/>
      <c r="AN1986" s="38"/>
      <c r="AO1986" s="38"/>
      <c r="AP1986" s="38"/>
      <c r="AQ1986" s="38"/>
      <c r="AR1986" s="38"/>
      <c r="AS1986" s="38"/>
      <c r="AT1986" s="38"/>
      <c r="AU1986" s="38"/>
      <c r="AV1986" s="38"/>
      <c r="AW1986" s="38"/>
      <c r="AX1986" s="38"/>
      <c r="AY1986" s="38"/>
      <c r="AZ1986" s="38"/>
      <c r="BA1986" s="38"/>
      <c r="BB1986" s="38"/>
      <c r="BC1986" s="38"/>
      <c r="BD1986" s="38"/>
      <c r="BE1986" s="38"/>
      <c r="BF1986" s="38"/>
      <c r="BG1986" s="38"/>
      <c r="BH1986" s="38"/>
      <c r="BI1986" s="38"/>
      <c r="BJ1986" s="38"/>
      <c r="BK1986" s="38"/>
      <c r="BL1986" s="38"/>
      <c r="BM1986" s="38"/>
      <c r="BN1986" s="38"/>
      <c r="BO1986" s="38"/>
      <c r="BP1986" s="38"/>
      <c r="BQ1986" s="38"/>
    </row>
    <row r="1987">
      <c r="A1987" s="58" t="s">
        <v>660</v>
      </c>
      <c r="B1987" s="59">
        <v>43391.0</v>
      </c>
      <c r="C1987" s="59">
        <v>43390.0</v>
      </c>
      <c r="D1987" s="60" t="s">
        <v>5380</v>
      </c>
      <c r="E1987" s="58" t="s">
        <v>41</v>
      </c>
      <c r="F1987" s="58">
        <v>18.0</v>
      </c>
      <c r="G1987" s="58" t="s">
        <v>32</v>
      </c>
      <c r="H1987" s="33">
        <f t="shared" si="302"/>
        <v>1</v>
      </c>
      <c r="I1987" s="58" t="s">
        <v>33</v>
      </c>
      <c r="J1987" s="58" t="s">
        <v>410</v>
      </c>
      <c r="K1987" s="58">
        <v>1.0</v>
      </c>
      <c r="L1987" s="58" t="s">
        <v>52</v>
      </c>
      <c r="M1987" s="61" t="s">
        <v>5412</v>
      </c>
      <c r="N1987" s="80"/>
      <c r="O1987" s="62"/>
      <c r="P1987" s="62"/>
      <c r="Q1987" s="62"/>
      <c r="R1987" s="62"/>
      <c r="S1987" s="37" t="str">
        <f>IFERROR(__xludf.DUMMYFUNCTION("if(not(iserror(index(split(C1987, "" ""),2))), index(split(C1987, "" ""),1),"""")"),"October")</f>
        <v>October</v>
      </c>
      <c r="T1987" s="38">
        <f>IFERROR(__xludf.DUMMYFUNCTION("if(S1987="""",C1987,if(not(iserror(index(split(C1987, "" ""),3))), index(split(C1987, "" ""),3),index(split(C1987, "" ""),2)))"),2018.0)</f>
        <v>2018</v>
      </c>
      <c r="U1987" s="38" t="b">
        <f t="shared" si="303"/>
        <v>1</v>
      </c>
      <c r="V1987" s="38"/>
      <c r="W1987" s="40"/>
      <c r="X1987" s="40"/>
      <c r="Y1987" s="40"/>
      <c r="Z1987" s="38"/>
      <c r="AA1987" s="38"/>
      <c r="AB1987" s="38"/>
      <c r="AC1987" s="38"/>
      <c r="AD1987" s="38"/>
      <c r="AE1987" s="38"/>
      <c r="AF1987" s="38"/>
      <c r="AG1987" s="38"/>
      <c r="AH1987" s="38"/>
      <c r="AI1987" s="38"/>
      <c r="AJ1987" s="38"/>
      <c r="AK1987" s="38"/>
      <c r="AL1987" s="38"/>
      <c r="AM1987" s="38"/>
      <c r="AN1987" s="38"/>
      <c r="AO1987" s="38"/>
      <c r="AP1987" s="38"/>
      <c r="AQ1987" s="38"/>
      <c r="AR1987" s="38"/>
      <c r="AS1987" s="38"/>
      <c r="AT1987" s="38"/>
      <c r="AU1987" s="38"/>
      <c r="AV1987" s="38"/>
      <c r="AW1987" s="38"/>
      <c r="AX1987" s="38"/>
      <c r="AY1987" s="38"/>
      <c r="AZ1987" s="38"/>
      <c r="BA1987" s="38"/>
      <c r="BB1987" s="38"/>
      <c r="BC1987" s="38"/>
      <c r="BD1987" s="38"/>
      <c r="BE1987" s="38"/>
      <c r="BF1987" s="38"/>
      <c r="BG1987" s="38"/>
      <c r="BH1987" s="38"/>
      <c r="BI1987" s="38"/>
      <c r="BJ1987" s="38"/>
      <c r="BK1987" s="38"/>
      <c r="BL1987" s="38"/>
      <c r="BM1987" s="38"/>
      <c r="BN1987" s="38"/>
      <c r="BO1987" s="38"/>
      <c r="BP1987" s="38"/>
      <c r="BQ1987" s="38"/>
    </row>
    <row r="1988">
      <c r="A1988" s="58" t="s">
        <v>239</v>
      </c>
      <c r="B1988" s="59">
        <v>43391.0</v>
      </c>
      <c r="C1988" s="59">
        <v>43390.0</v>
      </c>
      <c r="D1988" s="60" t="s">
        <v>5380</v>
      </c>
      <c r="E1988" s="58" t="s">
        <v>41</v>
      </c>
      <c r="F1988" s="58">
        <v>1.0</v>
      </c>
      <c r="G1988" s="58">
        <v>7.0</v>
      </c>
      <c r="H1988" s="33">
        <f t="shared" si="302"/>
        <v>7</v>
      </c>
      <c r="I1988" s="58" t="s">
        <v>33</v>
      </c>
      <c r="J1988" s="58" t="s">
        <v>241</v>
      </c>
      <c r="K1988" s="58">
        <v>1.0</v>
      </c>
      <c r="L1988" s="58" t="s">
        <v>194</v>
      </c>
      <c r="M1988" s="61" t="s">
        <v>5413</v>
      </c>
      <c r="N1988" s="80"/>
      <c r="O1988" s="62"/>
      <c r="P1988" s="62"/>
      <c r="Q1988" s="62"/>
      <c r="R1988" s="62"/>
      <c r="S1988" s="37" t="str">
        <f>IFERROR(__xludf.DUMMYFUNCTION("if(not(iserror(index(split(C1988, "" ""),2))), index(split(C1988, "" ""),1),"""")"),"October")</f>
        <v>October</v>
      </c>
      <c r="T1988" s="38">
        <f>IFERROR(__xludf.DUMMYFUNCTION("if(S1988="""",C1988,if(not(iserror(index(split(C1988, "" ""),3))), index(split(C1988, "" ""),3),index(split(C1988, "" ""),2)))"),2018.0)</f>
        <v>2018</v>
      </c>
      <c r="U1988" s="38" t="b">
        <f t="shared" si="303"/>
        <v>1</v>
      </c>
      <c r="V1988" s="38"/>
      <c r="W1988" s="40"/>
      <c r="X1988" s="40"/>
      <c r="Y1988" s="40"/>
      <c r="Z1988" s="38"/>
      <c r="AA1988" s="38"/>
      <c r="AB1988" s="38"/>
      <c r="AC1988" s="38"/>
      <c r="AD1988" s="38"/>
      <c r="AE1988" s="38"/>
      <c r="AF1988" s="38"/>
      <c r="AG1988" s="38"/>
      <c r="AH1988" s="38"/>
      <c r="AI1988" s="38"/>
      <c r="AJ1988" s="38"/>
      <c r="AK1988" s="38"/>
      <c r="AL1988" s="38"/>
      <c r="AM1988" s="38"/>
      <c r="AN1988" s="38"/>
      <c r="AO1988" s="38"/>
      <c r="AP1988" s="38"/>
      <c r="AQ1988" s="38"/>
      <c r="AR1988" s="38"/>
      <c r="AS1988" s="38"/>
      <c r="AT1988" s="38"/>
      <c r="AU1988" s="38"/>
      <c r="AV1988" s="38"/>
      <c r="AW1988" s="38"/>
      <c r="AX1988" s="38"/>
      <c r="AY1988" s="38"/>
      <c r="AZ1988" s="38"/>
      <c r="BA1988" s="38"/>
      <c r="BB1988" s="38"/>
      <c r="BC1988" s="38"/>
      <c r="BD1988" s="38"/>
      <c r="BE1988" s="38"/>
      <c r="BF1988" s="38"/>
      <c r="BG1988" s="38"/>
      <c r="BH1988" s="38"/>
      <c r="BI1988" s="38"/>
      <c r="BJ1988" s="38"/>
      <c r="BK1988" s="38"/>
      <c r="BL1988" s="38"/>
      <c r="BM1988" s="38"/>
      <c r="BN1988" s="38"/>
      <c r="BO1988" s="38"/>
      <c r="BP1988" s="38"/>
      <c r="BQ1988" s="38"/>
    </row>
    <row r="1989">
      <c r="A1989" s="58" t="s">
        <v>5414</v>
      </c>
      <c r="B1989" s="59"/>
      <c r="C1989" s="59">
        <v>43391.0</v>
      </c>
      <c r="D1989" s="60"/>
      <c r="E1989" s="58" t="s">
        <v>41</v>
      </c>
      <c r="F1989" s="58">
        <v>1.0</v>
      </c>
      <c r="G1989" s="58" t="s">
        <v>32</v>
      </c>
      <c r="H1989" s="43">
        <v>1.0</v>
      </c>
      <c r="I1989" s="58" t="s">
        <v>33</v>
      </c>
      <c r="J1989" s="58" t="s">
        <v>172</v>
      </c>
      <c r="K1989" s="58"/>
      <c r="L1989" s="58" t="s">
        <v>69</v>
      </c>
      <c r="M1989" s="61" t="s">
        <v>5415</v>
      </c>
      <c r="N1989" s="80"/>
      <c r="O1989" s="62"/>
      <c r="P1989" s="62"/>
      <c r="Q1989" s="62"/>
      <c r="R1989" s="62"/>
      <c r="S1989" s="37"/>
      <c r="T1989" s="38"/>
      <c r="U1989" s="38"/>
      <c r="V1989" s="38" t="s">
        <v>33</v>
      </c>
      <c r="W1989" s="40"/>
      <c r="X1989" s="40"/>
      <c r="Y1989" s="40"/>
      <c r="Z1989" s="38"/>
      <c r="AA1989" s="38"/>
      <c r="AB1989" s="38"/>
      <c r="AC1989" s="38"/>
      <c r="AD1989" s="38"/>
      <c r="AE1989" s="38"/>
      <c r="AF1989" s="38"/>
      <c r="AG1989" s="38"/>
      <c r="AH1989" s="38"/>
      <c r="AI1989" s="38"/>
      <c r="AJ1989" s="38"/>
      <c r="AK1989" s="38"/>
      <c r="AL1989" s="38"/>
      <c r="AM1989" s="38"/>
      <c r="AN1989" s="38"/>
      <c r="AO1989" s="38"/>
      <c r="AP1989" s="38"/>
      <c r="AQ1989" s="38"/>
      <c r="AR1989" s="38"/>
      <c r="AS1989" s="38"/>
      <c r="AT1989" s="38"/>
      <c r="AU1989" s="38"/>
      <c r="AV1989" s="38"/>
      <c r="AW1989" s="38"/>
      <c r="AX1989" s="38"/>
      <c r="AY1989" s="38"/>
      <c r="AZ1989" s="38"/>
      <c r="BA1989" s="38"/>
      <c r="BB1989" s="38"/>
      <c r="BC1989" s="38"/>
      <c r="BD1989" s="38"/>
      <c r="BE1989" s="38"/>
      <c r="BF1989" s="38"/>
      <c r="BG1989" s="38"/>
      <c r="BH1989" s="38"/>
      <c r="BI1989" s="38"/>
      <c r="BJ1989" s="38"/>
      <c r="BK1989" s="38"/>
      <c r="BL1989" s="38"/>
      <c r="BM1989" s="38"/>
      <c r="BN1989" s="38"/>
      <c r="BO1989" s="38"/>
      <c r="BP1989" s="38"/>
      <c r="BQ1989" s="38"/>
    </row>
    <row r="1990">
      <c r="A1990" s="58" t="s">
        <v>5416</v>
      </c>
      <c r="B1990" s="59">
        <v>43391.0</v>
      </c>
      <c r="C1990" s="59">
        <v>43391.0</v>
      </c>
      <c r="D1990" s="60" t="s">
        <v>5417</v>
      </c>
      <c r="E1990" s="58" t="s">
        <v>41</v>
      </c>
      <c r="F1990" s="58">
        <v>1.0</v>
      </c>
      <c r="G1990" s="58" t="s">
        <v>32</v>
      </c>
      <c r="H1990" s="33">
        <f t="shared" ref="H1990:H1992" si="304">if(G1990="Unknown",1,G1990)</f>
        <v>1</v>
      </c>
      <c r="I1990" s="58" t="s">
        <v>33</v>
      </c>
      <c r="J1990" s="58" t="s">
        <v>410</v>
      </c>
      <c r="K1990" s="58">
        <v>3.0</v>
      </c>
      <c r="L1990" s="58" t="s">
        <v>52</v>
      </c>
      <c r="M1990" s="61" t="s">
        <v>5418</v>
      </c>
      <c r="N1990" s="80"/>
      <c r="O1990" s="62"/>
      <c r="P1990" s="62"/>
      <c r="Q1990" s="62"/>
      <c r="R1990" s="62"/>
      <c r="S1990" s="37" t="str">
        <f>IFERROR(__xludf.DUMMYFUNCTION("if(not(iserror(index(split(C1990, "" ""),2))), index(split(C1990, "" ""),1),"""")"),"October")</f>
        <v>October</v>
      </c>
      <c r="T1990" s="38">
        <f>IFERROR(__xludf.DUMMYFUNCTION("if(S1990="""",C1990,if(not(iserror(index(split(C1990, "" ""),3))), index(split(C1990, "" ""),3),index(split(C1990, "" ""),2)))"),2018.0)</f>
        <v>2018</v>
      </c>
      <c r="U1990" s="38" t="b">
        <f t="shared" ref="U1990:U2004" si="305">countif(A$4:A4658, A1990)&gt;1</f>
        <v>0</v>
      </c>
      <c r="V1990" s="38"/>
      <c r="W1990" s="40"/>
      <c r="X1990" s="40"/>
      <c r="Y1990" s="40"/>
      <c r="Z1990" s="38"/>
      <c r="AA1990" s="38"/>
      <c r="AB1990" s="38"/>
      <c r="AC1990" s="38"/>
      <c r="AD1990" s="38"/>
      <c r="AE1990" s="38"/>
      <c r="AF1990" s="38"/>
      <c r="AG1990" s="38"/>
      <c r="AH1990" s="38"/>
      <c r="AI1990" s="38"/>
      <c r="AJ1990" s="38"/>
      <c r="AK1990" s="38"/>
      <c r="AL1990" s="38"/>
      <c r="AM1990" s="38"/>
      <c r="AN1990" s="38"/>
      <c r="AO1990" s="38"/>
      <c r="AP1990" s="38"/>
      <c r="AQ1990" s="38"/>
      <c r="AR1990" s="38"/>
      <c r="AS1990" s="38"/>
      <c r="AT1990" s="38"/>
      <c r="AU1990" s="38"/>
      <c r="AV1990" s="38"/>
      <c r="AW1990" s="38"/>
      <c r="AX1990" s="38"/>
      <c r="AY1990" s="38"/>
      <c r="AZ1990" s="38"/>
      <c r="BA1990" s="38"/>
      <c r="BB1990" s="38"/>
      <c r="BC1990" s="38"/>
      <c r="BD1990" s="38"/>
      <c r="BE1990" s="38"/>
      <c r="BF1990" s="38"/>
      <c r="BG1990" s="38"/>
      <c r="BH1990" s="38"/>
      <c r="BI1990" s="38"/>
      <c r="BJ1990" s="38"/>
      <c r="BK1990" s="38"/>
      <c r="BL1990" s="38"/>
      <c r="BM1990" s="38"/>
      <c r="BN1990" s="38"/>
      <c r="BO1990" s="38"/>
      <c r="BP1990" s="38"/>
      <c r="BQ1990" s="38"/>
    </row>
    <row r="1991">
      <c r="A1991" s="58" t="s">
        <v>239</v>
      </c>
      <c r="B1991" s="59">
        <v>43391.0</v>
      </c>
      <c r="C1991" s="59">
        <v>43391.0</v>
      </c>
      <c r="D1991" s="60" t="s">
        <v>5417</v>
      </c>
      <c r="E1991" s="58" t="s">
        <v>41</v>
      </c>
      <c r="F1991" s="58">
        <v>4.0</v>
      </c>
      <c r="G1991" s="58">
        <v>4.0</v>
      </c>
      <c r="H1991" s="33">
        <f t="shared" si="304"/>
        <v>4</v>
      </c>
      <c r="I1991" s="58" t="s">
        <v>33</v>
      </c>
      <c r="J1991" s="58" t="s">
        <v>147</v>
      </c>
      <c r="K1991" s="58">
        <v>1.0</v>
      </c>
      <c r="L1991" s="58" t="s">
        <v>194</v>
      </c>
      <c r="M1991" s="61" t="s">
        <v>5419</v>
      </c>
      <c r="N1991" s="80"/>
      <c r="O1991" s="62"/>
      <c r="P1991" s="62"/>
      <c r="Q1991" s="62"/>
      <c r="R1991" s="62"/>
      <c r="S1991" s="37" t="str">
        <f>IFERROR(__xludf.DUMMYFUNCTION("if(not(iserror(index(split(C1991, "" ""),2))), index(split(C1991, "" ""),1),"""")"),"October")</f>
        <v>October</v>
      </c>
      <c r="T1991" s="38">
        <f>IFERROR(__xludf.DUMMYFUNCTION("if(S1991="""",C1991,if(not(iserror(index(split(C1991, "" ""),3))), index(split(C1991, "" ""),3),index(split(C1991, "" ""),2)))"),2018.0)</f>
        <v>2018</v>
      </c>
      <c r="U1991" s="38" t="b">
        <f t="shared" si="305"/>
        <v>1</v>
      </c>
      <c r="V1991" s="38"/>
      <c r="W1991" s="40"/>
      <c r="X1991" s="40"/>
      <c r="Y1991" s="40"/>
      <c r="Z1991" s="38"/>
      <c r="AA1991" s="38"/>
      <c r="AB1991" s="38"/>
      <c r="AC1991" s="38"/>
      <c r="AD1991" s="38"/>
      <c r="AE1991" s="38"/>
      <c r="AF1991" s="38"/>
      <c r="AG1991" s="38"/>
      <c r="AH1991" s="38"/>
      <c r="AI1991" s="38"/>
      <c r="AJ1991" s="38"/>
      <c r="AK1991" s="38"/>
      <c r="AL1991" s="38"/>
      <c r="AM1991" s="38"/>
      <c r="AN1991" s="38"/>
      <c r="AO1991" s="38"/>
      <c r="AP1991" s="38"/>
      <c r="AQ1991" s="38"/>
      <c r="AR1991" s="38"/>
      <c r="AS1991" s="38"/>
      <c r="AT1991" s="38"/>
      <c r="AU1991" s="38"/>
      <c r="AV1991" s="38"/>
      <c r="AW1991" s="38"/>
      <c r="AX1991" s="38"/>
      <c r="AY1991" s="38"/>
      <c r="AZ1991" s="38"/>
      <c r="BA1991" s="38"/>
      <c r="BB1991" s="38"/>
      <c r="BC1991" s="38"/>
      <c r="BD1991" s="38"/>
      <c r="BE1991" s="38"/>
      <c r="BF1991" s="38"/>
      <c r="BG1991" s="38"/>
      <c r="BH1991" s="38"/>
      <c r="BI1991" s="38"/>
      <c r="BJ1991" s="38"/>
      <c r="BK1991" s="38"/>
      <c r="BL1991" s="38"/>
      <c r="BM1991" s="38"/>
      <c r="BN1991" s="38"/>
      <c r="BO1991" s="38"/>
      <c r="BP1991" s="38"/>
      <c r="BQ1991" s="38"/>
    </row>
    <row r="1992">
      <c r="A1992" s="58" t="s">
        <v>5420</v>
      </c>
      <c r="B1992" s="59">
        <v>43392.0</v>
      </c>
      <c r="C1992" s="59">
        <v>43391.0</v>
      </c>
      <c r="D1992" s="60" t="s">
        <v>5417</v>
      </c>
      <c r="E1992" s="58" t="s">
        <v>31</v>
      </c>
      <c r="F1992" s="58">
        <v>1.0</v>
      </c>
      <c r="G1992" s="58" t="s">
        <v>32</v>
      </c>
      <c r="H1992" s="33">
        <f t="shared" si="304"/>
        <v>1</v>
      </c>
      <c r="I1992" s="58" t="s">
        <v>33</v>
      </c>
      <c r="J1992" s="58" t="s">
        <v>47</v>
      </c>
      <c r="K1992" s="58" t="s">
        <v>32</v>
      </c>
      <c r="L1992" s="58" t="s">
        <v>35</v>
      </c>
      <c r="M1992" s="61" t="s">
        <v>5421</v>
      </c>
      <c r="N1992" s="80"/>
      <c r="O1992" s="62"/>
      <c r="P1992" s="62"/>
      <c r="Q1992" s="62"/>
      <c r="R1992" s="62"/>
      <c r="S1992" s="37" t="str">
        <f>IFERROR(__xludf.DUMMYFUNCTION("if(not(iserror(index(split(C1992, "" ""),2))), index(split(C1992, "" ""),1),"""")"),"October")</f>
        <v>October</v>
      </c>
      <c r="T1992" s="38">
        <f>IFERROR(__xludf.DUMMYFUNCTION("if(S1992="""",C1992,if(not(iserror(index(split(C1992, "" ""),3))), index(split(C1992, "" ""),3),index(split(C1992, "" ""),2)))"),2018.0)</f>
        <v>2018</v>
      </c>
      <c r="U1992" s="38" t="b">
        <f t="shared" si="305"/>
        <v>0</v>
      </c>
      <c r="V1992" s="38"/>
      <c r="W1992" s="40"/>
      <c r="X1992" s="40"/>
      <c r="Y1992" s="40"/>
      <c r="Z1992" s="38"/>
      <c r="AA1992" s="38"/>
      <c r="AB1992" s="38"/>
      <c r="AC1992" s="38"/>
      <c r="AD1992" s="38"/>
      <c r="AE1992" s="38"/>
      <c r="AF1992" s="38"/>
      <c r="AG1992" s="38"/>
      <c r="AH1992" s="38"/>
      <c r="AI1992" s="38"/>
      <c r="AJ1992" s="38"/>
      <c r="AK1992" s="38"/>
      <c r="AL1992" s="38"/>
      <c r="AM1992" s="38"/>
      <c r="AN1992" s="38"/>
      <c r="AO1992" s="38"/>
      <c r="AP1992" s="38"/>
      <c r="AQ1992" s="38"/>
      <c r="AR1992" s="38"/>
      <c r="AS1992" s="38"/>
      <c r="AT1992" s="38"/>
      <c r="AU1992" s="38"/>
      <c r="AV1992" s="38"/>
      <c r="AW1992" s="38"/>
      <c r="AX1992" s="38"/>
      <c r="AY1992" s="38"/>
      <c r="AZ1992" s="38"/>
      <c r="BA1992" s="38"/>
      <c r="BB1992" s="38"/>
      <c r="BC1992" s="38"/>
      <c r="BD1992" s="38"/>
      <c r="BE1992" s="38"/>
      <c r="BF1992" s="38"/>
      <c r="BG1992" s="38"/>
      <c r="BH1992" s="38"/>
      <c r="BI1992" s="38"/>
      <c r="BJ1992" s="38"/>
      <c r="BK1992" s="38"/>
      <c r="BL1992" s="38"/>
      <c r="BM1992" s="38"/>
      <c r="BN1992" s="38"/>
      <c r="BO1992" s="38"/>
      <c r="BP1992" s="38"/>
      <c r="BQ1992" s="38"/>
    </row>
    <row r="1993">
      <c r="A1993" s="58" t="s">
        <v>5422</v>
      </c>
      <c r="B1993" s="59"/>
      <c r="C1993" s="59">
        <v>43391.0</v>
      </c>
      <c r="D1993" s="60" t="s">
        <v>5417</v>
      </c>
      <c r="E1993" s="58" t="s">
        <v>31</v>
      </c>
      <c r="F1993" s="58">
        <v>1.0</v>
      </c>
      <c r="G1993" s="58" t="s">
        <v>32</v>
      </c>
      <c r="H1993" s="33">
        <v>1.0</v>
      </c>
      <c r="I1993" s="58" t="s">
        <v>33</v>
      </c>
      <c r="J1993" s="58" t="s">
        <v>47</v>
      </c>
      <c r="K1993" s="58" t="s">
        <v>32</v>
      </c>
      <c r="L1993" s="58" t="s">
        <v>35</v>
      </c>
      <c r="M1993" s="80" t="s">
        <v>5421</v>
      </c>
      <c r="N1993" s="77"/>
      <c r="O1993" s="62"/>
      <c r="P1993" s="62"/>
      <c r="Q1993" s="62"/>
      <c r="R1993" s="62"/>
      <c r="S1993" s="37"/>
      <c r="T1993" s="38"/>
      <c r="U1993" s="38" t="b">
        <f t="shared" si="305"/>
        <v>0</v>
      </c>
      <c r="V1993" s="38"/>
      <c r="W1993" s="40"/>
      <c r="X1993" s="40"/>
      <c r="Y1993" s="40"/>
      <c r="Z1993" s="38"/>
      <c r="AA1993" s="38"/>
      <c r="AB1993" s="38"/>
      <c r="AC1993" s="38"/>
      <c r="AD1993" s="38"/>
      <c r="AE1993" s="38"/>
      <c r="AF1993" s="38"/>
      <c r="AG1993" s="38"/>
      <c r="AH1993" s="38"/>
      <c r="AI1993" s="38"/>
      <c r="AJ1993" s="38"/>
      <c r="AK1993" s="38"/>
      <c r="AL1993" s="38"/>
      <c r="AM1993" s="38"/>
      <c r="AN1993" s="38"/>
      <c r="AO1993" s="38"/>
      <c r="AP1993" s="38"/>
      <c r="AQ1993" s="38"/>
      <c r="AR1993" s="38"/>
      <c r="AS1993" s="38"/>
      <c r="AT1993" s="38"/>
      <c r="AU1993" s="38"/>
      <c r="AV1993" s="38"/>
      <c r="AW1993" s="38"/>
      <c r="AX1993" s="38"/>
      <c r="AY1993" s="38"/>
      <c r="AZ1993" s="38"/>
      <c r="BA1993" s="38"/>
      <c r="BB1993" s="38"/>
      <c r="BC1993" s="38"/>
      <c r="BD1993" s="38"/>
      <c r="BE1993" s="38"/>
      <c r="BF1993" s="38"/>
      <c r="BG1993" s="38"/>
      <c r="BH1993" s="38"/>
      <c r="BI1993" s="38"/>
      <c r="BJ1993" s="38"/>
      <c r="BK1993" s="38"/>
      <c r="BL1993" s="38"/>
      <c r="BM1993" s="38"/>
      <c r="BN1993" s="38"/>
      <c r="BO1993" s="38"/>
      <c r="BP1993" s="38"/>
      <c r="BQ1993" s="38"/>
    </row>
    <row r="1994">
      <c r="A1994" s="58" t="s">
        <v>239</v>
      </c>
      <c r="B1994" s="59">
        <v>43392.0</v>
      </c>
      <c r="C1994" s="59">
        <v>43391.0</v>
      </c>
      <c r="D1994" s="60" t="s">
        <v>5417</v>
      </c>
      <c r="E1994" s="58" t="s">
        <v>41</v>
      </c>
      <c r="F1994" s="58">
        <v>2.0</v>
      </c>
      <c r="G1994" s="58" t="s">
        <v>32</v>
      </c>
      <c r="H1994" s="33">
        <f t="shared" ref="H1994:H1996" si="306">if(G1994="Unknown",1,G1994)</f>
        <v>1</v>
      </c>
      <c r="I1994" s="58" t="s">
        <v>33</v>
      </c>
      <c r="J1994" s="58" t="s">
        <v>111</v>
      </c>
      <c r="K1994" s="58">
        <v>1.0</v>
      </c>
      <c r="L1994" s="58" t="s">
        <v>194</v>
      </c>
      <c r="M1994" s="61" t="s">
        <v>5423</v>
      </c>
      <c r="N1994" s="77"/>
      <c r="O1994" s="62"/>
      <c r="P1994" s="62"/>
      <c r="Q1994" s="62"/>
      <c r="R1994" s="62"/>
      <c r="S1994" s="37" t="str">
        <f>IFERROR(__xludf.DUMMYFUNCTION("if(not(iserror(index(split(C1994, "" ""),2))), index(split(C1994, "" ""),1),"""")"),"October")</f>
        <v>October</v>
      </c>
      <c r="T1994" s="38">
        <f>IFERROR(__xludf.DUMMYFUNCTION("if(S1994="""",C1994,if(not(iserror(index(split(C1994, "" ""),3))), index(split(C1994, "" ""),3),index(split(C1994, "" ""),2)))"),2018.0)</f>
        <v>2018</v>
      </c>
      <c r="U1994" s="38" t="b">
        <f t="shared" si="305"/>
        <v>1</v>
      </c>
      <c r="V1994" s="38"/>
      <c r="W1994" s="40"/>
      <c r="X1994" s="40"/>
      <c r="Y1994" s="40"/>
      <c r="Z1994" s="38"/>
      <c r="AA1994" s="38"/>
      <c r="AB1994" s="38"/>
      <c r="AC1994" s="38"/>
      <c r="AD1994" s="38"/>
      <c r="AE1994" s="38"/>
      <c r="AF1994" s="38"/>
      <c r="AG1994" s="38"/>
      <c r="AH1994" s="38"/>
      <c r="AI1994" s="38"/>
      <c r="AJ1994" s="38"/>
      <c r="AK1994" s="38"/>
      <c r="AL1994" s="38"/>
      <c r="AM1994" s="38"/>
      <c r="AN1994" s="38"/>
      <c r="AO1994" s="38"/>
      <c r="AP1994" s="38"/>
      <c r="AQ1994" s="38"/>
      <c r="AR1994" s="38"/>
      <c r="AS1994" s="38"/>
      <c r="AT1994" s="38"/>
      <c r="AU1994" s="38"/>
      <c r="AV1994" s="38"/>
      <c r="AW1994" s="38"/>
      <c r="AX1994" s="38"/>
      <c r="AY1994" s="38"/>
      <c r="AZ1994" s="38"/>
      <c r="BA1994" s="38"/>
      <c r="BB1994" s="38"/>
      <c r="BC1994" s="38"/>
      <c r="BD1994" s="38"/>
      <c r="BE1994" s="38"/>
      <c r="BF1994" s="38"/>
      <c r="BG1994" s="38"/>
      <c r="BH1994" s="38"/>
      <c r="BI1994" s="38"/>
      <c r="BJ1994" s="38"/>
      <c r="BK1994" s="38"/>
      <c r="BL1994" s="38"/>
      <c r="BM1994" s="38"/>
      <c r="BN1994" s="38"/>
      <c r="BO1994" s="38"/>
      <c r="BP1994" s="38"/>
      <c r="BQ1994" s="38"/>
    </row>
    <row r="1995">
      <c r="A1995" s="58" t="s">
        <v>239</v>
      </c>
      <c r="B1995" s="59">
        <v>43392.0</v>
      </c>
      <c r="C1995" s="59">
        <v>43391.0</v>
      </c>
      <c r="D1995" s="60" t="s">
        <v>5417</v>
      </c>
      <c r="E1995" s="58" t="s">
        <v>41</v>
      </c>
      <c r="F1995" s="58">
        <v>2.0</v>
      </c>
      <c r="G1995" s="58">
        <v>9.0</v>
      </c>
      <c r="H1995" s="33">
        <f t="shared" si="306"/>
        <v>9</v>
      </c>
      <c r="I1995" s="58" t="s">
        <v>33</v>
      </c>
      <c r="J1995" s="58" t="s">
        <v>111</v>
      </c>
      <c r="K1995" s="58">
        <v>1.0</v>
      </c>
      <c r="L1995" s="58" t="s">
        <v>194</v>
      </c>
      <c r="M1995" s="61" t="s">
        <v>5424</v>
      </c>
      <c r="N1995" s="77"/>
      <c r="O1995" s="62"/>
      <c r="P1995" s="62"/>
      <c r="Q1995" s="62"/>
      <c r="R1995" s="62"/>
      <c r="S1995" s="37" t="str">
        <f>IFERROR(__xludf.DUMMYFUNCTION("if(not(iserror(index(split(C1995, "" ""),2))), index(split(C1995, "" ""),1),"""")"),"October")</f>
        <v>October</v>
      </c>
      <c r="T1995" s="38">
        <f>IFERROR(__xludf.DUMMYFUNCTION("if(S1995="""",C1995,if(not(iserror(index(split(C1995, "" ""),3))), index(split(C1995, "" ""),3),index(split(C1995, "" ""),2)))"),2018.0)</f>
        <v>2018</v>
      </c>
      <c r="U1995" s="38" t="b">
        <f t="shared" si="305"/>
        <v>1</v>
      </c>
      <c r="V1995" s="38"/>
      <c r="W1995" s="40"/>
      <c r="X1995" s="40"/>
      <c r="Y1995" s="40"/>
      <c r="Z1995" s="38"/>
      <c r="AA1995" s="38"/>
      <c r="AB1995" s="38"/>
      <c r="AC1995" s="38"/>
      <c r="AD1995" s="38"/>
      <c r="AE1995" s="38"/>
      <c r="AF1995" s="38"/>
      <c r="AG1995" s="38"/>
      <c r="AH1995" s="38"/>
      <c r="AI1995" s="38"/>
      <c r="AJ1995" s="38"/>
      <c r="AK1995" s="38"/>
      <c r="AL1995" s="38"/>
      <c r="AM1995" s="38"/>
      <c r="AN1995" s="38"/>
      <c r="AO1995" s="38"/>
      <c r="AP1995" s="38"/>
      <c r="AQ1995" s="38"/>
      <c r="AR1995" s="38"/>
      <c r="AS1995" s="38"/>
      <c r="AT1995" s="38"/>
      <c r="AU1995" s="38"/>
      <c r="AV1995" s="38"/>
      <c r="AW1995" s="38"/>
      <c r="AX1995" s="38"/>
      <c r="AY1995" s="38"/>
      <c r="AZ1995" s="38"/>
      <c r="BA1995" s="38"/>
      <c r="BB1995" s="38"/>
      <c r="BC1995" s="38"/>
      <c r="BD1995" s="38"/>
      <c r="BE1995" s="38"/>
      <c r="BF1995" s="38"/>
      <c r="BG1995" s="38"/>
      <c r="BH1995" s="38"/>
      <c r="BI1995" s="38"/>
      <c r="BJ1995" s="38"/>
      <c r="BK1995" s="38"/>
      <c r="BL1995" s="38"/>
      <c r="BM1995" s="38"/>
      <c r="BN1995" s="38"/>
      <c r="BO1995" s="38"/>
      <c r="BP1995" s="38"/>
      <c r="BQ1995" s="38"/>
    </row>
    <row r="1996">
      <c r="A1996" s="58" t="s">
        <v>239</v>
      </c>
      <c r="B1996" s="59">
        <v>43392.0</v>
      </c>
      <c r="C1996" s="59">
        <v>43391.0</v>
      </c>
      <c r="D1996" s="60" t="s">
        <v>5417</v>
      </c>
      <c r="E1996" s="58" t="s">
        <v>41</v>
      </c>
      <c r="F1996" s="58">
        <v>1.0</v>
      </c>
      <c r="G1996" s="58">
        <v>5.0</v>
      </c>
      <c r="H1996" s="33">
        <f t="shared" si="306"/>
        <v>5</v>
      </c>
      <c r="I1996" s="58" t="s">
        <v>33</v>
      </c>
      <c r="J1996" s="58" t="s">
        <v>241</v>
      </c>
      <c r="K1996" s="58">
        <v>1.0</v>
      </c>
      <c r="L1996" s="58" t="s">
        <v>194</v>
      </c>
      <c r="M1996" s="61" t="s">
        <v>5425</v>
      </c>
      <c r="N1996" s="77"/>
      <c r="O1996" s="62"/>
      <c r="P1996" s="62"/>
      <c r="Q1996" s="62"/>
      <c r="R1996" s="62"/>
      <c r="S1996" s="37" t="str">
        <f>IFERROR(__xludf.DUMMYFUNCTION("if(not(iserror(index(split(C1996, "" ""),2))), index(split(C1996, "" ""),1),"""")"),"October")</f>
        <v>October</v>
      </c>
      <c r="T1996" s="38">
        <f>IFERROR(__xludf.DUMMYFUNCTION("if(S1996="""",C1996,if(not(iserror(index(split(C1996, "" ""),3))), index(split(C1996, "" ""),3),index(split(C1996, "" ""),2)))"),2018.0)</f>
        <v>2018</v>
      </c>
      <c r="U1996" s="38" t="b">
        <f t="shared" si="305"/>
        <v>1</v>
      </c>
      <c r="V1996" s="38"/>
      <c r="W1996" s="40"/>
      <c r="X1996" s="40"/>
      <c r="Y1996" s="40"/>
      <c r="Z1996" s="38"/>
      <c r="AA1996" s="38"/>
      <c r="AB1996" s="38"/>
      <c r="AC1996" s="38"/>
      <c r="AD1996" s="38"/>
      <c r="AE1996" s="38"/>
      <c r="AF1996" s="38"/>
      <c r="AG1996" s="38"/>
      <c r="AH1996" s="38"/>
      <c r="AI1996" s="38"/>
      <c r="AJ1996" s="38"/>
      <c r="AK1996" s="38"/>
      <c r="AL1996" s="38"/>
      <c r="AM1996" s="38"/>
      <c r="AN1996" s="38"/>
      <c r="AO1996" s="38"/>
      <c r="AP1996" s="38"/>
      <c r="AQ1996" s="38"/>
      <c r="AR1996" s="38"/>
      <c r="AS1996" s="38"/>
      <c r="AT1996" s="38"/>
      <c r="AU1996" s="38"/>
      <c r="AV1996" s="38"/>
      <c r="AW1996" s="38"/>
      <c r="AX1996" s="38"/>
      <c r="AY1996" s="38"/>
      <c r="AZ1996" s="38"/>
      <c r="BA1996" s="38"/>
      <c r="BB1996" s="38"/>
      <c r="BC1996" s="38"/>
      <c r="BD1996" s="38"/>
      <c r="BE1996" s="38"/>
      <c r="BF1996" s="38"/>
      <c r="BG1996" s="38"/>
      <c r="BH1996" s="38"/>
      <c r="BI1996" s="38"/>
      <c r="BJ1996" s="38"/>
      <c r="BK1996" s="38"/>
      <c r="BL1996" s="38"/>
      <c r="BM1996" s="38"/>
      <c r="BN1996" s="38"/>
      <c r="BO1996" s="38"/>
      <c r="BP1996" s="38"/>
      <c r="BQ1996" s="38"/>
    </row>
    <row r="1997">
      <c r="A1997" s="58" t="s">
        <v>5426</v>
      </c>
      <c r="B1997" s="59"/>
      <c r="C1997" s="59">
        <v>43391.0</v>
      </c>
      <c r="D1997" s="60"/>
      <c r="E1997" s="58" t="s">
        <v>41</v>
      </c>
      <c r="F1997" s="58">
        <v>1.0</v>
      </c>
      <c r="G1997" s="58" t="s">
        <v>32</v>
      </c>
      <c r="H1997" s="43">
        <v>1.0</v>
      </c>
      <c r="I1997" s="58" t="s">
        <v>33</v>
      </c>
      <c r="J1997" s="58" t="s">
        <v>172</v>
      </c>
      <c r="K1997" s="58"/>
      <c r="L1997" s="58" t="s">
        <v>69</v>
      </c>
      <c r="M1997" s="80" t="s">
        <v>5427</v>
      </c>
      <c r="N1997" s="77"/>
      <c r="O1997" s="62"/>
      <c r="P1997" s="62"/>
      <c r="Q1997" s="58"/>
      <c r="R1997" s="62"/>
      <c r="S1997" s="37"/>
      <c r="T1997" s="38"/>
      <c r="U1997" s="38" t="b">
        <f t="shared" si="305"/>
        <v>0</v>
      </c>
      <c r="V1997" s="38" t="s">
        <v>33</v>
      </c>
      <c r="W1997" s="40"/>
      <c r="X1997" s="40"/>
      <c r="Y1997" s="40"/>
      <c r="Z1997" s="38"/>
      <c r="AA1997" s="38"/>
      <c r="AB1997" s="38"/>
      <c r="AC1997" s="38"/>
      <c r="AD1997" s="38"/>
      <c r="AE1997" s="38"/>
      <c r="AF1997" s="38"/>
      <c r="AG1997" s="38"/>
      <c r="AH1997" s="38"/>
      <c r="AI1997" s="38"/>
      <c r="AJ1997" s="38"/>
      <c r="AK1997" s="38"/>
      <c r="AL1997" s="38"/>
      <c r="AM1997" s="38"/>
      <c r="AN1997" s="38"/>
      <c r="AO1997" s="38"/>
      <c r="AP1997" s="38"/>
      <c r="AQ1997" s="38"/>
      <c r="AR1997" s="38"/>
      <c r="AS1997" s="38"/>
      <c r="AT1997" s="38"/>
      <c r="AU1997" s="38"/>
      <c r="AV1997" s="38"/>
      <c r="AW1997" s="38"/>
      <c r="AX1997" s="38"/>
      <c r="AY1997" s="38"/>
      <c r="AZ1997" s="38"/>
      <c r="BA1997" s="38"/>
      <c r="BB1997" s="38"/>
      <c r="BC1997" s="38"/>
      <c r="BD1997" s="38"/>
      <c r="BE1997" s="38"/>
      <c r="BF1997" s="38"/>
      <c r="BG1997" s="38"/>
      <c r="BH1997" s="38"/>
      <c r="BI1997" s="38"/>
      <c r="BJ1997" s="38"/>
      <c r="BK1997" s="38"/>
      <c r="BL1997" s="38"/>
      <c r="BM1997" s="38"/>
      <c r="BN1997" s="38"/>
      <c r="BO1997" s="38"/>
      <c r="BP1997" s="38"/>
      <c r="BQ1997" s="38"/>
    </row>
    <row r="1998">
      <c r="A1998" s="58" t="s">
        <v>5428</v>
      </c>
      <c r="B1998" s="59">
        <v>43392.0</v>
      </c>
      <c r="C1998" s="59">
        <v>43392.0</v>
      </c>
      <c r="D1998" s="60" t="s">
        <v>5429</v>
      </c>
      <c r="E1998" s="58" t="s">
        <v>41</v>
      </c>
      <c r="F1998" s="58">
        <v>1.0</v>
      </c>
      <c r="G1998" s="58" t="s">
        <v>32</v>
      </c>
      <c r="H1998" s="33">
        <f t="shared" ref="H1998:H2004" si="307">if(G1998="Unknown",1,G1998)</f>
        <v>1</v>
      </c>
      <c r="I1998" s="58" t="s">
        <v>33</v>
      </c>
      <c r="J1998" s="58" t="s">
        <v>124</v>
      </c>
      <c r="K1998" s="58">
        <v>1.0</v>
      </c>
      <c r="L1998" s="58" t="s">
        <v>52</v>
      </c>
      <c r="M1998" s="61" t="s">
        <v>5430</v>
      </c>
      <c r="N1998" s="80"/>
      <c r="O1998" s="62"/>
      <c r="P1998" s="62"/>
      <c r="Q1998" s="62"/>
      <c r="R1998" s="62"/>
      <c r="S1998" s="37" t="str">
        <f>IFERROR(__xludf.DUMMYFUNCTION("if(not(iserror(index(split(C1998, "" ""),2))), index(split(C1998, "" ""),1),"""")"),"October")</f>
        <v>October</v>
      </c>
      <c r="T1998" s="38">
        <f>IFERROR(__xludf.DUMMYFUNCTION("if(S1998="""",C1998,if(not(iserror(index(split(C1998, "" ""),3))), index(split(C1998, "" ""),3),index(split(C1998, "" ""),2)))"),2018.0)</f>
        <v>2018</v>
      </c>
      <c r="U1998" s="38" t="b">
        <f t="shared" si="305"/>
        <v>0</v>
      </c>
      <c r="V1998" s="38"/>
      <c r="W1998" s="40"/>
      <c r="X1998" s="40"/>
      <c r="Y1998" s="40"/>
      <c r="Z1998" s="38"/>
      <c r="AA1998" s="38"/>
      <c r="AB1998" s="38"/>
      <c r="AC1998" s="38"/>
      <c r="AD1998" s="38"/>
      <c r="AE1998" s="38"/>
      <c r="AF1998" s="38"/>
      <c r="AG1998" s="38"/>
      <c r="AH1998" s="38"/>
      <c r="AI1998" s="38"/>
      <c r="AJ1998" s="38"/>
      <c r="AK1998" s="38"/>
      <c r="AL1998" s="38"/>
      <c r="AM1998" s="38"/>
      <c r="AN1998" s="38"/>
      <c r="AO1998" s="38"/>
      <c r="AP1998" s="38"/>
      <c r="AQ1998" s="38"/>
      <c r="AR1998" s="38"/>
      <c r="AS1998" s="38"/>
      <c r="AT1998" s="38"/>
      <c r="AU1998" s="38"/>
      <c r="AV1998" s="38"/>
      <c r="AW1998" s="38"/>
      <c r="AX1998" s="38"/>
      <c r="AY1998" s="38"/>
      <c r="AZ1998" s="38"/>
      <c r="BA1998" s="38"/>
      <c r="BB1998" s="38"/>
      <c r="BC1998" s="38"/>
      <c r="BD1998" s="38"/>
      <c r="BE1998" s="38"/>
      <c r="BF1998" s="38"/>
      <c r="BG1998" s="38"/>
      <c r="BH1998" s="38"/>
      <c r="BI1998" s="38"/>
      <c r="BJ1998" s="38"/>
      <c r="BK1998" s="38"/>
      <c r="BL1998" s="38"/>
      <c r="BM1998" s="38"/>
      <c r="BN1998" s="38"/>
      <c r="BO1998" s="38"/>
      <c r="BP1998" s="38"/>
      <c r="BQ1998" s="38"/>
    </row>
    <row r="1999">
      <c r="A1999" s="58" t="s">
        <v>5431</v>
      </c>
      <c r="B1999" s="265">
        <v>43392.0</v>
      </c>
      <c r="C1999" s="59">
        <v>43392.0</v>
      </c>
      <c r="D1999" s="60" t="s">
        <v>5429</v>
      </c>
      <c r="E1999" s="58" t="s">
        <v>31</v>
      </c>
      <c r="F1999" s="58">
        <v>1.0</v>
      </c>
      <c r="G1999" s="58" t="s">
        <v>32</v>
      </c>
      <c r="H1999" s="33">
        <f t="shared" si="307"/>
        <v>1</v>
      </c>
      <c r="I1999" s="58" t="s">
        <v>33</v>
      </c>
      <c r="J1999" s="58" t="s">
        <v>47</v>
      </c>
      <c r="K1999" s="58">
        <v>2.0</v>
      </c>
      <c r="L1999" s="58" t="s">
        <v>69</v>
      </c>
      <c r="M1999" s="80" t="s">
        <v>5432</v>
      </c>
      <c r="N1999" s="61" t="s">
        <v>5433</v>
      </c>
      <c r="O1999" s="83" t="str">
        <f>hyperlink("https://bad-boys.us/?q=MD-FL/3:18-cr-00207", "MD-FL 3:18-cr-00207")</f>
        <v>MD-FL 3:18-cr-00207</v>
      </c>
      <c r="P1999" s="88" t="s">
        <v>5434</v>
      </c>
      <c r="Q1999" s="58">
        <v>1.0</v>
      </c>
      <c r="R1999" s="62"/>
      <c r="S1999" s="37" t="str">
        <f>IFERROR(__xludf.DUMMYFUNCTION("if(not(iserror(index(split(C1999, "" ""),2))), index(split(C1999, "" ""),1),"""")"),"October")</f>
        <v>October</v>
      </c>
      <c r="T1999" s="38">
        <f>IFERROR(__xludf.DUMMYFUNCTION("if(S1999="""",C1999,if(not(iserror(index(split(C1999, "" ""),3))), index(split(C1999, "" ""),3),index(split(C1999, "" ""),2)))"),2018.0)</f>
        <v>2018</v>
      </c>
      <c r="U1999" s="38" t="b">
        <f t="shared" si="305"/>
        <v>0</v>
      </c>
      <c r="V1999" s="38" t="s">
        <v>33</v>
      </c>
      <c r="W1999" s="39" t="s">
        <v>5435</v>
      </c>
      <c r="X1999" s="40"/>
      <c r="Y1999" s="40"/>
      <c r="Z1999" s="38"/>
      <c r="AA1999" s="38"/>
      <c r="AB1999" s="38"/>
      <c r="AC1999" s="38"/>
      <c r="AD1999" s="38"/>
      <c r="AE1999" s="38"/>
      <c r="AF1999" s="38"/>
      <c r="AG1999" s="38"/>
      <c r="AH1999" s="38"/>
      <c r="AI1999" s="38"/>
      <c r="AJ1999" s="38"/>
      <c r="AK1999" s="38"/>
      <c r="AL1999" s="38"/>
      <c r="AM1999" s="38"/>
      <c r="AN1999" s="38"/>
      <c r="AO1999" s="38"/>
      <c r="AP1999" s="38"/>
      <c r="AQ1999" s="38"/>
      <c r="AR1999" s="38"/>
      <c r="AS1999" s="38"/>
      <c r="AT1999" s="38"/>
      <c r="AU1999" s="38"/>
      <c r="AV1999" s="38"/>
      <c r="AW1999" s="38"/>
      <c r="AX1999" s="38"/>
      <c r="AY1999" s="38"/>
      <c r="AZ1999" s="38"/>
      <c r="BA1999" s="38"/>
      <c r="BB1999" s="38"/>
      <c r="BC1999" s="38"/>
      <c r="BD1999" s="38"/>
      <c r="BE1999" s="38"/>
      <c r="BF1999" s="38"/>
      <c r="BG1999" s="38"/>
      <c r="BH1999" s="38"/>
      <c r="BI1999" s="38"/>
      <c r="BJ1999" s="38"/>
      <c r="BK1999" s="38"/>
      <c r="BL1999" s="38"/>
      <c r="BM1999" s="38"/>
      <c r="BN1999" s="38"/>
      <c r="BO1999" s="38"/>
      <c r="BP1999" s="38"/>
      <c r="BQ1999" s="38"/>
    </row>
    <row r="2000">
      <c r="A2000" s="58" t="s">
        <v>239</v>
      </c>
      <c r="B2000" s="59">
        <v>43392.0</v>
      </c>
      <c r="C2000" s="59">
        <v>43392.0</v>
      </c>
      <c r="D2000" s="60" t="s">
        <v>5429</v>
      </c>
      <c r="E2000" s="58" t="s">
        <v>41</v>
      </c>
      <c r="F2000" s="58">
        <v>1.0</v>
      </c>
      <c r="G2000" s="58" t="s">
        <v>32</v>
      </c>
      <c r="H2000" s="33">
        <f t="shared" si="307"/>
        <v>1</v>
      </c>
      <c r="I2000" s="58" t="s">
        <v>33</v>
      </c>
      <c r="J2000" s="58" t="s">
        <v>241</v>
      </c>
      <c r="K2000" s="58">
        <v>1.0</v>
      </c>
      <c r="L2000" s="58" t="s">
        <v>194</v>
      </c>
      <c r="M2000" s="61" t="s">
        <v>5436</v>
      </c>
      <c r="N2000" s="77"/>
      <c r="O2000" s="62"/>
      <c r="P2000" s="62"/>
      <c r="Q2000" s="62"/>
      <c r="R2000" s="62"/>
      <c r="S2000" s="37" t="str">
        <f>IFERROR(__xludf.DUMMYFUNCTION("if(not(iserror(index(split(C2000, "" ""),2))), index(split(C2000, "" ""),1),"""")"),"October")</f>
        <v>October</v>
      </c>
      <c r="T2000" s="38">
        <f>IFERROR(__xludf.DUMMYFUNCTION("if(S2000="""",C2000,if(not(iserror(index(split(C2000, "" ""),3))), index(split(C2000, "" ""),3),index(split(C2000, "" ""),2)))"),2018.0)</f>
        <v>2018</v>
      </c>
      <c r="U2000" s="38" t="b">
        <f t="shared" si="305"/>
        <v>1</v>
      </c>
      <c r="V2000" s="38"/>
      <c r="W2000" s="40"/>
      <c r="X2000" s="40"/>
      <c r="Y2000" s="40"/>
      <c r="Z2000" s="38"/>
      <c r="AA2000" s="38"/>
      <c r="AB2000" s="38"/>
      <c r="AC2000" s="38"/>
      <c r="AD2000" s="38"/>
      <c r="AE2000" s="38"/>
      <c r="AF2000" s="38"/>
      <c r="AG2000" s="38"/>
      <c r="AH2000" s="38"/>
      <c r="AI2000" s="38"/>
      <c r="AJ2000" s="38"/>
      <c r="AK2000" s="38"/>
      <c r="AL2000" s="38"/>
      <c r="AM2000" s="38"/>
      <c r="AN2000" s="38"/>
      <c r="AO2000" s="38"/>
      <c r="AP2000" s="38"/>
      <c r="AQ2000" s="38"/>
      <c r="AR2000" s="38"/>
      <c r="AS2000" s="38"/>
      <c r="AT2000" s="38"/>
      <c r="AU2000" s="38"/>
      <c r="AV2000" s="38"/>
      <c r="AW2000" s="38"/>
      <c r="AX2000" s="38"/>
      <c r="AY2000" s="38"/>
      <c r="AZ2000" s="38"/>
      <c r="BA2000" s="38"/>
      <c r="BB2000" s="38"/>
      <c r="BC2000" s="38"/>
      <c r="BD2000" s="38"/>
      <c r="BE2000" s="38"/>
      <c r="BF2000" s="38"/>
      <c r="BG2000" s="38"/>
      <c r="BH2000" s="38"/>
      <c r="BI2000" s="38"/>
      <c r="BJ2000" s="38"/>
      <c r="BK2000" s="38"/>
      <c r="BL2000" s="38"/>
      <c r="BM2000" s="38"/>
      <c r="BN2000" s="38"/>
      <c r="BO2000" s="38"/>
      <c r="BP2000" s="38"/>
      <c r="BQ2000" s="38"/>
    </row>
    <row r="2001">
      <c r="A2001" s="58" t="s">
        <v>239</v>
      </c>
      <c r="B2001" s="59">
        <v>43396.0</v>
      </c>
      <c r="C2001" s="59">
        <v>43393.0</v>
      </c>
      <c r="D2001" s="60" t="s">
        <v>5437</v>
      </c>
      <c r="E2001" s="58" t="s">
        <v>41</v>
      </c>
      <c r="F2001" s="58">
        <v>2.0</v>
      </c>
      <c r="G2001" s="58">
        <v>1.0</v>
      </c>
      <c r="H2001" s="33">
        <f t="shared" si="307"/>
        <v>1</v>
      </c>
      <c r="I2001" s="58" t="s">
        <v>33</v>
      </c>
      <c r="J2001" s="58" t="s">
        <v>241</v>
      </c>
      <c r="K2001" s="58">
        <v>1.0</v>
      </c>
      <c r="L2001" s="58" t="s">
        <v>194</v>
      </c>
      <c r="M2001" s="61" t="s">
        <v>5438</v>
      </c>
      <c r="N2001" s="80"/>
      <c r="O2001" s="58"/>
      <c r="P2001" s="58"/>
      <c r="Q2001" s="84"/>
      <c r="R2001" s="62"/>
      <c r="S2001" s="37" t="str">
        <f>IFERROR(__xludf.DUMMYFUNCTION("if(not(iserror(index(split(C2001, "" ""),2))), index(split(C2001, "" ""),1),"""")"),"October")</f>
        <v>October</v>
      </c>
      <c r="T2001" s="38">
        <f>IFERROR(__xludf.DUMMYFUNCTION("if(S2001="""",C2001,if(not(iserror(index(split(C2001, "" ""),3))), index(split(C2001, "" ""),3),index(split(C2001, "" ""),2)))"),2018.0)</f>
        <v>2018</v>
      </c>
      <c r="U2001" s="38" t="b">
        <f t="shared" si="305"/>
        <v>1</v>
      </c>
      <c r="V2001" s="38"/>
      <c r="W2001" s="40"/>
      <c r="X2001" s="40"/>
      <c r="Y2001" s="40"/>
      <c r="Z2001" s="38"/>
      <c r="AA2001" s="38"/>
      <c r="AB2001" s="38"/>
      <c r="AC2001" s="38"/>
      <c r="AD2001" s="38"/>
      <c r="AE2001" s="38"/>
      <c r="AF2001" s="38"/>
      <c r="AG2001" s="38"/>
      <c r="AH2001" s="38"/>
      <c r="AI2001" s="38"/>
      <c r="AJ2001" s="38"/>
      <c r="AK2001" s="38"/>
      <c r="AL2001" s="38"/>
      <c r="AM2001" s="38"/>
      <c r="AN2001" s="38"/>
      <c r="AO2001" s="38"/>
      <c r="AP2001" s="38"/>
      <c r="AQ2001" s="38"/>
      <c r="AR2001" s="38"/>
      <c r="AS2001" s="38"/>
      <c r="AT2001" s="38"/>
      <c r="AU2001" s="38"/>
      <c r="AV2001" s="38"/>
      <c r="AW2001" s="38"/>
      <c r="AX2001" s="38"/>
      <c r="AY2001" s="38"/>
      <c r="AZ2001" s="38"/>
      <c r="BA2001" s="38"/>
      <c r="BB2001" s="38"/>
      <c r="BC2001" s="38"/>
      <c r="BD2001" s="38"/>
      <c r="BE2001" s="38"/>
      <c r="BF2001" s="38"/>
      <c r="BG2001" s="38"/>
      <c r="BH2001" s="38"/>
      <c r="BI2001" s="38"/>
      <c r="BJ2001" s="38"/>
      <c r="BK2001" s="38"/>
      <c r="BL2001" s="38"/>
      <c r="BM2001" s="38"/>
      <c r="BN2001" s="38"/>
      <c r="BO2001" s="38"/>
      <c r="BP2001" s="38"/>
      <c r="BQ2001" s="38"/>
    </row>
    <row r="2002">
      <c r="A2002" s="58" t="s">
        <v>239</v>
      </c>
      <c r="B2002" s="59">
        <v>43395.0</v>
      </c>
      <c r="C2002" s="59">
        <v>43394.0</v>
      </c>
      <c r="D2002" s="60" t="s">
        <v>5439</v>
      </c>
      <c r="E2002" s="58" t="s">
        <v>41</v>
      </c>
      <c r="F2002" s="58">
        <v>1.0</v>
      </c>
      <c r="G2002" s="58">
        <v>4.0</v>
      </c>
      <c r="H2002" s="33">
        <f t="shared" si="307"/>
        <v>4</v>
      </c>
      <c r="I2002" s="58" t="s">
        <v>33</v>
      </c>
      <c r="J2002" s="58" t="s">
        <v>3608</v>
      </c>
      <c r="K2002" s="58">
        <v>1.0</v>
      </c>
      <c r="L2002" s="58" t="s">
        <v>194</v>
      </c>
      <c r="M2002" s="61" t="s">
        <v>5440</v>
      </c>
      <c r="N2002" s="80"/>
      <c r="O2002" s="58"/>
      <c r="P2002" s="58"/>
      <c r="Q2002" s="84"/>
      <c r="R2002" s="62"/>
      <c r="S2002" s="37" t="str">
        <f>IFERROR(__xludf.DUMMYFUNCTION("if(not(iserror(index(split(C2002, "" ""),2))), index(split(C2002, "" ""),1),"""")"),"October")</f>
        <v>October</v>
      </c>
      <c r="T2002" s="38">
        <f>IFERROR(__xludf.DUMMYFUNCTION("if(S2002="""",C2002,if(not(iserror(index(split(C2002, "" ""),3))), index(split(C2002, "" ""),3),index(split(C2002, "" ""),2)))"),2018.0)</f>
        <v>2018</v>
      </c>
      <c r="U2002" s="38" t="b">
        <f t="shared" si="305"/>
        <v>1</v>
      </c>
      <c r="V2002" s="38"/>
      <c r="W2002" s="40"/>
      <c r="X2002" s="40"/>
      <c r="Y2002" s="40"/>
      <c r="Z2002" s="38"/>
      <c r="AA2002" s="38"/>
      <c r="AB2002" s="38"/>
      <c r="AC2002" s="38"/>
      <c r="AD2002" s="38"/>
      <c r="AE2002" s="38"/>
      <c r="AF2002" s="38"/>
      <c r="AG2002" s="38"/>
      <c r="AH2002" s="38"/>
      <c r="AI2002" s="38"/>
      <c r="AJ2002" s="38"/>
      <c r="AK2002" s="38"/>
      <c r="AL2002" s="38"/>
      <c r="AM2002" s="38"/>
      <c r="AN2002" s="38"/>
      <c r="AO2002" s="38"/>
      <c r="AP2002" s="38"/>
      <c r="AQ2002" s="38"/>
      <c r="AR2002" s="38"/>
      <c r="AS2002" s="38"/>
      <c r="AT2002" s="38"/>
      <c r="AU2002" s="38"/>
      <c r="AV2002" s="38"/>
      <c r="AW2002" s="38"/>
      <c r="AX2002" s="38"/>
      <c r="AY2002" s="38"/>
      <c r="AZ2002" s="38"/>
      <c r="BA2002" s="38"/>
      <c r="BB2002" s="38"/>
      <c r="BC2002" s="38"/>
      <c r="BD2002" s="38"/>
      <c r="BE2002" s="38"/>
      <c r="BF2002" s="38"/>
      <c r="BG2002" s="38"/>
      <c r="BH2002" s="38"/>
      <c r="BI2002" s="38"/>
      <c r="BJ2002" s="38"/>
      <c r="BK2002" s="38"/>
      <c r="BL2002" s="38"/>
      <c r="BM2002" s="38"/>
      <c r="BN2002" s="38"/>
      <c r="BO2002" s="38"/>
      <c r="BP2002" s="38"/>
      <c r="BQ2002" s="38"/>
    </row>
    <row r="2003">
      <c r="A2003" s="58" t="s">
        <v>239</v>
      </c>
      <c r="B2003" s="59">
        <v>43397.0</v>
      </c>
      <c r="C2003" s="59">
        <v>43395.0</v>
      </c>
      <c r="D2003" s="60" t="s">
        <v>5441</v>
      </c>
      <c r="E2003" s="58" t="s">
        <v>41</v>
      </c>
      <c r="F2003" s="58">
        <v>2.0</v>
      </c>
      <c r="G2003" s="58">
        <v>2.0</v>
      </c>
      <c r="H2003" s="33">
        <f t="shared" si="307"/>
        <v>2</v>
      </c>
      <c r="I2003" s="58" t="s">
        <v>33</v>
      </c>
      <c r="J2003" s="58" t="s">
        <v>241</v>
      </c>
      <c r="K2003" s="58">
        <v>1.0</v>
      </c>
      <c r="L2003" s="58" t="s">
        <v>194</v>
      </c>
      <c r="M2003" s="61" t="s">
        <v>5442</v>
      </c>
      <c r="N2003" s="80"/>
      <c r="O2003" s="58"/>
      <c r="P2003" s="58"/>
      <c r="Q2003" s="84"/>
      <c r="R2003" s="62"/>
      <c r="S2003" s="37" t="str">
        <f>IFERROR(__xludf.DUMMYFUNCTION("if(not(iserror(index(split(C2003, "" ""),2))), index(split(C2003, "" ""),1),"""")"),"October")</f>
        <v>October</v>
      </c>
      <c r="T2003" s="38">
        <f>IFERROR(__xludf.DUMMYFUNCTION("if(S2003="""",C2003,if(not(iserror(index(split(C2003, "" ""),3))), index(split(C2003, "" ""),3),index(split(C2003, "" ""),2)))"),2018.0)</f>
        <v>2018</v>
      </c>
      <c r="U2003" s="38" t="b">
        <f t="shared" si="305"/>
        <v>1</v>
      </c>
      <c r="V2003" s="38"/>
      <c r="W2003" s="40"/>
      <c r="X2003" s="40"/>
      <c r="Y2003" s="40"/>
      <c r="Z2003" s="38"/>
      <c r="AA2003" s="38"/>
      <c r="AB2003" s="38"/>
      <c r="AC2003" s="38"/>
      <c r="AD2003" s="38"/>
      <c r="AE2003" s="38"/>
      <c r="AF2003" s="38"/>
      <c r="AG2003" s="38"/>
      <c r="AH2003" s="38"/>
      <c r="AI2003" s="38"/>
      <c r="AJ2003" s="38"/>
      <c r="AK2003" s="38"/>
      <c r="AL2003" s="38"/>
      <c r="AM2003" s="38"/>
      <c r="AN2003" s="38"/>
      <c r="AO2003" s="38"/>
      <c r="AP2003" s="38"/>
      <c r="AQ2003" s="38"/>
      <c r="AR2003" s="38"/>
      <c r="AS2003" s="38"/>
      <c r="AT2003" s="38"/>
      <c r="AU2003" s="38"/>
      <c r="AV2003" s="38"/>
      <c r="AW2003" s="38"/>
      <c r="AX2003" s="38"/>
      <c r="AY2003" s="38"/>
      <c r="AZ2003" s="38"/>
      <c r="BA2003" s="38"/>
      <c r="BB2003" s="38"/>
      <c r="BC2003" s="38"/>
      <c r="BD2003" s="38"/>
      <c r="BE2003" s="38"/>
      <c r="BF2003" s="38"/>
      <c r="BG2003" s="38"/>
      <c r="BH2003" s="38"/>
      <c r="BI2003" s="38"/>
      <c r="BJ2003" s="38"/>
      <c r="BK2003" s="38"/>
      <c r="BL2003" s="38"/>
      <c r="BM2003" s="38"/>
      <c r="BN2003" s="38"/>
      <c r="BO2003" s="38"/>
      <c r="BP2003" s="38"/>
      <c r="BQ2003" s="38"/>
    </row>
    <row r="2004">
      <c r="A2004" s="58" t="s">
        <v>5443</v>
      </c>
      <c r="B2004" s="59">
        <v>43397.0</v>
      </c>
      <c r="C2004" s="59">
        <v>43395.0</v>
      </c>
      <c r="D2004" s="60" t="s">
        <v>5441</v>
      </c>
      <c r="E2004" s="58" t="s">
        <v>41</v>
      </c>
      <c r="F2004" s="58">
        <v>1.0</v>
      </c>
      <c r="G2004" s="58">
        <v>4.0</v>
      </c>
      <c r="H2004" s="33">
        <f t="shared" si="307"/>
        <v>4</v>
      </c>
      <c r="I2004" s="58" t="s">
        <v>33</v>
      </c>
      <c r="J2004" s="58" t="s">
        <v>3608</v>
      </c>
      <c r="K2004" s="58">
        <v>1.0</v>
      </c>
      <c r="L2004" s="58" t="s">
        <v>194</v>
      </c>
      <c r="M2004" s="61" t="s">
        <v>5444</v>
      </c>
      <c r="N2004" s="80"/>
      <c r="O2004" s="58"/>
      <c r="P2004" s="58"/>
      <c r="Q2004" s="58"/>
      <c r="R2004" s="62"/>
      <c r="S2004" s="37" t="str">
        <f>IFERROR(__xludf.DUMMYFUNCTION("if(not(iserror(index(split(C2004, "" ""),2))), index(split(C2004, "" ""),1),"""")"),"October")</f>
        <v>October</v>
      </c>
      <c r="T2004" s="38">
        <f>IFERROR(__xludf.DUMMYFUNCTION("if(S2004="""",C2004,if(not(iserror(index(split(C2004, "" ""),3))), index(split(C2004, "" ""),3),index(split(C2004, "" ""),2)))"),2018.0)</f>
        <v>2018</v>
      </c>
      <c r="U2004" s="38" t="b">
        <f t="shared" si="305"/>
        <v>0</v>
      </c>
      <c r="V2004" s="38"/>
      <c r="W2004" s="40"/>
      <c r="X2004" s="40"/>
      <c r="Y2004" s="40"/>
      <c r="Z2004" s="38"/>
      <c r="AA2004" s="38"/>
      <c r="AB2004" s="38"/>
      <c r="AC2004" s="38"/>
      <c r="AD2004" s="38"/>
      <c r="AE2004" s="38"/>
      <c r="AF2004" s="38"/>
      <c r="AG2004" s="38"/>
      <c r="AH2004" s="38"/>
      <c r="AI2004" s="38"/>
      <c r="AJ2004" s="38"/>
      <c r="AK2004" s="38"/>
      <c r="AL2004" s="38"/>
      <c r="AM2004" s="38"/>
      <c r="AN2004" s="38"/>
      <c r="AO2004" s="38"/>
      <c r="AP2004" s="38"/>
      <c r="AQ2004" s="38"/>
      <c r="AR2004" s="38"/>
      <c r="AS2004" s="38"/>
      <c r="AT2004" s="38"/>
      <c r="AU2004" s="38"/>
      <c r="AV2004" s="38"/>
      <c r="AW2004" s="38"/>
      <c r="AX2004" s="38"/>
      <c r="AY2004" s="38"/>
      <c r="AZ2004" s="38"/>
      <c r="BA2004" s="38"/>
      <c r="BB2004" s="38"/>
      <c r="BC2004" s="38"/>
      <c r="BD2004" s="38"/>
      <c r="BE2004" s="38"/>
      <c r="BF2004" s="38"/>
      <c r="BG2004" s="38"/>
      <c r="BH2004" s="38"/>
      <c r="BI2004" s="38"/>
      <c r="BJ2004" s="38"/>
      <c r="BK2004" s="38"/>
      <c r="BL2004" s="38"/>
      <c r="BM2004" s="38"/>
      <c r="BN2004" s="38"/>
      <c r="BO2004" s="38"/>
      <c r="BP2004" s="38"/>
      <c r="BQ2004" s="38"/>
    </row>
    <row r="2005">
      <c r="A2005" s="58" t="s">
        <v>5445</v>
      </c>
      <c r="B2005" s="59"/>
      <c r="C2005" s="59">
        <v>43396.0</v>
      </c>
      <c r="D2005" s="60"/>
      <c r="E2005" s="58" t="s">
        <v>41</v>
      </c>
      <c r="F2005" s="58">
        <v>1.0</v>
      </c>
      <c r="G2005" s="58" t="s">
        <v>32</v>
      </c>
      <c r="H2005" s="43">
        <v>1.0</v>
      </c>
      <c r="I2005" s="58" t="s">
        <v>33</v>
      </c>
      <c r="J2005" s="58" t="s">
        <v>203</v>
      </c>
      <c r="K2005" s="58"/>
      <c r="L2005" s="58" t="s">
        <v>119</v>
      </c>
      <c r="M2005" s="61" t="s">
        <v>5446</v>
      </c>
      <c r="N2005" s="80"/>
      <c r="O2005" s="58"/>
      <c r="P2005" s="58"/>
      <c r="Q2005" s="58">
        <v>1.0</v>
      </c>
      <c r="R2005" s="62"/>
      <c r="S2005" s="37"/>
      <c r="T2005" s="38"/>
      <c r="U2005" s="38"/>
      <c r="V2005" s="38" t="s">
        <v>33</v>
      </c>
      <c r="W2005" s="40"/>
      <c r="X2005" s="40"/>
      <c r="Y2005" s="40"/>
      <c r="Z2005" s="38"/>
      <c r="AA2005" s="38"/>
      <c r="AB2005" s="38"/>
      <c r="AC2005" s="38"/>
      <c r="AD2005" s="38"/>
      <c r="AE2005" s="38"/>
      <c r="AF2005" s="38"/>
      <c r="AG2005" s="38"/>
      <c r="AH2005" s="38"/>
      <c r="AI2005" s="38"/>
      <c r="AJ2005" s="38"/>
      <c r="AK2005" s="38"/>
      <c r="AL2005" s="38"/>
      <c r="AM2005" s="38"/>
      <c r="AN2005" s="38"/>
      <c r="AO2005" s="38"/>
      <c r="AP2005" s="38"/>
      <c r="AQ2005" s="38"/>
      <c r="AR2005" s="38"/>
      <c r="AS2005" s="38"/>
      <c r="AT2005" s="38"/>
      <c r="AU2005" s="38"/>
      <c r="AV2005" s="38"/>
      <c r="AW2005" s="38"/>
      <c r="AX2005" s="38"/>
      <c r="AY2005" s="38"/>
      <c r="AZ2005" s="38"/>
      <c r="BA2005" s="38"/>
      <c r="BB2005" s="38"/>
      <c r="BC2005" s="38"/>
      <c r="BD2005" s="38"/>
      <c r="BE2005" s="38"/>
      <c r="BF2005" s="38"/>
      <c r="BG2005" s="38"/>
      <c r="BH2005" s="38"/>
      <c r="BI2005" s="38"/>
      <c r="BJ2005" s="38"/>
      <c r="BK2005" s="38"/>
      <c r="BL2005" s="38"/>
      <c r="BM2005" s="38"/>
      <c r="BN2005" s="38"/>
      <c r="BO2005" s="38"/>
      <c r="BP2005" s="38"/>
      <c r="BQ2005" s="38"/>
    </row>
    <row r="2006">
      <c r="A2006" s="58" t="s">
        <v>239</v>
      </c>
      <c r="B2006" s="59">
        <v>43396.0</v>
      </c>
      <c r="C2006" s="59">
        <v>43396.0</v>
      </c>
      <c r="D2006" s="60" t="s">
        <v>4098</v>
      </c>
      <c r="E2006" s="58" t="s">
        <v>41</v>
      </c>
      <c r="F2006" s="58">
        <v>1.0</v>
      </c>
      <c r="G2006" s="58">
        <v>16.0</v>
      </c>
      <c r="H2006" s="33">
        <f t="shared" ref="H2006:H2007" si="308">if(G2006="Unknown",1,G2006)</f>
        <v>16</v>
      </c>
      <c r="I2006" s="58" t="s">
        <v>33</v>
      </c>
      <c r="J2006" s="58" t="s">
        <v>147</v>
      </c>
      <c r="K2006" s="58">
        <v>1.0</v>
      </c>
      <c r="L2006" s="58" t="s">
        <v>194</v>
      </c>
      <c r="M2006" s="61" t="s">
        <v>5447</v>
      </c>
      <c r="N2006" s="80"/>
      <c r="O2006" s="58"/>
      <c r="P2006" s="58"/>
      <c r="Q2006" s="84"/>
      <c r="R2006" s="62"/>
      <c r="S2006" s="37" t="str">
        <f>IFERROR(__xludf.DUMMYFUNCTION("if(not(iserror(index(split(C2006, "" ""),2))), index(split(C2006, "" ""),1),"""")"),"October")</f>
        <v>October</v>
      </c>
      <c r="T2006" s="38">
        <f>IFERROR(__xludf.DUMMYFUNCTION("if(S2006="""",C2006,if(not(iserror(index(split(C2006, "" ""),3))), index(split(C2006, "" ""),3),index(split(C2006, "" ""),2)))"),2018.0)</f>
        <v>2018</v>
      </c>
      <c r="U2006" s="38" t="b">
        <f t="shared" ref="U2006:U2007" si="309">countif(A$4:A4658, A2006)&gt;1</f>
        <v>1</v>
      </c>
      <c r="V2006" s="38"/>
      <c r="W2006" s="40"/>
      <c r="X2006" s="40"/>
      <c r="Y2006" s="40"/>
      <c r="Z2006" s="38"/>
      <c r="AA2006" s="38"/>
      <c r="AB2006" s="38"/>
      <c r="AC2006" s="38"/>
      <c r="AD2006" s="38"/>
      <c r="AE2006" s="38"/>
      <c r="AF2006" s="38"/>
      <c r="AG2006" s="38"/>
      <c r="AH2006" s="38"/>
      <c r="AI2006" s="38"/>
      <c r="AJ2006" s="38"/>
      <c r="AK2006" s="38"/>
      <c r="AL2006" s="38"/>
      <c r="AM2006" s="38"/>
      <c r="AN2006" s="38"/>
      <c r="AO2006" s="38"/>
      <c r="AP2006" s="38"/>
      <c r="AQ2006" s="38"/>
      <c r="AR2006" s="38"/>
      <c r="AS2006" s="38"/>
      <c r="AT2006" s="38"/>
      <c r="AU2006" s="38"/>
      <c r="AV2006" s="38"/>
      <c r="AW2006" s="38"/>
      <c r="AX2006" s="38"/>
      <c r="AY2006" s="38"/>
      <c r="AZ2006" s="38"/>
      <c r="BA2006" s="38"/>
      <c r="BB2006" s="38"/>
      <c r="BC2006" s="38"/>
      <c r="BD2006" s="38"/>
      <c r="BE2006" s="38"/>
      <c r="BF2006" s="38"/>
      <c r="BG2006" s="38"/>
      <c r="BH2006" s="38"/>
      <c r="BI2006" s="38"/>
      <c r="BJ2006" s="38"/>
      <c r="BK2006" s="38"/>
      <c r="BL2006" s="38"/>
      <c r="BM2006" s="38"/>
      <c r="BN2006" s="38"/>
      <c r="BO2006" s="38"/>
      <c r="BP2006" s="38"/>
      <c r="BQ2006" s="38"/>
    </row>
    <row r="2007">
      <c r="A2007" s="58" t="s">
        <v>5448</v>
      </c>
      <c r="B2007" s="59">
        <v>43397.0</v>
      </c>
      <c r="C2007" s="59">
        <v>43396.0</v>
      </c>
      <c r="D2007" s="60" t="s">
        <v>4098</v>
      </c>
      <c r="E2007" s="58" t="s">
        <v>41</v>
      </c>
      <c r="F2007" s="58">
        <v>1.0</v>
      </c>
      <c r="G2007" s="58" t="s">
        <v>32</v>
      </c>
      <c r="H2007" s="33">
        <f t="shared" si="308"/>
        <v>1</v>
      </c>
      <c r="I2007" s="58" t="s">
        <v>33</v>
      </c>
      <c r="J2007" s="58" t="s">
        <v>47</v>
      </c>
      <c r="K2007" s="58">
        <v>1.0</v>
      </c>
      <c r="L2007" s="58" t="s">
        <v>119</v>
      </c>
      <c r="M2007" s="80" t="s">
        <v>5449</v>
      </c>
      <c r="N2007" s="80" t="s">
        <v>5450</v>
      </c>
      <c r="O2007" s="58"/>
      <c r="P2007" s="58"/>
      <c r="Q2007" s="58"/>
      <c r="R2007" s="62"/>
      <c r="S2007" s="37" t="str">
        <f>IFERROR(__xludf.DUMMYFUNCTION("if(not(iserror(index(split(C2007, "" ""),2))), index(split(C2007, "" ""),1),"""")"),"October")</f>
        <v>October</v>
      </c>
      <c r="T2007" s="38">
        <f>IFERROR(__xludf.DUMMYFUNCTION("if(S2007="""",C2007,if(not(iserror(index(split(C2007, "" ""),3))), index(split(C2007, "" ""),3),index(split(C2007, "" ""),2)))"),2018.0)</f>
        <v>2018</v>
      </c>
      <c r="U2007" s="38" t="b">
        <f t="shared" si="309"/>
        <v>0</v>
      </c>
      <c r="V2007" s="38" t="s">
        <v>33</v>
      </c>
      <c r="W2007" s="39" t="s">
        <v>5451</v>
      </c>
      <c r="X2007" s="39" t="s">
        <v>5452</v>
      </c>
      <c r="Y2007" s="40"/>
      <c r="Z2007" s="38"/>
      <c r="AA2007" s="38"/>
      <c r="AB2007" s="38"/>
      <c r="AC2007" s="38"/>
      <c r="AD2007" s="38"/>
      <c r="AE2007" s="38"/>
      <c r="AF2007" s="38"/>
      <c r="AG2007" s="38"/>
      <c r="AH2007" s="38"/>
      <c r="AI2007" s="38"/>
      <c r="AJ2007" s="38"/>
      <c r="AK2007" s="38"/>
      <c r="AL2007" s="38"/>
      <c r="AM2007" s="38"/>
      <c r="AN2007" s="38"/>
      <c r="AO2007" s="38"/>
      <c r="AP2007" s="38"/>
      <c r="AQ2007" s="38"/>
      <c r="AR2007" s="38"/>
      <c r="AS2007" s="38"/>
      <c r="AT2007" s="38"/>
      <c r="AU2007" s="38"/>
      <c r="AV2007" s="38"/>
      <c r="AW2007" s="38"/>
      <c r="AX2007" s="38"/>
      <c r="AY2007" s="38"/>
      <c r="AZ2007" s="38"/>
      <c r="BA2007" s="38"/>
      <c r="BB2007" s="38"/>
      <c r="BC2007" s="38"/>
      <c r="BD2007" s="38"/>
      <c r="BE2007" s="38"/>
      <c r="BF2007" s="38"/>
      <c r="BG2007" s="38"/>
      <c r="BH2007" s="38"/>
      <c r="BI2007" s="38"/>
      <c r="BJ2007" s="38"/>
      <c r="BK2007" s="38"/>
      <c r="BL2007" s="38"/>
      <c r="BM2007" s="38"/>
      <c r="BN2007" s="38"/>
      <c r="BO2007" s="38"/>
      <c r="BP2007" s="38"/>
      <c r="BQ2007" s="38"/>
    </row>
    <row r="2008">
      <c r="A2008" s="58" t="s">
        <v>5453</v>
      </c>
      <c r="B2008" s="59"/>
      <c r="C2008" s="59">
        <v>43396.0</v>
      </c>
      <c r="D2008" s="60"/>
      <c r="E2008" s="58" t="s">
        <v>41</v>
      </c>
      <c r="F2008" s="58">
        <v>1.0</v>
      </c>
      <c r="G2008" s="58" t="s">
        <v>32</v>
      </c>
      <c r="H2008" s="43">
        <v>1.0</v>
      </c>
      <c r="I2008" s="58" t="s">
        <v>33</v>
      </c>
      <c r="J2008" s="58" t="s">
        <v>203</v>
      </c>
      <c r="K2008" s="58"/>
      <c r="L2008" s="58" t="s">
        <v>119</v>
      </c>
      <c r="M2008" s="61" t="s">
        <v>5454</v>
      </c>
      <c r="N2008" s="80"/>
      <c r="O2008" s="58"/>
      <c r="P2008" s="58"/>
      <c r="Q2008" s="58">
        <v>1.0</v>
      </c>
      <c r="R2008" s="62"/>
      <c r="S2008" s="37"/>
      <c r="T2008" s="38"/>
      <c r="U2008" s="38"/>
      <c r="V2008" s="38" t="s">
        <v>33</v>
      </c>
      <c r="W2008" s="40"/>
      <c r="X2008" s="40"/>
      <c r="Y2008" s="40"/>
      <c r="Z2008" s="38"/>
      <c r="AA2008" s="38"/>
      <c r="AB2008" s="38"/>
      <c r="AC2008" s="38"/>
      <c r="AD2008" s="38"/>
      <c r="AE2008" s="38"/>
      <c r="AF2008" s="38"/>
      <c r="AG2008" s="38"/>
      <c r="AH2008" s="38"/>
      <c r="AI2008" s="38"/>
      <c r="AJ2008" s="38"/>
      <c r="AK2008" s="38"/>
      <c r="AL2008" s="38"/>
      <c r="AM2008" s="38"/>
      <c r="AN2008" s="38"/>
      <c r="AO2008" s="38"/>
      <c r="AP2008" s="38"/>
      <c r="AQ2008" s="38"/>
      <c r="AR2008" s="38"/>
      <c r="AS2008" s="38"/>
      <c r="AT2008" s="38"/>
      <c r="AU2008" s="38"/>
      <c r="AV2008" s="38"/>
      <c r="AW2008" s="38"/>
      <c r="AX2008" s="38"/>
      <c r="AY2008" s="38"/>
      <c r="AZ2008" s="38"/>
      <c r="BA2008" s="38"/>
      <c r="BB2008" s="38"/>
      <c r="BC2008" s="38"/>
      <c r="BD2008" s="38"/>
      <c r="BE2008" s="38"/>
      <c r="BF2008" s="38"/>
      <c r="BG2008" s="38"/>
      <c r="BH2008" s="38"/>
      <c r="BI2008" s="38"/>
      <c r="BJ2008" s="38"/>
      <c r="BK2008" s="38"/>
      <c r="BL2008" s="38"/>
      <c r="BM2008" s="38"/>
      <c r="BN2008" s="38"/>
      <c r="BO2008" s="38"/>
      <c r="BP2008" s="38"/>
      <c r="BQ2008" s="38"/>
    </row>
    <row r="2009">
      <c r="A2009" s="58" t="s">
        <v>5455</v>
      </c>
      <c r="B2009" s="59">
        <v>43418.0</v>
      </c>
      <c r="C2009" s="59">
        <v>43397.0</v>
      </c>
      <c r="D2009" s="60" t="s">
        <v>5456</v>
      </c>
      <c r="E2009" s="58" t="s">
        <v>31</v>
      </c>
      <c r="F2009" s="58">
        <v>1.0</v>
      </c>
      <c r="G2009" s="58" t="s">
        <v>32</v>
      </c>
      <c r="H2009" s="33">
        <f>if(G2009="Unknown",1,G2009)</f>
        <v>1</v>
      </c>
      <c r="I2009" s="58" t="s">
        <v>33</v>
      </c>
      <c r="J2009" s="58" t="s">
        <v>179</v>
      </c>
      <c r="K2009" s="58">
        <v>2.0</v>
      </c>
      <c r="L2009" s="58" t="s">
        <v>119</v>
      </c>
      <c r="M2009" s="61" t="s">
        <v>5457</v>
      </c>
      <c r="N2009" s="61" t="s">
        <v>5458</v>
      </c>
      <c r="O2009" s="88" t="str">
        <f>hyperlink("https://bad-boys.us/?q=ED-VA/2:18-cr-00051", "ED-VA 2:18-cr-00051")</f>
        <v>ED-VA 2:18-cr-00051</v>
      </c>
      <c r="P2009" s="62"/>
      <c r="Q2009" s="84">
        <v>1.0</v>
      </c>
      <c r="R2009" s="62"/>
      <c r="S2009" s="37" t="str">
        <f>IFERROR(__xludf.DUMMYFUNCTION("if(not(iserror(index(split(C2009, "" ""),2))), index(split(C2009, "" ""),1),"""")"),"October")</f>
        <v>October</v>
      </c>
      <c r="T2009" s="38">
        <f>IFERROR(__xludf.DUMMYFUNCTION("if(S2009="""",C2009,if(not(iserror(index(split(C2009, "" ""),3))), index(split(C2009, "" ""),3),index(split(C2009, "" ""),2)))"),2018.0)</f>
        <v>2018</v>
      </c>
      <c r="U2009" s="38" t="b">
        <f t="shared" ref="U2009:U2010" si="310">countif(A$4:A4658, A2009)&gt;1</f>
        <v>0</v>
      </c>
      <c r="V2009" s="38"/>
      <c r="W2009" s="40"/>
      <c r="X2009" s="40"/>
      <c r="Y2009" s="40"/>
      <c r="Z2009" s="38"/>
      <c r="AA2009" s="38"/>
      <c r="AB2009" s="38"/>
      <c r="AC2009" s="38"/>
      <c r="AD2009" s="38"/>
      <c r="AE2009" s="38"/>
      <c r="AF2009" s="38"/>
      <c r="AG2009" s="38"/>
      <c r="AH2009" s="38"/>
      <c r="AI2009" s="38"/>
      <c r="AJ2009" s="38"/>
      <c r="AK2009" s="38"/>
      <c r="AL2009" s="38"/>
      <c r="AM2009" s="38"/>
      <c r="AN2009" s="38"/>
      <c r="AO2009" s="38"/>
      <c r="AP2009" s="38"/>
      <c r="AQ2009" s="38"/>
      <c r="AR2009" s="38"/>
      <c r="AS2009" s="38"/>
      <c r="AT2009" s="38"/>
      <c r="AU2009" s="38"/>
      <c r="AV2009" s="38"/>
      <c r="AW2009" s="38"/>
      <c r="AX2009" s="38"/>
      <c r="AY2009" s="38"/>
      <c r="AZ2009" s="38"/>
      <c r="BA2009" s="38"/>
      <c r="BB2009" s="38"/>
      <c r="BC2009" s="38"/>
      <c r="BD2009" s="38"/>
      <c r="BE2009" s="38"/>
      <c r="BF2009" s="38"/>
      <c r="BG2009" s="38"/>
      <c r="BH2009" s="38"/>
      <c r="BI2009" s="38"/>
      <c r="BJ2009" s="38"/>
      <c r="BK2009" s="38"/>
      <c r="BL2009" s="38"/>
      <c r="BM2009" s="38"/>
      <c r="BN2009" s="38"/>
      <c r="BO2009" s="38"/>
      <c r="BP2009" s="38"/>
      <c r="BQ2009" s="38"/>
    </row>
    <row r="2010">
      <c r="A2010" s="58" t="s">
        <v>5459</v>
      </c>
      <c r="B2010" s="59"/>
      <c r="C2010" s="59">
        <v>43397.0</v>
      </c>
      <c r="D2010" s="60"/>
      <c r="E2010" s="58" t="s">
        <v>41</v>
      </c>
      <c r="F2010" s="58">
        <v>1.0</v>
      </c>
      <c r="G2010" s="58" t="s">
        <v>32</v>
      </c>
      <c r="H2010" s="43">
        <v>1.0</v>
      </c>
      <c r="I2010" s="58" t="s">
        <v>33</v>
      </c>
      <c r="J2010" s="58" t="s">
        <v>42</v>
      </c>
      <c r="K2010" s="58"/>
      <c r="L2010" s="58" t="s">
        <v>76</v>
      </c>
      <c r="M2010" s="61" t="s">
        <v>5460</v>
      </c>
      <c r="N2010" s="80"/>
      <c r="O2010" s="88" t="str">
        <f>hyperlink("https://bad-boys.us/?q=WD-MI/1:18-cr-00228", "WD-MI 1:18-cr-00228")</f>
        <v>WD-MI 1:18-cr-00228</v>
      </c>
      <c r="P2010" s="88" t="s">
        <v>5461</v>
      </c>
      <c r="Q2010" s="58">
        <v>1.0</v>
      </c>
      <c r="R2010" s="62"/>
      <c r="S2010" s="37"/>
      <c r="T2010" s="38"/>
      <c r="U2010" s="38" t="b">
        <f t="shared" si="310"/>
        <v>0</v>
      </c>
      <c r="V2010" s="38"/>
      <c r="W2010" s="40"/>
      <c r="X2010" s="40"/>
      <c r="Y2010" s="40"/>
      <c r="Z2010" s="38"/>
      <c r="AA2010" s="38"/>
      <c r="AB2010" s="38"/>
      <c r="AC2010" s="38"/>
      <c r="AD2010" s="38"/>
      <c r="AE2010" s="38"/>
      <c r="AF2010" s="38"/>
      <c r="AG2010" s="38"/>
      <c r="AH2010" s="38"/>
      <c r="AI2010" s="38"/>
      <c r="AJ2010" s="38"/>
      <c r="AK2010" s="38"/>
      <c r="AL2010" s="38"/>
      <c r="AM2010" s="38"/>
      <c r="AN2010" s="38"/>
      <c r="AO2010" s="38"/>
      <c r="AP2010" s="38"/>
      <c r="AQ2010" s="38"/>
      <c r="AR2010" s="38"/>
      <c r="AS2010" s="38"/>
      <c r="AT2010" s="38"/>
      <c r="AU2010" s="38"/>
      <c r="AV2010" s="38"/>
      <c r="AW2010" s="38"/>
      <c r="AX2010" s="38"/>
      <c r="AY2010" s="38"/>
      <c r="AZ2010" s="38"/>
      <c r="BA2010" s="38"/>
      <c r="BB2010" s="38"/>
      <c r="BC2010" s="38"/>
      <c r="BD2010" s="38"/>
      <c r="BE2010" s="38"/>
      <c r="BF2010" s="38"/>
      <c r="BG2010" s="38"/>
      <c r="BH2010" s="38"/>
      <c r="BI2010" s="38"/>
      <c r="BJ2010" s="38"/>
      <c r="BK2010" s="38"/>
      <c r="BL2010" s="38"/>
      <c r="BM2010" s="38"/>
      <c r="BN2010" s="38"/>
      <c r="BO2010" s="38"/>
      <c r="BP2010" s="38"/>
      <c r="BQ2010" s="38"/>
    </row>
    <row r="2011">
      <c r="A2011" s="58" t="s">
        <v>5462</v>
      </c>
      <c r="B2011" s="59"/>
      <c r="C2011" s="59">
        <v>43397.0</v>
      </c>
      <c r="D2011" s="60"/>
      <c r="E2011" s="58" t="s">
        <v>31</v>
      </c>
      <c r="F2011" s="58">
        <v>1.0</v>
      </c>
      <c r="G2011" s="58">
        <v>1.0</v>
      </c>
      <c r="H2011" s="43">
        <v>1.0</v>
      </c>
      <c r="I2011" s="58" t="s">
        <v>33</v>
      </c>
      <c r="J2011" s="58" t="s">
        <v>279</v>
      </c>
      <c r="K2011" s="58"/>
      <c r="L2011" s="58" t="s">
        <v>69</v>
      </c>
      <c r="M2011" s="80" t="s">
        <v>5463</v>
      </c>
      <c r="N2011" s="80" t="s">
        <v>5464</v>
      </c>
      <c r="O2011" s="58"/>
      <c r="P2011" s="58"/>
      <c r="Q2011" s="58">
        <v>1.0</v>
      </c>
      <c r="R2011" s="62"/>
      <c r="S2011" s="37"/>
      <c r="T2011" s="38"/>
      <c r="U2011" s="38"/>
      <c r="V2011" s="38" t="s">
        <v>33</v>
      </c>
      <c r="W2011" s="39" t="s">
        <v>5465</v>
      </c>
      <c r="X2011" s="39" t="s">
        <v>5466</v>
      </c>
      <c r="Y2011" s="40"/>
      <c r="Z2011" s="38"/>
      <c r="AA2011" s="38"/>
      <c r="AB2011" s="38"/>
      <c r="AC2011" s="38"/>
      <c r="AD2011" s="38"/>
      <c r="AE2011" s="38"/>
      <c r="AF2011" s="38"/>
      <c r="AG2011" s="38"/>
      <c r="AH2011" s="38"/>
      <c r="AI2011" s="38"/>
      <c r="AJ2011" s="38"/>
      <c r="AK2011" s="38"/>
      <c r="AL2011" s="38"/>
      <c r="AM2011" s="38"/>
      <c r="AN2011" s="38"/>
      <c r="AO2011" s="38"/>
      <c r="AP2011" s="38"/>
      <c r="AQ2011" s="38"/>
      <c r="AR2011" s="38"/>
      <c r="AS2011" s="38"/>
      <c r="AT2011" s="38"/>
      <c r="AU2011" s="38"/>
      <c r="AV2011" s="38"/>
      <c r="AW2011" s="38"/>
      <c r="AX2011" s="38"/>
      <c r="AY2011" s="38"/>
      <c r="AZ2011" s="38"/>
      <c r="BA2011" s="38"/>
      <c r="BB2011" s="38"/>
      <c r="BC2011" s="38"/>
      <c r="BD2011" s="38"/>
      <c r="BE2011" s="38"/>
      <c r="BF2011" s="38"/>
      <c r="BG2011" s="38"/>
      <c r="BH2011" s="38"/>
      <c r="BI2011" s="38"/>
      <c r="BJ2011" s="38"/>
      <c r="BK2011" s="38"/>
      <c r="BL2011" s="38"/>
      <c r="BM2011" s="38"/>
      <c r="BN2011" s="38"/>
      <c r="BO2011" s="38"/>
      <c r="BP2011" s="38"/>
      <c r="BQ2011" s="38"/>
    </row>
    <row r="2012">
      <c r="A2012" s="58" t="s">
        <v>5467</v>
      </c>
      <c r="B2012" s="59">
        <v>43398.0</v>
      </c>
      <c r="C2012" s="59">
        <v>43398.0</v>
      </c>
      <c r="D2012" s="60" t="s">
        <v>5468</v>
      </c>
      <c r="E2012" s="58" t="s">
        <v>41</v>
      </c>
      <c r="F2012" s="58">
        <v>1.0</v>
      </c>
      <c r="G2012" s="58" t="s">
        <v>32</v>
      </c>
      <c r="H2012" s="33">
        <f>if(G2012="Unknown",1,G2012)</f>
        <v>1</v>
      </c>
      <c r="I2012" s="58" t="s">
        <v>33</v>
      </c>
      <c r="J2012" s="58" t="s">
        <v>184</v>
      </c>
      <c r="K2012" s="58">
        <v>1.0</v>
      </c>
      <c r="L2012" s="58" t="s">
        <v>99</v>
      </c>
      <c r="M2012" s="61" t="s">
        <v>5469</v>
      </c>
      <c r="N2012" s="80"/>
      <c r="O2012" s="88" t="str">
        <f>hyperlink("https://bad-boys.us/?q=ND-IL/3:18-cr-50065", "ND-IL 3:18-cr-50065")</f>
        <v>ND-IL 3:18-cr-50065</v>
      </c>
      <c r="P2012" s="88" t="s">
        <v>5470</v>
      </c>
      <c r="Q2012" s="84">
        <v>1.0</v>
      </c>
      <c r="R2012" s="62"/>
      <c r="S2012" s="37" t="str">
        <f>IFERROR(__xludf.DUMMYFUNCTION("if(not(iserror(index(split(C2012, "" ""),2))), index(split(C2012, "" ""),1),"""")"),"October")</f>
        <v>October</v>
      </c>
      <c r="T2012" s="38">
        <f>IFERROR(__xludf.DUMMYFUNCTION("if(S2012="""",C2012,if(not(iserror(index(split(C2012, "" ""),3))), index(split(C2012, "" ""),3),index(split(C2012, "" ""),2)))"),2018.0)</f>
        <v>2018</v>
      </c>
      <c r="U2012" s="38" t="b">
        <f>countif(A$4:A4658, A2012)&gt;1</f>
        <v>0</v>
      </c>
      <c r="V2012" s="38"/>
      <c r="W2012" s="40"/>
      <c r="X2012" s="40"/>
      <c r="Y2012" s="40"/>
      <c r="Z2012" s="38"/>
      <c r="AA2012" s="38"/>
      <c r="AB2012" s="38"/>
      <c r="AC2012" s="38"/>
      <c r="AD2012" s="38"/>
      <c r="AE2012" s="38"/>
      <c r="AF2012" s="38"/>
      <c r="AG2012" s="38"/>
      <c r="AH2012" s="38"/>
      <c r="AI2012" s="38"/>
      <c r="AJ2012" s="38"/>
      <c r="AK2012" s="38"/>
      <c r="AL2012" s="38"/>
      <c r="AM2012" s="38"/>
      <c r="AN2012" s="38"/>
      <c r="AO2012" s="38"/>
      <c r="AP2012" s="38"/>
      <c r="AQ2012" s="38"/>
      <c r="AR2012" s="38"/>
      <c r="AS2012" s="38"/>
      <c r="AT2012" s="38"/>
      <c r="AU2012" s="38"/>
      <c r="AV2012" s="38"/>
      <c r="AW2012" s="38"/>
      <c r="AX2012" s="38"/>
      <c r="AY2012" s="38"/>
      <c r="AZ2012" s="38"/>
      <c r="BA2012" s="38"/>
      <c r="BB2012" s="38"/>
      <c r="BC2012" s="38"/>
      <c r="BD2012" s="38"/>
      <c r="BE2012" s="38"/>
      <c r="BF2012" s="38"/>
      <c r="BG2012" s="38"/>
      <c r="BH2012" s="38"/>
      <c r="BI2012" s="38"/>
      <c r="BJ2012" s="38"/>
      <c r="BK2012" s="38"/>
      <c r="BL2012" s="38"/>
      <c r="BM2012" s="38"/>
      <c r="BN2012" s="38"/>
      <c r="BO2012" s="38"/>
      <c r="BP2012" s="38"/>
      <c r="BQ2012" s="38"/>
    </row>
    <row r="2013">
      <c r="A2013" s="58" t="s">
        <v>5471</v>
      </c>
      <c r="B2013" s="59"/>
      <c r="C2013" s="59">
        <v>43398.0</v>
      </c>
      <c r="D2013" s="60"/>
      <c r="E2013" s="58" t="s">
        <v>41</v>
      </c>
      <c r="F2013" s="58">
        <v>1.0</v>
      </c>
      <c r="G2013" s="58" t="s">
        <v>32</v>
      </c>
      <c r="H2013" s="43">
        <v>1.0</v>
      </c>
      <c r="I2013" s="58" t="s">
        <v>33</v>
      </c>
      <c r="J2013" s="58" t="s">
        <v>75</v>
      </c>
      <c r="K2013" s="58"/>
      <c r="L2013" s="58" t="s">
        <v>119</v>
      </c>
      <c r="M2013" s="61" t="s">
        <v>5472</v>
      </c>
      <c r="N2013" s="80"/>
      <c r="O2013" s="58"/>
      <c r="P2013" s="58"/>
      <c r="Q2013" s="58">
        <v>1.0</v>
      </c>
      <c r="R2013" s="62"/>
      <c r="S2013" s="37"/>
      <c r="T2013" s="38"/>
      <c r="U2013" s="38"/>
      <c r="V2013" s="38" t="s">
        <v>33</v>
      </c>
      <c r="W2013" s="40"/>
      <c r="X2013" s="40"/>
      <c r="Y2013" s="40"/>
      <c r="Z2013" s="38"/>
      <c r="AA2013" s="38"/>
      <c r="AB2013" s="38"/>
      <c r="AC2013" s="38"/>
      <c r="AD2013" s="38"/>
      <c r="AE2013" s="38"/>
      <c r="AF2013" s="38"/>
      <c r="AG2013" s="38"/>
      <c r="AH2013" s="38"/>
      <c r="AI2013" s="38"/>
      <c r="AJ2013" s="38"/>
      <c r="AK2013" s="38"/>
      <c r="AL2013" s="38"/>
      <c r="AM2013" s="38"/>
      <c r="AN2013" s="38"/>
      <c r="AO2013" s="38"/>
      <c r="AP2013" s="38"/>
      <c r="AQ2013" s="38"/>
      <c r="AR2013" s="38"/>
      <c r="AS2013" s="38"/>
      <c r="AT2013" s="38"/>
      <c r="AU2013" s="38"/>
      <c r="AV2013" s="38"/>
      <c r="AW2013" s="38"/>
      <c r="AX2013" s="38"/>
      <c r="AY2013" s="38"/>
      <c r="AZ2013" s="38"/>
      <c r="BA2013" s="38"/>
      <c r="BB2013" s="38"/>
      <c r="BC2013" s="38"/>
      <c r="BD2013" s="38"/>
      <c r="BE2013" s="38"/>
      <c r="BF2013" s="38"/>
      <c r="BG2013" s="38"/>
      <c r="BH2013" s="38"/>
      <c r="BI2013" s="38"/>
      <c r="BJ2013" s="38"/>
      <c r="BK2013" s="38"/>
      <c r="BL2013" s="38"/>
      <c r="BM2013" s="38"/>
      <c r="BN2013" s="38"/>
      <c r="BO2013" s="38"/>
      <c r="BP2013" s="38"/>
      <c r="BQ2013" s="38"/>
    </row>
    <row r="2014">
      <c r="A2014" s="58" t="s">
        <v>5473</v>
      </c>
      <c r="B2014" s="59"/>
      <c r="C2014" s="59">
        <v>43398.0</v>
      </c>
      <c r="D2014" s="60"/>
      <c r="E2014" s="58" t="s">
        <v>41</v>
      </c>
      <c r="F2014" s="58">
        <v>1.0</v>
      </c>
      <c r="G2014" s="58" t="s">
        <v>32</v>
      </c>
      <c r="H2014" s="43">
        <v>1.0</v>
      </c>
      <c r="I2014" s="58" t="s">
        <v>33</v>
      </c>
      <c r="J2014" s="58" t="s">
        <v>75</v>
      </c>
      <c r="K2014" s="58"/>
      <c r="L2014" s="58" t="s">
        <v>76</v>
      </c>
      <c r="M2014" s="61" t="s">
        <v>5474</v>
      </c>
      <c r="N2014" s="80"/>
      <c r="O2014" s="58"/>
      <c r="P2014" s="58"/>
      <c r="Q2014" s="58">
        <v>1.0</v>
      </c>
      <c r="R2014" s="62"/>
      <c r="S2014" s="37"/>
      <c r="T2014" s="38"/>
      <c r="U2014" s="38"/>
      <c r="V2014" s="38" t="s">
        <v>33</v>
      </c>
      <c r="W2014" s="40"/>
      <c r="X2014" s="40"/>
      <c r="Y2014" s="40"/>
      <c r="Z2014" s="38"/>
      <c r="AA2014" s="38"/>
      <c r="AB2014" s="38"/>
      <c r="AC2014" s="38"/>
      <c r="AD2014" s="38"/>
      <c r="AE2014" s="38"/>
      <c r="AF2014" s="38"/>
      <c r="AG2014" s="38"/>
      <c r="AH2014" s="38"/>
      <c r="AI2014" s="38"/>
      <c r="AJ2014" s="38"/>
      <c r="AK2014" s="38"/>
      <c r="AL2014" s="38"/>
      <c r="AM2014" s="38"/>
      <c r="AN2014" s="38"/>
      <c r="AO2014" s="38"/>
      <c r="AP2014" s="38"/>
      <c r="AQ2014" s="38"/>
      <c r="AR2014" s="38"/>
      <c r="AS2014" s="38"/>
      <c r="AT2014" s="38"/>
      <c r="AU2014" s="38"/>
      <c r="AV2014" s="38"/>
      <c r="AW2014" s="38"/>
      <c r="AX2014" s="38"/>
      <c r="AY2014" s="38"/>
      <c r="AZ2014" s="38"/>
      <c r="BA2014" s="38"/>
      <c r="BB2014" s="38"/>
      <c r="BC2014" s="38"/>
      <c r="BD2014" s="38"/>
      <c r="BE2014" s="38"/>
      <c r="BF2014" s="38"/>
      <c r="BG2014" s="38"/>
      <c r="BH2014" s="38"/>
      <c r="BI2014" s="38"/>
      <c r="BJ2014" s="38"/>
      <c r="BK2014" s="38"/>
      <c r="BL2014" s="38"/>
      <c r="BM2014" s="38"/>
      <c r="BN2014" s="38"/>
      <c r="BO2014" s="38"/>
      <c r="BP2014" s="38"/>
      <c r="BQ2014" s="38"/>
    </row>
    <row r="2015">
      <c r="A2015" s="58" t="s">
        <v>5475</v>
      </c>
      <c r="B2015" s="59"/>
      <c r="C2015" s="59">
        <v>43398.0</v>
      </c>
      <c r="D2015" s="60"/>
      <c r="E2015" s="58" t="s">
        <v>41</v>
      </c>
      <c r="F2015" s="58">
        <v>1.0</v>
      </c>
      <c r="G2015" s="58" t="s">
        <v>32</v>
      </c>
      <c r="H2015" s="43">
        <v>1.0</v>
      </c>
      <c r="I2015" s="58" t="s">
        <v>33</v>
      </c>
      <c r="J2015" s="58" t="s">
        <v>75</v>
      </c>
      <c r="K2015" s="58"/>
      <c r="L2015" s="58" t="s">
        <v>76</v>
      </c>
      <c r="M2015" s="80" t="s">
        <v>5476</v>
      </c>
      <c r="N2015" s="80"/>
      <c r="O2015" s="58"/>
      <c r="P2015" s="58"/>
      <c r="Q2015" s="84">
        <v>1.0</v>
      </c>
      <c r="R2015" s="62"/>
      <c r="S2015" s="37"/>
      <c r="T2015" s="38"/>
      <c r="U2015" s="38"/>
      <c r="V2015" s="38" t="s">
        <v>33</v>
      </c>
      <c r="W2015" s="40"/>
      <c r="X2015" s="40"/>
      <c r="Y2015" s="40"/>
      <c r="Z2015" s="38"/>
      <c r="AA2015" s="38"/>
      <c r="AB2015" s="38"/>
      <c r="AC2015" s="38"/>
      <c r="AD2015" s="38"/>
      <c r="AE2015" s="38"/>
      <c r="AF2015" s="38"/>
      <c r="AG2015" s="38"/>
      <c r="AH2015" s="38"/>
      <c r="AI2015" s="38"/>
      <c r="AJ2015" s="38"/>
      <c r="AK2015" s="38"/>
      <c r="AL2015" s="38"/>
      <c r="AM2015" s="38"/>
      <c r="AN2015" s="38"/>
      <c r="AO2015" s="38"/>
      <c r="AP2015" s="38"/>
      <c r="AQ2015" s="38"/>
      <c r="AR2015" s="38"/>
      <c r="AS2015" s="38"/>
      <c r="AT2015" s="38"/>
      <c r="AU2015" s="38"/>
      <c r="AV2015" s="38"/>
      <c r="AW2015" s="38"/>
      <c r="AX2015" s="38"/>
      <c r="AY2015" s="38"/>
      <c r="AZ2015" s="38"/>
      <c r="BA2015" s="38"/>
      <c r="BB2015" s="38"/>
      <c r="BC2015" s="38"/>
      <c r="BD2015" s="38"/>
      <c r="BE2015" s="38"/>
      <c r="BF2015" s="38"/>
      <c r="BG2015" s="38"/>
      <c r="BH2015" s="38"/>
      <c r="BI2015" s="38"/>
      <c r="BJ2015" s="38"/>
      <c r="BK2015" s="38"/>
      <c r="BL2015" s="38"/>
      <c r="BM2015" s="38"/>
      <c r="BN2015" s="38"/>
      <c r="BO2015" s="38"/>
      <c r="BP2015" s="38"/>
      <c r="BQ2015" s="38"/>
    </row>
    <row r="2016">
      <c r="A2016" s="58" t="s">
        <v>239</v>
      </c>
      <c r="B2016" s="59">
        <v>43399.0</v>
      </c>
      <c r="C2016" s="59">
        <v>43398.0</v>
      </c>
      <c r="D2016" s="60" t="s">
        <v>5468</v>
      </c>
      <c r="E2016" s="58" t="s">
        <v>41</v>
      </c>
      <c r="F2016" s="58">
        <v>1.0</v>
      </c>
      <c r="G2016" s="58">
        <v>9.0</v>
      </c>
      <c r="H2016" s="33">
        <f t="shared" ref="H2016:H2019" si="311">if(G2016="Unknown",1,G2016)</f>
        <v>9</v>
      </c>
      <c r="I2016" s="58" t="s">
        <v>33</v>
      </c>
      <c r="J2016" s="58" t="s">
        <v>111</v>
      </c>
      <c r="K2016" s="58">
        <v>1.0</v>
      </c>
      <c r="L2016" s="58" t="s">
        <v>194</v>
      </c>
      <c r="M2016" s="61" t="s">
        <v>5477</v>
      </c>
      <c r="N2016" s="80"/>
      <c r="O2016" s="58"/>
      <c r="P2016" s="58"/>
      <c r="Q2016" s="84"/>
      <c r="R2016" s="62"/>
      <c r="S2016" s="37" t="str">
        <f>IFERROR(__xludf.DUMMYFUNCTION("if(not(iserror(index(split(C2016, "" ""),2))), index(split(C2016, "" ""),1),"""")"),"October")</f>
        <v>October</v>
      </c>
      <c r="T2016" s="38">
        <f>IFERROR(__xludf.DUMMYFUNCTION("if(S2016="""",C2016,if(not(iserror(index(split(C2016, "" ""),3))), index(split(C2016, "" ""),3),index(split(C2016, "" ""),2)))"),2018.0)</f>
        <v>2018</v>
      </c>
      <c r="U2016" s="38" t="b">
        <f t="shared" ref="U2016:U2027" si="312">countif(A$4:A4658, A2016)&gt;1</f>
        <v>1</v>
      </c>
      <c r="V2016" s="38"/>
      <c r="W2016" s="40"/>
      <c r="X2016" s="40"/>
      <c r="Y2016" s="40"/>
      <c r="Z2016" s="38"/>
      <c r="AA2016" s="38"/>
      <c r="AB2016" s="38"/>
      <c r="AC2016" s="38"/>
      <c r="AD2016" s="38"/>
      <c r="AE2016" s="38"/>
      <c r="AF2016" s="38"/>
      <c r="AG2016" s="38"/>
      <c r="AH2016" s="38"/>
      <c r="AI2016" s="38"/>
      <c r="AJ2016" s="38"/>
      <c r="AK2016" s="38"/>
      <c r="AL2016" s="38"/>
      <c r="AM2016" s="38"/>
      <c r="AN2016" s="38"/>
      <c r="AO2016" s="38"/>
      <c r="AP2016" s="38"/>
      <c r="AQ2016" s="38"/>
      <c r="AR2016" s="38"/>
      <c r="AS2016" s="38"/>
      <c r="AT2016" s="38"/>
      <c r="AU2016" s="38"/>
      <c r="AV2016" s="38"/>
      <c r="AW2016" s="38"/>
      <c r="AX2016" s="38"/>
      <c r="AY2016" s="38"/>
      <c r="AZ2016" s="38"/>
      <c r="BA2016" s="38"/>
      <c r="BB2016" s="38"/>
      <c r="BC2016" s="38"/>
      <c r="BD2016" s="38"/>
      <c r="BE2016" s="38"/>
      <c r="BF2016" s="38"/>
      <c r="BG2016" s="38"/>
      <c r="BH2016" s="38"/>
      <c r="BI2016" s="38"/>
      <c r="BJ2016" s="38"/>
      <c r="BK2016" s="38"/>
      <c r="BL2016" s="38"/>
      <c r="BM2016" s="38"/>
      <c r="BN2016" s="38"/>
      <c r="BO2016" s="38"/>
      <c r="BP2016" s="38"/>
      <c r="BQ2016" s="38"/>
    </row>
    <row r="2017">
      <c r="A2017" s="58" t="s">
        <v>239</v>
      </c>
      <c r="B2017" s="59">
        <v>43402.0</v>
      </c>
      <c r="C2017" s="59">
        <v>43400.0</v>
      </c>
      <c r="D2017" s="60" t="s">
        <v>5478</v>
      </c>
      <c r="E2017" s="58" t="s">
        <v>41</v>
      </c>
      <c r="F2017" s="58">
        <v>1.0</v>
      </c>
      <c r="G2017" s="58">
        <v>3.0</v>
      </c>
      <c r="H2017" s="33">
        <f t="shared" si="311"/>
        <v>3</v>
      </c>
      <c r="I2017" s="58" t="s">
        <v>33</v>
      </c>
      <c r="J2017" s="58" t="s">
        <v>241</v>
      </c>
      <c r="K2017" s="58">
        <v>1.0</v>
      </c>
      <c r="L2017" s="58" t="s">
        <v>194</v>
      </c>
      <c r="M2017" s="61" t="s">
        <v>5479</v>
      </c>
      <c r="N2017" s="80"/>
      <c r="O2017" s="58"/>
      <c r="P2017" s="58"/>
      <c r="Q2017" s="84"/>
      <c r="R2017" s="62"/>
      <c r="S2017" s="37" t="str">
        <f>IFERROR(__xludf.DUMMYFUNCTION("if(not(iserror(index(split(C2017, "" ""),2))), index(split(C2017, "" ""),1),"""")"),"October")</f>
        <v>October</v>
      </c>
      <c r="T2017" s="38">
        <f>IFERROR(__xludf.DUMMYFUNCTION("if(S2017="""",C2017,if(not(iserror(index(split(C2017, "" ""),3))), index(split(C2017, "" ""),3),index(split(C2017, "" ""),2)))"),2018.0)</f>
        <v>2018</v>
      </c>
      <c r="U2017" s="38" t="b">
        <f t="shared" si="312"/>
        <v>1</v>
      </c>
      <c r="V2017" s="38"/>
      <c r="W2017" s="40"/>
      <c r="X2017" s="40"/>
      <c r="Y2017" s="40"/>
      <c r="Z2017" s="38"/>
      <c r="AA2017" s="38"/>
      <c r="AB2017" s="38"/>
      <c r="AC2017" s="38"/>
      <c r="AD2017" s="38"/>
      <c r="AE2017" s="38"/>
      <c r="AF2017" s="38"/>
      <c r="AG2017" s="38"/>
      <c r="AH2017" s="38"/>
      <c r="AI2017" s="38"/>
      <c r="AJ2017" s="38"/>
      <c r="AK2017" s="38"/>
      <c r="AL2017" s="38"/>
      <c r="AM2017" s="38"/>
      <c r="AN2017" s="38"/>
      <c r="AO2017" s="38"/>
      <c r="AP2017" s="38"/>
      <c r="AQ2017" s="38"/>
      <c r="AR2017" s="38"/>
      <c r="AS2017" s="38"/>
      <c r="AT2017" s="38"/>
      <c r="AU2017" s="38"/>
      <c r="AV2017" s="38"/>
      <c r="AW2017" s="38"/>
      <c r="AX2017" s="38"/>
      <c r="AY2017" s="38"/>
      <c r="AZ2017" s="38"/>
      <c r="BA2017" s="38"/>
      <c r="BB2017" s="38"/>
      <c r="BC2017" s="38"/>
      <c r="BD2017" s="38"/>
      <c r="BE2017" s="38"/>
      <c r="BF2017" s="38"/>
      <c r="BG2017" s="38"/>
      <c r="BH2017" s="38"/>
      <c r="BI2017" s="38"/>
      <c r="BJ2017" s="38"/>
      <c r="BK2017" s="38"/>
      <c r="BL2017" s="38"/>
      <c r="BM2017" s="38"/>
      <c r="BN2017" s="38"/>
      <c r="BO2017" s="38"/>
      <c r="BP2017" s="38"/>
      <c r="BQ2017" s="38"/>
    </row>
    <row r="2018">
      <c r="A2018" s="58" t="s">
        <v>5480</v>
      </c>
      <c r="B2018" s="59">
        <v>43403.0</v>
      </c>
      <c r="C2018" s="59">
        <v>43403.0</v>
      </c>
      <c r="D2018" s="60" t="s">
        <v>5481</v>
      </c>
      <c r="E2018" s="58" t="s">
        <v>41</v>
      </c>
      <c r="F2018" s="58">
        <v>1.0</v>
      </c>
      <c r="G2018" s="58" t="s">
        <v>32</v>
      </c>
      <c r="H2018" s="33">
        <f t="shared" si="311"/>
        <v>1</v>
      </c>
      <c r="I2018" s="58" t="s">
        <v>33</v>
      </c>
      <c r="J2018" s="58" t="s">
        <v>124</v>
      </c>
      <c r="K2018" s="58">
        <v>1.0</v>
      </c>
      <c r="L2018" s="58" t="s">
        <v>790</v>
      </c>
      <c r="M2018" s="61" t="s">
        <v>5482</v>
      </c>
      <c r="N2018" s="120" t="s">
        <v>5483</v>
      </c>
      <c r="O2018" s="58"/>
      <c r="P2018" s="58"/>
      <c r="Q2018" s="58"/>
      <c r="R2018" s="62"/>
      <c r="S2018" s="37" t="str">
        <f>IFERROR(__xludf.DUMMYFUNCTION("if(not(iserror(index(split(C2018, "" ""),2))), index(split(C2018, "" ""),1),"""")"),"October")</f>
        <v>October</v>
      </c>
      <c r="T2018" s="38">
        <f>IFERROR(__xludf.DUMMYFUNCTION("if(S2018="""",C2018,if(not(iserror(index(split(C2018, "" ""),3))), index(split(C2018, "" ""),3),index(split(C2018, "" ""),2)))"),2018.0)</f>
        <v>2018</v>
      </c>
      <c r="U2018" s="38" t="b">
        <f t="shared" si="312"/>
        <v>0</v>
      </c>
      <c r="V2018" s="38"/>
      <c r="W2018" s="40"/>
      <c r="X2018" s="40"/>
      <c r="Y2018" s="40"/>
      <c r="Z2018" s="38"/>
      <c r="AA2018" s="38"/>
      <c r="AB2018" s="38"/>
      <c r="AC2018" s="38"/>
      <c r="AD2018" s="38"/>
      <c r="AE2018" s="38"/>
      <c r="AF2018" s="38"/>
      <c r="AG2018" s="38"/>
      <c r="AH2018" s="38"/>
      <c r="AI2018" s="38"/>
      <c r="AJ2018" s="38"/>
      <c r="AK2018" s="38"/>
      <c r="AL2018" s="38"/>
      <c r="AM2018" s="38"/>
      <c r="AN2018" s="38"/>
      <c r="AO2018" s="38"/>
      <c r="AP2018" s="38"/>
      <c r="AQ2018" s="38"/>
      <c r="AR2018" s="38"/>
      <c r="AS2018" s="38"/>
      <c r="AT2018" s="38"/>
      <c r="AU2018" s="38"/>
      <c r="AV2018" s="38"/>
      <c r="AW2018" s="38"/>
      <c r="AX2018" s="38"/>
      <c r="AY2018" s="38"/>
      <c r="AZ2018" s="38"/>
      <c r="BA2018" s="38"/>
      <c r="BB2018" s="38"/>
      <c r="BC2018" s="38"/>
      <c r="BD2018" s="38"/>
      <c r="BE2018" s="38"/>
      <c r="BF2018" s="38"/>
      <c r="BG2018" s="38"/>
      <c r="BH2018" s="38"/>
      <c r="BI2018" s="38"/>
      <c r="BJ2018" s="38"/>
      <c r="BK2018" s="38"/>
      <c r="BL2018" s="38"/>
      <c r="BM2018" s="38"/>
      <c r="BN2018" s="38"/>
      <c r="BO2018" s="38"/>
      <c r="BP2018" s="38"/>
      <c r="BQ2018" s="38"/>
    </row>
    <row r="2019">
      <c r="A2019" s="58" t="s">
        <v>5484</v>
      </c>
      <c r="B2019" s="59">
        <v>43404.0</v>
      </c>
      <c r="C2019" s="59">
        <v>43403.0</v>
      </c>
      <c r="D2019" s="60" t="s">
        <v>5481</v>
      </c>
      <c r="E2019" s="58" t="s">
        <v>41</v>
      </c>
      <c r="F2019" s="58">
        <v>1.0</v>
      </c>
      <c r="G2019" s="58" t="s">
        <v>32</v>
      </c>
      <c r="H2019" s="33">
        <f t="shared" si="311"/>
        <v>1</v>
      </c>
      <c r="I2019" s="58" t="s">
        <v>33</v>
      </c>
      <c r="J2019" s="58" t="s">
        <v>124</v>
      </c>
      <c r="K2019" s="58">
        <v>3.0</v>
      </c>
      <c r="L2019" s="58" t="s">
        <v>99</v>
      </c>
      <c r="M2019" s="61" t="s">
        <v>5485</v>
      </c>
      <c r="N2019" s="61" t="s">
        <v>5486</v>
      </c>
      <c r="O2019" s="88" t="str">
        <f>hyperlink("https://bad-boys.us/?q=ND-OH/1:18-cr-00702", "ND-OH 1:18-cr-00702")</f>
        <v>ND-OH 1:18-cr-00702</v>
      </c>
      <c r="P2019" s="88" t="s">
        <v>5487</v>
      </c>
      <c r="Q2019" s="84">
        <v>1.0</v>
      </c>
      <c r="R2019" s="62"/>
      <c r="S2019" s="37" t="str">
        <f>IFERROR(__xludf.DUMMYFUNCTION("if(not(iserror(index(split(C2019, "" ""),2))), index(split(C2019, "" ""),1),"""")"),"October")</f>
        <v>October</v>
      </c>
      <c r="T2019" s="38">
        <f>IFERROR(__xludf.DUMMYFUNCTION("if(S2019="""",C2019,if(not(iserror(index(split(C2019, "" ""),3))), index(split(C2019, "" ""),3),index(split(C2019, "" ""),2)))"),2018.0)</f>
        <v>2018</v>
      </c>
      <c r="U2019" s="38" t="b">
        <f t="shared" si="312"/>
        <v>0</v>
      </c>
      <c r="V2019" s="38"/>
      <c r="W2019" s="40"/>
      <c r="X2019" s="40"/>
      <c r="Y2019" s="40"/>
      <c r="Z2019" s="38"/>
      <c r="AA2019" s="38"/>
      <c r="AB2019" s="38"/>
      <c r="AC2019" s="38"/>
      <c r="AD2019" s="38"/>
      <c r="AE2019" s="38"/>
      <c r="AF2019" s="38"/>
      <c r="AG2019" s="38"/>
      <c r="AH2019" s="38"/>
      <c r="AI2019" s="38"/>
      <c r="AJ2019" s="38"/>
      <c r="AK2019" s="38"/>
      <c r="AL2019" s="38"/>
      <c r="AM2019" s="38"/>
      <c r="AN2019" s="38"/>
      <c r="AO2019" s="38"/>
      <c r="AP2019" s="38"/>
      <c r="AQ2019" s="38"/>
      <c r="AR2019" s="38"/>
      <c r="AS2019" s="38"/>
      <c r="AT2019" s="38"/>
      <c r="AU2019" s="38"/>
      <c r="AV2019" s="38"/>
      <c r="AW2019" s="38"/>
      <c r="AX2019" s="38"/>
      <c r="AY2019" s="38"/>
      <c r="AZ2019" s="38"/>
      <c r="BA2019" s="38"/>
      <c r="BB2019" s="38"/>
      <c r="BC2019" s="38"/>
      <c r="BD2019" s="38"/>
      <c r="BE2019" s="38"/>
      <c r="BF2019" s="38"/>
      <c r="BG2019" s="38"/>
      <c r="BH2019" s="38"/>
      <c r="BI2019" s="38"/>
      <c r="BJ2019" s="38"/>
      <c r="BK2019" s="38"/>
      <c r="BL2019" s="38"/>
      <c r="BM2019" s="38"/>
      <c r="BN2019" s="38"/>
      <c r="BO2019" s="38"/>
      <c r="BP2019" s="38"/>
      <c r="BQ2019" s="38"/>
    </row>
    <row r="2020">
      <c r="A2020" s="58" t="s">
        <v>5488</v>
      </c>
      <c r="B2020" s="59"/>
      <c r="C2020" s="59">
        <v>43403.0</v>
      </c>
      <c r="D2020" s="60"/>
      <c r="E2020" s="58" t="s">
        <v>31</v>
      </c>
      <c r="F2020" s="58">
        <v>1.0</v>
      </c>
      <c r="G2020" s="58" t="s">
        <v>32</v>
      </c>
      <c r="H2020" s="43">
        <v>1.0</v>
      </c>
      <c r="I2020" s="58" t="s">
        <v>33</v>
      </c>
      <c r="J2020" s="58" t="s">
        <v>47</v>
      </c>
      <c r="K2020" s="58"/>
      <c r="L2020" s="58" t="s">
        <v>119</v>
      </c>
      <c r="M2020" s="46" t="s">
        <v>5489</v>
      </c>
      <c r="N2020" s="46" t="s">
        <v>5490</v>
      </c>
      <c r="O2020" s="58"/>
      <c r="P2020" s="58"/>
      <c r="Q2020" s="58"/>
      <c r="R2020" s="62"/>
      <c r="S2020" s="37" t="str">
        <f>IFERROR(__xludf.DUMMYFUNCTION("if(not(iserror(index(split(C2020, "" ""),2))), index(split(C2020, "" ""),1),"""")"),"October")</f>
        <v>October</v>
      </c>
      <c r="T2020" s="38">
        <f>IFERROR(__xludf.DUMMYFUNCTION("if(S2020="""",C2020,if(not(iserror(index(split(C2020, "" ""),3))), index(split(C2020, "" ""),3),index(split(C2020, "" ""),2)))"),2018.0)</f>
        <v>2018</v>
      </c>
      <c r="U2020" s="38" t="b">
        <f t="shared" si="312"/>
        <v>0</v>
      </c>
      <c r="V2020" s="38" t="s">
        <v>33</v>
      </c>
      <c r="W2020" s="46" t="s">
        <v>5491</v>
      </c>
      <c r="X2020" s="46" t="s">
        <v>5492</v>
      </c>
      <c r="Y2020" s="40"/>
      <c r="Z2020" s="38"/>
      <c r="AA2020" s="38"/>
      <c r="AB2020" s="38"/>
      <c r="AC2020" s="38"/>
      <c r="AD2020" s="38"/>
      <c r="AE2020" s="38"/>
      <c r="AF2020" s="38"/>
      <c r="AG2020" s="38"/>
      <c r="AH2020" s="38"/>
      <c r="AI2020" s="38"/>
      <c r="AJ2020" s="38"/>
      <c r="AK2020" s="38"/>
      <c r="AL2020" s="38"/>
      <c r="AM2020" s="38"/>
      <c r="AN2020" s="38"/>
      <c r="AO2020" s="38"/>
      <c r="AP2020" s="38"/>
      <c r="AQ2020" s="38"/>
      <c r="AR2020" s="38"/>
      <c r="AS2020" s="38"/>
      <c r="AT2020" s="38"/>
      <c r="AU2020" s="38"/>
      <c r="AV2020" s="38"/>
      <c r="AW2020" s="38"/>
      <c r="AX2020" s="38"/>
      <c r="AY2020" s="38"/>
      <c r="AZ2020" s="38"/>
      <c r="BA2020" s="38"/>
      <c r="BB2020" s="38"/>
      <c r="BC2020" s="38"/>
      <c r="BD2020" s="38"/>
      <c r="BE2020" s="38"/>
      <c r="BF2020" s="38"/>
      <c r="BG2020" s="38"/>
      <c r="BH2020" s="38"/>
      <c r="BI2020" s="38"/>
      <c r="BJ2020" s="38"/>
      <c r="BK2020" s="38"/>
      <c r="BL2020" s="38"/>
      <c r="BM2020" s="38"/>
      <c r="BN2020" s="38"/>
      <c r="BO2020" s="38"/>
      <c r="BP2020" s="38"/>
      <c r="BQ2020" s="38"/>
    </row>
    <row r="2021">
      <c r="A2021" s="58" t="s">
        <v>239</v>
      </c>
      <c r="B2021" s="59">
        <v>43406.0</v>
      </c>
      <c r="C2021" s="59">
        <v>43403.0</v>
      </c>
      <c r="D2021" s="60" t="s">
        <v>5481</v>
      </c>
      <c r="E2021" s="58" t="s">
        <v>41</v>
      </c>
      <c r="F2021" s="58">
        <v>1.0</v>
      </c>
      <c r="G2021" s="58">
        <v>1.0</v>
      </c>
      <c r="H2021" s="33">
        <f t="shared" ref="H2021:H2023" si="313">if(G2021="Unknown",1,G2021)</f>
        <v>1</v>
      </c>
      <c r="I2021" s="58" t="s">
        <v>33</v>
      </c>
      <c r="J2021" s="58" t="s">
        <v>241</v>
      </c>
      <c r="K2021" s="58">
        <v>1.0</v>
      </c>
      <c r="L2021" s="58" t="s">
        <v>194</v>
      </c>
      <c r="M2021" s="61" t="s">
        <v>5493</v>
      </c>
      <c r="N2021" s="80"/>
      <c r="O2021" s="58"/>
      <c r="P2021" s="58"/>
      <c r="Q2021" s="84"/>
      <c r="R2021" s="62"/>
      <c r="S2021" s="37" t="str">
        <f>IFERROR(__xludf.DUMMYFUNCTION("if(not(iserror(index(split(C2021, "" ""),2))), index(split(C2021, "" ""),1),"""")"),"October")</f>
        <v>October</v>
      </c>
      <c r="T2021" s="38">
        <f>IFERROR(__xludf.DUMMYFUNCTION("if(S2021="""",C2021,if(not(iserror(index(split(C2021, "" ""),3))), index(split(C2021, "" ""),3),index(split(C2021, "" ""),2)))"),2018.0)</f>
        <v>2018</v>
      </c>
      <c r="U2021" s="38" t="b">
        <f t="shared" si="312"/>
        <v>1</v>
      </c>
      <c r="V2021" s="38"/>
      <c r="W2021" s="40"/>
      <c r="X2021" s="40"/>
      <c r="Y2021" s="40"/>
      <c r="Z2021" s="38"/>
      <c r="AA2021" s="38"/>
      <c r="AB2021" s="38"/>
      <c r="AC2021" s="38"/>
      <c r="AD2021" s="38"/>
      <c r="AE2021" s="38"/>
      <c r="AF2021" s="38"/>
      <c r="AG2021" s="38"/>
      <c r="AH2021" s="38"/>
      <c r="AI2021" s="38"/>
      <c r="AJ2021" s="38"/>
      <c r="AK2021" s="38"/>
      <c r="AL2021" s="38"/>
      <c r="AM2021" s="38"/>
      <c r="AN2021" s="38"/>
      <c r="AO2021" s="38"/>
      <c r="AP2021" s="38"/>
      <c r="AQ2021" s="38"/>
      <c r="AR2021" s="38"/>
      <c r="AS2021" s="38"/>
      <c r="AT2021" s="38"/>
      <c r="AU2021" s="38"/>
      <c r="AV2021" s="38"/>
      <c r="AW2021" s="38"/>
      <c r="AX2021" s="38"/>
      <c r="AY2021" s="38"/>
      <c r="AZ2021" s="38"/>
      <c r="BA2021" s="38"/>
      <c r="BB2021" s="38"/>
      <c r="BC2021" s="38"/>
      <c r="BD2021" s="38"/>
      <c r="BE2021" s="38"/>
      <c r="BF2021" s="38"/>
      <c r="BG2021" s="38"/>
      <c r="BH2021" s="38"/>
      <c r="BI2021" s="38"/>
      <c r="BJ2021" s="38"/>
      <c r="BK2021" s="38"/>
      <c r="BL2021" s="38"/>
      <c r="BM2021" s="38"/>
      <c r="BN2021" s="38"/>
      <c r="BO2021" s="38"/>
      <c r="BP2021" s="38"/>
      <c r="BQ2021" s="38"/>
    </row>
    <row r="2022">
      <c r="A2022" s="58" t="s">
        <v>5494</v>
      </c>
      <c r="B2022" s="59">
        <v>43404.0</v>
      </c>
      <c r="C2022" s="59">
        <v>43404.0</v>
      </c>
      <c r="D2022" s="60" t="s">
        <v>5495</v>
      </c>
      <c r="E2022" s="58" t="s">
        <v>41</v>
      </c>
      <c r="F2022" s="58">
        <v>1.0</v>
      </c>
      <c r="G2022" s="58" t="s">
        <v>32</v>
      </c>
      <c r="H2022" s="33">
        <f t="shared" si="313"/>
        <v>1</v>
      </c>
      <c r="I2022" s="58" t="s">
        <v>33</v>
      </c>
      <c r="J2022" s="58" t="s">
        <v>93</v>
      </c>
      <c r="K2022" s="58">
        <v>2.0</v>
      </c>
      <c r="L2022" s="58" t="s">
        <v>76</v>
      </c>
      <c r="M2022" s="61" t="s">
        <v>5496</v>
      </c>
      <c r="N2022" s="61" t="s">
        <v>5497</v>
      </c>
      <c r="O2022" s="58"/>
      <c r="P2022" s="62"/>
      <c r="Q2022" s="58"/>
      <c r="R2022" s="62"/>
      <c r="S2022" s="37" t="str">
        <f>IFERROR(__xludf.DUMMYFUNCTION("if(not(iserror(index(split(C2022, "" ""),2))), index(split(C2022, "" ""),1),"""")"),"October")</f>
        <v>October</v>
      </c>
      <c r="T2022" s="38">
        <f>IFERROR(__xludf.DUMMYFUNCTION("if(S2022="""",C2022,if(not(iserror(index(split(C2022, "" ""),3))), index(split(C2022, "" ""),3),index(split(C2022, "" ""),2)))"),2018.0)</f>
        <v>2018</v>
      </c>
      <c r="U2022" s="38" t="b">
        <f t="shared" si="312"/>
        <v>0</v>
      </c>
      <c r="V2022" s="38"/>
      <c r="W2022" s="40"/>
      <c r="X2022" s="40"/>
      <c r="Y2022" s="40"/>
      <c r="Z2022" s="38"/>
      <c r="AA2022" s="38"/>
      <c r="AB2022" s="38"/>
      <c r="AC2022" s="38"/>
      <c r="AD2022" s="38"/>
      <c r="AE2022" s="38"/>
      <c r="AF2022" s="38"/>
      <c r="AG2022" s="38"/>
      <c r="AH2022" s="38"/>
      <c r="AI2022" s="38"/>
      <c r="AJ2022" s="38"/>
      <c r="AK2022" s="38"/>
      <c r="AL2022" s="38"/>
      <c r="AM2022" s="38"/>
      <c r="AN2022" s="38"/>
      <c r="AO2022" s="38"/>
      <c r="AP2022" s="38"/>
      <c r="AQ2022" s="38"/>
      <c r="AR2022" s="38"/>
      <c r="AS2022" s="38"/>
      <c r="AT2022" s="38"/>
      <c r="AU2022" s="38"/>
      <c r="AV2022" s="38"/>
      <c r="AW2022" s="38"/>
      <c r="AX2022" s="38"/>
      <c r="AY2022" s="38"/>
      <c r="AZ2022" s="38"/>
      <c r="BA2022" s="38"/>
      <c r="BB2022" s="38"/>
      <c r="BC2022" s="38"/>
      <c r="BD2022" s="38"/>
      <c r="BE2022" s="38"/>
      <c r="BF2022" s="38"/>
      <c r="BG2022" s="38"/>
      <c r="BH2022" s="38"/>
      <c r="BI2022" s="38"/>
      <c r="BJ2022" s="38"/>
      <c r="BK2022" s="38"/>
      <c r="BL2022" s="38"/>
      <c r="BM2022" s="38"/>
      <c r="BN2022" s="38"/>
      <c r="BO2022" s="38"/>
      <c r="BP2022" s="38"/>
      <c r="BQ2022" s="38"/>
    </row>
    <row r="2023">
      <c r="A2023" s="58" t="s">
        <v>5498</v>
      </c>
      <c r="B2023" s="59">
        <v>43405.0</v>
      </c>
      <c r="C2023" s="59">
        <v>43404.0</v>
      </c>
      <c r="D2023" s="60" t="s">
        <v>5495</v>
      </c>
      <c r="E2023" s="58" t="s">
        <v>41</v>
      </c>
      <c r="F2023" s="58">
        <v>1.0</v>
      </c>
      <c r="G2023" s="58" t="s">
        <v>32</v>
      </c>
      <c r="H2023" s="33">
        <f t="shared" si="313"/>
        <v>1</v>
      </c>
      <c r="I2023" s="58" t="s">
        <v>33</v>
      </c>
      <c r="J2023" s="58" t="s">
        <v>93</v>
      </c>
      <c r="K2023" s="58">
        <v>2.0</v>
      </c>
      <c r="L2023" s="58" t="s">
        <v>52</v>
      </c>
      <c r="M2023" s="61" t="s">
        <v>5499</v>
      </c>
      <c r="N2023" s="80"/>
      <c r="O2023" s="140" t="str">
        <f>hyperlink("https://bad-boys.us/?q=SD-NY/1:18-mj-09293", "SD-NY 1:18-mj-09293")</f>
        <v>SD-NY 1:18-mj-09293</v>
      </c>
      <c r="P2023" s="140" t="s">
        <v>5500</v>
      </c>
      <c r="Q2023" s="58">
        <v>1.0</v>
      </c>
      <c r="R2023" s="62"/>
      <c r="S2023" s="37" t="str">
        <f>IFERROR(__xludf.DUMMYFUNCTION("if(not(iserror(index(split(C2023, "" ""),2))), index(split(C2023, "" ""),1),"""")"),"October")</f>
        <v>October</v>
      </c>
      <c r="T2023" s="38">
        <f>IFERROR(__xludf.DUMMYFUNCTION("if(S2023="""",C2023,if(not(iserror(index(split(C2023, "" ""),3))), index(split(C2023, "" ""),3),index(split(C2023, "" ""),2)))"),2018.0)</f>
        <v>2018</v>
      </c>
      <c r="U2023" s="38" t="b">
        <f t="shared" si="312"/>
        <v>0</v>
      </c>
      <c r="V2023" s="38"/>
      <c r="W2023" s="40"/>
      <c r="X2023" s="40"/>
      <c r="Y2023" s="40"/>
      <c r="Z2023" s="38"/>
      <c r="AA2023" s="38"/>
      <c r="AB2023" s="38"/>
      <c r="AC2023" s="38"/>
      <c r="AD2023" s="38"/>
      <c r="AE2023" s="38"/>
      <c r="AF2023" s="38"/>
      <c r="AG2023" s="38"/>
      <c r="AH2023" s="38"/>
      <c r="AI2023" s="38"/>
      <c r="AJ2023" s="38"/>
      <c r="AK2023" s="38"/>
      <c r="AL2023" s="38"/>
      <c r="AM2023" s="38"/>
      <c r="AN2023" s="38"/>
      <c r="AO2023" s="38"/>
      <c r="AP2023" s="38"/>
      <c r="AQ2023" s="38"/>
      <c r="AR2023" s="38"/>
      <c r="AS2023" s="38"/>
      <c r="AT2023" s="38"/>
      <c r="AU2023" s="38"/>
      <c r="AV2023" s="38"/>
      <c r="AW2023" s="38"/>
      <c r="AX2023" s="38"/>
      <c r="AY2023" s="38"/>
      <c r="AZ2023" s="38"/>
      <c r="BA2023" s="38"/>
      <c r="BB2023" s="38"/>
      <c r="BC2023" s="38"/>
      <c r="BD2023" s="38"/>
      <c r="BE2023" s="38"/>
      <c r="BF2023" s="38"/>
      <c r="BG2023" s="38"/>
      <c r="BH2023" s="38"/>
      <c r="BI2023" s="38"/>
      <c r="BJ2023" s="38"/>
      <c r="BK2023" s="38"/>
      <c r="BL2023" s="38"/>
      <c r="BM2023" s="38"/>
      <c r="BN2023" s="38"/>
      <c r="BO2023" s="38"/>
      <c r="BP2023" s="38"/>
      <c r="BQ2023" s="38"/>
    </row>
    <row r="2024">
      <c r="A2024" s="58" t="s">
        <v>5501</v>
      </c>
      <c r="B2024" s="59"/>
      <c r="C2024" s="79">
        <v>43405.0</v>
      </c>
      <c r="D2024" s="60"/>
      <c r="E2024" s="58" t="s">
        <v>41</v>
      </c>
      <c r="F2024" s="58">
        <v>1.0</v>
      </c>
      <c r="G2024" s="58" t="s">
        <v>32</v>
      </c>
      <c r="H2024" s="43">
        <v>1.0</v>
      </c>
      <c r="I2024" s="58" t="s">
        <v>33</v>
      </c>
      <c r="J2024" s="58" t="s">
        <v>47</v>
      </c>
      <c r="K2024" s="58"/>
      <c r="L2024" s="58" t="s">
        <v>5502</v>
      </c>
      <c r="M2024" s="46" t="s">
        <v>5503</v>
      </c>
      <c r="N2024" s="46" t="s">
        <v>5504</v>
      </c>
      <c r="O2024" s="58"/>
      <c r="P2024" s="58"/>
      <c r="Q2024" s="58"/>
      <c r="R2024" s="62"/>
      <c r="S2024" s="37" t="str">
        <f>IFERROR(__xludf.DUMMYFUNCTION("if(not(iserror(index(split(C2024, "" ""),2))), index(split(C2024, "" ""),1),"""")"),"November,")</f>
        <v>November,</v>
      </c>
      <c r="T2024" s="38">
        <f>IFERROR(__xludf.DUMMYFUNCTION("if(S2024="""",C2024,if(not(iserror(index(split(C2024, "" ""),3))), index(split(C2024, "" ""),3),index(split(C2024, "" ""),2)))"),2018.0)</f>
        <v>2018</v>
      </c>
      <c r="U2024" s="38" t="b">
        <f t="shared" si="312"/>
        <v>0</v>
      </c>
      <c r="V2024" s="38" t="s">
        <v>33</v>
      </c>
      <c r="W2024" s="40"/>
      <c r="X2024" s="40"/>
      <c r="Y2024" s="40"/>
      <c r="Z2024" s="38"/>
      <c r="AA2024" s="38"/>
      <c r="AB2024" s="38"/>
      <c r="AC2024" s="38"/>
      <c r="AD2024" s="38"/>
      <c r="AE2024" s="38"/>
      <c r="AF2024" s="38"/>
      <c r="AG2024" s="38"/>
      <c r="AH2024" s="38"/>
      <c r="AI2024" s="38"/>
      <c r="AJ2024" s="38"/>
      <c r="AK2024" s="38"/>
      <c r="AL2024" s="38"/>
      <c r="AM2024" s="38"/>
      <c r="AN2024" s="38"/>
      <c r="AO2024" s="38"/>
      <c r="AP2024" s="38"/>
      <c r="AQ2024" s="38"/>
      <c r="AR2024" s="38"/>
      <c r="AS2024" s="38"/>
      <c r="AT2024" s="38"/>
      <c r="AU2024" s="38"/>
      <c r="AV2024" s="38"/>
      <c r="AW2024" s="38"/>
      <c r="AX2024" s="38"/>
      <c r="AY2024" s="38"/>
      <c r="AZ2024" s="38"/>
      <c r="BA2024" s="38"/>
      <c r="BB2024" s="38"/>
      <c r="BC2024" s="38"/>
      <c r="BD2024" s="38"/>
      <c r="BE2024" s="38"/>
      <c r="BF2024" s="38"/>
      <c r="BG2024" s="38"/>
      <c r="BH2024" s="38"/>
      <c r="BI2024" s="38"/>
      <c r="BJ2024" s="38"/>
      <c r="BK2024" s="38"/>
      <c r="BL2024" s="38"/>
      <c r="BM2024" s="38"/>
      <c r="BN2024" s="38"/>
      <c r="BO2024" s="38"/>
      <c r="BP2024" s="38"/>
      <c r="BQ2024" s="38"/>
    </row>
    <row r="2025">
      <c r="A2025" s="58" t="s">
        <v>5505</v>
      </c>
      <c r="B2025" s="59">
        <v>43406.0</v>
      </c>
      <c r="C2025" s="79">
        <v>43405.0</v>
      </c>
      <c r="D2025" s="60" t="s">
        <v>3450</v>
      </c>
      <c r="E2025" s="58" t="s">
        <v>41</v>
      </c>
      <c r="F2025" s="58">
        <v>1.0</v>
      </c>
      <c r="G2025" s="58" t="s">
        <v>32</v>
      </c>
      <c r="H2025" s="43">
        <v>1.0</v>
      </c>
      <c r="I2025" s="58" t="s">
        <v>33</v>
      </c>
      <c r="J2025" s="58" t="s">
        <v>115</v>
      </c>
      <c r="K2025" s="58">
        <v>2.0</v>
      </c>
      <c r="L2025" s="58" t="s">
        <v>119</v>
      </c>
      <c r="M2025" s="80" t="s">
        <v>5506</v>
      </c>
      <c r="N2025" s="80"/>
      <c r="O2025" s="88" t="str">
        <f>hyperlink("https://bad-boys.us/?q=WD-PA/2:18-cr-00290", "WD-PA 2:18-cr-00290")</f>
        <v>WD-PA 2:18-cr-00290</v>
      </c>
      <c r="P2025" s="88" t="s">
        <v>5507</v>
      </c>
      <c r="Q2025" s="58">
        <v>1.0</v>
      </c>
      <c r="R2025" s="62"/>
      <c r="S2025" s="37" t="str">
        <f>IFERROR(__xludf.DUMMYFUNCTION("if(not(iserror(index(split(C2025, "" ""),2))), index(split(C2025, "" ""),1),"""")"),"November,")</f>
        <v>November,</v>
      </c>
      <c r="T2025" s="38">
        <f>IFERROR(__xludf.DUMMYFUNCTION("if(S2025="""",C2025,if(not(iserror(index(split(C2025, "" ""),3))), index(split(C2025, "" ""),3),index(split(C2025, "" ""),2)))"),2018.0)</f>
        <v>2018</v>
      </c>
      <c r="U2025" s="38" t="b">
        <f t="shared" si="312"/>
        <v>0</v>
      </c>
      <c r="V2025" s="38"/>
      <c r="W2025" s="40"/>
      <c r="X2025" s="40"/>
      <c r="Y2025" s="40"/>
      <c r="Z2025" s="38"/>
      <c r="AA2025" s="38"/>
      <c r="AB2025" s="38"/>
      <c r="AC2025" s="38"/>
      <c r="AD2025" s="38"/>
      <c r="AE2025" s="38"/>
      <c r="AF2025" s="38"/>
      <c r="AG2025" s="38"/>
      <c r="AH2025" s="38"/>
      <c r="AI2025" s="38"/>
      <c r="AJ2025" s="38"/>
      <c r="AK2025" s="38"/>
      <c r="AL2025" s="38"/>
      <c r="AM2025" s="38"/>
      <c r="AN2025" s="38"/>
      <c r="AO2025" s="38"/>
      <c r="AP2025" s="38"/>
      <c r="AQ2025" s="38"/>
      <c r="AR2025" s="38"/>
      <c r="AS2025" s="38"/>
      <c r="AT2025" s="38"/>
      <c r="AU2025" s="38"/>
      <c r="AV2025" s="38"/>
      <c r="AW2025" s="38"/>
      <c r="AX2025" s="38"/>
      <c r="AY2025" s="38"/>
      <c r="AZ2025" s="38"/>
      <c r="BA2025" s="38"/>
      <c r="BB2025" s="38"/>
      <c r="BC2025" s="38"/>
      <c r="BD2025" s="38"/>
      <c r="BE2025" s="38"/>
      <c r="BF2025" s="38"/>
      <c r="BG2025" s="38"/>
      <c r="BH2025" s="38"/>
      <c r="BI2025" s="38"/>
      <c r="BJ2025" s="38"/>
      <c r="BK2025" s="38"/>
      <c r="BL2025" s="38"/>
      <c r="BM2025" s="38"/>
      <c r="BN2025" s="38"/>
      <c r="BO2025" s="38"/>
      <c r="BP2025" s="38"/>
      <c r="BQ2025" s="38"/>
    </row>
    <row r="2026">
      <c r="A2026" s="58" t="s">
        <v>5508</v>
      </c>
      <c r="B2026" s="59"/>
      <c r="C2026" s="79">
        <v>43405.0</v>
      </c>
      <c r="D2026" s="60"/>
      <c r="E2026" s="58" t="s">
        <v>41</v>
      </c>
      <c r="F2026" s="58">
        <v>1.0</v>
      </c>
      <c r="G2026" s="58" t="s">
        <v>32</v>
      </c>
      <c r="H2026" s="43">
        <v>1.0</v>
      </c>
      <c r="I2026" s="58" t="s">
        <v>33</v>
      </c>
      <c r="J2026" s="58" t="s">
        <v>132</v>
      </c>
      <c r="K2026" s="58"/>
      <c r="L2026" s="58" t="s">
        <v>76</v>
      </c>
      <c r="M2026" s="227" t="s">
        <v>4853</v>
      </c>
      <c r="N2026" s="80"/>
      <c r="O2026" s="58"/>
      <c r="P2026" s="58"/>
      <c r="Q2026" s="58"/>
      <c r="R2026" s="62"/>
      <c r="S2026" s="37"/>
      <c r="T2026" s="38"/>
      <c r="U2026" s="38" t="b">
        <f t="shared" si="312"/>
        <v>0</v>
      </c>
      <c r="V2026" s="38" t="s">
        <v>33</v>
      </c>
      <c r="W2026" s="40"/>
      <c r="X2026" s="40"/>
      <c r="Y2026" s="40"/>
      <c r="Z2026" s="38"/>
      <c r="AA2026" s="38"/>
      <c r="AB2026" s="38"/>
      <c r="AC2026" s="38"/>
      <c r="AD2026" s="38"/>
      <c r="AE2026" s="38"/>
      <c r="AF2026" s="38"/>
      <c r="AG2026" s="38"/>
      <c r="AH2026" s="38"/>
      <c r="AI2026" s="38"/>
      <c r="AJ2026" s="38"/>
      <c r="AK2026" s="38"/>
      <c r="AL2026" s="38"/>
      <c r="AM2026" s="38"/>
      <c r="AN2026" s="38"/>
      <c r="AO2026" s="38"/>
      <c r="AP2026" s="38"/>
      <c r="AQ2026" s="38"/>
      <c r="AR2026" s="38"/>
      <c r="AS2026" s="38"/>
      <c r="AT2026" s="38"/>
      <c r="AU2026" s="38"/>
      <c r="AV2026" s="38"/>
      <c r="AW2026" s="38"/>
      <c r="AX2026" s="38"/>
      <c r="AY2026" s="38"/>
      <c r="AZ2026" s="38"/>
      <c r="BA2026" s="38"/>
      <c r="BB2026" s="38"/>
      <c r="BC2026" s="38"/>
      <c r="BD2026" s="38"/>
      <c r="BE2026" s="38"/>
      <c r="BF2026" s="38"/>
      <c r="BG2026" s="38"/>
      <c r="BH2026" s="38"/>
      <c r="BI2026" s="38"/>
      <c r="BJ2026" s="38"/>
      <c r="BK2026" s="38"/>
      <c r="BL2026" s="38"/>
      <c r="BM2026" s="38"/>
      <c r="BN2026" s="38"/>
      <c r="BO2026" s="38"/>
      <c r="BP2026" s="38"/>
      <c r="BQ2026" s="38"/>
    </row>
    <row r="2027">
      <c r="A2027" s="58" t="s">
        <v>5509</v>
      </c>
      <c r="B2027" s="59">
        <v>43411.0</v>
      </c>
      <c r="C2027" s="79">
        <v>43405.0</v>
      </c>
      <c r="D2027" s="60" t="s">
        <v>3450</v>
      </c>
      <c r="E2027" s="58" t="s">
        <v>31</v>
      </c>
      <c r="F2027" s="58">
        <v>1.0</v>
      </c>
      <c r="G2027" s="58" t="s">
        <v>32</v>
      </c>
      <c r="H2027" s="33">
        <f>if(G2027="Unknown",1,G2027)</f>
        <v>1</v>
      </c>
      <c r="I2027" s="58" t="s">
        <v>33</v>
      </c>
      <c r="J2027" s="58" t="s">
        <v>75</v>
      </c>
      <c r="K2027" s="58">
        <v>2.0</v>
      </c>
      <c r="L2027" s="58" t="s">
        <v>69</v>
      </c>
      <c r="M2027" s="61" t="s">
        <v>5510</v>
      </c>
      <c r="N2027" s="61" t="s">
        <v>5511</v>
      </c>
      <c r="O2027" s="58"/>
      <c r="P2027" s="58"/>
      <c r="Q2027" s="58"/>
      <c r="R2027" s="62"/>
      <c r="S2027" s="37" t="str">
        <f>IFERROR(__xludf.DUMMYFUNCTION("if(not(iserror(index(split(C2027, "" ""),2))), index(split(C2027, "" ""),1),"""")"),"November,")</f>
        <v>November,</v>
      </c>
      <c r="T2027" s="38">
        <f>IFERROR(__xludf.DUMMYFUNCTION("if(S2027="""",C2027,if(not(iserror(index(split(C2027, "" ""),3))), index(split(C2027, "" ""),3),index(split(C2027, "" ""),2)))"),2018.0)</f>
        <v>2018</v>
      </c>
      <c r="U2027" s="38" t="b">
        <f t="shared" si="312"/>
        <v>0</v>
      </c>
      <c r="V2027" s="38"/>
      <c r="W2027" s="40"/>
      <c r="X2027" s="40"/>
      <c r="Y2027" s="40"/>
      <c r="Z2027" s="38"/>
      <c r="AA2027" s="38"/>
      <c r="AB2027" s="38"/>
      <c r="AC2027" s="38"/>
      <c r="AD2027" s="38"/>
      <c r="AE2027" s="38"/>
      <c r="AF2027" s="38"/>
      <c r="AG2027" s="38"/>
      <c r="AH2027" s="38"/>
      <c r="AI2027" s="38"/>
      <c r="AJ2027" s="38"/>
      <c r="AK2027" s="38"/>
      <c r="AL2027" s="38"/>
      <c r="AM2027" s="38"/>
      <c r="AN2027" s="38"/>
      <c r="AO2027" s="38"/>
      <c r="AP2027" s="38"/>
      <c r="AQ2027" s="38"/>
      <c r="AR2027" s="38"/>
      <c r="AS2027" s="38"/>
      <c r="AT2027" s="38"/>
      <c r="AU2027" s="38"/>
      <c r="AV2027" s="38"/>
      <c r="AW2027" s="38"/>
      <c r="AX2027" s="38"/>
      <c r="AY2027" s="38"/>
      <c r="AZ2027" s="38"/>
      <c r="BA2027" s="38"/>
      <c r="BB2027" s="38"/>
      <c r="BC2027" s="38"/>
      <c r="BD2027" s="38"/>
      <c r="BE2027" s="38"/>
      <c r="BF2027" s="38"/>
      <c r="BG2027" s="38"/>
      <c r="BH2027" s="38"/>
      <c r="BI2027" s="38"/>
      <c r="BJ2027" s="38"/>
      <c r="BK2027" s="38"/>
      <c r="BL2027" s="38"/>
      <c r="BM2027" s="38"/>
      <c r="BN2027" s="38"/>
      <c r="BO2027" s="38"/>
      <c r="BP2027" s="38"/>
      <c r="BQ2027" s="38"/>
    </row>
    <row r="2028">
      <c r="A2028" s="58" t="s">
        <v>5512</v>
      </c>
      <c r="B2028" s="59"/>
      <c r="C2028" s="79">
        <v>43405.0</v>
      </c>
      <c r="D2028" s="60"/>
      <c r="E2028" s="58" t="s">
        <v>41</v>
      </c>
      <c r="F2028" s="58">
        <v>1.0</v>
      </c>
      <c r="G2028" s="58" t="s">
        <v>32</v>
      </c>
      <c r="H2028" s="43">
        <v>1.0</v>
      </c>
      <c r="I2028" s="58" t="s">
        <v>33</v>
      </c>
      <c r="J2028" s="58" t="s">
        <v>115</v>
      </c>
      <c r="K2028" s="58"/>
      <c r="L2028" s="58" t="s">
        <v>119</v>
      </c>
      <c r="M2028" s="80" t="s">
        <v>5513</v>
      </c>
      <c r="N2028" s="80"/>
      <c r="O2028" s="88" t="str">
        <f>hyperlink("https://bad-boys.us/?q=ED-PA/2:19-cr-00128", "ED-PA 2:19-cr-00128 ❓")</f>
        <v>ED-PA 2:19-cr-00128 ❓</v>
      </c>
      <c r="P2028" s="88" t="s">
        <v>5514</v>
      </c>
      <c r="Q2028" s="58">
        <v>1.0</v>
      </c>
      <c r="R2028" s="62"/>
      <c r="S2028" s="37"/>
      <c r="T2028" s="38"/>
      <c r="U2028" s="38"/>
      <c r="V2028" s="38" t="s">
        <v>33</v>
      </c>
      <c r="W2028" s="40"/>
      <c r="X2028" s="40"/>
      <c r="Y2028" s="40"/>
      <c r="Z2028" s="38"/>
      <c r="AA2028" s="38"/>
      <c r="AB2028" s="38"/>
      <c r="AC2028" s="38"/>
      <c r="AD2028" s="38"/>
      <c r="AE2028" s="38"/>
      <c r="AF2028" s="38"/>
      <c r="AG2028" s="38"/>
      <c r="AH2028" s="38"/>
      <c r="AI2028" s="38"/>
      <c r="AJ2028" s="38"/>
      <c r="AK2028" s="38"/>
      <c r="AL2028" s="38"/>
      <c r="AM2028" s="38"/>
      <c r="AN2028" s="38"/>
      <c r="AO2028" s="38"/>
      <c r="AP2028" s="38"/>
      <c r="AQ2028" s="38"/>
      <c r="AR2028" s="38"/>
      <c r="AS2028" s="38"/>
      <c r="AT2028" s="38"/>
      <c r="AU2028" s="38"/>
      <c r="AV2028" s="38"/>
      <c r="AW2028" s="38"/>
      <c r="AX2028" s="38"/>
      <c r="AY2028" s="38"/>
      <c r="AZ2028" s="38"/>
      <c r="BA2028" s="38"/>
      <c r="BB2028" s="38"/>
      <c r="BC2028" s="38"/>
      <c r="BD2028" s="38"/>
      <c r="BE2028" s="38"/>
      <c r="BF2028" s="38"/>
      <c r="BG2028" s="38"/>
      <c r="BH2028" s="38"/>
      <c r="BI2028" s="38"/>
      <c r="BJ2028" s="38"/>
      <c r="BK2028" s="38"/>
      <c r="BL2028" s="38"/>
      <c r="BM2028" s="38"/>
      <c r="BN2028" s="38"/>
      <c r="BO2028" s="38"/>
      <c r="BP2028" s="38"/>
      <c r="BQ2028" s="38"/>
    </row>
    <row r="2029">
      <c r="A2029" s="58" t="s">
        <v>5515</v>
      </c>
      <c r="B2029" s="59">
        <v>43418.0</v>
      </c>
      <c r="C2029" s="79">
        <v>43405.0</v>
      </c>
      <c r="D2029" s="60" t="s">
        <v>3450</v>
      </c>
      <c r="E2029" s="58" t="s">
        <v>41</v>
      </c>
      <c r="F2029" s="58">
        <v>1.0</v>
      </c>
      <c r="G2029" s="58" t="s">
        <v>32</v>
      </c>
      <c r="H2029" s="50">
        <v>1.0</v>
      </c>
      <c r="I2029" s="58" t="s">
        <v>33</v>
      </c>
      <c r="J2029" s="58" t="s">
        <v>124</v>
      </c>
      <c r="K2029" s="58">
        <v>1.0</v>
      </c>
      <c r="L2029" s="58" t="s">
        <v>119</v>
      </c>
      <c r="M2029" s="266" t="s">
        <v>5384</v>
      </c>
      <c r="N2029" s="80"/>
      <c r="O2029" s="88" t="str">
        <f>hyperlink("https://bad-boys.us/?q=ND-OH/1:18-cr-00662", "ND-OH 1:18-cr-00662")</f>
        <v>ND-OH 1:18-cr-00662</v>
      </c>
      <c r="P2029" s="88" t="s">
        <v>5516</v>
      </c>
      <c r="Q2029" s="58">
        <v>1.0</v>
      </c>
      <c r="R2029" s="62"/>
      <c r="S2029" s="37" t="str">
        <f>IFERROR(__xludf.DUMMYFUNCTION("if(not(iserror(index(split(C2029, "" ""),2))), index(split(C2029, "" ""),1),"""")"),"November,")</f>
        <v>November,</v>
      </c>
      <c r="T2029" s="38">
        <f>IFERROR(__xludf.DUMMYFUNCTION("if(S2029="""",C2029,if(not(iserror(index(split(C2029, "" ""),3))), index(split(C2029, "" ""),3),index(split(C2029, "" ""),2)))"),2018.0)</f>
        <v>2018</v>
      </c>
      <c r="U2029" s="38" t="b">
        <f t="shared" ref="U2029:U2044" si="314">countif(A$4:A4658, A2029)&gt;1</f>
        <v>0</v>
      </c>
      <c r="V2029" s="38"/>
      <c r="W2029" s="40"/>
      <c r="X2029" s="40"/>
      <c r="Y2029" s="40"/>
      <c r="Z2029" s="38"/>
      <c r="AA2029" s="38"/>
      <c r="AB2029" s="38"/>
      <c r="AC2029" s="38"/>
      <c r="AD2029" s="38"/>
      <c r="AE2029" s="38"/>
      <c r="AF2029" s="38"/>
      <c r="AG2029" s="38"/>
      <c r="AH2029" s="38"/>
      <c r="AI2029" s="38"/>
      <c r="AJ2029" s="38"/>
      <c r="AK2029" s="38"/>
      <c r="AL2029" s="38"/>
      <c r="AM2029" s="38"/>
      <c r="AN2029" s="38"/>
      <c r="AO2029" s="38"/>
      <c r="AP2029" s="38"/>
      <c r="AQ2029" s="38"/>
      <c r="AR2029" s="38"/>
      <c r="AS2029" s="38"/>
      <c r="AT2029" s="38"/>
      <c r="AU2029" s="38"/>
      <c r="AV2029" s="38"/>
      <c r="AW2029" s="38"/>
      <c r="AX2029" s="38"/>
      <c r="AY2029" s="38"/>
      <c r="AZ2029" s="38"/>
      <c r="BA2029" s="38"/>
      <c r="BB2029" s="38"/>
      <c r="BC2029" s="38"/>
      <c r="BD2029" s="38"/>
      <c r="BE2029" s="38"/>
      <c r="BF2029" s="38"/>
      <c r="BG2029" s="38"/>
      <c r="BH2029" s="38"/>
      <c r="BI2029" s="38"/>
      <c r="BJ2029" s="38"/>
      <c r="BK2029" s="38"/>
      <c r="BL2029" s="38"/>
      <c r="BM2029" s="38"/>
      <c r="BN2029" s="38"/>
      <c r="BO2029" s="38"/>
      <c r="BP2029" s="38"/>
      <c r="BQ2029" s="38"/>
    </row>
    <row r="2030">
      <c r="A2030" s="58" t="s">
        <v>5517</v>
      </c>
      <c r="B2030" s="59">
        <v>43418.0</v>
      </c>
      <c r="C2030" s="79">
        <v>43405.0</v>
      </c>
      <c r="D2030" s="60" t="s">
        <v>3450</v>
      </c>
      <c r="E2030" s="58" t="s">
        <v>41</v>
      </c>
      <c r="F2030" s="58">
        <v>1.0</v>
      </c>
      <c r="G2030" s="58" t="s">
        <v>32</v>
      </c>
      <c r="H2030" s="50">
        <v>1.0</v>
      </c>
      <c r="I2030" s="58" t="s">
        <v>33</v>
      </c>
      <c r="J2030" s="58" t="s">
        <v>124</v>
      </c>
      <c r="K2030" s="58">
        <v>1.0</v>
      </c>
      <c r="L2030" s="58" t="s">
        <v>69</v>
      </c>
      <c r="M2030" s="61" t="s">
        <v>5384</v>
      </c>
      <c r="N2030" s="80"/>
      <c r="O2030" s="88" t="str">
        <f>hyperlink("https://bad-boys.us/?q=ND-OH/1:18-cr-00661", "ND-OH 1:18-cr-00661")</f>
        <v>ND-OH 1:18-cr-00661</v>
      </c>
      <c r="P2030" s="88" t="s">
        <v>5518</v>
      </c>
      <c r="Q2030" s="58">
        <v>1.0</v>
      </c>
      <c r="R2030" s="62"/>
      <c r="S2030" s="37" t="str">
        <f>IFERROR(__xludf.DUMMYFUNCTION("if(not(iserror(index(split(C2030, "" ""),2))), index(split(C2030, "" ""),1),"""")"),"November,")</f>
        <v>November,</v>
      </c>
      <c r="T2030" s="38">
        <f>IFERROR(__xludf.DUMMYFUNCTION("if(S2030="""",C2030,if(not(iserror(index(split(C2030, "" ""),3))), index(split(C2030, "" ""),3),index(split(C2030, "" ""),2)))"),2018.0)</f>
        <v>2018</v>
      </c>
      <c r="U2030" s="38" t="b">
        <f t="shared" si="314"/>
        <v>0</v>
      </c>
      <c r="V2030" s="38"/>
      <c r="W2030" s="40"/>
      <c r="X2030" s="40"/>
      <c r="Y2030" s="40"/>
      <c r="Z2030" s="38"/>
      <c r="AA2030" s="38"/>
      <c r="AB2030" s="38"/>
      <c r="AC2030" s="38"/>
      <c r="AD2030" s="38"/>
      <c r="AE2030" s="38"/>
      <c r="AF2030" s="38"/>
      <c r="AG2030" s="38"/>
      <c r="AH2030" s="38"/>
      <c r="AI2030" s="38"/>
      <c r="AJ2030" s="38"/>
      <c r="AK2030" s="38"/>
      <c r="AL2030" s="38"/>
      <c r="AM2030" s="38"/>
      <c r="AN2030" s="38"/>
      <c r="AO2030" s="38"/>
      <c r="AP2030" s="38"/>
      <c r="AQ2030" s="38"/>
      <c r="AR2030" s="38"/>
      <c r="AS2030" s="38"/>
      <c r="AT2030" s="38"/>
      <c r="AU2030" s="38"/>
      <c r="AV2030" s="38"/>
      <c r="AW2030" s="38"/>
      <c r="AX2030" s="38"/>
      <c r="AY2030" s="38"/>
      <c r="AZ2030" s="38"/>
      <c r="BA2030" s="38"/>
      <c r="BB2030" s="38"/>
      <c r="BC2030" s="38"/>
      <c r="BD2030" s="38"/>
      <c r="BE2030" s="38"/>
      <c r="BF2030" s="38"/>
      <c r="BG2030" s="38"/>
      <c r="BH2030" s="38"/>
      <c r="BI2030" s="38"/>
      <c r="BJ2030" s="38"/>
      <c r="BK2030" s="38"/>
      <c r="BL2030" s="38"/>
      <c r="BM2030" s="38"/>
      <c r="BN2030" s="38"/>
      <c r="BO2030" s="38"/>
      <c r="BP2030" s="38"/>
      <c r="BQ2030" s="38"/>
    </row>
    <row r="2031">
      <c r="A2031" s="58" t="s">
        <v>5519</v>
      </c>
      <c r="B2031" s="59">
        <v>43420.0</v>
      </c>
      <c r="C2031" s="79">
        <v>43405.0</v>
      </c>
      <c r="D2031" s="60" t="s">
        <v>3450</v>
      </c>
      <c r="E2031" s="58" t="s">
        <v>41</v>
      </c>
      <c r="F2031" s="58">
        <v>1.0</v>
      </c>
      <c r="G2031" s="58" t="s">
        <v>32</v>
      </c>
      <c r="H2031" s="50">
        <v>1.0</v>
      </c>
      <c r="I2031" s="58" t="s">
        <v>33</v>
      </c>
      <c r="J2031" s="58" t="s">
        <v>279</v>
      </c>
      <c r="K2031" s="58">
        <v>2.0</v>
      </c>
      <c r="L2031" s="58" t="s">
        <v>69</v>
      </c>
      <c r="M2031" s="61" t="s">
        <v>5520</v>
      </c>
      <c r="N2031" s="80"/>
      <c r="O2031" s="88" t="str">
        <f>hyperlink("https://bad-boys.us/?q=WD-MO/6:18-mj-02083", "WD-MO 6:18-mj-02083")</f>
        <v>WD-MO 6:18-mj-02083</v>
      </c>
      <c r="P2031" s="88" t="s">
        <v>5521</v>
      </c>
      <c r="Q2031" s="58">
        <v>1.0</v>
      </c>
      <c r="R2031" s="62"/>
      <c r="S2031" s="37" t="str">
        <f>IFERROR(__xludf.DUMMYFUNCTION("if(not(iserror(index(split(C2031, "" ""),2))), index(split(C2031, "" ""),1),"""")"),"November,")</f>
        <v>November,</v>
      </c>
      <c r="T2031" s="38">
        <f>IFERROR(__xludf.DUMMYFUNCTION("if(S2031="""",C2031,if(not(iserror(index(split(C2031, "" ""),3))), index(split(C2031, "" ""),3),index(split(C2031, "" ""),2)))"),2018.0)</f>
        <v>2018</v>
      </c>
      <c r="U2031" s="38" t="b">
        <f t="shared" si="314"/>
        <v>0</v>
      </c>
      <c r="V2031" s="38"/>
      <c r="W2031" s="40"/>
      <c r="X2031" s="40"/>
      <c r="Y2031" s="40"/>
      <c r="Z2031" s="38"/>
      <c r="AA2031" s="38"/>
      <c r="AB2031" s="38"/>
      <c r="AC2031" s="38"/>
      <c r="AD2031" s="38"/>
      <c r="AE2031" s="38"/>
      <c r="AF2031" s="38"/>
      <c r="AG2031" s="38"/>
      <c r="AH2031" s="38"/>
      <c r="AI2031" s="38"/>
      <c r="AJ2031" s="38"/>
      <c r="AK2031" s="38"/>
      <c r="AL2031" s="38"/>
      <c r="AM2031" s="38"/>
      <c r="AN2031" s="38"/>
      <c r="AO2031" s="38"/>
      <c r="AP2031" s="38"/>
      <c r="AQ2031" s="38"/>
      <c r="AR2031" s="38"/>
      <c r="AS2031" s="38"/>
      <c r="AT2031" s="38"/>
      <c r="AU2031" s="38"/>
      <c r="AV2031" s="38"/>
      <c r="AW2031" s="38"/>
      <c r="AX2031" s="38"/>
      <c r="AY2031" s="38"/>
      <c r="AZ2031" s="38"/>
      <c r="BA2031" s="38"/>
      <c r="BB2031" s="38"/>
      <c r="BC2031" s="38"/>
      <c r="BD2031" s="38"/>
      <c r="BE2031" s="38"/>
      <c r="BF2031" s="38"/>
      <c r="BG2031" s="38"/>
      <c r="BH2031" s="38"/>
      <c r="BI2031" s="38"/>
      <c r="BJ2031" s="38"/>
      <c r="BK2031" s="38"/>
      <c r="BL2031" s="38"/>
      <c r="BM2031" s="38"/>
      <c r="BN2031" s="38"/>
      <c r="BO2031" s="38"/>
      <c r="BP2031" s="38"/>
      <c r="BQ2031" s="38"/>
    </row>
    <row r="2032">
      <c r="A2032" s="58" t="s">
        <v>5522</v>
      </c>
      <c r="B2032" s="59">
        <v>43423.0</v>
      </c>
      <c r="C2032" s="79">
        <v>43405.0</v>
      </c>
      <c r="D2032" s="60" t="s">
        <v>3450</v>
      </c>
      <c r="E2032" s="58" t="s">
        <v>41</v>
      </c>
      <c r="F2032" s="58">
        <v>1.0</v>
      </c>
      <c r="G2032" s="58" t="s">
        <v>32</v>
      </c>
      <c r="H2032" s="33">
        <f>if(G2032="Unknown",1,G2032)</f>
        <v>1</v>
      </c>
      <c r="I2032" s="58" t="s">
        <v>33</v>
      </c>
      <c r="J2032" s="58" t="s">
        <v>524</v>
      </c>
      <c r="K2032" s="58">
        <v>4.0</v>
      </c>
      <c r="L2032" s="58" t="s">
        <v>69</v>
      </c>
      <c r="M2032" s="61" t="s">
        <v>5523</v>
      </c>
      <c r="N2032" s="80"/>
      <c r="O2032" s="88" t="str">
        <f>hyperlink("https://bad-boys.us/?q=D-AK/3:18-cr-00137", "D-AK 3:18-cr-00137")</f>
        <v>D-AK 3:18-cr-00137</v>
      </c>
      <c r="P2032" s="88" t="s">
        <v>5524</v>
      </c>
      <c r="Q2032" s="84">
        <v>1.0</v>
      </c>
      <c r="R2032" s="62"/>
      <c r="S2032" s="37" t="str">
        <f>IFERROR(__xludf.DUMMYFUNCTION("if(not(iserror(index(split(C2032, "" ""),2))), index(split(C2032, "" ""),1),"""")"),"November,")</f>
        <v>November,</v>
      </c>
      <c r="T2032" s="38">
        <f>IFERROR(__xludf.DUMMYFUNCTION("if(S2032="""",C2032,if(not(iserror(index(split(C2032, "" ""),3))), index(split(C2032, "" ""),3),index(split(C2032, "" ""),2)))"),2018.0)</f>
        <v>2018</v>
      </c>
      <c r="U2032" s="38" t="b">
        <f t="shared" si="314"/>
        <v>0</v>
      </c>
      <c r="V2032" s="38"/>
      <c r="W2032" s="40"/>
      <c r="X2032" s="40"/>
      <c r="Y2032" s="40"/>
      <c r="Z2032" s="38"/>
      <c r="AA2032" s="38"/>
      <c r="AB2032" s="38"/>
      <c r="AC2032" s="38"/>
      <c r="AD2032" s="38"/>
      <c r="AE2032" s="38"/>
      <c r="AF2032" s="38"/>
      <c r="AG2032" s="38"/>
      <c r="AH2032" s="38"/>
      <c r="AI2032" s="38"/>
      <c r="AJ2032" s="38"/>
      <c r="AK2032" s="38"/>
      <c r="AL2032" s="38"/>
      <c r="AM2032" s="38"/>
      <c r="AN2032" s="38"/>
      <c r="AO2032" s="38"/>
      <c r="AP2032" s="38"/>
      <c r="AQ2032" s="38"/>
      <c r="AR2032" s="38"/>
      <c r="AS2032" s="38"/>
      <c r="AT2032" s="38"/>
      <c r="AU2032" s="38"/>
      <c r="AV2032" s="38"/>
      <c r="AW2032" s="38"/>
      <c r="AX2032" s="38"/>
      <c r="AY2032" s="38"/>
      <c r="AZ2032" s="38"/>
      <c r="BA2032" s="38"/>
      <c r="BB2032" s="38"/>
      <c r="BC2032" s="38"/>
      <c r="BD2032" s="38"/>
      <c r="BE2032" s="38"/>
      <c r="BF2032" s="38"/>
      <c r="BG2032" s="38"/>
      <c r="BH2032" s="38"/>
      <c r="BI2032" s="38"/>
      <c r="BJ2032" s="38"/>
      <c r="BK2032" s="38"/>
      <c r="BL2032" s="38"/>
      <c r="BM2032" s="38"/>
      <c r="BN2032" s="38"/>
      <c r="BO2032" s="38"/>
      <c r="BP2032" s="38"/>
      <c r="BQ2032" s="38"/>
    </row>
    <row r="2033">
      <c r="A2033" s="58" t="s">
        <v>5525</v>
      </c>
      <c r="B2033" s="59">
        <v>43424.0</v>
      </c>
      <c r="C2033" s="79">
        <v>43405.0</v>
      </c>
      <c r="D2033" s="60" t="s">
        <v>3450</v>
      </c>
      <c r="E2033" s="58" t="s">
        <v>41</v>
      </c>
      <c r="F2033" s="58">
        <v>1.0</v>
      </c>
      <c r="G2033" s="58" t="s">
        <v>32</v>
      </c>
      <c r="H2033" s="50">
        <v>1.0</v>
      </c>
      <c r="I2033" s="58" t="s">
        <v>33</v>
      </c>
      <c r="J2033" s="58" t="s">
        <v>124</v>
      </c>
      <c r="K2033" s="58">
        <v>1.0</v>
      </c>
      <c r="L2033" s="58" t="s">
        <v>69</v>
      </c>
      <c r="M2033" s="61" t="s">
        <v>5486</v>
      </c>
      <c r="N2033" s="80"/>
      <c r="O2033" s="88" t="str">
        <f>hyperlink("https://bad-boys.us/?q=ND-OH/3:18-cr-00704", "ND-OH 3:18-cr-00704")</f>
        <v>ND-OH 3:18-cr-00704</v>
      </c>
      <c r="P2033" s="88" t="s">
        <v>5526</v>
      </c>
      <c r="Q2033" s="58">
        <v>1.0</v>
      </c>
      <c r="R2033" s="62"/>
      <c r="S2033" s="37" t="str">
        <f>IFERROR(__xludf.DUMMYFUNCTION("if(not(iserror(index(split(C2033, "" ""),2))), index(split(C2033, "" ""),1),"""")"),"November,")</f>
        <v>November,</v>
      </c>
      <c r="T2033" s="38">
        <f>IFERROR(__xludf.DUMMYFUNCTION("if(S2033="""",C2033,if(not(iserror(index(split(C2033, "" ""),3))), index(split(C2033, "" ""),3),index(split(C2033, "" ""),2)))"),2018.0)</f>
        <v>2018</v>
      </c>
      <c r="U2033" s="38" t="b">
        <f t="shared" si="314"/>
        <v>0</v>
      </c>
      <c r="V2033" s="38"/>
      <c r="W2033" s="40"/>
      <c r="X2033" s="40"/>
      <c r="Y2033" s="40"/>
      <c r="Z2033" s="38"/>
      <c r="AA2033" s="38"/>
      <c r="AB2033" s="38"/>
      <c r="AC2033" s="38"/>
      <c r="AD2033" s="38"/>
      <c r="AE2033" s="38"/>
      <c r="AF2033" s="38"/>
      <c r="AG2033" s="38"/>
      <c r="AH2033" s="38"/>
      <c r="AI2033" s="38"/>
      <c r="AJ2033" s="38"/>
      <c r="AK2033" s="38"/>
      <c r="AL2033" s="38"/>
      <c r="AM2033" s="38"/>
      <c r="AN2033" s="38"/>
      <c r="AO2033" s="38"/>
      <c r="AP2033" s="38"/>
      <c r="AQ2033" s="38"/>
      <c r="AR2033" s="38"/>
      <c r="AS2033" s="38"/>
      <c r="AT2033" s="38"/>
      <c r="AU2033" s="38"/>
      <c r="AV2033" s="38"/>
      <c r="AW2033" s="38"/>
      <c r="AX2033" s="38"/>
      <c r="AY2033" s="38"/>
      <c r="AZ2033" s="38"/>
      <c r="BA2033" s="38"/>
      <c r="BB2033" s="38"/>
      <c r="BC2033" s="38"/>
      <c r="BD2033" s="38"/>
      <c r="BE2033" s="38"/>
      <c r="BF2033" s="38"/>
      <c r="BG2033" s="38"/>
      <c r="BH2033" s="38"/>
      <c r="BI2033" s="38"/>
      <c r="BJ2033" s="38"/>
      <c r="BK2033" s="38"/>
      <c r="BL2033" s="38"/>
      <c r="BM2033" s="38"/>
      <c r="BN2033" s="38"/>
      <c r="BO2033" s="38"/>
      <c r="BP2033" s="38"/>
      <c r="BQ2033" s="38"/>
    </row>
    <row r="2034">
      <c r="A2034" s="58" t="s">
        <v>5527</v>
      </c>
      <c r="B2034" s="59" t="s">
        <v>5528</v>
      </c>
      <c r="C2034" s="79">
        <v>43405.0</v>
      </c>
      <c r="D2034" s="60" t="s">
        <v>5529</v>
      </c>
      <c r="E2034" s="58" t="s">
        <v>31</v>
      </c>
      <c r="F2034" s="58">
        <v>1.0</v>
      </c>
      <c r="G2034" s="58" t="s">
        <v>32</v>
      </c>
      <c r="H2034" s="33">
        <f t="shared" ref="H2034:H2036" si="315">if(G2034="Unknown",1,G2034)</f>
        <v>1</v>
      </c>
      <c r="I2034" s="58" t="s">
        <v>33</v>
      </c>
      <c r="J2034" s="58" t="s">
        <v>850</v>
      </c>
      <c r="K2034" s="58">
        <v>2.0</v>
      </c>
      <c r="L2034" s="58" t="s">
        <v>807</v>
      </c>
      <c r="M2034" s="61" t="s">
        <v>5530</v>
      </c>
      <c r="N2034" s="80"/>
      <c r="O2034" s="58"/>
      <c r="P2034" s="62"/>
      <c r="Q2034" s="58"/>
      <c r="R2034" s="62"/>
      <c r="S2034" s="37" t="str">
        <f>IFERROR(__xludf.DUMMYFUNCTION("if(not(iserror(index(split(C2034, "" ""),2))), index(split(C2034, "" ""),1),"""")"),"November,")</f>
        <v>November,</v>
      </c>
      <c r="T2034" s="38">
        <f>IFERROR(__xludf.DUMMYFUNCTION("if(S2034="""",C2034,if(not(iserror(index(split(C2034, "" ""),3))), index(split(C2034, "" ""),3),index(split(C2034, "" ""),2)))"),2018.0)</f>
        <v>2018</v>
      </c>
      <c r="U2034" s="38" t="b">
        <f t="shared" si="314"/>
        <v>0</v>
      </c>
      <c r="V2034" s="38"/>
      <c r="W2034" s="40"/>
      <c r="X2034" s="40"/>
      <c r="Y2034" s="40"/>
      <c r="Z2034" s="38"/>
      <c r="AA2034" s="38"/>
      <c r="AB2034" s="38"/>
      <c r="AC2034" s="38"/>
      <c r="AD2034" s="38"/>
      <c r="AE2034" s="38"/>
      <c r="AF2034" s="38"/>
      <c r="AG2034" s="38"/>
      <c r="AH2034" s="38"/>
      <c r="AI2034" s="38"/>
      <c r="AJ2034" s="38"/>
      <c r="AK2034" s="38"/>
      <c r="AL2034" s="38"/>
      <c r="AM2034" s="38"/>
      <c r="AN2034" s="38"/>
      <c r="AO2034" s="38"/>
      <c r="AP2034" s="38"/>
      <c r="AQ2034" s="38"/>
      <c r="AR2034" s="38"/>
      <c r="AS2034" s="38"/>
      <c r="AT2034" s="38"/>
      <c r="AU2034" s="38"/>
      <c r="AV2034" s="38"/>
      <c r="AW2034" s="38"/>
      <c r="AX2034" s="38"/>
      <c r="AY2034" s="38"/>
      <c r="AZ2034" s="38"/>
      <c r="BA2034" s="38"/>
      <c r="BB2034" s="38"/>
      <c r="BC2034" s="38"/>
      <c r="BD2034" s="38"/>
      <c r="BE2034" s="38"/>
      <c r="BF2034" s="38"/>
      <c r="BG2034" s="38"/>
      <c r="BH2034" s="38"/>
      <c r="BI2034" s="38"/>
      <c r="BJ2034" s="38"/>
      <c r="BK2034" s="38"/>
      <c r="BL2034" s="38"/>
      <c r="BM2034" s="38"/>
      <c r="BN2034" s="38"/>
      <c r="BO2034" s="38"/>
      <c r="BP2034" s="38"/>
      <c r="BQ2034" s="38"/>
    </row>
    <row r="2035">
      <c r="A2035" s="85" t="s">
        <v>5531</v>
      </c>
      <c r="B2035" s="59">
        <v>43433.0</v>
      </c>
      <c r="C2035" s="79">
        <v>43405.0</v>
      </c>
      <c r="D2035" s="60" t="s">
        <v>3450</v>
      </c>
      <c r="E2035" s="58" t="s">
        <v>41</v>
      </c>
      <c r="F2035" s="58">
        <v>1.0</v>
      </c>
      <c r="G2035" s="58" t="s">
        <v>32</v>
      </c>
      <c r="H2035" s="33">
        <f t="shared" si="315"/>
        <v>1</v>
      </c>
      <c r="I2035" s="58" t="s">
        <v>33</v>
      </c>
      <c r="J2035" s="58" t="s">
        <v>115</v>
      </c>
      <c r="K2035" s="58">
        <v>1.0</v>
      </c>
      <c r="L2035" s="58" t="s">
        <v>52</v>
      </c>
      <c r="M2035" s="61" t="s">
        <v>5532</v>
      </c>
      <c r="N2035" s="80"/>
      <c r="O2035" s="88" t="str">
        <f>hyperlink("https://bad-boys.us/?q=MD-PA/1:18-cr-00399", "MD-PA 1:18-cr-00399")</f>
        <v>MD-PA 1:18-cr-00399</v>
      </c>
      <c r="P2035" s="62"/>
      <c r="Q2035" s="58">
        <v>1.0</v>
      </c>
      <c r="R2035" s="62"/>
      <c r="S2035" s="37" t="str">
        <f>IFERROR(__xludf.DUMMYFUNCTION("if(not(iserror(index(split(C2035, "" ""),2))), index(split(C2035, "" ""),1),"""")"),"November,")</f>
        <v>November,</v>
      </c>
      <c r="T2035" s="38">
        <f>IFERROR(__xludf.DUMMYFUNCTION("if(S2035="""",C2035,if(not(iserror(index(split(C2035, "" ""),3))), index(split(C2035, "" ""),3),index(split(C2035, "" ""),2)))"),2018.0)</f>
        <v>2018</v>
      </c>
      <c r="U2035" s="38" t="b">
        <f t="shared" si="314"/>
        <v>0</v>
      </c>
      <c r="V2035" s="38"/>
      <c r="W2035" s="40"/>
      <c r="X2035" s="40"/>
      <c r="Y2035" s="40"/>
      <c r="Z2035" s="38"/>
      <c r="AA2035" s="38"/>
      <c r="AB2035" s="38"/>
      <c r="AC2035" s="38"/>
      <c r="AD2035" s="38"/>
      <c r="AE2035" s="38"/>
      <c r="AF2035" s="38"/>
      <c r="AG2035" s="38"/>
      <c r="AH2035" s="38"/>
      <c r="AI2035" s="38"/>
      <c r="AJ2035" s="38"/>
      <c r="AK2035" s="38"/>
      <c r="AL2035" s="38"/>
      <c r="AM2035" s="38"/>
      <c r="AN2035" s="38"/>
      <c r="AO2035" s="38"/>
      <c r="AP2035" s="38"/>
      <c r="AQ2035" s="38"/>
      <c r="AR2035" s="38"/>
      <c r="AS2035" s="38"/>
      <c r="AT2035" s="38"/>
      <c r="AU2035" s="38"/>
      <c r="AV2035" s="38"/>
      <c r="AW2035" s="38"/>
      <c r="AX2035" s="38"/>
      <c r="AY2035" s="38"/>
      <c r="AZ2035" s="38"/>
      <c r="BA2035" s="38"/>
      <c r="BB2035" s="38"/>
      <c r="BC2035" s="38"/>
      <c r="BD2035" s="38"/>
      <c r="BE2035" s="38"/>
      <c r="BF2035" s="38"/>
      <c r="BG2035" s="38"/>
      <c r="BH2035" s="38"/>
      <c r="BI2035" s="38"/>
      <c r="BJ2035" s="38"/>
      <c r="BK2035" s="38"/>
      <c r="BL2035" s="38"/>
      <c r="BM2035" s="38"/>
      <c r="BN2035" s="38"/>
      <c r="BO2035" s="38"/>
      <c r="BP2035" s="38"/>
      <c r="BQ2035" s="38"/>
    </row>
    <row r="2036">
      <c r="A2036" s="85" t="s">
        <v>5533</v>
      </c>
      <c r="B2036" s="59">
        <v>43433.0</v>
      </c>
      <c r="C2036" s="79">
        <v>43405.0</v>
      </c>
      <c r="D2036" s="60" t="s">
        <v>3450</v>
      </c>
      <c r="E2036" s="58" t="s">
        <v>41</v>
      </c>
      <c r="F2036" s="58">
        <v>1.0</v>
      </c>
      <c r="G2036" s="58">
        <v>1.0</v>
      </c>
      <c r="H2036" s="33">
        <f t="shared" si="315"/>
        <v>1</v>
      </c>
      <c r="I2036" s="58" t="s">
        <v>33</v>
      </c>
      <c r="J2036" s="58" t="s">
        <v>184</v>
      </c>
      <c r="K2036" s="58">
        <v>3.0</v>
      </c>
      <c r="L2036" s="58" t="s">
        <v>52</v>
      </c>
      <c r="M2036" s="61" t="s">
        <v>5534</v>
      </c>
      <c r="N2036" s="80"/>
      <c r="O2036" s="88" t="str">
        <f>hyperlink("https://bad-boys.us/?q=ND-IL/1:18-cr-00760", "ND-IL 1:18-cr-00760")</f>
        <v>ND-IL 1:18-cr-00760</v>
      </c>
      <c r="P2036" s="88" t="s">
        <v>5535</v>
      </c>
      <c r="Q2036" s="58">
        <v>1.0</v>
      </c>
      <c r="R2036" s="62"/>
      <c r="S2036" s="37" t="str">
        <f>IFERROR(__xludf.DUMMYFUNCTION("if(not(iserror(index(split(C2036, "" ""),2))), index(split(C2036, "" ""),1),"""")"),"November,")</f>
        <v>November,</v>
      </c>
      <c r="T2036" s="38">
        <f>IFERROR(__xludf.DUMMYFUNCTION("if(S2036="""",C2036,if(not(iserror(index(split(C2036, "" ""),3))), index(split(C2036, "" ""),3),index(split(C2036, "" ""),2)))"),2018.0)</f>
        <v>2018</v>
      </c>
      <c r="U2036" s="38" t="b">
        <f t="shared" si="314"/>
        <v>0</v>
      </c>
      <c r="V2036" s="38"/>
      <c r="W2036" s="40"/>
      <c r="X2036" s="40"/>
      <c r="Y2036" s="40"/>
      <c r="Z2036" s="38"/>
      <c r="AA2036" s="38"/>
      <c r="AB2036" s="38"/>
      <c r="AC2036" s="38"/>
      <c r="AD2036" s="38"/>
      <c r="AE2036" s="38"/>
      <c r="AF2036" s="38"/>
      <c r="AG2036" s="38"/>
      <c r="AH2036" s="38"/>
      <c r="AI2036" s="38"/>
      <c r="AJ2036" s="38"/>
      <c r="AK2036" s="38"/>
      <c r="AL2036" s="38"/>
      <c r="AM2036" s="38"/>
      <c r="AN2036" s="38"/>
      <c r="AO2036" s="38"/>
      <c r="AP2036" s="38"/>
      <c r="AQ2036" s="38"/>
      <c r="AR2036" s="38"/>
      <c r="AS2036" s="38"/>
      <c r="AT2036" s="38"/>
      <c r="AU2036" s="38"/>
      <c r="AV2036" s="38"/>
      <c r="AW2036" s="38"/>
      <c r="AX2036" s="38"/>
      <c r="AY2036" s="38"/>
      <c r="AZ2036" s="38"/>
      <c r="BA2036" s="38"/>
      <c r="BB2036" s="38"/>
      <c r="BC2036" s="38"/>
      <c r="BD2036" s="38"/>
      <c r="BE2036" s="38"/>
      <c r="BF2036" s="38"/>
      <c r="BG2036" s="38"/>
      <c r="BH2036" s="38"/>
      <c r="BI2036" s="38"/>
      <c r="BJ2036" s="38"/>
      <c r="BK2036" s="38"/>
      <c r="BL2036" s="38"/>
      <c r="BM2036" s="38"/>
      <c r="BN2036" s="38"/>
      <c r="BO2036" s="38"/>
      <c r="BP2036" s="38"/>
      <c r="BQ2036" s="38"/>
    </row>
    <row r="2037">
      <c r="A2037" s="85" t="s">
        <v>5536</v>
      </c>
      <c r="B2037" s="59">
        <v>43433.0</v>
      </c>
      <c r="C2037" s="79">
        <v>43405.0</v>
      </c>
      <c r="D2037" s="60" t="s">
        <v>3450</v>
      </c>
      <c r="E2037" s="58" t="s">
        <v>41</v>
      </c>
      <c r="F2037" s="58">
        <v>1.0</v>
      </c>
      <c r="G2037" s="58">
        <v>1.0</v>
      </c>
      <c r="H2037" s="43">
        <v>1.0</v>
      </c>
      <c r="I2037" s="58" t="s">
        <v>33</v>
      </c>
      <c r="J2037" s="58" t="s">
        <v>115</v>
      </c>
      <c r="K2037" s="58">
        <v>2.0</v>
      </c>
      <c r="L2037" s="58" t="s">
        <v>76</v>
      </c>
      <c r="M2037" s="80" t="s">
        <v>5537</v>
      </c>
      <c r="N2037" s="80"/>
      <c r="O2037" s="88" t="str">
        <f>hyperlink("https://bad-boys.us/?q=WD-PA/2:18-cr-00321", "WD-PA 2:18-cr-00321")</f>
        <v>WD-PA 2:18-cr-00321</v>
      </c>
      <c r="P2037" s="88" t="s">
        <v>5538</v>
      </c>
      <c r="Q2037" s="58">
        <v>1.0</v>
      </c>
      <c r="R2037" s="62"/>
      <c r="S2037" s="37" t="str">
        <f>IFERROR(__xludf.DUMMYFUNCTION("if(not(iserror(index(split(C2037, "" ""),2))), index(split(C2037, "" ""),1),"""")"),"November,")</f>
        <v>November,</v>
      </c>
      <c r="T2037" s="38">
        <f>IFERROR(__xludf.DUMMYFUNCTION("if(S2037="""",C2037,if(not(iserror(index(split(C2037, "" ""),3))), index(split(C2037, "" ""),3),index(split(C2037, "" ""),2)))"),2018.0)</f>
        <v>2018</v>
      </c>
      <c r="U2037" s="38" t="b">
        <f t="shared" si="314"/>
        <v>0</v>
      </c>
      <c r="V2037" s="38"/>
      <c r="W2037" s="40"/>
      <c r="X2037" s="40"/>
      <c r="Y2037" s="40"/>
      <c r="Z2037" s="38"/>
      <c r="AA2037" s="38"/>
      <c r="AB2037" s="38"/>
      <c r="AC2037" s="38"/>
      <c r="AD2037" s="38"/>
      <c r="AE2037" s="38"/>
      <c r="AF2037" s="38"/>
      <c r="AG2037" s="38"/>
      <c r="AH2037" s="38"/>
      <c r="AI2037" s="38"/>
      <c r="AJ2037" s="38"/>
      <c r="AK2037" s="38"/>
      <c r="AL2037" s="38"/>
      <c r="AM2037" s="38"/>
      <c r="AN2037" s="38"/>
      <c r="AO2037" s="38"/>
      <c r="AP2037" s="38"/>
      <c r="AQ2037" s="38"/>
      <c r="AR2037" s="38"/>
      <c r="AS2037" s="38"/>
      <c r="AT2037" s="38"/>
      <c r="AU2037" s="38"/>
      <c r="AV2037" s="38"/>
      <c r="AW2037" s="38"/>
      <c r="AX2037" s="38"/>
      <c r="AY2037" s="38"/>
      <c r="AZ2037" s="38"/>
      <c r="BA2037" s="38"/>
      <c r="BB2037" s="38"/>
      <c r="BC2037" s="38"/>
      <c r="BD2037" s="38"/>
      <c r="BE2037" s="38"/>
      <c r="BF2037" s="38"/>
      <c r="BG2037" s="38"/>
      <c r="BH2037" s="38"/>
      <c r="BI2037" s="38"/>
      <c r="BJ2037" s="38"/>
      <c r="BK2037" s="38"/>
      <c r="BL2037" s="38"/>
      <c r="BM2037" s="38"/>
      <c r="BN2037" s="38"/>
      <c r="BO2037" s="38"/>
      <c r="BP2037" s="38"/>
      <c r="BQ2037" s="38"/>
    </row>
    <row r="2038">
      <c r="A2038" s="58" t="s">
        <v>5539</v>
      </c>
      <c r="B2038" s="59">
        <v>43444.0</v>
      </c>
      <c r="C2038" s="79">
        <v>43405.0</v>
      </c>
      <c r="D2038" s="60" t="s">
        <v>3450</v>
      </c>
      <c r="E2038" s="58" t="s">
        <v>41</v>
      </c>
      <c r="F2038" s="58">
        <v>1.0</v>
      </c>
      <c r="G2038" s="58" t="s">
        <v>32</v>
      </c>
      <c r="H2038" s="43">
        <v>1.0</v>
      </c>
      <c r="I2038" s="58" t="s">
        <v>33</v>
      </c>
      <c r="J2038" s="58" t="s">
        <v>115</v>
      </c>
      <c r="K2038" s="58">
        <v>2.0</v>
      </c>
      <c r="L2038" s="58" t="s">
        <v>119</v>
      </c>
      <c r="M2038" s="80" t="s">
        <v>5540</v>
      </c>
      <c r="N2038" s="77"/>
      <c r="O2038" s="88" t="str">
        <f>hyperlink("https://bad-boys.us/?q=WD-PA/1:18-cr-00035", "WD-PA 1:18-cr-00035")</f>
        <v>WD-PA 1:18-cr-00035</v>
      </c>
      <c r="P2038" s="88" t="s">
        <v>5541</v>
      </c>
      <c r="Q2038" s="58">
        <v>1.0</v>
      </c>
      <c r="R2038" s="62"/>
      <c r="S2038" s="37" t="str">
        <f>IFERROR(__xludf.DUMMYFUNCTION("if(not(iserror(index(split(C2038, "" ""),2))), index(split(C2038, "" ""),1),"""")"),"November,")</f>
        <v>November,</v>
      </c>
      <c r="T2038" s="38">
        <f>IFERROR(__xludf.DUMMYFUNCTION("if(S2038="""",C2038,if(not(iserror(index(split(C2038, "" ""),3))), index(split(C2038, "" ""),3),index(split(C2038, "" ""),2)))"),2018.0)</f>
        <v>2018</v>
      </c>
      <c r="U2038" s="38" t="b">
        <f t="shared" si="314"/>
        <v>0</v>
      </c>
      <c r="V2038" s="38"/>
      <c r="W2038" s="40"/>
      <c r="X2038" s="40"/>
      <c r="Y2038" s="40"/>
      <c r="Z2038" s="38"/>
      <c r="AA2038" s="38"/>
      <c r="AB2038" s="38"/>
      <c r="AC2038" s="38"/>
      <c r="AD2038" s="38"/>
      <c r="AE2038" s="38"/>
      <c r="AF2038" s="38"/>
      <c r="AG2038" s="38"/>
      <c r="AH2038" s="38"/>
      <c r="AI2038" s="38"/>
      <c r="AJ2038" s="38"/>
      <c r="AK2038" s="38"/>
      <c r="AL2038" s="38"/>
      <c r="AM2038" s="38"/>
      <c r="AN2038" s="38"/>
      <c r="AO2038" s="38"/>
      <c r="AP2038" s="38"/>
      <c r="AQ2038" s="38"/>
      <c r="AR2038" s="38"/>
      <c r="AS2038" s="38"/>
      <c r="AT2038" s="38"/>
      <c r="AU2038" s="38"/>
      <c r="AV2038" s="38"/>
      <c r="AW2038" s="38"/>
      <c r="AX2038" s="38"/>
      <c r="AY2038" s="38"/>
      <c r="AZ2038" s="38"/>
      <c r="BA2038" s="38"/>
      <c r="BB2038" s="38"/>
      <c r="BC2038" s="38"/>
      <c r="BD2038" s="38"/>
      <c r="BE2038" s="38"/>
      <c r="BF2038" s="38"/>
      <c r="BG2038" s="38"/>
      <c r="BH2038" s="38"/>
      <c r="BI2038" s="38"/>
      <c r="BJ2038" s="38"/>
      <c r="BK2038" s="38"/>
      <c r="BL2038" s="38"/>
      <c r="BM2038" s="38"/>
      <c r="BN2038" s="38"/>
      <c r="BO2038" s="38"/>
      <c r="BP2038" s="38"/>
      <c r="BQ2038" s="38"/>
    </row>
    <row r="2039">
      <c r="A2039" s="58" t="s">
        <v>5542</v>
      </c>
      <c r="B2039" s="59">
        <v>43445.0</v>
      </c>
      <c r="C2039" s="79">
        <v>43405.0</v>
      </c>
      <c r="D2039" s="60" t="s">
        <v>5543</v>
      </c>
      <c r="E2039" s="58" t="s">
        <v>41</v>
      </c>
      <c r="F2039" s="58">
        <v>1.0</v>
      </c>
      <c r="G2039" s="58" t="s">
        <v>32</v>
      </c>
      <c r="H2039" s="43">
        <v>1.0</v>
      </c>
      <c r="I2039" s="58" t="s">
        <v>33</v>
      </c>
      <c r="J2039" s="58" t="s">
        <v>115</v>
      </c>
      <c r="K2039" s="58">
        <v>1.0</v>
      </c>
      <c r="L2039" s="58" t="s">
        <v>5544</v>
      </c>
      <c r="M2039" s="61" t="s">
        <v>5545</v>
      </c>
      <c r="N2039" s="80"/>
      <c r="O2039" s="58"/>
      <c r="P2039" s="58"/>
      <c r="Q2039" s="58"/>
      <c r="R2039" s="62"/>
      <c r="S2039" s="37" t="str">
        <f>IFERROR(__xludf.DUMMYFUNCTION("if(not(iserror(index(split(C2039, "" ""),2))), index(split(C2039, "" ""),1),"""")"),"November,")</f>
        <v>November,</v>
      </c>
      <c r="T2039" s="38">
        <f>IFERROR(__xludf.DUMMYFUNCTION("if(S2039="""",C2039,if(not(iserror(index(split(C2039, "" ""),3))), index(split(C2039, "" ""),3),index(split(C2039, "" ""),2)))"),2018.0)</f>
        <v>2018</v>
      </c>
      <c r="U2039" s="38" t="b">
        <f t="shared" si="314"/>
        <v>0</v>
      </c>
      <c r="V2039" s="38"/>
      <c r="W2039" s="40"/>
      <c r="X2039" s="40"/>
      <c r="Y2039" s="40"/>
      <c r="Z2039" s="38"/>
      <c r="AA2039" s="38"/>
      <c r="AB2039" s="38"/>
      <c r="AC2039" s="38"/>
      <c r="AD2039" s="38"/>
      <c r="AE2039" s="38"/>
      <c r="AF2039" s="38"/>
      <c r="AG2039" s="38"/>
      <c r="AH2039" s="38"/>
      <c r="AI2039" s="38"/>
      <c r="AJ2039" s="38"/>
      <c r="AK2039" s="38"/>
      <c r="AL2039" s="38"/>
      <c r="AM2039" s="38"/>
      <c r="AN2039" s="38"/>
      <c r="AO2039" s="38"/>
      <c r="AP2039" s="38"/>
      <c r="AQ2039" s="38"/>
      <c r="AR2039" s="38"/>
      <c r="AS2039" s="38"/>
      <c r="AT2039" s="38"/>
      <c r="AU2039" s="38"/>
      <c r="AV2039" s="38"/>
      <c r="AW2039" s="38"/>
      <c r="AX2039" s="38"/>
      <c r="AY2039" s="38"/>
      <c r="AZ2039" s="38"/>
      <c r="BA2039" s="38"/>
      <c r="BB2039" s="38"/>
      <c r="BC2039" s="38"/>
      <c r="BD2039" s="38"/>
      <c r="BE2039" s="38"/>
      <c r="BF2039" s="38"/>
      <c r="BG2039" s="38"/>
      <c r="BH2039" s="38"/>
      <c r="BI2039" s="38"/>
      <c r="BJ2039" s="38"/>
      <c r="BK2039" s="38"/>
      <c r="BL2039" s="38"/>
      <c r="BM2039" s="38"/>
      <c r="BN2039" s="38"/>
      <c r="BO2039" s="38"/>
      <c r="BP2039" s="38"/>
      <c r="BQ2039" s="38"/>
    </row>
    <row r="2040">
      <c r="A2040" s="58" t="s">
        <v>5546</v>
      </c>
      <c r="B2040" s="59"/>
      <c r="C2040" s="79">
        <v>43405.0</v>
      </c>
      <c r="D2040" s="60"/>
      <c r="E2040" s="58" t="s">
        <v>41</v>
      </c>
      <c r="F2040" s="58">
        <v>1.0</v>
      </c>
      <c r="G2040" s="58" t="s">
        <v>32</v>
      </c>
      <c r="H2040" s="43">
        <v>1.0</v>
      </c>
      <c r="I2040" s="58" t="s">
        <v>33</v>
      </c>
      <c r="J2040" s="58" t="s">
        <v>222</v>
      </c>
      <c r="K2040" s="58"/>
      <c r="L2040" s="58" t="s">
        <v>5547</v>
      </c>
      <c r="M2040" s="61" t="s">
        <v>5548</v>
      </c>
      <c r="N2040" s="80"/>
      <c r="O2040" s="88" t="str">
        <f>hyperlink("https://bad-boys.us/?q=ED-WI/1:19-cr-00017", "ED-WI 1:19-cr-00017")</f>
        <v>ED-WI 1:19-cr-00017</v>
      </c>
      <c r="P2040" s="88" t="s">
        <v>5549</v>
      </c>
      <c r="Q2040" s="58">
        <v>1.0</v>
      </c>
      <c r="R2040" s="62"/>
      <c r="S2040" s="37"/>
      <c r="T2040" s="38"/>
      <c r="U2040" s="38" t="b">
        <f t="shared" si="314"/>
        <v>0</v>
      </c>
      <c r="V2040" s="38" t="s">
        <v>33</v>
      </c>
      <c r="W2040" s="40"/>
      <c r="X2040" s="40"/>
      <c r="Y2040" s="40"/>
      <c r="Z2040" s="38"/>
      <c r="AA2040" s="38"/>
      <c r="AB2040" s="38"/>
      <c r="AC2040" s="38"/>
      <c r="AD2040" s="38"/>
      <c r="AE2040" s="38"/>
      <c r="AF2040" s="38"/>
      <c r="AG2040" s="38"/>
      <c r="AH2040" s="38"/>
      <c r="AI2040" s="38"/>
      <c r="AJ2040" s="38"/>
      <c r="AK2040" s="38"/>
      <c r="AL2040" s="38"/>
      <c r="AM2040" s="38"/>
      <c r="AN2040" s="38"/>
      <c r="AO2040" s="38"/>
      <c r="AP2040" s="38"/>
      <c r="AQ2040" s="38"/>
      <c r="AR2040" s="38"/>
      <c r="AS2040" s="38"/>
      <c r="AT2040" s="38"/>
      <c r="AU2040" s="38"/>
      <c r="AV2040" s="38"/>
      <c r="AW2040" s="38"/>
      <c r="AX2040" s="38"/>
      <c r="AY2040" s="38"/>
      <c r="AZ2040" s="38"/>
      <c r="BA2040" s="38"/>
      <c r="BB2040" s="38"/>
      <c r="BC2040" s="38"/>
      <c r="BD2040" s="38"/>
      <c r="BE2040" s="38"/>
      <c r="BF2040" s="38"/>
      <c r="BG2040" s="38"/>
      <c r="BH2040" s="38"/>
      <c r="BI2040" s="38"/>
      <c r="BJ2040" s="38"/>
      <c r="BK2040" s="38"/>
      <c r="BL2040" s="38"/>
      <c r="BM2040" s="38"/>
      <c r="BN2040" s="38"/>
      <c r="BO2040" s="38"/>
      <c r="BP2040" s="38"/>
      <c r="BQ2040" s="38"/>
    </row>
    <row r="2041">
      <c r="A2041" s="87" t="s">
        <v>5550</v>
      </c>
      <c r="B2041" s="99">
        <v>43455.0</v>
      </c>
      <c r="C2041" s="100">
        <v>43405.0</v>
      </c>
      <c r="D2041" s="144" t="s">
        <v>3450</v>
      </c>
      <c r="E2041" s="37" t="s">
        <v>41</v>
      </c>
      <c r="F2041" s="37">
        <v>1.0</v>
      </c>
      <c r="G2041" s="37">
        <v>1.0</v>
      </c>
      <c r="H2041" s="33">
        <f t="shared" ref="H2041:H2042" si="316">if(G2041="Unknown",1,G2041)</f>
        <v>1</v>
      </c>
      <c r="I2041" s="37" t="s">
        <v>33</v>
      </c>
      <c r="J2041" s="37" t="s">
        <v>179</v>
      </c>
      <c r="K2041" s="37">
        <v>3.0</v>
      </c>
      <c r="L2041" s="37" t="s">
        <v>5551</v>
      </c>
      <c r="M2041" s="36" t="s">
        <v>5552</v>
      </c>
      <c r="N2041" s="14"/>
      <c r="O2041" s="57" t="str">
        <f>hyperlink("https://bad-boys.us/?q=ED-VA/2:18-cr-00166", "ED-VA 2:18-cr-00166")</f>
        <v>ED-VA 2:18-cr-00166</v>
      </c>
      <c r="P2041" s="37"/>
      <c r="Q2041" s="37">
        <v>1.0</v>
      </c>
      <c r="R2041" s="16"/>
      <c r="S2041" s="37" t="str">
        <f>IFERROR(__xludf.DUMMYFUNCTION("if(not(iserror(index(split(C2041, "" ""),2))), index(split(C2041, "" ""),1),"""")"),"November,")</f>
        <v>November,</v>
      </c>
      <c r="T2041" s="38">
        <f>IFERROR(__xludf.DUMMYFUNCTION("if(S2041="""",C2041,if(not(iserror(index(split(C2041, "" ""),3))), index(split(C2041, "" ""),3),index(split(C2041, "" ""),2)))"),2018.0)</f>
        <v>2018</v>
      </c>
      <c r="U2041" s="38" t="b">
        <f t="shared" si="314"/>
        <v>0</v>
      </c>
      <c r="V2041" s="38"/>
      <c r="W2041" s="40"/>
      <c r="X2041" s="40"/>
      <c r="Y2041" s="40"/>
      <c r="Z2041" s="38"/>
      <c r="AA2041" s="38"/>
      <c r="AB2041" s="38"/>
      <c r="AC2041" s="38"/>
      <c r="AD2041" s="38"/>
      <c r="AE2041" s="38"/>
      <c r="AF2041" s="38"/>
      <c r="AG2041" s="38"/>
      <c r="AH2041" s="38"/>
      <c r="AI2041" s="38"/>
      <c r="AJ2041" s="38"/>
      <c r="AK2041" s="38"/>
      <c r="AL2041" s="38"/>
      <c r="AM2041" s="38"/>
      <c r="AN2041" s="38"/>
      <c r="AO2041" s="38"/>
      <c r="AP2041" s="38"/>
      <c r="AQ2041" s="38"/>
      <c r="AR2041" s="38"/>
      <c r="AS2041" s="38"/>
      <c r="AT2041" s="38"/>
      <c r="AU2041" s="38"/>
      <c r="AV2041" s="38"/>
      <c r="AW2041" s="38"/>
      <c r="AX2041" s="38"/>
      <c r="AY2041" s="38"/>
      <c r="AZ2041" s="38"/>
      <c r="BA2041" s="38"/>
      <c r="BB2041" s="38"/>
      <c r="BC2041" s="38"/>
      <c r="BD2041" s="38"/>
      <c r="BE2041" s="38"/>
      <c r="BF2041" s="38"/>
      <c r="BG2041" s="38"/>
      <c r="BH2041" s="38"/>
      <c r="BI2041" s="38"/>
      <c r="BJ2041" s="38"/>
      <c r="BK2041" s="38"/>
      <c r="BL2041" s="38"/>
      <c r="BM2041" s="38"/>
      <c r="BN2041" s="38"/>
      <c r="BO2041" s="38"/>
      <c r="BP2041" s="38"/>
      <c r="BQ2041" s="38"/>
    </row>
    <row r="2042">
      <c r="A2042" s="47" t="s">
        <v>5553</v>
      </c>
      <c r="B2042" s="48">
        <v>43468.0</v>
      </c>
      <c r="C2042" s="89">
        <v>43405.0</v>
      </c>
      <c r="D2042" s="49" t="s">
        <v>2460</v>
      </c>
      <c r="E2042" s="47" t="s">
        <v>41</v>
      </c>
      <c r="F2042" s="47">
        <v>1.0</v>
      </c>
      <c r="G2042" s="47" t="s">
        <v>32</v>
      </c>
      <c r="H2042" s="33">
        <f t="shared" si="316"/>
        <v>1</v>
      </c>
      <c r="I2042" s="47" t="s">
        <v>33</v>
      </c>
      <c r="J2042" s="47" t="s">
        <v>413</v>
      </c>
      <c r="K2042" s="47">
        <v>4.0</v>
      </c>
      <c r="L2042" s="47" t="s">
        <v>76</v>
      </c>
      <c r="M2042" s="52" t="s">
        <v>5554</v>
      </c>
      <c r="N2042" s="52"/>
      <c r="O2042" s="53" t="str">
        <f>hyperlink("https://bad-boys.us/?q=D-VT/5:19-cr-00001", "D-VT 5:19-cr-00001")</f>
        <v>D-VT 5:19-cr-00001</v>
      </c>
      <c r="P2042" s="54" t="s">
        <v>5555</v>
      </c>
      <c r="Q2042" s="47">
        <v>1.0</v>
      </c>
      <c r="R2042" s="55"/>
      <c r="S2042" s="37" t="str">
        <f>IFERROR(__xludf.DUMMYFUNCTION("if(not(iserror(index(split(C2042, "" ""),2))), index(split(C2042, "" ""),1),"""")"),"November,")</f>
        <v>November,</v>
      </c>
      <c r="T2042" s="38">
        <f>IFERROR(__xludf.DUMMYFUNCTION("if(S2042="""",C2042,if(not(iserror(index(split(C2042, "" ""),3))), index(split(C2042, "" ""),3),index(split(C2042, "" ""),2)))"),2018.0)</f>
        <v>2018</v>
      </c>
      <c r="U2042" s="38" t="b">
        <f t="shared" si="314"/>
        <v>0</v>
      </c>
      <c r="V2042" s="38"/>
      <c r="W2042" s="40"/>
      <c r="X2042" s="40"/>
      <c r="Y2042" s="40"/>
      <c r="Z2042" s="38"/>
      <c r="AA2042" s="38"/>
      <c r="AB2042" s="38"/>
      <c r="AC2042" s="38"/>
      <c r="AD2042" s="38"/>
      <c r="AE2042" s="38"/>
      <c r="AF2042" s="38"/>
      <c r="AG2042" s="38"/>
      <c r="AH2042" s="38"/>
      <c r="AI2042" s="38"/>
      <c r="AJ2042" s="38"/>
      <c r="AK2042" s="38"/>
      <c r="AL2042" s="38"/>
      <c r="AM2042" s="38"/>
      <c r="AN2042" s="38"/>
      <c r="AO2042" s="38"/>
      <c r="AP2042" s="38"/>
      <c r="AQ2042" s="38"/>
      <c r="AR2042" s="38"/>
      <c r="AS2042" s="38"/>
      <c r="AT2042" s="38"/>
      <c r="AU2042" s="38"/>
      <c r="AV2042" s="38"/>
      <c r="AW2042" s="38"/>
      <c r="AX2042" s="38"/>
      <c r="AY2042" s="38"/>
      <c r="AZ2042" s="38"/>
      <c r="BA2042" s="38"/>
      <c r="BB2042" s="38"/>
      <c r="BC2042" s="38"/>
      <c r="BD2042" s="38"/>
      <c r="BE2042" s="38"/>
      <c r="BF2042" s="38"/>
      <c r="BG2042" s="38"/>
      <c r="BH2042" s="38"/>
      <c r="BI2042" s="38"/>
      <c r="BJ2042" s="38"/>
      <c r="BK2042" s="38"/>
      <c r="BL2042" s="38"/>
      <c r="BM2042" s="38"/>
      <c r="BN2042" s="38"/>
      <c r="BO2042" s="38"/>
      <c r="BP2042" s="38"/>
      <c r="BQ2042" s="38"/>
    </row>
    <row r="2043">
      <c r="A2043" s="47" t="s">
        <v>5556</v>
      </c>
      <c r="B2043" s="48">
        <v>43494.0</v>
      </c>
      <c r="C2043" s="89">
        <v>43405.0</v>
      </c>
      <c r="D2043" s="49" t="s">
        <v>3450</v>
      </c>
      <c r="E2043" s="47" t="s">
        <v>31</v>
      </c>
      <c r="F2043" s="47">
        <v>1.0</v>
      </c>
      <c r="G2043" s="47" t="s">
        <v>32</v>
      </c>
      <c r="H2043" s="50">
        <v>1.0</v>
      </c>
      <c r="I2043" s="47" t="s">
        <v>33</v>
      </c>
      <c r="J2043" s="47" t="s">
        <v>132</v>
      </c>
      <c r="K2043" s="47">
        <v>3.0</v>
      </c>
      <c r="L2043" s="47" t="s">
        <v>76</v>
      </c>
      <c r="M2043" s="52" t="s">
        <v>5557</v>
      </c>
      <c r="N2043" s="51" t="s">
        <v>5558</v>
      </c>
      <c r="O2043" s="53" t="str">
        <f>hyperlink("https://bad-boys.us/?q=SD-MS/3:18-cr-00224", "SD-MS 3:18-cr-00224")</f>
        <v>SD-MS 3:18-cr-00224</v>
      </c>
      <c r="P2043" s="54" t="s">
        <v>5559</v>
      </c>
      <c r="Q2043" s="47">
        <v>1.0</v>
      </c>
      <c r="R2043" s="55"/>
      <c r="S2043" s="37" t="str">
        <f>IFERROR(__xludf.DUMMYFUNCTION("if(not(iserror(index(split(C2043, "" ""),2))), index(split(C2043, "" ""),1),"""")"),"November,")</f>
        <v>November,</v>
      </c>
      <c r="T2043" s="38">
        <f>IFERROR(__xludf.DUMMYFUNCTION("if(S2043="""",C2043,if(not(iserror(index(split(C2043, "" ""),3))), index(split(C2043, "" ""),3),index(split(C2043, "" ""),2)))"),2018.0)</f>
        <v>2018</v>
      </c>
      <c r="U2043" s="38" t="b">
        <f t="shared" si="314"/>
        <v>0</v>
      </c>
      <c r="V2043" s="38" t="s">
        <v>33</v>
      </c>
      <c r="W2043" s="40"/>
      <c r="X2043" s="40"/>
      <c r="Y2043" s="40"/>
      <c r="Z2043" s="38"/>
      <c r="AA2043" s="38"/>
      <c r="AB2043" s="38"/>
      <c r="AC2043" s="38"/>
      <c r="AD2043" s="38"/>
      <c r="AE2043" s="38"/>
      <c r="AF2043" s="38"/>
      <c r="AG2043" s="38"/>
      <c r="AH2043" s="38"/>
      <c r="AI2043" s="38"/>
      <c r="AJ2043" s="38"/>
      <c r="AK2043" s="38"/>
      <c r="AL2043" s="38"/>
      <c r="AM2043" s="38"/>
      <c r="AN2043" s="38"/>
      <c r="AO2043" s="38"/>
      <c r="AP2043" s="38"/>
      <c r="AQ2043" s="38"/>
      <c r="AR2043" s="38"/>
      <c r="AS2043" s="38"/>
      <c r="AT2043" s="38"/>
      <c r="AU2043" s="38"/>
      <c r="AV2043" s="38"/>
      <c r="AW2043" s="38"/>
      <c r="AX2043" s="38"/>
      <c r="AY2043" s="38"/>
      <c r="AZ2043" s="38"/>
      <c r="BA2043" s="38"/>
      <c r="BB2043" s="38"/>
      <c r="BC2043" s="38"/>
      <c r="BD2043" s="38"/>
      <c r="BE2043" s="38"/>
      <c r="BF2043" s="38"/>
      <c r="BG2043" s="38"/>
      <c r="BH2043" s="38"/>
      <c r="BI2043" s="38"/>
      <c r="BJ2043" s="38"/>
      <c r="BK2043" s="38"/>
      <c r="BL2043" s="38"/>
      <c r="BM2043" s="38"/>
      <c r="BN2043" s="38"/>
      <c r="BO2043" s="38"/>
      <c r="BP2043" s="38"/>
      <c r="BQ2043" s="38"/>
    </row>
    <row r="2044">
      <c r="A2044" s="37" t="s">
        <v>5560</v>
      </c>
      <c r="B2044" s="99">
        <v>43454.0</v>
      </c>
      <c r="C2044" s="99">
        <v>43405.0</v>
      </c>
      <c r="D2044" s="99" t="s">
        <v>5561</v>
      </c>
      <c r="E2044" s="37" t="s">
        <v>41</v>
      </c>
      <c r="F2044" s="37">
        <v>1.0</v>
      </c>
      <c r="G2044" s="37">
        <v>2.0</v>
      </c>
      <c r="H2044" s="267">
        <v>2.0</v>
      </c>
      <c r="I2044" s="37" t="s">
        <v>33</v>
      </c>
      <c r="J2044" s="37" t="s">
        <v>410</v>
      </c>
      <c r="K2044" s="37">
        <v>3.0</v>
      </c>
      <c r="L2044" s="37" t="s">
        <v>5562</v>
      </c>
      <c r="M2044" s="14" t="s">
        <v>5563</v>
      </c>
      <c r="N2044" s="14" t="s">
        <v>5564</v>
      </c>
      <c r="O2044" s="57" t="str">
        <f>hyperlink("https://bad-boys.us/?q=D-CT/3:18-cr-00223", "D-CT 3:18-cr-00223")</f>
        <v>D-CT 3:18-cr-00223</v>
      </c>
      <c r="P2044" s="86" t="s">
        <v>5565</v>
      </c>
      <c r="Q2044" s="37">
        <v>1.0</v>
      </c>
      <c r="R2044" s="16"/>
      <c r="S2044" s="37" t="s">
        <v>5566</v>
      </c>
      <c r="T2044" s="38">
        <v>2018.0</v>
      </c>
      <c r="U2044" s="38" t="b">
        <f t="shared" si="314"/>
        <v>0</v>
      </c>
      <c r="V2044" s="37"/>
      <c r="W2044" s="14"/>
      <c r="X2044" s="14"/>
      <c r="Y2044" s="104"/>
      <c r="Z2044" s="64"/>
      <c r="AA2044" s="64"/>
      <c r="AB2044" s="64"/>
      <c r="AC2044" s="64"/>
      <c r="AD2044" s="64"/>
      <c r="AE2044" s="64"/>
      <c r="AF2044" s="64"/>
      <c r="AG2044" s="64"/>
      <c r="AH2044" s="64"/>
      <c r="AI2044" s="64"/>
      <c r="AJ2044" s="64"/>
      <c r="AK2044" s="64"/>
      <c r="AL2044" s="64"/>
      <c r="AM2044" s="64"/>
      <c r="AN2044" s="64"/>
      <c r="AO2044" s="64"/>
      <c r="AP2044" s="64"/>
      <c r="AQ2044" s="64"/>
      <c r="AR2044" s="64"/>
      <c r="AS2044" s="64"/>
      <c r="AT2044" s="64"/>
      <c r="AU2044" s="64"/>
      <c r="AV2044" s="64"/>
      <c r="AW2044" s="64"/>
      <c r="AX2044" s="64"/>
      <c r="AY2044" s="64"/>
      <c r="AZ2044" s="64"/>
      <c r="BA2044" s="64"/>
      <c r="BB2044" s="64"/>
      <c r="BC2044" s="64"/>
      <c r="BD2044" s="64"/>
      <c r="BE2044" s="64"/>
      <c r="BF2044" s="64"/>
      <c r="BG2044" s="64"/>
      <c r="BH2044" s="64"/>
      <c r="BI2044" s="64"/>
      <c r="BJ2044" s="64"/>
      <c r="BK2044" s="64"/>
      <c r="BL2044" s="64"/>
      <c r="BM2044" s="64"/>
      <c r="BN2044" s="64"/>
      <c r="BO2044" s="64"/>
      <c r="BP2044" s="64"/>
      <c r="BQ2044" s="64"/>
    </row>
    <row r="2045">
      <c r="A2045" s="37" t="s">
        <v>5567</v>
      </c>
      <c r="B2045" s="99"/>
      <c r="C2045" s="99">
        <v>43405.0</v>
      </c>
      <c r="D2045" s="99"/>
      <c r="E2045" s="37" t="s">
        <v>41</v>
      </c>
      <c r="F2045" s="37">
        <v>1.0</v>
      </c>
      <c r="G2045" s="37">
        <v>7.0</v>
      </c>
      <c r="H2045" s="200">
        <v>7.0</v>
      </c>
      <c r="I2045" s="37" t="s">
        <v>33</v>
      </c>
      <c r="J2045" s="37" t="s">
        <v>440</v>
      </c>
      <c r="K2045" s="37"/>
      <c r="L2045" s="37" t="s">
        <v>76</v>
      </c>
      <c r="M2045" s="36" t="s">
        <v>5568</v>
      </c>
      <c r="N2045" s="36" t="s">
        <v>5569</v>
      </c>
      <c r="O2045" s="64"/>
      <c r="P2045" s="37"/>
      <c r="Q2045" s="37"/>
      <c r="R2045" s="16"/>
      <c r="S2045" s="37"/>
      <c r="T2045" s="38"/>
      <c r="U2045" s="38"/>
      <c r="V2045" s="37" t="s">
        <v>33</v>
      </c>
      <c r="W2045" s="36" t="s">
        <v>5570</v>
      </c>
      <c r="X2045" s="14"/>
      <c r="Y2045" s="104"/>
      <c r="Z2045" s="64"/>
      <c r="AA2045" s="64"/>
      <c r="AB2045" s="64"/>
      <c r="AC2045" s="64"/>
      <c r="AD2045" s="64"/>
      <c r="AE2045" s="64"/>
      <c r="AF2045" s="64"/>
      <c r="AG2045" s="64"/>
      <c r="AH2045" s="64"/>
      <c r="AI2045" s="64"/>
      <c r="AJ2045" s="64"/>
      <c r="AK2045" s="64"/>
      <c r="AL2045" s="64"/>
      <c r="AM2045" s="64"/>
      <c r="AN2045" s="64"/>
      <c r="AO2045" s="64"/>
      <c r="AP2045" s="64"/>
      <c r="AQ2045" s="64"/>
      <c r="AR2045" s="64"/>
      <c r="AS2045" s="64"/>
      <c r="AT2045" s="64"/>
      <c r="AU2045" s="64"/>
      <c r="AV2045" s="64"/>
      <c r="AW2045" s="64"/>
      <c r="AX2045" s="64"/>
      <c r="AY2045" s="64"/>
      <c r="AZ2045" s="64"/>
      <c r="BA2045" s="64"/>
      <c r="BB2045" s="64"/>
      <c r="BC2045" s="64"/>
      <c r="BD2045" s="64"/>
      <c r="BE2045" s="64"/>
      <c r="BF2045" s="64"/>
      <c r="BG2045" s="64"/>
      <c r="BH2045" s="64"/>
      <c r="BI2045" s="64"/>
      <c r="BJ2045" s="64"/>
      <c r="BK2045" s="64"/>
      <c r="BL2045" s="64"/>
      <c r="BM2045" s="64"/>
      <c r="BN2045" s="64"/>
      <c r="BO2045" s="64"/>
      <c r="BP2045" s="64"/>
      <c r="BQ2045" s="64"/>
    </row>
    <row r="2046">
      <c r="A2046" s="37" t="s">
        <v>5571</v>
      </c>
      <c r="B2046" s="99">
        <v>43405.0</v>
      </c>
      <c r="C2046" s="99">
        <v>43405.0</v>
      </c>
      <c r="D2046" s="99" t="s">
        <v>5561</v>
      </c>
      <c r="E2046" s="37" t="s">
        <v>31</v>
      </c>
      <c r="F2046" s="37">
        <v>1.0</v>
      </c>
      <c r="G2046" s="37" t="s">
        <v>32</v>
      </c>
      <c r="H2046" s="267">
        <v>1.0</v>
      </c>
      <c r="I2046" s="37" t="s">
        <v>33</v>
      </c>
      <c r="J2046" s="37" t="s">
        <v>124</v>
      </c>
      <c r="K2046" s="37">
        <v>3.0</v>
      </c>
      <c r="L2046" s="37" t="s">
        <v>76</v>
      </c>
      <c r="M2046" s="14" t="s">
        <v>5572</v>
      </c>
      <c r="N2046" s="14" t="s">
        <v>5573</v>
      </c>
      <c r="O2046" s="64"/>
      <c r="P2046" s="37"/>
      <c r="Q2046" s="37"/>
      <c r="R2046" s="16"/>
      <c r="S2046" s="37" t="s">
        <v>5566</v>
      </c>
      <c r="T2046" s="38">
        <v>2018.0</v>
      </c>
      <c r="U2046" s="38" t="b">
        <f t="shared" ref="U2046:U2055" si="317">countif(A$4:A4658, A2046)&gt;1</f>
        <v>0</v>
      </c>
      <c r="V2046" s="37"/>
      <c r="W2046" s="14"/>
      <c r="X2046" s="14"/>
      <c r="Y2046" s="104"/>
      <c r="Z2046" s="64"/>
      <c r="AA2046" s="64"/>
      <c r="AB2046" s="64"/>
      <c r="AC2046" s="64"/>
      <c r="AD2046" s="64"/>
      <c r="AE2046" s="64"/>
      <c r="AF2046" s="64"/>
      <c r="AG2046" s="64"/>
      <c r="AH2046" s="64"/>
      <c r="AI2046" s="64"/>
      <c r="AJ2046" s="64"/>
      <c r="AK2046" s="64"/>
      <c r="AL2046" s="64"/>
      <c r="AM2046" s="64"/>
      <c r="AN2046" s="64"/>
      <c r="AO2046" s="64"/>
      <c r="AP2046" s="64"/>
      <c r="AQ2046" s="64"/>
      <c r="AR2046" s="64"/>
      <c r="AS2046" s="64"/>
      <c r="AT2046" s="64"/>
      <c r="AU2046" s="64"/>
      <c r="AV2046" s="64"/>
      <c r="AW2046" s="64"/>
      <c r="AX2046" s="64"/>
      <c r="AY2046" s="64"/>
      <c r="AZ2046" s="64"/>
      <c r="BA2046" s="64"/>
      <c r="BB2046" s="64"/>
      <c r="BC2046" s="64"/>
      <c r="BD2046" s="64"/>
      <c r="BE2046" s="64"/>
      <c r="BF2046" s="64"/>
      <c r="BG2046" s="64"/>
      <c r="BH2046" s="64"/>
      <c r="BI2046" s="64"/>
      <c r="BJ2046" s="64"/>
      <c r="BK2046" s="64"/>
      <c r="BL2046" s="64"/>
      <c r="BM2046" s="64"/>
      <c r="BN2046" s="64"/>
      <c r="BO2046" s="64"/>
      <c r="BP2046" s="64"/>
      <c r="BQ2046" s="64"/>
    </row>
    <row r="2047">
      <c r="A2047" s="37" t="s">
        <v>5574</v>
      </c>
      <c r="B2047" s="99" t="s">
        <v>5528</v>
      </c>
      <c r="C2047" s="99">
        <v>43405.0</v>
      </c>
      <c r="D2047" s="99" t="s">
        <v>5561</v>
      </c>
      <c r="E2047" s="37" t="s">
        <v>41</v>
      </c>
      <c r="F2047" s="37">
        <v>1.0</v>
      </c>
      <c r="G2047" s="37">
        <v>24.0</v>
      </c>
      <c r="H2047" s="267">
        <v>24.0</v>
      </c>
      <c r="I2047" s="37" t="s">
        <v>33</v>
      </c>
      <c r="J2047" s="37" t="s">
        <v>147</v>
      </c>
      <c r="K2047" s="37">
        <v>3.0</v>
      </c>
      <c r="L2047" s="37" t="s">
        <v>52</v>
      </c>
      <c r="M2047" s="14" t="s">
        <v>5575</v>
      </c>
      <c r="N2047" s="14"/>
      <c r="O2047" s="64"/>
      <c r="P2047" s="91"/>
      <c r="Q2047" s="37"/>
      <c r="R2047" s="16"/>
      <c r="S2047" s="37" t="s">
        <v>5566</v>
      </c>
      <c r="T2047" s="38">
        <v>2018.0</v>
      </c>
      <c r="U2047" s="38" t="b">
        <f t="shared" si="317"/>
        <v>0</v>
      </c>
      <c r="V2047" s="37"/>
      <c r="W2047" s="14"/>
      <c r="X2047" s="14"/>
      <c r="Y2047" s="104"/>
      <c r="Z2047" s="64"/>
      <c r="AA2047" s="64"/>
      <c r="AB2047" s="64"/>
      <c r="AC2047" s="64"/>
      <c r="AD2047" s="64"/>
      <c r="AE2047" s="64"/>
      <c r="AF2047" s="64"/>
      <c r="AG2047" s="64"/>
      <c r="AH2047" s="64"/>
      <c r="AI2047" s="64"/>
      <c r="AJ2047" s="64"/>
      <c r="AK2047" s="64"/>
      <c r="AL2047" s="64"/>
      <c r="AM2047" s="64"/>
      <c r="AN2047" s="64"/>
      <c r="AO2047" s="64"/>
      <c r="AP2047" s="64"/>
      <c r="AQ2047" s="64"/>
      <c r="AR2047" s="64"/>
      <c r="AS2047" s="64"/>
      <c r="AT2047" s="64"/>
      <c r="AU2047" s="64"/>
      <c r="AV2047" s="64"/>
      <c r="AW2047" s="64"/>
      <c r="AX2047" s="64"/>
      <c r="AY2047" s="64"/>
      <c r="AZ2047" s="64"/>
      <c r="BA2047" s="64"/>
      <c r="BB2047" s="64"/>
      <c r="BC2047" s="64"/>
      <c r="BD2047" s="64"/>
      <c r="BE2047" s="64"/>
      <c r="BF2047" s="64"/>
      <c r="BG2047" s="64"/>
      <c r="BH2047" s="64"/>
      <c r="BI2047" s="64"/>
      <c r="BJ2047" s="64"/>
      <c r="BK2047" s="64"/>
      <c r="BL2047" s="64"/>
      <c r="BM2047" s="64"/>
      <c r="BN2047" s="64"/>
      <c r="BO2047" s="64"/>
      <c r="BP2047" s="64"/>
      <c r="BQ2047" s="64"/>
    </row>
    <row r="2048">
      <c r="A2048" s="37" t="s">
        <v>5576</v>
      </c>
      <c r="B2048" s="99"/>
      <c r="C2048" s="99">
        <v>43405.0</v>
      </c>
      <c r="D2048" s="99"/>
      <c r="E2048" s="37" t="s">
        <v>41</v>
      </c>
      <c r="F2048" s="37">
        <v>1.0</v>
      </c>
      <c r="G2048" s="37" t="s">
        <v>32</v>
      </c>
      <c r="H2048" s="200">
        <v>1.0</v>
      </c>
      <c r="I2048" s="37" t="s">
        <v>33</v>
      </c>
      <c r="J2048" s="37" t="s">
        <v>111</v>
      </c>
      <c r="K2048" s="37"/>
      <c r="L2048" s="37" t="s">
        <v>35</v>
      </c>
      <c r="M2048" s="36" t="s">
        <v>5577</v>
      </c>
      <c r="N2048" s="14"/>
      <c r="O2048" s="16"/>
      <c r="P2048" s="37"/>
      <c r="Q2048" s="37"/>
      <c r="R2048" s="16"/>
      <c r="S2048" s="37"/>
      <c r="T2048" s="38"/>
      <c r="U2048" s="38" t="b">
        <f t="shared" si="317"/>
        <v>0</v>
      </c>
      <c r="V2048" s="37" t="s">
        <v>33</v>
      </c>
      <c r="W2048" s="14"/>
      <c r="X2048" s="14"/>
      <c r="Y2048" s="15"/>
      <c r="Z2048" s="16"/>
      <c r="AA2048" s="16"/>
      <c r="AB2048" s="16"/>
      <c r="AC2048" s="16"/>
      <c r="AD2048" s="16"/>
      <c r="AE2048" s="16"/>
      <c r="AF2048" s="16"/>
      <c r="AG2048" s="16"/>
      <c r="AH2048" s="16"/>
      <c r="AI2048" s="16"/>
      <c r="AJ2048" s="16"/>
      <c r="AK2048" s="16"/>
      <c r="AL2048" s="16"/>
      <c r="AM2048" s="16"/>
      <c r="AN2048" s="16"/>
      <c r="AO2048" s="16"/>
      <c r="AP2048" s="16"/>
      <c r="AQ2048" s="16"/>
      <c r="AR2048" s="16"/>
      <c r="AS2048" s="16"/>
      <c r="AT2048" s="16"/>
      <c r="AU2048" s="16"/>
      <c r="AV2048" s="16"/>
      <c r="AW2048" s="16"/>
      <c r="AX2048" s="16"/>
      <c r="AY2048" s="16"/>
      <c r="AZ2048" s="16"/>
      <c r="BA2048" s="16"/>
      <c r="BB2048" s="16"/>
      <c r="BC2048" s="16"/>
      <c r="BD2048" s="16"/>
      <c r="BE2048" s="16"/>
      <c r="BF2048" s="16"/>
      <c r="BG2048" s="16"/>
      <c r="BH2048" s="16"/>
      <c r="BI2048" s="16"/>
      <c r="BJ2048" s="16"/>
      <c r="BK2048" s="16"/>
      <c r="BL2048" s="16"/>
      <c r="BM2048" s="16"/>
      <c r="BN2048" s="16"/>
      <c r="BO2048" s="16"/>
      <c r="BP2048" s="16"/>
      <c r="BQ2048" s="16"/>
    </row>
    <row r="2049">
      <c r="A2049" s="37" t="s">
        <v>5578</v>
      </c>
      <c r="B2049" s="99"/>
      <c r="C2049" s="99">
        <v>43405.0</v>
      </c>
      <c r="D2049" s="99"/>
      <c r="E2049" s="37" t="s">
        <v>31</v>
      </c>
      <c r="F2049" s="37">
        <v>1.0</v>
      </c>
      <c r="G2049" s="37" t="s">
        <v>32</v>
      </c>
      <c r="H2049" s="200">
        <v>1.0</v>
      </c>
      <c r="I2049" s="37" t="s">
        <v>33</v>
      </c>
      <c r="J2049" s="37" t="s">
        <v>42</v>
      </c>
      <c r="K2049" s="37"/>
      <c r="L2049" s="37" t="s">
        <v>76</v>
      </c>
      <c r="M2049" s="36" t="s">
        <v>5579</v>
      </c>
      <c r="N2049" s="36" t="s">
        <v>5580</v>
      </c>
      <c r="O2049" s="16"/>
      <c r="P2049" s="37"/>
      <c r="Q2049" s="37"/>
      <c r="R2049" s="16"/>
      <c r="S2049" s="37" t="str">
        <f>IFERROR(__xludf.DUMMYFUNCTION("if(not(iserror(index(split(C2049, "" ""),2))), index(split(C2049, "" ""),1),"""")"),"November")</f>
        <v>November</v>
      </c>
      <c r="T2049" s="38">
        <f>IFERROR(__xludf.DUMMYFUNCTION("if(S2049="""",C2049,if(not(iserror(index(split(C2049, "" ""),3))), index(split(C2049, "" ""),3),index(split(C2049, "" ""),2)))"),2018.0)</f>
        <v>2018</v>
      </c>
      <c r="U2049" s="38" t="b">
        <f t="shared" si="317"/>
        <v>0</v>
      </c>
      <c r="V2049" s="37" t="s">
        <v>33</v>
      </c>
      <c r="W2049" s="36" t="s">
        <v>5581</v>
      </c>
      <c r="X2049" s="36" t="s">
        <v>5582</v>
      </c>
      <c r="Y2049" s="15"/>
      <c r="Z2049" s="16"/>
      <c r="AA2049" s="16"/>
      <c r="AB2049" s="16"/>
      <c r="AC2049" s="16"/>
      <c r="AD2049" s="16"/>
      <c r="AE2049" s="16"/>
      <c r="AF2049" s="16"/>
      <c r="AG2049" s="16"/>
      <c r="AH2049" s="16"/>
      <c r="AI2049" s="16"/>
      <c r="AJ2049" s="16"/>
      <c r="AK2049" s="16"/>
      <c r="AL2049" s="16"/>
      <c r="AM2049" s="16"/>
      <c r="AN2049" s="16"/>
      <c r="AO2049" s="16"/>
      <c r="AP2049" s="16"/>
      <c r="AQ2049" s="16"/>
      <c r="AR2049" s="16"/>
      <c r="AS2049" s="16"/>
      <c r="AT2049" s="16"/>
      <c r="AU2049" s="16"/>
      <c r="AV2049" s="16"/>
      <c r="AW2049" s="16"/>
      <c r="AX2049" s="16"/>
      <c r="AY2049" s="16"/>
      <c r="AZ2049" s="16"/>
      <c r="BA2049" s="16"/>
      <c r="BB2049" s="16"/>
      <c r="BC2049" s="16"/>
      <c r="BD2049" s="16"/>
      <c r="BE2049" s="16"/>
      <c r="BF2049" s="16"/>
      <c r="BG2049" s="16"/>
      <c r="BH2049" s="16"/>
      <c r="BI2049" s="16"/>
      <c r="BJ2049" s="16"/>
      <c r="BK2049" s="16"/>
      <c r="BL2049" s="16"/>
      <c r="BM2049" s="16"/>
      <c r="BN2049" s="16"/>
      <c r="BO2049" s="16"/>
      <c r="BP2049" s="16"/>
      <c r="BQ2049" s="16"/>
    </row>
    <row r="2050">
      <c r="A2050" s="37" t="s">
        <v>5583</v>
      </c>
      <c r="B2050" s="99">
        <v>43496.0</v>
      </c>
      <c r="C2050" s="99">
        <v>43406.0</v>
      </c>
      <c r="D2050" s="99">
        <v>43406.0</v>
      </c>
      <c r="E2050" s="37" t="s">
        <v>31</v>
      </c>
      <c r="F2050" s="37">
        <v>1.0</v>
      </c>
      <c r="G2050" s="37">
        <v>1.0</v>
      </c>
      <c r="H2050" s="200">
        <v>1.0</v>
      </c>
      <c r="I2050" s="37" t="s">
        <v>33</v>
      </c>
      <c r="J2050" s="37" t="s">
        <v>144</v>
      </c>
      <c r="K2050" s="37">
        <v>3.0</v>
      </c>
      <c r="L2050" s="37" t="s">
        <v>807</v>
      </c>
      <c r="M2050" s="36" t="s">
        <v>5584</v>
      </c>
      <c r="N2050" s="36" t="s">
        <v>5585</v>
      </c>
      <c r="O2050" s="16"/>
      <c r="P2050" s="37"/>
      <c r="Q2050" s="37"/>
      <c r="R2050" s="16"/>
      <c r="S2050" s="37" t="str">
        <f>IFERROR(__xludf.DUMMYFUNCTION("if(not(iserror(index(split(C2050, "" ""),2))), index(split(C2050, "" ""),1),"""")"),"November")</f>
        <v>November</v>
      </c>
      <c r="T2050" s="38">
        <f>IFERROR(__xludf.DUMMYFUNCTION("if(S2050="""",C2050,if(not(iserror(index(split(C2050, "" ""),3))), index(split(C2050, "" ""),3),index(split(C2050, "" ""),2)))"),2018.0)</f>
        <v>2018</v>
      </c>
      <c r="U2050" s="38" t="b">
        <f t="shared" si="317"/>
        <v>0</v>
      </c>
      <c r="V2050" s="16"/>
      <c r="W2050" s="15"/>
      <c r="X2050" s="15"/>
      <c r="Y2050" s="15"/>
      <c r="Z2050" s="16"/>
      <c r="AA2050" s="16"/>
      <c r="AB2050" s="16"/>
      <c r="AC2050" s="16"/>
      <c r="AD2050" s="16"/>
      <c r="AE2050" s="16"/>
      <c r="AF2050" s="16"/>
      <c r="AG2050" s="16"/>
      <c r="AH2050" s="16"/>
      <c r="AI2050" s="16"/>
      <c r="AJ2050" s="16"/>
      <c r="AK2050" s="16"/>
      <c r="AL2050" s="16"/>
      <c r="AM2050" s="16"/>
      <c r="AN2050" s="16"/>
      <c r="AO2050" s="16"/>
      <c r="AP2050" s="16"/>
      <c r="AQ2050" s="16"/>
      <c r="AR2050" s="16"/>
      <c r="AS2050" s="16"/>
      <c r="AT2050" s="16"/>
      <c r="AU2050" s="16"/>
      <c r="AV2050" s="16"/>
      <c r="AW2050" s="16"/>
      <c r="AX2050" s="16"/>
      <c r="AY2050" s="16"/>
      <c r="AZ2050" s="16"/>
      <c r="BA2050" s="16"/>
      <c r="BB2050" s="16"/>
      <c r="BC2050" s="16"/>
      <c r="BD2050" s="16"/>
      <c r="BE2050" s="16"/>
      <c r="BF2050" s="16"/>
      <c r="BG2050" s="16"/>
      <c r="BH2050" s="16"/>
      <c r="BI2050" s="16"/>
      <c r="BJ2050" s="16"/>
      <c r="BK2050" s="16"/>
      <c r="BL2050" s="16"/>
      <c r="BM2050" s="16"/>
      <c r="BN2050" s="16"/>
      <c r="BO2050" s="16"/>
      <c r="BP2050" s="16"/>
      <c r="BQ2050" s="16"/>
    </row>
    <row r="2051">
      <c r="A2051" s="58" t="s">
        <v>239</v>
      </c>
      <c r="B2051" s="59">
        <v>43409.0</v>
      </c>
      <c r="C2051" s="59">
        <v>43408.0</v>
      </c>
      <c r="D2051" s="60" t="s">
        <v>5586</v>
      </c>
      <c r="E2051" s="58" t="s">
        <v>41</v>
      </c>
      <c r="F2051" s="58">
        <v>2.0</v>
      </c>
      <c r="G2051" s="58">
        <v>4.0</v>
      </c>
      <c r="H2051" s="33">
        <f t="shared" ref="H2051:H2054" si="318">if(G2051="Unknown",1,G2051)</f>
        <v>4</v>
      </c>
      <c r="I2051" s="58" t="s">
        <v>33</v>
      </c>
      <c r="J2051" s="58" t="s">
        <v>111</v>
      </c>
      <c r="K2051" s="58">
        <v>1.0</v>
      </c>
      <c r="L2051" s="58" t="s">
        <v>194</v>
      </c>
      <c r="M2051" s="61" t="s">
        <v>5587</v>
      </c>
      <c r="N2051" s="80"/>
      <c r="O2051" s="58"/>
      <c r="P2051" s="58"/>
      <c r="Q2051" s="84"/>
      <c r="R2051" s="62"/>
      <c r="S2051" s="37" t="str">
        <f>IFERROR(__xludf.DUMMYFUNCTION("if(not(iserror(index(split(C2051, "" ""),2))), index(split(C2051, "" ""),1),"""")"),"November")</f>
        <v>November</v>
      </c>
      <c r="T2051" s="38">
        <f>IFERROR(__xludf.DUMMYFUNCTION("if(S2051="""",C2051,if(not(iserror(index(split(C2051, "" ""),3))), index(split(C2051, "" ""),3),index(split(C2051, "" ""),2)))"),2018.0)</f>
        <v>2018</v>
      </c>
      <c r="U2051" s="38" t="b">
        <f t="shared" si="317"/>
        <v>1</v>
      </c>
      <c r="V2051" s="38"/>
      <c r="W2051" s="40"/>
      <c r="X2051" s="40"/>
      <c r="Y2051" s="40"/>
      <c r="Z2051" s="38"/>
      <c r="AA2051" s="38"/>
      <c r="AB2051" s="38"/>
      <c r="AC2051" s="38"/>
      <c r="AD2051" s="38"/>
      <c r="AE2051" s="38"/>
      <c r="AF2051" s="38"/>
      <c r="AG2051" s="38"/>
      <c r="AH2051" s="38"/>
      <c r="AI2051" s="38"/>
      <c r="AJ2051" s="38"/>
      <c r="AK2051" s="38"/>
      <c r="AL2051" s="38"/>
      <c r="AM2051" s="38"/>
      <c r="AN2051" s="38"/>
      <c r="AO2051" s="38"/>
      <c r="AP2051" s="38"/>
      <c r="AQ2051" s="38"/>
      <c r="AR2051" s="38"/>
      <c r="AS2051" s="38"/>
      <c r="AT2051" s="38"/>
      <c r="AU2051" s="38"/>
      <c r="AV2051" s="38"/>
      <c r="AW2051" s="38"/>
      <c r="AX2051" s="38"/>
      <c r="AY2051" s="38"/>
      <c r="AZ2051" s="38"/>
      <c r="BA2051" s="38"/>
      <c r="BB2051" s="38"/>
      <c r="BC2051" s="38"/>
      <c r="BD2051" s="38"/>
      <c r="BE2051" s="38"/>
      <c r="BF2051" s="38"/>
      <c r="BG2051" s="38"/>
      <c r="BH2051" s="38"/>
      <c r="BI2051" s="38"/>
      <c r="BJ2051" s="38"/>
      <c r="BK2051" s="38"/>
      <c r="BL2051" s="38"/>
      <c r="BM2051" s="38"/>
      <c r="BN2051" s="38"/>
      <c r="BO2051" s="38"/>
      <c r="BP2051" s="38"/>
      <c r="BQ2051" s="38"/>
    </row>
    <row r="2052">
      <c r="A2052" s="58" t="s">
        <v>5588</v>
      </c>
      <c r="B2052" s="59">
        <v>43410.0</v>
      </c>
      <c r="C2052" s="59">
        <v>43409.0</v>
      </c>
      <c r="D2052" s="60" t="s">
        <v>5589</v>
      </c>
      <c r="E2052" s="58" t="s">
        <v>31</v>
      </c>
      <c r="F2052" s="58">
        <v>1.0</v>
      </c>
      <c r="G2052" s="58" t="s">
        <v>32</v>
      </c>
      <c r="H2052" s="33">
        <f t="shared" si="318"/>
        <v>1</v>
      </c>
      <c r="I2052" s="58" t="s">
        <v>33</v>
      </c>
      <c r="J2052" s="58" t="s">
        <v>514</v>
      </c>
      <c r="K2052" s="58" t="s">
        <v>32</v>
      </c>
      <c r="L2052" s="58" t="s">
        <v>807</v>
      </c>
      <c r="M2052" s="61" t="s">
        <v>5590</v>
      </c>
      <c r="N2052" s="140" t="s">
        <v>5591</v>
      </c>
      <c r="O2052" s="88" t="str">
        <f>hyperlink("https://bad-boys.us/?q=ED-AR/4:18-cr-00650", "ED-AR 4:18-cr-00650")</f>
        <v>ED-AR 4:18-cr-00650</v>
      </c>
      <c r="P2052" s="58"/>
      <c r="Q2052" s="84">
        <v>1.0</v>
      </c>
      <c r="R2052" s="58">
        <v>1.0</v>
      </c>
      <c r="S2052" s="37" t="str">
        <f>IFERROR(__xludf.DUMMYFUNCTION("if(not(iserror(index(split(C2052, "" ""),2))), index(split(C2052, "" ""),1),"""")"),"November")</f>
        <v>November</v>
      </c>
      <c r="T2052" s="38">
        <f>IFERROR(__xludf.DUMMYFUNCTION("if(S2052="""",C2052,if(not(iserror(index(split(C2052, "" ""),3))), index(split(C2052, "" ""),3),index(split(C2052, "" ""),2)))"),2018.0)</f>
        <v>2018</v>
      </c>
      <c r="U2052" s="38" t="b">
        <f t="shared" si="317"/>
        <v>0</v>
      </c>
      <c r="V2052" s="38" t="s">
        <v>33</v>
      </c>
      <c r="W2052" s="39" t="s">
        <v>5592</v>
      </c>
      <c r="X2052" s="39" t="s">
        <v>5593</v>
      </c>
      <c r="Y2052" s="40"/>
      <c r="Z2052" s="38">
        <v>4630.0</v>
      </c>
      <c r="AA2052" s="38"/>
      <c r="AB2052" s="38"/>
      <c r="AC2052" s="38"/>
      <c r="AD2052" s="38"/>
      <c r="AE2052" s="38"/>
      <c r="AF2052" s="38"/>
      <c r="AG2052" s="38"/>
      <c r="AH2052" s="38"/>
      <c r="AI2052" s="38"/>
      <c r="AJ2052" s="38"/>
      <c r="AK2052" s="38"/>
      <c r="AL2052" s="38"/>
      <c r="AM2052" s="38"/>
      <c r="AN2052" s="38"/>
      <c r="AO2052" s="38"/>
      <c r="AP2052" s="38"/>
      <c r="AQ2052" s="38"/>
      <c r="AR2052" s="38"/>
      <c r="AS2052" s="38"/>
      <c r="AT2052" s="38"/>
      <c r="AU2052" s="38"/>
      <c r="AV2052" s="38"/>
      <c r="AW2052" s="38"/>
      <c r="AX2052" s="38"/>
      <c r="AY2052" s="38"/>
      <c r="AZ2052" s="38"/>
      <c r="BA2052" s="38"/>
      <c r="BB2052" s="38"/>
      <c r="BC2052" s="38"/>
      <c r="BD2052" s="38"/>
      <c r="BE2052" s="38"/>
      <c r="BF2052" s="38"/>
      <c r="BG2052" s="38"/>
      <c r="BH2052" s="38"/>
      <c r="BI2052" s="38"/>
      <c r="BJ2052" s="38"/>
      <c r="BK2052" s="38"/>
      <c r="BL2052" s="38"/>
      <c r="BM2052" s="38"/>
      <c r="BN2052" s="38"/>
      <c r="BO2052" s="38"/>
      <c r="BP2052" s="38"/>
      <c r="BQ2052" s="38"/>
    </row>
    <row r="2053">
      <c r="A2053" s="58" t="s">
        <v>239</v>
      </c>
      <c r="B2053" s="59">
        <v>43411.0</v>
      </c>
      <c r="C2053" s="59">
        <v>43410.0</v>
      </c>
      <c r="D2053" s="60" t="s">
        <v>5594</v>
      </c>
      <c r="E2053" s="58" t="s">
        <v>41</v>
      </c>
      <c r="F2053" s="58">
        <v>1.0</v>
      </c>
      <c r="G2053" s="58">
        <v>16.0</v>
      </c>
      <c r="H2053" s="33">
        <f t="shared" si="318"/>
        <v>16</v>
      </c>
      <c r="I2053" s="58" t="s">
        <v>33</v>
      </c>
      <c r="J2053" s="58" t="s">
        <v>147</v>
      </c>
      <c r="K2053" s="58">
        <v>1.0</v>
      </c>
      <c r="L2053" s="58" t="s">
        <v>194</v>
      </c>
      <c r="M2053" s="61" t="s">
        <v>5595</v>
      </c>
      <c r="N2053" s="80"/>
      <c r="O2053" s="58"/>
      <c r="P2053" s="58"/>
      <c r="Q2053" s="84"/>
      <c r="R2053" s="62"/>
      <c r="S2053" s="37" t="str">
        <f>IFERROR(__xludf.DUMMYFUNCTION("if(not(iserror(index(split(C2053, "" ""),2))), index(split(C2053, "" ""),1),"""")"),"November")</f>
        <v>November</v>
      </c>
      <c r="T2053" s="38">
        <f>IFERROR(__xludf.DUMMYFUNCTION("if(S2053="""",C2053,if(not(iserror(index(split(C2053, "" ""),3))), index(split(C2053, "" ""),3),index(split(C2053, "" ""),2)))"),2018.0)</f>
        <v>2018</v>
      </c>
      <c r="U2053" s="38" t="b">
        <f t="shared" si="317"/>
        <v>1</v>
      </c>
      <c r="V2053" s="38"/>
      <c r="W2053" s="40"/>
      <c r="X2053" s="40"/>
      <c r="Y2053" s="40"/>
      <c r="Z2053" s="38"/>
      <c r="AA2053" s="38"/>
      <c r="AB2053" s="38"/>
      <c r="AC2053" s="38"/>
      <c r="AD2053" s="38"/>
      <c r="AE2053" s="38"/>
      <c r="AF2053" s="38"/>
      <c r="AG2053" s="38"/>
      <c r="AH2053" s="38"/>
      <c r="AI2053" s="38"/>
      <c r="AJ2053" s="38"/>
      <c r="AK2053" s="38"/>
      <c r="AL2053" s="38"/>
      <c r="AM2053" s="38"/>
      <c r="AN2053" s="38"/>
      <c r="AO2053" s="38"/>
      <c r="AP2053" s="38"/>
      <c r="AQ2053" s="38"/>
      <c r="AR2053" s="38"/>
      <c r="AS2053" s="38"/>
      <c r="AT2053" s="38"/>
      <c r="AU2053" s="38"/>
      <c r="AV2053" s="38"/>
      <c r="AW2053" s="38"/>
      <c r="AX2053" s="38"/>
      <c r="AY2053" s="38"/>
      <c r="AZ2053" s="38"/>
      <c r="BA2053" s="38"/>
      <c r="BB2053" s="38"/>
      <c r="BC2053" s="38"/>
      <c r="BD2053" s="38"/>
      <c r="BE2053" s="38"/>
      <c r="BF2053" s="38"/>
      <c r="BG2053" s="38"/>
      <c r="BH2053" s="38"/>
      <c r="BI2053" s="38"/>
      <c r="BJ2053" s="38"/>
      <c r="BK2053" s="38"/>
      <c r="BL2053" s="38"/>
      <c r="BM2053" s="38"/>
      <c r="BN2053" s="38"/>
      <c r="BO2053" s="38"/>
      <c r="BP2053" s="38"/>
      <c r="BQ2053" s="38"/>
    </row>
    <row r="2054">
      <c r="A2054" s="58" t="s">
        <v>5596</v>
      </c>
      <c r="B2054" s="59">
        <v>43412.0</v>
      </c>
      <c r="C2054" s="59">
        <v>43410.0</v>
      </c>
      <c r="D2054" s="60" t="s">
        <v>5594</v>
      </c>
      <c r="E2054" s="58" t="s">
        <v>41</v>
      </c>
      <c r="F2054" s="58">
        <v>1.0</v>
      </c>
      <c r="G2054" s="58" t="s">
        <v>32</v>
      </c>
      <c r="H2054" s="33">
        <f t="shared" si="318"/>
        <v>1</v>
      </c>
      <c r="I2054" s="58" t="s">
        <v>33</v>
      </c>
      <c r="J2054" s="58" t="s">
        <v>460</v>
      </c>
      <c r="K2054" s="58">
        <v>3.0</v>
      </c>
      <c r="L2054" s="58" t="s">
        <v>35</v>
      </c>
      <c r="M2054" s="80" t="s">
        <v>5597</v>
      </c>
      <c r="N2054" s="80"/>
      <c r="O2054" s="88" t="str">
        <f>hyperlink("https://bad-boys.us/?q=SD-IA/1:18-cr-00071", "SD-IA 1:18-cr-00071")</f>
        <v>SD-IA 1:18-cr-00071</v>
      </c>
      <c r="P2054" s="88" t="s">
        <v>5598</v>
      </c>
      <c r="Q2054" s="58">
        <v>1.0</v>
      </c>
      <c r="R2054" s="62"/>
      <c r="S2054" s="37" t="str">
        <f>IFERROR(__xludf.DUMMYFUNCTION("if(not(iserror(index(split(C2054, "" ""),2))), index(split(C2054, "" ""),1),"""")"),"November")</f>
        <v>November</v>
      </c>
      <c r="T2054" s="38">
        <f>IFERROR(__xludf.DUMMYFUNCTION("if(S2054="""",C2054,if(not(iserror(index(split(C2054, "" ""),3))), index(split(C2054, "" ""),3),index(split(C2054, "" ""),2)))"),2018.0)</f>
        <v>2018</v>
      </c>
      <c r="U2054" s="38" t="b">
        <f t="shared" si="317"/>
        <v>0</v>
      </c>
      <c r="V2054" s="38"/>
      <c r="W2054" s="40"/>
      <c r="X2054" s="40"/>
      <c r="Y2054" s="40"/>
      <c r="Z2054" s="38"/>
      <c r="AA2054" s="38"/>
      <c r="AB2054" s="38"/>
      <c r="AC2054" s="38"/>
      <c r="AD2054" s="38"/>
      <c r="AE2054" s="38"/>
      <c r="AF2054" s="38"/>
      <c r="AG2054" s="38"/>
      <c r="AH2054" s="38"/>
      <c r="AI2054" s="38"/>
      <c r="AJ2054" s="38"/>
      <c r="AK2054" s="38"/>
      <c r="AL2054" s="38"/>
      <c r="AM2054" s="38"/>
      <c r="AN2054" s="38"/>
      <c r="AO2054" s="38"/>
      <c r="AP2054" s="38"/>
      <c r="AQ2054" s="38"/>
      <c r="AR2054" s="38"/>
      <c r="AS2054" s="38"/>
      <c r="AT2054" s="38"/>
      <c r="AU2054" s="38"/>
      <c r="AV2054" s="38"/>
      <c r="AW2054" s="38"/>
      <c r="AX2054" s="38"/>
      <c r="AY2054" s="38"/>
      <c r="AZ2054" s="38"/>
      <c r="BA2054" s="38"/>
      <c r="BB2054" s="38"/>
      <c r="BC2054" s="38"/>
      <c r="BD2054" s="38"/>
      <c r="BE2054" s="38"/>
      <c r="BF2054" s="38"/>
      <c r="BG2054" s="38"/>
      <c r="BH2054" s="38"/>
      <c r="BI2054" s="38"/>
      <c r="BJ2054" s="38"/>
      <c r="BK2054" s="38"/>
      <c r="BL2054" s="38"/>
      <c r="BM2054" s="38"/>
      <c r="BN2054" s="38"/>
      <c r="BO2054" s="38"/>
      <c r="BP2054" s="38"/>
      <c r="BQ2054" s="38"/>
    </row>
    <row r="2055">
      <c r="A2055" s="58" t="s">
        <v>5599</v>
      </c>
      <c r="B2055" s="59"/>
      <c r="C2055" s="59">
        <v>43410.0</v>
      </c>
      <c r="D2055" s="60"/>
      <c r="E2055" s="58" t="s">
        <v>41</v>
      </c>
      <c r="F2055" s="58">
        <v>1.0</v>
      </c>
      <c r="G2055" s="58" t="s">
        <v>32</v>
      </c>
      <c r="H2055" s="43">
        <v>1.0</v>
      </c>
      <c r="I2055" s="58" t="s">
        <v>33</v>
      </c>
      <c r="J2055" s="58" t="s">
        <v>162</v>
      </c>
      <c r="K2055" s="58"/>
      <c r="L2055" s="58" t="s">
        <v>99</v>
      </c>
      <c r="M2055" s="61" t="s">
        <v>5600</v>
      </c>
      <c r="N2055" s="80"/>
      <c r="O2055" s="58"/>
      <c r="P2055" s="58"/>
      <c r="Q2055" s="58"/>
      <c r="R2055" s="62"/>
      <c r="S2055" s="37"/>
      <c r="T2055" s="38"/>
      <c r="U2055" s="38" t="b">
        <f t="shared" si="317"/>
        <v>0</v>
      </c>
      <c r="V2055" s="38" t="s">
        <v>33</v>
      </c>
      <c r="W2055" s="40"/>
      <c r="X2055" s="40"/>
      <c r="Y2055" s="40"/>
      <c r="Z2055" s="38"/>
      <c r="AA2055" s="38"/>
      <c r="AB2055" s="38"/>
      <c r="AC2055" s="38"/>
      <c r="AD2055" s="38"/>
      <c r="AE2055" s="38"/>
      <c r="AF2055" s="38"/>
      <c r="AG2055" s="38"/>
      <c r="AH2055" s="38"/>
      <c r="AI2055" s="38"/>
      <c r="AJ2055" s="38"/>
      <c r="AK2055" s="38"/>
      <c r="AL2055" s="38"/>
      <c r="AM2055" s="38"/>
      <c r="AN2055" s="38"/>
      <c r="AO2055" s="38"/>
      <c r="AP2055" s="38"/>
      <c r="AQ2055" s="38"/>
      <c r="AR2055" s="38"/>
      <c r="AS2055" s="38"/>
      <c r="AT2055" s="38"/>
      <c r="AU2055" s="38"/>
      <c r="AV2055" s="38"/>
      <c r="AW2055" s="38"/>
      <c r="AX2055" s="38"/>
      <c r="AY2055" s="38"/>
      <c r="AZ2055" s="38"/>
      <c r="BA2055" s="38"/>
      <c r="BB2055" s="38"/>
      <c r="BC2055" s="38"/>
      <c r="BD2055" s="38"/>
      <c r="BE2055" s="38"/>
      <c r="BF2055" s="38"/>
      <c r="BG2055" s="38"/>
      <c r="BH2055" s="38"/>
      <c r="BI2055" s="38"/>
      <c r="BJ2055" s="38"/>
      <c r="BK2055" s="38"/>
      <c r="BL2055" s="38"/>
      <c r="BM2055" s="38"/>
      <c r="BN2055" s="38"/>
      <c r="BO2055" s="38"/>
      <c r="BP2055" s="38"/>
      <c r="BQ2055" s="38"/>
    </row>
    <row r="2056">
      <c r="A2056" s="58" t="s">
        <v>5601</v>
      </c>
      <c r="B2056" s="59"/>
      <c r="C2056" s="59">
        <v>43410.0</v>
      </c>
      <c r="D2056" s="60"/>
      <c r="E2056" s="58" t="s">
        <v>31</v>
      </c>
      <c r="F2056" s="58">
        <v>1.0</v>
      </c>
      <c r="G2056" s="58">
        <v>1.0</v>
      </c>
      <c r="H2056" s="43">
        <v>1.0</v>
      </c>
      <c r="I2056" s="58" t="s">
        <v>33</v>
      </c>
      <c r="J2056" s="58" t="s">
        <v>115</v>
      </c>
      <c r="K2056" s="58"/>
      <c r="L2056" s="58" t="s">
        <v>5602</v>
      </c>
      <c r="M2056" s="61" t="s">
        <v>5603</v>
      </c>
      <c r="N2056" s="80" t="s">
        <v>5604</v>
      </c>
      <c r="O2056" s="58"/>
      <c r="P2056" s="58"/>
      <c r="Q2056" s="84"/>
      <c r="R2056" s="62"/>
      <c r="S2056" s="37"/>
      <c r="T2056" s="38"/>
      <c r="U2056" s="38"/>
      <c r="V2056" s="38" t="s">
        <v>33</v>
      </c>
      <c r="W2056" s="39" t="s">
        <v>5605</v>
      </c>
      <c r="X2056" s="39" t="s">
        <v>5606</v>
      </c>
      <c r="Y2056" s="40"/>
      <c r="Z2056" s="38"/>
      <c r="AA2056" s="38"/>
      <c r="AB2056" s="38"/>
      <c r="AC2056" s="38"/>
      <c r="AD2056" s="38"/>
      <c r="AE2056" s="38"/>
      <c r="AF2056" s="38"/>
      <c r="AG2056" s="38"/>
      <c r="AH2056" s="38"/>
      <c r="AI2056" s="38"/>
      <c r="AJ2056" s="38"/>
      <c r="AK2056" s="38"/>
      <c r="AL2056" s="38"/>
      <c r="AM2056" s="38"/>
      <c r="AN2056" s="38"/>
      <c r="AO2056" s="38"/>
      <c r="AP2056" s="38"/>
      <c r="AQ2056" s="38"/>
      <c r="AR2056" s="38"/>
      <c r="AS2056" s="38"/>
      <c r="AT2056" s="38"/>
      <c r="AU2056" s="38"/>
      <c r="AV2056" s="38"/>
      <c r="AW2056" s="38"/>
      <c r="AX2056" s="38"/>
      <c r="AY2056" s="38"/>
      <c r="AZ2056" s="38"/>
      <c r="BA2056" s="38"/>
      <c r="BB2056" s="38"/>
      <c r="BC2056" s="38"/>
      <c r="BD2056" s="38"/>
      <c r="BE2056" s="38"/>
      <c r="BF2056" s="38"/>
      <c r="BG2056" s="38"/>
      <c r="BH2056" s="38"/>
      <c r="BI2056" s="38"/>
      <c r="BJ2056" s="38"/>
      <c r="BK2056" s="38"/>
      <c r="BL2056" s="38"/>
      <c r="BM2056" s="38"/>
      <c r="BN2056" s="38"/>
      <c r="BO2056" s="38"/>
      <c r="BP2056" s="38"/>
      <c r="BQ2056" s="38"/>
    </row>
    <row r="2057">
      <c r="A2057" s="58" t="s">
        <v>239</v>
      </c>
      <c r="B2057" s="59">
        <v>43413.0</v>
      </c>
      <c r="C2057" s="59">
        <v>43410.0</v>
      </c>
      <c r="D2057" s="60" t="s">
        <v>5594</v>
      </c>
      <c r="E2057" s="58" t="s">
        <v>41</v>
      </c>
      <c r="F2057" s="58">
        <v>1.0</v>
      </c>
      <c r="G2057" s="58">
        <v>6.0</v>
      </c>
      <c r="H2057" s="33">
        <f t="shared" ref="H2057:H2058" si="319">if(G2057="Unknown",1,G2057)</f>
        <v>6</v>
      </c>
      <c r="I2057" s="58" t="s">
        <v>33</v>
      </c>
      <c r="J2057" s="58" t="s">
        <v>241</v>
      </c>
      <c r="K2057" s="58">
        <v>1.0</v>
      </c>
      <c r="L2057" s="58" t="s">
        <v>194</v>
      </c>
      <c r="M2057" s="61" t="s">
        <v>5607</v>
      </c>
      <c r="N2057" s="80"/>
      <c r="O2057" s="58"/>
      <c r="P2057" s="58"/>
      <c r="Q2057" s="84"/>
      <c r="R2057" s="62"/>
      <c r="S2057" s="37" t="str">
        <f>IFERROR(__xludf.DUMMYFUNCTION("if(not(iserror(index(split(C2057, "" ""),2))), index(split(C2057, "" ""),1),"""")"),"November")</f>
        <v>November</v>
      </c>
      <c r="T2057" s="38">
        <f>IFERROR(__xludf.DUMMYFUNCTION("if(S2057="""",C2057,if(not(iserror(index(split(C2057, "" ""),3))), index(split(C2057, "" ""),3),index(split(C2057, "" ""),2)))"),2018.0)</f>
        <v>2018</v>
      </c>
      <c r="U2057" s="38" t="b">
        <f t="shared" ref="U2057:U2058" si="320">countif(A$4:A4658, A2057)&gt;1</f>
        <v>1</v>
      </c>
      <c r="V2057" s="38"/>
      <c r="W2057" s="40"/>
      <c r="X2057" s="40"/>
      <c r="Y2057" s="40"/>
      <c r="Z2057" s="38"/>
      <c r="AA2057" s="38"/>
      <c r="AB2057" s="38"/>
      <c r="AC2057" s="38"/>
      <c r="AD2057" s="38"/>
      <c r="AE2057" s="38"/>
      <c r="AF2057" s="38"/>
      <c r="AG2057" s="38"/>
      <c r="AH2057" s="38"/>
      <c r="AI2057" s="38"/>
      <c r="AJ2057" s="38"/>
      <c r="AK2057" s="38"/>
      <c r="AL2057" s="38"/>
      <c r="AM2057" s="38"/>
      <c r="AN2057" s="38"/>
      <c r="AO2057" s="38"/>
      <c r="AP2057" s="38"/>
      <c r="AQ2057" s="38"/>
      <c r="AR2057" s="38"/>
      <c r="AS2057" s="38"/>
      <c r="AT2057" s="38"/>
      <c r="AU2057" s="38"/>
      <c r="AV2057" s="38"/>
      <c r="AW2057" s="38"/>
      <c r="AX2057" s="38"/>
      <c r="AY2057" s="38"/>
      <c r="AZ2057" s="38"/>
      <c r="BA2057" s="38"/>
      <c r="BB2057" s="38"/>
      <c r="BC2057" s="38"/>
      <c r="BD2057" s="38"/>
      <c r="BE2057" s="38"/>
      <c r="BF2057" s="38"/>
      <c r="BG2057" s="38"/>
      <c r="BH2057" s="38"/>
      <c r="BI2057" s="38"/>
      <c r="BJ2057" s="38"/>
      <c r="BK2057" s="38"/>
      <c r="BL2057" s="38"/>
      <c r="BM2057" s="38"/>
      <c r="BN2057" s="38"/>
      <c r="BO2057" s="38"/>
      <c r="BP2057" s="38"/>
      <c r="BQ2057" s="38"/>
    </row>
    <row r="2058">
      <c r="A2058" s="58" t="s">
        <v>5608</v>
      </c>
      <c r="B2058" s="59">
        <v>43412.0</v>
      </c>
      <c r="C2058" s="59">
        <v>43411.0</v>
      </c>
      <c r="D2058" s="60" t="s">
        <v>5609</v>
      </c>
      <c r="E2058" s="58" t="s">
        <v>31</v>
      </c>
      <c r="F2058" s="58">
        <v>1.0</v>
      </c>
      <c r="G2058" s="58" t="s">
        <v>32</v>
      </c>
      <c r="H2058" s="33">
        <f t="shared" si="319"/>
        <v>1</v>
      </c>
      <c r="I2058" s="58" t="s">
        <v>33</v>
      </c>
      <c r="J2058" s="58" t="s">
        <v>61</v>
      </c>
      <c r="K2058" s="58">
        <v>1.0</v>
      </c>
      <c r="L2058" s="58" t="s">
        <v>99</v>
      </c>
      <c r="M2058" s="80"/>
      <c r="N2058" s="80" t="s">
        <v>5610</v>
      </c>
      <c r="O2058" s="58"/>
      <c r="P2058" s="58"/>
      <c r="Q2058" s="58"/>
      <c r="R2058" s="62"/>
      <c r="S2058" s="37" t="str">
        <f>IFERROR(__xludf.DUMMYFUNCTION("if(not(iserror(index(split(C2058, "" ""),2))), index(split(C2058, "" ""),1),"""")"),"November")</f>
        <v>November</v>
      </c>
      <c r="T2058" s="38">
        <f>IFERROR(__xludf.DUMMYFUNCTION("if(S2058="""",C2058,if(not(iserror(index(split(C2058, "" ""),3))), index(split(C2058, "" ""),3),index(split(C2058, "" ""),2)))"),2018.0)</f>
        <v>2018</v>
      </c>
      <c r="U2058" s="38" t="b">
        <f t="shared" si="320"/>
        <v>0</v>
      </c>
      <c r="V2058" s="38"/>
      <c r="W2058" s="40"/>
      <c r="X2058" s="40"/>
      <c r="Y2058" s="40"/>
      <c r="Z2058" s="38"/>
      <c r="AA2058" s="38"/>
      <c r="AB2058" s="38"/>
      <c r="AC2058" s="38"/>
      <c r="AD2058" s="38"/>
      <c r="AE2058" s="38"/>
      <c r="AF2058" s="38"/>
      <c r="AG2058" s="38"/>
      <c r="AH2058" s="38"/>
      <c r="AI2058" s="38"/>
      <c r="AJ2058" s="38"/>
      <c r="AK2058" s="38"/>
      <c r="AL2058" s="38"/>
      <c r="AM2058" s="38"/>
      <c r="AN2058" s="38"/>
      <c r="AO2058" s="38"/>
      <c r="AP2058" s="38"/>
      <c r="AQ2058" s="38"/>
      <c r="AR2058" s="38"/>
      <c r="AS2058" s="38"/>
      <c r="AT2058" s="38"/>
      <c r="AU2058" s="38"/>
      <c r="AV2058" s="38"/>
      <c r="AW2058" s="38"/>
      <c r="AX2058" s="38"/>
      <c r="AY2058" s="38"/>
      <c r="AZ2058" s="38"/>
      <c r="BA2058" s="38"/>
      <c r="BB2058" s="38"/>
      <c r="BC2058" s="38"/>
      <c r="BD2058" s="38"/>
      <c r="BE2058" s="38"/>
      <c r="BF2058" s="38"/>
      <c r="BG2058" s="38"/>
      <c r="BH2058" s="38"/>
      <c r="BI2058" s="38"/>
      <c r="BJ2058" s="38"/>
      <c r="BK2058" s="38"/>
      <c r="BL2058" s="38"/>
      <c r="BM2058" s="38"/>
      <c r="BN2058" s="38"/>
      <c r="BO2058" s="38"/>
      <c r="BP2058" s="38"/>
      <c r="BQ2058" s="38"/>
    </row>
    <row r="2059">
      <c r="A2059" s="58" t="s">
        <v>5611</v>
      </c>
      <c r="B2059" s="59"/>
      <c r="C2059" s="59">
        <v>43411.0</v>
      </c>
      <c r="D2059" s="60"/>
      <c r="E2059" s="58" t="s">
        <v>41</v>
      </c>
      <c r="F2059" s="58">
        <v>1.0</v>
      </c>
      <c r="G2059" s="58">
        <v>2.0</v>
      </c>
      <c r="H2059" s="43">
        <v>2.0</v>
      </c>
      <c r="I2059" s="58" t="s">
        <v>33</v>
      </c>
      <c r="J2059" s="58" t="s">
        <v>93</v>
      </c>
      <c r="K2059" s="58"/>
      <c r="L2059" s="58" t="s">
        <v>76</v>
      </c>
      <c r="M2059" s="61" t="s">
        <v>5612</v>
      </c>
      <c r="N2059" s="80"/>
      <c r="O2059" s="58"/>
      <c r="P2059" s="58"/>
      <c r="Q2059" s="58">
        <v>1.0</v>
      </c>
      <c r="R2059" s="58"/>
      <c r="S2059" s="37"/>
      <c r="T2059" s="38"/>
      <c r="U2059" s="38"/>
      <c r="V2059" s="38" t="s">
        <v>33</v>
      </c>
      <c r="W2059" s="40"/>
      <c r="X2059" s="40"/>
      <c r="Y2059" s="40"/>
      <c r="Z2059" s="38"/>
      <c r="AA2059" s="38"/>
      <c r="AB2059" s="38"/>
      <c r="AC2059" s="38"/>
      <c r="AD2059" s="38"/>
      <c r="AE2059" s="38"/>
      <c r="AF2059" s="38"/>
      <c r="AG2059" s="38"/>
      <c r="AH2059" s="38"/>
      <c r="AI2059" s="38"/>
      <c r="AJ2059" s="38"/>
      <c r="AK2059" s="38"/>
      <c r="AL2059" s="38"/>
      <c r="AM2059" s="38"/>
      <c r="AN2059" s="38"/>
      <c r="AO2059" s="38"/>
      <c r="AP2059" s="38"/>
      <c r="AQ2059" s="38"/>
      <c r="AR2059" s="38"/>
      <c r="AS2059" s="38"/>
      <c r="AT2059" s="38"/>
      <c r="AU2059" s="38"/>
      <c r="AV2059" s="38"/>
      <c r="AW2059" s="38"/>
      <c r="AX2059" s="38"/>
      <c r="AY2059" s="38"/>
      <c r="AZ2059" s="38"/>
      <c r="BA2059" s="38"/>
      <c r="BB2059" s="38"/>
      <c r="BC2059" s="38"/>
      <c r="BD2059" s="38"/>
      <c r="BE2059" s="38"/>
      <c r="BF2059" s="38"/>
      <c r="BG2059" s="38"/>
      <c r="BH2059" s="38"/>
      <c r="BI2059" s="38"/>
      <c r="BJ2059" s="38"/>
      <c r="BK2059" s="38"/>
      <c r="BL2059" s="38"/>
      <c r="BM2059" s="38"/>
      <c r="BN2059" s="38"/>
      <c r="BO2059" s="38"/>
      <c r="BP2059" s="38"/>
      <c r="BQ2059" s="38"/>
    </row>
    <row r="2060">
      <c r="A2060" s="58" t="s">
        <v>5613</v>
      </c>
      <c r="B2060" s="59"/>
      <c r="C2060" s="59">
        <v>43411.0</v>
      </c>
      <c r="D2060" s="60" t="s">
        <v>5609</v>
      </c>
      <c r="E2060" s="58" t="s">
        <v>31</v>
      </c>
      <c r="F2060" s="58">
        <v>1.0</v>
      </c>
      <c r="G2060" s="58" t="s">
        <v>32</v>
      </c>
      <c r="H2060" s="33">
        <v>1.0</v>
      </c>
      <c r="I2060" s="58" t="s">
        <v>33</v>
      </c>
      <c r="J2060" s="58" t="s">
        <v>61</v>
      </c>
      <c r="K2060" s="58">
        <v>1.0</v>
      </c>
      <c r="L2060" s="58" t="s">
        <v>99</v>
      </c>
      <c r="M2060" s="80"/>
      <c r="N2060" s="80" t="s">
        <v>5610</v>
      </c>
      <c r="O2060" s="58"/>
      <c r="P2060" s="58"/>
      <c r="Q2060" s="58"/>
      <c r="R2060" s="58"/>
      <c r="S2060" s="37"/>
      <c r="T2060" s="38"/>
      <c r="U2060" s="38" t="b">
        <f>countif(A$4:A4658, A2060)&gt;1</f>
        <v>0</v>
      </c>
      <c r="V2060" s="38"/>
      <c r="W2060" s="40"/>
      <c r="X2060" s="40"/>
      <c r="Y2060" s="40"/>
      <c r="Z2060" s="38"/>
      <c r="AA2060" s="38"/>
      <c r="AB2060" s="38"/>
      <c r="AC2060" s="38"/>
      <c r="AD2060" s="38"/>
      <c r="AE2060" s="38"/>
      <c r="AF2060" s="38"/>
      <c r="AG2060" s="38"/>
      <c r="AH2060" s="38"/>
      <c r="AI2060" s="38"/>
      <c r="AJ2060" s="38"/>
      <c r="AK2060" s="38"/>
      <c r="AL2060" s="38"/>
      <c r="AM2060" s="38"/>
      <c r="AN2060" s="38"/>
      <c r="AO2060" s="38"/>
      <c r="AP2060" s="38"/>
      <c r="AQ2060" s="38"/>
      <c r="AR2060" s="38"/>
      <c r="AS2060" s="38"/>
      <c r="AT2060" s="38"/>
      <c r="AU2060" s="38"/>
      <c r="AV2060" s="38"/>
      <c r="AW2060" s="38"/>
      <c r="AX2060" s="38"/>
      <c r="AY2060" s="38"/>
      <c r="AZ2060" s="38"/>
      <c r="BA2060" s="38"/>
      <c r="BB2060" s="38"/>
      <c r="BC2060" s="38"/>
      <c r="BD2060" s="38"/>
      <c r="BE2060" s="38"/>
      <c r="BF2060" s="38"/>
      <c r="BG2060" s="38"/>
      <c r="BH2060" s="38"/>
      <c r="BI2060" s="38"/>
      <c r="BJ2060" s="38"/>
      <c r="BK2060" s="38"/>
      <c r="BL2060" s="38"/>
      <c r="BM2060" s="38"/>
      <c r="BN2060" s="38"/>
      <c r="BO2060" s="38"/>
      <c r="BP2060" s="38"/>
      <c r="BQ2060" s="38"/>
    </row>
    <row r="2061">
      <c r="A2061" s="58" t="s">
        <v>5614</v>
      </c>
      <c r="B2061" s="59"/>
      <c r="C2061" s="59">
        <v>43411.0</v>
      </c>
      <c r="D2061" s="60"/>
      <c r="E2061" s="58" t="s">
        <v>31</v>
      </c>
      <c r="F2061" s="58">
        <v>1.0</v>
      </c>
      <c r="G2061" s="58">
        <v>1.0</v>
      </c>
      <c r="H2061" s="43">
        <v>1.0</v>
      </c>
      <c r="I2061" s="58" t="s">
        <v>33</v>
      </c>
      <c r="J2061" s="58" t="s">
        <v>111</v>
      </c>
      <c r="K2061" s="58"/>
      <c r="L2061" s="58" t="s">
        <v>1203</v>
      </c>
      <c r="M2061" s="61" t="s">
        <v>5615</v>
      </c>
      <c r="N2061" s="61" t="s">
        <v>5616</v>
      </c>
      <c r="O2061" s="58"/>
      <c r="P2061" s="58"/>
      <c r="Q2061" s="58"/>
      <c r="R2061" s="58"/>
      <c r="S2061" s="37"/>
      <c r="T2061" s="38"/>
      <c r="U2061" s="38"/>
      <c r="V2061" s="38" t="s">
        <v>33</v>
      </c>
      <c r="W2061" s="39" t="s">
        <v>5617</v>
      </c>
      <c r="X2061" s="39" t="s">
        <v>5618</v>
      </c>
      <c r="Y2061" s="40"/>
      <c r="Z2061" s="38"/>
      <c r="AA2061" s="38"/>
      <c r="AB2061" s="38"/>
      <c r="AC2061" s="38"/>
      <c r="AD2061" s="38"/>
      <c r="AE2061" s="38"/>
      <c r="AF2061" s="38"/>
      <c r="AG2061" s="38"/>
      <c r="AH2061" s="38"/>
      <c r="AI2061" s="38"/>
      <c r="AJ2061" s="38"/>
      <c r="AK2061" s="38"/>
      <c r="AL2061" s="38"/>
      <c r="AM2061" s="38"/>
      <c r="AN2061" s="38"/>
      <c r="AO2061" s="38"/>
      <c r="AP2061" s="38"/>
      <c r="AQ2061" s="38"/>
      <c r="AR2061" s="38"/>
      <c r="AS2061" s="38"/>
      <c r="AT2061" s="38"/>
      <c r="AU2061" s="38"/>
      <c r="AV2061" s="38"/>
      <c r="AW2061" s="38"/>
      <c r="AX2061" s="38"/>
      <c r="AY2061" s="38"/>
      <c r="AZ2061" s="38"/>
      <c r="BA2061" s="38"/>
      <c r="BB2061" s="38"/>
      <c r="BC2061" s="38"/>
      <c r="BD2061" s="38"/>
      <c r="BE2061" s="38"/>
      <c r="BF2061" s="38"/>
      <c r="BG2061" s="38"/>
      <c r="BH2061" s="38"/>
      <c r="BI2061" s="38"/>
      <c r="BJ2061" s="38"/>
      <c r="BK2061" s="38"/>
      <c r="BL2061" s="38"/>
      <c r="BM2061" s="38"/>
      <c r="BN2061" s="38"/>
      <c r="BO2061" s="38"/>
      <c r="BP2061" s="38"/>
      <c r="BQ2061" s="38"/>
    </row>
    <row r="2062">
      <c r="A2062" s="58" t="s">
        <v>5619</v>
      </c>
      <c r="B2062" s="59"/>
      <c r="C2062" s="59">
        <v>43411.0</v>
      </c>
      <c r="D2062" s="60" t="s">
        <v>5609</v>
      </c>
      <c r="E2062" s="58" t="s">
        <v>31</v>
      </c>
      <c r="F2062" s="58">
        <v>1.0</v>
      </c>
      <c r="G2062" s="58" t="s">
        <v>32</v>
      </c>
      <c r="H2062" s="33">
        <v>1.0</v>
      </c>
      <c r="I2062" s="58" t="s">
        <v>33</v>
      </c>
      <c r="J2062" s="58" t="s">
        <v>61</v>
      </c>
      <c r="K2062" s="58">
        <v>1.0</v>
      </c>
      <c r="L2062" s="58" t="s">
        <v>99</v>
      </c>
      <c r="M2062" s="61" t="s">
        <v>5620</v>
      </c>
      <c r="N2062" s="80" t="s">
        <v>5610</v>
      </c>
      <c r="O2062" s="88" t="str">
        <f>hyperlink("https://bad-boys.us/?q=WD-LA/6:19-cr-00129", "WD-LA 6:19-cr-00129")</f>
        <v>WD-LA 6:19-cr-00129</v>
      </c>
      <c r="P2062" s="58"/>
      <c r="Q2062" s="58">
        <v>1.0</v>
      </c>
      <c r="R2062" s="58"/>
      <c r="S2062" s="37"/>
      <c r="T2062" s="38"/>
      <c r="U2062" s="38" t="b">
        <f>countif(A$4:A4658, A2062)&gt;1</f>
        <v>0</v>
      </c>
      <c r="V2062" s="38"/>
      <c r="W2062" s="40"/>
      <c r="X2062" s="40"/>
      <c r="Y2062" s="40"/>
      <c r="Z2062" s="38"/>
      <c r="AA2062" s="38"/>
      <c r="AB2062" s="38"/>
      <c r="AC2062" s="38"/>
      <c r="AD2062" s="38"/>
      <c r="AE2062" s="38"/>
      <c r="AF2062" s="38"/>
      <c r="AG2062" s="38"/>
      <c r="AH2062" s="38"/>
      <c r="AI2062" s="38"/>
      <c r="AJ2062" s="38"/>
      <c r="AK2062" s="38"/>
      <c r="AL2062" s="38"/>
      <c r="AM2062" s="38"/>
      <c r="AN2062" s="38"/>
      <c r="AO2062" s="38"/>
      <c r="AP2062" s="38"/>
      <c r="AQ2062" s="38"/>
      <c r="AR2062" s="38"/>
      <c r="AS2062" s="38"/>
      <c r="AT2062" s="38"/>
      <c r="AU2062" s="38"/>
      <c r="AV2062" s="38"/>
      <c r="AW2062" s="38"/>
      <c r="AX2062" s="38"/>
      <c r="AY2062" s="38"/>
      <c r="AZ2062" s="38"/>
      <c r="BA2062" s="38"/>
      <c r="BB2062" s="38"/>
      <c r="BC2062" s="38"/>
      <c r="BD2062" s="38"/>
      <c r="BE2062" s="38"/>
      <c r="BF2062" s="38"/>
      <c r="BG2062" s="38"/>
      <c r="BH2062" s="38"/>
      <c r="BI2062" s="38"/>
      <c r="BJ2062" s="38"/>
      <c r="BK2062" s="38"/>
      <c r="BL2062" s="38"/>
      <c r="BM2062" s="38"/>
      <c r="BN2062" s="38"/>
      <c r="BO2062" s="38"/>
      <c r="BP2062" s="38"/>
      <c r="BQ2062" s="38"/>
    </row>
    <row r="2063">
      <c r="A2063" s="58" t="s">
        <v>5621</v>
      </c>
      <c r="B2063" s="59"/>
      <c r="C2063" s="59">
        <v>43412.0</v>
      </c>
      <c r="D2063" s="60"/>
      <c r="E2063" s="58" t="s">
        <v>41</v>
      </c>
      <c r="F2063" s="58">
        <v>1.0</v>
      </c>
      <c r="G2063" s="58" t="s">
        <v>32</v>
      </c>
      <c r="H2063" s="43">
        <v>1.0</v>
      </c>
      <c r="I2063" s="58" t="s">
        <v>33</v>
      </c>
      <c r="J2063" s="58" t="s">
        <v>279</v>
      </c>
      <c r="K2063" s="58"/>
      <c r="L2063" s="58" t="s">
        <v>119</v>
      </c>
      <c r="M2063" s="61" t="s">
        <v>5622</v>
      </c>
      <c r="N2063" s="80"/>
      <c r="O2063" s="58"/>
      <c r="P2063" s="58"/>
      <c r="Q2063" s="58"/>
      <c r="R2063" s="58"/>
      <c r="S2063" s="37"/>
      <c r="T2063" s="38"/>
      <c r="U2063" s="38"/>
      <c r="V2063" s="38" t="s">
        <v>33</v>
      </c>
      <c r="W2063" s="40"/>
      <c r="X2063" s="40"/>
      <c r="Y2063" s="40"/>
      <c r="Z2063" s="38"/>
      <c r="AA2063" s="38"/>
      <c r="AB2063" s="38"/>
      <c r="AC2063" s="38"/>
      <c r="AD2063" s="38"/>
      <c r="AE2063" s="38"/>
      <c r="AF2063" s="38"/>
      <c r="AG2063" s="38"/>
      <c r="AH2063" s="38"/>
      <c r="AI2063" s="38"/>
      <c r="AJ2063" s="38"/>
      <c r="AK2063" s="38"/>
      <c r="AL2063" s="38"/>
      <c r="AM2063" s="38"/>
      <c r="AN2063" s="38"/>
      <c r="AO2063" s="38"/>
      <c r="AP2063" s="38"/>
      <c r="AQ2063" s="38"/>
      <c r="AR2063" s="38"/>
      <c r="AS2063" s="38"/>
      <c r="AT2063" s="38"/>
      <c r="AU2063" s="38"/>
      <c r="AV2063" s="38"/>
      <c r="AW2063" s="38"/>
      <c r="AX2063" s="38"/>
      <c r="AY2063" s="38"/>
      <c r="AZ2063" s="38"/>
      <c r="BA2063" s="38"/>
      <c r="BB2063" s="38"/>
      <c r="BC2063" s="38"/>
      <c r="BD2063" s="38"/>
      <c r="BE2063" s="38"/>
      <c r="BF2063" s="38"/>
      <c r="BG2063" s="38"/>
      <c r="BH2063" s="38"/>
      <c r="BI2063" s="38"/>
      <c r="BJ2063" s="38"/>
      <c r="BK2063" s="38"/>
      <c r="BL2063" s="38"/>
      <c r="BM2063" s="38"/>
      <c r="BN2063" s="38"/>
      <c r="BO2063" s="38"/>
      <c r="BP2063" s="38"/>
      <c r="BQ2063" s="38"/>
    </row>
    <row r="2064">
      <c r="A2064" s="58" t="s">
        <v>5623</v>
      </c>
      <c r="B2064" s="59"/>
      <c r="C2064" s="59">
        <v>43412.0</v>
      </c>
      <c r="D2064" s="60"/>
      <c r="E2064" s="58" t="s">
        <v>41</v>
      </c>
      <c r="F2064" s="58">
        <v>1.0</v>
      </c>
      <c r="G2064" s="58" t="s">
        <v>32</v>
      </c>
      <c r="H2064" s="43">
        <v>1.0</v>
      </c>
      <c r="I2064" s="58" t="s">
        <v>33</v>
      </c>
      <c r="J2064" s="58" t="s">
        <v>115</v>
      </c>
      <c r="K2064" s="58"/>
      <c r="L2064" s="58" t="s">
        <v>119</v>
      </c>
      <c r="M2064" s="61" t="s">
        <v>5624</v>
      </c>
      <c r="N2064" s="80"/>
      <c r="O2064" s="88" t="str">
        <f>hyperlink("https://bad-boys.us/?q=ED-PA/2:18-cr-00506", "ED-PA 2:18-cr-00506")</f>
        <v>ED-PA 2:18-cr-00506</v>
      </c>
      <c r="P2064" s="88" t="s">
        <v>5625</v>
      </c>
      <c r="Q2064" s="58">
        <v>1.0</v>
      </c>
      <c r="R2064" s="58"/>
      <c r="S2064" s="37"/>
      <c r="T2064" s="38"/>
      <c r="U2064" s="38" t="b">
        <f>countif(A$4:A4658, A2064)&gt;1</f>
        <v>0</v>
      </c>
      <c r="V2064" s="38" t="s">
        <v>33</v>
      </c>
      <c r="W2064" s="40"/>
      <c r="X2064" s="40"/>
      <c r="Y2064" s="40"/>
      <c r="Z2064" s="38"/>
      <c r="AA2064" s="38"/>
      <c r="AB2064" s="38"/>
      <c r="AC2064" s="38"/>
      <c r="AD2064" s="38"/>
      <c r="AE2064" s="38"/>
      <c r="AF2064" s="38"/>
      <c r="AG2064" s="38"/>
      <c r="AH2064" s="38"/>
      <c r="AI2064" s="38"/>
      <c r="AJ2064" s="38"/>
      <c r="AK2064" s="38"/>
      <c r="AL2064" s="38"/>
      <c r="AM2064" s="38"/>
      <c r="AN2064" s="38"/>
      <c r="AO2064" s="38"/>
      <c r="AP2064" s="38"/>
      <c r="AQ2064" s="38"/>
      <c r="AR2064" s="38"/>
      <c r="AS2064" s="38"/>
      <c r="AT2064" s="38"/>
      <c r="AU2064" s="38"/>
      <c r="AV2064" s="38"/>
      <c r="AW2064" s="38"/>
      <c r="AX2064" s="38"/>
      <c r="AY2064" s="38"/>
      <c r="AZ2064" s="38"/>
      <c r="BA2064" s="38"/>
      <c r="BB2064" s="38"/>
      <c r="BC2064" s="38"/>
      <c r="BD2064" s="38"/>
      <c r="BE2064" s="38"/>
      <c r="BF2064" s="38"/>
      <c r="BG2064" s="38"/>
      <c r="BH2064" s="38"/>
      <c r="BI2064" s="38"/>
      <c r="BJ2064" s="38"/>
      <c r="BK2064" s="38"/>
      <c r="BL2064" s="38"/>
      <c r="BM2064" s="38"/>
      <c r="BN2064" s="38"/>
      <c r="BO2064" s="38"/>
      <c r="BP2064" s="38"/>
      <c r="BQ2064" s="38"/>
    </row>
    <row r="2065">
      <c r="A2065" s="58" t="s">
        <v>5626</v>
      </c>
      <c r="B2065" s="59"/>
      <c r="C2065" s="59">
        <v>43412.0</v>
      </c>
      <c r="D2065" s="60"/>
      <c r="E2065" s="58" t="s">
        <v>41</v>
      </c>
      <c r="F2065" s="58">
        <v>1.0</v>
      </c>
      <c r="G2065" s="58" t="s">
        <v>32</v>
      </c>
      <c r="H2065" s="43">
        <v>1.0</v>
      </c>
      <c r="I2065" s="58" t="s">
        <v>33</v>
      </c>
      <c r="J2065" s="58" t="s">
        <v>75</v>
      </c>
      <c r="K2065" s="58"/>
      <c r="L2065" s="58" t="s">
        <v>69</v>
      </c>
      <c r="M2065" s="61" t="s">
        <v>5627</v>
      </c>
      <c r="N2065" s="80"/>
      <c r="O2065" s="58"/>
      <c r="P2065" s="58"/>
      <c r="Q2065" s="58"/>
      <c r="R2065" s="58"/>
      <c r="S2065" s="37"/>
      <c r="T2065" s="38"/>
      <c r="U2065" s="38"/>
      <c r="V2065" s="38" t="s">
        <v>33</v>
      </c>
      <c r="W2065" s="40"/>
      <c r="X2065" s="40"/>
      <c r="Y2065" s="40"/>
      <c r="Z2065" s="38"/>
      <c r="AA2065" s="38"/>
      <c r="AB2065" s="38"/>
      <c r="AC2065" s="38"/>
      <c r="AD2065" s="38"/>
      <c r="AE2065" s="38"/>
      <c r="AF2065" s="38"/>
      <c r="AG2065" s="38"/>
      <c r="AH2065" s="38"/>
      <c r="AI2065" s="38"/>
      <c r="AJ2065" s="38"/>
      <c r="AK2065" s="38"/>
      <c r="AL2065" s="38"/>
      <c r="AM2065" s="38"/>
      <c r="AN2065" s="38"/>
      <c r="AO2065" s="38"/>
      <c r="AP2065" s="38"/>
      <c r="AQ2065" s="38"/>
      <c r="AR2065" s="38"/>
      <c r="AS2065" s="38"/>
      <c r="AT2065" s="38"/>
      <c r="AU2065" s="38"/>
      <c r="AV2065" s="38"/>
      <c r="AW2065" s="38"/>
      <c r="AX2065" s="38"/>
      <c r="AY2065" s="38"/>
      <c r="AZ2065" s="38"/>
      <c r="BA2065" s="38"/>
      <c r="BB2065" s="38"/>
      <c r="BC2065" s="38"/>
      <c r="BD2065" s="38"/>
      <c r="BE2065" s="38"/>
      <c r="BF2065" s="38"/>
      <c r="BG2065" s="38"/>
      <c r="BH2065" s="38"/>
      <c r="BI2065" s="38"/>
      <c r="BJ2065" s="38"/>
      <c r="BK2065" s="38"/>
      <c r="BL2065" s="38"/>
      <c r="BM2065" s="38"/>
      <c r="BN2065" s="38"/>
      <c r="BO2065" s="38"/>
      <c r="BP2065" s="38"/>
      <c r="BQ2065" s="38"/>
    </row>
    <row r="2066">
      <c r="A2066" s="58" t="s">
        <v>5628</v>
      </c>
      <c r="B2066" s="59">
        <v>43413.0</v>
      </c>
      <c r="C2066" s="59">
        <v>43413.0</v>
      </c>
      <c r="D2066" s="60" t="s">
        <v>3146</v>
      </c>
      <c r="E2066" s="58" t="s">
        <v>31</v>
      </c>
      <c r="F2066" s="58">
        <v>1.0</v>
      </c>
      <c r="G2066" s="58" t="s">
        <v>32</v>
      </c>
      <c r="H2066" s="33">
        <f t="shared" ref="H2066:H2071" si="321">if(G2066="Unknown",1,G2066)</f>
        <v>1</v>
      </c>
      <c r="I2066" s="58" t="s">
        <v>33</v>
      </c>
      <c r="J2066" s="58" t="s">
        <v>98</v>
      </c>
      <c r="K2066" s="58">
        <v>2.0</v>
      </c>
      <c r="L2066" s="58" t="s">
        <v>119</v>
      </c>
      <c r="M2066" s="61" t="s">
        <v>5629</v>
      </c>
      <c r="N2066" s="80" t="s">
        <v>5630</v>
      </c>
      <c r="O2066" s="58"/>
      <c r="P2066" s="58"/>
      <c r="Q2066" s="58"/>
      <c r="R2066" s="58">
        <v>1.0</v>
      </c>
      <c r="S2066" s="37" t="str">
        <f>IFERROR(__xludf.DUMMYFUNCTION("if(not(iserror(index(split(C2066, "" ""),2))), index(split(C2066, "" ""),1),"""")"),"November")</f>
        <v>November</v>
      </c>
      <c r="T2066" s="38">
        <f>IFERROR(__xludf.DUMMYFUNCTION("if(S2066="""",C2066,if(not(iserror(index(split(C2066, "" ""),3))), index(split(C2066, "" ""),3),index(split(C2066, "" ""),2)))"),2018.0)</f>
        <v>2018</v>
      </c>
      <c r="U2066" s="38" t="b">
        <f t="shared" ref="U2066:U2088" si="322">countif(A$4:A4658, A2066)&gt;1</f>
        <v>0</v>
      </c>
      <c r="V2066" s="38" t="s">
        <v>33</v>
      </c>
      <c r="W2066" s="39" t="s">
        <v>5631</v>
      </c>
      <c r="X2066" s="39" t="s">
        <v>5632</v>
      </c>
      <c r="Y2066" s="40"/>
      <c r="Z2066" s="38"/>
      <c r="AA2066" s="38"/>
      <c r="AB2066" s="38"/>
      <c r="AC2066" s="38"/>
      <c r="AD2066" s="38"/>
      <c r="AE2066" s="38"/>
      <c r="AF2066" s="38"/>
      <c r="AG2066" s="38"/>
      <c r="AH2066" s="38"/>
      <c r="AI2066" s="38"/>
      <c r="AJ2066" s="38"/>
      <c r="AK2066" s="38"/>
      <c r="AL2066" s="38"/>
      <c r="AM2066" s="38"/>
      <c r="AN2066" s="38"/>
      <c r="AO2066" s="38"/>
      <c r="AP2066" s="38"/>
      <c r="AQ2066" s="38"/>
      <c r="AR2066" s="38"/>
      <c r="AS2066" s="38"/>
      <c r="AT2066" s="38"/>
      <c r="AU2066" s="38"/>
      <c r="AV2066" s="38"/>
      <c r="AW2066" s="38"/>
      <c r="AX2066" s="38"/>
      <c r="AY2066" s="38"/>
      <c r="AZ2066" s="38"/>
      <c r="BA2066" s="38"/>
      <c r="BB2066" s="38"/>
      <c r="BC2066" s="38"/>
      <c r="BD2066" s="38"/>
      <c r="BE2066" s="38"/>
      <c r="BF2066" s="38"/>
      <c r="BG2066" s="38"/>
      <c r="BH2066" s="38"/>
      <c r="BI2066" s="38"/>
      <c r="BJ2066" s="38"/>
      <c r="BK2066" s="38"/>
      <c r="BL2066" s="38"/>
      <c r="BM2066" s="38"/>
      <c r="BN2066" s="38"/>
      <c r="BO2066" s="38"/>
      <c r="BP2066" s="38"/>
      <c r="BQ2066" s="38"/>
    </row>
    <row r="2067">
      <c r="A2067" s="58" t="s">
        <v>5633</v>
      </c>
      <c r="B2067" s="59">
        <v>43413.0</v>
      </c>
      <c r="C2067" s="59">
        <v>43413.0</v>
      </c>
      <c r="D2067" s="60" t="s">
        <v>3146</v>
      </c>
      <c r="E2067" s="58" t="s">
        <v>41</v>
      </c>
      <c r="F2067" s="58">
        <v>1.0</v>
      </c>
      <c r="G2067" s="58" t="s">
        <v>32</v>
      </c>
      <c r="H2067" s="33">
        <f t="shared" si="321"/>
        <v>1</v>
      </c>
      <c r="I2067" s="58" t="s">
        <v>33</v>
      </c>
      <c r="J2067" s="58" t="s">
        <v>115</v>
      </c>
      <c r="K2067" s="58">
        <v>1.0</v>
      </c>
      <c r="L2067" s="58" t="s">
        <v>119</v>
      </c>
      <c r="M2067" s="61" t="s">
        <v>5634</v>
      </c>
      <c r="N2067" s="80"/>
      <c r="O2067" s="58"/>
      <c r="P2067" s="58"/>
      <c r="Q2067" s="58"/>
      <c r="R2067" s="62"/>
      <c r="S2067" s="37" t="str">
        <f>IFERROR(__xludf.DUMMYFUNCTION("if(not(iserror(index(split(C2067, "" ""),2))), index(split(C2067, "" ""),1),"""")"),"November")</f>
        <v>November</v>
      </c>
      <c r="T2067" s="38">
        <f>IFERROR(__xludf.DUMMYFUNCTION("if(S2067="""",C2067,if(not(iserror(index(split(C2067, "" ""),3))), index(split(C2067, "" ""),3),index(split(C2067, "" ""),2)))"),2018.0)</f>
        <v>2018</v>
      </c>
      <c r="U2067" s="38" t="b">
        <f t="shared" si="322"/>
        <v>0</v>
      </c>
      <c r="V2067" s="38"/>
      <c r="W2067" s="40"/>
      <c r="X2067" s="40"/>
      <c r="Y2067" s="40"/>
      <c r="Z2067" s="38"/>
      <c r="AA2067" s="38"/>
      <c r="AB2067" s="38"/>
      <c r="AC2067" s="38"/>
      <c r="AD2067" s="38"/>
      <c r="AE2067" s="38"/>
      <c r="AF2067" s="38"/>
      <c r="AG2067" s="38"/>
      <c r="AH2067" s="38"/>
      <c r="AI2067" s="38"/>
      <c r="AJ2067" s="38"/>
      <c r="AK2067" s="38"/>
      <c r="AL2067" s="38"/>
      <c r="AM2067" s="38"/>
      <c r="AN2067" s="38"/>
      <c r="AO2067" s="38"/>
      <c r="AP2067" s="38"/>
      <c r="AQ2067" s="38"/>
      <c r="AR2067" s="38"/>
      <c r="AS2067" s="38"/>
      <c r="AT2067" s="38"/>
      <c r="AU2067" s="38"/>
      <c r="AV2067" s="38"/>
      <c r="AW2067" s="38"/>
      <c r="AX2067" s="38"/>
      <c r="AY2067" s="38"/>
      <c r="AZ2067" s="38"/>
      <c r="BA2067" s="38"/>
      <c r="BB2067" s="38"/>
      <c r="BC2067" s="38"/>
      <c r="BD2067" s="38"/>
      <c r="BE2067" s="38"/>
      <c r="BF2067" s="38"/>
      <c r="BG2067" s="38"/>
      <c r="BH2067" s="38"/>
      <c r="BI2067" s="38"/>
      <c r="BJ2067" s="38"/>
      <c r="BK2067" s="38"/>
      <c r="BL2067" s="38"/>
      <c r="BM2067" s="38"/>
      <c r="BN2067" s="38"/>
      <c r="BO2067" s="38"/>
      <c r="BP2067" s="38"/>
      <c r="BQ2067" s="38"/>
    </row>
    <row r="2068">
      <c r="A2068" s="58" t="s">
        <v>5635</v>
      </c>
      <c r="B2068" s="59">
        <v>43413.0</v>
      </c>
      <c r="C2068" s="59">
        <v>43413.0</v>
      </c>
      <c r="D2068" s="60" t="s">
        <v>3146</v>
      </c>
      <c r="E2068" s="58" t="s">
        <v>31</v>
      </c>
      <c r="F2068" s="58">
        <v>1.0</v>
      </c>
      <c r="G2068" s="58" t="s">
        <v>32</v>
      </c>
      <c r="H2068" s="33">
        <f t="shared" si="321"/>
        <v>1</v>
      </c>
      <c r="I2068" s="58" t="s">
        <v>33</v>
      </c>
      <c r="J2068" s="58" t="s">
        <v>144</v>
      </c>
      <c r="K2068" s="58" t="s">
        <v>32</v>
      </c>
      <c r="L2068" s="58" t="s">
        <v>99</v>
      </c>
      <c r="M2068" s="80" t="s">
        <v>5636</v>
      </c>
      <c r="N2068" s="61" t="s">
        <v>5637</v>
      </c>
      <c r="O2068" s="58"/>
      <c r="P2068" s="62"/>
      <c r="Q2068" s="58"/>
      <c r="R2068" s="62"/>
      <c r="S2068" s="37" t="str">
        <f>IFERROR(__xludf.DUMMYFUNCTION("if(not(iserror(index(split(C2068, "" ""),2))), index(split(C2068, "" ""),1),"""")"),"November")</f>
        <v>November</v>
      </c>
      <c r="T2068" s="38">
        <f>IFERROR(__xludf.DUMMYFUNCTION("if(S2068="""",C2068,if(not(iserror(index(split(C2068, "" ""),3))), index(split(C2068, "" ""),3),index(split(C2068, "" ""),2)))"),2018.0)</f>
        <v>2018</v>
      </c>
      <c r="U2068" s="38" t="b">
        <f t="shared" si="322"/>
        <v>0</v>
      </c>
      <c r="V2068" s="38"/>
      <c r="W2068" s="40"/>
      <c r="X2068" s="40"/>
      <c r="Y2068" s="40"/>
      <c r="Z2068" s="38"/>
      <c r="AA2068" s="38"/>
      <c r="AB2068" s="38"/>
      <c r="AC2068" s="38"/>
      <c r="AD2068" s="38"/>
      <c r="AE2068" s="38"/>
      <c r="AF2068" s="38"/>
      <c r="AG2068" s="38"/>
      <c r="AH2068" s="38"/>
      <c r="AI2068" s="38"/>
      <c r="AJ2068" s="38"/>
      <c r="AK2068" s="38"/>
      <c r="AL2068" s="38"/>
      <c r="AM2068" s="38"/>
      <c r="AN2068" s="38"/>
      <c r="AO2068" s="38"/>
      <c r="AP2068" s="38"/>
      <c r="AQ2068" s="38"/>
      <c r="AR2068" s="38"/>
      <c r="AS2068" s="38"/>
      <c r="AT2068" s="38"/>
      <c r="AU2068" s="38"/>
      <c r="AV2068" s="38"/>
      <c r="AW2068" s="38"/>
      <c r="AX2068" s="38"/>
      <c r="AY2068" s="38"/>
      <c r="AZ2068" s="38"/>
      <c r="BA2068" s="38"/>
      <c r="BB2068" s="38"/>
      <c r="BC2068" s="38"/>
      <c r="BD2068" s="38"/>
      <c r="BE2068" s="38"/>
      <c r="BF2068" s="38"/>
      <c r="BG2068" s="38"/>
      <c r="BH2068" s="38"/>
      <c r="BI2068" s="38"/>
      <c r="BJ2068" s="38"/>
      <c r="BK2068" s="38"/>
      <c r="BL2068" s="38"/>
      <c r="BM2068" s="38"/>
      <c r="BN2068" s="38"/>
      <c r="BO2068" s="38"/>
      <c r="BP2068" s="38"/>
      <c r="BQ2068" s="38"/>
    </row>
    <row r="2069">
      <c r="A2069" s="58" t="s">
        <v>239</v>
      </c>
      <c r="B2069" s="59">
        <v>43415.0</v>
      </c>
      <c r="C2069" s="59">
        <v>43413.0</v>
      </c>
      <c r="D2069" s="60" t="s">
        <v>3146</v>
      </c>
      <c r="E2069" s="58" t="s">
        <v>41</v>
      </c>
      <c r="F2069" s="58">
        <v>1.0</v>
      </c>
      <c r="G2069" s="58">
        <v>81.0</v>
      </c>
      <c r="H2069" s="33">
        <f t="shared" si="321"/>
        <v>81</v>
      </c>
      <c r="I2069" s="58" t="s">
        <v>33</v>
      </c>
      <c r="J2069" s="58" t="s">
        <v>147</v>
      </c>
      <c r="K2069" s="58">
        <v>1.0</v>
      </c>
      <c r="L2069" s="58" t="s">
        <v>194</v>
      </c>
      <c r="M2069" s="61" t="s">
        <v>5638</v>
      </c>
      <c r="N2069" s="80"/>
      <c r="O2069" s="58"/>
      <c r="P2069" s="58"/>
      <c r="Q2069" s="58"/>
      <c r="R2069" s="62"/>
      <c r="S2069" s="37" t="str">
        <f>IFERROR(__xludf.DUMMYFUNCTION("if(not(iserror(index(split(C2069, "" ""),2))), index(split(C2069, "" ""),1),"""")"),"November")</f>
        <v>November</v>
      </c>
      <c r="T2069" s="38">
        <f>IFERROR(__xludf.DUMMYFUNCTION("if(S2069="""",C2069,if(not(iserror(index(split(C2069, "" ""),3))), index(split(C2069, "" ""),3),index(split(C2069, "" ""),2)))"),2018.0)</f>
        <v>2018</v>
      </c>
      <c r="U2069" s="38" t="b">
        <f t="shared" si="322"/>
        <v>1</v>
      </c>
      <c r="V2069" s="38"/>
      <c r="W2069" s="40"/>
      <c r="X2069" s="40"/>
      <c r="Y2069" s="40"/>
      <c r="Z2069" s="38"/>
      <c r="AA2069" s="38"/>
      <c r="AB2069" s="38"/>
      <c r="AC2069" s="38"/>
      <c r="AD2069" s="38"/>
      <c r="AE2069" s="38"/>
      <c r="AF2069" s="38"/>
      <c r="AG2069" s="38"/>
      <c r="AH2069" s="38"/>
      <c r="AI2069" s="38"/>
      <c r="AJ2069" s="38"/>
      <c r="AK2069" s="38"/>
      <c r="AL2069" s="38"/>
      <c r="AM2069" s="38"/>
      <c r="AN2069" s="38"/>
      <c r="AO2069" s="38"/>
      <c r="AP2069" s="38"/>
      <c r="AQ2069" s="38"/>
      <c r="AR2069" s="38"/>
      <c r="AS2069" s="38"/>
      <c r="AT2069" s="38"/>
      <c r="AU2069" s="38"/>
      <c r="AV2069" s="38"/>
      <c r="AW2069" s="38"/>
      <c r="AX2069" s="38"/>
      <c r="AY2069" s="38"/>
      <c r="AZ2069" s="38"/>
      <c r="BA2069" s="38"/>
      <c r="BB2069" s="38"/>
      <c r="BC2069" s="38"/>
      <c r="BD2069" s="38"/>
      <c r="BE2069" s="38"/>
      <c r="BF2069" s="38"/>
      <c r="BG2069" s="38"/>
      <c r="BH2069" s="38"/>
      <c r="BI2069" s="38"/>
      <c r="BJ2069" s="38"/>
      <c r="BK2069" s="38"/>
      <c r="BL2069" s="38"/>
      <c r="BM2069" s="38"/>
      <c r="BN2069" s="38"/>
      <c r="BO2069" s="38"/>
      <c r="BP2069" s="38"/>
      <c r="BQ2069" s="38"/>
    </row>
    <row r="2070">
      <c r="A2070" s="58" t="s">
        <v>239</v>
      </c>
      <c r="B2070" s="59">
        <v>43417.0</v>
      </c>
      <c r="C2070" s="59">
        <v>43413.0</v>
      </c>
      <c r="D2070" s="60" t="s">
        <v>3146</v>
      </c>
      <c r="E2070" s="58" t="s">
        <v>41</v>
      </c>
      <c r="F2070" s="58">
        <v>1.0</v>
      </c>
      <c r="G2070" s="58">
        <v>52.0</v>
      </c>
      <c r="H2070" s="33">
        <f t="shared" si="321"/>
        <v>52</v>
      </c>
      <c r="I2070" s="58" t="s">
        <v>33</v>
      </c>
      <c r="J2070" s="58" t="s">
        <v>147</v>
      </c>
      <c r="K2070" s="58">
        <v>1.0</v>
      </c>
      <c r="L2070" s="58" t="s">
        <v>194</v>
      </c>
      <c r="M2070" s="61" t="s">
        <v>5639</v>
      </c>
      <c r="N2070" s="80"/>
      <c r="O2070" s="58"/>
      <c r="P2070" s="58"/>
      <c r="Q2070" s="58"/>
      <c r="R2070" s="62"/>
      <c r="S2070" s="37" t="str">
        <f>IFERROR(__xludf.DUMMYFUNCTION("if(not(iserror(index(split(C2070, "" ""),2))), index(split(C2070, "" ""),1),"""")"),"November")</f>
        <v>November</v>
      </c>
      <c r="T2070" s="38">
        <f>IFERROR(__xludf.DUMMYFUNCTION("if(S2070="""",C2070,if(not(iserror(index(split(C2070, "" ""),3))), index(split(C2070, "" ""),3),index(split(C2070, "" ""),2)))"),2018.0)</f>
        <v>2018</v>
      </c>
      <c r="U2070" s="38" t="b">
        <f t="shared" si="322"/>
        <v>1</v>
      </c>
      <c r="V2070" s="38"/>
      <c r="W2070" s="40"/>
      <c r="X2070" s="40"/>
      <c r="Y2070" s="40"/>
      <c r="Z2070" s="38"/>
      <c r="AA2070" s="38"/>
      <c r="AB2070" s="38"/>
      <c r="AC2070" s="38"/>
      <c r="AD2070" s="38"/>
      <c r="AE2070" s="38"/>
      <c r="AF2070" s="38"/>
      <c r="AG2070" s="38"/>
      <c r="AH2070" s="38"/>
      <c r="AI2070" s="38"/>
      <c r="AJ2070" s="38"/>
      <c r="AK2070" s="38"/>
      <c r="AL2070" s="38"/>
      <c r="AM2070" s="38"/>
      <c r="AN2070" s="38"/>
      <c r="AO2070" s="38"/>
      <c r="AP2070" s="38"/>
      <c r="AQ2070" s="38"/>
      <c r="AR2070" s="38"/>
      <c r="AS2070" s="38"/>
      <c r="AT2070" s="38"/>
      <c r="AU2070" s="38"/>
      <c r="AV2070" s="38"/>
      <c r="AW2070" s="38"/>
      <c r="AX2070" s="38"/>
      <c r="AY2070" s="38"/>
      <c r="AZ2070" s="38"/>
      <c r="BA2070" s="38"/>
      <c r="BB2070" s="38"/>
      <c r="BC2070" s="38"/>
      <c r="BD2070" s="38"/>
      <c r="BE2070" s="38"/>
      <c r="BF2070" s="38"/>
      <c r="BG2070" s="38"/>
      <c r="BH2070" s="38"/>
      <c r="BI2070" s="38"/>
      <c r="BJ2070" s="38"/>
      <c r="BK2070" s="38"/>
      <c r="BL2070" s="38"/>
      <c r="BM2070" s="38"/>
      <c r="BN2070" s="38"/>
      <c r="BO2070" s="38"/>
      <c r="BP2070" s="38"/>
      <c r="BQ2070" s="38"/>
    </row>
    <row r="2071">
      <c r="A2071" s="58" t="s">
        <v>239</v>
      </c>
      <c r="B2071" s="59">
        <v>43420.0</v>
      </c>
      <c r="C2071" s="59">
        <v>43415.0</v>
      </c>
      <c r="D2071" s="60" t="s">
        <v>5640</v>
      </c>
      <c r="E2071" s="58" t="s">
        <v>41</v>
      </c>
      <c r="F2071" s="58">
        <v>1.0</v>
      </c>
      <c r="G2071" s="58">
        <v>2.0</v>
      </c>
      <c r="H2071" s="33">
        <f t="shared" si="321"/>
        <v>2</v>
      </c>
      <c r="I2071" s="58" t="s">
        <v>33</v>
      </c>
      <c r="J2071" s="58" t="s">
        <v>241</v>
      </c>
      <c r="K2071" s="58">
        <v>1.0</v>
      </c>
      <c r="L2071" s="58" t="s">
        <v>194</v>
      </c>
      <c r="M2071" s="61" t="s">
        <v>5641</v>
      </c>
      <c r="N2071" s="80"/>
      <c r="O2071" s="58"/>
      <c r="P2071" s="62"/>
      <c r="Q2071" s="84"/>
      <c r="R2071" s="62"/>
      <c r="S2071" s="37" t="str">
        <f>IFERROR(__xludf.DUMMYFUNCTION("if(not(iserror(index(split(C2071, "" ""),2))), index(split(C2071, "" ""),1),"""")"),"November")</f>
        <v>November</v>
      </c>
      <c r="T2071" s="38">
        <f>IFERROR(__xludf.DUMMYFUNCTION("if(S2071="""",C2071,if(not(iserror(index(split(C2071, "" ""),3))), index(split(C2071, "" ""),3),index(split(C2071, "" ""),2)))"),2018.0)</f>
        <v>2018</v>
      </c>
      <c r="U2071" s="38" t="b">
        <f t="shared" si="322"/>
        <v>1</v>
      </c>
      <c r="V2071" s="38"/>
      <c r="W2071" s="40"/>
      <c r="X2071" s="40"/>
      <c r="Y2071" s="40"/>
      <c r="Z2071" s="38"/>
      <c r="AA2071" s="38"/>
      <c r="AB2071" s="38"/>
      <c r="AC2071" s="38"/>
      <c r="AD2071" s="38"/>
      <c r="AE2071" s="38"/>
      <c r="AF2071" s="38"/>
      <c r="AG2071" s="38"/>
      <c r="AH2071" s="38"/>
      <c r="AI2071" s="38"/>
      <c r="AJ2071" s="38"/>
      <c r="AK2071" s="38"/>
      <c r="AL2071" s="38"/>
      <c r="AM2071" s="38"/>
      <c r="AN2071" s="38"/>
      <c r="AO2071" s="38"/>
      <c r="AP2071" s="38"/>
      <c r="AQ2071" s="38"/>
      <c r="AR2071" s="38"/>
      <c r="AS2071" s="38"/>
      <c r="AT2071" s="38"/>
      <c r="AU2071" s="38"/>
      <c r="AV2071" s="38"/>
      <c r="AW2071" s="38"/>
      <c r="AX2071" s="38"/>
      <c r="AY2071" s="38"/>
      <c r="AZ2071" s="38"/>
      <c r="BA2071" s="38"/>
      <c r="BB2071" s="38"/>
      <c r="BC2071" s="38"/>
      <c r="BD2071" s="38"/>
      <c r="BE2071" s="38"/>
      <c r="BF2071" s="38"/>
      <c r="BG2071" s="38"/>
      <c r="BH2071" s="38"/>
      <c r="BI2071" s="38"/>
      <c r="BJ2071" s="38"/>
      <c r="BK2071" s="38"/>
      <c r="BL2071" s="38"/>
      <c r="BM2071" s="38"/>
      <c r="BN2071" s="38"/>
      <c r="BO2071" s="38"/>
      <c r="BP2071" s="38"/>
      <c r="BQ2071" s="38"/>
    </row>
    <row r="2072">
      <c r="A2072" s="58" t="s">
        <v>5642</v>
      </c>
      <c r="B2072" s="59">
        <v>43419.0</v>
      </c>
      <c r="C2072" s="59">
        <v>43416.0</v>
      </c>
      <c r="D2072" s="60" t="s">
        <v>5643</v>
      </c>
      <c r="E2072" s="58" t="s">
        <v>41</v>
      </c>
      <c r="F2072" s="58">
        <v>1.0</v>
      </c>
      <c r="G2072" s="58" t="s">
        <v>32</v>
      </c>
      <c r="H2072" s="50">
        <v>1.0</v>
      </c>
      <c r="I2072" s="58" t="s">
        <v>33</v>
      </c>
      <c r="J2072" s="58" t="s">
        <v>93</v>
      </c>
      <c r="K2072" s="58">
        <v>3.0</v>
      </c>
      <c r="L2072" s="58" t="s">
        <v>69</v>
      </c>
      <c r="M2072" s="61" t="s">
        <v>5644</v>
      </c>
      <c r="N2072" s="80"/>
      <c r="O2072" s="88" t="str">
        <f>hyperlink("https://bad-boys.us/?q=SD-NY/7:17-mj-08476", "SD-NY 7:17-mj-08476")</f>
        <v>SD-NY 7:17-mj-08476</v>
      </c>
      <c r="P2072" s="88" t="s">
        <v>5645</v>
      </c>
      <c r="Q2072" s="58">
        <v>1.0</v>
      </c>
      <c r="R2072" s="62"/>
      <c r="S2072" s="37" t="str">
        <f>IFERROR(__xludf.DUMMYFUNCTION("if(not(iserror(index(split(C2072, "" ""),2))), index(split(C2072, "" ""),1),"""")"),"November")</f>
        <v>November</v>
      </c>
      <c r="T2072" s="38">
        <f>IFERROR(__xludf.DUMMYFUNCTION("if(S2072="""",C2072,if(not(iserror(index(split(C2072, "" ""),3))), index(split(C2072, "" ""),3),index(split(C2072, "" ""),2)))"),2018.0)</f>
        <v>2018</v>
      </c>
      <c r="U2072" s="38" t="b">
        <f t="shared" si="322"/>
        <v>0</v>
      </c>
      <c r="V2072" s="38"/>
      <c r="W2072" s="40"/>
      <c r="X2072" s="40"/>
      <c r="Y2072" s="40"/>
      <c r="Z2072" s="38"/>
      <c r="AA2072" s="38"/>
      <c r="AB2072" s="38"/>
      <c r="AC2072" s="38"/>
      <c r="AD2072" s="38"/>
      <c r="AE2072" s="38"/>
      <c r="AF2072" s="38"/>
      <c r="AG2072" s="38"/>
      <c r="AH2072" s="38"/>
      <c r="AI2072" s="38"/>
      <c r="AJ2072" s="38"/>
      <c r="AK2072" s="38"/>
      <c r="AL2072" s="38"/>
      <c r="AM2072" s="38"/>
      <c r="AN2072" s="38"/>
      <c r="AO2072" s="38"/>
      <c r="AP2072" s="38"/>
      <c r="AQ2072" s="38"/>
      <c r="AR2072" s="38"/>
      <c r="AS2072" s="38"/>
      <c r="AT2072" s="38"/>
      <c r="AU2072" s="38"/>
      <c r="AV2072" s="38"/>
      <c r="AW2072" s="38"/>
      <c r="AX2072" s="38"/>
      <c r="AY2072" s="38"/>
      <c r="AZ2072" s="38"/>
      <c r="BA2072" s="38"/>
      <c r="BB2072" s="38"/>
      <c r="BC2072" s="38"/>
      <c r="BD2072" s="38"/>
      <c r="BE2072" s="38"/>
      <c r="BF2072" s="38"/>
      <c r="BG2072" s="38"/>
      <c r="BH2072" s="38"/>
      <c r="BI2072" s="38"/>
      <c r="BJ2072" s="38"/>
      <c r="BK2072" s="38"/>
      <c r="BL2072" s="38"/>
      <c r="BM2072" s="38"/>
      <c r="BN2072" s="38"/>
      <c r="BO2072" s="38"/>
      <c r="BP2072" s="38"/>
      <c r="BQ2072" s="38"/>
    </row>
    <row r="2073">
      <c r="A2073" s="58" t="s">
        <v>5646</v>
      </c>
      <c r="B2073" s="59"/>
      <c r="C2073" s="59">
        <v>43417.0</v>
      </c>
      <c r="D2073" s="60"/>
      <c r="E2073" s="58" t="s">
        <v>41</v>
      </c>
      <c r="F2073" s="58">
        <v>1.0</v>
      </c>
      <c r="G2073" s="58" t="s">
        <v>32</v>
      </c>
      <c r="H2073" s="50">
        <v>1.0</v>
      </c>
      <c r="I2073" s="58" t="s">
        <v>33</v>
      </c>
      <c r="J2073" s="58" t="s">
        <v>460</v>
      </c>
      <c r="K2073" s="58"/>
      <c r="L2073" s="58" t="s">
        <v>119</v>
      </c>
      <c r="M2073" s="61" t="s">
        <v>5647</v>
      </c>
      <c r="N2073" s="80"/>
      <c r="O2073" s="88" t="str">
        <f>hyperlink("https://bad-boys.us/?q=SD-IA/3:18-cr-00090", "SD-IA 3:18-cr-00090")</f>
        <v>SD-IA 3:18-cr-00090</v>
      </c>
      <c r="P2073" s="88" t="s">
        <v>5648</v>
      </c>
      <c r="Q2073" s="58">
        <v>1.0</v>
      </c>
      <c r="R2073" s="62"/>
      <c r="S2073" s="37"/>
      <c r="T2073" s="38"/>
      <c r="U2073" s="38" t="b">
        <f t="shared" si="322"/>
        <v>0</v>
      </c>
      <c r="V2073" s="38" t="s">
        <v>33</v>
      </c>
      <c r="W2073" s="40"/>
      <c r="X2073" s="40"/>
      <c r="Y2073" s="40"/>
      <c r="Z2073" s="38"/>
      <c r="AA2073" s="38"/>
      <c r="AB2073" s="38"/>
      <c r="AC2073" s="38"/>
      <c r="AD2073" s="38"/>
      <c r="AE2073" s="38"/>
      <c r="AF2073" s="38"/>
      <c r="AG2073" s="38"/>
      <c r="AH2073" s="38"/>
      <c r="AI2073" s="38"/>
      <c r="AJ2073" s="38"/>
      <c r="AK2073" s="38"/>
      <c r="AL2073" s="38"/>
      <c r="AM2073" s="38"/>
      <c r="AN2073" s="38"/>
      <c r="AO2073" s="38"/>
      <c r="AP2073" s="38"/>
      <c r="AQ2073" s="38"/>
      <c r="AR2073" s="38"/>
      <c r="AS2073" s="38"/>
      <c r="AT2073" s="38"/>
      <c r="AU2073" s="38"/>
      <c r="AV2073" s="38"/>
      <c r="AW2073" s="38"/>
      <c r="AX2073" s="38"/>
      <c r="AY2073" s="38"/>
      <c r="AZ2073" s="38"/>
      <c r="BA2073" s="38"/>
      <c r="BB2073" s="38"/>
      <c r="BC2073" s="38"/>
      <c r="BD2073" s="38"/>
      <c r="BE2073" s="38"/>
      <c r="BF2073" s="38"/>
      <c r="BG2073" s="38"/>
      <c r="BH2073" s="38"/>
      <c r="BI2073" s="38"/>
      <c r="BJ2073" s="38"/>
      <c r="BK2073" s="38"/>
      <c r="BL2073" s="38"/>
      <c r="BM2073" s="38"/>
      <c r="BN2073" s="38"/>
      <c r="BO2073" s="38"/>
      <c r="BP2073" s="38"/>
      <c r="BQ2073" s="38"/>
    </row>
    <row r="2074">
      <c r="A2074" s="58" t="s">
        <v>5649</v>
      </c>
      <c r="B2074" s="59"/>
      <c r="C2074" s="59">
        <v>43417.0</v>
      </c>
      <c r="D2074" s="60"/>
      <c r="E2074" s="58" t="s">
        <v>31</v>
      </c>
      <c r="F2074" s="58">
        <v>1.0</v>
      </c>
      <c r="G2074" s="58">
        <v>1.0</v>
      </c>
      <c r="H2074" s="43">
        <v>1.0</v>
      </c>
      <c r="I2074" s="58" t="s">
        <v>33</v>
      </c>
      <c r="J2074" s="58" t="s">
        <v>440</v>
      </c>
      <c r="K2074" s="58"/>
      <c r="L2074" s="58" t="s">
        <v>76</v>
      </c>
      <c r="M2074" s="80" t="s">
        <v>5650</v>
      </c>
      <c r="N2074" s="61" t="s">
        <v>5651</v>
      </c>
      <c r="O2074" s="88" t="str">
        <f>hyperlink("https://bad-boys.us/?q=D-CT/3:19-cr-00303", "D-CT 3:19-cr-00303")</f>
        <v>D-CT 3:19-cr-00303</v>
      </c>
      <c r="P2074" s="58"/>
      <c r="Q2074" s="58">
        <v>1.0</v>
      </c>
      <c r="R2074" s="62"/>
      <c r="S2074" s="37"/>
      <c r="T2074" s="38"/>
      <c r="U2074" s="38" t="b">
        <f t="shared" si="322"/>
        <v>0</v>
      </c>
      <c r="V2074" s="38" t="s">
        <v>33</v>
      </c>
      <c r="W2074" s="121" t="s">
        <v>5652</v>
      </c>
      <c r="X2074" s="39" t="s">
        <v>5653</v>
      </c>
      <c r="Y2074" s="40"/>
      <c r="Z2074" s="38"/>
      <c r="AA2074" s="38"/>
      <c r="AB2074" s="38"/>
      <c r="AC2074" s="38"/>
      <c r="AD2074" s="38"/>
      <c r="AE2074" s="38"/>
      <c r="AF2074" s="38"/>
      <c r="AG2074" s="38"/>
      <c r="AH2074" s="38"/>
      <c r="AI2074" s="38"/>
      <c r="AJ2074" s="38"/>
      <c r="AK2074" s="38"/>
      <c r="AL2074" s="38"/>
      <c r="AM2074" s="38"/>
      <c r="AN2074" s="38"/>
      <c r="AO2074" s="38"/>
      <c r="AP2074" s="38"/>
      <c r="AQ2074" s="38"/>
      <c r="AR2074" s="38"/>
      <c r="AS2074" s="38"/>
      <c r="AT2074" s="38"/>
      <c r="AU2074" s="38"/>
      <c r="AV2074" s="38"/>
      <c r="AW2074" s="38"/>
      <c r="AX2074" s="38"/>
      <c r="AY2074" s="38"/>
      <c r="AZ2074" s="38"/>
      <c r="BA2074" s="38"/>
      <c r="BB2074" s="38"/>
      <c r="BC2074" s="38"/>
      <c r="BD2074" s="38"/>
      <c r="BE2074" s="38"/>
      <c r="BF2074" s="38"/>
      <c r="BG2074" s="38"/>
      <c r="BH2074" s="38"/>
      <c r="BI2074" s="38"/>
      <c r="BJ2074" s="38"/>
      <c r="BK2074" s="38"/>
      <c r="BL2074" s="38"/>
      <c r="BM2074" s="38"/>
      <c r="BN2074" s="38"/>
      <c r="BO2074" s="38"/>
      <c r="BP2074" s="38"/>
      <c r="BQ2074" s="38"/>
    </row>
    <row r="2075">
      <c r="A2075" s="58" t="s">
        <v>5654</v>
      </c>
      <c r="B2075" s="59">
        <v>43419.0</v>
      </c>
      <c r="C2075" s="59">
        <v>43418.0</v>
      </c>
      <c r="D2075" s="60" t="s">
        <v>5655</v>
      </c>
      <c r="E2075" s="58" t="s">
        <v>41</v>
      </c>
      <c r="F2075" s="58">
        <v>1.0</v>
      </c>
      <c r="G2075" s="58" t="s">
        <v>32</v>
      </c>
      <c r="H2075" s="33">
        <f t="shared" ref="H2075:H2088" si="323">if(G2075="Unknown",1,G2075)</f>
        <v>1</v>
      </c>
      <c r="I2075" s="58" t="s">
        <v>33</v>
      </c>
      <c r="J2075" s="58" t="s">
        <v>228</v>
      </c>
      <c r="K2075" s="58">
        <v>2.0</v>
      </c>
      <c r="L2075" s="58" t="s">
        <v>35</v>
      </c>
      <c r="M2075" s="61" t="s">
        <v>5656</v>
      </c>
      <c r="N2075" s="80"/>
      <c r="O2075" s="58"/>
      <c r="P2075" s="58"/>
      <c r="Q2075" s="58"/>
      <c r="R2075" s="62"/>
      <c r="S2075" s="37" t="str">
        <f>IFERROR(__xludf.DUMMYFUNCTION("if(not(iserror(index(split(C2075, "" ""),2))), index(split(C2075, "" ""),1),"""")"),"November")</f>
        <v>November</v>
      </c>
      <c r="T2075" s="38">
        <f>IFERROR(__xludf.DUMMYFUNCTION("if(S2075="""",C2075,if(not(iserror(index(split(C2075, "" ""),3))), index(split(C2075, "" ""),3),index(split(C2075, "" ""),2)))"),2018.0)</f>
        <v>2018</v>
      </c>
      <c r="U2075" s="38" t="b">
        <f t="shared" si="322"/>
        <v>0</v>
      </c>
      <c r="V2075" s="38"/>
      <c r="W2075" s="40"/>
      <c r="X2075" s="40"/>
      <c r="Y2075" s="40"/>
      <c r="Z2075" s="38"/>
      <c r="AA2075" s="38"/>
      <c r="AB2075" s="38"/>
      <c r="AC2075" s="38"/>
      <c r="AD2075" s="38"/>
      <c r="AE2075" s="38"/>
      <c r="AF2075" s="38"/>
      <c r="AG2075" s="38"/>
      <c r="AH2075" s="38"/>
      <c r="AI2075" s="38"/>
      <c r="AJ2075" s="38"/>
      <c r="AK2075" s="38"/>
      <c r="AL2075" s="38"/>
      <c r="AM2075" s="38"/>
      <c r="AN2075" s="38"/>
      <c r="AO2075" s="38"/>
      <c r="AP2075" s="38"/>
      <c r="AQ2075" s="38"/>
      <c r="AR2075" s="38"/>
      <c r="AS2075" s="38"/>
      <c r="AT2075" s="38"/>
      <c r="AU2075" s="38"/>
      <c r="AV2075" s="38"/>
      <c r="AW2075" s="38"/>
      <c r="AX2075" s="38"/>
      <c r="AY2075" s="38"/>
      <c r="AZ2075" s="38"/>
      <c r="BA2075" s="38"/>
      <c r="BB2075" s="38"/>
      <c r="BC2075" s="38"/>
      <c r="BD2075" s="38"/>
      <c r="BE2075" s="38"/>
      <c r="BF2075" s="38"/>
      <c r="BG2075" s="38"/>
      <c r="BH2075" s="38"/>
      <c r="BI2075" s="38"/>
      <c r="BJ2075" s="38"/>
      <c r="BK2075" s="38"/>
      <c r="BL2075" s="38"/>
      <c r="BM2075" s="38"/>
      <c r="BN2075" s="38"/>
      <c r="BO2075" s="38"/>
      <c r="BP2075" s="38"/>
      <c r="BQ2075" s="38"/>
    </row>
    <row r="2076">
      <c r="A2076" s="58" t="s">
        <v>5657</v>
      </c>
      <c r="B2076" s="59">
        <v>43419.0</v>
      </c>
      <c r="C2076" s="59">
        <v>43419.0</v>
      </c>
      <c r="D2076" s="60" t="s">
        <v>5658</v>
      </c>
      <c r="E2076" s="58" t="s">
        <v>41</v>
      </c>
      <c r="F2076" s="58">
        <v>1.0</v>
      </c>
      <c r="G2076" s="58" t="s">
        <v>32</v>
      </c>
      <c r="H2076" s="33">
        <f t="shared" si="323"/>
        <v>1</v>
      </c>
      <c r="I2076" s="58" t="s">
        <v>33</v>
      </c>
      <c r="J2076" s="58" t="s">
        <v>115</v>
      </c>
      <c r="K2076" s="58">
        <v>1.0</v>
      </c>
      <c r="L2076" s="58" t="s">
        <v>69</v>
      </c>
      <c r="M2076" s="61" t="s">
        <v>5659</v>
      </c>
      <c r="N2076" s="80"/>
      <c r="O2076" s="88" t="str">
        <f>hyperlink("https://bad-boys.us/?q=ED-PA/2:18-cr-00522", "ED-PA 2:18-cr-00522")</f>
        <v>ED-PA 2:18-cr-00522</v>
      </c>
      <c r="P2076" s="88" t="s">
        <v>5660</v>
      </c>
      <c r="Q2076" s="84">
        <v>1.0</v>
      </c>
      <c r="R2076" s="62"/>
      <c r="S2076" s="37" t="str">
        <f>IFERROR(__xludf.DUMMYFUNCTION("if(not(iserror(index(split(C2076, "" ""),2))), index(split(C2076, "" ""),1),"""")"),"November")</f>
        <v>November</v>
      </c>
      <c r="T2076" s="38">
        <f>IFERROR(__xludf.DUMMYFUNCTION("if(S2076="""",C2076,if(not(iserror(index(split(C2076, "" ""),3))), index(split(C2076, "" ""),3),index(split(C2076, "" ""),2)))"),2018.0)</f>
        <v>2018</v>
      </c>
      <c r="U2076" s="38" t="b">
        <f t="shared" si="322"/>
        <v>0</v>
      </c>
      <c r="V2076" s="38"/>
      <c r="W2076" s="40"/>
      <c r="X2076" s="40"/>
      <c r="Y2076" s="40"/>
      <c r="Z2076" s="38"/>
      <c r="AA2076" s="38"/>
      <c r="AB2076" s="38"/>
      <c r="AC2076" s="38"/>
      <c r="AD2076" s="38"/>
      <c r="AE2076" s="38"/>
      <c r="AF2076" s="38"/>
      <c r="AG2076" s="38"/>
      <c r="AH2076" s="38"/>
      <c r="AI2076" s="38"/>
      <c r="AJ2076" s="38"/>
      <c r="AK2076" s="38"/>
      <c r="AL2076" s="38"/>
      <c r="AM2076" s="38"/>
      <c r="AN2076" s="38"/>
      <c r="AO2076" s="38"/>
      <c r="AP2076" s="38"/>
      <c r="AQ2076" s="38"/>
      <c r="AR2076" s="38"/>
      <c r="AS2076" s="38"/>
      <c r="AT2076" s="38"/>
      <c r="AU2076" s="38"/>
      <c r="AV2076" s="38"/>
      <c r="AW2076" s="38"/>
      <c r="AX2076" s="38"/>
      <c r="AY2076" s="38"/>
      <c r="AZ2076" s="38"/>
      <c r="BA2076" s="38"/>
      <c r="BB2076" s="38"/>
      <c r="BC2076" s="38"/>
      <c r="BD2076" s="38"/>
      <c r="BE2076" s="38"/>
      <c r="BF2076" s="38"/>
      <c r="BG2076" s="38"/>
      <c r="BH2076" s="38"/>
      <c r="BI2076" s="38"/>
      <c r="BJ2076" s="38"/>
      <c r="BK2076" s="38"/>
      <c r="BL2076" s="38"/>
      <c r="BM2076" s="38"/>
      <c r="BN2076" s="38"/>
      <c r="BO2076" s="38"/>
      <c r="BP2076" s="38"/>
      <c r="BQ2076" s="38"/>
    </row>
    <row r="2077">
      <c r="A2077" s="58" t="s">
        <v>239</v>
      </c>
      <c r="B2077" s="59">
        <v>43420.0</v>
      </c>
      <c r="C2077" s="59">
        <v>43419.0</v>
      </c>
      <c r="D2077" s="60" t="s">
        <v>5658</v>
      </c>
      <c r="E2077" s="58" t="s">
        <v>41</v>
      </c>
      <c r="F2077" s="58">
        <v>1.0</v>
      </c>
      <c r="G2077" s="58">
        <v>2.0</v>
      </c>
      <c r="H2077" s="33">
        <f t="shared" si="323"/>
        <v>2</v>
      </c>
      <c r="I2077" s="58" t="s">
        <v>33</v>
      </c>
      <c r="J2077" s="58" t="s">
        <v>241</v>
      </c>
      <c r="K2077" s="58">
        <v>1.0</v>
      </c>
      <c r="L2077" s="58" t="s">
        <v>194</v>
      </c>
      <c r="M2077" s="61" t="s">
        <v>5641</v>
      </c>
      <c r="N2077" s="80"/>
      <c r="O2077" s="58"/>
      <c r="P2077" s="62"/>
      <c r="Q2077" s="84"/>
      <c r="R2077" s="62"/>
      <c r="S2077" s="37" t="str">
        <f>IFERROR(__xludf.DUMMYFUNCTION("if(not(iserror(index(split(C2077, "" ""),2))), index(split(C2077, "" ""),1),"""")"),"November")</f>
        <v>November</v>
      </c>
      <c r="T2077" s="38">
        <f>IFERROR(__xludf.DUMMYFUNCTION("if(S2077="""",C2077,if(not(iserror(index(split(C2077, "" ""),3))), index(split(C2077, "" ""),3),index(split(C2077, "" ""),2)))"),2018.0)</f>
        <v>2018</v>
      </c>
      <c r="U2077" s="38" t="b">
        <f t="shared" si="322"/>
        <v>1</v>
      </c>
      <c r="V2077" s="38"/>
      <c r="W2077" s="40"/>
      <c r="X2077" s="40"/>
      <c r="Y2077" s="40"/>
      <c r="Z2077" s="38"/>
      <c r="AA2077" s="38"/>
      <c r="AB2077" s="38"/>
      <c r="AC2077" s="38"/>
      <c r="AD2077" s="38"/>
      <c r="AE2077" s="38"/>
      <c r="AF2077" s="38"/>
      <c r="AG2077" s="38"/>
      <c r="AH2077" s="38"/>
      <c r="AI2077" s="38"/>
      <c r="AJ2077" s="38"/>
      <c r="AK2077" s="38"/>
      <c r="AL2077" s="38"/>
      <c r="AM2077" s="38"/>
      <c r="AN2077" s="38"/>
      <c r="AO2077" s="38"/>
      <c r="AP2077" s="38"/>
      <c r="AQ2077" s="38"/>
      <c r="AR2077" s="38"/>
      <c r="AS2077" s="38"/>
      <c r="AT2077" s="38"/>
      <c r="AU2077" s="38"/>
      <c r="AV2077" s="38"/>
      <c r="AW2077" s="38"/>
      <c r="AX2077" s="38"/>
      <c r="AY2077" s="38"/>
      <c r="AZ2077" s="38"/>
      <c r="BA2077" s="38"/>
      <c r="BB2077" s="38"/>
      <c r="BC2077" s="38"/>
      <c r="BD2077" s="38"/>
      <c r="BE2077" s="38"/>
      <c r="BF2077" s="38"/>
      <c r="BG2077" s="38"/>
      <c r="BH2077" s="38"/>
      <c r="BI2077" s="38"/>
      <c r="BJ2077" s="38"/>
      <c r="BK2077" s="38"/>
      <c r="BL2077" s="38"/>
      <c r="BM2077" s="38"/>
      <c r="BN2077" s="38"/>
      <c r="BO2077" s="38"/>
      <c r="BP2077" s="38"/>
      <c r="BQ2077" s="38"/>
    </row>
    <row r="2078">
      <c r="A2078" s="58" t="s">
        <v>5661</v>
      </c>
      <c r="B2078" s="59">
        <v>43425.0</v>
      </c>
      <c r="C2078" s="59">
        <v>43419.0</v>
      </c>
      <c r="D2078" s="60" t="s">
        <v>5658</v>
      </c>
      <c r="E2078" s="58" t="s">
        <v>41</v>
      </c>
      <c r="F2078" s="58">
        <v>2.0</v>
      </c>
      <c r="G2078" s="58" t="s">
        <v>32</v>
      </c>
      <c r="H2078" s="33">
        <f t="shared" si="323"/>
        <v>1</v>
      </c>
      <c r="I2078" s="58" t="s">
        <v>33</v>
      </c>
      <c r="J2078" s="58" t="s">
        <v>410</v>
      </c>
      <c r="K2078" s="58">
        <v>8.0</v>
      </c>
      <c r="L2078" s="58" t="s">
        <v>76</v>
      </c>
      <c r="M2078" s="61" t="s">
        <v>5662</v>
      </c>
      <c r="N2078" s="80"/>
      <c r="O2078" s="88" t="str">
        <f>hyperlink("https://bad-boys.us/?q=D-MA/1:18-cr-10472", "D-MA 1:18-cr-10472")</f>
        <v>D-MA 1:18-cr-10472</v>
      </c>
      <c r="P2078" s="88" t="s">
        <v>5663</v>
      </c>
      <c r="Q2078" s="58">
        <v>1.0</v>
      </c>
      <c r="R2078" s="62"/>
      <c r="S2078" s="37" t="str">
        <f>IFERROR(__xludf.DUMMYFUNCTION("if(not(iserror(index(split(C2078, "" ""),2))), index(split(C2078, "" ""),1),"""")"),"November")</f>
        <v>November</v>
      </c>
      <c r="T2078" s="38">
        <f>IFERROR(__xludf.DUMMYFUNCTION("if(S2078="""",C2078,if(not(iserror(index(split(C2078, "" ""),3))), index(split(C2078, "" ""),3),index(split(C2078, "" ""),2)))"),2018.0)</f>
        <v>2018</v>
      </c>
      <c r="U2078" s="38" t="b">
        <f t="shared" si="322"/>
        <v>0</v>
      </c>
      <c r="V2078" s="38"/>
      <c r="W2078" s="40"/>
      <c r="X2078" s="40"/>
      <c r="Y2078" s="40"/>
      <c r="Z2078" s="38"/>
      <c r="AA2078" s="38"/>
      <c r="AB2078" s="38"/>
      <c r="AC2078" s="38"/>
      <c r="AD2078" s="38"/>
      <c r="AE2078" s="38"/>
      <c r="AF2078" s="38"/>
      <c r="AG2078" s="38"/>
      <c r="AH2078" s="38"/>
      <c r="AI2078" s="38"/>
      <c r="AJ2078" s="38"/>
      <c r="AK2078" s="38"/>
      <c r="AL2078" s="38"/>
      <c r="AM2078" s="38"/>
      <c r="AN2078" s="38"/>
      <c r="AO2078" s="38"/>
      <c r="AP2078" s="38"/>
      <c r="AQ2078" s="38"/>
      <c r="AR2078" s="38"/>
      <c r="AS2078" s="38"/>
      <c r="AT2078" s="38"/>
      <c r="AU2078" s="38"/>
      <c r="AV2078" s="38"/>
      <c r="AW2078" s="38"/>
      <c r="AX2078" s="38"/>
      <c r="AY2078" s="38"/>
      <c r="AZ2078" s="38"/>
      <c r="BA2078" s="38"/>
      <c r="BB2078" s="38"/>
      <c r="BC2078" s="38"/>
      <c r="BD2078" s="38"/>
      <c r="BE2078" s="38"/>
      <c r="BF2078" s="38"/>
      <c r="BG2078" s="38"/>
      <c r="BH2078" s="38"/>
      <c r="BI2078" s="38"/>
      <c r="BJ2078" s="38"/>
      <c r="BK2078" s="38"/>
      <c r="BL2078" s="38"/>
      <c r="BM2078" s="38"/>
      <c r="BN2078" s="38"/>
      <c r="BO2078" s="38"/>
      <c r="BP2078" s="38"/>
      <c r="BQ2078" s="38"/>
    </row>
    <row r="2079">
      <c r="A2079" s="58" t="s">
        <v>5664</v>
      </c>
      <c r="B2079" s="59">
        <v>43420.0</v>
      </c>
      <c r="C2079" s="59">
        <v>43420.0</v>
      </c>
      <c r="D2079" s="60" t="s">
        <v>5665</v>
      </c>
      <c r="E2079" s="58" t="s">
        <v>41</v>
      </c>
      <c r="F2079" s="58">
        <v>1.0</v>
      </c>
      <c r="G2079" s="58" t="s">
        <v>32</v>
      </c>
      <c r="H2079" s="33">
        <f t="shared" si="323"/>
        <v>1</v>
      </c>
      <c r="I2079" s="58" t="s">
        <v>33</v>
      </c>
      <c r="J2079" s="58" t="s">
        <v>279</v>
      </c>
      <c r="K2079" s="58">
        <v>2.0</v>
      </c>
      <c r="L2079" s="58" t="s">
        <v>119</v>
      </c>
      <c r="M2079" s="61" t="s">
        <v>5666</v>
      </c>
      <c r="N2079" s="61" t="s">
        <v>5667</v>
      </c>
      <c r="O2079" s="88" t="str">
        <f>hyperlink("https://bad-boys.us/?q=SD-IL/3:18-cr-30172", "SD-IL 3:18-cr-30172")</f>
        <v>SD-IL 3:18-cr-30172</v>
      </c>
      <c r="P2079" s="58"/>
      <c r="Q2079" s="84">
        <v>1.0</v>
      </c>
      <c r="R2079" s="62"/>
      <c r="S2079" s="37" t="str">
        <f>IFERROR(__xludf.DUMMYFUNCTION("if(not(iserror(index(split(C2079, "" ""),2))), index(split(C2079, "" ""),1),"""")"),"November")</f>
        <v>November</v>
      </c>
      <c r="T2079" s="38">
        <f>IFERROR(__xludf.DUMMYFUNCTION("if(S2079="""",C2079,if(not(iserror(index(split(C2079, "" ""),3))), index(split(C2079, "" ""),3),index(split(C2079, "" ""),2)))"),2018.0)</f>
        <v>2018</v>
      </c>
      <c r="U2079" s="38" t="b">
        <f t="shared" si="322"/>
        <v>0</v>
      </c>
      <c r="V2079" s="38"/>
      <c r="W2079" s="40"/>
      <c r="X2079" s="40"/>
      <c r="Y2079" s="40"/>
      <c r="Z2079" s="38"/>
      <c r="AA2079" s="38"/>
      <c r="AB2079" s="38"/>
      <c r="AC2079" s="38"/>
      <c r="AD2079" s="38"/>
      <c r="AE2079" s="38"/>
      <c r="AF2079" s="38"/>
      <c r="AG2079" s="38"/>
      <c r="AH2079" s="38"/>
      <c r="AI2079" s="38"/>
      <c r="AJ2079" s="38"/>
      <c r="AK2079" s="38"/>
      <c r="AL2079" s="38"/>
      <c r="AM2079" s="38"/>
      <c r="AN2079" s="38"/>
      <c r="AO2079" s="38"/>
      <c r="AP2079" s="38"/>
      <c r="AQ2079" s="38"/>
      <c r="AR2079" s="38"/>
      <c r="AS2079" s="38"/>
      <c r="AT2079" s="38"/>
      <c r="AU2079" s="38"/>
      <c r="AV2079" s="38"/>
      <c r="AW2079" s="38"/>
      <c r="AX2079" s="38"/>
      <c r="AY2079" s="38"/>
      <c r="AZ2079" s="38"/>
      <c r="BA2079" s="38"/>
      <c r="BB2079" s="38"/>
      <c r="BC2079" s="38"/>
      <c r="BD2079" s="38"/>
      <c r="BE2079" s="38"/>
      <c r="BF2079" s="38"/>
      <c r="BG2079" s="38"/>
      <c r="BH2079" s="38"/>
      <c r="BI2079" s="38"/>
      <c r="BJ2079" s="38"/>
      <c r="BK2079" s="38"/>
      <c r="BL2079" s="38"/>
      <c r="BM2079" s="38"/>
      <c r="BN2079" s="38"/>
      <c r="BO2079" s="38"/>
      <c r="BP2079" s="38"/>
      <c r="BQ2079" s="38"/>
    </row>
    <row r="2080">
      <c r="A2080" s="58" t="s">
        <v>239</v>
      </c>
      <c r="B2080" s="59">
        <v>43423.0</v>
      </c>
      <c r="C2080" s="59">
        <v>43420.0</v>
      </c>
      <c r="D2080" s="60" t="s">
        <v>5665</v>
      </c>
      <c r="E2080" s="58" t="s">
        <v>41</v>
      </c>
      <c r="F2080" s="58">
        <v>2.0</v>
      </c>
      <c r="G2080" s="58">
        <v>2.0</v>
      </c>
      <c r="H2080" s="33">
        <f t="shared" si="323"/>
        <v>2</v>
      </c>
      <c r="I2080" s="58" t="s">
        <v>33</v>
      </c>
      <c r="J2080" s="58" t="s">
        <v>241</v>
      </c>
      <c r="K2080" s="58">
        <v>1.0</v>
      </c>
      <c r="L2080" s="58" t="s">
        <v>194</v>
      </c>
      <c r="M2080" s="61" t="s">
        <v>5668</v>
      </c>
      <c r="N2080" s="80"/>
      <c r="O2080" s="58"/>
      <c r="P2080" s="62"/>
      <c r="Q2080" s="84"/>
      <c r="R2080" s="62"/>
      <c r="S2080" s="37" t="str">
        <f>IFERROR(__xludf.DUMMYFUNCTION("if(not(iserror(index(split(C2080, "" ""),2))), index(split(C2080, "" ""),1),"""")"),"November")</f>
        <v>November</v>
      </c>
      <c r="T2080" s="38">
        <f>IFERROR(__xludf.DUMMYFUNCTION("if(S2080="""",C2080,if(not(iserror(index(split(C2080, "" ""),3))), index(split(C2080, "" ""),3),index(split(C2080, "" ""),2)))"),2018.0)</f>
        <v>2018</v>
      </c>
      <c r="U2080" s="38" t="b">
        <f t="shared" si="322"/>
        <v>1</v>
      </c>
      <c r="V2080" s="38"/>
      <c r="W2080" s="40"/>
      <c r="X2080" s="40"/>
      <c r="Y2080" s="40"/>
      <c r="Z2080" s="38"/>
      <c r="AA2080" s="38"/>
      <c r="AB2080" s="38"/>
      <c r="AC2080" s="38"/>
      <c r="AD2080" s="38"/>
      <c r="AE2080" s="38"/>
      <c r="AF2080" s="38"/>
      <c r="AG2080" s="38"/>
      <c r="AH2080" s="38"/>
      <c r="AI2080" s="38"/>
      <c r="AJ2080" s="38"/>
      <c r="AK2080" s="38"/>
      <c r="AL2080" s="38"/>
      <c r="AM2080" s="38"/>
      <c r="AN2080" s="38"/>
      <c r="AO2080" s="38"/>
      <c r="AP2080" s="38"/>
      <c r="AQ2080" s="38"/>
      <c r="AR2080" s="38"/>
      <c r="AS2080" s="38"/>
      <c r="AT2080" s="38"/>
      <c r="AU2080" s="38"/>
      <c r="AV2080" s="38"/>
      <c r="AW2080" s="38"/>
      <c r="AX2080" s="38"/>
      <c r="AY2080" s="38"/>
      <c r="AZ2080" s="38"/>
      <c r="BA2080" s="38"/>
      <c r="BB2080" s="38"/>
      <c r="BC2080" s="38"/>
      <c r="BD2080" s="38"/>
      <c r="BE2080" s="38"/>
      <c r="BF2080" s="38"/>
      <c r="BG2080" s="38"/>
      <c r="BH2080" s="38"/>
      <c r="BI2080" s="38"/>
      <c r="BJ2080" s="38"/>
      <c r="BK2080" s="38"/>
      <c r="BL2080" s="38"/>
      <c r="BM2080" s="38"/>
      <c r="BN2080" s="38"/>
      <c r="BO2080" s="38"/>
      <c r="BP2080" s="38"/>
      <c r="BQ2080" s="38"/>
    </row>
    <row r="2081">
      <c r="A2081" s="87" t="s">
        <v>5669</v>
      </c>
      <c r="B2081" s="59">
        <v>43424.0</v>
      </c>
      <c r="C2081" s="59">
        <v>43420.0</v>
      </c>
      <c r="D2081" s="60" t="s">
        <v>5665</v>
      </c>
      <c r="E2081" s="58" t="s">
        <v>41</v>
      </c>
      <c r="F2081" s="58">
        <v>1.0</v>
      </c>
      <c r="G2081" s="58" t="s">
        <v>32</v>
      </c>
      <c r="H2081" s="33">
        <f t="shared" si="323"/>
        <v>1</v>
      </c>
      <c r="I2081" s="58" t="s">
        <v>33</v>
      </c>
      <c r="J2081" s="58" t="s">
        <v>909</v>
      </c>
      <c r="K2081" s="58">
        <v>3.0</v>
      </c>
      <c r="L2081" s="58" t="s">
        <v>119</v>
      </c>
      <c r="M2081" s="61" t="s">
        <v>5670</v>
      </c>
      <c r="N2081" s="80"/>
      <c r="O2081" s="58"/>
      <c r="P2081" s="58"/>
      <c r="Q2081" s="58"/>
      <c r="R2081" s="62"/>
      <c r="S2081" s="37" t="str">
        <f>IFERROR(__xludf.DUMMYFUNCTION("if(not(iserror(index(split(C2081, "" ""),2))), index(split(C2081, "" ""),1),"""")"),"November")</f>
        <v>November</v>
      </c>
      <c r="T2081" s="38">
        <f>IFERROR(__xludf.DUMMYFUNCTION("if(S2081="""",C2081,if(not(iserror(index(split(C2081, "" ""),3))), index(split(C2081, "" ""),3),index(split(C2081, "" ""),2)))"),2018.0)</f>
        <v>2018</v>
      </c>
      <c r="U2081" s="38" t="b">
        <f t="shared" si="322"/>
        <v>0</v>
      </c>
      <c r="V2081" s="38"/>
      <c r="W2081" s="40"/>
      <c r="X2081" s="40"/>
      <c r="Y2081" s="40"/>
      <c r="Z2081" s="38"/>
      <c r="AA2081" s="38"/>
      <c r="AB2081" s="38"/>
      <c r="AC2081" s="38"/>
      <c r="AD2081" s="38"/>
      <c r="AE2081" s="38"/>
      <c r="AF2081" s="38"/>
      <c r="AG2081" s="38"/>
      <c r="AH2081" s="38"/>
      <c r="AI2081" s="38"/>
      <c r="AJ2081" s="38"/>
      <c r="AK2081" s="38"/>
      <c r="AL2081" s="38"/>
      <c r="AM2081" s="38"/>
      <c r="AN2081" s="38"/>
      <c r="AO2081" s="38"/>
      <c r="AP2081" s="38"/>
      <c r="AQ2081" s="38"/>
      <c r="AR2081" s="38"/>
      <c r="AS2081" s="38"/>
      <c r="AT2081" s="38"/>
      <c r="AU2081" s="38"/>
      <c r="AV2081" s="38"/>
      <c r="AW2081" s="38"/>
      <c r="AX2081" s="38"/>
      <c r="AY2081" s="38"/>
      <c r="AZ2081" s="38"/>
      <c r="BA2081" s="38"/>
      <c r="BB2081" s="38"/>
      <c r="BC2081" s="38"/>
      <c r="BD2081" s="38"/>
      <c r="BE2081" s="38"/>
      <c r="BF2081" s="38"/>
      <c r="BG2081" s="38"/>
      <c r="BH2081" s="38"/>
      <c r="BI2081" s="38"/>
      <c r="BJ2081" s="38"/>
      <c r="BK2081" s="38"/>
      <c r="BL2081" s="38"/>
      <c r="BM2081" s="38"/>
      <c r="BN2081" s="38"/>
      <c r="BO2081" s="38"/>
      <c r="BP2081" s="38"/>
      <c r="BQ2081" s="38"/>
    </row>
    <row r="2082">
      <c r="A2082" s="58" t="s">
        <v>5671</v>
      </c>
      <c r="B2082" s="59">
        <v>43432.0</v>
      </c>
      <c r="C2082" s="59">
        <v>43420.0</v>
      </c>
      <c r="D2082" s="60" t="s">
        <v>5665</v>
      </c>
      <c r="E2082" s="58" t="s">
        <v>31</v>
      </c>
      <c r="F2082" s="58">
        <v>1.0</v>
      </c>
      <c r="G2082" s="58" t="s">
        <v>31</v>
      </c>
      <c r="H2082" s="33" t="str">
        <f t="shared" si="323"/>
        <v>Y</v>
      </c>
      <c r="I2082" s="58" t="s">
        <v>33</v>
      </c>
      <c r="J2082" s="58" t="s">
        <v>147</v>
      </c>
      <c r="K2082" s="58">
        <v>2.0</v>
      </c>
      <c r="L2082" s="58" t="s">
        <v>119</v>
      </c>
      <c r="M2082" s="61" t="s">
        <v>5672</v>
      </c>
      <c r="N2082" s="61" t="s">
        <v>5673</v>
      </c>
      <c r="O2082" s="58"/>
      <c r="P2082" s="58"/>
      <c r="Q2082" s="58"/>
      <c r="R2082" s="62"/>
      <c r="S2082" s="37" t="str">
        <f>IFERROR(__xludf.DUMMYFUNCTION("if(not(iserror(index(split(C2082, "" ""),2))), index(split(C2082, "" ""),1),"""")"),"November")</f>
        <v>November</v>
      </c>
      <c r="T2082" s="38">
        <f>IFERROR(__xludf.DUMMYFUNCTION("if(S2082="""",C2082,if(not(iserror(index(split(C2082, "" ""),3))), index(split(C2082, "" ""),3),index(split(C2082, "" ""),2)))"),2018.0)</f>
        <v>2018</v>
      </c>
      <c r="U2082" s="38" t="b">
        <f t="shared" si="322"/>
        <v>0</v>
      </c>
      <c r="V2082" s="38"/>
      <c r="W2082" s="40"/>
      <c r="X2082" s="40"/>
      <c r="Y2082" s="40"/>
      <c r="Z2082" s="38"/>
      <c r="AA2082" s="38"/>
      <c r="AB2082" s="38"/>
      <c r="AC2082" s="38"/>
      <c r="AD2082" s="38"/>
      <c r="AE2082" s="38"/>
      <c r="AF2082" s="38"/>
      <c r="AG2082" s="38"/>
      <c r="AH2082" s="38"/>
      <c r="AI2082" s="38"/>
      <c r="AJ2082" s="38"/>
      <c r="AK2082" s="38"/>
      <c r="AL2082" s="38"/>
      <c r="AM2082" s="38"/>
      <c r="AN2082" s="38"/>
      <c r="AO2082" s="38"/>
      <c r="AP2082" s="38"/>
      <c r="AQ2082" s="38"/>
      <c r="AR2082" s="38"/>
      <c r="AS2082" s="38"/>
      <c r="AT2082" s="38"/>
      <c r="AU2082" s="38"/>
      <c r="AV2082" s="38"/>
      <c r="AW2082" s="38"/>
      <c r="AX2082" s="38"/>
      <c r="AY2082" s="38"/>
      <c r="AZ2082" s="38"/>
      <c r="BA2082" s="38"/>
      <c r="BB2082" s="38"/>
      <c r="BC2082" s="38"/>
      <c r="BD2082" s="38"/>
      <c r="BE2082" s="38"/>
      <c r="BF2082" s="38"/>
      <c r="BG2082" s="38"/>
      <c r="BH2082" s="38"/>
      <c r="BI2082" s="38"/>
      <c r="BJ2082" s="38"/>
      <c r="BK2082" s="38"/>
      <c r="BL2082" s="38"/>
      <c r="BM2082" s="38"/>
      <c r="BN2082" s="38"/>
      <c r="BO2082" s="38"/>
      <c r="BP2082" s="38"/>
      <c r="BQ2082" s="38"/>
    </row>
    <row r="2083">
      <c r="A2083" s="58" t="s">
        <v>239</v>
      </c>
      <c r="B2083" s="59">
        <v>43424.0</v>
      </c>
      <c r="C2083" s="59">
        <v>43423.0</v>
      </c>
      <c r="D2083" s="60" t="s">
        <v>5674</v>
      </c>
      <c r="E2083" s="58" t="s">
        <v>41</v>
      </c>
      <c r="F2083" s="58">
        <v>1.0</v>
      </c>
      <c r="G2083" s="58">
        <v>3.0</v>
      </c>
      <c r="H2083" s="33">
        <f t="shared" si="323"/>
        <v>3</v>
      </c>
      <c r="I2083" s="58" t="s">
        <v>33</v>
      </c>
      <c r="J2083" s="58" t="s">
        <v>241</v>
      </c>
      <c r="K2083" s="58">
        <v>1.0</v>
      </c>
      <c r="L2083" s="58" t="s">
        <v>194</v>
      </c>
      <c r="M2083" s="61" t="s">
        <v>5675</v>
      </c>
      <c r="N2083" s="80"/>
      <c r="O2083" s="58"/>
      <c r="P2083" s="62"/>
      <c r="Q2083" s="84"/>
      <c r="R2083" s="62"/>
      <c r="S2083" s="37" t="str">
        <f>IFERROR(__xludf.DUMMYFUNCTION("if(not(iserror(index(split(C2083, "" ""),2))), index(split(C2083, "" ""),1),"""")"),"November")</f>
        <v>November</v>
      </c>
      <c r="T2083" s="38">
        <f>IFERROR(__xludf.DUMMYFUNCTION("if(S2083="""",C2083,if(not(iserror(index(split(C2083, "" ""),3))), index(split(C2083, "" ""),3),index(split(C2083, "" ""),2)))"),2018.0)</f>
        <v>2018</v>
      </c>
      <c r="U2083" s="38" t="b">
        <f t="shared" si="322"/>
        <v>1</v>
      </c>
      <c r="V2083" s="38"/>
      <c r="W2083" s="40"/>
      <c r="X2083" s="40"/>
      <c r="Y2083" s="40"/>
      <c r="Z2083" s="38"/>
      <c r="AA2083" s="38"/>
      <c r="AB2083" s="38"/>
      <c r="AC2083" s="38"/>
      <c r="AD2083" s="38"/>
      <c r="AE2083" s="38"/>
      <c r="AF2083" s="38"/>
      <c r="AG2083" s="38"/>
      <c r="AH2083" s="38"/>
      <c r="AI2083" s="38"/>
      <c r="AJ2083" s="38"/>
      <c r="AK2083" s="38"/>
      <c r="AL2083" s="38"/>
      <c r="AM2083" s="38"/>
      <c r="AN2083" s="38"/>
      <c r="AO2083" s="38"/>
      <c r="AP2083" s="38"/>
      <c r="AQ2083" s="38"/>
      <c r="AR2083" s="38"/>
      <c r="AS2083" s="38"/>
      <c r="AT2083" s="38"/>
      <c r="AU2083" s="38"/>
      <c r="AV2083" s="38"/>
      <c r="AW2083" s="38"/>
      <c r="AX2083" s="38"/>
      <c r="AY2083" s="38"/>
      <c r="AZ2083" s="38"/>
      <c r="BA2083" s="38"/>
      <c r="BB2083" s="38"/>
      <c r="BC2083" s="38"/>
      <c r="BD2083" s="38"/>
      <c r="BE2083" s="38"/>
      <c r="BF2083" s="38"/>
      <c r="BG2083" s="38"/>
      <c r="BH2083" s="38"/>
      <c r="BI2083" s="38"/>
      <c r="BJ2083" s="38"/>
      <c r="BK2083" s="38"/>
      <c r="BL2083" s="38"/>
      <c r="BM2083" s="38"/>
      <c r="BN2083" s="38"/>
      <c r="BO2083" s="38"/>
      <c r="BP2083" s="38"/>
      <c r="BQ2083" s="38"/>
    </row>
    <row r="2084">
      <c r="A2084" s="87" t="s">
        <v>5676</v>
      </c>
      <c r="B2084" s="59">
        <v>43424.0</v>
      </c>
      <c r="C2084" s="59">
        <v>43424.0</v>
      </c>
      <c r="D2084" s="60" t="s">
        <v>5677</v>
      </c>
      <c r="E2084" s="58" t="s">
        <v>41</v>
      </c>
      <c r="F2084" s="58">
        <v>1.0</v>
      </c>
      <c r="G2084" s="58" t="s">
        <v>32</v>
      </c>
      <c r="H2084" s="33">
        <f t="shared" si="323"/>
        <v>1</v>
      </c>
      <c r="I2084" s="58" t="s">
        <v>33</v>
      </c>
      <c r="J2084" s="58" t="s">
        <v>55</v>
      </c>
      <c r="K2084" s="58">
        <v>1.0</v>
      </c>
      <c r="L2084" s="58" t="s">
        <v>69</v>
      </c>
      <c r="M2084" s="61" t="s">
        <v>5678</v>
      </c>
      <c r="N2084" s="80"/>
      <c r="O2084" s="58"/>
      <c r="P2084" s="58"/>
      <c r="Q2084" s="58"/>
      <c r="R2084" s="62"/>
      <c r="S2084" s="37" t="str">
        <f>IFERROR(__xludf.DUMMYFUNCTION("if(not(iserror(index(split(C2084, "" ""),2))), index(split(C2084, "" ""),1),"""")"),"November")</f>
        <v>November</v>
      </c>
      <c r="T2084" s="38">
        <f>IFERROR(__xludf.DUMMYFUNCTION("if(S2084="""",C2084,if(not(iserror(index(split(C2084, "" ""),3))), index(split(C2084, "" ""),3),index(split(C2084, "" ""),2)))"),2018.0)</f>
        <v>2018</v>
      </c>
      <c r="U2084" s="38" t="b">
        <f t="shared" si="322"/>
        <v>0</v>
      </c>
      <c r="V2084" s="38"/>
      <c r="W2084" s="40"/>
      <c r="X2084" s="40"/>
      <c r="Y2084" s="40"/>
      <c r="Z2084" s="38"/>
      <c r="AA2084" s="38"/>
      <c r="AB2084" s="38"/>
      <c r="AC2084" s="38"/>
      <c r="AD2084" s="38"/>
      <c r="AE2084" s="38"/>
      <c r="AF2084" s="38"/>
      <c r="AG2084" s="38"/>
      <c r="AH2084" s="38"/>
      <c r="AI2084" s="38"/>
      <c r="AJ2084" s="38"/>
      <c r="AK2084" s="38"/>
      <c r="AL2084" s="38"/>
      <c r="AM2084" s="38"/>
      <c r="AN2084" s="38"/>
      <c r="AO2084" s="38"/>
      <c r="AP2084" s="38"/>
      <c r="AQ2084" s="38"/>
      <c r="AR2084" s="38"/>
      <c r="AS2084" s="38"/>
      <c r="AT2084" s="38"/>
      <c r="AU2084" s="38"/>
      <c r="AV2084" s="38"/>
      <c r="AW2084" s="38"/>
      <c r="AX2084" s="38"/>
      <c r="AY2084" s="38"/>
      <c r="AZ2084" s="38"/>
      <c r="BA2084" s="38"/>
      <c r="BB2084" s="38"/>
      <c r="BC2084" s="38"/>
      <c r="BD2084" s="38"/>
      <c r="BE2084" s="38"/>
      <c r="BF2084" s="38"/>
      <c r="BG2084" s="38"/>
      <c r="BH2084" s="38"/>
      <c r="BI2084" s="38"/>
      <c r="BJ2084" s="38"/>
      <c r="BK2084" s="38"/>
      <c r="BL2084" s="38"/>
      <c r="BM2084" s="38"/>
      <c r="BN2084" s="38"/>
      <c r="BO2084" s="38"/>
      <c r="BP2084" s="38"/>
      <c r="BQ2084" s="38"/>
    </row>
    <row r="2085">
      <c r="A2085" s="87" t="s">
        <v>5679</v>
      </c>
      <c r="B2085" s="59">
        <v>43424.0</v>
      </c>
      <c r="C2085" s="59">
        <v>43424.0</v>
      </c>
      <c r="D2085" s="60" t="s">
        <v>5677</v>
      </c>
      <c r="E2085" s="58" t="s">
        <v>41</v>
      </c>
      <c r="F2085" s="58">
        <v>1.0</v>
      </c>
      <c r="G2085" s="58" t="s">
        <v>32</v>
      </c>
      <c r="H2085" s="33">
        <f t="shared" si="323"/>
        <v>1</v>
      </c>
      <c r="I2085" s="58" t="s">
        <v>33</v>
      </c>
      <c r="J2085" s="58" t="s">
        <v>909</v>
      </c>
      <c r="K2085" s="58">
        <v>3.0</v>
      </c>
      <c r="L2085" s="58" t="s">
        <v>119</v>
      </c>
      <c r="M2085" s="80" t="s">
        <v>5680</v>
      </c>
      <c r="N2085" s="80"/>
      <c r="O2085" s="88" t="str">
        <f>hyperlink("https://bad-boys.us/?q=D-RI/1:19-cr-00058", "D-RI 1:19-cr-00058")</f>
        <v>D-RI 1:19-cr-00058</v>
      </c>
      <c r="P2085" s="88" t="s">
        <v>5681</v>
      </c>
      <c r="Q2085" s="58">
        <v>1.0</v>
      </c>
      <c r="R2085" s="62"/>
      <c r="S2085" s="37" t="str">
        <f>IFERROR(__xludf.DUMMYFUNCTION("if(not(iserror(index(split(C2085, "" ""),2))), index(split(C2085, "" ""),1),"""")"),"November")</f>
        <v>November</v>
      </c>
      <c r="T2085" s="38">
        <f>IFERROR(__xludf.DUMMYFUNCTION("if(S2085="""",C2085,if(not(iserror(index(split(C2085, "" ""),3))), index(split(C2085, "" ""),3),index(split(C2085, "" ""),2)))"),2018.0)</f>
        <v>2018</v>
      </c>
      <c r="U2085" s="38" t="b">
        <f t="shared" si="322"/>
        <v>0</v>
      </c>
      <c r="V2085" s="38" t="s">
        <v>33</v>
      </c>
      <c r="W2085" s="40"/>
      <c r="X2085" s="40"/>
      <c r="Y2085" s="40"/>
      <c r="Z2085" s="38"/>
      <c r="AA2085" s="38"/>
      <c r="AB2085" s="38"/>
      <c r="AC2085" s="38"/>
      <c r="AD2085" s="38"/>
      <c r="AE2085" s="38"/>
      <c r="AF2085" s="38"/>
      <c r="AG2085" s="38"/>
      <c r="AH2085" s="38"/>
      <c r="AI2085" s="38"/>
      <c r="AJ2085" s="38"/>
      <c r="AK2085" s="38"/>
      <c r="AL2085" s="38"/>
      <c r="AM2085" s="38"/>
      <c r="AN2085" s="38"/>
      <c r="AO2085" s="38"/>
      <c r="AP2085" s="38"/>
      <c r="AQ2085" s="38"/>
      <c r="AR2085" s="38"/>
      <c r="AS2085" s="38"/>
      <c r="AT2085" s="38"/>
      <c r="AU2085" s="38"/>
      <c r="AV2085" s="38"/>
      <c r="AW2085" s="38"/>
      <c r="AX2085" s="38"/>
      <c r="AY2085" s="38"/>
      <c r="AZ2085" s="38"/>
      <c r="BA2085" s="38"/>
      <c r="BB2085" s="38"/>
      <c r="BC2085" s="38"/>
      <c r="BD2085" s="38"/>
      <c r="BE2085" s="38"/>
      <c r="BF2085" s="38"/>
      <c r="BG2085" s="38"/>
      <c r="BH2085" s="38"/>
      <c r="BI2085" s="38"/>
      <c r="BJ2085" s="38"/>
      <c r="BK2085" s="38"/>
      <c r="BL2085" s="38"/>
      <c r="BM2085" s="38"/>
      <c r="BN2085" s="38"/>
      <c r="BO2085" s="38"/>
      <c r="BP2085" s="38"/>
      <c r="BQ2085" s="38"/>
    </row>
    <row r="2086">
      <c r="A2086" s="58" t="s">
        <v>239</v>
      </c>
      <c r="B2086" s="59">
        <v>43431.0</v>
      </c>
      <c r="C2086" s="59">
        <v>43425.0</v>
      </c>
      <c r="D2086" s="60" t="s">
        <v>5529</v>
      </c>
      <c r="E2086" s="58" t="s">
        <v>41</v>
      </c>
      <c r="F2086" s="58">
        <v>3.0</v>
      </c>
      <c r="G2086" s="58">
        <v>2.0</v>
      </c>
      <c r="H2086" s="33">
        <f t="shared" si="323"/>
        <v>2</v>
      </c>
      <c r="I2086" s="58" t="s">
        <v>33</v>
      </c>
      <c r="J2086" s="58" t="s">
        <v>241</v>
      </c>
      <c r="K2086" s="58">
        <v>1.0</v>
      </c>
      <c r="L2086" s="58" t="s">
        <v>194</v>
      </c>
      <c r="M2086" s="61" t="s">
        <v>5682</v>
      </c>
      <c r="N2086" s="80"/>
      <c r="O2086" s="58"/>
      <c r="P2086" s="58"/>
      <c r="Q2086" s="58"/>
      <c r="R2086" s="62"/>
      <c r="S2086" s="37" t="str">
        <f>IFERROR(__xludf.DUMMYFUNCTION("if(not(iserror(index(split(C2086, "" ""),2))), index(split(C2086, "" ""),1),"""")"),"November")</f>
        <v>November</v>
      </c>
      <c r="T2086" s="38">
        <f>IFERROR(__xludf.DUMMYFUNCTION("if(S2086="""",C2086,if(not(iserror(index(split(C2086, "" ""),3))), index(split(C2086, "" ""),3),index(split(C2086, "" ""),2)))"),2018.0)</f>
        <v>2018</v>
      </c>
      <c r="U2086" s="38" t="b">
        <f t="shared" si="322"/>
        <v>1</v>
      </c>
      <c r="V2086" s="38"/>
      <c r="W2086" s="40"/>
      <c r="X2086" s="40"/>
      <c r="Y2086" s="40"/>
      <c r="Z2086" s="38"/>
      <c r="AA2086" s="38"/>
      <c r="AB2086" s="38"/>
      <c r="AC2086" s="38"/>
      <c r="AD2086" s="38"/>
      <c r="AE2086" s="38"/>
      <c r="AF2086" s="38"/>
      <c r="AG2086" s="38"/>
      <c r="AH2086" s="38"/>
      <c r="AI2086" s="38"/>
      <c r="AJ2086" s="38"/>
      <c r="AK2086" s="38"/>
      <c r="AL2086" s="38"/>
      <c r="AM2086" s="38"/>
      <c r="AN2086" s="38"/>
      <c r="AO2086" s="38"/>
      <c r="AP2086" s="38"/>
      <c r="AQ2086" s="38"/>
      <c r="AR2086" s="38"/>
      <c r="AS2086" s="38"/>
      <c r="AT2086" s="38"/>
      <c r="AU2086" s="38"/>
      <c r="AV2086" s="38"/>
      <c r="AW2086" s="38"/>
      <c r="AX2086" s="38"/>
      <c r="AY2086" s="38"/>
      <c r="AZ2086" s="38"/>
      <c r="BA2086" s="38"/>
      <c r="BB2086" s="38"/>
      <c r="BC2086" s="38"/>
      <c r="BD2086" s="38"/>
      <c r="BE2086" s="38"/>
      <c r="BF2086" s="38"/>
      <c r="BG2086" s="38"/>
      <c r="BH2086" s="38"/>
      <c r="BI2086" s="38"/>
      <c r="BJ2086" s="38"/>
      <c r="BK2086" s="38"/>
      <c r="BL2086" s="38"/>
      <c r="BM2086" s="38"/>
      <c r="BN2086" s="38"/>
      <c r="BO2086" s="38"/>
      <c r="BP2086" s="38"/>
      <c r="BQ2086" s="38"/>
    </row>
    <row r="2087">
      <c r="A2087" s="87" t="s">
        <v>5683</v>
      </c>
      <c r="B2087" s="59">
        <v>43430.0</v>
      </c>
      <c r="C2087" s="59">
        <v>43427.0</v>
      </c>
      <c r="D2087" s="60" t="s">
        <v>5684</v>
      </c>
      <c r="E2087" s="58" t="s">
        <v>41</v>
      </c>
      <c r="F2087" s="58">
        <v>1.0</v>
      </c>
      <c r="G2087" s="58">
        <v>3.0</v>
      </c>
      <c r="H2087" s="33">
        <f t="shared" si="323"/>
        <v>3</v>
      </c>
      <c r="I2087" s="58" t="s">
        <v>33</v>
      </c>
      <c r="J2087" s="58" t="s">
        <v>93</v>
      </c>
      <c r="K2087" s="58">
        <v>1.0</v>
      </c>
      <c r="L2087" s="58" t="s">
        <v>194</v>
      </c>
      <c r="M2087" s="61" t="s">
        <v>5685</v>
      </c>
      <c r="N2087" s="80"/>
      <c r="O2087" s="88" t="str">
        <f>hyperlink("https://bad-boys.us/?q=ND-NY/8:19-cr-00006", "ND-NY 8:19-cr-00006 ❓")</f>
        <v>ND-NY 8:19-cr-00006 ❓</v>
      </c>
      <c r="P2087" s="58"/>
      <c r="Q2087" s="58">
        <v>1.0</v>
      </c>
      <c r="R2087" s="62"/>
      <c r="S2087" s="37" t="str">
        <f>IFERROR(__xludf.DUMMYFUNCTION("if(not(iserror(index(split(C2087, "" ""),2))), index(split(C2087, "" ""),1),"""")"),"November")</f>
        <v>November</v>
      </c>
      <c r="T2087" s="38">
        <f>IFERROR(__xludf.DUMMYFUNCTION("if(S2087="""",C2087,if(not(iserror(index(split(C2087, "" ""),3))), index(split(C2087, "" ""),3),index(split(C2087, "" ""),2)))"),2018.0)</f>
        <v>2018</v>
      </c>
      <c r="U2087" s="38" t="b">
        <f t="shared" si="322"/>
        <v>0</v>
      </c>
      <c r="V2087" s="38"/>
      <c r="W2087" s="40"/>
      <c r="X2087" s="40"/>
      <c r="Y2087" s="40"/>
      <c r="Z2087" s="38"/>
      <c r="AA2087" s="38"/>
      <c r="AB2087" s="38"/>
      <c r="AC2087" s="38"/>
      <c r="AD2087" s="38"/>
      <c r="AE2087" s="38"/>
      <c r="AF2087" s="38"/>
      <c r="AG2087" s="38"/>
      <c r="AH2087" s="38"/>
      <c r="AI2087" s="38"/>
      <c r="AJ2087" s="38"/>
      <c r="AK2087" s="38"/>
      <c r="AL2087" s="38"/>
      <c r="AM2087" s="38"/>
      <c r="AN2087" s="38"/>
      <c r="AO2087" s="38"/>
      <c r="AP2087" s="38"/>
      <c r="AQ2087" s="38"/>
      <c r="AR2087" s="38"/>
      <c r="AS2087" s="38"/>
      <c r="AT2087" s="38"/>
      <c r="AU2087" s="38"/>
      <c r="AV2087" s="38"/>
      <c r="AW2087" s="38"/>
      <c r="AX2087" s="38"/>
      <c r="AY2087" s="38"/>
      <c r="AZ2087" s="38"/>
      <c r="BA2087" s="38"/>
      <c r="BB2087" s="38"/>
      <c r="BC2087" s="38"/>
      <c r="BD2087" s="38"/>
      <c r="BE2087" s="38"/>
      <c r="BF2087" s="38"/>
      <c r="BG2087" s="38"/>
      <c r="BH2087" s="38"/>
      <c r="BI2087" s="38"/>
      <c r="BJ2087" s="38"/>
      <c r="BK2087" s="38"/>
      <c r="BL2087" s="38"/>
      <c r="BM2087" s="38"/>
      <c r="BN2087" s="38"/>
      <c r="BO2087" s="38"/>
      <c r="BP2087" s="38"/>
      <c r="BQ2087" s="38"/>
    </row>
    <row r="2088">
      <c r="A2088" s="58" t="s">
        <v>239</v>
      </c>
      <c r="B2088" s="59">
        <v>43431.0</v>
      </c>
      <c r="C2088" s="59">
        <v>43429.0</v>
      </c>
      <c r="D2088" s="60" t="s">
        <v>5686</v>
      </c>
      <c r="E2088" s="58" t="s">
        <v>41</v>
      </c>
      <c r="F2088" s="58">
        <v>1.0</v>
      </c>
      <c r="G2088" s="58">
        <v>2.0</v>
      </c>
      <c r="H2088" s="33">
        <f t="shared" si="323"/>
        <v>2</v>
      </c>
      <c r="I2088" s="58" t="s">
        <v>33</v>
      </c>
      <c r="J2088" s="58" t="s">
        <v>241</v>
      </c>
      <c r="K2088" s="58">
        <v>1.0</v>
      </c>
      <c r="L2088" s="58" t="s">
        <v>194</v>
      </c>
      <c r="M2088" s="61" t="s">
        <v>5687</v>
      </c>
      <c r="N2088" s="80"/>
      <c r="O2088" s="58"/>
      <c r="P2088" s="58"/>
      <c r="Q2088" s="58"/>
      <c r="R2088" s="62"/>
      <c r="S2088" s="37" t="str">
        <f>IFERROR(__xludf.DUMMYFUNCTION("if(not(iserror(index(split(C2088, "" ""),2))), index(split(C2088, "" ""),1),"""")"),"November")</f>
        <v>November</v>
      </c>
      <c r="T2088" s="38">
        <f>IFERROR(__xludf.DUMMYFUNCTION("if(S2088="""",C2088,if(not(iserror(index(split(C2088, "" ""),3))), index(split(C2088, "" ""),3),index(split(C2088, "" ""),2)))"),2018.0)</f>
        <v>2018</v>
      </c>
      <c r="U2088" s="38" t="b">
        <f t="shared" si="322"/>
        <v>1</v>
      </c>
      <c r="V2088" s="38"/>
      <c r="W2088" s="40"/>
      <c r="X2088" s="40"/>
      <c r="Y2088" s="40"/>
      <c r="Z2088" s="38"/>
      <c r="AA2088" s="38"/>
      <c r="AB2088" s="38"/>
      <c r="AC2088" s="38"/>
      <c r="AD2088" s="38"/>
      <c r="AE2088" s="38"/>
      <c r="AF2088" s="38"/>
      <c r="AG2088" s="38"/>
      <c r="AH2088" s="38"/>
      <c r="AI2088" s="38"/>
      <c r="AJ2088" s="38"/>
      <c r="AK2088" s="38"/>
      <c r="AL2088" s="38"/>
      <c r="AM2088" s="38"/>
      <c r="AN2088" s="38"/>
      <c r="AO2088" s="38"/>
      <c r="AP2088" s="38"/>
      <c r="AQ2088" s="38"/>
      <c r="AR2088" s="38"/>
      <c r="AS2088" s="38"/>
      <c r="AT2088" s="38"/>
      <c r="AU2088" s="38"/>
      <c r="AV2088" s="38"/>
      <c r="AW2088" s="38"/>
      <c r="AX2088" s="38"/>
      <c r="AY2088" s="38"/>
      <c r="AZ2088" s="38"/>
      <c r="BA2088" s="38"/>
      <c r="BB2088" s="38"/>
      <c r="BC2088" s="38"/>
      <c r="BD2088" s="38"/>
      <c r="BE2088" s="38"/>
      <c r="BF2088" s="38"/>
      <c r="BG2088" s="38"/>
      <c r="BH2088" s="38"/>
      <c r="BI2088" s="38"/>
      <c r="BJ2088" s="38"/>
      <c r="BK2088" s="38"/>
      <c r="BL2088" s="38"/>
      <c r="BM2088" s="38"/>
      <c r="BN2088" s="38"/>
      <c r="BO2088" s="38"/>
      <c r="BP2088" s="38"/>
      <c r="BQ2088" s="38"/>
    </row>
    <row r="2089">
      <c r="A2089" s="58" t="s">
        <v>5688</v>
      </c>
      <c r="B2089" s="59"/>
      <c r="C2089" s="59">
        <v>43431.0</v>
      </c>
      <c r="D2089" s="60"/>
      <c r="E2089" s="58" t="s">
        <v>41</v>
      </c>
      <c r="F2089" s="58">
        <v>1.0</v>
      </c>
      <c r="G2089" s="58">
        <v>1.0</v>
      </c>
      <c r="H2089" s="43">
        <v>1.0</v>
      </c>
      <c r="I2089" s="58" t="s">
        <v>33</v>
      </c>
      <c r="J2089" s="58" t="s">
        <v>93</v>
      </c>
      <c r="K2089" s="58"/>
      <c r="L2089" s="239" t="s">
        <v>76</v>
      </c>
      <c r="M2089" s="61" t="s">
        <v>5689</v>
      </c>
      <c r="N2089" s="80"/>
      <c r="O2089" s="58"/>
      <c r="P2089" s="58"/>
      <c r="Q2089" s="58">
        <v>1.0</v>
      </c>
      <c r="R2089" s="62"/>
      <c r="S2089" s="37"/>
      <c r="T2089" s="38"/>
      <c r="U2089" s="38"/>
      <c r="V2089" s="38" t="s">
        <v>33</v>
      </c>
      <c r="W2089" s="40"/>
      <c r="X2089" s="40"/>
      <c r="Y2089" s="40"/>
      <c r="Z2089" s="38"/>
      <c r="AA2089" s="38"/>
      <c r="AB2089" s="38"/>
      <c r="AC2089" s="38"/>
      <c r="AD2089" s="38"/>
      <c r="AE2089" s="38"/>
      <c r="AF2089" s="38"/>
      <c r="AG2089" s="38"/>
      <c r="AH2089" s="38"/>
      <c r="AI2089" s="38"/>
      <c r="AJ2089" s="38"/>
      <c r="AK2089" s="38"/>
      <c r="AL2089" s="38"/>
      <c r="AM2089" s="38"/>
      <c r="AN2089" s="38"/>
      <c r="AO2089" s="38"/>
      <c r="AP2089" s="38"/>
      <c r="AQ2089" s="38"/>
      <c r="AR2089" s="38"/>
      <c r="AS2089" s="38"/>
      <c r="AT2089" s="38"/>
      <c r="AU2089" s="38"/>
      <c r="AV2089" s="38"/>
      <c r="AW2089" s="38"/>
      <c r="AX2089" s="38"/>
      <c r="AY2089" s="38"/>
      <c r="AZ2089" s="38"/>
      <c r="BA2089" s="38"/>
      <c r="BB2089" s="38"/>
      <c r="BC2089" s="38"/>
      <c r="BD2089" s="38"/>
      <c r="BE2089" s="38"/>
      <c r="BF2089" s="38"/>
      <c r="BG2089" s="38"/>
      <c r="BH2089" s="38"/>
      <c r="BI2089" s="38"/>
      <c r="BJ2089" s="38"/>
      <c r="BK2089" s="38"/>
      <c r="BL2089" s="38"/>
      <c r="BM2089" s="38"/>
      <c r="BN2089" s="38"/>
      <c r="BO2089" s="38"/>
      <c r="BP2089" s="38"/>
      <c r="BQ2089" s="38"/>
    </row>
    <row r="2090">
      <c r="A2090" s="85" t="s">
        <v>5690</v>
      </c>
      <c r="B2090" s="59">
        <v>43434.0</v>
      </c>
      <c r="C2090" s="59">
        <v>43431.0</v>
      </c>
      <c r="D2090" s="60" t="s">
        <v>5691</v>
      </c>
      <c r="E2090" s="58" t="s">
        <v>41</v>
      </c>
      <c r="F2090" s="58">
        <v>1.0</v>
      </c>
      <c r="G2090" s="58" t="s">
        <v>32</v>
      </c>
      <c r="H2090" s="33">
        <f>if(G2090="Unknown",1,G2090)</f>
        <v>1</v>
      </c>
      <c r="I2090" s="58" t="s">
        <v>33</v>
      </c>
      <c r="J2090" s="58" t="s">
        <v>93</v>
      </c>
      <c r="K2090" s="58">
        <v>3.0</v>
      </c>
      <c r="L2090" s="58" t="s">
        <v>119</v>
      </c>
      <c r="M2090" s="80" t="s">
        <v>5692</v>
      </c>
      <c r="N2090" s="77"/>
      <c r="O2090" s="88" t="str">
        <f>hyperlink("https://bad-boys.us/?q=ND-NY/1:18-mj-00702", "ND-NY 1:18-mj-00702")</f>
        <v>ND-NY 1:18-mj-00702</v>
      </c>
      <c r="P2090" s="88" t="s">
        <v>5693</v>
      </c>
      <c r="Q2090" s="84">
        <v>1.0</v>
      </c>
      <c r="R2090" s="62"/>
      <c r="S2090" s="37" t="str">
        <f>IFERROR(__xludf.DUMMYFUNCTION("if(not(iserror(index(split(C2090, "" ""),2))), index(split(C2090, "" ""),1),"""")"),"November")</f>
        <v>November</v>
      </c>
      <c r="T2090" s="38">
        <f>IFERROR(__xludf.DUMMYFUNCTION("if(S2090="""",C2090,if(not(iserror(index(split(C2090, "" ""),3))), index(split(C2090, "" ""),3),index(split(C2090, "" ""),2)))"),2018.0)</f>
        <v>2018</v>
      </c>
      <c r="U2090" s="38" t="b">
        <f t="shared" ref="U2090:U2092" si="324">countif(A$4:A4658, A2090)&gt;1</f>
        <v>0</v>
      </c>
      <c r="V2090" s="38"/>
      <c r="W2090" s="40"/>
      <c r="X2090" s="40"/>
      <c r="Y2090" s="40"/>
      <c r="Z2090" s="38"/>
      <c r="AA2090" s="38"/>
      <c r="AB2090" s="38"/>
      <c r="AC2090" s="38"/>
      <c r="AD2090" s="38"/>
      <c r="AE2090" s="38"/>
      <c r="AF2090" s="38"/>
      <c r="AG2090" s="38"/>
      <c r="AH2090" s="38"/>
      <c r="AI2090" s="38"/>
      <c r="AJ2090" s="38"/>
      <c r="AK2090" s="38"/>
      <c r="AL2090" s="38"/>
      <c r="AM2090" s="38"/>
      <c r="AN2090" s="38"/>
      <c r="AO2090" s="38"/>
      <c r="AP2090" s="38"/>
      <c r="AQ2090" s="38"/>
      <c r="AR2090" s="38"/>
      <c r="AS2090" s="38"/>
      <c r="AT2090" s="38"/>
      <c r="AU2090" s="38"/>
      <c r="AV2090" s="38"/>
      <c r="AW2090" s="38"/>
      <c r="AX2090" s="38"/>
      <c r="AY2090" s="38"/>
      <c r="AZ2090" s="38"/>
      <c r="BA2090" s="38"/>
      <c r="BB2090" s="38"/>
      <c r="BC2090" s="38"/>
      <c r="BD2090" s="38"/>
      <c r="BE2090" s="38"/>
      <c r="BF2090" s="38"/>
      <c r="BG2090" s="38"/>
      <c r="BH2090" s="38"/>
      <c r="BI2090" s="38"/>
      <c r="BJ2090" s="38"/>
      <c r="BK2090" s="38"/>
      <c r="BL2090" s="38"/>
      <c r="BM2090" s="38"/>
      <c r="BN2090" s="38"/>
      <c r="BO2090" s="38"/>
      <c r="BP2090" s="38"/>
      <c r="BQ2090" s="38"/>
    </row>
    <row r="2091">
      <c r="A2091" s="85" t="s">
        <v>5694</v>
      </c>
      <c r="B2091" s="59"/>
      <c r="C2091" s="59">
        <v>43431.0</v>
      </c>
      <c r="D2091" s="60"/>
      <c r="E2091" s="58" t="s">
        <v>41</v>
      </c>
      <c r="F2091" s="58">
        <v>1.0</v>
      </c>
      <c r="G2091" s="58" t="s">
        <v>32</v>
      </c>
      <c r="H2091" s="43">
        <v>1.0</v>
      </c>
      <c r="I2091" s="58" t="s">
        <v>33</v>
      </c>
      <c r="J2091" s="58" t="s">
        <v>147</v>
      </c>
      <c r="K2091" s="58"/>
      <c r="L2091" s="58" t="s">
        <v>119</v>
      </c>
      <c r="M2091" s="266" t="s">
        <v>5695</v>
      </c>
      <c r="N2091" s="80"/>
      <c r="O2091" s="88" t="str">
        <f>hyperlink("https://bad-boys.us/?q=SD-TX/2:18-cr-01339", "SD-TX 2:18-cr-01339")</f>
        <v>SD-TX 2:18-cr-01339</v>
      </c>
      <c r="P2091" s="88" t="s">
        <v>5696</v>
      </c>
      <c r="Q2091" s="58">
        <v>1.0</v>
      </c>
      <c r="R2091" s="62"/>
      <c r="S2091" s="37" t="str">
        <f>IFERROR(__xludf.DUMMYFUNCTION("if(not(iserror(index(split(C2091, "" ""),2))), index(split(C2091, "" ""),1),"""")"),"November")</f>
        <v>November</v>
      </c>
      <c r="T2091" s="38">
        <f>IFERROR(__xludf.DUMMYFUNCTION("if(S2091="""",C2091,if(not(iserror(index(split(C2091, "" ""),3))), index(split(C2091, "" ""),3),index(split(C2091, "" ""),2)))"),2018.0)</f>
        <v>2018</v>
      </c>
      <c r="U2091" s="38" t="b">
        <f t="shared" si="324"/>
        <v>0</v>
      </c>
      <c r="V2091" s="38" t="s">
        <v>33</v>
      </c>
      <c r="W2091" s="40"/>
      <c r="X2091" s="40"/>
      <c r="Y2091" s="40"/>
      <c r="Z2091" s="38"/>
      <c r="AA2091" s="38"/>
      <c r="AB2091" s="38"/>
      <c r="AC2091" s="38"/>
      <c r="AD2091" s="38"/>
      <c r="AE2091" s="38"/>
      <c r="AF2091" s="38"/>
      <c r="AG2091" s="38"/>
      <c r="AH2091" s="38"/>
      <c r="AI2091" s="38"/>
      <c r="AJ2091" s="38"/>
      <c r="AK2091" s="38"/>
      <c r="AL2091" s="38"/>
      <c r="AM2091" s="38"/>
      <c r="AN2091" s="38"/>
      <c r="AO2091" s="38"/>
      <c r="AP2091" s="38"/>
      <c r="AQ2091" s="38"/>
      <c r="AR2091" s="38"/>
      <c r="AS2091" s="38"/>
      <c r="AT2091" s="38"/>
      <c r="AU2091" s="38"/>
      <c r="AV2091" s="38"/>
      <c r="AW2091" s="38"/>
      <c r="AX2091" s="38"/>
      <c r="AY2091" s="38"/>
      <c r="AZ2091" s="38"/>
      <c r="BA2091" s="38"/>
      <c r="BB2091" s="38"/>
      <c r="BC2091" s="38"/>
      <c r="BD2091" s="38"/>
      <c r="BE2091" s="38"/>
      <c r="BF2091" s="38"/>
      <c r="BG2091" s="38"/>
      <c r="BH2091" s="38"/>
      <c r="BI2091" s="38"/>
      <c r="BJ2091" s="38"/>
      <c r="BK2091" s="38"/>
      <c r="BL2091" s="38"/>
      <c r="BM2091" s="38"/>
      <c r="BN2091" s="38"/>
      <c r="BO2091" s="38"/>
      <c r="BP2091" s="38"/>
      <c r="BQ2091" s="38"/>
    </row>
    <row r="2092">
      <c r="A2092" s="85" t="s">
        <v>5697</v>
      </c>
      <c r="B2092" s="59"/>
      <c r="C2092" s="59">
        <v>43433.0</v>
      </c>
      <c r="D2092" s="60"/>
      <c r="E2092" s="58" t="s">
        <v>41</v>
      </c>
      <c r="F2092" s="58">
        <v>1.0</v>
      </c>
      <c r="G2092" s="58" t="s">
        <v>32</v>
      </c>
      <c r="H2092" s="43">
        <v>1.0</v>
      </c>
      <c r="I2092" s="58" t="s">
        <v>33</v>
      </c>
      <c r="J2092" s="58" t="s">
        <v>241</v>
      </c>
      <c r="K2092" s="58"/>
      <c r="L2092" s="58" t="s">
        <v>5311</v>
      </c>
      <c r="M2092" s="61" t="s">
        <v>5698</v>
      </c>
      <c r="N2092" s="80"/>
      <c r="O2092" s="58"/>
      <c r="P2092" s="62"/>
      <c r="Q2092" s="58">
        <v>1.0</v>
      </c>
      <c r="R2092" s="62"/>
      <c r="S2092" s="37" t="str">
        <f>IFERROR(__xludf.DUMMYFUNCTION("if(not(iserror(index(split(C2092, "" ""),2))), index(split(C2092, "" ""),1),"""")"),"November")</f>
        <v>November</v>
      </c>
      <c r="T2092" s="38">
        <f>IFERROR(__xludf.DUMMYFUNCTION("if(S2092="""",C2092,if(not(iserror(index(split(C2092, "" ""),3))), index(split(C2092, "" ""),3),index(split(C2092, "" ""),2)))"),2018.0)</f>
        <v>2018</v>
      </c>
      <c r="U2092" s="38" t="b">
        <f t="shared" si="324"/>
        <v>0</v>
      </c>
      <c r="V2092" s="38" t="s">
        <v>33</v>
      </c>
      <c r="W2092" s="40"/>
      <c r="X2092" s="40"/>
      <c r="Y2092" s="40"/>
      <c r="Z2092" s="38"/>
      <c r="AA2092" s="38"/>
      <c r="AB2092" s="38"/>
      <c r="AC2092" s="38"/>
      <c r="AD2092" s="38"/>
      <c r="AE2092" s="38"/>
      <c r="AF2092" s="38"/>
      <c r="AG2092" s="38"/>
      <c r="AH2092" s="38"/>
      <c r="AI2092" s="38"/>
      <c r="AJ2092" s="38"/>
      <c r="AK2092" s="38"/>
      <c r="AL2092" s="38"/>
      <c r="AM2092" s="38"/>
      <c r="AN2092" s="38"/>
      <c r="AO2092" s="38"/>
      <c r="AP2092" s="38"/>
      <c r="AQ2092" s="38"/>
      <c r="AR2092" s="38"/>
      <c r="AS2092" s="38"/>
      <c r="AT2092" s="38"/>
      <c r="AU2092" s="38"/>
      <c r="AV2092" s="38"/>
      <c r="AW2092" s="38"/>
      <c r="AX2092" s="38"/>
      <c r="AY2092" s="38"/>
      <c r="AZ2092" s="38"/>
      <c r="BA2092" s="38"/>
      <c r="BB2092" s="38"/>
      <c r="BC2092" s="38"/>
      <c r="BD2092" s="38"/>
      <c r="BE2092" s="38"/>
      <c r="BF2092" s="38"/>
      <c r="BG2092" s="38"/>
      <c r="BH2092" s="38"/>
      <c r="BI2092" s="38"/>
      <c r="BJ2092" s="38"/>
      <c r="BK2092" s="38"/>
      <c r="BL2092" s="38"/>
      <c r="BM2092" s="38"/>
      <c r="BN2092" s="38"/>
      <c r="BO2092" s="38"/>
      <c r="BP2092" s="38"/>
      <c r="BQ2092" s="38"/>
    </row>
    <row r="2093">
      <c r="A2093" s="85" t="s">
        <v>5699</v>
      </c>
      <c r="B2093" s="59"/>
      <c r="C2093" s="59">
        <v>43433.0</v>
      </c>
      <c r="D2093" s="60"/>
      <c r="E2093" s="58" t="s">
        <v>41</v>
      </c>
      <c r="F2093" s="58">
        <v>1.0</v>
      </c>
      <c r="G2093" s="58" t="s">
        <v>32</v>
      </c>
      <c r="H2093" s="43">
        <v>1.0</v>
      </c>
      <c r="I2093" s="58" t="s">
        <v>33</v>
      </c>
      <c r="J2093" s="58" t="s">
        <v>283</v>
      </c>
      <c r="K2093" s="58"/>
      <c r="L2093" s="58" t="s">
        <v>119</v>
      </c>
      <c r="M2093" s="80" t="s">
        <v>5700</v>
      </c>
      <c r="N2093" s="80"/>
      <c r="O2093" s="58"/>
      <c r="P2093" s="62"/>
      <c r="Q2093" s="58">
        <v>1.0</v>
      </c>
      <c r="R2093" s="62"/>
      <c r="S2093" s="37"/>
      <c r="T2093" s="38"/>
      <c r="U2093" s="38"/>
      <c r="V2093" s="38" t="s">
        <v>33</v>
      </c>
      <c r="W2093" s="40"/>
      <c r="X2093" s="40"/>
      <c r="Y2093" s="40"/>
      <c r="Z2093" s="38"/>
      <c r="AA2093" s="38"/>
      <c r="AB2093" s="38"/>
      <c r="AC2093" s="38"/>
      <c r="AD2093" s="38"/>
      <c r="AE2093" s="38"/>
      <c r="AF2093" s="38"/>
      <c r="AG2093" s="38"/>
      <c r="AH2093" s="38"/>
      <c r="AI2093" s="38"/>
      <c r="AJ2093" s="38"/>
      <c r="AK2093" s="38"/>
      <c r="AL2093" s="38"/>
      <c r="AM2093" s="38"/>
      <c r="AN2093" s="38"/>
      <c r="AO2093" s="38"/>
      <c r="AP2093" s="38"/>
      <c r="AQ2093" s="38"/>
      <c r="AR2093" s="38"/>
      <c r="AS2093" s="38"/>
      <c r="AT2093" s="38"/>
      <c r="AU2093" s="38"/>
      <c r="AV2093" s="38"/>
      <c r="AW2093" s="38"/>
      <c r="AX2093" s="38"/>
      <c r="AY2093" s="38"/>
      <c r="AZ2093" s="38"/>
      <c r="BA2093" s="38"/>
      <c r="BB2093" s="38"/>
      <c r="BC2093" s="38"/>
      <c r="BD2093" s="38"/>
      <c r="BE2093" s="38"/>
      <c r="BF2093" s="38"/>
      <c r="BG2093" s="38"/>
      <c r="BH2093" s="38"/>
      <c r="BI2093" s="38"/>
      <c r="BJ2093" s="38"/>
      <c r="BK2093" s="38"/>
      <c r="BL2093" s="38"/>
      <c r="BM2093" s="38"/>
      <c r="BN2093" s="38"/>
      <c r="BO2093" s="38"/>
      <c r="BP2093" s="38"/>
      <c r="BQ2093" s="38"/>
    </row>
    <row r="2094">
      <c r="A2094" s="85" t="s">
        <v>5701</v>
      </c>
      <c r="B2094" s="59"/>
      <c r="C2094" s="59">
        <v>43433.0</v>
      </c>
      <c r="D2094" s="60"/>
      <c r="E2094" s="58" t="s">
        <v>41</v>
      </c>
      <c r="F2094" s="58">
        <v>1.0</v>
      </c>
      <c r="G2094" s="58" t="s">
        <v>32</v>
      </c>
      <c r="H2094" s="43">
        <v>1.0</v>
      </c>
      <c r="I2094" s="58" t="s">
        <v>33</v>
      </c>
      <c r="J2094" s="58" t="s">
        <v>111</v>
      </c>
      <c r="K2094" s="58"/>
      <c r="L2094" s="58" t="s">
        <v>69</v>
      </c>
      <c r="M2094" s="61" t="s">
        <v>5702</v>
      </c>
      <c r="N2094" s="80"/>
      <c r="O2094" s="58"/>
      <c r="P2094" s="62"/>
      <c r="Q2094" s="58">
        <v>1.0</v>
      </c>
      <c r="R2094" s="62"/>
      <c r="S2094" s="37"/>
      <c r="T2094" s="38"/>
      <c r="U2094" s="38"/>
      <c r="V2094" s="38" t="s">
        <v>33</v>
      </c>
      <c r="W2094" s="40"/>
      <c r="X2094" s="40"/>
      <c r="Y2094" s="40"/>
      <c r="Z2094" s="38"/>
      <c r="AA2094" s="38"/>
      <c r="AB2094" s="38"/>
      <c r="AC2094" s="38"/>
      <c r="AD2094" s="38"/>
      <c r="AE2094" s="38"/>
      <c r="AF2094" s="38"/>
      <c r="AG2094" s="38"/>
      <c r="AH2094" s="38"/>
      <c r="AI2094" s="38"/>
      <c r="AJ2094" s="38"/>
      <c r="AK2094" s="38"/>
      <c r="AL2094" s="38"/>
      <c r="AM2094" s="38"/>
      <c r="AN2094" s="38"/>
      <c r="AO2094" s="38"/>
      <c r="AP2094" s="38"/>
      <c r="AQ2094" s="38"/>
      <c r="AR2094" s="38"/>
      <c r="AS2094" s="38"/>
      <c r="AT2094" s="38"/>
      <c r="AU2094" s="38"/>
      <c r="AV2094" s="38"/>
      <c r="AW2094" s="38"/>
      <c r="AX2094" s="38"/>
      <c r="AY2094" s="38"/>
      <c r="AZ2094" s="38"/>
      <c r="BA2094" s="38"/>
      <c r="BB2094" s="38"/>
      <c r="BC2094" s="38"/>
      <c r="BD2094" s="38"/>
      <c r="BE2094" s="38"/>
      <c r="BF2094" s="38"/>
      <c r="BG2094" s="38"/>
      <c r="BH2094" s="38"/>
      <c r="BI2094" s="38"/>
      <c r="BJ2094" s="38"/>
      <c r="BK2094" s="38"/>
      <c r="BL2094" s="38"/>
      <c r="BM2094" s="38"/>
      <c r="BN2094" s="38"/>
      <c r="BO2094" s="38"/>
      <c r="BP2094" s="38"/>
      <c r="BQ2094" s="38"/>
    </row>
    <row r="2095">
      <c r="A2095" s="85" t="s">
        <v>5703</v>
      </c>
      <c r="B2095" s="59">
        <v>43434.0</v>
      </c>
      <c r="C2095" s="59">
        <v>43434.0</v>
      </c>
      <c r="D2095" s="60" t="s">
        <v>5704</v>
      </c>
      <c r="E2095" s="58" t="s">
        <v>41</v>
      </c>
      <c r="F2095" s="58">
        <v>1.0</v>
      </c>
      <c r="G2095" s="58" t="s">
        <v>32</v>
      </c>
      <c r="H2095" s="33">
        <f>if(G2095="Unknown",1,G2095)</f>
        <v>1</v>
      </c>
      <c r="I2095" s="58" t="s">
        <v>33</v>
      </c>
      <c r="J2095" s="58" t="s">
        <v>47</v>
      </c>
      <c r="K2095" s="58">
        <v>2.0</v>
      </c>
      <c r="L2095" s="58" t="s">
        <v>76</v>
      </c>
      <c r="M2095" s="61" t="s">
        <v>5705</v>
      </c>
      <c r="N2095" s="80"/>
      <c r="O2095" s="88" t="str">
        <f>hyperlink("https://bad-boys.us/?q=MD-FL/8:18-mj-02059", "MD-FL 8:18-mj-02059")</f>
        <v>MD-FL 8:18-mj-02059</v>
      </c>
      <c r="P2095" s="88" t="s">
        <v>5706</v>
      </c>
      <c r="Q2095" s="84">
        <v>1.0</v>
      </c>
      <c r="R2095" s="62"/>
      <c r="S2095" s="37" t="str">
        <f>IFERROR(__xludf.DUMMYFUNCTION("if(not(iserror(index(split(C2095, "" ""),2))), index(split(C2095, "" ""),1),"""")"),"November")</f>
        <v>November</v>
      </c>
      <c r="T2095" s="38">
        <f>IFERROR(__xludf.DUMMYFUNCTION("if(S2095="""",C2095,if(not(iserror(index(split(C2095, "" ""),3))), index(split(C2095, "" ""),3),index(split(C2095, "" ""),2)))"),2018.0)</f>
        <v>2018</v>
      </c>
      <c r="U2095" s="38" t="b">
        <f t="shared" ref="U2095:U2102" si="325">countif(A$4:A4658, A2095)&gt;1</f>
        <v>0</v>
      </c>
      <c r="V2095" s="38"/>
      <c r="W2095" s="40"/>
      <c r="X2095" s="40"/>
      <c r="Y2095" s="40"/>
      <c r="Z2095" s="38"/>
      <c r="AA2095" s="38"/>
      <c r="AB2095" s="38"/>
      <c r="AC2095" s="38"/>
      <c r="AD2095" s="38"/>
      <c r="AE2095" s="38"/>
      <c r="AF2095" s="38"/>
      <c r="AG2095" s="38"/>
      <c r="AH2095" s="38"/>
      <c r="AI2095" s="38"/>
      <c r="AJ2095" s="38"/>
      <c r="AK2095" s="38"/>
      <c r="AL2095" s="38"/>
      <c r="AM2095" s="38"/>
      <c r="AN2095" s="38"/>
      <c r="AO2095" s="38"/>
      <c r="AP2095" s="38"/>
      <c r="AQ2095" s="38"/>
      <c r="AR2095" s="38"/>
      <c r="AS2095" s="38"/>
      <c r="AT2095" s="38"/>
      <c r="AU2095" s="38"/>
      <c r="AV2095" s="38"/>
      <c r="AW2095" s="38"/>
      <c r="AX2095" s="38"/>
      <c r="AY2095" s="38"/>
      <c r="AZ2095" s="38"/>
      <c r="BA2095" s="38"/>
      <c r="BB2095" s="38"/>
      <c r="BC2095" s="38"/>
      <c r="BD2095" s="38"/>
      <c r="BE2095" s="38"/>
      <c r="BF2095" s="38"/>
      <c r="BG2095" s="38"/>
      <c r="BH2095" s="38"/>
      <c r="BI2095" s="38"/>
      <c r="BJ2095" s="38"/>
      <c r="BK2095" s="38"/>
      <c r="BL2095" s="38"/>
      <c r="BM2095" s="38"/>
      <c r="BN2095" s="38"/>
      <c r="BO2095" s="38"/>
      <c r="BP2095" s="38"/>
      <c r="BQ2095" s="38"/>
    </row>
    <row r="2096">
      <c r="A2096" s="58" t="s">
        <v>5707</v>
      </c>
      <c r="B2096" s="59"/>
      <c r="C2096" s="59">
        <v>43434.0</v>
      </c>
      <c r="D2096" s="60"/>
      <c r="E2096" s="58" t="s">
        <v>41</v>
      </c>
      <c r="F2096" s="58">
        <v>1.0</v>
      </c>
      <c r="G2096" s="58" t="s">
        <v>32</v>
      </c>
      <c r="H2096" s="43">
        <v>1.0</v>
      </c>
      <c r="I2096" s="58" t="s">
        <v>33</v>
      </c>
      <c r="J2096" s="58" t="s">
        <v>124</v>
      </c>
      <c r="K2096" s="58"/>
      <c r="L2096" s="58" t="s">
        <v>76</v>
      </c>
      <c r="M2096" s="61" t="s">
        <v>5708</v>
      </c>
      <c r="N2096" s="77"/>
      <c r="O2096" s="88" t="str">
        <f>hyperlink("https://bad-boys.us/?q=SD-OH/3:18-cr-00177", "SD-OH 3:18-cr-00177")</f>
        <v>SD-OH 3:18-cr-00177</v>
      </c>
      <c r="P2096" s="88" t="s">
        <v>5709</v>
      </c>
      <c r="Q2096" s="58">
        <v>1.0</v>
      </c>
      <c r="R2096" s="62"/>
      <c r="S2096" s="37" t="str">
        <f>IFERROR(__xludf.DUMMYFUNCTION("if(not(iserror(index(split(C2096, "" ""),2))), index(split(C2096, "" ""),1),"""")"),"November")</f>
        <v>November</v>
      </c>
      <c r="T2096" s="38">
        <f>IFERROR(__xludf.DUMMYFUNCTION("if(S2096="""",C2096,if(not(iserror(index(split(C2096, "" ""),3))), index(split(C2096, "" ""),3),index(split(C2096, "" ""),2)))"),2018.0)</f>
        <v>2018</v>
      </c>
      <c r="U2096" s="38" t="b">
        <f t="shared" si="325"/>
        <v>0</v>
      </c>
      <c r="V2096" s="38" t="s">
        <v>33</v>
      </c>
      <c r="W2096" s="40"/>
      <c r="X2096" s="40"/>
      <c r="Y2096" s="40"/>
      <c r="Z2096" s="38"/>
      <c r="AA2096" s="38"/>
      <c r="AB2096" s="38"/>
      <c r="AC2096" s="38"/>
      <c r="AD2096" s="38"/>
      <c r="AE2096" s="38"/>
      <c r="AF2096" s="38"/>
      <c r="AG2096" s="38"/>
      <c r="AH2096" s="38"/>
      <c r="AI2096" s="38"/>
      <c r="AJ2096" s="38"/>
      <c r="AK2096" s="38"/>
      <c r="AL2096" s="38"/>
      <c r="AM2096" s="38"/>
      <c r="AN2096" s="38"/>
      <c r="AO2096" s="38"/>
      <c r="AP2096" s="38"/>
      <c r="AQ2096" s="38"/>
      <c r="AR2096" s="38"/>
      <c r="AS2096" s="38"/>
      <c r="AT2096" s="38"/>
      <c r="AU2096" s="38"/>
      <c r="AV2096" s="38"/>
      <c r="AW2096" s="38"/>
      <c r="AX2096" s="38"/>
      <c r="AY2096" s="38"/>
      <c r="AZ2096" s="38"/>
      <c r="BA2096" s="38"/>
      <c r="BB2096" s="38"/>
      <c r="BC2096" s="38"/>
      <c r="BD2096" s="38"/>
      <c r="BE2096" s="38"/>
      <c r="BF2096" s="38"/>
      <c r="BG2096" s="38"/>
      <c r="BH2096" s="38"/>
      <c r="BI2096" s="38"/>
      <c r="BJ2096" s="38"/>
      <c r="BK2096" s="38"/>
      <c r="BL2096" s="38"/>
      <c r="BM2096" s="38"/>
      <c r="BN2096" s="38"/>
      <c r="BO2096" s="38"/>
      <c r="BP2096" s="38"/>
      <c r="BQ2096" s="38"/>
    </row>
    <row r="2097">
      <c r="A2097" s="58" t="s">
        <v>5710</v>
      </c>
      <c r="B2097" s="59">
        <v>43438.0</v>
      </c>
      <c r="C2097" s="59">
        <v>43434.0</v>
      </c>
      <c r="D2097" s="60" t="s">
        <v>5704</v>
      </c>
      <c r="E2097" s="58" t="s">
        <v>31</v>
      </c>
      <c r="F2097" s="58">
        <v>1.0</v>
      </c>
      <c r="G2097" s="58" t="s">
        <v>32</v>
      </c>
      <c r="H2097" s="33">
        <f t="shared" ref="H2097:H2098" si="326">if(G2097="Unknown",1,G2097)</f>
        <v>1</v>
      </c>
      <c r="I2097" s="58" t="s">
        <v>33</v>
      </c>
      <c r="J2097" s="58" t="s">
        <v>172</v>
      </c>
      <c r="K2097" s="58" t="s">
        <v>32</v>
      </c>
      <c r="L2097" s="58" t="s">
        <v>99</v>
      </c>
      <c r="M2097" s="61" t="s">
        <v>5711</v>
      </c>
      <c r="N2097" s="77"/>
      <c r="O2097" s="58"/>
      <c r="P2097" s="58"/>
      <c r="Q2097" s="84"/>
      <c r="R2097" s="62"/>
      <c r="S2097" s="37" t="str">
        <f>IFERROR(__xludf.DUMMYFUNCTION("if(not(iserror(index(split(C2097, "" ""),2))), index(split(C2097, "" ""),1),"""")"),"November")</f>
        <v>November</v>
      </c>
      <c r="T2097" s="38">
        <f>IFERROR(__xludf.DUMMYFUNCTION("if(S2097="""",C2097,if(not(iserror(index(split(C2097, "" ""),3))), index(split(C2097, "" ""),3),index(split(C2097, "" ""),2)))"),2018.0)</f>
        <v>2018</v>
      </c>
      <c r="U2097" s="38" t="b">
        <f t="shared" si="325"/>
        <v>0</v>
      </c>
      <c r="V2097" s="38"/>
      <c r="W2097" s="40"/>
      <c r="X2097" s="40"/>
      <c r="Y2097" s="40"/>
      <c r="Z2097" s="38"/>
      <c r="AA2097" s="38"/>
      <c r="AB2097" s="38"/>
      <c r="AC2097" s="38"/>
      <c r="AD2097" s="38"/>
      <c r="AE2097" s="38"/>
      <c r="AF2097" s="38"/>
      <c r="AG2097" s="38"/>
      <c r="AH2097" s="38"/>
      <c r="AI2097" s="38"/>
      <c r="AJ2097" s="38"/>
      <c r="AK2097" s="38"/>
      <c r="AL2097" s="38"/>
      <c r="AM2097" s="38"/>
      <c r="AN2097" s="38"/>
      <c r="AO2097" s="38"/>
      <c r="AP2097" s="38"/>
      <c r="AQ2097" s="38"/>
      <c r="AR2097" s="38"/>
      <c r="AS2097" s="38"/>
      <c r="AT2097" s="38"/>
      <c r="AU2097" s="38"/>
      <c r="AV2097" s="38"/>
      <c r="AW2097" s="38"/>
      <c r="AX2097" s="38"/>
      <c r="AY2097" s="38"/>
      <c r="AZ2097" s="38"/>
      <c r="BA2097" s="38"/>
      <c r="BB2097" s="38"/>
      <c r="BC2097" s="38"/>
      <c r="BD2097" s="38"/>
      <c r="BE2097" s="38"/>
      <c r="BF2097" s="38"/>
      <c r="BG2097" s="38"/>
      <c r="BH2097" s="38"/>
      <c r="BI2097" s="38"/>
      <c r="BJ2097" s="38"/>
      <c r="BK2097" s="38"/>
      <c r="BL2097" s="38"/>
      <c r="BM2097" s="38"/>
      <c r="BN2097" s="38"/>
      <c r="BO2097" s="38"/>
      <c r="BP2097" s="38"/>
      <c r="BQ2097" s="38"/>
    </row>
    <row r="2098">
      <c r="A2098" s="58" t="s">
        <v>5712</v>
      </c>
      <c r="B2098" s="59">
        <v>43441.0</v>
      </c>
      <c r="C2098" s="59">
        <v>43434.0</v>
      </c>
      <c r="D2098" s="60" t="s">
        <v>5704</v>
      </c>
      <c r="E2098" s="58" t="s">
        <v>41</v>
      </c>
      <c r="F2098" s="58">
        <v>1.0</v>
      </c>
      <c r="G2098" s="58" t="s">
        <v>32</v>
      </c>
      <c r="H2098" s="33">
        <f t="shared" si="326"/>
        <v>1</v>
      </c>
      <c r="I2098" s="58" t="s">
        <v>33</v>
      </c>
      <c r="J2098" s="58" t="s">
        <v>61</v>
      </c>
      <c r="K2098" s="58">
        <v>2.0</v>
      </c>
      <c r="L2098" s="58" t="s">
        <v>52</v>
      </c>
      <c r="M2098" s="61" t="s">
        <v>5713</v>
      </c>
      <c r="N2098" s="80"/>
      <c r="O2098" s="62"/>
      <c r="P2098" s="58"/>
      <c r="Q2098" s="58"/>
      <c r="R2098" s="62"/>
      <c r="S2098" s="37" t="str">
        <f>IFERROR(__xludf.DUMMYFUNCTION("if(not(iserror(index(split(C2098, "" ""),2))), index(split(C2098, "" ""),1),"""")"),"November")</f>
        <v>November</v>
      </c>
      <c r="T2098" s="38">
        <f>IFERROR(__xludf.DUMMYFUNCTION("if(S2098="""",C2098,if(not(iserror(index(split(C2098, "" ""),3))), index(split(C2098, "" ""),3),index(split(C2098, "" ""),2)))"),2018.0)</f>
        <v>2018</v>
      </c>
      <c r="U2098" s="38" t="b">
        <f t="shared" si="325"/>
        <v>0</v>
      </c>
      <c r="V2098" s="38"/>
      <c r="W2098" s="40"/>
      <c r="X2098" s="40"/>
      <c r="Y2098" s="40"/>
      <c r="Z2098" s="38"/>
      <c r="AA2098" s="38"/>
      <c r="AB2098" s="38"/>
      <c r="AC2098" s="38"/>
      <c r="AD2098" s="38"/>
      <c r="AE2098" s="38"/>
      <c r="AF2098" s="38"/>
      <c r="AG2098" s="38"/>
      <c r="AH2098" s="38"/>
      <c r="AI2098" s="38"/>
      <c r="AJ2098" s="38"/>
      <c r="AK2098" s="38"/>
      <c r="AL2098" s="38"/>
      <c r="AM2098" s="38"/>
      <c r="AN2098" s="38"/>
      <c r="AO2098" s="38"/>
      <c r="AP2098" s="38"/>
      <c r="AQ2098" s="38"/>
      <c r="AR2098" s="38"/>
      <c r="AS2098" s="38"/>
      <c r="AT2098" s="38"/>
      <c r="AU2098" s="38"/>
      <c r="AV2098" s="38"/>
      <c r="AW2098" s="38"/>
      <c r="AX2098" s="38"/>
      <c r="AY2098" s="38"/>
      <c r="AZ2098" s="38"/>
      <c r="BA2098" s="38"/>
      <c r="BB2098" s="38"/>
      <c r="BC2098" s="38"/>
      <c r="BD2098" s="38"/>
      <c r="BE2098" s="38"/>
      <c r="BF2098" s="38"/>
      <c r="BG2098" s="38"/>
      <c r="BH2098" s="38"/>
      <c r="BI2098" s="38"/>
      <c r="BJ2098" s="38"/>
      <c r="BK2098" s="38"/>
      <c r="BL2098" s="38"/>
      <c r="BM2098" s="38"/>
      <c r="BN2098" s="38"/>
      <c r="BO2098" s="38"/>
      <c r="BP2098" s="38"/>
      <c r="BQ2098" s="38"/>
    </row>
    <row r="2099">
      <c r="A2099" s="87" t="s">
        <v>5714</v>
      </c>
      <c r="B2099" s="59">
        <v>43440.0</v>
      </c>
      <c r="C2099" s="79">
        <v>43435.0</v>
      </c>
      <c r="D2099" s="60" t="s">
        <v>2460</v>
      </c>
      <c r="E2099" s="58" t="s">
        <v>41</v>
      </c>
      <c r="F2099" s="58">
        <v>1.0</v>
      </c>
      <c r="G2099" s="58">
        <v>5.0</v>
      </c>
      <c r="H2099" s="50">
        <v>5.0</v>
      </c>
      <c r="I2099" s="58" t="s">
        <v>33</v>
      </c>
      <c r="J2099" s="58" t="s">
        <v>124</v>
      </c>
      <c r="K2099" s="58">
        <v>1.0</v>
      </c>
      <c r="L2099" s="58" t="s">
        <v>194</v>
      </c>
      <c r="M2099" s="61" t="s">
        <v>5715</v>
      </c>
      <c r="N2099" s="77"/>
      <c r="O2099" s="83" t="str">
        <f>hyperlink("https://bad-boys.us/?q=ND-OH/3:18-cr-00725", "ND-OH 3:18-cr-00725")</f>
        <v>ND-OH 3:18-cr-00725</v>
      </c>
      <c r="P2099" s="88" t="s">
        <v>5716</v>
      </c>
      <c r="Q2099" s="58">
        <v>1.0</v>
      </c>
      <c r="R2099" s="62"/>
      <c r="S2099" s="37" t="str">
        <f>IFERROR(__xludf.DUMMYFUNCTION("if(not(iserror(index(split(C2099, "" ""),2))), index(split(C2099, "" ""),1),"""")"),"December,")</f>
        <v>December,</v>
      </c>
      <c r="T2099" s="38">
        <f>IFERROR(__xludf.DUMMYFUNCTION("if(S2099="""",C2099,if(not(iserror(index(split(C2099, "" ""),3))), index(split(C2099, "" ""),3),index(split(C2099, "" ""),2)))"),2018.0)</f>
        <v>2018</v>
      </c>
      <c r="U2099" s="38" t="b">
        <f t="shared" si="325"/>
        <v>0</v>
      </c>
      <c r="V2099" s="38"/>
      <c r="W2099" s="40"/>
      <c r="X2099" s="40"/>
      <c r="Y2099" s="40"/>
      <c r="Z2099" s="38"/>
      <c r="AA2099" s="38"/>
      <c r="AB2099" s="38"/>
      <c r="AC2099" s="38"/>
      <c r="AD2099" s="38"/>
      <c r="AE2099" s="38"/>
      <c r="AF2099" s="38"/>
      <c r="AG2099" s="38"/>
      <c r="AH2099" s="38"/>
      <c r="AI2099" s="38"/>
      <c r="AJ2099" s="38"/>
      <c r="AK2099" s="38"/>
      <c r="AL2099" s="38"/>
      <c r="AM2099" s="38"/>
      <c r="AN2099" s="38"/>
      <c r="AO2099" s="38"/>
      <c r="AP2099" s="38"/>
      <c r="AQ2099" s="38"/>
      <c r="AR2099" s="38"/>
      <c r="AS2099" s="38"/>
      <c r="AT2099" s="38"/>
      <c r="AU2099" s="38"/>
      <c r="AV2099" s="38"/>
      <c r="AW2099" s="38"/>
      <c r="AX2099" s="38"/>
      <c r="AY2099" s="38"/>
      <c r="AZ2099" s="38"/>
      <c r="BA2099" s="38"/>
      <c r="BB2099" s="38"/>
      <c r="BC2099" s="38"/>
      <c r="BD2099" s="38"/>
      <c r="BE2099" s="38"/>
      <c r="BF2099" s="38"/>
      <c r="BG2099" s="38"/>
      <c r="BH2099" s="38"/>
      <c r="BI2099" s="38"/>
      <c r="BJ2099" s="38"/>
      <c r="BK2099" s="38"/>
      <c r="BL2099" s="38"/>
      <c r="BM2099" s="38"/>
      <c r="BN2099" s="38"/>
      <c r="BO2099" s="38"/>
      <c r="BP2099" s="38"/>
      <c r="BQ2099" s="38"/>
    </row>
    <row r="2100">
      <c r="A2100" s="87" t="s">
        <v>5717</v>
      </c>
      <c r="B2100" s="59"/>
      <c r="C2100" s="79">
        <v>43435.0</v>
      </c>
      <c r="D2100" s="60"/>
      <c r="E2100" s="58" t="s">
        <v>41</v>
      </c>
      <c r="F2100" s="58">
        <v>1.0</v>
      </c>
      <c r="G2100" s="58" t="s">
        <v>32</v>
      </c>
      <c r="H2100" s="50">
        <v>1.0</v>
      </c>
      <c r="I2100" s="58" t="s">
        <v>33</v>
      </c>
      <c r="J2100" s="58" t="s">
        <v>75</v>
      </c>
      <c r="K2100" s="58"/>
      <c r="L2100" s="58" t="s">
        <v>69</v>
      </c>
      <c r="M2100" s="61" t="s">
        <v>5718</v>
      </c>
      <c r="N2100" s="77"/>
      <c r="O2100" s="83" t="str">
        <f>hyperlink("https://bad-boys.us/?q=WD-KY/3:18-cr-00191", "WD-KY 3:18-cr-00191")</f>
        <v>WD-KY 3:18-cr-00191</v>
      </c>
      <c r="P2100" s="88" t="s">
        <v>5719</v>
      </c>
      <c r="Q2100" s="58">
        <v>1.0</v>
      </c>
      <c r="R2100" s="62"/>
      <c r="S2100" s="37"/>
      <c r="T2100" s="38"/>
      <c r="U2100" s="38" t="b">
        <f t="shared" si="325"/>
        <v>0</v>
      </c>
      <c r="V2100" s="38"/>
      <c r="W2100" s="40"/>
      <c r="X2100" s="40"/>
      <c r="Y2100" s="40"/>
      <c r="Z2100" s="38"/>
      <c r="AA2100" s="38"/>
      <c r="AB2100" s="38"/>
      <c r="AC2100" s="38"/>
      <c r="AD2100" s="38"/>
      <c r="AE2100" s="38"/>
      <c r="AF2100" s="38"/>
      <c r="AG2100" s="38"/>
      <c r="AH2100" s="38"/>
      <c r="AI2100" s="38"/>
      <c r="AJ2100" s="38"/>
      <c r="AK2100" s="38"/>
      <c r="AL2100" s="38"/>
      <c r="AM2100" s="38"/>
      <c r="AN2100" s="38"/>
      <c r="AO2100" s="38"/>
      <c r="AP2100" s="38"/>
      <c r="AQ2100" s="38"/>
      <c r="AR2100" s="38"/>
      <c r="AS2100" s="38"/>
      <c r="AT2100" s="38"/>
      <c r="AU2100" s="38"/>
      <c r="AV2100" s="38"/>
      <c r="AW2100" s="38"/>
      <c r="AX2100" s="38"/>
      <c r="AY2100" s="38"/>
      <c r="AZ2100" s="38"/>
      <c r="BA2100" s="38"/>
      <c r="BB2100" s="38"/>
      <c r="BC2100" s="38"/>
      <c r="BD2100" s="38"/>
      <c r="BE2100" s="38"/>
      <c r="BF2100" s="38"/>
      <c r="BG2100" s="38"/>
      <c r="BH2100" s="38"/>
      <c r="BI2100" s="38"/>
      <c r="BJ2100" s="38"/>
      <c r="BK2100" s="38"/>
      <c r="BL2100" s="38"/>
      <c r="BM2100" s="38"/>
      <c r="BN2100" s="38"/>
      <c r="BO2100" s="38"/>
      <c r="BP2100" s="38"/>
      <c r="BQ2100" s="38"/>
    </row>
    <row r="2101">
      <c r="A2101" s="58" t="s">
        <v>5720</v>
      </c>
      <c r="B2101" s="59">
        <v>43446.0</v>
      </c>
      <c r="C2101" s="79">
        <v>43435.0</v>
      </c>
      <c r="D2101" s="60" t="s">
        <v>2460</v>
      </c>
      <c r="E2101" s="58" t="s">
        <v>41</v>
      </c>
      <c r="F2101" s="58">
        <v>1.0</v>
      </c>
      <c r="G2101" s="58" t="s">
        <v>32</v>
      </c>
      <c r="H2101" s="33">
        <f>if(G2101="Unknown",1,G2101)</f>
        <v>1</v>
      </c>
      <c r="I2101" s="58" t="s">
        <v>33</v>
      </c>
      <c r="J2101" s="58" t="s">
        <v>115</v>
      </c>
      <c r="K2101" s="58">
        <v>1.0</v>
      </c>
      <c r="L2101" s="58" t="s">
        <v>69</v>
      </c>
      <c r="M2101" s="61" t="s">
        <v>5721</v>
      </c>
      <c r="N2101" s="61" t="s">
        <v>5722</v>
      </c>
      <c r="O2101" s="83" t="str">
        <f>hyperlink("https://bad-boys.us/?q=MD-PA/3:18-cr-00414", "MD-PA 3:18-cr-00414")</f>
        <v>MD-PA 3:18-cr-00414</v>
      </c>
      <c r="P2101" s="62"/>
      <c r="Q2101" s="84">
        <v>1.0</v>
      </c>
      <c r="R2101" s="62"/>
      <c r="S2101" s="37" t="str">
        <f>IFERROR(__xludf.DUMMYFUNCTION("if(not(iserror(index(split(C2101, "" ""),2))), index(split(C2101, "" ""),1),"""")"),"December,")</f>
        <v>December,</v>
      </c>
      <c r="T2101" s="38">
        <f>IFERROR(__xludf.DUMMYFUNCTION("if(S2101="""",C2101,if(not(iserror(index(split(C2101, "" ""),3))), index(split(C2101, "" ""),3),index(split(C2101, "" ""),2)))"),2018.0)</f>
        <v>2018</v>
      </c>
      <c r="U2101" s="38" t="b">
        <f t="shared" si="325"/>
        <v>0</v>
      </c>
      <c r="V2101" s="38"/>
      <c r="W2101" s="40"/>
      <c r="X2101" s="40"/>
      <c r="Y2101" s="40"/>
      <c r="Z2101" s="38"/>
      <c r="AA2101" s="38"/>
      <c r="AB2101" s="38"/>
      <c r="AC2101" s="38"/>
      <c r="AD2101" s="38"/>
      <c r="AE2101" s="38"/>
      <c r="AF2101" s="38"/>
      <c r="AG2101" s="38"/>
      <c r="AH2101" s="38"/>
      <c r="AI2101" s="38"/>
      <c r="AJ2101" s="38"/>
      <c r="AK2101" s="38"/>
      <c r="AL2101" s="38"/>
      <c r="AM2101" s="38"/>
      <c r="AN2101" s="38"/>
      <c r="AO2101" s="38"/>
      <c r="AP2101" s="38"/>
      <c r="AQ2101" s="38"/>
      <c r="AR2101" s="38"/>
      <c r="AS2101" s="38"/>
      <c r="AT2101" s="38"/>
      <c r="AU2101" s="38"/>
      <c r="AV2101" s="38"/>
      <c r="AW2101" s="38"/>
      <c r="AX2101" s="38"/>
      <c r="AY2101" s="38"/>
      <c r="AZ2101" s="38"/>
      <c r="BA2101" s="38"/>
      <c r="BB2101" s="38"/>
      <c r="BC2101" s="38"/>
      <c r="BD2101" s="38"/>
      <c r="BE2101" s="38"/>
      <c r="BF2101" s="38"/>
      <c r="BG2101" s="38"/>
      <c r="BH2101" s="38"/>
      <c r="BI2101" s="38"/>
      <c r="BJ2101" s="38"/>
      <c r="BK2101" s="38"/>
      <c r="BL2101" s="38"/>
      <c r="BM2101" s="38"/>
      <c r="BN2101" s="38"/>
      <c r="BO2101" s="38"/>
      <c r="BP2101" s="38"/>
      <c r="BQ2101" s="38"/>
    </row>
    <row r="2102">
      <c r="A2102" s="58" t="s">
        <v>5723</v>
      </c>
      <c r="B2102" s="59">
        <v>43448.0</v>
      </c>
      <c r="C2102" s="79">
        <v>43435.0</v>
      </c>
      <c r="D2102" s="60" t="s">
        <v>2460</v>
      </c>
      <c r="E2102" s="58" t="s">
        <v>41</v>
      </c>
      <c r="F2102" s="58">
        <v>1.0</v>
      </c>
      <c r="G2102" s="58" t="s">
        <v>32</v>
      </c>
      <c r="H2102" s="50">
        <v>1.0</v>
      </c>
      <c r="I2102" s="58" t="s">
        <v>33</v>
      </c>
      <c r="J2102" s="58" t="s">
        <v>124</v>
      </c>
      <c r="K2102" s="58">
        <v>1.0</v>
      </c>
      <c r="L2102" s="58" t="s">
        <v>69</v>
      </c>
      <c r="M2102" s="80" t="s">
        <v>5724</v>
      </c>
      <c r="N2102" s="77"/>
      <c r="O2102" s="88" t="str">
        <f>hyperlink("https://bad-boys.us/?q=ND-OH/3:18-cr-00734", "ND-OH 3:18-cr-00734")</f>
        <v>ND-OH 3:18-cr-00734</v>
      </c>
      <c r="P2102" s="88" t="s">
        <v>5725</v>
      </c>
      <c r="Q2102" s="58">
        <v>1.0</v>
      </c>
      <c r="R2102" s="62"/>
      <c r="S2102" s="37" t="str">
        <f>IFERROR(__xludf.DUMMYFUNCTION("if(not(iserror(index(split(C2102, "" ""),2))), index(split(C2102, "" ""),1),"""")"),"December,")</f>
        <v>December,</v>
      </c>
      <c r="T2102" s="38">
        <f>IFERROR(__xludf.DUMMYFUNCTION("if(S2102="""",C2102,if(not(iserror(index(split(C2102, "" ""),3))), index(split(C2102, "" ""),3),index(split(C2102, "" ""),2)))"),2018.0)</f>
        <v>2018</v>
      </c>
      <c r="U2102" s="38" t="b">
        <f t="shared" si="325"/>
        <v>0</v>
      </c>
      <c r="V2102" s="38"/>
      <c r="W2102" s="40"/>
      <c r="X2102" s="40"/>
      <c r="Y2102" s="40"/>
      <c r="Z2102" s="38"/>
      <c r="AA2102" s="38"/>
      <c r="AB2102" s="38"/>
      <c r="AC2102" s="38"/>
      <c r="AD2102" s="38"/>
      <c r="AE2102" s="38"/>
      <c r="AF2102" s="38"/>
      <c r="AG2102" s="38"/>
      <c r="AH2102" s="38"/>
      <c r="AI2102" s="38"/>
      <c r="AJ2102" s="38"/>
      <c r="AK2102" s="38"/>
      <c r="AL2102" s="38"/>
      <c r="AM2102" s="38"/>
      <c r="AN2102" s="38"/>
      <c r="AO2102" s="38"/>
      <c r="AP2102" s="38"/>
      <c r="AQ2102" s="38"/>
      <c r="AR2102" s="38"/>
      <c r="AS2102" s="38"/>
      <c r="AT2102" s="38"/>
      <c r="AU2102" s="38"/>
      <c r="AV2102" s="38"/>
      <c r="AW2102" s="38"/>
      <c r="AX2102" s="38"/>
      <c r="AY2102" s="38"/>
      <c r="AZ2102" s="38"/>
      <c r="BA2102" s="38"/>
      <c r="BB2102" s="38"/>
      <c r="BC2102" s="38"/>
      <c r="BD2102" s="38"/>
      <c r="BE2102" s="38"/>
      <c r="BF2102" s="38"/>
      <c r="BG2102" s="38"/>
      <c r="BH2102" s="38"/>
      <c r="BI2102" s="38"/>
      <c r="BJ2102" s="38"/>
      <c r="BK2102" s="38"/>
      <c r="BL2102" s="38"/>
      <c r="BM2102" s="38"/>
      <c r="BN2102" s="38"/>
      <c r="BO2102" s="38"/>
      <c r="BP2102" s="38"/>
      <c r="BQ2102" s="38"/>
    </row>
    <row r="2103">
      <c r="A2103" s="85" t="s">
        <v>5726</v>
      </c>
      <c r="B2103" s="59"/>
      <c r="C2103" s="79">
        <v>43435.0</v>
      </c>
      <c r="D2103" s="60"/>
      <c r="E2103" s="58" t="s">
        <v>31</v>
      </c>
      <c r="F2103" s="58">
        <v>1.0</v>
      </c>
      <c r="G2103" s="58">
        <v>1.0</v>
      </c>
      <c r="H2103" s="43">
        <v>1.0</v>
      </c>
      <c r="I2103" s="58" t="s">
        <v>33</v>
      </c>
      <c r="J2103" s="58" t="s">
        <v>144</v>
      </c>
      <c r="K2103" s="58"/>
      <c r="L2103" s="58" t="s">
        <v>5727</v>
      </c>
      <c r="M2103" s="61" t="s">
        <v>5728</v>
      </c>
      <c r="N2103" s="61" t="s">
        <v>5729</v>
      </c>
      <c r="O2103" s="62"/>
      <c r="P2103" s="58"/>
      <c r="Q2103" s="58"/>
      <c r="R2103" s="62"/>
      <c r="S2103" s="37"/>
      <c r="T2103" s="38"/>
      <c r="U2103" s="38"/>
      <c r="V2103" s="38" t="s">
        <v>33</v>
      </c>
      <c r="W2103" s="39" t="s">
        <v>5730</v>
      </c>
      <c r="X2103" s="39" t="s">
        <v>5731</v>
      </c>
      <c r="Y2103" s="40"/>
      <c r="Z2103" s="38"/>
      <c r="AA2103" s="38"/>
      <c r="AB2103" s="38"/>
      <c r="AC2103" s="38"/>
      <c r="AD2103" s="38"/>
      <c r="AE2103" s="38"/>
      <c r="AF2103" s="38"/>
      <c r="AG2103" s="38"/>
      <c r="AH2103" s="38"/>
      <c r="AI2103" s="38"/>
      <c r="AJ2103" s="38"/>
      <c r="AK2103" s="38"/>
      <c r="AL2103" s="38"/>
      <c r="AM2103" s="38"/>
      <c r="AN2103" s="38"/>
      <c r="AO2103" s="38"/>
      <c r="AP2103" s="38"/>
      <c r="AQ2103" s="38"/>
      <c r="AR2103" s="38"/>
      <c r="AS2103" s="38"/>
      <c r="AT2103" s="38"/>
      <c r="AU2103" s="38"/>
      <c r="AV2103" s="38"/>
      <c r="AW2103" s="38"/>
      <c r="AX2103" s="38"/>
      <c r="AY2103" s="38"/>
      <c r="AZ2103" s="38"/>
      <c r="BA2103" s="38"/>
      <c r="BB2103" s="38"/>
      <c r="BC2103" s="38"/>
      <c r="BD2103" s="38"/>
      <c r="BE2103" s="38"/>
      <c r="BF2103" s="38"/>
      <c r="BG2103" s="38"/>
      <c r="BH2103" s="38"/>
      <c r="BI2103" s="38"/>
      <c r="BJ2103" s="38"/>
      <c r="BK2103" s="38"/>
      <c r="BL2103" s="38"/>
      <c r="BM2103" s="38"/>
      <c r="BN2103" s="38"/>
      <c r="BO2103" s="38"/>
      <c r="BP2103" s="38"/>
      <c r="BQ2103" s="38"/>
    </row>
    <row r="2104">
      <c r="A2104" s="85" t="s">
        <v>5732</v>
      </c>
      <c r="B2104" s="59"/>
      <c r="C2104" s="79">
        <v>43435.0</v>
      </c>
      <c r="D2104" s="60"/>
      <c r="E2104" s="58" t="s">
        <v>31</v>
      </c>
      <c r="F2104" s="58">
        <v>1.0</v>
      </c>
      <c r="G2104" s="58" t="s">
        <v>32</v>
      </c>
      <c r="H2104" s="43">
        <v>1.0</v>
      </c>
      <c r="I2104" s="58" t="s">
        <v>33</v>
      </c>
      <c r="J2104" s="58" t="s">
        <v>144</v>
      </c>
      <c r="K2104" s="58"/>
      <c r="L2104" s="58" t="s">
        <v>5733</v>
      </c>
      <c r="M2104" s="61" t="s">
        <v>5734</v>
      </c>
      <c r="N2104" s="61" t="s">
        <v>5729</v>
      </c>
      <c r="O2104" s="62"/>
      <c r="P2104" s="58"/>
      <c r="Q2104" s="58"/>
      <c r="R2104" s="62"/>
      <c r="S2104" s="37"/>
      <c r="T2104" s="38"/>
      <c r="U2104" s="38"/>
      <c r="V2104" s="38" t="s">
        <v>33</v>
      </c>
      <c r="W2104" s="39" t="s">
        <v>5730</v>
      </c>
      <c r="X2104" s="39" t="s">
        <v>5735</v>
      </c>
      <c r="Y2104" s="40"/>
      <c r="Z2104" s="38"/>
      <c r="AA2104" s="38"/>
      <c r="AB2104" s="38"/>
      <c r="AC2104" s="38"/>
      <c r="AD2104" s="38"/>
      <c r="AE2104" s="38"/>
      <c r="AF2104" s="38"/>
      <c r="AG2104" s="38"/>
      <c r="AH2104" s="38"/>
      <c r="AI2104" s="38"/>
      <c r="AJ2104" s="38"/>
      <c r="AK2104" s="38"/>
      <c r="AL2104" s="38"/>
      <c r="AM2104" s="38"/>
      <c r="AN2104" s="38"/>
      <c r="AO2104" s="38"/>
      <c r="AP2104" s="38"/>
      <c r="AQ2104" s="38"/>
      <c r="AR2104" s="38"/>
      <c r="AS2104" s="38"/>
      <c r="AT2104" s="38"/>
      <c r="AU2104" s="38"/>
      <c r="AV2104" s="38"/>
      <c r="AW2104" s="38"/>
      <c r="AX2104" s="38"/>
      <c r="AY2104" s="38"/>
      <c r="AZ2104" s="38"/>
      <c r="BA2104" s="38"/>
      <c r="BB2104" s="38"/>
      <c r="BC2104" s="38"/>
      <c r="BD2104" s="38"/>
      <c r="BE2104" s="38"/>
      <c r="BF2104" s="38"/>
      <c r="BG2104" s="38"/>
      <c r="BH2104" s="38"/>
      <c r="BI2104" s="38"/>
      <c r="BJ2104" s="38"/>
      <c r="BK2104" s="38"/>
      <c r="BL2104" s="38"/>
      <c r="BM2104" s="38"/>
      <c r="BN2104" s="38"/>
      <c r="BO2104" s="38"/>
      <c r="BP2104" s="38"/>
      <c r="BQ2104" s="38"/>
    </row>
    <row r="2105">
      <c r="A2105" s="85" t="s">
        <v>5736</v>
      </c>
      <c r="B2105" s="59"/>
      <c r="C2105" s="79">
        <v>43435.0</v>
      </c>
      <c r="D2105" s="60"/>
      <c r="E2105" s="58" t="s">
        <v>41</v>
      </c>
      <c r="F2105" s="58">
        <v>1.0</v>
      </c>
      <c r="G2105" s="58" t="s">
        <v>32</v>
      </c>
      <c r="H2105" s="43">
        <v>1.0</v>
      </c>
      <c r="I2105" s="58" t="s">
        <v>33</v>
      </c>
      <c r="J2105" s="58" t="s">
        <v>288</v>
      </c>
      <c r="K2105" s="58"/>
      <c r="L2105" s="58" t="s">
        <v>119</v>
      </c>
      <c r="M2105" s="61" t="s">
        <v>5737</v>
      </c>
      <c r="N2105" s="77"/>
      <c r="O2105" s="62"/>
      <c r="P2105" s="58"/>
      <c r="Q2105" s="58"/>
      <c r="R2105" s="62"/>
      <c r="S2105" s="37"/>
      <c r="T2105" s="38"/>
      <c r="U2105" s="38"/>
      <c r="V2105" s="38" t="s">
        <v>33</v>
      </c>
      <c r="W2105" s="40"/>
      <c r="X2105" s="40"/>
      <c r="Y2105" s="40"/>
      <c r="Z2105" s="38"/>
      <c r="AA2105" s="38"/>
      <c r="AB2105" s="38"/>
      <c r="AC2105" s="38"/>
      <c r="AD2105" s="38"/>
      <c r="AE2105" s="38"/>
      <c r="AF2105" s="38"/>
      <c r="AG2105" s="38"/>
      <c r="AH2105" s="38"/>
      <c r="AI2105" s="38"/>
      <c r="AJ2105" s="38"/>
      <c r="AK2105" s="38"/>
      <c r="AL2105" s="38"/>
      <c r="AM2105" s="38"/>
      <c r="AN2105" s="38"/>
      <c r="AO2105" s="38"/>
      <c r="AP2105" s="38"/>
      <c r="AQ2105" s="38"/>
      <c r="AR2105" s="38"/>
      <c r="AS2105" s="38"/>
      <c r="AT2105" s="38"/>
      <c r="AU2105" s="38"/>
      <c r="AV2105" s="38"/>
      <c r="AW2105" s="38"/>
      <c r="AX2105" s="38"/>
      <c r="AY2105" s="38"/>
      <c r="AZ2105" s="38"/>
      <c r="BA2105" s="38"/>
      <c r="BB2105" s="38"/>
      <c r="BC2105" s="38"/>
      <c r="BD2105" s="38"/>
      <c r="BE2105" s="38"/>
      <c r="BF2105" s="38"/>
      <c r="BG2105" s="38"/>
      <c r="BH2105" s="38"/>
      <c r="BI2105" s="38"/>
      <c r="BJ2105" s="38"/>
      <c r="BK2105" s="38"/>
      <c r="BL2105" s="38"/>
      <c r="BM2105" s="38"/>
      <c r="BN2105" s="38"/>
      <c r="BO2105" s="38"/>
      <c r="BP2105" s="38"/>
      <c r="BQ2105" s="38"/>
    </row>
    <row r="2106">
      <c r="A2106" s="85" t="s">
        <v>5738</v>
      </c>
      <c r="B2106" s="59"/>
      <c r="C2106" s="79">
        <v>43435.0</v>
      </c>
      <c r="D2106" s="60"/>
      <c r="E2106" s="58" t="s">
        <v>41</v>
      </c>
      <c r="F2106" s="58">
        <v>1.0</v>
      </c>
      <c r="G2106" s="58" t="s">
        <v>32</v>
      </c>
      <c r="H2106" s="43">
        <v>1.0</v>
      </c>
      <c r="I2106" s="58" t="s">
        <v>33</v>
      </c>
      <c r="J2106" s="58" t="s">
        <v>132</v>
      </c>
      <c r="K2106" s="58"/>
      <c r="L2106" s="58" t="s">
        <v>119</v>
      </c>
      <c r="M2106" s="61" t="s">
        <v>5739</v>
      </c>
      <c r="N2106" s="77"/>
      <c r="O2106" s="62"/>
      <c r="P2106" s="58"/>
      <c r="Q2106" s="58"/>
      <c r="R2106" s="62"/>
      <c r="S2106" s="37" t="str">
        <f>IFERROR(__xludf.DUMMYFUNCTION("if(not(iserror(index(split(C2106, "" ""),2))), index(split(C2106, "" ""),1),"""")"),"December,")</f>
        <v>December,</v>
      </c>
      <c r="T2106" s="38">
        <f>IFERROR(__xludf.DUMMYFUNCTION("if(S2106="""",C2106,if(not(iserror(index(split(C2106, "" ""),3))), index(split(C2106, "" ""),3),index(split(C2106, "" ""),2)))"),2018.0)</f>
        <v>2018</v>
      </c>
      <c r="U2106" s="38" t="b">
        <f>countif(A$4:A4658, A2106)&gt;1</f>
        <v>0</v>
      </c>
      <c r="V2106" s="38" t="s">
        <v>33</v>
      </c>
      <c r="W2106" s="40"/>
      <c r="X2106" s="40"/>
      <c r="Y2106" s="40"/>
      <c r="Z2106" s="38"/>
      <c r="AA2106" s="38"/>
      <c r="AB2106" s="38"/>
      <c r="AC2106" s="38"/>
      <c r="AD2106" s="38"/>
      <c r="AE2106" s="38"/>
      <c r="AF2106" s="38"/>
      <c r="AG2106" s="38"/>
      <c r="AH2106" s="38"/>
      <c r="AI2106" s="38"/>
      <c r="AJ2106" s="38"/>
      <c r="AK2106" s="38"/>
      <c r="AL2106" s="38"/>
      <c r="AM2106" s="38"/>
      <c r="AN2106" s="38"/>
      <c r="AO2106" s="38"/>
      <c r="AP2106" s="38"/>
      <c r="AQ2106" s="38"/>
      <c r="AR2106" s="38"/>
      <c r="AS2106" s="38"/>
      <c r="AT2106" s="38"/>
      <c r="AU2106" s="38"/>
      <c r="AV2106" s="38"/>
      <c r="AW2106" s="38"/>
      <c r="AX2106" s="38"/>
      <c r="AY2106" s="38"/>
      <c r="AZ2106" s="38"/>
      <c r="BA2106" s="38"/>
      <c r="BB2106" s="38"/>
      <c r="BC2106" s="38"/>
      <c r="BD2106" s="38"/>
      <c r="BE2106" s="38"/>
      <c r="BF2106" s="38"/>
      <c r="BG2106" s="38"/>
      <c r="BH2106" s="38"/>
      <c r="BI2106" s="38"/>
      <c r="BJ2106" s="38"/>
      <c r="BK2106" s="38"/>
      <c r="BL2106" s="38"/>
      <c r="BM2106" s="38"/>
      <c r="BN2106" s="38"/>
      <c r="BO2106" s="38"/>
      <c r="BP2106" s="38"/>
      <c r="BQ2106" s="38"/>
    </row>
    <row r="2107">
      <c r="A2107" s="85" t="s">
        <v>5740</v>
      </c>
      <c r="B2107" s="59"/>
      <c r="C2107" s="79">
        <v>43435.0</v>
      </c>
      <c r="D2107" s="60"/>
      <c r="E2107" s="58" t="s">
        <v>41</v>
      </c>
      <c r="F2107" s="58">
        <v>1.0</v>
      </c>
      <c r="G2107" s="58" t="s">
        <v>32</v>
      </c>
      <c r="H2107" s="43">
        <v>1.0</v>
      </c>
      <c r="I2107" s="58" t="s">
        <v>33</v>
      </c>
      <c r="J2107" s="58" t="s">
        <v>288</v>
      </c>
      <c r="K2107" s="58"/>
      <c r="L2107" s="58" t="s">
        <v>119</v>
      </c>
      <c r="M2107" s="61" t="s">
        <v>5741</v>
      </c>
      <c r="N2107" s="77"/>
      <c r="O2107" s="62"/>
      <c r="P2107" s="58"/>
      <c r="Q2107" s="58"/>
      <c r="R2107" s="62"/>
      <c r="S2107" s="37"/>
      <c r="T2107" s="38"/>
      <c r="U2107" s="38"/>
      <c r="V2107" s="38" t="s">
        <v>33</v>
      </c>
      <c r="W2107" s="40"/>
      <c r="X2107" s="40"/>
      <c r="Y2107" s="40"/>
      <c r="Z2107" s="38"/>
      <c r="AA2107" s="38"/>
      <c r="AB2107" s="38"/>
      <c r="AC2107" s="38"/>
      <c r="AD2107" s="38"/>
      <c r="AE2107" s="38"/>
      <c r="AF2107" s="38"/>
      <c r="AG2107" s="38"/>
      <c r="AH2107" s="38"/>
      <c r="AI2107" s="38"/>
      <c r="AJ2107" s="38"/>
      <c r="AK2107" s="38"/>
      <c r="AL2107" s="38"/>
      <c r="AM2107" s="38"/>
      <c r="AN2107" s="38"/>
      <c r="AO2107" s="38"/>
      <c r="AP2107" s="38"/>
      <c r="AQ2107" s="38"/>
      <c r="AR2107" s="38"/>
      <c r="AS2107" s="38"/>
      <c r="AT2107" s="38"/>
      <c r="AU2107" s="38"/>
      <c r="AV2107" s="38"/>
      <c r="AW2107" s="38"/>
      <c r="AX2107" s="38"/>
      <c r="AY2107" s="38"/>
      <c r="AZ2107" s="38"/>
      <c r="BA2107" s="38"/>
      <c r="BB2107" s="38"/>
      <c r="BC2107" s="38"/>
      <c r="BD2107" s="38"/>
      <c r="BE2107" s="38"/>
      <c r="BF2107" s="38"/>
      <c r="BG2107" s="38"/>
      <c r="BH2107" s="38"/>
      <c r="BI2107" s="38"/>
      <c r="BJ2107" s="38"/>
      <c r="BK2107" s="38"/>
      <c r="BL2107" s="38"/>
      <c r="BM2107" s="38"/>
      <c r="BN2107" s="38"/>
      <c r="BO2107" s="38"/>
      <c r="BP2107" s="38"/>
      <c r="BQ2107" s="38"/>
    </row>
    <row r="2108">
      <c r="A2108" s="85" t="s">
        <v>5742</v>
      </c>
      <c r="B2108" s="59"/>
      <c r="C2108" s="79">
        <v>43435.0</v>
      </c>
      <c r="D2108" s="60"/>
      <c r="E2108" s="58" t="s">
        <v>41</v>
      </c>
      <c r="F2108" s="58">
        <v>1.0</v>
      </c>
      <c r="G2108" s="58" t="s">
        <v>32</v>
      </c>
      <c r="H2108" s="43">
        <v>1.0</v>
      </c>
      <c r="I2108" s="58" t="s">
        <v>33</v>
      </c>
      <c r="J2108" s="58" t="s">
        <v>61</v>
      </c>
      <c r="K2108" s="58"/>
      <c r="L2108" s="58" t="s">
        <v>119</v>
      </c>
      <c r="M2108" s="61" t="s">
        <v>5743</v>
      </c>
      <c r="N2108" s="77"/>
      <c r="O2108" s="62"/>
      <c r="P2108" s="58"/>
      <c r="Q2108" s="58"/>
      <c r="R2108" s="62"/>
      <c r="S2108" s="37"/>
      <c r="T2108" s="38"/>
      <c r="U2108" s="38" t="b">
        <f t="shared" ref="U2108:U2110" si="327">countif(A$4:A4658, A2108)&gt;1</f>
        <v>0</v>
      </c>
      <c r="V2108" s="38" t="s">
        <v>33</v>
      </c>
      <c r="W2108" s="40"/>
      <c r="X2108" s="40"/>
      <c r="Y2108" s="40"/>
      <c r="Z2108" s="38"/>
      <c r="AA2108" s="38"/>
      <c r="AB2108" s="38"/>
      <c r="AC2108" s="38"/>
      <c r="AD2108" s="38"/>
      <c r="AE2108" s="38"/>
      <c r="AF2108" s="38"/>
      <c r="AG2108" s="38"/>
      <c r="AH2108" s="38"/>
      <c r="AI2108" s="38"/>
      <c r="AJ2108" s="38"/>
      <c r="AK2108" s="38"/>
      <c r="AL2108" s="38"/>
      <c r="AM2108" s="38"/>
      <c r="AN2108" s="38"/>
      <c r="AO2108" s="38"/>
      <c r="AP2108" s="38"/>
      <c r="AQ2108" s="38"/>
      <c r="AR2108" s="38"/>
      <c r="AS2108" s="38"/>
      <c r="AT2108" s="38"/>
      <c r="AU2108" s="38"/>
      <c r="AV2108" s="38"/>
      <c r="AW2108" s="38"/>
      <c r="AX2108" s="38"/>
      <c r="AY2108" s="38"/>
      <c r="AZ2108" s="38"/>
      <c r="BA2108" s="38"/>
      <c r="BB2108" s="38"/>
      <c r="BC2108" s="38"/>
      <c r="BD2108" s="38"/>
      <c r="BE2108" s="38"/>
      <c r="BF2108" s="38"/>
      <c r="BG2108" s="38"/>
      <c r="BH2108" s="38"/>
      <c r="BI2108" s="38"/>
      <c r="BJ2108" s="38"/>
      <c r="BK2108" s="38"/>
      <c r="BL2108" s="38"/>
      <c r="BM2108" s="38"/>
      <c r="BN2108" s="38"/>
      <c r="BO2108" s="38"/>
      <c r="BP2108" s="38"/>
      <c r="BQ2108" s="38"/>
    </row>
    <row r="2109">
      <c r="A2109" s="85" t="s">
        <v>5744</v>
      </c>
      <c r="B2109" s="59"/>
      <c r="C2109" s="79">
        <v>43435.0</v>
      </c>
      <c r="D2109" s="60"/>
      <c r="E2109" s="58" t="s">
        <v>41</v>
      </c>
      <c r="F2109" s="58">
        <v>1.0</v>
      </c>
      <c r="G2109" s="58" t="s">
        <v>32</v>
      </c>
      <c r="H2109" s="43">
        <v>1.0</v>
      </c>
      <c r="I2109" s="58" t="s">
        <v>33</v>
      </c>
      <c r="J2109" s="58" t="s">
        <v>460</v>
      </c>
      <c r="K2109" s="58"/>
      <c r="L2109" s="58" t="s">
        <v>99</v>
      </c>
      <c r="M2109" s="61" t="s">
        <v>5745</v>
      </c>
      <c r="N2109" s="77"/>
      <c r="O2109" s="83" t="str">
        <f>hyperlink("https://bad-boys.us/?q=SD-IA/4:18-cr-00252", "SD-IA 4:18-cr-00252")</f>
        <v>SD-IA 4:18-cr-00252</v>
      </c>
      <c r="P2109" s="88" t="s">
        <v>5746</v>
      </c>
      <c r="Q2109" s="58">
        <v>1.0</v>
      </c>
      <c r="R2109" s="62"/>
      <c r="S2109" s="37"/>
      <c r="T2109" s="38"/>
      <c r="U2109" s="38" t="b">
        <f t="shared" si="327"/>
        <v>0</v>
      </c>
      <c r="V2109" s="38" t="s">
        <v>33</v>
      </c>
      <c r="W2109" s="40"/>
      <c r="X2109" s="40"/>
      <c r="Y2109" s="40"/>
      <c r="Z2109" s="38"/>
      <c r="AA2109" s="38"/>
      <c r="AB2109" s="38"/>
      <c r="AC2109" s="38"/>
      <c r="AD2109" s="38"/>
      <c r="AE2109" s="38"/>
      <c r="AF2109" s="38"/>
      <c r="AG2109" s="38"/>
      <c r="AH2109" s="38"/>
      <c r="AI2109" s="38"/>
      <c r="AJ2109" s="38"/>
      <c r="AK2109" s="38"/>
      <c r="AL2109" s="38"/>
      <c r="AM2109" s="38"/>
      <c r="AN2109" s="38"/>
      <c r="AO2109" s="38"/>
      <c r="AP2109" s="38"/>
      <c r="AQ2109" s="38"/>
      <c r="AR2109" s="38"/>
      <c r="AS2109" s="38"/>
      <c r="AT2109" s="38"/>
      <c r="AU2109" s="38"/>
      <c r="AV2109" s="38"/>
      <c r="AW2109" s="38"/>
      <c r="AX2109" s="38"/>
      <c r="AY2109" s="38"/>
      <c r="AZ2109" s="38"/>
      <c r="BA2109" s="38"/>
      <c r="BB2109" s="38"/>
      <c r="BC2109" s="38"/>
      <c r="BD2109" s="38"/>
      <c r="BE2109" s="38"/>
      <c r="BF2109" s="38"/>
      <c r="BG2109" s="38"/>
      <c r="BH2109" s="38"/>
      <c r="BI2109" s="38"/>
      <c r="BJ2109" s="38"/>
      <c r="BK2109" s="38"/>
      <c r="BL2109" s="38"/>
      <c r="BM2109" s="38"/>
      <c r="BN2109" s="38"/>
      <c r="BO2109" s="38"/>
      <c r="BP2109" s="38"/>
      <c r="BQ2109" s="38"/>
    </row>
    <row r="2110">
      <c r="A2110" s="85" t="s">
        <v>5747</v>
      </c>
      <c r="B2110" s="59"/>
      <c r="C2110" s="79">
        <v>43435.0</v>
      </c>
      <c r="D2110" s="60"/>
      <c r="E2110" s="58" t="s">
        <v>41</v>
      </c>
      <c r="F2110" s="58">
        <v>1.0</v>
      </c>
      <c r="G2110" s="58" t="s">
        <v>32</v>
      </c>
      <c r="H2110" s="43">
        <v>1.0</v>
      </c>
      <c r="I2110" s="58" t="s">
        <v>33</v>
      </c>
      <c r="J2110" s="58" t="s">
        <v>61</v>
      </c>
      <c r="K2110" s="58"/>
      <c r="L2110" s="58" t="s">
        <v>76</v>
      </c>
      <c r="M2110" s="61" t="s">
        <v>5748</v>
      </c>
      <c r="N2110" s="77"/>
      <c r="O2110" s="62"/>
      <c r="P2110" s="58"/>
      <c r="Q2110" s="58"/>
      <c r="R2110" s="62"/>
      <c r="S2110" s="37"/>
      <c r="T2110" s="38"/>
      <c r="U2110" s="38" t="b">
        <f t="shared" si="327"/>
        <v>0</v>
      </c>
      <c r="V2110" s="38"/>
      <c r="W2110" s="40"/>
      <c r="X2110" s="40"/>
      <c r="Y2110" s="40"/>
      <c r="Z2110" s="38"/>
      <c r="AA2110" s="38"/>
      <c r="AB2110" s="38"/>
      <c r="AC2110" s="38"/>
      <c r="AD2110" s="38"/>
      <c r="AE2110" s="38"/>
      <c r="AF2110" s="38"/>
      <c r="AG2110" s="38"/>
      <c r="AH2110" s="38"/>
      <c r="AI2110" s="38"/>
      <c r="AJ2110" s="38"/>
      <c r="AK2110" s="38"/>
      <c r="AL2110" s="38"/>
      <c r="AM2110" s="38"/>
      <c r="AN2110" s="38"/>
      <c r="AO2110" s="38"/>
      <c r="AP2110" s="38"/>
      <c r="AQ2110" s="38"/>
      <c r="AR2110" s="38"/>
      <c r="AS2110" s="38"/>
      <c r="AT2110" s="38"/>
      <c r="AU2110" s="38"/>
      <c r="AV2110" s="38"/>
      <c r="AW2110" s="38"/>
      <c r="AX2110" s="38"/>
      <c r="AY2110" s="38"/>
      <c r="AZ2110" s="38"/>
      <c r="BA2110" s="38"/>
      <c r="BB2110" s="38"/>
      <c r="BC2110" s="38"/>
      <c r="BD2110" s="38"/>
      <c r="BE2110" s="38"/>
      <c r="BF2110" s="38"/>
      <c r="BG2110" s="38"/>
      <c r="BH2110" s="38"/>
      <c r="BI2110" s="38"/>
      <c r="BJ2110" s="38"/>
      <c r="BK2110" s="38"/>
      <c r="BL2110" s="38"/>
      <c r="BM2110" s="38"/>
      <c r="BN2110" s="38"/>
      <c r="BO2110" s="38"/>
      <c r="BP2110" s="38"/>
      <c r="BQ2110" s="38"/>
    </row>
    <row r="2111">
      <c r="A2111" s="85" t="s">
        <v>5749</v>
      </c>
      <c r="B2111" s="59"/>
      <c r="C2111" s="59">
        <v>43435.0</v>
      </c>
      <c r="D2111" s="60"/>
      <c r="E2111" s="58" t="s">
        <v>41</v>
      </c>
      <c r="F2111" s="58">
        <v>1.0</v>
      </c>
      <c r="G2111" s="58">
        <v>2.0</v>
      </c>
      <c r="H2111" s="43">
        <v>2.0</v>
      </c>
      <c r="I2111" s="58" t="s">
        <v>33</v>
      </c>
      <c r="J2111" s="58" t="s">
        <v>98</v>
      </c>
      <c r="K2111" s="58"/>
      <c r="L2111" s="58" t="s">
        <v>119</v>
      </c>
      <c r="M2111" s="61" t="s">
        <v>5750</v>
      </c>
      <c r="N2111" s="202"/>
      <c r="O2111" s="62"/>
      <c r="P2111" s="84"/>
      <c r="Q2111" s="84"/>
      <c r="R2111" s="62"/>
      <c r="S2111" s="37"/>
      <c r="T2111" s="38"/>
      <c r="U2111" s="38"/>
      <c r="V2111" s="38" t="s">
        <v>33</v>
      </c>
      <c r="W2111" s="40"/>
      <c r="X2111" s="40"/>
      <c r="Y2111" s="40"/>
      <c r="Z2111" s="38"/>
      <c r="AA2111" s="38"/>
      <c r="AB2111" s="38"/>
      <c r="AC2111" s="38"/>
      <c r="AD2111" s="38"/>
      <c r="AE2111" s="38"/>
      <c r="AF2111" s="38"/>
      <c r="AG2111" s="38"/>
      <c r="AH2111" s="38"/>
      <c r="AI2111" s="38"/>
      <c r="AJ2111" s="38"/>
      <c r="AK2111" s="38"/>
      <c r="AL2111" s="38"/>
      <c r="AM2111" s="38"/>
      <c r="AN2111" s="38"/>
      <c r="AO2111" s="38"/>
      <c r="AP2111" s="38"/>
      <c r="AQ2111" s="38"/>
      <c r="AR2111" s="38"/>
      <c r="AS2111" s="38"/>
      <c r="AT2111" s="38"/>
      <c r="AU2111" s="38"/>
      <c r="AV2111" s="38"/>
      <c r="AW2111" s="38"/>
      <c r="AX2111" s="38"/>
      <c r="AY2111" s="38"/>
      <c r="AZ2111" s="38"/>
      <c r="BA2111" s="38"/>
      <c r="BB2111" s="38"/>
      <c r="BC2111" s="38"/>
      <c r="BD2111" s="38"/>
      <c r="BE2111" s="38"/>
      <c r="BF2111" s="38"/>
      <c r="BG2111" s="38"/>
      <c r="BH2111" s="38"/>
      <c r="BI2111" s="38"/>
      <c r="BJ2111" s="38"/>
      <c r="BK2111" s="38"/>
      <c r="BL2111" s="38"/>
      <c r="BM2111" s="38"/>
      <c r="BN2111" s="38"/>
      <c r="BO2111" s="38"/>
      <c r="BP2111" s="38"/>
      <c r="BQ2111" s="38"/>
    </row>
    <row r="2112">
      <c r="A2112" s="85" t="s">
        <v>5751</v>
      </c>
      <c r="B2112" s="59"/>
      <c r="C2112" s="59">
        <v>43435.0</v>
      </c>
      <c r="D2112" s="60"/>
      <c r="E2112" s="58" t="s">
        <v>41</v>
      </c>
      <c r="F2112" s="58">
        <v>1.0</v>
      </c>
      <c r="G2112" s="58" t="s">
        <v>32</v>
      </c>
      <c r="H2112" s="43">
        <v>1.0</v>
      </c>
      <c r="I2112" s="58" t="s">
        <v>33</v>
      </c>
      <c r="J2112" s="58" t="s">
        <v>61</v>
      </c>
      <c r="K2112" s="58"/>
      <c r="L2112" s="58" t="s">
        <v>119</v>
      </c>
      <c r="M2112" s="61" t="s">
        <v>5752</v>
      </c>
      <c r="N2112" s="202"/>
      <c r="O2112" s="62"/>
      <c r="P2112" s="84"/>
      <c r="Q2112" s="84"/>
      <c r="R2112" s="62"/>
      <c r="S2112" s="37"/>
      <c r="T2112" s="38"/>
      <c r="U2112" s="38"/>
      <c r="V2112" s="38" t="s">
        <v>33</v>
      </c>
      <c r="W2112" s="40"/>
      <c r="X2112" s="40"/>
      <c r="Y2112" s="40"/>
      <c r="Z2112" s="38"/>
      <c r="AA2112" s="38"/>
      <c r="AB2112" s="38"/>
      <c r="AC2112" s="38"/>
      <c r="AD2112" s="38"/>
      <c r="AE2112" s="38"/>
      <c r="AF2112" s="38"/>
      <c r="AG2112" s="38"/>
      <c r="AH2112" s="38"/>
      <c r="AI2112" s="38"/>
      <c r="AJ2112" s="38"/>
      <c r="AK2112" s="38"/>
      <c r="AL2112" s="38"/>
      <c r="AM2112" s="38"/>
      <c r="AN2112" s="38"/>
      <c r="AO2112" s="38"/>
      <c r="AP2112" s="38"/>
      <c r="AQ2112" s="38"/>
      <c r="AR2112" s="38"/>
      <c r="AS2112" s="38"/>
      <c r="AT2112" s="38"/>
      <c r="AU2112" s="38"/>
      <c r="AV2112" s="38"/>
      <c r="AW2112" s="38"/>
      <c r="AX2112" s="38"/>
      <c r="AY2112" s="38"/>
      <c r="AZ2112" s="38"/>
      <c r="BA2112" s="38"/>
      <c r="BB2112" s="38"/>
      <c r="BC2112" s="38"/>
      <c r="BD2112" s="38"/>
      <c r="BE2112" s="38"/>
      <c r="BF2112" s="38"/>
      <c r="BG2112" s="38"/>
      <c r="BH2112" s="38"/>
      <c r="BI2112" s="38"/>
      <c r="BJ2112" s="38"/>
      <c r="BK2112" s="38"/>
      <c r="BL2112" s="38"/>
      <c r="BM2112" s="38"/>
      <c r="BN2112" s="38"/>
      <c r="BO2112" s="38"/>
      <c r="BP2112" s="38"/>
      <c r="BQ2112" s="38"/>
    </row>
    <row r="2113">
      <c r="A2113" s="85" t="s">
        <v>5753</v>
      </c>
      <c r="B2113" s="59"/>
      <c r="C2113" s="59">
        <v>43435.0</v>
      </c>
      <c r="D2113" s="60"/>
      <c r="E2113" s="58" t="s">
        <v>41</v>
      </c>
      <c r="F2113" s="58">
        <v>1.0</v>
      </c>
      <c r="G2113" s="58" t="s">
        <v>32</v>
      </c>
      <c r="H2113" s="43">
        <v>1.0</v>
      </c>
      <c r="I2113" s="58" t="s">
        <v>33</v>
      </c>
      <c r="J2113" s="58" t="s">
        <v>93</v>
      </c>
      <c r="K2113" s="58"/>
      <c r="L2113" s="58" t="s">
        <v>119</v>
      </c>
      <c r="M2113" s="80" t="s">
        <v>5754</v>
      </c>
      <c r="N2113" s="202"/>
      <c r="O2113" s="62"/>
      <c r="P2113" s="84"/>
      <c r="Q2113" s="84"/>
      <c r="R2113" s="62"/>
      <c r="S2113" s="37"/>
      <c r="T2113" s="38"/>
      <c r="U2113" s="38"/>
      <c r="V2113" s="38" t="s">
        <v>33</v>
      </c>
      <c r="W2113" s="40"/>
      <c r="X2113" s="40"/>
      <c r="Y2113" s="40"/>
      <c r="Z2113" s="38"/>
      <c r="AA2113" s="38"/>
      <c r="AB2113" s="38"/>
      <c r="AC2113" s="38"/>
      <c r="AD2113" s="38"/>
      <c r="AE2113" s="38"/>
      <c r="AF2113" s="38"/>
      <c r="AG2113" s="38"/>
      <c r="AH2113" s="38"/>
      <c r="AI2113" s="38"/>
      <c r="AJ2113" s="38"/>
      <c r="AK2113" s="38"/>
      <c r="AL2113" s="38"/>
      <c r="AM2113" s="38"/>
      <c r="AN2113" s="38"/>
      <c r="AO2113" s="38"/>
      <c r="AP2113" s="38"/>
      <c r="AQ2113" s="38"/>
      <c r="AR2113" s="38"/>
      <c r="AS2113" s="38"/>
      <c r="AT2113" s="38"/>
      <c r="AU2113" s="38"/>
      <c r="AV2113" s="38"/>
      <c r="AW2113" s="38"/>
      <c r="AX2113" s="38"/>
      <c r="AY2113" s="38"/>
      <c r="AZ2113" s="38"/>
      <c r="BA2113" s="38"/>
      <c r="BB2113" s="38"/>
      <c r="BC2113" s="38"/>
      <c r="BD2113" s="38"/>
      <c r="BE2113" s="38"/>
      <c r="BF2113" s="38"/>
      <c r="BG2113" s="38"/>
      <c r="BH2113" s="38"/>
      <c r="BI2113" s="38"/>
      <c r="BJ2113" s="38"/>
      <c r="BK2113" s="38"/>
      <c r="BL2113" s="38"/>
      <c r="BM2113" s="38"/>
      <c r="BN2113" s="38"/>
      <c r="BO2113" s="38"/>
      <c r="BP2113" s="38"/>
      <c r="BQ2113" s="38"/>
    </row>
    <row r="2114">
      <c r="A2114" s="85" t="s">
        <v>5755</v>
      </c>
      <c r="B2114" s="59">
        <v>43437.0</v>
      </c>
      <c r="C2114" s="59">
        <v>43437.0</v>
      </c>
      <c r="D2114" s="60" t="s">
        <v>5756</v>
      </c>
      <c r="E2114" s="58" t="s">
        <v>31</v>
      </c>
      <c r="F2114" s="58">
        <v>3.0</v>
      </c>
      <c r="G2114" s="58" t="s">
        <v>32</v>
      </c>
      <c r="H2114" s="33">
        <f t="shared" ref="H2114:H2116" si="328">if(G2114="Unknown",1,G2114)</f>
        <v>1</v>
      </c>
      <c r="I2114" s="58" t="s">
        <v>33</v>
      </c>
      <c r="J2114" s="58" t="s">
        <v>98</v>
      </c>
      <c r="K2114" s="58">
        <v>1.0</v>
      </c>
      <c r="L2114" s="58" t="s">
        <v>52</v>
      </c>
      <c r="M2114" s="61" t="s">
        <v>5757</v>
      </c>
      <c r="N2114" s="77"/>
      <c r="O2114" s="62"/>
      <c r="P2114" s="62"/>
      <c r="Q2114" s="62"/>
      <c r="R2114" s="62"/>
      <c r="S2114" s="37" t="str">
        <f>IFERROR(__xludf.DUMMYFUNCTION("if(not(iserror(index(split(C2114, "" ""),2))), index(split(C2114, "" ""),1),"""")"),"December")</f>
        <v>December</v>
      </c>
      <c r="T2114" s="38">
        <f>IFERROR(__xludf.DUMMYFUNCTION("if(S2114="""",C2114,if(not(iserror(index(split(C2114, "" ""),3))), index(split(C2114, "" ""),3),index(split(C2114, "" ""),2)))"),2018.0)</f>
        <v>2018</v>
      </c>
      <c r="U2114" s="38" t="b">
        <f t="shared" ref="U2114:U2119" si="329">countif(A$4:A4658, A2114)&gt;1</f>
        <v>0</v>
      </c>
      <c r="V2114" s="38"/>
      <c r="W2114" s="40"/>
      <c r="X2114" s="40"/>
      <c r="Y2114" s="40"/>
      <c r="Z2114" s="38"/>
      <c r="AA2114" s="38"/>
      <c r="AB2114" s="38"/>
      <c r="AC2114" s="38"/>
      <c r="AD2114" s="38"/>
      <c r="AE2114" s="38"/>
      <c r="AF2114" s="38"/>
      <c r="AG2114" s="38"/>
      <c r="AH2114" s="38"/>
      <c r="AI2114" s="38"/>
      <c r="AJ2114" s="38"/>
      <c r="AK2114" s="38"/>
      <c r="AL2114" s="38"/>
      <c r="AM2114" s="38"/>
      <c r="AN2114" s="38"/>
      <c r="AO2114" s="38"/>
      <c r="AP2114" s="38"/>
      <c r="AQ2114" s="38"/>
      <c r="AR2114" s="38"/>
      <c r="AS2114" s="38"/>
      <c r="AT2114" s="38"/>
      <c r="AU2114" s="38"/>
      <c r="AV2114" s="38"/>
      <c r="AW2114" s="38"/>
      <c r="AX2114" s="38"/>
      <c r="AY2114" s="38"/>
      <c r="AZ2114" s="38"/>
      <c r="BA2114" s="38"/>
      <c r="BB2114" s="38"/>
      <c r="BC2114" s="38"/>
      <c r="BD2114" s="38"/>
      <c r="BE2114" s="38"/>
      <c r="BF2114" s="38"/>
      <c r="BG2114" s="38"/>
      <c r="BH2114" s="38"/>
      <c r="BI2114" s="38"/>
      <c r="BJ2114" s="38"/>
      <c r="BK2114" s="38"/>
      <c r="BL2114" s="38"/>
      <c r="BM2114" s="38"/>
      <c r="BN2114" s="38"/>
      <c r="BO2114" s="38"/>
      <c r="BP2114" s="38"/>
      <c r="BQ2114" s="38"/>
    </row>
    <row r="2115">
      <c r="A2115" s="58" t="s">
        <v>5758</v>
      </c>
      <c r="B2115" s="59">
        <v>43438.0</v>
      </c>
      <c r="C2115" s="59">
        <v>43437.0</v>
      </c>
      <c r="D2115" s="60" t="s">
        <v>5756</v>
      </c>
      <c r="E2115" s="58" t="s">
        <v>31</v>
      </c>
      <c r="F2115" s="58">
        <v>1.0</v>
      </c>
      <c r="G2115" s="58" t="s">
        <v>32</v>
      </c>
      <c r="H2115" s="33">
        <f t="shared" si="328"/>
        <v>1</v>
      </c>
      <c r="I2115" s="58" t="s">
        <v>33</v>
      </c>
      <c r="J2115" s="58" t="s">
        <v>460</v>
      </c>
      <c r="K2115" s="58">
        <v>5.0</v>
      </c>
      <c r="L2115" s="58" t="s">
        <v>119</v>
      </c>
      <c r="M2115" s="61" t="s">
        <v>5759</v>
      </c>
      <c r="N2115" s="61" t="s">
        <v>5760</v>
      </c>
      <c r="O2115" s="160" t="str">
        <f>hyperlink("https://bad-boys.us/?q=ND-IA/3:18-cr-03053", "ND-IA 3:18-cr-03053")</f>
        <v>ND-IA 3:18-cr-03053</v>
      </c>
      <c r="P2115" s="103" t="s">
        <v>5761</v>
      </c>
      <c r="Q2115" s="84">
        <v>1.0</v>
      </c>
      <c r="R2115" s="62"/>
      <c r="S2115" s="37" t="str">
        <f>IFERROR(__xludf.DUMMYFUNCTION("if(not(iserror(index(split(C2115, "" ""),2))), index(split(C2115, "" ""),1),"""")"),"December")</f>
        <v>December</v>
      </c>
      <c r="T2115" s="38">
        <f>IFERROR(__xludf.DUMMYFUNCTION("if(S2115="""",C2115,if(not(iserror(index(split(C2115, "" ""),3))), index(split(C2115, "" ""),3),index(split(C2115, "" ""),2)))"),2018.0)</f>
        <v>2018</v>
      </c>
      <c r="U2115" s="38" t="b">
        <f t="shared" si="329"/>
        <v>0</v>
      </c>
      <c r="V2115" s="38"/>
      <c r="W2115" s="40"/>
      <c r="X2115" s="40"/>
      <c r="Y2115" s="40"/>
      <c r="Z2115" s="38"/>
      <c r="AA2115" s="38"/>
      <c r="AB2115" s="38"/>
      <c r="AC2115" s="38"/>
      <c r="AD2115" s="38"/>
      <c r="AE2115" s="38"/>
      <c r="AF2115" s="38"/>
      <c r="AG2115" s="38"/>
      <c r="AH2115" s="38"/>
      <c r="AI2115" s="38"/>
      <c r="AJ2115" s="38"/>
      <c r="AK2115" s="38"/>
      <c r="AL2115" s="38"/>
      <c r="AM2115" s="38"/>
      <c r="AN2115" s="38"/>
      <c r="AO2115" s="38"/>
      <c r="AP2115" s="38"/>
      <c r="AQ2115" s="38"/>
      <c r="AR2115" s="38"/>
      <c r="AS2115" s="38"/>
      <c r="AT2115" s="38"/>
      <c r="AU2115" s="38"/>
      <c r="AV2115" s="38"/>
      <c r="AW2115" s="38"/>
      <c r="AX2115" s="38"/>
      <c r="AY2115" s="38"/>
      <c r="AZ2115" s="38"/>
      <c r="BA2115" s="38"/>
      <c r="BB2115" s="38"/>
      <c r="BC2115" s="38"/>
      <c r="BD2115" s="38"/>
      <c r="BE2115" s="38"/>
      <c r="BF2115" s="38"/>
      <c r="BG2115" s="38"/>
      <c r="BH2115" s="38"/>
      <c r="BI2115" s="38"/>
      <c r="BJ2115" s="38"/>
      <c r="BK2115" s="38"/>
      <c r="BL2115" s="38"/>
      <c r="BM2115" s="38"/>
      <c r="BN2115" s="38"/>
      <c r="BO2115" s="38"/>
      <c r="BP2115" s="38"/>
      <c r="BQ2115" s="38"/>
    </row>
    <row r="2116">
      <c r="A2116" s="58" t="s">
        <v>5762</v>
      </c>
      <c r="B2116" s="59">
        <v>43438.0</v>
      </c>
      <c r="C2116" s="59">
        <v>43437.0</v>
      </c>
      <c r="D2116" s="60" t="s">
        <v>5756</v>
      </c>
      <c r="E2116" s="58" t="s">
        <v>41</v>
      </c>
      <c r="F2116" s="58">
        <v>1.0</v>
      </c>
      <c r="G2116" s="58" t="s">
        <v>32</v>
      </c>
      <c r="H2116" s="33">
        <f t="shared" si="328"/>
        <v>1</v>
      </c>
      <c r="I2116" s="58" t="s">
        <v>33</v>
      </c>
      <c r="J2116" s="58" t="s">
        <v>410</v>
      </c>
      <c r="K2116" s="58" t="s">
        <v>32</v>
      </c>
      <c r="L2116" s="58" t="s">
        <v>119</v>
      </c>
      <c r="M2116" s="61" t="s">
        <v>5763</v>
      </c>
      <c r="N2116" s="61" t="s">
        <v>5764</v>
      </c>
      <c r="O2116" s="160" t="str">
        <f>hyperlink("https://bad-boys.us/?q=D-MA/1:19-cr-10010", "D-MA 1:19-cr-10010")</f>
        <v>D-MA 1:19-cr-10010</v>
      </c>
      <c r="P2116" s="103" t="s">
        <v>5765</v>
      </c>
      <c r="Q2116" s="84">
        <v>1.0</v>
      </c>
      <c r="R2116" s="62"/>
      <c r="S2116" s="37" t="str">
        <f>IFERROR(__xludf.DUMMYFUNCTION("if(not(iserror(index(split(C2116, "" ""),2))), index(split(C2116, "" ""),1),"""")"),"December")</f>
        <v>December</v>
      </c>
      <c r="T2116" s="38">
        <f>IFERROR(__xludf.DUMMYFUNCTION("if(S2116="""",C2116,if(not(iserror(index(split(C2116, "" ""),3))), index(split(C2116, "" ""),3),index(split(C2116, "" ""),2)))"),2018.0)</f>
        <v>2018</v>
      </c>
      <c r="U2116" s="38" t="b">
        <f t="shared" si="329"/>
        <v>0</v>
      </c>
      <c r="V2116" s="38"/>
      <c r="W2116" s="40"/>
      <c r="X2116" s="40"/>
      <c r="Y2116" s="40"/>
      <c r="Z2116" s="38"/>
      <c r="AA2116" s="38"/>
      <c r="AB2116" s="38"/>
      <c r="AC2116" s="38"/>
      <c r="AD2116" s="38"/>
      <c r="AE2116" s="38"/>
      <c r="AF2116" s="38"/>
      <c r="AG2116" s="38"/>
      <c r="AH2116" s="38"/>
      <c r="AI2116" s="38"/>
      <c r="AJ2116" s="38"/>
      <c r="AK2116" s="38"/>
      <c r="AL2116" s="38"/>
      <c r="AM2116" s="38"/>
      <c r="AN2116" s="38"/>
      <c r="AO2116" s="38"/>
      <c r="AP2116" s="38"/>
      <c r="AQ2116" s="38"/>
      <c r="AR2116" s="38"/>
      <c r="AS2116" s="38"/>
      <c r="AT2116" s="38"/>
      <c r="AU2116" s="38"/>
      <c r="AV2116" s="38"/>
      <c r="AW2116" s="38"/>
      <c r="AX2116" s="38"/>
      <c r="AY2116" s="38"/>
      <c r="AZ2116" s="38"/>
      <c r="BA2116" s="38"/>
      <c r="BB2116" s="38"/>
      <c r="BC2116" s="38"/>
      <c r="BD2116" s="38"/>
      <c r="BE2116" s="38"/>
      <c r="BF2116" s="38"/>
      <c r="BG2116" s="38"/>
      <c r="BH2116" s="38"/>
      <c r="BI2116" s="38"/>
      <c r="BJ2116" s="38"/>
      <c r="BK2116" s="38"/>
      <c r="BL2116" s="38"/>
      <c r="BM2116" s="38"/>
      <c r="BN2116" s="38"/>
      <c r="BO2116" s="38"/>
      <c r="BP2116" s="38"/>
      <c r="BQ2116" s="38"/>
    </row>
    <row r="2117">
      <c r="A2117" s="58" t="s">
        <v>5766</v>
      </c>
      <c r="B2117" s="59"/>
      <c r="C2117" s="59">
        <v>43437.0</v>
      </c>
      <c r="D2117" s="60"/>
      <c r="E2117" s="58" t="s">
        <v>31</v>
      </c>
      <c r="F2117" s="58">
        <v>1.0</v>
      </c>
      <c r="G2117" s="58" t="s">
        <v>32</v>
      </c>
      <c r="H2117" s="43">
        <v>1.0</v>
      </c>
      <c r="I2117" s="58" t="s">
        <v>33</v>
      </c>
      <c r="J2117" s="58" t="s">
        <v>111</v>
      </c>
      <c r="K2117" s="58"/>
      <c r="L2117" s="58" t="s">
        <v>99</v>
      </c>
      <c r="M2117" s="61" t="s">
        <v>5767</v>
      </c>
      <c r="N2117" s="77"/>
      <c r="O2117" s="58"/>
      <c r="P2117" s="58"/>
      <c r="Q2117" s="84"/>
      <c r="R2117" s="62"/>
      <c r="S2117" s="37" t="str">
        <f>IFERROR(__xludf.DUMMYFUNCTION("if(not(iserror(index(split(C2117, "" ""),2))), index(split(C2117, "" ""),1),"""")"),"December")</f>
        <v>December</v>
      </c>
      <c r="T2117" s="38">
        <f>IFERROR(__xludf.DUMMYFUNCTION("if(S2117="""",C2117,if(not(iserror(index(split(C2117, "" ""),3))), index(split(C2117, "" ""),3),index(split(C2117, "" ""),2)))"),2018.0)</f>
        <v>2018</v>
      </c>
      <c r="U2117" s="38" t="b">
        <f t="shared" si="329"/>
        <v>0</v>
      </c>
      <c r="V2117" s="38" t="s">
        <v>33</v>
      </c>
      <c r="W2117" s="39" t="s">
        <v>5768</v>
      </c>
      <c r="X2117" s="39" t="s">
        <v>5769</v>
      </c>
      <c r="Y2117" s="40"/>
      <c r="Z2117" s="38"/>
      <c r="AA2117" s="38"/>
      <c r="AB2117" s="38"/>
      <c r="AC2117" s="38"/>
      <c r="AD2117" s="38"/>
      <c r="AE2117" s="38"/>
      <c r="AF2117" s="38"/>
      <c r="AG2117" s="38"/>
      <c r="AH2117" s="38"/>
      <c r="AI2117" s="38"/>
      <c r="AJ2117" s="38"/>
      <c r="AK2117" s="38"/>
      <c r="AL2117" s="38"/>
      <c r="AM2117" s="38"/>
      <c r="AN2117" s="38"/>
      <c r="AO2117" s="38"/>
      <c r="AP2117" s="38"/>
      <c r="AQ2117" s="38"/>
      <c r="AR2117" s="38"/>
      <c r="AS2117" s="38"/>
      <c r="AT2117" s="38"/>
      <c r="AU2117" s="38"/>
      <c r="AV2117" s="38"/>
      <c r="AW2117" s="38"/>
      <c r="AX2117" s="38"/>
      <c r="AY2117" s="38"/>
      <c r="AZ2117" s="38"/>
      <c r="BA2117" s="38"/>
      <c r="BB2117" s="38"/>
      <c r="BC2117" s="38"/>
      <c r="BD2117" s="38"/>
      <c r="BE2117" s="38"/>
      <c r="BF2117" s="38"/>
      <c r="BG2117" s="38"/>
      <c r="BH2117" s="38"/>
      <c r="BI2117" s="38"/>
      <c r="BJ2117" s="38"/>
      <c r="BK2117" s="38"/>
      <c r="BL2117" s="38"/>
      <c r="BM2117" s="38"/>
      <c r="BN2117" s="38"/>
      <c r="BO2117" s="38"/>
      <c r="BP2117" s="38"/>
      <c r="BQ2117" s="38"/>
    </row>
    <row r="2118">
      <c r="A2118" s="58" t="s">
        <v>5770</v>
      </c>
      <c r="B2118" s="59">
        <v>43442.0</v>
      </c>
      <c r="C2118" s="59">
        <v>43437.0</v>
      </c>
      <c r="D2118" s="60" t="s">
        <v>5771</v>
      </c>
      <c r="E2118" s="58" t="s">
        <v>31</v>
      </c>
      <c r="F2118" s="58">
        <v>1.0</v>
      </c>
      <c r="G2118" s="58" t="s">
        <v>32</v>
      </c>
      <c r="H2118" s="33">
        <f>if(G2118="Unknown",1,G2118)</f>
        <v>1</v>
      </c>
      <c r="I2118" s="58" t="s">
        <v>33</v>
      </c>
      <c r="J2118" s="58" t="s">
        <v>98</v>
      </c>
      <c r="K2118" s="58">
        <v>1.0</v>
      </c>
      <c r="L2118" s="58" t="s">
        <v>35</v>
      </c>
      <c r="M2118" s="61" t="s">
        <v>5772</v>
      </c>
      <c r="N2118" s="77"/>
      <c r="O2118" s="58"/>
      <c r="P2118" s="58"/>
      <c r="Q2118" s="84"/>
      <c r="R2118" s="62"/>
      <c r="S2118" s="37" t="str">
        <f>IFERROR(__xludf.DUMMYFUNCTION("if(not(iserror(index(split(C2118, "" ""),2))), index(split(C2118, "" ""),1),"""")"),"December")</f>
        <v>December</v>
      </c>
      <c r="T2118" s="38">
        <f>IFERROR(__xludf.DUMMYFUNCTION("if(S2118="""",C2118,if(not(iserror(index(split(C2118, "" ""),3))), index(split(C2118, "" ""),3),index(split(C2118, "" ""),2)))"),2018.0)</f>
        <v>2018</v>
      </c>
      <c r="U2118" s="38" t="b">
        <f t="shared" si="329"/>
        <v>0</v>
      </c>
      <c r="V2118" s="38"/>
      <c r="W2118" s="40"/>
      <c r="X2118" s="40"/>
      <c r="Y2118" s="40"/>
      <c r="Z2118" s="38"/>
      <c r="AA2118" s="38"/>
      <c r="AB2118" s="38"/>
      <c r="AC2118" s="38"/>
      <c r="AD2118" s="38"/>
      <c r="AE2118" s="38"/>
      <c r="AF2118" s="38"/>
      <c r="AG2118" s="38"/>
      <c r="AH2118" s="38"/>
      <c r="AI2118" s="38"/>
      <c r="AJ2118" s="38"/>
      <c r="AK2118" s="38"/>
      <c r="AL2118" s="38"/>
      <c r="AM2118" s="38"/>
      <c r="AN2118" s="38"/>
      <c r="AO2118" s="38"/>
      <c r="AP2118" s="38"/>
      <c r="AQ2118" s="38"/>
      <c r="AR2118" s="38"/>
      <c r="AS2118" s="38"/>
      <c r="AT2118" s="38"/>
      <c r="AU2118" s="38"/>
      <c r="AV2118" s="38"/>
      <c r="AW2118" s="38"/>
      <c r="AX2118" s="38"/>
      <c r="AY2118" s="38"/>
      <c r="AZ2118" s="38"/>
      <c r="BA2118" s="38"/>
      <c r="BB2118" s="38"/>
      <c r="BC2118" s="38"/>
      <c r="BD2118" s="38"/>
      <c r="BE2118" s="38"/>
      <c r="BF2118" s="38"/>
      <c r="BG2118" s="38"/>
      <c r="BH2118" s="38"/>
      <c r="BI2118" s="38"/>
      <c r="BJ2118" s="38"/>
      <c r="BK2118" s="38"/>
      <c r="BL2118" s="38"/>
      <c r="BM2118" s="38"/>
      <c r="BN2118" s="38"/>
      <c r="BO2118" s="38"/>
      <c r="BP2118" s="38"/>
      <c r="BQ2118" s="38"/>
    </row>
    <row r="2119">
      <c r="A2119" s="58" t="s">
        <v>5773</v>
      </c>
      <c r="B2119" s="59"/>
      <c r="C2119" s="59">
        <v>43438.0</v>
      </c>
      <c r="D2119" s="60"/>
      <c r="E2119" s="58" t="s">
        <v>41</v>
      </c>
      <c r="F2119" s="58">
        <v>1.0</v>
      </c>
      <c r="G2119" s="58" t="s">
        <v>32</v>
      </c>
      <c r="H2119" s="43">
        <v>1.0</v>
      </c>
      <c r="I2119" s="58" t="s">
        <v>33</v>
      </c>
      <c r="J2119" s="58" t="s">
        <v>89</v>
      </c>
      <c r="K2119" s="58"/>
      <c r="L2119" s="58" t="s">
        <v>76</v>
      </c>
      <c r="M2119" s="61" t="s">
        <v>5774</v>
      </c>
      <c r="N2119" s="77"/>
      <c r="O2119" s="88" t="str">
        <f>hyperlink("https://bad-boys.us/?q=ED-TN/3:18-cr-00195", "ED-TN 3:18-cr-00195")</f>
        <v>ED-TN 3:18-cr-00195</v>
      </c>
      <c r="P2119" s="88" t="s">
        <v>5775</v>
      </c>
      <c r="Q2119" s="58">
        <v>1.0</v>
      </c>
      <c r="R2119" s="62"/>
      <c r="S2119" s="37"/>
      <c r="T2119" s="38"/>
      <c r="U2119" s="38" t="b">
        <f t="shared" si="329"/>
        <v>0</v>
      </c>
      <c r="V2119" s="38" t="s">
        <v>33</v>
      </c>
      <c r="W2119" s="40"/>
      <c r="X2119" s="40"/>
      <c r="Y2119" s="40"/>
      <c r="Z2119" s="38"/>
      <c r="AA2119" s="38"/>
      <c r="AB2119" s="38"/>
      <c r="AC2119" s="38"/>
      <c r="AD2119" s="38"/>
      <c r="AE2119" s="38"/>
      <c r="AF2119" s="38"/>
      <c r="AG2119" s="38"/>
      <c r="AH2119" s="38"/>
      <c r="AI2119" s="38"/>
      <c r="AJ2119" s="38"/>
      <c r="AK2119" s="38"/>
      <c r="AL2119" s="38"/>
      <c r="AM2119" s="38"/>
      <c r="AN2119" s="38"/>
      <c r="AO2119" s="38"/>
      <c r="AP2119" s="38"/>
      <c r="AQ2119" s="38"/>
      <c r="AR2119" s="38"/>
      <c r="AS2119" s="38"/>
      <c r="AT2119" s="38"/>
      <c r="AU2119" s="38"/>
      <c r="AV2119" s="38"/>
      <c r="AW2119" s="38"/>
      <c r="AX2119" s="38"/>
      <c r="AY2119" s="38"/>
      <c r="AZ2119" s="38"/>
      <c r="BA2119" s="38"/>
      <c r="BB2119" s="38"/>
      <c r="BC2119" s="38"/>
      <c r="BD2119" s="38"/>
      <c r="BE2119" s="38"/>
      <c r="BF2119" s="38"/>
      <c r="BG2119" s="38"/>
      <c r="BH2119" s="38"/>
      <c r="BI2119" s="38"/>
      <c r="BJ2119" s="38"/>
      <c r="BK2119" s="38"/>
      <c r="BL2119" s="38"/>
      <c r="BM2119" s="38"/>
      <c r="BN2119" s="38"/>
      <c r="BO2119" s="38"/>
      <c r="BP2119" s="38"/>
      <c r="BQ2119" s="38"/>
    </row>
    <row r="2120">
      <c r="A2120" s="58" t="s">
        <v>5776</v>
      </c>
      <c r="B2120" s="59"/>
      <c r="C2120" s="59">
        <v>43438.0</v>
      </c>
      <c r="D2120" s="60"/>
      <c r="E2120" s="58" t="s">
        <v>41</v>
      </c>
      <c r="F2120" s="58">
        <v>1.0</v>
      </c>
      <c r="G2120" s="58">
        <v>1.0</v>
      </c>
      <c r="H2120" s="43">
        <v>1.0</v>
      </c>
      <c r="I2120" s="58" t="s">
        <v>33</v>
      </c>
      <c r="J2120" s="58" t="s">
        <v>514</v>
      </c>
      <c r="K2120" s="58"/>
      <c r="L2120" s="58" t="s">
        <v>76</v>
      </c>
      <c r="M2120" s="61" t="s">
        <v>5777</v>
      </c>
      <c r="N2120" s="77"/>
      <c r="O2120" s="62"/>
      <c r="P2120" s="58"/>
      <c r="Q2120" s="58">
        <v>1.0</v>
      </c>
      <c r="R2120" s="62"/>
      <c r="S2120" s="37"/>
      <c r="T2120" s="38"/>
      <c r="U2120" s="38"/>
      <c r="V2120" s="38" t="s">
        <v>33</v>
      </c>
      <c r="W2120" s="40"/>
      <c r="X2120" s="40"/>
      <c r="Y2120" s="40"/>
      <c r="Z2120" s="38"/>
      <c r="AA2120" s="38"/>
      <c r="AB2120" s="38"/>
      <c r="AC2120" s="38"/>
      <c r="AD2120" s="38"/>
      <c r="AE2120" s="38"/>
      <c r="AF2120" s="38"/>
      <c r="AG2120" s="38"/>
      <c r="AH2120" s="38"/>
      <c r="AI2120" s="38"/>
      <c r="AJ2120" s="38"/>
      <c r="AK2120" s="38"/>
      <c r="AL2120" s="38"/>
      <c r="AM2120" s="38"/>
      <c r="AN2120" s="38"/>
      <c r="AO2120" s="38"/>
      <c r="AP2120" s="38"/>
      <c r="AQ2120" s="38"/>
      <c r="AR2120" s="38"/>
      <c r="AS2120" s="38"/>
      <c r="AT2120" s="38"/>
      <c r="AU2120" s="38"/>
      <c r="AV2120" s="38"/>
      <c r="AW2120" s="38"/>
      <c r="AX2120" s="38"/>
      <c r="AY2120" s="38"/>
      <c r="AZ2120" s="38"/>
      <c r="BA2120" s="38"/>
      <c r="BB2120" s="38"/>
      <c r="BC2120" s="38"/>
      <c r="BD2120" s="38"/>
      <c r="BE2120" s="38"/>
      <c r="BF2120" s="38"/>
      <c r="BG2120" s="38"/>
      <c r="BH2120" s="38"/>
      <c r="BI2120" s="38"/>
      <c r="BJ2120" s="38"/>
      <c r="BK2120" s="38"/>
      <c r="BL2120" s="38"/>
      <c r="BM2120" s="38"/>
      <c r="BN2120" s="38"/>
      <c r="BO2120" s="38"/>
      <c r="BP2120" s="38"/>
      <c r="BQ2120" s="38"/>
    </row>
    <row r="2121">
      <c r="A2121" s="58" t="s">
        <v>5778</v>
      </c>
      <c r="B2121" s="59">
        <v>43447.0</v>
      </c>
      <c r="C2121" s="59">
        <v>43439.0</v>
      </c>
      <c r="D2121" s="60" t="s">
        <v>5779</v>
      </c>
      <c r="E2121" s="58" t="s">
        <v>41</v>
      </c>
      <c r="F2121" s="58">
        <v>1.0</v>
      </c>
      <c r="G2121" s="58" t="s">
        <v>32</v>
      </c>
      <c r="H2121" s="33">
        <f>if(G2121="Unknown",1,G2121)</f>
        <v>1</v>
      </c>
      <c r="I2121" s="58" t="s">
        <v>33</v>
      </c>
      <c r="J2121" s="58" t="s">
        <v>402</v>
      </c>
      <c r="K2121" s="58">
        <v>3.0</v>
      </c>
      <c r="L2121" s="58" t="s">
        <v>119</v>
      </c>
      <c r="M2121" s="61" t="s">
        <v>5780</v>
      </c>
      <c r="N2121" s="77"/>
      <c r="O2121" s="62"/>
      <c r="P2121" s="58"/>
      <c r="Q2121" s="58"/>
      <c r="R2121" s="62"/>
      <c r="S2121" s="37" t="str">
        <f>IFERROR(__xludf.DUMMYFUNCTION("if(not(iserror(index(split(C2121, "" ""),2))), index(split(C2121, "" ""),1),"""")"),"December")</f>
        <v>December</v>
      </c>
      <c r="T2121" s="38">
        <f>IFERROR(__xludf.DUMMYFUNCTION("if(S2121="""",C2121,if(not(iserror(index(split(C2121, "" ""),3))), index(split(C2121, "" ""),3),index(split(C2121, "" ""),2)))"),2018.0)</f>
        <v>2018</v>
      </c>
      <c r="U2121" s="38" t="b">
        <f t="shared" ref="U2121:U2131" si="330">countif(A$4:A4658, A2121)&gt;1</f>
        <v>0</v>
      </c>
      <c r="V2121" s="38"/>
      <c r="W2121" s="40"/>
      <c r="X2121" s="40"/>
      <c r="Y2121" s="40"/>
      <c r="Z2121" s="38"/>
      <c r="AA2121" s="38"/>
      <c r="AB2121" s="38"/>
      <c r="AC2121" s="38"/>
      <c r="AD2121" s="38"/>
      <c r="AE2121" s="38"/>
      <c r="AF2121" s="38"/>
      <c r="AG2121" s="38"/>
      <c r="AH2121" s="38"/>
      <c r="AI2121" s="38"/>
      <c r="AJ2121" s="38"/>
      <c r="AK2121" s="38"/>
      <c r="AL2121" s="38"/>
      <c r="AM2121" s="38"/>
      <c r="AN2121" s="38"/>
      <c r="AO2121" s="38"/>
      <c r="AP2121" s="38"/>
      <c r="AQ2121" s="38"/>
      <c r="AR2121" s="38"/>
      <c r="AS2121" s="38"/>
      <c r="AT2121" s="38"/>
      <c r="AU2121" s="38"/>
      <c r="AV2121" s="38"/>
      <c r="AW2121" s="38"/>
      <c r="AX2121" s="38"/>
      <c r="AY2121" s="38"/>
      <c r="AZ2121" s="38"/>
      <c r="BA2121" s="38"/>
      <c r="BB2121" s="38"/>
      <c r="BC2121" s="38"/>
      <c r="BD2121" s="38"/>
      <c r="BE2121" s="38"/>
      <c r="BF2121" s="38"/>
      <c r="BG2121" s="38"/>
      <c r="BH2121" s="38"/>
      <c r="BI2121" s="38"/>
      <c r="BJ2121" s="38"/>
      <c r="BK2121" s="38"/>
      <c r="BL2121" s="38"/>
      <c r="BM2121" s="38"/>
      <c r="BN2121" s="38"/>
      <c r="BO2121" s="38"/>
      <c r="BP2121" s="38"/>
      <c r="BQ2121" s="38"/>
    </row>
    <row r="2122">
      <c r="A2122" s="58" t="s">
        <v>5781</v>
      </c>
      <c r="B2122" s="59">
        <v>43441.0</v>
      </c>
      <c r="C2122" s="59">
        <v>43440.0</v>
      </c>
      <c r="D2122" s="60" t="s">
        <v>5782</v>
      </c>
      <c r="E2122" s="58" t="s">
        <v>31</v>
      </c>
      <c r="F2122" s="58">
        <v>1.0</v>
      </c>
      <c r="G2122" s="58">
        <v>3.0</v>
      </c>
      <c r="H2122" s="43">
        <v>3.0</v>
      </c>
      <c r="I2122" s="58" t="s">
        <v>33</v>
      </c>
      <c r="J2122" s="58" t="s">
        <v>93</v>
      </c>
      <c r="K2122" s="58">
        <v>5.0</v>
      </c>
      <c r="L2122" s="58" t="s">
        <v>69</v>
      </c>
      <c r="M2122" s="80" t="s">
        <v>5783</v>
      </c>
      <c r="N2122" s="61" t="s">
        <v>5784</v>
      </c>
      <c r="O2122" s="62"/>
      <c r="P2122" s="58"/>
      <c r="Q2122" s="58"/>
      <c r="R2122" s="62"/>
      <c r="S2122" s="37" t="str">
        <f>IFERROR(__xludf.DUMMYFUNCTION("if(not(iserror(index(split(C2122, "" ""),2))), index(split(C2122, "" ""),1),"""")"),"December")</f>
        <v>December</v>
      </c>
      <c r="T2122" s="38">
        <f>IFERROR(__xludf.DUMMYFUNCTION("if(S2122="""",C2122,if(not(iserror(index(split(C2122, "" ""),3))), index(split(C2122, "" ""),3),index(split(C2122, "" ""),2)))"),2018.0)</f>
        <v>2018</v>
      </c>
      <c r="U2122" s="38" t="b">
        <f t="shared" si="330"/>
        <v>0</v>
      </c>
      <c r="V2122" s="38" t="s">
        <v>33</v>
      </c>
      <c r="W2122" s="39" t="s">
        <v>5785</v>
      </c>
      <c r="X2122" s="39" t="s">
        <v>5786</v>
      </c>
      <c r="Y2122" s="40"/>
      <c r="Z2122" s="38"/>
      <c r="AA2122" s="38"/>
      <c r="AB2122" s="38"/>
      <c r="AC2122" s="38"/>
      <c r="AD2122" s="38"/>
      <c r="AE2122" s="38"/>
      <c r="AF2122" s="38"/>
      <c r="AG2122" s="38"/>
      <c r="AH2122" s="38"/>
      <c r="AI2122" s="38"/>
      <c r="AJ2122" s="38"/>
      <c r="AK2122" s="38"/>
      <c r="AL2122" s="38"/>
      <c r="AM2122" s="38"/>
      <c r="AN2122" s="38"/>
      <c r="AO2122" s="38"/>
      <c r="AP2122" s="38"/>
      <c r="AQ2122" s="38"/>
      <c r="AR2122" s="38"/>
      <c r="AS2122" s="38"/>
      <c r="AT2122" s="38"/>
      <c r="AU2122" s="38"/>
      <c r="AV2122" s="38"/>
      <c r="AW2122" s="38"/>
      <c r="AX2122" s="38"/>
      <c r="AY2122" s="38"/>
      <c r="AZ2122" s="38"/>
      <c r="BA2122" s="38"/>
      <c r="BB2122" s="38"/>
      <c r="BC2122" s="38"/>
      <c r="BD2122" s="38"/>
      <c r="BE2122" s="38"/>
      <c r="BF2122" s="38"/>
      <c r="BG2122" s="38"/>
      <c r="BH2122" s="38"/>
      <c r="BI2122" s="38"/>
      <c r="BJ2122" s="38"/>
      <c r="BK2122" s="38"/>
      <c r="BL2122" s="38"/>
      <c r="BM2122" s="38"/>
      <c r="BN2122" s="38"/>
      <c r="BO2122" s="38"/>
      <c r="BP2122" s="38"/>
      <c r="BQ2122" s="38"/>
    </row>
    <row r="2123">
      <c r="A2123" s="58" t="s">
        <v>5787</v>
      </c>
      <c r="B2123" s="59">
        <v>43445.0</v>
      </c>
      <c r="C2123" s="59">
        <v>43440.0</v>
      </c>
      <c r="D2123" s="60" t="s">
        <v>5782</v>
      </c>
      <c r="E2123" s="58" t="s">
        <v>41</v>
      </c>
      <c r="F2123" s="58">
        <v>1.0</v>
      </c>
      <c r="G2123" s="58">
        <v>1.0</v>
      </c>
      <c r="H2123" s="33">
        <f>if(G2123="Unknown",1,G2123)</f>
        <v>1</v>
      </c>
      <c r="I2123" s="58" t="s">
        <v>33</v>
      </c>
      <c r="J2123" s="58" t="s">
        <v>93</v>
      </c>
      <c r="K2123" s="58">
        <v>3.0</v>
      </c>
      <c r="L2123" s="58" t="s">
        <v>76</v>
      </c>
      <c r="M2123" s="61" t="s">
        <v>5788</v>
      </c>
      <c r="N2123" s="77"/>
      <c r="O2123" s="62"/>
      <c r="P2123" s="62"/>
      <c r="Q2123" s="58"/>
      <c r="R2123" s="62"/>
      <c r="S2123" s="37" t="str">
        <f>IFERROR(__xludf.DUMMYFUNCTION("if(not(iserror(index(split(C2123, "" ""),2))), index(split(C2123, "" ""),1),"""")"),"December")</f>
        <v>December</v>
      </c>
      <c r="T2123" s="38">
        <f>IFERROR(__xludf.DUMMYFUNCTION("if(S2123="""",C2123,if(not(iserror(index(split(C2123, "" ""),3))), index(split(C2123, "" ""),3),index(split(C2123, "" ""),2)))"),2018.0)</f>
        <v>2018</v>
      </c>
      <c r="U2123" s="38" t="b">
        <f t="shared" si="330"/>
        <v>0</v>
      </c>
      <c r="V2123" s="38"/>
      <c r="W2123" s="40"/>
      <c r="X2123" s="40"/>
      <c r="Y2123" s="40"/>
      <c r="Z2123" s="38"/>
      <c r="AA2123" s="38"/>
      <c r="AB2123" s="38"/>
      <c r="AC2123" s="38"/>
      <c r="AD2123" s="38"/>
      <c r="AE2123" s="38"/>
      <c r="AF2123" s="38"/>
      <c r="AG2123" s="38"/>
      <c r="AH2123" s="38"/>
      <c r="AI2123" s="38"/>
      <c r="AJ2123" s="38"/>
      <c r="AK2123" s="38"/>
      <c r="AL2123" s="38"/>
      <c r="AM2123" s="38"/>
      <c r="AN2123" s="38"/>
      <c r="AO2123" s="38"/>
      <c r="AP2123" s="38"/>
      <c r="AQ2123" s="38"/>
      <c r="AR2123" s="38"/>
      <c r="AS2123" s="38"/>
      <c r="AT2123" s="38"/>
      <c r="AU2123" s="38"/>
      <c r="AV2123" s="38"/>
      <c r="AW2123" s="38"/>
      <c r="AX2123" s="38"/>
      <c r="AY2123" s="38"/>
      <c r="AZ2123" s="38"/>
      <c r="BA2123" s="38"/>
      <c r="BB2123" s="38"/>
      <c r="BC2123" s="38"/>
      <c r="BD2123" s="38"/>
      <c r="BE2123" s="38"/>
      <c r="BF2123" s="38"/>
      <c r="BG2123" s="38"/>
      <c r="BH2123" s="38"/>
      <c r="BI2123" s="38"/>
      <c r="BJ2123" s="38"/>
      <c r="BK2123" s="38"/>
      <c r="BL2123" s="38"/>
      <c r="BM2123" s="38"/>
      <c r="BN2123" s="38"/>
      <c r="BO2123" s="38"/>
      <c r="BP2123" s="38"/>
      <c r="BQ2123" s="38"/>
    </row>
    <row r="2124">
      <c r="A2124" s="58" t="s">
        <v>5789</v>
      </c>
      <c r="B2124" s="59"/>
      <c r="C2124" s="59">
        <v>43440.0</v>
      </c>
      <c r="D2124" s="60"/>
      <c r="E2124" s="58" t="s">
        <v>41</v>
      </c>
      <c r="F2124" s="58">
        <v>1.0</v>
      </c>
      <c r="G2124" s="58" t="s">
        <v>32</v>
      </c>
      <c r="H2124" s="43">
        <v>1.0</v>
      </c>
      <c r="I2124" s="58" t="s">
        <v>33</v>
      </c>
      <c r="J2124" s="58" t="s">
        <v>93</v>
      </c>
      <c r="K2124" s="58"/>
      <c r="L2124" s="58" t="s">
        <v>119</v>
      </c>
      <c r="M2124" s="61" t="s">
        <v>5790</v>
      </c>
      <c r="N2124" s="77"/>
      <c r="O2124" s="83" t="str">
        <f>hyperlink("https://bad-boys.us/?q=ND-NY/5:18-cr-00381", "ND-NY 5:18-cr-00381")</f>
        <v>ND-NY 5:18-cr-00381</v>
      </c>
      <c r="P2124" s="88" t="s">
        <v>5791</v>
      </c>
      <c r="Q2124" s="58">
        <v>1.0</v>
      </c>
      <c r="R2124" s="62"/>
      <c r="S2124" s="37" t="str">
        <f>IFERROR(__xludf.DUMMYFUNCTION("if(not(iserror(index(split(C2124, "" ""),2))), index(split(C2124, "" ""),1),"""")"),"December")</f>
        <v>December</v>
      </c>
      <c r="T2124" s="38">
        <f>IFERROR(__xludf.DUMMYFUNCTION("if(S2124="""",C2124,if(not(iserror(index(split(C2124, "" ""),3))), index(split(C2124, "" ""),3),index(split(C2124, "" ""),2)))"),2018.0)</f>
        <v>2018</v>
      </c>
      <c r="U2124" s="38" t="b">
        <f t="shared" si="330"/>
        <v>0</v>
      </c>
      <c r="V2124" s="38" t="s">
        <v>33</v>
      </c>
      <c r="W2124" s="40"/>
      <c r="X2124" s="40"/>
      <c r="Y2124" s="40"/>
      <c r="Z2124" s="38"/>
      <c r="AA2124" s="38"/>
      <c r="AB2124" s="38"/>
      <c r="AC2124" s="38"/>
      <c r="AD2124" s="38"/>
      <c r="AE2124" s="38"/>
      <c r="AF2124" s="38"/>
      <c r="AG2124" s="38"/>
      <c r="AH2124" s="38"/>
      <c r="AI2124" s="38"/>
      <c r="AJ2124" s="38"/>
      <c r="AK2124" s="38"/>
      <c r="AL2124" s="38"/>
      <c r="AM2124" s="38"/>
      <c r="AN2124" s="38"/>
      <c r="AO2124" s="38"/>
      <c r="AP2124" s="38"/>
      <c r="AQ2124" s="38"/>
      <c r="AR2124" s="38"/>
      <c r="AS2124" s="38"/>
      <c r="AT2124" s="38"/>
      <c r="AU2124" s="38"/>
      <c r="AV2124" s="38"/>
      <c r="AW2124" s="38"/>
      <c r="AX2124" s="38"/>
      <c r="AY2124" s="38"/>
      <c r="AZ2124" s="38"/>
      <c r="BA2124" s="38"/>
      <c r="BB2124" s="38"/>
      <c r="BC2124" s="38"/>
      <c r="BD2124" s="38"/>
      <c r="BE2124" s="38"/>
      <c r="BF2124" s="38"/>
      <c r="BG2124" s="38"/>
      <c r="BH2124" s="38"/>
      <c r="BI2124" s="38"/>
      <c r="BJ2124" s="38"/>
      <c r="BK2124" s="38"/>
      <c r="BL2124" s="38"/>
      <c r="BM2124" s="38"/>
      <c r="BN2124" s="38"/>
      <c r="BO2124" s="38"/>
      <c r="BP2124" s="38"/>
      <c r="BQ2124" s="38"/>
    </row>
    <row r="2125">
      <c r="A2125" s="58" t="s">
        <v>5792</v>
      </c>
      <c r="B2125" s="59">
        <v>43441.0</v>
      </c>
      <c r="C2125" s="59">
        <v>43441.0</v>
      </c>
      <c r="D2125" s="60" t="s">
        <v>5793</v>
      </c>
      <c r="E2125" s="58" t="s">
        <v>31</v>
      </c>
      <c r="F2125" s="58">
        <v>3.0</v>
      </c>
      <c r="G2125" s="58">
        <v>12.0</v>
      </c>
      <c r="H2125" s="33">
        <f t="shared" ref="H2125:H2131" si="331">if(G2125="Unknown",1,G2125)</f>
        <v>12</v>
      </c>
      <c r="I2125" s="58" t="s">
        <v>33</v>
      </c>
      <c r="J2125" s="58" t="s">
        <v>124</v>
      </c>
      <c r="K2125" s="58">
        <v>1.0</v>
      </c>
      <c r="L2125" s="58" t="s">
        <v>52</v>
      </c>
      <c r="M2125" s="61" t="s">
        <v>5794</v>
      </c>
      <c r="N2125" s="77"/>
      <c r="O2125" s="62"/>
      <c r="P2125" s="62"/>
      <c r="Q2125" s="62"/>
      <c r="R2125" s="62"/>
      <c r="S2125" s="37" t="str">
        <f>IFERROR(__xludf.DUMMYFUNCTION("if(not(iserror(index(split(C2125, "" ""),2))), index(split(C2125, "" ""),1),"""")"),"December")</f>
        <v>December</v>
      </c>
      <c r="T2125" s="38">
        <f>IFERROR(__xludf.DUMMYFUNCTION("if(S2125="""",C2125,if(not(iserror(index(split(C2125, "" ""),3))), index(split(C2125, "" ""),3),index(split(C2125, "" ""),2)))"),2018.0)</f>
        <v>2018</v>
      </c>
      <c r="U2125" s="38" t="b">
        <f t="shared" si="330"/>
        <v>0</v>
      </c>
      <c r="V2125" s="38"/>
      <c r="W2125" s="40"/>
      <c r="X2125" s="40"/>
      <c r="Y2125" s="40"/>
      <c r="Z2125" s="38"/>
      <c r="AA2125" s="38"/>
      <c r="AB2125" s="38"/>
      <c r="AC2125" s="38"/>
      <c r="AD2125" s="38"/>
      <c r="AE2125" s="38"/>
      <c r="AF2125" s="38"/>
      <c r="AG2125" s="38"/>
      <c r="AH2125" s="38"/>
      <c r="AI2125" s="38"/>
      <c r="AJ2125" s="38"/>
      <c r="AK2125" s="38"/>
      <c r="AL2125" s="38"/>
      <c r="AM2125" s="38"/>
      <c r="AN2125" s="38"/>
      <c r="AO2125" s="38"/>
      <c r="AP2125" s="38"/>
      <c r="AQ2125" s="38"/>
      <c r="AR2125" s="38"/>
      <c r="AS2125" s="38"/>
      <c r="AT2125" s="38"/>
      <c r="AU2125" s="38"/>
      <c r="AV2125" s="38"/>
      <c r="AW2125" s="38"/>
      <c r="AX2125" s="38"/>
      <c r="AY2125" s="38"/>
      <c r="AZ2125" s="38"/>
      <c r="BA2125" s="38"/>
      <c r="BB2125" s="38"/>
      <c r="BC2125" s="38"/>
      <c r="BD2125" s="38"/>
      <c r="BE2125" s="38"/>
      <c r="BF2125" s="38"/>
      <c r="BG2125" s="38"/>
      <c r="BH2125" s="38"/>
      <c r="BI2125" s="38"/>
      <c r="BJ2125" s="38"/>
      <c r="BK2125" s="38"/>
      <c r="BL2125" s="38"/>
      <c r="BM2125" s="38"/>
      <c r="BN2125" s="38"/>
      <c r="BO2125" s="38"/>
      <c r="BP2125" s="38"/>
      <c r="BQ2125" s="38"/>
    </row>
    <row r="2126">
      <c r="A2126" s="58" t="s">
        <v>5795</v>
      </c>
      <c r="B2126" s="59">
        <v>43444.0</v>
      </c>
      <c r="C2126" s="59">
        <v>43441.0</v>
      </c>
      <c r="D2126" s="60" t="s">
        <v>5793</v>
      </c>
      <c r="E2126" s="58" t="s">
        <v>41</v>
      </c>
      <c r="F2126" s="58">
        <v>1.0</v>
      </c>
      <c r="G2126" s="58" t="s">
        <v>32</v>
      </c>
      <c r="H2126" s="33">
        <f t="shared" si="331"/>
        <v>1</v>
      </c>
      <c r="I2126" s="58" t="s">
        <v>33</v>
      </c>
      <c r="J2126" s="58" t="s">
        <v>55</v>
      </c>
      <c r="K2126" s="58">
        <v>1.0</v>
      </c>
      <c r="L2126" s="58" t="s">
        <v>194</v>
      </c>
      <c r="M2126" s="61" t="s">
        <v>5796</v>
      </c>
      <c r="N2126" s="77"/>
      <c r="O2126" s="58"/>
      <c r="P2126" s="58"/>
      <c r="Q2126" s="58"/>
      <c r="R2126" s="62"/>
      <c r="S2126" s="37" t="str">
        <f>IFERROR(__xludf.DUMMYFUNCTION("if(not(iserror(index(split(C2126, "" ""),2))), index(split(C2126, "" ""),1),"""")"),"December")</f>
        <v>December</v>
      </c>
      <c r="T2126" s="38">
        <f>IFERROR(__xludf.DUMMYFUNCTION("if(S2126="""",C2126,if(not(iserror(index(split(C2126, "" ""),3))), index(split(C2126, "" ""),3),index(split(C2126, "" ""),2)))"),2018.0)</f>
        <v>2018</v>
      </c>
      <c r="U2126" s="38" t="b">
        <f t="shared" si="330"/>
        <v>0</v>
      </c>
      <c r="V2126" s="38"/>
      <c r="W2126" s="40"/>
      <c r="X2126" s="40"/>
      <c r="Y2126" s="40"/>
      <c r="Z2126" s="38"/>
      <c r="AA2126" s="38"/>
      <c r="AB2126" s="38"/>
      <c r="AC2126" s="38"/>
      <c r="AD2126" s="38"/>
      <c r="AE2126" s="38"/>
      <c r="AF2126" s="38"/>
      <c r="AG2126" s="38"/>
      <c r="AH2126" s="38"/>
      <c r="AI2126" s="38"/>
      <c r="AJ2126" s="38"/>
      <c r="AK2126" s="38"/>
      <c r="AL2126" s="38"/>
      <c r="AM2126" s="38"/>
      <c r="AN2126" s="38"/>
      <c r="AO2126" s="38"/>
      <c r="AP2126" s="38"/>
      <c r="AQ2126" s="38"/>
      <c r="AR2126" s="38"/>
      <c r="AS2126" s="38"/>
      <c r="AT2126" s="38"/>
      <c r="AU2126" s="38"/>
      <c r="AV2126" s="38"/>
      <c r="AW2126" s="38"/>
      <c r="AX2126" s="38"/>
      <c r="AY2126" s="38"/>
      <c r="AZ2126" s="38"/>
      <c r="BA2126" s="38"/>
      <c r="BB2126" s="38"/>
      <c r="BC2126" s="38"/>
      <c r="BD2126" s="38"/>
      <c r="BE2126" s="38"/>
      <c r="BF2126" s="38"/>
      <c r="BG2126" s="38"/>
      <c r="BH2126" s="38"/>
      <c r="BI2126" s="38"/>
      <c r="BJ2126" s="38"/>
      <c r="BK2126" s="38"/>
      <c r="BL2126" s="38"/>
      <c r="BM2126" s="38"/>
      <c r="BN2126" s="38"/>
      <c r="BO2126" s="38"/>
      <c r="BP2126" s="38"/>
      <c r="BQ2126" s="38"/>
    </row>
    <row r="2127">
      <c r="A2127" s="58" t="s">
        <v>5797</v>
      </c>
      <c r="B2127" s="59">
        <v>43446.0</v>
      </c>
      <c r="C2127" s="59">
        <v>43441.0</v>
      </c>
      <c r="D2127" s="60" t="s">
        <v>5793</v>
      </c>
      <c r="E2127" s="58" t="s">
        <v>41</v>
      </c>
      <c r="F2127" s="58">
        <v>1.0</v>
      </c>
      <c r="G2127" s="58">
        <v>1.0</v>
      </c>
      <c r="H2127" s="33">
        <f t="shared" si="331"/>
        <v>1</v>
      </c>
      <c r="I2127" s="58" t="s">
        <v>33</v>
      </c>
      <c r="J2127" s="58" t="s">
        <v>115</v>
      </c>
      <c r="K2127" s="58">
        <v>3.0</v>
      </c>
      <c r="L2127" s="58" t="s">
        <v>5798</v>
      </c>
      <c r="M2127" s="61" t="s">
        <v>5799</v>
      </c>
      <c r="N2127" s="77"/>
      <c r="O2127" s="83" t="str">
        <f>hyperlink("https://bad-boys.us/?q=ED-PA/2:18-cr-00595", "ED-PA 2:18-cr-00595")</f>
        <v>ED-PA 2:18-cr-00595</v>
      </c>
      <c r="P2127" s="88" t="s">
        <v>5800</v>
      </c>
      <c r="Q2127" s="58">
        <v>1.0</v>
      </c>
      <c r="R2127" s="62"/>
      <c r="S2127" s="37" t="str">
        <f>IFERROR(__xludf.DUMMYFUNCTION("if(not(iserror(index(split(C2127, "" ""),2))), index(split(C2127, "" ""),1),"""")"),"December")</f>
        <v>December</v>
      </c>
      <c r="T2127" s="38">
        <f>IFERROR(__xludf.DUMMYFUNCTION("if(S2127="""",C2127,if(not(iserror(index(split(C2127, "" ""),3))), index(split(C2127, "" ""),3),index(split(C2127, "" ""),2)))"),2018.0)</f>
        <v>2018</v>
      </c>
      <c r="U2127" s="38" t="b">
        <f t="shared" si="330"/>
        <v>0</v>
      </c>
      <c r="V2127" s="38"/>
      <c r="W2127" s="40"/>
      <c r="X2127" s="40"/>
      <c r="Y2127" s="40"/>
      <c r="Z2127" s="38"/>
      <c r="AA2127" s="38"/>
      <c r="AB2127" s="38"/>
      <c r="AC2127" s="38"/>
      <c r="AD2127" s="38"/>
      <c r="AE2127" s="38"/>
      <c r="AF2127" s="38"/>
      <c r="AG2127" s="38"/>
      <c r="AH2127" s="38"/>
      <c r="AI2127" s="38"/>
      <c r="AJ2127" s="38"/>
      <c r="AK2127" s="38"/>
      <c r="AL2127" s="38"/>
      <c r="AM2127" s="38"/>
      <c r="AN2127" s="38"/>
      <c r="AO2127" s="38"/>
      <c r="AP2127" s="38"/>
      <c r="AQ2127" s="38"/>
      <c r="AR2127" s="38"/>
      <c r="AS2127" s="38"/>
      <c r="AT2127" s="38"/>
      <c r="AU2127" s="38"/>
      <c r="AV2127" s="38"/>
      <c r="AW2127" s="38"/>
      <c r="AX2127" s="38"/>
      <c r="AY2127" s="38"/>
      <c r="AZ2127" s="38"/>
      <c r="BA2127" s="38"/>
      <c r="BB2127" s="38"/>
      <c r="BC2127" s="38"/>
      <c r="BD2127" s="38"/>
      <c r="BE2127" s="38"/>
      <c r="BF2127" s="38"/>
      <c r="BG2127" s="38"/>
      <c r="BH2127" s="38"/>
      <c r="BI2127" s="38"/>
      <c r="BJ2127" s="38"/>
      <c r="BK2127" s="38"/>
      <c r="BL2127" s="38"/>
      <c r="BM2127" s="38"/>
      <c r="BN2127" s="38"/>
      <c r="BO2127" s="38"/>
      <c r="BP2127" s="38"/>
      <c r="BQ2127" s="38"/>
    </row>
    <row r="2128">
      <c r="A2128" s="58" t="s">
        <v>239</v>
      </c>
      <c r="B2128" s="59">
        <v>43445.0</v>
      </c>
      <c r="C2128" s="59">
        <v>43443.0</v>
      </c>
      <c r="D2128" s="60" t="s">
        <v>5801</v>
      </c>
      <c r="E2128" s="58" t="s">
        <v>41</v>
      </c>
      <c r="F2128" s="58">
        <v>2.0</v>
      </c>
      <c r="G2128" s="58">
        <v>6.0</v>
      </c>
      <c r="H2128" s="33">
        <f t="shared" si="331"/>
        <v>6</v>
      </c>
      <c r="I2128" s="58" t="s">
        <v>33</v>
      </c>
      <c r="J2128" s="58" t="s">
        <v>241</v>
      </c>
      <c r="K2128" s="58">
        <v>1.0</v>
      </c>
      <c r="L2128" s="58" t="s">
        <v>194</v>
      </c>
      <c r="M2128" s="61" t="s">
        <v>5802</v>
      </c>
      <c r="N2128" s="77"/>
      <c r="O2128" s="58"/>
      <c r="P2128" s="58"/>
      <c r="Q2128" s="84"/>
      <c r="R2128" s="62"/>
      <c r="S2128" s="37" t="str">
        <f>IFERROR(__xludf.DUMMYFUNCTION("if(not(iserror(index(split(C2128, "" ""),2))), index(split(C2128, "" ""),1),"""")"),"December")</f>
        <v>December</v>
      </c>
      <c r="T2128" s="38">
        <f>IFERROR(__xludf.DUMMYFUNCTION("if(S2128="""",C2128,if(not(iserror(index(split(C2128, "" ""),3))), index(split(C2128, "" ""),3),index(split(C2128, "" ""),2)))"),2018.0)</f>
        <v>2018</v>
      </c>
      <c r="U2128" s="38" t="b">
        <f t="shared" si="330"/>
        <v>1</v>
      </c>
      <c r="V2128" s="38"/>
      <c r="W2128" s="40"/>
      <c r="X2128" s="40"/>
      <c r="Y2128" s="40"/>
      <c r="Z2128" s="38"/>
      <c r="AA2128" s="38"/>
      <c r="AB2128" s="38"/>
      <c r="AC2128" s="38"/>
      <c r="AD2128" s="38"/>
      <c r="AE2128" s="38"/>
      <c r="AF2128" s="38"/>
      <c r="AG2128" s="38"/>
      <c r="AH2128" s="38"/>
      <c r="AI2128" s="38"/>
      <c r="AJ2128" s="38"/>
      <c r="AK2128" s="38"/>
      <c r="AL2128" s="38"/>
      <c r="AM2128" s="38"/>
      <c r="AN2128" s="38"/>
      <c r="AO2128" s="38"/>
      <c r="AP2128" s="38"/>
      <c r="AQ2128" s="38"/>
      <c r="AR2128" s="38"/>
      <c r="AS2128" s="38"/>
      <c r="AT2128" s="38"/>
      <c r="AU2128" s="38"/>
      <c r="AV2128" s="38"/>
      <c r="AW2128" s="38"/>
      <c r="AX2128" s="38"/>
      <c r="AY2128" s="38"/>
      <c r="AZ2128" s="38"/>
      <c r="BA2128" s="38"/>
      <c r="BB2128" s="38"/>
      <c r="BC2128" s="38"/>
      <c r="BD2128" s="38"/>
      <c r="BE2128" s="38"/>
      <c r="BF2128" s="38"/>
      <c r="BG2128" s="38"/>
      <c r="BH2128" s="38"/>
      <c r="BI2128" s="38"/>
      <c r="BJ2128" s="38"/>
      <c r="BK2128" s="38"/>
      <c r="BL2128" s="38"/>
      <c r="BM2128" s="38"/>
      <c r="BN2128" s="38"/>
      <c r="BO2128" s="38"/>
      <c r="BP2128" s="38"/>
      <c r="BQ2128" s="38"/>
    </row>
    <row r="2129">
      <c r="A2129" s="58" t="s">
        <v>239</v>
      </c>
      <c r="B2129" s="59">
        <v>43445.0</v>
      </c>
      <c r="C2129" s="59">
        <v>43443.0</v>
      </c>
      <c r="D2129" s="60" t="s">
        <v>5801</v>
      </c>
      <c r="E2129" s="58" t="s">
        <v>41</v>
      </c>
      <c r="F2129" s="58">
        <v>1.0</v>
      </c>
      <c r="G2129" s="58">
        <v>6.0</v>
      </c>
      <c r="H2129" s="33">
        <f t="shared" si="331"/>
        <v>6</v>
      </c>
      <c r="I2129" s="58" t="s">
        <v>33</v>
      </c>
      <c r="J2129" s="58" t="s">
        <v>241</v>
      </c>
      <c r="K2129" s="58">
        <v>1.0</v>
      </c>
      <c r="L2129" s="58" t="s">
        <v>194</v>
      </c>
      <c r="M2129" s="61" t="s">
        <v>5802</v>
      </c>
      <c r="N2129" s="77"/>
      <c r="O2129" s="58"/>
      <c r="P2129" s="58"/>
      <c r="Q2129" s="84"/>
      <c r="R2129" s="62"/>
      <c r="S2129" s="37" t="str">
        <f>IFERROR(__xludf.DUMMYFUNCTION("if(not(iserror(index(split(C2129, "" ""),2))), index(split(C2129, "" ""),1),"""")"),"December")</f>
        <v>December</v>
      </c>
      <c r="T2129" s="38">
        <f>IFERROR(__xludf.DUMMYFUNCTION("if(S2129="""",C2129,if(not(iserror(index(split(C2129, "" ""),3))), index(split(C2129, "" ""),3),index(split(C2129, "" ""),2)))"),2018.0)</f>
        <v>2018</v>
      </c>
      <c r="U2129" s="38" t="b">
        <f t="shared" si="330"/>
        <v>1</v>
      </c>
      <c r="V2129" s="38"/>
      <c r="W2129" s="40"/>
      <c r="X2129" s="40"/>
      <c r="Y2129" s="40"/>
      <c r="Z2129" s="38"/>
      <c r="AA2129" s="38"/>
      <c r="AB2129" s="38"/>
      <c r="AC2129" s="38"/>
      <c r="AD2129" s="38"/>
      <c r="AE2129" s="38"/>
      <c r="AF2129" s="38"/>
      <c r="AG2129" s="38"/>
      <c r="AH2129" s="38"/>
      <c r="AI2129" s="38"/>
      <c r="AJ2129" s="38"/>
      <c r="AK2129" s="38"/>
      <c r="AL2129" s="38"/>
      <c r="AM2129" s="38"/>
      <c r="AN2129" s="38"/>
      <c r="AO2129" s="38"/>
      <c r="AP2129" s="38"/>
      <c r="AQ2129" s="38"/>
      <c r="AR2129" s="38"/>
      <c r="AS2129" s="38"/>
      <c r="AT2129" s="38"/>
      <c r="AU2129" s="38"/>
      <c r="AV2129" s="38"/>
      <c r="AW2129" s="38"/>
      <c r="AX2129" s="38"/>
      <c r="AY2129" s="38"/>
      <c r="AZ2129" s="38"/>
      <c r="BA2129" s="38"/>
      <c r="BB2129" s="38"/>
      <c r="BC2129" s="38"/>
      <c r="BD2129" s="38"/>
      <c r="BE2129" s="38"/>
      <c r="BF2129" s="38"/>
      <c r="BG2129" s="38"/>
      <c r="BH2129" s="38"/>
      <c r="BI2129" s="38"/>
      <c r="BJ2129" s="38"/>
      <c r="BK2129" s="38"/>
      <c r="BL2129" s="38"/>
      <c r="BM2129" s="38"/>
      <c r="BN2129" s="38"/>
      <c r="BO2129" s="38"/>
      <c r="BP2129" s="38"/>
      <c r="BQ2129" s="38"/>
    </row>
    <row r="2130">
      <c r="A2130" s="58" t="s">
        <v>5803</v>
      </c>
      <c r="B2130" s="59">
        <v>43447.0</v>
      </c>
      <c r="C2130" s="59">
        <v>43446.0</v>
      </c>
      <c r="D2130" s="60" t="s">
        <v>5804</v>
      </c>
      <c r="E2130" s="58" t="s">
        <v>41</v>
      </c>
      <c r="F2130" s="58">
        <v>1.0</v>
      </c>
      <c r="G2130" s="58" t="s">
        <v>32</v>
      </c>
      <c r="H2130" s="33">
        <f t="shared" si="331"/>
        <v>1</v>
      </c>
      <c r="I2130" s="58" t="s">
        <v>33</v>
      </c>
      <c r="J2130" s="58" t="s">
        <v>162</v>
      </c>
      <c r="K2130" s="58">
        <v>1.0</v>
      </c>
      <c r="L2130" s="58" t="s">
        <v>69</v>
      </c>
      <c r="M2130" s="61" t="s">
        <v>5805</v>
      </c>
      <c r="N2130" s="61" t="s">
        <v>5806</v>
      </c>
      <c r="O2130" s="83" t="str">
        <f>hyperlink("https://bad-boys.us/?q=WD-MO/4:18-cr-00342", "WD-MO 4:18-cr-00342")</f>
        <v>WD-MO 4:18-cr-00342</v>
      </c>
      <c r="P2130" s="88" t="s">
        <v>5807</v>
      </c>
      <c r="Q2130" s="58">
        <v>1.0</v>
      </c>
      <c r="R2130" s="62"/>
      <c r="S2130" s="37" t="str">
        <f>IFERROR(__xludf.DUMMYFUNCTION("if(not(iserror(index(split(C2130, "" ""),2))), index(split(C2130, "" ""),1),"""")"),"December")</f>
        <v>December</v>
      </c>
      <c r="T2130" s="38">
        <f>IFERROR(__xludf.DUMMYFUNCTION("if(S2130="""",C2130,if(not(iserror(index(split(C2130, "" ""),3))), index(split(C2130, "" ""),3),index(split(C2130, "" ""),2)))"),2018.0)</f>
        <v>2018</v>
      </c>
      <c r="U2130" s="38" t="b">
        <f t="shared" si="330"/>
        <v>0</v>
      </c>
      <c r="V2130" s="38"/>
      <c r="W2130" s="40"/>
      <c r="X2130" s="40"/>
      <c r="Y2130" s="40"/>
      <c r="Z2130" s="38"/>
      <c r="AA2130" s="38"/>
      <c r="AB2130" s="38"/>
      <c r="AC2130" s="38"/>
      <c r="AD2130" s="38"/>
      <c r="AE2130" s="38"/>
      <c r="AF2130" s="38"/>
      <c r="AG2130" s="38"/>
      <c r="AH2130" s="38"/>
      <c r="AI2130" s="38"/>
      <c r="AJ2130" s="38"/>
      <c r="AK2130" s="38"/>
      <c r="AL2130" s="38"/>
      <c r="AM2130" s="38"/>
      <c r="AN2130" s="38"/>
      <c r="AO2130" s="38"/>
      <c r="AP2130" s="38"/>
      <c r="AQ2130" s="38"/>
      <c r="AR2130" s="38"/>
      <c r="AS2130" s="38"/>
      <c r="AT2130" s="38"/>
      <c r="AU2130" s="38"/>
      <c r="AV2130" s="38"/>
      <c r="AW2130" s="38"/>
      <c r="AX2130" s="38"/>
      <c r="AY2130" s="38"/>
      <c r="AZ2130" s="38"/>
      <c r="BA2130" s="38"/>
      <c r="BB2130" s="38"/>
      <c r="BC2130" s="38"/>
      <c r="BD2130" s="38"/>
      <c r="BE2130" s="38"/>
      <c r="BF2130" s="38"/>
      <c r="BG2130" s="38"/>
      <c r="BH2130" s="38"/>
      <c r="BI2130" s="38"/>
      <c r="BJ2130" s="38"/>
      <c r="BK2130" s="38"/>
      <c r="BL2130" s="38"/>
      <c r="BM2130" s="38"/>
      <c r="BN2130" s="38"/>
      <c r="BO2130" s="38"/>
      <c r="BP2130" s="38"/>
      <c r="BQ2130" s="38"/>
    </row>
    <row r="2131">
      <c r="A2131" s="58" t="s">
        <v>5808</v>
      </c>
      <c r="B2131" s="59">
        <v>43448.0</v>
      </c>
      <c r="C2131" s="59">
        <v>43446.0</v>
      </c>
      <c r="D2131" s="60" t="s">
        <v>5804</v>
      </c>
      <c r="E2131" s="58" t="s">
        <v>41</v>
      </c>
      <c r="F2131" s="58">
        <v>1.0</v>
      </c>
      <c r="G2131" s="58" t="s">
        <v>32</v>
      </c>
      <c r="H2131" s="33">
        <f t="shared" si="331"/>
        <v>1</v>
      </c>
      <c r="I2131" s="58" t="s">
        <v>33</v>
      </c>
      <c r="J2131" s="58" t="s">
        <v>93</v>
      </c>
      <c r="K2131" s="58">
        <v>1.0</v>
      </c>
      <c r="L2131" s="58" t="s">
        <v>119</v>
      </c>
      <c r="M2131" s="80" t="s">
        <v>5809</v>
      </c>
      <c r="N2131" s="77"/>
      <c r="O2131" s="83" t="str">
        <f>hyperlink("https://bad-boys.us/?q=ND-NY/1:18-mj-00750", "ND-NY 1:18-mj-00750")</f>
        <v>ND-NY 1:18-mj-00750</v>
      </c>
      <c r="P2131" s="88" t="s">
        <v>5810</v>
      </c>
      <c r="Q2131" s="84">
        <v>1.0</v>
      </c>
      <c r="R2131" s="62"/>
      <c r="S2131" s="37" t="str">
        <f>IFERROR(__xludf.DUMMYFUNCTION("if(not(iserror(index(split(C2131, "" ""),2))), index(split(C2131, "" ""),1),"""")"),"December")</f>
        <v>December</v>
      </c>
      <c r="T2131" s="38">
        <f>IFERROR(__xludf.DUMMYFUNCTION("if(S2131="""",C2131,if(not(iserror(index(split(C2131, "" ""),3))), index(split(C2131, "" ""),3),index(split(C2131, "" ""),2)))"),2018.0)</f>
        <v>2018</v>
      </c>
      <c r="U2131" s="38" t="b">
        <f t="shared" si="330"/>
        <v>0</v>
      </c>
      <c r="V2131" s="38"/>
      <c r="W2131" s="40"/>
      <c r="X2131" s="40"/>
      <c r="Y2131" s="40"/>
      <c r="Z2131" s="38"/>
      <c r="AA2131" s="38"/>
      <c r="AB2131" s="38"/>
      <c r="AC2131" s="38"/>
      <c r="AD2131" s="38"/>
      <c r="AE2131" s="38"/>
      <c r="AF2131" s="38"/>
      <c r="AG2131" s="38"/>
      <c r="AH2131" s="38"/>
      <c r="AI2131" s="38"/>
      <c r="AJ2131" s="38"/>
      <c r="AK2131" s="38"/>
      <c r="AL2131" s="38"/>
      <c r="AM2131" s="38"/>
      <c r="AN2131" s="38"/>
      <c r="AO2131" s="38"/>
      <c r="AP2131" s="38"/>
      <c r="AQ2131" s="38"/>
      <c r="AR2131" s="38"/>
      <c r="AS2131" s="38"/>
      <c r="AT2131" s="38"/>
      <c r="AU2131" s="38"/>
      <c r="AV2131" s="38"/>
      <c r="AW2131" s="38"/>
      <c r="AX2131" s="38"/>
      <c r="AY2131" s="38"/>
      <c r="AZ2131" s="38"/>
      <c r="BA2131" s="38"/>
      <c r="BB2131" s="38"/>
      <c r="BC2131" s="38"/>
      <c r="BD2131" s="38"/>
      <c r="BE2131" s="38"/>
      <c r="BF2131" s="38"/>
      <c r="BG2131" s="38"/>
      <c r="BH2131" s="38"/>
      <c r="BI2131" s="38"/>
      <c r="BJ2131" s="38"/>
      <c r="BK2131" s="38"/>
      <c r="BL2131" s="38"/>
      <c r="BM2131" s="38"/>
      <c r="BN2131" s="38"/>
      <c r="BO2131" s="38"/>
      <c r="BP2131" s="38"/>
      <c r="BQ2131" s="38"/>
    </row>
    <row r="2132">
      <c r="A2132" s="207" t="s">
        <v>5811</v>
      </c>
      <c r="B2132" s="59"/>
      <c r="C2132" s="59">
        <v>43446.0</v>
      </c>
      <c r="D2132" s="60"/>
      <c r="E2132" s="58" t="s">
        <v>41</v>
      </c>
      <c r="F2132" s="58">
        <v>1.0</v>
      </c>
      <c r="G2132" s="58" t="s">
        <v>32</v>
      </c>
      <c r="H2132" s="43">
        <v>1.0</v>
      </c>
      <c r="I2132" s="58" t="s">
        <v>33</v>
      </c>
      <c r="J2132" s="58" t="s">
        <v>47</v>
      </c>
      <c r="K2132" s="58"/>
      <c r="L2132" s="58" t="s">
        <v>119</v>
      </c>
      <c r="M2132" s="266" t="s">
        <v>5812</v>
      </c>
      <c r="N2132" s="80"/>
      <c r="O2132" s="83" t="str">
        <f>hyperlink("https://bad-boys.us/?q=MD-FL/8:18-cr-00587", "MD-FL 8:18-cr-00587")</f>
        <v>MD-FL 8:18-cr-00587</v>
      </c>
      <c r="P2132" s="88" t="s">
        <v>5813</v>
      </c>
      <c r="Q2132" s="58">
        <v>1.0</v>
      </c>
      <c r="R2132" s="62"/>
      <c r="S2132" s="37"/>
      <c r="T2132" s="38"/>
      <c r="U2132" s="38"/>
      <c r="V2132" s="38" t="s">
        <v>33</v>
      </c>
      <c r="W2132" s="40"/>
      <c r="X2132" s="40"/>
      <c r="Y2132" s="40"/>
      <c r="Z2132" s="38"/>
      <c r="AA2132" s="38"/>
      <c r="AB2132" s="38"/>
      <c r="AC2132" s="38"/>
      <c r="AD2132" s="38"/>
      <c r="AE2132" s="38"/>
      <c r="AF2132" s="38"/>
      <c r="AG2132" s="38"/>
      <c r="AH2132" s="38"/>
      <c r="AI2132" s="38"/>
      <c r="AJ2132" s="38"/>
      <c r="AK2132" s="38"/>
      <c r="AL2132" s="38"/>
      <c r="AM2132" s="38"/>
      <c r="AN2132" s="38"/>
      <c r="AO2132" s="38"/>
      <c r="AP2132" s="38"/>
      <c r="AQ2132" s="38"/>
      <c r="AR2132" s="38"/>
      <c r="AS2132" s="38"/>
      <c r="AT2132" s="38"/>
      <c r="AU2132" s="38"/>
      <c r="AV2132" s="38"/>
      <c r="AW2132" s="38"/>
      <c r="AX2132" s="38"/>
      <c r="AY2132" s="38"/>
      <c r="AZ2132" s="38"/>
      <c r="BA2132" s="38"/>
      <c r="BB2132" s="38"/>
      <c r="BC2132" s="38"/>
      <c r="BD2132" s="38"/>
      <c r="BE2132" s="38"/>
      <c r="BF2132" s="38"/>
      <c r="BG2132" s="38"/>
      <c r="BH2132" s="38"/>
      <c r="BI2132" s="38"/>
      <c r="BJ2132" s="38"/>
      <c r="BK2132" s="38"/>
      <c r="BL2132" s="38"/>
      <c r="BM2132" s="38"/>
      <c r="BN2132" s="38"/>
      <c r="BO2132" s="38"/>
      <c r="BP2132" s="38"/>
      <c r="BQ2132" s="38"/>
    </row>
    <row r="2133">
      <c r="A2133" s="207" t="s">
        <v>5814</v>
      </c>
      <c r="B2133" s="59">
        <v>43447.0</v>
      </c>
      <c r="C2133" s="59">
        <v>43447.0</v>
      </c>
      <c r="D2133" s="60" t="s">
        <v>5815</v>
      </c>
      <c r="E2133" s="58" t="s">
        <v>41</v>
      </c>
      <c r="F2133" s="58">
        <v>2.0</v>
      </c>
      <c r="G2133" s="58" t="s">
        <v>32</v>
      </c>
      <c r="H2133" s="33">
        <f>if(G2133="Unknown",1,G2133)</f>
        <v>1</v>
      </c>
      <c r="I2133" s="58" t="s">
        <v>33</v>
      </c>
      <c r="J2133" s="58" t="s">
        <v>140</v>
      </c>
      <c r="K2133" s="58">
        <v>11.0</v>
      </c>
      <c r="L2133" s="58" t="s">
        <v>141</v>
      </c>
      <c r="M2133" s="61" t="s">
        <v>5816</v>
      </c>
      <c r="N2133" s="80"/>
      <c r="O2133" s="83" t="str">
        <f>hyperlink("https://bad-boys.us/?q=D-ME/2:18-cr-00178", "D-ME 2:18-cr-00178")</f>
        <v>D-ME 2:18-cr-00178</v>
      </c>
      <c r="P2133" s="88" t="s">
        <v>5817</v>
      </c>
      <c r="Q2133" s="58">
        <v>1.0</v>
      </c>
      <c r="R2133" s="62"/>
      <c r="S2133" s="37" t="str">
        <f>IFERROR(__xludf.DUMMYFUNCTION("if(not(iserror(index(split(C2133, "" ""),2))), index(split(C2133, "" ""),1),"""")"),"December")</f>
        <v>December</v>
      </c>
      <c r="T2133" s="38">
        <f>IFERROR(__xludf.DUMMYFUNCTION("if(S2133="""",C2133,if(not(iserror(index(split(C2133, "" ""),3))), index(split(C2133, "" ""),3),index(split(C2133, "" ""),2)))"),2018.0)</f>
        <v>2018</v>
      </c>
      <c r="U2133" s="38" t="b">
        <f t="shared" ref="U2133:U2134" si="332">countif(A$4:A4658, A2133)&gt;1</f>
        <v>0</v>
      </c>
      <c r="V2133" s="38"/>
      <c r="W2133" s="40"/>
      <c r="X2133" s="40"/>
      <c r="Y2133" s="40"/>
      <c r="Z2133" s="38"/>
      <c r="AA2133" s="38"/>
      <c r="AB2133" s="38"/>
      <c r="AC2133" s="38"/>
      <c r="AD2133" s="38"/>
      <c r="AE2133" s="38"/>
      <c r="AF2133" s="38"/>
      <c r="AG2133" s="38"/>
      <c r="AH2133" s="38"/>
      <c r="AI2133" s="38"/>
      <c r="AJ2133" s="38"/>
      <c r="AK2133" s="38"/>
      <c r="AL2133" s="38"/>
      <c r="AM2133" s="38"/>
      <c r="AN2133" s="38"/>
      <c r="AO2133" s="38"/>
      <c r="AP2133" s="38"/>
      <c r="AQ2133" s="38"/>
      <c r="AR2133" s="38"/>
      <c r="AS2133" s="38"/>
      <c r="AT2133" s="38"/>
      <c r="AU2133" s="38"/>
      <c r="AV2133" s="38"/>
      <c r="AW2133" s="38"/>
      <c r="AX2133" s="38"/>
      <c r="AY2133" s="38"/>
      <c r="AZ2133" s="38"/>
      <c r="BA2133" s="38"/>
      <c r="BB2133" s="38"/>
      <c r="BC2133" s="38"/>
      <c r="BD2133" s="38"/>
      <c r="BE2133" s="38"/>
      <c r="BF2133" s="38"/>
      <c r="BG2133" s="38"/>
      <c r="BH2133" s="38"/>
      <c r="BI2133" s="38"/>
      <c r="BJ2133" s="38"/>
      <c r="BK2133" s="38"/>
      <c r="BL2133" s="38"/>
      <c r="BM2133" s="38"/>
      <c r="BN2133" s="38"/>
      <c r="BO2133" s="38"/>
      <c r="BP2133" s="38"/>
      <c r="BQ2133" s="38"/>
    </row>
    <row r="2134">
      <c r="A2134" s="58" t="s">
        <v>5818</v>
      </c>
      <c r="B2134" s="59"/>
      <c r="C2134" s="59">
        <v>43447.0</v>
      </c>
      <c r="D2134" s="60"/>
      <c r="E2134" s="58" t="s">
        <v>41</v>
      </c>
      <c r="F2134" s="58">
        <v>1.0</v>
      </c>
      <c r="G2134" s="58" t="s">
        <v>32</v>
      </c>
      <c r="H2134" s="43">
        <v>1.0</v>
      </c>
      <c r="I2134" s="58" t="s">
        <v>33</v>
      </c>
      <c r="J2134" s="58" t="s">
        <v>279</v>
      </c>
      <c r="K2134" s="58"/>
      <c r="L2134" s="58" t="s">
        <v>119</v>
      </c>
      <c r="M2134" s="61" t="s">
        <v>5819</v>
      </c>
      <c r="N2134" s="77"/>
      <c r="O2134" s="88" t="str">
        <f>hyperlink("https://bad-boys.us/?q=ED-MO/4:18-cr-01019", "ED-MO 4:18-cr-01019")</f>
        <v>ED-MO 4:18-cr-01019</v>
      </c>
      <c r="P2134" s="88" t="s">
        <v>5820</v>
      </c>
      <c r="Q2134" s="58">
        <v>1.0</v>
      </c>
      <c r="R2134" s="62"/>
      <c r="S2134" s="37"/>
      <c r="T2134" s="38"/>
      <c r="U2134" s="38" t="b">
        <f t="shared" si="332"/>
        <v>0</v>
      </c>
      <c r="V2134" s="38" t="s">
        <v>33</v>
      </c>
      <c r="W2134" s="40"/>
      <c r="X2134" s="40"/>
      <c r="Y2134" s="40"/>
      <c r="Z2134" s="38"/>
      <c r="AA2134" s="38"/>
      <c r="AB2134" s="38"/>
      <c r="AC2134" s="38"/>
      <c r="AD2134" s="38"/>
      <c r="AE2134" s="38"/>
      <c r="AF2134" s="38"/>
      <c r="AG2134" s="38"/>
      <c r="AH2134" s="38"/>
      <c r="AI2134" s="38"/>
      <c r="AJ2134" s="38"/>
      <c r="AK2134" s="38"/>
      <c r="AL2134" s="38"/>
      <c r="AM2134" s="38"/>
      <c r="AN2134" s="38"/>
      <c r="AO2134" s="38"/>
      <c r="AP2134" s="38"/>
      <c r="AQ2134" s="38"/>
      <c r="AR2134" s="38"/>
      <c r="AS2134" s="38"/>
      <c r="AT2134" s="38"/>
      <c r="AU2134" s="38"/>
      <c r="AV2134" s="38"/>
      <c r="AW2134" s="38"/>
      <c r="AX2134" s="38"/>
      <c r="AY2134" s="38"/>
      <c r="AZ2134" s="38"/>
      <c r="BA2134" s="38"/>
      <c r="BB2134" s="38"/>
      <c r="BC2134" s="38"/>
      <c r="BD2134" s="38"/>
      <c r="BE2134" s="38"/>
      <c r="BF2134" s="38"/>
      <c r="BG2134" s="38"/>
      <c r="BH2134" s="38"/>
      <c r="BI2134" s="38"/>
      <c r="BJ2134" s="38"/>
      <c r="BK2134" s="38"/>
      <c r="BL2134" s="38"/>
      <c r="BM2134" s="38"/>
      <c r="BN2134" s="38"/>
      <c r="BO2134" s="38"/>
      <c r="BP2134" s="38"/>
      <c r="BQ2134" s="38"/>
    </row>
    <row r="2135">
      <c r="A2135" s="58" t="s">
        <v>5821</v>
      </c>
      <c r="B2135" s="59"/>
      <c r="C2135" s="59">
        <v>43447.0</v>
      </c>
      <c r="D2135" s="60"/>
      <c r="E2135" s="58" t="s">
        <v>41</v>
      </c>
      <c r="F2135" s="58">
        <v>1.0</v>
      </c>
      <c r="G2135" s="58" t="s">
        <v>32</v>
      </c>
      <c r="H2135" s="43">
        <v>1.0</v>
      </c>
      <c r="I2135" s="58" t="s">
        <v>33</v>
      </c>
      <c r="J2135" s="58" t="s">
        <v>111</v>
      </c>
      <c r="K2135" s="58"/>
      <c r="L2135" s="58" t="s">
        <v>5822</v>
      </c>
      <c r="M2135" s="61" t="s">
        <v>5823</v>
      </c>
      <c r="N2135" s="77"/>
      <c r="O2135" s="58"/>
      <c r="P2135" s="58"/>
      <c r="Q2135" s="58">
        <v>1.0</v>
      </c>
      <c r="R2135" s="62"/>
      <c r="S2135" s="37"/>
      <c r="T2135" s="38"/>
      <c r="U2135" s="38"/>
      <c r="V2135" s="38" t="s">
        <v>33</v>
      </c>
      <c r="W2135" s="40"/>
      <c r="X2135" s="40"/>
      <c r="Y2135" s="40"/>
      <c r="Z2135" s="38"/>
      <c r="AA2135" s="38"/>
      <c r="AB2135" s="38"/>
      <c r="AC2135" s="38"/>
      <c r="AD2135" s="38"/>
      <c r="AE2135" s="38"/>
      <c r="AF2135" s="38"/>
      <c r="AG2135" s="38"/>
      <c r="AH2135" s="38"/>
      <c r="AI2135" s="38"/>
      <c r="AJ2135" s="38"/>
      <c r="AK2135" s="38"/>
      <c r="AL2135" s="38"/>
      <c r="AM2135" s="38"/>
      <c r="AN2135" s="38"/>
      <c r="AO2135" s="38"/>
      <c r="AP2135" s="38"/>
      <c r="AQ2135" s="38"/>
      <c r="AR2135" s="38"/>
      <c r="AS2135" s="38"/>
      <c r="AT2135" s="38"/>
      <c r="AU2135" s="38"/>
      <c r="AV2135" s="38"/>
      <c r="AW2135" s="38"/>
      <c r="AX2135" s="38"/>
      <c r="AY2135" s="38"/>
      <c r="AZ2135" s="38"/>
      <c r="BA2135" s="38"/>
      <c r="BB2135" s="38"/>
      <c r="BC2135" s="38"/>
      <c r="BD2135" s="38"/>
      <c r="BE2135" s="38"/>
      <c r="BF2135" s="38"/>
      <c r="BG2135" s="38"/>
      <c r="BH2135" s="38"/>
      <c r="BI2135" s="38"/>
      <c r="BJ2135" s="38"/>
      <c r="BK2135" s="38"/>
      <c r="BL2135" s="38"/>
      <c r="BM2135" s="38"/>
      <c r="BN2135" s="38"/>
      <c r="BO2135" s="38"/>
      <c r="BP2135" s="38"/>
      <c r="BQ2135" s="38"/>
    </row>
    <row r="2136">
      <c r="A2136" s="58" t="s">
        <v>5824</v>
      </c>
      <c r="B2136" s="59">
        <v>43451.0</v>
      </c>
      <c r="C2136" s="59">
        <v>43448.0</v>
      </c>
      <c r="D2136" s="60" t="s">
        <v>5825</v>
      </c>
      <c r="E2136" s="58" t="s">
        <v>41</v>
      </c>
      <c r="F2136" s="58">
        <v>1.0</v>
      </c>
      <c r="G2136" s="58" t="s">
        <v>32</v>
      </c>
      <c r="H2136" s="33">
        <f t="shared" ref="H2136:H2137" si="333">if(G2136="Unknown",1,G2136)</f>
        <v>1</v>
      </c>
      <c r="I2136" s="58" t="s">
        <v>33</v>
      </c>
      <c r="J2136" s="58" t="s">
        <v>228</v>
      </c>
      <c r="K2136" s="58">
        <v>2.0</v>
      </c>
      <c r="L2136" s="58" t="s">
        <v>807</v>
      </c>
      <c r="M2136" s="61" t="s">
        <v>5826</v>
      </c>
      <c r="N2136" s="77"/>
      <c r="O2136" s="58"/>
      <c r="P2136" s="58"/>
      <c r="Q2136" s="58"/>
      <c r="R2136" s="62"/>
      <c r="S2136" s="37" t="str">
        <f>IFERROR(__xludf.DUMMYFUNCTION("if(not(iserror(index(split(C2136, "" ""),2))), index(split(C2136, "" ""),1),"""")"),"December")</f>
        <v>December</v>
      </c>
      <c r="T2136" s="38">
        <f>IFERROR(__xludf.DUMMYFUNCTION("if(S2136="""",C2136,if(not(iserror(index(split(C2136, "" ""),3))), index(split(C2136, "" ""),3),index(split(C2136, "" ""),2)))"),2018.0)</f>
        <v>2018</v>
      </c>
      <c r="U2136" s="38" t="b">
        <f t="shared" ref="U2136:U2138" si="334">countif(A$4:A4658, A2136)&gt;1</f>
        <v>0</v>
      </c>
      <c r="V2136" s="38"/>
      <c r="W2136" s="40"/>
      <c r="X2136" s="40"/>
      <c r="Y2136" s="40"/>
      <c r="Z2136" s="38"/>
      <c r="AA2136" s="38"/>
      <c r="AB2136" s="38"/>
      <c r="AC2136" s="38"/>
      <c r="AD2136" s="38"/>
      <c r="AE2136" s="38"/>
      <c r="AF2136" s="38"/>
      <c r="AG2136" s="38"/>
      <c r="AH2136" s="38"/>
      <c r="AI2136" s="38"/>
      <c r="AJ2136" s="38"/>
      <c r="AK2136" s="38"/>
      <c r="AL2136" s="38"/>
      <c r="AM2136" s="38"/>
      <c r="AN2136" s="38"/>
      <c r="AO2136" s="38"/>
      <c r="AP2136" s="38"/>
      <c r="AQ2136" s="38"/>
      <c r="AR2136" s="38"/>
      <c r="AS2136" s="38"/>
      <c r="AT2136" s="38"/>
      <c r="AU2136" s="38"/>
      <c r="AV2136" s="38"/>
      <c r="AW2136" s="38"/>
      <c r="AX2136" s="38"/>
      <c r="AY2136" s="38"/>
      <c r="AZ2136" s="38"/>
      <c r="BA2136" s="38"/>
      <c r="BB2136" s="38"/>
      <c r="BC2136" s="38"/>
      <c r="BD2136" s="38"/>
      <c r="BE2136" s="38"/>
      <c r="BF2136" s="38"/>
      <c r="BG2136" s="38"/>
      <c r="BH2136" s="38"/>
      <c r="BI2136" s="38"/>
      <c r="BJ2136" s="38"/>
      <c r="BK2136" s="38"/>
      <c r="BL2136" s="38"/>
      <c r="BM2136" s="38"/>
      <c r="BN2136" s="38"/>
      <c r="BO2136" s="38"/>
      <c r="BP2136" s="38"/>
      <c r="BQ2136" s="38"/>
    </row>
    <row r="2137">
      <c r="A2137" s="47" t="s">
        <v>5827</v>
      </c>
      <c r="B2137" s="48">
        <v>43454.0</v>
      </c>
      <c r="C2137" s="48">
        <v>43449.0</v>
      </c>
      <c r="D2137" s="49" t="s">
        <v>5828</v>
      </c>
      <c r="E2137" s="47" t="s">
        <v>41</v>
      </c>
      <c r="F2137" s="47">
        <v>1.0</v>
      </c>
      <c r="G2137" s="47">
        <v>1.0</v>
      </c>
      <c r="H2137" s="33">
        <f t="shared" si="333"/>
        <v>1</v>
      </c>
      <c r="I2137" s="47" t="s">
        <v>33</v>
      </c>
      <c r="J2137" s="47" t="s">
        <v>61</v>
      </c>
      <c r="K2137" s="47">
        <v>5.0</v>
      </c>
      <c r="L2137" s="47" t="s">
        <v>35</v>
      </c>
      <c r="M2137" s="51" t="s">
        <v>5829</v>
      </c>
      <c r="N2137" s="52"/>
      <c r="O2137" s="55"/>
      <c r="P2137" s="47"/>
      <c r="Q2137" s="47"/>
      <c r="R2137" s="55"/>
      <c r="S2137" s="37" t="str">
        <f>IFERROR(__xludf.DUMMYFUNCTION("if(not(iserror(index(split(C2137, "" ""),2))), index(split(C2137, "" ""),1),"""")"),"December")</f>
        <v>December</v>
      </c>
      <c r="T2137" s="38">
        <f>IFERROR(__xludf.DUMMYFUNCTION("if(S2137="""",C2137,if(not(iserror(index(split(C2137, "" ""),3))), index(split(C2137, "" ""),3),index(split(C2137, "" ""),2)))"),2018.0)</f>
        <v>2018</v>
      </c>
      <c r="U2137" s="38" t="b">
        <f t="shared" si="334"/>
        <v>0</v>
      </c>
      <c r="V2137" s="38"/>
      <c r="W2137" s="40"/>
      <c r="X2137" s="40"/>
      <c r="Y2137" s="40"/>
      <c r="Z2137" s="38"/>
      <c r="AA2137" s="38"/>
      <c r="AB2137" s="38"/>
      <c r="AC2137" s="38"/>
      <c r="AD2137" s="38"/>
      <c r="AE2137" s="38"/>
      <c r="AF2137" s="38"/>
      <c r="AG2137" s="38"/>
      <c r="AH2137" s="38"/>
      <c r="AI2137" s="38"/>
      <c r="AJ2137" s="38"/>
      <c r="AK2137" s="38"/>
      <c r="AL2137" s="38"/>
      <c r="AM2137" s="38"/>
      <c r="AN2137" s="38"/>
      <c r="AO2137" s="38"/>
      <c r="AP2137" s="38"/>
      <c r="AQ2137" s="38"/>
      <c r="AR2137" s="38"/>
      <c r="AS2137" s="38"/>
      <c r="AT2137" s="38"/>
      <c r="AU2137" s="38"/>
      <c r="AV2137" s="38"/>
      <c r="AW2137" s="38"/>
      <c r="AX2137" s="38"/>
      <c r="AY2137" s="38"/>
      <c r="AZ2137" s="38"/>
      <c r="BA2137" s="38"/>
      <c r="BB2137" s="38"/>
      <c r="BC2137" s="38"/>
      <c r="BD2137" s="38"/>
      <c r="BE2137" s="38"/>
      <c r="BF2137" s="38"/>
      <c r="BG2137" s="38"/>
      <c r="BH2137" s="38"/>
      <c r="BI2137" s="38"/>
      <c r="BJ2137" s="38"/>
      <c r="BK2137" s="38"/>
      <c r="BL2137" s="38"/>
      <c r="BM2137" s="38"/>
      <c r="BN2137" s="38"/>
      <c r="BO2137" s="38"/>
      <c r="BP2137" s="38"/>
      <c r="BQ2137" s="38"/>
    </row>
    <row r="2138">
      <c r="A2138" s="58" t="s">
        <v>5830</v>
      </c>
      <c r="B2138" s="59"/>
      <c r="C2138" s="59">
        <v>43449.0</v>
      </c>
      <c r="D2138" s="60" t="s">
        <v>5828</v>
      </c>
      <c r="E2138" s="58" t="s">
        <v>41</v>
      </c>
      <c r="F2138" s="58">
        <v>1.0</v>
      </c>
      <c r="G2138" s="58">
        <v>1.0</v>
      </c>
      <c r="H2138" s="33">
        <v>1.0</v>
      </c>
      <c r="I2138" s="58" t="s">
        <v>33</v>
      </c>
      <c r="J2138" s="58" t="s">
        <v>61</v>
      </c>
      <c r="K2138" s="58">
        <v>5.0</v>
      </c>
      <c r="L2138" s="58" t="s">
        <v>35</v>
      </c>
      <c r="M2138" s="80" t="s">
        <v>5829</v>
      </c>
      <c r="N2138" s="77"/>
      <c r="O2138" s="58"/>
      <c r="P2138" s="58"/>
      <c r="Q2138" s="84"/>
      <c r="R2138" s="62"/>
      <c r="S2138" s="37" t="s">
        <v>5831</v>
      </c>
      <c r="T2138" s="38">
        <v>2018.0</v>
      </c>
      <c r="U2138" s="38" t="b">
        <f t="shared" si="334"/>
        <v>0</v>
      </c>
      <c r="V2138" s="38"/>
      <c r="W2138" s="40"/>
      <c r="X2138" s="40"/>
      <c r="Y2138" s="40"/>
      <c r="Z2138" s="38"/>
      <c r="AA2138" s="38"/>
      <c r="AB2138" s="38"/>
      <c r="AC2138" s="38"/>
      <c r="AD2138" s="38"/>
      <c r="AE2138" s="38"/>
      <c r="AF2138" s="38"/>
      <c r="AG2138" s="38"/>
      <c r="AH2138" s="38"/>
      <c r="AI2138" s="38"/>
      <c r="AJ2138" s="38"/>
      <c r="AK2138" s="38"/>
      <c r="AL2138" s="38"/>
      <c r="AM2138" s="38"/>
      <c r="AN2138" s="38"/>
      <c r="AO2138" s="38"/>
      <c r="AP2138" s="38"/>
      <c r="AQ2138" s="38"/>
      <c r="AR2138" s="38"/>
      <c r="AS2138" s="38"/>
      <c r="AT2138" s="38"/>
      <c r="AU2138" s="38"/>
      <c r="AV2138" s="38"/>
      <c r="AW2138" s="38"/>
      <c r="AX2138" s="38"/>
      <c r="AY2138" s="38"/>
      <c r="AZ2138" s="38"/>
      <c r="BA2138" s="38"/>
      <c r="BB2138" s="38"/>
      <c r="BC2138" s="38"/>
      <c r="BD2138" s="38"/>
      <c r="BE2138" s="38"/>
      <c r="BF2138" s="38"/>
      <c r="BG2138" s="38"/>
      <c r="BH2138" s="38"/>
      <c r="BI2138" s="38"/>
      <c r="BJ2138" s="38"/>
      <c r="BK2138" s="38"/>
      <c r="BL2138" s="38"/>
      <c r="BM2138" s="38"/>
      <c r="BN2138" s="38"/>
      <c r="BO2138" s="38"/>
      <c r="BP2138" s="38"/>
      <c r="BQ2138" s="38"/>
    </row>
    <row r="2139">
      <c r="A2139" s="58" t="s">
        <v>5832</v>
      </c>
      <c r="B2139" s="59"/>
      <c r="C2139" s="59">
        <v>43450.0</v>
      </c>
      <c r="D2139" s="60"/>
      <c r="E2139" s="58" t="s">
        <v>41</v>
      </c>
      <c r="F2139" s="58">
        <v>1.0</v>
      </c>
      <c r="G2139" s="58">
        <v>2.0</v>
      </c>
      <c r="H2139" s="43">
        <v>2.0</v>
      </c>
      <c r="I2139" s="58" t="s">
        <v>33</v>
      </c>
      <c r="J2139" s="58" t="s">
        <v>85</v>
      </c>
      <c r="K2139" s="58"/>
      <c r="L2139" s="58" t="s">
        <v>76</v>
      </c>
      <c r="M2139" s="80" t="s">
        <v>5833</v>
      </c>
      <c r="N2139" s="61" t="s">
        <v>5834</v>
      </c>
      <c r="O2139" s="239"/>
      <c r="P2139" s="58"/>
      <c r="Q2139" s="84">
        <v>1.0</v>
      </c>
      <c r="R2139" s="62"/>
      <c r="S2139" s="37"/>
      <c r="T2139" s="38"/>
      <c r="U2139" s="38"/>
      <c r="V2139" s="38" t="s">
        <v>33</v>
      </c>
      <c r="W2139" s="39" t="s">
        <v>5835</v>
      </c>
      <c r="X2139" s="39" t="s">
        <v>5836</v>
      </c>
      <c r="Y2139" s="40"/>
      <c r="Z2139" s="38"/>
      <c r="AA2139" s="38"/>
      <c r="AB2139" s="38"/>
      <c r="AC2139" s="38"/>
      <c r="AD2139" s="38"/>
      <c r="AE2139" s="38"/>
      <c r="AF2139" s="38"/>
      <c r="AG2139" s="38"/>
      <c r="AH2139" s="38"/>
      <c r="AI2139" s="38"/>
      <c r="AJ2139" s="38"/>
      <c r="AK2139" s="38"/>
      <c r="AL2139" s="38"/>
      <c r="AM2139" s="38"/>
      <c r="AN2139" s="38"/>
      <c r="AO2139" s="38"/>
      <c r="AP2139" s="38"/>
      <c r="AQ2139" s="38"/>
      <c r="AR2139" s="38"/>
      <c r="AS2139" s="38"/>
      <c r="AT2139" s="38"/>
      <c r="AU2139" s="38"/>
      <c r="AV2139" s="38"/>
      <c r="AW2139" s="38"/>
      <c r="AX2139" s="38"/>
      <c r="AY2139" s="38"/>
      <c r="AZ2139" s="38"/>
      <c r="BA2139" s="38"/>
      <c r="BB2139" s="38"/>
      <c r="BC2139" s="38"/>
      <c r="BD2139" s="38"/>
      <c r="BE2139" s="38"/>
      <c r="BF2139" s="38"/>
      <c r="BG2139" s="38"/>
      <c r="BH2139" s="38"/>
      <c r="BI2139" s="38"/>
      <c r="BJ2139" s="38"/>
      <c r="BK2139" s="38"/>
      <c r="BL2139" s="38"/>
      <c r="BM2139" s="38"/>
      <c r="BN2139" s="38"/>
      <c r="BO2139" s="38"/>
      <c r="BP2139" s="38"/>
      <c r="BQ2139" s="38"/>
    </row>
    <row r="2140">
      <c r="A2140" s="58" t="s">
        <v>5837</v>
      </c>
      <c r="B2140" s="59"/>
      <c r="C2140" s="59">
        <v>43451.0</v>
      </c>
      <c r="D2140" s="60"/>
      <c r="E2140" s="58" t="s">
        <v>31</v>
      </c>
      <c r="F2140" s="58">
        <v>1.0</v>
      </c>
      <c r="G2140" s="58">
        <v>1.0</v>
      </c>
      <c r="H2140" s="43">
        <v>1.0</v>
      </c>
      <c r="I2140" s="58" t="s">
        <v>33</v>
      </c>
      <c r="J2140" s="58" t="s">
        <v>343</v>
      </c>
      <c r="K2140" s="58"/>
      <c r="L2140" s="58" t="s">
        <v>76</v>
      </c>
      <c r="M2140" s="80" t="s">
        <v>5838</v>
      </c>
      <c r="N2140" s="61" t="s">
        <v>5839</v>
      </c>
      <c r="O2140" s="58"/>
      <c r="P2140" s="58"/>
      <c r="Q2140" s="58">
        <v>1.0</v>
      </c>
      <c r="R2140" s="62"/>
      <c r="S2140" s="37"/>
      <c r="T2140" s="38"/>
      <c r="U2140" s="38"/>
      <c r="V2140" s="38" t="s">
        <v>33</v>
      </c>
      <c r="W2140" s="39" t="s">
        <v>5840</v>
      </c>
      <c r="X2140" s="39" t="s">
        <v>5841</v>
      </c>
      <c r="Y2140" s="40"/>
      <c r="Z2140" s="38"/>
      <c r="AA2140" s="38"/>
      <c r="AB2140" s="38"/>
      <c r="AC2140" s="38"/>
      <c r="AD2140" s="38"/>
      <c r="AE2140" s="38"/>
      <c r="AF2140" s="38"/>
      <c r="AG2140" s="38"/>
      <c r="AH2140" s="38"/>
      <c r="AI2140" s="38"/>
      <c r="AJ2140" s="38"/>
      <c r="AK2140" s="38"/>
      <c r="AL2140" s="38"/>
      <c r="AM2140" s="38"/>
      <c r="AN2140" s="38"/>
      <c r="AO2140" s="38"/>
      <c r="AP2140" s="38"/>
      <c r="AQ2140" s="38"/>
      <c r="AR2140" s="38"/>
      <c r="AS2140" s="38"/>
      <c r="AT2140" s="38"/>
      <c r="AU2140" s="38"/>
      <c r="AV2140" s="38"/>
      <c r="AW2140" s="38"/>
      <c r="AX2140" s="38"/>
      <c r="AY2140" s="38"/>
      <c r="AZ2140" s="38"/>
      <c r="BA2140" s="38"/>
      <c r="BB2140" s="38"/>
      <c r="BC2140" s="38"/>
      <c r="BD2140" s="38"/>
      <c r="BE2140" s="38"/>
      <c r="BF2140" s="38"/>
      <c r="BG2140" s="38"/>
      <c r="BH2140" s="38"/>
      <c r="BI2140" s="38"/>
      <c r="BJ2140" s="38"/>
      <c r="BK2140" s="38"/>
      <c r="BL2140" s="38"/>
      <c r="BM2140" s="38"/>
      <c r="BN2140" s="38"/>
      <c r="BO2140" s="38"/>
      <c r="BP2140" s="38"/>
      <c r="BQ2140" s="38"/>
    </row>
    <row r="2141">
      <c r="A2141" s="58" t="s">
        <v>5842</v>
      </c>
      <c r="B2141" s="59"/>
      <c r="C2141" s="59">
        <v>43451.0</v>
      </c>
      <c r="D2141" s="60"/>
      <c r="E2141" s="58" t="s">
        <v>41</v>
      </c>
      <c r="F2141" s="58">
        <v>1.0</v>
      </c>
      <c r="G2141" s="58" t="s">
        <v>32</v>
      </c>
      <c r="H2141" s="43">
        <v>0.0</v>
      </c>
      <c r="I2141" s="58" t="s">
        <v>33</v>
      </c>
      <c r="J2141" s="58" t="s">
        <v>343</v>
      </c>
      <c r="K2141" s="58"/>
      <c r="L2141" s="58" t="s">
        <v>76</v>
      </c>
      <c r="M2141" s="80" t="s">
        <v>5843</v>
      </c>
      <c r="N2141" s="77"/>
      <c r="O2141" s="58"/>
      <c r="P2141" s="58"/>
      <c r="Q2141" s="84">
        <v>1.0</v>
      </c>
      <c r="R2141" s="62"/>
      <c r="S2141" s="37"/>
      <c r="T2141" s="38"/>
      <c r="U2141" s="38"/>
      <c r="V2141" s="38" t="s">
        <v>33</v>
      </c>
      <c r="W2141" s="40"/>
      <c r="X2141" s="40"/>
      <c r="Y2141" s="40"/>
      <c r="Z2141" s="38"/>
      <c r="AA2141" s="38"/>
      <c r="AB2141" s="38"/>
      <c r="AC2141" s="38"/>
      <c r="AD2141" s="38"/>
      <c r="AE2141" s="38"/>
      <c r="AF2141" s="38"/>
      <c r="AG2141" s="38"/>
      <c r="AH2141" s="38"/>
      <c r="AI2141" s="38"/>
      <c r="AJ2141" s="38"/>
      <c r="AK2141" s="38"/>
      <c r="AL2141" s="38"/>
      <c r="AM2141" s="38"/>
      <c r="AN2141" s="38"/>
      <c r="AO2141" s="38"/>
      <c r="AP2141" s="38"/>
      <c r="AQ2141" s="38"/>
      <c r="AR2141" s="38"/>
      <c r="AS2141" s="38"/>
      <c r="AT2141" s="38"/>
      <c r="AU2141" s="38"/>
      <c r="AV2141" s="38"/>
      <c r="AW2141" s="38"/>
      <c r="AX2141" s="38"/>
      <c r="AY2141" s="38"/>
      <c r="AZ2141" s="38"/>
      <c r="BA2141" s="38"/>
      <c r="BB2141" s="38"/>
      <c r="BC2141" s="38"/>
      <c r="BD2141" s="38"/>
      <c r="BE2141" s="38"/>
      <c r="BF2141" s="38"/>
      <c r="BG2141" s="38"/>
      <c r="BH2141" s="38"/>
      <c r="BI2141" s="38"/>
      <c r="BJ2141" s="38"/>
      <c r="BK2141" s="38"/>
      <c r="BL2141" s="38"/>
      <c r="BM2141" s="38"/>
      <c r="BN2141" s="38"/>
      <c r="BO2141" s="38"/>
      <c r="BP2141" s="38"/>
      <c r="BQ2141" s="38"/>
    </row>
    <row r="2142">
      <c r="A2142" s="58" t="s">
        <v>5844</v>
      </c>
      <c r="B2142" s="59">
        <v>43086.0</v>
      </c>
      <c r="C2142" s="59">
        <v>43451.0</v>
      </c>
      <c r="D2142" s="60" t="s">
        <v>5845</v>
      </c>
      <c r="E2142" s="58" t="s">
        <v>41</v>
      </c>
      <c r="F2142" s="58">
        <v>1.0</v>
      </c>
      <c r="G2142" s="58" t="s">
        <v>32</v>
      </c>
      <c r="H2142" s="33">
        <f>if(G2142="Unknown",1,G2142)</f>
        <v>1</v>
      </c>
      <c r="I2142" s="58" t="s">
        <v>33</v>
      </c>
      <c r="J2142" s="58" t="s">
        <v>55</v>
      </c>
      <c r="K2142" s="58">
        <v>1.0</v>
      </c>
      <c r="L2142" s="58" t="s">
        <v>69</v>
      </c>
      <c r="M2142" s="61" t="s">
        <v>5846</v>
      </c>
      <c r="N2142" s="77"/>
      <c r="O2142" s="88" t="str">
        <f>hyperlink("https://bad-boys.us/?q=D-NJ/3:19-cr-00532", "D-NJ 3:19-cr-00532")</f>
        <v>D-NJ 3:19-cr-00532</v>
      </c>
      <c r="P2142" s="58"/>
      <c r="Q2142" s="84">
        <v>1.0</v>
      </c>
      <c r="R2142" s="62"/>
      <c r="S2142" s="37" t="str">
        <f>IFERROR(__xludf.DUMMYFUNCTION("if(not(iserror(index(split(C2142, "" ""),2))), index(split(C2142, "" ""),1),"""")"),"December")</f>
        <v>December</v>
      </c>
      <c r="T2142" s="38">
        <f>IFERROR(__xludf.DUMMYFUNCTION("if(S2142="""",C2142,if(not(iserror(index(split(C2142, "" ""),3))), index(split(C2142, "" ""),3),index(split(C2142, "" ""),2)))"),2018.0)</f>
        <v>2018</v>
      </c>
      <c r="U2142" s="38" t="b">
        <f t="shared" ref="U2142:U2147" si="335">countif(A$4:A4658, A2142)&gt;1</f>
        <v>0</v>
      </c>
      <c r="V2142" s="38"/>
      <c r="W2142" s="40"/>
      <c r="X2142" s="40"/>
      <c r="Y2142" s="40"/>
      <c r="Z2142" s="38"/>
      <c r="AA2142" s="38"/>
      <c r="AB2142" s="38"/>
      <c r="AC2142" s="38"/>
      <c r="AD2142" s="38"/>
      <c r="AE2142" s="38"/>
      <c r="AF2142" s="38"/>
      <c r="AG2142" s="38"/>
      <c r="AH2142" s="38"/>
      <c r="AI2142" s="38"/>
      <c r="AJ2142" s="38"/>
      <c r="AK2142" s="38"/>
      <c r="AL2142" s="38"/>
      <c r="AM2142" s="38"/>
      <c r="AN2142" s="38"/>
      <c r="AO2142" s="38"/>
      <c r="AP2142" s="38"/>
      <c r="AQ2142" s="38"/>
      <c r="AR2142" s="38"/>
      <c r="AS2142" s="38"/>
      <c r="AT2142" s="38"/>
      <c r="AU2142" s="38"/>
      <c r="AV2142" s="38"/>
      <c r="AW2142" s="38"/>
      <c r="AX2142" s="38"/>
      <c r="AY2142" s="38"/>
      <c r="AZ2142" s="38"/>
      <c r="BA2142" s="38"/>
      <c r="BB2142" s="38"/>
      <c r="BC2142" s="38"/>
      <c r="BD2142" s="38"/>
      <c r="BE2142" s="38"/>
      <c r="BF2142" s="38"/>
      <c r="BG2142" s="38"/>
      <c r="BH2142" s="38"/>
      <c r="BI2142" s="38"/>
      <c r="BJ2142" s="38"/>
      <c r="BK2142" s="38"/>
      <c r="BL2142" s="38"/>
      <c r="BM2142" s="38"/>
      <c r="BN2142" s="38"/>
      <c r="BO2142" s="38"/>
      <c r="BP2142" s="38"/>
      <c r="BQ2142" s="38"/>
    </row>
    <row r="2143">
      <c r="A2143" s="58" t="s">
        <v>5847</v>
      </c>
      <c r="B2143" s="59"/>
      <c r="C2143" s="59">
        <v>43451.0</v>
      </c>
      <c r="D2143" s="60"/>
      <c r="E2143" s="58" t="s">
        <v>41</v>
      </c>
      <c r="F2143" s="58">
        <v>1.0</v>
      </c>
      <c r="G2143" s="58" t="s">
        <v>32</v>
      </c>
      <c r="H2143" s="43">
        <v>1.0</v>
      </c>
      <c r="I2143" s="58" t="s">
        <v>33</v>
      </c>
      <c r="J2143" s="58" t="s">
        <v>909</v>
      </c>
      <c r="K2143" s="58"/>
      <c r="L2143" s="58" t="s">
        <v>119</v>
      </c>
      <c r="M2143" s="61" t="s">
        <v>5848</v>
      </c>
      <c r="N2143" s="77"/>
      <c r="O2143" s="88" t="str">
        <f>hyperlink("https://bad-boys.us/?q=D-RI/1:18-cr-00173", "D-RI 1:18-cr-00173")</f>
        <v>D-RI 1:18-cr-00173</v>
      </c>
      <c r="P2143" s="88" t="s">
        <v>5849</v>
      </c>
      <c r="Q2143" s="58">
        <v>1.0</v>
      </c>
      <c r="R2143" s="62"/>
      <c r="S2143" s="37" t="str">
        <f>IFERROR(__xludf.DUMMYFUNCTION("if(not(iserror(index(split(C2143, "" ""),2))), index(split(C2143, "" ""),1),"""")"),"December")</f>
        <v>December</v>
      </c>
      <c r="T2143" s="38">
        <f>IFERROR(__xludf.DUMMYFUNCTION("if(S2143="""",C2143,if(not(iserror(index(split(C2143, "" ""),3))), index(split(C2143, "" ""),3),index(split(C2143, "" ""),2)))"),2018.0)</f>
        <v>2018</v>
      </c>
      <c r="U2143" s="38" t="b">
        <f t="shared" si="335"/>
        <v>0</v>
      </c>
      <c r="V2143" s="38" t="s">
        <v>33</v>
      </c>
      <c r="W2143" s="40"/>
      <c r="X2143" s="40"/>
      <c r="Y2143" s="40"/>
      <c r="Z2143" s="38"/>
      <c r="AA2143" s="38"/>
      <c r="AB2143" s="38"/>
      <c r="AC2143" s="38"/>
      <c r="AD2143" s="38"/>
      <c r="AE2143" s="38"/>
      <c r="AF2143" s="38"/>
      <c r="AG2143" s="38"/>
      <c r="AH2143" s="38"/>
      <c r="AI2143" s="38"/>
      <c r="AJ2143" s="38"/>
      <c r="AK2143" s="38"/>
      <c r="AL2143" s="38"/>
      <c r="AM2143" s="38"/>
      <c r="AN2143" s="38"/>
      <c r="AO2143" s="38"/>
      <c r="AP2143" s="38"/>
      <c r="AQ2143" s="38"/>
      <c r="AR2143" s="38"/>
      <c r="AS2143" s="38"/>
      <c r="AT2143" s="38"/>
      <c r="AU2143" s="38"/>
      <c r="AV2143" s="38"/>
      <c r="AW2143" s="38"/>
      <c r="AX2143" s="38"/>
      <c r="AY2143" s="38"/>
      <c r="AZ2143" s="38"/>
      <c r="BA2143" s="38"/>
      <c r="BB2143" s="38"/>
      <c r="BC2143" s="38"/>
      <c r="BD2143" s="38"/>
      <c r="BE2143" s="38"/>
      <c r="BF2143" s="38"/>
      <c r="BG2143" s="38"/>
      <c r="BH2143" s="38"/>
      <c r="BI2143" s="38"/>
      <c r="BJ2143" s="38"/>
      <c r="BK2143" s="38"/>
      <c r="BL2143" s="38"/>
      <c r="BM2143" s="38"/>
      <c r="BN2143" s="38"/>
      <c r="BO2143" s="38"/>
      <c r="BP2143" s="38"/>
      <c r="BQ2143" s="38"/>
    </row>
    <row r="2144">
      <c r="A2144" s="87" t="s">
        <v>5850</v>
      </c>
      <c r="B2144" s="48">
        <v>43453.0</v>
      </c>
      <c r="C2144" s="48">
        <v>43452.0</v>
      </c>
      <c r="D2144" s="49" t="s">
        <v>3882</v>
      </c>
      <c r="E2144" s="47" t="s">
        <v>41</v>
      </c>
      <c r="F2144" s="47">
        <v>1.0</v>
      </c>
      <c r="G2144" s="47" t="s">
        <v>32</v>
      </c>
      <c r="H2144" s="33">
        <f t="shared" ref="H2144:H2145" si="336">if(G2144="Unknown",1,G2144)</f>
        <v>1</v>
      </c>
      <c r="I2144" s="47" t="s">
        <v>33</v>
      </c>
      <c r="J2144" s="47" t="s">
        <v>68</v>
      </c>
      <c r="K2144" s="47">
        <v>3.0</v>
      </c>
      <c r="L2144" s="47" t="s">
        <v>69</v>
      </c>
      <c r="M2144" s="51" t="s">
        <v>5851</v>
      </c>
      <c r="N2144" s="139"/>
      <c r="O2144" s="53" t="str">
        <f>hyperlink("https://bad-boys.us/?q=D-OR/3:18-mj-00254", "D-OR 3:18-mj-00254")</f>
        <v>D-OR 3:18-mj-00254</v>
      </c>
      <c r="P2144" s="54" t="s">
        <v>5852</v>
      </c>
      <c r="Q2144" s="47">
        <v>1.0</v>
      </c>
      <c r="R2144" s="55"/>
      <c r="S2144" s="37" t="str">
        <f>IFERROR(__xludf.DUMMYFUNCTION("if(not(iserror(index(split(C2144, "" ""),2))), index(split(C2144, "" ""),1),"""")"),"December")</f>
        <v>December</v>
      </c>
      <c r="T2144" s="38">
        <f>IFERROR(__xludf.DUMMYFUNCTION("if(S2144="""",C2144,if(not(iserror(index(split(C2144, "" ""),3))), index(split(C2144, "" ""),3),index(split(C2144, "" ""),2)))"),2018.0)</f>
        <v>2018</v>
      </c>
      <c r="U2144" s="38" t="b">
        <f t="shared" si="335"/>
        <v>0</v>
      </c>
      <c r="V2144" s="38"/>
      <c r="W2144" s="40"/>
      <c r="X2144" s="40"/>
      <c r="Y2144" s="40"/>
      <c r="Z2144" s="38"/>
      <c r="AA2144" s="38"/>
      <c r="AB2144" s="38"/>
      <c r="AC2144" s="38"/>
      <c r="AD2144" s="38"/>
      <c r="AE2144" s="38"/>
      <c r="AF2144" s="38"/>
      <c r="AG2144" s="38"/>
      <c r="AH2144" s="38"/>
      <c r="AI2144" s="38"/>
      <c r="AJ2144" s="38"/>
      <c r="AK2144" s="38"/>
      <c r="AL2144" s="38"/>
      <c r="AM2144" s="38"/>
      <c r="AN2144" s="38"/>
      <c r="AO2144" s="38"/>
      <c r="AP2144" s="38"/>
      <c r="AQ2144" s="38"/>
      <c r="AR2144" s="38"/>
      <c r="AS2144" s="38"/>
      <c r="AT2144" s="38"/>
      <c r="AU2144" s="38"/>
      <c r="AV2144" s="38"/>
      <c r="AW2144" s="38"/>
      <c r="AX2144" s="38"/>
      <c r="AY2144" s="38"/>
      <c r="AZ2144" s="38"/>
      <c r="BA2144" s="38"/>
      <c r="BB2144" s="38"/>
      <c r="BC2144" s="38"/>
      <c r="BD2144" s="38"/>
      <c r="BE2144" s="38"/>
      <c r="BF2144" s="38"/>
      <c r="BG2144" s="38"/>
      <c r="BH2144" s="38"/>
      <c r="BI2144" s="38"/>
      <c r="BJ2144" s="38"/>
      <c r="BK2144" s="38"/>
      <c r="BL2144" s="38"/>
      <c r="BM2144" s="38"/>
      <c r="BN2144" s="38"/>
      <c r="BO2144" s="38"/>
      <c r="BP2144" s="38"/>
      <c r="BQ2144" s="38"/>
    </row>
    <row r="2145">
      <c r="A2145" s="47" t="s">
        <v>5853</v>
      </c>
      <c r="B2145" s="48">
        <v>43454.0</v>
      </c>
      <c r="C2145" s="48">
        <v>43452.0</v>
      </c>
      <c r="D2145" s="49" t="s">
        <v>3882</v>
      </c>
      <c r="E2145" s="47" t="s">
        <v>41</v>
      </c>
      <c r="F2145" s="47">
        <v>1.0</v>
      </c>
      <c r="G2145" s="47" t="s">
        <v>32</v>
      </c>
      <c r="H2145" s="33">
        <f t="shared" si="336"/>
        <v>1</v>
      </c>
      <c r="I2145" s="47" t="s">
        <v>33</v>
      </c>
      <c r="J2145" s="47" t="s">
        <v>184</v>
      </c>
      <c r="K2145" s="47">
        <v>1.0</v>
      </c>
      <c r="L2145" s="47" t="s">
        <v>99</v>
      </c>
      <c r="M2145" s="51" t="s">
        <v>5854</v>
      </c>
      <c r="N2145" s="52"/>
      <c r="O2145" s="53" t="str">
        <f>hyperlink("https://bad-boys.us/?q=ND-IL/3:18-cr-50082", "ND-IL 3:18-cr-50082")</f>
        <v>ND-IL 3:18-cr-50082</v>
      </c>
      <c r="P2145" s="54" t="s">
        <v>5855</v>
      </c>
      <c r="Q2145" s="47">
        <v>1.0</v>
      </c>
      <c r="R2145" s="55"/>
      <c r="S2145" s="37" t="str">
        <f>IFERROR(__xludf.DUMMYFUNCTION("if(not(iserror(index(split(C2145, "" ""),2))), index(split(C2145, "" ""),1),"""")"),"December")</f>
        <v>December</v>
      </c>
      <c r="T2145" s="38">
        <f>IFERROR(__xludf.DUMMYFUNCTION("if(S2145="""",C2145,if(not(iserror(index(split(C2145, "" ""),3))), index(split(C2145, "" ""),3),index(split(C2145, "" ""),2)))"),2018.0)</f>
        <v>2018</v>
      </c>
      <c r="U2145" s="38" t="b">
        <f t="shared" si="335"/>
        <v>0</v>
      </c>
      <c r="V2145" s="38"/>
      <c r="W2145" s="40"/>
      <c r="X2145" s="40"/>
      <c r="Y2145" s="40"/>
      <c r="Z2145" s="38"/>
      <c r="AA2145" s="38"/>
      <c r="AB2145" s="38"/>
      <c r="AC2145" s="38"/>
      <c r="AD2145" s="38"/>
      <c r="AE2145" s="38"/>
      <c r="AF2145" s="38"/>
      <c r="AG2145" s="38"/>
      <c r="AH2145" s="38"/>
      <c r="AI2145" s="38"/>
      <c r="AJ2145" s="38"/>
      <c r="AK2145" s="38"/>
      <c r="AL2145" s="38"/>
      <c r="AM2145" s="38"/>
      <c r="AN2145" s="38"/>
      <c r="AO2145" s="38"/>
      <c r="AP2145" s="38"/>
      <c r="AQ2145" s="38"/>
      <c r="AR2145" s="38"/>
      <c r="AS2145" s="38"/>
      <c r="AT2145" s="38"/>
      <c r="AU2145" s="38"/>
      <c r="AV2145" s="38"/>
      <c r="AW2145" s="38"/>
      <c r="AX2145" s="38"/>
      <c r="AY2145" s="38"/>
      <c r="AZ2145" s="38"/>
      <c r="BA2145" s="38"/>
      <c r="BB2145" s="38"/>
      <c r="BC2145" s="38"/>
      <c r="BD2145" s="38"/>
      <c r="BE2145" s="38"/>
      <c r="BF2145" s="38"/>
      <c r="BG2145" s="38"/>
      <c r="BH2145" s="38"/>
      <c r="BI2145" s="38"/>
      <c r="BJ2145" s="38"/>
      <c r="BK2145" s="38"/>
      <c r="BL2145" s="38"/>
      <c r="BM2145" s="38"/>
      <c r="BN2145" s="38"/>
      <c r="BO2145" s="38"/>
      <c r="BP2145" s="38"/>
      <c r="BQ2145" s="38"/>
    </row>
    <row r="2146">
      <c r="A2146" s="47" t="s">
        <v>5856</v>
      </c>
      <c r="B2146" s="48"/>
      <c r="C2146" s="48">
        <v>43452.0</v>
      </c>
      <c r="D2146" s="49"/>
      <c r="E2146" s="47" t="s">
        <v>41</v>
      </c>
      <c r="F2146" s="47">
        <v>1.0</v>
      </c>
      <c r="G2146" s="47" t="s">
        <v>32</v>
      </c>
      <c r="H2146" s="43">
        <v>1.0</v>
      </c>
      <c r="I2146" s="47" t="s">
        <v>33</v>
      </c>
      <c r="J2146" s="47" t="s">
        <v>402</v>
      </c>
      <c r="K2146" s="47"/>
      <c r="L2146" s="47" t="s">
        <v>119</v>
      </c>
      <c r="M2146" s="51" t="s">
        <v>5857</v>
      </c>
      <c r="N2146" s="51" t="s">
        <v>5858</v>
      </c>
      <c r="O2146" s="53" t="str">
        <f>hyperlink("https://bad-boys.us/?q=ND-IN/2:17-cr-00164", "ND-IN 2:17-cr-00164")</f>
        <v>ND-IN 2:17-cr-00164</v>
      </c>
      <c r="P2146" s="54" t="s">
        <v>5859</v>
      </c>
      <c r="Q2146" s="47">
        <v>1.0</v>
      </c>
      <c r="R2146" s="55"/>
      <c r="S2146" s="37" t="str">
        <f>IFERROR(__xludf.DUMMYFUNCTION("if(not(iserror(index(split(C2146, "" ""),2))), index(split(C2146, "" ""),1),"""")"),"December")</f>
        <v>December</v>
      </c>
      <c r="T2146" s="38">
        <f>IFERROR(__xludf.DUMMYFUNCTION("if(S2146="""",C2146,if(not(iserror(index(split(C2146, "" ""),3))), index(split(C2146, "" ""),3),index(split(C2146, "" ""),2)))"),2018.0)</f>
        <v>2018</v>
      </c>
      <c r="U2146" s="38" t="b">
        <f t="shared" si="335"/>
        <v>0</v>
      </c>
      <c r="V2146" s="38" t="s">
        <v>33</v>
      </c>
      <c r="W2146" s="39" t="s">
        <v>5860</v>
      </c>
      <c r="X2146" s="40"/>
      <c r="Y2146" s="40"/>
      <c r="Z2146" s="38"/>
      <c r="AA2146" s="38"/>
      <c r="AB2146" s="38"/>
      <c r="AC2146" s="38"/>
      <c r="AD2146" s="38"/>
      <c r="AE2146" s="38"/>
      <c r="AF2146" s="38"/>
      <c r="AG2146" s="38"/>
      <c r="AH2146" s="38"/>
      <c r="AI2146" s="38"/>
      <c r="AJ2146" s="38"/>
      <c r="AK2146" s="38"/>
      <c r="AL2146" s="38"/>
      <c r="AM2146" s="38"/>
      <c r="AN2146" s="38"/>
      <c r="AO2146" s="38"/>
      <c r="AP2146" s="38"/>
      <c r="AQ2146" s="38"/>
      <c r="AR2146" s="38"/>
      <c r="AS2146" s="38"/>
      <c r="AT2146" s="38"/>
      <c r="AU2146" s="38"/>
      <c r="AV2146" s="38"/>
      <c r="AW2146" s="38"/>
      <c r="AX2146" s="38"/>
      <c r="AY2146" s="38"/>
      <c r="AZ2146" s="38"/>
      <c r="BA2146" s="38"/>
      <c r="BB2146" s="38"/>
      <c r="BC2146" s="38"/>
      <c r="BD2146" s="38"/>
      <c r="BE2146" s="38"/>
      <c r="BF2146" s="38"/>
      <c r="BG2146" s="38"/>
      <c r="BH2146" s="38"/>
      <c r="BI2146" s="38"/>
      <c r="BJ2146" s="38"/>
      <c r="BK2146" s="38"/>
      <c r="BL2146" s="38"/>
      <c r="BM2146" s="38"/>
      <c r="BN2146" s="38"/>
      <c r="BO2146" s="38"/>
      <c r="BP2146" s="38"/>
      <c r="BQ2146" s="38"/>
    </row>
    <row r="2147">
      <c r="A2147" s="47" t="s">
        <v>5861</v>
      </c>
      <c r="B2147" s="48"/>
      <c r="C2147" s="48">
        <v>43452.0</v>
      </c>
      <c r="D2147" s="49"/>
      <c r="E2147" s="47" t="s">
        <v>41</v>
      </c>
      <c r="F2147" s="47">
        <v>1.0</v>
      </c>
      <c r="G2147" s="47" t="s">
        <v>32</v>
      </c>
      <c r="H2147" s="43">
        <v>1.0</v>
      </c>
      <c r="I2147" s="47" t="s">
        <v>33</v>
      </c>
      <c r="J2147" s="47" t="s">
        <v>402</v>
      </c>
      <c r="K2147" s="47"/>
      <c r="L2147" s="47" t="s">
        <v>119</v>
      </c>
      <c r="M2147" s="51" t="s">
        <v>5862</v>
      </c>
      <c r="N2147" s="52"/>
      <c r="O2147" s="53" t="str">
        <f>hyperlink("https://bad-boys.us/?q=ND-IN/2:18-cr-00137", "ND-IN 2:18-cr-00137")</f>
        <v>ND-IN 2:18-cr-00137</v>
      </c>
      <c r="P2147" s="54" t="s">
        <v>5863</v>
      </c>
      <c r="Q2147" s="47">
        <v>1.0</v>
      </c>
      <c r="R2147" s="55"/>
      <c r="S2147" s="37" t="str">
        <f>IFERROR(__xludf.DUMMYFUNCTION("if(not(iserror(index(split(C2147, "" ""),2))), index(split(C2147, "" ""),1),"""")"),"December")</f>
        <v>December</v>
      </c>
      <c r="T2147" s="38">
        <f>IFERROR(__xludf.DUMMYFUNCTION("if(S2147="""",C2147,if(not(iserror(index(split(C2147, "" ""),3))), index(split(C2147, "" ""),3),index(split(C2147, "" ""),2)))"),2018.0)</f>
        <v>2018</v>
      </c>
      <c r="U2147" s="38" t="b">
        <f t="shared" si="335"/>
        <v>0</v>
      </c>
      <c r="V2147" s="38" t="s">
        <v>33</v>
      </c>
      <c r="W2147" s="40"/>
      <c r="X2147" s="40"/>
      <c r="Y2147" s="40"/>
      <c r="Z2147" s="38"/>
      <c r="AA2147" s="38"/>
      <c r="AB2147" s="38"/>
      <c r="AC2147" s="38"/>
      <c r="AD2147" s="38"/>
      <c r="AE2147" s="38"/>
      <c r="AF2147" s="38"/>
      <c r="AG2147" s="38"/>
      <c r="AH2147" s="38"/>
      <c r="AI2147" s="38"/>
      <c r="AJ2147" s="38"/>
      <c r="AK2147" s="38"/>
      <c r="AL2147" s="38"/>
      <c r="AM2147" s="38"/>
      <c r="AN2147" s="38"/>
      <c r="AO2147" s="38"/>
      <c r="AP2147" s="38"/>
      <c r="AQ2147" s="38"/>
      <c r="AR2147" s="38"/>
      <c r="AS2147" s="38"/>
      <c r="AT2147" s="38"/>
      <c r="AU2147" s="38"/>
      <c r="AV2147" s="38"/>
      <c r="AW2147" s="38"/>
      <c r="AX2147" s="38"/>
      <c r="AY2147" s="38"/>
      <c r="AZ2147" s="38"/>
      <c r="BA2147" s="38"/>
      <c r="BB2147" s="38"/>
      <c r="BC2147" s="38"/>
      <c r="BD2147" s="38"/>
      <c r="BE2147" s="38"/>
      <c r="BF2147" s="38"/>
      <c r="BG2147" s="38"/>
      <c r="BH2147" s="38"/>
      <c r="BI2147" s="38"/>
      <c r="BJ2147" s="38"/>
      <c r="BK2147" s="38"/>
      <c r="BL2147" s="38"/>
      <c r="BM2147" s="38"/>
      <c r="BN2147" s="38"/>
      <c r="BO2147" s="38"/>
      <c r="BP2147" s="38"/>
      <c r="BQ2147" s="38"/>
    </row>
    <row r="2148">
      <c r="A2148" s="47" t="s">
        <v>5864</v>
      </c>
      <c r="B2148" s="48"/>
      <c r="C2148" s="48">
        <v>43452.0</v>
      </c>
      <c r="D2148" s="49"/>
      <c r="E2148" s="47" t="s">
        <v>41</v>
      </c>
      <c r="F2148" s="47">
        <v>1.0</v>
      </c>
      <c r="G2148" s="47" t="s">
        <v>32</v>
      </c>
      <c r="H2148" s="43">
        <v>1.0</v>
      </c>
      <c r="I2148" s="47" t="s">
        <v>33</v>
      </c>
      <c r="J2148" s="47" t="s">
        <v>460</v>
      </c>
      <c r="K2148" s="47"/>
      <c r="L2148" s="47" t="s">
        <v>119</v>
      </c>
      <c r="M2148" s="51" t="s">
        <v>5865</v>
      </c>
      <c r="N2148" s="52"/>
      <c r="O2148" s="55"/>
      <c r="P2148" s="47"/>
      <c r="Q2148" s="47">
        <v>1.0</v>
      </c>
      <c r="R2148" s="55"/>
      <c r="S2148" s="37"/>
      <c r="T2148" s="38"/>
      <c r="U2148" s="38"/>
      <c r="V2148" s="38" t="s">
        <v>33</v>
      </c>
      <c r="W2148" s="40"/>
      <c r="X2148" s="40"/>
      <c r="Y2148" s="40"/>
      <c r="Z2148" s="38"/>
      <c r="AA2148" s="38"/>
      <c r="AB2148" s="38"/>
      <c r="AC2148" s="38"/>
      <c r="AD2148" s="38"/>
      <c r="AE2148" s="38"/>
      <c r="AF2148" s="38"/>
      <c r="AG2148" s="38"/>
      <c r="AH2148" s="38"/>
      <c r="AI2148" s="38"/>
      <c r="AJ2148" s="38"/>
      <c r="AK2148" s="38"/>
      <c r="AL2148" s="38"/>
      <c r="AM2148" s="38"/>
      <c r="AN2148" s="38"/>
      <c r="AO2148" s="38"/>
      <c r="AP2148" s="38"/>
      <c r="AQ2148" s="38"/>
      <c r="AR2148" s="38"/>
      <c r="AS2148" s="38"/>
      <c r="AT2148" s="38"/>
      <c r="AU2148" s="38"/>
      <c r="AV2148" s="38"/>
      <c r="AW2148" s="38"/>
      <c r="AX2148" s="38"/>
      <c r="AY2148" s="38"/>
      <c r="AZ2148" s="38"/>
      <c r="BA2148" s="38"/>
      <c r="BB2148" s="38"/>
      <c r="BC2148" s="38"/>
      <c r="BD2148" s="38"/>
      <c r="BE2148" s="38"/>
      <c r="BF2148" s="38"/>
      <c r="BG2148" s="38"/>
      <c r="BH2148" s="38"/>
      <c r="BI2148" s="38"/>
      <c r="BJ2148" s="38"/>
      <c r="BK2148" s="38"/>
      <c r="BL2148" s="38"/>
      <c r="BM2148" s="38"/>
      <c r="BN2148" s="38"/>
      <c r="BO2148" s="38"/>
      <c r="BP2148" s="38"/>
      <c r="BQ2148" s="38"/>
    </row>
    <row r="2149">
      <c r="A2149" s="47" t="s">
        <v>5866</v>
      </c>
      <c r="B2149" s="48"/>
      <c r="C2149" s="48">
        <v>43452.0</v>
      </c>
      <c r="D2149" s="49"/>
      <c r="E2149" s="47" t="s">
        <v>41</v>
      </c>
      <c r="F2149" s="47">
        <v>1.0</v>
      </c>
      <c r="G2149" s="47" t="s">
        <v>32</v>
      </c>
      <c r="H2149" s="43">
        <v>1.0</v>
      </c>
      <c r="I2149" s="47" t="s">
        <v>33</v>
      </c>
      <c r="J2149" s="47" t="s">
        <v>184</v>
      </c>
      <c r="K2149" s="47"/>
      <c r="L2149" s="47" t="s">
        <v>76</v>
      </c>
      <c r="M2149" s="51" t="s">
        <v>5867</v>
      </c>
      <c r="N2149" s="52"/>
      <c r="O2149" s="55"/>
      <c r="P2149" s="47"/>
      <c r="Q2149" s="47"/>
      <c r="R2149" s="55"/>
      <c r="S2149" s="37"/>
      <c r="T2149" s="38"/>
      <c r="U2149" s="38"/>
      <c r="V2149" s="38" t="s">
        <v>33</v>
      </c>
      <c r="W2149" s="40"/>
      <c r="X2149" s="40"/>
      <c r="Y2149" s="40"/>
      <c r="Z2149" s="38"/>
      <c r="AA2149" s="38"/>
      <c r="AB2149" s="38"/>
      <c r="AC2149" s="38"/>
      <c r="AD2149" s="38"/>
      <c r="AE2149" s="38"/>
      <c r="AF2149" s="38"/>
      <c r="AG2149" s="38"/>
      <c r="AH2149" s="38"/>
      <c r="AI2149" s="38"/>
      <c r="AJ2149" s="38"/>
      <c r="AK2149" s="38"/>
      <c r="AL2149" s="38"/>
      <c r="AM2149" s="38"/>
      <c r="AN2149" s="38"/>
      <c r="AO2149" s="38"/>
      <c r="AP2149" s="38"/>
      <c r="AQ2149" s="38"/>
      <c r="AR2149" s="38"/>
      <c r="AS2149" s="38"/>
      <c r="AT2149" s="38"/>
      <c r="AU2149" s="38"/>
      <c r="AV2149" s="38"/>
      <c r="AW2149" s="38"/>
      <c r="AX2149" s="38"/>
      <c r="AY2149" s="38"/>
      <c r="AZ2149" s="38"/>
      <c r="BA2149" s="38"/>
      <c r="BB2149" s="38"/>
      <c r="BC2149" s="38"/>
      <c r="BD2149" s="38"/>
      <c r="BE2149" s="38"/>
      <c r="BF2149" s="38"/>
      <c r="BG2149" s="38"/>
      <c r="BH2149" s="38"/>
      <c r="BI2149" s="38"/>
      <c r="BJ2149" s="38"/>
      <c r="BK2149" s="38"/>
      <c r="BL2149" s="38"/>
      <c r="BM2149" s="38"/>
      <c r="BN2149" s="38"/>
      <c r="BO2149" s="38"/>
      <c r="BP2149" s="38"/>
      <c r="BQ2149" s="38"/>
    </row>
    <row r="2150">
      <c r="A2150" s="47" t="s">
        <v>5868</v>
      </c>
      <c r="B2150" s="48"/>
      <c r="C2150" s="48">
        <v>43452.0</v>
      </c>
      <c r="D2150" s="49"/>
      <c r="E2150" s="47" t="s">
        <v>41</v>
      </c>
      <c r="F2150" s="47">
        <v>1.0</v>
      </c>
      <c r="G2150" s="47" t="s">
        <v>32</v>
      </c>
      <c r="H2150" s="43">
        <v>1.0</v>
      </c>
      <c r="I2150" s="47" t="s">
        <v>33</v>
      </c>
      <c r="J2150" s="47" t="s">
        <v>75</v>
      </c>
      <c r="K2150" s="47"/>
      <c r="L2150" s="47" t="s">
        <v>76</v>
      </c>
      <c r="M2150" s="51" t="s">
        <v>5869</v>
      </c>
      <c r="N2150" s="52"/>
      <c r="O2150" s="55"/>
      <c r="P2150" s="47"/>
      <c r="Q2150" s="47"/>
      <c r="R2150" s="55"/>
      <c r="S2150" s="37"/>
      <c r="T2150" s="38"/>
      <c r="U2150" s="38"/>
      <c r="V2150" s="38" t="s">
        <v>33</v>
      </c>
      <c r="W2150" s="40"/>
      <c r="X2150" s="40"/>
      <c r="Y2150" s="40"/>
      <c r="Z2150" s="38"/>
      <c r="AA2150" s="38"/>
      <c r="AB2150" s="38"/>
      <c r="AC2150" s="38"/>
      <c r="AD2150" s="38"/>
      <c r="AE2150" s="38"/>
      <c r="AF2150" s="38"/>
      <c r="AG2150" s="38"/>
      <c r="AH2150" s="38"/>
      <c r="AI2150" s="38"/>
      <c r="AJ2150" s="38"/>
      <c r="AK2150" s="38"/>
      <c r="AL2150" s="38"/>
      <c r="AM2150" s="38"/>
      <c r="AN2150" s="38"/>
      <c r="AO2150" s="38"/>
      <c r="AP2150" s="38"/>
      <c r="AQ2150" s="38"/>
      <c r="AR2150" s="38"/>
      <c r="AS2150" s="38"/>
      <c r="AT2150" s="38"/>
      <c r="AU2150" s="38"/>
      <c r="AV2150" s="38"/>
      <c r="AW2150" s="38"/>
      <c r="AX2150" s="38"/>
      <c r="AY2150" s="38"/>
      <c r="AZ2150" s="38"/>
      <c r="BA2150" s="38"/>
      <c r="BB2150" s="38"/>
      <c r="BC2150" s="38"/>
      <c r="BD2150" s="38"/>
      <c r="BE2150" s="38"/>
      <c r="BF2150" s="38"/>
      <c r="BG2150" s="38"/>
      <c r="BH2150" s="38"/>
      <c r="BI2150" s="38"/>
      <c r="BJ2150" s="38"/>
      <c r="BK2150" s="38"/>
      <c r="BL2150" s="38"/>
      <c r="BM2150" s="38"/>
      <c r="BN2150" s="38"/>
      <c r="BO2150" s="38"/>
      <c r="BP2150" s="38"/>
      <c r="BQ2150" s="38"/>
    </row>
    <row r="2151">
      <c r="A2151" s="47" t="s">
        <v>239</v>
      </c>
      <c r="B2151" s="48">
        <v>43454.0</v>
      </c>
      <c r="C2151" s="48">
        <v>43452.0</v>
      </c>
      <c r="D2151" s="49" t="s">
        <v>3882</v>
      </c>
      <c r="E2151" s="47" t="s">
        <v>41</v>
      </c>
      <c r="F2151" s="47">
        <v>1.0</v>
      </c>
      <c r="G2151" s="47">
        <v>1.0</v>
      </c>
      <c r="H2151" s="33">
        <f t="shared" ref="H2151:H2152" si="337">if(G2151="Unknown",1,G2151)</f>
        <v>1</v>
      </c>
      <c r="I2151" s="47" t="s">
        <v>33</v>
      </c>
      <c r="J2151" s="47" t="s">
        <v>140</v>
      </c>
      <c r="K2151" s="47">
        <v>1.0</v>
      </c>
      <c r="L2151" s="47" t="s">
        <v>194</v>
      </c>
      <c r="M2151" s="51" t="s">
        <v>5870</v>
      </c>
      <c r="N2151" s="52"/>
      <c r="O2151" s="55"/>
      <c r="P2151" s="47"/>
      <c r="Q2151" s="47"/>
      <c r="R2151" s="55"/>
      <c r="S2151" s="37" t="str">
        <f>IFERROR(__xludf.DUMMYFUNCTION("if(not(iserror(index(split(C2151, "" ""),2))), index(split(C2151, "" ""),1),"""")"),"December")</f>
        <v>December</v>
      </c>
      <c r="T2151" s="38">
        <f>IFERROR(__xludf.DUMMYFUNCTION("if(S2151="""",C2151,if(not(iserror(index(split(C2151, "" ""),3))), index(split(C2151, "" ""),3),index(split(C2151, "" ""),2)))"),2018.0)</f>
        <v>2018</v>
      </c>
      <c r="U2151" s="38" t="b">
        <f t="shared" ref="U2151:U2152" si="338">countif(A$4:A4658, A2151)&gt;1</f>
        <v>1</v>
      </c>
      <c r="V2151" s="38"/>
      <c r="W2151" s="40"/>
      <c r="X2151" s="40"/>
      <c r="Y2151" s="40"/>
      <c r="Z2151" s="38"/>
      <c r="AA2151" s="38"/>
      <c r="AB2151" s="38"/>
      <c r="AC2151" s="38"/>
      <c r="AD2151" s="38"/>
      <c r="AE2151" s="38"/>
      <c r="AF2151" s="38"/>
      <c r="AG2151" s="38"/>
      <c r="AH2151" s="38"/>
      <c r="AI2151" s="38"/>
      <c r="AJ2151" s="38"/>
      <c r="AK2151" s="38"/>
      <c r="AL2151" s="38"/>
      <c r="AM2151" s="38"/>
      <c r="AN2151" s="38"/>
      <c r="AO2151" s="38"/>
      <c r="AP2151" s="38"/>
      <c r="AQ2151" s="38"/>
      <c r="AR2151" s="38"/>
      <c r="AS2151" s="38"/>
      <c r="AT2151" s="38"/>
      <c r="AU2151" s="38"/>
      <c r="AV2151" s="38"/>
      <c r="AW2151" s="38"/>
      <c r="AX2151" s="38"/>
      <c r="AY2151" s="38"/>
      <c r="AZ2151" s="38"/>
      <c r="BA2151" s="38"/>
      <c r="BB2151" s="38"/>
      <c r="BC2151" s="38"/>
      <c r="BD2151" s="38"/>
      <c r="BE2151" s="38"/>
      <c r="BF2151" s="38"/>
      <c r="BG2151" s="38"/>
      <c r="BH2151" s="38"/>
      <c r="BI2151" s="38"/>
      <c r="BJ2151" s="38"/>
      <c r="BK2151" s="38"/>
      <c r="BL2151" s="38"/>
      <c r="BM2151" s="38"/>
      <c r="BN2151" s="38"/>
      <c r="BO2151" s="38"/>
      <c r="BP2151" s="38"/>
      <c r="BQ2151" s="38"/>
    </row>
    <row r="2152">
      <c r="A2152" s="47" t="s">
        <v>239</v>
      </c>
      <c r="B2152" s="48">
        <v>43454.0</v>
      </c>
      <c r="C2152" s="48">
        <v>43452.0</v>
      </c>
      <c r="D2152" s="49" t="s">
        <v>3882</v>
      </c>
      <c r="E2152" s="47" t="s">
        <v>41</v>
      </c>
      <c r="F2152" s="47">
        <v>1.0</v>
      </c>
      <c r="G2152" s="47">
        <v>2.0</v>
      </c>
      <c r="H2152" s="33">
        <f t="shared" si="337"/>
        <v>2</v>
      </c>
      <c r="I2152" s="47" t="s">
        <v>33</v>
      </c>
      <c r="J2152" s="47" t="s">
        <v>241</v>
      </c>
      <c r="K2152" s="47">
        <v>1.0</v>
      </c>
      <c r="L2152" s="47" t="s">
        <v>194</v>
      </c>
      <c r="M2152" s="51" t="s">
        <v>5871</v>
      </c>
      <c r="N2152" s="52"/>
      <c r="O2152" s="55"/>
      <c r="P2152" s="47"/>
      <c r="Q2152" s="47"/>
      <c r="R2152" s="55"/>
      <c r="S2152" s="37" t="str">
        <f>IFERROR(__xludf.DUMMYFUNCTION("if(not(iserror(index(split(C2152, "" ""),2))), index(split(C2152, "" ""),1),"""")"),"December")</f>
        <v>December</v>
      </c>
      <c r="T2152" s="38">
        <f>IFERROR(__xludf.DUMMYFUNCTION("if(S2152="""",C2152,if(not(iserror(index(split(C2152, "" ""),3))), index(split(C2152, "" ""),3),index(split(C2152, "" ""),2)))"),2018.0)</f>
        <v>2018</v>
      </c>
      <c r="U2152" s="38" t="b">
        <f t="shared" si="338"/>
        <v>1</v>
      </c>
      <c r="V2152" s="38"/>
      <c r="W2152" s="40"/>
      <c r="X2152" s="40"/>
      <c r="Y2152" s="40"/>
      <c r="Z2152" s="38"/>
      <c r="AA2152" s="38"/>
      <c r="AB2152" s="38"/>
      <c r="AC2152" s="38"/>
      <c r="AD2152" s="38"/>
      <c r="AE2152" s="38"/>
      <c r="AF2152" s="38"/>
      <c r="AG2152" s="38"/>
      <c r="AH2152" s="38"/>
      <c r="AI2152" s="38"/>
      <c r="AJ2152" s="38"/>
      <c r="AK2152" s="38"/>
      <c r="AL2152" s="38"/>
      <c r="AM2152" s="38"/>
      <c r="AN2152" s="38"/>
      <c r="AO2152" s="38"/>
      <c r="AP2152" s="38"/>
      <c r="AQ2152" s="38"/>
      <c r="AR2152" s="38"/>
      <c r="AS2152" s="38"/>
      <c r="AT2152" s="38"/>
      <c r="AU2152" s="38"/>
      <c r="AV2152" s="38"/>
      <c r="AW2152" s="38"/>
      <c r="AX2152" s="38"/>
      <c r="AY2152" s="38"/>
      <c r="AZ2152" s="38"/>
      <c r="BA2152" s="38"/>
      <c r="BB2152" s="38"/>
      <c r="BC2152" s="38"/>
      <c r="BD2152" s="38"/>
      <c r="BE2152" s="38"/>
      <c r="BF2152" s="38"/>
      <c r="BG2152" s="38"/>
      <c r="BH2152" s="38"/>
      <c r="BI2152" s="38"/>
      <c r="BJ2152" s="38"/>
      <c r="BK2152" s="38"/>
      <c r="BL2152" s="38"/>
      <c r="BM2152" s="38"/>
      <c r="BN2152" s="38"/>
      <c r="BO2152" s="38"/>
      <c r="BP2152" s="38"/>
      <c r="BQ2152" s="38"/>
    </row>
    <row r="2153">
      <c r="A2153" s="47" t="s">
        <v>5872</v>
      </c>
      <c r="B2153" s="48"/>
      <c r="C2153" s="48">
        <v>43453.0</v>
      </c>
      <c r="D2153" s="49"/>
      <c r="E2153" s="47" t="s">
        <v>41</v>
      </c>
      <c r="F2153" s="47">
        <v>1.0</v>
      </c>
      <c r="G2153" s="47" t="s">
        <v>32</v>
      </c>
      <c r="H2153" s="43">
        <v>1.0</v>
      </c>
      <c r="I2153" s="47" t="s">
        <v>33</v>
      </c>
      <c r="J2153" s="47" t="s">
        <v>402</v>
      </c>
      <c r="K2153" s="47"/>
      <c r="L2153" s="47" t="s">
        <v>76</v>
      </c>
      <c r="M2153" s="51" t="s">
        <v>5873</v>
      </c>
      <c r="N2153" s="52"/>
      <c r="O2153" s="55"/>
      <c r="P2153" s="47"/>
      <c r="Q2153" s="47">
        <v>1.0</v>
      </c>
      <c r="R2153" s="55"/>
      <c r="S2153" s="37"/>
      <c r="T2153" s="38"/>
      <c r="U2153" s="38"/>
      <c r="V2153" s="38" t="s">
        <v>33</v>
      </c>
      <c r="W2153" s="40"/>
      <c r="X2153" s="40"/>
      <c r="Y2153" s="40"/>
      <c r="Z2153" s="38"/>
      <c r="AA2153" s="38"/>
      <c r="AB2153" s="38"/>
      <c r="AC2153" s="38"/>
      <c r="AD2153" s="38"/>
      <c r="AE2153" s="38"/>
      <c r="AF2153" s="38"/>
      <c r="AG2153" s="38"/>
      <c r="AH2153" s="38"/>
      <c r="AI2153" s="38"/>
      <c r="AJ2153" s="38"/>
      <c r="AK2153" s="38"/>
      <c r="AL2153" s="38"/>
      <c r="AM2153" s="38"/>
      <c r="AN2153" s="38"/>
      <c r="AO2153" s="38"/>
      <c r="AP2153" s="38"/>
      <c r="AQ2153" s="38"/>
      <c r="AR2153" s="38"/>
      <c r="AS2153" s="38"/>
      <c r="AT2153" s="38"/>
      <c r="AU2153" s="38"/>
      <c r="AV2153" s="38"/>
      <c r="AW2153" s="38"/>
      <c r="AX2153" s="38"/>
      <c r="AY2153" s="38"/>
      <c r="AZ2153" s="38"/>
      <c r="BA2153" s="38"/>
      <c r="BB2153" s="38"/>
      <c r="BC2153" s="38"/>
      <c r="BD2153" s="38"/>
      <c r="BE2153" s="38"/>
      <c r="BF2153" s="38"/>
      <c r="BG2153" s="38"/>
      <c r="BH2153" s="38"/>
      <c r="BI2153" s="38"/>
      <c r="BJ2153" s="38"/>
      <c r="BK2153" s="38"/>
      <c r="BL2153" s="38"/>
      <c r="BM2153" s="38"/>
      <c r="BN2153" s="38"/>
      <c r="BO2153" s="38"/>
      <c r="BP2153" s="38"/>
      <c r="BQ2153" s="38"/>
    </row>
    <row r="2154">
      <c r="A2154" s="47" t="s">
        <v>5874</v>
      </c>
      <c r="B2154" s="48">
        <v>43454.0</v>
      </c>
      <c r="C2154" s="48">
        <v>43454.0</v>
      </c>
      <c r="D2154" s="49" t="s">
        <v>5875</v>
      </c>
      <c r="E2154" s="47" t="s">
        <v>31</v>
      </c>
      <c r="F2154" s="47">
        <v>1.0</v>
      </c>
      <c r="G2154" s="47" t="s">
        <v>32</v>
      </c>
      <c r="H2154" s="33">
        <f>if(G2154="Unknown",1,G2154)</f>
        <v>1</v>
      </c>
      <c r="I2154" s="47" t="s">
        <v>33</v>
      </c>
      <c r="J2154" s="47" t="s">
        <v>222</v>
      </c>
      <c r="K2154" s="47">
        <v>4.0</v>
      </c>
      <c r="L2154" s="47" t="s">
        <v>69</v>
      </c>
      <c r="M2154" s="51" t="s">
        <v>5876</v>
      </c>
      <c r="N2154" s="51" t="s">
        <v>5877</v>
      </c>
      <c r="O2154" s="53" t="str">
        <f>hyperlink("https://bad-boys.us/?q=ED-WI/1:19-cr-00002", "ED-WI 1:19-cr-00002")</f>
        <v>ED-WI 1:19-cr-00002</v>
      </c>
      <c r="P2154" s="54" t="s">
        <v>5878</v>
      </c>
      <c r="Q2154" s="47">
        <v>1.0</v>
      </c>
      <c r="R2154" s="55"/>
      <c r="S2154" s="37" t="str">
        <f>IFERROR(__xludf.DUMMYFUNCTION("if(not(iserror(index(split(C2154, "" ""),2))), index(split(C2154, "" ""),1),"""")"),"December")</f>
        <v>December</v>
      </c>
      <c r="T2154" s="38">
        <f>IFERROR(__xludf.DUMMYFUNCTION("if(S2154="""",C2154,if(not(iserror(index(split(C2154, "" ""),3))), index(split(C2154, "" ""),3),index(split(C2154, "" ""),2)))"),2018.0)</f>
        <v>2018</v>
      </c>
      <c r="U2154" s="38" t="b">
        <f>countif(A$4:A4658, A2154)&gt;1</f>
        <v>0</v>
      </c>
      <c r="V2154" s="38" t="s">
        <v>33</v>
      </c>
      <c r="W2154" s="39" t="s">
        <v>5879</v>
      </c>
      <c r="X2154" s="39" t="s">
        <v>5880</v>
      </c>
      <c r="Y2154" s="40"/>
      <c r="Z2154" s="38"/>
      <c r="AA2154" s="38"/>
      <c r="AB2154" s="38"/>
      <c r="AC2154" s="38"/>
      <c r="AD2154" s="38"/>
      <c r="AE2154" s="38"/>
      <c r="AF2154" s="38"/>
      <c r="AG2154" s="38"/>
      <c r="AH2154" s="38"/>
      <c r="AI2154" s="38"/>
      <c r="AJ2154" s="38"/>
      <c r="AK2154" s="38"/>
      <c r="AL2154" s="38"/>
      <c r="AM2154" s="38"/>
      <c r="AN2154" s="38"/>
      <c r="AO2154" s="38"/>
      <c r="AP2154" s="38"/>
      <c r="AQ2154" s="38"/>
      <c r="AR2154" s="38"/>
      <c r="AS2154" s="38"/>
      <c r="AT2154" s="38"/>
      <c r="AU2154" s="38"/>
      <c r="AV2154" s="38"/>
      <c r="AW2154" s="38"/>
      <c r="AX2154" s="38"/>
      <c r="AY2154" s="38"/>
      <c r="AZ2154" s="38"/>
      <c r="BA2154" s="38"/>
      <c r="BB2154" s="38"/>
      <c r="BC2154" s="38"/>
      <c r="BD2154" s="38"/>
      <c r="BE2154" s="38"/>
      <c r="BF2154" s="38"/>
      <c r="BG2154" s="38"/>
      <c r="BH2154" s="38"/>
      <c r="BI2154" s="38"/>
      <c r="BJ2154" s="38"/>
      <c r="BK2154" s="38"/>
      <c r="BL2154" s="38"/>
      <c r="BM2154" s="38"/>
      <c r="BN2154" s="38"/>
      <c r="BO2154" s="38"/>
      <c r="BP2154" s="38"/>
      <c r="BQ2154" s="38"/>
    </row>
    <row r="2155">
      <c r="A2155" s="47" t="s">
        <v>5881</v>
      </c>
      <c r="B2155" s="48"/>
      <c r="C2155" s="48">
        <v>43454.0</v>
      </c>
      <c r="D2155" s="49"/>
      <c r="E2155" s="47" t="s">
        <v>41</v>
      </c>
      <c r="F2155" s="47">
        <v>1.0</v>
      </c>
      <c r="G2155" s="47" t="s">
        <v>32</v>
      </c>
      <c r="H2155" s="43">
        <v>1.0</v>
      </c>
      <c r="I2155" s="47" t="s">
        <v>33</v>
      </c>
      <c r="J2155" s="47" t="s">
        <v>172</v>
      </c>
      <c r="K2155" s="47"/>
      <c r="L2155" s="47" t="s">
        <v>119</v>
      </c>
      <c r="M2155" s="52" t="s">
        <v>5882</v>
      </c>
      <c r="N2155" s="52"/>
      <c r="O2155" s="224"/>
      <c r="P2155" s="47"/>
      <c r="Q2155" s="47">
        <v>1.0</v>
      </c>
      <c r="R2155" s="55"/>
      <c r="S2155" s="37"/>
      <c r="T2155" s="38"/>
      <c r="U2155" s="38"/>
      <c r="V2155" s="38" t="s">
        <v>33</v>
      </c>
      <c r="W2155" s="40"/>
      <c r="X2155" s="40"/>
      <c r="Y2155" s="40"/>
      <c r="Z2155" s="38"/>
      <c r="AA2155" s="38"/>
      <c r="AB2155" s="38"/>
      <c r="AC2155" s="38"/>
      <c r="AD2155" s="38"/>
      <c r="AE2155" s="38"/>
      <c r="AF2155" s="38"/>
      <c r="AG2155" s="38"/>
      <c r="AH2155" s="38"/>
      <c r="AI2155" s="38"/>
      <c r="AJ2155" s="38"/>
      <c r="AK2155" s="38"/>
      <c r="AL2155" s="38"/>
      <c r="AM2155" s="38"/>
      <c r="AN2155" s="38"/>
      <c r="AO2155" s="38"/>
      <c r="AP2155" s="38"/>
      <c r="AQ2155" s="38"/>
      <c r="AR2155" s="38"/>
      <c r="AS2155" s="38"/>
      <c r="AT2155" s="38"/>
      <c r="AU2155" s="38"/>
      <c r="AV2155" s="38"/>
      <c r="AW2155" s="38"/>
      <c r="AX2155" s="38"/>
      <c r="AY2155" s="38"/>
      <c r="AZ2155" s="38"/>
      <c r="BA2155" s="38"/>
      <c r="BB2155" s="38"/>
      <c r="BC2155" s="38"/>
      <c r="BD2155" s="38"/>
      <c r="BE2155" s="38"/>
      <c r="BF2155" s="38"/>
      <c r="BG2155" s="38"/>
      <c r="BH2155" s="38"/>
      <c r="BI2155" s="38"/>
      <c r="BJ2155" s="38"/>
      <c r="BK2155" s="38"/>
      <c r="BL2155" s="38"/>
      <c r="BM2155" s="38"/>
      <c r="BN2155" s="38"/>
      <c r="BO2155" s="38"/>
      <c r="BP2155" s="38"/>
      <c r="BQ2155" s="38"/>
    </row>
    <row r="2156">
      <c r="A2156" s="47" t="s">
        <v>5883</v>
      </c>
      <c r="B2156" s="48"/>
      <c r="C2156" s="48">
        <v>43454.0</v>
      </c>
      <c r="D2156" s="49"/>
      <c r="E2156" s="47" t="s">
        <v>41</v>
      </c>
      <c r="F2156" s="47">
        <v>1.0</v>
      </c>
      <c r="G2156" s="47" t="s">
        <v>32</v>
      </c>
      <c r="H2156" s="43">
        <v>1.0</v>
      </c>
      <c r="I2156" s="47" t="s">
        <v>33</v>
      </c>
      <c r="J2156" s="47" t="s">
        <v>47</v>
      </c>
      <c r="K2156" s="47"/>
      <c r="L2156" s="47" t="s">
        <v>5884</v>
      </c>
      <c r="M2156" s="51" t="s">
        <v>5885</v>
      </c>
      <c r="N2156" s="52"/>
      <c r="O2156" s="55"/>
      <c r="P2156" s="47"/>
      <c r="Q2156" s="47"/>
      <c r="R2156" s="55"/>
      <c r="S2156" s="37"/>
      <c r="T2156" s="38"/>
      <c r="U2156" s="38"/>
      <c r="V2156" s="38" t="s">
        <v>33</v>
      </c>
      <c r="W2156" s="40"/>
      <c r="X2156" s="40"/>
      <c r="Y2156" s="40"/>
      <c r="Z2156" s="38"/>
      <c r="AA2156" s="38"/>
      <c r="AB2156" s="38"/>
      <c r="AC2156" s="38"/>
      <c r="AD2156" s="38"/>
      <c r="AE2156" s="38"/>
      <c r="AF2156" s="38"/>
      <c r="AG2156" s="38"/>
      <c r="AH2156" s="38"/>
      <c r="AI2156" s="38"/>
      <c r="AJ2156" s="38"/>
      <c r="AK2156" s="38"/>
      <c r="AL2156" s="38"/>
      <c r="AM2156" s="38"/>
      <c r="AN2156" s="38"/>
      <c r="AO2156" s="38"/>
      <c r="AP2156" s="38"/>
      <c r="AQ2156" s="38"/>
      <c r="AR2156" s="38"/>
      <c r="AS2156" s="38"/>
      <c r="AT2156" s="38"/>
      <c r="AU2156" s="38"/>
      <c r="AV2156" s="38"/>
      <c r="AW2156" s="38"/>
      <c r="AX2156" s="38"/>
      <c r="AY2156" s="38"/>
      <c r="AZ2156" s="38"/>
      <c r="BA2156" s="38"/>
      <c r="BB2156" s="38"/>
      <c r="BC2156" s="38"/>
      <c r="BD2156" s="38"/>
      <c r="BE2156" s="38"/>
      <c r="BF2156" s="38"/>
      <c r="BG2156" s="38"/>
      <c r="BH2156" s="38"/>
      <c r="BI2156" s="38"/>
      <c r="BJ2156" s="38"/>
      <c r="BK2156" s="38"/>
      <c r="BL2156" s="38"/>
      <c r="BM2156" s="38"/>
      <c r="BN2156" s="38"/>
      <c r="BO2156" s="38"/>
      <c r="BP2156" s="38"/>
      <c r="BQ2156" s="38"/>
    </row>
    <row r="2157">
      <c r="A2157" s="47" t="s">
        <v>5886</v>
      </c>
      <c r="B2157" s="48"/>
      <c r="C2157" s="48">
        <v>43460.0</v>
      </c>
      <c r="D2157" s="49"/>
      <c r="E2157" s="47" t="s">
        <v>41</v>
      </c>
      <c r="F2157" s="47">
        <v>1.0</v>
      </c>
      <c r="G2157" s="47" t="s">
        <v>32</v>
      </c>
      <c r="H2157" s="43">
        <v>1.0</v>
      </c>
      <c r="I2157" s="47" t="s">
        <v>33</v>
      </c>
      <c r="J2157" s="47" t="s">
        <v>147</v>
      </c>
      <c r="K2157" s="47"/>
      <c r="L2157" s="47" t="s">
        <v>119</v>
      </c>
      <c r="M2157" s="51" t="s">
        <v>5887</v>
      </c>
      <c r="N2157" s="52"/>
      <c r="O2157" s="53" t="str">
        <f>hyperlink("https://bad-boys.us/?q=SD-TX/4:18-cr-00696", "SD-TX 4:18-cr-00696")</f>
        <v>SD-TX 4:18-cr-00696</v>
      </c>
      <c r="P2157" s="54" t="s">
        <v>5888</v>
      </c>
      <c r="Q2157" s="47">
        <v>1.0</v>
      </c>
      <c r="R2157" s="55"/>
      <c r="S2157" s="37"/>
      <c r="T2157" s="38"/>
      <c r="U2157" s="38" t="b">
        <f>countif(A$4:A4658, A2157)&gt;1</f>
        <v>0</v>
      </c>
      <c r="V2157" s="38" t="s">
        <v>33</v>
      </c>
      <c r="W2157" s="40"/>
      <c r="X2157" s="40"/>
      <c r="Y2157" s="40"/>
      <c r="Z2157" s="38"/>
      <c r="AA2157" s="38"/>
      <c r="AB2157" s="38"/>
      <c r="AC2157" s="38"/>
      <c r="AD2157" s="38"/>
      <c r="AE2157" s="38"/>
      <c r="AF2157" s="38"/>
      <c r="AG2157" s="38"/>
      <c r="AH2157" s="38"/>
      <c r="AI2157" s="38"/>
      <c r="AJ2157" s="38"/>
      <c r="AK2157" s="38"/>
      <c r="AL2157" s="38"/>
      <c r="AM2157" s="38"/>
      <c r="AN2157" s="38"/>
      <c r="AO2157" s="38"/>
      <c r="AP2157" s="38"/>
      <c r="AQ2157" s="38"/>
      <c r="AR2157" s="38"/>
      <c r="AS2157" s="38"/>
      <c r="AT2157" s="38"/>
      <c r="AU2157" s="38"/>
      <c r="AV2157" s="38"/>
      <c r="AW2157" s="38"/>
      <c r="AX2157" s="38"/>
      <c r="AY2157" s="38"/>
      <c r="AZ2157" s="38"/>
      <c r="BA2157" s="38"/>
      <c r="BB2157" s="38"/>
      <c r="BC2157" s="38"/>
      <c r="BD2157" s="38"/>
      <c r="BE2157" s="38"/>
      <c r="BF2157" s="38"/>
      <c r="BG2157" s="38"/>
      <c r="BH2157" s="38"/>
      <c r="BI2157" s="38"/>
      <c r="BJ2157" s="38"/>
      <c r="BK2157" s="38"/>
      <c r="BL2157" s="38"/>
      <c r="BM2157" s="38"/>
      <c r="BN2157" s="38"/>
      <c r="BO2157" s="38"/>
      <c r="BP2157" s="38"/>
      <c r="BQ2157" s="38"/>
    </row>
    <row r="2158">
      <c r="A2158" s="47" t="s">
        <v>5889</v>
      </c>
      <c r="B2158" s="48"/>
      <c r="C2158" s="48">
        <v>43455.0</v>
      </c>
      <c r="D2158" s="49"/>
      <c r="E2158" s="47" t="s">
        <v>41</v>
      </c>
      <c r="F2158" s="47">
        <v>1.0</v>
      </c>
      <c r="G2158" s="47" t="s">
        <v>32</v>
      </c>
      <c r="H2158" s="43">
        <v>1.0</v>
      </c>
      <c r="I2158" s="47" t="s">
        <v>33</v>
      </c>
      <c r="J2158" s="47" t="s">
        <v>514</v>
      </c>
      <c r="K2158" s="47"/>
      <c r="L2158" s="47" t="s">
        <v>69</v>
      </c>
      <c r="M2158" s="51" t="s">
        <v>5890</v>
      </c>
      <c r="N2158" s="52"/>
      <c r="O2158" s="55"/>
      <c r="P2158" s="47"/>
      <c r="Q2158" s="47">
        <v>1.0</v>
      </c>
      <c r="R2158" s="55"/>
      <c r="S2158" s="37"/>
      <c r="T2158" s="38"/>
      <c r="U2158" s="38"/>
      <c r="V2158" s="38" t="s">
        <v>33</v>
      </c>
      <c r="W2158" s="40"/>
      <c r="X2158" s="40"/>
      <c r="Y2158" s="40"/>
      <c r="Z2158" s="38"/>
      <c r="AA2158" s="38"/>
      <c r="AB2158" s="38"/>
      <c r="AC2158" s="38"/>
      <c r="AD2158" s="38"/>
      <c r="AE2158" s="38"/>
      <c r="AF2158" s="38"/>
      <c r="AG2158" s="38"/>
      <c r="AH2158" s="38"/>
      <c r="AI2158" s="38"/>
      <c r="AJ2158" s="38"/>
      <c r="AK2158" s="38"/>
      <c r="AL2158" s="38"/>
      <c r="AM2158" s="38"/>
      <c r="AN2158" s="38"/>
      <c r="AO2158" s="38"/>
      <c r="AP2158" s="38"/>
      <c r="AQ2158" s="38"/>
      <c r="AR2158" s="38"/>
      <c r="AS2158" s="38"/>
      <c r="AT2158" s="38"/>
      <c r="AU2158" s="38"/>
      <c r="AV2158" s="38"/>
      <c r="AW2158" s="38"/>
      <c r="AX2158" s="38"/>
      <c r="AY2158" s="38"/>
      <c r="AZ2158" s="38"/>
      <c r="BA2158" s="38"/>
      <c r="BB2158" s="38"/>
      <c r="BC2158" s="38"/>
      <c r="BD2158" s="38"/>
      <c r="BE2158" s="38"/>
      <c r="BF2158" s="38"/>
      <c r="BG2158" s="38"/>
      <c r="BH2158" s="38"/>
      <c r="BI2158" s="38"/>
      <c r="BJ2158" s="38"/>
      <c r="BK2158" s="38"/>
      <c r="BL2158" s="38"/>
      <c r="BM2158" s="38"/>
      <c r="BN2158" s="38"/>
      <c r="BO2158" s="38"/>
      <c r="BP2158" s="38"/>
      <c r="BQ2158" s="38"/>
    </row>
    <row r="2159">
      <c r="A2159" s="47" t="s">
        <v>5891</v>
      </c>
      <c r="B2159" s="48"/>
      <c r="C2159" s="48">
        <v>43455.0</v>
      </c>
      <c r="D2159" s="49"/>
      <c r="E2159" s="47" t="s">
        <v>41</v>
      </c>
      <c r="F2159" s="47">
        <v>1.0</v>
      </c>
      <c r="G2159" s="47" t="s">
        <v>32</v>
      </c>
      <c r="H2159" s="43">
        <v>1.0</v>
      </c>
      <c r="I2159" s="47" t="s">
        <v>33</v>
      </c>
      <c r="J2159" s="47" t="s">
        <v>115</v>
      </c>
      <c r="K2159" s="47"/>
      <c r="L2159" s="47" t="s">
        <v>119</v>
      </c>
      <c r="M2159" s="51" t="s">
        <v>5892</v>
      </c>
      <c r="N2159" s="52"/>
      <c r="O2159" s="55"/>
      <c r="P2159" s="47"/>
      <c r="Q2159" s="47"/>
      <c r="R2159" s="55"/>
      <c r="S2159" s="37"/>
      <c r="T2159" s="38"/>
      <c r="U2159" s="38" t="b">
        <f>countif(A$4:A4658, A2159)&gt;1</f>
        <v>0</v>
      </c>
      <c r="V2159" s="38" t="s">
        <v>33</v>
      </c>
      <c r="W2159" s="40"/>
      <c r="X2159" s="40"/>
      <c r="Y2159" s="40"/>
      <c r="Z2159" s="38"/>
      <c r="AA2159" s="38"/>
      <c r="AB2159" s="38"/>
      <c r="AC2159" s="38"/>
      <c r="AD2159" s="38"/>
      <c r="AE2159" s="38"/>
      <c r="AF2159" s="38"/>
      <c r="AG2159" s="38"/>
      <c r="AH2159" s="38"/>
      <c r="AI2159" s="38"/>
      <c r="AJ2159" s="38"/>
      <c r="AK2159" s="38"/>
      <c r="AL2159" s="38"/>
      <c r="AM2159" s="38"/>
      <c r="AN2159" s="38"/>
      <c r="AO2159" s="38"/>
      <c r="AP2159" s="38"/>
      <c r="AQ2159" s="38"/>
      <c r="AR2159" s="38"/>
      <c r="AS2159" s="38"/>
      <c r="AT2159" s="38"/>
      <c r="AU2159" s="38"/>
      <c r="AV2159" s="38"/>
      <c r="AW2159" s="38"/>
      <c r="AX2159" s="38"/>
      <c r="AY2159" s="38"/>
      <c r="AZ2159" s="38"/>
      <c r="BA2159" s="38"/>
      <c r="BB2159" s="38"/>
      <c r="BC2159" s="38"/>
      <c r="BD2159" s="38"/>
      <c r="BE2159" s="38"/>
      <c r="BF2159" s="38"/>
      <c r="BG2159" s="38"/>
      <c r="BH2159" s="38"/>
      <c r="BI2159" s="38"/>
      <c r="BJ2159" s="38"/>
      <c r="BK2159" s="38"/>
      <c r="BL2159" s="38"/>
      <c r="BM2159" s="38"/>
      <c r="BN2159" s="38"/>
      <c r="BO2159" s="38"/>
      <c r="BP2159" s="38"/>
      <c r="BQ2159" s="38"/>
    </row>
    <row r="2160">
      <c r="A2160" s="47" t="s">
        <v>5893</v>
      </c>
      <c r="B2160" s="48"/>
      <c r="C2160" s="48">
        <v>43457.0</v>
      </c>
      <c r="D2160" s="49"/>
      <c r="E2160" s="47" t="s">
        <v>41</v>
      </c>
      <c r="F2160" s="47">
        <v>1.0</v>
      </c>
      <c r="G2160" s="47" t="s">
        <v>32</v>
      </c>
      <c r="H2160" s="43">
        <v>1.0</v>
      </c>
      <c r="I2160" s="47" t="s">
        <v>33</v>
      </c>
      <c r="J2160" s="47" t="s">
        <v>410</v>
      </c>
      <c r="K2160" s="47"/>
      <c r="L2160" s="47" t="s">
        <v>52</v>
      </c>
      <c r="M2160" s="51" t="s">
        <v>5894</v>
      </c>
      <c r="N2160" s="52"/>
      <c r="O2160" s="55"/>
      <c r="P2160" s="47"/>
      <c r="Q2160" s="47"/>
      <c r="R2160" s="55"/>
      <c r="S2160" s="37"/>
      <c r="T2160" s="38"/>
      <c r="U2160" s="38"/>
      <c r="V2160" s="38" t="s">
        <v>33</v>
      </c>
      <c r="W2160" s="40"/>
      <c r="X2160" s="40"/>
      <c r="Y2160" s="40"/>
      <c r="Z2160" s="38"/>
      <c r="AA2160" s="38"/>
      <c r="AB2160" s="38"/>
      <c r="AC2160" s="38"/>
      <c r="AD2160" s="38"/>
      <c r="AE2160" s="38"/>
      <c r="AF2160" s="38"/>
      <c r="AG2160" s="38"/>
      <c r="AH2160" s="38"/>
      <c r="AI2160" s="38"/>
      <c r="AJ2160" s="38"/>
      <c r="AK2160" s="38"/>
      <c r="AL2160" s="38"/>
      <c r="AM2160" s="38"/>
      <c r="AN2160" s="38"/>
      <c r="AO2160" s="38"/>
      <c r="AP2160" s="38"/>
      <c r="AQ2160" s="38"/>
      <c r="AR2160" s="38"/>
      <c r="AS2160" s="38"/>
      <c r="AT2160" s="38"/>
      <c r="AU2160" s="38"/>
      <c r="AV2160" s="38"/>
      <c r="AW2160" s="38"/>
      <c r="AX2160" s="38"/>
      <c r="AY2160" s="38"/>
      <c r="AZ2160" s="38"/>
      <c r="BA2160" s="38"/>
      <c r="BB2160" s="38"/>
      <c r="BC2160" s="38"/>
      <c r="BD2160" s="38"/>
      <c r="BE2160" s="38"/>
      <c r="BF2160" s="38"/>
      <c r="BG2160" s="38"/>
      <c r="BH2160" s="38"/>
      <c r="BI2160" s="38"/>
      <c r="BJ2160" s="38"/>
      <c r="BK2160" s="38"/>
      <c r="BL2160" s="38"/>
      <c r="BM2160" s="38"/>
      <c r="BN2160" s="38"/>
      <c r="BO2160" s="38"/>
      <c r="BP2160" s="38"/>
      <c r="BQ2160" s="38"/>
    </row>
    <row r="2161">
      <c r="A2161" s="47" t="s">
        <v>5895</v>
      </c>
      <c r="B2161" s="48"/>
      <c r="C2161" s="48">
        <v>43461.0</v>
      </c>
      <c r="D2161" s="49"/>
      <c r="E2161" s="47" t="s">
        <v>31</v>
      </c>
      <c r="F2161" s="47">
        <v>1.0</v>
      </c>
      <c r="G2161" s="47" t="s">
        <v>32</v>
      </c>
      <c r="H2161" s="43">
        <v>1.0</v>
      </c>
      <c r="I2161" s="47" t="s">
        <v>33</v>
      </c>
      <c r="J2161" s="47" t="s">
        <v>179</v>
      </c>
      <c r="K2161" s="47"/>
      <c r="L2161" s="47" t="s">
        <v>76</v>
      </c>
      <c r="M2161" s="51" t="s">
        <v>5896</v>
      </c>
      <c r="N2161" s="51" t="s">
        <v>5897</v>
      </c>
      <c r="O2161" s="53" t="str">
        <f>hyperlink("https://bad-boys.us/?q=ED-VA/2:19-cr-00017", "ED-VA 2:19-cr-00017")</f>
        <v>ED-VA 2:19-cr-00017</v>
      </c>
      <c r="P2161" s="47"/>
      <c r="Q2161" s="47">
        <v>1.0</v>
      </c>
      <c r="R2161" s="55"/>
      <c r="S2161" s="37" t="str">
        <f>IFERROR(__xludf.DUMMYFUNCTION("if(not(iserror(index(split(C2161, "" ""),2))), index(split(C2161, "" ""),1),"""")"),"December")</f>
        <v>December</v>
      </c>
      <c r="T2161" s="38">
        <f>IFERROR(__xludf.DUMMYFUNCTION("if(S2161="""",C2161,if(not(iserror(index(split(C2161, "" ""),3))), index(split(C2161, "" ""),3),index(split(C2161, "" ""),2)))"),2018.0)</f>
        <v>2018</v>
      </c>
      <c r="U2161" s="38" t="b">
        <f t="shared" ref="U2161:U2167" si="339">countif(A$4:A4658, A2161)&gt;1</f>
        <v>0</v>
      </c>
      <c r="V2161" s="38" t="s">
        <v>33</v>
      </c>
      <c r="W2161" s="39" t="s">
        <v>5898</v>
      </c>
      <c r="X2161" s="39" t="s">
        <v>5899</v>
      </c>
      <c r="Y2161" s="40"/>
      <c r="Z2161" s="38"/>
      <c r="AA2161" s="38"/>
      <c r="AB2161" s="38"/>
      <c r="AC2161" s="38"/>
      <c r="AD2161" s="38"/>
      <c r="AE2161" s="38"/>
      <c r="AF2161" s="38"/>
      <c r="AG2161" s="38"/>
      <c r="AH2161" s="38"/>
      <c r="AI2161" s="38"/>
      <c r="AJ2161" s="38"/>
      <c r="AK2161" s="38"/>
      <c r="AL2161" s="38"/>
      <c r="AM2161" s="38"/>
      <c r="AN2161" s="38"/>
      <c r="AO2161" s="38"/>
      <c r="AP2161" s="38"/>
      <c r="AQ2161" s="38"/>
      <c r="AR2161" s="38"/>
      <c r="AS2161" s="38"/>
      <c r="AT2161" s="38"/>
      <c r="AU2161" s="38"/>
      <c r="AV2161" s="38"/>
      <c r="AW2161" s="38"/>
      <c r="AX2161" s="38"/>
      <c r="AY2161" s="38"/>
      <c r="AZ2161" s="38"/>
      <c r="BA2161" s="38"/>
      <c r="BB2161" s="38"/>
      <c r="BC2161" s="38"/>
      <c r="BD2161" s="38"/>
      <c r="BE2161" s="38"/>
      <c r="BF2161" s="38"/>
      <c r="BG2161" s="38"/>
      <c r="BH2161" s="38"/>
      <c r="BI2161" s="38"/>
      <c r="BJ2161" s="38"/>
      <c r="BK2161" s="38"/>
      <c r="BL2161" s="38"/>
      <c r="BM2161" s="38"/>
      <c r="BN2161" s="38"/>
      <c r="BO2161" s="38"/>
      <c r="BP2161" s="38"/>
      <c r="BQ2161" s="38"/>
    </row>
    <row r="2162">
      <c r="A2162" s="47" t="s">
        <v>5900</v>
      </c>
      <c r="B2162" s="48"/>
      <c r="C2162" s="48">
        <v>43466.0</v>
      </c>
      <c r="D2162" s="49"/>
      <c r="E2162" s="47" t="s">
        <v>41</v>
      </c>
      <c r="F2162" s="47">
        <v>1.0</v>
      </c>
      <c r="G2162" s="47" t="s">
        <v>32</v>
      </c>
      <c r="H2162" s="43">
        <v>1.0</v>
      </c>
      <c r="I2162" s="47" t="s">
        <v>33</v>
      </c>
      <c r="J2162" s="47" t="s">
        <v>2315</v>
      </c>
      <c r="K2162" s="47"/>
      <c r="L2162" s="47" t="s">
        <v>790</v>
      </c>
      <c r="M2162" s="51" t="s">
        <v>5901</v>
      </c>
      <c r="N2162" s="52"/>
      <c r="O2162" s="53" t="str">
        <f>hyperlink("https://bad-boys.us/?q=D-WY/1:19-cr-00044", "D-WY 1:19-cr-00044 ❓")</f>
        <v>D-WY 1:19-cr-00044 ❓</v>
      </c>
      <c r="P2162" s="54" t="s">
        <v>5902</v>
      </c>
      <c r="Q2162" s="47">
        <v>1.0</v>
      </c>
      <c r="R2162" s="55"/>
      <c r="S2162" s="37"/>
      <c r="T2162" s="38"/>
      <c r="U2162" s="38" t="b">
        <f t="shared" si="339"/>
        <v>0</v>
      </c>
      <c r="V2162" s="38"/>
      <c r="W2162" s="40"/>
      <c r="X2162" s="40"/>
      <c r="Y2162" s="40"/>
      <c r="Z2162" s="38"/>
      <c r="AA2162" s="38"/>
      <c r="AB2162" s="38"/>
      <c r="AC2162" s="38"/>
      <c r="AD2162" s="38"/>
      <c r="AE2162" s="38"/>
      <c r="AF2162" s="38"/>
      <c r="AG2162" s="38"/>
      <c r="AH2162" s="38"/>
      <c r="AI2162" s="38"/>
      <c r="AJ2162" s="38"/>
      <c r="AK2162" s="38"/>
      <c r="AL2162" s="38"/>
      <c r="AM2162" s="38"/>
      <c r="AN2162" s="38"/>
      <c r="AO2162" s="38"/>
      <c r="AP2162" s="38"/>
      <c r="AQ2162" s="38"/>
      <c r="AR2162" s="38"/>
      <c r="AS2162" s="38"/>
      <c r="AT2162" s="38"/>
      <c r="AU2162" s="38"/>
      <c r="AV2162" s="38"/>
      <c r="AW2162" s="38"/>
      <c r="AX2162" s="38"/>
      <c r="AY2162" s="38"/>
      <c r="AZ2162" s="38"/>
      <c r="BA2162" s="38"/>
      <c r="BB2162" s="38"/>
      <c r="BC2162" s="38"/>
      <c r="BD2162" s="38"/>
      <c r="BE2162" s="38"/>
      <c r="BF2162" s="38"/>
      <c r="BG2162" s="38"/>
      <c r="BH2162" s="38"/>
      <c r="BI2162" s="38"/>
      <c r="BJ2162" s="38"/>
      <c r="BK2162" s="38"/>
      <c r="BL2162" s="38"/>
      <c r="BM2162" s="38"/>
      <c r="BN2162" s="38"/>
      <c r="BO2162" s="38"/>
      <c r="BP2162" s="38"/>
      <c r="BQ2162" s="38"/>
    </row>
    <row r="2163">
      <c r="A2163" s="47" t="s">
        <v>5903</v>
      </c>
      <c r="B2163" s="48">
        <v>43475.0</v>
      </c>
      <c r="C2163" s="89">
        <v>43466.0</v>
      </c>
      <c r="D2163" s="49" t="s">
        <v>5904</v>
      </c>
      <c r="E2163" s="47" t="s">
        <v>41</v>
      </c>
      <c r="F2163" s="47">
        <v>1.0</v>
      </c>
      <c r="G2163" s="47">
        <v>1.0</v>
      </c>
      <c r="H2163" s="50">
        <v>1.0</v>
      </c>
      <c r="I2163" s="47" t="s">
        <v>33</v>
      </c>
      <c r="J2163" s="47" t="s">
        <v>268</v>
      </c>
      <c r="K2163" s="47">
        <v>1.0</v>
      </c>
      <c r="L2163" s="47" t="s">
        <v>5905</v>
      </c>
      <c r="M2163" s="51" t="s">
        <v>5906</v>
      </c>
      <c r="N2163" s="52"/>
      <c r="O2163" s="53" t="str">
        <f>hyperlink("https://bad-boys.us/?q=ND-OK/4:18-cr-00003", "ND-OK 4:18-cr-00003")</f>
        <v>ND-OK 4:18-cr-00003</v>
      </c>
      <c r="P2163" s="47"/>
      <c r="Q2163" s="47">
        <v>1.0</v>
      </c>
      <c r="R2163" s="55"/>
      <c r="S2163" s="37" t="str">
        <f>IFERROR(__xludf.DUMMYFUNCTION("if(not(iserror(index(split(C2163, "" ""),2))), index(split(C2163, "" ""),1),"""")"),"January,")</f>
        <v>January,</v>
      </c>
      <c r="T2163" s="38">
        <f>IFERROR(__xludf.DUMMYFUNCTION("if(S2163="""",C2163,if(not(iserror(index(split(C2163, "" ""),3))), index(split(C2163, "" ""),3),index(split(C2163, "" ""),2)))"),2019.0)</f>
        <v>2019</v>
      </c>
      <c r="U2163" s="38" t="b">
        <f t="shared" si="339"/>
        <v>0</v>
      </c>
      <c r="V2163" s="38"/>
      <c r="W2163" s="40"/>
      <c r="X2163" s="40"/>
      <c r="Y2163" s="40"/>
      <c r="Z2163" s="38"/>
      <c r="AA2163" s="38"/>
      <c r="AB2163" s="38"/>
      <c r="AC2163" s="38"/>
      <c r="AD2163" s="38"/>
      <c r="AE2163" s="38"/>
      <c r="AF2163" s="38"/>
      <c r="AG2163" s="38"/>
      <c r="AH2163" s="38"/>
      <c r="AI2163" s="38"/>
      <c r="AJ2163" s="38"/>
      <c r="AK2163" s="38"/>
      <c r="AL2163" s="38"/>
      <c r="AM2163" s="38"/>
      <c r="AN2163" s="38"/>
      <c r="AO2163" s="38"/>
      <c r="AP2163" s="38"/>
      <c r="AQ2163" s="38"/>
      <c r="AR2163" s="38"/>
      <c r="AS2163" s="38"/>
      <c r="AT2163" s="38"/>
      <c r="AU2163" s="38"/>
      <c r="AV2163" s="38"/>
      <c r="AW2163" s="38"/>
      <c r="AX2163" s="38"/>
      <c r="AY2163" s="38"/>
      <c r="AZ2163" s="38"/>
      <c r="BA2163" s="38"/>
      <c r="BB2163" s="38"/>
      <c r="BC2163" s="38"/>
      <c r="BD2163" s="38"/>
      <c r="BE2163" s="38"/>
      <c r="BF2163" s="38"/>
      <c r="BG2163" s="38"/>
      <c r="BH2163" s="38"/>
      <c r="BI2163" s="38"/>
      <c r="BJ2163" s="38"/>
      <c r="BK2163" s="38"/>
      <c r="BL2163" s="38"/>
      <c r="BM2163" s="38"/>
      <c r="BN2163" s="38"/>
      <c r="BO2163" s="38"/>
      <c r="BP2163" s="38"/>
      <c r="BQ2163" s="38"/>
    </row>
    <row r="2164">
      <c r="A2164" s="47" t="s">
        <v>5907</v>
      </c>
      <c r="B2164" s="48">
        <v>43475.0</v>
      </c>
      <c r="C2164" s="89">
        <v>43466.0</v>
      </c>
      <c r="D2164" s="49" t="s">
        <v>5904</v>
      </c>
      <c r="E2164" s="47" t="s">
        <v>41</v>
      </c>
      <c r="F2164" s="47">
        <v>1.0</v>
      </c>
      <c r="G2164" s="47">
        <v>1.0</v>
      </c>
      <c r="H2164" s="50">
        <v>1.0</v>
      </c>
      <c r="I2164" s="47" t="s">
        <v>33</v>
      </c>
      <c r="J2164" s="47" t="s">
        <v>268</v>
      </c>
      <c r="K2164" s="47">
        <v>1.0</v>
      </c>
      <c r="L2164" s="47" t="s">
        <v>99</v>
      </c>
      <c r="M2164" s="51" t="s">
        <v>5906</v>
      </c>
      <c r="N2164" s="52"/>
      <c r="O2164" s="53" t="str">
        <f>hyperlink("https://bad-boys.us/?q=ND-OK/4:18-cr-00004", "ND-OK 4:18-cr-00004")</f>
        <v>ND-OK 4:18-cr-00004</v>
      </c>
      <c r="P2164" s="47"/>
      <c r="Q2164" s="47">
        <v>1.0</v>
      </c>
      <c r="R2164" s="55"/>
      <c r="S2164" s="37" t="str">
        <f>IFERROR(__xludf.DUMMYFUNCTION("if(not(iserror(index(split(C2164, "" ""),2))), index(split(C2164, "" ""),1),"""")"),"January,")</f>
        <v>January,</v>
      </c>
      <c r="T2164" s="38">
        <f>IFERROR(__xludf.DUMMYFUNCTION("if(S2164="""",C2164,if(not(iserror(index(split(C2164, "" ""),3))), index(split(C2164, "" ""),3),index(split(C2164, "" ""),2)))"),2019.0)</f>
        <v>2019</v>
      </c>
      <c r="U2164" s="38" t="b">
        <f t="shared" si="339"/>
        <v>0</v>
      </c>
      <c r="V2164" s="38"/>
      <c r="W2164" s="40"/>
      <c r="X2164" s="40"/>
      <c r="Y2164" s="40"/>
      <c r="Z2164" s="38"/>
      <c r="AA2164" s="38"/>
      <c r="AB2164" s="38"/>
      <c r="AC2164" s="38"/>
      <c r="AD2164" s="38"/>
      <c r="AE2164" s="38"/>
      <c r="AF2164" s="38"/>
      <c r="AG2164" s="38"/>
      <c r="AH2164" s="38"/>
      <c r="AI2164" s="38"/>
      <c r="AJ2164" s="38"/>
      <c r="AK2164" s="38"/>
      <c r="AL2164" s="38"/>
      <c r="AM2164" s="38"/>
      <c r="AN2164" s="38"/>
      <c r="AO2164" s="38"/>
      <c r="AP2164" s="38"/>
      <c r="AQ2164" s="38"/>
      <c r="AR2164" s="38"/>
      <c r="AS2164" s="38"/>
      <c r="AT2164" s="38"/>
      <c r="AU2164" s="38"/>
      <c r="AV2164" s="38"/>
      <c r="AW2164" s="38"/>
      <c r="AX2164" s="38"/>
      <c r="AY2164" s="38"/>
      <c r="AZ2164" s="38"/>
      <c r="BA2164" s="38"/>
      <c r="BB2164" s="38"/>
      <c r="BC2164" s="38"/>
      <c r="BD2164" s="38"/>
      <c r="BE2164" s="38"/>
      <c r="BF2164" s="38"/>
      <c r="BG2164" s="38"/>
      <c r="BH2164" s="38"/>
      <c r="BI2164" s="38"/>
      <c r="BJ2164" s="38"/>
      <c r="BK2164" s="38"/>
      <c r="BL2164" s="38"/>
      <c r="BM2164" s="38"/>
      <c r="BN2164" s="38"/>
      <c r="BO2164" s="38"/>
      <c r="BP2164" s="38"/>
      <c r="BQ2164" s="38"/>
    </row>
    <row r="2165">
      <c r="A2165" s="47" t="s">
        <v>5908</v>
      </c>
      <c r="B2165" s="48">
        <v>43481.0</v>
      </c>
      <c r="C2165" s="89">
        <v>43466.0</v>
      </c>
      <c r="D2165" s="49" t="s">
        <v>5904</v>
      </c>
      <c r="E2165" s="47" t="s">
        <v>41</v>
      </c>
      <c r="F2165" s="47">
        <v>1.0</v>
      </c>
      <c r="G2165" s="47" t="s">
        <v>32</v>
      </c>
      <c r="H2165" s="43">
        <v>1.0</v>
      </c>
      <c r="I2165" s="47" t="s">
        <v>33</v>
      </c>
      <c r="J2165" s="47" t="s">
        <v>172</v>
      </c>
      <c r="K2165" s="47">
        <v>1.0</v>
      </c>
      <c r="L2165" s="47" t="s">
        <v>99</v>
      </c>
      <c r="M2165" s="51" t="s">
        <v>5909</v>
      </c>
      <c r="N2165" s="52"/>
      <c r="O2165" s="53" t="str">
        <f>hyperlink("https://bad-boys.us/?q=ED-NC/2:19-cr-00001", "ED-NC 2:19-cr-00001")</f>
        <v>ED-NC 2:19-cr-00001</v>
      </c>
      <c r="P2165" s="54" t="s">
        <v>5910</v>
      </c>
      <c r="Q2165" s="47">
        <v>1.0</v>
      </c>
      <c r="R2165" s="55"/>
      <c r="S2165" s="37" t="str">
        <f>IFERROR(__xludf.DUMMYFUNCTION("if(not(iserror(index(split(C2165, "" ""),2))), index(split(C2165, "" ""),1),"""")"),"January,")</f>
        <v>January,</v>
      </c>
      <c r="T2165" s="38">
        <f>IFERROR(__xludf.DUMMYFUNCTION("if(S2165="""",C2165,if(not(iserror(index(split(C2165, "" ""),3))), index(split(C2165, "" ""),3),index(split(C2165, "" ""),2)))"),2019.0)</f>
        <v>2019</v>
      </c>
      <c r="U2165" s="38" t="b">
        <f t="shared" si="339"/>
        <v>0</v>
      </c>
      <c r="V2165" s="38" t="s">
        <v>33</v>
      </c>
      <c r="W2165" s="40"/>
      <c r="X2165" s="40"/>
      <c r="Y2165" s="40"/>
      <c r="Z2165" s="38"/>
      <c r="AA2165" s="38"/>
      <c r="AB2165" s="38"/>
      <c r="AC2165" s="38"/>
      <c r="AD2165" s="38"/>
      <c r="AE2165" s="38"/>
      <c r="AF2165" s="38"/>
      <c r="AG2165" s="38"/>
      <c r="AH2165" s="38"/>
      <c r="AI2165" s="38"/>
      <c r="AJ2165" s="38"/>
      <c r="AK2165" s="38"/>
      <c r="AL2165" s="38"/>
      <c r="AM2165" s="38"/>
      <c r="AN2165" s="38"/>
      <c r="AO2165" s="38"/>
      <c r="AP2165" s="38"/>
      <c r="AQ2165" s="38"/>
      <c r="AR2165" s="38"/>
      <c r="AS2165" s="38"/>
      <c r="AT2165" s="38"/>
      <c r="AU2165" s="38"/>
      <c r="AV2165" s="38"/>
      <c r="AW2165" s="38"/>
      <c r="AX2165" s="38"/>
      <c r="AY2165" s="38"/>
      <c r="AZ2165" s="38"/>
      <c r="BA2165" s="38"/>
      <c r="BB2165" s="38"/>
      <c r="BC2165" s="38"/>
      <c r="BD2165" s="38"/>
      <c r="BE2165" s="38"/>
      <c r="BF2165" s="38"/>
      <c r="BG2165" s="38"/>
      <c r="BH2165" s="38"/>
      <c r="BI2165" s="38"/>
      <c r="BJ2165" s="38"/>
      <c r="BK2165" s="38"/>
      <c r="BL2165" s="38"/>
      <c r="BM2165" s="38"/>
      <c r="BN2165" s="38"/>
      <c r="BO2165" s="38"/>
      <c r="BP2165" s="38"/>
      <c r="BQ2165" s="38"/>
    </row>
    <row r="2166">
      <c r="A2166" s="47" t="s">
        <v>1554</v>
      </c>
      <c r="B2166" s="48">
        <v>43481.0</v>
      </c>
      <c r="C2166" s="89">
        <v>43466.0</v>
      </c>
      <c r="D2166" s="49" t="s">
        <v>5904</v>
      </c>
      <c r="E2166" s="47" t="s">
        <v>41</v>
      </c>
      <c r="F2166" s="47">
        <v>1.0</v>
      </c>
      <c r="G2166" s="47" t="s">
        <v>32</v>
      </c>
      <c r="H2166" s="43">
        <v>1.0</v>
      </c>
      <c r="I2166" s="47" t="s">
        <v>33</v>
      </c>
      <c r="J2166" s="47" t="s">
        <v>172</v>
      </c>
      <c r="K2166" s="47">
        <v>1.0</v>
      </c>
      <c r="L2166" s="47" t="s">
        <v>99</v>
      </c>
      <c r="M2166" s="51" t="s">
        <v>5909</v>
      </c>
      <c r="N2166" s="52"/>
      <c r="O2166" s="53" t="str">
        <f>hyperlink("https://bad-boys.us/?q=ED-NC/7:19-cr-00004", "ED-NC 7:19-cr-00004")</f>
        <v>ED-NC 7:19-cr-00004</v>
      </c>
      <c r="P2166" s="54" t="s">
        <v>5911</v>
      </c>
      <c r="Q2166" s="47">
        <v>1.0</v>
      </c>
      <c r="R2166" s="55"/>
      <c r="S2166" s="37" t="str">
        <f>IFERROR(__xludf.DUMMYFUNCTION("if(not(iserror(index(split(C2166, "" ""),2))), index(split(C2166, "" ""),1),"""")"),"January,")</f>
        <v>January,</v>
      </c>
      <c r="T2166" s="38">
        <f>IFERROR(__xludf.DUMMYFUNCTION("if(S2166="""",C2166,if(not(iserror(index(split(C2166, "" ""),3))), index(split(C2166, "" ""),3),index(split(C2166, "" ""),2)))"),2019.0)</f>
        <v>2019</v>
      </c>
      <c r="U2166" s="38" t="b">
        <f t="shared" si="339"/>
        <v>1</v>
      </c>
      <c r="V2166" s="38" t="s">
        <v>33</v>
      </c>
      <c r="W2166" s="40"/>
      <c r="X2166" s="40"/>
      <c r="Y2166" s="40"/>
      <c r="Z2166" s="38"/>
      <c r="AA2166" s="38"/>
      <c r="AB2166" s="38"/>
      <c r="AC2166" s="38"/>
      <c r="AD2166" s="38"/>
      <c r="AE2166" s="38"/>
      <c r="AF2166" s="38"/>
      <c r="AG2166" s="38"/>
      <c r="AH2166" s="38"/>
      <c r="AI2166" s="38"/>
      <c r="AJ2166" s="38"/>
      <c r="AK2166" s="38"/>
      <c r="AL2166" s="38"/>
      <c r="AM2166" s="38"/>
      <c r="AN2166" s="38"/>
      <c r="AO2166" s="38"/>
      <c r="AP2166" s="38"/>
      <c r="AQ2166" s="38"/>
      <c r="AR2166" s="38"/>
      <c r="AS2166" s="38"/>
      <c r="AT2166" s="38"/>
      <c r="AU2166" s="38"/>
      <c r="AV2166" s="38"/>
      <c r="AW2166" s="38"/>
      <c r="AX2166" s="38"/>
      <c r="AY2166" s="38"/>
      <c r="AZ2166" s="38"/>
      <c r="BA2166" s="38"/>
      <c r="BB2166" s="38"/>
      <c r="BC2166" s="38"/>
      <c r="BD2166" s="38"/>
      <c r="BE2166" s="38"/>
      <c r="BF2166" s="38"/>
      <c r="BG2166" s="38"/>
      <c r="BH2166" s="38"/>
      <c r="BI2166" s="38"/>
      <c r="BJ2166" s="38"/>
      <c r="BK2166" s="38"/>
      <c r="BL2166" s="38"/>
      <c r="BM2166" s="38"/>
      <c r="BN2166" s="38"/>
      <c r="BO2166" s="38"/>
      <c r="BP2166" s="38"/>
      <c r="BQ2166" s="38"/>
    </row>
    <row r="2167">
      <c r="A2167" s="47" t="s">
        <v>5912</v>
      </c>
      <c r="B2167" s="48"/>
      <c r="C2167" s="89">
        <v>43466.0</v>
      </c>
      <c r="D2167" s="49"/>
      <c r="E2167" s="47" t="s">
        <v>41</v>
      </c>
      <c r="F2167" s="47">
        <v>1.0</v>
      </c>
      <c r="G2167" s="47" t="s">
        <v>32</v>
      </c>
      <c r="H2167" s="50">
        <v>1.0</v>
      </c>
      <c r="I2167" s="47" t="s">
        <v>33</v>
      </c>
      <c r="J2167" s="47" t="s">
        <v>140</v>
      </c>
      <c r="K2167" s="47"/>
      <c r="L2167" s="47" t="s">
        <v>119</v>
      </c>
      <c r="M2167" s="51" t="s">
        <v>5913</v>
      </c>
      <c r="N2167" s="52"/>
      <c r="O2167" s="53" t="str">
        <f>hyperlink("https://bad-boys.us/?q=D-ME/2:19-cr-00070", "D-ME 2:19-cr-00070")</f>
        <v>D-ME 2:19-cr-00070</v>
      </c>
      <c r="P2167" s="54" t="s">
        <v>5914</v>
      </c>
      <c r="Q2167" s="47">
        <v>1.0</v>
      </c>
      <c r="R2167" s="55"/>
      <c r="S2167" s="37" t="str">
        <f>IFERROR(__xludf.DUMMYFUNCTION("if(not(iserror(index(split(C2167, "" ""),2))), index(split(C2167, "" ""),1),"""")"),"January,")</f>
        <v>January,</v>
      </c>
      <c r="T2167" s="38">
        <f>IFERROR(__xludf.DUMMYFUNCTION("if(S2167="""",C2167,if(not(iserror(index(split(C2167, "" ""),3))), index(split(C2167, "" ""),3),index(split(C2167, "" ""),2)))"),2019.0)</f>
        <v>2019</v>
      </c>
      <c r="U2167" s="38" t="b">
        <f t="shared" si="339"/>
        <v>0</v>
      </c>
      <c r="V2167" s="38"/>
      <c r="W2167" s="40"/>
      <c r="X2167" s="40"/>
      <c r="Y2167" s="40"/>
      <c r="Z2167" s="38"/>
      <c r="AA2167" s="38"/>
      <c r="AB2167" s="38"/>
      <c r="AC2167" s="38"/>
      <c r="AD2167" s="38"/>
      <c r="AE2167" s="38"/>
      <c r="AF2167" s="38"/>
      <c r="AG2167" s="38"/>
      <c r="AH2167" s="38"/>
      <c r="AI2167" s="38"/>
      <c r="AJ2167" s="38"/>
      <c r="AK2167" s="38"/>
      <c r="AL2167" s="38"/>
      <c r="AM2167" s="38"/>
      <c r="AN2167" s="38"/>
      <c r="AO2167" s="38"/>
      <c r="AP2167" s="38"/>
      <c r="AQ2167" s="38"/>
      <c r="AR2167" s="38"/>
      <c r="AS2167" s="38"/>
      <c r="AT2167" s="38"/>
      <c r="AU2167" s="38"/>
      <c r="AV2167" s="38"/>
      <c r="AW2167" s="38"/>
      <c r="AX2167" s="38"/>
      <c r="AY2167" s="38"/>
      <c r="AZ2167" s="38"/>
      <c r="BA2167" s="38"/>
      <c r="BB2167" s="38"/>
      <c r="BC2167" s="38"/>
      <c r="BD2167" s="38"/>
      <c r="BE2167" s="38"/>
      <c r="BF2167" s="38"/>
      <c r="BG2167" s="38"/>
      <c r="BH2167" s="38"/>
      <c r="BI2167" s="38"/>
      <c r="BJ2167" s="38"/>
      <c r="BK2167" s="38"/>
      <c r="BL2167" s="38"/>
      <c r="BM2167" s="38"/>
      <c r="BN2167" s="38"/>
      <c r="BO2167" s="38"/>
      <c r="BP2167" s="38"/>
      <c r="BQ2167" s="38"/>
    </row>
    <row r="2168">
      <c r="A2168" s="47" t="s">
        <v>5915</v>
      </c>
      <c r="B2168" s="48"/>
      <c r="C2168" s="89">
        <v>43466.0</v>
      </c>
      <c r="D2168" s="49"/>
      <c r="E2168" s="47" t="s">
        <v>41</v>
      </c>
      <c r="F2168" s="47">
        <v>1.0</v>
      </c>
      <c r="G2168" s="47" t="s">
        <v>32</v>
      </c>
      <c r="H2168" s="50">
        <v>1.0</v>
      </c>
      <c r="I2168" s="47" t="s">
        <v>33</v>
      </c>
      <c r="J2168" s="47" t="s">
        <v>98</v>
      </c>
      <c r="K2168" s="47"/>
      <c r="L2168" s="47" t="s">
        <v>69</v>
      </c>
      <c r="M2168" s="51" t="s">
        <v>5916</v>
      </c>
      <c r="N2168" s="52"/>
      <c r="O2168" s="55"/>
      <c r="P2168" s="47"/>
      <c r="Q2168" s="47"/>
      <c r="R2168" s="55"/>
      <c r="S2168" s="37"/>
      <c r="T2168" s="38"/>
      <c r="U2168" s="38"/>
      <c r="V2168" s="38" t="s">
        <v>33</v>
      </c>
      <c r="W2168" s="40"/>
      <c r="X2168" s="40"/>
      <c r="Y2168" s="40"/>
      <c r="Z2168" s="38"/>
      <c r="AA2168" s="38"/>
      <c r="AB2168" s="38"/>
      <c r="AC2168" s="38"/>
      <c r="AD2168" s="38"/>
      <c r="AE2168" s="38"/>
      <c r="AF2168" s="38"/>
      <c r="AG2168" s="38"/>
      <c r="AH2168" s="38"/>
      <c r="AI2168" s="38"/>
      <c r="AJ2168" s="38"/>
      <c r="AK2168" s="38"/>
      <c r="AL2168" s="38"/>
      <c r="AM2168" s="38"/>
      <c r="AN2168" s="38"/>
      <c r="AO2168" s="38"/>
      <c r="AP2168" s="38"/>
      <c r="AQ2168" s="38"/>
      <c r="AR2168" s="38"/>
      <c r="AS2168" s="38"/>
      <c r="AT2168" s="38"/>
      <c r="AU2168" s="38"/>
      <c r="AV2168" s="38"/>
      <c r="AW2168" s="38"/>
      <c r="AX2168" s="38"/>
      <c r="AY2168" s="38"/>
      <c r="AZ2168" s="38"/>
      <c r="BA2168" s="38"/>
      <c r="BB2168" s="38"/>
      <c r="BC2168" s="38"/>
      <c r="BD2168" s="38"/>
      <c r="BE2168" s="38"/>
      <c r="BF2168" s="38"/>
      <c r="BG2168" s="38"/>
      <c r="BH2168" s="38"/>
      <c r="BI2168" s="38"/>
      <c r="BJ2168" s="38"/>
      <c r="BK2168" s="38"/>
      <c r="BL2168" s="38"/>
      <c r="BM2168" s="38"/>
      <c r="BN2168" s="38"/>
      <c r="BO2168" s="38"/>
      <c r="BP2168" s="38"/>
      <c r="BQ2168" s="38"/>
    </row>
    <row r="2169">
      <c r="A2169" s="47" t="s">
        <v>5917</v>
      </c>
      <c r="B2169" s="48"/>
      <c r="C2169" s="89">
        <v>43466.0</v>
      </c>
      <c r="D2169" s="49"/>
      <c r="E2169" s="47" t="s">
        <v>41</v>
      </c>
      <c r="F2169" s="47">
        <v>1.0</v>
      </c>
      <c r="G2169" s="47" t="s">
        <v>32</v>
      </c>
      <c r="H2169" s="50">
        <v>1.0</v>
      </c>
      <c r="I2169" s="47" t="s">
        <v>33</v>
      </c>
      <c r="J2169" s="47" t="s">
        <v>283</v>
      </c>
      <c r="K2169" s="47"/>
      <c r="L2169" s="47" t="s">
        <v>119</v>
      </c>
      <c r="M2169" s="51" t="s">
        <v>5918</v>
      </c>
      <c r="N2169" s="52"/>
      <c r="O2169" s="55"/>
      <c r="P2169" s="47"/>
      <c r="Q2169" s="47"/>
      <c r="R2169" s="55"/>
      <c r="S2169" s="37"/>
      <c r="T2169" s="38"/>
      <c r="U2169" s="38"/>
      <c r="V2169" s="38" t="s">
        <v>33</v>
      </c>
      <c r="W2169" s="40"/>
      <c r="X2169" s="40"/>
      <c r="Y2169" s="40"/>
      <c r="Z2169" s="38"/>
      <c r="AA2169" s="38"/>
      <c r="AB2169" s="38"/>
      <c r="AC2169" s="38"/>
      <c r="AD2169" s="38"/>
      <c r="AE2169" s="38"/>
      <c r="AF2169" s="38"/>
      <c r="AG2169" s="38"/>
      <c r="AH2169" s="38"/>
      <c r="AI2169" s="38"/>
      <c r="AJ2169" s="38"/>
      <c r="AK2169" s="38"/>
      <c r="AL2169" s="38"/>
      <c r="AM2169" s="38"/>
      <c r="AN2169" s="38"/>
      <c r="AO2169" s="38"/>
      <c r="AP2169" s="38"/>
      <c r="AQ2169" s="38"/>
      <c r="AR2169" s="38"/>
      <c r="AS2169" s="38"/>
      <c r="AT2169" s="38"/>
      <c r="AU2169" s="38"/>
      <c r="AV2169" s="38"/>
      <c r="AW2169" s="38"/>
      <c r="AX2169" s="38"/>
      <c r="AY2169" s="38"/>
      <c r="AZ2169" s="38"/>
      <c r="BA2169" s="38"/>
      <c r="BB2169" s="38"/>
      <c r="BC2169" s="38"/>
      <c r="BD2169" s="38"/>
      <c r="BE2169" s="38"/>
      <c r="BF2169" s="38"/>
      <c r="BG2169" s="38"/>
      <c r="BH2169" s="38"/>
      <c r="BI2169" s="38"/>
      <c r="BJ2169" s="38"/>
      <c r="BK2169" s="38"/>
      <c r="BL2169" s="38"/>
      <c r="BM2169" s="38"/>
      <c r="BN2169" s="38"/>
      <c r="BO2169" s="38"/>
      <c r="BP2169" s="38"/>
      <c r="BQ2169" s="38"/>
    </row>
    <row r="2170">
      <c r="A2170" s="47" t="s">
        <v>5919</v>
      </c>
      <c r="B2170" s="48"/>
      <c r="C2170" s="89">
        <v>43466.0</v>
      </c>
      <c r="D2170" s="49"/>
      <c r="E2170" s="47" t="s">
        <v>41</v>
      </c>
      <c r="F2170" s="47">
        <v>1.0</v>
      </c>
      <c r="G2170" s="47" t="s">
        <v>32</v>
      </c>
      <c r="H2170" s="50">
        <v>1.0</v>
      </c>
      <c r="I2170" s="47" t="s">
        <v>33</v>
      </c>
      <c r="J2170" s="47" t="s">
        <v>179</v>
      </c>
      <c r="K2170" s="47"/>
      <c r="L2170" s="47" t="s">
        <v>35</v>
      </c>
      <c r="M2170" s="51" t="s">
        <v>5920</v>
      </c>
      <c r="N2170" s="52"/>
      <c r="O2170" s="55"/>
      <c r="P2170" s="47"/>
      <c r="Q2170" s="47"/>
      <c r="R2170" s="55"/>
      <c r="S2170" s="37"/>
      <c r="T2170" s="38"/>
      <c r="U2170" s="38"/>
      <c r="V2170" s="38" t="s">
        <v>5921</v>
      </c>
      <c r="W2170" s="40"/>
      <c r="X2170" s="40"/>
      <c r="Y2170" s="40"/>
      <c r="Z2170" s="38"/>
      <c r="AA2170" s="38"/>
      <c r="AB2170" s="38"/>
      <c r="AC2170" s="38"/>
      <c r="AD2170" s="38"/>
      <c r="AE2170" s="38"/>
      <c r="AF2170" s="38"/>
      <c r="AG2170" s="38"/>
      <c r="AH2170" s="38"/>
      <c r="AI2170" s="38"/>
      <c r="AJ2170" s="38"/>
      <c r="AK2170" s="38"/>
      <c r="AL2170" s="38"/>
      <c r="AM2170" s="38"/>
      <c r="AN2170" s="38"/>
      <c r="AO2170" s="38"/>
      <c r="AP2170" s="38"/>
      <c r="AQ2170" s="38"/>
      <c r="AR2170" s="38"/>
      <c r="AS2170" s="38"/>
      <c r="AT2170" s="38"/>
      <c r="AU2170" s="38"/>
      <c r="AV2170" s="38"/>
      <c r="AW2170" s="38"/>
      <c r="AX2170" s="38"/>
      <c r="AY2170" s="38"/>
      <c r="AZ2170" s="38"/>
      <c r="BA2170" s="38"/>
      <c r="BB2170" s="38"/>
      <c r="BC2170" s="38"/>
      <c r="BD2170" s="38"/>
      <c r="BE2170" s="38"/>
      <c r="BF2170" s="38"/>
      <c r="BG2170" s="38"/>
      <c r="BH2170" s="38"/>
      <c r="BI2170" s="38"/>
      <c r="BJ2170" s="38"/>
      <c r="BK2170" s="38"/>
      <c r="BL2170" s="38"/>
      <c r="BM2170" s="38"/>
      <c r="BN2170" s="38"/>
      <c r="BO2170" s="38"/>
      <c r="BP2170" s="38"/>
      <c r="BQ2170" s="38"/>
    </row>
    <row r="2171">
      <c r="A2171" s="47" t="s">
        <v>5922</v>
      </c>
      <c r="B2171" s="48"/>
      <c r="C2171" s="89">
        <v>43466.0</v>
      </c>
      <c r="D2171" s="49"/>
      <c r="E2171" s="47" t="s">
        <v>41</v>
      </c>
      <c r="F2171" s="47">
        <v>1.0</v>
      </c>
      <c r="G2171" s="47" t="s">
        <v>32</v>
      </c>
      <c r="H2171" s="50">
        <v>1.0</v>
      </c>
      <c r="I2171" s="47" t="s">
        <v>33</v>
      </c>
      <c r="J2171" s="47" t="s">
        <v>179</v>
      </c>
      <c r="K2171" s="47"/>
      <c r="L2171" s="47" t="s">
        <v>35</v>
      </c>
      <c r="M2171" s="51" t="s">
        <v>5923</v>
      </c>
      <c r="N2171" s="52"/>
      <c r="O2171" s="55"/>
      <c r="P2171" s="47"/>
      <c r="Q2171" s="47"/>
      <c r="R2171" s="55"/>
      <c r="S2171" s="37"/>
      <c r="T2171" s="38"/>
      <c r="U2171" s="38"/>
      <c r="V2171" s="38" t="s">
        <v>5921</v>
      </c>
      <c r="W2171" s="40"/>
      <c r="X2171" s="40"/>
      <c r="Y2171" s="40"/>
      <c r="Z2171" s="38"/>
      <c r="AA2171" s="38"/>
      <c r="AB2171" s="38"/>
      <c r="AC2171" s="38"/>
      <c r="AD2171" s="38"/>
      <c r="AE2171" s="38"/>
      <c r="AF2171" s="38"/>
      <c r="AG2171" s="38"/>
      <c r="AH2171" s="38"/>
      <c r="AI2171" s="38"/>
      <c r="AJ2171" s="38"/>
      <c r="AK2171" s="38"/>
      <c r="AL2171" s="38"/>
      <c r="AM2171" s="38"/>
      <c r="AN2171" s="38"/>
      <c r="AO2171" s="38"/>
      <c r="AP2171" s="38"/>
      <c r="AQ2171" s="38"/>
      <c r="AR2171" s="38"/>
      <c r="AS2171" s="38"/>
      <c r="AT2171" s="38"/>
      <c r="AU2171" s="38"/>
      <c r="AV2171" s="38"/>
      <c r="AW2171" s="38"/>
      <c r="AX2171" s="38"/>
      <c r="AY2171" s="38"/>
      <c r="AZ2171" s="38"/>
      <c r="BA2171" s="38"/>
      <c r="BB2171" s="38"/>
      <c r="BC2171" s="38"/>
      <c r="BD2171" s="38"/>
      <c r="BE2171" s="38"/>
      <c r="BF2171" s="38"/>
      <c r="BG2171" s="38"/>
      <c r="BH2171" s="38"/>
      <c r="BI2171" s="38"/>
      <c r="BJ2171" s="38"/>
      <c r="BK2171" s="38"/>
      <c r="BL2171" s="38"/>
      <c r="BM2171" s="38"/>
      <c r="BN2171" s="38"/>
      <c r="BO2171" s="38"/>
      <c r="BP2171" s="38"/>
      <c r="BQ2171" s="38"/>
    </row>
    <row r="2172">
      <c r="A2172" s="47" t="s">
        <v>5924</v>
      </c>
      <c r="B2172" s="48"/>
      <c r="C2172" s="89">
        <v>43466.0</v>
      </c>
      <c r="D2172" s="49"/>
      <c r="E2172" s="47" t="s">
        <v>41</v>
      </c>
      <c r="F2172" s="47">
        <v>1.0</v>
      </c>
      <c r="G2172" s="47" t="s">
        <v>32</v>
      </c>
      <c r="H2172" s="50">
        <v>0.0</v>
      </c>
      <c r="I2172" s="47" t="s">
        <v>33</v>
      </c>
      <c r="J2172" s="47" t="s">
        <v>179</v>
      </c>
      <c r="K2172" s="47"/>
      <c r="L2172" s="47" t="s">
        <v>35</v>
      </c>
      <c r="M2172" s="51" t="s">
        <v>5923</v>
      </c>
      <c r="N2172" s="52"/>
      <c r="O2172" s="55"/>
      <c r="P2172" s="47"/>
      <c r="Q2172" s="47"/>
      <c r="R2172" s="55"/>
      <c r="S2172" s="37"/>
      <c r="T2172" s="38"/>
      <c r="U2172" s="38"/>
      <c r="V2172" s="38" t="s">
        <v>5921</v>
      </c>
      <c r="W2172" s="40"/>
      <c r="X2172" s="40"/>
      <c r="Y2172" s="40"/>
      <c r="Z2172" s="38"/>
      <c r="AA2172" s="38"/>
      <c r="AB2172" s="38"/>
      <c r="AC2172" s="38"/>
      <c r="AD2172" s="38"/>
      <c r="AE2172" s="38"/>
      <c r="AF2172" s="38"/>
      <c r="AG2172" s="38"/>
      <c r="AH2172" s="38"/>
      <c r="AI2172" s="38"/>
      <c r="AJ2172" s="38"/>
      <c r="AK2172" s="38"/>
      <c r="AL2172" s="38"/>
      <c r="AM2172" s="38"/>
      <c r="AN2172" s="38"/>
      <c r="AO2172" s="38"/>
      <c r="AP2172" s="38"/>
      <c r="AQ2172" s="38"/>
      <c r="AR2172" s="38"/>
      <c r="AS2172" s="38"/>
      <c r="AT2172" s="38"/>
      <c r="AU2172" s="38"/>
      <c r="AV2172" s="38"/>
      <c r="AW2172" s="38"/>
      <c r="AX2172" s="38"/>
      <c r="AY2172" s="38"/>
      <c r="AZ2172" s="38"/>
      <c r="BA2172" s="38"/>
      <c r="BB2172" s="38"/>
      <c r="BC2172" s="38"/>
      <c r="BD2172" s="38"/>
      <c r="BE2172" s="38"/>
      <c r="BF2172" s="38"/>
      <c r="BG2172" s="38"/>
      <c r="BH2172" s="38"/>
      <c r="BI2172" s="38"/>
      <c r="BJ2172" s="38"/>
      <c r="BK2172" s="38"/>
      <c r="BL2172" s="38"/>
      <c r="BM2172" s="38"/>
      <c r="BN2172" s="38"/>
      <c r="BO2172" s="38"/>
      <c r="BP2172" s="38"/>
      <c r="BQ2172" s="38"/>
    </row>
    <row r="2173">
      <c r="A2173" s="47" t="s">
        <v>5925</v>
      </c>
      <c r="B2173" s="48"/>
      <c r="C2173" s="89">
        <v>43466.0</v>
      </c>
      <c r="D2173" s="49"/>
      <c r="E2173" s="47" t="s">
        <v>41</v>
      </c>
      <c r="F2173" s="47">
        <v>1.0</v>
      </c>
      <c r="G2173" s="47" t="s">
        <v>32</v>
      </c>
      <c r="H2173" s="50">
        <v>0.0</v>
      </c>
      <c r="I2173" s="47" t="s">
        <v>33</v>
      </c>
      <c r="J2173" s="47" t="s">
        <v>179</v>
      </c>
      <c r="K2173" s="47"/>
      <c r="L2173" s="47" t="s">
        <v>35</v>
      </c>
      <c r="M2173" s="51" t="s">
        <v>5923</v>
      </c>
      <c r="N2173" s="52"/>
      <c r="O2173" s="55"/>
      <c r="P2173" s="47"/>
      <c r="Q2173" s="47"/>
      <c r="R2173" s="55"/>
      <c r="S2173" s="37"/>
      <c r="T2173" s="38"/>
      <c r="U2173" s="38"/>
      <c r="V2173" s="38" t="s">
        <v>5921</v>
      </c>
      <c r="W2173" s="40"/>
      <c r="X2173" s="40"/>
      <c r="Y2173" s="40"/>
      <c r="Z2173" s="38"/>
      <c r="AA2173" s="38"/>
      <c r="AB2173" s="38"/>
      <c r="AC2173" s="38"/>
      <c r="AD2173" s="38"/>
      <c r="AE2173" s="38"/>
      <c r="AF2173" s="38"/>
      <c r="AG2173" s="38"/>
      <c r="AH2173" s="38"/>
      <c r="AI2173" s="38"/>
      <c r="AJ2173" s="38"/>
      <c r="AK2173" s="38"/>
      <c r="AL2173" s="38"/>
      <c r="AM2173" s="38"/>
      <c r="AN2173" s="38"/>
      <c r="AO2173" s="38"/>
      <c r="AP2173" s="38"/>
      <c r="AQ2173" s="38"/>
      <c r="AR2173" s="38"/>
      <c r="AS2173" s="38"/>
      <c r="AT2173" s="38"/>
      <c r="AU2173" s="38"/>
      <c r="AV2173" s="38"/>
      <c r="AW2173" s="38"/>
      <c r="AX2173" s="38"/>
      <c r="AY2173" s="38"/>
      <c r="AZ2173" s="38"/>
      <c r="BA2173" s="38"/>
      <c r="BB2173" s="38"/>
      <c r="BC2173" s="38"/>
      <c r="BD2173" s="38"/>
      <c r="BE2173" s="38"/>
      <c r="BF2173" s="38"/>
      <c r="BG2173" s="38"/>
      <c r="BH2173" s="38"/>
      <c r="BI2173" s="38"/>
      <c r="BJ2173" s="38"/>
      <c r="BK2173" s="38"/>
      <c r="BL2173" s="38"/>
      <c r="BM2173" s="38"/>
      <c r="BN2173" s="38"/>
      <c r="BO2173" s="38"/>
      <c r="BP2173" s="38"/>
      <c r="BQ2173" s="38"/>
    </row>
    <row r="2174">
      <c r="A2174" s="47" t="s">
        <v>5926</v>
      </c>
      <c r="B2174" s="48"/>
      <c r="C2174" s="89">
        <v>43466.0</v>
      </c>
      <c r="D2174" s="49"/>
      <c r="E2174" s="47" t="s">
        <v>41</v>
      </c>
      <c r="F2174" s="47">
        <v>1.0</v>
      </c>
      <c r="G2174" s="47" t="s">
        <v>32</v>
      </c>
      <c r="H2174" s="50">
        <v>0.0</v>
      </c>
      <c r="I2174" s="47" t="s">
        <v>33</v>
      </c>
      <c r="J2174" s="47" t="s">
        <v>179</v>
      </c>
      <c r="K2174" s="47"/>
      <c r="L2174" s="47" t="s">
        <v>5927</v>
      </c>
      <c r="M2174" s="51" t="s">
        <v>5923</v>
      </c>
      <c r="N2174" s="52"/>
      <c r="O2174" s="55"/>
      <c r="P2174" s="47"/>
      <c r="Q2174" s="47"/>
      <c r="R2174" s="55"/>
      <c r="S2174" s="37"/>
      <c r="T2174" s="38"/>
      <c r="U2174" s="38"/>
      <c r="V2174" s="38" t="s">
        <v>5921</v>
      </c>
      <c r="W2174" s="40"/>
      <c r="X2174" s="40"/>
      <c r="Y2174" s="40"/>
      <c r="Z2174" s="38"/>
      <c r="AA2174" s="38"/>
      <c r="AB2174" s="38"/>
      <c r="AC2174" s="38"/>
      <c r="AD2174" s="38"/>
      <c r="AE2174" s="38"/>
      <c r="AF2174" s="38"/>
      <c r="AG2174" s="38"/>
      <c r="AH2174" s="38"/>
      <c r="AI2174" s="38"/>
      <c r="AJ2174" s="38"/>
      <c r="AK2174" s="38"/>
      <c r="AL2174" s="38"/>
      <c r="AM2174" s="38"/>
      <c r="AN2174" s="38"/>
      <c r="AO2174" s="38"/>
      <c r="AP2174" s="38"/>
      <c r="AQ2174" s="38"/>
      <c r="AR2174" s="38"/>
      <c r="AS2174" s="38"/>
      <c r="AT2174" s="38"/>
      <c r="AU2174" s="38"/>
      <c r="AV2174" s="38"/>
      <c r="AW2174" s="38"/>
      <c r="AX2174" s="38"/>
      <c r="AY2174" s="38"/>
      <c r="AZ2174" s="38"/>
      <c r="BA2174" s="38"/>
      <c r="BB2174" s="38"/>
      <c r="BC2174" s="38"/>
      <c r="BD2174" s="38"/>
      <c r="BE2174" s="38"/>
      <c r="BF2174" s="38"/>
      <c r="BG2174" s="38"/>
      <c r="BH2174" s="38"/>
      <c r="BI2174" s="38"/>
      <c r="BJ2174" s="38"/>
      <c r="BK2174" s="38"/>
      <c r="BL2174" s="38"/>
      <c r="BM2174" s="38"/>
      <c r="BN2174" s="38"/>
      <c r="BO2174" s="38"/>
      <c r="BP2174" s="38"/>
      <c r="BQ2174" s="38"/>
    </row>
    <row r="2175">
      <c r="A2175" s="47" t="s">
        <v>5919</v>
      </c>
      <c r="B2175" s="48"/>
      <c r="C2175" s="89">
        <v>43466.0</v>
      </c>
      <c r="D2175" s="49"/>
      <c r="E2175" s="47" t="s">
        <v>41</v>
      </c>
      <c r="F2175" s="47">
        <v>1.0</v>
      </c>
      <c r="G2175" s="47" t="s">
        <v>32</v>
      </c>
      <c r="H2175" s="50">
        <v>0.0</v>
      </c>
      <c r="I2175" s="47" t="s">
        <v>33</v>
      </c>
      <c r="J2175" s="47" t="s">
        <v>179</v>
      </c>
      <c r="K2175" s="47"/>
      <c r="L2175" s="47" t="s">
        <v>35</v>
      </c>
      <c r="M2175" s="51" t="s">
        <v>5923</v>
      </c>
      <c r="N2175" s="52"/>
      <c r="O2175" s="55"/>
      <c r="P2175" s="47"/>
      <c r="Q2175" s="47"/>
      <c r="R2175" s="55"/>
      <c r="S2175" s="37"/>
      <c r="T2175" s="38"/>
      <c r="U2175" s="38"/>
      <c r="V2175" s="38" t="s">
        <v>5921</v>
      </c>
      <c r="W2175" s="40"/>
      <c r="X2175" s="40"/>
      <c r="Y2175" s="40"/>
      <c r="Z2175" s="38"/>
      <c r="AA2175" s="38"/>
      <c r="AB2175" s="38"/>
      <c r="AC2175" s="38"/>
      <c r="AD2175" s="38"/>
      <c r="AE2175" s="38"/>
      <c r="AF2175" s="38"/>
      <c r="AG2175" s="38"/>
      <c r="AH2175" s="38"/>
      <c r="AI2175" s="38"/>
      <c r="AJ2175" s="38"/>
      <c r="AK2175" s="38"/>
      <c r="AL2175" s="38"/>
      <c r="AM2175" s="38"/>
      <c r="AN2175" s="38"/>
      <c r="AO2175" s="38"/>
      <c r="AP2175" s="38"/>
      <c r="AQ2175" s="38"/>
      <c r="AR2175" s="38"/>
      <c r="AS2175" s="38"/>
      <c r="AT2175" s="38"/>
      <c r="AU2175" s="38"/>
      <c r="AV2175" s="38"/>
      <c r="AW2175" s="38"/>
      <c r="AX2175" s="38"/>
      <c r="AY2175" s="38"/>
      <c r="AZ2175" s="38"/>
      <c r="BA2175" s="38"/>
      <c r="BB2175" s="38"/>
      <c r="BC2175" s="38"/>
      <c r="BD2175" s="38"/>
      <c r="BE2175" s="38"/>
      <c r="BF2175" s="38"/>
      <c r="BG2175" s="38"/>
      <c r="BH2175" s="38"/>
      <c r="BI2175" s="38"/>
      <c r="BJ2175" s="38"/>
      <c r="BK2175" s="38"/>
      <c r="BL2175" s="38"/>
      <c r="BM2175" s="38"/>
      <c r="BN2175" s="38"/>
      <c r="BO2175" s="38"/>
      <c r="BP2175" s="38"/>
      <c r="BQ2175" s="38"/>
    </row>
    <row r="2176">
      <c r="A2176" s="47" t="s">
        <v>5928</v>
      </c>
      <c r="B2176" s="48">
        <v>43493.0</v>
      </c>
      <c r="C2176" s="89">
        <v>43466.0</v>
      </c>
      <c r="D2176" s="49" t="s">
        <v>5904</v>
      </c>
      <c r="E2176" s="47" t="s">
        <v>41</v>
      </c>
      <c r="F2176" s="47">
        <v>1.0</v>
      </c>
      <c r="G2176" s="47" t="s">
        <v>32</v>
      </c>
      <c r="H2176" s="50">
        <v>1.0</v>
      </c>
      <c r="I2176" s="47" t="s">
        <v>33</v>
      </c>
      <c r="J2176" s="47" t="s">
        <v>343</v>
      </c>
      <c r="K2176" s="47">
        <v>2.0</v>
      </c>
      <c r="L2176" s="47" t="s">
        <v>119</v>
      </c>
      <c r="M2176" s="51" t="s">
        <v>5929</v>
      </c>
      <c r="N2176" s="52"/>
      <c r="O2176" s="55"/>
      <c r="P2176" s="47"/>
      <c r="Q2176" s="47"/>
      <c r="R2176" s="55"/>
      <c r="S2176" s="37" t="str">
        <f>IFERROR(__xludf.DUMMYFUNCTION("if(not(iserror(index(split(C2176, "" ""),2))), index(split(C2176, "" ""),1),"""")"),"January,")</f>
        <v>January,</v>
      </c>
      <c r="T2176" s="38">
        <f>IFERROR(__xludf.DUMMYFUNCTION("if(S2176="""",C2176,if(not(iserror(index(split(C2176, "" ""),3))), index(split(C2176, "" ""),3),index(split(C2176, "" ""),2)))"),2019.0)</f>
        <v>2019</v>
      </c>
      <c r="U2176" s="38" t="b">
        <f>countif(A$4:A4658, A2176)&gt;1</f>
        <v>0</v>
      </c>
      <c r="V2176" s="38" t="s">
        <v>33</v>
      </c>
      <c r="W2176" s="40"/>
      <c r="X2176" s="40"/>
      <c r="Y2176" s="40"/>
      <c r="Z2176" s="38"/>
      <c r="AA2176" s="38"/>
      <c r="AB2176" s="38"/>
      <c r="AC2176" s="38"/>
      <c r="AD2176" s="38"/>
      <c r="AE2176" s="38"/>
      <c r="AF2176" s="38"/>
      <c r="AG2176" s="38"/>
      <c r="AH2176" s="38"/>
      <c r="AI2176" s="38"/>
      <c r="AJ2176" s="38"/>
      <c r="AK2176" s="38"/>
      <c r="AL2176" s="38"/>
      <c r="AM2176" s="38"/>
      <c r="AN2176" s="38"/>
      <c r="AO2176" s="38"/>
      <c r="AP2176" s="38"/>
      <c r="AQ2176" s="38"/>
      <c r="AR2176" s="38"/>
      <c r="AS2176" s="38"/>
      <c r="AT2176" s="38"/>
      <c r="AU2176" s="38"/>
      <c r="AV2176" s="38"/>
      <c r="AW2176" s="38"/>
      <c r="AX2176" s="38"/>
      <c r="AY2176" s="38"/>
      <c r="AZ2176" s="38"/>
      <c r="BA2176" s="38"/>
      <c r="BB2176" s="38"/>
      <c r="BC2176" s="38"/>
      <c r="BD2176" s="38"/>
      <c r="BE2176" s="38"/>
      <c r="BF2176" s="38"/>
      <c r="BG2176" s="38"/>
      <c r="BH2176" s="38"/>
      <c r="BI2176" s="38"/>
      <c r="BJ2176" s="38"/>
      <c r="BK2176" s="38"/>
      <c r="BL2176" s="38"/>
      <c r="BM2176" s="38"/>
      <c r="BN2176" s="38"/>
      <c r="BO2176" s="38"/>
      <c r="BP2176" s="38"/>
      <c r="BQ2176" s="38"/>
    </row>
    <row r="2177">
      <c r="A2177" s="47" t="s">
        <v>5930</v>
      </c>
      <c r="B2177" s="48"/>
      <c r="C2177" s="89">
        <v>43466.0</v>
      </c>
      <c r="D2177" s="49"/>
      <c r="E2177" s="47" t="s">
        <v>41</v>
      </c>
      <c r="F2177" s="47">
        <v>1.0</v>
      </c>
      <c r="G2177" s="47" t="s">
        <v>32</v>
      </c>
      <c r="H2177" s="50">
        <v>1.0</v>
      </c>
      <c r="I2177" s="47" t="s">
        <v>33</v>
      </c>
      <c r="J2177" s="47" t="s">
        <v>460</v>
      </c>
      <c r="K2177" s="47"/>
      <c r="L2177" s="47" t="s">
        <v>119</v>
      </c>
      <c r="M2177" s="51" t="s">
        <v>5931</v>
      </c>
      <c r="N2177" s="52"/>
      <c r="O2177" s="55"/>
      <c r="P2177" s="47"/>
      <c r="Q2177" s="47"/>
      <c r="R2177" s="55"/>
      <c r="S2177" s="37"/>
      <c r="T2177" s="38"/>
      <c r="U2177" s="38"/>
      <c r="V2177" s="38" t="s">
        <v>33</v>
      </c>
      <c r="W2177" s="40"/>
      <c r="X2177" s="40"/>
      <c r="Y2177" s="40"/>
      <c r="Z2177" s="38"/>
      <c r="AA2177" s="38"/>
      <c r="AB2177" s="38"/>
      <c r="AC2177" s="38"/>
      <c r="AD2177" s="38"/>
      <c r="AE2177" s="38"/>
      <c r="AF2177" s="38"/>
      <c r="AG2177" s="38"/>
      <c r="AH2177" s="38"/>
      <c r="AI2177" s="38"/>
      <c r="AJ2177" s="38"/>
      <c r="AK2177" s="38"/>
      <c r="AL2177" s="38"/>
      <c r="AM2177" s="38"/>
      <c r="AN2177" s="38"/>
      <c r="AO2177" s="38"/>
      <c r="AP2177" s="38"/>
      <c r="AQ2177" s="38"/>
      <c r="AR2177" s="38"/>
      <c r="AS2177" s="38"/>
      <c r="AT2177" s="38"/>
      <c r="AU2177" s="38"/>
      <c r="AV2177" s="38"/>
      <c r="AW2177" s="38"/>
      <c r="AX2177" s="38"/>
      <c r="AY2177" s="38"/>
      <c r="AZ2177" s="38"/>
      <c r="BA2177" s="38"/>
      <c r="BB2177" s="38"/>
      <c r="BC2177" s="38"/>
      <c r="BD2177" s="38"/>
      <c r="BE2177" s="38"/>
      <c r="BF2177" s="38"/>
      <c r="BG2177" s="38"/>
      <c r="BH2177" s="38"/>
      <c r="BI2177" s="38"/>
      <c r="BJ2177" s="38"/>
      <c r="BK2177" s="38"/>
      <c r="BL2177" s="38"/>
      <c r="BM2177" s="38"/>
      <c r="BN2177" s="38"/>
      <c r="BO2177" s="38"/>
      <c r="BP2177" s="38"/>
      <c r="BQ2177" s="38"/>
    </row>
    <row r="2178">
      <c r="A2178" s="47" t="s">
        <v>5932</v>
      </c>
      <c r="B2178" s="48"/>
      <c r="C2178" s="89">
        <v>43466.0</v>
      </c>
      <c r="D2178" s="49"/>
      <c r="E2178" s="47" t="s">
        <v>41</v>
      </c>
      <c r="F2178" s="47">
        <v>1.0</v>
      </c>
      <c r="G2178" s="47" t="s">
        <v>32</v>
      </c>
      <c r="H2178" s="50">
        <v>1.0</v>
      </c>
      <c r="I2178" s="47" t="s">
        <v>33</v>
      </c>
      <c r="J2178" s="47" t="s">
        <v>89</v>
      </c>
      <c r="K2178" s="47"/>
      <c r="L2178" s="47" t="s">
        <v>5933</v>
      </c>
      <c r="M2178" s="51" t="s">
        <v>5934</v>
      </c>
      <c r="N2178" s="52"/>
      <c r="O2178" s="55"/>
      <c r="P2178" s="47"/>
      <c r="Q2178" s="47"/>
      <c r="R2178" s="55"/>
      <c r="S2178" s="37"/>
      <c r="T2178" s="38"/>
      <c r="U2178" s="38"/>
      <c r="V2178" s="38" t="s">
        <v>33</v>
      </c>
      <c r="W2178" s="40"/>
      <c r="X2178" s="40"/>
      <c r="Y2178" s="40"/>
      <c r="Z2178" s="38"/>
      <c r="AA2178" s="38"/>
      <c r="AB2178" s="38"/>
      <c r="AC2178" s="38"/>
      <c r="AD2178" s="38"/>
      <c r="AE2178" s="38"/>
      <c r="AF2178" s="38"/>
      <c r="AG2178" s="38"/>
      <c r="AH2178" s="38"/>
      <c r="AI2178" s="38"/>
      <c r="AJ2178" s="38"/>
      <c r="AK2178" s="38"/>
      <c r="AL2178" s="38"/>
      <c r="AM2178" s="38"/>
      <c r="AN2178" s="38"/>
      <c r="AO2178" s="38"/>
      <c r="AP2178" s="38"/>
      <c r="AQ2178" s="38"/>
      <c r="AR2178" s="38"/>
      <c r="AS2178" s="38"/>
      <c r="AT2178" s="38"/>
      <c r="AU2178" s="38"/>
      <c r="AV2178" s="38"/>
      <c r="AW2178" s="38"/>
      <c r="AX2178" s="38"/>
      <c r="AY2178" s="38"/>
      <c r="AZ2178" s="38"/>
      <c r="BA2178" s="38"/>
      <c r="BB2178" s="38"/>
      <c r="BC2178" s="38"/>
      <c r="BD2178" s="38"/>
      <c r="BE2178" s="38"/>
      <c r="BF2178" s="38"/>
      <c r="BG2178" s="38"/>
      <c r="BH2178" s="38"/>
      <c r="BI2178" s="38"/>
      <c r="BJ2178" s="38"/>
      <c r="BK2178" s="38"/>
      <c r="BL2178" s="38"/>
      <c r="BM2178" s="38"/>
      <c r="BN2178" s="38"/>
      <c r="BO2178" s="38"/>
      <c r="BP2178" s="38"/>
      <c r="BQ2178" s="38"/>
    </row>
    <row r="2179">
      <c r="A2179" s="47" t="s">
        <v>5935</v>
      </c>
      <c r="B2179" s="268"/>
      <c r="C2179" s="89">
        <v>43466.0</v>
      </c>
      <c r="D2179" s="269"/>
      <c r="E2179" s="47" t="s">
        <v>31</v>
      </c>
      <c r="F2179" s="47">
        <v>1.0</v>
      </c>
      <c r="G2179" s="47" t="s">
        <v>32</v>
      </c>
      <c r="H2179" s="50">
        <v>1.0</v>
      </c>
      <c r="I2179" s="47" t="s">
        <v>33</v>
      </c>
      <c r="J2179" s="47" t="s">
        <v>504</v>
      </c>
      <c r="K2179" s="270"/>
      <c r="L2179" s="47" t="s">
        <v>119</v>
      </c>
      <c r="M2179" s="51" t="s">
        <v>5936</v>
      </c>
      <c r="N2179" s="51" t="s">
        <v>5937</v>
      </c>
      <c r="O2179" s="55"/>
      <c r="P2179" s="270"/>
      <c r="Q2179" s="47">
        <v>1.0</v>
      </c>
      <c r="R2179" s="55"/>
      <c r="S2179" s="37"/>
      <c r="T2179" s="38"/>
      <c r="U2179" s="38"/>
      <c r="V2179" s="38" t="s">
        <v>33</v>
      </c>
      <c r="W2179" s="39" t="s">
        <v>5938</v>
      </c>
      <c r="X2179" s="39" t="s">
        <v>5939</v>
      </c>
      <c r="Y2179" s="97"/>
      <c r="Z2179" s="96"/>
      <c r="AA2179" s="96"/>
      <c r="AB2179" s="96"/>
      <c r="AC2179" s="96"/>
      <c r="AD2179" s="96"/>
      <c r="AE2179" s="96"/>
      <c r="AF2179" s="96"/>
      <c r="AG2179" s="96"/>
      <c r="AH2179" s="96"/>
      <c r="AI2179" s="96"/>
      <c r="AJ2179" s="96"/>
      <c r="AK2179" s="96"/>
      <c r="AL2179" s="96"/>
      <c r="AM2179" s="96"/>
      <c r="AN2179" s="96"/>
      <c r="AO2179" s="96"/>
      <c r="AP2179" s="96"/>
      <c r="AQ2179" s="96"/>
      <c r="AR2179" s="96"/>
      <c r="AS2179" s="96"/>
      <c r="AT2179" s="96"/>
      <c r="AU2179" s="96"/>
      <c r="AV2179" s="96"/>
      <c r="AW2179" s="96"/>
      <c r="AX2179" s="96"/>
      <c r="AY2179" s="96"/>
      <c r="AZ2179" s="96"/>
      <c r="BA2179" s="96"/>
      <c r="BB2179" s="96"/>
      <c r="BC2179" s="96"/>
      <c r="BD2179" s="96"/>
      <c r="BE2179" s="96"/>
      <c r="BF2179" s="96"/>
      <c r="BG2179" s="96"/>
      <c r="BH2179" s="96"/>
      <c r="BI2179" s="96"/>
      <c r="BJ2179" s="96"/>
      <c r="BK2179" s="96"/>
      <c r="BL2179" s="96"/>
      <c r="BM2179" s="96"/>
      <c r="BN2179" s="96"/>
      <c r="BO2179" s="96"/>
      <c r="BP2179" s="96"/>
      <c r="BQ2179" s="96"/>
    </row>
    <row r="2180">
      <c r="A2180" s="47" t="s">
        <v>5940</v>
      </c>
      <c r="B2180" s="48"/>
      <c r="C2180" s="89">
        <v>43466.0</v>
      </c>
      <c r="D2180" s="49"/>
      <c r="E2180" s="47" t="s">
        <v>41</v>
      </c>
      <c r="F2180" s="47">
        <v>1.0</v>
      </c>
      <c r="G2180" s="47" t="s">
        <v>32</v>
      </c>
      <c r="H2180" s="50">
        <v>1.0</v>
      </c>
      <c r="I2180" s="47" t="s">
        <v>33</v>
      </c>
      <c r="J2180" s="47" t="s">
        <v>162</v>
      </c>
      <c r="K2180" s="47"/>
      <c r="L2180" s="47" t="s">
        <v>119</v>
      </c>
      <c r="M2180" s="51" t="s">
        <v>5941</v>
      </c>
      <c r="N2180" s="52"/>
      <c r="O2180" s="55"/>
      <c r="P2180" s="47"/>
      <c r="Q2180" s="47">
        <v>1.0</v>
      </c>
      <c r="R2180" s="55"/>
      <c r="S2180" s="37"/>
      <c r="T2180" s="38"/>
      <c r="U2180" s="38"/>
      <c r="V2180" s="38" t="s">
        <v>33</v>
      </c>
      <c r="W2180" s="40"/>
      <c r="X2180" s="40"/>
      <c r="Y2180" s="40"/>
      <c r="Z2180" s="38"/>
      <c r="AA2180" s="38"/>
      <c r="AB2180" s="38"/>
      <c r="AC2180" s="38"/>
      <c r="AD2180" s="38"/>
      <c r="AE2180" s="38"/>
      <c r="AF2180" s="38"/>
      <c r="AG2180" s="38"/>
      <c r="AH2180" s="38"/>
      <c r="AI2180" s="38"/>
      <c r="AJ2180" s="38"/>
      <c r="AK2180" s="38"/>
      <c r="AL2180" s="38"/>
      <c r="AM2180" s="38"/>
      <c r="AN2180" s="38"/>
      <c r="AO2180" s="38"/>
      <c r="AP2180" s="38"/>
      <c r="AQ2180" s="38"/>
      <c r="AR2180" s="38"/>
      <c r="AS2180" s="38"/>
      <c r="AT2180" s="38"/>
      <c r="AU2180" s="38"/>
      <c r="AV2180" s="38"/>
      <c r="AW2180" s="38"/>
      <c r="AX2180" s="38"/>
      <c r="AY2180" s="38"/>
      <c r="AZ2180" s="38"/>
      <c r="BA2180" s="38"/>
      <c r="BB2180" s="38"/>
      <c r="BC2180" s="38"/>
      <c r="BD2180" s="38"/>
      <c r="BE2180" s="38"/>
      <c r="BF2180" s="38"/>
      <c r="BG2180" s="38"/>
      <c r="BH2180" s="38"/>
      <c r="BI2180" s="38"/>
      <c r="BJ2180" s="38"/>
      <c r="BK2180" s="38"/>
      <c r="BL2180" s="38"/>
      <c r="BM2180" s="38"/>
      <c r="BN2180" s="38"/>
      <c r="BO2180" s="38"/>
      <c r="BP2180" s="38"/>
      <c r="BQ2180" s="38"/>
    </row>
    <row r="2181">
      <c r="A2181" s="37" t="s">
        <v>5942</v>
      </c>
      <c r="B2181" s="99">
        <v>43497.0</v>
      </c>
      <c r="C2181" s="100">
        <v>43466.0</v>
      </c>
      <c r="D2181" s="101">
        <v>43466.0</v>
      </c>
      <c r="E2181" s="37" t="s">
        <v>41</v>
      </c>
      <c r="F2181" s="37">
        <v>1.0</v>
      </c>
      <c r="G2181" s="37" t="s">
        <v>32</v>
      </c>
      <c r="H2181" s="200">
        <v>1.0</v>
      </c>
      <c r="I2181" s="37" t="s">
        <v>33</v>
      </c>
      <c r="J2181" s="37" t="s">
        <v>147</v>
      </c>
      <c r="K2181" s="37">
        <v>2.0</v>
      </c>
      <c r="L2181" s="37" t="s">
        <v>76</v>
      </c>
      <c r="M2181" s="14" t="s">
        <v>5943</v>
      </c>
      <c r="N2181" s="15"/>
      <c r="O2181" s="57" t="str">
        <f>hyperlink("https://bad-boys.us/?q=WD-TX/5:19-cr-00099", "WD-TX 5:19-cr-00099")</f>
        <v>WD-TX 5:19-cr-00099</v>
      </c>
      <c r="P2181" s="86" t="s">
        <v>5944</v>
      </c>
      <c r="Q2181" s="37">
        <v>1.0</v>
      </c>
      <c r="R2181" s="16"/>
      <c r="S2181" s="37" t="str">
        <f>IFERROR(__xludf.DUMMYFUNCTION("if(not(iserror(index(split(C2181, "" ""),2))), index(split(C2181, "" ""),1),"""")"),"January,")</f>
        <v>January,</v>
      </c>
      <c r="T2181" s="38">
        <f>IFERROR(__xludf.DUMMYFUNCTION("if(S2181="""",C2181,if(not(iserror(index(split(C2181, "" ""),3))), index(split(C2181, "" ""),3),index(split(C2181, "" ""),2)))"),2019.0)</f>
        <v>2019</v>
      </c>
      <c r="U2181" s="38" t="b">
        <f>countif(A$4:A4658, A2181)&gt;1</f>
        <v>0</v>
      </c>
      <c r="V2181" s="37" t="s">
        <v>33</v>
      </c>
      <c r="W2181" s="15"/>
      <c r="X2181" s="15"/>
      <c r="Y2181" s="15"/>
      <c r="Z2181" s="16"/>
      <c r="AA2181" s="16"/>
      <c r="AB2181" s="16"/>
      <c r="AC2181" s="16"/>
      <c r="AD2181" s="16"/>
      <c r="AE2181" s="16"/>
      <c r="AF2181" s="16"/>
      <c r="AG2181" s="16"/>
      <c r="AH2181" s="16"/>
      <c r="AI2181" s="16"/>
      <c r="AJ2181" s="16"/>
      <c r="AK2181" s="16"/>
      <c r="AL2181" s="16"/>
      <c r="AM2181" s="16"/>
      <c r="AN2181" s="16"/>
      <c r="AO2181" s="16"/>
      <c r="AP2181" s="16"/>
      <c r="AQ2181" s="16"/>
      <c r="AR2181" s="16"/>
      <c r="AS2181" s="16"/>
      <c r="AT2181" s="16"/>
      <c r="AU2181" s="16"/>
      <c r="AV2181" s="16"/>
      <c r="AW2181" s="16"/>
      <c r="AX2181" s="16"/>
      <c r="AY2181" s="16"/>
      <c r="AZ2181" s="16"/>
      <c r="BA2181" s="16"/>
      <c r="BB2181" s="16"/>
      <c r="BC2181" s="16"/>
      <c r="BD2181" s="16"/>
      <c r="BE2181" s="16"/>
      <c r="BF2181" s="16"/>
      <c r="BG2181" s="16"/>
      <c r="BH2181" s="16"/>
      <c r="BI2181" s="16"/>
      <c r="BJ2181" s="16"/>
      <c r="BK2181" s="16"/>
      <c r="BL2181" s="16"/>
      <c r="BM2181" s="16"/>
      <c r="BN2181" s="16"/>
      <c r="BO2181" s="16"/>
      <c r="BP2181" s="16"/>
      <c r="BQ2181" s="16"/>
    </row>
    <row r="2182">
      <c r="A2182" s="47" t="s">
        <v>5945</v>
      </c>
      <c r="B2182" s="48"/>
      <c r="C2182" s="48">
        <v>43467.0</v>
      </c>
      <c r="D2182" s="49"/>
      <c r="E2182" s="47" t="s">
        <v>41</v>
      </c>
      <c r="F2182" s="47">
        <v>1.0</v>
      </c>
      <c r="G2182" s="47" t="s">
        <v>32</v>
      </c>
      <c r="H2182" s="50">
        <v>1.0</v>
      </c>
      <c r="I2182" s="47" t="s">
        <v>33</v>
      </c>
      <c r="J2182" s="47" t="s">
        <v>115</v>
      </c>
      <c r="K2182" s="47"/>
      <c r="L2182" s="47" t="s">
        <v>119</v>
      </c>
      <c r="M2182" s="51" t="s">
        <v>5946</v>
      </c>
      <c r="N2182" s="52"/>
      <c r="O2182" s="53" t="str">
        <f>hyperlink("https://bad-boys.us/?q=WD-PA/2:19-cr-00014", "WD-PA 2:19-cr-00014")</f>
        <v>WD-PA 2:19-cr-00014</v>
      </c>
      <c r="P2182" s="54" t="s">
        <v>5947</v>
      </c>
      <c r="Q2182" s="47">
        <v>1.0</v>
      </c>
      <c r="R2182" s="55"/>
      <c r="S2182" s="37"/>
      <c r="T2182" s="38"/>
      <c r="U2182" s="38"/>
      <c r="V2182" s="38" t="s">
        <v>33</v>
      </c>
      <c r="W2182" s="40"/>
      <c r="X2182" s="40"/>
      <c r="Y2182" s="40"/>
      <c r="Z2182" s="38"/>
      <c r="AA2182" s="38"/>
      <c r="AB2182" s="38"/>
      <c r="AC2182" s="38"/>
      <c r="AD2182" s="38"/>
      <c r="AE2182" s="38"/>
      <c r="AF2182" s="38"/>
      <c r="AG2182" s="38"/>
      <c r="AH2182" s="38"/>
      <c r="AI2182" s="38"/>
      <c r="AJ2182" s="38"/>
      <c r="AK2182" s="38"/>
      <c r="AL2182" s="38"/>
      <c r="AM2182" s="38"/>
      <c r="AN2182" s="38"/>
      <c r="AO2182" s="38"/>
      <c r="AP2182" s="38"/>
      <c r="AQ2182" s="38"/>
      <c r="AR2182" s="38"/>
      <c r="AS2182" s="38"/>
      <c r="AT2182" s="38"/>
      <c r="AU2182" s="38"/>
      <c r="AV2182" s="38"/>
      <c r="AW2182" s="38"/>
      <c r="AX2182" s="38"/>
      <c r="AY2182" s="38"/>
      <c r="AZ2182" s="38"/>
      <c r="BA2182" s="38"/>
      <c r="BB2182" s="38"/>
      <c r="BC2182" s="38"/>
      <c r="BD2182" s="38"/>
      <c r="BE2182" s="38"/>
      <c r="BF2182" s="38"/>
      <c r="BG2182" s="38"/>
      <c r="BH2182" s="38"/>
      <c r="BI2182" s="38"/>
      <c r="BJ2182" s="38"/>
      <c r="BK2182" s="38"/>
      <c r="BL2182" s="38"/>
      <c r="BM2182" s="38"/>
      <c r="BN2182" s="38"/>
      <c r="BO2182" s="38"/>
      <c r="BP2182" s="38"/>
      <c r="BQ2182" s="38"/>
    </row>
    <row r="2183">
      <c r="A2183" s="47" t="s">
        <v>5948</v>
      </c>
      <c r="B2183" s="48"/>
      <c r="C2183" s="48">
        <v>43468.0</v>
      </c>
      <c r="D2183" s="49"/>
      <c r="E2183" s="47" t="s">
        <v>41</v>
      </c>
      <c r="F2183" s="47">
        <v>1.0</v>
      </c>
      <c r="G2183" s="47" t="s">
        <v>32</v>
      </c>
      <c r="H2183" s="50">
        <v>1.0</v>
      </c>
      <c r="I2183" s="47" t="s">
        <v>33</v>
      </c>
      <c r="J2183" s="47" t="s">
        <v>318</v>
      </c>
      <c r="K2183" s="47"/>
      <c r="L2183" s="47" t="s">
        <v>119</v>
      </c>
      <c r="M2183" s="51" t="s">
        <v>5949</v>
      </c>
      <c r="N2183" s="52"/>
      <c r="O2183" s="55"/>
      <c r="P2183" s="47"/>
      <c r="Q2183" s="47"/>
      <c r="R2183" s="55"/>
      <c r="S2183" s="37" t="str">
        <f>IFERROR(__xludf.DUMMYFUNCTION("if(not(iserror(index(split(C2183, "" ""),2))), index(split(C2183, "" ""),1),"""")"),"January")</f>
        <v>January</v>
      </c>
      <c r="T2183" s="38">
        <f>IFERROR(__xludf.DUMMYFUNCTION("if(S2183="""",C2183,if(not(iserror(index(split(C2183, "" ""),3))), index(split(C2183, "" ""),3),index(split(C2183, "" ""),2)))"),2019.0)</f>
        <v>2019</v>
      </c>
      <c r="U2183" s="38" t="b">
        <f t="shared" ref="U2183:U2194" si="340">countif(A$4:A4658, A2183)&gt;1</f>
        <v>0</v>
      </c>
      <c r="V2183" s="38" t="s">
        <v>33</v>
      </c>
      <c r="W2183" s="40"/>
      <c r="X2183" s="40"/>
      <c r="Y2183" s="40"/>
      <c r="Z2183" s="38"/>
      <c r="AA2183" s="38"/>
      <c r="AB2183" s="38"/>
      <c r="AC2183" s="38"/>
      <c r="AD2183" s="38"/>
      <c r="AE2183" s="38"/>
      <c r="AF2183" s="38"/>
      <c r="AG2183" s="38"/>
      <c r="AH2183" s="38"/>
      <c r="AI2183" s="38"/>
      <c r="AJ2183" s="38"/>
      <c r="AK2183" s="38"/>
      <c r="AL2183" s="38"/>
      <c r="AM2183" s="38"/>
      <c r="AN2183" s="38"/>
      <c r="AO2183" s="38"/>
      <c r="AP2183" s="38"/>
      <c r="AQ2183" s="38"/>
      <c r="AR2183" s="38"/>
      <c r="AS2183" s="38"/>
      <c r="AT2183" s="38"/>
      <c r="AU2183" s="38"/>
      <c r="AV2183" s="38"/>
      <c r="AW2183" s="38"/>
      <c r="AX2183" s="38"/>
      <c r="AY2183" s="38"/>
      <c r="AZ2183" s="38"/>
      <c r="BA2183" s="38"/>
      <c r="BB2183" s="38"/>
      <c r="BC2183" s="38"/>
      <c r="BD2183" s="38"/>
      <c r="BE2183" s="38"/>
      <c r="BF2183" s="38"/>
      <c r="BG2183" s="38"/>
      <c r="BH2183" s="38"/>
      <c r="BI2183" s="38"/>
      <c r="BJ2183" s="38"/>
      <c r="BK2183" s="38"/>
      <c r="BL2183" s="38"/>
      <c r="BM2183" s="38"/>
      <c r="BN2183" s="38"/>
      <c r="BO2183" s="38"/>
      <c r="BP2183" s="38"/>
      <c r="BQ2183" s="38"/>
    </row>
    <row r="2184">
      <c r="A2184" s="47" t="s">
        <v>5950</v>
      </c>
      <c r="B2184" s="48"/>
      <c r="C2184" s="48">
        <v>43471.0</v>
      </c>
      <c r="D2184" s="49"/>
      <c r="E2184" s="47" t="s">
        <v>41</v>
      </c>
      <c r="F2184" s="47">
        <v>1.0</v>
      </c>
      <c r="G2184" s="47">
        <v>1.0</v>
      </c>
      <c r="H2184" s="50">
        <v>1.0</v>
      </c>
      <c r="I2184" s="47" t="s">
        <v>33</v>
      </c>
      <c r="J2184" s="47" t="s">
        <v>93</v>
      </c>
      <c r="K2184" s="47"/>
      <c r="L2184" s="47" t="s">
        <v>194</v>
      </c>
      <c r="M2184" s="51" t="s">
        <v>5951</v>
      </c>
      <c r="N2184" s="52"/>
      <c r="O2184" s="53" t="str">
        <f>hyperlink("https://bad-boys.us/?q=WD-NY/1:19-cr-00030", "WD-NY 1:19-cr-00030")</f>
        <v>WD-NY 1:19-cr-00030</v>
      </c>
      <c r="P2184" s="47"/>
      <c r="Q2184" s="47">
        <v>1.0</v>
      </c>
      <c r="R2184" s="55"/>
      <c r="S2184" s="37" t="str">
        <f>IFERROR(__xludf.DUMMYFUNCTION("if(not(iserror(index(split(C2184, "" ""),2))), index(split(C2184, "" ""),1),"""")"),"January")</f>
        <v>January</v>
      </c>
      <c r="T2184" s="38">
        <f>IFERROR(__xludf.DUMMYFUNCTION("if(S2184="""",C2184,if(not(iserror(index(split(C2184, "" ""),3))), index(split(C2184, "" ""),3),index(split(C2184, "" ""),2)))"),2019.0)</f>
        <v>2019</v>
      </c>
      <c r="U2184" s="38" t="b">
        <f t="shared" si="340"/>
        <v>0</v>
      </c>
      <c r="V2184" s="38" t="s">
        <v>3025</v>
      </c>
      <c r="W2184" s="40"/>
      <c r="X2184" s="40"/>
      <c r="Y2184" s="40"/>
      <c r="Z2184" s="38"/>
      <c r="AA2184" s="38"/>
      <c r="AB2184" s="38"/>
      <c r="AC2184" s="38"/>
      <c r="AD2184" s="38"/>
      <c r="AE2184" s="38"/>
      <c r="AF2184" s="38"/>
      <c r="AG2184" s="38"/>
      <c r="AH2184" s="38"/>
      <c r="AI2184" s="38"/>
      <c r="AJ2184" s="38"/>
      <c r="AK2184" s="38"/>
      <c r="AL2184" s="38"/>
      <c r="AM2184" s="38"/>
      <c r="AN2184" s="38"/>
      <c r="AO2184" s="38"/>
      <c r="AP2184" s="38"/>
      <c r="AQ2184" s="38"/>
      <c r="AR2184" s="38"/>
      <c r="AS2184" s="38"/>
      <c r="AT2184" s="38"/>
      <c r="AU2184" s="38"/>
      <c r="AV2184" s="38"/>
      <c r="AW2184" s="38"/>
      <c r="AX2184" s="38"/>
      <c r="AY2184" s="38"/>
      <c r="AZ2184" s="38"/>
      <c r="BA2184" s="38"/>
      <c r="BB2184" s="38"/>
      <c r="BC2184" s="38"/>
      <c r="BD2184" s="38"/>
      <c r="BE2184" s="38"/>
      <c r="BF2184" s="38"/>
      <c r="BG2184" s="38"/>
      <c r="BH2184" s="38"/>
      <c r="BI2184" s="38"/>
      <c r="BJ2184" s="38"/>
      <c r="BK2184" s="38"/>
      <c r="BL2184" s="38"/>
      <c r="BM2184" s="38"/>
      <c r="BN2184" s="38"/>
      <c r="BO2184" s="38"/>
      <c r="BP2184" s="38"/>
      <c r="BQ2184" s="38"/>
    </row>
    <row r="2185">
      <c r="A2185" s="47" t="s">
        <v>5952</v>
      </c>
      <c r="B2185" s="48">
        <v>43473.0</v>
      </c>
      <c r="C2185" s="48">
        <v>43472.0</v>
      </c>
      <c r="D2185" s="49" t="s">
        <v>5953</v>
      </c>
      <c r="E2185" s="47" t="s">
        <v>31</v>
      </c>
      <c r="F2185" s="47">
        <v>1.0</v>
      </c>
      <c r="G2185" s="47" t="s">
        <v>32</v>
      </c>
      <c r="H2185" s="50">
        <v>1.0</v>
      </c>
      <c r="I2185" s="47" t="s">
        <v>33</v>
      </c>
      <c r="J2185" s="47" t="s">
        <v>47</v>
      </c>
      <c r="K2185" s="47">
        <v>5.0</v>
      </c>
      <c r="L2185" s="47" t="s">
        <v>76</v>
      </c>
      <c r="M2185" s="52" t="s">
        <v>5954</v>
      </c>
      <c r="N2185" s="51" t="s">
        <v>5955</v>
      </c>
      <c r="O2185" s="55"/>
      <c r="P2185" s="47"/>
      <c r="Q2185" s="47"/>
      <c r="R2185" s="55"/>
      <c r="S2185" s="37" t="str">
        <f>IFERROR(__xludf.DUMMYFUNCTION("if(not(iserror(index(split(C2185, "" ""),2))), index(split(C2185, "" ""),1),"""")"),"January")</f>
        <v>January</v>
      </c>
      <c r="T2185" s="38">
        <f>IFERROR(__xludf.DUMMYFUNCTION("if(S2185="""",C2185,if(not(iserror(index(split(C2185, "" ""),3))), index(split(C2185, "" ""),3),index(split(C2185, "" ""),2)))"),2019.0)</f>
        <v>2019</v>
      </c>
      <c r="U2185" s="38" t="b">
        <f t="shared" si="340"/>
        <v>0</v>
      </c>
      <c r="V2185" s="38"/>
      <c r="W2185" s="40"/>
      <c r="X2185" s="40"/>
      <c r="Y2185" s="40"/>
      <c r="Z2185" s="38"/>
      <c r="AA2185" s="38"/>
      <c r="AB2185" s="38"/>
      <c r="AC2185" s="38"/>
      <c r="AD2185" s="38"/>
      <c r="AE2185" s="38"/>
      <c r="AF2185" s="38"/>
      <c r="AG2185" s="38"/>
      <c r="AH2185" s="38"/>
      <c r="AI2185" s="38"/>
      <c r="AJ2185" s="38"/>
      <c r="AK2185" s="38"/>
      <c r="AL2185" s="38"/>
      <c r="AM2185" s="38"/>
      <c r="AN2185" s="38"/>
      <c r="AO2185" s="38"/>
      <c r="AP2185" s="38"/>
      <c r="AQ2185" s="38"/>
      <c r="AR2185" s="38"/>
      <c r="AS2185" s="38"/>
      <c r="AT2185" s="38"/>
      <c r="AU2185" s="38"/>
      <c r="AV2185" s="38"/>
      <c r="AW2185" s="38"/>
      <c r="AX2185" s="38"/>
      <c r="AY2185" s="38"/>
      <c r="AZ2185" s="38"/>
      <c r="BA2185" s="38"/>
      <c r="BB2185" s="38"/>
      <c r="BC2185" s="38"/>
      <c r="BD2185" s="38"/>
      <c r="BE2185" s="38"/>
      <c r="BF2185" s="38"/>
      <c r="BG2185" s="38"/>
      <c r="BH2185" s="38"/>
      <c r="BI2185" s="38"/>
      <c r="BJ2185" s="38"/>
      <c r="BK2185" s="38"/>
      <c r="BL2185" s="38"/>
      <c r="BM2185" s="38"/>
      <c r="BN2185" s="38"/>
      <c r="BO2185" s="38"/>
      <c r="BP2185" s="38"/>
      <c r="BQ2185" s="38"/>
    </row>
    <row r="2186">
      <c r="A2186" s="47" t="s">
        <v>5956</v>
      </c>
      <c r="B2186" s="48"/>
      <c r="C2186" s="48">
        <v>43473.0</v>
      </c>
      <c r="D2186" s="49"/>
      <c r="E2186" s="47" t="s">
        <v>41</v>
      </c>
      <c r="F2186" s="47">
        <v>1.0</v>
      </c>
      <c r="G2186" s="47" t="s">
        <v>32</v>
      </c>
      <c r="H2186" s="50">
        <v>1.0</v>
      </c>
      <c r="I2186" s="47" t="s">
        <v>33</v>
      </c>
      <c r="J2186" s="47" t="s">
        <v>203</v>
      </c>
      <c r="K2186" s="47"/>
      <c r="L2186" s="47" t="s">
        <v>119</v>
      </c>
      <c r="M2186" s="51" t="s">
        <v>5957</v>
      </c>
      <c r="N2186" s="52"/>
      <c r="O2186" s="53" t="str">
        <f>hyperlink("https://bad-boys.us/?q=D-SD/4:19-cr-40007", "D-SD 4:19-cr-40007")</f>
        <v>D-SD 4:19-cr-40007</v>
      </c>
      <c r="P2186" s="47"/>
      <c r="Q2186" s="47">
        <v>1.0</v>
      </c>
      <c r="R2186" s="55"/>
      <c r="S2186" s="37"/>
      <c r="T2186" s="38"/>
      <c r="U2186" s="38" t="b">
        <f t="shared" si="340"/>
        <v>0</v>
      </c>
      <c r="V2186" s="38" t="s">
        <v>33</v>
      </c>
      <c r="W2186" s="40"/>
      <c r="X2186" s="40"/>
      <c r="Y2186" s="40"/>
      <c r="Z2186" s="38"/>
      <c r="AA2186" s="38"/>
      <c r="AB2186" s="38"/>
      <c r="AC2186" s="38"/>
      <c r="AD2186" s="38"/>
      <c r="AE2186" s="38"/>
      <c r="AF2186" s="38"/>
      <c r="AG2186" s="38"/>
      <c r="AH2186" s="38"/>
      <c r="AI2186" s="38"/>
      <c r="AJ2186" s="38"/>
      <c r="AK2186" s="38"/>
      <c r="AL2186" s="38"/>
      <c r="AM2186" s="38"/>
      <c r="AN2186" s="38"/>
      <c r="AO2186" s="38"/>
      <c r="AP2186" s="38"/>
      <c r="AQ2186" s="38"/>
      <c r="AR2186" s="38"/>
      <c r="AS2186" s="38"/>
      <c r="AT2186" s="38"/>
      <c r="AU2186" s="38"/>
      <c r="AV2186" s="38"/>
      <c r="AW2186" s="38"/>
      <c r="AX2186" s="38"/>
      <c r="AY2186" s="38"/>
      <c r="AZ2186" s="38"/>
      <c r="BA2186" s="38"/>
      <c r="BB2186" s="38"/>
      <c r="BC2186" s="38"/>
      <c r="BD2186" s="38"/>
      <c r="BE2186" s="38"/>
      <c r="BF2186" s="38"/>
      <c r="BG2186" s="38"/>
      <c r="BH2186" s="38"/>
      <c r="BI2186" s="38"/>
      <c r="BJ2186" s="38"/>
      <c r="BK2186" s="38"/>
      <c r="BL2186" s="38"/>
      <c r="BM2186" s="38"/>
      <c r="BN2186" s="38"/>
      <c r="BO2186" s="38"/>
      <c r="BP2186" s="38"/>
      <c r="BQ2186" s="38"/>
    </row>
    <row r="2187">
      <c r="A2187" s="47" t="s">
        <v>5958</v>
      </c>
      <c r="B2187" s="48"/>
      <c r="C2187" s="48">
        <v>43473.0</v>
      </c>
      <c r="D2187" s="49"/>
      <c r="E2187" s="47" t="s">
        <v>41</v>
      </c>
      <c r="F2187" s="47">
        <v>1.0</v>
      </c>
      <c r="G2187" s="47" t="s">
        <v>32</v>
      </c>
      <c r="H2187" s="50">
        <v>1.0</v>
      </c>
      <c r="I2187" s="47" t="s">
        <v>33</v>
      </c>
      <c r="J2187" s="47" t="s">
        <v>402</v>
      </c>
      <c r="K2187" s="47"/>
      <c r="L2187" s="47" t="s">
        <v>5959</v>
      </c>
      <c r="M2187" s="51" t="s">
        <v>1707</v>
      </c>
      <c r="N2187" s="52"/>
      <c r="O2187" s="53" t="str">
        <f>hyperlink("https://bad-boys.us/?q=SD-IN/1:19-cr-00002", "SD-IN 1:19-cr-00002")</f>
        <v>SD-IN 1:19-cr-00002</v>
      </c>
      <c r="P2187" s="54" t="s">
        <v>5960</v>
      </c>
      <c r="Q2187" s="47">
        <v>1.0</v>
      </c>
      <c r="R2187" s="55"/>
      <c r="S2187" s="37"/>
      <c r="T2187" s="38"/>
      <c r="U2187" s="38" t="b">
        <f t="shared" si="340"/>
        <v>0</v>
      </c>
      <c r="V2187" s="38" t="s">
        <v>33</v>
      </c>
      <c r="W2187" s="40"/>
      <c r="X2187" s="40"/>
      <c r="Y2187" s="40"/>
      <c r="Z2187" s="38"/>
      <c r="AA2187" s="38"/>
      <c r="AB2187" s="38"/>
      <c r="AC2187" s="38"/>
      <c r="AD2187" s="38"/>
      <c r="AE2187" s="38"/>
      <c r="AF2187" s="38"/>
      <c r="AG2187" s="38"/>
      <c r="AH2187" s="38"/>
      <c r="AI2187" s="38"/>
      <c r="AJ2187" s="38"/>
      <c r="AK2187" s="38"/>
      <c r="AL2187" s="38"/>
      <c r="AM2187" s="38"/>
      <c r="AN2187" s="38"/>
      <c r="AO2187" s="38"/>
      <c r="AP2187" s="38"/>
      <c r="AQ2187" s="38"/>
      <c r="AR2187" s="38"/>
      <c r="AS2187" s="38"/>
      <c r="AT2187" s="38"/>
      <c r="AU2187" s="38"/>
      <c r="AV2187" s="38"/>
      <c r="AW2187" s="38"/>
      <c r="AX2187" s="38"/>
      <c r="AY2187" s="38"/>
      <c r="AZ2187" s="38"/>
      <c r="BA2187" s="38"/>
      <c r="BB2187" s="38"/>
      <c r="BC2187" s="38"/>
      <c r="BD2187" s="38"/>
      <c r="BE2187" s="38"/>
      <c r="BF2187" s="38"/>
      <c r="BG2187" s="38"/>
      <c r="BH2187" s="38"/>
      <c r="BI2187" s="38"/>
      <c r="BJ2187" s="38"/>
      <c r="BK2187" s="38"/>
      <c r="BL2187" s="38"/>
      <c r="BM2187" s="38"/>
      <c r="BN2187" s="38"/>
      <c r="BO2187" s="38"/>
      <c r="BP2187" s="38"/>
      <c r="BQ2187" s="38"/>
    </row>
    <row r="2188">
      <c r="A2188" s="47" t="s">
        <v>5961</v>
      </c>
      <c r="B2188" s="48"/>
      <c r="C2188" s="48">
        <v>43473.0</v>
      </c>
      <c r="D2188" s="49"/>
      <c r="E2188" s="47" t="s">
        <v>41</v>
      </c>
      <c r="F2188" s="47">
        <v>1.0</v>
      </c>
      <c r="G2188" s="47" t="s">
        <v>32</v>
      </c>
      <c r="H2188" s="50">
        <v>1.0</v>
      </c>
      <c r="I2188" s="47" t="s">
        <v>33</v>
      </c>
      <c r="J2188" s="47" t="s">
        <v>144</v>
      </c>
      <c r="K2188" s="47"/>
      <c r="L2188" s="47" t="s">
        <v>99</v>
      </c>
      <c r="M2188" s="51" t="s">
        <v>5962</v>
      </c>
      <c r="N2188" s="52"/>
      <c r="O2188" s="53" t="str">
        <f>hyperlink("https://bad-boys.us/?q=D-MT/1:18-cr-00151", "D-MT 1:18-cr-00151")</f>
        <v>D-MT 1:18-cr-00151</v>
      </c>
      <c r="P2188" s="54" t="s">
        <v>5963</v>
      </c>
      <c r="Q2188" s="47">
        <v>1.0</v>
      </c>
      <c r="R2188" s="55"/>
      <c r="S2188" s="37" t="str">
        <f>IFERROR(__xludf.DUMMYFUNCTION("if(not(iserror(index(split(C2188, "" ""),2))), index(split(C2188, "" ""),1),"""")"),"January")</f>
        <v>January</v>
      </c>
      <c r="T2188" s="38">
        <f>IFERROR(__xludf.DUMMYFUNCTION("if(S2188="""",C2188,if(not(iserror(index(split(C2188, "" ""),3))), index(split(C2188, "" ""),3),index(split(C2188, "" ""),2)))"),2019.0)</f>
        <v>2019</v>
      </c>
      <c r="U2188" s="38" t="b">
        <f t="shared" si="340"/>
        <v>0</v>
      </c>
      <c r="V2188" s="38"/>
      <c r="W2188" s="40"/>
      <c r="X2188" s="40"/>
      <c r="Y2188" s="40"/>
      <c r="Z2188" s="38"/>
      <c r="AA2188" s="38"/>
      <c r="AB2188" s="38"/>
      <c r="AC2188" s="38"/>
      <c r="AD2188" s="38"/>
      <c r="AE2188" s="38"/>
      <c r="AF2188" s="38"/>
      <c r="AG2188" s="38"/>
      <c r="AH2188" s="38"/>
      <c r="AI2188" s="38"/>
      <c r="AJ2188" s="38"/>
      <c r="AK2188" s="38"/>
      <c r="AL2188" s="38"/>
      <c r="AM2188" s="38"/>
      <c r="AN2188" s="38"/>
      <c r="AO2188" s="38"/>
      <c r="AP2188" s="38"/>
      <c r="AQ2188" s="38"/>
      <c r="AR2188" s="38"/>
      <c r="AS2188" s="38"/>
      <c r="AT2188" s="38"/>
      <c r="AU2188" s="38"/>
      <c r="AV2188" s="38"/>
      <c r="AW2188" s="38"/>
      <c r="AX2188" s="38"/>
      <c r="AY2188" s="38"/>
      <c r="AZ2188" s="38"/>
      <c r="BA2188" s="38"/>
      <c r="BB2188" s="38"/>
      <c r="BC2188" s="38"/>
      <c r="BD2188" s="38"/>
      <c r="BE2188" s="38"/>
      <c r="BF2188" s="38"/>
      <c r="BG2188" s="38"/>
      <c r="BH2188" s="38"/>
      <c r="BI2188" s="38"/>
      <c r="BJ2188" s="38"/>
      <c r="BK2188" s="38"/>
      <c r="BL2188" s="38"/>
      <c r="BM2188" s="38"/>
      <c r="BN2188" s="38"/>
      <c r="BO2188" s="38"/>
      <c r="BP2188" s="38"/>
      <c r="BQ2188" s="38"/>
    </row>
    <row r="2189">
      <c r="A2189" s="271" t="s">
        <v>5964</v>
      </c>
      <c r="B2189" s="48"/>
      <c r="C2189" s="48">
        <v>43474.0</v>
      </c>
      <c r="D2189" s="49"/>
      <c r="E2189" s="47" t="s">
        <v>41</v>
      </c>
      <c r="F2189" s="47">
        <v>1.0</v>
      </c>
      <c r="G2189" s="47" t="s">
        <v>32</v>
      </c>
      <c r="H2189" s="50">
        <v>1.0</v>
      </c>
      <c r="I2189" s="47" t="s">
        <v>33</v>
      </c>
      <c r="J2189" s="47" t="s">
        <v>147</v>
      </c>
      <c r="K2189" s="47"/>
      <c r="L2189" s="47" t="s">
        <v>69</v>
      </c>
      <c r="M2189" s="51" t="s">
        <v>5965</v>
      </c>
      <c r="N2189" s="52"/>
      <c r="O2189" s="53" t="str">
        <f>hyperlink("https://bad-boys.us/?q=ED-TX/4:19-cr-00010", "ED-TX 4:19-cr-00010")</f>
        <v>ED-TX 4:19-cr-00010</v>
      </c>
      <c r="P2189" s="54" t="s">
        <v>5966</v>
      </c>
      <c r="Q2189" s="47">
        <v>1.0</v>
      </c>
      <c r="R2189" s="55"/>
      <c r="S2189" s="37"/>
      <c r="T2189" s="38"/>
      <c r="U2189" s="38" t="b">
        <f t="shared" si="340"/>
        <v>0</v>
      </c>
      <c r="V2189" s="38" t="s">
        <v>33</v>
      </c>
      <c r="W2189" s="40"/>
      <c r="X2189" s="40"/>
      <c r="Y2189" s="40"/>
      <c r="Z2189" s="38"/>
      <c r="AA2189" s="38"/>
      <c r="AB2189" s="38"/>
      <c r="AC2189" s="38"/>
      <c r="AD2189" s="38"/>
      <c r="AE2189" s="38"/>
      <c r="AF2189" s="38"/>
      <c r="AG2189" s="38"/>
      <c r="AH2189" s="38"/>
      <c r="AI2189" s="38"/>
      <c r="AJ2189" s="38"/>
      <c r="AK2189" s="38"/>
      <c r="AL2189" s="38"/>
      <c r="AM2189" s="38"/>
      <c r="AN2189" s="38"/>
      <c r="AO2189" s="38"/>
      <c r="AP2189" s="38"/>
      <c r="AQ2189" s="38"/>
      <c r="AR2189" s="38"/>
      <c r="AS2189" s="38"/>
      <c r="AT2189" s="38"/>
      <c r="AU2189" s="38"/>
      <c r="AV2189" s="38"/>
      <c r="AW2189" s="38"/>
      <c r="AX2189" s="38"/>
      <c r="AY2189" s="38"/>
      <c r="AZ2189" s="38"/>
      <c r="BA2189" s="38"/>
      <c r="BB2189" s="38"/>
      <c r="BC2189" s="38"/>
      <c r="BD2189" s="38"/>
      <c r="BE2189" s="38"/>
      <c r="BF2189" s="38"/>
      <c r="BG2189" s="38"/>
      <c r="BH2189" s="38"/>
      <c r="BI2189" s="38"/>
      <c r="BJ2189" s="38"/>
      <c r="BK2189" s="38"/>
      <c r="BL2189" s="38"/>
      <c r="BM2189" s="38"/>
      <c r="BN2189" s="38"/>
      <c r="BO2189" s="38"/>
      <c r="BP2189" s="38"/>
      <c r="BQ2189" s="38"/>
    </row>
    <row r="2190">
      <c r="A2190" s="271" t="s">
        <v>5967</v>
      </c>
      <c r="B2190" s="48"/>
      <c r="C2190" s="48">
        <v>43474.0</v>
      </c>
      <c r="D2190" s="49"/>
      <c r="E2190" s="47" t="s">
        <v>41</v>
      </c>
      <c r="F2190" s="47">
        <v>1.0</v>
      </c>
      <c r="G2190" s="47" t="s">
        <v>32</v>
      </c>
      <c r="H2190" s="50">
        <v>1.0</v>
      </c>
      <c r="I2190" s="47" t="s">
        <v>33</v>
      </c>
      <c r="J2190" s="47" t="s">
        <v>93</v>
      </c>
      <c r="K2190" s="47"/>
      <c r="L2190" s="47" t="s">
        <v>141</v>
      </c>
      <c r="M2190" s="51" t="s">
        <v>5968</v>
      </c>
      <c r="N2190" s="52"/>
      <c r="O2190" s="55"/>
      <c r="P2190" s="47"/>
      <c r="Q2190" s="47"/>
      <c r="R2190" s="55"/>
      <c r="S2190" s="37" t="str">
        <f>IFERROR(__xludf.DUMMYFUNCTION("if(not(iserror(index(split(C2190, "" ""),2))), index(split(C2190, "" ""),1),"""")"),"January")</f>
        <v>January</v>
      </c>
      <c r="T2190" s="38">
        <f>IFERROR(__xludf.DUMMYFUNCTION("if(S2190="""",C2190,if(not(iserror(index(split(C2190, "" ""),3))), index(split(C2190, "" ""),3),index(split(C2190, "" ""),2)))"),2019.0)</f>
        <v>2019</v>
      </c>
      <c r="U2190" s="38" t="b">
        <f t="shared" si="340"/>
        <v>0</v>
      </c>
      <c r="V2190" s="38" t="s">
        <v>33</v>
      </c>
      <c r="W2190" s="40"/>
      <c r="X2190" s="40"/>
      <c r="Y2190" s="40"/>
      <c r="Z2190" s="38"/>
      <c r="AA2190" s="38"/>
      <c r="AB2190" s="38"/>
      <c r="AC2190" s="38"/>
      <c r="AD2190" s="38"/>
      <c r="AE2190" s="38"/>
      <c r="AF2190" s="38"/>
      <c r="AG2190" s="38"/>
      <c r="AH2190" s="38"/>
      <c r="AI2190" s="38"/>
      <c r="AJ2190" s="38"/>
      <c r="AK2190" s="38"/>
      <c r="AL2190" s="38"/>
      <c r="AM2190" s="38"/>
      <c r="AN2190" s="38"/>
      <c r="AO2190" s="38"/>
      <c r="AP2190" s="38"/>
      <c r="AQ2190" s="38"/>
      <c r="AR2190" s="38"/>
      <c r="AS2190" s="38"/>
      <c r="AT2190" s="38"/>
      <c r="AU2190" s="38"/>
      <c r="AV2190" s="38"/>
      <c r="AW2190" s="38"/>
      <c r="AX2190" s="38"/>
      <c r="AY2190" s="38"/>
      <c r="AZ2190" s="38"/>
      <c r="BA2190" s="38"/>
      <c r="BB2190" s="38"/>
      <c r="BC2190" s="38"/>
      <c r="BD2190" s="38"/>
      <c r="BE2190" s="38"/>
      <c r="BF2190" s="38"/>
      <c r="BG2190" s="38"/>
      <c r="BH2190" s="38"/>
      <c r="BI2190" s="38"/>
      <c r="BJ2190" s="38"/>
      <c r="BK2190" s="38"/>
      <c r="BL2190" s="38"/>
      <c r="BM2190" s="38"/>
      <c r="BN2190" s="38"/>
      <c r="BO2190" s="38"/>
      <c r="BP2190" s="38"/>
      <c r="BQ2190" s="38"/>
    </row>
    <row r="2191">
      <c r="A2191" s="87" t="s">
        <v>5969</v>
      </c>
      <c r="B2191" s="48"/>
      <c r="C2191" s="48">
        <v>43474.0</v>
      </c>
      <c r="D2191" s="49"/>
      <c r="E2191" s="47" t="s">
        <v>41</v>
      </c>
      <c r="F2191" s="47">
        <v>1.0</v>
      </c>
      <c r="G2191" s="47" t="s">
        <v>32</v>
      </c>
      <c r="H2191" s="50">
        <v>1.0</v>
      </c>
      <c r="I2191" s="47" t="s">
        <v>33</v>
      </c>
      <c r="J2191" s="47" t="s">
        <v>172</v>
      </c>
      <c r="K2191" s="47"/>
      <c r="L2191" s="47" t="s">
        <v>76</v>
      </c>
      <c r="M2191" s="51" t="s">
        <v>5970</v>
      </c>
      <c r="N2191" s="52"/>
      <c r="O2191" s="53" t="str">
        <f>hyperlink("https://bad-boys.us/?q=ED-NC/7:19-cr-00003", "ED-NC 7:19-cr-00003")</f>
        <v>ED-NC 7:19-cr-00003</v>
      </c>
      <c r="P2191" s="54" t="s">
        <v>5971</v>
      </c>
      <c r="Q2191" s="47">
        <v>1.0</v>
      </c>
      <c r="R2191" s="55"/>
      <c r="S2191" s="37"/>
      <c r="T2191" s="38"/>
      <c r="U2191" s="38" t="b">
        <f t="shared" si="340"/>
        <v>0</v>
      </c>
      <c r="V2191" s="38" t="s">
        <v>33</v>
      </c>
      <c r="W2191" s="40"/>
      <c r="X2191" s="40"/>
      <c r="Y2191" s="40"/>
      <c r="Z2191" s="38"/>
      <c r="AA2191" s="38"/>
      <c r="AB2191" s="38"/>
      <c r="AC2191" s="38"/>
      <c r="AD2191" s="38"/>
      <c r="AE2191" s="38"/>
      <c r="AF2191" s="38"/>
      <c r="AG2191" s="38"/>
      <c r="AH2191" s="38"/>
      <c r="AI2191" s="38"/>
      <c r="AJ2191" s="38"/>
      <c r="AK2191" s="38"/>
      <c r="AL2191" s="38"/>
      <c r="AM2191" s="38"/>
      <c r="AN2191" s="38"/>
      <c r="AO2191" s="38"/>
      <c r="AP2191" s="38"/>
      <c r="AQ2191" s="38"/>
      <c r="AR2191" s="38"/>
      <c r="AS2191" s="38"/>
      <c r="AT2191" s="38"/>
      <c r="AU2191" s="38"/>
      <c r="AV2191" s="38"/>
      <c r="AW2191" s="38"/>
      <c r="AX2191" s="38"/>
      <c r="AY2191" s="38"/>
      <c r="AZ2191" s="38"/>
      <c r="BA2191" s="38"/>
      <c r="BB2191" s="38"/>
      <c r="BC2191" s="38"/>
      <c r="BD2191" s="38"/>
      <c r="BE2191" s="38"/>
      <c r="BF2191" s="38"/>
      <c r="BG2191" s="38"/>
      <c r="BH2191" s="38"/>
      <c r="BI2191" s="38"/>
      <c r="BJ2191" s="38"/>
      <c r="BK2191" s="38"/>
      <c r="BL2191" s="38"/>
      <c r="BM2191" s="38"/>
      <c r="BN2191" s="38"/>
      <c r="BO2191" s="38"/>
      <c r="BP2191" s="38"/>
      <c r="BQ2191" s="38"/>
    </row>
    <row r="2192">
      <c r="A2192" s="87" t="s">
        <v>5972</v>
      </c>
      <c r="B2192" s="48"/>
      <c r="C2192" s="48">
        <v>43474.0</v>
      </c>
      <c r="D2192" s="49"/>
      <c r="E2192" s="47" t="s">
        <v>41</v>
      </c>
      <c r="F2192" s="47">
        <v>1.0</v>
      </c>
      <c r="G2192" s="47" t="s">
        <v>32</v>
      </c>
      <c r="H2192" s="50">
        <v>1.0</v>
      </c>
      <c r="I2192" s="47" t="s">
        <v>33</v>
      </c>
      <c r="J2192" s="47" t="s">
        <v>98</v>
      </c>
      <c r="K2192" s="47"/>
      <c r="L2192" s="47" t="s">
        <v>119</v>
      </c>
      <c r="M2192" s="51" t="s">
        <v>5973</v>
      </c>
      <c r="N2192" s="52"/>
      <c r="O2192" s="53" t="str">
        <f>hyperlink("https://bad-boys.us/?q=MD-GA/3:19-cr-00004", "MD-GA 3:19-cr-00004")</f>
        <v>MD-GA 3:19-cr-00004</v>
      </c>
      <c r="P2192" s="54" t="s">
        <v>5974</v>
      </c>
      <c r="Q2192" s="47">
        <v>1.0</v>
      </c>
      <c r="R2192" s="55"/>
      <c r="S2192" s="37"/>
      <c r="T2192" s="38"/>
      <c r="U2192" s="38" t="b">
        <f t="shared" si="340"/>
        <v>0</v>
      </c>
      <c r="V2192" s="38" t="s">
        <v>33</v>
      </c>
      <c r="W2192" s="40"/>
      <c r="X2192" s="40"/>
      <c r="Y2192" s="40"/>
      <c r="Z2192" s="38"/>
      <c r="AA2192" s="38"/>
      <c r="AB2192" s="38"/>
      <c r="AC2192" s="38"/>
      <c r="AD2192" s="38"/>
      <c r="AE2192" s="38"/>
      <c r="AF2192" s="38"/>
      <c r="AG2192" s="38"/>
      <c r="AH2192" s="38"/>
      <c r="AI2192" s="38"/>
      <c r="AJ2192" s="38"/>
      <c r="AK2192" s="38"/>
      <c r="AL2192" s="38"/>
      <c r="AM2192" s="38"/>
      <c r="AN2192" s="38"/>
      <c r="AO2192" s="38"/>
      <c r="AP2192" s="38"/>
      <c r="AQ2192" s="38"/>
      <c r="AR2192" s="38"/>
      <c r="AS2192" s="38"/>
      <c r="AT2192" s="38"/>
      <c r="AU2192" s="38"/>
      <c r="AV2192" s="38"/>
      <c r="AW2192" s="38"/>
      <c r="AX2192" s="38"/>
      <c r="AY2192" s="38"/>
      <c r="AZ2192" s="38"/>
      <c r="BA2192" s="38"/>
      <c r="BB2192" s="38"/>
      <c r="BC2192" s="38"/>
      <c r="BD2192" s="38"/>
      <c r="BE2192" s="38"/>
      <c r="BF2192" s="38"/>
      <c r="BG2192" s="38"/>
      <c r="BH2192" s="38"/>
      <c r="BI2192" s="38"/>
      <c r="BJ2192" s="38"/>
      <c r="BK2192" s="38"/>
      <c r="BL2192" s="38"/>
      <c r="BM2192" s="38"/>
      <c r="BN2192" s="38"/>
      <c r="BO2192" s="38"/>
      <c r="BP2192" s="38"/>
      <c r="BQ2192" s="38"/>
    </row>
    <row r="2193">
      <c r="A2193" s="87" t="s">
        <v>5975</v>
      </c>
      <c r="B2193" s="48"/>
      <c r="C2193" s="48">
        <v>43474.0</v>
      </c>
      <c r="D2193" s="49"/>
      <c r="E2193" s="47" t="s">
        <v>41</v>
      </c>
      <c r="F2193" s="47">
        <v>1.0</v>
      </c>
      <c r="G2193" s="47" t="s">
        <v>32</v>
      </c>
      <c r="H2193" s="50">
        <v>1.0</v>
      </c>
      <c r="I2193" s="47" t="s">
        <v>33</v>
      </c>
      <c r="J2193" s="47" t="s">
        <v>93</v>
      </c>
      <c r="K2193" s="47"/>
      <c r="L2193" s="47" t="s">
        <v>141</v>
      </c>
      <c r="M2193" s="51" t="s">
        <v>5976</v>
      </c>
      <c r="N2193" s="52"/>
      <c r="O2193" s="55"/>
      <c r="P2193" s="47"/>
      <c r="Q2193" s="47"/>
      <c r="R2193" s="55"/>
      <c r="S2193" s="37" t="s">
        <v>2253</v>
      </c>
      <c r="T2193" s="38">
        <v>2019.0</v>
      </c>
      <c r="U2193" s="38" t="b">
        <f t="shared" si="340"/>
        <v>0</v>
      </c>
      <c r="V2193" s="38" t="s">
        <v>33</v>
      </c>
      <c r="W2193" s="40"/>
      <c r="X2193" s="40"/>
      <c r="Y2193" s="40"/>
      <c r="Z2193" s="38"/>
      <c r="AA2193" s="38"/>
      <c r="AB2193" s="38"/>
      <c r="AC2193" s="38"/>
      <c r="AD2193" s="38"/>
      <c r="AE2193" s="38"/>
      <c r="AF2193" s="38"/>
      <c r="AG2193" s="38"/>
      <c r="AH2193" s="38"/>
      <c r="AI2193" s="38"/>
      <c r="AJ2193" s="38"/>
      <c r="AK2193" s="38"/>
      <c r="AL2193" s="38"/>
      <c r="AM2193" s="38"/>
      <c r="AN2193" s="38"/>
      <c r="AO2193" s="38"/>
      <c r="AP2193" s="38"/>
      <c r="AQ2193" s="38"/>
      <c r="AR2193" s="38"/>
      <c r="AS2193" s="38"/>
      <c r="AT2193" s="38"/>
      <c r="AU2193" s="38"/>
      <c r="AV2193" s="38"/>
      <c r="AW2193" s="38"/>
      <c r="AX2193" s="38"/>
      <c r="AY2193" s="38"/>
      <c r="AZ2193" s="38"/>
      <c r="BA2193" s="38"/>
      <c r="BB2193" s="38"/>
      <c r="BC2193" s="38"/>
      <c r="BD2193" s="38"/>
      <c r="BE2193" s="38"/>
      <c r="BF2193" s="38"/>
      <c r="BG2193" s="38"/>
      <c r="BH2193" s="38"/>
      <c r="BI2193" s="38"/>
      <c r="BJ2193" s="38"/>
      <c r="BK2193" s="38"/>
      <c r="BL2193" s="38"/>
      <c r="BM2193" s="38"/>
      <c r="BN2193" s="38"/>
      <c r="BO2193" s="38"/>
      <c r="BP2193" s="38"/>
      <c r="BQ2193" s="38"/>
    </row>
    <row r="2194">
      <c r="A2194" s="87" t="s">
        <v>5977</v>
      </c>
      <c r="B2194" s="48"/>
      <c r="C2194" s="48">
        <v>43474.0</v>
      </c>
      <c r="D2194" s="49"/>
      <c r="E2194" s="47" t="s">
        <v>41</v>
      </c>
      <c r="F2194" s="47">
        <v>1.0</v>
      </c>
      <c r="G2194" s="47" t="s">
        <v>32</v>
      </c>
      <c r="H2194" s="50">
        <v>1.0</v>
      </c>
      <c r="I2194" s="47" t="s">
        <v>33</v>
      </c>
      <c r="J2194" s="47" t="s">
        <v>93</v>
      </c>
      <c r="K2194" s="47"/>
      <c r="L2194" s="47" t="s">
        <v>141</v>
      </c>
      <c r="M2194" s="51" t="s">
        <v>5976</v>
      </c>
      <c r="N2194" s="52"/>
      <c r="O2194" s="55"/>
      <c r="P2194" s="47"/>
      <c r="Q2194" s="47"/>
      <c r="R2194" s="55"/>
      <c r="S2194" s="37" t="s">
        <v>2253</v>
      </c>
      <c r="T2194" s="38">
        <v>2019.0</v>
      </c>
      <c r="U2194" s="38" t="b">
        <f t="shared" si="340"/>
        <v>0</v>
      </c>
      <c r="V2194" s="38" t="s">
        <v>33</v>
      </c>
      <c r="W2194" s="40"/>
      <c r="X2194" s="40"/>
      <c r="Y2194" s="40"/>
      <c r="Z2194" s="38"/>
      <c r="AA2194" s="38"/>
      <c r="AB2194" s="38"/>
      <c r="AC2194" s="38"/>
      <c r="AD2194" s="38"/>
      <c r="AE2194" s="38"/>
      <c r="AF2194" s="38"/>
      <c r="AG2194" s="38"/>
      <c r="AH2194" s="38"/>
      <c r="AI2194" s="38"/>
      <c r="AJ2194" s="38"/>
      <c r="AK2194" s="38"/>
      <c r="AL2194" s="38"/>
      <c r="AM2194" s="38"/>
      <c r="AN2194" s="38"/>
      <c r="AO2194" s="38"/>
      <c r="AP2194" s="38"/>
      <c r="AQ2194" s="38"/>
      <c r="AR2194" s="38"/>
      <c r="AS2194" s="38"/>
      <c r="AT2194" s="38"/>
      <c r="AU2194" s="38"/>
      <c r="AV2194" s="38"/>
      <c r="AW2194" s="38"/>
      <c r="AX2194" s="38"/>
      <c r="AY2194" s="38"/>
      <c r="AZ2194" s="38"/>
      <c r="BA2194" s="38"/>
      <c r="BB2194" s="38"/>
      <c r="BC2194" s="38"/>
      <c r="BD2194" s="38"/>
      <c r="BE2194" s="38"/>
      <c r="BF2194" s="38"/>
      <c r="BG2194" s="38"/>
      <c r="BH2194" s="38"/>
      <c r="BI2194" s="38"/>
      <c r="BJ2194" s="38"/>
      <c r="BK2194" s="38"/>
      <c r="BL2194" s="38"/>
      <c r="BM2194" s="38"/>
      <c r="BN2194" s="38"/>
      <c r="BO2194" s="38"/>
      <c r="BP2194" s="38"/>
      <c r="BQ2194" s="38"/>
    </row>
    <row r="2195">
      <c r="A2195" s="87" t="s">
        <v>5978</v>
      </c>
      <c r="B2195" s="48"/>
      <c r="C2195" s="48">
        <v>43474.0</v>
      </c>
      <c r="D2195" s="49"/>
      <c r="E2195" s="47" t="s">
        <v>41</v>
      </c>
      <c r="F2195" s="47">
        <v>1.0</v>
      </c>
      <c r="G2195" s="47">
        <v>1.0</v>
      </c>
      <c r="H2195" s="50">
        <v>1.0</v>
      </c>
      <c r="I2195" s="47" t="s">
        <v>33</v>
      </c>
      <c r="J2195" s="47" t="s">
        <v>147</v>
      </c>
      <c r="K2195" s="47"/>
      <c r="L2195" s="47" t="s">
        <v>76</v>
      </c>
      <c r="M2195" s="51" t="s">
        <v>5979</v>
      </c>
      <c r="N2195" s="52"/>
      <c r="O2195" s="55"/>
      <c r="P2195" s="47"/>
      <c r="Q2195" s="47">
        <v>1.0</v>
      </c>
      <c r="R2195" s="55"/>
      <c r="S2195" s="37"/>
      <c r="T2195" s="38"/>
      <c r="U2195" s="38"/>
      <c r="V2195" s="38" t="s">
        <v>33</v>
      </c>
      <c r="W2195" s="40"/>
      <c r="X2195" s="40"/>
      <c r="Y2195" s="40"/>
      <c r="Z2195" s="38"/>
      <c r="AA2195" s="38"/>
      <c r="AB2195" s="38"/>
      <c r="AC2195" s="38"/>
      <c r="AD2195" s="38"/>
      <c r="AE2195" s="38"/>
      <c r="AF2195" s="38"/>
      <c r="AG2195" s="38"/>
      <c r="AH2195" s="38"/>
      <c r="AI2195" s="38"/>
      <c r="AJ2195" s="38"/>
      <c r="AK2195" s="38"/>
      <c r="AL2195" s="38"/>
      <c r="AM2195" s="38"/>
      <c r="AN2195" s="38"/>
      <c r="AO2195" s="38"/>
      <c r="AP2195" s="38"/>
      <c r="AQ2195" s="38"/>
      <c r="AR2195" s="38"/>
      <c r="AS2195" s="38"/>
      <c r="AT2195" s="38"/>
      <c r="AU2195" s="38"/>
      <c r="AV2195" s="38"/>
      <c r="AW2195" s="38"/>
      <c r="AX2195" s="38"/>
      <c r="AY2195" s="38"/>
      <c r="AZ2195" s="38"/>
      <c r="BA2195" s="38"/>
      <c r="BB2195" s="38"/>
      <c r="BC2195" s="38"/>
      <c r="BD2195" s="38"/>
      <c r="BE2195" s="38"/>
      <c r="BF2195" s="38"/>
      <c r="BG2195" s="38"/>
      <c r="BH2195" s="38"/>
      <c r="BI2195" s="38"/>
      <c r="BJ2195" s="38"/>
      <c r="BK2195" s="38"/>
      <c r="BL2195" s="38"/>
      <c r="BM2195" s="38"/>
      <c r="BN2195" s="38"/>
      <c r="BO2195" s="38"/>
      <c r="BP2195" s="38"/>
      <c r="BQ2195" s="38"/>
    </row>
    <row r="2196">
      <c r="A2196" s="87" t="s">
        <v>5980</v>
      </c>
      <c r="B2196" s="48"/>
      <c r="C2196" s="48">
        <v>43474.0</v>
      </c>
      <c r="D2196" s="49"/>
      <c r="E2196" s="47" t="s">
        <v>41</v>
      </c>
      <c r="F2196" s="47">
        <v>1.0</v>
      </c>
      <c r="G2196" s="47" t="s">
        <v>32</v>
      </c>
      <c r="H2196" s="50">
        <v>1.0</v>
      </c>
      <c r="I2196" s="47" t="s">
        <v>33</v>
      </c>
      <c r="J2196" s="47" t="s">
        <v>179</v>
      </c>
      <c r="K2196" s="47"/>
      <c r="L2196" s="47" t="s">
        <v>76</v>
      </c>
      <c r="M2196" s="52" t="s">
        <v>5981</v>
      </c>
      <c r="N2196" s="52"/>
      <c r="O2196" s="53" t="str">
        <f>hyperlink("https://bad-boys.us/?q=ED-VA/3:19-cr-00005", "ED-VA 3:19-cr-00005")</f>
        <v>ED-VA 3:19-cr-00005</v>
      </c>
      <c r="P2196" s="47"/>
      <c r="Q2196" s="47">
        <v>1.0</v>
      </c>
      <c r="R2196" s="55"/>
      <c r="S2196" s="37" t="str">
        <f>IFERROR(__xludf.DUMMYFUNCTION("if(not(iserror(index(split(C2196, "" ""),2))), index(split(C2196, "" ""),1),"""")"),"January")</f>
        <v>January</v>
      </c>
      <c r="T2196" s="38">
        <f>IFERROR(__xludf.DUMMYFUNCTION("if(S2196="""",C2196,if(not(iserror(index(split(C2196, "" ""),3))), index(split(C2196, "" ""),3),index(split(C2196, "" ""),2)))"),2019.0)</f>
        <v>2019</v>
      </c>
      <c r="U2196" s="38" t="b">
        <f t="shared" ref="U2196:U2197" si="341">countif(A$4:A4658, A2196)&gt;1</f>
        <v>0</v>
      </c>
      <c r="V2196" s="38" t="s">
        <v>33</v>
      </c>
      <c r="W2196" s="40"/>
      <c r="X2196" s="40"/>
      <c r="Y2196" s="40"/>
      <c r="Z2196" s="38"/>
      <c r="AA2196" s="38"/>
      <c r="AB2196" s="38"/>
      <c r="AC2196" s="38"/>
      <c r="AD2196" s="38"/>
      <c r="AE2196" s="38"/>
      <c r="AF2196" s="38"/>
      <c r="AG2196" s="38"/>
      <c r="AH2196" s="38"/>
      <c r="AI2196" s="38"/>
      <c r="AJ2196" s="38"/>
      <c r="AK2196" s="38"/>
      <c r="AL2196" s="38"/>
      <c r="AM2196" s="38"/>
      <c r="AN2196" s="38"/>
      <c r="AO2196" s="38"/>
      <c r="AP2196" s="38"/>
      <c r="AQ2196" s="38"/>
      <c r="AR2196" s="38"/>
      <c r="AS2196" s="38"/>
      <c r="AT2196" s="38"/>
      <c r="AU2196" s="38"/>
      <c r="AV2196" s="38"/>
      <c r="AW2196" s="38"/>
      <c r="AX2196" s="38"/>
      <c r="AY2196" s="38"/>
      <c r="AZ2196" s="38"/>
      <c r="BA2196" s="38"/>
      <c r="BB2196" s="38"/>
      <c r="BC2196" s="38"/>
      <c r="BD2196" s="38"/>
      <c r="BE2196" s="38"/>
      <c r="BF2196" s="38"/>
      <c r="BG2196" s="38"/>
      <c r="BH2196" s="38"/>
      <c r="BI2196" s="38"/>
      <c r="BJ2196" s="38"/>
      <c r="BK2196" s="38"/>
      <c r="BL2196" s="38"/>
      <c r="BM2196" s="38"/>
      <c r="BN2196" s="38"/>
      <c r="BO2196" s="38"/>
      <c r="BP2196" s="38"/>
      <c r="BQ2196" s="38"/>
    </row>
    <row r="2197">
      <c r="A2197" s="87" t="s">
        <v>5982</v>
      </c>
      <c r="B2197" s="48"/>
      <c r="C2197" s="48">
        <v>43475.0</v>
      </c>
      <c r="D2197" s="49"/>
      <c r="E2197" s="47" t="s">
        <v>41</v>
      </c>
      <c r="F2197" s="47">
        <v>1.0</v>
      </c>
      <c r="G2197" s="47" t="s">
        <v>32</v>
      </c>
      <c r="H2197" s="50">
        <v>1.0</v>
      </c>
      <c r="I2197" s="47" t="s">
        <v>33</v>
      </c>
      <c r="J2197" s="47" t="s">
        <v>343</v>
      </c>
      <c r="K2197" s="47"/>
      <c r="L2197" s="47" t="s">
        <v>119</v>
      </c>
      <c r="M2197" s="51" t="s">
        <v>5983</v>
      </c>
      <c r="N2197" s="52"/>
      <c r="O2197" s="53" t="str">
        <f>hyperlink("https://bad-boys.us/?q=ND-WV/3:19-cr-00004", "ND-WV 3:19-cr-00004")</f>
        <v>ND-WV 3:19-cr-00004</v>
      </c>
      <c r="P2197" s="54" t="s">
        <v>5984</v>
      </c>
      <c r="Q2197" s="47">
        <v>1.0</v>
      </c>
      <c r="R2197" s="55"/>
      <c r="S2197" s="37" t="str">
        <f>IFERROR(__xludf.DUMMYFUNCTION("if(not(iserror(index(split(C2197, "" ""),2))), index(split(C2197, "" ""),1),"""")"),"January")</f>
        <v>January</v>
      </c>
      <c r="T2197" s="38">
        <f>IFERROR(__xludf.DUMMYFUNCTION("if(S2197="""",C2197,if(not(iserror(index(split(C2197, "" ""),3))), index(split(C2197, "" ""),3),index(split(C2197, "" ""),2)))"),2019.0)</f>
        <v>2019</v>
      </c>
      <c r="U2197" s="38" t="b">
        <f t="shared" si="341"/>
        <v>0</v>
      </c>
      <c r="V2197" s="38" t="s">
        <v>33</v>
      </c>
      <c r="W2197" s="40"/>
      <c r="X2197" s="40"/>
      <c r="Y2197" s="40"/>
      <c r="Z2197" s="38"/>
      <c r="AA2197" s="38"/>
      <c r="AB2197" s="38"/>
      <c r="AC2197" s="38"/>
      <c r="AD2197" s="38"/>
      <c r="AE2197" s="38"/>
      <c r="AF2197" s="38"/>
      <c r="AG2197" s="38"/>
      <c r="AH2197" s="38"/>
      <c r="AI2197" s="38"/>
      <c r="AJ2197" s="38"/>
      <c r="AK2197" s="38"/>
      <c r="AL2197" s="38"/>
      <c r="AM2197" s="38"/>
      <c r="AN2197" s="38"/>
      <c r="AO2197" s="38"/>
      <c r="AP2197" s="38"/>
      <c r="AQ2197" s="38"/>
      <c r="AR2197" s="38"/>
      <c r="AS2197" s="38"/>
      <c r="AT2197" s="38"/>
      <c r="AU2197" s="38"/>
      <c r="AV2197" s="38"/>
      <c r="AW2197" s="38"/>
      <c r="AX2197" s="38"/>
      <c r="AY2197" s="38"/>
      <c r="AZ2197" s="38"/>
      <c r="BA2197" s="38"/>
      <c r="BB2197" s="38"/>
      <c r="BC2197" s="38"/>
      <c r="BD2197" s="38"/>
      <c r="BE2197" s="38"/>
      <c r="BF2197" s="38"/>
      <c r="BG2197" s="38"/>
      <c r="BH2197" s="38"/>
      <c r="BI2197" s="38"/>
      <c r="BJ2197" s="38"/>
      <c r="BK2197" s="38"/>
      <c r="BL2197" s="38"/>
      <c r="BM2197" s="38"/>
      <c r="BN2197" s="38"/>
      <c r="BO2197" s="38"/>
      <c r="BP2197" s="38"/>
      <c r="BQ2197" s="38"/>
    </row>
    <row r="2198">
      <c r="A2198" s="87" t="s">
        <v>5985</v>
      </c>
      <c r="B2198" s="48"/>
      <c r="C2198" s="48">
        <v>43475.0</v>
      </c>
      <c r="D2198" s="49"/>
      <c r="E2198" s="47" t="s">
        <v>41</v>
      </c>
      <c r="F2198" s="47">
        <v>1.0</v>
      </c>
      <c r="G2198" s="47" t="s">
        <v>32</v>
      </c>
      <c r="H2198" s="50">
        <v>1.0</v>
      </c>
      <c r="I2198" s="47" t="s">
        <v>33</v>
      </c>
      <c r="J2198" s="47" t="s">
        <v>93</v>
      </c>
      <c r="K2198" s="47"/>
      <c r="L2198" s="47" t="s">
        <v>69</v>
      </c>
      <c r="M2198" s="51" t="s">
        <v>5986</v>
      </c>
      <c r="N2198" s="52"/>
      <c r="O2198" s="53" t="str">
        <f>hyperlink("https://bad-boys.us/?q=ND-NY/1:19-cr-00012", "ND-NY 1:19-cr-00012")</f>
        <v>ND-NY 1:19-cr-00012</v>
      </c>
      <c r="P2198" s="54" t="s">
        <v>5987</v>
      </c>
      <c r="Q2198" s="47">
        <v>1.0</v>
      </c>
      <c r="R2198" s="55"/>
      <c r="S2198" s="37"/>
      <c r="T2198" s="38"/>
      <c r="U2198" s="38"/>
      <c r="V2198" s="38" t="s">
        <v>33</v>
      </c>
      <c r="W2198" s="40"/>
      <c r="X2198" s="40"/>
      <c r="Y2198" s="40"/>
      <c r="Z2198" s="38"/>
      <c r="AA2198" s="38"/>
      <c r="AB2198" s="38"/>
      <c r="AC2198" s="38"/>
      <c r="AD2198" s="38"/>
      <c r="AE2198" s="38"/>
      <c r="AF2198" s="38"/>
      <c r="AG2198" s="38"/>
      <c r="AH2198" s="38"/>
      <c r="AI2198" s="38"/>
      <c r="AJ2198" s="38"/>
      <c r="AK2198" s="38"/>
      <c r="AL2198" s="38"/>
      <c r="AM2198" s="38"/>
      <c r="AN2198" s="38"/>
      <c r="AO2198" s="38"/>
      <c r="AP2198" s="38"/>
      <c r="AQ2198" s="38"/>
      <c r="AR2198" s="38"/>
      <c r="AS2198" s="38"/>
      <c r="AT2198" s="38"/>
      <c r="AU2198" s="38"/>
      <c r="AV2198" s="38"/>
      <c r="AW2198" s="38"/>
      <c r="AX2198" s="38"/>
      <c r="AY2198" s="38"/>
      <c r="AZ2198" s="38"/>
      <c r="BA2198" s="38"/>
      <c r="BB2198" s="38"/>
      <c r="BC2198" s="38"/>
      <c r="BD2198" s="38"/>
      <c r="BE2198" s="38"/>
      <c r="BF2198" s="38"/>
      <c r="BG2198" s="38"/>
      <c r="BH2198" s="38"/>
      <c r="BI2198" s="38"/>
      <c r="BJ2198" s="38"/>
      <c r="BK2198" s="38"/>
      <c r="BL2198" s="38"/>
      <c r="BM2198" s="38"/>
      <c r="BN2198" s="38"/>
      <c r="BO2198" s="38"/>
      <c r="BP2198" s="38"/>
      <c r="BQ2198" s="38"/>
    </row>
    <row r="2199">
      <c r="A2199" s="87" t="s">
        <v>5988</v>
      </c>
      <c r="B2199" s="48"/>
      <c r="C2199" s="48">
        <v>43475.0</v>
      </c>
      <c r="D2199" s="49"/>
      <c r="E2199" s="47" t="s">
        <v>41</v>
      </c>
      <c r="F2199" s="47">
        <v>1.0</v>
      </c>
      <c r="G2199" s="47" t="s">
        <v>32</v>
      </c>
      <c r="H2199" s="50">
        <v>1.0</v>
      </c>
      <c r="I2199" s="47" t="s">
        <v>33</v>
      </c>
      <c r="J2199" s="47" t="s">
        <v>279</v>
      </c>
      <c r="K2199" s="47"/>
      <c r="L2199" s="47" t="s">
        <v>119</v>
      </c>
      <c r="M2199" s="51" t="s">
        <v>5989</v>
      </c>
      <c r="N2199" s="52"/>
      <c r="O2199" s="55"/>
      <c r="P2199" s="47"/>
      <c r="Q2199" s="47"/>
      <c r="R2199" s="55"/>
      <c r="S2199" s="37"/>
      <c r="T2199" s="38"/>
      <c r="U2199" s="38"/>
      <c r="V2199" s="38" t="s">
        <v>33</v>
      </c>
      <c r="W2199" s="40"/>
      <c r="X2199" s="40"/>
      <c r="Y2199" s="40"/>
      <c r="Z2199" s="38"/>
      <c r="AA2199" s="38"/>
      <c r="AB2199" s="38"/>
      <c r="AC2199" s="38"/>
      <c r="AD2199" s="38"/>
      <c r="AE2199" s="38"/>
      <c r="AF2199" s="38"/>
      <c r="AG2199" s="38"/>
      <c r="AH2199" s="38"/>
      <c r="AI2199" s="38"/>
      <c r="AJ2199" s="38"/>
      <c r="AK2199" s="38"/>
      <c r="AL2199" s="38"/>
      <c r="AM2199" s="38"/>
      <c r="AN2199" s="38"/>
      <c r="AO2199" s="38"/>
      <c r="AP2199" s="38"/>
      <c r="AQ2199" s="38"/>
      <c r="AR2199" s="38"/>
      <c r="AS2199" s="38"/>
      <c r="AT2199" s="38"/>
      <c r="AU2199" s="38"/>
      <c r="AV2199" s="38"/>
      <c r="AW2199" s="38"/>
      <c r="AX2199" s="38"/>
      <c r="AY2199" s="38"/>
      <c r="AZ2199" s="38"/>
      <c r="BA2199" s="38"/>
      <c r="BB2199" s="38"/>
      <c r="BC2199" s="38"/>
      <c r="BD2199" s="38"/>
      <c r="BE2199" s="38"/>
      <c r="BF2199" s="38"/>
      <c r="BG2199" s="38"/>
      <c r="BH2199" s="38"/>
      <c r="BI2199" s="38"/>
      <c r="BJ2199" s="38"/>
      <c r="BK2199" s="38"/>
      <c r="BL2199" s="38"/>
      <c r="BM2199" s="38"/>
      <c r="BN2199" s="38"/>
      <c r="BO2199" s="38"/>
      <c r="BP2199" s="38"/>
      <c r="BQ2199" s="38"/>
    </row>
    <row r="2200">
      <c r="A2200" s="87" t="s">
        <v>5990</v>
      </c>
      <c r="B2200" s="48"/>
      <c r="C2200" s="48">
        <v>43475.0</v>
      </c>
      <c r="D2200" s="49"/>
      <c r="E2200" s="47" t="s">
        <v>41</v>
      </c>
      <c r="F2200" s="47">
        <v>1.0</v>
      </c>
      <c r="G2200" s="47" t="s">
        <v>32</v>
      </c>
      <c r="H2200" s="50">
        <v>1.0</v>
      </c>
      <c r="I2200" s="47" t="s">
        <v>33</v>
      </c>
      <c r="J2200" s="47" t="s">
        <v>115</v>
      </c>
      <c r="K2200" s="47"/>
      <c r="L2200" s="47" t="s">
        <v>5991</v>
      </c>
      <c r="M2200" s="51" t="s">
        <v>5992</v>
      </c>
      <c r="N2200" s="51" t="s">
        <v>5993</v>
      </c>
      <c r="O2200" s="55"/>
      <c r="P2200" s="47"/>
      <c r="Q2200" s="47"/>
      <c r="R2200" s="55"/>
      <c r="S2200" s="37" t="str">
        <f>IFERROR(__xludf.DUMMYFUNCTION("if(not(iserror(index(split(C2200, "" ""),2))), index(split(C2200, "" ""),1),"""")"),"January")</f>
        <v>January</v>
      </c>
      <c r="T2200" s="38">
        <f>IFERROR(__xludf.DUMMYFUNCTION("if(S2200="""",C2200,if(not(iserror(index(split(C2200, "" ""),3))), index(split(C2200, "" ""),3),index(split(C2200, "" ""),2)))"),2019.0)</f>
        <v>2019</v>
      </c>
      <c r="U2200" s="38" t="b">
        <f t="shared" ref="U2200:U2207" si="342">countif(A$4:A4658, A2200)&gt;1</f>
        <v>0</v>
      </c>
      <c r="V2200" s="38" t="s">
        <v>33</v>
      </c>
      <c r="W2200" s="39" t="s">
        <v>5994</v>
      </c>
      <c r="X2200" s="40"/>
      <c r="Y2200" s="40"/>
      <c r="Z2200" s="38"/>
      <c r="AA2200" s="38"/>
      <c r="AB2200" s="38"/>
      <c r="AC2200" s="38"/>
      <c r="AD2200" s="38"/>
      <c r="AE2200" s="38"/>
      <c r="AF2200" s="38"/>
      <c r="AG2200" s="38"/>
      <c r="AH2200" s="38"/>
      <c r="AI2200" s="38"/>
      <c r="AJ2200" s="38"/>
      <c r="AK2200" s="38"/>
      <c r="AL2200" s="38"/>
      <c r="AM2200" s="38"/>
      <c r="AN2200" s="38"/>
      <c r="AO2200" s="38"/>
      <c r="AP2200" s="38"/>
      <c r="AQ2200" s="38"/>
      <c r="AR2200" s="38"/>
      <c r="AS2200" s="38"/>
      <c r="AT2200" s="38"/>
      <c r="AU2200" s="38"/>
      <c r="AV2200" s="38"/>
      <c r="AW2200" s="38"/>
      <c r="AX2200" s="38"/>
      <c r="AY2200" s="38"/>
      <c r="AZ2200" s="38"/>
      <c r="BA2200" s="38"/>
      <c r="BB2200" s="38"/>
      <c r="BC2200" s="38"/>
      <c r="BD2200" s="38"/>
      <c r="BE2200" s="38"/>
      <c r="BF2200" s="38"/>
      <c r="BG2200" s="38"/>
      <c r="BH2200" s="38"/>
      <c r="BI2200" s="38"/>
      <c r="BJ2200" s="38"/>
      <c r="BK2200" s="38"/>
      <c r="BL2200" s="38"/>
      <c r="BM2200" s="38"/>
      <c r="BN2200" s="38"/>
      <c r="BO2200" s="38"/>
      <c r="BP2200" s="38"/>
      <c r="BQ2200" s="38"/>
    </row>
    <row r="2201">
      <c r="A2201" s="87" t="s">
        <v>5995</v>
      </c>
      <c r="B2201" s="48"/>
      <c r="C2201" s="48">
        <v>43476.0</v>
      </c>
      <c r="D2201" s="49"/>
      <c r="E2201" s="47" t="s">
        <v>41</v>
      </c>
      <c r="F2201" s="47">
        <v>1.0</v>
      </c>
      <c r="G2201" s="47" t="s">
        <v>32</v>
      </c>
      <c r="H2201" s="50">
        <v>1.0</v>
      </c>
      <c r="I2201" s="47" t="s">
        <v>33</v>
      </c>
      <c r="J2201" s="47" t="s">
        <v>228</v>
      </c>
      <c r="K2201" s="47"/>
      <c r="L2201" s="47" t="s">
        <v>119</v>
      </c>
      <c r="M2201" s="51" t="s">
        <v>5996</v>
      </c>
      <c r="N2201" s="51" t="s">
        <v>5997</v>
      </c>
      <c r="O2201" s="53" t="str">
        <f>hyperlink("https://bad-boys.us/?q=D-PR/3:18-cr-00758", "D-PR 3:18-cr-00758")</f>
        <v>D-PR 3:18-cr-00758</v>
      </c>
      <c r="P2201" s="54" t="s">
        <v>5998</v>
      </c>
      <c r="Q2201" s="47">
        <v>1.0</v>
      </c>
      <c r="R2201" s="55"/>
      <c r="S2201" s="37" t="str">
        <f>IFERROR(__xludf.DUMMYFUNCTION("if(not(iserror(index(split(C2201, "" ""),2))), index(split(C2201, "" ""),1),"""")"),"January")</f>
        <v>January</v>
      </c>
      <c r="T2201" s="38">
        <f>IFERROR(__xludf.DUMMYFUNCTION("if(S2201="""",C2201,if(not(iserror(index(split(C2201, "" ""),3))), index(split(C2201, "" ""),3),index(split(C2201, "" ""),2)))"),2019.0)</f>
        <v>2019</v>
      </c>
      <c r="U2201" s="38" t="b">
        <f t="shared" si="342"/>
        <v>0</v>
      </c>
      <c r="V2201" s="38" t="s">
        <v>33</v>
      </c>
      <c r="W2201" s="39" t="s">
        <v>5999</v>
      </c>
      <c r="X2201" s="40"/>
      <c r="Y2201" s="40"/>
      <c r="Z2201" s="38"/>
      <c r="AA2201" s="38"/>
      <c r="AB2201" s="38"/>
      <c r="AC2201" s="38"/>
      <c r="AD2201" s="38"/>
      <c r="AE2201" s="38"/>
      <c r="AF2201" s="38"/>
      <c r="AG2201" s="38"/>
      <c r="AH2201" s="38"/>
      <c r="AI2201" s="38"/>
      <c r="AJ2201" s="38"/>
      <c r="AK2201" s="38"/>
      <c r="AL2201" s="38"/>
      <c r="AM2201" s="38"/>
      <c r="AN2201" s="38"/>
      <c r="AO2201" s="38"/>
      <c r="AP2201" s="38"/>
      <c r="AQ2201" s="38"/>
      <c r="AR2201" s="38"/>
      <c r="AS2201" s="38"/>
      <c r="AT2201" s="38"/>
      <c r="AU2201" s="38"/>
      <c r="AV2201" s="38"/>
      <c r="AW2201" s="38"/>
      <c r="AX2201" s="38"/>
      <c r="AY2201" s="38"/>
      <c r="AZ2201" s="38"/>
      <c r="BA2201" s="38"/>
      <c r="BB2201" s="38"/>
      <c r="BC2201" s="38"/>
      <c r="BD2201" s="38"/>
      <c r="BE2201" s="38"/>
      <c r="BF2201" s="38"/>
      <c r="BG2201" s="38"/>
      <c r="BH2201" s="38"/>
      <c r="BI2201" s="38"/>
      <c r="BJ2201" s="38"/>
      <c r="BK2201" s="38"/>
      <c r="BL2201" s="38"/>
      <c r="BM2201" s="38"/>
      <c r="BN2201" s="38"/>
      <c r="BO2201" s="38"/>
      <c r="BP2201" s="38"/>
      <c r="BQ2201" s="38"/>
    </row>
    <row r="2202">
      <c r="A2202" s="87" t="s">
        <v>6000</v>
      </c>
      <c r="B2202" s="48"/>
      <c r="C2202" s="48">
        <v>43476.0</v>
      </c>
      <c r="D2202" s="49"/>
      <c r="E2202" s="47" t="s">
        <v>41</v>
      </c>
      <c r="F2202" s="47">
        <v>1.0</v>
      </c>
      <c r="G2202" s="47" t="s">
        <v>32</v>
      </c>
      <c r="H2202" s="50">
        <v>1.0</v>
      </c>
      <c r="I2202" s="47" t="s">
        <v>33</v>
      </c>
      <c r="J2202" s="47" t="s">
        <v>228</v>
      </c>
      <c r="K2202" s="47"/>
      <c r="L2202" s="47" t="s">
        <v>119</v>
      </c>
      <c r="M2202" s="51" t="s">
        <v>5996</v>
      </c>
      <c r="N2202" s="51" t="s">
        <v>5997</v>
      </c>
      <c r="O2202" s="53" t="str">
        <f>hyperlink("https://bad-boys.us/?q=D-PR/3:18-cr-00759", "D-PR 3:18-cr-00759")</f>
        <v>D-PR 3:18-cr-00759</v>
      </c>
      <c r="P2202" s="54" t="s">
        <v>6001</v>
      </c>
      <c r="Q2202" s="47">
        <v>1.0</v>
      </c>
      <c r="R2202" s="55"/>
      <c r="S2202" s="37" t="str">
        <f>IFERROR(__xludf.DUMMYFUNCTION("if(not(iserror(index(split(C2202, "" ""),2))), index(split(C2202, "" ""),1),"""")"),"January")</f>
        <v>January</v>
      </c>
      <c r="T2202" s="38">
        <f>IFERROR(__xludf.DUMMYFUNCTION("if(S2202="""",C2202,if(not(iserror(index(split(C2202, "" ""),3))), index(split(C2202, "" ""),3),index(split(C2202, "" ""),2)))"),2019.0)</f>
        <v>2019</v>
      </c>
      <c r="U2202" s="38" t="b">
        <f t="shared" si="342"/>
        <v>0</v>
      </c>
      <c r="V2202" s="38" t="s">
        <v>33</v>
      </c>
      <c r="W2202" s="39" t="s">
        <v>5999</v>
      </c>
      <c r="X2202" s="40"/>
      <c r="Y2202" s="40"/>
      <c r="Z2202" s="38"/>
      <c r="AA2202" s="38"/>
      <c r="AB2202" s="38"/>
      <c r="AC2202" s="38"/>
      <c r="AD2202" s="38"/>
      <c r="AE2202" s="38"/>
      <c r="AF2202" s="38"/>
      <c r="AG2202" s="38"/>
      <c r="AH2202" s="38"/>
      <c r="AI2202" s="38"/>
      <c r="AJ2202" s="38"/>
      <c r="AK2202" s="38"/>
      <c r="AL2202" s="38"/>
      <c r="AM2202" s="38"/>
      <c r="AN2202" s="38"/>
      <c r="AO2202" s="38"/>
      <c r="AP2202" s="38"/>
      <c r="AQ2202" s="38"/>
      <c r="AR2202" s="38"/>
      <c r="AS2202" s="38"/>
      <c r="AT2202" s="38"/>
      <c r="AU2202" s="38"/>
      <c r="AV2202" s="38"/>
      <c r="AW2202" s="38"/>
      <c r="AX2202" s="38"/>
      <c r="AY2202" s="38"/>
      <c r="AZ2202" s="38"/>
      <c r="BA2202" s="38"/>
      <c r="BB2202" s="38"/>
      <c r="BC2202" s="38"/>
      <c r="BD2202" s="38"/>
      <c r="BE2202" s="38"/>
      <c r="BF2202" s="38"/>
      <c r="BG2202" s="38"/>
      <c r="BH2202" s="38"/>
      <c r="BI2202" s="38"/>
      <c r="BJ2202" s="38"/>
      <c r="BK2202" s="38"/>
      <c r="BL2202" s="38"/>
      <c r="BM2202" s="38"/>
      <c r="BN2202" s="38"/>
      <c r="BO2202" s="38"/>
      <c r="BP2202" s="38"/>
      <c r="BQ2202" s="38"/>
    </row>
    <row r="2203">
      <c r="A2203" s="87" t="s">
        <v>6002</v>
      </c>
      <c r="B2203" s="48"/>
      <c r="C2203" s="48">
        <v>43476.0</v>
      </c>
      <c r="D2203" s="49"/>
      <c r="E2203" s="47" t="s">
        <v>41</v>
      </c>
      <c r="F2203" s="47">
        <v>1.0</v>
      </c>
      <c r="G2203" s="47" t="s">
        <v>32</v>
      </c>
      <c r="H2203" s="50">
        <v>1.0</v>
      </c>
      <c r="I2203" s="47" t="s">
        <v>33</v>
      </c>
      <c r="J2203" s="47" t="s">
        <v>228</v>
      </c>
      <c r="K2203" s="47"/>
      <c r="L2203" s="47" t="s">
        <v>119</v>
      </c>
      <c r="M2203" s="51" t="s">
        <v>5996</v>
      </c>
      <c r="N2203" s="51" t="s">
        <v>5997</v>
      </c>
      <c r="O2203" s="53" t="str">
        <f>hyperlink("https://bad-boys.us/?q=D-PR/3:18-cr-00760", "D-PR 3:18-cr-00760")</f>
        <v>D-PR 3:18-cr-00760</v>
      </c>
      <c r="P2203" s="54" t="s">
        <v>6003</v>
      </c>
      <c r="Q2203" s="47">
        <v>1.0</v>
      </c>
      <c r="R2203" s="55"/>
      <c r="S2203" s="37" t="str">
        <f>IFERROR(__xludf.DUMMYFUNCTION("if(not(iserror(index(split(C2203, "" ""),2))), index(split(C2203, "" ""),1),"""")"),"January")</f>
        <v>January</v>
      </c>
      <c r="T2203" s="38">
        <f>IFERROR(__xludf.DUMMYFUNCTION("if(S2203="""",C2203,if(not(iserror(index(split(C2203, "" ""),3))), index(split(C2203, "" ""),3),index(split(C2203, "" ""),2)))"),2019.0)</f>
        <v>2019</v>
      </c>
      <c r="U2203" s="38" t="b">
        <f t="shared" si="342"/>
        <v>0</v>
      </c>
      <c r="V2203" s="38" t="s">
        <v>33</v>
      </c>
      <c r="W2203" s="39" t="s">
        <v>5999</v>
      </c>
      <c r="X2203" s="40"/>
      <c r="Y2203" s="40"/>
      <c r="Z2203" s="38"/>
      <c r="AA2203" s="38"/>
      <c r="AB2203" s="38"/>
      <c r="AC2203" s="38"/>
      <c r="AD2203" s="38"/>
      <c r="AE2203" s="38"/>
      <c r="AF2203" s="38"/>
      <c r="AG2203" s="38"/>
      <c r="AH2203" s="38"/>
      <c r="AI2203" s="38"/>
      <c r="AJ2203" s="38"/>
      <c r="AK2203" s="38"/>
      <c r="AL2203" s="38"/>
      <c r="AM2203" s="38"/>
      <c r="AN2203" s="38"/>
      <c r="AO2203" s="38"/>
      <c r="AP2203" s="38"/>
      <c r="AQ2203" s="38"/>
      <c r="AR2203" s="38"/>
      <c r="AS2203" s="38"/>
      <c r="AT2203" s="38"/>
      <c r="AU2203" s="38"/>
      <c r="AV2203" s="38"/>
      <c r="AW2203" s="38"/>
      <c r="AX2203" s="38"/>
      <c r="AY2203" s="38"/>
      <c r="AZ2203" s="38"/>
      <c r="BA2203" s="38"/>
      <c r="BB2203" s="38"/>
      <c r="BC2203" s="38"/>
      <c r="BD2203" s="38"/>
      <c r="BE2203" s="38"/>
      <c r="BF2203" s="38"/>
      <c r="BG2203" s="38"/>
      <c r="BH2203" s="38"/>
      <c r="BI2203" s="38"/>
      <c r="BJ2203" s="38"/>
      <c r="BK2203" s="38"/>
      <c r="BL2203" s="38"/>
      <c r="BM2203" s="38"/>
      <c r="BN2203" s="38"/>
      <c r="BO2203" s="38"/>
      <c r="BP2203" s="38"/>
      <c r="BQ2203" s="38"/>
    </row>
    <row r="2204">
      <c r="A2204" s="87" t="s">
        <v>6004</v>
      </c>
      <c r="B2204" s="48"/>
      <c r="C2204" s="48">
        <v>43476.0</v>
      </c>
      <c r="D2204" s="49"/>
      <c r="E2204" s="47" t="s">
        <v>41</v>
      </c>
      <c r="F2204" s="47">
        <v>1.0</v>
      </c>
      <c r="G2204" s="47" t="s">
        <v>32</v>
      </c>
      <c r="H2204" s="50">
        <v>1.0</v>
      </c>
      <c r="I2204" s="47" t="s">
        <v>33</v>
      </c>
      <c r="J2204" s="47" t="s">
        <v>228</v>
      </c>
      <c r="K2204" s="47"/>
      <c r="L2204" s="47" t="s">
        <v>119</v>
      </c>
      <c r="M2204" s="51" t="s">
        <v>5996</v>
      </c>
      <c r="N2204" s="51" t="s">
        <v>5997</v>
      </c>
      <c r="O2204" s="53" t="str">
        <f>hyperlink("https://bad-boys.us/?q=D-PR/3:18-cr-00773", "D-PR 3:18-cr-00773")</f>
        <v>D-PR 3:18-cr-00773</v>
      </c>
      <c r="P2204" s="54" t="s">
        <v>6005</v>
      </c>
      <c r="Q2204" s="47">
        <v>1.0</v>
      </c>
      <c r="R2204" s="55"/>
      <c r="S2204" s="37" t="str">
        <f>IFERROR(__xludf.DUMMYFUNCTION("if(not(iserror(index(split(C2204, "" ""),2))), index(split(C2204, "" ""),1),"""")"),"January")</f>
        <v>January</v>
      </c>
      <c r="T2204" s="38">
        <f>IFERROR(__xludf.DUMMYFUNCTION("if(S2204="""",C2204,if(not(iserror(index(split(C2204, "" ""),3))), index(split(C2204, "" ""),3),index(split(C2204, "" ""),2)))"),2019.0)</f>
        <v>2019</v>
      </c>
      <c r="U2204" s="38" t="b">
        <f t="shared" si="342"/>
        <v>0</v>
      </c>
      <c r="V2204" s="38" t="s">
        <v>33</v>
      </c>
      <c r="W2204" s="39" t="s">
        <v>5999</v>
      </c>
      <c r="X2204" s="40"/>
      <c r="Y2204" s="40"/>
      <c r="Z2204" s="38"/>
      <c r="AA2204" s="38"/>
      <c r="AB2204" s="38"/>
      <c r="AC2204" s="38"/>
      <c r="AD2204" s="38"/>
      <c r="AE2204" s="38"/>
      <c r="AF2204" s="38"/>
      <c r="AG2204" s="38"/>
      <c r="AH2204" s="38"/>
      <c r="AI2204" s="38"/>
      <c r="AJ2204" s="38"/>
      <c r="AK2204" s="38"/>
      <c r="AL2204" s="38"/>
      <c r="AM2204" s="38"/>
      <c r="AN2204" s="38"/>
      <c r="AO2204" s="38"/>
      <c r="AP2204" s="38"/>
      <c r="AQ2204" s="38"/>
      <c r="AR2204" s="38"/>
      <c r="AS2204" s="38"/>
      <c r="AT2204" s="38"/>
      <c r="AU2204" s="38"/>
      <c r="AV2204" s="38"/>
      <c r="AW2204" s="38"/>
      <c r="AX2204" s="38"/>
      <c r="AY2204" s="38"/>
      <c r="AZ2204" s="38"/>
      <c r="BA2204" s="38"/>
      <c r="BB2204" s="38"/>
      <c r="BC2204" s="38"/>
      <c r="BD2204" s="38"/>
      <c r="BE2204" s="38"/>
      <c r="BF2204" s="38"/>
      <c r="BG2204" s="38"/>
      <c r="BH2204" s="38"/>
      <c r="BI2204" s="38"/>
      <c r="BJ2204" s="38"/>
      <c r="BK2204" s="38"/>
      <c r="BL2204" s="38"/>
      <c r="BM2204" s="38"/>
      <c r="BN2204" s="38"/>
      <c r="BO2204" s="38"/>
      <c r="BP2204" s="38"/>
      <c r="BQ2204" s="38"/>
    </row>
    <row r="2205">
      <c r="A2205" s="47" t="s">
        <v>6006</v>
      </c>
      <c r="B2205" s="48"/>
      <c r="C2205" s="48">
        <v>43479.0</v>
      </c>
      <c r="D2205" s="49"/>
      <c r="E2205" s="47" t="s">
        <v>41</v>
      </c>
      <c r="F2205" s="47">
        <v>1.0</v>
      </c>
      <c r="G2205" s="47" t="s">
        <v>32</v>
      </c>
      <c r="H2205" s="43">
        <v>1.0</v>
      </c>
      <c r="I2205" s="47" t="s">
        <v>33</v>
      </c>
      <c r="J2205" s="47" t="s">
        <v>93</v>
      </c>
      <c r="K2205" s="47"/>
      <c r="L2205" s="47" t="s">
        <v>6007</v>
      </c>
      <c r="M2205" s="51" t="s">
        <v>6008</v>
      </c>
      <c r="N2205" s="52"/>
      <c r="O2205" s="53" t="str">
        <f>hyperlink("https://bad-boys.us/?q=SD-NY/7:19-cr-00019", "SD-NY 7:19-cr-00019")</f>
        <v>SD-NY 7:19-cr-00019</v>
      </c>
      <c r="P2205" s="54" t="s">
        <v>6009</v>
      </c>
      <c r="Q2205" s="47">
        <v>1.0</v>
      </c>
      <c r="R2205" s="55"/>
      <c r="S2205" s="37" t="str">
        <f>IFERROR(__xludf.DUMMYFUNCTION("if(not(iserror(index(split(C2205, "" ""),2))), index(split(C2205, "" ""),1),"""")"),"January")</f>
        <v>January</v>
      </c>
      <c r="T2205" s="38">
        <f>IFERROR(__xludf.DUMMYFUNCTION("if(S2205="""",C2205,if(not(iserror(index(split(C2205, "" ""),3))), index(split(C2205, "" ""),3),index(split(C2205, "" ""),2)))"),2019.0)</f>
        <v>2019</v>
      </c>
      <c r="U2205" s="38" t="b">
        <f t="shared" si="342"/>
        <v>0</v>
      </c>
      <c r="V2205" s="38" t="s">
        <v>33</v>
      </c>
      <c r="W2205" s="40"/>
      <c r="X2205" s="40"/>
      <c r="Y2205" s="40"/>
      <c r="Z2205" s="38"/>
      <c r="AA2205" s="38"/>
      <c r="AB2205" s="38"/>
      <c r="AC2205" s="38"/>
      <c r="AD2205" s="38"/>
      <c r="AE2205" s="38"/>
      <c r="AF2205" s="38"/>
      <c r="AG2205" s="38"/>
      <c r="AH2205" s="38"/>
      <c r="AI2205" s="38"/>
      <c r="AJ2205" s="38"/>
      <c r="AK2205" s="38"/>
      <c r="AL2205" s="38"/>
      <c r="AM2205" s="38"/>
      <c r="AN2205" s="38"/>
      <c r="AO2205" s="38"/>
      <c r="AP2205" s="38"/>
      <c r="AQ2205" s="38"/>
      <c r="AR2205" s="38"/>
      <c r="AS2205" s="38"/>
      <c r="AT2205" s="38"/>
      <c r="AU2205" s="38"/>
      <c r="AV2205" s="38"/>
      <c r="AW2205" s="38"/>
      <c r="AX2205" s="38"/>
      <c r="AY2205" s="38"/>
      <c r="AZ2205" s="38"/>
      <c r="BA2205" s="38"/>
      <c r="BB2205" s="38"/>
      <c r="BC2205" s="38"/>
      <c r="BD2205" s="38"/>
      <c r="BE2205" s="38"/>
      <c r="BF2205" s="38"/>
      <c r="BG2205" s="38"/>
      <c r="BH2205" s="38"/>
      <c r="BI2205" s="38"/>
      <c r="BJ2205" s="38"/>
      <c r="BK2205" s="38"/>
      <c r="BL2205" s="38"/>
      <c r="BM2205" s="38"/>
      <c r="BN2205" s="38"/>
      <c r="BO2205" s="38"/>
      <c r="BP2205" s="38"/>
      <c r="BQ2205" s="38"/>
    </row>
    <row r="2206">
      <c r="A2206" s="47" t="s">
        <v>6010</v>
      </c>
      <c r="B2206" s="48">
        <v>43481.0</v>
      </c>
      <c r="C2206" s="48">
        <v>43480.0</v>
      </c>
      <c r="D2206" s="49" t="s">
        <v>6011</v>
      </c>
      <c r="E2206" s="47" t="s">
        <v>41</v>
      </c>
      <c r="F2206" s="47">
        <v>1.0</v>
      </c>
      <c r="G2206" s="47" t="s">
        <v>32</v>
      </c>
      <c r="H2206" s="33">
        <f t="shared" ref="H2206:H2207" si="343">if(G2206="Unknown",1,G2206)</f>
        <v>1</v>
      </c>
      <c r="I2206" s="47" t="s">
        <v>33</v>
      </c>
      <c r="J2206" s="47" t="s">
        <v>68</v>
      </c>
      <c r="K2206" s="47">
        <v>7.0</v>
      </c>
      <c r="L2206" s="47" t="s">
        <v>141</v>
      </c>
      <c r="M2206" s="51" t="s">
        <v>6012</v>
      </c>
      <c r="N2206" s="52"/>
      <c r="O2206" s="53" t="str">
        <f>hyperlink("https://bad-boys.us/?q=D-OR/3:18-cr-00557", "D-OR 3:18-cr-00557")</f>
        <v>D-OR 3:18-cr-00557</v>
      </c>
      <c r="P2206" s="54" t="s">
        <v>6013</v>
      </c>
      <c r="Q2206" s="47">
        <v>1.0</v>
      </c>
      <c r="R2206" s="55"/>
      <c r="S2206" s="37" t="str">
        <f>IFERROR(__xludf.DUMMYFUNCTION("if(not(iserror(index(split(C2206, "" ""),2))), index(split(C2206, "" ""),1),"""")"),"January")</f>
        <v>January</v>
      </c>
      <c r="T2206" s="38">
        <f>IFERROR(__xludf.DUMMYFUNCTION("if(S2206="""",C2206,if(not(iserror(index(split(C2206, "" ""),3))), index(split(C2206, "" ""),3),index(split(C2206, "" ""),2)))"),2019.0)</f>
        <v>2019</v>
      </c>
      <c r="U2206" s="38" t="b">
        <f t="shared" si="342"/>
        <v>0</v>
      </c>
      <c r="V2206" s="38"/>
      <c r="W2206" s="40"/>
      <c r="X2206" s="40"/>
      <c r="Y2206" s="40"/>
      <c r="Z2206" s="38"/>
      <c r="AA2206" s="38"/>
      <c r="AB2206" s="38"/>
      <c r="AC2206" s="38"/>
      <c r="AD2206" s="38"/>
      <c r="AE2206" s="38"/>
      <c r="AF2206" s="38"/>
      <c r="AG2206" s="38"/>
      <c r="AH2206" s="38"/>
      <c r="AI2206" s="38"/>
      <c r="AJ2206" s="38"/>
      <c r="AK2206" s="38"/>
      <c r="AL2206" s="38"/>
      <c r="AM2206" s="38"/>
      <c r="AN2206" s="38"/>
      <c r="AO2206" s="38"/>
      <c r="AP2206" s="38"/>
      <c r="AQ2206" s="38"/>
      <c r="AR2206" s="38"/>
      <c r="AS2206" s="38"/>
      <c r="AT2206" s="38"/>
      <c r="AU2206" s="38"/>
      <c r="AV2206" s="38"/>
      <c r="AW2206" s="38"/>
      <c r="AX2206" s="38"/>
      <c r="AY2206" s="38"/>
      <c r="AZ2206" s="38"/>
      <c r="BA2206" s="38"/>
      <c r="BB2206" s="38"/>
      <c r="BC2206" s="38"/>
      <c r="BD2206" s="38"/>
      <c r="BE2206" s="38"/>
      <c r="BF2206" s="38"/>
      <c r="BG2206" s="38"/>
      <c r="BH2206" s="38"/>
      <c r="BI2206" s="38"/>
      <c r="BJ2206" s="38"/>
      <c r="BK2206" s="38"/>
      <c r="BL2206" s="38"/>
      <c r="BM2206" s="38"/>
      <c r="BN2206" s="38"/>
      <c r="BO2206" s="38"/>
      <c r="BP2206" s="38"/>
      <c r="BQ2206" s="38"/>
    </row>
    <row r="2207">
      <c r="A2207" s="87" t="s">
        <v>6014</v>
      </c>
      <c r="B2207" s="48">
        <v>43481.0</v>
      </c>
      <c r="C2207" s="48">
        <v>43480.0</v>
      </c>
      <c r="D2207" s="49" t="s">
        <v>6011</v>
      </c>
      <c r="E2207" s="47" t="s">
        <v>41</v>
      </c>
      <c r="F2207" s="47">
        <v>5.0</v>
      </c>
      <c r="G2207" s="47">
        <v>5.0</v>
      </c>
      <c r="H2207" s="33">
        <f t="shared" si="343"/>
        <v>5</v>
      </c>
      <c r="I2207" s="47" t="s">
        <v>33</v>
      </c>
      <c r="J2207" s="47" t="s">
        <v>68</v>
      </c>
      <c r="K2207" s="47">
        <v>7.0</v>
      </c>
      <c r="L2207" s="47" t="s">
        <v>141</v>
      </c>
      <c r="M2207" s="51" t="s">
        <v>6012</v>
      </c>
      <c r="N2207" s="52"/>
      <c r="O2207" s="53" t="str">
        <f>hyperlink("https://bad-boys.us/?q=D-OR/3:18-cr-00559", "D-OR 3:18-cr-00559")</f>
        <v>D-OR 3:18-cr-00559</v>
      </c>
      <c r="P2207" s="54" t="s">
        <v>6015</v>
      </c>
      <c r="Q2207" s="47">
        <v>1.0</v>
      </c>
      <c r="R2207" s="55"/>
      <c r="S2207" s="37" t="str">
        <f>IFERROR(__xludf.DUMMYFUNCTION("if(not(iserror(index(split(C2207, "" ""),2))), index(split(C2207, "" ""),1),"""")"),"January")</f>
        <v>January</v>
      </c>
      <c r="T2207" s="38">
        <f>IFERROR(__xludf.DUMMYFUNCTION("if(S2207="""",C2207,if(not(iserror(index(split(C2207, "" ""),3))), index(split(C2207, "" ""),3),index(split(C2207, "" ""),2)))"),2019.0)</f>
        <v>2019</v>
      </c>
      <c r="U2207" s="38" t="b">
        <f t="shared" si="342"/>
        <v>0</v>
      </c>
      <c r="V2207" s="38"/>
      <c r="W2207" s="40"/>
      <c r="X2207" s="40"/>
      <c r="Y2207" s="40"/>
      <c r="Z2207" s="38"/>
      <c r="AA2207" s="38"/>
      <c r="AB2207" s="38"/>
      <c r="AC2207" s="38"/>
      <c r="AD2207" s="38"/>
      <c r="AE2207" s="38"/>
      <c r="AF2207" s="38"/>
      <c r="AG2207" s="38"/>
      <c r="AH2207" s="38"/>
      <c r="AI2207" s="38"/>
      <c r="AJ2207" s="38"/>
      <c r="AK2207" s="38"/>
      <c r="AL2207" s="38"/>
      <c r="AM2207" s="38"/>
      <c r="AN2207" s="38"/>
      <c r="AO2207" s="38"/>
      <c r="AP2207" s="38"/>
      <c r="AQ2207" s="38"/>
      <c r="AR2207" s="38"/>
      <c r="AS2207" s="38"/>
      <c r="AT2207" s="38"/>
      <c r="AU2207" s="38"/>
      <c r="AV2207" s="38"/>
      <c r="AW2207" s="38"/>
      <c r="AX2207" s="38"/>
      <c r="AY2207" s="38"/>
      <c r="AZ2207" s="38"/>
      <c r="BA2207" s="38"/>
      <c r="BB2207" s="38"/>
      <c r="BC2207" s="38"/>
      <c r="BD2207" s="38"/>
      <c r="BE2207" s="38"/>
      <c r="BF2207" s="38"/>
      <c r="BG2207" s="38"/>
      <c r="BH2207" s="38"/>
      <c r="BI2207" s="38"/>
      <c r="BJ2207" s="38"/>
      <c r="BK2207" s="38"/>
      <c r="BL2207" s="38"/>
      <c r="BM2207" s="38"/>
      <c r="BN2207" s="38"/>
      <c r="BO2207" s="38"/>
      <c r="BP2207" s="38"/>
      <c r="BQ2207" s="38"/>
    </row>
    <row r="2208">
      <c r="A2208" s="47" t="s">
        <v>6016</v>
      </c>
      <c r="B2208" s="48"/>
      <c r="C2208" s="48">
        <v>43481.0</v>
      </c>
      <c r="D2208" s="49"/>
      <c r="E2208" s="47" t="s">
        <v>41</v>
      </c>
      <c r="F2208" s="47">
        <v>1.0</v>
      </c>
      <c r="G2208" s="47" t="s">
        <v>32</v>
      </c>
      <c r="H2208" s="43">
        <v>1.0</v>
      </c>
      <c r="I2208" s="47" t="s">
        <v>33</v>
      </c>
      <c r="J2208" s="47" t="s">
        <v>162</v>
      </c>
      <c r="K2208" s="47"/>
      <c r="L2208" s="47" t="s">
        <v>69</v>
      </c>
      <c r="M2208" s="51" t="s">
        <v>6017</v>
      </c>
      <c r="N2208" s="52"/>
      <c r="O2208" s="55"/>
      <c r="P2208" s="47"/>
      <c r="Q2208" s="47">
        <v>1.0</v>
      </c>
      <c r="R2208" s="55"/>
      <c r="S2208" s="37"/>
      <c r="T2208" s="38"/>
      <c r="U2208" s="38"/>
      <c r="V2208" s="38" t="s">
        <v>33</v>
      </c>
      <c r="W2208" s="40"/>
      <c r="X2208" s="40"/>
      <c r="Y2208" s="40"/>
      <c r="Z2208" s="38"/>
      <c r="AA2208" s="38"/>
      <c r="AB2208" s="38"/>
      <c r="AC2208" s="38"/>
      <c r="AD2208" s="38"/>
      <c r="AE2208" s="38"/>
      <c r="AF2208" s="38"/>
      <c r="AG2208" s="38"/>
      <c r="AH2208" s="38"/>
      <c r="AI2208" s="38"/>
      <c r="AJ2208" s="38"/>
      <c r="AK2208" s="38"/>
      <c r="AL2208" s="38"/>
      <c r="AM2208" s="38"/>
      <c r="AN2208" s="38"/>
      <c r="AO2208" s="38"/>
      <c r="AP2208" s="38"/>
      <c r="AQ2208" s="38"/>
      <c r="AR2208" s="38"/>
      <c r="AS2208" s="38"/>
      <c r="AT2208" s="38"/>
      <c r="AU2208" s="38"/>
      <c r="AV2208" s="38"/>
      <c r="AW2208" s="38"/>
      <c r="AX2208" s="38"/>
      <c r="AY2208" s="38"/>
      <c r="AZ2208" s="38"/>
      <c r="BA2208" s="38"/>
      <c r="BB2208" s="38"/>
      <c r="BC2208" s="38"/>
      <c r="BD2208" s="38"/>
      <c r="BE2208" s="38"/>
      <c r="BF2208" s="38"/>
      <c r="BG2208" s="38"/>
      <c r="BH2208" s="38"/>
      <c r="BI2208" s="38"/>
      <c r="BJ2208" s="38"/>
      <c r="BK2208" s="38"/>
      <c r="BL2208" s="38"/>
      <c r="BM2208" s="38"/>
      <c r="BN2208" s="38"/>
      <c r="BO2208" s="38"/>
      <c r="BP2208" s="38"/>
      <c r="BQ2208" s="38"/>
    </row>
    <row r="2209">
      <c r="A2209" s="47" t="s">
        <v>6018</v>
      </c>
      <c r="B2209" s="48"/>
      <c r="C2209" s="48">
        <v>43481.0</v>
      </c>
      <c r="D2209" s="49"/>
      <c r="E2209" s="47" t="s">
        <v>41</v>
      </c>
      <c r="F2209" s="47">
        <v>1.0</v>
      </c>
      <c r="G2209" s="47">
        <v>5.0</v>
      </c>
      <c r="H2209" s="43">
        <v>5.0</v>
      </c>
      <c r="I2209" s="47" t="s">
        <v>33</v>
      </c>
      <c r="J2209" s="47" t="s">
        <v>268</v>
      </c>
      <c r="K2209" s="47"/>
      <c r="L2209" s="47" t="s">
        <v>646</v>
      </c>
      <c r="M2209" s="51" t="s">
        <v>6019</v>
      </c>
      <c r="N2209" s="52"/>
      <c r="O2209" s="53" t="str">
        <f>hyperlink("https://bad-boys.us/?q=WD-OK/5:19-cr-00015", "WD-OK 5:19-cr-00015")</f>
        <v>WD-OK 5:19-cr-00015</v>
      </c>
      <c r="P2209" s="54" t="s">
        <v>6020</v>
      </c>
      <c r="Q2209" s="47">
        <v>1.0</v>
      </c>
      <c r="R2209" s="55"/>
      <c r="S2209" s="37"/>
      <c r="T2209" s="38"/>
      <c r="U2209" s="38"/>
      <c r="V2209" s="38" t="s">
        <v>33</v>
      </c>
      <c r="W2209" s="40"/>
      <c r="X2209" s="40"/>
      <c r="Y2209" s="40"/>
      <c r="Z2209" s="38"/>
      <c r="AA2209" s="38"/>
      <c r="AB2209" s="38"/>
      <c r="AC2209" s="38"/>
      <c r="AD2209" s="38"/>
      <c r="AE2209" s="38"/>
      <c r="AF2209" s="38"/>
      <c r="AG2209" s="38"/>
      <c r="AH2209" s="38"/>
      <c r="AI2209" s="38"/>
      <c r="AJ2209" s="38"/>
      <c r="AK2209" s="38"/>
      <c r="AL2209" s="38"/>
      <c r="AM2209" s="38"/>
      <c r="AN2209" s="38"/>
      <c r="AO2209" s="38"/>
      <c r="AP2209" s="38"/>
      <c r="AQ2209" s="38"/>
      <c r="AR2209" s="38"/>
      <c r="AS2209" s="38"/>
      <c r="AT2209" s="38"/>
      <c r="AU2209" s="38"/>
      <c r="AV2209" s="38"/>
      <c r="AW2209" s="38"/>
      <c r="AX2209" s="38"/>
      <c r="AY2209" s="38"/>
      <c r="AZ2209" s="38"/>
      <c r="BA2209" s="38"/>
      <c r="BB2209" s="38"/>
      <c r="BC2209" s="38"/>
      <c r="BD2209" s="38"/>
      <c r="BE2209" s="38"/>
      <c r="BF2209" s="38"/>
      <c r="BG2209" s="38"/>
      <c r="BH2209" s="38"/>
      <c r="BI2209" s="38"/>
      <c r="BJ2209" s="38"/>
      <c r="BK2209" s="38"/>
      <c r="BL2209" s="38"/>
      <c r="BM2209" s="38"/>
      <c r="BN2209" s="38"/>
      <c r="BO2209" s="38"/>
      <c r="BP2209" s="38"/>
      <c r="BQ2209" s="38"/>
    </row>
    <row r="2210">
      <c r="A2210" s="47" t="s">
        <v>6021</v>
      </c>
      <c r="B2210" s="48"/>
      <c r="C2210" s="48">
        <v>43481.0</v>
      </c>
      <c r="D2210" s="49"/>
      <c r="E2210" s="47" t="s">
        <v>41</v>
      </c>
      <c r="F2210" s="47">
        <v>1.0</v>
      </c>
      <c r="G2210" s="47" t="s">
        <v>32</v>
      </c>
      <c r="H2210" s="43">
        <v>1.0</v>
      </c>
      <c r="I2210" s="47" t="s">
        <v>33</v>
      </c>
      <c r="J2210" s="47" t="s">
        <v>147</v>
      </c>
      <c r="K2210" s="47"/>
      <c r="L2210" s="47" t="s">
        <v>76</v>
      </c>
      <c r="M2210" s="51" t="s">
        <v>6022</v>
      </c>
      <c r="N2210" s="52"/>
      <c r="O2210" s="55"/>
      <c r="P2210" s="47"/>
      <c r="Q2210" s="47">
        <v>1.0</v>
      </c>
      <c r="R2210" s="55"/>
      <c r="S2210" s="37"/>
      <c r="T2210" s="38"/>
      <c r="U2210" s="38"/>
      <c r="V2210" s="38"/>
      <c r="W2210" s="40"/>
      <c r="X2210" s="40"/>
      <c r="Y2210" s="40"/>
      <c r="Z2210" s="38"/>
      <c r="AA2210" s="38"/>
      <c r="AB2210" s="38"/>
      <c r="AC2210" s="38"/>
      <c r="AD2210" s="38"/>
      <c r="AE2210" s="38"/>
      <c r="AF2210" s="38"/>
      <c r="AG2210" s="38"/>
      <c r="AH2210" s="38"/>
      <c r="AI2210" s="38"/>
      <c r="AJ2210" s="38"/>
      <c r="AK2210" s="38"/>
      <c r="AL2210" s="38"/>
      <c r="AM2210" s="38"/>
      <c r="AN2210" s="38"/>
      <c r="AO2210" s="38"/>
      <c r="AP2210" s="38"/>
      <c r="AQ2210" s="38"/>
      <c r="AR2210" s="38"/>
      <c r="AS2210" s="38"/>
      <c r="AT2210" s="38"/>
      <c r="AU2210" s="38"/>
      <c r="AV2210" s="38"/>
      <c r="AW2210" s="38"/>
      <c r="AX2210" s="38"/>
      <c r="AY2210" s="38"/>
      <c r="AZ2210" s="38"/>
      <c r="BA2210" s="38"/>
      <c r="BB2210" s="38"/>
      <c r="BC2210" s="38"/>
      <c r="BD2210" s="38"/>
      <c r="BE2210" s="38"/>
      <c r="BF2210" s="38"/>
      <c r="BG2210" s="38"/>
      <c r="BH2210" s="38"/>
      <c r="BI2210" s="38"/>
      <c r="BJ2210" s="38"/>
      <c r="BK2210" s="38"/>
      <c r="BL2210" s="38"/>
      <c r="BM2210" s="38"/>
      <c r="BN2210" s="38"/>
      <c r="BO2210" s="38"/>
      <c r="BP2210" s="38"/>
      <c r="BQ2210" s="38"/>
    </row>
    <row r="2211">
      <c r="A2211" s="47" t="s">
        <v>6023</v>
      </c>
      <c r="B2211" s="48">
        <v>43486.0</v>
      </c>
      <c r="C2211" s="48">
        <v>43485.0</v>
      </c>
      <c r="D2211" s="49" t="s">
        <v>6024</v>
      </c>
      <c r="E2211" s="47" t="s">
        <v>31</v>
      </c>
      <c r="F2211" s="47">
        <v>2.0</v>
      </c>
      <c r="G2211" s="47" t="s">
        <v>32</v>
      </c>
      <c r="H2211" s="33">
        <f>if(G2211="Unknown",1,G2211)</f>
        <v>1</v>
      </c>
      <c r="I2211" s="47" t="s">
        <v>33</v>
      </c>
      <c r="J2211" s="47" t="s">
        <v>179</v>
      </c>
      <c r="K2211" s="47" t="s">
        <v>32</v>
      </c>
      <c r="L2211" s="47" t="s">
        <v>6025</v>
      </c>
      <c r="M2211" s="51" t="s">
        <v>6026</v>
      </c>
      <c r="N2211" s="52"/>
      <c r="O2211" s="55"/>
      <c r="P2211" s="47"/>
      <c r="Q2211" s="47"/>
      <c r="R2211" s="55"/>
      <c r="S2211" s="37" t="str">
        <f>IFERROR(__xludf.DUMMYFUNCTION("if(not(iserror(index(split(C2211, "" ""),2))), index(split(C2211, "" ""),1),"""")"),"January")</f>
        <v>January</v>
      </c>
      <c r="T2211" s="38">
        <f>IFERROR(__xludf.DUMMYFUNCTION("if(S2211="""",C2211,if(not(iserror(index(split(C2211, "" ""),3))), index(split(C2211, "" ""),3),index(split(C2211, "" ""),2)))"),2019.0)</f>
        <v>2019</v>
      </c>
      <c r="U2211" s="38" t="b">
        <f t="shared" ref="U2211:U2215" si="344">countif(A$4:A4658, A2211)&gt;1</f>
        <v>0</v>
      </c>
      <c r="V2211" s="38"/>
      <c r="W2211" s="40"/>
      <c r="X2211" s="40"/>
      <c r="Y2211" s="40"/>
      <c r="Z2211" s="38"/>
      <c r="AA2211" s="38"/>
      <c r="AB2211" s="38"/>
      <c r="AC2211" s="38"/>
      <c r="AD2211" s="38"/>
      <c r="AE2211" s="38"/>
      <c r="AF2211" s="38"/>
      <c r="AG2211" s="38"/>
      <c r="AH2211" s="38"/>
      <c r="AI2211" s="38"/>
      <c r="AJ2211" s="38"/>
      <c r="AK2211" s="38"/>
      <c r="AL2211" s="38"/>
      <c r="AM2211" s="38"/>
      <c r="AN2211" s="38"/>
      <c r="AO2211" s="38"/>
      <c r="AP2211" s="38"/>
      <c r="AQ2211" s="38"/>
      <c r="AR2211" s="38"/>
      <c r="AS2211" s="38"/>
      <c r="AT2211" s="38"/>
      <c r="AU2211" s="38"/>
      <c r="AV2211" s="38"/>
      <c r="AW2211" s="38"/>
      <c r="AX2211" s="38"/>
      <c r="AY2211" s="38"/>
      <c r="AZ2211" s="38"/>
      <c r="BA2211" s="38"/>
      <c r="BB2211" s="38"/>
      <c r="BC2211" s="38"/>
      <c r="BD2211" s="38"/>
      <c r="BE2211" s="38"/>
      <c r="BF2211" s="38"/>
      <c r="BG2211" s="38"/>
      <c r="BH2211" s="38"/>
      <c r="BI2211" s="38"/>
      <c r="BJ2211" s="38"/>
      <c r="BK2211" s="38"/>
      <c r="BL2211" s="38"/>
      <c r="BM2211" s="38"/>
      <c r="BN2211" s="38"/>
      <c r="BO2211" s="38"/>
      <c r="BP2211" s="38"/>
      <c r="BQ2211" s="38"/>
    </row>
    <row r="2212">
      <c r="A2212" s="47" t="s">
        <v>6027</v>
      </c>
      <c r="B2212" s="48"/>
      <c r="C2212" s="48">
        <v>43487.0</v>
      </c>
      <c r="D2212" s="49"/>
      <c r="E2212" s="47" t="s">
        <v>41</v>
      </c>
      <c r="F2212" s="47">
        <v>1.0</v>
      </c>
      <c r="G2212" s="47">
        <v>1.0</v>
      </c>
      <c r="H2212" s="63">
        <v>1.0</v>
      </c>
      <c r="I2212" s="47" t="s">
        <v>33</v>
      </c>
      <c r="J2212" s="47" t="s">
        <v>433</v>
      </c>
      <c r="K2212" s="47"/>
      <c r="L2212" s="47" t="s">
        <v>6028</v>
      </c>
      <c r="M2212" s="51" t="s">
        <v>6029</v>
      </c>
      <c r="N2212" s="52"/>
      <c r="O2212" s="55"/>
      <c r="P2212" s="47"/>
      <c r="Q2212" s="47"/>
      <c r="R2212" s="55"/>
      <c r="S2212" s="37" t="str">
        <f>IFERROR(__xludf.DUMMYFUNCTION("if(not(iserror(index(split(C2212, "" ""),2))), index(split(C2212, "" ""),1),"""")"),"January")</f>
        <v>January</v>
      </c>
      <c r="T2212" s="38">
        <f>IFERROR(__xludf.DUMMYFUNCTION("if(S2212="""",C2212,if(not(iserror(index(split(C2212, "" ""),3))), index(split(C2212, "" ""),3),index(split(C2212, "" ""),2)))"),2019.0)</f>
        <v>2019</v>
      </c>
      <c r="U2212" s="38" t="b">
        <f t="shared" si="344"/>
        <v>0</v>
      </c>
      <c r="V2212" s="38" t="s">
        <v>33</v>
      </c>
      <c r="W2212" s="40"/>
      <c r="X2212" s="40"/>
      <c r="Y2212" s="40"/>
      <c r="Z2212" s="38"/>
      <c r="AA2212" s="38"/>
      <c r="AB2212" s="38"/>
      <c r="AC2212" s="38"/>
      <c r="AD2212" s="38"/>
      <c r="AE2212" s="38"/>
      <c r="AF2212" s="38"/>
      <c r="AG2212" s="38"/>
      <c r="AH2212" s="38"/>
      <c r="AI2212" s="38"/>
      <c r="AJ2212" s="38"/>
      <c r="AK2212" s="38"/>
      <c r="AL2212" s="38"/>
      <c r="AM2212" s="38"/>
      <c r="AN2212" s="38"/>
      <c r="AO2212" s="38"/>
      <c r="AP2212" s="38"/>
      <c r="AQ2212" s="38"/>
      <c r="AR2212" s="38"/>
      <c r="AS2212" s="38"/>
      <c r="AT2212" s="38"/>
      <c r="AU2212" s="38"/>
      <c r="AV2212" s="38"/>
      <c r="AW2212" s="38"/>
      <c r="AX2212" s="38"/>
      <c r="AY2212" s="38"/>
      <c r="AZ2212" s="38"/>
      <c r="BA2212" s="38"/>
      <c r="BB2212" s="38"/>
      <c r="BC2212" s="38"/>
      <c r="BD2212" s="38"/>
      <c r="BE2212" s="38"/>
      <c r="BF2212" s="38"/>
      <c r="BG2212" s="38"/>
      <c r="BH2212" s="38"/>
      <c r="BI2212" s="38"/>
      <c r="BJ2212" s="38"/>
      <c r="BK2212" s="38"/>
      <c r="BL2212" s="38"/>
      <c r="BM2212" s="38"/>
      <c r="BN2212" s="38"/>
      <c r="BO2212" s="38"/>
      <c r="BP2212" s="38"/>
      <c r="BQ2212" s="38"/>
    </row>
    <row r="2213">
      <c r="A2213" s="47" t="s">
        <v>6030</v>
      </c>
      <c r="B2213" s="48">
        <v>43504.0</v>
      </c>
      <c r="C2213" s="48">
        <v>43487.0</v>
      </c>
      <c r="D2213" s="49" t="s">
        <v>6031</v>
      </c>
      <c r="E2213" s="47" t="s">
        <v>41</v>
      </c>
      <c r="F2213" s="47">
        <v>1.0</v>
      </c>
      <c r="G2213" s="47" t="s">
        <v>32</v>
      </c>
      <c r="H2213" s="63">
        <v>1.0</v>
      </c>
      <c r="I2213" s="47" t="s">
        <v>33</v>
      </c>
      <c r="J2213" s="47" t="s">
        <v>124</v>
      </c>
      <c r="K2213" s="47">
        <v>1.0</v>
      </c>
      <c r="L2213" s="47" t="s">
        <v>119</v>
      </c>
      <c r="M2213" s="51" t="s">
        <v>6032</v>
      </c>
      <c r="N2213" s="52"/>
      <c r="O2213" s="53" t="str">
        <f>hyperlink("https://bad-boys.us/?q=ND-OH/5:19-cr-00066", "ND-OH 5:19-cr-00066")</f>
        <v>ND-OH 5:19-cr-00066</v>
      </c>
      <c r="P2213" s="54" t="s">
        <v>6033</v>
      </c>
      <c r="Q2213" s="47">
        <v>1.0</v>
      </c>
      <c r="R2213" s="55"/>
      <c r="S2213" s="37" t="str">
        <f>IFERROR(__xludf.DUMMYFUNCTION("if(not(iserror(index(split(C2213, "" ""),2))), index(split(C2213, "" ""),1),"""")"),"January")</f>
        <v>January</v>
      </c>
      <c r="T2213" s="38">
        <f>IFERROR(__xludf.DUMMYFUNCTION("if(S2213="""",C2213,if(not(iserror(index(split(C2213, "" ""),3))), index(split(C2213, "" ""),3),index(split(C2213, "" ""),2)))"),2019.0)</f>
        <v>2019</v>
      </c>
      <c r="U2213" s="38" t="b">
        <f t="shared" si="344"/>
        <v>0</v>
      </c>
      <c r="V2213" s="38" t="s">
        <v>33</v>
      </c>
      <c r="W2213" s="40"/>
      <c r="X2213" s="40"/>
      <c r="Y2213" s="40"/>
      <c r="Z2213" s="38"/>
      <c r="AA2213" s="38"/>
      <c r="AB2213" s="38"/>
      <c r="AC2213" s="38"/>
      <c r="AD2213" s="38"/>
      <c r="AE2213" s="38"/>
      <c r="AF2213" s="38"/>
      <c r="AG2213" s="38"/>
      <c r="AH2213" s="38"/>
      <c r="AI2213" s="38"/>
      <c r="AJ2213" s="38"/>
      <c r="AK2213" s="38"/>
      <c r="AL2213" s="38"/>
      <c r="AM2213" s="38"/>
      <c r="AN2213" s="38"/>
      <c r="AO2213" s="38"/>
      <c r="AP2213" s="38"/>
      <c r="AQ2213" s="38"/>
      <c r="AR2213" s="38"/>
      <c r="AS2213" s="38"/>
      <c r="AT2213" s="38"/>
      <c r="AU2213" s="38"/>
      <c r="AV2213" s="38"/>
      <c r="AW2213" s="38"/>
      <c r="AX2213" s="38"/>
      <c r="AY2213" s="38"/>
      <c r="AZ2213" s="38"/>
      <c r="BA2213" s="38"/>
      <c r="BB2213" s="38"/>
      <c r="BC2213" s="38"/>
      <c r="BD2213" s="38"/>
      <c r="BE2213" s="38"/>
      <c r="BF2213" s="38"/>
      <c r="BG2213" s="38"/>
      <c r="BH2213" s="38"/>
      <c r="BI2213" s="38"/>
      <c r="BJ2213" s="38"/>
      <c r="BK2213" s="38"/>
      <c r="BL2213" s="38"/>
      <c r="BM2213" s="38"/>
      <c r="BN2213" s="38"/>
      <c r="BO2213" s="38"/>
      <c r="BP2213" s="38"/>
      <c r="BQ2213" s="38"/>
    </row>
    <row r="2214">
      <c r="A2214" s="47" t="s">
        <v>6034</v>
      </c>
      <c r="B2214" s="48"/>
      <c r="C2214" s="48">
        <v>43488.0</v>
      </c>
      <c r="D2214" s="49"/>
      <c r="E2214" s="47" t="s">
        <v>41</v>
      </c>
      <c r="F2214" s="47">
        <v>1.0</v>
      </c>
      <c r="G2214" s="47" t="s">
        <v>32</v>
      </c>
      <c r="H2214" s="63">
        <v>1.0</v>
      </c>
      <c r="I2214" s="47" t="s">
        <v>33</v>
      </c>
      <c r="J2214" s="47" t="s">
        <v>147</v>
      </c>
      <c r="K2214" s="47"/>
      <c r="L2214" s="47" t="s">
        <v>119</v>
      </c>
      <c r="M2214" s="51" t="s">
        <v>6035</v>
      </c>
      <c r="N2214" s="52"/>
      <c r="O2214" s="53" t="str">
        <f>hyperlink("https://bad-boys.us/?q=SD-TX/5:19-cr-00010", "SD-TX 5:19-cr-00010")</f>
        <v>SD-TX 5:19-cr-00010</v>
      </c>
      <c r="P2214" s="54" t="s">
        <v>6036</v>
      </c>
      <c r="Q2214" s="47">
        <v>1.0</v>
      </c>
      <c r="R2214" s="55"/>
      <c r="S2214" s="37"/>
      <c r="T2214" s="38"/>
      <c r="U2214" s="38" t="b">
        <f t="shared" si="344"/>
        <v>0</v>
      </c>
      <c r="V2214" s="38" t="s">
        <v>33</v>
      </c>
      <c r="W2214" s="40"/>
      <c r="X2214" s="40"/>
      <c r="Y2214" s="40"/>
      <c r="Z2214" s="38"/>
      <c r="AA2214" s="38"/>
      <c r="AB2214" s="38"/>
      <c r="AC2214" s="38"/>
      <c r="AD2214" s="38"/>
      <c r="AE2214" s="38"/>
      <c r="AF2214" s="38"/>
      <c r="AG2214" s="38"/>
      <c r="AH2214" s="38"/>
      <c r="AI2214" s="38"/>
      <c r="AJ2214" s="38"/>
      <c r="AK2214" s="38"/>
      <c r="AL2214" s="38"/>
      <c r="AM2214" s="38"/>
      <c r="AN2214" s="38"/>
      <c r="AO2214" s="38"/>
      <c r="AP2214" s="38"/>
      <c r="AQ2214" s="38"/>
      <c r="AR2214" s="38"/>
      <c r="AS2214" s="38"/>
      <c r="AT2214" s="38"/>
      <c r="AU2214" s="38"/>
      <c r="AV2214" s="38"/>
      <c r="AW2214" s="38"/>
      <c r="AX2214" s="38"/>
      <c r="AY2214" s="38"/>
      <c r="AZ2214" s="38"/>
      <c r="BA2214" s="38"/>
      <c r="BB2214" s="38"/>
      <c r="BC2214" s="38"/>
      <c r="BD2214" s="38"/>
      <c r="BE2214" s="38"/>
      <c r="BF2214" s="38"/>
      <c r="BG2214" s="38"/>
      <c r="BH2214" s="38"/>
      <c r="BI2214" s="38"/>
      <c r="BJ2214" s="38"/>
      <c r="BK2214" s="38"/>
      <c r="BL2214" s="38"/>
      <c r="BM2214" s="38"/>
      <c r="BN2214" s="38"/>
      <c r="BO2214" s="38"/>
      <c r="BP2214" s="38"/>
      <c r="BQ2214" s="38"/>
    </row>
    <row r="2215">
      <c r="A2215" s="47" t="s">
        <v>6037</v>
      </c>
      <c r="B2215" s="48"/>
      <c r="C2215" s="48">
        <v>43488.0</v>
      </c>
      <c r="D2215" s="49"/>
      <c r="E2215" s="47" t="s">
        <v>41</v>
      </c>
      <c r="F2215" s="47">
        <v>1.0</v>
      </c>
      <c r="G2215" s="47" t="s">
        <v>32</v>
      </c>
      <c r="H2215" s="63">
        <v>1.0</v>
      </c>
      <c r="I2215" s="47" t="s">
        <v>33</v>
      </c>
      <c r="J2215" s="47" t="s">
        <v>460</v>
      </c>
      <c r="K2215" s="47"/>
      <c r="L2215" s="47" t="s">
        <v>119</v>
      </c>
      <c r="M2215" s="51" t="s">
        <v>6038</v>
      </c>
      <c r="N2215" s="52"/>
      <c r="O2215" s="53" t="str">
        <f>hyperlink("https://bad-boys.us/?q=ND-IA/1:19-cr-00005", "ND-IA 1:19-cr-00005")</f>
        <v>ND-IA 1:19-cr-00005</v>
      </c>
      <c r="P2215" s="54" t="s">
        <v>6039</v>
      </c>
      <c r="Q2215" s="47">
        <v>1.0</v>
      </c>
      <c r="R2215" s="55"/>
      <c r="S2215" s="37"/>
      <c r="T2215" s="38"/>
      <c r="U2215" s="38" t="b">
        <f t="shared" si="344"/>
        <v>0</v>
      </c>
      <c r="V2215" s="38" t="s">
        <v>33</v>
      </c>
      <c r="W2215" s="40"/>
      <c r="X2215" s="40"/>
      <c r="Y2215" s="40"/>
      <c r="Z2215" s="38"/>
      <c r="AA2215" s="38"/>
      <c r="AB2215" s="38"/>
      <c r="AC2215" s="38"/>
      <c r="AD2215" s="38"/>
      <c r="AE2215" s="38"/>
      <c r="AF2215" s="38"/>
      <c r="AG2215" s="38"/>
      <c r="AH2215" s="38"/>
      <c r="AI2215" s="38"/>
      <c r="AJ2215" s="38"/>
      <c r="AK2215" s="38"/>
      <c r="AL2215" s="38"/>
      <c r="AM2215" s="38"/>
      <c r="AN2215" s="38"/>
      <c r="AO2215" s="38"/>
      <c r="AP2215" s="38"/>
      <c r="AQ2215" s="38"/>
      <c r="AR2215" s="38"/>
      <c r="AS2215" s="38"/>
      <c r="AT2215" s="38"/>
      <c r="AU2215" s="38"/>
      <c r="AV2215" s="38"/>
      <c r="AW2215" s="38"/>
      <c r="AX2215" s="38"/>
      <c r="AY2215" s="38"/>
      <c r="AZ2215" s="38"/>
      <c r="BA2215" s="38"/>
      <c r="BB2215" s="38"/>
      <c r="BC2215" s="38"/>
      <c r="BD2215" s="38"/>
      <c r="BE2215" s="38"/>
      <c r="BF2215" s="38"/>
      <c r="BG2215" s="38"/>
      <c r="BH2215" s="38"/>
      <c r="BI2215" s="38"/>
      <c r="BJ2215" s="38"/>
      <c r="BK2215" s="38"/>
      <c r="BL2215" s="38"/>
      <c r="BM2215" s="38"/>
      <c r="BN2215" s="38"/>
      <c r="BO2215" s="38"/>
      <c r="BP2215" s="38"/>
      <c r="BQ2215" s="38"/>
    </row>
    <row r="2216">
      <c r="A2216" s="47" t="s">
        <v>6040</v>
      </c>
      <c r="B2216" s="48"/>
      <c r="C2216" s="48">
        <v>43488.0</v>
      </c>
      <c r="D2216" s="49"/>
      <c r="E2216" s="47" t="s">
        <v>41</v>
      </c>
      <c r="F2216" s="47">
        <v>1.0</v>
      </c>
      <c r="G2216" s="47" t="s">
        <v>32</v>
      </c>
      <c r="H2216" s="63">
        <v>1.0</v>
      </c>
      <c r="I2216" s="47" t="s">
        <v>33</v>
      </c>
      <c r="J2216" s="47" t="s">
        <v>147</v>
      </c>
      <c r="K2216" s="47"/>
      <c r="L2216" s="47" t="s">
        <v>119</v>
      </c>
      <c r="M2216" s="51" t="s">
        <v>6041</v>
      </c>
      <c r="N2216" s="52"/>
      <c r="O2216" s="55"/>
      <c r="P2216" s="47"/>
      <c r="Q2216" s="47">
        <v>1.0</v>
      </c>
      <c r="R2216" s="55"/>
      <c r="S2216" s="37"/>
      <c r="T2216" s="38"/>
      <c r="U2216" s="38"/>
      <c r="V2216" s="38" t="s">
        <v>33</v>
      </c>
      <c r="W2216" s="40"/>
      <c r="X2216" s="40"/>
      <c r="Y2216" s="40"/>
      <c r="Z2216" s="38"/>
      <c r="AA2216" s="38"/>
      <c r="AB2216" s="38"/>
      <c r="AC2216" s="38"/>
      <c r="AD2216" s="38"/>
      <c r="AE2216" s="38"/>
      <c r="AF2216" s="38"/>
      <c r="AG2216" s="38"/>
      <c r="AH2216" s="38"/>
      <c r="AI2216" s="38"/>
      <c r="AJ2216" s="38"/>
      <c r="AK2216" s="38"/>
      <c r="AL2216" s="38"/>
      <c r="AM2216" s="38"/>
      <c r="AN2216" s="38"/>
      <c r="AO2216" s="38"/>
      <c r="AP2216" s="38"/>
      <c r="AQ2216" s="38"/>
      <c r="AR2216" s="38"/>
      <c r="AS2216" s="38"/>
      <c r="AT2216" s="38"/>
      <c r="AU2216" s="38"/>
      <c r="AV2216" s="38"/>
      <c r="AW2216" s="38"/>
      <c r="AX2216" s="38"/>
      <c r="AY2216" s="38"/>
      <c r="AZ2216" s="38"/>
      <c r="BA2216" s="38"/>
      <c r="BB2216" s="38"/>
      <c r="BC2216" s="38"/>
      <c r="BD2216" s="38"/>
      <c r="BE2216" s="38"/>
      <c r="BF2216" s="38"/>
      <c r="BG2216" s="38"/>
      <c r="BH2216" s="38"/>
      <c r="BI2216" s="38"/>
      <c r="BJ2216" s="38"/>
      <c r="BK2216" s="38"/>
      <c r="BL2216" s="38"/>
      <c r="BM2216" s="38"/>
      <c r="BN2216" s="38"/>
      <c r="BO2216" s="38"/>
      <c r="BP2216" s="38"/>
      <c r="BQ2216" s="38"/>
    </row>
    <row r="2217">
      <c r="A2217" s="47" t="s">
        <v>6042</v>
      </c>
      <c r="B2217" s="48"/>
      <c r="C2217" s="48">
        <v>43488.0</v>
      </c>
      <c r="D2217" s="49"/>
      <c r="E2217" s="47" t="s">
        <v>41</v>
      </c>
      <c r="F2217" s="47">
        <v>1.0</v>
      </c>
      <c r="G2217" s="47" t="s">
        <v>32</v>
      </c>
      <c r="H2217" s="63"/>
      <c r="I2217" s="47" t="s">
        <v>33</v>
      </c>
      <c r="J2217" s="47" t="s">
        <v>61</v>
      </c>
      <c r="K2217" s="47"/>
      <c r="L2217" s="47" t="s">
        <v>119</v>
      </c>
      <c r="M2217" s="51" t="s">
        <v>6043</v>
      </c>
      <c r="N2217" s="52"/>
      <c r="O2217" s="55"/>
      <c r="P2217" s="47"/>
      <c r="Q2217" s="47"/>
      <c r="R2217" s="55"/>
      <c r="S2217" s="37"/>
      <c r="T2217" s="38"/>
      <c r="U2217" s="38"/>
      <c r="V2217" s="38" t="s">
        <v>33</v>
      </c>
      <c r="W2217" s="40"/>
      <c r="X2217" s="40"/>
      <c r="Y2217" s="40"/>
      <c r="Z2217" s="38"/>
      <c r="AA2217" s="38"/>
      <c r="AB2217" s="38"/>
      <c r="AC2217" s="38"/>
      <c r="AD2217" s="38"/>
      <c r="AE2217" s="38"/>
      <c r="AF2217" s="38"/>
      <c r="AG2217" s="38"/>
      <c r="AH2217" s="38"/>
      <c r="AI2217" s="38"/>
      <c r="AJ2217" s="38"/>
      <c r="AK2217" s="38"/>
      <c r="AL2217" s="38"/>
      <c r="AM2217" s="38"/>
      <c r="AN2217" s="38"/>
      <c r="AO2217" s="38"/>
      <c r="AP2217" s="38"/>
      <c r="AQ2217" s="38"/>
      <c r="AR2217" s="38"/>
      <c r="AS2217" s="38"/>
      <c r="AT2217" s="38"/>
      <c r="AU2217" s="38"/>
      <c r="AV2217" s="38"/>
      <c r="AW2217" s="38"/>
      <c r="AX2217" s="38"/>
      <c r="AY2217" s="38"/>
      <c r="AZ2217" s="38"/>
      <c r="BA2217" s="38"/>
      <c r="BB2217" s="38"/>
      <c r="BC2217" s="38"/>
      <c r="BD2217" s="38"/>
      <c r="BE2217" s="38"/>
      <c r="BF2217" s="38"/>
      <c r="BG2217" s="38"/>
      <c r="BH2217" s="38"/>
      <c r="BI2217" s="38"/>
      <c r="BJ2217" s="38"/>
      <c r="BK2217" s="38"/>
      <c r="BL2217" s="38"/>
      <c r="BM2217" s="38"/>
      <c r="BN2217" s="38"/>
      <c r="BO2217" s="38"/>
      <c r="BP2217" s="38"/>
      <c r="BQ2217" s="38"/>
    </row>
    <row r="2218">
      <c r="A2218" s="47" t="s">
        <v>6044</v>
      </c>
      <c r="B2218" s="48">
        <v>43501.0</v>
      </c>
      <c r="C2218" s="48">
        <v>43488.0</v>
      </c>
      <c r="D2218" s="49" t="s">
        <v>6045</v>
      </c>
      <c r="E2218" s="47" t="s">
        <v>41</v>
      </c>
      <c r="F2218" s="47">
        <v>60.0</v>
      </c>
      <c r="G2218" s="47">
        <v>9.0</v>
      </c>
      <c r="H2218" s="63">
        <v>9.0</v>
      </c>
      <c r="I2218" s="47" t="s">
        <v>33</v>
      </c>
      <c r="J2218" s="47" t="s">
        <v>98</v>
      </c>
      <c r="K2218" s="47">
        <v>12.0</v>
      </c>
      <c r="L2218" s="47" t="s">
        <v>6046</v>
      </c>
      <c r="M2218" s="51" t="s">
        <v>6047</v>
      </c>
      <c r="N2218" s="52"/>
      <c r="O2218" s="55"/>
      <c r="P2218" s="47"/>
      <c r="Q2218" s="47"/>
      <c r="R2218" s="55"/>
      <c r="S2218" s="37" t="str">
        <f>IFERROR(__xludf.DUMMYFUNCTION("if(not(iserror(index(split(C2218, "" ""),2))), index(split(C2218, "" ""),1),"""")"),"January")</f>
        <v>January</v>
      </c>
      <c r="T2218" s="38">
        <f>IFERROR(__xludf.DUMMYFUNCTION("if(S2218="""",C2218,if(not(iserror(index(split(C2218, "" ""),3))), index(split(C2218, "" ""),3),index(split(C2218, "" ""),2)))"),2019.0)</f>
        <v>2019</v>
      </c>
      <c r="U2218" s="38" t="b">
        <f t="shared" ref="U2218:U2222" si="345">countif(A$4:A4658, A2218)&gt;1</f>
        <v>0</v>
      </c>
      <c r="V2218" s="38"/>
      <c r="W2218" s="40"/>
      <c r="X2218" s="40"/>
      <c r="Y2218" s="40"/>
      <c r="Z2218" s="38"/>
      <c r="AA2218" s="38"/>
      <c r="AB2218" s="38"/>
      <c r="AC2218" s="38"/>
      <c r="AD2218" s="38"/>
      <c r="AE2218" s="38"/>
      <c r="AF2218" s="38"/>
      <c r="AG2218" s="38"/>
      <c r="AH2218" s="38"/>
      <c r="AI2218" s="38"/>
      <c r="AJ2218" s="38"/>
      <c r="AK2218" s="38"/>
      <c r="AL2218" s="38"/>
      <c r="AM2218" s="38"/>
      <c r="AN2218" s="38"/>
      <c r="AO2218" s="38"/>
      <c r="AP2218" s="38"/>
      <c r="AQ2218" s="38"/>
      <c r="AR2218" s="38"/>
      <c r="AS2218" s="38"/>
      <c r="AT2218" s="38"/>
      <c r="AU2218" s="38"/>
      <c r="AV2218" s="38"/>
      <c r="AW2218" s="38"/>
      <c r="AX2218" s="38"/>
      <c r="AY2218" s="38"/>
      <c r="AZ2218" s="38"/>
      <c r="BA2218" s="38"/>
      <c r="BB2218" s="38"/>
      <c r="BC2218" s="38"/>
      <c r="BD2218" s="38"/>
      <c r="BE2218" s="38"/>
      <c r="BF2218" s="38"/>
      <c r="BG2218" s="38"/>
      <c r="BH2218" s="38"/>
      <c r="BI2218" s="38"/>
      <c r="BJ2218" s="38"/>
      <c r="BK2218" s="38"/>
      <c r="BL2218" s="38"/>
      <c r="BM2218" s="38"/>
      <c r="BN2218" s="38"/>
      <c r="BO2218" s="38"/>
      <c r="BP2218" s="38"/>
      <c r="BQ2218" s="38"/>
    </row>
    <row r="2219">
      <c r="A2219" s="47" t="s">
        <v>6048</v>
      </c>
      <c r="B2219" s="48"/>
      <c r="C2219" s="48">
        <v>43489.0</v>
      </c>
      <c r="D2219" s="49"/>
      <c r="E2219" s="47" t="s">
        <v>31</v>
      </c>
      <c r="F2219" s="47">
        <v>1.0</v>
      </c>
      <c r="G2219" s="47" t="s">
        <v>32</v>
      </c>
      <c r="H2219" s="63">
        <v>1.0</v>
      </c>
      <c r="I2219" s="47" t="s">
        <v>33</v>
      </c>
      <c r="J2219" s="47" t="s">
        <v>184</v>
      </c>
      <c r="K2219" s="47"/>
      <c r="L2219" s="47" t="s">
        <v>119</v>
      </c>
      <c r="M2219" s="52" t="s">
        <v>6049</v>
      </c>
      <c r="N2219" s="51" t="s">
        <v>6050</v>
      </c>
      <c r="O2219" s="53" t="str">
        <f>hyperlink("https://bad-boys.us/?q=ND-IL/1:19-cr-00077", "ND-IL 1:19-cr-00077")</f>
        <v>ND-IL 1:19-cr-00077</v>
      </c>
      <c r="P2219" s="54" t="s">
        <v>6051</v>
      </c>
      <c r="Q2219" s="47">
        <v>1.0</v>
      </c>
      <c r="R2219" s="55"/>
      <c r="S2219" s="37" t="str">
        <f>IFERROR(__xludf.DUMMYFUNCTION("if(not(iserror(index(split(C2219, "" ""),2))), index(split(C2219, "" ""),1),"""")"),"January")</f>
        <v>January</v>
      </c>
      <c r="T2219" s="38">
        <f>IFERROR(__xludf.DUMMYFUNCTION("if(S2219="""",C2219,if(not(iserror(index(split(C2219, "" ""),3))), index(split(C2219, "" ""),3),index(split(C2219, "" ""),2)))"),2019.0)</f>
        <v>2019</v>
      </c>
      <c r="U2219" s="38" t="b">
        <f t="shared" si="345"/>
        <v>0</v>
      </c>
      <c r="V2219" s="38" t="s">
        <v>33</v>
      </c>
      <c r="W2219" s="39" t="s">
        <v>6052</v>
      </c>
      <c r="X2219" s="39" t="s">
        <v>6053</v>
      </c>
      <c r="Y2219" s="40"/>
      <c r="Z2219" s="38"/>
      <c r="AA2219" s="38"/>
      <c r="AB2219" s="38"/>
      <c r="AC2219" s="38"/>
      <c r="AD2219" s="38"/>
      <c r="AE2219" s="38"/>
      <c r="AF2219" s="38"/>
      <c r="AG2219" s="38"/>
      <c r="AH2219" s="38"/>
      <c r="AI2219" s="38"/>
      <c r="AJ2219" s="38"/>
      <c r="AK2219" s="38"/>
      <c r="AL2219" s="38"/>
      <c r="AM2219" s="38"/>
      <c r="AN2219" s="38"/>
      <c r="AO2219" s="38"/>
      <c r="AP2219" s="38"/>
      <c r="AQ2219" s="38"/>
      <c r="AR2219" s="38"/>
      <c r="AS2219" s="38"/>
      <c r="AT2219" s="38"/>
      <c r="AU2219" s="38"/>
      <c r="AV2219" s="38"/>
      <c r="AW2219" s="38"/>
      <c r="AX2219" s="38"/>
      <c r="AY2219" s="38"/>
      <c r="AZ2219" s="38"/>
      <c r="BA2219" s="38"/>
      <c r="BB2219" s="38"/>
      <c r="BC2219" s="38"/>
      <c r="BD2219" s="38"/>
      <c r="BE2219" s="38"/>
      <c r="BF2219" s="38"/>
      <c r="BG2219" s="38"/>
      <c r="BH2219" s="38"/>
      <c r="BI2219" s="38"/>
      <c r="BJ2219" s="38"/>
      <c r="BK2219" s="38"/>
      <c r="BL2219" s="38"/>
      <c r="BM2219" s="38"/>
      <c r="BN2219" s="38"/>
      <c r="BO2219" s="38"/>
      <c r="BP2219" s="38"/>
      <c r="BQ2219" s="38"/>
    </row>
    <row r="2220">
      <c r="A2220" s="47" t="s">
        <v>6054</v>
      </c>
      <c r="B2220" s="48">
        <v>43495.0</v>
      </c>
      <c r="C2220" s="48">
        <v>43490.0</v>
      </c>
      <c r="D2220" s="49" t="s">
        <v>2122</v>
      </c>
      <c r="E2220" s="47" t="s">
        <v>31</v>
      </c>
      <c r="F2220" s="47">
        <v>1.0</v>
      </c>
      <c r="G2220" s="47" t="s">
        <v>32</v>
      </c>
      <c r="H2220" s="63">
        <v>1.0</v>
      </c>
      <c r="I2220" s="47" t="s">
        <v>33</v>
      </c>
      <c r="J2220" s="47" t="s">
        <v>909</v>
      </c>
      <c r="K2220" s="47">
        <v>2.0</v>
      </c>
      <c r="L2220" s="47" t="s">
        <v>6055</v>
      </c>
      <c r="M2220" s="51" t="s">
        <v>6056</v>
      </c>
      <c r="N2220" s="51" t="s">
        <v>6057</v>
      </c>
      <c r="O2220" s="55"/>
      <c r="P2220" s="47"/>
      <c r="Q2220" s="47"/>
      <c r="R2220" s="55"/>
      <c r="S2220" s="37" t="str">
        <f>IFERROR(__xludf.DUMMYFUNCTION("if(not(iserror(index(split(C2220, "" ""),2))), index(split(C2220, "" ""),1),"""")"),"January")</f>
        <v>January</v>
      </c>
      <c r="T2220" s="38">
        <f>IFERROR(__xludf.DUMMYFUNCTION("if(S2220="""",C2220,if(not(iserror(index(split(C2220, "" ""),3))), index(split(C2220, "" ""),3),index(split(C2220, "" ""),2)))"),2019.0)</f>
        <v>2019</v>
      </c>
      <c r="U2220" s="38" t="b">
        <f t="shared" si="345"/>
        <v>0</v>
      </c>
      <c r="V2220" s="38" t="s">
        <v>33</v>
      </c>
      <c r="W2220" s="40"/>
      <c r="X2220" s="40"/>
      <c r="Y2220" s="40"/>
      <c r="Z2220" s="38"/>
      <c r="AA2220" s="38"/>
      <c r="AB2220" s="38"/>
      <c r="AC2220" s="38"/>
      <c r="AD2220" s="38"/>
      <c r="AE2220" s="38"/>
      <c r="AF2220" s="38"/>
      <c r="AG2220" s="38"/>
      <c r="AH2220" s="38"/>
      <c r="AI2220" s="38"/>
      <c r="AJ2220" s="38"/>
      <c r="AK2220" s="38"/>
      <c r="AL2220" s="38"/>
      <c r="AM2220" s="38"/>
      <c r="AN2220" s="38"/>
      <c r="AO2220" s="38"/>
      <c r="AP2220" s="38"/>
      <c r="AQ2220" s="38"/>
      <c r="AR2220" s="38"/>
      <c r="AS2220" s="38"/>
      <c r="AT2220" s="38"/>
      <c r="AU2220" s="38"/>
      <c r="AV2220" s="38"/>
      <c r="AW2220" s="38"/>
      <c r="AX2220" s="38"/>
      <c r="AY2220" s="38"/>
      <c r="AZ2220" s="38"/>
      <c r="BA2220" s="38"/>
      <c r="BB2220" s="38"/>
      <c r="BC2220" s="38"/>
      <c r="BD2220" s="38"/>
      <c r="BE2220" s="38"/>
      <c r="BF2220" s="38"/>
      <c r="BG2220" s="38"/>
      <c r="BH2220" s="38"/>
      <c r="BI2220" s="38"/>
      <c r="BJ2220" s="38"/>
      <c r="BK2220" s="38"/>
      <c r="BL2220" s="38"/>
      <c r="BM2220" s="38"/>
      <c r="BN2220" s="38"/>
      <c r="BO2220" s="38"/>
      <c r="BP2220" s="38"/>
      <c r="BQ2220" s="38"/>
    </row>
    <row r="2221">
      <c r="A2221" s="47" t="s">
        <v>6058</v>
      </c>
      <c r="B2221" s="48"/>
      <c r="C2221" s="48">
        <v>43493.0</v>
      </c>
      <c r="D2221" s="49"/>
      <c r="E2221" s="47" t="s">
        <v>41</v>
      </c>
      <c r="F2221" s="47">
        <v>1.0</v>
      </c>
      <c r="G2221" s="47" t="s">
        <v>32</v>
      </c>
      <c r="H2221" s="63">
        <v>1.0</v>
      </c>
      <c r="I2221" s="47" t="s">
        <v>33</v>
      </c>
      <c r="J2221" s="47" t="s">
        <v>115</v>
      </c>
      <c r="K2221" s="47"/>
      <c r="L2221" s="47" t="s">
        <v>76</v>
      </c>
      <c r="M2221" s="52" t="s">
        <v>6059</v>
      </c>
      <c r="N2221" s="52"/>
      <c r="O2221" s="53" t="str">
        <f>hyperlink("https://bad-boys.us/?q=ED-PA/2:19-cr-00162", "ED-PA 2:19-cr-00162")</f>
        <v>ED-PA 2:19-cr-00162</v>
      </c>
      <c r="P2221" s="54" t="s">
        <v>6060</v>
      </c>
      <c r="Q2221" s="47">
        <v>1.0</v>
      </c>
      <c r="R2221" s="55"/>
      <c r="S2221" s="37" t="str">
        <f>IFERROR(__xludf.DUMMYFUNCTION("if(not(iserror(index(split(C2221, "" ""),2))), index(split(C2221, "" ""),1),"""")"),"January")</f>
        <v>January</v>
      </c>
      <c r="T2221" s="38">
        <f>IFERROR(__xludf.DUMMYFUNCTION("if(S2221="""",C2221,if(not(iserror(index(split(C2221, "" ""),3))), index(split(C2221, "" ""),3),index(split(C2221, "" ""),2)))"),2019.0)</f>
        <v>2019</v>
      </c>
      <c r="U2221" s="38" t="b">
        <f t="shared" si="345"/>
        <v>0</v>
      </c>
      <c r="V2221" s="38" t="s">
        <v>33</v>
      </c>
      <c r="W2221" s="40"/>
      <c r="X2221" s="40"/>
      <c r="Y2221" s="40"/>
      <c r="Z2221" s="38"/>
      <c r="AA2221" s="38"/>
      <c r="AB2221" s="38"/>
      <c r="AC2221" s="38"/>
      <c r="AD2221" s="38"/>
      <c r="AE2221" s="38"/>
      <c r="AF2221" s="38"/>
      <c r="AG2221" s="38"/>
      <c r="AH2221" s="38"/>
      <c r="AI2221" s="38"/>
      <c r="AJ2221" s="38"/>
      <c r="AK2221" s="38"/>
      <c r="AL2221" s="38"/>
      <c r="AM2221" s="38"/>
      <c r="AN2221" s="38"/>
      <c r="AO2221" s="38"/>
      <c r="AP2221" s="38"/>
      <c r="AQ2221" s="38"/>
      <c r="AR2221" s="38"/>
      <c r="AS2221" s="38"/>
      <c r="AT2221" s="38"/>
      <c r="AU2221" s="38"/>
      <c r="AV2221" s="38"/>
      <c r="AW2221" s="38"/>
      <c r="AX2221" s="38"/>
      <c r="AY2221" s="38"/>
      <c r="AZ2221" s="38"/>
      <c r="BA2221" s="38"/>
      <c r="BB2221" s="38"/>
      <c r="BC2221" s="38"/>
      <c r="BD2221" s="38"/>
      <c r="BE2221" s="38"/>
      <c r="BF2221" s="38"/>
      <c r="BG2221" s="38"/>
      <c r="BH2221" s="38"/>
      <c r="BI2221" s="38"/>
      <c r="BJ2221" s="38"/>
      <c r="BK2221" s="38"/>
      <c r="BL2221" s="38"/>
      <c r="BM2221" s="38"/>
      <c r="BN2221" s="38"/>
      <c r="BO2221" s="38"/>
      <c r="BP2221" s="38"/>
      <c r="BQ2221" s="38"/>
    </row>
    <row r="2222">
      <c r="A2222" s="47" t="s">
        <v>239</v>
      </c>
      <c r="B2222" s="48">
        <v>43495.0</v>
      </c>
      <c r="C2222" s="48">
        <v>43494.0</v>
      </c>
      <c r="D2222" s="49" t="s">
        <v>6061</v>
      </c>
      <c r="E2222" s="47" t="s">
        <v>41</v>
      </c>
      <c r="F2222" s="47">
        <v>1.0</v>
      </c>
      <c r="G2222" s="47">
        <v>3.0</v>
      </c>
      <c r="H2222" s="63">
        <v>3.0</v>
      </c>
      <c r="I2222" s="47" t="s">
        <v>33</v>
      </c>
      <c r="J2222" s="47" t="s">
        <v>241</v>
      </c>
      <c r="K2222" s="47">
        <v>1.0</v>
      </c>
      <c r="L2222" s="47" t="s">
        <v>194</v>
      </c>
      <c r="M2222" s="51" t="s">
        <v>6062</v>
      </c>
      <c r="N2222" s="52"/>
      <c r="O2222" s="55"/>
      <c r="P2222" s="47"/>
      <c r="Q2222" s="47"/>
      <c r="R2222" s="55"/>
      <c r="S2222" s="37" t="str">
        <f>IFERROR(__xludf.DUMMYFUNCTION("if(not(iserror(index(split(C2222, "" ""),2))), index(split(C2222, "" ""),1),"""")"),"January")</f>
        <v>January</v>
      </c>
      <c r="T2222" s="38">
        <f>IFERROR(__xludf.DUMMYFUNCTION("if(S2222="""",C2222,if(not(iserror(index(split(C2222, "" ""),3))), index(split(C2222, "" ""),3),index(split(C2222, "" ""),2)))"),2019.0)</f>
        <v>2019</v>
      </c>
      <c r="U2222" s="38" t="b">
        <f t="shared" si="345"/>
        <v>1</v>
      </c>
      <c r="V2222" s="38"/>
      <c r="W2222" s="40"/>
      <c r="X2222" s="40"/>
      <c r="Y2222" s="40"/>
      <c r="Z2222" s="38"/>
      <c r="AA2222" s="38"/>
      <c r="AB2222" s="38"/>
      <c r="AC2222" s="38"/>
      <c r="AD2222" s="38"/>
      <c r="AE2222" s="38"/>
      <c r="AF2222" s="38"/>
      <c r="AG2222" s="38"/>
      <c r="AH2222" s="38"/>
      <c r="AI2222" s="38"/>
      <c r="AJ2222" s="38"/>
      <c r="AK2222" s="38"/>
      <c r="AL2222" s="38"/>
      <c r="AM2222" s="38"/>
      <c r="AN2222" s="38"/>
      <c r="AO2222" s="38"/>
      <c r="AP2222" s="38"/>
      <c r="AQ2222" s="38"/>
      <c r="AR2222" s="38"/>
      <c r="AS2222" s="38"/>
      <c r="AT2222" s="38"/>
      <c r="AU2222" s="38"/>
      <c r="AV2222" s="38"/>
      <c r="AW2222" s="38"/>
      <c r="AX2222" s="38"/>
      <c r="AY2222" s="38"/>
      <c r="AZ2222" s="38"/>
      <c r="BA2222" s="38"/>
      <c r="BB2222" s="38"/>
      <c r="BC2222" s="38"/>
      <c r="BD2222" s="38"/>
      <c r="BE2222" s="38"/>
      <c r="BF2222" s="38"/>
      <c r="BG2222" s="38"/>
      <c r="BH2222" s="38"/>
      <c r="BI2222" s="38"/>
      <c r="BJ2222" s="38"/>
      <c r="BK2222" s="38"/>
      <c r="BL2222" s="38"/>
      <c r="BM2222" s="38"/>
      <c r="BN2222" s="38"/>
      <c r="BO2222" s="38"/>
      <c r="BP2222" s="38"/>
      <c r="BQ2222" s="38"/>
    </row>
    <row r="2223">
      <c r="A2223" s="47" t="s">
        <v>6063</v>
      </c>
      <c r="B2223" s="48"/>
      <c r="C2223" s="48">
        <v>43494.0</v>
      </c>
      <c r="D2223" s="49"/>
      <c r="E2223" s="47" t="s">
        <v>31</v>
      </c>
      <c r="F2223" s="47">
        <v>1.0</v>
      </c>
      <c r="G2223" s="47" t="s">
        <v>32</v>
      </c>
      <c r="H2223" s="63">
        <v>1.0</v>
      </c>
      <c r="I2223" s="47" t="s">
        <v>33</v>
      </c>
      <c r="J2223" s="47" t="s">
        <v>34</v>
      </c>
      <c r="K2223" s="47"/>
      <c r="L2223" s="47" t="s">
        <v>76</v>
      </c>
      <c r="M2223" s="51" t="s">
        <v>6064</v>
      </c>
      <c r="N2223" s="52" t="s">
        <v>6065</v>
      </c>
      <c r="O2223" s="55"/>
      <c r="P2223" s="47"/>
      <c r="Q2223" s="47"/>
      <c r="R2223" s="55"/>
      <c r="S2223" s="37"/>
      <c r="T2223" s="38"/>
      <c r="U2223" s="38"/>
      <c r="V2223" s="38" t="s">
        <v>33</v>
      </c>
      <c r="W2223" s="39" t="s">
        <v>6066</v>
      </c>
      <c r="X2223" s="39" t="s">
        <v>6067</v>
      </c>
      <c r="Y2223" s="40"/>
      <c r="Z2223" s="38"/>
      <c r="AA2223" s="38"/>
      <c r="AB2223" s="38"/>
      <c r="AC2223" s="38"/>
      <c r="AD2223" s="38"/>
      <c r="AE2223" s="38"/>
      <c r="AF2223" s="38"/>
      <c r="AG2223" s="38"/>
      <c r="AH2223" s="38"/>
      <c r="AI2223" s="38"/>
      <c r="AJ2223" s="38"/>
      <c r="AK2223" s="38"/>
      <c r="AL2223" s="38"/>
      <c r="AM2223" s="38"/>
      <c r="AN2223" s="38"/>
      <c r="AO2223" s="38"/>
      <c r="AP2223" s="38"/>
      <c r="AQ2223" s="38"/>
      <c r="AR2223" s="38"/>
      <c r="AS2223" s="38"/>
      <c r="AT2223" s="38"/>
      <c r="AU2223" s="38"/>
      <c r="AV2223" s="38"/>
      <c r="AW2223" s="38"/>
      <c r="AX2223" s="38"/>
      <c r="AY2223" s="38"/>
      <c r="AZ2223" s="38"/>
      <c r="BA2223" s="38"/>
      <c r="BB2223" s="38"/>
      <c r="BC2223" s="38"/>
      <c r="BD2223" s="38"/>
      <c r="BE2223" s="38"/>
      <c r="BF2223" s="38"/>
      <c r="BG2223" s="38"/>
      <c r="BH2223" s="38"/>
      <c r="BI2223" s="38"/>
      <c r="BJ2223" s="38"/>
      <c r="BK2223" s="38"/>
      <c r="BL2223" s="38"/>
      <c r="BM2223" s="38"/>
      <c r="BN2223" s="38"/>
      <c r="BO2223" s="38"/>
      <c r="BP2223" s="38"/>
      <c r="BQ2223" s="38"/>
    </row>
    <row r="2224">
      <c r="A2224" s="47" t="s">
        <v>6068</v>
      </c>
      <c r="B2224" s="48"/>
      <c r="C2224" s="48">
        <v>43494.0</v>
      </c>
      <c r="D2224" s="49"/>
      <c r="E2224" s="47" t="s">
        <v>41</v>
      </c>
      <c r="F2224" s="47">
        <v>1.0</v>
      </c>
      <c r="G2224" s="47" t="s">
        <v>32</v>
      </c>
      <c r="H2224" s="63">
        <v>1.0</v>
      </c>
      <c r="I2224" s="47" t="s">
        <v>33</v>
      </c>
      <c r="J2224" s="47" t="s">
        <v>147</v>
      </c>
      <c r="K2224" s="47"/>
      <c r="L2224" s="47" t="s">
        <v>76</v>
      </c>
      <c r="M2224" s="51" t="s">
        <v>6069</v>
      </c>
      <c r="N2224" s="52"/>
      <c r="O2224" s="53" t="str">
        <f>hyperlink("https://bad-boys.us/?q=SD-TX/4:19-cr-00068", "SD-TX 4:19-cr-00068")</f>
        <v>SD-TX 4:19-cr-00068</v>
      </c>
      <c r="P2224" s="54" t="s">
        <v>6070</v>
      </c>
      <c r="Q2224" s="47">
        <v>1.0</v>
      </c>
      <c r="R2224" s="55"/>
      <c r="S2224" s="37"/>
      <c r="T2224" s="38"/>
      <c r="U2224" s="38" t="b">
        <f t="shared" ref="U2224:U2226" si="346">countif(A$4:A4658, A2224)&gt;1</f>
        <v>0</v>
      </c>
      <c r="V2224" s="38" t="s">
        <v>33</v>
      </c>
      <c r="W2224" s="40"/>
      <c r="X2224" s="40"/>
      <c r="Y2224" s="40"/>
      <c r="Z2224" s="38"/>
      <c r="AA2224" s="38"/>
      <c r="AB2224" s="38"/>
      <c r="AC2224" s="38"/>
      <c r="AD2224" s="38"/>
      <c r="AE2224" s="38"/>
      <c r="AF2224" s="38"/>
      <c r="AG2224" s="38"/>
      <c r="AH2224" s="38"/>
      <c r="AI2224" s="38"/>
      <c r="AJ2224" s="38"/>
      <c r="AK2224" s="38"/>
      <c r="AL2224" s="38"/>
      <c r="AM2224" s="38"/>
      <c r="AN2224" s="38"/>
      <c r="AO2224" s="38"/>
      <c r="AP2224" s="38"/>
      <c r="AQ2224" s="38"/>
      <c r="AR2224" s="38"/>
      <c r="AS2224" s="38"/>
      <c r="AT2224" s="38"/>
      <c r="AU2224" s="38"/>
      <c r="AV2224" s="38"/>
      <c r="AW2224" s="38"/>
      <c r="AX2224" s="38"/>
      <c r="AY2224" s="38"/>
      <c r="AZ2224" s="38"/>
      <c r="BA2224" s="38"/>
      <c r="BB2224" s="38"/>
      <c r="BC2224" s="38"/>
      <c r="BD2224" s="38"/>
      <c r="BE2224" s="38"/>
      <c r="BF2224" s="38"/>
      <c r="BG2224" s="38"/>
      <c r="BH2224" s="38"/>
      <c r="BI2224" s="38"/>
      <c r="BJ2224" s="38"/>
      <c r="BK2224" s="38"/>
      <c r="BL2224" s="38"/>
      <c r="BM2224" s="38"/>
      <c r="BN2224" s="38"/>
      <c r="BO2224" s="38"/>
      <c r="BP2224" s="38"/>
      <c r="BQ2224" s="38"/>
    </row>
    <row r="2225">
      <c r="A2225" s="52" t="s">
        <v>6071</v>
      </c>
      <c r="B2225" s="48"/>
      <c r="C2225" s="48">
        <v>43494.0</v>
      </c>
      <c r="D2225" s="49"/>
      <c r="E2225" s="47" t="s">
        <v>31</v>
      </c>
      <c r="F2225" s="47">
        <v>1.0</v>
      </c>
      <c r="G2225" s="47">
        <v>1.0</v>
      </c>
      <c r="H2225" s="63"/>
      <c r="I2225" s="47" t="s">
        <v>33</v>
      </c>
      <c r="J2225" s="47" t="s">
        <v>184</v>
      </c>
      <c r="K2225" s="47"/>
      <c r="L2225" s="47" t="s">
        <v>76</v>
      </c>
      <c r="M2225" s="46" t="s">
        <v>6072</v>
      </c>
      <c r="N2225" s="52"/>
      <c r="O2225" s="55"/>
      <c r="P2225" s="47"/>
      <c r="Q2225" s="47"/>
      <c r="R2225" s="55"/>
      <c r="S2225" s="37" t="str">
        <f>IFERROR(__xludf.DUMMYFUNCTION("if(not(iserror(index(split(C2225, "" ""),2))), index(split(C2225, "" ""),1),"""")"),"January")</f>
        <v>January</v>
      </c>
      <c r="T2225" s="38">
        <f>IFERROR(__xludf.DUMMYFUNCTION("if(S2225="""",C2225,if(not(iserror(index(split(C2225, "" ""),3))), index(split(C2225, "" ""),3),index(split(C2225, "" ""),2)))"),2019.0)</f>
        <v>2019</v>
      </c>
      <c r="U2225" s="38" t="b">
        <f t="shared" si="346"/>
        <v>0</v>
      </c>
      <c r="V2225" s="38" t="s">
        <v>33</v>
      </c>
      <c r="W2225" s="46" t="s">
        <v>6073</v>
      </c>
      <c r="X2225" s="46" t="s">
        <v>6074</v>
      </c>
      <c r="Y2225" s="40"/>
      <c r="Z2225" s="38"/>
      <c r="AA2225" s="38"/>
      <c r="AB2225" s="38"/>
      <c r="AC2225" s="38"/>
      <c r="AD2225" s="38"/>
      <c r="AE2225" s="38"/>
      <c r="AF2225" s="38"/>
      <c r="AG2225" s="38"/>
      <c r="AH2225" s="38"/>
      <c r="AI2225" s="38"/>
      <c r="AJ2225" s="38"/>
      <c r="AK2225" s="38"/>
      <c r="AL2225" s="38"/>
      <c r="AM2225" s="38"/>
      <c r="AN2225" s="38"/>
      <c r="AO2225" s="38"/>
      <c r="AP2225" s="38"/>
      <c r="AQ2225" s="38"/>
      <c r="AR2225" s="38"/>
      <c r="AS2225" s="38"/>
      <c r="AT2225" s="38"/>
      <c r="AU2225" s="38"/>
      <c r="AV2225" s="38"/>
      <c r="AW2225" s="38"/>
      <c r="AX2225" s="38"/>
      <c r="AY2225" s="38"/>
      <c r="AZ2225" s="38"/>
      <c r="BA2225" s="38"/>
      <c r="BB2225" s="38"/>
      <c r="BC2225" s="38"/>
      <c r="BD2225" s="38"/>
      <c r="BE2225" s="38"/>
      <c r="BF2225" s="38"/>
      <c r="BG2225" s="38"/>
      <c r="BH2225" s="38"/>
      <c r="BI2225" s="38"/>
      <c r="BJ2225" s="38"/>
      <c r="BK2225" s="38"/>
      <c r="BL2225" s="38"/>
      <c r="BM2225" s="38"/>
      <c r="BN2225" s="38"/>
      <c r="BO2225" s="38"/>
      <c r="BP2225" s="38"/>
      <c r="BQ2225" s="38"/>
    </row>
    <row r="2226">
      <c r="A2226" s="47" t="s">
        <v>6075</v>
      </c>
      <c r="B2226" s="48">
        <v>43502.0</v>
      </c>
      <c r="C2226" s="48">
        <v>43495.0</v>
      </c>
      <c r="D2226" s="49" t="s">
        <v>6076</v>
      </c>
      <c r="E2226" s="47" t="s">
        <v>31</v>
      </c>
      <c r="F2226" s="47">
        <v>1.0</v>
      </c>
      <c r="G2226" s="47" t="s">
        <v>32</v>
      </c>
      <c r="H2226" s="63">
        <v>1.0</v>
      </c>
      <c r="I2226" s="47" t="s">
        <v>33</v>
      </c>
      <c r="J2226" s="47" t="s">
        <v>111</v>
      </c>
      <c r="K2226" s="47" t="s">
        <v>32</v>
      </c>
      <c r="L2226" s="47" t="s">
        <v>790</v>
      </c>
      <c r="M2226" s="51" t="s">
        <v>6077</v>
      </c>
      <c r="N2226" s="52"/>
      <c r="O2226" s="55"/>
      <c r="P2226" s="47"/>
      <c r="Q2226" s="47"/>
      <c r="R2226" s="55"/>
      <c r="S2226" s="37" t="str">
        <f>IFERROR(__xludf.DUMMYFUNCTION("if(not(iserror(index(split(C2226, "" ""),2))), index(split(C2226, "" ""),1),"""")"),"January")</f>
        <v>January</v>
      </c>
      <c r="T2226" s="38">
        <f>IFERROR(__xludf.DUMMYFUNCTION("if(S2226="""",C2226,if(not(iserror(index(split(C2226, "" ""),3))), index(split(C2226, "" ""),3),index(split(C2226, "" ""),2)))"),2019.0)</f>
        <v>2019</v>
      </c>
      <c r="U2226" s="38" t="b">
        <f t="shared" si="346"/>
        <v>0</v>
      </c>
      <c r="V2226" s="38" t="s">
        <v>33</v>
      </c>
      <c r="W2226" s="40"/>
      <c r="X2226" s="40"/>
      <c r="Y2226" s="40"/>
      <c r="Z2226" s="38"/>
      <c r="AA2226" s="38"/>
      <c r="AB2226" s="38"/>
      <c r="AC2226" s="38"/>
      <c r="AD2226" s="38"/>
      <c r="AE2226" s="38"/>
      <c r="AF2226" s="38"/>
      <c r="AG2226" s="38"/>
      <c r="AH2226" s="38"/>
      <c r="AI2226" s="38"/>
      <c r="AJ2226" s="38"/>
      <c r="AK2226" s="38"/>
      <c r="AL2226" s="38"/>
      <c r="AM2226" s="38"/>
      <c r="AN2226" s="38"/>
      <c r="AO2226" s="38"/>
      <c r="AP2226" s="38"/>
      <c r="AQ2226" s="38"/>
      <c r="AR2226" s="38"/>
      <c r="AS2226" s="38"/>
      <c r="AT2226" s="38"/>
      <c r="AU2226" s="38"/>
      <c r="AV2226" s="38"/>
      <c r="AW2226" s="38"/>
      <c r="AX2226" s="38"/>
      <c r="AY2226" s="38"/>
      <c r="AZ2226" s="38"/>
      <c r="BA2226" s="38"/>
      <c r="BB2226" s="38"/>
      <c r="BC2226" s="38"/>
      <c r="BD2226" s="38"/>
      <c r="BE2226" s="38"/>
      <c r="BF2226" s="38"/>
      <c r="BG2226" s="38"/>
      <c r="BH2226" s="38"/>
      <c r="BI2226" s="38"/>
      <c r="BJ2226" s="38"/>
      <c r="BK2226" s="38"/>
      <c r="BL2226" s="38"/>
      <c r="BM2226" s="38"/>
      <c r="BN2226" s="38"/>
      <c r="BO2226" s="38"/>
      <c r="BP2226" s="38"/>
      <c r="BQ2226" s="38"/>
    </row>
    <row r="2227">
      <c r="A2227" s="47" t="s">
        <v>6078</v>
      </c>
      <c r="B2227" s="48"/>
      <c r="C2227" s="48">
        <v>43496.0</v>
      </c>
      <c r="D2227" s="49"/>
      <c r="E2227" s="47" t="s">
        <v>41</v>
      </c>
      <c r="F2227" s="47">
        <v>1.0</v>
      </c>
      <c r="G2227" s="47">
        <v>1.0</v>
      </c>
      <c r="H2227" s="63">
        <v>1.0</v>
      </c>
      <c r="I2227" s="47" t="s">
        <v>33</v>
      </c>
      <c r="J2227" s="47" t="s">
        <v>115</v>
      </c>
      <c r="K2227" s="47"/>
      <c r="L2227" s="47" t="s">
        <v>76</v>
      </c>
      <c r="M2227" s="51" t="s">
        <v>6079</v>
      </c>
      <c r="N2227" s="52"/>
      <c r="O2227" s="55"/>
      <c r="P2227" s="47"/>
      <c r="Q2227" s="47">
        <v>1.0</v>
      </c>
      <c r="R2227" s="55"/>
      <c r="S2227" s="37"/>
      <c r="T2227" s="38"/>
      <c r="U2227" s="38"/>
      <c r="V2227" s="38" t="s">
        <v>33</v>
      </c>
      <c r="W2227" s="40"/>
      <c r="X2227" s="40"/>
      <c r="Y2227" s="40"/>
      <c r="Z2227" s="38"/>
      <c r="AA2227" s="38"/>
      <c r="AB2227" s="38"/>
      <c r="AC2227" s="38"/>
      <c r="AD2227" s="38"/>
      <c r="AE2227" s="38"/>
      <c r="AF2227" s="38"/>
      <c r="AG2227" s="38"/>
      <c r="AH2227" s="38"/>
      <c r="AI2227" s="38"/>
      <c r="AJ2227" s="38"/>
      <c r="AK2227" s="38"/>
      <c r="AL2227" s="38"/>
      <c r="AM2227" s="38"/>
      <c r="AN2227" s="38"/>
      <c r="AO2227" s="38"/>
      <c r="AP2227" s="38"/>
      <c r="AQ2227" s="38"/>
      <c r="AR2227" s="38"/>
      <c r="AS2227" s="38"/>
      <c r="AT2227" s="38"/>
      <c r="AU2227" s="38"/>
      <c r="AV2227" s="38"/>
      <c r="AW2227" s="38"/>
      <c r="AX2227" s="38"/>
      <c r="AY2227" s="38"/>
      <c r="AZ2227" s="38"/>
      <c r="BA2227" s="38"/>
      <c r="BB2227" s="38"/>
      <c r="BC2227" s="38"/>
      <c r="BD2227" s="38"/>
      <c r="BE2227" s="38"/>
      <c r="BF2227" s="38"/>
      <c r="BG2227" s="38"/>
      <c r="BH2227" s="38"/>
      <c r="BI2227" s="38"/>
      <c r="BJ2227" s="38"/>
      <c r="BK2227" s="38"/>
      <c r="BL2227" s="38"/>
      <c r="BM2227" s="38"/>
      <c r="BN2227" s="38"/>
      <c r="BO2227" s="38"/>
      <c r="BP2227" s="38"/>
      <c r="BQ2227" s="38"/>
    </row>
    <row r="2228">
      <c r="A2228" s="47" t="s">
        <v>239</v>
      </c>
      <c r="B2228" s="48">
        <v>43496.0</v>
      </c>
      <c r="C2228" s="48">
        <v>43496.0</v>
      </c>
      <c r="D2228" s="49" t="s">
        <v>6080</v>
      </c>
      <c r="E2228" s="47" t="s">
        <v>41</v>
      </c>
      <c r="F2228" s="47">
        <v>1.0</v>
      </c>
      <c r="G2228" s="47">
        <v>8.0</v>
      </c>
      <c r="H2228" s="63">
        <v>8.0</v>
      </c>
      <c r="I2228" s="47" t="s">
        <v>33</v>
      </c>
      <c r="J2228" s="47" t="s">
        <v>147</v>
      </c>
      <c r="K2228" s="47">
        <v>1.0</v>
      </c>
      <c r="L2228" s="47" t="s">
        <v>194</v>
      </c>
      <c r="M2228" s="51" t="s">
        <v>6081</v>
      </c>
      <c r="N2228" s="52"/>
      <c r="O2228" s="55"/>
      <c r="P2228" s="47"/>
      <c r="Q2228" s="47"/>
      <c r="R2228" s="55"/>
      <c r="S2228" s="37" t="str">
        <f>IFERROR(__xludf.DUMMYFUNCTION("if(not(iserror(index(split(C2228, "" ""),2))), index(split(C2228, "" ""),1),"""")"),"January")</f>
        <v>January</v>
      </c>
      <c r="T2228" s="38">
        <f>IFERROR(__xludf.DUMMYFUNCTION("if(S2228="""",C2228,if(not(iserror(index(split(C2228, "" ""),3))), index(split(C2228, "" ""),3),index(split(C2228, "" ""),2)))"),2019.0)</f>
        <v>2019</v>
      </c>
      <c r="U2228" s="38" t="b">
        <f t="shared" ref="U2228:U2230" si="347">countif(A$4:A4658, A2228)&gt;1</f>
        <v>1</v>
      </c>
      <c r="V2228" s="38"/>
      <c r="W2228" s="40"/>
      <c r="X2228" s="40"/>
      <c r="Y2228" s="40"/>
      <c r="Z2228" s="38"/>
      <c r="AA2228" s="38"/>
      <c r="AB2228" s="38"/>
      <c r="AC2228" s="38"/>
      <c r="AD2228" s="38"/>
      <c r="AE2228" s="38"/>
      <c r="AF2228" s="38"/>
      <c r="AG2228" s="38"/>
      <c r="AH2228" s="38"/>
      <c r="AI2228" s="38"/>
      <c r="AJ2228" s="38"/>
      <c r="AK2228" s="38"/>
      <c r="AL2228" s="38"/>
      <c r="AM2228" s="38"/>
      <c r="AN2228" s="38"/>
      <c r="AO2228" s="38"/>
      <c r="AP2228" s="38"/>
      <c r="AQ2228" s="38"/>
      <c r="AR2228" s="38"/>
      <c r="AS2228" s="38"/>
      <c r="AT2228" s="38"/>
      <c r="AU2228" s="38"/>
      <c r="AV2228" s="38"/>
      <c r="AW2228" s="38"/>
      <c r="AX2228" s="38"/>
      <c r="AY2228" s="38"/>
      <c r="AZ2228" s="38"/>
      <c r="BA2228" s="38"/>
      <c r="BB2228" s="38"/>
      <c r="BC2228" s="38"/>
      <c r="BD2228" s="38"/>
      <c r="BE2228" s="38"/>
      <c r="BF2228" s="38"/>
      <c r="BG2228" s="38"/>
      <c r="BH2228" s="38"/>
      <c r="BI2228" s="38"/>
      <c r="BJ2228" s="38"/>
      <c r="BK2228" s="38"/>
      <c r="BL2228" s="38"/>
      <c r="BM2228" s="38"/>
      <c r="BN2228" s="38"/>
      <c r="BO2228" s="38"/>
      <c r="BP2228" s="38"/>
      <c r="BQ2228" s="38"/>
    </row>
    <row r="2229">
      <c r="A2229" s="47" t="s">
        <v>6082</v>
      </c>
      <c r="B2229" s="48">
        <v>43496.0</v>
      </c>
      <c r="C2229" s="48">
        <v>43496.0</v>
      </c>
      <c r="D2229" s="49" t="s">
        <v>6080</v>
      </c>
      <c r="E2229" s="47" t="s">
        <v>41</v>
      </c>
      <c r="F2229" s="47">
        <v>1.0</v>
      </c>
      <c r="G2229" s="47">
        <v>1.0</v>
      </c>
      <c r="H2229" s="63">
        <v>1.0</v>
      </c>
      <c r="I2229" s="47" t="s">
        <v>33</v>
      </c>
      <c r="J2229" s="47" t="s">
        <v>55</v>
      </c>
      <c r="K2229" s="47">
        <v>2.0</v>
      </c>
      <c r="L2229" s="47" t="s">
        <v>119</v>
      </c>
      <c r="M2229" s="51" t="s">
        <v>6083</v>
      </c>
      <c r="N2229" s="46" t="s">
        <v>6084</v>
      </c>
      <c r="O2229" s="53" t="str">
        <f>hyperlink("https://bad-boys.us/?q=D-NJ/2:19-mj-08026", "D-NJ 2:19-mj-08026")</f>
        <v>D-NJ 2:19-mj-08026</v>
      </c>
      <c r="P2229" s="47"/>
      <c r="Q2229" s="47">
        <v>1.0</v>
      </c>
      <c r="R2229" s="55"/>
      <c r="S2229" s="37" t="str">
        <f>IFERROR(__xludf.DUMMYFUNCTION("if(not(iserror(index(split(C2229, "" ""),2))), index(split(C2229, "" ""),1),"""")"),"January")</f>
        <v>January</v>
      </c>
      <c r="T2229" s="38">
        <f>IFERROR(__xludf.DUMMYFUNCTION("if(S2229="""",C2229,if(not(iserror(index(split(C2229, "" ""),3))), index(split(C2229, "" ""),3),index(split(C2229, "" ""),2)))"),2019.0)</f>
        <v>2019</v>
      </c>
      <c r="U2229" s="38" t="b">
        <f t="shared" si="347"/>
        <v>0</v>
      </c>
      <c r="V2229" s="38"/>
      <c r="W2229" s="40"/>
      <c r="X2229" s="40"/>
      <c r="Y2229" s="40"/>
      <c r="Z2229" s="38"/>
      <c r="AA2229" s="38"/>
      <c r="AB2229" s="38"/>
      <c r="AC2229" s="38"/>
      <c r="AD2229" s="38"/>
      <c r="AE2229" s="38"/>
      <c r="AF2229" s="38"/>
      <c r="AG2229" s="38"/>
      <c r="AH2229" s="38"/>
      <c r="AI2229" s="38"/>
      <c r="AJ2229" s="38"/>
      <c r="AK2229" s="38"/>
      <c r="AL2229" s="38"/>
      <c r="AM2229" s="38"/>
      <c r="AN2229" s="38"/>
      <c r="AO2229" s="38"/>
      <c r="AP2229" s="38"/>
      <c r="AQ2229" s="38"/>
      <c r="AR2229" s="38"/>
      <c r="AS2229" s="38"/>
      <c r="AT2229" s="38"/>
      <c r="AU2229" s="38"/>
      <c r="AV2229" s="38"/>
      <c r="AW2229" s="38"/>
      <c r="AX2229" s="38"/>
      <c r="AY2229" s="38"/>
      <c r="AZ2229" s="38"/>
      <c r="BA2229" s="38"/>
      <c r="BB2229" s="38"/>
      <c r="BC2229" s="38"/>
      <c r="BD2229" s="38"/>
      <c r="BE2229" s="38"/>
      <c r="BF2229" s="38"/>
      <c r="BG2229" s="38"/>
      <c r="BH2229" s="38"/>
      <c r="BI2229" s="38"/>
      <c r="BJ2229" s="38"/>
      <c r="BK2229" s="38"/>
      <c r="BL2229" s="38"/>
      <c r="BM2229" s="38"/>
      <c r="BN2229" s="38"/>
      <c r="BO2229" s="38"/>
      <c r="BP2229" s="38"/>
      <c r="BQ2229" s="38"/>
    </row>
    <row r="2230">
      <c r="A2230" s="37" t="s">
        <v>6085</v>
      </c>
      <c r="B2230" s="99"/>
      <c r="C2230" s="100">
        <v>43497.0</v>
      </c>
      <c r="D2230" s="101"/>
      <c r="E2230" s="37" t="s">
        <v>31</v>
      </c>
      <c r="F2230" s="37">
        <v>1.0</v>
      </c>
      <c r="G2230" s="37" t="s">
        <v>32</v>
      </c>
      <c r="H2230" s="200">
        <v>1.0</v>
      </c>
      <c r="I2230" s="37" t="s">
        <v>33</v>
      </c>
      <c r="J2230" s="37" t="s">
        <v>47</v>
      </c>
      <c r="K2230" s="37"/>
      <c r="L2230" s="37" t="s">
        <v>52</v>
      </c>
      <c r="M2230" s="36" t="s">
        <v>6086</v>
      </c>
      <c r="N2230" s="36" t="s">
        <v>6087</v>
      </c>
      <c r="O2230" s="16"/>
      <c r="P2230" s="16"/>
      <c r="Q2230" s="37"/>
      <c r="R2230" s="37">
        <v>1.0</v>
      </c>
      <c r="S2230" s="37" t="str">
        <f>IFERROR(__xludf.DUMMYFUNCTION("if(not(iserror(index(split(C2230, "" ""),2))), index(split(C2230, "" ""),1),"""")"),"February,")</f>
        <v>February,</v>
      </c>
      <c r="T2230" s="38">
        <f>IFERROR(__xludf.DUMMYFUNCTION("if(S2230="""",C2230,if(not(iserror(index(split(C2230, "" ""),3))), index(split(C2230, "" ""),3),index(split(C2230, "" ""),2)))"),2019.0)</f>
        <v>2019</v>
      </c>
      <c r="U2230" s="38" t="b">
        <f t="shared" si="347"/>
        <v>0</v>
      </c>
      <c r="V2230" s="201" t="s">
        <v>33</v>
      </c>
      <c r="W2230" s="36" t="s">
        <v>6088</v>
      </c>
      <c r="X2230" s="15"/>
      <c r="Y2230" s="15"/>
      <c r="Z2230" s="16"/>
      <c r="AA2230" s="16"/>
      <c r="AB2230" s="16"/>
      <c r="AC2230" s="16"/>
      <c r="AD2230" s="16"/>
      <c r="AE2230" s="16"/>
      <c r="AF2230" s="16"/>
      <c r="AG2230" s="16"/>
      <c r="AH2230" s="16"/>
      <c r="AI2230" s="16"/>
      <c r="AJ2230" s="16"/>
      <c r="AK2230" s="16"/>
      <c r="AL2230" s="16"/>
      <c r="AM2230" s="16"/>
      <c r="AN2230" s="16"/>
      <c r="AO2230" s="16"/>
      <c r="AP2230" s="16"/>
      <c r="AQ2230" s="16"/>
      <c r="AR2230" s="16"/>
      <c r="AS2230" s="16"/>
      <c r="AT2230" s="16"/>
      <c r="AU2230" s="16"/>
      <c r="AV2230" s="16"/>
      <c r="AW2230" s="16"/>
      <c r="AX2230" s="16"/>
      <c r="AY2230" s="16"/>
      <c r="AZ2230" s="16"/>
      <c r="BA2230" s="16"/>
      <c r="BB2230" s="16"/>
      <c r="BC2230" s="16"/>
      <c r="BD2230" s="16"/>
      <c r="BE2230" s="16"/>
      <c r="BF2230" s="16"/>
      <c r="BG2230" s="16"/>
      <c r="BH2230" s="16"/>
      <c r="BI2230" s="16"/>
      <c r="BJ2230" s="16"/>
      <c r="BK2230" s="16"/>
      <c r="BL2230" s="16"/>
      <c r="BM2230" s="16"/>
      <c r="BN2230" s="16"/>
      <c r="BO2230" s="16"/>
      <c r="BP2230" s="16"/>
      <c r="BQ2230" s="16"/>
    </row>
    <row r="2231">
      <c r="A2231" s="37" t="s">
        <v>6089</v>
      </c>
      <c r="B2231" s="99"/>
      <c r="C2231" s="100">
        <v>43497.0</v>
      </c>
      <c r="D2231" s="101"/>
      <c r="E2231" s="37" t="s">
        <v>31</v>
      </c>
      <c r="F2231" s="37">
        <v>1.0</v>
      </c>
      <c r="G2231" s="37" t="s">
        <v>32</v>
      </c>
      <c r="H2231" s="200">
        <v>1.0</v>
      </c>
      <c r="I2231" s="37" t="s">
        <v>33</v>
      </c>
      <c r="J2231" s="37" t="s">
        <v>93</v>
      </c>
      <c r="K2231" s="37"/>
      <c r="L2231" s="37" t="s">
        <v>69</v>
      </c>
      <c r="M2231" s="36" t="s">
        <v>6090</v>
      </c>
      <c r="N2231" s="36" t="s">
        <v>6091</v>
      </c>
      <c r="O2231" s="16"/>
      <c r="P2231" s="37"/>
      <c r="Q2231" s="37"/>
      <c r="R2231" s="16"/>
      <c r="S2231" s="37"/>
      <c r="T2231" s="38"/>
      <c r="U2231" s="38"/>
      <c r="V2231" s="201" t="s">
        <v>33</v>
      </c>
      <c r="W2231" s="36" t="s">
        <v>6092</v>
      </c>
      <c r="X2231" s="36" t="s">
        <v>6093</v>
      </c>
      <c r="Y2231" s="15"/>
      <c r="Z2231" s="16"/>
      <c r="AA2231" s="16"/>
      <c r="AB2231" s="16"/>
      <c r="AC2231" s="16"/>
      <c r="AD2231" s="16"/>
      <c r="AE2231" s="16"/>
      <c r="AF2231" s="16"/>
      <c r="AG2231" s="16"/>
      <c r="AH2231" s="16"/>
      <c r="AI2231" s="16"/>
      <c r="AJ2231" s="16"/>
      <c r="AK2231" s="16"/>
      <c r="AL2231" s="16"/>
      <c r="AM2231" s="16"/>
      <c r="AN2231" s="16"/>
      <c r="AO2231" s="16"/>
      <c r="AP2231" s="16"/>
      <c r="AQ2231" s="16"/>
      <c r="AR2231" s="16"/>
      <c r="AS2231" s="16"/>
      <c r="AT2231" s="16"/>
      <c r="AU2231" s="16"/>
      <c r="AV2231" s="16"/>
      <c r="AW2231" s="16"/>
      <c r="AX2231" s="16"/>
      <c r="AY2231" s="16"/>
      <c r="AZ2231" s="16"/>
      <c r="BA2231" s="16"/>
      <c r="BB2231" s="16"/>
      <c r="BC2231" s="16"/>
      <c r="BD2231" s="16"/>
      <c r="BE2231" s="16"/>
      <c r="BF2231" s="16"/>
      <c r="BG2231" s="16"/>
      <c r="BH2231" s="16"/>
      <c r="BI2231" s="16"/>
      <c r="BJ2231" s="16"/>
      <c r="BK2231" s="16"/>
      <c r="BL2231" s="16"/>
      <c r="BM2231" s="16"/>
      <c r="BN2231" s="16"/>
      <c r="BO2231" s="16"/>
      <c r="BP2231" s="16"/>
      <c r="BQ2231" s="16"/>
    </row>
    <row r="2232">
      <c r="A2232" s="37" t="s">
        <v>6094</v>
      </c>
      <c r="B2232" s="99"/>
      <c r="C2232" s="100">
        <v>43497.0</v>
      </c>
      <c r="D2232" s="101"/>
      <c r="E2232" s="37" t="s">
        <v>41</v>
      </c>
      <c r="F2232" s="37">
        <v>1.0</v>
      </c>
      <c r="G2232" s="37" t="s">
        <v>32</v>
      </c>
      <c r="H2232" s="200">
        <v>1.0</v>
      </c>
      <c r="I2232" s="37" t="s">
        <v>33</v>
      </c>
      <c r="J2232" s="37" t="s">
        <v>283</v>
      </c>
      <c r="K2232" s="37"/>
      <c r="L2232" s="37" t="s">
        <v>119</v>
      </c>
      <c r="M2232" s="36" t="s">
        <v>5918</v>
      </c>
      <c r="N2232" s="15"/>
      <c r="O2232" s="16"/>
      <c r="P2232" s="37"/>
      <c r="Q2232" s="37"/>
      <c r="R2232" s="16"/>
      <c r="S2232" s="37"/>
      <c r="T2232" s="38"/>
      <c r="U2232" s="38"/>
      <c r="V2232" s="201" t="s">
        <v>33</v>
      </c>
      <c r="W2232" s="15"/>
      <c r="X2232" s="15"/>
      <c r="Y2232" s="15"/>
      <c r="Z2232" s="16"/>
      <c r="AA2232" s="16"/>
      <c r="AB2232" s="16"/>
      <c r="AC2232" s="16"/>
      <c r="AD2232" s="16"/>
      <c r="AE2232" s="16"/>
      <c r="AF2232" s="16"/>
      <c r="AG2232" s="16"/>
      <c r="AH2232" s="16"/>
      <c r="AI2232" s="16"/>
      <c r="AJ2232" s="16"/>
      <c r="AK2232" s="16"/>
      <c r="AL2232" s="16"/>
      <c r="AM2232" s="16"/>
      <c r="AN2232" s="16"/>
      <c r="AO2232" s="16"/>
      <c r="AP2232" s="16"/>
      <c r="AQ2232" s="16"/>
      <c r="AR2232" s="16"/>
      <c r="AS2232" s="16"/>
      <c r="AT2232" s="16"/>
      <c r="AU2232" s="16"/>
      <c r="AV2232" s="16"/>
      <c r="AW2232" s="16"/>
      <c r="AX2232" s="16"/>
      <c r="AY2232" s="16"/>
      <c r="AZ2232" s="16"/>
      <c r="BA2232" s="16"/>
      <c r="BB2232" s="16"/>
      <c r="BC2232" s="16"/>
      <c r="BD2232" s="16"/>
      <c r="BE2232" s="16"/>
      <c r="BF2232" s="16"/>
      <c r="BG2232" s="16"/>
      <c r="BH2232" s="16"/>
      <c r="BI2232" s="16"/>
      <c r="BJ2232" s="16"/>
      <c r="BK2232" s="16"/>
      <c r="BL2232" s="16"/>
      <c r="BM2232" s="16"/>
      <c r="BN2232" s="16"/>
      <c r="BO2232" s="16"/>
      <c r="BP2232" s="16"/>
      <c r="BQ2232" s="16"/>
    </row>
    <row r="2233">
      <c r="A2233" s="37" t="s">
        <v>6095</v>
      </c>
      <c r="B2233" s="99"/>
      <c r="C2233" s="100">
        <v>43497.0</v>
      </c>
      <c r="D2233" s="101"/>
      <c r="E2233" s="37" t="s">
        <v>41</v>
      </c>
      <c r="F2233" s="37">
        <v>1.0</v>
      </c>
      <c r="G2233" s="37" t="s">
        <v>32</v>
      </c>
      <c r="H2233" s="200">
        <v>1.0</v>
      </c>
      <c r="I2233" s="37" t="s">
        <v>33</v>
      </c>
      <c r="J2233" s="37" t="s">
        <v>89</v>
      </c>
      <c r="K2233" s="37"/>
      <c r="L2233" s="37" t="s">
        <v>76</v>
      </c>
      <c r="M2233" s="36" t="s">
        <v>6096</v>
      </c>
      <c r="N2233" s="15"/>
      <c r="O2233" s="16"/>
      <c r="P2233" s="37"/>
      <c r="Q2233" s="37"/>
      <c r="R2233" s="16"/>
      <c r="S2233" s="37"/>
      <c r="T2233" s="38"/>
      <c r="U2233" s="38"/>
      <c r="V2233" s="201" t="s">
        <v>33</v>
      </c>
      <c r="W2233" s="15"/>
      <c r="X2233" s="15"/>
      <c r="Y2233" s="15"/>
      <c r="Z2233" s="16"/>
      <c r="AA2233" s="16"/>
      <c r="AB2233" s="16"/>
      <c r="AC2233" s="16"/>
      <c r="AD2233" s="16"/>
      <c r="AE2233" s="16"/>
      <c r="AF2233" s="16"/>
      <c r="AG2233" s="16"/>
      <c r="AH2233" s="16"/>
      <c r="AI2233" s="16"/>
      <c r="AJ2233" s="16"/>
      <c r="AK2233" s="16"/>
      <c r="AL2233" s="16"/>
      <c r="AM2233" s="16"/>
      <c r="AN2233" s="16"/>
      <c r="AO2233" s="16"/>
      <c r="AP2233" s="16"/>
      <c r="AQ2233" s="16"/>
      <c r="AR2233" s="16"/>
      <c r="AS2233" s="16"/>
      <c r="AT2233" s="16"/>
      <c r="AU2233" s="16"/>
      <c r="AV2233" s="16"/>
      <c r="AW2233" s="16"/>
      <c r="AX2233" s="16"/>
      <c r="AY2233" s="16"/>
      <c r="AZ2233" s="16"/>
      <c r="BA2233" s="16"/>
      <c r="BB2233" s="16"/>
      <c r="BC2233" s="16"/>
      <c r="BD2233" s="16"/>
      <c r="BE2233" s="16"/>
      <c r="BF2233" s="16"/>
      <c r="BG2233" s="16"/>
      <c r="BH2233" s="16"/>
      <c r="BI2233" s="16"/>
      <c r="BJ2233" s="16"/>
      <c r="BK2233" s="16"/>
      <c r="BL2233" s="16"/>
      <c r="BM2233" s="16"/>
      <c r="BN2233" s="16"/>
      <c r="BO2233" s="16"/>
      <c r="BP2233" s="16"/>
      <c r="BQ2233" s="16"/>
    </row>
    <row r="2234">
      <c r="A2234" s="37" t="s">
        <v>6097</v>
      </c>
      <c r="B2234" s="99"/>
      <c r="C2234" s="100">
        <v>43497.0</v>
      </c>
      <c r="D2234" s="101"/>
      <c r="E2234" s="37" t="s">
        <v>41</v>
      </c>
      <c r="F2234" s="37">
        <v>1.0</v>
      </c>
      <c r="G2234" s="37">
        <v>1.0</v>
      </c>
      <c r="H2234" s="200">
        <v>1.0</v>
      </c>
      <c r="I2234" s="37" t="s">
        <v>33</v>
      </c>
      <c r="J2234" s="37" t="s">
        <v>98</v>
      </c>
      <c r="K2234" s="37"/>
      <c r="L2234" s="37" t="s">
        <v>76</v>
      </c>
      <c r="M2234" s="36" t="s">
        <v>6098</v>
      </c>
      <c r="N2234" s="15"/>
      <c r="O2234" s="16"/>
      <c r="P2234" s="37"/>
      <c r="Q2234" s="37"/>
      <c r="R2234" s="16"/>
      <c r="S2234" s="37"/>
      <c r="T2234" s="38"/>
      <c r="U2234" s="38"/>
      <c r="V2234" s="201" t="s">
        <v>33</v>
      </c>
      <c r="W2234" s="15"/>
      <c r="X2234" s="15"/>
      <c r="Y2234" s="15"/>
      <c r="Z2234" s="16"/>
      <c r="AA2234" s="16"/>
      <c r="AB2234" s="16"/>
      <c r="AC2234" s="16"/>
      <c r="AD2234" s="16"/>
      <c r="AE2234" s="16"/>
      <c r="AF2234" s="16"/>
      <c r="AG2234" s="16"/>
      <c r="AH2234" s="16"/>
      <c r="AI2234" s="16"/>
      <c r="AJ2234" s="16"/>
      <c r="AK2234" s="16"/>
      <c r="AL2234" s="16"/>
      <c r="AM2234" s="16"/>
      <c r="AN2234" s="16"/>
      <c r="AO2234" s="16"/>
      <c r="AP2234" s="16"/>
      <c r="AQ2234" s="16"/>
      <c r="AR2234" s="16"/>
      <c r="AS2234" s="16"/>
      <c r="AT2234" s="16"/>
      <c r="AU2234" s="16"/>
      <c r="AV2234" s="16"/>
      <c r="AW2234" s="16"/>
      <c r="AX2234" s="16"/>
      <c r="AY2234" s="16"/>
      <c r="AZ2234" s="16"/>
      <c r="BA2234" s="16"/>
      <c r="BB2234" s="16"/>
      <c r="BC2234" s="16"/>
      <c r="BD2234" s="16"/>
      <c r="BE2234" s="16"/>
      <c r="BF2234" s="16"/>
      <c r="BG2234" s="16"/>
      <c r="BH2234" s="16"/>
      <c r="BI2234" s="16"/>
      <c r="BJ2234" s="16"/>
      <c r="BK2234" s="16"/>
      <c r="BL2234" s="16"/>
      <c r="BM2234" s="16"/>
      <c r="BN2234" s="16"/>
      <c r="BO2234" s="16"/>
      <c r="BP2234" s="16"/>
      <c r="BQ2234" s="16"/>
    </row>
    <row r="2235">
      <c r="A2235" s="37" t="s">
        <v>6099</v>
      </c>
      <c r="B2235" s="99"/>
      <c r="C2235" s="100">
        <v>43497.0</v>
      </c>
      <c r="D2235" s="101"/>
      <c r="E2235" s="37" t="s">
        <v>41</v>
      </c>
      <c r="F2235" s="37">
        <v>1.0</v>
      </c>
      <c r="G2235" s="37" t="s">
        <v>32</v>
      </c>
      <c r="H2235" s="200">
        <v>1.0</v>
      </c>
      <c r="I2235" s="37" t="s">
        <v>33</v>
      </c>
      <c r="J2235" s="37" t="s">
        <v>288</v>
      </c>
      <c r="K2235" s="37"/>
      <c r="L2235" s="37" t="s">
        <v>69</v>
      </c>
      <c r="M2235" s="36" t="s">
        <v>6100</v>
      </c>
      <c r="N2235" s="15"/>
      <c r="O2235" s="16"/>
      <c r="P2235" s="37"/>
      <c r="Q2235" s="37"/>
      <c r="R2235" s="16"/>
      <c r="S2235" s="37"/>
      <c r="T2235" s="38"/>
      <c r="U2235" s="38"/>
      <c r="V2235" s="201" t="s">
        <v>33</v>
      </c>
      <c r="W2235" s="15"/>
      <c r="X2235" s="15"/>
      <c r="Y2235" s="15"/>
      <c r="Z2235" s="16"/>
      <c r="AA2235" s="16"/>
      <c r="AB2235" s="16"/>
      <c r="AC2235" s="16"/>
      <c r="AD2235" s="16"/>
      <c r="AE2235" s="16"/>
      <c r="AF2235" s="16"/>
      <c r="AG2235" s="16"/>
      <c r="AH2235" s="16"/>
      <c r="AI2235" s="16"/>
      <c r="AJ2235" s="16"/>
      <c r="AK2235" s="16"/>
      <c r="AL2235" s="16"/>
      <c r="AM2235" s="16"/>
      <c r="AN2235" s="16"/>
      <c r="AO2235" s="16"/>
      <c r="AP2235" s="16"/>
      <c r="AQ2235" s="16"/>
      <c r="AR2235" s="16"/>
      <c r="AS2235" s="16"/>
      <c r="AT2235" s="16"/>
      <c r="AU2235" s="16"/>
      <c r="AV2235" s="16"/>
      <c r="AW2235" s="16"/>
      <c r="AX2235" s="16"/>
      <c r="AY2235" s="16"/>
      <c r="AZ2235" s="16"/>
      <c r="BA2235" s="16"/>
      <c r="BB2235" s="16"/>
      <c r="BC2235" s="16"/>
      <c r="BD2235" s="16"/>
      <c r="BE2235" s="16"/>
      <c r="BF2235" s="16"/>
      <c r="BG2235" s="16"/>
      <c r="BH2235" s="16"/>
      <c r="BI2235" s="16"/>
      <c r="BJ2235" s="16"/>
      <c r="BK2235" s="16"/>
      <c r="BL2235" s="16"/>
      <c r="BM2235" s="16"/>
      <c r="BN2235" s="16"/>
      <c r="BO2235" s="16"/>
      <c r="BP2235" s="16"/>
      <c r="BQ2235" s="16"/>
    </row>
    <row r="2236">
      <c r="A2236" s="37" t="s">
        <v>6101</v>
      </c>
      <c r="B2236" s="99"/>
      <c r="C2236" s="100">
        <v>43497.0</v>
      </c>
      <c r="D2236" s="101"/>
      <c r="E2236" s="37" t="s">
        <v>31</v>
      </c>
      <c r="F2236" s="37">
        <v>1.0</v>
      </c>
      <c r="G2236" s="37">
        <v>40.0</v>
      </c>
      <c r="H2236" s="200">
        <v>40.0</v>
      </c>
      <c r="I2236" s="37" t="s">
        <v>33</v>
      </c>
      <c r="J2236" s="37" t="s">
        <v>433</v>
      </c>
      <c r="K2236" s="37"/>
      <c r="L2236" s="37" t="s">
        <v>76</v>
      </c>
      <c r="M2236" s="14" t="s">
        <v>6102</v>
      </c>
      <c r="N2236" s="36" t="s">
        <v>6103</v>
      </c>
      <c r="O2236" s="37"/>
      <c r="P2236" s="37"/>
      <c r="Q2236" s="37">
        <v>1.0</v>
      </c>
      <c r="R2236" s="16"/>
      <c r="S2236" s="37" t="str">
        <f>IFERROR(__xludf.DUMMYFUNCTION("if(not(iserror(index(split(C2236, "" ""),2))), index(split(C2236, "" ""),1),"""")"),"February,")</f>
        <v>February,</v>
      </c>
      <c r="T2236" s="38">
        <f>IFERROR(__xludf.DUMMYFUNCTION("if(S2236="""",C2236,if(not(iserror(index(split(C2236, "" ""),3))), index(split(C2236, "" ""),3),index(split(C2236, "" ""),2)))"),2019.0)</f>
        <v>2019</v>
      </c>
      <c r="U2236" s="38" t="b">
        <f t="shared" ref="U2236:U2238" si="348">countif(A$4:A4658, A2236)&gt;1</f>
        <v>0</v>
      </c>
      <c r="V2236" s="201" t="s">
        <v>33</v>
      </c>
      <c r="W2236" s="36" t="s">
        <v>6104</v>
      </c>
      <c r="X2236" s="36" t="s">
        <v>6105</v>
      </c>
      <c r="Y2236" s="15"/>
      <c r="Z2236" s="16"/>
      <c r="AA2236" s="16"/>
      <c r="AB2236" s="16"/>
      <c r="AC2236" s="16"/>
      <c r="AD2236" s="16"/>
      <c r="AE2236" s="16"/>
      <c r="AF2236" s="16"/>
      <c r="AG2236" s="16"/>
      <c r="AH2236" s="16"/>
      <c r="AI2236" s="16"/>
      <c r="AJ2236" s="16"/>
      <c r="AK2236" s="16"/>
      <c r="AL2236" s="16"/>
      <c r="AM2236" s="16"/>
      <c r="AN2236" s="16"/>
      <c r="AO2236" s="16"/>
      <c r="AP2236" s="16"/>
      <c r="AQ2236" s="16"/>
      <c r="AR2236" s="16"/>
      <c r="AS2236" s="16"/>
      <c r="AT2236" s="16"/>
      <c r="AU2236" s="16"/>
      <c r="AV2236" s="16"/>
      <c r="AW2236" s="16"/>
      <c r="AX2236" s="16"/>
      <c r="AY2236" s="16"/>
      <c r="AZ2236" s="16"/>
      <c r="BA2236" s="16"/>
      <c r="BB2236" s="16"/>
      <c r="BC2236" s="16"/>
      <c r="BD2236" s="16"/>
      <c r="BE2236" s="16"/>
      <c r="BF2236" s="16"/>
      <c r="BG2236" s="16"/>
      <c r="BH2236" s="16"/>
      <c r="BI2236" s="16"/>
      <c r="BJ2236" s="16"/>
      <c r="BK2236" s="16"/>
      <c r="BL2236" s="16"/>
      <c r="BM2236" s="16"/>
      <c r="BN2236" s="16"/>
      <c r="BO2236" s="16"/>
      <c r="BP2236" s="16"/>
      <c r="BQ2236" s="16"/>
    </row>
    <row r="2237">
      <c r="A2237" s="37" t="s">
        <v>6106</v>
      </c>
      <c r="B2237" s="99"/>
      <c r="C2237" s="100">
        <v>43497.0</v>
      </c>
      <c r="D2237" s="101"/>
      <c r="E2237" s="37" t="s">
        <v>41</v>
      </c>
      <c r="F2237" s="37">
        <v>1.0</v>
      </c>
      <c r="G2237" s="37" t="s">
        <v>32</v>
      </c>
      <c r="H2237" s="200">
        <v>1.0</v>
      </c>
      <c r="I2237" s="37" t="s">
        <v>33</v>
      </c>
      <c r="J2237" s="37" t="s">
        <v>89</v>
      </c>
      <c r="K2237" s="37"/>
      <c r="L2237" s="37" t="s">
        <v>69</v>
      </c>
      <c r="M2237" s="36" t="s">
        <v>6107</v>
      </c>
      <c r="N2237" s="15"/>
      <c r="O2237" s="16"/>
      <c r="P2237" s="37"/>
      <c r="Q2237" s="37"/>
      <c r="R2237" s="16"/>
      <c r="S2237" s="37"/>
      <c r="T2237" s="38"/>
      <c r="U2237" s="38" t="b">
        <f t="shared" si="348"/>
        <v>0</v>
      </c>
      <c r="V2237" s="201" t="s">
        <v>33</v>
      </c>
      <c r="W2237" s="15"/>
      <c r="X2237" s="15"/>
      <c r="Y2237" s="15"/>
      <c r="Z2237" s="16"/>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6"/>
      <c r="AW2237" s="16"/>
      <c r="AX2237" s="16"/>
      <c r="AY2237" s="16"/>
      <c r="AZ2237" s="16"/>
      <c r="BA2237" s="16"/>
      <c r="BB2237" s="16"/>
      <c r="BC2237" s="16"/>
      <c r="BD2237" s="16"/>
      <c r="BE2237" s="16"/>
      <c r="BF2237" s="16"/>
      <c r="BG2237" s="16"/>
      <c r="BH2237" s="16"/>
      <c r="BI2237" s="16"/>
      <c r="BJ2237" s="16"/>
      <c r="BK2237" s="16"/>
      <c r="BL2237" s="16"/>
      <c r="BM2237" s="16"/>
      <c r="BN2237" s="16"/>
      <c r="BO2237" s="16"/>
      <c r="BP2237" s="16"/>
      <c r="BQ2237" s="16"/>
    </row>
    <row r="2238">
      <c r="A2238" s="37" t="s">
        <v>6108</v>
      </c>
      <c r="B2238" s="99">
        <v>43504.0</v>
      </c>
      <c r="C2238" s="100">
        <v>43497.0</v>
      </c>
      <c r="D2238" s="101">
        <v>43497.0</v>
      </c>
      <c r="E2238" s="37" t="s">
        <v>41</v>
      </c>
      <c r="F2238" s="37">
        <v>1.0</v>
      </c>
      <c r="G2238" s="37" t="s">
        <v>32</v>
      </c>
      <c r="H2238" s="200">
        <v>1.0</v>
      </c>
      <c r="I2238" s="37" t="s">
        <v>33</v>
      </c>
      <c r="J2238" s="37" t="s">
        <v>124</v>
      </c>
      <c r="K2238" s="37">
        <v>1.0</v>
      </c>
      <c r="L2238" s="37" t="s">
        <v>119</v>
      </c>
      <c r="M2238" s="36" t="s">
        <v>6032</v>
      </c>
      <c r="N2238" s="15"/>
      <c r="O2238" s="57" t="str">
        <f>hyperlink("https://bad-boys.us/?q=ND-OH/3:19-cr-00054", "ND-OH 3:19-cr-00054")</f>
        <v>ND-OH 3:19-cr-00054</v>
      </c>
      <c r="P2238" s="86" t="s">
        <v>6109</v>
      </c>
      <c r="Q2238" s="37">
        <v>1.0</v>
      </c>
      <c r="R2238" s="16"/>
      <c r="S2238" s="37" t="str">
        <f>IFERROR(__xludf.DUMMYFUNCTION("if(not(iserror(index(split(C2238, "" ""),2))), index(split(C2238, "" ""),1),"""")"),"February,")</f>
        <v>February,</v>
      </c>
      <c r="T2238" s="38">
        <f>IFERROR(__xludf.DUMMYFUNCTION("if(S2238="""",C2238,if(not(iserror(index(split(C2238, "" ""),3))), index(split(C2238, "" ""),3),index(split(C2238, "" ""),2)))"),2019.0)</f>
        <v>2019</v>
      </c>
      <c r="U2238" s="38" t="b">
        <f t="shared" si="348"/>
        <v>0</v>
      </c>
      <c r="V2238" s="201" t="s">
        <v>33</v>
      </c>
      <c r="W2238" s="15"/>
      <c r="X2238" s="15"/>
      <c r="Y2238" s="15"/>
      <c r="Z2238" s="16"/>
      <c r="AA2238" s="16"/>
      <c r="AB2238" s="16"/>
      <c r="AC2238" s="16"/>
      <c r="AD2238" s="16"/>
      <c r="AE2238" s="16"/>
      <c r="AF2238" s="16"/>
      <c r="AG2238" s="16"/>
      <c r="AH2238" s="16"/>
      <c r="AI2238" s="16"/>
      <c r="AJ2238" s="16"/>
      <c r="AK2238" s="16"/>
      <c r="AL2238" s="16"/>
      <c r="AM2238" s="16"/>
      <c r="AN2238" s="16"/>
      <c r="AO2238" s="16"/>
      <c r="AP2238" s="16"/>
      <c r="AQ2238" s="16"/>
      <c r="AR2238" s="16"/>
      <c r="AS2238" s="16"/>
      <c r="AT2238" s="16"/>
      <c r="AU2238" s="16"/>
      <c r="AV2238" s="16"/>
      <c r="AW2238" s="16"/>
      <c r="AX2238" s="16"/>
      <c r="AY2238" s="16"/>
      <c r="AZ2238" s="16"/>
      <c r="BA2238" s="16"/>
      <c r="BB2238" s="16"/>
      <c r="BC2238" s="16"/>
      <c r="BD2238" s="16"/>
      <c r="BE2238" s="16"/>
      <c r="BF2238" s="16"/>
      <c r="BG2238" s="16"/>
      <c r="BH2238" s="16"/>
      <c r="BI2238" s="16"/>
      <c r="BJ2238" s="16"/>
      <c r="BK2238" s="16"/>
      <c r="BL2238" s="16"/>
      <c r="BM2238" s="16"/>
      <c r="BN2238" s="16"/>
      <c r="BO2238" s="16"/>
      <c r="BP2238" s="16"/>
      <c r="BQ2238" s="16"/>
    </row>
    <row r="2239">
      <c r="A2239" s="47" t="s">
        <v>6110</v>
      </c>
      <c r="B2239" s="48"/>
      <c r="C2239" s="89">
        <v>43497.0</v>
      </c>
      <c r="D2239" s="49"/>
      <c r="E2239" s="47" t="s">
        <v>31</v>
      </c>
      <c r="F2239" s="47">
        <v>1.0</v>
      </c>
      <c r="G2239" s="47">
        <v>5.0</v>
      </c>
      <c r="H2239" s="63">
        <v>5.0</v>
      </c>
      <c r="I2239" s="47" t="s">
        <v>33</v>
      </c>
      <c r="J2239" s="47" t="s">
        <v>75</v>
      </c>
      <c r="K2239" s="47"/>
      <c r="L2239" s="47" t="s">
        <v>2316</v>
      </c>
      <c r="M2239" s="51" t="s">
        <v>6111</v>
      </c>
      <c r="N2239" s="51" t="s">
        <v>6112</v>
      </c>
      <c r="O2239" s="55"/>
      <c r="P2239" s="47"/>
      <c r="Q2239" s="47"/>
      <c r="R2239" s="55"/>
      <c r="S2239" s="37"/>
      <c r="T2239" s="38"/>
      <c r="U2239" s="38"/>
      <c r="V2239" s="38" t="s">
        <v>33</v>
      </c>
      <c r="W2239" s="39" t="s">
        <v>6113</v>
      </c>
      <c r="X2239" s="39" t="s">
        <v>6114</v>
      </c>
      <c r="Y2239" s="40"/>
      <c r="Z2239" s="38"/>
      <c r="AA2239" s="38"/>
      <c r="AB2239" s="38"/>
      <c r="AC2239" s="38"/>
      <c r="AD2239" s="38"/>
      <c r="AE2239" s="38"/>
      <c r="AF2239" s="38"/>
      <c r="AG2239" s="38"/>
      <c r="AH2239" s="38"/>
      <c r="AI2239" s="38"/>
      <c r="AJ2239" s="38"/>
      <c r="AK2239" s="38"/>
      <c r="AL2239" s="38"/>
      <c r="AM2239" s="38"/>
      <c r="AN2239" s="38"/>
      <c r="AO2239" s="38"/>
      <c r="AP2239" s="38"/>
      <c r="AQ2239" s="38"/>
      <c r="AR2239" s="38"/>
      <c r="AS2239" s="38"/>
      <c r="AT2239" s="38"/>
      <c r="AU2239" s="38"/>
      <c r="AV2239" s="38"/>
      <c r="AW2239" s="38"/>
      <c r="AX2239" s="38"/>
      <c r="AY2239" s="38"/>
      <c r="AZ2239" s="38"/>
      <c r="BA2239" s="38"/>
      <c r="BB2239" s="38"/>
      <c r="BC2239" s="38"/>
      <c r="BD2239" s="38"/>
      <c r="BE2239" s="38"/>
      <c r="BF2239" s="38"/>
      <c r="BG2239" s="38"/>
      <c r="BH2239" s="38"/>
      <c r="BI2239" s="38"/>
      <c r="BJ2239" s="38"/>
      <c r="BK2239" s="38"/>
      <c r="BL2239" s="38"/>
      <c r="BM2239" s="38"/>
      <c r="BN2239" s="38"/>
      <c r="BO2239" s="38"/>
      <c r="BP2239" s="38"/>
      <c r="BQ2239" s="38"/>
    </row>
    <row r="2240">
      <c r="A2240" s="47" t="s">
        <v>6115</v>
      </c>
      <c r="B2240" s="48"/>
      <c r="C2240" s="89">
        <v>43497.0</v>
      </c>
      <c r="D2240" s="49"/>
      <c r="E2240" s="47" t="s">
        <v>41</v>
      </c>
      <c r="F2240" s="47">
        <v>1.0</v>
      </c>
      <c r="G2240" s="47" t="s">
        <v>32</v>
      </c>
      <c r="H2240" s="63">
        <v>1.0</v>
      </c>
      <c r="I2240" s="47" t="s">
        <v>33</v>
      </c>
      <c r="J2240" s="47" t="s">
        <v>460</v>
      </c>
      <c r="K2240" s="47"/>
      <c r="L2240" s="47" t="s">
        <v>119</v>
      </c>
      <c r="M2240" s="51" t="s">
        <v>6116</v>
      </c>
      <c r="N2240" s="52"/>
      <c r="O2240" s="55"/>
      <c r="P2240" s="47"/>
      <c r="Q2240" s="47"/>
      <c r="R2240" s="55"/>
      <c r="S2240" s="37"/>
      <c r="T2240" s="38"/>
      <c r="U2240" s="38" t="b">
        <f t="shared" ref="U2240:U2277" si="349">countif(A$4:A4658, A2240)&gt;1</f>
        <v>0</v>
      </c>
      <c r="V2240" s="38" t="s">
        <v>33</v>
      </c>
      <c r="W2240" s="40"/>
      <c r="X2240" s="40"/>
      <c r="Y2240" s="40"/>
      <c r="Z2240" s="38"/>
      <c r="AA2240" s="38"/>
      <c r="AB2240" s="38"/>
      <c r="AC2240" s="38"/>
      <c r="AD2240" s="38"/>
      <c r="AE2240" s="38"/>
      <c r="AF2240" s="38"/>
      <c r="AG2240" s="38"/>
      <c r="AH2240" s="38"/>
      <c r="AI2240" s="38"/>
      <c r="AJ2240" s="38"/>
      <c r="AK2240" s="38"/>
      <c r="AL2240" s="38"/>
      <c r="AM2240" s="38"/>
      <c r="AN2240" s="38"/>
      <c r="AO2240" s="38"/>
      <c r="AP2240" s="38"/>
      <c r="AQ2240" s="38"/>
      <c r="AR2240" s="38"/>
      <c r="AS2240" s="38"/>
      <c r="AT2240" s="38"/>
      <c r="AU2240" s="38"/>
      <c r="AV2240" s="38"/>
      <c r="AW2240" s="38"/>
      <c r="AX2240" s="38"/>
      <c r="AY2240" s="38"/>
      <c r="AZ2240" s="38"/>
      <c r="BA2240" s="38"/>
      <c r="BB2240" s="38"/>
      <c r="BC2240" s="38"/>
      <c r="BD2240" s="38"/>
      <c r="BE2240" s="38"/>
      <c r="BF2240" s="38"/>
      <c r="BG2240" s="38"/>
      <c r="BH2240" s="38"/>
      <c r="BI2240" s="38"/>
      <c r="BJ2240" s="38"/>
      <c r="BK2240" s="38"/>
      <c r="BL2240" s="38"/>
      <c r="BM2240" s="38"/>
      <c r="BN2240" s="38"/>
      <c r="BO2240" s="38"/>
      <c r="BP2240" s="38"/>
      <c r="BQ2240" s="38"/>
    </row>
    <row r="2241">
      <c r="A2241" s="47" t="s">
        <v>239</v>
      </c>
      <c r="B2241" s="48"/>
      <c r="C2241" s="89">
        <v>43497.0</v>
      </c>
      <c r="D2241" s="49"/>
      <c r="E2241" s="47" t="s">
        <v>41</v>
      </c>
      <c r="F2241" s="47">
        <v>1.0</v>
      </c>
      <c r="G2241" s="47" t="s">
        <v>32</v>
      </c>
      <c r="H2241" s="63">
        <v>1.0</v>
      </c>
      <c r="I2241" s="47" t="s">
        <v>33</v>
      </c>
      <c r="J2241" s="47" t="s">
        <v>241</v>
      </c>
      <c r="K2241" s="47"/>
      <c r="L2241" s="47" t="s">
        <v>6117</v>
      </c>
      <c r="M2241" s="51" t="s">
        <v>6118</v>
      </c>
      <c r="N2241" s="52"/>
      <c r="O2241" s="55"/>
      <c r="P2241" s="47"/>
      <c r="Q2241" s="47"/>
      <c r="R2241" s="55"/>
      <c r="S2241" s="37" t="str">
        <f>IFERROR(__xludf.DUMMYFUNCTION("if(not(iserror(index(split(C2241, "" ""),2))), index(split(C2241, "" ""),1),"""")"),"February,")</f>
        <v>February,</v>
      </c>
      <c r="T2241" s="38">
        <f>IFERROR(__xludf.DUMMYFUNCTION("if(S2241="""",C2241,if(not(iserror(index(split(C2241, "" ""),3))), index(split(C2241, "" ""),3),index(split(C2241, "" ""),2)))"),2019.0)</f>
        <v>2019</v>
      </c>
      <c r="U2241" s="38" t="b">
        <f t="shared" si="349"/>
        <v>1</v>
      </c>
      <c r="V2241" s="38" t="s">
        <v>3919</v>
      </c>
      <c r="W2241" s="40"/>
      <c r="X2241" s="40"/>
      <c r="Y2241" s="40"/>
      <c r="Z2241" s="38"/>
      <c r="AA2241" s="38"/>
      <c r="AB2241" s="38"/>
      <c r="AC2241" s="38"/>
      <c r="AD2241" s="38"/>
      <c r="AE2241" s="38"/>
      <c r="AF2241" s="38"/>
      <c r="AG2241" s="38"/>
      <c r="AH2241" s="38"/>
      <c r="AI2241" s="38"/>
      <c r="AJ2241" s="38"/>
      <c r="AK2241" s="38"/>
      <c r="AL2241" s="38"/>
      <c r="AM2241" s="38"/>
      <c r="AN2241" s="38"/>
      <c r="AO2241" s="38"/>
      <c r="AP2241" s="38"/>
      <c r="AQ2241" s="38"/>
      <c r="AR2241" s="38"/>
      <c r="AS2241" s="38"/>
      <c r="AT2241" s="38"/>
      <c r="AU2241" s="38"/>
      <c r="AV2241" s="38"/>
      <c r="AW2241" s="38"/>
      <c r="AX2241" s="38"/>
      <c r="AY2241" s="38"/>
      <c r="AZ2241" s="38"/>
      <c r="BA2241" s="38"/>
      <c r="BB2241" s="38"/>
      <c r="BC2241" s="38"/>
      <c r="BD2241" s="38"/>
      <c r="BE2241" s="38"/>
      <c r="BF2241" s="38"/>
      <c r="BG2241" s="38"/>
      <c r="BH2241" s="38"/>
      <c r="BI2241" s="38"/>
      <c r="BJ2241" s="38"/>
      <c r="BK2241" s="38"/>
      <c r="BL2241" s="38"/>
      <c r="BM2241" s="38"/>
      <c r="BN2241" s="38"/>
      <c r="BO2241" s="38"/>
      <c r="BP2241" s="38"/>
      <c r="BQ2241" s="38"/>
    </row>
    <row r="2242">
      <c r="A2242" s="47" t="s">
        <v>239</v>
      </c>
      <c r="B2242" s="48"/>
      <c r="C2242" s="89">
        <v>43497.0</v>
      </c>
      <c r="D2242" s="49"/>
      <c r="E2242" s="47" t="s">
        <v>41</v>
      </c>
      <c r="F2242" s="47">
        <v>1.0</v>
      </c>
      <c r="G2242" s="47" t="s">
        <v>32</v>
      </c>
      <c r="H2242" s="63">
        <v>1.0</v>
      </c>
      <c r="I2242" s="47" t="s">
        <v>33</v>
      </c>
      <c r="J2242" s="47" t="s">
        <v>241</v>
      </c>
      <c r="K2242" s="47"/>
      <c r="L2242" s="47" t="s">
        <v>6117</v>
      </c>
      <c r="M2242" s="51" t="s">
        <v>6118</v>
      </c>
      <c r="N2242" s="52"/>
      <c r="O2242" s="55"/>
      <c r="P2242" s="47"/>
      <c r="Q2242" s="47"/>
      <c r="R2242" s="55"/>
      <c r="S2242" s="37" t="str">
        <f>IFERROR(__xludf.DUMMYFUNCTION("if(not(iserror(index(split(C2242, "" ""),2))), index(split(C2242, "" ""),1),"""")"),"February,")</f>
        <v>February,</v>
      </c>
      <c r="T2242" s="38">
        <f>IFERROR(__xludf.DUMMYFUNCTION("if(S2242="""",C2242,if(not(iserror(index(split(C2242, "" ""),3))), index(split(C2242, "" ""),3),index(split(C2242, "" ""),2)))"),2019.0)</f>
        <v>2019</v>
      </c>
      <c r="U2242" s="38" t="b">
        <f t="shared" si="349"/>
        <v>1</v>
      </c>
      <c r="V2242" s="38" t="s">
        <v>6119</v>
      </c>
      <c r="W2242" s="40"/>
      <c r="X2242" s="40"/>
      <c r="Y2242" s="40"/>
      <c r="Z2242" s="38"/>
      <c r="AA2242" s="38"/>
      <c r="AB2242" s="38"/>
      <c r="AC2242" s="38"/>
      <c r="AD2242" s="38"/>
      <c r="AE2242" s="38"/>
      <c r="AF2242" s="38"/>
      <c r="AG2242" s="38"/>
      <c r="AH2242" s="38"/>
      <c r="AI2242" s="38"/>
      <c r="AJ2242" s="38"/>
      <c r="AK2242" s="38"/>
      <c r="AL2242" s="38"/>
      <c r="AM2242" s="38"/>
      <c r="AN2242" s="38"/>
      <c r="AO2242" s="38"/>
      <c r="AP2242" s="38"/>
      <c r="AQ2242" s="38"/>
      <c r="AR2242" s="38"/>
      <c r="AS2242" s="38"/>
      <c r="AT2242" s="38"/>
      <c r="AU2242" s="38"/>
      <c r="AV2242" s="38"/>
      <c r="AW2242" s="38"/>
      <c r="AX2242" s="38"/>
      <c r="AY2242" s="38"/>
      <c r="AZ2242" s="38"/>
      <c r="BA2242" s="38"/>
      <c r="BB2242" s="38"/>
      <c r="BC2242" s="38"/>
      <c r="BD2242" s="38"/>
      <c r="BE2242" s="38"/>
      <c r="BF2242" s="38"/>
      <c r="BG2242" s="38"/>
      <c r="BH2242" s="38"/>
      <c r="BI2242" s="38"/>
      <c r="BJ2242" s="38"/>
      <c r="BK2242" s="38"/>
      <c r="BL2242" s="38"/>
      <c r="BM2242" s="38"/>
      <c r="BN2242" s="38"/>
      <c r="BO2242" s="38"/>
      <c r="BP2242" s="38"/>
      <c r="BQ2242" s="38"/>
    </row>
    <row r="2243">
      <c r="A2243" s="47" t="s">
        <v>6120</v>
      </c>
      <c r="B2243" s="48"/>
      <c r="C2243" s="89">
        <v>43497.0</v>
      </c>
      <c r="D2243" s="49"/>
      <c r="E2243" s="47" t="s">
        <v>41</v>
      </c>
      <c r="F2243" s="47">
        <v>1.0</v>
      </c>
      <c r="G2243" s="47" t="s">
        <v>32</v>
      </c>
      <c r="H2243" s="63">
        <v>1.0</v>
      </c>
      <c r="I2243" s="47" t="s">
        <v>33</v>
      </c>
      <c r="J2243" s="47" t="s">
        <v>318</v>
      </c>
      <c r="K2243" s="47"/>
      <c r="L2243" s="47" t="s">
        <v>6121</v>
      </c>
      <c r="M2243" s="51" t="s">
        <v>6122</v>
      </c>
      <c r="N2243" s="52"/>
      <c r="O2243" s="55"/>
      <c r="P2243" s="47"/>
      <c r="Q2243" s="47"/>
      <c r="R2243" s="55"/>
      <c r="S2243" s="37" t="str">
        <f>IFERROR(__xludf.DUMMYFUNCTION("if(not(iserror(index(split(C2243, "" ""),2))), index(split(C2243, "" ""),1),"""")"),"February,")</f>
        <v>February,</v>
      </c>
      <c r="T2243" s="38">
        <f>IFERROR(__xludf.DUMMYFUNCTION("if(S2243="""",C2243,if(not(iserror(index(split(C2243, "" ""),3))), index(split(C2243, "" ""),3),index(split(C2243, "" ""),2)))"),2019.0)</f>
        <v>2019</v>
      </c>
      <c r="U2243" s="38" t="b">
        <f t="shared" si="349"/>
        <v>0</v>
      </c>
      <c r="V2243" s="38" t="s">
        <v>33</v>
      </c>
      <c r="W2243" s="39" t="s">
        <v>6123</v>
      </c>
      <c r="X2243" s="40"/>
      <c r="Y2243" s="40"/>
      <c r="Z2243" s="38"/>
      <c r="AA2243" s="38"/>
      <c r="AB2243" s="38"/>
      <c r="AC2243" s="38"/>
      <c r="AD2243" s="38"/>
      <c r="AE2243" s="38"/>
      <c r="AF2243" s="38"/>
      <c r="AG2243" s="38"/>
      <c r="AH2243" s="38"/>
      <c r="AI2243" s="38"/>
      <c r="AJ2243" s="38"/>
      <c r="AK2243" s="38"/>
      <c r="AL2243" s="38"/>
      <c r="AM2243" s="38"/>
      <c r="AN2243" s="38"/>
      <c r="AO2243" s="38"/>
      <c r="AP2243" s="38"/>
      <c r="AQ2243" s="38"/>
      <c r="AR2243" s="38"/>
      <c r="AS2243" s="38"/>
      <c r="AT2243" s="38"/>
      <c r="AU2243" s="38"/>
      <c r="AV2243" s="38"/>
      <c r="AW2243" s="38"/>
      <c r="AX2243" s="38"/>
      <c r="AY2243" s="38"/>
      <c r="AZ2243" s="38"/>
      <c r="BA2243" s="38"/>
      <c r="BB2243" s="38"/>
      <c r="BC2243" s="38"/>
      <c r="BD2243" s="38"/>
      <c r="BE2243" s="38"/>
      <c r="BF2243" s="38"/>
      <c r="BG2243" s="38"/>
      <c r="BH2243" s="38"/>
      <c r="BI2243" s="38"/>
      <c r="BJ2243" s="38"/>
      <c r="BK2243" s="38"/>
      <c r="BL2243" s="38"/>
      <c r="BM2243" s="38"/>
      <c r="BN2243" s="38"/>
      <c r="BO2243" s="38"/>
      <c r="BP2243" s="38"/>
      <c r="BQ2243" s="38"/>
    </row>
    <row r="2244">
      <c r="A2244" s="47" t="s">
        <v>6124</v>
      </c>
      <c r="B2244" s="48"/>
      <c r="C2244" s="89">
        <v>43497.0</v>
      </c>
      <c r="D2244" s="49"/>
      <c r="E2244" s="47" t="s">
        <v>41</v>
      </c>
      <c r="F2244" s="47">
        <v>1.0</v>
      </c>
      <c r="G2244" s="47" t="s">
        <v>32</v>
      </c>
      <c r="H2244" s="63">
        <v>1.0</v>
      </c>
      <c r="I2244" s="47" t="s">
        <v>33</v>
      </c>
      <c r="J2244" s="47" t="s">
        <v>318</v>
      </c>
      <c r="K2244" s="47"/>
      <c r="L2244" s="47" t="s">
        <v>6121</v>
      </c>
      <c r="M2244" s="52" t="s">
        <v>6122</v>
      </c>
      <c r="N2244" s="52"/>
      <c r="O2244" s="55"/>
      <c r="P2244" s="47"/>
      <c r="Q2244" s="47"/>
      <c r="R2244" s="55"/>
      <c r="S2244" s="37" t="str">
        <f>IFERROR(__xludf.DUMMYFUNCTION("if(not(iserror(index(split(C2244, "" ""),2))), index(split(C2244, "" ""),1),"""")"),"February,")</f>
        <v>February,</v>
      </c>
      <c r="T2244" s="38">
        <f>IFERROR(__xludf.DUMMYFUNCTION("if(S2244="""",C2244,if(not(iserror(index(split(C2244, "" ""),3))), index(split(C2244, "" ""),3),index(split(C2244, "" ""),2)))"),2019.0)</f>
        <v>2019</v>
      </c>
      <c r="U2244" s="38" t="b">
        <f t="shared" si="349"/>
        <v>0</v>
      </c>
      <c r="V2244" s="38" t="s">
        <v>33</v>
      </c>
      <c r="W2244" s="40" t="s">
        <v>6123</v>
      </c>
      <c r="X2244" s="40"/>
      <c r="Y2244" s="40"/>
      <c r="Z2244" s="38"/>
      <c r="AA2244" s="38"/>
      <c r="AB2244" s="38"/>
      <c r="AC2244" s="38"/>
      <c r="AD2244" s="38"/>
      <c r="AE2244" s="38"/>
      <c r="AF2244" s="38"/>
      <c r="AG2244" s="38"/>
      <c r="AH2244" s="38"/>
      <c r="AI2244" s="38"/>
      <c r="AJ2244" s="38"/>
      <c r="AK2244" s="38"/>
      <c r="AL2244" s="38"/>
      <c r="AM2244" s="38"/>
      <c r="AN2244" s="38"/>
      <c r="AO2244" s="38"/>
      <c r="AP2244" s="38"/>
      <c r="AQ2244" s="38"/>
      <c r="AR2244" s="38"/>
      <c r="AS2244" s="38"/>
      <c r="AT2244" s="38"/>
      <c r="AU2244" s="38"/>
      <c r="AV2244" s="38"/>
      <c r="AW2244" s="38"/>
      <c r="AX2244" s="38"/>
      <c r="AY2244" s="38"/>
      <c r="AZ2244" s="38"/>
      <c r="BA2244" s="38"/>
      <c r="BB2244" s="38"/>
      <c r="BC2244" s="38"/>
      <c r="BD2244" s="38"/>
      <c r="BE2244" s="38"/>
      <c r="BF2244" s="38"/>
      <c r="BG2244" s="38"/>
      <c r="BH2244" s="38"/>
      <c r="BI2244" s="38"/>
      <c r="BJ2244" s="38"/>
      <c r="BK2244" s="38"/>
      <c r="BL2244" s="38"/>
      <c r="BM2244" s="38"/>
      <c r="BN2244" s="38"/>
      <c r="BO2244" s="38"/>
      <c r="BP2244" s="38"/>
      <c r="BQ2244" s="38"/>
    </row>
    <row r="2245">
      <c r="A2245" s="47" t="s">
        <v>6125</v>
      </c>
      <c r="B2245" s="48"/>
      <c r="C2245" s="89">
        <v>43497.0</v>
      </c>
      <c r="D2245" s="49"/>
      <c r="E2245" s="47" t="s">
        <v>41</v>
      </c>
      <c r="F2245" s="47">
        <v>1.0</v>
      </c>
      <c r="G2245" s="47" t="s">
        <v>32</v>
      </c>
      <c r="H2245" s="63">
        <v>1.0</v>
      </c>
      <c r="I2245" s="47" t="s">
        <v>33</v>
      </c>
      <c r="J2245" s="47" t="s">
        <v>318</v>
      </c>
      <c r="K2245" s="47"/>
      <c r="L2245" s="47" t="s">
        <v>6121</v>
      </c>
      <c r="M2245" s="52" t="s">
        <v>6122</v>
      </c>
      <c r="N2245" s="52"/>
      <c r="O2245" s="55"/>
      <c r="P2245" s="47"/>
      <c r="Q2245" s="47"/>
      <c r="R2245" s="55"/>
      <c r="S2245" s="37" t="str">
        <f>IFERROR(__xludf.DUMMYFUNCTION("if(not(iserror(index(split(C2245, "" ""),2))), index(split(C2245, "" ""),1),"""")"),"February,")</f>
        <v>February,</v>
      </c>
      <c r="T2245" s="38">
        <f>IFERROR(__xludf.DUMMYFUNCTION("if(S2245="""",C2245,if(not(iserror(index(split(C2245, "" ""),3))), index(split(C2245, "" ""),3),index(split(C2245, "" ""),2)))"),2019.0)</f>
        <v>2019</v>
      </c>
      <c r="U2245" s="38" t="b">
        <f t="shared" si="349"/>
        <v>0</v>
      </c>
      <c r="V2245" s="38" t="s">
        <v>33</v>
      </c>
      <c r="W2245" s="40" t="s">
        <v>6123</v>
      </c>
      <c r="X2245" s="40"/>
      <c r="Y2245" s="40"/>
      <c r="Z2245" s="38"/>
      <c r="AA2245" s="38"/>
      <c r="AB2245" s="38"/>
      <c r="AC2245" s="38"/>
      <c r="AD2245" s="38"/>
      <c r="AE2245" s="38"/>
      <c r="AF2245" s="38"/>
      <c r="AG2245" s="38"/>
      <c r="AH2245" s="38"/>
      <c r="AI2245" s="38"/>
      <c r="AJ2245" s="38"/>
      <c r="AK2245" s="38"/>
      <c r="AL2245" s="38"/>
      <c r="AM2245" s="38"/>
      <c r="AN2245" s="38"/>
      <c r="AO2245" s="38"/>
      <c r="AP2245" s="38"/>
      <c r="AQ2245" s="38"/>
      <c r="AR2245" s="38"/>
      <c r="AS2245" s="38"/>
      <c r="AT2245" s="38"/>
      <c r="AU2245" s="38"/>
      <c r="AV2245" s="38"/>
      <c r="AW2245" s="38"/>
      <c r="AX2245" s="38"/>
      <c r="AY2245" s="38"/>
      <c r="AZ2245" s="38"/>
      <c r="BA2245" s="38"/>
      <c r="BB2245" s="38"/>
      <c r="BC2245" s="38"/>
      <c r="BD2245" s="38"/>
      <c r="BE2245" s="38"/>
      <c r="BF2245" s="38"/>
      <c r="BG2245" s="38"/>
      <c r="BH2245" s="38"/>
      <c r="BI2245" s="38"/>
      <c r="BJ2245" s="38"/>
      <c r="BK2245" s="38"/>
      <c r="BL2245" s="38"/>
      <c r="BM2245" s="38"/>
      <c r="BN2245" s="38"/>
      <c r="BO2245" s="38"/>
      <c r="BP2245" s="38"/>
      <c r="BQ2245" s="38"/>
    </row>
    <row r="2246">
      <c r="A2246" s="47" t="s">
        <v>6126</v>
      </c>
      <c r="B2246" s="48"/>
      <c r="C2246" s="89">
        <v>43497.0</v>
      </c>
      <c r="D2246" s="49"/>
      <c r="E2246" s="47" t="s">
        <v>41</v>
      </c>
      <c r="F2246" s="47">
        <v>1.0</v>
      </c>
      <c r="G2246" s="47" t="s">
        <v>32</v>
      </c>
      <c r="H2246" s="63">
        <v>1.0</v>
      </c>
      <c r="I2246" s="47" t="s">
        <v>33</v>
      </c>
      <c r="J2246" s="47" t="s">
        <v>318</v>
      </c>
      <c r="K2246" s="47"/>
      <c r="L2246" s="47" t="s">
        <v>6121</v>
      </c>
      <c r="M2246" s="52" t="s">
        <v>6122</v>
      </c>
      <c r="N2246" s="52"/>
      <c r="O2246" s="55"/>
      <c r="P2246" s="47"/>
      <c r="Q2246" s="47"/>
      <c r="R2246" s="55"/>
      <c r="S2246" s="37" t="str">
        <f>IFERROR(__xludf.DUMMYFUNCTION("if(not(iserror(index(split(C2246, "" ""),2))), index(split(C2246, "" ""),1),"""")"),"February,")</f>
        <v>February,</v>
      </c>
      <c r="T2246" s="38">
        <f>IFERROR(__xludf.DUMMYFUNCTION("if(S2246="""",C2246,if(not(iserror(index(split(C2246, "" ""),3))), index(split(C2246, "" ""),3),index(split(C2246, "" ""),2)))"),2019.0)</f>
        <v>2019</v>
      </c>
      <c r="U2246" s="38" t="b">
        <f t="shared" si="349"/>
        <v>0</v>
      </c>
      <c r="V2246" s="38" t="s">
        <v>33</v>
      </c>
      <c r="W2246" s="40" t="s">
        <v>6123</v>
      </c>
      <c r="X2246" s="40"/>
      <c r="Y2246" s="40"/>
      <c r="Z2246" s="38"/>
      <c r="AA2246" s="38"/>
      <c r="AB2246" s="38"/>
      <c r="AC2246" s="38"/>
      <c r="AD2246" s="38"/>
      <c r="AE2246" s="38"/>
      <c r="AF2246" s="38"/>
      <c r="AG2246" s="38"/>
      <c r="AH2246" s="38"/>
      <c r="AI2246" s="38"/>
      <c r="AJ2246" s="38"/>
      <c r="AK2246" s="38"/>
      <c r="AL2246" s="38"/>
      <c r="AM2246" s="38"/>
      <c r="AN2246" s="38"/>
      <c r="AO2246" s="38"/>
      <c r="AP2246" s="38"/>
      <c r="AQ2246" s="38"/>
      <c r="AR2246" s="38"/>
      <c r="AS2246" s="38"/>
      <c r="AT2246" s="38"/>
      <c r="AU2246" s="38"/>
      <c r="AV2246" s="38"/>
      <c r="AW2246" s="38"/>
      <c r="AX2246" s="38"/>
      <c r="AY2246" s="38"/>
      <c r="AZ2246" s="38"/>
      <c r="BA2246" s="38"/>
      <c r="BB2246" s="38"/>
      <c r="BC2246" s="38"/>
      <c r="BD2246" s="38"/>
      <c r="BE2246" s="38"/>
      <c r="BF2246" s="38"/>
      <c r="BG2246" s="38"/>
      <c r="BH2246" s="38"/>
      <c r="BI2246" s="38"/>
      <c r="BJ2246" s="38"/>
      <c r="BK2246" s="38"/>
      <c r="BL2246" s="38"/>
      <c r="BM2246" s="38"/>
      <c r="BN2246" s="38"/>
      <c r="BO2246" s="38"/>
      <c r="BP2246" s="38"/>
      <c r="BQ2246" s="38"/>
    </row>
    <row r="2247">
      <c r="A2247" s="47" t="s">
        <v>6127</v>
      </c>
      <c r="B2247" s="48"/>
      <c r="C2247" s="89">
        <v>43497.0</v>
      </c>
      <c r="D2247" s="49"/>
      <c r="E2247" s="47" t="s">
        <v>41</v>
      </c>
      <c r="F2247" s="47">
        <v>1.0</v>
      </c>
      <c r="G2247" s="47" t="s">
        <v>32</v>
      </c>
      <c r="H2247" s="63">
        <v>1.0</v>
      </c>
      <c r="I2247" s="47" t="s">
        <v>33</v>
      </c>
      <c r="J2247" s="47" t="s">
        <v>318</v>
      </c>
      <c r="K2247" s="47"/>
      <c r="L2247" s="47" t="s">
        <v>6121</v>
      </c>
      <c r="M2247" s="52" t="s">
        <v>6122</v>
      </c>
      <c r="N2247" s="52"/>
      <c r="O2247" s="55"/>
      <c r="P2247" s="47"/>
      <c r="Q2247" s="47"/>
      <c r="R2247" s="55"/>
      <c r="S2247" s="37" t="str">
        <f>IFERROR(__xludf.DUMMYFUNCTION("if(not(iserror(index(split(C2247, "" ""),2))), index(split(C2247, "" ""),1),"""")"),"February,")</f>
        <v>February,</v>
      </c>
      <c r="T2247" s="38">
        <f>IFERROR(__xludf.DUMMYFUNCTION("if(S2247="""",C2247,if(not(iserror(index(split(C2247, "" ""),3))), index(split(C2247, "" ""),3),index(split(C2247, "" ""),2)))"),2019.0)</f>
        <v>2019</v>
      </c>
      <c r="U2247" s="38" t="b">
        <f t="shared" si="349"/>
        <v>0</v>
      </c>
      <c r="V2247" s="38" t="s">
        <v>33</v>
      </c>
      <c r="W2247" s="40" t="s">
        <v>6123</v>
      </c>
      <c r="X2247" s="40"/>
      <c r="Y2247" s="40"/>
      <c r="Z2247" s="38"/>
      <c r="AA2247" s="38"/>
      <c r="AB2247" s="38"/>
      <c r="AC2247" s="38"/>
      <c r="AD2247" s="38"/>
      <c r="AE2247" s="38"/>
      <c r="AF2247" s="38"/>
      <c r="AG2247" s="38"/>
      <c r="AH2247" s="38"/>
      <c r="AI2247" s="38"/>
      <c r="AJ2247" s="38"/>
      <c r="AK2247" s="38"/>
      <c r="AL2247" s="38"/>
      <c r="AM2247" s="38"/>
      <c r="AN2247" s="38"/>
      <c r="AO2247" s="38"/>
      <c r="AP2247" s="38"/>
      <c r="AQ2247" s="38"/>
      <c r="AR2247" s="38"/>
      <c r="AS2247" s="38"/>
      <c r="AT2247" s="38"/>
      <c r="AU2247" s="38"/>
      <c r="AV2247" s="38"/>
      <c r="AW2247" s="38"/>
      <c r="AX2247" s="38"/>
      <c r="AY2247" s="38"/>
      <c r="AZ2247" s="38"/>
      <c r="BA2247" s="38"/>
      <c r="BB2247" s="38"/>
      <c r="BC2247" s="38"/>
      <c r="BD2247" s="38"/>
      <c r="BE2247" s="38"/>
      <c r="BF2247" s="38"/>
      <c r="BG2247" s="38"/>
      <c r="BH2247" s="38"/>
      <c r="BI2247" s="38"/>
      <c r="BJ2247" s="38"/>
      <c r="BK2247" s="38"/>
      <c r="BL2247" s="38"/>
      <c r="BM2247" s="38"/>
      <c r="BN2247" s="38"/>
      <c r="BO2247" s="38"/>
      <c r="BP2247" s="38"/>
      <c r="BQ2247" s="38"/>
    </row>
    <row r="2248">
      <c r="A2248" s="47" t="s">
        <v>6128</v>
      </c>
      <c r="B2248" s="48"/>
      <c r="C2248" s="89">
        <v>43497.0</v>
      </c>
      <c r="D2248" s="49"/>
      <c r="E2248" s="47" t="s">
        <v>41</v>
      </c>
      <c r="F2248" s="47">
        <v>1.0</v>
      </c>
      <c r="G2248" s="47" t="s">
        <v>32</v>
      </c>
      <c r="H2248" s="63">
        <v>1.0</v>
      </c>
      <c r="I2248" s="47" t="s">
        <v>33</v>
      </c>
      <c r="J2248" s="47" t="s">
        <v>318</v>
      </c>
      <c r="K2248" s="47"/>
      <c r="L2248" s="47" t="s">
        <v>6121</v>
      </c>
      <c r="M2248" s="52" t="s">
        <v>6122</v>
      </c>
      <c r="N2248" s="52"/>
      <c r="O2248" s="55"/>
      <c r="P2248" s="47"/>
      <c r="Q2248" s="47"/>
      <c r="R2248" s="55"/>
      <c r="S2248" s="37" t="str">
        <f>IFERROR(__xludf.DUMMYFUNCTION("if(not(iserror(index(split(C2248, "" ""),2))), index(split(C2248, "" ""),1),"""")"),"February,")</f>
        <v>February,</v>
      </c>
      <c r="T2248" s="38">
        <f>IFERROR(__xludf.DUMMYFUNCTION("if(S2248="""",C2248,if(not(iserror(index(split(C2248, "" ""),3))), index(split(C2248, "" ""),3),index(split(C2248, "" ""),2)))"),2019.0)</f>
        <v>2019</v>
      </c>
      <c r="U2248" s="38" t="b">
        <f t="shared" si="349"/>
        <v>0</v>
      </c>
      <c r="V2248" s="38" t="s">
        <v>33</v>
      </c>
      <c r="W2248" s="40" t="s">
        <v>6123</v>
      </c>
      <c r="X2248" s="40"/>
      <c r="Y2248" s="40"/>
      <c r="Z2248" s="38"/>
      <c r="AA2248" s="38"/>
      <c r="AB2248" s="38"/>
      <c r="AC2248" s="38"/>
      <c r="AD2248" s="38"/>
      <c r="AE2248" s="38"/>
      <c r="AF2248" s="38"/>
      <c r="AG2248" s="38"/>
      <c r="AH2248" s="38"/>
      <c r="AI2248" s="38"/>
      <c r="AJ2248" s="38"/>
      <c r="AK2248" s="38"/>
      <c r="AL2248" s="38"/>
      <c r="AM2248" s="38"/>
      <c r="AN2248" s="38"/>
      <c r="AO2248" s="38"/>
      <c r="AP2248" s="38"/>
      <c r="AQ2248" s="38"/>
      <c r="AR2248" s="38"/>
      <c r="AS2248" s="38"/>
      <c r="AT2248" s="38"/>
      <c r="AU2248" s="38"/>
      <c r="AV2248" s="38"/>
      <c r="AW2248" s="38"/>
      <c r="AX2248" s="38"/>
      <c r="AY2248" s="38"/>
      <c r="AZ2248" s="38"/>
      <c r="BA2248" s="38"/>
      <c r="BB2248" s="38"/>
      <c r="BC2248" s="38"/>
      <c r="BD2248" s="38"/>
      <c r="BE2248" s="38"/>
      <c r="BF2248" s="38"/>
      <c r="BG2248" s="38"/>
      <c r="BH2248" s="38"/>
      <c r="BI2248" s="38"/>
      <c r="BJ2248" s="38"/>
      <c r="BK2248" s="38"/>
      <c r="BL2248" s="38"/>
      <c r="BM2248" s="38"/>
      <c r="BN2248" s="38"/>
      <c r="BO2248" s="38"/>
      <c r="BP2248" s="38"/>
      <c r="BQ2248" s="38"/>
    </row>
    <row r="2249">
      <c r="A2249" s="47" t="s">
        <v>6129</v>
      </c>
      <c r="B2249" s="48"/>
      <c r="C2249" s="89">
        <v>43497.0</v>
      </c>
      <c r="D2249" s="49"/>
      <c r="E2249" s="47" t="s">
        <v>41</v>
      </c>
      <c r="F2249" s="47">
        <v>1.0</v>
      </c>
      <c r="G2249" s="47" t="s">
        <v>32</v>
      </c>
      <c r="H2249" s="63">
        <v>1.0</v>
      </c>
      <c r="I2249" s="47" t="s">
        <v>33</v>
      </c>
      <c r="J2249" s="47" t="s">
        <v>318</v>
      </c>
      <c r="K2249" s="47"/>
      <c r="L2249" s="47" t="s">
        <v>6121</v>
      </c>
      <c r="M2249" s="52" t="s">
        <v>6122</v>
      </c>
      <c r="N2249" s="52"/>
      <c r="O2249" s="55"/>
      <c r="P2249" s="47"/>
      <c r="Q2249" s="47"/>
      <c r="R2249" s="55"/>
      <c r="S2249" s="37" t="str">
        <f>IFERROR(__xludf.DUMMYFUNCTION("if(not(iserror(index(split(C2249, "" ""),2))), index(split(C2249, "" ""),1),"""")"),"February,")</f>
        <v>February,</v>
      </c>
      <c r="T2249" s="38">
        <f>IFERROR(__xludf.DUMMYFUNCTION("if(S2249="""",C2249,if(not(iserror(index(split(C2249, "" ""),3))), index(split(C2249, "" ""),3),index(split(C2249, "" ""),2)))"),2019.0)</f>
        <v>2019</v>
      </c>
      <c r="U2249" s="38" t="b">
        <f t="shared" si="349"/>
        <v>0</v>
      </c>
      <c r="V2249" s="38" t="s">
        <v>33</v>
      </c>
      <c r="W2249" s="40" t="s">
        <v>6123</v>
      </c>
      <c r="X2249" s="40"/>
      <c r="Y2249" s="40"/>
      <c r="Z2249" s="38"/>
      <c r="AA2249" s="38"/>
      <c r="AB2249" s="38"/>
      <c r="AC2249" s="38"/>
      <c r="AD2249" s="38"/>
      <c r="AE2249" s="38"/>
      <c r="AF2249" s="38"/>
      <c r="AG2249" s="38"/>
      <c r="AH2249" s="38"/>
      <c r="AI2249" s="38"/>
      <c r="AJ2249" s="38"/>
      <c r="AK2249" s="38"/>
      <c r="AL2249" s="38"/>
      <c r="AM2249" s="38"/>
      <c r="AN2249" s="38"/>
      <c r="AO2249" s="38"/>
      <c r="AP2249" s="38"/>
      <c r="AQ2249" s="38"/>
      <c r="AR2249" s="38"/>
      <c r="AS2249" s="38"/>
      <c r="AT2249" s="38"/>
      <c r="AU2249" s="38"/>
      <c r="AV2249" s="38"/>
      <c r="AW2249" s="38"/>
      <c r="AX2249" s="38"/>
      <c r="AY2249" s="38"/>
      <c r="AZ2249" s="38"/>
      <c r="BA2249" s="38"/>
      <c r="BB2249" s="38"/>
      <c r="BC2249" s="38"/>
      <c r="BD2249" s="38"/>
      <c r="BE2249" s="38"/>
      <c r="BF2249" s="38"/>
      <c r="BG2249" s="38"/>
      <c r="BH2249" s="38"/>
      <c r="BI2249" s="38"/>
      <c r="BJ2249" s="38"/>
      <c r="BK2249" s="38"/>
      <c r="BL2249" s="38"/>
      <c r="BM2249" s="38"/>
      <c r="BN2249" s="38"/>
      <c r="BO2249" s="38"/>
      <c r="BP2249" s="38"/>
      <c r="BQ2249" s="38"/>
    </row>
    <row r="2250">
      <c r="A2250" s="47" t="s">
        <v>6130</v>
      </c>
      <c r="B2250" s="48"/>
      <c r="C2250" s="89">
        <v>43497.0</v>
      </c>
      <c r="D2250" s="49"/>
      <c r="E2250" s="47" t="s">
        <v>41</v>
      </c>
      <c r="F2250" s="47">
        <v>1.0</v>
      </c>
      <c r="G2250" s="47" t="s">
        <v>32</v>
      </c>
      <c r="H2250" s="63">
        <v>1.0</v>
      </c>
      <c r="I2250" s="47" t="s">
        <v>33</v>
      </c>
      <c r="J2250" s="47" t="s">
        <v>318</v>
      </c>
      <c r="K2250" s="47"/>
      <c r="L2250" s="47" t="s">
        <v>6121</v>
      </c>
      <c r="M2250" s="52" t="s">
        <v>6122</v>
      </c>
      <c r="N2250" s="52"/>
      <c r="O2250" s="55"/>
      <c r="P2250" s="47"/>
      <c r="Q2250" s="47"/>
      <c r="R2250" s="55"/>
      <c r="S2250" s="37" t="str">
        <f>IFERROR(__xludf.DUMMYFUNCTION("if(not(iserror(index(split(C2250, "" ""),2))), index(split(C2250, "" ""),1),"""")"),"February,")</f>
        <v>February,</v>
      </c>
      <c r="T2250" s="38">
        <f>IFERROR(__xludf.DUMMYFUNCTION("if(S2250="""",C2250,if(not(iserror(index(split(C2250, "" ""),3))), index(split(C2250, "" ""),3),index(split(C2250, "" ""),2)))"),2019.0)</f>
        <v>2019</v>
      </c>
      <c r="U2250" s="38" t="b">
        <f t="shared" si="349"/>
        <v>0</v>
      </c>
      <c r="V2250" s="38" t="s">
        <v>33</v>
      </c>
      <c r="W2250" s="40" t="s">
        <v>6123</v>
      </c>
      <c r="X2250" s="40"/>
      <c r="Y2250" s="40"/>
      <c r="Z2250" s="38"/>
      <c r="AA2250" s="38"/>
      <c r="AB2250" s="38"/>
      <c r="AC2250" s="38"/>
      <c r="AD2250" s="38"/>
      <c r="AE2250" s="38"/>
      <c r="AF2250" s="38"/>
      <c r="AG2250" s="38"/>
      <c r="AH2250" s="38"/>
      <c r="AI2250" s="38"/>
      <c r="AJ2250" s="38"/>
      <c r="AK2250" s="38"/>
      <c r="AL2250" s="38"/>
      <c r="AM2250" s="38"/>
      <c r="AN2250" s="38"/>
      <c r="AO2250" s="38"/>
      <c r="AP2250" s="38"/>
      <c r="AQ2250" s="38"/>
      <c r="AR2250" s="38"/>
      <c r="AS2250" s="38"/>
      <c r="AT2250" s="38"/>
      <c r="AU2250" s="38"/>
      <c r="AV2250" s="38"/>
      <c r="AW2250" s="38"/>
      <c r="AX2250" s="38"/>
      <c r="AY2250" s="38"/>
      <c r="AZ2250" s="38"/>
      <c r="BA2250" s="38"/>
      <c r="BB2250" s="38"/>
      <c r="BC2250" s="38"/>
      <c r="BD2250" s="38"/>
      <c r="BE2250" s="38"/>
      <c r="BF2250" s="38"/>
      <c r="BG2250" s="38"/>
      <c r="BH2250" s="38"/>
      <c r="BI2250" s="38"/>
      <c r="BJ2250" s="38"/>
      <c r="BK2250" s="38"/>
      <c r="BL2250" s="38"/>
      <c r="BM2250" s="38"/>
      <c r="BN2250" s="38"/>
      <c r="BO2250" s="38"/>
      <c r="BP2250" s="38"/>
      <c r="BQ2250" s="38"/>
    </row>
    <row r="2251">
      <c r="A2251" s="47" t="s">
        <v>6131</v>
      </c>
      <c r="B2251" s="48"/>
      <c r="C2251" s="89">
        <v>43497.0</v>
      </c>
      <c r="D2251" s="49"/>
      <c r="E2251" s="47" t="s">
        <v>41</v>
      </c>
      <c r="F2251" s="47">
        <v>1.0</v>
      </c>
      <c r="G2251" s="47" t="s">
        <v>32</v>
      </c>
      <c r="H2251" s="63">
        <v>1.0</v>
      </c>
      <c r="I2251" s="47" t="s">
        <v>33</v>
      </c>
      <c r="J2251" s="47" t="s">
        <v>318</v>
      </c>
      <c r="K2251" s="47"/>
      <c r="L2251" s="47" t="s">
        <v>6121</v>
      </c>
      <c r="M2251" s="52" t="s">
        <v>6122</v>
      </c>
      <c r="N2251" s="52"/>
      <c r="O2251" s="55"/>
      <c r="P2251" s="47"/>
      <c r="Q2251" s="47"/>
      <c r="R2251" s="55"/>
      <c r="S2251" s="37" t="str">
        <f>IFERROR(__xludf.DUMMYFUNCTION("if(not(iserror(index(split(C2251, "" ""),2))), index(split(C2251, "" ""),1),"""")"),"February,")</f>
        <v>February,</v>
      </c>
      <c r="T2251" s="38">
        <f>IFERROR(__xludf.DUMMYFUNCTION("if(S2251="""",C2251,if(not(iserror(index(split(C2251, "" ""),3))), index(split(C2251, "" ""),3),index(split(C2251, "" ""),2)))"),2019.0)</f>
        <v>2019</v>
      </c>
      <c r="U2251" s="38" t="b">
        <f t="shared" si="349"/>
        <v>0</v>
      </c>
      <c r="V2251" s="38" t="s">
        <v>33</v>
      </c>
      <c r="W2251" s="40" t="s">
        <v>6123</v>
      </c>
      <c r="X2251" s="40"/>
      <c r="Y2251" s="40"/>
      <c r="Z2251" s="38"/>
      <c r="AA2251" s="38"/>
      <c r="AB2251" s="38"/>
      <c r="AC2251" s="38"/>
      <c r="AD2251" s="38"/>
      <c r="AE2251" s="38"/>
      <c r="AF2251" s="38"/>
      <c r="AG2251" s="38"/>
      <c r="AH2251" s="38"/>
      <c r="AI2251" s="38"/>
      <c r="AJ2251" s="38"/>
      <c r="AK2251" s="38"/>
      <c r="AL2251" s="38"/>
      <c r="AM2251" s="38"/>
      <c r="AN2251" s="38"/>
      <c r="AO2251" s="38"/>
      <c r="AP2251" s="38"/>
      <c r="AQ2251" s="38"/>
      <c r="AR2251" s="38"/>
      <c r="AS2251" s="38"/>
      <c r="AT2251" s="38"/>
      <c r="AU2251" s="38"/>
      <c r="AV2251" s="38"/>
      <c r="AW2251" s="38"/>
      <c r="AX2251" s="38"/>
      <c r="AY2251" s="38"/>
      <c r="AZ2251" s="38"/>
      <c r="BA2251" s="38"/>
      <c r="BB2251" s="38"/>
      <c r="BC2251" s="38"/>
      <c r="BD2251" s="38"/>
      <c r="BE2251" s="38"/>
      <c r="BF2251" s="38"/>
      <c r="BG2251" s="38"/>
      <c r="BH2251" s="38"/>
      <c r="BI2251" s="38"/>
      <c r="BJ2251" s="38"/>
      <c r="BK2251" s="38"/>
      <c r="BL2251" s="38"/>
      <c r="BM2251" s="38"/>
      <c r="BN2251" s="38"/>
      <c r="BO2251" s="38"/>
      <c r="BP2251" s="38"/>
      <c r="BQ2251" s="38"/>
    </row>
    <row r="2252">
      <c r="A2252" s="47" t="s">
        <v>6132</v>
      </c>
      <c r="B2252" s="48"/>
      <c r="C2252" s="89">
        <v>43497.0</v>
      </c>
      <c r="D2252" s="49"/>
      <c r="E2252" s="47" t="s">
        <v>41</v>
      </c>
      <c r="F2252" s="47">
        <v>1.0</v>
      </c>
      <c r="G2252" s="47" t="s">
        <v>32</v>
      </c>
      <c r="H2252" s="63">
        <v>1.0</v>
      </c>
      <c r="I2252" s="47" t="s">
        <v>33</v>
      </c>
      <c r="J2252" s="47" t="s">
        <v>318</v>
      </c>
      <c r="K2252" s="47"/>
      <c r="L2252" s="47" t="s">
        <v>6121</v>
      </c>
      <c r="M2252" s="52" t="s">
        <v>6122</v>
      </c>
      <c r="N2252" s="52"/>
      <c r="O2252" s="55"/>
      <c r="P2252" s="47"/>
      <c r="Q2252" s="47"/>
      <c r="R2252" s="55"/>
      <c r="S2252" s="37" t="str">
        <f>IFERROR(__xludf.DUMMYFUNCTION("if(not(iserror(index(split(C2252, "" ""),2))), index(split(C2252, "" ""),1),"""")"),"February,")</f>
        <v>February,</v>
      </c>
      <c r="T2252" s="38">
        <f>IFERROR(__xludf.DUMMYFUNCTION("if(S2252="""",C2252,if(not(iserror(index(split(C2252, "" ""),3))), index(split(C2252, "" ""),3),index(split(C2252, "" ""),2)))"),2019.0)</f>
        <v>2019</v>
      </c>
      <c r="U2252" s="38" t="b">
        <f t="shared" si="349"/>
        <v>0</v>
      </c>
      <c r="V2252" s="38" t="s">
        <v>33</v>
      </c>
      <c r="W2252" s="40" t="s">
        <v>6123</v>
      </c>
      <c r="X2252" s="40"/>
      <c r="Y2252" s="40"/>
      <c r="Z2252" s="38"/>
      <c r="AA2252" s="38"/>
      <c r="AB2252" s="38"/>
      <c r="AC2252" s="38"/>
      <c r="AD2252" s="38"/>
      <c r="AE2252" s="38"/>
      <c r="AF2252" s="38"/>
      <c r="AG2252" s="38"/>
      <c r="AH2252" s="38"/>
      <c r="AI2252" s="38"/>
      <c r="AJ2252" s="38"/>
      <c r="AK2252" s="38"/>
      <c r="AL2252" s="38"/>
      <c r="AM2252" s="38"/>
      <c r="AN2252" s="38"/>
      <c r="AO2252" s="38"/>
      <c r="AP2252" s="38"/>
      <c r="AQ2252" s="38"/>
      <c r="AR2252" s="38"/>
      <c r="AS2252" s="38"/>
      <c r="AT2252" s="38"/>
      <c r="AU2252" s="38"/>
      <c r="AV2252" s="38"/>
      <c r="AW2252" s="38"/>
      <c r="AX2252" s="38"/>
      <c r="AY2252" s="38"/>
      <c r="AZ2252" s="38"/>
      <c r="BA2252" s="38"/>
      <c r="BB2252" s="38"/>
      <c r="BC2252" s="38"/>
      <c r="BD2252" s="38"/>
      <c r="BE2252" s="38"/>
      <c r="BF2252" s="38"/>
      <c r="BG2252" s="38"/>
      <c r="BH2252" s="38"/>
      <c r="BI2252" s="38"/>
      <c r="BJ2252" s="38"/>
      <c r="BK2252" s="38"/>
      <c r="BL2252" s="38"/>
      <c r="BM2252" s="38"/>
      <c r="BN2252" s="38"/>
      <c r="BO2252" s="38"/>
      <c r="BP2252" s="38"/>
      <c r="BQ2252" s="38"/>
    </row>
    <row r="2253">
      <c r="A2253" s="47" t="s">
        <v>6133</v>
      </c>
      <c r="B2253" s="48"/>
      <c r="C2253" s="89">
        <v>43497.0</v>
      </c>
      <c r="D2253" s="49"/>
      <c r="E2253" s="47" t="s">
        <v>41</v>
      </c>
      <c r="F2253" s="47">
        <v>1.0</v>
      </c>
      <c r="G2253" s="47" t="s">
        <v>32</v>
      </c>
      <c r="H2253" s="63">
        <v>1.0</v>
      </c>
      <c r="I2253" s="47" t="s">
        <v>33</v>
      </c>
      <c r="J2253" s="47" t="s">
        <v>318</v>
      </c>
      <c r="K2253" s="47"/>
      <c r="L2253" s="47" t="s">
        <v>6121</v>
      </c>
      <c r="M2253" s="52" t="s">
        <v>6122</v>
      </c>
      <c r="N2253" s="52"/>
      <c r="O2253" s="55"/>
      <c r="P2253" s="47"/>
      <c r="Q2253" s="47"/>
      <c r="R2253" s="55"/>
      <c r="S2253" s="37" t="str">
        <f>IFERROR(__xludf.DUMMYFUNCTION("if(not(iserror(index(split(C2253, "" ""),2))), index(split(C2253, "" ""),1),"""")"),"February,")</f>
        <v>February,</v>
      </c>
      <c r="T2253" s="38">
        <f>IFERROR(__xludf.DUMMYFUNCTION("if(S2253="""",C2253,if(not(iserror(index(split(C2253, "" ""),3))), index(split(C2253, "" ""),3),index(split(C2253, "" ""),2)))"),2019.0)</f>
        <v>2019</v>
      </c>
      <c r="U2253" s="38" t="b">
        <f t="shared" si="349"/>
        <v>0</v>
      </c>
      <c r="V2253" s="38" t="s">
        <v>33</v>
      </c>
      <c r="W2253" s="40" t="s">
        <v>6123</v>
      </c>
      <c r="X2253" s="40"/>
      <c r="Y2253" s="40"/>
      <c r="Z2253" s="38"/>
      <c r="AA2253" s="38"/>
      <c r="AB2253" s="38"/>
      <c r="AC2253" s="38"/>
      <c r="AD2253" s="38"/>
      <c r="AE2253" s="38"/>
      <c r="AF2253" s="38"/>
      <c r="AG2253" s="38"/>
      <c r="AH2253" s="38"/>
      <c r="AI2253" s="38"/>
      <c r="AJ2253" s="38"/>
      <c r="AK2253" s="38"/>
      <c r="AL2253" s="38"/>
      <c r="AM2253" s="38"/>
      <c r="AN2253" s="38"/>
      <c r="AO2253" s="38"/>
      <c r="AP2253" s="38"/>
      <c r="AQ2253" s="38"/>
      <c r="AR2253" s="38"/>
      <c r="AS2253" s="38"/>
      <c r="AT2253" s="38"/>
      <c r="AU2253" s="38"/>
      <c r="AV2253" s="38"/>
      <c r="AW2253" s="38"/>
      <c r="AX2253" s="38"/>
      <c r="AY2253" s="38"/>
      <c r="AZ2253" s="38"/>
      <c r="BA2253" s="38"/>
      <c r="BB2253" s="38"/>
      <c r="BC2253" s="38"/>
      <c r="BD2253" s="38"/>
      <c r="BE2253" s="38"/>
      <c r="BF2253" s="38"/>
      <c r="BG2253" s="38"/>
      <c r="BH2253" s="38"/>
      <c r="BI2253" s="38"/>
      <c r="BJ2253" s="38"/>
      <c r="BK2253" s="38"/>
      <c r="BL2253" s="38"/>
      <c r="BM2253" s="38"/>
      <c r="BN2253" s="38"/>
      <c r="BO2253" s="38"/>
      <c r="BP2253" s="38"/>
      <c r="BQ2253" s="38"/>
    </row>
    <row r="2254">
      <c r="A2254" s="47" t="s">
        <v>6134</v>
      </c>
      <c r="B2254" s="48"/>
      <c r="C2254" s="89">
        <v>43497.0</v>
      </c>
      <c r="D2254" s="49"/>
      <c r="E2254" s="47" t="s">
        <v>41</v>
      </c>
      <c r="F2254" s="47">
        <v>1.0</v>
      </c>
      <c r="G2254" s="47" t="s">
        <v>32</v>
      </c>
      <c r="H2254" s="63">
        <v>1.0</v>
      </c>
      <c r="I2254" s="47" t="s">
        <v>33</v>
      </c>
      <c r="J2254" s="47" t="s">
        <v>318</v>
      </c>
      <c r="K2254" s="47"/>
      <c r="L2254" s="47" t="s">
        <v>6121</v>
      </c>
      <c r="M2254" s="52" t="s">
        <v>6122</v>
      </c>
      <c r="N2254" s="52"/>
      <c r="O2254" s="55"/>
      <c r="P2254" s="47"/>
      <c r="Q2254" s="47"/>
      <c r="R2254" s="55"/>
      <c r="S2254" s="37" t="str">
        <f>IFERROR(__xludf.DUMMYFUNCTION("if(not(iserror(index(split(C2254, "" ""),2))), index(split(C2254, "" ""),1),"""")"),"February,")</f>
        <v>February,</v>
      </c>
      <c r="T2254" s="38">
        <f>IFERROR(__xludf.DUMMYFUNCTION("if(S2254="""",C2254,if(not(iserror(index(split(C2254, "" ""),3))), index(split(C2254, "" ""),3),index(split(C2254, "" ""),2)))"),2019.0)</f>
        <v>2019</v>
      </c>
      <c r="U2254" s="38" t="b">
        <f t="shared" si="349"/>
        <v>0</v>
      </c>
      <c r="V2254" s="38" t="s">
        <v>33</v>
      </c>
      <c r="W2254" s="40" t="s">
        <v>6123</v>
      </c>
      <c r="X2254" s="40"/>
      <c r="Y2254" s="40"/>
      <c r="Z2254" s="38"/>
      <c r="AA2254" s="38"/>
      <c r="AB2254" s="38"/>
      <c r="AC2254" s="38"/>
      <c r="AD2254" s="38"/>
      <c r="AE2254" s="38"/>
      <c r="AF2254" s="38"/>
      <c r="AG2254" s="38"/>
      <c r="AH2254" s="38"/>
      <c r="AI2254" s="38"/>
      <c r="AJ2254" s="38"/>
      <c r="AK2254" s="38"/>
      <c r="AL2254" s="38"/>
      <c r="AM2254" s="38"/>
      <c r="AN2254" s="38"/>
      <c r="AO2254" s="38"/>
      <c r="AP2254" s="38"/>
      <c r="AQ2254" s="38"/>
      <c r="AR2254" s="38"/>
      <c r="AS2254" s="38"/>
      <c r="AT2254" s="38"/>
      <c r="AU2254" s="38"/>
      <c r="AV2254" s="38"/>
      <c r="AW2254" s="38"/>
      <c r="AX2254" s="38"/>
      <c r="AY2254" s="38"/>
      <c r="AZ2254" s="38"/>
      <c r="BA2254" s="38"/>
      <c r="BB2254" s="38"/>
      <c r="BC2254" s="38"/>
      <c r="BD2254" s="38"/>
      <c r="BE2254" s="38"/>
      <c r="BF2254" s="38"/>
      <c r="BG2254" s="38"/>
      <c r="BH2254" s="38"/>
      <c r="BI2254" s="38"/>
      <c r="BJ2254" s="38"/>
      <c r="BK2254" s="38"/>
      <c r="BL2254" s="38"/>
      <c r="BM2254" s="38"/>
      <c r="BN2254" s="38"/>
      <c r="BO2254" s="38"/>
      <c r="BP2254" s="38"/>
      <c r="BQ2254" s="38"/>
    </row>
    <row r="2255">
      <c r="A2255" s="47" t="s">
        <v>6135</v>
      </c>
      <c r="B2255" s="48"/>
      <c r="C2255" s="89">
        <v>43497.0</v>
      </c>
      <c r="D2255" s="49"/>
      <c r="E2255" s="47" t="s">
        <v>41</v>
      </c>
      <c r="F2255" s="47">
        <v>1.0</v>
      </c>
      <c r="G2255" s="47" t="s">
        <v>32</v>
      </c>
      <c r="H2255" s="63">
        <v>1.0</v>
      </c>
      <c r="I2255" s="47" t="s">
        <v>33</v>
      </c>
      <c r="J2255" s="47" t="s">
        <v>318</v>
      </c>
      <c r="K2255" s="47"/>
      <c r="L2255" s="47" t="s">
        <v>6121</v>
      </c>
      <c r="M2255" s="52" t="s">
        <v>6122</v>
      </c>
      <c r="N2255" s="52"/>
      <c r="O2255" s="55"/>
      <c r="P2255" s="47"/>
      <c r="Q2255" s="47"/>
      <c r="R2255" s="55"/>
      <c r="S2255" s="37" t="str">
        <f>IFERROR(__xludf.DUMMYFUNCTION("if(not(iserror(index(split(C2255, "" ""),2))), index(split(C2255, "" ""),1),"""")"),"February,")</f>
        <v>February,</v>
      </c>
      <c r="T2255" s="38">
        <f>IFERROR(__xludf.DUMMYFUNCTION("if(S2255="""",C2255,if(not(iserror(index(split(C2255, "" ""),3))), index(split(C2255, "" ""),3),index(split(C2255, "" ""),2)))"),2019.0)</f>
        <v>2019</v>
      </c>
      <c r="U2255" s="38" t="b">
        <f t="shared" si="349"/>
        <v>0</v>
      </c>
      <c r="V2255" s="38" t="s">
        <v>33</v>
      </c>
      <c r="W2255" s="40" t="s">
        <v>6123</v>
      </c>
      <c r="X2255" s="40"/>
      <c r="Y2255" s="40"/>
      <c r="Z2255" s="38"/>
      <c r="AA2255" s="38"/>
      <c r="AB2255" s="38"/>
      <c r="AC2255" s="38"/>
      <c r="AD2255" s="38"/>
      <c r="AE2255" s="38"/>
      <c r="AF2255" s="38"/>
      <c r="AG2255" s="38"/>
      <c r="AH2255" s="38"/>
      <c r="AI2255" s="38"/>
      <c r="AJ2255" s="38"/>
      <c r="AK2255" s="38"/>
      <c r="AL2255" s="38"/>
      <c r="AM2255" s="38"/>
      <c r="AN2255" s="38"/>
      <c r="AO2255" s="38"/>
      <c r="AP2255" s="38"/>
      <c r="AQ2255" s="38"/>
      <c r="AR2255" s="38"/>
      <c r="AS2255" s="38"/>
      <c r="AT2255" s="38"/>
      <c r="AU2255" s="38"/>
      <c r="AV2255" s="38"/>
      <c r="AW2255" s="38"/>
      <c r="AX2255" s="38"/>
      <c r="AY2255" s="38"/>
      <c r="AZ2255" s="38"/>
      <c r="BA2255" s="38"/>
      <c r="BB2255" s="38"/>
      <c r="BC2255" s="38"/>
      <c r="BD2255" s="38"/>
      <c r="BE2255" s="38"/>
      <c r="BF2255" s="38"/>
      <c r="BG2255" s="38"/>
      <c r="BH2255" s="38"/>
      <c r="BI2255" s="38"/>
      <c r="BJ2255" s="38"/>
      <c r="BK2255" s="38"/>
      <c r="BL2255" s="38"/>
      <c r="BM2255" s="38"/>
      <c r="BN2255" s="38"/>
      <c r="BO2255" s="38"/>
      <c r="BP2255" s="38"/>
      <c r="BQ2255" s="38"/>
    </row>
    <row r="2256">
      <c r="A2256" s="47" t="s">
        <v>6136</v>
      </c>
      <c r="B2256" s="48"/>
      <c r="C2256" s="89">
        <v>43497.0</v>
      </c>
      <c r="D2256" s="49"/>
      <c r="E2256" s="47" t="s">
        <v>41</v>
      </c>
      <c r="F2256" s="47">
        <v>1.0</v>
      </c>
      <c r="G2256" s="47" t="s">
        <v>32</v>
      </c>
      <c r="H2256" s="63">
        <v>1.0</v>
      </c>
      <c r="I2256" s="47" t="s">
        <v>33</v>
      </c>
      <c r="J2256" s="47" t="s">
        <v>318</v>
      </c>
      <c r="K2256" s="47"/>
      <c r="L2256" s="47" t="s">
        <v>6121</v>
      </c>
      <c r="M2256" s="52" t="s">
        <v>6122</v>
      </c>
      <c r="N2256" s="52"/>
      <c r="O2256" s="55"/>
      <c r="P2256" s="47"/>
      <c r="Q2256" s="47"/>
      <c r="R2256" s="55"/>
      <c r="S2256" s="37" t="str">
        <f>IFERROR(__xludf.DUMMYFUNCTION("if(not(iserror(index(split(C2256, "" ""),2))), index(split(C2256, "" ""),1),"""")"),"February,")</f>
        <v>February,</v>
      </c>
      <c r="T2256" s="38">
        <f>IFERROR(__xludf.DUMMYFUNCTION("if(S2256="""",C2256,if(not(iserror(index(split(C2256, "" ""),3))), index(split(C2256, "" ""),3),index(split(C2256, "" ""),2)))"),2019.0)</f>
        <v>2019</v>
      </c>
      <c r="U2256" s="38" t="b">
        <f t="shared" si="349"/>
        <v>0</v>
      </c>
      <c r="V2256" s="38" t="s">
        <v>33</v>
      </c>
      <c r="W2256" s="40" t="s">
        <v>6123</v>
      </c>
      <c r="X2256" s="40"/>
      <c r="Y2256" s="40"/>
      <c r="Z2256" s="38"/>
      <c r="AA2256" s="38"/>
      <c r="AB2256" s="38"/>
      <c r="AC2256" s="38"/>
      <c r="AD2256" s="38"/>
      <c r="AE2256" s="38"/>
      <c r="AF2256" s="38"/>
      <c r="AG2256" s="38"/>
      <c r="AH2256" s="38"/>
      <c r="AI2256" s="38"/>
      <c r="AJ2256" s="38"/>
      <c r="AK2256" s="38"/>
      <c r="AL2256" s="38"/>
      <c r="AM2256" s="38"/>
      <c r="AN2256" s="38"/>
      <c r="AO2256" s="38"/>
      <c r="AP2256" s="38"/>
      <c r="AQ2256" s="38"/>
      <c r="AR2256" s="38"/>
      <c r="AS2256" s="38"/>
      <c r="AT2256" s="38"/>
      <c r="AU2256" s="38"/>
      <c r="AV2256" s="38"/>
      <c r="AW2256" s="38"/>
      <c r="AX2256" s="38"/>
      <c r="AY2256" s="38"/>
      <c r="AZ2256" s="38"/>
      <c r="BA2256" s="38"/>
      <c r="BB2256" s="38"/>
      <c r="BC2256" s="38"/>
      <c r="BD2256" s="38"/>
      <c r="BE2256" s="38"/>
      <c r="BF2256" s="38"/>
      <c r="BG2256" s="38"/>
      <c r="BH2256" s="38"/>
      <c r="BI2256" s="38"/>
      <c r="BJ2256" s="38"/>
      <c r="BK2256" s="38"/>
      <c r="BL2256" s="38"/>
      <c r="BM2256" s="38"/>
      <c r="BN2256" s="38"/>
      <c r="BO2256" s="38"/>
      <c r="BP2256" s="38"/>
      <c r="BQ2256" s="38"/>
    </row>
    <row r="2257">
      <c r="A2257" s="47" t="s">
        <v>6137</v>
      </c>
      <c r="B2257" s="48"/>
      <c r="C2257" s="89">
        <v>43497.0</v>
      </c>
      <c r="D2257" s="49"/>
      <c r="E2257" s="47" t="s">
        <v>41</v>
      </c>
      <c r="F2257" s="47">
        <v>1.0</v>
      </c>
      <c r="G2257" s="47" t="s">
        <v>32</v>
      </c>
      <c r="H2257" s="63">
        <v>1.0</v>
      </c>
      <c r="I2257" s="47" t="s">
        <v>33</v>
      </c>
      <c r="J2257" s="47" t="s">
        <v>318</v>
      </c>
      <c r="K2257" s="47"/>
      <c r="L2257" s="47" t="s">
        <v>6121</v>
      </c>
      <c r="M2257" s="52" t="s">
        <v>6122</v>
      </c>
      <c r="N2257" s="52"/>
      <c r="O2257" s="55"/>
      <c r="P2257" s="47"/>
      <c r="Q2257" s="47"/>
      <c r="R2257" s="55"/>
      <c r="S2257" s="37" t="str">
        <f>IFERROR(__xludf.DUMMYFUNCTION("if(not(iserror(index(split(C2257, "" ""),2))), index(split(C2257, "" ""),1),"""")"),"February,")</f>
        <v>February,</v>
      </c>
      <c r="T2257" s="38">
        <f>IFERROR(__xludf.DUMMYFUNCTION("if(S2257="""",C2257,if(not(iserror(index(split(C2257, "" ""),3))), index(split(C2257, "" ""),3),index(split(C2257, "" ""),2)))"),2019.0)</f>
        <v>2019</v>
      </c>
      <c r="U2257" s="38" t="b">
        <f t="shared" si="349"/>
        <v>0</v>
      </c>
      <c r="V2257" s="38" t="s">
        <v>33</v>
      </c>
      <c r="W2257" s="40" t="s">
        <v>6123</v>
      </c>
      <c r="X2257" s="40"/>
      <c r="Y2257" s="40"/>
      <c r="Z2257" s="38"/>
      <c r="AA2257" s="38"/>
      <c r="AB2257" s="38"/>
      <c r="AC2257" s="38"/>
      <c r="AD2257" s="38"/>
      <c r="AE2257" s="38"/>
      <c r="AF2257" s="38"/>
      <c r="AG2257" s="38"/>
      <c r="AH2257" s="38"/>
      <c r="AI2257" s="38"/>
      <c r="AJ2257" s="38"/>
      <c r="AK2257" s="38"/>
      <c r="AL2257" s="38"/>
      <c r="AM2257" s="38"/>
      <c r="AN2257" s="38"/>
      <c r="AO2257" s="38"/>
      <c r="AP2257" s="38"/>
      <c r="AQ2257" s="38"/>
      <c r="AR2257" s="38"/>
      <c r="AS2257" s="38"/>
      <c r="AT2257" s="38"/>
      <c r="AU2257" s="38"/>
      <c r="AV2257" s="38"/>
      <c r="AW2257" s="38"/>
      <c r="AX2257" s="38"/>
      <c r="AY2257" s="38"/>
      <c r="AZ2257" s="38"/>
      <c r="BA2257" s="38"/>
      <c r="BB2257" s="38"/>
      <c r="BC2257" s="38"/>
      <c r="BD2257" s="38"/>
      <c r="BE2257" s="38"/>
      <c r="BF2257" s="38"/>
      <c r="BG2257" s="38"/>
      <c r="BH2257" s="38"/>
      <c r="BI2257" s="38"/>
      <c r="BJ2257" s="38"/>
      <c r="BK2257" s="38"/>
      <c r="BL2257" s="38"/>
      <c r="BM2257" s="38"/>
      <c r="BN2257" s="38"/>
      <c r="BO2257" s="38"/>
      <c r="BP2257" s="38"/>
      <c r="BQ2257" s="38"/>
    </row>
    <row r="2258">
      <c r="A2258" s="47" t="s">
        <v>6138</v>
      </c>
      <c r="B2258" s="48"/>
      <c r="C2258" s="89">
        <v>43497.0</v>
      </c>
      <c r="D2258" s="49"/>
      <c r="E2258" s="47" t="s">
        <v>41</v>
      </c>
      <c r="F2258" s="47">
        <v>1.0</v>
      </c>
      <c r="G2258" s="47" t="s">
        <v>32</v>
      </c>
      <c r="H2258" s="63">
        <v>1.0</v>
      </c>
      <c r="I2258" s="47" t="s">
        <v>33</v>
      </c>
      <c r="J2258" s="47" t="s">
        <v>318</v>
      </c>
      <c r="K2258" s="47"/>
      <c r="L2258" s="47" t="s">
        <v>6121</v>
      </c>
      <c r="M2258" s="52" t="s">
        <v>6122</v>
      </c>
      <c r="N2258" s="52"/>
      <c r="O2258" s="55"/>
      <c r="P2258" s="47"/>
      <c r="Q2258" s="47"/>
      <c r="R2258" s="55"/>
      <c r="S2258" s="37" t="str">
        <f>IFERROR(__xludf.DUMMYFUNCTION("if(not(iserror(index(split(C2258, "" ""),2))), index(split(C2258, "" ""),1),"""")"),"February,")</f>
        <v>February,</v>
      </c>
      <c r="T2258" s="38">
        <f>IFERROR(__xludf.DUMMYFUNCTION("if(S2258="""",C2258,if(not(iserror(index(split(C2258, "" ""),3))), index(split(C2258, "" ""),3),index(split(C2258, "" ""),2)))"),2019.0)</f>
        <v>2019</v>
      </c>
      <c r="U2258" s="38" t="b">
        <f t="shared" si="349"/>
        <v>0</v>
      </c>
      <c r="V2258" s="38" t="s">
        <v>33</v>
      </c>
      <c r="W2258" s="40" t="s">
        <v>6123</v>
      </c>
      <c r="X2258" s="40"/>
      <c r="Y2258" s="40"/>
      <c r="Z2258" s="38"/>
      <c r="AA2258" s="38"/>
      <c r="AB2258" s="38"/>
      <c r="AC2258" s="38"/>
      <c r="AD2258" s="38"/>
      <c r="AE2258" s="38"/>
      <c r="AF2258" s="38"/>
      <c r="AG2258" s="38"/>
      <c r="AH2258" s="38"/>
      <c r="AI2258" s="38"/>
      <c r="AJ2258" s="38"/>
      <c r="AK2258" s="38"/>
      <c r="AL2258" s="38"/>
      <c r="AM2258" s="38"/>
      <c r="AN2258" s="38"/>
      <c r="AO2258" s="38"/>
      <c r="AP2258" s="38"/>
      <c r="AQ2258" s="38"/>
      <c r="AR2258" s="38"/>
      <c r="AS2258" s="38"/>
      <c r="AT2258" s="38"/>
      <c r="AU2258" s="38"/>
      <c r="AV2258" s="38"/>
      <c r="AW2258" s="38"/>
      <c r="AX2258" s="38"/>
      <c r="AY2258" s="38"/>
      <c r="AZ2258" s="38"/>
      <c r="BA2258" s="38"/>
      <c r="BB2258" s="38"/>
      <c r="BC2258" s="38"/>
      <c r="BD2258" s="38"/>
      <c r="BE2258" s="38"/>
      <c r="BF2258" s="38"/>
      <c r="BG2258" s="38"/>
      <c r="BH2258" s="38"/>
      <c r="BI2258" s="38"/>
      <c r="BJ2258" s="38"/>
      <c r="BK2258" s="38"/>
      <c r="BL2258" s="38"/>
      <c r="BM2258" s="38"/>
      <c r="BN2258" s="38"/>
      <c r="BO2258" s="38"/>
      <c r="BP2258" s="38"/>
      <c r="BQ2258" s="38"/>
    </row>
    <row r="2259">
      <c r="A2259" s="47" t="s">
        <v>6139</v>
      </c>
      <c r="B2259" s="48"/>
      <c r="C2259" s="89">
        <v>43497.0</v>
      </c>
      <c r="D2259" s="49"/>
      <c r="E2259" s="47" t="s">
        <v>41</v>
      </c>
      <c r="F2259" s="47">
        <v>1.0</v>
      </c>
      <c r="G2259" s="47" t="s">
        <v>32</v>
      </c>
      <c r="H2259" s="63">
        <v>1.0</v>
      </c>
      <c r="I2259" s="47" t="s">
        <v>33</v>
      </c>
      <c r="J2259" s="47" t="s">
        <v>318</v>
      </c>
      <c r="K2259" s="47"/>
      <c r="L2259" s="47" t="s">
        <v>6121</v>
      </c>
      <c r="M2259" s="52" t="s">
        <v>6122</v>
      </c>
      <c r="N2259" s="52"/>
      <c r="O2259" s="55"/>
      <c r="P2259" s="47"/>
      <c r="Q2259" s="47"/>
      <c r="R2259" s="55"/>
      <c r="S2259" s="37" t="str">
        <f>IFERROR(__xludf.DUMMYFUNCTION("if(not(iserror(index(split(C2259, "" ""),2))), index(split(C2259, "" ""),1),"""")"),"February,")</f>
        <v>February,</v>
      </c>
      <c r="T2259" s="38">
        <f>IFERROR(__xludf.DUMMYFUNCTION("if(S2259="""",C2259,if(not(iserror(index(split(C2259, "" ""),3))), index(split(C2259, "" ""),3),index(split(C2259, "" ""),2)))"),2019.0)</f>
        <v>2019</v>
      </c>
      <c r="U2259" s="38" t="b">
        <f t="shared" si="349"/>
        <v>0</v>
      </c>
      <c r="V2259" s="38" t="s">
        <v>33</v>
      </c>
      <c r="W2259" s="40" t="s">
        <v>6123</v>
      </c>
      <c r="X2259" s="40"/>
      <c r="Y2259" s="40"/>
      <c r="Z2259" s="38"/>
      <c r="AA2259" s="38"/>
      <c r="AB2259" s="38"/>
      <c r="AC2259" s="38"/>
      <c r="AD2259" s="38"/>
      <c r="AE2259" s="38"/>
      <c r="AF2259" s="38"/>
      <c r="AG2259" s="38"/>
      <c r="AH2259" s="38"/>
      <c r="AI2259" s="38"/>
      <c r="AJ2259" s="38"/>
      <c r="AK2259" s="38"/>
      <c r="AL2259" s="38"/>
      <c r="AM2259" s="38"/>
      <c r="AN2259" s="38"/>
      <c r="AO2259" s="38"/>
      <c r="AP2259" s="38"/>
      <c r="AQ2259" s="38"/>
      <c r="AR2259" s="38"/>
      <c r="AS2259" s="38"/>
      <c r="AT2259" s="38"/>
      <c r="AU2259" s="38"/>
      <c r="AV2259" s="38"/>
      <c r="AW2259" s="38"/>
      <c r="AX2259" s="38"/>
      <c r="AY2259" s="38"/>
      <c r="AZ2259" s="38"/>
      <c r="BA2259" s="38"/>
      <c r="BB2259" s="38"/>
      <c r="BC2259" s="38"/>
      <c r="BD2259" s="38"/>
      <c r="BE2259" s="38"/>
      <c r="BF2259" s="38"/>
      <c r="BG2259" s="38"/>
      <c r="BH2259" s="38"/>
      <c r="BI2259" s="38"/>
      <c r="BJ2259" s="38"/>
      <c r="BK2259" s="38"/>
      <c r="BL2259" s="38"/>
      <c r="BM2259" s="38"/>
      <c r="BN2259" s="38"/>
      <c r="BO2259" s="38"/>
      <c r="BP2259" s="38"/>
      <c r="BQ2259" s="38"/>
    </row>
    <row r="2260">
      <c r="A2260" s="47" t="s">
        <v>6140</v>
      </c>
      <c r="B2260" s="48"/>
      <c r="C2260" s="89">
        <v>43497.0</v>
      </c>
      <c r="D2260" s="49"/>
      <c r="E2260" s="47" t="s">
        <v>41</v>
      </c>
      <c r="F2260" s="47">
        <v>1.0</v>
      </c>
      <c r="G2260" s="47" t="s">
        <v>32</v>
      </c>
      <c r="H2260" s="63">
        <v>1.0</v>
      </c>
      <c r="I2260" s="47" t="s">
        <v>33</v>
      </c>
      <c r="J2260" s="47" t="s">
        <v>318</v>
      </c>
      <c r="K2260" s="47"/>
      <c r="L2260" s="47" t="s">
        <v>6121</v>
      </c>
      <c r="M2260" s="52" t="s">
        <v>6122</v>
      </c>
      <c r="N2260" s="52"/>
      <c r="O2260" s="55"/>
      <c r="P2260" s="47"/>
      <c r="Q2260" s="47"/>
      <c r="R2260" s="55"/>
      <c r="S2260" s="37" t="str">
        <f>IFERROR(__xludf.DUMMYFUNCTION("if(not(iserror(index(split(C2260, "" ""),2))), index(split(C2260, "" ""),1),"""")"),"February,")</f>
        <v>February,</v>
      </c>
      <c r="T2260" s="38">
        <f>IFERROR(__xludf.DUMMYFUNCTION("if(S2260="""",C2260,if(not(iserror(index(split(C2260, "" ""),3))), index(split(C2260, "" ""),3),index(split(C2260, "" ""),2)))"),2019.0)</f>
        <v>2019</v>
      </c>
      <c r="U2260" s="38" t="b">
        <f t="shared" si="349"/>
        <v>0</v>
      </c>
      <c r="V2260" s="38" t="s">
        <v>33</v>
      </c>
      <c r="W2260" s="40" t="s">
        <v>6123</v>
      </c>
      <c r="X2260" s="40"/>
      <c r="Y2260" s="40"/>
      <c r="Z2260" s="38"/>
      <c r="AA2260" s="38"/>
      <c r="AB2260" s="38"/>
      <c r="AC2260" s="38"/>
      <c r="AD2260" s="38"/>
      <c r="AE2260" s="38"/>
      <c r="AF2260" s="38"/>
      <c r="AG2260" s="38"/>
      <c r="AH2260" s="38"/>
      <c r="AI2260" s="38"/>
      <c r="AJ2260" s="38"/>
      <c r="AK2260" s="38"/>
      <c r="AL2260" s="38"/>
      <c r="AM2260" s="38"/>
      <c r="AN2260" s="38"/>
      <c r="AO2260" s="38"/>
      <c r="AP2260" s="38"/>
      <c r="AQ2260" s="38"/>
      <c r="AR2260" s="38"/>
      <c r="AS2260" s="38"/>
      <c r="AT2260" s="38"/>
      <c r="AU2260" s="38"/>
      <c r="AV2260" s="38"/>
      <c r="AW2260" s="38"/>
      <c r="AX2260" s="38"/>
      <c r="AY2260" s="38"/>
      <c r="AZ2260" s="38"/>
      <c r="BA2260" s="38"/>
      <c r="BB2260" s="38"/>
      <c r="BC2260" s="38"/>
      <c r="BD2260" s="38"/>
      <c r="BE2260" s="38"/>
      <c r="BF2260" s="38"/>
      <c r="BG2260" s="38"/>
      <c r="BH2260" s="38"/>
      <c r="BI2260" s="38"/>
      <c r="BJ2260" s="38"/>
      <c r="BK2260" s="38"/>
      <c r="BL2260" s="38"/>
      <c r="BM2260" s="38"/>
      <c r="BN2260" s="38"/>
      <c r="BO2260" s="38"/>
      <c r="BP2260" s="38"/>
      <c r="BQ2260" s="38"/>
    </row>
    <row r="2261">
      <c r="A2261" s="47" t="s">
        <v>6141</v>
      </c>
      <c r="B2261" s="48"/>
      <c r="C2261" s="89">
        <v>43497.0</v>
      </c>
      <c r="D2261" s="49"/>
      <c r="E2261" s="47" t="s">
        <v>41</v>
      </c>
      <c r="F2261" s="47">
        <v>1.0</v>
      </c>
      <c r="G2261" s="47" t="s">
        <v>32</v>
      </c>
      <c r="H2261" s="63">
        <v>1.0</v>
      </c>
      <c r="I2261" s="47" t="s">
        <v>33</v>
      </c>
      <c r="J2261" s="47" t="s">
        <v>318</v>
      </c>
      <c r="K2261" s="47"/>
      <c r="L2261" s="47" t="s">
        <v>6121</v>
      </c>
      <c r="M2261" s="52" t="s">
        <v>6122</v>
      </c>
      <c r="N2261" s="52"/>
      <c r="O2261" s="55"/>
      <c r="P2261" s="47"/>
      <c r="Q2261" s="47"/>
      <c r="R2261" s="55"/>
      <c r="S2261" s="37" t="str">
        <f>IFERROR(__xludf.DUMMYFUNCTION("if(not(iserror(index(split(C2261, "" ""),2))), index(split(C2261, "" ""),1),"""")"),"February,")</f>
        <v>February,</v>
      </c>
      <c r="T2261" s="38">
        <f>IFERROR(__xludf.DUMMYFUNCTION("if(S2261="""",C2261,if(not(iserror(index(split(C2261, "" ""),3))), index(split(C2261, "" ""),3),index(split(C2261, "" ""),2)))"),2019.0)</f>
        <v>2019</v>
      </c>
      <c r="U2261" s="38" t="b">
        <f t="shared" si="349"/>
        <v>0</v>
      </c>
      <c r="V2261" s="38" t="s">
        <v>33</v>
      </c>
      <c r="W2261" s="40" t="s">
        <v>6123</v>
      </c>
      <c r="X2261" s="40"/>
      <c r="Y2261" s="40"/>
      <c r="Z2261" s="38"/>
      <c r="AA2261" s="38"/>
      <c r="AB2261" s="38"/>
      <c r="AC2261" s="38"/>
      <c r="AD2261" s="38"/>
      <c r="AE2261" s="38"/>
      <c r="AF2261" s="38"/>
      <c r="AG2261" s="38"/>
      <c r="AH2261" s="38"/>
      <c r="AI2261" s="38"/>
      <c r="AJ2261" s="38"/>
      <c r="AK2261" s="38"/>
      <c r="AL2261" s="38"/>
      <c r="AM2261" s="38"/>
      <c r="AN2261" s="38"/>
      <c r="AO2261" s="38"/>
      <c r="AP2261" s="38"/>
      <c r="AQ2261" s="38"/>
      <c r="AR2261" s="38"/>
      <c r="AS2261" s="38"/>
      <c r="AT2261" s="38"/>
      <c r="AU2261" s="38"/>
      <c r="AV2261" s="38"/>
      <c r="AW2261" s="38"/>
      <c r="AX2261" s="38"/>
      <c r="AY2261" s="38"/>
      <c r="AZ2261" s="38"/>
      <c r="BA2261" s="38"/>
      <c r="BB2261" s="38"/>
      <c r="BC2261" s="38"/>
      <c r="BD2261" s="38"/>
      <c r="BE2261" s="38"/>
      <c r="BF2261" s="38"/>
      <c r="BG2261" s="38"/>
      <c r="BH2261" s="38"/>
      <c r="BI2261" s="38"/>
      <c r="BJ2261" s="38"/>
      <c r="BK2261" s="38"/>
      <c r="BL2261" s="38"/>
      <c r="BM2261" s="38"/>
      <c r="BN2261" s="38"/>
      <c r="BO2261" s="38"/>
      <c r="BP2261" s="38"/>
      <c r="BQ2261" s="38"/>
    </row>
    <row r="2262">
      <c r="A2262" s="47" t="s">
        <v>6142</v>
      </c>
      <c r="B2262" s="48"/>
      <c r="C2262" s="89">
        <v>43497.0</v>
      </c>
      <c r="D2262" s="49"/>
      <c r="E2262" s="47" t="s">
        <v>41</v>
      </c>
      <c r="F2262" s="47">
        <v>1.0</v>
      </c>
      <c r="G2262" s="47" t="s">
        <v>32</v>
      </c>
      <c r="H2262" s="63">
        <v>1.0</v>
      </c>
      <c r="I2262" s="47" t="s">
        <v>33</v>
      </c>
      <c r="J2262" s="47" t="s">
        <v>318</v>
      </c>
      <c r="K2262" s="47"/>
      <c r="L2262" s="47" t="s">
        <v>6121</v>
      </c>
      <c r="M2262" s="52" t="s">
        <v>6122</v>
      </c>
      <c r="N2262" s="52"/>
      <c r="O2262" s="55"/>
      <c r="P2262" s="47"/>
      <c r="Q2262" s="47"/>
      <c r="R2262" s="55"/>
      <c r="S2262" s="37" t="str">
        <f>IFERROR(__xludf.DUMMYFUNCTION("if(not(iserror(index(split(C2262, "" ""),2))), index(split(C2262, "" ""),1),"""")"),"February,")</f>
        <v>February,</v>
      </c>
      <c r="T2262" s="38">
        <f>IFERROR(__xludf.DUMMYFUNCTION("if(S2262="""",C2262,if(not(iserror(index(split(C2262, "" ""),3))), index(split(C2262, "" ""),3),index(split(C2262, "" ""),2)))"),2019.0)</f>
        <v>2019</v>
      </c>
      <c r="U2262" s="38" t="b">
        <f t="shared" si="349"/>
        <v>0</v>
      </c>
      <c r="V2262" s="38" t="s">
        <v>33</v>
      </c>
      <c r="W2262" s="40" t="s">
        <v>6123</v>
      </c>
      <c r="X2262" s="40"/>
      <c r="Y2262" s="40"/>
      <c r="Z2262" s="38"/>
      <c r="AA2262" s="38"/>
      <c r="AB2262" s="38"/>
      <c r="AC2262" s="38"/>
      <c r="AD2262" s="38"/>
      <c r="AE2262" s="38"/>
      <c r="AF2262" s="38"/>
      <c r="AG2262" s="38"/>
      <c r="AH2262" s="38"/>
      <c r="AI2262" s="38"/>
      <c r="AJ2262" s="38"/>
      <c r="AK2262" s="38"/>
      <c r="AL2262" s="38"/>
      <c r="AM2262" s="38"/>
      <c r="AN2262" s="38"/>
      <c r="AO2262" s="38"/>
      <c r="AP2262" s="38"/>
      <c r="AQ2262" s="38"/>
      <c r="AR2262" s="38"/>
      <c r="AS2262" s="38"/>
      <c r="AT2262" s="38"/>
      <c r="AU2262" s="38"/>
      <c r="AV2262" s="38"/>
      <c r="AW2262" s="38"/>
      <c r="AX2262" s="38"/>
      <c r="AY2262" s="38"/>
      <c r="AZ2262" s="38"/>
      <c r="BA2262" s="38"/>
      <c r="BB2262" s="38"/>
      <c r="BC2262" s="38"/>
      <c r="BD2262" s="38"/>
      <c r="BE2262" s="38"/>
      <c r="BF2262" s="38"/>
      <c r="BG2262" s="38"/>
      <c r="BH2262" s="38"/>
      <c r="BI2262" s="38"/>
      <c r="BJ2262" s="38"/>
      <c r="BK2262" s="38"/>
      <c r="BL2262" s="38"/>
      <c r="BM2262" s="38"/>
      <c r="BN2262" s="38"/>
      <c r="BO2262" s="38"/>
      <c r="BP2262" s="38"/>
      <c r="BQ2262" s="38"/>
    </row>
    <row r="2263">
      <c r="A2263" s="47" t="s">
        <v>6143</v>
      </c>
      <c r="B2263" s="48"/>
      <c r="C2263" s="89">
        <v>43497.0</v>
      </c>
      <c r="D2263" s="49"/>
      <c r="E2263" s="47" t="s">
        <v>41</v>
      </c>
      <c r="F2263" s="47">
        <v>1.0</v>
      </c>
      <c r="G2263" s="47" t="s">
        <v>32</v>
      </c>
      <c r="H2263" s="63">
        <v>1.0</v>
      </c>
      <c r="I2263" s="47" t="s">
        <v>33</v>
      </c>
      <c r="J2263" s="47" t="s">
        <v>318</v>
      </c>
      <c r="K2263" s="47"/>
      <c r="L2263" s="47" t="s">
        <v>6121</v>
      </c>
      <c r="M2263" s="52" t="s">
        <v>6122</v>
      </c>
      <c r="N2263" s="52"/>
      <c r="O2263" s="55"/>
      <c r="P2263" s="47"/>
      <c r="Q2263" s="47"/>
      <c r="R2263" s="55"/>
      <c r="S2263" s="37" t="str">
        <f>IFERROR(__xludf.DUMMYFUNCTION("if(not(iserror(index(split(C2263, "" ""),2))), index(split(C2263, "" ""),1),"""")"),"February,")</f>
        <v>February,</v>
      </c>
      <c r="T2263" s="38">
        <f>IFERROR(__xludf.DUMMYFUNCTION("if(S2263="""",C2263,if(not(iserror(index(split(C2263, "" ""),3))), index(split(C2263, "" ""),3),index(split(C2263, "" ""),2)))"),2019.0)</f>
        <v>2019</v>
      </c>
      <c r="U2263" s="38" t="b">
        <f t="shared" si="349"/>
        <v>0</v>
      </c>
      <c r="V2263" s="38" t="s">
        <v>33</v>
      </c>
      <c r="W2263" s="40" t="s">
        <v>6123</v>
      </c>
      <c r="X2263" s="40"/>
      <c r="Y2263" s="40"/>
      <c r="Z2263" s="38"/>
      <c r="AA2263" s="38"/>
      <c r="AB2263" s="38"/>
      <c r="AC2263" s="38"/>
      <c r="AD2263" s="38"/>
      <c r="AE2263" s="38"/>
      <c r="AF2263" s="38"/>
      <c r="AG2263" s="38"/>
      <c r="AH2263" s="38"/>
      <c r="AI2263" s="38"/>
      <c r="AJ2263" s="38"/>
      <c r="AK2263" s="38"/>
      <c r="AL2263" s="38"/>
      <c r="AM2263" s="38"/>
      <c r="AN2263" s="38"/>
      <c r="AO2263" s="38"/>
      <c r="AP2263" s="38"/>
      <c r="AQ2263" s="38"/>
      <c r="AR2263" s="38"/>
      <c r="AS2263" s="38"/>
      <c r="AT2263" s="38"/>
      <c r="AU2263" s="38"/>
      <c r="AV2263" s="38"/>
      <c r="AW2263" s="38"/>
      <c r="AX2263" s="38"/>
      <c r="AY2263" s="38"/>
      <c r="AZ2263" s="38"/>
      <c r="BA2263" s="38"/>
      <c r="BB2263" s="38"/>
      <c r="BC2263" s="38"/>
      <c r="BD2263" s="38"/>
      <c r="BE2263" s="38"/>
      <c r="BF2263" s="38"/>
      <c r="BG2263" s="38"/>
      <c r="BH2263" s="38"/>
      <c r="BI2263" s="38"/>
      <c r="BJ2263" s="38"/>
      <c r="BK2263" s="38"/>
      <c r="BL2263" s="38"/>
      <c r="BM2263" s="38"/>
      <c r="BN2263" s="38"/>
      <c r="BO2263" s="38"/>
      <c r="BP2263" s="38"/>
      <c r="BQ2263" s="38"/>
    </row>
    <row r="2264">
      <c r="A2264" s="47" t="s">
        <v>6144</v>
      </c>
      <c r="B2264" s="48"/>
      <c r="C2264" s="89">
        <v>43497.0</v>
      </c>
      <c r="D2264" s="49"/>
      <c r="E2264" s="47" t="s">
        <v>41</v>
      </c>
      <c r="F2264" s="47">
        <v>1.0</v>
      </c>
      <c r="G2264" s="47">
        <v>67.0</v>
      </c>
      <c r="H2264" s="63">
        <v>67.0</v>
      </c>
      <c r="I2264" s="47" t="s">
        <v>33</v>
      </c>
      <c r="J2264" s="47" t="s">
        <v>193</v>
      </c>
      <c r="K2264" s="47"/>
      <c r="L2264" s="47" t="s">
        <v>194</v>
      </c>
      <c r="M2264" s="51" t="s">
        <v>6145</v>
      </c>
      <c r="N2264" s="52"/>
      <c r="O2264" s="55"/>
      <c r="P2264" s="47"/>
      <c r="Q2264" s="47"/>
      <c r="R2264" s="55"/>
      <c r="S2264" s="37" t="str">
        <f>IFERROR(__xludf.DUMMYFUNCTION("if(not(iserror(index(split(C2264, "" ""),2))), index(split(C2264, "" ""),1),"""")"),"February,")</f>
        <v>February,</v>
      </c>
      <c r="T2264" s="38">
        <f>IFERROR(__xludf.DUMMYFUNCTION("if(S2264="""",C2264,if(not(iserror(index(split(C2264, "" ""),3))), index(split(C2264, "" ""),3),index(split(C2264, "" ""),2)))"),2019.0)</f>
        <v>2019</v>
      </c>
      <c r="U2264" s="38" t="b">
        <f t="shared" si="349"/>
        <v>0</v>
      </c>
      <c r="V2264" s="38" t="s">
        <v>6146</v>
      </c>
      <c r="W2264" s="40"/>
      <c r="X2264" s="40"/>
      <c r="Y2264" s="40"/>
      <c r="Z2264" s="38"/>
      <c r="AA2264" s="38"/>
      <c r="AB2264" s="38"/>
      <c r="AC2264" s="38"/>
      <c r="AD2264" s="38"/>
      <c r="AE2264" s="38"/>
      <c r="AF2264" s="38"/>
      <c r="AG2264" s="38"/>
      <c r="AH2264" s="38"/>
      <c r="AI2264" s="38"/>
      <c r="AJ2264" s="38"/>
      <c r="AK2264" s="38"/>
      <c r="AL2264" s="38"/>
      <c r="AM2264" s="38"/>
      <c r="AN2264" s="38"/>
      <c r="AO2264" s="38"/>
      <c r="AP2264" s="38"/>
      <c r="AQ2264" s="38"/>
      <c r="AR2264" s="38"/>
      <c r="AS2264" s="38"/>
      <c r="AT2264" s="38"/>
      <c r="AU2264" s="38"/>
      <c r="AV2264" s="38"/>
      <c r="AW2264" s="38"/>
      <c r="AX2264" s="38"/>
      <c r="AY2264" s="38"/>
      <c r="AZ2264" s="38"/>
      <c r="BA2264" s="38"/>
      <c r="BB2264" s="38"/>
      <c r="BC2264" s="38"/>
      <c r="BD2264" s="38"/>
      <c r="BE2264" s="38"/>
      <c r="BF2264" s="38"/>
      <c r="BG2264" s="38"/>
      <c r="BH2264" s="38"/>
      <c r="BI2264" s="38"/>
      <c r="BJ2264" s="38"/>
      <c r="BK2264" s="38"/>
      <c r="BL2264" s="38"/>
      <c r="BM2264" s="38"/>
      <c r="BN2264" s="38"/>
      <c r="BO2264" s="38"/>
      <c r="BP2264" s="38"/>
      <c r="BQ2264" s="38"/>
    </row>
    <row r="2265">
      <c r="A2265" s="47" t="s">
        <v>6147</v>
      </c>
      <c r="B2265" s="48"/>
      <c r="C2265" s="89">
        <v>43497.0</v>
      </c>
      <c r="D2265" s="49"/>
      <c r="E2265" s="47" t="s">
        <v>41</v>
      </c>
      <c r="F2265" s="47">
        <v>1.0</v>
      </c>
      <c r="G2265" s="47" t="s">
        <v>32</v>
      </c>
      <c r="H2265" s="63">
        <v>1.0</v>
      </c>
      <c r="I2265" s="47" t="s">
        <v>33</v>
      </c>
      <c r="J2265" s="47" t="s">
        <v>124</v>
      </c>
      <c r="K2265" s="47"/>
      <c r="L2265" s="47" t="s">
        <v>119</v>
      </c>
      <c r="M2265" s="51" t="s">
        <v>6148</v>
      </c>
      <c r="N2265" s="52"/>
      <c r="O2265" s="55"/>
      <c r="P2265" s="47"/>
      <c r="Q2265" s="47"/>
      <c r="R2265" s="55"/>
      <c r="S2265" s="37" t="str">
        <f>IFERROR(__xludf.DUMMYFUNCTION("if(not(iserror(index(split(C2265, "" ""),2))), index(split(C2265, "" ""),1),"""")"),"February,")</f>
        <v>February,</v>
      </c>
      <c r="T2265" s="38">
        <f>IFERROR(__xludf.DUMMYFUNCTION("if(S2265="""",C2265,if(not(iserror(index(split(C2265, "" ""),3))), index(split(C2265, "" ""),3),index(split(C2265, "" ""),2)))"),2019.0)</f>
        <v>2019</v>
      </c>
      <c r="U2265" s="38" t="b">
        <f t="shared" si="349"/>
        <v>0</v>
      </c>
      <c r="V2265" s="38" t="s">
        <v>33</v>
      </c>
      <c r="W2265" s="40"/>
      <c r="X2265" s="40"/>
      <c r="Y2265" s="40"/>
      <c r="Z2265" s="38"/>
      <c r="AA2265" s="38"/>
      <c r="AB2265" s="38"/>
      <c r="AC2265" s="38"/>
      <c r="AD2265" s="38"/>
      <c r="AE2265" s="38"/>
      <c r="AF2265" s="38"/>
      <c r="AG2265" s="38"/>
      <c r="AH2265" s="38"/>
      <c r="AI2265" s="38"/>
      <c r="AJ2265" s="38"/>
      <c r="AK2265" s="38"/>
      <c r="AL2265" s="38"/>
      <c r="AM2265" s="38"/>
      <c r="AN2265" s="38"/>
      <c r="AO2265" s="38"/>
      <c r="AP2265" s="38"/>
      <c r="AQ2265" s="38"/>
      <c r="AR2265" s="38"/>
      <c r="AS2265" s="38"/>
      <c r="AT2265" s="38"/>
      <c r="AU2265" s="38"/>
      <c r="AV2265" s="38"/>
      <c r="AW2265" s="38"/>
      <c r="AX2265" s="38"/>
      <c r="AY2265" s="38"/>
      <c r="AZ2265" s="38"/>
      <c r="BA2265" s="38"/>
      <c r="BB2265" s="38"/>
      <c r="BC2265" s="38"/>
      <c r="BD2265" s="38"/>
      <c r="BE2265" s="38"/>
      <c r="BF2265" s="38"/>
      <c r="BG2265" s="38"/>
      <c r="BH2265" s="38"/>
      <c r="BI2265" s="38"/>
      <c r="BJ2265" s="38"/>
      <c r="BK2265" s="38"/>
      <c r="BL2265" s="38"/>
      <c r="BM2265" s="38"/>
      <c r="BN2265" s="38"/>
      <c r="BO2265" s="38"/>
      <c r="BP2265" s="38"/>
      <c r="BQ2265" s="38"/>
    </row>
    <row r="2266">
      <c r="A2266" s="47" t="s">
        <v>6149</v>
      </c>
      <c r="B2266" s="48"/>
      <c r="C2266" s="48">
        <v>43497.0</v>
      </c>
      <c r="D2266" s="49"/>
      <c r="E2266" s="47" t="s">
        <v>41</v>
      </c>
      <c r="F2266" s="47">
        <v>1.0</v>
      </c>
      <c r="G2266" s="47" t="s">
        <v>32</v>
      </c>
      <c r="H2266" s="63">
        <v>1.0</v>
      </c>
      <c r="I2266" s="47" t="s">
        <v>33</v>
      </c>
      <c r="J2266" s="47" t="s">
        <v>115</v>
      </c>
      <c r="K2266" s="47"/>
      <c r="L2266" s="47" t="s">
        <v>119</v>
      </c>
      <c r="M2266" s="52" t="s">
        <v>6150</v>
      </c>
      <c r="N2266" s="52"/>
      <c r="O2266" s="53" t="str">
        <f>hyperlink("https://bad-boys.us/?q=WD-PA/2:19-cr-00042", "WD-PA 2:19-cr-00042")</f>
        <v>WD-PA 2:19-cr-00042</v>
      </c>
      <c r="P2266" s="54" t="s">
        <v>6151</v>
      </c>
      <c r="Q2266" s="47">
        <v>1.0</v>
      </c>
      <c r="R2266" s="55"/>
      <c r="S2266" s="37" t="str">
        <f>IFERROR(__xludf.DUMMYFUNCTION("if(not(iserror(index(split(C2266, "" ""),2))), index(split(C2266, "" ""),1),"""")"),"February")</f>
        <v>February</v>
      </c>
      <c r="T2266" s="38">
        <f>IFERROR(__xludf.DUMMYFUNCTION("if(S2266="""",C2266,if(not(iserror(index(split(C2266, "" ""),3))), index(split(C2266, "" ""),3),index(split(C2266, "" ""),2)))"),2019.0)</f>
        <v>2019</v>
      </c>
      <c r="U2266" s="38" t="b">
        <f t="shared" si="349"/>
        <v>0</v>
      </c>
      <c r="V2266" s="38" t="s">
        <v>33</v>
      </c>
      <c r="W2266" s="40"/>
      <c r="X2266" s="40"/>
      <c r="Y2266" s="40"/>
      <c r="Z2266" s="38"/>
      <c r="AA2266" s="38"/>
      <c r="AB2266" s="38"/>
      <c r="AC2266" s="38"/>
      <c r="AD2266" s="38"/>
      <c r="AE2266" s="38"/>
      <c r="AF2266" s="38"/>
      <c r="AG2266" s="38"/>
      <c r="AH2266" s="38"/>
      <c r="AI2266" s="38"/>
      <c r="AJ2266" s="38"/>
      <c r="AK2266" s="38"/>
      <c r="AL2266" s="38"/>
      <c r="AM2266" s="38"/>
      <c r="AN2266" s="38"/>
      <c r="AO2266" s="38"/>
      <c r="AP2266" s="38"/>
      <c r="AQ2266" s="38"/>
      <c r="AR2266" s="38"/>
      <c r="AS2266" s="38"/>
      <c r="AT2266" s="38"/>
      <c r="AU2266" s="38"/>
      <c r="AV2266" s="38"/>
      <c r="AW2266" s="38"/>
      <c r="AX2266" s="38"/>
      <c r="AY2266" s="38"/>
      <c r="AZ2266" s="38"/>
      <c r="BA2266" s="38"/>
      <c r="BB2266" s="38"/>
      <c r="BC2266" s="38"/>
      <c r="BD2266" s="38"/>
      <c r="BE2266" s="38"/>
      <c r="BF2266" s="38"/>
      <c r="BG2266" s="38"/>
      <c r="BH2266" s="38"/>
      <c r="BI2266" s="38"/>
      <c r="BJ2266" s="38"/>
      <c r="BK2266" s="38"/>
      <c r="BL2266" s="38"/>
      <c r="BM2266" s="38"/>
      <c r="BN2266" s="38"/>
      <c r="BO2266" s="38"/>
      <c r="BP2266" s="38"/>
      <c r="BQ2266" s="38"/>
    </row>
    <row r="2267">
      <c r="A2267" s="87" t="s">
        <v>6152</v>
      </c>
      <c r="B2267" s="48"/>
      <c r="C2267" s="48">
        <v>43498.0</v>
      </c>
      <c r="D2267" s="49"/>
      <c r="E2267" s="47" t="s">
        <v>31</v>
      </c>
      <c r="F2267" s="47">
        <v>1.0</v>
      </c>
      <c r="G2267" s="47" t="s">
        <v>32</v>
      </c>
      <c r="H2267" s="63">
        <v>1.0</v>
      </c>
      <c r="I2267" s="47" t="s">
        <v>33</v>
      </c>
      <c r="J2267" s="47" t="s">
        <v>111</v>
      </c>
      <c r="K2267" s="47"/>
      <c r="L2267" s="47" t="s">
        <v>790</v>
      </c>
      <c r="M2267" s="52" t="s">
        <v>6153</v>
      </c>
      <c r="N2267" s="51" t="s">
        <v>6154</v>
      </c>
      <c r="O2267" s="53" t="str">
        <f>hyperlink("https://bad-boys.us/?q=CD-CA/2:18-cr-00053", "CD-CA 2:18-cr-00053")</f>
        <v>CD-CA 2:18-cr-00053</v>
      </c>
      <c r="P2267" s="54" t="s">
        <v>6155</v>
      </c>
      <c r="Q2267" s="47">
        <v>1.0</v>
      </c>
      <c r="R2267" s="55"/>
      <c r="S2267" s="37" t="str">
        <f>IFERROR(__xludf.DUMMYFUNCTION("if(not(iserror(index(split(C2267, "" ""),2))), index(split(C2267, "" ""),1),"""")"),"February")</f>
        <v>February</v>
      </c>
      <c r="T2267" s="38">
        <f>IFERROR(__xludf.DUMMYFUNCTION("if(S2267="""",C2267,if(not(iserror(index(split(C2267, "" ""),3))), index(split(C2267, "" ""),3),index(split(C2267, "" ""),2)))"),2019.0)</f>
        <v>2019</v>
      </c>
      <c r="U2267" s="38" t="b">
        <f t="shared" si="349"/>
        <v>0</v>
      </c>
      <c r="V2267" s="38" t="s">
        <v>33</v>
      </c>
      <c r="W2267" s="39" t="s">
        <v>6156</v>
      </c>
      <c r="X2267" s="39" t="s">
        <v>6157</v>
      </c>
      <c r="Y2267" s="40"/>
      <c r="Z2267" s="38"/>
      <c r="AA2267" s="38"/>
      <c r="AB2267" s="38"/>
      <c r="AC2267" s="38"/>
      <c r="AD2267" s="38"/>
      <c r="AE2267" s="38"/>
      <c r="AF2267" s="38"/>
      <c r="AG2267" s="38"/>
      <c r="AH2267" s="38"/>
      <c r="AI2267" s="38"/>
      <c r="AJ2267" s="38"/>
      <c r="AK2267" s="38"/>
      <c r="AL2267" s="38"/>
      <c r="AM2267" s="38"/>
      <c r="AN2267" s="38"/>
      <c r="AO2267" s="38"/>
      <c r="AP2267" s="38"/>
      <c r="AQ2267" s="38"/>
      <c r="AR2267" s="38"/>
      <c r="AS2267" s="38"/>
      <c r="AT2267" s="38"/>
      <c r="AU2267" s="38"/>
      <c r="AV2267" s="38"/>
      <c r="AW2267" s="38"/>
      <c r="AX2267" s="38"/>
      <c r="AY2267" s="38"/>
      <c r="AZ2267" s="38"/>
      <c r="BA2267" s="38"/>
      <c r="BB2267" s="38"/>
      <c r="BC2267" s="38"/>
      <c r="BD2267" s="38"/>
      <c r="BE2267" s="38"/>
      <c r="BF2267" s="38"/>
      <c r="BG2267" s="38"/>
      <c r="BH2267" s="38"/>
      <c r="BI2267" s="38"/>
      <c r="BJ2267" s="38"/>
      <c r="BK2267" s="38"/>
      <c r="BL2267" s="38"/>
      <c r="BM2267" s="38"/>
      <c r="BN2267" s="38"/>
      <c r="BO2267" s="38"/>
      <c r="BP2267" s="38"/>
      <c r="BQ2267" s="38"/>
    </row>
    <row r="2268">
      <c r="A2268" s="87" t="s">
        <v>6158</v>
      </c>
      <c r="B2268" s="48"/>
      <c r="C2268" s="48">
        <v>43498.0</v>
      </c>
      <c r="D2268" s="49"/>
      <c r="E2268" s="47" t="s">
        <v>41</v>
      </c>
      <c r="F2268" s="47">
        <v>1.0</v>
      </c>
      <c r="G2268" s="47" t="s">
        <v>32</v>
      </c>
      <c r="H2268" s="63">
        <v>1.0</v>
      </c>
      <c r="I2268" s="47" t="s">
        <v>33</v>
      </c>
      <c r="J2268" s="47" t="s">
        <v>147</v>
      </c>
      <c r="K2268" s="47"/>
      <c r="L2268" s="47" t="s">
        <v>119</v>
      </c>
      <c r="M2268" s="51" t="s">
        <v>6159</v>
      </c>
      <c r="N2268" s="52"/>
      <c r="O2268" s="53" t="str">
        <f>hyperlink("https://bad-boys.us/?q=WD-TX/5:19-cr-00106", "WD-TX 5:19-cr-00106")</f>
        <v>WD-TX 5:19-cr-00106</v>
      </c>
      <c r="P2268" s="54" t="s">
        <v>6160</v>
      </c>
      <c r="Q2268" s="47">
        <v>1.0</v>
      </c>
      <c r="R2268" s="55"/>
      <c r="S2268" s="37" t="str">
        <f>IFERROR(__xludf.DUMMYFUNCTION("if(not(iserror(index(split(C2268, "" ""),2))), index(split(C2268, "" ""),1),"""")"),"February")</f>
        <v>February</v>
      </c>
      <c r="T2268" s="38">
        <f>IFERROR(__xludf.DUMMYFUNCTION("if(S2268="""",C2268,if(not(iserror(index(split(C2268, "" ""),3))), index(split(C2268, "" ""),3),index(split(C2268, "" ""),2)))"),2019.0)</f>
        <v>2019</v>
      </c>
      <c r="U2268" s="38" t="b">
        <f t="shared" si="349"/>
        <v>0</v>
      </c>
      <c r="V2268" s="38" t="s">
        <v>33</v>
      </c>
      <c r="W2268" s="40"/>
      <c r="X2268" s="40"/>
      <c r="Y2268" s="40"/>
      <c r="Z2268" s="38"/>
      <c r="AA2268" s="38"/>
      <c r="AB2268" s="38"/>
      <c r="AC2268" s="38"/>
      <c r="AD2268" s="38"/>
      <c r="AE2268" s="38"/>
      <c r="AF2268" s="38"/>
      <c r="AG2268" s="38"/>
      <c r="AH2268" s="38"/>
      <c r="AI2268" s="38"/>
      <c r="AJ2268" s="38"/>
      <c r="AK2268" s="38"/>
      <c r="AL2268" s="38"/>
      <c r="AM2268" s="38"/>
      <c r="AN2268" s="38"/>
      <c r="AO2268" s="38"/>
      <c r="AP2268" s="38"/>
      <c r="AQ2268" s="38"/>
      <c r="AR2268" s="38"/>
      <c r="AS2268" s="38"/>
      <c r="AT2268" s="38"/>
      <c r="AU2268" s="38"/>
      <c r="AV2268" s="38"/>
      <c r="AW2268" s="38"/>
      <c r="AX2268" s="38"/>
      <c r="AY2268" s="38"/>
      <c r="AZ2268" s="38"/>
      <c r="BA2268" s="38"/>
      <c r="BB2268" s="38"/>
      <c r="BC2268" s="38"/>
      <c r="BD2268" s="38"/>
      <c r="BE2268" s="38"/>
      <c r="BF2268" s="38"/>
      <c r="BG2268" s="38"/>
      <c r="BH2268" s="38"/>
      <c r="BI2268" s="38"/>
      <c r="BJ2268" s="38"/>
      <c r="BK2268" s="38"/>
      <c r="BL2268" s="38"/>
      <c r="BM2268" s="38"/>
      <c r="BN2268" s="38"/>
      <c r="BO2268" s="38"/>
      <c r="BP2268" s="38"/>
      <c r="BQ2268" s="38"/>
    </row>
    <row r="2269">
      <c r="A2269" s="47" t="s">
        <v>6161</v>
      </c>
      <c r="B2269" s="48"/>
      <c r="C2269" s="48">
        <v>43500.0</v>
      </c>
      <c r="D2269" s="49"/>
      <c r="E2269" s="47" t="s">
        <v>31</v>
      </c>
      <c r="F2269" s="47">
        <v>1.0</v>
      </c>
      <c r="G2269" s="47">
        <v>7.0</v>
      </c>
      <c r="H2269" s="63">
        <v>7.0</v>
      </c>
      <c r="I2269" s="47" t="s">
        <v>33</v>
      </c>
      <c r="J2269" s="47" t="s">
        <v>184</v>
      </c>
      <c r="K2269" s="47"/>
      <c r="L2269" s="47" t="s">
        <v>119</v>
      </c>
      <c r="M2269" s="51" t="s">
        <v>6162</v>
      </c>
      <c r="N2269" s="51" t="s">
        <v>6163</v>
      </c>
      <c r="O2269" s="53" t="str">
        <f>hyperlink("https://bad-boys.us/?q=CD-IL/2:19-cr-20017", "CD-IL 2:19-cr-20017")</f>
        <v>CD-IL 2:19-cr-20017</v>
      </c>
      <c r="P2269" s="54" t="s">
        <v>6164</v>
      </c>
      <c r="Q2269" s="47">
        <v>1.0</v>
      </c>
      <c r="R2269" s="55"/>
      <c r="S2269" s="37" t="str">
        <f>IFERROR(__xludf.DUMMYFUNCTION("if(not(iserror(index(split(C2269, "" ""),2))), index(split(C2269, "" ""),1),"""")"),"February")</f>
        <v>February</v>
      </c>
      <c r="T2269" s="38">
        <f>IFERROR(__xludf.DUMMYFUNCTION("if(S2269="""",C2269,if(not(iserror(index(split(C2269, "" ""),3))), index(split(C2269, "" ""),3),index(split(C2269, "" ""),2)))"),2019.0)</f>
        <v>2019</v>
      </c>
      <c r="U2269" s="38" t="b">
        <f t="shared" si="349"/>
        <v>0</v>
      </c>
      <c r="V2269" s="38" t="s">
        <v>33</v>
      </c>
      <c r="W2269" s="39" t="s">
        <v>6165</v>
      </c>
      <c r="X2269" s="39" t="s">
        <v>6166</v>
      </c>
      <c r="Y2269" s="40"/>
      <c r="Z2269" s="38"/>
      <c r="AA2269" s="38"/>
      <c r="AB2269" s="38"/>
      <c r="AC2269" s="38"/>
      <c r="AD2269" s="38"/>
      <c r="AE2269" s="38"/>
      <c r="AF2269" s="38"/>
      <c r="AG2269" s="38"/>
      <c r="AH2269" s="38"/>
      <c r="AI2269" s="38"/>
      <c r="AJ2269" s="38"/>
      <c r="AK2269" s="38"/>
      <c r="AL2269" s="38"/>
      <c r="AM2269" s="38"/>
      <c r="AN2269" s="38"/>
      <c r="AO2269" s="38"/>
      <c r="AP2269" s="38"/>
      <c r="AQ2269" s="38"/>
      <c r="AR2269" s="38"/>
      <c r="AS2269" s="38"/>
      <c r="AT2269" s="38"/>
      <c r="AU2269" s="38"/>
      <c r="AV2269" s="38"/>
      <c r="AW2269" s="38"/>
      <c r="AX2269" s="38"/>
      <c r="AY2269" s="38"/>
      <c r="AZ2269" s="38"/>
      <c r="BA2269" s="38"/>
      <c r="BB2269" s="38"/>
      <c r="BC2269" s="38"/>
      <c r="BD2269" s="38"/>
      <c r="BE2269" s="38"/>
      <c r="BF2269" s="38"/>
      <c r="BG2269" s="38"/>
      <c r="BH2269" s="38"/>
      <c r="BI2269" s="38"/>
      <c r="BJ2269" s="38"/>
      <c r="BK2269" s="38"/>
      <c r="BL2269" s="38"/>
      <c r="BM2269" s="38"/>
      <c r="BN2269" s="38"/>
      <c r="BO2269" s="38"/>
      <c r="BP2269" s="38"/>
      <c r="BQ2269" s="38"/>
    </row>
    <row r="2270">
      <c r="A2270" s="47" t="s">
        <v>6167</v>
      </c>
      <c r="B2270" s="48">
        <v>43500.0</v>
      </c>
      <c r="C2270" s="48">
        <v>43500.0</v>
      </c>
      <c r="D2270" s="49" t="s">
        <v>6168</v>
      </c>
      <c r="E2270" s="47" t="s">
        <v>31</v>
      </c>
      <c r="F2270" s="47">
        <v>2.0</v>
      </c>
      <c r="G2270" s="47">
        <v>1.0</v>
      </c>
      <c r="H2270" s="63">
        <v>1.0</v>
      </c>
      <c r="I2270" s="47" t="s">
        <v>33</v>
      </c>
      <c r="J2270" s="47" t="s">
        <v>222</v>
      </c>
      <c r="K2270" s="47">
        <v>5.0</v>
      </c>
      <c r="L2270" s="47" t="s">
        <v>119</v>
      </c>
      <c r="M2270" s="52" t="s">
        <v>6169</v>
      </c>
      <c r="N2270" s="51" t="s">
        <v>6170</v>
      </c>
      <c r="O2270" s="55"/>
      <c r="P2270" s="47"/>
      <c r="Q2270" s="47"/>
      <c r="R2270" s="55"/>
      <c r="S2270" s="37" t="str">
        <f>IFERROR(__xludf.DUMMYFUNCTION("if(not(iserror(index(split(C2270, "" ""),2))), index(split(C2270, "" ""),1),"""")"),"February")</f>
        <v>February</v>
      </c>
      <c r="T2270" s="38">
        <f>IFERROR(__xludf.DUMMYFUNCTION("if(S2270="""",C2270,if(not(iserror(index(split(C2270, "" ""),3))), index(split(C2270, "" ""),3),index(split(C2270, "" ""),2)))"),2019.0)</f>
        <v>2019</v>
      </c>
      <c r="U2270" s="38" t="b">
        <f t="shared" si="349"/>
        <v>0</v>
      </c>
      <c r="V2270" s="38" t="s">
        <v>33</v>
      </c>
      <c r="W2270" s="39" t="s">
        <v>6171</v>
      </c>
      <c r="X2270" s="39" t="s">
        <v>6172</v>
      </c>
      <c r="Y2270" s="40"/>
      <c r="Z2270" s="38"/>
      <c r="AA2270" s="38"/>
      <c r="AB2270" s="38"/>
      <c r="AC2270" s="38"/>
      <c r="AD2270" s="38"/>
      <c r="AE2270" s="38"/>
      <c r="AF2270" s="38"/>
      <c r="AG2270" s="38"/>
      <c r="AH2270" s="38"/>
      <c r="AI2270" s="38"/>
      <c r="AJ2270" s="38"/>
      <c r="AK2270" s="38"/>
      <c r="AL2270" s="38"/>
      <c r="AM2270" s="38"/>
      <c r="AN2270" s="38"/>
      <c r="AO2270" s="38"/>
      <c r="AP2270" s="38"/>
      <c r="AQ2270" s="38"/>
      <c r="AR2270" s="38"/>
      <c r="AS2270" s="38"/>
      <c r="AT2270" s="38"/>
      <c r="AU2270" s="38"/>
      <c r="AV2270" s="38"/>
      <c r="AW2270" s="38"/>
      <c r="AX2270" s="38"/>
      <c r="AY2270" s="38"/>
      <c r="AZ2270" s="38"/>
      <c r="BA2270" s="38"/>
      <c r="BB2270" s="38"/>
      <c r="BC2270" s="38"/>
      <c r="BD2270" s="38"/>
      <c r="BE2270" s="38"/>
      <c r="BF2270" s="38"/>
      <c r="BG2270" s="38"/>
      <c r="BH2270" s="38"/>
      <c r="BI2270" s="38"/>
      <c r="BJ2270" s="38"/>
      <c r="BK2270" s="38"/>
      <c r="BL2270" s="38"/>
      <c r="BM2270" s="38"/>
      <c r="BN2270" s="38"/>
      <c r="BO2270" s="38"/>
      <c r="BP2270" s="38"/>
      <c r="BQ2270" s="38"/>
    </row>
    <row r="2271">
      <c r="A2271" s="47" t="s">
        <v>6173</v>
      </c>
      <c r="B2271" s="48">
        <v>43501.0</v>
      </c>
      <c r="C2271" s="48">
        <v>43500.0</v>
      </c>
      <c r="D2271" s="49" t="s">
        <v>6168</v>
      </c>
      <c r="E2271" s="47" t="s">
        <v>31</v>
      </c>
      <c r="F2271" s="47">
        <v>3.0</v>
      </c>
      <c r="G2271" s="47">
        <v>1.0</v>
      </c>
      <c r="H2271" s="63">
        <v>1.0</v>
      </c>
      <c r="I2271" s="47" t="s">
        <v>33</v>
      </c>
      <c r="J2271" s="47" t="s">
        <v>61</v>
      </c>
      <c r="K2271" s="47">
        <v>2.0</v>
      </c>
      <c r="L2271" s="47" t="s">
        <v>35</v>
      </c>
      <c r="M2271" s="51" t="s">
        <v>6174</v>
      </c>
      <c r="N2271" s="51" t="s">
        <v>6175</v>
      </c>
      <c r="O2271" s="55"/>
      <c r="P2271" s="47"/>
      <c r="Q2271" s="47"/>
      <c r="R2271" s="55"/>
      <c r="S2271" s="37" t="str">
        <f>IFERROR(__xludf.DUMMYFUNCTION("if(not(iserror(index(split(C2271, "" ""),2))), index(split(C2271, "" ""),1),"""")"),"February")</f>
        <v>February</v>
      </c>
      <c r="T2271" s="38">
        <f>IFERROR(__xludf.DUMMYFUNCTION("if(S2271="""",C2271,if(not(iserror(index(split(C2271, "" ""),3))), index(split(C2271, "" ""),3),index(split(C2271, "" ""),2)))"),2019.0)</f>
        <v>2019</v>
      </c>
      <c r="U2271" s="38" t="b">
        <f t="shared" si="349"/>
        <v>0</v>
      </c>
      <c r="V2271" s="38" t="s">
        <v>33</v>
      </c>
      <c r="W2271" s="40"/>
      <c r="X2271" s="40"/>
      <c r="Y2271" s="40"/>
      <c r="Z2271" s="38"/>
      <c r="AA2271" s="38"/>
      <c r="AB2271" s="38"/>
      <c r="AC2271" s="38"/>
      <c r="AD2271" s="38"/>
      <c r="AE2271" s="38"/>
      <c r="AF2271" s="38"/>
      <c r="AG2271" s="38"/>
      <c r="AH2271" s="38"/>
      <c r="AI2271" s="38"/>
      <c r="AJ2271" s="38"/>
      <c r="AK2271" s="38"/>
      <c r="AL2271" s="38"/>
      <c r="AM2271" s="38"/>
      <c r="AN2271" s="38"/>
      <c r="AO2271" s="38"/>
      <c r="AP2271" s="38"/>
      <c r="AQ2271" s="38"/>
      <c r="AR2271" s="38"/>
      <c r="AS2271" s="38"/>
      <c r="AT2271" s="38"/>
      <c r="AU2271" s="38"/>
      <c r="AV2271" s="38"/>
      <c r="AW2271" s="38"/>
      <c r="AX2271" s="38"/>
      <c r="AY2271" s="38"/>
      <c r="AZ2271" s="38"/>
      <c r="BA2271" s="38"/>
      <c r="BB2271" s="38"/>
      <c r="BC2271" s="38"/>
      <c r="BD2271" s="38"/>
      <c r="BE2271" s="38"/>
      <c r="BF2271" s="38"/>
      <c r="BG2271" s="38"/>
      <c r="BH2271" s="38"/>
      <c r="BI2271" s="38"/>
      <c r="BJ2271" s="38"/>
      <c r="BK2271" s="38"/>
      <c r="BL2271" s="38"/>
      <c r="BM2271" s="38"/>
      <c r="BN2271" s="38"/>
      <c r="BO2271" s="38"/>
      <c r="BP2271" s="38"/>
      <c r="BQ2271" s="38"/>
    </row>
    <row r="2272">
      <c r="A2272" s="47" t="s">
        <v>6176</v>
      </c>
      <c r="B2272" s="48"/>
      <c r="C2272" s="48">
        <v>43501.0</v>
      </c>
      <c r="D2272" s="49"/>
      <c r="E2272" s="47" t="s">
        <v>41</v>
      </c>
      <c r="F2272" s="47">
        <v>1.0</v>
      </c>
      <c r="G2272" s="47" t="s">
        <v>32</v>
      </c>
      <c r="H2272" s="63">
        <v>1.0</v>
      </c>
      <c r="I2272" s="47" t="s">
        <v>33</v>
      </c>
      <c r="J2272" s="47" t="s">
        <v>433</v>
      </c>
      <c r="K2272" s="47"/>
      <c r="L2272" s="47" t="s">
        <v>76</v>
      </c>
      <c r="M2272" s="51" t="s">
        <v>4382</v>
      </c>
      <c r="N2272" s="52"/>
      <c r="O2272" s="53" t="str">
        <f>hyperlink("https://bad-boys.us/?q=D-MN/0:19-cr-00027", "D-MN 0:19-cr-00027")</f>
        <v>D-MN 0:19-cr-00027</v>
      </c>
      <c r="P2272" s="54" t="s">
        <v>4383</v>
      </c>
      <c r="Q2272" s="47">
        <v>1.0</v>
      </c>
      <c r="R2272" s="55"/>
      <c r="S2272" s="37"/>
      <c r="T2272" s="38"/>
      <c r="U2272" s="38" t="b">
        <f t="shared" si="349"/>
        <v>0</v>
      </c>
      <c r="V2272" s="38" t="s">
        <v>33</v>
      </c>
      <c r="W2272" s="40"/>
      <c r="X2272" s="40"/>
      <c r="Y2272" s="40"/>
      <c r="Z2272" s="38"/>
      <c r="AA2272" s="38"/>
      <c r="AB2272" s="38"/>
      <c r="AC2272" s="38"/>
      <c r="AD2272" s="38"/>
      <c r="AE2272" s="38"/>
      <c r="AF2272" s="38"/>
      <c r="AG2272" s="38"/>
      <c r="AH2272" s="38"/>
      <c r="AI2272" s="38"/>
      <c r="AJ2272" s="38"/>
      <c r="AK2272" s="38"/>
      <c r="AL2272" s="38"/>
      <c r="AM2272" s="38"/>
      <c r="AN2272" s="38"/>
      <c r="AO2272" s="38"/>
      <c r="AP2272" s="38"/>
      <c r="AQ2272" s="38"/>
      <c r="AR2272" s="38"/>
      <c r="AS2272" s="38"/>
      <c r="AT2272" s="38"/>
      <c r="AU2272" s="38"/>
      <c r="AV2272" s="38"/>
      <c r="AW2272" s="38"/>
      <c r="AX2272" s="38"/>
      <c r="AY2272" s="38"/>
      <c r="AZ2272" s="38"/>
      <c r="BA2272" s="38"/>
      <c r="BB2272" s="38"/>
      <c r="BC2272" s="38"/>
      <c r="BD2272" s="38"/>
      <c r="BE2272" s="38"/>
      <c r="BF2272" s="38"/>
      <c r="BG2272" s="38"/>
      <c r="BH2272" s="38"/>
      <c r="BI2272" s="38"/>
      <c r="BJ2272" s="38"/>
      <c r="BK2272" s="38"/>
      <c r="BL2272" s="38"/>
      <c r="BM2272" s="38"/>
      <c r="BN2272" s="38"/>
      <c r="BO2272" s="38"/>
      <c r="BP2272" s="38"/>
      <c r="BQ2272" s="38"/>
    </row>
    <row r="2273">
      <c r="A2273" s="87" t="s">
        <v>6177</v>
      </c>
      <c r="B2273" s="48"/>
      <c r="C2273" s="48">
        <v>43501.0</v>
      </c>
      <c r="D2273" s="49"/>
      <c r="E2273" s="47" t="s">
        <v>41</v>
      </c>
      <c r="F2273" s="47">
        <v>1.0</v>
      </c>
      <c r="G2273" s="47">
        <v>1.0</v>
      </c>
      <c r="H2273" s="63">
        <v>1.0</v>
      </c>
      <c r="I2273" s="47" t="s">
        <v>33</v>
      </c>
      <c r="J2273" s="47" t="s">
        <v>111</v>
      </c>
      <c r="K2273" s="47"/>
      <c r="L2273" s="47" t="s">
        <v>119</v>
      </c>
      <c r="M2273" s="52" t="s">
        <v>6178</v>
      </c>
      <c r="N2273" s="52"/>
      <c r="O2273" s="53" t="str">
        <f>hyperlink("https://bad-boys.us/?q=ED-CA/1:19-cr-00024", "ED-CA 1:19-cr-00024")</f>
        <v>ED-CA 1:19-cr-00024</v>
      </c>
      <c r="P2273" s="54" t="s">
        <v>6179</v>
      </c>
      <c r="Q2273" s="47">
        <v>1.0</v>
      </c>
      <c r="R2273" s="55"/>
      <c r="S2273" s="37" t="str">
        <f>IFERROR(__xludf.DUMMYFUNCTION("if(not(iserror(index(split(C2273, "" ""),2))), index(split(C2273, "" ""),1),"""")"),"February")</f>
        <v>February</v>
      </c>
      <c r="T2273" s="38">
        <f>IFERROR(__xludf.DUMMYFUNCTION("if(S2273="""",C2273,if(not(iserror(index(split(C2273, "" ""),3))), index(split(C2273, "" ""),3),index(split(C2273, "" ""),2)))"),2019.0)</f>
        <v>2019</v>
      </c>
      <c r="U2273" s="38" t="b">
        <f t="shared" si="349"/>
        <v>0</v>
      </c>
      <c r="V2273" s="38"/>
      <c r="W2273" s="40"/>
      <c r="X2273" s="40"/>
      <c r="Y2273" s="40"/>
      <c r="Z2273" s="38"/>
      <c r="AA2273" s="38"/>
      <c r="AB2273" s="38"/>
      <c r="AC2273" s="38"/>
      <c r="AD2273" s="38"/>
      <c r="AE2273" s="38"/>
      <c r="AF2273" s="38"/>
      <c r="AG2273" s="38"/>
      <c r="AH2273" s="38"/>
      <c r="AI2273" s="38"/>
      <c r="AJ2273" s="38"/>
      <c r="AK2273" s="38"/>
      <c r="AL2273" s="38"/>
      <c r="AM2273" s="38"/>
      <c r="AN2273" s="38"/>
      <c r="AO2273" s="38"/>
      <c r="AP2273" s="38"/>
      <c r="AQ2273" s="38"/>
      <c r="AR2273" s="38"/>
      <c r="AS2273" s="38"/>
      <c r="AT2273" s="38"/>
      <c r="AU2273" s="38"/>
      <c r="AV2273" s="38"/>
      <c r="AW2273" s="38"/>
      <c r="AX2273" s="38"/>
      <c r="AY2273" s="38"/>
      <c r="AZ2273" s="38"/>
      <c r="BA2273" s="38"/>
      <c r="BB2273" s="38"/>
      <c r="BC2273" s="38"/>
      <c r="BD2273" s="38"/>
      <c r="BE2273" s="38"/>
      <c r="BF2273" s="38"/>
      <c r="BG2273" s="38"/>
      <c r="BH2273" s="38"/>
      <c r="BI2273" s="38"/>
      <c r="BJ2273" s="38"/>
      <c r="BK2273" s="38"/>
      <c r="BL2273" s="38"/>
      <c r="BM2273" s="38"/>
      <c r="BN2273" s="38"/>
      <c r="BO2273" s="38"/>
      <c r="BP2273" s="38"/>
      <c r="BQ2273" s="38"/>
    </row>
    <row r="2274">
      <c r="A2274" s="47" t="s">
        <v>6180</v>
      </c>
      <c r="B2274" s="48">
        <v>43502.0</v>
      </c>
      <c r="C2274" s="48">
        <v>43501.0</v>
      </c>
      <c r="D2274" s="49" t="s">
        <v>6181</v>
      </c>
      <c r="E2274" s="47" t="s">
        <v>41</v>
      </c>
      <c r="F2274" s="47">
        <v>1.0</v>
      </c>
      <c r="G2274" s="47" t="s">
        <v>32</v>
      </c>
      <c r="H2274" s="63">
        <v>1.0</v>
      </c>
      <c r="I2274" s="47" t="s">
        <v>33</v>
      </c>
      <c r="J2274" s="47" t="s">
        <v>55</v>
      </c>
      <c r="K2274" s="47">
        <v>1.0</v>
      </c>
      <c r="L2274" s="47" t="s">
        <v>119</v>
      </c>
      <c r="M2274" s="51" t="s">
        <v>6182</v>
      </c>
      <c r="N2274" s="52"/>
      <c r="O2274" s="53" t="str">
        <f>hyperlink("https://bad-boys.us/?q=D-NJ/2:19-mj-04099", "D-NJ 2:19-mj-04099")</f>
        <v>D-NJ 2:19-mj-04099</v>
      </c>
      <c r="P2274" s="47"/>
      <c r="Q2274" s="47">
        <v>1.0</v>
      </c>
      <c r="R2274" s="55"/>
      <c r="S2274" s="37" t="str">
        <f>IFERROR(__xludf.DUMMYFUNCTION("if(not(iserror(index(split(C2274, "" ""),2))), index(split(C2274, "" ""),1),"""")"),"February")</f>
        <v>February</v>
      </c>
      <c r="T2274" s="38">
        <f>IFERROR(__xludf.DUMMYFUNCTION("if(S2274="""",C2274,if(not(iserror(index(split(C2274, "" ""),3))), index(split(C2274, "" ""),3),index(split(C2274, "" ""),2)))"),2019.0)</f>
        <v>2019</v>
      </c>
      <c r="U2274" s="38" t="b">
        <f t="shared" si="349"/>
        <v>0</v>
      </c>
      <c r="V2274" s="38" t="s">
        <v>33</v>
      </c>
      <c r="W2274" s="40"/>
      <c r="X2274" s="40"/>
      <c r="Y2274" s="40"/>
      <c r="Z2274" s="38"/>
      <c r="AA2274" s="38"/>
      <c r="AB2274" s="38"/>
      <c r="AC2274" s="38"/>
      <c r="AD2274" s="38"/>
      <c r="AE2274" s="38"/>
      <c r="AF2274" s="38"/>
      <c r="AG2274" s="38"/>
      <c r="AH2274" s="38"/>
      <c r="AI2274" s="38"/>
      <c r="AJ2274" s="38"/>
      <c r="AK2274" s="38"/>
      <c r="AL2274" s="38"/>
      <c r="AM2274" s="38"/>
      <c r="AN2274" s="38"/>
      <c r="AO2274" s="38"/>
      <c r="AP2274" s="38"/>
      <c r="AQ2274" s="38"/>
      <c r="AR2274" s="38"/>
      <c r="AS2274" s="38"/>
      <c r="AT2274" s="38"/>
      <c r="AU2274" s="38"/>
      <c r="AV2274" s="38"/>
      <c r="AW2274" s="38"/>
      <c r="AX2274" s="38"/>
      <c r="AY2274" s="38"/>
      <c r="AZ2274" s="38"/>
      <c r="BA2274" s="38"/>
      <c r="BB2274" s="38"/>
      <c r="BC2274" s="38"/>
      <c r="BD2274" s="38"/>
      <c r="BE2274" s="38"/>
      <c r="BF2274" s="38"/>
      <c r="BG2274" s="38"/>
      <c r="BH2274" s="38"/>
      <c r="BI2274" s="38"/>
      <c r="BJ2274" s="38"/>
      <c r="BK2274" s="38"/>
      <c r="BL2274" s="38"/>
      <c r="BM2274" s="38"/>
      <c r="BN2274" s="38"/>
      <c r="BO2274" s="38"/>
      <c r="BP2274" s="38"/>
      <c r="BQ2274" s="38"/>
    </row>
    <row r="2275">
      <c r="A2275" s="47" t="s">
        <v>6183</v>
      </c>
      <c r="B2275" s="48"/>
      <c r="C2275" s="48">
        <v>43502.0</v>
      </c>
      <c r="D2275" s="49"/>
      <c r="E2275" s="47" t="s">
        <v>41</v>
      </c>
      <c r="F2275" s="47">
        <v>1.0</v>
      </c>
      <c r="G2275" s="47" t="s">
        <v>32</v>
      </c>
      <c r="H2275" s="63">
        <v>1.0</v>
      </c>
      <c r="I2275" s="47" t="s">
        <v>33</v>
      </c>
      <c r="J2275" s="47" t="s">
        <v>98</v>
      </c>
      <c r="K2275" s="47"/>
      <c r="L2275" s="47" t="s">
        <v>76</v>
      </c>
      <c r="M2275" s="51" t="s">
        <v>6184</v>
      </c>
      <c r="N2275" s="52"/>
      <c r="O2275" s="53" t="str">
        <f>hyperlink("https://bad-boys.us/?q=SD-GA/4:19-cr-00036", "SD-GA 4:19-cr-00036")</f>
        <v>SD-GA 4:19-cr-00036</v>
      </c>
      <c r="P2275" s="47"/>
      <c r="Q2275" s="47">
        <v>1.0</v>
      </c>
      <c r="R2275" s="55"/>
      <c r="S2275" s="37"/>
      <c r="T2275" s="38"/>
      <c r="U2275" s="38" t="b">
        <f t="shared" si="349"/>
        <v>0</v>
      </c>
      <c r="V2275" s="38" t="s">
        <v>33</v>
      </c>
      <c r="W2275" s="40"/>
      <c r="X2275" s="40"/>
      <c r="Y2275" s="40"/>
      <c r="Z2275" s="38"/>
      <c r="AA2275" s="38"/>
      <c r="AB2275" s="38"/>
      <c r="AC2275" s="38"/>
      <c r="AD2275" s="38"/>
      <c r="AE2275" s="38"/>
      <c r="AF2275" s="38"/>
      <c r="AG2275" s="38"/>
      <c r="AH2275" s="38"/>
      <c r="AI2275" s="38"/>
      <c r="AJ2275" s="38"/>
      <c r="AK2275" s="38"/>
      <c r="AL2275" s="38"/>
      <c r="AM2275" s="38"/>
      <c r="AN2275" s="38"/>
      <c r="AO2275" s="38"/>
      <c r="AP2275" s="38"/>
      <c r="AQ2275" s="38"/>
      <c r="AR2275" s="38"/>
      <c r="AS2275" s="38"/>
      <c r="AT2275" s="38"/>
      <c r="AU2275" s="38"/>
      <c r="AV2275" s="38"/>
      <c r="AW2275" s="38"/>
      <c r="AX2275" s="38"/>
      <c r="AY2275" s="38"/>
      <c r="AZ2275" s="38"/>
      <c r="BA2275" s="38"/>
      <c r="BB2275" s="38"/>
      <c r="BC2275" s="38"/>
      <c r="BD2275" s="38"/>
      <c r="BE2275" s="38"/>
      <c r="BF2275" s="38"/>
      <c r="BG2275" s="38"/>
      <c r="BH2275" s="38"/>
      <c r="BI2275" s="38"/>
      <c r="BJ2275" s="38"/>
      <c r="BK2275" s="38"/>
      <c r="BL2275" s="38"/>
      <c r="BM2275" s="38"/>
      <c r="BN2275" s="38"/>
      <c r="BO2275" s="38"/>
      <c r="BP2275" s="38"/>
      <c r="BQ2275" s="38"/>
    </row>
    <row r="2276">
      <c r="A2276" s="47" t="s">
        <v>6185</v>
      </c>
      <c r="B2276" s="48">
        <v>43502.0</v>
      </c>
      <c r="C2276" s="48">
        <v>43502.0</v>
      </c>
      <c r="D2276" s="49" t="s">
        <v>6186</v>
      </c>
      <c r="E2276" s="47" t="s">
        <v>41</v>
      </c>
      <c r="F2276" s="47">
        <v>1.0</v>
      </c>
      <c r="G2276" s="47" t="s">
        <v>32</v>
      </c>
      <c r="H2276" s="63">
        <v>1.0</v>
      </c>
      <c r="I2276" s="47" t="s">
        <v>33</v>
      </c>
      <c r="J2276" s="47" t="s">
        <v>410</v>
      </c>
      <c r="K2276" s="47">
        <v>2.0</v>
      </c>
      <c r="L2276" s="47" t="s">
        <v>119</v>
      </c>
      <c r="M2276" s="51" t="s">
        <v>6187</v>
      </c>
      <c r="N2276" s="52"/>
      <c r="O2276" s="55"/>
      <c r="P2276" s="47"/>
      <c r="Q2276" s="47"/>
      <c r="R2276" s="55"/>
      <c r="S2276" s="37" t="str">
        <f>IFERROR(__xludf.DUMMYFUNCTION("if(not(iserror(index(split(C2276, "" ""),2))), index(split(C2276, "" ""),1),"""")"),"February")</f>
        <v>February</v>
      </c>
      <c r="T2276" s="38">
        <f>IFERROR(__xludf.DUMMYFUNCTION("if(S2276="""",C2276,if(not(iserror(index(split(C2276, "" ""),3))), index(split(C2276, "" ""),3),index(split(C2276, "" ""),2)))"),2019.0)</f>
        <v>2019</v>
      </c>
      <c r="U2276" s="38" t="b">
        <f t="shared" si="349"/>
        <v>0</v>
      </c>
      <c r="V2276" s="38" t="s">
        <v>33</v>
      </c>
      <c r="W2276" s="40"/>
      <c r="X2276" s="40"/>
      <c r="Y2276" s="40"/>
      <c r="Z2276" s="38"/>
      <c r="AA2276" s="38"/>
      <c r="AB2276" s="38"/>
      <c r="AC2276" s="38"/>
      <c r="AD2276" s="38"/>
      <c r="AE2276" s="38"/>
      <c r="AF2276" s="38"/>
      <c r="AG2276" s="38"/>
      <c r="AH2276" s="38"/>
      <c r="AI2276" s="38"/>
      <c r="AJ2276" s="38"/>
      <c r="AK2276" s="38"/>
      <c r="AL2276" s="38"/>
      <c r="AM2276" s="38"/>
      <c r="AN2276" s="38"/>
      <c r="AO2276" s="38"/>
      <c r="AP2276" s="38"/>
      <c r="AQ2276" s="38"/>
      <c r="AR2276" s="38"/>
      <c r="AS2276" s="38"/>
      <c r="AT2276" s="38"/>
      <c r="AU2276" s="38"/>
      <c r="AV2276" s="38"/>
      <c r="AW2276" s="38"/>
      <c r="AX2276" s="38"/>
      <c r="AY2276" s="38"/>
      <c r="AZ2276" s="38"/>
      <c r="BA2276" s="38"/>
      <c r="BB2276" s="38"/>
      <c r="BC2276" s="38"/>
      <c r="BD2276" s="38"/>
      <c r="BE2276" s="38"/>
      <c r="BF2276" s="38"/>
      <c r="BG2276" s="38"/>
      <c r="BH2276" s="38"/>
      <c r="BI2276" s="38"/>
      <c r="BJ2276" s="38"/>
      <c r="BK2276" s="38"/>
      <c r="BL2276" s="38"/>
      <c r="BM2276" s="38"/>
      <c r="BN2276" s="38"/>
      <c r="BO2276" s="38"/>
      <c r="BP2276" s="38"/>
      <c r="BQ2276" s="38"/>
    </row>
    <row r="2277">
      <c r="A2277" s="47" t="s">
        <v>6188</v>
      </c>
      <c r="B2277" s="48"/>
      <c r="C2277" s="48">
        <v>43502.0</v>
      </c>
      <c r="D2277" s="49"/>
      <c r="E2277" s="47" t="s">
        <v>41</v>
      </c>
      <c r="F2277" s="47">
        <v>1.0</v>
      </c>
      <c r="G2277" s="47" t="s">
        <v>32</v>
      </c>
      <c r="H2277" s="63">
        <v>1.0</v>
      </c>
      <c r="I2277" s="47" t="s">
        <v>33</v>
      </c>
      <c r="J2277" s="47" t="s">
        <v>514</v>
      </c>
      <c r="K2277" s="47"/>
      <c r="L2277" s="47" t="s">
        <v>76</v>
      </c>
      <c r="M2277" s="51" t="s">
        <v>6189</v>
      </c>
      <c r="N2277" s="52"/>
      <c r="O2277" s="53" t="str">
        <f>hyperlink("https://bad-boys.us/?q=WD-AR/5:19-cr-50012", "WD-AR 5:19-cr-50012")</f>
        <v>WD-AR 5:19-cr-50012</v>
      </c>
      <c r="P2277" s="54" t="s">
        <v>6190</v>
      </c>
      <c r="Q2277" s="47">
        <v>1.0</v>
      </c>
      <c r="R2277" s="55"/>
      <c r="S2277" s="37" t="str">
        <f>IFERROR(__xludf.DUMMYFUNCTION("if(not(iserror(index(split(C2277, "" ""),2))), index(split(C2277, "" ""),1),"""")"),"February")</f>
        <v>February</v>
      </c>
      <c r="T2277" s="38">
        <f>IFERROR(__xludf.DUMMYFUNCTION("if(S2277="""",C2277,if(not(iserror(index(split(C2277, "" ""),3))), index(split(C2277, "" ""),3),index(split(C2277, "" ""),2)))"),2019.0)</f>
        <v>2019</v>
      </c>
      <c r="U2277" s="38" t="b">
        <f t="shared" si="349"/>
        <v>0</v>
      </c>
      <c r="V2277" s="38" t="s">
        <v>33</v>
      </c>
      <c r="W2277" s="40"/>
      <c r="X2277" s="40"/>
      <c r="Y2277" s="40"/>
      <c r="Z2277" s="38"/>
      <c r="AA2277" s="38"/>
      <c r="AB2277" s="38"/>
      <c r="AC2277" s="38"/>
      <c r="AD2277" s="38"/>
      <c r="AE2277" s="38"/>
      <c r="AF2277" s="38"/>
      <c r="AG2277" s="38"/>
      <c r="AH2277" s="38"/>
      <c r="AI2277" s="38"/>
      <c r="AJ2277" s="38"/>
      <c r="AK2277" s="38"/>
      <c r="AL2277" s="38"/>
      <c r="AM2277" s="38"/>
      <c r="AN2277" s="38"/>
      <c r="AO2277" s="38"/>
      <c r="AP2277" s="38"/>
      <c r="AQ2277" s="38"/>
      <c r="AR2277" s="38"/>
      <c r="AS2277" s="38"/>
      <c r="AT2277" s="38"/>
      <c r="AU2277" s="38"/>
      <c r="AV2277" s="38"/>
      <c r="AW2277" s="38"/>
      <c r="AX2277" s="38"/>
      <c r="AY2277" s="38"/>
      <c r="AZ2277" s="38"/>
      <c r="BA2277" s="38"/>
      <c r="BB2277" s="38"/>
      <c r="BC2277" s="38"/>
      <c r="BD2277" s="38"/>
      <c r="BE2277" s="38"/>
      <c r="BF2277" s="38"/>
      <c r="BG2277" s="38"/>
      <c r="BH2277" s="38"/>
      <c r="BI2277" s="38"/>
      <c r="BJ2277" s="38"/>
      <c r="BK2277" s="38"/>
      <c r="BL2277" s="38"/>
      <c r="BM2277" s="38"/>
      <c r="BN2277" s="38"/>
      <c r="BO2277" s="38"/>
      <c r="BP2277" s="38"/>
      <c r="BQ2277" s="38"/>
    </row>
    <row r="2278">
      <c r="A2278" s="47" t="s">
        <v>6191</v>
      </c>
      <c r="B2278" s="268"/>
      <c r="C2278" s="268">
        <v>43138.0</v>
      </c>
      <c r="D2278" s="269"/>
      <c r="E2278" s="47" t="s">
        <v>41</v>
      </c>
      <c r="F2278" s="47">
        <v>1.0</v>
      </c>
      <c r="G2278" s="47" t="s">
        <v>32</v>
      </c>
      <c r="H2278" s="63">
        <v>1.0</v>
      </c>
      <c r="I2278" s="47" t="s">
        <v>33</v>
      </c>
      <c r="J2278" s="47" t="s">
        <v>115</v>
      </c>
      <c r="K2278" s="270"/>
      <c r="L2278" s="47" t="s">
        <v>119</v>
      </c>
      <c r="M2278" s="51" t="s">
        <v>6192</v>
      </c>
      <c r="N2278" s="272"/>
      <c r="O2278" s="55"/>
      <c r="P2278" s="270"/>
      <c r="Q2278" s="47">
        <v>1.0</v>
      </c>
      <c r="R2278" s="55"/>
      <c r="S2278" s="91"/>
      <c r="T2278" s="96"/>
      <c r="U2278" s="96"/>
      <c r="V2278" s="38" t="s">
        <v>33</v>
      </c>
      <c r="W2278" s="97"/>
      <c r="X2278" s="97"/>
      <c r="Y2278" s="97"/>
      <c r="Z2278" s="96"/>
      <c r="AA2278" s="96"/>
      <c r="AB2278" s="96"/>
      <c r="AC2278" s="96"/>
      <c r="AD2278" s="96"/>
      <c r="AE2278" s="96"/>
      <c r="AF2278" s="96"/>
      <c r="AG2278" s="96"/>
      <c r="AH2278" s="96"/>
      <c r="AI2278" s="96"/>
      <c r="AJ2278" s="96"/>
      <c r="AK2278" s="96"/>
      <c r="AL2278" s="96"/>
      <c r="AM2278" s="96"/>
      <c r="AN2278" s="96"/>
      <c r="AO2278" s="96"/>
      <c r="AP2278" s="96"/>
      <c r="AQ2278" s="96"/>
      <c r="AR2278" s="96"/>
      <c r="AS2278" s="96"/>
      <c r="AT2278" s="96"/>
      <c r="AU2278" s="96"/>
      <c r="AV2278" s="96"/>
      <c r="AW2278" s="96"/>
      <c r="AX2278" s="96"/>
      <c r="AY2278" s="96"/>
      <c r="AZ2278" s="96"/>
      <c r="BA2278" s="96"/>
      <c r="BB2278" s="96"/>
      <c r="BC2278" s="96"/>
      <c r="BD2278" s="96"/>
      <c r="BE2278" s="96"/>
      <c r="BF2278" s="96"/>
      <c r="BG2278" s="96"/>
      <c r="BH2278" s="96"/>
      <c r="BI2278" s="96"/>
      <c r="BJ2278" s="96"/>
      <c r="BK2278" s="96"/>
      <c r="BL2278" s="96"/>
      <c r="BM2278" s="96"/>
      <c r="BN2278" s="96"/>
      <c r="BO2278" s="96"/>
      <c r="BP2278" s="96"/>
      <c r="BQ2278" s="96"/>
    </row>
    <row r="2279">
      <c r="A2279" s="270" t="s">
        <v>6193</v>
      </c>
      <c r="B2279" s="268"/>
      <c r="C2279" s="268">
        <v>43138.0</v>
      </c>
      <c r="D2279" s="269"/>
      <c r="E2279" s="270" t="s">
        <v>41</v>
      </c>
      <c r="F2279" s="270">
        <v>1.0</v>
      </c>
      <c r="G2279" s="270">
        <v>2.0</v>
      </c>
      <c r="H2279" s="273">
        <v>2.0</v>
      </c>
      <c r="I2279" s="270" t="s">
        <v>33</v>
      </c>
      <c r="J2279" s="270" t="s">
        <v>147</v>
      </c>
      <c r="K2279" s="270"/>
      <c r="L2279" s="270" t="s">
        <v>646</v>
      </c>
      <c r="M2279" s="272" t="s">
        <v>6194</v>
      </c>
      <c r="N2279" s="272"/>
      <c r="O2279" s="55"/>
      <c r="P2279" s="270"/>
      <c r="Q2279" s="270"/>
      <c r="R2279" s="55"/>
      <c r="S2279" s="91"/>
      <c r="T2279" s="96"/>
      <c r="U2279" s="96"/>
      <c r="V2279" s="96" t="s">
        <v>33</v>
      </c>
      <c r="W2279" s="97"/>
      <c r="X2279" s="97"/>
      <c r="Y2279" s="97"/>
      <c r="Z2279" s="96"/>
      <c r="AA2279" s="96"/>
      <c r="AB2279" s="96"/>
      <c r="AC2279" s="96"/>
      <c r="AD2279" s="96"/>
      <c r="AE2279" s="96"/>
      <c r="AF2279" s="96"/>
      <c r="AG2279" s="96"/>
      <c r="AH2279" s="96"/>
      <c r="AI2279" s="96"/>
      <c r="AJ2279" s="96"/>
      <c r="AK2279" s="96"/>
      <c r="AL2279" s="96"/>
      <c r="AM2279" s="96"/>
      <c r="AN2279" s="96"/>
      <c r="AO2279" s="96"/>
      <c r="AP2279" s="96"/>
      <c r="AQ2279" s="96"/>
      <c r="AR2279" s="96"/>
      <c r="AS2279" s="96"/>
      <c r="AT2279" s="96"/>
      <c r="AU2279" s="96"/>
      <c r="AV2279" s="96"/>
      <c r="AW2279" s="96"/>
      <c r="AX2279" s="96"/>
      <c r="AY2279" s="96"/>
      <c r="AZ2279" s="96"/>
      <c r="BA2279" s="96"/>
      <c r="BB2279" s="96"/>
      <c r="BC2279" s="96"/>
      <c r="BD2279" s="96"/>
      <c r="BE2279" s="96"/>
      <c r="BF2279" s="96"/>
      <c r="BG2279" s="96"/>
      <c r="BH2279" s="96"/>
      <c r="BI2279" s="96"/>
      <c r="BJ2279" s="96"/>
      <c r="BK2279" s="96"/>
      <c r="BL2279" s="96"/>
      <c r="BM2279" s="96"/>
      <c r="BN2279" s="96"/>
      <c r="BO2279" s="96"/>
      <c r="BP2279" s="96"/>
      <c r="BQ2279" s="96"/>
    </row>
    <row r="2280">
      <c r="A2280" s="47" t="s">
        <v>6195</v>
      </c>
      <c r="B2280" s="48"/>
      <c r="C2280" s="48">
        <v>43503.0</v>
      </c>
      <c r="D2280" s="49"/>
      <c r="E2280" s="47" t="s">
        <v>41</v>
      </c>
      <c r="F2280" s="47">
        <v>1.0</v>
      </c>
      <c r="G2280" s="47" t="s">
        <v>32</v>
      </c>
      <c r="H2280" s="63">
        <v>1.0</v>
      </c>
      <c r="I2280" s="47" t="s">
        <v>33</v>
      </c>
      <c r="J2280" s="47" t="s">
        <v>144</v>
      </c>
      <c r="K2280" s="47"/>
      <c r="L2280" s="47" t="s">
        <v>807</v>
      </c>
      <c r="M2280" s="51" t="s">
        <v>6196</v>
      </c>
      <c r="N2280" s="52"/>
      <c r="O2280" s="53" t="str">
        <f>hyperlink("https://bad-boys.us/?q=D-MT/2:19-cr-00003", "D-MT 2:19-cr-00003")</f>
        <v>D-MT 2:19-cr-00003</v>
      </c>
      <c r="P2280" s="47"/>
      <c r="Q2280" s="47">
        <v>1.0</v>
      </c>
      <c r="R2280" s="55"/>
      <c r="S2280" s="37"/>
      <c r="T2280" s="38"/>
      <c r="U2280" s="38" t="b">
        <f>countif(A$4:A4658, A2280)&gt;1</f>
        <v>0</v>
      </c>
      <c r="V2280" s="38"/>
      <c r="W2280" s="40"/>
      <c r="X2280" s="40"/>
      <c r="Y2280" s="40"/>
      <c r="Z2280" s="38"/>
      <c r="AA2280" s="38"/>
      <c r="AB2280" s="38"/>
      <c r="AC2280" s="38"/>
      <c r="AD2280" s="38"/>
      <c r="AE2280" s="38"/>
      <c r="AF2280" s="38"/>
      <c r="AG2280" s="38"/>
      <c r="AH2280" s="38"/>
      <c r="AI2280" s="38"/>
      <c r="AJ2280" s="38"/>
      <c r="AK2280" s="38"/>
      <c r="AL2280" s="38"/>
      <c r="AM2280" s="38"/>
      <c r="AN2280" s="38"/>
      <c r="AO2280" s="38"/>
      <c r="AP2280" s="38"/>
      <c r="AQ2280" s="38"/>
      <c r="AR2280" s="38"/>
      <c r="AS2280" s="38"/>
      <c r="AT2280" s="38"/>
      <c r="AU2280" s="38"/>
      <c r="AV2280" s="38"/>
      <c r="AW2280" s="38"/>
      <c r="AX2280" s="38"/>
      <c r="AY2280" s="38"/>
      <c r="AZ2280" s="38"/>
      <c r="BA2280" s="38"/>
      <c r="BB2280" s="38"/>
      <c r="BC2280" s="38"/>
      <c r="BD2280" s="38"/>
      <c r="BE2280" s="38"/>
      <c r="BF2280" s="38"/>
      <c r="BG2280" s="38"/>
      <c r="BH2280" s="38"/>
      <c r="BI2280" s="38"/>
      <c r="BJ2280" s="38"/>
      <c r="BK2280" s="38"/>
      <c r="BL2280" s="38"/>
      <c r="BM2280" s="38"/>
      <c r="BN2280" s="38"/>
      <c r="BO2280" s="38"/>
      <c r="BP2280" s="38"/>
      <c r="BQ2280" s="38"/>
    </row>
    <row r="2281">
      <c r="A2281" s="47" t="s">
        <v>6197</v>
      </c>
      <c r="B2281" s="48"/>
      <c r="C2281" s="48">
        <v>43503.0</v>
      </c>
      <c r="D2281" s="49"/>
      <c r="E2281" s="47" t="s">
        <v>41</v>
      </c>
      <c r="F2281" s="47">
        <v>1.0</v>
      </c>
      <c r="G2281" s="47" t="s">
        <v>32</v>
      </c>
      <c r="H2281" s="63">
        <v>1.0</v>
      </c>
      <c r="I2281" s="47" t="s">
        <v>33</v>
      </c>
      <c r="J2281" s="47" t="s">
        <v>47</v>
      </c>
      <c r="K2281" s="47"/>
      <c r="L2281" s="47" t="s">
        <v>646</v>
      </c>
      <c r="M2281" s="51" t="s">
        <v>6198</v>
      </c>
      <c r="N2281" s="52"/>
      <c r="O2281" s="53" t="str">
        <f>hyperlink("https://bad-boys.us/?q=SD-FL/1:19-cr-20075", "SD-FL 1:19-cr-20075")</f>
        <v>SD-FL 1:19-cr-20075</v>
      </c>
      <c r="P2281" s="54" t="s">
        <v>6199</v>
      </c>
      <c r="Q2281" s="47">
        <v>1.0</v>
      </c>
      <c r="R2281" s="55"/>
      <c r="S2281" s="37"/>
      <c r="T2281" s="38"/>
      <c r="U2281" s="38"/>
      <c r="V2281" s="38" t="s">
        <v>33</v>
      </c>
      <c r="W2281" s="40"/>
      <c r="X2281" s="40"/>
      <c r="Y2281" s="40"/>
      <c r="Z2281" s="38"/>
      <c r="AA2281" s="38"/>
      <c r="AB2281" s="38"/>
      <c r="AC2281" s="38"/>
      <c r="AD2281" s="38"/>
      <c r="AE2281" s="38"/>
      <c r="AF2281" s="38"/>
      <c r="AG2281" s="38"/>
      <c r="AH2281" s="38"/>
      <c r="AI2281" s="38"/>
      <c r="AJ2281" s="38"/>
      <c r="AK2281" s="38"/>
      <c r="AL2281" s="38"/>
      <c r="AM2281" s="38"/>
      <c r="AN2281" s="38"/>
      <c r="AO2281" s="38"/>
      <c r="AP2281" s="38"/>
      <c r="AQ2281" s="38"/>
      <c r="AR2281" s="38"/>
      <c r="AS2281" s="38"/>
      <c r="AT2281" s="38"/>
      <c r="AU2281" s="38"/>
      <c r="AV2281" s="38"/>
      <c r="AW2281" s="38"/>
      <c r="AX2281" s="38"/>
      <c r="AY2281" s="38"/>
      <c r="AZ2281" s="38"/>
      <c r="BA2281" s="38"/>
      <c r="BB2281" s="38"/>
      <c r="BC2281" s="38"/>
      <c r="BD2281" s="38"/>
      <c r="BE2281" s="38"/>
      <c r="BF2281" s="38"/>
      <c r="BG2281" s="38"/>
      <c r="BH2281" s="38"/>
      <c r="BI2281" s="38"/>
      <c r="BJ2281" s="38"/>
      <c r="BK2281" s="38"/>
      <c r="BL2281" s="38"/>
      <c r="BM2281" s="38"/>
      <c r="BN2281" s="38"/>
      <c r="BO2281" s="38"/>
      <c r="BP2281" s="38"/>
      <c r="BQ2281" s="38"/>
    </row>
    <row r="2282">
      <c r="A2282" s="47" t="s">
        <v>6200</v>
      </c>
      <c r="B2282" s="48"/>
      <c r="C2282" s="48">
        <v>43504.0</v>
      </c>
      <c r="D2282" s="49"/>
      <c r="E2282" s="47" t="s">
        <v>41</v>
      </c>
      <c r="F2282" s="47">
        <v>1.0</v>
      </c>
      <c r="G2282" s="47" t="s">
        <v>32</v>
      </c>
      <c r="H2282" s="63">
        <v>1.0</v>
      </c>
      <c r="I2282" s="47" t="s">
        <v>33</v>
      </c>
      <c r="J2282" s="47" t="s">
        <v>132</v>
      </c>
      <c r="K2282" s="47"/>
      <c r="L2282" s="47" t="s">
        <v>119</v>
      </c>
      <c r="M2282" s="52" t="s">
        <v>6201</v>
      </c>
      <c r="N2282" s="52"/>
      <c r="O2282" s="55"/>
      <c r="P2282" s="47"/>
      <c r="Q2282" s="47"/>
      <c r="R2282" s="55"/>
      <c r="S2282" s="37" t="str">
        <f>IFERROR(__xludf.DUMMYFUNCTION("if(not(iserror(index(split(C2282, "" ""),2))), index(split(C2282, "" ""),1),"""")"),"February")</f>
        <v>February</v>
      </c>
      <c r="T2282" s="38">
        <f>IFERROR(__xludf.DUMMYFUNCTION("if(S2282="""",C2282,if(not(iserror(index(split(C2282, "" ""),3))), index(split(C2282, "" ""),3),index(split(C2282, "" ""),2)))"),2019.0)</f>
        <v>2019</v>
      </c>
      <c r="U2282" s="38" t="b">
        <f t="shared" ref="U2282:U2289" si="350">countif(A$4:A4658, A2282)&gt;1</f>
        <v>0</v>
      </c>
      <c r="V2282" s="38" t="s">
        <v>33</v>
      </c>
      <c r="W2282" s="40"/>
      <c r="X2282" s="40"/>
      <c r="Y2282" s="40"/>
      <c r="Z2282" s="38"/>
      <c r="AA2282" s="38"/>
      <c r="AB2282" s="38"/>
      <c r="AC2282" s="38"/>
      <c r="AD2282" s="38"/>
      <c r="AE2282" s="38"/>
      <c r="AF2282" s="38"/>
      <c r="AG2282" s="38"/>
      <c r="AH2282" s="38"/>
      <c r="AI2282" s="38"/>
      <c r="AJ2282" s="38"/>
      <c r="AK2282" s="38"/>
      <c r="AL2282" s="38"/>
      <c r="AM2282" s="38"/>
      <c r="AN2282" s="38"/>
      <c r="AO2282" s="38"/>
      <c r="AP2282" s="38"/>
      <c r="AQ2282" s="38"/>
      <c r="AR2282" s="38"/>
      <c r="AS2282" s="38"/>
      <c r="AT2282" s="38"/>
      <c r="AU2282" s="38"/>
      <c r="AV2282" s="38"/>
      <c r="AW2282" s="38"/>
      <c r="AX2282" s="38"/>
      <c r="AY2282" s="38"/>
      <c r="AZ2282" s="38"/>
      <c r="BA2282" s="38"/>
      <c r="BB2282" s="38"/>
      <c r="BC2282" s="38"/>
      <c r="BD2282" s="38"/>
      <c r="BE2282" s="38"/>
      <c r="BF2282" s="38"/>
      <c r="BG2282" s="38"/>
      <c r="BH2282" s="38"/>
      <c r="BI2282" s="38"/>
      <c r="BJ2282" s="38"/>
      <c r="BK2282" s="38"/>
      <c r="BL2282" s="38"/>
      <c r="BM2282" s="38"/>
      <c r="BN2282" s="38"/>
      <c r="BO2282" s="38"/>
      <c r="BP2282" s="38"/>
      <c r="BQ2282" s="38"/>
    </row>
    <row r="2283">
      <c r="A2283" s="47" t="s">
        <v>6202</v>
      </c>
      <c r="B2283" s="48"/>
      <c r="C2283" s="48">
        <v>43504.0</v>
      </c>
      <c r="D2283" s="49"/>
      <c r="E2283" s="47" t="s">
        <v>41</v>
      </c>
      <c r="F2283" s="47">
        <v>1.0</v>
      </c>
      <c r="G2283" s="47" t="s">
        <v>32</v>
      </c>
      <c r="H2283" s="63">
        <v>1.0</v>
      </c>
      <c r="I2283" s="47" t="s">
        <v>33</v>
      </c>
      <c r="J2283" s="47" t="s">
        <v>184</v>
      </c>
      <c r="K2283" s="47"/>
      <c r="L2283" s="47" t="s">
        <v>119</v>
      </c>
      <c r="M2283" s="52" t="s">
        <v>6203</v>
      </c>
      <c r="N2283" s="51" t="s">
        <v>6204</v>
      </c>
      <c r="O2283" s="53" t="str">
        <f>hyperlink("https://bad-boys.us/?q=CD-IL/2:19-cr-20015", "CD-IL 2:19-cr-20015")</f>
        <v>CD-IL 2:19-cr-20015</v>
      </c>
      <c r="P2283" s="54" t="s">
        <v>6205</v>
      </c>
      <c r="Q2283" s="47">
        <v>1.0</v>
      </c>
      <c r="R2283" s="55"/>
      <c r="S2283" s="37" t="str">
        <f>IFERROR(__xludf.DUMMYFUNCTION("if(not(iserror(index(split(C2283, "" ""),2))), index(split(C2283, "" ""),1),"""")"),"February")</f>
        <v>February</v>
      </c>
      <c r="T2283" s="38">
        <f>IFERROR(__xludf.DUMMYFUNCTION("if(S2283="""",C2283,if(not(iserror(index(split(C2283, "" ""),3))), index(split(C2283, "" ""),3),index(split(C2283, "" ""),2)))"),2019.0)</f>
        <v>2019</v>
      </c>
      <c r="U2283" s="38" t="b">
        <f t="shared" si="350"/>
        <v>0</v>
      </c>
      <c r="V2283" s="38" t="s">
        <v>33</v>
      </c>
      <c r="W2283" s="39" t="s">
        <v>6206</v>
      </c>
      <c r="X2283" s="40"/>
      <c r="Y2283" s="40"/>
      <c r="Z2283" s="38"/>
      <c r="AA2283" s="38"/>
      <c r="AB2283" s="38"/>
      <c r="AC2283" s="38"/>
      <c r="AD2283" s="38"/>
      <c r="AE2283" s="38"/>
      <c r="AF2283" s="38"/>
      <c r="AG2283" s="38"/>
      <c r="AH2283" s="38"/>
      <c r="AI2283" s="38"/>
      <c r="AJ2283" s="38"/>
      <c r="AK2283" s="38"/>
      <c r="AL2283" s="38"/>
      <c r="AM2283" s="38"/>
      <c r="AN2283" s="38"/>
      <c r="AO2283" s="38"/>
      <c r="AP2283" s="38"/>
      <c r="AQ2283" s="38"/>
      <c r="AR2283" s="38"/>
      <c r="AS2283" s="38"/>
      <c r="AT2283" s="38"/>
      <c r="AU2283" s="38"/>
      <c r="AV2283" s="38"/>
      <c r="AW2283" s="38"/>
      <c r="AX2283" s="38"/>
      <c r="AY2283" s="38"/>
      <c r="AZ2283" s="38"/>
      <c r="BA2283" s="38"/>
      <c r="BB2283" s="38"/>
      <c r="BC2283" s="38"/>
      <c r="BD2283" s="38"/>
      <c r="BE2283" s="38"/>
      <c r="BF2283" s="38"/>
      <c r="BG2283" s="38"/>
      <c r="BH2283" s="38"/>
      <c r="BI2283" s="38"/>
      <c r="BJ2283" s="38"/>
      <c r="BK2283" s="38"/>
      <c r="BL2283" s="38"/>
      <c r="BM2283" s="38"/>
      <c r="BN2283" s="38"/>
      <c r="BO2283" s="38"/>
      <c r="BP2283" s="38"/>
      <c r="BQ2283" s="38"/>
    </row>
    <row r="2284">
      <c r="A2284" s="47" t="s">
        <v>6207</v>
      </c>
      <c r="B2284" s="48"/>
      <c r="C2284" s="48">
        <v>43507.0</v>
      </c>
      <c r="D2284" s="49"/>
      <c r="E2284" s="47" t="s">
        <v>41</v>
      </c>
      <c r="F2284" s="47">
        <v>1.0</v>
      </c>
      <c r="G2284" s="47" t="s">
        <v>32</v>
      </c>
      <c r="H2284" s="63">
        <v>1.0</v>
      </c>
      <c r="I2284" s="47" t="s">
        <v>33</v>
      </c>
      <c r="J2284" s="47" t="s">
        <v>179</v>
      </c>
      <c r="K2284" s="47"/>
      <c r="L2284" s="47" t="s">
        <v>6208</v>
      </c>
      <c r="M2284" s="51" t="s">
        <v>6209</v>
      </c>
      <c r="N2284" s="52"/>
      <c r="O2284" s="53" t="str">
        <f>hyperlink("https://bad-boys.us/?q=ED-VA/4:19-cr-00012", "ED-VA 4:19-cr-00012")</f>
        <v>ED-VA 4:19-cr-00012</v>
      </c>
      <c r="P2284" s="47"/>
      <c r="Q2284" s="47">
        <v>1.0</v>
      </c>
      <c r="R2284" s="55"/>
      <c r="S2284" s="37"/>
      <c r="T2284" s="38"/>
      <c r="U2284" s="38" t="b">
        <f t="shared" si="350"/>
        <v>0</v>
      </c>
      <c r="V2284" s="38" t="s">
        <v>33</v>
      </c>
      <c r="W2284" s="40"/>
      <c r="X2284" s="40"/>
      <c r="Y2284" s="40"/>
      <c r="Z2284" s="38"/>
      <c r="AA2284" s="38"/>
      <c r="AB2284" s="38"/>
      <c r="AC2284" s="38"/>
      <c r="AD2284" s="38"/>
      <c r="AE2284" s="38"/>
      <c r="AF2284" s="38"/>
      <c r="AG2284" s="38"/>
      <c r="AH2284" s="38"/>
      <c r="AI2284" s="38"/>
      <c r="AJ2284" s="38"/>
      <c r="AK2284" s="38"/>
      <c r="AL2284" s="38"/>
      <c r="AM2284" s="38"/>
      <c r="AN2284" s="38"/>
      <c r="AO2284" s="38"/>
      <c r="AP2284" s="38"/>
      <c r="AQ2284" s="38"/>
      <c r="AR2284" s="38"/>
      <c r="AS2284" s="38"/>
      <c r="AT2284" s="38"/>
      <c r="AU2284" s="38"/>
      <c r="AV2284" s="38"/>
      <c r="AW2284" s="38"/>
      <c r="AX2284" s="38"/>
      <c r="AY2284" s="38"/>
      <c r="AZ2284" s="38"/>
      <c r="BA2284" s="38"/>
      <c r="BB2284" s="38"/>
      <c r="BC2284" s="38"/>
      <c r="BD2284" s="38"/>
      <c r="BE2284" s="38"/>
      <c r="BF2284" s="38"/>
      <c r="BG2284" s="38"/>
      <c r="BH2284" s="38"/>
      <c r="BI2284" s="38"/>
      <c r="BJ2284" s="38"/>
      <c r="BK2284" s="38"/>
      <c r="BL2284" s="38"/>
      <c r="BM2284" s="38"/>
      <c r="BN2284" s="38"/>
      <c r="BO2284" s="38"/>
      <c r="BP2284" s="38"/>
      <c r="BQ2284" s="38"/>
    </row>
    <row r="2285">
      <c r="A2285" s="47" t="s">
        <v>6210</v>
      </c>
      <c r="B2285" s="48"/>
      <c r="C2285" s="48">
        <v>43508.0</v>
      </c>
      <c r="D2285" s="49"/>
      <c r="E2285" s="47" t="s">
        <v>31</v>
      </c>
      <c r="F2285" s="47">
        <v>1.0</v>
      </c>
      <c r="G2285" s="47" t="s">
        <v>32</v>
      </c>
      <c r="H2285" s="63">
        <v>1.0</v>
      </c>
      <c r="I2285" s="47" t="s">
        <v>33</v>
      </c>
      <c r="J2285" s="47" t="s">
        <v>147</v>
      </c>
      <c r="K2285" s="47"/>
      <c r="L2285" s="47" t="s">
        <v>119</v>
      </c>
      <c r="M2285" s="51" t="s">
        <v>6211</v>
      </c>
      <c r="N2285" s="52" t="s">
        <v>6212</v>
      </c>
      <c r="O2285" s="53" t="str">
        <f>hyperlink("https://bad-boys.us/?q=WD-NY/1:19-mj-05024", "WD-NY 1:19-mj-05024")</f>
        <v>WD-NY 1:19-mj-05024</v>
      </c>
      <c r="P2285" s="47"/>
      <c r="Q2285" s="47">
        <v>1.0</v>
      </c>
      <c r="R2285" s="55"/>
      <c r="S2285" s="37" t="str">
        <f>IFERROR(__xludf.DUMMYFUNCTION("if(not(iserror(index(split(C2285, "" ""),2))), index(split(C2285, "" ""),1),"""")"),"February")</f>
        <v>February</v>
      </c>
      <c r="T2285" s="38">
        <f>IFERROR(__xludf.DUMMYFUNCTION("if(S2285="""",C2285,if(not(iserror(index(split(C2285, "" ""),3))), index(split(C2285, "" ""),3),index(split(C2285, "" ""),2)))"),2019.0)</f>
        <v>2019</v>
      </c>
      <c r="U2285" s="38" t="b">
        <f t="shared" si="350"/>
        <v>0</v>
      </c>
      <c r="V2285" s="38" t="s">
        <v>33</v>
      </c>
      <c r="W2285" s="39" t="s">
        <v>6213</v>
      </c>
      <c r="X2285" s="39" t="s">
        <v>6214</v>
      </c>
      <c r="Y2285" s="40"/>
      <c r="Z2285" s="38"/>
      <c r="AA2285" s="38"/>
      <c r="AB2285" s="38"/>
      <c r="AC2285" s="38"/>
      <c r="AD2285" s="38"/>
      <c r="AE2285" s="38"/>
      <c r="AF2285" s="38"/>
      <c r="AG2285" s="38"/>
      <c r="AH2285" s="38"/>
      <c r="AI2285" s="38"/>
      <c r="AJ2285" s="38"/>
      <c r="AK2285" s="38"/>
      <c r="AL2285" s="38"/>
      <c r="AM2285" s="38"/>
      <c r="AN2285" s="38"/>
      <c r="AO2285" s="38"/>
      <c r="AP2285" s="38"/>
      <c r="AQ2285" s="38"/>
      <c r="AR2285" s="38"/>
      <c r="AS2285" s="38"/>
      <c r="AT2285" s="38"/>
      <c r="AU2285" s="38"/>
      <c r="AV2285" s="38"/>
      <c r="AW2285" s="38"/>
      <c r="AX2285" s="38"/>
      <c r="AY2285" s="38"/>
      <c r="AZ2285" s="38"/>
      <c r="BA2285" s="38"/>
      <c r="BB2285" s="38"/>
      <c r="BC2285" s="38"/>
      <c r="BD2285" s="38"/>
      <c r="BE2285" s="38"/>
      <c r="BF2285" s="38"/>
      <c r="BG2285" s="38"/>
      <c r="BH2285" s="38"/>
      <c r="BI2285" s="38"/>
      <c r="BJ2285" s="38"/>
      <c r="BK2285" s="38"/>
      <c r="BL2285" s="38"/>
      <c r="BM2285" s="38"/>
      <c r="BN2285" s="38"/>
      <c r="BO2285" s="38"/>
      <c r="BP2285" s="38"/>
      <c r="BQ2285" s="38"/>
    </row>
    <row r="2286">
      <c r="A2286" s="47" t="s">
        <v>6215</v>
      </c>
      <c r="B2286" s="48"/>
      <c r="C2286" s="48">
        <v>43508.0</v>
      </c>
      <c r="D2286" s="49"/>
      <c r="E2286" s="47" t="s">
        <v>41</v>
      </c>
      <c r="F2286" s="47">
        <v>1.0</v>
      </c>
      <c r="G2286" s="47" t="s">
        <v>32</v>
      </c>
      <c r="H2286" s="63">
        <v>1.0</v>
      </c>
      <c r="I2286" s="47" t="s">
        <v>33</v>
      </c>
      <c r="J2286" s="47" t="s">
        <v>124</v>
      </c>
      <c r="K2286" s="47"/>
      <c r="L2286" s="47" t="s">
        <v>119</v>
      </c>
      <c r="M2286" s="51" t="s">
        <v>6216</v>
      </c>
      <c r="N2286" s="52"/>
      <c r="O2286" s="55"/>
      <c r="P2286" s="47"/>
      <c r="Q2286" s="47"/>
      <c r="R2286" s="55"/>
      <c r="S2286" s="37" t="str">
        <f>IFERROR(__xludf.DUMMYFUNCTION("if(not(iserror(index(split(C2286, "" ""),2))), index(split(C2286, "" ""),1),"""")"),"February")</f>
        <v>February</v>
      </c>
      <c r="T2286" s="38">
        <f>IFERROR(__xludf.DUMMYFUNCTION("if(S2286="""",C2286,if(not(iserror(index(split(C2286, "" ""),3))), index(split(C2286, "" ""),3),index(split(C2286, "" ""),2)))"),2019.0)</f>
        <v>2019</v>
      </c>
      <c r="U2286" s="38" t="b">
        <f t="shared" si="350"/>
        <v>0</v>
      </c>
      <c r="V2286" s="38" t="s">
        <v>33</v>
      </c>
      <c r="W2286" s="40"/>
      <c r="X2286" s="40"/>
      <c r="Y2286" s="40"/>
      <c r="Z2286" s="38"/>
      <c r="AA2286" s="38"/>
      <c r="AB2286" s="38"/>
      <c r="AC2286" s="38"/>
      <c r="AD2286" s="38"/>
      <c r="AE2286" s="38"/>
      <c r="AF2286" s="38"/>
      <c r="AG2286" s="38"/>
      <c r="AH2286" s="38"/>
      <c r="AI2286" s="38"/>
      <c r="AJ2286" s="38"/>
      <c r="AK2286" s="38"/>
      <c r="AL2286" s="38"/>
      <c r="AM2286" s="38"/>
      <c r="AN2286" s="38"/>
      <c r="AO2286" s="38"/>
      <c r="AP2286" s="38"/>
      <c r="AQ2286" s="38"/>
      <c r="AR2286" s="38"/>
      <c r="AS2286" s="38"/>
      <c r="AT2286" s="38"/>
      <c r="AU2286" s="38"/>
      <c r="AV2286" s="38"/>
      <c r="AW2286" s="38"/>
      <c r="AX2286" s="38"/>
      <c r="AY2286" s="38"/>
      <c r="AZ2286" s="38"/>
      <c r="BA2286" s="38"/>
      <c r="BB2286" s="38"/>
      <c r="BC2286" s="38"/>
      <c r="BD2286" s="38"/>
      <c r="BE2286" s="38"/>
      <c r="BF2286" s="38"/>
      <c r="BG2286" s="38"/>
      <c r="BH2286" s="38"/>
      <c r="BI2286" s="38"/>
      <c r="BJ2286" s="38"/>
      <c r="BK2286" s="38"/>
      <c r="BL2286" s="38"/>
      <c r="BM2286" s="38"/>
      <c r="BN2286" s="38"/>
      <c r="BO2286" s="38"/>
      <c r="BP2286" s="38"/>
      <c r="BQ2286" s="38"/>
    </row>
    <row r="2287">
      <c r="A2287" s="47" t="s">
        <v>6217</v>
      </c>
      <c r="B2287" s="48"/>
      <c r="C2287" s="48">
        <v>43509.0</v>
      </c>
      <c r="D2287" s="49"/>
      <c r="E2287" s="47" t="s">
        <v>41</v>
      </c>
      <c r="F2287" s="47">
        <v>1.0</v>
      </c>
      <c r="G2287" s="47" t="s">
        <v>32</v>
      </c>
      <c r="H2287" s="63">
        <v>1.0</v>
      </c>
      <c r="I2287" s="47" t="s">
        <v>33</v>
      </c>
      <c r="J2287" s="47" t="s">
        <v>47</v>
      </c>
      <c r="K2287" s="47"/>
      <c r="L2287" s="47" t="s">
        <v>119</v>
      </c>
      <c r="M2287" s="52" t="s">
        <v>6218</v>
      </c>
      <c r="N2287" s="52"/>
      <c r="O2287" s="53" t="str">
        <f>hyperlink("https://bad-boys.us/?q=MD-FL/6:19-cr-00024", "MD-FL 6:19-cr-00024")</f>
        <v>MD-FL 6:19-cr-00024</v>
      </c>
      <c r="P2287" s="54" t="s">
        <v>6219</v>
      </c>
      <c r="Q2287" s="47">
        <v>1.0</v>
      </c>
      <c r="R2287" s="55"/>
      <c r="S2287" s="37" t="str">
        <f>IFERROR(__xludf.DUMMYFUNCTION("if(not(iserror(index(split(C2287, "" ""),2))), index(split(C2287, "" ""),1),"""")"),"February")</f>
        <v>February</v>
      </c>
      <c r="T2287" s="38">
        <f>IFERROR(__xludf.DUMMYFUNCTION("if(S2287="""",C2287,if(not(iserror(index(split(C2287, "" ""),3))), index(split(C2287, "" ""),3),index(split(C2287, "" ""),2)))"),2019.0)</f>
        <v>2019</v>
      </c>
      <c r="U2287" s="38" t="b">
        <f t="shared" si="350"/>
        <v>0</v>
      </c>
      <c r="V2287" s="38" t="s">
        <v>33</v>
      </c>
      <c r="W2287" s="40"/>
      <c r="X2287" s="40"/>
      <c r="Y2287" s="40"/>
      <c r="Z2287" s="38"/>
      <c r="AA2287" s="38"/>
      <c r="AB2287" s="38"/>
      <c r="AC2287" s="38"/>
      <c r="AD2287" s="38"/>
      <c r="AE2287" s="38"/>
      <c r="AF2287" s="38"/>
      <c r="AG2287" s="38"/>
      <c r="AH2287" s="38"/>
      <c r="AI2287" s="38"/>
      <c r="AJ2287" s="38"/>
      <c r="AK2287" s="38"/>
      <c r="AL2287" s="38"/>
      <c r="AM2287" s="38"/>
      <c r="AN2287" s="38"/>
      <c r="AO2287" s="38"/>
      <c r="AP2287" s="38"/>
      <c r="AQ2287" s="38"/>
      <c r="AR2287" s="38"/>
      <c r="AS2287" s="38"/>
      <c r="AT2287" s="38"/>
      <c r="AU2287" s="38"/>
      <c r="AV2287" s="38"/>
      <c r="AW2287" s="38"/>
      <c r="AX2287" s="38"/>
      <c r="AY2287" s="38"/>
      <c r="AZ2287" s="38"/>
      <c r="BA2287" s="38"/>
      <c r="BB2287" s="38"/>
      <c r="BC2287" s="38"/>
      <c r="BD2287" s="38"/>
      <c r="BE2287" s="38"/>
      <c r="BF2287" s="38"/>
      <c r="BG2287" s="38"/>
      <c r="BH2287" s="38"/>
      <c r="BI2287" s="38"/>
      <c r="BJ2287" s="38"/>
      <c r="BK2287" s="38"/>
      <c r="BL2287" s="38"/>
      <c r="BM2287" s="38"/>
      <c r="BN2287" s="38"/>
      <c r="BO2287" s="38"/>
      <c r="BP2287" s="38"/>
      <c r="BQ2287" s="38"/>
    </row>
    <row r="2288">
      <c r="A2288" s="47" t="s">
        <v>6220</v>
      </c>
      <c r="B2288" s="48"/>
      <c r="C2288" s="48">
        <v>43509.0</v>
      </c>
      <c r="D2288" s="49"/>
      <c r="E2288" s="47" t="s">
        <v>31</v>
      </c>
      <c r="F2288" s="47">
        <v>1.0</v>
      </c>
      <c r="G2288" s="47" t="s">
        <v>32</v>
      </c>
      <c r="H2288" s="63">
        <v>1.0</v>
      </c>
      <c r="I2288" s="47" t="s">
        <v>33</v>
      </c>
      <c r="J2288" s="47" t="s">
        <v>279</v>
      </c>
      <c r="K2288" s="47"/>
      <c r="L2288" s="47" t="s">
        <v>76</v>
      </c>
      <c r="M2288" s="51" t="s">
        <v>6221</v>
      </c>
      <c r="N2288" s="51" t="s">
        <v>6222</v>
      </c>
      <c r="O2288" s="55"/>
      <c r="P2288" s="47"/>
      <c r="Q2288" s="47"/>
      <c r="R2288" s="55"/>
      <c r="S2288" s="37" t="str">
        <f>IFERROR(__xludf.DUMMYFUNCTION("if(not(iserror(index(split(C2288, "" ""),2))), index(split(C2288, "" ""),1),"""")"),"February")</f>
        <v>February</v>
      </c>
      <c r="T2288" s="38">
        <f>IFERROR(__xludf.DUMMYFUNCTION("if(S2288="""",C2288,if(not(iserror(index(split(C2288, "" ""),3))), index(split(C2288, "" ""),3),index(split(C2288, "" ""),2)))"),2019.0)</f>
        <v>2019</v>
      </c>
      <c r="U2288" s="38" t="b">
        <f t="shared" si="350"/>
        <v>0</v>
      </c>
      <c r="V2288" s="38" t="s">
        <v>33</v>
      </c>
      <c r="W2288" s="39" t="s">
        <v>6223</v>
      </c>
      <c r="X2288" s="39" t="s">
        <v>6224</v>
      </c>
      <c r="Y2288" s="40"/>
      <c r="Z2288" s="38"/>
      <c r="AA2288" s="38"/>
      <c r="AB2288" s="38"/>
      <c r="AC2288" s="38"/>
      <c r="AD2288" s="38"/>
      <c r="AE2288" s="38"/>
      <c r="AF2288" s="38"/>
      <c r="AG2288" s="38"/>
      <c r="AH2288" s="38"/>
      <c r="AI2288" s="38"/>
      <c r="AJ2288" s="38"/>
      <c r="AK2288" s="38"/>
      <c r="AL2288" s="38"/>
      <c r="AM2288" s="38"/>
      <c r="AN2288" s="38"/>
      <c r="AO2288" s="38"/>
      <c r="AP2288" s="38"/>
      <c r="AQ2288" s="38"/>
      <c r="AR2288" s="38"/>
      <c r="AS2288" s="38"/>
      <c r="AT2288" s="38"/>
      <c r="AU2288" s="38"/>
      <c r="AV2288" s="38"/>
      <c r="AW2288" s="38"/>
      <c r="AX2288" s="38"/>
      <c r="AY2288" s="38"/>
      <c r="AZ2288" s="38"/>
      <c r="BA2288" s="38"/>
      <c r="BB2288" s="38"/>
      <c r="BC2288" s="38"/>
      <c r="BD2288" s="38"/>
      <c r="BE2288" s="38"/>
      <c r="BF2288" s="38"/>
      <c r="BG2288" s="38"/>
      <c r="BH2288" s="38"/>
      <c r="BI2288" s="38"/>
      <c r="BJ2288" s="38"/>
      <c r="BK2288" s="38"/>
      <c r="BL2288" s="38"/>
      <c r="BM2288" s="38"/>
      <c r="BN2288" s="38"/>
      <c r="BO2288" s="38"/>
      <c r="BP2288" s="38"/>
      <c r="BQ2288" s="38"/>
    </row>
    <row r="2289">
      <c r="A2289" s="47" t="s">
        <v>6225</v>
      </c>
      <c r="B2289" s="48"/>
      <c r="C2289" s="48">
        <v>43509.0</v>
      </c>
      <c r="D2289" s="49"/>
      <c r="E2289" s="47" t="s">
        <v>41</v>
      </c>
      <c r="F2289" s="47">
        <v>1.0</v>
      </c>
      <c r="G2289" s="47">
        <v>5.0</v>
      </c>
      <c r="H2289" s="63">
        <v>5.0</v>
      </c>
      <c r="I2289" s="47" t="s">
        <v>33</v>
      </c>
      <c r="J2289" s="47" t="s">
        <v>111</v>
      </c>
      <c r="K2289" s="47"/>
      <c r="L2289" s="47" t="s">
        <v>76</v>
      </c>
      <c r="M2289" s="51" t="s">
        <v>6226</v>
      </c>
      <c r="N2289" s="52"/>
      <c r="O2289" s="53" t="str">
        <f>hyperlink("https://bad-boys.us/?q=CD-CA/2:19-cr-00083", "CD-CA 2:19-cr-00083")</f>
        <v>CD-CA 2:19-cr-00083</v>
      </c>
      <c r="P2289" s="54" t="s">
        <v>6227</v>
      </c>
      <c r="Q2289" s="47">
        <v>1.0</v>
      </c>
      <c r="R2289" s="55"/>
      <c r="S2289" s="37"/>
      <c r="T2289" s="38"/>
      <c r="U2289" s="38" t="b">
        <f t="shared" si="350"/>
        <v>0</v>
      </c>
      <c r="V2289" s="38" t="s">
        <v>33</v>
      </c>
      <c r="W2289" s="40"/>
      <c r="X2289" s="40"/>
      <c r="Y2289" s="40"/>
      <c r="Z2289" s="38"/>
      <c r="AA2289" s="38"/>
      <c r="AB2289" s="38"/>
      <c r="AC2289" s="38"/>
      <c r="AD2289" s="38"/>
      <c r="AE2289" s="38"/>
      <c r="AF2289" s="38"/>
      <c r="AG2289" s="38"/>
      <c r="AH2289" s="38"/>
      <c r="AI2289" s="38"/>
      <c r="AJ2289" s="38"/>
      <c r="AK2289" s="38"/>
      <c r="AL2289" s="38"/>
      <c r="AM2289" s="38"/>
      <c r="AN2289" s="38"/>
      <c r="AO2289" s="38"/>
      <c r="AP2289" s="38"/>
      <c r="AQ2289" s="38"/>
      <c r="AR2289" s="38"/>
      <c r="AS2289" s="38"/>
      <c r="AT2289" s="38"/>
      <c r="AU2289" s="38"/>
      <c r="AV2289" s="38"/>
      <c r="AW2289" s="38"/>
      <c r="AX2289" s="38"/>
      <c r="AY2289" s="38"/>
      <c r="AZ2289" s="38"/>
      <c r="BA2289" s="38"/>
      <c r="BB2289" s="38"/>
      <c r="BC2289" s="38"/>
      <c r="BD2289" s="38"/>
      <c r="BE2289" s="38"/>
      <c r="BF2289" s="38"/>
      <c r="BG2289" s="38"/>
      <c r="BH2289" s="38"/>
      <c r="BI2289" s="38"/>
      <c r="BJ2289" s="38"/>
      <c r="BK2289" s="38"/>
      <c r="BL2289" s="38"/>
      <c r="BM2289" s="38"/>
      <c r="BN2289" s="38"/>
      <c r="BO2289" s="38"/>
      <c r="BP2289" s="38"/>
      <c r="BQ2289" s="38"/>
    </row>
    <row r="2290">
      <c r="A2290" s="109" t="s">
        <v>6228</v>
      </c>
      <c r="B2290" s="48"/>
      <c r="C2290" s="48">
        <v>43510.0</v>
      </c>
      <c r="D2290" s="49"/>
      <c r="E2290" s="47" t="s">
        <v>41</v>
      </c>
      <c r="F2290" s="47">
        <v>1.0</v>
      </c>
      <c r="G2290" s="47" t="s">
        <v>32</v>
      </c>
      <c r="H2290" s="63">
        <v>1.0</v>
      </c>
      <c r="I2290" s="47" t="s">
        <v>33</v>
      </c>
      <c r="J2290" s="47" t="s">
        <v>75</v>
      </c>
      <c r="K2290" s="47"/>
      <c r="L2290" s="47" t="s">
        <v>119</v>
      </c>
      <c r="M2290" s="51" t="s">
        <v>6229</v>
      </c>
      <c r="N2290" s="52"/>
      <c r="O2290" s="55"/>
      <c r="P2290" s="47"/>
      <c r="Q2290" s="47">
        <v>1.0</v>
      </c>
      <c r="R2290" s="55"/>
      <c r="S2290" s="37"/>
      <c r="T2290" s="38"/>
      <c r="U2290" s="38"/>
      <c r="V2290" s="38" t="s">
        <v>33</v>
      </c>
      <c r="W2290" s="40"/>
      <c r="X2290" s="40"/>
      <c r="Y2290" s="40"/>
      <c r="Z2290" s="38"/>
      <c r="AA2290" s="38"/>
      <c r="AB2290" s="38"/>
      <c r="AC2290" s="38"/>
      <c r="AD2290" s="38"/>
      <c r="AE2290" s="38"/>
      <c r="AF2290" s="38"/>
      <c r="AG2290" s="38"/>
      <c r="AH2290" s="38"/>
      <c r="AI2290" s="38"/>
      <c r="AJ2290" s="38"/>
      <c r="AK2290" s="38"/>
      <c r="AL2290" s="38"/>
      <c r="AM2290" s="38"/>
      <c r="AN2290" s="38"/>
      <c r="AO2290" s="38"/>
      <c r="AP2290" s="38"/>
      <c r="AQ2290" s="38"/>
      <c r="AR2290" s="38"/>
      <c r="AS2290" s="38"/>
      <c r="AT2290" s="38"/>
      <c r="AU2290" s="38"/>
      <c r="AV2290" s="38"/>
      <c r="AW2290" s="38"/>
      <c r="AX2290" s="38"/>
      <c r="AY2290" s="38"/>
      <c r="AZ2290" s="38"/>
      <c r="BA2290" s="38"/>
      <c r="BB2290" s="38"/>
      <c r="BC2290" s="38"/>
      <c r="BD2290" s="38"/>
      <c r="BE2290" s="38"/>
      <c r="BF2290" s="38"/>
      <c r="BG2290" s="38"/>
      <c r="BH2290" s="38"/>
      <c r="BI2290" s="38"/>
      <c r="BJ2290" s="38"/>
      <c r="BK2290" s="38"/>
      <c r="BL2290" s="38"/>
      <c r="BM2290" s="38"/>
      <c r="BN2290" s="38"/>
      <c r="BO2290" s="38"/>
      <c r="BP2290" s="38"/>
      <c r="BQ2290" s="38"/>
    </row>
    <row r="2291">
      <c r="A2291" s="109" t="s">
        <v>6230</v>
      </c>
      <c r="B2291" s="48"/>
      <c r="C2291" s="48">
        <v>43511.0</v>
      </c>
      <c r="D2291" s="49"/>
      <c r="E2291" s="47" t="s">
        <v>41</v>
      </c>
      <c r="F2291" s="47">
        <v>1.0</v>
      </c>
      <c r="G2291" s="47" t="s">
        <v>32</v>
      </c>
      <c r="H2291" s="63">
        <v>1.0</v>
      </c>
      <c r="I2291" s="47" t="s">
        <v>33</v>
      </c>
      <c r="J2291" s="47" t="s">
        <v>93</v>
      </c>
      <c r="K2291" s="47"/>
      <c r="L2291" s="47" t="s">
        <v>119</v>
      </c>
      <c r="M2291" s="52" t="s">
        <v>6231</v>
      </c>
      <c r="N2291" s="52"/>
      <c r="O2291" s="53" t="str">
        <f>hyperlink("https://bad-boys.us/?q=ND-NY/1:19-mj-00083", "ND-NY 1:19-mj-00083")</f>
        <v>ND-NY 1:19-mj-00083</v>
      </c>
      <c r="P2291" s="54" t="s">
        <v>6232</v>
      </c>
      <c r="Q2291" s="47">
        <v>1.0</v>
      </c>
      <c r="R2291" s="55"/>
      <c r="S2291" s="37" t="str">
        <f>IFERROR(__xludf.DUMMYFUNCTION("if(not(iserror(index(split(C2291, "" ""),2))), index(split(C2291, "" ""),1),"""")"),"February")</f>
        <v>February</v>
      </c>
      <c r="T2291" s="38">
        <f>IFERROR(__xludf.DUMMYFUNCTION("if(S2291="""",C2291,if(not(iserror(index(split(C2291, "" ""),3))), index(split(C2291, "" ""),3),index(split(C2291, "" ""),2)))"),2019.0)</f>
        <v>2019</v>
      </c>
      <c r="U2291" s="38" t="b">
        <f t="shared" ref="U2291:U2296" si="351">countif(A$4:A4658, A2291)&gt;1</f>
        <v>0</v>
      </c>
      <c r="V2291" s="38" t="s">
        <v>33</v>
      </c>
      <c r="W2291" s="40"/>
      <c r="X2291" s="40"/>
      <c r="Y2291" s="40"/>
      <c r="Z2291" s="38"/>
      <c r="AA2291" s="38"/>
      <c r="AB2291" s="38"/>
      <c r="AC2291" s="38"/>
      <c r="AD2291" s="38"/>
      <c r="AE2291" s="38"/>
      <c r="AF2291" s="38"/>
      <c r="AG2291" s="38"/>
      <c r="AH2291" s="38"/>
      <c r="AI2291" s="38"/>
      <c r="AJ2291" s="38"/>
      <c r="AK2291" s="38"/>
      <c r="AL2291" s="38"/>
      <c r="AM2291" s="38"/>
      <c r="AN2291" s="38"/>
      <c r="AO2291" s="38"/>
      <c r="AP2291" s="38"/>
      <c r="AQ2291" s="38"/>
      <c r="AR2291" s="38"/>
      <c r="AS2291" s="38"/>
      <c r="AT2291" s="38"/>
      <c r="AU2291" s="38"/>
      <c r="AV2291" s="38"/>
      <c r="AW2291" s="38"/>
      <c r="AX2291" s="38"/>
      <c r="AY2291" s="38"/>
      <c r="AZ2291" s="38"/>
      <c r="BA2291" s="38"/>
      <c r="BB2291" s="38"/>
      <c r="BC2291" s="38"/>
      <c r="BD2291" s="38"/>
      <c r="BE2291" s="38"/>
      <c r="BF2291" s="38"/>
      <c r="BG2291" s="38"/>
      <c r="BH2291" s="38"/>
      <c r="BI2291" s="38"/>
      <c r="BJ2291" s="38"/>
      <c r="BK2291" s="38"/>
      <c r="BL2291" s="38"/>
      <c r="BM2291" s="38"/>
      <c r="BN2291" s="38"/>
      <c r="BO2291" s="38"/>
      <c r="BP2291" s="38"/>
      <c r="BQ2291" s="38"/>
    </row>
    <row r="2292">
      <c r="A2292" s="109" t="s">
        <v>6233</v>
      </c>
      <c r="B2292" s="48"/>
      <c r="C2292" s="48">
        <v>43511.0</v>
      </c>
      <c r="D2292" s="49"/>
      <c r="E2292" s="47" t="s">
        <v>41</v>
      </c>
      <c r="F2292" s="47">
        <v>1.0</v>
      </c>
      <c r="G2292" s="47" t="s">
        <v>32</v>
      </c>
      <c r="H2292" s="63">
        <v>1.0</v>
      </c>
      <c r="I2292" s="47" t="s">
        <v>33</v>
      </c>
      <c r="J2292" s="47" t="s">
        <v>61</v>
      </c>
      <c r="K2292" s="47"/>
      <c r="L2292" s="47" t="s">
        <v>6117</v>
      </c>
      <c r="M2292" s="274" t="s">
        <v>6234</v>
      </c>
      <c r="N2292" s="52"/>
      <c r="O2292" s="55"/>
      <c r="P2292" s="47"/>
      <c r="Q2292" s="47"/>
      <c r="R2292" s="55"/>
      <c r="S2292" s="37" t="str">
        <f>IFERROR(__xludf.DUMMYFUNCTION("if(not(iserror(index(split(C2292, "" ""),2))), index(split(C2292, "" ""),1),"""")"),"February")</f>
        <v>February</v>
      </c>
      <c r="T2292" s="38">
        <f>IFERROR(__xludf.DUMMYFUNCTION("if(S2292="""",C2292,if(not(iserror(index(split(C2292, "" ""),3))), index(split(C2292, "" ""),3),index(split(C2292, "" ""),2)))"),2019.0)</f>
        <v>2019</v>
      </c>
      <c r="U2292" s="38" t="b">
        <f t="shared" si="351"/>
        <v>0</v>
      </c>
      <c r="V2292" s="38" t="s">
        <v>32</v>
      </c>
      <c r="W2292" s="40"/>
      <c r="X2292" s="40"/>
      <c r="Y2292" s="40"/>
      <c r="Z2292" s="38"/>
      <c r="AA2292" s="38"/>
      <c r="AB2292" s="38"/>
      <c r="AC2292" s="38"/>
      <c r="AD2292" s="38"/>
      <c r="AE2292" s="38"/>
      <c r="AF2292" s="38"/>
      <c r="AG2292" s="38"/>
      <c r="AH2292" s="38"/>
      <c r="AI2292" s="38"/>
      <c r="AJ2292" s="38"/>
      <c r="AK2292" s="38"/>
      <c r="AL2292" s="38"/>
      <c r="AM2292" s="38"/>
      <c r="AN2292" s="38"/>
      <c r="AO2292" s="38"/>
      <c r="AP2292" s="38"/>
      <c r="AQ2292" s="38"/>
      <c r="AR2292" s="38"/>
      <c r="AS2292" s="38"/>
      <c r="AT2292" s="38"/>
      <c r="AU2292" s="38"/>
      <c r="AV2292" s="38"/>
      <c r="AW2292" s="38"/>
      <c r="AX2292" s="38"/>
      <c r="AY2292" s="38"/>
      <c r="AZ2292" s="38"/>
      <c r="BA2292" s="38"/>
      <c r="BB2292" s="38"/>
      <c r="BC2292" s="38"/>
      <c r="BD2292" s="38"/>
      <c r="BE2292" s="38"/>
      <c r="BF2292" s="38"/>
      <c r="BG2292" s="38"/>
      <c r="BH2292" s="38"/>
      <c r="BI2292" s="38"/>
      <c r="BJ2292" s="38"/>
      <c r="BK2292" s="38"/>
      <c r="BL2292" s="38"/>
      <c r="BM2292" s="38"/>
      <c r="BN2292" s="38"/>
      <c r="BO2292" s="38"/>
      <c r="BP2292" s="38"/>
      <c r="BQ2292" s="38"/>
    </row>
    <row r="2293">
      <c r="A2293" s="109" t="s">
        <v>6235</v>
      </c>
      <c r="B2293" s="48"/>
      <c r="C2293" s="48">
        <v>43515.0</v>
      </c>
      <c r="D2293" s="49"/>
      <c r="E2293" s="47" t="s">
        <v>6236</v>
      </c>
      <c r="F2293" s="47">
        <v>1.0</v>
      </c>
      <c r="G2293" s="47">
        <v>1.0</v>
      </c>
      <c r="H2293" s="63">
        <v>1.0</v>
      </c>
      <c r="I2293" s="47" t="s">
        <v>33</v>
      </c>
      <c r="J2293" s="47" t="s">
        <v>433</v>
      </c>
      <c r="K2293" s="47"/>
      <c r="L2293" s="47" t="s">
        <v>76</v>
      </c>
      <c r="M2293" s="51" t="s">
        <v>6237</v>
      </c>
      <c r="N2293" s="52"/>
      <c r="O2293" s="53" t="str">
        <f>hyperlink("https://bad-boys.us/?q=D-MN/0:19-cr-00048", "D-MN 0:19-cr-00048")</f>
        <v>D-MN 0:19-cr-00048</v>
      </c>
      <c r="P2293" s="54" t="s">
        <v>6238</v>
      </c>
      <c r="Q2293" s="47">
        <v>1.0</v>
      </c>
      <c r="R2293" s="55"/>
      <c r="S2293" s="37"/>
      <c r="T2293" s="38"/>
      <c r="U2293" s="38" t="b">
        <f t="shared" si="351"/>
        <v>0</v>
      </c>
      <c r="V2293" s="38" t="s">
        <v>33</v>
      </c>
      <c r="W2293" s="40"/>
      <c r="X2293" s="40"/>
      <c r="Y2293" s="40"/>
      <c r="Z2293" s="38"/>
      <c r="AA2293" s="38"/>
      <c r="AB2293" s="38"/>
      <c r="AC2293" s="38"/>
      <c r="AD2293" s="38"/>
      <c r="AE2293" s="38"/>
      <c r="AF2293" s="38"/>
      <c r="AG2293" s="38"/>
      <c r="AH2293" s="38"/>
      <c r="AI2293" s="38"/>
      <c r="AJ2293" s="38"/>
      <c r="AK2293" s="38"/>
      <c r="AL2293" s="38"/>
      <c r="AM2293" s="38"/>
      <c r="AN2293" s="38"/>
      <c r="AO2293" s="38"/>
      <c r="AP2293" s="38"/>
      <c r="AQ2293" s="38"/>
      <c r="AR2293" s="38"/>
      <c r="AS2293" s="38"/>
      <c r="AT2293" s="38"/>
      <c r="AU2293" s="38"/>
      <c r="AV2293" s="38"/>
      <c r="AW2293" s="38"/>
      <c r="AX2293" s="38"/>
      <c r="AY2293" s="38"/>
      <c r="AZ2293" s="38"/>
      <c r="BA2293" s="38"/>
      <c r="BB2293" s="38"/>
      <c r="BC2293" s="38"/>
      <c r="BD2293" s="38"/>
      <c r="BE2293" s="38"/>
      <c r="BF2293" s="38"/>
      <c r="BG2293" s="38"/>
      <c r="BH2293" s="38"/>
      <c r="BI2293" s="38"/>
      <c r="BJ2293" s="38"/>
      <c r="BK2293" s="38"/>
      <c r="BL2293" s="38"/>
      <c r="BM2293" s="38"/>
      <c r="BN2293" s="38"/>
      <c r="BO2293" s="38"/>
      <c r="BP2293" s="38"/>
      <c r="BQ2293" s="38"/>
    </row>
    <row r="2294">
      <c r="A2294" s="109" t="s">
        <v>6239</v>
      </c>
      <c r="B2294" s="48"/>
      <c r="C2294" s="48">
        <v>43515.0</v>
      </c>
      <c r="D2294" s="49"/>
      <c r="E2294" s="47" t="s">
        <v>41</v>
      </c>
      <c r="F2294" s="47">
        <v>1.0</v>
      </c>
      <c r="G2294" s="47" t="s">
        <v>32</v>
      </c>
      <c r="H2294" s="63">
        <v>1.0</v>
      </c>
      <c r="I2294" s="47" t="s">
        <v>33</v>
      </c>
      <c r="J2294" s="47" t="s">
        <v>93</v>
      </c>
      <c r="K2294" s="47"/>
      <c r="L2294" s="47" t="s">
        <v>76</v>
      </c>
      <c r="M2294" s="52" t="s">
        <v>6240</v>
      </c>
      <c r="N2294" s="52"/>
      <c r="O2294" s="53" t="str">
        <f>hyperlink("https://bad-boys.us/?q=WD-NY/1:19-cr-00089", "WD-NY 1:19-cr-00089")</f>
        <v>WD-NY 1:19-cr-00089</v>
      </c>
      <c r="P2294" s="47"/>
      <c r="Q2294" s="47">
        <v>1.0</v>
      </c>
      <c r="R2294" s="55"/>
      <c r="S2294" s="37" t="str">
        <f>IFERROR(__xludf.DUMMYFUNCTION("if(not(iserror(index(split(C2294, "" ""),2))), index(split(C2294, "" ""),1),"""")"),"February")</f>
        <v>February</v>
      </c>
      <c r="T2294" s="38">
        <f>IFERROR(__xludf.DUMMYFUNCTION("if(S2294="""",C2294,if(not(iserror(index(split(C2294, "" ""),3))), index(split(C2294, "" ""),3),index(split(C2294, "" ""),2)))"),2019.0)</f>
        <v>2019</v>
      </c>
      <c r="U2294" s="38" t="b">
        <f t="shared" si="351"/>
        <v>0</v>
      </c>
      <c r="V2294" s="38" t="s">
        <v>33</v>
      </c>
      <c r="W2294" s="40"/>
      <c r="X2294" s="40"/>
      <c r="Y2294" s="40"/>
      <c r="Z2294" s="38"/>
      <c r="AA2294" s="38"/>
      <c r="AB2294" s="38"/>
      <c r="AC2294" s="38"/>
      <c r="AD2294" s="38"/>
      <c r="AE2294" s="38"/>
      <c r="AF2294" s="38"/>
      <c r="AG2294" s="38"/>
      <c r="AH2294" s="38"/>
      <c r="AI2294" s="38"/>
      <c r="AJ2294" s="38"/>
      <c r="AK2294" s="38"/>
      <c r="AL2294" s="38"/>
      <c r="AM2294" s="38"/>
      <c r="AN2294" s="38"/>
      <c r="AO2294" s="38"/>
      <c r="AP2294" s="38"/>
      <c r="AQ2294" s="38"/>
      <c r="AR2294" s="38"/>
      <c r="AS2294" s="38"/>
      <c r="AT2294" s="38"/>
      <c r="AU2294" s="38"/>
      <c r="AV2294" s="38"/>
      <c r="AW2294" s="38"/>
      <c r="AX2294" s="38"/>
      <c r="AY2294" s="38"/>
      <c r="AZ2294" s="38"/>
      <c r="BA2294" s="38"/>
      <c r="BB2294" s="38"/>
      <c r="BC2294" s="38"/>
      <c r="BD2294" s="38"/>
      <c r="BE2294" s="38"/>
      <c r="BF2294" s="38"/>
      <c r="BG2294" s="38"/>
      <c r="BH2294" s="38"/>
      <c r="BI2294" s="38"/>
      <c r="BJ2294" s="38"/>
      <c r="BK2294" s="38"/>
      <c r="BL2294" s="38"/>
      <c r="BM2294" s="38"/>
      <c r="BN2294" s="38"/>
      <c r="BO2294" s="38"/>
      <c r="BP2294" s="38"/>
      <c r="BQ2294" s="38"/>
    </row>
    <row r="2295">
      <c r="A2295" s="275" t="s">
        <v>6241</v>
      </c>
      <c r="B2295" s="48"/>
      <c r="C2295" s="48">
        <v>43515.0</v>
      </c>
      <c r="D2295" s="48"/>
      <c r="E2295" s="47" t="s">
        <v>41</v>
      </c>
      <c r="F2295" s="47">
        <v>1.0</v>
      </c>
      <c r="G2295" s="47" t="s">
        <v>32</v>
      </c>
      <c r="H2295" s="63">
        <v>1.0</v>
      </c>
      <c r="I2295" s="47" t="s">
        <v>33</v>
      </c>
      <c r="J2295" s="47" t="s">
        <v>413</v>
      </c>
      <c r="K2295" s="48"/>
      <c r="L2295" s="47" t="s">
        <v>119</v>
      </c>
      <c r="M2295" s="51" t="s">
        <v>6242</v>
      </c>
      <c r="N2295" s="276"/>
      <c r="O2295" s="277" t="str">
        <f>hyperlink("https://bad-boys.us/?q=D-VT/2:19-cr-00026", "D-VT 2:19-cr-00026")</f>
        <v>D-VT 2:19-cr-00026</v>
      </c>
      <c r="P2295" s="54" t="s">
        <v>6243</v>
      </c>
      <c r="Q2295" s="47">
        <v>1.0</v>
      </c>
      <c r="R2295" s="268"/>
      <c r="S2295" s="37" t="str">
        <f>IFERROR(__xludf.DUMMYFUNCTION("if(not(iserror(index(split(C2295, "" ""),2))), index(split(C2295, "" ""),1),"""")"),"February")</f>
        <v>February</v>
      </c>
      <c r="T2295" s="38">
        <f>IFERROR(__xludf.DUMMYFUNCTION("if(S2295="""",C2295,if(not(iserror(index(split(C2295, "" ""),3))), index(split(C2295, "" ""),3),index(split(C2295, "" ""),2)))"),2019.0)</f>
        <v>2019</v>
      </c>
      <c r="U2295" s="38" t="b">
        <f t="shared" si="351"/>
        <v>0</v>
      </c>
      <c r="V2295" s="38" t="s">
        <v>33</v>
      </c>
      <c r="W2295" s="278"/>
      <c r="X2295" s="278"/>
      <c r="Y2295" s="278"/>
      <c r="Z2295" s="279"/>
      <c r="AA2295" s="279"/>
      <c r="AB2295" s="279"/>
      <c r="AC2295" s="279"/>
      <c r="AD2295" s="279"/>
      <c r="AE2295" s="279"/>
      <c r="AF2295" s="279"/>
      <c r="AG2295" s="279"/>
      <c r="AH2295" s="279"/>
      <c r="AI2295" s="279"/>
      <c r="AJ2295" s="279"/>
      <c r="AK2295" s="279"/>
      <c r="AL2295" s="279"/>
      <c r="AM2295" s="279"/>
      <c r="AN2295" s="279"/>
      <c r="AO2295" s="279"/>
      <c r="AP2295" s="279"/>
      <c r="AQ2295" s="279"/>
      <c r="AR2295" s="279"/>
      <c r="AS2295" s="279"/>
      <c r="AT2295" s="279"/>
      <c r="AU2295" s="279"/>
      <c r="AV2295" s="279"/>
      <c r="AW2295" s="279"/>
      <c r="AX2295" s="279"/>
      <c r="AY2295" s="279"/>
      <c r="AZ2295" s="279"/>
      <c r="BA2295" s="279"/>
      <c r="BB2295" s="279"/>
      <c r="BC2295" s="279"/>
      <c r="BD2295" s="279"/>
      <c r="BE2295" s="279"/>
      <c r="BF2295" s="279"/>
      <c r="BG2295" s="279"/>
      <c r="BH2295" s="279"/>
      <c r="BI2295" s="279"/>
      <c r="BJ2295" s="279"/>
      <c r="BK2295" s="279"/>
      <c r="BL2295" s="279"/>
      <c r="BM2295" s="279"/>
      <c r="BN2295" s="279"/>
      <c r="BO2295" s="279"/>
      <c r="BP2295" s="279"/>
      <c r="BQ2295" s="279"/>
    </row>
    <row r="2296">
      <c r="A2296" s="109" t="s">
        <v>6244</v>
      </c>
      <c r="B2296" s="48"/>
      <c r="C2296" s="48">
        <v>43517.0</v>
      </c>
      <c r="D2296" s="48"/>
      <c r="E2296" s="47" t="s">
        <v>41</v>
      </c>
      <c r="F2296" s="47">
        <v>1.0</v>
      </c>
      <c r="G2296" s="47" t="s">
        <v>32</v>
      </c>
      <c r="H2296" s="63">
        <v>1.0</v>
      </c>
      <c r="I2296" s="47" t="s">
        <v>33</v>
      </c>
      <c r="J2296" s="47" t="s">
        <v>106</v>
      </c>
      <c r="K2296" s="48"/>
      <c r="L2296" s="47" t="s">
        <v>69</v>
      </c>
      <c r="M2296" s="52" t="s">
        <v>6245</v>
      </c>
      <c r="N2296" s="276"/>
      <c r="O2296" s="277" t="str">
        <f>hyperlink("https://bad-boys.us/?q=D-MD/1:19-cr-00085", "D-MD 1:19-cr-00085")</f>
        <v>D-MD 1:19-cr-00085</v>
      </c>
      <c r="P2296" s="54" t="s">
        <v>6246</v>
      </c>
      <c r="Q2296" s="47">
        <v>1.0</v>
      </c>
      <c r="R2296" s="268"/>
      <c r="S2296" s="37"/>
      <c r="T2296" s="38"/>
      <c r="U2296" s="38" t="b">
        <f t="shared" si="351"/>
        <v>0</v>
      </c>
      <c r="V2296" s="38" t="s">
        <v>33</v>
      </c>
      <c r="W2296" s="278"/>
      <c r="X2296" s="278"/>
      <c r="Y2296" s="278"/>
      <c r="Z2296" s="279"/>
      <c r="AA2296" s="279"/>
      <c r="AB2296" s="279"/>
      <c r="AC2296" s="279"/>
      <c r="AD2296" s="279"/>
      <c r="AE2296" s="279"/>
      <c r="AF2296" s="279"/>
      <c r="AG2296" s="279"/>
      <c r="AH2296" s="279"/>
      <c r="AI2296" s="279"/>
      <c r="AJ2296" s="279"/>
      <c r="AK2296" s="279"/>
      <c r="AL2296" s="279"/>
      <c r="AM2296" s="279"/>
      <c r="AN2296" s="279"/>
      <c r="AO2296" s="279"/>
      <c r="AP2296" s="279"/>
      <c r="AQ2296" s="279"/>
      <c r="AR2296" s="279"/>
      <c r="AS2296" s="279"/>
      <c r="AT2296" s="279"/>
      <c r="AU2296" s="279"/>
      <c r="AV2296" s="279"/>
      <c r="AW2296" s="279"/>
      <c r="AX2296" s="279"/>
      <c r="AY2296" s="279"/>
      <c r="AZ2296" s="279"/>
      <c r="BA2296" s="279"/>
      <c r="BB2296" s="279"/>
      <c r="BC2296" s="279"/>
      <c r="BD2296" s="279"/>
      <c r="BE2296" s="279"/>
      <c r="BF2296" s="279"/>
      <c r="BG2296" s="279"/>
      <c r="BH2296" s="279"/>
      <c r="BI2296" s="279"/>
      <c r="BJ2296" s="279"/>
      <c r="BK2296" s="279"/>
      <c r="BL2296" s="279"/>
      <c r="BM2296" s="279"/>
      <c r="BN2296" s="279"/>
      <c r="BO2296" s="279"/>
      <c r="BP2296" s="279"/>
      <c r="BQ2296" s="279"/>
    </row>
    <row r="2297">
      <c r="A2297" s="109" t="s">
        <v>6247</v>
      </c>
      <c r="B2297" s="48"/>
      <c r="C2297" s="48">
        <v>43517.0</v>
      </c>
      <c r="D2297" s="48"/>
      <c r="E2297" s="47" t="s">
        <v>41</v>
      </c>
      <c r="F2297" s="47">
        <v>1.0</v>
      </c>
      <c r="G2297" s="47" t="s">
        <v>32</v>
      </c>
      <c r="H2297" s="63">
        <v>1.0</v>
      </c>
      <c r="I2297" s="47" t="s">
        <v>33</v>
      </c>
      <c r="J2297" s="47" t="s">
        <v>115</v>
      </c>
      <c r="K2297" s="48"/>
      <c r="L2297" s="47" t="s">
        <v>76</v>
      </c>
      <c r="M2297" s="274" t="s">
        <v>6248</v>
      </c>
      <c r="N2297" s="276"/>
      <c r="O2297" s="268"/>
      <c r="P2297" s="47"/>
      <c r="Q2297" s="47">
        <v>1.0</v>
      </c>
      <c r="R2297" s="268"/>
      <c r="S2297" s="37"/>
      <c r="T2297" s="38"/>
      <c r="U2297" s="38"/>
      <c r="V2297" s="38" t="s">
        <v>33</v>
      </c>
      <c r="W2297" s="278"/>
      <c r="X2297" s="278"/>
      <c r="Y2297" s="278"/>
      <c r="Z2297" s="279"/>
      <c r="AA2297" s="279"/>
      <c r="AB2297" s="279"/>
      <c r="AC2297" s="279"/>
      <c r="AD2297" s="279"/>
      <c r="AE2297" s="279"/>
      <c r="AF2297" s="279"/>
      <c r="AG2297" s="279"/>
      <c r="AH2297" s="279"/>
      <c r="AI2297" s="279"/>
      <c r="AJ2297" s="279"/>
      <c r="AK2297" s="279"/>
      <c r="AL2297" s="279"/>
      <c r="AM2297" s="279"/>
      <c r="AN2297" s="279"/>
      <c r="AO2297" s="279"/>
      <c r="AP2297" s="279"/>
      <c r="AQ2297" s="279"/>
      <c r="AR2297" s="279"/>
      <c r="AS2297" s="279"/>
      <c r="AT2297" s="279"/>
      <c r="AU2297" s="279"/>
      <c r="AV2297" s="279"/>
      <c r="AW2297" s="279"/>
      <c r="AX2297" s="279"/>
      <c r="AY2297" s="279"/>
      <c r="AZ2297" s="279"/>
      <c r="BA2297" s="279"/>
      <c r="BB2297" s="279"/>
      <c r="BC2297" s="279"/>
      <c r="BD2297" s="279"/>
      <c r="BE2297" s="279"/>
      <c r="BF2297" s="279"/>
      <c r="BG2297" s="279"/>
      <c r="BH2297" s="279"/>
      <c r="BI2297" s="279"/>
      <c r="BJ2297" s="279"/>
      <c r="BK2297" s="279"/>
      <c r="BL2297" s="279"/>
      <c r="BM2297" s="279"/>
      <c r="BN2297" s="279"/>
      <c r="BO2297" s="279"/>
      <c r="BP2297" s="279"/>
      <c r="BQ2297" s="279"/>
    </row>
    <row r="2298">
      <c r="A2298" s="109" t="s">
        <v>6249</v>
      </c>
      <c r="B2298" s="48"/>
      <c r="C2298" s="48">
        <v>43517.0</v>
      </c>
      <c r="D2298" s="48"/>
      <c r="E2298" s="47" t="s">
        <v>41</v>
      </c>
      <c r="F2298" s="47">
        <v>1.0</v>
      </c>
      <c r="G2298" s="47" t="s">
        <v>32</v>
      </c>
      <c r="H2298" s="63">
        <v>1.0</v>
      </c>
      <c r="I2298" s="47" t="s">
        <v>33</v>
      </c>
      <c r="J2298" s="47" t="s">
        <v>124</v>
      </c>
      <c r="K2298" s="48"/>
      <c r="L2298" s="47" t="s">
        <v>76</v>
      </c>
      <c r="M2298" s="274" t="s">
        <v>6250</v>
      </c>
      <c r="N2298" s="276"/>
      <c r="O2298" s="268"/>
      <c r="P2298" s="47"/>
      <c r="Q2298" s="47"/>
      <c r="R2298" s="268"/>
      <c r="S2298" s="37"/>
      <c r="T2298" s="38"/>
      <c r="U2298" s="38"/>
      <c r="V2298" s="38" t="s">
        <v>33</v>
      </c>
      <c r="W2298" s="278"/>
      <c r="X2298" s="278"/>
      <c r="Y2298" s="278"/>
      <c r="Z2298" s="279"/>
      <c r="AA2298" s="279"/>
      <c r="AB2298" s="279"/>
      <c r="AC2298" s="279"/>
      <c r="AD2298" s="279"/>
      <c r="AE2298" s="279"/>
      <c r="AF2298" s="279"/>
      <c r="AG2298" s="279"/>
      <c r="AH2298" s="279"/>
      <c r="AI2298" s="279"/>
      <c r="AJ2298" s="279"/>
      <c r="AK2298" s="279"/>
      <c r="AL2298" s="279"/>
      <c r="AM2298" s="279"/>
      <c r="AN2298" s="279"/>
      <c r="AO2298" s="279"/>
      <c r="AP2298" s="279"/>
      <c r="AQ2298" s="279"/>
      <c r="AR2298" s="279"/>
      <c r="AS2298" s="279"/>
      <c r="AT2298" s="279"/>
      <c r="AU2298" s="279"/>
      <c r="AV2298" s="279"/>
      <c r="AW2298" s="279"/>
      <c r="AX2298" s="279"/>
      <c r="AY2298" s="279"/>
      <c r="AZ2298" s="279"/>
      <c r="BA2298" s="279"/>
      <c r="BB2298" s="279"/>
      <c r="BC2298" s="279"/>
      <c r="BD2298" s="279"/>
      <c r="BE2298" s="279"/>
      <c r="BF2298" s="279"/>
      <c r="BG2298" s="279"/>
      <c r="BH2298" s="279"/>
      <c r="BI2298" s="279"/>
      <c r="BJ2298" s="279"/>
      <c r="BK2298" s="279"/>
      <c r="BL2298" s="279"/>
      <c r="BM2298" s="279"/>
      <c r="BN2298" s="279"/>
      <c r="BO2298" s="279"/>
      <c r="BP2298" s="279"/>
      <c r="BQ2298" s="279"/>
    </row>
    <row r="2299">
      <c r="A2299" s="109" t="s">
        <v>239</v>
      </c>
      <c r="B2299" s="48"/>
      <c r="C2299" s="48">
        <v>43517.0</v>
      </c>
      <c r="D2299" s="48"/>
      <c r="E2299" s="47" t="s">
        <v>41</v>
      </c>
      <c r="F2299" s="47">
        <v>3.0</v>
      </c>
      <c r="G2299" s="47">
        <v>6.0</v>
      </c>
      <c r="H2299" s="63">
        <v>6.0</v>
      </c>
      <c r="I2299" s="47" t="s">
        <v>33</v>
      </c>
      <c r="J2299" s="47" t="s">
        <v>241</v>
      </c>
      <c r="K2299" s="48"/>
      <c r="L2299" s="47" t="s">
        <v>194</v>
      </c>
      <c r="M2299" s="51" t="s">
        <v>6251</v>
      </c>
      <c r="N2299" s="276"/>
      <c r="O2299" s="268"/>
      <c r="P2299" s="48"/>
      <c r="Q2299" s="47"/>
      <c r="R2299" s="268"/>
      <c r="S2299" s="37" t="str">
        <f>IFERROR(__xludf.DUMMYFUNCTION("if(not(iserror(index(split(C2299, "" ""),2))), index(split(C2299, "" ""),1),"""")"),"February")</f>
        <v>February</v>
      </c>
      <c r="T2299" s="38">
        <f>IFERROR(__xludf.DUMMYFUNCTION("if(S2299="""",C2299,if(not(iserror(index(split(C2299, "" ""),3))), index(split(C2299, "" ""),3),index(split(C2299, "" ""),2)))"),2019.0)</f>
        <v>2019</v>
      </c>
      <c r="U2299" s="38" t="b">
        <f t="shared" ref="U2299:U2301" si="352">countif(A$4:A4658, A2299)&gt;1</f>
        <v>1</v>
      </c>
      <c r="V2299" s="38" t="s">
        <v>3919</v>
      </c>
      <c r="W2299" s="278"/>
      <c r="X2299" s="278"/>
      <c r="Y2299" s="278"/>
      <c r="Z2299" s="279"/>
      <c r="AA2299" s="279"/>
      <c r="AB2299" s="279"/>
      <c r="AC2299" s="279"/>
      <c r="AD2299" s="279"/>
      <c r="AE2299" s="279"/>
      <c r="AF2299" s="279"/>
      <c r="AG2299" s="279"/>
      <c r="AH2299" s="279"/>
      <c r="AI2299" s="279"/>
      <c r="AJ2299" s="279"/>
      <c r="AK2299" s="279"/>
      <c r="AL2299" s="279"/>
      <c r="AM2299" s="279"/>
      <c r="AN2299" s="279"/>
      <c r="AO2299" s="279"/>
      <c r="AP2299" s="279"/>
      <c r="AQ2299" s="279"/>
      <c r="AR2299" s="279"/>
      <c r="AS2299" s="279"/>
      <c r="AT2299" s="279"/>
      <c r="AU2299" s="279"/>
      <c r="AV2299" s="279"/>
      <c r="AW2299" s="279"/>
      <c r="AX2299" s="279"/>
      <c r="AY2299" s="279"/>
      <c r="AZ2299" s="279"/>
      <c r="BA2299" s="279"/>
      <c r="BB2299" s="279"/>
      <c r="BC2299" s="279"/>
      <c r="BD2299" s="279"/>
      <c r="BE2299" s="279"/>
      <c r="BF2299" s="279"/>
      <c r="BG2299" s="279"/>
      <c r="BH2299" s="279"/>
      <c r="BI2299" s="279"/>
      <c r="BJ2299" s="279"/>
      <c r="BK2299" s="279"/>
      <c r="BL2299" s="279"/>
      <c r="BM2299" s="279"/>
      <c r="BN2299" s="279"/>
      <c r="BO2299" s="279"/>
      <c r="BP2299" s="279"/>
      <c r="BQ2299" s="279"/>
    </row>
    <row r="2300">
      <c r="A2300" s="109" t="s">
        <v>239</v>
      </c>
      <c r="B2300" s="48"/>
      <c r="C2300" s="48">
        <v>43517.0</v>
      </c>
      <c r="D2300" s="48"/>
      <c r="E2300" s="47" t="s">
        <v>41</v>
      </c>
      <c r="F2300" s="47">
        <v>3.0</v>
      </c>
      <c r="G2300" s="47">
        <v>2.0</v>
      </c>
      <c r="H2300" s="63">
        <v>2.0</v>
      </c>
      <c r="I2300" s="47" t="s">
        <v>33</v>
      </c>
      <c r="J2300" s="47" t="s">
        <v>241</v>
      </c>
      <c r="K2300" s="48"/>
      <c r="L2300" s="47" t="s">
        <v>194</v>
      </c>
      <c r="M2300" s="51" t="s">
        <v>6252</v>
      </c>
      <c r="N2300" s="276"/>
      <c r="O2300" s="268"/>
      <c r="P2300" s="48"/>
      <c r="Q2300" s="47"/>
      <c r="R2300" s="268"/>
      <c r="S2300" s="37" t="str">
        <f>IFERROR(__xludf.DUMMYFUNCTION("if(not(iserror(index(split(C2300, "" ""),2))), index(split(C2300, "" ""),1),"""")"),"February")</f>
        <v>February</v>
      </c>
      <c r="T2300" s="38">
        <f>IFERROR(__xludf.DUMMYFUNCTION("if(S2300="""",C2300,if(not(iserror(index(split(C2300, "" ""),3))), index(split(C2300, "" ""),3),index(split(C2300, "" ""),2)))"),2019.0)</f>
        <v>2019</v>
      </c>
      <c r="U2300" s="38" t="b">
        <f t="shared" si="352"/>
        <v>1</v>
      </c>
      <c r="V2300" s="38" t="s">
        <v>33</v>
      </c>
      <c r="W2300" s="278"/>
      <c r="X2300" s="278"/>
      <c r="Y2300" s="278"/>
      <c r="Z2300" s="279"/>
      <c r="AA2300" s="279"/>
      <c r="AB2300" s="279"/>
      <c r="AC2300" s="279"/>
      <c r="AD2300" s="279"/>
      <c r="AE2300" s="279"/>
      <c r="AF2300" s="279"/>
      <c r="AG2300" s="279"/>
      <c r="AH2300" s="279"/>
      <c r="AI2300" s="279"/>
      <c r="AJ2300" s="279"/>
      <c r="AK2300" s="279"/>
      <c r="AL2300" s="279"/>
      <c r="AM2300" s="279"/>
      <c r="AN2300" s="279"/>
      <c r="AO2300" s="279"/>
      <c r="AP2300" s="279"/>
      <c r="AQ2300" s="279"/>
      <c r="AR2300" s="279"/>
      <c r="AS2300" s="279"/>
      <c r="AT2300" s="279"/>
      <c r="AU2300" s="279"/>
      <c r="AV2300" s="279"/>
      <c r="AW2300" s="279"/>
      <c r="AX2300" s="279"/>
      <c r="AY2300" s="279"/>
      <c r="AZ2300" s="279"/>
      <c r="BA2300" s="279"/>
      <c r="BB2300" s="279"/>
      <c r="BC2300" s="279"/>
      <c r="BD2300" s="279"/>
      <c r="BE2300" s="279"/>
      <c r="BF2300" s="279"/>
      <c r="BG2300" s="279"/>
      <c r="BH2300" s="279"/>
      <c r="BI2300" s="279"/>
      <c r="BJ2300" s="279"/>
      <c r="BK2300" s="279"/>
      <c r="BL2300" s="279"/>
      <c r="BM2300" s="279"/>
      <c r="BN2300" s="279"/>
      <c r="BO2300" s="279"/>
      <c r="BP2300" s="279"/>
      <c r="BQ2300" s="279"/>
    </row>
    <row r="2301">
      <c r="A2301" s="109" t="s">
        <v>6253</v>
      </c>
      <c r="B2301" s="48"/>
      <c r="C2301" s="48">
        <v>43517.0</v>
      </c>
      <c r="D2301" s="48"/>
      <c r="E2301" s="47" t="s">
        <v>41</v>
      </c>
      <c r="F2301" s="47">
        <v>1.0</v>
      </c>
      <c r="G2301" s="47" t="s">
        <v>32</v>
      </c>
      <c r="H2301" s="63">
        <v>1.0</v>
      </c>
      <c r="I2301" s="47" t="s">
        <v>33</v>
      </c>
      <c r="J2301" s="47" t="s">
        <v>184</v>
      </c>
      <c r="K2301" s="48"/>
      <c r="L2301" s="47" t="s">
        <v>119</v>
      </c>
      <c r="M2301" s="52" t="s">
        <v>6254</v>
      </c>
      <c r="N2301" s="276"/>
      <c r="O2301" s="277" t="str">
        <f>hyperlink("https://bad-boys.us/?q=CD-IL/2:19-cr-20019", "CD-IL 2:19-cr-20019")</f>
        <v>CD-IL 2:19-cr-20019</v>
      </c>
      <c r="P2301" s="54" t="s">
        <v>6255</v>
      </c>
      <c r="Q2301" s="47">
        <v>1.0</v>
      </c>
      <c r="R2301" s="268"/>
      <c r="S2301" s="37" t="str">
        <f>IFERROR(__xludf.DUMMYFUNCTION("if(not(iserror(index(split(C2301, "" ""),2))), index(split(C2301, "" ""),1),"""")"),"February")</f>
        <v>February</v>
      </c>
      <c r="T2301" s="38">
        <f>IFERROR(__xludf.DUMMYFUNCTION("if(S2301="""",C2301,if(not(iserror(index(split(C2301, "" ""),3))), index(split(C2301, "" ""),3),index(split(C2301, "" ""),2)))"),2019.0)</f>
        <v>2019</v>
      </c>
      <c r="U2301" s="38" t="b">
        <f t="shared" si="352"/>
        <v>0</v>
      </c>
      <c r="V2301" s="38" t="s">
        <v>33</v>
      </c>
      <c r="W2301" s="278"/>
      <c r="X2301" s="278"/>
      <c r="Y2301" s="278"/>
      <c r="Z2301" s="279"/>
      <c r="AA2301" s="279"/>
      <c r="AB2301" s="279"/>
      <c r="AC2301" s="279"/>
      <c r="AD2301" s="279"/>
      <c r="AE2301" s="279"/>
      <c r="AF2301" s="279"/>
      <c r="AG2301" s="279"/>
      <c r="AH2301" s="279"/>
      <c r="AI2301" s="279"/>
      <c r="AJ2301" s="279"/>
      <c r="AK2301" s="279"/>
      <c r="AL2301" s="279"/>
      <c r="AM2301" s="279"/>
      <c r="AN2301" s="279"/>
      <c r="AO2301" s="279"/>
      <c r="AP2301" s="279"/>
      <c r="AQ2301" s="279"/>
      <c r="AR2301" s="279"/>
      <c r="AS2301" s="279"/>
      <c r="AT2301" s="279"/>
      <c r="AU2301" s="279"/>
      <c r="AV2301" s="279"/>
      <c r="AW2301" s="279"/>
      <c r="AX2301" s="279"/>
      <c r="AY2301" s="279"/>
      <c r="AZ2301" s="279"/>
      <c r="BA2301" s="279"/>
      <c r="BB2301" s="279"/>
      <c r="BC2301" s="279"/>
      <c r="BD2301" s="279"/>
      <c r="BE2301" s="279"/>
      <c r="BF2301" s="279"/>
      <c r="BG2301" s="279"/>
      <c r="BH2301" s="279"/>
      <c r="BI2301" s="279"/>
      <c r="BJ2301" s="279"/>
      <c r="BK2301" s="279"/>
      <c r="BL2301" s="279"/>
      <c r="BM2301" s="279"/>
      <c r="BN2301" s="279"/>
      <c r="BO2301" s="279"/>
      <c r="BP2301" s="279"/>
      <c r="BQ2301" s="279"/>
    </row>
    <row r="2302">
      <c r="A2302" s="109" t="s">
        <v>6256</v>
      </c>
      <c r="B2302" s="48"/>
      <c r="C2302" s="48">
        <v>43518.0</v>
      </c>
      <c r="D2302" s="48"/>
      <c r="E2302" s="47" t="s">
        <v>41</v>
      </c>
      <c r="F2302" s="47">
        <v>1.0</v>
      </c>
      <c r="G2302" s="47" t="s">
        <v>32</v>
      </c>
      <c r="H2302" s="63">
        <v>1.0</v>
      </c>
      <c r="I2302" s="47" t="s">
        <v>33</v>
      </c>
      <c r="J2302" s="47" t="s">
        <v>34</v>
      </c>
      <c r="K2302" s="48"/>
      <c r="L2302" s="47" t="s">
        <v>76</v>
      </c>
      <c r="M2302" s="51" t="s">
        <v>6257</v>
      </c>
      <c r="N2302" s="52"/>
      <c r="O2302" s="268"/>
      <c r="P2302" s="48"/>
      <c r="Q2302" s="47">
        <v>1.0</v>
      </c>
      <c r="R2302" s="268"/>
      <c r="S2302" s="37"/>
      <c r="T2302" s="38"/>
      <c r="U2302" s="38"/>
      <c r="V2302" s="38" t="s">
        <v>33</v>
      </c>
      <c r="W2302" s="40"/>
      <c r="X2302" s="40"/>
      <c r="Y2302" s="278"/>
      <c r="Z2302" s="279"/>
      <c r="AA2302" s="279"/>
      <c r="AB2302" s="279"/>
      <c r="AC2302" s="279"/>
      <c r="AD2302" s="279"/>
      <c r="AE2302" s="279"/>
      <c r="AF2302" s="279"/>
      <c r="AG2302" s="279"/>
      <c r="AH2302" s="279"/>
      <c r="AI2302" s="279"/>
      <c r="AJ2302" s="279"/>
      <c r="AK2302" s="279"/>
      <c r="AL2302" s="279"/>
      <c r="AM2302" s="279"/>
      <c r="AN2302" s="279"/>
      <c r="AO2302" s="279"/>
      <c r="AP2302" s="279"/>
      <c r="AQ2302" s="279"/>
      <c r="AR2302" s="279"/>
      <c r="AS2302" s="279"/>
      <c r="AT2302" s="279"/>
      <c r="AU2302" s="279"/>
      <c r="AV2302" s="279"/>
      <c r="AW2302" s="279"/>
      <c r="AX2302" s="279"/>
      <c r="AY2302" s="279"/>
      <c r="AZ2302" s="279"/>
      <c r="BA2302" s="279"/>
      <c r="BB2302" s="279"/>
      <c r="BC2302" s="279"/>
      <c r="BD2302" s="279"/>
      <c r="BE2302" s="279"/>
      <c r="BF2302" s="279"/>
      <c r="BG2302" s="279"/>
      <c r="BH2302" s="279"/>
      <c r="BI2302" s="279"/>
      <c r="BJ2302" s="279"/>
      <c r="BK2302" s="279"/>
      <c r="BL2302" s="279"/>
      <c r="BM2302" s="279"/>
      <c r="BN2302" s="279"/>
      <c r="BO2302" s="279"/>
      <c r="BP2302" s="279"/>
      <c r="BQ2302" s="279"/>
    </row>
    <row r="2303">
      <c r="A2303" s="109" t="s">
        <v>6258</v>
      </c>
      <c r="B2303" s="48"/>
      <c r="C2303" s="48">
        <v>43519.0</v>
      </c>
      <c r="D2303" s="48"/>
      <c r="E2303" s="47" t="s">
        <v>31</v>
      </c>
      <c r="F2303" s="47">
        <v>1.0</v>
      </c>
      <c r="G2303" s="47">
        <v>1.0</v>
      </c>
      <c r="H2303" s="63">
        <v>1.0</v>
      </c>
      <c r="I2303" s="47" t="s">
        <v>33</v>
      </c>
      <c r="J2303" s="47" t="s">
        <v>3608</v>
      </c>
      <c r="K2303" s="48"/>
      <c r="L2303" s="47" t="s">
        <v>697</v>
      </c>
      <c r="M2303" s="51" t="s">
        <v>6259</v>
      </c>
      <c r="N2303" s="51" t="s">
        <v>6260</v>
      </c>
      <c r="O2303" s="268"/>
      <c r="P2303" s="48"/>
      <c r="Q2303" s="47"/>
      <c r="R2303" s="268"/>
      <c r="S2303" s="37" t="str">
        <f>IFERROR(__xludf.DUMMYFUNCTION("if(not(iserror(index(split(C2303, "" ""),2))), index(split(C2303, "" ""),1),"""")"),"February")</f>
        <v>February</v>
      </c>
      <c r="T2303" s="38">
        <f>IFERROR(__xludf.DUMMYFUNCTION("if(S2303="""",C2303,if(not(iserror(index(split(C2303, "" ""),3))), index(split(C2303, "" ""),3),index(split(C2303, "" ""),2)))"),2019.0)</f>
        <v>2019</v>
      </c>
      <c r="U2303" s="38" t="b">
        <f t="shared" ref="U2303:U2305" si="353">countif(A$4:A4658, A2303)&gt;1</f>
        <v>0</v>
      </c>
      <c r="V2303" s="38" t="s">
        <v>33</v>
      </c>
      <c r="W2303" s="39" t="s">
        <v>6261</v>
      </c>
      <c r="X2303" s="39" t="s">
        <v>6262</v>
      </c>
      <c r="Y2303" s="278"/>
      <c r="Z2303" s="279"/>
      <c r="AA2303" s="279"/>
      <c r="AB2303" s="279"/>
      <c r="AC2303" s="279"/>
      <c r="AD2303" s="279"/>
      <c r="AE2303" s="279"/>
      <c r="AF2303" s="279"/>
      <c r="AG2303" s="279"/>
      <c r="AH2303" s="279"/>
      <c r="AI2303" s="279"/>
      <c r="AJ2303" s="279"/>
      <c r="AK2303" s="279"/>
      <c r="AL2303" s="279"/>
      <c r="AM2303" s="279"/>
      <c r="AN2303" s="279"/>
      <c r="AO2303" s="279"/>
      <c r="AP2303" s="279"/>
      <c r="AQ2303" s="279"/>
      <c r="AR2303" s="279"/>
      <c r="AS2303" s="279"/>
      <c r="AT2303" s="279"/>
      <c r="AU2303" s="279"/>
      <c r="AV2303" s="279"/>
      <c r="AW2303" s="279"/>
      <c r="AX2303" s="279"/>
      <c r="AY2303" s="279"/>
      <c r="AZ2303" s="279"/>
      <c r="BA2303" s="279"/>
      <c r="BB2303" s="279"/>
      <c r="BC2303" s="279"/>
      <c r="BD2303" s="279"/>
      <c r="BE2303" s="279"/>
      <c r="BF2303" s="279"/>
      <c r="BG2303" s="279"/>
      <c r="BH2303" s="279"/>
      <c r="BI2303" s="279"/>
      <c r="BJ2303" s="279"/>
      <c r="BK2303" s="279"/>
      <c r="BL2303" s="279"/>
      <c r="BM2303" s="279"/>
      <c r="BN2303" s="279"/>
      <c r="BO2303" s="279"/>
      <c r="BP2303" s="279"/>
      <c r="BQ2303" s="279"/>
    </row>
    <row r="2304">
      <c r="A2304" s="280" t="s">
        <v>6263</v>
      </c>
      <c r="B2304" s="48"/>
      <c r="C2304" s="48">
        <v>43521.0</v>
      </c>
      <c r="D2304" s="48"/>
      <c r="E2304" s="47" t="s">
        <v>41</v>
      </c>
      <c r="F2304" s="47">
        <v>2.0</v>
      </c>
      <c r="G2304" s="47" t="s">
        <v>32</v>
      </c>
      <c r="H2304" s="63">
        <v>1.0</v>
      </c>
      <c r="I2304" s="47" t="s">
        <v>33</v>
      </c>
      <c r="J2304" s="47" t="s">
        <v>111</v>
      </c>
      <c r="K2304" s="48"/>
      <c r="L2304" s="47" t="s">
        <v>194</v>
      </c>
      <c r="M2304" s="51" t="s">
        <v>6264</v>
      </c>
      <c r="N2304" s="276"/>
      <c r="O2304" s="277" t="str">
        <f>hyperlink("https://bad-boys.us/?q=SD-CA/3:19-mj-00808", "SD-CA 3:19-mj-00808")</f>
        <v>SD-CA 3:19-mj-00808</v>
      </c>
      <c r="P2304" s="54" t="s">
        <v>6265</v>
      </c>
      <c r="Q2304" s="47">
        <v>1.0</v>
      </c>
      <c r="R2304" s="268"/>
      <c r="S2304" s="37" t="str">
        <f>IFERROR(__xludf.DUMMYFUNCTION("if(not(iserror(index(split(C2304, "" ""),2))), index(split(C2304, "" ""),1),"""")"),"February")</f>
        <v>February</v>
      </c>
      <c r="T2304" s="38">
        <f>IFERROR(__xludf.DUMMYFUNCTION("if(S2304="""",C2304,if(not(iserror(index(split(C2304, "" ""),3))), index(split(C2304, "" ""),3),index(split(C2304, "" ""),2)))"),2019.0)</f>
        <v>2019</v>
      </c>
      <c r="U2304" s="38" t="b">
        <f t="shared" si="353"/>
        <v>0</v>
      </c>
      <c r="V2304" s="38" t="s">
        <v>6119</v>
      </c>
      <c r="W2304" s="278"/>
      <c r="X2304" s="278"/>
      <c r="Y2304" s="278"/>
      <c r="Z2304" s="279"/>
      <c r="AA2304" s="279"/>
      <c r="AB2304" s="279"/>
      <c r="AC2304" s="279"/>
      <c r="AD2304" s="279"/>
      <c r="AE2304" s="279"/>
      <c r="AF2304" s="279"/>
      <c r="AG2304" s="279"/>
      <c r="AH2304" s="279"/>
      <c r="AI2304" s="279"/>
      <c r="AJ2304" s="279"/>
      <c r="AK2304" s="279"/>
      <c r="AL2304" s="279"/>
      <c r="AM2304" s="279"/>
      <c r="AN2304" s="279"/>
      <c r="AO2304" s="279"/>
      <c r="AP2304" s="279"/>
      <c r="AQ2304" s="279"/>
      <c r="AR2304" s="279"/>
      <c r="AS2304" s="279"/>
      <c r="AT2304" s="279"/>
      <c r="AU2304" s="279"/>
      <c r="AV2304" s="279"/>
      <c r="AW2304" s="279"/>
      <c r="AX2304" s="279"/>
      <c r="AY2304" s="279"/>
      <c r="AZ2304" s="279"/>
      <c r="BA2304" s="279"/>
      <c r="BB2304" s="279"/>
      <c r="BC2304" s="279"/>
      <c r="BD2304" s="279"/>
      <c r="BE2304" s="279"/>
      <c r="BF2304" s="279"/>
      <c r="BG2304" s="279"/>
      <c r="BH2304" s="279"/>
      <c r="BI2304" s="279"/>
      <c r="BJ2304" s="279"/>
      <c r="BK2304" s="279"/>
      <c r="BL2304" s="279"/>
      <c r="BM2304" s="279"/>
      <c r="BN2304" s="279"/>
      <c r="BO2304" s="279"/>
      <c r="BP2304" s="279"/>
      <c r="BQ2304" s="279"/>
    </row>
    <row r="2305">
      <c r="A2305" s="280" t="s">
        <v>6266</v>
      </c>
      <c r="B2305" s="48"/>
      <c r="C2305" s="48">
        <v>43522.0</v>
      </c>
      <c r="D2305" s="48"/>
      <c r="E2305" s="47" t="s">
        <v>41</v>
      </c>
      <c r="F2305" s="47">
        <v>1.0</v>
      </c>
      <c r="G2305" s="47" t="s">
        <v>32</v>
      </c>
      <c r="H2305" s="63">
        <v>1.0</v>
      </c>
      <c r="I2305" s="47" t="s">
        <v>33</v>
      </c>
      <c r="J2305" s="47" t="s">
        <v>433</v>
      </c>
      <c r="K2305" s="48"/>
      <c r="L2305" s="47" t="s">
        <v>69</v>
      </c>
      <c r="M2305" s="52" t="s">
        <v>6267</v>
      </c>
      <c r="N2305" s="276"/>
      <c r="O2305" s="268"/>
      <c r="P2305" s="47"/>
      <c r="Q2305" s="47"/>
      <c r="R2305" s="268"/>
      <c r="S2305" s="37"/>
      <c r="T2305" s="38"/>
      <c r="U2305" s="38" t="b">
        <f t="shared" si="353"/>
        <v>0</v>
      </c>
      <c r="V2305" s="38" t="s">
        <v>33</v>
      </c>
      <c r="W2305" s="278"/>
      <c r="X2305" s="278"/>
      <c r="Y2305" s="278"/>
      <c r="Z2305" s="279"/>
      <c r="AA2305" s="279"/>
      <c r="AB2305" s="279"/>
      <c r="AC2305" s="279"/>
      <c r="AD2305" s="279"/>
      <c r="AE2305" s="279"/>
      <c r="AF2305" s="279"/>
      <c r="AG2305" s="279"/>
      <c r="AH2305" s="279"/>
      <c r="AI2305" s="279"/>
      <c r="AJ2305" s="279"/>
      <c r="AK2305" s="279"/>
      <c r="AL2305" s="279"/>
      <c r="AM2305" s="279"/>
      <c r="AN2305" s="279"/>
      <c r="AO2305" s="279"/>
      <c r="AP2305" s="279"/>
      <c r="AQ2305" s="279"/>
      <c r="AR2305" s="279"/>
      <c r="AS2305" s="279"/>
      <c r="AT2305" s="279"/>
      <c r="AU2305" s="279"/>
      <c r="AV2305" s="279"/>
      <c r="AW2305" s="279"/>
      <c r="AX2305" s="279"/>
      <c r="AY2305" s="279"/>
      <c r="AZ2305" s="279"/>
      <c r="BA2305" s="279"/>
      <c r="BB2305" s="279"/>
      <c r="BC2305" s="279"/>
      <c r="BD2305" s="279"/>
      <c r="BE2305" s="279"/>
      <c r="BF2305" s="279"/>
      <c r="BG2305" s="279"/>
      <c r="BH2305" s="279"/>
      <c r="BI2305" s="279"/>
      <c r="BJ2305" s="279"/>
      <c r="BK2305" s="279"/>
      <c r="BL2305" s="279"/>
      <c r="BM2305" s="279"/>
      <c r="BN2305" s="279"/>
      <c r="BO2305" s="279"/>
      <c r="BP2305" s="279"/>
      <c r="BQ2305" s="279"/>
    </row>
    <row r="2306">
      <c r="A2306" s="280" t="s">
        <v>6268</v>
      </c>
      <c r="B2306" s="48"/>
      <c r="C2306" s="48">
        <v>43522.0</v>
      </c>
      <c r="D2306" s="48"/>
      <c r="E2306" s="47" t="s">
        <v>41</v>
      </c>
      <c r="F2306" s="47">
        <v>1.0</v>
      </c>
      <c r="G2306" s="47" t="s">
        <v>32</v>
      </c>
      <c r="H2306" s="63">
        <v>1.0</v>
      </c>
      <c r="I2306" s="47" t="s">
        <v>33</v>
      </c>
      <c r="J2306" s="47" t="s">
        <v>55</v>
      </c>
      <c r="K2306" s="48"/>
      <c r="L2306" s="47" t="s">
        <v>76</v>
      </c>
      <c r="M2306" s="51" t="s">
        <v>6269</v>
      </c>
      <c r="N2306" s="276"/>
      <c r="O2306" s="268"/>
      <c r="P2306" s="47"/>
      <c r="Q2306" s="47"/>
      <c r="R2306" s="268"/>
      <c r="S2306" s="37"/>
      <c r="T2306" s="38"/>
      <c r="U2306" s="38"/>
      <c r="V2306" s="38" t="s">
        <v>33</v>
      </c>
      <c r="W2306" s="278"/>
      <c r="X2306" s="278"/>
      <c r="Y2306" s="278"/>
      <c r="Z2306" s="279"/>
      <c r="AA2306" s="279"/>
      <c r="AB2306" s="279"/>
      <c r="AC2306" s="279"/>
      <c r="AD2306" s="279"/>
      <c r="AE2306" s="279"/>
      <c r="AF2306" s="279"/>
      <c r="AG2306" s="279"/>
      <c r="AH2306" s="279"/>
      <c r="AI2306" s="279"/>
      <c r="AJ2306" s="279"/>
      <c r="AK2306" s="279"/>
      <c r="AL2306" s="279"/>
      <c r="AM2306" s="279"/>
      <c r="AN2306" s="279"/>
      <c r="AO2306" s="279"/>
      <c r="AP2306" s="279"/>
      <c r="AQ2306" s="279"/>
      <c r="AR2306" s="279"/>
      <c r="AS2306" s="279"/>
      <c r="AT2306" s="279"/>
      <c r="AU2306" s="279"/>
      <c r="AV2306" s="279"/>
      <c r="AW2306" s="279"/>
      <c r="AX2306" s="279"/>
      <c r="AY2306" s="279"/>
      <c r="AZ2306" s="279"/>
      <c r="BA2306" s="279"/>
      <c r="BB2306" s="279"/>
      <c r="BC2306" s="279"/>
      <c r="BD2306" s="279"/>
      <c r="BE2306" s="279"/>
      <c r="BF2306" s="279"/>
      <c r="BG2306" s="279"/>
      <c r="BH2306" s="279"/>
      <c r="BI2306" s="279"/>
      <c r="BJ2306" s="279"/>
      <c r="BK2306" s="279"/>
      <c r="BL2306" s="279"/>
      <c r="BM2306" s="279"/>
      <c r="BN2306" s="279"/>
      <c r="BO2306" s="279"/>
      <c r="BP2306" s="279"/>
      <c r="BQ2306" s="279"/>
    </row>
    <row r="2307">
      <c r="A2307" s="109" t="s">
        <v>6270</v>
      </c>
      <c r="B2307" s="48"/>
      <c r="C2307" s="48">
        <v>43522.0</v>
      </c>
      <c r="D2307" s="48"/>
      <c r="E2307" s="47" t="s">
        <v>41</v>
      </c>
      <c r="F2307" s="47">
        <v>1.0</v>
      </c>
      <c r="G2307" s="47" t="s">
        <v>32</v>
      </c>
      <c r="H2307" s="63">
        <v>1.0</v>
      </c>
      <c r="I2307" s="47" t="s">
        <v>33</v>
      </c>
      <c r="J2307" s="47" t="s">
        <v>42</v>
      </c>
      <c r="K2307" s="48"/>
      <c r="L2307" s="47" t="s">
        <v>76</v>
      </c>
      <c r="M2307" s="51" t="s">
        <v>6271</v>
      </c>
      <c r="N2307" s="276"/>
      <c r="O2307" s="277" t="str">
        <f>hyperlink("https://bad-boys.us/?q=ED-MI/2:19-cr-20340", "ED-MI 2:19-cr-20340")</f>
        <v>ED-MI 2:19-cr-20340</v>
      </c>
      <c r="P2307" s="54" t="s">
        <v>6272</v>
      </c>
      <c r="Q2307" s="47">
        <v>1.0</v>
      </c>
      <c r="R2307" s="268"/>
      <c r="S2307" s="37" t="str">
        <f>IFERROR(__xludf.DUMMYFUNCTION("if(not(iserror(index(split(C2307, "" ""),2))), index(split(C2307, "" ""),1),"""")"),"February")</f>
        <v>February</v>
      </c>
      <c r="T2307" s="38">
        <f>IFERROR(__xludf.DUMMYFUNCTION("if(S2307="""",C2307,if(not(iserror(index(split(C2307, "" ""),3))), index(split(C2307, "" ""),3),index(split(C2307, "" ""),2)))"),2019.0)</f>
        <v>2019</v>
      </c>
      <c r="U2307" s="38" t="b">
        <f t="shared" ref="U2307:U2320" si="354">countif(A$4:A4658, A2307)&gt;1</f>
        <v>0</v>
      </c>
      <c r="V2307" s="38"/>
      <c r="W2307" s="40"/>
      <c r="X2307" s="278"/>
      <c r="Y2307" s="278"/>
      <c r="Z2307" s="279"/>
      <c r="AA2307" s="279"/>
      <c r="AB2307" s="279"/>
      <c r="AC2307" s="279"/>
      <c r="AD2307" s="279"/>
      <c r="AE2307" s="279"/>
      <c r="AF2307" s="279"/>
      <c r="AG2307" s="279"/>
      <c r="AH2307" s="279"/>
      <c r="AI2307" s="279"/>
      <c r="AJ2307" s="279"/>
      <c r="AK2307" s="279"/>
      <c r="AL2307" s="279"/>
      <c r="AM2307" s="279"/>
      <c r="AN2307" s="279"/>
      <c r="AO2307" s="279"/>
      <c r="AP2307" s="279"/>
      <c r="AQ2307" s="279"/>
      <c r="AR2307" s="279"/>
      <c r="AS2307" s="279"/>
      <c r="AT2307" s="279"/>
      <c r="AU2307" s="279"/>
      <c r="AV2307" s="279"/>
      <c r="AW2307" s="279"/>
      <c r="AX2307" s="279"/>
      <c r="AY2307" s="279"/>
      <c r="AZ2307" s="279"/>
      <c r="BA2307" s="279"/>
      <c r="BB2307" s="279"/>
      <c r="BC2307" s="279"/>
      <c r="BD2307" s="279"/>
      <c r="BE2307" s="279"/>
      <c r="BF2307" s="279"/>
      <c r="BG2307" s="279"/>
      <c r="BH2307" s="279"/>
      <c r="BI2307" s="279"/>
      <c r="BJ2307" s="279"/>
      <c r="BK2307" s="279"/>
      <c r="BL2307" s="279"/>
      <c r="BM2307" s="279"/>
      <c r="BN2307" s="279"/>
      <c r="BO2307" s="279"/>
      <c r="BP2307" s="279"/>
      <c r="BQ2307" s="279"/>
    </row>
    <row r="2308">
      <c r="A2308" s="109" t="s">
        <v>6273</v>
      </c>
      <c r="B2308" s="48"/>
      <c r="C2308" s="48">
        <v>43523.0</v>
      </c>
      <c r="D2308" s="49"/>
      <c r="E2308" s="47" t="s">
        <v>41</v>
      </c>
      <c r="F2308" s="47">
        <v>1.0</v>
      </c>
      <c r="G2308" s="47" t="s">
        <v>32</v>
      </c>
      <c r="H2308" s="63">
        <v>1.0</v>
      </c>
      <c r="I2308" s="47" t="s">
        <v>33</v>
      </c>
      <c r="J2308" s="47" t="s">
        <v>162</v>
      </c>
      <c r="K2308" s="47"/>
      <c r="L2308" s="47" t="s">
        <v>76</v>
      </c>
      <c r="M2308" s="51" t="s">
        <v>6274</v>
      </c>
      <c r="N2308" s="52"/>
      <c r="O2308" s="53" t="str">
        <f>hyperlink("https://bad-boys.us/?q=D-KS/6:19-cr-10041", "D-KS 6:19-cr-10041")</f>
        <v>D-KS 6:19-cr-10041</v>
      </c>
      <c r="P2308" s="47"/>
      <c r="Q2308" s="47">
        <v>1.0</v>
      </c>
      <c r="R2308" s="55"/>
      <c r="S2308" s="37"/>
      <c r="T2308" s="38"/>
      <c r="U2308" s="38" t="b">
        <f t="shared" si="354"/>
        <v>0</v>
      </c>
      <c r="V2308" s="38" t="s">
        <v>33</v>
      </c>
      <c r="W2308" s="40"/>
      <c r="X2308" s="40"/>
      <c r="Y2308" s="40"/>
      <c r="Z2308" s="38"/>
      <c r="AA2308" s="38"/>
      <c r="AB2308" s="38"/>
      <c r="AC2308" s="38"/>
      <c r="AD2308" s="38"/>
      <c r="AE2308" s="38"/>
      <c r="AF2308" s="38"/>
      <c r="AG2308" s="38"/>
      <c r="AH2308" s="38"/>
      <c r="AI2308" s="38"/>
      <c r="AJ2308" s="38"/>
      <c r="AK2308" s="38"/>
      <c r="AL2308" s="38"/>
      <c r="AM2308" s="38"/>
      <c r="AN2308" s="38"/>
      <c r="AO2308" s="38"/>
      <c r="AP2308" s="38"/>
      <c r="AQ2308" s="38"/>
      <c r="AR2308" s="38"/>
      <c r="AS2308" s="38"/>
      <c r="AT2308" s="38"/>
      <c r="AU2308" s="38"/>
      <c r="AV2308" s="38"/>
      <c r="AW2308" s="38"/>
      <c r="AX2308" s="38"/>
      <c r="AY2308" s="38"/>
      <c r="AZ2308" s="38"/>
      <c r="BA2308" s="38"/>
      <c r="BB2308" s="38"/>
      <c r="BC2308" s="38"/>
      <c r="BD2308" s="38"/>
      <c r="BE2308" s="38"/>
      <c r="BF2308" s="38"/>
      <c r="BG2308" s="38"/>
      <c r="BH2308" s="38"/>
      <c r="BI2308" s="38"/>
      <c r="BJ2308" s="38"/>
      <c r="BK2308" s="38"/>
      <c r="BL2308" s="38"/>
      <c r="BM2308" s="38"/>
      <c r="BN2308" s="38"/>
      <c r="BO2308" s="38"/>
      <c r="BP2308" s="38"/>
      <c r="BQ2308" s="38"/>
    </row>
    <row r="2309">
      <c r="A2309" s="109" t="s">
        <v>6275</v>
      </c>
      <c r="B2309" s="48"/>
      <c r="C2309" s="48">
        <v>43523.0</v>
      </c>
      <c r="D2309" s="49"/>
      <c r="E2309" s="47" t="s">
        <v>41</v>
      </c>
      <c r="F2309" s="47">
        <v>1.0</v>
      </c>
      <c r="G2309" s="47" t="s">
        <v>32</v>
      </c>
      <c r="H2309" s="63">
        <v>1.0</v>
      </c>
      <c r="I2309" s="47" t="s">
        <v>33</v>
      </c>
      <c r="J2309" s="47" t="s">
        <v>115</v>
      </c>
      <c r="K2309" s="47"/>
      <c r="L2309" s="47" t="s">
        <v>69</v>
      </c>
      <c r="M2309" s="51" t="s">
        <v>6276</v>
      </c>
      <c r="N2309" s="52"/>
      <c r="O2309" s="53" t="str">
        <f>hyperlink("https://bad-boys.us/?q=WD-PA/2:19-cr-00061", "WD-PA 2:19-cr-00061")</f>
        <v>WD-PA 2:19-cr-00061</v>
      </c>
      <c r="P2309" s="54" t="s">
        <v>6277</v>
      </c>
      <c r="Q2309" s="47">
        <v>1.0</v>
      </c>
      <c r="R2309" s="55"/>
      <c r="S2309" s="37" t="str">
        <f>IFERROR(__xludf.DUMMYFUNCTION("if(not(iserror(index(split(C2309, "" ""),2))), index(split(C2309, "" ""),1),"""")"),"February")</f>
        <v>February</v>
      </c>
      <c r="T2309" s="38">
        <f>IFERROR(__xludf.DUMMYFUNCTION("if(S2309="""",C2309,if(not(iserror(index(split(C2309, "" ""),3))), index(split(C2309, "" ""),3),index(split(C2309, "" ""),2)))"),2019.0)</f>
        <v>2019</v>
      </c>
      <c r="U2309" s="38" t="b">
        <f t="shared" si="354"/>
        <v>0</v>
      </c>
      <c r="V2309" s="38" t="s">
        <v>33</v>
      </c>
      <c r="W2309" s="40"/>
      <c r="X2309" s="40"/>
      <c r="Y2309" s="40"/>
      <c r="Z2309" s="38"/>
      <c r="AA2309" s="38"/>
      <c r="AB2309" s="38"/>
      <c r="AC2309" s="38"/>
      <c r="AD2309" s="38"/>
      <c r="AE2309" s="38"/>
      <c r="AF2309" s="38"/>
      <c r="AG2309" s="38"/>
      <c r="AH2309" s="38"/>
      <c r="AI2309" s="38"/>
      <c r="AJ2309" s="38"/>
      <c r="AK2309" s="38"/>
      <c r="AL2309" s="38"/>
      <c r="AM2309" s="38"/>
      <c r="AN2309" s="38"/>
      <c r="AO2309" s="38"/>
      <c r="AP2309" s="38"/>
      <c r="AQ2309" s="38"/>
      <c r="AR2309" s="38"/>
      <c r="AS2309" s="38"/>
      <c r="AT2309" s="38"/>
      <c r="AU2309" s="38"/>
      <c r="AV2309" s="38"/>
      <c r="AW2309" s="38"/>
      <c r="AX2309" s="38"/>
      <c r="AY2309" s="38"/>
      <c r="AZ2309" s="38"/>
      <c r="BA2309" s="38"/>
      <c r="BB2309" s="38"/>
      <c r="BC2309" s="38"/>
      <c r="BD2309" s="38"/>
      <c r="BE2309" s="38"/>
      <c r="BF2309" s="38"/>
      <c r="BG2309" s="38"/>
      <c r="BH2309" s="38"/>
      <c r="BI2309" s="38"/>
      <c r="BJ2309" s="38"/>
      <c r="BK2309" s="38"/>
      <c r="BL2309" s="38"/>
      <c r="BM2309" s="38"/>
      <c r="BN2309" s="38"/>
      <c r="BO2309" s="38"/>
      <c r="BP2309" s="38"/>
      <c r="BQ2309" s="38"/>
    </row>
    <row r="2310">
      <c r="A2310" s="109" t="s">
        <v>6278</v>
      </c>
      <c r="B2310" s="48"/>
      <c r="C2310" s="48">
        <v>43523.0</v>
      </c>
      <c r="D2310" s="49"/>
      <c r="E2310" s="47" t="s">
        <v>41</v>
      </c>
      <c r="F2310" s="47">
        <v>1.0</v>
      </c>
      <c r="G2310" s="47" t="s">
        <v>32</v>
      </c>
      <c r="H2310" s="63">
        <v>1.0</v>
      </c>
      <c r="I2310" s="47" t="s">
        <v>33</v>
      </c>
      <c r="J2310" s="47" t="s">
        <v>93</v>
      </c>
      <c r="K2310" s="47"/>
      <c r="L2310" s="47" t="s">
        <v>141</v>
      </c>
      <c r="M2310" s="51" t="s">
        <v>6279</v>
      </c>
      <c r="N2310" s="51" t="s">
        <v>6280</v>
      </c>
      <c r="O2310" s="53" t="str">
        <f>hyperlink("https://bad-boys.us/?q=SD-NY/1:19-cr-00131", "SD-NY 1:19-cr-00131")</f>
        <v>SD-NY 1:19-cr-00131</v>
      </c>
      <c r="P2310" s="54" t="s">
        <v>6281</v>
      </c>
      <c r="Q2310" s="47">
        <v>1.0</v>
      </c>
      <c r="R2310" s="55"/>
      <c r="S2310" s="37" t="str">
        <f>IFERROR(__xludf.DUMMYFUNCTION("if(not(iserror(index(split(C2310, "" ""),2))), index(split(C2310, "" ""),1),"""")"),"February")</f>
        <v>February</v>
      </c>
      <c r="T2310" s="38">
        <f>IFERROR(__xludf.DUMMYFUNCTION("if(S2310="""",C2310,if(not(iserror(index(split(C2310, "" ""),3))), index(split(C2310, "" ""),3),index(split(C2310, "" ""),2)))"),2019.0)</f>
        <v>2019</v>
      </c>
      <c r="U2310" s="38" t="b">
        <f t="shared" si="354"/>
        <v>0</v>
      </c>
      <c r="V2310" s="38" t="s">
        <v>33</v>
      </c>
      <c r="W2310" s="39" t="s">
        <v>6282</v>
      </c>
      <c r="X2310" s="40"/>
      <c r="Y2310" s="40"/>
      <c r="Z2310" s="38"/>
      <c r="AA2310" s="38"/>
      <c r="AB2310" s="38"/>
      <c r="AC2310" s="38"/>
      <c r="AD2310" s="38"/>
      <c r="AE2310" s="38"/>
      <c r="AF2310" s="38"/>
      <c r="AG2310" s="38"/>
      <c r="AH2310" s="38"/>
      <c r="AI2310" s="38"/>
      <c r="AJ2310" s="38"/>
      <c r="AK2310" s="38"/>
      <c r="AL2310" s="38"/>
      <c r="AM2310" s="38"/>
      <c r="AN2310" s="38"/>
      <c r="AO2310" s="38"/>
      <c r="AP2310" s="38"/>
      <c r="AQ2310" s="38"/>
      <c r="AR2310" s="38"/>
      <c r="AS2310" s="38"/>
      <c r="AT2310" s="38"/>
      <c r="AU2310" s="38"/>
      <c r="AV2310" s="38"/>
      <c r="AW2310" s="38"/>
      <c r="AX2310" s="38"/>
      <c r="AY2310" s="38"/>
      <c r="AZ2310" s="38"/>
      <c r="BA2310" s="38"/>
      <c r="BB2310" s="38"/>
      <c r="BC2310" s="38"/>
      <c r="BD2310" s="38"/>
      <c r="BE2310" s="38"/>
      <c r="BF2310" s="38"/>
      <c r="BG2310" s="38"/>
      <c r="BH2310" s="38"/>
      <c r="BI2310" s="38"/>
      <c r="BJ2310" s="38"/>
      <c r="BK2310" s="38"/>
      <c r="BL2310" s="38"/>
      <c r="BM2310" s="38"/>
      <c r="BN2310" s="38"/>
      <c r="BO2310" s="38"/>
      <c r="BP2310" s="38"/>
      <c r="BQ2310" s="38"/>
    </row>
    <row r="2311">
      <c r="A2311" s="109" t="s">
        <v>6283</v>
      </c>
      <c r="B2311" s="48"/>
      <c r="C2311" s="48">
        <v>43523.0</v>
      </c>
      <c r="D2311" s="49"/>
      <c r="E2311" s="47" t="s">
        <v>41</v>
      </c>
      <c r="F2311" s="47">
        <v>1.0</v>
      </c>
      <c r="G2311" s="47" t="s">
        <v>32</v>
      </c>
      <c r="H2311" s="63">
        <v>1.0</v>
      </c>
      <c r="I2311" s="47" t="s">
        <v>33</v>
      </c>
      <c r="J2311" s="47" t="s">
        <v>93</v>
      </c>
      <c r="K2311" s="47"/>
      <c r="L2311" s="47" t="s">
        <v>141</v>
      </c>
      <c r="M2311" s="51" t="s">
        <v>6279</v>
      </c>
      <c r="N2311" s="51" t="s">
        <v>6280</v>
      </c>
      <c r="O2311" s="53" t="str">
        <f>hyperlink("https://bad-boys.us/?q=SD-NY/1:19-cr-00008", "SD-NY 1:19-cr-00008")</f>
        <v>SD-NY 1:19-cr-00008</v>
      </c>
      <c r="P2311" s="47"/>
      <c r="Q2311" s="47">
        <v>1.0</v>
      </c>
      <c r="R2311" s="55"/>
      <c r="S2311" s="37" t="str">
        <f>IFERROR(__xludf.DUMMYFUNCTION("if(not(iserror(index(split(C2311, "" ""),2))), index(split(C2311, "" ""),1),"""")"),"February")</f>
        <v>February</v>
      </c>
      <c r="T2311" s="38">
        <f>IFERROR(__xludf.DUMMYFUNCTION("if(S2311="""",C2311,if(not(iserror(index(split(C2311, "" ""),3))), index(split(C2311, "" ""),3),index(split(C2311, "" ""),2)))"),2019.0)</f>
        <v>2019</v>
      </c>
      <c r="U2311" s="38" t="b">
        <f t="shared" si="354"/>
        <v>0</v>
      </c>
      <c r="V2311" s="38" t="s">
        <v>33</v>
      </c>
      <c r="W2311" s="39" t="s">
        <v>6282</v>
      </c>
      <c r="X2311" s="40"/>
      <c r="Y2311" s="40"/>
      <c r="Z2311" s="38"/>
      <c r="AA2311" s="38"/>
      <c r="AB2311" s="38"/>
      <c r="AC2311" s="38"/>
      <c r="AD2311" s="38"/>
      <c r="AE2311" s="38"/>
      <c r="AF2311" s="38"/>
      <c r="AG2311" s="38"/>
      <c r="AH2311" s="38"/>
      <c r="AI2311" s="38"/>
      <c r="AJ2311" s="38"/>
      <c r="AK2311" s="38"/>
      <c r="AL2311" s="38"/>
      <c r="AM2311" s="38"/>
      <c r="AN2311" s="38"/>
      <c r="AO2311" s="38"/>
      <c r="AP2311" s="38"/>
      <c r="AQ2311" s="38"/>
      <c r="AR2311" s="38"/>
      <c r="AS2311" s="38"/>
      <c r="AT2311" s="38"/>
      <c r="AU2311" s="38"/>
      <c r="AV2311" s="38"/>
      <c r="AW2311" s="38"/>
      <c r="AX2311" s="38"/>
      <c r="AY2311" s="38"/>
      <c r="AZ2311" s="38"/>
      <c r="BA2311" s="38"/>
      <c r="BB2311" s="38"/>
      <c r="BC2311" s="38"/>
      <c r="BD2311" s="38"/>
      <c r="BE2311" s="38"/>
      <c r="BF2311" s="38"/>
      <c r="BG2311" s="38"/>
      <c r="BH2311" s="38"/>
      <c r="BI2311" s="38"/>
      <c r="BJ2311" s="38"/>
      <c r="BK2311" s="38"/>
      <c r="BL2311" s="38"/>
      <c r="BM2311" s="38"/>
      <c r="BN2311" s="38"/>
      <c r="BO2311" s="38"/>
      <c r="BP2311" s="38"/>
      <c r="BQ2311" s="38"/>
    </row>
    <row r="2312">
      <c r="A2312" s="109" t="s">
        <v>6284</v>
      </c>
      <c r="B2312" s="48"/>
      <c r="C2312" s="48">
        <v>43523.0</v>
      </c>
      <c r="D2312" s="49"/>
      <c r="E2312" s="47" t="s">
        <v>41</v>
      </c>
      <c r="F2312" s="47">
        <v>1.0</v>
      </c>
      <c r="G2312" s="47" t="s">
        <v>32</v>
      </c>
      <c r="H2312" s="63">
        <v>1.0</v>
      </c>
      <c r="I2312" s="47" t="s">
        <v>33</v>
      </c>
      <c r="J2312" s="47" t="s">
        <v>93</v>
      </c>
      <c r="K2312" s="47"/>
      <c r="L2312" s="47" t="s">
        <v>141</v>
      </c>
      <c r="M2312" s="51" t="s">
        <v>6279</v>
      </c>
      <c r="N2312" s="51" t="s">
        <v>6280</v>
      </c>
      <c r="O2312" s="53" t="str">
        <f t="shared" ref="O2312:O2320" si="355">hyperlink("https://bad-boys.us/?q=SD-NY/1:19-cr-00131", "SD-NY 1:19-cr-00131")</f>
        <v>SD-NY 1:19-cr-00131</v>
      </c>
      <c r="P2312" s="54" t="s">
        <v>6281</v>
      </c>
      <c r="Q2312" s="47">
        <v>1.0</v>
      </c>
      <c r="R2312" s="55"/>
      <c r="S2312" s="37" t="str">
        <f>IFERROR(__xludf.DUMMYFUNCTION("if(not(iserror(index(split(C2312, "" ""),2))), index(split(C2312, "" ""),1),"""")"),"February")</f>
        <v>February</v>
      </c>
      <c r="T2312" s="38">
        <f>IFERROR(__xludf.DUMMYFUNCTION("if(S2312="""",C2312,if(not(iserror(index(split(C2312, "" ""),3))), index(split(C2312, "" ""),3),index(split(C2312, "" ""),2)))"),2019.0)</f>
        <v>2019</v>
      </c>
      <c r="U2312" s="38" t="b">
        <f t="shared" si="354"/>
        <v>0</v>
      </c>
      <c r="V2312" s="38" t="s">
        <v>33</v>
      </c>
      <c r="W2312" s="39" t="s">
        <v>6282</v>
      </c>
      <c r="X2312" s="40"/>
      <c r="Y2312" s="40"/>
      <c r="Z2312" s="38"/>
      <c r="AA2312" s="38"/>
      <c r="AB2312" s="38"/>
      <c r="AC2312" s="38"/>
      <c r="AD2312" s="38"/>
      <c r="AE2312" s="38"/>
      <c r="AF2312" s="38"/>
      <c r="AG2312" s="38"/>
      <c r="AH2312" s="38"/>
      <c r="AI2312" s="38"/>
      <c r="AJ2312" s="38"/>
      <c r="AK2312" s="38"/>
      <c r="AL2312" s="38"/>
      <c r="AM2312" s="38"/>
      <c r="AN2312" s="38"/>
      <c r="AO2312" s="38"/>
      <c r="AP2312" s="38"/>
      <c r="AQ2312" s="38"/>
      <c r="AR2312" s="38"/>
      <c r="AS2312" s="38"/>
      <c r="AT2312" s="38"/>
      <c r="AU2312" s="38"/>
      <c r="AV2312" s="38"/>
      <c r="AW2312" s="38"/>
      <c r="AX2312" s="38"/>
      <c r="AY2312" s="38"/>
      <c r="AZ2312" s="38"/>
      <c r="BA2312" s="38"/>
      <c r="BB2312" s="38"/>
      <c r="BC2312" s="38"/>
      <c r="BD2312" s="38"/>
      <c r="BE2312" s="38"/>
      <c r="BF2312" s="38"/>
      <c r="BG2312" s="38"/>
      <c r="BH2312" s="38"/>
      <c r="BI2312" s="38"/>
      <c r="BJ2312" s="38"/>
      <c r="BK2312" s="38"/>
      <c r="BL2312" s="38"/>
      <c r="BM2312" s="38"/>
      <c r="BN2312" s="38"/>
      <c r="BO2312" s="38"/>
      <c r="BP2312" s="38"/>
      <c r="BQ2312" s="38"/>
    </row>
    <row r="2313">
      <c r="A2313" s="109" t="s">
        <v>6285</v>
      </c>
      <c r="B2313" s="48"/>
      <c r="C2313" s="48">
        <v>43523.0</v>
      </c>
      <c r="D2313" s="49"/>
      <c r="E2313" s="47" t="s">
        <v>41</v>
      </c>
      <c r="F2313" s="47">
        <v>1.0</v>
      </c>
      <c r="G2313" s="47" t="s">
        <v>32</v>
      </c>
      <c r="H2313" s="63">
        <v>1.0</v>
      </c>
      <c r="I2313" s="47" t="s">
        <v>33</v>
      </c>
      <c r="J2313" s="47" t="s">
        <v>93</v>
      </c>
      <c r="K2313" s="47"/>
      <c r="L2313" s="47" t="s">
        <v>141</v>
      </c>
      <c r="M2313" s="51" t="s">
        <v>6279</v>
      </c>
      <c r="N2313" s="51" t="s">
        <v>6280</v>
      </c>
      <c r="O2313" s="53" t="str">
        <f t="shared" si="355"/>
        <v>SD-NY 1:19-cr-00131</v>
      </c>
      <c r="P2313" s="54" t="s">
        <v>6281</v>
      </c>
      <c r="Q2313" s="47">
        <v>1.0</v>
      </c>
      <c r="R2313" s="55"/>
      <c r="S2313" s="37" t="str">
        <f>IFERROR(__xludf.DUMMYFUNCTION("if(not(iserror(index(split(C2313, "" ""),2))), index(split(C2313, "" ""),1),"""")"),"February")</f>
        <v>February</v>
      </c>
      <c r="T2313" s="38">
        <f>IFERROR(__xludf.DUMMYFUNCTION("if(S2313="""",C2313,if(not(iserror(index(split(C2313, "" ""),3))), index(split(C2313, "" ""),3),index(split(C2313, "" ""),2)))"),2019.0)</f>
        <v>2019</v>
      </c>
      <c r="U2313" s="38" t="b">
        <f t="shared" si="354"/>
        <v>0</v>
      </c>
      <c r="V2313" s="38" t="s">
        <v>33</v>
      </c>
      <c r="W2313" s="39" t="s">
        <v>6282</v>
      </c>
      <c r="X2313" s="40"/>
      <c r="Y2313" s="40"/>
      <c r="Z2313" s="38"/>
      <c r="AA2313" s="38"/>
      <c r="AB2313" s="38"/>
      <c r="AC2313" s="38"/>
      <c r="AD2313" s="38"/>
      <c r="AE2313" s="38"/>
      <c r="AF2313" s="38"/>
      <c r="AG2313" s="38"/>
      <c r="AH2313" s="38"/>
      <c r="AI2313" s="38"/>
      <c r="AJ2313" s="38"/>
      <c r="AK2313" s="38"/>
      <c r="AL2313" s="38"/>
      <c r="AM2313" s="38"/>
      <c r="AN2313" s="38"/>
      <c r="AO2313" s="38"/>
      <c r="AP2313" s="38"/>
      <c r="AQ2313" s="38"/>
      <c r="AR2313" s="38"/>
      <c r="AS2313" s="38"/>
      <c r="AT2313" s="38"/>
      <c r="AU2313" s="38"/>
      <c r="AV2313" s="38"/>
      <c r="AW2313" s="38"/>
      <c r="AX2313" s="38"/>
      <c r="AY2313" s="38"/>
      <c r="AZ2313" s="38"/>
      <c r="BA2313" s="38"/>
      <c r="BB2313" s="38"/>
      <c r="BC2313" s="38"/>
      <c r="BD2313" s="38"/>
      <c r="BE2313" s="38"/>
      <c r="BF2313" s="38"/>
      <c r="BG2313" s="38"/>
      <c r="BH2313" s="38"/>
      <c r="BI2313" s="38"/>
      <c r="BJ2313" s="38"/>
      <c r="BK2313" s="38"/>
      <c r="BL2313" s="38"/>
      <c r="BM2313" s="38"/>
      <c r="BN2313" s="38"/>
      <c r="BO2313" s="38"/>
      <c r="BP2313" s="38"/>
      <c r="BQ2313" s="38"/>
    </row>
    <row r="2314">
      <c r="A2314" s="109" t="s">
        <v>6286</v>
      </c>
      <c r="B2314" s="48"/>
      <c r="C2314" s="48">
        <v>43523.0</v>
      </c>
      <c r="D2314" s="49"/>
      <c r="E2314" s="47" t="s">
        <v>41</v>
      </c>
      <c r="F2314" s="47">
        <v>1.0</v>
      </c>
      <c r="G2314" s="47" t="s">
        <v>32</v>
      </c>
      <c r="H2314" s="63">
        <v>1.0</v>
      </c>
      <c r="I2314" s="47" t="s">
        <v>33</v>
      </c>
      <c r="J2314" s="47" t="s">
        <v>93</v>
      </c>
      <c r="K2314" s="47"/>
      <c r="L2314" s="47" t="s">
        <v>141</v>
      </c>
      <c r="M2314" s="51" t="s">
        <v>6279</v>
      </c>
      <c r="N2314" s="51" t="s">
        <v>6280</v>
      </c>
      <c r="O2314" s="53" t="str">
        <f t="shared" si="355"/>
        <v>SD-NY 1:19-cr-00131</v>
      </c>
      <c r="P2314" s="54" t="s">
        <v>6281</v>
      </c>
      <c r="Q2314" s="47">
        <v>1.0</v>
      </c>
      <c r="R2314" s="55"/>
      <c r="S2314" s="37" t="str">
        <f>IFERROR(__xludf.DUMMYFUNCTION("if(not(iserror(index(split(C2314, "" ""),2))), index(split(C2314, "" ""),1),"""")"),"February")</f>
        <v>February</v>
      </c>
      <c r="T2314" s="38">
        <f>IFERROR(__xludf.DUMMYFUNCTION("if(S2314="""",C2314,if(not(iserror(index(split(C2314, "" ""),3))), index(split(C2314, "" ""),3),index(split(C2314, "" ""),2)))"),2019.0)</f>
        <v>2019</v>
      </c>
      <c r="U2314" s="38" t="b">
        <f t="shared" si="354"/>
        <v>0</v>
      </c>
      <c r="V2314" s="38" t="s">
        <v>33</v>
      </c>
      <c r="W2314" s="39" t="s">
        <v>6282</v>
      </c>
      <c r="X2314" s="40"/>
      <c r="Y2314" s="40"/>
      <c r="Z2314" s="38"/>
      <c r="AA2314" s="38"/>
      <c r="AB2314" s="38"/>
      <c r="AC2314" s="38"/>
      <c r="AD2314" s="38"/>
      <c r="AE2314" s="38"/>
      <c r="AF2314" s="38"/>
      <c r="AG2314" s="38"/>
      <c r="AH2314" s="38"/>
      <c r="AI2314" s="38"/>
      <c r="AJ2314" s="38"/>
      <c r="AK2314" s="38"/>
      <c r="AL2314" s="38"/>
      <c r="AM2314" s="38"/>
      <c r="AN2314" s="38"/>
      <c r="AO2314" s="38"/>
      <c r="AP2314" s="38"/>
      <c r="AQ2314" s="38"/>
      <c r="AR2314" s="38"/>
      <c r="AS2314" s="38"/>
      <c r="AT2314" s="38"/>
      <c r="AU2314" s="38"/>
      <c r="AV2314" s="38"/>
      <c r="AW2314" s="38"/>
      <c r="AX2314" s="38"/>
      <c r="AY2314" s="38"/>
      <c r="AZ2314" s="38"/>
      <c r="BA2314" s="38"/>
      <c r="BB2314" s="38"/>
      <c r="BC2314" s="38"/>
      <c r="BD2314" s="38"/>
      <c r="BE2314" s="38"/>
      <c r="BF2314" s="38"/>
      <c r="BG2314" s="38"/>
      <c r="BH2314" s="38"/>
      <c r="BI2314" s="38"/>
      <c r="BJ2314" s="38"/>
      <c r="BK2314" s="38"/>
      <c r="BL2314" s="38"/>
      <c r="BM2314" s="38"/>
      <c r="BN2314" s="38"/>
      <c r="BO2314" s="38"/>
      <c r="BP2314" s="38"/>
      <c r="BQ2314" s="38"/>
    </row>
    <row r="2315">
      <c r="A2315" s="109" t="s">
        <v>6287</v>
      </c>
      <c r="B2315" s="48"/>
      <c r="C2315" s="48">
        <v>43523.0</v>
      </c>
      <c r="D2315" s="49"/>
      <c r="E2315" s="47" t="s">
        <v>41</v>
      </c>
      <c r="F2315" s="47">
        <v>1.0</v>
      </c>
      <c r="G2315" s="47" t="s">
        <v>32</v>
      </c>
      <c r="H2315" s="63">
        <v>1.0</v>
      </c>
      <c r="I2315" s="47" t="s">
        <v>33</v>
      </c>
      <c r="J2315" s="47" t="s">
        <v>93</v>
      </c>
      <c r="K2315" s="47"/>
      <c r="L2315" s="47" t="s">
        <v>141</v>
      </c>
      <c r="M2315" s="51" t="s">
        <v>6279</v>
      </c>
      <c r="N2315" s="51" t="s">
        <v>6280</v>
      </c>
      <c r="O2315" s="53" t="str">
        <f t="shared" si="355"/>
        <v>SD-NY 1:19-cr-00131</v>
      </c>
      <c r="P2315" s="54" t="s">
        <v>6281</v>
      </c>
      <c r="Q2315" s="47">
        <v>1.0</v>
      </c>
      <c r="R2315" s="55"/>
      <c r="S2315" s="37" t="str">
        <f>IFERROR(__xludf.DUMMYFUNCTION("if(not(iserror(index(split(C2315, "" ""),2))), index(split(C2315, "" ""),1),"""")"),"February")</f>
        <v>February</v>
      </c>
      <c r="T2315" s="38">
        <f>IFERROR(__xludf.DUMMYFUNCTION("if(S2315="""",C2315,if(not(iserror(index(split(C2315, "" ""),3))), index(split(C2315, "" ""),3),index(split(C2315, "" ""),2)))"),2019.0)</f>
        <v>2019</v>
      </c>
      <c r="U2315" s="38" t="b">
        <f t="shared" si="354"/>
        <v>0</v>
      </c>
      <c r="V2315" s="38" t="s">
        <v>33</v>
      </c>
      <c r="W2315" s="39" t="s">
        <v>6282</v>
      </c>
      <c r="X2315" s="40"/>
      <c r="Y2315" s="40"/>
      <c r="Z2315" s="38"/>
      <c r="AA2315" s="38"/>
      <c r="AB2315" s="38"/>
      <c r="AC2315" s="38"/>
      <c r="AD2315" s="38"/>
      <c r="AE2315" s="38"/>
      <c r="AF2315" s="38"/>
      <c r="AG2315" s="38"/>
      <c r="AH2315" s="38"/>
      <c r="AI2315" s="38"/>
      <c r="AJ2315" s="38"/>
      <c r="AK2315" s="38"/>
      <c r="AL2315" s="38"/>
      <c r="AM2315" s="38"/>
      <c r="AN2315" s="38"/>
      <c r="AO2315" s="38"/>
      <c r="AP2315" s="38"/>
      <c r="AQ2315" s="38"/>
      <c r="AR2315" s="38"/>
      <c r="AS2315" s="38"/>
      <c r="AT2315" s="38"/>
      <c r="AU2315" s="38"/>
      <c r="AV2315" s="38"/>
      <c r="AW2315" s="38"/>
      <c r="AX2315" s="38"/>
      <c r="AY2315" s="38"/>
      <c r="AZ2315" s="38"/>
      <c r="BA2315" s="38"/>
      <c r="BB2315" s="38"/>
      <c r="BC2315" s="38"/>
      <c r="BD2315" s="38"/>
      <c r="BE2315" s="38"/>
      <c r="BF2315" s="38"/>
      <c r="BG2315" s="38"/>
      <c r="BH2315" s="38"/>
      <c r="BI2315" s="38"/>
      <c r="BJ2315" s="38"/>
      <c r="BK2315" s="38"/>
      <c r="BL2315" s="38"/>
      <c r="BM2315" s="38"/>
      <c r="BN2315" s="38"/>
      <c r="BO2315" s="38"/>
      <c r="BP2315" s="38"/>
      <c r="BQ2315" s="38"/>
    </row>
    <row r="2316">
      <c r="A2316" s="109" t="s">
        <v>6288</v>
      </c>
      <c r="B2316" s="48"/>
      <c r="C2316" s="48">
        <v>43523.0</v>
      </c>
      <c r="D2316" s="49"/>
      <c r="E2316" s="47" t="s">
        <v>41</v>
      </c>
      <c r="F2316" s="47">
        <v>1.0</v>
      </c>
      <c r="G2316" s="47" t="s">
        <v>32</v>
      </c>
      <c r="H2316" s="63">
        <v>1.0</v>
      </c>
      <c r="I2316" s="47" t="s">
        <v>33</v>
      </c>
      <c r="J2316" s="47" t="s">
        <v>93</v>
      </c>
      <c r="K2316" s="47"/>
      <c r="L2316" s="47" t="s">
        <v>141</v>
      </c>
      <c r="M2316" s="51" t="s">
        <v>6279</v>
      </c>
      <c r="N2316" s="51" t="s">
        <v>6280</v>
      </c>
      <c r="O2316" s="53" t="str">
        <f t="shared" si="355"/>
        <v>SD-NY 1:19-cr-00131</v>
      </c>
      <c r="P2316" s="54" t="s">
        <v>6281</v>
      </c>
      <c r="Q2316" s="47">
        <v>1.0</v>
      </c>
      <c r="R2316" s="55"/>
      <c r="S2316" s="37" t="str">
        <f>IFERROR(__xludf.DUMMYFUNCTION("if(not(iserror(index(split(C2316, "" ""),2))), index(split(C2316, "" ""),1),"""")"),"February")</f>
        <v>February</v>
      </c>
      <c r="T2316" s="38">
        <f>IFERROR(__xludf.DUMMYFUNCTION("if(S2316="""",C2316,if(not(iserror(index(split(C2316, "" ""),3))), index(split(C2316, "" ""),3),index(split(C2316, "" ""),2)))"),2019.0)</f>
        <v>2019</v>
      </c>
      <c r="U2316" s="38" t="b">
        <f t="shared" si="354"/>
        <v>0</v>
      </c>
      <c r="V2316" s="38" t="s">
        <v>33</v>
      </c>
      <c r="W2316" s="39" t="s">
        <v>6282</v>
      </c>
      <c r="X2316" s="40"/>
      <c r="Y2316" s="40"/>
      <c r="Z2316" s="38"/>
      <c r="AA2316" s="38"/>
      <c r="AB2316" s="38"/>
      <c r="AC2316" s="38"/>
      <c r="AD2316" s="38"/>
      <c r="AE2316" s="38"/>
      <c r="AF2316" s="38"/>
      <c r="AG2316" s="38"/>
      <c r="AH2316" s="38"/>
      <c r="AI2316" s="38"/>
      <c r="AJ2316" s="38"/>
      <c r="AK2316" s="38"/>
      <c r="AL2316" s="38"/>
      <c r="AM2316" s="38"/>
      <c r="AN2316" s="38"/>
      <c r="AO2316" s="38"/>
      <c r="AP2316" s="38"/>
      <c r="AQ2316" s="38"/>
      <c r="AR2316" s="38"/>
      <c r="AS2316" s="38"/>
      <c r="AT2316" s="38"/>
      <c r="AU2316" s="38"/>
      <c r="AV2316" s="38"/>
      <c r="AW2316" s="38"/>
      <c r="AX2316" s="38"/>
      <c r="AY2316" s="38"/>
      <c r="AZ2316" s="38"/>
      <c r="BA2316" s="38"/>
      <c r="BB2316" s="38"/>
      <c r="BC2316" s="38"/>
      <c r="BD2316" s="38"/>
      <c r="BE2316" s="38"/>
      <c r="BF2316" s="38"/>
      <c r="BG2316" s="38"/>
      <c r="BH2316" s="38"/>
      <c r="BI2316" s="38"/>
      <c r="BJ2316" s="38"/>
      <c r="BK2316" s="38"/>
      <c r="BL2316" s="38"/>
      <c r="BM2316" s="38"/>
      <c r="BN2316" s="38"/>
      <c r="BO2316" s="38"/>
      <c r="BP2316" s="38"/>
      <c r="BQ2316" s="38"/>
    </row>
    <row r="2317">
      <c r="A2317" s="109" t="s">
        <v>6289</v>
      </c>
      <c r="B2317" s="48"/>
      <c r="C2317" s="48">
        <v>43523.0</v>
      </c>
      <c r="D2317" s="49"/>
      <c r="E2317" s="47" t="s">
        <v>41</v>
      </c>
      <c r="F2317" s="47">
        <v>1.0</v>
      </c>
      <c r="G2317" s="47" t="s">
        <v>32</v>
      </c>
      <c r="H2317" s="63">
        <v>1.0</v>
      </c>
      <c r="I2317" s="47" t="s">
        <v>33</v>
      </c>
      <c r="J2317" s="47" t="s">
        <v>93</v>
      </c>
      <c r="K2317" s="47"/>
      <c r="L2317" s="47" t="s">
        <v>141</v>
      </c>
      <c r="M2317" s="51" t="s">
        <v>6279</v>
      </c>
      <c r="N2317" s="51" t="s">
        <v>6280</v>
      </c>
      <c r="O2317" s="53" t="str">
        <f t="shared" si="355"/>
        <v>SD-NY 1:19-cr-00131</v>
      </c>
      <c r="P2317" s="54" t="s">
        <v>6281</v>
      </c>
      <c r="Q2317" s="47">
        <v>1.0</v>
      </c>
      <c r="R2317" s="55"/>
      <c r="S2317" s="37" t="str">
        <f>IFERROR(__xludf.DUMMYFUNCTION("if(not(iserror(index(split(C2317, "" ""),2))), index(split(C2317, "" ""),1),"""")"),"February")</f>
        <v>February</v>
      </c>
      <c r="T2317" s="38">
        <f>IFERROR(__xludf.DUMMYFUNCTION("if(S2317="""",C2317,if(not(iserror(index(split(C2317, "" ""),3))), index(split(C2317, "" ""),3),index(split(C2317, "" ""),2)))"),2019.0)</f>
        <v>2019</v>
      </c>
      <c r="U2317" s="38" t="b">
        <f t="shared" si="354"/>
        <v>0</v>
      </c>
      <c r="V2317" s="38" t="s">
        <v>33</v>
      </c>
      <c r="W2317" s="39" t="s">
        <v>6282</v>
      </c>
      <c r="X2317" s="40"/>
      <c r="Y2317" s="40"/>
      <c r="Z2317" s="38"/>
      <c r="AA2317" s="38"/>
      <c r="AB2317" s="38"/>
      <c r="AC2317" s="38"/>
      <c r="AD2317" s="38"/>
      <c r="AE2317" s="38"/>
      <c r="AF2317" s="38"/>
      <c r="AG2317" s="38"/>
      <c r="AH2317" s="38"/>
      <c r="AI2317" s="38"/>
      <c r="AJ2317" s="38"/>
      <c r="AK2317" s="38"/>
      <c r="AL2317" s="38"/>
      <c r="AM2317" s="38"/>
      <c r="AN2317" s="38"/>
      <c r="AO2317" s="38"/>
      <c r="AP2317" s="38"/>
      <c r="AQ2317" s="38"/>
      <c r="AR2317" s="38"/>
      <c r="AS2317" s="38"/>
      <c r="AT2317" s="38"/>
      <c r="AU2317" s="38"/>
      <c r="AV2317" s="38"/>
      <c r="AW2317" s="38"/>
      <c r="AX2317" s="38"/>
      <c r="AY2317" s="38"/>
      <c r="AZ2317" s="38"/>
      <c r="BA2317" s="38"/>
      <c r="BB2317" s="38"/>
      <c r="BC2317" s="38"/>
      <c r="BD2317" s="38"/>
      <c r="BE2317" s="38"/>
      <c r="BF2317" s="38"/>
      <c r="BG2317" s="38"/>
      <c r="BH2317" s="38"/>
      <c r="BI2317" s="38"/>
      <c r="BJ2317" s="38"/>
      <c r="BK2317" s="38"/>
      <c r="BL2317" s="38"/>
      <c r="BM2317" s="38"/>
      <c r="BN2317" s="38"/>
      <c r="BO2317" s="38"/>
      <c r="BP2317" s="38"/>
      <c r="BQ2317" s="38"/>
    </row>
    <row r="2318">
      <c r="A2318" s="109" t="s">
        <v>6290</v>
      </c>
      <c r="B2318" s="48"/>
      <c r="C2318" s="48">
        <v>43523.0</v>
      </c>
      <c r="D2318" s="49"/>
      <c r="E2318" s="47" t="s">
        <v>41</v>
      </c>
      <c r="F2318" s="47">
        <v>1.0</v>
      </c>
      <c r="G2318" s="47" t="s">
        <v>32</v>
      </c>
      <c r="H2318" s="63">
        <v>1.0</v>
      </c>
      <c r="I2318" s="47" t="s">
        <v>33</v>
      </c>
      <c r="J2318" s="47" t="s">
        <v>93</v>
      </c>
      <c r="K2318" s="47"/>
      <c r="L2318" s="47" t="s">
        <v>141</v>
      </c>
      <c r="M2318" s="51" t="s">
        <v>6279</v>
      </c>
      <c r="N2318" s="51" t="s">
        <v>6280</v>
      </c>
      <c r="O2318" s="53" t="str">
        <f t="shared" si="355"/>
        <v>SD-NY 1:19-cr-00131</v>
      </c>
      <c r="P2318" s="54" t="s">
        <v>6281</v>
      </c>
      <c r="Q2318" s="47">
        <v>1.0</v>
      </c>
      <c r="R2318" s="55"/>
      <c r="S2318" s="37" t="str">
        <f>IFERROR(__xludf.DUMMYFUNCTION("if(not(iserror(index(split(C2318, "" ""),2))), index(split(C2318, "" ""),1),"""")"),"February")</f>
        <v>February</v>
      </c>
      <c r="T2318" s="38">
        <f>IFERROR(__xludf.DUMMYFUNCTION("if(S2318="""",C2318,if(not(iserror(index(split(C2318, "" ""),3))), index(split(C2318, "" ""),3),index(split(C2318, "" ""),2)))"),2019.0)</f>
        <v>2019</v>
      </c>
      <c r="U2318" s="38" t="b">
        <f t="shared" si="354"/>
        <v>0</v>
      </c>
      <c r="V2318" s="38" t="s">
        <v>33</v>
      </c>
      <c r="W2318" s="39" t="s">
        <v>6282</v>
      </c>
      <c r="X2318" s="40"/>
      <c r="Y2318" s="40"/>
      <c r="Z2318" s="38"/>
      <c r="AA2318" s="38"/>
      <c r="AB2318" s="38"/>
      <c r="AC2318" s="38"/>
      <c r="AD2318" s="38"/>
      <c r="AE2318" s="38"/>
      <c r="AF2318" s="38"/>
      <c r="AG2318" s="38"/>
      <c r="AH2318" s="38"/>
      <c r="AI2318" s="38"/>
      <c r="AJ2318" s="38"/>
      <c r="AK2318" s="38"/>
      <c r="AL2318" s="38"/>
      <c r="AM2318" s="38"/>
      <c r="AN2318" s="38"/>
      <c r="AO2318" s="38"/>
      <c r="AP2318" s="38"/>
      <c r="AQ2318" s="38"/>
      <c r="AR2318" s="38"/>
      <c r="AS2318" s="38"/>
      <c r="AT2318" s="38"/>
      <c r="AU2318" s="38"/>
      <c r="AV2318" s="38"/>
      <c r="AW2318" s="38"/>
      <c r="AX2318" s="38"/>
      <c r="AY2318" s="38"/>
      <c r="AZ2318" s="38"/>
      <c r="BA2318" s="38"/>
      <c r="BB2318" s="38"/>
      <c r="BC2318" s="38"/>
      <c r="BD2318" s="38"/>
      <c r="BE2318" s="38"/>
      <c r="BF2318" s="38"/>
      <c r="BG2318" s="38"/>
      <c r="BH2318" s="38"/>
      <c r="BI2318" s="38"/>
      <c r="BJ2318" s="38"/>
      <c r="BK2318" s="38"/>
      <c r="BL2318" s="38"/>
      <c r="BM2318" s="38"/>
      <c r="BN2318" s="38"/>
      <c r="BO2318" s="38"/>
      <c r="BP2318" s="38"/>
      <c r="BQ2318" s="38"/>
    </row>
    <row r="2319">
      <c r="A2319" s="109" t="s">
        <v>6291</v>
      </c>
      <c r="B2319" s="48"/>
      <c r="C2319" s="48">
        <v>43523.0</v>
      </c>
      <c r="D2319" s="49"/>
      <c r="E2319" s="47" t="s">
        <v>41</v>
      </c>
      <c r="F2319" s="47">
        <v>1.0</v>
      </c>
      <c r="G2319" s="47" t="s">
        <v>32</v>
      </c>
      <c r="H2319" s="63">
        <v>1.0</v>
      </c>
      <c r="I2319" s="47" t="s">
        <v>33</v>
      </c>
      <c r="J2319" s="47" t="s">
        <v>93</v>
      </c>
      <c r="K2319" s="47"/>
      <c r="L2319" s="47" t="s">
        <v>141</v>
      </c>
      <c r="M2319" s="51" t="s">
        <v>6279</v>
      </c>
      <c r="N2319" s="51" t="s">
        <v>6280</v>
      </c>
      <c r="O2319" s="53" t="str">
        <f t="shared" si="355"/>
        <v>SD-NY 1:19-cr-00131</v>
      </c>
      <c r="P2319" s="54" t="s">
        <v>6281</v>
      </c>
      <c r="Q2319" s="47">
        <v>1.0</v>
      </c>
      <c r="R2319" s="55"/>
      <c r="S2319" s="37" t="str">
        <f>IFERROR(__xludf.DUMMYFUNCTION("if(not(iserror(index(split(C2319, "" ""),2))), index(split(C2319, "" ""),1),"""")"),"February")</f>
        <v>February</v>
      </c>
      <c r="T2319" s="38">
        <f>IFERROR(__xludf.DUMMYFUNCTION("if(S2319="""",C2319,if(not(iserror(index(split(C2319, "" ""),3))), index(split(C2319, "" ""),3),index(split(C2319, "" ""),2)))"),2019.0)</f>
        <v>2019</v>
      </c>
      <c r="U2319" s="38" t="b">
        <f t="shared" si="354"/>
        <v>0</v>
      </c>
      <c r="V2319" s="38" t="s">
        <v>33</v>
      </c>
      <c r="W2319" s="39" t="s">
        <v>6282</v>
      </c>
      <c r="X2319" s="40"/>
      <c r="Y2319" s="40"/>
      <c r="Z2319" s="38"/>
      <c r="AA2319" s="38"/>
      <c r="AB2319" s="38"/>
      <c r="AC2319" s="38"/>
      <c r="AD2319" s="38"/>
      <c r="AE2319" s="38"/>
      <c r="AF2319" s="38"/>
      <c r="AG2319" s="38"/>
      <c r="AH2319" s="38"/>
      <c r="AI2319" s="38"/>
      <c r="AJ2319" s="38"/>
      <c r="AK2319" s="38"/>
      <c r="AL2319" s="38"/>
      <c r="AM2319" s="38"/>
      <c r="AN2319" s="38"/>
      <c r="AO2319" s="38"/>
      <c r="AP2319" s="38"/>
      <c r="AQ2319" s="38"/>
      <c r="AR2319" s="38"/>
      <c r="AS2319" s="38"/>
      <c r="AT2319" s="38"/>
      <c r="AU2319" s="38"/>
      <c r="AV2319" s="38"/>
      <c r="AW2319" s="38"/>
      <c r="AX2319" s="38"/>
      <c r="AY2319" s="38"/>
      <c r="AZ2319" s="38"/>
      <c r="BA2319" s="38"/>
      <c r="BB2319" s="38"/>
      <c r="BC2319" s="38"/>
      <c r="BD2319" s="38"/>
      <c r="BE2319" s="38"/>
      <c r="BF2319" s="38"/>
      <c r="BG2319" s="38"/>
      <c r="BH2319" s="38"/>
      <c r="BI2319" s="38"/>
      <c r="BJ2319" s="38"/>
      <c r="BK2319" s="38"/>
      <c r="BL2319" s="38"/>
      <c r="BM2319" s="38"/>
      <c r="BN2319" s="38"/>
      <c r="BO2319" s="38"/>
      <c r="BP2319" s="38"/>
      <c r="BQ2319" s="38"/>
    </row>
    <row r="2320">
      <c r="A2320" s="109" t="s">
        <v>6292</v>
      </c>
      <c r="B2320" s="48"/>
      <c r="C2320" s="48">
        <v>43523.0</v>
      </c>
      <c r="D2320" s="49"/>
      <c r="E2320" s="47" t="s">
        <v>41</v>
      </c>
      <c r="F2320" s="47">
        <v>1.0</v>
      </c>
      <c r="G2320" s="47" t="s">
        <v>32</v>
      </c>
      <c r="H2320" s="63">
        <v>1.0</v>
      </c>
      <c r="I2320" s="47" t="s">
        <v>33</v>
      </c>
      <c r="J2320" s="47" t="s">
        <v>93</v>
      </c>
      <c r="K2320" s="47"/>
      <c r="L2320" s="47" t="s">
        <v>141</v>
      </c>
      <c r="M2320" s="51" t="s">
        <v>6279</v>
      </c>
      <c r="N2320" s="51" t="s">
        <v>6280</v>
      </c>
      <c r="O2320" s="53" t="str">
        <f t="shared" si="355"/>
        <v>SD-NY 1:19-cr-00131</v>
      </c>
      <c r="P2320" s="54" t="s">
        <v>6281</v>
      </c>
      <c r="Q2320" s="47">
        <v>1.0</v>
      </c>
      <c r="R2320" s="55"/>
      <c r="S2320" s="37" t="str">
        <f>IFERROR(__xludf.DUMMYFUNCTION("if(not(iserror(index(split(C2320, "" ""),2))), index(split(C2320, "" ""),1),"""")"),"February")</f>
        <v>February</v>
      </c>
      <c r="T2320" s="38">
        <f>IFERROR(__xludf.DUMMYFUNCTION("if(S2320="""",C2320,if(not(iserror(index(split(C2320, "" ""),3))), index(split(C2320, "" ""),3),index(split(C2320, "" ""),2)))"),2019.0)</f>
        <v>2019</v>
      </c>
      <c r="U2320" s="38" t="b">
        <f t="shared" si="354"/>
        <v>0</v>
      </c>
      <c r="V2320" s="38" t="s">
        <v>33</v>
      </c>
      <c r="W2320" s="39" t="s">
        <v>6282</v>
      </c>
      <c r="X2320" s="40"/>
      <c r="Y2320" s="40"/>
      <c r="Z2320" s="38"/>
      <c r="AA2320" s="38"/>
      <c r="AB2320" s="38"/>
      <c r="AC2320" s="38"/>
      <c r="AD2320" s="38"/>
      <c r="AE2320" s="38"/>
      <c r="AF2320" s="38"/>
      <c r="AG2320" s="38"/>
      <c r="AH2320" s="38"/>
      <c r="AI2320" s="38"/>
      <c r="AJ2320" s="38"/>
      <c r="AK2320" s="38"/>
      <c r="AL2320" s="38"/>
      <c r="AM2320" s="38"/>
      <c r="AN2320" s="38"/>
      <c r="AO2320" s="38"/>
      <c r="AP2320" s="38"/>
      <c r="AQ2320" s="38"/>
      <c r="AR2320" s="38"/>
      <c r="AS2320" s="38"/>
      <c r="AT2320" s="38"/>
      <c r="AU2320" s="38"/>
      <c r="AV2320" s="38"/>
      <c r="AW2320" s="38"/>
      <c r="AX2320" s="38"/>
      <c r="AY2320" s="38"/>
      <c r="AZ2320" s="38"/>
      <c r="BA2320" s="38"/>
      <c r="BB2320" s="38"/>
      <c r="BC2320" s="38"/>
      <c r="BD2320" s="38"/>
      <c r="BE2320" s="38"/>
      <c r="BF2320" s="38"/>
      <c r="BG2320" s="38"/>
      <c r="BH2320" s="38"/>
      <c r="BI2320" s="38"/>
      <c r="BJ2320" s="38"/>
      <c r="BK2320" s="38"/>
      <c r="BL2320" s="38"/>
      <c r="BM2320" s="38"/>
      <c r="BN2320" s="38"/>
      <c r="BO2320" s="38"/>
      <c r="BP2320" s="38"/>
      <c r="BQ2320" s="38"/>
    </row>
    <row r="2321">
      <c r="A2321" s="281" t="s">
        <v>6293</v>
      </c>
      <c r="B2321" s="48"/>
      <c r="C2321" s="48">
        <v>43523.0</v>
      </c>
      <c r="D2321" s="49"/>
      <c r="E2321" s="47" t="s">
        <v>41</v>
      </c>
      <c r="F2321" s="47">
        <v>1.0</v>
      </c>
      <c r="G2321" s="47" t="s">
        <v>32</v>
      </c>
      <c r="H2321" s="63">
        <v>1.0</v>
      </c>
      <c r="I2321" s="47" t="s">
        <v>33</v>
      </c>
      <c r="J2321" s="47" t="s">
        <v>85</v>
      </c>
      <c r="K2321" s="47"/>
      <c r="L2321" s="47" t="s">
        <v>119</v>
      </c>
      <c r="M2321" s="51" t="s">
        <v>6294</v>
      </c>
      <c r="N2321" s="52"/>
      <c r="O2321" s="55"/>
      <c r="P2321" s="47"/>
      <c r="Q2321" s="47">
        <v>1.0</v>
      </c>
      <c r="R2321" s="55"/>
      <c r="S2321" s="37"/>
      <c r="T2321" s="38"/>
      <c r="U2321" s="38"/>
      <c r="V2321" s="38" t="s">
        <v>33</v>
      </c>
      <c r="W2321" s="40"/>
      <c r="X2321" s="40"/>
      <c r="Y2321" s="40"/>
      <c r="Z2321" s="38"/>
      <c r="AA2321" s="38"/>
      <c r="AB2321" s="38"/>
      <c r="AC2321" s="38"/>
      <c r="AD2321" s="38"/>
      <c r="AE2321" s="38"/>
      <c r="AF2321" s="38"/>
      <c r="AG2321" s="38"/>
      <c r="AH2321" s="38"/>
      <c r="AI2321" s="38"/>
      <c r="AJ2321" s="38"/>
      <c r="AK2321" s="38"/>
      <c r="AL2321" s="38"/>
      <c r="AM2321" s="38"/>
      <c r="AN2321" s="38"/>
      <c r="AO2321" s="38"/>
      <c r="AP2321" s="38"/>
      <c r="AQ2321" s="38"/>
      <c r="AR2321" s="38"/>
      <c r="AS2321" s="38"/>
      <c r="AT2321" s="38"/>
      <c r="AU2321" s="38"/>
      <c r="AV2321" s="38"/>
      <c r="AW2321" s="38"/>
      <c r="AX2321" s="38"/>
      <c r="AY2321" s="38"/>
      <c r="AZ2321" s="38"/>
      <c r="BA2321" s="38"/>
      <c r="BB2321" s="38"/>
      <c r="BC2321" s="38"/>
      <c r="BD2321" s="38"/>
      <c r="BE2321" s="38"/>
      <c r="BF2321" s="38"/>
      <c r="BG2321" s="38"/>
      <c r="BH2321" s="38"/>
      <c r="BI2321" s="38"/>
      <c r="BJ2321" s="38"/>
      <c r="BK2321" s="38"/>
      <c r="BL2321" s="38"/>
      <c r="BM2321" s="38"/>
      <c r="BN2321" s="38"/>
      <c r="BO2321" s="38"/>
      <c r="BP2321" s="38"/>
      <c r="BQ2321" s="38"/>
    </row>
    <row r="2322">
      <c r="A2322" s="281" t="s">
        <v>6295</v>
      </c>
      <c r="B2322" s="48"/>
      <c r="C2322" s="48">
        <v>43523.0</v>
      </c>
      <c r="D2322" s="49"/>
      <c r="E2322" s="47" t="s">
        <v>41</v>
      </c>
      <c r="F2322" s="47">
        <v>1.0</v>
      </c>
      <c r="G2322" s="47" t="s">
        <v>32</v>
      </c>
      <c r="H2322" s="63">
        <v>1.0</v>
      </c>
      <c r="I2322" s="47" t="s">
        <v>33</v>
      </c>
      <c r="J2322" s="47" t="s">
        <v>106</v>
      </c>
      <c r="K2322" s="47"/>
      <c r="L2322" s="47" t="s">
        <v>76</v>
      </c>
      <c r="M2322" s="51" t="s">
        <v>6296</v>
      </c>
      <c r="N2322" s="52"/>
      <c r="O2322" s="55"/>
      <c r="P2322" s="47"/>
      <c r="Q2322" s="47"/>
      <c r="R2322" s="55"/>
      <c r="S2322" s="37"/>
      <c r="T2322" s="38"/>
      <c r="U2322" s="38" t="b">
        <f t="shared" ref="U2322:U2326" si="356">countif(A$4:A4658, A2322)&gt;1</f>
        <v>0</v>
      </c>
      <c r="V2322" s="38" t="s">
        <v>33</v>
      </c>
      <c r="W2322" s="40"/>
      <c r="X2322" s="40"/>
      <c r="Y2322" s="40"/>
      <c r="Z2322" s="38"/>
      <c r="AA2322" s="38"/>
      <c r="AB2322" s="38"/>
      <c r="AC2322" s="38"/>
      <c r="AD2322" s="38"/>
      <c r="AE2322" s="38"/>
      <c r="AF2322" s="38"/>
      <c r="AG2322" s="38"/>
      <c r="AH2322" s="38"/>
      <c r="AI2322" s="38"/>
      <c r="AJ2322" s="38"/>
      <c r="AK2322" s="38"/>
      <c r="AL2322" s="38"/>
      <c r="AM2322" s="38"/>
      <c r="AN2322" s="38"/>
      <c r="AO2322" s="38"/>
      <c r="AP2322" s="38"/>
      <c r="AQ2322" s="38"/>
      <c r="AR2322" s="38"/>
      <c r="AS2322" s="38"/>
      <c r="AT2322" s="38"/>
      <c r="AU2322" s="38"/>
      <c r="AV2322" s="38"/>
      <c r="AW2322" s="38"/>
      <c r="AX2322" s="38"/>
      <c r="AY2322" s="38"/>
      <c r="AZ2322" s="38"/>
      <c r="BA2322" s="38"/>
      <c r="BB2322" s="38"/>
      <c r="BC2322" s="38"/>
      <c r="BD2322" s="38"/>
      <c r="BE2322" s="38"/>
      <c r="BF2322" s="38"/>
      <c r="BG2322" s="38"/>
      <c r="BH2322" s="38"/>
      <c r="BI2322" s="38"/>
      <c r="BJ2322" s="38"/>
      <c r="BK2322" s="38"/>
      <c r="BL2322" s="38"/>
      <c r="BM2322" s="38"/>
      <c r="BN2322" s="38"/>
      <c r="BO2322" s="38"/>
      <c r="BP2322" s="38"/>
      <c r="BQ2322" s="38"/>
    </row>
    <row r="2323">
      <c r="A2323" s="281" t="s">
        <v>6297</v>
      </c>
      <c r="B2323" s="48"/>
      <c r="C2323" s="48">
        <v>43524.0</v>
      </c>
      <c r="D2323" s="49"/>
      <c r="E2323" s="47" t="s">
        <v>41</v>
      </c>
      <c r="F2323" s="47">
        <v>1.0</v>
      </c>
      <c r="G2323" s="47">
        <v>5.0</v>
      </c>
      <c r="H2323" s="63">
        <v>5.0</v>
      </c>
      <c r="I2323" s="47" t="s">
        <v>33</v>
      </c>
      <c r="J2323" s="47" t="s">
        <v>47</v>
      </c>
      <c r="K2323" s="47"/>
      <c r="L2323" s="47" t="s">
        <v>194</v>
      </c>
      <c r="M2323" s="51" t="s">
        <v>6298</v>
      </c>
      <c r="N2323" s="52"/>
      <c r="O2323" s="53" t="str">
        <f>hyperlink("https://bad-boys.us/?q=SD-MS/1:18-cr-00086", "SD-MS 1:18-cr-00086")</f>
        <v>SD-MS 1:18-cr-00086</v>
      </c>
      <c r="P2323" s="54" t="s">
        <v>6299</v>
      </c>
      <c r="Q2323" s="47">
        <v>1.0</v>
      </c>
      <c r="R2323" s="55"/>
      <c r="S2323" s="37" t="str">
        <f>IFERROR(__xludf.DUMMYFUNCTION("if(not(iserror(index(split(C2323, "" ""),2))), index(split(C2323, "" ""),1),"""")"),"February")</f>
        <v>February</v>
      </c>
      <c r="T2323" s="38">
        <f>IFERROR(__xludf.DUMMYFUNCTION("if(S2323="""",C2323,if(not(iserror(index(split(C2323, "" ""),3))), index(split(C2323, "" ""),3),index(split(C2323, "" ""),2)))"),2019.0)</f>
        <v>2019</v>
      </c>
      <c r="U2323" s="38" t="b">
        <f t="shared" si="356"/>
        <v>0</v>
      </c>
      <c r="V2323" s="38" t="s">
        <v>6300</v>
      </c>
      <c r="W2323" s="40"/>
      <c r="X2323" s="40"/>
      <c r="Y2323" s="40"/>
      <c r="Z2323" s="38"/>
      <c r="AA2323" s="38"/>
      <c r="AB2323" s="38"/>
      <c r="AC2323" s="38"/>
      <c r="AD2323" s="38"/>
      <c r="AE2323" s="38"/>
      <c r="AF2323" s="38"/>
      <c r="AG2323" s="38"/>
      <c r="AH2323" s="38"/>
      <c r="AI2323" s="38"/>
      <c r="AJ2323" s="38"/>
      <c r="AK2323" s="38"/>
      <c r="AL2323" s="38"/>
      <c r="AM2323" s="38"/>
      <c r="AN2323" s="38"/>
      <c r="AO2323" s="38"/>
      <c r="AP2323" s="38"/>
      <c r="AQ2323" s="38"/>
      <c r="AR2323" s="38"/>
      <c r="AS2323" s="38"/>
      <c r="AT2323" s="38"/>
      <c r="AU2323" s="38"/>
      <c r="AV2323" s="38"/>
      <c r="AW2323" s="38"/>
      <c r="AX2323" s="38"/>
      <c r="AY2323" s="38"/>
      <c r="AZ2323" s="38"/>
      <c r="BA2323" s="38"/>
      <c r="BB2323" s="38"/>
      <c r="BC2323" s="38"/>
      <c r="BD2323" s="38"/>
      <c r="BE2323" s="38"/>
      <c r="BF2323" s="38"/>
      <c r="BG2323" s="38"/>
      <c r="BH2323" s="38"/>
      <c r="BI2323" s="38"/>
      <c r="BJ2323" s="38"/>
      <c r="BK2323" s="38"/>
      <c r="BL2323" s="38"/>
      <c r="BM2323" s="38"/>
      <c r="BN2323" s="38"/>
      <c r="BO2323" s="38"/>
      <c r="BP2323" s="38"/>
      <c r="BQ2323" s="38"/>
    </row>
    <row r="2324">
      <c r="A2324" s="109" t="s">
        <v>239</v>
      </c>
      <c r="B2324" s="48"/>
      <c r="C2324" s="48">
        <v>43524.0</v>
      </c>
      <c r="D2324" s="49"/>
      <c r="E2324" s="47" t="s">
        <v>41</v>
      </c>
      <c r="F2324" s="47">
        <v>1.0</v>
      </c>
      <c r="G2324" s="47">
        <v>3.0</v>
      </c>
      <c r="H2324" s="63">
        <v>3.0</v>
      </c>
      <c r="I2324" s="47" t="s">
        <v>33</v>
      </c>
      <c r="J2324" s="47" t="s">
        <v>241</v>
      </c>
      <c r="K2324" s="47"/>
      <c r="L2324" s="47" t="s">
        <v>194</v>
      </c>
      <c r="M2324" s="51" t="s">
        <v>6301</v>
      </c>
      <c r="N2324" s="52"/>
      <c r="O2324" s="55"/>
      <c r="P2324" s="47"/>
      <c r="Q2324" s="47"/>
      <c r="R2324" s="55"/>
      <c r="S2324" s="37" t="str">
        <f>IFERROR(__xludf.DUMMYFUNCTION("if(not(iserror(index(split(C2324, "" ""),2))), index(split(C2324, "" ""),1),"""")"),"February")</f>
        <v>February</v>
      </c>
      <c r="T2324" s="38">
        <f>IFERROR(__xludf.DUMMYFUNCTION("if(S2324="""",C2324,if(not(iserror(index(split(C2324, "" ""),3))), index(split(C2324, "" ""),3),index(split(C2324, "" ""),2)))"),2019.0)</f>
        <v>2019</v>
      </c>
      <c r="U2324" s="38" t="b">
        <f t="shared" si="356"/>
        <v>1</v>
      </c>
      <c r="V2324" s="38"/>
      <c r="W2324" s="40"/>
      <c r="X2324" s="40"/>
      <c r="Y2324" s="40"/>
      <c r="Z2324" s="38"/>
      <c r="AA2324" s="38"/>
      <c r="AB2324" s="38"/>
      <c r="AC2324" s="38"/>
      <c r="AD2324" s="38"/>
      <c r="AE2324" s="38"/>
      <c r="AF2324" s="38"/>
      <c r="AG2324" s="38"/>
      <c r="AH2324" s="38"/>
      <c r="AI2324" s="38"/>
      <c r="AJ2324" s="38"/>
      <c r="AK2324" s="38"/>
      <c r="AL2324" s="38"/>
      <c r="AM2324" s="38"/>
      <c r="AN2324" s="38"/>
      <c r="AO2324" s="38"/>
      <c r="AP2324" s="38"/>
      <c r="AQ2324" s="38"/>
      <c r="AR2324" s="38"/>
      <c r="AS2324" s="38"/>
      <c r="AT2324" s="38"/>
      <c r="AU2324" s="38"/>
      <c r="AV2324" s="38"/>
      <c r="AW2324" s="38"/>
      <c r="AX2324" s="38"/>
      <c r="AY2324" s="38"/>
      <c r="AZ2324" s="38"/>
      <c r="BA2324" s="38"/>
      <c r="BB2324" s="38"/>
      <c r="BC2324" s="38"/>
      <c r="BD2324" s="38"/>
      <c r="BE2324" s="38"/>
      <c r="BF2324" s="38"/>
      <c r="BG2324" s="38"/>
      <c r="BH2324" s="38"/>
      <c r="BI2324" s="38"/>
      <c r="BJ2324" s="38"/>
      <c r="BK2324" s="38"/>
      <c r="BL2324" s="38"/>
      <c r="BM2324" s="38"/>
      <c r="BN2324" s="38"/>
      <c r="BO2324" s="38"/>
      <c r="BP2324" s="38"/>
      <c r="BQ2324" s="38"/>
    </row>
    <row r="2325">
      <c r="A2325" s="109" t="s">
        <v>6302</v>
      </c>
      <c r="B2325" s="48"/>
      <c r="C2325" s="48">
        <v>43524.0</v>
      </c>
      <c r="D2325" s="49"/>
      <c r="E2325" s="47" t="s">
        <v>41</v>
      </c>
      <c r="F2325" s="47">
        <v>1.0</v>
      </c>
      <c r="G2325" s="47" t="s">
        <v>32</v>
      </c>
      <c r="H2325" s="63">
        <v>1.0</v>
      </c>
      <c r="I2325" s="47" t="s">
        <v>33</v>
      </c>
      <c r="J2325" s="47" t="s">
        <v>93</v>
      </c>
      <c r="K2325" s="47"/>
      <c r="L2325" s="47" t="s">
        <v>119</v>
      </c>
      <c r="M2325" s="52" t="s">
        <v>6303</v>
      </c>
      <c r="N2325" s="52"/>
      <c r="O2325" s="53" t="str">
        <f>hyperlink("https://bad-boys.us/?q=WD-NY/1:19-mj-05058", "WD-NY 1:19-mj-05058")</f>
        <v>WD-NY 1:19-mj-05058</v>
      </c>
      <c r="P2325" s="47"/>
      <c r="Q2325" s="47">
        <v>1.0</v>
      </c>
      <c r="R2325" s="55"/>
      <c r="S2325" s="37" t="str">
        <f>IFERROR(__xludf.DUMMYFUNCTION("if(not(iserror(index(split(C2325, "" ""),2))), index(split(C2325, "" ""),1),"""")"),"February")</f>
        <v>February</v>
      </c>
      <c r="T2325" s="38">
        <f>IFERROR(__xludf.DUMMYFUNCTION("if(S2325="""",C2325,if(not(iserror(index(split(C2325, "" ""),3))), index(split(C2325, "" ""),3),index(split(C2325, "" ""),2)))"),2019.0)</f>
        <v>2019</v>
      </c>
      <c r="U2325" s="38" t="b">
        <f t="shared" si="356"/>
        <v>0</v>
      </c>
      <c r="V2325" s="38" t="s">
        <v>33</v>
      </c>
      <c r="W2325" s="40"/>
      <c r="X2325" s="40"/>
      <c r="Y2325" s="40"/>
      <c r="Z2325" s="38"/>
      <c r="AA2325" s="38"/>
      <c r="AB2325" s="38"/>
      <c r="AC2325" s="38"/>
      <c r="AD2325" s="38"/>
      <c r="AE2325" s="38"/>
      <c r="AF2325" s="38"/>
      <c r="AG2325" s="38"/>
      <c r="AH2325" s="38"/>
      <c r="AI2325" s="38"/>
      <c r="AJ2325" s="38"/>
      <c r="AK2325" s="38"/>
      <c r="AL2325" s="38"/>
      <c r="AM2325" s="38"/>
      <c r="AN2325" s="38"/>
      <c r="AO2325" s="38"/>
      <c r="AP2325" s="38"/>
      <c r="AQ2325" s="38"/>
      <c r="AR2325" s="38"/>
      <c r="AS2325" s="38"/>
      <c r="AT2325" s="38"/>
      <c r="AU2325" s="38"/>
      <c r="AV2325" s="38"/>
      <c r="AW2325" s="38"/>
      <c r="AX2325" s="38"/>
      <c r="AY2325" s="38"/>
      <c r="AZ2325" s="38"/>
      <c r="BA2325" s="38"/>
      <c r="BB2325" s="38"/>
      <c r="BC2325" s="38"/>
      <c r="BD2325" s="38"/>
      <c r="BE2325" s="38"/>
      <c r="BF2325" s="38"/>
      <c r="BG2325" s="38"/>
      <c r="BH2325" s="38"/>
      <c r="BI2325" s="38"/>
      <c r="BJ2325" s="38"/>
      <c r="BK2325" s="38"/>
      <c r="BL2325" s="38"/>
      <c r="BM2325" s="38"/>
      <c r="BN2325" s="38"/>
      <c r="BO2325" s="38"/>
      <c r="BP2325" s="38"/>
      <c r="BQ2325" s="38"/>
    </row>
    <row r="2326">
      <c r="A2326" s="78" t="s">
        <v>6268</v>
      </c>
      <c r="B2326" s="248"/>
      <c r="C2326" s="99">
        <v>43524.0</v>
      </c>
      <c r="E2326" s="78" t="s">
        <v>41</v>
      </c>
      <c r="F2326" s="37">
        <v>1.0</v>
      </c>
      <c r="G2326" s="78" t="s">
        <v>32</v>
      </c>
      <c r="H2326" s="78">
        <v>1.0</v>
      </c>
      <c r="I2326" s="78" t="s">
        <v>33</v>
      </c>
      <c r="J2326" s="78" t="s">
        <v>55</v>
      </c>
      <c r="L2326" s="78" t="s">
        <v>69</v>
      </c>
      <c r="M2326" s="106" t="s">
        <v>6304</v>
      </c>
      <c r="N2326" s="102"/>
      <c r="O2326" s="160" t="str">
        <f>hyperlink("https://bad-boys.us/?q=D-NJ/1:19-mj-02011", "D-NJ 1:19-mj-02011")</f>
        <v>D-NJ 1:19-mj-02011</v>
      </c>
      <c r="Q2326" s="37">
        <v>1.0</v>
      </c>
      <c r="S2326" s="37" t="str">
        <f>IFERROR(__xludf.DUMMYFUNCTION("if(not(iserror(index(split(C2326, "" ""),2))), index(split(C2326, "" ""),1),"""")"),"February")</f>
        <v>February</v>
      </c>
      <c r="T2326" s="38">
        <f>IFERROR(__xludf.DUMMYFUNCTION("if(S2326="""",C2326,if(not(iserror(index(split(C2326, "" ""),3))), index(split(C2326, "" ""),3),index(split(C2326, "" ""),2)))"),2019.0)</f>
        <v>2019</v>
      </c>
      <c r="U2326" s="38" t="b">
        <f t="shared" si="356"/>
        <v>1</v>
      </c>
      <c r="V2326" s="78" t="s">
        <v>33</v>
      </c>
      <c r="W2326" s="102"/>
      <c r="X2326" s="102"/>
      <c r="Y2326" s="102"/>
    </row>
    <row r="2327">
      <c r="A2327" s="78" t="s">
        <v>6305</v>
      </c>
      <c r="B2327" s="248"/>
      <c r="C2327" s="100">
        <v>43525.0</v>
      </c>
      <c r="E2327" s="78" t="s">
        <v>41</v>
      </c>
      <c r="F2327" s="37">
        <v>1.0</v>
      </c>
      <c r="G2327" s="78"/>
      <c r="H2327" s="78"/>
      <c r="I2327" s="78"/>
      <c r="J2327" s="78"/>
      <c r="L2327" s="78"/>
      <c r="M2327" s="106"/>
      <c r="N2327" s="102"/>
      <c r="P2327" s="78"/>
      <c r="Q2327" s="37"/>
      <c r="S2327" s="37"/>
      <c r="T2327" s="38"/>
      <c r="U2327" s="38"/>
      <c r="V2327" s="78"/>
      <c r="W2327" s="102"/>
      <c r="X2327" s="102"/>
      <c r="Y2327" s="102"/>
    </row>
    <row r="2328">
      <c r="A2328" s="78" t="s">
        <v>6306</v>
      </c>
      <c r="B2328" s="248"/>
      <c r="C2328" s="100">
        <v>43525.0</v>
      </c>
      <c r="E2328" s="78" t="s">
        <v>41</v>
      </c>
      <c r="F2328" s="37">
        <v>1.0</v>
      </c>
      <c r="G2328" s="78" t="s">
        <v>32</v>
      </c>
      <c r="H2328" s="78">
        <v>1.0</v>
      </c>
      <c r="I2328" s="78" t="s">
        <v>33</v>
      </c>
      <c r="J2328" s="78" t="s">
        <v>47</v>
      </c>
      <c r="L2328" s="78" t="s">
        <v>119</v>
      </c>
      <c r="M2328" s="46" t="s">
        <v>6307</v>
      </c>
      <c r="N2328" s="102"/>
      <c r="P2328" s="78"/>
      <c r="Q2328" s="37"/>
      <c r="S2328" s="37"/>
      <c r="T2328" s="38"/>
      <c r="U2328" s="38"/>
      <c r="V2328" s="78" t="s">
        <v>33</v>
      </c>
      <c r="W2328" s="102"/>
      <c r="X2328" s="102"/>
      <c r="Y2328" s="102"/>
    </row>
    <row r="2329">
      <c r="A2329" s="78" t="s">
        <v>6308</v>
      </c>
      <c r="B2329" s="248"/>
      <c r="C2329" s="100">
        <v>43525.0</v>
      </c>
      <c r="E2329" s="78" t="s">
        <v>41</v>
      </c>
      <c r="F2329" s="37">
        <v>1.0</v>
      </c>
      <c r="G2329" s="78" t="s">
        <v>32</v>
      </c>
      <c r="H2329" s="78">
        <v>1.0</v>
      </c>
      <c r="I2329" s="78" t="s">
        <v>33</v>
      </c>
      <c r="J2329" s="78" t="s">
        <v>410</v>
      </c>
      <c r="L2329" s="78" t="s">
        <v>69</v>
      </c>
      <c r="M2329" s="46" t="s">
        <v>6309</v>
      </c>
      <c r="N2329" s="102"/>
      <c r="P2329" s="78"/>
      <c r="Q2329" s="37"/>
      <c r="S2329" s="37" t="str">
        <f>IFERROR(__xludf.DUMMYFUNCTION("if(not(iserror(index(split(C2329, "" ""),2))), index(split(C2329, "" ""),1),"""")"),"March,")</f>
        <v>March,</v>
      </c>
      <c r="T2329" s="38">
        <f>IFERROR(__xludf.DUMMYFUNCTION("if(S2329="""",C2329,if(not(iserror(index(split(C2329, "" ""),3))), index(split(C2329, "" ""),3),index(split(C2329, "" ""),2)))"),2019.0)</f>
        <v>2019</v>
      </c>
      <c r="U2329" s="38" t="b">
        <f>countif(A$4:A4658, A2329)&gt;1</f>
        <v>0</v>
      </c>
      <c r="V2329" s="78" t="s">
        <v>33</v>
      </c>
      <c r="W2329" s="102"/>
      <c r="X2329" s="102"/>
      <c r="Y2329" s="102"/>
    </row>
    <row r="2330">
      <c r="A2330" s="78" t="s">
        <v>6310</v>
      </c>
      <c r="B2330" s="248"/>
      <c r="C2330" s="100">
        <v>43525.0</v>
      </c>
      <c r="E2330" s="78" t="s">
        <v>41</v>
      </c>
      <c r="F2330" s="37">
        <v>1.0</v>
      </c>
      <c r="G2330" s="78" t="s">
        <v>32</v>
      </c>
      <c r="H2330" s="78">
        <v>1.0</v>
      </c>
      <c r="I2330" s="78" t="s">
        <v>33</v>
      </c>
      <c r="J2330" s="78" t="s">
        <v>343</v>
      </c>
      <c r="L2330" s="78" t="s">
        <v>119</v>
      </c>
      <c r="M2330" s="46" t="s">
        <v>6311</v>
      </c>
      <c r="N2330" s="102"/>
      <c r="P2330" s="78"/>
      <c r="Q2330" s="37"/>
      <c r="S2330" s="37"/>
      <c r="T2330" s="38"/>
      <c r="U2330" s="38"/>
      <c r="V2330" s="78" t="s">
        <v>33</v>
      </c>
      <c r="W2330" s="102"/>
      <c r="X2330" s="102"/>
      <c r="Y2330" s="102"/>
    </row>
    <row r="2331">
      <c r="A2331" s="78" t="s">
        <v>6312</v>
      </c>
      <c r="B2331" s="248"/>
      <c r="C2331" s="100">
        <v>43525.0</v>
      </c>
      <c r="E2331" s="78" t="s">
        <v>31</v>
      </c>
      <c r="F2331" s="37">
        <v>1.0</v>
      </c>
      <c r="G2331" s="78" t="s">
        <v>32</v>
      </c>
      <c r="H2331" s="78">
        <v>1.0</v>
      </c>
      <c r="I2331" s="78" t="s">
        <v>33</v>
      </c>
      <c r="J2331" s="78" t="s">
        <v>115</v>
      </c>
      <c r="L2331" s="78" t="s">
        <v>119</v>
      </c>
      <c r="M2331" s="46" t="s">
        <v>6313</v>
      </c>
      <c r="N2331" s="46" t="s">
        <v>6314</v>
      </c>
      <c r="P2331" s="78"/>
      <c r="Q2331" s="37"/>
      <c r="S2331" s="37"/>
      <c r="T2331" s="38"/>
      <c r="U2331" s="38"/>
      <c r="V2331" s="78" t="s">
        <v>33</v>
      </c>
      <c r="W2331" s="46" t="s">
        <v>6315</v>
      </c>
      <c r="X2331" s="46" t="s">
        <v>6316</v>
      </c>
      <c r="Y2331" s="102"/>
    </row>
    <row r="2332">
      <c r="A2332" s="78" t="s">
        <v>6317</v>
      </c>
      <c r="B2332" s="248"/>
      <c r="C2332" s="100">
        <v>43525.0</v>
      </c>
      <c r="E2332" s="78" t="s">
        <v>41</v>
      </c>
      <c r="F2332" s="37">
        <v>1.0</v>
      </c>
      <c r="G2332" s="78" t="s">
        <v>32</v>
      </c>
      <c r="H2332" s="78">
        <v>1.0</v>
      </c>
      <c r="I2332" s="78" t="s">
        <v>33</v>
      </c>
      <c r="J2332" s="78" t="s">
        <v>288</v>
      </c>
      <c r="L2332" s="78" t="s">
        <v>69</v>
      </c>
      <c r="M2332" s="46" t="s">
        <v>6318</v>
      </c>
      <c r="N2332" s="102"/>
      <c r="O2332" s="160" t="str">
        <f>hyperlink("https://bad-boys.us/?q=D-NE/8:19-cr-00093", "D-NE 8:19-cr-00093")</f>
        <v>D-NE 8:19-cr-00093</v>
      </c>
      <c r="P2332" s="103" t="s">
        <v>6319</v>
      </c>
      <c r="Q2332" s="37">
        <v>1.0</v>
      </c>
      <c r="S2332" s="37"/>
      <c r="T2332" s="38"/>
      <c r="U2332" s="38" t="b">
        <f>countif(A$4:A4658, A2332)&gt;1</f>
        <v>0</v>
      </c>
      <c r="V2332" s="78" t="s">
        <v>33</v>
      </c>
      <c r="W2332" s="102"/>
      <c r="X2332" s="102"/>
      <c r="Y2332" s="102"/>
    </row>
    <row r="2333">
      <c r="A2333" s="78" t="s">
        <v>6320</v>
      </c>
      <c r="B2333" s="248"/>
      <c r="C2333" s="100">
        <v>43525.0</v>
      </c>
      <c r="E2333" s="78" t="s">
        <v>41</v>
      </c>
      <c r="F2333" s="37">
        <v>1.0</v>
      </c>
      <c r="G2333" s="78" t="s">
        <v>32</v>
      </c>
      <c r="H2333" s="78">
        <v>1.0</v>
      </c>
      <c r="I2333" s="78" t="s">
        <v>33</v>
      </c>
      <c r="J2333" s="78" t="s">
        <v>124</v>
      </c>
      <c r="L2333" s="78" t="s">
        <v>119</v>
      </c>
      <c r="M2333" s="46" t="s">
        <v>6321</v>
      </c>
      <c r="N2333" s="102"/>
      <c r="P2333" s="78"/>
      <c r="Q2333" s="37">
        <v>1.0</v>
      </c>
      <c r="S2333" s="37"/>
      <c r="T2333" s="38"/>
      <c r="U2333" s="38"/>
      <c r="V2333" s="78" t="s">
        <v>33</v>
      </c>
      <c r="W2333" s="102"/>
      <c r="X2333" s="102"/>
      <c r="Y2333" s="102"/>
    </row>
    <row r="2334">
      <c r="A2334" s="78" t="s">
        <v>6322</v>
      </c>
      <c r="B2334" s="248"/>
      <c r="C2334" s="100">
        <v>43525.0</v>
      </c>
      <c r="E2334" s="78" t="s">
        <v>31</v>
      </c>
      <c r="F2334" s="37">
        <v>1.0</v>
      </c>
      <c r="G2334" s="78">
        <v>3.0</v>
      </c>
      <c r="H2334" s="78">
        <v>3.0</v>
      </c>
      <c r="I2334" s="78" t="s">
        <v>33</v>
      </c>
      <c r="J2334" s="78" t="s">
        <v>288</v>
      </c>
      <c r="L2334" s="106" t="s">
        <v>6007</v>
      </c>
      <c r="M2334" s="106" t="s">
        <v>6323</v>
      </c>
      <c r="N2334" s="46" t="s">
        <v>6324</v>
      </c>
      <c r="P2334" s="78"/>
      <c r="Q2334" s="37">
        <v>1.0</v>
      </c>
      <c r="S2334" s="37"/>
      <c r="T2334" s="38"/>
      <c r="U2334" s="38"/>
      <c r="V2334" s="78" t="s">
        <v>33</v>
      </c>
      <c r="W2334" s="46" t="s">
        <v>6325</v>
      </c>
      <c r="X2334" s="46" t="s">
        <v>6326</v>
      </c>
      <c r="Y2334" s="102"/>
    </row>
    <row r="2335">
      <c r="A2335" s="78" t="s">
        <v>6327</v>
      </c>
      <c r="B2335" s="248"/>
      <c r="C2335" s="100">
        <v>43525.0</v>
      </c>
      <c r="E2335" s="78" t="s">
        <v>41</v>
      </c>
      <c r="F2335" s="37">
        <v>1.0</v>
      </c>
      <c r="G2335" s="78" t="s">
        <v>32</v>
      </c>
      <c r="H2335" s="78">
        <v>1.0</v>
      </c>
      <c r="I2335" s="78" t="s">
        <v>33</v>
      </c>
      <c r="J2335" s="78" t="s">
        <v>343</v>
      </c>
      <c r="L2335" s="78" t="s">
        <v>119</v>
      </c>
      <c r="M2335" s="46" t="s">
        <v>6328</v>
      </c>
      <c r="N2335" s="102"/>
      <c r="P2335" s="78"/>
      <c r="Q2335" s="37"/>
      <c r="S2335" s="37" t="str">
        <f>IFERROR(__xludf.DUMMYFUNCTION("if(not(iserror(index(split(C2335, "" ""),2))), index(split(C2335, "" ""),1),"""")"),"March,")</f>
        <v>March,</v>
      </c>
      <c r="T2335" s="38">
        <f>IFERROR(__xludf.DUMMYFUNCTION("if(S2335="""",C2335,if(not(iserror(index(split(C2335, "" ""),3))), index(split(C2335, "" ""),3),index(split(C2335, "" ""),2)))"),2019.0)</f>
        <v>2019</v>
      </c>
      <c r="U2335" s="38" t="b">
        <f>countif(A$4:A4658, A2335)&gt;1</f>
        <v>0</v>
      </c>
      <c r="V2335" s="78" t="s">
        <v>33</v>
      </c>
      <c r="W2335" s="102"/>
      <c r="X2335" s="102"/>
      <c r="Y2335" s="102"/>
    </row>
    <row r="2336">
      <c r="A2336" s="78" t="s">
        <v>6329</v>
      </c>
      <c r="B2336" s="248"/>
      <c r="C2336" s="100">
        <v>43525.0</v>
      </c>
      <c r="E2336" s="78" t="s">
        <v>31</v>
      </c>
      <c r="F2336" s="37">
        <v>1.0</v>
      </c>
      <c r="G2336" s="78">
        <v>33.0</v>
      </c>
      <c r="H2336" s="78">
        <v>33.0</v>
      </c>
      <c r="I2336" s="78" t="s">
        <v>33</v>
      </c>
      <c r="J2336" s="78" t="s">
        <v>184</v>
      </c>
      <c r="L2336" s="78" t="s">
        <v>6330</v>
      </c>
      <c r="M2336" s="46" t="s">
        <v>6331</v>
      </c>
      <c r="N2336" s="106" t="s">
        <v>6332</v>
      </c>
      <c r="P2336" s="78"/>
      <c r="Q2336" s="37"/>
      <c r="S2336" s="37"/>
      <c r="T2336" s="38"/>
      <c r="U2336" s="38"/>
      <c r="V2336" s="78" t="s">
        <v>33</v>
      </c>
      <c r="W2336" s="282" t="s">
        <v>6333</v>
      </c>
      <c r="X2336" s="46" t="s">
        <v>6334</v>
      </c>
      <c r="Y2336" s="102"/>
    </row>
    <row r="2337">
      <c r="A2337" s="78" t="s">
        <v>6335</v>
      </c>
      <c r="B2337" s="248"/>
      <c r="C2337" s="100">
        <v>43525.0</v>
      </c>
      <c r="E2337" s="78" t="s">
        <v>41</v>
      </c>
      <c r="F2337" s="37">
        <v>1.0</v>
      </c>
      <c r="G2337" s="78" t="s">
        <v>32</v>
      </c>
      <c r="H2337" s="78">
        <v>1.0</v>
      </c>
      <c r="I2337" s="78" t="s">
        <v>33</v>
      </c>
      <c r="J2337" s="78" t="s">
        <v>172</v>
      </c>
      <c r="L2337" s="78" t="s">
        <v>69</v>
      </c>
      <c r="M2337" s="46" t="s">
        <v>6336</v>
      </c>
      <c r="N2337" s="106"/>
      <c r="P2337" s="78"/>
      <c r="Q2337" s="37"/>
      <c r="S2337" s="37"/>
      <c r="T2337" s="38"/>
      <c r="U2337" s="38"/>
      <c r="V2337" s="78" t="s">
        <v>33</v>
      </c>
      <c r="W2337" s="282"/>
      <c r="X2337" s="106"/>
      <c r="Y2337" s="102"/>
    </row>
    <row r="2338">
      <c r="A2338" s="78" t="s">
        <v>6337</v>
      </c>
      <c r="B2338" s="248"/>
      <c r="C2338" s="100">
        <v>43525.0</v>
      </c>
      <c r="E2338" s="78" t="s">
        <v>41</v>
      </c>
      <c r="F2338" s="37">
        <v>1.0</v>
      </c>
      <c r="G2338" s="78" t="s">
        <v>32</v>
      </c>
      <c r="H2338" s="78">
        <v>1.0</v>
      </c>
      <c r="I2338" s="78" t="s">
        <v>33</v>
      </c>
      <c r="J2338" s="78" t="s">
        <v>288</v>
      </c>
      <c r="L2338" s="78" t="s">
        <v>76</v>
      </c>
      <c r="M2338" s="46" t="s">
        <v>6338</v>
      </c>
      <c r="N2338" s="106"/>
      <c r="P2338" s="78"/>
      <c r="Q2338" s="37"/>
      <c r="S2338" s="37"/>
      <c r="T2338" s="38"/>
      <c r="U2338" s="38"/>
      <c r="V2338" s="78" t="s">
        <v>33</v>
      </c>
      <c r="W2338" s="282"/>
      <c r="X2338" s="106"/>
      <c r="Y2338" s="102"/>
    </row>
    <row r="2339">
      <c r="A2339" s="78" t="s">
        <v>6339</v>
      </c>
      <c r="B2339" s="248"/>
      <c r="C2339" s="100">
        <v>43525.0</v>
      </c>
      <c r="E2339" s="78" t="s">
        <v>41</v>
      </c>
      <c r="F2339" s="37">
        <v>1.0</v>
      </c>
      <c r="G2339" s="78" t="s">
        <v>32</v>
      </c>
      <c r="H2339" s="78">
        <v>1.0</v>
      </c>
      <c r="I2339" s="78" t="s">
        <v>33</v>
      </c>
      <c r="J2339" s="78" t="s">
        <v>144</v>
      </c>
      <c r="L2339" s="78" t="s">
        <v>69</v>
      </c>
      <c r="M2339" s="106" t="s">
        <v>6340</v>
      </c>
      <c r="N2339" s="102"/>
      <c r="O2339" s="160" t="str">
        <f>hyperlink("https://bad-boys.us/?q=D-MT/4:19-cr-00013", "D-MT 4:19-cr-00013")</f>
        <v>D-MT 4:19-cr-00013</v>
      </c>
      <c r="P2339" s="103" t="s">
        <v>6341</v>
      </c>
      <c r="Q2339" s="37">
        <v>1.0</v>
      </c>
      <c r="S2339" s="37" t="str">
        <f>IFERROR(__xludf.DUMMYFUNCTION("if(not(iserror(index(split(C2339, "" ""),2))), index(split(C2339, "" ""),1),"""")"),"March,")</f>
        <v>March,</v>
      </c>
      <c r="T2339" s="38">
        <f>IFERROR(__xludf.DUMMYFUNCTION("if(S2339="""",C2339,if(not(iserror(index(split(C2339, "" ""),3))), index(split(C2339, "" ""),3),index(split(C2339, "" ""),2)))"),2019.0)</f>
        <v>2019</v>
      </c>
      <c r="U2339" s="38" t="b">
        <f t="shared" ref="U2339:U2350" si="357">countif(A$4:A4658, A2339)&gt;1</f>
        <v>0</v>
      </c>
      <c r="V2339" s="78" t="s">
        <v>33</v>
      </c>
      <c r="W2339" s="102"/>
      <c r="X2339" s="102"/>
      <c r="Y2339" s="102"/>
    </row>
    <row r="2340">
      <c r="A2340" s="78" t="s">
        <v>6342</v>
      </c>
      <c r="B2340" s="248"/>
      <c r="C2340" s="100">
        <v>43525.0</v>
      </c>
      <c r="E2340" s="78" t="s">
        <v>41</v>
      </c>
      <c r="F2340" s="37">
        <v>1.0</v>
      </c>
      <c r="G2340" s="78" t="s">
        <v>32</v>
      </c>
      <c r="H2340" s="78">
        <v>1.0</v>
      </c>
      <c r="I2340" s="78" t="s">
        <v>33</v>
      </c>
      <c r="J2340" s="78" t="s">
        <v>47</v>
      </c>
      <c r="L2340" s="78" t="s">
        <v>697</v>
      </c>
      <c r="M2340" s="46" t="s">
        <v>6343</v>
      </c>
      <c r="N2340" s="102"/>
      <c r="O2340" s="160" t="str">
        <f>hyperlink("https://bad-boys.us/?q=SD-FL/2:19-cr-14016", "SD-FL 2:19-cr-14016")</f>
        <v>SD-FL 2:19-cr-14016</v>
      </c>
      <c r="P2340" s="103" t="s">
        <v>6344</v>
      </c>
      <c r="Q2340" s="37">
        <v>1.0</v>
      </c>
      <c r="S2340" s="37"/>
      <c r="T2340" s="38"/>
      <c r="U2340" s="38" t="b">
        <f t="shared" si="357"/>
        <v>0</v>
      </c>
      <c r="V2340" s="78" t="s">
        <v>33</v>
      </c>
      <c r="W2340" s="102"/>
      <c r="X2340" s="102"/>
      <c r="Y2340" s="102"/>
    </row>
    <row r="2341">
      <c r="A2341" s="78" t="s">
        <v>6345</v>
      </c>
      <c r="B2341" s="248"/>
      <c r="C2341" s="99">
        <v>43525.0</v>
      </c>
      <c r="E2341" s="78" t="s">
        <v>41</v>
      </c>
      <c r="F2341" s="37">
        <v>1.0</v>
      </c>
      <c r="G2341" s="78" t="s">
        <v>32</v>
      </c>
      <c r="H2341" s="78">
        <v>1.0</v>
      </c>
      <c r="I2341" s="78" t="s">
        <v>33</v>
      </c>
      <c r="J2341" s="78" t="s">
        <v>124</v>
      </c>
      <c r="L2341" s="78" t="s">
        <v>69</v>
      </c>
      <c r="M2341" s="46" t="s">
        <v>6346</v>
      </c>
      <c r="N2341" s="102"/>
      <c r="O2341" s="160" t="str">
        <f>hyperlink("https://bad-boys.us/?q=ND-OH/1:19-cr-00111", "ND-OH 1:19-cr-00111")</f>
        <v>ND-OH 1:19-cr-00111</v>
      </c>
      <c r="P2341" s="103" t="s">
        <v>6347</v>
      </c>
      <c r="Q2341" s="37">
        <v>1.0</v>
      </c>
      <c r="S2341" s="37" t="str">
        <f>IFERROR(__xludf.DUMMYFUNCTION("if(not(iserror(index(split(C2341, "" ""),2))), index(split(C2341, "" ""),1),"""")"),"March")</f>
        <v>March</v>
      </c>
      <c r="T2341" s="38">
        <f>IFERROR(__xludf.DUMMYFUNCTION("if(S2341="""",C2341,if(not(iserror(index(split(C2341, "" ""),3))), index(split(C2341, "" ""),3),index(split(C2341, "" ""),2)))"),2019.0)</f>
        <v>2019</v>
      </c>
      <c r="U2341" s="38" t="b">
        <f t="shared" si="357"/>
        <v>0</v>
      </c>
      <c r="V2341" s="78" t="s">
        <v>33</v>
      </c>
      <c r="W2341" s="102"/>
      <c r="X2341" s="102"/>
      <c r="Y2341" s="102"/>
    </row>
    <row r="2342">
      <c r="A2342" s="283" t="s">
        <v>239</v>
      </c>
      <c r="B2342" s="248"/>
      <c r="C2342" s="99">
        <v>43525.0</v>
      </c>
      <c r="E2342" s="78" t="s">
        <v>41</v>
      </c>
      <c r="F2342" s="37">
        <v>2.0</v>
      </c>
      <c r="G2342" s="37">
        <v>14.0</v>
      </c>
      <c r="H2342" s="78">
        <v>14.0</v>
      </c>
      <c r="I2342" s="78" t="s">
        <v>33</v>
      </c>
      <c r="J2342" s="78" t="s">
        <v>111</v>
      </c>
      <c r="L2342" s="78" t="s">
        <v>194</v>
      </c>
      <c r="M2342" s="46" t="s">
        <v>6348</v>
      </c>
      <c r="N2342" s="106"/>
      <c r="Q2342" s="37"/>
      <c r="S2342" s="37" t="str">
        <f>IFERROR(__xludf.DUMMYFUNCTION("if(not(iserror(index(split(C2342, "" ""),2))), index(split(C2342, "" ""),1),"""")"),"March")</f>
        <v>March</v>
      </c>
      <c r="T2342" s="38">
        <f>IFERROR(__xludf.DUMMYFUNCTION("if(S2342="""",C2342,if(not(iserror(index(split(C2342, "" ""),3))), index(split(C2342, "" ""),3),index(split(C2342, "" ""),2)))"),2019.0)</f>
        <v>2019</v>
      </c>
      <c r="U2342" s="38" t="b">
        <f t="shared" si="357"/>
        <v>1</v>
      </c>
      <c r="V2342" s="78" t="s">
        <v>33</v>
      </c>
      <c r="W2342" s="106"/>
      <c r="X2342" s="106"/>
      <c r="Y2342" s="102"/>
    </row>
    <row r="2343">
      <c r="A2343" s="283" t="s">
        <v>6349</v>
      </c>
      <c r="B2343" s="248"/>
      <c r="C2343" s="99">
        <v>43528.0</v>
      </c>
      <c r="E2343" s="78" t="s">
        <v>31</v>
      </c>
      <c r="F2343" s="37">
        <v>1.0</v>
      </c>
      <c r="G2343" s="78" t="s">
        <v>32</v>
      </c>
      <c r="H2343" s="78">
        <v>1.0</v>
      </c>
      <c r="I2343" s="78" t="s">
        <v>33</v>
      </c>
      <c r="J2343" s="78" t="s">
        <v>93</v>
      </c>
      <c r="L2343" s="78" t="s">
        <v>76</v>
      </c>
      <c r="M2343" s="78" t="s">
        <v>6350</v>
      </c>
      <c r="N2343" s="46" t="s">
        <v>6351</v>
      </c>
      <c r="O2343" s="160" t="str">
        <f>hyperlink("https://bad-boys.us/?q=WD-NY/6:19-mj-00546", "WD-NY 6:19-mj-00546")</f>
        <v>WD-NY 6:19-mj-00546</v>
      </c>
      <c r="Q2343" s="37">
        <v>1.0</v>
      </c>
      <c r="S2343" s="37" t="str">
        <f>IFERROR(__xludf.DUMMYFUNCTION("if(not(iserror(index(split(C2343, "" ""),2))), index(split(C2343, "" ""),1),"""")"),"March")</f>
        <v>March</v>
      </c>
      <c r="T2343" s="38">
        <f>IFERROR(__xludf.DUMMYFUNCTION("if(S2343="""",C2343,if(not(iserror(index(split(C2343, "" ""),3))), index(split(C2343, "" ""),3),index(split(C2343, "" ""),2)))"),2019.0)</f>
        <v>2019</v>
      </c>
      <c r="U2343" s="38" t="b">
        <f t="shared" si="357"/>
        <v>0</v>
      </c>
      <c r="V2343" s="78" t="s">
        <v>33</v>
      </c>
      <c r="W2343" s="46" t="s">
        <v>6352</v>
      </c>
      <c r="X2343" s="46" t="s">
        <v>6353</v>
      </c>
      <c r="Y2343" s="102"/>
    </row>
    <row r="2344">
      <c r="A2344" s="284" t="s">
        <v>6354</v>
      </c>
      <c r="B2344" s="248"/>
      <c r="C2344" s="99">
        <v>43528.0</v>
      </c>
      <c r="E2344" s="78" t="s">
        <v>41</v>
      </c>
      <c r="F2344" s="37">
        <v>1.0</v>
      </c>
      <c r="G2344" s="78" t="s">
        <v>32</v>
      </c>
      <c r="H2344" s="78">
        <v>1.0</v>
      </c>
      <c r="I2344" s="78" t="s">
        <v>1488</v>
      </c>
      <c r="J2344" s="78" t="s">
        <v>106</v>
      </c>
      <c r="L2344" s="78" t="s">
        <v>69</v>
      </c>
      <c r="M2344" s="106" t="s">
        <v>6355</v>
      </c>
      <c r="N2344" s="102"/>
      <c r="O2344" s="160" t="str">
        <f>hyperlink("https://bad-boys.us/?q=D-MD/8:19-cr-00089", "D-MD 8:19-cr-00089")</f>
        <v>D-MD 8:19-cr-00089</v>
      </c>
      <c r="Q2344" s="37">
        <v>1.0</v>
      </c>
      <c r="S2344" s="37" t="str">
        <f>IFERROR(__xludf.DUMMYFUNCTION("if(not(iserror(index(split(C2344, "" ""),2))), index(split(C2344, "" ""),1),"""")"),"March")</f>
        <v>March</v>
      </c>
      <c r="T2344" s="38">
        <f>IFERROR(__xludf.DUMMYFUNCTION("if(S2344="""",C2344,if(not(iserror(index(split(C2344, "" ""),3))), index(split(C2344, "" ""),3),index(split(C2344, "" ""),2)))"),2019.0)</f>
        <v>2019</v>
      </c>
      <c r="U2344" s="38" t="b">
        <f t="shared" si="357"/>
        <v>0</v>
      </c>
      <c r="V2344" s="78" t="s">
        <v>33</v>
      </c>
      <c r="W2344" s="102"/>
      <c r="X2344" s="102"/>
      <c r="Y2344" s="102"/>
    </row>
    <row r="2345">
      <c r="A2345" s="284" t="s">
        <v>6356</v>
      </c>
      <c r="B2345" s="248"/>
      <c r="C2345" s="99">
        <v>43529.0</v>
      </c>
      <c r="E2345" s="78" t="s">
        <v>41</v>
      </c>
      <c r="F2345" s="37">
        <v>1.0</v>
      </c>
      <c r="G2345" s="78" t="s">
        <v>32</v>
      </c>
      <c r="H2345" s="78">
        <v>1.0</v>
      </c>
      <c r="I2345" s="78" t="s">
        <v>33</v>
      </c>
      <c r="J2345" s="78" t="s">
        <v>47</v>
      </c>
      <c r="L2345" s="78" t="s">
        <v>119</v>
      </c>
      <c r="M2345" s="46" t="s">
        <v>6357</v>
      </c>
      <c r="N2345" s="102"/>
      <c r="O2345" s="160" t="str">
        <f>hyperlink("https://bad-boys.us/?q=MD-FL/8:19-cr-00093", "MD-FL 8:19-cr-00093")</f>
        <v>MD-FL 8:19-cr-00093</v>
      </c>
      <c r="P2345" s="103" t="s">
        <v>6358</v>
      </c>
      <c r="Q2345" s="37">
        <v>1.0</v>
      </c>
      <c r="S2345" s="37"/>
      <c r="T2345" s="38"/>
      <c r="U2345" s="38" t="b">
        <f t="shared" si="357"/>
        <v>0</v>
      </c>
      <c r="V2345" s="78" t="s">
        <v>33</v>
      </c>
      <c r="W2345" s="102"/>
      <c r="X2345" s="102"/>
      <c r="Y2345" s="102"/>
    </row>
    <row r="2346">
      <c r="A2346" s="284" t="s">
        <v>6359</v>
      </c>
      <c r="B2346" s="248"/>
      <c r="C2346" s="99">
        <v>43530.0</v>
      </c>
      <c r="E2346" s="78" t="s">
        <v>41</v>
      </c>
      <c r="F2346" s="37">
        <v>1.0</v>
      </c>
      <c r="G2346" s="78" t="s">
        <v>32</v>
      </c>
      <c r="H2346" s="78">
        <v>1.0</v>
      </c>
      <c r="I2346" s="78" t="s">
        <v>33</v>
      </c>
      <c r="J2346" s="78" t="s">
        <v>47</v>
      </c>
      <c r="L2346" s="78" t="s">
        <v>69</v>
      </c>
      <c r="M2346" s="46" t="s">
        <v>6360</v>
      </c>
      <c r="N2346" s="102"/>
      <c r="O2346" s="160" t="str">
        <f>hyperlink("https://bad-boys.us/?q=MD-FL/3:19-cr-00040", "MD-FL 3:19-cr-00040")</f>
        <v>MD-FL 3:19-cr-00040</v>
      </c>
      <c r="P2346" s="103" t="s">
        <v>6361</v>
      </c>
      <c r="Q2346" s="37">
        <v>1.0</v>
      </c>
      <c r="S2346" s="37" t="str">
        <f>IFERROR(__xludf.DUMMYFUNCTION("if(not(iserror(index(split(C2346, "" ""),2))), index(split(C2346, "" ""),1),"""")"),"March")</f>
        <v>March</v>
      </c>
      <c r="T2346" s="38">
        <f>IFERROR(__xludf.DUMMYFUNCTION("if(S2346="""",C2346,if(not(iserror(index(split(C2346, "" ""),3))), index(split(C2346, "" ""),3),index(split(C2346, "" ""),2)))"),2019.0)</f>
        <v>2019</v>
      </c>
      <c r="U2346" s="38" t="b">
        <f t="shared" si="357"/>
        <v>0</v>
      </c>
      <c r="V2346" s="78" t="s">
        <v>33</v>
      </c>
      <c r="W2346" s="102"/>
      <c r="X2346" s="102"/>
      <c r="Y2346" s="102"/>
    </row>
    <row r="2347">
      <c r="A2347" s="284" t="s">
        <v>6362</v>
      </c>
      <c r="B2347" s="248"/>
      <c r="C2347" s="99">
        <v>43530.0</v>
      </c>
      <c r="E2347" s="78" t="s">
        <v>41</v>
      </c>
      <c r="F2347" s="37">
        <v>1.0</v>
      </c>
      <c r="G2347" s="78" t="s">
        <v>32</v>
      </c>
      <c r="H2347" s="78">
        <v>1.0</v>
      </c>
      <c r="I2347" s="78" t="s">
        <v>33</v>
      </c>
      <c r="J2347" s="78" t="s">
        <v>318</v>
      </c>
      <c r="L2347" s="78" t="s">
        <v>646</v>
      </c>
      <c r="M2347" s="46" t="s">
        <v>6363</v>
      </c>
      <c r="N2347" s="102"/>
      <c r="O2347" s="160" t="str">
        <f>hyperlink("https://bad-boys.us/?q=WD-WA/3:19-cr-05148", "WD-WA 3:19-cr-05148")</f>
        <v>WD-WA 3:19-cr-05148</v>
      </c>
      <c r="P2347" s="103" t="s">
        <v>6364</v>
      </c>
      <c r="Q2347" s="37">
        <v>1.0</v>
      </c>
      <c r="S2347" s="37" t="str">
        <f>IFERROR(__xludf.DUMMYFUNCTION("if(not(iserror(index(split(C2347, "" ""),2))), index(split(C2347, "" ""),1),"""")"),"March")</f>
        <v>March</v>
      </c>
      <c r="T2347" s="38">
        <f>IFERROR(__xludf.DUMMYFUNCTION("if(S2347="""",C2347,if(not(iserror(index(split(C2347, "" ""),3))), index(split(C2347, "" ""),3),index(split(C2347, "" ""),2)))"),2019.0)</f>
        <v>2019</v>
      </c>
      <c r="U2347" s="38" t="b">
        <f t="shared" si="357"/>
        <v>0</v>
      </c>
      <c r="V2347" s="78" t="s">
        <v>33</v>
      </c>
      <c r="W2347" s="102"/>
      <c r="X2347" s="102"/>
      <c r="Y2347" s="102"/>
    </row>
    <row r="2348">
      <c r="A2348" s="284" t="s">
        <v>6365</v>
      </c>
      <c r="B2348" s="248"/>
      <c r="C2348" s="99">
        <v>43530.0</v>
      </c>
      <c r="E2348" s="78" t="s">
        <v>41</v>
      </c>
      <c r="F2348" s="37">
        <v>1.0</v>
      </c>
      <c r="G2348" s="78" t="s">
        <v>32</v>
      </c>
      <c r="H2348" s="78">
        <v>1.0</v>
      </c>
      <c r="I2348" s="78" t="s">
        <v>33</v>
      </c>
      <c r="J2348" s="78" t="s">
        <v>47</v>
      </c>
      <c r="L2348" s="78" t="s">
        <v>119</v>
      </c>
      <c r="M2348" s="106" t="s">
        <v>6366</v>
      </c>
      <c r="N2348" s="102"/>
      <c r="O2348" s="160" t="str">
        <f>hyperlink("https://bad-boys.us/?q=MD-FL/6:19-cr-00047", "MD-FL 6:19-cr-00047")</f>
        <v>MD-FL 6:19-cr-00047</v>
      </c>
      <c r="P2348" s="103" t="s">
        <v>6367</v>
      </c>
      <c r="Q2348" s="37">
        <v>1.0</v>
      </c>
      <c r="S2348" s="37" t="str">
        <f>IFERROR(__xludf.DUMMYFUNCTION("if(not(iserror(index(split(C2348, "" ""),2))), index(split(C2348, "" ""),1),"""")"),"March")</f>
        <v>March</v>
      </c>
      <c r="T2348" s="38">
        <f>IFERROR(__xludf.DUMMYFUNCTION("if(S2348="""",C2348,if(not(iserror(index(split(C2348, "" ""),3))), index(split(C2348, "" ""),3),index(split(C2348, "" ""),2)))"),2019.0)</f>
        <v>2019</v>
      </c>
      <c r="U2348" s="38" t="b">
        <f t="shared" si="357"/>
        <v>0</v>
      </c>
      <c r="V2348" s="78" t="s">
        <v>33</v>
      </c>
      <c r="W2348" s="102"/>
      <c r="X2348" s="102"/>
      <c r="Y2348" s="102"/>
    </row>
    <row r="2349">
      <c r="A2349" s="284" t="s">
        <v>6368</v>
      </c>
      <c r="B2349" s="248"/>
      <c r="C2349" s="99">
        <v>43531.0</v>
      </c>
      <c r="E2349" s="78" t="s">
        <v>41</v>
      </c>
      <c r="F2349" s="37">
        <v>1.0</v>
      </c>
      <c r="G2349" s="37">
        <v>5.0</v>
      </c>
      <c r="H2349" s="78">
        <v>5.0</v>
      </c>
      <c r="I2349" s="78" t="s">
        <v>33</v>
      </c>
      <c r="J2349" s="78" t="s">
        <v>85</v>
      </c>
      <c r="L2349" s="78" t="s">
        <v>76</v>
      </c>
      <c r="M2349" s="46" t="s">
        <v>6369</v>
      </c>
      <c r="N2349" s="102"/>
      <c r="O2349" s="160" t="str">
        <f>hyperlink("https://bad-boys.us/?q=ND-AL/5:19-cr-00073", "ND-AL 5:19-cr-00073")</f>
        <v>ND-AL 5:19-cr-00073</v>
      </c>
      <c r="Q2349" s="37">
        <v>1.0</v>
      </c>
      <c r="S2349" s="37" t="str">
        <f>IFERROR(__xludf.DUMMYFUNCTION("if(not(iserror(index(split(C2349, "" ""),2))), index(split(C2349, "" ""),1),"""")"),"March")</f>
        <v>March</v>
      </c>
      <c r="T2349" s="38">
        <f>IFERROR(__xludf.DUMMYFUNCTION("if(S2349="""",C2349,if(not(iserror(index(split(C2349, "" ""),3))), index(split(C2349, "" ""),3),index(split(C2349, "" ""),2)))"),2019.0)</f>
        <v>2019</v>
      </c>
      <c r="U2349" s="38" t="b">
        <f t="shared" si="357"/>
        <v>0</v>
      </c>
      <c r="V2349" s="78" t="s">
        <v>33</v>
      </c>
      <c r="W2349" s="102"/>
      <c r="X2349" s="102"/>
      <c r="Y2349" s="102"/>
    </row>
    <row r="2350">
      <c r="A2350" s="284" t="s">
        <v>239</v>
      </c>
      <c r="B2350" s="248"/>
      <c r="C2350" s="99">
        <v>43531.0</v>
      </c>
      <c r="E2350" s="78" t="s">
        <v>41</v>
      </c>
      <c r="F2350" s="37">
        <v>4.0</v>
      </c>
      <c r="G2350" s="37">
        <v>2.0</v>
      </c>
      <c r="H2350" s="78">
        <v>2.0</v>
      </c>
      <c r="I2350" s="78" t="s">
        <v>33</v>
      </c>
      <c r="J2350" s="78" t="s">
        <v>93</v>
      </c>
      <c r="L2350" s="78" t="s">
        <v>194</v>
      </c>
      <c r="M2350" s="46" t="s">
        <v>6370</v>
      </c>
      <c r="N2350" s="102"/>
      <c r="Q2350" s="37"/>
      <c r="S2350" s="37" t="str">
        <f>IFERROR(__xludf.DUMMYFUNCTION("if(not(iserror(index(split(C2350, "" ""),2))), index(split(C2350, "" ""),1),"""")"),"March")</f>
        <v>March</v>
      </c>
      <c r="T2350" s="38">
        <f>IFERROR(__xludf.DUMMYFUNCTION("if(S2350="""",C2350,if(not(iserror(index(split(C2350, "" ""),3))), index(split(C2350, "" ""),3),index(split(C2350, "" ""),2)))"),2019.0)</f>
        <v>2019</v>
      </c>
      <c r="U2350" s="38" t="b">
        <f t="shared" si="357"/>
        <v>1</v>
      </c>
      <c r="V2350" s="78" t="s">
        <v>33</v>
      </c>
      <c r="W2350" s="102"/>
      <c r="X2350" s="102"/>
      <c r="Y2350" s="102"/>
    </row>
    <row r="2351">
      <c r="A2351" s="284" t="s">
        <v>6371</v>
      </c>
      <c r="B2351" s="248"/>
      <c r="C2351" s="99">
        <v>43531.0</v>
      </c>
      <c r="E2351" s="78" t="s">
        <v>41</v>
      </c>
      <c r="F2351" s="37">
        <v>1.0</v>
      </c>
      <c r="G2351" s="37" t="s">
        <v>32</v>
      </c>
      <c r="H2351" s="78">
        <v>1.0</v>
      </c>
      <c r="I2351" s="78" t="s">
        <v>33</v>
      </c>
      <c r="J2351" s="78" t="s">
        <v>460</v>
      </c>
      <c r="L2351" s="78" t="s">
        <v>119</v>
      </c>
      <c r="M2351" s="46" t="s">
        <v>6372</v>
      </c>
      <c r="N2351" s="102"/>
      <c r="Q2351" s="37"/>
      <c r="S2351" s="37"/>
      <c r="T2351" s="38"/>
      <c r="U2351" s="38"/>
      <c r="V2351" s="78" t="s">
        <v>33</v>
      </c>
      <c r="W2351" s="102"/>
      <c r="X2351" s="102"/>
      <c r="Y2351" s="102"/>
    </row>
    <row r="2352">
      <c r="A2352" s="284" t="s">
        <v>6373</v>
      </c>
      <c r="B2352" s="248"/>
      <c r="C2352" s="99">
        <v>43531.0</v>
      </c>
      <c r="E2352" s="78" t="s">
        <v>41</v>
      </c>
      <c r="F2352" s="37">
        <v>1.0</v>
      </c>
      <c r="G2352" s="37" t="s">
        <v>32</v>
      </c>
      <c r="H2352" s="78">
        <v>1.0</v>
      </c>
      <c r="I2352" s="78" t="s">
        <v>33</v>
      </c>
      <c r="J2352" s="78" t="s">
        <v>98</v>
      </c>
      <c r="L2352" s="78" t="s">
        <v>119</v>
      </c>
      <c r="M2352" s="46" t="s">
        <v>6374</v>
      </c>
      <c r="N2352" s="102"/>
      <c r="Q2352" s="37"/>
      <c r="S2352" s="37" t="str">
        <f>IFERROR(__xludf.DUMMYFUNCTION("if(not(iserror(index(split(C2352, "" ""),2))), index(split(C2352, "" ""),1),"""")"),"March")</f>
        <v>March</v>
      </c>
      <c r="T2352" s="38">
        <f>IFERROR(__xludf.DUMMYFUNCTION("if(S2352="""",C2352,if(not(iserror(index(split(C2352, "" ""),3))), index(split(C2352, "" ""),3),index(split(C2352, "" ""),2)))"),2019.0)</f>
        <v>2019</v>
      </c>
      <c r="U2352" s="38" t="b">
        <f t="shared" ref="U2352:U2353" si="358">countif(A$4:A4658, A2352)&gt;1</f>
        <v>0</v>
      </c>
      <c r="V2352" s="78" t="s">
        <v>33</v>
      </c>
      <c r="W2352" s="102"/>
      <c r="X2352" s="102"/>
      <c r="Y2352" s="102"/>
    </row>
    <row r="2353">
      <c r="A2353" s="284" t="s">
        <v>239</v>
      </c>
      <c r="B2353" s="248"/>
      <c r="C2353" s="99">
        <v>43532.0</v>
      </c>
      <c r="E2353" s="78" t="s">
        <v>41</v>
      </c>
      <c r="F2353" s="37">
        <v>1.0</v>
      </c>
      <c r="G2353" s="37">
        <v>3.0</v>
      </c>
      <c r="H2353" s="78">
        <v>3.0</v>
      </c>
      <c r="I2353" s="78" t="s">
        <v>33</v>
      </c>
      <c r="J2353" s="78" t="s">
        <v>241</v>
      </c>
      <c r="L2353" s="78" t="s">
        <v>194</v>
      </c>
      <c r="M2353" s="46" t="s">
        <v>6375</v>
      </c>
      <c r="N2353" s="102"/>
      <c r="Q2353" s="37"/>
      <c r="S2353" s="37" t="str">
        <f>IFERROR(__xludf.DUMMYFUNCTION("if(not(iserror(index(split(C2353, "" ""),2))), index(split(C2353, "" ""),1),"""")"),"March")</f>
        <v>March</v>
      </c>
      <c r="T2353" s="38">
        <f>IFERROR(__xludf.DUMMYFUNCTION("if(S2353="""",C2353,if(not(iserror(index(split(C2353, "" ""),3))), index(split(C2353, "" ""),3),index(split(C2353, "" ""),2)))"),2019.0)</f>
        <v>2019</v>
      </c>
      <c r="U2353" s="38" t="b">
        <f t="shared" si="358"/>
        <v>1</v>
      </c>
      <c r="V2353" s="78" t="s">
        <v>33</v>
      </c>
      <c r="W2353" s="102"/>
      <c r="X2353" s="102"/>
      <c r="Y2353" s="102"/>
    </row>
    <row r="2354">
      <c r="A2354" s="284" t="s">
        <v>6376</v>
      </c>
      <c r="B2354" s="248"/>
      <c r="C2354" s="99">
        <v>43532.0</v>
      </c>
      <c r="E2354" s="78" t="s">
        <v>41</v>
      </c>
      <c r="F2354" s="37">
        <v>1.0</v>
      </c>
      <c r="G2354" s="37" t="s">
        <v>32</v>
      </c>
      <c r="H2354" s="78">
        <v>1.0</v>
      </c>
      <c r="I2354" s="78" t="s">
        <v>33</v>
      </c>
      <c r="J2354" s="78" t="s">
        <v>440</v>
      </c>
      <c r="L2354" s="285" t="s">
        <v>69</v>
      </c>
      <c r="M2354" s="46" t="s">
        <v>6377</v>
      </c>
      <c r="N2354" s="102"/>
      <c r="Q2354" s="37">
        <v>1.0</v>
      </c>
      <c r="S2354" s="37"/>
      <c r="T2354" s="38"/>
      <c r="U2354" s="38"/>
      <c r="V2354" s="78" t="s">
        <v>33</v>
      </c>
      <c r="W2354" s="102"/>
      <c r="X2354" s="102"/>
      <c r="Y2354" s="102"/>
    </row>
    <row r="2355">
      <c r="A2355" s="284" t="s">
        <v>6378</v>
      </c>
      <c r="B2355" s="248"/>
      <c r="C2355" s="99">
        <v>43533.0</v>
      </c>
      <c r="E2355" s="78" t="s">
        <v>31</v>
      </c>
      <c r="F2355" s="37">
        <v>1.0</v>
      </c>
      <c r="G2355" s="37" t="s">
        <v>32</v>
      </c>
      <c r="H2355" s="78">
        <v>1.0</v>
      </c>
      <c r="I2355" s="78" t="s">
        <v>33</v>
      </c>
      <c r="J2355" s="78" t="s">
        <v>75</v>
      </c>
      <c r="L2355" s="78" t="s">
        <v>76</v>
      </c>
      <c r="M2355" s="106" t="s">
        <v>6379</v>
      </c>
      <c r="N2355" s="46" t="s">
        <v>6380</v>
      </c>
      <c r="Q2355" s="37"/>
      <c r="S2355" s="37" t="str">
        <f>IFERROR(__xludf.DUMMYFUNCTION("if(not(iserror(index(split(C2355, "" ""),2))), index(split(C2355, "" ""),1),"""")"),"March")</f>
        <v>March</v>
      </c>
      <c r="T2355" s="38">
        <f>IFERROR(__xludf.DUMMYFUNCTION("if(S2355="""",C2355,if(not(iserror(index(split(C2355, "" ""),3))), index(split(C2355, "" ""),3),index(split(C2355, "" ""),2)))"),2019.0)</f>
        <v>2019</v>
      </c>
      <c r="U2355" s="38" t="b">
        <f t="shared" ref="U2355:U2357" si="359">countif(A$4:A4658, A2355)&gt;1</f>
        <v>0</v>
      </c>
      <c r="V2355" s="78" t="s">
        <v>33</v>
      </c>
      <c r="W2355" s="46" t="s">
        <v>6381</v>
      </c>
      <c r="X2355" s="46" t="s">
        <v>6382</v>
      </c>
      <c r="Y2355" s="102"/>
    </row>
    <row r="2356">
      <c r="A2356" s="284" t="s">
        <v>6383</v>
      </c>
      <c r="B2356" s="248"/>
      <c r="C2356" s="99">
        <v>43533.0</v>
      </c>
      <c r="E2356" s="78" t="s">
        <v>31</v>
      </c>
      <c r="F2356" s="37">
        <v>1.0</v>
      </c>
      <c r="G2356" s="37" t="s">
        <v>32</v>
      </c>
      <c r="H2356" s="78">
        <v>1.0</v>
      </c>
      <c r="I2356" s="78" t="s">
        <v>33</v>
      </c>
      <c r="J2356" s="78" t="s">
        <v>75</v>
      </c>
      <c r="L2356" s="78" t="s">
        <v>76</v>
      </c>
      <c r="M2356" s="106" t="s">
        <v>6384</v>
      </c>
      <c r="N2356" s="106" t="s">
        <v>6380</v>
      </c>
      <c r="O2356" s="160" t="str">
        <f>hyperlink("https://bad-boys.us/?q=ED-KY/5:19-cr-00056", "ED-KY 5:19-cr-00056")</f>
        <v>ED-KY 5:19-cr-00056</v>
      </c>
      <c r="Q2356" s="37">
        <v>1.0</v>
      </c>
      <c r="S2356" s="37" t="str">
        <f>IFERROR(__xludf.DUMMYFUNCTION("if(not(iserror(index(split(C2356, "" ""),2))), index(split(C2356, "" ""),1),"""")"),"March")</f>
        <v>March</v>
      </c>
      <c r="T2356" s="38">
        <f>IFERROR(__xludf.DUMMYFUNCTION("if(S2356="""",C2356,if(not(iserror(index(split(C2356, "" ""),3))), index(split(C2356, "" ""),3),index(split(C2356, "" ""),2)))"),2019.0)</f>
        <v>2019</v>
      </c>
      <c r="U2356" s="38" t="b">
        <f t="shared" si="359"/>
        <v>0</v>
      </c>
      <c r="V2356" s="78" t="s">
        <v>33</v>
      </c>
      <c r="W2356" s="106" t="s">
        <v>6381</v>
      </c>
      <c r="X2356" s="46" t="s">
        <v>6385</v>
      </c>
      <c r="Y2356" s="102"/>
    </row>
    <row r="2357">
      <c r="A2357" s="284" t="s">
        <v>6386</v>
      </c>
      <c r="B2357" s="248"/>
      <c r="C2357" s="99">
        <v>43535.0</v>
      </c>
      <c r="E2357" s="78" t="s">
        <v>41</v>
      </c>
      <c r="F2357" s="37">
        <v>1.0</v>
      </c>
      <c r="G2357" s="37" t="s">
        <v>32</v>
      </c>
      <c r="H2357" s="78">
        <v>1.0</v>
      </c>
      <c r="I2357" s="78" t="s">
        <v>33</v>
      </c>
      <c r="J2357" s="78" t="s">
        <v>93</v>
      </c>
      <c r="L2357" s="285" t="s">
        <v>69</v>
      </c>
      <c r="M2357" s="46" t="s">
        <v>6387</v>
      </c>
      <c r="N2357" s="102"/>
      <c r="O2357" s="160" t="str">
        <f>hyperlink("https://bad-boys.us/?q=ND-NY/1:19-cr-00074", "ND-NY 1:19-cr-00074")</f>
        <v>ND-NY 1:19-cr-00074</v>
      </c>
      <c r="P2357" s="103" t="s">
        <v>6388</v>
      </c>
      <c r="Q2357" s="37">
        <v>1.0</v>
      </c>
      <c r="S2357" s="37"/>
      <c r="T2357" s="38"/>
      <c r="U2357" s="38" t="b">
        <f t="shared" si="359"/>
        <v>0</v>
      </c>
      <c r="V2357" s="78" t="s">
        <v>33</v>
      </c>
      <c r="W2357" s="102"/>
      <c r="X2357" s="102"/>
      <c r="Y2357" s="102"/>
    </row>
    <row r="2358">
      <c r="A2358" s="284" t="s">
        <v>6389</v>
      </c>
      <c r="B2358" s="248"/>
      <c r="C2358" s="99">
        <v>43535.0</v>
      </c>
      <c r="E2358" s="78" t="s">
        <v>41</v>
      </c>
      <c r="F2358" s="37">
        <v>1.0</v>
      </c>
      <c r="G2358" s="37" t="s">
        <v>32</v>
      </c>
      <c r="H2358" s="78">
        <v>1.0</v>
      </c>
      <c r="I2358" s="78" t="s">
        <v>33</v>
      </c>
      <c r="J2358" s="78" t="s">
        <v>132</v>
      </c>
      <c r="L2358" s="78" t="s">
        <v>119</v>
      </c>
      <c r="M2358" s="46" t="s">
        <v>6390</v>
      </c>
      <c r="N2358" s="102"/>
      <c r="Q2358" s="37"/>
      <c r="S2358" s="37"/>
      <c r="T2358" s="38"/>
      <c r="U2358" s="38"/>
      <c r="V2358" s="78" t="s">
        <v>33</v>
      </c>
      <c r="W2358" s="102"/>
      <c r="X2358" s="102"/>
      <c r="Y2358" s="102"/>
    </row>
    <row r="2359">
      <c r="A2359" s="284" t="s">
        <v>239</v>
      </c>
      <c r="B2359" s="248"/>
      <c r="C2359" s="99">
        <v>43535.0</v>
      </c>
      <c r="E2359" s="78" t="s">
        <v>41</v>
      </c>
      <c r="F2359" s="37">
        <v>1.0</v>
      </c>
      <c r="G2359" s="37">
        <v>3.0</v>
      </c>
      <c r="H2359" s="78">
        <v>3.0</v>
      </c>
      <c r="I2359" s="78" t="s">
        <v>33</v>
      </c>
      <c r="J2359" s="78" t="s">
        <v>241</v>
      </c>
      <c r="L2359" s="285" t="s">
        <v>69</v>
      </c>
      <c r="M2359" s="46" t="s">
        <v>6391</v>
      </c>
      <c r="N2359" s="102"/>
      <c r="Q2359" s="37"/>
      <c r="S2359" s="37" t="str">
        <f>IFERROR(__xludf.DUMMYFUNCTION("if(not(iserror(index(split(C2359, "" ""),2))), index(split(C2359, "" ""),1),"""")"),"March")</f>
        <v>March</v>
      </c>
      <c r="T2359" s="38">
        <f>IFERROR(__xludf.DUMMYFUNCTION("if(S2359="""",C2359,if(not(iserror(index(split(C2359, "" ""),3))), index(split(C2359, "" ""),3),index(split(C2359, "" ""),2)))"),2019.0)</f>
        <v>2019</v>
      </c>
      <c r="U2359" s="38" t="b">
        <f t="shared" ref="U2359:U2361" si="360">countif(A$4:A4658, A2359)&gt;1</f>
        <v>1</v>
      </c>
      <c r="V2359" s="78" t="s">
        <v>33</v>
      </c>
      <c r="W2359" s="102"/>
      <c r="X2359" s="102"/>
      <c r="Y2359" s="102"/>
    </row>
    <row r="2360">
      <c r="A2360" s="284" t="s">
        <v>6392</v>
      </c>
      <c r="B2360" s="248"/>
      <c r="C2360" s="99">
        <v>43535.0</v>
      </c>
      <c r="E2360" s="78" t="s">
        <v>41</v>
      </c>
      <c r="F2360" s="37">
        <v>1.0</v>
      </c>
      <c r="G2360" s="37" t="s">
        <v>32</v>
      </c>
      <c r="H2360" s="78">
        <v>45.0</v>
      </c>
      <c r="I2360" s="78" t="s">
        <v>33</v>
      </c>
      <c r="J2360" s="78" t="s">
        <v>410</v>
      </c>
      <c r="L2360" s="78" t="s">
        <v>119</v>
      </c>
      <c r="M2360" s="106" t="s">
        <v>6393</v>
      </c>
      <c r="N2360" s="102"/>
      <c r="Q2360" s="37"/>
      <c r="S2360" s="37" t="str">
        <f>IFERROR(__xludf.DUMMYFUNCTION("if(not(iserror(index(split(C2360, "" ""),2))), index(split(C2360, "" ""),1),"""")"),"March")</f>
        <v>March</v>
      </c>
      <c r="T2360" s="38">
        <f>IFERROR(__xludf.DUMMYFUNCTION("if(S2360="""",C2360,if(not(iserror(index(split(C2360, "" ""),3))), index(split(C2360, "" ""),3),index(split(C2360, "" ""),2)))"),2019.0)</f>
        <v>2019</v>
      </c>
      <c r="U2360" s="38" t="b">
        <f t="shared" si="360"/>
        <v>0</v>
      </c>
      <c r="V2360" s="78" t="s">
        <v>33</v>
      </c>
      <c r="W2360" s="102"/>
      <c r="X2360" s="102"/>
      <c r="Y2360" s="102"/>
    </row>
    <row r="2361">
      <c r="A2361" s="284" t="s">
        <v>6394</v>
      </c>
      <c r="B2361" s="248"/>
      <c r="C2361" s="99">
        <v>43536.0</v>
      </c>
      <c r="E2361" s="78" t="s">
        <v>41</v>
      </c>
      <c r="F2361" s="37">
        <v>1.0</v>
      </c>
      <c r="G2361" s="37" t="s">
        <v>32</v>
      </c>
      <c r="H2361" s="78">
        <v>1.0</v>
      </c>
      <c r="I2361" s="78" t="s">
        <v>33</v>
      </c>
      <c r="J2361" s="78" t="s">
        <v>55</v>
      </c>
      <c r="L2361" s="78" t="s">
        <v>69</v>
      </c>
      <c r="M2361" s="46" t="s">
        <v>2297</v>
      </c>
      <c r="N2361" s="106"/>
      <c r="Q2361" s="37"/>
      <c r="S2361" s="37" t="str">
        <f>IFERROR(__xludf.DUMMYFUNCTION("if(not(iserror(index(split(C2361, "" ""),2))), index(split(C2361, "" ""),1),"""")"),"March")</f>
        <v>March</v>
      </c>
      <c r="T2361" s="38">
        <f>IFERROR(__xludf.DUMMYFUNCTION("if(S2361="""",C2361,if(not(iserror(index(split(C2361, "" ""),3))), index(split(C2361, "" ""),3),index(split(C2361, "" ""),2)))"),2019.0)</f>
        <v>2019</v>
      </c>
      <c r="U2361" s="38" t="b">
        <f t="shared" si="360"/>
        <v>0</v>
      </c>
      <c r="V2361" s="78" t="s">
        <v>33</v>
      </c>
      <c r="W2361" s="106"/>
      <c r="X2361" s="106"/>
      <c r="Y2361" s="102"/>
    </row>
    <row r="2362">
      <c r="A2362" s="284" t="s">
        <v>6395</v>
      </c>
      <c r="B2362" s="248"/>
      <c r="C2362" s="99">
        <v>43536.0</v>
      </c>
      <c r="E2362" s="78" t="s">
        <v>41</v>
      </c>
      <c r="F2362" s="37">
        <v>1.0</v>
      </c>
      <c r="G2362" s="37" t="s">
        <v>32</v>
      </c>
      <c r="H2362" s="78">
        <v>1.0</v>
      </c>
      <c r="I2362" s="78" t="s">
        <v>33</v>
      </c>
      <c r="J2362" s="78" t="s">
        <v>203</v>
      </c>
      <c r="L2362" s="78" t="s">
        <v>5884</v>
      </c>
      <c r="M2362" s="46" t="s">
        <v>6396</v>
      </c>
      <c r="N2362" s="106"/>
      <c r="Q2362" s="37"/>
      <c r="S2362" s="37"/>
      <c r="T2362" s="38"/>
      <c r="U2362" s="38"/>
      <c r="V2362" s="78" t="s">
        <v>33</v>
      </c>
      <c r="W2362" s="106"/>
      <c r="X2362" s="106"/>
      <c r="Y2362" s="102"/>
    </row>
    <row r="2363">
      <c r="A2363" s="284" t="s">
        <v>6397</v>
      </c>
      <c r="B2363" s="248"/>
      <c r="C2363" s="99">
        <v>43536.0</v>
      </c>
      <c r="E2363" s="78" t="s">
        <v>41</v>
      </c>
      <c r="F2363" s="37">
        <v>1.0</v>
      </c>
      <c r="G2363" s="37" t="s">
        <v>32</v>
      </c>
      <c r="H2363" s="78">
        <v>2.0</v>
      </c>
      <c r="I2363" s="78" t="s">
        <v>33</v>
      </c>
      <c r="J2363" s="78" t="s">
        <v>106</v>
      </c>
      <c r="L2363" s="78" t="s">
        <v>76</v>
      </c>
      <c r="M2363" s="46" t="s">
        <v>6398</v>
      </c>
      <c r="N2363" s="106"/>
      <c r="Q2363" s="37">
        <v>1.0</v>
      </c>
      <c r="S2363" s="37"/>
      <c r="T2363" s="38"/>
      <c r="U2363" s="38"/>
      <c r="V2363" s="78" t="s">
        <v>33</v>
      </c>
      <c r="W2363" s="106"/>
      <c r="X2363" s="106"/>
      <c r="Y2363" s="102"/>
    </row>
    <row r="2364">
      <c r="A2364" s="284" t="s">
        <v>6399</v>
      </c>
      <c r="B2364" s="248"/>
      <c r="C2364" s="99">
        <v>43536.0</v>
      </c>
      <c r="E2364" s="78" t="s">
        <v>41</v>
      </c>
      <c r="F2364" s="37">
        <v>1.0</v>
      </c>
      <c r="G2364" s="37" t="s">
        <v>32</v>
      </c>
      <c r="H2364" s="78">
        <v>1.0</v>
      </c>
      <c r="I2364" s="78" t="s">
        <v>33</v>
      </c>
      <c r="J2364" s="78" t="s">
        <v>115</v>
      </c>
      <c r="L2364" s="78" t="s">
        <v>69</v>
      </c>
      <c r="M2364" s="46" t="s">
        <v>6400</v>
      </c>
      <c r="N2364" s="106"/>
      <c r="Q2364" s="37">
        <v>1.0</v>
      </c>
      <c r="S2364" s="37"/>
      <c r="T2364" s="38"/>
      <c r="U2364" s="38"/>
      <c r="V2364" s="78" t="s">
        <v>33</v>
      </c>
      <c r="W2364" s="106"/>
      <c r="X2364" s="106"/>
      <c r="Y2364" s="102"/>
    </row>
    <row r="2365">
      <c r="A2365" s="284" t="s">
        <v>6401</v>
      </c>
      <c r="B2365" s="248"/>
      <c r="C2365" s="99">
        <v>43536.0</v>
      </c>
      <c r="E2365" s="78" t="s">
        <v>41</v>
      </c>
      <c r="F2365" s="37">
        <v>1.0</v>
      </c>
      <c r="G2365" s="37" t="s">
        <v>32</v>
      </c>
      <c r="H2365" s="78">
        <v>1.0</v>
      </c>
      <c r="I2365" s="78" t="s">
        <v>33</v>
      </c>
      <c r="J2365" s="78" t="s">
        <v>93</v>
      </c>
      <c r="L2365" s="78" t="s">
        <v>69</v>
      </c>
      <c r="M2365" s="46" t="s">
        <v>6402</v>
      </c>
      <c r="N2365" s="106"/>
      <c r="O2365" s="160" t="str">
        <f>hyperlink("https://bad-boys.us/?q=ND-NY/1:19-mj-00147", "ND-NY 1:19-mj-00147")</f>
        <v>ND-NY 1:19-mj-00147</v>
      </c>
      <c r="P2365" s="103" t="s">
        <v>6403</v>
      </c>
      <c r="Q2365" s="37">
        <v>1.0</v>
      </c>
      <c r="S2365" s="37" t="str">
        <f>IFERROR(__xludf.DUMMYFUNCTION("if(not(iserror(index(split(C2365, "" ""),2))), index(split(C2365, "" ""),1),"""")"),"March")</f>
        <v>March</v>
      </c>
      <c r="T2365" s="38">
        <f>IFERROR(__xludf.DUMMYFUNCTION("if(S2365="""",C2365,if(not(iserror(index(split(C2365, "" ""),3))), index(split(C2365, "" ""),3),index(split(C2365, "" ""),2)))"),2019.0)</f>
        <v>2019</v>
      </c>
      <c r="U2365" s="38" t="b">
        <f t="shared" ref="U2365:U2387" si="361">countif(A$4:A4658, A2365)&gt;1</f>
        <v>0</v>
      </c>
      <c r="V2365" s="78" t="s">
        <v>33</v>
      </c>
      <c r="W2365" s="106"/>
      <c r="X2365" s="106"/>
      <c r="Y2365" s="102"/>
    </row>
    <row r="2366">
      <c r="A2366" s="284" t="s">
        <v>6404</v>
      </c>
      <c r="B2366" s="248"/>
      <c r="C2366" s="99">
        <v>43537.0</v>
      </c>
      <c r="E2366" s="78" t="s">
        <v>31</v>
      </c>
      <c r="F2366" s="37">
        <v>1.0</v>
      </c>
      <c r="G2366" s="37">
        <v>1.0</v>
      </c>
      <c r="H2366" s="78">
        <v>1.0</v>
      </c>
      <c r="I2366" s="78" t="s">
        <v>33</v>
      </c>
      <c r="J2366" s="78" t="s">
        <v>93</v>
      </c>
      <c r="L2366" s="78" t="s">
        <v>76</v>
      </c>
      <c r="M2366" s="106" t="s">
        <v>6405</v>
      </c>
      <c r="N2366" s="46" t="s">
        <v>6406</v>
      </c>
      <c r="O2366" s="160" t="str">
        <f>hyperlink("https://bad-boys.us/?q=WD-NY/6:19-mj-00559", "WD-NY 6:19-mj-00559")</f>
        <v>WD-NY 6:19-mj-00559</v>
      </c>
      <c r="Q2366" s="37">
        <v>1.0</v>
      </c>
      <c r="S2366" s="37" t="str">
        <f>IFERROR(__xludf.DUMMYFUNCTION("if(not(iserror(index(split(C2366, "" ""),2))), index(split(C2366, "" ""),1),"""")"),"March")</f>
        <v>March</v>
      </c>
      <c r="T2366" s="38">
        <f>IFERROR(__xludf.DUMMYFUNCTION("if(S2366="""",C2366,if(not(iserror(index(split(C2366, "" ""),3))), index(split(C2366, "" ""),3),index(split(C2366, "" ""),2)))"),2019.0)</f>
        <v>2019</v>
      </c>
      <c r="U2366" s="38" t="b">
        <f t="shared" si="361"/>
        <v>0</v>
      </c>
      <c r="V2366" s="78" t="s">
        <v>33</v>
      </c>
      <c r="W2366" s="46" t="s">
        <v>6407</v>
      </c>
      <c r="X2366" s="46" t="s">
        <v>6408</v>
      </c>
      <c r="Y2366" s="102"/>
    </row>
    <row r="2367">
      <c r="A2367" s="284" t="s">
        <v>6409</v>
      </c>
      <c r="B2367" s="248"/>
      <c r="C2367" s="99">
        <v>43537.0</v>
      </c>
      <c r="E2367" s="78" t="s">
        <v>31</v>
      </c>
      <c r="F2367" s="37">
        <v>1.0</v>
      </c>
      <c r="G2367" s="37" t="s">
        <v>32</v>
      </c>
      <c r="H2367" s="78">
        <v>1.0</v>
      </c>
      <c r="I2367" s="78" t="s">
        <v>33</v>
      </c>
      <c r="J2367" s="78" t="s">
        <v>504</v>
      </c>
      <c r="L2367" s="78" t="s">
        <v>119</v>
      </c>
      <c r="M2367" s="106" t="s">
        <v>6410</v>
      </c>
      <c r="N2367" s="106" t="s">
        <v>6411</v>
      </c>
      <c r="O2367" s="160" t="str">
        <f>hyperlink("https://bad-boys.us/?q=D-CO/1:19-cr-00150", "D-CO 1:19-cr-00150")</f>
        <v>D-CO 1:19-cr-00150</v>
      </c>
      <c r="P2367" s="103" t="s">
        <v>6412</v>
      </c>
      <c r="Q2367" s="37">
        <v>1.0</v>
      </c>
      <c r="S2367" s="37" t="str">
        <f>IFERROR(__xludf.DUMMYFUNCTION("if(not(iserror(index(split(C2367, "" ""),2))), index(split(C2367, "" ""),1),"""")"),"March")</f>
        <v>March</v>
      </c>
      <c r="T2367" s="38">
        <f>IFERROR(__xludf.DUMMYFUNCTION("if(S2367="""",C2367,if(not(iserror(index(split(C2367, "" ""),3))), index(split(C2367, "" ""),3),index(split(C2367, "" ""),2)))"),2019.0)</f>
        <v>2019</v>
      </c>
      <c r="U2367" s="38" t="b">
        <f t="shared" si="361"/>
        <v>0</v>
      </c>
      <c r="V2367" s="78" t="s">
        <v>33</v>
      </c>
      <c r="W2367" s="46" t="s">
        <v>6413</v>
      </c>
      <c r="X2367" s="46" t="s">
        <v>6414</v>
      </c>
      <c r="Y2367" s="102"/>
    </row>
    <row r="2368">
      <c r="A2368" s="284" t="s">
        <v>6415</v>
      </c>
      <c r="B2368" s="248"/>
      <c r="C2368" s="99">
        <v>43537.0</v>
      </c>
      <c r="E2368" s="78" t="s">
        <v>41</v>
      </c>
      <c r="F2368" s="37">
        <v>1.0</v>
      </c>
      <c r="G2368" s="37" t="s">
        <v>32</v>
      </c>
      <c r="H2368" s="78">
        <v>1.0</v>
      </c>
      <c r="I2368" s="78" t="s">
        <v>33</v>
      </c>
      <c r="J2368" s="78" t="s">
        <v>115</v>
      </c>
      <c r="L2368" s="78" t="s">
        <v>76</v>
      </c>
      <c r="M2368" s="106" t="s">
        <v>6416</v>
      </c>
      <c r="N2368" s="106"/>
      <c r="O2368" s="160" t="str">
        <f>hyperlink("https://bad-boys.us/?q=WD-PA/1:19-cr-00011", "WD-PA 1:19-cr-00011")</f>
        <v>WD-PA 1:19-cr-00011</v>
      </c>
      <c r="P2368" s="103" t="s">
        <v>6417</v>
      </c>
      <c r="Q2368" s="37">
        <v>1.0</v>
      </c>
      <c r="S2368" s="37" t="str">
        <f>IFERROR(__xludf.DUMMYFUNCTION("if(not(iserror(index(split(C2368, "" ""),2))), index(split(C2368, "" ""),1),"""")"),"March")</f>
        <v>March</v>
      </c>
      <c r="T2368" s="38">
        <f>IFERROR(__xludf.DUMMYFUNCTION("if(S2368="""",C2368,if(not(iserror(index(split(C2368, "" ""),3))), index(split(C2368, "" ""),3),index(split(C2368, "" ""),2)))"),2019.0)</f>
        <v>2019</v>
      </c>
      <c r="U2368" s="38" t="b">
        <f t="shared" si="361"/>
        <v>0</v>
      </c>
      <c r="V2368" s="78" t="s">
        <v>33</v>
      </c>
      <c r="W2368" s="106"/>
      <c r="X2368" s="106"/>
      <c r="Y2368" s="102"/>
    </row>
    <row r="2369">
      <c r="A2369" s="284" t="s">
        <v>6418</v>
      </c>
      <c r="B2369" s="248"/>
      <c r="C2369" s="99">
        <v>43537.0</v>
      </c>
      <c r="E2369" s="78" t="s">
        <v>41</v>
      </c>
      <c r="F2369" s="37">
        <v>1.0</v>
      </c>
      <c r="G2369" s="37" t="s">
        <v>32</v>
      </c>
      <c r="H2369" s="78">
        <v>1.0</v>
      </c>
      <c r="I2369" s="78" t="s">
        <v>33</v>
      </c>
      <c r="J2369" s="78" t="s">
        <v>55</v>
      </c>
      <c r="L2369" s="78" t="s">
        <v>69</v>
      </c>
      <c r="M2369" s="46" t="s">
        <v>6419</v>
      </c>
      <c r="N2369" s="106"/>
      <c r="O2369" s="160" t="str">
        <f>hyperlink("https://bad-boys.us/?q=D-NJ/2:19-mj-03106", "D-NJ 2:19-mj-03106")</f>
        <v>D-NJ 2:19-mj-03106</v>
      </c>
      <c r="Q2369" s="37">
        <v>1.0</v>
      </c>
      <c r="S2369" s="37" t="str">
        <f>IFERROR(__xludf.DUMMYFUNCTION("if(not(iserror(index(split(C2369, "" ""),2))), index(split(C2369, "" ""),1),"""")"),"March")</f>
        <v>March</v>
      </c>
      <c r="T2369" s="38">
        <f>IFERROR(__xludf.DUMMYFUNCTION("if(S2369="""",C2369,if(not(iserror(index(split(C2369, "" ""),3))), index(split(C2369, "" ""),3),index(split(C2369, "" ""),2)))"),2019.0)</f>
        <v>2019</v>
      </c>
      <c r="U2369" s="38" t="b">
        <f t="shared" si="361"/>
        <v>0</v>
      </c>
      <c r="V2369" s="78" t="s">
        <v>33</v>
      </c>
      <c r="W2369" s="106"/>
      <c r="X2369" s="106"/>
      <c r="Y2369" s="102"/>
    </row>
    <row r="2370">
      <c r="A2370" s="284" t="s">
        <v>6420</v>
      </c>
      <c r="B2370" s="248"/>
      <c r="C2370" s="99">
        <v>43538.0</v>
      </c>
      <c r="E2370" s="78" t="s">
        <v>6236</v>
      </c>
      <c r="F2370" s="37">
        <v>1.0</v>
      </c>
      <c r="G2370" s="37" t="s">
        <v>32</v>
      </c>
      <c r="H2370" s="78">
        <v>1.0</v>
      </c>
      <c r="I2370" s="78" t="s">
        <v>33</v>
      </c>
      <c r="J2370" s="78" t="s">
        <v>93</v>
      </c>
      <c r="L2370" s="78" t="s">
        <v>119</v>
      </c>
      <c r="M2370" s="106" t="s">
        <v>6421</v>
      </c>
      <c r="N2370" s="106"/>
      <c r="O2370" s="160" t="str">
        <f>hyperlink("https://bad-boys.us/?q=ND-NY/5:19-mj-00150", "ND-NY 5:19-mj-00150")</f>
        <v>ND-NY 5:19-mj-00150</v>
      </c>
      <c r="P2370" s="103" t="s">
        <v>6422</v>
      </c>
      <c r="Q2370" s="37">
        <v>1.0</v>
      </c>
      <c r="S2370" s="37" t="str">
        <f>IFERROR(__xludf.DUMMYFUNCTION("if(not(iserror(index(split(C2370, "" ""),2))), index(split(C2370, "" ""),1),"""")"),"March")</f>
        <v>March</v>
      </c>
      <c r="T2370" s="38">
        <f>IFERROR(__xludf.DUMMYFUNCTION("if(S2370="""",C2370,if(not(iserror(index(split(C2370, "" ""),3))), index(split(C2370, "" ""),3),index(split(C2370, "" ""),2)))"),2019.0)</f>
        <v>2019</v>
      </c>
      <c r="U2370" s="38" t="b">
        <f t="shared" si="361"/>
        <v>0</v>
      </c>
      <c r="V2370" s="78" t="s">
        <v>3919</v>
      </c>
      <c r="W2370" s="106"/>
      <c r="X2370" s="106"/>
      <c r="Y2370" s="102"/>
    </row>
    <row r="2371">
      <c r="A2371" s="284" t="s">
        <v>6423</v>
      </c>
      <c r="B2371" s="248"/>
      <c r="C2371" s="99">
        <v>43538.0</v>
      </c>
      <c r="E2371" s="78" t="s">
        <v>41</v>
      </c>
      <c r="F2371" s="37">
        <v>1.0</v>
      </c>
      <c r="G2371" s="37" t="s">
        <v>32</v>
      </c>
      <c r="H2371" s="78">
        <v>1.0</v>
      </c>
      <c r="I2371" s="78" t="s">
        <v>33</v>
      </c>
      <c r="J2371" s="78" t="s">
        <v>93</v>
      </c>
      <c r="L2371" s="78" t="s">
        <v>76</v>
      </c>
      <c r="M2371" s="46" t="s">
        <v>6424</v>
      </c>
      <c r="N2371" s="106"/>
      <c r="O2371" s="160" t="str">
        <f>hyperlink("https://bad-boys.us/?q=WD-NY/1:19-mr-00106", "WD-NY 1:19-mr-00106")</f>
        <v>WD-NY 1:19-mr-00106</v>
      </c>
      <c r="Q2371" s="37">
        <v>1.0</v>
      </c>
      <c r="S2371" s="37" t="str">
        <f>IFERROR(__xludf.DUMMYFUNCTION("if(not(iserror(index(split(C2371, "" ""),2))), index(split(C2371, "" ""),1),"""")"),"March")</f>
        <v>March</v>
      </c>
      <c r="T2371" s="38">
        <f>IFERROR(__xludf.DUMMYFUNCTION("if(S2371="""",C2371,if(not(iserror(index(split(C2371, "" ""),3))), index(split(C2371, "" ""),3),index(split(C2371, "" ""),2)))"),2019.0)</f>
        <v>2019</v>
      </c>
      <c r="U2371" s="38" t="b">
        <f t="shared" si="361"/>
        <v>1</v>
      </c>
      <c r="V2371" s="78" t="s">
        <v>33</v>
      </c>
      <c r="W2371" s="106"/>
      <c r="X2371" s="106"/>
      <c r="Y2371" s="102"/>
    </row>
    <row r="2372">
      <c r="A2372" s="87" t="s">
        <v>6425</v>
      </c>
      <c r="B2372" s="248"/>
      <c r="C2372" s="99">
        <v>43538.0</v>
      </c>
      <c r="E2372" s="78" t="s">
        <v>31</v>
      </c>
      <c r="F2372" s="37">
        <v>2.0</v>
      </c>
      <c r="G2372" s="37" t="s">
        <v>32</v>
      </c>
      <c r="H2372" s="78">
        <v>1.0</v>
      </c>
      <c r="I2372" s="78" t="s">
        <v>33</v>
      </c>
      <c r="J2372" s="78" t="s">
        <v>124</v>
      </c>
      <c r="L2372" s="78" t="s">
        <v>76</v>
      </c>
      <c r="M2372" s="46" t="s">
        <v>6426</v>
      </c>
      <c r="N2372" s="106"/>
      <c r="O2372" s="160" t="str">
        <f>hyperlink("https://bad-boys.us/?q=ND-OH/4:19-cr-00151", "ND-OH 4:19-cr-00151")</f>
        <v>ND-OH 4:19-cr-00151</v>
      </c>
      <c r="P2372" s="103" t="s">
        <v>6427</v>
      </c>
      <c r="Q2372" s="37">
        <v>1.0</v>
      </c>
      <c r="S2372" s="37" t="str">
        <f>IFERROR(__xludf.DUMMYFUNCTION("if(not(iserror(index(split(C2372, "" ""),2))), index(split(C2372, "" ""),1),"""")"),"March")</f>
        <v>March</v>
      </c>
      <c r="T2372" s="38">
        <f>IFERROR(__xludf.DUMMYFUNCTION("if(S2372="""",C2372,if(not(iserror(index(split(C2372, "" ""),3))), index(split(C2372, "" ""),3),index(split(C2372, "" ""),2)))"),2019.0)</f>
        <v>2019</v>
      </c>
      <c r="U2372" s="38" t="b">
        <f t="shared" si="361"/>
        <v>0</v>
      </c>
      <c r="V2372" s="78" t="s">
        <v>33</v>
      </c>
      <c r="W2372" s="46" t="s">
        <v>6428</v>
      </c>
      <c r="X2372" s="46" t="s">
        <v>6429</v>
      </c>
      <c r="Y2372" s="102"/>
    </row>
    <row r="2373">
      <c r="A2373" s="286" t="s">
        <v>6430</v>
      </c>
      <c r="B2373" s="248"/>
      <c r="C2373" s="99">
        <v>43538.0</v>
      </c>
      <c r="E2373" s="78" t="s">
        <v>41</v>
      </c>
      <c r="F2373" s="37">
        <v>1.0</v>
      </c>
      <c r="G2373" s="37" t="s">
        <v>32</v>
      </c>
      <c r="H2373" s="78">
        <v>1.0</v>
      </c>
      <c r="I2373" s="78" t="s">
        <v>33</v>
      </c>
      <c r="J2373" s="78" t="s">
        <v>410</v>
      </c>
      <c r="L2373" s="78" t="s">
        <v>119</v>
      </c>
      <c r="M2373" s="106" t="s">
        <v>6431</v>
      </c>
      <c r="N2373" s="106"/>
      <c r="O2373" s="160" t="str">
        <f>hyperlink("https://bad-boys.us/?q=D-MA/4:19-mj-04173", "D-MA 4:19-mj-04173")</f>
        <v>D-MA 4:19-mj-04173</v>
      </c>
      <c r="P2373" s="103" t="s">
        <v>6432</v>
      </c>
      <c r="Q2373" s="37">
        <v>1.0</v>
      </c>
      <c r="S2373" s="37" t="str">
        <f>IFERROR(__xludf.DUMMYFUNCTION("if(not(iserror(index(split(C2373, "" ""),2))), index(split(C2373, "" ""),1),"""")"),"March")</f>
        <v>March</v>
      </c>
      <c r="T2373" s="38">
        <f>IFERROR(__xludf.DUMMYFUNCTION("if(S2373="""",C2373,if(not(iserror(index(split(C2373, "" ""),3))), index(split(C2373, "" ""),3),index(split(C2373, "" ""),2)))"),2019.0)</f>
        <v>2019</v>
      </c>
      <c r="U2373" s="38" t="b">
        <f t="shared" si="361"/>
        <v>0</v>
      </c>
      <c r="V2373" s="78" t="s">
        <v>33</v>
      </c>
      <c r="W2373" s="106"/>
      <c r="X2373" s="106"/>
      <c r="Y2373" s="102"/>
    </row>
    <row r="2374">
      <c r="A2374" s="78" t="s">
        <v>6423</v>
      </c>
      <c r="B2374" s="248"/>
      <c r="C2374" s="99">
        <v>43538.0</v>
      </c>
      <c r="E2374" s="78" t="s">
        <v>41</v>
      </c>
      <c r="F2374" s="37">
        <v>1.0</v>
      </c>
      <c r="G2374" s="78" t="s">
        <v>32</v>
      </c>
      <c r="H2374" s="78">
        <v>1.0</v>
      </c>
      <c r="I2374" s="78" t="s">
        <v>33</v>
      </c>
      <c r="J2374" s="78" t="s">
        <v>111</v>
      </c>
      <c r="L2374" s="78" t="s">
        <v>76</v>
      </c>
      <c r="M2374" s="46" t="s">
        <v>6424</v>
      </c>
      <c r="N2374" s="106"/>
      <c r="O2374" s="160" t="str">
        <f>hyperlink("https://bad-boys.us/?q=WD-NY/1:19-mr-00106", "WD-NY 1:19-mr-00106")</f>
        <v>WD-NY 1:19-mr-00106</v>
      </c>
      <c r="Q2374" s="37">
        <v>1.0</v>
      </c>
      <c r="S2374" s="37" t="str">
        <f>IFERROR(__xludf.DUMMYFUNCTION("if(not(iserror(index(split(C2374, "" ""),2))), index(split(C2374, "" ""),1),"""")"),"March")</f>
        <v>March</v>
      </c>
      <c r="T2374" s="38">
        <f>IFERROR(__xludf.DUMMYFUNCTION("if(S2374="""",C2374,if(not(iserror(index(split(C2374, "" ""),3))), index(split(C2374, "" ""),3),index(split(C2374, "" ""),2)))"),2019.0)</f>
        <v>2019</v>
      </c>
      <c r="U2374" s="38" t="b">
        <f t="shared" si="361"/>
        <v>1</v>
      </c>
      <c r="V2374" s="78" t="s">
        <v>33</v>
      </c>
      <c r="W2374" s="106"/>
      <c r="X2374" s="106"/>
      <c r="Y2374" s="102"/>
    </row>
    <row r="2375">
      <c r="A2375" s="78" t="s">
        <v>6433</v>
      </c>
      <c r="B2375" s="248"/>
      <c r="C2375" s="99">
        <v>43538.0</v>
      </c>
      <c r="E2375" s="78" t="s">
        <v>41</v>
      </c>
      <c r="F2375" s="37">
        <v>1.0</v>
      </c>
      <c r="G2375" s="37" t="s">
        <v>32</v>
      </c>
      <c r="H2375" s="78">
        <v>1.0</v>
      </c>
      <c r="I2375" s="78" t="s">
        <v>33</v>
      </c>
      <c r="J2375" s="78" t="s">
        <v>343</v>
      </c>
      <c r="L2375" s="78" t="s">
        <v>119</v>
      </c>
      <c r="M2375" s="46" t="s">
        <v>6434</v>
      </c>
      <c r="N2375" s="106"/>
      <c r="O2375" s="160" t="str">
        <f>hyperlink("https://bad-boys.us/?q=ND-WV/3:19-cr-00016", "ND-WV 3:19-cr-00016")</f>
        <v>ND-WV 3:19-cr-00016</v>
      </c>
      <c r="P2375" s="103" t="s">
        <v>6435</v>
      </c>
      <c r="Q2375" s="37">
        <v>1.0</v>
      </c>
      <c r="S2375" s="37" t="str">
        <f>IFERROR(__xludf.DUMMYFUNCTION("if(not(iserror(index(split(C2375, "" ""),2))), index(split(C2375, "" ""),1),"""")"),"March")</f>
        <v>March</v>
      </c>
      <c r="T2375" s="38">
        <f>IFERROR(__xludf.DUMMYFUNCTION("if(S2375="""",C2375,if(not(iserror(index(split(C2375, "" ""),3))), index(split(C2375, "" ""),3),index(split(C2375, "" ""),2)))"),2019.0)</f>
        <v>2019</v>
      </c>
      <c r="U2375" s="38" t="b">
        <f t="shared" si="361"/>
        <v>0</v>
      </c>
      <c r="V2375" s="78" t="s">
        <v>33</v>
      </c>
      <c r="W2375" s="106"/>
      <c r="X2375" s="106"/>
      <c r="Y2375" s="102"/>
    </row>
    <row r="2376">
      <c r="A2376" s="78" t="s">
        <v>6436</v>
      </c>
      <c r="B2376" s="248"/>
      <c r="C2376" s="99">
        <v>43538.0</v>
      </c>
      <c r="E2376" s="78" t="s">
        <v>31</v>
      </c>
      <c r="F2376" s="37">
        <v>1.0</v>
      </c>
      <c r="G2376" s="37">
        <v>4.0</v>
      </c>
      <c r="H2376" s="78">
        <v>4.0</v>
      </c>
      <c r="I2376" s="78" t="s">
        <v>33</v>
      </c>
      <c r="J2376" s="78" t="s">
        <v>283</v>
      </c>
      <c r="L2376" s="78" t="s">
        <v>349</v>
      </c>
      <c r="M2376" s="46" t="s">
        <v>6437</v>
      </c>
      <c r="N2376" s="106"/>
      <c r="Q2376" s="37"/>
      <c r="S2376" s="37" t="str">
        <f>IFERROR(__xludf.DUMMYFUNCTION("if(not(iserror(index(split(C2376, "" ""),2))), index(split(C2376, "" ""),1),"""")"),"March")</f>
        <v>March</v>
      </c>
      <c r="T2376" s="38">
        <f>IFERROR(__xludf.DUMMYFUNCTION("if(S2376="""",C2376,if(not(iserror(index(split(C2376, "" ""),3))), index(split(C2376, "" ""),3),index(split(C2376, "" ""),2)))"),2019.0)</f>
        <v>2019</v>
      </c>
      <c r="U2376" s="38" t="b">
        <f t="shared" si="361"/>
        <v>0</v>
      </c>
      <c r="V2376" s="78" t="s">
        <v>33</v>
      </c>
      <c r="W2376" s="46" t="s">
        <v>6438</v>
      </c>
      <c r="X2376" s="46" t="s">
        <v>6439</v>
      </c>
      <c r="Y2376" s="102"/>
    </row>
    <row r="2377">
      <c r="A2377" s="78" t="s">
        <v>239</v>
      </c>
      <c r="B2377" s="248"/>
      <c r="C2377" s="99">
        <v>43539.0</v>
      </c>
      <c r="E2377" s="78" t="s">
        <v>41</v>
      </c>
      <c r="F2377" s="37">
        <v>2.0</v>
      </c>
      <c r="G2377" s="37">
        <v>2.0</v>
      </c>
      <c r="H2377" s="78">
        <v>2.0</v>
      </c>
      <c r="I2377" s="78" t="s">
        <v>33</v>
      </c>
      <c r="J2377" s="78" t="s">
        <v>241</v>
      </c>
      <c r="L2377" s="78" t="s">
        <v>194</v>
      </c>
      <c r="M2377" s="46" t="s">
        <v>6440</v>
      </c>
      <c r="N2377" s="106"/>
      <c r="Q2377" s="37"/>
      <c r="S2377" s="37" t="str">
        <f>IFERROR(__xludf.DUMMYFUNCTION("if(not(iserror(index(split(C2377, "" ""),2))), index(split(C2377, "" ""),1),"""")"),"March")</f>
        <v>March</v>
      </c>
      <c r="T2377" s="38">
        <f>IFERROR(__xludf.DUMMYFUNCTION("if(S2377="""",C2377,if(not(iserror(index(split(C2377, "" ""),3))), index(split(C2377, "" ""),3),index(split(C2377, "" ""),2)))"),2019.0)</f>
        <v>2019</v>
      </c>
      <c r="U2377" s="38" t="b">
        <f t="shared" si="361"/>
        <v>1</v>
      </c>
      <c r="V2377" s="78" t="s">
        <v>33</v>
      </c>
      <c r="W2377" s="106"/>
      <c r="X2377" s="106"/>
      <c r="Y2377" s="102"/>
    </row>
    <row r="2378">
      <c r="A2378" s="78" t="s">
        <v>6441</v>
      </c>
      <c r="B2378" s="248"/>
      <c r="C2378" s="99">
        <v>43539.0</v>
      </c>
      <c r="E2378" s="78" t="s">
        <v>41</v>
      </c>
      <c r="F2378" s="37">
        <v>1.0</v>
      </c>
      <c r="G2378" s="78" t="s">
        <v>32</v>
      </c>
      <c r="H2378" s="78">
        <v>1.0</v>
      </c>
      <c r="I2378" s="78" t="s">
        <v>33</v>
      </c>
      <c r="J2378" s="78" t="s">
        <v>460</v>
      </c>
      <c r="L2378" s="78" t="s">
        <v>212</v>
      </c>
      <c r="M2378" s="46" t="s">
        <v>6442</v>
      </c>
      <c r="N2378" s="106"/>
      <c r="Q2378" s="37"/>
      <c r="S2378" s="37" t="str">
        <f>IFERROR(__xludf.DUMMYFUNCTION("if(not(iserror(index(split(C2378, "" ""),2))), index(split(C2378, "" ""),1),"""")"),"March")</f>
        <v>March</v>
      </c>
      <c r="T2378" s="38">
        <f>IFERROR(__xludf.DUMMYFUNCTION("if(S2378="""",C2378,if(not(iserror(index(split(C2378, "" ""),3))), index(split(C2378, "" ""),3),index(split(C2378, "" ""),2)))"),2019.0)</f>
        <v>2019</v>
      </c>
      <c r="U2378" s="38" t="b">
        <f t="shared" si="361"/>
        <v>0</v>
      </c>
      <c r="V2378" s="78" t="s">
        <v>33</v>
      </c>
      <c r="W2378" s="106"/>
      <c r="X2378" s="106"/>
      <c r="Y2378" s="102"/>
    </row>
    <row r="2379">
      <c r="A2379" s="78" t="s">
        <v>6443</v>
      </c>
      <c r="B2379" s="248"/>
      <c r="C2379" s="99">
        <v>43539.0</v>
      </c>
      <c r="E2379" s="78"/>
      <c r="F2379" s="37">
        <v>1.0</v>
      </c>
      <c r="G2379" s="78" t="s">
        <v>32</v>
      </c>
      <c r="H2379" s="78">
        <v>1.0</v>
      </c>
      <c r="I2379" s="78" t="s">
        <v>33</v>
      </c>
      <c r="J2379" s="78" t="s">
        <v>106</v>
      </c>
      <c r="L2379" s="78" t="s">
        <v>6444</v>
      </c>
      <c r="M2379" s="46" t="s">
        <v>6445</v>
      </c>
      <c r="N2379" s="106"/>
      <c r="O2379" s="160" t="str">
        <f>hyperlink("https://bad-boys.us/?q=D-MD/1:19-cr-00159", "D-MD 1:19-cr-00159")</f>
        <v>D-MD 1:19-cr-00159</v>
      </c>
      <c r="P2379" s="103" t="s">
        <v>6446</v>
      </c>
      <c r="Q2379" s="37">
        <v>1.0</v>
      </c>
      <c r="S2379" s="37"/>
      <c r="T2379" s="38"/>
      <c r="U2379" s="38" t="b">
        <f t="shared" si="361"/>
        <v>0</v>
      </c>
      <c r="V2379" s="78" t="s">
        <v>33</v>
      </c>
      <c r="W2379" s="106"/>
      <c r="X2379" s="106"/>
      <c r="Y2379" s="102"/>
    </row>
    <row r="2380">
      <c r="A2380" s="78" t="s">
        <v>6447</v>
      </c>
      <c r="B2380" s="248"/>
      <c r="C2380" s="99">
        <v>43539.0</v>
      </c>
      <c r="E2380" s="78" t="s">
        <v>31</v>
      </c>
      <c r="F2380" s="37">
        <v>1.0</v>
      </c>
      <c r="G2380" s="78" t="s">
        <v>32</v>
      </c>
      <c r="H2380" s="78">
        <v>1.0</v>
      </c>
      <c r="I2380" s="78" t="s">
        <v>33</v>
      </c>
      <c r="J2380" s="78" t="s">
        <v>93</v>
      </c>
      <c r="L2380" s="78" t="s">
        <v>119</v>
      </c>
      <c r="M2380" s="46" t="s">
        <v>6448</v>
      </c>
      <c r="N2380" s="46" t="s">
        <v>6449</v>
      </c>
      <c r="O2380" s="160" t="str">
        <f>hyperlink("https://bad-boys.us/?q=WD-NY/6:19-mj-00568", "WD-NY 6:19-mj-00568")</f>
        <v>WD-NY 6:19-mj-00568</v>
      </c>
      <c r="Q2380" s="37">
        <v>1.0</v>
      </c>
      <c r="S2380" s="37" t="str">
        <f>IFERROR(__xludf.DUMMYFUNCTION("if(not(iserror(index(split(C2380, "" ""),2))), index(split(C2380, "" ""),1),"""")"),"March")</f>
        <v>March</v>
      </c>
      <c r="T2380" s="38">
        <f>IFERROR(__xludf.DUMMYFUNCTION("if(S2380="""",C2380,if(not(iserror(index(split(C2380, "" ""),3))), index(split(C2380, "" ""),3),index(split(C2380, "" ""),2)))"),2019.0)</f>
        <v>2019</v>
      </c>
      <c r="U2380" s="38" t="b">
        <f t="shared" si="361"/>
        <v>0</v>
      </c>
      <c r="V2380" s="78" t="s">
        <v>33</v>
      </c>
      <c r="W2380" s="46" t="s">
        <v>6450</v>
      </c>
      <c r="X2380" s="46" t="s">
        <v>6451</v>
      </c>
      <c r="Y2380" s="102"/>
    </row>
    <row r="2381">
      <c r="A2381" s="78" t="s">
        <v>239</v>
      </c>
      <c r="B2381" s="248"/>
      <c r="C2381" s="99">
        <v>43542.0</v>
      </c>
      <c r="E2381" s="78" t="s">
        <v>41</v>
      </c>
      <c r="F2381" s="37">
        <v>2.0</v>
      </c>
      <c r="G2381" s="78">
        <v>1.0</v>
      </c>
      <c r="H2381" s="78">
        <v>1.0</v>
      </c>
      <c r="I2381" s="78" t="s">
        <v>33</v>
      </c>
      <c r="J2381" s="78" t="s">
        <v>241</v>
      </c>
      <c r="L2381" s="78" t="s">
        <v>194</v>
      </c>
      <c r="M2381" s="46" t="s">
        <v>6452</v>
      </c>
      <c r="N2381" s="106"/>
      <c r="Q2381" s="37"/>
      <c r="S2381" s="37" t="str">
        <f>IFERROR(__xludf.DUMMYFUNCTION("if(not(iserror(index(split(C2381, "" ""),2))), index(split(C2381, "" ""),1),"""")"),"March")</f>
        <v>March</v>
      </c>
      <c r="T2381" s="38">
        <f>IFERROR(__xludf.DUMMYFUNCTION("if(S2381="""",C2381,if(not(iserror(index(split(C2381, "" ""),3))), index(split(C2381, "" ""),3),index(split(C2381, "" ""),2)))"),2019.0)</f>
        <v>2019</v>
      </c>
      <c r="U2381" s="38" t="b">
        <f t="shared" si="361"/>
        <v>1</v>
      </c>
      <c r="V2381" s="78" t="s">
        <v>33</v>
      </c>
      <c r="W2381" s="106"/>
      <c r="X2381" s="106"/>
      <c r="Y2381" s="102"/>
    </row>
    <row r="2382">
      <c r="A2382" s="87" t="s">
        <v>6453</v>
      </c>
      <c r="B2382" s="248"/>
      <c r="C2382" s="99">
        <v>43542.0</v>
      </c>
      <c r="E2382" s="78" t="s">
        <v>41</v>
      </c>
      <c r="F2382" s="37">
        <v>1.0</v>
      </c>
      <c r="G2382" s="78" t="s">
        <v>32</v>
      </c>
      <c r="H2382" s="78">
        <v>1.0</v>
      </c>
      <c r="I2382" s="78" t="s">
        <v>33</v>
      </c>
      <c r="J2382" s="78" t="s">
        <v>111</v>
      </c>
      <c r="L2382" s="78" t="s">
        <v>76</v>
      </c>
      <c r="M2382" s="46" t="s">
        <v>6454</v>
      </c>
      <c r="N2382" s="106"/>
      <c r="O2382" s="160" t="str">
        <f>hyperlink("https://bad-boys.us/?q=ED-CA/2:19-cr-00052", "ED-CA 2:19-cr-00052")</f>
        <v>ED-CA 2:19-cr-00052</v>
      </c>
      <c r="P2382" s="103" t="s">
        <v>6455</v>
      </c>
      <c r="Q2382" s="37">
        <v>1.0</v>
      </c>
      <c r="S2382" s="37" t="str">
        <f>IFERROR(__xludf.DUMMYFUNCTION("if(not(iserror(index(split(C2382, "" ""),2))), index(split(C2382, "" ""),1),"""")"),"March")</f>
        <v>March</v>
      </c>
      <c r="T2382" s="38">
        <f>IFERROR(__xludf.DUMMYFUNCTION("if(S2382="""",C2382,if(not(iserror(index(split(C2382, "" ""),3))), index(split(C2382, "" ""),3),index(split(C2382, "" ""),2)))"),2019.0)</f>
        <v>2019</v>
      </c>
      <c r="U2382" s="38" t="b">
        <f t="shared" si="361"/>
        <v>0</v>
      </c>
      <c r="V2382" s="78" t="s">
        <v>33</v>
      </c>
      <c r="W2382" s="106"/>
      <c r="X2382" s="106"/>
      <c r="Y2382" s="102"/>
    </row>
    <row r="2383">
      <c r="A2383" s="87" t="s">
        <v>6456</v>
      </c>
      <c r="B2383" s="248"/>
      <c r="C2383" s="99">
        <v>43542.0</v>
      </c>
      <c r="E2383" s="78" t="s">
        <v>41</v>
      </c>
      <c r="F2383" s="37">
        <v>1.0</v>
      </c>
      <c r="G2383" s="78" t="s">
        <v>32</v>
      </c>
      <c r="H2383" s="78">
        <v>1.0</v>
      </c>
      <c r="I2383" s="78" t="s">
        <v>33</v>
      </c>
      <c r="J2383" s="78" t="s">
        <v>433</v>
      </c>
      <c r="L2383" s="78" t="s">
        <v>76</v>
      </c>
      <c r="M2383" s="106" t="s">
        <v>6457</v>
      </c>
      <c r="N2383" s="106"/>
      <c r="O2383" s="160" t="str">
        <f>hyperlink("https://bad-boys.us/?q=D-MN/0:19-cr-00075", "D-MN 0:19-cr-00075")</f>
        <v>D-MN 0:19-cr-00075</v>
      </c>
      <c r="P2383" s="103" t="s">
        <v>6458</v>
      </c>
      <c r="Q2383" s="37">
        <v>1.0</v>
      </c>
      <c r="S2383" s="37" t="str">
        <f>IFERROR(__xludf.DUMMYFUNCTION("if(not(iserror(index(split(C2383, "" ""),2))), index(split(C2383, "" ""),1),"""")"),"March")</f>
        <v>March</v>
      </c>
      <c r="T2383" s="38">
        <f>IFERROR(__xludf.DUMMYFUNCTION("if(S2383="""",C2383,if(not(iserror(index(split(C2383, "" ""),3))), index(split(C2383, "" ""),3),index(split(C2383, "" ""),2)))"),2019.0)</f>
        <v>2019</v>
      </c>
      <c r="U2383" s="38" t="b">
        <f t="shared" si="361"/>
        <v>0</v>
      </c>
      <c r="V2383" s="78" t="s">
        <v>33</v>
      </c>
      <c r="W2383" s="106"/>
      <c r="X2383" s="106"/>
      <c r="Y2383" s="102"/>
    </row>
    <row r="2384">
      <c r="A2384" s="87" t="s">
        <v>6459</v>
      </c>
      <c r="B2384" s="248"/>
      <c r="C2384" s="99">
        <v>43543.0</v>
      </c>
      <c r="E2384" s="78" t="s">
        <v>41</v>
      </c>
      <c r="F2384" s="37">
        <v>1.0</v>
      </c>
      <c r="G2384" s="78"/>
      <c r="H2384" s="78"/>
      <c r="I2384" s="78"/>
      <c r="J2384" s="78"/>
      <c r="L2384" s="78" t="s">
        <v>1273</v>
      </c>
      <c r="M2384" s="46" t="s">
        <v>6460</v>
      </c>
      <c r="N2384" s="106"/>
      <c r="P2384" s="78"/>
      <c r="Q2384" s="37"/>
      <c r="S2384" s="37"/>
      <c r="T2384" s="38"/>
      <c r="U2384" s="38" t="b">
        <f t="shared" si="361"/>
        <v>0</v>
      </c>
      <c r="V2384" s="78" t="s">
        <v>33</v>
      </c>
      <c r="W2384" s="106"/>
      <c r="X2384" s="106"/>
      <c r="Y2384" s="102"/>
    </row>
    <row r="2385">
      <c r="A2385" s="87" t="s">
        <v>6461</v>
      </c>
      <c r="B2385" s="248"/>
      <c r="C2385" s="99">
        <v>43543.0</v>
      </c>
      <c r="E2385" s="78" t="s">
        <v>41</v>
      </c>
      <c r="F2385" s="37">
        <v>1.0</v>
      </c>
      <c r="G2385" s="78">
        <v>1.0</v>
      </c>
      <c r="H2385" s="78">
        <v>1.0</v>
      </c>
      <c r="I2385" s="78" t="s">
        <v>33</v>
      </c>
      <c r="J2385" s="78" t="s">
        <v>93</v>
      </c>
      <c r="L2385" s="78" t="s">
        <v>76</v>
      </c>
      <c r="M2385" s="46" t="s">
        <v>6462</v>
      </c>
      <c r="N2385" s="106"/>
      <c r="O2385" s="160" t="str">
        <f>hyperlink("https://bad-boys.us/?q=WD-NY/6:19-cr-06029", "WD-NY 6:19-cr-06029")</f>
        <v>WD-NY 6:19-cr-06029</v>
      </c>
      <c r="P2385" s="78"/>
      <c r="Q2385" s="37">
        <v>1.0</v>
      </c>
      <c r="S2385" s="37"/>
      <c r="T2385" s="38"/>
      <c r="U2385" s="38" t="b">
        <f t="shared" si="361"/>
        <v>0</v>
      </c>
      <c r="V2385" s="78" t="s">
        <v>33</v>
      </c>
      <c r="W2385" s="106"/>
      <c r="X2385" s="106"/>
      <c r="Y2385" s="102"/>
    </row>
    <row r="2386">
      <c r="A2386" s="87" t="s">
        <v>6463</v>
      </c>
      <c r="B2386" s="248"/>
      <c r="C2386" s="99">
        <v>43552.0</v>
      </c>
      <c r="E2386" s="78" t="s">
        <v>41</v>
      </c>
      <c r="F2386" s="37">
        <v>1.0</v>
      </c>
      <c r="G2386" s="78" t="s">
        <v>32</v>
      </c>
      <c r="H2386" s="78">
        <v>1.0</v>
      </c>
      <c r="I2386" s="78" t="s">
        <v>33</v>
      </c>
      <c r="J2386" s="78" t="s">
        <v>93</v>
      </c>
      <c r="L2386" s="78" t="s">
        <v>69</v>
      </c>
      <c r="M2386" s="46" t="s">
        <v>6464</v>
      </c>
      <c r="N2386" s="106"/>
      <c r="O2386" s="160" t="str">
        <f>hyperlink("https://bad-boys.us/?q=ND-NY/1:19-mj-00164", "ND-NY 1:19-mj-00164")</f>
        <v>ND-NY 1:19-mj-00164</v>
      </c>
      <c r="P2386" s="103" t="s">
        <v>6465</v>
      </c>
      <c r="Q2386" s="37">
        <v>1.0</v>
      </c>
      <c r="S2386" s="37" t="str">
        <f>IFERROR(__xludf.DUMMYFUNCTION("if(not(iserror(index(split(C2386, "" ""),2))), index(split(C2386, "" ""),1),"""")"),"March")</f>
        <v>March</v>
      </c>
      <c r="T2386" s="38">
        <f>IFERROR(__xludf.DUMMYFUNCTION("if(S2386="""",C2386,if(not(iserror(index(split(C2386, "" ""),3))), index(split(C2386, "" ""),3),index(split(C2386, "" ""),2)))"),2019.0)</f>
        <v>2019</v>
      </c>
      <c r="U2386" s="38" t="b">
        <f t="shared" si="361"/>
        <v>1</v>
      </c>
      <c r="V2386" s="78" t="s">
        <v>33</v>
      </c>
      <c r="W2386" s="106"/>
      <c r="X2386" s="106"/>
      <c r="Y2386" s="102"/>
    </row>
    <row r="2387">
      <c r="A2387" s="87" t="s">
        <v>6466</v>
      </c>
      <c r="B2387" s="248"/>
      <c r="C2387" s="99">
        <v>43543.0</v>
      </c>
      <c r="E2387" s="78" t="s">
        <v>41</v>
      </c>
      <c r="F2387" s="37">
        <v>1.0</v>
      </c>
      <c r="G2387" s="78" t="s">
        <v>32</v>
      </c>
      <c r="H2387" s="78">
        <v>1.0</v>
      </c>
      <c r="I2387" s="78" t="s">
        <v>33</v>
      </c>
      <c r="J2387" s="78" t="s">
        <v>89</v>
      </c>
      <c r="L2387" s="78" t="s">
        <v>76</v>
      </c>
      <c r="M2387" s="46" t="s">
        <v>6467</v>
      </c>
      <c r="N2387" s="106"/>
      <c r="O2387" s="160" t="str">
        <f>hyperlink("https://bad-boys.us/?q=WD-TN/1:19-cr-10020", "WD-TN 1:19-cr-10020")</f>
        <v>WD-TN 1:19-cr-10020</v>
      </c>
      <c r="Q2387" s="37">
        <v>1.0</v>
      </c>
      <c r="S2387" s="37" t="str">
        <f>IFERROR(__xludf.DUMMYFUNCTION("if(not(iserror(index(split(C2387, "" ""),2))), index(split(C2387, "" ""),1),"""")"),"March")</f>
        <v>March</v>
      </c>
      <c r="T2387" s="38">
        <f>IFERROR(__xludf.DUMMYFUNCTION("if(S2387="""",C2387,if(not(iserror(index(split(C2387, "" ""),3))), index(split(C2387, "" ""),3),index(split(C2387, "" ""),2)))"),2019.0)</f>
        <v>2019</v>
      </c>
      <c r="U2387" s="38" t="b">
        <f t="shared" si="361"/>
        <v>0</v>
      </c>
      <c r="V2387" s="78" t="s">
        <v>33</v>
      </c>
      <c r="W2387" s="106"/>
      <c r="X2387" s="106"/>
      <c r="Y2387" s="102"/>
    </row>
    <row r="2388">
      <c r="A2388" s="87" t="s">
        <v>6468</v>
      </c>
      <c r="B2388" s="248"/>
      <c r="C2388" s="99">
        <v>43543.0</v>
      </c>
      <c r="E2388" s="78" t="s">
        <v>41</v>
      </c>
      <c r="F2388" s="37">
        <v>1.0</v>
      </c>
      <c r="G2388" s="78" t="s">
        <v>32</v>
      </c>
      <c r="H2388" s="78">
        <v>1.0</v>
      </c>
      <c r="I2388" s="78" t="s">
        <v>33</v>
      </c>
      <c r="J2388" s="78" t="s">
        <v>288</v>
      </c>
      <c r="L2388" s="78" t="s">
        <v>6469</v>
      </c>
      <c r="M2388" s="46" t="s">
        <v>6470</v>
      </c>
      <c r="N2388" s="106"/>
      <c r="Q2388" s="37">
        <v>1.0</v>
      </c>
      <c r="S2388" s="37"/>
      <c r="T2388" s="38"/>
      <c r="U2388" s="38"/>
      <c r="V2388" s="78" t="s">
        <v>33</v>
      </c>
      <c r="W2388" s="106"/>
      <c r="X2388" s="106"/>
      <c r="Y2388" s="102"/>
    </row>
    <row r="2389">
      <c r="A2389" s="87" t="s">
        <v>6471</v>
      </c>
      <c r="B2389" s="248"/>
      <c r="C2389" s="99">
        <v>43543.0</v>
      </c>
      <c r="E2389" s="78" t="s">
        <v>41</v>
      </c>
      <c r="F2389" s="37">
        <v>1.0</v>
      </c>
      <c r="G2389" s="78" t="s">
        <v>32</v>
      </c>
      <c r="H2389" s="78">
        <v>1.0</v>
      </c>
      <c r="I2389" s="78" t="s">
        <v>33</v>
      </c>
      <c r="J2389" s="78" t="s">
        <v>184</v>
      </c>
      <c r="L2389" s="78" t="s">
        <v>119</v>
      </c>
      <c r="M2389" s="46" t="s">
        <v>6472</v>
      </c>
      <c r="N2389" s="106"/>
      <c r="O2389" s="160" t="str">
        <f>hyperlink("https://bad-boys.us/?q=SD-IL/3:19-cr-30031", "SD-IL 3:19-cr-30031")</f>
        <v>SD-IL 3:19-cr-30031</v>
      </c>
      <c r="P2389" s="103" t="s">
        <v>6473</v>
      </c>
      <c r="Q2389" s="37">
        <v>1.0</v>
      </c>
      <c r="S2389" s="37"/>
      <c r="T2389" s="38"/>
      <c r="U2389" s="38" t="b">
        <f t="shared" ref="U2389:U2391" si="362">countif(A$4:A4658, A2389)&gt;1</f>
        <v>0</v>
      </c>
      <c r="V2389" s="78" t="s">
        <v>33</v>
      </c>
      <c r="W2389" s="106"/>
      <c r="X2389" s="106"/>
      <c r="Y2389" s="102"/>
    </row>
    <row r="2390">
      <c r="A2390" s="87" t="s">
        <v>6474</v>
      </c>
      <c r="B2390" s="248"/>
      <c r="C2390" s="99">
        <v>43544.0</v>
      </c>
      <c r="E2390" s="78" t="s">
        <v>41</v>
      </c>
      <c r="F2390" s="37">
        <v>1.0</v>
      </c>
      <c r="G2390" s="78" t="s">
        <v>32</v>
      </c>
      <c r="H2390" s="78">
        <v>1.0</v>
      </c>
      <c r="I2390" s="78" t="s">
        <v>33</v>
      </c>
      <c r="J2390" s="78" t="s">
        <v>228</v>
      </c>
      <c r="L2390" s="78" t="s">
        <v>76</v>
      </c>
      <c r="M2390" s="46" t="s">
        <v>6475</v>
      </c>
      <c r="N2390" s="106"/>
      <c r="O2390" s="160" t="str">
        <f>hyperlink("https://bad-boys.us/?q=D-PR/3:19-cr-00211", "D-PR 3:19-cr-00211 ❓")</f>
        <v>D-PR 3:19-cr-00211 ❓</v>
      </c>
      <c r="P2390" s="103" t="s">
        <v>6476</v>
      </c>
      <c r="Q2390" s="37">
        <v>1.0</v>
      </c>
      <c r="S2390" s="37" t="str">
        <f>IFERROR(__xludf.DUMMYFUNCTION("if(not(iserror(index(split(C2390, "" ""),2))), index(split(C2390, "" ""),1),"""")"),"March")</f>
        <v>March</v>
      </c>
      <c r="T2390" s="38">
        <f>IFERROR(__xludf.DUMMYFUNCTION("if(S2390="""",C2390,if(not(iserror(index(split(C2390, "" ""),3))), index(split(C2390, "" ""),3),index(split(C2390, "" ""),2)))"),2019.0)</f>
        <v>2019</v>
      </c>
      <c r="U2390" s="38" t="b">
        <f t="shared" si="362"/>
        <v>0</v>
      </c>
      <c r="V2390" s="78"/>
      <c r="W2390" s="106"/>
      <c r="X2390" s="106"/>
      <c r="Y2390" s="102"/>
    </row>
    <row r="2391">
      <c r="A2391" s="87" t="s">
        <v>6477</v>
      </c>
      <c r="B2391" s="248"/>
      <c r="C2391" s="99">
        <v>43544.0</v>
      </c>
      <c r="E2391" s="78" t="s">
        <v>41</v>
      </c>
      <c r="F2391" s="37">
        <v>1.0</v>
      </c>
      <c r="G2391" s="78" t="s">
        <v>32</v>
      </c>
      <c r="H2391" s="78">
        <v>1.0</v>
      </c>
      <c r="I2391" s="78" t="s">
        <v>33</v>
      </c>
      <c r="J2391" s="78" t="s">
        <v>93</v>
      </c>
      <c r="L2391" s="78" t="s">
        <v>119</v>
      </c>
      <c r="M2391" s="106" t="s">
        <v>6478</v>
      </c>
      <c r="N2391" s="106"/>
      <c r="O2391" s="160" t="str">
        <f>hyperlink("https://bad-boys.us/?q=WD-NY/1:19-mj-01028", "WD-NY 1:19-mj-01028")</f>
        <v>WD-NY 1:19-mj-01028</v>
      </c>
      <c r="Q2391" s="37">
        <v>1.0</v>
      </c>
      <c r="S2391" s="37" t="str">
        <f>IFERROR(__xludf.DUMMYFUNCTION("if(not(iserror(index(split(C2391, "" ""),2))), index(split(C2391, "" ""),1),"""")"),"March")</f>
        <v>March</v>
      </c>
      <c r="T2391" s="38">
        <f>IFERROR(__xludf.DUMMYFUNCTION("if(S2391="""",C2391,if(not(iserror(index(split(C2391, "" ""),3))), index(split(C2391, "" ""),3),index(split(C2391, "" ""),2)))"),2019.0)</f>
        <v>2019</v>
      </c>
      <c r="U2391" s="38" t="b">
        <f t="shared" si="362"/>
        <v>0</v>
      </c>
      <c r="V2391" s="78" t="s">
        <v>33</v>
      </c>
      <c r="W2391" s="106"/>
      <c r="X2391" s="106"/>
      <c r="Y2391" s="102"/>
    </row>
    <row r="2392">
      <c r="A2392" s="87" t="s">
        <v>6479</v>
      </c>
      <c r="B2392" s="248"/>
      <c r="C2392" s="99">
        <v>43545.0</v>
      </c>
      <c r="E2392" s="78" t="s">
        <v>41</v>
      </c>
      <c r="F2392" s="37">
        <v>1.0</v>
      </c>
      <c r="G2392" s="37" t="s">
        <v>32</v>
      </c>
      <c r="H2392" s="78">
        <v>1.0</v>
      </c>
      <c r="I2392" s="78" t="s">
        <v>33</v>
      </c>
      <c r="J2392" s="78" t="s">
        <v>410</v>
      </c>
      <c r="L2392" s="78" t="s">
        <v>69</v>
      </c>
      <c r="M2392" s="46" t="s">
        <v>6480</v>
      </c>
      <c r="N2392" s="106"/>
      <c r="P2392" s="78"/>
      <c r="Q2392" s="37">
        <v>1.0</v>
      </c>
      <c r="S2392" s="37"/>
      <c r="T2392" s="38"/>
      <c r="U2392" s="38"/>
      <c r="V2392" s="78" t="s">
        <v>33</v>
      </c>
      <c r="W2392" s="106"/>
      <c r="X2392" s="106"/>
      <c r="Y2392" s="102"/>
    </row>
    <row r="2393">
      <c r="A2393" s="87" t="s">
        <v>6481</v>
      </c>
      <c r="B2393" s="248"/>
      <c r="C2393" s="99">
        <v>43545.0</v>
      </c>
      <c r="E2393" s="78" t="s">
        <v>41</v>
      </c>
      <c r="F2393" s="37">
        <v>1.0</v>
      </c>
      <c r="G2393" s="37" t="s">
        <v>32</v>
      </c>
      <c r="H2393" s="78">
        <v>1.0</v>
      </c>
      <c r="I2393" s="78" t="s">
        <v>33</v>
      </c>
      <c r="J2393" s="78" t="s">
        <v>2315</v>
      </c>
      <c r="L2393" s="78" t="s">
        <v>790</v>
      </c>
      <c r="M2393" s="46" t="s">
        <v>5901</v>
      </c>
      <c r="N2393" s="106"/>
      <c r="O2393" s="160" t="str">
        <f>hyperlink("https://bad-boys.us/?q=D-WY/1:19-cr-00044", "D-WY 1:19-cr-00044")</f>
        <v>D-WY 1:19-cr-00044</v>
      </c>
      <c r="P2393" s="103" t="s">
        <v>5902</v>
      </c>
      <c r="Q2393" s="37">
        <v>1.0</v>
      </c>
      <c r="S2393" s="37"/>
      <c r="T2393" s="38"/>
      <c r="U2393" s="38" t="b">
        <f>countif(A$4:A4658, A2393)&gt;1</f>
        <v>0</v>
      </c>
      <c r="V2393" s="78" t="s">
        <v>33</v>
      </c>
      <c r="W2393" s="106"/>
      <c r="X2393" s="106"/>
      <c r="Y2393" s="102"/>
    </row>
    <row r="2394">
      <c r="A2394" s="87" t="s">
        <v>6482</v>
      </c>
      <c r="B2394" s="248"/>
      <c r="C2394" s="99">
        <v>43545.0</v>
      </c>
      <c r="E2394" s="78" t="s">
        <v>41</v>
      </c>
      <c r="F2394" s="37">
        <v>1.0</v>
      </c>
      <c r="G2394" s="37" t="s">
        <v>32</v>
      </c>
      <c r="H2394" s="78">
        <v>1.0</v>
      </c>
      <c r="I2394" s="78" t="s">
        <v>33</v>
      </c>
      <c r="J2394" s="78" t="s">
        <v>524</v>
      </c>
      <c r="L2394" s="78" t="s">
        <v>76</v>
      </c>
      <c r="M2394" s="46" t="s">
        <v>6483</v>
      </c>
      <c r="N2394" s="106"/>
      <c r="P2394" s="78"/>
      <c r="Q2394" s="37">
        <v>1.0</v>
      </c>
      <c r="S2394" s="37"/>
      <c r="T2394" s="38"/>
      <c r="U2394" s="38"/>
      <c r="V2394" s="78" t="s">
        <v>33</v>
      </c>
      <c r="W2394" s="106"/>
      <c r="X2394" s="106"/>
      <c r="Y2394" s="102"/>
    </row>
    <row r="2395">
      <c r="A2395" s="87" t="s">
        <v>6484</v>
      </c>
      <c r="B2395" s="248"/>
      <c r="C2395" s="99">
        <v>43546.0</v>
      </c>
      <c r="E2395" s="78" t="s">
        <v>31</v>
      </c>
      <c r="F2395" s="37">
        <v>1.0</v>
      </c>
      <c r="G2395" s="37">
        <v>1.0</v>
      </c>
      <c r="H2395" s="78">
        <v>1.0</v>
      </c>
      <c r="I2395" s="78" t="s">
        <v>33</v>
      </c>
      <c r="J2395" s="78" t="s">
        <v>47</v>
      </c>
      <c r="L2395" s="78" t="s">
        <v>646</v>
      </c>
      <c r="M2395" s="46" t="s">
        <v>6485</v>
      </c>
      <c r="N2395" s="46" t="s">
        <v>6486</v>
      </c>
      <c r="O2395" s="160" t="str">
        <f>hyperlink("https://bad-boys.us/?q=MD-FL/3:19-cr-00044", "MD-FL 3:19-cr-00044")</f>
        <v>MD-FL 3:19-cr-00044</v>
      </c>
      <c r="P2395" s="103" t="s">
        <v>6487</v>
      </c>
      <c r="Q2395" s="37">
        <v>1.0</v>
      </c>
      <c r="S2395" s="37" t="str">
        <f>IFERROR(__xludf.DUMMYFUNCTION("if(not(iserror(index(split(C2395, "" ""),2))), index(split(C2395, "" ""),1),"""")"),"March")</f>
        <v>March</v>
      </c>
      <c r="T2395" s="38">
        <f>IFERROR(__xludf.DUMMYFUNCTION("if(S2395="""",C2395,if(not(iserror(index(split(C2395, "" ""),3))), index(split(C2395, "" ""),3),index(split(C2395, "" ""),2)))"),2019.0)</f>
        <v>2019</v>
      </c>
      <c r="U2395" s="38" t="b">
        <f t="shared" ref="U2395:U2400" si="363">countif(A$4:A4658, A2395)&gt;1</f>
        <v>0</v>
      </c>
      <c r="V2395" s="78" t="s">
        <v>33</v>
      </c>
      <c r="W2395" s="46" t="s">
        <v>6488</v>
      </c>
      <c r="X2395" s="46" t="s">
        <v>6489</v>
      </c>
      <c r="Y2395" s="102"/>
    </row>
    <row r="2396">
      <c r="A2396" s="87" t="s">
        <v>6490</v>
      </c>
      <c r="B2396" s="248"/>
      <c r="C2396" s="99">
        <v>43547.0</v>
      </c>
      <c r="E2396" s="78" t="s">
        <v>31</v>
      </c>
      <c r="F2396" s="37">
        <v>1.0</v>
      </c>
      <c r="G2396" s="78" t="s">
        <v>32</v>
      </c>
      <c r="H2396" s="78">
        <v>1.0</v>
      </c>
      <c r="I2396" s="78" t="s">
        <v>33</v>
      </c>
      <c r="J2396" s="78" t="s">
        <v>106</v>
      </c>
      <c r="L2396" s="78" t="s">
        <v>69</v>
      </c>
      <c r="M2396" s="106" t="s">
        <v>6491</v>
      </c>
      <c r="N2396" s="106" t="s">
        <v>6492</v>
      </c>
      <c r="P2396" s="78"/>
      <c r="Q2396" s="37"/>
      <c r="S2396" s="37" t="str">
        <f>IFERROR(__xludf.DUMMYFUNCTION("if(not(iserror(index(split(C2396, "" ""),2))), index(split(C2396, "" ""),1),"""")"),"March")</f>
        <v>March</v>
      </c>
      <c r="T2396" s="38">
        <f>IFERROR(__xludf.DUMMYFUNCTION("if(S2396="""",C2396,if(not(iserror(index(split(C2396, "" ""),3))), index(split(C2396, "" ""),3),index(split(C2396, "" ""),2)))"),2019.0)</f>
        <v>2019</v>
      </c>
      <c r="U2396" s="38" t="b">
        <f t="shared" si="363"/>
        <v>0</v>
      </c>
      <c r="V2396" s="78" t="s">
        <v>6493</v>
      </c>
      <c r="W2396" s="46" t="s">
        <v>6494</v>
      </c>
      <c r="X2396" s="46" t="s">
        <v>6495</v>
      </c>
      <c r="Y2396" s="102"/>
    </row>
    <row r="2397">
      <c r="A2397" s="87" t="s">
        <v>239</v>
      </c>
      <c r="B2397" s="248"/>
      <c r="C2397" s="99">
        <v>43549.0</v>
      </c>
      <c r="E2397" s="78" t="s">
        <v>41</v>
      </c>
      <c r="F2397" s="37">
        <v>2.0</v>
      </c>
      <c r="G2397" s="37">
        <v>4.0</v>
      </c>
      <c r="H2397" s="78">
        <v>4.0</v>
      </c>
      <c r="I2397" s="78" t="s">
        <v>33</v>
      </c>
      <c r="J2397" s="78" t="s">
        <v>241</v>
      </c>
      <c r="L2397" s="78" t="s">
        <v>194</v>
      </c>
      <c r="M2397" s="106"/>
      <c r="N2397" s="106"/>
      <c r="Q2397" s="37"/>
      <c r="S2397" s="37" t="str">
        <f>IFERROR(__xludf.DUMMYFUNCTION("if(not(iserror(index(split(C2397, "" ""),2))), index(split(C2397, "" ""),1),"""")"),"March")</f>
        <v>March</v>
      </c>
      <c r="T2397" s="38">
        <f>IFERROR(__xludf.DUMMYFUNCTION("if(S2397="""",C2397,if(not(iserror(index(split(C2397, "" ""),3))), index(split(C2397, "" ""),3),index(split(C2397, "" ""),2)))"),2019.0)</f>
        <v>2019</v>
      </c>
      <c r="U2397" s="38" t="b">
        <f t="shared" si="363"/>
        <v>1</v>
      </c>
      <c r="V2397" s="78" t="s">
        <v>33</v>
      </c>
      <c r="W2397" s="106"/>
      <c r="X2397" s="106"/>
      <c r="Y2397" s="102"/>
    </row>
    <row r="2398">
      <c r="A2398" s="87" t="s">
        <v>6496</v>
      </c>
      <c r="B2398" s="248"/>
      <c r="C2398" s="99">
        <v>43550.0</v>
      </c>
      <c r="E2398" s="78" t="s">
        <v>41</v>
      </c>
      <c r="F2398" s="37">
        <v>1.0</v>
      </c>
      <c r="G2398" s="78" t="s">
        <v>32</v>
      </c>
      <c r="H2398" s="78">
        <v>1.0</v>
      </c>
      <c r="I2398" s="78" t="s">
        <v>33</v>
      </c>
      <c r="J2398" s="78" t="s">
        <v>93</v>
      </c>
      <c r="L2398" s="78" t="s">
        <v>6497</v>
      </c>
      <c r="M2398" s="46" t="s">
        <v>6498</v>
      </c>
      <c r="N2398" s="106"/>
      <c r="Q2398" s="37"/>
      <c r="S2398" s="37" t="str">
        <f>IFERROR(__xludf.DUMMYFUNCTION("if(not(iserror(index(split(C2398, "" ""),2))), index(split(C2398, "" ""),1),"""")"),"March")</f>
        <v>March</v>
      </c>
      <c r="T2398" s="38">
        <f>IFERROR(__xludf.DUMMYFUNCTION("if(S2398="""",C2398,if(not(iserror(index(split(C2398, "" ""),3))), index(split(C2398, "" ""),3),index(split(C2398, "" ""),2)))"),2019.0)</f>
        <v>2019</v>
      </c>
      <c r="U2398" s="38" t="b">
        <f t="shared" si="363"/>
        <v>0</v>
      </c>
      <c r="V2398" s="78" t="s">
        <v>6119</v>
      </c>
      <c r="W2398" s="106"/>
      <c r="X2398" s="106"/>
      <c r="Y2398" s="102"/>
    </row>
    <row r="2399">
      <c r="A2399" s="87" t="s">
        <v>6499</v>
      </c>
      <c r="B2399" s="248"/>
      <c r="C2399" s="99">
        <v>43550.0</v>
      </c>
      <c r="E2399" s="78" t="s">
        <v>41</v>
      </c>
      <c r="F2399" s="37">
        <v>1.0</v>
      </c>
      <c r="G2399" s="78" t="s">
        <v>32</v>
      </c>
      <c r="H2399" s="78">
        <v>1.0</v>
      </c>
      <c r="I2399" s="78" t="s">
        <v>33</v>
      </c>
      <c r="J2399" s="78" t="s">
        <v>47</v>
      </c>
      <c r="L2399" s="78" t="s">
        <v>76</v>
      </c>
      <c r="M2399" s="106" t="s">
        <v>6500</v>
      </c>
      <c r="N2399" s="106"/>
      <c r="O2399" s="160" t="str">
        <f>hyperlink("https://bad-boys.us/?q=SD-FL/1:19-cr-20163", "SD-FL 1:19-cr-20163")</f>
        <v>SD-FL 1:19-cr-20163</v>
      </c>
      <c r="P2399" s="103" t="s">
        <v>6501</v>
      </c>
      <c r="Q2399" s="37">
        <v>1.0</v>
      </c>
      <c r="S2399" s="37"/>
      <c r="T2399" s="38"/>
      <c r="U2399" s="38" t="b">
        <f t="shared" si="363"/>
        <v>0</v>
      </c>
      <c r="V2399" s="78" t="s">
        <v>33</v>
      </c>
      <c r="W2399" s="106"/>
      <c r="X2399" s="106"/>
      <c r="Y2399" s="102"/>
    </row>
    <row r="2400">
      <c r="A2400" s="87" t="s">
        <v>6502</v>
      </c>
      <c r="B2400" s="248"/>
      <c r="C2400" s="99">
        <v>43550.0</v>
      </c>
      <c r="E2400" s="78" t="s">
        <v>41</v>
      </c>
      <c r="F2400" s="37">
        <v>1.0</v>
      </c>
      <c r="G2400" s="78" t="s">
        <v>32</v>
      </c>
      <c r="H2400" s="78">
        <v>1.0</v>
      </c>
      <c r="I2400" s="78" t="s">
        <v>33</v>
      </c>
      <c r="J2400" s="78" t="s">
        <v>410</v>
      </c>
      <c r="L2400" s="78" t="s">
        <v>119</v>
      </c>
      <c r="M2400" s="46" t="s">
        <v>6503</v>
      </c>
      <c r="N2400" s="106"/>
      <c r="P2400" s="78"/>
      <c r="Q2400" s="37"/>
      <c r="S2400" s="37" t="str">
        <f>IFERROR(__xludf.DUMMYFUNCTION("if(not(iserror(index(split(C2400, "" ""),2))), index(split(C2400, "" ""),1),"""")"),"March")</f>
        <v>March</v>
      </c>
      <c r="T2400" s="38">
        <f>IFERROR(__xludf.DUMMYFUNCTION("if(S2400="""",C2400,if(not(iserror(index(split(C2400, "" ""),3))), index(split(C2400, "" ""),3),index(split(C2400, "" ""),2)))"),2019.0)</f>
        <v>2019</v>
      </c>
      <c r="U2400" s="38" t="b">
        <f t="shared" si="363"/>
        <v>0</v>
      </c>
      <c r="V2400" s="78"/>
      <c r="W2400" s="106"/>
      <c r="X2400" s="106"/>
      <c r="Y2400" s="102"/>
    </row>
    <row r="2401">
      <c r="A2401" s="87" t="s">
        <v>6504</v>
      </c>
      <c r="B2401" s="248"/>
      <c r="C2401" s="99">
        <v>43550.0</v>
      </c>
      <c r="E2401" s="78" t="s">
        <v>31</v>
      </c>
      <c r="F2401" s="37">
        <v>1.0</v>
      </c>
      <c r="G2401" s="78" t="s">
        <v>32</v>
      </c>
      <c r="H2401" s="78">
        <v>1.0</v>
      </c>
      <c r="I2401" s="78" t="s">
        <v>33</v>
      </c>
      <c r="J2401" s="78" t="s">
        <v>172</v>
      </c>
      <c r="L2401" s="78" t="s">
        <v>119</v>
      </c>
      <c r="M2401" s="106" t="s">
        <v>6505</v>
      </c>
      <c r="N2401" s="46" t="s">
        <v>6506</v>
      </c>
      <c r="P2401" s="78"/>
      <c r="Q2401" s="37"/>
      <c r="S2401" s="37"/>
      <c r="T2401" s="38"/>
      <c r="U2401" s="38"/>
      <c r="V2401" s="78" t="s">
        <v>33</v>
      </c>
      <c r="W2401" s="46" t="s">
        <v>6507</v>
      </c>
      <c r="X2401" s="46" t="s">
        <v>6508</v>
      </c>
      <c r="Y2401" s="102"/>
    </row>
    <row r="2402">
      <c r="A2402" s="87" t="s">
        <v>6509</v>
      </c>
      <c r="B2402" s="248"/>
      <c r="C2402" s="99">
        <v>43550.0</v>
      </c>
      <c r="E2402" s="78" t="s">
        <v>41</v>
      </c>
      <c r="F2402" s="37">
        <v>1.0</v>
      </c>
      <c r="G2402" s="78" t="s">
        <v>32</v>
      </c>
      <c r="H2402" s="78">
        <v>1.0</v>
      </c>
      <c r="I2402" s="78" t="s">
        <v>33</v>
      </c>
      <c r="J2402" s="78" t="s">
        <v>93</v>
      </c>
      <c r="L2402" s="78" t="s">
        <v>69</v>
      </c>
      <c r="M2402" s="287" t="s">
        <v>6510</v>
      </c>
      <c r="N2402" s="106"/>
      <c r="O2402" s="160" t="str">
        <f>hyperlink("https://bad-boys.us/?q=ND-NY/3:19-cr-00111", "ND-NY 3:19-cr-00111")</f>
        <v>ND-NY 3:19-cr-00111</v>
      </c>
      <c r="P2402" s="103" t="s">
        <v>6511</v>
      </c>
      <c r="Q2402" s="37">
        <v>1.0</v>
      </c>
      <c r="S2402" s="37"/>
      <c r="T2402" s="38"/>
      <c r="U2402" s="38" t="b">
        <f t="shared" ref="U2402:U2403" si="364">countif(A$4:A4658, A2402)&gt;1</f>
        <v>0</v>
      </c>
      <c r="V2402" s="78" t="s">
        <v>33</v>
      </c>
      <c r="W2402" s="106"/>
      <c r="X2402" s="106"/>
      <c r="Y2402" s="102"/>
    </row>
    <row r="2403">
      <c r="A2403" s="87" t="s">
        <v>6512</v>
      </c>
      <c r="B2403" s="248"/>
      <c r="C2403" s="99">
        <v>43551.0</v>
      </c>
      <c r="E2403" s="78" t="s">
        <v>41</v>
      </c>
      <c r="F2403" s="37">
        <v>1.0</v>
      </c>
      <c r="G2403" s="78" t="s">
        <v>32</v>
      </c>
      <c r="H2403" s="78">
        <v>1.0</v>
      </c>
      <c r="I2403" s="78" t="s">
        <v>33</v>
      </c>
      <c r="J2403" s="78" t="s">
        <v>184</v>
      </c>
      <c r="L2403" s="78" t="s">
        <v>69</v>
      </c>
      <c r="M2403" s="46" t="s">
        <v>6513</v>
      </c>
      <c r="N2403" s="106"/>
      <c r="P2403" s="78"/>
      <c r="Q2403" s="37"/>
      <c r="S2403" s="37" t="str">
        <f>IFERROR(__xludf.DUMMYFUNCTION("if(not(iserror(index(split(C2403, "" ""),2))), index(split(C2403, "" ""),1),"""")"),"March")</f>
        <v>March</v>
      </c>
      <c r="T2403" s="38">
        <f>IFERROR(__xludf.DUMMYFUNCTION("if(S2403="""",C2403,if(not(iserror(index(split(C2403, "" ""),3))), index(split(C2403, "" ""),3),index(split(C2403, "" ""),2)))"),2019.0)</f>
        <v>2019</v>
      </c>
      <c r="U2403" s="38" t="b">
        <f t="shared" si="364"/>
        <v>0</v>
      </c>
      <c r="V2403" s="78" t="s">
        <v>33</v>
      </c>
      <c r="W2403" s="106"/>
      <c r="X2403" s="106"/>
      <c r="Y2403" s="102"/>
    </row>
    <row r="2404">
      <c r="A2404" s="87" t="s">
        <v>6514</v>
      </c>
      <c r="B2404" s="248"/>
      <c r="C2404" s="99">
        <v>43551.0</v>
      </c>
      <c r="E2404" s="78" t="s">
        <v>41</v>
      </c>
      <c r="F2404" s="37">
        <v>1.0</v>
      </c>
      <c r="G2404" s="78" t="s">
        <v>32</v>
      </c>
      <c r="H2404" s="78">
        <v>1.0</v>
      </c>
      <c r="I2404" s="78" t="s">
        <v>33</v>
      </c>
      <c r="J2404" s="78" t="s">
        <v>106</v>
      </c>
      <c r="L2404" s="78" t="s">
        <v>119</v>
      </c>
      <c r="M2404" s="46" t="s">
        <v>6515</v>
      </c>
      <c r="N2404" s="106"/>
      <c r="P2404" s="78"/>
      <c r="Q2404" s="37"/>
      <c r="S2404" s="37"/>
      <c r="T2404" s="38"/>
      <c r="U2404" s="38"/>
      <c r="V2404" s="78" t="s">
        <v>33</v>
      </c>
      <c r="W2404" s="106"/>
      <c r="X2404" s="106"/>
      <c r="Y2404" s="102"/>
    </row>
    <row r="2405">
      <c r="A2405" s="280" t="s">
        <v>6516</v>
      </c>
      <c r="B2405" s="248"/>
      <c r="C2405" s="99">
        <v>43551.0</v>
      </c>
      <c r="E2405" s="78" t="s">
        <v>41</v>
      </c>
      <c r="F2405" s="37">
        <v>1.0</v>
      </c>
      <c r="G2405" s="37">
        <v>2.0</v>
      </c>
      <c r="H2405" s="78">
        <v>2.0</v>
      </c>
      <c r="I2405" s="78" t="s">
        <v>33</v>
      </c>
      <c r="J2405" s="78" t="s">
        <v>433</v>
      </c>
      <c r="L2405" s="78" t="s">
        <v>69</v>
      </c>
      <c r="M2405" s="106" t="s">
        <v>6517</v>
      </c>
      <c r="N2405" s="46" t="s">
        <v>6518</v>
      </c>
      <c r="O2405" s="160" t="str">
        <f>hyperlink("https://bad-boys.us/?q=D-MN/0:19-mj-00187", "D-MN 0:19-mj-00187")</f>
        <v>D-MN 0:19-mj-00187</v>
      </c>
      <c r="P2405" s="103" t="s">
        <v>6519</v>
      </c>
      <c r="Q2405" s="37">
        <v>1.0</v>
      </c>
      <c r="S2405" s="37" t="str">
        <f>IFERROR(__xludf.DUMMYFUNCTION("if(not(iserror(index(split(C2405, "" ""),2))), index(split(C2405, "" ""),1),"""")"),"March")</f>
        <v>March</v>
      </c>
      <c r="T2405" s="38">
        <f>IFERROR(__xludf.DUMMYFUNCTION("if(S2405="""",C2405,if(not(iserror(index(split(C2405, "" ""),3))), index(split(C2405, "" ""),3),index(split(C2405, "" ""),2)))"),2019.0)</f>
        <v>2019</v>
      </c>
      <c r="U2405" s="38" t="b">
        <f t="shared" ref="U2405:U2417" si="365">countif(A$4:A4658, A2405)&gt;1</f>
        <v>0</v>
      </c>
      <c r="V2405" s="78" t="s">
        <v>33</v>
      </c>
      <c r="W2405" s="46" t="s">
        <v>6520</v>
      </c>
      <c r="X2405" s="46" t="s">
        <v>6521</v>
      </c>
      <c r="Y2405" s="102"/>
    </row>
    <row r="2406">
      <c r="A2406" s="87" t="s">
        <v>6522</v>
      </c>
      <c r="B2406" s="248"/>
      <c r="C2406" s="99">
        <v>43551.0</v>
      </c>
      <c r="E2406" s="78" t="s">
        <v>41</v>
      </c>
      <c r="F2406" s="37">
        <v>1.0</v>
      </c>
      <c r="G2406" s="37" t="s">
        <v>32</v>
      </c>
      <c r="H2406" s="78">
        <v>1.0</v>
      </c>
      <c r="I2406" s="78" t="s">
        <v>33</v>
      </c>
      <c r="J2406" s="78" t="s">
        <v>184</v>
      </c>
      <c r="L2406" s="78" t="s">
        <v>119</v>
      </c>
      <c r="M2406" s="287" t="s">
        <v>6523</v>
      </c>
      <c r="N2406" s="106"/>
      <c r="O2406" s="160" t="str">
        <f>hyperlink("https://bad-boys.us/?q=SD-IL/3:19-cr-30030", "SD-IL 3:19-cr-30030")</f>
        <v>SD-IL 3:19-cr-30030</v>
      </c>
      <c r="Q2406" s="37">
        <v>1.0</v>
      </c>
      <c r="S2406" s="37" t="str">
        <f>IFERROR(__xludf.DUMMYFUNCTION("if(not(iserror(index(split(C2406, "" ""),2))), index(split(C2406, "" ""),1),"""")"),"March")</f>
        <v>March</v>
      </c>
      <c r="T2406" s="38">
        <f>IFERROR(__xludf.DUMMYFUNCTION("if(S2406="""",C2406,if(not(iserror(index(split(C2406, "" ""),3))), index(split(C2406, "" ""),3),index(split(C2406, "" ""),2)))"),2019.0)</f>
        <v>2019</v>
      </c>
      <c r="U2406" s="38" t="b">
        <f t="shared" si="365"/>
        <v>0</v>
      </c>
      <c r="V2406" s="78" t="s">
        <v>33</v>
      </c>
      <c r="W2406" s="106"/>
      <c r="X2406" s="106"/>
      <c r="Y2406" s="102"/>
    </row>
    <row r="2407">
      <c r="A2407" s="87" t="s">
        <v>6524</v>
      </c>
      <c r="B2407" s="248"/>
      <c r="C2407" s="99">
        <v>43551.0</v>
      </c>
      <c r="E2407" s="78" t="s">
        <v>31</v>
      </c>
      <c r="F2407" s="37">
        <v>1.0</v>
      </c>
      <c r="G2407" s="37" t="s">
        <v>32</v>
      </c>
      <c r="H2407" s="78">
        <v>1.0</v>
      </c>
      <c r="I2407" s="78" t="s">
        <v>33</v>
      </c>
      <c r="J2407" s="78" t="s">
        <v>179</v>
      </c>
      <c r="L2407" s="78" t="s">
        <v>119</v>
      </c>
      <c r="M2407" s="46" t="s">
        <v>6525</v>
      </c>
      <c r="N2407" s="46" t="s">
        <v>6526</v>
      </c>
      <c r="O2407" s="160" t="str">
        <f>hyperlink("https://bad-boys.us/?q=ED-VA/1:19-cr-00102", "ED-VA 1:19-cr-00102")</f>
        <v>ED-VA 1:19-cr-00102</v>
      </c>
      <c r="P2407" s="103" t="s">
        <v>6527</v>
      </c>
      <c r="Q2407" s="37">
        <v>1.0</v>
      </c>
      <c r="S2407" s="37" t="str">
        <f>IFERROR(__xludf.DUMMYFUNCTION("if(not(iserror(index(split(C2407, "" ""),2))), index(split(C2407, "" ""),1),"""")"),"March")</f>
        <v>March</v>
      </c>
      <c r="T2407" s="38">
        <f>IFERROR(__xludf.DUMMYFUNCTION("if(S2407="""",C2407,if(not(iserror(index(split(C2407, "" ""),3))), index(split(C2407, "" ""),3),index(split(C2407, "" ""),2)))"),2019.0)</f>
        <v>2019</v>
      </c>
      <c r="U2407" s="38" t="b">
        <f t="shared" si="365"/>
        <v>0</v>
      </c>
      <c r="V2407" s="78" t="s">
        <v>33</v>
      </c>
      <c r="W2407" s="46" t="s">
        <v>6528</v>
      </c>
      <c r="X2407" s="46" t="s">
        <v>6529</v>
      </c>
      <c r="Y2407" s="102"/>
    </row>
    <row r="2408">
      <c r="A2408" s="87" t="s">
        <v>6463</v>
      </c>
      <c r="B2408" s="248"/>
      <c r="C2408" s="99">
        <v>43552.0</v>
      </c>
      <c r="E2408" s="78" t="s">
        <v>41</v>
      </c>
      <c r="F2408" s="37">
        <v>1.0</v>
      </c>
      <c r="G2408" s="37" t="s">
        <v>32</v>
      </c>
      <c r="H2408" s="78">
        <v>1.0</v>
      </c>
      <c r="I2408" s="78" t="s">
        <v>33</v>
      </c>
      <c r="J2408" s="78" t="s">
        <v>93</v>
      </c>
      <c r="L2408" s="78" t="s">
        <v>69</v>
      </c>
      <c r="M2408" s="106" t="s">
        <v>6464</v>
      </c>
      <c r="N2408" s="106"/>
      <c r="O2408" s="160" t="str">
        <f>hyperlink("https://bad-boys.us/?q=ND-NY/1:19-mj-00164", "ND-NY 1:19-mj-00164")</f>
        <v>ND-NY 1:19-mj-00164</v>
      </c>
      <c r="P2408" s="103" t="s">
        <v>6465</v>
      </c>
      <c r="Q2408" s="37">
        <v>1.0</v>
      </c>
      <c r="S2408" s="37" t="str">
        <f>IFERROR(__xludf.DUMMYFUNCTION("if(not(iserror(index(split(C2408, "" ""),2))), index(split(C2408, "" ""),1),"""")"),"March")</f>
        <v>March</v>
      </c>
      <c r="T2408" s="38">
        <f>IFERROR(__xludf.DUMMYFUNCTION("if(S2408="""",C2408,if(not(iserror(index(split(C2408, "" ""),3))), index(split(C2408, "" ""),3),index(split(C2408, "" ""),2)))"),2019.0)</f>
        <v>2019</v>
      </c>
      <c r="U2408" s="38" t="b">
        <f t="shared" si="365"/>
        <v>1</v>
      </c>
      <c r="V2408" s="78" t="s">
        <v>33</v>
      </c>
      <c r="W2408" s="106"/>
      <c r="X2408" s="106"/>
      <c r="Y2408" s="102"/>
    </row>
    <row r="2409">
      <c r="A2409" s="87" t="s">
        <v>6530</v>
      </c>
      <c r="B2409" s="248"/>
      <c r="C2409" s="99">
        <v>43552.0</v>
      </c>
      <c r="E2409" s="78" t="s">
        <v>41</v>
      </c>
      <c r="F2409" s="37">
        <v>1.0</v>
      </c>
      <c r="G2409" s="37" t="s">
        <v>32</v>
      </c>
      <c r="H2409" s="78">
        <v>1.0</v>
      </c>
      <c r="I2409" s="78" t="s">
        <v>33</v>
      </c>
      <c r="J2409" s="78" t="s">
        <v>343</v>
      </c>
      <c r="L2409" s="78" t="s">
        <v>119</v>
      </c>
      <c r="M2409" s="46" t="s">
        <v>6531</v>
      </c>
      <c r="N2409" s="106"/>
      <c r="P2409" s="78"/>
      <c r="Q2409" s="37"/>
      <c r="S2409" s="37" t="str">
        <f>IFERROR(__xludf.DUMMYFUNCTION("if(not(iserror(index(split(C2409, "" ""),2))), index(split(C2409, "" ""),1),"""")"),"March")</f>
        <v>March</v>
      </c>
      <c r="T2409" s="38">
        <f>IFERROR(__xludf.DUMMYFUNCTION("if(S2409="""",C2409,if(not(iserror(index(split(C2409, "" ""),3))), index(split(C2409, "" ""),3),index(split(C2409, "" ""),2)))"),2019.0)</f>
        <v>2019</v>
      </c>
      <c r="U2409" s="38" t="b">
        <f t="shared" si="365"/>
        <v>0</v>
      </c>
      <c r="V2409" s="78" t="s">
        <v>33</v>
      </c>
      <c r="W2409" s="106"/>
      <c r="X2409" s="106"/>
      <c r="Y2409" s="102"/>
    </row>
    <row r="2410">
      <c r="A2410" s="87" t="s">
        <v>239</v>
      </c>
      <c r="B2410" s="248"/>
      <c r="C2410" s="99">
        <v>43552.0</v>
      </c>
      <c r="E2410" s="78" t="s">
        <v>41</v>
      </c>
      <c r="F2410" s="37">
        <v>1.0</v>
      </c>
      <c r="G2410" s="37">
        <v>3.0</v>
      </c>
      <c r="H2410" s="78">
        <v>3.0</v>
      </c>
      <c r="I2410" s="78" t="s">
        <v>33</v>
      </c>
      <c r="J2410" s="78" t="s">
        <v>241</v>
      </c>
      <c r="L2410" s="78" t="s">
        <v>194</v>
      </c>
      <c r="M2410" s="46" t="s">
        <v>6532</v>
      </c>
      <c r="N2410" s="106"/>
      <c r="Q2410" s="37"/>
      <c r="S2410" s="37" t="str">
        <f>IFERROR(__xludf.DUMMYFUNCTION("if(not(iserror(index(split(C2410, "" ""),2))), index(split(C2410, "" ""),1),"""")"),"March")</f>
        <v>March</v>
      </c>
      <c r="T2410" s="38">
        <f>IFERROR(__xludf.DUMMYFUNCTION("if(S2410="""",C2410,if(not(iserror(index(split(C2410, "" ""),3))), index(split(C2410, "" ""),3),index(split(C2410, "" ""),2)))"),2019.0)</f>
        <v>2019</v>
      </c>
      <c r="U2410" s="38" t="b">
        <f t="shared" si="365"/>
        <v>1</v>
      </c>
      <c r="V2410" s="78" t="s">
        <v>33</v>
      </c>
      <c r="W2410" s="106"/>
      <c r="X2410" s="106"/>
      <c r="Y2410" s="102"/>
    </row>
    <row r="2411">
      <c r="A2411" s="87" t="s">
        <v>239</v>
      </c>
      <c r="B2411" s="248"/>
      <c r="C2411" s="99">
        <v>43552.0</v>
      </c>
      <c r="E2411" s="78" t="s">
        <v>41</v>
      </c>
      <c r="F2411" s="37">
        <v>1.0</v>
      </c>
      <c r="G2411" s="37">
        <v>15.0</v>
      </c>
      <c r="H2411" s="78">
        <v>15.0</v>
      </c>
      <c r="I2411" s="78" t="s">
        <v>33</v>
      </c>
      <c r="J2411" s="78" t="s">
        <v>147</v>
      </c>
      <c r="L2411" s="78" t="s">
        <v>194</v>
      </c>
      <c r="M2411" s="46" t="s">
        <v>6533</v>
      </c>
      <c r="N2411" s="106"/>
      <c r="Q2411" s="37"/>
      <c r="S2411" s="37" t="str">
        <f>IFERROR(__xludf.DUMMYFUNCTION("if(not(iserror(index(split(C2411, "" ""),2))), index(split(C2411, "" ""),1),"""")"),"March")</f>
        <v>March</v>
      </c>
      <c r="T2411" s="38">
        <f>IFERROR(__xludf.DUMMYFUNCTION("if(S2411="""",C2411,if(not(iserror(index(split(C2411, "" ""),3))), index(split(C2411, "" ""),3),index(split(C2411, "" ""),2)))"),2019.0)</f>
        <v>2019</v>
      </c>
      <c r="U2411" s="38" t="b">
        <f t="shared" si="365"/>
        <v>1</v>
      </c>
      <c r="V2411" s="78" t="s">
        <v>33</v>
      </c>
      <c r="W2411" s="106"/>
      <c r="X2411" s="106"/>
      <c r="Y2411" s="102"/>
    </row>
    <row r="2412">
      <c r="A2412" s="87" t="s">
        <v>239</v>
      </c>
      <c r="B2412" s="248"/>
      <c r="C2412" s="99">
        <v>43552.0</v>
      </c>
      <c r="E2412" s="78" t="s">
        <v>41</v>
      </c>
      <c r="F2412" s="37">
        <v>1.0</v>
      </c>
      <c r="G2412" s="37">
        <v>54.0</v>
      </c>
      <c r="H2412" s="78">
        <v>54.0</v>
      </c>
      <c r="I2412" s="78" t="s">
        <v>33</v>
      </c>
      <c r="J2412" s="78" t="s">
        <v>147</v>
      </c>
      <c r="L2412" s="78" t="s">
        <v>194</v>
      </c>
      <c r="M2412" s="46" t="s">
        <v>6534</v>
      </c>
      <c r="N2412" s="106"/>
      <c r="Q2412" s="37"/>
      <c r="S2412" s="37" t="str">
        <f>IFERROR(__xludf.DUMMYFUNCTION("if(not(iserror(index(split(C2412, "" ""),2))), index(split(C2412, "" ""),1),"""")"),"March")</f>
        <v>March</v>
      </c>
      <c r="T2412" s="38">
        <f>IFERROR(__xludf.DUMMYFUNCTION("if(S2412="""",C2412,if(not(iserror(index(split(C2412, "" ""),3))), index(split(C2412, "" ""),3),index(split(C2412, "" ""),2)))"),2019.0)</f>
        <v>2019</v>
      </c>
      <c r="U2412" s="38" t="b">
        <f t="shared" si="365"/>
        <v>1</v>
      </c>
      <c r="V2412" s="78"/>
      <c r="W2412" s="106"/>
      <c r="X2412" s="106"/>
      <c r="Y2412" s="102"/>
    </row>
    <row r="2413">
      <c r="A2413" s="87" t="s">
        <v>6535</v>
      </c>
      <c r="B2413" s="248"/>
      <c r="C2413" s="99">
        <v>43552.0</v>
      </c>
      <c r="E2413" s="78" t="s">
        <v>31</v>
      </c>
      <c r="F2413" s="37">
        <v>1.0</v>
      </c>
      <c r="G2413" s="78" t="s">
        <v>32</v>
      </c>
      <c r="H2413" s="78">
        <v>1.0</v>
      </c>
      <c r="I2413" s="78" t="s">
        <v>33</v>
      </c>
      <c r="J2413" s="78" t="s">
        <v>124</v>
      </c>
      <c r="L2413" s="78" t="s">
        <v>69</v>
      </c>
      <c r="M2413" s="46" t="s">
        <v>6536</v>
      </c>
      <c r="N2413" s="46" t="s">
        <v>6537</v>
      </c>
      <c r="O2413" s="160" t="str">
        <f>hyperlink("https://bad-boys.us/?q=ND-OH/1:19-cr-00178", "ND-OH 1:19-cr-00178")</f>
        <v>ND-OH 1:19-cr-00178</v>
      </c>
      <c r="P2413" s="103" t="s">
        <v>6538</v>
      </c>
      <c r="Q2413" s="37">
        <v>1.0</v>
      </c>
      <c r="S2413" s="37" t="str">
        <f>IFERROR(__xludf.DUMMYFUNCTION("if(not(iserror(index(split(C2413, "" ""),2))), index(split(C2413, "" ""),1),"""")"),"March")</f>
        <v>March</v>
      </c>
      <c r="T2413" s="38">
        <f>IFERROR(__xludf.DUMMYFUNCTION("if(S2413="""",C2413,if(not(iserror(index(split(C2413, "" ""),3))), index(split(C2413, "" ""),3),index(split(C2413, "" ""),2)))"),2019.0)</f>
        <v>2019</v>
      </c>
      <c r="U2413" s="38" t="b">
        <f t="shared" si="365"/>
        <v>0</v>
      </c>
      <c r="V2413" s="78" t="s">
        <v>33</v>
      </c>
      <c r="W2413" s="106"/>
      <c r="X2413" s="106"/>
      <c r="Y2413" s="102"/>
    </row>
    <row r="2414">
      <c r="A2414" s="87" t="s">
        <v>6539</v>
      </c>
      <c r="B2414" s="248"/>
      <c r="C2414" s="99">
        <v>43553.0</v>
      </c>
      <c r="E2414" s="78" t="s">
        <v>41</v>
      </c>
      <c r="F2414" s="37">
        <v>1.0</v>
      </c>
      <c r="G2414" s="37" t="s">
        <v>32</v>
      </c>
      <c r="H2414" s="78">
        <v>1.0</v>
      </c>
      <c r="I2414" s="78" t="s">
        <v>33</v>
      </c>
      <c r="J2414" s="78" t="s">
        <v>47</v>
      </c>
      <c r="L2414" s="78" t="s">
        <v>119</v>
      </c>
      <c r="M2414" s="46" t="s">
        <v>6540</v>
      </c>
      <c r="N2414" s="288"/>
      <c r="P2414" s="78"/>
      <c r="Q2414" s="37"/>
      <c r="S2414" s="37" t="str">
        <f>IFERROR(__xludf.DUMMYFUNCTION("if(not(iserror(index(split(C2414, "" ""),2))), index(split(C2414, "" ""),1),"""")"),"March")</f>
        <v>March</v>
      </c>
      <c r="T2414" s="38">
        <f>IFERROR(__xludf.DUMMYFUNCTION("if(S2414="""",C2414,if(not(iserror(index(split(C2414, "" ""),3))), index(split(C2414, "" ""),3),index(split(C2414, "" ""),2)))"),2019.0)</f>
        <v>2019</v>
      </c>
      <c r="U2414" s="38" t="b">
        <f t="shared" si="365"/>
        <v>0</v>
      </c>
      <c r="V2414" s="78" t="s">
        <v>33</v>
      </c>
      <c r="W2414" s="106"/>
      <c r="X2414" s="288"/>
      <c r="Y2414" s="102"/>
    </row>
    <row r="2415">
      <c r="A2415" s="87" t="s">
        <v>6541</v>
      </c>
      <c r="B2415" s="248"/>
      <c r="C2415" s="99">
        <v>43553.0</v>
      </c>
      <c r="E2415" s="78" t="s">
        <v>41</v>
      </c>
      <c r="F2415" s="37">
        <v>1.0</v>
      </c>
      <c r="G2415" s="37">
        <v>1.0</v>
      </c>
      <c r="H2415" s="78">
        <v>1.0</v>
      </c>
      <c r="I2415" s="78" t="s">
        <v>33</v>
      </c>
      <c r="J2415" s="78" t="s">
        <v>228</v>
      </c>
      <c r="L2415" s="78" t="s">
        <v>646</v>
      </c>
      <c r="M2415" s="46" t="s">
        <v>6542</v>
      </c>
      <c r="N2415" s="288"/>
      <c r="Q2415" s="37"/>
      <c r="S2415" s="37" t="str">
        <f>IFERROR(__xludf.DUMMYFUNCTION("if(not(iserror(index(split(C2415, "" ""),2))), index(split(C2415, "" ""),1),"""")"),"March")</f>
        <v>March</v>
      </c>
      <c r="T2415" s="38">
        <f>IFERROR(__xludf.DUMMYFUNCTION("if(S2415="""",C2415,if(not(iserror(index(split(C2415, "" ""),3))), index(split(C2415, "" ""),3),index(split(C2415, "" ""),2)))"),2019.0)</f>
        <v>2019</v>
      </c>
      <c r="U2415" s="38" t="b">
        <f t="shared" si="365"/>
        <v>0</v>
      </c>
      <c r="V2415" s="78" t="s">
        <v>33</v>
      </c>
      <c r="W2415" s="106"/>
      <c r="X2415" s="288"/>
      <c r="Y2415" s="102"/>
    </row>
    <row r="2416">
      <c r="A2416" s="87" t="s">
        <v>6543</v>
      </c>
      <c r="B2416" s="248"/>
      <c r="C2416" s="99">
        <v>43553.0</v>
      </c>
      <c r="E2416" s="78" t="s">
        <v>41</v>
      </c>
      <c r="F2416" s="37">
        <v>1.0</v>
      </c>
      <c r="G2416" s="37" t="s">
        <v>32</v>
      </c>
      <c r="H2416" s="78">
        <v>1.0</v>
      </c>
      <c r="I2416" s="78" t="s">
        <v>33</v>
      </c>
      <c r="J2416" s="78" t="s">
        <v>433</v>
      </c>
      <c r="L2416" s="78" t="s">
        <v>76</v>
      </c>
      <c r="M2416" s="46" t="s">
        <v>6544</v>
      </c>
      <c r="N2416" s="288"/>
      <c r="O2416" s="160" t="str">
        <f>hyperlink("https://bad-boys.us/?q=D-MN/0:19-cr-00091", "D-MN 0:19-cr-00091")</f>
        <v>D-MN 0:19-cr-00091</v>
      </c>
      <c r="P2416" s="103" t="s">
        <v>6545</v>
      </c>
      <c r="Q2416" s="37">
        <v>1.0</v>
      </c>
      <c r="S2416" s="37"/>
      <c r="T2416" s="38"/>
      <c r="U2416" s="38" t="b">
        <f t="shared" si="365"/>
        <v>0</v>
      </c>
      <c r="V2416" s="78"/>
      <c r="W2416" s="106"/>
      <c r="X2416" s="288"/>
      <c r="Y2416" s="102"/>
    </row>
    <row r="2417">
      <c r="A2417" s="87" t="s">
        <v>239</v>
      </c>
      <c r="B2417" s="248"/>
      <c r="C2417" s="99">
        <v>43553.0</v>
      </c>
      <c r="E2417" s="78" t="s">
        <v>41</v>
      </c>
      <c r="F2417" s="37">
        <v>1.0</v>
      </c>
      <c r="G2417" s="37">
        <v>2.0</v>
      </c>
      <c r="H2417" s="78">
        <v>2.0</v>
      </c>
      <c r="I2417" s="78" t="s">
        <v>33</v>
      </c>
      <c r="J2417" s="78" t="s">
        <v>241</v>
      </c>
      <c r="L2417" s="78" t="s">
        <v>194</v>
      </c>
      <c r="M2417" s="46" t="s">
        <v>6546</v>
      </c>
      <c r="N2417" s="288"/>
      <c r="Q2417" s="91"/>
      <c r="S2417" s="37" t="str">
        <f>IFERROR(__xludf.DUMMYFUNCTION("if(not(iserror(index(split(C2417, "" ""),2))), index(split(C2417, "" ""),1),"""")"),"March")</f>
        <v>March</v>
      </c>
      <c r="T2417" s="38">
        <f>IFERROR(__xludf.DUMMYFUNCTION("if(S2417="""",C2417,if(not(iserror(index(split(C2417, "" ""),3))), index(split(C2417, "" ""),3),index(split(C2417, "" ""),2)))"),2019.0)</f>
        <v>2019</v>
      </c>
      <c r="U2417" s="38" t="b">
        <f t="shared" si="365"/>
        <v>1</v>
      </c>
      <c r="V2417" s="78" t="s">
        <v>33</v>
      </c>
      <c r="W2417" s="106"/>
      <c r="X2417" s="288"/>
      <c r="Y2417" s="102"/>
    </row>
    <row r="2418">
      <c r="A2418" s="87" t="s">
        <v>6547</v>
      </c>
      <c r="B2418" s="248"/>
      <c r="C2418" s="99">
        <v>43556.0</v>
      </c>
      <c r="E2418" s="78" t="s">
        <v>41</v>
      </c>
      <c r="F2418" s="37">
        <v>1.0</v>
      </c>
      <c r="G2418" s="37" t="s">
        <v>32</v>
      </c>
      <c r="H2418" s="78">
        <v>1.0</v>
      </c>
      <c r="I2418" s="78" t="s">
        <v>33</v>
      </c>
      <c r="J2418" s="78" t="s">
        <v>460</v>
      </c>
      <c r="L2418" s="78" t="s">
        <v>69</v>
      </c>
      <c r="M2418" s="46" t="s">
        <v>6548</v>
      </c>
      <c r="N2418" s="288"/>
      <c r="Q2418" s="37"/>
      <c r="S2418" s="37"/>
      <c r="T2418" s="38"/>
      <c r="U2418" s="38"/>
      <c r="V2418" s="78" t="s">
        <v>33</v>
      </c>
      <c r="W2418" s="106"/>
      <c r="X2418" s="288"/>
      <c r="Y2418" s="102"/>
    </row>
    <row r="2419">
      <c r="A2419" s="87" t="s">
        <v>6549</v>
      </c>
      <c r="B2419" s="248"/>
      <c r="C2419" s="100">
        <v>43556.0</v>
      </c>
      <c r="E2419" s="78" t="s">
        <v>41</v>
      </c>
      <c r="F2419" s="37">
        <v>1.0</v>
      </c>
      <c r="G2419" s="37" t="s">
        <v>32</v>
      </c>
      <c r="H2419" s="78">
        <v>1.0</v>
      </c>
      <c r="I2419" s="78" t="s">
        <v>33</v>
      </c>
      <c r="J2419" s="78" t="s">
        <v>61</v>
      </c>
      <c r="L2419" s="78" t="s">
        <v>119</v>
      </c>
      <c r="M2419" s="46" t="s">
        <v>6550</v>
      </c>
      <c r="N2419" s="106"/>
      <c r="Q2419" s="37">
        <v>1.0</v>
      </c>
      <c r="S2419" s="37"/>
      <c r="T2419" s="38"/>
      <c r="U2419" s="38"/>
      <c r="V2419" s="78" t="s">
        <v>33</v>
      </c>
      <c r="W2419" s="106"/>
      <c r="X2419" s="288"/>
      <c r="Y2419" s="102"/>
    </row>
    <row r="2420">
      <c r="A2420" s="87" t="s">
        <v>6551</v>
      </c>
      <c r="B2420" s="248"/>
      <c r="C2420" s="100">
        <v>43556.0</v>
      </c>
      <c r="E2420" s="78" t="s">
        <v>31</v>
      </c>
      <c r="F2420" s="37">
        <v>1.0</v>
      </c>
      <c r="G2420" s="37">
        <v>3.0</v>
      </c>
      <c r="H2420" s="78">
        <v>3.0</v>
      </c>
      <c r="I2420" s="78" t="s">
        <v>33</v>
      </c>
      <c r="J2420" s="78" t="s">
        <v>241</v>
      </c>
      <c r="L2420" s="78" t="s">
        <v>2383</v>
      </c>
      <c r="M2420" s="46" t="s">
        <v>6552</v>
      </c>
      <c r="N2420" s="106"/>
      <c r="Q2420" s="37"/>
      <c r="S2420" s="37"/>
      <c r="T2420" s="38"/>
      <c r="U2420" s="38"/>
      <c r="V2420" s="78" t="s">
        <v>33</v>
      </c>
      <c r="W2420" s="106"/>
      <c r="X2420" s="46" t="s">
        <v>6553</v>
      </c>
      <c r="Y2420" s="102"/>
    </row>
    <row r="2421">
      <c r="A2421" s="87" t="s">
        <v>6554</v>
      </c>
      <c r="B2421" s="248"/>
      <c r="C2421" s="100">
        <v>43556.0</v>
      </c>
      <c r="E2421" s="78" t="s">
        <v>41</v>
      </c>
      <c r="F2421" s="37">
        <v>1.0</v>
      </c>
      <c r="G2421" s="37" t="s">
        <v>32</v>
      </c>
      <c r="H2421" s="78">
        <v>1.0</v>
      </c>
      <c r="I2421" s="78" t="s">
        <v>33</v>
      </c>
      <c r="J2421" s="78" t="s">
        <v>410</v>
      </c>
      <c r="L2421" s="78" t="s">
        <v>76</v>
      </c>
      <c r="M2421" s="46" t="s">
        <v>6555</v>
      </c>
      <c r="N2421" s="106"/>
      <c r="Q2421" s="37"/>
      <c r="S2421" s="37"/>
      <c r="T2421" s="38"/>
      <c r="U2421" s="38"/>
      <c r="V2421" s="78" t="s">
        <v>33</v>
      </c>
      <c r="W2421" s="106"/>
      <c r="X2421" s="288"/>
      <c r="Y2421" s="102"/>
    </row>
    <row r="2422">
      <c r="A2422" s="87" t="s">
        <v>6556</v>
      </c>
      <c r="B2422" s="248"/>
      <c r="C2422" s="100">
        <v>43556.0</v>
      </c>
      <c r="E2422" s="78" t="s">
        <v>41</v>
      </c>
      <c r="F2422" s="37">
        <v>1.0</v>
      </c>
      <c r="G2422" s="37" t="s">
        <v>32</v>
      </c>
      <c r="H2422" s="78">
        <v>1.0</v>
      </c>
      <c r="I2422" s="78" t="s">
        <v>33</v>
      </c>
      <c r="J2422" s="78" t="s">
        <v>115</v>
      </c>
      <c r="L2422" s="78" t="s">
        <v>76</v>
      </c>
      <c r="M2422" s="46" t="s">
        <v>6557</v>
      </c>
      <c r="N2422" s="106"/>
      <c r="Q2422" s="37"/>
      <c r="S2422" s="37"/>
      <c r="T2422" s="38"/>
      <c r="U2422" s="38"/>
      <c r="V2422" s="78"/>
      <c r="W2422" s="106"/>
      <c r="X2422" s="288"/>
      <c r="Y2422" s="102"/>
    </row>
    <row r="2423">
      <c r="A2423" s="87" t="s">
        <v>6558</v>
      </c>
      <c r="B2423" s="248"/>
      <c r="C2423" s="100">
        <v>43556.0</v>
      </c>
      <c r="E2423" s="78" t="s">
        <v>31</v>
      </c>
      <c r="F2423" s="37">
        <v>1.0</v>
      </c>
      <c r="G2423" s="37" t="s">
        <v>32</v>
      </c>
      <c r="H2423" s="78">
        <v>1.0</v>
      </c>
      <c r="I2423" s="78" t="s">
        <v>33</v>
      </c>
      <c r="J2423" s="78" t="s">
        <v>132</v>
      </c>
      <c r="L2423" s="78" t="s">
        <v>119</v>
      </c>
      <c r="M2423" s="46" t="s">
        <v>6559</v>
      </c>
      <c r="N2423" s="46" t="s">
        <v>6560</v>
      </c>
      <c r="O2423" s="160" t="str">
        <f>hyperlink("https://bad-boys.us/?q=ND-MS/3:18-cr-00100", "ND-MS 3:18-cr-00100")</f>
        <v>ND-MS 3:18-cr-00100</v>
      </c>
      <c r="Q2423" s="37">
        <v>1.0</v>
      </c>
      <c r="S2423" s="37" t="str">
        <f>IFERROR(__xludf.DUMMYFUNCTION("if(not(iserror(index(split(C2423, "" ""),2))), index(split(C2423, "" ""),1),"""")"),"April,")</f>
        <v>April,</v>
      </c>
      <c r="T2423" s="38">
        <f>IFERROR(__xludf.DUMMYFUNCTION("if(S2423="""",C2423,if(not(iserror(index(split(C2423, "" ""),3))), index(split(C2423, "" ""),3),index(split(C2423, "" ""),2)))"),2019.0)</f>
        <v>2019</v>
      </c>
      <c r="U2423" s="38" t="b">
        <f t="shared" ref="U2423:U2425" si="366">countif(A$4:A4658, A2423)&gt;1</f>
        <v>0</v>
      </c>
      <c r="V2423" s="78" t="s">
        <v>33</v>
      </c>
      <c r="W2423" s="46" t="s">
        <v>6561</v>
      </c>
      <c r="X2423" s="288"/>
      <c r="Y2423" s="102"/>
    </row>
    <row r="2424">
      <c r="A2424" s="87" t="s">
        <v>6562</v>
      </c>
      <c r="B2424" s="248"/>
      <c r="C2424" s="100">
        <v>43556.0</v>
      </c>
      <c r="E2424" s="78" t="s">
        <v>41</v>
      </c>
      <c r="F2424" s="37">
        <v>1.0</v>
      </c>
      <c r="G2424" s="37">
        <v>1.0</v>
      </c>
      <c r="H2424" s="78">
        <v>1.0</v>
      </c>
      <c r="I2424" s="78" t="s">
        <v>33</v>
      </c>
      <c r="J2424" s="78" t="s">
        <v>98</v>
      </c>
      <c r="L2424" s="78" t="s">
        <v>76</v>
      </c>
      <c r="M2424" s="106" t="s">
        <v>6563</v>
      </c>
      <c r="N2424" s="106"/>
      <c r="O2424" s="160" t="str">
        <f>hyperlink("https://bad-boys.us/?q=SD-GA/1:19-cr-00049", "SD-GA 1:19-cr-00049")</f>
        <v>SD-GA 1:19-cr-00049</v>
      </c>
      <c r="P2424" s="103" t="s">
        <v>6564</v>
      </c>
      <c r="Q2424" s="37">
        <v>1.0</v>
      </c>
      <c r="S2424" s="37"/>
      <c r="T2424" s="38"/>
      <c r="U2424" s="38" t="b">
        <f t="shared" si="366"/>
        <v>0</v>
      </c>
      <c r="V2424" s="78" t="s">
        <v>33</v>
      </c>
      <c r="W2424" s="106"/>
      <c r="X2424" s="288"/>
      <c r="Y2424" s="102"/>
    </row>
    <row r="2425">
      <c r="A2425" s="87" t="s">
        <v>6565</v>
      </c>
      <c r="B2425" s="248"/>
      <c r="C2425" s="100">
        <v>43556.0</v>
      </c>
      <c r="E2425" s="78" t="s">
        <v>41</v>
      </c>
      <c r="F2425" s="37">
        <v>1.0</v>
      </c>
      <c r="G2425" s="37" t="s">
        <v>32</v>
      </c>
      <c r="H2425" s="78">
        <v>1.0</v>
      </c>
      <c r="I2425" s="78" t="s">
        <v>33</v>
      </c>
      <c r="J2425" s="78" t="s">
        <v>222</v>
      </c>
      <c r="L2425" s="78" t="s">
        <v>119</v>
      </c>
      <c r="M2425" s="46" t="s">
        <v>6566</v>
      </c>
      <c r="N2425" s="288"/>
      <c r="O2425" s="160" t="str">
        <f>hyperlink("https://bad-boys.us/?q=WD-WI/3:19-cr-00053", "WD-WI 3:19-cr-00053")</f>
        <v>WD-WI 3:19-cr-00053</v>
      </c>
      <c r="P2425" s="103" t="s">
        <v>6567</v>
      </c>
      <c r="Q2425" s="37">
        <v>1.0</v>
      </c>
      <c r="S2425" s="37" t="str">
        <f>IFERROR(__xludf.DUMMYFUNCTION("if(not(iserror(index(split(C2425, "" ""),2))), index(split(C2425, "" ""),1),"""")"),"April,")</f>
        <v>April,</v>
      </c>
      <c r="T2425" s="38">
        <f>IFERROR(__xludf.DUMMYFUNCTION("if(S2425="""",C2425,if(not(iserror(index(split(C2425, "" ""),3))), index(split(C2425, "" ""),3),index(split(C2425, "" ""),2)))"),2019.0)</f>
        <v>2019</v>
      </c>
      <c r="U2425" s="38" t="b">
        <f t="shared" si="366"/>
        <v>0</v>
      </c>
      <c r="V2425" s="78" t="s">
        <v>33</v>
      </c>
      <c r="W2425" s="106"/>
      <c r="X2425" s="288"/>
      <c r="Y2425" s="102"/>
    </row>
    <row r="2426">
      <c r="A2426" s="87" t="s">
        <v>6568</v>
      </c>
      <c r="B2426" s="248"/>
      <c r="C2426" s="99">
        <v>43556.0</v>
      </c>
      <c r="E2426" s="78" t="s">
        <v>41</v>
      </c>
      <c r="F2426" s="37">
        <v>1.0</v>
      </c>
      <c r="G2426" s="37" t="s">
        <v>32</v>
      </c>
      <c r="H2426" s="78">
        <v>1.0</v>
      </c>
      <c r="I2426" s="78" t="s">
        <v>33</v>
      </c>
      <c r="J2426" s="78" t="s">
        <v>460</v>
      </c>
      <c r="L2426" s="78" t="s">
        <v>119</v>
      </c>
      <c r="M2426" s="46" t="s">
        <v>6569</v>
      </c>
      <c r="N2426" s="288"/>
      <c r="P2426" s="78"/>
      <c r="Q2426" s="37"/>
      <c r="S2426" s="37"/>
      <c r="T2426" s="38"/>
      <c r="U2426" s="38"/>
      <c r="V2426" s="78" t="s">
        <v>33</v>
      </c>
      <c r="W2426" s="106"/>
      <c r="X2426" s="288"/>
      <c r="Y2426" s="102"/>
    </row>
    <row r="2427">
      <c r="A2427" s="87" t="s">
        <v>6570</v>
      </c>
      <c r="B2427" s="248"/>
      <c r="C2427" s="99">
        <v>43556.0</v>
      </c>
      <c r="E2427" s="78" t="s">
        <v>41</v>
      </c>
      <c r="F2427" s="37">
        <v>1.0</v>
      </c>
      <c r="G2427" s="37">
        <v>1.0</v>
      </c>
      <c r="H2427" s="78">
        <v>1.0</v>
      </c>
      <c r="I2427" s="78" t="s">
        <v>33</v>
      </c>
      <c r="J2427" s="78" t="s">
        <v>144</v>
      </c>
      <c r="L2427" s="78" t="s">
        <v>6571</v>
      </c>
      <c r="M2427" s="106" t="s">
        <v>6572</v>
      </c>
      <c r="N2427" s="288"/>
      <c r="O2427" s="160" t="str">
        <f>hyperlink("https://bad-boys.us/?q=D-MT/4:19-cr-00020", "D-MT 4:19-cr-00020")</f>
        <v>D-MT 4:19-cr-00020</v>
      </c>
      <c r="P2427" s="103" t="s">
        <v>6573</v>
      </c>
      <c r="Q2427" s="37">
        <v>1.0</v>
      </c>
      <c r="S2427" s="37" t="str">
        <f>IFERROR(__xludf.DUMMYFUNCTION("if(not(iserror(index(split(C2427, "" ""),2))), index(split(C2427, "" ""),1),"""")"),"April")</f>
        <v>April</v>
      </c>
      <c r="T2427" s="38">
        <f>IFERROR(__xludf.DUMMYFUNCTION("if(S2427="""",C2427,if(not(iserror(index(split(C2427, "" ""),3))), index(split(C2427, "" ""),3),index(split(C2427, "" ""),2)))"),2019.0)</f>
        <v>2019</v>
      </c>
      <c r="U2427" s="38" t="b">
        <f t="shared" ref="U2427:U2435" si="367">countif(A$4:A4658, A2427)&gt;1</f>
        <v>0</v>
      </c>
      <c r="V2427" s="78" t="s">
        <v>33</v>
      </c>
      <c r="W2427" s="106"/>
      <c r="X2427" s="288"/>
      <c r="Y2427" s="102"/>
    </row>
    <row r="2428">
      <c r="A2428" s="87" t="s">
        <v>6574</v>
      </c>
      <c r="B2428" s="248"/>
      <c r="C2428" s="99">
        <v>43556.0</v>
      </c>
      <c r="E2428" s="78" t="s">
        <v>31</v>
      </c>
      <c r="F2428" s="37">
        <v>1.0</v>
      </c>
      <c r="G2428" s="37" t="s">
        <v>32</v>
      </c>
      <c r="H2428" s="78">
        <v>1.0</v>
      </c>
      <c r="I2428" s="78" t="s">
        <v>33</v>
      </c>
      <c r="J2428" s="78" t="s">
        <v>413</v>
      </c>
      <c r="L2428" s="78" t="s">
        <v>119</v>
      </c>
      <c r="M2428" s="46" t="s">
        <v>6575</v>
      </c>
      <c r="N2428" s="46" t="s">
        <v>6576</v>
      </c>
      <c r="Q2428" s="37"/>
      <c r="S2428" s="37" t="str">
        <f>IFERROR(__xludf.DUMMYFUNCTION("if(not(iserror(index(split(C2428, "" ""),2))), index(split(C2428, "" ""),1),"""")"),"April")</f>
        <v>April</v>
      </c>
      <c r="T2428" s="38">
        <f>IFERROR(__xludf.DUMMYFUNCTION("if(S2428="""",C2428,if(not(iserror(index(split(C2428, "" ""),3))), index(split(C2428, "" ""),3),index(split(C2428, "" ""),2)))"),2019.0)</f>
        <v>2019</v>
      </c>
      <c r="U2428" s="38" t="b">
        <f t="shared" si="367"/>
        <v>0</v>
      </c>
      <c r="V2428" s="78" t="s">
        <v>33</v>
      </c>
      <c r="W2428" s="46" t="s">
        <v>6577</v>
      </c>
      <c r="X2428" s="46" t="s">
        <v>6578</v>
      </c>
      <c r="Y2428" s="102"/>
    </row>
    <row r="2429">
      <c r="A2429" s="87" t="s">
        <v>239</v>
      </c>
      <c r="B2429" s="248"/>
      <c r="C2429" s="99">
        <v>43556.0</v>
      </c>
      <c r="E2429" s="78" t="s">
        <v>41</v>
      </c>
      <c r="F2429" s="37">
        <v>1.0</v>
      </c>
      <c r="G2429" s="37">
        <v>5.0</v>
      </c>
      <c r="H2429" s="78">
        <v>5.0</v>
      </c>
      <c r="I2429" s="78" t="s">
        <v>33</v>
      </c>
      <c r="J2429" s="78" t="s">
        <v>111</v>
      </c>
      <c r="L2429" s="78" t="s">
        <v>194</v>
      </c>
      <c r="M2429" s="46" t="s">
        <v>6579</v>
      </c>
      <c r="N2429" s="288"/>
      <c r="Q2429" s="91"/>
      <c r="S2429" s="37" t="str">
        <f>IFERROR(__xludf.DUMMYFUNCTION("if(not(iserror(index(split(C2429, "" ""),2))), index(split(C2429, "" ""),1),"""")"),"April")</f>
        <v>April</v>
      </c>
      <c r="T2429" s="38">
        <f>IFERROR(__xludf.DUMMYFUNCTION("if(S2429="""",C2429,if(not(iserror(index(split(C2429, "" ""),3))), index(split(C2429, "" ""),3),index(split(C2429, "" ""),2)))"),2019.0)</f>
        <v>2019</v>
      </c>
      <c r="U2429" s="38" t="b">
        <f t="shared" si="367"/>
        <v>1</v>
      </c>
      <c r="V2429" s="78"/>
      <c r="W2429" s="106"/>
      <c r="X2429" s="288"/>
      <c r="Y2429" s="102"/>
    </row>
    <row r="2430">
      <c r="A2430" s="87" t="s">
        <v>6580</v>
      </c>
      <c r="B2430" s="248"/>
      <c r="C2430" s="99">
        <v>43556.0</v>
      </c>
      <c r="E2430" s="78" t="s">
        <v>41</v>
      </c>
      <c r="F2430" s="37">
        <v>1.0</v>
      </c>
      <c r="G2430" s="37">
        <v>6.0</v>
      </c>
      <c r="H2430" s="78">
        <v>6.0</v>
      </c>
      <c r="I2430" s="78" t="s">
        <v>33</v>
      </c>
      <c r="J2430" s="78" t="s">
        <v>147</v>
      </c>
      <c r="L2430" s="78" t="s">
        <v>194</v>
      </c>
      <c r="M2430" s="46" t="s">
        <v>6581</v>
      </c>
      <c r="N2430" s="288"/>
      <c r="O2430" s="160" t="str">
        <f>hyperlink("https://bad-boys.us/?q=SD-TX/5:19-cr-00366", "SD-TX 5:19-cr-00366")</f>
        <v>SD-TX 5:19-cr-00366</v>
      </c>
      <c r="P2430" s="103" t="s">
        <v>6582</v>
      </c>
      <c r="Q2430" s="37">
        <v>1.0</v>
      </c>
      <c r="S2430" s="37" t="str">
        <f>IFERROR(__xludf.DUMMYFUNCTION("if(not(iserror(index(split(C2430, "" ""),2))), index(split(C2430, "" ""),1),"""")"),"April")</f>
        <v>April</v>
      </c>
      <c r="T2430" s="38">
        <f>IFERROR(__xludf.DUMMYFUNCTION("if(S2430="""",C2430,if(not(iserror(index(split(C2430, "" ""),3))), index(split(C2430, "" ""),3),index(split(C2430, "" ""),2)))"),2019.0)</f>
        <v>2019</v>
      </c>
      <c r="U2430" s="38" t="b">
        <f t="shared" si="367"/>
        <v>0</v>
      </c>
      <c r="V2430" s="78" t="s">
        <v>3919</v>
      </c>
      <c r="W2430" s="106"/>
      <c r="X2430" s="288"/>
      <c r="Y2430" s="102"/>
    </row>
    <row r="2431">
      <c r="A2431" s="87" t="s">
        <v>239</v>
      </c>
      <c r="B2431" s="248"/>
      <c r="C2431" s="99">
        <v>43557.0</v>
      </c>
      <c r="E2431" s="78" t="s">
        <v>41</v>
      </c>
      <c r="F2431" s="37">
        <v>3.0</v>
      </c>
      <c r="G2431" s="37">
        <v>3.0</v>
      </c>
      <c r="H2431" s="78">
        <v>3.0</v>
      </c>
      <c r="I2431" s="78" t="s">
        <v>33</v>
      </c>
      <c r="J2431" s="78" t="s">
        <v>93</v>
      </c>
      <c r="L2431" s="78" t="s">
        <v>194</v>
      </c>
      <c r="M2431" s="46" t="s">
        <v>6583</v>
      </c>
      <c r="N2431" s="288"/>
      <c r="Q2431" s="91"/>
      <c r="S2431" s="37" t="str">
        <f>IFERROR(__xludf.DUMMYFUNCTION("if(not(iserror(index(split(C2431, "" ""),2))), index(split(C2431, "" ""),1),"""")"),"April")</f>
        <v>April</v>
      </c>
      <c r="T2431" s="38">
        <f>IFERROR(__xludf.DUMMYFUNCTION("if(S2431="""",C2431,if(not(iserror(index(split(C2431, "" ""),3))), index(split(C2431, "" ""),3),index(split(C2431, "" ""),2)))"),2019.0)</f>
        <v>2019</v>
      </c>
      <c r="U2431" s="38" t="b">
        <f t="shared" si="367"/>
        <v>1</v>
      </c>
      <c r="V2431" s="78" t="s">
        <v>33</v>
      </c>
      <c r="W2431" s="106"/>
      <c r="X2431" s="288"/>
      <c r="Y2431" s="102"/>
    </row>
    <row r="2432">
      <c r="A2432" s="87" t="s">
        <v>6584</v>
      </c>
      <c r="B2432" s="248"/>
      <c r="C2432" s="99">
        <v>43557.0</v>
      </c>
      <c r="E2432" s="78" t="s">
        <v>41</v>
      </c>
      <c r="F2432" s="37">
        <v>1.0</v>
      </c>
      <c r="G2432" s="37" t="s">
        <v>32</v>
      </c>
      <c r="H2432" s="78">
        <v>1.0</v>
      </c>
      <c r="I2432" s="78" t="s">
        <v>33</v>
      </c>
      <c r="J2432" s="78" t="s">
        <v>93</v>
      </c>
      <c r="L2432" s="78" t="s">
        <v>119</v>
      </c>
      <c r="M2432" s="46" t="s">
        <v>6585</v>
      </c>
      <c r="N2432" s="288"/>
      <c r="O2432" s="160" t="str">
        <f>hyperlink("https://bad-boys.us/?q=ND-NY/3:19-cr-00136", "ND-NY 3:19-cr-00136")</f>
        <v>ND-NY 3:19-cr-00136</v>
      </c>
      <c r="P2432" s="103" t="s">
        <v>6586</v>
      </c>
      <c r="Q2432" s="37">
        <v>1.0</v>
      </c>
      <c r="S2432" s="37"/>
      <c r="T2432" s="38"/>
      <c r="U2432" s="38" t="b">
        <f t="shared" si="367"/>
        <v>0</v>
      </c>
      <c r="V2432" s="78" t="s">
        <v>33</v>
      </c>
      <c r="W2432" s="106"/>
      <c r="X2432" s="288"/>
      <c r="Y2432" s="102"/>
    </row>
    <row r="2433">
      <c r="A2433" s="87" t="s">
        <v>6587</v>
      </c>
      <c r="B2433" s="248"/>
      <c r="C2433" s="99">
        <v>43557.0</v>
      </c>
      <c r="E2433" s="78" t="s">
        <v>41</v>
      </c>
      <c r="F2433" s="37">
        <v>1.0</v>
      </c>
      <c r="G2433" s="37">
        <v>15.0</v>
      </c>
      <c r="H2433" s="78">
        <v>15.0</v>
      </c>
      <c r="I2433" s="78" t="s">
        <v>33</v>
      </c>
      <c r="J2433" s="78" t="s">
        <v>147</v>
      </c>
      <c r="L2433" s="78" t="s">
        <v>194</v>
      </c>
      <c r="M2433" s="46" t="s">
        <v>6588</v>
      </c>
      <c r="N2433" s="288"/>
      <c r="O2433" s="160" t="str">
        <f>hyperlink("https://bad-boys.us/?q=WD-TX/2:19-cr-01118", "WD-TX 2:19-cr-01118")</f>
        <v>WD-TX 2:19-cr-01118</v>
      </c>
      <c r="P2433" s="103" t="s">
        <v>6589</v>
      </c>
      <c r="Q2433" s="37">
        <v>1.0</v>
      </c>
      <c r="S2433" s="37" t="str">
        <f>IFERROR(__xludf.DUMMYFUNCTION("if(not(iserror(index(split(C2433, "" ""),2))), index(split(C2433, "" ""),1),"""")"),"April")</f>
        <v>April</v>
      </c>
      <c r="T2433" s="38">
        <f>IFERROR(__xludf.DUMMYFUNCTION("if(S2433="""",C2433,if(not(iserror(index(split(C2433, "" ""),3))), index(split(C2433, "" ""),3),index(split(C2433, "" ""),2)))"),2019.0)</f>
        <v>2019</v>
      </c>
      <c r="U2433" s="38" t="b">
        <f t="shared" si="367"/>
        <v>0</v>
      </c>
      <c r="V2433" s="78" t="s">
        <v>3919</v>
      </c>
      <c r="W2433" s="106"/>
      <c r="X2433" s="288"/>
      <c r="Y2433" s="102"/>
    </row>
    <row r="2434">
      <c r="A2434" s="87" t="s">
        <v>6590</v>
      </c>
      <c r="B2434" s="248"/>
      <c r="C2434" s="99">
        <v>43557.0</v>
      </c>
      <c r="E2434" s="78" t="s">
        <v>41</v>
      </c>
      <c r="F2434" s="37">
        <v>1.0</v>
      </c>
      <c r="G2434" s="37" t="s">
        <v>32</v>
      </c>
      <c r="H2434" s="78">
        <v>1.0</v>
      </c>
      <c r="I2434" s="78" t="s">
        <v>33</v>
      </c>
      <c r="J2434" s="78" t="s">
        <v>115</v>
      </c>
      <c r="L2434" s="78" t="s">
        <v>119</v>
      </c>
      <c r="M2434" s="46" t="s">
        <v>6591</v>
      </c>
      <c r="N2434" s="288"/>
      <c r="P2434" s="78"/>
      <c r="Q2434" s="37"/>
      <c r="S2434" s="37" t="str">
        <f>IFERROR(__xludf.DUMMYFUNCTION("if(not(iserror(index(split(C2434, "" ""),2))), index(split(C2434, "" ""),1),"""")"),"April")</f>
        <v>April</v>
      </c>
      <c r="T2434" s="38">
        <f>IFERROR(__xludf.DUMMYFUNCTION("if(S2434="""",C2434,if(not(iserror(index(split(C2434, "" ""),3))), index(split(C2434, "" ""),3),index(split(C2434, "" ""),2)))"),2019.0)</f>
        <v>2019</v>
      </c>
      <c r="U2434" s="38" t="b">
        <f t="shared" si="367"/>
        <v>0</v>
      </c>
      <c r="V2434" s="78" t="s">
        <v>33</v>
      </c>
      <c r="W2434" s="106"/>
      <c r="X2434" s="288"/>
      <c r="Y2434" s="102"/>
    </row>
    <row r="2435">
      <c r="A2435" s="87" t="s">
        <v>6592</v>
      </c>
      <c r="B2435" s="248"/>
      <c r="C2435" s="99">
        <v>43557.0</v>
      </c>
      <c r="E2435" s="78" t="s">
        <v>41</v>
      </c>
      <c r="F2435" s="37">
        <v>1.0</v>
      </c>
      <c r="G2435" s="37" t="s">
        <v>32</v>
      </c>
      <c r="H2435" s="78">
        <v>1.0</v>
      </c>
      <c r="I2435" s="78" t="s">
        <v>33</v>
      </c>
      <c r="J2435" s="78" t="s">
        <v>106</v>
      </c>
      <c r="L2435" s="78" t="s">
        <v>6593</v>
      </c>
      <c r="M2435" s="46" t="s">
        <v>6594</v>
      </c>
      <c r="N2435" s="288"/>
      <c r="O2435" s="160" t="str">
        <f>hyperlink("https://bad-boys.us/?q=D-MD/8:19-cr-00258", "D-MD 8:19-cr-00258 ❓")</f>
        <v>D-MD 8:19-cr-00258 ❓</v>
      </c>
      <c r="P2435" s="103" t="s">
        <v>6595</v>
      </c>
      <c r="Q2435" s="37">
        <v>1.0</v>
      </c>
      <c r="S2435" s="37"/>
      <c r="T2435" s="38"/>
      <c r="U2435" s="38" t="b">
        <f t="shared" si="367"/>
        <v>0</v>
      </c>
      <c r="V2435" s="78"/>
      <c r="W2435" s="106"/>
      <c r="X2435" s="288"/>
      <c r="Y2435" s="102"/>
    </row>
    <row r="2436">
      <c r="A2436" s="87" t="s">
        <v>6596</v>
      </c>
      <c r="B2436" s="248"/>
      <c r="C2436" s="99">
        <v>43558.0</v>
      </c>
      <c r="E2436" s="78" t="s">
        <v>41</v>
      </c>
      <c r="F2436" s="37">
        <v>1.0</v>
      </c>
      <c r="G2436" s="37" t="s">
        <v>32</v>
      </c>
      <c r="H2436" s="78">
        <v>1.0</v>
      </c>
      <c r="I2436" s="78" t="s">
        <v>33</v>
      </c>
      <c r="J2436" s="78" t="s">
        <v>34</v>
      </c>
      <c r="L2436" s="78" t="s">
        <v>69</v>
      </c>
      <c r="M2436" s="46" t="s">
        <v>6597</v>
      </c>
      <c r="N2436" s="288"/>
      <c r="P2436" s="78"/>
      <c r="Q2436" s="37">
        <v>1.0</v>
      </c>
      <c r="S2436" s="37"/>
      <c r="T2436" s="38"/>
      <c r="U2436" s="38"/>
      <c r="V2436" s="78" t="s">
        <v>33</v>
      </c>
      <c r="W2436" s="106"/>
      <c r="X2436" s="288"/>
      <c r="Y2436" s="102"/>
    </row>
    <row r="2437">
      <c r="A2437" s="87" t="s">
        <v>6598</v>
      </c>
      <c r="B2437" s="248"/>
      <c r="C2437" s="99">
        <v>43558.0</v>
      </c>
      <c r="E2437" s="78" t="s">
        <v>41</v>
      </c>
      <c r="F2437" s="37">
        <v>1.0</v>
      </c>
      <c r="G2437" s="37" t="s">
        <v>32</v>
      </c>
      <c r="H2437" s="78">
        <v>1.0</v>
      </c>
      <c r="I2437" s="78" t="s">
        <v>33</v>
      </c>
      <c r="J2437" s="78" t="s">
        <v>172</v>
      </c>
      <c r="L2437" s="78" t="s">
        <v>69</v>
      </c>
      <c r="M2437" s="46" t="s">
        <v>6599</v>
      </c>
      <c r="N2437" s="288"/>
      <c r="P2437" s="78"/>
      <c r="Q2437" s="37"/>
      <c r="S2437" s="37"/>
      <c r="T2437" s="38"/>
      <c r="U2437" s="38"/>
      <c r="V2437" s="78" t="s">
        <v>33</v>
      </c>
      <c r="W2437" s="106"/>
      <c r="X2437" s="288"/>
      <c r="Y2437" s="102"/>
    </row>
    <row r="2438">
      <c r="A2438" s="87" t="s">
        <v>6600</v>
      </c>
      <c r="B2438" s="248"/>
      <c r="C2438" s="99">
        <v>43558.0</v>
      </c>
      <c r="E2438" s="78" t="s">
        <v>41</v>
      </c>
      <c r="F2438" s="37">
        <v>1.0</v>
      </c>
      <c r="G2438" s="78" t="s">
        <v>32</v>
      </c>
      <c r="H2438" s="78">
        <v>1.0</v>
      </c>
      <c r="I2438" s="78" t="s">
        <v>33</v>
      </c>
      <c r="J2438" s="78" t="s">
        <v>193</v>
      </c>
      <c r="L2438" s="78" t="s">
        <v>69</v>
      </c>
      <c r="M2438" s="46" t="s">
        <v>6601</v>
      </c>
      <c r="N2438" s="46" t="s">
        <v>6602</v>
      </c>
      <c r="O2438" s="160" t="str">
        <f>hyperlink("https://bad-boys.us/?q=D-NM/2:19-cr-02165", "D-NM 2:19-cr-02165")</f>
        <v>D-NM 2:19-cr-02165</v>
      </c>
      <c r="P2438" s="78"/>
      <c r="Q2438" s="37">
        <v>1.0</v>
      </c>
      <c r="S2438" s="37" t="str">
        <f>IFERROR(__xludf.DUMMYFUNCTION("if(not(iserror(index(split(C2438, "" ""),2))), index(split(C2438, "" ""),1),"""")"),"April")</f>
        <v>April</v>
      </c>
      <c r="T2438" s="38">
        <f>IFERROR(__xludf.DUMMYFUNCTION("if(S2438="""",C2438,if(not(iserror(index(split(C2438, "" ""),3))), index(split(C2438, "" ""),3),index(split(C2438, "" ""),2)))"),2019.0)</f>
        <v>2019</v>
      </c>
      <c r="U2438" s="38" t="b">
        <f t="shared" ref="U2438:U2442" si="368">countif(A$4:A4658, A2438)&gt;1</f>
        <v>0</v>
      </c>
      <c r="V2438" s="78" t="s">
        <v>33</v>
      </c>
      <c r="W2438" s="46" t="s">
        <v>6603</v>
      </c>
      <c r="X2438" s="46" t="s">
        <v>6604</v>
      </c>
      <c r="Y2438" s="102"/>
    </row>
    <row r="2439">
      <c r="A2439" s="289" t="s">
        <v>6605</v>
      </c>
      <c r="B2439" s="248"/>
      <c r="C2439" s="99">
        <v>43558.0</v>
      </c>
      <c r="E2439" s="285" t="s">
        <v>31</v>
      </c>
      <c r="F2439" s="91">
        <v>1.0</v>
      </c>
      <c r="G2439" s="285" t="s">
        <v>32</v>
      </c>
      <c r="H2439" s="285">
        <v>1.0</v>
      </c>
      <c r="I2439" s="285" t="s">
        <v>33</v>
      </c>
      <c r="J2439" s="285" t="s">
        <v>279</v>
      </c>
      <c r="L2439" s="285" t="s">
        <v>76</v>
      </c>
      <c r="M2439" s="288" t="s">
        <v>6606</v>
      </c>
      <c r="N2439" s="288" t="s">
        <v>6607</v>
      </c>
      <c r="O2439" s="160" t="str">
        <f>hyperlink("https://bad-boys.us/?q=WD-MO/3:19-cr-05018", "WD-MO 3:19-cr-05018")</f>
        <v>WD-MO 3:19-cr-05018</v>
      </c>
      <c r="P2439" s="103" t="s">
        <v>6608</v>
      </c>
      <c r="Q2439" s="37">
        <v>1.0</v>
      </c>
      <c r="S2439" s="37" t="str">
        <f>IFERROR(__xludf.DUMMYFUNCTION("if(not(iserror(index(split(C2439, "" ""),2))), index(split(C2439, "" ""),1),"""")"),"April")</f>
        <v>April</v>
      </c>
      <c r="T2439" s="38">
        <f>IFERROR(__xludf.DUMMYFUNCTION("if(S2439="""",C2439,if(not(iserror(index(split(C2439, "" ""),3))), index(split(C2439, "" ""),3),index(split(C2439, "" ""),2)))"),2019.0)</f>
        <v>2019</v>
      </c>
      <c r="U2439" s="38" t="b">
        <f t="shared" si="368"/>
        <v>0</v>
      </c>
      <c r="V2439" s="285" t="s">
        <v>33</v>
      </c>
      <c r="W2439" s="46" t="s">
        <v>6609</v>
      </c>
      <c r="X2439" s="288" t="s">
        <v>6610</v>
      </c>
      <c r="Y2439" s="102"/>
    </row>
    <row r="2440">
      <c r="A2440" s="87" t="s">
        <v>6611</v>
      </c>
      <c r="B2440" s="248"/>
      <c r="C2440" s="99">
        <v>43558.0</v>
      </c>
      <c r="E2440" s="78" t="s">
        <v>41</v>
      </c>
      <c r="F2440" s="37">
        <v>1.0</v>
      </c>
      <c r="G2440" s="78" t="s">
        <v>32</v>
      </c>
      <c r="H2440" s="78">
        <v>1.0</v>
      </c>
      <c r="I2440" s="78" t="s">
        <v>33</v>
      </c>
      <c r="J2440" s="78" t="s">
        <v>93</v>
      </c>
      <c r="L2440" s="78" t="s">
        <v>119</v>
      </c>
      <c r="M2440" s="46" t="s">
        <v>6612</v>
      </c>
      <c r="N2440" s="106"/>
      <c r="O2440" s="160" t="str">
        <f>hyperlink("https://bad-boys.us/?q=ED-WA/2:19-cr-00070", "ED-WA 2:19-cr-00070")</f>
        <v>ED-WA 2:19-cr-00070</v>
      </c>
      <c r="P2440" s="103" t="s">
        <v>6613</v>
      </c>
      <c r="Q2440" s="37">
        <v>1.0</v>
      </c>
      <c r="S2440" s="37" t="str">
        <f>IFERROR(__xludf.DUMMYFUNCTION("if(not(iserror(index(split(C2440, "" ""),2))), index(split(C2440, "" ""),1),"""")"),"April")</f>
        <v>April</v>
      </c>
      <c r="T2440" s="38">
        <f>IFERROR(__xludf.DUMMYFUNCTION("if(S2440="""",C2440,if(not(iserror(index(split(C2440, "" ""),3))), index(split(C2440, "" ""),3),index(split(C2440, "" ""),2)))"),2019.0)</f>
        <v>2019</v>
      </c>
      <c r="U2440" s="38" t="b">
        <f t="shared" si="368"/>
        <v>0</v>
      </c>
      <c r="V2440" s="78"/>
      <c r="W2440" s="106"/>
      <c r="X2440" s="106"/>
      <c r="Y2440" s="102"/>
    </row>
    <row r="2441">
      <c r="A2441" s="87" t="s">
        <v>6614</v>
      </c>
      <c r="B2441" s="248"/>
      <c r="C2441" s="99">
        <v>43558.0</v>
      </c>
      <c r="E2441" s="78" t="s">
        <v>31</v>
      </c>
      <c r="F2441" s="37">
        <v>1.0</v>
      </c>
      <c r="G2441" s="78" t="s">
        <v>32</v>
      </c>
      <c r="H2441" s="78">
        <v>1.0</v>
      </c>
      <c r="I2441" s="78" t="s">
        <v>33</v>
      </c>
      <c r="J2441" s="78" t="s">
        <v>93</v>
      </c>
      <c r="L2441" s="78" t="s">
        <v>99</v>
      </c>
      <c r="M2441" s="46" t="s">
        <v>6615</v>
      </c>
      <c r="N2441" s="106" t="s">
        <v>6616</v>
      </c>
      <c r="O2441" s="160" t="str">
        <f>hyperlink("https://bad-boys.us/?q=SD-NY/1:19-cr-00401", "SD-NY 1:19-cr-00401")</f>
        <v>SD-NY 1:19-cr-00401</v>
      </c>
      <c r="P2441" s="103" t="s">
        <v>6617</v>
      </c>
      <c r="Q2441" s="37">
        <v>1.0</v>
      </c>
      <c r="S2441" s="37" t="str">
        <f>IFERROR(__xludf.DUMMYFUNCTION("if(not(iserror(index(split(C2441, "" ""),2))), index(split(C2441, "" ""),1),"""")"),"April")</f>
        <v>April</v>
      </c>
      <c r="T2441" s="38">
        <f>IFERROR(__xludf.DUMMYFUNCTION("if(S2441="""",C2441,if(not(iserror(index(split(C2441, "" ""),3))), index(split(C2441, "" ""),3),index(split(C2441, "" ""),2)))"),2019.0)</f>
        <v>2019</v>
      </c>
      <c r="U2441" s="38" t="b">
        <f t="shared" si="368"/>
        <v>0</v>
      </c>
      <c r="V2441" s="78" t="s">
        <v>33</v>
      </c>
      <c r="W2441" s="46" t="s">
        <v>6618</v>
      </c>
      <c r="X2441" s="46" t="s">
        <v>6619</v>
      </c>
      <c r="Y2441" s="102"/>
    </row>
    <row r="2442">
      <c r="A2442" s="87" t="s">
        <v>6620</v>
      </c>
      <c r="B2442" s="248"/>
      <c r="C2442" s="99">
        <v>43558.0</v>
      </c>
      <c r="E2442" s="78" t="s">
        <v>31</v>
      </c>
      <c r="F2442" s="37">
        <v>1.0</v>
      </c>
      <c r="G2442" s="78">
        <v>18.0</v>
      </c>
      <c r="H2442" s="78">
        <v>18.0</v>
      </c>
      <c r="I2442" s="78" t="s">
        <v>33</v>
      </c>
      <c r="J2442" s="78" t="s">
        <v>147</v>
      </c>
      <c r="L2442" s="78" t="s">
        <v>76</v>
      </c>
      <c r="M2442" s="46" t="s">
        <v>6621</v>
      </c>
      <c r="N2442" s="106"/>
      <c r="O2442" s="160" t="str">
        <f>hyperlink("https://bad-boys.us/?q=ED-TX/6:19-cr-00018", "ED-TX 6:19-cr-00018")</f>
        <v>ED-TX 6:19-cr-00018</v>
      </c>
      <c r="P2442" s="103" t="s">
        <v>6622</v>
      </c>
      <c r="Q2442" s="37">
        <v>1.0</v>
      </c>
      <c r="S2442" s="37"/>
      <c r="T2442" s="38"/>
      <c r="U2442" s="38" t="b">
        <f t="shared" si="368"/>
        <v>0</v>
      </c>
      <c r="V2442" s="78" t="s">
        <v>33</v>
      </c>
      <c r="W2442" s="46" t="s">
        <v>6623</v>
      </c>
      <c r="X2442" s="106"/>
      <c r="Y2442" s="102"/>
    </row>
    <row r="2443">
      <c r="A2443" s="87" t="s">
        <v>6624</v>
      </c>
      <c r="B2443" s="248"/>
      <c r="C2443" s="99">
        <v>43558.0</v>
      </c>
      <c r="E2443" s="78" t="s">
        <v>41</v>
      </c>
      <c r="F2443" s="37">
        <v>1.0</v>
      </c>
      <c r="G2443" s="78" t="s">
        <v>32</v>
      </c>
      <c r="H2443" s="78">
        <v>1.0</v>
      </c>
      <c r="I2443" s="78" t="s">
        <v>33</v>
      </c>
      <c r="J2443" s="78" t="s">
        <v>61</v>
      </c>
      <c r="L2443" s="78" t="s">
        <v>119</v>
      </c>
      <c r="M2443" s="46" t="s">
        <v>6625</v>
      </c>
      <c r="N2443" s="106"/>
      <c r="Q2443" s="37">
        <v>1.0</v>
      </c>
      <c r="S2443" s="37"/>
      <c r="T2443" s="38"/>
      <c r="U2443" s="38"/>
      <c r="V2443" s="78" t="s">
        <v>33</v>
      </c>
      <c r="W2443" s="106"/>
      <c r="X2443" s="106"/>
      <c r="Y2443" s="102"/>
    </row>
    <row r="2444">
      <c r="A2444" s="87" t="s">
        <v>6626</v>
      </c>
      <c r="B2444" s="248"/>
      <c r="C2444" s="99">
        <v>43559.0</v>
      </c>
      <c r="E2444" s="78" t="s">
        <v>41</v>
      </c>
      <c r="F2444" s="37">
        <v>1.0</v>
      </c>
      <c r="G2444" s="78" t="s">
        <v>32</v>
      </c>
      <c r="H2444" s="78">
        <v>1.0</v>
      </c>
      <c r="I2444" s="78" t="s">
        <v>33</v>
      </c>
      <c r="J2444" s="78" t="s">
        <v>433</v>
      </c>
      <c r="L2444" s="78" t="s">
        <v>35</v>
      </c>
      <c r="M2444" s="46" t="s">
        <v>6627</v>
      </c>
      <c r="N2444" s="106"/>
      <c r="Q2444" s="37"/>
      <c r="S2444" s="37" t="str">
        <f>IFERROR(__xludf.DUMMYFUNCTION("if(not(iserror(index(split(C2444, "" ""),2))), index(split(C2444, "" ""),1),"""")"),"April")</f>
        <v>April</v>
      </c>
      <c r="T2444" s="38">
        <f>IFERROR(__xludf.DUMMYFUNCTION("if(S2444="""",C2444,if(not(iserror(index(split(C2444, "" ""),3))), index(split(C2444, "" ""),3),index(split(C2444, "" ""),2)))"),2019.0)</f>
        <v>2019</v>
      </c>
      <c r="U2444" s="38" t="b">
        <f t="shared" ref="U2444:U2505" si="369">countif(A$4:A4658, A2444)&gt;1</f>
        <v>0</v>
      </c>
      <c r="V2444" s="78" t="s">
        <v>33</v>
      </c>
      <c r="W2444" s="46" t="s">
        <v>6628</v>
      </c>
      <c r="X2444" s="106"/>
      <c r="Y2444" s="102"/>
    </row>
    <row r="2445">
      <c r="A2445" s="87" t="s">
        <v>6629</v>
      </c>
      <c r="B2445" s="248"/>
      <c r="C2445" s="99">
        <v>43559.0</v>
      </c>
      <c r="E2445" s="78" t="s">
        <v>41</v>
      </c>
      <c r="F2445" s="37">
        <v>1.0</v>
      </c>
      <c r="G2445" s="78" t="s">
        <v>32</v>
      </c>
      <c r="H2445" s="78">
        <v>1.0</v>
      </c>
      <c r="I2445" s="78" t="s">
        <v>33</v>
      </c>
      <c r="J2445" s="78" t="s">
        <v>433</v>
      </c>
      <c r="L2445" s="78" t="s">
        <v>35</v>
      </c>
      <c r="M2445" s="106" t="s">
        <v>6627</v>
      </c>
      <c r="N2445" s="106"/>
      <c r="Q2445" s="37"/>
      <c r="S2445" s="37" t="str">
        <f>IFERROR(__xludf.DUMMYFUNCTION("if(not(iserror(index(split(C2445, "" ""),2))), index(split(C2445, "" ""),1),"""")"),"April")</f>
        <v>April</v>
      </c>
      <c r="T2445" s="38">
        <f>IFERROR(__xludf.DUMMYFUNCTION("if(S2445="""",C2445,if(not(iserror(index(split(C2445, "" ""),3))), index(split(C2445, "" ""),3),index(split(C2445, "" ""),2)))"),2019.0)</f>
        <v>2019</v>
      </c>
      <c r="U2445" s="38" t="b">
        <f t="shared" si="369"/>
        <v>0</v>
      </c>
      <c r="V2445" s="78" t="s">
        <v>33</v>
      </c>
      <c r="W2445" s="106" t="s">
        <v>6628</v>
      </c>
      <c r="X2445" s="106"/>
      <c r="Y2445" s="102"/>
    </row>
    <row r="2446">
      <c r="A2446" s="87" t="s">
        <v>6630</v>
      </c>
      <c r="B2446" s="248"/>
      <c r="C2446" s="99">
        <v>43559.0</v>
      </c>
      <c r="E2446" s="78" t="s">
        <v>41</v>
      </c>
      <c r="F2446" s="37">
        <v>1.0</v>
      </c>
      <c r="G2446" s="78" t="s">
        <v>32</v>
      </c>
      <c r="H2446" s="78">
        <v>1.0</v>
      </c>
      <c r="I2446" s="78" t="s">
        <v>33</v>
      </c>
      <c r="J2446" s="78" t="s">
        <v>433</v>
      </c>
      <c r="L2446" s="78" t="s">
        <v>35</v>
      </c>
      <c r="M2446" s="106" t="s">
        <v>6627</v>
      </c>
      <c r="N2446" s="106"/>
      <c r="Q2446" s="37"/>
      <c r="S2446" s="37" t="str">
        <f>IFERROR(__xludf.DUMMYFUNCTION("if(not(iserror(index(split(C2446, "" ""),2))), index(split(C2446, "" ""),1),"""")"),"April")</f>
        <v>April</v>
      </c>
      <c r="T2446" s="38">
        <f>IFERROR(__xludf.DUMMYFUNCTION("if(S2446="""",C2446,if(not(iserror(index(split(C2446, "" ""),3))), index(split(C2446, "" ""),3),index(split(C2446, "" ""),2)))"),2019.0)</f>
        <v>2019</v>
      </c>
      <c r="U2446" s="38" t="b">
        <f t="shared" si="369"/>
        <v>0</v>
      </c>
      <c r="V2446" s="78" t="s">
        <v>33</v>
      </c>
      <c r="W2446" s="106" t="s">
        <v>6628</v>
      </c>
      <c r="X2446" s="106"/>
      <c r="Y2446" s="102"/>
    </row>
    <row r="2447">
      <c r="A2447" s="87" t="s">
        <v>6631</v>
      </c>
      <c r="B2447" s="248"/>
      <c r="C2447" s="99">
        <v>43559.0</v>
      </c>
      <c r="E2447" s="78" t="s">
        <v>41</v>
      </c>
      <c r="F2447" s="37">
        <v>1.0</v>
      </c>
      <c r="G2447" s="78" t="s">
        <v>32</v>
      </c>
      <c r="H2447" s="78">
        <v>1.0</v>
      </c>
      <c r="I2447" s="78" t="s">
        <v>33</v>
      </c>
      <c r="J2447" s="78" t="s">
        <v>433</v>
      </c>
      <c r="L2447" s="78" t="s">
        <v>35</v>
      </c>
      <c r="M2447" s="106" t="s">
        <v>6627</v>
      </c>
      <c r="N2447" s="106"/>
      <c r="Q2447" s="37"/>
      <c r="S2447" s="37" t="str">
        <f>IFERROR(__xludf.DUMMYFUNCTION("if(not(iserror(index(split(C2447, "" ""),2))), index(split(C2447, "" ""),1),"""")"),"April")</f>
        <v>April</v>
      </c>
      <c r="T2447" s="38">
        <f>IFERROR(__xludf.DUMMYFUNCTION("if(S2447="""",C2447,if(not(iserror(index(split(C2447, "" ""),3))), index(split(C2447, "" ""),3),index(split(C2447, "" ""),2)))"),2019.0)</f>
        <v>2019</v>
      </c>
      <c r="U2447" s="38" t="b">
        <f t="shared" si="369"/>
        <v>0</v>
      </c>
      <c r="V2447" s="78" t="s">
        <v>33</v>
      </c>
      <c r="W2447" s="106" t="s">
        <v>6628</v>
      </c>
      <c r="X2447" s="106"/>
      <c r="Y2447" s="102"/>
    </row>
    <row r="2448">
      <c r="A2448" s="87" t="s">
        <v>6632</v>
      </c>
      <c r="B2448" s="248"/>
      <c r="C2448" s="99">
        <v>43559.0</v>
      </c>
      <c r="E2448" s="78" t="s">
        <v>41</v>
      </c>
      <c r="F2448" s="37">
        <v>1.0</v>
      </c>
      <c r="G2448" s="78" t="s">
        <v>32</v>
      </c>
      <c r="H2448" s="78">
        <v>1.0</v>
      </c>
      <c r="I2448" s="78" t="s">
        <v>33</v>
      </c>
      <c r="J2448" s="78" t="s">
        <v>433</v>
      </c>
      <c r="L2448" s="78" t="s">
        <v>35</v>
      </c>
      <c r="M2448" s="106" t="s">
        <v>6627</v>
      </c>
      <c r="N2448" s="106"/>
      <c r="Q2448" s="37"/>
      <c r="S2448" s="37" t="str">
        <f>IFERROR(__xludf.DUMMYFUNCTION("if(not(iserror(index(split(C2448, "" ""),2))), index(split(C2448, "" ""),1),"""")"),"April")</f>
        <v>April</v>
      </c>
      <c r="T2448" s="38">
        <f>IFERROR(__xludf.DUMMYFUNCTION("if(S2448="""",C2448,if(not(iserror(index(split(C2448, "" ""),3))), index(split(C2448, "" ""),3),index(split(C2448, "" ""),2)))"),2019.0)</f>
        <v>2019</v>
      </c>
      <c r="U2448" s="38" t="b">
        <f t="shared" si="369"/>
        <v>0</v>
      </c>
      <c r="V2448" s="78" t="s">
        <v>33</v>
      </c>
      <c r="W2448" s="106" t="s">
        <v>6628</v>
      </c>
      <c r="X2448" s="106"/>
      <c r="Y2448" s="102"/>
    </row>
    <row r="2449">
      <c r="A2449" s="87" t="s">
        <v>6633</v>
      </c>
      <c r="B2449" s="248"/>
      <c r="C2449" s="99">
        <v>43559.0</v>
      </c>
      <c r="E2449" s="78" t="s">
        <v>41</v>
      </c>
      <c r="F2449" s="37">
        <v>1.0</v>
      </c>
      <c r="G2449" s="78" t="s">
        <v>32</v>
      </c>
      <c r="H2449" s="78">
        <v>1.0</v>
      </c>
      <c r="I2449" s="78" t="s">
        <v>33</v>
      </c>
      <c r="J2449" s="78" t="s">
        <v>433</v>
      </c>
      <c r="L2449" s="78" t="s">
        <v>35</v>
      </c>
      <c r="M2449" s="106" t="s">
        <v>6627</v>
      </c>
      <c r="N2449" s="106"/>
      <c r="Q2449" s="37"/>
      <c r="S2449" s="37" t="str">
        <f>IFERROR(__xludf.DUMMYFUNCTION("if(not(iserror(index(split(C2449, "" ""),2))), index(split(C2449, "" ""),1),"""")"),"April")</f>
        <v>April</v>
      </c>
      <c r="T2449" s="38">
        <f>IFERROR(__xludf.DUMMYFUNCTION("if(S2449="""",C2449,if(not(iserror(index(split(C2449, "" ""),3))), index(split(C2449, "" ""),3),index(split(C2449, "" ""),2)))"),2019.0)</f>
        <v>2019</v>
      </c>
      <c r="U2449" s="38" t="b">
        <f t="shared" si="369"/>
        <v>0</v>
      </c>
      <c r="V2449" s="78" t="s">
        <v>33</v>
      </c>
      <c r="W2449" s="106" t="s">
        <v>6628</v>
      </c>
      <c r="X2449" s="106"/>
      <c r="Y2449" s="102"/>
    </row>
    <row r="2450">
      <c r="A2450" s="87" t="s">
        <v>6634</v>
      </c>
      <c r="B2450" s="248"/>
      <c r="C2450" s="99">
        <v>43559.0</v>
      </c>
      <c r="E2450" s="78" t="s">
        <v>41</v>
      </c>
      <c r="F2450" s="37">
        <v>1.0</v>
      </c>
      <c r="G2450" s="78" t="s">
        <v>32</v>
      </c>
      <c r="H2450" s="78">
        <v>1.0</v>
      </c>
      <c r="I2450" s="78" t="s">
        <v>33</v>
      </c>
      <c r="J2450" s="78" t="s">
        <v>433</v>
      </c>
      <c r="L2450" s="78" t="s">
        <v>35</v>
      </c>
      <c r="M2450" s="106" t="s">
        <v>6627</v>
      </c>
      <c r="N2450" s="106"/>
      <c r="Q2450" s="37"/>
      <c r="S2450" s="37" t="str">
        <f>IFERROR(__xludf.DUMMYFUNCTION("if(not(iserror(index(split(C2450, "" ""),2))), index(split(C2450, "" ""),1),"""")"),"April")</f>
        <v>April</v>
      </c>
      <c r="T2450" s="38">
        <f>IFERROR(__xludf.DUMMYFUNCTION("if(S2450="""",C2450,if(not(iserror(index(split(C2450, "" ""),3))), index(split(C2450, "" ""),3),index(split(C2450, "" ""),2)))"),2019.0)</f>
        <v>2019</v>
      </c>
      <c r="U2450" s="38" t="b">
        <f t="shared" si="369"/>
        <v>0</v>
      </c>
      <c r="V2450" s="78" t="s">
        <v>33</v>
      </c>
      <c r="W2450" s="106" t="s">
        <v>6628</v>
      </c>
      <c r="X2450" s="106"/>
      <c r="Y2450" s="102"/>
    </row>
    <row r="2451">
      <c r="A2451" s="87" t="s">
        <v>6635</v>
      </c>
      <c r="B2451" s="248"/>
      <c r="C2451" s="99">
        <v>43559.0</v>
      </c>
      <c r="E2451" s="78" t="s">
        <v>41</v>
      </c>
      <c r="F2451" s="37">
        <v>1.0</v>
      </c>
      <c r="G2451" s="78" t="s">
        <v>32</v>
      </c>
      <c r="H2451" s="78">
        <v>1.0</v>
      </c>
      <c r="I2451" s="78" t="s">
        <v>33</v>
      </c>
      <c r="J2451" s="78" t="s">
        <v>433</v>
      </c>
      <c r="L2451" s="78" t="s">
        <v>35</v>
      </c>
      <c r="M2451" s="106" t="s">
        <v>6627</v>
      </c>
      <c r="N2451" s="106"/>
      <c r="Q2451" s="37"/>
      <c r="S2451" s="37" t="str">
        <f>IFERROR(__xludf.DUMMYFUNCTION("if(not(iserror(index(split(C2451, "" ""),2))), index(split(C2451, "" ""),1),"""")"),"April")</f>
        <v>April</v>
      </c>
      <c r="T2451" s="38">
        <f>IFERROR(__xludf.DUMMYFUNCTION("if(S2451="""",C2451,if(not(iserror(index(split(C2451, "" ""),3))), index(split(C2451, "" ""),3),index(split(C2451, "" ""),2)))"),2019.0)</f>
        <v>2019</v>
      </c>
      <c r="U2451" s="38" t="b">
        <f t="shared" si="369"/>
        <v>1</v>
      </c>
      <c r="V2451" s="78" t="s">
        <v>33</v>
      </c>
      <c r="W2451" s="106" t="s">
        <v>6628</v>
      </c>
      <c r="X2451" s="106"/>
      <c r="Y2451" s="102"/>
    </row>
    <row r="2452">
      <c r="A2452" s="87" t="s">
        <v>6636</v>
      </c>
      <c r="B2452" s="248"/>
      <c r="C2452" s="99">
        <v>43559.0</v>
      </c>
      <c r="E2452" s="78" t="s">
        <v>41</v>
      </c>
      <c r="F2452" s="37">
        <v>1.0</v>
      </c>
      <c r="G2452" s="78" t="s">
        <v>32</v>
      </c>
      <c r="H2452" s="78">
        <v>1.0</v>
      </c>
      <c r="I2452" s="78" t="s">
        <v>33</v>
      </c>
      <c r="J2452" s="78" t="s">
        <v>433</v>
      </c>
      <c r="L2452" s="78" t="s">
        <v>35</v>
      </c>
      <c r="M2452" s="106" t="s">
        <v>6627</v>
      </c>
      <c r="N2452" s="106"/>
      <c r="Q2452" s="37"/>
      <c r="S2452" s="37" t="str">
        <f>IFERROR(__xludf.DUMMYFUNCTION("if(not(iserror(index(split(C2452, "" ""),2))), index(split(C2452, "" ""),1),"""")"),"April")</f>
        <v>April</v>
      </c>
      <c r="T2452" s="38">
        <f>IFERROR(__xludf.DUMMYFUNCTION("if(S2452="""",C2452,if(not(iserror(index(split(C2452, "" ""),3))), index(split(C2452, "" ""),3),index(split(C2452, "" ""),2)))"),2019.0)</f>
        <v>2019</v>
      </c>
      <c r="U2452" s="38" t="b">
        <f t="shared" si="369"/>
        <v>1</v>
      </c>
      <c r="V2452" s="78" t="s">
        <v>33</v>
      </c>
      <c r="W2452" s="106" t="s">
        <v>6628</v>
      </c>
      <c r="X2452" s="106"/>
      <c r="Y2452" s="102"/>
    </row>
    <row r="2453">
      <c r="A2453" s="87" t="s">
        <v>6637</v>
      </c>
      <c r="B2453" s="248"/>
      <c r="C2453" s="99">
        <v>43559.0</v>
      </c>
      <c r="E2453" s="78" t="s">
        <v>41</v>
      </c>
      <c r="F2453" s="37">
        <v>1.0</v>
      </c>
      <c r="G2453" s="78" t="s">
        <v>32</v>
      </c>
      <c r="H2453" s="78">
        <v>1.0</v>
      </c>
      <c r="I2453" s="78" t="s">
        <v>33</v>
      </c>
      <c r="J2453" s="78" t="s">
        <v>433</v>
      </c>
      <c r="L2453" s="78" t="s">
        <v>35</v>
      </c>
      <c r="M2453" s="106" t="s">
        <v>6627</v>
      </c>
      <c r="N2453" s="106"/>
      <c r="Q2453" s="37"/>
      <c r="S2453" s="37" t="str">
        <f>IFERROR(__xludf.DUMMYFUNCTION("if(not(iserror(index(split(C2453, "" ""),2))), index(split(C2453, "" ""),1),"""")"),"April")</f>
        <v>April</v>
      </c>
      <c r="T2453" s="38">
        <f>IFERROR(__xludf.DUMMYFUNCTION("if(S2453="""",C2453,if(not(iserror(index(split(C2453, "" ""),3))), index(split(C2453, "" ""),3),index(split(C2453, "" ""),2)))"),2019.0)</f>
        <v>2019</v>
      </c>
      <c r="U2453" s="38" t="b">
        <f t="shared" si="369"/>
        <v>0</v>
      </c>
      <c r="V2453" s="78" t="s">
        <v>33</v>
      </c>
      <c r="W2453" s="106" t="s">
        <v>6628</v>
      </c>
      <c r="X2453" s="106"/>
      <c r="Y2453" s="102"/>
    </row>
    <row r="2454">
      <c r="A2454" s="87" t="s">
        <v>6638</v>
      </c>
      <c r="B2454" s="248"/>
      <c r="C2454" s="99">
        <v>43559.0</v>
      </c>
      <c r="E2454" s="78" t="s">
        <v>41</v>
      </c>
      <c r="F2454" s="37">
        <v>1.0</v>
      </c>
      <c r="G2454" s="78" t="s">
        <v>32</v>
      </c>
      <c r="H2454" s="78">
        <v>1.0</v>
      </c>
      <c r="I2454" s="78" t="s">
        <v>33</v>
      </c>
      <c r="J2454" s="78" t="s">
        <v>433</v>
      </c>
      <c r="L2454" s="78" t="s">
        <v>35</v>
      </c>
      <c r="M2454" s="106" t="s">
        <v>6627</v>
      </c>
      <c r="N2454" s="106"/>
      <c r="Q2454" s="37"/>
      <c r="S2454" s="37" t="str">
        <f>IFERROR(__xludf.DUMMYFUNCTION("if(not(iserror(index(split(C2454, "" ""),2))), index(split(C2454, "" ""),1),"""")"),"April")</f>
        <v>April</v>
      </c>
      <c r="T2454" s="38">
        <f>IFERROR(__xludf.DUMMYFUNCTION("if(S2454="""",C2454,if(not(iserror(index(split(C2454, "" ""),3))), index(split(C2454, "" ""),3),index(split(C2454, "" ""),2)))"),2019.0)</f>
        <v>2019</v>
      </c>
      <c r="U2454" s="38" t="b">
        <f t="shared" si="369"/>
        <v>0</v>
      </c>
      <c r="V2454" s="78" t="s">
        <v>33</v>
      </c>
      <c r="W2454" s="106" t="s">
        <v>6628</v>
      </c>
      <c r="X2454" s="106"/>
      <c r="Y2454" s="102"/>
    </row>
    <row r="2455">
      <c r="A2455" s="87" t="s">
        <v>6639</v>
      </c>
      <c r="B2455" s="248"/>
      <c r="C2455" s="99">
        <v>43559.0</v>
      </c>
      <c r="E2455" s="78" t="s">
        <v>41</v>
      </c>
      <c r="F2455" s="37">
        <v>1.0</v>
      </c>
      <c r="G2455" s="78" t="s">
        <v>32</v>
      </c>
      <c r="H2455" s="78">
        <v>1.0</v>
      </c>
      <c r="I2455" s="78" t="s">
        <v>33</v>
      </c>
      <c r="J2455" s="78" t="s">
        <v>433</v>
      </c>
      <c r="L2455" s="78" t="s">
        <v>35</v>
      </c>
      <c r="M2455" s="106" t="s">
        <v>6627</v>
      </c>
      <c r="N2455" s="106"/>
      <c r="Q2455" s="37"/>
      <c r="S2455" s="37" t="str">
        <f>IFERROR(__xludf.DUMMYFUNCTION("if(not(iserror(index(split(C2455, "" ""),2))), index(split(C2455, "" ""),1),"""")"),"April")</f>
        <v>April</v>
      </c>
      <c r="T2455" s="38">
        <f>IFERROR(__xludf.DUMMYFUNCTION("if(S2455="""",C2455,if(not(iserror(index(split(C2455, "" ""),3))), index(split(C2455, "" ""),3),index(split(C2455, "" ""),2)))"),2019.0)</f>
        <v>2019</v>
      </c>
      <c r="U2455" s="38" t="b">
        <f t="shared" si="369"/>
        <v>0</v>
      </c>
      <c r="V2455" s="78" t="s">
        <v>33</v>
      </c>
      <c r="W2455" s="106" t="s">
        <v>6628</v>
      </c>
      <c r="X2455" s="106"/>
      <c r="Y2455" s="102"/>
    </row>
    <row r="2456">
      <c r="A2456" s="87" t="s">
        <v>6640</v>
      </c>
      <c r="B2456" s="248"/>
      <c r="C2456" s="99">
        <v>43559.0</v>
      </c>
      <c r="E2456" s="78" t="s">
        <v>41</v>
      </c>
      <c r="F2456" s="37">
        <v>1.0</v>
      </c>
      <c r="G2456" s="78" t="s">
        <v>32</v>
      </c>
      <c r="H2456" s="78">
        <v>1.0</v>
      </c>
      <c r="I2456" s="78" t="s">
        <v>33</v>
      </c>
      <c r="J2456" s="78" t="s">
        <v>433</v>
      </c>
      <c r="L2456" s="78" t="s">
        <v>35</v>
      </c>
      <c r="M2456" s="106" t="s">
        <v>6627</v>
      </c>
      <c r="N2456" s="106"/>
      <c r="Q2456" s="37"/>
      <c r="S2456" s="37" t="str">
        <f>IFERROR(__xludf.DUMMYFUNCTION("if(not(iserror(index(split(C2456, "" ""),2))), index(split(C2456, "" ""),1),"""")"),"April")</f>
        <v>April</v>
      </c>
      <c r="T2456" s="38">
        <f>IFERROR(__xludf.DUMMYFUNCTION("if(S2456="""",C2456,if(not(iserror(index(split(C2456, "" ""),3))), index(split(C2456, "" ""),3),index(split(C2456, "" ""),2)))"),2019.0)</f>
        <v>2019</v>
      </c>
      <c r="U2456" s="38" t="b">
        <f t="shared" si="369"/>
        <v>0</v>
      </c>
      <c r="V2456" s="78" t="s">
        <v>33</v>
      </c>
      <c r="W2456" s="106" t="s">
        <v>6628</v>
      </c>
      <c r="X2456" s="106"/>
      <c r="Y2456" s="102"/>
    </row>
    <row r="2457">
      <c r="A2457" s="87" t="s">
        <v>6641</v>
      </c>
      <c r="B2457" s="248"/>
      <c r="C2457" s="99">
        <v>43559.0</v>
      </c>
      <c r="E2457" s="78" t="s">
        <v>41</v>
      </c>
      <c r="F2457" s="37">
        <v>1.0</v>
      </c>
      <c r="G2457" s="78" t="s">
        <v>32</v>
      </c>
      <c r="H2457" s="78">
        <v>1.0</v>
      </c>
      <c r="I2457" s="78" t="s">
        <v>33</v>
      </c>
      <c r="J2457" s="78" t="s">
        <v>433</v>
      </c>
      <c r="L2457" s="78" t="s">
        <v>35</v>
      </c>
      <c r="M2457" s="106" t="s">
        <v>6627</v>
      </c>
      <c r="N2457" s="106"/>
      <c r="Q2457" s="37"/>
      <c r="S2457" s="37" t="str">
        <f>IFERROR(__xludf.DUMMYFUNCTION("if(not(iserror(index(split(C2457, "" ""),2))), index(split(C2457, "" ""),1),"""")"),"April")</f>
        <v>April</v>
      </c>
      <c r="T2457" s="38">
        <f>IFERROR(__xludf.DUMMYFUNCTION("if(S2457="""",C2457,if(not(iserror(index(split(C2457, "" ""),3))), index(split(C2457, "" ""),3),index(split(C2457, "" ""),2)))"),2019.0)</f>
        <v>2019</v>
      </c>
      <c r="U2457" s="38" t="b">
        <f t="shared" si="369"/>
        <v>0</v>
      </c>
      <c r="V2457" s="78" t="s">
        <v>33</v>
      </c>
      <c r="W2457" s="106" t="s">
        <v>6628</v>
      </c>
      <c r="X2457" s="106"/>
      <c r="Y2457" s="102"/>
    </row>
    <row r="2458">
      <c r="A2458" s="87" t="s">
        <v>6642</v>
      </c>
      <c r="B2458" s="248"/>
      <c r="C2458" s="99">
        <v>43559.0</v>
      </c>
      <c r="E2458" s="78" t="s">
        <v>41</v>
      </c>
      <c r="F2458" s="37">
        <v>1.0</v>
      </c>
      <c r="G2458" s="78" t="s">
        <v>32</v>
      </c>
      <c r="H2458" s="78">
        <v>1.0</v>
      </c>
      <c r="I2458" s="78" t="s">
        <v>33</v>
      </c>
      <c r="J2458" s="78" t="s">
        <v>433</v>
      </c>
      <c r="L2458" s="78" t="s">
        <v>35</v>
      </c>
      <c r="M2458" s="106" t="s">
        <v>6627</v>
      </c>
      <c r="N2458" s="106"/>
      <c r="Q2458" s="37"/>
      <c r="S2458" s="37" t="str">
        <f>IFERROR(__xludf.DUMMYFUNCTION("if(not(iserror(index(split(C2458, "" ""),2))), index(split(C2458, "" ""),1),"""")"),"April")</f>
        <v>April</v>
      </c>
      <c r="T2458" s="38">
        <f>IFERROR(__xludf.DUMMYFUNCTION("if(S2458="""",C2458,if(not(iserror(index(split(C2458, "" ""),3))), index(split(C2458, "" ""),3),index(split(C2458, "" ""),2)))"),2019.0)</f>
        <v>2019</v>
      </c>
      <c r="U2458" s="38" t="b">
        <f t="shared" si="369"/>
        <v>0</v>
      </c>
      <c r="V2458" s="78" t="s">
        <v>33</v>
      </c>
      <c r="W2458" s="106" t="s">
        <v>6628</v>
      </c>
      <c r="X2458" s="106"/>
      <c r="Y2458" s="102"/>
    </row>
    <row r="2459">
      <c r="A2459" s="87" t="s">
        <v>6643</v>
      </c>
      <c r="B2459" s="248"/>
      <c r="C2459" s="99">
        <v>43559.0</v>
      </c>
      <c r="E2459" s="78" t="s">
        <v>41</v>
      </c>
      <c r="F2459" s="37">
        <v>1.0</v>
      </c>
      <c r="G2459" s="78" t="s">
        <v>32</v>
      </c>
      <c r="H2459" s="78">
        <v>1.0</v>
      </c>
      <c r="I2459" s="78" t="s">
        <v>33</v>
      </c>
      <c r="J2459" s="78" t="s">
        <v>433</v>
      </c>
      <c r="L2459" s="78" t="s">
        <v>35</v>
      </c>
      <c r="M2459" s="106" t="s">
        <v>6627</v>
      </c>
      <c r="N2459" s="106"/>
      <c r="Q2459" s="37"/>
      <c r="S2459" s="37" t="str">
        <f>IFERROR(__xludf.DUMMYFUNCTION("if(not(iserror(index(split(C2459, "" ""),2))), index(split(C2459, "" ""),1),"""")"),"April")</f>
        <v>April</v>
      </c>
      <c r="T2459" s="38">
        <f>IFERROR(__xludf.DUMMYFUNCTION("if(S2459="""",C2459,if(not(iserror(index(split(C2459, "" ""),3))), index(split(C2459, "" ""),3),index(split(C2459, "" ""),2)))"),2019.0)</f>
        <v>2019</v>
      </c>
      <c r="U2459" s="38" t="b">
        <f t="shared" si="369"/>
        <v>0</v>
      </c>
      <c r="V2459" s="78" t="s">
        <v>33</v>
      </c>
      <c r="W2459" s="106" t="s">
        <v>6628</v>
      </c>
      <c r="X2459" s="106"/>
      <c r="Y2459" s="102"/>
    </row>
    <row r="2460">
      <c r="A2460" s="87" t="s">
        <v>6644</v>
      </c>
      <c r="B2460" s="248"/>
      <c r="C2460" s="99">
        <v>43559.0</v>
      </c>
      <c r="E2460" s="78" t="s">
        <v>41</v>
      </c>
      <c r="F2460" s="37">
        <v>1.0</v>
      </c>
      <c r="G2460" s="78" t="s">
        <v>32</v>
      </c>
      <c r="H2460" s="78">
        <v>1.0</v>
      </c>
      <c r="I2460" s="78" t="s">
        <v>33</v>
      </c>
      <c r="J2460" s="78" t="s">
        <v>433</v>
      </c>
      <c r="L2460" s="78" t="s">
        <v>35</v>
      </c>
      <c r="M2460" s="106" t="s">
        <v>6627</v>
      </c>
      <c r="N2460" s="106"/>
      <c r="Q2460" s="37"/>
      <c r="S2460" s="37" t="str">
        <f>IFERROR(__xludf.DUMMYFUNCTION("if(not(iserror(index(split(C2460, "" ""),2))), index(split(C2460, "" ""),1),"""")"),"April")</f>
        <v>April</v>
      </c>
      <c r="T2460" s="38">
        <f>IFERROR(__xludf.DUMMYFUNCTION("if(S2460="""",C2460,if(not(iserror(index(split(C2460, "" ""),3))), index(split(C2460, "" ""),3),index(split(C2460, "" ""),2)))"),2019.0)</f>
        <v>2019</v>
      </c>
      <c r="U2460" s="38" t="b">
        <f t="shared" si="369"/>
        <v>0</v>
      </c>
      <c r="V2460" s="78" t="s">
        <v>33</v>
      </c>
      <c r="W2460" s="106" t="s">
        <v>6628</v>
      </c>
      <c r="X2460" s="106"/>
      <c r="Y2460" s="102"/>
    </row>
    <row r="2461">
      <c r="A2461" s="87" t="s">
        <v>6645</v>
      </c>
      <c r="B2461" s="248"/>
      <c r="C2461" s="99">
        <v>43559.0</v>
      </c>
      <c r="E2461" s="78" t="s">
        <v>41</v>
      </c>
      <c r="F2461" s="37">
        <v>1.0</v>
      </c>
      <c r="G2461" s="78" t="s">
        <v>32</v>
      </c>
      <c r="H2461" s="78">
        <v>1.0</v>
      </c>
      <c r="I2461" s="78" t="s">
        <v>33</v>
      </c>
      <c r="J2461" s="78" t="s">
        <v>433</v>
      </c>
      <c r="L2461" s="78" t="s">
        <v>35</v>
      </c>
      <c r="M2461" s="106" t="s">
        <v>6627</v>
      </c>
      <c r="N2461" s="106"/>
      <c r="Q2461" s="37"/>
      <c r="S2461" s="37" t="str">
        <f>IFERROR(__xludf.DUMMYFUNCTION("if(not(iserror(index(split(C2461, "" ""),2))), index(split(C2461, "" ""),1),"""")"),"April")</f>
        <v>April</v>
      </c>
      <c r="T2461" s="38">
        <f>IFERROR(__xludf.DUMMYFUNCTION("if(S2461="""",C2461,if(not(iserror(index(split(C2461, "" ""),3))), index(split(C2461, "" ""),3),index(split(C2461, "" ""),2)))"),2019.0)</f>
        <v>2019</v>
      </c>
      <c r="U2461" s="38" t="b">
        <f t="shared" si="369"/>
        <v>0</v>
      </c>
      <c r="V2461" s="78" t="s">
        <v>33</v>
      </c>
      <c r="W2461" s="106" t="s">
        <v>6628</v>
      </c>
      <c r="X2461" s="106"/>
      <c r="Y2461" s="102"/>
    </row>
    <row r="2462">
      <c r="A2462" s="87" t="s">
        <v>6646</v>
      </c>
      <c r="B2462" s="248"/>
      <c r="C2462" s="99">
        <v>43559.0</v>
      </c>
      <c r="E2462" s="78" t="s">
        <v>41</v>
      </c>
      <c r="F2462" s="37">
        <v>1.0</v>
      </c>
      <c r="G2462" s="78" t="s">
        <v>32</v>
      </c>
      <c r="H2462" s="78">
        <v>1.0</v>
      </c>
      <c r="I2462" s="78" t="s">
        <v>33</v>
      </c>
      <c r="J2462" s="78" t="s">
        <v>433</v>
      </c>
      <c r="L2462" s="78" t="s">
        <v>35</v>
      </c>
      <c r="M2462" s="106" t="s">
        <v>6627</v>
      </c>
      <c r="N2462" s="106"/>
      <c r="Q2462" s="37"/>
      <c r="S2462" s="37" t="str">
        <f>IFERROR(__xludf.DUMMYFUNCTION("if(not(iserror(index(split(C2462, "" ""),2))), index(split(C2462, "" ""),1),"""")"),"April")</f>
        <v>April</v>
      </c>
      <c r="T2462" s="38">
        <f>IFERROR(__xludf.DUMMYFUNCTION("if(S2462="""",C2462,if(not(iserror(index(split(C2462, "" ""),3))), index(split(C2462, "" ""),3),index(split(C2462, "" ""),2)))"),2019.0)</f>
        <v>2019</v>
      </c>
      <c r="U2462" s="38" t="b">
        <f t="shared" si="369"/>
        <v>0</v>
      </c>
      <c r="V2462" s="78" t="s">
        <v>33</v>
      </c>
      <c r="W2462" s="106" t="s">
        <v>6628</v>
      </c>
      <c r="X2462" s="106"/>
      <c r="Y2462" s="102"/>
    </row>
    <row r="2463">
      <c r="A2463" s="87" t="s">
        <v>6647</v>
      </c>
      <c r="B2463" s="248"/>
      <c r="C2463" s="99">
        <v>43559.0</v>
      </c>
      <c r="E2463" s="78" t="s">
        <v>41</v>
      </c>
      <c r="F2463" s="37">
        <v>1.0</v>
      </c>
      <c r="G2463" s="78" t="s">
        <v>32</v>
      </c>
      <c r="H2463" s="78">
        <v>1.0</v>
      </c>
      <c r="I2463" s="78" t="s">
        <v>33</v>
      </c>
      <c r="J2463" s="78" t="s">
        <v>433</v>
      </c>
      <c r="L2463" s="78" t="s">
        <v>35</v>
      </c>
      <c r="M2463" s="106" t="s">
        <v>6627</v>
      </c>
      <c r="N2463" s="106"/>
      <c r="Q2463" s="37"/>
      <c r="S2463" s="37" t="str">
        <f>IFERROR(__xludf.DUMMYFUNCTION("if(not(iserror(index(split(C2463, "" ""),2))), index(split(C2463, "" ""),1),"""")"),"April")</f>
        <v>April</v>
      </c>
      <c r="T2463" s="38">
        <f>IFERROR(__xludf.DUMMYFUNCTION("if(S2463="""",C2463,if(not(iserror(index(split(C2463, "" ""),3))), index(split(C2463, "" ""),3),index(split(C2463, "" ""),2)))"),2019.0)</f>
        <v>2019</v>
      </c>
      <c r="U2463" s="38" t="b">
        <f t="shared" si="369"/>
        <v>0</v>
      </c>
      <c r="V2463" s="78" t="s">
        <v>33</v>
      </c>
      <c r="W2463" s="106" t="s">
        <v>6628</v>
      </c>
      <c r="X2463" s="106"/>
      <c r="Y2463" s="102"/>
    </row>
    <row r="2464">
      <c r="A2464" s="87" t="s">
        <v>6648</v>
      </c>
      <c r="B2464" s="248"/>
      <c r="C2464" s="99">
        <v>43559.0</v>
      </c>
      <c r="E2464" s="78" t="s">
        <v>41</v>
      </c>
      <c r="F2464" s="37">
        <v>1.0</v>
      </c>
      <c r="G2464" s="78" t="s">
        <v>32</v>
      </c>
      <c r="H2464" s="78">
        <v>1.0</v>
      </c>
      <c r="I2464" s="78" t="s">
        <v>33</v>
      </c>
      <c r="J2464" s="78" t="s">
        <v>433</v>
      </c>
      <c r="L2464" s="78" t="s">
        <v>35</v>
      </c>
      <c r="M2464" s="106" t="s">
        <v>6627</v>
      </c>
      <c r="N2464" s="106"/>
      <c r="Q2464" s="37"/>
      <c r="S2464" s="37" t="str">
        <f>IFERROR(__xludf.DUMMYFUNCTION("if(not(iserror(index(split(C2464, "" ""),2))), index(split(C2464, "" ""),1),"""")"),"April")</f>
        <v>April</v>
      </c>
      <c r="T2464" s="38">
        <f>IFERROR(__xludf.DUMMYFUNCTION("if(S2464="""",C2464,if(not(iserror(index(split(C2464, "" ""),3))), index(split(C2464, "" ""),3),index(split(C2464, "" ""),2)))"),2019.0)</f>
        <v>2019</v>
      </c>
      <c r="U2464" s="38" t="b">
        <f t="shared" si="369"/>
        <v>0</v>
      </c>
      <c r="V2464" s="78" t="s">
        <v>33</v>
      </c>
      <c r="W2464" s="106" t="s">
        <v>6628</v>
      </c>
      <c r="X2464" s="106"/>
      <c r="Y2464" s="102"/>
    </row>
    <row r="2465">
      <c r="A2465" s="87" t="s">
        <v>6649</v>
      </c>
      <c r="B2465" s="248"/>
      <c r="C2465" s="99">
        <v>43559.0</v>
      </c>
      <c r="E2465" s="78" t="s">
        <v>41</v>
      </c>
      <c r="F2465" s="37">
        <v>1.0</v>
      </c>
      <c r="G2465" s="78" t="s">
        <v>32</v>
      </c>
      <c r="H2465" s="78">
        <v>1.0</v>
      </c>
      <c r="I2465" s="78" t="s">
        <v>33</v>
      </c>
      <c r="J2465" s="78" t="s">
        <v>433</v>
      </c>
      <c r="L2465" s="78" t="s">
        <v>35</v>
      </c>
      <c r="M2465" s="106" t="s">
        <v>6627</v>
      </c>
      <c r="N2465" s="106"/>
      <c r="Q2465" s="37"/>
      <c r="S2465" s="37" t="str">
        <f>IFERROR(__xludf.DUMMYFUNCTION("if(not(iserror(index(split(C2465, "" ""),2))), index(split(C2465, "" ""),1),"""")"),"April")</f>
        <v>April</v>
      </c>
      <c r="T2465" s="38">
        <f>IFERROR(__xludf.DUMMYFUNCTION("if(S2465="""",C2465,if(not(iserror(index(split(C2465, "" ""),3))), index(split(C2465, "" ""),3),index(split(C2465, "" ""),2)))"),2019.0)</f>
        <v>2019</v>
      </c>
      <c r="U2465" s="38" t="b">
        <f t="shared" si="369"/>
        <v>0</v>
      </c>
      <c r="V2465" s="78" t="s">
        <v>33</v>
      </c>
      <c r="W2465" s="106" t="s">
        <v>6628</v>
      </c>
      <c r="X2465" s="106"/>
      <c r="Y2465" s="102"/>
    </row>
    <row r="2466">
      <c r="A2466" s="87" t="s">
        <v>6650</v>
      </c>
      <c r="B2466" s="248"/>
      <c r="C2466" s="99">
        <v>43559.0</v>
      </c>
      <c r="E2466" s="78" t="s">
        <v>41</v>
      </c>
      <c r="F2466" s="37">
        <v>1.0</v>
      </c>
      <c r="G2466" s="78" t="s">
        <v>32</v>
      </c>
      <c r="H2466" s="78">
        <v>1.0</v>
      </c>
      <c r="I2466" s="78" t="s">
        <v>33</v>
      </c>
      <c r="J2466" s="78" t="s">
        <v>433</v>
      </c>
      <c r="L2466" s="78" t="s">
        <v>35</v>
      </c>
      <c r="M2466" s="106" t="s">
        <v>6627</v>
      </c>
      <c r="N2466" s="106"/>
      <c r="Q2466" s="37"/>
      <c r="S2466" s="37" t="str">
        <f>IFERROR(__xludf.DUMMYFUNCTION("if(not(iserror(index(split(C2466, "" ""),2))), index(split(C2466, "" ""),1),"""")"),"April")</f>
        <v>April</v>
      </c>
      <c r="T2466" s="38">
        <f>IFERROR(__xludf.DUMMYFUNCTION("if(S2466="""",C2466,if(not(iserror(index(split(C2466, "" ""),3))), index(split(C2466, "" ""),3),index(split(C2466, "" ""),2)))"),2019.0)</f>
        <v>2019</v>
      </c>
      <c r="U2466" s="38" t="b">
        <f t="shared" si="369"/>
        <v>0</v>
      </c>
      <c r="V2466" s="78" t="s">
        <v>33</v>
      </c>
      <c r="W2466" s="106" t="s">
        <v>6628</v>
      </c>
      <c r="X2466" s="106"/>
      <c r="Y2466" s="102"/>
    </row>
    <row r="2467">
      <c r="A2467" s="87" t="s">
        <v>6651</v>
      </c>
      <c r="B2467" s="248"/>
      <c r="C2467" s="99">
        <v>43559.0</v>
      </c>
      <c r="E2467" s="78" t="s">
        <v>41</v>
      </c>
      <c r="F2467" s="37">
        <v>1.0</v>
      </c>
      <c r="G2467" s="78" t="s">
        <v>32</v>
      </c>
      <c r="H2467" s="78">
        <v>1.0</v>
      </c>
      <c r="I2467" s="78" t="s">
        <v>33</v>
      </c>
      <c r="J2467" s="78" t="s">
        <v>433</v>
      </c>
      <c r="L2467" s="78" t="s">
        <v>35</v>
      </c>
      <c r="M2467" s="106" t="s">
        <v>6627</v>
      </c>
      <c r="N2467" s="106"/>
      <c r="Q2467" s="37"/>
      <c r="S2467" s="37" t="str">
        <f>IFERROR(__xludf.DUMMYFUNCTION("if(not(iserror(index(split(C2467, "" ""),2))), index(split(C2467, "" ""),1),"""")"),"April")</f>
        <v>April</v>
      </c>
      <c r="T2467" s="38">
        <f>IFERROR(__xludf.DUMMYFUNCTION("if(S2467="""",C2467,if(not(iserror(index(split(C2467, "" ""),3))), index(split(C2467, "" ""),3),index(split(C2467, "" ""),2)))"),2019.0)</f>
        <v>2019</v>
      </c>
      <c r="U2467" s="38" t="b">
        <f t="shared" si="369"/>
        <v>0</v>
      </c>
      <c r="V2467" s="78" t="s">
        <v>33</v>
      </c>
      <c r="W2467" s="106" t="s">
        <v>6628</v>
      </c>
      <c r="X2467" s="106"/>
      <c r="Y2467" s="102"/>
    </row>
    <row r="2468">
      <c r="A2468" s="87" t="s">
        <v>6652</v>
      </c>
      <c r="B2468" s="248"/>
      <c r="C2468" s="99">
        <v>43559.0</v>
      </c>
      <c r="E2468" s="78" t="s">
        <v>41</v>
      </c>
      <c r="F2468" s="37">
        <v>1.0</v>
      </c>
      <c r="G2468" s="78" t="s">
        <v>32</v>
      </c>
      <c r="H2468" s="78">
        <v>1.0</v>
      </c>
      <c r="I2468" s="78" t="s">
        <v>33</v>
      </c>
      <c r="J2468" s="78" t="s">
        <v>433</v>
      </c>
      <c r="L2468" s="78" t="s">
        <v>35</v>
      </c>
      <c r="M2468" s="106" t="s">
        <v>6627</v>
      </c>
      <c r="N2468" s="106"/>
      <c r="Q2468" s="37"/>
      <c r="S2468" s="37" t="str">
        <f>IFERROR(__xludf.DUMMYFUNCTION("if(not(iserror(index(split(C2468, "" ""),2))), index(split(C2468, "" ""),1),"""")"),"April")</f>
        <v>April</v>
      </c>
      <c r="T2468" s="38">
        <f>IFERROR(__xludf.DUMMYFUNCTION("if(S2468="""",C2468,if(not(iserror(index(split(C2468, "" ""),3))), index(split(C2468, "" ""),3),index(split(C2468, "" ""),2)))"),2019.0)</f>
        <v>2019</v>
      </c>
      <c r="U2468" s="38" t="b">
        <f t="shared" si="369"/>
        <v>0</v>
      </c>
      <c r="V2468" s="78" t="s">
        <v>33</v>
      </c>
      <c r="W2468" s="106" t="s">
        <v>6628</v>
      </c>
      <c r="X2468" s="106"/>
      <c r="Y2468" s="102"/>
    </row>
    <row r="2469">
      <c r="A2469" s="87" t="s">
        <v>6653</v>
      </c>
      <c r="B2469" s="248"/>
      <c r="C2469" s="99">
        <v>43559.0</v>
      </c>
      <c r="E2469" s="78" t="s">
        <v>41</v>
      </c>
      <c r="F2469" s="37">
        <v>1.0</v>
      </c>
      <c r="G2469" s="78" t="s">
        <v>32</v>
      </c>
      <c r="H2469" s="78">
        <v>1.0</v>
      </c>
      <c r="I2469" s="78" t="s">
        <v>33</v>
      </c>
      <c r="J2469" s="78" t="s">
        <v>433</v>
      </c>
      <c r="L2469" s="78" t="s">
        <v>35</v>
      </c>
      <c r="M2469" s="106" t="s">
        <v>6627</v>
      </c>
      <c r="N2469" s="106"/>
      <c r="Q2469" s="37"/>
      <c r="S2469" s="37" t="str">
        <f>IFERROR(__xludf.DUMMYFUNCTION("if(not(iserror(index(split(C2469, "" ""),2))), index(split(C2469, "" ""),1),"""")"),"April")</f>
        <v>April</v>
      </c>
      <c r="T2469" s="38">
        <f>IFERROR(__xludf.DUMMYFUNCTION("if(S2469="""",C2469,if(not(iserror(index(split(C2469, "" ""),3))), index(split(C2469, "" ""),3),index(split(C2469, "" ""),2)))"),2019.0)</f>
        <v>2019</v>
      </c>
      <c r="U2469" s="38" t="b">
        <f t="shared" si="369"/>
        <v>0</v>
      </c>
      <c r="V2469" s="78" t="s">
        <v>33</v>
      </c>
      <c r="W2469" s="106" t="s">
        <v>6628</v>
      </c>
      <c r="X2469" s="106"/>
      <c r="Y2469" s="102"/>
    </row>
    <row r="2470">
      <c r="A2470" s="87" t="s">
        <v>6654</v>
      </c>
      <c r="B2470" s="248"/>
      <c r="C2470" s="99">
        <v>43559.0</v>
      </c>
      <c r="E2470" s="78" t="s">
        <v>41</v>
      </c>
      <c r="F2470" s="37">
        <v>1.0</v>
      </c>
      <c r="G2470" s="78" t="s">
        <v>32</v>
      </c>
      <c r="H2470" s="78">
        <v>1.0</v>
      </c>
      <c r="I2470" s="78" t="s">
        <v>33</v>
      </c>
      <c r="J2470" s="78" t="s">
        <v>433</v>
      </c>
      <c r="L2470" s="78" t="s">
        <v>35</v>
      </c>
      <c r="M2470" s="106" t="s">
        <v>6627</v>
      </c>
      <c r="N2470" s="106"/>
      <c r="Q2470" s="37"/>
      <c r="S2470" s="37" t="str">
        <f>IFERROR(__xludf.DUMMYFUNCTION("if(not(iserror(index(split(C2470, "" ""),2))), index(split(C2470, "" ""),1),"""")"),"April")</f>
        <v>April</v>
      </c>
      <c r="T2470" s="38">
        <f>IFERROR(__xludf.DUMMYFUNCTION("if(S2470="""",C2470,if(not(iserror(index(split(C2470, "" ""),3))), index(split(C2470, "" ""),3),index(split(C2470, "" ""),2)))"),2019.0)</f>
        <v>2019</v>
      </c>
      <c r="U2470" s="38" t="b">
        <f t="shared" si="369"/>
        <v>0</v>
      </c>
      <c r="V2470" s="78" t="s">
        <v>33</v>
      </c>
      <c r="W2470" s="106" t="s">
        <v>6628</v>
      </c>
      <c r="X2470" s="106"/>
      <c r="Y2470" s="102"/>
    </row>
    <row r="2471">
      <c r="A2471" s="87" t="s">
        <v>6655</v>
      </c>
      <c r="B2471" s="248"/>
      <c r="C2471" s="99">
        <v>43559.0</v>
      </c>
      <c r="E2471" s="78" t="s">
        <v>41</v>
      </c>
      <c r="F2471" s="37">
        <v>1.0</v>
      </c>
      <c r="G2471" s="78" t="s">
        <v>32</v>
      </c>
      <c r="H2471" s="78">
        <v>1.0</v>
      </c>
      <c r="I2471" s="78" t="s">
        <v>33</v>
      </c>
      <c r="J2471" s="78" t="s">
        <v>433</v>
      </c>
      <c r="L2471" s="78" t="s">
        <v>35</v>
      </c>
      <c r="M2471" s="106" t="s">
        <v>6627</v>
      </c>
      <c r="N2471" s="106"/>
      <c r="Q2471" s="37"/>
      <c r="S2471" s="37" t="str">
        <f>IFERROR(__xludf.DUMMYFUNCTION("if(not(iserror(index(split(C2471, "" ""),2))), index(split(C2471, "" ""),1),"""")"),"April")</f>
        <v>April</v>
      </c>
      <c r="T2471" s="38">
        <f>IFERROR(__xludf.DUMMYFUNCTION("if(S2471="""",C2471,if(not(iserror(index(split(C2471, "" ""),3))), index(split(C2471, "" ""),3),index(split(C2471, "" ""),2)))"),2019.0)</f>
        <v>2019</v>
      </c>
      <c r="U2471" s="38" t="b">
        <f t="shared" si="369"/>
        <v>0</v>
      </c>
      <c r="V2471" s="78" t="s">
        <v>33</v>
      </c>
      <c r="W2471" s="106" t="s">
        <v>6628</v>
      </c>
      <c r="X2471" s="106"/>
      <c r="Y2471" s="102"/>
    </row>
    <row r="2472">
      <c r="A2472" s="87" t="s">
        <v>6656</v>
      </c>
      <c r="B2472" s="248"/>
      <c r="C2472" s="99">
        <v>43559.0</v>
      </c>
      <c r="E2472" s="78" t="s">
        <v>41</v>
      </c>
      <c r="F2472" s="37">
        <v>1.0</v>
      </c>
      <c r="G2472" s="78" t="s">
        <v>32</v>
      </c>
      <c r="H2472" s="78">
        <v>1.0</v>
      </c>
      <c r="I2472" s="78" t="s">
        <v>33</v>
      </c>
      <c r="J2472" s="78" t="s">
        <v>433</v>
      </c>
      <c r="L2472" s="78" t="s">
        <v>35</v>
      </c>
      <c r="M2472" s="106" t="s">
        <v>6627</v>
      </c>
      <c r="N2472" s="106"/>
      <c r="Q2472" s="37"/>
      <c r="S2472" s="37" t="str">
        <f>IFERROR(__xludf.DUMMYFUNCTION("if(not(iserror(index(split(C2472, "" ""),2))), index(split(C2472, "" ""),1),"""")"),"April")</f>
        <v>April</v>
      </c>
      <c r="T2472" s="38">
        <f>IFERROR(__xludf.DUMMYFUNCTION("if(S2472="""",C2472,if(not(iserror(index(split(C2472, "" ""),3))), index(split(C2472, "" ""),3),index(split(C2472, "" ""),2)))"),2019.0)</f>
        <v>2019</v>
      </c>
      <c r="U2472" s="38" t="b">
        <f t="shared" si="369"/>
        <v>0</v>
      </c>
      <c r="V2472" s="78" t="s">
        <v>33</v>
      </c>
      <c r="W2472" s="106" t="s">
        <v>6628</v>
      </c>
      <c r="X2472" s="106"/>
      <c r="Y2472" s="102"/>
    </row>
    <row r="2473">
      <c r="A2473" s="87" t="s">
        <v>6657</v>
      </c>
      <c r="B2473" s="248"/>
      <c r="C2473" s="99">
        <v>43559.0</v>
      </c>
      <c r="E2473" s="78" t="s">
        <v>41</v>
      </c>
      <c r="F2473" s="37">
        <v>1.0</v>
      </c>
      <c r="G2473" s="78" t="s">
        <v>32</v>
      </c>
      <c r="H2473" s="78">
        <v>1.0</v>
      </c>
      <c r="I2473" s="78" t="s">
        <v>33</v>
      </c>
      <c r="J2473" s="78" t="s">
        <v>433</v>
      </c>
      <c r="L2473" s="78" t="s">
        <v>35</v>
      </c>
      <c r="M2473" s="106" t="s">
        <v>6627</v>
      </c>
      <c r="N2473" s="106"/>
      <c r="Q2473" s="37"/>
      <c r="S2473" s="37" t="str">
        <f>IFERROR(__xludf.DUMMYFUNCTION("if(not(iserror(index(split(C2473, "" ""),2))), index(split(C2473, "" ""),1),"""")"),"April")</f>
        <v>April</v>
      </c>
      <c r="T2473" s="38">
        <f>IFERROR(__xludf.DUMMYFUNCTION("if(S2473="""",C2473,if(not(iserror(index(split(C2473, "" ""),3))), index(split(C2473, "" ""),3),index(split(C2473, "" ""),2)))"),2019.0)</f>
        <v>2019</v>
      </c>
      <c r="U2473" s="38" t="b">
        <f t="shared" si="369"/>
        <v>0</v>
      </c>
      <c r="V2473" s="78" t="s">
        <v>33</v>
      </c>
      <c r="W2473" s="106" t="s">
        <v>6628</v>
      </c>
      <c r="X2473" s="106"/>
      <c r="Y2473" s="102"/>
    </row>
    <row r="2474">
      <c r="A2474" s="87" t="s">
        <v>6658</v>
      </c>
      <c r="B2474" s="248"/>
      <c r="C2474" s="99">
        <v>43559.0</v>
      </c>
      <c r="E2474" s="78" t="s">
        <v>41</v>
      </c>
      <c r="F2474" s="37">
        <v>1.0</v>
      </c>
      <c r="G2474" s="78" t="s">
        <v>32</v>
      </c>
      <c r="H2474" s="78">
        <v>1.0</v>
      </c>
      <c r="I2474" s="78" t="s">
        <v>33</v>
      </c>
      <c r="J2474" s="78" t="s">
        <v>433</v>
      </c>
      <c r="L2474" s="78" t="s">
        <v>35</v>
      </c>
      <c r="M2474" s="106" t="s">
        <v>6627</v>
      </c>
      <c r="N2474" s="106"/>
      <c r="Q2474" s="37"/>
      <c r="S2474" s="37" t="str">
        <f>IFERROR(__xludf.DUMMYFUNCTION("if(not(iserror(index(split(C2474, "" ""),2))), index(split(C2474, "" ""),1),"""")"),"April")</f>
        <v>April</v>
      </c>
      <c r="T2474" s="38">
        <f>IFERROR(__xludf.DUMMYFUNCTION("if(S2474="""",C2474,if(not(iserror(index(split(C2474, "" ""),3))), index(split(C2474, "" ""),3),index(split(C2474, "" ""),2)))"),2019.0)</f>
        <v>2019</v>
      </c>
      <c r="U2474" s="38" t="b">
        <f t="shared" si="369"/>
        <v>0</v>
      </c>
      <c r="V2474" s="78" t="s">
        <v>33</v>
      </c>
      <c r="W2474" s="106" t="s">
        <v>6628</v>
      </c>
      <c r="X2474" s="106"/>
      <c r="Y2474" s="102"/>
    </row>
    <row r="2475">
      <c r="A2475" s="87" t="s">
        <v>6659</v>
      </c>
      <c r="B2475" s="248"/>
      <c r="C2475" s="99">
        <v>43559.0</v>
      </c>
      <c r="E2475" s="78" t="s">
        <v>41</v>
      </c>
      <c r="F2475" s="37">
        <v>1.0</v>
      </c>
      <c r="G2475" s="78" t="s">
        <v>32</v>
      </c>
      <c r="H2475" s="78">
        <v>1.0</v>
      </c>
      <c r="I2475" s="78" t="s">
        <v>33</v>
      </c>
      <c r="J2475" s="78" t="s">
        <v>433</v>
      </c>
      <c r="L2475" s="78" t="s">
        <v>35</v>
      </c>
      <c r="M2475" s="106" t="s">
        <v>6627</v>
      </c>
      <c r="N2475" s="106"/>
      <c r="Q2475" s="37"/>
      <c r="S2475" s="37" t="str">
        <f>IFERROR(__xludf.DUMMYFUNCTION("if(not(iserror(index(split(C2475, "" ""),2))), index(split(C2475, "" ""),1),"""")"),"April")</f>
        <v>April</v>
      </c>
      <c r="T2475" s="38">
        <f>IFERROR(__xludf.DUMMYFUNCTION("if(S2475="""",C2475,if(not(iserror(index(split(C2475, "" ""),3))), index(split(C2475, "" ""),3),index(split(C2475, "" ""),2)))"),2019.0)</f>
        <v>2019</v>
      </c>
      <c r="U2475" s="38" t="b">
        <f t="shared" si="369"/>
        <v>0</v>
      </c>
      <c r="V2475" s="78" t="s">
        <v>33</v>
      </c>
      <c r="W2475" s="106" t="s">
        <v>6628</v>
      </c>
      <c r="X2475" s="106"/>
      <c r="Y2475" s="102"/>
    </row>
    <row r="2476">
      <c r="A2476" s="87" t="s">
        <v>6660</v>
      </c>
      <c r="B2476" s="248"/>
      <c r="C2476" s="99">
        <v>43559.0</v>
      </c>
      <c r="E2476" s="78" t="s">
        <v>41</v>
      </c>
      <c r="F2476" s="37">
        <v>1.0</v>
      </c>
      <c r="G2476" s="78" t="s">
        <v>32</v>
      </c>
      <c r="H2476" s="78">
        <v>1.0</v>
      </c>
      <c r="I2476" s="78" t="s">
        <v>33</v>
      </c>
      <c r="J2476" s="78" t="s">
        <v>433</v>
      </c>
      <c r="L2476" s="78" t="s">
        <v>35</v>
      </c>
      <c r="M2476" s="106" t="s">
        <v>6627</v>
      </c>
      <c r="N2476" s="106"/>
      <c r="Q2476" s="37"/>
      <c r="S2476" s="37" t="str">
        <f>IFERROR(__xludf.DUMMYFUNCTION("if(not(iserror(index(split(C2476, "" ""),2))), index(split(C2476, "" ""),1),"""")"),"April")</f>
        <v>April</v>
      </c>
      <c r="T2476" s="38">
        <f>IFERROR(__xludf.DUMMYFUNCTION("if(S2476="""",C2476,if(not(iserror(index(split(C2476, "" ""),3))), index(split(C2476, "" ""),3),index(split(C2476, "" ""),2)))"),2019.0)</f>
        <v>2019</v>
      </c>
      <c r="U2476" s="38" t="b">
        <f t="shared" si="369"/>
        <v>0</v>
      </c>
      <c r="V2476" s="78" t="s">
        <v>33</v>
      </c>
      <c r="W2476" s="106" t="s">
        <v>6628</v>
      </c>
      <c r="X2476" s="106"/>
      <c r="Y2476" s="102"/>
    </row>
    <row r="2477">
      <c r="A2477" s="87" t="s">
        <v>6661</v>
      </c>
      <c r="B2477" s="248"/>
      <c r="C2477" s="99">
        <v>43559.0</v>
      </c>
      <c r="E2477" s="78" t="s">
        <v>41</v>
      </c>
      <c r="F2477" s="37">
        <v>1.0</v>
      </c>
      <c r="G2477" s="78" t="s">
        <v>32</v>
      </c>
      <c r="H2477" s="78">
        <v>1.0</v>
      </c>
      <c r="I2477" s="78" t="s">
        <v>33</v>
      </c>
      <c r="J2477" s="78" t="s">
        <v>433</v>
      </c>
      <c r="L2477" s="78" t="s">
        <v>35</v>
      </c>
      <c r="M2477" s="106" t="s">
        <v>6627</v>
      </c>
      <c r="N2477" s="106"/>
      <c r="Q2477" s="37"/>
      <c r="S2477" s="37" t="str">
        <f>IFERROR(__xludf.DUMMYFUNCTION("if(not(iserror(index(split(C2477, "" ""),2))), index(split(C2477, "" ""),1),"""")"),"April")</f>
        <v>April</v>
      </c>
      <c r="T2477" s="38">
        <f>IFERROR(__xludf.DUMMYFUNCTION("if(S2477="""",C2477,if(not(iserror(index(split(C2477, "" ""),3))), index(split(C2477, "" ""),3),index(split(C2477, "" ""),2)))"),2019.0)</f>
        <v>2019</v>
      </c>
      <c r="U2477" s="38" t="b">
        <f t="shared" si="369"/>
        <v>0</v>
      </c>
      <c r="V2477" s="78" t="s">
        <v>33</v>
      </c>
      <c r="W2477" s="106" t="s">
        <v>6628</v>
      </c>
      <c r="X2477" s="106"/>
      <c r="Y2477" s="102"/>
    </row>
    <row r="2478">
      <c r="A2478" s="87" t="s">
        <v>6662</v>
      </c>
      <c r="B2478" s="248"/>
      <c r="C2478" s="99">
        <v>43559.0</v>
      </c>
      <c r="E2478" s="78" t="s">
        <v>41</v>
      </c>
      <c r="F2478" s="37">
        <v>1.0</v>
      </c>
      <c r="G2478" s="78" t="s">
        <v>32</v>
      </c>
      <c r="H2478" s="78">
        <v>1.0</v>
      </c>
      <c r="I2478" s="78" t="s">
        <v>33</v>
      </c>
      <c r="J2478" s="78" t="s">
        <v>433</v>
      </c>
      <c r="L2478" s="78" t="s">
        <v>35</v>
      </c>
      <c r="M2478" s="106" t="s">
        <v>6627</v>
      </c>
      <c r="N2478" s="106"/>
      <c r="Q2478" s="37"/>
      <c r="S2478" s="37" t="str">
        <f>IFERROR(__xludf.DUMMYFUNCTION("if(not(iserror(index(split(C2478, "" ""),2))), index(split(C2478, "" ""),1),"""")"),"April")</f>
        <v>April</v>
      </c>
      <c r="T2478" s="38">
        <f>IFERROR(__xludf.DUMMYFUNCTION("if(S2478="""",C2478,if(not(iserror(index(split(C2478, "" ""),3))), index(split(C2478, "" ""),3),index(split(C2478, "" ""),2)))"),2019.0)</f>
        <v>2019</v>
      </c>
      <c r="U2478" s="38" t="b">
        <f t="shared" si="369"/>
        <v>0</v>
      </c>
      <c r="V2478" s="78" t="s">
        <v>33</v>
      </c>
      <c r="W2478" s="106" t="s">
        <v>6628</v>
      </c>
      <c r="X2478" s="106"/>
      <c r="Y2478" s="102"/>
    </row>
    <row r="2479">
      <c r="A2479" s="87" t="s">
        <v>6663</v>
      </c>
      <c r="B2479" s="248"/>
      <c r="C2479" s="99">
        <v>43559.0</v>
      </c>
      <c r="E2479" s="78" t="s">
        <v>41</v>
      </c>
      <c r="F2479" s="37">
        <v>1.0</v>
      </c>
      <c r="G2479" s="78" t="s">
        <v>32</v>
      </c>
      <c r="H2479" s="78">
        <v>1.0</v>
      </c>
      <c r="I2479" s="78" t="s">
        <v>33</v>
      </c>
      <c r="J2479" s="78" t="s">
        <v>433</v>
      </c>
      <c r="L2479" s="78" t="s">
        <v>35</v>
      </c>
      <c r="M2479" s="106" t="s">
        <v>6627</v>
      </c>
      <c r="N2479" s="106"/>
      <c r="Q2479" s="37"/>
      <c r="S2479" s="37" t="str">
        <f>IFERROR(__xludf.DUMMYFUNCTION("if(not(iserror(index(split(C2479, "" ""),2))), index(split(C2479, "" ""),1),"""")"),"April")</f>
        <v>April</v>
      </c>
      <c r="T2479" s="38">
        <f>IFERROR(__xludf.DUMMYFUNCTION("if(S2479="""",C2479,if(not(iserror(index(split(C2479, "" ""),3))), index(split(C2479, "" ""),3),index(split(C2479, "" ""),2)))"),2019.0)</f>
        <v>2019</v>
      </c>
      <c r="U2479" s="38" t="b">
        <f t="shared" si="369"/>
        <v>0</v>
      </c>
      <c r="V2479" s="78" t="s">
        <v>33</v>
      </c>
      <c r="W2479" s="106" t="s">
        <v>6628</v>
      </c>
      <c r="X2479" s="106"/>
      <c r="Y2479" s="102"/>
    </row>
    <row r="2480">
      <c r="A2480" s="87" t="s">
        <v>6664</v>
      </c>
      <c r="B2480" s="248"/>
      <c r="C2480" s="99">
        <v>43559.0</v>
      </c>
      <c r="E2480" s="78" t="s">
        <v>41</v>
      </c>
      <c r="F2480" s="37">
        <v>1.0</v>
      </c>
      <c r="G2480" s="78" t="s">
        <v>32</v>
      </c>
      <c r="H2480" s="78">
        <v>1.0</v>
      </c>
      <c r="I2480" s="78" t="s">
        <v>33</v>
      </c>
      <c r="J2480" s="78" t="s">
        <v>433</v>
      </c>
      <c r="L2480" s="78" t="s">
        <v>35</v>
      </c>
      <c r="M2480" s="106" t="s">
        <v>6627</v>
      </c>
      <c r="N2480" s="106"/>
      <c r="Q2480" s="37"/>
      <c r="S2480" s="37" t="str">
        <f>IFERROR(__xludf.DUMMYFUNCTION("if(not(iserror(index(split(C2480, "" ""),2))), index(split(C2480, "" ""),1),"""")"),"April")</f>
        <v>April</v>
      </c>
      <c r="T2480" s="38">
        <f>IFERROR(__xludf.DUMMYFUNCTION("if(S2480="""",C2480,if(not(iserror(index(split(C2480, "" ""),3))), index(split(C2480, "" ""),3),index(split(C2480, "" ""),2)))"),2019.0)</f>
        <v>2019</v>
      </c>
      <c r="U2480" s="38" t="b">
        <f t="shared" si="369"/>
        <v>0</v>
      </c>
      <c r="V2480" s="78" t="s">
        <v>33</v>
      </c>
      <c r="W2480" s="106" t="s">
        <v>6628</v>
      </c>
      <c r="X2480" s="106"/>
      <c r="Y2480" s="102"/>
    </row>
    <row r="2481">
      <c r="A2481" s="87" t="s">
        <v>6665</v>
      </c>
      <c r="B2481" s="248"/>
      <c r="C2481" s="99">
        <v>43559.0</v>
      </c>
      <c r="E2481" s="78" t="s">
        <v>41</v>
      </c>
      <c r="F2481" s="37">
        <v>1.0</v>
      </c>
      <c r="G2481" s="78" t="s">
        <v>32</v>
      </c>
      <c r="H2481" s="78">
        <v>1.0</v>
      </c>
      <c r="I2481" s="78" t="s">
        <v>33</v>
      </c>
      <c r="J2481" s="78" t="s">
        <v>433</v>
      </c>
      <c r="L2481" s="78" t="s">
        <v>35</v>
      </c>
      <c r="M2481" s="106" t="s">
        <v>6627</v>
      </c>
      <c r="N2481" s="106"/>
      <c r="Q2481" s="37"/>
      <c r="S2481" s="37" t="str">
        <f>IFERROR(__xludf.DUMMYFUNCTION("if(not(iserror(index(split(C2481, "" ""),2))), index(split(C2481, "" ""),1),"""")"),"April")</f>
        <v>April</v>
      </c>
      <c r="T2481" s="38">
        <f>IFERROR(__xludf.DUMMYFUNCTION("if(S2481="""",C2481,if(not(iserror(index(split(C2481, "" ""),3))), index(split(C2481, "" ""),3),index(split(C2481, "" ""),2)))"),2019.0)</f>
        <v>2019</v>
      </c>
      <c r="U2481" s="38" t="b">
        <f t="shared" si="369"/>
        <v>0</v>
      </c>
      <c r="V2481" s="78" t="s">
        <v>33</v>
      </c>
      <c r="W2481" s="106" t="s">
        <v>6628</v>
      </c>
      <c r="X2481" s="106"/>
      <c r="Y2481" s="102"/>
    </row>
    <row r="2482">
      <c r="A2482" s="87" t="s">
        <v>6666</v>
      </c>
      <c r="B2482" s="248"/>
      <c r="C2482" s="99">
        <v>43559.0</v>
      </c>
      <c r="E2482" s="78" t="s">
        <v>41</v>
      </c>
      <c r="F2482" s="37">
        <v>1.0</v>
      </c>
      <c r="G2482" s="78" t="s">
        <v>32</v>
      </c>
      <c r="H2482" s="78">
        <v>1.0</v>
      </c>
      <c r="I2482" s="78" t="s">
        <v>33</v>
      </c>
      <c r="J2482" s="78" t="s">
        <v>433</v>
      </c>
      <c r="L2482" s="78" t="s">
        <v>35</v>
      </c>
      <c r="M2482" s="106" t="s">
        <v>6627</v>
      </c>
      <c r="N2482" s="106"/>
      <c r="Q2482" s="37"/>
      <c r="S2482" s="37" t="str">
        <f>IFERROR(__xludf.DUMMYFUNCTION("if(not(iserror(index(split(C2482, "" ""),2))), index(split(C2482, "" ""),1),"""")"),"April")</f>
        <v>April</v>
      </c>
      <c r="T2482" s="38">
        <f>IFERROR(__xludf.DUMMYFUNCTION("if(S2482="""",C2482,if(not(iserror(index(split(C2482, "" ""),3))), index(split(C2482, "" ""),3),index(split(C2482, "" ""),2)))"),2019.0)</f>
        <v>2019</v>
      </c>
      <c r="U2482" s="38" t="b">
        <f t="shared" si="369"/>
        <v>0</v>
      </c>
      <c r="V2482" s="78" t="s">
        <v>33</v>
      </c>
      <c r="W2482" s="106" t="s">
        <v>6628</v>
      </c>
      <c r="X2482" s="106"/>
      <c r="Y2482" s="102"/>
    </row>
    <row r="2483">
      <c r="A2483" s="87" t="s">
        <v>6667</v>
      </c>
      <c r="B2483" s="248"/>
      <c r="C2483" s="99">
        <v>43559.0</v>
      </c>
      <c r="E2483" s="78" t="s">
        <v>41</v>
      </c>
      <c r="F2483" s="37">
        <v>1.0</v>
      </c>
      <c r="G2483" s="78" t="s">
        <v>32</v>
      </c>
      <c r="H2483" s="78">
        <v>1.0</v>
      </c>
      <c r="I2483" s="78" t="s">
        <v>33</v>
      </c>
      <c r="J2483" s="78" t="s">
        <v>433</v>
      </c>
      <c r="L2483" s="78" t="s">
        <v>35</v>
      </c>
      <c r="M2483" s="106" t="s">
        <v>6627</v>
      </c>
      <c r="N2483" s="106"/>
      <c r="Q2483" s="37"/>
      <c r="S2483" s="37" t="str">
        <f>IFERROR(__xludf.DUMMYFUNCTION("if(not(iserror(index(split(C2483, "" ""),2))), index(split(C2483, "" ""),1),"""")"),"April")</f>
        <v>April</v>
      </c>
      <c r="T2483" s="38">
        <f>IFERROR(__xludf.DUMMYFUNCTION("if(S2483="""",C2483,if(not(iserror(index(split(C2483, "" ""),3))), index(split(C2483, "" ""),3),index(split(C2483, "" ""),2)))"),2019.0)</f>
        <v>2019</v>
      </c>
      <c r="U2483" s="38" t="b">
        <f t="shared" si="369"/>
        <v>0</v>
      </c>
      <c r="V2483" s="78" t="s">
        <v>33</v>
      </c>
      <c r="W2483" s="106" t="s">
        <v>6628</v>
      </c>
      <c r="X2483" s="106"/>
      <c r="Y2483" s="102"/>
    </row>
    <row r="2484">
      <c r="A2484" s="87" t="s">
        <v>6668</v>
      </c>
      <c r="B2484" s="248"/>
      <c r="C2484" s="99">
        <v>43559.0</v>
      </c>
      <c r="E2484" s="78" t="s">
        <v>41</v>
      </c>
      <c r="F2484" s="37">
        <v>1.0</v>
      </c>
      <c r="G2484" s="78" t="s">
        <v>32</v>
      </c>
      <c r="H2484" s="78">
        <v>1.0</v>
      </c>
      <c r="I2484" s="78" t="s">
        <v>33</v>
      </c>
      <c r="J2484" s="78" t="s">
        <v>433</v>
      </c>
      <c r="L2484" s="78" t="s">
        <v>35</v>
      </c>
      <c r="M2484" s="106" t="s">
        <v>6627</v>
      </c>
      <c r="N2484" s="106"/>
      <c r="Q2484" s="37"/>
      <c r="S2484" s="37" t="str">
        <f>IFERROR(__xludf.DUMMYFUNCTION("if(not(iserror(index(split(C2484, "" ""),2))), index(split(C2484, "" ""),1),"""")"),"April")</f>
        <v>April</v>
      </c>
      <c r="T2484" s="38">
        <f>IFERROR(__xludf.DUMMYFUNCTION("if(S2484="""",C2484,if(not(iserror(index(split(C2484, "" ""),3))), index(split(C2484, "" ""),3),index(split(C2484, "" ""),2)))"),2019.0)</f>
        <v>2019</v>
      </c>
      <c r="U2484" s="38" t="b">
        <f t="shared" si="369"/>
        <v>0</v>
      </c>
      <c r="V2484" s="78" t="s">
        <v>33</v>
      </c>
      <c r="W2484" s="106" t="s">
        <v>6628</v>
      </c>
      <c r="X2484" s="106"/>
      <c r="Y2484" s="102"/>
    </row>
    <row r="2485">
      <c r="A2485" s="87" t="s">
        <v>6669</v>
      </c>
      <c r="B2485" s="248"/>
      <c r="C2485" s="99">
        <v>43559.0</v>
      </c>
      <c r="E2485" s="78" t="s">
        <v>41</v>
      </c>
      <c r="F2485" s="37">
        <v>1.0</v>
      </c>
      <c r="G2485" s="78" t="s">
        <v>32</v>
      </c>
      <c r="H2485" s="78">
        <v>1.0</v>
      </c>
      <c r="I2485" s="78" t="s">
        <v>33</v>
      </c>
      <c r="J2485" s="78" t="s">
        <v>433</v>
      </c>
      <c r="L2485" s="78" t="s">
        <v>35</v>
      </c>
      <c r="M2485" s="106" t="s">
        <v>6627</v>
      </c>
      <c r="N2485" s="106"/>
      <c r="Q2485" s="37"/>
      <c r="S2485" s="37" t="str">
        <f>IFERROR(__xludf.DUMMYFUNCTION("if(not(iserror(index(split(C2485, "" ""),2))), index(split(C2485, "" ""),1),"""")"),"April")</f>
        <v>April</v>
      </c>
      <c r="T2485" s="38">
        <f>IFERROR(__xludf.DUMMYFUNCTION("if(S2485="""",C2485,if(not(iserror(index(split(C2485, "" ""),3))), index(split(C2485, "" ""),3),index(split(C2485, "" ""),2)))"),2019.0)</f>
        <v>2019</v>
      </c>
      <c r="U2485" s="38" t="b">
        <f t="shared" si="369"/>
        <v>0</v>
      </c>
      <c r="V2485" s="78" t="s">
        <v>33</v>
      </c>
      <c r="W2485" s="106" t="s">
        <v>6628</v>
      </c>
      <c r="X2485" s="106"/>
      <c r="Y2485" s="102"/>
    </row>
    <row r="2486">
      <c r="A2486" s="87" t="s">
        <v>6670</v>
      </c>
      <c r="B2486" s="248"/>
      <c r="C2486" s="99">
        <v>43559.0</v>
      </c>
      <c r="E2486" s="78" t="s">
        <v>41</v>
      </c>
      <c r="F2486" s="37">
        <v>1.0</v>
      </c>
      <c r="G2486" s="78" t="s">
        <v>32</v>
      </c>
      <c r="H2486" s="78">
        <v>1.0</v>
      </c>
      <c r="I2486" s="78" t="s">
        <v>33</v>
      </c>
      <c r="J2486" s="78" t="s">
        <v>433</v>
      </c>
      <c r="L2486" s="78" t="s">
        <v>35</v>
      </c>
      <c r="M2486" s="106" t="s">
        <v>6627</v>
      </c>
      <c r="N2486" s="106"/>
      <c r="Q2486" s="37"/>
      <c r="S2486" s="37" t="str">
        <f>IFERROR(__xludf.DUMMYFUNCTION("if(not(iserror(index(split(C2486, "" ""),2))), index(split(C2486, "" ""),1),"""")"),"April")</f>
        <v>April</v>
      </c>
      <c r="T2486" s="38">
        <f>IFERROR(__xludf.DUMMYFUNCTION("if(S2486="""",C2486,if(not(iserror(index(split(C2486, "" ""),3))), index(split(C2486, "" ""),3),index(split(C2486, "" ""),2)))"),2019.0)</f>
        <v>2019</v>
      </c>
      <c r="U2486" s="38" t="b">
        <f t="shared" si="369"/>
        <v>0</v>
      </c>
      <c r="V2486" s="78" t="s">
        <v>33</v>
      </c>
      <c r="W2486" s="106" t="s">
        <v>6628</v>
      </c>
      <c r="X2486" s="106"/>
      <c r="Y2486" s="102"/>
    </row>
    <row r="2487">
      <c r="A2487" s="87" t="s">
        <v>6671</v>
      </c>
      <c r="B2487" s="248"/>
      <c r="C2487" s="99">
        <v>43559.0</v>
      </c>
      <c r="E2487" s="78" t="s">
        <v>41</v>
      </c>
      <c r="F2487" s="37">
        <v>1.0</v>
      </c>
      <c r="G2487" s="78" t="s">
        <v>32</v>
      </c>
      <c r="H2487" s="78">
        <v>1.0</v>
      </c>
      <c r="I2487" s="78" t="s">
        <v>33</v>
      </c>
      <c r="J2487" s="78" t="s">
        <v>433</v>
      </c>
      <c r="L2487" s="78" t="s">
        <v>35</v>
      </c>
      <c r="M2487" s="106" t="s">
        <v>6627</v>
      </c>
      <c r="N2487" s="106"/>
      <c r="Q2487" s="37"/>
      <c r="S2487" s="37" t="str">
        <f>IFERROR(__xludf.DUMMYFUNCTION("if(not(iserror(index(split(C2487, "" ""),2))), index(split(C2487, "" ""),1),"""")"),"April")</f>
        <v>April</v>
      </c>
      <c r="T2487" s="38">
        <f>IFERROR(__xludf.DUMMYFUNCTION("if(S2487="""",C2487,if(not(iserror(index(split(C2487, "" ""),3))), index(split(C2487, "" ""),3),index(split(C2487, "" ""),2)))"),2019.0)</f>
        <v>2019</v>
      </c>
      <c r="U2487" s="38" t="b">
        <f t="shared" si="369"/>
        <v>0</v>
      </c>
      <c r="V2487" s="78" t="s">
        <v>33</v>
      </c>
      <c r="W2487" s="106" t="s">
        <v>6628</v>
      </c>
      <c r="X2487" s="106"/>
      <c r="Y2487" s="102"/>
    </row>
    <row r="2488">
      <c r="A2488" s="87" t="s">
        <v>6672</v>
      </c>
      <c r="B2488" s="248"/>
      <c r="C2488" s="99">
        <v>43559.0</v>
      </c>
      <c r="E2488" s="78" t="s">
        <v>41</v>
      </c>
      <c r="F2488" s="37">
        <v>1.0</v>
      </c>
      <c r="G2488" s="78" t="s">
        <v>32</v>
      </c>
      <c r="H2488" s="78">
        <v>1.0</v>
      </c>
      <c r="I2488" s="78" t="s">
        <v>33</v>
      </c>
      <c r="J2488" s="78" t="s">
        <v>433</v>
      </c>
      <c r="L2488" s="78" t="s">
        <v>35</v>
      </c>
      <c r="M2488" s="106" t="s">
        <v>6627</v>
      </c>
      <c r="N2488" s="106"/>
      <c r="Q2488" s="37"/>
      <c r="S2488" s="37" t="str">
        <f>IFERROR(__xludf.DUMMYFUNCTION("if(not(iserror(index(split(C2488, "" ""),2))), index(split(C2488, "" ""),1),"""")"),"April")</f>
        <v>April</v>
      </c>
      <c r="T2488" s="38">
        <f>IFERROR(__xludf.DUMMYFUNCTION("if(S2488="""",C2488,if(not(iserror(index(split(C2488, "" ""),3))), index(split(C2488, "" ""),3),index(split(C2488, "" ""),2)))"),2019.0)</f>
        <v>2019</v>
      </c>
      <c r="U2488" s="38" t="b">
        <f t="shared" si="369"/>
        <v>0</v>
      </c>
      <c r="V2488" s="78" t="s">
        <v>33</v>
      </c>
      <c r="W2488" s="106" t="s">
        <v>6628</v>
      </c>
      <c r="X2488" s="106"/>
      <c r="Y2488" s="102"/>
    </row>
    <row r="2489">
      <c r="A2489" s="87" t="s">
        <v>6635</v>
      </c>
      <c r="B2489" s="248"/>
      <c r="C2489" s="99">
        <v>43559.0</v>
      </c>
      <c r="E2489" s="78" t="s">
        <v>41</v>
      </c>
      <c r="F2489" s="37">
        <v>1.0</v>
      </c>
      <c r="G2489" s="78" t="s">
        <v>32</v>
      </c>
      <c r="H2489" s="78">
        <v>1.0</v>
      </c>
      <c r="I2489" s="78" t="s">
        <v>33</v>
      </c>
      <c r="J2489" s="78" t="s">
        <v>433</v>
      </c>
      <c r="L2489" s="78" t="s">
        <v>35</v>
      </c>
      <c r="M2489" s="106" t="s">
        <v>6627</v>
      </c>
      <c r="N2489" s="106"/>
      <c r="Q2489" s="37"/>
      <c r="S2489" s="37" t="str">
        <f>IFERROR(__xludf.DUMMYFUNCTION("if(not(iserror(index(split(C2489, "" ""),2))), index(split(C2489, "" ""),1),"""")"),"April")</f>
        <v>April</v>
      </c>
      <c r="T2489" s="38">
        <f>IFERROR(__xludf.DUMMYFUNCTION("if(S2489="""",C2489,if(not(iserror(index(split(C2489, "" ""),3))), index(split(C2489, "" ""),3),index(split(C2489, "" ""),2)))"),2019.0)</f>
        <v>2019</v>
      </c>
      <c r="U2489" s="38" t="b">
        <f t="shared" si="369"/>
        <v>1</v>
      </c>
      <c r="V2489" s="78" t="s">
        <v>33</v>
      </c>
      <c r="W2489" s="106" t="s">
        <v>6628</v>
      </c>
      <c r="X2489" s="106"/>
      <c r="Y2489" s="102"/>
    </row>
    <row r="2490">
      <c r="A2490" s="87" t="s">
        <v>6673</v>
      </c>
      <c r="B2490" s="248"/>
      <c r="C2490" s="145">
        <v>43559.0</v>
      </c>
      <c r="E2490" s="285" t="s">
        <v>41</v>
      </c>
      <c r="F2490" s="91">
        <v>1.0</v>
      </c>
      <c r="G2490" s="285" t="s">
        <v>32</v>
      </c>
      <c r="H2490" s="285">
        <v>1.0</v>
      </c>
      <c r="I2490" s="285" t="s">
        <v>33</v>
      </c>
      <c r="J2490" s="285" t="s">
        <v>433</v>
      </c>
      <c r="L2490" s="285" t="s">
        <v>35</v>
      </c>
      <c r="M2490" s="288" t="s">
        <v>6627</v>
      </c>
      <c r="N2490" s="288"/>
      <c r="Q2490" s="91"/>
      <c r="S2490" s="37" t="str">
        <f>IFERROR(__xludf.DUMMYFUNCTION("if(not(iserror(index(split(C2490, "" ""),2))), index(split(C2490, "" ""),1),"""")"),"April")</f>
        <v>April</v>
      </c>
      <c r="T2490" s="38">
        <f>IFERROR(__xludf.DUMMYFUNCTION("if(S2490="""",C2490,if(not(iserror(index(split(C2490, "" ""),3))), index(split(C2490, "" ""),3),index(split(C2490, "" ""),2)))"),2019.0)</f>
        <v>2019</v>
      </c>
      <c r="U2490" s="38" t="b">
        <f t="shared" si="369"/>
        <v>0</v>
      </c>
      <c r="V2490" s="285" t="s">
        <v>33</v>
      </c>
      <c r="W2490" s="288" t="s">
        <v>6628</v>
      </c>
      <c r="X2490" s="288"/>
      <c r="Y2490" s="102"/>
    </row>
    <row r="2491">
      <c r="A2491" s="87" t="s">
        <v>6674</v>
      </c>
      <c r="B2491" s="248"/>
      <c r="C2491" s="145">
        <v>43559.0</v>
      </c>
      <c r="E2491" s="285" t="s">
        <v>41</v>
      </c>
      <c r="F2491" s="91">
        <v>1.0</v>
      </c>
      <c r="G2491" s="285" t="s">
        <v>32</v>
      </c>
      <c r="H2491" s="285">
        <v>1.0</v>
      </c>
      <c r="I2491" s="285" t="s">
        <v>33</v>
      </c>
      <c r="J2491" s="285" t="s">
        <v>433</v>
      </c>
      <c r="L2491" s="285" t="s">
        <v>35</v>
      </c>
      <c r="M2491" s="288" t="s">
        <v>6627</v>
      </c>
      <c r="N2491" s="288"/>
      <c r="Q2491" s="91"/>
      <c r="S2491" s="37" t="str">
        <f>IFERROR(__xludf.DUMMYFUNCTION("if(not(iserror(index(split(C2491, "" ""),2))), index(split(C2491, "" ""),1),"""")"),"April")</f>
        <v>April</v>
      </c>
      <c r="T2491" s="38">
        <f>IFERROR(__xludf.DUMMYFUNCTION("if(S2491="""",C2491,if(not(iserror(index(split(C2491, "" ""),3))), index(split(C2491, "" ""),3),index(split(C2491, "" ""),2)))"),2019.0)</f>
        <v>2019</v>
      </c>
      <c r="U2491" s="38" t="b">
        <f t="shared" si="369"/>
        <v>0</v>
      </c>
      <c r="V2491" s="285" t="s">
        <v>33</v>
      </c>
      <c r="W2491" s="288" t="s">
        <v>6628</v>
      </c>
      <c r="X2491" s="288"/>
      <c r="Y2491" s="102"/>
    </row>
    <row r="2492">
      <c r="A2492" s="87" t="s">
        <v>6675</v>
      </c>
      <c r="B2492" s="248"/>
      <c r="C2492" s="145">
        <v>43559.0</v>
      </c>
      <c r="E2492" s="285" t="s">
        <v>41</v>
      </c>
      <c r="F2492" s="91">
        <v>1.0</v>
      </c>
      <c r="G2492" s="285" t="s">
        <v>32</v>
      </c>
      <c r="H2492" s="285">
        <v>1.0</v>
      </c>
      <c r="I2492" s="285" t="s">
        <v>33</v>
      </c>
      <c r="J2492" s="285" t="s">
        <v>433</v>
      </c>
      <c r="L2492" s="285" t="s">
        <v>35</v>
      </c>
      <c r="M2492" s="288" t="s">
        <v>6627</v>
      </c>
      <c r="N2492" s="288"/>
      <c r="Q2492" s="91"/>
      <c r="S2492" s="37" t="str">
        <f>IFERROR(__xludf.DUMMYFUNCTION("if(not(iserror(index(split(C2492, "" ""),2))), index(split(C2492, "" ""),1),"""")"),"April")</f>
        <v>April</v>
      </c>
      <c r="T2492" s="38">
        <f>IFERROR(__xludf.DUMMYFUNCTION("if(S2492="""",C2492,if(not(iserror(index(split(C2492, "" ""),3))), index(split(C2492, "" ""),3),index(split(C2492, "" ""),2)))"),2019.0)</f>
        <v>2019</v>
      </c>
      <c r="U2492" s="38" t="b">
        <f t="shared" si="369"/>
        <v>0</v>
      </c>
      <c r="V2492" s="285" t="s">
        <v>33</v>
      </c>
      <c r="W2492" s="288" t="s">
        <v>6628</v>
      </c>
      <c r="X2492" s="288"/>
      <c r="Y2492" s="102"/>
    </row>
    <row r="2493">
      <c r="A2493" s="87" t="s">
        <v>6676</v>
      </c>
      <c r="B2493" s="248"/>
      <c r="C2493" s="145">
        <v>43559.0</v>
      </c>
      <c r="E2493" s="285" t="s">
        <v>41</v>
      </c>
      <c r="F2493" s="91">
        <v>1.0</v>
      </c>
      <c r="G2493" s="285" t="s">
        <v>32</v>
      </c>
      <c r="H2493" s="285">
        <v>1.0</v>
      </c>
      <c r="I2493" s="285" t="s">
        <v>33</v>
      </c>
      <c r="J2493" s="285" t="s">
        <v>433</v>
      </c>
      <c r="L2493" s="285" t="s">
        <v>35</v>
      </c>
      <c r="M2493" s="288" t="s">
        <v>6627</v>
      </c>
      <c r="N2493" s="288"/>
      <c r="Q2493" s="91"/>
      <c r="S2493" s="37" t="str">
        <f>IFERROR(__xludf.DUMMYFUNCTION("if(not(iserror(index(split(C2493, "" ""),2))), index(split(C2493, "" ""),1),"""")"),"April")</f>
        <v>April</v>
      </c>
      <c r="T2493" s="38">
        <f>IFERROR(__xludf.DUMMYFUNCTION("if(S2493="""",C2493,if(not(iserror(index(split(C2493, "" ""),3))), index(split(C2493, "" ""),3),index(split(C2493, "" ""),2)))"),2019.0)</f>
        <v>2019</v>
      </c>
      <c r="U2493" s="38" t="b">
        <f t="shared" si="369"/>
        <v>0</v>
      </c>
      <c r="V2493" s="285" t="s">
        <v>33</v>
      </c>
      <c r="W2493" s="288" t="s">
        <v>6628</v>
      </c>
      <c r="X2493" s="288"/>
      <c r="Y2493" s="102"/>
    </row>
    <row r="2494">
      <c r="A2494" s="87" t="s">
        <v>6677</v>
      </c>
      <c r="B2494" s="248"/>
      <c r="C2494" s="145">
        <v>43559.0</v>
      </c>
      <c r="E2494" s="285" t="s">
        <v>41</v>
      </c>
      <c r="F2494" s="91">
        <v>1.0</v>
      </c>
      <c r="G2494" s="285" t="s">
        <v>32</v>
      </c>
      <c r="H2494" s="285">
        <v>1.0</v>
      </c>
      <c r="I2494" s="285" t="s">
        <v>33</v>
      </c>
      <c r="J2494" s="285" t="s">
        <v>433</v>
      </c>
      <c r="L2494" s="285" t="s">
        <v>35</v>
      </c>
      <c r="M2494" s="288" t="s">
        <v>6627</v>
      </c>
      <c r="N2494" s="288"/>
      <c r="Q2494" s="91"/>
      <c r="S2494" s="37" t="str">
        <f>IFERROR(__xludf.DUMMYFUNCTION("if(not(iserror(index(split(C2494, "" ""),2))), index(split(C2494, "" ""),1),"""")"),"April")</f>
        <v>April</v>
      </c>
      <c r="T2494" s="38">
        <f>IFERROR(__xludf.DUMMYFUNCTION("if(S2494="""",C2494,if(not(iserror(index(split(C2494, "" ""),3))), index(split(C2494, "" ""),3),index(split(C2494, "" ""),2)))"),2019.0)</f>
        <v>2019</v>
      </c>
      <c r="U2494" s="38" t="b">
        <f t="shared" si="369"/>
        <v>0</v>
      </c>
      <c r="V2494" s="285" t="s">
        <v>33</v>
      </c>
      <c r="W2494" s="288" t="s">
        <v>6628</v>
      </c>
      <c r="X2494" s="288"/>
      <c r="Y2494" s="102"/>
    </row>
    <row r="2495">
      <c r="A2495" s="87" t="s">
        <v>6636</v>
      </c>
      <c r="B2495" s="248"/>
      <c r="C2495" s="145">
        <v>43559.0</v>
      </c>
      <c r="E2495" s="285" t="s">
        <v>41</v>
      </c>
      <c r="F2495" s="91">
        <v>1.0</v>
      </c>
      <c r="G2495" s="285" t="s">
        <v>32</v>
      </c>
      <c r="H2495" s="285">
        <v>1.0</v>
      </c>
      <c r="I2495" s="285" t="s">
        <v>33</v>
      </c>
      <c r="J2495" s="285" t="s">
        <v>433</v>
      </c>
      <c r="L2495" s="285" t="s">
        <v>35</v>
      </c>
      <c r="M2495" s="288" t="s">
        <v>6627</v>
      </c>
      <c r="N2495" s="288"/>
      <c r="Q2495" s="91"/>
      <c r="S2495" s="37" t="str">
        <f>IFERROR(__xludf.DUMMYFUNCTION("if(not(iserror(index(split(C2495, "" ""),2))), index(split(C2495, "" ""),1),"""")"),"April")</f>
        <v>April</v>
      </c>
      <c r="T2495" s="38">
        <f>IFERROR(__xludf.DUMMYFUNCTION("if(S2495="""",C2495,if(not(iserror(index(split(C2495, "" ""),3))), index(split(C2495, "" ""),3),index(split(C2495, "" ""),2)))"),2019.0)</f>
        <v>2019</v>
      </c>
      <c r="U2495" s="38" t="b">
        <f t="shared" si="369"/>
        <v>1</v>
      </c>
      <c r="V2495" s="285" t="s">
        <v>33</v>
      </c>
      <c r="W2495" s="288" t="s">
        <v>6628</v>
      </c>
      <c r="X2495" s="288"/>
      <c r="Y2495" s="102"/>
    </row>
    <row r="2496">
      <c r="A2496" s="87" t="s">
        <v>6678</v>
      </c>
      <c r="B2496" s="248"/>
      <c r="C2496" s="145">
        <v>43559.0</v>
      </c>
      <c r="E2496" s="285" t="s">
        <v>41</v>
      </c>
      <c r="F2496" s="91">
        <v>1.0</v>
      </c>
      <c r="G2496" s="285" t="s">
        <v>32</v>
      </c>
      <c r="H2496" s="285">
        <v>1.0</v>
      </c>
      <c r="I2496" s="285" t="s">
        <v>33</v>
      </c>
      <c r="J2496" s="285" t="s">
        <v>433</v>
      </c>
      <c r="L2496" s="285" t="s">
        <v>35</v>
      </c>
      <c r="M2496" s="288" t="s">
        <v>6627</v>
      </c>
      <c r="N2496" s="288"/>
      <c r="Q2496" s="91"/>
      <c r="S2496" s="37" t="str">
        <f>IFERROR(__xludf.DUMMYFUNCTION("if(not(iserror(index(split(C2496, "" ""),2))), index(split(C2496, "" ""),1),"""")"),"April")</f>
        <v>April</v>
      </c>
      <c r="T2496" s="38">
        <f>IFERROR(__xludf.DUMMYFUNCTION("if(S2496="""",C2496,if(not(iserror(index(split(C2496, "" ""),3))), index(split(C2496, "" ""),3),index(split(C2496, "" ""),2)))"),2019.0)</f>
        <v>2019</v>
      </c>
      <c r="U2496" s="38" t="b">
        <f t="shared" si="369"/>
        <v>0</v>
      </c>
      <c r="V2496" s="285" t="s">
        <v>33</v>
      </c>
      <c r="W2496" s="288" t="s">
        <v>6628</v>
      </c>
      <c r="X2496" s="288"/>
      <c r="Y2496" s="102"/>
    </row>
    <row r="2497">
      <c r="A2497" s="87" t="s">
        <v>6679</v>
      </c>
      <c r="B2497" s="248"/>
      <c r="C2497" s="145">
        <v>43559.0</v>
      </c>
      <c r="E2497" s="285" t="s">
        <v>41</v>
      </c>
      <c r="F2497" s="91">
        <v>1.0</v>
      </c>
      <c r="G2497" s="285" t="s">
        <v>32</v>
      </c>
      <c r="H2497" s="285">
        <v>1.0</v>
      </c>
      <c r="I2497" s="285" t="s">
        <v>33</v>
      </c>
      <c r="J2497" s="285" t="s">
        <v>433</v>
      </c>
      <c r="L2497" s="285" t="s">
        <v>35</v>
      </c>
      <c r="M2497" s="288" t="s">
        <v>6627</v>
      </c>
      <c r="N2497" s="288"/>
      <c r="Q2497" s="91"/>
      <c r="S2497" s="37" t="str">
        <f>IFERROR(__xludf.DUMMYFUNCTION("if(not(iserror(index(split(C2497, "" ""),2))), index(split(C2497, "" ""),1),"""")"),"April")</f>
        <v>April</v>
      </c>
      <c r="T2497" s="38">
        <f>IFERROR(__xludf.DUMMYFUNCTION("if(S2497="""",C2497,if(not(iserror(index(split(C2497, "" ""),3))), index(split(C2497, "" ""),3),index(split(C2497, "" ""),2)))"),2019.0)</f>
        <v>2019</v>
      </c>
      <c r="U2497" s="38" t="b">
        <f t="shared" si="369"/>
        <v>0</v>
      </c>
      <c r="V2497" s="285" t="s">
        <v>33</v>
      </c>
      <c r="W2497" s="288" t="s">
        <v>6628</v>
      </c>
      <c r="X2497" s="288"/>
      <c r="Y2497" s="102"/>
    </row>
    <row r="2498">
      <c r="A2498" s="87" t="s">
        <v>6680</v>
      </c>
      <c r="B2498" s="248"/>
      <c r="C2498" s="145">
        <v>43559.0</v>
      </c>
      <c r="E2498" s="285" t="s">
        <v>41</v>
      </c>
      <c r="F2498" s="91">
        <v>1.0</v>
      </c>
      <c r="G2498" s="285" t="s">
        <v>32</v>
      </c>
      <c r="H2498" s="285">
        <v>1.0</v>
      </c>
      <c r="I2498" s="285" t="s">
        <v>33</v>
      </c>
      <c r="J2498" s="285" t="s">
        <v>433</v>
      </c>
      <c r="L2498" s="285" t="s">
        <v>35</v>
      </c>
      <c r="M2498" s="288" t="s">
        <v>6627</v>
      </c>
      <c r="N2498" s="288"/>
      <c r="Q2498" s="91"/>
      <c r="S2498" s="37" t="str">
        <f>IFERROR(__xludf.DUMMYFUNCTION("if(not(iserror(index(split(C2498, "" ""),2))), index(split(C2498, "" ""),1),"""")"),"April")</f>
        <v>April</v>
      </c>
      <c r="T2498" s="38">
        <f>IFERROR(__xludf.DUMMYFUNCTION("if(S2498="""",C2498,if(not(iserror(index(split(C2498, "" ""),3))), index(split(C2498, "" ""),3),index(split(C2498, "" ""),2)))"),2019.0)</f>
        <v>2019</v>
      </c>
      <c r="U2498" s="38" t="b">
        <f t="shared" si="369"/>
        <v>0</v>
      </c>
      <c r="V2498" s="285" t="s">
        <v>33</v>
      </c>
      <c r="W2498" s="288" t="s">
        <v>6628</v>
      </c>
      <c r="X2498" s="288"/>
      <c r="Y2498" s="102"/>
    </row>
    <row r="2499">
      <c r="A2499" s="87" t="s">
        <v>6681</v>
      </c>
      <c r="B2499" s="248"/>
      <c r="C2499" s="145">
        <v>43559.0</v>
      </c>
      <c r="E2499" s="285" t="s">
        <v>41</v>
      </c>
      <c r="F2499" s="91">
        <v>1.0</v>
      </c>
      <c r="G2499" s="285" t="s">
        <v>32</v>
      </c>
      <c r="H2499" s="285">
        <v>1.0</v>
      </c>
      <c r="I2499" s="285" t="s">
        <v>33</v>
      </c>
      <c r="J2499" s="285" t="s">
        <v>433</v>
      </c>
      <c r="L2499" s="285" t="s">
        <v>35</v>
      </c>
      <c r="M2499" s="288" t="s">
        <v>6627</v>
      </c>
      <c r="N2499" s="288"/>
      <c r="Q2499" s="91"/>
      <c r="S2499" s="37" t="str">
        <f>IFERROR(__xludf.DUMMYFUNCTION("if(not(iserror(index(split(C2499, "" ""),2))), index(split(C2499, "" ""),1),"""")"),"April")</f>
        <v>April</v>
      </c>
      <c r="T2499" s="38">
        <f>IFERROR(__xludf.DUMMYFUNCTION("if(S2499="""",C2499,if(not(iserror(index(split(C2499, "" ""),3))), index(split(C2499, "" ""),3),index(split(C2499, "" ""),2)))"),2019.0)</f>
        <v>2019</v>
      </c>
      <c r="U2499" s="38" t="b">
        <f t="shared" si="369"/>
        <v>0</v>
      </c>
      <c r="V2499" s="285" t="s">
        <v>33</v>
      </c>
      <c r="W2499" s="288" t="s">
        <v>6628</v>
      </c>
      <c r="X2499" s="288"/>
      <c r="Y2499" s="102"/>
    </row>
    <row r="2500">
      <c r="A2500" s="87" t="s">
        <v>6682</v>
      </c>
      <c r="B2500" s="248"/>
      <c r="C2500" s="145">
        <v>43559.0</v>
      </c>
      <c r="E2500" s="285" t="s">
        <v>41</v>
      </c>
      <c r="F2500" s="91">
        <v>1.0</v>
      </c>
      <c r="G2500" s="285" t="s">
        <v>32</v>
      </c>
      <c r="H2500" s="285">
        <v>1.0</v>
      </c>
      <c r="I2500" s="285" t="s">
        <v>33</v>
      </c>
      <c r="J2500" s="285" t="s">
        <v>433</v>
      </c>
      <c r="L2500" s="285" t="s">
        <v>35</v>
      </c>
      <c r="M2500" s="288" t="s">
        <v>6627</v>
      </c>
      <c r="N2500" s="288"/>
      <c r="Q2500" s="91"/>
      <c r="S2500" s="37" t="str">
        <f>IFERROR(__xludf.DUMMYFUNCTION("if(not(iserror(index(split(C2500, "" ""),2))), index(split(C2500, "" ""),1),"""")"),"April")</f>
        <v>April</v>
      </c>
      <c r="T2500" s="38">
        <f>IFERROR(__xludf.DUMMYFUNCTION("if(S2500="""",C2500,if(not(iserror(index(split(C2500, "" ""),3))), index(split(C2500, "" ""),3),index(split(C2500, "" ""),2)))"),2019.0)</f>
        <v>2019</v>
      </c>
      <c r="U2500" s="38" t="b">
        <f t="shared" si="369"/>
        <v>0</v>
      </c>
      <c r="V2500" s="285" t="s">
        <v>33</v>
      </c>
      <c r="W2500" s="288" t="s">
        <v>6628</v>
      </c>
      <c r="X2500" s="288"/>
      <c r="Y2500" s="102"/>
    </row>
    <row r="2501">
      <c r="A2501" s="87" t="s">
        <v>6683</v>
      </c>
      <c r="B2501" s="248"/>
      <c r="C2501" s="145">
        <v>43559.0</v>
      </c>
      <c r="E2501" s="285" t="s">
        <v>41</v>
      </c>
      <c r="F2501" s="91">
        <v>1.0</v>
      </c>
      <c r="G2501" s="285" t="s">
        <v>32</v>
      </c>
      <c r="H2501" s="285">
        <v>1.0</v>
      </c>
      <c r="I2501" s="285" t="s">
        <v>33</v>
      </c>
      <c r="J2501" s="285" t="s">
        <v>433</v>
      </c>
      <c r="L2501" s="285" t="s">
        <v>35</v>
      </c>
      <c r="M2501" s="288" t="s">
        <v>6627</v>
      </c>
      <c r="N2501" s="288"/>
      <c r="Q2501" s="91"/>
      <c r="S2501" s="37" t="str">
        <f>IFERROR(__xludf.DUMMYFUNCTION("if(not(iserror(index(split(C2501, "" ""),2))), index(split(C2501, "" ""),1),"""")"),"April")</f>
        <v>April</v>
      </c>
      <c r="T2501" s="38">
        <f>IFERROR(__xludf.DUMMYFUNCTION("if(S2501="""",C2501,if(not(iserror(index(split(C2501, "" ""),3))), index(split(C2501, "" ""),3),index(split(C2501, "" ""),2)))"),2019.0)</f>
        <v>2019</v>
      </c>
      <c r="U2501" s="38" t="b">
        <f t="shared" si="369"/>
        <v>0</v>
      </c>
      <c r="V2501" s="285" t="s">
        <v>33</v>
      </c>
      <c r="W2501" s="288" t="s">
        <v>6628</v>
      </c>
      <c r="X2501" s="288"/>
      <c r="Y2501" s="102"/>
    </row>
    <row r="2502">
      <c r="A2502" s="87" t="s">
        <v>6684</v>
      </c>
      <c r="B2502" s="248"/>
      <c r="C2502" s="145">
        <v>43559.0</v>
      </c>
      <c r="E2502" s="285" t="s">
        <v>41</v>
      </c>
      <c r="F2502" s="91">
        <v>1.0</v>
      </c>
      <c r="G2502" s="285" t="s">
        <v>32</v>
      </c>
      <c r="H2502" s="285">
        <v>1.0</v>
      </c>
      <c r="I2502" s="285" t="s">
        <v>33</v>
      </c>
      <c r="J2502" s="285" t="s">
        <v>433</v>
      </c>
      <c r="L2502" s="285" t="s">
        <v>35</v>
      </c>
      <c r="M2502" s="288" t="s">
        <v>6627</v>
      </c>
      <c r="N2502" s="288"/>
      <c r="Q2502" s="91"/>
      <c r="S2502" s="37" t="str">
        <f>IFERROR(__xludf.DUMMYFUNCTION("if(not(iserror(index(split(C2502, "" ""),2))), index(split(C2502, "" ""),1),"""")"),"April")</f>
        <v>April</v>
      </c>
      <c r="T2502" s="38">
        <f>IFERROR(__xludf.DUMMYFUNCTION("if(S2502="""",C2502,if(not(iserror(index(split(C2502, "" ""),3))), index(split(C2502, "" ""),3),index(split(C2502, "" ""),2)))"),2019.0)</f>
        <v>2019</v>
      </c>
      <c r="U2502" s="38" t="b">
        <f t="shared" si="369"/>
        <v>0</v>
      </c>
      <c r="V2502" s="285" t="s">
        <v>33</v>
      </c>
      <c r="W2502" s="288" t="s">
        <v>6628</v>
      </c>
      <c r="X2502" s="288"/>
      <c r="Y2502" s="102"/>
    </row>
    <row r="2503">
      <c r="A2503" s="87" t="s">
        <v>6685</v>
      </c>
      <c r="B2503" s="248"/>
      <c r="C2503" s="145">
        <v>43559.0</v>
      </c>
      <c r="E2503" s="285" t="s">
        <v>41</v>
      </c>
      <c r="F2503" s="91">
        <v>1.0</v>
      </c>
      <c r="G2503" s="285" t="s">
        <v>32</v>
      </c>
      <c r="H2503" s="285">
        <v>1.0</v>
      </c>
      <c r="I2503" s="285" t="s">
        <v>33</v>
      </c>
      <c r="J2503" s="285" t="s">
        <v>433</v>
      </c>
      <c r="L2503" s="285" t="s">
        <v>35</v>
      </c>
      <c r="M2503" s="288" t="s">
        <v>6627</v>
      </c>
      <c r="N2503" s="288"/>
      <c r="Q2503" s="91"/>
      <c r="S2503" s="37" t="str">
        <f>IFERROR(__xludf.DUMMYFUNCTION("if(not(iserror(index(split(C2503, "" ""),2))), index(split(C2503, "" ""),1),"""")"),"April")</f>
        <v>April</v>
      </c>
      <c r="T2503" s="38">
        <f>IFERROR(__xludf.DUMMYFUNCTION("if(S2503="""",C2503,if(not(iserror(index(split(C2503, "" ""),3))), index(split(C2503, "" ""),3),index(split(C2503, "" ""),2)))"),2019.0)</f>
        <v>2019</v>
      </c>
      <c r="U2503" s="38" t="b">
        <f t="shared" si="369"/>
        <v>0</v>
      </c>
      <c r="V2503" s="285" t="s">
        <v>33</v>
      </c>
      <c r="W2503" s="288" t="s">
        <v>6628</v>
      </c>
      <c r="X2503" s="288"/>
      <c r="Y2503" s="102"/>
    </row>
    <row r="2504">
      <c r="A2504" s="87" t="s">
        <v>6686</v>
      </c>
      <c r="B2504" s="248"/>
      <c r="C2504" s="145">
        <v>43559.0</v>
      </c>
      <c r="E2504" s="285" t="s">
        <v>41</v>
      </c>
      <c r="F2504" s="91">
        <v>1.0</v>
      </c>
      <c r="G2504" s="285" t="s">
        <v>32</v>
      </c>
      <c r="H2504" s="285">
        <v>1.0</v>
      </c>
      <c r="I2504" s="285" t="s">
        <v>33</v>
      </c>
      <c r="J2504" s="285" t="s">
        <v>433</v>
      </c>
      <c r="L2504" s="285" t="s">
        <v>35</v>
      </c>
      <c r="M2504" s="288" t="s">
        <v>6627</v>
      </c>
      <c r="N2504" s="288"/>
      <c r="Q2504" s="91"/>
      <c r="S2504" s="37" t="str">
        <f>IFERROR(__xludf.DUMMYFUNCTION("if(not(iserror(index(split(C2504, "" ""),2))), index(split(C2504, "" ""),1),"""")"),"April")</f>
        <v>April</v>
      </c>
      <c r="T2504" s="38">
        <f>IFERROR(__xludf.DUMMYFUNCTION("if(S2504="""",C2504,if(not(iserror(index(split(C2504, "" ""),3))), index(split(C2504, "" ""),3),index(split(C2504, "" ""),2)))"),2019.0)</f>
        <v>2019</v>
      </c>
      <c r="U2504" s="38" t="b">
        <f t="shared" si="369"/>
        <v>0</v>
      </c>
      <c r="V2504" s="285" t="s">
        <v>33</v>
      </c>
      <c r="W2504" s="288" t="s">
        <v>6628</v>
      </c>
      <c r="X2504" s="288"/>
      <c r="Y2504" s="102"/>
    </row>
    <row r="2505">
      <c r="A2505" s="87" t="s">
        <v>6687</v>
      </c>
      <c r="B2505" s="248"/>
      <c r="C2505" s="99">
        <v>43560.0</v>
      </c>
      <c r="E2505" s="78" t="s">
        <v>41</v>
      </c>
      <c r="F2505" s="37">
        <v>1.0</v>
      </c>
      <c r="G2505" s="78" t="s">
        <v>32</v>
      </c>
      <c r="H2505" s="78">
        <v>1.0</v>
      </c>
      <c r="I2505" s="78" t="s">
        <v>33</v>
      </c>
      <c r="J2505" s="78" t="s">
        <v>47</v>
      </c>
      <c r="L2505" s="78" t="s">
        <v>119</v>
      </c>
      <c r="M2505" s="46" t="s">
        <v>6688</v>
      </c>
      <c r="N2505" s="288"/>
      <c r="O2505" s="160" t="str">
        <f>hyperlink("https://bad-boys.us/?q=SD-FL/9:19-cr-80049", "SD-FL 9:19-cr-80049")</f>
        <v>SD-FL 9:19-cr-80049</v>
      </c>
      <c r="P2505" s="103" t="s">
        <v>6689</v>
      </c>
      <c r="Q2505" s="37">
        <v>1.0</v>
      </c>
      <c r="S2505" s="37"/>
      <c r="T2505" s="38"/>
      <c r="U2505" s="38" t="b">
        <f t="shared" si="369"/>
        <v>0</v>
      </c>
      <c r="V2505" s="78" t="s">
        <v>33</v>
      </c>
      <c r="W2505" s="106"/>
      <c r="X2505" s="290"/>
      <c r="Y2505" s="102"/>
    </row>
    <row r="2506">
      <c r="A2506" s="289" t="s">
        <v>6690</v>
      </c>
      <c r="B2506" s="248"/>
      <c r="C2506" s="145">
        <v>43560.0</v>
      </c>
      <c r="E2506" s="285" t="s">
        <v>41</v>
      </c>
      <c r="F2506" s="91">
        <v>1.0</v>
      </c>
      <c r="G2506" s="285" t="s">
        <v>32</v>
      </c>
      <c r="H2506" s="285">
        <v>1.0</v>
      </c>
      <c r="I2506" s="285" t="s">
        <v>33</v>
      </c>
      <c r="J2506" s="285" t="s">
        <v>147</v>
      </c>
      <c r="L2506" s="285" t="s">
        <v>76</v>
      </c>
      <c r="M2506" s="288" t="s">
        <v>6691</v>
      </c>
      <c r="N2506" s="288"/>
      <c r="Q2506" s="37"/>
      <c r="S2506" s="91"/>
      <c r="T2506" s="96"/>
      <c r="U2506" s="96"/>
      <c r="V2506" s="78" t="s">
        <v>33</v>
      </c>
      <c r="W2506" s="288"/>
      <c r="X2506" s="291"/>
      <c r="Y2506" s="102"/>
    </row>
    <row r="2507">
      <c r="A2507" s="87" t="s">
        <v>6692</v>
      </c>
      <c r="B2507" s="248"/>
      <c r="C2507" s="99">
        <v>43560.0</v>
      </c>
      <c r="E2507" s="78" t="s">
        <v>41</v>
      </c>
      <c r="F2507" s="37">
        <v>1.0</v>
      </c>
      <c r="G2507" s="78" t="s">
        <v>32</v>
      </c>
      <c r="H2507" s="78">
        <v>1.0</v>
      </c>
      <c r="I2507" s="78" t="s">
        <v>33</v>
      </c>
      <c r="J2507" s="78" t="s">
        <v>47</v>
      </c>
      <c r="L2507" s="78" t="s">
        <v>76</v>
      </c>
      <c r="M2507" s="46" t="s">
        <v>6693</v>
      </c>
      <c r="N2507" s="288"/>
      <c r="Q2507" s="37"/>
      <c r="S2507" s="37" t="str">
        <f>IFERROR(__xludf.DUMMYFUNCTION("if(not(iserror(index(split(C2507, "" ""),2))), index(split(C2507, "" ""),1),"""")"),"April")</f>
        <v>April</v>
      </c>
      <c r="T2507" s="38">
        <f>IFERROR(__xludf.DUMMYFUNCTION("if(S2507="""",C2507,if(not(iserror(index(split(C2507, "" ""),3))), index(split(C2507, "" ""),3),index(split(C2507, "" ""),2)))"),2019.0)</f>
        <v>2019</v>
      </c>
      <c r="U2507" s="38" t="b">
        <f t="shared" ref="U2507:U2509" si="370">countif(A$4:A4658, A2507)&gt;1</f>
        <v>0</v>
      </c>
      <c r="V2507" s="78" t="s">
        <v>33</v>
      </c>
      <c r="W2507" s="106"/>
      <c r="X2507" s="290"/>
      <c r="Y2507" s="102"/>
    </row>
    <row r="2508">
      <c r="A2508" s="87" t="s">
        <v>6694</v>
      </c>
      <c r="B2508" s="248"/>
      <c r="C2508" s="99">
        <v>43560.0</v>
      </c>
      <c r="E2508" s="78" t="s">
        <v>41</v>
      </c>
      <c r="F2508" s="37">
        <v>1.0</v>
      </c>
      <c r="G2508" s="78" t="s">
        <v>32</v>
      </c>
      <c r="H2508" s="78">
        <v>1.0</v>
      </c>
      <c r="I2508" s="78" t="s">
        <v>33</v>
      </c>
      <c r="J2508" s="78" t="s">
        <v>124</v>
      </c>
      <c r="L2508" s="78" t="s">
        <v>76</v>
      </c>
      <c r="M2508" s="46" t="s">
        <v>6695</v>
      </c>
      <c r="N2508" s="288"/>
      <c r="O2508" s="160" t="str">
        <f>hyperlink("https://bad-boys.us/?q=SD-OH/2:19-cr-00107", "SD-OH 2:19-cr-00107")</f>
        <v>SD-OH 2:19-cr-00107</v>
      </c>
      <c r="P2508" s="103" t="s">
        <v>6696</v>
      </c>
      <c r="Q2508" s="37">
        <v>1.0</v>
      </c>
      <c r="S2508" s="37" t="str">
        <f>IFERROR(__xludf.DUMMYFUNCTION("if(not(iserror(index(split(C2508, "" ""),2))), index(split(C2508, "" ""),1),"""")"),"April")</f>
        <v>April</v>
      </c>
      <c r="T2508" s="38">
        <f>IFERROR(__xludf.DUMMYFUNCTION("if(S2508="""",C2508,if(not(iserror(index(split(C2508, "" ""),3))), index(split(C2508, "" ""),3),index(split(C2508, "" ""),2)))"),2019.0)</f>
        <v>2019</v>
      </c>
      <c r="U2508" s="38" t="b">
        <f t="shared" si="370"/>
        <v>0</v>
      </c>
      <c r="V2508" s="78" t="s">
        <v>33</v>
      </c>
      <c r="W2508" s="106"/>
      <c r="X2508" s="290"/>
      <c r="Y2508" s="102"/>
    </row>
    <row r="2509">
      <c r="A2509" s="87" t="s">
        <v>6697</v>
      </c>
      <c r="B2509" s="248"/>
      <c r="C2509" s="99">
        <v>43560.0</v>
      </c>
      <c r="E2509" s="78" t="s">
        <v>41</v>
      </c>
      <c r="F2509" s="37">
        <v>1.0</v>
      </c>
      <c r="G2509" s="78" t="s">
        <v>32</v>
      </c>
      <c r="H2509" s="78">
        <v>1.0</v>
      </c>
      <c r="I2509" s="78" t="s">
        <v>33</v>
      </c>
      <c r="J2509" s="78" t="s">
        <v>410</v>
      </c>
      <c r="L2509" s="78" t="s">
        <v>76</v>
      </c>
      <c r="M2509" s="46" t="s">
        <v>6698</v>
      </c>
      <c r="N2509" s="288"/>
      <c r="O2509" s="160" t="str">
        <f>hyperlink("https://bad-boys.us/?q=D-MA/4:19-cr-40011", "D-MA 4:19-cr-40011")</f>
        <v>D-MA 4:19-cr-40011</v>
      </c>
      <c r="P2509" s="103" t="s">
        <v>6699</v>
      </c>
      <c r="Q2509" s="37">
        <v>1.0</v>
      </c>
      <c r="S2509" s="37" t="str">
        <f>IFERROR(__xludf.DUMMYFUNCTION("if(not(iserror(index(split(C2509, "" ""),2))), index(split(C2509, "" ""),1),"""")"),"April")</f>
        <v>April</v>
      </c>
      <c r="T2509" s="38">
        <f>IFERROR(__xludf.DUMMYFUNCTION("if(S2509="""",C2509,if(not(iserror(index(split(C2509, "" ""),3))), index(split(C2509, "" ""),3),index(split(C2509, "" ""),2)))"),2019.0)</f>
        <v>2019</v>
      </c>
      <c r="U2509" s="38" t="b">
        <f t="shared" si="370"/>
        <v>0</v>
      </c>
      <c r="V2509" s="78" t="s">
        <v>33</v>
      </c>
      <c r="W2509" s="106"/>
      <c r="X2509" s="290"/>
      <c r="Y2509" s="102"/>
    </row>
    <row r="2510">
      <c r="A2510" s="87" t="s">
        <v>6700</v>
      </c>
      <c r="B2510" s="248"/>
      <c r="C2510" s="99">
        <v>43560.0</v>
      </c>
      <c r="E2510" s="78" t="s">
        <v>31</v>
      </c>
      <c r="F2510" s="37">
        <v>1.0</v>
      </c>
      <c r="G2510" s="78" t="s">
        <v>32</v>
      </c>
      <c r="H2510" s="78">
        <v>1.0</v>
      </c>
      <c r="I2510" s="78" t="s">
        <v>33</v>
      </c>
      <c r="J2510" s="78" t="s">
        <v>75</v>
      </c>
      <c r="L2510" s="78" t="s">
        <v>76</v>
      </c>
      <c r="M2510" s="106" t="s">
        <v>6701</v>
      </c>
      <c r="N2510" s="46" t="s">
        <v>6702</v>
      </c>
      <c r="Q2510" s="37">
        <v>1.0</v>
      </c>
      <c r="S2510" s="37"/>
      <c r="T2510" s="38"/>
      <c r="U2510" s="38"/>
      <c r="V2510" s="78" t="s">
        <v>33</v>
      </c>
      <c r="W2510" s="46" t="s">
        <v>6703</v>
      </c>
      <c r="X2510" s="46" t="s">
        <v>6704</v>
      </c>
      <c r="Y2510" s="102"/>
    </row>
    <row r="2511">
      <c r="A2511" s="87" t="s">
        <v>6705</v>
      </c>
      <c r="B2511" s="248"/>
      <c r="C2511" s="99">
        <v>43560.0</v>
      </c>
      <c r="E2511" s="78" t="s">
        <v>31</v>
      </c>
      <c r="F2511" s="37">
        <v>1.0</v>
      </c>
      <c r="G2511" s="78" t="s">
        <v>32</v>
      </c>
      <c r="H2511" s="78">
        <v>1.0</v>
      </c>
      <c r="I2511" s="78" t="s">
        <v>33</v>
      </c>
      <c r="J2511" s="78" t="s">
        <v>172</v>
      </c>
      <c r="L2511" s="78" t="s">
        <v>790</v>
      </c>
      <c r="M2511" s="46" t="s">
        <v>6706</v>
      </c>
      <c r="N2511" s="288"/>
      <c r="Q2511" s="91"/>
      <c r="S2511" s="37" t="str">
        <f>IFERROR(__xludf.DUMMYFUNCTION("if(not(iserror(index(split(C2511, "" ""),2))), index(split(C2511, "" ""),1),"""")"),"April")</f>
        <v>April</v>
      </c>
      <c r="T2511" s="38">
        <f>IFERROR(__xludf.DUMMYFUNCTION("if(S2511="""",C2511,if(not(iserror(index(split(C2511, "" ""),3))), index(split(C2511, "" ""),3),index(split(C2511, "" ""),2)))"),2019.0)</f>
        <v>2019</v>
      </c>
      <c r="U2511" s="38" t="b">
        <f t="shared" ref="U2511:U2523" si="371">countif(A$4:A4658, A2511)&gt;1</f>
        <v>0</v>
      </c>
      <c r="V2511" s="78" t="s">
        <v>33</v>
      </c>
      <c r="W2511" s="46" t="s">
        <v>6707</v>
      </c>
      <c r="X2511" s="292" t="s">
        <v>6708</v>
      </c>
      <c r="Y2511" s="102"/>
    </row>
    <row r="2512">
      <c r="A2512" s="87" t="s">
        <v>239</v>
      </c>
      <c r="B2512" s="248"/>
      <c r="C2512" s="99">
        <v>43562.0</v>
      </c>
      <c r="E2512" s="78" t="s">
        <v>41</v>
      </c>
      <c r="F2512" s="37">
        <v>1.0</v>
      </c>
      <c r="G2512" s="37">
        <v>9.0</v>
      </c>
      <c r="H2512" s="78">
        <v>9.0</v>
      </c>
      <c r="I2512" s="78" t="s">
        <v>33</v>
      </c>
      <c r="J2512" s="78" t="s">
        <v>193</v>
      </c>
      <c r="L2512" s="78" t="s">
        <v>194</v>
      </c>
      <c r="M2512" s="46" t="s">
        <v>6709</v>
      </c>
      <c r="N2512" s="288"/>
      <c r="Q2512" s="91"/>
      <c r="S2512" s="37" t="str">
        <f>IFERROR(__xludf.DUMMYFUNCTION("if(not(iserror(index(split(C2512, "" ""),2))), index(split(C2512, "" ""),1),"""")"),"April")</f>
        <v>April</v>
      </c>
      <c r="T2512" s="38">
        <f>IFERROR(__xludf.DUMMYFUNCTION("if(S2512="""",C2512,if(not(iserror(index(split(C2512, "" ""),3))), index(split(C2512, "" ""),3),index(split(C2512, "" ""),2)))"),2019.0)</f>
        <v>2019</v>
      </c>
      <c r="U2512" s="38" t="b">
        <f t="shared" si="371"/>
        <v>1</v>
      </c>
      <c r="V2512" s="78" t="s">
        <v>33</v>
      </c>
      <c r="W2512" s="106"/>
      <c r="X2512" s="290"/>
      <c r="Y2512" s="102"/>
    </row>
    <row r="2513">
      <c r="A2513" s="87" t="s">
        <v>6710</v>
      </c>
      <c r="B2513" s="248"/>
      <c r="C2513" s="99">
        <v>43563.0</v>
      </c>
      <c r="E2513" s="78" t="s">
        <v>41</v>
      </c>
      <c r="F2513" s="37">
        <v>1.0</v>
      </c>
      <c r="G2513" s="37" t="s">
        <v>32</v>
      </c>
      <c r="H2513" s="78">
        <v>1.0</v>
      </c>
      <c r="I2513" s="78" t="s">
        <v>33</v>
      </c>
      <c r="J2513" s="78" t="s">
        <v>93</v>
      </c>
      <c r="L2513" s="78" t="s">
        <v>6711</v>
      </c>
      <c r="M2513" s="106" t="s">
        <v>6712</v>
      </c>
      <c r="N2513" s="288"/>
      <c r="O2513" s="160" t="str">
        <f>hyperlink("https://bad-boys.us/?q=WD-NY/6:19-mj-04044", "WD-NY 6:19-mj-04044")</f>
        <v>WD-NY 6:19-mj-04044</v>
      </c>
      <c r="Q2513" s="37">
        <v>1.0</v>
      </c>
      <c r="S2513" s="37" t="str">
        <f>IFERROR(__xludf.DUMMYFUNCTION("if(not(iserror(index(split(C2513, "" ""),2))), index(split(C2513, "" ""),1),"""")"),"April")</f>
        <v>April</v>
      </c>
      <c r="T2513" s="38">
        <f>IFERROR(__xludf.DUMMYFUNCTION("if(S2513="""",C2513,if(not(iserror(index(split(C2513, "" ""),3))), index(split(C2513, "" ""),3),index(split(C2513, "" ""),2)))"),2019.0)</f>
        <v>2019</v>
      </c>
      <c r="U2513" s="38" t="b">
        <f t="shared" si="371"/>
        <v>0</v>
      </c>
      <c r="V2513" s="78" t="s">
        <v>33</v>
      </c>
      <c r="W2513" s="106"/>
      <c r="X2513" s="290"/>
      <c r="Y2513" s="102"/>
    </row>
    <row r="2514">
      <c r="A2514" s="87" t="s">
        <v>6713</v>
      </c>
      <c r="B2514" s="248"/>
      <c r="C2514" s="99">
        <v>43564.0</v>
      </c>
      <c r="E2514" s="78" t="s">
        <v>31</v>
      </c>
      <c r="F2514" s="37">
        <v>1.0</v>
      </c>
      <c r="G2514" s="37" t="s">
        <v>32</v>
      </c>
      <c r="H2514" s="78">
        <v>1.0</v>
      </c>
      <c r="I2514" s="78" t="s">
        <v>33</v>
      </c>
      <c r="J2514" s="78" t="s">
        <v>85</v>
      </c>
      <c r="L2514" s="78" t="s">
        <v>6714</v>
      </c>
      <c r="M2514" s="282" t="s">
        <v>6715</v>
      </c>
      <c r="N2514" s="288"/>
      <c r="Q2514" s="37"/>
      <c r="S2514" s="37" t="str">
        <f>IFERROR(__xludf.DUMMYFUNCTION("if(not(iserror(index(split(C2514, "" ""),2))), index(split(C2514, "" ""),1),"""")"),"April")</f>
        <v>April</v>
      </c>
      <c r="T2514" s="38">
        <f>IFERROR(__xludf.DUMMYFUNCTION("if(S2514="""",C2514,if(not(iserror(index(split(C2514, "" ""),3))), index(split(C2514, "" ""),3),index(split(C2514, "" ""),2)))"),2019.0)</f>
        <v>2019</v>
      </c>
      <c r="U2514" s="38" t="b">
        <f t="shared" si="371"/>
        <v>0</v>
      </c>
      <c r="V2514" s="78" t="s">
        <v>33</v>
      </c>
      <c r="W2514" s="46" t="s">
        <v>6716</v>
      </c>
      <c r="X2514" s="46" t="s">
        <v>6717</v>
      </c>
      <c r="Y2514" s="102"/>
    </row>
    <row r="2515">
      <c r="A2515" s="87" t="s">
        <v>6718</v>
      </c>
      <c r="B2515" s="248"/>
      <c r="C2515" s="99">
        <v>43565.0</v>
      </c>
      <c r="E2515" s="78" t="s">
        <v>41</v>
      </c>
      <c r="F2515" s="37">
        <v>1.0</v>
      </c>
      <c r="G2515" s="37" t="s">
        <v>32</v>
      </c>
      <c r="H2515" s="78">
        <v>1.0</v>
      </c>
      <c r="I2515" s="78" t="s">
        <v>33</v>
      </c>
      <c r="J2515" s="78" t="s">
        <v>47</v>
      </c>
      <c r="L2515" s="78" t="s">
        <v>76</v>
      </c>
      <c r="M2515" s="46" t="s">
        <v>6719</v>
      </c>
      <c r="N2515" s="106"/>
      <c r="O2515" s="160" t="str">
        <f>hyperlink("https://bad-boys.us/?q=MD-FL/3:19-cr-00063", "MD-FL 3:19-cr-00063")</f>
        <v>MD-FL 3:19-cr-00063</v>
      </c>
      <c r="P2515" s="103" t="s">
        <v>6720</v>
      </c>
      <c r="Q2515" s="37">
        <v>1.0</v>
      </c>
      <c r="S2515" s="37" t="str">
        <f>IFERROR(__xludf.DUMMYFUNCTION("if(not(iserror(index(split(C2515, "" ""),2))), index(split(C2515, "" ""),1),"""")"),"April")</f>
        <v>April</v>
      </c>
      <c r="T2515" s="38">
        <f>IFERROR(__xludf.DUMMYFUNCTION("if(S2515="""",C2515,if(not(iserror(index(split(C2515, "" ""),3))), index(split(C2515, "" ""),3),index(split(C2515, "" ""),2)))"),2019.0)</f>
        <v>2019</v>
      </c>
      <c r="U2515" s="38" t="b">
        <f t="shared" si="371"/>
        <v>0</v>
      </c>
      <c r="V2515" s="78" t="s">
        <v>33</v>
      </c>
      <c r="W2515" s="106"/>
      <c r="X2515" s="106"/>
      <c r="Y2515" s="102"/>
    </row>
    <row r="2516">
      <c r="A2516" s="87" t="s">
        <v>6721</v>
      </c>
      <c r="B2516" s="248"/>
      <c r="C2516" s="99">
        <v>43565.0</v>
      </c>
      <c r="E2516" s="78" t="s">
        <v>31</v>
      </c>
      <c r="F2516" s="37">
        <v>1.0</v>
      </c>
      <c r="G2516" s="37">
        <v>1.0</v>
      </c>
      <c r="H2516" s="78">
        <v>1.0</v>
      </c>
      <c r="I2516" s="78" t="s">
        <v>33</v>
      </c>
      <c r="J2516" s="78" t="s">
        <v>93</v>
      </c>
      <c r="L2516" s="78" t="s">
        <v>6722</v>
      </c>
      <c r="M2516" s="106" t="s">
        <v>6723</v>
      </c>
      <c r="N2516" s="46" t="s">
        <v>6724</v>
      </c>
      <c r="O2516" s="160" t="str">
        <f>hyperlink("https://bad-boys.us/?q=WD-NY/1:19-cr-00074", "WD-NY 1:19-cr-00074")</f>
        <v>WD-NY 1:19-cr-00074</v>
      </c>
      <c r="Q2516" s="37">
        <v>1.0</v>
      </c>
      <c r="S2516" s="37" t="str">
        <f>IFERROR(__xludf.DUMMYFUNCTION("if(not(iserror(index(split(C2516, "" ""),2))), index(split(C2516, "" ""),1),"""")"),"April")</f>
        <v>April</v>
      </c>
      <c r="T2516" s="38">
        <f>IFERROR(__xludf.DUMMYFUNCTION("if(S2516="""",C2516,if(not(iserror(index(split(C2516, "" ""),3))), index(split(C2516, "" ""),3),index(split(C2516, "" ""),2)))"),2019.0)</f>
        <v>2019</v>
      </c>
      <c r="U2516" s="38" t="b">
        <f t="shared" si="371"/>
        <v>0</v>
      </c>
      <c r="V2516" s="78" t="s">
        <v>33</v>
      </c>
      <c r="W2516" s="46" t="s">
        <v>6725</v>
      </c>
      <c r="X2516" s="46" t="s">
        <v>6726</v>
      </c>
      <c r="Y2516" s="102"/>
    </row>
    <row r="2517">
      <c r="A2517" s="87" t="s">
        <v>6727</v>
      </c>
      <c r="B2517" s="248"/>
      <c r="C2517" s="99">
        <v>43565.0</v>
      </c>
      <c r="E2517" s="78" t="s">
        <v>41</v>
      </c>
      <c r="F2517" s="37">
        <v>1.0</v>
      </c>
      <c r="G2517" s="37" t="s">
        <v>32</v>
      </c>
      <c r="H2517" s="78">
        <v>1.0</v>
      </c>
      <c r="I2517" s="78" t="s">
        <v>33</v>
      </c>
      <c r="J2517" s="78" t="s">
        <v>184</v>
      </c>
      <c r="L2517" s="78" t="s">
        <v>119</v>
      </c>
      <c r="M2517" s="287" t="s">
        <v>6728</v>
      </c>
      <c r="N2517" s="106"/>
      <c r="O2517" s="160" t="str">
        <f>hyperlink("https://bad-boys.us/?q=CD-IL/3:19-cr-30017", "CD-IL 3:19-cr-30017")</f>
        <v>CD-IL 3:19-cr-30017</v>
      </c>
      <c r="P2517" s="103" t="s">
        <v>6729</v>
      </c>
      <c r="Q2517" s="37">
        <v>1.0</v>
      </c>
      <c r="S2517" s="37" t="str">
        <f>IFERROR(__xludf.DUMMYFUNCTION("if(not(iserror(index(split(C2517, "" ""),2))), index(split(C2517, "" ""),1),"""")"),"April")</f>
        <v>April</v>
      </c>
      <c r="T2517" s="38">
        <f>IFERROR(__xludf.DUMMYFUNCTION("if(S2517="""",C2517,if(not(iserror(index(split(C2517, "" ""),3))), index(split(C2517, "" ""),3),index(split(C2517, "" ""),2)))"),2019.0)</f>
        <v>2019</v>
      </c>
      <c r="U2517" s="38" t="b">
        <f t="shared" si="371"/>
        <v>0</v>
      </c>
      <c r="V2517" s="78" t="s">
        <v>33</v>
      </c>
      <c r="W2517" s="106"/>
      <c r="X2517" s="106"/>
      <c r="Y2517" s="102"/>
    </row>
    <row r="2518">
      <c r="A2518" s="87" t="s">
        <v>6730</v>
      </c>
      <c r="B2518" s="248"/>
      <c r="C2518" s="99">
        <v>43565.0</v>
      </c>
      <c r="E2518" s="78" t="s">
        <v>41</v>
      </c>
      <c r="F2518" s="37">
        <v>1.0</v>
      </c>
      <c r="G2518" s="37" t="s">
        <v>32</v>
      </c>
      <c r="H2518" s="78">
        <v>1.0</v>
      </c>
      <c r="I2518" s="78" t="s">
        <v>33</v>
      </c>
      <c r="J2518" s="78" t="s">
        <v>47</v>
      </c>
      <c r="L2518" s="78" t="s">
        <v>119</v>
      </c>
      <c r="M2518" s="46" t="s">
        <v>6731</v>
      </c>
      <c r="N2518" s="106"/>
      <c r="O2518" s="160" t="str">
        <f>hyperlink("https://bad-boys.us/?q=MD-FL/2:19-cr-00060", "MD-FL 2:19-cr-00060")</f>
        <v>MD-FL 2:19-cr-00060</v>
      </c>
      <c r="P2518" s="103" t="s">
        <v>6732</v>
      </c>
      <c r="Q2518" s="37">
        <v>1.0</v>
      </c>
      <c r="S2518" s="37"/>
      <c r="T2518" s="38"/>
      <c r="U2518" s="38" t="b">
        <f t="shared" si="371"/>
        <v>0</v>
      </c>
      <c r="V2518" s="78" t="s">
        <v>33</v>
      </c>
      <c r="W2518" s="106"/>
      <c r="X2518" s="106"/>
      <c r="Y2518" s="102"/>
    </row>
    <row r="2519">
      <c r="A2519" s="87" t="s">
        <v>6733</v>
      </c>
      <c r="B2519" s="248"/>
      <c r="C2519" s="99">
        <v>43566.0</v>
      </c>
      <c r="E2519" s="78" t="s">
        <v>31</v>
      </c>
      <c r="F2519" s="37">
        <v>2.0</v>
      </c>
      <c r="G2519" s="37">
        <v>1.0</v>
      </c>
      <c r="H2519" s="78">
        <v>1.0</v>
      </c>
      <c r="I2519" s="78" t="s">
        <v>33</v>
      </c>
      <c r="J2519" s="78" t="s">
        <v>93</v>
      </c>
      <c r="L2519" s="78" t="s">
        <v>76</v>
      </c>
      <c r="M2519" s="106" t="s">
        <v>6734</v>
      </c>
      <c r="N2519" s="46" t="s">
        <v>6735</v>
      </c>
      <c r="O2519" s="160" t="str">
        <f>hyperlink("https://bad-boys.us/?q=ND-NY/5:19-mj-00230", "ND-NY 5:19-mj-00230")</f>
        <v>ND-NY 5:19-mj-00230</v>
      </c>
      <c r="P2519" s="103" t="s">
        <v>6736</v>
      </c>
      <c r="Q2519" s="37">
        <v>1.0</v>
      </c>
      <c r="S2519" s="37" t="str">
        <f>IFERROR(__xludf.DUMMYFUNCTION("if(not(iserror(index(split(C2519, "" ""),2))), index(split(C2519, "" ""),1),"""")"),"April")</f>
        <v>April</v>
      </c>
      <c r="T2519" s="38">
        <f>IFERROR(__xludf.DUMMYFUNCTION("if(S2519="""",C2519,if(not(iserror(index(split(C2519, "" ""),3))), index(split(C2519, "" ""),3),index(split(C2519, "" ""),2)))"),2019.0)</f>
        <v>2019</v>
      </c>
      <c r="U2519" s="38" t="b">
        <f t="shared" si="371"/>
        <v>0</v>
      </c>
      <c r="V2519" s="78" t="s">
        <v>33</v>
      </c>
      <c r="W2519" s="46" t="s">
        <v>6737</v>
      </c>
      <c r="X2519" s="46" t="s">
        <v>6738</v>
      </c>
      <c r="Y2519" s="102"/>
    </row>
    <row r="2520">
      <c r="A2520" s="87" t="s">
        <v>6739</v>
      </c>
      <c r="B2520" s="248"/>
      <c r="C2520" s="99">
        <v>43566.0</v>
      </c>
      <c r="E2520" s="78" t="s">
        <v>41</v>
      </c>
      <c r="F2520" s="37">
        <v>1.0</v>
      </c>
      <c r="G2520" s="37" t="s">
        <v>32</v>
      </c>
      <c r="H2520" s="78">
        <v>1.0</v>
      </c>
      <c r="I2520" s="78" t="s">
        <v>33</v>
      </c>
      <c r="J2520" s="78" t="s">
        <v>228</v>
      </c>
      <c r="L2520" s="78" t="s">
        <v>790</v>
      </c>
      <c r="M2520" s="46" t="s">
        <v>6740</v>
      </c>
      <c r="N2520" s="106"/>
      <c r="Q2520" s="37"/>
      <c r="S2520" s="37" t="str">
        <f>IFERROR(__xludf.DUMMYFUNCTION("if(not(iserror(index(split(C2520, "" ""),2))), index(split(C2520, "" ""),1),"""")"),"April")</f>
        <v>April</v>
      </c>
      <c r="T2520" s="38">
        <f>IFERROR(__xludf.DUMMYFUNCTION("if(S2520="""",C2520,if(not(iserror(index(split(C2520, "" ""),3))), index(split(C2520, "" ""),3),index(split(C2520, "" ""),2)))"),2019.0)</f>
        <v>2019</v>
      </c>
      <c r="U2520" s="38" t="b">
        <f t="shared" si="371"/>
        <v>0</v>
      </c>
      <c r="V2520" s="78" t="s">
        <v>33</v>
      </c>
      <c r="W2520" s="106"/>
      <c r="X2520" s="106"/>
      <c r="Y2520" s="102"/>
    </row>
    <row r="2521">
      <c r="A2521" s="87" t="s">
        <v>6741</v>
      </c>
      <c r="B2521" s="248"/>
      <c r="C2521" s="99">
        <v>43566.0</v>
      </c>
      <c r="E2521" s="78" t="s">
        <v>41</v>
      </c>
      <c r="F2521" s="37">
        <v>1.0</v>
      </c>
      <c r="G2521" s="37" t="s">
        <v>32</v>
      </c>
      <c r="H2521" s="78">
        <v>1.0</v>
      </c>
      <c r="I2521" s="78" t="s">
        <v>33</v>
      </c>
      <c r="J2521" s="78" t="s">
        <v>61</v>
      </c>
      <c r="L2521" s="78" t="s">
        <v>99</v>
      </c>
      <c r="M2521" s="46" t="s">
        <v>6742</v>
      </c>
      <c r="N2521" s="106"/>
      <c r="Q2521" s="37"/>
      <c r="S2521" s="37" t="str">
        <f>IFERROR(__xludf.DUMMYFUNCTION("if(not(iserror(index(split(C2521, "" ""),2))), index(split(C2521, "" ""),1),"""")"),"April")</f>
        <v>April</v>
      </c>
      <c r="T2521" s="38">
        <f>IFERROR(__xludf.DUMMYFUNCTION("if(S2521="""",C2521,if(not(iserror(index(split(C2521, "" ""),3))), index(split(C2521, "" ""),3),index(split(C2521, "" ""),2)))"),2019.0)</f>
        <v>2019</v>
      </c>
      <c r="U2521" s="38" t="b">
        <f t="shared" si="371"/>
        <v>0</v>
      </c>
      <c r="V2521" s="78" t="s">
        <v>33</v>
      </c>
      <c r="W2521" s="106"/>
      <c r="X2521" s="106"/>
      <c r="Y2521" s="102"/>
    </row>
    <row r="2522">
      <c r="A2522" s="87" t="s">
        <v>6743</v>
      </c>
      <c r="B2522" s="248"/>
      <c r="C2522" s="99">
        <v>43566.0</v>
      </c>
      <c r="E2522" s="78" t="s">
        <v>31</v>
      </c>
      <c r="F2522" s="37">
        <v>1.0</v>
      </c>
      <c r="G2522" s="37" t="s">
        <v>32</v>
      </c>
      <c r="H2522" s="78">
        <v>1.0</v>
      </c>
      <c r="I2522" s="78" t="s">
        <v>33</v>
      </c>
      <c r="J2522" s="78" t="s">
        <v>283</v>
      </c>
      <c r="L2522" s="78" t="s">
        <v>349</v>
      </c>
      <c r="M2522" s="46" t="s">
        <v>6744</v>
      </c>
      <c r="N2522" s="106"/>
      <c r="Q2522" s="37"/>
      <c r="S2522" s="37" t="str">
        <f>IFERROR(__xludf.DUMMYFUNCTION("if(not(iserror(index(split(C2522, "" ""),2))), index(split(C2522, "" ""),1),"""")"),"April")</f>
        <v>April</v>
      </c>
      <c r="T2522" s="38">
        <f>IFERROR(__xludf.DUMMYFUNCTION("if(S2522="""",C2522,if(not(iserror(index(split(C2522, "" ""),3))), index(split(C2522, "" ""),3),index(split(C2522, "" ""),2)))"),2019.0)</f>
        <v>2019</v>
      </c>
      <c r="U2522" s="38" t="b">
        <f t="shared" si="371"/>
        <v>0</v>
      </c>
      <c r="V2522" s="78" t="s">
        <v>33</v>
      </c>
      <c r="W2522" s="46" t="s">
        <v>6745</v>
      </c>
      <c r="X2522" s="46" t="s">
        <v>6746</v>
      </c>
      <c r="Y2522" s="102"/>
    </row>
    <row r="2523">
      <c r="A2523" s="87" t="s">
        <v>6747</v>
      </c>
      <c r="B2523" s="248"/>
      <c r="C2523" s="99">
        <v>43570.0</v>
      </c>
      <c r="E2523" s="78" t="s">
        <v>41</v>
      </c>
      <c r="F2523" s="37">
        <v>1.0</v>
      </c>
      <c r="G2523" s="37">
        <v>27.0</v>
      </c>
      <c r="H2523" s="78">
        <v>27.0</v>
      </c>
      <c r="I2523" s="78" t="s">
        <v>33</v>
      </c>
      <c r="J2523" s="78" t="s">
        <v>147</v>
      </c>
      <c r="L2523" s="78" t="s">
        <v>194</v>
      </c>
      <c r="M2523" s="46" t="s">
        <v>6748</v>
      </c>
      <c r="N2523" s="106"/>
      <c r="P2523" s="78"/>
      <c r="Q2523" s="37"/>
      <c r="S2523" s="37" t="str">
        <f>IFERROR(__xludf.DUMMYFUNCTION("if(not(iserror(index(split(C2523, "" ""),2))), index(split(C2523, "" ""),1),"""")"),"April")</f>
        <v>April</v>
      </c>
      <c r="T2523" s="38">
        <f>IFERROR(__xludf.DUMMYFUNCTION("if(S2523="""",C2523,if(not(iserror(index(split(C2523, "" ""),3))), index(split(C2523, "" ""),3),index(split(C2523, "" ""),2)))"),2019.0)</f>
        <v>2019</v>
      </c>
      <c r="U2523" s="38" t="b">
        <f t="shared" si="371"/>
        <v>0</v>
      </c>
      <c r="V2523" s="78" t="s">
        <v>33</v>
      </c>
      <c r="W2523" s="106"/>
      <c r="X2523" s="106"/>
      <c r="Y2523" s="102"/>
    </row>
    <row r="2524">
      <c r="A2524" s="87" t="s">
        <v>6749</v>
      </c>
      <c r="B2524" s="248"/>
      <c r="C2524" s="99">
        <v>43570.0</v>
      </c>
      <c r="E2524" s="78" t="s">
        <v>31</v>
      </c>
      <c r="F2524" s="37">
        <v>1.0</v>
      </c>
      <c r="G2524" s="37" t="s">
        <v>32</v>
      </c>
      <c r="H2524" s="78">
        <v>1.0</v>
      </c>
      <c r="I2524" s="78" t="s">
        <v>33</v>
      </c>
      <c r="J2524" s="78" t="s">
        <v>47</v>
      </c>
      <c r="L2524" s="78" t="s">
        <v>6750</v>
      </c>
      <c r="M2524" s="46" t="s">
        <v>6751</v>
      </c>
      <c r="N2524" s="46" t="s">
        <v>6752</v>
      </c>
      <c r="P2524" s="78"/>
      <c r="Q2524" s="37"/>
      <c r="S2524" s="37"/>
      <c r="T2524" s="38"/>
      <c r="U2524" s="38"/>
      <c r="V2524" s="78" t="s">
        <v>33</v>
      </c>
      <c r="W2524" s="46" t="s">
        <v>6753</v>
      </c>
      <c r="X2524" s="46" t="s">
        <v>6754</v>
      </c>
      <c r="Y2524" s="102"/>
    </row>
    <row r="2525">
      <c r="A2525" s="87" t="s">
        <v>6755</v>
      </c>
      <c r="B2525" s="248"/>
      <c r="C2525" s="99">
        <v>43570.0</v>
      </c>
      <c r="E2525" s="78" t="s">
        <v>41</v>
      </c>
      <c r="F2525" s="37">
        <v>1.0</v>
      </c>
      <c r="G2525" s="37" t="s">
        <v>32</v>
      </c>
      <c r="H2525" s="78">
        <v>1.0</v>
      </c>
      <c r="I2525" s="78" t="s">
        <v>33</v>
      </c>
      <c r="J2525" s="78" t="s">
        <v>460</v>
      </c>
      <c r="L2525" s="78" t="s">
        <v>76</v>
      </c>
      <c r="M2525" s="46" t="s">
        <v>6756</v>
      </c>
      <c r="N2525" s="106"/>
      <c r="P2525" s="78"/>
      <c r="Q2525" s="37"/>
      <c r="S2525" s="37"/>
      <c r="T2525" s="38"/>
      <c r="U2525" s="38"/>
      <c r="V2525" s="78" t="s">
        <v>33</v>
      </c>
      <c r="W2525" s="106"/>
      <c r="X2525" s="106"/>
      <c r="Y2525" s="102"/>
    </row>
    <row r="2526">
      <c r="A2526" s="87" t="s">
        <v>6757</v>
      </c>
      <c r="B2526" s="248"/>
      <c r="C2526" s="99">
        <v>43570.0</v>
      </c>
      <c r="E2526" s="78" t="s">
        <v>41</v>
      </c>
      <c r="F2526" s="37">
        <v>1.0</v>
      </c>
      <c r="G2526" s="37">
        <v>6.0</v>
      </c>
      <c r="H2526" s="78">
        <v>6.0</v>
      </c>
      <c r="I2526" s="78" t="s">
        <v>33</v>
      </c>
      <c r="J2526" s="78" t="s">
        <v>93</v>
      </c>
      <c r="L2526" s="78" t="s">
        <v>194</v>
      </c>
      <c r="M2526" s="46" t="s">
        <v>6758</v>
      </c>
      <c r="N2526" s="106"/>
      <c r="O2526" s="160" t="str">
        <f>hyperlink("https://bad-boys.us/?q=ND-NY/8:19-cr-00206", "ND-NY 8:19-cr-00206")</f>
        <v>ND-NY 8:19-cr-00206</v>
      </c>
      <c r="P2526" s="103" t="s">
        <v>6759</v>
      </c>
      <c r="Q2526" s="37">
        <v>1.0</v>
      </c>
      <c r="S2526" s="37" t="str">
        <f>IFERROR(__xludf.DUMMYFUNCTION("if(not(iserror(index(split(C2526, "" ""),2))), index(split(C2526, "" ""),1),"""")"),"April")</f>
        <v>April</v>
      </c>
      <c r="T2526" s="38">
        <f>IFERROR(__xludf.DUMMYFUNCTION("if(S2526="""",C2526,if(not(iserror(index(split(C2526, "" ""),3))), index(split(C2526, "" ""),3),index(split(C2526, "" ""),2)))"),2019.0)</f>
        <v>2019</v>
      </c>
      <c r="U2526" s="38" t="b">
        <f t="shared" ref="U2526:U2529" si="372">countif(A$4:A4658, A2526)&gt;1</f>
        <v>0</v>
      </c>
      <c r="V2526" s="78" t="s">
        <v>6760</v>
      </c>
      <c r="W2526" s="106"/>
      <c r="X2526" s="106"/>
      <c r="Y2526" s="102"/>
    </row>
    <row r="2527">
      <c r="A2527" s="87" t="s">
        <v>6761</v>
      </c>
      <c r="B2527" s="248"/>
      <c r="C2527" s="99">
        <v>43571.0</v>
      </c>
      <c r="E2527" s="78" t="s">
        <v>41</v>
      </c>
      <c r="F2527" s="37">
        <v>1.0</v>
      </c>
      <c r="G2527" s="37" t="s">
        <v>32</v>
      </c>
      <c r="H2527" s="78">
        <v>1.0</v>
      </c>
      <c r="I2527" s="78" t="s">
        <v>33</v>
      </c>
      <c r="J2527" s="78" t="s">
        <v>144</v>
      </c>
      <c r="L2527" s="78" t="s">
        <v>6762</v>
      </c>
      <c r="M2527" s="46" t="s">
        <v>6763</v>
      </c>
      <c r="N2527" s="46" t="s">
        <v>6764</v>
      </c>
      <c r="P2527" s="78"/>
      <c r="Q2527" s="37"/>
      <c r="S2527" s="37" t="str">
        <f>IFERROR(__xludf.DUMMYFUNCTION("if(not(iserror(index(split(C2527, "" ""),2))), index(split(C2527, "" ""),1),"""")"),"April")</f>
        <v>April</v>
      </c>
      <c r="T2527" s="38">
        <f>IFERROR(__xludf.DUMMYFUNCTION("if(S2527="""",C2527,if(not(iserror(index(split(C2527, "" ""),3))), index(split(C2527, "" ""),3),index(split(C2527, "" ""),2)))"),2019.0)</f>
        <v>2019</v>
      </c>
      <c r="U2527" s="38" t="b">
        <f t="shared" si="372"/>
        <v>0</v>
      </c>
      <c r="V2527" s="78" t="s">
        <v>33</v>
      </c>
      <c r="W2527" s="106"/>
      <c r="X2527" s="106"/>
      <c r="Y2527" s="102"/>
    </row>
    <row r="2528">
      <c r="A2528" s="87" t="s">
        <v>6765</v>
      </c>
      <c r="B2528" s="248"/>
      <c r="C2528" s="99">
        <v>43571.0</v>
      </c>
      <c r="E2528" s="78" t="s">
        <v>41</v>
      </c>
      <c r="F2528" s="37">
        <v>1.0</v>
      </c>
      <c r="G2528" s="37" t="s">
        <v>32</v>
      </c>
      <c r="H2528" s="78">
        <v>1.0</v>
      </c>
      <c r="I2528" s="78" t="s">
        <v>33</v>
      </c>
      <c r="J2528" s="78" t="s">
        <v>184</v>
      </c>
      <c r="L2528" s="78" t="s">
        <v>6766</v>
      </c>
      <c r="M2528" s="46" t="s">
        <v>6767</v>
      </c>
      <c r="N2528" s="106"/>
      <c r="Q2528" s="37"/>
      <c r="S2528" s="37" t="str">
        <f>IFERROR(__xludf.DUMMYFUNCTION("if(not(iserror(index(split(C2528, "" ""),2))), index(split(C2528, "" ""),1),"""")"),"April")</f>
        <v>April</v>
      </c>
      <c r="T2528" s="38">
        <f>IFERROR(__xludf.DUMMYFUNCTION("if(S2528="""",C2528,if(not(iserror(index(split(C2528, "" ""),3))), index(split(C2528, "" ""),3),index(split(C2528, "" ""),2)))"),2019.0)</f>
        <v>2019</v>
      </c>
      <c r="U2528" s="38" t="b">
        <f t="shared" si="372"/>
        <v>0</v>
      </c>
      <c r="V2528" s="78" t="s">
        <v>33</v>
      </c>
      <c r="W2528" s="106"/>
      <c r="X2528" s="106"/>
      <c r="Y2528" s="102"/>
    </row>
    <row r="2529">
      <c r="A2529" s="87" t="s">
        <v>6768</v>
      </c>
      <c r="B2529" s="248"/>
      <c r="C2529" s="99">
        <v>43571.0</v>
      </c>
      <c r="E2529" s="78" t="s">
        <v>31</v>
      </c>
      <c r="F2529" s="37">
        <v>1.0</v>
      </c>
      <c r="G2529" s="37" t="s">
        <v>32</v>
      </c>
      <c r="H2529" s="78">
        <v>1.0</v>
      </c>
      <c r="I2529" s="78" t="s">
        <v>33</v>
      </c>
      <c r="J2529" s="78" t="s">
        <v>93</v>
      </c>
      <c r="L2529" s="78" t="s">
        <v>119</v>
      </c>
      <c r="M2529" s="46" t="s">
        <v>6769</v>
      </c>
      <c r="N2529" s="46" t="s">
        <v>6770</v>
      </c>
      <c r="Q2529" s="37"/>
      <c r="S2529" s="37" t="str">
        <f>IFERROR(__xludf.DUMMYFUNCTION("if(not(iserror(index(split(C2529, "" ""),2))), index(split(C2529, "" ""),1),"""")"),"April")</f>
        <v>April</v>
      </c>
      <c r="T2529" s="38">
        <f>IFERROR(__xludf.DUMMYFUNCTION("if(S2529="""",C2529,if(not(iserror(index(split(C2529, "" ""),3))), index(split(C2529, "" ""),3),index(split(C2529, "" ""),2)))"),2019.0)</f>
        <v>2019</v>
      </c>
      <c r="U2529" s="38" t="b">
        <f t="shared" si="372"/>
        <v>0</v>
      </c>
      <c r="V2529" s="78" t="s">
        <v>33</v>
      </c>
      <c r="W2529" s="46" t="s">
        <v>6771</v>
      </c>
      <c r="X2529" s="46" t="s">
        <v>6772</v>
      </c>
      <c r="Y2529" s="102"/>
    </row>
    <row r="2530">
      <c r="A2530" s="87" t="s">
        <v>6773</v>
      </c>
      <c r="B2530" s="248"/>
      <c r="C2530" s="99">
        <v>43571.0</v>
      </c>
      <c r="E2530" s="78" t="s">
        <v>31</v>
      </c>
      <c r="F2530" s="37">
        <v>1.0</v>
      </c>
      <c r="G2530" s="37">
        <v>12.0</v>
      </c>
      <c r="H2530" s="78">
        <v>12.0</v>
      </c>
      <c r="I2530" s="78" t="s">
        <v>33</v>
      </c>
      <c r="J2530" s="78" t="s">
        <v>318</v>
      </c>
      <c r="L2530" s="78" t="s">
        <v>6774</v>
      </c>
      <c r="M2530" s="46" t="s">
        <v>6775</v>
      </c>
      <c r="N2530" s="46" t="s">
        <v>6776</v>
      </c>
      <c r="Q2530" s="37"/>
      <c r="S2530" s="37"/>
      <c r="T2530" s="38"/>
      <c r="U2530" s="38"/>
      <c r="V2530" s="78" t="s">
        <v>33</v>
      </c>
      <c r="W2530" s="46" t="s">
        <v>6777</v>
      </c>
      <c r="X2530" s="106" t="s">
        <v>6778</v>
      </c>
      <c r="Y2530" s="102"/>
    </row>
    <row r="2531">
      <c r="A2531" s="87" t="s">
        <v>6779</v>
      </c>
      <c r="B2531" s="248"/>
      <c r="C2531" s="99">
        <v>43571.0</v>
      </c>
      <c r="E2531" s="78" t="s">
        <v>41</v>
      </c>
      <c r="F2531" s="37">
        <v>1.0</v>
      </c>
      <c r="G2531" s="37" t="s">
        <v>32</v>
      </c>
      <c r="H2531" s="78">
        <v>1.0</v>
      </c>
      <c r="I2531" s="78" t="s">
        <v>33</v>
      </c>
      <c r="J2531" s="78" t="s">
        <v>47</v>
      </c>
      <c r="L2531" s="78" t="s">
        <v>69</v>
      </c>
      <c r="M2531" s="106" t="s">
        <v>6780</v>
      </c>
      <c r="N2531" s="106"/>
      <c r="O2531" s="160" t="str">
        <f>hyperlink("https://bad-boys.us/?q=MD-FL/3:19-cr-00077", "MD-FL 3:19-cr-00077")</f>
        <v>MD-FL 3:19-cr-00077</v>
      </c>
      <c r="P2531" s="103" t="s">
        <v>6781</v>
      </c>
      <c r="Q2531" s="37">
        <v>1.0</v>
      </c>
      <c r="S2531" s="37" t="str">
        <f>IFERROR(__xludf.DUMMYFUNCTION("if(not(iserror(index(split(C2531, "" ""),2))), index(split(C2531, "" ""),1),"""")"),"April")</f>
        <v>April</v>
      </c>
      <c r="T2531" s="38">
        <f>IFERROR(__xludf.DUMMYFUNCTION("if(S2531="""",C2531,if(not(iserror(index(split(C2531, "" ""),3))), index(split(C2531, "" ""),3),index(split(C2531, "" ""),2)))"),2019.0)</f>
        <v>2019</v>
      </c>
      <c r="U2531" s="38" t="b">
        <f t="shared" ref="U2531:U2532" si="373">countif(A$4:A4658, A2531)&gt;1</f>
        <v>0</v>
      </c>
      <c r="V2531" s="78" t="s">
        <v>33</v>
      </c>
      <c r="W2531" s="106"/>
      <c r="X2531" s="106"/>
      <c r="Y2531" s="102"/>
    </row>
    <row r="2532">
      <c r="A2532" s="87" t="s">
        <v>6782</v>
      </c>
      <c r="B2532" s="248"/>
      <c r="C2532" s="99">
        <v>43571.0</v>
      </c>
      <c r="E2532" s="78" t="s">
        <v>41</v>
      </c>
      <c r="F2532" s="37">
        <v>1.0</v>
      </c>
      <c r="G2532" s="37" t="s">
        <v>32</v>
      </c>
      <c r="H2532" s="78">
        <v>1.0</v>
      </c>
      <c r="I2532" s="78" t="s">
        <v>33</v>
      </c>
      <c r="J2532" s="78" t="s">
        <v>89</v>
      </c>
      <c r="L2532" s="78" t="s">
        <v>76</v>
      </c>
      <c r="M2532" s="46" t="s">
        <v>6783</v>
      </c>
      <c r="N2532" s="288"/>
      <c r="O2532" s="160" t="str">
        <f>hyperlink("https://bad-boys.us/?q=WD-TN/1:19-cr-10028", "WD-TN 1:19-cr-10028")</f>
        <v>WD-TN 1:19-cr-10028</v>
      </c>
      <c r="Q2532" s="37">
        <v>1.0</v>
      </c>
      <c r="S2532" s="37" t="str">
        <f>IFERROR(__xludf.DUMMYFUNCTION("if(not(iserror(index(split(C2532, "" ""),2))), index(split(C2532, "" ""),1),"""")"),"April")</f>
        <v>April</v>
      </c>
      <c r="T2532" s="38">
        <f>IFERROR(__xludf.DUMMYFUNCTION("if(S2532="""",C2532,if(not(iserror(index(split(C2532, "" ""),3))), index(split(C2532, "" ""),3),index(split(C2532, "" ""),2)))"),2019.0)</f>
        <v>2019</v>
      </c>
      <c r="U2532" s="38" t="b">
        <f t="shared" si="373"/>
        <v>0</v>
      </c>
      <c r="V2532" s="78" t="s">
        <v>33</v>
      </c>
      <c r="W2532" s="106"/>
      <c r="X2532" s="290"/>
      <c r="Y2532" s="102"/>
    </row>
    <row r="2533">
      <c r="A2533" s="87" t="s">
        <v>6784</v>
      </c>
      <c r="B2533" s="248"/>
      <c r="C2533" s="99">
        <v>43571.0</v>
      </c>
      <c r="E2533" s="78" t="s">
        <v>41</v>
      </c>
      <c r="F2533" s="37">
        <v>1.0</v>
      </c>
      <c r="G2533" s="37" t="s">
        <v>32</v>
      </c>
      <c r="H2533" s="78">
        <v>1.0</v>
      </c>
      <c r="I2533" s="78" t="s">
        <v>33</v>
      </c>
      <c r="J2533" s="78" t="s">
        <v>172</v>
      </c>
      <c r="L2533" s="78" t="s">
        <v>69</v>
      </c>
      <c r="M2533" s="46" t="s">
        <v>6785</v>
      </c>
      <c r="N2533" s="288"/>
      <c r="Q2533" s="37">
        <v>1.0</v>
      </c>
      <c r="S2533" s="37"/>
      <c r="T2533" s="38"/>
      <c r="U2533" s="38"/>
      <c r="V2533" s="78" t="s">
        <v>33</v>
      </c>
      <c r="W2533" s="106"/>
      <c r="X2533" s="290"/>
      <c r="Y2533" s="102"/>
    </row>
    <row r="2534">
      <c r="A2534" s="87" t="s">
        <v>6786</v>
      </c>
      <c r="B2534" s="248"/>
      <c r="C2534" s="99">
        <v>43571.0</v>
      </c>
      <c r="E2534" s="78" t="s">
        <v>41</v>
      </c>
      <c r="F2534" s="37">
        <v>1.0</v>
      </c>
      <c r="G2534" s="37" t="s">
        <v>32</v>
      </c>
      <c r="H2534" s="78">
        <v>1.0</v>
      </c>
      <c r="I2534" s="78" t="s">
        <v>33</v>
      </c>
      <c r="J2534" s="78" t="s">
        <v>172</v>
      </c>
      <c r="L2534" s="78" t="s">
        <v>69</v>
      </c>
      <c r="M2534" s="46" t="s">
        <v>6787</v>
      </c>
      <c r="N2534" s="288"/>
      <c r="Q2534" s="37"/>
      <c r="S2534" s="37"/>
      <c r="T2534" s="38"/>
      <c r="U2534" s="38" t="b">
        <f t="shared" ref="U2534:U2537" si="374">countif(A$4:A4658, A2534)&gt;1</f>
        <v>0</v>
      </c>
      <c r="V2534" s="78" t="s">
        <v>33</v>
      </c>
      <c r="W2534" s="106"/>
      <c r="X2534" s="290"/>
      <c r="Y2534" s="102"/>
    </row>
    <row r="2535">
      <c r="A2535" s="87" t="s">
        <v>6788</v>
      </c>
      <c r="B2535" s="248"/>
      <c r="C2535" s="99">
        <v>43572.0</v>
      </c>
      <c r="E2535" s="78" t="s">
        <v>31</v>
      </c>
      <c r="F2535" s="37">
        <v>2.0</v>
      </c>
      <c r="G2535" s="37" t="s">
        <v>32</v>
      </c>
      <c r="H2535" s="78">
        <v>1.0</v>
      </c>
      <c r="I2535" s="78" t="s">
        <v>33</v>
      </c>
      <c r="J2535" s="78" t="s">
        <v>93</v>
      </c>
      <c r="L2535" s="78" t="s">
        <v>76</v>
      </c>
      <c r="M2535" s="46" t="s">
        <v>6789</v>
      </c>
      <c r="N2535" s="106" t="s">
        <v>6790</v>
      </c>
      <c r="O2535" s="160" t="str">
        <f>hyperlink("https://bad-boys.us/?q=ND-NY/5:19-cr-00343", "ND-NY 5:19-cr-00343")</f>
        <v>ND-NY 5:19-cr-00343</v>
      </c>
      <c r="P2535" s="78"/>
      <c r="Q2535" s="37">
        <v>1.0</v>
      </c>
      <c r="S2535" s="37" t="str">
        <f>IFERROR(__xludf.DUMMYFUNCTION("if(not(iserror(index(split(C2535, "" ""),2))), index(split(C2535, "" ""),1),"""")"),"April")</f>
        <v>April</v>
      </c>
      <c r="T2535" s="38">
        <f>IFERROR(__xludf.DUMMYFUNCTION("if(S2535="""",C2535,if(not(iserror(index(split(C2535, "" ""),3))), index(split(C2535, "" ""),3),index(split(C2535, "" ""),2)))"),2019.0)</f>
        <v>2019</v>
      </c>
      <c r="U2535" s="38" t="b">
        <f t="shared" si="374"/>
        <v>0</v>
      </c>
      <c r="V2535" s="78" t="s">
        <v>33</v>
      </c>
      <c r="W2535" s="46" t="s">
        <v>6791</v>
      </c>
      <c r="X2535" s="46" t="s">
        <v>6792</v>
      </c>
      <c r="Y2535" s="102"/>
    </row>
    <row r="2536">
      <c r="A2536" s="87" t="s">
        <v>6793</v>
      </c>
      <c r="B2536" s="248"/>
      <c r="C2536" s="99">
        <v>43572.0</v>
      </c>
      <c r="E2536" s="78" t="s">
        <v>41</v>
      </c>
      <c r="F2536" s="37">
        <v>1.0</v>
      </c>
      <c r="G2536" s="37" t="s">
        <v>32</v>
      </c>
      <c r="H2536" s="78">
        <v>1.0</v>
      </c>
      <c r="I2536" s="78" t="s">
        <v>33</v>
      </c>
      <c r="J2536" s="78" t="s">
        <v>115</v>
      </c>
      <c r="L2536" s="78" t="s">
        <v>119</v>
      </c>
      <c r="M2536" s="106" t="s">
        <v>6794</v>
      </c>
      <c r="N2536" s="106"/>
      <c r="O2536" s="160" t="str">
        <f>hyperlink("https://bad-boys.us/?q=MD-PA/1:19-cr-00139", "MD-PA 1:19-cr-00139")</f>
        <v>MD-PA 1:19-cr-00139</v>
      </c>
      <c r="Q2536" s="37">
        <v>1.0</v>
      </c>
      <c r="S2536" s="37" t="str">
        <f>IFERROR(__xludf.DUMMYFUNCTION("if(not(iserror(index(split(C2536, "" ""),2))), index(split(C2536, "" ""),1),"""")"),"April")</f>
        <v>April</v>
      </c>
      <c r="T2536" s="38">
        <f>IFERROR(__xludf.DUMMYFUNCTION("if(S2536="""",C2536,if(not(iserror(index(split(C2536, "" ""),3))), index(split(C2536, "" ""),3),index(split(C2536, "" ""),2)))"),2019.0)</f>
        <v>2019</v>
      </c>
      <c r="U2536" s="38" t="b">
        <f t="shared" si="374"/>
        <v>0</v>
      </c>
      <c r="V2536" s="78" t="s">
        <v>33</v>
      </c>
      <c r="W2536" s="106"/>
      <c r="X2536" s="106"/>
      <c r="Y2536" s="102"/>
    </row>
    <row r="2537">
      <c r="A2537" s="87" t="s">
        <v>6795</v>
      </c>
      <c r="B2537" s="248"/>
      <c r="C2537" s="99">
        <v>43572.0</v>
      </c>
      <c r="E2537" s="78" t="s">
        <v>41</v>
      </c>
      <c r="F2537" s="37">
        <v>1.0</v>
      </c>
      <c r="G2537" s="37" t="s">
        <v>32</v>
      </c>
      <c r="H2537" s="78">
        <v>1.0</v>
      </c>
      <c r="I2537" s="78" t="s">
        <v>33</v>
      </c>
      <c r="J2537" s="78" t="s">
        <v>115</v>
      </c>
      <c r="L2537" s="78" t="s">
        <v>76</v>
      </c>
      <c r="M2537" s="46" t="s">
        <v>6796</v>
      </c>
      <c r="N2537" s="106"/>
      <c r="O2537" s="160" t="str">
        <f>hyperlink("https://bad-boys.us/?q=MD-PA/1:19-cr-00127", "MD-PA 1:19-cr-00127")</f>
        <v>MD-PA 1:19-cr-00127</v>
      </c>
      <c r="Q2537" s="37">
        <v>1.0</v>
      </c>
      <c r="S2537" s="37" t="str">
        <f>IFERROR(__xludf.DUMMYFUNCTION("if(not(iserror(index(split(C2537, "" ""),2))), index(split(C2537, "" ""),1),"""")"),"April")</f>
        <v>April</v>
      </c>
      <c r="T2537" s="38">
        <f>IFERROR(__xludf.DUMMYFUNCTION("if(S2537="""",C2537,if(not(iserror(index(split(C2537, "" ""),3))), index(split(C2537, "" ""),3),index(split(C2537, "" ""),2)))"),2019.0)</f>
        <v>2019</v>
      </c>
      <c r="U2537" s="38" t="b">
        <f t="shared" si="374"/>
        <v>0</v>
      </c>
      <c r="V2537" s="78" t="s">
        <v>33</v>
      </c>
      <c r="W2537" s="106"/>
      <c r="X2537" s="106"/>
      <c r="Y2537" s="102"/>
    </row>
    <row r="2538">
      <c r="A2538" s="87" t="s">
        <v>6797</v>
      </c>
      <c r="B2538" s="248"/>
      <c r="C2538" s="99">
        <v>43573.0</v>
      </c>
      <c r="E2538" s="78" t="s">
        <v>41</v>
      </c>
      <c r="F2538" s="37">
        <v>1.0</v>
      </c>
      <c r="G2538" s="37" t="s">
        <v>32</v>
      </c>
      <c r="H2538" s="78">
        <v>1.0</v>
      </c>
      <c r="I2538" s="78" t="s">
        <v>33</v>
      </c>
      <c r="J2538" s="78" t="s">
        <v>34</v>
      </c>
      <c r="L2538" s="78" t="s">
        <v>119</v>
      </c>
      <c r="M2538" s="46" t="s">
        <v>6798</v>
      </c>
      <c r="N2538" s="106"/>
      <c r="Q2538" s="37"/>
      <c r="S2538" s="37"/>
      <c r="T2538" s="38"/>
      <c r="U2538" s="38"/>
      <c r="V2538" s="78" t="s">
        <v>33</v>
      </c>
      <c r="W2538" s="106"/>
      <c r="X2538" s="106"/>
      <c r="Y2538" s="102"/>
    </row>
    <row r="2539">
      <c r="A2539" s="87" t="s">
        <v>6799</v>
      </c>
      <c r="B2539" s="248"/>
      <c r="C2539" s="99">
        <v>43573.0</v>
      </c>
      <c r="E2539" s="78" t="s">
        <v>41</v>
      </c>
      <c r="F2539" s="37">
        <v>1.0</v>
      </c>
      <c r="G2539" s="37" t="s">
        <v>32</v>
      </c>
      <c r="H2539" s="78">
        <v>1.0</v>
      </c>
      <c r="I2539" s="78" t="s">
        <v>33</v>
      </c>
      <c r="J2539" s="78" t="s">
        <v>147</v>
      </c>
      <c r="L2539" s="78" t="s">
        <v>3853</v>
      </c>
      <c r="M2539" s="46" t="s">
        <v>6800</v>
      </c>
      <c r="N2539" s="106"/>
      <c r="Q2539" s="37"/>
      <c r="S2539" s="37" t="str">
        <f>IFERROR(__xludf.DUMMYFUNCTION("if(not(iserror(index(split(C2539, "" ""),2))), index(split(C2539, "" ""),1),"""")"),"April")</f>
        <v>April</v>
      </c>
      <c r="T2539" s="38">
        <f>IFERROR(__xludf.DUMMYFUNCTION("if(S2539="""",C2539,if(not(iserror(index(split(C2539, "" ""),3))), index(split(C2539, "" ""),3),index(split(C2539, "" ""),2)))"),2019.0)</f>
        <v>2019</v>
      </c>
      <c r="U2539" s="38" t="b">
        <f t="shared" ref="U2539:U2544" si="375">countif(A$4:A4658, A2539)&gt;1</f>
        <v>0</v>
      </c>
      <c r="V2539" s="78" t="s">
        <v>33</v>
      </c>
      <c r="W2539" s="106"/>
      <c r="X2539" s="106"/>
      <c r="Y2539" s="102"/>
    </row>
    <row r="2540">
      <c r="A2540" s="87" t="s">
        <v>6801</v>
      </c>
      <c r="B2540" s="248"/>
      <c r="C2540" s="99">
        <v>43573.0</v>
      </c>
      <c r="E2540" s="78" t="s">
        <v>41</v>
      </c>
      <c r="F2540" s="37">
        <v>1.0</v>
      </c>
      <c r="G2540" s="37" t="s">
        <v>32</v>
      </c>
      <c r="H2540" s="78">
        <v>1.0</v>
      </c>
      <c r="I2540" s="78" t="s">
        <v>33</v>
      </c>
      <c r="J2540" s="78" t="s">
        <v>124</v>
      </c>
      <c r="L2540" s="78" t="s">
        <v>119</v>
      </c>
      <c r="M2540" s="46" t="s">
        <v>6802</v>
      </c>
      <c r="N2540" s="106"/>
      <c r="Q2540" s="37"/>
      <c r="S2540" s="37" t="str">
        <f>IFERROR(__xludf.DUMMYFUNCTION("if(not(iserror(index(split(C2540, "" ""),2))), index(split(C2540, "" ""),1),"""")"),"April")</f>
        <v>April</v>
      </c>
      <c r="T2540" s="38">
        <f>IFERROR(__xludf.DUMMYFUNCTION("if(S2540="""",C2540,if(not(iserror(index(split(C2540, "" ""),3))), index(split(C2540, "" ""),3),index(split(C2540, "" ""),2)))"),2019.0)</f>
        <v>2019</v>
      </c>
      <c r="U2540" s="38" t="b">
        <f t="shared" si="375"/>
        <v>0</v>
      </c>
      <c r="V2540" s="78" t="s">
        <v>33</v>
      </c>
      <c r="W2540" s="106"/>
      <c r="X2540" s="106"/>
      <c r="Y2540" s="102"/>
    </row>
    <row r="2541">
      <c r="A2541" s="87" t="s">
        <v>6803</v>
      </c>
      <c r="B2541" s="248"/>
      <c r="C2541" s="99">
        <v>43573.0</v>
      </c>
      <c r="E2541" s="78" t="s">
        <v>31</v>
      </c>
      <c r="F2541" s="37">
        <v>1.0</v>
      </c>
      <c r="G2541" s="37" t="s">
        <v>32</v>
      </c>
      <c r="H2541" s="78">
        <v>1.0</v>
      </c>
      <c r="I2541" s="78" t="s">
        <v>33</v>
      </c>
      <c r="J2541" s="78" t="s">
        <v>124</v>
      </c>
      <c r="L2541" s="78" t="s">
        <v>6804</v>
      </c>
      <c r="M2541" s="46" t="s">
        <v>6805</v>
      </c>
      <c r="N2541" s="46" t="s">
        <v>6806</v>
      </c>
      <c r="Q2541" s="37"/>
      <c r="S2541" s="37"/>
      <c r="T2541" s="38"/>
      <c r="U2541" s="38" t="b">
        <f t="shared" si="375"/>
        <v>0</v>
      </c>
      <c r="V2541" s="78" t="s">
        <v>33</v>
      </c>
      <c r="W2541" s="46" t="s">
        <v>6807</v>
      </c>
      <c r="X2541" s="46" t="s">
        <v>6808</v>
      </c>
      <c r="Y2541" s="102"/>
    </row>
    <row r="2542">
      <c r="A2542" s="87" t="s">
        <v>6809</v>
      </c>
      <c r="B2542" s="248"/>
      <c r="C2542" s="99">
        <v>43574.0</v>
      </c>
      <c r="E2542" s="78" t="s">
        <v>41</v>
      </c>
      <c r="F2542" s="37">
        <v>1.0</v>
      </c>
      <c r="G2542" s="37">
        <v>2.0</v>
      </c>
      <c r="H2542" s="78">
        <v>2.0</v>
      </c>
      <c r="I2542" s="78" t="s">
        <v>33</v>
      </c>
      <c r="J2542" s="78" t="s">
        <v>93</v>
      </c>
      <c r="L2542" s="78" t="s">
        <v>194</v>
      </c>
      <c r="M2542" s="46" t="s">
        <v>6810</v>
      </c>
      <c r="N2542" s="106"/>
      <c r="O2542" s="160" t="str">
        <f>hyperlink("https://bad-boys.us/?q=ND-NY/8:19-cr-00188", "ND-NY 8:19-cr-00188")</f>
        <v>ND-NY 8:19-cr-00188</v>
      </c>
      <c r="Q2542" s="37">
        <v>1.0</v>
      </c>
      <c r="S2542" s="37" t="str">
        <f>IFERROR(__xludf.DUMMYFUNCTION("if(not(iserror(index(split(C2542, "" ""),2))), index(split(C2542, "" ""),1),"""")"),"April")</f>
        <v>April</v>
      </c>
      <c r="T2542" s="38">
        <f>IFERROR(__xludf.DUMMYFUNCTION("if(S2542="""",C2542,if(not(iserror(index(split(C2542, "" ""),3))), index(split(C2542, "" ""),3),index(split(C2542, "" ""),2)))"),2019.0)</f>
        <v>2019</v>
      </c>
      <c r="U2542" s="38" t="b">
        <f t="shared" si="375"/>
        <v>0</v>
      </c>
      <c r="V2542" s="78" t="s">
        <v>2755</v>
      </c>
      <c r="W2542" s="106"/>
      <c r="X2542" s="106"/>
      <c r="Y2542" s="102"/>
    </row>
    <row r="2543">
      <c r="A2543" s="289" t="s">
        <v>6811</v>
      </c>
      <c r="B2543" s="248"/>
      <c r="C2543" s="145">
        <v>43213.0</v>
      </c>
      <c r="E2543" s="285" t="s">
        <v>41</v>
      </c>
      <c r="F2543" s="91">
        <v>1.0</v>
      </c>
      <c r="G2543" s="91" t="s">
        <v>32</v>
      </c>
      <c r="H2543" s="285">
        <v>1.0</v>
      </c>
      <c r="I2543" s="285" t="s">
        <v>33</v>
      </c>
      <c r="J2543" s="285" t="s">
        <v>47</v>
      </c>
      <c r="L2543" s="285" t="s">
        <v>69</v>
      </c>
      <c r="M2543" s="288" t="s">
        <v>6812</v>
      </c>
      <c r="N2543" s="288"/>
      <c r="O2543" s="160" t="str">
        <f>hyperlink("https://bad-boys.us/?q=SD-FL/9:19-cr-80064", "SD-FL 9:19-cr-80064")</f>
        <v>SD-FL 9:19-cr-80064</v>
      </c>
      <c r="P2543" s="103" t="s">
        <v>6813</v>
      </c>
      <c r="Q2543" s="37">
        <v>1.0</v>
      </c>
      <c r="S2543" s="91"/>
      <c r="T2543" s="96"/>
      <c r="U2543" s="38" t="b">
        <f t="shared" si="375"/>
        <v>0</v>
      </c>
      <c r="V2543" s="285" t="s">
        <v>33</v>
      </c>
      <c r="W2543" s="288"/>
      <c r="X2543" s="288"/>
      <c r="Y2543" s="102"/>
    </row>
    <row r="2544">
      <c r="A2544" s="87" t="s">
        <v>6814</v>
      </c>
      <c r="B2544" s="248"/>
      <c r="C2544" s="145">
        <v>43213.0</v>
      </c>
      <c r="E2544" s="78" t="s">
        <v>41</v>
      </c>
      <c r="F2544" s="37">
        <v>1.0</v>
      </c>
      <c r="G2544" s="37" t="s">
        <v>32</v>
      </c>
      <c r="H2544" s="78">
        <v>1.0</v>
      </c>
      <c r="I2544" s="78" t="s">
        <v>33</v>
      </c>
      <c r="J2544" s="78"/>
      <c r="L2544" s="78" t="s">
        <v>119</v>
      </c>
      <c r="M2544" s="46" t="s">
        <v>6815</v>
      </c>
      <c r="N2544" s="106"/>
      <c r="O2544" s="160" t="str">
        <f>hyperlink("https://bad-boys.us/?q=WD-NC/3:19-cr-00122", "WD-NC 3:19-cr-00122")</f>
        <v>WD-NC 3:19-cr-00122</v>
      </c>
      <c r="P2544" s="103" t="s">
        <v>6816</v>
      </c>
      <c r="Q2544" s="37">
        <v>1.0</v>
      </c>
      <c r="S2544" s="37"/>
      <c r="T2544" s="38"/>
      <c r="U2544" s="38" t="b">
        <f t="shared" si="375"/>
        <v>0</v>
      </c>
      <c r="V2544" s="78" t="s">
        <v>6146</v>
      </c>
      <c r="W2544" s="106"/>
      <c r="X2544" s="106"/>
      <c r="Y2544" s="102"/>
    </row>
    <row r="2545">
      <c r="A2545" s="87" t="s">
        <v>6817</v>
      </c>
      <c r="B2545" s="248"/>
      <c r="C2545" s="99">
        <v>43579.0</v>
      </c>
      <c r="E2545" s="78" t="s">
        <v>41</v>
      </c>
      <c r="F2545" s="37">
        <v>1.0</v>
      </c>
      <c r="G2545" s="37" t="s">
        <v>32</v>
      </c>
      <c r="H2545" s="78">
        <v>1.0</v>
      </c>
      <c r="I2545" s="78" t="s">
        <v>33</v>
      </c>
      <c r="J2545" s="78" t="s">
        <v>115</v>
      </c>
      <c r="L2545" s="285" t="s">
        <v>69</v>
      </c>
      <c r="M2545" s="106" t="s">
        <v>6818</v>
      </c>
      <c r="N2545" s="106"/>
      <c r="Q2545" s="37">
        <v>1.0</v>
      </c>
      <c r="S2545" s="37"/>
      <c r="T2545" s="38"/>
      <c r="U2545" s="38"/>
      <c r="V2545" s="78" t="s">
        <v>33</v>
      </c>
      <c r="W2545" s="106"/>
      <c r="X2545" s="106"/>
      <c r="Y2545" s="102"/>
    </row>
    <row r="2546">
      <c r="A2546" s="87" t="s">
        <v>6819</v>
      </c>
      <c r="B2546" s="248"/>
      <c r="C2546" s="99">
        <v>43580.0</v>
      </c>
      <c r="E2546" s="78" t="s">
        <v>31</v>
      </c>
      <c r="F2546" s="37">
        <v>1.0</v>
      </c>
      <c r="G2546" s="37" t="s">
        <v>32</v>
      </c>
      <c r="H2546" s="78">
        <v>1.0</v>
      </c>
      <c r="I2546" s="78" t="s">
        <v>33</v>
      </c>
      <c r="J2546" s="78" t="s">
        <v>179</v>
      </c>
      <c r="L2546" s="78" t="s">
        <v>6820</v>
      </c>
      <c r="M2546" s="106" t="s">
        <v>6821</v>
      </c>
      <c r="N2546" s="46" t="s">
        <v>6822</v>
      </c>
      <c r="O2546" s="160" t="str">
        <f>hyperlink("https://bad-boys.us/?q=ED-VA/1:19-cr-00120", "ED-VA 1:19-cr-00120")</f>
        <v>ED-VA 1:19-cr-00120</v>
      </c>
      <c r="Q2546" s="37">
        <v>1.0</v>
      </c>
      <c r="S2546" s="37" t="str">
        <f>IFERROR(__xludf.DUMMYFUNCTION("if(not(iserror(index(split(C2546, "" ""),2))), index(split(C2546, "" ""),1),"""")"),"April")</f>
        <v>April</v>
      </c>
      <c r="T2546" s="38">
        <f>IFERROR(__xludf.DUMMYFUNCTION("if(S2546="""",C2546,if(not(iserror(index(split(C2546, "" ""),3))), index(split(C2546, "" ""),3),index(split(C2546, "" ""),2)))"),2019.0)</f>
        <v>2019</v>
      </c>
      <c r="U2546" s="38" t="b">
        <f t="shared" ref="U2546:U2554" si="376">countif(A$4:A4658, A2546)&gt;1</f>
        <v>0</v>
      </c>
      <c r="V2546" s="78" t="s">
        <v>33</v>
      </c>
      <c r="W2546" s="46" t="s">
        <v>6823</v>
      </c>
      <c r="X2546" s="46" t="s">
        <v>6824</v>
      </c>
      <c r="Y2546" s="102"/>
    </row>
    <row r="2547">
      <c r="A2547" s="87" t="s">
        <v>239</v>
      </c>
      <c r="B2547" s="248"/>
      <c r="C2547" s="99">
        <v>43581.0</v>
      </c>
      <c r="E2547" s="78" t="s">
        <v>41</v>
      </c>
      <c r="F2547" s="37">
        <v>1.0</v>
      </c>
      <c r="G2547" s="37">
        <v>4.0</v>
      </c>
      <c r="H2547" s="78">
        <v>4.0</v>
      </c>
      <c r="I2547" s="78" t="s">
        <v>33</v>
      </c>
      <c r="J2547" s="78" t="s">
        <v>93</v>
      </c>
      <c r="L2547" s="78" t="s">
        <v>194</v>
      </c>
      <c r="M2547" s="46" t="s">
        <v>6825</v>
      </c>
      <c r="N2547" s="288"/>
      <c r="Q2547" s="91"/>
      <c r="S2547" s="37" t="str">
        <f>IFERROR(__xludf.DUMMYFUNCTION("if(not(iserror(index(split(C2547, "" ""),2))), index(split(C2547, "" ""),1),"""")"),"April")</f>
        <v>April</v>
      </c>
      <c r="T2547" s="38">
        <f>IFERROR(__xludf.DUMMYFUNCTION("if(S2547="""",C2547,if(not(iserror(index(split(C2547, "" ""),3))), index(split(C2547, "" ""),3),index(split(C2547, "" ""),2)))"),2019.0)</f>
        <v>2019</v>
      </c>
      <c r="U2547" s="38" t="b">
        <f t="shared" si="376"/>
        <v>1</v>
      </c>
      <c r="V2547" s="78" t="s">
        <v>33</v>
      </c>
      <c r="W2547" s="288"/>
      <c r="X2547" s="288"/>
      <c r="Y2547" s="102"/>
    </row>
    <row r="2548">
      <c r="A2548" s="87" t="s">
        <v>239</v>
      </c>
      <c r="B2548" s="248"/>
      <c r="C2548" s="99">
        <v>43585.0</v>
      </c>
      <c r="E2548" s="78" t="s">
        <v>41</v>
      </c>
      <c r="F2548" s="37">
        <v>1.0</v>
      </c>
      <c r="G2548" s="37">
        <v>13.0</v>
      </c>
      <c r="H2548" s="78">
        <v>13.0</v>
      </c>
      <c r="I2548" s="78" t="s">
        <v>33</v>
      </c>
      <c r="J2548" s="78" t="s">
        <v>85</v>
      </c>
      <c r="L2548" s="78" t="s">
        <v>194</v>
      </c>
      <c r="M2548" s="46" t="s">
        <v>6826</v>
      </c>
      <c r="N2548" s="288"/>
      <c r="Q2548" s="91"/>
      <c r="S2548" s="37" t="str">
        <f>IFERROR(__xludf.DUMMYFUNCTION("if(not(iserror(index(split(C2548, "" ""),2))), index(split(C2548, "" ""),1),"""")"),"April")</f>
        <v>April</v>
      </c>
      <c r="T2548" s="38">
        <f>IFERROR(__xludf.DUMMYFUNCTION("if(S2548="""",C2548,if(not(iserror(index(split(C2548, "" ""),3))), index(split(C2548, "" ""),3),index(split(C2548, "" ""),2)))"),2019.0)</f>
        <v>2019</v>
      </c>
      <c r="U2548" s="38" t="b">
        <f t="shared" si="376"/>
        <v>1</v>
      </c>
      <c r="V2548" s="78" t="s">
        <v>33</v>
      </c>
      <c r="W2548" s="288"/>
      <c r="X2548" s="288"/>
      <c r="Y2548" s="102"/>
    </row>
    <row r="2549">
      <c r="A2549" s="87" t="s">
        <v>239</v>
      </c>
      <c r="B2549" s="248"/>
      <c r="C2549" s="99">
        <v>43585.0</v>
      </c>
      <c r="E2549" s="78" t="s">
        <v>41</v>
      </c>
      <c r="F2549" s="37">
        <v>2.0</v>
      </c>
      <c r="G2549" s="37">
        <v>5.0</v>
      </c>
      <c r="H2549" s="78">
        <v>5.0</v>
      </c>
      <c r="I2549" s="78" t="s">
        <v>33</v>
      </c>
      <c r="J2549" s="78" t="s">
        <v>241</v>
      </c>
      <c r="L2549" s="78" t="s">
        <v>194</v>
      </c>
      <c r="M2549" s="46" t="s">
        <v>6827</v>
      </c>
      <c r="N2549" s="288"/>
      <c r="Q2549" s="91"/>
      <c r="S2549" s="37" t="str">
        <f>IFERROR(__xludf.DUMMYFUNCTION("if(not(iserror(index(split(C2549, "" ""),2))), index(split(C2549, "" ""),1),"""")"),"April")</f>
        <v>April</v>
      </c>
      <c r="T2549" s="38">
        <f>IFERROR(__xludf.DUMMYFUNCTION("if(S2549="""",C2549,if(not(iserror(index(split(C2549, "" ""),3))), index(split(C2549, "" ""),3),index(split(C2549, "" ""),2)))"),2019.0)</f>
        <v>2019</v>
      </c>
      <c r="U2549" s="38" t="b">
        <f t="shared" si="376"/>
        <v>1</v>
      </c>
      <c r="V2549" s="78" t="s">
        <v>33</v>
      </c>
      <c r="W2549" s="288"/>
      <c r="X2549" s="288"/>
      <c r="Y2549" s="102"/>
    </row>
    <row r="2550">
      <c r="A2550" s="289" t="s">
        <v>239</v>
      </c>
      <c r="B2550" s="248"/>
      <c r="C2550" s="145">
        <v>43585.0</v>
      </c>
      <c r="E2550" s="285" t="s">
        <v>41</v>
      </c>
      <c r="F2550" s="91">
        <v>1.0</v>
      </c>
      <c r="G2550" s="91">
        <v>66.0</v>
      </c>
      <c r="H2550" s="285">
        <v>66.0</v>
      </c>
      <c r="I2550" s="285" t="s">
        <v>33</v>
      </c>
      <c r="J2550" s="285" t="s">
        <v>147</v>
      </c>
      <c r="L2550" s="285" t="s">
        <v>194</v>
      </c>
      <c r="M2550" s="288" t="s">
        <v>6828</v>
      </c>
      <c r="N2550" s="288"/>
      <c r="Q2550" s="91"/>
      <c r="S2550" s="37" t="str">
        <f>IFERROR(__xludf.DUMMYFUNCTION("if(not(iserror(index(split(C2550, "" ""),2))), index(split(C2550, "" ""),1),"""")"),"April")</f>
        <v>April</v>
      </c>
      <c r="T2550" s="38">
        <f>IFERROR(__xludf.DUMMYFUNCTION("if(S2550="""",C2550,if(not(iserror(index(split(C2550, "" ""),3))), index(split(C2550, "" ""),3),index(split(C2550, "" ""),2)))"),2019.0)</f>
        <v>2019</v>
      </c>
      <c r="U2550" s="38" t="b">
        <f t="shared" si="376"/>
        <v>1</v>
      </c>
      <c r="V2550" s="78" t="s">
        <v>33</v>
      </c>
      <c r="W2550" s="288"/>
      <c r="X2550" s="288"/>
      <c r="Y2550" s="102"/>
    </row>
    <row r="2551">
      <c r="A2551" s="87" t="s">
        <v>6829</v>
      </c>
      <c r="B2551" s="248"/>
      <c r="C2551" s="145">
        <v>43585.0</v>
      </c>
      <c r="E2551" s="78" t="s">
        <v>41</v>
      </c>
      <c r="F2551" s="37">
        <v>1.0</v>
      </c>
      <c r="G2551" s="37" t="s">
        <v>32</v>
      </c>
      <c r="H2551" s="78">
        <v>1.0</v>
      </c>
      <c r="I2551" s="78" t="s">
        <v>33</v>
      </c>
      <c r="J2551" s="78" t="s">
        <v>93</v>
      </c>
      <c r="L2551" s="78" t="s">
        <v>119</v>
      </c>
      <c r="M2551" s="46" t="s">
        <v>6830</v>
      </c>
      <c r="N2551" s="288"/>
      <c r="Q2551" s="91"/>
      <c r="S2551" s="37"/>
      <c r="T2551" s="38"/>
      <c r="U2551" s="38" t="b">
        <f t="shared" si="376"/>
        <v>0</v>
      </c>
      <c r="V2551" s="78" t="s">
        <v>33</v>
      </c>
      <c r="W2551" s="288"/>
      <c r="X2551" s="288"/>
      <c r="Y2551" s="102"/>
    </row>
    <row r="2552">
      <c r="A2552" s="87" t="s">
        <v>6831</v>
      </c>
      <c r="B2552" s="248"/>
      <c r="C2552" s="145">
        <v>43585.0</v>
      </c>
      <c r="E2552" s="78" t="s">
        <v>41</v>
      </c>
      <c r="F2552" s="37">
        <v>1.0</v>
      </c>
      <c r="G2552" s="37">
        <v>1.0</v>
      </c>
      <c r="H2552" s="78">
        <v>1.0</v>
      </c>
      <c r="I2552" s="78" t="s">
        <v>33</v>
      </c>
      <c r="J2552" s="78" t="s">
        <v>124</v>
      </c>
      <c r="L2552" s="78" t="s">
        <v>76</v>
      </c>
      <c r="M2552" s="46" t="s">
        <v>6832</v>
      </c>
      <c r="N2552" s="288"/>
      <c r="O2552" s="160" t="str">
        <f>hyperlink("https://bad-boys.us/?q=SD-OH/2:19-cr-00113", "SD-OH 2:19-cr-00113")</f>
        <v>SD-OH 2:19-cr-00113</v>
      </c>
      <c r="P2552" s="103" t="s">
        <v>6833</v>
      </c>
      <c r="Q2552" s="37">
        <v>1.0</v>
      </c>
      <c r="S2552" s="37"/>
      <c r="T2552" s="38"/>
      <c r="U2552" s="38" t="b">
        <f t="shared" si="376"/>
        <v>0</v>
      </c>
      <c r="V2552" s="78" t="s">
        <v>33</v>
      </c>
      <c r="W2552" s="288"/>
      <c r="X2552" s="288"/>
      <c r="Y2552" s="102"/>
    </row>
    <row r="2553">
      <c r="A2553" s="87" t="s">
        <v>6834</v>
      </c>
      <c r="B2553" s="248"/>
      <c r="C2553" s="145">
        <v>43585.0</v>
      </c>
      <c r="E2553" s="78" t="s">
        <v>41</v>
      </c>
      <c r="F2553" s="37">
        <v>1.0</v>
      </c>
      <c r="G2553" s="37" t="s">
        <v>32</v>
      </c>
      <c r="H2553" s="78">
        <v>1.0</v>
      </c>
      <c r="I2553" s="78" t="s">
        <v>33</v>
      </c>
      <c r="J2553" s="78" t="s">
        <v>115</v>
      </c>
      <c r="L2553" s="78" t="s">
        <v>119</v>
      </c>
      <c r="M2553" s="46" t="s">
        <v>6835</v>
      </c>
      <c r="N2553" s="288"/>
      <c r="O2553" s="160" t="str">
        <f>hyperlink("https://bad-boys.us/?q=WD-PA/2:19-cr-00122", "WD-PA 2:19-cr-00122")</f>
        <v>WD-PA 2:19-cr-00122</v>
      </c>
      <c r="P2553" s="103" t="s">
        <v>6836</v>
      </c>
      <c r="Q2553" s="37">
        <v>1.0</v>
      </c>
      <c r="S2553" s="37"/>
      <c r="T2553" s="38"/>
      <c r="U2553" s="38" t="b">
        <f t="shared" si="376"/>
        <v>0</v>
      </c>
      <c r="V2553" s="78" t="s">
        <v>33</v>
      </c>
      <c r="W2553" s="288"/>
      <c r="X2553" s="288"/>
      <c r="Y2553" s="102"/>
    </row>
    <row r="2554">
      <c r="A2554" s="87" t="s">
        <v>6837</v>
      </c>
      <c r="B2554" s="248"/>
      <c r="C2554" s="100">
        <v>43586.0</v>
      </c>
      <c r="E2554" s="78" t="s">
        <v>31</v>
      </c>
      <c r="F2554" s="37">
        <v>1.0</v>
      </c>
      <c r="G2554" s="37" t="s">
        <v>32</v>
      </c>
      <c r="H2554" s="78">
        <v>1.0</v>
      </c>
      <c r="I2554" s="78" t="s">
        <v>33</v>
      </c>
      <c r="J2554" s="78" t="s">
        <v>85</v>
      </c>
      <c r="L2554" s="78" t="s">
        <v>76</v>
      </c>
      <c r="M2554" s="106" t="s">
        <v>6838</v>
      </c>
      <c r="N2554" s="46" t="s">
        <v>6839</v>
      </c>
      <c r="O2554" s="160" t="str">
        <f>hyperlink("https://bad-boys.us/?q=ND-AL/2:19-cr-00324", "ND-AL 2:19-cr-00324")</f>
        <v>ND-AL 2:19-cr-00324</v>
      </c>
      <c r="Q2554" s="37">
        <v>1.0</v>
      </c>
      <c r="S2554" s="37"/>
      <c r="T2554" s="38"/>
      <c r="U2554" s="38" t="b">
        <f t="shared" si="376"/>
        <v>0</v>
      </c>
      <c r="V2554" s="78" t="s">
        <v>33</v>
      </c>
      <c r="W2554" s="46" t="s">
        <v>6840</v>
      </c>
      <c r="X2554" s="46" t="s">
        <v>6841</v>
      </c>
      <c r="Y2554" s="102"/>
    </row>
    <row r="2555">
      <c r="A2555" s="87" t="s">
        <v>6842</v>
      </c>
      <c r="B2555" s="248"/>
      <c r="C2555" s="99">
        <v>43586.0</v>
      </c>
      <c r="E2555" s="78" t="s">
        <v>41</v>
      </c>
      <c r="F2555" s="37">
        <v>1.0</v>
      </c>
      <c r="G2555" s="37">
        <v>1.0</v>
      </c>
      <c r="H2555" s="78">
        <v>1.0</v>
      </c>
      <c r="I2555" s="78" t="s">
        <v>33</v>
      </c>
      <c r="J2555" s="78" t="s">
        <v>61</v>
      </c>
      <c r="L2555" s="78" t="s">
        <v>76</v>
      </c>
      <c r="M2555" s="46" t="s">
        <v>6843</v>
      </c>
      <c r="N2555" s="106"/>
      <c r="Q2555" s="37"/>
      <c r="S2555" s="37"/>
      <c r="T2555" s="38"/>
      <c r="U2555" s="38"/>
      <c r="V2555" s="78" t="s">
        <v>33</v>
      </c>
      <c r="W2555" s="106"/>
      <c r="X2555" s="106"/>
      <c r="Y2555" s="102"/>
    </row>
    <row r="2556">
      <c r="A2556" s="87" t="s">
        <v>6844</v>
      </c>
      <c r="B2556" s="248"/>
      <c r="C2556" s="99">
        <v>43586.0</v>
      </c>
      <c r="E2556" s="78" t="s">
        <v>41</v>
      </c>
      <c r="F2556" s="37">
        <v>1.0</v>
      </c>
      <c r="G2556" s="37" t="s">
        <v>32</v>
      </c>
      <c r="H2556" s="78">
        <v>1.0</v>
      </c>
      <c r="I2556" s="78" t="s">
        <v>33</v>
      </c>
      <c r="J2556" s="78" t="s">
        <v>98</v>
      </c>
      <c r="L2556" s="78" t="s">
        <v>119</v>
      </c>
      <c r="M2556" s="46" t="s">
        <v>6845</v>
      </c>
      <c r="N2556" s="106"/>
      <c r="Q2556" s="37"/>
      <c r="S2556" s="37"/>
      <c r="T2556" s="38"/>
      <c r="U2556" s="38" t="b">
        <f t="shared" ref="U2556:U2560" si="377">countif(A$4:A4658, A2556)&gt;1</f>
        <v>0</v>
      </c>
      <c r="V2556" s="78" t="s">
        <v>33</v>
      </c>
      <c r="W2556" s="106"/>
      <c r="X2556" s="106"/>
      <c r="Y2556" s="102"/>
    </row>
    <row r="2557">
      <c r="A2557" s="87" t="s">
        <v>6846</v>
      </c>
      <c r="B2557" s="248"/>
      <c r="C2557" s="99">
        <v>43586.0</v>
      </c>
      <c r="E2557" s="78" t="s">
        <v>41</v>
      </c>
      <c r="F2557" s="37">
        <v>1.0</v>
      </c>
      <c r="G2557" s="37" t="s">
        <v>32</v>
      </c>
      <c r="H2557" s="78">
        <v>1.0</v>
      </c>
      <c r="I2557" s="78" t="s">
        <v>33</v>
      </c>
      <c r="J2557" s="78" t="s">
        <v>147</v>
      </c>
      <c r="L2557" s="78" t="s">
        <v>3853</v>
      </c>
      <c r="M2557" s="46" t="s">
        <v>6847</v>
      </c>
      <c r="N2557" s="46" t="s">
        <v>6848</v>
      </c>
      <c r="O2557" s="160" t="str">
        <f>hyperlink("https://bad-boys.us/?q=SD-TX/7:19-cr-00872", "SD-TX 7:19-cr-00872")</f>
        <v>SD-TX 7:19-cr-00872</v>
      </c>
      <c r="P2557" s="103" t="s">
        <v>6849</v>
      </c>
      <c r="Q2557" s="37">
        <v>1.0</v>
      </c>
      <c r="S2557" s="37" t="str">
        <f>IFERROR(__xludf.DUMMYFUNCTION("if(not(iserror(index(split(C2557, "" ""),2))), index(split(C2557, "" ""),1),"""")"),"May")</f>
        <v>May</v>
      </c>
      <c r="T2557" s="38">
        <f>IFERROR(__xludf.DUMMYFUNCTION("if(S2557="""",C2557,if(not(iserror(index(split(C2557, "" ""),3))), index(split(C2557, "" ""),3),index(split(C2557, "" ""),2)))"),2019.0)</f>
        <v>2019</v>
      </c>
      <c r="U2557" s="38" t="b">
        <f t="shared" si="377"/>
        <v>0</v>
      </c>
      <c r="V2557" s="78" t="s">
        <v>3919</v>
      </c>
      <c r="W2557" s="106"/>
      <c r="X2557" s="106"/>
      <c r="Y2557" s="102"/>
    </row>
    <row r="2558">
      <c r="A2558" s="87" t="s">
        <v>4372</v>
      </c>
      <c r="B2558" s="248"/>
      <c r="C2558" s="99">
        <v>43586.0</v>
      </c>
      <c r="E2558" s="78" t="s">
        <v>41</v>
      </c>
      <c r="F2558" s="37">
        <v>1.0</v>
      </c>
      <c r="G2558" s="37" t="s">
        <v>32</v>
      </c>
      <c r="H2558" s="78">
        <v>1.0</v>
      </c>
      <c r="I2558" s="78" t="s">
        <v>33</v>
      </c>
      <c r="J2558" s="78" t="s">
        <v>268</v>
      </c>
      <c r="L2558" s="78" t="s">
        <v>119</v>
      </c>
      <c r="M2558" s="106" t="s">
        <v>4373</v>
      </c>
      <c r="N2558" s="106"/>
      <c r="O2558" s="160" t="str">
        <f>hyperlink("https://bad-boys.us/?q=ND-OK/4:18-cr-00154", "ND-OK 4:18-cr-00154")</f>
        <v>ND-OK 4:18-cr-00154</v>
      </c>
      <c r="Q2558" s="37">
        <v>1.0</v>
      </c>
      <c r="S2558" s="37" t="str">
        <f>IFERROR(__xludf.DUMMYFUNCTION("if(not(iserror(index(split(C2558, "" ""),2))), index(split(C2558, "" ""),1),"""")"),"May")</f>
        <v>May</v>
      </c>
      <c r="T2558" s="38">
        <f>IFERROR(__xludf.DUMMYFUNCTION("if(S2558="""",C2558,if(not(iserror(index(split(C2558, "" ""),3))), index(split(C2558, "" ""),3),index(split(C2558, "" ""),2)))"),2019.0)</f>
        <v>2019</v>
      </c>
      <c r="U2558" s="38" t="b">
        <f t="shared" si="377"/>
        <v>1</v>
      </c>
      <c r="V2558" s="78" t="s">
        <v>33</v>
      </c>
      <c r="W2558" s="106"/>
      <c r="X2558" s="106"/>
      <c r="Y2558" s="102"/>
    </row>
    <row r="2559">
      <c r="A2559" s="87" t="s">
        <v>6850</v>
      </c>
      <c r="B2559" s="248"/>
      <c r="C2559" s="99">
        <v>43586.0</v>
      </c>
      <c r="E2559" s="78" t="s">
        <v>41</v>
      </c>
      <c r="F2559" s="37">
        <v>1.0</v>
      </c>
      <c r="G2559" s="37" t="s">
        <v>32</v>
      </c>
      <c r="H2559" s="78">
        <v>1.0</v>
      </c>
      <c r="I2559" s="78" t="s">
        <v>33</v>
      </c>
      <c r="J2559" s="78" t="s">
        <v>402</v>
      </c>
      <c r="L2559" s="78" t="s">
        <v>119</v>
      </c>
      <c r="M2559" s="46" t="s">
        <v>6851</v>
      </c>
      <c r="N2559" s="106"/>
      <c r="O2559" s="160" t="str">
        <f>hyperlink("https://bad-boys.us/?q=ND-IN/3:19-cr-00034", "ND-IN 3:19-cr-00034")</f>
        <v>ND-IN 3:19-cr-00034</v>
      </c>
      <c r="P2559" s="103" t="s">
        <v>6852</v>
      </c>
      <c r="Q2559" s="37">
        <v>1.0</v>
      </c>
      <c r="S2559" s="37"/>
      <c r="T2559" s="38"/>
      <c r="U2559" s="38" t="b">
        <f t="shared" si="377"/>
        <v>0</v>
      </c>
      <c r="V2559" s="78" t="s">
        <v>33</v>
      </c>
      <c r="W2559" s="106"/>
      <c r="X2559" s="106"/>
      <c r="Y2559" s="102"/>
    </row>
    <row r="2560">
      <c r="A2560" s="87" t="s">
        <v>6853</v>
      </c>
      <c r="B2560" s="248"/>
      <c r="C2560" s="99">
        <v>43587.0</v>
      </c>
      <c r="E2560" s="78" t="s">
        <v>41</v>
      </c>
      <c r="F2560" s="37">
        <v>1.0</v>
      </c>
      <c r="G2560" s="37" t="s">
        <v>32</v>
      </c>
      <c r="H2560" s="78">
        <v>1.0</v>
      </c>
      <c r="I2560" s="78" t="s">
        <v>33</v>
      </c>
      <c r="J2560" s="78" t="s">
        <v>132</v>
      </c>
      <c r="L2560" s="78" t="s">
        <v>119</v>
      </c>
      <c r="M2560" s="46" t="s">
        <v>6854</v>
      </c>
      <c r="N2560" s="106"/>
      <c r="O2560" s="160" t="str">
        <f>hyperlink("https://bad-boys.us/?q=SD-MS/1:18-cr-00174", "SD-MS 1:18-cr-00174")</f>
        <v>SD-MS 1:18-cr-00174</v>
      </c>
      <c r="P2560" s="103" t="s">
        <v>6855</v>
      </c>
      <c r="Q2560" s="37">
        <v>1.0</v>
      </c>
      <c r="S2560" s="37" t="str">
        <f>IFERROR(__xludf.DUMMYFUNCTION("if(not(iserror(index(split(C2560, "" ""),2))), index(split(C2560, "" ""),1),"""")"),"May")</f>
        <v>May</v>
      </c>
      <c r="T2560" s="38">
        <f>IFERROR(__xludf.DUMMYFUNCTION("if(S2560="""",C2560,if(not(iserror(index(split(C2560, "" ""),3))), index(split(C2560, "" ""),3),index(split(C2560, "" ""),2)))"),2019.0)</f>
        <v>2019</v>
      </c>
      <c r="U2560" s="38" t="b">
        <f t="shared" si="377"/>
        <v>0</v>
      </c>
      <c r="V2560" s="78" t="s">
        <v>33</v>
      </c>
      <c r="W2560" s="106"/>
      <c r="X2560" s="106"/>
      <c r="Y2560" s="102"/>
    </row>
    <row r="2561">
      <c r="A2561" s="87" t="s">
        <v>6856</v>
      </c>
      <c r="B2561" s="248"/>
      <c r="C2561" s="99">
        <v>43588.0</v>
      </c>
      <c r="E2561" s="78" t="s">
        <v>41</v>
      </c>
      <c r="F2561" s="37">
        <v>1.0</v>
      </c>
      <c r="G2561" s="37" t="s">
        <v>32</v>
      </c>
      <c r="H2561" s="78">
        <v>1.0</v>
      </c>
      <c r="I2561" s="78" t="s">
        <v>33</v>
      </c>
      <c r="J2561" s="78" t="s">
        <v>504</v>
      </c>
      <c r="L2561" s="78" t="s">
        <v>119</v>
      </c>
      <c r="M2561" s="106" t="s">
        <v>6857</v>
      </c>
      <c r="N2561" s="106"/>
      <c r="P2561" s="78"/>
      <c r="Q2561" s="37"/>
      <c r="S2561" s="37"/>
      <c r="T2561" s="38"/>
      <c r="U2561" s="38"/>
      <c r="V2561" s="78" t="s">
        <v>33</v>
      </c>
      <c r="W2561" s="106"/>
      <c r="X2561" s="106"/>
      <c r="Y2561" s="102"/>
    </row>
    <row r="2562">
      <c r="A2562" s="87" t="s">
        <v>239</v>
      </c>
      <c r="B2562" s="248"/>
      <c r="C2562" s="99">
        <v>43588.0</v>
      </c>
      <c r="E2562" s="78" t="s">
        <v>41</v>
      </c>
      <c r="F2562" s="37">
        <v>1.0</v>
      </c>
      <c r="G2562" s="37">
        <v>4.0</v>
      </c>
      <c r="H2562" s="78">
        <v>4.0</v>
      </c>
      <c r="I2562" s="78" t="s">
        <v>33</v>
      </c>
      <c r="J2562" s="78" t="s">
        <v>241</v>
      </c>
      <c r="L2562" s="78" t="s">
        <v>194</v>
      </c>
      <c r="M2562" s="46" t="s">
        <v>6858</v>
      </c>
      <c r="N2562" s="106"/>
      <c r="P2562" s="78"/>
      <c r="Q2562" s="37"/>
      <c r="S2562" s="37" t="str">
        <f>IFERROR(__xludf.DUMMYFUNCTION("if(not(iserror(index(split(C2562, "" ""),2))), index(split(C2562, "" ""),1),"""")"),"May")</f>
        <v>May</v>
      </c>
      <c r="T2562" s="38">
        <f>IFERROR(__xludf.DUMMYFUNCTION("if(S2562="""",C2562,if(not(iserror(index(split(C2562, "" ""),3))), index(split(C2562, "" ""),3),index(split(C2562, "" ""),2)))"),2019.0)</f>
        <v>2019</v>
      </c>
      <c r="U2562" s="38" t="b">
        <f t="shared" ref="U2562:U2567" si="378">countif(A$4:A4658, A2562)&gt;1</f>
        <v>1</v>
      </c>
      <c r="V2562" s="78" t="s">
        <v>33</v>
      </c>
      <c r="W2562" s="106"/>
      <c r="X2562" s="106"/>
      <c r="Y2562" s="102"/>
    </row>
    <row r="2563">
      <c r="A2563" s="87" t="s">
        <v>239</v>
      </c>
      <c r="B2563" s="248"/>
      <c r="C2563" s="99">
        <v>43589.0</v>
      </c>
      <c r="E2563" s="78" t="s">
        <v>41</v>
      </c>
      <c r="F2563" s="37">
        <v>1.0</v>
      </c>
      <c r="G2563" s="37">
        <v>6.0</v>
      </c>
      <c r="H2563" s="78">
        <v>6.0</v>
      </c>
      <c r="I2563" s="78" t="s">
        <v>33</v>
      </c>
      <c r="J2563" s="78" t="s">
        <v>241</v>
      </c>
      <c r="L2563" s="78" t="s">
        <v>194</v>
      </c>
      <c r="M2563" s="46" t="s">
        <v>6858</v>
      </c>
      <c r="N2563" s="106"/>
      <c r="P2563" s="78"/>
      <c r="Q2563" s="37"/>
      <c r="S2563" s="37" t="str">
        <f>IFERROR(__xludf.DUMMYFUNCTION("if(not(iserror(index(split(C2563, "" ""),2))), index(split(C2563, "" ""),1),"""")"),"May")</f>
        <v>May</v>
      </c>
      <c r="T2563" s="38">
        <f>IFERROR(__xludf.DUMMYFUNCTION("if(S2563="""",C2563,if(not(iserror(index(split(C2563, "" ""),3))), index(split(C2563, "" ""),3),index(split(C2563, "" ""),2)))"),2019.0)</f>
        <v>2019</v>
      </c>
      <c r="U2563" s="38" t="b">
        <f t="shared" si="378"/>
        <v>1</v>
      </c>
      <c r="V2563" s="78" t="s">
        <v>33</v>
      </c>
      <c r="W2563" s="106"/>
      <c r="X2563" s="106"/>
      <c r="Y2563" s="102"/>
    </row>
    <row r="2564">
      <c r="A2564" s="87" t="s">
        <v>6859</v>
      </c>
      <c r="B2564" s="248"/>
      <c r="C2564" s="99">
        <v>43590.0</v>
      </c>
      <c r="E2564" s="78" t="s">
        <v>41</v>
      </c>
      <c r="F2564" s="37">
        <v>1.0</v>
      </c>
      <c r="G2564" s="37" t="s">
        <v>32</v>
      </c>
      <c r="H2564" s="78">
        <v>1.0</v>
      </c>
      <c r="I2564" s="78" t="s">
        <v>33</v>
      </c>
      <c r="J2564" s="78" t="s">
        <v>268</v>
      </c>
      <c r="L2564" s="78" t="s">
        <v>119</v>
      </c>
      <c r="M2564" s="46" t="s">
        <v>6860</v>
      </c>
      <c r="N2564" s="106"/>
      <c r="O2564" s="160" t="str">
        <f>hyperlink("https://bad-boys.us/?q=ND-OK/4:19-cr-00075", "ND-OK 4:19-cr-00075")</f>
        <v>ND-OK 4:19-cr-00075</v>
      </c>
      <c r="P2564" s="78"/>
      <c r="Q2564" s="37">
        <v>1.0</v>
      </c>
      <c r="S2564" s="37"/>
      <c r="T2564" s="38"/>
      <c r="U2564" s="38" t="b">
        <f t="shared" si="378"/>
        <v>0</v>
      </c>
      <c r="V2564" s="78" t="s">
        <v>33</v>
      </c>
      <c r="W2564" s="106"/>
      <c r="X2564" s="106"/>
      <c r="Y2564" s="102"/>
    </row>
    <row r="2565">
      <c r="A2565" s="87" t="s">
        <v>6861</v>
      </c>
      <c r="B2565" s="248"/>
      <c r="C2565" s="99">
        <v>43592.0</v>
      </c>
      <c r="E2565" s="78" t="s">
        <v>41</v>
      </c>
      <c r="F2565" s="37">
        <v>1.0</v>
      </c>
      <c r="G2565" s="37" t="s">
        <v>32</v>
      </c>
      <c r="H2565" s="78">
        <v>1.0</v>
      </c>
      <c r="I2565" s="78" t="s">
        <v>33</v>
      </c>
      <c r="J2565" s="78" t="s">
        <v>279</v>
      </c>
      <c r="L2565" s="78" t="s">
        <v>76</v>
      </c>
      <c r="M2565" s="46" t="s">
        <v>6862</v>
      </c>
      <c r="N2565" s="106"/>
      <c r="O2565" s="160" t="str">
        <f>hyperlink("https://bad-boys.us/?q=WD-MO/3:19-cr-05024", "WD-MO 3:19-cr-05024")</f>
        <v>WD-MO 3:19-cr-05024</v>
      </c>
      <c r="P2565" s="103" t="s">
        <v>6863</v>
      </c>
      <c r="Q2565" s="37">
        <v>1.0</v>
      </c>
      <c r="S2565" s="37" t="str">
        <f>IFERROR(__xludf.DUMMYFUNCTION("if(not(iserror(index(split(C2565, "" ""),2))), index(split(C2565, "" ""),1),"""")"),"May")</f>
        <v>May</v>
      </c>
      <c r="T2565" s="38">
        <f>IFERROR(__xludf.DUMMYFUNCTION("if(S2565="""",C2565,if(not(iserror(index(split(C2565, "" ""),3))), index(split(C2565, "" ""),3),index(split(C2565, "" ""),2)))"),2019.0)</f>
        <v>2019</v>
      </c>
      <c r="U2565" s="38" t="b">
        <f t="shared" si="378"/>
        <v>0</v>
      </c>
      <c r="V2565" s="78"/>
      <c r="W2565" s="106"/>
      <c r="X2565" s="106"/>
      <c r="Y2565" s="102"/>
    </row>
    <row r="2566">
      <c r="A2566" s="87" t="s">
        <v>6864</v>
      </c>
      <c r="B2566" s="248"/>
      <c r="C2566" s="99">
        <v>43592.0</v>
      </c>
      <c r="E2566" s="78" t="s">
        <v>41</v>
      </c>
      <c r="F2566" s="37">
        <v>1.0</v>
      </c>
      <c r="G2566" s="37" t="s">
        <v>32</v>
      </c>
      <c r="H2566" s="78">
        <v>1.0</v>
      </c>
      <c r="I2566" s="78" t="s">
        <v>33</v>
      </c>
      <c r="J2566" s="78" t="s">
        <v>162</v>
      </c>
      <c r="L2566" s="78" t="s">
        <v>1203</v>
      </c>
      <c r="M2566" s="46" t="s">
        <v>6865</v>
      </c>
      <c r="N2566" s="106"/>
      <c r="P2566" s="78"/>
      <c r="Q2566" s="37"/>
      <c r="S2566" s="37"/>
      <c r="T2566" s="38"/>
      <c r="U2566" s="38" t="b">
        <f t="shared" si="378"/>
        <v>0</v>
      </c>
      <c r="V2566" s="78" t="s">
        <v>33</v>
      </c>
      <c r="W2566" s="106"/>
      <c r="X2566" s="106"/>
      <c r="Y2566" s="102"/>
    </row>
    <row r="2567">
      <c r="A2567" s="87" t="s">
        <v>6866</v>
      </c>
      <c r="B2567" s="248"/>
      <c r="C2567" s="99">
        <v>43592.0</v>
      </c>
      <c r="E2567" s="78" t="s">
        <v>41</v>
      </c>
      <c r="F2567" s="37">
        <v>1.0</v>
      </c>
      <c r="G2567" s="37" t="s">
        <v>32</v>
      </c>
      <c r="H2567" s="78">
        <v>1.0</v>
      </c>
      <c r="I2567" s="78" t="s">
        <v>33</v>
      </c>
      <c r="J2567" s="78" t="s">
        <v>98</v>
      </c>
      <c r="L2567" s="78" t="s">
        <v>4833</v>
      </c>
      <c r="M2567" s="46" t="s">
        <v>6867</v>
      </c>
      <c r="N2567" s="106"/>
      <c r="P2567" s="78"/>
      <c r="Q2567" s="37"/>
      <c r="S2567" s="37" t="str">
        <f>IFERROR(__xludf.DUMMYFUNCTION("if(not(iserror(index(split(C2567, "" ""),2))), index(split(C2567, "" ""),1),"""")"),"May")</f>
        <v>May</v>
      </c>
      <c r="T2567" s="38">
        <f>IFERROR(__xludf.DUMMYFUNCTION("if(S2567="""",C2567,if(not(iserror(index(split(C2567, "" ""),3))), index(split(C2567, "" ""),3),index(split(C2567, "" ""),2)))"),2019.0)</f>
        <v>2019</v>
      </c>
      <c r="U2567" s="38" t="b">
        <f t="shared" si="378"/>
        <v>0</v>
      </c>
      <c r="V2567" s="78" t="s">
        <v>3919</v>
      </c>
      <c r="W2567" s="106"/>
      <c r="X2567" s="106"/>
      <c r="Y2567" s="102"/>
    </row>
    <row r="2568">
      <c r="A2568" s="87" t="s">
        <v>6868</v>
      </c>
      <c r="B2568" s="248"/>
      <c r="C2568" s="99">
        <v>43592.0</v>
      </c>
      <c r="E2568" s="78" t="s">
        <v>31</v>
      </c>
      <c r="F2568" s="37">
        <v>1.0</v>
      </c>
      <c r="G2568" s="37">
        <v>2.0</v>
      </c>
      <c r="H2568" s="78">
        <v>2.0</v>
      </c>
      <c r="I2568" s="78" t="s">
        <v>33</v>
      </c>
      <c r="J2568" s="78" t="s">
        <v>318</v>
      </c>
      <c r="L2568" s="78" t="s">
        <v>76</v>
      </c>
      <c r="M2568" s="46" t="s">
        <v>6869</v>
      </c>
      <c r="N2568" s="46" t="s">
        <v>6870</v>
      </c>
      <c r="P2568" s="78"/>
      <c r="Q2568" s="37"/>
      <c r="S2568" s="37"/>
      <c r="T2568" s="38"/>
      <c r="U2568" s="38"/>
      <c r="V2568" s="78" t="s">
        <v>33</v>
      </c>
      <c r="W2568" s="46" t="s">
        <v>6871</v>
      </c>
      <c r="X2568" s="46" t="s">
        <v>6872</v>
      </c>
      <c r="Y2568" s="102"/>
    </row>
    <row r="2569">
      <c r="A2569" s="87" t="s">
        <v>6873</v>
      </c>
      <c r="B2569" s="248"/>
      <c r="C2569" s="99">
        <v>43592.0</v>
      </c>
      <c r="E2569" s="78" t="s">
        <v>41</v>
      </c>
      <c r="F2569" s="37">
        <v>1.0</v>
      </c>
      <c r="G2569" s="37" t="s">
        <v>32</v>
      </c>
      <c r="H2569" s="78">
        <v>1.0</v>
      </c>
      <c r="I2569" s="78" t="s">
        <v>33</v>
      </c>
      <c r="J2569" s="78" t="s">
        <v>318</v>
      </c>
      <c r="L2569" s="78" t="s">
        <v>76</v>
      </c>
      <c r="M2569" s="46" t="s">
        <v>6874</v>
      </c>
      <c r="N2569" s="106"/>
      <c r="P2569" s="78"/>
      <c r="Q2569" s="37">
        <v>1.0</v>
      </c>
      <c r="S2569" s="37"/>
      <c r="T2569" s="38"/>
      <c r="U2569" s="38"/>
      <c r="V2569" s="78" t="s">
        <v>33</v>
      </c>
      <c r="W2569" s="106"/>
      <c r="X2569" s="106"/>
      <c r="Y2569" s="102"/>
    </row>
    <row r="2570">
      <c r="A2570" s="87" t="s">
        <v>6875</v>
      </c>
      <c r="B2570" s="248"/>
      <c r="C2570" s="99">
        <v>43592.0</v>
      </c>
      <c r="E2570" s="78" t="s">
        <v>31</v>
      </c>
      <c r="F2570" s="37">
        <v>1.0</v>
      </c>
      <c r="G2570" s="37">
        <v>3.0</v>
      </c>
      <c r="H2570" s="78">
        <v>3.0</v>
      </c>
      <c r="I2570" s="78" t="s">
        <v>33</v>
      </c>
      <c r="J2570" s="78" t="s">
        <v>42</v>
      </c>
      <c r="L2570" s="78" t="s">
        <v>76</v>
      </c>
      <c r="M2570" s="46" t="s">
        <v>6876</v>
      </c>
      <c r="N2570" s="46" t="s">
        <v>6877</v>
      </c>
      <c r="P2570" s="78"/>
      <c r="Q2570" s="37">
        <v>1.0</v>
      </c>
      <c r="S2570" s="37"/>
      <c r="T2570" s="38"/>
      <c r="U2570" s="38"/>
      <c r="V2570" s="78" t="s">
        <v>33</v>
      </c>
      <c r="W2570" s="46" t="s">
        <v>6878</v>
      </c>
      <c r="X2570" s="46" t="s">
        <v>6879</v>
      </c>
      <c r="Y2570" s="102"/>
    </row>
    <row r="2571">
      <c r="A2571" s="87" t="s">
        <v>6880</v>
      </c>
      <c r="B2571" s="248"/>
      <c r="C2571" s="99">
        <v>43592.0</v>
      </c>
      <c r="E2571" s="78" t="s">
        <v>41</v>
      </c>
      <c r="F2571" s="37">
        <v>1.0</v>
      </c>
      <c r="G2571" s="37" t="s">
        <v>32</v>
      </c>
      <c r="H2571" s="78">
        <v>1.0</v>
      </c>
      <c r="I2571" s="78" t="s">
        <v>33</v>
      </c>
      <c r="J2571" s="78" t="s">
        <v>279</v>
      </c>
      <c r="L2571" s="78" t="s">
        <v>69</v>
      </c>
      <c r="M2571" s="46" t="s">
        <v>6881</v>
      </c>
      <c r="N2571" s="106"/>
      <c r="P2571" s="78"/>
      <c r="Q2571" s="37">
        <v>1.0</v>
      </c>
      <c r="S2571" s="37"/>
      <c r="T2571" s="38"/>
      <c r="U2571" s="38"/>
      <c r="V2571" s="78" t="s">
        <v>33</v>
      </c>
      <c r="W2571" s="106"/>
      <c r="X2571" s="106"/>
      <c r="Y2571" s="102"/>
    </row>
    <row r="2572">
      <c r="A2572" s="87" t="s">
        <v>6882</v>
      </c>
      <c r="B2572" s="248"/>
      <c r="C2572" s="99">
        <v>43593.0</v>
      </c>
      <c r="E2572" s="78" t="s">
        <v>41</v>
      </c>
      <c r="F2572" s="37">
        <v>1.0</v>
      </c>
      <c r="G2572" s="37" t="s">
        <v>32</v>
      </c>
      <c r="H2572" s="78">
        <v>1.0</v>
      </c>
      <c r="I2572" s="78" t="s">
        <v>33</v>
      </c>
      <c r="J2572" s="78" t="s">
        <v>147</v>
      </c>
      <c r="L2572" s="78" t="s">
        <v>69</v>
      </c>
      <c r="M2572" s="46" t="s">
        <v>6883</v>
      </c>
      <c r="N2572" s="106"/>
      <c r="P2572" s="78"/>
      <c r="Q2572" s="37">
        <v>1.0</v>
      </c>
      <c r="S2572" s="37"/>
      <c r="T2572" s="38"/>
      <c r="U2572" s="38"/>
      <c r="V2572" s="78" t="s">
        <v>33</v>
      </c>
      <c r="W2572" s="106"/>
      <c r="X2572" s="106"/>
      <c r="Y2572" s="102"/>
    </row>
    <row r="2573">
      <c r="A2573" s="87" t="s">
        <v>6884</v>
      </c>
      <c r="B2573" s="248"/>
      <c r="C2573" s="99">
        <v>43593.0</v>
      </c>
      <c r="E2573" s="78" t="s">
        <v>41</v>
      </c>
      <c r="F2573" s="37">
        <v>1.0</v>
      </c>
      <c r="G2573" s="37" t="s">
        <v>32</v>
      </c>
      <c r="H2573" s="78">
        <v>1.0</v>
      </c>
      <c r="I2573" s="78" t="s">
        <v>33</v>
      </c>
      <c r="J2573" s="78" t="s">
        <v>124</v>
      </c>
      <c r="L2573" s="78" t="s">
        <v>76</v>
      </c>
      <c r="M2573" s="46" t="s">
        <v>6885</v>
      </c>
      <c r="N2573" s="106"/>
      <c r="O2573" s="160" t="str">
        <f>hyperlink("https://bad-boys.us/?q=ND-OH/1:19-cr-00282", "ND-OH 1:19-cr-00282")</f>
        <v>ND-OH 1:19-cr-00282</v>
      </c>
      <c r="P2573" s="103" t="s">
        <v>6886</v>
      </c>
      <c r="Q2573" s="37">
        <v>1.0</v>
      </c>
      <c r="S2573" s="37" t="str">
        <f>IFERROR(__xludf.DUMMYFUNCTION("if(not(iserror(index(split(C2573, "" ""),2))), index(split(C2573, "" ""),1),"""")"),"May")</f>
        <v>May</v>
      </c>
      <c r="T2573" s="38">
        <f>IFERROR(__xludf.DUMMYFUNCTION("if(S2573="""",C2573,if(not(iserror(index(split(C2573, "" ""),3))), index(split(C2573, "" ""),3),index(split(C2573, "" ""),2)))"),2019.0)</f>
        <v>2019</v>
      </c>
      <c r="U2573" s="38" t="b">
        <f>countif(A$4:A4658, A2573)&gt;1</f>
        <v>0</v>
      </c>
      <c r="V2573" s="78" t="s">
        <v>33</v>
      </c>
      <c r="W2573" s="106"/>
      <c r="X2573" s="106"/>
      <c r="Y2573" s="102"/>
    </row>
    <row r="2574">
      <c r="A2574" s="87" t="s">
        <v>6887</v>
      </c>
      <c r="B2574" s="248"/>
      <c r="C2574" s="99">
        <v>43593.0</v>
      </c>
      <c r="E2574" s="78" t="s">
        <v>41</v>
      </c>
      <c r="F2574" s="37">
        <v>1.0</v>
      </c>
      <c r="G2574" s="37" t="s">
        <v>32</v>
      </c>
      <c r="H2574" s="78">
        <v>1.0</v>
      </c>
      <c r="I2574" s="78" t="s">
        <v>33</v>
      </c>
      <c r="J2574" s="78" t="s">
        <v>402</v>
      </c>
      <c r="L2574" s="78" t="s">
        <v>69</v>
      </c>
      <c r="M2574" s="46" t="s">
        <v>6888</v>
      </c>
      <c r="N2574" s="106"/>
      <c r="P2574" s="78"/>
      <c r="Q2574" s="37">
        <v>1.0</v>
      </c>
      <c r="S2574" s="37"/>
      <c r="T2574" s="38"/>
      <c r="U2574" s="38"/>
      <c r="V2574" s="78" t="s">
        <v>33</v>
      </c>
      <c r="W2574" s="106"/>
      <c r="X2574" s="106"/>
      <c r="Y2574" s="102"/>
    </row>
    <row r="2575">
      <c r="A2575" s="87" t="s">
        <v>6889</v>
      </c>
      <c r="B2575" s="248"/>
      <c r="C2575" s="99">
        <v>43593.0</v>
      </c>
      <c r="E2575" s="78" t="s">
        <v>41</v>
      </c>
      <c r="F2575" s="37">
        <v>1.0</v>
      </c>
      <c r="G2575" s="37" t="s">
        <v>32</v>
      </c>
      <c r="H2575" s="78">
        <v>1.0</v>
      </c>
      <c r="I2575" s="78" t="s">
        <v>33</v>
      </c>
      <c r="J2575" s="78" t="s">
        <v>47</v>
      </c>
      <c r="L2575" s="78" t="s">
        <v>119</v>
      </c>
      <c r="M2575" s="106" t="s">
        <v>6890</v>
      </c>
      <c r="N2575" s="106"/>
      <c r="P2575" s="78"/>
      <c r="Q2575" s="37"/>
      <c r="S2575" s="37" t="str">
        <f>IFERROR(__xludf.DUMMYFUNCTION("if(not(iserror(index(split(C2575, "" ""),2))), index(split(C2575, "" ""),1),"""")"),"May")</f>
        <v>May</v>
      </c>
      <c r="T2575" s="38">
        <f>IFERROR(__xludf.DUMMYFUNCTION("if(S2575="""",C2575,if(not(iserror(index(split(C2575, "" ""),3))), index(split(C2575, "" ""),3),index(split(C2575, "" ""),2)))"),2019.0)</f>
        <v>2019</v>
      </c>
      <c r="U2575" s="38" t="b">
        <f>countif(A$4:A4658, A2575)&gt;1</f>
        <v>0</v>
      </c>
      <c r="V2575" s="78"/>
      <c r="W2575" s="106"/>
      <c r="X2575" s="106"/>
      <c r="Y2575" s="102"/>
    </row>
    <row r="2576">
      <c r="A2576" s="87" t="s">
        <v>6891</v>
      </c>
      <c r="B2576" s="248"/>
      <c r="C2576" s="99">
        <v>43594.0</v>
      </c>
      <c r="E2576" s="78" t="s">
        <v>41</v>
      </c>
      <c r="F2576" s="37">
        <v>1.0</v>
      </c>
      <c r="G2576" s="37" t="s">
        <v>32</v>
      </c>
      <c r="H2576" s="78">
        <v>1.0</v>
      </c>
      <c r="I2576" s="78" t="s">
        <v>33</v>
      </c>
      <c r="J2576" s="78" t="s">
        <v>288</v>
      </c>
      <c r="L2576" s="78" t="s">
        <v>69</v>
      </c>
      <c r="M2576" s="46" t="s">
        <v>6892</v>
      </c>
      <c r="N2576" s="106"/>
      <c r="P2576" s="78"/>
      <c r="Q2576" s="37"/>
      <c r="S2576" s="37"/>
      <c r="T2576" s="38"/>
      <c r="U2576" s="38"/>
      <c r="V2576" s="78" t="s">
        <v>33</v>
      </c>
      <c r="W2576" s="106"/>
      <c r="X2576" s="106"/>
      <c r="Y2576" s="102"/>
    </row>
    <row r="2577">
      <c r="A2577" s="87" t="s">
        <v>239</v>
      </c>
      <c r="B2577" s="248"/>
      <c r="C2577" s="99">
        <v>43595.0</v>
      </c>
      <c r="E2577" s="78" t="s">
        <v>41</v>
      </c>
      <c r="F2577" s="37">
        <v>1.0</v>
      </c>
      <c r="G2577" s="37">
        <v>120.0</v>
      </c>
      <c r="H2577" s="78">
        <v>120.0</v>
      </c>
      <c r="I2577" s="78" t="s">
        <v>33</v>
      </c>
      <c r="J2577" s="78" t="s">
        <v>147</v>
      </c>
      <c r="L2577" s="78" t="s">
        <v>194</v>
      </c>
      <c r="M2577" s="46" t="s">
        <v>6893</v>
      </c>
      <c r="N2577" s="106"/>
      <c r="P2577" s="78"/>
      <c r="Q2577" s="37"/>
      <c r="S2577" s="37" t="str">
        <f>IFERROR(__xludf.DUMMYFUNCTION("if(not(iserror(index(split(C2577, "" ""),2))), index(split(C2577, "" ""),1),"""")"),"May")</f>
        <v>May</v>
      </c>
      <c r="T2577" s="38">
        <f>IFERROR(__xludf.DUMMYFUNCTION("if(S2577="""",C2577,if(not(iserror(index(split(C2577, "" ""),3))), index(split(C2577, "" ""),3),index(split(C2577, "" ""),2)))"),2019.0)</f>
        <v>2019</v>
      </c>
      <c r="U2577" s="38" t="b">
        <f>countif(A$4:A4658, A2577)&gt;1</f>
        <v>1</v>
      </c>
      <c r="V2577" s="78"/>
      <c r="W2577" s="106"/>
      <c r="X2577" s="106"/>
      <c r="Y2577" s="102"/>
    </row>
    <row r="2578">
      <c r="A2578" s="87" t="s">
        <v>6894</v>
      </c>
      <c r="B2578" s="293"/>
      <c r="C2578" s="99">
        <v>43595.0</v>
      </c>
      <c r="D2578" s="294"/>
      <c r="E2578" s="78" t="s">
        <v>41</v>
      </c>
      <c r="F2578" s="37">
        <v>1.0</v>
      </c>
      <c r="G2578" s="37" t="s">
        <v>32</v>
      </c>
      <c r="H2578" s="78">
        <v>1.0</v>
      </c>
      <c r="I2578" s="78" t="s">
        <v>33</v>
      </c>
      <c r="J2578" s="78" t="s">
        <v>47</v>
      </c>
      <c r="K2578" s="294"/>
      <c r="L2578" s="78" t="s">
        <v>6895</v>
      </c>
      <c r="M2578" s="106" t="s">
        <v>6896</v>
      </c>
      <c r="N2578" s="106"/>
      <c r="P2578" s="285"/>
      <c r="Q2578" s="37"/>
      <c r="S2578" s="37"/>
      <c r="T2578" s="38"/>
      <c r="U2578" s="38"/>
      <c r="V2578" s="78" t="s">
        <v>33</v>
      </c>
      <c r="W2578" s="106"/>
      <c r="X2578" s="106"/>
      <c r="Y2578" s="295"/>
      <c r="Z2578" s="294"/>
      <c r="AA2578" s="294"/>
      <c r="AB2578" s="294"/>
      <c r="AC2578" s="294"/>
      <c r="AD2578" s="294"/>
      <c r="AE2578" s="294"/>
      <c r="AF2578" s="294"/>
      <c r="AG2578" s="294"/>
      <c r="AH2578" s="294"/>
      <c r="AI2578" s="294"/>
      <c r="AJ2578" s="294"/>
      <c r="AK2578" s="294"/>
      <c r="AL2578" s="294"/>
      <c r="AM2578" s="294"/>
      <c r="AN2578" s="294"/>
      <c r="AO2578" s="294"/>
      <c r="AP2578" s="294"/>
      <c r="AQ2578" s="294"/>
      <c r="AR2578" s="294"/>
      <c r="AS2578" s="294"/>
      <c r="AT2578" s="294"/>
      <c r="AU2578" s="294"/>
      <c r="AV2578" s="294"/>
      <c r="AW2578" s="294"/>
      <c r="AX2578" s="294"/>
      <c r="AY2578" s="294"/>
      <c r="AZ2578" s="294"/>
      <c r="BA2578" s="294"/>
      <c r="BB2578" s="294"/>
      <c r="BC2578" s="294"/>
      <c r="BD2578" s="294"/>
      <c r="BE2578" s="294"/>
      <c r="BF2578" s="294"/>
      <c r="BG2578" s="294"/>
      <c r="BH2578" s="294"/>
      <c r="BI2578" s="294"/>
      <c r="BJ2578" s="294"/>
      <c r="BK2578" s="294"/>
      <c r="BL2578" s="294"/>
      <c r="BM2578" s="294"/>
      <c r="BN2578" s="294"/>
      <c r="BO2578" s="294"/>
      <c r="BP2578" s="294"/>
      <c r="BQ2578" s="294"/>
    </row>
    <row r="2579">
      <c r="A2579" s="87" t="s">
        <v>6897</v>
      </c>
      <c r="B2579" s="293"/>
      <c r="C2579" s="99">
        <v>43595.0</v>
      </c>
      <c r="D2579" s="294"/>
      <c r="E2579" s="78" t="s">
        <v>41</v>
      </c>
      <c r="F2579" s="37">
        <v>1.0</v>
      </c>
      <c r="G2579" s="37" t="s">
        <v>32</v>
      </c>
      <c r="H2579" s="78">
        <v>1.0</v>
      </c>
      <c r="I2579" s="78" t="s">
        <v>33</v>
      </c>
      <c r="J2579" s="78" t="s">
        <v>93</v>
      </c>
      <c r="K2579" s="294"/>
      <c r="L2579" s="78" t="s">
        <v>76</v>
      </c>
      <c r="M2579" s="106" t="s">
        <v>6898</v>
      </c>
      <c r="N2579" s="106"/>
      <c r="P2579" s="285"/>
      <c r="Q2579" s="37">
        <v>1.0</v>
      </c>
      <c r="S2579" s="37"/>
      <c r="T2579" s="38"/>
      <c r="U2579" s="38"/>
      <c r="V2579" s="78" t="s">
        <v>33</v>
      </c>
      <c r="W2579" s="106"/>
      <c r="X2579" s="106"/>
      <c r="Y2579" s="295"/>
      <c r="Z2579" s="294"/>
      <c r="AA2579" s="294"/>
      <c r="AB2579" s="294"/>
      <c r="AC2579" s="294"/>
      <c r="AD2579" s="294"/>
      <c r="AE2579" s="294"/>
      <c r="AF2579" s="294"/>
      <c r="AG2579" s="294"/>
      <c r="AH2579" s="294"/>
      <c r="AI2579" s="294"/>
      <c r="AJ2579" s="294"/>
      <c r="AK2579" s="294"/>
      <c r="AL2579" s="294"/>
      <c r="AM2579" s="294"/>
      <c r="AN2579" s="294"/>
      <c r="AO2579" s="294"/>
      <c r="AP2579" s="294"/>
      <c r="AQ2579" s="294"/>
      <c r="AR2579" s="294"/>
      <c r="AS2579" s="294"/>
      <c r="AT2579" s="294"/>
      <c r="AU2579" s="294"/>
      <c r="AV2579" s="294"/>
      <c r="AW2579" s="294"/>
      <c r="AX2579" s="294"/>
      <c r="AY2579" s="294"/>
      <c r="AZ2579" s="294"/>
      <c r="BA2579" s="294"/>
      <c r="BB2579" s="294"/>
      <c r="BC2579" s="294"/>
      <c r="BD2579" s="294"/>
      <c r="BE2579" s="294"/>
      <c r="BF2579" s="294"/>
      <c r="BG2579" s="294"/>
      <c r="BH2579" s="294"/>
      <c r="BI2579" s="294"/>
      <c r="BJ2579" s="294"/>
      <c r="BK2579" s="294"/>
      <c r="BL2579" s="294"/>
      <c r="BM2579" s="294"/>
      <c r="BN2579" s="294"/>
      <c r="BO2579" s="294"/>
      <c r="BP2579" s="294"/>
      <c r="BQ2579" s="294"/>
    </row>
    <row r="2580">
      <c r="A2580" s="87" t="s">
        <v>6899</v>
      </c>
      <c r="B2580" s="248"/>
      <c r="C2580" s="99">
        <v>43595.0</v>
      </c>
      <c r="E2580" s="78" t="s">
        <v>41</v>
      </c>
      <c r="F2580" s="37">
        <v>1.0</v>
      </c>
      <c r="G2580" s="37" t="s">
        <v>32</v>
      </c>
      <c r="H2580" s="78">
        <v>1.0</v>
      </c>
      <c r="I2580" s="78" t="s">
        <v>33</v>
      </c>
      <c r="J2580" s="78" t="s">
        <v>93</v>
      </c>
      <c r="L2580" s="78" t="s">
        <v>119</v>
      </c>
      <c r="M2580" s="46" t="s">
        <v>6900</v>
      </c>
      <c r="N2580" s="106"/>
      <c r="O2580" s="160" t="str">
        <f>hyperlink("https://bad-boys.us/?q=ND-NY/3:19-mj-00304", "ND-NY 3:19-mj-00304 ❓")</f>
        <v>ND-NY 3:19-mj-00304 ❓</v>
      </c>
      <c r="P2580" s="103" t="s">
        <v>6901</v>
      </c>
      <c r="Q2580" s="37">
        <v>1.0</v>
      </c>
      <c r="S2580" s="37" t="str">
        <f>IFERROR(__xludf.DUMMYFUNCTION("if(not(iserror(index(split(C2580, "" ""),2))), index(split(C2580, "" ""),1),"""")"),"May")</f>
        <v>May</v>
      </c>
      <c r="T2580" s="38">
        <f>IFERROR(__xludf.DUMMYFUNCTION("if(S2580="""",C2580,if(not(iserror(index(split(C2580, "" ""),3))), index(split(C2580, "" ""),3),index(split(C2580, "" ""),2)))"),2019.0)</f>
        <v>2019</v>
      </c>
      <c r="U2580" s="38" t="b">
        <f>countif(A$4:A4658, A2580)&gt;1</f>
        <v>0</v>
      </c>
      <c r="V2580" s="78" t="s">
        <v>33</v>
      </c>
      <c r="W2580" s="106"/>
      <c r="X2580" s="106"/>
      <c r="Y2580" s="102"/>
    </row>
    <row r="2581">
      <c r="A2581" s="87" t="s">
        <v>6902</v>
      </c>
      <c r="B2581" s="248"/>
      <c r="C2581" s="99">
        <v>43597.0</v>
      </c>
      <c r="E2581" s="78" t="s">
        <v>41</v>
      </c>
      <c r="F2581" s="37">
        <v>1.0</v>
      </c>
      <c r="G2581" s="37" t="s">
        <v>32</v>
      </c>
      <c r="H2581" s="78">
        <v>1.0</v>
      </c>
      <c r="I2581" s="78" t="s">
        <v>33</v>
      </c>
      <c r="J2581" s="78" t="s">
        <v>268</v>
      </c>
      <c r="L2581" s="78" t="s">
        <v>76</v>
      </c>
      <c r="M2581" s="46" t="s">
        <v>6903</v>
      </c>
      <c r="N2581" s="106"/>
      <c r="P2581" s="78"/>
      <c r="Q2581" s="37"/>
      <c r="S2581" s="37"/>
      <c r="T2581" s="38"/>
      <c r="U2581" s="38"/>
      <c r="V2581" s="78" t="s">
        <v>33</v>
      </c>
      <c r="W2581" s="106"/>
      <c r="X2581" s="106"/>
      <c r="Y2581" s="102"/>
    </row>
    <row r="2582">
      <c r="A2582" s="87" t="s">
        <v>6904</v>
      </c>
      <c r="B2582" s="248"/>
      <c r="C2582" s="99">
        <v>43598.0</v>
      </c>
      <c r="E2582" s="78" t="s">
        <v>41</v>
      </c>
      <c r="F2582" s="37">
        <v>1.0</v>
      </c>
      <c r="G2582" s="37" t="s">
        <v>32</v>
      </c>
      <c r="H2582" s="78">
        <v>1.0</v>
      </c>
      <c r="I2582" s="78" t="s">
        <v>33</v>
      </c>
      <c r="J2582" s="78" t="s">
        <v>93</v>
      </c>
      <c r="L2582" s="78" t="s">
        <v>76</v>
      </c>
      <c r="M2582" s="106" t="s">
        <v>6905</v>
      </c>
      <c r="N2582" s="106"/>
      <c r="O2582" s="160" t="str">
        <f>hyperlink("https://bad-boys.us/?q=WD-NY/1:19-cr-00073", "WD-NY 1:19-cr-00073")</f>
        <v>WD-NY 1:19-cr-00073</v>
      </c>
      <c r="P2582" s="78"/>
      <c r="Q2582" s="37">
        <v>1.0</v>
      </c>
      <c r="S2582" s="37" t="str">
        <f>IFERROR(__xludf.DUMMYFUNCTION("if(not(iserror(index(split(C2582, "" ""),2))), index(split(C2582, "" ""),1),"""")"),"May")</f>
        <v>May</v>
      </c>
      <c r="T2582" s="38">
        <f>IFERROR(__xludf.DUMMYFUNCTION("if(S2582="""",C2582,if(not(iserror(index(split(C2582, "" ""),3))), index(split(C2582, "" ""),3),index(split(C2582, "" ""),2)))"),2019.0)</f>
        <v>2019</v>
      </c>
      <c r="U2582" s="38" t="b">
        <f t="shared" ref="U2582:U2585" si="379">countif(A$4:A4658, A2582)&gt;1</f>
        <v>0</v>
      </c>
      <c r="V2582" s="78" t="s">
        <v>33</v>
      </c>
      <c r="W2582" s="106"/>
      <c r="X2582" s="106"/>
      <c r="Y2582" s="102"/>
    </row>
    <row r="2583">
      <c r="A2583" s="87" t="s">
        <v>6906</v>
      </c>
      <c r="B2583" s="248"/>
      <c r="C2583" s="99">
        <v>43598.0</v>
      </c>
      <c r="E2583" s="78" t="s">
        <v>41</v>
      </c>
      <c r="F2583" s="37">
        <v>1.0</v>
      </c>
      <c r="G2583" s="37" t="s">
        <v>32</v>
      </c>
      <c r="H2583" s="78">
        <v>1.0</v>
      </c>
      <c r="I2583" s="78" t="s">
        <v>33</v>
      </c>
      <c r="J2583" s="78" t="s">
        <v>93</v>
      </c>
      <c r="L2583" s="78" t="s">
        <v>119</v>
      </c>
      <c r="M2583" s="106" t="s">
        <v>6907</v>
      </c>
      <c r="N2583" s="106"/>
      <c r="O2583" s="160" t="str">
        <f>hyperlink("https://bad-boys.us/?q=ND-NY/1:19-cr-00157", "ND-NY 1:19-cr-00157")</f>
        <v>ND-NY 1:19-cr-00157</v>
      </c>
      <c r="P2583" s="103" t="s">
        <v>6908</v>
      </c>
      <c r="Q2583" s="37">
        <v>1.0</v>
      </c>
      <c r="S2583" s="37" t="str">
        <f>IFERROR(__xludf.DUMMYFUNCTION("if(not(iserror(index(split(C2583, "" ""),2))), index(split(C2583, "" ""),1),"""")"),"May")</f>
        <v>May</v>
      </c>
      <c r="T2583" s="38">
        <f>IFERROR(__xludf.DUMMYFUNCTION("if(S2583="""",C2583,if(not(iserror(index(split(C2583, "" ""),3))), index(split(C2583, "" ""),3),index(split(C2583, "" ""),2)))"),2019.0)</f>
        <v>2019</v>
      </c>
      <c r="U2583" s="38" t="b">
        <f t="shared" si="379"/>
        <v>0</v>
      </c>
      <c r="V2583" s="78" t="s">
        <v>33</v>
      </c>
      <c r="W2583" s="106"/>
      <c r="X2583" s="106"/>
      <c r="Y2583" s="102"/>
    </row>
    <row r="2584">
      <c r="A2584" s="87" t="s">
        <v>6909</v>
      </c>
      <c r="B2584" s="248"/>
      <c r="C2584" s="99">
        <v>43599.0</v>
      </c>
      <c r="E2584" s="78" t="s">
        <v>41</v>
      </c>
      <c r="F2584" s="37">
        <v>1.0</v>
      </c>
      <c r="G2584" s="37" t="s">
        <v>32</v>
      </c>
      <c r="H2584" s="78">
        <v>1.0</v>
      </c>
      <c r="I2584" s="78" t="s">
        <v>33</v>
      </c>
      <c r="J2584" s="78" t="s">
        <v>93</v>
      </c>
      <c r="L2584" s="78" t="s">
        <v>119</v>
      </c>
      <c r="M2584" s="46" t="s">
        <v>6910</v>
      </c>
      <c r="N2584" s="106"/>
      <c r="O2584" s="160" t="str">
        <f>hyperlink("https://bad-boys.us/?q=WD-NY/1:19-cr-00018", "WD-NY 1:19-cr-00018")</f>
        <v>WD-NY 1:19-cr-00018</v>
      </c>
      <c r="P2584" s="78"/>
      <c r="Q2584" s="37">
        <v>1.0</v>
      </c>
      <c r="S2584" s="37" t="str">
        <f>IFERROR(__xludf.DUMMYFUNCTION("if(not(iserror(index(split(C2584, "" ""),2))), index(split(C2584, "" ""),1),"""")"),"May")</f>
        <v>May</v>
      </c>
      <c r="T2584" s="38">
        <f>IFERROR(__xludf.DUMMYFUNCTION("if(S2584="""",C2584,if(not(iserror(index(split(C2584, "" ""),3))), index(split(C2584, "" ""),3),index(split(C2584, "" ""),2)))"),2019.0)</f>
        <v>2019</v>
      </c>
      <c r="U2584" s="38" t="b">
        <f t="shared" si="379"/>
        <v>0</v>
      </c>
      <c r="V2584" s="78"/>
      <c r="W2584" s="106"/>
      <c r="X2584" s="106"/>
      <c r="Y2584" s="102"/>
    </row>
    <row r="2585">
      <c r="A2585" s="87" t="s">
        <v>6911</v>
      </c>
      <c r="B2585" s="248"/>
      <c r="C2585" s="99">
        <v>43599.0</v>
      </c>
      <c r="E2585" s="78" t="s">
        <v>41</v>
      </c>
      <c r="F2585" s="37">
        <v>1.0</v>
      </c>
      <c r="G2585" s="37" t="s">
        <v>32</v>
      </c>
      <c r="H2585" s="78">
        <v>1.0</v>
      </c>
      <c r="I2585" s="78" t="s">
        <v>33</v>
      </c>
      <c r="J2585" s="78" t="s">
        <v>106</v>
      </c>
      <c r="L2585" s="78" t="s">
        <v>69</v>
      </c>
      <c r="M2585" s="46" t="s">
        <v>6912</v>
      </c>
      <c r="N2585" s="106"/>
      <c r="O2585" s="160" t="str">
        <f>hyperlink("https://bad-boys.us/?q=D-MD/1:19-cr-00245", "D-MD 1:19-cr-00245")</f>
        <v>D-MD 1:19-cr-00245</v>
      </c>
      <c r="P2585" s="103" t="s">
        <v>6913</v>
      </c>
      <c r="Q2585" s="37">
        <v>1.0</v>
      </c>
      <c r="S2585" s="37"/>
      <c r="T2585" s="38"/>
      <c r="U2585" s="38" t="b">
        <f t="shared" si="379"/>
        <v>0</v>
      </c>
      <c r="V2585" s="78" t="s">
        <v>33</v>
      </c>
      <c r="W2585" s="106"/>
      <c r="X2585" s="106"/>
      <c r="Y2585" s="102"/>
    </row>
    <row r="2586">
      <c r="A2586" s="87" t="s">
        <v>6914</v>
      </c>
      <c r="B2586" s="248"/>
      <c r="C2586" s="99">
        <v>43599.0</v>
      </c>
      <c r="E2586" s="78" t="s">
        <v>41</v>
      </c>
      <c r="F2586" s="37">
        <v>1.0</v>
      </c>
      <c r="G2586" s="37" t="s">
        <v>32</v>
      </c>
      <c r="H2586" s="78">
        <v>1.0</v>
      </c>
      <c r="I2586" s="78" t="s">
        <v>33</v>
      </c>
      <c r="J2586" s="78" t="s">
        <v>203</v>
      </c>
      <c r="L2586" s="78" t="s">
        <v>76</v>
      </c>
      <c r="M2586" s="106" t="s">
        <v>6915</v>
      </c>
      <c r="N2586" s="106"/>
      <c r="P2586" s="78"/>
      <c r="Q2586" s="37">
        <v>1.0</v>
      </c>
      <c r="S2586" s="37"/>
      <c r="T2586" s="38"/>
      <c r="U2586" s="38"/>
      <c r="V2586" s="78" t="s">
        <v>33</v>
      </c>
      <c r="W2586" s="106"/>
      <c r="X2586" s="106"/>
      <c r="Y2586" s="102"/>
    </row>
    <row r="2587">
      <c r="A2587" s="87" t="s">
        <v>6916</v>
      </c>
      <c r="B2587" s="248"/>
      <c r="C2587" s="99">
        <v>43600.0</v>
      </c>
      <c r="E2587" s="78" t="s">
        <v>41</v>
      </c>
      <c r="F2587" s="37">
        <v>1.0</v>
      </c>
      <c r="G2587" s="37" t="s">
        <v>32</v>
      </c>
      <c r="H2587" s="78">
        <v>1.0</v>
      </c>
      <c r="I2587" s="78" t="s">
        <v>33</v>
      </c>
      <c r="J2587" s="78" t="s">
        <v>147</v>
      </c>
      <c r="L2587" s="78" t="s">
        <v>76</v>
      </c>
      <c r="M2587" s="287" t="s">
        <v>6917</v>
      </c>
      <c r="N2587" s="106"/>
      <c r="O2587" s="160" t="str">
        <f>hyperlink("https://bad-boys.us/?q=WD-TX/5:19-cr-00348", "WD-TX 5:19-cr-00348")</f>
        <v>WD-TX 5:19-cr-00348</v>
      </c>
      <c r="P2587" s="103" t="s">
        <v>6918</v>
      </c>
      <c r="Q2587" s="37">
        <v>1.0</v>
      </c>
      <c r="S2587" s="37"/>
      <c r="T2587" s="38"/>
      <c r="U2587" s="38" t="b">
        <f t="shared" ref="U2587:U2589" si="380">countif(A$4:A4658, A2587)&gt;1</f>
        <v>0</v>
      </c>
      <c r="V2587" s="78" t="s">
        <v>33</v>
      </c>
      <c r="W2587" s="106"/>
      <c r="X2587" s="106"/>
      <c r="Y2587" s="102"/>
    </row>
    <row r="2588">
      <c r="A2588" s="87" t="s">
        <v>6919</v>
      </c>
      <c r="B2588" s="248"/>
      <c r="C2588" s="99">
        <v>43600.0</v>
      </c>
      <c r="E2588" s="78" t="s">
        <v>41</v>
      </c>
      <c r="F2588" s="37">
        <v>1.0</v>
      </c>
      <c r="G2588" s="37" t="s">
        <v>32</v>
      </c>
      <c r="H2588" s="78">
        <v>1.0</v>
      </c>
      <c r="I2588" s="78" t="s">
        <v>33</v>
      </c>
      <c r="J2588" s="78" t="s">
        <v>222</v>
      </c>
      <c r="L2588" s="78" t="s">
        <v>76</v>
      </c>
      <c r="M2588" s="106" t="s">
        <v>6920</v>
      </c>
      <c r="N2588" s="106"/>
      <c r="O2588" s="160" t="str">
        <f>hyperlink("https://bad-boys.us/?q=WD-WI/3:19-cr-00062", "WD-WI 3:19-cr-00062")</f>
        <v>WD-WI 3:19-cr-00062</v>
      </c>
      <c r="P2588" s="103" t="s">
        <v>6921</v>
      </c>
      <c r="Q2588" s="37">
        <v>1.0</v>
      </c>
      <c r="S2588" s="37" t="str">
        <f>IFERROR(__xludf.DUMMYFUNCTION("if(not(iserror(index(split(C2588, "" ""),2))), index(split(C2588, "" ""),1),"""")"),"May")</f>
        <v>May</v>
      </c>
      <c r="T2588" s="38">
        <f>IFERROR(__xludf.DUMMYFUNCTION("if(S2588="""",C2588,if(not(iserror(index(split(C2588, "" ""),3))), index(split(C2588, "" ""),3),index(split(C2588, "" ""),2)))"),2019.0)</f>
        <v>2019</v>
      </c>
      <c r="U2588" s="38" t="b">
        <f t="shared" si="380"/>
        <v>0</v>
      </c>
      <c r="V2588" s="78" t="s">
        <v>33</v>
      </c>
      <c r="W2588" s="106"/>
      <c r="X2588" s="106"/>
      <c r="Y2588" s="102"/>
    </row>
    <row r="2589">
      <c r="A2589" s="87" t="s">
        <v>6922</v>
      </c>
      <c r="B2589" s="248"/>
      <c r="C2589" s="99">
        <v>43601.0</v>
      </c>
      <c r="E2589" s="78" t="s">
        <v>41</v>
      </c>
      <c r="F2589" s="37">
        <v>1.0</v>
      </c>
      <c r="G2589" s="37" t="s">
        <v>32</v>
      </c>
      <c r="H2589" s="78">
        <v>1.0</v>
      </c>
      <c r="I2589" s="78" t="s">
        <v>33</v>
      </c>
      <c r="J2589" s="78" t="s">
        <v>93</v>
      </c>
      <c r="L2589" s="78" t="s">
        <v>119</v>
      </c>
      <c r="M2589" s="46" t="s">
        <v>6923</v>
      </c>
      <c r="N2589" s="106"/>
      <c r="O2589" s="160" t="str">
        <f>hyperlink("https://bad-boys.us/?q=WD-NY/1:19-cr-00002", "WD-NY 1:19-cr-00002")</f>
        <v>WD-NY 1:19-cr-00002</v>
      </c>
      <c r="P2589" s="78"/>
      <c r="Q2589" s="37">
        <v>1.0</v>
      </c>
      <c r="S2589" s="37"/>
      <c r="T2589" s="38"/>
      <c r="U2589" s="38" t="b">
        <f t="shared" si="380"/>
        <v>0</v>
      </c>
      <c r="V2589" s="78" t="s">
        <v>33</v>
      </c>
      <c r="W2589" s="106"/>
      <c r="X2589" s="106"/>
      <c r="Y2589" s="102"/>
    </row>
    <row r="2590">
      <c r="A2590" s="87" t="s">
        <v>6924</v>
      </c>
      <c r="B2590" s="248"/>
      <c r="C2590" s="99">
        <v>43601.0</v>
      </c>
      <c r="E2590" s="78" t="s">
        <v>41</v>
      </c>
      <c r="F2590" s="37">
        <v>1.0</v>
      </c>
      <c r="G2590" s="37" t="s">
        <v>32</v>
      </c>
      <c r="H2590" s="78">
        <v>1.0</v>
      </c>
      <c r="I2590" s="78" t="s">
        <v>33</v>
      </c>
      <c r="J2590" s="78" t="s">
        <v>460</v>
      </c>
      <c r="L2590" s="78" t="s">
        <v>119</v>
      </c>
      <c r="M2590" s="106" t="s">
        <v>6925</v>
      </c>
      <c r="N2590" s="106"/>
      <c r="P2590" s="78"/>
      <c r="Q2590" s="37">
        <v>1.0</v>
      </c>
      <c r="S2590" s="37"/>
      <c r="T2590" s="38"/>
      <c r="U2590" s="38"/>
      <c r="V2590" s="78" t="s">
        <v>33</v>
      </c>
      <c r="W2590" s="106"/>
      <c r="X2590" s="106"/>
      <c r="Y2590" s="102"/>
    </row>
    <row r="2591">
      <c r="A2591" s="87" t="s">
        <v>6926</v>
      </c>
      <c r="B2591" s="248"/>
      <c r="C2591" s="99">
        <v>43601.0</v>
      </c>
      <c r="E2591" s="78" t="s">
        <v>41</v>
      </c>
      <c r="F2591" s="37">
        <v>1.0</v>
      </c>
      <c r="G2591" s="37" t="s">
        <v>32</v>
      </c>
      <c r="H2591" s="78">
        <v>1.0</v>
      </c>
      <c r="I2591" s="78" t="s">
        <v>33</v>
      </c>
      <c r="J2591" s="78" t="s">
        <v>98</v>
      </c>
      <c r="L2591" s="78" t="s">
        <v>119</v>
      </c>
      <c r="M2591" s="46" t="s">
        <v>6927</v>
      </c>
      <c r="N2591" s="106"/>
      <c r="P2591" s="78"/>
      <c r="Q2591" s="37"/>
      <c r="S2591" s="37"/>
      <c r="T2591" s="38"/>
      <c r="U2591" s="38"/>
      <c r="V2591" s="78" t="s">
        <v>33</v>
      </c>
      <c r="W2591" s="106"/>
      <c r="X2591" s="106"/>
      <c r="Y2591" s="102"/>
    </row>
    <row r="2592">
      <c r="A2592" s="87" t="s">
        <v>6928</v>
      </c>
      <c r="B2592" s="248"/>
      <c r="C2592" s="99">
        <v>43602.0</v>
      </c>
      <c r="E2592" s="78" t="s">
        <v>41</v>
      </c>
      <c r="F2592" s="37">
        <v>1.0</v>
      </c>
      <c r="G2592" s="37" t="s">
        <v>32</v>
      </c>
      <c r="H2592" s="78">
        <v>1.0</v>
      </c>
      <c r="I2592" s="78" t="s">
        <v>33</v>
      </c>
      <c r="J2592" s="78" t="s">
        <v>413</v>
      </c>
      <c r="L2592" s="78" t="s">
        <v>6929</v>
      </c>
      <c r="M2592" s="106" t="s">
        <v>6930</v>
      </c>
      <c r="N2592" s="46" t="s">
        <v>6931</v>
      </c>
      <c r="P2592" s="78"/>
      <c r="Q2592" s="37">
        <v>1.0</v>
      </c>
      <c r="S2592" s="37"/>
      <c r="T2592" s="38"/>
      <c r="U2592" s="38"/>
      <c r="V2592" s="78" t="s">
        <v>33</v>
      </c>
      <c r="W2592" s="46" t="s">
        <v>6932</v>
      </c>
      <c r="X2592" s="106"/>
      <c r="Y2592" s="102"/>
    </row>
    <row r="2593">
      <c r="A2593" s="87" t="s">
        <v>6933</v>
      </c>
      <c r="B2593" s="248"/>
      <c r="C2593" s="99">
        <v>43605.0</v>
      </c>
      <c r="E2593" s="78" t="s">
        <v>41</v>
      </c>
      <c r="F2593" s="37">
        <v>1.0</v>
      </c>
      <c r="G2593" s="37" t="s">
        <v>32</v>
      </c>
      <c r="H2593" s="78">
        <v>1.0</v>
      </c>
      <c r="I2593" s="78" t="s">
        <v>33</v>
      </c>
      <c r="J2593" s="78" t="s">
        <v>147</v>
      </c>
      <c r="L2593" s="78" t="s">
        <v>6469</v>
      </c>
      <c r="M2593" s="46" t="s">
        <v>6934</v>
      </c>
      <c r="N2593" s="106"/>
      <c r="P2593" s="78"/>
      <c r="Q2593" s="37"/>
      <c r="S2593" s="37"/>
      <c r="T2593" s="38"/>
      <c r="U2593" s="38" t="b">
        <f t="shared" ref="U2593:U2594" si="381">countif(A$4:A4658, A2593)&gt;1</f>
        <v>0</v>
      </c>
      <c r="V2593" s="78" t="s">
        <v>33</v>
      </c>
      <c r="W2593" s="106"/>
      <c r="X2593" s="106"/>
      <c r="Y2593" s="102"/>
    </row>
    <row r="2594">
      <c r="A2594" s="87" t="s">
        <v>6935</v>
      </c>
      <c r="B2594" s="248"/>
      <c r="C2594" s="99">
        <v>43606.0</v>
      </c>
      <c r="E2594" s="78" t="s">
        <v>41</v>
      </c>
      <c r="F2594" s="37">
        <v>1.0</v>
      </c>
      <c r="G2594" s="37" t="s">
        <v>32</v>
      </c>
      <c r="H2594" s="78">
        <v>1.0</v>
      </c>
      <c r="I2594" s="78" t="s">
        <v>33</v>
      </c>
      <c r="J2594" s="78" t="s">
        <v>504</v>
      </c>
      <c r="L2594" s="78" t="s">
        <v>69</v>
      </c>
      <c r="M2594" s="46" t="s">
        <v>6936</v>
      </c>
      <c r="N2594" s="106"/>
      <c r="O2594" s="160" t="str">
        <f>hyperlink("https://bad-boys.us/?q=D-CO/1:19-cr-00244", "D-CO 1:19-cr-00244")</f>
        <v>D-CO 1:19-cr-00244</v>
      </c>
      <c r="P2594" s="78"/>
      <c r="Q2594" s="37">
        <v>1.0</v>
      </c>
      <c r="S2594" s="37"/>
      <c r="T2594" s="38"/>
      <c r="U2594" s="38" t="b">
        <f t="shared" si="381"/>
        <v>0</v>
      </c>
      <c r="V2594" s="78" t="s">
        <v>33</v>
      </c>
      <c r="W2594" s="106"/>
      <c r="X2594" s="106"/>
      <c r="Y2594" s="102"/>
    </row>
    <row r="2595">
      <c r="A2595" s="87" t="s">
        <v>6937</v>
      </c>
      <c r="B2595" s="248"/>
      <c r="C2595" s="99">
        <v>43607.0</v>
      </c>
      <c r="E2595" s="78" t="s">
        <v>41</v>
      </c>
      <c r="F2595" s="37">
        <v>1.0</v>
      </c>
      <c r="G2595" s="37" t="s">
        <v>32</v>
      </c>
      <c r="H2595" s="78">
        <v>1.0</v>
      </c>
      <c r="I2595" s="78" t="s">
        <v>33</v>
      </c>
      <c r="J2595" s="78" t="s">
        <v>279</v>
      </c>
      <c r="L2595" s="78" t="s">
        <v>119</v>
      </c>
      <c r="M2595" s="46" t="s">
        <v>6938</v>
      </c>
      <c r="N2595" s="106"/>
      <c r="P2595" s="78"/>
      <c r="Q2595" s="37"/>
      <c r="S2595" s="37"/>
      <c r="T2595" s="38"/>
      <c r="U2595" s="38"/>
      <c r="V2595" s="78" t="s">
        <v>33</v>
      </c>
      <c r="W2595" s="106"/>
      <c r="X2595" s="106"/>
      <c r="Y2595" s="102"/>
    </row>
    <row r="2596">
      <c r="A2596" s="87" t="s">
        <v>6939</v>
      </c>
      <c r="B2596" s="248"/>
      <c r="C2596" s="99">
        <v>43607.0</v>
      </c>
      <c r="E2596" s="78" t="s">
        <v>41</v>
      </c>
      <c r="F2596" s="37">
        <v>1.0</v>
      </c>
      <c r="G2596" s="37" t="s">
        <v>32</v>
      </c>
      <c r="H2596" s="78">
        <v>1.0</v>
      </c>
      <c r="I2596" s="78" t="s">
        <v>33</v>
      </c>
      <c r="J2596" s="78" t="s">
        <v>433</v>
      </c>
      <c r="L2596" s="78" t="s">
        <v>119</v>
      </c>
      <c r="M2596" s="46" t="s">
        <v>6940</v>
      </c>
      <c r="N2596" s="106"/>
      <c r="P2596" s="78"/>
      <c r="Q2596" s="37"/>
      <c r="S2596" s="37"/>
      <c r="T2596" s="38"/>
      <c r="U2596" s="38"/>
      <c r="V2596" s="78" t="s">
        <v>33</v>
      </c>
      <c r="W2596" s="106"/>
      <c r="X2596" s="106"/>
      <c r="Y2596" s="102"/>
    </row>
    <row r="2597">
      <c r="A2597" s="87" t="s">
        <v>6941</v>
      </c>
      <c r="B2597" s="248"/>
      <c r="C2597" s="99">
        <v>43607.0</v>
      </c>
      <c r="E2597" s="78" t="s">
        <v>41</v>
      </c>
      <c r="F2597" s="37">
        <v>1.0</v>
      </c>
      <c r="G2597" s="37" t="s">
        <v>32</v>
      </c>
      <c r="H2597" s="78">
        <v>1.0</v>
      </c>
      <c r="I2597" s="78" t="s">
        <v>33</v>
      </c>
      <c r="J2597" s="78" t="s">
        <v>89</v>
      </c>
      <c r="L2597" s="78" t="s">
        <v>6942</v>
      </c>
      <c r="M2597" s="46" t="s">
        <v>6943</v>
      </c>
      <c r="N2597" s="106"/>
      <c r="P2597" s="78"/>
      <c r="Q2597" s="37"/>
      <c r="S2597" s="37"/>
      <c r="T2597" s="38"/>
      <c r="U2597" s="38"/>
      <c r="V2597" s="78" t="s">
        <v>33</v>
      </c>
      <c r="W2597" s="106"/>
      <c r="X2597" s="106"/>
      <c r="Y2597" s="102"/>
    </row>
    <row r="2598">
      <c r="A2598" s="87" t="s">
        <v>6944</v>
      </c>
      <c r="B2598" s="248"/>
      <c r="C2598" s="99">
        <v>43609.0</v>
      </c>
      <c r="E2598" s="78" t="s">
        <v>41</v>
      </c>
      <c r="F2598" s="37">
        <v>1.0</v>
      </c>
      <c r="G2598" s="37" t="s">
        <v>32</v>
      </c>
      <c r="H2598" s="78">
        <v>1.0</v>
      </c>
      <c r="I2598" s="78" t="s">
        <v>33</v>
      </c>
      <c r="J2598" s="78" t="s">
        <v>2315</v>
      </c>
      <c r="L2598" s="78" t="s">
        <v>76</v>
      </c>
      <c r="M2598" s="46" t="s">
        <v>5901</v>
      </c>
      <c r="N2598" s="106"/>
      <c r="O2598" s="160" t="str">
        <f>hyperlink("https://bad-boys.us/?q=D-WY/2:19-cr-00077", "D-WY 2:19-cr-00077")</f>
        <v>D-WY 2:19-cr-00077</v>
      </c>
      <c r="P2598" s="103" t="s">
        <v>6945</v>
      </c>
      <c r="Q2598" s="37">
        <v>1.0</v>
      </c>
      <c r="S2598" s="37"/>
      <c r="T2598" s="38"/>
      <c r="U2598" s="38" t="b">
        <f>countif(A$4:A4658, A2598)&gt;1</f>
        <v>0</v>
      </c>
      <c r="V2598" s="78" t="s">
        <v>33</v>
      </c>
      <c r="W2598" s="106"/>
      <c r="X2598" s="106"/>
      <c r="Y2598" s="102"/>
    </row>
    <row r="2599">
      <c r="A2599" s="87" t="s">
        <v>6946</v>
      </c>
      <c r="B2599" s="248"/>
      <c r="C2599" s="99">
        <v>43609.0</v>
      </c>
      <c r="E2599" s="78" t="s">
        <v>31</v>
      </c>
      <c r="F2599" s="37">
        <v>1.0</v>
      </c>
      <c r="G2599" s="37">
        <v>1.0</v>
      </c>
      <c r="H2599" s="78">
        <v>1.0</v>
      </c>
      <c r="I2599" s="78" t="s">
        <v>33</v>
      </c>
      <c r="J2599" s="78" t="s">
        <v>61</v>
      </c>
      <c r="L2599" s="78" t="s">
        <v>119</v>
      </c>
      <c r="M2599" s="46" t="s">
        <v>6947</v>
      </c>
      <c r="N2599" s="46" t="s">
        <v>6948</v>
      </c>
      <c r="P2599" s="78"/>
      <c r="Q2599" s="37"/>
      <c r="S2599" s="37"/>
      <c r="T2599" s="38"/>
      <c r="U2599" s="38"/>
      <c r="V2599" s="78" t="s">
        <v>33</v>
      </c>
      <c r="W2599" s="46" t="s">
        <v>6949</v>
      </c>
      <c r="X2599" s="46" t="s">
        <v>6950</v>
      </c>
      <c r="Y2599" s="102"/>
    </row>
    <row r="2600">
      <c r="A2600" s="87" t="s">
        <v>6951</v>
      </c>
      <c r="B2600" s="248"/>
      <c r="C2600" s="99">
        <v>43613.0</v>
      </c>
      <c r="E2600" s="78" t="s">
        <v>41</v>
      </c>
      <c r="F2600" s="37">
        <v>1.0</v>
      </c>
      <c r="G2600" s="37" t="s">
        <v>32</v>
      </c>
      <c r="H2600" s="78">
        <v>1.0</v>
      </c>
      <c r="I2600" s="78" t="s">
        <v>33</v>
      </c>
      <c r="J2600" s="78" t="s">
        <v>2315</v>
      </c>
      <c r="L2600" s="78" t="s">
        <v>69</v>
      </c>
      <c r="M2600" s="46" t="s">
        <v>6952</v>
      </c>
      <c r="N2600" s="106"/>
      <c r="P2600" s="78"/>
      <c r="Q2600" s="37"/>
      <c r="S2600" s="37"/>
      <c r="T2600" s="38"/>
      <c r="U2600" s="38"/>
      <c r="V2600" s="78" t="s">
        <v>33</v>
      </c>
      <c r="W2600" s="106"/>
      <c r="X2600" s="106"/>
      <c r="Y2600" s="102"/>
    </row>
    <row r="2601">
      <c r="A2601" s="87" t="s">
        <v>6953</v>
      </c>
      <c r="B2601" s="248"/>
      <c r="C2601" s="99">
        <v>43613.0</v>
      </c>
      <c r="E2601" s="78" t="s">
        <v>41</v>
      </c>
      <c r="F2601" s="37">
        <v>1.0</v>
      </c>
      <c r="G2601" s="37" t="s">
        <v>32</v>
      </c>
      <c r="H2601" s="78">
        <v>3.0</v>
      </c>
      <c r="I2601" s="78" t="s">
        <v>33</v>
      </c>
      <c r="J2601" s="78" t="s">
        <v>115</v>
      </c>
      <c r="L2601" s="78" t="s">
        <v>790</v>
      </c>
      <c r="M2601" s="106" t="s">
        <v>6954</v>
      </c>
      <c r="N2601" s="46" t="s">
        <v>6955</v>
      </c>
      <c r="O2601" s="160" t="str">
        <f>hyperlink("https://bad-boys.us/?q=ED-PA/2:19-cr-00302", "ED-PA 2:19-cr-00302")</f>
        <v>ED-PA 2:19-cr-00302</v>
      </c>
      <c r="P2601" s="103" t="s">
        <v>6956</v>
      </c>
      <c r="Q2601" s="37">
        <v>1.0</v>
      </c>
      <c r="S2601" s="37" t="str">
        <f>IFERROR(__xludf.DUMMYFUNCTION("if(not(iserror(index(split(C2601, "" ""),2))), index(split(C2601, "" ""),1),"""")"),"May")</f>
        <v>May</v>
      </c>
      <c r="T2601" s="38">
        <f>IFERROR(__xludf.DUMMYFUNCTION("if(S2601="""",C2601,if(not(iserror(index(split(C2601, "" ""),3))), index(split(C2601, "" ""),3),index(split(C2601, "" ""),2)))"),2019.0)</f>
        <v>2019</v>
      </c>
      <c r="U2601" s="38" t="b">
        <f t="shared" ref="U2601:U2602" si="382">countif(A$4:A4658, A2601)&gt;1</f>
        <v>0</v>
      </c>
      <c r="V2601" s="78" t="s">
        <v>33</v>
      </c>
      <c r="W2601" s="46" t="s">
        <v>6957</v>
      </c>
      <c r="X2601" s="46" t="s">
        <v>6958</v>
      </c>
      <c r="Y2601" s="102"/>
    </row>
    <row r="2602">
      <c r="A2602" s="87" t="s">
        <v>6959</v>
      </c>
      <c r="B2602" s="248"/>
      <c r="C2602" s="99">
        <v>43614.0</v>
      </c>
      <c r="E2602" s="78" t="s">
        <v>31</v>
      </c>
      <c r="F2602" s="37">
        <v>1.0</v>
      </c>
      <c r="G2602" s="37" t="s">
        <v>32</v>
      </c>
      <c r="H2602" s="78">
        <v>1.0</v>
      </c>
      <c r="I2602" s="78" t="s">
        <v>33</v>
      </c>
      <c r="J2602" s="78" t="s">
        <v>93</v>
      </c>
      <c r="L2602" s="78" t="s">
        <v>76</v>
      </c>
      <c r="M2602" s="106" t="s">
        <v>6960</v>
      </c>
      <c r="N2602" s="46" t="s">
        <v>6961</v>
      </c>
      <c r="O2602" s="160" t="str">
        <f>hyperlink("https://bad-boys.us/?q=WD-NY/6:19-mj-00630", "WD-NY 6:19-mj-00630")</f>
        <v>WD-NY 6:19-mj-00630</v>
      </c>
      <c r="P2602" s="78"/>
      <c r="Q2602" s="37">
        <v>1.0</v>
      </c>
      <c r="S2602" s="37"/>
      <c r="T2602" s="38"/>
      <c r="U2602" s="38" t="b">
        <f t="shared" si="382"/>
        <v>0</v>
      </c>
      <c r="V2602" s="78" t="s">
        <v>33</v>
      </c>
      <c r="W2602" s="46" t="s">
        <v>6962</v>
      </c>
      <c r="X2602" s="46" t="s">
        <v>6963</v>
      </c>
      <c r="Y2602" s="102"/>
    </row>
    <row r="2603">
      <c r="A2603" s="87" t="s">
        <v>6964</v>
      </c>
      <c r="B2603" s="248"/>
      <c r="C2603" s="99">
        <v>43614.0</v>
      </c>
      <c r="E2603" s="78" t="s">
        <v>41</v>
      </c>
      <c r="F2603" s="37">
        <v>1.0</v>
      </c>
      <c r="G2603" s="37" t="s">
        <v>32</v>
      </c>
      <c r="H2603" s="78">
        <v>1.0</v>
      </c>
      <c r="I2603" s="78" t="s">
        <v>33</v>
      </c>
      <c r="J2603" s="78" t="s">
        <v>162</v>
      </c>
      <c r="L2603" s="78" t="s">
        <v>119</v>
      </c>
      <c r="M2603" s="46" t="s">
        <v>6965</v>
      </c>
      <c r="N2603" s="106"/>
      <c r="P2603" s="78"/>
      <c r="Q2603" s="37">
        <v>1.0</v>
      </c>
      <c r="S2603" s="37"/>
      <c r="T2603" s="38"/>
      <c r="U2603" s="38"/>
      <c r="V2603" s="78" t="s">
        <v>33</v>
      </c>
      <c r="W2603" s="106"/>
      <c r="X2603" s="106"/>
      <c r="Y2603" s="102"/>
    </row>
    <row r="2604">
      <c r="A2604" s="87" t="s">
        <v>6966</v>
      </c>
      <c r="B2604" s="248"/>
      <c r="C2604" s="99">
        <v>43525.0</v>
      </c>
      <c r="E2604" s="78" t="s">
        <v>41</v>
      </c>
      <c r="F2604" s="37">
        <v>1.0</v>
      </c>
      <c r="G2604" s="37" t="s">
        <v>32</v>
      </c>
      <c r="H2604" s="78">
        <v>2.0</v>
      </c>
      <c r="I2604" s="78" t="s">
        <v>33</v>
      </c>
      <c r="J2604" s="78" t="s">
        <v>279</v>
      </c>
      <c r="L2604" s="78" t="s">
        <v>76</v>
      </c>
      <c r="M2604" s="46" t="s">
        <v>6967</v>
      </c>
      <c r="N2604" s="288"/>
      <c r="P2604" s="78"/>
      <c r="Q2604" s="37">
        <v>1.0</v>
      </c>
      <c r="S2604" s="37"/>
      <c r="T2604" s="38"/>
      <c r="U2604" s="38"/>
      <c r="V2604" s="78" t="s">
        <v>33</v>
      </c>
      <c r="W2604" s="288"/>
      <c r="X2604" s="288"/>
      <c r="Y2604" s="102"/>
    </row>
    <row r="2605">
      <c r="A2605" s="87" t="s">
        <v>6968</v>
      </c>
      <c r="B2605" s="248"/>
      <c r="C2605" s="99">
        <v>43614.0</v>
      </c>
      <c r="E2605" s="78" t="s">
        <v>41</v>
      </c>
      <c r="F2605" s="37">
        <v>1.0</v>
      </c>
      <c r="G2605" s="37" t="s">
        <v>32</v>
      </c>
      <c r="H2605" s="78">
        <v>1.0</v>
      </c>
      <c r="I2605" s="78" t="s">
        <v>33</v>
      </c>
      <c r="J2605" s="78" t="s">
        <v>124</v>
      </c>
      <c r="L2605" s="78" t="s">
        <v>119</v>
      </c>
      <c r="M2605" s="46" t="s">
        <v>6969</v>
      </c>
      <c r="N2605" s="106"/>
      <c r="P2605" s="78"/>
      <c r="Q2605" s="37"/>
      <c r="S2605" s="37"/>
      <c r="T2605" s="38"/>
      <c r="U2605" s="38"/>
      <c r="V2605" s="78" t="s">
        <v>33</v>
      </c>
      <c r="W2605" s="106"/>
      <c r="X2605" s="106"/>
      <c r="Y2605" s="102"/>
    </row>
    <row r="2606">
      <c r="A2606" s="87" t="s">
        <v>6970</v>
      </c>
      <c r="B2606" s="248"/>
      <c r="C2606" s="99">
        <v>43981.0</v>
      </c>
      <c r="E2606" s="78" t="s">
        <v>41</v>
      </c>
      <c r="F2606" s="37">
        <v>1.0</v>
      </c>
      <c r="G2606" s="37">
        <v>1.0</v>
      </c>
      <c r="H2606" s="78">
        <v>1.0</v>
      </c>
      <c r="I2606" s="78" t="s">
        <v>33</v>
      </c>
      <c r="J2606" s="78" t="s">
        <v>318</v>
      </c>
      <c r="L2606" s="78" t="s">
        <v>76</v>
      </c>
      <c r="M2606" s="46" t="s">
        <v>6971</v>
      </c>
      <c r="N2606" s="106"/>
      <c r="Q2606" s="37">
        <v>1.0</v>
      </c>
      <c r="S2606" s="37"/>
      <c r="T2606" s="38"/>
      <c r="U2606" s="38"/>
      <c r="V2606" s="78" t="s">
        <v>33</v>
      </c>
      <c r="W2606" s="106"/>
      <c r="X2606" s="106"/>
      <c r="Y2606" s="102"/>
    </row>
    <row r="2607">
      <c r="A2607" s="87" t="s">
        <v>6972</v>
      </c>
      <c r="B2607" s="248"/>
      <c r="C2607" s="99">
        <v>43616.0</v>
      </c>
      <c r="E2607" s="78" t="s">
        <v>31</v>
      </c>
      <c r="F2607" s="37">
        <v>1.0</v>
      </c>
      <c r="G2607" s="37" t="s">
        <v>32</v>
      </c>
      <c r="H2607" s="78">
        <v>1.0</v>
      </c>
      <c r="I2607" s="78" t="s">
        <v>33</v>
      </c>
      <c r="J2607" s="78" t="s">
        <v>115</v>
      </c>
      <c r="L2607" s="78" t="s">
        <v>6973</v>
      </c>
      <c r="M2607" s="296" t="s">
        <v>6974</v>
      </c>
      <c r="N2607" s="46" t="s">
        <v>6975</v>
      </c>
      <c r="Q2607" s="37">
        <v>1.0</v>
      </c>
      <c r="S2607" s="37" t="str">
        <f>IFERROR(__xludf.DUMMYFUNCTION("if(not(iserror(index(split(C2607, "" ""),2))), index(split(C2607, "" ""),1),"""")"),"May")</f>
        <v>May</v>
      </c>
      <c r="T2607" s="38">
        <f>IFERROR(__xludf.DUMMYFUNCTION("if(S2607="""",C2607,if(not(iserror(index(split(C2607, "" ""),3))), index(split(C2607, "" ""),3),index(split(C2607, "" ""),2)))"),2019.0)</f>
        <v>2019</v>
      </c>
      <c r="U2607" s="38" t="b">
        <f>countif(A$4:A4658, A2607)&gt;1</f>
        <v>0</v>
      </c>
      <c r="V2607" s="78" t="s">
        <v>1488</v>
      </c>
      <c r="W2607" s="46" t="s">
        <v>6976</v>
      </c>
      <c r="X2607" s="282" t="s">
        <v>6977</v>
      </c>
      <c r="Y2607" s="102"/>
    </row>
    <row r="2608">
      <c r="A2608" s="87" t="s">
        <v>6978</v>
      </c>
      <c r="B2608" s="248"/>
      <c r="C2608" s="100">
        <v>43617.0</v>
      </c>
      <c r="E2608" s="78" t="s">
        <v>41</v>
      </c>
      <c r="F2608" s="37">
        <v>1.0</v>
      </c>
      <c r="G2608" s="37" t="s">
        <v>32</v>
      </c>
      <c r="H2608" s="78">
        <v>1.0</v>
      </c>
      <c r="I2608" s="78" t="s">
        <v>33</v>
      </c>
      <c r="J2608" s="78" t="s">
        <v>460</v>
      </c>
      <c r="L2608" s="78" t="s">
        <v>119</v>
      </c>
      <c r="M2608" s="46" t="s">
        <v>6979</v>
      </c>
      <c r="N2608" s="106"/>
      <c r="Q2608" s="37"/>
      <c r="S2608" s="37"/>
      <c r="T2608" s="38"/>
      <c r="U2608" s="38"/>
      <c r="V2608" s="78" t="s">
        <v>33</v>
      </c>
      <c r="W2608" s="106"/>
      <c r="X2608" s="106"/>
      <c r="Y2608" s="102"/>
    </row>
    <row r="2609">
      <c r="A2609" s="87" t="s">
        <v>6980</v>
      </c>
      <c r="B2609" s="248"/>
      <c r="C2609" s="99">
        <v>43617.0</v>
      </c>
      <c r="E2609" s="78" t="s">
        <v>41</v>
      </c>
      <c r="F2609" s="37">
        <v>1.0</v>
      </c>
      <c r="G2609" s="37" t="s">
        <v>32</v>
      </c>
      <c r="H2609" s="78">
        <v>1.0</v>
      </c>
      <c r="I2609" s="78" t="s">
        <v>33</v>
      </c>
      <c r="J2609" s="78" t="s">
        <v>144</v>
      </c>
      <c r="L2609" s="78" t="s">
        <v>76</v>
      </c>
      <c r="M2609" s="46" t="s">
        <v>6981</v>
      </c>
      <c r="N2609" s="106"/>
      <c r="Q2609" s="37"/>
      <c r="S2609" s="37"/>
      <c r="T2609" s="38"/>
      <c r="U2609" s="38"/>
      <c r="V2609" s="78" t="s">
        <v>33</v>
      </c>
      <c r="W2609" s="106"/>
      <c r="X2609" s="106"/>
      <c r="Y2609" s="102"/>
    </row>
    <row r="2610">
      <c r="A2610" s="87" t="s">
        <v>6982</v>
      </c>
      <c r="B2610" s="248"/>
      <c r="C2610" s="99">
        <v>43617.0</v>
      </c>
      <c r="E2610" s="78" t="s">
        <v>41</v>
      </c>
      <c r="F2610" s="37">
        <v>1.0</v>
      </c>
      <c r="G2610" s="37" t="s">
        <v>32</v>
      </c>
      <c r="H2610" s="78">
        <v>1.0</v>
      </c>
      <c r="I2610" s="78" t="s">
        <v>33</v>
      </c>
      <c r="J2610" s="78" t="s">
        <v>93</v>
      </c>
      <c r="L2610" s="78" t="s">
        <v>119</v>
      </c>
      <c r="M2610" s="46" t="s">
        <v>6983</v>
      </c>
      <c r="N2610" s="106"/>
      <c r="Q2610" s="37"/>
      <c r="S2610" s="37"/>
      <c r="T2610" s="38"/>
      <c r="U2610" s="38"/>
      <c r="V2610" s="78" t="s">
        <v>33</v>
      </c>
      <c r="W2610" s="106"/>
      <c r="X2610" s="106"/>
      <c r="Y2610" s="102"/>
    </row>
    <row r="2611">
      <c r="A2611" s="87" t="s">
        <v>6984</v>
      </c>
      <c r="B2611" s="248"/>
      <c r="C2611" s="99">
        <v>43617.0</v>
      </c>
      <c r="E2611" s="78" t="s">
        <v>41</v>
      </c>
      <c r="F2611" s="37">
        <v>1.0</v>
      </c>
      <c r="G2611" s="37" t="s">
        <v>32</v>
      </c>
      <c r="H2611" s="78">
        <v>1.0</v>
      </c>
      <c r="I2611" s="78" t="s">
        <v>33</v>
      </c>
      <c r="J2611" s="78" t="s">
        <v>147</v>
      </c>
      <c r="L2611" s="78" t="s">
        <v>119</v>
      </c>
      <c r="M2611" s="46" t="s">
        <v>6985</v>
      </c>
      <c r="N2611" s="106"/>
      <c r="Q2611" s="37"/>
      <c r="S2611" s="37"/>
      <c r="T2611" s="38"/>
      <c r="U2611" s="38"/>
      <c r="V2611" s="78" t="s">
        <v>33</v>
      </c>
      <c r="W2611" s="106"/>
      <c r="X2611" s="106"/>
      <c r="Y2611" s="102"/>
    </row>
    <row r="2612">
      <c r="A2612" s="87" t="s">
        <v>6986</v>
      </c>
      <c r="B2612" s="248"/>
      <c r="C2612" s="99">
        <v>43617.0</v>
      </c>
      <c r="E2612" s="78" t="s">
        <v>41</v>
      </c>
      <c r="F2612" s="37">
        <v>1.0</v>
      </c>
      <c r="G2612" s="37" t="s">
        <v>32</v>
      </c>
      <c r="H2612" s="78">
        <v>1.0</v>
      </c>
      <c r="I2612" s="78" t="s">
        <v>33</v>
      </c>
      <c r="J2612" s="78" t="s">
        <v>318</v>
      </c>
      <c r="L2612" s="78" t="s">
        <v>119</v>
      </c>
      <c r="M2612" s="46" t="s">
        <v>6987</v>
      </c>
      <c r="N2612" s="106"/>
      <c r="Q2612" s="37"/>
      <c r="S2612" s="37"/>
      <c r="T2612" s="38"/>
      <c r="U2612" s="38" t="b">
        <f t="shared" ref="U2612:U2614" si="383">countif(A$4:A4658, A2612)&gt;1</f>
        <v>0</v>
      </c>
      <c r="V2612" s="78" t="s">
        <v>33</v>
      </c>
      <c r="W2612" s="106"/>
      <c r="X2612" s="106"/>
      <c r="Y2612" s="102"/>
    </row>
    <row r="2613">
      <c r="A2613" s="87" t="s">
        <v>6988</v>
      </c>
      <c r="B2613" s="248"/>
      <c r="C2613" s="100">
        <v>43617.0</v>
      </c>
      <c r="E2613" s="78" t="s">
        <v>31</v>
      </c>
      <c r="F2613" s="37">
        <v>1.0</v>
      </c>
      <c r="G2613" s="37" t="s">
        <v>32</v>
      </c>
      <c r="H2613" s="78">
        <v>1.0</v>
      </c>
      <c r="I2613" s="78" t="s">
        <v>33</v>
      </c>
      <c r="J2613" s="78" t="s">
        <v>147</v>
      </c>
      <c r="L2613" s="78" t="s">
        <v>76</v>
      </c>
      <c r="M2613" s="46" t="s">
        <v>6989</v>
      </c>
      <c r="N2613" s="46" t="s">
        <v>6990</v>
      </c>
      <c r="O2613" s="160" t="str">
        <f>hyperlink("https://bad-boys.us/?q=WD-TX/7:19-cr-00134", "WD-TX 7:19-cr-00134")</f>
        <v>WD-TX 7:19-cr-00134</v>
      </c>
      <c r="Q2613" s="37">
        <v>1.0</v>
      </c>
      <c r="R2613" s="78"/>
      <c r="S2613" s="37" t="str">
        <f>IFERROR(__xludf.DUMMYFUNCTION("if(not(iserror(index(split(C2613, "" ""),2))), index(split(C2613, "" ""),1),"""")"),"June,")</f>
        <v>June,</v>
      </c>
      <c r="T2613" s="38">
        <f>IFERROR(__xludf.DUMMYFUNCTION("if(S2613="""",C2613,if(not(iserror(index(split(C2613, "" ""),3))), index(split(C2613, "" ""),3),index(split(C2613, "" ""),2)))"),2019.0)</f>
        <v>2019</v>
      </c>
      <c r="U2613" s="38" t="b">
        <f t="shared" si="383"/>
        <v>0</v>
      </c>
      <c r="V2613" s="78" t="s">
        <v>33</v>
      </c>
      <c r="W2613" s="46" t="s">
        <v>6991</v>
      </c>
      <c r="X2613" s="46" t="s">
        <v>6992</v>
      </c>
      <c r="Y2613" s="102"/>
    </row>
    <row r="2614">
      <c r="A2614" s="87" t="s">
        <v>6993</v>
      </c>
      <c r="B2614" s="248"/>
      <c r="C2614" s="99">
        <v>43619.0</v>
      </c>
      <c r="E2614" s="78" t="s">
        <v>41</v>
      </c>
      <c r="F2614" s="37">
        <v>1.0</v>
      </c>
      <c r="G2614" s="37">
        <v>11.0</v>
      </c>
      <c r="H2614" s="78">
        <v>1.0</v>
      </c>
      <c r="I2614" s="78" t="s">
        <v>33</v>
      </c>
      <c r="J2614" s="78" t="s">
        <v>115</v>
      </c>
      <c r="L2614" s="78" t="s">
        <v>76</v>
      </c>
      <c r="M2614" s="106" t="s">
        <v>6994</v>
      </c>
      <c r="N2614" s="106"/>
      <c r="O2614" s="160" t="str">
        <f>hyperlink("https://bad-boys.us/?q=ED-PA/2:19-cr-00312", "ED-PA 2:19-cr-00312")</f>
        <v>ED-PA 2:19-cr-00312</v>
      </c>
      <c r="Q2614" s="37">
        <v>1.0</v>
      </c>
      <c r="R2614" s="78"/>
      <c r="S2614" s="37"/>
      <c r="T2614" s="38"/>
      <c r="U2614" s="38" t="b">
        <f t="shared" si="383"/>
        <v>0</v>
      </c>
      <c r="V2614" s="78" t="s">
        <v>33</v>
      </c>
      <c r="W2614" s="106"/>
      <c r="X2614" s="106"/>
      <c r="Y2614" s="102"/>
    </row>
    <row r="2615">
      <c r="A2615" s="87" t="s">
        <v>6995</v>
      </c>
      <c r="B2615" s="248"/>
      <c r="C2615" s="99">
        <v>43619.0</v>
      </c>
      <c r="E2615" s="78" t="s">
        <v>41</v>
      </c>
      <c r="F2615" s="37">
        <v>1.0</v>
      </c>
      <c r="G2615" s="37" t="s">
        <v>32</v>
      </c>
      <c r="H2615" s="78">
        <v>1.0</v>
      </c>
      <c r="I2615" s="78" t="s">
        <v>33</v>
      </c>
      <c r="J2615" s="78" t="s">
        <v>75</v>
      </c>
      <c r="L2615" s="78" t="s">
        <v>119</v>
      </c>
      <c r="M2615" s="106" t="s">
        <v>6996</v>
      </c>
      <c r="N2615" s="106"/>
      <c r="O2615" s="160" t="str">
        <f>hyperlink("https://bad-boys.us/?q=WD-KY/1:19-cr-00021", "WD-KY 1:19-cr-00021")</f>
        <v>WD-KY 1:19-cr-00021</v>
      </c>
      <c r="P2615" s="103" t="s">
        <v>6997</v>
      </c>
      <c r="Q2615" s="37">
        <v>1.0</v>
      </c>
      <c r="R2615" s="78"/>
      <c r="S2615" s="37"/>
      <c r="T2615" s="38"/>
      <c r="U2615" s="38"/>
      <c r="V2615" s="78" t="s">
        <v>33</v>
      </c>
      <c r="W2615" s="106"/>
      <c r="X2615" s="106"/>
      <c r="Y2615" s="102"/>
    </row>
    <row r="2616">
      <c r="A2616" s="87" t="s">
        <v>6998</v>
      </c>
      <c r="B2616" s="248"/>
      <c r="C2616" s="99">
        <v>43620.0</v>
      </c>
      <c r="E2616" s="78" t="s">
        <v>41</v>
      </c>
      <c r="F2616" s="37">
        <v>1.0</v>
      </c>
      <c r="G2616" s="37" t="s">
        <v>32</v>
      </c>
      <c r="H2616" s="78">
        <v>1.0</v>
      </c>
      <c r="I2616" s="78" t="s">
        <v>33</v>
      </c>
      <c r="J2616" s="78" t="s">
        <v>98</v>
      </c>
      <c r="L2616" s="78" t="s">
        <v>76</v>
      </c>
      <c r="M2616" s="46" t="s">
        <v>6184</v>
      </c>
      <c r="N2616" s="106"/>
      <c r="O2616" s="160" t="str">
        <f>hyperlink("https://bad-boys.us/?q=SD-GA/4:19-cr-00036", "SD-GA 4:19-cr-00036 ❓")</f>
        <v>SD-GA 4:19-cr-00036 ❓</v>
      </c>
      <c r="Q2616" s="37">
        <v>1.0</v>
      </c>
      <c r="R2616" s="78"/>
      <c r="S2616" s="37"/>
      <c r="T2616" s="38"/>
      <c r="U2616" s="38" t="b">
        <f t="shared" ref="U2616:U2617" si="384">countif(A$4:A4658, A2616)&gt;1</f>
        <v>0</v>
      </c>
      <c r="V2616" s="78" t="s">
        <v>33</v>
      </c>
      <c r="W2616" s="106"/>
      <c r="X2616" s="106"/>
      <c r="Y2616" s="102"/>
    </row>
    <row r="2617">
      <c r="A2617" s="87" t="s">
        <v>6312</v>
      </c>
      <c r="B2617" s="248"/>
      <c r="C2617" s="99">
        <v>43620.0</v>
      </c>
      <c r="E2617" s="78" t="s">
        <v>41</v>
      </c>
      <c r="F2617" s="37">
        <v>1.0</v>
      </c>
      <c r="G2617" s="37" t="s">
        <v>32</v>
      </c>
      <c r="H2617" s="78">
        <v>1.0</v>
      </c>
      <c r="I2617" s="78" t="s">
        <v>33</v>
      </c>
      <c r="J2617" s="78" t="s">
        <v>115</v>
      </c>
      <c r="L2617" s="78" t="s">
        <v>119</v>
      </c>
      <c r="M2617" s="46" t="s">
        <v>6999</v>
      </c>
      <c r="N2617" s="106"/>
      <c r="O2617" s="160" t="str">
        <f>hyperlink("https://bad-boys.us/?q=MD-PA/3:19-cr-00178", "MD-PA 3:19-cr-00178")</f>
        <v>MD-PA 3:19-cr-00178</v>
      </c>
      <c r="Q2617" s="37">
        <v>1.0</v>
      </c>
      <c r="R2617" s="78"/>
      <c r="S2617" s="37"/>
      <c r="T2617" s="38"/>
      <c r="U2617" s="38" t="b">
        <f t="shared" si="384"/>
        <v>1</v>
      </c>
      <c r="V2617" s="78" t="s">
        <v>33</v>
      </c>
      <c r="W2617" s="106"/>
      <c r="X2617" s="106"/>
      <c r="Y2617" s="102"/>
    </row>
    <row r="2618">
      <c r="A2618" s="87" t="s">
        <v>7000</v>
      </c>
      <c r="B2618" s="248"/>
      <c r="C2618" s="99">
        <v>43620.0</v>
      </c>
      <c r="E2618" s="78" t="s">
        <v>41</v>
      </c>
      <c r="F2618" s="37">
        <v>1.0</v>
      </c>
      <c r="G2618" s="37" t="s">
        <v>32</v>
      </c>
      <c r="H2618" s="78">
        <v>1.0</v>
      </c>
      <c r="I2618" s="78" t="s">
        <v>33</v>
      </c>
      <c r="J2618" s="78" t="s">
        <v>93</v>
      </c>
      <c r="L2618" s="78" t="s">
        <v>76</v>
      </c>
      <c r="M2618" s="46" t="s">
        <v>7001</v>
      </c>
      <c r="N2618" s="106"/>
      <c r="Q2618" s="37">
        <v>1.0</v>
      </c>
      <c r="R2618" s="78"/>
      <c r="S2618" s="37"/>
      <c r="T2618" s="38"/>
      <c r="U2618" s="38"/>
      <c r="V2618" s="78" t="s">
        <v>33</v>
      </c>
      <c r="W2618" s="106"/>
      <c r="X2618" s="106"/>
      <c r="Y2618" s="102"/>
    </row>
    <row r="2619">
      <c r="A2619" s="87" t="s">
        <v>7002</v>
      </c>
      <c r="B2619" s="248"/>
      <c r="C2619" s="99">
        <v>43620.0</v>
      </c>
      <c r="E2619" s="78" t="s">
        <v>41</v>
      </c>
      <c r="F2619" s="37">
        <v>1.0</v>
      </c>
      <c r="G2619" s="37" t="s">
        <v>32</v>
      </c>
      <c r="H2619" s="78">
        <v>1.0</v>
      </c>
      <c r="I2619" s="78" t="s">
        <v>33</v>
      </c>
      <c r="J2619" s="78" t="s">
        <v>93</v>
      </c>
      <c r="L2619" s="78" t="s">
        <v>119</v>
      </c>
      <c r="M2619" s="106" t="s">
        <v>7003</v>
      </c>
      <c r="N2619" s="106"/>
      <c r="Q2619" s="37">
        <v>1.0</v>
      </c>
      <c r="R2619" s="78"/>
      <c r="S2619" s="37"/>
      <c r="T2619" s="38"/>
      <c r="U2619" s="38"/>
      <c r="V2619" s="78" t="s">
        <v>33</v>
      </c>
      <c r="W2619" s="106"/>
      <c r="X2619" s="106"/>
      <c r="Y2619" s="102"/>
    </row>
    <row r="2620">
      <c r="A2620" s="87" t="s">
        <v>7004</v>
      </c>
      <c r="B2620" s="248"/>
      <c r="C2620" s="99">
        <v>43621.0</v>
      </c>
      <c r="E2620" s="78" t="s">
        <v>41</v>
      </c>
      <c r="F2620" s="37">
        <v>1.0</v>
      </c>
      <c r="G2620" s="37">
        <v>4.0</v>
      </c>
      <c r="H2620" s="78">
        <v>4.0</v>
      </c>
      <c r="I2620" s="78" t="s">
        <v>33</v>
      </c>
      <c r="J2620" s="78" t="s">
        <v>147</v>
      </c>
      <c r="L2620" s="78" t="s">
        <v>69</v>
      </c>
      <c r="M2620" s="46" t="s">
        <v>7005</v>
      </c>
      <c r="N2620" s="106"/>
      <c r="Q2620" s="37"/>
      <c r="R2620" s="78"/>
      <c r="S2620" s="37"/>
      <c r="T2620" s="38"/>
      <c r="U2620" s="38"/>
      <c r="V2620" s="78" t="s">
        <v>33</v>
      </c>
      <c r="W2620" s="106"/>
      <c r="X2620" s="106"/>
      <c r="Y2620" s="102"/>
    </row>
    <row r="2621">
      <c r="A2621" s="87" t="s">
        <v>7006</v>
      </c>
      <c r="B2621" s="248"/>
      <c r="C2621" s="99">
        <v>43621.0</v>
      </c>
      <c r="E2621" s="78" t="s">
        <v>41</v>
      </c>
      <c r="F2621" s="37">
        <v>1.0</v>
      </c>
      <c r="G2621" s="37" t="s">
        <v>32</v>
      </c>
      <c r="H2621" s="78">
        <v>1.0</v>
      </c>
      <c r="I2621" s="78" t="s">
        <v>33</v>
      </c>
      <c r="J2621" s="78" t="s">
        <v>514</v>
      </c>
      <c r="L2621" s="78" t="s">
        <v>69</v>
      </c>
      <c r="M2621" s="46" t="s">
        <v>7007</v>
      </c>
      <c r="N2621" s="106"/>
      <c r="Q2621" s="37">
        <v>1.0</v>
      </c>
      <c r="R2621" s="78"/>
      <c r="S2621" s="37"/>
      <c r="T2621" s="38"/>
      <c r="U2621" s="38"/>
      <c r="V2621" s="78" t="s">
        <v>33</v>
      </c>
      <c r="W2621" s="106"/>
      <c r="X2621" s="106"/>
      <c r="Y2621" s="102"/>
    </row>
    <row r="2622">
      <c r="A2622" s="87" t="s">
        <v>7008</v>
      </c>
      <c r="B2622" s="248"/>
      <c r="C2622" s="99">
        <v>43622.0</v>
      </c>
      <c r="E2622" s="78" t="s">
        <v>41</v>
      </c>
      <c r="F2622" s="37">
        <v>1.0</v>
      </c>
      <c r="G2622" s="37">
        <v>2.0</v>
      </c>
      <c r="H2622" s="78">
        <v>2.0</v>
      </c>
      <c r="I2622" s="78" t="s">
        <v>33</v>
      </c>
      <c r="J2622" s="78" t="s">
        <v>47</v>
      </c>
      <c r="L2622" s="78" t="s">
        <v>646</v>
      </c>
      <c r="M2622" s="106" t="s">
        <v>7009</v>
      </c>
      <c r="N2622" s="106"/>
      <c r="O2622" s="160" t="str">
        <f>hyperlink("https://bad-boys.us/?q=MD-FL/8:19-cr-00272", "MD-FL 8:19-cr-00272")</f>
        <v>MD-FL 8:19-cr-00272</v>
      </c>
      <c r="Q2622" s="37">
        <v>1.0</v>
      </c>
      <c r="R2622" s="78"/>
      <c r="S2622" s="37"/>
      <c r="T2622" s="38"/>
      <c r="U2622" s="38"/>
      <c r="V2622" s="78" t="s">
        <v>33</v>
      </c>
      <c r="W2622" s="106"/>
      <c r="X2622" s="106"/>
      <c r="Y2622" s="102"/>
    </row>
    <row r="2623">
      <c r="A2623" s="87" t="s">
        <v>7010</v>
      </c>
      <c r="B2623" s="248"/>
      <c r="C2623" s="99">
        <v>43623.0</v>
      </c>
      <c r="E2623" s="78" t="s">
        <v>41</v>
      </c>
      <c r="F2623" s="37">
        <v>1.0</v>
      </c>
      <c r="G2623" s="37" t="s">
        <v>32</v>
      </c>
      <c r="H2623" s="78">
        <v>1.0</v>
      </c>
      <c r="I2623" s="78" t="s">
        <v>33</v>
      </c>
      <c r="J2623" s="78" t="s">
        <v>283</v>
      </c>
      <c r="L2623" s="78" t="s">
        <v>790</v>
      </c>
      <c r="M2623" s="106" t="s">
        <v>7011</v>
      </c>
      <c r="N2623" s="106"/>
      <c r="Q2623" s="37"/>
      <c r="R2623" s="78"/>
      <c r="S2623" s="37"/>
      <c r="T2623" s="38"/>
      <c r="U2623" s="38"/>
      <c r="V2623" s="78" t="s">
        <v>7012</v>
      </c>
      <c r="W2623" s="106"/>
      <c r="X2623" s="106"/>
      <c r="Y2623" s="102"/>
    </row>
    <row r="2624">
      <c r="A2624" s="87" t="s">
        <v>7013</v>
      </c>
      <c r="B2624" s="248"/>
      <c r="C2624" s="99">
        <v>43623.0</v>
      </c>
      <c r="E2624" s="78" t="s">
        <v>41</v>
      </c>
      <c r="F2624" s="37">
        <v>1.0</v>
      </c>
      <c r="G2624" s="37">
        <v>1.0</v>
      </c>
      <c r="H2624" s="78">
        <v>1.0</v>
      </c>
      <c r="I2624" s="78" t="s">
        <v>33</v>
      </c>
      <c r="J2624" s="78" t="s">
        <v>318</v>
      </c>
      <c r="L2624" s="78" t="s">
        <v>76</v>
      </c>
      <c r="M2624" s="106" t="s">
        <v>7014</v>
      </c>
      <c r="N2624" s="106"/>
      <c r="Q2624" s="37"/>
      <c r="R2624" s="78"/>
      <c r="S2624" s="37"/>
      <c r="T2624" s="38"/>
      <c r="U2624" s="38"/>
      <c r="V2624" s="78" t="s">
        <v>33</v>
      </c>
      <c r="W2624" s="106"/>
      <c r="X2624" s="106"/>
      <c r="Y2624" s="102"/>
    </row>
    <row r="2625">
      <c r="A2625" s="87" t="s">
        <v>7015</v>
      </c>
      <c r="B2625" s="248"/>
      <c r="C2625" s="99">
        <v>43626.0</v>
      </c>
      <c r="E2625" s="78" t="s">
        <v>41</v>
      </c>
      <c r="F2625" s="37">
        <v>1.0</v>
      </c>
      <c r="G2625" s="37" t="s">
        <v>32</v>
      </c>
      <c r="H2625" s="78">
        <v>1.0</v>
      </c>
      <c r="I2625" s="78" t="s">
        <v>33</v>
      </c>
      <c r="J2625" s="78" t="s">
        <v>460</v>
      </c>
      <c r="L2625" s="78" t="s">
        <v>76</v>
      </c>
      <c r="M2625" s="46" t="s">
        <v>7016</v>
      </c>
      <c r="N2625" s="106"/>
      <c r="Q2625" s="37">
        <v>1.0</v>
      </c>
      <c r="R2625" s="78"/>
      <c r="S2625" s="37"/>
      <c r="T2625" s="38"/>
      <c r="U2625" s="38"/>
      <c r="V2625" s="78" t="s">
        <v>33</v>
      </c>
      <c r="W2625" s="106"/>
      <c r="X2625" s="106"/>
      <c r="Y2625" s="102"/>
    </row>
    <row r="2626">
      <c r="A2626" s="87" t="s">
        <v>7017</v>
      </c>
      <c r="B2626" s="248"/>
      <c r="C2626" s="99">
        <v>43627.0</v>
      </c>
      <c r="E2626" s="78" t="s">
        <v>41</v>
      </c>
      <c r="F2626" s="37">
        <v>1.0</v>
      </c>
      <c r="G2626" s="37" t="s">
        <v>32</v>
      </c>
      <c r="H2626" s="78">
        <v>1.0</v>
      </c>
      <c r="I2626" s="78" t="s">
        <v>33</v>
      </c>
      <c r="J2626" s="78" t="s">
        <v>184</v>
      </c>
      <c r="L2626" s="78" t="s">
        <v>76</v>
      </c>
      <c r="M2626" s="106" t="s">
        <v>7018</v>
      </c>
      <c r="N2626" s="106"/>
      <c r="O2626" s="160" t="str">
        <f>hyperlink("https://bad-boys.us/?q=CD-IL/2:19-cr-20048", "CD-IL 2:19-cr-20048")</f>
        <v>CD-IL 2:19-cr-20048</v>
      </c>
      <c r="Q2626" s="37">
        <v>1.0</v>
      </c>
      <c r="R2626" s="78"/>
      <c r="S2626" s="37"/>
      <c r="T2626" s="38"/>
      <c r="U2626" s="38"/>
      <c r="V2626" s="78" t="s">
        <v>33</v>
      </c>
      <c r="W2626" s="106"/>
      <c r="X2626" s="106"/>
      <c r="Y2626" s="102"/>
    </row>
    <row r="2627">
      <c r="A2627" s="87" t="s">
        <v>7019</v>
      </c>
      <c r="B2627" s="248"/>
      <c r="C2627" s="99">
        <v>43627.0</v>
      </c>
      <c r="E2627" s="78" t="s">
        <v>41</v>
      </c>
      <c r="F2627" s="37">
        <v>1.0</v>
      </c>
      <c r="G2627" s="37" t="s">
        <v>32</v>
      </c>
      <c r="H2627" s="78">
        <v>1.0</v>
      </c>
      <c r="I2627" s="78" t="s">
        <v>33</v>
      </c>
      <c r="J2627" s="78" t="s">
        <v>47</v>
      </c>
      <c r="L2627" s="78" t="s">
        <v>76</v>
      </c>
      <c r="M2627" s="282" t="s">
        <v>7020</v>
      </c>
      <c r="N2627" s="106"/>
      <c r="Q2627" s="37"/>
      <c r="R2627" s="78"/>
      <c r="S2627" s="37"/>
      <c r="T2627" s="38"/>
      <c r="U2627" s="38"/>
      <c r="V2627" s="78" t="s">
        <v>33</v>
      </c>
      <c r="W2627" s="106"/>
      <c r="X2627" s="106"/>
      <c r="Y2627" s="102"/>
    </row>
    <row r="2628">
      <c r="A2628" s="87" t="s">
        <v>7021</v>
      </c>
      <c r="B2628" s="248"/>
      <c r="C2628" s="99">
        <v>43628.0</v>
      </c>
      <c r="E2628" s="78" t="s">
        <v>41</v>
      </c>
      <c r="F2628" s="37">
        <v>1.0</v>
      </c>
      <c r="G2628" s="37" t="s">
        <v>32</v>
      </c>
      <c r="H2628" s="78">
        <v>1.0</v>
      </c>
      <c r="I2628" s="78" t="s">
        <v>33</v>
      </c>
      <c r="J2628" s="78" t="s">
        <v>402</v>
      </c>
      <c r="L2628" s="78" t="s">
        <v>119</v>
      </c>
      <c r="M2628" s="282" t="s">
        <v>7022</v>
      </c>
      <c r="N2628" s="106"/>
      <c r="Q2628" s="37">
        <v>1.0</v>
      </c>
      <c r="R2628" s="78"/>
      <c r="S2628" s="37"/>
      <c r="T2628" s="38"/>
      <c r="U2628" s="38"/>
      <c r="V2628" s="78" t="s">
        <v>33</v>
      </c>
      <c r="W2628" s="106"/>
      <c r="X2628" s="106"/>
      <c r="Y2628" s="102"/>
    </row>
    <row r="2629">
      <c r="A2629" s="87" t="s">
        <v>7023</v>
      </c>
      <c r="B2629" s="248"/>
      <c r="C2629" s="99">
        <v>43635.0</v>
      </c>
      <c r="E2629" s="78" t="s">
        <v>31</v>
      </c>
      <c r="F2629" s="37">
        <v>1.0</v>
      </c>
      <c r="G2629" s="37" t="s">
        <v>32</v>
      </c>
      <c r="H2629" s="78">
        <v>1.0</v>
      </c>
      <c r="I2629" s="78" t="s">
        <v>33</v>
      </c>
      <c r="J2629" s="78" t="s">
        <v>410</v>
      </c>
      <c r="L2629" s="78" t="s">
        <v>69</v>
      </c>
      <c r="M2629" s="282" t="s">
        <v>7024</v>
      </c>
      <c r="N2629" s="46" t="s">
        <v>7025</v>
      </c>
      <c r="Q2629" s="37">
        <v>1.0</v>
      </c>
      <c r="R2629" s="78"/>
      <c r="S2629" s="37"/>
      <c r="T2629" s="38"/>
      <c r="U2629" s="38"/>
      <c r="V2629" s="78" t="s">
        <v>33</v>
      </c>
      <c r="W2629" s="46" t="s">
        <v>7026</v>
      </c>
      <c r="X2629" s="46" t="s">
        <v>7027</v>
      </c>
      <c r="Y2629" s="102"/>
    </row>
    <row r="2630">
      <c r="A2630" s="87" t="s">
        <v>7028</v>
      </c>
      <c r="B2630" s="248"/>
      <c r="C2630" s="99">
        <v>43635.0</v>
      </c>
      <c r="E2630" s="78" t="s">
        <v>31</v>
      </c>
      <c r="F2630" s="37">
        <v>1.0</v>
      </c>
      <c r="G2630" s="37">
        <v>1.0</v>
      </c>
      <c r="H2630" s="78">
        <v>1.0</v>
      </c>
      <c r="I2630" s="78" t="s">
        <v>33</v>
      </c>
      <c r="J2630" s="78" t="s">
        <v>61</v>
      </c>
      <c r="L2630" s="78" t="s">
        <v>76</v>
      </c>
      <c r="M2630" s="282" t="s">
        <v>6947</v>
      </c>
      <c r="N2630" s="46" t="s">
        <v>7029</v>
      </c>
      <c r="Q2630" s="37"/>
      <c r="R2630" s="78"/>
      <c r="S2630" s="37"/>
      <c r="T2630" s="38"/>
      <c r="U2630" s="38"/>
      <c r="V2630" s="78" t="s">
        <v>33</v>
      </c>
      <c r="W2630" s="46" t="s">
        <v>7030</v>
      </c>
      <c r="X2630" s="46" t="s">
        <v>7031</v>
      </c>
      <c r="Y2630" s="102"/>
    </row>
    <row r="2631">
      <c r="A2631" s="87" t="s">
        <v>7032</v>
      </c>
      <c r="B2631" s="248"/>
      <c r="C2631" s="99">
        <v>43635.0</v>
      </c>
      <c r="E2631" s="78" t="s">
        <v>41</v>
      </c>
      <c r="F2631" s="37">
        <v>1.0</v>
      </c>
      <c r="G2631" s="37" t="s">
        <v>32</v>
      </c>
      <c r="H2631" s="78">
        <v>1.0</v>
      </c>
      <c r="I2631" s="78" t="s">
        <v>33</v>
      </c>
      <c r="J2631" s="78" t="s">
        <v>47</v>
      </c>
      <c r="L2631" s="78" t="s">
        <v>119</v>
      </c>
      <c r="M2631" s="282" t="s">
        <v>7033</v>
      </c>
      <c r="N2631" s="106"/>
      <c r="Q2631" s="37"/>
      <c r="R2631" s="78"/>
      <c r="S2631" s="37"/>
      <c r="T2631" s="38"/>
      <c r="U2631" s="38"/>
      <c r="V2631" s="78" t="s">
        <v>33</v>
      </c>
      <c r="W2631" s="106"/>
      <c r="X2631" s="106"/>
      <c r="Y2631" s="102"/>
    </row>
    <row r="2632">
      <c r="A2632" s="87" t="s">
        <v>7034</v>
      </c>
      <c r="B2632" s="248"/>
      <c r="C2632" s="99">
        <v>43635.0</v>
      </c>
      <c r="E2632" s="78" t="s">
        <v>41</v>
      </c>
      <c r="F2632" s="37">
        <v>1.0</v>
      </c>
      <c r="G2632" s="37" t="s">
        <v>32</v>
      </c>
      <c r="H2632" s="78">
        <v>1.0</v>
      </c>
      <c r="I2632" s="78" t="s">
        <v>33</v>
      </c>
      <c r="J2632" s="78" t="s">
        <v>402</v>
      </c>
      <c r="L2632" s="78" t="s">
        <v>76</v>
      </c>
      <c r="M2632" s="282" t="s">
        <v>7035</v>
      </c>
      <c r="N2632" s="106"/>
      <c r="Q2632" s="37">
        <v>1.0</v>
      </c>
      <c r="R2632" s="78"/>
      <c r="S2632" s="37"/>
      <c r="T2632" s="38"/>
      <c r="U2632" s="38"/>
      <c r="V2632" s="78" t="s">
        <v>33</v>
      </c>
      <c r="W2632" s="106"/>
      <c r="X2632" s="106"/>
      <c r="Y2632" s="102"/>
    </row>
    <row r="2633">
      <c r="A2633" s="87" t="s">
        <v>7036</v>
      </c>
      <c r="B2633" s="248"/>
      <c r="C2633" s="99">
        <v>43635.0</v>
      </c>
      <c r="E2633" s="78" t="s">
        <v>41</v>
      </c>
      <c r="F2633" s="37">
        <v>1.0</v>
      </c>
      <c r="G2633" s="37" t="s">
        <v>32</v>
      </c>
      <c r="H2633" s="78">
        <v>1.0</v>
      </c>
      <c r="I2633" s="78" t="s">
        <v>33</v>
      </c>
      <c r="J2633" s="78" t="s">
        <v>93</v>
      </c>
      <c r="L2633" s="78" t="s">
        <v>119</v>
      </c>
      <c r="M2633" s="106" t="s">
        <v>7037</v>
      </c>
      <c r="N2633" s="106"/>
      <c r="O2633" s="160" t="str">
        <f>hyperlink("https://bad-boys.us/?q=WD-NY/1:19-cr-00206", "WD-NY 1:19-cr-00206")</f>
        <v>WD-NY 1:19-cr-00206</v>
      </c>
      <c r="Q2633" s="37">
        <v>1.0</v>
      </c>
      <c r="R2633" s="78"/>
      <c r="S2633" s="37"/>
      <c r="T2633" s="38"/>
      <c r="U2633" s="38" t="b">
        <f t="shared" ref="U2633:U2635" si="385">countif(A$4:A4658, A2633)&gt;1</f>
        <v>0</v>
      </c>
      <c r="V2633" s="78" t="s">
        <v>33</v>
      </c>
      <c r="W2633" s="106"/>
      <c r="X2633" s="106"/>
      <c r="Y2633" s="102"/>
    </row>
    <row r="2634">
      <c r="A2634" s="87" t="s">
        <v>7038</v>
      </c>
      <c r="B2634" s="248"/>
      <c r="C2634" s="99">
        <v>43635.0</v>
      </c>
      <c r="E2634" s="78" t="s">
        <v>41</v>
      </c>
      <c r="F2634" s="37">
        <v>1.0</v>
      </c>
      <c r="G2634" s="37" t="s">
        <v>32</v>
      </c>
      <c r="H2634" s="78">
        <v>1.0</v>
      </c>
      <c r="I2634" s="78" t="s">
        <v>33</v>
      </c>
      <c r="J2634" s="78" t="s">
        <v>93</v>
      </c>
      <c r="L2634" s="78" t="s">
        <v>119</v>
      </c>
      <c r="M2634" s="46" t="s">
        <v>7039</v>
      </c>
      <c r="N2634" s="106"/>
      <c r="O2634" s="160" t="str">
        <f>hyperlink("https://bad-boys.us/?q=ND-NY/3:19-cr-00198", "ND-NY 3:19-cr-00198")</f>
        <v>ND-NY 3:19-cr-00198</v>
      </c>
      <c r="Q2634" s="37">
        <v>1.0</v>
      </c>
      <c r="R2634" s="78"/>
      <c r="S2634" s="37"/>
      <c r="T2634" s="38"/>
      <c r="U2634" s="38" t="b">
        <f t="shared" si="385"/>
        <v>0</v>
      </c>
      <c r="V2634" s="78" t="s">
        <v>33</v>
      </c>
      <c r="W2634" s="106"/>
      <c r="X2634" s="106"/>
      <c r="Y2634" s="102"/>
    </row>
    <row r="2635">
      <c r="A2635" s="87" t="s">
        <v>7040</v>
      </c>
      <c r="B2635" s="248"/>
      <c r="C2635" s="99">
        <v>43635.0</v>
      </c>
      <c r="E2635" s="78" t="s">
        <v>41</v>
      </c>
      <c r="F2635" s="37">
        <v>1.0</v>
      </c>
      <c r="G2635" s="37" t="s">
        <v>32</v>
      </c>
      <c r="H2635" s="78">
        <v>1.0</v>
      </c>
      <c r="I2635" s="78" t="s">
        <v>33</v>
      </c>
      <c r="J2635" s="78" t="s">
        <v>179</v>
      </c>
      <c r="L2635" s="78" t="s">
        <v>646</v>
      </c>
      <c r="M2635" s="46" t="s">
        <v>7041</v>
      </c>
      <c r="N2635" s="106"/>
      <c r="O2635" s="160" t="str">
        <f>hyperlink("https://bad-boys.us/?q=ED-VA/2:19-cr-00107", "ED-VA 2:19-cr-00107")</f>
        <v>ED-VA 2:19-cr-00107</v>
      </c>
      <c r="Q2635" s="37">
        <v>1.0</v>
      </c>
      <c r="R2635" s="78"/>
      <c r="S2635" s="37" t="str">
        <f>IFERROR(__xludf.DUMMYFUNCTION("if(not(iserror(index(split(C2635, "" ""),2))), index(split(C2635, "" ""),1),"""")"),"June")</f>
        <v>June</v>
      </c>
      <c r="T2635" s="38">
        <f>IFERROR(__xludf.DUMMYFUNCTION("if(S2635="""",C2635,if(not(iserror(index(split(C2635, "" ""),3))), index(split(C2635, "" ""),3),index(split(C2635, "" ""),2)))"),2019.0)</f>
        <v>2019</v>
      </c>
      <c r="U2635" s="38" t="b">
        <f t="shared" si="385"/>
        <v>0</v>
      </c>
      <c r="V2635" s="78" t="s">
        <v>33</v>
      </c>
      <c r="W2635" s="106"/>
      <c r="X2635" s="106"/>
      <c r="Y2635" s="102"/>
    </row>
    <row r="2636">
      <c r="A2636" s="87" t="s">
        <v>7042</v>
      </c>
      <c r="B2636" s="248"/>
      <c r="C2636" s="99">
        <v>43636.0</v>
      </c>
      <c r="E2636" s="78" t="s">
        <v>41</v>
      </c>
      <c r="F2636" s="37">
        <v>1.0</v>
      </c>
      <c r="G2636" s="37" t="s">
        <v>32</v>
      </c>
      <c r="H2636" s="78">
        <v>1.0</v>
      </c>
      <c r="I2636" s="78" t="s">
        <v>33</v>
      </c>
      <c r="J2636" s="78" t="s">
        <v>140</v>
      </c>
      <c r="L2636" s="78" t="s">
        <v>119</v>
      </c>
      <c r="M2636" s="106" t="s">
        <v>7043</v>
      </c>
      <c r="N2636" s="106"/>
      <c r="O2636" s="160" t="str">
        <f>hyperlink("https://bad-boys.us/?q=D-ME/2:19-cr-00127", "D-ME 2:19-cr-00127")</f>
        <v>D-ME 2:19-cr-00127</v>
      </c>
      <c r="Q2636" s="37">
        <v>1.0</v>
      </c>
      <c r="R2636" s="78"/>
      <c r="S2636" s="37"/>
      <c r="T2636" s="38"/>
      <c r="U2636" s="38"/>
      <c r="V2636" s="78" t="s">
        <v>33</v>
      </c>
      <c r="W2636" s="106"/>
      <c r="X2636" s="106"/>
      <c r="Y2636" s="102"/>
    </row>
    <row r="2637">
      <c r="A2637" s="87" t="s">
        <v>7044</v>
      </c>
      <c r="B2637" s="248"/>
      <c r="C2637" s="99">
        <v>43636.0</v>
      </c>
      <c r="E2637" s="78" t="s">
        <v>41</v>
      </c>
      <c r="F2637" s="37">
        <v>1.0</v>
      </c>
      <c r="G2637" s="37" t="s">
        <v>32</v>
      </c>
      <c r="H2637" s="78">
        <v>1.0</v>
      </c>
      <c r="I2637" s="78" t="s">
        <v>33</v>
      </c>
      <c r="J2637" s="78" t="s">
        <v>93</v>
      </c>
      <c r="L2637" s="78" t="s">
        <v>119</v>
      </c>
      <c r="M2637" s="46" t="s">
        <v>7045</v>
      </c>
      <c r="N2637" s="106"/>
      <c r="O2637" s="160" t="str">
        <f>hyperlink("https://bad-boys.us/?q=WD-NY/6:19-cr-06071", "WD-NY 6:19-cr-06071")</f>
        <v>WD-NY 6:19-cr-06071</v>
      </c>
      <c r="Q2637" s="37">
        <v>1.0</v>
      </c>
      <c r="R2637" s="78"/>
      <c r="S2637" s="37"/>
      <c r="T2637" s="38"/>
      <c r="U2637" s="38" t="b">
        <f>countif(A$4:A4658, A2637)&gt;1</f>
        <v>0</v>
      </c>
      <c r="V2637" s="78" t="s">
        <v>33</v>
      </c>
      <c r="W2637" s="106"/>
      <c r="X2637" s="106"/>
      <c r="Y2637" s="102"/>
    </row>
    <row r="2638">
      <c r="A2638" s="87" t="s">
        <v>7046</v>
      </c>
      <c r="B2638" s="248"/>
      <c r="C2638" s="99">
        <v>44003.0</v>
      </c>
      <c r="E2638" s="78" t="s">
        <v>41</v>
      </c>
      <c r="F2638" s="37">
        <v>1.0</v>
      </c>
      <c r="G2638" s="37" t="s">
        <v>32</v>
      </c>
      <c r="H2638" s="78">
        <v>1.0</v>
      </c>
      <c r="I2638" s="78" t="s">
        <v>33</v>
      </c>
      <c r="J2638" s="78" t="s">
        <v>93</v>
      </c>
      <c r="L2638" s="78" t="s">
        <v>76</v>
      </c>
      <c r="M2638" s="106" t="s">
        <v>7047</v>
      </c>
      <c r="N2638" s="106"/>
      <c r="Q2638" s="37">
        <v>1.0</v>
      </c>
      <c r="R2638" s="78"/>
      <c r="S2638" s="37"/>
      <c r="T2638" s="38"/>
      <c r="U2638" s="38"/>
      <c r="V2638" s="78" t="s">
        <v>33</v>
      </c>
      <c r="W2638" s="106"/>
      <c r="X2638" s="106"/>
      <c r="Y2638" s="102"/>
    </row>
    <row r="2639">
      <c r="A2639" s="87" t="s">
        <v>7048</v>
      </c>
      <c r="B2639" s="248"/>
      <c r="C2639" s="99">
        <v>44003.0</v>
      </c>
      <c r="E2639" s="78" t="s">
        <v>41</v>
      </c>
      <c r="F2639" s="37">
        <v>1.0</v>
      </c>
      <c r="G2639" s="37" t="s">
        <v>32</v>
      </c>
      <c r="H2639" s="78">
        <v>1.0</v>
      </c>
      <c r="I2639" s="78" t="s">
        <v>33</v>
      </c>
      <c r="J2639" s="78" t="s">
        <v>147</v>
      </c>
      <c r="L2639" s="78" t="s">
        <v>119</v>
      </c>
      <c r="M2639" s="287" t="s">
        <v>5391</v>
      </c>
      <c r="N2639" s="106"/>
      <c r="Q2639" s="37">
        <v>1.0</v>
      </c>
      <c r="R2639" s="78"/>
      <c r="S2639" s="37"/>
      <c r="T2639" s="38"/>
      <c r="U2639" s="38"/>
      <c r="V2639" s="78" t="s">
        <v>33</v>
      </c>
      <c r="W2639" s="106"/>
      <c r="X2639" s="106"/>
      <c r="Y2639" s="102"/>
    </row>
    <row r="2640">
      <c r="A2640" s="87" t="s">
        <v>7049</v>
      </c>
      <c r="B2640" s="248"/>
      <c r="C2640" s="99">
        <v>43642.0</v>
      </c>
      <c r="E2640" s="78" t="s">
        <v>41</v>
      </c>
      <c r="F2640" s="37">
        <v>1.0</v>
      </c>
      <c r="G2640" s="37" t="s">
        <v>32</v>
      </c>
      <c r="H2640" s="78">
        <v>1.0</v>
      </c>
      <c r="I2640" s="78" t="s">
        <v>33</v>
      </c>
      <c r="J2640" s="78" t="s">
        <v>514</v>
      </c>
      <c r="L2640" s="78" t="s">
        <v>76</v>
      </c>
      <c r="M2640" s="287" t="s">
        <v>7050</v>
      </c>
      <c r="N2640" s="106"/>
      <c r="O2640" s="160" t="str">
        <f>hyperlink("https://bad-boys.us/?q=WD-AR/5:19-cr-50063", "WD-AR 5:19-cr-50063")</f>
        <v>WD-AR 5:19-cr-50063</v>
      </c>
      <c r="Q2640" s="37">
        <v>1.0</v>
      </c>
      <c r="R2640" s="78"/>
      <c r="S2640" s="37"/>
      <c r="T2640" s="38"/>
      <c r="U2640" s="38" t="b">
        <f>countif(A$4:A4658, A2640)&gt;1</f>
        <v>0</v>
      </c>
      <c r="V2640" s="78" t="s">
        <v>33</v>
      </c>
      <c r="W2640" s="106"/>
      <c r="X2640" s="106"/>
      <c r="Y2640" s="102"/>
    </row>
    <row r="2641">
      <c r="A2641" s="87" t="s">
        <v>7051</v>
      </c>
      <c r="B2641" s="248"/>
      <c r="C2641" s="99">
        <v>43642.0</v>
      </c>
      <c r="E2641" s="78" t="s">
        <v>41</v>
      </c>
      <c r="F2641" s="37">
        <v>1.0</v>
      </c>
      <c r="G2641" s="37" t="s">
        <v>32</v>
      </c>
      <c r="H2641" s="78">
        <v>1.0</v>
      </c>
      <c r="I2641" s="78" t="s">
        <v>33</v>
      </c>
      <c r="J2641" s="78" t="s">
        <v>47</v>
      </c>
      <c r="L2641" s="78" t="s">
        <v>76</v>
      </c>
      <c r="M2641" s="46" t="s">
        <v>7052</v>
      </c>
      <c r="N2641" s="106"/>
      <c r="Q2641" s="37">
        <v>1.0</v>
      </c>
      <c r="R2641" s="78"/>
      <c r="S2641" s="37"/>
      <c r="T2641" s="38"/>
      <c r="U2641" s="38"/>
      <c r="V2641" s="78" t="s">
        <v>33</v>
      </c>
      <c r="W2641" s="106"/>
      <c r="X2641" s="106"/>
      <c r="Y2641" s="102"/>
    </row>
    <row r="2642">
      <c r="A2642" s="87" t="s">
        <v>7053</v>
      </c>
      <c r="B2642" s="248"/>
      <c r="C2642" s="99">
        <v>43644.0</v>
      </c>
      <c r="E2642" s="78" t="s">
        <v>41</v>
      </c>
      <c r="F2642" s="37">
        <v>1.0</v>
      </c>
      <c r="G2642" s="37">
        <v>1.0</v>
      </c>
      <c r="H2642" s="78">
        <v>1.0</v>
      </c>
      <c r="I2642" s="78" t="s">
        <v>33</v>
      </c>
      <c r="J2642" s="78" t="s">
        <v>93</v>
      </c>
      <c r="L2642" s="78" t="s">
        <v>119</v>
      </c>
      <c r="M2642" s="46" t="s">
        <v>7054</v>
      </c>
      <c r="N2642" s="46" t="s">
        <v>7055</v>
      </c>
      <c r="Q2642" s="37"/>
      <c r="R2642" s="78"/>
      <c r="S2642" s="37"/>
      <c r="T2642" s="38"/>
      <c r="U2642" s="38"/>
      <c r="V2642" s="78" t="s">
        <v>33</v>
      </c>
      <c r="W2642" s="46" t="s">
        <v>7056</v>
      </c>
      <c r="X2642" s="106"/>
      <c r="Y2642" s="102"/>
    </row>
    <row r="2643">
      <c r="A2643" s="87" t="s">
        <v>7057</v>
      </c>
      <c r="B2643" s="248"/>
      <c r="C2643" s="99">
        <v>43646.0</v>
      </c>
      <c r="E2643" s="78" t="s">
        <v>41</v>
      </c>
      <c r="F2643" s="37">
        <v>1.0</v>
      </c>
      <c r="G2643" s="37" t="s">
        <v>32</v>
      </c>
      <c r="H2643" s="78">
        <v>1.0</v>
      </c>
      <c r="I2643" s="78" t="s">
        <v>33</v>
      </c>
      <c r="J2643" s="78" t="s">
        <v>93</v>
      </c>
      <c r="L2643" s="78" t="s">
        <v>119</v>
      </c>
      <c r="M2643" s="46" t="s">
        <v>7058</v>
      </c>
      <c r="N2643" s="106"/>
      <c r="O2643" s="160" t="str">
        <f>hyperlink("https://bad-boys.us/?q=WD-NY/6:19-cr-06141", "WD-NY 6:19-cr-06141")</f>
        <v>WD-NY 6:19-cr-06141</v>
      </c>
      <c r="Q2643" s="37">
        <v>1.0</v>
      </c>
      <c r="R2643" s="78"/>
      <c r="S2643" s="37"/>
      <c r="T2643" s="38"/>
      <c r="U2643" s="38"/>
      <c r="V2643" s="78" t="s">
        <v>33</v>
      </c>
      <c r="W2643" s="106"/>
      <c r="X2643" s="106"/>
      <c r="Y2643" s="102"/>
    </row>
    <row r="2644">
      <c r="A2644" s="87" t="s">
        <v>7059</v>
      </c>
      <c r="B2644" s="248"/>
      <c r="C2644" s="100">
        <v>43647.0</v>
      </c>
      <c r="E2644" s="78" t="s">
        <v>31</v>
      </c>
      <c r="F2644" s="37">
        <v>1.0</v>
      </c>
      <c r="G2644" s="37">
        <v>4.0</v>
      </c>
      <c r="H2644" s="78">
        <v>4.0</v>
      </c>
      <c r="I2644" s="78" t="s">
        <v>33</v>
      </c>
      <c r="J2644" s="78" t="s">
        <v>147</v>
      </c>
      <c r="L2644" s="78" t="s">
        <v>1203</v>
      </c>
      <c r="M2644" s="46" t="s">
        <v>7060</v>
      </c>
      <c r="N2644" s="46" t="s">
        <v>7061</v>
      </c>
      <c r="Q2644" s="37">
        <v>1.0</v>
      </c>
      <c r="R2644" s="78"/>
      <c r="S2644" s="37"/>
      <c r="T2644" s="38"/>
      <c r="U2644" s="38"/>
      <c r="V2644" s="78" t="s">
        <v>33</v>
      </c>
      <c r="W2644" s="46" t="s">
        <v>7062</v>
      </c>
      <c r="X2644" s="46" t="s">
        <v>7063</v>
      </c>
      <c r="Y2644" s="102"/>
    </row>
    <row r="2645">
      <c r="A2645" s="87" t="s">
        <v>7064</v>
      </c>
      <c r="B2645" s="248"/>
      <c r="C2645" s="100">
        <v>43647.0</v>
      </c>
      <c r="E2645" s="78" t="s">
        <v>41</v>
      </c>
      <c r="F2645" s="37">
        <v>1.0</v>
      </c>
      <c r="G2645" s="37" t="s">
        <v>32</v>
      </c>
      <c r="H2645" s="78">
        <v>1.0</v>
      </c>
      <c r="I2645" s="78" t="s">
        <v>33</v>
      </c>
      <c r="J2645" s="78" t="s">
        <v>288</v>
      </c>
      <c r="L2645" s="78" t="s">
        <v>69</v>
      </c>
      <c r="M2645" s="46" t="s">
        <v>7065</v>
      </c>
      <c r="N2645" s="106"/>
      <c r="Q2645" s="37"/>
      <c r="R2645" s="78"/>
      <c r="S2645" s="37"/>
      <c r="T2645" s="38"/>
      <c r="U2645" s="38"/>
      <c r="V2645" s="78" t="s">
        <v>33</v>
      </c>
      <c r="W2645" s="106"/>
      <c r="X2645" s="106"/>
      <c r="Y2645" s="102"/>
    </row>
    <row r="2646">
      <c r="A2646" s="87" t="s">
        <v>7066</v>
      </c>
      <c r="B2646" s="248"/>
      <c r="C2646" s="100">
        <v>43647.0</v>
      </c>
      <c r="E2646" s="78" t="s">
        <v>41</v>
      </c>
      <c r="F2646" s="37">
        <v>1.0</v>
      </c>
      <c r="G2646" s="37" t="s">
        <v>32</v>
      </c>
      <c r="H2646" s="78">
        <v>1.0</v>
      </c>
      <c r="I2646" s="78" t="s">
        <v>33</v>
      </c>
      <c r="J2646" s="78" t="s">
        <v>55</v>
      </c>
      <c r="L2646" s="78" t="s">
        <v>119</v>
      </c>
      <c r="M2646" s="46" t="s">
        <v>7067</v>
      </c>
      <c r="N2646" s="106"/>
      <c r="Q2646" s="37"/>
      <c r="R2646" s="78"/>
      <c r="S2646" s="37"/>
      <c r="T2646" s="38"/>
      <c r="U2646" s="38" t="b">
        <f t="shared" ref="U2646:U2647" si="386">countif(A$4:A4658, A2646)&gt;1</f>
        <v>0</v>
      </c>
      <c r="V2646" s="78" t="s">
        <v>33</v>
      </c>
      <c r="W2646" s="106"/>
      <c r="X2646" s="106"/>
      <c r="Y2646" s="102"/>
    </row>
    <row r="2647">
      <c r="A2647" s="87" t="s">
        <v>7068</v>
      </c>
      <c r="B2647" s="248"/>
      <c r="C2647" s="100">
        <v>43647.0</v>
      </c>
      <c r="E2647" s="78" t="s">
        <v>41</v>
      </c>
      <c r="F2647" s="37">
        <v>1.0</v>
      </c>
      <c r="G2647" s="37" t="s">
        <v>32</v>
      </c>
      <c r="H2647" s="78">
        <v>1.0</v>
      </c>
      <c r="I2647" s="78" t="s">
        <v>33</v>
      </c>
      <c r="J2647" s="78" t="s">
        <v>115</v>
      </c>
      <c r="L2647" s="78" t="s">
        <v>1203</v>
      </c>
      <c r="M2647" s="46" t="s">
        <v>7069</v>
      </c>
      <c r="N2647" s="106"/>
      <c r="Q2647" s="37"/>
      <c r="R2647" s="78"/>
      <c r="S2647" s="37"/>
      <c r="T2647" s="38"/>
      <c r="U2647" s="38" t="b">
        <f t="shared" si="386"/>
        <v>0</v>
      </c>
      <c r="V2647" s="78" t="s">
        <v>33</v>
      </c>
      <c r="W2647" s="106"/>
      <c r="X2647" s="106"/>
      <c r="Y2647" s="102"/>
    </row>
    <row r="2648">
      <c r="A2648" s="87" t="s">
        <v>7070</v>
      </c>
      <c r="B2648" s="248"/>
      <c r="C2648" s="100">
        <v>43647.0</v>
      </c>
      <c r="E2648" s="78" t="s">
        <v>41</v>
      </c>
      <c r="F2648" s="37">
        <v>1.0</v>
      </c>
      <c r="G2648" s="37" t="s">
        <v>32</v>
      </c>
      <c r="H2648" s="78">
        <v>1.0</v>
      </c>
      <c r="I2648" s="78" t="s">
        <v>33</v>
      </c>
      <c r="J2648" s="78" t="s">
        <v>93</v>
      </c>
      <c r="L2648" s="78" t="s">
        <v>76</v>
      </c>
      <c r="M2648" s="46" t="s">
        <v>7071</v>
      </c>
      <c r="N2648" s="46" t="s">
        <v>7072</v>
      </c>
      <c r="Q2648" s="37"/>
      <c r="R2648" s="78"/>
      <c r="S2648" s="37"/>
      <c r="T2648" s="38"/>
      <c r="U2648" s="38"/>
      <c r="V2648" s="78" t="s">
        <v>33</v>
      </c>
      <c r="W2648" s="106"/>
      <c r="X2648" s="106"/>
      <c r="Y2648" s="102"/>
    </row>
    <row r="2649">
      <c r="A2649" s="87" t="s">
        <v>7073</v>
      </c>
      <c r="B2649" s="248"/>
      <c r="C2649" s="100">
        <v>43647.0</v>
      </c>
      <c r="E2649" s="78" t="s">
        <v>41</v>
      </c>
      <c r="F2649" s="37">
        <v>1.0</v>
      </c>
      <c r="G2649" s="37" t="s">
        <v>32</v>
      </c>
      <c r="H2649" s="78">
        <v>1.0</v>
      </c>
      <c r="I2649" s="78" t="s">
        <v>33</v>
      </c>
      <c r="J2649" s="78" t="s">
        <v>460</v>
      </c>
      <c r="L2649" s="78" t="s">
        <v>119</v>
      </c>
      <c r="M2649" s="46" t="s">
        <v>7074</v>
      </c>
      <c r="N2649" s="106"/>
      <c r="Q2649" s="37">
        <v>1.0</v>
      </c>
      <c r="R2649" s="78"/>
      <c r="S2649" s="37"/>
      <c r="T2649" s="38"/>
      <c r="U2649" s="38"/>
      <c r="V2649" s="78" t="s">
        <v>33</v>
      </c>
      <c r="W2649" s="106"/>
      <c r="X2649" s="106"/>
      <c r="Y2649" s="102"/>
    </row>
    <row r="2650">
      <c r="A2650" s="87" t="s">
        <v>7075</v>
      </c>
      <c r="B2650" s="248"/>
      <c r="C2650" s="100">
        <v>43647.0</v>
      </c>
      <c r="E2650" s="78" t="s">
        <v>41</v>
      </c>
      <c r="F2650" s="37">
        <v>1.0</v>
      </c>
      <c r="G2650" s="37" t="s">
        <v>32</v>
      </c>
      <c r="H2650" s="78">
        <v>1.0</v>
      </c>
      <c r="I2650" s="78" t="s">
        <v>33</v>
      </c>
      <c r="J2650" s="78" t="s">
        <v>98</v>
      </c>
      <c r="L2650" s="78" t="s">
        <v>7076</v>
      </c>
      <c r="M2650" s="46" t="s">
        <v>7077</v>
      </c>
      <c r="N2650" s="106"/>
      <c r="O2650" s="160" t="str">
        <f>hyperlink("https://bad-boys.us/?q=MD-GA/3:19-cr-00043", "MD-GA 3:19-cr-00043")</f>
        <v>MD-GA 3:19-cr-00043</v>
      </c>
      <c r="Q2650" s="37">
        <v>1.0</v>
      </c>
      <c r="R2650" s="78"/>
      <c r="S2650" s="37"/>
      <c r="T2650" s="38"/>
      <c r="U2650" s="38"/>
      <c r="V2650" s="78" t="s">
        <v>33</v>
      </c>
      <c r="W2650" s="106"/>
      <c r="X2650" s="106"/>
      <c r="Y2650" s="102"/>
    </row>
    <row r="2651">
      <c r="A2651" s="87" t="s">
        <v>7078</v>
      </c>
      <c r="B2651" s="248"/>
      <c r="C2651" s="100">
        <v>43647.0</v>
      </c>
      <c r="E2651" s="78" t="s">
        <v>41</v>
      </c>
      <c r="F2651" s="37">
        <v>1.0</v>
      </c>
      <c r="G2651" s="37" t="s">
        <v>32</v>
      </c>
      <c r="H2651" s="78">
        <v>1.0</v>
      </c>
      <c r="I2651" s="78" t="s">
        <v>33</v>
      </c>
      <c r="J2651" s="78" t="s">
        <v>98</v>
      </c>
      <c r="L2651" s="78" t="s">
        <v>7076</v>
      </c>
      <c r="M2651" s="106" t="s">
        <v>7077</v>
      </c>
      <c r="N2651" s="106"/>
      <c r="O2651" s="160" t="str">
        <f>hyperlink("https://bad-boys.us/?q=MD-GA/3:19-cr-00043", "MD-GA 3:19-cr-00043 ❓")</f>
        <v>MD-GA 3:19-cr-00043 ❓</v>
      </c>
      <c r="Q2651" s="37">
        <v>1.0</v>
      </c>
      <c r="R2651" s="78"/>
      <c r="S2651" s="37"/>
      <c r="T2651" s="38"/>
      <c r="U2651" s="38"/>
      <c r="V2651" s="78" t="s">
        <v>33</v>
      </c>
      <c r="W2651" s="106"/>
      <c r="X2651" s="106"/>
      <c r="Y2651" s="102"/>
    </row>
    <row r="2652">
      <c r="A2652" s="87" t="s">
        <v>7079</v>
      </c>
      <c r="B2652" s="248"/>
      <c r="C2652" s="100">
        <v>43648.0</v>
      </c>
      <c r="E2652" s="78" t="s">
        <v>41</v>
      </c>
      <c r="F2652" s="37">
        <v>1.0</v>
      </c>
      <c r="G2652" s="37">
        <v>2.0</v>
      </c>
      <c r="H2652" s="78">
        <v>2.0</v>
      </c>
      <c r="I2652" s="78" t="s">
        <v>33</v>
      </c>
      <c r="J2652" s="78" t="s">
        <v>460</v>
      </c>
      <c r="L2652" s="78" t="s">
        <v>76</v>
      </c>
      <c r="M2652" s="46" t="s">
        <v>7080</v>
      </c>
      <c r="N2652" s="106"/>
      <c r="Q2652" s="37"/>
      <c r="R2652" s="78"/>
      <c r="S2652" s="37"/>
      <c r="T2652" s="38"/>
      <c r="U2652" s="38"/>
      <c r="V2652" s="78" t="s">
        <v>33</v>
      </c>
      <c r="W2652" s="106"/>
      <c r="X2652" s="106"/>
      <c r="Y2652" s="102"/>
    </row>
    <row r="2653">
      <c r="A2653" s="87" t="s">
        <v>7081</v>
      </c>
      <c r="B2653" s="248"/>
      <c r="C2653" s="99">
        <v>43648.0</v>
      </c>
      <c r="E2653" s="78" t="s">
        <v>41</v>
      </c>
      <c r="F2653" s="37">
        <v>1.0</v>
      </c>
      <c r="G2653" s="37" t="s">
        <v>32</v>
      </c>
      <c r="H2653" s="78">
        <v>1.0</v>
      </c>
      <c r="I2653" s="78" t="s">
        <v>33</v>
      </c>
      <c r="J2653" s="78" t="s">
        <v>106</v>
      </c>
      <c r="L2653" s="78" t="s">
        <v>6571</v>
      </c>
      <c r="M2653" s="106" t="s">
        <v>7082</v>
      </c>
      <c r="N2653" s="106"/>
      <c r="O2653" s="160" t="str">
        <f>hyperlink("https://bad-boys.us/?q=D-MD/1:19-cr-00322", "D-MD 1:19-cr-00322")</f>
        <v>D-MD 1:19-cr-00322</v>
      </c>
      <c r="Q2653" s="37">
        <v>1.0</v>
      </c>
      <c r="R2653" s="78"/>
      <c r="S2653" s="37"/>
      <c r="T2653" s="38"/>
      <c r="U2653" s="38" t="b">
        <f t="shared" ref="U2653:U2658" si="387">countif(A$4:A4658, A2653)&gt;1</f>
        <v>0</v>
      </c>
      <c r="V2653" s="78" t="s">
        <v>33</v>
      </c>
      <c r="W2653" s="106"/>
      <c r="X2653" s="106"/>
      <c r="Y2653" s="102"/>
    </row>
    <row r="2654">
      <c r="A2654" s="87" t="s">
        <v>7083</v>
      </c>
      <c r="B2654" s="248"/>
      <c r="C2654" s="99">
        <v>43648.0</v>
      </c>
      <c r="E2654" s="285" t="s">
        <v>41</v>
      </c>
      <c r="F2654" s="91">
        <v>1.0</v>
      </c>
      <c r="G2654" s="91" t="s">
        <v>32</v>
      </c>
      <c r="H2654" s="285">
        <v>1.0</v>
      </c>
      <c r="I2654" s="285" t="s">
        <v>33</v>
      </c>
      <c r="J2654" s="285" t="s">
        <v>268</v>
      </c>
      <c r="L2654" s="285" t="s">
        <v>119</v>
      </c>
      <c r="M2654" s="106" t="s">
        <v>7084</v>
      </c>
      <c r="N2654" s="288"/>
      <c r="O2654" s="160" t="str">
        <f>hyperlink("https://bad-boys.us/?q=ND-OK/4:19-cr-00168", "ND-OK 4:19-cr-00168")</f>
        <v>ND-OK 4:19-cr-00168</v>
      </c>
      <c r="Q2654" s="37">
        <v>1.0</v>
      </c>
      <c r="R2654" s="285"/>
      <c r="S2654" s="91"/>
      <c r="T2654" s="96"/>
      <c r="U2654" s="38" t="b">
        <f t="shared" si="387"/>
        <v>0</v>
      </c>
      <c r="V2654" s="285" t="s">
        <v>33</v>
      </c>
      <c r="W2654" s="288"/>
      <c r="X2654" s="288"/>
      <c r="Y2654" s="102"/>
    </row>
    <row r="2655">
      <c r="A2655" s="87" t="s">
        <v>7085</v>
      </c>
      <c r="B2655" s="248"/>
      <c r="C2655" s="99">
        <v>43649.0</v>
      </c>
      <c r="E2655" s="78" t="s">
        <v>31</v>
      </c>
      <c r="F2655" s="37">
        <v>1.0</v>
      </c>
      <c r="G2655" s="37">
        <v>1.0</v>
      </c>
      <c r="H2655" s="78">
        <v>1.0</v>
      </c>
      <c r="I2655" s="78" t="s">
        <v>33</v>
      </c>
      <c r="J2655" s="78" t="s">
        <v>179</v>
      </c>
      <c r="L2655" s="78" t="s">
        <v>7086</v>
      </c>
      <c r="M2655" s="287" t="s">
        <v>7087</v>
      </c>
      <c r="N2655" s="46" t="s">
        <v>7088</v>
      </c>
      <c r="O2655" s="160" t="str">
        <f>hyperlink("https://bad-boys.us/?q=ED-VA/1:19-cr-00201", "ED-VA 1:19-cr-00201")</f>
        <v>ED-VA 1:19-cr-00201</v>
      </c>
      <c r="Q2655" s="37">
        <v>1.0</v>
      </c>
      <c r="R2655" s="78"/>
      <c r="S2655" s="37"/>
      <c r="T2655" s="38"/>
      <c r="U2655" s="38" t="b">
        <f t="shared" si="387"/>
        <v>0</v>
      </c>
      <c r="V2655" s="78" t="s">
        <v>7089</v>
      </c>
      <c r="W2655" s="46" t="s">
        <v>7090</v>
      </c>
      <c r="X2655" s="46" t="s">
        <v>7091</v>
      </c>
      <c r="Y2655" s="102"/>
    </row>
    <row r="2656">
      <c r="A2656" s="87" t="s">
        <v>7092</v>
      </c>
      <c r="B2656" s="248"/>
      <c r="C2656" s="99">
        <v>43652.0</v>
      </c>
      <c r="E2656" s="78" t="s">
        <v>31</v>
      </c>
      <c r="F2656" s="37">
        <v>1.0</v>
      </c>
      <c r="G2656" s="37" t="s">
        <v>32</v>
      </c>
      <c r="H2656" s="78">
        <v>1.0</v>
      </c>
      <c r="I2656" s="78" t="s">
        <v>33</v>
      </c>
      <c r="J2656" s="78" t="s">
        <v>93</v>
      </c>
      <c r="L2656" s="78" t="s">
        <v>7093</v>
      </c>
      <c r="M2656" s="297" t="s">
        <v>7094</v>
      </c>
      <c r="N2656" s="297" t="s">
        <v>7095</v>
      </c>
      <c r="Q2656" s="37"/>
      <c r="R2656" s="78">
        <v>1.0</v>
      </c>
      <c r="S2656" s="37" t="str">
        <f>IFERROR(__xludf.DUMMYFUNCTION("if(not(iserror(index(split(C2656, "" ""),2))), index(split(C2656, "" ""),1),"""")"),"July")</f>
        <v>July</v>
      </c>
      <c r="T2656" s="38">
        <f>IFERROR(__xludf.DUMMYFUNCTION("if(S2656="""",C2656,if(not(iserror(index(split(C2656, "" ""),3))), index(split(C2656, "" ""),3),index(split(C2656, "" ""),2)))"),2019.0)</f>
        <v>2019</v>
      </c>
      <c r="U2656" s="38" t="b">
        <f t="shared" si="387"/>
        <v>0</v>
      </c>
      <c r="V2656" s="78" t="s">
        <v>33</v>
      </c>
      <c r="W2656" s="46" t="s">
        <v>7096</v>
      </c>
      <c r="X2656" s="46" t="s">
        <v>7097</v>
      </c>
      <c r="Y2656" s="102"/>
    </row>
    <row r="2657">
      <c r="A2657" s="191" t="s">
        <v>7098</v>
      </c>
      <c r="B2657" s="248"/>
      <c r="C2657" s="159">
        <v>43654.0</v>
      </c>
      <c r="E2657" s="78" t="s">
        <v>31</v>
      </c>
      <c r="F2657" s="37">
        <v>1.0</v>
      </c>
      <c r="G2657" s="37" t="s">
        <v>32</v>
      </c>
      <c r="H2657" s="78">
        <v>1.0</v>
      </c>
      <c r="I2657" s="78" t="s">
        <v>33</v>
      </c>
      <c r="J2657" s="78" t="s">
        <v>115</v>
      </c>
      <c r="L2657" s="78" t="s">
        <v>6593</v>
      </c>
      <c r="M2657" s="46" t="s">
        <v>7099</v>
      </c>
      <c r="N2657" s="46" t="s">
        <v>7100</v>
      </c>
      <c r="Q2657" s="37"/>
      <c r="R2657" s="78"/>
      <c r="S2657" s="37" t="str">
        <f>IFERROR(__xludf.DUMMYFUNCTION("if(not(iserror(index(split(C2657, "" ""),2))), index(split(C2657, "" ""),1),"""")"),"July")</f>
        <v>July</v>
      </c>
      <c r="T2657" s="38">
        <f>IFERROR(__xludf.DUMMYFUNCTION("if(S2657="""",C2657,if(not(iserror(index(split(C2657, "" ""),3))), index(split(C2657, "" ""),3),index(split(C2657, "" ""),2)))"),2019.0)</f>
        <v>2019</v>
      </c>
      <c r="U2657" s="38" t="b">
        <f t="shared" si="387"/>
        <v>0</v>
      </c>
      <c r="V2657" s="78" t="s">
        <v>33</v>
      </c>
      <c r="W2657" s="46" t="s">
        <v>7101</v>
      </c>
      <c r="X2657" s="46" t="s">
        <v>7102</v>
      </c>
      <c r="Y2657" s="102"/>
    </row>
    <row r="2658">
      <c r="A2658" s="191" t="s">
        <v>7103</v>
      </c>
      <c r="B2658" s="248"/>
      <c r="C2658" s="99">
        <v>43655.0</v>
      </c>
      <c r="E2658" s="78" t="s">
        <v>41</v>
      </c>
      <c r="F2658" s="37">
        <v>1.0</v>
      </c>
      <c r="G2658" s="37" t="s">
        <v>32</v>
      </c>
      <c r="H2658" s="78">
        <v>1.0</v>
      </c>
      <c r="I2658" s="78" t="s">
        <v>33</v>
      </c>
      <c r="J2658" s="78" t="s">
        <v>203</v>
      </c>
      <c r="L2658" s="78" t="s">
        <v>76</v>
      </c>
      <c r="M2658" s="106" t="s">
        <v>7104</v>
      </c>
      <c r="N2658" s="106"/>
      <c r="O2658" s="160" t="str">
        <f>hyperlink("https://bad-boys.us/?q=D-SD/4:19-cr-40054", "D-SD 4:19-cr-40054")</f>
        <v>D-SD 4:19-cr-40054</v>
      </c>
      <c r="Q2658" s="37">
        <v>1.0</v>
      </c>
      <c r="R2658" s="78"/>
      <c r="S2658" s="37" t="str">
        <f>IFERROR(__xludf.DUMMYFUNCTION("if(not(iserror(index(split(C2658, "" ""),2))), index(split(C2658, "" ""),1),"""")"),"July")</f>
        <v>July</v>
      </c>
      <c r="T2658" s="38">
        <f>IFERROR(__xludf.DUMMYFUNCTION("if(S2658="""",C2658,if(not(iserror(index(split(C2658, "" ""),3))), index(split(C2658, "" ""),3),index(split(C2658, "" ""),2)))"),2019.0)</f>
        <v>2019</v>
      </c>
      <c r="U2658" s="38" t="b">
        <f t="shared" si="387"/>
        <v>0</v>
      </c>
      <c r="V2658" s="78" t="s">
        <v>33</v>
      </c>
      <c r="W2658" s="106"/>
      <c r="X2658" s="106"/>
      <c r="Y2658" s="102"/>
    </row>
    <row r="2659">
      <c r="A2659" s="191" t="s">
        <v>7105</v>
      </c>
      <c r="B2659" s="248"/>
      <c r="C2659" s="99">
        <v>43655.0</v>
      </c>
      <c r="E2659" s="78" t="s">
        <v>31</v>
      </c>
      <c r="F2659" s="37">
        <v>1.0</v>
      </c>
      <c r="G2659" s="37" t="s">
        <v>32</v>
      </c>
      <c r="H2659" s="78">
        <v>1.0</v>
      </c>
      <c r="I2659" s="78" t="s">
        <v>33</v>
      </c>
      <c r="J2659" s="78" t="s">
        <v>162</v>
      </c>
      <c r="L2659" s="78" t="s">
        <v>6593</v>
      </c>
      <c r="M2659" s="106" t="s">
        <v>7106</v>
      </c>
      <c r="N2659" s="46" t="s">
        <v>7107</v>
      </c>
      <c r="O2659" s="160" t="str">
        <f>hyperlink("https://bad-boys.us/?q=D-KS/2:19-cr-20042", "D-KS 2:19-cr-20042")</f>
        <v>D-KS 2:19-cr-20042</v>
      </c>
      <c r="Q2659" s="37">
        <v>1.0</v>
      </c>
      <c r="R2659" s="78"/>
      <c r="S2659" s="37"/>
      <c r="T2659" s="38"/>
      <c r="U2659" s="38"/>
      <c r="V2659" s="78" t="s">
        <v>33</v>
      </c>
      <c r="W2659" s="46" t="s">
        <v>7108</v>
      </c>
      <c r="X2659" s="46" t="s">
        <v>7109</v>
      </c>
      <c r="Y2659" s="102"/>
    </row>
    <row r="2660">
      <c r="A2660" s="191" t="s">
        <v>7110</v>
      </c>
      <c r="B2660" s="248"/>
      <c r="C2660" s="99">
        <v>43655.0</v>
      </c>
      <c r="E2660" s="78" t="s">
        <v>41</v>
      </c>
      <c r="F2660" s="37">
        <v>1.0</v>
      </c>
      <c r="G2660" s="37" t="s">
        <v>32</v>
      </c>
      <c r="H2660" s="78">
        <v>1.0</v>
      </c>
      <c r="I2660" s="78" t="s">
        <v>33</v>
      </c>
      <c r="J2660" s="78" t="s">
        <v>115</v>
      </c>
      <c r="L2660" s="78" t="s">
        <v>6593</v>
      </c>
      <c r="M2660" s="106" t="s">
        <v>7111</v>
      </c>
      <c r="N2660" s="106"/>
      <c r="O2660" s="160" t="str">
        <f>hyperlink("https://bad-boys.us/?q=MD-PA/3:19-cr-00211", "MD-PA 3:19-cr-00211")</f>
        <v>MD-PA 3:19-cr-00211</v>
      </c>
      <c r="Q2660" s="37">
        <v>1.0</v>
      </c>
      <c r="R2660" s="78"/>
      <c r="S2660" s="37"/>
      <c r="T2660" s="38"/>
      <c r="U2660" s="38"/>
      <c r="V2660" s="78" t="s">
        <v>33</v>
      </c>
      <c r="W2660" s="106"/>
      <c r="X2660" s="106"/>
      <c r="Y2660" s="102"/>
    </row>
    <row r="2661">
      <c r="A2661" s="191" t="s">
        <v>7112</v>
      </c>
      <c r="B2661" s="248"/>
      <c r="C2661" s="99">
        <v>43655.0</v>
      </c>
      <c r="E2661" s="78" t="s">
        <v>41</v>
      </c>
      <c r="F2661" s="37">
        <v>1.0</v>
      </c>
      <c r="G2661" s="37" t="s">
        <v>32</v>
      </c>
      <c r="H2661" s="78">
        <v>1.0</v>
      </c>
      <c r="I2661" s="78" t="s">
        <v>33</v>
      </c>
      <c r="J2661" s="78" t="s">
        <v>203</v>
      </c>
      <c r="L2661" s="78" t="s">
        <v>6593</v>
      </c>
      <c r="M2661" s="106" t="s">
        <v>7113</v>
      </c>
      <c r="N2661" s="106"/>
      <c r="Q2661" s="37">
        <v>1.0</v>
      </c>
      <c r="R2661" s="78"/>
      <c r="S2661" s="37"/>
      <c r="T2661" s="38"/>
      <c r="U2661" s="38"/>
      <c r="V2661" s="78" t="s">
        <v>33</v>
      </c>
      <c r="W2661" s="106"/>
      <c r="X2661" s="106"/>
      <c r="Y2661" s="102"/>
    </row>
    <row r="2662">
      <c r="A2662" s="191" t="s">
        <v>7114</v>
      </c>
      <c r="B2662" s="248"/>
      <c r="C2662" s="99">
        <v>43656.0</v>
      </c>
      <c r="E2662" s="78" t="s">
        <v>41</v>
      </c>
      <c r="F2662" s="37">
        <v>1.0</v>
      </c>
      <c r="G2662" s="37" t="s">
        <v>32</v>
      </c>
      <c r="H2662" s="78">
        <v>1.0</v>
      </c>
      <c r="I2662" s="78" t="s">
        <v>33</v>
      </c>
      <c r="J2662" s="78" t="s">
        <v>172</v>
      </c>
      <c r="L2662" s="78" t="s">
        <v>6593</v>
      </c>
      <c r="M2662" s="46" t="s">
        <v>7115</v>
      </c>
      <c r="N2662" s="106"/>
      <c r="Q2662" s="37"/>
      <c r="R2662" s="78"/>
      <c r="S2662" s="37"/>
      <c r="T2662" s="38"/>
      <c r="U2662" s="38"/>
      <c r="V2662" s="78" t="s">
        <v>33</v>
      </c>
      <c r="W2662" s="106"/>
      <c r="X2662" s="106"/>
      <c r="Y2662" s="102"/>
    </row>
    <row r="2663">
      <c r="A2663" s="191" t="s">
        <v>7116</v>
      </c>
      <c r="B2663" s="248"/>
      <c r="C2663" s="99">
        <v>43656.0</v>
      </c>
      <c r="E2663" s="78" t="s">
        <v>41</v>
      </c>
      <c r="F2663" s="37">
        <v>1.0</v>
      </c>
      <c r="G2663" s="37">
        <v>1.0</v>
      </c>
      <c r="H2663" s="78">
        <v>1.0</v>
      </c>
      <c r="I2663" s="78" t="s">
        <v>33</v>
      </c>
      <c r="J2663" s="78" t="s">
        <v>2167</v>
      </c>
      <c r="L2663" s="78" t="s">
        <v>76</v>
      </c>
      <c r="M2663" s="46" t="s">
        <v>7117</v>
      </c>
      <c r="N2663" s="106"/>
      <c r="Q2663" s="37"/>
      <c r="R2663" s="78"/>
      <c r="S2663" s="37"/>
      <c r="T2663" s="38"/>
      <c r="U2663" s="38"/>
      <c r="V2663" s="78" t="s">
        <v>33</v>
      </c>
      <c r="W2663" s="106"/>
      <c r="X2663" s="106"/>
      <c r="Y2663" s="102"/>
    </row>
    <row r="2664">
      <c r="A2664" s="191" t="s">
        <v>7118</v>
      </c>
      <c r="B2664" s="248"/>
      <c r="C2664" s="99">
        <v>43656.0</v>
      </c>
      <c r="E2664" s="78" t="s">
        <v>41</v>
      </c>
      <c r="F2664" s="37">
        <v>1.0</v>
      </c>
      <c r="G2664" s="37" t="s">
        <v>32</v>
      </c>
      <c r="H2664" s="78">
        <v>1.0</v>
      </c>
      <c r="I2664" s="78" t="s">
        <v>33</v>
      </c>
      <c r="J2664" s="78" t="s">
        <v>268</v>
      </c>
      <c r="L2664" s="78" t="s">
        <v>6593</v>
      </c>
      <c r="M2664" s="46" t="s">
        <v>7119</v>
      </c>
      <c r="N2664" s="106"/>
      <c r="O2664" s="160" t="str">
        <f>hyperlink("https://bad-boys.us/?q=ND-OK/4:19-cr-00137", "ND-OK 4:19-cr-00137")</f>
        <v>ND-OK 4:19-cr-00137</v>
      </c>
      <c r="Q2664" s="37">
        <v>1.0</v>
      </c>
      <c r="R2664" s="78"/>
      <c r="S2664" s="37"/>
      <c r="T2664" s="38"/>
      <c r="U2664" s="38" t="b">
        <f t="shared" ref="U2664:U2665" si="388">countif(A$4:A4658, A2664)&gt;1</f>
        <v>0</v>
      </c>
      <c r="V2664" s="78" t="s">
        <v>33</v>
      </c>
      <c r="W2664" s="106"/>
      <c r="X2664" s="106"/>
      <c r="Y2664" s="102"/>
    </row>
    <row r="2665">
      <c r="A2665" s="191" t="s">
        <v>7120</v>
      </c>
      <c r="B2665" s="248"/>
      <c r="C2665" s="99">
        <v>43656.0</v>
      </c>
      <c r="E2665" s="78" t="s">
        <v>41</v>
      </c>
      <c r="F2665" s="37">
        <v>1.0</v>
      </c>
      <c r="G2665" s="37">
        <v>1.0</v>
      </c>
      <c r="H2665" s="78">
        <v>1.0</v>
      </c>
      <c r="I2665" s="78" t="s">
        <v>33</v>
      </c>
      <c r="J2665" s="78" t="s">
        <v>268</v>
      </c>
      <c r="L2665" s="78" t="s">
        <v>76</v>
      </c>
      <c r="M2665" s="46" t="s">
        <v>7121</v>
      </c>
      <c r="N2665" s="106"/>
      <c r="O2665" s="160" t="str">
        <f>hyperlink("https://bad-boys.us/?q=ND-OK/4:19-cr-00132", "ND-OK 4:19-cr-00132")</f>
        <v>ND-OK 4:19-cr-00132</v>
      </c>
      <c r="Q2665" s="37">
        <v>1.0</v>
      </c>
      <c r="R2665" s="78"/>
      <c r="S2665" s="37"/>
      <c r="T2665" s="38"/>
      <c r="U2665" s="38" t="b">
        <f t="shared" si="388"/>
        <v>0</v>
      </c>
      <c r="V2665" s="78" t="s">
        <v>3919</v>
      </c>
      <c r="W2665" s="106"/>
      <c r="X2665" s="106"/>
      <c r="Y2665" s="102"/>
    </row>
    <row r="2666">
      <c r="A2666" s="191" t="s">
        <v>7122</v>
      </c>
      <c r="B2666" s="248"/>
      <c r="C2666" s="99">
        <v>43657.0</v>
      </c>
      <c r="E2666" s="78" t="s">
        <v>41</v>
      </c>
      <c r="F2666" s="37">
        <v>1.0</v>
      </c>
      <c r="G2666" s="37" t="s">
        <v>32</v>
      </c>
      <c r="H2666" s="78">
        <v>1.0</v>
      </c>
      <c r="I2666" s="78" t="s">
        <v>33</v>
      </c>
      <c r="J2666" s="78" t="s">
        <v>514</v>
      </c>
      <c r="L2666" s="78" t="s">
        <v>76</v>
      </c>
      <c r="M2666" s="106" t="s">
        <v>7123</v>
      </c>
      <c r="N2666" s="106"/>
      <c r="Q2666" s="37">
        <v>1.0</v>
      </c>
      <c r="R2666" s="78"/>
      <c r="S2666" s="37"/>
      <c r="T2666" s="38"/>
      <c r="U2666" s="38"/>
      <c r="V2666" s="78" t="s">
        <v>33</v>
      </c>
      <c r="W2666" s="106"/>
      <c r="X2666" s="106"/>
      <c r="Y2666" s="102"/>
    </row>
    <row r="2667">
      <c r="A2667" s="191" t="s">
        <v>7124</v>
      </c>
      <c r="B2667" s="248"/>
      <c r="C2667" s="99">
        <v>43658.0</v>
      </c>
      <c r="E2667" s="78" t="s">
        <v>31</v>
      </c>
      <c r="F2667" s="37">
        <v>1.0</v>
      </c>
      <c r="G2667" s="37" t="s">
        <v>32</v>
      </c>
      <c r="H2667" s="78">
        <v>1.0</v>
      </c>
      <c r="I2667" s="78" t="s">
        <v>33</v>
      </c>
      <c r="J2667" s="78" t="s">
        <v>55</v>
      </c>
      <c r="L2667" s="78" t="s">
        <v>76</v>
      </c>
      <c r="M2667" s="106" t="s">
        <v>7125</v>
      </c>
      <c r="N2667" s="46" t="s">
        <v>7126</v>
      </c>
      <c r="Q2667" s="37">
        <v>1.0</v>
      </c>
      <c r="R2667" s="78"/>
      <c r="S2667" s="37"/>
      <c r="T2667" s="38"/>
      <c r="U2667" s="38"/>
      <c r="V2667" s="78" t="s">
        <v>33</v>
      </c>
      <c r="W2667" s="46" t="s">
        <v>7127</v>
      </c>
      <c r="X2667" s="46" t="s">
        <v>7128</v>
      </c>
      <c r="Y2667" s="102"/>
    </row>
    <row r="2668">
      <c r="A2668" s="191" t="s">
        <v>7129</v>
      </c>
      <c r="B2668" s="248"/>
      <c r="C2668" s="99">
        <v>43661.0</v>
      </c>
      <c r="E2668" s="78" t="s">
        <v>41</v>
      </c>
      <c r="F2668" s="37">
        <v>1.0</v>
      </c>
      <c r="G2668" s="37" t="s">
        <v>32</v>
      </c>
      <c r="H2668" s="78">
        <v>1.0</v>
      </c>
      <c r="I2668" s="78" t="s">
        <v>33</v>
      </c>
      <c r="J2668" s="78" t="s">
        <v>115</v>
      </c>
      <c r="L2668" s="78" t="s">
        <v>69</v>
      </c>
      <c r="M2668" s="46" t="s">
        <v>7130</v>
      </c>
      <c r="N2668" s="106"/>
      <c r="O2668" s="160" t="str">
        <f>hyperlink("https://bad-boys.us/?q=SD-IA/4:19-cr-00115", "SD-IA 4:19-cr-00115")</f>
        <v>SD-IA 4:19-cr-00115</v>
      </c>
      <c r="Q2668" s="37">
        <v>1.0</v>
      </c>
      <c r="R2668" s="78"/>
      <c r="S2668" s="37"/>
      <c r="T2668" s="38"/>
      <c r="U2668" s="38"/>
      <c r="V2668" s="78" t="s">
        <v>33</v>
      </c>
      <c r="W2668" s="106"/>
      <c r="X2668" s="106"/>
      <c r="Y2668" s="102"/>
    </row>
    <row r="2669">
      <c r="A2669" s="191" t="s">
        <v>7131</v>
      </c>
      <c r="B2669" s="248"/>
      <c r="C2669" s="99">
        <v>43662.0</v>
      </c>
      <c r="E2669" s="78" t="s">
        <v>41</v>
      </c>
      <c r="F2669" s="37">
        <v>1.0</v>
      </c>
      <c r="G2669" s="37" t="s">
        <v>32</v>
      </c>
      <c r="H2669" s="78">
        <v>1.0</v>
      </c>
      <c r="I2669" s="78" t="s">
        <v>33</v>
      </c>
      <c r="J2669" s="78" t="s">
        <v>203</v>
      </c>
      <c r="L2669" s="78" t="s">
        <v>6593</v>
      </c>
      <c r="M2669" s="106" t="s">
        <v>7132</v>
      </c>
      <c r="N2669" s="288"/>
      <c r="Q2669" s="37">
        <v>1.0</v>
      </c>
      <c r="R2669" s="285"/>
      <c r="S2669" s="91"/>
      <c r="T2669" s="96"/>
      <c r="U2669" s="96"/>
      <c r="V2669" s="78" t="s">
        <v>33</v>
      </c>
      <c r="W2669" s="288"/>
      <c r="X2669" s="288"/>
      <c r="Y2669" s="102"/>
    </row>
    <row r="2670">
      <c r="A2670" s="298" t="s">
        <v>7133</v>
      </c>
      <c r="B2670" s="248"/>
      <c r="C2670" s="145">
        <v>43663.0</v>
      </c>
      <c r="E2670" s="285" t="s">
        <v>41</v>
      </c>
      <c r="F2670" s="91">
        <v>1.0</v>
      </c>
      <c r="G2670" s="91" t="s">
        <v>32</v>
      </c>
      <c r="H2670" s="285">
        <v>1.0</v>
      </c>
      <c r="I2670" s="285" t="s">
        <v>33</v>
      </c>
      <c r="J2670" s="285" t="s">
        <v>61</v>
      </c>
      <c r="L2670" s="285" t="s">
        <v>76</v>
      </c>
      <c r="M2670" s="288" t="s">
        <v>7134</v>
      </c>
      <c r="N2670" s="288"/>
      <c r="Q2670" s="91">
        <v>1.0</v>
      </c>
      <c r="R2670" s="285"/>
      <c r="S2670" s="91"/>
      <c r="T2670" s="96"/>
      <c r="U2670" s="96"/>
      <c r="V2670" s="285" t="s">
        <v>3919</v>
      </c>
      <c r="W2670" s="288"/>
      <c r="X2670" s="288"/>
      <c r="Y2670" s="102"/>
    </row>
    <row r="2671">
      <c r="A2671" s="191" t="s">
        <v>7135</v>
      </c>
      <c r="B2671" s="248"/>
      <c r="C2671" s="99">
        <v>43663.0</v>
      </c>
      <c r="E2671" s="78" t="s">
        <v>41</v>
      </c>
      <c r="F2671" s="37">
        <v>1.0</v>
      </c>
      <c r="G2671" s="37" t="s">
        <v>32</v>
      </c>
      <c r="H2671" s="78">
        <v>1.0</v>
      </c>
      <c r="I2671" s="78" t="s">
        <v>33</v>
      </c>
      <c r="J2671" s="78" t="s">
        <v>179</v>
      </c>
      <c r="L2671" s="78" t="s">
        <v>6593</v>
      </c>
      <c r="M2671" s="46" t="s">
        <v>7136</v>
      </c>
      <c r="N2671" s="106"/>
      <c r="O2671" s="160" t="str">
        <f>hyperlink("https://bad-boys.us/?q=ED-VA/4:19-cr-00074", "ED-VA 4:19-cr-00074")</f>
        <v>ED-VA 4:19-cr-00074</v>
      </c>
      <c r="Q2671" s="37">
        <v>1.0</v>
      </c>
      <c r="R2671" s="78"/>
      <c r="S2671" s="37"/>
      <c r="T2671" s="38"/>
      <c r="U2671" s="38" t="b">
        <f>countif(A$4:A4658, A2671)&gt;1</f>
        <v>0</v>
      </c>
      <c r="V2671" s="78" t="s">
        <v>33</v>
      </c>
      <c r="W2671" s="106"/>
      <c r="X2671" s="106"/>
      <c r="Y2671" s="102"/>
    </row>
    <row r="2672">
      <c r="A2672" s="191" t="s">
        <v>7137</v>
      </c>
      <c r="B2672" s="248"/>
      <c r="C2672" s="99">
        <v>43664.0</v>
      </c>
      <c r="E2672" s="78" t="s">
        <v>41</v>
      </c>
      <c r="F2672" s="37">
        <v>1.0</v>
      </c>
      <c r="G2672" s="37" t="s">
        <v>32</v>
      </c>
      <c r="H2672" s="78">
        <v>1.0</v>
      </c>
      <c r="I2672" s="78" t="s">
        <v>33</v>
      </c>
      <c r="J2672" s="78" t="s">
        <v>410</v>
      </c>
      <c r="L2672" s="78" t="s">
        <v>6593</v>
      </c>
      <c r="M2672" s="46" t="s">
        <v>7138</v>
      </c>
      <c r="N2672" s="106"/>
      <c r="Q2672" s="37">
        <v>1.0</v>
      </c>
      <c r="R2672" s="78"/>
      <c r="S2672" s="37"/>
      <c r="T2672" s="38"/>
      <c r="U2672" s="38"/>
      <c r="V2672" s="78" t="s">
        <v>33</v>
      </c>
      <c r="W2672" s="106"/>
      <c r="X2672" s="106"/>
      <c r="Y2672" s="102"/>
    </row>
    <row r="2673">
      <c r="A2673" s="191" t="s">
        <v>7139</v>
      </c>
      <c r="B2673" s="248"/>
      <c r="C2673" s="99">
        <v>43665.0</v>
      </c>
      <c r="E2673" s="78" t="s">
        <v>41</v>
      </c>
      <c r="F2673" s="37">
        <v>1.0</v>
      </c>
      <c r="G2673" s="37" t="s">
        <v>32</v>
      </c>
      <c r="H2673" s="78">
        <v>1.0</v>
      </c>
      <c r="I2673" s="78" t="s">
        <v>33</v>
      </c>
      <c r="J2673" s="78" t="s">
        <v>106</v>
      </c>
      <c r="L2673" s="78" t="s">
        <v>6820</v>
      </c>
      <c r="M2673" s="46" t="s">
        <v>7140</v>
      </c>
      <c r="N2673" s="106"/>
      <c r="Q2673" s="37">
        <v>1.0</v>
      </c>
      <c r="R2673" s="78"/>
      <c r="S2673" s="37"/>
      <c r="T2673" s="38"/>
      <c r="U2673" s="38"/>
      <c r="V2673" s="78" t="s">
        <v>33</v>
      </c>
      <c r="W2673" s="106"/>
      <c r="X2673" s="106"/>
      <c r="Y2673" s="102"/>
    </row>
    <row r="2674">
      <c r="A2674" s="191" t="s">
        <v>7141</v>
      </c>
      <c r="B2674" s="248"/>
      <c r="C2674" s="99">
        <v>43665.0</v>
      </c>
      <c r="E2674" s="78" t="s">
        <v>41</v>
      </c>
      <c r="F2674" s="37">
        <v>1.0</v>
      </c>
      <c r="G2674" s="37" t="s">
        <v>32</v>
      </c>
      <c r="H2674" s="78">
        <v>1.0</v>
      </c>
      <c r="I2674" s="78" t="s">
        <v>33</v>
      </c>
      <c r="J2674" s="78" t="s">
        <v>228</v>
      </c>
      <c r="L2674" s="78" t="s">
        <v>76</v>
      </c>
      <c r="M2674" s="46" t="s">
        <v>7142</v>
      </c>
      <c r="N2674" s="106"/>
      <c r="Q2674" s="37">
        <v>1.0</v>
      </c>
      <c r="R2674" s="78"/>
      <c r="S2674" s="37"/>
      <c r="T2674" s="38"/>
      <c r="U2674" s="38"/>
      <c r="V2674" s="78" t="s">
        <v>33</v>
      </c>
      <c r="W2674" s="106"/>
      <c r="X2674" s="106"/>
      <c r="Y2674" s="102"/>
    </row>
    <row r="2675">
      <c r="A2675" s="191" t="s">
        <v>7143</v>
      </c>
      <c r="B2675" s="248"/>
      <c r="C2675" s="99">
        <v>43667.0</v>
      </c>
      <c r="E2675" s="78" t="s">
        <v>31</v>
      </c>
      <c r="F2675" s="37">
        <v>1.0</v>
      </c>
      <c r="G2675" s="37" t="s">
        <v>32</v>
      </c>
      <c r="H2675" s="78">
        <v>1.0</v>
      </c>
      <c r="I2675" s="78" t="s">
        <v>33</v>
      </c>
      <c r="J2675" s="78" t="s">
        <v>504</v>
      </c>
      <c r="L2675" s="78" t="s">
        <v>6593</v>
      </c>
      <c r="M2675" s="106" t="s">
        <v>7144</v>
      </c>
      <c r="N2675" s="46" t="s">
        <v>7145</v>
      </c>
      <c r="Q2675" s="37"/>
      <c r="R2675" s="78"/>
      <c r="S2675" s="37"/>
      <c r="T2675" s="38"/>
      <c r="U2675" s="38"/>
      <c r="V2675" s="78" t="s">
        <v>33</v>
      </c>
      <c r="W2675" s="282" t="s">
        <v>7146</v>
      </c>
      <c r="X2675" s="46" t="s">
        <v>7147</v>
      </c>
      <c r="Y2675" s="102"/>
    </row>
    <row r="2676">
      <c r="A2676" s="191" t="s">
        <v>7148</v>
      </c>
      <c r="B2676" s="248"/>
      <c r="C2676" s="99">
        <v>43667.0</v>
      </c>
      <c r="E2676" s="78" t="s">
        <v>41</v>
      </c>
      <c r="F2676" s="37">
        <v>1.0</v>
      </c>
      <c r="G2676" s="37" t="s">
        <v>32</v>
      </c>
      <c r="H2676" s="78">
        <v>1.0</v>
      </c>
      <c r="I2676" s="78" t="s">
        <v>33</v>
      </c>
      <c r="J2676" s="78" t="s">
        <v>440</v>
      </c>
      <c r="L2676" s="78" t="s">
        <v>6593</v>
      </c>
      <c r="M2676" s="106" t="s">
        <v>7149</v>
      </c>
      <c r="N2676" s="106"/>
      <c r="Q2676" s="37">
        <v>1.0</v>
      </c>
      <c r="R2676" s="78"/>
      <c r="S2676" s="37"/>
      <c r="T2676" s="38"/>
      <c r="U2676" s="38"/>
      <c r="V2676" s="78" t="s">
        <v>33</v>
      </c>
      <c r="W2676" s="282"/>
      <c r="X2676" s="106"/>
      <c r="Y2676" s="102"/>
    </row>
    <row r="2677">
      <c r="A2677" s="191" t="s">
        <v>7150</v>
      </c>
      <c r="B2677" s="248"/>
      <c r="C2677" s="99">
        <v>43668.0</v>
      </c>
      <c r="E2677" s="78" t="s">
        <v>41</v>
      </c>
      <c r="F2677" s="37">
        <v>1.0</v>
      </c>
      <c r="G2677" s="37" t="s">
        <v>32</v>
      </c>
      <c r="H2677" s="78">
        <v>1.0</v>
      </c>
      <c r="I2677" s="78" t="s">
        <v>33</v>
      </c>
      <c r="J2677" s="78" t="s">
        <v>288</v>
      </c>
      <c r="L2677" s="78" t="s">
        <v>6593</v>
      </c>
      <c r="M2677" s="46" t="s">
        <v>7151</v>
      </c>
      <c r="N2677" s="106"/>
      <c r="Q2677" s="37"/>
      <c r="R2677" s="78"/>
      <c r="S2677" s="37"/>
      <c r="T2677" s="38"/>
      <c r="U2677" s="38"/>
      <c r="V2677" s="78" t="s">
        <v>33</v>
      </c>
      <c r="W2677" s="106"/>
      <c r="X2677" s="106"/>
      <c r="Y2677" s="102"/>
    </row>
    <row r="2678">
      <c r="A2678" s="191" t="s">
        <v>7152</v>
      </c>
      <c r="B2678" s="248"/>
      <c r="C2678" s="99">
        <v>43669.0</v>
      </c>
      <c r="E2678" s="78" t="s">
        <v>41</v>
      </c>
      <c r="F2678" s="37">
        <v>1.0</v>
      </c>
      <c r="G2678" s="37" t="s">
        <v>32</v>
      </c>
      <c r="H2678" s="78">
        <v>1.0</v>
      </c>
      <c r="I2678" s="78" t="s">
        <v>33</v>
      </c>
      <c r="J2678" s="78" t="s">
        <v>222</v>
      </c>
      <c r="L2678" s="78" t="s">
        <v>76</v>
      </c>
      <c r="M2678" s="46" t="s">
        <v>7153</v>
      </c>
      <c r="N2678" s="106"/>
      <c r="Q2678" s="37">
        <v>1.0</v>
      </c>
      <c r="R2678" s="78"/>
      <c r="S2678" s="37"/>
      <c r="T2678" s="38"/>
      <c r="U2678" s="38"/>
      <c r="V2678" s="78" t="s">
        <v>33</v>
      </c>
      <c r="W2678" s="106"/>
      <c r="X2678" s="106"/>
      <c r="Y2678" s="102"/>
    </row>
    <row r="2679">
      <c r="A2679" s="191" t="s">
        <v>7154</v>
      </c>
      <c r="B2679" s="248"/>
      <c r="C2679" s="99">
        <v>43671.0</v>
      </c>
      <c r="E2679" s="78" t="s">
        <v>41</v>
      </c>
      <c r="F2679" s="37">
        <v>1.0</v>
      </c>
      <c r="G2679" s="37" t="s">
        <v>32</v>
      </c>
      <c r="H2679" s="78">
        <v>1.0</v>
      </c>
      <c r="I2679" s="78" t="s">
        <v>33</v>
      </c>
      <c r="J2679" s="78" t="s">
        <v>111</v>
      </c>
      <c r="L2679" s="78" t="s">
        <v>6593</v>
      </c>
      <c r="M2679" s="106" t="s">
        <v>7155</v>
      </c>
      <c r="N2679" s="106"/>
      <c r="O2679" s="160" t="str">
        <f>hyperlink("https://bad-boys.us/?q=ED-CA/2:19-cr-00119", "ED-CA 2:19-cr-00119")</f>
        <v>ED-CA 2:19-cr-00119</v>
      </c>
      <c r="Q2679" s="37">
        <v>1.0</v>
      </c>
      <c r="R2679" s="78"/>
      <c r="S2679" s="37"/>
      <c r="T2679" s="38"/>
      <c r="U2679" s="38"/>
      <c r="V2679" s="78" t="s">
        <v>33</v>
      </c>
      <c r="W2679" s="106"/>
      <c r="X2679" s="106"/>
      <c r="Y2679" s="102"/>
    </row>
    <row r="2680">
      <c r="A2680" s="191" t="s">
        <v>7156</v>
      </c>
      <c r="B2680" s="248"/>
      <c r="C2680" s="99">
        <v>43672.0</v>
      </c>
      <c r="E2680" s="78" t="s">
        <v>31</v>
      </c>
      <c r="F2680" s="37">
        <v>1.0</v>
      </c>
      <c r="G2680" s="37" t="s">
        <v>32</v>
      </c>
      <c r="H2680" s="78">
        <v>1.0</v>
      </c>
      <c r="I2680" s="78" t="s">
        <v>33</v>
      </c>
      <c r="J2680" s="78" t="s">
        <v>68</v>
      </c>
      <c r="L2680" s="78" t="s">
        <v>7157</v>
      </c>
      <c r="M2680" s="287" t="s">
        <v>7158</v>
      </c>
      <c r="N2680" s="106" t="s">
        <v>7159</v>
      </c>
      <c r="Q2680" s="37"/>
      <c r="R2680" s="78"/>
      <c r="S2680" s="37"/>
      <c r="T2680" s="38"/>
      <c r="U2680" s="38"/>
      <c r="V2680" s="78" t="s">
        <v>33</v>
      </c>
      <c r="W2680" s="46" t="s">
        <v>7160</v>
      </c>
      <c r="X2680" s="46" t="s">
        <v>7161</v>
      </c>
      <c r="Y2680" s="102"/>
    </row>
    <row r="2681">
      <c r="A2681" s="191" t="s">
        <v>7162</v>
      </c>
      <c r="B2681" s="248"/>
      <c r="C2681" s="99">
        <v>43672.0</v>
      </c>
      <c r="E2681" s="78" t="s">
        <v>31</v>
      </c>
      <c r="F2681" s="37">
        <v>1.0</v>
      </c>
      <c r="G2681" s="37">
        <v>4.0</v>
      </c>
      <c r="H2681" s="78">
        <v>4.0</v>
      </c>
      <c r="I2681" s="78" t="s">
        <v>33</v>
      </c>
      <c r="J2681" s="78" t="s">
        <v>460</v>
      </c>
      <c r="L2681" s="78" t="s">
        <v>76</v>
      </c>
      <c r="M2681" s="287" t="s">
        <v>7163</v>
      </c>
      <c r="N2681" s="46" t="s">
        <v>7164</v>
      </c>
      <c r="Q2681" s="37">
        <v>1.0</v>
      </c>
      <c r="R2681" s="78"/>
      <c r="S2681" s="37"/>
      <c r="T2681" s="38"/>
      <c r="U2681" s="38"/>
      <c r="V2681" s="78" t="s">
        <v>33</v>
      </c>
      <c r="W2681" s="46" t="s">
        <v>7165</v>
      </c>
      <c r="X2681" s="46" t="s">
        <v>7166</v>
      </c>
      <c r="Y2681" s="102"/>
    </row>
    <row r="2682">
      <c r="A2682" s="191" t="s">
        <v>7167</v>
      </c>
      <c r="B2682" s="248"/>
      <c r="C2682" s="99">
        <v>43676.0</v>
      </c>
      <c r="E2682" s="78" t="s">
        <v>41</v>
      </c>
      <c r="F2682" s="37">
        <v>1.0</v>
      </c>
      <c r="G2682" s="37" t="s">
        <v>32</v>
      </c>
      <c r="H2682" s="78">
        <v>1.0</v>
      </c>
      <c r="I2682" s="78" t="s">
        <v>33</v>
      </c>
      <c r="J2682" s="78" t="s">
        <v>47</v>
      </c>
      <c r="L2682" s="78" t="s">
        <v>6593</v>
      </c>
      <c r="M2682" s="287" t="s">
        <v>7168</v>
      </c>
      <c r="N2682" s="106"/>
      <c r="Q2682" s="37"/>
      <c r="R2682" s="78"/>
      <c r="S2682" s="37"/>
      <c r="T2682" s="38"/>
      <c r="U2682" s="38"/>
      <c r="V2682" s="78" t="s">
        <v>33</v>
      </c>
      <c r="W2682" s="106"/>
      <c r="X2682" s="106"/>
      <c r="Y2682" s="102"/>
    </row>
    <row r="2683">
      <c r="A2683" s="191" t="s">
        <v>239</v>
      </c>
      <c r="B2683" s="248"/>
      <c r="C2683" s="99">
        <v>43676.0</v>
      </c>
      <c r="E2683" s="78" t="s">
        <v>41</v>
      </c>
      <c r="F2683" s="37">
        <v>1.0</v>
      </c>
      <c r="G2683" s="37">
        <v>4.0</v>
      </c>
      <c r="H2683" s="78">
        <v>4.0</v>
      </c>
      <c r="I2683" s="78" t="s">
        <v>33</v>
      </c>
      <c r="J2683" s="78" t="s">
        <v>241</v>
      </c>
      <c r="L2683" s="78" t="s">
        <v>194</v>
      </c>
      <c r="M2683" s="46" t="s">
        <v>7169</v>
      </c>
      <c r="N2683" s="106"/>
      <c r="Q2683" s="37"/>
      <c r="R2683" s="78"/>
      <c r="S2683" s="37" t="str">
        <f>IFERROR(__xludf.DUMMYFUNCTION("if(not(iserror(index(split(C2683, "" ""),2))), index(split(C2683, "" ""),1),"""")"),"July")</f>
        <v>July</v>
      </c>
      <c r="T2683" s="38">
        <f>IFERROR(__xludf.DUMMYFUNCTION("if(S2683="""",C2683,if(not(iserror(index(split(C2683, "" ""),3))), index(split(C2683, "" ""),3),index(split(C2683, "" ""),2)))"),2019.0)</f>
        <v>2019</v>
      </c>
      <c r="U2683" s="38" t="b">
        <f t="shared" ref="U2683:U2684" si="389">countif(A$4:A4658, A2683)&gt;1</f>
        <v>1</v>
      </c>
      <c r="V2683" s="78" t="s">
        <v>33</v>
      </c>
      <c r="W2683" s="106"/>
      <c r="X2683" s="106"/>
      <c r="Y2683" s="102"/>
    </row>
    <row r="2684">
      <c r="A2684" s="191" t="s">
        <v>7170</v>
      </c>
      <c r="B2684" s="248"/>
      <c r="C2684" s="99">
        <v>43676.0</v>
      </c>
      <c r="E2684" s="78" t="s">
        <v>31</v>
      </c>
      <c r="F2684" s="37">
        <v>1.0</v>
      </c>
      <c r="G2684" s="37" t="s">
        <v>32</v>
      </c>
      <c r="H2684" s="78">
        <v>1.0</v>
      </c>
      <c r="I2684" s="78" t="s">
        <v>33</v>
      </c>
      <c r="J2684" s="78" t="s">
        <v>93</v>
      </c>
      <c r="L2684" s="78" t="s">
        <v>76</v>
      </c>
      <c r="M2684" s="46" t="s">
        <v>7171</v>
      </c>
      <c r="N2684" s="46" t="s">
        <v>7172</v>
      </c>
      <c r="Q2684" s="37"/>
      <c r="R2684" s="78"/>
      <c r="S2684" s="37"/>
      <c r="T2684" s="38"/>
      <c r="U2684" s="38" t="b">
        <f t="shared" si="389"/>
        <v>0</v>
      </c>
      <c r="V2684" s="78" t="s">
        <v>33</v>
      </c>
      <c r="W2684" s="46" t="s">
        <v>7173</v>
      </c>
      <c r="X2684" s="106"/>
      <c r="Y2684" s="102"/>
    </row>
    <row r="2685">
      <c r="A2685" s="299" t="s">
        <v>7174</v>
      </c>
      <c r="B2685" s="248"/>
      <c r="C2685" s="99">
        <v>43677.0</v>
      </c>
      <c r="E2685" s="78" t="s">
        <v>41</v>
      </c>
      <c r="F2685" s="37">
        <v>1.0</v>
      </c>
      <c r="G2685" s="37" t="s">
        <v>32</v>
      </c>
      <c r="H2685" s="78">
        <v>1.0</v>
      </c>
      <c r="I2685" s="78" t="s">
        <v>33</v>
      </c>
      <c r="J2685" s="78" t="s">
        <v>440</v>
      </c>
      <c r="L2685" s="78" t="s">
        <v>6593</v>
      </c>
      <c r="M2685" s="46" t="s">
        <v>7175</v>
      </c>
      <c r="N2685" s="106"/>
      <c r="Q2685" s="37"/>
      <c r="R2685" s="78"/>
      <c r="S2685" s="37"/>
      <c r="T2685" s="38"/>
      <c r="U2685" s="38"/>
      <c r="V2685" s="78" t="s">
        <v>33</v>
      </c>
      <c r="W2685" s="106"/>
      <c r="X2685" s="106"/>
      <c r="Y2685" s="102"/>
    </row>
    <row r="2686">
      <c r="A2686" s="191" t="s">
        <v>7176</v>
      </c>
      <c r="B2686" s="248"/>
      <c r="C2686" s="99">
        <v>43677.0</v>
      </c>
      <c r="E2686" s="78" t="s">
        <v>41</v>
      </c>
      <c r="F2686" s="37">
        <v>1.0</v>
      </c>
      <c r="G2686" s="37" t="s">
        <v>32</v>
      </c>
      <c r="H2686" s="78">
        <v>1.0</v>
      </c>
      <c r="I2686" s="78" t="s">
        <v>33</v>
      </c>
      <c r="J2686" s="78" t="s">
        <v>172</v>
      </c>
      <c r="L2686" s="78" t="s">
        <v>7177</v>
      </c>
      <c r="M2686" s="46" t="s">
        <v>7178</v>
      </c>
      <c r="N2686" s="106"/>
      <c r="Q2686" s="37">
        <v>1.0</v>
      </c>
      <c r="R2686" s="78"/>
      <c r="S2686" s="37"/>
      <c r="T2686" s="38"/>
      <c r="U2686" s="38"/>
      <c r="V2686" s="78" t="s">
        <v>33</v>
      </c>
      <c r="W2686" s="106"/>
      <c r="X2686" s="106"/>
      <c r="Y2686" s="102"/>
    </row>
    <row r="2687">
      <c r="A2687" s="191" t="s">
        <v>7179</v>
      </c>
      <c r="B2687" s="248"/>
      <c r="C2687" s="99">
        <v>43677.0</v>
      </c>
      <c r="E2687" s="78" t="s">
        <v>41</v>
      </c>
      <c r="F2687" s="37">
        <v>1.0</v>
      </c>
      <c r="G2687" s="37" t="s">
        <v>32</v>
      </c>
      <c r="H2687" s="78">
        <v>1.0</v>
      </c>
      <c r="I2687" s="78" t="s">
        <v>33</v>
      </c>
      <c r="J2687" s="78" t="s">
        <v>93</v>
      </c>
      <c r="L2687" s="78" t="s">
        <v>6593</v>
      </c>
      <c r="M2687" s="46" t="s">
        <v>7180</v>
      </c>
      <c r="N2687" s="106"/>
      <c r="Q2687" s="37">
        <v>1.0</v>
      </c>
      <c r="R2687" s="78"/>
      <c r="S2687" s="37"/>
      <c r="T2687" s="38"/>
      <c r="U2687" s="38"/>
      <c r="V2687" s="78" t="s">
        <v>33</v>
      </c>
      <c r="W2687" s="106"/>
      <c r="X2687" s="106"/>
      <c r="Y2687" s="102"/>
    </row>
    <row r="2688">
      <c r="A2688" s="191" t="s">
        <v>7181</v>
      </c>
      <c r="B2688" s="248"/>
      <c r="C2688" s="99">
        <v>43677.0</v>
      </c>
      <c r="E2688" s="78" t="s">
        <v>41</v>
      </c>
      <c r="F2688" s="37">
        <v>1.0</v>
      </c>
      <c r="G2688" s="37" t="s">
        <v>32</v>
      </c>
      <c r="H2688" s="78">
        <v>1.0</v>
      </c>
      <c r="I2688" s="78" t="s">
        <v>33</v>
      </c>
      <c r="J2688" s="78" t="s">
        <v>410</v>
      </c>
      <c r="L2688" s="78" t="s">
        <v>76</v>
      </c>
      <c r="M2688" s="106" t="s">
        <v>7182</v>
      </c>
      <c r="N2688" s="46" t="s">
        <v>7183</v>
      </c>
      <c r="O2688" s="160" t="str">
        <f>hyperlink("https://bad-boys.us/?q=D-MA/4:19-mj-04460", "D-MA 4:19-mj-04460")</f>
        <v>D-MA 4:19-mj-04460</v>
      </c>
      <c r="Q2688" s="37">
        <v>1.0</v>
      </c>
      <c r="R2688" s="78"/>
      <c r="S2688" s="37" t="str">
        <f>IFERROR(__xludf.DUMMYFUNCTION("if(not(iserror(index(split(C2688, "" ""),2))), index(split(C2688, "" ""),1),"""")"),"July")</f>
        <v>July</v>
      </c>
      <c r="T2688" s="38">
        <f>IFERROR(__xludf.DUMMYFUNCTION("if(S2688="""",C2688,if(not(iserror(index(split(C2688, "" ""),3))), index(split(C2688, "" ""),3),index(split(C2688, "" ""),2)))"),2019.0)</f>
        <v>2019</v>
      </c>
      <c r="U2688" s="38" t="b">
        <f>countif(A$4:A4658, A2688)&gt;1</f>
        <v>0</v>
      </c>
      <c r="V2688" s="78" t="s">
        <v>33</v>
      </c>
      <c r="W2688" s="46" t="s">
        <v>7184</v>
      </c>
      <c r="X2688" s="46" t="s">
        <v>7185</v>
      </c>
      <c r="Y2688" s="102"/>
    </row>
    <row r="2689">
      <c r="A2689" s="191" t="s">
        <v>7186</v>
      </c>
      <c r="B2689" s="248"/>
      <c r="C2689" s="99">
        <v>43677.0</v>
      </c>
      <c r="E2689" s="78" t="s">
        <v>41</v>
      </c>
      <c r="F2689" s="37">
        <v>1.0</v>
      </c>
      <c r="G2689" s="37" t="s">
        <v>32</v>
      </c>
      <c r="H2689" s="78">
        <v>1.0</v>
      </c>
      <c r="I2689" s="78" t="s">
        <v>33</v>
      </c>
      <c r="J2689" s="78" t="s">
        <v>106</v>
      </c>
      <c r="L2689" s="78" t="s">
        <v>6593</v>
      </c>
      <c r="M2689" s="106" t="s">
        <v>7187</v>
      </c>
      <c r="N2689" s="106"/>
      <c r="Q2689" s="37">
        <v>1.0</v>
      </c>
      <c r="R2689" s="78"/>
      <c r="S2689" s="37"/>
      <c r="T2689" s="38"/>
      <c r="U2689" s="38"/>
      <c r="V2689" s="78" t="s">
        <v>33</v>
      </c>
      <c r="W2689" s="106"/>
      <c r="X2689" s="106"/>
      <c r="Y2689" s="102"/>
    </row>
    <row r="2690">
      <c r="A2690" s="191" t="s">
        <v>7188</v>
      </c>
      <c r="B2690" s="248"/>
      <c r="C2690" s="99">
        <v>43677.0</v>
      </c>
      <c r="E2690" s="78" t="s">
        <v>31</v>
      </c>
      <c r="F2690" s="37">
        <v>1.0</v>
      </c>
      <c r="G2690" s="37" t="s">
        <v>32</v>
      </c>
      <c r="H2690" s="78">
        <v>1.0</v>
      </c>
      <c r="I2690" s="78" t="s">
        <v>33</v>
      </c>
      <c r="J2690" s="78" t="s">
        <v>42</v>
      </c>
      <c r="L2690" s="78" t="s">
        <v>52</v>
      </c>
      <c r="M2690" s="282" t="s">
        <v>7189</v>
      </c>
      <c r="N2690" s="106"/>
      <c r="Q2690" s="37"/>
      <c r="R2690" s="78"/>
      <c r="S2690" s="37" t="str">
        <f>IFERROR(__xludf.DUMMYFUNCTION("if(not(iserror(index(split(C2690, "" ""),2))), index(split(C2690, "" ""),1),"""")"),"July")</f>
        <v>July</v>
      </c>
      <c r="T2690" s="38">
        <f>IFERROR(__xludf.DUMMYFUNCTION("if(S2690="""",C2690,if(not(iserror(index(split(C2690, "" ""),3))), index(split(C2690, "" ""),3),index(split(C2690, "" ""),2)))"),2019.0)</f>
        <v>2019</v>
      </c>
      <c r="U2690" s="38" t="b">
        <f t="shared" ref="U2690:U2691" si="390">countif(A$4:A4658, A2690)&gt;1</f>
        <v>0</v>
      </c>
      <c r="V2690" s="78" t="s">
        <v>33</v>
      </c>
      <c r="W2690" s="106"/>
      <c r="X2690" s="46" t="s">
        <v>7190</v>
      </c>
      <c r="Y2690" s="102"/>
    </row>
    <row r="2691">
      <c r="A2691" s="191" t="s">
        <v>7191</v>
      </c>
      <c r="B2691" s="248"/>
      <c r="C2691" s="100">
        <v>43678.0</v>
      </c>
      <c r="E2691" s="78" t="s">
        <v>41</v>
      </c>
      <c r="F2691" s="37">
        <v>1.0</v>
      </c>
      <c r="G2691" s="37" t="s">
        <v>32</v>
      </c>
      <c r="H2691" s="78">
        <v>1.0</v>
      </c>
      <c r="I2691" s="78" t="s">
        <v>33</v>
      </c>
      <c r="J2691" s="78" t="s">
        <v>144</v>
      </c>
      <c r="L2691" s="78" t="s">
        <v>7192</v>
      </c>
      <c r="M2691" s="46" t="s">
        <v>7193</v>
      </c>
      <c r="N2691" s="106"/>
      <c r="Q2691" s="37"/>
      <c r="R2691" s="78"/>
      <c r="S2691" s="37"/>
      <c r="T2691" s="38"/>
      <c r="U2691" s="38" t="b">
        <f t="shared" si="390"/>
        <v>0</v>
      </c>
      <c r="V2691" s="78" t="s">
        <v>33</v>
      </c>
      <c r="W2691" s="106"/>
      <c r="X2691" s="106"/>
      <c r="Y2691" s="102"/>
    </row>
    <row r="2692">
      <c r="A2692" s="191" t="s">
        <v>7194</v>
      </c>
      <c r="B2692" s="248"/>
      <c r="C2692" s="100">
        <v>43678.0</v>
      </c>
      <c r="E2692" s="78" t="s">
        <v>41</v>
      </c>
      <c r="F2692" s="37">
        <v>1.0</v>
      </c>
      <c r="G2692" s="37" t="s">
        <v>32</v>
      </c>
      <c r="H2692" s="78">
        <v>1.0</v>
      </c>
      <c r="I2692" s="78" t="s">
        <v>33</v>
      </c>
      <c r="J2692" s="78" t="s">
        <v>1184</v>
      </c>
      <c r="L2692" s="78" t="s">
        <v>99</v>
      </c>
      <c r="M2692" s="46" t="s">
        <v>7195</v>
      </c>
      <c r="N2692" s="106"/>
      <c r="Q2692" s="37"/>
      <c r="R2692" s="78"/>
      <c r="S2692" s="37"/>
      <c r="T2692" s="38"/>
      <c r="U2692" s="38"/>
      <c r="V2692" s="78" t="s">
        <v>33</v>
      </c>
      <c r="W2692" s="106"/>
      <c r="X2692" s="106"/>
      <c r="Y2692" s="102"/>
    </row>
    <row r="2693">
      <c r="A2693" s="191" t="s">
        <v>7196</v>
      </c>
      <c r="B2693" s="248"/>
      <c r="C2693" s="100">
        <v>43678.0</v>
      </c>
      <c r="E2693" s="78" t="s">
        <v>41</v>
      </c>
      <c r="F2693" s="37">
        <v>1.0</v>
      </c>
      <c r="G2693" s="37" t="s">
        <v>32</v>
      </c>
      <c r="H2693" s="78">
        <v>1.0</v>
      </c>
      <c r="I2693" s="78" t="s">
        <v>33</v>
      </c>
      <c r="J2693" s="78" t="s">
        <v>34</v>
      </c>
      <c r="L2693" s="78" t="s">
        <v>6593</v>
      </c>
      <c r="M2693" s="46" t="s">
        <v>7197</v>
      </c>
      <c r="N2693" s="106"/>
      <c r="Q2693" s="37"/>
      <c r="R2693" s="78"/>
      <c r="S2693" s="37"/>
      <c r="T2693" s="38"/>
      <c r="U2693" s="38"/>
      <c r="V2693" s="78" t="s">
        <v>33</v>
      </c>
      <c r="W2693" s="106"/>
      <c r="X2693" s="106"/>
      <c r="Y2693" s="102"/>
    </row>
    <row r="2694">
      <c r="A2694" s="191" t="s">
        <v>7198</v>
      </c>
      <c r="B2694" s="248"/>
      <c r="C2694" s="100">
        <v>43678.0</v>
      </c>
      <c r="E2694" s="78" t="s">
        <v>41</v>
      </c>
      <c r="F2694" s="37">
        <v>1.0</v>
      </c>
      <c r="G2694" s="37" t="s">
        <v>32</v>
      </c>
      <c r="H2694" s="78">
        <v>1.0</v>
      </c>
      <c r="I2694" s="78" t="s">
        <v>33</v>
      </c>
      <c r="J2694" s="78" t="s">
        <v>203</v>
      </c>
      <c r="L2694" s="78" t="s">
        <v>6593</v>
      </c>
      <c r="M2694" s="46" t="s">
        <v>7199</v>
      </c>
      <c r="N2694" s="106"/>
      <c r="Q2694" s="37"/>
      <c r="R2694" s="78"/>
      <c r="S2694" s="37"/>
      <c r="T2694" s="38"/>
      <c r="U2694" s="38"/>
      <c r="V2694" s="78" t="s">
        <v>33</v>
      </c>
      <c r="W2694" s="106"/>
      <c r="X2694" s="106"/>
      <c r="Y2694" s="102"/>
    </row>
    <row r="2695">
      <c r="A2695" s="191" t="s">
        <v>7200</v>
      </c>
      <c r="B2695" s="248"/>
      <c r="C2695" s="100">
        <v>43678.0</v>
      </c>
      <c r="E2695" s="78" t="s">
        <v>41</v>
      </c>
      <c r="F2695" s="37">
        <v>1.0</v>
      </c>
      <c r="G2695" s="37">
        <v>1.0</v>
      </c>
      <c r="H2695" s="78">
        <v>1.0</v>
      </c>
      <c r="I2695" s="78" t="s">
        <v>33</v>
      </c>
      <c r="J2695" s="78" t="s">
        <v>909</v>
      </c>
      <c r="L2695" s="78" t="s">
        <v>7201</v>
      </c>
      <c r="M2695" s="46" t="s">
        <v>7202</v>
      </c>
      <c r="N2695" s="106"/>
      <c r="Q2695" s="37"/>
      <c r="R2695" s="78"/>
      <c r="S2695" s="37"/>
      <c r="T2695" s="38"/>
      <c r="U2695" s="38"/>
      <c r="V2695" s="78" t="s">
        <v>33</v>
      </c>
      <c r="W2695" s="106"/>
      <c r="X2695" s="106"/>
      <c r="Y2695" s="102"/>
    </row>
    <row r="2696">
      <c r="A2696" s="191" t="s">
        <v>7203</v>
      </c>
      <c r="B2696" s="248"/>
      <c r="C2696" s="100">
        <v>43678.0</v>
      </c>
      <c r="E2696" s="78" t="s">
        <v>41</v>
      </c>
      <c r="F2696" s="37">
        <v>1.0</v>
      </c>
      <c r="G2696" s="37" t="s">
        <v>32</v>
      </c>
      <c r="H2696" s="78">
        <v>1.0</v>
      </c>
      <c r="I2696" s="78" t="s">
        <v>33</v>
      </c>
      <c r="J2696" s="78" t="s">
        <v>203</v>
      </c>
      <c r="L2696" s="78" t="s">
        <v>6593</v>
      </c>
      <c r="M2696" s="46" t="s">
        <v>7204</v>
      </c>
      <c r="N2696" s="106"/>
      <c r="Q2696" s="37"/>
      <c r="R2696" s="78"/>
      <c r="S2696" s="37"/>
      <c r="T2696" s="38"/>
      <c r="U2696" s="38"/>
      <c r="V2696" s="78" t="s">
        <v>33</v>
      </c>
      <c r="W2696" s="106"/>
      <c r="X2696" s="106"/>
      <c r="Y2696" s="102"/>
    </row>
    <row r="2697">
      <c r="A2697" s="191" t="s">
        <v>7205</v>
      </c>
      <c r="B2697" s="248"/>
      <c r="C2697" s="100">
        <v>43678.0</v>
      </c>
      <c r="E2697" s="78" t="s">
        <v>41</v>
      </c>
      <c r="F2697" s="37">
        <v>1.0</v>
      </c>
      <c r="G2697" s="37" t="s">
        <v>32</v>
      </c>
      <c r="H2697" s="78">
        <v>1.0</v>
      </c>
      <c r="I2697" s="78" t="s">
        <v>33</v>
      </c>
      <c r="J2697" s="78" t="s">
        <v>203</v>
      </c>
      <c r="L2697" s="78" t="s">
        <v>6593</v>
      </c>
      <c r="M2697" s="46" t="s">
        <v>7206</v>
      </c>
      <c r="N2697" s="106"/>
      <c r="Q2697" s="37"/>
      <c r="R2697" s="78"/>
      <c r="S2697" s="37"/>
      <c r="T2697" s="38"/>
      <c r="U2697" s="38"/>
      <c r="V2697" s="78" t="s">
        <v>33</v>
      </c>
      <c r="W2697" s="106"/>
      <c r="X2697" s="106"/>
      <c r="Y2697" s="102"/>
    </row>
    <row r="2698">
      <c r="A2698" s="191" t="s">
        <v>7207</v>
      </c>
      <c r="B2698" s="248"/>
      <c r="C2698" s="99">
        <v>43678.0</v>
      </c>
      <c r="E2698" s="78" t="s">
        <v>41</v>
      </c>
      <c r="F2698" s="37">
        <v>1.0</v>
      </c>
      <c r="G2698" s="37" t="s">
        <v>32</v>
      </c>
      <c r="H2698" s="78">
        <v>1.0</v>
      </c>
      <c r="I2698" s="78" t="s">
        <v>33</v>
      </c>
      <c r="J2698" s="78" t="s">
        <v>61</v>
      </c>
      <c r="L2698" s="78" t="s">
        <v>69</v>
      </c>
      <c r="M2698" s="46" t="s">
        <v>7208</v>
      </c>
      <c r="N2698" s="106"/>
      <c r="Q2698" s="37">
        <v>1.0</v>
      </c>
      <c r="R2698" s="78"/>
      <c r="S2698" s="37"/>
      <c r="T2698" s="38"/>
      <c r="U2698" s="38"/>
      <c r="V2698" s="78" t="s">
        <v>33</v>
      </c>
      <c r="W2698" s="106"/>
      <c r="X2698" s="106"/>
      <c r="Y2698" s="102"/>
    </row>
    <row r="2699">
      <c r="A2699" s="191" t="s">
        <v>7209</v>
      </c>
      <c r="B2699" s="248"/>
      <c r="C2699" s="99">
        <v>43678.0</v>
      </c>
      <c r="E2699" s="78" t="s">
        <v>31</v>
      </c>
      <c r="F2699" s="37">
        <v>1.0</v>
      </c>
      <c r="G2699" s="37" t="s">
        <v>32</v>
      </c>
      <c r="H2699" s="78">
        <v>1.0</v>
      </c>
      <c r="I2699" s="78" t="s">
        <v>33</v>
      </c>
      <c r="J2699" s="78" t="s">
        <v>111</v>
      </c>
      <c r="L2699" s="78" t="s">
        <v>646</v>
      </c>
      <c r="M2699" s="46" t="s">
        <v>7210</v>
      </c>
      <c r="N2699" s="46" t="s">
        <v>7211</v>
      </c>
      <c r="O2699" s="160" t="str">
        <f t="shared" ref="O2699:O2700" si="391">hyperlink("https://bad-boys.us/?q=ED-CA/2:19-cr-00125", "ED-CA 2:19-cr-00125")</f>
        <v>ED-CA 2:19-cr-00125</v>
      </c>
      <c r="Q2699" s="37">
        <v>1.0</v>
      </c>
      <c r="R2699" s="78"/>
      <c r="S2699" s="37" t="str">
        <f>IFERROR(__xludf.DUMMYFUNCTION("if(not(iserror(index(split(C2699, "" ""),2))), index(split(C2699, "" ""),1),"""")"),"August")</f>
        <v>August</v>
      </c>
      <c r="T2699" s="38">
        <f>IFERROR(__xludf.DUMMYFUNCTION("if(S2699="""",C2699,if(not(iserror(index(split(C2699, "" ""),3))), index(split(C2699, "" ""),3),index(split(C2699, "" ""),2)))"),2019.0)</f>
        <v>2019</v>
      </c>
      <c r="U2699" s="38" t="b">
        <f t="shared" ref="U2699:U2700" si="392">countif(A$4:A4658, A2699)&gt;1</f>
        <v>0</v>
      </c>
      <c r="V2699" s="78" t="s">
        <v>33</v>
      </c>
      <c r="W2699" s="46" t="s">
        <v>7212</v>
      </c>
      <c r="X2699" s="46" t="s">
        <v>7213</v>
      </c>
      <c r="Y2699" s="102"/>
    </row>
    <row r="2700">
      <c r="A2700" s="191" t="s">
        <v>7214</v>
      </c>
      <c r="B2700" s="248"/>
      <c r="C2700" s="99">
        <v>43678.0</v>
      </c>
      <c r="E2700" s="78" t="s">
        <v>31</v>
      </c>
      <c r="F2700" s="37">
        <v>1.0</v>
      </c>
      <c r="G2700" s="37" t="s">
        <v>32</v>
      </c>
      <c r="H2700" s="78">
        <v>1.0</v>
      </c>
      <c r="I2700" s="78" t="s">
        <v>33</v>
      </c>
      <c r="J2700" s="78" t="s">
        <v>111</v>
      </c>
      <c r="L2700" s="78" t="s">
        <v>646</v>
      </c>
      <c r="M2700" s="106" t="s">
        <v>7210</v>
      </c>
      <c r="N2700" s="46" t="s">
        <v>7211</v>
      </c>
      <c r="O2700" s="160" t="str">
        <f t="shared" si="391"/>
        <v>ED-CA 2:19-cr-00125</v>
      </c>
      <c r="Q2700" s="37">
        <v>1.0</v>
      </c>
      <c r="R2700" s="78"/>
      <c r="S2700" s="37" t="str">
        <f>IFERROR(__xludf.DUMMYFUNCTION("if(not(iserror(index(split(C2700, "" ""),2))), index(split(C2700, "" ""),1),"""")"),"August")</f>
        <v>August</v>
      </c>
      <c r="T2700" s="38">
        <f>IFERROR(__xludf.DUMMYFUNCTION("if(S2700="""",C2700,if(not(iserror(index(split(C2700, "" ""),3))), index(split(C2700, "" ""),3),index(split(C2700, "" ""),2)))"),2019.0)</f>
        <v>2019</v>
      </c>
      <c r="U2700" s="38" t="b">
        <f t="shared" si="392"/>
        <v>0</v>
      </c>
      <c r="V2700" s="78" t="s">
        <v>33</v>
      </c>
      <c r="W2700" s="46" t="s">
        <v>7212</v>
      </c>
      <c r="X2700" s="46" t="s">
        <v>7213</v>
      </c>
      <c r="Y2700" s="102"/>
    </row>
    <row r="2701">
      <c r="A2701" s="191" t="s">
        <v>7215</v>
      </c>
      <c r="B2701" s="248"/>
      <c r="C2701" s="99">
        <v>43678.0</v>
      </c>
      <c r="E2701" s="78" t="s">
        <v>41</v>
      </c>
      <c r="F2701" s="37">
        <v>1.0</v>
      </c>
      <c r="G2701" s="37">
        <v>3.0</v>
      </c>
      <c r="H2701" s="78">
        <v>3.0</v>
      </c>
      <c r="I2701" s="78" t="s">
        <v>33</v>
      </c>
      <c r="J2701" s="78" t="s">
        <v>115</v>
      </c>
      <c r="L2701" s="78" t="s">
        <v>76</v>
      </c>
      <c r="M2701" s="46" t="s">
        <v>7216</v>
      </c>
      <c r="N2701" s="106"/>
      <c r="Q2701" s="37">
        <v>1.0</v>
      </c>
      <c r="R2701" s="78"/>
      <c r="S2701" s="37"/>
      <c r="T2701" s="38"/>
      <c r="U2701" s="38"/>
      <c r="V2701" s="78" t="s">
        <v>33</v>
      </c>
      <c r="W2701" s="106"/>
      <c r="X2701" s="106"/>
      <c r="Y2701" s="102"/>
    </row>
    <row r="2702">
      <c r="A2702" s="191" t="s">
        <v>7217</v>
      </c>
      <c r="B2702" s="248"/>
      <c r="C2702" s="99">
        <v>43679.0</v>
      </c>
      <c r="E2702" s="78" t="s">
        <v>41</v>
      </c>
      <c r="F2702" s="37">
        <v>1.0</v>
      </c>
      <c r="G2702" s="37" t="s">
        <v>32</v>
      </c>
      <c r="H2702" s="78">
        <v>1.0</v>
      </c>
      <c r="I2702" s="78" t="s">
        <v>33</v>
      </c>
      <c r="J2702" s="78" t="s">
        <v>410</v>
      </c>
      <c r="L2702" s="78" t="s">
        <v>76</v>
      </c>
      <c r="M2702" s="106" t="s">
        <v>7218</v>
      </c>
      <c r="N2702" s="106"/>
      <c r="O2702" s="160" t="str">
        <f>hyperlink("https://bad-boys.us/?q=D-MA/4:19-cr-40038", "D-MA 4:19-cr-40038")</f>
        <v>D-MA 4:19-cr-40038</v>
      </c>
      <c r="Q2702" s="37">
        <v>1.0</v>
      </c>
      <c r="R2702" s="78"/>
      <c r="S2702" s="37" t="str">
        <f>IFERROR(__xludf.DUMMYFUNCTION("if(not(iserror(index(split(C2702, "" ""),2))), index(split(C2702, "" ""),1),"""")"),"August")</f>
        <v>August</v>
      </c>
      <c r="T2702" s="38">
        <f>IFERROR(__xludf.DUMMYFUNCTION("if(S2702="""",C2702,if(not(iserror(index(split(C2702, "" ""),3))), index(split(C2702, "" ""),3),index(split(C2702, "" ""),2)))"),2019.0)</f>
        <v>2019</v>
      </c>
      <c r="U2702" s="38" t="b">
        <f t="shared" ref="U2702:U2705" si="393">countif(A$4:A4658, A2702)&gt;1</f>
        <v>0</v>
      </c>
      <c r="V2702" s="78" t="s">
        <v>33</v>
      </c>
      <c r="W2702" s="106"/>
      <c r="X2702" s="106"/>
      <c r="Y2702" s="102"/>
    </row>
    <row r="2703">
      <c r="A2703" s="191" t="s">
        <v>239</v>
      </c>
      <c r="B2703" s="248"/>
      <c r="C2703" s="99">
        <v>43679.0</v>
      </c>
      <c r="E2703" s="78" t="s">
        <v>41</v>
      </c>
      <c r="F2703" s="37">
        <v>1.0</v>
      </c>
      <c r="G2703" s="37">
        <v>5.0</v>
      </c>
      <c r="H2703" s="78">
        <v>5.0</v>
      </c>
      <c r="I2703" s="78" t="s">
        <v>33</v>
      </c>
      <c r="J2703" s="78" t="s">
        <v>147</v>
      </c>
      <c r="L2703" s="78" t="s">
        <v>194</v>
      </c>
      <c r="M2703" s="46" t="s">
        <v>7219</v>
      </c>
      <c r="N2703" s="106"/>
      <c r="Q2703" s="37"/>
      <c r="R2703" s="78"/>
      <c r="S2703" s="37" t="str">
        <f>IFERROR(__xludf.DUMMYFUNCTION("if(not(iserror(index(split(C2703, "" ""),2))), index(split(C2703, "" ""),1),"""")"),"August")</f>
        <v>August</v>
      </c>
      <c r="T2703" s="38">
        <f>IFERROR(__xludf.DUMMYFUNCTION("if(S2703="""",C2703,if(not(iserror(index(split(C2703, "" ""),3))), index(split(C2703, "" ""),3),index(split(C2703, "" ""),2)))"),2019.0)</f>
        <v>2019</v>
      </c>
      <c r="U2703" s="38" t="b">
        <f t="shared" si="393"/>
        <v>1</v>
      </c>
      <c r="V2703" s="78" t="s">
        <v>33</v>
      </c>
      <c r="W2703" s="106"/>
      <c r="X2703" s="106"/>
      <c r="Y2703" s="102"/>
    </row>
    <row r="2704">
      <c r="A2704" s="191" t="s">
        <v>239</v>
      </c>
      <c r="B2704" s="248"/>
      <c r="C2704" s="99">
        <v>43682.0</v>
      </c>
      <c r="E2704" s="78" t="s">
        <v>41</v>
      </c>
      <c r="F2704" s="37">
        <v>1.0</v>
      </c>
      <c r="G2704" s="37">
        <v>4.0</v>
      </c>
      <c r="H2704" s="78">
        <v>4.0</v>
      </c>
      <c r="I2704" s="78" t="s">
        <v>33</v>
      </c>
      <c r="J2704" s="78" t="s">
        <v>241</v>
      </c>
      <c r="L2704" s="78" t="s">
        <v>194</v>
      </c>
      <c r="M2704" s="46" t="s">
        <v>7220</v>
      </c>
      <c r="N2704" s="106"/>
      <c r="Q2704" s="37"/>
      <c r="R2704" s="78"/>
      <c r="S2704" s="37" t="str">
        <f>IFERROR(__xludf.DUMMYFUNCTION("if(not(iserror(index(split(C2704, "" ""),2))), index(split(C2704, "" ""),1),"""")"),"August")</f>
        <v>August</v>
      </c>
      <c r="T2704" s="38">
        <f>IFERROR(__xludf.DUMMYFUNCTION("if(S2704="""",C2704,if(not(iserror(index(split(C2704, "" ""),3))), index(split(C2704, "" ""),3),index(split(C2704, "" ""),2)))"),2019.0)</f>
        <v>2019</v>
      </c>
      <c r="U2704" s="38" t="b">
        <f t="shared" si="393"/>
        <v>1</v>
      </c>
      <c r="V2704" s="78" t="s">
        <v>33</v>
      </c>
      <c r="W2704" s="106"/>
      <c r="X2704" s="106"/>
      <c r="Y2704" s="102"/>
    </row>
    <row r="2705">
      <c r="A2705" s="191" t="s">
        <v>239</v>
      </c>
      <c r="B2705" s="248"/>
      <c r="C2705" s="99">
        <v>43682.0</v>
      </c>
      <c r="E2705" s="78" t="s">
        <v>41</v>
      </c>
      <c r="F2705" s="37">
        <v>1.0</v>
      </c>
      <c r="G2705" s="37">
        <v>1.0</v>
      </c>
      <c r="H2705" s="78">
        <v>1.0</v>
      </c>
      <c r="I2705" s="78" t="s">
        <v>33</v>
      </c>
      <c r="J2705" s="78" t="s">
        <v>93</v>
      </c>
      <c r="L2705" s="78" t="s">
        <v>194</v>
      </c>
      <c r="M2705" s="46" t="s">
        <v>7221</v>
      </c>
      <c r="N2705" s="106"/>
      <c r="Q2705" s="37"/>
      <c r="R2705" s="78"/>
      <c r="S2705" s="37" t="str">
        <f>IFERROR(__xludf.DUMMYFUNCTION("if(not(iserror(index(split(C2705, "" ""),2))), index(split(C2705, "" ""),1),"""")"),"August")</f>
        <v>August</v>
      </c>
      <c r="T2705" s="38">
        <f>IFERROR(__xludf.DUMMYFUNCTION("if(S2705="""",C2705,if(not(iserror(index(split(C2705, "" ""),3))), index(split(C2705, "" ""),3),index(split(C2705, "" ""),2)))"),2019.0)</f>
        <v>2019</v>
      </c>
      <c r="U2705" s="38" t="b">
        <f t="shared" si="393"/>
        <v>1</v>
      </c>
      <c r="V2705" s="78" t="s">
        <v>33</v>
      </c>
      <c r="W2705" s="106"/>
      <c r="X2705" s="106"/>
      <c r="Y2705" s="102"/>
    </row>
    <row r="2706">
      <c r="A2706" s="191" t="s">
        <v>7222</v>
      </c>
      <c r="B2706" s="248"/>
      <c r="C2706" s="99">
        <v>43683.0</v>
      </c>
      <c r="E2706" s="78" t="s">
        <v>41</v>
      </c>
      <c r="F2706" s="37">
        <v>1.0</v>
      </c>
      <c r="G2706" s="37" t="s">
        <v>32</v>
      </c>
      <c r="H2706" s="78">
        <v>1.0</v>
      </c>
      <c r="I2706" s="78" t="s">
        <v>33</v>
      </c>
      <c r="J2706" s="78" t="s">
        <v>172</v>
      </c>
      <c r="L2706" s="78" t="s">
        <v>6593</v>
      </c>
      <c r="M2706" s="46" t="s">
        <v>7223</v>
      </c>
      <c r="N2706" s="106"/>
      <c r="Q2706" s="37"/>
      <c r="R2706" s="78"/>
      <c r="S2706" s="37"/>
      <c r="T2706" s="38"/>
      <c r="U2706" s="38"/>
      <c r="V2706" s="78" t="s">
        <v>33</v>
      </c>
      <c r="W2706" s="106"/>
      <c r="X2706" s="106"/>
      <c r="Y2706" s="102"/>
    </row>
    <row r="2707">
      <c r="A2707" s="191" t="s">
        <v>7224</v>
      </c>
      <c r="B2707" s="248"/>
      <c r="C2707" s="99">
        <v>43683.0</v>
      </c>
      <c r="E2707" s="78" t="s">
        <v>41</v>
      </c>
      <c r="F2707" s="37">
        <v>1.0</v>
      </c>
      <c r="G2707" s="37" t="s">
        <v>32</v>
      </c>
      <c r="H2707" s="78">
        <v>1.0</v>
      </c>
      <c r="I2707" s="78" t="s">
        <v>33</v>
      </c>
      <c r="J2707" s="78" t="s">
        <v>433</v>
      </c>
      <c r="L2707" s="78" t="s">
        <v>76</v>
      </c>
      <c r="M2707" s="46" t="s">
        <v>7225</v>
      </c>
      <c r="N2707" s="106"/>
      <c r="Q2707" s="37">
        <v>1.0</v>
      </c>
      <c r="R2707" s="78"/>
      <c r="S2707" s="37"/>
      <c r="T2707" s="38"/>
      <c r="U2707" s="38"/>
      <c r="V2707" s="78" t="s">
        <v>33</v>
      </c>
      <c r="W2707" s="106"/>
      <c r="X2707" s="106"/>
      <c r="Y2707" s="102"/>
    </row>
    <row r="2708">
      <c r="A2708" s="191" t="s">
        <v>7226</v>
      </c>
      <c r="B2708" s="248"/>
      <c r="C2708" s="99">
        <v>43683.0</v>
      </c>
      <c r="E2708" s="78" t="s">
        <v>41</v>
      </c>
      <c r="F2708" s="37">
        <v>1.0</v>
      </c>
      <c r="G2708" s="37" t="s">
        <v>32</v>
      </c>
      <c r="H2708" s="78">
        <v>1.0</v>
      </c>
      <c r="I2708" s="78" t="s">
        <v>33</v>
      </c>
      <c r="J2708" s="78" t="s">
        <v>433</v>
      </c>
      <c r="L2708" s="78" t="s">
        <v>119</v>
      </c>
      <c r="M2708" s="46" t="s">
        <v>7225</v>
      </c>
      <c r="N2708" s="106"/>
      <c r="Q2708" s="37">
        <v>1.0</v>
      </c>
      <c r="R2708" s="78"/>
      <c r="S2708" s="37"/>
      <c r="T2708" s="38"/>
      <c r="U2708" s="38"/>
      <c r="V2708" s="78" t="s">
        <v>33</v>
      </c>
      <c r="W2708" s="106"/>
      <c r="X2708" s="106"/>
      <c r="Y2708" s="102"/>
    </row>
    <row r="2709">
      <c r="A2709" s="191" t="s">
        <v>7227</v>
      </c>
      <c r="B2709" s="248"/>
      <c r="C2709" s="99">
        <v>43683.0</v>
      </c>
      <c r="E2709" s="78" t="s">
        <v>41</v>
      </c>
      <c r="F2709" s="37">
        <v>1.0</v>
      </c>
      <c r="G2709" s="37">
        <v>1.0</v>
      </c>
      <c r="H2709" s="78">
        <v>1.0</v>
      </c>
      <c r="I2709" s="78" t="s">
        <v>33</v>
      </c>
      <c r="J2709" s="78" t="s">
        <v>909</v>
      </c>
      <c r="L2709" s="78" t="s">
        <v>7228</v>
      </c>
      <c r="M2709" s="46" t="s">
        <v>7229</v>
      </c>
      <c r="N2709" s="106"/>
      <c r="O2709" s="160" t="str">
        <f>hyperlink("https://bad-boys.us/?q=D-RI/1:19-mj-00071", "D-RI 1:19-mj-00071")</f>
        <v>D-RI 1:19-mj-00071</v>
      </c>
      <c r="Q2709" s="37">
        <v>1.0</v>
      </c>
      <c r="R2709" s="78"/>
      <c r="S2709" s="37"/>
      <c r="T2709" s="38"/>
      <c r="U2709" s="38" t="b">
        <f t="shared" ref="U2709:U2714" si="394">countif(A$4:A4658, A2709)&gt;1</f>
        <v>0</v>
      </c>
      <c r="V2709" s="78" t="s">
        <v>33</v>
      </c>
      <c r="W2709" s="106"/>
      <c r="X2709" s="106"/>
      <c r="Y2709" s="102"/>
    </row>
    <row r="2710">
      <c r="A2710" s="191" t="s">
        <v>7230</v>
      </c>
      <c r="B2710" s="248"/>
      <c r="C2710" s="99">
        <v>43683.0</v>
      </c>
      <c r="E2710" s="78" t="s">
        <v>31</v>
      </c>
      <c r="F2710" s="37">
        <v>1.0</v>
      </c>
      <c r="G2710" s="37" t="s">
        <v>32</v>
      </c>
      <c r="H2710" s="78">
        <v>1.0</v>
      </c>
      <c r="I2710" s="78" t="s">
        <v>33</v>
      </c>
      <c r="J2710" s="78" t="s">
        <v>193</v>
      </c>
      <c r="L2710" s="78" t="s">
        <v>76</v>
      </c>
      <c r="M2710" s="46" t="s">
        <v>7231</v>
      </c>
      <c r="N2710" s="46" t="s">
        <v>7232</v>
      </c>
      <c r="O2710" s="160" t="str">
        <f>hyperlink("https://bad-boys.us/?q=D-NM/1:19-cr-02319", "D-NM 1:19-cr-02319")</f>
        <v>D-NM 1:19-cr-02319</v>
      </c>
      <c r="Q2710" s="37">
        <v>1.0</v>
      </c>
      <c r="R2710" s="78"/>
      <c r="S2710" s="37" t="str">
        <f>IFERROR(__xludf.DUMMYFUNCTION("if(not(iserror(index(split(C2710, "" ""),2))), index(split(C2710, "" ""),1),"""")"),"August")</f>
        <v>August</v>
      </c>
      <c r="T2710" s="38">
        <f>IFERROR(__xludf.DUMMYFUNCTION("if(S2710="""",C2710,if(not(iserror(index(split(C2710, "" ""),3))), index(split(C2710, "" ""),3),index(split(C2710, "" ""),2)))"),2019.0)</f>
        <v>2019</v>
      </c>
      <c r="U2710" s="38" t="b">
        <f t="shared" si="394"/>
        <v>0</v>
      </c>
      <c r="V2710" s="78" t="s">
        <v>33</v>
      </c>
      <c r="W2710" s="46" t="s">
        <v>7233</v>
      </c>
      <c r="X2710" s="46" t="s">
        <v>7234</v>
      </c>
      <c r="Y2710" s="102"/>
    </row>
    <row r="2711">
      <c r="A2711" s="191" t="s">
        <v>7235</v>
      </c>
      <c r="B2711" s="248"/>
      <c r="C2711" s="99">
        <v>43684.0</v>
      </c>
      <c r="E2711" s="78" t="s">
        <v>41</v>
      </c>
      <c r="F2711" s="37">
        <v>1.0</v>
      </c>
      <c r="G2711" s="37" t="s">
        <v>32</v>
      </c>
      <c r="H2711" s="78">
        <v>1.0</v>
      </c>
      <c r="I2711" s="78" t="s">
        <v>33</v>
      </c>
      <c r="J2711" s="78" t="s">
        <v>7236</v>
      </c>
      <c r="L2711" s="78" t="s">
        <v>7237</v>
      </c>
      <c r="M2711" s="46" t="s">
        <v>7238</v>
      </c>
      <c r="N2711" s="46" t="s">
        <v>7239</v>
      </c>
      <c r="Q2711" s="37"/>
      <c r="R2711" s="78"/>
      <c r="S2711" s="37" t="str">
        <f>IFERROR(__xludf.DUMMYFUNCTION("if(not(iserror(index(split(C2711, "" ""),2))), index(split(C2711, "" ""),1),"""")"),"August")</f>
        <v>August</v>
      </c>
      <c r="T2711" s="38">
        <f>IFERROR(__xludf.DUMMYFUNCTION("if(S2711="""",C2711,if(not(iserror(index(split(C2711, "" ""),3))), index(split(C2711, "" ""),3),index(split(C2711, "" ""),2)))"),2019.0)</f>
        <v>2019</v>
      </c>
      <c r="U2711" s="38" t="b">
        <f t="shared" si="394"/>
        <v>0</v>
      </c>
      <c r="V2711" s="78" t="s">
        <v>33</v>
      </c>
      <c r="W2711" s="106"/>
      <c r="X2711" s="106"/>
      <c r="Y2711" s="102"/>
    </row>
    <row r="2712">
      <c r="A2712" s="265" t="s">
        <v>239</v>
      </c>
      <c r="B2712" s="248"/>
      <c r="C2712" s="99">
        <v>43684.0</v>
      </c>
      <c r="E2712" s="78" t="s">
        <v>41</v>
      </c>
      <c r="F2712" s="37">
        <v>1.0</v>
      </c>
      <c r="G2712" s="37">
        <v>2.0</v>
      </c>
      <c r="H2712" s="78">
        <v>2.0</v>
      </c>
      <c r="I2712" s="78" t="s">
        <v>33</v>
      </c>
      <c r="J2712" s="78" t="s">
        <v>241</v>
      </c>
      <c r="L2712" s="78" t="s">
        <v>194</v>
      </c>
      <c r="M2712" s="46" t="s">
        <v>7240</v>
      </c>
      <c r="N2712" s="106"/>
      <c r="Q2712" s="37"/>
      <c r="R2712" s="78"/>
      <c r="S2712" s="37" t="str">
        <f>IFERROR(__xludf.DUMMYFUNCTION("if(not(iserror(index(split(C2712, "" ""),2))), index(split(C2712, "" ""),1),"""")"),"August")</f>
        <v>August</v>
      </c>
      <c r="T2712" s="38">
        <f>IFERROR(__xludf.DUMMYFUNCTION("if(S2712="""",C2712,if(not(iserror(index(split(C2712, "" ""),3))), index(split(C2712, "" ""),3),index(split(C2712, "" ""),2)))"),2019.0)</f>
        <v>2019</v>
      </c>
      <c r="U2712" s="38" t="b">
        <f t="shared" si="394"/>
        <v>1</v>
      </c>
      <c r="V2712" s="78" t="s">
        <v>33</v>
      </c>
      <c r="W2712" s="106"/>
      <c r="X2712" s="106"/>
      <c r="Y2712" s="102"/>
    </row>
    <row r="2713">
      <c r="A2713" s="191" t="s">
        <v>239</v>
      </c>
      <c r="B2713" s="248"/>
      <c r="C2713" s="99">
        <v>43684.0</v>
      </c>
      <c r="E2713" s="78" t="s">
        <v>41</v>
      </c>
      <c r="F2713" s="37">
        <v>2.0</v>
      </c>
      <c r="G2713" s="37">
        <v>2.0</v>
      </c>
      <c r="H2713" s="78">
        <v>2.0</v>
      </c>
      <c r="I2713" s="78" t="s">
        <v>33</v>
      </c>
      <c r="J2713" s="78" t="s">
        <v>241</v>
      </c>
      <c r="L2713" s="78" t="s">
        <v>194</v>
      </c>
      <c r="M2713" s="106" t="s">
        <v>7240</v>
      </c>
      <c r="N2713" s="106"/>
      <c r="Q2713" s="37"/>
      <c r="R2713" s="78"/>
      <c r="S2713" s="37" t="str">
        <f>IFERROR(__xludf.DUMMYFUNCTION("if(not(iserror(index(split(C2713, "" ""),2))), index(split(C2713, "" ""),1),"""")"),"August")</f>
        <v>August</v>
      </c>
      <c r="T2713" s="38">
        <f>IFERROR(__xludf.DUMMYFUNCTION("if(S2713="""",C2713,if(not(iserror(index(split(C2713, "" ""),3))), index(split(C2713, "" ""),3),index(split(C2713, "" ""),2)))"),2019.0)</f>
        <v>2019</v>
      </c>
      <c r="U2713" s="38" t="b">
        <f t="shared" si="394"/>
        <v>1</v>
      </c>
      <c r="V2713" s="78" t="s">
        <v>33</v>
      </c>
      <c r="W2713" s="106"/>
      <c r="X2713" s="106"/>
      <c r="Y2713" s="102"/>
    </row>
    <row r="2714">
      <c r="A2714" s="265" t="s">
        <v>239</v>
      </c>
      <c r="B2714" s="248"/>
      <c r="C2714" s="99">
        <v>43684.0</v>
      </c>
      <c r="E2714" s="78" t="s">
        <v>41</v>
      </c>
      <c r="F2714" s="37">
        <v>1.0</v>
      </c>
      <c r="G2714" s="37">
        <v>7.0</v>
      </c>
      <c r="H2714" s="78">
        <v>7.0</v>
      </c>
      <c r="I2714" s="78" t="s">
        <v>33</v>
      </c>
      <c r="J2714" s="78" t="s">
        <v>241</v>
      </c>
      <c r="L2714" s="78" t="s">
        <v>194</v>
      </c>
      <c r="M2714" s="106" t="s">
        <v>7240</v>
      </c>
      <c r="N2714" s="106"/>
      <c r="Q2714" s="37"/>
      <c r="R2714" s="78"/>
      <c r="S2714" s="37" t="str">
        <f>IFERROR(__xludf.DUMMYFUNCTION("if(not(iserror(index(split(C2714, "" ""),2))), index(split(C2714, "" ""),1),"""")"),"August")</f>
        <v>August</v>
      </c>
      <c r="T2714" s="38">
        <f>IFERROR(__xludf.DUMMYFUNCTION("if(S2714="""",C2714,if(not(iserror(index(split(C2714, "" ""),3))), index(split(C2714, "" ""),3),index(split(C2714, "" ""),2)))"),2019.0)</f>
        <v>2019</v>
      </c>
      <c r="U2714" s="38" t="b">
        <f t="shared" si="394"/>
        <v>1</v>
      </c>
      <c r="V2714" s="78" t="s">
        <v>33</v>
      </c>
      <c r="W2714" s="106"/>
      <c r="X2714" s="106"/>
      <c r="Y2714" s="102"/>
    </row>
    <row r="2715">
      <c r="A2715" s="191" t="s">
        <v>7241</v>
      </c>
      <c r="B2715" s="248"/>
      <c r="C2715" s="99">
        <v>43685.0</v>
      </c>
      <c r="E2715" s="78" t="s">
        <v>41</v>
      </c>
      <c r="F2715" s="37">
        <v>1.0</v>
      </c>
      <c r="G2715" s="37" t="s">
        <v>32</v>
      </c>
      <c r="H2715" s="78">
        <v>1.0</v>
      </c>
      <c r="I2715" s="78" t="s">
        <v>33</v>
      </c>
      <c r="J2715" s="78" t="s">
        <v>75</v>
      </c>
      <c r="L2715" s="78" t="s">
        <v>6593</v>
      </c>
      <c r="M2715" s="46" t="s">
        <v>7242</v>
      </c>
      <c r="N2715" s="106"/>
      <c r="Q2715" s="37"/>
      <c r="R2715" s="78"/>
      <c r="S2715" s="37"/>
      <c r="T2715" s="38"/>
      <c r="U2715" s="38"/>
      <c r="V2715" s="78" t="s">
        <v>33</v>
      </c>
      <c r="W2715" s="106"/>
      <c r="X2715" s="106"/>
      <c r="Y2715" s="102"/>
    </row>
    <row r="2716">
      <c r="A2716" s="191" t="s">
        <v>7243</v>
      </c>
      <c r="B2716" s="248"/>
      <c r="C2716" s="99">
        <v>43685.0</v>
      </c>
      <c r="E2716" s="78" t="s">
        <v>41</v>
      </c>
      <c r="F2716" s="37">
        <v>1.0</v>
      </c>
      <c r="G2716" s="37" t="s">
        <v>32</v>
      </c>
      <c r="H2716" s="78">
        <v>1.0</v>
      </c>
      <c r="I2716" s="78" t="s">
        <v>33</v>
      </c>
      <c r="J2716" s="78" t="s">
        <v>504</v>
      </c>
      <c r="L2716" s="78" t="s">
        <v>6593</v>
      </c>
      <c r="M2716" s="46" t="s">
        <v>7244</v>
      </c>
      <c r="N2716" s="46" t="s">
        <v>7245</v>
      </c>
      <c r="Q2716" s="37"/>
      <c r="R2716" s="78"/>
      <c r="S2716" s="37"/>
      <c r="T2716" s="38"/>
      <c r="U2716" s="38"/>
      <c r="V2716" s="78" t="s">
        <v>33</v>
      </c>
      <c r="W2716" s="46" t="s">
        <v>7246</v>
      </c>
      <c r="X2716" s="106"/>
      <c r="Y2716" s="102"/>
    </row>
    <row r="2717">
      <c r="A2717" s="191" t="s">
        <v>7247</v>
      </c>
      <c r="B2717" s="248"/>
      <c r="C2717" s="99">
        <v>43685.0</v>
      </c>
      <c r="E2717" s="78" t="s">
        <v>41</v>
      </c>
      <c r="F2717" s="37">
        <v>1.0</v>
      </c>
      <c r="G2717" s="37" t="s">
        <v>32</v>
      </c>
      <c r="H2717" s="78">
        <v>1.0</v>
      </c>
      <c r="I2717" s="78" t="s">
        <v>33</v>
      </c>
      <c r="J2717" s="78" t="s">
        <v>279</v>
      </c>
      <c r="L2717" s="78" t="s">
        <v>6593</v>
      </c>
      <c r="M2717" s="46" t="s">
        <v>7248</v>
      </c>
      <c r="N2717" s="106"/>
      <c r="O2717" s="160" t="str">
        <f>hyperlink("https://bad-boys.us/?q=ED-MO/4:19-cr-00553", "ED-MO 4:19-cr-00553")</f>
        <v>ED-MO 4:19-cr-00553</v>
      </c>
      <c r="Q2717" s="37">
        <v>1.0</v>
      </c>
      <c r="R2717" s="78"/>
      <c r="S2717" s="37" t="str">
        <f>IFERROR(__xludf.DUMMYFUNCTION("if(not(iserror(index(split(C2717, "" ""),2))), index(split(C2717, "" ""),1),"""")"),"August")</f>
        <v>August</v>
      </c>
      <c r="T2717" s="38">
        <f>IFERROR(__xludf.DUMMYFUNCTION("if(S2717="""",C2717,if(not(iserror(index(split(C2717, "" ""),3))), index(split(C2717, "" ""),3),index(split(C2717, "" ""),2)))"),2019.0)</f>
        <v>2019</v>
      </c>
      <c r="U2717" s="38" t="b">
        <f t="shared" ref="U2717:U2719" si="395">countif(A$4:A4658, A2717)&gt;1</f>
        <v>0</v>
      </c>
      <c r="V2717" s="78" t="s">
        <v>33</v>
      </c>
      <c r="W2717" s="106"/>
      <c r="X2717" s="106"/>
      <c r="Y2717" s="102"/>
    </row>
    <row r="2718">
      <c r="A2718" s="191" t="s">
        <v>7249</v>
      </c>
      <c r="B2718" s="248"/>
      <c r="C2718" s="99">
        <v>43686.0</v>
      </c>
      <c r="E2718" s="78" t="s">
        <v>41</v>
      </c>
      <c r="F2718" s="37">
        <v>1.0</v>
      </c>
      <c r="G2718" s="37" t="s">
        <v>32</v>
      </c>
      <c r="H2718" s="78">
        <v>1.0</v>
      </c>
      <c r="I2718" s="78" t="s">
        <v>33</v>
      </c>
      <c r="J2718" s="78" t="s">
        <v>402</v>
      </c>
      <c r="L2718" s="78" t="s">
        <v>6593</v>
      </c>
      <c r="M2718" s="46" t="s">
        <v>7250</v>
      </c>
      <c r="N2718" s="46" t="s">
        <v>7251</v>
      </c>
      <c r="O2718" s="160" t="str">
        <f>hyperlink("https://bad-boys.us/?q=ND-IN/2:19-mj-00186", "ND-IN 2:19-mj-00186")</f>
        <v>ND-IN 2:19-mj-00186</v>
      </c>
      <c r="Q2718" s="37">
        <v>1.0</v>
      </c>
      <c r="R2718" s="78"/>
      <c r="S2718" s="37" t="str">
        <f>IFERROR(__xludf.DUMMYFUNCTION("if(not(iserror(index(split(C2718, "" ""),2))), index(split(C2718, "" ""),1),"""")"),"August")</f>
        <v>August</v>
      </c>
      <c r="T2718" s="38">
        <f>IFERROR(__xludf.DUMMYFUNCTION("if(S2718="""",C2718,if(not(iserror(index(split(C2718, "" ""),3))), index(split(C2718, "" ""),3),index(split(C2718, "" ""),2)))"),2019.0)</f>
        <v>2019</v>
      </c>
      <c r="U2718" s="38" t="b">
        <f t="shared" si="395"/>
        <v>0</v>
      </c>
      <c r="V2718" s="78" t="s">
        <v>33</v>
      </c>
      <c r="W2718" s="46" t="s">
        <v>7252</v>
      </c>
      <c r="X2718" s="106"/>
      <c r="Y2718" s="102"/>
    </row>
    <row r="2719">
      <c r="A2719" s="87" t="s">
        <v>7253</v>
      </c>
      <c r="B2719" s="248"/>
      <c r="C2719" s="99">
        <v>43686.0</v>
      </c>
      <c r="E2719" s="78" t="s">
        <v>41</v>
      </c>
      <c r="F2719" s="37">
        <v>1.0</v>
      </c>
      <c r="G2719" s="37" t="s">
        <v>32</v>
      </c>
      <c r="H2719" s="78">
        <v>1.0</v>
      </c>
      <c r="I2719" s="78" t="s">
        <v>33</v>
      </c>
      <c r="J2719" s="78" t="s">
        <v>124</v>
      </c>
      <c r="L2719" s="78" t="s">
        <v>76</v>
      </c>
      <c r="M2719" s="106" t="s">
        <v>7254</v>
      </c>
      <c r="N2719" s="106"/>
      <c r="O2719" s="160" t="str">
        <f>hyperlink("https://bad-boys.us/?q=SD-OH/2:19-cr-00174", "SD-OH 2:19-cr-00174")</f>
        <v>SD-OH 2:19-cr-00174</v>
      </c>
      <c r="Q2719" s="37">
        <v>1.0</v>
      </c>
      <c r="R2719" s="78"/>
      <c r="S2719" s="37" t="str">
        <f>IFERROR(__xludf.DUMMYFUNCTION("if(not(iserror(index(split(C2719, "" ""),2))), index(split(C2719, "" ""),1),"""")"),"August")</f>
        <v>August</v>
      </c>
      <c r="T2719" s="38">
        <f>IFERROR(__xludf.DUMMYFUNCTION("if(S2719="""",C2719,if(not(iserror(index(split(C2719, "" ""),3))), index(split(C2719, "" ""),3),index(split(C2719, "" ""),2)))"),2019.0)</f>
        <v>2019</v>
      </c>
      <c r="U2719" s="38" t="b">
        <f t="shared" si="395"/>
        <v>0</v>
      </c>
      <c r="V2719" s="78" t="s">
        <v>33</v>
      </c>
      <c r="W2719" s="106"/>
      <c r="X2719" s="106"/>
      <c r="Y2719" s="102"/>
    </row>
    <row r="2720">
      <c r="A2720" s="87" t="s">
        <v>7255</v>
      </c>
      <c r="B2720" s="248"/>
      <c r="C2720" s="99">
        <v>43686.0</v>
      </c>
      <c r="E2720" s="78" t="s">
        <v>41</v>
      </c>
      <c r="F2720" s="37">
        <v>1.0</v>
      </c>
      <c r="G2720" s="37" t="s">
        <v>32</v>
      </c>
      <c r="H2720" s="78">
        <v>1.0</v>
      </c>
      <c r="I2720" s="78" t="s">
        <v>33</v>
      </c>
      <c r="J2720" s="78" t="s">
        <v>124</v>
      </c>
      <c r="L2720" s="78" t="s">
        <v>7256</v>
      </c>
      <c r="M2720" s="106" t="s">
        <v>7257</v>
      </c>
      <c r="N2720" s="106"/>
      <c r="O2720" s="160" t="str">
        <f>hyperlink("https://bad-boys.us/?q=SD-OH/2:19-cr-00198", "SD-OH 2:19-cr-00198")</f>
        <v>SD-OH 2:19-cr-00198</v>
      </c>
      <c r="Q2720" s="37">
        <v>1.0</v>
      </c>
      <c r="R2720" s="78"/>
      <c r="S2720" s="37"/>
      <c r="T2720" s="38"/>
      <c r="U2720" s="38"/>
      <c r="V2720" s="78" t="s">
        <v>33</v>
      </c>
      <c r="W2720" s="106"/>
      <c r="X2720" s="106"/>
      <c r="Y2720" s="102"/>
    </row>
    <row r="2721">
      <c r="A2721" s="87" t="s">
        <v>239</v>
      </c>
      <c r="B2721" s="248"/>
      <c r="C2721" s="99">
        <v>43687.0</v>
      </c>
      <c r="E2721" s="78" t="s">
        <v>41</v>
      </c>
      <c r="F2721" s="37">
        <v>3.0</v>
      </c>
      <c r="G2721" s="37">
        <v>12.0</v>
      </c>
      <c r="H2721" s="78">
        <v>12.0</v>
      </c>
      <c r="I2721" s="78" t="s">
        <v>33</v>
      </c>
      <c r="J2721" s="78" t="s">
        <v>147</v>
      </c>
      <c r="L2721" s="78" t="s">
        <v>194</v>
      </c>
      <c r="M2721" s="46" t="s">
        <v>7258</v>
      </c>
      <c r="N2721" s="106"/>
      <c r="Q2721" s="37"/>
      <c r="R2721" s="78"/>
      <c r="S2721" s="37" t="str">
        <f>IFERROR(__xludf.DUMMYFUNCTION("if(not(iserror(index(split(C2721, "" ""),2))), index(split(C2721, "" ""),1),"""")"),"August")</f>
        <v>August</v>
      </c>
      <c r="T2721" s="38">
        <f>IFERROR(__xludf.DUMMYFUNCTION("if(S2721="""",C2721,if(not(iserror(index(split(C2721, "" ""),3))), index(split(C2721, "" ""),3),index(split(C2721, "" ""),2)))"),2019.0)</f>
        <v>2019</v>
      </c>
      <c r="U2721" s="38" t="b">
        <f t="shared" ref="U2721:U2730" si="396">countif(A$4:A4658, A2721)&gt;1</f>
        <v>1</v>
      </c>
      <c r="V2721" s="78" t="s">
        <v>7259</v>
      </c>
      <c r="W2721" s="106"/>
      <c r="X2721" s="106"/>
      <c r="Y2721" s="102"/>
    </row>
    <row r="2722">
      <c r="A2722" s="87" t="s">
        <v>7260</v>
      </c>
      <c r="B2722" s="248"/>
      <c r="C2722" s="99">
        <v>43689.0</v>
      </c>
      <c r="E2722" s="78" t="s">
        <v>41</v>
      </c>
      <c r="F2722" s="37">
        <v>1.0</v>
      </c>
      <c r="G2722" s="37" t="s">
        <v>32</v>
      </c>
      <c r="H2722" s="78">
        <v>1.0</v>
      </c>
      <c r="I2722" s="78" t="s">
        <v>33</v>
      </c>
      <c r="J2722" s="78" t="s">
        <v>268</v>
      </c>
      <c r="L2722" s="78" t="s">
        <v>2396</v>
      </c>
      <c r="M2722" s="46" t="s">
        <v>7261</v>
      </c>
      <c r="N2722" s="106" t="s">
        <v>7262</v>
      </c>
      <c r="Q2722" s="37"/>
      <c r="R2722" s="78"/>
      <c r="S2722" s="37" t="str">
        <f>IFERROR(__xludf.DUMMYFUNCTION("if(not(iserror(index(split(C2722, "" ""),2))), index(split(C2722, "" ""),1),"""")"),"August")</f>
        <v>August</v>
      </c>
      <c r="T2722" s="38">
        <f>IFERROR(__xludf.DUMMYFUNCTION("if(S2722="""",C2722,if(not(iserror(index(split(C2722, "" ""),3))), index(split(C2722, "" ""),3),index(split(C2722, "" ""),2)))"),2019.0)</f>
        <v>2019</v>
      </c>
      <c r="U2722" s="38" t="b">
        <f t="shared" si="396"/>
        <v>1</v>
      </c>
      <c r="V2722" s="78" t="s">
        <v>33</v>
      </c>
      <c r="W2722" s="106"/>
      <c r="X2722" s="106"/>
      <c r="Y2722" s="102"/>
    </row>
    <row r="2723">
      <c r="A2723" s="87" t="s">
        <v>7263</v>
      </c>
      <c r="B2723" s="248"/>
      <c r="C2723" s="99">
        <v>43689.0</v>
      </c>
      <c r="E2723" s="78" t="s">
        <v>41</v>
      </c>
      <c r="F2723" s="37">
        <v>1.0</v>
      </c>
      <c r="G2723" s="37" t="s">
        <v>32</v>
      </c>
      <c r="H2723" s="78">
        <v>1.0</v>
      </c>
      <c r="I2723" s="78" t="s">
        <v>33</v>
      </c>
      <c r="J2723" s="78" t="s">
        <v>268</v>
      </c>
      <c r="L2723" s="78" t="s">
        <v>2396</v>
      </c>
      <c r="M2723" s="46" t="s">
        <v>7261</v>
      </c>
      <c r="N2723" s="106" t="s">
        <v>7262</v>
      </c>
      <c r="Q2723" s="37"/>
      <c r="R2723" s="78"/>
      <c r="S2723" s="37" t="str">
        <f>IFERROR(__xludf.DUMMYFUNCTION("if(not(iserror(index(split(C2723, "" ""),2))), index(split(C2723, "" ""),1),"""")"),"August")</f>
        <v>August</v>
      </c>
      <c r="T2723" s="38">
        <f>IFERROR(__xludf.DUMMYFUNCTION("if(S2723="""",C2723,if(not(iserror(index(split(C2723, "" ""),3))), index(split(C2723, "" ""),3),index(split(C2723, "" ""),2)))"),2019.0)</f>
        <v>2019</v>
      </c>
      <c r="U2723" s="38" t="b">
        <f t="shared" si="396"/>
        <v>1</v>
      </c>
      <c r="V2723" s="78" t="s">
        <v>33</v>
      </c>
      <c r="W2723" s="106"/>
      <c r="X2723" s="106"/>
      <c r="Y2723" s="102"/>
    </row>
    <row r="2724">
      <c r="A2724" s="194" t="s">
        <v>7264</v>
      </c>
      <c r="B2724" s="125"/>
      <c r="C2724" s="126">
        <v>43689.0</v>
      </c>
      <c r="D2724" s="133"/>
      <c r="E2724" s="128" t="s">
        <v>41</v>
      </c>
      <c r="F2724" s="129">
        <v>1.0</v>
      </c>
      <c r="G2724" s="128" t="s">
        <v>32</v>
      </c>
      <c r="H2724" s="300">
        <v>1.0</v>
      </c>
      <c r="I2724" s="128" t="s">
        <v>33</v>
      </c>
      <c r="J2724" s="128" t="s">
        <v>268</v>
      </c>
      <c r="K2724" s="133"/>
      <c r="L2724" s="128" t="s">
        <v>2396</v>
      </c>
      <c r="M2724" s="131" t="s">
        <v>7261</v>
      </c>
      <c r="N2724" s="219" t="s">
        <v>7262</v>
      </c>
      <c r="O2724" s="133"/>
      <c r="P2724" s="133"/>
      <c r="Q2724" s="124"/>
      <c r="R2724" s="128"/>
      <c r="S2724" s="37" t="str">
        <f>IFERROR(__xludf.DUMMYFUNCTION("if(not(iserror(index(split(C2724, "" ""),2))), index(split(C2724, "" ""),1),"""")"),"August")</f>
        <v>August</v>
      </c>
      <c r="T2724" s="38">
        <f>IFERROR(__xludf.DUMMYFUNCTION("if(S2724="""",C2724,if(not(iserror(index(split(C2724, "" ""),3))), index(split(C2724, "" ""),3),index(split(C2724, "" ""),2)))"),2019.0)</f>
        <v>2019</v>
      </c>
      <c r="U2724" s="38" t="b">
        <f t="shared" si="396"/>
        <v>0</v>
      </c>
      <c r="V2724" s="128" t="s">
        <v>33</v>
      </c>
      <c r="W2724" s="138"/>
      <c r="X2724" s="138"/>
      <c r="Y2724" s="132"/>
      <c r="Z2724" s="133"/>
      <c r="AA2724" s="133"/>
      <c r="AB2724" s="133"/>
      <c r="AC2724" s="133"/>
      <c r="AD2724" s="133"/>
      <c r="AE2724" s="133"/>
      <c r="AF2724" s="133"/>
      <c r="AG2724" s="133"/>
      <c r="AH2724" s="133"/>
      <c r="AI2724" s="133"/>
      <c r="AJ2724" s="133"/>
      <c r="AK2724" s="133"/>
      <c r="AL2724" s="133"/>
      <c r="AM2724" s="133"/>
      <c r="AN2724" s="133"/>
      <c r="AO2724" s="133"/>
      <c r="AP2724" s="133"/>
      <c r="AQ2724" s="133"/>
      <c r="AR2724" s="133"/>
      <c r="AS2724" s="133"/>
      <c r="AT2724" s="133"/>
      <c r="AU2724" s="133"/>
      <c r="AV2724" s="133"/>
      <c r="AW2724" s="133"/>
      <c r="AX2724" s="133"/>
      <c r="AY2724" s="133"/>
      <c r="AZ2724" s="133"/>
      <c r="BA2724" s="133"/>
      <c r="BB2724" s="133"/>
      <c r="BC2724" s="133"/>
      <c r="BD2724" s="133"/>
      <c r="BE2724" s="133"/>
      <c r="BF2724" s="133"/>
      <c r="BG2724" s="133"/>
      <c r="BH2724" s="133"/>
      <c r="BI2724" s="133"/>
      <c r="BJ2724" s="133"/>
      <c r="BK2724" s="133"/>
      <c r="BL2724" s="133"/>
      <c r="BM2724" s="133"/>
      <c r="BN2724" s="133"/>
      <c r="BO2724" s="133"/>
      <c r="BP2724" s="133"/>
      <c r="BQ2724" s="133"/>
    </row>
    <row r="2725">
      <c r="A2725" s="194" t="s">
        <v>7265</v>
      </c>
      <c r="B2725" s="301"/>
      <c r="C2725" s="126">
        <v>43689.0</v>
      </c>
      <c r="D2725" s="302"/>
      <c r="E2725" s="124" t="s">
        <v>41</v>
      </c>
      <c r="F2725" s="198">
        <v>1.0</v>
      </c>
      <c r="G2725" s="124" t="s">
        <v>32</v>
      </c>
      <c r="H2725" s="303">
        <v>1.0</v>
      </c>
      <c r="I2725" s="124" t="s">
        <v>33</v>
      </c>
      <c r="J2725" s="124" t="s">
        <v>268</v>
      </c>
      <c r="K2725" s="302"/>
      <c r="L2725" s="124" t="s">
        <v>7266</v>
      </c>
      <c r="M2725" s="242" t="s">
        <v>7267</v>
      </c>
      <c r="N2725" s="233"/>
      <c r="O2725" s="172" t="str">
        <f>hyperlink("https://bad-boys.us/?q=ND-OK/4:19-cr-00160", "ND-OK 4:19-cr-00160")</f>
        <v>ND-OK 4:19-cr-00160</v>
      </c>
      <c r="P2725" s="302"/>
      <c r="Q2725" s="124">
        <v>1.0</v>
      </c>
      <c r="R2725" s="124"/>
      <c r="S2725" s="37"/>
      <c r="T2725" s="38"/>
      <c r="U2725" s="38" t="b">
        <f t="shared" si="396"/>
        <v>0</v>
      </c>
      <c r="V2725" s="124" t="s">
        <v>33</v>
      </c>
      <c r="W2725" s="233"/>
      <c r="X2725" s="233"/>
      <c r="Y2725" s="304"/>
      <c r="Z2725" s="302"/>
      <c r="AA2725" s="302"/>
      <c r="AB2725" s="302"/>
      <c r="AC2725" s="302"/>
      <c r="AD2725" s="302"/>
      <c r="AE2725" s="302"/>
      <c r="AF2725" s="302"/>
      <c r="AG2725" s="302"/>
      <c r="AH2725" s="302"/>
      <c r="AI2725" s="302"/>
      <c r="AJ2725" s="302"/>
      <c r="AK2725" s="302"/>
      <c r="AL2725" s="302"/>
      <c r="AM2725" s="302"/>
      <c r="AN2725" s="302"/>
      <c r="AO2725" s="302"/>
      <c r="AP2725" s="302"/>
      <c r="AQ2725" s="302"/>
      <c r="AR2725" s="302"/>
      <c r="AS2725" s="302"/>
      <c r="AT2725" s="302"/>
      <c r="AU2725" s="302"/>
      <c r="AV2725" s="302"/>
      <c r="AW2725" s="302"/>
      <c r="AX2725" s="302"/>
      <c r="AY2725" s="302"/>
      <c r="AZ2725" s="302"/>
      <c r="BA2725" s="302"/>
      <c r="BB2725" s="302"/>
      <c r="BC2725" s="302"/>
      <c r="BD2725" s="302"/>
      <c r="BE2725" s="302"/>
      <c r="BF2725" s="302"/>
      <c r="BG2725" s="302"/>
      <c r="BH2725" s="302"/>
      <c r="BI2725" s="302"/>
      <c r="BJ2725" s="302"/>
      <c r="BK2725" s="302"/>
      <c r="BL2725" s="302"/>
      <c r="BM2725" s="302"/>
      <c r="BN2725" s="302"/>
      <c r="BO2725" s="302"/>
      <c r="BP2725" s="302"/>
      <c r="BQ2725" s="302"/>
    </row>
    <row r="2726">
      <c r="A2726" s="194" t="s">
        <v>7268</v>
      </c>
      <c r="B2726" s="125"/>
      <c r="C2726" s="126">
        <v>43690.0</v>
      </c>
      <c r="D2726" s="133"/>
      <c r="E2726" s="124" t="s">
        <v>41</v>
      </c>
      <c r="F2726" s="198">
        <v>1.0</v>
      </c>
      <c r="G2726" s="124" t="s">
        <v>32</v>
      </c>
      <c r="H2726" s="303">
        <v>1.0</v>
      </c>
      <c r="I2726" s="124" t="s">
        <v>33</v>
      </c>
      <c r="J2726" s="124" t="s">
        <v>115</v>
      </c>
      <c r="K2726" s="133"/>
      <c r="L2726" s="124" t="s">
        <v>69</v>
      </c>
      <c r="M2726" s="242" t="s">
        <v>7269</v>
      </c>
      <c r="N2726" s="128"/>
      <c r="O2726" s="133"/>
      <c r="P2726" s="133"/>
      <c r="Q2726" s="124">
        <v>1.0</v>
      </c>
      <c r="R2726" s="128"/>
      <c r="S2726" s="37" t="str">
        <f>IFERROR(__xludf.DUMMYFUNCTION("if(not(iserror(index(split(C2726, "" ""),2))), index(split(C2726, "" ""),1),"""")"),"August")</f>
        <v>August</v>
      </c>
      <c r="T2726" s="38">
        <f>IFERROR(__xludf.DUMMYFUNCTION("if(S2726="""",C2726,if(not(iserror(index(split(C2726, "" ""),3))), index(split(C2726, "" ""),3),index(split(C2726, "" ""),2)))"),2019.0)</f>
        <v>2019</v>
      </c>
      <c r="U2726" s="38" t="b">
        <f t="shared" si="396"/>
        <v>0</v>
      </c>
      <c r="V2726" s="124" t="s">
        <v>33</v>
      </c>
      <c r="W2726" s="138"/>
      <c r="X2726" s="138"/>
      <c r="Y2726" s="132"/>
      <c r="Z2726" s="133"/>
      <c r="AA2726" s="133"/>
      <c r="AB2726" s="133"/>
      <c r="AC2726" s="133"/>
      <c r="AD2726" s="133"/>
      <c r="AE2726" s="133"/>
      <c r="AF2726" s="133"/>
      <c r="AG2726" s="133"/>
      <c r="AH2726" s="133"/>
      <c r="AI2726" s="133"/>
      <c r="AJ2726" s="133"/>
      <c r="AK2726" s="133"/>
      <c r="AL2726" s="133"/>
      <c r="AM2726" s="133"/>
      <c r="AN2726" s="133"/>
      <c r="AO2726" s="133"/>
      <c r="AP2726" s="133"/>
      <c r="AQ2726" s="133"/>
      <c r="AR2726" s="133"/>
      <c r="AS2726" s="133"/>
      <c r="AT2726" s="133"/>
      <c r="AU2726" s="133"/>
      <c r="AV2726" s="133"/>
      <c r="AW2726" s="133"/>
      <c r="AX2726" s="133"/>
      <c r="AY2726" s="133"/>
      <c r="AZ2726" s="133"/>
      <c r="BA2726" s="133"/>
      <c r="BB2726" s="133"/>
      <c r="BC2726" s="133"/>
      <c r="BD2726" s="133"/>
      <c r="BE2726" s="133"/>
      <c r="BF2726" s="133"/>
      <c r="BG2726" s="133"/>
      <c r="BH2726" s="133"/>
      <c r="BI2726" s="133"/>
      <c r="BJ2726" s="133"/>
      <c r="BK2726" s="133"/>
      <c r="BL2726" s="133"/>
      <c r="BM2726" s="133"/>
      <c r="BN2726" s="133"/>
      <c r="BO2726" s="133"/>
      <c r="BP2726" s="133"/>
      <c r="BQ2726" s="133"/>
    </row>
    <row r="2727">
      <c r="A2727" s="194" t="s">
        <v>7270</v>
      </c>
      <c r="B2727" s="125"/>
      <c r="C2727" s="126">
        <v>43690.0</v>
      </c>
      <c r="D2727" s="133"/>
      <c r="E2727" s="124" t="s">
        <v>41</v>
      </c>
      <c r="F2727" s="198">
        <v>1.0</v>
      </c>
      <c r="G2727" s="124" t="s">
        <v>32</v>
      </c>
      <c r="H2727" s="303">
        <v>1.0</v>
      </c>
      <c r="I2727" s="124" t="s">
        <v>33</v>
      </c>
      <c r="J2727" s="124" t="s">
        <v>402</v>
      </c>
      <c r="K2727" s="133"/>
      <c r="L2727" s="124" t="s">
        <v>76</v>
      </c>
      <c r="M2727" s="242" t="s">
        <v>7271</v>
      </c>
      <c r="N2727" s="173" t="s">
        <v>7272</v>
      </c>
      <c r="O2727" s="172" t="str">
        <f t="shared" ref="O2727:O2728" si="397">hyperlink("https://bad-boys.us/?q=SD-IN/1:19-cr-00299", "SD-IN 1:19-cr-00299 ❓")</f>
        <v>SD-IN 1:19-cr-00299 ❓</v>
      </c>
      <c r="P2727" s="133"/>
      <c r="Q2727" s="124">
        <v>1.0</v>
      </c>
      <c r="R2727" s="128"/>
      <c r="S2727" s="37" t="str">
        <f>IFERROR(__xludf.DUMMYFUNCTION("if(not(iserror(index(split(C2727, "" ""),2))), index(split(C2727, "" ""),1),"""")"),"August")</f>
        <v>August</v>
      </c>
      <c r="T2727" s="38">
        <f>IFERROR(__xludf.DUMMYFUNCTION("if(S2727="""",C2727,if(not(iserror(index(split(C2727, "" ""),3))), index(split(C2727, "" ""),3),index(split(C2727, "" ""),2)))"),2019.0)</f>
        <v>2019</v>
      </c>
      <c r="U2727" s="38" t="b">
        <f t="shared" si="396"/>
        <v>0</v>
      </c>
      <c r="V2727" s="124" t="s">
        <v>33</v>
      </c>
      <c r="W2727" s="138"/>
      <c r="X2727" s="138"/>
      <c r="Y2727" s="132"/>
      <c r="Z2727" s="133"/>
      <c r="AA2727" s="133"/>
      <c r="AB2727" s="133"/>
      <c r="AC2727" s="133"/>
      <c r="AD2727" s="133"/>
      <c r="AE2727" s="133"/>
      <c r="AF2727" s="133"/>
      <c r="AG2727" s="133"/>
      <c r="AH2727" s="133"/>
      <c r="AI2727" s="133"/>
      <c r="AJ2727" s="133"/>
      <c r="AK2727" s="133"/>
      <c r="AL2727" s="133"/>
      <c r="AM2727" s="133"/>
      <c r="AN2727" s="133"/>
      <c r="AO2727" s="133"/>
      <c r="AP2727" s="133"/>
      <c r="AQ2727" s="133"/>
      <c r="AR2727" s="133"/>
      <c r="AS2727" s="133"/>
      <c r="AT2727" s="133"/>
      <c r="AU2727" s="133"/>
      <c r="AV2727" s="133"/>
      <c r="AW2727" s="133"/>
      <c r="AX2727" s="133"/>
      <c r="AY2727" s="133"/>
      <c r="AZ2727" s="133"/>
      <c r="BA2727" s="133"/>
      <c r="BB2727" s="133"/>
      <c r="BC2727" s="133"/>
      <c r="BD2727" s="133"/>
      <c r="BE2727" s="133"/>
      <c r="BF2727" s="133"/>
      <c r="BG2727" s="133"/>
      <c r="BH2727" s="133"/>
      <c r="BI2727" s="133"/>
      <c r="BJ2727" s="133"/>
      <c r="BK2727" s="133"/>
      <c r="BL2727" s="133"/>
      <c r="BM2727" s="133"/>
      <c r="BN2727" s="133"/>
      <c r="BO2727" s="133"/>
      <c r="BP2727" s="133"/>
      <c r="BQ2727" s="133"/>
    </row>
    <row r="2728">
      <c r="A2728" s="194" t="s">
        <v>7273</v>
      </c>
      <c r="B2728" s="125"/>
      <c r="C2728" s="126">
        <v>43690.0</v>
      </c>
      <c r="D2728" s="133"/>
      <c r="E2728" s="124" t="s">
        <v>41</v>
      </c>
      <c r="F2728" s="198">
        <v>1.0</v>
      </c>
      <c r="G2728" s="124" t="s">
        <v>32</v>
      </c>
      <c r="H2728" s="303">
        <v>1.0</v>
      </c>
      <c r="I2728" s="124" t="s">
        <v>33</v>
      </c>
      <c r="J2728" s="124" t="s">
        <v>402</v>
      </c>
      <c r="K2728" s="133"/>
      <c r="L2728" s="124" t="s">
        <v>76</v>
      </c>
      <c r="M2728" s="242" t="s">
        <v>7271</v>
      </c>
      <c r="N2728" s="173" t="s">
        <v>7272</v>
      </c>
      <c r="O2728" s="172" t="str">
        <f t="shared" si="397"/>
        <v>SD-IN 1:19-cr-00299 ❓</v>
      </c>
      <c r="P2728" s="133"/>
      <c r="Q2728" s="124">
        <v>1.0</v>
      </c>
      <c r="R2728" s="128"/>
      <c r="S2728" s="37" t="str">
        <f>IFERROR(__xludf.DUMMYFUNCTION("if(not(iserror(index(split(C2728, "" ""),2))), index(split(C2728, "" ""),1),"""")"),"August")</f>
        <v>August</v>
      </c>
      <c r="T2728" s="38">
        <f>IFERROR(__xludf.DUMMYFUNCTION("if(S2728="""",C2728,if(not(iserror(index(split(C2728, "" ""),3))), index(split(C2728, "" ""),3),index(split(C2728, "" ""),2)))"),2019.0)</f>
        <v>2019</v>
      </c>
      <c r="U2728" s="38" t="b">
        <f t="shared" si="396"/>
        <v>0</v>
      </c>
      <c r="V2728" s="124" t="s">
        <v>33</v>
      </c>
      <c r="W2728" s="138"/>
      <c r="X2728" s="138"/>
      <c r="Y2728" s="132"/>
      <c r="Z2728" s="133"/>
      <c r="AA2728" s="133"/>
      <c r="AB2728" s="133"/>
      <c r="AC2728" s="133"/>
      <c r="AD2728" s="133"/>
      <c r="AE2728" s="133"/>
      <c r="AF2728" s="133"/>
      <c r="AG2728" s="133"/>
      <c r="AH2728" s="133"/>
      <c r="AI2728" s="133"/>
      <c r="AJ2728" s="133"/>
      <c r="AK2728" s="133"/>
      <c r="AL2728" s="133"/>
      <c r="AM2728" s="133"/>
      <c r="AN2728" s="133"/>
      <c r="AO2728" s="133"/>
      <c r="AP2728" s="133"/>
      <c r="AQ2728" s="133"/>
      <c r="AR2728" s="133"/>
      <c r="AS2728" s="133"/>
      <c r="AT2728" s="133"/>
      <c r="AU2728" s="133"/>
      <c r="AV2728" s="133"/>
      <c r="AW2728" s="133"/>
      <c r="AX2728" s="133"/>
      <c r="AY2728" s="133"/>
      <c r="AZ2728" s="133"/>
      <c r="BA2728" s="133"/>
      <c r="BB2728" s="133"/>
      <c r="BC2728" s="133"/>
      <c r="BD2728" s="133"/>
      <c r="BE2728" s="133"/>
      <c r="BF2728" s="133"/>
      <c r="BG2728" s="133"/>
      <c r="BH2728" s="133"/>
      <c r="BI2728" s="133"/>
      <c r="BJ2728" s="133"/>
      <c r="BK2728" s="133"/>
      <c r="BL2728" s="133"/>
      <c r="BM2728" s="133"/>
      <c r="BN2728" s="133"/>
      <c r="BO2728" s="133"/>
      <c r="BP2728" s="133"/>
      <c r="BQ2728" s="133"/>
    </row>
    <row r="2729">
      <c r="A2729" s="194" t="s">
        <v>7274</v>
      </c>
      <c r="B2729" s="125"/>
      <c r="C2729" s="126">
        <v>43690.0</v>
      </c>
      <c r="D2729" s="133"/>
      <c r="E2729" s="124" t="s">
        <v>41</v>
      </c>
      <c r="F2729" s="198">
        <v>1.0</v>
      </c>
      <c r="G2729" s="124" t="s">
        <v>32</v>
      </c>
      <c r="H2729" s="303">
        <v>1.0</v>
      </c>
      <c r="I2729" s="124" t="s">
        <v>33</v>
      </c>
      <c r="J2729" s="124" t="s">
        <v>68</v>
      </c>
      <c r="K2729" s="133"/>
      <c r="L2729" s="124" t="s">
        <v>99</v>
      </c>
      <c r="M2729" s="242" t="s">
        <v>7275</v>
      </c>
      <c r="N2729" s="219" t="s">
        <v>7276</v>
      </c>
      <c r="O2729" s="133"/>
      <c r="P2729" s="133"/>
      <c r="Q2729" s="128"/>
      <c r="R2729" s="128"/>
      <c r="S2729" s="37" t="s">
        <v>7277</v>
      </c>
      <c r="T2729" s="38">
        <v>2019.0</v>
      </c>
      <c r="U2729" s="38" t="b">
        <f t="shared" si="396"/>
        <v>0</v>
      </c>
      <c r="V2729" s="124" t="s">
        <v>33</v>
      </c>
      <c r="W2729" s="138"/>
      <c r="X2729" s="138"/>
      <c r="Y2729" s="132"/>
      <c r="Z2729" s="133"/>
      <c r="AA2729" s="133"/>
      <c r="AB2729" s="133"/>
      <c r="AC2729" s="133"/>
      <c r="AD2729" s="133"/>
      <c r="AE2729" s="133"/>
      <c r="AF2729" s="133"/>
      <c r="AG2729" s="133"/>
      <c r="AH2729" s="133"/>
      <c r="AI2729" s="133"/>
      <c r="AJ2729" s="133"/>
      <c r="AK2729" s="133"/>
      <c r="AL2729" s="133"/>
      <c r="AM2729" s="133"/>
      <c r="AN2729" s="133"/>
      <c r="AO2729" s="133"/>
      <c r="AP2729" s="133"/>
      <c r="AQ2729" s="133"/>
      <c r="AR2729" s="133"/>
      <c r="AS2729" s="133"/>
      <c r="AT2729" s="133"/>
      <c r="AU2729" s="133"/>
      <c r="AV2729" s="133"/>
      <c r="AW2729" s="133"/>
      <c r="AX2729" s="133"/>
      <c r="AY2729" s="133"/>
      <c r="AZ2729" s="133"/>
      <c r="BA2729" s="133"/>
      <c r="BB2729" s="133"/>
      <c r="BC2729" s="133"/>
      <c r="BD2729" s="133"/>
      <c r="BE2729" s="133"/>
      <c r="BF2729" s="133"/>
      <c r="BG2729" s="133"/>
      <c r="BH2729" s="133"/>
      <c r="BI2729" s="133"/>
      <c r="BJ2729" s="133"/>
      <c r="BK2729" s="133"/>
      <c r="BL2729" s="133"/>
      <c r="BM2729" s="133"/>
      <c r="BN2729" s="133"/>
      <c r="BO2729" s="133"/>
      <c r="BP2729" s="133"/>
      <c r="BQ2729" s="133"/>
    </row>
    <row r="2730">
      <c r="A2730" s="194" t="s">
        <v>7278</v>
      </c>
      <c r="B2730" s="125"/>
      <c r="C2730" s="126">
        <v>43691.0</v>
      </c>
      <c r="D2730" s="133"/>
      <c r="E2730" s="124" t="s">
        <v>41</v>
      </c>
      <c r="F2730" s="198">
        <v>1.0</v>
      </c>
      <c r="G2730" s="124" t="s">
        <v>32</v>
      </c>
      <c r="H2730" s="303">
        <v>1.0</v>
      </c>
      <c r="I2730" s="124" t="s">
        <v>33</v>
      </c>
      <c r="J2730" s="124" t="s">
        <v>124</v>
      </c>
      <c r="K2730" s="133"/>
      <c r="L2730" s="294" t="s">
        <v>119</v>
      </c>
      <c r="M2730" s="242" t="s">
        <v>7279</v>
      </c>
      <c r="N2730" s="128"/>
      <c r="O2730" s="172" t="str">
        <f>hyperlink("https://bad-boys.us/?q=ND-OH/1:19-cr-00487", "ND-OH 1:19-cr-00487")</f>
        <v>ND-OH 1:19-cr-00487</v>
      </c>
      <c r="P2730" s="133"/>
      <c r="Q2730" s="124">
        <v>1.0</v>
      </c>
      <c r="R2730" s="128"/>
      <c r="S2730" s="37" t="str">
        <f>IFERROR(__xludf.DUMMYFUNCTION("if(not(iserror(index(split(C2730, "" ""),2))), index(split(C2730, "" ""),1),"""")"),"August")</f>
        <v>August</v>
      </c>
      <c r="T2730" s="38">
        <f>IFERROR(__xludf.DUMMYFUNCTION("if(S2730="""",C2730,if(not(iserror(index(split(C2730, "" ""),3))), index(split(C2730, "" ""),3),index(split(C2730, "" ""),2)))"),2019.0)</f>
        <v>2019</v>
      </c>
      <c r="U2730" s="38" t="b">
        <f t="shared" si="396"/>
        <v>0</v>
      </c>
      <c r="V2730" s="124" t="s">
        <v>33</v>
      </c>
      <c r="W2730" s="138"/>
      <c r="X2730" s="138"/>
      <c r="Y2730" s="233"/>
      <c r="Z2730" s="133"/>
      <c r="AA2730" s="133"/>
      <c r="AB2730" s="133"/>
      <c r="AC2730" s="133"/>
      <c r="AD2730" s="133"/>
      <c r="AE2730" s="133"/>
      <c r="AF2730" s="133"/>
      <c r="AG2730" s="133"/>
      <c r="AH2730" s="133"/>
      <c r="AI2730" s="133"/>
      <c r="AJ2730" s="133"/>
      <c r="AK2730" s="133"/>
      <c r="AL2730" s="133"/>
      <c r="AM2730" s="133"/>
      <c r="AN2730" s="133"/>
      <c r="AO2730" s="133"/>
      <c r="AP2730" s="133"/>
      <c r="AQ2730" s="133"/>
      <c r="AR2730" s="133"/>
      <c r="AS2730" s="133"/>
      <c r="AT2730" s="133"/>
      <c r="AU2730" s="133"/>
      <c r="AV2730" s="133"/>
      <c r="AW2730" s="133"/>
      <c r="AX2730" s="133"/>
      <c r="AY2730" s="133"/>
      <c r="AZ2730" s="133"/>
      <c r="BA2730" s="133"/>
      <c r="BB2730" s="133"/>
      <c r="BC2730" s="133"/>
      <c r="BD2730" s="133"/>
      <c r="BE2730" s="133"/>
      <c r="BF2730" s="133"/>
      <c r="BG2730" s="133"/>
      <c r="BH2730" s="133"/>
      <c r="BI2730" s="133"/>
      <c r="BJ2730" s="133"/>
      <c r="BK2730" s="133"/>
      <c r="BL2730" s="133"/>
      <c r="BM2730" s="133"/>
      <c r="BN2730" s="133"/>
      <c r="BO2730" s="133"/>
      <c r="BP2730" s="133"/>
      <c r="BQ2730" s="133"/>
    </row>
    <row r="2731">
      <c r="A2731" s="194" t="s">
        <v>7280</v>
      </c>
      <c r="B2731" s="125"/>
      <c r="C2731" s="126">
        <v>43691.0</v>
      </c>
      <c r="D2731" s="133"/>
      <c r="E2731" s="124" t="s">
        <v>41</v>
      </c>
      <c r="F2731" s="198">
        <v>1.0</v>
      </c>
      <c r="G2731" s="124">
        <v>50.0</v>
      </c>
      <c r="H2731" s="303">
        <v>50.0</v>
      </c>
      <c r="I2731" s="124" t="s">
        <v>33</v>
      </c>
      <c r="J2731" s="124" t="s">
        <v>147</v>
      </c>
      <c r="K2731" s="133"/>
      <c r="L2731" s="124" t="s">
        <v>76</v>
      </c>
      <c r="M2731" s="305" t="s">
        <v>7281</v>
      </c>
      <c r="N2731" s="233"/>
      <c r="O2731" s="133"/>
      <c r="P2731" s="304"/>
      <c r="Q2731" s="124">
        <v>1.0</v>
      </c>
      <c r="R2731" s="124"/>
      <c r="S2731" s="37"/>
      <c r="T2731" s="38"/>
      <c r="U2731" s="38"/>
      <c r="V2731" s="124" t="s">
        <v>33</v>
      </c>
      <c r="W2731" s="233"/>
      <c r="X2731" s="233"/>
      <c r="Y2731" s="233"/>
      <c r="Z2731" s="133"/>
      <c r="AA2731" s="133"/>
      <c r="AB2731" s="133"/>
      <c r="AC2731" s="133"/>
      <c r="AD2731" s="133"/>
      <c r="AE2731" s="133"/>
      <c r="AF2731" s="133"/>
      <c r="AG2731" s="133"/>
      <c r="AH2731" s="133"/>
      <c r="AI2731" s="133"/>
      <c r="AJ2731" s="133"/>
      <c r="AK2731" s="133"/>
      <c r="AL2731" s="133"/>
      <c r="AM2731" s="133"/>
      <c r="AN2731" s="133"/>
      <c r="AO2731" s="133"/>
      <c r="AP2731" s="133"/>
      <c r="AQ2731" s="133"/>
      <c r="AR2731" s="133"/>
      <c r="AS2731" s="133"/>
      <c r="AT2731" s="133"/>
      <c r="AU2731" s="133"/>
      <c r="AV2731" s="133"/>
      <c r="AW2731" s="133"/>
      <c r="AX2731" s="133"/>
      <c r="AY2731" s="133"/>
      <c r="AZ2731" s="133"/>
      <c r="BA2731" s="133"/>
      <c r="BB2731" s="133"/>
      <c r="BC2731" s="133"/>
      <c r="BD2731" s="133"/>
      <c r="BE2731" s="133"/>
      <c r="BF2731" s="133"/>
      <c r="BG2731" s="133"/>
      <c r="BH2731" s="133"/>
      <c r="BI2731" s="133"/>
      <c r="BJ2731" s="133"/>
      <c r="BK2731" s="133"/>
      <c r="BL2731" s="133"/>
      <c r="BM2731" s="133"/>
      <c r="BN2731" s="133"/>
      <c r="BO2731" s="133"/>
      <c r="BP2731" s="133"/>
      <c r="BQ2731" s="133"/>
    </row>
    <row r="2732">
      <c r="A2732" s="194" t="s">
        <v>7282</v>
      </c>
      <c r="B2732" s="125"/>
      <c r="C2732" s="126">
        <v>43691.0</v>
      </c>
      <c r="D2732" s="133"/>
      <c r="E2732" s="124" t="s">
        <v>41</v>
      </c>
      <c r="F2732" s="198">
        <v>1.0</v>
      </c>
      <c r="G2732" s="124" t="s">
        <v>32</v>
      </c>
      <c r="H2732" s="303">
        <v>1.0</v>
      </c>
      <c r="I2732" s="124" t="s">
        <v>33</v>
      </c>
      <c r="J2732" s="124" t="s">
        <v>162</v>
      </c>
      <c r="K2732" s="133"/>
      <c r="L2732" s="124" t="s">
        <v>76</v>
      </c>
      <c r="M2732" s="242" t="s">
        <v>7283</v>
      </c>
      <c r="N2732" s="233" t="s">
        <v>7284</v>
      </c>
      <c r="O2732" s="133"/>
      <c r="P2732" s="304"/>
      <c r="Q2732" s="124"/>
      <c r="R2732" s="124"/>
      <c r="S2732" s="37" t="s">
        <v>7277</v>
      </c>
      <c r="T2732" s="38">
        <v>2019.0</v>
      </c>
      <c r="U2732" s="38" t="b">
        <v>0</v>
      </c>
      <c r="V2732" s="124" t="s">
        <v>33</v>
      </c>
      <c r="W2732" s="233"/>
      <c r="X2732" s="233"/>
      <c r="Y2732" s="233" t="s">
        <v>7285</v>
      </c>
      <c r="Z2732" s="133"/>
      <c r="AA2732" s="133"/>
      <c r="AB2732" s="133"/>
      <c r="AC2732" s="133"/>
      <c r="AD2732" s="133"/>
      <c r="AE2732" s="133"/>
      <c r="AF2732" s="133"/>
      <c r="AG2732" s="133"/>
      <c r="AH2732" s="133"/>
      <c r="AI2732" s="133"/>
      <c r="AJ2732" s="133"/>
      <c r="AK2732" s="133"/>
      <c r="AL2732" s="133"/>
      <c r="AM2732" s="133"/>
      <c r="AN2732" s="133"/>
      <c r="AO2732" s="133"/>
      <c r="AP2732" s="133"/>
      <c r="AQ2732" s="133"/>
      <c r="AR2732" s="133"/>
      <c r="AS2732" s="133"/>
      <c r="AT2732" s="133"/>
      <c r="AU2732" s="133"/>
      <c r="AV2732" s="133"/>
      <c r="AW2732" s="133"/>
      <c r="AX2732" s="133"/>
      <c r="AY2732" s="133"/>
      <c r="AZ2732" s="133"/>
      <c r="BA2732" s="133"/>
      <c r="BB2732" s="133"/>
      <c r="BC2732" s="133"/>
      <c r="BD2732" s="133"/>
      <c r="BE2732" s="133"/>
      <c r="BF2732" s="133"/>
      <c r="BG2732" s="133"/>
      <c r="BH2732" s="133"/>
      <c r="BI2732" s="133"/>
      <c r="BJ2732" s="133"/>
      <c r="BK2732" s="133"/>
      <c r="BL2732" s="133"/>
      <c r="BM2732" s="133"/>
      <c r="BN2732" s="133"/>
      <c r="BO2732" s="133"/>
      <c r="BP2732" s="133"/>
      <c r="BQ2732" s="133"/>
    </row>
    <row r="2733">
      <c r="A2733" s="194" t="s">
        <v>7286</v>
      </c>
      <c r="B2733" s="125"/>
      <c r="C2733" s="126">
        <v>43691.0</v>
      </c>
      <c r="D2733" s="133"/>
      <c r="E2733" s="124" t="s">
        <v>41</v>
      </c>
      <c r="F2733" s="198">
        <v>1.0</v>
      </c>
      <c r="G2733" s="124" t="s">
        <v>32</v>
      </c>
      <c r="H2733" s="303">
        <v>1.0</v>
      </c>
      <c r="I2733" s="124" t="s">
        <v>33</v>
      </c>
      <c r="J2733" s="124" t="s">
        <v>203</v>
      </c>
      <c r="K2733" s="133"/>
      <c r="L2733" s="124" t="s">
        <v>119</v>
      </c>
      <c r="M2733" s="242" t="s">
        <v>7287</v>
      </c>
      <c r="N2733" s="233"/>
      <c r="O2733" s="133"/>
      <c r="P2733" s="132"/>
      <c r="Q2733" s="124"/>
      <c r="R2733" s="128"/>
      <c r="S2733" s="37"/>
      <c r="T2733" s="38"/>
      <c r="U2733" s="38"/>
      <c r="V2733" s="124" t="s">
        <v>33</v>
      </c>
      <c r="W2733" s="138"/>
      <c r="X2733" s="138"/>
      <c r="Y2733" s="233"/>
      <c r="Z2733" s="133"/>
      <c r="AA2733" s="133"/>
      <c r="AB2733" s="133"/>
      <c r="AC2733" s="133"/>
      <c r="AD2733" s="133"/>
      <c r="AE2733" s="133"/>
      <c r="AF2733" s="133"/>
      <c r="AG2733" s="133"/>
      <c r="AH2733" s="133"/>
      <c r="AI2733" s="133"/>
      <c r="AJ2733" s="133"/>
      <c r="AK2733" s="133"/>
      <c r="AL2733" s="133"/>
      <c r="AM2733" s="133"/>
      <c r="AN2733" s="133"/>
      <c r="AO2733" s="133"/>
      <c r="AP2733" s="133"/>
      <c r="AQ2733" s="133"/>
      <c r="AR2733" s="133"/>
      <c r="AS2733" s="133"/>
      <c r="AT2733" s="133"/>
      <c r="AU2733" s="133"/>
      <c r="AV2733" s="133"/>
      <c r="AW2733" s="133"/>
      <c r="AX2733" s="133"/>
      <c r="AY2733" s="133"/>
      <c r="AZ2733" s="133"/>
      <c r="BA2733" s="133"/>
      <c r="BB2733" s="133"/>
      <c r="BC2733" s="133"/>
      <c r="BD2733" s="133"/>
      <c r="BE2733" s="133"/>
      <c r="BF2733" s="133"/>
      <c r="BG2733" s="133"/>
      <c r="BH2733" s="133"/>
      <c r="BI2733" s="133"/>
      <c r="BJ2733" s="133"/>
      <c r="BK2733" s="133"/>
      <c r="BL2733" s="133"/>
      <c r="BM2733" s="133"/>
      <c r="BN2733" s="133"/>
      <c r="BO2733" s="133"/>
      <c r="BP2733" s="133"/>
      <c r="BQ2733" s="133"/>
    </row>
    <row r="2734">
      <c r="A2734" s="194" t="s">
        <v>7288</v>
      </c>
      <c r="B2734" s="125"/>
      <c r="C2734" s="126">
        <v>43691.0</v>
      </c>
      <c r="D2734" s="133"/>
      <c r="E2734" s="124" t="s">
        <v>41</v>
      </c>
      <c r="F2734" s="198">
        <v>1.0</v>
      </c>
      <c r="G2734" s="124">
        <v>2.0</v>
      </c>
      <c r="H2734" s="303">
        <v>2.0</v>
      </c>
      <c r="I2734" s="124" t="s">
        <v>33</v>
      </c>
      <c r="J2734" s="124" t="s">
        <v>410</v>
      </c>
      <c r="K2734" s="133"/>
      <c r="L2734" s="124" t="s">
        <v>76</v>
      </c>
      <c r="M2734" s="242" t="s">
        <v>7289</v>
      </c>
      <c r="N2734" s="219" t="s">
        <v>7290</v>
      </c>
      <c r="O2734" s="133"/>
      <c r="P2734" s="132"/>
      <c r="Q2734" s="124">
        <v>1.0</v>
      </c>
      <c r="R2734" s="128"/>
      <c r="S2734" s="37" t="str">
        <f>IFERROR(__xludf.DUMMYFUNCTION("if(not(iserror(index(split(C2734, "" ""),2))), index(split(C2734, "" ""),1),"""")"),"August")</f>
        <v>August</v>
      </c>
      <c r="T2734" s="38">
        <f>IFERROR(__xludf.DUMMYFUNCTION("if(S2734="""",C2734,if(not(iserror(index(split(C2734, "" ""),3))), index(split(C2734, "" ""),3),index(split(C2734, "" ""),2)))"),2019.0)</f>
        <v>2019</v>
      </c>
      <c r="U2734" s="38" t="b">
        <f>countif(A$4:A4658, A2734)&gt;1</f>
        <v>0</v>
      </c>
      <c r="V2734" s="124" t="s">
        <v>33</v>
      </c>
      <c r="W2734" s="138"/>
      <c r="X2734" s="138"/>
      <c r="Y2734" s="219" t="s">
        <v>7291</v>
      </c>
      <c r="Z2734" s="133"/>
      <c r="AA2734" s="133"/>
      <c r="AB2734" s="133"/>
      <c r="AC2734" s="133"/>
      <c r="AD2734" s="133"/>
      <c r="AE2734" s="133"/>
      <c r="AF2734" s="133"/>
      <c r="AG2734" s="133"/>
      <c r="AH2734" s="133"/>
      <c r="AI2734" s="133"/>
      <c r="AJ2734" s="133"/>
      <c r="AK2734" s="133"/>
      <c r="AL2734" s="133"/>
      <c r="AM2734" s="133"/>
      <c r="AN2734" s="133"/>
      <c r="AO2734" s="133"/>
      <c r="AP2734" s="133"/>
      <c r="AQ2734" s="133"/>
      <c r="AR2734" s="133"/>
      <c r="AS2734" s="133"/>
      <c r="AT2734" s="133"/>
      <c r="AU2734" s="133"/>
      <c r="AV2734" s="133"/>
      <c r="AW2734" s="133"/>
      <c r="AX2734" s="133"/>
      <c r="AY2734" s="133"/>
      <c r="AZ2734" s="133"/>
      <c r="BA2734" s="133"/>
      <c r="BB2734" s="133"/>
      <c r="BC2734" s="133"/>
      <c r="BD2734" s="133"/>
      <c r="BE2734" s="133"/>
      <c r="BF2734" s="133"/>
      <c r="BG2734" s="133"/>
      <c r="BH2734" s="133"/>
      <c r="BI2734" s="133"/>
      <c r="BJ2734" s="133"/>
      <c r="BK2734" s="133"/>
      <c r="BL2734" s="133"/>
      <c r="BM2734" s="133"/>
      <c r="BN2734" s="133"/>
      <c r="BO2734" s="133"/>
      <c r="BP2734" s="133"/>
      <c r="BQ2734" s="133"/>
    </row>
    <row r="2735">
      <c r="A2735" s="194" t="s">
        <v>7292</v>
      </c>
      <c r="B2735" s="125"/>
      <c r="C2735" s="126">
        <v>43691.0</v>
      </c>
      <c r="D2735" s="133"/>
      <c r="E2735" s="124" t="s">
        <v>41</v>
      </c>
      <c r="F2735" s="198">
        <v>1.0</v>
      </c>
      <c r="G2735" s="124">
        <v>1.0</v>
      </c>
      <c r="H2735" s="303">
        <v>1.0</v>
      </c>
      <c r="I2735" s="124" t="s">
        <v>33</v>
      </c>
      <c r="J2735" s="124" t="s">
        <v>111</v>
      </c>
      <c r="K2735" s="133"/>
      <c r="L2735" s="233" t="s">
        <v>1203</v>
      </c>
      <c r="M2735" s="242" t="s">
        <v>7293</v>
      </c>
      <c r="N2735" s="233"/>
      <c r="O2735" s="133"/>
      <c r="P2735" s="133"/>
      <c r="Q2735" s="124">
        <v>1.0</v>
      </c>
      <c r="R2735" s="128"/>
      <c r="S2735" s="37"/>
      <c r="T2735" s="38"/>
      <c r="U2735" s="38"/>
      <c r="V2735" s="124" t="s">
        <v>33</v>
      </c>
      <c r="W2735" s="233"/>
      <c r="X2735" s="233"/>
      <c r="Y2735" s="132"/>
      <c r="Z2735" s="133"/>
      <c r="AA2735" s="133"/>
      <c r="AB2735" s="133"/>
      <c r="AC2735" s="133"/>
      <c r="AD2735" s="133"/>
      <c r="AE2735" s="133"/>
      <c r="AF2735" s="133"/>
      <c r="AG2735" s="133"/>
      <c r="AH2735" s="133"/>
      <c r="AI2735" s="133"/>
      <c r="AJ2735" s="133"/>
      <c r="AK2735" s="133"/>
      <c r="AL2735" s="133"/>
      <c r="AM2735" s="133"/>
      <c r="AN2735" s="133"/>
      <c r="AO2735" s="133"/>
      <c r="AP2735" s="133"/>
      <c r="AQ2735" s="133"/>
      <c r="AR2735" s="133"/>
      <c r="AS2735" s="133"/>
      <c r="AT2735" s="133"/>
      <c r="AU2735" s="133"/>
      <c r="AV2735" s="133"/>
      <c r="AW2735" s="133"/>
      <c r="AX2735" s="133"/>
      <c r="AY2735" s="133"/>
      <c r="AZ2735" s="133"/>
      <c r="BA2735" s="133"/>
      <c r="BB2735" s="133"/>
      <c r="BC2735" s="133"/>
      <c r="BD2735" s="133"/>
      <c r="BE2735" s="133"/>
      <c r="BF2735" s="133"/>
      <c r="BG2735" s="133"/>
      <c r="BH2735" s="133"/>
      <c r="BI2735" s="133"/>
      <c r="BJ2735" s="133"/>
      <c r="BK2735" s="133"/>
      <c r="BL2735" s="133"/>
      <c r="BM2735" s="133"/>
      <c r="BN2735" s="133"/>
      <c r="BO2735" s="133"/>
      <c r="BP2735" s="133"/>
      <c r="BQ2735" s="133"/>
    </row>
    <row r="2736">
      <c r="A2736" s="194" t="s">
        <v>7294</v>
      </c>
      <c r="B2736" s="125"/>
      <c r="C2736" s="126">
        <v>43692.0</v>
      </c>
      <c r="D2736" s="133"/>
      <c r="E2736" s="124" t="s">
        <v>31</v>
      </c>
      <c r="F2736" s="198">
        <v>1.0</v>
      </c>
      <c r="G2736" s="124" t="s">
        <v>32</v>
      </c>
      <c r="H2736" s="303">
        <v>1.0</v>
      </c>
      <c r="I2736" s="124" t="s">
        <v>33</v>
      </c>
      <c r="J2736" s="124" t="s">
        <v>93</v>
      </c>
      <c r="K2736" s="133"/>
      <c r="L2736" s="233" t="s">
        <v>7295</v>
      </c>
      <c r="M2736" s="242" t="s">
        <v>7296</v>
      </c>
      <c r="N2736" s="219" t="s">
        <v>7297</v>
      </c>
      <c r="O2736" s="133"/>
      <c r="P2736" s="133"/>
      <c r="Q2736" s="128"/>
      <c r="R2736" s="128"/>
      <c r="S2736" s="37"/>
      <c r="T2736" s="38"/>
      <c r="U2736" s="38" t="b">
        <f t="shared" ref="U2736:U2738" si="398">countif(A$4:A4658, A2736)&gt;1</f>
        <v>0</v>
      </c>
      <c r="V2736" s="124" t="s">
        <v>33</v>
      </c>
      <c r="W2736" s="219" t="s">
        <v>7298</v>
      </c>
      <c r="X2736" s="219" t="s">
        <v>7299</v>
      </c>
      <c r="Y2736" s="132"/>
      <c r="Z2736" s="133"/>
      <c r="AA2736" s="133"/>
      <c r="AB2736" s="133"/>
      <c r="AC2736" s="133"/>
      <c r="AD2736" s="133"/>
      <c r="AE2736" s="133"/>
      <c r="AF2736" s="133"/>
      <c r="AG2736" s="133"/>
      <c r="AH2736" s="133"/>
      <c r="AI2736" s="133"/>
      <c r="AJ2736" s="133"/>
      <c r="AK2736" s="133"/>
      <c r="AL2736" s="133"/>
      <c r="AM2736" s="133"/>
      <c r="AN2736" s="133"/>
      <c r="AO2736" s="133"/>
      <c r="AP2736" s="133"/>
      <c r="AQ2736" s="133"/>
      <c r="AR2736" s="133"/>
      <c r="AS2736" s="133"/>
      <c r="AT2736" s="133"/>
      <c r="AU2736" s="133"/>
      <c r="AV2736" s="133"/>
      <c r="AW2736" s="133"/>
      <c r="AX2736" s="133"/>
      <c r="AY2736" s="133"/>
      <c r="AZ2736" s="133"/>
      <c r="BA2736" s="133"/>
      <c r="BB2736" s="133"/>
      <c r="BC2736" s="133"/>
      <c r="BD2736" s="133"/>
      <c r="BE2736" s="133"/>
      <c r="BF2736" s="133"/>
      <c r="BG2736" s="133"/>
      <c r="BH2736" s="133"/>
      <c r="BI2736" s="133"/>
      <c r="BJ2736" s="133"/>
      <c r="BK2736" s="133"/>
      <c r="BL2736" s="133"/>
      <c r="BM2736" s="133"/>
      <c r="BN2736" s="133"/>
      <c r="BO2736" s="133"/>
      <c r="BP2736" s="133"/>
      <c r="BQ2736" s="133"/>
    </row>
    <row r="2737">
      <c r="A2737" s="194" t="s">
        <v>7300</v>
      </c>
      <c r="B2737" s="125"/>
      <c r="C2737" s="126">
        <v>43692.0</v>
      </c>
      <c r="D2737" s="133"/>
      <c r="E2737" s="124" t="s">
        <v>41</v>
      </c>
      <c r="F2737" s="198">
        <v>1.0</v>
      </c>
      <c r="G2737" s="124" t="s">
        <v>32</v>
      </c>
      <c r="H2737" s="303">
        <v>1.0</v>
      </c>
      <c r="I2737" s="124" t="s">
        <v>33</v>
      </c>
      <c r="J2737" s="124" t="s">
        <v>93</v>
      </c>
      <c r="K2737" s="133"/>
      <c r="L2737" s="124" t="s">
        <v>2316</v>
      </c>
      <c r="M2737" s="242" t="s">
        <v>7301</v>
      </c>
      <c r="N2737" s="219" t="s">
        <v>7302</v>
      </c>
      <c r="O2737" s="133"/>
      <c r="P2737" s="133"/>
      <c r="Q2737" s="128"/>
      <c r="R2737" s="128"/>
      <c r="S2737" s="37" t="str">
        <f>IFERROR(__xludf.DUMMYFUNCTION("if(not(iserror(index(split(C2737, "" ""),2))), index(split(C2737, "" ""),1),"""")"),"August")</f>
        <v>August</v>
      </c>
      <c r="T2737" s="38">
        <f>IFERROR(__xludf.DUMMYFUNCTION("if(S2737="""",C2737,if(not(iserror(index(split(C2737, "" ""),3))), index(split(C2737, "" ""),3),index(split(C2737, "" ""),2)))"),2019.0)</f>
        <v>2019</v>
      </c>
      <c r="U2737" s="38" t="b">
        <f t="shared" si="398"/>
        <v>0</v>
      </c>
      <c r="V2737" s="124" t="s">
        <v>3919</v>
      </c>
      <c r="W2737" s="138"/>
      <c r="X2737" s="138"/>
      <c r="Y2737" s="219" t="s">
        <v>7303</v>
      </c>
      <c r="Z2737" s="133"/>
      <c r="AA2737" s="133"/>
      <c r="AB2737" s="133"/>
      <c r="AC2737" s="133"/>
      <c r="AD2737" s="133"/>
      <c r="AE2737" s="133"/>
      <c r="AF2737" s="133"/>
      <c r="AG2737" s="133"/>
      <c r="AH2737" s="133"/>
      <c r="AI2737" s="133"/>
      <c r="AJ2737" s="133"/>
      <c r="AK2737" s="133"/>
      <c r="AL2737" s="133"/>
      <c r="AM2737" s="133"/>
      <c r="AN2737" s="133"/>
      <c r="AO2737" s="133"/>
      <c r="AP2737" s="133"/>
      <c r="AQ2737" s="133"/>
      <c r="AR2737" s="133"/>
      <c r="AS2737" s="133"/>
      <c r="AT2737" s="133"/>
      <c r="AU2737" s="133"/>
      <c r="AV2737" s="133"/>
      <c r="AW2737" s="133"/>
      <c r="AX2737" s="133"/>
      <c r="AY2737" s="133"/>
      <c r="AZ2737" s="133"/>
      <c r="BA2737" s="133"/>
      <c r="BB2737" s="133"/>
      <c r="BC2737" s="133"/>
      <c r="BD2737" s="133"/>
      <c r="BE2737" s="133"/>
      <c r="BF2737" s="133"/>
      <c r="BG2737" s="133"/>
      <c r="BH2737" s="133"/>
      <c r="BI2737" s="133"/>
      <c r="BJ2737" s="133"/>
      <c r="BK2737" s="133"/>
      <c r="BL2737" s="133"/>
      <c r="BM2737" s="133"/>
      <c r="BN2737" s="133"/>
      <c r="BO2737" s="133"/>
      <c r="BP2737" s="133"/>
      <c r="BQ2737" s="133"/>
    </row>
    <row r="2738">
      <c r="A2738" s="194" t="s">
        <v>7260</v>
      </c>
      <c r="B2738" s="125"/>
      <c r="C2738" s="126">
        <v>43693.0</v>
      </c>
      <c r="D2738" s="133"/>
      <c r="E2738" s="124" t="s">
        <v>41</v>
      </c>
      <c r="F2738" s="198">
        <v>1.0</v>
      </c>
      <c r="G2738" s="124" t="s">
        <v>32</v>
      </c>
      <c r="H2738" s="303">
        <v>1.0</v>
      </c>
      <c r="I2738" s="124" t="s">
        <v>33</v>
      </c>
      <c r="J2738" s="124" t="s">
        <v>268</v>
      </c>
      <c r="K2738" s="133"/>
      <c r="L2738" s="124" t="s">
        <v>6750</v>
      </c>
      <c r="M2738" s="242" t="s">
        <v>7304</v>
      </c>
      <c r="N2738" s="233"/>
      <c r="O2738" s="133"/>
      <c r="P2738" s="133"/>
      <c r="Q2738" s="124"/>
      <c r="R2738" s="128"/>
      <c r="S2738" s="37"/>
      <c r="T2738" s="38"/>
      <c r="U2738" s="38" t="b">
        <f t="shared" si="398"/>
        <v>1</v>
      </c>
      <c r="V2738" s="124" t="s">
        <v>33</v>
      </c>
      <c r="W2738" s="138"/>
      <c r="X2738" s="138"/>
      <c r="Y2738" s="233"/>
      <c r="Z2738" s="133"/>
      <c r="AA2738" s="133"/>
      <c r="AB2738" s="133"/>
      <c r="AC2738" s="133"/>
      <c r="AD2738" s="133"/>
      <c r="AE2738" s="133"/>
      <c r="AF2738" s="133"/>
      <c r="AG2738" s="133"/>
      <c r="AH2738" s="133"/>
      <c r="AI2738" s="133"/>
      <c r="AJ2738" s="133"/>
      <c r="AK2738" s="133"/>
      <c r="AL2738" s="133"/>
      <c r="AM2738" s="133"/>
      <c r="AN2738" s="133"/>
      <c r="AO2738" s="133"/>
      <c r="AP2738" s="133"/>
      <c r="AQ2738" s="133"/>
      <c r="AR2738" s="133"/>
      <c r="AS2738" s="133"/>
      <c r="AT2738" s="133"/>
      <c r="AU2738" s="133"/>
      <c r="AV2738" s="133"/>
      <c r="AW2738" s="133"/>
      <c r="AX2738" s="133"/>
      <c r="AY2738" s="133"/>
      <c r="AZ2738" s="133"/>
      <c r="BA2738" s="133"/>
      <c r="BB2738" s="133"/>
      <c r="BC2738" s="133"/>
      <c r="BD2738" s="133"/>
      <c r="BE2738" s="133"/>
      <c r="BF2738" s="133"/>
      <c r="BG2738" s="133"/>
      <c r="BH2738" s="133"/>
      <c r="BI2738" s="133"/>
      <c r="BJ2738" s="133"/>
      <c r="BK2738" s="133"/>
      <c r="BL2738" s="133"/>
      <c r="BM2738" s="133"/>
      <c r="BN2738" s="133"/>
      <c r="BO2738" s="133"/>
      <c r="BP2738" s="133"/>
      <c r="BQ2738" s="133"/>
    </row>
    <row r="2739">
      <c r="A2739" s="194" t="s">
        <v>7305</v>
      </c>
      <c r="B2739" s="125"/>
      <c r="C2739" s="126">
        <v>43693.0</v>
      </c>
      <c r="D2739" s="133"/>
      <c r="E2739" s="124" t="s">
        <v>41</v>
      </c>
      <c r="F2739" s="198">
        <v>1.0</v>
      </c>
      <c r="G2739" s="124" t="s">
        <v>32</v>
      </c>
      <c r="H2739" s="303">
        <v>1.0</v>
      </c>
      <c r="I2739" s="124" t="s">
        <v>33</v>
      </c>
      <c r="J2739" s="124" t="s">
        <v>184</v>
      </c>
      <c r="K2739" s="133"/>
      <c r="L2739" s="124" t="s">
        <v>69</v>
      </c>
      <c r="M2739" s="242" t="s">
        <v>7306</v>
      </c>
      <c r="N2739" s="233"/>
      <c r="O2739" s="133"/>
      <c r="P2739" s="133"/>
      <c r="Q2739" s="124">
        <v>1.0</v>
      </c>
      <c r="R2739" s="128"/>
      <c r="S2739" s="37"/>
      <c r="T2739" s="38"/>
      <c r="U2739" s="38"/>
      <c r="V2739" s="124" t="s">
        <v>33</v>
      </c>
      <c r="W2739" s="138"/>
      <c r="X2739" s="138"/>
      <c r="Y2739" s="233"/>
      <c r="Z2739" s="133"/>
      <c r="AA2739" s="133"/>
      <c r="AB2739" s="133"/>
      <c r="AC2739" s="133"/>
      <c r="AD2739" s="133"/>
      <c r="AE2739" s="133"/>
      <c r="AF2739" s="133"/>
      <c r="AG2739" s="133"/>
      <c r="AH2739" s="133"/>
      <c r="AI2739" s="133"/>
      <c r="AJ2739" s="133"/>
      <c r="AK2739" s="133"/>
      <c r="AL2739" s="133"/>
      <c r="AM2739" s="133"/>
      <c r="AN2739" s="133"/>
      <c r="AO2739" s="133"/>
      <c r="AP2739" s="133"/>
      <c r="AQ2739" s="133"/>
      <c r="AR2739" s="133"/>
      <c r="AS2739" s="133"/>
      <c r="AT2739" s="133"/>
      <c r="AU2739" s="133"/>
      <c r="AV2739" s="133"/>
      <c r="AW2739" s="133"/>
      <c r="AX2739" s="133"/>
      <c r="AY2739" s="133"/>
      <c r="AZ2739" s="133"/>
      <c r="BA2739" s="133"/>
      <c r="BB2739" s="133"/>
      <c r="BC2739" s="133"/>
      <c r="BD2739" s="133"/>
      <c r="BE2739" s="133"/>
      <c r="BF2739" s="133"/>
      <c r="BG2739" s="133"/>
      <c r="BH2739" s="133"/>
      <c r="BI2739" s="133"/>
      <c r="BJ2739" s="133"/>
      <c r="BK2739" s="133"/>
      <c r="BL2739" s="133"/>
      <c r="BM2739" s="133"/>
      <c r="BN2739" s="133"/>
      <c r="BO2739" s="133"/>
      <c r="BP2739" s="133"/>
      <c r="BQ2739" s="133"/>
    </row>
    <row r="2740">
      <c r="A2740" s="194" t="s">
        <v>7307</v>
      </c>
      <c r="B2740" s="125"/>
      <c r="C2740" s="126">
        <v>43697.0</v>
      </c>
      <c r="D2740" s="133"/>
      <c r="E2740" s="124" t="s">
        <v>41</v>
      </c>
      <c r="F2740" s="198">
        <v>1.0</v>
      </c>
      <c r="G2740" s="124" t="s">
        <v>32</v>
      </c>
      <c r="H2740" s="303">
        <v>1.0</v>
      </c>
      <c r="I2740" s="124" t="s">
        <v>33</v>
      </c>
      <c r="J2740" s="124" t="s">
        <v>115</v>
      </c>
      <c r="K2740" s="133"/>
      <c r="L2740" s="124" t="s">
        <v>119</v>
      </c>
      <c r="M2740" s="242" t="s">
        <v>7308</v>
      </c>
      <c r="N2740" s="233"/>
      <c r="O2740" s="133"/>
      <c r="P2740" s="133"/>
      <c r="Q2740" s="124">
        <v>1.0</v>
      </c>
      <c r="R2740" s="128"/>
      <c r="S2740" s="37"/>
      <c r="T2740" s="38"/>
      <c r="U2740" s="38"/>
      <c r="V2740" s="124" t="s">
        <v>33</v>
      </c>
      <c r="W2740" s="138"/>
      <c r="X2740" s="138"/>
      <c r="Y2740" s="233"/>
      <c r="Z2740" s="133"/>
      <c r="AA2740" s="133"/>
      <c r="AB2740" s="133"/>
      <c r="AC2740" s="133"/>
      <c r="AD2740" s="133"/>
      <c r="AE2740" s="133"/>
      <c r="AF2740" s="133"/>
      <c r="AG2740" s="133"/>
      <c r="AH2740" s="133"/>
      <c r="AI2740" s="133"/>
      <c r="AJ2740" s="133"/>
      <c r="AK2740" s="133"/>
      <c r="AL2740" s="133"/>
      <c r="AM2740" s="133"/>
      <c r="AN2740" s="133"/>
      <c r="AO2740" s="133"/>
      <c r="AP2740" s="133"/>
      <c r="AQ2740" s="133"/>
      <c r="AR2740" s="133"/>
      <c r="AS2740" s="133"/>
      <c r="AT2740" s="133"/>
      <c r="AU2740" s="133"/>
      <c r="AV2740" s="133"/>
      <c r="AW2740" s="133"/>
      <c r="AX2740" s="133"/>
      <c r="AY2740" s="133"/>
      <c r="AZ2740" s="133"/>
      <c r="BA2740" s="133"/>
      <c r="BB2740" s="133"/>
      <c r="BC2740" s="133"/>
      <c r="BD2740" s="133"/>
      <c r="BE2740" s="133"/>
      <c r="BF2740" s="133"/>
      <c r="BG2740" s="133"/>
      <c r="BH2740" s="133"/>
      <c r="BI2740" s="133"/>
      <c r="BJ2740" s="133"/>
      <c r="BK2740" s="133"/>
      <c r="BL2740" s="133"/>
      <c r="BM2740" s="133"/>
      <c r="BN2740" s="133"/>
      <c r="BO2740" s="133"/>
      <c r="BP2740" s="133"/>
      <c r="BQ2740" s="133"/>
    </row>
    <row r="2741">
      <c r="A2741" s="194" t="s">
        <v>7309</v>
      </c>
      <c r="B2741" s="125"/>
      <c r="C2741" s="126">
        <v>43698.0</v>
      </c>
      <c r="D2741" s="133"/>
      <c r="E2741" s="124" t="s">
        <v>41</v>
      </c>
      <c r="F2741" s="198">
        <v>1.0</v>
      </c>
      <c r="G2741" s="124" t="s">
        <v>32</v>
      </c>
      <c r="H2741" s="303">
        <v>1.0</v>
      </c>
      <c r="I2741" s="124" t="s">
        <v>33</v>
      </c>
      <c r="J2741" s="124" t="s">
        <v>288</v>
      </c>
      <c r="K2741" s="133"/>
      <c r="L2741" s="124" t="s">
        <v>69</v>
      </c>
      <c r="M2741" s="242" t="s">
        <v>7310</v>
      </c>
      <c r="N2741" s="233"/>
      <c r="O2741" s="133"/>
      <c r="P2741" s="133"/>
      <c r="Q2741" s="124"/>
      <c r="R2741" s="128"/>
      <c r="S2741" s="37"/>
      <c r="T2741" s="38"/>
      <c r="U2741" s="38"/>
      <c r="V2741" s="124" t="s">
        <v>33</v>
      </c>
      <c r="W2741" s="138"/>
      <c r="X2741" s="138"/>
      <c r="Y2741" s="233"/>
      <c r="Z2741" s="133"/>
      <c r="AA2741" s="133"/>
      <c r="AB2741" s="133"/>
      <c r="AC2741" s="133"/>
      <c r="AD2741" s="133"/>
      <c r="AE2741" s="133"/>
      <c r="AF2741" s="133"/>
      <c r="AG2741" s="133"/>
      <c r="AH2741" s="133"/>
      <c r="AI2741" s="133"/>
      <c r="AJ2741" s="133"/>
      <c r="AK2741" s="133"/>
      <c r="AL2741" s="133"/>
      <c r="AM2741" s="133"/>
      <c r="AN2741" s="133"/>
      <c r="AO2741" s="133"/>
      <c r="AP2741" s="133"/>
      <c r="AQ2741" s="133"/>
      <c r="AR2741" s="133"/>
      <c r="AS2741" s="133"/>
      <c r="AT2741" s="133"/>
      <c r="AU2741" s="133"/>
      <c r="AV2741" s="133"/>
      <c r="AW2741" s="133"/>
      <c r="AX2741" s="133"/>
      <c r="AY2741" s="133"/>
      <c r="AZ2741" s="133"/>
      <c r="BA2741" s="133"/>
      <c r="BB2741" s="133"/>
      <c r="BC2741" s="133"/>
      <c r="BD2741" s="133"/>
      <c r="BE2741" s="133"/>
      <c r="BF2741" s="133"/>
      <c r="BG2741" s="133"/>
      <c r="BH2741" s="133"/>
      <c r="BI2741" s="133"/>
      <c r="BJ2741" s="133"/>
      <c r="BK2741" s="133"/>
      <c r="BL2741" s="133"/>
      <c r="BM2741" s="133"/>
      <c r="BN2741" s="133"/>
      <c r="BO2741" s="133"/>
      <c r="BP2741" s="133"/>
      <c r="BQ2741" s="133"/>
    </row>
    <row r="2742">
      <c r="A2742" s="194" t="s">
        <v>7311</v>
      </c>
      <c r="B2742" s="125"/>
      <c r="C2742" s="126">
        <v>43698.0</v>
      </c>
      <c r="D2742" s="133"/>
      <c r="E2742" s="124" t="s">
        <v>41</v>
      </c>
      <c r="F2742" s="198">
        <v>1.0</v>
      </c>
      <c r="G2742" s="124" t="s">
        <v>32</v>
      </c>
      <c r="H2742" s="303">
        <v>1.0</v>
      </c>
      <c r="I2742" s="124" t="s">
        <v>33</v>
      </c>
      <c r="J2742" s="124" t="s">
        <v>172</v>
      </c>
      <c r="K2742" s="133"/>
      <c r="L2742" s="124" t="s">
        <v>76</v>
      </c>
      <c r="M2742" s="242" t="s">
        <v>7312</v>
      </c>
      <c r="N2742" s="233"/>
      <c r="O2742" s="133"/>
      <c r="P2742" s="133"/>
      <c r="Q2742" s="124"/>
      <c r="R2742" s="124">
        <v>1.0</v>
      </c>
      <c r="S2742" s="37"/>
      <c r="T2742" s="38"/>
      <c r="U2742" s="38"/>
      <c r="V2742" s="124" t="s">
        <v>33</v>
      </c>
      <c r="W2742" s="138"/>
      <c r="X2742" s="138"/>
      <c r="Y2742" s="233"/>
      <c r="Z2742" s="133"/>
      <c r="AA2742" s="133"/>
      <c r="AB2742" s="133"/>
      <c r="AC2742" s="133"/>
      <c r="AD2742" s="133"/>
      <c r="AE2742" s="133"/>
      <c r="AF2742" s="133"/>
      <c r="AG2742" s="133"/>
      <c r="AH2742" s="133"/>
      <c r="AI2742" s="133"/>
      <c r="AJ2742" s="133"/>
      <c r="AK2742" s="133"/>
      <c r="AL2742" s="133"/>
      <c r="AM2742" s="133"/>
      <c r="AN2742" s="133"/>
      <c r="AO2742" s="133"/>
      <c r="AP2742" s="133"/>
      <c r="AQ2742" s="133"/>
      <c r="AR2742" s="133"/>
      <c r="AS2742" s="133"/>
      <c r="AT2742" s="133"/>
      <c r="AU2742" s="133"/>
      <c r="AV2742" s="133"/>
      <c r="AW2742" s="133"/>
      <c r="AX2742" s="133"/>
      <c r="AY2742" s="133"/>
      <c r="AZ2742" s="133"/>
      <c r="BA2742" s="133"/>
      <c r="BB2742" s="133"/>
      <c r="BC2742" s="133"/>
      <c r="BD2742" s="133"/>
      <c r="BE2742" s="133"/>
      <c r="BF2742" s="133"/>
      <c r="BG2742" s="133"/>
      <c r="BH2742" s="133"/>
      <c r="BI2742" s="133"/>
      <c r="BJ2742" s="133"/>
      <c r="BK2742" s="133"/>
      <c r="BL2742" s="133"/>
      <c r="BM2742" s="133"/>
      <c r="BN2742" s="133"/>
      <c r="BO2742" s="133"/>
      <c r="BP2742" s="133"/>
      <c r="BQ2742" s="133"/>
    </row>
    <row r="2743">
      <c r="A2743" s="194" t="s">
        <v>7313</v>
      </c>
      <c r="B2743" s="125"/>
      <c r="C2743" s="126">
        <v>43699.0</v>
      </c>
      <c r="D2743" s="133"/>
      <c r="E2743" s="124" t="s">
        <v>41</v>
      </c>
      <c r="F2743" s="198">
        <v>1.0</v>
      </c>
      <c r="G2743" s="124" t="s">
        <v>32</v>
      </c>
      <c r="H2743" s="303">
        <v>1.0</v>
      </c>
      <c r="I2743" s="124" t="s">
        <v>33</v>
      </c>
      <c r="J2743" s="124" t="s">
        <v>147</v>
      </c>
      <c r="K2743" s="133"/>
      <c r="L2743" s="124" t="s">
        <v>119</v>
      </c>
      <c r="M2743" s="242" t="s">
        <v>7314</v>
      </c>
      <c r="N2743" s="233"/>
      <c r="O2743" s="133"/>
      <c r="P2743" s="133"/>
      <c r="Q2743" s="124"/>
      <c r="R2743" s="128"/>
      <c r="S2743" s="37"/>
      <c r="T2743" s="38"/>
      <c r="U2743" s="38"/>
      <c r="V2743" s="124" t="s">
        <v>33</v>
      </c>
      <c r="W2743" s="233"/>
      <c r="X2743" s="233"/>
      <c r="Y2743" s="132"/>
      <c r="Z2743" s="133"/>
      <c r="AA2743" s="133"/>
      <c r="AB2743" s="133"/>
      <c r="AC2743" s="133"/>
      <c r="AD2743" s="133"/>
      <c r="AE2743" s="133"/>
      <c r="AF2743" s="133"/>
      <c r="AG2743" s="133"/>
      <c r="AH2743" s="133"/>
      <c r="AI2743" s="133"/>
      <c r="AJ2743" s="133"/>
      <c r="AK2743" s="133"/>
      <c r="AL2743" s="133"/>
      <c r="AM2743" s="133"/>
      <c r="AN2743" s="133"/>
      <c r="AO2743" s="133"/>
      <c r="AP2743" s="133"/>
      <c r="AQ2743" s="133"/>
      <c r="AR2743" s="133"/>
      <c r="AS2743" s="133"/>
      <c r="AT2743" s="133"/>
      <c r="AU2743" s="133"/>
      <c r="AV2743" s="133"/>
      <c r="AW2743" s="133"/>
      <c r="AX2743" s="133"/>
      <c r="AY2743" s="133"/>
      <c r="AZ2743" s="133"/>
      <c r="BA2743" s="133"/>
      <c r="BB2743" s="133"/>
      <c r="BC2743" s="133"/>
      <c r="BD2743" s="133"/>
      <c r="BE2743" s="133"/>
      <c r="BF2743" s="133"/>
      <c r="BG2743" s="133"/>
      <c r="BH2743" s="133"/>
      <c r="BI2743" s="133"/>
      <c r="BJ2743" s="133"/>
      <c r="BK2743" s="133"/>
      <c r="BL2743" s="133"/>
      <c r="BM2743" s="133"/>
      <c r="BN2743" s="133"/>
      <c r="BO2743" s="133"/>
      <c r="BP2743" s="133"/>
      <c r="BQ2743" s="133"/>
    </row>
    <row r="2744">
      <c r="A2744" s="194" t="s">
        <v>7315</v>
      </c>
      <c r="B2744" s="125"/>
      <c r="C2744" s="126">
        <v>43703.0</v>
      </c>
      <c r="D2744" s="133"/>
      <c r="E2744" s="124" t="s">
        <v>31</v>
      </c>
      <c r="F2744" s="198">
        <v>1.0</v>
      </c>
      <c r="G2744" s="124">
        <v>2.0</v>
      </c>
      <c r="H2744" s="303">
        <v>2.0</v>
      </c>
      <c r="I2744" s="124" t="s">
        <v>33</v>
      </c>
      <c r="J2744" s="124" t="s">
        <v>115</v>
      </c>
      <c r="K2744" s="133"/>
      <c r="L2744" s="124" t="s">
        <v>1203</v>
      </c>
      <c r="M2744" s="242" t="s">
        <v>7316</v>
      </c>
      <c r="N2744" s="219" t="s">
        <v>7317</v>
      </c>
      <c r="O2744" s="133"/>
      <c r="P2744" s="133"/>
      <c r="Q2744" s="124">
        <v>1.0</v>
      </c>
      <c r="R2744" s="128"/>
      <c r="S2744" s="37"/>
      <c r="T2744" s="38"/>
      <c r="U2744" s="38"/>
      <c r="V2744" s="124" t="s">
        <v>33</v>
      </c>
      <c r="W2744" s="219" t="s">
        <v>7318</v>
      </c>
      <c r="X2744" s="219" t="s">
        <v>7319</v>
      </c>
      <c r="Y2744" s="132"/>
      <c r="Z2744" s="133"/>
      <c r="AA2744" s="133"/>
      <c r="AB2744" s="133"/>
      <c r="AC2744" s="133"/>
      <c r="AD2744" s="133"/>
      <c r="AE2744" s="133"/>
      <c r="AF2744" s="133"/>
      <c r="AG2744" s="133"/>
      <c r="AH2744" s="133"/>
      <c r="AI2744" s="133"/>
      <c r="AJ2744" s="133"/>
      <c r="AK2744" s="133"/>
      <c r="AL2744" s="133"/>
      <c r="AM2744" s="133"/>
      <c r="AN2744" s="133"/>
      <c r="AO2744" s="133"/>
      <c r="AP2744" s="133"/>
      <c r="AQ2744" s="133"/>
      <c r="AR2744" s="133"/>
      <c r="AS2744" s="133"/>
      <c r="AT2744" s="133"/>
      <c r="AU2744" s="133"/>
      <c r="AV2744" s="133"/>
      <c r="AW2744" s="133"/>
      <c r="AX2744" s="133"/>
      <c r="AY2744" s="133"/>
      <c r="AZ2744" s="133"/>
      <c r="BA2744" s="133"/>
      <c r="BB2744" s="133"/>
      <c r="BC2744" s="133"/>
      <c r="BD2744" s="133"/>
      <c r="BE2744" s="133"/>
      <c r="BF2744" s="133"/>
      <c r="BG2744" s="133"/>
      <c r="BH2744" s="133"/>
      <c r="BI2744" s="133"/>
      <c r="BJ2744" s="133"/>
      <c r="BK2744" s="133"/>
      <c r="BL2744" s="133"/>
      <c r="BM2744" s="133"/>
      <c r="BN2744" s="133"/>
      <c r="BO2744" s="133"/>
      <c r="BP2744" s="133"/>
      <c r="BQ2744" s="133"/>
    </row>
    <row r="2745">
      <c r="A2745" s="194" t="s">
        <v>7320</v>
      </c>
      <c r="B2745" s="125"/>
      <c r="C2745" s="126">
        <v>43704.0</v>
      </c>
      <c r="D2745" s="133"/>
      <c r="E2745" s="124" t="s">
        <v>41</v>
      </c>
      <c r="F2745" s="198">
        <v>1.0</v>
      </c>
      <c r="G2745" s="124" t="s">
        <v>32</v>
      </c>
      <c r="H2745" s="303">
        <v>1.0</v>
      </c>
      <c r="I2745" s="124" t="s">
        <v>33</v>
      </c>
      <c r="J2745" s="124" t="s">
        <v>47</v>
      </c>
      <c r="K2745" s="133"/>
      <c r="L2745" s="124" t="s">
        <v>76</v>
      </c>
      <c r="M2745" s="242" t="s">
        <v>7321</v>
      </c>
      <c r="N2745" s="128"/>
      <c r="O2745" s="133"/>
      <c r="P2745" s="133"/>
      <c r="Q2745" s="124"/>
      <c r="R2745" s="128"/>
      <c r="S2745" s="37"/>
      <c r="T2745" s="38"/>
      <c r="U2745" s="38"/>
      <c r="V2745" s="124" t="s">
        <v>33</v>
      </c>
      <c r="W2745" s="138"/>
      <c r="X2745" s="138"/>
      <c r="Y2745" s="132"/>
      <c r="Z2745" s="133"/>
      <c r="AA2745" s="133"/>
      <c r="AB2745" s="133"/>
      <c r="AC2745" s="133"/>
      <c r="AD2745" s="133"/>
      <c r="AE2745" s="133"/>
      <c r="AF2745" s="133"/>
      <c r="AG2745" s="133"/>
      <c r="AH2745" s="133"/>
      <c r="AI2745" s="133"/>
      <c r="AJ2745" s="133"/>
      <c r="AK2745" s="133"/>
      <c r="AL2745" s="133"/>
      <c r="AM2745" s="133"/>
      <c r="AN2745" s="133"/>
      <c r="AO2745" s="133"/>
      <c r="AP2745" s="133"/>
      <c r="AQ2745" s="133"/>
      <c r="AR2745" s="133"/>
      <c r="AS2745" s="133"/>
      <c r="AT2745" s="133"/>
      <c r="AU2745" s="133"/>
      <c r="AV2745" s="133"/>
      <c r="AW2745" s="133"/>
      <c r="AX2745" s="133"/>
      <c r="AY2745" s="133"/>
      <c r="AZ2745" s="133"/>
      <c r="BA2745" s="133"/>
      <c r="BB2745" s="133"/>
      <c r="BC2745" s="133"/>
      <c r="BD2745" s="133"/>
      <c r="BE2745" s="133"/>
      <c r="BF2745" s="133"/>
      <c r="BG2745" s="133"/>
      <c r="BH2745" s="133"/>
      <c r="BI2745" s="133"/>
      <c r="BJ2745" s="133"/>
      <c r="BK2745" s="133"/>
      <c r="BL2745" s="133"/>
      <c r="BM2745" s="133"/>
      <c r="BN2745" s="133"/>
      <c r="BO2745" s="133"/>
      <c r="BP2745" s="133"/>
      <c r="BQ2745" s="133"/>
    </row>
    <row r="2746">
      <c r="A2746" s="194" t="s">
        <v>7322</v>
      </c>
      <c r="B2746" s="125"/>
      <c r="C2746" s="126">
        <v>43706.0</v>
      </c>
      <c r="D2746" s="133"/>
      <c r="E2746" s="124" t="s">
        <v>41</v>
      </c>
      <c r="F2746" s="198">
        <v>1.0</v>
      </c>
      <c r="G2746" s="124" t="s">
        <v>32</v>
      </c>
      <c r="H2746" s="303">
        <v>1.0</v>
      </c>
      <c r="I2746" s="124" t="s">
        <v>33</v>
      </c>
      <c r="J2746" s="124" t="s">
        <v>111</v>
      </c>
      <c r="K2746" s="133"/>
      <c r="L2746" s="124" t="s">
        <v>119</v>
      </c>
      <c r="M2746" s="242" t="s">
        <v>7323</v>
      </c>
      <c r="N2746" s="128"/>
      <c r="O2746" s="172" t="str">
        <f>hyperlink("https://bad-boys.us/?q=ED-CA/2:19-cr-00147", "ED-CA 2:19-cr-00147")</f>
        <v>ED-CA 2:19-cr-00147</v>
      </c>
      <c r="P2746" s="133"/>
      <c r="Q2746" s="124">
        <v>1.0</v>
      </c>
      <c r="R2746" s="128"/>
      <c r="S2746" s="37"/>
      <c r="T2746" s="38"/>
      <c r="U2746" s="38" t="b">
        <f>countif(A$4:A4658, A2746)&gt;1</f>
        <v>0</v>
      </c>
      <c r="V2746" s="124" t="s">
        <v>33</v>
      </c>
      <c r="W2746" s="138"/>
      <c r="X2746" s="138"/>
      <c r="Y2746" s="132"/>
      <c r="Z2746" s="133"/>
      <c r="AA2746" s="133"/>
      <c r="AB2746" s="133"/>
      <c r="AC2746" s="133"/>
      <c r="AD2746" s="133"/>
      <c r="AE2746" s="133"/>
      <c r="AF2746" s="133"/>
      <c r="AG2746" s="133"/>
      <c r="AH2746" s="133"/>
      <c r="AI2746" s="133"/>
      <c r="AJ2746" s="133"/>
      <c r="AK2746" s="133"/>
      <c r="AL2746" s="133"/>
      <c r="AM2746" s="133"/>
      <c r="AN2746" s="133"/>
      <c r="AO2746" s="133"/>
      <c r="AP2746" s="133"/>
      <c r="AQ2746" s="133"/>
      <c r="AR2746" s="133"/>
      <c r="AS2746" s="133"/>
      <c r="AT2746" s="133"/>
      <c r="AU2746" s="133"/>
      <c r="AV2746" s="133"/>
      <c r="AW2746" s="133"/>
      <c r="AX2746" s="133"/>
      <c r="AY2746" s="133"/>
      <c r="AZ2746" s="133"/>
      <c r="BA2746" s="133"/>
      <c r="BB2746" s="133"/>
      <c r="BC2746" s="133"/>
      <c r="BD2746" s="133"/>
      <c r="BE2746" s="133"/>
      <c r="BF2746" s="133"/>
      <c r="BG2746" s="133"/>
      <c r="BH2746" s="133"/>
      <c r="BI2746" s="133"/>
      <c r="BJ2746" s="133"/>
      <c r="BK2746" s="133"/>
      <c r="BL2746" s="133"/>
      <c r="BM2746" s="133"/>
      <c r="BN2746" s="133"/>
      <c r="BO2746" s="133"/>
      <c r="BP2746" s="133"/>
      <c r="BQ2746" s="133"/>
    </row>
    <row r="2747">
      <c r="A2747" s="194" t="s">
        <v>7324</v>
      </c>
      <c r="B2747" s="125"/>
      <c r="C2747" s="126">
        <v>43706.0</v>
      </c>
      <c r="D2747" s="133"/>
      <c r="E2747" s="124" t="s">
        <v>41</v>
      </c>
      <c r="F2747" s="198">
        <v>1.0</v>
      </c>
      <c r="G2747" s="124" t="s">
        <v>32</v>
      </c>
      <c r="H2747" s="303">
        <v>1.0</v>
      </c>
      <c r="I2747" s="124" t="s">
        <v>33</v>
      </c>
      <c r="J2747" s="124" t="s">
        <v>147</v>
      </c>
      <c r="K2747" s="133"/>
      <c r="L2747" s="124" t="s">
        <v>69</v>
      </c>
      <c r="M2747" s="242" t="s">
        <v>7325</v>
      </c>
      <c r="N2747" s="219" t="s">
        <v>7326</v>
      </c>
      <c r="O2747" s="132"/>
      <c r="P2747" s="133"/>
      <c r="Q2747" s="124"/>
      <c r="R2747" s="128"/>
      <c r="S2747" s="37"/>
      <c r="T2747" s="38"/>
      <c r="U2747" s="38"/>
      <c r="V2747" s="124" t="s">
        <v>33</v>
      </c>
      <c r="W2747" s="138"/>
      <c r="X2747" s="138"/>
      <c r="Y2747" s="132"/>
      <c r="Z2747" s="133"/>
      <c r="AA2747" s="133"/>
      <c r="AB2747" s="133"/>
      <c r="AC2747" s="133"/>
      <c r="AD2747" s="133"/>
      <c r="AE2747" s="133"/>
      <c r="AF2747" s="133"/>
      <c r="AG2747" s="133"/>
      <c r="AH2747" s="133"/>
      <c r="AI2747" s="133"/>
      <c r="AJ2747" s="133"/>
      <c r="AK2747" s="133"/>
      <c r="AL2747" s="133"/>
      <c r="AM2747" s="133"/>
      <c r="AN2747" s="133"/>
      <c r="AO2747" s="133"/>
      <c r="AP2747" s="133"/>
      <c r="AQ2747" s="133"/>
      <c r="AR2747" s="133"/>
      <c r="AS2747" s="133"/>
      <c r="AT2747" s="133"/>
      <c r="AU2747" s="133"/>
      <c r="AV2747" s="133"/>
      <c r="AW2747" s="133"/>
      <c r="AX2747" s="133"/>
      <c r="AY2747" s="133"/>
      <c r="AZ2747" s="133"/>
      <c r="BA2747" s="133"/>
      <c r="BB2747" s="133"/>
      <c r="BC2747" s="133"/>
      <c r="BD2747" s="133"/>
      <c r="BE2747" s="133"/>
      <c r="BF2747" s="133"/>
      <c r="BG2747" s="133"/>
      <c r="BH2747" s="133"/>
      <c r="BI2747" s="133"/>
      <c r="BJ2747" s="133"/>
      <c r="BK2747" s="133"/>
      <c r="BL2747" s="133"/>
      <c r="BM2747" s="133"/>
      <c r="BN2747" s="133"/>
      <c r="BO2747" s="133"/>
      <c r="BP2747" s="133"/>
      <c r="BQ2747" s="133"/>
    </row>
    <row r="2748">
      <c r="A2748" s="194" t="s">
        <v>7327</v>
      </c>
      <c r="B2748" s="125"/>
      <c r="C2748" s="126">
        <v>43707.0</v>
      </c>
      <c r="D2748" s="133"/>
      <c r="E2748" s="124" t="s">
        <v>41</v>
      </c>
      <c r="F2748" s="198">
        <v>1.0</v>
      </c>
      <c r="G2748" s="124" t="s">
        <v>32</v>
      </c>
      <c r="H2748" s="303">
        <v>1.0</v>
      </c>
      <c r="I2748" s="124" t="s">
        <v>33</v>
      </c>
      <c r="J2748" s="124" t="s">
        <v>93</v>
      </c>
      <c r="K2748" s="133"/>
      <c r="L2748" s="124" t="s">
        <v>119</v>
      </c>
      <c r="M2748" s="242" t="s">
        <v>7328</v>
      </c>
      <c r="N2748" s="128"/>
      <c r="O2748" s="133"/>
      <c r="P2748" s="133"/>
      <c r="Q2748" s="124">
        <v>1.0</v>
      </c>
      <c r="R2748" s="128"/>
      <c r="S2748" s="37"/>
      <c r="T2748" s="38"/>
      <c r="U2748" s="38"/>
      <c r="V2748" s="124" t="s">
        <v>33</v>
      </c>
      <c r="W2748" s="138"/>
      <c r="X2748" s="138"/>
      <c r="Y2748" s="132"/>
      <c r="Z2748" s="133"/>
      <c r="AA2748" s="133"/>
      <c r="AB2748" s="133"/>
      <c r="AC2748" s="133"/>
      <c r="AD2748" s="133"/>
      <c r="AE2748" s="133"/>
      <c r="AF2748" s="133"/>
      <c r="AG2748" s="133"/>
      <c r="AH2748" s="133"/>
      <c r="AI2748" s="133"/>
      <c r="AJ2748" s="133"/>
      <c r="AK2748" s="133"/>
      <c r="AL2748" s="133"/>
      <c r="AM2748" s="133"/>
      <c r="AN2748" s="133"/>
      <c r="AO2748" s="133"/>
      <c r="AP2748" s="133"/>
      <c r="AQ2748" s="133"/>
      <c r="AR2748" s="133"/>
      <c r="AS2748" s="133"/>
      <c r="AT2748" s="133"/>
      <c r="AU2748" s="133"/>
      <c r="AV2748" s="133"/>
      <c r="AW2748" s="133"/>
      <c r="AX2748" s="133"/>
      <c r="AY2748" s="133"/>
      <c r="AZ2748" s="133"/>
      <c r="BA2748" s="133"/>
      <c r="BB2748" s="133"/>
      <c r="BC2748" s="133"/>
      <c r="BD2748" s="133"/>
      <c r="BE2748" s="133"/>
      <c r="BF2748" s="133"/>
      <c r="BG2748" s="133"/>
      <c r="BH2748" s="133"/>
      <c r="BI2748" s="133"/>
      <c r="BJ2748" s="133"/>
      <c r="BK2748" s="133"/>
      <c r="BL2748" s="133"/>
      <c r="BM2748" s="133"/>
      <c r="BN2748" s="133"/>
      <c r="BO2748" s="133"/>
      <c r="BP2748" s="133"/>
      <c r="BQ2748" s="133"/>
    </row>
    <row r="2749">
      <c r="A2749" s="194" t="s">
        <v>7329</v>
      </c>
      <c r="B2749" s="125"/>
      <c r="C2749" s="195">
        <v>43709.0</v>
      </c>
      <c r="D2749" s="133"/>
      <c r="E2749" s="124" t="s">
        <v>41</v>
      </c>
      <c r="F2749" s="198">
        <v>1.0</v>
      </c>
      <c r="G2749" s="124" t="s">
        <v>32</v>
      </c>
      <c r="H2749" s="303">
        <v>1.0</v>
      </c>
      <c r="I2749" s="124" t="s">
        <v>33</v>
      </c>
      <c r="J2749" s="124" t="s">
        <v>140</v>
      </c>
      <c r="K2749" s="133"/>
      <c r="L2749" s="124" t="s">
        <v>119</v>
      </c>
      <c r="M2749" s="242" t="s">
        <v>7330</v>
      </c>
      <c r="N2749" s="128"/>
      <c r="O2749" s="133"/>
      <c r="P2749" s="133"/>
      <c r="Q2749" s="124">
        <v>1.0</v>
      </c>
      <c r="R2749" s="128"/>
      <c r="S2749" s="37"/>
      <c r="T2749" s="38"/>
      <c r="U2749" s="38"/>
      <c r="V2749" s="124" t="s">
        <v>33</v>
      </c>
      <c r="W2749" s="138"/>
      <c r="X2749" s="138"/>
      <c r="Y2749" s="132"/>
      <c r="Z2749" s="133"/>
      <c r="AA2749" s="133"/>
      <c r="AB2749" s="133"/>
      <c r="AC2749" s="133"/>
      <c r="AD2749" s="133"/>
      <c r="AE2749" s="133"/>
      <c r="AF2749" s="133"/>
      <c r="AG2749" s="133"/>
      <c r="AH2749" s="133"/>
      <c r="AI2749" s="133"/>
      <c r="AJ2749" s="133"/>
      <c r="AK2749" s="133"/>
      <c r="AL2749" s="133"/>
      <c r="AM2749" s="133"/>
      <c r="AN2749" s="133"/>
      <c r="AO2749" s="133"/>
      <c r="AP2749" s="133"/>
      <c r="AQ2749" s="133"/>
      <c r="AR2749" s="133"/>
      <c r="AS2749" s="133"/>
      <c r="AT2749" s="133"/>
      <c r="AU2749" s="133"/>
      <c r="AV2749" s="133"/>
      <c r="AW2749" s="133"/>
      <c r="AX2749" s="133"/>
      <c r="AY2749" s="133"/>
      <c r="AZ2749" s="133"/>
      <c r="BA2749" s="133"/>
      <c r="BB2749" s="133"/>
      <c r="BC2749" s="133"/>
      <c r="BD2749" s="133"/>
      <c r="BE2749" s="133"/>
      <c r="BF2749" s="133"/>
      <c r="BG2749" s="133"/>
      <c r="BH2749" s="133"/>
      <c r="BI2749" s="133"/>
      <c r="BJ2749" s="133"/>
      <c r="BK2749" s="133"/>
      <c r="BL2749" s="133"/>
      <c r="BM2749" s="133"/>
      <c r="BN2749" s="133"/>
      <c r="BO2749" s="133"/>
      <c r="BP2749" s="133"/>
      <c r="BQ2749" s="133"/>
    </row>
    <row r="2750">
      <c r="A2750" s="194" t="s">
        <v>7331</v>
      </c>
      <c r="B2750" s="125"/>
      <c r="C2750" s="195">
        <v>43709.0</v>
      </c>
      <c r="D2750" s="133"/>
      <c r="E2750" s="124" t="s">
        <v>41</v>
      </c>
      <c r="F2750" s="198">
        <v>1.0</v>
      </c>
      <c r="G2750" s="124" t="s">
        <v>32</v>
      </c>
      <c r="H2750" s="303">
        <v>1.0</v>
      </c>
      <c r="I2750" s="124" t="s">
        <v>33</v>
      </c>
      <c r="J2750" s="124" t="s">
        <v>288</v>
      </c>
      <c r="K2750" s="133"/>
      <c r="L2750" s="124" t="s">
        <v>76</v>
      </c>
      <c r="M2750" s="242" t="s">
        <v>7332</v>
      </c>
      <c r="N2750" s="128"/>
      <c r="O2750" s="133"/>
      <c r="P2750" s="133"/>
      <c r="Q2750" s="124"/>
      <c r="R2750" s="128"/>
      <c r="S2750" s="37"/>
      <c r="T2750" s="38"/>
      <c r="U2750" s="38"/>
      <c r="V2750" s="124" t="s">
        <v>33</v>
      </c>
      <c r="W2750" s="138"/>
      <c r="X2750" s="138"/>
      <c r="Y2750" s="132"/>
      <c r="Z2750" s="133"/>
      <c r="AA2750" s="133"/>
      <c r="AB2750" s="133"/>
      <c r="AC2750" s="133"/>
      <c r="AD2750" s="133"/>
      <c r="AE2750" s="133"/>
      <c r="AF2750" s="133"/>
      <c r="AG2750" s="133"/>
      <c r="AH2750" s="133"/>
      <c r="AI2750" s="133"/>
      <c r="AJ2750" s="133"/>
      <c r="AK2750" s="133"/>
      <c r="AL2750" s="133"/>
      <c r="AM2750" s="133"/>
      <c r="AN2750" s="133"/>
      <c r="AO2750" s="133"/>
      <c r="AP2750" s="133"/>
      <c r="AQ2750" s="133"/>
      <c r="AR2750" s="133"/>
      <c r="AS2750" s="133"/>
      <c r="AT2750" s="133"/>
      <c r="AU2750" s="133"/>
      <c r="AV2750" s="133"/>
      <c r="AW2750" s="133"/>
      <c r="AX2750" s="133"/>
      <c r="AY2750" s="133"/>
      <c r="AZ2750" s="133"/>
      <c r="BA2750" s="133"/>
      <c r="BB2750" s="133"/>
      <c r="BC2750" s="133"/>
      <c r="BD2750" s="133"/>
      <c r="BE2750" s="133"/>
      <c r="BF2750" s="133"/>
      <c r="BG2750" s="133"/>
      <c r="BH2750" s="133"/>
      <c r="BI2750" s="133"/>
      <c r="BJ2750" s="133"/>
      <c r="BK2750" s="133"/>
      <c r="BL2750" s="133"/>
      <c r="BM2750" s="133"/>
      <c r="BN2750" s="133"/>
      <c r="BO2750" s="133"/>
      <c r="BP2750" s="133"/>
      <c r="BQ2750" s="133"/>
    </row>
    <row r="2751">
      <c r="A2751" s="194" t="s">
        <v>7333</v>
      </c>
      <c r="B2751" s="125"/>
      <c r="C2751" s="195">
        <v>43709.0</v>
      </c>
      <c r="D2751" s="133"/>
      <c r="E2751" s="124" t="s">
        <v>41</v>
      </c>
      <c r="F2751" s="198">
        <v>1.0</v>
      </c>
      <c r="G2751" s="124" t="s">
        <v>32</v>
      </c>
      <c r="H2751" s="303" t="s">
        <v>7334</v>
      </c>
      <c r="I2751" s="124" t="s">
        <v>33</v>
      </c>
      <c r="J2751" s="124" t="s">
        <v>460</v>
      </c>
      <c r="K2751" s="133"/>
      <c r="L2751" s="124" t="s">
        <v>119</v>
      </c>
      <c r="M2751" s="242" t="s">
        <v>7335</v>
      </c>
      <c r="N2751" s="128"/>
      <c r="O2751" s="133"/>
      <c r="P2751" s="133"/>
      <c r="Q2751" s="124">
        <v>1.0</v>
      </c>
      <c r="R2751" s="128"/>
      <c r="S2751" s="37"/>
      <c r="T2751" s="38"/>
      <c r="U2751" s="38"/>
      <c r="V2751" s="124" t="s">
        <v>33</v>
      </c>
      <c r="W2751" s="138"/>
      <c r="X2751" s="138"/>
      <c r="Y2751" s="132"/>
      <c r="Z2751" s="133"/>
      <c r="AA2751" s="133"/>
      <c r="AB2751" s="133"/>
      <c r="AC2751" s="133"/>
      <c r="AD2751" s="133"/>
      <c r="AE2751" s="133"/>
      <c r="AF2751" s="133"/>
      <c r="AG2751" s="133"/>
      <c r="AH2751" s="133"/>
      <c r="AI2751" s="133"/>
      <c r="AJ2751" s="133"/>
      <c r="AK2751" s="133"/>
      <c r="AL2751" s="133"/>
      <c r="AM2751" s="133"/>
      <c r="AN2751" s="133"/>
      <c r="AO2751" s="133"/>
      <c r="AP2751" s="133"/>
      <c r="AQ2751" s="133"/>
      <c r="AR2751" s="133"/>
      <c r="AS2751" s="133"/>
      <c r="AT2751" s="133"/>
      <c r="AU2751" s="133"/>
      <c r="AV2751" s="133"/>
      <c r="AW2751" s="133"/>
      <c r="AX2751" s="133"/>
      <c r="AY2751" s="133"/>
      <c r="AZ2751" s="133"/>
      <c r="BA2751" s="133"/>
      <c r="BB2751" s="133"/>
      <c r="BC2751" s="133"/>
      <c r="BD2751" s="133"/>
      <c r="BE2751" s="133"/>
      <c r="BF2751" s="133"/>
      <c r="BG2751" s="133"/>
      <c r="BH2751" s="133"/>
      <c r="BI2751" s="133"/>
      <c r="BJ2751" s="133"/>
      <c r="BK2751" s="133"/>
      <c r="BL2751" s="133"/>
      <c r="BM2751" s="133"/>
      <c r="BN2751" s="133"/>
      <c r="BO2751" s="133"/>
      <c r="BP2751" s="133"/>
      <c r="BQ2751" s="133"/>
    </row>
    <row r="2752">
      <c r="A2752" s="194" t="s">
        <v>7336</v>
      </c>
      <c r="B2752" s="125"/>
      <c r="C2752" s="195">
        <v>43709.0</v>
      </c>
      <c r="D2752" s="133"/>
      <c r="E2752" s="124" t="s">
        <v>41</v>
      </c>
      <c r="F2752" s="198">
        <v>1.0</v>
      </c>
      <c r="G2752" s="124" t="s">
        <v>32</v>
      </c>
      <c r="H2752" s="303">
        <v>1.0</v>
      </c>
      <c r="I2752" s="124" t="s">
        <v>33</v>
      </c>
      <c r="J2752" s="124" t="s">
        <v>93</v>
      </c>
      <c r="K2752" s="133"/>
      <c r="L2752" s="124" t="s">
        <v>119</v>
      </c>
      <c r="M2752" s="242" t="s">
        <v>7337</v>
      </c>
      <c r="N2752" s="128"/>
      <c r="O2752" s="133"/>
      <c r="P2752" s="133"/>
      <c r="Q2752" s="124"/>
      <c r="R2752" s="128"/>
      <c r="S2752" s="37"/>
      <c r="T2752" s="38"/>
      <c r="U2752" s="38" t="b">
        <f>countif(A$4:A4658, A2752)&gt;1</f>
        <v>0</v>
      </c>
      <c r="V2752" s="124" t="s">
        <v>33</v>
      </c>
      <c r="W2752" s="138"/>
      <c r="X2752" s="138"/>
      <c r="Y2752" s="132"/>
      <c r="Z2752" s="133"/>
      <c r="AA2752" s="133"/>
      <c r="AB2752" s="133"/>
      <c r="AC2752" s="133"/>
      <c r="AD2752" s="133"/>
      <c r="AE2752" s="133"/>
      <c r="AF2752" s="133"/>
      <c r="AG2752" s="133"/>
      <c r="AH2752" s="133"/>
      <c r="AI2752" s="133"/>
      <c r="AJ2752" s="133"/>
      <c r="AK2752" s="133"/>
      <c r="AL2752" s="133"/>
      <c r="AM2752" s="133"/>
      <c r="AN2752" s="133"/>
      <c r="AO2752" s="133"/>
      <c r="AP2752" s="133"/>
      <c r="AQ2752" s="133"/>
      <c r="AR2752" s="133"/>
      <c r="AS2752" s="133"/>
      <c r="AT2752" s="133"/>
      <c r="AU2752" s="133"/>
      <c r="AV2752" s="133"/>
      <c r="AW2752" s="133"/>
      <c r="AX2752" s="133"/>
      <c r="AY2752" s="133"/>
      <c r="AZ2752" s="133"/>
      <c r="BA2752" s="133"/>
      <c r="BB2752" s="133"/>
      <c r="BC2752" s="133"/>
      <c r="BD2752" s="133"/>
      <c r="BE2752" s="133"/>
      <c r="BF2752" s="133"/>
      <c r="BG2752" s="133"/>
      <c r="BH2752" s="133"/>
      <c r="BI2752" s="133"/>
      <c r="BJ2752" s="133"/>
      <c r="BK2752" s="133"/>
      <c r="BL2752" s="133"/>
      <c r="BM2752" s="133"/>
      <c r="BN2752" s="133"/>
      <c r="BO2752" s="133"/>
      <c r="BP2752" s="133"/>
      <c r="BQ2752" s="133"/>
    </row>
    <row r="2753">
      <c r="A2753" s="194" t="s">
        <v>7338</v>
      </c>
      <c r="B2753" s="125"/>
      <c r="C2753" s="195">
        <v>43709.0</v>
      </c>
      <c r="D2753" s="133"/>
      <c r="E2753" s="124" t="s">
        <v>41</v>
      </c>
      <c r="F2753" s="198">
        <v>1.0</v>
      </c>
      <c r="G2753" s="124" t="s">
        <v>32</v>
      </c>
      <c r="H2753" s="303">
        <v>1.0</v>
      </c>
      <c r="I2753" s="124" t="s">
        <v>33</v>
      </c>
      <c r="J2753" s="124" t="s">
        <v>93</v>
      </c>
      <c r="K2753" s="133"/>
      <c r="L2753" s="124" t="s">
        <v>119</v>
      </c>
      <c r="M2753" s="305" t="s">
        <v>7339</v>
      </c>
      <c r="N2753" s="128"/>
      <c r="O2753" s="133"/>
      <c r="P2753" s="133"/>
      <c r="Q2753" s="124"/>
      <c r="R2753" s="128"/>
      <c r="S2753" s="37"/>
      <c r="T2753" s="38"/>
      <c r="U2753" s="38"/>
      <c r="V2753" s="124" t="s">
        <v>33</v>
      </c>
      <c r="W2753" s="138"/>
      <c r="X2753" s="138"/>
      <c r="Y2753" s="132"/>
      <c r="Z2753" s="133"/>
      <c r="AA2753" s="133"/>
      <c r="AB2753" s="133"/>
      <c r="AC2753" s="133"/>
      <c r="AD2753" s="133"/>
      <c r="AE2753" s="133"/>
      <c r="AF2753" s="133"/>
      <c r="AG2753" s="133"/>
      <c r="AH2753" s="133"/>
      <c r="AI2753" s="133"/>
      <c r="AJ2753" s="133"/>
      <c r="AK2753" s="133"/>
      <c r="AL2753" s="133"/>
      <c r="AM2753" s="133"/>
      <c r="AN2753" s="133"/>
      <c r="AO2753" s="133"/>
      <c r="AP2753" s="133"/>
      <c r="AQ2753" s="133"/>
      <c r="AR2753" s="133"/>
      <c r="AS2753" s="133"/>
      <c r="AT2753" s="133"/>
      <c r="AU2753" s="133"/>
      <c r="AV2753" s="133"/>
      <c r="AW2753" s="133"/>
      <c r="AX2753" s="133"/>
      <c r="AY2753" s="133"/>
      <c r="AZ2753" s="133"/>
      <c r="BA2753" s="133"/>
      <c r="BB2753" s="133"/>
      <c r="BC2753" s="133"/>
      <c r="BD2753" s="133"/>
      <c r="BE2753" s="133"/>
      <c r="BF2753" s="133"/>
      <c r="BG2753" s="133"/>
      <c r="BH2753" s="133"/>
      <c r="BI2753" s="133"/>
      <c r="BJ2753" s="133"/>
      <c r="BK2753" s="133"/>
      <c r="BL2753" s="133"/>
      <c r="BM2753" s="133"/>
      <c r="BN2753" s="133"/>
      <c r="BO2753" s="133"/>
      <c r="BP2753" s="133"/>
      <c r="BQ2753" s="133"/>
    </row>
    <row r="2754">
      <c r="A2754" s="194" t="s">
        <v>7340</v>
      </c>
      <c r="B2754" s="125"/>
      <c r="C2754" s="126">
        <v>43709.0</v>
      </c>
      <c r="D2754" s="133"/>
      <c r="E2754" s="124" t="s">
        <v>41</v>
      </c>
      <c r="F2754" s="198">
        <v>1.0</v>
      </c>
      <c r="G2754" s="124">
        <v>1.0</v>
      </c>
      <c r="H2754" s="303">
        <v>1.0</v>
      </c>
      <c r="I2754" s="124" t="s">
        <v>33</v>
      </c>
      <c r="J2754" s="124" t="s">
        <v>460</v>
      </c>
      <c r="K2754" s="133"/>
      <c r="L2754" s="124" t="s">
        <v>76</v>
      </c>
      <c r="M2754" s="242" t="s">
        <v>7341</v>
      </c>
      <c r="N2754" s="128"/>
      <c r="O2754" s="133"/>
      <c r="P2754" s="133"/>
      <c r="Q2754" s="124">
        <v>1.0</v>
      </c>
      <c r="R2754" s="128"/>
      <c r="S2754" s="37"/>
      <c r="T2754" s="38"/>
      <c r="U2754" s="38"/>
      <c r="V2754" s="124" t="s">
        <v>33</v>
      </c>
      <c r="W2754" s="138"/>
      <c r="X2754" s="138"/>
      <c r="Y2754" s="132"/>
      <c r="Z2754" s="133"/>
      <c r="AA2754" s="133"/>
      <c r="AB2754" s="133"/>
      <c r="AC2754" s="133"/>
      <c r="AD2754" s="133"/>
      <c r="AE2754" s="133"/>
      <c r="AF2754" s="133"/>
      <c r="AG2754" s="133"/>
      <c r="AH2754" s="133"/>
      <c r="AI2754" s="133"/>
      <c r="AJ2754" s="133"/>
      <c r="AK2754" s="133"/>
      <c r="AL2754" s="133"/>
      <c r="AM2754" s="133"/>
      <c r="AN2754" s="133"/>
      <c r="AO2754" s="133"/>
      <c r="AP2754" s="133"/>
      <c r="AQ2754" s="133"/>
      <c r="AR2754" s="133"/>
      <c r="AS2754" s="133"/>
      <c r="AT2754" s="133"/>
      <c r="AU2754" s="133"/>
      <c r="AV2754" s="133"/>
      <c r="AW2754" s="133"/>
      <c r="AX2754" s="133"/>
      <c r="AY2754" s="133"/>
      <c r="AZ2754" s="133"/>
      <c r="BA2754" s="133"/>
      <c r="BB2754" s="133"/>
      <c r="BC2754" s="133"/>
      <c r="BD2754" s="133"/>
      <c r="BE2754" s="133"/>
      <c r="BF2754" s="133"/>
      <c r="BG2754" s="133"/>
      <c r="BH2754" s="133"/>
      <c r="BI2754" s="133"/>
      <c r="BJ2754" s="133"/>
      <c r="BK2754" s="133"/>
      <c r="BL2754" s="133"/>
      <c r="BM2754" s="133"/>
      <c r="BN2754" s="133"/>
      <c r="BO2754" s="133"/>
      <c r="BP2754" s="133"/>
      <c r="BQ2754" s="133"/>
    </row>
    <row r="2755">
      <c r="A2755" s="194" t="s">
        <v>7342</v>
      </c>
      <c r="B2755" s="125"/>
      <c r="C2755" s="126">
        <v>43709.0</v>
      </c>
      <c r="D2755" s="133"/>
      <c r="E2755" s="124" t="s">
        <v>41</v>
      </c>
      <c r="F2755" s="198">
        <v>1.0</v>
      </c>
      <c r="G2755" s="124" t="s">
        <v>32</v>
      </c>
      <c r="H2755" s="303">
        <v>1.0</v>
      </c>
      <c r="I2755" s="124" t="s">
        <v>33</v>
      </c>
      <c r="J2755" s="124" t="s">
        <v>75</v>
      </c>
      <c r="K2755" s="133"/>
      <c r="L2755" s="124" t="s">
        <v>76</v>
      </c>
      <c r="M2755" s="242" t="s">
        <v>7343</v>
      </c>
      <c r="N2755" s="128"/>
      <c r="O2755" s="133"/>
      <c r="P2755" s="133"/>
      <c r="Q2755" s="124"/>
      <c r="R2755" s="128"/>
      <c r="S2755" s="37"/>
      <c r="T2755" s="38"/>
      <c r="U2755" s="38"/>
      <c r="V2755" s="124" t="s">
        <v>33</v>
      </c>
      <c r="W2755" s="138"/>
      <c r="X2755" s="138"/>
      <c r="Y2755" s="132"/>
      <c r="Z2755" s="133"/>
      <c r="AA2755" s="133"/>
      <c r="AB2755" s="133"/>
      <c r="AC2755" s="133"/>
      <c r="AD2755" s="133"/>
      <c r="AE2755" s="133"/>
      <c r="AF2755" s="133"/>
      <c r="AG2755" s="133"/>
      <c r="AH2755" s="133"/>
      <c r="AI2755" s="133"/>
      <c r="AJ2755" s="133"/>
      <c r="AK2755" s="133"/>
      <c r="AL2755" s="133"/>
      <c r="AM2755" s="133"/>
      <c r="AN2755" s="133"/>
      <c r="AO2755" s="133"/>
      <c r="AP2755" s="133"/>
      <c r="AQ2755" s="133"/>
      <c r="AR2755" s="133"/>
      <c r="AS2755" s="133"/>
      <c r="AT2755" s="133"/>
      <c r="AU2755" s="133"/>
      <c r="AV2755" s="133"/>
      <c r="AW2755" s="133"/>
      <c r="AX2755" s="133"/>
      <c r="AY2755" s="133"/>
      <c r="AZ2755" s="133"/>
      <c r="BA2755" s="133"/>
      <c r="BB2755" s="133"/>
      <c r="BC2755" s="133"/>
      <c r="BD2755" s="133"/>
      <c r="BE2755" s="133"/>
      <c r="BF2755" s="133"/>
      <c r="BG2755" s="133"/>
      <c r="BH2755" s="133"/>
      <c r="BI2755" s="133"/>
      <c r="BJ2755" s="133"/>
      <c r="BK2755" s="133"/>
      <c r="BL2755" s="133"/>
      <c r="BM2755" s="133"/>
      <c r="BN2755" s="133"/>
      <c r="BO2755" s="133"/>
      <c r="BP2755" s="133"/>
      <c r="BQ2755" s="133"/>
    </row>
    <row r="2756">
      <c r="A2756" s="194" t="s">
        <v>7344</v>
      </c>
      <c r="B2756" s="125"/>
      <c r="C2756" s="126">
        <v>43712.0</v>
      </c>
      <c r="D2756" s="133"/>
      <c r="E2756" s="124" t="s">
        <v>41</v>
      </c>
      <c r="F2756" s="198">
        <v>1.0</v>
      </c>
      <c r="G2756" s="124" t="s">
        <v>32</v>
      </c>
      <c r="H2756" s="303">
        <v>1.0</v>
      </c>
      <c r="I2756" s="124" t="s">
        <v>33</v>
      </c>
      <c r="J2756" s="124" t="s">
        <v>203</v>
      </c>
      <c r="K2756" s="133"/>
      <c r="L2756" s="124" t="s">
        <v>119</v>
      </c>
      <c r="M2756" s="242" t="s">
        <v>7345</v>
      </c>
      <c r="N2756" s="128"/>
      <c r="O2756" s="133"/>
      <c r="P2756" s="133"/>
      <c r="Q2756" s="124"/>
      <c r="R2756" s="128"/>
      <c r="S2756" s="37"/>
      <c r="T2756" s="38"/>
      <c r="U2756" s="38"/>
      <c r="V2756" s="124" t="s">
        <v>33</v>
      </c>
      <c r="W2756" s="138"/>
      <c r="X2756" s="138"/>
      <c r="Y2756" s="132"/>
      <c r="Z2756" s="133"/>
      <c r="AA2756" s="133"/>
      <c r="AB2756" s="133"/>
      <c r="AC2756" s="133"/>
      <c r="AD2756" s="133"/>
      <c r="AE2756" s="133"/>
      <c r="AF2756" s="133"/>
      <c r="AG2756" s="133"/>
      <c r="AH2756" s="133"/>
      <c r="AI2756" s="133"/>
      <c r="AJ2756" s="133"/>
      <c r="AK2756" s="133"/>
      <c r="AL2756" s="133"/>
      <c r="AM2756" s="133"/>
      <c r="AN2756" s="133"/>
      <c r="AO2756" s="133"/>
      <c r="AP2756" s="133"/>
      <c r="AQ2756" s="133"/>
      <c r="AR2756" s="133"/>
      <c r="AS2756" s="133"/>
      <c r="AT2756" s="133"/>
      <c r="AU2756" s="133"/>
      <c r="AV2756" s="133"/>
      <c r="AW2756" s="133"/>
      <c r="AX2756" s="133"/>
      <c r="AY2756" s="133"/>
      <c r="AZ2756" s="133"/>
      <c r="BA2756" s="133"/>
      <c r="BB2756" s="133"/>
      <c r="BC2756" s="133"/>
      <c r="BD2756" s="133"/>
      <c r="BE2756" s="133"/>
      <c r="BF2756" s="133"/>
      <c r="BG2756" s="133"/>
      <c r="BH2756" s="133"/>
      <c r="BI2756" s="133"/>
      <c r="BJ2756" s="133"/>
      <c r="BK2756" s="133"/>
      <c r="BL2756" s="133"/>
      <c r="BM2756" s="133"/>
      <c r="BN2756" s="133"/>
      <c r="BO2756" s="133"/>
      <c r="BP2756" s="133"/>
      <c r="BQ2756" s="133"/>
    </row>
    <row r="2757">
      <c r="A2757" s="194" t="s">
        <v>7346</v>
      </c>
      <c r="B2757" s="125"/>
      <c r="C2757" s="126">
        <v>43712.0</v>
      </c>
      <c r="D2757" s="133"/>
      <c r="E2757" s="124" t="s">
        <v>41</v>
      </c>
      <c r="F2757" s="198">
        <v>1.0</v>
      </c>
      <c r="G2757" s="124" t="s">
        <v>32</v>
      </c>
      <c r="H2757" s="303">
        <v>1.0</v>
      </c>
      <c r="I2757" s="124" t="s">
        <v>33</v>
      </c>
      <c r="J2757" s="124" t="s">
        <v>203</v>
      </c>
      <c r="K2757" s="133"/>
      <c r="L2757" s="124" t="s">
        <v>76</v>
      </c>
      <c r="M2757" s="242" t="s">
        <v>7347</v>
      </c>
      <c r="N2757" s="128"/>
      <c r="O2757" s="133"/>
      <c r="P2757" s="133"/>
      <c r="Q2757" s="124">
        <v>1.0</v>
      </c>
      <c r="R2757" s="128"/>
      <c r="S2757" s="37"/>
      <c r="T2757" s="38"/>
      <c r="U2757" s="38"/>
      <c r="V2757" s="124" t="s">
        <v>33</v>
      </c>
      <c r="W2757" s="138"/>
      <c r="X2757" s="138"/>
      <c r="Y2757" s="132"/>
      <c r="Z2757" s="133"/>
      <c r="AA2757" s="133"/>
      <c r="AB2757" s="133"/>
      <c r="AC2757" s="133"/>
      <c r="AD2757" s="133"/>
      <c r="AE2757" s="133"/>
      <c r="AF2757" s="133"/>
      <c r="AG2757" s="133"/>
      <c r="AH2757" s="133"/>
      <c r="AI2757" s="133"/>
      <c r="AJ2757" s="133"/>
      <c r="AK2757" s="133"/>
      <c r="AL2757" s="133"/>
      <c r="AM2757" s="133"/>
      <c r="AN2757" s="133"/>
      <c r="AO2757" s="133"/>
      <c r="AP2757" s="133"/>
      <c r="AQ2757" s="133"/>
      <c r="AR2757" s="133"/>
      <c r="AS2757" s="133"/>
      <c r="AT2757" s="133"/>
      <c r="AU2757" s="133"/>
      <c r="AV2757" s="133"/>
      <c r="AW2757" s="133"/>
      <c r="AX2757" s="133"/>
      <c r="AY2757" s="133"/>
      <c r="AZ2757" s="133"/>
      <c r="BA2757" s="133"/>
      <c r="BB2757" s="133"/>
      <c r="BC2757" s="133"/>
      <c r="BD2757" s="133"/>
      <c r="BE2757" s="133"/>
      <c r="BF2757" s="133"/>
      <c r="BG2757" s="133"/>
      <c r="BH2757" s="133"/>
      <c r="BI2757" s="133"/>
      <c r="BJ2757" s="133"/>
      <c r="BK2757" s="133"/>
      <c r="BL2757" s="133"/>
      <c r="BM2757" s="133"/>
      <c r="BN2757" s="133"/>
      <c r="BO2757" s="133"/>
      <c r="BP2757" s="133"/>
      <c r="BQ2757" s="133"/>
    </row>
    <row r="2758">
      <c r="A2758" s="194" t="s">
        <v>7348</v>
      </c>
      <c r="B2758" s="125"/>
      <c r="C2758" s="126">
        <v>43713.0</v>
      </c>
      <c r="D2758" s="133"/>
      <c r="E2758" s="124" t="s">
        <v>41</v>
      </c>
      <c r="F2758" s="198">
        <v>1.0</v>
      </c>
      <c r="G2758" s="124" t="s">
        <v>32</v>
      </c>
      <c r="H2758" s="303">
        <v>1.0</v>
      </c>
      <c r="I2758" s="124" t="s">
        <v>33</v>
      </c>
      <c r="J2758" s="124" t="s">
        <v>75</v>
      </c>
      <c r="K2758" s="133"/>
      <c r="L2758" s="124" t="s">
        <v>119</v>
      </c>
      <c r="M2758" s="242" t="s">
        <v>7349</v>
      </c>
      <c r="N2758" s="128"/>
      <c r="O2758" s="133"/>
      <c r="P2758" s="133"/>
      <c r="Q2758" s="124" t="s">
        <v>903</v>
      </c>
      <c r="R2758" s="128"/>
      <c r="S2758" s="37"/>
      <c r="T2758" s="38"/>
      <c r="U2758" s="38"/>
      <c r="V2758" s="124" t="s">
        <v>33</v>
      </c>
      <c r="W2758" s="138"/>
      <c r="X2758" s="138"/>
      <c r="Y2758" s="132"/>
      <c r="Z2758" s="133"/>
      <c r="AA2758" s="133"/>
      <c r="AB2758" s="133"/>
      <c r="AC2758" s="133"/>
      <c r="AD2758" s="133"/>
      <c r="AE2758" s="133"/>
      <c r="AF2758" s="133"/>
      <c r="AG2758" s="133"/>
      <c r="AH2758" s="133"/>
      <c r="AI2758" s="133"/>
      <c r="AJ2758" s="133"/>
      <c r="AK2758" s="133"/>
      <c r="AL2758" s="133"/>
      <c r="AM2758" s="133"/>
      <c r="AN2758" s="133"/>
      <c r="AO2758" s="133"/>
      <c r="AP2758" s="133"/>
      <c r="AQ2758" s="133"/>
      <c r="AR2758" s="133"/>
      <c r="AS2758" s="133"/>
      <c r="AT2758" s="133"/>
      <c r="AU2758" s="133"/>
      <c r="AV2758" s="133"/>
      <c r="AW2758" s="133"/>
      <c r="AX2758" s="133"/>
      <c r="AY2758" s="133"/>
      <c r="AZ2758" s="133"/>
      <c r="BA2758" s="133"/>
      <c r="BB2758" s="133"/>
      <c r="BC2758" s="133"/>
      <c r="BD2758" s="133"/>
      <c r="BE2758" s="133"/>
      <c r="BF2758" s="133"/>
      <c r="BG2758" s="133"/>
      <c r="BH2758" s="133"/>
      <c r="BI2758" s="133"/>
      <c r="BJ2758" s="133"/>
      <c r="BK2758" s="133"/>
      <c r="BL2758" s="133"/>
      <c r="BM2758" s="133"/>
      <c r="BN2758" s="133"/>
      <c r="BO2758" s="133"/>
      <c r="BP2758" s="133"/>
      <c r="BQ2758" s="133"/>
    </row>
    <row r="2759">
      <c r="A2759" s="194" t="s">
        <v>7350</v>
      </c>
      <c r="B2759" s="125"/>
      <c r="C2759" s="126">
        <v>43713.0</v>
      </c>
      <c r="D2759" s="133"/>
      <c r="E2759" s="124" t="s">
        <v>41</v>
      </c>
      <c r="F2759" s="198">
        <v>1.0</v>
      </c>
      <c r="G2759" s="124">
        <v>1.0</v>
      </c>
      <c r="H2759" s="303">
        <v>1.0</v>
      </c>
      <c r="I2759" s="124" t="s">
        <v>33</v>
      </c>
      <c r="J2759" s="124" t="s">
        <v>402</v>
      </c>
      <c r="K2759" s="133"/>
      <c r="L2759" s="124" t="s">
        <v>76</v>
      </c>
      <c r="M2759" s="242" t="s">
        <v>7351</v>
      </c>
      <c r="N2759" s="128"/>
      <c r="O2759" s="133"/>
      <c r="P2759" s="133"/>
      <c r="Q2759" s="124"/>
      <c r="R2759" s="128"/>
      <c r="S2759" s="37"/>
      <c r="T2759" s="38"/>
      <c r="U2759" s="38"/>
      <c r="V2759" s="124" t="s">
        <v>33</v>
      </c>
      <c r="W2759" s="138"/>
      <c r="X2759" s="138"/>
      <c r="Y2759" s="132"/>
      <c r="Z2759" s="133"/>
      <c r="AA2759" s="133"/>
      <c r="AB2759" s="133"/>
      <c r="AC2759" s="133"/>
      <c r="AD2759" s="133"/>
      <c r="AE2759" s="133"/>
      <c r="AF2759" s="133"/>
      <c r="AG2759" s="133"/>
      <c r="AH2759" s="133"/>
      <c r="AI2759" s="133"/>
      <c r="AJ2759" s="133"/>
      <c r="AK2759" s="133"/>
      <c r="AL2759" s="133"/>
      <c r="AM2759" s="133"/>
      <c r="AN2759" s="133"/>
      <c r="AO2759" s="133"/>
      <c r="AP2759" s="133"/>
      <c r="AQ2759" s="133"/>
      <c r="AR2759" s="133"/>
      <c r="AS2759" s="133"/>
      <c r="AT2759" s="133"/>
      <c r="AU2759" s="133"/>
      <c r="AV2759" s="133"/>
      <c r="AW2759" s="133"/>
      <c r="AX2759" s="133"/>
      <c r="AY2759" s="133"/>
      <c r="AZ2759" s="133"/>
      <c r="BA2759" s="133"/>
      <c r="BB2759" s="133"/>
      <c r="BC2759" s="133"/>
      <c r="BD2759" s="133"/>
      <c r="BE2759" s="133"/>
      <c r="BF2759" s="133"/>
      <c r="BG2759" s="133"/>
      <c r="BH2759" s="133"/>
      <c r="BI2759" s="133"/>
      <c r="BJ2759" s="133"/>
      <c r="BK2759" s="133"/>
      <c r="BL2759" s="133"/>
      <c r="BM2759" s="133"/>
      <c r="BN2759" s="133"/>
      <c r="BO2759" s="133"/>
      <c r="BP2759" s="133"/>
      <c r="BQ2759" s="133"/>
    </row>
    <row r="2760">
      <c r="A2760" s="194" t="s">
        <v>7352</v>
      </c>
      <c r="B2760" s="125"/>
      <c r="C2760" s="126">
        <v>43713.0</v>
      </c>
      <c r="D2760" s="133"/>
      <c r="E2760" s="124" t="s">
        <v>41</v>
      </c>
      <c r="F2760" s="198">
        <v>1.0</v>
      </c>
      <c r="G2760" s="124" t="s">
        <v>32</v>
      </c>
      <c r="H2760" s="303">
        <v>1.0</v>
      </c>
      <c r="I2760" s="124" t="s">
        <v>33</v>
      </c>
      <c r="J2760" s="124" t="s">
        <v>147</v>
      </c>
      <c r="K2760" s="133"/>
      <c r="L2760" s="124" t="s">
        <v>76</v>
      </c>
      <c r="M2760" s="242" t="s">
        <v>7353</v>
      </c>
      <c r="N2760" s="128"/>
      <c r="O2760" s="133"/>
      <c r="P2760" s="133"/>
      <c r="Q2760" s="124">
        <v>1.0</v>
      </c>
      <c r="R2760" s="128"/>
      <c r="S2760" s="37"/>
      <c r="T2760" s="38"/>
      <c r="U2760" s="38"/>
      <c r="V2760" s="124" t="s">
        <v>33</v>
      </c>
      <c r="W2760" s="138"/>
      <c r="X2760" s="138"/>
      <c r="Y2760" s="132"/>
      <c r="Z2760" s="133"/>
      <c r="AA2760" s="133"/>
      <c r="AB2760" s="133"/>
      <c r="AC2760" s="133"/>
      <c r="AD2760" s="133"/>
      <c r="AE2760" s="133"/>
      <c r="AF2760" s="133"/>
      <c r="AG2760" s="133"/>
      <c r="AH2760" s="133"/>
      <c r="AI2760" s="133"/>
      <c r="AJ2760" s="133"/>
      <c r="AK2760" s="133"/>
      <c r="AL2760" s="133"/>
      <c r="AM2760" s="133"/>
      <c r="AN2760" s="133"/>
      <c r="AO2760" s="133"/>
      <c r="AP2760" s="133"/>
      <c r="AQ2760" s="133"/>
      <c r="AR2760" s="133"/>
      <c r="AS2760" s="133"/>
      <c r="AT2760" s="133"/>
      <c r="AU2760" s="133"/>
      <c r="AV2760" s="133"/>
      <c r="AW2760" s="133"/>
      <c r="AX2760" s="133"/>
      <c r="AY2760" s="133"/>
      <c r="AZ2760" s="133"/>
      <c r="BA2760" s="133"/>
      <c r="BB2760" s="133"/>
      <c r="BC2760" s="133"/>
      <c r="BD2760" s="133"/>
      <c r="BE2760" s="133"/>
      <c r="BF2760" s="133"/>
      <c r="BG2760" s="133"/>
      <c r="BH2760" s="133"/>
      <c r="BI2760" s="133"/>
      <c r="BJ2760" s="133"/>
      <c r="BK2760" s="133"/>
      <c r="BL2760" s="133"/>
      <c r="BM2760" s="133"/>
      <c r="BN2760" s="133"/>
      <c r="BO2760" s="133"/>
      <c r="BP2760" s="133"/>
      <c r="BQ2760" s="133"/>
    </row>
    <row r="2761">
      <c r="A2761" s="194" t="s">
        <v>7354</v>
      </c>
      <c r="B2761" s="125"/>
      <c r="C2761" s="126">
        <v>43714.0</v>
      </c>
      <c r="D2761" s="133"/>
      <c r="E2761" s="124" t="s">
        <v>41</v>
      </c>
      <c r="F2761" s="198">
        <v>1.0</v>
      </c>
      <c r="G2761" s="124" t="s">
        <v>32</v>
      </c>
      <c r="H2761" s="303">
        <v>1.0</v>
      </c>
      <c r="I2761" s="124" t="s">
        <v>33</v>
      </c>
      <c r="J2761" s="124" t="s">
        <v>124</v>
      </c>
      <c r="K2761" s="133"/>
      <c r="L2761" s="124" t="s">
        <v>69</v>
      </c>
      <c r="M2761" s="242" t="s">
        <v>7355</v>
      </c>
      <c r="N2761" s="128"/>
      <c r="O2761" s="133"/>
      <c r="P2761" s="133"/>
      <c r="Q2761" s="124"/>
      <c r="R2761" s="128"/>
      <c r="S2761" s="37"/>
      <c r="T2761" s="38"/>
      <c r="U2761" s="38" t="b">
        <f>countif(A$4:A4658, A2761)&gt;1</f>
        <v>0</v>
      </c>
      <c r="V2761" s="124" t="s">
        <v>33</v>
      </c>
      <c r="W2761" s="138"/>
      <c r="X2761" s="138"/>
      <c r="Y2761" s="132"/>
      <c r="Z2761" s="133"/>
      <c r="AA2761" s="133"/>
      <c r="AB2761" s="133"/>
      <c r="AC2761" s="133"/>
      <c r="AD2761" s="133"/>
      <c r="AE2761" s="133"/>
      <c r="AF2761" s="133"/>
      <c r="AG2761" s="133"/>
      <c r="AH2761" s="133"/>
      <c r="AI2761" s="133"/>
      <c r="AJ2761" s="133"/>
      <c r="AK2761" s="133"/>
      <c r="AL2761" s="133"/>
      <c r="AM2761" s="133"/>
      <c r="AN2761" s="133"/>
      <c r="AO2761" s="133"/>
      <c r="AP2761" s="133"/>
      <c r="AQ2761" s="133"/>
      <c r="AR2761" s="133"/>
      <c r="AS2761" s="133"/>
      <c r="AT2761" s="133"/>
      <c r="AU2761" s="133"/>
      <c r="AV2761" s="133"/>
      <c r="AW2761" s="133"/>
      <c r="AX2761" s="133"/>
      <c r="AY2761" s="133"/>
      <c r="AZ2761" s="133"/>
      <c r="BA2761" s="133"/>
      <c r="BB2761" s="133"/>
      <c r="BC2761" s="133"/>
      <c r="BD2761" s="133"/>
      <c r="BE2761" s="133"/>
      <c r="BF2761" s="133"/>
      <c r="BG2761" s="133"/>
      <c r="BH2761" s="133"/>
      <c r="BI2761" s="133"/>
      <c r="BJ2761" s="133"/>
      <c r="BK2761" s="133"/>
      <c r="BL2761" s="133"/>
      <c r="BM2761" s="133"/>
      <c r="BN2761" s="133"/>
      <c r="BO2761" s="133"/>
      <c r="BP2761" s="133"/>
      <c r="BQ2761" s="133"/>
    </row>
    <row r="2762">
      <c r="A2762" s="194" t="s">
        <v>7356</v>
      </c>
      <c r="B2762" s="125"/>
      <c r="C2762" s="126">
        <v>43717.0</v>
      </c>
      <c r="D2762" s="133"/>
      <c r="E2762" s="124" t="s">
        <v>31</v>
      </c>
      <c r="F2762" s="198">
        <v>1.0</v>
      </c>
      <c r="G2762" s="124">
        <v>1.0</v>
      </c>
      <c r="H2762" s="303">
        <v>1.0</v>
      </c>
      <c r="I2762" s="124" t="s">
        <v>33</v>
      </c>
      <c r="J2762" s="124" t="s">
        <v>93</v>
      </c>
      <c r="K2762" s="133"/>
      <c r="L2762" s="124" t="s">
        <v>76</v>
      </c>
      <c r="M2762" s="242" t="s">
        <v>7357</v>
      </c>
      <c r="N2762" s="219" t="s">
        <v>7358</v>
      </c>
      <c r="O2762" s="133"/>
      <c r="P2762" s="133"/>
      <c r="Q2762" s="124"/>
      <c r="R2762" s="128"/>
      <c r="S2762" s="37"/>
      <c r="T2762" s="38"/>
      <c r="U2762" s="38"/>
      <c r="V2762" s="124" t="s">
        <v>33</v>
      </c>
      <c r="W2762" s="305" t="s">
        <v>7359</v>
      </c>
      <c r="X2762" s="219" t="s">
        <v>7360</v>
      </c>
      <c r="Y2762" s="132"/>
      <c r="Z2762" s="133"/>
      <c r="AA2762" s="133"/>
      <c r="AB2762" s="133"/>
      <c r="AC2762" s="133"/>
      <c r="AD2762" s="133"/>
      <c r="AE2762" s="133"/>
      <c r="AF2762" s="133"/>
      <c r="AG2762" s="133"/>
      <c r="AH2762" s="133"/>
      <c r="AI2762" s="133"/>
      <c r="AJ2762" s="133"/>
      <c r="AK2762" s="133"/>
      <c r="AL2762" s="133"/>
      <c r="AM2762" s="133"/>
      <c r="AN2762" s="133"/>
      <c r="AO2762" s="133"/>
      <c r="AP2762" s="133"/>
      <c r="AQ2762" s="133"/>
      <c r="AR2762" s="133"/>
      <c r="AS2762" s="133"/>
      <c r="AT2762" s="133"/>
      <c r="AU2762" s="133"/>
      <c r="AV2762" s="133"/>
      <c r="AW2762" s="133"/>
      <c r="AX2762" s="133"/>
      <c r="AY2762" s="133"/>
      <c r="AZ2762" s="133"/>
      <c r="BA2762" s="133"/>
      <c r="BB2762" s="133"/>
      <c r="BC2762" s="133"/>
      <c r="BD2762" s="133"/>
      <c r="BE2762" s="133"/>
      <c r="BF2762" s="133"/>
      <c r="BG2762" s="133"/>
      <c r="BH2762" s="133"/>
      <c r="BI2762" s="133"/>
      <c r="BJ2762" s="133"/>
      <c r="BK2762" s="133"/>
      <c r="BL2762" s="133"/>
      <c r="BM2762" s="133"/>
      <c r="BN2762" s="133"/>
      <c r="BO2762" s="133"/>
      <c r="BP2762" s="133"/>
      <c r="BQ2762" s="133"/>
    </row>
    <row r="2763">
      <c r="A2763" s="194" t="s">
        <v>7361</v>
      </c>
      <c r="B2763" s="125"/>
      <c r="C2763" s="126">
        <v>43718.0</v>
      </c>
      <c r="D2763" s="133"/>
      <c r="E2763" s="124" t="s">
        <v>41</v>
      </c>
      <c r="F2763" s="198">
        <v>1.0</v>
      </c>
      <c r="G2763" s="124" t="s">
        <v>32</v>
      </c>
      <c r="H2763" s="303">
        <v>1.0</v>
      </c>
      <c r="I2763" s="124" t="s">
        <v>33</v>
      </c>
      <c r="J2763" s="124" t="s">
        <v>410</v>
      </c>
      <c r="K2763" s="133"/>
      <c r="L2763" s="124" t="s">
        <v>119</v>
      </c>
      <c r="M2763" s="242" t="s">
        <v>7362</v>
      </c>
      <c r="N2763" s="233"/>
      <c r="O2763" s="133"/>
      <c r="P2763" s="133"/>
      <c r="Q2763" s="124">
        <v>1.0</v>
      </c>
      <c r="R2763" s="128"/>
      <c r="S2763" s="37"/>
      <c r="T2763" s="38"/>
      <c r="U2763" s="38"/>
      <c r="V2763" s="124" t="s">
        <v>33</v>
      </c>
      <c r="W2763" s="305"/>
      <c r="X2763" s="233"/>
      <c r="Y2763" s="132"/>
      <c r="Z2763" s="133"/>
      <c r="AA2763" s="133"/>
      <c r="AB2763" s="133"/>
      <c r="AC2763" s="133"/>
      <c r="AD2763" s="133"/>
      <c r="AE2763" s="133"/>
      <c r="AF2763" s="133"/>
      <c r="AG2763" s="133"/>
      <c r="AH2763" s="133"/>
      <c r="AI2763" s="133"/>
      <c r="AJ2763" s="133"/>
      <c r="AK2763" s="133"/>
      <c r="AL2763" s="133"/>
      <c r="AM2763" s="133"/>
      <c r="AN2763" s="133"/>
      <c r="AO2763" s="133"/>
      <c r="AP2763" s="133"/>
      <c r="AQ2763" s="133"/>
      <c r="AR2763" s="133"/>
      <c r="AS2763" s="133"/>
      <c r="AT2763" s="133"/>
      <c r="AU2763" s="133"/>
      <c r="AV2763" s="133"/>
      <c r="AW2763" s="133"/>
      <c r="AX2763" s="133"/>
      <c r="AY2763" s="133"/>
      <c r="AZ2763" s="133"/>
      <c r="BA2763" s="133"/>
      <c r="BB2763" s="133"/>
      <c r="BC2763" s="133"/>
      <c r="BD2763" s="133"/>
      <c r="BE2763" s="133"/>
      <c r="BF2763" s="133"/>
      <c r="BG2763" s="133"/>
      <c r="BH2763" s="133"/>
      <c r="BI2763" s="133"/>
      <c r="BJ2763" s="133"/>
      <c r="BK2763" s="133"/>
      <c r="BL2763" s="133"/>
      <c r="BM2763" s="133"/>
      <c r="BN2763" s="133"/>
      <c r="BO2763" s="133"/>
      <c r="BP2763" s="133"/>
      <c r="BQ2763" s="133"/>
    </row>
    <row r="2764">
      <c r="A2764" s="194" t="s">
        <v>7363</v>
      </c>
      <c r="B2764" s="125"/>
      <c r="C2764" s="126">
        <v>43718.0</v>
      </c>
      <c r="D2764" s="133"/>
      <c r="E2764" s="124" t="s">
        <v>41</v>
      </c>
      <c r="F2764" s="198">
        <v>1.0</v>
      </c>
      <c r="G2764" s="124" t="s">
        <v>32</v>
      </c>
      <c r="H2764" s="303">
        <v>1.0</v>
      </c>
      <c r="I2764" s="124" t="s">
        <v>33</v>
      </c>
      <c r="J2764" s="124" t="s">
        <v>115</v>
      </c>
      <c r="K2764" s="133"/>
      <c r="L2764" s="124" t="s">
        <v>119</v>
      </c>
      <c r="M2764" s="242" t="s">
        <v>7364</v>
      </c>
      <c r="N2764" s="128"/>
      <c r="O2764" s="172" t="str">
        <f>hyperlink("https://bad-boys.us/?q=WD-PA/2:19-cr-00274", "WD-PA 2:19-cr-00274")</f>
        <v>WD-PA 2:19-cr-00274</v>
      </c>
      <c r="P2764" s="133"/>
      <c r="Q2764" s="124">
        <v>1.0</v>
      </c>
      <c r="R2764" s="124"/>
      <c r="S2764" s="37"/>
      <c r="T2764" s="38"/>
      <c r="U2764" s="38"/>
      <c r="V2764" s="124" t="s">
        <v>33</v>
      </c>
      <c r="W2764" s="138"/>
      <c r="X2764" s="138"/>
      <c r="Y2764" s="132"/>
      <c r="Z2764" s="133"/>
      <c r="AA2764" s="133"/>
      <c r="AB2764" s="133"/>
      <c r="AC2764" s="133"/>
      <c r="AD2764" s="133"/>
      <c r="AE2764" s="133"/>
      <c r="AF2764" s="133"/>
      <c r="AG2764" s="133"/>
      <c r="AH2764" s="133"/>
      <c r="AI2764" s="133"/>
      <c r="AJ2764" s="133"/>
      <c r="AK2764" s="133"/>
      <c r="AL2764" s="133"/>
      <c r="AM2764" s="133"/>
      <c r="AN2764" s="133"/>
      <c r="AO2764" s="133"/>
      <c r="AP2764" s="133"/>
      <c r="AQ2764" s="133"/>
      <c r="AR2764" s="133"/>
      <c r="AS2764" s="133"/>
      <c r="AT2764" s="133"/>
      <c r="AU2764" s="133"/>
      <c r="AV2764" s="133"/>
      <c r="AW2764" s="133"/>
      <c r="AX2764" s="133"/>
      <c r="AY2764" s="133"/>
      <c r="AZ2764" s="133"/>
      <c r="BA2764" s="133"/>
      <c r="BB2764" s="133"/>
      <c r="BC2764" s="133"/>
      <c r="BD2764" s="133"/>
      <c r="BE2764" s="133"/>
      <c r="BF2764" s="133"/>
      <c r="BG2764" s="133"/>
      <c r="BH2764" s="133"/>
      <c r="BI2764" s="133"/>
      <c r="BJ2764" s="133"/>
      <c r="BK2764" s="133"/>
      <c r="BL2764" s="133"/>
      <c r="BM2764" s="133"/>
      <c r="BN2764" s="133"/>
      <c r="BO2764" s="133"/>
      <c r="BP2764" s="133"/>
      <c r="BQ2764" s="133"/>
    </row>
    <row r="2765">
      <c r="A2765" s="194" t="s">
        <v>7365</v>
      </c>
      <c r="B2765" s="125"/>
      <c r="C2765" s="126">
        <v>43719.0</v>
      </c>
      <c r="D2765" s="133"/>
      <c r="E2765" s="124" t="s">
        <v>41</v>
      </c>
      <c r="F2765" s="198">
        <v>1.0</v>
      </c>
      <c r="G2765" s="124" t="s">
        <v>32</v>
      </c>
      <c r="H2765" s="303">
        <v>1.0</v>
      </c>
      <c r="I2765" s="124" t="s">
        <v>33</v>
      </c>
      <c r="J2765" s="124" t="s">
        <v>47</v>
      </c>
      <c r="K2765" s="133"/>
      <c r="L2765" s="124" t="s">
        <v>69</v>
      </c>
      <c r="M2765" s="242" t="s">
        <v>7366</v>
      </c>
      <c r="N2765" s="128"/>
      <c r="O2765" s="172" t="str">
        <f>hyperlink("https://bad-boys.us/?q=MD-FL/3:19-cr-00158", "MD-FL 3:19-cr-00158")</f>
        <v>MD-FL 3:19-cr-00158</v>
      </c>
      <c r="P2765" s="133"/>
      <c r="Q2765" s="124">
        <v>1.0</v>
      </c>
      <c r="R2765" s="128"/>
      <c r="S2765" s="37" t="str">
        <f>IFERROR(__xludf.DUMMYFUNCTION("if(not(iserror(index(split(C2765, "" ""),2))), index(split(C2765, "" ""),1),"""")"),"September")</f>
        <v>September</v>
      </c>
      <c r="T2765" s="38">
        <f>IFERROR(__xludf.DUMMYFUNCTION("if(S2765="""",C2765,if(not(iserror(index(split(C2765, "" ""),3))), index(split(C2765, "" ""),3),index(split(C2765, "" ""),2)))"),2019.0)</f>
        <v>2019</v>
      </c>
      <c r="U2765" s="38" t="b">
        <f t="shared" ref="U2765:U2766" si="399">countif(A$4:A4658, A2765)&gt;1</f>
        <v>0</v>
      </c>
      <c r="V2765" s="124" t="s">
        <v>33</v>
      </c>
      <c r="W2765" s="138"/>
      <c r="X2765" s="138"/>
      <c r="Y2765" s="132"/>
      <c r="Z2765" s="133"/>
      <c r="AA2765" s="133"/>
      <c r="AB2765" s="133"/>
      <c r="AC2765" s="133"/>
      <c r="AD2765" s="133"/>
      <c r="AE2765" s="133"/>
      <c r="AF2765" s="133"/>
      <c r="AG2765" s="133"/>
      <c r="AH2765" s="133"/>
      <c r="AI2765" s="133"/>
      <c r="AJ2765" s="133"/>
      <c r="AK2765" s="133"/>
      <c r="AL2765" s="133"/>
      <c r="AM2765" s="133"/>
      <c r="AN2765" s="133"/>
      <c r="AO2765" s="133"/>
      <c r="AP2765" s="133"/>
      <c r="AQ2765" s="133"/>
      <c r="AR2765" s="133"/>
      <c r="AS2765" s="133"/>
      <c r="AT2765" s="133"/>
      <c r="AU2765" s="133"/>
      <c r="AV2765" s="133"/>
      <c r="AW2765" s="133"/>
      <c r="AX2765" s="133"/>
      <c r="AY2765" s="133"/>
      <c r="AZ2765" s="133"/>
      <c r="BA2765" s="133"/>
      <c r="BB2765" s="133"/>
      <c r="BC2765" s="133"/>
      <c r="BD2765" s="133"/>
      <c r="BE2765" s="133"/>
      <c r="BF2765" s="133"/>
      <c r="BG2765" s="133"/>
      <c r="BH2765" s="133"/>
      <c r="BI2765" s="133"/>
      <c r="BJ2765" s="133"/>
      <c r="BK2765" s="133"/>
      <c r="BL2765" s="133"/>
      <c r="BM2765" s="133"/>
      <c r="BN2765" s="133"/>
      <c r="BO2765" s="133"/>
      <c r="BP2765" s="133"/>
      <c r="BQ2765" s="133"/>
    </row>
    <row r="2766">
      <c r="A2766" s="194" t="s">
        <v>7367</v>
      </c>
      <c r="B2766" s="125"/>
      <c r="C2766" s="126">
        <v>43719.0</v>
      </c>
      <c r="D2766" s="133"/>
      <c r="E2766" s="124" t="s">
        <v>41</v>
      </c>
      <c r="F2766" s="198">
        <v>1.0</v>
      </c>
      <c r="G2766" s="124" t="s">
        <v>32</v>
      </c>
      <c r="H2766" s="303">
        <v>1.0</v>
      </c>
      <c r="I2766" s="124" t="s">
        <v>33</v>
      </c>
      <c r="J2766" s="124" t="s">
        <v>106</v>
      </c>
      <c r="K2766" s="133"/>
      <c r="L2766" s="124" t="s">
        <v>7368</v>
      </c>
      <c r="M2766" s="242" t="s">
        <v>7369</v>
      </c>
      <c r="N2766" s="233"/>
      <c r="O2766" s="172" t="str">
        <f>hyperlink("https://bad-boys.us/?q=D-MD/8:19-cr-00433", "D-MD 8:19-cr-00433")</f>
        <v>D-MD 8:19-cr-00433</v>
      </c>
      <c r="P2766" s="133"/>
      <c r="Q2766" s="124">
        <v>1.0</v>
      </c>
      <c r="R2766" s="128"/>
      <c r="S2766" s="37"/>
      <c r="T2766" s="38"/>
      <c r="U2766" s="38" t="b">
        <f t="shared" si="399"/>
        <v>0</v>
      </c>
      <c r="V2766" s="124" t="s">
        <v>33</v>
      </c>
      <c r="W2766" s="138"/>
      <c r="X2766" s="138"/>
      <c r="Y2766" s="233"/>
      <c r="Z2766" s="133"/>
      <c r="AA2766" s="133"/>
      <c r="AB2766" s="133"/>
      <c r="AC2766" s="133"/>
      <c r="AD2766" s="133"/>
      <c r="AE2766" s="133"/>
      <c r="AF2766" s="133"/>
      <c r="AG2766" s="133"/>
      <c r="AH2766" s="133"/>
      <c r="AI2766" s="133"/>
      <c r="AJ2766" s="133"/>
      <c r="AK2766" s="133"/>
      <c r="AL2766" s="133"/>
      <c r="AM2766" s="133"/>
      <c r="AN2766" s="133"/>
      <c r="AO2766" s="133"/>
      <c r="AP2766" s="133"/>
      <c r="AQ2766" s="133"/>
      <c r="AR2766" s="133"/>
      <c r="AS2766" s="133"/>
      <c r="AT2766" s="133"/>
      <c r="AU2766" s="133"/>
      <c r="AV2766" s="133"/>
      <c r="AW2766" s="133"/>
      <c r="AX2766" s="133"/>
      <c r="AY2766" s="133"/>
      <c r="AZ2766" s="133"/>
      <c r="BA2766" s="133"/>
      <c r="BB2766" s="133"/>
      <c r="BC2766" s="133"/>
      <c r="BD2766" s="133"/>
      <c r="BE2766" s="133"/>
      <c r="BF2766" s="133"/>
      <c r="BG2766" s="133"/>
      <c r="BH2766" s="133"/>
      <c r="BI2766" s="133"/>
      <c r="BJ2766" s="133"/>
      <c r="BK2766" s="133"/>
      <c r="BL2766" s="133"/>
      <c r="BM2766" s="133"/>
      <c r="BN2766" s="133"/>
      <c r="BO2766" s="133"/>
      <c r="BP2766" s="133"/>
      <c r="BQ2766" s="133"/>
    </row>
    <row r="2767">
      <c r="A2767" s="194" t="s">
        <v>239</v>
      </c>
      <c r="B2767" s="125"/>
      <c r="C2767" s="126">
        <v>43719.0</v>
      </c>
      <c r="D2767" s="133"/>
      <c r="E2767" s="124" t="s">
        <v>41</v>
      </c>
      <c r="F2767" s="198">
        <v>1.0</v>
      </c>
      <c r="G2767" s="124" t="s">
        <v>32</v>
      </c>
      <c r="H2767" s="303">
        <v>1.0</v>
      </c>
      <c r="I2767" s="124" t="s">
        <v>33</v>
      </c>
      <c r="J2767" s="124" t="s">
        <v>241</v>
      </c>
      <c r="K2767" s="133"/>
      <c r="L2767" s="124" t="s">
        <v>194</v>
      </c>
      <c r="M2767" s="242" t="s">
        <v>7370</v>
      </c>
      <c r="N2767" s="233"/>
      <c r="O2767" s="133"/>
      <c r="P2767" s="133"/>
      <c r="Q2767" s="124"/>
      <c r="R2767" s="128"/>
      <c r="S2767" s="37"/>
      <c r="T2767" s="38"/>
      <c r="U2767" s="38"/>
      <c r="V2767" s="124" t="s">
        <v>33</v>
      </c>
      <c r="W2767" s="138"/>
      <c r="X2767" s="138"/>
      <c r="Y2767" s="233"/>
      <c r="Z2767" s="133"/>
      <c r="AA2767" s="133"/>
      <c r="AB2767" s="133"/>
      <c r="AC2767" s="133"/>
      <c r="AD2767" s="133"/>
      <c r="AE2767" s="133"/>
      <c r="AF2767" s="133"/>
      <c r="AG2767" s="133"/>
      <c r="AH2767" s="133"/>
      <c r="AI2767" s="133"/>
      <c r="AJ2767" s="133"/>
      <c r="AK2767" s="133"/>
      <c r="AL2767" s="133"/>
      <c r="AM2767" s="133"/>
      <c r="AN2767" s="133"/>
      <c r="AO2767" s="133"/>
      <c r="AP2767" s="133"/>
      <c r="AQ2767" s="133"/>
      <c r="AR2767" s="133"/>
      <c r="AS2767" s="133"/>
      <c r="AT2767" s="133"/>
      <c r="AU2767" s="133"/>
      <c r="AV2767" s="133"/>
      <c r="AW2767" s="133"/>
      <c r="AX2767" s="133"/>
      <c r="AY2767" s="133"/>
      <c r="AZ2767" s="133"/>
      <c r="BA2767" s="133"/>
      <c r="BB2767" s="133"/>
      <c r="BC2767" s="133"/>
      <c r="BD2767" s="133"/>
      <c r="BE2767" s="133"/>
      <c r="BF2767" s="133"/>
      <c r="BG2767" s="133"/>
      <c r="BH2767" s="133"/>
      <c r="BI2767" s="133"/>
      <c r="BJ2767" s="133"/>
      <c r="BK2767" s="133"/>
      <c r="BL2767" s="133"/>
      <c r="BM2767" s="133"/>
      <c r="BN2767" s="133"/>
      <c r="BO2767" s="133"/>
      <c r="BP2767" s="133"/>
      <c r="BQ2767" s="133"/>
    </row>
    <row r="2768">
      <c r="A2768" s="194" t="s">
        <v>7371</v>
      </c>
      <c r="B2768" s="125"/>
      <c r="C2768" s="126">
        <v>43720.0</v>
      </c>
      <c r="D2768" s="133"/>
      <c r="E2768" s="124" t="s">
        <v>41</v>
      </c>
      <c r="F2768" s="198">
        <v>1.0</v>
      </c>
      <c r="G2768" s="124" t="s">
        <v>32</v>
      </c>
      <c r="H2768" s="303"/>
      <c r="I2768" s="124" t="s">
        <v>33</v>
      </c>
      <c r="J2768" s="124" t="s">
        <v>47</v>
      </c>
      <c r="K2768" s="133"/>
      <c r="L2768" s="124" t="s">
        <v>119</v>
      </c>
      <c r="M2768" s="242" t="s">
        <v>7372</v>
      </c>
      <c r="N2768" s="233"/>
      <c r="O2768" s="133"/>
      <c r="P2768" s="133"/>
      <c r="Q2768" s="124"/>
      <c r="R2768" s="128"/>
      <c r="S2768" s="37"/>
      <c r="T2768" s="38"/>
      <c r="U2768" s="38"/>
      <c r="V2768" s="124" t="s">
        <v>33</v>
      </c>
      <c r="W2768" s="138"/>
      <c r="X2768" s="138"/>
      <c r="Y2768" s="233"/>
      <c r="Z2768" s="133"/>
      <c r="AA2768" s="133"/>
      <c r="AB2768" s="133"/>
      <c r="AC2768" s="133"/>
      <c r="AD2768" s="133"/>
      <c r="AE2768" s="133"/>
      <c r="AF2768" s="133"/>
      <c r="AG2768" s="133"/>
      <c r="AH2768" s="133"/>
      <c r="AI2768" s="133"/>
      <c r="AJ2768" s="133"/>
      <c r="AK2768" s="133"/>
      <c r="AL2768" s="133"/>
      <c r="AM2768" s="133"/>
      <c r="AN2768" s="133"/>
      <c r="AO2768" s="133"/>
      <c r="AP2768" s="133"/>
      <c r="AQ2768" s="133"/>
      <c r="AR2768" s="133"/>
      <c r="AS2768" s="133"/>
      <c r="AT2768" s="133"/>
      <c r="AU2768" s="133"/>
      <c r="AV2768" s="133"/>
      <c r="AW2768" s="133"/>
      <c r="AX2768" s="133"/>
      <c r="AY2768" s="133"/>
      <c r="AZ2768" s="133"/>
      <c r="BA2768" s="133"/>
      <c r="BB2768" s="133"/>
      <c r="BC2768" s="133"/>
      <c r="BD2768" s="133"/>
      <c r="BE2768" s="133"/>
      <c r="BF2768" s="133"/>
      <c r="BG2768" s="133"/>
      <c r="BH2768" s="133"/>
      <c r="BI2768" s="133"/>
      <c r="BJ2768" s="133"/>
      <c r="BK2768" s="133"/>
      <c r="BL2768" s="133"/>
      <c r="BM2768" s="133"/>
      <c r="BN2768" s="133"/>
      <c r="BO2768" s="133"/>
      <c r="BP2768" s="133"/>
      <c r="BQ2768" s="133"/>
    </row>
    <row r="2769">
      <c r="A2769" s="194" t="s">
        <v>7373</v>
      </c>
      <c r="B2769" s="125"/>
      <c r="C2769" s="126">
        <v>43720.0</v>
      </c>
      <c r="D2769" s="133"/>
      <c r="E2769" s="124" t="s">
        <v>31</v>
      </c>
      <c r="F2769" s="198">
        <v>1.0</v>
      </c>
      <c r="G2769" s="124" t="s">
        <v>32</v>
      </c>
      <c r="H2769" s="303">
        <v>1.0</v>
      </c>
      <c r="I2769" s="124" t="s">
        <v>33</v>
      </c>
      <c r="J2769" s="124" t="s">
        <v>93</v>
      </c>
      <c r="K2769" s="133"/>
      <c r="L2769" s="124" t="s">
        <v>119</v>
      </c>
      <c r="M2769" s="242" t="s">
        <v>7374</v>
      </c>
      <c r="N2769" s="219" t="s">
        <v>7375</v>
      </c>
      <c r="O2769" s="133"/>
      <c r="P2769" s="133"/>
      <c r="Q2769" s="124"/>
      <c r="R2769" s="128"/>
      <c r="S2769" s="37"/>
      <c r="T2769" s="38"/>
      <c r="U2769" s="38" t="b">
        <f t="shared" ref="U2769:U2770" si="400">countif(A$4:A4658, A2769)&gt;1</f>
        <v>0</v>
      </c>
      <c r="V2769" s="124" t="s">
        <v>33</v>
      </c>
      <c r="W2769" s="138"/>
      <c r="X2769" s="138"/>
      <c r="Y2769" s="219" t="s">
        <v>7376</v>
      </c>
      <c r="Z2769" s="133"/>
      <c r="AA2769" s="133"/>
      <c r="AB2769" s="133"/>
      <c r="AC2769" s="133"/>
      <c r="AD2769" s="133"/>
      <c r="AE2769" s="133"/>
      <c r="AF2769" s="133"/>
      <c r="AG2769" s="133"/>
      <c r="AH2769" s="133"/>
      <c r="AI2769" s="133"/>
      <c r="AJ2769" s="133"/>
      <c r="AK2769" s="133"/>
      <c r="AL2769" s="133"/>
      <c r="AM2769" s="133"/>
      <c r="AN2769" s="133"/>
      <c r="AO2769" s="133"/>
      <c r="AP2769" s="133"/>
      <c r="AQ2769" s="133"/>
      <c r="AR2769" s="133"/>
      <c r="AS2769" s="133"/>
      <c r="AT2769" s="133"/>
      <c r="AU2769" s="133"/>
      <c r="AV2769" s="133"/>
      <c r="AW2769" s="133"/>
      <c r="AX2769" s="133"/>
      <c r="AY2769" s="133"/>
      <c r="AZ2769" s="133"/>
      <c r="BA2769" s="133"/>
      <c r="BB2769" s="133"/>
      <c r="BC2769" s="133"/>
      <c r="BD2769" s="133"/>
      <c r="BE2769" s="133"/>
      <c r="BF2769" s="133"/>
      <c r="BG2769" s="133"/>
      <c r="BH2769" s="133"/>
      <c r="BI2769" s="133"/>
      <c r="BJ2769" s="133"/>
      <c r="BK2769" s="133"/>
      <c r="BL2769" s="133"/>
      <c r="BM2769" s="133"/>
      <c r="BN2769" s="133"/>
      <c r="BO2769" s="133"/>
      <c r="BP2769" s="133"/>
      <c r="BQ2769" s="133"/>
    </row>
    <row r="2770">
      <c r="A2770" s="194" t="s">
        <v>7377</v>
      </c>
      <c r="B2770" s="125"/>
      <c r="C2770" s="126">
        <v>43720.0</v>
      </c>
      <c r="D2770" s="133"/>
      <c r="E2770" s="124" t="s">
        <v>41</v>
      </c>
      <c r="F2770" s="198">
        <v>1.0</v>
      </c>
      <c r="G2770" s="124" t="s">
        <v>32</v>
      </c>
      <c r="H2770" s="303">
        <v>1.0</v>
      </c>
      <c r="I2770" s="124" t="s">
        <v>33</v>
      </c>
      <c r="J2770" s="124" t="s">
        <v>179</v>
      </c>
      <c r="K2770" s="133"/>
      <c r="L2770" s="124" t="s">
        <v>76</v>
      </c>
      <c r="M2770" s="242" t="s">
        <v>7378</v>
      </c>
      <c r="N2770" s="233"/>
      <c r="O2770" s="173" t="str">
        <f>hyperlink("https://bad-boys.us/?q=ED-VA/4:19-cr-00087", "ED-VA 4:19-cr-00087")</f>
        <v>ED-VA 4:19-cr-00087</v>
      </c>
      <c r="P2770" s="133"/>
      <c r="Q2770" s="124">
        <v>1.0</v>
      </c>
      <c r="R2770" s="128"/>
      <c r="S2770" s="37"/>
      <c r="T2770" s="38"/>
      <c r="U2770" s="38" t="b">
        <f t="shared" si="400"/>
        <v>0</v>
      </c>
      <c r="V2770" s="124" t="s">
        <v>33</v>
      </c>
      <c r="W2770" s="138"/>
      <c r="X2770" s="138"/>
      <c r="Y2770" s="233"/>
      <c r="Z2770" s="133"/>
      <c r="AA2770" s="133"/>
      <c r="AB2770" s="133"/>
      <c r="AC2770" s="133"/>
      <c r="AD2770" s="133"/>
      <c r="AE2770" s="133"/>
      <c r="AF2770" s="133"/>
      <c r="AG2770" s="133"/>
      <c r="AH2770" s="133"/>
      <c r="AI2770" s="133"/>
      <c r="AJ2770" s="133"/>
      <c r="AK2770" s="133"/>
      <c r="AL2770" s="133"/>
      <c r="AM2770" s="133"/>
      <c r="AN2770" s="133"/>
      <c r="AO2770" s="133"/>
      <c r="AP2770" s="133"/>
      <c r="AQ2770" s="133"/>
      <c r="AR2770" s="133"/>
      <c r="AS2770" s="133"/>
      <c r="AT2770" s="133"/>
      <c r="AU2770" s="133"/>
      <c r="AV2770" s="133"/>
      <c r="AW2770" s="133"/>
      <c r="AX2770" s="133"/>
      <c r="AY2770" s="133"/>
      <c r="AZ2770" s="133"/>
      <c r="BA2770" s="133"/>
      <c r="BB2770" s="133"/>
      <c r="BC2770" s="133"/>
      <c r="BD2770" s="133"/>
      <c r="BE2770" s="133"/>
      <c r="BF2770" s="133"/>
      <c r="BG2770" s="133"/>
      <c r="BH2770" s="133"/>
      <c r="BI2770" s="133"/>
      <c r="BJ2770" s="133"/>
      <c r="BK2770" s="133"/>
      <c r="BL2770" s="133"/>
      <c r="BM2770" s="133"/>
      <c r="BN2770" s="133"/>
      <c r="BO2770" s="133"/>
      <c r="BP2770" s="133"/>
      <c r="BQ2770" s="133"/>
    </row>
    <row r="2771">
      <c r="A2771" s="194" t="s">
        <v>7379</v>
      </c>
      <c r="B2771" s="125"/>
      <c r="C2771" s="126">
        <v>43721.0</v>
      </c>
      <c r="D2771" s="133"/>
      <c r="E2771" s="124" t="s">
        <v>41</v>
      </c>
      <c r="F2771" s="198">
        <v>1.0</v>
      </c>
      <c r="G2771" s="124" t="s">
        <v>32</v>
      </c>
      <c r="H2771" s="303">
        <v>1.0</v>
      </c>
      <c r="I2771" s="124" t="s">
        <v>33</v>
      </c>
      <c r="J2771" s="124" t="s">
        <v>47</v>
      </c>
      <c r="K2771" s="133"/>
      <c r="L2771" s="124" t="s">
        <v>76</v>
      </c>
      <c r="M2771" s="242" t="s">
        <v>7380</v>
      </c>
      <c r="N2771" s="233"/>
      <c r="O2771" s="124"/>
      <c r="P2771" s="133"/>
      <c r="Q2771" s="124">
        <v>1.0</v>
      </c>
      <c r="R2771" s="128"/>
      <c r="S2771" s="37"/>
      <c r="T2771" s="38"/>
      <c r="U2771" s="38"/>
      <c r="V2771" s="124" t="s">
        <v>33</v>
      </c>
      <c r="W2771" s="138"/>
      <c r="X2771" s="138"/>
      <c r="Y2771" s="233"/>
      <c r="Z2771" s="133"/>
      <c r="AA2771" s="133"/>
      <c r="AB2771" s="133"/>
      <c r="AC2771" s="133"/>
      <c r="AD2771" s="133"/>
      <c r="AE2771" s="133"/>
      <c r="AF2771" s="133"/>
      <c r="AG2771" s="133"/>
      <c r="AH2771" s="133"/>
      <c r="AI2771" s="133"/>
      <c r="AJ2771" s="133"/>
      <c r="AK2771" s="133"/>
      <c r="AL2771" s="133"/>
      <c r="AM2771" s="133"/>
      <c r="AN2771" s="133"/>
      <c r="AO2771" s="133"/>
      <c r="AP2771" s="133"/>
      <c r="AQ2771" s="133"/>
      <c r="AR2771" s="133"/>
      <c r="AS2771" s="133"/>
      <c r="AT2771" s="133"/>
      <c r="AU2771" s="133"/>
      <c r="AV2771" s="133"/>
      <c r="AW2771" s="133"/>
      <c r="AX2771" s="133"/>
      <c r="AY2771" s="133"/>
      <c r="AZ2771" s="133"/>
      <c r="BA2771" s="133"/>
      <c r="BB2771" s="133"/>
      <c r="BC2771" s="133"/>
      <c r="BD2771" s="133"/>
      <c r="BE2771" s="133"/>
      <c r="BF2771" s="133"/>
      <c r="BG2771" s="133"/>
      <c r="BH2771" s="133"/>
      <c r="BI2771" s="133"/>
      <c r="BJ2771" s="133"/>
      <c r="BK2771" s="133"/>
      <c r="BL2771" s="133"/>
      <c r="BM2771" s="133"/>
      <c r="BN2771" s="133"/>
      <c r="BO2771" s="133"/>
      <c r="BP2771" s="133"/>
      <c r="BQ2771" s="133"/>
    </row>
    <row r="2772">
      <c r="A2772" s="194" t="s">
        <v>7381</v>
      </c>
      <c r="B2772" s="125"/>
      <c r="C2772" s="126">
        <v>43724.0</v>
      </c>
      <c r="D2772" s="133"/>
      <c r="E2772" s="124" t="s">
        <v>41</v>
      </c>
      <c r="F2772" s="198">
        <v>1.0</v>
      </c>
      <c r="G2772" s="124" t="s">
        <v>32</v>
      </c>
      <c r="H2772" s="303">
        <v>1.0</v>
      </c>
      <c r="I2772" s="124" t="s">
        <v>33</v>
      </c>
      <c r="J2772" s="124" t="s">
        <v>93</v>
      </c>
      <c r="K2772" s="133"/>
      <c r="L2772" s="124" t="s">
        <v>119</v>
      </c>
      <c r="M2772" s="242" t="s">
        <v>7382</v>
      </c>
      <c r="N2772" s="233"/>
      <c r="O2772" s="124"/>
      <c r="P2772" s="133"/>
      <c r="Q2772" s="124"/>
      <c r="R2772" s="128"/>
      <c r="S2772" s="37"/>
      <c r="T2772" s="38"/>
      <c r="U2772" s="38"/>
      <c r="V2772" s="124"/>
      <c r="W2772" s="138"/>
      <c r="X2772" s="138"/>
      <c r="Y2772" s="233"/>
      <c r="Z2772" s="133"/>
      <c r="AA2772" s="133"/>
      <c r="AB2772" s="133"/>
      <c r="AC2772" s="133"/>
      <c r="AD2772" s="133"/>
      <c r="AE2772" s="133"/>
      <c r="AF2772" s="133"/>
      <c r="AG2772" s="133"/>
      <c r="AH2772" s="133"/>
      <c r="AI2772" s="133"/>
      <c r="AJ2772" s="133"/>
      <c r="AK2772" s="133"/>
      <c r="AL2772" s="133"/>
      <c r="AM2772" s="133"/>
      <c r="AN2772" s="133"/>
      <c r="AO2772" s="133"/>
      <c r="AP2772" s="133"/>
      <c r="AQ2772" s="133"/>
      <c r="AR2772" s="133"/>
      <c r="AS2772" s="133"/>
      <c r="AT2772" s="133"/>
      <c r="AU2772" s="133"/>
      <c r="AV2772" s="133"/>
      <c r="AW2772" s="133"/>
      <c r="AX2772" s="133"/>
      <c r="AY2772" s="133"/>
      <c r="AZ2772" s="133"/>
      <c r="BA2772" s="133"/>
      <c r="BB2772" s="133"/>
      <c r="BC2772" s="133"/>
      <c r="BD2772" s="133"/>
      <c r="BE2772" s="133"/>
      <c r="BF2772" s="133"/>
      <c r="BG2772" s="133"/>
      <c r="BH2772" s="133"/>
      <c r="BI2772" s="133"/>
      <c r="BJ2772" s="133"/>
      <c r="BK2772" s="133"/>
      <c r="BL2772" s="133"/>
      <c r="BM2772" s="133"/>
      <c r="BN2772" s="133"/>
      <c r="BO2772" s="133"/>
      <c r="BP2772" s="133"/>
      <c r="BQ2772" s="133"/>
    </row>
    <row r="2773">
      <c r="A2773" s="194" t="s">
        <v>7383</v>
      </c>
      <c r="B2773" s="125"/>
      <c r="C2773" s="198" t="s">
        <v>7384</v>
      </c>
      <c r="D2773" s="133"/>
      <c r="E2773" s="124" t="s">
        <v>41</v>
      </c>
      <c r="F2773" s="198">
        <v>1.0</v>
      </c>
      <c r="G2773" s="124" t="s">
        <v>32</v>
      </c>
      <c r="H2773" s="303">
        <v>1.0</v>
      </c>
      <c r="I2773" s="124" t="s">
        <v>33</v>
      </c>
      <c r="J2773" s="124" t="s">
        <v>147</v>
      </c>
      <c r="K2773" s="133"/>
      <c r="L2773" s="124" t="s">
        <v>6046</v>
      </c>
      <c r="M2773" s="242" t="s">
        <v>7385</v>
      </c>
      <c r="N2773" s="233"/>
      <c r="O2773" s="173" t="str">
        <f>hyperlink("https://bad-boys.us/?q=SD-TX/4:19-cr-00524", "SD-TX 4:19-cr-00524 ❓")</f>
        <v>SD-TX 4:19-cr-00524 ❓</v>
      </c>
      <c r="P2773" s="133"/>
      <c r="Q2773" s="124">
        <v>1.0</v>
      </c>
      <c r="R2773" s="128"/>
      <c r="S2773" s="37"/>
      <c r="T2773" s="38"/>
      <c r="U2773" s="38" t="b">
        <f t="shared" ref="U2773:U2774" si="401">countif(A$4:A4658, A2773)&gt;1</f>
        <v>0</v>
      </c>
      <c r="V2773" s="124" t="s">
        <v>33</v>
      </c>
      <c r="W2773" s="138"/>
      <c r="X2773" s="138"/>
      <c r="Y2773" s="233"/>
      <c r="Z2773" s="133"/>
      <c r="AA2773" s="133"/>
      <c r="AB2773" s="133"/>
      <c r="AC2773" s="133"/>
      <c r="AD2773" s="133"/>
      <c r="AE2773" s="133"/>
      <c r="AF2773" s="133"/>
      <c r="AG2773" s="133"/>
      <c r="AH2773" s="133"/>
      <c r="AI2773" s="133"/>
      <c r="AJ2773" s="133"/>
      <c r="AK2773" s="133"/>
      <c r="AL2773" s="133"/>
      <c r="AM2773" s="133"/>
      <c r="AN2773" s="133"/>
      <c r="AO2773" s="133"/>
      <c r="AP2773" s="133"/>
      <c r="AQ2773" s="133"/>
      <c r="AR2773" s="133"/>
      <c r="AS2773" s="133"/>
      <c r="AT2773" s="133"/>
      <c r="AU2773" s="133"/>
      <c r="AV2773" s="133"/>
      <c r="AW2773" s="133"/>
      <c r="AX2773" s="133"/>
      <c r="AY2773" s="133"/>
      <c r="AZ2773" s="133"/>
      <c r="BA2773" s="133"/>
      <c r="BB2773" s="133"/>
      <c r="BC2773" s="133"/>
      <c r="BD2773" s="133"/>
      <c r="BE2773" s="133"/>
      <c r="BF2773" s="133"/>
      <c r="BG2773" s="133"/>
      <c r="BH2773" s="133"/>
      <c r="BI2773" s="133"/>
      <c r="BJ2773" s="133"/>
      <c r="BK2773" s="133"/>
      <c r="BL2773" s="133"/>
      <c r="BM2773" s="133"/>
      <c r="BN2773" s="133"/>
      <c r="BO2773" s="133"/>
      <c r="BP2773" s="133"/>
      <c r="BQ2773" s="133"/>
    </row>
    <row r="2774">
      <c r="A2774" s="194" t="s">
        <v>7386</v>
      </c>
      <c r="B2774" s="125"/>
      <c r="C2774" s="198" t="s">
        <v>7384</v>
      </c>
      <c r="D2774" s="133"/>
      <c r="E2774" s="124" t="s">
        <v>41</v>
      </c>
      <c r="F2774" s="198">
        <v>1.0</v>
      </c>
      <c r="G2774" s="124" t="s">
        <v>32</v>
      </c>
      <c r="H2774" s="303">
        <v>1.0</v>
      </c>
      <c r="I2774" s="124" t="s">
        <v>33</v>
      </c>
      <c r="J2774" s="124" t="s">
        <v>343</v>
      </c>
      <c r="K2774" s="133"/>
      <c r="L2774" s="124" t="s">
        <v>76</v>
      </c>
      <c r="M2774" s="242" t="s">
        <v>7387</v>
      </c>
      <c r="N2774" s="233"/>
      <c r="O2774" s="173" t="str">
        <f>hyperlink("https://bad-boys.us/?q=ND-WV/2:19-cr-00028", "ND-WV 2:19-cr-00028")</f>
        <v>ND-WV 2:19-cr-00028</v>
      </c>
      <c r="P2774" s="133"/>
      <c r="Q2774" s="124">
        <v>1.0</v>
      </c>
      <c r="R2774" s="128"/>
      <c r="S2774" s="37"/>
      <c r="T2774" s="38"/>
      <c r="U2774" s="38" t="b">
        <f t="shared" si="401"/>
        <v>0</v>
      </c>
      <c r="V2774" s="124" t="s">
        <v>33</v>
      </c>
      <c r="W2774" s="138"/>
      <c r="X2774" s="138"/>
      <c r="Y2774" s="233"/>
      <c r="Z2774" s="133"/>
      <c r="AA2774" s="133"/>
      <c r="AB2774" s="133"/>
      <c r="AC2774" s="133"/>
      <c r="AD2774" s="133"/>
      <c r="AE2774" s="133"/>
      <c r="AF2774" s="133"/>
      <c r="AG2774" s="133"/>
      <c r="AH2774" s="133"/>
      <c r="AI2774" s="133"/>
      <c r="AJ2774" s="133"/>
      <c r="AK2774" s="133"/>
      <c r="AL2774" s="133"/>
      <c r="AM2774" s="133"/>
      <c r="AN2774" s="133"/>
      <c r="AO2774" s="133"/>
      <c r="AP2774" s="133"/>
      <c r="AQ2774" s="133"/>
      <c r="AR2774" s="133"/>
      <c r="AS2774" s="133"/>
      <c r="AT2774" s="133"/>
      <c r="AU2774" s="133"/>
      <c r="AV2774" s="133"/>
      <c r="AW2774" s="133"/>
      <c r="AX2774" s="133"/>
      <c r="AY2774" s="133"/>
      <c r="AZ2774" s="133"/>
      <c r="BA2774" s="133"/>
      <c r="BB2774" s="133"/>
      <c r="BC2774" s="133"/>
      <c r="BD2774" s="133"/>
      <c r="BE2774" s="133"/>
      <c r="BF2774" s="133"/>
      <c r="BG2774" s="133"/>
      <c r="BH2774" s="133"/>
      <c r="BI2774" s="133"/>
      <c r="BJ2774" s="133"/>
      <c r="BK2774" s="133"/>
      <c r="BL2774" s="133"/>
      <c r="BM2774" s="133"/>
      <c r="BN2774" s="133"/>
      <c r="BO2774" s="133"/>
      <c r="BP2774" s="133"/>
      <c r="BQ2774" s="133"/>
    </row>
    <row r="2775">
      <c r="A2775" s="194" t="s">
        <v>7388</v>
      </c>
      <c r="B2775" s="125"/>
      <c r="C2775" s="126">
        <v>43726.0</v>
      </c>
      <c r="D2775" s="133"/>
      <c r="E2775" s="124" t="s">
        <v>41</v>
      </c>
      <c r="F2775" s="198">
        <v>1.0</v>
      </c>
      <c r="G2775" s="124" t="s">
        <v>32</v>
      </c>
      <c r="H2775" s="303">
        <v>1.0</v>
      </c>
      <c r="I2775" s="124" t="s">
        <v>33</v>
      </c>
      <c r="J2775" s="124" t="s">
        <v>318</v>
      </c>
      <c r="K2775" s="133"/>
      <c r="L2775" s="124" t="s">
        <v>119</v>
      </c>
      <c r="M2775" s="242" t="s">
        <v>7389</v>
      </c>
      <c r="N2775" s="233"/>
      <c r="O2775" s="124"/>
      <c r="P2775" s="133"/>
      <c r="Q2775" s="124">
        <v>1.0</v>
      </c>
      <c r="R2775" s="128"/>
      <c r="S2775" s="37"/>
      <c r="T2775" s="38"/>
      <c r="U2775" s="38"/>
      <c r="V2775" s="124" t="s">
        <v>33</v>
      </c>
      <c r="W2775" s="138"/>
      <c r="X2775" s="138"/>
      <c r="Y2775" s="233"/>
      <c r="Z2775" s="133"/>
      <c r="AA2775" s="133"/>
      <c r="AB2775" s="133"/>
      <c r="AC2775" s="133"/>
      <c r="AD2775" s="133"/>
      <c r="AE2775" s="133"/>
      <c r="AF2775" s="133"/>
      <c r="AG2775" s="133"/>
      <c r="AH2775" s="133"/>
      <c r="AI2775" s="133"/>
      <c r="AJ2775" s="133"/>
      <c r="AK2775" s="133"/>
      <c r="AL2775" s="133"/>
      <c r="AM2775" s="133"/>
      <c r="AN2775" s="133"/>
      <c r="AO2775" s="133"/>
      <c r="AP2775" s="133"/>
      <c r="AQ2775" s="133"/>
      <c r="AR2775" s="133"/>
      <c r="AS2775" s="133"/>
      <c r="AT2775" s="133"/>
      <c r="AU2775" s="133"/>
      <c r="AV2775" s="133"/>
      <c r="AW2775" s="133"/>
      <c r="AX2775" s="133"/>
      <c r="AY2775" s="133"/>
      <c r="AZ2775" s="133"/>
      <c r="BA2775" s="133"/>
      <c r="BB2775" s="133"/>
      <c r="BC2775" s="133"/>
      <c r="BD2775" s="133"/>
      <c r="BE2775" s="133"/>
      <c r="BF2775" s="133"/>
      <c r="BG2775" s="133"/>
      <c r="BH2775" s="133"/>
      <c r="BI2775" s="133"/>
      <c r="BJ2775" s="133"/>
      <c r="BK2775" s="133"/>
      <c r="BL2775" s="133"/>
      <c r="BM2775" s="133"/>
      <c r="BN2775" s="133"/>
      <c r="BO2775" s="133"/>
      <c r="BP2775" s="133"/>
      <c r="BQ2775" s="133"/>
    </row>
    <row r="2776">
      <c r="A2776" s="194" t="s">
        <v>7390</v>
      </c>
      <c r="B2776" s="125"/>
      <c r="C2776" s="126">
        <v>43726.0</v>
      </c>
      <c r="D2776" s="133"/>
      <c r="E2776" s="124" t="s">
        <v>41</v>
      </c>
      <c r="F2776" s="198">
        <v>1.0</v>
      </c>
      <c r="G2776" s="124" t="s">
        <v>32</v>
      </c>
      <c r="H2776" s="303">
        <v>1.0</v>
      </c>
      <c r="I2776" s="124" t="s">
        <v>33</v>
      </c>
      <c r="J2776" s="124" t="s">
        <v>222</v>
      </c>
      <c r="K2776" s="133"/>
      <c r="L2776" s="124" t="s">
        <v>76</v>
      </c>
      <c r="M2776" s="242" t="s">
        <v>7391</v>
      </c>
      <c r="N2776" s="233"/>
      <c r="O2776" s="173" t="str">
        <f>hyperlink("https://bad-boys.us/?q=WD-WI/3:19-cr-00127", "WD-WI 3:19-cr-00127")</f>
        <v>WD-WI 3:19-cr-00127</v>
      </c>
      <c r="P2776" s="133"/>
      <c r="Q2776" s="124">
        <v>1.0</v>
      </c>
      <c r="R2776" s="128"/>
      <c r="S2776" s="37"/>
      <c r="T2776" s="38"/>
      <c r="U2776" s="38"/>
      <c r="V2776" s="124" t="s">
        <v>33</v>
      </c>
      <c r="W2776" s="138"/>
      <c r="X2776" s="138"/>
      <c r="Y2776" s="233"/>
      <c r="Z2776" s="133"/>
      <c r="AA2776" s="133"/>
      <c r="AB2776" s="133"/>
      <c r="AC2776" s="133"/>
      <c r="AD2776" s="133"/>
      <c r="AE2776" s="133"/>
      <c r="AF2776" s="133"/>
      <c r="AG2776" s="133"/>
      <c r="AH2776" s="133"/>
      <c r="AI2776" s="133"/>
      <c r="AJ2776" s="133"/>
      <c r="AK2776" s="133"/>
      <c r="AL2776" s="133"/>
      <c r="AM2776" s="133"/>
      <c r="AN2776" s="133"/>
      <c r="AO2776" s="133"/>
      <c r="AP2776" s="133"/>
      <c r="AQ2776" s="133"/>
      <c r="AR2776" s="133"/>
      <c r="AS2776" s="133"/>
      <c r="AT2776" s="133"/>
      <c r="AU2776" s="133"/>
      <c r="AV2776" s="133"/>
      <c r="AW2776" s="133"/>
      <c r="AX2776" s="133"/>
      <c r="AY2776" s="133"/>
      <c r="AZ2776" s="133"/>
      <c r="BA2776" s="133"/>
      <c r="BB2776" s="133"/>
      <c r="BC2776" s="133"/>
      <c r="BD2776" s="133"/>
      <c r="BE2776" s="133"/>
      <c r="BF2776" s="133"/>
      <c r="BG2776" s="133"/>
      <c r="BH2776" s="133"/>
      <c r="BI2776" s="133"/>
      <c r="BJ2776" s="133"/>
      <c r="BK2776" s="133"/>
      <c r="BL2776" s="133"/>
      <c r="BM2776" s="133"/>
      <c r="BN2776" s="133"/>
      <c r="BO2776" s="133"/>
      <c r="BP2776" s="133"/>
      <c r="BQ2776" s="133"/>
    </row>
    <row r="2777">
      <c r="A2777" s="194" t="s">
        <v>7392</v>
      </c>
      <c r="B2777" s="125"/>
      <c r="C2777" s="126">
        <v>43726.0</v>
      </c>
      <c r="D2777" s="133"/>
      <c r="E2777" s="124" t="s">
        <v>41</v>
      </c>
      <c r="F2777" s="198">
        <v>1.0</v>
      </c>
      <c r="G2777" s="124" t="s">
        <v>32</v>
      </c>
      <c r="H2777" s="303">
        <v>1.0</v>
      </c>
      <c r="I2777" s="124" t="s">
        <v>33</v>
      </c>
      <c r="J2777" s="124" t="s">
        <v>222</v>
      </c>
      <c r="K2777" s="133"/>
      <c r="L2777" s="124" t="s">
        <v>76</v>
      </c>
      <c r="M2777" s="242" t="s">
        <v>7393</v>
      </c>
      <c r="N2777" s="233"/>
      <c r="O2777" s="124"/>
      <c r="P2777" s="133"/>
      <c r="Q2777" s="124">
        <v>1.0</v>
      </c>
      <c r="R2777" s="128"/>
      <c r="S2777" s="37"/>
      <c r="T2777" s="38"/>
      <c r="U2777" s="38"/>
      <c r="V2777" s="124" t="s">
        <v>33</v>
      </c>
      <c r="W2777" s="138"/>
      <c r="X2777" s="138"/>
      <c r="Y2777" s="233"/>
      <c r="Z2777" s="133"/>
      <c r="AA2777" s="133"/>
      <c r="AB2777" s="133"/>
      <c r="AC2777" s="133"/>
      <c r="AD2777" s="133"/>
      <c r="AE2777" s="133"/>
      <c r="AF2777" s="133"/>
      <c r="AG2777" s="133"/>
      <c r="AH2777" s="133"/>
      <c r="AI2777" s="133"/>
      <c r="AJ2777" s="133"/>
      <c r="AK2777" s="133"/>
      <c r="AL2777" s="133"/>
      <c r="AM2777" s="133"/>
      <c r="AN2777" s="133"/>
      <c r="AO2777" s="133"/>
      <c r="AP2777" s="133"/>
      <c r="AQ2777" s="133"/>
      <c r="AR2777" s="133"/>
      <c r="AS2777" s="133"/>
      <c r="AT2777" s="133"/>
      <c r="AU2777" s="133"/>
      <c r="AV2777" s="133"/>
      <c r="AW2777" s="133"/>
      <c r="AX2777" s="133"/>
      <c r="AY2777" s="133"/>
      <c r="AZ2777" s="133"/>
      <c r="BA2777" s="133"/>
      <c r="BB2777" s="133"/>
      <c r="BC2777" s="133"/>
      <c r="BD2777" s="133"/>
      <c r="BE2777" s="133"/>
      <c r="BF2777" s="133"/>
      <c r="BG2777" s="133"/>
      <c r="BH2777" s="133"/>
      <c r="BI2777" s="133"/>
      <c r="BJ2777" s="133"/>
      <c r="BK2777" s="133"/>
      <c r="BL2777" s="133"/>
      <c r="BM2777" s="133"/>
      <c r="BN2777" s="133"/>
      <c r="BO2777" s="133"/>
      <c r="BP2777" s="133"/>
      <c r="BQ2777" s="133"/>
    </row>
    <row r="2778">
      <c r="A2778" s="194" t="s">
        <v>7394</v>
      </c>
      <c r="B2778" s="125"/>
      <c r="C2778" s="126">
        <v>43727.0</v>
      </c>
      <c r="D2778" s="133"/>
      <c r="E2778" s="124" t="s">
        <v>41</v>
      </c>
      <c r="F2778" s="198">
        <v>1.0</v>
      </c>
      <c r="G2778" s="124" t="s">
        <v>32</v>
      </c>
      <c r="H2778" s="303">
        <v>1.0</v>
      </c>
      <c r="I2778" s="124" t="s">
        <v>33</v>
      </c>
      <c r="J2778" s="124" t="s">
        <v>93</v>
      </c>
      <c r="K2778" s="133"/>
      <c r="L2778" s="124" t="s">
        <v>119</v>
      </c>
      <c r="M2778" s="242" t="s">
        <v>7395</v>
      </c>
      <c r="N2778" s="233"/>
      <c r="O2778" s="124"/>
      <c r="P2778" s="133"/>
      <c r="Q2778" s="124">
        <v>1.0</v>
      </c>
      <c r="R2778" s="128"/>
      <c r="S2778" s="37"/>
      <c r="T2778" s="38"/>
      <c r="U2778" s="38"/>
      <c r="V2778" s="124" t="s">
        <v>33</v>
      </c>
      <c r="W2778" s="138"/>
      <c r="X2778" s="138"/>
      <c r="Y2778" s="233"/>
      <c r="Z2778" s="133"/>
      <c r="AA2778" s="133"/>
      <c r="AB2778" s="133"/>
      <c r="AC2778" s="133"/>
      <c r="AD2778" s="133"/>
      <c r="AE2778" s="133"/>
      <c r="AF2778" s="133"/>
      <c r="AG2778" s="133"/>
      <c r="AH2778" s="133"/>
      <c r="AI2778" s="133"/>
      <c r="AJ2778" s="133"/>
      <c r="AK2778" s="133"/>
      <c r="AL2778" s="133"/>
      <c r="AM2778" s="133"/>
      <c r="AN2778" s="133"/>
      <c r="AO2778" s="133"/>
      <c r="AP2778" s="133"/>
      <c r="AQ2778" s="133"/>
      <c r="AR2778" s="133"/>
      <c r="AS2778" s="133"/>
      <c r="AT2778" s="133"/>
      <c r="AU2778" s="133"/>
      <c r="AV2778" s="133"/>
      <c r="AW2778" s="133"/>
      <c r="AX2778" s="133"/>
      <c r="AY2778" s="133"/>
      <c r="AZ2778" s="133"/>
      <c r="BA2778" s="133"/>
      <c r="BB2778" s="133"/>
      <c r="BC2778" s="133"/>
      <c r="BD2778" s="133"/>
      <c r="BE2778" s="133"/>
      <c r="BF2778" s="133"/>
      <c r="BG2778" s="133"/>
      <c r="BH2778" s="133"/>
      <c r="BI2778" s="133"/>
      <c r="BJ2778" s="133"/>
      <c r="BK2778" s="133"/>
      <c r="BL2778" s="133"/>
      <c r="BM2778" s="133"/>
      <c r="BN2778" s="133"/>
      <c r="BO2778" s="133"/>
      <c r="BP2778" s="133"/>
      <c r="BQ2778" s="133"/>
    </row>
    <row r="2779">
      <c r="A2779" s="194" t="s">
        <v>7396</v>
      </c>
      <c r="B2779" s="125"/>
      <c r="C2779" s="126">
        <v>43727.0</v>
      </c>
      <c r="D2779" s="133"/>
      <c r="E2779" s="124" t="s">
        <v>41</v>
      </c>
      <c r="F2779" s="198">
        <v>1.0</v>
      </c>
      <c r="G2779" s="124">
        <v>1.0</v>
      </c>
      <c r="H2779" s="303">
        <v>1.0</v>
      </c>
      <c r="I2779" s="124" t="s">
        <v>33</v>
      </c>
      <c r="J2779" s="124" t="s">
        <v>343</v>
      </c>
      <c r="K2779" s="133"/>
      <c r="L2779" s="124" t="s">
        <v>7397</v>
      </c>
      <c r="M2779" s="242" t="s">
        <v>7398</v>
      </c>
      <c r="N2779" s="233"/>
      <c r="O2779" s="124"/>
      <c r="P2779" s="133"/>
      <c r="Q2779" s="124"/>
      <c r="R2779" s="128"/>
      <c r="S2779" s="37"/>
      <c r="T2779" s="38"/>
      <c r="U2779" s="38"/>
      <c r="V2779" s="124" t="s">
        <v>33</v>
      </c>
      <c r="W2779" s="138"/>
      <c r="X2779" s="138"/>
      <c r="Y2779" s="233"/>
      <c r="Z2779" s="133"/>
      <c r="AA2779" s="133"/>
      <c r="AB2779" s="133"/>
      <c r="AC2779" s="133"/>
      <c r="AD2779" s="133"/>
      <c r="AE2779" s="133"/>
      <c r="AF2779" s="133"/>
      <c r="AG2779" s="133"/>
      <c r="AH2779" s="133"/>
      <c r="AI2779" s="133"/>
      <c r="AJ2779" s="133"/>
      <c r="AK2779" s="133"/>
      <c r="AL2779" s="133"/>
      <c r="AM2779" s="133"/>
      <c r="AN2779" s="133"/>
      <c r="AO2779" s="133"/>
      <c r="AP2779" s="133"/>
      <c r="AQ2779" s="133"/>
      <c r="AR2779" s="133"/>
      <c r="AS2779" s="133"/>
      <c r="AT2779" s="133"/>
      <c r="AU2779" s="133"/>
      <c r="AV2779" s="133"/>
      <c r="AW2779" s="133"/>
      <c r="AX2779" s="133"/>
      <c r="AY2779" s="133"/>
      <c r="AZ2779" s="133"/>
      <c r="BA2779" s="133"/>
      <c r="BB2779" s="133"/>
      <c r="BC2779" s="133"/>
      <c r="BD2779" s="133"/>
      <c r="BE2779" s="133"/>
      <c r="BF2779" s="133"/>
      <c r="BG2779" s="133"/>
      <c r="BH2779" s="133"/>
      <c r="BI2779" s="133"/>
      <c r="BJ2779" s="133"/>
      <c r="BK2779" s="133"/>
      <c r="BL2779" s="133"/>
      <c r="BM2779" s="133"/>
      <c r="BN2779" s="133"/>
      <c r="BO2779" s="133"/>
      <c r="BP2779" s="133"/>
      <c r="BQ2779" s="133"/>
    </row>
    <row r="2780">
      <c r="A2780" s="194" t="s">
        <v>7399</v>
      </c>
      <c r="B2780" s="125"/>
      <c r="C2780" s="126">
        <v>43727.0</v>
      </c>
      <c r="D2780" s="133"/>
      <c r="E2780" s="124" t="s">
        <v>41</v>
      </c>
      <c r="F2780" s="198">
        <v>1.0</v>
      </c>
      <c r="G2780" s="124" t="s">
        <v>32</v>
      </c>
      <c r="H2780" s="303">
        <v>1.0</v>
      </c>
      <c r="I2780" s="124" t="s">
        <v>33</v>
      </c>
      <c r="J2780" s="124" t="s">
        <v>460</v>
      </c>
      <c r="K2780" s="133"/>
      <c r="L2780" s="124" t="s">
        <v>69</v>
      </c>
      <c r="M2780" s="242" t="s">
        <v>7400</v>
      </c>
      <c r="N2780" s="233"/>
      <c r="O2780" s="124"/>
      <c r="P2780" s="133"/>
      <c r="Q2780" s="124">
        <v>1.0</v>
      </c>
      <c r="R2780" s="128"/>
      <c r="S2780" s="37"/>
      <c r="T2780" s="38"/>
      <c r="U2780" s="38"/>
      <c r="V2780" s="124" t="s">
        <v>33</v>
      </c>
      <c r="W2780" s="138"/>
      <c r="X2780" s="138"/>
      <c r="Y2780" s="233"/>
      <c r="Z2780" s="133"/>
      <c r="AA2780" s="133"/>
      <c r="AB2780" s="133"/>
      <c r="AC2780" s="133"/>
      <c r="AD2780" s="133"/>
      <c r="AE2780" s="133"/>
      <c r="AF2780" s="133"/>
      <c r="AG2780" s="133"/>
      <c r="AH2780" s="133"/>
      <c r="AI2780" s="133"/>
      <c r="AJ2780" s="133"/>
      <c r="AK2780" s="133"/>
      <c r="AL2780" s="133"/>
      <c r="AM2780" s="133"/>
      <c r="AN2780" s="133"/>
      <c r="AO2780" s="133"/>
      <c r="AP2780" s="133"/>
      <c r="AQ2780" s="133"/>
      <c r="AR2780" s="133"/>
      <c r="AS2780" s="133"/>
      <c r="AT2780" s="133"/>
      <c r="AU2780" s="133"/>
      <c r="AV2780" s="133"/>
      <c r="AW2780" s="133"/>
      <c r="AX2780" s="133"/>
      <c r="AY2780" s="133"/>
      <c r="AZ2780" s="133"/>
      <c r="BA2780" s="133"/>
      <c r="BB2780" s="133"/>
      <c r="BC2780" s="133"/>
      <c r="BD2780" s="133"/>
      <c r="BE2780" s="133"/>
      <c r="BF2780" s="133"/>
      <c r="BG2780" s="133"/>
      <c r="BH2780" s="133"/>
      <c r="BI2780" s="133"/>
      <c r="BJ2780" s="133"/>
      <c r="BK2780" s="133"/>
      <c r="BL2780" s="133"/>
      <c r="BM2780" s="133"/>
      <c r="BN2780" s="133"/>
      <c r="BO2780" s="133"/>
      <c r="BP2780" s="133"/>
      <c r="BQ2780" s="133"/>
    </row>
    <row r="2781">
      <c r="A2781" s="194" t="s">
        <v>7401</v>
      </c>
      <c r="B2781" s="125"/>
      <c r="C2781" s="126">
        <v>43727.0</v>
      </c>
      <c r="D2781" s="133"/>
      <c r="E2781" s="124" t="s">
        <v>41</v>
      </c>
      <c r="F2781" s="198">
        <v>1.0</v>
      </c>
      <c r="G2781" s="124">
        <v>1.0</v>
      </c>
      <c r="H2781" s="303">
        <v>1.0</v>
      </c>
      <c r="I2781" s="124" t="s">
        <v>33</v>
      </c>
      <c r="J2781" s="124" t="s">
        <v>124</v>
      </c>
      <c r="K2781" s="133"/>
      <c r="L2781" s="124" t="s">
        <v>7402</v>
      </c>
      <c r="M2781" s="242" t="s">
        <v>7403</v>
      </c>
      <c r="N2781" s="233"/>
      <c r="O2781" s="173" t="str">
        <f>hyperlink("https://bad-boys.us/?q=ND-OH/1:19-cr-00545", "ND-OH 1:19-cr-00545")</f>
        <v>ND-OH 1:19-cr-00545</v>
      </c>
      <c r="P2781" s="133"/>
      <c r="Q2781" s="124">
        <v>1.0</v>
      </c>
      <c r="R2781" s="128"/>
      <c r="S2781" s="37"/>
      <c r="T2781" s="38"/>
      <c r="U2781" s="38" t="b">
        <f>countif(A$4:A4658, A2781)&gt;1</f>
        <v>0</v>
      </c>
      <c r="V2781" s="124" t="s">
        <v>33</v>
      </c>
      <c r="W2781" s="138"/>
      <c r="X2781" s="138"/>
      <c r="Y2781" s="233"/>
      <c r="Z2781" s="133"/>
      <c r="AA2781" s="133"/>
      <c r="AB2781" s="133"/>
      <c r="AC2781" s="133"/>
      <c r="AD2781" s="133"/>
      <c r="AE2781" s="133"/>
      <c r="AF2781" s="133"/>
      <c r="AG2781" s="133"/>
      <c r="AH2781" s="133"/>
      <c r="AI2781" s="133"/>
      <c r="AJ2781" s="133"/>
      <c r="AK2781" s="133"/>
      <c r="AL2781" s="133"/>
      <c r="AM2781" s="133"/>
      <c r="AN2781" s="133"/>
      <c r="AO2781" s="133"/>
      <c r="AP2781" s="133"/>
      <c r="AQ2781" s="133"/>
      <c r="AR2781" s="133"/>
      <c r="AS2781" s="133"/>
      <c r="AT2781" s="133"/>
      <c r="AU2781" s="133"/>
      <c r="AV2781" s="133"/>
      <c r="AW2781" s="133"/>
      <c r="AX2781" s="133"/>
      <c r="AY2781" s="133"/>
      <c r="AZ2781" s="133"/>
      <c r="BA2781" s="133"/>
      <c r="BB2781" s="133"/>
      <c r="BC2781" s="133"/>
      <c r="BD2781" s="133"/>
      <c r="BE2781" s="133"/>
      <c r="BF2781" s="133"/>
      <c r="BG2781" s="133"/>
      <c r="BH2781" s="133"/>
      <c r="BI2781" s="133"/>
      <c r="BJ2781" s="133"/>
      <c r="BK2781" s="133"/>
      <c r="BL2781" s="133"/>
      <c r="BM2781" s="133"/>
      <c r="BN2781" s="133"/>
      <c r="BO2781" s="133"/>
      <c r="BP2781" s="133"/>
      <c r="BQ2781" s="133"/>
    </row>
    <row r="2782">
      <c r="A2782" s="194" t="s">
        <v>7404</v>
      </c>
      <c r="B2782" s="125"/>
      <c r="C2782" s="126">
        <v>43727.0</v>
      </c>
      <c r="D2782" s="133"/>
      <c r="E2782" s="124" t="s">
        <v>41</v>
      </c>
      <c r="F2782" s="198">
        <v>1.0</v>
      </c>
      <c r="G2782" s="124" t="s">
        <v>32</v>
      </c>
      <c r="H2782" s="303">
        <v>1.0</v>
      </c>
      <c r="I2782" s="124" t="s">
        <v>33</v>
      </c>
      <c r="J2782" s="124" t="s">
        <v>222</v>
      </c>
      <c r="K2782" s="133"/>
      <c r="L2782" s="124" t="s">
        <v>76</v>
      </c>
      <c r="M2782" s="242" t="s">
        <v>7405</v>
      </c>
      <c r="N2782" s="233"/>
      <c r="O2782" s="124"/>
      <c r="P2782" s="133"/>
      <c r="Q2782" s="124"/>
      <c r="R2782" s="128"/>
      <c r="S2782" s="37"/>
      <c r="T2782" s="38"/>
      <c r="U2782" s="38"/>
      <c r="V2782" s="124" t="s">
        <v>33</v>
      </c>
      <c r="W2782" s="138"/>
      <c r="X2782" s="138"/>
      <c r="Y2782" s="233"/>
      <c r="Z2782" s="133"/>
      <c r="AA2782" s="133"/>
      <c r="AB2782" s="133"/>
      <c r="AC2782" s="133"/>
      <c r="AD2782" s="133"/>
      <c r="AE2782" s="133"/>
      <c r="AF2782" s="133"/>
      <c r="AG2782" s="133"/>
      <c r="AH2782" s="133"/>
      <c r="AI2782" s="133"/>
      <c r="AJ2782" s="133"/>
      <c r="AK2782" s="133"/>
      <c r="AL2782" s="133"/>
      <c r="AM2782" s="133"/>
      <c r="AN2782" s="133"/>
      <c r="AO2782" s="133"/>
      <c r="AP2782" s="133"/>
      <c r="AQ2782" s="133"/>
      <c r="AR2782" s="133"/>
      <c r="AS2782" s="133"/>
      <c r="AT2782" s="133"/>
      <c r="AU2782" s="133"/>
      <c r="AV2782" s="133"/>
      <c r="AW2782" s="133"/>
      <c r="AX2782" s="133"/>
      <c r="AY2782" s="133"/>
      <c r="AZ2782" s="133"/>
      <c r="BA2782" s="133"/>
      <c r="BB2782" s="133"/>
      <c r="BC2782" s="133"/>
      <c r="BD2782" s="133"/>
      <c r="BE2782" s="133"/>
      <c r="BF2782" s="133"/>
      <c r="BG2782" s="133"/>
      <c r="BH2782" s="133"/>
      <c r="BI2782" s="133"/>
      <c r="BJ2782" s="133"/>
      <c r="BK2782" s="133"/>
      <c r="BL2782" s="133"/>
      <c r="BM2782" s="133"/>
      <c r="BN2782" s="133"/>
      <c r="BO2782" s="133"/>
      <c r="BP2782" s="133"/>
      <c r="BQ2782" s="133"/>
    </row>
    <row r="2783">
      <c r="A2783" s="194" t="s">
        <v>7406</v>
      </c>
      <c r="B2783" s="125"/>
      <c r="C2783" s="126">
        <v>43727.0</v>
      </c>
      <c r="D2783" s="133"/>
      <c r="E2783" s="124" t="s">
        <v>41</v>
      </c>
      <c r="F2783" s="198">
        <v>1.0</v>
      </c>
      <c r="G2783" s="124" t="s">
        <v>32</v>
      </c>
      <c r="H2783" s="303">
        <v>1.0</v>
      </c>
      <c r="I2783" s="124" t="s">
        <v>33</v>
      </c>
      <c r="J2783" s="124" t="s">
        <v>410</v>
      </c>
      <c r="K2783" s="133"/>
      <c r="L2783" s="124" t="s">
        <v>119</v>
      </c>
      <c r="M2783" s="242" t="s">
        <v>7407</v>
      </c>
      <c r="N2783" s="233"/>
      <c r="O2783" s="173" t="str">
        <f>hyperlink("https://bad-boys.us/?q=D-MA/3:19-cr-30038", "D-MA 3:19-cr-30038")</f>
        <v>D-MA 3:19-cr-30038</v>
      </c>
      <c r="P2783" s="133"/>
      <c r="Q2783" s="124">
        <v>1.0</v>
      </c>
      <c r="R2783" s="128"/>
      <c r="S2783" s="37"/>
      <c r="T2783" s="38"/>
      <c r="U2783" s="38" t="b">
        <f t="shared" ref="U2783:U2787" si="402">countif(A$4:A4658, A2783)&gt;1</f>
        <v>0</v>
      </c>
      <c r="V2783" s="124" t="s">
        <v>33</v>
      </c>
      <c r="W2783" s="138"/>
      <c r="X2783" s="138"/>
      <c r="Y2783" s="233"/>
      <c r="Z2783" s="133"/>
      <c r="AA2783" s="133"/>
      <c r="AB2783" s="133"/>
      <c r="AC2783" s="133"/>
      <c r="AD2783" s="133"/>
      <c r="AE2783" s="133"/>
      <c r="AF2783" s="133"/>
      <c r="AG2783" s="133"/>
      <c r="AH2783" s="133"/>
      <c r="AI2783" s="133"/>
      <c r="AJ2783" s="133"/>
      <c r="AK2783" s="133"/>
      <c r="AL2783" s="133"/>
      <c r="AM2783" s="133"/>
      <c r="AN2783" s="133"/>
      <c r="AO2783" s="133"/>
      <c r="AP2783" s="133"/>
      <c r="AQ2783" s="133"/>
      <c r="AR2783" s="133"/>
      <c r="AS2783" s="133"/>
      <c r="AT2783" s="133"/>
      <c r="AU2783" s="133"/>
      <c r="AV2783" s="133"/>
      <c r="AW2783" s="133"/>
      <c r="AX2783" s="133"/>
      <c r="AY2783" s="133"/>
      <c r="AZ2783" s="133"/>
      <c r="BA2783" s="133"/>
      <c r="BB2783" s="133"/>
      <c r="BC2783" s="133"/>
      <c r="BD2783" s="133"/>
      <c r="BE2783" s="133"/>
      <c r="BF2783" s="133"/>
      <c r="BG2783" s="133"/>
      <c r="BH2783" s="133"/>
      <c r="BI2783" s="133"/>
      <c r="BJ2783" s="133"/>
      <c r="BK2783" s="133"/>
      <c r="BL2783" s="133"/>
      <c r="BM2783" s="133"/>
      <c r="BN2783" s="133"/>
      <c r="BO2783" s="133"/>
      <c r="BP2783" s="133"/>
      <c r="BQ2783" s="133"/>
    </row>
    <row r="2784">
      <c r="A2784" s="194" t="s">
        <v>7408</v>
      </c>
      <c r="B2784" s="125"/>
      <c r="C2784" s="126">
        <v>43727.0</v>
      </c>
      <c r="D2784" s="133"/>
      <c r="E2784" s="124" t="s">
        <v>41</v>
      </c>
      <c r="F2784" s="198">
        <v>1.0</v>
      </c>
      <c r="G2784" s="124" t="s">
        <v>32</v>
      </c>
      <c r="H2784" s="303">
        <v>1.0</v>
      </c>
      <c r="I2784" s="124" t="s">
        <v>33</v>
      </c>
      <c r="J2784" s="124" t="s">
        <v>34</v>
      </c>
      <c r="K2784" s="133"/>
      <c r="L2784" s="124" t="s">
        <v>76</v>
      </c>
      <c r="M2784" s="242" t="s">
        <v>7409</v>
      </c>
      <c r="N2784" s="233"/>
      <c r="O2784" s="173" t="str">
        <f>hyperlink("https://bad-boys.us/?q=D-NH/1:19-cr-00164", "D-NH 1:19-cr-00164")</f>
        <v>D-NH 1:19-cr-00164</v>
      </c>
      <c r="P2784" s="133"/>
      <c r="Q2784" s="124">
        <v>1.0</v>
      </c>
      <c r="R2784" s="128"/>
      <c r="S2784" s="37"/>
      <c r="T2784" s="38"/>
      <c r="U2784" s="38" t="b">
        <f t="shared" si="402"/>
        <v>0</v>
      </c>
      <c r="V2784" s="124" t="s">
        <v>33</v>
      </c>
      <c r="W2784" s="138"/>
      <c r="X2784" s="138"/>
      <c r="Y2784" s="233"/>
      <c r="Z2784" s="133"/>
      <c r="AA2784" s="133"/>
      <c r="AB2784" s="133"/>
      <c r="AC2784" s="133"/>
      <c r="AD2784" s="133"/>
      <c r="AE2784" s="133"/>
      <c r="AF2784" s="133"/>
      <c r="AG2784" s="133"/>
      <c r="AH2784" s="133"/>
      <c r="AI2784" s="133"/>
      <c r="AJ2784" s="133"/>
      <c r="AK2784" s="133"/>
      <c r="AL2784" s="133"/>
      <c r="AM2784" s="133"/>
      <c r="AN2784" s="133"/>
      <c r="AO2784" s="133"/>
      <c r="AP2784" s="133"/>
      <c r="AQ2784" s="133"/>
      <c r="AR2784" s="133"/>
      <c r="AS2784" s="133"/>
      <c r="AT2784" s="133"/>
      <c r="AU2784" s="133"/>
      <c r="AV2784" s="133"/>
      <c r="AW2784" s="133"/>
      <c r="AX2784" s="133"/>
      <c r="AY2784" s="133"/>
      <c r="AZ2784" s="133"/>
      <c r="BA2784" s="133"/>
      <c r="BB2784" s="133"/>
      <c r="BC2784" s="133"/>
      <c r="BD2784" s="133"/>
      <c r="BE2784" s="133"/>
      <c r="BF2784" s="133"/>
      <c r="BG2784" s="133"/>
      <c r="BH2784" s="133"/>
      <c r="BI2784" s="133"/>
      <c r="BJ2784" s="133"/>
      <c r="BK2784" s="133"/>
      <c r="BL2784" s="133"/>
      <c r="BM2784" s="133"/>
      <c r="BN2784" s="133"/>
      <c r="BO2784" s="133"/>
      <c r="BP2784" s="133"/>
      <c r="BQ2784" s="133"/>
    </row>
    <row r="2785">
      <c r="A2785" s="194" t="s">
        <v>7410</v>
      </c>
      <c r="B2785" s="125"/>
      <c r="C2785" s="126">
        <v>43728.0</v>
      </c>
      <c r="D2785" s="133"/>
      <c r="E2785" s="124" t="s">
        <v>41</v>
      </c>
      <c r="F2785" s="198">
        <v>1.0</v>
      </c>
      <c r="G2785" s="124" t="s">
        <v>32</v>
      </c>
      <c r="H2785" s="303">
        <v>1.0</v>
      </c>
      <c r="I2785" s="124" t="s">
        <v>33</v>
      </c>
      <c r="J2785" s="124" t="s">
        <v>410</v>
      </c>
      <c r="K2785" s="133"/>
      <c r="L2785" s="124" t="s">
        <v>119</v>
      </c>
      <c r="M2785" s="242" t="s">
        <v>7411</v>
      </c>
      <c r="N2785" s="233"/>
      <c r="O2785" s="173" t="str">
        <f>hyperlink("https://bad-boys.us/?q=D-MA/3:19-cr-30037", "D-MA 3:19-cr-30037")</f>
        <v>D-MA 3:19-cr-30037</v>
      </c>
      <c r="P2785" s="133"/>
      <c r="Q2785" s="124">
        <v>1.0</v>
      </c>
      <c r="R2785" s="128"/>
      <c r="S2785" s="37"/>
      <c r="T2785" s="38"/>
      <c r="U2785" s="38" t="b">
        <f t="shared" si="402"/>
        <v>0</v>
      </c>
      <c r="V2785" s="124" t="s">
        <v>33</v>
      </c>
      <c r="W2785" s="138"/>
      <c r="X2785" s="138"/>
      <c r="Y2785" s="233"/>
      <c r="Z2785" s="133"/>
      <c r="AA2785" s="133"/>
      <c r="AB2785" s="133"/>
      <c r="AC2785" s="133"/>
      <c r="AD2785" s="133"/>
      <c r="AE2785" s="133"/>
      <c r="AF2785" s="133"/>
      <c r="AG2785" s="133"/>
      <c r="AH2785" s="133"/>
      <c r="AI2785" s="133"/>
      <c r="AJ2785" s="133"/>
      <c r="AK2785" s="133"/>
      <c r="AL2785" s="133"/>
      <c r="AM2785" s="133"/>
      <c r="AN2785" s="133"/>
      <c r="AO2785" s="133"/>
      <c r="AP2785" s="133"/>
      <c r="AQ2785" s="133"/>
      <c r="AR2785" s="133"/>
      <c r="AS2785" s="133"/>
      <c r="AT2785" s="133"/>
      <c r="AU2785" s="133"/>
      <c r="AV2785" s="133"/>
      <c r="AW2785" s="133"/>
      <c r="AX2785" s="133"/>
      <c r="AY2785" s="133"/>
      <c r="AZ2785" s="133"/>
      <c r="BA2785" s="133"/>
      <c r="BB2785" s="133"/>
      <c r="BC2785" s="133"/>
      <c r="BD2785" s="133"/>
      <c r="BE2785" s="133"/>
      <c r="BF2785" s="133"/>
      <c r="BG2785" s="133"/>
      <c r="BH2785" s="133"/>
      <c r="BI2785" s="133"/>
      <c r="BJ2785" s="133"/>
      <c r="BK2785" s="133"/>
      <c r="BL2785" s="133"/>
      <c r="BM2785" s="133"/>
      <c r="BN2785" s="133"/>
      <c r="BO2785" s="133"/>
      <c r="BP2785" s="133"/>
      <c r="BQ2785" s="133"/>
    </row>
    <row r="2786">
      <c r="A2786" s="194" t="s">
        <v>7412</v>
      </c>
      <c r="B2786" s="125"/>
      <c r="C2786" s="126">
        <v>43728.0</v>
      </c>
      <c r="D2786" s="133"/>
      <c r="E2786" s="124" t="s">
        <v>41</v>
      </c>
      <c r="F2786" s="198">
        <v>1.0</v>
      </c>
      <c r="G2786" s="124" t="s">
        <v>32</v>
      </c>
      <c r="H2786" s="303">
        <v>1.0</v>
      </c>
      <c r="I2786" s="124" t="s">
        <v>33</v>
      </c>
      <c r="J2786" s="124" t="s">
        <v>460</v>
      </c>
      <c r="K2786" s="133"/>
      <c r="L2786" s="124" t="s">
        <v>76</v>
      </c>
      <c r="M2786" s="242" t="s">
        <v>7413</v>
      </c>
      <c r="N2786" s="233"/>
      <c r="O2786" s="173" t="str">
        <f>hyperlink("https://bad-boys.us/?q=ND-IA/1:19-cr-00105", "ND-IA 1:19-cr-00105")</f>
        <v>ND-IA 1:19-cr-00105</v>
      </c>
      <c r="P2786" s="133"/>
      <c r="Q2786" s="124">
        <v>1.0</v>
      </c>
      <c r="R2786" s="128"/>
      <c r="S2786" s="37"/>
      <c r="T2786" s="38"/>
      <c r="U2786" s="38" t="b">
        <f t="shared" si="402"/>
        <v>0</v>
      </c>
      <c r="V2786" s="124" t="s">
        <v>33</v>
      </c>
      <c r="W2786" s="138"/>
      <c r="X2786" s="138"/>
      <c r="Y2786" s="233"/>
      <c r="Z2786" s="133"/>
      <c r="AA2786" s="133"/>
      <c r="AB2786" s="133"/>
      <c r="AC2786" s="133"/>
      <c r="AD2786" s="133"/>
      <c r="AE2786" s="133"/>
      <c r="AF2786" s="133"/>
      <c r="AG2786" s="133"/>
      <c r="AH2786" s="133"/>
      <c r="AI2786" s="133"/>
      <c r="AJ2786" s="133"/>
      <c r="AK2786" s="133"/>
      <c r="AL2786" s="133"/>
      <c r="AM2786" s="133"/>
      <c r="AN2786" s="133"/>
      <c r="AO2786" s="133"/>
      <c r="AP2786" s="133"/>
      <c r="AQ2786" s="133"/>
      <c r="AR2786" s="133"/>
      <c r="AS2786" s="133"/>
      <c r="AT2786" s="133"/>
      <c r="AU2786" s="133"/>
      <c r="AV2786" s="133"/>
      <c r="AW2786" s="133"/>
      <c r="AX2786" s="133"/>
      <c r="AY2786" s="133"/>
      <c r="AZ2786" s="133"/>
      <c r="BA2786" s="133"/>
      <c r="BB2786" s="133"/>
      <c r="BC2786" s="133"/>
      <c r="BD2786" s="133"/>
      <c r="BE2786" s="133"/>
      <c r="BF2786" s="133"/>
      <c r="BG2786" s="133"/>
      <c r="BH2786" s="133"/>
      <c r="BI2786" s="133"/>
      <c r="BJ2786" s="133"/>
      <c r="BK2786" s="133"/>
      <c r="BL2786" s="133"/>
      <c r="BM2786" s="133"/>
      <c r="BN2786" s="133"/>
      <c r="BO2786" s="133"/>
      <c r="BP2786" s="133"/>
      <c r="BQ2786" s="133"/>
    </row>
    <row r="2787">
      <c r="A2787" s="194" t="s">
        <v>7414</v>
      </c>
      <c r="B2787" s="125"/>
      <c r="C2787" s="126">
        <v>43728.0</v>
      </c>
      <c r="D2787" s="133"/>
      <c r="E2787" s="124" t="s">
        <v>41</v>
      </c>
      <c r="F2787" s="198">
        <v>1.0</v>
      </c>
      <c r="G2787" s="124" t="s">
        <v>32</v>
      </c>
      <c r="H2787" s="303">
        <v>1.0</v>
      </c>
      <c r="I2787" s="124" t="s">
        <v>33</v>
      </c>
      <c r="J2787" s="124" t="s">
        <v>93</v>
      </c>
      <c r="K2787" s="133"/>
      <c r="L2787" s="124" t="s">
        <v>1203</v>
      </c>
      <c r="M2787" s="305" t="s">
        <v>7415</v>
      </c>
      <c r="N2787" s="233"/>
      <c r="O2787" s="124"/>
      <c r="P2787" s="133"/>
      <c r="Q2787" s="124"/>
      <c r="R2787" s="128"/>
      <c r="S2787" s="37"/>
      <c r="T2787" s="38"/>
      <c r="U2787" s="38" t="b">
        <f t="shared" si="402"/>
        <v>0</v>
      </c>
      <c r="V2787" s="124" t="s">
        <v>33</v>
      </c>
      <c r="W2787" s="138"/>
      <c r="X2787" s="138"/>
      <c r="Y2787" s="233"/>
      <c r="Z2787" s="133"/>
      <c r="AA2787" s="133"/>
      <c r="AB2787" s="133"/>
      <c r="AC2787" s="133"/>
      <c r="AD2787" s="133"/>
      <c r="AE2787" s="133"/>
      <c r="AF2787" s="133"/>
      <c r="AG2787" s="133"/>
      <c r="AH2787" s="133"/>
      <c r="AI2787" s="133"/>
      <c r="AJ2787" s="133"/>
      <c r="AK2787" s="133"/>
      <c r="AL2787" s="133"/>
      <c r="AM2787" s="133"/>
      <c r="AN2787" s="133"/>
      <c r="AO2787" s="133"/>
      <c r="AP2787" s="133"/>
      <c r="AQ2787" s="133"/>
      <c r="AR2787" s="133"/>
      <c r="AS2787" s="133"/>
      <c r="AT2787" s="133"/>
      <c r="AU2787" s="133"/>
      <c r="AV2787" s="133"/>
      <c r="AW2787" s="133"/>
      <c r="AX2787" s="133"/>
      <c r="AY2787" s="133"/>
      <c r="AZ2787" s="133"/>
      <c r="BA2787" s="133"/>
      <c r="BB2787" s="133"/>
      <c r="BC2787" s="133"/>
      <c r="BD2787" s="133"/>
      <c r="BE2787" s="133"/>
      <c r="BF2787" s="133"/>
      <c r="BG2787" s="133"/>
      <c r="BH2787" s="133"/>
      <c r="BI2787" s="133"/>
      <c r="BJ2787" s="133"/>
      <c r="BK2787" s="133"/>
      <c r="BL2787" s="133"/>
      <c r="BM2787" s="133"/>
      <c r="BN2787" s="133"/>
      <c r="BO2787" s="133"/>
      <c r="BP2787" s="133"/>
      <c r="BQ2787" s="133"/>
    </row>
    <row r="2788">
      <c r="A2788" s="194" t="s">
        <v>7416</v>
      </c>
      <c r="B2788" s="125"/>
      <c r="C2788" s="126">
        <v>43732.0</v>
      </c>
      <c r="D2788" s="133"/>
      <c r="E2788" s="124" t="s">
        <v>41</v>
      </c>
      <c r="F2788" s="198">
        <v>1.0</v>
      </c>
      <c r="G2788" s="124" t="s">
        <v>32</v>
      </c>
      <c r="H2788" s="303">
        <v>1.0</v>
      </c>
      <c r="I2788" s="124" t="s">
        <v>33</v>
      </c>
      <c r="J2788" s="124" t="s">
        <v>514</v>
      </c>
      <c r="K2788" s="133"/>
      <c r="L2788" s="124" t="s">
        <v>76</v>
      </c>
      <c r="M2788" s="242" t="s">
        <v>7417</v>
      </c>
      <c r="N2788" s="233"/>
      <c r="O2788" s="124"/>
      <c r="P2788" s="133"/>
      <c r="Q2788" s="124"/>
      <c r="R2788" s="128"/>
      <c r="S2788" s="37"/>
      <c r="T2788" s="38"/>
      <c r="U2788" s="38"/>
      <c r="V2788" s="124" t="s">
        <v>33</v>
      </c>
      <c r="W2788" s="138"/>
      <c r="X2788" s="138"/>
      <c r="Y2788" s="233"/>
      <c r="Z2788" s="133"/>
      <c r="AA2788" s="133"/>
      <c r="AB2788" s="133"/>
      <c r="AC2788" s="133"/>
      <c r="AD2788" s="133"/>
      <c r="AE2788" s="133"/>
      <c r="AF2788" s="133"/>
      <c r="AG2788" s="133"/>
      <c r="AH2788" s="133"/>
      <c r="AI2788" s="133"/>
      <c r="AJ2788" s="133"/>
      <c r="AK2788" s="133"/>
      <c r="AL2788" s="133"/>
      <c r="AM2788" s="133"/>
      <c r="AN2788" s="133"/>
      <c r="AO2788" s="133"/>
      <c r="AP2788" s="133"/>
      <c r="AQ2788" s="133"/>
      <c r="AR2788" s="133"/>
      <c r="AS2788" s="133"/>
      <c r="AT2788" s="133"/>
      <c r="AU2788" s="133"/>
      <c r="AV2788" s="133"/>
      <c r="AW2788" s="133"/>
      <c r="AX2788" s="133"/>
      <c r="AY2788" s="133"/>
      <c r="AZ2788" s="133"/>
      <c r="BA2788" s="133"/>
      <c r="BB2788" s="133"/>
      <c r="BC2788" s="133"/>
      <c r="BD2788" s="133"/>
      <c r="BE2788" s="133"/>
      <c r="BF2788" s="133"/>
      <c r="BG2788" s="133"/>
      <c r="BH2788" s="133"/>
      <c r="BI2788" s="133"/>
      <c r="BJ2788" s="133"/>
      <c r="BK2788" s="133"/>
      <c r="BL2788" s="133"/>
      <c r="BM2788" s="133"/>
      <c r="BN2788" s="133"/>
      <c r="BO2788" s="133"/>
      <c r="BP2788" s="133"/>
      <c r="BQ2788" s="133"/>
    </row>
    <row r="2789">
      <c r="A2789" s="194" t="s">
        <v>7418</v>
      </c>
      <c r="B2789" s="125"/>
      <c r="C2789" s="126">
        <v>43732.0</v>
      </c>
      <c r="D2789" s="133"/>
      <c r="E2789" s="124" t="s">
        <v>31</v>
      </c>
      <c r="F2789" s="198">
        <v>1.0</v>
      </c>
      <c r="G2789" s="124" t="s">
        <v>32</v>
      </c>
      <c r="H2789" s="303">
        <v>1.0</v>
      </c>
      <c r="I2789" s="124" t="s">
        <v>33</v>
      </c>
      <c r="J2789" s="124" t="s">
        <v>909</v>
      </c>
      <c r="K2789" s="133"/>
      <c r="L2789" s="124" t="s">
        <v>69</v>
      </c>
      <c r="M2789" s="242" t="s">
        <v>7419</v>
      </c>
      <c r="N2789" s="219" t="s">
        <v>7420</v>
      </c>
      <c r="O2789" s="124"/>
      <c r="P2789" s="133"/>
      <c r="Q2789" s="124">
        <v>1.0</v>
      </c>
      <c r="R2789" s="128"/>
      <c r="S2789" s="37"/>
      <c r="T2789" s="38"/>
      <c r="U2789" s="38"/>
      <c r="V2789" s="124" t="s">
        <v>33</v>
      </c>
      <c r="W2789" s="219" t="s">
        <v>7421</v>
      </c>
      <c r="X2789" s="219" t="s">
        <v>7422</v>
      </c>
      <c r="Y2789" s="233"/>
      <c r="Z2789" s="133"/>
      <c r="AA2789" s="133"/>
      <c r="AB2789" s="133"/>
      <c r="AC2789" s="133"/>
      <c r="AD2789" s="133"/>
      <c r="AE2789" s="133"/>
      <c r="AF2789" s="133"/>
      <c r="AG2789" s="133"/>
      <c r="AH2789" s="133"/>
      <c r="AI2789" s="133"/>
      <c r="AJ2789" s="133"/>
      <c r="AK2789" s="133"/>
      <c r="AL2789" s="133"/>
      <c r="AM2789" s="133"/>
      <c r="AN2789" s="133"/>
      <c r="AO2789" s="133"/>
      <c r="AP2789" s="133"/>
      <c r="AQ2789" s="133"/>
      <c r="AR2789" s="133"/>
      <c r="AS2789" s="133"/>
      <c r="AT2789" s="133"/>
      <c r="AU2789" s="133"/>
      <c r="AV2789" s="133"/>
      <c r="AW2789" s="133"/>
      <c r="AX2789" s="133"/>
      <c r="AY2789" s="133"/>
      <c r="AZ2789" s="133"/>
      <c r="BA2789" s="133"/>
      <c r="BB2789" s="133"/>
      <c r="BC2789" s="133"/>
      <c r="BD2789" s="133"/>
      <c r="BE2789" s="133"/>
      <c r="BF2789" s="133"/>
      <c r="BG2789" s="133"/>
      <c r="BH2789" s="133"/>
      <c r="BI2789" s="133"/>
      <c r="BJ2789" s="133"/>
      <c r="BK2789" s="133"/>
      <c r="BL2789" s="133"/>
      <c r="BM2789" s="133"/>
      <c r="BN2789" s="133"/>
      <c r="BO2789" s="133"/>
      <c r="BP2789" s="133"/>
      <c r="BQ2789" s="133"/>
    </row>
    <row r="2790">
      <c r="A2790" s="194" t="s">
        <v>7423</v>
      </c>
      <c r="B2790" s="125"/>
      <c r="C2790" s="126">
        <v>43732.0</v>
      </c>
      <c r="D2790" s="133"/>
      <c r="E2790" s="124" t="s">
        <v>41</v>
      </c>
      <c r="F2790" s="198">
        <v>1.0</v>
      </c>
      <c r="G2790" s="124" t="s">
        <v>32</v>
      </c>
      <c r="H2790" s="303">
        <v>1.0</v>
      </c>
      <c r="I2790" s="124" t="s">
        <v>33</v>
      </c>
      <c r="J2790" s="124" t="s">
        <v>93</v>
      </c>
      <c r="K2790" s="133"/>
      <c r="L2790" s="124" t="s">
        <v>69</v>
      </c>
      <c r="M2790" s="242" t="s">
        <v>7424</v>
      </c>
      <c r="N2790" s="233"/>
      <c r="O2790" s="173" t="str">
        <f>hyperlink("https://bad-boys.us/?q=ND-NY/5:19-cr-00297", "ND-NY 5:19-cr-00297")</f>
        <v>ND-NY 5:19-cr-00297</v>
      </c>
      <c r="P2790" s="133"/>
      <c r="Q2790" s="124">
        <v>1.0</v>
      </c>
      <c r="R2790" s="128"/>
      <c r="S2790" s="37"/>
      <c r="T2790" s="38"/>
      <c r="U2790" s="38" t="b">
        <f>countif(A$4:A4658, A2790)&gt;1</f>
        <v>0</v>
      </c>
      <c r="V2790" s="124" t="s">
        <v>33</v>
      </c>
      <c r="W2790" s="138"/>
      <c r="X2790" s="138"/>
      <c r="Y2790" s="233"/>
      <c r="Z2790" s="133"/>
      <c r="AA2790" s="133"/>
      <c r="AB2790" s="133"/>
      <c r="AC2790" s="133"/>
      <c r="AD2790" s="133"/>
      <c r="AE2790" s="133"/>
      <c r="AF2790" s="133"/>
      <c r="AG2790" s="133"/>
      <c r="AH2790" s="133"/>
      <c r="AI2790" s="133"/>
      <c r="AJ2790" s="133"/>
      <c r="AK2790" s="133"/>
      <c r="AL2790" s="133"/>
      <c r="AM2790" s="133"/>
      <c r="AN2790" s="133"/>
      <c r="AO2790" s="133"/>
      <c r="AP2790" s="133"/>
      <c r="AQ2790" s="133"/>
      <c r="AR2790" s="133"/>
      <c r="AS2790" s="133"/>
      <c r="AT2790" s="133"/>
      <c r="AU2790" s="133"/>
      <c r="AV2790" s="133"/>
      <c r="AW2790" s="133"/>
      <c r="AX2790" s="133"/>
      <c r="AY2790" s="133"/>
      <c r="AZ2790" s="133"/>
      <c r="BA2790" s="133"/>
      <c r="BB2790" s="133"/>
      <c r="BC2790" s="133"/>
      <c r="BD2790" s="133"/>
      <c r="BE2790" s="133"/>
      <c r="BF2790" s="133"/>
      <c r="BG2790" s="133"/>
      <c r="BH2790" s="133"/>
      <c r="BI2790" s="133"/>
      <c r="BJ2790" s="133"/>
      <c r="BK2790" s="133"/>
      <c r="BL2790" s="133"/>
      <c r="BM2790" s="133"/>
      <c r="BN2790" s="133"/>
      <c r="BO2790" s="133"/>
      <c r="BP2790" s="133"/>
      <c r="BQ2790" s="133"/>
    </row>
    <row r="2791">
      <c r="A2791" s="194" t="s">
        <v>7425</v>
      </c>
      <c r="B2791" s="125"/>
      <c r="C2791" s="126">
        <v>43732.0</v>
      </c>
      <c r="D2791" s="133"/>
      <c r="E2791" s="124" t="s">
        <v>41</v>
      </c>
      <c r="F2791" s="198">
        <v>1.0</v>
      </c>
      <c r="G2791" s="124" t="s">
        <v>32</v>
      </c>
      <c r="H2791" s="303">
        <v>1.0</v>
      </c>
      <c r="I2791" s="124" t="s">
        <v>33</v>
      </c>
      <c r="J2791" s="124" t="s">
        <v>115</v>
      </c>
      <c r="K2791" s="133"/>
      <c r="L2791" s="124" t="s">
        <v>69</v>
      </c>
      <c r="M2791" s="242" t="s">
        <v>7426</v>
      </c>
      <c r="N2791" s="233"/>
      <c r="O2791" s="124"/>
      <c r="P2791" s="133"/>
      <c r="Q2791" s="124">
        <v>1.0</v>
      </c>
      <c r="R2791" s="128"/>
      <c r="S2791" s="37"/>
      <c r="T2791" s="38"/>
      <c r="U2791" s="38"/>
      <c r="V2791" s="124" t="s">
        <v>33</v>
      </c>
      <c r="W2791" s="138"/>
      <c r="X2791" s="138"/>
      <c r="Y2791" s="233"/>
      <c r="Z2791" s="133"/>
      <c r="AA2791" s="133"/>
      <c r="AB2791" s="133"/>
      <c r="AC2791" s="133"/>
      <c r="AD2791" s="133"/>
      <c r="AE2791" s="133"/>
      <c r="AF2791" s="133"/>
      <c r="AG2791" s="133"/>
      <c r="AH2791" s="133"/>
      <c r="AI2791" s="133"/>
      <c r="AJ2791" s="133"/>
      <c r="AK2791" s="133"/>
      <c r="AL2791" s="133"/>
      <c r="AM2791" s="133"/>
      <c r="AN2791" s="133"/>
      <c r="AO2791" s="133"/>
      <c r="AP2791" s="133"/>
      <c r="AQ2791" s="133"/>
      <c r="AR2791" s="133"/>
      <c r="AS2791" s="133"/>
      <c r="AT2791" s="133"/>
      <c r="AU2791" s="133"/>
      <c r="AV2791" s="133"/>
      <c r="AW2791" s="133"/>
      <c r="AX2791" s="133"/>
      <c r="AY2791" s="133"/>
      <c r="AZ2791" s="133"/>
      <c r="BA2791" s="133"/>
      <c r="BB2791" s="133"/>
      <c r="BC2791" s="133"/>
      <c r="BD2791" s="133"/>
      <c r="BE2791" s="133"/>
      <c r="BF2791" s="133"/>
      <c r="BG2791" s="133"/>
      <c r="BH2791" s="133"/>
      <c r="BI2791" s="133"/>
      <c r="BJ2791" s="133"/>
      <c r="BK2791" s="133"/>
      <c r="BL2791" s="133"/>
      <c r="BM2791" s="133"/>
      <c r="BN2791" s="133"/>
      <c r="BO2791" s="133"/>
      <c r="BP2791" s="133"/>
      <c r="BQ2791" s="133"/>
    </row>
    <row r="2792">
      <c r="A2792" s="194" t="s">
        <v>7427</v>
      </c>
      <c r="B2792" s="125"/>
      <c r="C2792" s="126">
        <v>43733.0</v>
      </c>
      <c r="D2792" s="133"/>
      <c r="E2792" s="124" t="s">
        <v>41</v>
      </c>
      <c r="F2792" s="198">
        <v>1.0</v>
      </c>
      <c r="G2792" s="124" t="s">
        <v>32</v>
      </c>
      <c r="H2792" s="303">
        <v>1.0</v>
      </c>
      <c r="I2792" s="124" t="s">
        <v>33</v>
      </c>
      <c r="J2792" s="124" t="s">
        <v>75</v>
      </c>
      <c r="K2792" s="133"/>
      <c r="L2792" s="124" t="s">
        <v>76</v>
      </c>
      <c r="M2792" s="242" t="s">
        <v>7428</v>
      </c>
      <c r="N2792" s="233"/>
      <c r="O2792" s="124"/>
      <c r="P2792" s="133"/>
      <c r="Q2792" s="124"/>
      <c r="R2792" s="128"/>
      <c r="S2792" s="37"/>
      <c r="T2792" s="38"/>
      <c r="U2792" s="38"/>
      <c r="V2792" s="124" t="s">
        <v>33</v>
      </c>
      <c r="W2792" s="138"/>
      <c r="X2792" s="138"/>
      <c r="Y2792" s="233"/>
      <c r="Z2792" s="133"/>
      <c r="AA2792" s="133"/>
      <c r="AB2792" s="133"/>
      <c r="AC2792" s="133"/>
      <c r="AD2792" s="133"/>
      <c r="AE2792" s="133"/>
      <c r="AF2792" s="133"/>
      <c r="AG2792" s="133"/>
      <c r="AH2792" s="133"/>
      <c r="AI2792" s="133"/>
      <c r="AJ2792" s="133"/>
      <c r="AK2792" s="133"/>
      <c r="AL2792" s="133"/>
      <c r="AM2792" s="133"/>
      <c r="AN2792" s="133"/>
      <c r="AO2792" s="133"/>
      <c r="AP2792" s="133"/>
      <c r="AQ2792" s="133"/>
      <c r="AR2792" s="133"/>
      <c r="AS2792" s="133"/>
      <c r="AT2792" s="133"/>
      <c r="AU2792" s="133"/>
      <c r="AV2792" s="133"/>
      <c r="AW2792" s="133"/>
      <c r="AX2792" s="133"/>
      <c r="AY2792" s="133"/>
      <c r="AZ2792" s="133"/>
      <c r="BA2792" s="133"/>
      <c r="BB2792" s="133"/>
      <c r="BC2792" s="133"/>
      <c r="BD2792" s="133"/>
      <c r="BE2792" s="133"/>
      <c r="BF2792" s="133"/>
      <c r="BG2792" s="133"/>
      <c r="BH2792" s="133"/>
      <c r="BI2792" s="133"/>
      <c r="BJ2792" s="133"/>
      <c r="BK2792" s="133"/>
      <c r="BL2792" s="133"/>
      <c r="BM2792" s="133"/>
      <c r="BN2792" s="133"/>
      <c r="BO2792" s="133"/>
      <c r="BP2792" s="133"/>
      <c r="BQ2792" s="133"/>
    </row>
    <row r="2793">
      <c r="A2793" s="194" t="s">
        <v>7429</v>
      </c>
      <c r="B2793" s="125"/>
      <c r="C2793" s="126">
        <v>43733.0</v>
      </c>
      <c r="D2793" s="133"/>
      <c r="E2793" s="124" t="s">
        <v>41</v>
      </c>
      <c r="F2793" s="198">
        <v>1.0</v>
      </c>
      <c r="G2793" s="124" t="s">
        <v>32</v>
      </c>
      <c r="H2793" s="303">
        <v>1.0</v>
      </c>
      <c r="I2793" s="124" t="s">
        <v>33</v>
      </c>
      <c r="J2793" s="124" t="s">
        <v>162</v>
      </c>
      <c r="K2793" s="133"/>
      <c r="L2793" s="124" t="s">
        <v>119</v>
      </c>
      <c r="M2793" s="242" t="s">
        <v>7430</v>
      </c>
      <c r="N2793" s="233"/>
      <c r="O2793" s="124"/>
      <c r="P2793" s="133"/>
      <c r="Q2793" s="124">
        <v>1.0</v>
      </c>
      <c r="R2793" s="128"/>
      <c r="S2793" s="37"/>
      <c r="T2793" s="38"/>
      <c r="U2793" s="38"/>
      <c r="V2793" s="124" t="s">
        <v>33</v>
      </c>
      <c r="W2793" s="138"/>
      <c r="X2793" s="138"/>
      <c r="Y2793" s="233"/>
      <c r="Z2793" s="133"/>
      <c r="AA2793" s="133"/>
      <c r="AB2793" s="133"/>
      <c r="AC2793" s="133"/>
      <c r="AD2793" s="133"/>
      <c r="AE2793" s="133"/>
      <c r="AF2793" s="133"/>
      <c r="AG2793" s="133"/>
      <c r="AH2793" s="133"/>
      <c r="AI2793" s="133"/>
      <c r="AJ2793" s="133"/>
      <c r="AK2793" s="133"/>
      <c r="AL2793" s="133"/>
      <c r="AM2793" s="133"/>
      <c r="AN2793" s="133"/>
      <c r="AO2793" s="133"/>
      <c r="AP2793" s="133"/>
      <c r="AQ2793" s="133"/>
      <c r="AR2793" s="133"/>
      <c r="AS2793" s="133"/>
      <c r="AT2793" s="133"/>
      <c r="AU2793" s="133"/>
      <c r="AV2793" s="133"/>
      <c r="AW2793" s="133"/>
      <c r="AX2793" s="133"/>
      <c r="AY2793" s="133"/>
      <c r="AZ2793" s="133"/>
      <c r="BA2793" s="133"/>
      <c r="BB2793" s="133"/>
      <c r="BC2793" s="133"/>
      <c r="BD2793" s="133"/>
      <c r="BE2793" s="133"/>
      <c r="BF2793" s="133"/>
      <c r="BG2793" s="133"/>
      <c r="BH2793" s="133"/>
      <c r="BI2793" s="133"/>
      <c r="BJ2793" s="133"/>
      <c r="BK2793" s="133"/>
      <c r="BL2793" s="133"/>
      <c r="BM2793" s="133"/>
      <c r="BN2793" s="133"/>
      <c r="BO2793" s="133"/>
      <c r="BP2793" s="133"/>
      <c r="BQ2793" s="133"/>
    </row>
    <row r="2794">
      <c r="A2794" s="194" t="s">
        <v>7431</v>
      </c>
      <c r="B2794" s="125"/>
      <c r="C2794" s="126">
        <v>43735.0</v>
      </c>
      <c r="D2794" s="133"/>
      <c r="E2794" s="124" t="s">
        <v>41</v>
      </c>
      <c r="F2794" s="198">
        <v>1.0</v>
      </c>
      <c r="G2794" s="124">
        <v>1.0</v>
      </c>
      <c r="H2794" s="303">
        <v>1.0</v>
      </c>
      <c r="I2794" s="124" t="s">
        <v>33</v>
      </c>
      <c r="J2794" s="124" t="s">
        <v>115</v>
      </c>
      <c r="K2794" s="133"/>
      <c r="L2794" s="124" t="s">
        <v>76</v>
      </c>
      <c r="M2794" s="242" t="s">
        <v>7432</v>
      </c>
      <c r="N2794" s="219" t="s">
        <v>7433</v>
      </c>
      <c r="O2794" s="173" t="str">
        <f>hyperlink("https://bad-boys.us/?q=ED-PA/2:19-cr-00585", "ED-PA 2:19-cr-00585 ❓")</f>
        <v>ED-PA 2:19-cr-00585 ❓</v>
      </c>
      <c r="P2794" s="133"/>
      <c r="Q2794" s="124">
        <v>1.0</v>
      </c>
      <c r="R2794" s="128"/>
      <c r="S2794" s="37"/>
      <c r="T2794" s="38"/>
      <c r="U2794" s="38" t="b">
        <f t="shared" ref="U2794:U2795" si="403">countif(A$4:A4658, A2794)&gt;1</f>
        <v>0</v>
      </c>
      <c r="V2794" s="124" t="s">
        <v>33</v>
      </c>
      <c r="W2794" s="138"/>
      <c r="X2794" s="138"/>
      <c r="Y2794" s="233"/>
      <c r="Z2794" s="133"/>
      <c r="AA2794" s="133"/>
      <c r="AB2794" s="133"/>
      <c r="AC2794" s="133"/>
      <c r="AD2794" s="133"/>
      <c r="AE2794" s="133"/>
      <c r="AF2794" s="133"/>
      <c r="AG2794" s="133"/>
      <c r="AH2794" s="133"/>
      <c r="AI2794" s="133"/>
      <c r="AJ2794" s="133"/>
      <c r="AK2794" s="133"/>
      <c r="AL2794" s="133"/>
      <c r="AM2794" s="133"/>
      <c r="AN2794" s="133"/>
      <c r="AO2794" s="133"/>
      <c r="AP2794" s="133"/>
      <c r="AQ2794" s="133"/>
      <c r="AR2794" s="133"/>
      <c r="AS2794" s="133"/>
      <c r="AT2794" s="133"/>
      <c r="AU2794" s="133"/>
      <c r="AV2794" s="133"/>
      <c r="AW2794" s="133"/>
      <c r="AX2794" s="133"/>
      <c r="AY2794" s="133"/>
      <c r="AZ2794" s="133"/>
      <c r="BA2794" s="133"/>
      <c r="BB2794" s="133"/>
      <c r="BC2794" s="133"/>
      <c r="BD2794" s="133"/>
      <c r="BE2794" s="133"/>
      <c r="BF2794" s="133"/>
      <c r="BG2794" s="133"/>
      <c r="BH2794" s="133"/>
      <c r="BI2794" s="133"/>
      <c r="BJ2794" s="133"/>
      <c r="BK2794" s="133"/>
      <c r="BL2794" s="133"/>
      <c r="BM2794" s="133"/>
      <c r="BN2794" s="133"/>
      <c r="BO2794" s="133"/>
      <c r="BP2794" s="133"/>
      <c r="BQ2794" s="133"/>
    </row>
    <row r="2795">
      <c r="A2795" s="194" t="s">
        <v>7434</v>
      </c>
      <c r="B2795" s="125"/>
      <c r="C2795" s="126">
        <v>43738.0</v>
      </c>
      <c r="D2795" s="133"/>
      <c r="E2795" s="124" t="s">
        <v>41</v>
      </c>
      <c r="F2795" s="198">
        <v>1.0</v>
      </c>
      <c r="G2795" s="124" t="s">
        <v>32</v>
      </c>
      <c r="H2795" s="303">
        <v>1.0</v>
      </c>
      <c r="I2795" s="124" t="s">
        <v>33</v>
      </c>
      <c r="J2795" s="124" t="s">
        <v>410</v>
      </c>
      <c r="K2795" s="133"/>
      <c r="L2795" s="124" t="s">
        <v>119</v>
      </c>
      <c r="M2795" s="242" t="s">
        <v>7435</v>
      </c>
      <c r="N2795" s="233"/>
      <c r="O2795" s="173" t="str">
        <f>hyperlink("https://bad-boys.us/?q=D-MA/4:19-cr-40044", "D-MA 4:19-cr-40044")</f>
        <v>D-MA 4:19-cr-40044</v>
      </c>
      <c r="P2795" s="133"/>
      <c r="Q2795" s="124">
        <v>1.0</v>
      </c>
      <c r="R2795" s="128"/>
      <c r="S2795" s="37"/>
      <c r="T2795" s="38"/>
      <c r="U2795" s="38" t="b">
        <f t="shared" si="403"/>
        <v>0</v>
      </c>
      <c r="V2795" s="124" t="s">
        <v>33</v>
      </c>
      <c r="W2795" s="138"/>
      <c r="X2795" s="138"/>
      <c r="Y2795" s="233"/>
      <c r="Z2795" s="133"/>
      <c r="AA2795" s="133"/>
      <c r="AB2795" s="133"/>
      <c r="AC2795" s="133"/>
      <c r="AD2795" s="133"/>
      <c r="AE2795" s="133"/>
      <c r="AF2795" s="133"/>
      <c r="AG2795" s="133"/>
      <c r="AH2795" s="133"/>
      <c r="AI2795" s="133"/>
      <c r="AJ2795" s="133"/>
      <c r="AK2795" s="133"/>
      <c r="AL2795" s="133"/>
      <c r="AM2795" s="133"/>
      <c r="AN2795" s="133"/>
      <c r="AO2795" s="133"/>
      <c r="AP2795" s="133"/>
      <c r="AQ2795" s="133"/>
      <c r="AR2795" s="133"/>
      <c r="AS2795" s="133"/>
      <c r="AT2795" s="133"/>
      <c r="AU2795" s="133"/>
      <c r="AV2795" s="133"/>
      <c r="AW2795" s="133"/>
      <c r="AX2795" s="133"/>
      <c r="AY2795" s="133"/>
      <c r="AZ2795" s="133"/>
      <c r="BA2795" s="133"/>
      <c r="BB2795" s="133"/>
      <c r="BC2795" s="133"/>
      <c r="BD2795" s="133"/>
      <c r="BE2795" s="133"/>
      <c r="BF2795" s="133"/>
      <c r="BG2795" s="133"/>
      <c r="BH2795" s="133"/>
      <c r="BI2795" s="133"/>
      <c r="BJ2795" s="133"/>
      <c r="BK2795" s="133"/>
      <c r="BL2795" s="133"/>
      <c r="BM2795" s="133"/>
      <c r="BN2795" s="133"/>
      <c r="BO2795" s="133"/>
      <c r="BP2795" s="133"/>
      <c r="BQ2795" s="133"/>
    </row>
    <row r="2796">
      <c r="A2796" s="194" t="s">
        <v>7436</v>
      </c>
      <c r="B2796" s="125"/>
      <c r="C2796" s="195">
        <v>43738.0</v>
      </c>
      <c r="D2796" s="133"/>
      <c r="E2796" s="124" t="s">
        <v>41</v>
      </c>
      <c r="F2796" s="198">
        <v>1.0</v>
      </c>
      <c r="G2796" s="124" t="s">
        <v>32</v>
      </c>
      <c r="H2796" s="303">
        <v>1.0</v>
      </c>
      <c r="I2796" s="124" t="s">
        <v>33</v>
      </c>
      <c r="J2796" s="124" t="s">
        <v>106</v>
      </c>
      <c r="K2796" s="133"/>
      <c r="L2796" s="124" t="s">
        <v>119</v>
      </c>
      <c r="M2796" s="242" t="s">
        <v>6515</v>
      </c>
      <c r="N2796" s="233"/>
      <c r="O2796" s="124"/>
      <c r="P2796" s="133"/>
      <c r="Q2796" s="124">
        <v>1.0</v>
      </c>
      <c r="R2796" s="128"/>
      <c r="S2796" s="37"/>
      <c r="T2796" s="38"/>
      <c r="U2796" s="38"/>
      <c r="V2796" s="124" t="s">
        <v>33</v>
      </c>
      <c r="W2796" s="138"/>
      <c r="X2796" s="138"/>
      <c r="Y2796" s="233"/>
      <c r="Z2796" s="133"/>
      <c r="AA2796" s="133"/>
      <c r="AB2796" s="133"/>
      <c r="AC2796" s="133"/>
      <c r="AD2796" s="133"/>
      <c r="AE2796" s="133"/>
      <c r="AF2796" s="133"/>
      <c r="AG2796" s="133"/>
      <c r="AH2796" s="133"/>
      <c r="AI2796" s="133"/>
      <c r="AJ2796" s="133"/>
      <c r="AK2796" s="133"/>
      <c r="AL2796" s="133"/>
      <c r="AM2796" s="133"/>
      <c r="AN2796" s="133"/>
      <c r="AO2796" s="133"/>
      <c r="AP2796" s="133"/>
      <c r="AQ2796" s="133"/>
      <c r="AR2796" s="133"/>
      <c r="AS2796" s="133"/>
      <c r="AT2796" s="133"/>
      <c r="AU2796" s="133"/>
      <c r="AV2796" s="133"/>
      <c r="AW2796" s="133"/>
      <c r="AX2796" s="133"/>
      <c r="AY2796" s="133"/>
      <c r="AZ2796" s="133"/>
      <c r="BA2796" s="133"/>
      <c r="BB2796" s="133"/>
      <c r="BC2796" s="133"/>
      <c r="BD2796" s="133"/>
      <c r="BE2796" s="133"/>
      <c r="BF2796" s="133"/>
      <c r="BG2796" s="133"/>
      <c r="BH2796" s="133"/>
      <c r="BI2796" s="133"/>
      <c r="BJ2796" s="133"/>
      <c r="BK2796" s="133"/>
      <c r="BL2796" s="133"/>
      <c r="BM2796" s="133"/>
      <c r="BN2796" s="133"/>
      <c r="BO2796" s="133"/>
      <c r="BP2796" s="133"/>
      <c r="BQ2796" s="133"/>
    </row>
    <row r="2797">
      <c r="A2797" s="194" t="s">
        <v>7437</v>
      </c>
      <c r="B2797" s="125"/>
      <c r="C2797" s="195">
        <v>43739.0</v>
      </c>
      <c r="D2797" s="133"/>
      <c r="E2797" s="124" t="s">
        <v>41</v>
      </c>
      <c r="F2797" s="198">
        <v>1.0</v>
      </c>
      <c r="G2797" s="124" t="s">
        <v>32</v>
      </c>
      <c r="H2797" s="303">
        <v>1.0</v>
      </c>
      <c r="I2797" s="124" t="s">
        <v>33</v>
      </c>
      <c r="J2797" s="124" t="s">
        <v>162</v>
      </c>
      <c r="K2797" s="133"/>
      <c r="L2797" s="124" t="s">
        <v>99</v>
      </c>
      <c r="M2797" s="242" t="s">
        <v>7438</v>
      </c>
      <c r="N2797" s="233"/>
      <c r="O2797" s="173" t="str">
        <f>hyperlink("https://bad-boys.us/?q=D-KS/6:19-cr-10134", "D-KS 6:19-cr-10134")</f>
        <v>D-KS 6:19-cr-10134</v>
      </c>
      <c r="P2797" s="133"/>
      <c r="Q2797" s="124">
        <v>1.0</v>
      </c>
      <c r="R2797" s="128"/>
      <c r="S2797" s="37"/>
      <c r="T2797" s="38"/>
      <c r="U2797" s="38" t="b">
        <f t="shared" ref="U2797:U2798" si="404">countif(A$4:A4658, A2797)&gt;1</f>
        <v>0</v>
      </c>
      <c r="V2797" s="124" t="s">
        <v>33</v>
      </c>
      <c r="W2797" s="138"/>
      <c r="X2797" s="138"/>
      <c r="Y2797" s="233"/>
      <c r="Z2797" s="133"/>
      <c r="AA2797" s="133"/>
      <c r="AB2797" s="133"/>
      <c r="AC2797" s="133"/>
      <c r="AD2797" s="133"/>
      <c r="AE2797" s="133"/>
      <c r="AF2797" s="133"/>
      <c r="AG2797" s="133"/>
      <c r="AH2797" s="133"/>
      <c r="AI2797" s="133"/>
      <c r="AJ2797" s="133"/>
      <c r="AK2797" s="133"/>
      <c r="AL2797" s="133"/>
      <c r="AM2797" s="133"/>
      <c r="AN2797" s="133"/>
      <c r="AO2797" s="133"/>
      <c r="AP2797" s="133"/>
      <c r="AQ2797" s="133"/>
      <c r="AR2797" s="133"/>
      <c r="AS2797" s="133"/>
      <c r="AT2797" s="133"/>
      <c r="AU2797" s="133"/>
      <c r="AV2797" s="133"/>
      <c r="AW2797" s="133"/>
      <c r="AX2797" s="133"/>
      <c r="AY2797" s="133"/>
      <c r="AZ2797" s="133"/>
      <c r="BA2797" s="133"/>
      <c r="BB2797" s="133"/>
      <c r="BC2797" s="133"/>
      <c r="BD2797" s="133"/>
      <c r="BE2797" s="133"/>
      <c r="BF2797" s="133"/>
      <c r="BG2797" s="133"/>
      <c r="BH2797" s="133"/>
      <c r="BI2797" s="133"/>
      <c r="BJ2797" s="133"/>
      <c r="BK2797" s="133"/>
      <c r="BL2797" s="133"/>
      <c r="BM2797" s="133"/>
      <c r="BN2797" s="133"/>
      <c r="BO2797" s="133"/>
      <c r="BP2797" s="133"/>
      <c r="BQ2797" s="133"/>
    </row>
    <row r="2798">
      <c r="A2798" s="194" t="s">
        <v>7439</v>
      </c>
      <c r="B2798" s="125"/>
      <c r="C2798" s="195">
        <v>43739.0</v>
      </c>
      <c r="D2798" s="133"/>
      <c r="E2798" s="124" t="s">
        <v>41</v>
      </c>
      <c r="F2798" s="198">
        <v>1.0</v>
      </c>
      <c r="G2798" s="124" t="s">
        <v>32</v>
      </c>
      <c r="H2798" s="303">
        <v>1.0</v>
      </c>
      <c r="I2798" s="124" t="s">
        <v>33</v>
      </c>
      <c r="J2798" s="124" t="s">
        <v>162</v>
      </c>
      <c r="K2798" s="133"/>
      <c r="L2798" s="124" t="s">
        <v>99</v>
      </c>
      <c r="M2798" s="242" t="s">
        <v>7438</v>
      </c>
      <c r="N2798" s="233"/>
      <c r="O2798" s="173" t="str">
        <f>hyperlink("https://bad-boys.us/?q=D-KS/6:19-cr-10135", "D-KS 6:19-cr-10135")</f>
        <v>D-KS 6:19-cr-10135</v>
      </c>
      <c r="P2798" s="133"/>
      <c r="Q2798" s="124">
        <v>1.0</v>
      </c>
      <c r="R2798" s="128"/>
      <c r="S2798" s="37"/>
      <c r="T2798" s="38"/>
      <c r="U2798" s="38" t="b">
        <f t="shared" si="404"/>
        <v>0</v>
      </c>
      <c r="V2798" s="124" t="s">
        <v>33</v>
      </c>
      <c r="W2798" s="138"/>
      <c r="X2798" s="138"/>
      <c r="Y2798" s="233"/>
      <c r="Z2798" s="133"/>
      <c r="AA2798" s="133"/>
      <c r="AB2798" s="133"/>
      <c r="AC2798" s="133"/>
      <c r="AD2798" s="133"/>
      <c r="AE2798" s="133"/>
      <c r="AF2798" s="133"/>
      <c r="AG2798" s="133"/>
      <c r="AH2798" s="133"/>
      <c r="AI2798" s="133"/>
      <c r="AJ2798" s="133"/>
      <c r="AK2798" s="133"/>
      <c r="AL2798" s="133"/>
      <c r="AM2798" s="133"/>
      <c r="AN2798" s="133"/>
      <c r="AO2798" s="133"/>
      <c r="AP2798" s="133"/>
      <c r="AQ2798" s="133"/>
      <c r="AR2798" s="133"/>
      <c r="AS2798" s="133"/>
      <c r="AT2798" s="133"/>
      <c r="AU2798" s="133"/>
      <c r="AV2798" s="133"/>
      <c r="AW2798" s="133"/>
      <c r="AX2798" s="133"/>
      <c r="AY2798" s="133"/>
      <c r="AZ2798" s="133"/>
      <c r="BA2798" s="133"/>
      <c r="BB2798" s="133"/>
      <c r="BC2798" s="133"/>
      <c r="BD2798" s="133"/>
      <c r="BE2798" s="133"/>
      <c r="BF2798" s="133"/>
      <c r="BG2798" s="133"/>
      <c r="BH2798" s="133"/>
      <c r="BI2798" s="133"/>
      <c r="BJ2798" s="133"/>
      <c r="BK2798" s="133"/>
      <c r="BL2798" s="133"/>
      <c r="BM2798" s="133"/>
      <c r="BN2798" s="133"/>
      <c r="BO2798" s="133"/>
      <c r="BP2798" s="133"/>
      <c r="BQ2798" s="133"/>
    </row>
    <row r="2799">
      <c r="A2799" s="194" t="s">
        <v>7440</v>
      </c>
      <c r="B2799" s="125"/>
      <c r="C2799" s="195">
        <v>43739.0</v>
      </c>
      <c r="D2799" s="133"/>
      <c r="E2799" s="124" t="s">
        <v>41</v>
      </c>
      <c r="F2799" s="198">
        <v>1.0</v>
      </c>
      <c r="G2799" s="124" t="s">
        <v>32</v>
      </c>
      <c r="H2799" s="303">
        <v>1.0</v>
      </c>
      <c r="I2799" s="124" t="s">
        <v>33</v>
      </c>
      <c r="J2799" s="124" t="s">
        <v>144</v>
      </c>
      <c r="K2799" s="133"/>
      <c r="L2799" s="124" t="s">
        <v>807</v>
      </c>
      <c r="M2799" s="242" t="s">
        <v>7441</v>
      </c>
      <c r="N2799" s="233"/>
      <c r="O2799" s="124"/>
      <c r="P2799" s="133"/>
      <c r="Q2799" s="124"/>
      <c r="R2799" s="128"/>
      <c r="S2799" s="37"/>
      <c r="T2799" s="38"/>
      <c r="U2799" s="38"/>
      <c r="V2799" s="124" t="s">
        <v>33</v>
      </c>
      <c r="W2799" s="233"/>
      <c r="X2799" s="233"/>
      <c r="Y2799" s="233"/>
      <c r="Z2799" s="133"/>
      <c r="AA2799" s="133"/>
      <c r="AB2799" s="133"/>
      <c r="AC2799" s="133"/>
      <c r="AD2799" s="133"/>
      <c r="AE2799" s="133"/>
      <c r="AF2799" s="133"/>
      <c r="AG2799" s="133"/>
      <c r="AH2799" s="133"/>
      <c r="AI2799" s="133"/>
      <c r="AJ2799" s="133"/>
      <c r="AK2799" s="133"/>
      <c r="AL2799" s="133"/>
      <c r="AM2799" s="133"/>
      <c r="AN2799" s="133"/>
      <c r="AO2799" s="133"/>
      <c r="AP2799" s="133"/>
      <c r="AQ2799" s="133"/>
      <c r="AR2799" s="133"/>
      <c r="AS2799" s="133"/>
      <c r="AT2799" s="133"/>
      <c r="AU2799" s="133"/>
      <c r="AV2799" s="133"/>
      <c r="AW2799" s="133"/>
      <c r="AX2799" s="133"/>
      <c r="AY2799" s="133"/>
      <c r="AZ2799" s="133"/>
      <c r="BA2799" s="133"/>
      <c r="BB2799" s="133"/>
      <c r="BC2799" s="133"/>
      <c r="BD2799" s="133"/>
      <c r="BE2799" s="133"/>
      <c r="BF2799" s="133"/>
      <c r="BG2799" s="133"/>
      <c r="BH2799" s="133"/>
      <c r="BI2799" s="133"/>
      <c r="BJ2799" s="133"/>
      <c r="BK2799" s="133"/>
      <c r="BL2799" s="133"/>
      <c r="BM2799" s="133"/>
      <c r="BN2799" s="133"/>
      <c r="BO2799" s="133"/>
      <c r="BP2799" s="133"/>
      <c r="BQ2799" s="133"/>
    </row>
    <row r="2800">
      <c r="A2800" s="194" t="s">
        <v>7442</v>
      </c>
      <c r="B2800" s="125"/>
      <c r="C2800" s="195">
        <v>43739.0</v>
      </c>
      <c r="D2800" s="133"/>
      <c r="E2800" s="124" t="s">
        <v>41</v>
      </c>
      <c r="F2800" s="198">
        <v>1.0</v>
      </c>
      <c r="G2800" s="124">
        <v>1.0</v>
      </c>
      <c r="H2800" s="303">
        <v>1.0</v>
      </c>
      <c r="I2800" s="124" t="s">
        <v>33</v>
      </c>
      <c r="J2800" s="124" t="s">
        <v>504</v>
      </c>
      <c r="K2800" s="133"/>
      <c r="L2800" s="124" t="s">
        <v>76</v>
      </c>
      <c r="M2800" s="242" t="s">
        <v>7443</v>
      </c>
      <c r="N2800" s="233"/>
      <c r="O2800" s="124"/>
      <c r="P2800" s="133"/>
      <c r="Q2800" s="124"/>
      <c r="R2800" s="128"/>
      <c r="S2800" s="37"/>
      <c r="T2800" s="38"/>
      <c r="U2800" s="38"/>
      <c r="V2800" s="124" t="s">
        <v>33</v>
      </c>
      <c r="W2800" s="233"/>
      <c r="X2800" s="233"/>
      <c r="Y2800" s="233"/>
      <c r="Z2800" s="133"/>
      <c r="AA2800" s="133"/>
      <c r="AB2800" s="133"/>
      <c r="AC2800" s="133"/>
      <c r="AD2800" s="133"/>
      <c r="AE2800" s="133"/>
      <c r="AF2800" s="133"/>
      <c r="AG2800" s="133"/>
      <c r="AH2800" s="133"/>
      <c r="AI2800" s="133"/>
      <c r="AJ2800" s="133"/>
      <c r="AK2800" s="133"/>
      <c r="AL2800" s="133"/>
      <c r="AM2800" s="133"/>
      <c r="AN2800" s="133"/>
      <c r="AO2800" s="133"/>
      <c r="AP2800" s="133"/>
      <c r="AQ2800" s="133"/>
      <c r="AR2800" s="133"/>
      <c r="AS2800" s="133"/>
      <c r="AT2800" s="133"/>
      <c r="AU2800" s="133"/>
      <c r="AV2800" s="133"/>
      <c r="AW2800" s="133"/>
      <c r="AX2800" s="133"/>
      <c r="AY2800" s="133"/>
      <c r="AZ2800" s="133"/>
      <c r="BA2800" s="133"/>
      <c r="BB2800" s="133"/>
      <c r="BC2800" s="133"/>
      <c r="BD2800" s="133"/>
      <c r="BE2800" s="133"/>
      <c r="BF2800" s="133"/>
      <c r="BG2800" s="133"/>
      <c r="BH2800" s="133"/>
      <c r="BI2800" s="133"/>
      <c r="BJ2800" s="133"/>
      <c r="BK2800" s="133"/>
      <c r="BL2800" s="133"/>
      <c r="BM2800" s="133"/>
      <c r="BN2800" s="133"/>
      <c r="BO2800" s="133"/>
      <c r="BP2800" s="133"/>
      <c r="BQ2800" s="133"/>
    </row>
    <row r="2801">
      <c r="A2801" s="194" t="s">
        <v>7444</v>
      </c>
      <c r="B2801" s="125"/>
      <c r="C2801" s="195">
        <v>43739.0</v>
      </c>
      <c r="D2801" s="133"/>
      <c r="E2801" s="124" t="s">
        <v>41</v>
      </c>
      <c r="F2801" s="198">
        <v>1.0</v>
      </c>
      <c r="G2801" s="124">
        <v>1.0</v>
      </c>
      <c r="H2801" s="303">
        <v>1.0</v>
      </c>
      <c r="I2801" s="124" t="s">
        <v>33</v>
      </c>
      <c r="J2801" s="124" t="s">
        <v>147</v>
      </c>
      <c r="K2801" s="133"/>
      <c r="L2801" s="124" t="s">
        <v>35</v>
      </c>
      <c r="M2801" s="242" t="s">
        <v>7445</v>
      </c>
      <c r="N2801" s="233"/>
      <c r="O2801" s="124"/>
      <c r="P2801" s="133"/>
      <c r="Q2801" s="124"/>
      <c r="R2801" s="128"/>
      <c r="S2801" s="37"/>
      <c r="T2801" s="38"/>
      <c r="U2801" s="38"/>
      <c r="V2801" s="124" t="s">
        <v>33</v>
      </c>
      <c r="W2801" s="233"/>
      <c r="X2801" s="233"/>
      <c r="Y2801" s="233"/>
      <c r="Z2801" s="133"/>
      <c r="AA2801" s="133"/>
      <c r="AB2801" s="133"/>
      <c r="AC2801" s="133"/>
      <c r="AD2801" s="133"/>
      <c r="AE2801" s="133"/>
      <c r="AF2801" s="133"/>
      <c r="AG2801" s="133"/>
      <c r="AH2801" s="133"/>
      <c r="AI2801" s="133"/>
      <c r="AJ2801" s="133"/>
      <c r="AK2801" s="133"/>
      <c r="AL2801" s="133"/>
      <c r="AM2801" s="133"/>
      <c r="AN2801" s="133"/>
      <c r="AO2801" s="133"/>
      <c r="AP2801" s="133"/>
      <c r="AQ2801" s="133"/>
      <c r="AR2801" s="133"/>
      <c r="AS2801" s="133"/>
      <c r="AT2801" s="133"/>
      <c r="AU2801" s="133"/>
      <c r="AV2801" s="133"/>
      <c r="AW2801" s="133"/>
      <c r="AX2801" s="133"/>
      <c r="AY2801" s="133"/>
      <c r="AZ2801" s="133"/>
      <c r="BA2801" s="133"/>
      <c r="BB2801" s="133"/>
      <c r="BC2801" s="133"/>
      <c r="BD2801" s="133"/>
      <c r="BE2801" s="133"/>
      <c r="BF2801" s="133"/>
      <c r="BG2801" s="133"/>
      <c r="BH2801" s="133"/>
      <c r="BI2801" s="133"/>
      <c r="BJ2801" s="133"/>
      <c r="BK2801" s="133"/>
      <c r="BL2801" s="133"/>
      <c r="BM2801" s="133"/>
      <c r="BN2801" s="133"/>
      <c r="BO2801" s="133"/>
      <c r="BP2801" s="133"/>
      <c r="BQ2801" s="133"/>
    </row>
    <row r="2802">
      <c r="A2802" s="194" t="s">
        <v>7446</v>
      </c>
      <c r="B2802" s="125"/>
      <c r="C2802" s="195">
        <v>43739.0</v>
      </c>
      <c r="D2802" s="133"/>
      <c r="E2802" s="124" t="s">
        <v>41</v>
      </c>
      <c r="F2802" s="198">
        <v>1.0</v>
      </c>
      <c r="G2802" s="124">
        <v>1.0</v>
      </c>
      <c r="H2802" s="303">
        <v>1.0</v>
      </c>
      <c r="I2802" s="124" t="s">
        <v>33</v>
      </c>
      <c r="J2802" s="124" t="s">
        <v>147</v>
      </c>
      <c r="K2802" s="133"/>
      <c r="L2802" s="124" t="s">
        <v>35</v>
      </c>
      <c r="M2802" s="242" t="s">
        <v>7445</v>
      </c>
      <c r="N2802" s="233"/>
      <c r="O2802" s="124"/>
      <c r="P2802" s="133"/>
      <c r="Q2802" s="124"/>
      <c r="R2802" s="128"/>
      <c r="S2802" s="37"/>
      <c r="T2802" s="38"/>
      <c r="U2802" s="38"/>
      <c r="V2802" s="124" t="s">
        <v>33</v>
      </c>
      <c r="W2802" s="233"/>
      <c r="X2802" s="233"/>
      <c r="Y2802" s="233"/>
      <c r="Z2802" s="133"/>
      <c r="AA2802" s="133"/>
      <c r="AB2802" s="133"/>
      <c r="AC2802" s="133"/>
      <c r="AD2802" s="133"/>
      <c r="AE2802" s="133"/>
      <c r="AF2802" s="133"/>
      <c r="AG2802" s="133"/>
      <c r="AH2802" s="133"/>
      <c r="AI2802" s="133"/>
      <c r="AJ2802" s="133"/>
      <c r="AK2802" s="133"/>
      <c r="AL2802" s="133"/>
      <c r="AM2802" s="133"/>
      <c r="AN2802" s="133"/>
      <c r="AO2802" s="133"/>
      <c r="AP2802" s="133"/>
      <c r="AQ2802" s="133"/>
      <c r="AR2802" s="133"/>
      <c r="AS2802" s="133"/>
      <c r="AT2802" s="133"/>
      <c r="AU2802" s="133"/>
      <c r="AV2802" s="133"/>
      <c r="AW2802" s="133"/>
      <c r="AX2802" s="133"/>
      <c r="AY2802" s="133"/>
      <c r="AZ2802" s="133"/>
      <c r="BA2802" s="133"/>
      <c r="BB2802" s="133"/>
      <c r="BC2802" s="133"/>
      <c r="BD2802" s="133"/>
      <c r="BE2802" s="133"/>
      <c r="BF2802" s="133"/>
      <c r="BG2802" s="133"/>
      <c r="BH2802" s="133"/>
      <c r="BI2802" s="133"/>
      <c r="BJ2802" s="133"/>
      <c r="BK2802" s="133"/>
      <c r="BL2802" s="133"/>
      <c r="BM2802" s="133"/>
      <c r="BN2802" s="133"/>
      <c r="BO2802" s="133"/>
      <c r="BP2802" s="133"/>
      <c r="BQ2802" s="133"/>
    </row>
    <row r="2803">
      <c r="A2803" s="194" t="s">
        <v>7447</v>
      </c>
      <c r="B2803" s="125"/>
      <c r="C2803" s="195">
        <v>43739.0</v>
      </c>
      <c r="D2803" s="133"/>
      <c r="E2803" s="124" t="s">
        <v>31</v>
      </c>
      <c r="F2803" s="198">
        <v>1.0</v>
      </c>
      <c r="G2803" s="124">
        <v>2.0</v>
      </c>
      <c r="H2803" s="303">
        <v>2.0</v>
      </c>
      <c r="I2803" s="124" t="s">
        <v>33</v>
      </c>
      <c r="J2803" s="124" t="s">
        <v>85</v>
      </c>
      <c r="K2803" s="133"/>
      <c r="L2803" s="124" t="s">
        <v>76</v>
      </c>
      <c r="M2803" s="242" t="s">
        <v>7448</v>
      </c>
      <c r="N2803" s="219" t="s">
        <v>7449</v>
      </c>
      <c r="O2803" s="124"/>
      <c r="P2803" s="133"/>
      <c r="Q2803" s="124"/>
      <c r="R2803" s="128"/>
      <c r="S2803" s="37"/>
      <c r="T2803" s="38"/>
      <c r="U2803" s="38"/>
      <c r="V2803" s="124" t="s">
        <v>33</v>
      </c>
      <c r="W2803" s="219" t="s">
        <v>7450</v>
      </c>
      <c r="X2803" s="219" t="s">
        <v>7451</v>
      </c>
      <c r="Y2803" s="233"/>
      <c r="Z2803" s="133"/>
      <c r="AA2803" s="133"/>
      <c r="AB2803" s="133"/>
      <c r="AC2803" s="133"/>
      <c r="AD2803" s="133"/>
      <c r="AE2803" s="133"/>
      <c r="AF2803" s="133"/>
      <c r="AG2803" s="133"/>
      <c r="AH2803" s="133"/>
      <c r="AI2803" s="133"/>
      <c r="AJ2803" s="133"/>
      <c r="AK2803" s="133"/>
      <c r="AL2803" s="133"/>
      <c r="AM2803" s="133"/>
      <c r="AN2803" s="133"/>
      <c r="AO2803" s="133"/>
      <c r="AP2803" s="133"/>
      <c r="AQ2803" s="133"/>
      <c r="AR2803" s="133"/>
      <c r="AS2803" s="133"/>
      <c r="AT2803" s="133"/>
      <c r="AU2803" s="133"/>
      <c r="AV2803" s="133"/>
      <c r="AW2803" s="133"/>
      <c r="AX2803" s="133"/>
      <c r="AY2803" s="133"/>
      <c r="AZ2803" s="133"/>
      <c r="BA2803" s="133"/>
      <c r="BB2803" s="133"/>
      <c r="BC2803" s="133"/>
      <c r="BD2803" s="133"/>
      <c r="BE2803" s="133"/>
      <c r="BF2803" s="133"/>
      <c r="BG2803" s="133"/>
      <c r="BH2803" s="133"/>
      <c r="BI2803" s="133"/>
      <c r="BJ2803" s="133"/>
      <c r="BK2803" s="133"/>
      <c r="BL2803" s="133"/>
      <c r="BM2803" s="133"/>
      <c r="BN2803" s="133"/>
      <c r="BO2803" s="133"/>
      <c r="BP2803" s="133"/>
      <c r="BQ2803" s="133"/>
    </row>
    <row r="2804">
      <c r="A2804" s="194" t="s">
        <v>7452</v>
      </c>
      <c r="B2804" s="125"/>
      <c r="C2804" s="195">
        <v>43739.0</v>
      </c>
      <c r="D2804" s="133"/>
      <c r="E2804" s="124" t="s">
        <v>41</v>
      </c>
      <c r="F2804" s="198">
        <v>1.0</v>
      </c>
      <c r="G2804" s="124" t="s">
        <v>32</v>
      </c>
      <c r="H2804" s="303">
        <v>1.0</v>
      </c>
      <c r="I2804" s="124" t="s">
        <v>33</v>
      </c>
      <c r="J2804" s="124" t="s">
        <v>222</v>
      </c>
      <c r="K2804" s="133"/>
      <c r="L2804" s="124" t="s">
        <v>35</v>
      </c>
      <c r="M2804" s="242" t="s">
        <v>7453</v>
      </c>
      <c r="N2804" s="233"/>
      <c r="O2804" s="124"/>
      <c r="P2804" s="133"/>
      <c r="Q2804" s="124"/>
      <c r="R2804" s="128"/>
      <c r="S2804" s="37"/>
      <c r="T2804" s="38"/>
      <c r="U2804" s="38" t="b">
        <f>countif(A$4:A4658, A2804)&gt;1</f>
        <v>0</v>
      </c>
      <c r="V2804" s="124" t="s">
        <v>33</v>
      </c>
      <c r="W2804" s="138"/>
      <c r="X2804" s="138"/>
      <c r="Y2804" s="233"/>
      <c r="Z2804" s="133"/>
      <c r="AA2804" s="133"/>
      <c r="AB2804" s="133"/>
      <c r="AC2804" s="133"/>
      <c r="AD2804" s="133"/>
      <c r="AE2804" s="133"/>
      <c r="AF2804" s="133"/>
      <c r="AG2804" s="133"/>
      <c r="AH2804" s="133"/>
      <c r="AI2804" s="133"/>
      <c r="AJ2804" s="133"/>
      <c r="AK2804" s="133"/>
      <c r="AL2804" s="133"/>
      <c r="AM2804" s="133"/>
      <c r="AN2804" s="133"/>
      <c r="AO2804" s="133"/>
      <c r="AP2804" s="133"/>
      <c r="AQ2804" s="133"/>
      <c r="AR2804" s="133"/>
      <c r="AS2804" s="133"/>
      <c r="AT2804" s="133"/>
      <c r="AU2804" s="133"/>
      <c r="AV2804" s="133"/>
      <c r="AW2804" s="133"/>
      <c r="AX2804" s="133"/>
      <c r="AY2804" s="133"/>
      <c r="AZ2804" s="133"/>
      <c r="BA2804" s="133"/>
      <c r="BB2804" s="133"/>
      <c r="BC2804" s="133"/>
      <c r="BD2804" s="133"/>
      <c r="BE2804" s="133"/>
      <c r="BF2804" s="133"/>
      <c r="BG2804" s="133"/>
      <c r="BH2804" s="133"/>
      <c r="BI2804" s="133"/>
      <c r="BJ2804" s="133"/>
      <c r="BK2804" s="133"/>
      <c r="BL2804" s="133"/>
      <c r="BM2804" s="133"/>
      <c r="BN2804" s="133"/>
      <c r="BO2804" s="133"/>
      <c r="BP2804" s="133"/>
      <c r="BQ2804" s="133"/>
    </row>
    <row r="2805">
      <c r="A2805" s="194" t="s">
        <v>7454</v>
      </c>
      <c r="B2805" s="125"/>
      <c r="C2805" s="195">
        <v>43739.0</v>
      </c>
      <c r="D2805" s="133"/>
      <c r="E2805" s="124" t="s">
        <v>41</v>
      </c>
      <c r="F2805" s="198">
        <v>1.0</v>
      </c>
      <c r="G2805" s="124" t="s">
        <v>32</v>
      </c>
      <c r="H2805" s="303">
        <v>1.0</v>
      </c>
      <c r="I2805" s="124" t="s">
        <v>33</v>
      </c>
      <c r="J2805" s="124" t="s">
        <v>222</v>
      </c>
      <c r="K2805" s="133"/>
      <c r="L2805" s="124" t="s">
        <v>69</v>
      </c>
      <c r="M2805" s="242" t="s">
        <v>7455</v>
      </c>
      <c r="N2805" s="233"/>
      <c r="O2805" s="124"/>
      <c r="P2805" s="133"/>
      <c r="Q2805" s="124"/>
      <c r="R2805" s="128"/>
      <c r="S2805" s="37"/>
      <c r="T2805" s="38"/>
      <c r="U2805" s="38"/>
      <c r="V2805" s="124" t="s">
        <v>33</v>
      </c>
      <c r="W2805" s="138"/>
      <c r="X2805" s="138"/>
      <c r="Y2805" s="233"/>
      <c r="Z2805" s="133"/>
      <c r="AA2805" s="133"/>
      <c r="AB2805" s="133"/>
      <c r="AC2805" s="133"/>
      <c r="AD2805" s="133"/>
      <c r="AE2805" s="133"/>
      <c r="AF2805" s="133"/>
      <c r="AG2805" s="133"/>
      <c r="AH2805" s="133"/>
      <c r="AI2805" s="133"/>
      <c r="AJ2805" s="133"/>
      <c r="AK2805" s="133"/>
      <c r="AL2805" s="133"/>
      <c r="AM2805" s="133"/>
      <c r="AN2805" s="133"/>
      <c r="AO2805" s="133"/>
      <c r="AP2805" s="133"/>
      <c r="AQ2805" s="133"/>
      <c r="AR2805" s="133"/>
      <c r="AS2805" s="133"/>
      <c r="AT2805" s="133"/>
      <c r="AU2805" s="133"/>
      <c r="AV2805" s="133"/>
      <c r="AW2805" s="133"/>
      <c r="AX2805" s="133"/>
      <c r="AY2805" s="133"/>
      <c r="AZ2805" s="133"/>
      <c r="BA2805" s="133"/>
      <c r="BB2805" s="133"/>
      <c r="BC2805" s="133"/>
      <c r="BD2805" s="133"/>
      <c r="BE2805" s="133"/>
      <c r="BF2805" s="133"/>
      <c r="BG2805" s="133"/>
      <c r="BH2805" s="133"/>
      <c r="BI2805" s="133"/>
      <c r="BJ2805" s="133"/>
      <c r="BK2805" s="133"/>
      <c r="BL2805" s="133"/>
      <c r="BM2805" s="133"/>
      <c r="BN2805" s="133"/>
      <c r="BO2805" s="133"/>
      <c r="BP2805" s="133"/>
      <c r="BQ2805" s="133"/>
    </row>
    <row r="2806">
      <c r="A2806" s="194" t="s">
        <v>7456</v>
      </c>
      <c r="B2806" s="125"/>
      <c r="C2806" s="195">
        <v>43739.0</v>
      </c>
      <c r="D2806" s="133"/>
      <c r="E2806" s="124" t="s">
        <v>31</v>
      </c>
      <c r="F2806" s="198">
        <v>1.0</v>
      </c>
      <c r="G2806" s="124">
        <v>1.0</v>
      </c>
      <c r="H2806" s="303">
        <v>1.0</v>
      </c>
      <c r="I2806" s="124" t="s">
        <v>33</v>
      </c>
      <c r="J2806" s="124" t="s">
        <v>172</v>
      </c>
      <c r="K2806" s="133"/>
      <c r="L2806" s="124"/>
      <c r="M2806" s="305" t="s">
        <v>7457</v>
      </c>
      <c r="N2806" s="219" t="s">
        <v>7458</v>
      </c>
      <c r="O2806" s="124"/>
      <c r="P2806" s="133"/>
      <c r="Q2806" s="124"/>
      <c r="R2806" s="128"/>
      <c r="S2806" s="37"/>
      <c r="T2806" s="38"/>
      <c r="U2806" s="38"/>
      <c r="V2806" s="124" t="s">
        <v>33</v>
      </c>
      <c r="W2806" s="219" t="s">
        <v>7459</v>
      </c>
      <c r="X2806" s="219" t="s">
        <v>7460</v>
      </c>
      <c r="Y2806" s="233"/>
      <c r="Z2806" s="133"/>
      <c r="AA2806" s="133"/>
      <c r="AB2806" s="133"/>
      <c r="AC2806" s="133"/>
      <c r="AD2806" s="133"/>
      <c r="AE2806" s="133"/>
      <c r="AF2806" s="133"/>
      <c r="AG2806" s="133"/>
      <c r="AH2806" s="133"/>
      <c r="AI2806" s="133"/>
      <c r="AJ2806" s="133"/>
      <c r="AK2806" s="133"/>
      <c r="AL2806" s="133"/>
      <c r="AM2806" s="133"/>
      <c r="AN2806" s="133"/>
      <c r="AO2806" s="133"/>
      <c r="AP2806" s="133"/>
      <c r="AQ2806" s="133"/>
      <c r="AR2806" s="133"/>
      <c r="AS2806" s="133"/>
      <c r="AT2806" s="133"/>
      <c r="AU2806" s="133"/>
      <c r="AV2806" s="133"/>
      <c r="AW2806" s="133"/>
      <c r="AX2806" s="133"/>
      <c r="AY2806" s="133"/>
      <c r="AZ2806" s="133"/>
      <c r="BA2806" s="133"/>
      <c r="BB2806" s="133"/>
      <c r="BC2806" s="133"/>
      <c r="BD2806" s="133"/>
      <c r="BE2806" s="133"/>
      <c r="BF2806" s="133"/>
      <c r="BG2806" s="133"/>
      <c r="BH2806" s="133"/>
      <c r="BI2806" s="133"/>
      <c r="BJ2806" s="133"/>
      <c r="BK2806" s="133"/>
      <c r="BL2806" s="133"/>
      <c r="BM2806" s="133"/>
      <c r="BN2806" s="133"/>
      <c r="BO2806" s="133"/>
      <c r="BP2806" s="133"/>
      <c r="BQ2806" s="133"/>
    </row>
    <row r="2807">
      <c r="A2807" s="194" t="s">
        <v>7461</v>
      </c>
      <c r="B2807" s="125"/>
      <c r="C2807" s="195">
        <v>43739.0</v>
      </c>
      <c r="D2807" s="133"/>
      <c r="E2807" s="124" t="s">
        <v>41</v>
      </c>
      <c r="F2807" s="198">
        <v>1.0</v>
      </c>
      <c r="G2807" s="124" t="s">
        <v>32</v>
      </c>
      <c r="H2807" s="303">
        <v>2.0</v>
      </c>
      <c r="I2807" s="124" t="s">
        <v>33</v>
      </c>
      <c r="J2807" s="124" t="s">
        <v>193</v>
      </c>
      <c r="K2807" s="133"/>
      <c r="L2807" s="124" t="s">
        <v>7462</v>
      </c>
      <c r="M2807" s="305" t="s">
        <v>7463</v>
      </c>
      <c r="N2807" s="233"/>
      <c r="O2807" s="124"/>
      <c r="P2807" s="133"/>
      <c r="Q2807" s="124"/>
      <c r="R2807" s="128"/>
      <c r="S2807" s="37"/>
      <c r="T2807" s="38"/>
      <c r="U2807" s="38"/>
      <c r="V2807" s="124" t="s">
        <v>33</v>
      </c>
      <c r="W2807" s="138"/>
      <c r="X2807" s="138"/>
      <c r="Y2807" s="233"/>
      <c r="Z2807" s="133"/>
      <c r="AA2807" s="133"/>
      <c r="AB2807" s="133"/>
      <c r="AC2807" s="133"/>
      <c r="AD2807" s="133"/>
      <c r="AE2807" s="133"/>
      <c r="AF2807" s="133"/>
      <c r="AG2807" s="133"/>
      <c r="AH2807" s="133"/>
      <c r="AI2807" s="133"/>
      <c r="AJ2807" s="133"/>
      <c r="AK2807" s="133"/>
      <c r="AL2807" s="133"/>
      <c r="AM2807" s="133"/>
      <c r="AN2807" s="133"/>
      <c r="AO2807" s="133"/>
      <c r="AP2807" s="133"/>
      <c r="AQ2807" s="133"/>
      <c r="AR2807" s="133"/>
      <c r="AS2807" s="133"/>
      <c r="AT2807" s="133"/>
      <c r="AU2807" s="133"/>
      <c r="AV2807" s="133"/>
      <c r="AW2807" s="133"/>
      <c r="AX2807" s="133"/>
      <c r="AY2807" s="133"/>
      <c r="AZ2807" s="133"/>
      <c r="BA2807" s="133"/>
      <c r="BB2807" s="133"/>
      <c r="BC2807" s="133"/>
      <c r="BD2807" s="133"/>
      <c r="BE2807" s="133"/>
      <c r="BF2807" s="133"/>
      <c r="BG2807" s="133"/>
      <c r="BH2807" s="133"/>
      <c r="BI2807" s="133"/>
      <c r="BJ2807" s="133"/>
      <c r="BK2807" s="133"/>
      <c r="BL2807" s="133"/>
      <c r="BM2807" s="133"/>
      <c r="BN2807" s="133"/>
      <c r="BO2807" s="133"/>
      <c r="BP2807" s="133"/>
      <c r="BQ2807" s="133"/>
    </row>
    <row r="2808">
      <c r="A2808" s="194" t="s">
        <v>7464</v>
      </c>
      <c r="B2808" s="125"/>
      <c r="C2808" s="195">
        <v>43739.0</v>
      </c>
      <c r="D2808" s="133"/>
      <c r="E2808" s="124" t="s">
        <v>41</v>
      </c>
      <c r="F2808" s="198">
        <v>1.0</v>
      </c>
      <c r="G2808" s="124" t="s">
        <v>32</v>
      </c>
      <c r="H2808" s="303">
        <v>1.0</v>
      </c>
      <c r="I2808" s="124" t="s">
        <v>33</v>
      </c>
      <c r="J2808" s="124" t="s">
        <v>162</v>
      </c>
      <c r="K2808" s="133"/>
      <c r="L2808" s="124" t="s">
        <v>119</v>
      </c>
      <c r="M2808" s="305" t="s">
        <v>7465</v>
      </c>
      <c r="N2808" s="233"/>
      <c r="O2808" s="124"/>
      <c r="P2808" s="133"/>
      <c r="Q2808" s="124">
        <v>1.0</v>
      </c>
      <c r="R2808" s="128"/>
      <c r="S2808" s="37"/>
      <c r="T2808" s="38"/>
      <c r="U2808" s="38"/>
      <c r="V2808" s="124" t="s">
        <v>33</v>
      </c>
      <c r="W2808" s="138"/>
      <c r="X2808" s="138"/>
      <c r="Y2808" s="233"/>
      <c r="Z2808" s="133"/>
      <c r="AA2808" s="133"/>
      <c r="AB2808" s="133"/>
      <c r="AC2808" s="133"/>
      <c r="AD2808" s="133"/>
      <c r="AE2808" s="133"/>
      <c r="AF2808" s="133"/>
      <c r="AG2808" s="133"/>
      <c r="AH2808" s="133"/>
      <c r="AI2808" s="133"/>
      <c r="AJ2808" s="133"/>
      <c r="AK2808" s="133"/>
      <c r="AL2808" s="133"/>
      <c r="AM2808" s="133"/>
      <c r="AN2808" s="133"/>
      <c r="AO2808" s="133"/>
      <c r="AP2808" s="133"/>
      <c r="AQ2808" s="133"/>
      <c r="AR2808" s="133"/>
      <c r="AS2808" s="133"/>
      <c r="AT2808" s="133"/>
      <c r="AU2808" s="133"/>
      <c r="AV2808" s="133"/>
      <c r="AW2808" s="133"/>
      <c r="AX2808" s="133"/>
      <c r="AY2808" s="133"/>
      <c r="AZ2808" s="133"/>
      <c r="BA2808" s="133"/>
      <c r="BB2808" s="133"/>
      <c r="BC2808" s="133"/>
      <c r="BD2808" s="133"/>
      <c r="BE2808" s="133"/>
      <c r="BF2808" s="133"/>
      <c r="BG2808" s="133"/>
      <c r="BH2808" s="133"/>
      <c r="BI2808" s="133"/>
      <c r="BJ2808" s="133"/>
      <c r="BK2808" s="133"/>
      <c r="BL2808" s="133"/>
      <c r="BM2808" s="133"/>
      <c r="BN2808" s="133"/>
      <c r="BO2808" s="133"/>
      <c r="BP2808" s="133"/>
      <c r="BQ2808" s="133"/>
    </row>
    <row r="2809">
      <c r="A2809" s="194" t="s">
        <v>7263</v>
      </c>
      <c r="B2809" s="125"/>
      <c r="C2809" s="195">
        <v>43739.0</v>
      </c>
      <c r="D2809" s="133"/>
      <c r="E2809" s="124" t="s">
        <v>41</v>
      </c>
      <c r="F2809" s="198">
        <v>1.0</v>
      </c>
      <c r="G2809" s="124">
        <v>1.0</v>
      </c>
      <c r="H2809" s="303">
        <v>1.0</v>
      </c>
      <c r="I2809" s="124" t="s">
        <v>33</v>
      </c>
      <c r="J2809" s="124" t="s">
        <v>268</v>
      </c>
      <c r="K2809" s="133"/>
      <c r="L2809" s="124" t="s">
        <v>7466</v>
      </c>
      <c r="M2809" s="242" t="s">
        <v>7467</v>
      </c>
      <c r="N2809" s="233"/>
      <c r="O2809" s="173" t="str">
        <f>hyperlink("https://bad-boys.us/?q=ND-OK/4:19-cr-00162", "ND-OK 4:19-cr-00162")</f>
        <v>ND-OK 4:19-cr-00162</v>
      </c>
      <c r="P2809" s="133"/>
      <c r="Q2809" s="124">
        <v>1.0</v>
      </c>
      <c r="R2809" s="128"/>
      <c r="S2809" s="37"/>
      <c r="T2809" s="38"/>
      <c r="U2809" s="38" t="b">
        <f t="shared" ref="U2809:U2810" si="405">countif(A$4:A4658, A2809)&gt;1</f>
        <v>1</v>
      </c>
      <c r="V2809" s="124"/>
      <c r="W2809" s="138"/>
      <c r="X2809" s="138"/>
      <c r="Y2809" s="233"/>
      <c r="Z2809" s="133"/>
      <c r="AA2809" s="133"/>
      <c r="AB2809" s="133"/>
      <c r="AC2809" s="133"/>
      <c r="AD2809" s="133"/>
      <c r="AE2809" s="133"/>
      <c r="AF2809" s="133"/>
      <c r="AG2809" s="133"/>
      <c r="AH2809" s="133"/>
      <c r="AI2809" s="133"/>
      <c r="AJ2809" s="133"/>
      <c r="AK2809" s="133"/>
      <c r="AL2809" s="133"/>
      <c r="AM2809" s="133"/>
      <c r="AN2809" s="133"/>
      <c r="AO2809" s="133"/>
      <c r="AP2809" s="133"/>
      <c r="AQ2809" s="133"/>
      <c r="AR2809" s="133"/>
      <c r="AS2809" s="133"/>
      <c r="AT2809" s="133"/>
      <c r="AU2809" s="133"/>
      <c r="AV2809" s="133"/>
      <c r="AW2809" s="133"/>
      <c r="AX2809" s="133"/>
      <c r="AY2809" s="133"/>
      <c r="AZ2809" s="133"/>
      <c r="BA2809" s="133"/>
      <c r="BB2809" s="133"/>
      <c r="BC2809" s="133"/>
      <c r="BD2809" s="133"/>
      <c r="BE2809" s="133"/>
      <c r="BF2809" s="133"/>
      <c r="BG2809" s="133"/>
      <c r="BH2809" s="133"/>
      <c r="BI2809" s="133"/>
      <c r="BJ2809" s="133"/>
      <c r="BK2809" s="133"/>
      <c r="BL2809" s="133"/>
      <c r="BM2809" s="133"/>
      <c r="BN2809" s="133"/>
      <c r="BO2809" s="133"/>
      <c r="BP2809" s="133"/>
      <c r="BQ2809" s="133"/>
    </row>
    <row r="2810">
      <c r="A2810" s="194" t="s">
        <v>7468</v>
      </c>
      <c r="B2810" s="125"/>
      <c r="C2810" s="126">
        <v>43739.0</v>
      </c>
      <c r="D2810" s="133"/>
      <c r="E2810" s="124" t="s">
        <v>41</v>
      </c>
      <c r="F2810" s="198">
        <v>1.0</v>
      </c>
      <c r="G2810" s="124" t="s">
        <v>32</v>
      </c>
      <c r="H2810" s="303">
        <v>1.0</v>
      </c>
      <c r="I2810" s="124" t="s">
        <v>33</v>
      </c>
      <c r="J2810" s="124" t="s">
        <v>93</v>
      </c>
      <c r="K2810" s="133"/>
      <c r="L2810" s="124" t="s">
        <v>119</v>
      </c>
      <c r="M2810" s="242" t="s">
        <v>7469</v>
      </c>
      <c r="N2810" s="233"/>
      <c r="O2810" s="173" t="str">
        <f>hyperlink("https://bad-boys.us/?q=WD-NY/6:19-cr-06158", "WD-NY 6:19-cr-06158")</f>
        <v>WD-NY 6:19-cr-06158</v>
      </c>
      <c r="P2810" s="133"/>
      <c r="Q2810" s="124">
        <v>1.0</v>
      </c>
      <c r="R2810" s="128"/>
      <c r="S2810" s="37"/>
      <c r="T2810" s="38"/>
      <c r="U2810" s="38" t="b">
        <f t="shared" si="405"/>
        <v>0</v>
      </c>
      <c r="V2810" s="124" t="s">
        <v>33</v>
      </c>
      <c r="W2810" s="138"/>
      <c r="X2810" s="138"/>
      <c r="Y2810" s="233"/>
      <c r="Z2810" s="133"/>
      <c r="AA2810" s="133"/>
      <c r="AB2810" s="133"/>
      <c r="AC2810" s="133"/>
      <c r="AD2810" s="133"/>
      <c r="AE2810" s="133"/>
      <c r="AF2810" s="133"/>
      <c r="AG2810" s="133"/>
      <c r="AH2810" s="133"/>
      <c r="AI2810" s="133"/>
      <c r="AJ2810" s="133"/>
      <c r="AK2810" s="133"/>
      <c r="AL2810" s="133"/>
      <c r="AM2810" s="133"/>
      <c r="AN2810" s="133"/>
      <c r="AO2810" s="133"/>
      <c r="AP2810" s="133"/>
      <c r="AQ2810" s="133"/>
      <c r="AR2810" s="133"/>
      <c r="AS2810" s="133"/>
      <c r="AT2810" s="133"/>
      <c r="AU2810" s="133"/>
      <c r="AV2810" s="133"/>
      <c r="AW2810" s="133"/>
      <c r="AX2810" s="133"/>
      <c r="AY2810" s="133"/>
      <c r="AZ2810" s="133"/>
      <c r="BA2810" s="133"/>
      <c r="BB2810" s="133"/>
      <c r="BC2810" s="133"/>
      <c r="BD2810" s="133"/>
      <c r="BE2810" s="133"/>
      <c r="BF2810" s="133"/>
      <c r="BG2810" s="133"/>
      <c r="BH2810" s="133"/>
      <c r="BI2810" s="133"/>
      <c r="BJ2810" s="133"/>
      <c r="BK2810" s="133"/>
      <c r="BL2810" s="133"/>
      <c r="BM2810" s="133"/>
      <c r="BN2810" s="133"/>
      <c r="BO2810" s="133"/>
      <c r="BP2810" s="133"/>
      <c r="BQ2810" s="133"/>
    </row>
    <row r="2811">
      <c r="A2811" s="194" t="s">
        <v>7470</v>
      </c>
      <c r="B2811" s="125"/>
      <c r="C2811" s="126">
        <v>43739.0</v>
      </c>
      <c r="D2811" s="133"/>
      <c r="E2811" s="124" t="s">
        <v>41</v>
      </c>
      <c r="F2811" s="198">
        <v>1.0</v>
      </c>
      <c r="G2811" s="124" t="s">
        <v>32</v>
      </c>
      <c r="H2811" s="303">
        <v>1.0</v>
      </c>
      <c r="I2811" s="124" t="s">
        <v>33</v>
      </c>
      <c r="J2811" s="124" t="s">
        <v>147</v>
      </c>
      <c r="K2811" s="133"/>
      <c r="L2811" s="124" t="s">
        <v>76</v>
      </c>
      <c r="M2811" s="305" t="s">
        <v>7471</v>
      </c>
      <c r="N2811" s="233"/>
      <c r="O2811" s="124"/>
      <c r="P2811" s="133"/>
      <c r="Q2811" s="124"/>
      <c r="R2811" s="128"/>
      <c r="S2811" s="37"/>
      <c r="T2811" s="38"/>
      <c r="U2811" s="38"/>
      <c r="V2811" s="124" t="s">
        <v>33</v>
      </c>
      <c r="W2811" s="138"/>
      <c r="X2811" s="138"/>
      <c r="Y2811" s="233"/>
      <c r="Z2811" s="133"/>
      <c r="AA2811" s="133"/>
      <c r="AB2811" s="133"/>
      <c r="AC2811" s="133"/>
      <c r="AD2811" s="133"/>
      <c r="AE2811" s="133"/>
      <c r="AF2811" s="133"/>
      <c r="AG2811" s="133"/>
      <c r="AH2811" s="133"/>
      <c r="AI2811" s="133"/>
      <c r="AJ2811" s="133"/>
      <c r="AK2811" s="133"/>
      <c r="AL2811" s="133"/>
      <c r="AM2811" s="133"/>
      <c r="AN2811" s="133"/>
      <c r="AO2811" s="133"/>
      <c r="AP2811" s="133"/>
      <c r="AQ2811" s="133"/>
      <c r="AR2811" s="133"/>
      <c r="AS2811" s="133"/>
      <c r="AT2811" s="133"/>
      <c r="AU2811" s="133"/>
      <c r="AV2811" s="133"/>
      <c r="AW2811" s="133"/>
      <c r="AX2811" s="133"/>
      <c r="AY2811" s="133"/>
      <c r="AZ2811" s="133"/>
      <c r="BA2811" s="133"/>
      <c r="BB2811" s="133"/>
      <c r="BC2811" s="133"/>
      <c r="BD2811" s="133"/>
      <c r="BE2811" s="133"/>
      <c r="BF2811" s="133"/>
      <c r="BG2811" s="133"/>
      <c r="BH2811" s="133"/>
      <c r="BI2811" s="133"/>
      <c r="BJ2811" s="133"/>
      <c r="BK2811" s="133"/>
      <c r="BL2811" s="133"/>
      <c r="BM2811" s="133"/>
      <c r="BN2811" s="133"/>
      <c r="BO2811" s="133"/>
      <c r="BP2811" s="133"/>
      <c r="BQ2811" s="133"/>
    </row>
    <row r="2812">
      <c r="A2812" s="194" t="s">
        <v>7472</v>
      </c>
      <c r="B2812" s="125"/>
      <c r="C2812" s="126">
        <v>43739.0</v>
      </c>
      <c r="D2812" s="133"/>
      <c r="E2812" s="124" t="s">
        <v>41</v>
      </c>
      <c r="F2812" s="198">
        <v>1.0</v>
      </c>
      <c r="G2812" s="124" t="s">
        <v>32</v>
      </c>
      <c r="H2812" s="303">
        <v>1.0</v>
      </c>
      <c r="I2812" s="124" t="s">
        <v>33</v>
      </c>
      <c r="J2812" s="124" t="s">
        <v>147</v>
      </c>
      <c r="K2812" s="133"/>
      <c r="L2812" s="124" t="s">
        <v>76</v>
      </c>
      <c r="M2812" s="242" t="s">
        <v>7471</v>
      </c>
      <c r="N2812" s="233"/>
      <c r="O2812" s="124"/>
      <c r="P2812" s="133"/>
      <c r="Q2812" s="124"/>
      <c r="R2812" s="128"/>
      <c r="S2812" s="37"/>
      <c r="T2812" s="38"/>
      <c r="U2812" s="38"/>
      <c r="V2812" s="124" t="s">
        <v>33</v>
      </c>
      <c r="W2812" s="138"/>
      <c r="X2812" s="138"/>
      <c r="Y2812" s="233"/>
      <c r="Z2812" s="133"/>
      <c r="AA2812" s="133"/>
      <c r="AB2812" s="133"/>
      <c r="AC2812" s="133"/>
      <c r="AD2812" s="133"/>
      <c r="AE2812" s="133"/>
      <c r="AF2812" s="133"/>
      <c r="AG2812" s="133"/>
      <c r="AH2812" s="133"/>
      <c r="AI2812" s="133"/>
      <c r="AJ2812" s="133"/>
      <c r="AK2812" s="133"/>
      <c r="AL2812" s="133"/>
      <c r="AM2812" s="133"/>
      <c r="AN2812" s="133"/>
      <c r="AO2812" s="133"/>
      <c r="AP2812" s="133"/>
      <c r="AQ2812" s="133"/>
      <c r="AR2812" s="133"/>
      <c r="AS2812" s="133"/>
      <c r="AT2812" s="133"/>
      <c r="AU2812" s="133"/>
      <c r="AV2812" s="133"/>
      <c r="AW2812" s="133"/>
      <c r="AX2812" s="133"/>
      <c r="AY2812" s="133"/>
      <c r="AZ2812" s="133"/>
      <c r="BA2812" s="133"/>
      <c r="BB2812" s="133"/>
      <c r="BC2812" s="133"/>
      <c r="BD2812" s="133"/>
      <c r="BE2812" s="133"/>
      <c r="BF2812" s="133"/>
      <c r="BG2812" s="133"/>
      <c r="BH2812" s="133"/>
      <c r="BI2812" s="133"/>
      <c r="BJ2812" s="133"/>
      <c r="BK2812" s="133"/>
      <c r="BL2812" s="133"/>
      <c r="BM2812" s="133"/>
      <c r="BN2812" s="133"/>
      <c r="BO2812" s="133"/>
      <c r="BP2812" s="133"/>
      <c r="BQ2812" s="133"/>
    </row>
    <row r="2813">
      <c r="A2813" s="194" t="s">
        <v>7473</v>
      </c>
      <c r="B2813" s="125"/>
      <c r="C2813" s="126">
        <v>43739.0</v>
      </c>
      <c r="D2813" s="133"/>
      <c r="E2813" s="124" t="s">
        <v>41</v>
      </c>
      <c r="F2813" s="198">
        <v>1.0</v>
      </c>
      <c r="G2813" s="124" t="s">
        <v>32</v>
      </c>
      <c r="H2813" s="303">
        <v>1.0</v>
      </c>
      <c r="I2813" s="124" t="s">
        <v>33</v>
      </c>
      <c r="J2813" s="124" t="s">
        <v>402</v>
      </c>
      <c r="K2813" s="133"/>
      <c r="L2813" s="124" t="s">
        <v>119</v>
      </c>
      <c r="M2813" s="242" t="s">
        <v>7474</v>
      </c>
      <c r="N2813" s="233"/>
      <c r="O2813" s="124"/>
      <c r="P2813" s="133"/>
      <c r="Q2813" s="124"/>
      <c r="R2813" s="128"/>
      <c r="S2813" s="37"/>
      <c r="T2813" s="38"/>
      <c r="U2813" s="38"/>
      <c r="V2813" s="124" t="s">
        <v>33</v>
      </c>
      <c r="W2813" s="138"/>
      <c r="X2813" s="138"/>
      <c r="Y2813" s="233"/>
      <c r="Z2813" s="133"/>
      <c r="AA2813" s="133"/>
      <c r="AB2813" s="133"/>
      <c r="AC2813" s="133"/>
      <c r="AD2813" s="133"/>
      <c r="AE2813" s="133"/>
      <c r="AF2813" s="133"/>
      <c r="AG2813" s="133"/>
      <c r="AH2813" s="133"/>
      <c r="AI2813" s="133"/>
      <c r="AJ2813" s="133"/>
      <c r="AK2813" s="133"/>
      <c r="AL2813" s="133"/>
      <c r="AM2813" s="133"/>
      <c r="AN2813" s="133"/>
      <c r="AO2813" s="133"/>
      <c r="AP2813" s="133"/>
      <c r="AQ2813" s="133"/>
      <c r="AR2813" s="133"/>
      <c r="AS2813" s="133"/>
      <c r="AT2813" s="133"/>
      <c r="AU2813" s="133"/>
      <c r="AV2813" s="133"/>
      <c r="AW2813" s="133"/>
      <c r="AX2813" s="133"/>
      <c r="AY2813" s="133"/>
      <c r="AZ2813" s="133"/>
      <c r="BA2813" s="133"/>
      <c r="BB2813" s="133"/>
      <c r="BC2813" s="133"/>
      <c r="BD2813" s="133"/>
      <c r="BE2813" s="133"/>
      <c r="BF2813" s="133"/>
      <c r="BG2813" s="133"/>
      <c r="BH2813" s="133"/>
      <c r="BI2813" s="133"/>
      <c r="BJ2813" s="133"/>
      <c r="BK2813" s="133"/>
      <c r="BL2813" s="133"/>
      <c r="BM2813" s="133"/>
      <c r="BN2813" s="133"/>
      <c r="BO2813" s="133"/>
      <c r="BP2813" s="133"/>
      <c r="BQ2813" s="133"/>
    </row>
    <row r="2814">
      <c r="A2814" s="194" t="s">
        <v>7475</v>
      </c>
      <c r="B2814" s="125"/>
      <c r="C2814" s="126">
        <v>43740.0</v>
      </c>
      <c r="D2814" s="133"/>
      <c r="E2814" s="124" t="s">
        <v>41</v>
      </c>
      <c r="F2814" s="198">
        <v>1.0</v>
      </c>
      <c r="G2814" s="124" t="s">
        <v>32</v>
      </c>
      <c r="H2814" s="303">
        <v>1.0</v>
      </c>
      <c r="I2814" s="124" t="s">
        <v>33</v>
      </c>
      <c r="J2814" s="124" t="s">
        <v>279</v>
      </c>
      <c r="K2814" s="133"/>
      <c r="L2814" s="124" t="s">
        <v>119</v>
      </c>
      <c r="M2814" s="242" t="s">
        <v>7476</v>
      </c>
      <c r="N2814" s="233"/>
      <c r="O2814" s="124"/>
      <c r="P2814" s="133"/>
      <c r="Q2814" s="124"/>
      <c r="R2814" s="128"/>
      <c r="S2814" s="37"/>
      <c r="T2814" s="38"/>
      <c r="U2814" s="38"/>
      <c r="V2814" s="124" t="s">
        <v>33</v>
      </c>
      <c r="W2814" s="138"/>
      <c r="X2814" s="138"/>
      <c r="Y2814" s="233"/>
      <c r="Z2814" s="133"/>
      <c r="AA2814" s="133"/>
      <c r="AB2814" s="133"/>
      <c r="AC2814" s="133"/>
      <c r="AD2814" s="133"/>
      <c r="AE2814" s="133"/>
      <c r="AF2814" s="133"/>
      <c r="AG2814" s="133"/>
      <c r="AH2814" s="133"/>
      <c r="AI2814" s="133"/>
      <c r="AJ2814" s="133"/>
      <c r="AK2814" s="133"/>
      <c r="AL2814" s="133"/>
      <c r="AM2814" s="133"/>
      <c r="AN2814" s="133"/>
      <c r="AO2814" s="133"/>
      <c r="AP2814" s="133"/>
      <c r="AQ2814" s="133"/>
      <c r="AR2814" s="133"/>
      <c r="AS2814" s="133"/>
      <c r="AT2814" s="133"/>
      <c r="AU2814" s="133"/>
      <c r="AV2814" s="133"/>
      <c r="AW2814" s="133"/>
      <c r="AX2814" s="133"/>
      <c r="AY2814" s="133"/>
      <c r="AZ2814" s="133"/>
      <c r="BA2814" s="133"/>
      <c r="BB2814" s="133"/>
      <c r="BC2814" s="133"/>
      <c r="BD2814" s="133"/>
      <c r="BE2814" s="133"/>
      <c r="BF2814" s="133"/>
      <c r="BG2814" s="133"/>
      <c r="BH2814" s="133"/>
      <c r="BI2814" s="133"/>
      <c r="BJ2814" s="133"/>
      <c r="BK2814" s="133"/>
      <c r="BL2814" s="133"/>
      <c r="BM2814" s="133"/>
      <c r="BN2814" s="133"/>
      <c r="BO2814" s="133"/>
      <c r="BP2814" s="133"/>
      <c r="BQ2814" s="133"/>
    </row>
    <row r="2815">
      <c r="A2815" s="194" t="s">
        <v>7477</v>
      </c>
      <c r="B2815" s="125"/>
      <c r="C2815" s="126">
        <v>43740.0</v>
      </c>
      <c r="D2815" s="133"/>
      <c r="E2815" s="124" t="s">
        <v>41</v>
      </c>
      <c r="F2815" s="198">
        <v>1.0</v>
      </c>
      <c r="G2815" s="124" t="s">
        <v>32</v>
      </c>
      <c r="H2815" s="303">
        <v>1.0</v>
      </c>
      <c r="I2815" s="124" t="s">
        <v>33</v>
      </c>
      <c r="J2815" s="124" t="s">
        <v>179</v>
      </c>
      <c r="K2815" s="133"/>
      <c r="L2815" s="124" t="s">
        <v>119</v>
      </c>
      <c r="M2815" s="242" t="s">
        <v>7478</v>
      </c>
      <c r="N2815" s="233"/>
      <c r="O2815" s="124"/>
      <c r="P2815" s="133"/>
      <c r="Q2815" s="124">
        <v>1.0</v>
      </c>
      <c r="R2815" s="128"/>
      <c r="S2815" s="37"/>
      <c r="T2815" s="38"/>
      <c r="U2815" s="38"/>
      <c r="V2815" s="124"/>
      <c r="W2815" s="138"/>
      <c r="X2815" s="138"/>
      <c r="Y2815" s="233"/>
      <c r="Z2815" s="133"/>
      <c r="AA2815" s="133"/>
      <c r="AB2815" s="133"/>
      <c r="AC2815" s="133"/>
      <c r="AD2815" s="133"/>
      <c r="AE2815" s="133"/>
      <c r="AF2815" s="133"/>
      <c r="AG2815" s="133"/>
      <c r="AH2815" s="133"/>
      <c r="AI2815" s="133"/>
      <c r="AJ2815" s="133"/>
      <c r="AK2815" s="133"/>
      <c r="AL2815" s="133"/>
      <c r="AM2815" s="133"/>
      <c r="AN2815" s="133"/>
      <c r="AO2815" s="133"/>
      <c r="AP2815" s="133"/>
      <c r="AQ2815" s="133"/>
      <c r="AR2815" s="133"/>
      <c r="AS2815" s="133"/>
      <c r="AT2815" s="133"/>
      <c r="AU2815" s="133"/>
      <c r="AV2815" s="133"/>
      <c r="AW2815" s="133"/>
      <c r="AX2815" s="133"/>
      <c r="AY2815" s="133"/>
      <c r="AZ2815" s="133"/>
      <c r="BA2815" s="133"/>
      <c r="BB2815" s="133"/>
      <c r="BC2815" s="133"/>
      <c r="BD2815" s="133"/>
      <c r="BE2815" s="133"/>
      <c r="BF2815" s="133"/>
      <c r="BG2815" s="133"/>
      <c r="BH2815" s="133"/>
      <c r="BI2815" s="133"/>
      <c r="BJ2815" s="133"/>
      <c r="BK2815" s="133"/>
      <c r="BL2815" s="133"/>
      <c r="BM2815" s="133"/>
      <c r="BN2815" s="133"/>
      <c r="BO2815" s="133"/>
      <c r="BP2815" s="133"/>
      <c r="BQ2815" s="133"/>
    </row>
    <row r="2816">
      <c r="A2816" s="194" t="s">
        <v>7479</v>
      </c>
      <c r="B2816" s="125"/>
      <c r="C2816" s="126">
        <v>43740.0</v>
      </c>
      <c r="D2816" s="133"/>
      <c r="E2816" s="124" t="s">
        <v>41</v>
      </c>
      <c r="F2816" s="198">
        <v>1.0</v>
      </c>
      <c r="G2816" s="124" t="s">
        <v>32</v>
      </c>
      <c r="H2816" s="303">
        <v>1.0</v>
      </c>
      <c r="I2816" s="124" t="s">
        <v>33</v>
      </c>
      <c r="J2816" s="124" t="s">
        <v>279</v>
      </c>
      <c r="K2816" s="133"/>
      <c r="L2816" s="124" t="s">
        <v>69</v>
      </c>
      <c r="M2816" s="242" t="s">
        <v>7480</v>
      </c>
      <c r="N2816" s="233"/>
      <c r="O2816" s="124"/>
      <c r="P2816" s="133"/>
      <c r="Q2816" s="124">
        <v>1.0</v>
      </c>
      <c r="R2816" s="128"/>
      <c r="S2816" s="37"/>
      <c r="T2816" s="38"/>
      <c r="U2816" s="38"/>
      <c r="V2816" s="124" t="s">
        <v>33</v>
      </c>
      <c r="W2816" s="138"/>
      <c r="X2816" s="138"/>
      <c r="Y2816" s="233"/>
      <c r="Z2816" s="133"/>
      <c r="AA2816" s="133"/>
      <c r="AB2816" s="133"/>
      <c r="AC2816" s="133"/>
      <c r="AD2816" s="133"/>
      <c r="AE2816" s="133"/>
      <c r="AF2816" s="133"/>
      <c r="AG2816" s="133"/>
      <c r="AH2816" s="133"/>
      <c r="AI2816" s="133"/>
      <c r="AJ2816" s="133"/>
      <c r="AK2816" s="133"/>
      <c r="AL2816" s="133"/>
      <c r="AM2816" s="133"/>
      <c r="AN2816" s="133"/>
      <c r="AO2816" s="133"/>
      <c r="AP2816" s="133"/>
      <c r="AQ2816" s="133"/>
      <c r="AR2816" s="133"/>
      <c r="AS2816" s="133"/>
      <c r="AT2816" s="133"/>
      <c r="AU2816" s="133"/>
      <c r="AV2816" s="133"/>
      <c r="AW2816" s="133"/>
      <c r="AX2816" s="133"/>
      <c r="AY2816" s="133"/>
      <c r="AZ2816" s="133"/>
      <c r="BA2816" s="133"/>
      <c r="BB2816" s="133"/>
      <c r="BC2816" s="133"/>
      <c r="BD2816" s="133"/>
      <c r="BE2816" s="133"/>
      <c r="BF2816" s="133"/>
      <c r="BG2816" s="133"/>
      <c r="BH2816" s="133"/>
      <c r="BI2816" s="133"/>
      <c r="BJ2816" s="133"/>
      <c r="BK2816" s="133"/>
      <c r="BL2816" s="133"/>
      <c r="BM2816" s="133"/>
      <c r="BN2816" s="133"/>
      <c r="BO2816" s="133"/>
      <c r="BP2816" s="133"/>
      <c r="BQ2816" s="133"/>
    </row>
    <row r="2817">
      <c r="A2817" s="194" t="s">
        <v>7481</v>
      </c>
      <c r="B2817" s="125"/>
      <c r="C2817" s="126">
        <v>43741.0</v>
      </c>
      <c r="D2817" s="133"/>
      <c r="E2817" s="124" t="s">
        <v>41</v>
      </c>
      <c r="F2817" s="198">
        <v>1.0</v>
      </c>
      <c r="G2817" s="124" t="s">
        <v>32</v>
      </c>
      <c r="H2817" s="303">
        <v>1.0</v>
      </c>
      <c r="I2817" s="124" t="s">
        <v>33</v>
      </c>
      <c r="J2817" s="124" t="s">
        <v>47</v>
      </c>
      <c r="K2817" s="133"/>
      <c r="L2817" s="124" t="s">
        <v>76</v>
      </c>
      <c r="M2817" s="242" t="s">
        <v>7482</v>
      </c>
      <c r="N2817" s="233"/>
      <c r="O2817" s="124"/>
      <c r="P2817" s="133"/>
      <c r="Q2817" s="124"/>
      <c r="R2817" s="128"/>
      <c r="S2817" s="37"/>
      <c r="T2817" s="38"/>
      <c r="U2817" s="38" t="b">
        <f>countif(A$4:A4658, A2817)&gt;1</f>
        <v>0</v>
      </c>
      <c r="V2817" s="124" t="s">
        <v>33</v>
      </c>
      <c r="W2817" s="138"/>
      <c r="X2817" s="138"/>
      <c r="Y2817" s="233"/>
      <c r="Z2817" s="133"/>
      <c r="AA2817" s="133"/>
      <c r="AB2817" s="133"/>
      <c r="AC2817" s="133"/>
      <c r="AD2817" s="133"/>
      <c r="AE2817" s="133"/>
      <c r="AF2817" s="133"/>
      <c r="AG2817" s="133"/>
      <c r="AH2817" s="133"/>
      <c r="AI2817" s="133"/>
      <c r="AJ2817" s="133"/>
      <c r="AK2817" s="133"/>
      <c r="AL2817" s="133"/>
      <c r="AM2817" s="133"/>
      <c r="AN2817" s="133"/>
      <c r="AO2817" s="133"/>
      <c r="AP2817" s="133"/>
      <c r="AQ2817" s="133"/>
      <c r="AR2817" s="133"/>
      <c r="AS2817" s="133"/>
      <c r="AT2817" s="133"/>
      <c r="AU2817" s="133"/>
      <c r="AV2817" s="133"/>
      <c r="AW2817" s="133"/>
      <c r="AX2817" s="133"/>
      <c r="AY2817" s="133"/>
      <c r="AZ2817" s="133"/>
      <c r="BA2817" s="133"/>
      <c r="BB2817" s="133"/>
      <c r="BC2817" s="133"/>
      <c r="BD2817" s="133"/>
      <c r="BE2817" s="133"/>
      <c r="BF2817" s="133"/>
      <c r="BG2817" s="133"/>
      <c r="BH2817" s="133"/>
      <c r="BI2817" s="133"/>
      <c r="BJ2817" s="133"/>
      <c r="BK2817" s="133"/>
      <c r="BL2817" s="133"/>
      <c r="BM2817" s="133"/>
      <c r="BN2817" s="133"/>
      <c r="BO2817" s="133"/>
      <c r="BP2817" s="133"/>
      <c r="BQ2817" s="133"/>
    </row>
    <row r="2818">
      <c r="A2818" s="194" t="s">
        <v>7483</v>
      </c>
      <c r="B2818" s="125"/>
      <c r="C2818" s="126">
        <v>43741.0</v>
      </c>
      <c r="D2818" s="133"/>
      <c r="E2818" s="124" t="s">
        <v>41</v>
      </c>
      <c r="F2818" s="198">
        <v>1.0</v>
      </c>
      <c r="G2818" s="124" t="s">
        <v>32</v>
      </c>
      <c r="H2818" s="303">
        <v>1.0</v>
      </c>
      <c r="I2818" s="124" t="s">
        <v>33</v>
      </c>
      <c r="J2818" s="124" t="s">
        <v>410</v>
      </c>
      <c r="K2818" s="133"/>
      <c r="L2818" s="124" t="s">
        <v>69</v>
      </c>
      <c r="M2818" s="242" t="s">
        <v>7484</v>
      </c>
      <c r="N2818" s="233"/>
      <c r="O2818" s="124"/>
      <c r="P2818" s="133"/>
      <c r="Q2818" s="124">
        <v>1.0</v>
      </c>
      <c r="R2818" s="128"/>
      <c r="S2818" s="37"/>
      <c r="T2818" s="38"/>
      <c r="U2818" s="38"/>
      <c r="V2818" s="124" t="s">
        <v>33</v>
      </c>
      <c r="W2818" s="138"/>
      <c r="X2818" s="138"/>
      <c r="Y2818" s="233"/>
      <c r="Z2818" s="133"/>
      <c r="AA2818" s="133"/>
      <c r="AB2818" s="133"/>
      <c r="AC2818" s="133"/>
      <c r="AD2818" s="133"/>
      <c r="AE2818" s="133"/>
      <c r="AF2818" s="133"/>
      <c r="AG2818" s="133"/>
      <c r="AH2818" s="133"/>
      <c r="AI2818" s="133"/>
      <c r="AJ2818" s="133"/>
      <c r="AK2818" s="133"/>
      <c r="AL2818" s="133"/>
      <c r="AM2818" s="133"/>
      <c r="AN2818" s="133"/>
      <c r="AO2818" s="133"/>
      <c r="AP2818" s="133"/>
      <c r="AQ2818" s="133"/>
      <c r="AR2818" s="133"/>
      <c r="AS2818" s="133"/>
      <c r="AT2818" s="133"/>
      <c r="AU2818" s="133"/>
      <c r="AV2818" s="133"/>
      <c r="AW2818" s="133"/>
      <c r="AX2818" s="133"/>
      <c r="AY2818" s="133"/>
      <c r="AZ2818" s="133"/>
      <c r="BA2818" s="133"/>
      <c r="BB2818" s="133"/>
      <c r="BC2818" s="133"/>
      <c r="BD2818" s="133"/>
      <c r="BE2818" s="133"/>
      <c r="BF2818" s="133"/>
      <c r="BG2818" s="133"/>
      <c r="BH2818" s="133"/>
      <c r="BI2818" s="133"/>
      <c r="BJ2818" s="133"/>
      <c r="BK2818" s="133"/>
      <c r="BL2818" s="133"/>
      <c r="BM2818" s="133"/>
      <c r="BN2818" s="133"/>
      <c r="BO2818" s="133"/>
      <c r="BP2818" s="133"/>
      <c r="BQ2818" s="133"/>
    </row>
    <row r="2819">
      <c r="A2819" s="194" t="s">
        <v>7485</v>
      </c>
      <c r="B2819" s="125"/>
      <c r="C2819" s="126">
        <v>43741.0</v>
      </c>
      <c r="D2819" s="133"/>
      <c r="E2819" s="124" t="s">
        <v>41</v>
      </c>
      <c r="F2819" s="198">
        <v>1.0</v>
      </c>
      <c r="G2819" s="124">
        <v>2.0</v>
      </c>
      <c r="H2819" s="303">
        <v>2.0</v>
      </c>
      <c r="I2819" s="124" t="s">
        <v>33</v>
      </c>
      <c r="J2819" s="124" t="s">
        <v>106</v>
      </c>
      <c r="K2819" s="133"/>
      <c r="L2819" s="124" t="s">
        <v>76</v>
      </c>
      <c r="M2819" s="242" t="s">
        <v>7486</v>
      </c>
      <c r="N2819" s="233"/>
      <c r="O2819" s="173" t="str">
        <f>hyperlink("https://bad-boys.us/?q=D-MD/1:19-cr-00466", "D-MD 1:19-cr-00466")</f>
        <v>D-MD 1:19-cr-00466</v>
      </c>
      <c r="P2819" s="133"/>
      <c r="Q2819" s="124">
        <v>1.0</v>
      </c>
      <c r="R2819" s="128"/>
      <c r="S2819" s="37"/>
      <c r="T2819" s="38"/>
      <c r="U2819" s="38"/>
      <c r="V2819" s="124" t="s">
        <v>33</v>
      </c>
      <c r="W2819" s="138"/>
      <c r="X2819" s="138"/>
      <c r="Y2819" s="233"/>
      <c r="Z2819" s="133"/>
      <c r="AA2819" s="133"/>
      <c r="AB2819" s="133"/>
      <c r="AC2819" s="133"/>
      <c r="AD2819" s="133"/>
      <c r="AE2819" s="133"/>
      <c r="AF2819" s="133"/>
      <c r="AG2819" s="133"/>
      <c r="AH2819" s="133"/>
      <c r="AI2819" s="133"/>
      <c r="AJ2819" s="133"/>
      <c r="AK2819" s="133"/>
      <c r="AL2819" s="133"/>
      <c r="AM2819" s="133"/>
      <c r="AN2819" s="133"/>
      <c r="AO2819" s="133"/>
      <c r="AP2819" s="133"/>
      <c r="AQ2819" s="133"/>
      <c r="AR2819" s="133"/>
      <c r="AS2819" s="133"/>
      <c r="AT2819" s="133"/>
      <c r="AU2819" s="133"/>
      <c r="AV2819" s="133"/>
      <c r="AW2819" s="133"/>
      <c r="AX2819" s="133"/>
      <c r="AY2819" s="133"/>
      <c r="AZ2819" s="133"/>
      <c r="BA2819" s="133"/>
      <c r="BB2819" s="133"/>
      <c r="BC2819" s="133"/>
      <c r="BD2819" s="133"/>
      <c r="BE2819" s="133"/>
      <c r="BF2819" s="133"/>
      <c r="BG2819" s="133"/>
      <c r="BH2819" s="133"/>
      <c r="BI2819" s="133"/>
      <c r="BJ2819" s="133"/>
      <c r="BK2819" s="133"/>
      <c r="BL2819" s="133"/>
      <c r="BM2819" s="133"/>
      <c r="BN2819" s="133"/>
      <c r="BO2819" s="133"/>
      <c r="BP2819" s="133"/>
      <c r="BQ2819" s="133"/>
    </row>
    <row r="2820">
      <c r="A2820" s="194" t="s">
        <v>7487</v>
      </c>
      <c r="B2820" s="125"/>
      <c r="C2820" s="126">
        <v>43742.0</v>
      </c>
      <c r="D2820" s="133"/>
      <c r="E2820" s="124" t="s">
        <v>41</v>
      </c>
      <c r="F2820" s="198">
        <v>1.0</v>
      </c>
      <c r="G2820" s="124" t="s">
        <v>32</v>
      </c>
      <c r="H2820" s="303">
        <v>1.0</v>
      </c>
      <c r="I2820" s="124" t="s">
        <v>33</v>
      </c>
      <c r="J2820" s="124" t="s">
        <v>440</v>
      </c>
      <c r="K2820" s="133"/>
      <c r="L2820" s="124" t="s">
        <v>119</v>
      </c>
      <c r="M2820" s="242" t="s">
        <v>7488</v>
      </c>
      <c r="N2820" s="233"/>
      <c r="O2820" s="173" t="str">
        <f>hyperlink("https://bad-boys.us/?q=D-CT/3:19-cr-00249", "D-CT 3:19-cr-00249")</f>
        <v>D-CT 3:19-cr-00249</v>
      </c>
      <c r="P2820" s="133"/>
      <c r="Q2820" s="124">
        <v>1.0</v>
      </c>
      <c r="R2820" s="128"/>
      <c r="S2820" s="37"/>
      <c r="T2820" s="38"/>
      <c r="U2820" s="38" t="b">
        <f t="shared" ref="U2820:U2822" si="406">countif(A$4:A4658, A2820)&gt;1</f>
        <v>0</v>
      </c>
      <c r="V2820" s="124" t="s">
        <v>33</v>
      </c>
      <c r="W2820" s="138"/>
      <c r="X2820" s="138"/>
      <c r="Y2820" s="233"/>
      <c r="Z2820" s="133"/>
      <c r="AA2820" s="133"/>
      <c r="AB2820" s="133"/>
      <c r="AC2820" s="133"/>
      <c r="AD2820" s="133"/>
      <c r="AE2820" s="133"/>
      <c r="AF2820" s="133"/>
      <c r="AG2820" s="133"/>
      <c r="AH2820" s="133"/>
      <c r="AI2820" s="133"/>
      <c r="AJ2820" s="133"/>
      <c r="AK2820" s="133"/>
      <c r="AL2820" s="133"/>
      <c r="AM2820" s="133"/>
      <c r="AN2820" s="133"/>
      <c r="AO2820" s="133"/>
      <c r="AP2820" s="133"/>
      <c r="AQ2820" s="133"/>
      <c r="AR2820" s="133"/>
      <c r="AS2820" s="133"/>
      <c r="AT2820" s="133"/>
      <c r="AU2820" s="133"/>
      <c r="AV2820" s="133"/>
      <c r="AW2820" s="133"/>
      <c r="AX2820" s="133"/>
      <c r="AY2820" s="133"/>
      <c r="AZ2820" s="133"/>
      <c r="BA2820" s="133"/>
      <c r="BB2820" s="133"/>
      <c r="BC2820" s="133"/>
      <c r="BD2820" s="133"/>
      <c r="BE2820" s="133"/>
      <c r="BF2820" s="133"/>
      <c r="BG2820" s="133"/>
      <c r="BH2820" s="133"/>
      <c r="BI2820" s="133"/>
      <c r="BJ2820" s="133"/>
      <c r="BK2820" s="133"/>
      <c r="BL2820" s="133"/>
      <c r="BM2820" s="133"/>
      <c r="BN2820" s="133"/>
      <c r="BO2820" s="133"/>
      <c r="BP2820" s="133"/>
      <c r="BQ2820" s="133"/>
    </row>
    <row r="2821">
      <c r="A2821" s="194" t="s">
        <v>7489</v>
      </c>
      <c r="B2821" s="125"/>
      <c r="C2821" s="126">
        <v>43742.0</v>
      </c>
      <c r="D2821" s="133"/>
      <c r="E2821" s="124" t="s">
        <v>41</v>
      </c>
      <c r="F2821" s="198">
        <v>1.0</v>
      </c>
      <c r="G2821" s="124" t="s">
        <v>32</v>
      </c>
      <c r="H2821" s="303">
        <v>1.0</v>
      </c>
      <c r="I2821" s="124" t="s">
        <v>33</v>
      </c>
      <c r="J2821" s="124" t="s">
        <v>93</v>
      </c>
      <c r="K2821" s="133"/>
      <c r="L2821" s="124" t="s">
        <v>119</v>
      </c>
      <c r="M2821" s="242" t="s">
        <v>7490</v>
      </c>
      <c r="N2821" s="233"/>
      <c r="O2821" s="173" t="str">
        <f>hyperlink("https://bad-boys.us/?q=WD-NY/6:19-cr-06154", "WD-NY 6:19-cr-06154")</f>
        <v>WD-NY 6:19-cr-06154</v>
      </c>
      <c r="P2821" s="133"/>
      <c r="Q2821" s="124">
        <v>1.0</v>
      </c>
      <c r="R2821" s="128"/>
      <c r="S2821" s="37"/>
      <c r="T2821" s="38"/>
      <c r="U2821" s="38" t="b">
        <f t="shared" si="406"/>
        <v>0</v>
      </c>
      <c r="V2821" s="124" t="s">
        <v>33</v>
      </c>
      <c r="W2821" s="138"/>
      <c r="X2821" s="138"/>
      <c r="Y2821" s="233"/>
      <c r="Z2821" s="133"/>
      <c r="AA2821" s="133"/>
      <c r="AB2821" s="133"/>
      <c r="AC2821" s="133"/>
      <c r="AD2821" s="133"/>
      <c r="AE2821" s="133"/>
      <c r="AF2821" s="133"/>
      <c r="AG2821" s="133"/>
      <c r="AH2821" s="133"/>
      <c r="AI2821" s="133"/>
      <c r="AJ2821" s="133"/>
      <c r="AK2821" s="133"/>
      <c r="AL2821" s="133"/>
      <c r="AM2821" s="133"/>
      <c r="AN2821" s="133"/>
      <c r="AO2821" s="133"/>
      <c r="AP2821" s="133"/>
      <c r="AQ2821" s="133"/>
      <c r="AR2821" s="133"/>
      <c r="AS2821" s="133"/>
      <c r="AT2821" s="133"/>
      <c r="AU2821" s="133"/>
      <c r="AV2821" s="133"/>
      <c r="AW2821" s="133"/>
      <c r="AX2821" s="133"/>
      <c r="AY2821" s="133"/>
      <c r="AZ2821" s="133"/>
      <c r="BA2821" s="133"/>
      <c r="BB2821" s="133"/>
      <c r="BC2821" s="133"/>
      <c r="BD2821" s="133"/>
      <c r="BE2821" s="133"/>
      <c r="BF2821" s="133"/>
      <c r="BG2821" s="133"/>
      <c r="BH2821" s="133"/>
      <c r="BI2821" s="133"/>
      <c r="BJ2821" s="133"/>
      <c r="BK2821" s="133"/>
      <c r="BL2821" s="133"/>
      <c r="BM2821" s="133"/>
      <c r="BN2821" s="133"/>
      <c r="BO2821" s="133"/>
      <c r="BP2821" s="133"/>
      <c r="BQ2821" s="133"/>
    </row>
    <row r="2822">
      <c r="A2822" s="194" t="s">
        <v>7491</v>
      </c>
      <c r="B2822" s="125"/>
      <c r="C2822" s="126">
        <v>43742.0</v>
      </c>
      <c r="D2822" s="133"/>
      <c r="E2822" s="124" t="s">
        <v>41</v>
      </c>
      <c r="F2822" s="198">
        <v>1.0</v>
      </c>
      <c r="G2822" s="124" t="s">
        <v>32</v>
      </c>
      <c r="H2822" s="303">
        <v>1.0</v>
      </c>
      <c r="I2822" s="124" t="s">
        <v>33</v>
      </c>
      <c r="J2822" s="124" t="s">
        <v>93</v>
      </c>
      <c r="K2822" s="133"/>
      <c r="L2822" s="124" t="s">
        <v>119</v>
      </c>
      <c r="M2822" s="242" t="s">
        <v>7492</v>
      </c>
      <c r="N2822" s="233"/>
      <c r="O2822" s="124"/>
      <c r="P2822" s="133"/>
      <c r="Q2822" s="124"/>
      <c r="R2822" s="128"/>
      <c r="S2822" s="37"/>
      <c r="T2822" s="38"/>
      <c r="U2822" s="38" t="b">
        <f t="shared" si="406"/>
        <v>0</v>
      </c>
      <c r="V2822" s="124" t="s">
        <v>33</v>
      </c>
      <c r="W2822" s="138"/>
      <c r="X2822" s="138"/>
      <c r="Y2822" s="233"/>
      <c r="Z2822" s="133"/>
      <c r="AA2822" s="133"/>
      <c r="AB2822" s="133"/>
      <c r="AC2822" s="133"/>
      <c r="AD2822" s="133"/>
      <c r="AE2822" s="133"/>
      <c r="AF2822" s="133"/>
      <c r="AG2822" s="133"/>
      <c r="AH2822" s="133"/>
      <c r="AI2822" s="133"/>
      <c r="AJ2822" s="133"/>
      <c r="AK2822" s="133"/>
      <c r="AL2822" s="133"/>
      <c r="AM2822" s="133"/>
      <c r="AN2822" s="133"/>
      <c r="AO2822" s="133"/>
      <c r="AP2822" s="133"/>
      <c r="AQ2822" s="133"/>
      <c r="AR2822" s="133"/>
      <c r="AS2822" s="133"/>
      <c r="AT2822" s="133"/>
      <c r="AU2822" s="133"/>
      <c r="AV2822" s="133"/>
      <c r="AW2822" s="133"/>
      <c r="AX2822" s="133"/>
      <c r="AY2822" s="133"/>
      <c r="AZ2822" s="133"/>
      <c r="BA2822" s="133"/>
      <c r="BB2822" s="133"/>
      <c r="BC2822" s="133"/>
      <c r="BD2822" s="133"/>
      <c r="BE2822" s="133"/>
      <c r="BF2822" s="133"/>
      <c r="BG2822" s="133"/>
      <c r="BH2822" s="133"/>
      <c r="BI2822" s="133"/>
      <c r="BJ2822" s="133"/>
      <c r="BK2822" s="133"/>
      <c r="BL2822" s="133"/>
      <c r="BM2822" s="133"/>
      <c r="BN2822" s="133"/>
      <c r="BO2822" s="133"/>
      <c r="BP2822" s="133"/>
      <c r="BQ2822" s="133"/>
    </row>
    <row r="2823">
      <c r="A2823" s="194" t="s">
        <v>7493</v>
      </c>
      <c r="B2823" s="125"/>
      <c r="C2823" s="126">
        <v>43743.0</v>
      </c>
      <c r="D2823" s="133"/>
      <c r="E2823" s="124" t="s">
        <v>31</v>
      </c>
      <c r="F2823" s="198">
        <v>1.0</v>
      </c>
      <c r="G2823" s="124" t="s">
        <v>32</v>
      </c>
      <c r="H2823" s="303">
        <v>1.0</v>
      </c>
      <c r="I2823" s="124" t="s">
        <v>33</v>
      </c>
      <c r="J2823" s="124" t="s">
        <v>147</v>
      </c>
      <c r="K2823" s="133"/>
      <c r="L2823" s="124" t="s">
        <v>76</v>
      </c>
      <c r="M2823" s="242" t="s">
        <v>7494</v>
      </c>
      <c r="N2823" s="233" t="s">
        <v>7495</v>
      </c>
      <c r="O2823" s="124"/>
      <c r="P2823" s="133"/>
      <c r="Q2823" s="124"/>
      <c r="R2823" s="128"/>
      <c r="S2823" s="37"/>
      <c r="T2823" s="38"/>
      <c r="U2823" s="38"/>
      <c r="V2823" s="124" t="s">
        <v>33</v>
      </c>
      <c r="W2823" s="219" t="s">
        <v>7496</v>
      </c>
      <c r="X2823" s="219" t="s">
        <v>7497</v>
      </c>
      <c r="Y2823" s="233"/>
      <c r="Z2823" s="133"/>
      <c r="AA2823" s="133"/>
      <c r="AB2823" s="133"/>
      <c r="AC2823" s="133"/>
      <c r="AD2823" s="133"/>
      <c r="AE2823" s="133"/>
      <c r="AF2823" s="133"/>
      <c r="AG2823" s="133"/>
      <c r="AH2823" s="133"/>
      <c r="AI2823" s="133"/>
      <c r="AJ2823" s="133"/>
      <c r="AK2823" s="133"/>
      <c r="AL2823" s="133"/>
      <c r="AM2823" s="133"/>
      <c r="AN2823" s="133"/>
      <c r="AO2823" s="133"/>
      <c r="AP2823" s="133"/>
      <c r="AQ2823" s="133"/>
      <c r="AR2823" s="133"/>
      <c r="AS2823" s="133"/>
      <c r="AT2823" s="133"/>
      <c r="AU2823" s="133"/>
      <c r="AV2823" s="133"/>
      <c r="AW2823" s="133"/>
      <c r="AX2823" s="133"/>
      <c r="AY2823" s="133"/>
      <c r="AZ2823" s="133"/>
      <c r="BA2823" s="133"/>
      <c r="BB2823" s="133"/>
      <c r="BC2823" s="133"/>
      <c r="BD2823" s="133"/>
      <c r="BE2823" s="133"/>
      <c r="BF2823" s="133"/>
      <c r="BG2823" s="133"/>
      <c r="BH2823" s="133"/>
      <c r="BI2823" s="133"/>
      <c r="BJ2823" s="133"/>
      <c r="BK2823" s="133"/>
      <c r="BL2823" s="133"/>
      <c r="BM2823" s="133"/>
      <c r="BN2823" s="133"/>
      <c r="BO2823" s="133"/>
      <c r="BP2823" s="133"/>
      <c r="BQ2823" s="133"/>
    </row>
    <row r="2824">
      <c r="A2824" s="194" t="s">
        <v>7498</v>
      </c>
      <c r="B2824" s="125"/>
      <c r="C2824" s="126">
        <v>43745.0</v>
      </c>
      <c r="D2824" s="133"/>
      <c r="E2824" s="124" t="s">
        <v>31</v>
      </c>
      <c r="F2824" s="198">
        <v>1.0</v>
      </c>
      <c r="G2824" s="124" t="s">
        <v>32</v>
      </c>
      <c r="H2824" s="303">
        <v>1.0</v>
      </c>
      <c r="I2824" s="124" t="s">
        <v>33</v>
      </c>
      <c r="J2824" s="124" t="s">
        <v>514</v>
      </c>
      <c r="K2824" s="133"/>
      <c r="L2824" s="124" t="s">
        <v>194</v>
      </c>
      <c r="M2824" s="242" t="s">
        <v>7499</v>
      </c>
      <c r="N2824" s="243" t="s">
        <v>7500</v>
      </c>
      <c r="O2824" s="173" t="str">
        <f t="shared" ref="O2824:O2825" si="407">hyperlink("https://bad-boys.us/?q=WD-AR/5:19-cr-50079", "WD-AR 5:19-cr-50079")</f>
        <v>WD-AR 5:19-cr-50079</v>
      </c>
      <c r="P2824" s="133"/>
      <c r="Q2824" s="124">
        <v>1.0</v>
      </c>
      <c r="R2824" s="128"/>
      <c r="S2824" s="37"/>
      <c r="T2824" s="38"/>
      <c r="U2824" s="38"/>
      <c r="V2824" s="124" t="s">
        <v>33</v>
      </c>
      <c r="W2824" s="219" t="s">
        <v>7501</v>
      </c>
      <c r="X2824" s="219" t="s">
        <v>7502</v>
      </c>
      <c r="Y2824" s="233"/>
      <c r="Z2824" s="133"/>
      <c r="AA2824" s="133"/>
      <c r="AB2824" s="133"/>
      <c r="AC2824" s="133"/>
      <c r="AD2824" s="133"/>
      <c r="AE2824" s="133"/>
      <c r="AF2824" s="133"/>
      <c r="AG2824" s="133"/>
      <c r="AH2824" s="133"/>
      <c r="AI2824" s="133"/>
      <c r="AJ2824" s="133"/>
      <c r="AK2824" s="133"/>
      <c r="AL2824" s="133"/>
      <c r="AM2824" s="133"/>
      <c r="AN2824" s="133"/>
      <c r="AO2824" s="133"/>
      <c r="AP2824" s="133"/>
      <c r="AQ2824" s="133"/>
      <c r="AR2824" s="133"/>
      <c r="AS2824" s="133"/>
      <c r="AT2824" s="133"/>
      <c r="AU2824" s="133"/>
      <c r="AV2824" s="133"/>
      <c r="AW2824" s="133"/>
      <c r="AX2824" s="133"/>
      <c r="AY2824" s="133"/>
      <c r="AZ2824" s="133"/>
      <c r="BA2824" s="133"/>
      <c r="BB2824" s="133"/>
      <c r="BC2824" s="133"/>
      <c r="BD2824" s="133"/>
      <c r="BE2824" s="133"/>
      <c r="BF2824" s="133"/>
      <c r="BG2824" s="133"/>
      <c r="BH2824" s="133"/>
      <c r="BI2824" s="133"/>
      <c r="BJ2824" s="133"/>
      <c r="BK2824" s="133"/>
      <c r="BL2824" s="133"/>
      <c r="BM2824" s="133"/>
      <c r="BN2824" s="133"/>
      <c r="BO2824" s="133"/>
      <c r="BP2824" s="133"/>
      <c r="BQ2824" s="133"/>
    </row>
    <row r="2825">
      <c r="A2825" s="194" t="s">
        <v>7503</v>
      </c>
      <c r="B2825" s="125"/>
      <c r="C2825" s="126">
        <v>43745.0</v>
      </c>
      <c r="D2825" s="133"/>
      <c r="E2825" s="124" t="s">
        <v>41</v>
      </c>
      <c r="F2825" s="198">
        <v>1.0</v>
      </c>
      <c r="G2825" s="124" t="s">
        <v>32</v>
      </c>
      <c r="H2825" s="303">
        <v>1.0</v>
      </c>
      <c r="I2825" s="124" t="s">
        <v>33</v>
      </c>
      <c r="J2825" s="124" t="s">
        <v>514</v>
      </c>
      <c r="K2825" s="133"/>
      <c r="L2825" s="124" t="s">
        <v>194</v>
      </c>
      <c r="M2825" s="242" t="s">
        <v>7499</v>
      </c>
      <c r="N2825" s="219" t="s">
        <v>7500</v>
      </c>
      <c r="O2825" s="173" t="str">
        <f t="shared" si="407"/>
        <v>WD-AR 5:19-cr-50079</v>
      </c>
      <c r="P2825" s="133"/>
      <c r="Q2825" s="124">
        <v>1.0</v>
      </c>
      <c r="R2825" s="128"/>
      <c r="S2825" s="37"/>
      <c r="T2825" s="38"/>
      <c r="U2825" s="38"/>
      <c r="V2825" s="124" t="s">
        <v>33</v>
      </c>
      <c r="W2825" s="219" t="s">
        <v>7501</v>
      </c>
      <c r="X2825" s="138"/>
      <c r="Y2825" s="233"/>
      <c r="Z2825" s="133"/>
      <c r="AA2825" s="133"/>
      <c r="AB2825" s="133"/>
      <c r="AC2825" s="133"/>
      <c r="AD2825" s="133"/>
      <c r="AE2825" s="133"/>
      <c r="AF2825" s="133"/>
      <c r="AG2825" s="133"/>
      <c r="AH2825" s="133"/>
      <c r="AI2825" s="133"/>
      <c r="AJ2825" s="133"/>
      <c r="AK2825" s="133"/>
      <c r="AL2825" s="133"/>
      <c r="AM2825" s="133"/>
      <c r="AN2825" s="133"/>
      <c r="AO2825" s="133"/>
      <c r="AP2825" s="133"/>
      <c r="AQ2825" s="133"/>
      <c r="AR2825" s="133"/>
      <c r="AS2825" s="133"/>
      <c r="AT2825" s="133"/>
      <c r="AU2825" s="133"/>
      <c r="AV2825" s="133"/>
      <c r="AW2825" s="133"/>
      <c r="AX2825" s="133"/>
      <c r="AY2825" s="133"/>
      <c r="AZ2825" s="133"/>
      <c r="BA2825" s="133"/>
      <c r="BB2825" s="133"/>
      <c r="BC2825" s="133"/>
      <c r="BD2825" s="133"/>
      <c r="BE2825" s="133"/>
      <c r="BF2825" s="133"/>
      <c r="BG2825" s="133"/>
      <c r="BH2825" s="133"/>
      <c r="BI2825" s="133"/>
      <c r="BJ2825" s="133"/>
      <c r="BK2825" s="133"/>
      <c r="BL2825" s="133"/>
      <c r="BM2825" s="133"/>
      <c r="BN2825" s="133"/>
      <c r="BO2825" s="133"/>
      <c r="BP2825" s="133"/>
      <c r="BQ2825" s="133"/>
    </row>
    <row r="2826">
      <c r="A2826" s="194" t="s">
        <v>7504</v>
      </c>
      <c r="B2826" s="125"/>
      <c r="C2826" s="126">
        <v>43745.0</v>
      </c>
      <c r="D2826" s="133"/>
      <c r="E2826" s="124" t="s">
        <v>41</v>
      </c>
      <c r="F2826" s="198">
        <v>1.0</v>
      </c>
      <c r="G2826" s="124" t="s">
        <v>32</v>
      </c>
      <c r="H2826" s="303">
        <v>1.0</v>
      </c>
      <c r="I2826" s="124" t="s">
        <v>33</v>
      </c>
      <c r="J2826" s="124" t="s">
        <v>440</v>
      </c>
      <c r="K2826" s="133"/>
      <c r="L2826" s="124" t="s">
        <v>119</v>
      </c>
      <c r="M2826" s="242" t="s">
        <v>7505</v>
      </c>
      <c r="N2826" s="233"/>
      <c r="O2826" s="173" t="str">
        <f>hyperlink("https://bad-boys.us/?q=D-CT/3:19-cr-00253", "D-CT 3:19-cr-00253")</f>
        <v>D-CT 3:19-cr-00253</v>
      </c>
      <c r="P2826" s="133"/>
      <c r="Q2826" s="124">
        <v>1.0</v>
      </c>
      <c r="R2826" s="128"/>
      <c r="S2826" s="37"/>
      <c r="T2826" s="38"/>
      <c r="U2826" s="38" t="b">
        <f>countif(A$4:A4658, A2826)&gt;1</f>
        <v>0</v>
      </c>
      <c r="V2826" s="124" t="s">
        <v>33</v>
      </c>
      <c r="W2826" s="138"/>
      <c r="X2826" s="138"/>
      <c r="Y2826" s="233"/>
      <c r="Z2826" s="133"/>
      <c r="AA2826" s="133"/>
      <c r="AB2826" s="133"/>
      <c r="AC2826" s="133"/>
      <c r="AD2826" s="133"/>
      <c r="AE2826" s="133"/>
      <c r="AF2826" s="133"/>
      <c r="AG2826" s="133"/>
      <c r="AH2826" s="133"/>
      <c r="AI2826" s="133"/>
      <c r="AJ2826" s="133"/>
      <c r="AK2826" s="133"/>
      <c r="AL2826" s="133"/>
      <c r="AM2826" s="133"/>
      <c r="AN2826" s="133"/>
      <c r="AO2826" s="133"/>
      <c r="AP2826" s="133"/>
      <c r="AQ2826" s="133"/>
      <c r="AR2826" s="133"/>
      <c r="AS2826" s="133"/>
      <c r="AT2826" s="133"/>
      <c r="AU2826" s="133"/>
      <c r="AV2826" s="133"/>
      <c r="AW2826" s="133"/>
      <c r="AX2826" s="133"/>
      <c r="AY2826" s="133"/>
      <c r="AZ2826" s="133"/>
      <c r="BA2826" s="133"/>
      <c r="BB2826" s="133"/>
      <c r="BC2826" s="133"/>
      <c r="BD2826" s="133"/>
      <c r="BE2826" s="133"/>
      <c r="BF2826" s="133"/>
      <c r="BG2826" s="133"/>
      <c r="BH2826" s="133"/>
      <c r="BI2826" s="133"/>
      <c r="BJ2826" s="133"/>
      <c r="BK2826" s="133"/>
      <c r="BL2826" s="133"/>
      <c r="BM2826" s="133"/>
      <c r="BN2826" s="133"/>
      <c r="BO2826" s="133"/>
      <c r="BP2826" s="133"/>
      <c r="BQ2826" s="133"/>
    </row>
    <row r="2827">
      <c r="A2827" s="194" t="s">
        <v>7506</v>
      </c>
      <c r="B2827" s="125"/>
      <c r="C2827" s="126">
        <v>43746.0</v>
      </c>
      <c r="D2827" s="133"/>
      <c r="E2827" s="124" t="s">
        <v>41</v>
      </c>
      <c r="F2827" s="198">
        <v>1.0</v>
      </c>
      <c r="G2827" s="124" t="s">
        <v>32</v>
      </c>
      <c r="H2827" s="303">
        <v>1.0</v>
      </c>
      <c r="I2827" s="124" t="s">
        <v>33</v>
      </c>
      <c r="J2827" s="124" t="s">
        <v>440</v>
      </c>
      <c r="K2827" s="133"/>
      <c r="L2827" s="124" t="s">
        <v>119</v>
      </c>
      <c r="M2827" s="242" t="s">
        <v>7507</v>
      </c>
      <c r="N2827" s="233"/>
      <c r="O2827" s="124"/>
      <c r="P2827" s="133"/>
      <c r="Q2827" s="124"/>
      <c r="R2827" s="128"/>
      <c r="S2827" s="37"/>
      <c r="T2827" s="38"/>
      <c r="U2827" s="38"/>
      <c r="V2827" s="124" t="s">
        <v>33</v>
      </c>
      <c r="W2827" s="138"/>
      <c r="X2827" s="138"/>
      <c r="Y2827" s="233"/>
      <c r="Z2827" s="133"/>
      <c r="AA2827" s="133"/>
      <c r="AB2827" s="133"/>
      <c r="AC2827" s="133"/>
      <c r="AD2827" s="133"/>
      <c r="AE2827" s="133"/>
      <c r="AF2827" s="133"/>
      <c r="AG2827" s="133"/>
      <c r="AH2827" s="133"/>
      <c r="AI2827" s="133"/>
      <c r="AJ2827" s="133"/>
      <c r="AK2827" s="133"/>
      <c r="AL2827" s="133"/>
      <c r="AM2827" s="133"/>
      <c r="AN2827" s="133"/>
      <c r="AO2827" s="133"/>
      <c r="AP2827" s="133"/>
      <c r="AQ2827" s="133"/>
      <c r="AR2827" s="133"/>
      <c r="AS2827" s="133"/>
      <c r="AT2827" s="133"/>
      <c r="AU2827" s="133"/>
      <c r="AV2827" s="133"/>
      <c r="AW2827" s="133"/>
      <c r="AX2827" s="133"/>
      <c r="AY2827" s="133"/>
      <c r="AZ2827" s="133"/>
      <c r="BA2827" s="133"/>
      <c r="BB2827" s="133"/>
      <c r="BC2827" s="133"/>
      <c r="BD2827" s="133"/>
      <c r="BE2827" s="133"/>
      <c r="BF2827" s="133"/>
      <c r="BG2827" s="133"/>
      <c r="BH2827" s="133"/>
      <c r="BI2827" s="133"/>
      <c r="BJ2827" s="133"/>
      <c r="BK2827" s="133"/>
      <c r="BL2827" s="133"/>
      <c r="BM2827" s="133"/>
      <c r="BN2827" s="133"/>
      <c r="BO2827" s="133"/>
      <c r="BP2827" s="133"/>
      <c r="BQ2827" s="133"/>
    </row>
    <row r="2828">
      <c r="A2828" s="194" t="s">
        <v>7508</v>
      </c>
      <c r="B2828" s="125"/>
      <c r="C2828" s="126">
        <v>43746.0</v>
      </c>
      <c r="D2828" s="133"/>
      <c r="E2828" s="124" t="s">
        <v>41</v>
      </c>
      <c r="F2828" s="198">
        <v>1.0</v>
      </c>
      <c r="G2828" s="124" t="s">
        <v>32</v>
      </c>
      <c r="H2828" s="303">
        <v>1.0</v>
      </c>
      <c r="I2828" s="124" t="s">
        <v>33</v>
      </c>
      <c r="J2828" s="124" t="s">
        <v>93</v>
      </c>
      <c r="K2828" s="133"/>
      <c r="L2828" s="124" t="s">
        <v>119</v>
      </c>
      <c r="M2828" s="242" t="s">
        <v>7509</v>
      </c>
      <c r="N2828" s="233"/>
      <c r="O2828" s="173" t="str">
        <f>hyperlink("https://bad-boys.us/?q=ND-NY/1:19-cr-00367", "ND-NY 1:19-cr-00367")</f>
        <v>ND-NY 1:19-cr-00367</v>
      </c>
      <c r="P2828" s="133"/>
      <c r="Q2828" s="124">
        <v>1.0</v>
      </c>
      <c r="R2828" s="128"/>
      <c r="S2828" s="37"/>
      <c r="T2828" s="38"/>
      <c r="U2828" s="38" t="b">
        <f>countif(A$4:A4658, A2828)&gt;1</f>
        <v>0</v>
      </c>
      <c r="V2828" s="124" t="s">
        <v>33</v>
      </c>
      <c r="W2828" s="138"/>
      <c r="X2828" s="138"/>
      <c r="Y2828" s="233"/>
      <c r="Z2828" s="133"/>
      <c r="AA2828" s="133"/>
      <c r="AB2828" s="133"/>
      <c r="AC2828" s="133"/>
      <c r="AD2828" s="133"/>
      <c r="AE2828" s="133"/>
      <c r="AF2828" s="133"/>
      <c r="AG2828" s="133"/>
      <c r="AH2828" s="133"/>
      <c r="AI2828" s="133"/>
      <c r="AJ2828" s="133"/>
      <c r="AK2828" s="133"/>
      <c r="AL2828" s="133"/>
      <c r="AM2828" s="133"/>
      <c r="AN2828" s="133"/>
      <c r="AO2828" s="133"/>
      <c r="AP2828" s="133"/>
      <c r="AQ2828" s="133"/>
      <c r="AR2828" s="133"/>
      <c r="AS2828" s="133"/>
      <c r="AT2828" s="133"/>
      <c r="AU2828" s="133"/>
      <c r="AV2828" s="133"/>
      <c r="AW2828" s="133"/>
      <c r="AX2828" s="133"/>
      <c r="AY2828" s="133"/>
      <c r="AZ2828" s="133"/>
      <c r="BA2828" s="133"/>
      <c r="BB2828" s="133"/>
      <c r="BC2828" s="133"/>
      <c r="BD2828" s="133"/>
      <c r="BE2828" s="133"/>
      <c r="BF2828" s="133"/>
      <c r="BG2828" s="133"/>
      <c r="BH2828" s="133"/>
      <c r="BI2828" s="133"/>
      <c r="BJ2828" s="133"/>
      <c r="BK2828" s="133"/>
      <c r="BL2828" s="133"/>
      <c r="BM2828" s="133"/>
      <c r="BN2828" s="133"/>
      <c r="BO2828" s="133"/>
      <c r="BP2828" s="133"/>
      <c r="BQ2828" s="133"/>
    </row>
    <row r="2829">
      <c r="A2829" s="194" t="s">
        <v>7510</v>
      </c>
      <c r="B2829" s="125"/>
      <c r="C2829" s="126">
        <v>43747.0</v>
      </c>
      <c r="D2829" s="133"/>
      <c r="E2829" s="124" t="s">
        <v>41</v>
      </c>
      <c r="F2829" s="198">
        <v>1.0</v>
      </c>
      <c r="G2829" s="124">
        <v>2.0</v>
      </c>
      <c r="H2829" s="303">
        <v>2.0</v>
      </c>
      <c r="I2829" s="124" t="s">
        <v>33</v>
      </c>
      <c r="J2829" s="124" t="s">
        <v>47</v>
      </c>
      <c r="K2829" s="133"/>
      <c r="L2829" s="124" t="s">
        <v>76</v>
      </c>
      <c r="M2829" s="242" t="s">
        <v>7511</v>
      </c>
      <c r="N2829" s="233"/>
      <c r="O2829" s="124"/>
      <c r="P2829" s="133"/>
      <c r="Q2829" s="124">
        <v>1.0</v>
      </c>
      <c r="R2829" s="128"/>
      <c r="S2829" s="37"/>
      <c r="T2829" s="38"/>
      <c r="U2829" s="38"/>
      <c r="V2829" s="124" t="s">
        <v>33</v>
      </c>
      <c r="W2829" s="138"/>
      <c r="X2829" s="138"/>
      <c r="Y2829" s="233"/>
      <c r="Z2829" s="133"/>
      <c r="AA2829" s="133"/>
      <c r="AB2829" s="133"/>
      <c r="AC2829" s="133"/>
      <c r="AD2829" s="133"/>
      <c r="AE2829" s="133"/>
      <c r="AF2829" s="133"/>
      <c r="AG2829" s="133"/>
      <c r="AH2829" s="133"/>
      <c r="AI2829" s="133"/>
      <c r="AJ2829" s="133"/>
      <c r="AK2829" s="133"/>
      <c r="AL2829" s="133"/>
      <c r="AM2829" s="133"/>
      <c r="AN2829" s="133"/>
      <c r="AO2829" s="133"/>
      <c r="AP2829" s="133"/>
      <c r="AQ2829" s="133"/>
      <c r="AR2829" s="133"/>
      <c r="AS2829" s="133"/>
      <c r="AT2829" s="133"/>
      <c r="AU2829" s="133"/>
      <c r="AV2829" s="133"/>
      <c r="AW2829" s="133"/>
      <c r="AX2829" s="133"/>
      <c r="AY2829" s="133"/>
      <c r="AZ2829" s="133"/>
      <c r="BA2829" s="133"/>
      <c r="BB2829" s="133"/>
      <c r="BC2829" s="133"/>
      <c r="BD2829" s="133"/>
      <c r="BE2829" s="133"/>
      <c r="BF2829" s="133"/>
      <c r="BG2829" s="133"/>
      <c r="BH2829" s="133"/>
      <c r="BI2829" s="133"/>
      <c r="BJ2829" s="133"/>
      <c r="BK2829" s="133"/>
      <c r="BL2829" s="133"/>
      <c r="BM2829" s="133"/>
      <c r="BN2829" s="133"/>
      <c r="BO2829" s="133"/>
      <c r="BP2829" s="133"/>
      <c r="BQ2829" s="133"/>
    </row>
    <row r="2830">
      <c r="A2830" s="194" t="s">
        <v>6305</v>
      </c>
      <c r="B2830" s="125"/>
      <c r="C2830" s="126">
        <v>43747.0</v>
      </c>
      <c r="D2830" s="133"/>
      <c r="E2830" s="124" t="s">
        <v>41</v>
      </c>
      <c r="F2830" s="198">
        <v>1.0</v>
      </c>
      <c r="G2830" s="124" t="s">
        <v>32</v>
      </c>
      <c r="H2830" s="303">
        <v>1.0</v>
      </c>
      <c r="I2830" s="124" t="s">
        <v>33</v>
      </c>
      <c r="J2830" s="124" t="s">
        <v>106</v>
      </c>
      <c r="K2830" s="133"/>
      <c r="L2830" s="124" t="s">
        <v>119</v>
      </c>
      <c r="M2830" s="242" t="s">
        <v>7512</v>
      </c>
      <c r="N2830" s="233"/>
      <c r="O2830" s="124"/>
      <c r="P2830" s="133"/>
      <c r="Q2830" s="124"/>
      <c r="R2830" s="128"/>
      <c r="S2830" s="37"/>
      <c r="T2830" s="38"/>
      <c r="U2830" s="38"/>
      <c r="V2830" s="124" t="s">
        <v>33</v>
      </c>
      <c r="W2830" s="138"/>
      <c r="X2830" s="138"/>
      <c r="Y2830" s="233"/>
      <c r="Z2830" s="133"/>
      <c r="AA2830" s="133"/>
      <c r="AB2830" s="133"/>
      <c r="AC2830" s="133"/>
      <c r="AD2830" s="133"/>
      <c r="AE2830" s="133"/>
      <c r="AF2830" s="133"/>
      <c r="AG2830" s="133"/>
      <c r="AH2830" s="133"/>
      <c r="AI2830" s="133"/>
      <c r="AJ2830" s="133"/>
      <c r="AK2830" s="133"/>
      <c r="AL2830" s="133"/>
      <c r="AM2830" s="133"/>
      <c r="AN2830" s="133"/>
      <c r="AO2830" s="133"/>
      <c r="AP2830" s="133"/>
      <c r="AQ2830" s="133"/>
      <c r="AR2830" s="133"/>
      <c r="AS2830" s="133"/>
      <c r="AT2830" s="133"/>
      <c r="AU2830" s="133"/>
      <c r="AV2830" s="133"/>
      <c r="AW2830" s="133"/>
      <c r="AX2830" s="133"/>
      <c r="AY2830" s="133"/>
      <c r="AZ2830" s="133"/>
      <c r="BA2830" s="133"/>
      <c r="BB2830" s="133"/>
      <c r="BC2830" s="133"/>
      <c r="BD2830" s="133"/>
      <c r="BE2830" s="133"/>
      <c r="BF2830" s="133"/>
      <c r="BG2830" s="133"/>
      <c r="BH2830" s="133"/>
      <c r="BI2830" s="133"/>
      <c r="BJ2830" s="133"/>
      <c r="BK2830" s="133"/>
      <c r="BL2830" s="133"/>
      <c r="BM2830" s="133"/>
      <c r="BN2830" s="133"/>
      <c r="BO2830" s="133"/>
      <c r="BP2830" s="133"/>
      <c r="BQ2830" s="133"/>
    </row>
    <row r="2831">
      <c r="A2831" s="194" t="s">
        <v>7513</v>
      </c>
      <c r="B2831" s="125"/>
      <c r="C2831" s="126">
        <v>43747.0</v>
      </c>
      <c r="D2831" s="133"/>
      <c r="E2831" s="124" t="s">
        <v>41</v>
      </c>
      <c r="F2831" s="198">
        <v>1.0</v>
      </c>
      <c r="G2831" s="124">
        <v>2.0</v>
      </c>
      <c r="H2831" s="303">
        <v>2.0</v>
      </c>
      <c r="I2831" s="124" t="s">
        <v>33</v>
      </c>
      <c r="J2831" s="124" t="s">
        <v>402</v>
      </c>
      <c r="K2831" s="133"/>
      <c r="L2831" s="124" t="s">
        <v>76</v>
      </c>
      <c r="M2831" s="242" t="s">
        <v>7514</v>
      </c>
      <c r="N2831" s="233"/>
      <c r="O2831" s="124"/>
      <c r="P2831" s="133"/>
      <c r="Q2831" s="124"/>
      <c r="R2831" s="128"/>
      <c r="S2831" s="37"/>
      <c r="T2831" s="38"/>
      <c r="U2831" s="38"/>
      <c r="V2831" s="124" t="s">
        <v>33</v>
      </c>
      <c r="W2831" s="138"/>
      <c r="X2831" s="138"/>
      <c r="Y2831" s="233"/>
      <c r="Z2831" s="133"/>
      <c r="AA2831" s="133"/>
      <c r="AB2831" s="133"/>
      <c r="AC2831" s="133"/>
      <c r="AD2831" s="133"/>
      <c r="AE2831" s="133"/>
      <c r="AF2831" s="133"/>
      <c r="AG2831" s="133"/>
      <c r="AH2831" s="133"/>
      <c r="AI2831" s="133"/>
      <c r="AJ2831" s="133"/>
      <c r="AK2831" s="133"/>
      <c r="AL2831" s="133"/>
      <c r="AM2831" s="133"/>
      <c r="AN2831" s="133"/>
      <c r="AO2831" s="133"/>
      <c r="AP2831" s="133"/>
      <c r="AQ2831" s="133"/>
      <c r="AR2831" s="133"/>
      <c r="AS2831" s="133"/>
      <c r="AT2831" s="133"/>
      <c r="AU2831" s="133"/>
      <c r="AV2831" s="133"/>
      <c r="AW2831" s="133"/>
      <c r="AX2831" s="133"/>
      <c r="AY2831" s="133"/>
      <c r="AZ2831" s="133"/>
      <c r="BA2831" s="133"/>
      <c r="BB2831" s="133"/>
      <c r="BC2831" s="133"/>
      <c r="BD2831" s="133"/>
      <c r="BE2831" s="133"/>
      <c r="BF2831" s="133"/>
      <c r="BG2831" s="133"/>
      <c r="BH2831" s="133"/>
      <c r="BI2831" s="133"/>
      <c r="BJ2831" s="133"/>
      <c r="BK2831" s="133"/>
      <c r="BL2831" s="133"/>
      <c r="BM2831" s="133"/>
      <c r="BN2831" s="133"/>
      <c r="BO2831" s="133"/>
      <c r="BP2831" s="133"/>
      <c r="BQ2831" s="133"/>
    </row>
    <row r="2832">
      <c r="A2832" s="194" t="s">
        <v>7515</v>
      </c>
      <c r="B2832" s="125"/>
      <c r="C2832" s="126">
        <v>43747.0</v>
      </c>
      <c r="D2832" s="133"/>
      <c r="E2832" s="124" t="s">
        <v>41</v>
      </c>
      <c r="F2832" s="198">
        <v>1.0</v>
      </c>
      <c r="G2832" s="124" t="s">
        <v>32</v>
      </c>
      <c r="H2832" s="303">
        <v>1.0</v>
      </c>
      <c r="I2832" s="124" t="s">
        <v>33</v>
      </c>
      <c r="J2832" s="124" t="s">
        <v>55</v>
      </c>
      <c r="K2832" s="133"/>
      <c r="L2832" s="124" t="s">
        <v>119</v>
      </c>
      <c r="M2832" s="242" t="s">
        <v>7516</v>
      </c>
      <c r="N2832" s="233"/>
      <c r="O2832" s="124"/>
      <c r="P2832" s="133"/>
      <c r="Q2832" s="124"/>
      <c r="R2832" s="128"/>
      <c r="S2832" s="37"/>
      <c r="T2832" s="38"/>
      <c r="U2832" s="38" t="b">
        <f t="shared" ref="U2832:U2833" si="408">countif(A$4:A4658, A2832)&gt;1</f>
        <v>0</v>
      </c>
      <c r="V2832" s="124"/>
      <c r="W2832" s="138"/>
      <c r="X2832" s="138"/>
      <c r="Y2832" s="233"/>
      <c r="Z2832" s="133"/>
      <c r="AA2832" s="133"/>
      <c r="AB2832" s="133"/>
      <c r="AC2832" s="133"/>
      <c r="AD2832" s="133"/>
      <c r="AE2832" s="133"/>
      <c r="AF2832" s="133"/>
      <c r="AG2832" s="133"/>
      <c r="AH2832" s="133"/>
      <c r="AI2832" s="133"/>
      <c r="AJ2832" s="133"/>
      <c r="AK2832" s="133"/>
      <c r="AL2832" s="133"/>
      <c r="AM2832" s="133"/>
      <c r="AN2832" s="133"/>
      <c r="AO2832" s="133"/>
      <c r="AP2832" s="133"/>
      <c r="AQ2832" s="133"/>
      <c r="AR2832" s="133"/>
      <c r="AS2832" s="133"/>
      <c r="AT2832" s="133"/>
      <c r="AU2832" s="133"/>
      <c r="AV2832" s="133"/>
      <c r="AW2832" s="133"/>
      <c r="AX2832" s="133"/>
      <c r="AY2832" s="133"/>
      <c r="AZ2832" s="133"/>
      <c r="BA2832" s="133"/>
      <c r="BB2832" s="133"/>
      <c r="BC2832" s="133"/>
      <c r="BD2832" s="133"/>
      <c r="BE2832" s="133"/>
      <c r="BF2832" s="133"/>
      <c r="BG2832" s="133"/>
      <c r="BH2832" s="133"/>
      <c r="BI2832" s="133"/>
      <c r="BJ2832" s="133"/>
      <c r="BK2832" s="133"/>
      <c r="BL2832" s="133"/>
      <c r="BM2832" s="133"/>
      <c r="BN2832" s="133"/>
      <c r="BO2832" s="133"/>
      <c r="BP2832" s="133"/>
      <c r="BQ2832" s="133"/>
    </row>
    <row r="2833">
      <c r="A2833" s="194" t="s">
        <v>7517</v>
      </c>
      <c r="B2833" s="125"/>
      <c r="C2833" s="126">
        <v>43747.0</v>
      </c>
      <c r="D2833" s="133"/>
      <c r="E2833" s="124" t="s">
        <v>41</v>
      </c>
      <c r="F2833" s="198">
        <v>1.0</v>
      </c>
      <c r="G2833" s="124" t="s">
        <v>32</v>
      </c>
      <c r="H2833" s="303">
        <v>1.0</v>
      </c>
      <c r="I2833" s="124" t="s">
        <v>33</v>
      </c>
      <c r="J2833" s="124" t="s">
        <v>228</v>
      </c>
      <c r="K2833" s="133"/>
      <c r="L2833" s="124" t="s">
        <v>76</v>
      </c>
      <c r="M2833" s="242" t="s">
        <v>7518</v>
      </c>
      <c r="N2833" s="233"/>
      <c r="O2833" s="124"/>
      <c r="P2833" s="133"/>
      <c r="Q2833" s="124"/>
      <c r="R2833" s="128"/>
      <c r="S2833" s="37"/>
      <c r="T2833" s="38"/>
      <c r="U2833" s="38" t="b">
        <f t="shared" si="408"/>
        <v>0</v>
      </c>
      <c r="V2833" s="124"/>
      <c r="W2833" s="138"/>
      <c r="X2833" s="138"/>
      <c r="Y2833" s="233"/>
      <c r="Z2833" s="133"/>
      <c r="AA2833" s="133"/>
      <c r="AB2833" s="133"/>
      <c r="AC2833" s="133"/>
      <c r="AD2833" s="133"/>
      <c r="AE2833" s="133"/>
      <c r="AF2833" s="133"/>
      <c r="AG2833" s="133"/>
      <c r="AH2833" s="133"/>
      <c r="AI2833" s="133"/>
      <c r="AJ2833" s="133"/>
      <c r="AK2833" s="133"/>
      <c r="AL2833" s="133"/>
      <c r="AM2833" s="133"/>
      <c r="AN2833" s="133"/>
      <c r="AO2833" s="133"/>
      <c r="AP2833" s="133"/>
      <c r="AQ2833" s="133"/>
      <c r="AR2833" s="133"/>
      <c r="AS2833" s="133"/>
      <c r="AT2833" s="133"/>
      <c r="AU2833" s="133"/>
      <c r="AV2833" s="133"/>
      <c r="AW2833" s="133"/>
      <c r="AX2833" s="133"/>
      <c r="AY2833" s="133"/>
      <c r="AZ2833" s="133"/>
      <c r="BA2833" s="133"/>
      <c r="BB2833" s="133"/>
      <c r="BC2833" s="133"/>
      <c r="BD2833" s="133"/>
      <c r="BE2833" s="133"/>
      <c r="BF2833" s="133"/>
      <c r="BG2833" s="133"/>
      <c r="BH2833" s="133"/>
      <c r="BI2833" s="133"/>
      <c r="BJ2833" s="133"/>
      <c r="BK2833" s="133"/>
      <c r="BL2833" s="133"/>
      <c r="BM2833" s="133"/>
      <c r="BN2833" s="133"/>
      <c r="BO2833" s="133"/>
      <c r="BP2833" s="133"/>
      <c r="BQ2833" s="133"/>
    </row>
    <row r="2834">
      <c r="A2834" s="194" t="s">
        <v>7519</v>
      </c>
      <c r="B2834" s="125"/>
      <c r="C2834" s="126">
        <v>43748.0</v>
      </c>
      <c r="D2834" s="133"/>
      <c r="E2834" s="124" t="s">
        <v>31</v>
      </c>
      <c r="F2834" s="198">
        <v>1.0</v>
      </c>
      <c r="G2834" s="124">
        <v>120.0</v>
      </c>
      <c r="H2834" s="303">
        <v>120.0</v>
      </c>
      <c r="I2834" s="124" t="s">
        <v>33</v>
      </c>
      <c r="J2834" s="124" t="s">
        <v>111</v>
      </c>
      <c r="K2834" s="133"/>
      <c r="L2834" s="124" t="s">
        <v>7520</v>
      </c>
      <c r="M2834" s="242" t="s">
        <v>7521</v>
      </c>
      <c r="N2834" s="233"/>
      <c r="O2834" s="124"/>
      <c r="P2834" s="133"/>
      <c r="Q2834" s="124">
        <v>1.0</v>
      </c>
      <c r="R2834" s="128"/>
      <c r="S2834" s="37"/>
      <c r="T2834" s="38"/>
      <c r="U2834" s="38"/>
      <c r="V2834" s="124" t="s">
        <v>33</v>
      </c>
      <c r="W2834" s="233"/>
      <c r="X2834" s="219" t="s">
        <v>7522</v>
      </c>
      <c r="Y2834" s="233"/>
      <c r="Z2834" s="133"/>
      <c r="AA2834" s="133"/>
      <c r="AB2834" s="133"/>
      <c r="AC2834" s="133"/>
      <c r="AD2834" s="133"/>
      <c r="AE2834" s="133"/>
      <c r="AF2834" s="133"/>
      <c r="AG2834" s="133"/>
      <c r="AH2834" s="133"/>
      <c r="AI2834" s="133"/>
      <c r="AJ2834" s="133"/>
      <c r="AK2834" s="133"/>
      <c r="AL2834" s="133"/>
      <c r="AM2834" s="133"/>
      <c r="AN2834" s="133"/>
      <c r="AO2834" s="133"/>
      <c r="AP2834" s="133"/>
      <c r="AQ2834" s="133"/>
      <c r="AR2834" s="133"/>
      <c r="AS2834" s="133"/>
      <c r="AT2834" s="133"/>
      <c r="AU2834" s="133"/>
      <c r="AV2834" s="133"/>
      <c r="AW2834" s="133"/>
      <c r="AX2834" s="133"/>
      <c r="AY2834" s="133"/>
      <c r="AZ2834" s="133"/>
      <c r="BA2834" s="133"/>
      <c r="BB2834" s="133"/>
      <c r="BC2834" s="133"/>
      <c r="BD2834" s="133"/>
      <c r="BE2834" s="133"/>
      <c r="BF2834" s="133"/>
      <c r="BG2834" s="133"/>
      <c r="BH2834" s="133"/>
      <c r="BI2834" s="133"/>
      <c r="BJ2834" s="133"/>
      <c r="BK2834" s="133"/>
      <c r="BL2834" s="133"/>
      <c r="BM2834" s="133"/>
      <c r="BN2834" s="133"/>
      <c r="BO2834" s="133"/>
      <c r="BP2834" s="133"/>
      <c r="BQ2834" s="133"/>
    </row>
    <row r="2835">
      <c r="A2835" s="194" t="s">
        <v>7523</v>
      </c>
      <c r="B2835" s="125"/>
      <c r="C2835" s="126">
        <v>43748.0</v>
      </c>
      <c r="D2835" s="133"/>
      <c r="E2835" s="124" t="s">
        <v>31</v>
      </c>
      <c r="F2835" s="198">
        <v>1.0</v>
      </c>
      <c r="G2835" s="124" t="s">
        <v>32</v>
      </c>
      <c r="H2835" s="303">
        <v>1.0</v>
      </c>
      <c r="I2835" s="124" t="s">
        <v>33</v>
      </c>
      <c r="J2835" s="124" t="s">
        <v>111</v>
      </c>
      <c r="K2835" s="133"/>
      <c r="L2835" s="124" t="s">
        <v>7520</v>
      </c>
      <c r="M2835" s="242" t="s">
        <v>7521</v>
      </c>
      <c r="N2835" s="233"/>
      <c r="O2835" s="124"/>
      <c r="P2835" s="133"/>
      <c r="Q2835" s="124">
        <v>1.0</v>
      </c>
      <c r="R2835" s="128"/>
      <c r="S2835" s="37"/>
      <c r="T2835" s="38"/>
      <c r="U2835" s="38"/>
      <c r="V2835" s="124" t="s">
        <v>33</v>
      </c>
      <c r="W2835" s="233"/>
      <c r="X2835" s="233"/>
      <c r="Y2835" s="233"/>
      <c r="Z2835" s="133"/>
      <c r="AA2835" s="133"/>
      <c r="AB2835" s="133"/>
      <c r="AC2835" s="133"/>
      <c r="AD2835" s="133"/>
      <c r="AE2835" s="133"/>
      <c r="AF2835" s="133"/>
      <c r="AG2835" s="133"/>
      <c r="AH2835" s="133"/>
      <c r="AI2835" s="133"/>
      <c r="AJ2835" s="133"/>
      <c r="AK2835" s="133"/>
      <c r="AL2835" s="133"/>
      <c r="AM2835" s="133"/>
      <c r="AN2835" s="133"/>
      <c r="AO2835" s="133"/>
      <c r="AP2835" s="133"/>
      <c r="AQ2835" s="133"/>
      <c r="AR2835" s="133"/>
      <c r="AS2835" s="133"/>
      <c r="AT2835" s="133"/>
      <c r="AU2835" s="133"/>
      <c r="AV2835" s="133"/>
      <c r="AW2835" s="133"/>
      <c r="AX2835" s="133"/>
      <c r="AY2835" s="133"/>
      <c r="AZ2835" s="133"/>
      <c r="BA2835" s="133"/>
      <c r="BB2835" s="133"/>
      <c r="BC2835" s="133"/>
      <c r="BD2835" s="133"/>
      <c r="BE2835" s="133"/>
      <c r="BF2835" s="133"/>
      <c r="BG2835" s="133"/>
      <c r="BH2835" s="133"/>
      <c r="BI2835" s="133"/>
      <c r="BJ2835" s="133"/>
      <c r="BK2835" s="133"/>
      <c r="BL2835" s="133"/>
      <c r="BM2835" s="133"/>
      <c r="BN2835" s="133"/>
      <c r="BO2835" s="133"/>
      <c r="BP2835" s="133"/>
      <c r="BQ2835" s="133"/>
    </row>
    <row r="2836">
      <c r="A2836" s="194" t="s">
        <v>7524</v>
      </c>
      <c r="B2836" s="125"/>
      <c r="C2836" s="126">
        <v>43748.0</v>
      </c>
      <c r="D2836" s="133"/>
      <c r="E2836" s="124" t="s">
        <v>41</v>
      </c>
      <c r="F2836" s="198">
        <v>1.0</v>
      </c>
      <c r="G2836" s="124" t="s">
        <v>32</v>
      </c>
      <c r="H2836" s="303">
        <v>1.0</v>
      </c>
      <c r="I2836" s="124" t="s">
        <v>33</v>
      </c>
      <c r="J2836" s="124" t="s">
        <v>111</v>
      </c>
      <c r="K2836" s="133"/>
      <c r="L2836" s="124" t="s">
        <v>7520</v>
      </c>
      <c r="M2836" s="242" t="s">
        <v>7521</v>
      </c>
      <c r="N2836" s="233"/>
      <c r="O2836" s="124"/>
      <c r="P2836" s="133"/>
      <c r="Q2836" s="124">
        <v>1.0</v>
      </c>
      <c r="R2836" s="128"/>
      <c r="S2836" s="37"/>
      <c r="T2836" s="38"/>
      <c r="U2836" s="38"/>
      <c r="V2836" s="124" t="s">
        <v>33</v>
      </c>
      <c r="W2836" s="233"/>
      <c r="X2836" s="233"/>
      <c r="Y2836" s="233"/>
      <c r="Z2836" s="133"/>
      <c r="AA2836" s="133"/>
      <c r="AB2836" s="133"/>
      <c r="AC2836" s="133"/>
      <c r="AD2836" s="133"/>
      <c r="AE2836" s="133"/>
      <c r="AF2836" s="133"/>
      <c r="AG2836" s="133"/>
      <c r="AH2836" s="133"/>
      <c r="AI2836" s="133"/>
      <c r="AJ2836" s="133"/>
      <c r="AK2836" s="133"/>
      <c r="AL2836" s="133"/>
      <c r="AM2836" s="133"/>
      <c r="AN2836" s="133"/>
      <c r="AO2836" s="133"/>
      <c r="AP2836" s="133"/>
      <c r="AQ2836" s="133"/>
      <c r="AR2836" s="133"/>
      <c r="AS2836" s="133"/>
      <c r="AT2836" s="133"/>
      <c r="AU2836" s="133"/>
      <c r="AV2836" s="133"/>
      <c r="AW2836" s="133"/>
      <c r="AX2836" s="133"/>
      <c r="AY2836" s="133"/>
      <c r="AZ2836" s="133"/>
      <c r="BA2836" s="133"/>
      <c r="BB2836" s="133"/>
      <c r="BC2836" s="133"/>
      <c r="BD2836" s="133"/>
      <c r="BE2836" s="133"/>
      <c r="BF2836" s="133"/>
      <c r="BG2836" s="133"/>
      <c r="BH2836" s="133"/>
      <c r="BI2836" s="133"/>
      <c r="BJ2836" s="133"/>
      <c r="BK2836" s="133"/>
      <c r="BL2836" s="133"/>
      <c r="BM2836" s="133"/>
      <c r="BN2836" s="133"/>
      <c r="BO2836" s="133"/>
      <c r="BP2836" s="133"/>
      <c r="BQ2836" s="133"/>
    </row>
    <row r="2837">
      <c r="A2837" s="194" t="s">
        <v>7525</v>
      </c>
      <c r="B2837" s="125"/>
      <c r="C2837" s="126">
        <v>43748.0</v>
      </c>
      <c r="D2837" s="133"/>
      <c r="E2837" s="124" t="s">
        <v>41</v>
      </c>
      <c r="F2837" s="198">
        <v>1.0</v>
      </c>
      <c r="G2837" s="124" t="s">
        <v>32</v>
      </c>
      <c r="H2837" s="303">
        <v>1.0</v>
      </c>
      <c r="I2837" s="124" t="s">
        <v>33</v>
      </c>
      <c r="J2837" s="124" t="s">
        <v>111</v>
      </c>
      <c r="K2837" s="133"/>
      <c r="L2837" s="124" t="s">
        <v>7520</v>
      </c>
      <c r="M2837" s="242" t="s">
        <v>7521</v>
      </c>
      <c r="N2837" s="233"/>
      <c r="O2837" s="124"/>
      <c r="P2837" s="133"/>
      <c r="Q2837" s="124">
        <v>1.0</v>
      </c>
      <c r="R2837" s="128"/>
      <c r="S2837" s="37"/>
      <c r="T2837" s="38"/>
      <c r="U2837" s="38"/>
      <c r="V2837" s="124" t="s">
        <v>33</v>
      </c>
      <c r="W2837" s="233"/>
      <c r="X2837" s="233"/>
      <c r="Y2837" s="233"/>
      <c r="Z2837" s="133"/>
      <c r="AA2837" s="133"/>
      <c r="AB2837" s="133"/>
      <c r="AC2837" s="133"/>
      <c r="AD2837" s="133"/>
      <c r="AE2837" s="133"/>
      <c r="AF2837" s="133"/>
      <c r="AG2837" s="133"/>
      <c r="AH2837" s="133"/>
      <c r="AI2837" s="133"/>
      <c r="AJ2837" s="133"/>
      <c r="AK2837" s="133"/>
      <c r="AL2837" s="133"/>
      <c r="AM2837" s="133"/>
      <c r="AN2837" s="133"/>
      <c r="AO2837" s="133"/>
      <c r="AP2837" s="133"/>
      <c r="AQ2837" s="133"/>
      <c r="AR2837" s="133"/>
      <c r="AS2837" s="133"/>
      <c r="AT2837" s="133"/>
      <c r="AU2837" s="133"/>
      <c r="AV2837" s="133"/>
      <c r="AW2837" s="133"/>
      <c r="AX2837" s="133"/>
      <c r="AY2837" s="133"/>
      <c r="AZ2837" s="133"/>
      <c r="BA2837" s="133"/>
      <c r="BB2837" s="133"/>
      <c r="BC2837" s="133"/>
      <c r="BD2837" s="133"/>
      <c r="BE2837" s="133"/>
      <c r="BF2837" s="133"/>
      <c r="BG2837" s="133"/>
      <c r="BH2837" s="133"/>
      <c r="BI2837" s="133"/>
      <c r="BJ2837" s="133"/>
      <c r="BK2837" s="133"/>
      <c r="BL2837" s="133"/>
      <c r="BM2837" s="133"/>
      <c r="BN2837" s="133"/>
      <c r="BO2837" s="133"/>
      <c r="BP2837" s="133"/>
      <c r="BQ2837" s="133"/>
    </row>
    <row r="2838">
      <c r="A2838" s="194" t="s">
        <v>7526</v>
      </c>
      <c r="B2838" s="125"/>
      <c r="C2838" s="126">
        <v>43748.0</v>
      </c>
      <c r="D2838" s="133"/>
      <c r="E2838" s="124" t="s">
        <v>41</v>
      </c>
      <c r="F2838" s="198">
        <v>1.0</v>
      </c>
      <c r="G2838" s="124" t="s">
        <v>32</v>
      </c>
      <c r="H2838" s="303">
        <v>1.0</v>
      </c>
      <c r="I2838" s="124" t="s">
        <v>33</v>
      </c>
      <c r="J2838" s="124" t="s">
        <v>111</v>
      </c>
      <c r="K2838" s="133"/>
      <c r="L2838" s="124" t="s">
        <v>7520</v>
      </c>
      <c r="M2838" s="242" t="s">
        <v>7521</v>
      </c>
      <c r="N2838" s="233"/>
      <c r="O2838" s="124"/>
      <c r="P2838" s="133"/>
      <c r="Q2838" s="124">
        <v>1.0</v>
      </c>
      <c r="R2838" s="128"/>
      <c r="S2838" s="37"/>
      <c r="T2838" s="38"/>
      <c r="U2838" s="38"/>
      <c r="V2838" s="124" t="s">
        <v>33</v>
      </c>
      <c r="W2838" s="233"/>
      <c r="X2838" s="233"/>
      <c r="Y2838" s="233"/>
      <c r="Z2838" s="133"/>
      <c r="AA2838" s="133"/>
      <c r="AB2838" s="133"/>
      <c r="AC2838" s="133"/>
      <c r="AD2838" s="133"/>
      <c r="AE2838" s="133"/>
      <c r="AF2838" s="133"/>
      <c r="AG2838" s="133"/>
      <c r="AH2838" s="133"/>
      <c r="AI2838" s="133"/>
      <c r="AJ2838" s="133"/>
      <c r="AK2838" s="133"/>
      <c r="AL2838" s="133"/>
      <c r="AM2838" s="133"/>
      <c r="AN2838" s="133"/>
      <c r="AO2838" s="133"/>
      <c r="AP2838" s="133"/>
      <c r="AQ2838" s="133"/>
      <c r="AR2838" s="133"/>
      <c r="AS2838" s="133"/>
      <c r="AT2838" s="133"/>
      <c r="AU2838" s="133"/>
      <c r="AV2838" s="133"/>
      <c r="AW2838" s="133"/>
      <c r="AX2838" s="133"/>
      <c r="AY2838" s="133"/>
      <c r="AZ2838" s="133"/>
      <c r="BA2838" s="133"/>
      <c r="BB2838" s="133"/>
      <c r="BC2838" s="133"/>
      <c r="BD2838" s="133"/>
      <c r="BE2838" s="133"/>
      <c r="BF2838" s="133"/>
      <c r="BG2838" s="133"/>
      <c r="BH2838" s="133"/>
      <c r="BI2838" s="133"/>
      <c r="BJ2838" s="133"/>
      <c r="BK2838" s="133"/>
      <c r="BL2838" s="133"/>
      <c r="BM2838" s="133"/>
      <c r="BN2838" s="133"/>
      <c r="BO2838" s="133"/>
      <c r="BP2838" s="133"/>
      <c r="BQ2838" s="133"/>
    </row>
    <row r="2839">
      <c r="A2839" s="194" t="s">
        <v>7527</v>
      </c>
      <c r="B2839" s="125"/>
      <c r="C2839" s="126">
        <v>43748.0</v>
      </c>
      <c r="D2839" s="133"/>
      <c r="E2839" s="124" t="s">
        <v>41</v>
      </c>
      <c r="F2839" s="198">
        <v>1.0</v>
      </c>
      <c r="G2839" s="124" t="s">
        <v>32</v>
      </c>
      <c r="H2839" s="303">
        <v>1.0</v>
      </c>
      <c r="I2839" s="124" t="s">
        <v>33</v>
      </c>
      <c r="J2839" s="124" t="s">
        <v>111</v>
      </c>
      <c r="K2839" s="133"/>
      <c r="L2839" s="124" t="s">
        <v>7520</v>
      </c>
      <c r="M2839" s="242" t="s">
        <v>7521</v>
      </c>
      <c r="N2839" s="233"/>
      <c r="O2839" s="124"/>
      <c r="P2839" s="133"/>
      <c r="Q2839" s="124">
        <v>1.0</v>
      </c>
      <c r="R2839" s="128"/>
      <c r="S2839" s="37"/>
      <c r="T2839" s="38"/>
      <c r="U2839" s="38"/>
      <c r="V2839" s="124" t="s">
        <v>33</v>
      </c>
      <c r="W2839" s="233"/>
      <c r="X2839" s="233"/>
      <c r="Y2839" s="233"/>
      <c r="Z2839" s="133"/>
      <c r="AA2839" s="133"/>
      <c r="AB2839" s="133"/>
      <c r="AC2839" s="133"/>
      <c r="AD2839" s="133"/>
      <c r="AE2839" s="133"/>
      <c r="AF2839" s="133"/>
      <c r="AG2839" s="133"/>
      <c r="AH2839" s="133"/>
      <c r="AI2839" s="133"/>
      <c r="AJ2839" s="133"/>
      <c r="AK2839" s="133"/>
      <c r="AL2839" s="133"/>
      <c r="AM2839" s="133"/>
      <c r="AN2839" s="133"/>
      <c r="AO2839" s="133"/>
      <c r="AP2839" s="133"/>
      <c r="AQ2839" s="133"/>
      <c r="AR2839" s="133"/>
      <c r="AS2839" s="133"/>
      <c r="AT2839" s="133"/>
      <c r="AU2839" s="133"/>
      <c r="AV2839" s="133"/>
      <c r="AW2839" s="133"/>
      <c r="AX2839" s="133"/>
      <c r="AY2839" s="133"/>
      <c r="AZ2839" s="133"/>
      <c r="BA2839" s="133"/>
      <c r="BB2839" s="133"/>
      <c r="BC2839" s="133"/>
      <c r="BD2839" s="133"/>
      <c r="BE2839" s="133"/>
      <c r="BF2839" s="133"/>
      <c r="BG2839" s="133"/>
      <c r="BH2839" s="133"/>
      <c r="BI2839" s="133"/>
      <c r="BJ2839" s="133"/>
      <c r="BK2839" s="133"/>
      <c r="BL2839" s="133"/>
      <c r="BM2839" s="133"/>
      <c r="BN2839" s="133"/>
      <c r="BO2839" s="133"/>
      <c r="BP2839" s="133"/>
      <c r="BQ2839" s="133"/>
    </row>
    <row r="2840">
      <c r="A2840" s="194" t="s">
        <v>7528</v>
      </c>
      <c r="B2840" s="125"/>
      <c r="C2840" s="126">
        <v>43753.0</v>
      </c>
      <c r="D2840" s="133"/>
      <c r="E2840" s="124" t="s">
        <v>41</v>
      </c>
      <c r="F2840" s="198">
        <v>1.0</v>
      </c>
      <c r="G2840" s="124" t="s">
        <v>32</v>
      </c>
      <c r="H2840" s="303">
        <v>1.0</v>
      </c>
      <c r="I2840" s="124" t="s">
        <v>33</v>
      </c>
      <c r="J2840" s="124" t="s">
        <v>460</v>
      </c>
      <c r="K2840" s="133"/>
      <c r="L2840" s="124" t="s">
        <v>119</v>
      </c>
      <c r="M2840" s="242" t="s">
        <v>7529</v>
      </c>
      <c r="N2840" s="233"/>
      <c r="O2840" s="124"/>
      <c r="P2840" s="133"/>
      <c r="Q2840" s="124">
        <v>1.0</v>
      </c>
      <c r="R2840" s="128"/>
      <c r="S2840" s="37"/>
      <c r="T2840" s="38"/>
      <c r="U2840" s="38"/>
      <c r="V2840" s="124" t="s">
        <v>33</v>
      </c>
      <c r="W2840" s="233"/>
      <c r="X2840" s="138"/>
      <c r="Y2840" s="233"/>
      <c r="Z2840" s="133"/>
      <c r="AA2840" s="133"/>
      <c r="AB2840" s="133"/>
      <c r="AC2840" s="133"/>
      <c r="AD2840" s="133"/>
      <c r="AE2840" s="133"/>
      <c r="AF2840" s="133"/>
      <c r="AG2840" s="133"/>
      <c r="AH2840" s="133"/>
      <c r="AI2840" s="133"/>
      <c r="AJ2840" s="133"/>
      <c r="AK2840" s="133"/>
      <c r="AL2840" s="133"/>
      <c r="AM2840" s="133"/>
      <c r="AN2840" s="133"/>
      <c r="AO2840" s="133"/>
      <c r="AP2840" s="133"/>
      <c r="AQ2840" s="133"/>
      <c r="AR2840" s="133"/>
      <c r="AS2840" s="133"/>
      <c r="AT2840" s="133"/>
      <c r="AU2840" s="133"/>
      <c r="AV2840" s="133"/>
      <c r="AW2840" s="133"/>
      <c r="AX2840" s="133"/>
      <c r="AY2840" s="133"/>
      <c r="AZ2840" s="133"/>
      <c r="BA2840" s="133"/>
      <c r="BB2840" s="133"/>
      <c r="BC2840" s="133"/>
      <c r="BD2840" s="133"/>
      <c r="BE2840" s="133"/>
      <c r="BF2840" s="133"/>
      <c r="BG2840" s="133"/>
      <c r="BH2840" s="133"/>
      <c r="BI2840" s="133"/>
      <c r="BJ2840" s="133"/>
      <c r="BK2840" s="133"/>
      <c r="BL2840" s="133"/>
      <c r="BM2840" s="133"/>
      <c r="BN2840" s="133"/>
      <c r="BO2840" s="133"/>
      <c r="BP2840" s="133"/>
      <c r="BQ2840" s="133"/>
    </row>
    <row r="2841">
      <c r="A2841" s="194" t="s">
        <v>7530</v>
      </c>
      <c r="B2841" s="125"/>
      <c r="C2841" s="126">
        <v>43754.0</v>
      </c>
      <c r="D2841" s="133"/>
      <c r="E2841" s="124" t="s">
        <v>31</v>
      </c>
      <c r="F2841" s="198">
        <v>1.0</v>
      </c>
      <c r="G2841" s="124" t="s">
        <v>32</v>
      </c>
      <c r="H2841" s="303">
        <v>1.0</v>
      </c>
      <c r="I2841" s="124" t="s">
        <v>33</v>
      </c>
      <c r="J2841" s="124" t="s">
        <v>184</v>
      </c>
      <c r="K2841" s="133"/>
      <c r="L2841" s="124" t="s">
        <v>119</v>
      </c>
      <c r="M2841" s="242" t="s">
        <v>7531</v>
      </c>
      <c r="N2841" s="219" t="s">
        <v>7532</v>
      </c>
      <c r="O2841" s="124"/>
      <c r="P2841" s="133"/>
      <c r="Q2841" s="124">
        <v>1.0</v>
      </c>
      <c r="R2841" s="128"/>
      <c r="S2841" s="37"/>
      <c r="T2841" s="38"/>
      <c r="U2841" s="38"/>
      <c r="V2841" s="124" t="s">
        <v>33</v>
      </c>
      <c r="W2841" s="219" t="s">
        <v>7533</v>
      </c>
      <c r="X2841" s="219" t="s">
        <v>7534</v>
      </c>
      <c r="Y2841" s="233"/>
      <c r="Z2841" s="133"/>
      <c r="AA2841" s="133"/>
      <c r="AB2841" s="133"/>
      <c r="AC2841" s="133"/>
      <c r="AD2841" s="133"/>
      <c r="AE2841" s="133"/>
      <c r="AF2841" s="133"/>
      <c r="AG2841" s="133"/>
      <c r="AH2841" s="133"/>
      <c r="AI2841" s="133"/>
      <c r="AJ2841" s="133"/>
      <c r="AK2841" s="133"/>
      <c r="AL2841" s="133"/>
      <c r="AM2841" s="133"/>
      <c r="AN2841" s="133"/>
      <c r="AO2841" s="133"/>
      <c r="AP2841" s="133"/>
      <c r="AQ2841" s="133"/>
      <c r="AR2841" s="133"/>
      <c r="AS2841" s="133"/>
      <c r="AT2841" s="133"/>
      <c r="AU2841" s="133"/>
      <c r="AV2841" s="133"/>
      <c r="AW2841" s="133"/>
      <c r="AX2841" s="133"/>
      <c r="AY2841" s="133"/>
      <c r="AZ2841" s="133"/>
      <c r="BA2841" s="133"/>
      <c r="BB2841" s="133"/>
      <c r="BC2841" s="133"/>
      <c r="BD2841" s="133"/>
      <c r="BE2841" s="133"/>
      <c r="BF2841" s="133"/>
      <c r="BG2841" s="133"/>
      <c r="BH2841" s="133"/>
      <c r="BI2841" s="133"/>
      <c r="BJ2841" s="133"/>
      <c r="BK2841" s="133"/>
      <c r="BL2841" s="133"/>
      <c r="BM2841" s="133"/>
      <c r="BN2841" s="133"/>
      <c r="BO2841" s="133"/>
      <c r="BP2841" s="133"/>
      <c r="BQ2841" s="133"/>
    </row>
    <row r="2842">
      <c r="A2842" s="194" t="s">
        <v>7535</v>
      </c>
      <c r="B2842" s="125"/>
      <c r="C2842" s="126">
        <v>43754.0</v>
      </c>
      <c r="D2842" s="133"/>
      <c r="E2842" s="124" t="s">
        <v>41</v>
      </c>
      <c r="F2842" s="198">
        <v>1.0</v>
      </c>
      <c r="G2842" s="124" t="s">
        <v>32</v>
      </c>
      <c r="H2842" s="303">
        <v>1.0</v>
      </c>
      <c r="I2842" s="124" t="s">
        <v>33</v>
      </c>
      <c r="J2842" s="124" t="s">
        <v>55</v>
      </c>
      <c r="K2842" s="133"/>
      <c r="L2842" s="124" t="s">
        <v>76</v>
      </c>
      <c r="M2842" s="242" t="s">
        <v>7536</v>
      </c>
      <c r="N2842" s="219" t="s">
        <v>7537</v>
      </c>
      <c r="O2842" s="124"/>
      <c r="P2842" s="133"/>
      <c r="Q2842" s="124"/>
      <c r="R2842" s="128"/>
      <c r="S2842" s="37"/>
      <c r="T2842" s="38"/>
      <c r="U2842" s="38"/>
      <c r="V2842" s="124" t="s">
        <v>33</v>
      </c>
      <c r="W2842" s="219" t="s">
        <v>7538</v>
      </c>
      <c r="X2842" s="138"/>
      <c r="Y2842" s="233"/>
      <c r="Z2842" s="133"/>
      <c r="AA2842" s="133"/>
      <c r="AB2842" s="133"/>
      <c r="AC2842" s="133"/>
      <c r="AD2842" s="133"/>
      <c r="AE2842" s="133"/>
      <c r="AF2842" s="133"/>
      <c r="AG2842" s="133"/>
      <c r="AH2842" s="133"/>
      <c r="AI2842" s="133"/>
      <c r="AJ2842" s="133"/>
      <c r="AK2842" s="133"/>
      <c r="AL2842" s="133"/>
      <c r="AM2842" s="133"/>
      <c r="AN2842" s="133"/>
      <c r="AO2842" s="133"/>
      <c r="AP2842" s="133"/>
      <c r="AQ2842" s="133"/>
      <c r="AR2842" s="133"/>
      <c r="AS2842" s="133"/>
      <c r="AT2842" s="133"/>
      <c r="AU2842" s="133"/>
      <c r="AV2842" s="133"/>
      <c r="AW2842" s="133"/>
      <c r="AX2842" s="133"/>
      <c r="AY2842" s="133"/>
      <c r="AZ2842" s="133"/>
      <c r="BA2842" s="133"/>
      <c r="BB2842" s="133"/>
      <c r="BC2842" s="133"/>
      <c r="BD2842" s="133"/>
      <c r="BE2842" s="133"/>
      <c r="BF2842" s="133"/>
      <c r="BG2842" s="133"/>
      <c r="BH2842" s="133"/>
      <c r="BI2842" s="133"/>
      <c r="BJ2842" s="133"/>
      <c r="BK2842" s="133"/>
      <c r="BL2842" s="133"/>
      <c r="BM2842" s="133"/>
      <c r="BN2842" s="133"/>
      <c r="BO2842" s="133"/>
      <c r="BP2842" s="133"/>
      <c r="BQ2842" s="133"/>
    </row>
    <row r="2843">
      <c r="A2843" s="194" t="s">
        <v>7539</v>
      </c>
      <c r="B2843" s="125"/>
      <c r="C2843" s="126">
        <v>43754.0</v>
      </c>
      <c r="D2843" s="133"/>
      <c r="E2843" s="124" t="s">
        <v>41</v>
      </c>
      <c r="F2843" s="198">
        <v>1.0</v>
      </c>
      <c r="G2843" s="124" t="s">
        <v>32</v>
      </c>
      <c r="H2843" s="303">
        <v>1.0</v>
      </c>
      <c r="I2843" s="124" t="s">
        <v>33</v>
      </c>
      <c r="J2843" s="124" t="s">
        <v>85</v>
      </c>
      <c r="K2843" s="133"/>
      <c r="L2843" s="124" t="s">
        <v>76</v>
      </c>
      <c r="M2843" s="242" t="s">
        <v>7540</v>
      </c>
      <c r="N2843" s="233"/>
      <c r="O2843" s="173" t="str">
        <f>hyperlink("https://bad-boys.us/?q=ND-AL/5:19-cr-00482", "ND-AL 5:19-cr-00482")</f>
        <v>ND-AL 5:19-cr-00482</v>
      </c>
      <c r="P2843" s="133"/>
      <c r="Q2843" s="124">
        <v>1.0</v>
      </c>
      <c r="R2843" s="128"/>
      <c r="S2843" s="37"/>
      <c r="T2843" s="38"/>
      <c r="U2843" s="38" t="b">
        <f>countif(A$4:A4658, A2843)&gt;1</f>
        <v>0</v>
      </c>
      <c r="V2843" s="124" t="s">
        <v>33</v>
      </c>
      <c r="W2843" s="138"/>
      <c r="X2843" s="138"/>
      <c r="Y2843" s="233"/>
      <c r="Z2843" s="133"/>
      <c r="AA2843" s="133"/>
      <c r="AB2843" s="133"/>
      <c r="AC2843" s="133"/>
      <c r="AD2843" s="133"/>
      <c r="AE2843" s="133"/>
      <c r="AF2843" s="133"/>
      <c r="AG2843" s="133"/>
      <c r="AH2843" s="133"/>
      <c r="AI2843" s="133"/>
      <c r="AJ2843" s="133"/>
      <c r="AK2843" s="133"/>
      <c r="AL2843" s="133"/>
      <c r="AM2843" s="133"/>
      <c r="AN2843" s="133"/>
      <c r="AO2843" s="133"/>
      <c r="AP2843" s="133"/>
      <c r="AQ2843" s="133"/>
      <c r="AR2843" s="133"/>
      <c r="AS2843" s="133"/>
      <c r="AT2843" s="133"/>
      <c r="AU2843" s="133"/>
      <c r="AV2843" s="133"/>
      <c r="AW2843" s="133"/>
      <c r="AX2843" s="133"/>
      <c r="AY2843" s="133"/>
      <c r="AZ2843" s="133"/>
      <c r="BA2843" s="133"/>
      <c r="BB2843" s="133"/>
      <c r="BC2843" s="133"/>
      <c r="BD2843" s="133"/>
      <c r="BE2843" s="133"/>
      <c r="BF2843" s="133"/>
      <c r="BG2843" s="133"/>
      <c r="BH2843" s="133"/>
      <c r="BI2843" s="133"/>
      <c r="BJ2843" s="133"/>
      <c r="BK2843" s="133"/>
      <c r="BL2843" s="133"/>
      <c r="BM2843" s="133"/>
      <c r="BN2843" s="133"/>
      <c r="BO2843" s="133"/>
      <c r="BP2843" s="133"/>
      <c r="BQ2843" s="133"/>
    </row>
    <row r="2844">
      <c r="A2844" s="194" t="s">
        <v>7541</v>
      </c>
      <c r="B2844" s="301"/>
      <c r="C2844" s="126">
        <v>43754.0</v>
      </c>
      <c r="D2844" s="302"/>
      <c r="E2844" s="124" t="s">
        <v>41</v>
      </c>
      <c r="F2844" s="198">
        <v>1.0</v>
      </c>
      <c r="G2844" s="124" t="s">
        <v>32</v>
      </c>
      <c r="H2844" s="303">
        <v>1.0</v>
      </c>
      <c r="I2844" s="124" t="s">
        <v>33</v>
      </c>
      <c r="J2844" s="124" t="s">
        <v>460</v>
      </c>
      <c r="K2844" s="302"/>
      <c r="L2844" s="124" t="s">
        <v>119</v>
      </c>
      <c r="M2844" s="242" t="s">
        <v>7542</v>
      </c>
      <c r="N2844" s="233"/>
      <c r="O2844" s="128"/>
      <c r="P2844" s="133"/>
      <c r="Q2844" s="124">
        <v>1.0</v>
      </c>
      <c r="R2844" s="128"/>
      <c r="S2844" s="37"/>
      <c r="T2844" s="38"/>
      <c r="U2844" s="38"/>
      <c r="V2844" s="124" t="s">
        <v>33</v>
      </c>
      <c r="W2844" s="233"/>
      <c r="X2844" s="233"/>
      <c r="Y2844" s="233"/>
      <c r="Z2844" s="302"/>
      <c r="AA2844" s="302"/>
      <c r="AB2844" s="302"/>
      <c r="AC2844" s="302"/>
      <c r="AD2844" s="302"/>
      <c r="AE2844" s="302"/>
      <c r="AF2844" s="302"/>
      <c r="AG2844" s="302"/>
      <c r="AH2844" s="302"/>
      <c r="AI2844" s="302"/>
      <c r="AJ2844" s="302"/>
      <c r="AK2844" s="302"/>
      <c r="AL2844" s="302"/>
      <c r="AM2844" s="302"/>
      <c r="AN2844" s="302"/>
      <c r="AO2844" s="302"/>
      <c r="AP2844" s="302"/>
      <c r="AQ2844" s="302"/>
      <c r="AR2844" s="302"/>
      <c r="AS2844" s="302"/>
      <c r="AT2844" s="302"/>
      <c r="AU2844" s="302"/>
      <c r="AV2844" s="302"/>
      <c r="AW2844" s="302"/>
      <c r="AX2844" s="302"/>
      <c r="AY2844" s="302"/>
      <c r="AZ2844" s="302"/>
      <c r="BA2844" s="302"/>
      <c r="BB2844" s="302"/>
      <c r="BC2844" s="302"/>
      <c r="BD2844" s="302"/>
      <c r="BE2844" s="302"/>
      <c r="BF2844" s="302"/>
      <c r="BG2844" s="302"/>
      <c r="BH2844" s="302"/>
      <c r="BI2844" s="302"/>
      <c r="BJ2844" s="302"/>
      <c r="BK2844" s="302"/>
      <c r="BL2844" s="302"/>
      <c r="BM2844" s="302"/>
      <c r="BN2844" s="302"/>
      <c r="BO2844" s="302"/>
      <c r="BP2844" s="302"/>
      <c r="BQ2844" s="302"/>
    </row>
    <row r="2845">
      <c r="A2845" s="194" t="s">
        <v>7543</v>
      </c>
      <c r="B2845" s="301"/>
      <c r="C2845" s="126">
        <v>43754.0</v>
      </c>
      <c r="D2845" s="302"/>
      <c r="E2845" s="124" t="s">
        <v>41</v>
      </c>
      <c r="F2845" s="198">
        <v>1.0</v>
      </c>
      <c r="G2845" s="124" t="s">
        <v>32</v>
      </c>
      <c r="H2845" s="303">
        <v>1.0</v>
      </c>
      <c r="I2845" s="124" t="s">
        <v>33</v>
      </c>
      <c r="J2845" s="124" t="s">
        <v>2167</v>
      </c>
      <c r="K2845" s="302"/>
      <c r="L2845" s="124" t="s">
        <v>119</v>
      </c>
      <c r="M2845" s="242" t="s">
        <v>7544</v>
      </c>
      <c r="N2845" s="233"/>
      <c r="O2845" s="128"/>
      <c r="P2845" s="133"/>
      <c r="Q2845" s="128"/>
      <c r="R2845" s="128"/>
      <c r="S2845" s="37"/>
      <c r="T2845" s="38"/>
      <c r="U2845" s="38"/>
      <c r="V2845" s="124" t="s">
        <v>33</v>
      </c>
      <c r="W2845" s="233"/>
      <c r="X2845" s="233"/>
      <c r="Y2845" s="233"/>
      <c r="Z2845" s="302"/>
      <c r="AA2845" s="302"/>
      <c r="AB2845" s="302"/>
      <c r="AC2845" s="302"/>
      <c r="AD2845" s="302"/>
      <c r="AE2845" s="302"/>
      <c r="AF2845" s="302"/>
      <c r="AG2845" s="302"/>
      <c r="AH2845" s="302"/>
      <c r="AI2845" s="302"/>
      <c r="AJ2845" s="302"/>
      <c r="AK2845" s="302"/>
      <c r="AL2845" s="302"/>
      <c r="AM2845" s="302"/>
      <c r="AN2845" s="302"/>
      <c r="AO2845" s="302"/>
      <c r="AP2845" s="302"/>
      <c r="AQ2845" s="302"/>
      <c r="AR2845" s="302"/>
      <c r="AS2845" s="302"/>
      <c r="AT2845" s="302"/>
      <c r="AU2845" s="302"/>
      <c r="AV2845" s="302"/>
      <c r="AW2845" s="302"/>
      <c r="AX2845" s="302"/>
      <c r="AY2845" s="302"/>
      <c r="AZ2845" s="302"/>
      <c r="BA2845" s="302"/>
      <c r="BB2845" s="302"/>
      <c r="BC2845" s="302"/>
      <c r="BD2845" s="302"/>
      <c r="BE2845" s="302"/>
      <c r="BF2845" s="302"/>
      <c r="BG2845" s="302"/>
      <c r="BH2845" s="302"/>
      <c r="BI2845" s="302"/>
      <c r="BJ2845" s="302"/>
      <c r="BK2845" s="302"/>
      <c r="BL2845" s="302"/>
      <c r="BM2845" s="302"/>
      <c r="BN2845" s="302"/>
      <c r="BO2845" s="302"/>
      <c r="BP2845" s="302"/>
      <c r="BQ2845" s="302"/>
    </row>
    <row r="2846">
      <c r="A2846" s="194" t="s">
        <v>7545</v>
      </c>
      <c r="B2846" s="125"/>
      <c r="C2846" s="126">
        <v>43755.0</v>
      </c>
      <c r="D2846" s="133"/>
      <c r="E2846" s="124" t="s">
        <v>41</v>
      </c>
      <c r="F2846" s="198">
        <v>1.0</v>
      </c>
      <c r="G2846" s="124" t="s">
        <v>32</v>
      </c>
      <c r="H2846" s="303">
        <v>1.0</v>
      </c>
      <c r="I2846" s="124" t="s">
        <v>33</v>
      </c>
      <c r="J2846" s="124" t="s">
        <v>124</v>
      </c>
      <c r="K2846" s="133"/>
      <c r="L2846" s="124" t="s">
        <v>69</v>
      </c>
      <c r="M2846" s="242" t="s">
        <v>7546</v>
      </c>
      <c r="N2846" s="233"/>
      <c r="O2846" s="173" t="str">
        <f>hyperlink("https://bad-boys.us/?q=ND-OH/1:19-cr-00616", "ND-OH 1:19-cr-00616")</f>
        <v>ND-OH 1:19-cr-00616</v>
      </c>
      <c r="P2846" s="133"/>
      <c r="Q2846" s="124">
        <v>1.0</v>
      </c>
      <c r="R2846" s="128"/>
      <c r="S2846" s="37"/>
      <c r="T2846" s="38"/>
      <c r="U2846" s="38" t="b">
        <f t="shared" ref="U2846:U2847" si="409">countif(A$4:A4658, A2846)&gt;1</f>
        <v>0</v>
      </c>
      <c r="V2846" s="124" t="s">
        <v>33</v>
      </c>
      <c r="W2846" s="138"/>
      <c r="X2846" s="138"/>
      <c r="Y2846" s="233"/>
      <c r="Z2846" s="133"/>
      <c r="AA2846" s="133"/>
      <c r="AB2846" s="133"/>
      <c r="AC2846" s="133"/>
      <c r="AD2846" s="133"/>
      <c r="AE2846" s="133"/>
      <c r="AF2846" s="133"/>
      <c r="AG2846" s="133"/>
      <c r="AH2846" s="133"/>
      <c r="AI2846" s="133"/>
      <c r="AJ2846" s="133"/>
      <c r="AK2846" s="133"/>
      <c r="AL2846" s="133"/>
      <c r="AM2846" s="133"/>
      <c r="AN2846" s="133"/>
      <c r="AO2846" s="133"/>
      <c r="AP2846" s="133"/>
      <c r="AQ2846" s="133"/>
      <c r="AR2846" s="133"/>
      <c r="AS2846" s="133"/>
      <c r="AT2846" s="133"/>
      <c r="AU2846" s="133"/>
      <c r="AV2846" s="133"/>
      <c r="AW2846" s="133"/>
      <c r="AX2846" s="133"/>
      <c r="AY2846" s="133"/>
      <c r="AZ2846" s="133"/>
      <c r="BA2846" s="133"/>
      <c r="BB2846" s="133"/>
      <c r="BC2846" s="133"/>
      <c r="BD2846" s="133"/>
      <c r="BE2846" s="133"/>
      <c r="BF2846" s="133"/>
      <c r="BG2846" s="133"/>
      <c r="BH2846" s="133"/>
      <c r="BI2846" s="133"/>
      <c r="BJ2846" s="133"/>
      <c r="BK2846" s="133"/>
      <c r="BL2846" s="133"/>
      <c r="BM2846" s="133"/>
      <c r="BN2846" s="133"/>
      <c r="BO2846" s="133"/>
      <c r="BP2846" s="133"/>
      <c r="BQ2846" s="133"/>
    </row>
    <row r="2847">
      <c r="A2847" s="194" t="s">
        <v>7547</v>
      </c>
      <c r="B2847" s="125"/>
      <c r="C2847" s="126">
        <v>43755.0</v>
      </c>
      <c r="D2847" s="133"/>
      <c r="E2847" s="124" t="s">
        <v>41</v>
      </c>
      <c r="F2847" s="198">
        <v>1.0</v>
      </c>
      <c r="G2847" s="124" t="s">
        <v>32</v>
      </c>
      <c r="H2847" s="303">
        <v>1.0</v>
      </c>
      <c r="I2847" s="124" t="s">
        <v>33</v>
      </c>
      <c r="J2847" s="124" t="s">
        <v>93</v>
      </c>
      <c r="K2847" s="133"/>
      <c r="L2847" s="124" t="s">
        <v>119</v>
      </c>
      <c r="M2847" s="242" t="s">
        <v>7548</v>
      </c>
      <c r="N2847" s="233"/>
      <c r="O2847" s="124"/>
      <c r="P2847" s="133"/>
      <c r="Q2847" s="124"/>
      <c r="R2847" s="128"/>
      <c r="S2847" s="37"/>
      <c r="T2847" s="38"/>
      <c r="U2847" s="38" t="b">
        <f t="shared" si="409"/>
        <v>0</v>
      </c>
      <c r="V2847" s="124" t="s">
        <v>33</v>
      </c>
      <c r="W2847" s="138"/>
      <c r="X2847" s="138"/>
      <c r="Y2847" s="233"/>
      <c r="Z2847" s="133"/>
      <c r="AA2847" s="133"/>
      <c r="AB2847" s="133"/>
      <c r="AC2847" s="133"/>
      <c r="AD2847" s="133"/>
      <c r="AE2847" s="133"/>
      <c r="AF2847" s="133"/>
      <c r="AG2847" s="133"/>
      <c r="AH2847" s="133"/>
      <c r="AI2847" s="133"/>
      <c r="AJ2847" s="133"/>
      <c r="AK2847" s="133"/>
      <c r="AL2847" s="133"/>
      <c r="AM2847" s="133"/>
      <c r="AN2847" s="133"/>
      <c r="AO2847" s="133"/>
      <c r="AP2847" s="133"/>
      <c r="AQ2847" s="133"/>
      <c r="AR2847" s="133"/>
      <c r="AS2847" s="133"/>
      <c r="AT2847" s="133"/>
      <c r="AU2847" s="133"/>
      <c r="AV2847" s="133"/>
      <c r="AW2847" s="133"/>
      <c r="AX2847" s="133"/>
      <c r="AY2847" s="133"/>
      <c r="AZ2847" s="133"/>
      <c r="BA2847" s="133"/>
      <c r="BB2847" s="133"/>
      <c r="BC2847" s="133"/>
      <c r="BD2847" s="133"/>
      <c r="BE2847" s="133"/>
      <c r="BF2847" s="133"/>
      <c r="BG2847" s="133"/>
      <c r="BH2847" s="133"/>
      <c r="BI2847" s="133"/>
      <c r="BJ2847" s="133"/>
      <c r="BK2847" s="133"/>
      <c r="BL2847" s="133"/>
      <c r="BM2847" s="133"/>
      <c r="BN2847" s="133"/>
      <c r="BO2847" s="133"/>
      <c r="BP2847" s="133"/>
      <c r="BQ2847" s="133"/>
    </row>
    <row r="2848">
      <c r="A2848" s="194" t="s">
        <v>7549</v>
      </c>
      <c r="B2848" s="125"/>
      <c r="C2848" s="126">
        <v>43759.0</v>
      </c>
      <c r="D2848" s="133"/>
      <c r="E2848" s="124" t="s">
        <v>41</v>
      </c>
      <c r="F2848" s="198">
        <v>1.0</v>
      </c>
      <c r="G2848" s="124">
        <v>1.0</v>
      </c>
      <c r="H2848" s="303">
        <v>1.0</v>
      </c>
      <c r="I2848" s="124" t="s">
        <v>33</v>
      </c>
      <c r="J2848" s="124" t="s">
        <v>42</v>
      </c>
      <c r="K2848" s="133"/>
      <c r="L2848" s="124" t="s">
        <v>76</v>
      </c>
      <c r="M2848" s="242" t="s">
        <v>7550</v>
      </c>
      <c r="N2848" s="233"/>
      <c r="O2848" s="173" t="str">
        <f>hyperlink("https://bad-boys.us/?q=WD-MI/1:19-cr-00252", "WD-MI 1:19-cr-00252")</f>
        <v>WD-MI 1:19-cr-00252</v>
      </c>
      <c r="P2848" s="133"/>
      <c r="Q2848" s="124">
        <v>1.0</v>
      </c>
      <c r="R2848" s="128"/>
      <c r="S2848" s="37"/>
      <c r="T2848" s="38"/>
      <c r="U2848" s="38"/>
      <c r="V2848" s="124" t="s">
        <v>33</v>
      </c>
      <c r="W2848" s="138"/>
      <c r="X2848" s="138"/>
      <c r="Y2848" s="233"/>
      <c r="Z2848" s="133"/>
      <c r="AA2848" s="133"/>
      <c r="AB2848" s="133"/>
      <c r="AC2848" s="133"/>
      <c r="AD2848" s="133"/>
      <c r="AE2848" s="133"/>
      <c r="AF2848" s="133"/>
      <c r="AG2848" s="133"/>
      <c r="AH2848" s="133"/>
      <c r="AI2848" s="133"/>
      <c r="AJ2848" s="133"/>
      <c r="AK2848" s="133"/>
      <c r="AL2848" s="133"/>
      <c r="AM2848" s="133"/>
      <c r="AN2848" s="133"/>
      <c r="AO2848" s="133"/>
      <c r="AP2848" s="133"/>
      <c r="AQ2848" s="133"/>
      <c r="AR2848" s="133"/>
      <c r="AS2848" s="133"/>
      <c r="AT2848" s="133"/>
      <c r="AU2848" s="133"/>
      <c r="AV2848" s="133"/>
      <c r="AW2848" s="133"/>
      <c r="AX2848" s="133"/>
      <c r="AY2848" s="133"/>
      <c r="AZ2848" s="133"/>
      <c r="BA2848" s="133"/>
      <c r="BB2848" s="133"/>
      <c r="BC2848" s="133"/>
      <c r="BD2848" s="133"/>
      <c r="BE2848" s="133"/>
      <c r="BF2848" s="133"/>
      <c r="BG2848" s="133"/>
      <c r="BH2848" s="133"/>
      <c r="BI2848" s="133"/>
      <c r="BJ2848" s="133"/>
      <c r="BK2848" s="133"/>
      <c r="BL2848" s="133"/>
      <c r="BM2848" s="133"/>
      <c r="BN2848" s="133"/>
      <c r="BO2848" s="133"/>
      <c r="BP2848" s="133"/>
      <c r="BQ2848" s="133"/>
    </row>
    <row r="2849">
      <c r="A2849" s="194" t="s">
        <v>7551</v>
      </c>
      <c r="B2849" s="125"/>
      <c r="C2849" s="126">
        <v>43760.0</v>
      </c>
      <c r="D2849" s="133"/>
      <c r="E2849" s="124" t="s">
        <v>41</v>
      </c>
      <c r="F2849" s="198">
        <v>1.0</v>
      </c>
      <c r="G2849" s="124" t="s">
        <v>32</v>
      </c>
      <c r="H2849" s="303">
        <v>1.0</v>
      </c>
      <c r="I2849" s="124" t="s">
        <v>33</v>
      </c>
      <c r="J2849" s="124" t="s">
        <v>115</v>
      </c>
      <c r="K2849" s="133"/>
      <c r="L2849" s="124" t="s">
        <v>119</v>
      </c>
      <c r="M2849" s="242" t="s">
        <v>7552</v>
      </c>
      <c r="N2849" s="233"/>
      <c r="O2849" s="124"/>
      <c r="P2849" s="133"/>
      <c r="Q2849" s="124">
        <v>1.0</v>
      </c>
      <c r="R2849" s="128"/>
      <c r="S2849" s="37"/>
      <c r="T2849" s="38"/>
      <c r="U2849" s="38"/>
      <c r="V2849" s="124" t="s">
        <v>33</v>
      </c>
      <c r="W2849" s="138"/>
      <c r="X2849" s="138"/>
      <c r="Y2849" s="233"/>
      <c r="Z2849" s="133"/>
      <c r="AA2849" s="133"/>
      <c r="AB2849" s="133"/>
      <c r="AC2849" s="133"/>
      <c r="AD2849" s="133"/>
      <c r="AE2849" s="133"/>
      <c r="AF2849" s="133"/>
      <c r="AG2849" s="133"/>
      <c r="AH2849" s="133"/>
      <c r="AI2849" s="133"/>
      <c r="AJ2849" s="133"/>
      <c r="AK2849" s="133"/>
      <c r="AL2849" s="133"/>
      <c r="AM2849" s="133"/>
      <c r="AN2849" s="133"/>
      <c r="AO2849" s="133"/>
      <c r="AP2849" s="133"/>
      <c r="AQ2849" s="133"/>
      <c r="AR2849" s="133"/>
      <c r="AS2849" s="133"/>
      <c r="AT2849" s="133"/>
      <c r="AU2849" s="133"/>
      <c r="AV2849" s="133"/>
      <c r="AW2849" s="133"/>
      <c r="AX2849" s="133"/>
      <c r="AY2849" s="133"/>
      <c r="AZ2849" s="133"/>
      <c r="BA2849" s="133"/>
      <c r="BB2849" s="133"/>
      <c r="BC2849" s="133"/>
      <c r="BD2849" s="133"/>
      <c r="BE2849" s="133"/>
      <c r="BF2849" s="133"/>
      <c r="BG2849" s="133"/>
      <c r="BH2849" s="133"/>
      <c r="BI2849" s="133"/>
      <c r="BJ2849" s="133"/>
      <c r="BK2849" s="133"/>
      <c r="BL2849" s="133"/>
      <c r="BM2849" s="133"/>
      <c r="BN2849" s="133"/>
      <c r="BO2849" s="133"/>
      <c r="BP2849" s="133"/>
      <c r="BQ2849" s="133"/>
    </row>
    <row r="2850">
      <c r="A2850" s="194" t="s">
        <v>7553</v>
      </c>
      <c r="B2850" s="125"/>
      <c r="C2850" s="126">
        <v>43760.0</v>
      </c>
      <c r="D2850" s="133"/>
      <c r="E2850" s="124" t="s">
        <v>41</v>
      </c>
      <c r="F2850" s="198">
        <v>1.0</v>
      </c>
      <c r="G2850" s="124" t="s">
        <v>32</v>
      </c>
      <c r="H2850" s="303">
        <v>1.0</v>
      </c>
      <c r="I2850" s="124" t="s">
        <v>33</v>
      </c>
      <c r="J2850" s="124" t="s">
        <v>288</v>
      </c>
      <c r="K2850" s="133"/>
      <c r="L2850" s="124" t="s">
        <v>119</v>
      </c>
      <c r="M2850" s="242" t="s">
        <v>7554</v>
      </c>
      <c r="N2850" s="233"/>
      <c r="O2850" s="124"/>
      <c r="P2850" s="133"/>
      <c r="Q2850" s="124">
        <v>1.0</v>
      </c>
      <c r="R2850" s="128"/>
      <c r="S2850" s="37"/>
      <c r="T2850" s="38"/>
      <c r="U2850" s="38"/>
      <c r="V2850" s="124" t="s">
        <v>33</v>
      </c>
      <c r="W2850" s="138"/>
      <c r="X2850" s="138"/>
      <c r="Y2850" s="233"/>
      <c r="Z2850" s="133"/>
      <c r="AA2850" s="133"/>
      <c r="AB2850" s="133"/>
      <c r="AC2850" s="133"/>
      <c r="AD2850" s="133"/>
      <c r="AE2850" s="133"/>
      <c r="AF2850" s="133"/>
      <c r="AG2850" s="133"/>
      <c r="AH2850" s="133"/>
      <c r="AI2850" s="133"/>
      <c r="AJ2850" s="133"/>
      <c r="AK2850" s="133"/>
      <c r="AL2850" s="133"/>
      <c r="AM2850" s="133"/>
      <c r="AN2850" s="133"/>
      <c r="AO2850" s="133"/>
      <c r="AP2850" s="133"/>
      <c r="AQ2850" s="133"/>
      <c r="AR2850" s="133"/>
      <c r="AS2850" s="133"/>
      <c r="AT2850" s="133"/>
      <c r="AU2850" s="133"/>
      <c r="AV2850" s="133"/>
      <c r="AW2850" s="133"/>
      <c r="AX2850" s="133"/>
      <c r="AY2850" s="133"/>
      <c r="AZ2850" s="133"/>
      <c r="BA2850" s="133"/>
      <c r="BB2850" s="133"/>
      <c r="BC2850" s="133"/>
      <c r="BD2850" s="133"/>
      <c r="BE2850" s="133"/>
      <c r="BF2850" s="133"/>
      <c r="BG2850" s="133"/>
      <c r="BH2850" s="133"/>
      <c r="BI2850" s="133"/>
      <c r="BJ2850" s="133"/>
      <c r="BK2850" s="133"/>
      <c r="BL2850" s="133"/>
      <c r="BM2850" s="133"/>
      <c r="BN2850" s="133"/>
      <c r="BO2850" s="133"/>
      <c r="BP2850" s="133"/>
      <c r="BQ2850" s="133"/>
    </row>
    <row r="2851">
      <c r="A2851" s="194" t="s">
        <v>7555</v>
      </c>
      <c r="B2851" s="125"/>
      <c r="C2851" s="126">
        <v>43761.0</v>
      </c>
      <c r="D2851" s="133"/>
      <c r="E2851" s="124" t="s">
        <v>41</v>
      </c>
      <c r="F2851" s="198">
        <v>1.0</v>
      </c>
      <c r="G2851" s="124" t="s">
        <v>32</v>
      </c>
      <c r="H2851" s="303">
        <v>1.0</v>
      </c>
      <c r="I2851" s="124" t="s">
        <v>33</v>
      </c>
      <c r="J2851" s="124" t="s">
        <v>162</v>
      </c>
      <c r="K2851" s="133"/>
      <c r="L2851" s="124" t="s">
        <v>119</v>
      </c>
      <c r="M2851" s="242" t="s">
        <v>7556</v>
      </c>
      <c r="N2851" s="233"/>
      <c r="O2851" s="124"/>
      <c r="P2851" s="133"/>
      <c r="Q2851" s="124">
        <v>1.0</v>
      </c>
      <c r="R2851" s="128"/>
      <c r="S2851" s="37"/>
      <c r="T2851" s="38"/>
      <c r="U2851" s="38"/>
      <c r="V2851" s="124" t="s">
        <v>33</v>
      </c>
      <c r="W2851" s="138"/>
      <c r="X2851" s="138"/>
      <c r="Y2851" s="233"/>
      <c r="Z2851" s="133"/>
      <c r="AA2851" s="133"/>
      <c r="AB2851" s="133"/>
      <c r="AC2851" s="133"/>
      <c r="AD2851" s="133"/>
      <c r="AE2851" s="133"/>
      <c r="AF2851" s="133"/>
      <c r="AG2851" s="133"/>
      <c r="AH2851" s="133"/>
      <c r="AI2851" s="133"/>
      <c r="AJ2851" s="133"/>
      <c r="AK2851" s="133"/>
      <c r="AL2851" s="133"/>
      <c r="AM2851" s="133"/>
      <c r="AN2851" s="133"/>
      <c r="AO2851" s="133"/>
      <c r="AP2851" s="133"/>
      <c r="AQ2851" s="133"/>
      <c r="AR2851" s="133"/>
      <c r="AS2851" s="133"/>
      <c r="AT2851" s="133"/>
      <c r="AU2851" s="133"/>
      <c r="AV2851" s="133"/>
      <c r="AW2851" s="133"/>
      <c r="AX2851" s="133"/>
      <c r="AY2851" s="133"/>
      <c r="AZ2851" s="133"/>
      <c r="BA2851" s="133"/>
      <c r="BB2851" s="133"/>
      <c r="BC2851" s="133"/>
      <c r="BD2851" s="133"/>
      <c r="BE2851" s="133"/>
      <c r="BF2851" s="133"/>
      <c r="BG2851" s="133"/>
      <c r="BH2851" s="133"/>
      <c r="BI2851" s="133"/>
      <c r="BJ2851" s="133"/>
      <c r="BK2851" s="133"/>
      <c r="BL2851" s="133"/>
      <c r="BM2851" s="133"/>
      <c r="BN2851" s="133"/>
      <c r="BO2851" s="133"/>
      <c r="BP2851" s="133"/>
      <c r="BQ2851" s="133"/>
    </row>
    <row r="2852">
      <c r="A2852" s="194" t="s">
        <v>7557</v>
      </c>
      <c r="B2852" s="125"/>
      <c r="C2852" s="126">
        <v>43761.0</v>
      </c>
      <c r="D2852" s="133"/>
      <c r="E2852" s="124" t="s">
        <v>41</v>
      </c>
      <c r="F2852" s="198">
        <v>1.0</v>
      </c>
      <c r="G2852" s="124" t="s">
        <v>32</v>
      </c>
      <c r="H2852" s="303">
        <v>1.0</v>
      </c>
      <c r="I2852" s="124" t="s">
        <v>33</v>
      </c>
      <c r="J2852" s="124" t="s">
        <v>93</v>
      </c>
      <c r="K2852" s="133"/>
      <c r="L2852" s="124" t="s">
        <v>119</v>
      </c>
      <c r="M2852" s="242" t="s">
        <v>7558</v>
      </c>
      <c r="N2852" s="233"/>
      <c r="O2852" s="124"/>
      <c r="P2852" s="133"/>
      <c r="Q2852" s="124"/>
      <c r="R2852" s="128"/>
      <c r="S2852" s="37"/>
      <c r="T2852" s="38"/>
      <c r="U2852" s="38"/>
      <c r="V2852" s="124" t="s">
        <v>33</v>
      </c>
      <c r="W2852" s="138"/>
      <c r="X2852" s="138"/>
      <c r="Y2852" s="233"/>
      <c r="Z2852" s="133"/>
      <c r="AA2852" s="133"/>
      <c r="AB2852" s="133"/>
      <c r="AC2852" s="133"/>
      <c r="AD2852" s="133"/>
      <c r="AE2852" s="133"/>
      <c r="AF2852" s="133"/>
      <c r="AG2852" s="133"/>
      <c r="AH2852" s="133"/>
      <c r="AI2852" s="133"/>
      <c r="AJ2852" s="133"/>
      <c r="AK2852" s="133"/>
      <c r="AL2852" s="133"/>
      <c r="AM2852" s="133"/>
      <c r="AN2852" s="133"/>
      <c r="AO2852" s="133"/>
      <c r="AP2852" s="133"/>
      <c r="AQ2852" s="133"/>
      <c r="AR2852" s="133"/>
      <c r="AS2852" s="133"/>
      <c r="AT2852" s="133"/>
      <c r="AU2852" s="133"/>
      <c r="AV2852" s="133"/>
      <c r="AW2852" s="133"/>
      <c r="AX2852" s="133"/>
      <c r="AY2852" s="133"/>
      <c r="AZ2852" s="133"/>
      <c r="BA2852" s="133"/>
      <c r="BB2852" s="133"/>
      <c r="BC2852" s="133"/>
      <c r="BD2852" s="133"/>
      <c r="BE2852" s="133"/>
      <c r="BF2852" s="133"/>
      <c r="BG2852" s="133"/>
      <c r="BH2852" s="133"/>
      <c r="BI2852" s="133"/>
      <c r="BJ2852" s="133"/>
      <c r="BK2852" s="133"/>
      <c r="BL2852" s="133"/>
      <c r="BM2852" s="133"/>
      <c r="BN2852" s="133"/>
      <c r="BO2852" s="133"/>
      <c r="BP2852" s="133"/>
      <c r="BQ2852" s="133"/>
    </row>
    <row r="2853">
      <c r="A2853" s="194" t="s">
        <v>7559</v>
      </c>
      <c r="B2853" s="125"/>
      <c r="C2853" s="126">
        <v>43761.0</v>
      </c>
      <c r="D2853" s="133"/>
      <c r="E2853" s="124" t="s">
        <v>41</v>
      </c>
      <c r="F2853" s="198">
        <v>1.0</v>
      </c>
      <c r="G2853" s="124" t="s">
        <v>32</v>
      </c>
      <c r="H2853" s="303">
        <v>1.0</v>
      </c>
      <c r="I2853" s="124" t="s">
        <v>33</v>
      </c>
      <c r="J2853" s="124" t="s">
        <v>115</v>
      </c>
      <c r="K2853" s="133"/>
      <c r="L2853" s="124" t="s">
        <v>69</v>
      </c>
      <c r="M2853" s="242" t="s">
        <v>7560</v>
      </c>
      <c r="N2853" s="233"/>
      <c r="O2853" s="173" t="str">
        <f>hyperlink("https://bad-boys.us/?q=MD-PA/1:19-cr-00300", "MD-PA 1:19-cr-00300")</f>
        <v>MD-PA 1:19-cr-00300</v>
      </c>
      <c r="P2853" s="133"/>
      <c r="Q2853" s="124">
        <v>1.0</v>
      </c>
      <c r="R2853" s="128"/>
      <c r="S2853" s="37"/>
      <c r="T2853" s="38"/>
      <c r="U2853" s="38" t="b">
        <f>countif(A$4:A4658, A2853)&gt;1</f>
        <v>0</v>
      </c>
      <c r="V2853" s="124" t="s">
        <v>33</v>
      </c>
      <c r="W2853" s="138"/>
      <c r="X2853" s="138"/>
      <c r="Y2853" s="233"/>
      <c r="Z2853" s="133"/>
      <c r="AA2853" s="133"/>
      <c r="AB2853" s="133"/>
      <c r="AC2853" s="133"/>
      <c r="AD2853" s="133"/>
      <c r="AE2853" s="133"/>
      <c r="AF2853" s="133"/>
      <c r="AG2853" s="133"/>
      <c r="AH2853" s="133"/>
      <c r="AI2853" s="133"/>
      <c r="AJ2853" s="133"/>
      <c r="AK2853" s="133"/>
      <c r="AL2853" s="133"/>
      <c r="AM2853" s="133"/>
      <c r="AN2853" s="133"/>
      <c r="AO2853" s="133"/>
      <c r="AP2853" s="133"/>
      <c r="AQ2853" s="133"/>
      <c r="AR2853" s="133"/>
      <c r="AS2853" s="133"/>
      <c r="AT2853" s="133"/>
      <c r="AU2853" s="133"/>
      <c r="AV2853" s="133"/>
      <c r="AW2853" s="133"/>
      <c r="AX2853" s="133"/>
      <c r="AY2853" s="133"/>
      <c r="AZ2853" s="133"/>
      <c r="BA2853" s="133"/>
      <c r="BB2853" s="133"/>
      <c r="BC2853" s="133"/>
      <c r="BD2853" s="133"/>
      <c r="BE2853" s="133"/>
      <c r="BF2853" s="133"/>
      <c r="BG2853" s="133"/>
      <c r="BH2853" s="133"/>
      <c r="BI2853" s="133"/>
      <c r="BJ2853" s="133"/>
      <c r="BK2853" s="133"/>
      <c r="BL2853" s="133"/>
      <c r="BM2853" s="133"/>
      <c r="BN2853" s="133"/>
      <c r="BO2853" s="133"/>
      <c r="BP2853" s="133"/>
      <c r="BQ2853" s="133"/>
    </row>
    <row r="2854">
      <c r="A2854" s="194" t="s">
        <v>7561</v>
      </c>
      <c r="B2854" s="125"/>
      <c r="C2854" s="126">
        <v>43762.0</v>
      </c>
      <c r="D2854" s="133"/>
      <c r="E2854" s="124" t="s">
        <v>41</v>
      </c>
      <c r="F2854" s="198">
        <v>1.0</v>
      </c>
      <c r="G2854" s="124" t="s">
        <v>32</v>
      </c>
      <c r="H2854" s="303">
        <v>1.0</v>
      </c>
      <c r="I2854" s="124" t="s">
        <v>33</v>
      </c>
      <c r="J2854" s="124" t="s">
        <v>318</v>
      </c>
      <c r="K2854" s="133"/>
      <c r="L2854" s="124" t="s">
        <v>119</v>
      </c>
      <c r="M2854" s="242" t="s">
        <v>7562</v>
      </c>
      <c r="N2854" s="233"/>
      <c r="O2854" s="124"/>
      <c r="P2854" s="133"/>
      <c r="Q2854" s="124">
        <v>1.0</v>
      </c>
      <c r="R2854" s="128"/>
      <c r="S2854" s="37"/>
      <c r="T2854" s="38"/>
      <c r="U2854" s="38"/>
      <c r="V2854" s="124" t="s">
        <v>33</v>
      </c>
      <c r="W2854" s="138"/>
      <c r="X2854" s="138"/>
      <c r="Y2854" s="233"/>
      <c r="Z2854" s="133"/>
      <c r="AA2854" s="133"/>
      <c r="AB2854" s="133"/>
      <c r="AC2854" s="133"/>
      <c r="AD2854" s="133"/>
      <c r="AE2854" s="133"/>
      <c r="AF2854" s="133"/>
      <c r="AG2854" s="133"/>
      <c r="AH2854" s="133"/>
      <c r="AI2854" s="133"/>
      <c r="AJ2854" s="133"/>
      <c r="AK2854" s="133"/>
      <c r="AL2854" s="133"/>
      <c r="AM2854" s="133"/>
      <c r="AN2854" s="133"/>
      <c r="AO2854" s="133"/>
      <c r="AP2854" s="133"/>
      <c r="AQ2854" s="133"/>
      <c r="AR2854" s="133"/>
      <c r="AS2854" s="133"/>
      <c r="AT2854" s="133"/>
      <c r="AU2854" s="133"/>
      <c r="AV2854" s="133"/>
      <c r="AW2854" s="133"/>
      <c r="AX2854" s="133"/>
      <c r="AY2854" s="133"/>
      <c r="AZ2854" s="133"/>
      <c r="BA2854" s="133"/>
      <c r="BB2854" s="133"/>
      <c r="BC2854" s="133"/>
      <c r="BD2854" s="133"/>
      <c r="BE2854" s="133"/>
      <c r="BF2854" s="133"/>
      <c r="BG2854" s="133"/>
      <c r="BH2854" s="133"/>
      <c r="BI2854" s="133"/>
      <c r="BJ2854" s="133"/>
      <c r="BK2854" s="133"/>
      <c r="BL2854" s="133"/>
      <c r="BM2854" s="133"/>
      <c r="BN2854" s="133"/>
      <c r="BO2854" s="133"/>
      <c r="BP2854" s="133"/>
      <c r="BQ2854" s="133"/>
    </row>
    <row r="2855">
      <c r="A2855" s="194" t="s">
        <v>7563</v>
      </c>
      <c r="B2855" s="125"/>
      <c r="C2855" s="126">
        <v>43762.0</v>
      </c>
      <c r="D2855" s="133"/>
      <c r="E2855" s="124" t="s">
        <v>41</v>
      </c>
      <c r="F2855" s="198">
        <v>1.0</v>
      </c>
      <c r="G2855" s="124" t="s">
        <v>32</v>
      </c>
      <c r="H2855" s="303">
        <v>1.0</v>
      </c>
      <c r="I2855" s="124" t="s">
        <v>33</v>
      </c>
      <c r="J2855" s="124" t="s">
        <v>179</v>
      </c>
      <c r="K2855" s="133"/>
      <c r="L2855" s="124" t="s">
        <v>6820</v>
      </c>
      <c r="M2855" s="242" t="s">
        <v>7564</v>
      </c>
      <c r="N2855" s="233"/>
      <c r="O2855" s="124"/>
      <c r="P2855" s="133"/>
      <c r="Q2855" s="124">
        <v>1.0</v>
      </c>
      <c r="R2855" s="128"/>
      <c r="S2855" s="37"/>
      <c r="T2855" s="38"/>
      <c r="U2855" s="38"/>
      <c r="V2855" s="124" t="s">
        <v>33</v>
      </c>
      <c r="W2855" s="138"/>
      <c r="X2855" s="138"/>
      <c r="Y2855" s="233"/>
      <c r="Z2855" s="133"/>
      <c r="AA2855" s="133"/>
      <c r="AB2855" s="133"/>
      <c r="AC2855" s="133"/>
      <c r="AD2855" s="133"/>
      <c r="AE2855" s="133"/>
      <c r="AF2855" s="133"/>
      <c r="AG2855" s="133"/>
      <c r="AH2855" s="133"/>
      <c r="AI2855" s="133"/>
      <c r="AJ2855" s="133"/>
      <c r="AK2855" s="133"/>
      <c r="AL2855" s="133"/>
      <c r="AM2855" s="133"/>
      <c r="AN2855" s="133"/>
      <c r="AO2855" s="133"/>
      <c r="AP2855" s="133"/>
      <c r="AQ2855" s="133"/>
      <c r="AR2855" s="133"/>
      <c r="AS2855" s="133"/>
      <c r="AT2855" s="133"/>
      <c r="AU2855" s="133"/>
      <c r="AV2855" s="133"/>
      <c r="AW2855" s="133"/>
      <c r="AX2855" s="133"/>
      <c r="AY2855" s="133"/>
      <c r="AZ2855" s="133"/>
      <c r="BA2855" s="133"/>
      <c r="BB2855" s="133"/>
      <c r="BC2855" s="133"/>
      <c r="BD2855" s="133"/>
      <c r="BE2855" s="133"/>
      <c r="BF2855" s="133"/>
      <c r="BG2855" s="133"/>
      <c r="BH2855" s="133"/>
      <c r="BI2855" s="133"/>
      <c r="BJ2855" s="133"/>
      <c r="BK2855" s="133"/>
      <c r="BL2855" s="133"/>
      <c r="BM2855" s="133"/>
      <c r="BN2855" s="133"/>
      <c r="BO2855" s="133"/>
      <c r="BP2855" s="133"/>
      <c r="BQ2855" s="133"/>
    </row>
    <row r="2856">
      <c r="A2856" s="194" t="s">
        <v>239</v>
      </c>
      <c r="B2856" s="125"/>
      <c r="C2856" s="126">
        <v>43764.0</v>
      </c>
      <c r="D2856" s="133"/>
      <c r="E2856" s="124" t="s">
        <v>41</v>
      </c>
      <c r="F2856" s="198">
        <v>2.0</v>
      </c>
      <c r="G2856" s="124" t="s">
        <v>32</v>
      </c>
      <c r="H2856" s="303">
        <v>1.0</v>
      </c>
      <c r="I2856" s="124" t="s">
        <v>33</v>
      </c>
      <c r="J2856" s="124" t="s">
        <v>111</v>
      </c>
      <c r="K2856" s="133"/>
      <c r="L2856" s="124" t="s">
        <v>194</v>
      </c>
      <c r="M2856" s="242" t="s">
        <v>7565</v>
      </c>
      <c r="N2856" s="233"/>
      <c r="O2856" s="124"/>
      <c r="P2856" s="133"/>
      <c r="Q2856" s="124"/>
      <c r="R2856" s="128"/>
      <c r="S2856" s="37"/>
      <c r="T2856" s="38"/>
      <c r="U2856" s="38"/>
      <c r="V2856" s="124" t="s">
        <v>33</v>
      </c>
      <c r="W2856" s="138"/>
      <c r="X2856" s="138"/>
      <c r="Y2856" s="233"/>
      <c r="Z2856" s="133"/>
      <c r="AA2856" s="133"/>
      <c r="AB2856" s="133"/>
      <c r="AC2856" s="133"/>
      <c r="AD2856" s="133"/>
      <c r="AE2856" s="133"/>
      <c r="AF2856" s="133"/>
      <c r="AG2856" s="133"/>
      <c r="AH2856" s="133"/>
      <c r="AI2856" s="133"/>
      <c r="AJ2856" s="133"/>
      <c r="AK2856" s="133"/>
      <c r="AL2856" s="133"/>
      <c r="AM2856" s="133"/>
      <c r="AN2856" s="133"/>
      <c r="AO2856" s="133"/>
      <c r="AP2856" s="133"/>
      <c r="AQ2856" s="133"/>
      <c r="AR2856" s="133"/>
      <c r="AS2856" s="133"/>
      <c r="AT2856" s="133"/>
      <c r="AU2856" s="133"/>
      <c r="AV2856" s="133"/>
      <c r="AW2856" s="133"/>
      <c r="AX2856" s="133"/>
      <c r="AY2856" s="133"/>
      <c r="AZ2856" s="133"/>
      <c r="BA2856" s="133"/>
      <c r="BB2856" s="133"/>
      <c r="BC2856" s="133"/>
      <c r="BD2856" s="133"/>
      <c r="BE2856" s="133"/>
      <c r="BF2856" s="133"/>
      <c r="BG2856" s="133"/>
      <c r="BH2856" s="133"/>
      <c r="BI2856" s="133"/>
      <c r="BJ2856" s="133"/>
      <c r="BK2856" s="133"/>
      <c r="BL2856" s="133"/>
      <c r="BM2856" s="133"/>
      <c r="BN2856" s="133"/>
      <c r="BO2856" s="133"/>
      <c r="BP2856" s="133"/>
      <c r="BQ2856" s="133"/>
    </row>
    <row r="2857">
      <c r="A2857" s="194" t="s">
        <v>7566</v>
      </c>
      <c r="B2857" s="125"/>
      <c r="C2857" s="126">
        <v>43765.0</v>
      </c>
      <c r="D2857" s="133"/>
      <c r="E2857" s="124" t="s">
        <v>41</v>
      </c>
      <c r="F2857" s="198">
        <v>1.0</v>
      </c>
      <c r="G2857" s="124" t="s">
        <v>32</v>
      </c>
      <c r="H2857" s="303">
        <v>1.0</v>
      </c>
      <c r="I2857" s="124" t="s">
        <v>33</v>
      </c>
      <c r="J2857" s="124" t="s">
        <v>222</v>
      </c>
      <c r="K2857" s="133"/>
      <c r="L2857" s="124" t="s">
        <v>119</v>
      </c>
      <c r="M2857" s="242" t="s">
        <v>7567</v>
      </c>
      <c r="N2857" s="233"/>
      <c r="O2857" s="124"/>
      <c r="P2857" s="133"/>
      <c r="Q2857" s="124"/>
      <c r="R2857" s="128"/>
      <c r="S2857" s="37"/>
      <c r="T2857" s="38"/>
      <c r="U2857" s="38"/>
      <c r="V2857" s="124" t="s">
        <v>33</v>
      </c>
      <c r="W2857" s="138"/>
      <c r="X2857" s="138"/>
      <c r="Y2857" s="233"/>
      <c r="Z2857" s="133"/>
      <c r="AA2857" s="133"/>
      <c r="AB2857" s="133"/>
      <c r="AC2857" s="133"/>
      <c r="AD2857" s="133"/>
      <c r="AE2857" s="133"/>
      <c r="AF2857" s="133"/>
      <c r="AG2857" s="133"/>
      <c r="AH2857" s="133"/>
      <c r="AI2857" s="133"/>
      <c r="AJ2857" s="133"/>
      <c r="AK2857" s="133"/>
      <c r="AL2857" s="133"/>
      <c r="AM2857" s="133"/>
      <c r="AN2857" s="133"/>
      <c r="AO2857" s="133"/>
      <c r="AP2857" s="133"/>
      <c r="AQ2857" s="133"/>
      <c r="AR2857" s="133"/>
      <c r="AS2857" s="133"/>
      <c r="AT2857" s="133"/>
      <c r="AU2857" s="133"/>
      <c r="AV2857" s="133"/>
      <c r="AW2857" s="133"/>
      <c r="AX2857" s="133"/>
      <c r="AY2857" s="133"/>
      <c r="AZ2857" s="133"/>
      <c r="BA2857" s="133"/>
      <c r="BB2857" s="133"/>
      <c r="BC2857" s="133"/>
      <c r="BD2857" s="133"/>
      <c r="BE2857" s="133"/>
      <c r="BF2857" s="133"/>
      <c r="BG2857" s="133"/>
      <c r="BH2857" s="133"/>
      <c r="BI2857" s="133"/>
      <c r="BJ2857" s="133"/>
      <c r="BK2857" s="133"/>
      <c r="BL2857" s="133"/>
      <c r="BM2857" s="133"/>
      <c r="BN2857" s="133"/>
      <c r="BO2857" s="133"/>
      <c r="BP2857" s="133"/>
      <c r="BQ2857" s="133"/>
    </row>
    <row r="2858">
      <c r="A2858" s="194" t="s">
        <v>7568</v>
      </c>
      <c r="B2858" s="125"/>
      <c r="C2858" s="126">
        <v>43767.0</v>
      </c>
      <c r="D2858" s="133"/>
      <c r="E2858" s="124" t="s">
        <v>41</v>
      </c>
      <c r="F2858" s="198">
        <v>1.0</v>
      </c>
      <c r="G2858" s="124" t="s">
        <v>32</v>
      </c>
      <c r="H2858" s="303">
        <v>1.0</v>
      </c>
      <c r="I2858" s="124" t="s">
        <v>33</v>
      </c>
      <c r="J2858" s="124" t="s">
        <v>343</v>
      </c>
      <c r="K2858" s="133"/>
      <c r="L2858" s="124" t="s">
        <v>119</v>
      </c>
      <c r="M2858" s="242" t="s">
        <v>7569</v>
      </c>
      <c r="N2858" s="233"/>
      <c r="O2858" s="173" t="str">
        <f>hyperlink("https://bad-boys.us/?q=SD-WV/3:19-cr-00271", "SD-WV 3:19-cr-00271")</f>
        <v>SD-WV 3:19-cr-00271</v>
      </c>
      <c r="P2858" s="133"/>
      <c r="Q2858" s="124">
        <v>1.0</v>
      </c>
      <c r="R2858" s="128"/>
      <c r="S2858" s="37"/>
      <c r="T2858" s="38"/>
      <c r="U2858" s="38" t="b">
        <f>countif(A$4:A4658, A2858)&gt;1</f>
        <v>0</v>
      </c>
      <c r="V2858" s="124" t="s">
        <v>33</v>
      </c>
      <c r="W2858" s="138"/>
      <c r="X2858" s="138"/>
      <c r="Y2858" s="233"/>
      <c r="Z2858" s="133"/>
      <c r="AA2858" s="133"/>
      <c r="AB2858" s="133"/>
      <c r="AC2858" s="133"/>
      <c r="AD2858" s="133"/>
      <c r="AE2858" s="133"/>
      <c r="AF2858" s="133"/>
      <c r="AG2858" s="133"/>
      <c r="AH2858" s="133"/>
      <c r="AI2858" s="133"/>
      <c r="AJ2858" s="133"/>
      <c r="AK2858" s="133"/>
      <c r="AL2858" s="133"/>
      <c r="AM2858" s="133"/>
      <c r="AN2858" s="133"/>
      <c r="AO2858" s="133"/>
      <c r="AP2858" s="133"/>
      <c r="AQ2858" s="133"/>
      <c r="AR2858" s="133"/>
      <c r="AS2858" s="133"/>
      <c r="AT2858" s="133"/>
      <c r="AU2858" s="133"/>
      <c r="AV2858" s="133"/>
      <c r="AW2858" s="133"/>
      <c r="AX2858" s="133"/>
      <c r="AY2858" s="133"/>
      <c r="AZ2858" s="133"/>
      <c r="BA2858" s="133"/>
      <c r="BB2858" s="133"/>
      <c r="BC2858" s="133"/>
      <c r="BD2858" s="133"/>
      <c r="BE2858" s="133"/>
      <c r="BF2858" s="133"/>
      <c r="BG2858" s="133"/>
      <c r="BH2858" s="133"/>
      <c r="BI2858" s="133"/>
      <c r="BJ2858" s="133"/>
      <c r="BK2858" s="133"/>
      <c r="BL2858" s="133"/>
      <c r="BM2858" s="133"/>
      <c r="BN2858" s="133"/>
      <c r="BO2858" s="133"/>
      <c r="BP2858" s="133"/>
      <c r="BQ2858" s="133"/>
    </row>
    <row r="2859">
      <c r="A2859" s="194" t="s">
        <v>7570</v>
      </c>
      <c r="B2859" s="125"/>
      <c r="C2859" s="126">
        <v>43767.0</v>
      </c>
      <c r="D2859" s="133"/>
      <c r="E2859" s="124" t="s">
        <v>41</v>
      </c>
      <c r="F2859" s="198">
        <v>1.0</v>
      </c>
      <c r="G2859" s="124" t="s">
        <v>32</v>
      </c>
      <c r="H2859" s="303">
        <v>1.0</v>
      </c>
      <c r="I2859" s="124" t="s">
        <v>33</v>
      </c>
      <c r="J2859" s="124" t="s">
        <v>111</v>
      </c>
      <c r="K2859" s="133"/>
      <c r="L2859" s="124" t="s">
        <v>119</v>
      </c>
      <c r="M2859" s="305" t="s">
        <v>7571</v>
      </c>
      <c r="N2859" s="233"/>
      <c r="O2859" s="124"/>
      <c r="P2859" s="133"/>
      <c r="Q2859" s="124"/>
      <c r="R2859" s="128"/>
      <c r="S2859" s="37"/>
      <c r="T2859" s="38"/>
      <c r="U2859" s="38"/>
      <c r="V2859" s="124" t="s">
        <v>33</v>
      </c>
      <c r="W2859" s="138"/>
      <c r="X2859" s="138"/>
      <c r="Y2859" s="233"/>
      <c r="Z2859" s="133"/>
      <c r="AA2859" s="133"/>
      <c r="AB2859" s="133"/>
      <c r="AC2859" s="133"/>
      <c r="AD2859" s="133"/>
      <c r="AE2859" s="133"/>
      <c r="AF2859" s="133"/>
      <c r="AG2859" s="133"/>
      <c r="AH2859" s="133"/>
      <c r="AI2859" s="133"/>
      <c r="AJ2859" s="133"/>
      <c r="AK2859" s="133"/>
      <c r="AL2859" s="133"/>
      <c r="AM2859" s="133"/>
      <c r="AN2859" s="133"/>
      <c r="AO2859" s="133"/>
      <c r="AP2859" s="133"/>
      <c r="AQ2859" s="133"/>
      <c r="AR2859" s="133"/>
      <c r="AS2859" s="133"/>
      <c r="AT2859" s="133"/>
      <c r="AU2859" s="133"/>
      <c r="AV2859" s="133"/>
      <c r="AW2859" s="133"/>
      <c r="AX2859" s="133"/>
      <c r="AY2859" s="133"/>
      <c r="AZ2859" s="133"/>
      <c r="BA2859" s="133"/>
      <c r="BB2859" s="133"/>
      <c r="BC2859" s="133"/>
      <c r="BD2859" s="133"/>
      <c r="BE2859" s="133"/>
      <c r="BF2859" s="133"/>
      <c r="BG2859" s="133"/>
      <c r="BH2859" s="133"/>
      <c r="BI2859" s="133"/>
      <c r="BJ2859" s="133"/>
      <c r="BK2859" s="133"/>
      <c r="BL2859" s="133"/>
      <c r="BM2859" s="133"/>
      <c r="BN2859" s="133"/>
      <c r="BO2859" s="133"/>
      <c r="BP2859" s="133"/>
      <c r="BQ2859" s="133"/>
    </row>
    <row r="2860">
      <c r="A2860" s="194" t="s">
        <v>7572</v>
      </c>
      <c r="B2860" s="125"/>
      <c r="C2860" s="126">
        <v>43767.0</v>
      </c>
      <c r="D2860" s="133"/>
      <c r="E2860" s="124" t="s">
        <v>41</v>
      </c>
      <c r="F2860" s="198">
        <v>1.0</v>
      </c>
      <c r="G2860" s="124" t="s">
        <v>32</v>
      </c>
      <c r="H2860" s="303">
        <v>1.0</v>
      </c>
      <c r="I2860" s="124" t="s">
        <v>33</v>
      </c>
      <c r="J2860" s="124" t="s">
        <v>343</v>
      </c>
      <c r="K2860" s="133"/>
      <c r="L2860" s="124" t="s">
        <v>119</v>
      </c>
      <c r="M2860" s="305" t="s">
        <v>7573</v>
      </c>
      <c r="N2860" s="233"/>
      <c r="O2860" s="173" t="str">
        <f>hyperlink("https://bad-boys.us/?q=SD-WV/2:19-cr-00272", "SD-WV 2:19-cr-00272")</f>
        <v>SD-WV 2:19-cr-00272</v>
      </c>
      <c r="P2860" s="133"/>
      <c r="Q2860" s="124">
        <v>1.0</v>
      </c>
      <c r="R2860" s="128"/>
      <c r="S2860" s="37"/>
      <c r="T2860" s="38"/>
      <c r="U2860" s="38"/>
      <c r="V2860" s="124" t="s">
        <v>33</v>
      </c>
      <c r="W2860" s="138"/>
      <c r="X2860" s="138"/>
      <c r="Y2860" s="233"/>
      <c r="Z2860" s="133"/>
      <c r="AA2860" s="133"/>
      <c r="AB2860" s="133"/>
      <c r="AC2860" s="133"/>
      <c r="AD2860" s="133"/>
      <c r="AE2860" s="133"/>
      <c r="AF2860" s="133"/>
      <c r="AG2860" s="133"/>
      <c r="AH2860" s="133"/>
      <c r="AI2860" s="133"/>
      <c r="AJ2860" s="133"/>
      <c r="AK2860" s="133"/>
      <c r="AL2860" s="133"/>
      <c r="AM2860" s="133"/>
      <c r="AN2860" s="133"/>
      <c r="AO2860" s="133"/>
      <c r="AP2860" s="133"/>
      <c r="AQ2860" s="133"/>
      <c r="AR2860" s="133"/>
      <c r="AS2860" s="133"/>
      <c r="AT2860" s="133"/>
      <c r="AU2860" s="133"/>
      <c r="AV2860" s="133"/>
      <c r="AW2860" s="133"/>
      <c r="AX2860" s="133"/>
      <c r="AY2860" s="133"/>
      <c r="AZ2860" s="133"/>
      <c r="BA2860" s="133"/>
      <c r="BB2860" s="133"/>
      <c r="BC2860" s="133"/>
      <c r="BD2860" s="133"/>
      <c r="BE2860" s="133"/>
      <c r="BF2860" s="133"/>
      <c r="BG2860" s="133"/>
      <c r="BH2860" s="133"/>
      <c r="BI2860" s="133"/>
      <c r="BJ2860" s="133"/>
      <c r="BK2860" s="133"/>
      <c r="BL2860" s="133"/>
      <c r="BM2860" s="133"/>
      <c r="BN2860" s="133"/>
      <c r="BO2860" s="133"/>
      <c r="BP2860" s="133"/>
      <c r="BQ2860" s="133"/>
    </row>
    <row r="2861">
      <c r="A2861" s="194" t="s">
        <v>7574</v>
      </c>
      <c r="B2861" s="125"/>
      <c r="C2861" s="126">
        <v>43768.0</v>
      </c>
      <c r="D2861" s="133"/>
      <c r="E2861" s="124" t="s">
        <v>41</v>
      </c>
      <c r="F2861" s="198">
        <v>1.0</v>
      </c>
      <c r="G2861" s="124" t="s">
        <v>32</v>
      </c>
      <c r="H2861" s="303">
        <v>1.0</v>
      </c>
      <c r="I2861" s="124" t="s">
        <v>33</v>
      </c>
      <c r="J2861" s="124" t="s">
        <v>34</v>
      </c>
      <c r="K2861" s="133"/>
      <c r="L2861" s="124" t="s">
        <v>69</v>
      </c>
      <c r="M2861" s="305" t="s">
        <v>7575</v>
      </c>
      <c r="N2861" s="233"/>
      <c r="O2861" s="124"/>
      <c r="P2861" s="133"/>
      <c r="Q2861" s="124">
        <v>1.0</v>
      </c>
      <c r="R2861" s="128"/>
      <c r="S2861" s="37"/>
      <c r="T2861" s="38"/>
      <c r="U2861" s="38"/>
      <c r="V2861" s="124" t="s">
        <v>33</v>
      </c>
      <c r="W2861" s="138"/>
      <c r="X2861" s="138"/>
      <c r="Y2861" s="233"/>
      <c r="Z2861" s="133"/>
      <c r="AA2861" s="133"/>
      <c r="AB2861" s="133"/>
      <c r="AC2861" s="133"/>
      <c r="AD2861" s="133"/>
      <c r="AE2861" s="133"/>
      <c r="AF2861" s="133"/>
      <c r="AG2861" s="133"/>
      <c r="AH2861" s="133"/>
      <c r="AI2861" s="133"/>
      <c r="AJ2861" s="133"/>
      <c r="AK2861" s="133"/>
      <c r="AL2861" s="133"/>
      <c r="AM2861" s="133"/>
      <c r="AN2861" s="133"/>
      <c r="AO2861" s="133"/>
      <c r="AP2861" s="133"/>
      <c r="AQ2861" s="133"/>
      <c r="AR2861" s="133"/>
      <c r="AS2861" s="133"/>
      <c r="AT2861" s="133"/>
      <c r="AU2861" s="133"/>
      <c r="AV2861" s="133"/>
      <c r="AW2861" s="133"/>
      <c r="AX2861" s="133"/>
      <c r="AY2861" s="133"/>
      <c r="AZ2861" s="133"/>
      <c r="BA2861" s="133"/>
      <c r="BB2861" s="133"/>
      <c r="BC2861" s="133"/>
      <c r="BD2861" s="133"/>
      <c r="BE2861" s="133"/>
      <c r="BF2861" s="133"/>
      <c r="BG2861" s="133"/>
      <c r="BH2861" s="133"/>
      <c r="BI2861" s="133"/>
      <c r="BJ2861" s="133"/>
      <c r="BK2861" s="133"/>
      <c r="BL2861" s="133"/>
      <c r="BM2861" s="133"/>
      <c r="BN2861" s="133"/>
      <c r="BO2861" s="133"/>
      <c r="BP2861" s="133"/>
      <c r="BQ2861" s="133"/>
    </row>
    <row r="2862">
      <c r="A2862" s="194" t="s">
        <v>7576</v>
      </c>
      <c r="B2862" s="125"/>
      <c r="C2862" s="126">
        <v>43769.0</v>
      </c>
      <c r="D2862" s="133"/>
      <c r="E2862" s="124" t="s">
        <v>41</v>
      </c>
      <c r="F2862" s="198">
        <v>1.0</v>
      </c>
      <c r="G2862" s="124" t="s">
        <v>32</v>
      </c>
      <c r="H2862" s="303">
        <v>1.0</v>
      </c>
      <c r="I2862" s="124" t="s">
        <v>33</v>
      </c>
      <c r="J2862" s="124" t="s">
        <v>111</v>
      </c>
      <c r="K2862" s="133"/>
      <c r="L2862" s="124" t="s">
        <v>69</v>
      </c>
      <c r="M2862" s="242" t="s">
        <v>7577</v>
      </c>
      <c r="N2862" s="233"/>
      <c r="O2862" s="173" t="str">
        <f>hyperlink("https://bad-boys.us/?q=ED-CA/2:19-cr-00188", "ED-CA 2:19-cr-00188")</f>
        <v>ED-CA 2:19-cr-00188</v>
      </c>
      <c r="P2862" s="133"/>
      <c r="Q2862" s="124">
        <v>1.0</v>
      </c>
      <c r="R2862" s="128"/>
      <c r="S2862" s="37"/>
      <c r="T2862" s="38"/>
      <c r="U2862" s="38" t="b">
        <f t="shared" ref="U2862:U2863" si="410">countif(A$4:A4658, A2862)&gt;1</f>
        <v>0</v>
      </c>
      <c r="V2862" s="124" t="s">
        <v>33</v>
      </c>
      <c r="W2862" s="138"/>
      <c r="X2862" s="138"/>
      <c r="Y2862" s="233"/>
      <c r="Z2862" s="133"/>
      <c r="AA2862" s="133"/>
      <c r="AB2862" s="133"/>
      <c r="AC2862" s="133"/>
      <c r="AD2862" s="133"/>
      <c r="AE2862" s="133"/>
      <c r="AF2862" s="133"/>
      <c r="AG2862" s="133"/>
      <c r="AH2862" s="133"/>
      <c r="AI2862" s="133"/>
      <c r="AJ2862" s="133"/>
      <c r="AK2862" s="133"/>
      <c r="AL2862" s="133"/>
      <c r="AM2862" s="133"/>
      <c r="AN2862" s="133"/>
      <c r="AO2862" s="133"/>
      <c r="AP2862" s="133"/>
      <c r="AQ2862" s="133"/>
      <c r="AR2862" s="133"/>
      <c r="AS2862" s="133"/>
      <c r="AT2862" s="133"/>
      <c r="AU2862" s="133"/>
      <c r="AV2862" s="133"/>
      <c r="AW2862" s="133"/>
      <c r="AX2862" s="133"/>
      <c r="AY2862" s="133"/>
      <c r="AZ2862" s="133"/>
      <c r="BA2862" s="133"/>
      <c r="BB2862" s="133"/>
      <c r="BC2862" s="133"/>
      <c r="BD2862" s="133"/>
      <c r="BE2862" s="133"/>
      <c r="BF2862" s="133"/>
      <c r="BG2862" s="133"/>
      <c r="BH2862" s="133"/>
      <c r="BI2862" s="133"/>
      <c r="BJ2862" s="133"/>
      <c r="BK2862" s="133"/>
      <c r="BL2862" s="133"/>
      <c r="BM2862" s="133"/>
      <c r="BN2862" s="133"/>
      <c r="BO2862" s="133"/>
      <c r="BP2862" s="133"/>
      <c r="BQ2862" s="133"/>
    </row>
    <row r="2863">
      <c r="A2863" s="194" t="s">
        <v>7578</v>
      </c>
      <c r="B2863" s="125"/>
      <c r="C2863" s="126">
        <v>43769.0</v>
      </c>
      <c r="D2863" s="133"/>
      <c r="E2863" s="124" t="s">
        <v>41</v>
      </c>
      <c r="F2863" s="198">
        <v>1.0</v>
      </c>
      <c r="G2863" s="124">
        <v>8.0</v>
      </c>
      <c r="H2863" s="303">
        <v>8.0</v>
      </c>
      <c r="I2863" s="124" t="s">
        <v>33</v>
      </c>
      <c r="J2863" s="124" t="s">
        <v>111</v>
      </c>
      <c r="K2863" s="133"/>
      <c r="L2863" s="124" t="s">
        <v>76</v>
      </c>
      <c r="M2863" s="242" t="s">
        <v>7579</v>
      </c>
      <c r="N2863" s="233"/>
      <c r="O2863" s="124"/>
      <c r="P2863" s="133"/>
      <c r="Q2863" s="124"/>
      <c r="R2863" s="128"/>
      <c r="S2863" s="37"/>
      <c r="T2863" s="38"/>
      <c r="U2863" s="38" t="b">
        <f t="shared" si="410"/>
        <v>0</v>
      </c>
      <c r="V2863" s="124" t="s">
        <v>33</v>
      </c>
      <c r="W2863" s="138"/>
      <c r="X2863" s="138"/>
      <c r="Y2863" s="233"/>
      <c r="Z2863" s="133"/>
      <c r="AA2863" s="133"/>
      <c r="AB2863" s="133"/>
      <c r="AC2863" s="133"/>
      <c r="AD2863" s="133"/>
      <c r="AE2863" s="133"/>
      <c r="AF2863" s="133"/>
      <c r="AG2863" s="133"/>
      <c r="AH2863" s="133"/>
      <c r="AI2863" s="133"/>
      <c r="AJ2863" s="133"/>
      <c r="AK2863" s="133"/>
      <c r="AL2863" s="133"/>
      <c r="AM2863" s="133"/>
      <c r="AN2863" s="133"/>
      <c r="AO2863" s="133"/>
      <c r="AP2863" s="133"/>
      <c r="AQ2863" s="133"/>
      <c r="AR2863" s="133"/>
      <c r="AS2863" s="133"/>
      <c r="AT2863" s="133"/>
      <c r="AU2863" s="133"/>
      <c r="AV2863" s="133"/>
      <c r="AW2863" s="133"/>
      <c r="AX2863" s="133"/>
      <c r="AY2863" s="133"/>
      <c r="AZ2863" s="133"/>
      <c r="BA2863" s="133"/>
      <c r="BB2863" s="133"/>
      <c r="BC2863" s="133"/>
      <c r="BD2863" s="133"/>
      <c r="BE2863" s="133"/>
      <c r="BF2863" s="133"/>
      <c r="BG2863" s="133"/>
      <c r="BH2863" s="133"/>
      <c r="BI2863" s="133"/>
      <c r="BJ2863" s="133"/>
      <c r="BK2863" s="133"/>
      <c r="BL2863" s="133"/>
      <c r="BM2863" s="133"/>
      <c r="BN2863" s="133"/>
      <c r="BO2863" s="133"/>
      <c r="BP2863" s="133"/>
      <c r="BQ2863" s="133"/>
    </row>
    <row r="2864">
      <c r="A2864" s="194" t="s">
        <v>7580</v>
      </c>
      <c r="B2864" s="125"/>
      <c r="C2864" s="195">
        <v>43770.0</v>
      </c>
      <c r="D2864" s="133"/>
      <c r="E2864" s="124" t="s">
        <v>31</v>
      </c>
      <c r="F2864" s="198">
        <v>1.0</v>
      </c>
      <c r="G2864" s="124" t="s">
        <v>32</v>
      </c>
      <c r="H2864" s="303">
        <v>1.0</v>
      </c>
      <c r="I2864" s="124" t="s">
        <v>33</v>
      </c>
      <c r="J2864" s="124" t="s">
        <v>318</v>
      </c>
      <c r="K2864" s="133"/>
      <c r="L2864" s="124" t="s">
        <v>119</v>
      </c>
      <c r="M2864" s="242" t="s">
        <v>7581</v>
      </c>
      <c r="N2864" s="219" t="s">
        <v>7582</v>
      </c>
      <c r="O2864" s="124"/>
      <c r="P2864" s="133"/>
      <c r="Q2864" s="124">
        <v>1.0</v>
      </c>
      <c r="R2864" s="128"/>
      <c r="S2864" s="37"/>
      <c r="T2864" s="38"/>
      <c r="U2864" s="38"/>
      <c r="V2864" s="124" t="s">
        <v>33</v>
      </c>
      <c r="W2864" s="219" t="s">
        <v>7583</v>
      </c>
      <c r="X2864" s="219" t="s">
        <v>7584</v>
      </c>
      <c r="Y2864" s="233"/>
      <c r="Z2864" s="133"/>
      <c r="AA2864" s="133"/>
      <c r="AB2864" s="133"/>
      <c r="AC2864" s="133"/>
      <c r="AD2864" s="133"/>
      <c r="AE2864" s="133"/>
      <c r="AF2864" s="133"/>
      <c r="AG2864" s="133"/>
      <c r="AH2864" s="133"/>
      <c r="AI2864" s="133"/>
      <c r="AJ2864" s="133"/>
      <c r="AK2864" s="133"/>
      <c r="AL2864" s="133"/>
      <c r="AM2864" s="133"/>
      <c r="AN2864" s="133"/>
      <c r="AO2864" s="133"/>
      <c r="AP2864" s="133"/>
      <c r="AQ2864" s="133"/>
      <c r="AR2864" s="133"/>
      <c r="AS2864" s="133"/>
      <c r="AT2864" s="133"/>
      <c r="AU2864" s="133"/>
      <c r="AV2864" s="133"/>
      <c r="AW2864" s="133"/>
      <c r="AX2864" s="133"/>
      <c r="AY2864" s="133"/>
      <c r="AZ2864" s="133"/>
      <c r="BA2864" s="133"/>
      <c r="BB2864" s="133"/>
      <c r="BC2864" s="133"/>
      <c r="BD2864" s="133"/>
      <c r="BE2864" s="133"/>
      <c r="BF2864" s="133"/>
      <c r="BG2864" s="133"/>
      <c r="BH2864" s="133"/>
      <c r="BI2864" s="133"/>
      <c r="BJ2864" s="133"/>
      <c r="BK2864" s="133"/>
      <c r="BL2864" s="133"/>
      <c r="BM2864" s="133"/>
      <c r="BN2864" s="133"/>
      <c r="BO2864" s="133"/>
      <c r="BP2864" s="133"/>
      <c r="BQ2864" s="133"/>
    </row>
    <row r="2865">
      <c r="A2865" s="194" t="s">
        <v>7585</v>
      </c>
      <c r="B2865" s="125"/>
      <c r="C2865" s="195">
        <v>43770.0</v>
      </c>
      <c r="D2865" s="133"/>
      <c r="E2865" s="124" t="s">
        <v>41</v>
      </c>
      <c r="F2865" s="198">
        <v>1.0</v>
      </c>
      <c r="G2865" s="124" t="s">
        <v>32</v>
      </c>
      <c r="H2865" s="303">
        <v>1.0</v>
      </c>
      <c r="I2865" s="124" t="s">
        <v>33</v>
      </c>
      <c r="J2865" s="124" t="s">
        <v>147</v>
      </c>
      <c r="K2865" s="133"/>
      <c r="L2865" s="124" t="s">
        <v>7586</v>
      </c>
      <c r="M2865" s="242" t="s">
        <v>7587</v>
      </c>
      <c r="N2865" s="233"/>
      <c r="O2865" s="124"/>
      <c r="P2865" s="133"/>
      <c r="Q2865" s="124">
        <v>1.0</v>
      </c>
      <c r="R2865" s="128"/>
      <c r="S2865" s="37"/>
      <c r="T2865" s="38"/>
      <c r="U2865" s="38"/>
      <c r="V2865" s="124" t="s">
        <v>33</v>
      </c>
      <c r="W2865" s="233"/>
      <c r="X2865" s="233"/>
      <c r="Y2865" s="233"/>
      <c r="Z2865" s="133"/>
      <c r="AA2865" s="133"/>
      <c r="AB2865" s="133"/>
      <c r="AC2865" s="133"/>
      <c r="AD2865" s="133"/>
      <c r="AE2865" s="133"/>
      <c r="AF2865" s="133"/>
      <c r="AG2865" s="133"/>
      <c r="AH2865" s="133"/>
      <c r="AI2865" s="133"/>
      <c r="AJ2865" s="133"/>
      <c r="AK2865" s="133"/>
      <c r="AL2865" s="133"/>
      <c r="AM2865" s="133"/>
      <c r="AN2865" s="133"/>
      <c r="AO2865" s="133"/>
      <c r="AP2865" s="133"/>
      <c r="AQ2865" s="133"/>
      <c r="AR2865" s="133"/>
      <c r="AS2865" s="133"/>
      <c r="AT2865" s="133"/>
      <c r="AU2865" s="133"/>
      <c r="AV2865" s="133"/>
      <c r="AW2865" s="133"/>
      <c r="AX2865" s="133"/>
      <c r="AY2865" s="133"/>
      <c r="AZ2865" s="133"/>
      <c r="BA2865" s="133"/>
      <c r="BB2865" s="133"/>
      <c r="BC2865" s="133"/>
      <c r="BD2865" s="133"/>
      <c r="BE2865" s="133"/>
      <c r="BF2865" s="133"/>
      <c r="BG2865" s="133"/>
      <c r="BH2865" s="133"/>
      <c r="BI2865" s="133"/>
      <c r="BJ2865" s="133"/>
      <c r="BK2865" s="133"/>
      <c r="BL2865" s="133"/>
      <c r="BM2865" s="133"/>
      <c r="BN2865" s="133"/>
      <c r="BO2865" s="133"/>
      <c r="BP2865" s="133"/>
      <c r="BQ2865" s="133"/>
    </row>
    <row r="2866">
      <c r="A2866" s="194" t="s">
        <v>7588</v>
      </c>
      <c r="B2866" s="125"/>
      <c r="C2866" s="195">
        <v>43770.0</v>
      </c>
      <c r="D2866" s="133"/>
      <c r="E2866" s="124" t="s">
        <v>41</v>
      </c>
      <c r="F2866" s="198">
        <v>1.0</v>
      </c>
      <c r="G2866" s="124" t="s">
        <v>32</v>
      </c>
      <c r="H2866" s="303">
        <v>1.0</v>
      </c>
      <c r="I2866" s="124" t="s">
        <v>33</v>
      </c>
      <c r="J2866" s="124" t="s">
        <v>1184</v>
      </c>
      <c r="K2866" s="133"/>
      <c r="L2866" s="124" t="s">
        <v>76</v>
      </c>
      <c r="M2866" s="242" t="s">
        <v>7589</v>
      </c>
      <c r="N2866" s="233"/>
      <c r="O2866" s="124"/>
      <c r="P2866" s="133"/>
      <c r="Q2866" s="124"/>
      <c r="R2866" s="128"/>
      <c r="S2866" s="37"/>
      <c r="T2866" s="38"/>
      <c r="U2866" s="38"/>
      <c r="V2866" s="124" t="s">
        <v>33</v>
      </c>
      <c r="W2866" s="233"/>
      <c r="X2866" s="233"/>
      <c r="Y2866" s="233"/>
      <c r="Z2866" s="133"/>
      <c r="AA2866" s="133"/>
      <c r="AB2866" s="133"/>
      <c r="AC2866" s="133"/>
      <c r="AD2866" s="133"/>
      <c r="AE2866" s="133"/>
      <c r="AF2866" s="133"/>
      <c r="AG2866" s="133"/>
      <c r="AH2866" s="133"/>
      <c r="AI2866" s="133"/>
      <c r="AJ2866" s="133"/>
      <c r="AK2866" s="133"/>
      <c r="AL2866" s="133"/>
      <c r="AM2866" s="133"/>
      <c r="AN2866" s="133"/>
      <c r="AO2866" s="133"/>
      <c r="AP2866" s="133"/>
      <c r="AQ2866" s="133"/>
      <c r="AR2866" s="133"/>
      <c r="AS2866" s="133"/>
      <c r="AT2866" s="133"/>
      <c r="AU2866" s="133"/>
      <c r="AV2866" s="133"/>
      <c r="AW2866" s="133"/>
      <c r="AX2866" s="133"/>
      <c r="AY2866" s="133"/>
      <c r="AZ2866" s="133"/>
      <c r="BA2866" s="133"/>
      <c r="BB2866" s="133"/>
      <c r="BC2866" s="133"/>
      <c r="BD2866" s="133"/>
      <c r="BE2866" s="133"/>
      <c r="BF2866" s="133"/>
      <c r="BG2866" s="133"/>
      <c r="BH2866" s="133"/>
      <c r="BI2866" s="133"/>
      <c r="BJ2866" s="133"/>
      <c r="BK2866" s="133"/>
      <c r="BL2866" s="133"/>
      <c r="BM2866" s="133"/>
      <c r="BN2866" s="133"/>
      <c r="BO2866" s="133"/>
      <c r="BP2866" s="133"/>
      <c r="BQ2866" s="133"/>
    </row>
    <row r="2867">
      <c r="A2867" s="194" t="s">
        <v>7590</v>
      </c>
      <c r="B2867" s="125"/>
      <c r="C2867" s="195">
        <v>43770.0</v>
      </c>
      <c r="D2867" s="133"/>
      <c r="E2867" s="124" t="s">
        <v>41</v>
      </c>
      <c r="F2867" s="198">
        <v>1.0</v>
      </c>
      <c r="G2867" s="124" t="s">
        <v>32</v>
      </c>
      <c r="H2867" s="303">
        <v>2.0</v>
      </c>
      <c r="I2867" s="124" t="s">
        <v>33</v>
      </c>
      <c r="J2867" s="124" t="s">
        <v>111</v>
      </c>
      <c r="K2867" s="133"/>
      <c r="L2867" s="124" t="s">
        <v>1203</v>
      </c>
      <c r="M2867" s="242" t="s">
        <v>7591</v>
      </c>
      <c r="N2867" s="233"/>
      <c r="O2867" s="124"/>
      <c r="P2867" s="133"/>
      <c r="Q2867" s="124">
        <v>1.0</v>
      </c>
      <c r="R2867" s="128"/>
      <c r="S2867" s="37"/>
      <c r="T2867" s="38"/>
      <c r="U2867" s="38"/>
      <c r="V2867" s="124" t="s">
        <v>33</v>
      </c>
      <c r="W2867" s="233"/>
      <c r="X2867" s="233"/>
      <c r="Y2867" s="233"/>
      <c r="Z2867" s="133"/>
      <c r="AA2867" s="133"/>
      <c r="AB2867" s="133"/>
      <c r="AC2867" s="133"/>
      <c r="AD2867" s="133"/>
      <c r="AE2867" s="133"/>
      <c r="AF2867" s="133"/>
      <c r="AG2867" s="133"/>
      <c r="AH2867" s="133"/>
      <c r="AI2867" s="133"/>
      <c r="AJ2867" s="133"/>
      <c r="AK2867" s="133"/>
      <c r="AL2867" s="133"/>
      <c r="AM2867" s="133"/>
      <c r="AN2867" s="133"/>
      <c r="AO2867" s="133"/>
      <c r="AP2867" s="133"/>
      <c r="AQ2867" s="133"/>
      <c r="AR2867" s="133"/>
      <c r="AS2867" s="133"/>
      <c r="AT2867" s="133"/>
      <c r="AU2867" s="133"/>
      <c r="AV2867" s="133"/>
      <c r="AW2867" s="133"/>
      <c r="AX2867" s="133"/>
      <c r="AY2867" s="133"/>
      <c r="AZ2867" s="133"/>
      <c r="BA2867" s="133"/>
      <c r="BB2867" s="133"/>
      <c r="BC2867" s="133"/>
      <c r="BD2867" s="133"/>
      <c r="BE2867" s="133"/>
      <c r="BF2867" s="133"/>
      <c r="BG2867" s="133"/>
      <c r="BH2867" s="133"/>
      <c r="BI2867" s="133"/>
      <c r="BJ2867" s="133"/>
      <c r="BK2867" s="133"/>
      <c r="BL2867" s="133"/>
      <c r="BM2867" s="133"/>
      <c r="BN2867" s="133"/>
      <c r="BO2867" s="133"/>
      <c r="BP2867" s="133"/>
      <c r="BQ2867" s="133"/>
    </row>
    <row r="2868">
      <c r="A2868" s="194" t="s">
        <v>7592</v>
      </c>
      <c r="B2868" s="125"/>
      <c r="C2868" s="195">
        <v>43770.0</v>
      </c>
      <c r="D2868" s="133"/>
      <c r="E2868" s="124" t="s">
        <v>41</v>
      </c>
      <c r="F2868" s="198">
        <v>1.0</v>
      </c>
      <c r="G2868" s="124" t="s">
        <v>32</v>
      </c>
      <c r="H2868" s="303">
        <v>1.0</v>
      </c>
      <c r="I2868" s="124" t="s">
        <v>33</v>
      </c>
      <c r="J2868" s="124" t="s">
        <v>514</v>
      </c>
      <c r="K2868" s="133"/>
      <c r="L2868" s="124" t="s">
        <v>7593</v>
      </c>
      <c r="M2868" s="242" t="s">
        <v>7594</v>
      </c>
      <c r="N2868" s="233"/>
      <c r="O2868" s="124"/>
      <c r="P2868" s="133"/>
      <c r="Q2868" s="124"/>
      <c r="R2868" s="128"/>
      <c r="S2868" s="37"/>
      <c r="T2868" s="38"/>
      <c r="U2868" s="38"/>
      <c r="V2868" s="124" t="s">
        <v>33</v>
      </c>
      <c r="W2868" s="233"/>
      <c r="X2868" s="233"/>
      <c r="Y2868" s="233"/>
      <c r="Z2868" s="133"/>
      <c r="AA2868" s="133"/>
      <c r="AB2868" s="133"/>
      <c r="AC2868" s="133"/>
      <c r="AD2868" s="133"/>
      <c r="AE2868" s="133"/>
      <c r="AF2868" s="133"/>
      <c r="AG2868" s="133"/>
      <c r="AH2868" s="133"/>
      <c r="AI2868" s="133"/>
      <c r="AJ2868" s="133"/>
      <c r="AK2868" s="133"/>
      <c r="AL2868" s="133"/>
      <c r="AM2868" s="133"/>
      <c r="AN2868" s="133"/>
      <c r="AO2868" s="133"/>
      <c r="AP2868" s="133"/>
      <c r="AQ2868" s="133"/>
      <c r="AR2868" s="133"/>
      <c r="AS2868" s="133"/>
      <c r="AT2868" s="133"/>
      <c r="AU2868" s="133"/>
      <c r="AV2868" s="133"/>
      <c r="AW2868" s="133"/>
      <c r="AX2868" s="133"/>
      <c r="AY2868" s="133"/>
      <c r="AZ2868" s="133"/>
      <c r="BA2868" s="133"/>
      <c r="BB2868" s="133"/>
      <c r="BC2868" s="133"/>
      <c r="BD2868" s="133"/>
      <c r="BE2868" s="133"/>
      <c r="BF2868" s="133"/>
      <c r="BG2868" s="133"/>
      <c r="BH2868" s="133"/>
      <c r="BI2868" s="133"/>
      <c r="BJ2868" s="133"/>
      <c r="BK2868" s="133"/>
      <c r="BL2868" s="133"/>
      <c r="BM2868" s="133"/>
      <c r="BN2868" s="133"/>
      <c r="BO2868" s="133"/>
      <c r="BP2868" s="133"/>
      <c r="BQ2868" s="133"/>
    </row>
    <row r="2869">
      <c r="A2869" s="194" t="s">
        <v>7595</v>
      </c>
      <c r="B2869" s="125"/>
      <c r="C2869" s="195">
        <v>43770.0</v>
      </c>
      <c r="D2869" s="133"/>
      <c r="E2869" s="124" t="s">
        <v>41</v>
      </c>
      <c r="F2869" s="198">
        <v>1.0</v>
      </c>
      <c r="G2869" s="124" t="s">
        <v>32</v>
      </c>
      <c r="H2869" s="303">
        <v>1.0</v>
      </c>
      <c r="I2869" s="124" t="s">
        <v>33</v>
      </c>
      <c r="J2869" s="124" t="s">
        <v>89</v>
      </c>
      <c r="K2869" s="133"/>
      <c r="L2869" s="124" t="s">
        <v>69</v>
      </c>
      <c r="M2869" s="242" t="s">
        <v>7596</v>
      </c>
      <c r="N2869" s="233"/>
      <c r="O2869" s="124"/>
      <c r="P2869" s="133"/>
      <c r="Q2869" s="124"/>
      <c r="R2869" s="128"/>
      <c r="S2869" s="37"/>
      <c r="T2869" s="38"/>
      <c r="U2869" s="38"/>
      <c r="V2869" s="124" t="s">
        <v>33</v>
      </c>
      <c r="W2869" s="138"/>
      <c r="X2869" s="138"/>
      <c r="Y2869" s="233"/>
      <c r="Z2869" s="133"/>
      <c r="AA2869" s="133"/>
      <c r="AB2869" s="133"/>
      <c r="AC2869" s="133"/>
      <c r="AD2869" s="133"/>
      <c r="AE2869" s="133"/>
      <c r="AF2869" s="133"/>
      <c r="AG2869" s="133"/>
      <c r="AH2869" s="133"/>
      <c r="AI2869" s="133"/>
      <c r="AJ2869" s="133"/>
      <c r="AK2869" s="133"/>
      <c r="AL2869" s="133"/>
      <c r="AM2869" s="133"/>
      <c r="AN2869" s="133"/>
      <c r="AO2869" s="133"/>
      <c r="AP2869" s="133"/>
      <c r="AQ2869" s="133"/>
      <c r="AR2869" s="133"/>
      <c r="AS2869" s="133"/>
      <c r="AT2869" s="133"/>
      <c r="AU2869" s="133"/>
      <c r="AV2869" s="133"/>
      <c r="AW2869" s="133"/>
      <c r="AX2869" s="133"/>
      <c r="AY2869" s="133"/>
      <c r="AZ2869" s="133"/>
      <c r="BA2869" s="133"/>
      <c r="BB2869" s="133"/>
      <c r="BC2869" s="133"/>
      <c r="BD2869" s="133"/>
      <c r="BE2869" s="133"/>
      <c r="BF2869" s="133"/>
      <c r="BG2869" s="133"/>
      <c r="BH2869" s="133"/>
      <c r="BI2869" s="133"/>
      <c r="BJ2869" s="133"/>
      <c r="BK2869" s="133"/>
      <c r="BL2869" s="133"/>
      <c r="BM2869" s="133"/>
      <c r="BN2869" s="133"/>
      <c r="BO2869" s="133"/>
      <c r="BP2869" s="133"/>
      <c r="BQ2869" s="133"/>
    </row>
    <row r="2870">
      <c r="A2870" s="194" t="s">
        <v>7597</v>
      </c>
      <c r="B2870" s="125"/>
      <c r="C2870" s="195">
        <v>43770.0</v>
      </c>
      <c r="D2870" s="133"/>
      <c r="E2870" s="124" t="s">
        <v>41</v>
      </c>
      <c r="F2870" s="198">
        <v>1.0</v>
      </c>
      <c r="G2870" s="124" t="s">
        <v>32</v>
      </c>
      <c r="H2870" s="303">
        <v>1.0</v>
      </c>
      <c r="I2870" s="124" t="s">
        <v>33</v>
      </c>
      <c r="J2870" s="124" t="s">
        <v>402</v>
      </c>
      <c r="K2870" s="133"/>
      <c r="L2870" s="124" t="s">
        <v>69</v>
      </c>
      <c r="M2870" s="242" t="s">
        <v>7598</v>
      </c>
      <c r="N2870" s="233"/>
      <c r="O2870" s="124"/>
      <c r="P2870" s="133"/>
      <c r="Q2870" s="124">
        <v>1.0</v>
      </c>
      <c r="R2870" s="128"/>
      <c r="S2870" s="37"/>
      <c r="T2870" s="38"/>
      <c r="U2870" s="38"/>
      <c r="V2870" s="124" t="s">
        <v>33</v>
      </c>
      <c r="W2870" s="138"/>
      <c r="X2870" s="138"/>
      <c r="Y2870" s="233"/>
      <c r="Z2870" s="133"/>
      <c r="AA2870" s="133"/>
      <c r="AB2870" s="133"/>
      <c r="AC2870" s="133"/>
      <c r="AD2870" s="133"/>
      <c r="AE2870" s="133"/>
      <c r="AF2870" s="133"/>
      <c r="AG2870" s="133"/>
      <c r="AH2870" s="133"/>
      <c r="AI2870" s="133"/>
      <c r="AJ2870" s="133"/>
      <c r="AK2870" s="133"/>
      <c r="AL2870" s="133"/>
      <c r="AM2870" s="133"/>
      <c r="AN2870" s="133"/>
      <c r="AO2870" s="133"/>
      <c r="AP2870" s="133"/>
      <c r="AQ2870" s="133"/>
      <c r="AR2870" s="133"/>
      <c r="AS2870" s="133"/>
      <c r="AT2870" s="133"/>
      <c r="AU2870" s="133"/>
      <c r="AV2870" s="133"/>
      <c r="AW2870" s="133"/>
      <c r="AX2870" s="133"/>
      <c r="AY2870" s="133"/>
      <c r="AZ2870" s="133"/>
      <c r="BA2870" s="133"/>
      <c r="BB2870" s="133"/>
      <c r="BC2870" s="133"/>
      <c r="BD2870" s="133"/>
      <c r="BE2870" s="133"/>
      <c r="BF2870" s="133"/>
      <c r="BG2870" s="133"/>
      <c r="BH2870" s="133"/>
      <c r="BI2870" s="133"/>
      <c r="BJ2870" s="133"/>
      <c r="BK2870" s="133"/>
      <c r="BL2870" s="133"/>
      <c r="BM2870" s="133"/>
      <c r="BN2870" s="133"/>
      <c r="BO2870" s="133"/>
      <c r="BP2870" s="133"/>
      <c r="BQ2870" s="133"/>
    </row>
    <row r="2871">
      <c r="A2871" s="194" t="s">
        <v>7599</v>
      </c>
      <c r="B2871" s="125"/>
      <c r="C2871" s="195">
        <v>43770.0</v>
      </c>
      <c r="D2871" s="133"/>
      <c r="E2871" s="124" t="s">
        <v>41</v>
      </c>
      <c r="F2871" s="198">
        <v>1.0</v>
      </c>
      <c r="G2871" s="124" t="s">
        <v>32</v>
      </c>
      <c r="H2871" s="303">
        <v>1.0</v>
      </c>
      <c r="I2871" s="124" t="s">
        <v>33</v>
      </c>
      <c r="J2871" s="124" t="s">
        <v>402</v>
      </c>
      <c r="K2871" s="133"/>
      <c r="L2871" s="124" t="s">
        <v>76</v>
      </c>
      <c r="M2871" s="242" t="s">
        <v>7600</v>
      </c>
      <c r="N2871" s="233"/>
      <c r="O2871" s="124"/>
      <c r="P2871" s="133"/>
      <c r="Q2871" s="124">
        <v>1.0</v>
      </c>
      <c r="R2871" s="128"/>
      <c r="S2871" s="37"/>
      <c r="T2871" s="38"/>
      <c r="U2871" s="38"/>
      <c r="V2871" s="124" t="s">
        <v>33</v>
      </c>
      <c r="W2871" s="138"/>
      <c r="X2871" s="138"/>
      <c r="Y2871" s="233"/>
      <c r="Z2871" s="133"/>
      <c r="AA2871" s="133"/>
      <c r="AB2871" s="133"/>
      <c r="AC2871" s="133"/>
      <c r="AD2871" s="133"/>
      <c r="AE2871" s="133"/>
      <c r="AF2871" s="133"/>
      <c r="AG2871" s="133"/>
      <c r="AH2871" s="133"/>
      <c r="AI2871" s="133"/>
      <c r="AJ2871" s="133"/>
      <c r="AK2871" s="133"/>
      <c r="AL2871" s="133"/>
      <c r="AM2871" s="133"/>
      <c r="AN2871" s="133"/>
      <c r="AO2871" s="133"/>
      <c r="AP2871" s="133"/>
      <c r="AQ2871" s="133"/>
      <c r="AR2871" s="133"/>
      <c r="AS2871" s="133"/>
      <c r="AT2871" s="133"/>
      <c r="AU2871" s="133"/>
      <c r="AV2871" s="133"/>
      <c r="AW2871" s="133"/>
      <c r="AX2871" s="133"/>
      <c r="AY2871" s="133"/>
      <c r="AZ2871" s="133"/>
      <c r="BA2871" s="133"/>
      <c r="BB2871" s="133"/>
      <c r="BC2871" s="133"/>
      <c r="BD2871" s="133"/>
      <c r="BE2871" s="133"/>
      <c r="BF2871" s="133"/>
      <c r="BG2871" s="133"/>
      <c r="BH2871" s="133"/>
      <c r="BI2871" s="133"/>
      <c r="BJ2871" s="133"/>
      <c r="BK2871" s="133"/>
      <c r="BL2871" s="133"/>
      <c r="BM2871" s="133"/>
      <c r="BN2871" s="133"/>
      <c r="BO2871" s="133"/>
      <c r="BP2871" s="133"/>
      <c r="BQ2871" s="133"/>
    </row>
    <row r="2872">
      <c r="A2872" s="194" t="s">
        <v>7601</v>
      </c>
      <c r="B2872" s="125"/>
      <c r="C2872" s="195">
        <v>43770.0</v>
      </c>
      <c r="D2872" s="133"/>
      <c r="E2872" s="124" t="s">
        <v>41</v>
      </c>
      <c r="F2872" s="198">
        <v>1.0</v>
      </c>
      <c r="G2872" s="124" t="s">
        <v>32</v>
      </c>
      <c r="H2872" s="303">
        <v>1.0</v>
      </c>
      <c r="I2872" s="124" t="s">
        <v>33</v>
      </c>
      <c r="J2872" s="124" t="s">
        <v>111</v>
      </c>
      <c r="K2872" s="133"/>
      <c r="L2872" s="124" t="s">
        <v>76</v>
      </c>
      <c r="M2872" s="242" t="s">
        <v>7602</v>
      </c>
      <c r="N2872" s="219" t="s">
        <v>7603</v>
      </c>
      <c r="O2872" s="124"/>
      <c r="P2872" s="133"/>
      <c r="Q2872" s="124">
        <v>1.0</v>
      </c>
      <c r="R2872" s="128"/>
      <c r="S2872" s="37"/>
      <c r="T2872" s="38"/>
      <c r="U2872" s="38"/>
      <c r="V2872" s="124" t="s">
        <v>33</v>
      </c>
      <c r="W2872" s="219" t="s">
        <v>7604</v>
      </c>
      <c r="X2872" s="138"/>
      <c r="Y2872" s="233"/>
      <c r="Z2872" s="133"/>
      <c r="AA2872" s="133"/>
      <c r="AB2872" s="133"/>
      <c r="AC2872" s="133"/>
      <c r="AD2872" s="133"/>
      <c r="AE2872" s="133"/>
      <c r="AF2872" s="133"/>
      <c r="AG2872" s="133"/>
      <c r="AH2872" s="133"/>
      <c r="AI2872" s="133"/>
      <c r="AJ2872" s="133"/>
      <c r="AK2872" s="133"/>
      <c r="AL2872" s="133"/>
      <c r="AM2872" s="133"/>
      <c r="AN2872" s="133"/>
      <c r="AO2872" s="133"/>
      <c r="AP2872" s="133"/>
      <c r="AQ2872" s="133"/>
      <c r="AR2872" s="133"/>
      <c r="AS2872" s="133"/>
      <c r="AT2872" s="133"/>
      <c r="AU2872" s="133"/>
      <c r="AV2872" s="133"/>
      <c r="AW2872" s="133"/>
      <c r="AX2872" s="133"/>
      <c r="AY2872" s="133"/>
      <c r="AZ2872" s="133"/>
      <c r="BA2872" s="133"/>
      <c r="BB2872" s="133"/>
      <c r="BC2872" s="133"/>
      <c r="BD2872" s="133"/>
      <c r="BE2872" s="133"/>
      <c r="BF2872" s="133"/>
      <c r="BG2872" s="133"/>
      <c r="BH2872" s="133"/>
      <c r="BI2872" s="133"/>
      <c r="BJ2872" s="133"/>
      <c r="BK2872" s="133"/>
      <c r="BL2872" s="133"/>
      <c r="BM2872" s="133"/>
      <c r="BN2872" s="133"/>
      <c r="BO2872" s="133"/>
      <c r="BP2872" s="133"/>
      <c r="BQ2872" s="133"/>
    </row>
    <row r="2873">
      <c r="A2873" s="194" t="s">
        <v>7605</v>
      </c>
      <c r="B2873" s="125"/>
      <c r="C2873" s="195">
        <v>43770.0</v>
      </c>
      <c r="D2873" s="133"/>
      <c r="E2873" s="124" t="s">
        <v>41</v>
      </c>
      <c r="F2873" s="198">
        <v>1.0</v>
      </c>
      <c r="G2873" s="124" t="s">
        <v>32</v>
      </c>
      <c r="H2873" s="303">
        <v>1.0</v>
      </c>
      <c r="I2873" s="124" t="s">
        <v>33</v>
      </c>
      <c r="J2873" s="124" t="s">
        <v>410</v>
      </c>
      <c r="K2873" s="133"/>
      <c r="L2873" s="124" t="s">
        <v>119</v>
      </c>
      <c r="M2873" s="242" t="s">
        <v>7606</v>
      </c>
      <c r="N2873" s="233"/>
      <c r="O2873" s="124"/>
      <c r="P2873" s="133"/>
      <c r="Q2873" s="124"/>
      <c r="R2873" s="128"/>
      <c r="S2873" s="37"/>
      <c r="T2873" s="38"/>
      <c r="U2873" s="38"/>
      <c r="V2873" s="124" t="s">
        <v>33</v>
      </c>
      <c r="W2873" s="138"/>
      <c r="X2873" s="138"/>
      <c r="Y2873" s="233"/>
      <c r="Z2873" s="133"/>
      <c r="AA2873" s="133"/>
      <c r="AB2873" s="133"/>
      <c r="AC2873" s="133"/>
      <c r="AD2873" s="133"/>
      <c r="AE2873" s="133"/>
      <c r="AF2873" s="133"/>
      <c r="AG2873" s="133"/>
      <c r="AH2873" s="133"/>
      <c r="AI2873" s="133"/>
      <c r="AJ2873" s="133"/>
      <c r="AK2873" s="133"/>
      <c r="AL2873" s="133"/>
      <c r="AM2873" s="133"/>
      <c r="AN2873" s="133"/>
      <c r="AO2873" s="133"/>
      <c r="AP2873" s="133"/>
      <c r="AQ2873" s="133"/>
      <c r="AR2873" s="133"/>
      <c r="AS2873" s="133"/>
      <c r="AT2873" s="133"/>
      <c r="AU2873" s="133"/>
      <c r="AV2873" s="133"/>
      <c r="AW2873" s="133"/>
      <c r="AX2873" s="133"/>
      <c r="AY2873" s="133"/>
      <c r="AZ2873" s="133"/>
      <c r="BA2873" s="133"/>
      <c r="BB2873" s="133"/>
      <c r="BC2873" s="133"/>
      <c r="BD2873" s="133"/>
      <c r="BE2873" s="133"/>
      <c r="BF2873" s="133"/>
      <c r="BG2873" s="133"/>
      <c r="BH2873" s="133"/>
      <c r="BI2873" s="133"/>
      <c r="BJ2873" s="133"/>
      <c r="BK2873" s="133"/>
      <c r="BL2873" s="133"/>
      <c r="BM2873" s="133"/>
      <c r="BN2873" s="133"/>
      <c r="BO2873" s="133"/>
      <c r="BP2873" s="133"/>
      <c r="BQ2873" s="133"/>
    </row>
    <row r="2874">
      <c r="A2874" s="194" t="s">
        <v>7607</v>
      </c>
      <c r="B2874" s="125"/>
      <c r="C2874" s="195">
        <v>43770.0</v>
      </c>
      <c r="D2874" s="133"/>
      <c r="E2874" s="124" t="s">
        <v>31</v>
      </c>
      <c r="F2874" s="198">
        <v>1.0</v>
      </c>
      <c r="G2874" s="124">
        <v>3.0</v>
      </c>
      <c r="H2874" s="303">
        <v>3.0</v>
      </c>
      <c r="I2874" s="124" t="s">
        <v>33</v>
      </c>
      <c r="J2874" s="124" t="s">
        <v>47</v>
      </c>
      <c r="K2874" s="133"/>
      <c r="L2874" s="124" t="s">
        <v>76</v>
      </c>
      <c r="M2874" s="242" t="s">
        <v>7608</v>
      </c>
      <c r="N2874" s="219" t="s">
        <v>7609</v>
      </c>
      <c r="O2874" s="128"/>
      <c r="P2874" s="133"/>
      <c r="Q2874" s="124">
        <v>1.0</v>
      </c>
      <c r="R2874" s="128"/>
      <c r="S2874" s="91"/>
      <c r="T2874" s="96"/>
      <c r="U2874" s="38"/>
      <c r="V2874" s="124" t="s">
        <v>33</v>
      </c>
      <c r="W2874" s="219" t="s">
        <v>7610</v>
      </c>
      <c r="X2874" s="219" t="s">
        <v>7611</v>
      </c>
      <c r="Y2874" s="138"/>
      <c r="Z2874" s="133"/>
      <c r="AA2874" s="133"/>
      <c r="AB2874" s="133"/>
      <c r="AC2874" s="133"/>
      <c r="AD2874" s="133"/>
      <c r="AE2874" s="133"/>
      <c r="AF2874" s="133"/>
      <c r="AG2874" s="133"/>
      <c r="AH2874" s="133"/>
      <c r="AI2874" s="133"/>
      <c r="AJ2874" s="133"/>
      <c r="AK2874" s="133"/>
      <c r="AL2874" s="133"/>
      <c r="AM2874" s="133"/>
      <c r="AN2874" s="133"/>
      <c r="AO2874" s="133"/>
      <c r="AP2874" s="133"/>
      <c r="AQ2874" s="133"/>
      <c r="AR2874" s="133"/>
      <c r="AS2874" s="133"/>
      <c r="AT2874" s="133"/>
      <c r="AU2874" s="133"/>
      <c r="AV2874" s="133"/>
      <c r="AW2874" s="133"/>
      <c r="AX2874" s="133"/>
      <c r="AY2874" s="133"/>
      <c r="AZ2874" s="133"/>
      <c r="BA2874" s="133"/>
      <c r="BB2874" s="133"/>
      <c r="BC2874" s="133"/>
      <c r="BD2874" s="133"/>
      <c r="BE2874" s="133"/>
      <c r="BF2874" s="133"/>
      <c r="BG2874" s="133"/>
      <c r="BH2874" s="133"/>
      <c r="BI2874" s="133"/>
      <c r="BJ2874" s="133"/>
      <c r="BK2874" s="133"/>
      <c r="BL2874" s="133"/>
      <c r="BM2874" s="133"/>
      <c r="BN2874" s="133"/>
      <c r="BO2874" s="133"/>
      <c r="BP2874" s="133"/>
      <c r="BQ2874" s="133"/>
    </row>
    <row r="2875">
      <c r="A2875" s="194" t="s">
        <v>7612</v>
      </c>
      <c r="B2875" s="125"/>
      <c r="C2875" s="126">
        <v>43770.0</v>
      </c>
      <c r="D2875" s="133"/>
      <c r="E2875" s="124" t="s">
        <v>41</v>
      </c>
      <c r="F2875" s="198">
        <v>1.0</v>
      </c>
      <c r="G2875" s="124">
        <v>1.0</v>
      </c>
      <c r="H2875" s="303">
        <v>1.0</v>
      </c>
      <c r="I2875" s="124" t="s">
        <v>33</v>
      </c>
      <c r="J2875" s="124" t="s">
        <v>93</v>
      </c>
      <c r="K2875" s="133"/>
      <c r="L2875" s="124" t="s">
        <v>69</v>
      </c>
      <c r="M2875" s="242" t="s">
        <v>7613</v>
      </c>
      <c r="N2875" s="233"/>
      <c r="O2875" s="124"/>
      <c r="P2875" s="133"/>
      <c r="Q2875" s="124"/>
      <c r="R2875" s="128"/>
      <c r="S2875" s="37"/>
      <c r="T2875" s="38"/>
      <c r="U2875" s="38" t="b">
        <f>countif(A$4:A4658, A2875)&gt;1</f>
        <v>0</v>
      </c>
      <c r="V2875" s="124" t="s">
        <v>33</v>
      </c>
      <c r="W2875" s="138"/>
      <c r="X2875" s="138"/>
      <c r="Y2875" s="233"/>
      <c r="Z2875" s="133"/>
      <c r="AA2875" s="133"/>
      <c r="AB2875" s="133"/>
      <c r="AC2875" s="133"/>
      <c r="AD2875" s="133"/>
      <c r="AE2875" s="133"/>
      <c r="AF2875" s="133"/>
      <c r="AG2875" s="133"/>
      <c r="AH2875" s="133"/>
      <c r="AI2875" s="133"/>
      <c r="AJ2875" s="133"/>
      <c r="AK2875" s="133"/>
      <c r="AL2875" s="133"/>
      <c r="AM2875" s="133"/>
      <c r="AN2875" s="133"/>
      <c r="AO2875" s="133"/>
      <c r="AP2875" s="133"/>
      <c r="AQ2875" s="133"/>
      <c r="AR2875" s="133"/>
      <c r="AS2875" s="133"/>
      <c r="AT2875" s="133"/>
      <c r="AU2875" s="133"/>
      <c r="AV2875" s="133"/>
      <c r="AW2875" s="133"/>
      <c r="AX2875" s="133"/>
      <c r="AY2875" s="133"/>
      <c r="AZ2875" s="133"/>
      <c r="BA2875" s="133"/>
      <c r="BB2875" s="133"/>
      <c r="BC2875" s="133"/>
      <c r="BD2875" s="133"/>
      <c r="BE2875" s="133"/>
      <c r="BF2875" s="133"/>
      <c r="BG2875" s="133"/>
      <c r="BH2875" s="133"/>
      <c r="BI2875" s="133"/>
      <c r="BJ2875" s="133"/>
      <c r="BK2875" s="133"/>
      <c r="BL2875" s="133"/>
      <c r="BM2875" s="133"/>
      <c r="BN2875" s="133"/>
      <c r="BO2875" s="133"/>
      <c r="BP2875" s="133"/>
      <c r="BQ2875" s="133"/>
    </row>
    <row r="2876">
      <c r="A2876" s="194" t="s">
        <v>7614</v>
      </c>
      <c r="B2876" s="125"/>
      <c r="C2876" s="126">
        <v>43770.0</v>
      </c>
      <c r="D2876" s="133"/>
      <c r="E2876" s="124" t="s">
        <v>41</v>
      </c>
      <c r="F2876" s="198">
        <v>1.0</v>
      </c>
      <c r="G2876" s="124" t="s">
        <v>32</v>
      </c>
      <c r="H2876" s="303">
        <v>1.0</v>
      </c>
      <c r="I2876" s="124" t="s">
        <v>33</v>
      </c>
      <c r="J2876" s="124" t="s">
        <v>343</v>
      </c>
      <c r="K2876" s="133"/>
      <c r="L2876" s="124" t="s">
        <v>119</v>
      </c>
      <c r="M2876" s="242" t="s">
        <v>7615</v>
      </c>
      <c r="N2876" s="233"/>
      <c r="O2876" s="173" t="str">
        <f>hyperlink("https://bad-boys.us/?q=SD-WV/5:19-cr-00295", "SD-WV 5:19-cr-00295")</f>
        <v>SD-WV 5:19-cr-00295</v>
      </c>
      <c r="P2876" s="133"/>
      <c r="Q2876" s="124">
        <v>1.0</v>
      </c>
      <c r="R2876" s="128"/>
      <c r="S2876" s="37"/>
      <c r="T2876" s="38"/>
      <c r="U2876" s="38"/>
      <c r="V2876" s="124" t="s">
        <v>33</v>
      </c>
      <c r="W2876" s="138"/>
      <c r="X2876" s="138"/>
      <c r="Y2876" s="233"/>
      <c r="Z2876" s="133"/>
      <c r="AA2876" s="133"/>
      <c r="AB2876" s="133"/>
      <c r="AC2876" s="133"/>
      <c r="AD2876" s="133"/>
      <c r="AE2876" s="133"/>
      <c r="AF2876" s="133"/>
      <c r="AG2876" s="133"/>
      <c r="AH2876" s="133"/>
      <c r="AI2876" s="133"/>
      <c r="AJ2876" s="133"/>
      <c r="AK2876" s="133"/>
      <c r="AL2876" s="133"/>
      <c r="AM2876" s="133"/>
      <c r="AN2876" s="133"/>
      <c r="AO2876" s="133"/>
      <c r="AP2876" s="133"/>
      <c r="AQ2876" s="133"/>
      <c r="AR2876" s="133"/>
      <c r="AS2876" s="133"/>
      <c r="AT2876" s="133"/>
      <c r="AU2876" s="133"/>
      <c r="AV2876" s="133"/>
      <c r="AW2876" s="133"/>
      <c r="AX2876" s="133"/>
      <c r="AY2876" s="133"/>
      <c r="AZ2876" s="133"/>
      <c r="BA2876" s="133"/>
      <c r="BB2876" s="133"/>
      <c r="BC2876" s="133"/>
      <c r="BD2876" s="133"/>
      <c r="BE2876" s="133"/>
      <c r="BF2876" s="133"/>
      <c r="BG2876" s="133"/>
      <c r="BH2876" s="133"/>
      <c r="BI2876" s="133"/>
      <c r="BJ2876" s="133"/>
      <c r="BK2876" s="133"/>
      <c r="BL2876" s="133"/>
      <c r="BM2876" s="133"/>
      <c r="BN2876" s="133"/>
      <c r="BO2876" s="133"/>
      <c r="BP2876" s="133"/>
      <c r="BQ2876" s="133"/>
    </row>
    <row r="2877">
      <c r="A2877" s="194" t="s">
        <v>7616</v>
      </c>
      <c r="B2877" s="125"/>
      <c r="C2877" s="126">
        <v>43775.0</v>
      </c>
      <c r="D2877" s="133"/>
      <c r="E2877" s="124" t="s">
        <v>41</v>
      </c>
      <c r="F2877" s="198">
        <v>1.0</v>
      </c>
      <c r="G2877" s="124">
        <v>1.0</v>
      </c>
      <c r="H2877" s="303">
        <v>1.0</v>
      </c>
      <c r="I2877" s="124" t="s">
        <v>33</v>
      </c>
      <c r="J2877" s="124" t="s">
        <v>55</v>
      </c>
      <c r="K2877" s="133"/>
      <c r="L2877" s="124" t="s">
        <v>69</v>
      </c>
      <c r="M2877" s="242" t="s">
        <v>7617</v>
      </c>
      <c r="N2877" s="233"/>
      <c r="O2877" s="124"/>
      <c r="P2877" s="133"/>
      <c r="Q2877" s="124"/>
      <c r="R2877" s="128"/>
      <c r="S2877" s="37"/>
      <c r="T2877" s="38"/>
      <c r="U2877" s="38" t="b">
        <f>countif(A$4:A4658, A2877)&gt;1</f>
        <v>1</v>
      </c>
      <c r="V2877" s="124" t="s">
        <v>33</v>
      </c>
      <c r="W2877" s="138"/>
      <c r="X2877" s="138"/>
      <c r="Y2877" s="233"/>
      <c r="Z2877" s="133"/>
      <c r="AA2877" s="133"/>
      <c r="AB2877" s="133"/>
      <c r="AC2877" s="133"/>
      <c r="AD2877" s="133"/>
      <c r="AE2877" s="133"/>
      <c r="AF2877" s="133"/>
      <c r="AG2877" s="133"/>
      <c r="AH2877" s="133"/>
      <c r="AI2877" s="133"/>
      <c r="AJ2877" s="133"/>
      <c r="AK2877" s="133"/>
      <c r="AL2877" s="133"/>
      <c r="AM2877" s="133"/>
      <c r="AN2877" s="133"/>
      <c r="AO2877" s="133"/>
      <c r="AP2877" s="133"/>
      <c r="AQ2877" s="133"/>
      <c r="AR2877" s="133"/>
      <c r="AS2877" s="133"/>
      <c r="AT2877" s="133"/>
      <c r="AU2877" s="133"/>
      <c r="AV2877" s="133"/>
      <c r="AW2877" s="133"/>
      <c r="AX2877" s="133"/>
      <c r="AY2877" s="133"/>
      <c r="AZ2877" s="133"/>
      <c r="BA2877" s="133"/>
      <c r="BB2877" s="133"/>
      <c r="BC2877" s="133"/>
      <c r="BD2877" s="133"/>
      <c r="BE2877" s="133"/>
      <c r="BF2877" s="133"/>
      <c r="BG2877" s="133"/>
      <c r="BH2877" s="133"/>
      <c r="BI2877" s="133"/>
      <c r="BJ2877" s="133"/>
      <c r="BK2877" s="133"/>
      <c r="BL2877" s="133"/>
      <c r="BM2877" s="133"/>
      <c r="BN2877" s="133"/>
      <c r="BO2877" s="133"/>
      <c r="BP2877" s="133"/>
      <c r="BQ2877" s="133"/>
    </row>
    <row r="2878">
      <c r="A2878" s="194" t="s">
        <v>7618</v>
      </c>
      <c r="B2878" s="125"/>
      <c r="C2878" s="126">
        <v>43775.0</v>
      </c>
      <c r="D2878" s="133"/>
      <c r="E2878" s="124" t="s">
        <v>41</v>
      </c>
      <c r="F2878" s="198">
        <v>1.0</v>
      </c>
      <c r="G2878" s="124" t="s">
        <v>32</v>
      </c>
      <c r="H2878" s="303">
        <v>1.0</v>
      </c>
      <c r="I2878" s="124" t="s">
        <v>33</v>
      </c>
      <c r="J2878" s="124" t="s">
        <v>61</v>
      </c>
      <c r="K2878" s="133"/>
      <c r="L2878" s="124" t="s">
        <v>119</v>
      </c>
      <c r="M2878" s="242" t="s">
        <v>7619</v>
      </c>
      <c r="N2878" s="233"/>
      <c r="O2878" s="124"/>
      <c r="P2878" s="133"/>
      <c r="Q2878" s="124"/>
      <c r="R2878" s="128"/>
      <c r="S2878" s="37"/>
      <c r="T2878" s="38"/>
      <c r="U2878" s="38"/>
      <c r="V2878" s="124" t="s">
        <v>33</v>
      </c>
      <c r="W2878" s="138"/>
      <c r="X2878" s="138"/>
      <c r="Y2878" s="233"/>
      <c r="Z2878" s="133"/>
      <c r="AA2878" s="133"/>
      <c r="AB2878" s="133"/>
      <c r="AC2878" s="133"/>
      <c r="AD2878" s="133"/>
      <c r="AE2878" s="133"/>
      <c r="AF2878" s="133"/>
      <c r="AG2878" s="133"/>
      <c r="AH2878" s="133"/>
      <c r="AI2878" s="133"/>
      <c r="AJ2878" s="133"/>
      <c r="AK2878" s="133"/>
      <c r="AL2878" s="133"/>
      <c r="AM2878" s="133"/>
      <c r="AN2878" s="133"/>
      <c r="AO2878" s="133"/>
      <c r="AP2878" s="133"/>
      <c r="AQ2878" s="133"/>
      <c r="AR2878" s="133"/>
      <c r="AS2878" s="133"/>
      <c r="AT2878" s="133"/>
      <c r="AU2878" s="133"/>
      <c r="AV2878" s="133"/>
      <c r="AW2878" s="133"/>
      <c r="AX2878" s="133"/>
      <c r="AY2878" s="133"/>
      <c r="AZ2878" s="133"/>
      <c r="BA2878" s="133"/>
      <c r="BB2878" s="133"/>
      <c r="BC2878" s="133"/>
      <c r="BD2878" s="133"/>
      <c r="BE2878" s="133"/>
      <c r="BF2878" s="133"/>
      <c r="BG2878" s="133"/>
      <c r="BH2878" s="133"/>
      <c r="BI2878" s="133"/>
      <c r="BJ2878" s="133"/>
      <c r="BK2878" s="133"/>
      <c r="BL2878" s="133"/>
      <c r="BM2878" s="133"/>
      <c r="BN2878" s="133"/>
      <c r="BO2878" s="133"/>
      <c r="BP2878" s="133"/>
      <c r="BQ2878" s="133"/>
    </row>
    <row r="2879">
      <c r="A2879" s="194" t="s">
        <v>7620</v>
      </c>
      <c r="B2879" s="125"/>
      <c r="C2879" s="126">
        <v>43775.0</v>
      </c>
      <c r="D2879" s="133"/>
      <c r="E2879" s="124" t="s">
        <v>31</v>
      </c>
      <c r="F2879" s="198">
        <v>1.0</v>
      </c>
      <c r="G2879" s="124">
        <v>3.0</v>
      </c>
      <c r="H2879" s="303">
        <v>3.0</v>
      </c>
      <c r="I2879" s="124" t="s">
        <v>33</v>
      </c>
      <c r="J2879" s="124" t="s">
        <v>47</v>
      </c>
      <c r="K2879" s="133"/>
      <c r="L2879" s="124" t="s">
        <v>76</v>
      </c>
      <c r="M2879" s="242" t="s">
        <v>7621</v>
      </c>
      <c r="N2879" s="219" t="s">
        <v>7622</v>
      </c>
      <c r="O2879" s="124"/>
      <c r="P2879" s="133"/>
      <c r="Q2879" s="124"/>
      <c r="R2879" s="128"/>
      <c r="S2879" s="37"/>
      <c r="T2879" s="38"/>
      <c r="U2879" s="38"/>
      <c r="V2879" s="124" t="s">
        <v>33</v>
      </c>
      <c r="W2879" s="219" t="s">
        <v>7623</v>
      </c>
      <c r="X2879" s="219" t="s">
        <v>7624</v>
      </c>
      <c r="Y2879" s="233"/>
      <c r="Z2879" s="133"/>
      <c r="AA2879" s="133"/>
      <c r="AB2879" s="133"/>
      <c r="AC2879" s="133"/>
      <c r="AD2879" s="133"/>
      <c r="AE2879" s="133"/>
      <c r="AF2879" s="133"/>
      <c r="AG2879" s="133"/>
      <c r="AH2879" s="133"/>
      <c r="AI2879" s="133"/>
      <c r="AJ2879" s="133"/>
      <c r="AK2879" s="133"/>
      <c r="AL2879" s="133"/>
      <c r="AM2879" s="133"/>
      <c r="AN2879" s="133"/>
      <c r="AO2879" s="133"/>
      <c r="AP2879" s="133"/>
      <c r="AQ2879" s="133"/>
      <c r="AR2879" s="133"/>
      <c r="AS2879" s="133"/>
      <c r="AT2879" s="133"/>
      <c r="AU2879" s="133"/>
      <c r="AV2879" s="133"/>
      <c r="AW2879" s="133"/>
      <c r="AX2879" s="133"/>
      <c r="AY2879" s="133"/>
      <c r="AZ2879" s="133"/>
      <c r="BA2879" s="133"/>
      <c r="BB2879" s="133"/>
      <c r="BC2879" s="133"/>
      <c r="BD2879" s="133"/>
      <c r="BE2879" s="133"/>
      <c r="BF2879" s="133"/>
      <c r="BG2879" s="133"/>
      <c r="BH2879" s="133"/>
      <c r="BI2879" s="133"/>
      <c r="BJ2879" s="133"/>
      <c r="BK2879" s="133"/>
      <c r="BL2879" s="133"/>
      <c r="BM2879" s="133"/>
      <c r="BN2879" s="133"/>
      <c r="BO2879" s="133"/>
      <c r="BP2879" s="133"/>
      <c r="BQ2879" s="133"/>
    </row>
    <row r="2880">
      <c r="A2880" s="194" t="s">
        <v>7625</v>
      </c>
      <c r="B2880" s="125"/>
      <c r="C2880" s="126">
        <v>43775.0</v>
      </c>
      <c r="D2880" s="133"/>
      <c r="E2880" s="124" t="s">
        <v>41</v>
      </c>
      <c r="F2880" s="198">
        <v>1.0</v>
      </c>
      <c r="G2880" s="124">
        <v>2.0</v>
      </c>
      <c r="H2880" s="303">
        <v>2.0</v>
      </c>
      <c r="I2880" s="124" t="s">
        <v>33</v>
      </c>
      <c r="J2880" s="124" t="s">
        <v>61</v>
      </c>
      <c r="K2880" s="133"/>
      <c r="L2880" s="124" t="s">
        <v>76</v>
      </c>
      <c r="M2880" s="242" t="s">
        <v>7626</v>
      </c>
      <c r="N2880" s="233"/>
      <c r="O2880" s="124"/>
      <c r="P2880" s="133"/>
      <c r="Q2880" s="124">
        <v>1.0</v>
      </c>
      <c r="R2880" s="128"/>
      <c r="S2880" s="37"/>
      <c r="T2880" s="38"/>
      <c r="U2880" s="38"/>
      <c r="V2880" s="124" t="s">
        <v>33</v>
      </c>
      <c r="W2880" s="138"/>
      <c r="X2880" s="138"/>
      <c r="Y2880" s="233"/>
      <c r="Z2880" s="133"/>
      <c r="AA2880" s="133"/>
      <c r="AB2880" s="133"/>
      <c r="AC2880" s="133"/>
      <c r="AD2880" s="133"/>
      <c r="AE2880" s="133"/>
      <c r="AF2880" s="133"/>
      <c r="AG2880" s="133"/>
      <c r="AH2880" s="133"/>
      <c r="AI2880" s="133"/>
      <c r="AJ2880" s="133"/>
      <c r="AK2880" s="133"/>
      <c r="AL2880" s="133"/>
      <c r="AM2880" s="133"/>
      <c r="AN2880" s="133"/>
      <c r="AO2880" s="133"/>
      <c r="AP2880" s="133"/>
      <c r="AQ2880" s="133"/>
      <c r="AR2880" s="133"/>
      <c r="AS2880" s="133"/>
      <c r="AT2880" s="133"/>
      <c r="AU2880" s="133"/>
      <c r="AV2880" s="133"/>
      <c r="AW2880" s="133"/>
      <c r="AX2880" s="133"/>
      <c r="AY2880" s="133"/>
      <c r="AZ2880" s="133"/>
      <c r="BA2880" s="133"/>
      <c r="BB2880" s="133"/>
      <c r="BC2880" s="133"/>
      <c r="BD2880" s="133"/>
      <c r="BE2880" s="133"/>
      <c r="BF2880" s="133"/>
      <c r="BG2880" s="133"/>
      <c r="BH2880" s="133"/>
      <c r="BI2880" s="133"/>
      <c r="BJ2880" s="133"/>
      <c r="BK2880" s="133"/>
      <c r="BL2880" s="133"/>
      <c r="BM2880" s="133"/>
      <c r="BN2880" s="133"/>
      <c r="BO2880" s="133"/>
      <c r="BP2880" s="133"/>
      <c r="BQ2880" s="133"/>
    </row>
    <row r="2881">
      <c r="A2881" s="194" t="s">
        <v>7627</v>
      </c>
      <c r="B2881" s="125"/>
      <c r="C2881" s="126">
        <v>43776.0</v>
      </c>
      <c r="D2881" s="133"/>
      <c r="E2881" s="124" t="s">
        <v>41</v>
      </c>
      <c r="F2881" s="198">
        <v>1.0</v>
      </c>
      <c r="G2881" s="124" t="s">
        <v>32</v>
      </c>
      <c r="H2881" s="303">
        <v>1.0</v>
      </c>
      <c r="I2881" s="124" t="s">
        <v>33</v>
      </c>
      <c r="J2881" s="124" t="s">
        <v>228</v>
      </c>
      <c r="K2881" s="133"/>
      <c r="L2881" s="124" t="s">
        <v>7628</v>
      </c>
      <c r="M2881" s="242" t="s">
        <v>7629</v>
      </c>
      <c r="N2881" s="233"/>
      <c r="O2881" s="124"/>
      <c r="P2881" s="133"/>
      <c r="Q2881" s="124"/>
      <c r="R2881" s="128"/>
      <c r="S2881" s="37"/>
      <c r="T2881" s="38"/>
      <c r="U2881" s="38" t="b">
        <f t="shared" ref="U2881:U2882" si="411">countif(A$4:A4658, A2881)&gt;1</f>
        <v>0</v>
      </c>
      <c r="V2881" s="124" t="s">
        <v>33</v>
      </c>
      <c r="W2881" s="138"/>
      <c r="X2881" s="138"/>
      <c r="Y2881" s="233"/>
      <c r="Z2881" s="133"/>
      <c r="AA2881" s="133"/>
      <c r="AB2881" s="133"/>
      <c r="AC2881" s="133"/>
      <c r="AD2881" s="133"/>
      <c r="AE2881" s="133"/>
      <c r="AF2881" s="133"/>
      <c r="AG2881" s="133"/>
      <c r="AH2881" s="133"/>
      <c r="AI2881" s="133"/>
      <c r="AJ2881" s="133"/>
      <c r="AK2881" s="133"/>
      <c r="AL2881" s="133"/>
      <c r="AM2881" s="133"/>
      <c r="AN2881" s="133"/>
      <c r="AO2881" s="133"/>
      <c r="AP2881" s="133"/>
      <c r="AQ2881" s="133"/>
      <c r="AR2881" s="133"/>
      <c r="AS2881" s="133"/>
      <c r="AT2881" s="133"/>
      <c r="AU2881" s="133"/>
      <c r="AV2881" s="133"/>
      <c r="AW2881" s="133"/>
      <c r="AX2881" s="133"/>
      <c r="AY2881" s="133"/>
      <c r="AZ2881" s="133"/>
      <c r="BA2881" s="133"/>
      <c r="BB2881" s="133"/>
      <c r="BC2881" s="133"/>
      <c r="BD2881" s="133"/>
      <c r="BE2881" s="133"/>
      <c r="BF2881" s="133"/>
      <c r="BG2881" s="133"/>
      <c r="BH2881" s="133"/>
      <c r="BI2881" s="133"/>
      <c r="BJ2881" s="133"/>
      <c r="BK2881" s="133"/>
      <c r="BL2881" s="133"/>
      <c r="BM2881" s="133"/>
      <c r="BN2881" s="133"/>
      <c r="BO2881" s="133"/>
      <c r="BP2881" s="133"/>
      <c r="BQ2881" s="133"/>
    </row>
    <row r="2882">
      <c r="A2882" s="194" t="s">
        <v>7630</v>
      </c>
      <c r="B2882" s="125"/>
      <c r="C2882" s="126">
        <v>43776.0</v>
      </c>
      <c r="D2882" s="133"/>
      <c r="E2882" s="124" t="s">
        <v>41</v>
      </c>
      <c r="F2882" s="198">
        <v>1.0</v>
      </c>
      <c r="G2882" s="124" t="s">
        <v>32</v>
      </c>
      <c r="H2882" s="303">
        <v>1.0</v>
      </c>
      <c r="I2882" s="124" t="s">
        <v>33</v>
      </c>
      <c r="J2882" s="124" t="s">
        <v>144</v>
      </c>
      <c r="K2882" s="133"/>
      <c r="L2882" s="124" t="s">
        <v>807</v>
      </c>
      <c r="M2882" s="242" t="s">
        <v>7631</v>
      </c>
      <c r="N2882" s="233"/>
      <c r="O2882" s="173" t="str">
        <f>hyperlink("https://bad-boys.us/?q=D-MT/4:19-cr-00079", "D-MT 4:19-cr-00079")</f>
        <v>D-MT 4:19-cr-00079</v>
      </c>
      <c r="P2882" s="133"/>
      <c r="Q2882" s="124">
        <v>1.0</v>
      </c>
      <c r="R2882" s="128"/>
      <c r="S2882" s="37"/>
      <c r="T2882" s="38"/>
      <c r="U2882" s="38" t="b">
        <f t="shared" si="411"/>
        <v>0</v>
      </c>
      <c r="V2882" s="124" t="s">
        <v>33</v>
      </c>
      <c r="W2882" s="138"/>
      <c r="X2882" s="138"/>
      <c r="Y2882" s="233"/>
      <c r="Z2882" s="133"/>
      <c r="AA2882" s="133"/>
      <c r="AB2882" s="133"/>
      <c r="AC2882" s="133"/>
      <c r="AD2882" s="133"/>
      <c r="AE2882" s="133"/>
      <c r="AF2882" s="133"/>
      <c r="AG2882" s="133"/>
      <c r="AH2882" s="133"/>
      <c r="AI2882" s="133"/>
      <c r="AJ2882" s="133"/>
      <c r="AK2882" s="133"/>
      <c r="AL2882" s="133"/>
      <c r="AM2882" s="133"/>
      <c r="AN2882" s="133"/>
      <c r="AO2882" s="133"/>
      <c r="AP2882" s="133"/>
      <c r="AQ2882" s="133"/>
      <c r="AR2882" s="133"/>
      <c r="AS2882" s="133"/>
      <c r="AT2882" s="133"/>
      <c r="AU2882" s="133"/>
      <c r="AV2882" s="133"/>
      <c r="AW2882" s="133"/>
      <c r="AX2882" s="133"/>
      <c r="AY2882" s="133"/>
      <c r="AZ2882" s="133"/>
      <c r="BA2882" s="133"/>
      <c r="BB2882" s="133"/>
      <c r="BC2882" s="133"/>
      <c r="BD2882" s="133"/>
      <c r="BE2882" s="133"/>
      <c r="BF2882" s="133"/>
      <c r="BG2882" s="133"/>
      <c r="BH2882" s="133"/>
      <c r="BI2882" s="133"/>
      <c r="BJ2882" s="133"/>
      <c r="BK2882" s="133"/>
      <c r="BL2882" s="133"/>
      <c r="BM2882" s="133"/>
      <c r="BN2882" s="133"/>
      <c r="BO2882" s="133"/>
      <c r="BP2882" s="133"/>
      <c r="BQ2882" s="133"/>
    </row>
    <row r="2883">
      <c r="A2883" s="194" t="s">
        <v>7632</v>
      </c>
      <c r="B2883" s="125"/>
      <c r="C2883" s="126">
        <v>43777.0</v>
      </c>
      <c r="D2883" s="133"/>
      <c r="E2883" s="124" t="s">
        <v>41</v>
      </c>
      <c r="F2883" s="198">
        <v>1.0</v>
      </c>
      <c r="G2883" s="124" t="s">
        <v>32</v>
      </c>
      <c r="H2883" s="303">
        <v>1.0</v>
      </c>
      <c r="I2883" s="124" t="s">
        <v>33</v>
      </c>
      <c r="J2883" s="124" t="s">
        <v>440</v>
      </c>
      <c r="K2883" s="133"/>
      <c r="L2883" s="124" t="s">
        <v>119</v>
      </c>
      <c r="M2883" s="242" t="s">
        <v>7633</v>
      </c>
      <c r="N2883" s="233"/>
      <c r="O2883" s="124"/>
      <c r="P2883" s="133"/>
      <c r="Q2883" s="124"/>
      <c r="R2883" s="128"/>
      <c r="S2883" s="37"/>
      <c r="T2883" s="38"/>
      <c r="U2883" s="38"/>
      <c r="V2883" s="124" t="s">
        <v>33</v>
      </c>
      <c r="W2883" s="138"/>
      <c r="X2883" s="138"/>
      <c r="Y2883" s="233"/>
      <c r="Z2883" s="133"/>
      <c r="AA2883" s="133"/>
      <c r="AB2883" s="133"/>
      <c r="AC2883" s="133"/>
      <c r="AD2883" s="133"/>
      <c r="AE2883" s="133"/>
      <c r="AF2883" s="133"/>
      <c r="AG2883" s="133"/>
      <c r="AH2883" s="133"/>
      <c r="AI2883" s="133"/>
      <c r="AJ2883" s="133"/>
      <c r="AK2883" s="133"/>
      <c r="AL2883" s="133"/>
      <c r="AM2883" s="133"/>
      <c r="AN2883" s="133"/>
      <c r="AO2883" s="133"/>
      <c r="AP2883" s="133"/>
      <c r="AQ2883" s="133"/>
      <c r="AR2883" s="133"/>
      <c r="AS2883" s="133"/>
      <c r="AT2883" s="133"/>
      <c r="AU2883" s="133"/>
      <c r="AV2883" s="133"/>
      <c r="AW2883" s="133"/>
      <c r="AX2883" s="133"/>
      <c r="AY2883" s="133"/>
      <c r="AZ2883" s="133"/>
      <c r="BA2883" s="133"/>
      <c r="BB2883" s="133"/>
      <c r="BC2883" s="133"/>
      <c r="BD2883" s="133"/>
      <c r="BE2883" s="133"/>
      <c r="BF2883" s="133"/>
      <c r="BG2883" s="133"/>
      <c r="BH2883" s="133"/>
      <c r="BI2883" s="133"/>
      <c r="BJ2883" s="133"/>
      <c r="BK2883" s="133"/>
      <c r="BL2883" s="133"/>
      <c r="BM2883" s="133"/>
      <c r="BN2883" s="133"/>
      <c r="BO2883" s="133"/>
      <c r="BP2883" s="133"/>
      <c r="BQ2883" s="133"/>
    </row>
    <row r="2884">
      <c r="A2884" s="194" t="s">
        <v>7634</v>
      </c>
      <c r="B2884" s="125"/>
      <c r="C2884" s="126">
        <v>43781.0</v>
      </c>
      <c r="D2884" s="133"/>
      <c r="E2884" s="124" t="s">
        <v>41</v>
      </c>
      <c r="F2884" s="198">
        <v>1.0</v>
      </c>
      <c r="G2884" s="124" t="s">
        <v>32</v>
      </c>
      <c r="H2884" s="303">
        <v>1.0</v>
      </c>
      <c r="I2884" s="124" t="s">
        <v>33</v>
      </c>
      <c r="J2884" s="124" t="s">
        <v>288</v>
      </c>
      <c r="K2884" s="133"/>
      <c r="L2884" s="124" t="s">
        <v>76</v>
      </c>
      <c r="M2884" s="242" t="s">
        <v>7635</v>
      </c>
      <c r="N2884" s="233"/>
      <c r="O2884" s="124"/>
      <c r="P2884" s="133"/>
      <c r="Q2884" s="124">
        <v>1.0</v>
      </c>
      <c r="R2884" s="128"/>
      <c r="S2884" s="37"/>
      <c r="T2884" s="38"/>
      <c r="U2884" s="38" t="b">
        <f>countif(A$4:A4658, A2884)&gt;1</f>
        <v>0</v>
      </c>
      <c r="V2884" s="124" t="s">
        <v>33</v>
      </c>
      <c r="W2884" s="138"/>
      <c r="X2884" s="138"/>
      <c r="Y2884" s="233"/>
      <c r="Z2884" s="133"/>
      <c r="AA2884" s="133"/>
      <c r="AB2884" s="133"/>
      <c r="AC2884" s="133"/>
      <c r="AD2884" s="133"/>
      <c r="AE2884" s="133"/>
      <c r="AF2884" s="133"/>
      <c r="AG2884" s="133"/>
      <c r="AH2884" s="133"/>
      <c r="AI2884" s="133"/>
      <c r="AJ2884" s="133"/>
      <c r="AK2884" s="133"/>
      <c r="AL2884" s="133"/>
      <c r="AM2884" s="133"/>
      <c r="AN2884" s="133"/>
      <c r="AO2884" s="133"/>
      <c r="AP2884" s="133"/>
      <c r="AQ2884" s="133"/>
      <c r="AR2884" s="133"/>
      <c r="AS2884" s="133"/>
      <c r="AT2884" s="133"/>
      <c r="AU2884" s="133"/>
      <c r="AV2884" s="133"/>
      <c r="AW2884" s="133"/>
      <c r="AX2884" s="133"/>
      <c r="AY2884" s="133"/>
      <c r="AZ2884" s="133"/>
      <c r="BA2884" s="133"/>
      <c r="BB2884" s="133"/>
      <c r="BC2884" s="133"/>
      <c r="BD2884" s="133"/>
      <c r="BE2884" s="133"/>
      <c r="BF2884" s="133"/>
      <c r="BG2884" s="133"/>
      <c r="BH2884" s="133"/>
      <c r="BI2884" s="133"/>
      <c r="BJ2884" s="133"/>
      <c r="BK2884" s="133"/>
      <c r="BL2884" s="133"/>
      <c r="BM2884" s="133"/>
      <c r="BN2884" s="133"/>
      <c r="BO2884" s="133"/>
      <c r="BP2884" s="133"/>
      <c r="BQ2884" s="133"/>
    </row>
    <row r="2885">
      <c r="A2885" s="194" t="s">
        <v>7636</v>
      </c>
      <c r="B2885" s="125"/>
      <c r="C2885" s="126">
        <v>43781.0</v>
      </c>
      <c r="D2885" s="133"/>
      <c r="E2885" s="124" t="s">
        <v>41</v>
      </c>
      <c r="F2885" s="198">
        <v>1.0</v>
      </c>
      <c r="G2885" s="124" t="s">
        <v>32</v>
      </c>
      <c r="H2885" s="303">
        <v>1.0</v>
      </c>
      <c r="I2885" s="124" t="s">
        <v>33</v>
      </c>
      <c r="J2885" s="124" t="s">
        <v>460</v>
      </c>
      <c r="K2885" s="133"/>
      <c r="L2885" s="124" t="s">
        <v>76</v>
      </c>
      <c r="M2885" s="242" t="s">
        <v>7637</v>
      </c>
      <c r="N2885" s="233"/>
      <c r="O2885" s="124"/>
      <c r="P2885" s="133"/>
      <c r="Q2885" s="124">
        <v>1.0</v>
      </c>
      <c r="R2885" s="128"/>
      <c r="S2885" s="37"/>
      <c r="T2885" s="38"/>
      <c r="U2885" s="38"/>
      <c r="V2885" s="124" t="s">
        <v>33</v>
      </c>
      <c r="W2885" s="138"/>
      <c r="X2885" s="138"/>
      <c r="Y2885" s="233"/>
      <c r="Z2885" s="133"/>
      <c r="AA2885" s="133"/>
      <c r="AB2885" s="133"/>
      <c r="AC2885" s="133"/>
      <c r="AD2885" s="133"/>
      <c r="AE2885" s="133"/>
      <c r="AF2885" s="133"/>
      <c r="AG2885" s="133"/>
      <c r="AH2885" s="133"/>
      <c r="AI2885" s="133"/>
      <c r="AJ2885" s="133"/>
      <c r="AK2885" s="133"/>
      <c r="AL2885" s="133"/>
      <c r="AM2885" s="133"/>
      <c r="AN2885" s="133"/>
      <c r="AO2885" s="133"/>
      <c r="AP2885" s="133"/>
      <c r="AQ2885" s="133"/>
      <c r="AR2885" s="133"/>
      <c r="AS2885" s="133"/>
      <c r="AT2885" s="133"/>
      <c r="AU2885" s="133"/>
      <c r="AV2885" s="133"/>
      <c r="AW2885" s="133"/>
      <c r="AX2885" s="133"/>
      <c r="AY2885" s="133"/>
      <c r="AZ2885" s="133"/>
      <c r="BA2885" s="133"/>
      <c r="BB2885" s="133"/>
      <c r="BC2885" s="133"/>
      <c r="BD2885" s="133"/>
      <c r="BE2885" s="133"/>
      <c r="BF2885" s="133"/>
      <c r="BG2885" s="133"/>
      <c r="BH2885" s="133"/>
      <c r="BI2885" s="133"/>
      <c r="BJ2885" s="133"/>
      <c r="BK2885" s="133"/>
      <c r="BL2885" s="133"/>
      <c r="BM2885" s="133"/>
      <c r="BN2885" s="133"/>
      <c r="BO2885" s="133"/>
      <c r="BP2885" s="133"/>
      <c r="BQ2885" s="133"/>
    </row>
    <row r="2886">
      <c r="A2886" s="194" t="s">
        <v>7638</v>
      </c>
      <c r="B2886" s="125"/>
      <c r="C2886" s="126">
        <v>43781.0</v>
      </c>
      <c r="D2886" s="133"/>
      <c r="E2886" s="124" t="s">
        <v>41</v>
      </c>
      <c r="F2886" s="198">
        <v>1.0</v>
      </c>
      <c r="G2886" s="124" t="s">
        <v>32</v>
      </c>
      <c r="H2886" s="303">
        <v>1.0</v>
      </c>
      <c r="I2886" s="124" t="s">
        <v>33</v>
      </c>
      <c r="J2886" s="124" t="s">
        <v>147</v>
      </c>
      <c r="K2886" s="133"/>
      <c r="L2886" s="124" t="s">
        <v>69</v>
      </c>
      <c r="M2886" s="242" t="s">
        <v>7639</v>
      </c>
      <c r="N2886" s="233"/>
      <c r="O2886" s="124"/>
      <c r="P2886" s="133"/>
      <c r="Q2886" s="124">
        <v>1.0</v>
      </c>
      <c r="R2886" s="128"/>
      <c r="S2886" s="37"/>
      <c r="T2886" s="38"/>
      <c r="U2886" s="38"/>
      <c r="V2886" s="124" t="s">
        <v>33</v>
      </c>
      <c r="W2886" s="138"/>
      <c r="X2886" s="138"/>
      <c r="Y2886" s="233"/>
      <c r="Z2886" s="133"/>
      <c r="AA2886" s="133"/>
      <c r="AB2886" s="133"/>
      <c r="AC2886" s="133"/>
      <c r="AD2886" s="133"/>
      <c r="AE2886" s="133"/>
      <c r="AF2886" s="133"/>
      <c r="AG2886" s="133"/>
      <c r="AH2886" s="133"/>
      <c r="AI2886" s="133"/>
      <c r="AJ2886" s="133"/>
      <c r="AK2886" s="133"/>
      <c r="AL2886" s="133"/>
      <c r="AM2886" s="133"/>
      <c r="AN2886" s="133"/>
      <c r="AO2886" s="133"/>
      <c r="AP2886" s="133"/>
      <c r="AQ2886" s="133"/>
      <c r="AR2886" s="133"/>
      <c r="AS2886" s="133"/>
      <c r="AT2886" s="133"/>
      <c r="AU2886" s="133"/>
      <c r="AV2886" s="133"/>
      <c r="AW2886" s="133"/>
      <c r="AX2886" s="133"/>
      <c r="AY2886" s="133"/>
      <c r="AZ2886" s="133"/>
      <c r="BA2886" s="133"/>
      <c r="BB2886" s="133"/>
      <c r="BC2886" s="133"/>
      <c r="BD2886" s="133"/>
      <c r="BE2886" s="133"/>
      <c r="BF2886" s="133"/>
      <c r="BG2886" s="133"/>
      <c r="BH2886" s="133"/>
      <c r="BI2886" s="133"/>
      <c r="BJ2886" s="133"/>
      <c r="BK2886" s="133"/>
      <c r="BL2886" s="133"/>
      <c r="BM2886" s="133"/>
      <c r="BN2886" s="133"/>
      <c r="BO2886" s="133"/>
      <c r="BP2886" s="133"/>
      <c r="BQ2886" s="133"/>
    </row>
    <row r="2887">
      <c r="A2887" s="194" t="s">
        <v>7640</v>
      </c>
      <c r="B2887" s="125"/>
      <c r="C2887" s="126">
        <v>43781.0</v>
      </c>
      <c r="D2887" s="133"/>
      <c r="E2887" s="124" t="s">
        <v>41</v>
      </c>
      <c r="F2887" s="198">
        <v>1.0</v>
      </c>
      <c r="G2887" s="124" t="s">
        <v>32</v>
      </c>
      <c r="H2887" s="303">
        <v>1.0</v>
      </c>
      <c r="I2887" s="124" t="s">
        <v>33</v>
      </c>
      <c r="J2887" s="124" t="s">
        <v>115</v>
      </c>
      <c r="K2887" s="133"/>
      <c r="L2887" s="124" t="s">
        <v>76</v>
      </c>
      <c r="M2887" s="243" t="s">
        <v>7641</v>
      </c>
      <c r="N2887" s="233"/>
      <c r="O2887" s="124"/>
      <c r="P2887" s="133"/>
      <c r="Q2887" s="124">
        <v>1.0</v>
      </c>
      <c r="R2887" s="128"/>
      <c r="S2887" s="37"/>
      <c r="T2887" s="38"/>
      <c r="U2887" s="38"/>
      <c r="V2887" s="124" t="s">
        <v>33</v>
      </c>
      <c r="W2887" s="138"/>
      <c r="X2887" s="138"/>
      <c r="Y2887" s="233"/>
      <c r="Z2887" s="133"/>
      <c r="AA2887" s="133"/>
      <c r="AB2887" s="133"/>
      <c r="AC2887" s="133"/>
      <c r="AD2887" s="133"/>
      <c r="AE2887" s="133"/>
      <c r="AF2887" s="133"/>
      <c r="AG2887" s="133"/>
      <c r="AH2887" s="133"/>
      <c r="AI2887" s="133"/>
      <c r="AJ2887" s="133"/>
      <c r="AK2887" s="133"/>
      <c r="AL2887" s="133"/>
      <c r="AM2887" s="133"/>
      <c r="AN2887" s="133"/>
      <c r="AO2887" s="133"/>
      <c r="AP2887" s="133"/>
      <c r="AQ2887" s="133"/>
      <c r="AR2887" s="133"/>
      <c r="AS2887" s="133"/>
      <c r="AT2887" s="133"/>
      <c r="AU2887" s="133"/>
      <c r="AV2887" s="133"/>
      <c r="AW2887" s="133"/>
      <c r="AX2887" s="133"/>
      <c r="AY2887" s="133"/>
      <c r="AZ2887" s="133"/>
      <c r="BA2887" s="133"/>
      <c r="BB2887" s="133"/>
      <c r="BC2887" s="133"/>
      <c r="BD2887" s="133"/>
      <c r="BE2887" s="133"/>
      <c r="BF2887" s="133"/>
      <c r="BG2887" s="133"/>
      <c r="BH2887" s="133"/>
      <c r="BI2887" s="133"/>
      <c r="BJ2887" s="133"/>
      <c r="BK2887" s="133"/>
      <c r="BL2887" s="133"/>
      <c r="BM2887" s="133"/>
      <c r="BN2887" s="133"/>
      <c r="BO2887" s="133"/>
      <c r="BP2887" s="133"/>
      <c r="BQ2887" s="133"/>
    </row>
    <row r="2888">
      <c r="A2888" s="194" t="s">
        <v>7642</v>
      </c>
      <c r="B2888" s="125"/>
      <c r="C2888" s="126">
        <v>43782.0</v>
      </c>
      <c r="D2888" s="133"/>
      <c r="E2888" s="124" t="s">
        <v>41</v>
      </c>
      <c r="F2888" s="198">
        <v>1.0</v>
      </c>
      <c r="G2888" s="124" t="s">
        <v>32</v>
      </c>
      <c r="H2888" s="303">
        <v>1.0</v>
      </c>
      <c r="I2888" s="124" t="s">
        <v>33</v>
      </c>
      <c r="J2888" s="124" t="s">
        <v>147</v>
      </c>
      <c r="K2888" s="133"/>
      <c r="L2888" s="124" t="s">
        <v>119</v>
      </c>
      <c r="M2888" s="243" t="s">
        <v>7643</v>
      </c>
      <c r="N2888" s="233"/>
      <c r="O2888" s="124"/>
      <c r="P2888" s="133"/>
      <c r="Q2888" s="124">
        <v>1.0</v>
      </c>
      <c r="R2888" s="128"/>
      <c r="S2888" s="37"/>
      <c r="T2888" s="38"/>
      <c r="U2888" s="38"/>
      <c r="V2888" s="124" t="s">
        <v>33</v>
      </c>
      <c r="W2888" s="138"/>
      <c r="X2888" s="138"/>
      <c r="Y2888" s="233"/>
      <c r="Z2888" s="133"/>
      <c r="AA2888" s="133"/>
      <c r="AB2888" s="133"/>
      <c r="AC2888" s="133"/>
      <c r="AD2888" s="133"/>
      <c r="AE2888" s="133"/>
      <c r="AF2888" s="133"/>
      <c r="AG2888" s="133"/>
      <c r="AH2888" s="133"/>
      <c r="AI2888" s="133"/>
      <c r="AJ2888" s="133"/>
      <c r="AK2888" s="133"/>
      <c r="AL2888" s="133"/>
      <c r="AM2888" s="133"/>
      <c r="AN2888" s="133"/>
      <c r="AO2888" s="133"/>
      <c r="AP2888" s="133"/>
      <c r="AQ2888" s="133"/>
      <c r="AR2888" s="133"/>
      <c r="AS2888" s="133"/>
      <c r="AT2888" s="133"/>
      <c r="AU2888" s="133"/>
      <c r="AV2888" s="133"/>
      <c r="AW2888" s="133"/>
      <c r="AX2888" s="133"/>
      <c r="AY2888" s="133"/>
      <c r="AZ2888" s="133"/>
      <c r="BA2888" s="133"/>
      <c r="BB2888" s="133"/>
      <c r="BC2888" s="133"/>
      <c r="BD2888" s="133"/>
      <c r="BE2888" s="133"/>
      <c r="BF2888" s="133"/>
      <c r="BG2888" s="133"/>
      <c r="BH2888" s="133"/>
      <c r="BI2888" s="133"/>
      <c r="BJ2888" s="133"/>
      <c r="BK2888" s="133"/>
      <c r="BL2888" s="133"/>
      <c r="BM2888" s="133"/>
      <c r="BN2888" s="133"/>
      <c r="BO2888" s="133"/>
      <c r="BP2888" s="133"/>
      <c r="BQ2888" s="133"/>
    </row>
    <row r="2889">
      <c r="A2889" s="194" t="s">
        <v>7644</v>
      </c>
      <c r="B2889" s="125"/>
      <c r="C2889" s="126">
        <v>43782.0</v>
      </c>
      <c r="D2889" s="133"/>
      <c r="E2889" s="124" t="s">
        <v>41</v>
      </c>
      <c r="F2889" s="198">
        <v>1.0</v>
      </c>
      <c r="G2889" s="124" t="s">
        <v>32</v>
      </c>
      <c r="H2889" s="303">
        <v>1.0</v>
      </c>
      <c r="I2889" s="124" t="s">
        <v>33</v>
      </c>
      <c r="J2889" s="124" t="s">
        <v>115</v>
      </c>
      <c r="K2889" s="133"/>
      <c r="L2889" s="124" t="s">
        <v>119</v>
      </c>
      <c r="M2889" s="243" t="s">
        <v>7645</v>
      </c>
      <c r="N2889" s="233"/>
      <c r="O2889" s="173" t="str">
        <f>hyperlink("https://bad-boys.us/?q=MD-PA/1:19-cr-00329", "MD-PA 1:19-cr-00329")</f>
        <v>MD-PA 1:19-cr-00329</v>
      </c>
      <c r="P2889" s="133"/>
      <c r="Q2889" s="124">
        <v>1.0</v>
      </c>
      <c r="R2889" s="128"/>
      <c r="S2889" s="37"/>
      <c r="T2889" s="38"/>
      <c r="U2889" s="38" t="b">
        <f>countif(A$4:A4658, A2889)&gt;1</f>
        <v>0</v>
      </c>
      <c r="V2889" s="124" t="s">
        <v>33</v>
      </c>
      <c r="W2889" s="138"/>
      <c r="X2889" s="138"/>
      <c r="Y2889" s="233"/>
      <c r="Z2889" s="133"/>
      <c r="AA2889" s="133"/>
      <c r="AB2889" s="133"/>
      <c r="AC2889" s="133"/>
      <c r="AD2889" s="133"/>
      <c r="AE2889" s="133"/>
      <c r="AF2889" s="133"/>
      <c r="AG2889" s="133"/>
      <c r="AH2889" s="133"/>
      <c r="AI2889" s="133"/>
      <c r="AJ2889" s="133"/>
      <c r="AK2889" s="133"/>
      <c r="AL2889" s="133"/>
      <c r="AM2889" s="133"/>
      <c r="AN2889" s="133"/>
      <c r="AO2889" s="133"/>
      <c r="AP2889" s="133"/>
      <c r="AQ2889" s="133"/>
      <c r="AR2889" s="133"/>
      <c r="AS2889" s="133"/>
      <c r="AT2889" s="133"/>
      <c r="AU2889" s="133"/>
      <c r="AV2889" s="133"/>
      <c r="AW2889" s="133"/>
      <c r="AX2889" s="133"/>
      <c r="AY2889" s="133"/>
      <c r="AZ2889" s="133"/>
      <c r="BA2889" s="133"/>
      <c r="BB2889" s="133"/>
      <c r="BC2889" s="133"/>
      <c r="BD2889" s="133"/>
      <c r="BE2889" s="133"/>
      <c r="BF2889" s="133"/>
      <c r="BG2889" s="133"/>
      <c r="BH2889" s="133"/>
      <c r="BI2889" s="133"/>
      <c r="BJ2889" s="133"/>
      <c r="BK2889" s="133"/>
      <c r="BL2889" s="133"/>
      <c r="BM2889" s="133"/>
      <c r="BN2889" s="133"/>
      <c r="BO2889" s="133"/>
      <c r="BP2889" s="133"/>
      <c r="BQ2889" s="133"/>
    </row>
    <row r="2890">
      <c r="A2890" s="194" t="s">
        <v>7646</v>
      </c>
      <c r="B2890" s="125"/>
      <c r="C2890" s="126">
        <v>43782.0</v>
      </c>
      <c r="D2890" s="133"/>
      <c r="E2890" s="124" t="s">
        <v>41</v>
      </c>
      <c r="F2890" s="198">
        <v>1.0</v>
      </c>
      <c r="G2890" s="124" t="s">
        <v>32</v>
      </c>
      <c r="H2890" s="303">
        <v>1.0</v>
      </c>
      <c r="I2890" s="124" t="s">
        <v>33</v>
      </c>
      <c r="J2890" s="124" t="s">
        <v>318</v>
      </c>
      <c r="K2890" s="133"/>
      <c r="L2890" s="124" t="s">
        <v>119</v>
      </c>
      <c r="M2890" s="243" t="s">
        <v>7389</v>
      </c>
      <c r="N2890" s="233"/>
      <c r="O2890" s="124"/>
      <c r="P2890" s="133"/>
      <c r="Q2890" s="124">
        <v>1.0</v>
      </c>
      <c r="R2890" s="128"/>
      <c r="S2890" s="37"/>
      <c r="T2890" s="38"/>
      <c r="U2890" s="38"/>
      <c r="V2890" s="124" t="s">
        <v>33</v>
      </c>
      <c r="W2890" s="138"/>
      <c r="X2890" s="138"/>
      <c r="Y2890" s="233"/>
      <c r="Z2890" s="133"/>
      <c r="AA2890" s="133"/>
      <c r="AB2890" s="133"/>
      <c r="AC2890" s="133"/>
      <c r="AD2890" s="133"/>
      <c r="AE2890" s="133"/>
      <c r="AF2890" s="133"/>
      <c r="AG2890" s="133"/>
      <c r="AH2890" s="133"/>
      <c r="AI2890" s="133"/>
      <c r="AJ2890" s="133"/>
      <c r="AK2890" s="133"/>
      <c r="AL2890" s="133"/>
      <c r="AM2890" s="133"/>
      <c r="AN2890" s="133"/>
      <c r="AO2890" s="133"/>
      <c r="AP2890" s="133"/>
      <c r="AQ2890" s="133"/>
      <c r="AR2890" s="133"/>
      <c r="AS2890" s="133"/>
      <c r="AT2890" s="133"/>
      <c r="AU2890" s="133"/>
      <c r="AV2890" s="133"/>
      <c r="AW2890" s="133"/>
      <c r="AX2890" s="133"/>
      <c r="AY2890" s="133"/>
      <c r="AZ2890" s="133"/>
      <c r="BA2890" s="133"/>
      <c r="BB2890" s="133"/>
      <c r="BC2890" s="133"/>
      <c r="BD2890" s="133"/>
      <c r="BE2890" s="133"/>
      <c r="BF2890" s="133"/>
      <c r="BG2890" s="133"/>
      <c r="BH2890" s="133"/>
      <c r="BI2890" s="133"/>
      <c r="BJ2890" s="133"/>
      <c r="BK2890" s="133"/>
      <c r="BL2890" s="133"/>
      <c r="BM2890" s="133"/>
      <c r="BN2890" s="133"/>
      <c r="BO2890" s="133"/>
      <c r="BP2890" s="133"/>
      <c r="BQ2890" s="133"/>
    </row>
    <row r="2891">
      <c r="A2891" s="194" t="s">
        <v>7647</v>
      </c>
      <c r="B2891" s="125"/>
      <c r="C2891" s="126">
        <v>43782.0</v>
      </c>
      <c r="D2891" s="133"/>
      <c r="E2891" s="124" t="s">
        <v>41</v>
      </c>
      <c r="F2891" s="198">
        <v>1.0</v>
      </c>
      <c r="G2891" s="124" t="s">
        <v>32</v>
      </c>
      <c r="H2891" s="303">
        <v>1.0</v>
      </c>
      <c r="I2891" s="124" t="s">
        <v>33</v>
      </c>
      <c r="J2891" s="124" t="s">
        <v>288</v>
      </c>
      <c r="K2891" s="133"/>
      <c r="L2891" s="124" t="s">
        <v>69</v>
      </c>
      <c r="M2891" s="243" t="s">
        <v>7648</v>
      </c>
      <c r="N2891" s="233"/>
      <c r="O2891" s="124"/>
      <c r="P2891" s="133"/>
      <c r="Q2891" s="124">
        <v>1.0</v>
      </c>
      <c r="R2891" s="128"/>
      <c r="S2891" s="37"/>
      <c r="T2891" s="38"/>
      <c r="U2891" s="38"/>
      <c r="V2891" s="124" t="s">
        <v>33</v>
      </c>
      <c r="W2891" s="138"/>
      <c r="X2891" s="138"/>
      <c r="Y2891" s="233"/>
      <c r="Z2891" s="133"/>
      <c r="AA2891" s="133"/>
      <c r="AB2891" s="133"/>
      <c r="AC2891" s="133"/>
      <c r="AD2891" s="133"/>
      <c r="AE2891" s="133"/>
      <c r="AF2891" s="133"/>
      <c r="AG2891" s="133"/>
      <c r="AH2891" s="133"/>
      <c r="AI2891" s="133"/>
      <c r="AJ2891" s="133"/>
      <c r="AK2891" s="133"/>
      <c r="AL2891" s="133"/>
      <c r="AM2891" s="133"/>
      <c r="AN2891" s="133"/>
      <c r="AO2891" s="133"/>
      <c r="AP2891" s="133"/>
      <c r="AQ2891" s="133"/>
      <c r="AR2891" s="133"/>
      <c r="AS2891" s="133"/>
      <c r="AT2891" s="133"/>
      <c r="AU2891" s="133"/>
      <c r="AV2891" s="133"/>
      <c r="AW2891" s="133"/>
      <c r="AX2891" s="133"/>
      <c r="AY2891" s="133"/>
      <c r="AZ2891" s="133"/>
      <c r="BA2891" s="133"/>
      <c r="BB2891" s="133"/>
      <c r="BC2891" s="133"/>
      <c r="BD2891" s="133"/>
      <c r="BE2891" s="133"/>
      <c r="BF2891" s="133"/>
      <c r="BG2891" s="133"/>
      <c r="BH2891" s="133"/>
      <c r="BI2891" s="133"/>
      <c r="BJ2891" s="133"/>
      <c r="BK2891" s="133"/>
      <c r="BL2891" s="133"/>
      <c r="BM2891" s="133"/>
      <c r="BN2891" s="133"/>
      <c r="BO2891" s="133"/>
      <c r="BP2891" s="133"/>
      <c r="BQ2891" s="133"/>
    </row>
    <row r="2892">
      <c r="A2892" s="194" t="s">
        <v>7649</v>
      </c>
      <c r="B2892" s="125"/>
      <c r="C2892" s="126">
        <v>43782.0</v>
      </c>
      <c r="D2892" s="133"/>
      <c r="E2892" s="124" t="s">
        <v>41</v>
      </c>
      <c r="F2892" s="198">
        <v>1.0</v>
      </c>
      <c r="G2892" s="124" t="s">
        <v>32</v>
      </c>
      <c r="H2892" s="303">
        <v>1.0</v>
      </c>
      <c r="I2892" s="124" t="s">
        <v>33</v>
      </c>
      <c r="J2892" s="124" t="s">
        <v>111</v>
      </c>
      <c r="K2892" s="133"/>
      <c r="L2892" s="124" t="s">
        <v>119</v>
      </c>
      <c r="M2892" s="243" t="s">
        <v>7650</v>
      </c>
      <c r="N2892" s="233"/>
      <c r="O2892" s="124"/>
      <c r="P2892" s="133"/>
      <c r="Q2892" s="124"/>
      <c r="R2892" s="128"/>
      <c r="S2892" s="37"/>
      <c r="T2892" s="38"/>
      <c r="U2892" s="38"/>
      <c r="V2892" s="124" t="s">
        <v>33</v>
      </c>
      <c r="W2892" s="138"/>
      <c r="X2892" s="138"/>
      <c r="Y2892" s="233"/>
      <c r="Z2892" s="133"/>
      <c r="AA2892" s="133"/>
      <c r="AB2892" s="133"/>
      <c r="AC2892" s="133"/>
      <c r="AD2892" s="133"/>
      <c r="AE2892" s="133"/>
      <c r="AF2892" s="133"/>
      <c r="AG2892" s="133"/>
      <c r="AH2892" s="133"/>
      <c r="AI2892" s="133"/>
      <c r="AJ2892" s="133"/>
      <c r="AK2892" s="133"/>
      <c r="AL2892" s="133"/>
      <c r="AM2892" s="133"/>
      <c r="AN2892" s="133"/>
      <c r="AO2892" s="133"/>
      <c r="AP2892" s="133"/>
      <c r="AQ2892" s="133"/>
      <c r="AR2892" s="133"/>
      <c r="AS2892" s="133"/>
      <c r="AT2892" s="133"/>
      <c r="AU2892" s="133"/>
      <c r="AV2892" s="133"/>
      <c r="AW2892" s="133"/>
      <c r="AX2892" s="133"/>
      <c r="AY2892" s="133"/>
      <c r="AZ2892" s="133"/>
      <c r="BA2892" s="133"/>
      <c r="BB2892" s="133"/>
      <c r="BC2892" s="133"/>
      <c r="BD2892" s="133"/>
      <c r="BE2892" s="133"/>
      <c r="BF2892" s="133"/>
      <c r="BG2892" s="133"/>
      <c r="BH2892" s="133"/>
      <c r="BI2892" s="133"/>
      <c r="BJ2892" s="133"/>
      <c r="BK2892" s="133"/>
      <c r="BL2892" s="133"/>
      <c r="BM2892" s="133"/>
      <c r="BN2892" s="133"/>
      <c r="BO2892" s="133"/>
      <c r="BP2892" s="133"/>
      <c r="BQ2892" s="133"/>
    </row>
    <row r="2893">
      <c r="A2893" s="194" t="s">
        <v>7651</v>
      </c>
      <c r="B2893" s="125"/>
      <c r="C2893" s="126">
        <v>43783.0</v>
      </c>
      <c r="D2893" s="133"/>
      <c r="E2893" s="124" t="s">
        <v>41</v>
      </c>
      <c r="F2893" s="198">
        <v>1.0</v>
      </c>
      <c r="G2893" s="124">
        <v>7.0</v>
      </c>
      <c r="H2893" s="303">
        <v>7.0</v>
      </c>
      <c r="I2893" s="124" t="s">
        <v>33</v>
      </c>
      <c r="J2893" s="124" t="s">
        <v>124</v>
      </c>
      <c r="K2893" s="133"/>
      <c r="L2893" s="124" t="s">
        <v>76</v>
      </c>
      <c r="M2893" s="242" t="s">
        <v>7652</v>
      </c>
      <c r="N2893" s="233"/>
      <c r="O2893" s="124"/>
      <c r="P2893" s="133"/>
      <c r="Q2893" s="124"/>
      <c r="R2893" s="128"/>
      <c r="S2893" s="37"/>
      <c r="T2893" s="38"/>
      <c r="U2893" s="38" t="b">
        <f t="shared" ref="U2893:U2896" si="412">countif(A$4:A4658, A2893)&gt;1</f>
        <v>0</v>
      </c>
      <c r="V2893" s="124" t="s">
        <v>33</v>
      </c>
      <c r="W2893" s="138"/>
      <c r="X2893" s="138"/>
      <c r="Y2893" s="233"/>
      <c r="Z2893" s="133"/>
      <c r="AA2893" s="133"/>
      <c r="AB2893" s="133"/>
      <c r="AC2893" s="133"/>
      <c r="AD2893" s="133"/>
      <c r="AE2893" s="133"/>
      <c r="AF2893" s="133"/>
      <c r="AG2893" s="133"/>
      <c r="AH2893" s="133"/>
      <c r="AI2893" s="133"/>
      <c r="AJ2893" s="133"/>
      <c r="AK2893" s="133"/>
      <c r="AL2893" s="133"/>
      <c r="AM2893" s="133"/>
      <c r="AN2893" s="133"/>
      <c r="AO2893" s="133"/>
      <c r="AP2893" s="133"/>
      <c r="AQ2893" s="133"/>
      <c r="AR2893" s="133"/>
      <c r="AS2893" s="133"/>
      <c r="AT2893" s="133"/>
      <c r="AU2893" s="133"/>
      <c r="AV2893" s="133"/>
      <c r="AW2893" s="133"/>
      <c r="AX2893" s="133"/>
      <c r="AY2893" s="133"/>
      <c r="AZ2893" s="133"/>
      <c r="BA2893" s="133"/>
      <c r="BB2893" s="133"/>
      <c r="BC2893" s="133"/>
      <c r="BD2893" s="133"/>
      <c r="BE2893" s="133"/>
      <c r="BF2893" s="133"/>
      <c r="BG2893" s="133"/>
      <c r="BH2893" s="133"/>
      <c r="BI2893" s="133"/>
      <c r="BJ2893" s="133"/>
      <c r="BK2893" s="133"/>
      <c r="BL2893" s="133"/>
      <c r="BM2893" s="133"/>
      <c r="BN2893" s="133"/>
      <c r="BO2893" s="133"/>
      <c r="BP2893" s="133"/>
      <c r="BQ2893" s="133"/>
    </row>
    <row r="2894">
      <c r="A2894" s="194" t="s">
        <v>7653</v>
      </c>
      <c r="B2894" s="125"/>
      <c r="C2894" s="126">
        <v>43783.0</v>
      </c>
      <c r="D2894" s="133"/>
      <c r="E2894" s="124" t="s">
        <v>31</v>
      </c>
      <c r="F2894" s="198">
        <v>1.0</v>
      </c>
      <c r="G2894" s="124" t="s">
        <v>32</v>
      </c>
      <c r="H2894" s="303">
        <v>1.0</v>
      </c>
      <c r="I2894" s="124" t="s">
        <v>33</v>
      </c>
      <c r="J2894" s="124" t="s">
        <v>524</v>
      </c>
      <c r="K2894" s="133"/>
      <c r="L2894" s="124" t="s">
        <v>7654</v>
      </c>
      <c r="M2894" s="242" t="s">
        <v>7655</v>
      </c>
      <c r="N2894" s="233"/>
      <c r="O2894" s="124"/>
      <c r="P2894" s="133"/>
      <c r="Q2894" s="124"/>
      <c r="R2894" s="128"/>
      <c r="S2894" s="37"/>
      <c r="T2894" s="38"/>
      <c r="U2894" s="38" t="b">
        <f t="shared" si="412"/>
        <v>0</v>
      </c>
      <c r="V2894" s="124" t="s">
        <v>33</v>
      </c>
      <c r="W2894" s="138"/>
      <c r="X2894" s="138"/>
      <c r="Y2894" s="233"/>
      <c r="Z2894" s="133"/>
      <c r="AA2894" s="133"/>
      <c r="AB2894" s="133"/>
      <c r="AC2894" s="133"/>
      <c r="AD2894" s="133"/>
      <c r="AE2894" s="133"/>
      <c r="AF2894" s="133"/>
      <c r="AG2894" s="133"/>
      <c r="AH2894" s="133"/>
      <c r="AI2894" s="133"/>
      <c r="AJ2894" s="133"/>
      <c r="AK2894" s="133"/>
      <c r="AL2894" s="133"/>
      <c r="AM2894" s="133"/>
      <c r="AN2894" s="133"/>
      <c r="AO2894" s="133"/>
      <c r="AP2894" s="133"/>
      <c r="AQ2894" s="133"/>
      <c r="AR2894" s="133"/>
      <c r="AS2894" s="133"/>
      <c r="AT2894" s="133"/>
      <c r="AU2894" s="133"/>
      <c r="AV2894" s="133"/>
      <c r="AW2894" s="133"/>
      <c r="AX2894" s="133"/>
      <c r="AY2894" s="133"/>
      <c r="AZ2894" s="133"/>
      <c r="BA2894" s="133"/>
      <c r="BB2894" s="133"/>
      <c r="BC2894" s="133"/>
      <c r="BD2894" s="133"/>
      <c r="BE2894" s="133"/>
      <c r="BF2894" s="133"/>
      <c r="BG2894" s="133"/>
      <c r="BH2894" s="133"/>
      <c r="BI2894" s="133"/>
      <c r="BJ2894" s="133"/>
      <c r="BK2894" s="133"/>
      <c r="BL2894" s="133"/>
      <c r="BM2894" s="133"/>
      <c r="BN2894" s="133"/>
      <c r="BO2894" s="133"/>
      <c r="BP2894" s="133"/>
      <c r="BQ2894" s="133"/>
    </row>
    <row r="2895">
      <c r="A2895" s="194" t="s">
        <v>7656</v>
      </c>
      <c r="B2895" s="125"/>
      <c r="C2895" s="126">
        <v>43783.0</v>
      </c>
      <c r="D2895" s="133"/>
      <c r="E2895" s="124" t="s">
        <v>41</v>
      </c>
      <c r="F2895" s="198">
        <v>1.0</v>
      </c>
      <c r="G2895" s="124" t="s">
        <v>32</v>
      </c>
      <c r="H2895" s="303">
        <v>1.0</v>
      </c>
      <c r="I2895" s="124" t="s">
        <v>33</v>
      </c>
      <c r="J2895" s="124" t="s">
        <v>75</v>
      </c>
      <c r="K2895" s="133"/>
      <c r="L2895" s="124" t="s">
        <v>76</v>
      </c>
      <c r="M2895" s="242" t="s">
        <v>7657</v>
      </c>
      <c r="N2895" s="233"/>
      <c r="O2895" s="173" t="str">
        <f>hyperlink("https://bad-boys.us/?q=ED-KY/2:19-cr-00073", "ED-KY 2:19-cr-00073")</f>
        <v>ED-KY 2:19-cr-00073</v>
      </c>
      <c r="P2895" s="133"/>
      <c r="Q2895" s="124">
        <v>1.0</v>
      </c>
      <c r="R2895" s="128"/>
      <c r="S2895" s="37"/>
      <c r="T2895" s="38"/>
      <c r="U2895" s="38" t="b">
        <f t="shared" si="412"/>
        <v>0</v>
      </c>
      <c r="V2895" s="124" t="s">
        <v>33</v>
      </c>
      <c r="W2895" s="138"/>
      <c r="X2895" s="138"/>
      <c r="Y2895" s="233"/>
      <c r="Z2895" s="133"/>
      <c r="AA2895" s="133"/>
      <c r="AB2895" s="133"/>
      <c r="AC2895" s="133"/>
      <c r="AD2895" s="133"/>
      <c r="AE2895" s="133"/>
      <c r="AF2895" s="133"/>
      <c r="AG2895" s="133"/>
      <c r="AH2895" s="133"/>
      <c r="AI2895" s="133"/>
      <c r="AJ2895" s="133"/>
      <c r="AK2895" s="133"/>
      <c r="AL2895" s="133"/>
      <c r="AM2895" s="133"/>
      <c r="AN2895" s="133"/>
      <c r="AO2895" s="133"/>
      <c r="AP2895" s="133"/>
      <c r="AQ2895" s="133"/>
      <c r="AR2895" s="133"/>
      <c r="AS2895" s="133"/>
      <c r="AT2895" s="133"/>
      <c r="AU2895" s="133"/>
      <c r="AV2895" s="133"/>
      <c r="AW2895" s="133"/>
      <c r="AX2895" s="133"/>
      <c r="AY2895" s="133"/>
      <c r="AZ2895" s="133"/>
      <c r="BA2895" s="133"/>
      <c r="BB2895" s="133"/>
      <c r="BC2895" s="133"/>
      <c r="BD2895" s="133"/>
      <c r="BE2895" s="133"/>
      <c r="BF2895" s="133"/>
      <c r="BG2895" s="133"/>
      <c r="BH2895" s="133"/>
      <c r="BI2895" s="133"/>
      <c r="BJ2895" s="133"/>
      <c r="BK2895" s="133"/>
      <c r="BL2895" s="133"/>
      <c r="BM2895" s="133"/>
      <c r="BN2895" s="133"/>
      <c r="BO2895" s="133"/>
      <c r="BP2895" s="133"/>
      <c r="BQ2895" s="133"/>
    </row>
    <row r="2896">
      <c r="A2896" s="194" t="s">
        <v>7658</v>
      </c>
      <c r="B2896" s="125"/>
      <c r="C2896" s="126">
        <v>43788.0</v>
      </c>
      <c r="D2896" s="133"/>
      <c r="E2896" s="124" t="s">
        <v>41</v>
      </c>
      <c r="F2896" s="198">
        <v>1.0</v>
      </c>
      <c r="G2896" s="124" t="s">
        <v>32</v>
      </c>
      <c r="H2896" s="303">
        <v>1.0</v>
      </c>
      <c r="I2896" s="124" t="s">
        <v>33</v>
      </c>
      <c r="J2896" s="124" t="s">
        <v>124</v>
      </c>
      <c r="K2896" s="133"/>
      <c r="L2896" s="124" t="s">
        <v>7659</v>
      </c>
      <c r="M2896" s="242" t="s">
        <v>7660</v>
      </c>
      <c r="N2896" s="233"/>
      <c r="O2896" s="124"/>
      <c r="P2896" s="133"/>
      <c r="Q2896" s="124"/>
      <c r="R2896" s="128"/>
      <c r="S2896" s="37"/>
      <c r="T2896" s="38"/>
      <c r="U2896" s="38" t="b">
        <f t="shared" si="412"/>
        <v>0</v>
      </c>
      <c r="V2896" s="124" t="s">
        <v>33</v>
      </c>
      <c r="W2896" s="138"/>
      <c r="X2896" s="138"/>
      <c r="Y2896" s="233"/>
      <c r="Z2896" s="133"/>
      <c r="AA2896" s="133"/>
      <c r="AB2896" s="133"/>
      <c r="AC2896" s="133"/>
      <c r="AD2896" s="133"/>
      <c r="AE2896" s="133"/>
      <c r="AF2896" s="133"/>
      <c r="AG2896" s="133"/>
      <c r="AH2896" s="133"/>
      <c r="AI2896" s="133"/>
      <c r="AJ2896" s="133"/>
      <c r="AK2896" s="133"/>
      <c r="AL2896" s="133"/>
      <c r="AM2896" s="133"/>
      <c r="AN2896" s="133"/>
      <c r="AO2896" s="133"/>
      <c r="AP2896" s="133"/>
      <c r="AQ2896" s="133"/>
      <c r="AR2896" s="133"/>
      <c r="AS2896" s="133"/>
      <c r="AT2896" s="133"/>
      <c r="AU2896" s="133"/>
      <c r="AV2896" s="133"/>
      <c r="AW2896" s="133"/>
      <c r="AX2896" s="133"/>
      <c r="AY2896" s="133"/>
      <c r="AZ2896" s="133"/>
      <c r="BA2896" s="133"/>
      <c r="BB2896" s="133"/>
      <c r="BC2896" s="133"/>
      <c r="BD2896" s="133"/>
      <c r="BE2896" s="133"/>
      <c r="BF2896" s="133"/>
      <c r="BG2896" s="133"/>
      <c r="BH2896" s="133"/>
      <c r="BI2896" s="133"/>
      <c r="BJ2896" s="133"/>
      <c r="BK2896" s="133"/>
      <c r="BL2896" s="133"/>
      <c r="BM2896" s="133"/>
      <c r="BN2896" s="133"/>
      <c r="BO2896" s="133"/>
      <c r="BP2896" s="133"/>
      <c r="BQ2896" s="133"/>
    </row>
    <row r="2897">
      <c r="A2897" s="194" t="s">
        <v>7661</v>
      </c>
      <c r="B2897" s="125"/>
      <c r="C2897" s="126">
        <v>43788.0</v>
      </c>
      <c r="D2897" s="133"/>
      <c r="E2897" s="124" t="s">
        <v>41</v>
      </c>
      <c r="F2897" s="198">
        <v>1.0</v>
      </c>
      <c r="G2897" s="124">
        <v>1.0</v>
      </c>
      <c r="H2897" s="303">
        <v>1.0</v>
      </c>
      <c r="I2897" s="124" t="s">
        <v>33</v>
      </c>
      <c r="J2897" s="124" t="s">
        <v>268</v>
      </c>
      <c r="K2897" s="133"/>
      <c r="L2897" s="124" t="s">
        <v>76</v>
      </c>
      <c r="M2897" s="242" t="s">
        <v>7662</v>
      </c>
      <c r="N2897" s="233"/>
      <c r="O2897" s="124"/>
      <c r="P2897" s="133"/>
      <c r="Q2897" s="124">
        <v>1.0</v>
      </c>
      <c r="R2897" s="128"/>
      <c r="S2897" s="37"/>
      <c r="T2897" s="38"/>
      <c r="U2897" s="38"/>
      <c r="V2897" s="124" t="s">
        <v>33</v>
      </c>
      <c r="W2897" s="138"/>
      <c r="X2897" s="138"/>
      <c r="Y2897" s="233"/>
      <c r="Z2897" s="133"/>
      <c r="AA2897" s="133"/>
      <c r="AB2897" s="133"/>
      <c r="AC2897" s="133"/>
      <c r="AD2897" s="133"/>
      <c r="AE2897" s="133"/>
      <c r="AF2897" s="133"/>
      <c r="AG2897" s="133"/>
      <c r="AH2897" s="133"/>
      <c r="AI2897" s="133"/>
      <c r="AJ2897" s="133"/>
      <c r="AK2897" s="133"/>
      <c r="AL2897" s="133"/>
      <c r="AM2897" s="133"/>
      <c r="AN2897" s="133"/>
      <c r="AO2897" s="133"/>
      <c r="AP2897" s="133"/>
      <c r="AQ2897" s="133"/>
      <c r="AR2897" s="133"/>
      <c r="AS2897" s="133"/>
      <c r="AT2897" s="133"/>
      <c r="AU2897" s="133"/>
      <c r="AV2897" s="133"/>
      <c r="AW2897" s="133"/>
      <c r="AX2897" s="133"/>
      <c r="AY2897" s="133"/>
      <c r="AZ2897" s="133"/>
      <c r="BA2897" s="133"/>
      <c r="BB2897" s="133"/>
      <c r="BC2897" s="133"/>
      <c r="BD2897" s="133"/>
      <c r="BE2897" s="133"/>
      <c r="BF2897" s="133"/>
      <c r="BG2897" s="133"/>
      <c r="BH2897" s="133"/>
      <c r="BI2897" s="133"/>
      <c r="BJ2897" s="133"/>
      <c r="BK2897" s="133"/>
      <c r="BL2897" s="133"/>
      <c r="BM2897" s="133"/>
      <c r="BN2897" s="133"/>
      <c r="BO2897" s="133"/>
      <c r="BP2897" s="133"/>
      <c r="BQ2897" s="133"/>
    </row>
    <row r="2898">
      <c r="A2898" s="194" t="s">
        <v>7663</v>
      </c>
      <c r="B2898" s="125"/>
      <c r="C2898" s="126">
        <v>43788.0</v>
      </c>
      <c r="D2898" s="133"/>
      <c r="E2898" s="124" t="s">
        <v>41</v>
      </c>
      <c r="F2898" s="198">
        <v>1.0</v>
      </c>
      <c r="G2898" s="124" t="s">
        <v>32</v>
      </c>
      <c r="H2898" s="303">
        <v>1.0</v>
      </c>
      <c r="I2898" s="124" t="s">
        <v>33</v>
      </c>
      <c r="J2898" s="124" t="s">
        <v>55</v>
      </c>
      <c r="K2898" s="133"/>
      <c r="L2898" s="124" t="s">
        <v>119</v>
      </c>
      <c r="M2898" s="242" t="s">
        <v>7664</v>
      </c>
      <c r="N2898" s="233"/>
      <c r="O2898" s="173" t="str">
        <f>hyperlink("https://bad-boys.us/?q=D-NJ/1:19-cr-00833", "D-NJ 1:19-cr-00833")</f>
        <v>D-NJ 1:19-cr-00833</v>
      </c>
      <c r="P2898" s="133"/>
      <c r="Q2898" s="124">
        <v>1.0</v>
      </c>
      <c r="R2898" s="128"/>
      <c r="S2898" s="37"/>
      <c r="T2898" s="38"/>
      <c r="U2898" s="38" t="b">
        <f>countif(A$4:A4658, A2898)&gt;1</f>
        <v>0</v>
      </c>
      <c r="V2898" s="124"/>
      <c r="W2898" s="138"/>
      <c r="X2898" s="138"/>
      <c r="Y2898" s="233"/>
      <c r="Z2898" s="133"/>
      <c r="AA2898" s="133"/>
      <c r="AB2898" s="133"/>
      <c r="AC2898" s="133"/>
      <c r="AD2898" s="133"/>
      <c r="AE2898" s="133"/>
      <c r="AF2898" s="133"/>
      <c r="AG2898" s="133"/>
      <c r="AH2898" s="133"/>
      <c r="AI2898" s="133"/>
      <c r="AJ2898" s="133"/>
      <c r="AK2898" s="133"/>
      <c r="AL2898" s="133"/>
      <c r="AM2898" s="133"/>
      <c r="AN2898" s="133"/>
      <c r="AO2898" s="133"/>
      <c r="AP2898" s="133"/>
      <c r="AQ2898" s="133"/>
      <c r="AR2898" s="133"/>
      <c r="AS2898" s="133"/>
      <c r="AT2898" s="133"/>
      <c r="AU2898" s="133"/>
      <c r="AV2898" s="133"/>
      <c r="AW2898" s="133"/>
      <c r="AX2898" s="133"/>
      <c r="AY2898" s="133"/>
      <c r="AZ2898" s="133"/>
      <c r="BA2898" s="133"/>
      <c r="BB2898" s="133"/>
      <c r="BC2898" s="133"/>
      <c r="BD2898" s="133"/>
      <c r="BE2898" s="133"/>
      <c r="BF2898" s="133"/>
      <c r="BG2898" s="133"/>
      <c r="BH2898" s="133"/>
      <c r="BI2898" s="133"/>
      <c r="BJ2898" s="133"/>
      <c r="BK2898" s="133"/>
      <c r="BL2898" s="133"/>
      <c r="BM2898" s="133"/>
      <c r="BN2898" s="133"/>
      <c r="BO2898" s="133"/>
      <c r="BP2898" s="133"/>
      <c r="BQ2898" s="133"/>
    </row>
    <row r="2899">
      <c r="A2899" s="194" t="s">
        <v>7665</v>
      </c>
      <c r="B2899" s="125"/>
      <c r="C2899" s="126">
        <v>43789.0</v>
      </c>
      <c r="D2899" s="133"/>
      <c r="E2899" s="124" t="s">
        <v>41</v>
      </c>
      <c r="F2899" s="198">
        <v>1.0</v>
      </c>
      <c r="G2899" s="124" t="s">
        <v>32</v>
      </c>
      <c r="H2899" s="303">
        <v>1.0</v>
      </c>
      <c r="I2899" s="124" t="s">
        <v>33</v>
      </c>
      <c r="J2899" s="124" t="s">
        <v>343</v>
      </c>
      <c r="K2899" s="133"/>
      <c r="L2899" s="124" t="s">
        <v>69</v>
      </c>
      <c r="M2899" s="242" t="s">
        <v>7666</v>
      </c>
      <c r="N2899" s="233"/>
      <c r="O2899" s="124"/>
      <c r="P2899" s="133"/>
      <c r="Q2899" s="124"/>
      <c r="R2899" s="128"/>
      <c r="S2899" s="37"/>
      <c r="T2899" s="38"/>
      <c r="U2899" s="38"/>
      <c r="V2899" s="124" t="s">
        <v>33</v>
      </c>
      <c r="W2899" s="138"/>
      <c r="X2899" s="138"/>
      <c r="Y2899" s="233"/>
      <c r="Z2899" s="133"/>
      <c r="AA2899" s="133"/>
      <c r="AB2899" s="133"/>
      <c r="AC2899" s="133"/>
      <c r="AD2899" s="133"/>
      <c r="AE2899" s="133"/>
      <c r="AF2899" s="133"/>
      <c r="AG2899" s="133"/>
      <c r="AH2899" s="133"/>
      <c r="AI2899" s="133"/>
      <c r="AJ2899" s="133"/>
      <c r="AK2899" s="133"/>
      <c r="AL2899" s="133"/>
      <c r="AM2899" s="133"/>
      <c r="AN2899" s="133"/>
      <c r="AO2899" s="133"/>
      <c r="AP2899" s="133"/>
      <c r="AQ2899" s="133"/>
      <c r="AR2899" s="133"/>
      <c r="AS2899" s="133"/>
      <c r="AT2899" s="133"/>
      <c r="AU2899" s="133"/>
      <c r="AV2899" s="133"/>
      <c r="AW2899" s="133"/>
      <c r="AX2899" s="133"/>
      <c r="AY2899" s="133"/>
      <c r="AZ2899" s="133"/>
      <c r="BA2899" s="133"/>
      <c r="BB2899" s="133"/>
      <c r="BC2899" s="133"/>
      <c r="BD2899" s="133"/>
      <c r="BE2899" s="133"/>
      <c r="BF2899" s="133"/>
      <c r="BG2899" s="133"/>
      <c r="BH2899" s="133"/>
      <c r="BI2899" s="133"/>
      <c r="BJ2899" s="133"/>
      <c r="BK2899" s="133"/>
      <c r="BL2899" s="133"/>
      <c r="BM2899" s="133"/>
      <c r="BN2899" s="133"/>
      <c r="BO2899" s="133"/>
      <c r="BP2899" s="133"/>
      <c r="BQ2899" s="133"/>
    </row>
    <row r="2900">
      <c r="A2900" s="194" t="s">
        <v>7667</v>
      </c>
      <c r="B2900" s="125"/>
      <c r="C2900" s="126">
        <v>43789.0</v>
      </c>
      <c r="D2900" s="133"/>
      <c r="E2900" s="124" t="s">
        <v>41</v>
      </c>
      <c r="F2900" s="198">
        <v>1.0</v>
      </c>
      <c r="G2900" s="124" t="s">
        <v>32</v>
      </c>
      <c r="H2900" s="303">
        <v>1.0</v>
      </c>
      <c r="I2900" s="124" t="s">
        <v>33</v>
      </c>
      <c r="J2900" s="124" t="s">
        <v>93</v>
      </c>
      <c r="K2900" s="133"/>
      <c r="L2900" s="124" t="s">
        <v>119</v>
      </c>
      <c r="M2900" s="242" t="s">
        <v>7668</v>
      </c>
      <c r="N2900" s="233"/>
      <c r="O2900" s="124"/>
      <c r="P2900" s="133"/>
      <c r="Q2900" s="124">
        <v>1.0</v>
      </c>
      <c r="R2900" s="128"/>
      <c r="S2900" s="37"/>
      <c r="T2900" s="38"/>
      <c r="U2900" s="38"/>
      <c r="V2900" s="124" t="s">
        <v>33</v>
      </c>
      <c r="W2900" s="138"/>
      <c r="X2900" s="138"/>
      <c r="Y2900" s="233"/>
      <c r="Z2900" s="133"/>
      <c r="AA2900" s="133"/>
      <c r="AB2900" s="133"/>
      <c r="AC2900" s="133"/>
      <c r="AD2900" s="133"/>
      <c r="AE2900" s="133"/>
      <c r="AF2900" s="133"/>
      <c r="AG2900" s="133"/>
      <c r="AH2900" s="133"/>
      <c r="AI2900" s="133"/>
      <c r="AJ2900" s="133"/>
      <c r="AK2900" s="133"/>
      <c r="AL2900" s="133"/>
      <c r="AM2900" s="133"/>
      <c r="AN2900" s="133"/>
      <c r="AO2900" s="133"/>
      <c r="AP2900" s="133"/>
      <c r="AQ2900" s="133"/>
      <c r="AR2900" s="133"/>
      <c r="AS2900" s="133"/>
      <c r="AT2900" s="133"/>
      <c r="AU2900" s="133"/>
      <c r="AV2900" s="133"/>
      <c r="AW2900" s="133"/>
      <c r="AX2900" s="133"/>
      <c r="AY2900" s="133"/>
      <c r="AZ2900" s="133"/>
      <c r="BA2900" s="133"/>
      <c r="BB2900" s="133"/>
      <c r="BC2900" s="133"/>
      <c r="BD2900" s="133"/>
      <c r="BE2900" s="133"/>
      <c r="BF2900" s="133"/>
      <c r="BG2900" s="133"/>
      <c r="BH2900" s="133"/>
      <c r="BI2900" s="133"/>
      <c r="BJ2900" s="133"/>
      <c r="BK2900" s="133"/>
      <c r="BL2900" s="133"/>
      <c r="BM2900" s="133"/>
      <c r="BN2900" s="133"/>
      <c r="BO2900" s="133"/>
      <c r="BP2900" s="133"/>
      <c r="BQ2900" s="133"/>
    </row>
    <row r="2901">
      <c r="A2901" s="194" t="s">
        <v>7669</v>
      </c>
      <c r="B2901" s="125"/>
      <c r="C2901" s="126">
        <v>43789.0</v>
      </c>
      <c r="D2901" s="133"/>
      <c r="E2901" s="124" t="s">
        <v>41</v>
      </c>
      <c r="F2901" s="198">
        <v>1.0</v>
      </c>
      <c r="G2901" s="124">
        <v>1.0</v>
      </c>
      <c r="H2901" s="303">
        <v>1.0</v>
      </c>
      <c r="I2901" s="124" t="s">
        <v>33</v>
      </c>
      <c r="J2901" s="124" t="s">
        <v>268</v>
      </c>
      <c r="K2901" s="133"/>
      <c r="L2901" s="124" t="s">
        <v>646</v>
      </c>
      <c r="M2901" s="242" t="s">
        <v>7670</v>
      </c>
      <c r="N2901" s="233"/>
      <c r="O2901" s="173" t="str">
        <f t="shared" ref="O2901:O2902" si="413">hyperlink("https://bad-boys.us/?q=WD-OK/5:19-cr-00365", "WD-OK 5:19-cr-00365")</f>
        <v>WD-OK 5:19-cr-00365</v>
      </c>
      <c r="P2901" s="133"/>
      <c r="Q2901" s="124">
        <v>1.0</v>
      </c>
      <c r="R2901" s="128"/>
      <c r="S2901" s="37"/>
      <c r="T2901" s="38"/>
      <c r="U2901" s="38" t="b">
        <f t="shared" ref="U2901:U2902" si="414">countif(A$4:A4658, A2901)&gt;1</f>
        <v>0</v>
      </c>
      <c r="V2901" s="124" t="s">
        <v>33</v>
      </c>
      <c r="W2901" s="138"/>
      <c r="X2901" s="138"/>
      <c r="Y2901" s="233"/>
      <c r="Z2901" s="133"/>
      <c r="AA2901" s="133"/>
      <c r="AB2901" s="133"/>
      <c r="AC2901" s="133"/>
      <c r="AD2901" s="133"/>
      <c r="AE2901" s="133"/>
      <c r="AF2901" s="133"/>
      <c r="AG2901" s="133"/>
      <c r="AH2901" s="133"/>
      <c r="AI2901" s="133"/>
      <c r="AJ2901" s="133"/>
      <c r="AK2901" s="133"/>
      <c r="AL2901" s="133"/>
      <c r="AM2901" s="133"/>
      <c r="AN2901" s="133"/>
      <c r="AO2901" s="133"/>
      <c r="AP2901" s="133"/>
      <c r="AQ2901" s="133"/>
      <c r="AR2901" s="133"/>
      <c r="AS2901" s="133"/>
      <c r="AT2901" s="133"/>
      <c r="AU2901" s="133"/>
      <c r="AV2901" s="133"/>
      <c r="AW2901" s="133"/>
      <c r="AX2901" s="133"/>
      <c r="AY2901" s="133"/>
      <c r="AZ2901" s="133"/>
      <c r="BA2901" s="133"/>
      <c r="BB2901" s="133"/>
      <c r="BC2901" s="133"/>
      <c r="BD2901" s="133"/>
      <c r="BE2901" s="133"/>
      <c r="BF2901" s="133"/>
      <c r="BG2901" s="133"/>
      <c r="BH2901" s="133"/>
      <c r="BI2901" s="133"/>
      <c r="BJ2901" s="133"/>
      <c r="BK2901" s="133"/>
      <c r="BL2901" s="133"/>
      <c r="BM2901" s="133"/>
      <c r="BN2901" s="133"/>
      <c r="BO2901" s="133"/>
      <c r="BP2901" s="133"/>
      <c r="BQ2901" s="133"/>
    </row>
    <row r="2902">
      <c r="A2902" s="194" t="s">
        <v>7671</v>
      </c>
      <c r="B2902" s="125"/>
      <c r="C2902" s="126">
        <v>43789.0</v>
      </c>
      <c r="D2902" s="133"/>
      <c r="E2902" s="124" t="s">
        <v>41</v>
      </c>
      <c r="F2902" s="198">
        <v>1.0</v>
      </c>
      <c r="G2902" s="124">
        <v>1.0</v>
      </c>
      <c r="H2902" s="303">
        <v>1.0</v>
      </c>
      <c r="I2902" s="124" t="s">
        <v>33</v>
      </c>
      <c r="J2902" s="124" t="s">
        <v>268</v>
      </c>
      <c r="K2902" s="133"/>
      <c r="L2902" s="124" t="s">
        <v>646</v>
      </c>
      <c r="M2902" s="305" t="s">
        <v>7672</v>
      </c>
      <c r="N2902" s="233"/>
      <c r="O2902" s="173" t="str">
        <f t="shared" si="413"/>
        <v>WD-OK 5:19-cr-00365</v>
      </c>
      <c r="P2902" s="133"/>
      <c r="Q2902" s="124">
        <v>1.0</v>
      </c>
      <c r="R2902" s="128"/>
      <c r="S2902" s="37"/>
      <c r="T2902" s="38"/>
      <c r="U2902" s="38" t="b">
        <f t="shared" si="414"/>
        <v>0</v>
      </c>
      <c r="V2902" s="124" t="s">
        <v>33</v>
      </c>
      <c r="W2902" s="138"/>
      <c r="X2902" s="138"/>
      <c r="Y2902" s="233"/>
      <c r="Z2902" s="133"/>
      <c r="AA2902" s="133"/>
      <c r="AB2902" s="133"/>
      <c r="AC2902" s="133"/>
      <c r="AD2902" s="133"/>
      <c r="AE2902" s="133"/>
      <c r="AF2902" s="133"/>
      <c r="AG2902" s="133"/>
      <c r="AH2902" s="133"/>
      <c r="AI2902" s="133"/>
      <c r="AJ2902" s="133"/>
      <c r="AK2902" s="133"/>
      <c r="AL2902" s="133"/>
      <c r="AM2902" s="133"/>
      <c r="AN2902" s="133"/>
      <c r="AO2902" s="133"/>
      <c r="AP2902" s="133"/>
      <c r="AQ2902" s="133"/>
      <c r="AR2902" s="133"/>
      <c r="AS2902" s="133"/>
      <c r="AT2902" s="133"/>
      <c r="AU2902" s="133"/>
      <c r="AV2902" s="133"/>
      <c r="AW2902" s="133"/>
      <c r="AX2902" s="133"/>
      <c r="AY2902" s="133"/>
      <c r="AZ2902" s="133"/>
      <c r="BA2902" s="133"/>
      <c r="BB2902" s="133"/>
      <c r="BC2902" s="133"/>
      <c r="BD2902" s="133"/>
      <c r="BE2902" s="133"/>
      <c r="BF2902" s="133"/>
      <c r="BG2902" s="133"/>
      <c r="BH2902" s="133"/>
      <c r="BI2902" s="133"/>
      <c r="BJ2902" s="133"/>
      <c r="BK2902" s="133"/>
      <c r="BL2902" s="133"/>
      <c r="BM2902" s="133"/>
      <c r="BN2902" s="133"/>
      <c r="BO2902" s="133"/>
      <c r="BP2902" s="133"/>
      <c r="BQ2902" s="133"/>
    </row>
    <row r="2903">
      <c r="A2903" s="194" t="s">
        <v>7673</v>
      </c>
      <c r="B2903" s="125"/>
      <c r="C2903" s="126">
        <v>43790.0</v>
      </c>
      <c r="D2903" s="133"/>
      <c r="E2903" s="124" t="s">
        <v>41</v>
      </c>
      <c r="F2903" s="198">
        <v>1.0</v>
      </c>
      <c r="G2903" s="124" t="s">
        <v>32</v>
      </c>
      <c r="H2903" s="303">
        <v>1.0</v>
      </c>
      <c r="I2903" s="124" t="s">
        <v>33</v>
      </c>
      <c r="J2903" s="124" t="s">
        <v>140</v>
      </c>
      <c r="K2903" s="133"/>
      <c r="L2903" s="124" t="s">
        <v>119</v>
      </c>
      <c r="M2903" s="305" t="s">
        <v>7674</v>
      </c>
      <c r="N2903" s="233"/>
      <c r="O2903" s="124"/>
      <c r="P2903" s="133"/>
      <c r="Q2903" s="124">
        <v>1.0</v>
      </c>
      <c r="R2903" s="128"/>
      <c r="S2903" s="37"/>
      <c r="T2903" s="38"/>
      <c r="U2903" s="38"/>
      <c r="V2903" s="124" t="s">
        <v>33</v>
      </c>
      <c r="W2903" s="138"/>
      <c r="X2903" s="138"/>
      <c r="Y2903" s="233"/>
      <c r="Z2903" s="133"/>
      <c r="AA2903" s="133"/>
      <c r="AB2903" s="133"/>
      <c r="AC2903" s="133"/>
      <c r="AD2903" s="133"/>
      <c r="AE2903" s="133"/>
      <c r="AF2903" s="133"/>
      <c r="AG2903" s="133"/>
      <c r="AH2903" s="133"/>
      <c r="AI2903" s="133"/>
      <c r="AJ2903" s="133"/>
      <c r="AK2903" s="133"/>
      <c r="AL2903" s="133"/>
      <c r="AM2903" s="133"/>
      <c r="AN2903" s="133"/>
      <c r="AO2903" s="133"/>
      <c r="AP2903" s="133"/>
      <c r="AQ2903" s="133"/>
      <c r="AR2903" s="133"/>
      <c r="AS2903" s="133"/>
      <c r="AT2903" s="133"/>
      <c r="AU2903" s="133"/>
      <c r="AV2903" s="133"/>
      <c r="AW2903" s="133"/>
      <c r="AX2903" s="133"/>
      <c r="AY2903" s="133"/>
      <c r="AZ2903" s="133"/>
      <c r="BA2903" s="133"/>
      <c r="BB2903" s="133"/>
      <c r="BC2903" s="133"/>
      <c r="BD2903" s="133"/>
      <c r="BE2903" s="133"/>
      <c r="BF2903" s="133"/>
      <c r="BG2903" s="133"/>
      <c r="BH2903" s="133"/>
      <c r="BI2903" s="133"/>
      <c r="BJ2903" s="133"/>
      <c r="BK2903" s="133"/>
      <c r="BL2903" s="133"/>
      <c r="BM2903" s="133"/>
      <c r="BN2903" s="133"/>
      <c r="BO2903" s="133"/>
      <c r="BP2903" s="133"/>
      <c r="BQ2903" s="133"/>
    </row>
    <row r="2904">
      <c r="A2904" s="194" t="s">
        <v>7675</v>
      </c>
      <c r="B2904" s="125"/>
      <c r="C2904" s="126">
        <v>43790.0</v>
      </c>
      <c r="D2904" s="133"/>
      <c r="E2904" s="124" t="s">
        <v>41</v>
      </c>
      <c r="F2904" s="198">
        <v>1.0</v>
      </c>
      <c r="G2904" s="124" t="s">
        <v>32</v>
      </c>
      <c r="H2904" s="303">
        <v>1.0</v>
      </c>
      <c r="I2904" s="124" t="s">
        <v>33</v>
      </c>
      <c r="J2904" s="124" t="s">
        <v>124</v>
      </c>
      <c r="K2904" s="133"/>
      <c r="L2904" s="124" t="s">
        <v>119</v>
      </c>
      <c r="M2904" s="305" t="s">
        <v>6969</v>
      </c>
      <c r="N2904" s="233"/>
      <c r="O2904" s="124"/>
      <c r="P2904" s="133"/>
      <c r="Q2904" s="124"/>
      <c r="R2904" s="128"/>
      <c r="S2904" s="37"/>
      <c r="T2904" s="38"/>
      <c r="U2904" s="38"/>
      <c r="V2904" s="124" t="s">
        <v>33</v>
      </c>
      <c r="W2904" s="138"/>
      <c r="X2904" s="138"/>
      <c r="Y2904" s="233"/>
      <c r="Z2904" s="133"/>
      <c r="AA2904" s="133"/>
      <c r="AB2904" s="133"/>
      <c r="AC2904" s="133"/>
      <c r="AD2904" s="133"/>
      <c r="AE2904" s="133"/>
      <c r="AF2904" s="133"/>
      <c r="AG2904" s="133"/>
      <c r="AH2904" s="133"/>
      <c r="AI2904" s="133"/>
      <c r="AJ2904" s="133"/>
      <c r="AK2904" s="133"/>
      <c r="AL2904" s="133"/>
      <c r="AM2904" s="133"/>
      <c r="AN2904" s="133"/>
      <c r="AO2904" s="133"/>
      <c r="AP2904" s="133"/>
      <c r="AQ2904" s="133"/>
      <c r="AR2904" s="133"/>
      <c r="AS2904" s="133"/>
      <c r="AT2904" s="133"/>
      <c r="AU2904" s="133"/>
      <c r="AV2904" s="133"/>
      <c r="AW2904" s="133"/>
      <c r="AX2904" s="133"/>
      <c r="AY2904" s="133"/>
      <c r="AZ2904" s="133"/>
      <c r="BA2904" s="133"/>
      <c r="BB2904" s="133"/>
      <c r="BC2904" s="133"/>
      <c r="BD2904" s="133"/>
      <c r="BE2904" s="133"/>
      <c r="BF2904" s="133"/>
      <c r="BG2904" s="133"/>
      <c r="BH2904" s="133"/>
      <c r="BI2904" s="133"/>
      <c r="BJ2904" s="133"/>
      <c r="BK2904" s="133"/>
      <c r="BL2904" s="133"/>
      <c r="BM2904" s="133"/>
      <c r="BN2904" s="133"/>
      <c r="BO2904" s="133"/>
      <c r="BP2904" s="133"/>
      <c r="BQ2904" s="133"/>
    </row>
    <row r="2905">
      <c r="A2905" s="194" t="s">
        <v>7676</v>
      </c>
      <c r="B2905" s="125"/>
      <c r="C2905" s="126">
        <v>43790.0</v>
      </c>
      <c r="D2905" s="133"/>
      <c r="E2905" s="124" t="s">
        <v>41</v>
      </c>
      <c r="F2905" s="198">
        <v>1.0</v>
      </c>
      <c r="G2905" s="124" t="s">
        <v>32</v>
      </c>
      <c r="H2905" s="303">
        <v>1.0</v>
      </c>
      <c r="I2905" s="124" t="s">
        <v>33</v>
      </c>
      <c r="J2905" s="124" t="s">
        <v>42</v>
      </c>
      <c r="K2905" s="133"/>
      <c r="L2905" s="124" t="s">
        <v>76</v>
      </c>
      <c r="M2905" s="243" t="s">
        <v>7677</v>
      </c>
      <c r="N2905" s="233"/>
      <c r="O2905" s="173" t="str">
        <f>hyperlink("https://bad-boys.us/?q=ED-MI/2:19-cr-20794", "ED-MI 2:19-cr-20794")</f>
        <v>ED-MI 2:19-cr-20794</v>
      </c>
      <c r="P2905" s="133"/>
      <c r="Q2905" s="124">
        <v>1.0</v>
      </c>
      <c r="R2905" s="128"/>
      <c r="S2905" s="37"/>
      <c r="T2905" s="38"/>
      <c r="U2905" s="38" t="b">
        <f>countif(A$4:A4658, A2905)&gt;1</f>
        <v>0</v>
      </c>
      <c r="V2905" s="124" t="s">
        <v>33</v>
      </c>
      <c r="W2905" s="138"/>
      <c r="X2905" s="138"/>
      <c r="Y2905" s="233"/>
      <c r="Z2905" s="133"/>
      <c r="AA2905" s="133"/>
      <c r="AB2905" s="133"/>
      <c r="AC2905" s="133"/>
      <c r="AD2905" s="133"/>
      <c r="AE2905" s="133"/>
      <c r="AF2905" s="133"/>
      <c r="AG2905" s="133"/>
      <c r="AH2905" s="133"/>
      <c r="AI2905" s="133"/>
      <c r="AJ2905" s="133"/>
      <c r="AK2905" s="133"/>
      <c r="AL2905" s="133"/>
      <c r="AM2905" s="133"/>
      <c r="AN2905" s="133"/>
      <c r="AO2905" s="133"/>
      <c r="AP2905" s="133"/>
      <c r="AQ2905" s="133"/>
      <c r="AR2905" s="133"/>
      <c r="AS2905" s="133"/>
      <c r="AT2905" s="133"/>
      <c r="AU2905" s="133"/>
      <c r="AV2905" s="133"/>
      <c r="AW2905" s="133"/>
      <c r="AX2905" s="133"/>
      <c r="AY2905" s="133"/>
      <c r="AZ2905" s="133"/>
      <c r="BA2905" s="133"/>
      <c r="BB2905" s="133"/>
      <c r="BC2905" s="133"/>
      <c r="BD2905" s="133"/>
      <c r="BE2905" s="133"/>
      <c r="BF2905" s="133"/>
      <c r="BG2905" s="133"/>
      <c r="BH2905" s="133"/>
      <c r="BI2905" s="133"/>
      <c r="BJ2905" s="133"/>
      <c r="BK2905" s="133"/>
      <c r="BL2905" s="133"/>
      <c r="BM2905" s="133"/>
      <c r="BN2905" s="133"/>
      <c r="BO2905" s="133"/>
      <c r="BP2905" s="133"/>
      <c r="BQ2905" s="133"/>
    </row>
    <row r="2906">
      <c r="A2906" s="194" t="s">
        <v>7678</v>
      </c>
      <c r="B2906" s="125"/>
      <c r="C2906" s="126">
        <v>43791.0</v>
      </c>
      <c r="D2906" s="133"/>
      <c r="E2906" s="124" t="s">
        <v>41</v>
      </c>
      <c r="F2906" s="198">
        <v>1.0</v>
      </c>
      <c r="G2906" s="124" t="s">
        <v>32</v>
      </c>
      <c r="H2906" s="303">
        <v>1.0</v>
      </c>
      <c r="I2906" s="124" t="s">
        <v>33</v>
      </c>
      <c r="J2906" s="124" t="s">
        <v>343</v>
      </c>
      <c r="K2906" s="133"/>
      <c r="L2906" s="124" t="s">
        <v>1273</v>
      </c>
      <c r="M2906" s="242" t="s">
        <v>7679</v>
      </c>
      <c r="N2906" s="233"/>
      <c r="O2906" s="173" t="str">
        <f>hyperlink("https://bad-boys.us/?q=SD-WV/5:19-cr-00292", "SD-WV 5:19-cr-00292")</f>
        <v>SD-WV 5:19-cr-00292</v>
      </c>
      <c r="P2906" s="133"/>
      <c r="Q2906" s="124">
        <v>1.0</v>
      </c>
      <c r="R2906" s="128"/>
      <c r="S2906" s="37"/>
      <c r="T2906" s="38"/>
      <c r="U2906" s="38"/>
      <c r="V2906" s="306" t="s">
        <v>33</v>
      </c>
      <c r="W2906" s="233"/>
      <c r="X2906" s="138"/>
      <c r="Y2906" s="233"/>
      <c r="Z2906" s="133"/>
      <c r="AA2906" s="133"/>
      <c r="AB2906" s="133"/>
      <c r="AC2906" s="133"/>
      <c r="AD2906" s="133"/>
      <c r="AE2906" s="133"/>
      <c r="AF2906" s="133"/>
      <c r="AG2906" s="133"/>
      <c r="AH2906" s="133"/>
      <c r="AI2906" s="133"/>
      <c r="AJ2906" s="133"/>
      <c r="AK2906" s="133"/>
      <c r="AL2906" s="133"/>
      <c r="AM2906" s="133"/>
      <c r="AN2906" s="133"/>
      <c r="AO2906" s="133"/>
      <c r="AP2906" s="133"/>
      <c r="AQ2906" s="133"/>
      <c r="AR2906" s="133"/>
      <c r="AS2906" s="133"/>
      <c r="AT2906" s="133"/>
      <c r="AU2906" s="133"/>
      <c r="AV2906" s="133"/>
      <c r="AW2906" s="133"/>
      <c r="AX2906" s="133"/>
      <c r="AY2906" s="133"/>
      <c r="AZ2906" s="133"/>
      <c r="BA2906" s="133"/>
      <c r="BB2906" s="133"/>
      <c r="BC2906" s="133"/>
      <c r="BD2906" s="133"/>
      <c r="BE2906" s="133"/>
      <c r="BF2906" s="133"/>
      <c r="BG2906" s="133"/>
      <c r="BH2906" s="133"/>
      <c r="BI2906" s="133"/>
      <c r="BJ2906" s="133"/>
      <c r="BK2906" s="133"/>
      <c r="BL2906" s="133"/>
      <c r="BM2906" s="133"/>
      <c r="BN2906" s="133"/>
      <c r="BO2906" s="133"/>
      <c r="BP2906" s="133"/>
      <c r="BQ2906" s="133"/>
    </row>
    <row r="2907">
      <c r="A2907" s="194" t="s">
        <v>7680</v>
      </c>
      <c r="B2907" s="301"/>
      <c r="C2907" s="126">
        <v>43791.0</v>
      </c>
      <c r="D2907" s="302"/>
      <c r="E2907" s="124" t="s">
        <v>41</v>
      </c>
      <c r="F2907" s="198">
        <v>1.0</v>
      </c>
      <c r="G2907" s="124" t="s">
        <v>32</v>
      </c>
      <c r="H2907" s="303">
        <v>3.0</v>
      </c>
      <c r="I2907" s="124" t="s">
        <v>33</v>
      </c>
      <c r="J2907" s="124" t="s">
        <v>179</v>
      </c>
      <c r="K2907" s="302"/>
      <c r="L2907" s="124" t="s">
        <v>119</v>
      </c>
      <c r="M2907" s="242" t="s">
        <v>7681</v>
      </c>
      <c r="N2907" s="233"/>
      <c r="O2907" s="128"/>
      <c r="P2907" s="302"/>
      <c r="Q2907" s="124"/>
      <c r="R2907" s="128"/>
      <c r="S2907" s="37"/>
      <c r="T2907" s="38"/>
      <c r="U2907" s="38"/>
      <c r="V2907" s="306" t="s">
        <v>33</v>
      </c>
      <c r="W2907" s="233"/>
      <c r="X2907" s="233"/>
      <c r="Y2907" s="233"/>
      <c r="Z2907" s="302"/>
      <c r="AA2907" s="302"/>
      <c r="AB2907" s="302"/>
      <c r="AC2907" s="302"/>
      <c r="AD2907" s="302"/>
      <c r="AE2907" s="302"/>
      <c r="AF2907" s="302"/>
      <c r="AG2907" s="302"/>
      <c r="AH2907" s="302"/>
      <c r="AI2907" s="302"/>
      <c r="AJ2907" s="302"/>
      <c r="AK2907" s="302"/>
      <c r="AL2907" s="302"/>
      <c r="AM2907" s="302"/>
      <c r="AN2907" s="302"/>
      <c r="AO2907" s="302"/>
      <c r="AP2907" s="302"/>
      <c r="AQ2907" s="302"/>
      <c r="AR2907" s="302"/>
      <c r="AS2907" s="302"/>
      <c r="AT2907" s="302"/>
      <c r="AU2907" s="302"/>
      <c r="AV2907" s="302"/>
      <c r="AW2907" s="302"/>
      <c r="AX2907" s="302"/>
      <c r="AY2907" s="302"/>
      <c r="AZ2907" s="302"/>
      <c r="BA2907" s="302"/>
      <c r="BB2907" s="302"/>
      <c r="BC2907" s="302"/>
      <c r="BD2907" s="302"/>
      <c r="BE2907" s="302"/>
      <c r="BF2907" s="302"/>
      <c r="BG2907" s="302"/>
      <c r="BH2907" s="302"/>
      <c r="BI2907" s="302"/>
      <c r="BJ2907" s="302"/>
      <c r="BK2907" s="302"/>
      <c r="BL2907" s="302"/>
      <c r="BM2907" s="302"/>
      <c r="BN2907" s="302"/>
      <c r="BO2907" s="302"/>
      <c r="BP2907" s="302"/>
      <c r="BQ2907" s="302"/>
    </row>
    <row r="2908">
      <c r="A2908" s="194" t="s">
        <v>7682</v>
      </c>
      <c r="B2908" s="125"/>
      <c r="C2908" s="195">
        <v>43800.0</v>
      </c>
      <c r="D2908" s="133"/>
      <c r="E2908" s="124" t="s">
        <v>31</v>
      </c>
      <c r="F2908" s="198">
        <v>1.0</v>
      </c>
      <c r="G2908" s="124" t="s">
        <v>32</v>
      </c>
      <c r="H2908" s="303">
        <v>1.0</v>
      </c>
      <c r="I2908" s="124" t="s">
        <v>33</v>
      </c>
      <c r="J2908" s="124" t="s">
        <v>147</v>
      </c>
      <c r="K2908" s="133"/>
      <c r="L2908" s="124" t="s">
        <v>119</v>
      </c>
      <c r="M2908" s="242" t="s">
        <v>7683</v>
      </c>
      <c r="N2908" s="233"/>
      <c r="O2908" s="124"/>
      <c r="P2908" s="133"/>
      <c r="Q2908" s="124"/>
      <c r="R2908" s="128"/>
      <c r="S2908" s="37"/>
      <c r="T2908" s="38"/>
      <c r="U2908" s="38"/>
      <c r="V2908" s="306" t="s">
        <v>33</v>
      </c>
      <c r="W2908" s="219" t="s">
        <v>7684</v>
      </c>
      <c r="X2908" s="138"/>
      <c r="Y2908" s="233"/>
      <c r="Z2908" s="133"/>
      <c r="AA2908" s="133"/>
      <c r="AB2908" s="133"/>
      <c r="AC2908" s="133"/>
      <c r="AD2908" s="133"/>
      <c r="AE2908" s="133"/>
      <c r="AF2908" s="133"/>
      <c r="AG2908" s="133"/>
      <c r="AH2908" s="133"/>
      <c r="AI2908" s="133"/>
      <c r="AJ2908" s="133"/>
      <c r="AK2908" s="133"/>
      <c r="AL2908" s="133"/>
      <c r="AM2908" s="133"/>
      <c r="AN2908" s="133"/>
      <c r="AO2908" s="133"/>
      <c r="AP2908" s="133"/>
      <c r="AQ2908" s="133"/>
      <c r="AR2908" s="133"/>
      <c r="AS2908" s="133"/>
      <c r="AT2908" s="133"/>
      <c r="AU2908" s="133"/>
      <c r="AV2908" s="133"/>
      <c r="AW2908" s="133"/>
      <c r="AX2908" s="133"/>
      <c r="AY2908" s="133"/>
      <c r="AZ2908" s="133"/>
      <c r="BA2908" s="133"/>
      <c r="BB2908" s="133"/>
      <c r="BC2908" s="133"/>
      <c r="BD2908" s="133"/>
      <c r="BE2908" s="133"/>
      <c r="BF2908" s="133"/>
      <c r="BG2908" s="133"/>
      <c r="BH2908" s="133"/>
      <c r="BI2908" s="133"/>
      <c r="BJ2908" s="133"/>
      <c r="BK2908" s="133"/>
      <c r="BL2908" s="133"/>
      <c r="BM2908" s="133"/>
      <c r="BN2908" s="133"/>
      <c r="BO2908" s="133"/>
      <c r="BP2908" s="133"/>
      <c r="BQ2908" s="133"/>
    </row>
    <row r="2909">
      <c r="A2909" s="194" t="s">
        <v>7685</v>
      </c>
      <c r="B2909" s="125"/>
      <c r="C2909" s="195">
        <v>43800.0</v>
      </c>
      <c r="D2909" s="133"/>
      <c r="E2909" s="124" t="s">
        <v>41</v>
      </c>
      <c r="F2909" s="198">
        <v>1.0</v>
      </c>
      <c r="G2909" s="124" t="s">
        <v>32</v>
      </c>
      <c r="H2909" s="303">
        <v>1.0</v>
      </c>
      <c r="I2909" s="124" t="s">
        <v>33</v>
      </c>
      <c r="J2909" s="124" t="s">
        <v>93</v>
      </c>
      <c r="K2909" s="133"/>
      <c r="L2909" s="124" t="s">
        <v>119</v>
      </c>
      <c r="M2909" s="242" t="s">
        <v>7686</v>
      </c>
      <c r="N2909" s="233"/>
      <c r="O2909" s="124"/>
      <c r="P2909" s="133"/>
      <c r="Q2909" s="124"/>
      <c r="R2909" s="128"/>
      <c r="S2909" s="37"/>
      <c r="T2909" s="38"/>
      <c r="U2909" s="38"/>
      <c r="V2909" s="306" t="s">
        <v>33</v>
      </c>
      <c r="W2909" s="233"/>
      <c r="X2909" s="138"/>
      <c r="Y2909" s="233"/>
      <c r="Z2909" s="133"/>
      <c r="AA2909" s="133"/>
      <c r="AB2909" s="133"/>
      <c r="AC2909" s="133"/>
      <c r="AD2909" s="133"/>
      <c r="AE2909" s="133"/>
      <c r="AF2909" s="133"/>
      <c r="AG2909" s="133"/>
      <c r="AH2909" s="133"/>
      <c r="AI2909" s="133"/>
      <c r="AJ2909" s="133"/>
      <c r="AK2909" s="133"/>
      <c r="AL2909" s="133"/>
      <c r="AM2909" s="133"/>
      <c r="AN2909" s="133"/>
      <c r="AO2909" s="133"/>
      <c r="AP2909" s="133"/>
      <c r="AQ2909" s="133"/>
      <c r="AR2909" s="133"/>
      <c r="AS2909" s="133"/>
      <c r="AT2909" s="133"/>
      <c r="AU2909" s="133"/>
      <c r="AV2909" s="133"/>
      <c r="AW2909" s="133"/>
      <c r="AX2909" s="133"/>
      <c r="AY2909" s="133"/>
      <c r="AZ2909" s="133"/>
      <c r="BA2909" s="133"/>
      <c r="BB2909" s="133"/>
      <c r="BC2909" s="133"/>
      <c r="BD2909" s="133"/>
      <c r="BE2909" s="133"/>
      <c r="BF2909" s="133"/>
      <c r="BG2909" s="133"/>
      <c r="BH2909" s="133"/>
      <c r="BI2909" s="133"/>
      <c r="BJ2909" s="133"/>
      <c r="BK2909" s="133"/>
      <c r="BL2909" s="133"/>
      <c r="BM2909" s="133"/>
      <c r="BN2909" s="133"/>
      <c r="BO2909" s="133"/>
      <c r="BP2909" s="133"/>
      <c r="BQ2909" s="133"/>
    </row>
    <row r="2910">
      <c r="A2910" s="194" t="s">
        <v>7687</v>
      </c>
      <c r="B2910" s="125"/>
      <c r="C2910" s="195">
        <v>43800.0</v>
      </c>
      <c r="D2910" s="133"/>
      <c r="E2910" s="124" t="s">
        <v>41</v>
      </c>
      <c r="F2910" s="198">
        <v>1.0</v>
      </c>
      <c r="G2910" s="124" t="s">
        <v>32</v>
      </c>
      <c r="H2910" s="303">
        <v>1.0</v>
      </c>
      <c r="I2910" s="124" t="s">
        <v>33</v>
      </c>
      <c r="J2910" s="124" t="s">
        <v>268</v>
      </c>
      <c r="K2910" s="133"/>
      <c r="L2910" s="124" t="s">
        <v>69</v>
      </c>
      <c r="M2910" s="242" t="s">
        <v>7688</v>
      </c>
      <c r="N2910" s="233"/>
      <c r="O2910" s="124"/>
      <c r="P2910" s="133"/>
      <c r="Q2910" s="124"/>
      <c r="R2910" s="128"/>
      <c r="S2910" s="37"/>
      <c r="T2910" s="38"/>
      <c r="U2910" s="38"/>
      <c r="V2910" s="306" t="s">
        <v>33</v>
      </c>
      <c r="W2910" s="233"/>
      <c r="X2910" s="138"/>
      <c r="Y2910" s="233"/>
      <c r="Z2910" s="133"/>
      <c r="AA2910" s="133"/>
      <c r="AB2910" s="133"/>
      <c r="AC2910" s="133"/>
      <c r="AD2910" s="133"/>
      <c r="AE2910" s="133"/>
      <c r="AF2910" s="133"/>
      <c r="AG2910" s="133"/>
      <c r="AH2910" s="133"/>
      <c r="AI2910" s="133"/>
      <c r="AJ2910" s="133"/>
      <c r="AK2910" s="133"/>
      <c r="AL2910" s="133"/>
      <c r="AM2910" s="133"/>
      <c r="AN2910" s="133"/>
      <c r="AO2910" s="133"/>
      <c r="AP2910" s="133"/>
      <c r="AQ2910" s="133"/>
      <c r="AR2910" s="133"/>
      <c r="AS2910" s="133"/>
      <c r="AT2910" s="133"/>
      <c r="AU2910" s="133"/>
      <c r="AV2910" s="133"/>
      <c r="AW2910" s="133"/>
      <c r="AX2910" s="133"/>
      <c r="AY2910" s="133"/>
      <c r="AZ2910" s="133"/>
      <c r="BA2910" s="133"/>
      <c r="BB2910" s="133"/>
      <c r="BC2910" s="133"/>
      <c r="BD2910" s="133"/>
      <c r="BE2910" s="133"/>
      <c r="BF2910" s="133"/>
      <c r="BG2910" s="133"/>
      <c r="BH2910" s="133"/>
      <c r="BI2910" s="133"/>
      <c r="BJ2910" s="133"/>
      <c r="BK2910" s="133"/>
      <c r="BL2910" s="133"/>
      <c r="BM2910" s="133"/>
      <c r="BN2910" s="133"/>
      <c r="BO2910" s="133"/>
      <c r="BP2910" s="133"/>
      <c r="BQ2910" s="133"/>
    </row>
    <row r="2911">
      <c r="A2911" s="194" t="s">
        <v>7689</v>
      </c>
      <c r="B2911" s="125"/>
      <c r="C2911" s="195">
        <v>43800.0</v>
      </c>
      <c r="D2911" s="133"/>
      <c r="E2911" s="124" t="s">
        <v>31</v>
      </c>
      <c r="F2911" s="198">
        <v>1.0</v>
      </c>
      <c r="G2911" s="124">
        <v>2.0</v>
      </c>
      <c r="H2911" s="303">
        <v>2.0</v>
      </c>
      <c r="I2911" s="124" t="s">
        <v>33</v>
      </c>
      <c r="J2911" s="124" t="s">
        <v>179</v>
      </c>
      <c r="K2911" s="133"/>
      <c r="L2911" s="124" t="s">
        <v>76</v>
      </c>
      <c r="M2911" s="242" t="s">
        <v>7690</v>
      </c>
      <c r="N2911" s="233" t="s">
        <v>7691</v>
      </c>
      <c r="O2911" s="124"/>
      <c r="P2911" s="133"/>
      <c r="Q2911" s="124"/>
      <c r="R2911" s="128"/>
      <c r="S2911" s="37"/>
      <c r="T2911" s="38"/>
      <c r="U2911" s="38"/>
      <c r="V2911" s="306" t="s">
        <v>3025</v>
      </c>
      <c r="W2911" s="219" t="s">
        <v>7692</v>
      </c>
      <c r="X2911" s="219" t="s">
        <v>7693</v>
      </c>
      <c r="Y2911" s="233"/>
      <c r="Z2911" s="133"/>
      <c r="AA2911" s="133"/>
      <c r="AB2911" s="133"/>
      <c r="AC2911" s="133"/>
      <c r="AD2911" s="133"/>
      <c r="AE2911" s="133"/>
      <c r="AF2911" s="133"/>
      <c r="AG2911" s="133"/>
      <c r="AH2911" s="133"/>
      <c r="AI2911" s="133"/>
      <c r="AJ2911" s="133"/>
      <c r="AK2911" s="133"/>
      <c r="AL2911" s="133"/>
      <c r="AM2911" s="133"/>
      <c r="AN2911" s="133"/>
      <c r="AO2911" s="133"/>
      <c r="AP2911" s="133"/>
      <c r="AQ2911" s="133"/>
      <c r="AR2911" s="133"/>
      <c r="AS2911" s="133"/>
      <c r="AT2911" s="133"/>
      <c r="AU2911" s="133"/>
      <c r="AV2911" s="133"/>
      <c r="AW2911" s="133"/>
      <c r="AX2911" s="133"/>
      <c r="AY2911" s="133"/>
      <c r="AZ2911" s="133"/>
      <c r="BA2911" s="133"/>
      <c r="BB2911" s="133"/>
      <c r="BC2911" s="133"/>
      <c r="BD2911" s="133"/>
      <c r="BE2911" s="133"/>
      <c r="BF2911" s="133"/>
      <c r="BG2911" s="133"/>
      <c r="BH2911" s="133"/>
      <c r="BI2911" s="133"/>
      <c r="BJ2911" s="133"/>
      <c r="BK2911" s="133"/>
      <c r="BL2911" s="133"/>
      <c r="BM2911" s="133"/>
      <c r="BN2911" s="133"/>
      <c r="BO2911" s="133"/>
      <c r="BP2911" s="133"/>
      <c r="BQ2911" s="133"/>
    </row>
    <row r="2912">
      <c r="A2912" s="194" t="s">
        <v>7694</v>
      </c>
      <c r="B2912" s="125"/>
      <c r="C2912" s="195">
        <v>43800.0</v>
      </c>
      <c r="D2912" s="133"/>
      <c r="E2912" s="124" t="s">
        <v>31</v>
      </c>
      <c r="F2912" s="198">
        <v>1.0</v>
      </c>
      <c r="G2912" s="124" t="s">
        <v>32</v>
      </c>
      <c r="H2912" s="303">
        <v>1.0</v>
      </c>
      <c r="I2912" s="124" t="s">
        <v>33</v>
      </c>
      <c r="J2912" s="124" t="s">
        <v>98</v>
      </c>
      <c r="K2912" s="133"/>
      <c r="L2912" s="124" t="s">
        <v>76</v>
      </c>
      <c r="M2912" s="242" t="s">
        <v>7695</v>
      </c>
      <c r="N2912" s="219" t="s">
        <v>7696</v>
      </c>
      <c r="O2912" s="124"/>
      <c r="P2912" s="133"/>
      <c r="Q2912" s="124"/>
      <c r="R2912" s="128"/>
      <c r="S2912" s="37"/>
      <c r="T2912" s="38"/>
      <c r="U2912" s="38"/>
      <c r="V2912" s="306" t="s">
        <v>33</v>
      </c>
      <c r="W2912" s="219" t="s">
        <v>7697</v>
      </c>
      <c r="X2912" s="219" t="s">
        <v>7698</v>
      </c>
      <c r="Y2912" s="233"/>
      <c r="Z2912" s="133"/>
      <c r="AA2912" s="133"/>
      <c r="AB2912" s="133"/>
      <c r="AC2912" s="133"/>
      <c r="AD2912" s="133"/>
      <c r="AE2912" s="133"/>
      <c r="AF2912" s="133"/>
      <c r="AG2912" s="133"/>
      <c r="AH2912" s="133"/>
      <c r="AI2912" s="133"/>
      <c r="AJ2912" s="133"/>
      <c r="AK2912" s="133"/>
      <c r="AL2912" s="133"/>
      <c r="AM2912" s="133"/>
      <c r="AN2912" s="133"/>
      <c r="AO2912" s="133"/>
      <c r="AP2912" s="133"/>
      <c r="AQ2912" s="133"/>
      <c r="AR2912" s="133"/>
      <c r="AS2912" s="133"/>
      <c r="AT2912" s="133"/>
      <c r="AU2912" s="133"/>
      <c r="AV2912" s="133"/>
      <c r="AW2912" s="133"/>
      <c r="AX2912" s="133"/>
      <c r="AY2912" s="133"/>
      <c r="AZ2912" s="133"/>
      <c r="BA2912" s="133"/>
      <c r="BB2912" s="133"/>
      <c r="BC2912" s="133"/>
      <c r="BD2912" s="133"/>
      <c r="BE2912" s="133"/>
      <c r="BF2912" s="133"/>
      <c r="BG2912" s="133"/>
      <c r="BH2912" s="133"/>
      <c r="BI2912" s="133"/>
      <c r="BJ2912" s="133"/>
      <c r="BK2912" s="133"/>
      <c r="BL2912" s="133"/>
      <c r="BM2912" s="133"/>
      <c r="BN2912" s="133"/>
      <c r="BO2912" s="133"/>
      <c r="BP2912" s="133"/>
      <c r="BQ2912" s="133"/>
    </row>
    <row r="2913">
      <c r="A2913" s="194" t="s">
        <v>7699</v>
      </c>
      <c r="B2913" s="125"/>
      <c r="C2913" s="126">
        <v>43800.0</v>
      </c>
      <c r="D2913" s="133"/>
      <c r="E2913" s="124" t="s">
        <v>41</v>
      </c>
      <c r="F2913" s="198">
        <v>1.0</v>
      </c>
      <c r="G2913" s="124" t="s">
        <v>32</v>
      </c>
      <c r="H2913" s="303">
        <v>1.0</v>
      </c>
      <c r="I2913" s="124" t="s">
        <v>33</v>
      </c>
      <c r="J2913" s="124" t="s">
        <v>55</v>
      </c>
      <c r="K2913" s="133"/>
      <c r="L2913" s="124" t="s">
        <v>7700</v>
      </c>
      <c r="M2913" s="242" t="s">
        <v>7701</v>
      </c>
      <c r="N2913" s="233"/>
      <c r="O2913" s="124"/>
      <c r="P2913" s="133"/>
      <c r="Q2913" s="124"/>
      <c r="R2913" s="128"/>
      <c r="S2913" s="37"/>
      <c r="T2913" s="38"/>
      <c r="U2913" s="38"/>
      <c r="V2913" s="124" t="s">
        <v>33</v>
      </c>
      <c r="W2913" s="138"/>
      <c r="X2913" s="138"/>
      <c r="Y2913" s="233"/>
      <c r="Z2913" s="133"/>
      <c r="AA2913" s="133"/>
      <c r="AB2913" s="133"/>
      <c r="AC2913" s="133"/>
      <c r="AD2913" s="133"/>
      <c r="AE2913" s="133"/>
      <c r="AF2913" s="133"/>
      <c r="AG2913" s="133"/>
      <c r="AH2913" s="133"/>
      <c r="AI2913" s="133"/>
      <c r="AJ2913" s="133"/>
      <c r="AK2913" s="133"/>
      <c r="AL2913" s="133"/>
      <c r="AM2913" s="133"/>
      <c r="AN2913" s="133"/>
      <c r="AO2913" s="133"/>
      <c r="AP2913" s="133"/>
      <c r="AQ2913" s="133"/>
      <c r="AR2913" s="133"/>
      <c r="AS2913" s="133"/>
      <c r="AT2913" s="133"/>
      <c r="AU2913" s="133"/>
      <c r="AV2913" s="133"/>
      <c r="AW2913" s="133"/>
      <c r="AX2913" s="133"/>
      <c r="AY2913" s="133"/>
      <c r="AZ2913" s="133"/>
      <c r="BA2913" s="133"/>
      <c r="BB2913" s="133"/>
      <c r="BC2913" s="133"/>
      <c r="BD2913" s="133"/>
      <c r="BE2913" s="133"/>
      <c r="BF2913" s="133"/>
      <c r="BG2913" s="133"/>
      <c r="BH2913" s="133"/>
      <c r="BI2913" s="133"/>
      <c r="BJ2913" s="133"/>
      <c r="BK2913" s="133"/>
      <c r="BL2913" s="133"/>
      <c r="BM2913" s="133"/>
      <c r="BN2913" s="133"/>
      <c r="BO2913" s="133"/>
      <c r="BP2913" s="133"/>
      <c r="BQ2913" s="133"/>
    </row>
    <row r="2914">
      <c r="A2914" s="194" t="s">
        <v>7702</v>
      </c>
      <c r="B2914" s="125"/>
      <c r="C2914" s="126">
        <v>43800.0</v>
      </c>
      <c r="D2914" s="133"/>
      <c r="E2914" s="124" t="s">
        <v>41</v>
      </c>
      <c r="F2914" s="198">
        <v>1.0</v>
      </c>
      <c r="G2914" s="124">
        <v>1.0</v>
      </c>
      <c r="H2914" s="303">
        <v>1.0</v>
      </c>
      <c r="I2914" s="124" t="s">
        <v>33</v>
      </c>
      <c r="J2914" s="124" t="s">
        <v>288</v>
      </c>
      <c r="K2914" s="133"/>
      <c r="L2914" s="124" t="s">
        <v>76</v>
      </c>
      <c r="M2914" s="242" t="s">
        <v>7703</v>
      </c>
      <c r="N2914" s="233"/>
      <c r="O2914" s="124"/>
      <c r="P2914" s="133"/>
      <c r="Q2914" s="124"/>
      <c r="R2914" s="128"/>
      <c r="S2914" s="37"/>
      <c r="T2914" s="38"/>
      <c r="U2914" s="38"/>
      <c r="V2914" s="124" t="s">
        <v>33</v>
      </c>
      <c r="W2914" s="138"/>
      <c r="X2914" s="138"/>
      <c r="Y2914" s="233"/>
      <c r="Z2914" s="133"/>
      <c r="AA2914" s="133"/>
      <c r="AB2914" s="133"/>
      <c r="AC2914" s="133"/>
      <c r="AD2914" s="133"/>
      <c r="AE2914" s="133"/>
      <c r="AF2914" s="133"/>
      <c r="AG2914" s="133"/>
      <c r="AH2914" s="133"/>
      <c r="AI2914" s="133"/>
      <c r="AJ2914" s="133"/>
      <c r="AK2914" s="133"/>
      <c r="AL2914" s="133"/>
      <c r="AM2914" s="133"/>
      <c r="AN2914" s="133"/>
      <c r="AO2914" s="133"/>
      <c r="AP2914" s="133"/>
      <c r="AQ2914" s="133"/>
      <c r="AR2914" s="133"/>
      <c r="AS2914" s="133"/>
      <c r="AT2914" s="133"/>
      <c r="AU2914" s="133"/>
      <c r="AV2914" s="133"/>
      <c r="AW2914" s="133"/>
      <c r="AX2914" s="133"/>
      <c r="AY2914" s="133"/>
      <c r="AZ2914" s="133"/>
      <c r="BA2914" s="133"/>
      <c r="BB2914" s="133"/>
      <c r="BC2914" s="133"/>
      <c r="BD2914" s="133"/>
      <c r="BE2914" s="133"/>
      <c r="BF2914" s="133"/>
      <c r="BG2914" s="133"/>
      <c r="BH2914" s="133"/>
      <c r="BI2914" s="133"/>
      <c r="BJ2914" s="133"/>
      <c r="BK2914" s="133"/>
      <c r="BL2914" s="133"/>
      <c r="BM2914" s="133"/>
      <c r="BN2914" s="133"/>
      <c r="BO2914" s="133"/>
      <c r="BP2914" s="133"/>
      <c r="BQ2914" s="133"/>
    </row>
    <row r="2915">
      <c r="A2915" s="194" t="s">
        <v>7704</v>
      </c>
      <c r="B2915" s="125"/>
      <c r="C2915" s="126">
        <v>43802.0</v>
      </c>
      <c r="D2915" s="133"/>
      <c r="E2915" s="124" t="s">
        <v>41</v>
      </c>
      <c r="F2915" s="198">
        <v>1.0</v>
      </c>
      <c r="G2915" s="124" t="s">
        <v>32</v>
      </c>
      <c r="H2915" s="303">
        <v>1.0</v>
      </c>
      <c r="I2915" s="124" t="s">
        <v>33</v>
      </c>
      <c r="J2915" s="124" t="s">
        <v>93</v>
      </c>
      <c r="K2915" s="133"/>
      <c r="L2915" s="124" t="s">
        <v>119</v>
      </c>
      <c r="M2915" s="242" t="s">
        <v>7705</v>
      </c>
      <c r="N2915" s="233"/>
      <c r="O2915" s="173" t="str">
        <f>hyperlink("https://bad-boys.us/?q=WD-NY/6:19-cr-06182", "WD-NY 6:19-cr-06182")</f>
        <v>WD-NY 6:19-cr-06182</v>
      </c>
      <c r="P2915" s="133"/>
      <c r="Q2915" s="124">
        <v>1.0</v>
      </c>
      <c r="R2915" s="128"/>
      <c r="S2915" s="37"/>
      <c r="T2915" s="38"/>
      <c r="U2915" s="38" t="b">
        <f>countif(A$4:A4658, A2915)&gt;1</f>
        <v>0</v>
      </c>
      <c r="V2915" s="124" t="s">
        <v>33</v>
      </c>
      <c r="W2915" s="138"/>
      <c r="X2915" s="138"/>
      <c r="Y2915" s="233"/>
      <c r="Z2915" s="133"/>
      <c r="AA2915" s="133"/>
      <c r="AB2915" s="133"/>
      <c r="AC2915" s="133"/>
      <c r="AD2915" s="133"/>
      <c r="AE2915" s="133"/>
      <c r="AF2915" s="133"/>
      <c r="AG2915" s="133"/>
      <c r="AH2915" s="133"/>
      <c r="AI2915" s="133"/>
      <c r="AJ2915" s="133"/>
      <c r="AK2915" s="133"/>
      <c r="AL2915" s="133"/>
      <c r="AM2915" s="133"/>
      <c r="AN2915" s="133"/>
      <c r="AO2915" s="133"/>
      <c r="AP2915" s="133"/>
      <c r="AQ2915" s="133"/>
      <c r="AR2915" s="133"/>
      <c r="AS2915" s="133"/>
      <c r="AT2915" s="133"/>
      <c r="AU2915" s="133"/>
      <c r="AV2915" s="133"/>
      <c r="AW2915" s="133"/>
      <c r="AX2915" s="133"/>
      <c r="AY2915" s="133"/>
      <c r="AZ2915" s="133"/>
      <c r="BA2915" s="133"/>
      <c r="BB2915" s="133"/>
      <c r="BC2915" s="133"/>
      <c r="BD2915" s="133"/>
      <c r="BE2915" s="133"/>
      <c r="BF2915" s="133"/>
      <c r="BG2915" s="133"/>
      <c r="BH2915" s="133"/>
      <c r="BI2915" s="133"/>
      <c r="BJ2915" s="133"/>
      <c r="BK2915" s="133"/>
      <c r="BL2915" s="133"/>
      <c r="BM2915" s="133"/>
      <c r="BN2915" s="133"/>
      <c r="BO2915" s="133"/>
      <c r="BP2915" s="133"/>
      <c r="BQ2915" s="133"/>
    </row>
    <row r="2916">
      <c r="A2916" s="194" t="s">
        <v>7706</v>
      </c>
      <c r="B2916" s="125"/>
      <c r="C2916" s="126">
        <v>43802.0</v>
      </c>
      <c r="D2916" s="133"/>
      <c r="E2916" s="124" t="s">
        <v>41</v>
      </c>
      <c r="F2916" s="198">
        <v>1.0</v>
      </c>
      <c r="G2916" s="124" t="s">
        <v>32</v>
      </c>
      <c r="H2916" s="303">
        <v>1.0</v>
      </c>
      <c r="I2916" s="124" t="s">
        <v>33</v>
      </c>
      <c r="J2916" s="124" t="s">
        <v>61</v>
      </c>
      <c r="K2916" s="133"/>
      <c r="L2916" s="124" t="s">
        <v>119</v>
      </c>
      <c r="M2916" s="242" t="s">
        <v>7707</v>
      </c>
      <c r="N2916" s="233"/>
      <c r="O2916" s="124"/>
      <c r="P2916" s="133"/>
      <c r="Q2916" s="124"/>
      <c r="R2916" s="128"/>
      <c r="S2916" s="37"/>
      <c r="T2916" s="38"/>
      <c r="U2916" s="38"/>
      <c r="V2916" s="124" t="s">
        <v>33</v>
      </c>
      <c r="W2916" s="138"/>
      <c r="X2916" s="138"/>
      <c r="Y2916" s="233"/>
      <c r="Z2916" s="133"/>
      <c r="AA2916" s="133"/>
      <c r="AB2916" s="133"/>
      <c r="AC2916" s="133"/>
      <c r="AD2916" s="133"/>
      <c r="AE2916" s="133"/>
      <c r="AF2916" s="133"/>
      <c r="AG2916" s="133"/>
      <c r="AH2916" s="133"/>
      <c r="AI2916" s="133"/>
      <c r="AJ2916" s="133"/>
      <c r="AK2916" s="133"/>
      <c r="AL2916" s="133"/>
      <c r="AM2916" s="133"/>
      <c r="AN2916" s="133"/>
      <c r="AO2916" s="133"/>
      <c r="AP2916" s="133"/>
      <c r="AQ2916" s="133"/>
      <c r="AR2916" s="133"/>
      <c r="AS2916" s="133"/>
      <c r="AT2916" s="133"/>
      <c r="AU2916" s="133"/>
      <c r="AV2916" s="133"/>
      <c r="AW2916" s="133"/>
      <c r="AX2916" s="133"/>
      <c r="AY2916" s="133"/>
      <c r="AZ2916" s="133"/>
      <c r="BA2916" s="133"/>
      <c r="BB2916" s="133"/>
      <c r="BC2916" s="133"/>
      <c r="BD2916" s="133"/>
      <c r="BE2916" s="133"/>
      <c r="BF2916" s="133"/>
      <c r="BG2916" s="133"/>
      <c r="BH2916" s="133"/>
      <c r="BI2916" s="133"/>
      <c r="BJ2916" s="133"/>
      <c r="BK2916" s="133"/>
      <c r="BL2916" s="133"/>
      <c r="BM2916" s="133"/>
      <c r="BN2916" s="133"/>
      <c r="BO2916" s="133"/>
      <c r="BP2916" s="133"/>
      <c r="BQ2916" s="133"/>
    </row>
    <row r="2917">
      <c r="A2917" s="194" t="s">
        <v>7708</v>
      </c>
      <c r="B2917" s="125"/>
      <c r="C2917" s="126">
        <v>43802.0</v>
      </c>
      <c r="D2917" s="133"/>
      <c r="E2917" s="124" t="s">
        <v>41</v>
      </c>
      <c r="F2917" s="198">
        <v>1.0</v>
      </c>
      <c r="G2917" s="124" t="s">
        <v>32</v>
      </c>
      <c r="H2917" s="303">
        <v>1.0</v>
      </c>
      <c r="I2917" s="124" t="s">
        <v>33</v>
      </c>
      <c r="J2917" s="124" t="s">
        <v>47</v>
      </c>
      <c r="K2917" s="133"/>
      <c r="L2917" s="124" t="s">
        <v>69</v>
      </c>
      <c r="M2917" s="242" t="s">
        <v>7709</v>
      </c>
      <c r="N2917" s="233"/>
      <c r="O2917" s="124"/>
      <c r="P2917" s="133"/>
      <c r="Q2917" s="124">
        <v>1.0</v>
      </c>
      <c r="R2917" s="128"/>
      <c r="S2917" s="37"/>
      <c r="T2917" s="38"/>
      <c r="U2917" s="38"/>
      <c r="V2917" s="124" t="s">
        <v>33</v>
      </c>
      <c r="W2917" s="138"/>
      <c r="X2917" s="138"/>
      <c r="Y2917" s="233"/>
      <c r="Z2917" s="133"/>
      <c r="AA2917" s="133"/>
      <c r="AB2917" s="133"/>
      <c r="AC2917" s="133"/>
      <c r="AD2917" s="133"/>
      <c r="AE2917" s="133"/>
      <c r="AF2917" s="133"/>
      <c r="AG2917" s="133"/>
      <c r="AH2917" s="133"/>
      <c r="AI2917" s="133"/>
      <c r="AJ2917" s="133"/>
      <c r="AK2917" s="133"/>
      <c r="AL2917" s="133"/>
      <c r="AM2917" s="133"/>
      <c r="AN2917" s="133"/>
      <c r="AO2917" s="133"/>
      <c r="AP2917" s="133"/>
      <c r="AQ2917" s="133"/>
      <c r="AR2917" s="133"/>
      <c r="AS2917" s="133"/>
      <c r="AT2917" s="133"/>
      <c r="AU2917" s="133"/>
      <c r="AV2917" s="133"/>
      <c r="AW2917" s="133"/>
      <c r="AX2917" s="133"/>
      <c r="AY2917" s="133"/>
      <c r="AZ2917" s="133"/>
      <c r="BA2917" s="133"/>
      <c r="BB2917" s="133"/>
      <c r="BC2917" s="133"/>
      <c r="BD2917" s="133"/>
      <c r="BE2917" s="133"/>
      <c r="BF2917" s="133"/>
      <c r="BG2917" s="133"/>
      <c r="BH2917" s="133"/>
      <c r="BI2917" s="133"/>
      <c r="BJ2917" s="133"/>
      <c r="BK2917" s="133"/>
      <c r="BL2917" s="133"/>
      <c r="BM2917" s="133"/>
      <c r="BN2917" s="133"/>
      <c r="BO2917" s="133"/>
      <c r="BP2917" s="133"/>
      <c r="BQ2917" s="133"/>
    </row>
    <row r="2918">
      <c r="A2918" s="194" t="s">
        <v>7710</v>
      </c>
      <c r="B2918" s="125"/>
      <c r="C2918" s="126">
        <v>43803.0</v>
      </c>
      <c r="D2918" s="133"/>
      <c r="E2918" s="124" t="s">
        <v>41</v>
      </c>
      <c r="F2918" s="198">
        <v>1.0</v>
      </c>
      <c r="G2918" s="124" t="s">
        <v>32</v>
      </c>
      <c r="H2918" s="303">
        <v>1.0</v>
      </c>
      <c r="I2918" s="124" t="s">
        <v>33</v>
      </c>
      <c r="J2918" s="124" t="s">
        <v>47</v>
      </c>
      <c r="K2918" s="133"/>
      <c r="L2918" s="124" t="s">
        <v>119</v>
      </c>
      <c r="M2918" s="242" t="s">
        <v>7711</v>
      </c>
      <c r="N2918" s="233"/>
      <c r="O2918" s="124"/>
      <c r="P2918" s="133"/>
      <c r="Q2918" s="124">
        <v>1.0</v>
      </c>
      <c r="R2918" s="128"/>
      <c r="S2918" s="37"/>
      <c r="T2918" s="38"/>
      <c r="U2918" s="38"/>
      <c r="V2918" s="124" t="s">
        <v>33</v>
      </c>
      <c r="W2918" s="138"/>
      <c r="X2918" s="138"/>
      <c r="Y2918" s="233"/>
      <c r="Z2918" s="133"/>
      <c r="AA2918" s="133"/>
      <c r="AB2918" s="133"/>
      <c r="AC2918" s="133"/>
      <c r="AD2918" s="133"/>
      <c r="AE2918" s="133"/>
      <c r="AF2918" s="133"/>
      <c r="AG2918" s="133"/>
      <c r="AH2918" s="133"/>
      <c r="AI2918" s="133"/>
      <c r="AJ2918" s="133"/>
      <c r="AK2918" s="133"/>
      <c r="AL2918" s="133"/>
      <c r="AM2918" s="133"/>
      <c r="AN2918" s="133"/>
      <c r="AO2918" s="133"/>
      <c r="AP2918" s="133"/>
      <c r="AQ2918" s="133"/>
      <c r="AR2918" s="133"/>
      <c r="AS2918" s="133"/>
      <c r="AT2918" s="133"/>
      <c r="AU2918" s="133"/>
      <c r="AV2918" s="133"/>
      <c r="AW2918" s="133"/>
      <c r="AX2918" s="133"/>
      <c r="AY2918" s="133"/>
      <c r="AZ2918" s="133"/>
      <c r="BA2918" s="133"/>
      <c r="BB2918" s="133"/>
      <c r="BC2918" s="133"/>
      <c r="BD2918" s="133"/>
      <c r="BE2918" s="133"/>
      <c r="BF2918" s="133"/>
      <c r="BG2918" s="133"/>
      <c r="BH2918" s="133"/>
      <c r="BI2918" s="133"/>
      <c r="BJ2918" s="133"/>
      <c r="BK2918" s="133"/>
      <c r="BL2918" s="133"/>
      <c r="BM2918" s="133"/>
      <c r="BN2918" s="133"/>
      <c r="BO2918" s="133"/>
      <c r="BP2918" s="133"/>
      <c r="BQ2918" s="133"/>
    </row>
    <row r="2919">
      <c r="A2919" s="194" t="s">
        <v>7712</v>
      </c>
      <c r="B2919" s="125"/>
      <c r="C2919" s="126">
        <v>43803.0</v>
      </c>
      <c r="D2919" s="133"/>
      <c r="E2919" s="124" t="s">
        <v>41</v>
      </c>
      <c r="F2919" s="198">
        <v>1.0</v>
      </c>
      <c r="G2919" s="124" t="s">
        <v>32</v>
      </c>
      <c r="H2919" s="303">
        <v>1.0</v>
      </c>
      <c r="I2919" s="124" t="s">
        <v>33</v>
      </c>
      <c r="J2919" s="124" t="s">
        <v>85</v>
      </c>
      <c r="K2919" s="133"/>
      <c r="L2919" s="124" t="s">
        <v>119</v>
      </c>
      <c r="M2919" s="242" t="s">
        <v>7713</v>
      </c>
      <c r="N2919" s="233"/>
      <c r="O2919" s="124"/>
      <c r="P2919" s="133"/>
      <c r="Q2919" s="124">
        <v>1.0</v>
      </c>
      <c r="R2919" s="128"/>
      <c r="S2919" s="37"/>
      <c r="T2919" s="38"/>
      <c r="U2919" s="38"/>
      <c r="V2919" s="124" t="s">
        <v>33</v>
      </c>
      <c r="W2919" s="138"/>
      <c r="X2919" s="138"/>
      <c r="Y2919" s="233"/>
      <c r="Z2919" s="133"/>
      <c r="AA2919" s="133"/>
      <c r="AB2919" s="133"/>
      <c r="AC2919" s="133"/>
      <c r="AD2919" s="133"/>
      <c r="AE2919" s="133"/>
      <c r="AF2919" s="133"/>
      <c r="AG2919" s="133"/>
      <c r="AH2919" s="133"/>
      <c r="AI2919" s="133"/>
      <c r="AJ2919" s="133"/>
      <c r="AK2919" s="133"/>
      <c r="AL2919" s="133"/>
      <c r="AM2919" s="133"/>
      <c r="AN2919" s="133"/>
      <c r="AO2919" s="133"/>
      <c r="AP2919" s="133"/>
      <c r="AQ2919" s="133"/>
      <c r="AR2919" s="133"/>
      <c r="AS2919" s="133"/>
      <c r="AT2919" s="133"/>
      <c r="AU2919" s="133"/>
      <c r="AV2919" s="133"/>
      <c r="AW2919" s="133"/>
      <c r="AX2919" s="133"/>
      <c r="AY2919" s="133"/>
      <c r="AZ2919" s="133"/>
      <c r="BA2919" s="133"/>
      <c r="BB2919" s="133"/>
      <c r="BC2919" s="133"/>
      <c r="BD2919" s="133"/>
      <c r="BE2919" s="133"/>
      <c r="BF2919" s="133"/>
      <c r="BG2919" s="133"/>
      <c r="BH2919" s="133"/>
      <c r="BI2919" s="133"/>
      <c r="BJ2919" s="133"/>
      <c r="BK2919" s="133"/>
      <c r="BL2919" s="133"/>
      <c r="BM2919" s="133"/>
      <c r="BN2919" s="133"/>
      <c r="BO2919" s="133"/>
      <c r="BP2919" s="133"/>
      <c r="BQ2919" s="133"/>
    </row>
    <row r="2920">
      <c r="A2920" s="194" t="s">
        <v>7714</v>
      </c>
      <c r="B2920" s="125"/>
      <c r="C2920" s="126">
        <v>43803.0</v>
      </c>
      <c r="D2920" s="133"/>
      <c r="E2920" s="124" t="s">
        <v>41</v>
      </c>
      <c r="F2920" s="198">
        <v>1.0</v>
      </c>
      <c r="G2920" s="124" t="s">
        <v>32</v>
      </c>
      <c r="H2920" s="303">
        <v>1.0</v>
      </c>
      <c r="I2920" s="124" t="s">
        <v>33</v>
      </c>
      <c r="J2920" s="124" t="s">
        <v>460</v>
      </c>
      <c r="K2920" s="133"/>
      <c r="L2920" s="124" t="s">
        <v>119</v>
      </c>
      <c r="M2920" s="242" t="s">
        <v>7715</v>
      </c>
      <c r="N2920" s="233"/>
      <c r="O2920" s="124"/>
      <c r="P2920" s="133"/>
      <c r="Q2920" s="124">
        <v>1.0</v>
      </c>
      <c r="R2920" s="128"/>
      <c r="S2920" s="37"/>
      <c r="T2920" s="38"/>
      <c r="U2920" s="38"/>
      <c r="V2920" s="124" t="s">
        <v>33</v>
      </c>
      <c r="W2920" s="138"/>
      <c r="X2920" s="138"/>
      <c r="Y2920" s="233"/>
      <c r="Z2920" s="133"/>
      <c r="AA2920" s="133"/>
      <c r="AB2920" s="133"/>
      <c r="AC2920" s="133"/>
      <c r="AD2920" s="133"/>
      <c r="AE2920" s="133"/>
      <c r="AF2920" s="133"/>
      <c r="AG2920" s="133"/>
      <c r="AH2920" s="133"/>
      <c r="AI2920" s="133"/>
      <c r="AJ2920" s="133"/>
      <c r="AK2920" s="133"/>
      <c r="AL2920" s="133"/>
      <c r="AM2920" s="133"/>
      <c r="AN2920" s="133"/>
      <c r="AO2920" s="133"/>
      <c r="AP2920" s="133"/>
      <c r="AQ2920" s="133"/>
      <c r="AR2920" s="133"/>
      <c r="AS2920" s="133"/>
      <c r="AT2920" s="133"/>
      <c r="AU2920" s="133"/>
      <c r="AV2920" s="133"/>
      <c r="AW2920" s="133"/>
      <c r="AX2920" s="133"/>
      <c r="AY2920" s="133"/>
      <c r="AZ2920" s="133"/>
      <c r="BA2920" s="133"/>
      <c r="BB2920" s="133"/>
      <c r="BC2920" s="133"/>
      <c r="BD2920" s="133"/>
      <c r="BE2920" s="133"/>
      <c r="BF2920" s="133"/>
      <c r="BG2920" s="133"/>
      <c r="BH2920" s="133"/>
      <c r="BI2920" s="133"/>
      <c r="BJ2920" s="133"/>
      <c r="BK2920" s="133"/>
      <c r="BL2920" s="133"/>
      <c r="BM2920" s="133"/>
      <c r="BN2920" s="133"/>
      <c r="BO2920" s="133"/>
      <c r="BP2920" s="133"/>
      <c r="BQ2920" s="133"/>
    </row>
    <row r="2921">
      <c r="A2921" s="194" t="s">
        <v>7716</v>
      </c>
      <c r="B2921" s="125"/>
      <c r="C2921" s="126">
        <v>43804.0</v>
      </c>
      <c r="D2921" s="133"/>
      <c r="E2921" s="124" t="s">
        <v>41</v>
      </c>
      <c r="F2921" s="198">
        <v>1.0</v>
      </c>
      <c r="G2921" s="124" t="s">
        <v>32</v>
      </c>
      <c r="H2921" s="303">
        <v>1.0</v>
      </c>
      <c r="I2921" s="124" t="s">
        <v>33</v>
      </c>
      <c r="J2921" s="124" t="s">
        <v>111</v>
      </c>
      <c r="K2921" s="133"/>
      <c r="L2921" s="124" t="s">
        <v>119</v>
      </c>
      <c r="M2921" s="242" t="s">
        <v>7717</v>
      </c>
      <c r="N2921" s="233"/>
      <c r="O2921" s="173" t="str">
        <f>hyperlink("https://bad-boys.us/?q=ED-CA/2:19-cr-00216", "ED-CA 2:19-cr-00216")</f>
        <v>ED-CA 2:19-cr-00216</v>
      </c>
      <c r="P2921" s="133"/>
      <c r="Q2921" s="124">
        <v>1.0</v>
      </c>
      <c r="R2921" s="128"/>
      <c r="S2921" s="37"/>
      <c r="T2921" s="38"/>
      <c r="U2921" s="38" t="b">
        <f>countif(A$4:A4658, A2921)&gt;1</f>
        <v>0</v>
      </c>
      <c r="V2921" s="124" t="s">
        <v>33</v>
      </c>
      <c r="W2921" s="138"/>
      <c r="X2921" s="138"/>
      <c r="Y2921" s="233"/>
      <c r="Z2921" s="133"/>
      <c r="AA2921" s="133"/>
      <c r="AB2921" s="133"/>
      <c r="AC2921" s="133"/>
      <c r="AD2921" s="133"/>
      <c r="AE2921" s="133"/>
      <c r="AF2921" s="133"/>
      <c r="AG2921" s="133"/>
      <c r="AH2921" s="133"/>
      <c r="AI2921" s="133"/>
      <c r="AJ2921" s="133"/>
      <c r="AK2921" s="133"/>
      <c r="AL2921" s="133"/>
      <c r="AM2921" s="133"/>
      <c r="AN2921" s="133"/>
      <c r="AO2921" s="133"/>
      <c r="AP2921" s="133"/>
      <c r="AQ2921" s="133"/>
      <c r="AR2921" s="133"/>
      <c r="AS2921" s="133"/>
      <c r="AT2921" s="133"/>
      <c r="AU2921" s="133"/>
      <c r="AV2921" s="133"/>
      <c r="AW2921" s="133"/>
      <c r="AX2921" s="133"/>
      <c r="AY2921" s="133"/>
      <c r="AZ2921" s="133"/>
      <c r="BA2921" s="133"/>
      <c r="BB2921" s="133"/>
      <c r="BC2921" s="133"/>
      <c r="BD2921" s="133"/>
      <c r="BE2921" s="133"/>
      <c r="BF2921" s="133"/>
      <c r="BG2921" s="133"/>
      <c r="BH2921" s="133"/>
      <c r="BI2921" s="133"/>
      <c r="BJ2921" s="133"/>
      <c r="BK2921" s="133"/>
      <c r="BL2921" s="133"/>
      <c r="BM2921" s="133"/>
      <c r="BN2921" s="133"/>
      <c r="BO2921" s="133"/>
      <c r="BP2921" s="133"/>
      <c r="BQ2921" s="133"/>
    </row>
    <row r="2922">
      <c r="A2922" s="194" t="s">
        <v>7718</v>
      </c>
      <c r="B2922" s="125"/>
      <c r="C2922" s="126">
        <v>43804.0</v>
      </c>
      <c r="D2922" s="133"/>
      <c r="E2922" s="124" t="s">
        <v>41</v>
      </c>
      <c r="F2922" s="198">
        <v>1.0</v>
      </c>
      <c r="G2922" s="124" t="s">
        <v>32</v>
      </c>
      <c r="H2922" s="303">
        <v>1.0</v>
      </c>
      <c r="I2922" s="124" t="s">
        <v>33</v>
      </c>
      <c r="J2922" s="124" t="s">
        <v>47</v>
      </c>
      <c r="K2922" s="133"/>
      <c r="L2922" s="124" t="s">
        <v>119</v>
      </c>
      <c r="M2922" s="242" t="s">
        <v>7719</v>
      </c>
      <c r="N2922" s="233"/>
      <c r="O2922" s="173" t="str">
        <f>hyperlink("https://bad-boys.us/?q=SD-FL/0:19-cr-60360", "SD-FL 0:19-cr-60360")</f>
        <v>SD-FL 0:19-cr-60360</v>
      </c>
      <c r="P2922" s="133"/>
      <c r="Q2922" s="124">
        <v>1.0</v>
      </c>
      <c r="R2922" s="128"/>
      <c r="S2922" s="37"/>
      <c r="T2922" s="38"/>
      <c r="U2922" s="38"/>
      <c r="V2922" s="124" t="s">
        <v>33</v>
      </c>
      <c r="W2922" s="233"/>
      <c r="X2922" s="233"/>
      <c r="Y2922" s="233"/>
      <c r="Z2922" s="133"/>
      <c r="AA2922" s="133"/>
      <c r="AB2922" s="133"/>
      <c r="AC2922" s="133"/>
      <c r="AD2922" s="133"/>
      <c r="AE2922" s="133"/>
      <c r="AF2922" s="133"/>
      <c r="AG2922" s="133"/>
      <c r="AH2922" s="133"/>
      <c r="AI2922" s="133"/>
      <c r="AJ2922" s="133"/>
      <c r="AK2922" s="133"/>
      <c r="AL2922" s="133"/>
      <c r="AM2922" s="133"/>
      <c r="AN2922" s="133"/>
      <c r="AO2922" s="133"/>
      <c r="AP2922" s="133"/>
      <c r="AQ2922" s="133"/>
      <c r="AR2922" s="133"/>
      <c r="AS2922" s="133"/>
      <c r="AT2922" s="133"/>
      <c r="AU2922" s="133"/>
      <c r="AV2922" s="133"/>
      <c r="AW2922" s="133"/>
      <c r="AX2922" s="133"/>
      <c r="AY2922" s="133"/>
      <c r="AZ2922" s="133"/>
      <c r="BA2922" s="133"/>
      <c r="BB2922" s="133"/>
      <c r="BC2922" s="133"/>
      <c r="BD2922" s="133"/>
      <c r="BE2922" s="133"/>
      <c r="BF2922" s="133"/>
      <c r="BG2922" s="133"/>
      <c r="BH2922" s="133"/>
      <c r="BI2922" s="133"/>
      <c r="BJ2922" s="133"/>
      <c r="BK2922" s="133"/>
      <c r="BL2922" s="133"/>
      <c r="BM2922" s="133"/>
      <c r="BN2922" s="133"/>
      <c r="BO2922" s="133"/>
      <c r="BP2922" s="133"/>
      <c r="BQ2922" s="133"/>
    </row>
    <row r="2923">
      <c r="A2923" s="194" t="s">
        <v>7720</v>
      </c>
      <c r="B2923" s="125"/>
      <c r="C2923" s="126">
        <v>43804.0</v>
      </c>
      <c r="D2923" s="133"/>
      <c r="E2923" s="124" t="s">
        <v>31</v>
      </c>
      <c r="F2923" s="198">
        <v>1.0</v>
      </c>
      <c r="G2923" s="124" t="s">
        <v>32</v>
      </c>
      <c r="H2923" s="303">
        <v>1.0</v>
      </c>
      <c r="I2923" s="124" t="s">
        <v>33</v>
      </c>
      <c r="J2923" s="124" t="s">
        <v>179</v>
      </c>
      <c r="K2923" s="133"/>
      <c r="L2923" s="124" t="s">
        <v>76</v>
      </c>
      <c r="M2923" s="242" t="s">
        <v>7721</v>
      </c>
      <c r="N2923" s="219" t="s">
        <v>7722</v>
      </c>
      <c r="O2923" s="124"/>
      <c r="P2923" s="133"/>
      <c r="Q2923" s="124"/>
      <c r="R2923" s="128"/>
      <c r="S2923" s="37"/>
      <c r="T2923" s="38"/>
      <c r="U2923" s="38"/>
      <c r="V2923" s="124" t="s">
        <v>33</v>
      </c>
      <c r="W2923" s="219" t="s">
        <v>7723</v>
      </c>
      <c r="X2923" s="219" t="s">
        <v>7724</v>
      </c>
      <c r="Y2923" s="233"/>
      <c r="Z2923" s="133"/>
      <c r="AA2923" s="133"/>
      <c r="AB2923" s="133"/>
      <c r="AC2923" s="133"/>
      <c r="AD2923" s="133"/>
      <c r="AE2923" s="133"/>
      <c r="AF2923" s="133"/>
      <c r="AG2923" s="133"/>
      <c r="AH2923" s="133"/>
      <c r="AI2923" s="133"/>
      <c r="AJ2923" s="133"/>
      <c r="AK2923" s="133"/>
      <c r="AL2923" s="133"/>
      <c r="AM2923" s="133"/>
      <c r="AN2923" s="133"/>
      <c r="AO2923" s="133"/>
      <c r="AP2923" s="133"/>
      <c r="AQ2923" s="133"/>
      <c r="AR2923" s="133"/>
      <c r="AS2923" s="133"/>
      <c r="AT2923" s="133"/>
      <c r="AU2923" s="133"/>
      <c r="AV2923" s="133"/>
      <c r="AW2923" s="133"/>
      <c r="AX2923" s="133"/>
      <c r="AY2923" s="133"/>
      <c r="AZ2923" s="133"/>
      <c r="BA2923" s="133"/>
      <c r="BB2923" s="133"/>
      <c r="BC2923" s="133"/>
      <c r="BD2923" s="133"/>
      <c r="BE2923" s="133"/>
      <c r="BF2923" s="133"/>
      <c r="BG2923" s="133"/>
      <c r="BH2923" s="133"/>
      <c r="BI2923" s="133"/>
      <c r="BJ2923" s="133"/>
      <c r="BK2923" s="133"/>
      <c r="BL2923" s="133"/>
      <c r="BM2923" s="133"/>
      <c r="BN2923" s="133"/>
      <c r="BO2923" s="133"/>
      <c r="BP2923" s="133"/>
      <c r="BQ2923" s="133"/>
    </row>
    <row r="2924">
      <c r="A2924" s="194" t="s">
        <v>7725</v>
      </c>
      <c r="B2924" s="125"/>
      <c r="C2924" s="126">
        <v>43804.0</v>
      </c>
      <c r="D2924" s="133"/>
      <c r="E2924" s="124" t="s">
        <v>31</v>
      </c>
      <c r="F2924" s="198">
        <v>1.0</v>
      </c>
      <c r="G2924" s="124" t="s">
        <v>32</v>
      </c>
      <c r="H2924" s="303">
        <v>1.0</v>
      </c>
      <c r="I2924" s="124" t="s">
        <v>33</v>
      </c>
      <c r="J2924" s="124" t="s">
        <v>93</v>
      </c>
      <c r="K2924" s="133"/>
      <c r="L2924" s="124" t="s">
        <v>76</v>
      </c>
      <c r="M2924" s="242" t="s">
        <v>7726</v>
      </c>
      <c r="N2924" s="305" t="s">
        <v>7727</v>
      </c>
      <c r="O2924" s="124"/>
      <c r="P2924" s="133"/>
      <c r="Q2924" s="124"/>
      <c r="R2924" s="128"/>
      <c r="S2924" s="37"/>
      <c r="T2924" s="38"/>
      <c r="U2924" s="38" t="b">
        <f>countif(A$4:A4658, A2924)&gt;1</f>
        <v>0</v>
      </c>
      <c r="V2924" s="124" t="s">
        <v>33</v>
      </c>
      <c r="W2924" s="219" t="s">
        <v>7728</v>
      </c>
      <c r="X2924" s="219" t="s">
        <v>7729</v>
      </c>
      <c r="Y2924" s="233"/>
      <c r="Z2924" s="133"/>
      <c r="AA2924" s="133"/>
      <c r="AB2924" s="133"/>
      <c r="AC2924" s="133"/>
      <c r="AD2924" s="133"/>
      <c r="AE2924" s="133"/>
      <c r="AF2924" s="133"/>
      <c r="AG2924" s="133"/>
      <c r="AH2924" s="133"/>
      <c r="AI2924" s="133"/>
      <c r="AJ2924" s="133"/>
      <c r="AK2924" s="133"/>
      <c r="AL2924" s="133"/>
      <c r="AM2924" s="133"/>
      <c r="AN2924" s="133"/>
      <c r="AO2924" s="133"/>
      <c r="AP2924" s="133"/>
      <c r="AQ2924" s="133"/>
      <c r="AR2924" s="133"/>
      <c r="AS2924" s="133"/>
      <c r="AT2924" s="133"/>
      <c r="AU2924" s="133"/>
      <c r="AV2924" s="133"/>
      <c r="AW2924" s="133"/>
      <c r="AX2924" s="133"/>
      <c r="AY2924" s="133"/>
      <c r="AZ2924" s="133"/>
      <c r="BA2924" s="133"/>
      <c r="BB2924" s="133"/>
      <c r="BC2924" s="133"/>
      <c r="BD2924" s="133"/>
      <c r="BE2924" s="133"/>
      <c r="BF2924" s="133"/>
      <c r="BG2924" s="133"/>
      <c r="BH2924" s="133"/>
      <c r="BI2924" s="133"/>
      <c r="BJ2924" s="133"/>
      <c r="BK2924" s="133"/>
      <c r="BL2924" s="133"/>
      <c r="BM2924" s="133"/>
      <c r="BN2924" s="133"/>
      <c r="BO2924" s="133"/>
      <c r="BP2924" s="133"/>
      <c r="BQ2924" s="133"/>
    </row>
    <row r="2925">
      <c r="A2925" s="194" t="s">
        <v>7730</v>
      </c>
      <c r="B2925" s="125"/>
      <c r="C2925" s="126">
        <v>43804.0</v>
      </c>
      <c r="D2925" s="133"/>
      <c r="E2925" s="124" t="s">
        <v>41</v>
      </c>
      <c r="F2925" s="198">
        <v>1.0</v>
      </c>
      <c r="G2925" s="124" t="s">
        <v>32</v>
      </c>
      <c r="H2925" s="303">
        <v>1.0</v>
      </c>
      <c r="I2925" s="124" t="s">
        <v>33</v>
      </c>
      <c r="J2925" s="124" t="s">
        <v>460</v>
      </c>
      <c r="K2925" s="133"/>
      <c r="L2925" s="124" t="s">
        <v>119</v>
      </c>
      <c r="M2925" s="242" t="s">
        <v>7731</v>
      </c>
      <c r="N2925" s="233"/>
      <c r="O2925" s="124"/>
      <c r="P2925" s="133"/>
      <c r="Q2925" s="124">
        <v>1.0</v>
      </c>
      <c r="R2925" s="128"/>
      <c r="S2925" s="37"/>
      <c r="T2925" s="38"/>
      <c r="U2925" s="38"/>
      <c r="V2925" s="124" t="s">
        <v>33</v>
      </c>
      <c r="W2925" s="233"/>
      <c r="X2925" s="233"/>
      <c r="Y2925" s="233"/>
      <c r="Z2925" s="133"/>
      <c r="AA2925" s="133"/>
      <c r="AB2925" s="133"/>
      <c r="AC2925" s="133"/>
      <c r="AD2925" s="133"/>
      <c r="AE2925" s="133"/>
      <c r="AF2925" s="133"/>
      <c r="AG2925" s="133"/>
      <c r="AH2925" s="133"/>
      <c r="AI2925" s="133"/>
      <c r="AJ2925" s="133"/>
      <c r="AK2925" s="133"/>
      <c r="AL2925" s="133"/>
      <c r="AM2925" s="133"/>
      <c r="AN2925" s="133"/>
      <c r="AO2925" s="133"/>
      <c r="AP2925" s="133"/>
      <c r="AQ2925" s="133"/>
      <c r="AR2925" s="133"/>
      <c r="AS2925" s="133"/>
      <c r="AT2925" s="133"/>
      <c r="AU2925" s="133"/>
      <c r="AV2925" s="133"/>
      <c r="AW2925" s="133"/>
      <c r="AX2925" s="133"/>
      <c r="AY2925" s="133"/>
      <c r="AZ2925" s="133"/>
      <c r="BA2925" s="133"/>
      <c r="BB2925" s="133"/>
      <c r="BC2925" s="133"/>
      <c r="BD2925" s="133"/>
      <c r="BE2925" s="133"/>
      <c r="BF2925" s="133"/>
      <c r="BG2925" s="133"/>
      <c r="BH2925" s="133"/>
      <c r="BI2925" s="133"/>
      <c r="BJ2925" s="133"/>
      <c r="BK2925" s="133"/>
      <c r="BL2925" s="133"/>
      <c r="BM2925" s="133"/>
      <c r="BN2925" s="133"/>
      <c r="BO2925" s="133"/>
      <c r="BP2925" s="133"/>
      <c r="BQ2925" s="133"/>
    </row>
    <row r="2926">
      <c r="A2926" s="194" t="s">
        <v>7732</v>
      </c>
      <c r="B2926" s="125"/>
      <c r="C2926" s="126">
        <v>43789.0</v>
      </c>
      <c r="D2926" s="133"/>
      <c r="E2926" s="124" t="s">
        <v>41</v>
      </c>
      <c r="F2926" s="198">
        <v>1.0</v>
      </c>
      <c r="G2926" s="124" t="s">
        <v>32</v>
      </c>
      <c r="H2926" s="303">
        <v>1.0</v>
      </c>
      <c r="I2926" s="124" t="s">
        <v>33</v>
      </c>
      <c r="J2926" s="124" t="s">
        <v>460</v>
      </c>
      <c r="K2926" s="133"/>
      <c r="L2926" s="124" t="s">
        <v>119</v>
      </c>
      <c r="M2926" s="242" t="s">
        <v>7733</v>
      </c>
      <c r="N2926" s="233"/>
      <c r="O2926" s="124"/>
      <c r="P2926" s="133"/>
      <c r="Q2926" s="124">
        <v>1.0</v>
      </c>
      <c r="R2926" s="128"/>
      <c r="S2926" s="37"/>
      <c r="T2926" s="38"/>
      <c r="U2926" s="38"/>
      <c r="V2926" s="124" t="s">
        <v>33</v>
      </c>
      <c r="W2926" s="138"/>
      <c r="X2926" s="138"/>
      <c r="Y2926" s="233"/>
      <c r="Z2926" s="133"/>
      <c r="AA2926" s="133"/>
      <c r="AB2926" s="133"/>
      <c r="AC2926" s="133"/>
      <c r="AD2926" s="133"/>
      <c r="AE2926" s="133"/>
      <c r="AF2926" s="133"/>
      <c r="AG2926" s="133"/>
      <c r="AH2926" s="133"/>
      <c r="AI2926" s="133"/>
      <c r="AJ2926" s="133"/>
      <c r="AK2926" s="133"/>
      <c r="AL2926" s="133"/>
      <c r="AM2926" s="133"/>
      <c r="AN2926" s="133"/>
      <c r="AO2926" s="133"/>
      <c r="AP2926" s="133"/>
      <c r="AQ2926" s="133"/>
      <c r="AR2926" s="133"/>
      <c r="AS2926" s="133"/>
      <c r="AT2926" s="133"/>
      <c r="AU2926" s="133"/>
      <c r="AV2926" s="133"/>
      <c r="AW2926" s="133"/>
      <c r="AX2926" s="133"/>
      <c r="AY2926" s="133"/>
      <c r="AZ2926" s="133"/>
      <c r="BA2926" s="133"/>
      <c r="BB2926" s="133"/>
      <c r="BC2926" s="133"/>
      <c r="BD2926" s="133"/>
      <c r="BE2926" s="133"/>
      <c r="BF2926" s="133"/>
      <c r="BG2926" s="133"/>
      <c r="BH2926" s="133"/>
      <c r="BI2926" s="133"/>
      <c r="BJ2926" s="133"/>
      <c r="BK2926" s="133"/>
      <c r="BL2926" s="133"/>
      <c r="BM2926" s="133"/>
      <c r="BN2926" s="133"/>
      <c r="BO2926" s="133"/>
      <c r="BP2926" s="133"/>
      <c r="BQ2926" s="133"/>
    </row>
    <row r="2927">
      <c r="A2927" s="194" t="s">
        <v>7734</v>
      </c>
      <c r="B2927" s="125"/>
      <c r="C2927" s="126">
        <v>43807.0</v>
      </c>
      <c r="D2927" s="133"/>
      <c r="E2927" s="124" t="s">
        <v>41</v>
      </c>
      <c r="F2927" s="198">
        <v>1.0</v>
      </c>
      <c r="G2927" s="124" t="s">
        <v>32</v>
      </c>
      <c r="H2927" s="303">
        <v>1.0</v>
      </c>
      <c r="I2927" s="124" t="s">
        <v>33</v>
      </c>
      <c r="J2927" s="124" t="s">
        <v>460</v>
      </c>
      <c r="K2927" s="133"/>
      <c r="L2927" s="124" t="s">
        <v>119</v>
      </c>
      <c r="M2927" s="242" t="s">
        <v>7735</v>
      </c>
      <c r="N2927" s="233"/>
      <c r="O2927" s="124"/>
      <c r="P2927" s="133"/>
      <c r="Q2927" s="124">
        <v>1.0</v>
      </c>
      <c r="R2927" s="128"/>
      <c r="S2927" s="37"/>
      <c r="T2927" s="38"/>
      <c r="U2927" s="38"/>
      <c r="V2927" s="124" t="s">
        <v>33</v>
      </c>
      <c r="W2927" s="233"/>
      <c r="X2927" s="233"/>
      <c r="Y2927" s="233"/>
      <c r="Z2927" s="133"/>
      <c r="AA2927" s="133"/>
      <c r="AB2927" s="133"/>
      <c r="AC2927" s="133"/>
      <c r="AD2927" s="133"/>
      <c r="AE2927" s="133"/>
      <c r="AF2927" s="133"/>
      <c r="AG2927" s="133"/>
      <c r="AH2927" s="133"/>
      <c r="AI2927" s="133"/>
      <c r="AJ2927" s="133"/>
      <c r="AK2927" s="133"/>
      <c r="AL2927" s="133"/>
      <c r="AM2927" s="133"/>
      <c r="AN2927" s="133"/>
      <c r="AO2927" s="133"/>
      <c r="AP2927" s="133"/>
      <c r="AQ2927" s="133"/>
      <c r="AR2927" s="133"/>
      <c r="AS2927" s="133"/>
      <c r="AT2927" s="133"/>
      <c r="AU2927" s="133"/>
      <c r="AV2927" s="133"/>
      <c r="AW2927" s="133"/>
      <c r="AX2927" s="133"/>
      <c r="AY2927" s="133"/>
      <c r="AZ2927" s="133"/>
      <c r="BA2927" s="133"/>
      <c r="BB2927" s="133"/>
      <c r="BC2927" s="133"/>
      <c r="BD2927" s="133"/>
      <c r="BE2927" s="133"/>
      <c r="BF2927" s="133"/>
      <c r="BG2927" s="133"/>
      <c r="BH2927" s="133"/>
      <c r="BI2927" s="133"/>
      <c r="BJ2927" s="133"/>
      <c r="BK2927" s="133"/>
      <c r="BL2927" s="133"/>
      <c r="BM2927" s="133"/>
      <c r="BN2927" s="133"/>
      <c r="BO2927" s="133"/>
      <c r="BP2927" s="133"/>
      <c r="BQ2927" s="133"/>
    </row>
    <row r="2928">
      <c r="A2928" s="194" t="s">
        <v>7736</v>
      </c>
      <c r="B2928" s="125"/>
      <c r="C2928" s="126">
        <v>43809.0</v>
      </c>
      <c r="D2928" s="133"/>
      <c r="E2928" s="124" t="s">
        <v>41</v>
      </c>
      <c r="F2928" s="198">
        <v>1.0</v>
      </c>
      <c r="G2928" s="124" t="s">
        <v>32</v>
      </c>
      <c r="H2928" s="303">
        <v>1.0</v>
      </c>
      <c r="I2928" s="124" t="s">
        <v>33</v>
      </c>
      <c r="J2928" s="124" t="s">
        <v>7737</v>
      </c>
      <c r="K2928" s="133"/>
      <c r="L2928" s="124" t="s">
        <v>7738</v>
      </c>
      <c r="M2928" s="242" t="s">
        <v>7739</v>
      </c>
      <c r="N2928" s="233"/>
      <c r="O2928" s="124"/>
      <c r="P2928" s="133"/>
      <c r="Q2928" s="124"/>
      <c r="R2928" s="128"/>
      <c r="S2928" s="37"/>
      <c r="T2928" s="38"/>
      <c r="U2928" s="38" t="b">
        <f>countif(A$4:A4658, A2928)&gt;1</f>
        <v>0</v>
      </c>
      <c r="V2928" s="124" t="s">
        <v>33</v>
      </c>
      <c r="W2928" s="233"/>
      <c r="X2928" s="233"/>
      <c r="Y2928" s="233"/>
      <c r="Z2928" s="133"/>
      <c r="AA2928" s="133"/>
      <c r="AB2928" s="133"/>
      <c r="AC2928" s="133"/>
      <c r="AD2928" s="133"/>
      <c r="AE2928" s="133"/>
      <c r="AF2928" s="133"/>
      <c r="AG2928" s="133"/>
      <c r="AH2928" s="133"/>
      <c r="AI2928" s="133"/>
      <c r="AJ2928" s="133"/>
      <c r="AK2928" s="133"/>
      <c r="AL2928" s="133"/>
      <c r="AM2928" s="133"/>
      <c r="AN2928" s="133"/>
      <c r="AO2928" s="133"/>
      <c r="AP2928" s="133"/>
      <c r="AQ2928" s="133"/>
      <c r="AR2928" s="133"/>
      <c r="AS2928" s="133"/>
      <c r="AT2928" s="133"/>
      <c r="AU2928" s="133"/>
      <c r="AV2928" s="133"/>
      <c r="AW2928" s="133"/>
      <c r="AX2928" s="133"/>
      <c r="AY2928" s="133"/>
      <c r="AZ2928" s="133"/>
      <c r="BA2928" s="133"/>
      <c r="BB2928" s="133"/>
      <c r="BC2928" s="133"/>
      <c r="BD2928" s="133"/>
      <c r="BE2928" s="133"/>
      <c r="BF2928" s="133"/>
      <c r="BG2928" s="133"/>
      <c r="BH2928" s="133"/>
      <c r="BI2928" s="133"/>
      <c r="BJ2928" s="133"/>
      <c r="BK2928" s="133"/>
      <c r="BL2928" s="133"/>
      <c r="BM2928" s="133"/>
      <c r="BN2928" s="133"/>
      <c r="BO2928" s="133"/>
      <c r="BP2928" s="133"/>
      <c r="BQ2928" s="133"/>
    </row>
    <row r="2929">
      <c r="A2929" s="194" t="s">
        <v>7740</v>
      </c>
      <c r="B2929" s="125"/>
      <c r="C2929" s="126">
        <v>43809.0</v>
      </c>
      <c r="D2929" s="133"/>
      <c r="E2929" s="124" t="s">
        <v>41</v>
      </c>
      <c r="F2929" s="198">
        <v>1.0</v>
      </c>
      <c r="G2929" s="124" t="s">
        <v>32</v>
      </c>
      <c r="H2929" s="303">
        <v>1.0</v>
      </c>
      <c r="I2929" s="124" t="s">
        <v>33</v>
      </c>
      <c r="J2929" s="124" t="s">
        <v>147</v>
      </c>
      <c r="K2929" s="133"/>
      <c r="L2929" s="124" t="s">
        <v>119</v>
      </c>
      <c r="M2929" s="305" t="s">
        <v>7741</v>
      </c>
      <c r="N2929" s="233"/>
      <c r="O2929" s="124"/>
      <c r="P2929" s="133"/>
      <c r="Q2929" s="124"/>
      <c r="R2929" s="128"/>
      <c r="S2929" s="37"/>
      <c r="T2929" s="38"/>
      <c r="U2929" s="38"/>
      <c r="V2929" s="124" t="s">
        <v>3919</v>
      </c>
      <c r="W2929" s="233"/>
      <c r="X2929" s="233"/>
      <c r="Y2929" s="233"/>
      <c r="Z2929" s="133"/>
      <c r="AA2929" s="133"/>
      <c r="AB2929" s="133"/>
      <c r="AC2929" s="133"/>
      <c r="AD2929" s="133"/>
      <c r="AE2929" s="133"/>
      <c r="AF2929" s="133"/>
      <c r="AG2929" s="133"/>
      <c r="AH2929" s="133"/>
      <c r="AI2929" s="133"/>
      <c r="AJ2929" s="133"/>
      <c r="AK2929" s="133"/>
      <c r="AL2929" s="133"/>
      <c r="AM2929" s="133"/>
      <c r="AN2929" s="133"/>
      <c r="AO2929" s="133"/>
      <c r="AP2929" s="133"/>
      <c r="AQ2929" s="133"/>
      <c r="AR2929" s="133"/>
      <c r="AS2929" s="133"/>
      <c r="AT2929" s="133"/>
      <c r="AU2929" s="133"/>
      <c r="AV2929" s="133"/>
      <c r="AW2929" s="133"/>
      <c r="AX2929" s="133"/>
      <c r="AY2929" s="133"/>
      <c r="AZ2929" s="133"/>
      <c r="BA2929" s="133"/>
      <c r="BB2929" s="133"/>
      <c r="BC2929" s="133"/>
      <c r="BD2929" s="133"/>
      <c r="BE2929" s="133"/>
      <c r="BF2929" s="133"/>
      <c r="BG2929" s="133"/>
      <c r="BH2929" s="133"/>
      <c r="BI2929" s="133"/>
      <c r="BJ2929" s="133"/>
      <c r="BK2929" s="133"/>
      <c r="BL2929" s="133"/>
      <c r="BM2929" s="133"/>
      <c r="BN2929" s="133"/>
      <c r="BO2929" s="133"/>
      <c r="BP2929" s="133"/>
      <c r="BQ2929" s="133"/>
    </row>
    <row r="2930">
      <c r="A2930" s="194" t="s">
        <v>7742</v>
      </c>
      <c r="B2930" s="125"/>
      <c r="C2930" s="126">
        <v>43810.0</v>
      </c>
      <c r="D2930" s="133"/>
      <c r="E2930" s="124" t="s">
        <v>41</v>
      </c>
      <c r="F2930" s="198">
        <v>1.0</v>
      </c>
      <c r="G2930" s="124" t="s">
        <v>32</v>
      </c>
      <c r="H2930" s="303">
        <v>1.0</v>
      </c>
      <c r="I2930" s="124" t="s">
        <v>33</v>
      </c>
      <c r="J2930" s="124" t="s">
        <v>47</v>
      </c>
      <c r="K2930" s="133"/>
      <c r="L2930" s="124" t="s">
        <v>119</v>
      </c>
      <c r="M2930" s="305" t="s">
        <v>7743</v>
      </c>
      <c r="N2930" s="233"/>
      <c r="O2930" s="124"/>
      <c r="P2930" s="133"/>
      <c r="Q2930" s="124">
        <v>1.0</v>
      </c>
      <c r="R2930" s="128"/>
      <c r="S2930" s="37"/>
      <c r="T2930" s="38"/>
      <c r="U2930" s="38"/>
      <c r="V2930" s="124" t="s">
        <v>33</v>
      </c>
      <c r="W2930" s="233"/>
      <c r="X2930" s="233"/>
      <c r="Y2930" s="233"/>
      <c r="Z2930" s="133"/>
      <c r="AA2930" s="133"/>
      <c r="AB2930" s="133"/>
      <c r="AC2930" s="133"/>
      <c r="AD2930" s="133"/>
      <c r="AE2930" s="133"/>
      <c r="AF2930" s="133"/>
      <c r="AG2930" s="133"/>
      <c r="AH2930" s="133"/>
      <c r="AI2930" s="133"/>
      <c r="AJ2930" s="133"/>
      <c r="AK2930" s="133"/>
      <c r="AL2930" s="133"/>
      <c r="AM2930" s="133"/>
      <c r="AN2930" s="133"/>
      <c r="AO2930" s="133"/>
      <c r="AP2930" s="133"/>
      <c r="AQ2930" s="133"/>
      <c r="AR2930" s="133"/>
      <c r="AS2930" s="133"/>
      <c r="AT2930" s="133"/>
      <c r="AU2930" s="133"/>
      <c r="AV2930" s="133"/>
      <c r="AW2930" s="133"/>
      <c r="AX2930" s="133"/>
      <c r="AY2930" s="133"/>
      <c r="AZ2930" s="133"/>
      <c r="BA2930" s="133"/>
      <c r="BB2930" s="133"/>
      <c r="BC2930" s="133"/>
      <c r="BD2930" s="133"/>
      <c r="BE2930" s="133"/>
      <c r="BF2930" s="133"/>
      <c r="BG2930" s="133"/>
      <c r="BH2930" s="133"/>
      <c r="BI2930" s="133"/>
      <c r="BJ2930" s="133"/>
      <c r="BK2930" s="133"/>
      <c r="BL2930" s="133"/>
      <c r="BM2930" s="133"/>
      <c r="BN2930" s="133"/>
      <c r="BO2930" s="133"/>
      <c r="BP2930" s="133"/>
      <c r="BQ2930" s="133"/>
    </row>
    <row r="2931">
      <c r="A2931" s="194" t="s">
        <v>7744</v>
      </c>
      <c r="B2931" s="125"/>
      <c r="C2931" s="126">
        <v>43810.0</v>
      </c>
      <c r="D2931" s="133"/>
      <c r="E2931" s="124" t="s">
        <v>41</v>
      </c>
      <c r="F2931" s="198">
        <v>1.0</v>
      </c>
      <c r="G2931" s="124">
        <v>1.0</v>
      </c>
      <c r="H2931" s="303">
        <v>1.0</v>
      </c>
      <c r="I2931" s="124" t="s">
        <v>33</v>
      </c>
      <c r="J2931" s="124" t="s">
        <v>147</v>
      </c>
      <c r="K2931" s="133"/>
      <c r="L2931" s="124" t="s">
        <v>7738</v>
      </c>
      <c r="M2931" s="305" t="s">
        <v>7745</v>
      </c>
      <c r="N2931" s="233"/>
      <c r="O2931" s="124"/>
      <c r="P2931" s="133"/>
      <c r="Q2931" s="124"/>
      <c r="R2931" s="128"/>
      <c r="S2931" s="37"/>
      <c r="T2931" s="38"/>
      <c r="U2931" s="38"/>
      <c r="V2931" s="124" t="s">
        <v>33</v>
      </c>
      <c r="W2931" s="233"/>
      <c r="X2931" s="233"/>
      <c r="Y2931" s="233"/>
      <c r="Z2931" s="133"/>
      <c r="AA2931" s="133"/>
      <c r="AB2931" s="133"/>
      <c r="AC2931" s="133"/>
      <c r="AD2931" s="133"/>
      <c r="AE2931" s="133"/>
      <c r="AF2931" s="133"/>
      <c r="AG2931" s="133"/>
      <c r="AH2931" s="133"/>
      <c r="AI2931" s="133"/>
      <c r="AJ2931" s="133"/>
      <c r="AK2931" s="133"/>
      <c r="AL2931" s="133"/>
      <c r="AM2931" s="133"/>
      <c r="AN2931" s="133"/>
      <c r="AO2931" s="133"/>
      <c r="AP2931" s="133"/>
      <c r="AQ2931" s="133"/>
      <c r="AR2931" s="133"/>
      <c r="AS2931" s="133"/>
      <c r="AT2931" s="133"/>
      <c r="AU2931" s="133"/>
      <c r="AV2931" s="133"/>
      <c r="AW2931" s="133"/>
      <c r="AX2931" s="133"/>
      <c r="AY2931" s="133"/>
      <c r="AZ2931" s="133"/>
      <c r="BA2931" s="133"/>
      <c r="BB2931" s="133"/>
      <c r="BC2931" s="133"/>
      <c r="BD2931" s="133"/>
      <c r="BE2931" s="133"/>
      <c r="BF2931" s="133"/>
      <c r="BG2931" s="133"/>
      <c r="BH2931" s="133"/>
      <c r="BI2931" s="133"/>
      <c r="BJ2931" s="133"/>
      <c r="BK2931" s="133"/>
      <c r="BL2931" s="133"/>
      <c r="BM2931" s="133"/>
      <c r="BN2931" s="133"/>
      <c r="BO2931" s="133"/>
      <c r="BP2931" s="133"/>
      <c r="BQ2931" s="133"/>
    </row>
    <row r="2932">
      <c r="A2932" s="194" t="s">
        <v>7746</v>
      </c>
      <c r="B2932" s="125"/>
      <c r="C2932" s="126">
        <v>43810.0</v>
      </c>
      <c r="D2932" s="133"/>
      <c r="E2932" s="124" t="s">
        <v>41</v>
      </c>
      <c r="F2932" s="198">
        <v>1.0</v>
      </c>
      <c r="G2932" s="124" t="s">
        <v>32</v>
      </c>
      <c r="H2932" s="303">
        <v>1.0</v>
      </c>
      <c r="I2932" s="124" t="s">
        <v>33</v>
      </c>
      <c r="J2932" s="124" t="s">
        <v>147</v>
      </c>
      <c r="K2932" s="133"/>
      <c r="L2932" s="124" t="s">
        <v>69</v>
      </c>
      <c r="M2932" s="305" t="s">
        <v>7747</v>
      </c>
      <c r="N2932" s="233"/>
      <c r="O2932" s="124"/>
      <c r="P2932" s="133"/>
      <c r="Q2932" s="124">
        <v>1.0</v>
      </c>
      <c r="R2932" s="128"/>
      <c r="S2932" s="37"/>
      <c r="T2932" s="38"/>
      <c r="U2932" s="38"/>
      <c r="V2932" s="124" t="s">
        <v>33</v>
      </c>
      <c r="W2932" s="233"/>
      <c r="X2932" s="233"/>
      <c r="Y2932" s="233"/>
      <c r="Z2932" s="133"/>
      <c r="AA2932" s="133"/>
      <c r="AB2932" s="133"/>
      <c r="AC2932" s="133"/>
      <c r="AD2932" s="133"/>
      <c r="AE2932" s="133"/>
      <c r="AF2932" s="133"/>
      <c r="AG2932" s="133"/>
      <c r="AH2932" s="133"/>
      <c r="AI2932" s="133"/>
      <c r="AJ2932" s="133"/>
      <c r="AK2932" s="133"/>
      <c r="AL2932" s="133"/>
      <c r="AM2932" s="133"/>
      <c r="AN2932" s="133"/>
      <c r="AO2932" s="133"/>
      <c r="AP2932" s="133"/>
      <c r="AQ2932" s="133"/>
      <c r="AR2932" s="133"/>
      <c r="AS2932" s="133"/>
      <c r="AT2932" s="133"/>
      <c r="AU2932" s="133"/>
      <c r="AV2932" s="133"/>
      <c r="AW2932" s="133"/>
      <c r="AX2932" s="133"/>
      <c r="AY2932" s="133"/>
      <c r="AZ2932" s="133"/>
      <c r="BA2932" s="133"/>
      <c r="BB2932" s="133"/>
      <c r="BC2932" s="133"/>
      <c r="BD2932" s="133"/>
      <c r="BE2932" s="133"/>
      <c r="BF2932" s="133"/>
      <c r="BG2932" s="133"/>
      <c r="BH2932" s="133"/>
      <c r="BI2932" s="133"/>
      <c r="BJ2932" s="133"/>
      <c r="BK2932" s="133"/>
      <c r="BL2932" s="133"/>
      <c r="BM2932" s="133"/>
      <c r="BN2932" s="133"/>
      <c r="BO2932" s="133"/>
      <c r="BP2932" s="133"/>
      <c r="BQ2932" s="133"/>
    </row>
    <row r="2933">
      <c r="A2933" s="194" t="s">
        <v>7748</v>
      </c>
      <c r="B2933" s="125"/>
      <c r="C2933" s="126">
        <v>43810.0</v>
      </c>
      <c r="D2933" s="133"/>
      <c r="E2933" s="124" t="s">
        <v>41</v>
      </c>
      <c r="F2933" s="198">
        <v>1.0</v>
      </c>
      <c r="G2933" s="124" t="s">
        <v>32</v>
      </c>
      <c r="H2933" s="303">
        <v>1.0</v>
      </c>
      <c r="I2933" s="124" t="s">
        <v>33</v>
      </c>
      <c r="J2933" s="124" t="s">
        <v>47</v>
      </c>
      <c r="K2933" s="133"/>
      <c r="L2933" s="124" t="s">
        <v>7738</v>
      </c>
      <c r="M2933" s="305" t="s">
        <v>7749</v>
      </c>
      <c r="N2933" s="233"/>
      <c r="O2933" s="173" t="str">
        <f>hyperlink("https://bad-boys.us/?q=MD-FL/3:19-cr-00221", "MD-FL 3:19-cr-00221")</f>
        <v>MD-FL 3:19-cr-00221</v>
      </c>
      <c r="P2933" s="133"/>
      <c r="Q2933" s="124">
        <v>1.0</v>
      </c>
      <c r="R2933" s="128"/>
      <c r="S2933" s="37"/>
      <c r="T2933" s="38"/>
      <c r="U2933" s="38"/>
      <c r="V2933" s="124" t="s">
        <v>33</v>
      </c>
      <c r="W2933" s="233"/>
      <c r="X2933" s="233"/>
      <c r="Y2933" s="233"/>
      <c r="Z2933" s="133"/>
      <c r="AA2933" s="133"/>
      <c r="AB2933" s="133"/>
      <c r="AC2933" s="133"/>
      <c r="AD2933" s="133"/>
      <c r="AE2933" s="133"/>
      <c r="AF2933" s="133"/>
      <c r="AG2933" s="133"/>
      <c r="AH2933" s="133"/>
      <c r="AI2933" s="133"/>
      <c r="AJ2933" s="133"/>
      <c r="AK2933" s="133"/>
      <c r="AL2933" s="133"/>
      <c r="AM2933" s="133"/>
      <c r="AN2933" s="133"/>
      <c r="AO2933" s="133"/>
      <c r="AP2933" s="133"/>
      <c r="AQ2933" s="133"/>
      <c r="AR2933" s="133"/>
      <c r="AS2933" s="133"/>
      <c r="AT2933" s="133"/>
      <c r="AU2933" s="133"/>
      <c r="AV2933" s="133"/>
      <c r="AW2933" s="133"/>
      <c r="AX2933" s="133"/>
      <c r="AY2933" s="133"/>
      <c r="AZ2933" s="133"/>
      <c r="BA2933" s="133"/>
      <c r="BB2933" s="133"/>
      <c r="BC2933" s="133"/>
      <c r="BD2933" s="133"/>
      <c r="BE2933" s="133"/>
      <c r="BF2933" s="133"/>
      <c r="BG2933" s="133"/>
      <c r="BH2933" s="133"/>
      <c r="BI2933" s="133"/>
      <c r="BJ2933" s="133"/>
      <c r="BK2933" s="133"/>
      <c r="BL2933" s="133"/>
      <c r="BM2933" s="133"/>
      <c r="BN2933" s="133"/>
      <c r="BO2933" s="133"/>
      <c r="BP2933" s="133"/>
      <c r="BQ2933" s="133"/>
    </row>
    <row r="2934">
      <c r="A2934" s="194" t="s">
        <v>7750</v>
      </c>
      <c r="B2934" s="125"/>
      <c r="C2934" s="126">
        <v>43810.0</v>
      </c>
      <c r="D2934" s="133"/>
      <c r="E2934" s="124" t="s">
        <v>41</v>
      </c>
      <c r="F2934" s="198">
        <v>1.0</v>
      </c>
      <c r="G2934" s="124" t="s">
        <v>32</v>
      </c>
      <c r="H2934" s="303">
        <v>1.0</v>
      </c>
      <c r="I2934" s="124" t="s">
        <v>33</v>
      </c>
      <c r="J2934" s="124" t="s">
        <v>34</v>
      </c>
      <c r="K2934" s="133"/>
      <c r="L2934" s="124" t="s">
        <v>69</v>
      </c>
      <c r="M2934" s="305" t="s">
        <v>7751</v>
      </c>
      <c r="N2934" s="233"/>
      <c r="O2934" s="124"/>
      <c r="P2934" s="133"/>
      <c r="Q2934" s="124">
        <v>1.0</v>
      </c>
      <c r="R2934" s="128"/>
      <c r="S2934" s="37"/>
      <c r="T2934" s="38"/>
      <c r="U2934" s="38"/>
      <c r="V2934" s="124" t="s">
        <v>33</v>
      </c>
      <c r="W2934" s="233"/>
      <c r="X2934" s="233"/>
      <c r="Y2934" s="233"/>
      <c r="Z2934" s="133"/>
      <c r="AA2934" s="133"/>
      <c r="AB2934" s="133"/>
      <c r="AC2934" s="133"/>
      <c r="AD2934" s="133"/>
      <c r="AE2934" s="133"/>
      <c r="AF2934" s="133"/>
      <c r="AG2934" s="133"/>
      <c r="AH2934" s="133"/>
      <c r="AI2934" s="133"/>
      <c r="AJ2934" s="133"/>
      <c r="AK2934" s="133"/>
      <c r="AL2934" s="133"/>
      <c r="AM2934" s="133"/>
      <c r="AN2934" s="133"/>
      <c r="AO2934" s="133"/>
      <c r="AP2934" s="133"/>
      <c r="AQ2934" s="133"/>
      <c r="AR2934" s="133"/>
      <c r="AS2934" s="133"/>
      <c r="AT2934" s="133"/>
      <c r="AU2934" s="133"/>
      <c r="AV2934" s="133"/>
      <c r="AW2934" s="133"/>
      <c r="AX2934" s="133"/>
      <c r="AY2934" s="133"/>
      <c r="AZ2934" s="133"/>
      <c r="BA2934" s="133"/>
      <c r="BB2934" s="133"/>
      <c r="BC2934" s="133"/>
      <c r="BD2934" s="133"/>
      <c r="BE2934" s="133"/>
      <c r="BF2934" s="133"/>
      <c r="BG2934" s="133"/>
      <c r="BH2934" s="133"/>
      <c r="BI2934" s="133"/>
      <c r="BJ2934" s="133"/>
      <c r="BK2934" s="133"/>
      <c r="BL2934" s="133"/>
      <c r="BM2934" s="133"/>
      <c r="BN2934" s="133"/>
      <c r="BO2934" s="133"/>
      <c r="BP2934" s="133"/>
      <c r="BQ2934" s="133"/>
    </row>
    <row r="2935">
      <c r="A2935" s="194" t="s">
        <v>7752</v>
      </c>
      <c r="B2935" s="125"/>
      <c r="C2935" s="126">
        <v>43811.0</v>
      </c>
      <c r="D2935" s="133"/>
      <c r="E2935" s="124" t="s">
        <v>41</v>
      </c>
      <c r="F2935" s="198">
        <v>1.0</v>
      </c>
      <c r="G2935" s="124" t="s">
        <v>32</v>
      </c>
      <c r="H2935" s="303">
        <v>1.0</v>
      </c>
      <c r="I2935" s="124" t="s">
        <v>33</v>
      </c>
      <c r="J2935" s="124" t="s">
        <v>440</v>
      </c>
      <c r="K2935" s="133"/>
      <c r="L2935" s="124" t="s">
        <v>119</v>
      </c>
      <c r="M2935" s="305" t="s">
        <v>7753</v>
      </c>
      <c r="N2935" s="233"/>
      <c r="O2935" s="124"/>
      <c r="P2935" s="133"/>
      <c r="Q2935" s="124">
        <v>1.0</v>
      </c>
      <c r="R2935" s="128"/>
      <c r="S2935" s="37"/>
      <c r="T2935" s="38"/>
      <c r="U2935" s="38"/>
      <c r="V2935" s="124" t="s">
        <v>33</v>
      </c>
      <c r="W2935" s="233"/>
      <c r="X2935" s="233"/>
      <c r="Y2935" s="233"/>
      <c r="Z2935" s="133"/>
      <c r="AA2935" s="133"/>
      <c r="AB2935" s="133"/>
      <c r="AC2935" s="133"/>
      <c r="AD2935" s="133"/>
      <c r="AE2935" s="133"/>
      <c r="AF2935" s="133"/>
      <c r="AG2935" s="133"/>
      <c r="AH2935" s="133"/>
      <c r="AI2935" s="133"/>
      <c r="AJ2935" s="133"/>
      <c r="AK2935" s="133"/>
      <c r="AL2935" s="133"/>
      <c r="AM2935" s="133"/>
      <c r="AN2935" s="133"/>
      <c r="AO2935" s="133"/>
      <c r="AP2935" s="133"/>
      <c r="AQ2935" s="133"/>
      <c r="AR2935" s="133"/>
      <c r="AS2935" s="133"/>
      <c r="AT2935" s="133"/>
      <c r="AU2935" s="133"/>
      <c r="AV2935" s="133"/>
      <c r="AW2935" s="133"/>
      <c r="AX2935" s="133"/>
      <c r="AY2935" s="133"/>
      <c r="AZ2935" s="133"/>
      <c r="BA2935" s="133"/>
      <c r="BB2935" s="133"/>
      <c r="BC2935" s="133"/>
      <c r="BD2935" s="133"/>
      <c r="BE2935" s="133"/>
      <c r="BF2935" s="133"/>
      <c r="BG2935" s="133"/>
      <c r="BH2935" s="133"/>
      <c r="BI2935" s="133"/>
      <c r="BJ2935" s="133"/>
      <c r="BK2935" s="133"/>
      <c r="BL2935" s="133"/>
      <c r="BM2935" s="133"/>
      <c r="BN2935" s="133"/>
      <c r="BO2935" s="133"/>
      <c r="BP2935" s="133"/>
      <c r="BQ2935" s="133"/>
    </row>
    <row r="2936">
      <c r="A2936" s="194" t="s">
        <v>7754</v>
      </c>
      <c r="B2936" s="125"/>
      <c r="C2936" s="126">
        <v>43811.0</v>
      </c>
      <c r="D2936" s="133"/>
      <c r="E2936" s="124" t="s">
        <v>31</v>
      </c>
      <c r="F2936" s="198">
        <v>1.0</v>
      </c>
      <c r="G2936" s="124" t="s">
        <v>32</v>
      </c>
      <c r="H2936" s="303">
        <v>1.0</v>
      </c>
      <c r="I2936" s="124" t="s">
        <v>33</v>
      </c>
      <c r="J2936" s="124" t="s">
        <v>179</v>
      </c>
      <c r="K2936" s="133"/>
      <c r="L2936" s="124" t="s">
        <v>76</v>
      </c>
      <c r="M2936" s="305" t="s">
        <v>7755</v>
      </c>
      <c r="N2936" s="243" t="s">
        <v>7756</v>
      </c>
      <c r="O2936" s="124"/>
      <c r="P2936" s="133"/>
      <c r="Q2936" s="124">
        <v>1.0</v>
      </c>
      <c r="R2936" s="128"/>
      <c r="S2936" s="37"/>
      <c r="T2936" s="38"/>
      <c r="U2936" s="38"/>
      <c r="V2936" s="124" t="s">
        <v>33</v>
      </c>
      <c r="W2936" s="219" t="s">
        <v>7757</v>
      </c>
      <c r="X2936" s="219" t="s">
        <v>7758</v>
      </c>
      <c r="Y2936" s="233"/>
      <c r="Z2936" s="133"/>
      <c r="AA2936" s="133"/>
      <c r="AB2936" s="133"/>
      <c r="AC2936" s="133"/>
      <c r="AD2936" s="133"/>
      <c r="AE2936" s="133"/>
      <c r="AF2936" s="133"/>
      <c r="AG2936" s="133"/>
      <c r="AH2936" s="133"/>
      <c r="AI2936" s="133"/>
      <c r="AJ2936" s="133"/>
      <c r="AK2936" s="133"/>
      <c r="AL2936" s="133"/>
      <c r="AM2936" s="133"/>
      <c r="AN2936" s="133"/>
      <c r="AO2936" s="133"/>
      <c r="AP2936" s="133"/>
      <c r="AQ2936" s="133"/>
      <c r="AR2936" s="133"/>
      <c r="AS2936" s="133"/>
      <c r="AT2936" s="133"/>
      <c r="AU2936" s="133"/>
      <c r="AV2936" s="133"/>
      <c r="AW2936" s="133"/>
      <c r="AX2936" s="133"/>
      <c r="AY2936" s="133"/>
      <c r="AZ2936" s="133"/>
      <c r="BA2936" s="133"/>
      <c r="BB2936" s="133"/>
      <c r="BC2936" s="133"/>
      <c r="BD2936" s="133"/>
      <c r="BE2936" s="133"/>
      <c r="BF2936" s="133"/>
      <c r="BG2936" s="133"/>
      <c r="BH2936" s="133"/>
      <c r="BI2936" s="133"/>
      <c r="BJ2936" s="133"/>
      <c r="BK2936" s="133"/>
      <c r="BL2936" s="133"/>
      <c r="BM2936" s="133"/>
      <c r="BN2936" s="133"/>
      <c r="BO2936" s="133"/>
      <c r="BP2936" s="133"/>
      <c r="BQ2936" s="133"/>
    </row>
    <row r="2937">
      <c r="A2937" s="194" t="s">
        <v>7759</v>
      </c>
      <c r="B2937" s="125"/>
      <c r="C2937" s="126">
        <v>43811.0</v>
      </c>
      <c r="D2937" s="133"/>
      <c r="E2937" s="124" t="s">
        <v>41</v>
      </c>
      <c r="F2937" s="198">
        <v>1.0</v>
      </c>
      <c r="G2937" s="124" t="s">
        <v>32</v>
      </c>
      <c r="H2937" s="303">
        <v>1.0</v>
      </c>
      <c r="I2937" s="124" t="s">
        <v>33</v>
      </c>
      <c r="J2937" s="124" t="s">
        <v>93</v>
      </c>
      <c r="K2937" s="133"/>
      <c r="L2937" s="124" t="s">
        <v>119</v>
      </c>
      <c r="M2937" s="305" t="s">
        <v>7760</v>
      </c>
      <c r="N2937" s="233"/>
      <c r="O2937" s="124"/>
      <c r="P2937" s="133"/>
      <c r="Q2937" s="124"/>
      <c r="R2937" s="128"/>
      <c r="S2937" s="37"/>
      <c r="T2937" s="38"/>
      <c r="U2937" s="38" t="b">
        <f>countif(A$4:A4658, A2937)&gt;1</f>
        <v>0</v>
      </c>
      <c r="V2937" s="124" t="s">
        <v>33</v>
      </c>
      <c r="W2937" s="233"/>
      <c r="X2937" s="233"/>
      <c r="Y2937" s="233"/>
      <c r="Z2937" s="133"/>
      <c r="AA2937" s="133"/>
      <c r="AB2937" s="133"/>
      <c r="AC2937" s="133"/>
      <c r="AD2937" s="133"/>
      <c r="AE2937" s="133"/>
      <c r="AF2937" s="133"/>
      <c r="AG2937" s="133"/>
      <c r="AH2937" s="133"/>
      <c r="AI2937" s="133"/>
      <c r="AJ2937" s="133"/>
      <c r="AK2937" s="133"/>
      <c r="AL2937" s="133"/>
      <c r="AM2937" s="133"/>
      <c r="AN2937" s="133"/>
      <c r="AO2937" s="133"/>
      <c r="AP2937" s="133"/>
      <c r="AQ2937" s="133"/>
      <c r="AR2937" s="133"/>
      <c r="AS2937" s="133"/>
      <c r="AT2937" s="133"/>
      <c r="AU2937" s="133"/>
      <c r="AV2937" s="133"/>
      <c r="AW2937" s="133"/>
      <c r="AX2937" s="133"/>
      <c r="AY2937" s="133"/>
      <c r="AZ2937" s="133"/>
      <c r="BA2937" s="133"/>
      <c r="BB2937" s="133"/>
      <c r="BC2937" s="133"/>
      <c r="BD2937" s="133"/>
      <c r="BE2937" s="133"/>
      <c r="BF2937" s="133"/>
      <c r="BG2937" s="133"/>
      <c r="BH2937" s="133"/>
      <c r="BI2937" s="133"/>
      <c r="BJ2937" s="133"/>
      <c r="BK2937" s="133"/>
      <c r="BL2937" s="133"/>
      <c r="BM2937" s="133"/>
      <c r="BN2937" s="133"/>
      <c r="BO2937" s="133"/>
      <c r="BP2937" s="133"/>
      <c r="BQ2937" s="133"/>
    </row>
    <row r="2938">
      <c r="A2938" s="194" t="s">
        <v>7761</v>
      </c>
      <c r="B2938" s="125"/>
      <c r="C2938" s="126">
        <v>43811.0</v>
      </c>
      <c r="D2938" s="133"/>
      <c r="E2938" s="124" t="s">
        <v>41</v>
      </c>
      <c r="F2938" s="198">
        <v>1.0</v>
      </c>
      <c r="G2938" s="124" t="s">
        <v>32</v>
      </c>
      <c r="H2938" s="303">
        <v>1.0</v>
      </c>
      <c r="I2938" s="124" t="s">
        <v>33</v>
      </c>
      <c r="J2938" s="124" t="s">
        <v>279</v>
      </c>
      <c r="K2938" s="133"/>
      <c r="L2938" s="124" t="s">
        <v>7738</v>
      </c>
      <c r="M2938" s="305" t="s">
        <v>7762</v>
      </c>
      <c r="N2938" s="233"/>
      <c r="O2938" s="124"/>
      <c r="P2938" s="133"/>
      <c r="Q2938" s="124">
        <v>1.0</v>
      </c>
      <c r="R2938" s="128"/>
      <c r="S2938" s="37"/>
      <c r="T2938" s="38"/>
      <c r="U2938" s="38"/>
      <c r="V2938" s="124" t="s">
        <v>33</v>
      </c>
      <c r="W2938" s="233"/>
      <c r="X2938" s="233"/>
      <c r="Y2938" s="233"/>
      <c r="Z2938" s="133"/>
      <c r="AA2938" s="133"/>
      <c r="AB2938" s="133"/>
      <c r="AC2938" s="133"/>
      <c r="AD2938" s="133"/>
      <c r="AE2938" s="133"/>
      <c r="AF2938" s="133"/>
      <c r="AG2938" s="133"/>
      <c r="AH2938" s="133"/>
      <c r="AI2938" s="133"/>
      <c r="AJ2938" s="133"/>
      <c r="AK2938" s="133"/>
      <c r="AL2938" s="133"/>
      <c r="AM2938" s="133"/>
      <c r="AN2938" s="133"/>
      <c r="AO2938" s="133"/>
      <c r="AP2938" s="133"/>
      <c r="AQ2938" s="133"/>
      <c r="AR2938" s="133"/>
      <c r="AS2938" s="133"/>
      <c r="AT2938" s="133"/>
      <c r="AU2938" s="133"/>
      <c r="AV2938" s="133"/>
      <c r="AW2938" s="133"/>
      <c r="AX2938" s="133"/>
      <c r="AY2938" s="133"/>
      <c r="AZ2938" s="133"/>
      <c r="BA2938" s="133"/>
      <c r="BB2938" s="133"/>
      <c r="BC2938" s="133"/>
      <c r="BD2938" s="133"/>
      <c r="BE2938" s="133"/>
      <c r="BF2938" s="133"/>
      <c r="BG2938" s="133"/>
      <c r="BH2938" s="133"/>
      <c r="BI2938" s="133"/>
      <c r="BJ2938" s="133"/>
      <c r="BK2938" s="133"/>
      <c r="BL2938" s="133"/>
      <c r="BM2938" s="133"/>
      <c r="BN2938" s="133"/>
      <c r="BO2938" s="133"/>
      <c r="BP2938" s="133"/>
      <c r="BQ2938" s="133"/>
    </row>
    <row r="2939">
      <c r="A2939" s="194" t="s">
        <v>7763</v>
      </c>
      <c r="B2939" s="125"/>
      <c r="C2939" s="126">
        <v>43811.0</v>
      </c>
      <c r="D2939" s="133"/>
      <c r="E2939" s="124" t="s">
        <v>41</v>
      </c>
      <c r="F2939" s="198">
        <v>1.0</v>
      </c>
      <c r="G2939" s="124">
        <v>2.0</v>
      </c>
      <c r="H2939" s="303">
        <v>2.0</v>
      </c>
      <c r="I2939" s="124" t="s">
        <v>33</v>
      </c>
      <c r="J2939" s="124" t="s">
        <v>111</v>
      </c>
      <c r="K2939" s="133"/>
      <c r="L2939" s="124" t="s">
        <v>119</v>
      </c>
      <c r="M2939" s="242" t="s">
        <v>7764</v>
      </c>
      <c r="N2939" s="233"/>
      <c r="O2939" s="307" t="str">
        <f>hyperlink("https://bad-boys.us/?q=ED-CA/2:19-cr-00221", "ED-CA 2:19-cr-00221")</f>
        <v>ED-CA 2:19-cr-00221</v>
      </c>
      <c r="P2939" s="133"/>
      <c r="Q2939" s="124">
        <v>1.0</v>
      </c>
      <c r="R2939" s="128"/>
      <c r="S2939" s="91"/>
      <c r="T2939" s="96"/>
      <c r="U2939" s="38" t="b">
        <f>countif(A$4:A4658, A2939)&gt;1</f>
        <v>0</v>
      </c>
      <c r="V2939" s="124" t="s">
        <v>33</v>
      </c>
      <c r="W2939" s="233"/>
      <c r="X2939" s="233"/>
      <c r="Y2939" s="138"/>
      <c r="Z2939" s="133"/>
      <c r="AA2939" s="133"/>
      <c r="AB2939" s="133"/>
      <c r="AC2939" s="133"/>
      <c r="AD2939" s="133"/>
      <c r="AE2939" s="133"/>
      <c r="AF2939" s="133"/>
      <c r="AG2939" s="133"/>
      <c r="AH2939" s="133"/>
      <c r="AI2939" s="133"/>
      <c r="AJ2939" s="133"/>
      <c r="AK2939" s="133"/>
      <c r="AL2939" s="133"/>
      <c r="AM2939" s="133"/>
      <c r="AN2939" s="133"/>
      <c r="AO2939" s="133"/>
      <c r="AP2939" s="133"/>
      <c r="AQ2939" s="133"/>
      <c r="AR2939" s="133"/>
      <c r="AS2939" s="133"/>
      <c r="AT2939" s="133"/>
      <c r="AU2939" s="133"/>
      <c r="AV2939" s="133"/>
      <c r="AW2939" s="133"/>
      <c r="AX2939" s="133"/>
      <c r="AY2939" s="133"/>
      <c r="AZ2939" s="133"/>
      <c r="BA2939" s="133"/>
      <c r="BB2939" s="133"/>
      <c r="BC2939" s="133"/>
      <c r="BD2939" s="133"/>
      <c r="BE2939" s="133"/>
      <c r="BF2939" s="133"/>
      <c r="BG2939" s="133"/>
      <c r="BH2939" s="133"/>
      <c r="BI2939" s="133"/>
      <c r="BJ2939" s="133"/>
      <c r="BK2939" s="133"/>
      <c r="BL2939" s="133"/>
      <c r="BM2939" s="133"/>
      <c r="BN2939" s="133"/>
      <c r="BO2939" s="133"/>
      <c r="BP2939" s="133"/>
      <c r="BQ2939" s="133"/>
    </row>
    <row r="2940">
      <c r="A2940" s="194" t="s">
        <v>7754</v>
      </c>
      <c r="B2940" s="125"/>
      <c r="C2940" s="126">
        <v>43812.0</v>
      </c>
      <c r="D2940" s="133"/>
      <c r="E2940" s="124" t="s">
        <v>31</v>
      </c>
      <c r="F2940" s="198">
        <v>1.0</v>
      </c>
      <c r="G2940" s="124" t="s">
        <v>32</v>
      </c>
      <c r="H2940" s="303">
        <v>1.0</v>
      </c>
      <c r="I2940" s="124" t="s">
        <v>33</v>
      </c>
      <c r="J2940" s="124" t="s">
        <v>179</v>
      </c>
      <c r="K2940" s="133"/>
      <c r="L2940" s="233" t="s">
        <v>7765</v>
      </c>
      <c r="M2940" s="242" t="s">
        <v>7766</v>
      </c>
      <c r="N2940" s="233" t="s">
        <v>7767</v>
      </c>
      <c r="O2940" s="128"/>
      <c r="P2940" s="133"/>
      <c r="Q2940" s="124"/>
      <c r="R2940" s="128"/>
      <c r="S2940" s="91"/>
      <c r="T2940" s="96"/>
      <c r="U2940" s="38"/>
      <c r="V2940" s="124" t="s">
        <v>33</v>
      </c>
      <c r="W2940" s="305" t="s">
        <v>7768</v>
      </c>
      <c r="X2940" s="219" t="s">
        <v>7769</v>
      </c>
      <c r="Y2940" s="138"/>
      <c r="Z2940" s="133"/>
      <c r="AA2940" s="133"/>
      <c r="AB2940" s="133"/>
      <c r="AC2940" s="133"/>
      <c r="AD2940" s="133"/>
      <c r="AE2940" s="133"/>
      <c r="AF2940" s="133"/>
      <c r="AG2940" s="133"/>
      <c r="AH2940" s="133"/>
      <c r="AI2940" s="133"/>
      <c r="AJ2940" s="133"/>
      <c r="AK2940" s="133"/>
      <c r="AL2940" s="133"/>
      <c r="AM2940" s="133"/>
      <c r="AN2940" s="133"/>
      <c r="AO2940" s="133"/>
      <c r="AP2940" s="133"/>
      <c r="AQ2940" s="133"/>
      <c r="AR2940" s="133"/>
      <c r="AS2940" s="133"/>
      <c r="AT2940" s="133"/>
      <c r="AU2940" s="133"/>
      <c r="AV2940" s="133"/>
      <c r="AW2940" s="133"/>
      <c r="AX2940" s="133"/>
      <c r="AY2940" s="133"/>
      <c r="AZ2940" s="133"/>
      <c r="BA2940" s="133"/>
      <c r="BB2940" s="133"/>
      <c r="BC2940" s="133"/>
      <c r="BD2940" s="133"/>
      <c r="BE2940" s="133"/>
      <c r="BF2940" s="133"/>
      <c r="BG2940" s="133"/>
      <c r="BH2940" s="133"/>
      <c r="BI2940" s="133"/>
      <c r="BJ2940" s="133"/>
      <c r="BK2940" s="133"/>
      <c r="BL2940" s="133"/>
      <c r="BM2940" s="133"/>
      <c r="BN2940" s="133"/>
      <c r="BO2940" s="133"/>
      <c r="BP2940" s="133"/>
      <c r="BQ2940" s="133"/>
    </row>
    <row r="2941">
      <c r="A2941" s="194" t="s">
        <v>7770</v>
      </c>
      <c r="B2941" s="125"/>
      <c r="C2941" s="126">
        <v>43812.0</v>
      </c>
      <c r="D2941" s="133"/>
      <c r="E2941" s="124" t="s">
        <v>31</v>
      </c>
      <c r="F2941" s="198">
        <v>1.0</v>
      </c>
      <c r="G2941" s="124" t="s">
        <v>32</v>
      </c>
      <c r="H2941" s="303">
        <v>1.0</v>
      </c>
      <c r="I2941" s="124" t="s">
        <v>33</v>
      </c>
      <c r="J2941" s="124" t="s">
        <v>93</v>
      </c>
      <c r="K2941" s="133"/>
      <c r="L2941" s="124" t="s">
        <v>7771</v>
      </c>
      <c r="M2941" s="242" t="s">
        <v>7772</v>
      </c>
      <c r="N2941" s="233" t="s">
        <v>7773</v>
      </c>
      <c r="O2941" s="128"/>
      <c r="P2941" s="133"/>
      <c r="Q2941" s="128"/>
      <c r="R2941" s="128"/>
      <c r="S2941" s="91"/>
      <c r="T2941" s="96"/>
      <c r="U2941" s="38" t="b">
        <f>countif(A$4:A4658, A2941)&gt;1</f>
        <v>0</v>
      </c>
      <c r="V2941" s="124" t="s">
        <v>33</v>
      </c>
      <c r="W2941" s="219" t="s">
        <v>7774</v>
      </c>
      <c r="X2941" s="219" t="s">
        <v>7774</v>
      </c>
      <c r="Y2941" s="138"/>
      <c r="Z2941" s="133"/>
      <c r="AA2941" s="133"/>
      <c r="AB2941" s="133"/>
      <c r="AC2941" s="133"/>
      <c r="AD2941" s="133"/>
      <c r="AE2941" s="133"/>
      <c r="AF2941" s="133"/>
      <c r="AG2941" s="133"/>
      <c r="AH2941" s="133"/>
      <c r="AI2941" s="133"/>
      <c r="AJ2941" s="133"/>
      <c r="AK2941" s="133"/>
      <c r="AL2941" s="133"/>
      <c r="AM2941" s="133"/>
      <c r="AN2941" s="133"/>
      <c r="AO2941" s="133"/>
      <c r="AP2941" s="133"/>
      <c r="AQ2941" s="133"/>
      <c r="AR2941" s="133"/>
      <c r="AS2941" s="133"/>
      <c r="AT2941" s="133"/>
      <c r="AU2941" s="133"/>
      <c r="AV2941" s="133"/>
      <c r="AW2941" s="133"/>
      <c r="AX2941" s="133"/>
      <c r="AY2941" s="133"/>
      <c r="AZ2941" s="133"/>
      <c r="BA2941" s="133"/>
      <c r="BB2941" s="133"/>
      <c r="BC2941" s="133"/>
      <c r="BD2941" s="133"/>
      <c r="BE2941" s="133"/>
      <c r="BF2941" s="133"/>
      <c r="BG2941" s="133"/>
      <c r="BH2941" s="133"/>
      <c r="BI2941" s="133"/>
      <c r="BJ2941" s="133"/>
      <c r="BK2941" s="133"/>
      <c r="BL2941" s="133"/>
      <c r="BM2941" s="133"/>
      <c r="BN2941" s="133"/>
      <c r="BO2941" s="133"/>
      <c r="BP2941" s="133"/>
      <c r="BQ2941" s="133"/>
    </row>
    <row r="2942">
      <c r="A2942" s="194" t="s">
        <v>7775</v>
      </c>
      <c r="B2942" s="125"/>
      <c r="C2942" s="126">
        <v>43815.0</v>
      </c>
      <c r="D2942" s="133"/>
      <c r="E2942" s="124" t="s">
        <v>41</v>
      </c>
      <c r="F2942" s="198">
        <v>1.0</v>
      </c>
      <c r="G2942" s="124" t="s">
        <v>32</v>
      </c>
      <c r="H2942" s="303">
        <v>1.0</v>
      </c>
      <c r="I2942" s="124" t="s">
        <v>33</v>
      </c>
      <c r="J2942" s="124" t="s">
        <v>184</v>
      </c>
      <c r="K2942" s="133"/>
      <c r="L2942" s="124" t="s">
        <v>119</v>
      </c>
      <c r="M2942" s="242" t="s">
        <v>7776</v>
      </c>
      <c r="N2942" s="233"/>
      <c r="O2942" s="128"/>
      <c r="P2942" s="133"/>
      <c r="Q2942" s="128"/>
      <c r="R2942" s="128"/>
      <c r="S2942" s="91"/>
      <c r="T2942" s="96"/>
      <c r="U2942" s="38"/>
      <c r="V2942" s="124" t="s">
        <v>33</v>
      </c>
      <c r="W2942" s="233"/>
      <c r="X2942" s="233"/>
      <c r="Y2942" s="138"/>
      <c r="Z2942" s="133"/>
      <c r="AA2942" s="133"/>
      <c r="AB2942" s="133"/>
      <c r="AC2942" s="133"/>
      <c r="AD2942" s="133"/>
      <c r="AE2942" s="133"/>
      <c r="AF2942" s="133"/>
      <c r="AG2942" s="133"/>
      <c r="AH2942" s="133"/>
      <c r="AI2942" s="133"/>
      <c r="AJ2942" s="133"/>
      <c r="AK2942" s="133"/>
      <c r="AL2942" s="133"/>
      <c r="AM2942" s="133"/>
      <c r="AN2942" s="133"/>
      <c r="AO2942" s="133"/>
      <c r="AP2942" s="133"/>
      <c r="AQ2942" s="133"/>
      <c r="AR2942" s="133"/>
      <c r="AS2942" s="133"/>
      <c r="AT2942" s="133"/>
      <c r="AU2942" s="133"/>
      <c r="AV2942" s="133"/>
      <c r="AW2942" s="133"/>
      <c r="AX2942" s="133"/>
      <c r="AY2942" s="133"/>
      <c r="AZ2942" s="133"/>
      <c r="BA2942" s="133"/>
      <c r="BB2942" s="133"/>
      <c r="BC2942" s="133"/>
      <c r="BD2942" s="133"/>
      <c r="BE2942" s="133"/>
      <c r="BF2942" s="133"/>
      <c r="BG2942" s="133"/>
      <c r="BH2942" s="133"/>
      <c r="BI2942" s="133"/>
      <c r="BJ2942" s="133"/>
      <c r="BK2942" s="133"/>
      <c r="BL2942" s="133"/>
      <c r="BM2942" s="133"/>
      <c r="BN2942" s="133"/>
      <c r="BO2942" s="133"/>
      <c r="BP2942" s="133"/>
      <c r="BQ2942" s="133"/>
    </row>
    <row r="2943">
      <c r="A2943" s="194" t="s">
        <v>7777</v>
      </c>
      <c r="B2943" s="125"/>
      <c r="C2943" s="126">
        <v>43816.0</v>
      </c>
      <c r="D2943" s="133"/>
      <c r="E2943" s="124" t="s">
        <v>41</v>
      </c>
      <c r="F2943" s="198">
        <v>1.0</v>
      </c>
      <c r="G2943" s="124" t="s">
        <v>32</v>
      </c>
      <c r="H2943" s="303">
        <v>1.0</v>
      </c>
      <c r="I2943" s="124" t="s">
        <v>33</v>
      </c>
      <c r="J2943" s="124" t="s">
        <v>203</v>
      </c>
      <c r="K2943" s="133"/>
      <c r="L2943" s="124" t="s">
        <v>119</v>
      </c>
      <c r="M2943" s="242" t="s">
        <v>7778</v>
      </c>
      <c r="N2943" s="233"/>
      <c r="O2943" s="128"/>
      <c r="P2943" s="133"/>
      <c r="Q2943" s="124"/>
      <c r="R2943" s="128"/>
      <c r="S2943" s="91"/>
      <c r="T2943" s="96"/>
      <c r="U2943" s="38" t="b">
        <f>countif(A$4:A4658, A2943)&gt;1</f>
        <v>0</v>
      </c>
      <c r="V2943" s="124" t="s">
        <v>33</v>
      </c>
      <c r="W2943" s="233"/>
      <c r="X2943" s="233"/>
      <c r="Y2943" s="138"/>
      <c r="Z2943" s="133"/>
      <c r="AA2943" s="133"/>
      <c r="AB2943" s="133"/>
      <c r="AC2943" s="133"/>
      <c r="AD2943" s="133"/>
      <c r="AE2943" s="133"/>
      <c r="AF2943" s="133"/>
      <c r="AG2943" s="133"/>
      <c r="AH2943" s="133"/>
      <c r="AI2943" s="133"/>
      <c r="AJ2943" s="133"/>
      <c r="AK2943" s="133"/>
      <c r="AL2943" s="133"/>
      <c r="AM2943" s="133"/>
      <c r="AN2943" s="133"/>
      <c r="AO2943" s="133"/>
      <c r="AP2943" s="133"/>
      <c r="AQ2943" s="133"/>
      <c r="AR2943" s="133"/>
      <c r="AS2943" s="133"/>
      <c r="AT2943" s="133"/>
      <c r="AU2943" s="133"/>
      <c r="AV2943" s="133"/>
      <c r="AW2943" s="133"/>
      <c r="AX2943" s="133"/>
      <c r="AY2943" s="133"/>
      <c r="AZ2943" s="133"/>
      <c r="BA2943" s="133"/>
      <c r="BB2943" s="133"/>
      <c r="BC2943" s="133"/>
      <c r="BD2943" s="133"/>
      <c r="BE2943" s="133"/>
      <c r="BF2943" s="133"/>
      <c r="BG2943" s="133"/>
      <c r="BH2943" s="133"/>
      <c r="BI2943" s="133"/>
      <c r="BJ2943" s="133"/>
      <c r="BK2943" s="133"/>
      <c r="BL2943" s="133"/>
      <c r="BM2943" s="133"/>
      <c r="BN2943" s="133"/>
      <c r="BO2943" s="133"/>
      <c r="BP2943" s="133"/>
      <c r="BQ2943" s="133"/>
    </row>
    <row r="2944">
      <c r="A2944" s="194" t="s">
        <v>7779</v>
      </c>
      <c r="B2944" s="125"/>
      <c r="C2944" s="126">
        <v>43816.0</v>
      </c>
      <c r="D2944" s="133"/>
      <c r="E2944" s="124" t="s">
        <v>41</v>
      </c>
      <c r="F2944" s="198">
        <v>1.0</v>
      </c>
      <c r="G2944" s="124" t="s">
        <v>32</v>
      </c>
      <c r="H2944" s="303">
        <v>1.0</v>
      </c>
      <c r="I2944" s="124" t="s">
        <v>33</v>
      </c>
      <c r="J2944" s="124" t="s">
        <v>111</v>
      </c>
      <c r="K2944" s="133"/>
      <c r="L2944" s="124" t="s">
        <v>119</v>
      </c>
      <c r="M2944" s="242" t="s">
        <v>7780</v>
      </c>
      <c r="N2944" s="233"/>
      <c r="O2944" s="128"/>
      <c r="P2944" s="133"/>
      <c r="Q2944" s="124"/>
      <c r="R2944" s="128"/>
      <c r="S2944" s="91"/>
      <c r="T2944" s="96"/>
      <c r="U2944" s="38"/>
      <c r="V2944" s="124" t="s">
        <v>33</v>
      </c>
      <c r="W2944" s="233"/>
      <c r="X2944" s="233"/>
      <c r="Y2944" s="138"/>
      <c r="Z2944" s="133"/>
      <c r="AA2944" s="133"/>
      <c r="AB2944" s="133"/>
      <c r="AC2944" s="133"/>
      <c r="AD2944" s="133"/>
      <c r="AE2944" s="133"/>
      <c r="AF2944" s="133"/>
      <c r="AG2944" s="133"/>
      <c r="AH2944" s="133"/>
      <c r="AI2944" s="133"/>
      <c r="AJ2944" s="133"/>
      <c r="AK2944" s="133"/>
      <c r="AL2944" s="133"/>
      <c r="AM2944" s="133"/>
      <c r="AN2944" s="133"/>
      <c r="AO2944" s="133"/>
      <c r="AP2944" s="133"/>
      <c r="AQ2944" s="133"/>
      <c r="AR2944" s="133"/>
      <c r="AS2944" s="133"/>
      <c r="AT2944" s="133"/>
      <c r="AU2944" s="133"/>
      <c r="AV2944" s="133"/>
      <c r="AW2944" s="133"/>
      <c r="AX2944" s="133"/>
      <c r="AY2944" s="133"/>
      <c r="AZ2944" s="133"/>
      <c r="BA2944" s="133"/>
      <c r="BB2944" s="133"/>
      <c r="BC2944" s="133"/>
      <c r="BD2944" s="133"/>
      <c r="BE2944" s="133"/>
      <c r="BF2944" s="133"/>
      <c r="BG2944" s="133"/>
      <c r="BH2944" s="133"/>
      <c r="BI2944" s="133"/>
      <c r="BJ2944" s="133"/>
      <c r="BK2944" s="133"/>
      <c r="BL2944" s="133"/>
      <c r="BM2944" s="133"/>
      <c r="BN2944" s="133"/>
      <c r="BO2944" s="133"/>
      <c r="BP2944" s="133"/>
      <c r="BQ2944" s="133"/>
    </row>
    <row r="2945">
      <c r="A2945" s="194" t="s">
        <v>7781</v>
      </c>
      <c r="B2945" s="125"/>
      <c r="C2945" s="126">
        <v>43817.0</v>
      </c>
      <c r="D2945" s="133"/>
      <c r="E2945" s="124" t="s">
        <v>41</v>
      </c>
      <c r="F2945" s="198">
        <v>1.0</v>
      </c>
      <c r="G2945" s="124" t="s">
        <v>32</v>
      </c>
      <c r="H2945" s="303">
        <v>1.0</v>
      </c>
      <c r="I2945" s="124" t="s">
        <v>33</v>
      </c>
      <c r="J2945" s="124" t="s">
        <v>47</v>
      </c>
      <c r="K2945" s="133"/>
      <c r="L2945" s="124" t="s">
        <v>69</v>
      </c>
      <c r="M2945" s="242" t="s">
        <v>7782</v>
      </c>
      <c r="N2945" s="233"/>
      <c r="O2945" s="128"/>
      <c r="P2945" s="133"/>
      <c r="Q2945" s="124"/>
      <c r="R2945" s="128"/>
      <c r="S2945" s="91"/>
      <c r="T2945" s="96"/>
      <c r="U2945" s="38"/>
      <c r="V2945" s="124" t="s">
        <v>33</v>
      </c>
      <c r="W2945" s="233"/>
      <c r="X2945" s="233"/>
      <c r="Y2945" s="138"/>
      <c r="Z2945" s="133"/>
      <c r="AA2945" s="133"/>
      <c r="AB2945" s="133"/>
      <c r="AC2945" s="133"/>
      <c r="AD2945" s="133"/>
      <c r="AE2945" s="133"/>
      <c r="AF2945" s="133"/>
      <c r="AG2945" s="133"/>
      <c r="AH2945" s="133"/>
      <c r="AI2945" s="133"/>
      <c r="AJ2945" s="133"/>
      <c r="AK2945" s="133"/>
      <c r="AL2945" s="133"/>
      <c r="AM2945" s="133"/>
      <c r="AN2945" s="133"/>
      <c r="AO2945" s="133"/>
      <c r="AP2945" s="133"/>
      <c r="AQ2945" s="133"/>
      <c r="AR2945" s="133"/>
      <c r="AS2945" s="133"/>
      <c r="AT2945" s="133"/>
      <c r="AU2945" s="133"/>
      <c r="AV2945" s="133"/>
      <c r="AW2945" s="133"/>
      <c r="AX2945" s="133"/>
      <c r="AY2945" s="133"/>
      <c r="AZ2945" s="133"/>
      <c r="BA2945" s="133"/>
      <c r="BB2945" s="133"/>
      <c r="BC2945" s="133"/>
      <c r="BD2945" s="133"/>
      <c r="BE2945" s="133"/>
      <c r="BF2945" s="133"/>
      <c r="BG2945" s="133"/>
      <c r="BH2945" s="133"/>
      <c r="BI2945" s="133"/>
      <c r="BJ2945" s="133"/>
      <c r="BK2945" s="133"/>
      <c r="BL2945" s="133"/>
      <c r="BM2945" s="133"/>
      <c r="BN2945" s="133"/>
      <c r="BO2945" s="133"/>
      <c r="BP2945" s="133"/>
      <c r="BQ2945" s="133"/>
    </row>
    <row r="2946">
      <c r="A2946" s="194" t="s">
        <v>7783</v>
      </c>
      <c r="B2946" s="125"/>
      <c r="C2946" s="126">
        <v>43818.0</v>
      </c>
      <c r="D2946" s="133"/>
      <c r="E2946" s="124" t="s">
        <v>41</v>
      </c>
      <c r="F2946" s="198">
        <v>1.0</v>
      </c>
      <c r="G2946" s="124" t="s">
        <v>32</v>
      </c>
      <c r="H2946" s="303">
        <v>1.0</v>
      </c>
      <c r="I2946" s="124" t="s">
        <v>33</v>
      </c>
      <c r="J2946" s="124" t="s">
        <v>93</v>
      </c>
      <c r="K2946" s="133"/>
      <c r="L2946" s="124" t="s">
        <v>69</v>
      </c>
      <c r="M2946" s="242" t="s">
        <v>7784</v>
      </c>
      <c r="N2946" s="233"/>
      <c r="O2946" s="128"/>
      <c r="P2946" s="133"/>
      <c r="Q2946" s="124"/>
      <c r="R2946" s="128"/>
      <c r="S2946" s="91"/>
      <c r="T2946" s="96"/>
      <c r="U2946" s="38"/>
      <c r="V2946" s="124" t="s">
        <v>33</v>
      </c>
      <c r="W2946" s="233"/>
      <c r="X2946" s="233"/>
      <c r="Y2946" s="138"/>
      <c r="Z2946" s="133"/>
      <c r="AA2946" s="133"/>
      <c r="AB2946" s="133"/>
      <c r="AC2946" s="133"/>
      <c r="AD2946" s="133"/>
      <c r="AE2946" s="133"/>
      <c r="AF2946" s="133"/>
      <c r="AG2946" s="133"/>
      <c r="AH2946" s="133"/>
      <c r="AI2946" s="133"/>
      <c r="AJ2946" s="133"/>
      <c r="AK2946" s="133"/>
      <c r="AL2946" s="133"/>
      <c r="AM2946" s="133"/>
      <c r="AN2946" s="133"/>
      <c r="AO2946" s="133"/>
      <c r="AP2946" s="133"/>
      <c r="AQ2946" s="133"/>
      <c r="AR2946" s="133"/>
      <c r="AS2946" s="133"/>
      <c r="AT2946" s="133"/>
      <c r="AU2946" s="133"/>
      <c r="AV2946" s="133"/>
      <c r="AW2946" s="133"/>
      <c r="AX2946" s="133"/>
      <c r="AY2946" s="133"/>
      <c r="AZ2946" s="133"/>
      <c r="BA2946" s="133"/>
      <c r="BB2946" s="133"/>
      <c r="BC2946" s="133"/>
      <c r="BD2946" s="133"/>
      <c r="BE2946" s="133"/>
      <c r="BF2946" s="133"/>
      <c r="BG2946" s="133"/>
      <c r="BH2946" s="133"/>
      <c r="BI2946" s="133"/>
      <c r="BJ2946" s="133"/>
      <c r="BK2946" s="133"/>
      <c r="BL2946" s="133"/>
      <c r="BM2946" s="133"/>
      <c r="BN2946" s="133"/>
      <c r="BO2946" s="133"/>
      <c r="BP2946" s="133"/>
      <c r="BQ2946" s="133"/>
    </row>
    <row r="2947">
      <c r="A2947" s="194" t="s">
        <v>7785</v>
      </c>
      <c r="B2947" s="125"/>
      <c r="C2947" s="126">
        <v>43818.0</v>
      </c>
      <c r="D2947" s="133"/>
      <c r="E2947" s="124" t="s">
        <v>41</v>
      </c>
      <c r="F2947" s="198">
        <v>1.0</v>
      </c>
      <c r="G2947" s="124" t="s">
        <v>32</v>
      </c>
      <c r="H2947" s="303">
        <v>1.0</v>
      </c>
      <c r="I2947" s="124" t="s">
        <v>33</v>
      </c>
      <c r="J2947" s="124" t="s">
        <v>61</v>
      </c>
      <c r="K2947" s="133"/>
      <c r="L2947" s="124" t="s">
        <v>69</v>
      </c>
      <c r="M2947" s="242" t="s">
        <v>7786</v>
      </c>
      <c r="N2947" s="233"/>
      <c r="O2947" s="128"/>
      <c r="P2947" s="133"/>
      <c r="Q2947" s="124">
        <v>1.0</v>
      </c>
      <c r="R2947" s="128"/>
      <c r="S2947" s="91"/>
      <c r="T2947" s="96"/>
      <c r="U2947" s="38"/>
      <c r="V2947" s="124" t="s">
        <v>33</v>
      </c>
      <c r="W2947" s="233"/>
      <c r="X2947" s="233"/>
      <c r="Y2947" s="138"/>
      <c r="Z2947" s="133"/>
      <c r="AA2947" s="133"/>
      <c r="AB2947" s="133"/>
      <c r="AC2947" s="133"/>
      <c r="AD2947" s="133"/>
      <c r="AE2947" s="133"/>
      <c r="AF2947" s="133"/>
      <c r="AG2947" s="133"/>
      <c r="AH2947" s="133"/>
      <c r="AI2947" s="133"/>
      <c r="AJ2947" s="133"/>
      <c r="AK2947" s="133"/>
      <c r="AL2947" s="133"/>
      <c r="AM2947" s="133"/>
      <c r="AN2947" s="133"/>
      <c r="AO2947" s="133"/>
      <c r="AP2947" s="133"/>
      <c r="AQ2947" s="133"/>
      <c r="AR2947" s="133"/>
      <c r="AS2947" s="133"/>
      <c r="AT2947" s="133"/>
      <c r="AU2947" s="133"/>
      <c r="AV2947" s="133"/>
      <c r="AW2947" s="133"/>
      <c r="AX2947" s="133"/>
      <c r="AY2947" s="133"/>
      <c r="AZ2947" s="133"/>
      <c r="BA2947" s="133"/>
      <c r="BB2947" s="133"/>
      <c r="BC2947" s="133"/>
      <c r="BD2947" s="133"/>
      <c r="BE2947" s="133"/>
      <c r="BF2947" s="133"/>
      <c r="BG2947" s="133"/>
      <c r="BH2947" s="133"/>
      <c r="BI2947" s="133"/>
      <c r="BJ2947" s="133"/>
      <c r="BK2947" s="133"/>
      <c r="BL2947" s="133"/>
      <c r="BM2947" s="133"/>
      <c r="BN2947" s="133"/>
      <c r="BO2947" s="133"/>
      <c r="BP2947" s="133"/>
      <c r="BQ2947" s="133"/>
    </row>
    <row r="2948">
      <c r="A2948" s="194" t="s">
        <v>7787</v>
      </c>
      <c r="B2948" s="125"/>
      <c r="C2948" s="126">
        <v>43818.0</v>
      </c>
      <c r="D2948" s="133"/>
      <c r="E2948" s="124" t="s">
        <v>31</v>
      </c>
      <c r="F2948" s="198">
        <v>1.0</v>
      </c>
      <c r="G2948" s="124">
        <v>2.0</v>
      </c>
      <c r="H2948" s="303">
        <v>2.0</v>
      </c>
      <c r="I2948" s="124" t="s">
        <v>33</v>
      </c>
      <c r="J2948" s="124" t="s">
        <v>111</v>
      </c>
      <c r="K2948" s="133"/>
      <c r="L2948" s="124" t="s">
        <v>7738</v>
      </c>
      <c r="M2948" s="242" t="s">
        <v>7788</v>
      </c>
      <c r="N2948" s="219" t="s">
        <v>7789</v>
      </c>
      <c r="O2948" s="128"/>
      <c r="P2948" s="133"/>
      <c r="Q2948" s="124">
        <v>1.0</v>
      </c>
      <c r="R2948" s="128"/>
      <c r="S2948" s="91"/>
      <c r="T2948" s="96"/>
      <c r="U2948" s="38"/>
      <c r="V2948" s="124" t="s">
        <v>33</v>
      </c>
      <c r="W2948" s="219" t="s">
        <v>7790</v>
      </c>
      <c r="X2948" s="219" t="s">
        <v>7791</v>
      </c>
      <c r="Y2948" s="138"/>
      <c r="Z2948" s="133"/>
      <c r="AA2948" s="133"/>
      <c r="AB2948" s="133"/>
      <c r="AC2948" s="133"/>
      <c r="AD2948" s="133"/>
      <c r="AE2948" s="133"/>
      <c r="AF2948" s="133"/>
      <c r="AG2948" s="133"/>
      <c r="AH2948" s="133"/>
      <c r="AI2948" s="133"/>
      <c r="AJ2948" s="133"/>
      <c r="AK2948" s="133"/>
      <c r="AL2948" s="133"/>
      <c r="AM2948" s="133"/>
      <c r="AN2948" s="133"/>
      <c r="AO2948" s="133"/>
      <c r="AP2948" s="133"/>
      <c r="AQ2948" s="133"/>
      <c r="AR2948" s="133"/>
      <c r="AS2948" s="133"/>
      <c r="AT2948" s="133"/>
      <c r="AU2948" s="133"/>
      <c r="AV2948" s="133"/>
      <c r="AW2948" s="133"/>
      <c r="AX2948" s="133"/>
      <c r="AY2948" s="133"/>
      <c r="AZ2948" s="133"/>
      <c r="BA2948" s="133"/>
      <c r="BB2948" s="133"/>
      <c r="BC2948" s="133"/>
      <c r="BD2948" s="133"/>
      <c r="BE2948" s="133"/>
      <c r="BF2948" s="133"/>
      <c r="BG2948" s="133"/>
      <c r="BH2948" s="133"/>
      <c r="BI2948" s="133"/>
      <c r="BJ2948" s="133"/>
      <c r="BK2948" s="133"/>
      <c r="BL2948" s="133"/>
      <c r="BM2948" s="133"/>
      <c r="BN2948" s="133"/>
      <c r="BO2948" s="133"/>
      <c r="BP2948" s="133"/>
      <c r="BQ2948" s="133"/>
    </row>
    <row r="2949">
      <c r="A2949" s="194" t="s">
        <v>7792</v>
      </c>
      <c r="B2949" s="125"/>
      <c r="C2949" s="126">
        <v>43818.0</v>
      </c>
      <c r="D2949" s="133"/>
      <c r="E2949" s="124" t="s">
        <v>41</v>
      </c>
      <c r="F2949" s="198">
        <v>1.0</v>
      </c>
      <c r="G2949" s="124" t="s">
        <v>32</v>
      </c>
      <c r="H2949" s="303">
        <v>1.0</v>
      </c>
      <c r="I2949" s="124" t="s">
        <v>33</v>
      </c>
      <c r="J2949" s="124" t="s">
        <v>68</v>
      </c>
      <c r="K2949" s="133"/>
      <c r="L2949" s="124" t="s">
        <v>69</v>
      </c>
      <c r="M2949" s="242" t="s">
        <v>7793</v>
      </c>
      <c r="N2949" s="233"/>
      <c r="O2949" s="128"/>
      <c r="P2949" s="133"/>
      <c r="Q2949" s="124"/>
      <c r="R2949" s="128"/>
      <c r="S2949" s="91"/>
      <c r="T2949" s="96"/>
      <c r="U2949" s="38"/>
      <c r="V2949" s="124" t="s">
        <v>33</v>
      </c>
      <c r="W2949" s="233"/>
      <c r="X2949" s="233"/>
      <c r="Y2949" s="138"/>
      <c r="Z2949" s="133"/>
      <c r="AA2949" s="133"/>
      <c r="AB2949" s="133"/>
      <c r="AC2949" s="133"/>
      <c r="AD2949" s="133"/>
      <c r="AE2949" s="133"/>
      <c r="AF2949" s="133"/>
      <c r="AG2949" s="133"/>
      <c r="AH2949" s="133"/>
      <c r="AI2949" s="133"/>
      <c r="AJ2949" s="133"/>
      <c r="AK2949" s="133"/>
      <c r="AL2949" s="133"/>
      <c r="AM2949" s="133"/>
      <c r="AN2949" s="133"/>
      <c r="AO2949" s="133"/>
      <c r="AP2949" s="133"/>
      <c r="AQ2949" s="133"/>
      <c r="AR2949" s="133"/>
      <c r="AS2949" s="133"/>
      <c r="AT2949" s="133"/>
      <c r="AU2949" s="133"/>
      <c r="AV2949" s="133"/>
      <c r="AW2949" s="133"/>
      <c r="AX2949" s="133"/>
      <c r="AY2949" s="133"/>
      <c r="AZ2949" s="133"/>
      <c r="BA2949" s="133"/>
      <c r="BB2949" s="133"/>
      <c r="BC2949" s="133"/>
      <c r="BD2949" s="133"/>
      <c r="BE2949" s="133"/>
      <c r="BF2949" s="133"/>
      <c r="BG2949" s="133"/>
      <c r="BH2949" s="133"/>
      <c r="BI2949" s="133"/>
      <c r="BJ2949" s="133"/>
      <c r="BK2949" s="133"/>
      <c r="BL2949" s="133"/>
      <c r="BM2949" s="133"/>
      <c r="BN2949" s="133"/>
      <c r="BO2949" s="133"/>
      <c r="BP2949" s="133"/>
      <c r="BQ2949" s="133"/>
    </row>
    <row r="2950">
      <c r="A2950" s="194" t="s">
        <v>7794</v>
      </c>
      <c r="B2950" s="125"/>
      <c r="C2950" s="126">
        <v>43819.0</v>
      </c>
      <c r="D2950" s="133"/>
      <c r="E2950" s="124" t="s">
        <v>31</v>
      </c>
      <c r="F2950" s="198">
        <v>1.0</v>
      </c>
      <c r="G2950" s="124" t="s">
        <v>32</v>
      </c>
      <c r="H2950" s="303">
        <v>1.0</v>
      </c>
      <c r="I2950" s="124" t="s">
        <v>33</v>
      </c>
      <c r="J2950" s="124" t="s">
        <v>2167</v>
      </c>
      <c r="K2950" s="133"/>
      <c r="L2950" s="124" t="s">
        <v>99</v>
      </c>
      <c r="M2950" s="242" t="s">
        <v>7795</v>
      </c>
      <c r="N2950" s="233"/>
      <c r="O2950" s="128"/>
      <c r="P2950" s="133"/>
      <c r="Q2950" s="124"/>
      <c r="R2950" s="128"/>
      <c r="S2950" s="91"/>
      <c r="T2950" s="96"/>
      <c r="U2950" s="38"/>
      <c r="V2950" s="124" t="s">
        <v>33</v>
      </c>
      <c r="W2950" s="219" t="s">
        <v>7796</v>
      </c>
      <c r="X2950" s="219" t="s">
        <v>7797</v>
      </c>
      <c r="Y2950" s="138"/>
      <c r="Z2950" s="133"/>
      <c r="AA2950" s="133"/>
      <c r="AB2950" s="133"/>
      <c r="AC2950" s="133"/>
      <c r="AD2950" s="133"/>
      <c r="AE2950" s="133"/>
      <c r="AF2950" s="133"/>
      <c r="AG2950" s="133"/>
      <c r="AH2950" s="133"/>
      <c r="AI2950" s="133"/>
      <c r="AJ2950" s="133"/>
      <c r="AK2950" s="133"/>
      <c r="AL2950" s="133"/>
      <c r="AM2950" s="133"/>
      <c r="AN2950" s="133"/>
      <c r="AO2950" s="133"/>
      <c r="AP2950" s="133"/>
      <c r="AQ2950" s="133"/>
      <c r="AR2950" s="133"/>
      <c r="AS2950" s="133"/>
      <c r="AT2950" s="133"/>
      <c r="AU2950" s="133"/>
      <c r="AV2950" s="133"/>
      <c r="AW2950" s="133"/>
      <c r="AX2950" s="133"/>
      <c r="AY2950" s="133"/>
      <c r="AZ2950" s="133"/>
      <c r="BA2950" s="133"/>
      <c r="BB2950" s="133"/>
      <c r="BC2950" s="133"/>
      <c r="BD2950" s="133"/>
      <c r="BE2950" s="133"/>
      <c r="BF2950" s="133"/>
      <c r="BG2950" s="133"/>
      <c r="BH2950" s="133"/>
      <c r="BI2950" s="133"/>
      <c r="BJ2950" s="133"/>
      <c r="BK2950" s="133"/>
      <c r="BL2950" s="133"/>
      <c r="BM2950" s="133"/>
      <c r="BN2950" s="133"/>
      <c r="BO2950" s="133"/>
      <c r="BP2950" s="133"/>
      <c r="BQ2950" s="133"/>
    </row>
    <row r="2951">
      <c r="A2951" s="194" t="s">
        <v>7798</v>
      </c>
      <c r="B2951" s="125"/>
      <c r="C2951" s="126">
        <v>43822.0</v>
      </c>
      <c r="D2951" s="133"/>
      <c r="E2951" s="124" t="s">
        <v>31</v>
      </c>
      <c r="F2951" s="198">
        <v>1.0</v>
      </c>
      <c r="G2951" s="124" t="s">
        <v>32</v>
      </c>
      <c r="H2951" s="303">
        <v>1.0</v>
      </c>
      <c r="I2951" s="124" t="s">
        <v>33</v>
      </c>
      <c r="J2951" s="124" t="s">
        <v>343</v>
      </c>
      <c r="K2951" s="133"/>
      <c r="L2951" s="128" t="s">
        <v>69</v>
      </c>
      <c r="M2951" s="242" t="s">
        <v>7799</v>
      </c>
      <c r="N2951" s="233" t="s">
        <v>7800</v>
      </c>
      <c r="O2951" s="128"/>
      <c r="P2951" s="133"/>
      <c r="Q2951" s="124"/>
      <c r="R2951" s="128"/>
      <c r="S2951" s="91"/>
      <c r="T2951" s="96"/>
      <c r="U2951" s="38"/>
      <c r="V2951" s="124" t="s">
        <v>33</v>
      </c>
      <c r="W2951" s="219" t="s">
        <v>7801</v>
      </c>
      <c r="X2951" s="219" t="s">
        <v>7802</v>
      </c>
      <c r="Y2951" s="138"/>
      <c r="Z2951" s="133"/>
      <c r="AA2951" s="133"/>
      <c r="AB2951" s="133"/>
      <c r="AC2951" s="133"/>
      <c r="AD2951" s="133"/>
      <c r="AE2951" s="133"/>
      <c r="AF2951" s="133"/>
      <c r="AG2951" s="133"/>
      <c r="AH2951" s="133"/>
      <c r="AI2951" s="133"/>
      <c r="AJ2951" s="133"/>
      <c r="AK2951" s="133"/>
      <c r="AL2951" s="133"/>
      <c r="AM2951" s="133"/>
      <c r="AN2951" s="133"/>
      <c r="AO2951" s="133"/>
      <c r="AP2951" s="133"/>
      <c r="AQ2951" s="133"/>
      <c r="AR2951" s="133"/>
      <c r="AS2951" s="133"/>
      <c r="AT2951" s="133"/>
      <c r="AU2951" s="133"/>
      <c r="AV2951" s="133"/>
      <c r="AW2951" s="133"/>
      <c r="AX2951" s="133"/>
      <c r="AY2951" s="133"/>
      <c r="AZ2951" s="133"/>
      <c r="BA2951" s="133"/>
      <c r="BB2951" s="133"/>
      <c r="BC2951" s="133"/>
      <c r="BD2951" s="133"/>
      <c r="BE2951" s="133"/>
      <c r="BF2951" s="133"/>
      <c r="BG2951" s="133"/>
      <c r="BH2951" s="133"/>
      <c r="BI2951" s="133"/>
      <c r="BJ2951" s="133"/>
      <c r="BK2951" s="133"/>
      <c r="BL2951" s="133"/>
      <c r="BM2951" s="133"/>
      <c r="BN2951" s="133"/>
      <c r="BO2951" s="133"/>
      <c r="BP2951" s="133"/>
      <c r="BQ2951" s="133"/>
    </row>
    <row r="2952">
      <c r="A2952" s="194" t="s">
        <v>7803</v>
      </c>
      <c r="B2952" s="125"/>
      <c r="C2952" s="126">
        <v>43828.0</v>
      </c>
      <c r="D2952" s="133"/>
      <c r="E2952" s="124" t="s">
        <v>41</v>
      </c>
      <c r="F2952" s="198">
        <v>1.0</v>
      </c>
      <c r="G2952" s="124" t="s">
        <v>32</v>
      </c>
      <c r="H2952" s="303">
        <v>1.0</v>
      </c>
      <c r="I2952" s="124" t="s">
        <v>33</v>
      </c>
      <c r="J2952" s="124" t="s">
        <v>222</v>
      </c>
      <c r="K2952" s="133"/>
      <c r="L2952" s="124" t="s">
        <v>6820</v>
      </c>
      <c r="M2952" s="242" t="s">
        <v>7804</v>
      </c>
      <c r="N2952" s="233"/>
      <c r="O2952" s="128"/>
      <c r="P2952" s="133"/>
      <c r="Q2952" s="128"/>
      <c r="R2952" s="128"/>
      <c r="S2952" s="91"/>
      <c r="T2952" s="96"/>
      <c r="U2952" s="38" t="b">
        <f>countif(A$4:A4658, A2952)&gt;1</f>
        <v>0</v>
      </c>
      <c r="V2952" s="124" t="s">
        <v>33</v>
      </c>
      <c r="W2952" s="233"/>
      <c r="X2952" s="233"/>
      <c r="Y2952" s="138"/>
      <c r="Z2952" s="133"/>
      <c r="AA2952" s="133"/>
      <c r="AB2952" s="133"/>
      <c r="AC2952" s="133"/>
      <c r="AD2952" s="133"/>
      <c r="AE2952" s="133"/>
      <c r="AF2952" s="133"/>
      <c r="AG2952" s="133"/>
      <c r="AH2952" s="133"/>
      <c r="AI2952" s="133"/>
      <c r="AJ2952" s="133"/>
      <c r="AK2952" s="133"/>
      <c r="AL2952" s="133"/>
      <c r="AM2952" s="133"/>
      <c r="AN2952" s="133"/>
      <c r="AO2952" s="133"/>
      <c r="AP2952" s="133"/>
      <c r="AQ2952" s="133"/>
      <c r="AR2952" s="133"/>
      <c r="AS2952" s="133"/>
      <c r="AT2952" s="133"/>
      <c r="AU2952" s="133"/>
      <c r="AV2952" s="133"/>
      <c r="AW2952" s="133"/>
      <c r="AX2952" s="133"/>
      <c r="AY2952" s="133"/>
      <c r="AZ2952" s="133"/>
      <c r="BA2952" s="133"/>
      <c r="BB2952" s="133"/>
      <c r="BC2952" s="133"/>
      <c r="BD2952" s="133"/>
      <c r="BE2952" s="133"/>
      <c r="BF2952" s="133"/>
      <c r="BG2952" s="133"/>
      <c r="BH2952" s="133"/>
      <c r="BI2952" s="133"/>
      <c r="BJ2952" s="133"/>
      <c r="BK2952" s="133"/>
      <c r="BL2952" s="133"/>
      <c r="BM2952" s="133"/>
      <c r="BN2952" s="133"/>
      <c r="BO2952" s="133"/>
      <c r="BP2952" s="133"/>
      <c r="BQ2952" s="133"/>
    </row>
    <row r="2953">
      <c r="A2953" s="194" t="s">
        <v>7805</v>
      </c>
      <c r="B2953" s="125"/>
      <c r="C2953" s="195">
        <v>43831.0</v>
      </c>
      <c r="D2953" s="133"/>
      <c r="E2953" s="124" t="s">
        <v>31</v>
      </c>
      <c r="F2953" s="198">
        <v>1.0</v>
      </c>
      <c r="G2953" s="124">
        <v>4.0</v>
      </c>
      <c r="H2953" s="303">
        <v>4.0</v>
      </c>
      <c r="I2953" s="124" t="s">
        <v>33</v>
      </c>
      <c r="J2953" s="124" t="s">
        <v>140</v>
      </c>
      <c r="K2953" s="133"/>
      <c r="L2953" s="124" t="s">
        <v>76</v>
      </c>
      <c r="M2953" s="242" t="s">
        <v>7806</v>
      </c>
      <c r="N2953" s="219" t="s">
        <v>7807</v>
      </c>
      <c r="O2953" s="128"/>
      <c r="P2953" s="133"/>
      <c r="Q2953" s="128"/>
      <c r="R2953" s="128"/>
      <c r="S2953" s="91"/>
      <c r="T2953" s="96"/>
      <c r="U2953" s="96"/>
      <c r="V2953" s="124" t="s">
        <v>33</v>
      </c>
      <c r="W2953" s="219" t="s">
        <v>7808</v>
      </c>
      <c r="X2953" s="219" t="s">
        <v>7809</v>
      </c>
      <c r="Y2953" s="138"/>
      <c r="Z2953" s="133"/>
      <c r="AA2953" s="133"/>
      <c r="AB2953" s="133"/>
      <c r="AC2953" s="133"/>
      <c r="AD2953" s="133"/>
      <c r="AE2953" s="133"/>
      <c r="AF2953" s="133"/>
      <c r="AG2953" s="133"/>
      <c r="AH2953" s="133"/>
      <c r="AI2953" s="133"/>
      <c r="AJ2953" s="133"/>
      <c r="AK2953" s="133"/>
      <c r="AL2953" s="133"/>
      <c r="AM2953" s="133"/>
      <c r="AN2953" s="133"/>
      <c r="AO2953" s="133"/>
      <c r="AP2953" s="133"/>
      <c r="AQ2953" s="133"/>
      <c r="AR2953" s="133"/>
      <c r="AS2953" s="133"/>
      <c r="AT2953" s="133"/>
      <c r="AU2953" s="133"/>
      <c r="AV2953" s="133"/>
      <c r="AW2953" s="133"/>
      <c r="AX2953" s="133"/>
      <c r="AY2953" s="133"/>
      <c r="AZ2953" s="133"/>
      <c r="BA2953" s="133"/>
      <c r="BB2953" s="133"/>
      <c r="BC2953" s="133"/>
      <c r="BD2953" s="133"/>
      <c r="BE2953" s="133"/>
      <c r="BF2953" s="133"/>
      <c r="BG2953" s="133"/>
      <c r="BH2953" s="133"/>
      <c r="BI2953" s="133"/>
      <c r="BJ2953" s="133"/>
      <c r="BK2953" s="133"/>
      <c r="BL2953" s="133"/>
      <c r="BM2953" s="133"/>
      <c r="BN2953" s="133"/>
      <c r="BO2953" s="133"/>
      <c r="BP2953" s="133"/>
      <c r="BQ2953" s="133"/>
    </row>
    <row r="2954">
      <c r="A2954" s="194" t="s">
        <v>7810</v>
      </c>
      <c r="B2954" s="125"/>
      <c r="C2954" s="195">
        <v>43831.0</v>
      </c>
      <c r="D2954" s="133"/>
      <c r="E2954" s="124" t="s">
        <v>41</v>
      </c>
      <c r="F2954" s="198">
        <v>1.0</v>
      </c>
      <c r="G2954" s="124" t="s">
        <v>32</v>
      </c>
      <c r="H2954" s="303">
        <v>1.0</v>
      </c>
      <c r="I2954" s="124" t="s">
        <v>33</v>
      </c>
      <c r="J2954" s="124" t="s">
        <v>514</v>
      </c>
      <c r="K2954" s="133"/>
      <c r="L2954" s="124" t="s">
        <v>119</v>
      </c>
      <c r="M2954" s="242" t="s">
        <v>7811</v>
      </c>
      <c r="N2954" s="138"/>
      <c r="O2954" s="128"/>
      <c r="P2954" s="133"/>
      <c r="Q2954" s="128"/>
      <c r="R2954" s="128"/>
      <c r="S2954" s="91"/>
      <c r="T2954" s="96"/>
      <c r="U2954" s="96"/>
      <c r="V2954" s="124" t="s">
        <v>33</v>
      </c>
      <c r="W2954" s="138"/>
      <c r="X2954" s="138"/>
      <c r="Y2954" s="138"/>
      <c r="Z2954" s="133"/>
      <c r="AA2954" s="133"/>
      <c r="AB2954" s="133"/>
      <c r="AC2954" s="133"/>
      <c r="AD2954" s="133"/>
      <c r="AE2954" s="133"/>
      <c r="AF2954" s="133"/>
      <c r="AG2954" s="133"/>
      <c r="AH2954" s="133"/>
      <c r="AI2954" s="133"/>
      <c r="AJ2954" s="133"/>
      <c r="AK2954" s="133"/>
      <c r="AL2954" s="133"/>
      <c r="AM2954" s="133"/>
      <c r="AN2954" s="133"/>
      <c r="AO2954" s="133"/>
      <c r="AP2954" s="133"/>
      <c r="AQ2954" s="133"/>
      <c r="AR2954" s="133"/>
      <c r="AS2954" s="133"/>
      <c r="AT2954" s="133"/>
      <c r="AU2954" s="133"/>
      <c r="AV2954" s="133"/>
      <c r="AW2954" s="133"/>
      <c r="AX2954" s="133"/>
      <c r="AY2954" s="133"/>
      <c r="AZ2954" s="133"/>
      <c r="BA2954" s="133"/>
      <c r="BB2954" s="133"/>
      <c r="BC2954" s="133"/>
      <c r="BD2954" s="133"/>
      <c r="BE2954" s="133"/>
      <c r="BF2954" s="133"/>
      <c r="BG2954" s="133"/>
      <c r="BH2954" s="133"/>
      <c r="BI2954" s="133"/>
      <c r="BJ2954" s="133"/>
      <c r="BK2954" s="133"/>
      <c r="BL2954" s="133"/>
      <c r="BM2954" s="133"/>
      <c r="BN2954" s="133"/>
      <c r="BO2954" s="133"/>
      <c r="BP2954" s="133"/>
      <c r="BQ2954" s="133"/>
    </row>
    <row r="2955">
      <c r="A2955" s="194" t="s">
        <v>7812</v>
      </c>
      <c r="B2955" s="125"/>
      <c r="C2955" s="195">
        <v>43831.0</v>
      </c>
      <c r="D2955" s="133"/>
      <c r="E2955" s="124" t="s">
        <v>41</v>
      </c>
      <c r="F2955" s="198">
        <v>1.0</v>
      </c>
      <c r="G2955" s="124" t="s">
        <v>32</v>
      </c>
      <c r="H2955" s="303">
        <v>1.0</v>
      </c>
      <c r="I2955" s="124" t="s">
        <v>33</v>
      </c>
      <c r="J2955" s="124" t="s">
        <v>179</v>
      </c>
      <c r="K2955" s="133"/>
      <c r="L2955" s="124" t="s">
        <v>119</v>
      </c>
      <c r="M2955" s="242" t="s">
        <v>7813</v>
      </c>
      <c r="N2955" s="138"/>
      <c r="O2955" s="128"/>
      <c r="P2955" s="133"/>
      <c r="Q2955" s="128"/>
      <c r="R2955" s="128"/>
      <c r="S2955" s="91"/>
      <c r="T2955" s="96"/>
      <c r="U2955" s="96"/>
      <c r="V2955" s="124" t="s">
        <v>33</v>
      </c>
      <c r="W2955" s="138"/>
      <c r="X2955" s="138"/>
      <c r="Y2955" s="138"/>
      <c r="Z2955" s="133"/>
      <c r="AA2955" s="133"/>
      <c r="AB2955" s="133"/>
      <c r="AC2955" s="133"/>
      <c r="AD2955" s="133"/>
      <c r="AE2955" s="133"/>
      <c r="AF2955" s="133"/>
      <c r="AG2955" s="133"/>
      <c r="AH2955" s="133"/>
      <c r="AI2955" s="133"/>
      <c r="AJ2955" s="133"/>
      <c r="AK2955" s="133"/>
      <c r="AL2955" s="133"/>
      <c r="AM2955" s="133"/>
      <c r="AN2955" s="133"/>
      <c r="AO2955" s="133"/>
      <c r="AP2955" s="133"/>
      <c r="AQ2955" s="133"/>
      <c r="AR2955" s="133"/>
      <c r="AS2955" s="133"/>
      <c r="AT2955" s="133"/>
      <c r="AU2955" s="133"/>
      <c r="AV2955" s="133"/>
      <c r="AW2955" s="133"/>
      <c r="AX2955" s="133"/>
      <c r="AY2955" s="133"/>
      <c r="AZ2955" s="133"/>
      <c r="BA2955" s="133"/>
      <c r="BB2955" s="133"/>
      <c r="BC2955" s="133"/>
      <c r="BD2955" s="133"/>
      <c r="BE2955" s="133"/>
      <c r="BF2955" s="133"/>
      <c r="BG2955" s="133"/>
      <c r="BH2955" s="133"/>
      <c r="BI2955" s="133"/>
      <c r="BJ2955" s="133"/>
      <c r="BK2955" s="133"/>
      <c r="BL2955" s="133"/>
      <c r="BM2955" s="133"/>
      <c r="BN2955" s="133"/>
      <c r="BO2955" s="133"/>
      <c r="BP2955" s="133"/>
      <c r="BQ2955" s="133"/>
    </row>
    <row r="2956">
      <c r="A2956" s="194" t="s">
        <v>7814</v>
      </c>
      <c r="B2956" s="125"/>
      <c r="C2956" s="195">
        <v>43831.0</v>
      </c>
      <c r="D2956" s="133"/>
      <c r="E2956" s="124" t="s">
        <v>41</v>
      </c>
      <c r="F2956" s="198">
        <v>1.0</v>
      </c>
      <c r="G2956" s="124" t="s">
        <v>32</v>
      </c>
      <c r="H2956" s="303">
        <v>1.0</v>
      </c>
      <c r="I2956" s="124" t="s">
        <v>33</v>
      </c>
      <c r="J2956" s="124" t="s">
        <v>410</v>
      </c>
      <c r="K2956" s="133"/>
      <c r="L2956" s="128" t="s">
        <v>69</v>
      </c>
      <c r="M2956" s="242" t="s">
        <v>7815</v>
      </c>
      <c r="N2956" s="138"/>
      <c r="O2956" s="128"/>
      <c r="P2956" s="133"/>
      <c r="Q2956" s="128"/>
      <c r="R2956" s="128"/>
      <c r="S2956" s="91"/>
      <c r="T2956" s="96"/>
      <c r="U2956" s="96"/>
      <c r="V2956" s="124" t="s">
        <v>33</v>
      </c>
      <c r="W2956" s="138"/>
      <c r="X2956" s="138"/>
      <c r="Y2956" s="138"/>
      <c r="Z2956" s="133"/>
      <c r="AA2956" s="133"/>
      <c r="AB2956" s="133"/>
      <c r="AC2956" s="133"/>
      <c r="AD2956" s="133"/>
      <c r="AE2956" s="133"/>
      <c r="AF2956" s="133"/>
      <c r="AG2956" s="133"/>
      <c r="AH2956" s="133"/>
      <c r="AI2956" s="133"/>
      <c r="AJ2956" s="133"/>
      <c r="AK2956" s="133"/>
      <c r="AL2956" s="133"/>
      <c r="AM2956" s="133"/>
      <c r="AN2956" s="133"/>
      <c r="AO2956" s="133"/>
      <c r="AP2956" s="133"/>
      <c r="AQ2956" s="133"/>
      <c r="AR2956" s="133"/>
      <c r="AS2956" s="133"/>
      <c r="AT2956" s="133"/>
      <c r="AU2956" s="133"/>
      <c r="AV2956" s="133"/>
      <c r="AW2956" s="133"/>
      <c r="AX2956" s="133"/>
      <c r="AY2956" s="133"/>
      <c r="AZ2956" s="133"/>
      <c r="BA2956" s="133"/>
      <c r="BB2956" s="133"/>
      <c r="BC2956" s="133"/>
      <c r="BD2956" s="133"/>
      <c r="BE2956" s="133"/>
      <c r="BF2956" s="133"/>
      <c r="BG2956" s="133"/>
      <c r="BH2956" s="133"/>
      <c r="BI2956" s="133"/>
      <c r="BJ2956" s="133"/>
      <c r="BK2956" s="133"/>
      <c r="BL2956" s="133"/>
      <c r="BM2956" s="133"/>
      <c r="BN2956" s="133"/>
      <c r="BO2956" s="133"/>
      <c r="BP2956" s="133"/>
      <c r="BQ2956" s="133"/>
    </row>
    <row r="2957">
      <c r="A2957" s="194" t="s">
        <v>239</v>
      </c>
      <c r="B2957" s="125"/>
      <c r="C2957" s="195">
        <v>43831.0</v>
      </c>
      <c r="D2957" s="133"/>
      <c r="E2957" s="124" t="s">
        <v>41</v>
      </c>
      <c r="F2957" s="198">
        <v>293.0</v>
      </c>
      <c r="G2957" s="124">
        <v>87.0</v>
      </c>
      <c r="H2957" s="303">
        <v>87.0</v>
      </c>
      <c r="I2957" s="124" t="s">
        <v>33</v>
      </c>
      <c r="J2957" s="124" t="s">
        <v>111</v>
      </c>
      <c r="K2957" s="133"/>
      <c r="L2957" s="124" t="s">
        <v>7816</v>
      </c>
      <c r="M2957" s="242" t="s">
        <v>7817</v>
      </c>
      <c r="N2957" s="138"/>
      <c r="O2957" s="128"/>
      <c r="P2957" s="133"/>
      <c r="Q2957" s="128"/>
      <c r="R2957" s="128"/>
      <c r="S2957" s="91"/>
      <c r="T2957" s="96"/>
      <c r="U2957" s="96"/>
      <c r="V2957" s="128"/>
      <c r="W2957" s="138"/>
      <c r="X2957" s="138"/>
      <c r="Y2957" s="138"/>
      <c r="Z2957" s="133"/>
      <c r="AA2957" s="133"/>
      <c r="AB2957" s="133"/>
      <c r="AC2957" s="133"/>
      <c r="AD2957" s="133"/>
      <c r="AE2957" s="133"/>
      <c r="AF2957" s="133"/>
      <c r="AG2957" s="133"/>
      <c r="AH2957" s="133"/>
      <c r="AI2957" s="133"/>
      <c r="AJ2957" s="133"/>
      <c r="AK2957" s="133"/>
      <c r="AL2957" s="133"/>
      <c r="AM2957" s="133"/>
      <c r="AN2957" s="133"/>
      <c r="AO2957" s="133"/>
      <c r="AP2957" s="133"/>
      <c r="AQ2957" s="133"/>
      <c r="AR2957" s="133"/>
      <c r="AS2957" s="133"/>
      <c r="AT2957" s="133"/>
      <c r="AU2957" s="133"/>
      <c r="AV2957" s="133"/>
      <c r="AW2957" s="133"/>
      <c r="AX2957" s="133"/>
      <c r="AY2957" s="133"/>
      <c r="AZ2957" s="133"/>
      <c r="BA2957" s="133"/>
      <c r="BB2957" s="133"/>
      <c r="BC2957" s="133"/>
      <c r="BD2957" s="133"/>
      <c r="BE2957" s="133"/>
      <c r="BF2957" s="133"/>
      <c r="BG2957" s="133"/>
      <c r="BH2957" s="133"/>
      <c r="BI2957" s="133"/>
      <c r="BJ2957" s="133"/>
      <c r="BK2957" s="133"/>
      <c r="BL2957" s="133"/>
      <c r="BM2957" s="133"/>
      <c r="BN2957" s="133"/>
      <c r="BO2957" s="133"/>
      <c r="BP2957" s="133"/>
      <c r="BQ2957" s="133"/>
    </row>
    <row r="2958">
      <c r="A2958" s="194" t="s">
        <v>7818</v>
      </c>
      <c r="B2958" s="125"/>
      <c r="C2958" s="195">
        <v>43831.0</v>
      </c>
      <c r="D2958" s="133"/>
      <c r="E2958" s="124" t="s">
        <v>31</v>
      </c>
      <c r="F2958" s="198">
        <v>1.0</v>
      </c>
      <c r="G2958" s="124" t="s">
        <v>32</v>
      </c>
      <c r="H2958" s="303">
        <v>1.0</v>
      </c>
      <c r="I2958" s="124" t="s">
        <v>33</v>
      </c>
      <c r="J2958" s="124" t="s">
        <v>460</v>
      </c>
      <c r="K2958" s="133"/>
      <c r="L2958" s="124" t="s">
        <v>119</v>
      </c>
      <c r="M2958" s="242" t="s">
        <v>7819</v>
      </c>
      <c r="N2958" s="219" t="s">
        <v>7820</v>
      </c>
      <c r="O2958" s="128"/>
      <c r="P2958" s="133"/>
      <c r="Q2958" s="128"/>
      <c r="R2958" s="128"/>
      <c r="S2958" s="91"/>
      <c r="T2958" s="96"/>
      <c r="U2958" s="96"/>
      <c r="V2958" s="124" t="s">
        <v>33</v>
      </c>
      <c r="W2958" s="219" t="s">
        <v>7821</v>
      </c>
      <c r="X2958" s="219" t="s">
        <v>7822</v>
      </c>
      <c r="Y2958" s="233"/>
      <c r="Z2958" s="133"/>
      <c r="AA2958" s="133"/>
      <c r="AB2958" s="133"/>
      <c r="AC2958" s="133"/>
      <c r="AD2958" s="133"/>
      <c r="AE2958" s="133"/>
      <c r="AF2958" s="133"/>
      <c r="AG2958" s="133"/>
      <c r="AH2958" s="133"/>
      <c r="AI2958" s="133"/>
      <c r="AJ2958" s="133"/>
      <c r="AK2958" s="133"/>
      <c r="AL2958" s="133"/>
      <c r="AM2958" s="133"/>
      <c r="AN2958" s="133"/>
      <c r="AO2958" s="133"/>
      <c r="AP2958" s="133"/>
      <c r="AQ2958" s="133"/>
      <c r="AR2958" s="133"/>
      <c r="AS2958" s="133"/>
      <c r="AT2958" s="133"/>
      <c r="AU2958" s="133"/>
      <c r="AV2958" s="133"/>
      <c r="AW2958" s="133"/>
      <c r="AX2958" s="133"/>
      <c r="AY2958" s="133"/>
      <c r="AZ2958" s="133"/>
      <c r="BA2958" s="133"/>
      <c r="BB2958" s="133"/>
      <c r="BC2958" s="133"/>
      <c r="BD2958" s="133"/>
      <c r="BE2958" s="133"/>
      <c r="BF2958" s="133"/>
      <c r="BG2958" s="133"/>
      <c r="BH2958" s="133"/>
      <c r="BI2958" s="133"/>
      <c r="BJ2958" s="133"/>
      <c r="BK2958" s="133"/>
      <c r="BL2958" s="133"/>
      <c r="BM2958" s="133"/>
      <c r="BN2958" s="133"/>
      <c r="BO2958" s="133"/>
      <c r="BP2958" s="133"/>
      <c r="BQ2958" s="133"/>
    </row>
    <row r="2959">
      <c r="A2959" s="194" t="s">
        <v>7823</v>
      </c>
      <c r="B2959" s="125"/>
      <c r="C2959" s="195">
        <v>43831.0</v>
      </c>
      <c r="D2959" s="133"/>
      <c r="E2959" s="124" t="s">
        <v>41</v>
      </c>
      <c r="F2959" s="198">
        <v>1.0</v>
      </c>
      <c r="G2959" s="124" t="s">
        <v>32</v>
      </c>
      <c r="H2959" s="303">
        <v>1.0</v>
      </c>
      <c r="I2959" s="124" t="s">
        <v>33</v>
      </c>
      <c r="J2959" s="124" t="s">
        <v>318</v>
      </c>
      <c r="K2959" s="133"/>
      <c r="L2959" s="124" t="s">
        <v>7824</v>
      </c>
      <c r="M2959" s="242" t="s">
        <v>7825</v>
      </c>
      <c r="N2959" s="138"/>
      <c r="O2959" s="128"/>
      <c r="P2959" s="133"/>
      <c r="Q2959" s="128"/>
      <c r="R2959" s="128"/>
      <c r="S2959" s="91"/>
      <c r="T2959" s="96"/>
      <c r="U2959" s="96"/>
      <c r="V2959" s="124" t="s">
        <v>33</v>
      </c>
      <c r="W2959" s="138"/>
      <c r="X2959" s="138"/>
      <c r="Y2959" s="138"/>
      <c r="Z2959" s="133"/>
      <c r="AA2959" s="133"/>
      <c r="AB2959" s="133"/>
      <c r="AC2959" s="133"/>
      <c r="AD2959" s="133"/>
      <c r="AE2959" s="133"/>
      <c r="AF2959" s="133"/>
      <c r="AG2959" s="133"/>
      <c r="AH2959" s="133"/>
      <c r="AI2959" s="133"/>
      <c r="AJ2959" s="133"/>
      <c r="AK2959" s="133"/>
      <c r="AL2959" s="133"/>
      <c r="AM2959" s="133"/>
      <c r="AN2959" s="133"/>
      <c r="AO2959" s="133"/>
      <c r="AP2959" s="133"/>
      <c r="AQ2959" s="133"/>
      <c r="AR2959" s="133"/>
      <c r="AS2959" s="133"/>
      <c r="AT2959" s="133"/>
      <c r="AU2959" s="133"/>
      <c r="AV2959" s="133"/>
      <c r="AW2959" s="133"/>
      <c r="AX2959" s="133"/>
      <c r="AY2959" s="133"/>
      <c r="AZ2959" s="133"/>
      <c r="BA2959" s="133"/>
      <c r="BB2959" s="133"/>
      <c r="BC2959" s="133"/>
      <c r="BD2959" s="133"/>
      <c r="BE2959" s="133"/>
      <c r="BF2959" s="133"/>
      <c r="BG2959" s="133"/>
      <c r="BH2959" s="133"/>
      <c r="BI2959" s="133"/>
      <c r="BJ2959" s="133"/>
      <c r="BK2959" s="133"/>
      <c r="BL2959" s="133"/>
      <c r="BM2959" s="133"/>
      <c r="BN2959" s="133"/>
      <c r="BO2959" s="133"/>
      <c r="BP2959" s="133"/>
      <c r="BQ2959" s="133"/>
    </row>
    <row r="2960">
      <c r="A2960" s="194" t="s">
        <v>7826</v>
      </c>
      <c r="B2960" s="125"/>
      <c r="C2960" s="126">
        <v>43838.0</v>
      </c>
      <c r="D2960" s="133"/>
      <c r="E2960" s="124" t="s">
        <v>31</v>
      </c>
      <c r="F2960" s="198">
        <v>1.0</v>
      </c>
      <c r="G2960" s="124" t="s">
        <v>32</v>
      </c>
      <c r="H2960" s="303">
        <v>1.0</v>
      </c>
      <c r="I2960" s="124" t="s">
        <v>33</v>
      </c>
      <c r="J2960" s="124" t="s">
        <v>98</v>
      </c>
      <c r="K2960" s="133"/>
      <c r="L2960" s="124" t="s">
        <v>119</v>
      </c>
      <c r="M2960" s="242" t="s">
        <v>7827</v>
      </c>
      <c r="N2960" s="219" t="s">
        <v>7828</v>
      </c>
      <c r="O2960" s="128"/>
      <c r="P2960" s="133"/>
      <c r="Q2960" s="128"/>
      <c r="R2960" s="128"/>
      <c r="S2960" s="91"/>
      <c r="T2960" s="96"/>
      <c r="U2960" s="96"/>
      <c r="V2960" s="124" t="s">
        <v>33</v>
      </c>
      <c r="W2960" s="305" t="s">
        <v>7829</v>
      </c>
      <c r="X2960" s="219" t="s">
        <v>7830</v>
      </c>
      <c r="Y2960" s="138"/>
      <c r="Z2960" s="133"/>
      <c r="AA2960" s="133"/>
      <c r="AB2960" s="133"/>
      <c r="AC2960" s="133"/>
      <c r="AD2960" s="133"/>
      <c r="AE2960" s="133"/>
      <c r="AF2960" s="133"/>
      <c r="AG2960" s="133"/>
      <c r="AH2960" s="133"/>
      <c r="AI2960" s="133"/>
      <c r="AJ2960" s="133"/>
      <c r="AK2960" s="133"/>
      <c r="AL2960" s="133"/>
      <c r="AM2960" s="133"/>
      <c r="AN2960" s="133"/>
      <c r="AO2960" s="133"/>
      <c r="AP2960" s="133"/>
      <c r="AQ2960" s="133"/>
      <c r="AR2960" s="133"/>
      <c r="AS2960" s="133"/>
      <c r="AT2960" s="133"/>
      <c r="AU2960" s="133"/>
      <c r="AV2960" s="133"/>
      <c r="AW2960" s="133"/>
      <c r="AX2960" s="133"/>
      <c r="AY2960" s="133"/>
      <c r="AZ2960" s="133"/>
      <c r="BA2960" s="133"/>
      <c r="BB2960" s="133"/>
      <c r="BC2960" s="133"/>
      <c r="BD2960" s="133"/>
      <c r="BE2960" s="133"/>
      <c r="BF2960" s="133"/>
      <c r="BG2960" s="133"/>
      <c r="BH2960" s="133"/>
      <c r="BI2960" s="133"/>
      <c r="BJ2960" s="133"/>
      <c r="BK2960" s="133"/>
      <c r="BL2960" s="133"/>
      <c r="BM2960" s="133"/>
      <c r="BN2960" s="133"/>
      <c r="BO2960" s="133"/>
      <c r="BP2960" s="133"/>
      <c r="BQ2960" s="133"/>
    </row>
    <row r="2961">
      <c r="A2961" s="194" t="s">
        <v>7831</v>
      </c>
      <c r="B2961" s="125"/>
      <c r="C2961" s="126">
        <v>43840.0</v>
      </c>
      <c r="D2961" s="133"/>
      <c r="E2961" s="124" t="s">
        <v>41</v>
      </c>
      <c r="F2961" s="198">
        <v>1.0</v>
      </c>
      <c r="G2961" s="124">
        <v>1.0</v>
      </c>
      <c r="H2961" s="303">
        <v>1.0</v>
      </c>
      <c r="I2961" s="124" t="s">
        <v>33</v>
      </c>
      <c r="J2961" s="124" t="s">
        <v>147</v>
      </c>
      <c r="K2961" s="133"/>
      <c r="L2961" s="124" t="s">
        <v>76</v>
      </c>
      <c r="M2961" s="242" t="s">
        <v>4190</v>
      </c>
      <c r="N2961" s="138"/>
      <c r="O2961" s="128"/>
      <c r="P2961" s="133"/>
      <c r="Q2961" s="124">
        <v>1.0</v>
      </c>
      <c r="R2961" s="128"/>
      <c r="S2961" s="91"/>
      <c r="T2961" s="96"/>
      <c r="U2961" s="96"/>
      <c r="V2961" s="124" t="s">
        <v>33</v>
      </c>
      <c r="W2961" s="138"/>
      <c r="X2961" s="138"/>
      <c r="Y2961" s="138"/>
      <c r="Z2961" s="133"/>
      <c r="AA2961" s="133"/>
      <c r="AB2961" s="133"/>
      <c r="AC2961" s="133"/>
      <c r="AD2961" s="133"/>
      <c r="AE2961" s="133"/>
      <c r="AF2961" s="133"/>
      <c r="AG2961" s="133"/>
      <c r="AH2961" s="133"/>
      <c r="AI2961" s="133"/>
      <c r="AJ2961" s="133"/>
      <c r="AK2961" s="133"/>
      <c r="AL2961" s="133"/>
      <c r="AM2961" s="133"/>
      <c r="AN2961" s="133"/>
      <c r="AO2961" s="133"/>
      <c r="AP2961" s="133"/>
      <c r="AQ2961" s="133"/>
      <c r="AR2961" s="133"/>
      <c r="AS2961" s="133"/>
      <c r="AT2961" s="133"/>
      <c r="AU2961" s="133"/>
      <c r="AV2961" s="133"/>
      <c r="AW2961" s="133"/>
      <c r="AX2961" s="133"/>
      <c r="AY2961" s="133"/>
      <c r="AZ2961" s="133"/>
      <c r="BA2961" s="133"/>
      <c r="BB2961" s="133"/>
      <c r="BC2961" s="133"/>
      <c r="BD2961" s="133"/>
      <c r="BE2961" s="133"/>
      <c r="BF2961" s="133"/>
      <c r="BG2961" s="133"/>
      <c r="BH2961" s="133"/>
      <c r="BI2961" s="133"/>
      <c r="BJ2961" s="133"/>
      <c r="BK2961" s="133"/>
      <c r="BL2961" s="133"/>
      <c r="BM2961" s="133"/>
      <c r="BN2961" s="133"/>
      <c r="BO2961" s="133"/>
      <c r="BP2961" s="133"/>
      <c r="BQ2961" s="133"/>
    </row>
    <row r="2962">
      <c r="A2962" s="194" t="s">
        <v>7832</v>
      </c>
      <c r="B2962" s="125"/>
      <c r="C2962" s="126">
        <v>43845.0</v>
      </c>
      <c r="D2962" s="133"/>
      <c r="E2962" s="124" t="s">
        <v>31</v>
      </c>
      <c r="F2962" s="198">
        <v>1.0</v>
      </c>
      <c r="G2962" s="124" t="s">
        <v>32</v>
      </c>
      <c r="H2962" s="303">
        <v>1.0</v>
      </c>
      <c r="I2962" s="124" t="s">
        <v>33</v>
      </c>
      <c r="J2962" s="124" t="s">
        <v>460</v>
      </c>
      <c r="K2962" s="133"/>
      <c r="L2962" s="124" t="s">
        <v>119</v>
      </c>
      <c r="M2962" s="242" t="s">
        <v>7833</v>
      </c>
      <c r="N2962" s="219" t="s">
        <v>7834</v>
      </c>
      <c r="O2962" s="128"/>
      <c r="P2962" s="133"/>
      <c r="Q2962" s="128"/>
      <c r="R2962" s="128"/>
      <c r="S2962" s="91"/>
      <c r="T2962" s="96"/>
      <c r="U2962" s="96"/>
      <c r="V2962" s="124" t="s">
        <v>33</v>
      </c>
      <c r="W2962" s="219" t="s">
        <v>7835</v>
      </c>
      <c r="X2962" s="219" t="s">
        <v>7836</v>
      </c>
      <c r="Y2962" s="138"/>
      <c r="Z2962" s="133"/>
      <c r="AA2962" s="133"/>
      <c r="AB2962" s="133"/>
      <c r="AC2962" s="133"/>
      <c r="AD2962" s="133"/>
      <c r="AE2962" s="133"/>
      <c r="AF2962" s="133"/>
      <c r="AG2962" s="133"/>
      <c r="AH2962" s="133"/>
      <c r="AI2962" s="133"/>
      <c r="AJ2962" s="133"/>
      <c r="AK2962" s="133"/>
      <c r="AL2962" s="133"/>
      <c r="AM2962" s="133"/>
      <c r="AN2962" s="133"/>
      <c r="AO2962" s="133"/>
      <c r="AP2962" s="133"/>
      <c r="AQ2962" s="133"/>
      <c r="AR2962" s="133"/>
      <c r="AS2962" s="133"/>
      <c r="AT2962" s="133"/>
      <c r="AU2962" s="133"/>
      <c r="AV2962" s="133"/>
      <c r="AW2962" s="133"/>
      <c r="AX2962" s="133"/>
      <c r="AY2962" s="133"/>
      <c r="AZ2962" s="133"/>
      <c r="BA2962" s="133"/>
      <c r="BB2962" s="133"/>
      <c r="BC2962" s="133"/>
      <c r="BD2962" s="133"/>
      <c r="BE2962" s="133"/>
      <c r="BF2962" s="133"/>
      <c r="BG2962" s="133"/>
      <c r="BH2962" s="133"/>
      <c r="BI2962" s="133"/>
      <c r="BJ2962" s="133"/>
      <c r="BK2962" s="133"/>
      <c r="BL2962" s="133"/>
      <c r="BM2962" s="133"/>
      <c r="BN2962" s="133"/>
      <c r="BO2962" s="133"/>
      <c r="BP2962" s="133"/>
      <c r="BQ2962" s="133"/>
    </row>
    <row r="2963">
      <c r="A2963" s="194" t="s">
        <v>7837</v>
      </c>
      <c r="B2963" s="125"/>
      <c r="C2963" s="126">
        <v>43845.0</v>
      </c>
      <c r="D2963" s="133"/>
      <c r="E2963" s="124" t="s">
        <v>41</v>
      </c>
      <c r="F2963" s="198">
        <v>1.0</v>
      </c>
      <c r="G2963" s="124" t="s">
        <v>32</v>
      </c>
      <c r="H2963" s="303">
        <v>1.0</v>
      </c>
      <c r="I2963" s="124" t="s">
        <v>33</v>
      </c>
      <c r="J2963" s="124" t="s">
        <v>93</v>
      </c>
      <c r="K2963" s="133"/>
      <c r="L2963" s="128" t="s">
        <v>69</v>
      </c>
      <c r="M2963" s="242" t="s">
        <v>7838</v>
      </c>
      <c r="N2963" s="138"/>
      <c r="O2963" s="128"/>
      <c r="P2963" s="133"/>
      <c r="Q2963" s="128"/>
      <c r="R2963" s="128"/>
      <c r="S2963" s="91"/>
      <c r="T2963" s="96"/>
      <c r="U2963" s="96"/>
      <c r="V2963" s="124" t="s">
        <v>33</v>
      </c>
      <c r="W2963" s="138"/>
      <c r="X2963" s="138"/>
      <c r="Y2963" s="138"/>
      <c r="Z2963" s="133"/>
      <c r="AA2963" s="133"/>
      <c r="AB2963" s="133"/>
      <c r="AC2963" s="133"/>
      <c r="AD2963" s="133"/>
      <c r="AE2963" s="133"/>
      <c r="AF2963" s="133"/>
      <c r="AG2963" s="133"/>
      <c r="AH2963" s="133"/>
      <c r="AI2963" s="133"/>
      <c r="AJ2963" s="133"/>
      <c r="AK2963" s="133"/>
      <c r="AL2963" s="133"/>
      <c r="AM2963" s="133"/>
      <c r="AN2963" s="133"/>
      <c r="AO2963" s="133"/>
      <c r="AP2963" s="133"/>
      <c r="AQ2963" s="133"/>
      <c r="AR2963" s="133"/>
      <c r="AS2963" s="133"/>
      <c r="AT2963" s="133"/>
      <c r="AU2963" s="133"/>
      <c r="AV2963" s="133"/>
      <c r="AW2963" s="133"/>
      <c r="AX2963" s="133"/>
      <c r="AY2963" s="133"/>
      <c r="AZ2963" s="133"/>
      <c r="BA2963" s="133"/>
      <c r="BB2963" s="133"/>
      <c r="BC2963" s="133"/>
      <c r="BD2963" s="133"/>
      <c r="BE2963" s="133"/>
      <c r="BF2963" s="133"/>
      <c r="BG2963" s="133"/>
      <c r="BH2963" s="133"/>
      <c r="BI2963" s="133"/>
      <c r="BJ2963" s="133"/>
      <c r="BK2963" s="133"/>
      <c r="BL2963" s="133"/>
      <c r="BM2963" s="133"/>
      <c r="BN2963" s="133"/>
      <c r="BO2963" s="133"/>
      <c r="BP2963" s="133"/>
      <c r="BQ2963" s="133"/>
    </row>
    <row r="2964">
      <c r="A2964" s="308" t="s">
        <v>7839</v>
      </c>
      <c r="B2964" s="125"/>
      <c r="C2964" s="137">
        <v>43847.0</v>
      </c>
      <c r="D2964" s="133"/>
      <c r="E2964" s="128" t="s">
        <v>41</v>
      </c>
      <c r="F2964" s="129">
        <v>1.0</v>
      </c>
      <c r="G2964" s="128" t="s">
        <v>32</v>
      </c>
      <c r="H2964" s="300">
        <v>1.0</v>
      </c>
      <c r="I2964" s="128" t="s">
        <v>33</v>
      </c>
      <c r="J2964" s="128" t="s">
        <v>47</v>
      </c>
      <c r="K2964" s="133"/>
      <c r="L2964" s="128" t="s">
        <v>69</v>
      </c>
      <c r="M2964" s="131" t="s">
        <v>7840</v>
      </c>
      <c r="N2964" s="138"/>
      <c r="O2964" s="128"/>
      <c r="P2964" s="133"/>
      <c r="Q2964" s="128"/>
      <c r="R2964" s="128"/>
      <c r="S2964" s="91"/>
      <c r="T2964" s="96"/>
      <c r="U2964" s="96" t="b">
        <v>0</v>
      </c>
      <c r="V2964" s="128" t="s">
        <v>33</v>
      </c>
      <c r="W2964" s="138"/>
      <c r="X2964" s="138"/>
      <c r="Y2964" s="138"/>
      <c r="Z2964" s="133"/>
      <c r="AA2964" s="133"/>
      <c r="AB2964" s="133"/>
      <c r="AC2964" s="133"/>
      <c r="AD2964" s="133"/>
      <c r="AE2964" s="133"/>
      <c r="AF2964" s="133"/>
      <c r="AG2964" s="133"/>
      <c r="AH2964" s="133"/>
      <c r="AI2964" s="133"/>
      <c r="AJ2964" s="133"/>
      <c r="AK2964" s="133"/>
      <c r="AL2964" s="133"/>
      <c r="AM2964" s="133"/>
      <c r="AN2964" s="133"/>
      <c r="AO2964" s="133"/>
      <c r="AP2964" s="133"/>
      <c r="AQ2964" s="133"/>
      <c r="AR2964" s="133"/>
      <c r="AS2964" s="133"/>
      <c r="AT2964" s="133"/>
      <c r="AU2964" s="133"/>
      <c r="AV2964" s="133"/>
      <c r="AW2964" s="133"/>
      <c r="AX2964" s="133"/>
      <c r="AY2964" s="133"/>
      <c r="AZ2964" s="133"/>
      <c r="BA2964" s="133"/>
      <c r="BB2964" s="133"/>
      <c r="BC2964" s="133"/>
      <c r="BD2964" s="133"/>
      <c r="BE2964" s="133"/>
      <c r="BF2964" s="133"/>
      <c r="BG2964" s="133"/>
      <c r="BH2964" s="133"/>
      <c r="BI2964" s="133"/>
      <c r="BJ2964" s="133"/>
      <c r="BK2964" s="133"/>
      <c r="BL2964" s="133"/>
      <c r="BM2964" s="133"/>
      <c r="BN2964" s="133"/>
      <c r="BO2964" s="133"/>
      <c r="BP2964" s="133"/>
      <c r="BQ2964" s="133"/>
    </row>
    <row r="2965">
      <c r="A2965" s="194" t="s">
        <v>7841</v>
      </c>
      <c r="B2965" s="125"/>
      <c r="C2965" s="126">
        <v>43850.0</v>
      </c>
      <c r="D2965" s="133"/>
      <c r="E2965" s="124" t="s">
        <v>31</v>
      </c>
      <c r="F2965" s="198">
        <v>1.0</v>
      </c>
      <c r="G2965" s="124" t="s">
        <v>32</v>
      </c>
      <c r="H2965" s="303">
        <v>1.0</v>
      </c>
      <c r="I2965" s="124" t="s">
        <v>33</v>
      </c>
      <c r="J2965" s="124" t="s">
        <v>162</v>
      </c>
      <c r="K2965" s="133"/>
      <c r="L2965" s="124" t="s">
        <v>119</v>
      </c>
      <c r="M2965" s="242" t="s">
        <v>7842</v>
      </c>
      <c r="N2965" s="233" t="s">
        <v>7843</v>
      </c>
      <c r="O2965" s="128"/>
      <c r="P2965" s="133"/>
      <c r="Q2965" s="128"/>
      <c r="R2965" s="128"/>
      <c r="S2965" s="91"/>
      <c r="T2965" s="96"/>
      <c r="U2965" s="38"/>
      <c r="V2965" s="124" t="s">
        <v>33</v>
      </c>
      <c r="W2965" s="219" t="s">
        <v>7844</v>
      </c>
      <c r="X2965" s="219" t="s">
        <v>7845</v>
      </c>
      <c r="Y2965" s="138"/>
      <c r="Z2965" s="133"/>
      <c r="AA2965" s="133"/>
      <c r="AB2965" s="133"/>
      <c r="AC2965" s="133"/>
      <c r="AD2965" s="133"/>
      <c r="AE2965" s="133"/>
      <c r="AF2965" s="133"/>
      <c r="AG2965" s="133"/>
      <c r="AH2965" s="133"/>
      <c r="AI2965" s="133"/>
      <c r="AJ2965" s="133"/>
      <c r="AK2965" s="133"/>
      <c r="AL2965" s="133"/>
      <c r="AM2965" s="133"/>
      <c r="AN2965" s="133"/>
      <c r="AO2965" s="133"/>
      <c r="AP2965" s="133"/>
      <c r="AQ2965" s="133"/>
      <c r="AR2965" s="133"/>
      <c r="AS2965" s="133"/>
      <c r="AT2965" s="133"/>
      <c r="AU2965" s="133"/>
      <c r="AV2965" s="133"/>
      <c r="AW2965" s="133"/>
      <c r="AX2965" s="133"/>
      <c r="AY2965" s="133"/>
      <c r="AZ2965" s="133"/>
      <c r="BA2965" s="133"/>
      <c r="BB2965" s="133"/>
      <c r="BC2965" s="133"/>
      <c r="BD2965" s="133"/>
      <c r="BE2965" s="133"/>
      <c r="BF2965" s="133"/>
      <c r="BG2965" s="133"/>
      <c r="BH2965" s="133"/>
      <c r="BI2965" s="133"/>
      <c r="BJ2965" s="133"/>
      <c r="BK2965" s="133"/>
      <c r="BL2965" s="133"/>
      <c r="BM2965" s="133"/>
      <c r="BN2965" s="133"/>
      <c r="BO2965" s="133"/>
      <c r="BP2965" s="133"/>
      <c r="BQ2965" s="133"/>
    </row>
    <row r="2966">
      <c r="A2966" s="194" t="s">
        <v>7846</v>
      </c>
      <c r="B2966" s="125"/>
      <c r="C2966" s="126">
        <v>43850.0</v>
      </c>
      <c r="D2966" s="133"/>
      <c r="E2966" s="124" t="s">
        <v>41</v>
      </c>
      <c r="F2966" s="198">
        <v>1.0</v>
      </c>
      <c r="G2966" s="124" t="s">
        <v>32</v>
      </c>
      <c r="H2966" s="303">
        <v>1.0</v>
      </c>
      <c r="I2966" s="124" t="s">
        <v>33</v>
      </c>
      <c r="J2966" s="124" t="s">
        <v>172</v>
      </c>
      <c r="K2966" s="133"/>
      <c r="L2966" s="124" t="s">
        <v>119</v>
      </c>
      <c r="M2966" s="242" t="s">
        <v>7847</v>
      </c>
      <c r="N2966" s="233"/>
      <c r="O2966" s="124"/>
      <c r="P2966" s="133"/>
      <c r="Q2966" s="124">
        <v>1.0</v>
      </c>
      <c r="R2966" s="128"/>
      <c r="S2966" s="37"/>
      <c r="T2966" s="38"/>
      <c r="U2966" s="38"/>
      <c r="V2966" s="124" t="s">
        <v>33</v>
      </c>
      <c r="W2966" s="138"/>
      <c r="X2966" s="138"/>
      <c r="Y2966" s="233"/>
      <c r="Z2966" s="133"/>
      <c r="AA2966" s="133"/>
      <c r="AB2966" s="133"/>
      <c r="AC2966" s="133"/>
      <c r="AD2966" s="133"/>
      <c r="AE2966" s="133"/>
      <c r="AF2966" s="133"/>
      <c r="AG2966" s="133"/>
      <c r="AH2966" s="133"/>
      <c r="AI2966" s="133"/>
      <c r="AJ2966" s="133"/>
      <c r="AK2966" s="133"/>
      <c r="AL2966" s="133"/>
      <c r="AM2966" s="133"/>
      <c r="AN2966" s="133"/>
      <c r="AO2966" s="133"/>
      <c r="AP2966" s="133"/>
      <c r="AQ2966" s="133"/>
      <c r="AR2966" s="133"/>
      <c r="AS2966" s="133"/>
      <c r="AT2966" s="133"/>
      <c r="AU2966" s="133"/>
      <c r="AV2966" s="133"/>
      <c r="AW2966" s="133"/>
      <c r="AX2966" s="133"/>
      <c r="AY2966" s="133"/>
      <c r="AZ2966" s="133"/>
      <c r="BA2966" s="133"/>
      <c r="BB2966" s="133"/>
      <c r="BC2966" s="133"/>
      <c r="BD2966" s="133"/>
      <c r="BE2966" s="133"/>
      <c r="BF2966" s="133"/>
      <c r="BG2966" s="133"/>
      <c r="BH2966" s="133"/>
      <c r="BI2966" s="133"/>
      <c r="BJ2966" s="133"/>
      <c r="BK2966" s="133"/>
      <c r="BL2966" s="133"/>
      <c r="BM2966" s="133"/>
      <c r="BN2966" s="133"/>
      <c r="BO2966" s="133"/>
      <c r="BP2966" s="133"/>
      <c r="BQ2966" s="133"/>
    </row>
    <row r="2967">
      <c r="A2967" s="194" t="s">
        <v>7848</v>
      </c>
      <c r="B2967" s="125"/>
      <c r="C2967" s="126">
        <v>43851.0</v>
      </c>
      <c r="D2967" s="133"/>
      <c r="E2967" s="124" t="s">
        <v>41</v>
      </c>
      <c r="F2967" s="198">
        <v>1.0</v>
      </c>
      <c r="G2967" s="124" t="s">
        <v>32</v>
      </c>
      <c r="H2967" s="303">
        <v>1.0</v>
      </c>
      <c r="I2967" s="124" t="s">
        <v>33</v>
      </c>
      <c r="J2967" s="124" t="s">
        <v>179</v>
      </c>
      <c r="K2967" s="133"/>
      <c r="L2967" s="124" t="s">
        <v>6820</v>
      </c>
      <c r="M2967" s="242" t="s">
        <v>7849</v>
      </c>
      <c r="N2967" s="233"/>
      <c r="O2967" s="124"/>
      <c r="P2967" s="133"/>
      <c r="Q2967" s="124">
        <v>1.0</v>
      </c>
      <c r="R2967" s="128"/>
      <c r="S2967" s="37"/>
      <c r="T2967" s="38"/>
      <c r="U2967" s="38"/>
      <c r="V2967" s="124" t="s">
        <v>33</v>
      </c>
      <c r="W2967" s="138"/>
      <c r="X2967" s="138"/>
      <c r="Y2967" s="233"/>
      <c r="Z2967" s="133"/>
      <c r="AA2967" s="133"/>
      <c r="AB2967" s="133"/>
      <c r="AC2967" s="133"/>
      <c r="AD2967" s="133"/>
      <c r="AE2967" s="133"/>
      <c r="AF2967" s="133"/>
      <c r="AG2967" s="133"/>
      <c r="AH2967" s="133"/>
      <c r="AI2967" s="133"/>
      <c r="AJ2967" s="133"/>
      <c r="AK2967" s="133"/>
      <c r="AL2967" s="133"/>
      <c r="AM2967" s="133"/>
      <c r="AN2967" s="133"/>
      <c r="AO2967" s="133"/>
      <c r="AP2967" s="133"/>
      <c r="AQ2967" s="133"/>
      <c r="AR2967" s="133"/>
      <c r="AS2967" s="133"/>
      <c r="AT2967" s="133"/>
      <c r="AU2967" s="133"/>
      <c r="AV2967" s="133"/>
      <c r="AW2967" s="133"/>
      <c r="AX2967" s="133"/>
      <c r="AY2967" s="133"/>
      <c r="AZ2967" s="133"/>
      <c r="BA2967" s="133"/>
      <c r="BB2967" s="133"/>
      <c r="BC2967" s="133"/>
      <c r="BD2967" s="133"/>
      <c r="BE2967" s="133"/>
      <c r="BF2967" s="133"/>
      <c r="BG2967" s="133"/>
      <c r="BH2967" s="133"/>
      <c r="BI2967" s="133"/>
      <c r="BJ2967" s="133"/>
      <c r="BK2967" s="133"/>
      <c r="BL2967" s="133"/>
      <c r="BM2967" s="133"/>
      <c r="BN2967" s="133"/>
      <c r="BO2967" s="133"/>
      <c r="BP2967" s="133"/>
      <c r="BQ2967" s="133"/>
    </row>
    <row r="2968">
      <c r="A2968" s="194" t="s">
        <v>7850</v>
      </c>
      <c r="B2968" s="125"/>
      <c r="C2968" s="126">
        <v>43851.0</v>
      </c>
      <c r="D2968" s="133"/>
      <c r="E2968" s="124" t="s">
        <v>41</v>
      </c>
      <c r="F2968" s="198">
        <v>1.0</v>
      </c>
      <c r="G2968" s="124" t="s">
        <v>32</v>
      </c>
      <c r="H2968" s="303">
        <v>1.0</v>
      </c>
      <c r="I2968" s="124" t="s">
        <v>33</v>
      </c>
      <c r="J2968" s="124" t="s">
        <v>144</v>
      </c>
      <c r="K2968" s="133"/>
      <c r="L2968" s="124" t="s">
        <v>7851</v>
      </c>
      <c r="M2968" s="242" t="s">
        <v>7852</v>
      </c>
      <c r="N2968" s="233"/>
      <c r="O2968" s="124"/>
      <c r="P2968" s="133"/>
      <c r="Q2968" s="124"/>
      <c r="R2968" s="128"/>
      <c r="S2968" s="37"/>
      <c r="T2968" s="38"/>
      <c r="U2968" s="38"/>
      <c r="V2968" s="124" t="s">
        <v>33</v>
      </c>
      <c r="W2968" s="138"/>
      <c r="X2968" s="138"/>
      <c r="Y2968" s="233"/>
      <c r="Z2968" s="133"/>
      <c r="AA2968" s="133"/>
      <c r="AB2968" s="133"/>
      <c r="AC2968" s="133"/>
      <c r="AD2968" s="133"/>
      <c r="AE2968" s="133"/>
      <c r="AF2968" s="133"/>
      <c r="AG2968" s="133"/>
      <c r="AH2968" s="133"/>
      <c r="AI2968" s="133"/>
      <c r="AJ2968" s="133"/>
      <c r="AK2968" s="133"/>
      <c r="AL2968" s="133"/>
      <c r="AM2968" s="133"/>
      <c r="AN2968" s="133"/>
      <c r="AO2968" s="133"/>
      <c r="AP2968" s="133"/>
      <c r="AQ2968" s="133"/>
      <c r="AR2968" s="133"/>
      <c r="AS2968" s="133"/>
      <c r="AT2968" s="133"/>
      <c r="AU2968" s="133"/>
      <c r="AV2968" s="133"/>
      <c r="AW2968" s="133"/>
      <c r="AX2968" s="133"/>
      <c r="AY2968" s="133"/>
      <c r="AZ2968" s="133"/>
      <c r="BA2968" s="133"/>
      <c r="BB2968" s="133"/>
      <c r="BC2968" s="133"/>
      <c r="BD2968" s="133"/>
      <c r="BE2968" s="133"/>
      <c r="BF2968" s="133"/>
      <c r="BG2968" s="133"/>
      <c r="BH2968" s="133"/>
      <c r="BI2968" s="133"/>
      <c r="BJ2968" s="133"/>
      <c r="BK2968" s="133"/>
      <c r="BL2968" s="133"/>
      <c r="BM2968" s="133"/>
      <c r="BN2968" s="133"/>
      <c r="BO2968" s="133"/>
      <c r="BP2968" s="133"/>
      <c r="BQ2968" s="133"/>
    </row>
    <row r="2969">
      <c r="A2969" s="194" t="s">
        <v>7853</v>
      </c>
      <c r="B2969" s="125"/>
      <c r="C2969" s="126">
        <v>43851.0</v>
      </c>
      <c r="D2969" s="133"/>
      <c r="E2969" s="124" t="s">
        <v>41</v>
      </c>
      <c r="F2969" s="198">
        <v>1.0</v>
      </c>
      <c r="G2969" s="124" t="s">
        <v>32</v>
      </c>
      <c r="H2969" s="303">
        <v>1.0</v>
      </c>
      <c r="I2969" s="124" t="s">
        <v>33</v>
      </c>
      <c r="J2969" s="124" t="s">
        <v>124</v>
      </c>
      <c r="K2969" s="133"/>
      <c r="L2969" s="124" t="s">
        <v>119</v>
      </c>
      <c r="M2969" s="242" t="s">
        <v>7854</v>
      </c>
      <c r="N2969" s="233"/>
      <c r="O2969" s="124"/>
      <c r="P2969" s="133"/>
      <c r="Q2969" s="124"/>
      <c r="R2969" s="128"/>
      <c r="S2969" s="37"/>
      <c r="T2969" s="38"/>
      <c r="U2969" s="38"/>
      <c r="V2969" s="124" t="s">
        <v>33</v>
      </c>
      <c r="W2969" s="138"/>
      <c r="X2969" s="138"/>
      <c r="Y2969" s="233"/>
      <c r="Z2969" s="133"/>
      <c r="AA2969" s="133"/>
      <c r="AB2969" s="133"/>
      <c r="AC2969" s="133"/>
      <c r="AD2969" s="133"/>
      <c r="AE2969" s="133"/>
      <c r="AF2969" s="133"/>
      <c r="AG2969" s="133"/>
      <c r="AH2969" s="133"/>
      <c r="AI2969" s="133"/>
      <c r="AJ2969" s="133"/>
      <c r="AK2969" s="133"/>
      <c r="AL2969" s="133"/>
      <c r="AM2969" s="133"/>
      <c r="AN2969" s="133"/>
      <c r="AO2969" s="133"/>
      <c r="AP2969" s="133"/>
      <c r="AQ2969" s="133"/>
      <c r="AR2969" s="133"/>
      <c r="AS2969" s="133"/>
      <c r="AT2969" s="133"/>
      <c r="AU2969" s="133"/>
      <c r="AV2969" s="133"/>
      <c r="AW2969" s="133"/>
      <c r="AX2969" s="133"/>
      <c r="AY2969" s="133"/>
      <c r="AZ2969" s="133"/>
      <c r="BA2969" s="133"/>
      <c r="BB2969" s="133"/>
      <c r="BC2969" s="133"/>
      <c r="BD2969" s="133"/>
      <c r="BE2969" s="133"/>
      <c r="BF2969" s="133"/>
      <c r="BG2969" s="133"/>
      <c r="BH2969" s="133"/>
      <c r="BI2969" s="133"/>
      <c r="BJ2969" s="133"/>
      <c r="BK2969" s="133"/>
      <c r="BL2969" s="133"/>
      <c r="BM2969" s="133"/>
      <c r="BN2969" s="133"/>
      <c r="BO2969" s="133"/>
      <c r="BP2969" s="133"/>
      <c r="BQ2969" s="133"/>
    </row>
    <row r="2970">
      <c r="A2970" s="194" t="s">
        <v>7855</v>
      </c>
      <c r="B2970" s="125"/>
      <c r="C2970" s="126">
        <v>43852.0</v>
      </c>
      <c r="D2970" s="133"/>
      <c r="E2970" s="124" t="s">
        <v>41</v>
      </c>
      <c r="F2970" s="198">
        <v>1.0</v>
      </c>
      <c r="G2970" s="124" t="s">
        <v>32</v>
      </c>
      <c r="H2970" s="303">
        <v>1.0</v>
      </c>
      <c r="I2970" s="124" t="s">
        <v>33</v>
      </c>
      <c r="J2970" s="124" t="s">
        <v>343</v>
      </c>
      <c r="K2970" s="133"/>
      <c r="L2970" s="124" t="s">
        <v>119</v>
      </c>
      <c r="M2970" s="242" t="s">
        <v>7856</v>
      </c>
      <c r="N2970" s="233"/>
      <c r="O2970" s="128"/>
      <c r="P2970" s="133"/>
      <c r="Q2970" s="128"/>
      <c r="R2970" s="128"/>
      <c r="S2970" s="91"/>
      <c r="T2970" s="96"/>
      <c r="U2970" s="38"/>
      <c r="V2970" s="124" t="s">
        <v>33</v>
      </c>
      <c r="W2970" s="233"/>
      <c r="X2970" s="233"/>
      <c r="Y2970" s="138"/>
      <c r="Z2970" s="133"/>
      <c r="AA2970" s="133"/>
      <c r="AB2970" s="133"/>
      <c r="AC2970" s="133"/>
      <c r="AD2970" s="133"/>
      <c r="AE2970" s="133"/>
      <c r="AF2970" s="133"/>
      <c r="AG2970" s="133"/>
      <c r="AH2970" s="133"/>
      <c r="AI2970" s="133"/>
      <c r="AJ2970" s="133"/>
      <c r="AK2970" s="133"/>
      <c r="AL2970" s="133"/>
      <c r="AM2970" s="133"/>
      <c r="AN2970" s="133"/>
      <c r="AO2970" s="133"/>
      <c r="AP2970" s="133"/>
      <c r="AQ2970" s="133"/>
      <c r="AR2970" s="133"/>
      <c r="AS2970" s="133"/>
      <c r="AT2970" s="133"/>
      <c r="AU2970" s="133"/>
      <c r="AV2970" s="133"/>
      <c r="AW2970" s="133"/>
      <c r="AX2970" s="133"/>
      <c r="AY2970" s="133"/>
      <c r="AZ2970" s="133"/>
      <c r="BA2970" s="133"/>
      <c r="BB2970" s="133"/>
      <c r="BC2970" s="133"/>
      <c r="BD2970" s="133"/>
      <c r="BE2970" s="133"/>
      <c r="BF2970" s="133"/>
      <c r="BG2970" s="133"/>
      <c r="BH2970" s="133"/>
      <c r="BI2970" s="133"/>
      <c r="BJ2970" s="133"/>
      <c r="BK2970" s="133"/>
      <c r="BL2970" s="133"/>
      <c r="BM2970" s="133"/>
      <c r="BN2970" s="133"/>
      <c r="BO2970" s="133"/>
      <c r="BP2970" s="133"/>
      <c r="BQ2970" s="133"/>
    </row>
    <row r="2971">
      <c r="A2971" s="194" t="s">
        <v>7857</v>
      </c>
      <c r="B2971" s="125"/>
      <c r="C2971" s="126">
        <v>43853.0</v>
      </c>
      <c r="D2971" s="133"/>
      <c r="E2971" s="124" t="s">
        <v>41</v>
      </c>
      <c r="F2971" s="198">
        <v>1.0</v>
      </c>
      <c r="G2971" s="124">
        <v>1.0</v>
      </c>
      <c r="H2971" s="303">
        <v>1.0</v>
      </c>
      <c r="I2971" s="124" t="s">
        <v>33</v>
      </c>
      <c r="J2971" s="124" t="s">
        <v>124</v>
      </c>
      <c r="K2971" s="133"/>
      <c r="L2971" s="124" t="s">
        <v>119</v>
      </c>
      <c r="M2971" s="242" t="s">
        <v>7858</v>
      </c>
      <c r="N2971" s="233"/>
      <c r="O2971" s="128"/>
      <c r="P2971" s="133"/>
      <c r="Q2971" s="128"/>
      <c r="R2971" s="128"/>
      <c r="S2971" s="91"/>
      <c r="T2971" s="96"/>
      <c r="U2971" s="38" t="b">
        <f t="shared" ref="U2971:U2973" si="415">countif(A$4:A4658, A2971)&gt;1</f>
        <v>0</v>
      </c>
      <c r="V2971" s="124" t="s">
        <v>33</v>
      </c>
      <c r="W2971" s="233"/>
      <c r="X2971" s="233"/>
      <c r="Y2971" s="138"/>
      <c r="Z2971" s="133"/>
      <c r="AA2971" s="133"/>
      <c r="AB2971" s="133"/>
      <c r="AC2971" s="133"/>
      <c r="AD2971" s="133"/>
      <c r="AE2971" s="133"/>
      <c r="AF2971" s="133"/>
      <c r="AG2971" s="133"/>
      <c r="AH2971" s="133"/>
      <c r="AI2971" s="133"/>
      <c r="AJ2971" s="133"/>
      <c r="AK2971" s="133"/>
      <c r="AL2971" s="133"/>
      <c r="AM2971" s="133"/>
      <c r="AN2971" s="133"/>
      <c r="AO2971" s="133"/>
      <c r="AP2971" s="133"/>
      <c r="AQ2971" s="133"/>
      <c r="AR2971" s="133"/>
      <c r="AS2971" s="133"/>
      <c r="AT2971" s="133"/>
      <c r="AU2971" s="133"/>
      <c r="AV2971" s="133"/>
      <c r="AW2971" s="133"/>
      <c r="AX2971" s="133"/>
      <c r="AY2971" s="133"/>
      <c r="AZ2971" s="133"/>
      <c r="BA2971" s="133"/>
      <c r="BB2971" s="133"/>
      <c r="BC2971" s="133"/>
      <c r="BD2971" s="133"/>
      <c r="BE2971" s="133"/>
      <c r="BF2971" s="133"/>
      <c r="BG2971" s="133"/>
      <c r="BH2971" s="133"/>
      <c r="BI2971" s="133"/>
      <c r="BJ2971" s="133"/>
      <c r="BK2971" s="133"/>
      <c r="BL2971" s="133"/>
      <c r="BM2971" s="133"/>
      <c r="BN2971" s="133"/>
      <c r="BO2971" s="133"/>
      <c r="BP2971" s="133"/>
      <c r="BQ2971" s="133"/>
    </row>
    <row r="2972">
      <c r="A2972" s="194" t="s">
        <v>7859</v>
      </c>
      <c r="B2972" s="125"/>
      <c r="C2972" s="126">
        <v>43853.0</v>
      </c>
      <c r="D2972" s="133"/>
      <c r="E2972" s="124" t="s">
        <v>41</v>
      </c>
      <c r="F2972" s="198">
        <v>1.0</v>
      </c>
      <c r="G2972" s="124">
        <v>2.0</v>
      </c>
      <c r="H2972" s="303">
        <v>1.0</v>
      </c>
      <c r="I2972" s="124" t="s">
        <v>33</v>
      </c>
      <c r="J2972" s="124" t="s">
        <v>124</v>
      </c>
      <c r="K2972" s="133"/>
      <c r="L2972" s="124" t="s">
        <v>646</v>
      </c>
      <c r="M2972" s="242" t="s">
        <v>7860</v>
      </c>
      <c r="N2972" s="233"/>
      <c r="O2972" s="128"/>
      <c r="P2972" s="133"/>
      <c r="Q2972" s="124"/>
      <c r="R2972" s="128"/>
      <c r="S2972" s="91"/>
      <c r="T2972" s="96"/>
      <c r="U2972" s="38" t="b">
        <f t="shared" si="415"/>
        <v>0</v>
      </c>
      <c r="V2972" s="124"/>
      <c r="W2972" s="233"/>
      <c r="X2972" s="233"/>
      <c r="Y2972" s="138"/>
      <c r="Z2972" s="133"/>
      <c r="AA2972" s="133"/>
      <c r="AB2972" s="133"/>
      <c r="AC2972" s="133"/>
      <c r="AD2972" s="133"/>
      <c r="AE2972" s="133"/>
      <c r="AF2972" s="133"/>
      <c r="AG2972" s="133"/>
      <c r="AH2972" s="133"/>
      <c r="AI2972" s="133"/>
      <c r="AJ2972" s="133"/>
      <c r="AK2972" s="133"/>
      <c r="AL2972" s="133"/>
      <c r="AM2972" s="133"/>
      <c r="AN2972" s="133"/>
      <c r="AO2972" s="133"/>
      <c r="AP2972" s="133"/>
      <c r="AQ2972" s="133"/>
      <c r="AR2972" s="133"/>
      <c r="AS2972" s="133"/>
      <c r="AT2972" s="133"/>
      <c r="AU2972" s="133"/>
      <c r="AV2972" s="133"/>
      <c r="AW2972" s="133"/>
      <c r="AX2972" s="133"/>
      <c r="AY2972" s="133"/>
      <c r="AZ2972" s="133"/>
      <c r="BA2972" s="133"/>
      <c r="BB2972" s="133"/>
      <c r="BC2972" s="133"/>
      <c r="BD2972" s="133"/>
      <c r="BE2972" s="133"/>
      <c r="BF2972" s="133"/>
      <c r="BG2972" s="133"/>
      <c r="BH2972" s="133"/>
      <c r="BI2972" s="133"/>
      <c r="BJ2972" s="133"/>
      <c r="BK2972" s="133"/>
      <c r="BL2972" s="133"/>
      <c r="BM2972" s="133"/>
      <c r="BN2972" s="133"/>
      <c r="BO2972" s="133"/>
      <c r="BP2972" s="133"/>
      <c r="BQ2972" s="133"/>
    </row>
    <row r="2973">
      <c r="A2973" s="194" t="s">
        <v>7861</v>
      </c>
      <c r="B2973" s="125"/>
      <c r="C2973" s="126">
        <v>43853.0</v>
      </c>
      <c r="D2973" s="133"/>
      <c r="E2973" s="124" t="s">
        <v>41</v>
      </c>
      <c r="F2973" s="198">
        <v>1.0</v>
      </c>
      <c r="G2973" s="124" t="s">
        <v>32</v>
      </c>
      <c r="H2973" s="303">
        <v>1.0</v>
      </c>
      <c r="I2973" s="124" t="s">
        <v>33</v>
      </c>
      <c r="J2973" s="124" t="s">
        <v>93</v>
      </c>
      <c r="K2973" s="133"/>
      <c r="L2973" s="124" t="s">
        <v>7862</v>
      </c>
      <c r="M2973" s="242" t="s">
        <v>7863</v>
      </c>
      <c r="N2973" s="233"/>
      <c r="O2973" s="124"/>
      <c r="P2973" s="133"/>
      <c r="Q2973" s="124"/>
      <c r="R2973" s="128"/>
      <c r="S2973" s="37"/>
      <c r="T2973" s="38"/>
      <c r="U2973" s="38" t="b">
        <f t="shared" si="415"/>
        <v>0</v>
      </c>
      <c r="V2973" s="124" t="s">
        <v>33</v>
      </c>
      <c r="W2973" s="138"/>
      <c r="X2973" s="138"/>
      <c r="Y2973" s="233"/>
      <c r="Z2973" s="133"/>
      <c r="AA2973" s="133"/>
      <c r="AB2973" s="133"/>
      <c r="AC2973" s="133"/>
      <c r="AD2973" s="133"/>
      <c r="AE2973" s="133"/>
      <c r="AF2973" s="133"/>
      <c r="AG2973" s="133"/>
      <c r="AH2973" s="133"/>
      <c r="AI2973" s="133"/>
      <c r="AJ2973" s="133"/>
      <c r="AK2973" s="133"/>
      <c r="AL2973" s="133"/>
      <c r="AM2973" s="133"/>
      <c r="AN2973" s="133"/>
      <c r="AO2973" s="133"/>
      <c r="AP2973" s="133"/>
      <c r="AQ2973" s="133"/>
      <c r="AR2973" s="133"/>
      <c r="AS2973" s="133"/>
      <c r="AT2973" s="133"/>
      <c r="AU2973" s="133"/>
      <c r="AV2973" s="133"/>
      <c r="AW2973" s="133"/>
      <c r="AX2973" s="133"/>
      <c r="AY2973" s="133"/>
      <c r="AZ2973" s="133"/>
      <c r="BA2973" s="133"/>
      <c r="BB2973" s="133"/>
      <c r="BC2973" s="133"/>
      <c r="BD2973" s="133"/>
      <c r="BE2973" s="133"/>
      <c r="BF2973" s="133"/>
      <c r="BG2973" s="133"/>
      <c r="BH2973" s="133"/>
      <c r="BI2973" s="133"/>
      <c r="BJ2973" s="133"/>
      <c r="BK2973" s="133"/>
      <c r="BL2973" s="133"/>
      <c r="BM2973" s="133"/>
      <c r="BN2973" s="133"/>
      <c r="BO2973" s="133"/>
      <c r="BP2973" s="133"/>
      <c r="BQ2973" s="133"/>
    </row>
    <row r="2974">
      <c r="A2974" s="194" t="s">
        <v>7864</v>
      </c>
      <c r="B2974" s="125"/>
      <c r="C2974" s="126">
        <v>43853.0</v>
      </c>
      <c r="D2974" s="133"/>
      <c r="E2974" s="124" t="s">
        <v>31</v>
      </c>
      <c r="F2974" s="198">
        <v>1.0</v>
      </c>
      <c r="G2974" s="124" t="s">
        <v>32</v>
      </c>
      <c r="H2974" s="303">
        <v>1.0</v>
      </c>
      <c r="I2974" s="124" t="s">
        <v>33</v>
      </c>
      <c r="J2974" s="124" t="s">
        <v>106</v>
      </c>
      <c r="K2974" s="133"/>
      <c r="L2974" s="124" t="s">
        <v>119</v>
      </c>
      <c r="M2974" s="242" t="s">
        <v>7865</v>
      </c>
      <c r="N2974" s="219" t="s">
        <v>7866</v>
      </c>
      <c r="O2974" s="124"/>
      <c r="P2974" s="133"/>
      <c r="Q2974" s="124"/>
      <c r="R2974" s="128"/>
      <c r="S2974" s="37"/>
      <c r="T2974" s="38"/>
      <c r="U2974" s="38"/>
      <c r="V2974" s="124" t="s">
        <v>33</v>
      </c>
      <c r="W2974" s="219" t="s">
        <v>7867</v>
      </c>
      <c r="X2974" s="219" t="s">
        <v>7868</v>
      </c>
      <c r="Y2974" s="233"/>
      <c r="Z2974" s="133"/>
      <c r="AA2974" s="133"/>
      <c r="AB2974" s="133"/>
      <c r="AC2974" s="133"/>
      <c r="AD2974" s="133"/>
      <c r="AE2974" s="133"/>
      <c r="AF2974" s="133"/>
      <c r="AG2974" s="133"/>
      <c r="AH2974" s="133"/>
      <c r="AI2974" s="133"/>
      <c r="AJ2974" s="133"/>
      <c r="AK2974" s="133"/>
      <c r="AL2974" s="133"/>
      <c r="AM2974" s="133"/>
      <c r="AN2974" s="133"/>
      <c r="AO2974" s="133"/>
      <c r="AP2974" s="133"/>
      <c r="AQ2974" s="133"/>
      <c r="AR2974" s="133"/>
      <c r="AS2974" s="133"/>
      <c r="AT2974" s="133"/>
      <c r="AU2974" s="133"/>
      <c r="AV2974" s="133"/>
      <c r="AW2974" s="133"/>
      <c r="AX2974" s="133"/>
      <c r="AY2974" s="133"/>
      <c r="AZ2974" s="133"/>
      <c r="BA2974" s="133"/>
      <c r="BB2974" s="133"/>
      <c r="BC2974" s="133"/>
      <c r="BD2974" s="133"/>
      <c r="BE2974" s="133"/>
      <c r="BF2974" s="133"/>
      <c r="BG2974" s="133"/>
      <c r="BH2974" s="133"/>
      <c r="BI2974" s="133"/>
      <c r="BJ2974" s="133"/>
      <c r="BK2974" s="133"/>
      <c r="BL2974" s="133"/>
      <c r="BM2974" s="133"/>
      <c r="BN2974" s="133"/>
      <c r="BO2974" s="133"/>
      <c r="BP2974" s="133"/>
      <c r="BQ2974" s="133"/>
    </row>
    <row r="2975">
      <c r="A2975" s="194" t="s">
        <v>7869</v>
      </c>
      <c r="B2975" s="125"/>
      <c r="C2975" s="126">
        <v>43857.0</v>
      </c>
      <c r="D2975" s="133"/>
      <c r="E2975" s="124" t="s">
        <v>41</v>
      </c>
      <c r="F2975" s="198">
        <v>2.0</v>
      </c>
      <c r="G2975" s="124" t="s">
        <v>32</v>
      </c>
      <c r="H2975" s="303">
        <v>1.0</v>
      </c>
      <c r="I2975" s="124" t="s">
        <v>33</v>
      </c>
      <c r="J2975" s="124" t="s">
        <v>93</v>
      </c>
      <c r="K2975" s="133"/>
      <c r="L2975" s="124" t="s">
        <v>7738</v>
      </c>
      <c r="M2975" s="242" t="s">
        <v>7870</v>
      </c>
      <c r="N2975" s="233"/>
      <c r="O2975" s="124"/>
      <c r="P2975" s="133"/>
      <c r="Q2975" s="124"/>
      <c r="R2975" s="128"/>
      <c r="S2975" s="37"/>
      <c r="T2975" s="38"/>
      <c r="U2975" s="38" t="b">
        <f>countif(A$4:A4658, A2975)&gt;1</f>
        <v>0</v>
      </c>
      <c r="V2975" s="124" t="s">
        <v>33</v>
      </c>
      <c r="W2975" s="138"/>
      <c r="X2975" s="138"/>
      <c r="Y2975" s="233"/>
      <c r="Z2975" s="133"/>
      <c r="AA2975" s="133"/>
      <c r="AB2975" s="133"/>
      <c r="AC2975" s="133"/>
      <c r="AD2975" s="133"/>
      <c r="AE2975" s="133"/>
      <c r="AF2975" s="133"/>
      <c r="AG2975" s="133"/>
      <c r="AH2975" s="133"/>
      <c r="AI2975" s="133"/>
      <c r="AJ2975" s="133"/>
      <c r="AK2975" s="133"/>
      <c r="AL2975" s="133"/>
      <c r="AM2975" s="133"/>
      <c r="AN2975" s="133"/>
      <c r="AO2975" s="133"/>
      <c r="AP2975" s="133"/>
      <c r="AQ2975" s="133"/>
      <c r="AR2975" s="133"/>
      <c r="AS2975" s="133"/>
      <c r="AT2975" s="133"/>
      <c r="AU2975" s="133"/>
      <c r="AV2975" s="133"/>
      <c r="AW2975" s="133"/>
      <c r="AX2975" s="133"/>
      <c r="AY2975" s="133"/>
      <c r="AZ2975" s="133"/>
      <c r="BA2975" s="133"/>
      <c r="BB2975" s="133"/>
      <c r="BC2975" s="133"/>
      <c r="BD2975" s="133"/>
      <c r="BE2975" s="133"/>
      <c r="BF2975" s="133"/>
      <c r="BG2975" s="133"/>
      <c r="BH2975" s="133"/>
      <c r="BI2975" s="133"/>
      <c r="BJ2975" s="133"/>
      <c r="BK2975" s="133"/>
      <c r="BL2975" s="133"/>
      <c r="BM2975" s="133"/>
      <c r="BN2975" s="133"/>
      <c r="BO2975" s="133"/>
      <c r="BP2975" s="133"/>
      <c r="BQ2975" s="133"/>
    </row>
    <row r="2976">
      <c r="A2976" s="194" t="s">
        <v>7871</v>
      </c>
      <c r="B2976" s="125"/>
      <c r="C2976" s="126">
        <v>43858.0</v>
      </c>
      <c r="D2976" s="133"/>
      <c r="E2976" s="124" t="s">
        <v>41</v>
      </c>
      <c r="F2976" s="198">
        <v>1.0</v>
      </c>
      <c r="G2976" s="124" t="s">
        <v>32</v>
      </c>
      <c r="H2976" s="303">
        <v>1.0</v>
      </c>
      <c r="I2976" s="124" t="s">
        <v>33</v>
      </c>
      <c r="J2976" s="124" t="s">
        <v>440</v>
      </c>
      <c r="K2976" s="133"/>
      <c r="L2976" s="124" t="s">
        <v>119</v>
      </c>
      <c r="M2976" s="242" t="s">
        <v>7872</v>
      </c>
      <c r="N2976" s="233"/>
      <c r="O2976" s="124"/>
      <c r="P2976" s="133"/>
      <c r="Q2976" s="124"/>
      <c r="R2976" s="128"/>
      <c r="S2976" s="37"/>
      <c r="T2976" s="38"/>
      <c r="U2976" s="38"/>
      <c r="V2976" s="124" t="s">
        <v>33</v>
      </c>
      <c r="W2976" s="138"/>
      <c r="X2976" s="138"/>
      <c r="Y2976" s="233"/>
      <c r="Z2976" s="133"/>
      <c r="AA2976" s="133"/>
      <c r="AB2976" s="133"/>
      <c r="AC2976" s="133"/>
      <c r="AD2976" s="133"/>
      <c r="AE2976" s="133"/>
      <c r="AF2976" s="133"/>
      <c r="AG2976" s="133"/>
      <c r="AH2976" s="133"/>
      <c r="AI2976" s="133"/>
      <c r="AJ2976" s="133"/>
      <c r="AK2976" s="133"/>
      <c r="AL2976" s="133"/>
      <c r="AM2976" s="133"/>
      <c r="AN2976" s="133"/>
      <c r="AO2976" s="133"/>
      <c r="AP2976" s="133"/>
      <c r="AQ2976" s="133"/>
      <c r="AR2976" s="133"/>
      <c r="AS2976" s="133"/>
      <c r="AT2976" s="133"/>
      <c r="AU2976" s="133"/>
      <c r="AV2976" s="133"/>
      <c r="AW2976" s="133"/>
      <c r="AX2976" s="133"/>
      <c r="AY2976" s="133"/>
      <c r="AZ2976" s="133"/>
      <c r="BA2976" s="133"/>
      <c r="BB2976" s="133"/>
      <c r="BC2976" s="133"/>
      <c r="BD2976" s="133"/>
      <c r="BE2976" s="133"/>
      <c r="BF2976" s="133"/>
      <c r="BG2976" s="133"/>
      <c r="BH2976" s="133"/>
      <c r="BI2976" s="133"/>
      <c r="BJ2976" s="133"/>
      <c r="BK2976" s="133"/>
      <c r="BL2976" s="133"/>
      <c r="BM2976" s="133"/>
      <c r="BN2976" s="133"/>
      <c r="BO2976" s="133"/>
      <c r="BP2976" s="133"/>
      <c r="BQ2976" s="133"/>
    </row>
    <row r="2977">
      <c r="A2977" s="194" t="s">
        <v>7873</v>
      </c>
      <c r="B2977" s="125"/>
      <c r="C2977" s="126">
        <v>43858.0</v>
      </c>
      <c r="D2977" s="133"/>
      <c r="E2977" s="124" t="s">
        <v>41</v>
      </c>
      <c r="F2977" s="198">
        <v>1.0</v>
      </c>
      <c r="G2977" s="124" t="s">
        <v>32</v>
      </c>
      <c r="H2977" s="303">
        <v>1.0</v>
      </c>
      <c r="I2977" s="124" t="s">
        <v>33</v>
      </c>
      <c r="J2977" s="124" t="s">
        <v>222</v>
      </c>
      <c r="K2977" s="133"/>
      <c r="L2977" s="124" t="s">
        <v>119</v>
      </c>
      <c r="M2977" s="242" t="s">
        <v>7874</v>
      </c>
      <c r="N2977" s="219" t="s">
        <v>7875</v>
      </c>
      <c r="O2977" s="124"/>
      <c r="P2977" s="133"/>
      <c r="Q2977" s="124">
        <v>1.0</v>
      </c>
      <c r="R2977" s="128"/>
      <c r="S2977" s="37"/>
      <c r="T2977" s="38"/>
      <c r="U2977" s="38"/>
      <c r="V2977" s="124" t="s">
        <v>33</v>
      </c>
      <c r="W2977" s="219" t="s">
        <v>7876</v>
      </c>
      <c r="X2977" s="219" t="s">
        <v>7877</v>
      </c>
      <c r="Y2977" s="233"/>
      <c r="Z2977" s="133"/>
      <c r="AA2977" s="133"/>
      <c r="AB2977" s="133"/>
      <c r="AC2977" s="133"/>
      <c r="AD2977" s="133"/>
      <c r="AE2977" s="133"/>
      <c r="AF2977" s="133"/>
      <c r="AG2977" s="133"/>
      <c r="AH2977" s="133"/>
      <c r="AI2977" s="133"/>
      <c r="AJ2977" s="133"/>
      <c r="AK2977" s="133"/>
      <c r="AL2977" s="133"/>
      <c r="AM2977" s="133"/>
      <c r="AN2977" s="133"/>
      <c r="AO2977" s="133"/>
      <c r="AP2977" s="133"/>
      <c r="AQ2977" s="133"/>
      <c r="AR2977" s="133"/>
      <c r="AS2977" s="133"/>
      <c r="AT2977" s="133"/>
      <c r="AU2977" s="133"/>
      <c r="AV2977" s="133"/>
      <c r="AW2977" s="133"/>
      <c r="AX2977" s="133"/>
      <c r="AY2977" s="133"/>
      <c r="AZ2977" s="133"/>
      <c r="BA2977" s="133"/>
      <c r="BB2977" s="133"/>
      <c r="BC2977" s="133"/>
      <c r="BD2977" s="133"/>
      <c r="BE2977" s="133"/>
      <c r="BF2977" s="133"/>
      <c r="BG2977" s="133"/>
      <c r="BH2977" s="133"/>
      <c r="BI2977" s="133"/>
      <c r="BJ2977" s="133"/>
      <c r="BK2977" s="133"/>
      <c r="BL2977" s="133"/>
      <c r="BM2977" s="133"/>
      <c r="BN2977" s="133"/>
      <c r="BO2977" s="133"/>
      <c r="BP2977" s="133"/>
      <c r="BQ2977" s="133"/>
    </row>
    <row r="2978">
      <c r="A2978" s="194" t="s">
        <v>7878</v>
      </c>
      <c r="B2978" s="125"/>
      <c r="C2978" s="126">
        <v>43858.0</v>
      </c>
      <c r="D2978" s="133"/>
      <c r="E2978" s="124" t="s">
        <v>41</v>
      </c>
      <c r="F2978" s="198">
        <v>1.0</v>
      </c>
      <c r="G2978" s="124" t="s">
        <v>32</v>
      </c>
      <c r="H2978" s="303">
        <v>1.0</v>
      </c>
      <c r="I2978" s="124" t="s">
        <v>33</v>
      </c>
      <c r="J2978" s="124" t="s">
        <v>115</v>
      </c>
      <c r="K2978" s="133"/>
      <c r="L2978" s="124" t="s">
        <v>76</v>
      </c>
      <c r="M2978" s="242" t="s">
        <v>7879</v>
      </c>
      <c r="N2978" s="233"/>
      <c r="O2978" s="124"/>
      <c r="P2978" s="133"/>
      <c r="Q2978" s="124"/>
      <c r="R2978" s="128"/>
      <c r="S2978" s="37"/>
      <c r="T2978" s="38"/>
      <c r="U2978" s="38" t="b">
        <f>countif(A$4:A4658, A2978)&gt;1</f>
        <v>0</v>
      </c>
      <c r="V2978" s="124" t="s">
        <v>33</v>
      </c>
      <c r="W2978" s="138"/>
      <c r="X2978" s="138"/>
      <c r="Y2978" s="233"/>
      <c r="Z2978" s="133"/>
      <c r="AA2978" s="133"/>
      <c r="AB2978" s="133"/>
      <c r="AC2978" s="133"/>
      <c r="AD2978" s="133"/>
      <c r="AE2978" s="133"/>
      <c r="AF2978" s="133"/>
      <c r="AG2978" s="133"/>
      <c r="AH2978" s="133"/>
      <c r="AI2978" s="133"/>
      <c r="AJ2978" s="133"/>
      <c r="AK2978" s="133"/>
      <c r="AL2978" s="133"/>
      <c r="AM2978" s="133"/>
      <c r="AN2978" s="133"/>
      <c r="AO2978" s="133"/>
      <c r="AP2978" s="133"/>
      <c r="AQ2978" s="133"/>
      <c r="AR2978" s="133"/>
      <c r="AS2978" s="133"/>
      <c r="AT2978" s="133"/>
      <c r="AU2978" s="133"/>
      <c r="AV2978" s="133"/>
      <c r="AW2978" s="133"/>
      <c r="AX2978" s="133"/>
      <c r="AY2978" s="133"/>
      <c r="AZ2978" s="133"/>
      <c r="BA2978" s="133"/>
      <c r="BB2978" s="133"/>
      <c r="BC2978" s="133"/>
      <c r="BD2978" s="133"/>
      <c r="BE2978" s="133"/>
      <c r="BF2978" s="133"/>
      <c r="BG2978" s="133"/>
      <c r="BH2978" s="133"/>
      <c r="BI2978" s="133"/>
      <c r="BJ2978" s="133"/>
      <c r="BK2978" s="133"/>
      <c r="BL2978" s="133"/>
      <c r="BM2978" s="133"/>
      <c r="BN2978" s="133"/>
      <c r="BO2978" s="133"/>
      <c r="BP2978" s="133"/>
      <c r="BQ2978" s="133"/>
    </row>
    <row r="2979">
      <c r="A2979" s="194" t="s">
        <v>7880</v>
      </c>
      <c r="B2979" s="125"/>
      <c r="C2979" s="126">
        <v>43860.0</v>
      </c>
      <c r="D2979" s="133"/>
      <c r="E2979" s="124" t="s">
        <v>31</v>
      </c>
      <c r="F2979" s="198">
        <v>1.0</v>
      </c>
      <c r="G2979" s="124">
        <v>14.0</v>
      </c>
      <c r="H2979" s="303">
        <v>14.0</v>
      </c>
      <c r="I2979" s="124" t="s">
        <v>33</v>
      </c>
      <c r="J2979" s="124" t="s">
        <v>222</v>
      </c>
      <c r="K2979" s="133"/>
      <c r="L2979" s="124" t="s">
        <v>76</v>
      </c>
      <c r="M2979" s="242" t="s">
        <v>7881</v>
      </c>
      <c r="N2979" s="219" t="s">
        <v>7882</v>
      </c>
      <c r="O2979" s="124"/>
      <c r="P2979" s="133"/>
      <c r="Q2979" s="124"/>
      <c r="R2979" s="128"/>
      <c r="S2979" s="37"/>
      <c r="T2979" s="38"/>
      <c r="U2979" s="38"/>
      <c r="V2979" s="124" t="s">
        <v>33</v>
      </c>
      <c r="W2979" s="219" t="s">
        <v>7883</v>
      </c>
      <c r="X2979" s="219" t="s">
        <v>7884</v>
      </c>
      <c r="Y2979" s="233"/>
      <c r="Z2979" s="133"/>
      <c r="AA2979" s="133"/>
      <c r="AB2979" s="133"/>
      <c r="AC2979" s="133"/>
      <c r="AD2979" s="133"/>
      <c r="AE2979" s="133"/>
      <c r="AF2979" s="133"/>
      <c r="AG2979" s="133"/>
      <c r="AH2979" s="133"/>
      <c r="AI2979" s="133"/>
      <c r="AJ2979" s="133"/>
      <c r="AK2979" s="133"/>
      <c r="AL2979" s="133"/>
      <c r="AM2979" s="133"/>
      <c r="AN2979" s="133"/>
      <c r="AO2979" s="133"/>
      <c r="AP2979" s="133"/>
      <c r="AQ2979" s="133"/>
      <c r="AR2979" s="133"/>
      <c r="AS2979" s="133"/>
      <c r="AT2979" s="133"/>
      <c r="AU2979" s="133"/>
      <c r="AV2979" s="133"/>
      <c r="AW2979" s="133"/>
      <c r="AX2979" s="133"/>
      <c r="AY2979" s="133"/>
      <c r="AZ2979" s="133"/>
      <c r="BA2979" s="133"/>
      <c r="BB2979" s="133"/>
      <c r="BC2979" s="133"/>
      <c r="BD2979" s="133"/>
      <c r="BE2979" s="133"/>
      <c r="BF2979" s="133"/>
      <c r="BG2979" s="133"/>
      <c r="BH2979" s="133"/>
      <c r="BI2979" s="133"/>
      <c r="BJ2979" s="133"/>
      <c r="BK2979" s="133"/>
      <c r="BL2979" s="133"/>
      <c r="BM2979" s="133"/>
      <c r="BN2979" s="133"/>
      <c r="BO2979" s="133"/>
      <c r="BP2979" s="133"/>
      <c r="BQ2979" s="133"/>
    </row>
    <row r="2980">
      <c r="A2980" s="194" t="s">
        <v>7885</v>
      </c>
      <c r="B2980" s="125"/>
      <c r="C2980" s="126">
        <v>43860.0</v>
      </c>
      <c r="D2980" s="133"/>
      <c r="E2980" s="124" t="s">
        <v>41</v>
      </c>
      <c r="F2980" s="198">
        <v>1.0</v>
      </c>
      <c r="G2980" s="124" t="s">
        <v>32</v>
      </c>
      <c r="H2980" s="303">
        <v>1.0</v>
      </c>
      <c r="I2980" s="124" t="s">
        <v>33</v>
      </c>
      <c r="J2980" s="124" t="s">
        <v>111</v>
      </c>
      <c r="K2980" s="133"/>
      <c r="L2980" s="124" t="s">
        <v>119</v>
      </c>
      <c r="M2980" s="242" t="s">
        <v>7886</v>
      </c>
      <c r="N2980" s="233"/>
      <c r="O2980" s="124"/>
      <c r="P2980" s="133"/>
      <c r="Q2980" s="124"/>
      <c r="R2980" s="128"/>
      <c r="S2980" s="37"/>
      <c r="T2980" s="38"/>
      <c r="U2980" s="38"/>
      <c r="V2980" s="124" t="s">
        <v>33</v>
      </c>
      <c r="W2980" s="233"/>
      <c r="X2980" s="233"/>
      <c r="Y2980" s="233"/>
      <c r="Z2980" s="133"/>
      <c r="AA2980" s="133"/>
      <c r="AB2980" s="133"/>
      <c r="AC2980" s="133"/>
      <c r="AD2980" s="133"/>
      <c r="AE2980" s="133"/>
      <c r="AF2980" s="133"/>
      <c r="AG2980" s="133"/>
      <c r="AH2980" s="133"/>
      <c r="AI2980" s="133"/>
      <c r="AJ2980" s="133"/>
      <c r="AK2980" s="133"/>
      <c r="AL2980" s="133"/>
      <c r="AM2980" s="133"/>
      <c r="AN2980" s="133"/>
      <c r="AO2980" s="133"/>
      <c r="AP2980" s="133"/>
      <c r="AQ2980" s="133"/>
      <c r="AR2980" s="133"/>
      <c r="AS2980" s="133"/>
      <c r="AT2980" s="133"/>
      <c r="AU2980" s="133"/>
      <c r="AV2980" s="133"/>
      <c r="AW2980" s="133"/>
      <c r="AX2980" s="133"/>
      <c r="AY2980" s="133"/>
      <c r="AZ2980" s="133"/>
      <c r="BA2980" s="133"/>
      <c r="BB2980" s="133"/>
      <c r="BC2980" s="133"/>
      <c r="BD2980" s="133"/>
      <c r="BE2980" s="133"/>
      <c r="BF2980" s="133"/>
      <c r="BG2980" s="133"/>
      <c r="BH2980" s="133"/>
      <c r="BI2980" s="133"/>
      <c r="BJ2980" s="133"/>
      <c r="BK2980" s="133"/>
      <c r="BL2980" s="133"/>
      <c r="BM2980" s="133"/>
      <c r="BN2980" s="133"/>
      <c r="BO2980" s="133"/>
      <c r="BP2980" s="133"/>
      <c r="BQ2980" s="133"/>
    </row>
    <row r="2981">
      <c r="A2981" s="194" t="s">
        <v>7887</v>
      </c>
      <c r="B2981" s="125"/>
      <c r="C2981" s="126">
        <v>43861.0</v>
      </c>
      <c r="D2981" s="133"/>
      <c r="E2981" s="124" t="s">
        <v>31</v>
      </c>
      <c r="F2981" s="198">
        <v>1.0</v>
      </c>
      <c r="G2981" s="124" t="s">
        <v>32</v>
      </c>
      <c r="H2981" s="303">
        <v>1.0</v>
      </c>
      <c r="I2981" s="124" t="s">
        <v>33</v>
      </c>
      <c r="J2981" s="124" t="s">
        <v>47</v>
      </c>
      <c r="K2981" s="133"/>
      <c r="L2981" s="124" t="s">
        <v>119</v>
      </c>
      <c r="M2981" s="242" t="s">
        <v>7888</v>
      </c>
      <c r="N2981" s="219" t="s">
        <v>7889</v>
      </c>
      <c r="O2981" s="124"/>
      <c r="P2981" s="133"/>
      <c r="Q2981" s="124"/>
      <c r="R2981" s="128"/>
      <c r="S2981" s="37"/>
      <c r="T2981" s="38"/>
      <c r="U2981" s="38" t="b">
        <f>countif(A$4:A4658, A2981)&gt;1</f>
        <v>0</v>
      </c>
      <c r="V2981" s="124" t="s">
        <v>33</v>
      </c>
      <c r="W2981" s="219" t="s">
        <v>7890</v>
      </c>
      <c r="X2981" s="219" t="s">
        <v>7890</v>
      </c>
      <c r="Y2981" s="233"/>
      <c r="Z2981" s="133"/>
      <c r="AA2981" s="133"/>
      <c r="AB2981" s="133"/>
      <c r="AC2981" s="133"/>
      <c r="AD2981" s="133"/>
      <c r="AE2981" s="133"/>
      <c r="AF2981" s="133"/>
      <c r="AG2981" s="133"/>
      <c r="AH2981" s="133"/>
      <c r="AI2981" s="133"/>
      <c r="AJ2981" s="133"/>
      <c r="AK2981" s="133"/>
      <c r="AL2981" s="133"/>
      <c r="AM2981" s="133"/>
      <c r="AN2981" s="133"/>
      <c r="AO2981" s="133"/>
      <c r="AP2981" s="133"/>
      <c r="AQ2981" s="133"/>
      <c r="AR2981" s="133"/>
      <c r="AS2981" s="133"/>
      <c r="AT2981" s="133"/>
      <c r="AU2981" s="133"/>
      <c r="AV2981" s="133"/>
      <c r="AW2981" s="133"/>
      <c r="AX2981" s="133"/>
      <c r="AY2981" s="133"/>
      <c r="AZ2981" s="133"/>
      <c r="BA2981" s="133"/>
      <c r="BB2981" s="133"/>
      <c r="BC2981" s="133"/>
      <c r="BD2981" s="133"/>
      <c r="BE2981" s="133"/>
      <c r="BF2981" s="133"/>
      <c r="BG2981" s="133"/>
      <c r="BH2981" s="133"/>
      <c r="BI2981" s="133"/>
      <c r="BJ2981" s="133"/>
      <c r="BK2981" s="133"/>
      <c r="BL2981" s="133"/>
      <c r="BM2981" s="133"/>
      <c r="BN2981" s="133"/>
      <c r="BO2981" s="133"/>
      <c r="BP2981" s="133"/>
      <c r="BQ2981" s="133"/>
    </row>
    <row r="2982">
      <c r="A2982" s="194" t="s">
        <v>7891</v>
      </c>
      <c r="B2982" s="125"/>
      <c r="C2982" s="195">
        <v>43862.0</v>
      </c>
      <c r="D2982" s="133"/>
      <c r="E2982" s="124" t="s">
        <v>41</v>
      </c>
      <c r="F2982" s="198">
        <v>1.0</v>
      </c>
      <c r="G2982" s="124" t="s">
        <v>32</v>
      </c>
      <c r="H2982" s="303">
        <v>1.0</v>
      </c>
      <c r="I2982" s="124" t="s">
        <v>33</v>
      </c>
      <c r="J2982" s="124" t="s">
        <v>111</v>
      </c>
      <c r="K2982" s="133"/>
      <c r="L2982" s="124" t="s">
        <v>807</v>
      </c>
      <c r="M2982" s="242" t="s">
        <v>7892</v>
      </c>
      <c r="N2982" s="233"/>
      <c r="O2982" s="124"/>
      <c r="P2982" s="219" t="s">
        <v>7893</v>
      </c>
      <c r="Q2982" s="124"/>
      <c r="R2982" s="128"/>
      <c r="S2982" s="37"/>
      <c r="T2982" s="38"/>
      <c r="U2982" s="38"/>
      <c r="V2982" s="124" t="s">
        <v>33</v>
      </c>
      <c r="W2982" s="233"/>
      <c r="X2982" s="233"/>
      <c r="Y2982" s="233"/>
      <c r="Z2982" s="133"/>
      <c r="AA2982" s="133"/>
      <c r="AB2982" s="133"/>
      <c r="AC2982" s="133"/>
      <c r="AD2982" s="133"/>
      <c r="AE2982" s="133"/>
      <c r="AF2982" s="133"/>
      <c r="AG2982" s="133"/>
      <c r="AH2982" s="133"/>
      <c r="AI2982" s="133"/>
      <c r="AJ2982" s="133"/>
      <c r="AK2982" s="133"/>
      <c r="AL2982" s="133"/>
      <c r="AM2982" s="133"/>
      <c r="AN2982" s="133"/>
      <c r="AO2982" s="133"/>
      <c r="AP2982" s="133"/>
      <c r="AQ2982" s="133"/>
      <c r="AR2982" s="133"/>
      <c r="AS2982" s="133"/>
      <c r="AT2982" s="133"/>
      <c r="AU2982" s="133"/>
      <c r="AV2982" s="133"/>
      <c r="AW2982" s="133"/>
      <c r="AX2982" s="133"/>
      <c r="AY2982" s="133"/>
      <c r="AZ2982" s="133"/>
      <c r="BA2982" s="133"/>
      <c r="BB2982" s="133"/>
      <c r="BC2982" s="133"/>
      <c r="BD2982" s="133"/>
      <c r="BE2982" s="133"/>
      <c r="BF2982" s="133"/>
      <c r="BG2982" s="133"/>
      <c r="BH2982" s="133"/>
      <c r="BI2982" s="133"/>
      <c r="BJ2982" s="133"/>
      <c r="BK2982" s="133"/>
      <c r="BL2982" s="133"/>
      <c r="BM2982" s="133"/>
      <c r="BN2982" s="133"/>
      <c r="BO2982" s="133"/>
      <c r="BP2982" s="133"/>
      <c r="BQ2982" s="133"/>
    </row>
    <row r="2983">
      <c r="A2983" s="194" t="s">
        <v>7894</v>
      </c>
      <c r="B2983" s="125"/>
      <c r="C2983" s="195">
        <v>43862.0</v>
      </c>
      <c r="D2983" s="133"/>
      <c r="E2983" s="124" t="s">
        <v>41</v>
      </c>
      <c r="F2983" s="198">
        <v>1.0</v>
      </c>
      <c r="G2983" s="124" t="s">
        <v>32</v>
      </c>
      <c r="H2983" s="303">
        <v>1.0</v>
      </c>
      <c r="I2983" s="124" t="s">
        <v>33</v>
      </c>
      <c r="J2983" s="124" t="s">
        <v>75</v>
      </c>
      <c r="K2983" s="133"/>
      <c r="L2983" s="124" t="s">
        <v>119</v>
      </c>
      <c r="M2983" s="242" t="s">
        <v>7895</v>
      </c>
      <c r="N2983" s="233"/>
      <c r="O2983" s="124"/>
      <c r="P2983" s="133"/>
      <c r="Q2983" s="124"/>
      <c r="R2983" s="128"/>
      <c r="S2983" s="37"/>
      <c r="T2983" s="38"/>
      <c r="U2983" s="38"/>
      <c r="V2983" s="124" t="s">
        <v>33</v>
      </c>
      <c r="W2983" s="233"/>
      <c r="X2983" s="233"/>
      <c r="Y2983" s="233"/>
      <c r="Z2983" s="133"/>
      <c r="AA2983" s="133"/>
      <c r="AB2983" s="133"/>
      <c r="AC2983" s="133"/>
      <c r="AD2983" s="133"/>
      <c r="AE2983" s="133"/>
      <c r="AF2983" s="133"/>
      <c r="AG2983" s="133"/>
      <c r="AH2983" s="133"/>
      <c r="AI2983" s="133"/>
      <c r="AJ2983" s="133"/>
      <c r="AK2983" s="133"/>
      <c r="AL2983" s="133"/>
      <c r="AM2983" s="133"/>
      <c r="AN2983" s="133"/>
      <c r="AO2983" s="133"/>
      <c r="AP2983" s="133"/>
      <c r="AQ2983" s="133"/>
      <c r="AR2983" s="133"/>
      <c r="AS2983" s="133"/>
      <c r="AT2983" s="133"/>
      <c r="AU2983" s="133"/>
      <c r="AV2983" s="133"/>
      <c r="AW2983" s="133"/>
      <c r="AX2983" s="133"/>
      <c r="AY2983" s="133"/>
      <c r="AZ2983" s="133"/>
      <c r="BA2983" s="133"/>
      <c r="BB2983" s="133"/>
      <c r="BC2983" s="133"/>
      <c r="BD2983" s="133"/>
      <c r="BE2983" s="133"/>
      <c r="BF2983" s="133"/>
      <c r="BG2983" s="133"/>
      <c r="BH2983" s="133"/>
      <c r="BI2983" s="133"/>
      <c r="BJ2983" s="133"/>
      <c r="BK2983" s="133"/>
      <c r="BL2983" s="133"/>
      <c r="BM2983" s="133"/>
      <c r="BN2983" s="133"/>
      <c r="BO2983" s="133"/>
      <c r="BP2983" s="133"/>
      <c r="BQ2983" s="133"/>
    </row>
    <row r="2984">
      <c r="A2984" s="194" t="s">
        <v>7896</v>
      </c>
      <c r="B2984" s="125"/>
      <c r="C2984" s="195">
        <v>43862.0</v>
      </c>
      <c r="D2984" s="133"/>
      <c r="E2984" s="124" t="s">
        <v>41</v>
      </c>
      <c r="F2984" s="198">
        <v>1.0</v>
      </c>
      <c r="G2984" s="124" t="s">
        <v>32</v>
      </c>
      <c r="H2984" s="303">
        <v>1.0</v>
      </c>
      <c r="I2984" s="124" t="s">
        <v>33</v>
      </c>
      <c r="J2984" s="124" t="s">
        <v>524</v>
      </c>
      <c r="K2984" s="133"/>
      <c r="L2984" s="124" t="s">
        <v>76</v>
      </c>
      <c r="M2984" s="242" t="s">
        <v>7897</v>
      </c>
      <c r="N2984" s="233"/>
      <c r="O2984" s="124"/>
      <c r="P2984" s="133"/>
      <c r="Q2984" s="124"/>
      <c r="R2984" s="128"/>
      <c r="S2984" s="37"/>
      <c r="T2984" s="38"/>
      <c r="U2984" s="38"/>
      <c r="V2984" s="124" t="s">
        <v>33</v>
      </c>
      <c r="W2984" s="233"/>
      <c r="X2984" s="233"/>
      <c r="Y2984" s="233"/>
      <c r="Z2984" s="133"/>
      <c r="AA2984" s="133"/>
      <c r="AB2984" s="133"/>
      <c r="AC2984" s="133"/>
      <c r="AD2984" s="133"/>
      <c r="AE2984" s="133"/>
      <c r="AF2984" s="133"/>
      <c r="AG2984" s="133"/>
      <c r="AH2984" s="133"/>
      <c r="AI2984" s="133"/>
      <c r="AJ2984" s="133"/>
      <c r="AK2984" s="133"/>
      <c r="AL2984" s="133"/>
      <c r="AM2984" s="133"/>
      <c r="AN2984" s="133"/>
      <c r="AO2984" s="133"/>
      <c r="AP2984" s="133"/>
      <c r="AQ2984" s="133"/>
      <c r="AR2984" s="133"/>
      <c r="AS2984" s="133"/>
      <c r="AT2984" s="133"/>
      <c r="AU2984" s="133"/>
      <c r="AV2984" s="133"/>
      <c r="AW2984" s="133"/>
      <c r="AX2984" s="133"/>
      <c r="AY2984" s="133"/>
      <c r="AZ2984" s="133"/>
      <c r="BA2984" s="133"/>
      <c r="BB2984" s="133"/>
      <c r="BC2984" s="133"/>
      <c r="BD2984" s="133"/>
      <c r="BE2984" s="133"/>
      <c r="BF2984" s="133"/>
      <c r="BG2984" s="133"/>
      <c r="BH2984" s="133"/>
      <c r="BI2984" s="133"/>
      <c r="BJ2984" s="133"/>
      <c r="BK2984" s="133"/>
      <c r="BL2984" s="133"/>
      <c r="BM2984" s="133"/>
      <c r="BN2984" s="133"/>
      <c r="BO2984" s="133"/>
      <c r="BP2984" s="133"/>
      <c r="BQ2984" s="133"/>
    </row>
    <row r="2985">
      <c r="A2985" s="194" t="s">
        <v>7898</v>
      </c>
      <c r="B2985" s="125"/>
      <c r="C2985" s="195">
        <v>43862.0</v>
      </c>
      <c r="D2985" s="133"/>
      <c r="E2985" s="124" t="s">
        <v>41</v>
      </c>
      <c r="F2985" s="198">
        <v>1.0</v>
      </c>
      <c r="G2985" s="124" t="s">
        <v>32</v>
      </c>
      <c r="H2985" s="303">
        <v>1.0</v>
      </c>
      <c r="I2985" s="124" t="s">
        <v>33</v>
      </c>
      <c r="J2985" s="124" t="s">
        <v>93</v>
      </c>
      <c r="K2985" s="133"/>
      <c r="L2985" s="124" t="s">
        <v>119</v>
      </c>
      <c r="M2985" s="242" t="s">
        <v>7899</v>
      </c>
      <c r="N2985" s="233"/>
      <c r="O2985" s="124"/>
      <c r="P2985" s="133"/>
      <c r="Q2985" s="124"/>
      <c r="R2985" s="128"/>
      <c r="S2985" s="37"/>
      <c r="T2985" s="38"/>
      <c r="U2985" s="38"/>
      <c r="V2985" s="124" t="s">
        <v>33</v>
      </c>
      <c r="W2985" s="233"/>
      <c r="X2985" s="233"/>
      <c r="Y2985" s="233"/>
      <c r="Z2985" s="133"/>
      <c r="AA2985" s="133"/>
      <c r="AB2985" s="133"/>
      <c r="AC2985" s="133"/>
      <c r="AD2985" s="133"/>
      <c r="AE2985" s="133"/>
      <c r="AF2985" s="133"/>
      <c r="AG2985" s="133"/>
      <c r="AH2985" s="133"/>
      <c r="AI2985" s="133"/>
      <c r="AJ2985" s="133"/>
      <c r="AK2985" s="133"/>
      <c r="AL2985" s="133"/>
      <c r="AM2985" s="133"/>
      <c r="AN2985" s="133"/>
      <c r="AO2985" s="133"/>
      <c r="AP2985" s="133"/>
      <c r="AQ2985" s="133"/>
      <c r="AR2985" s="133"/>
      <c r="AS2985" s="133"/>
      <c r="AT2985" s="133"/>
      <c r="AU2985" s="133"/>
      <c r="AV2985" s="133"/>
      <c r="AW2985" s="133"/>
      <c r="AX2985" s="133"/>
      <c r="AY2985" s="133"/>
      <c r="AZ2985" s="133"/>
      <c r="BA2985" s="133"/>
      <c r="BB2985" s="133"/>
      <c r="BC2985" s="133"/>
      <c r="BD2985" s="133"/>
      <c r="BE2985" s="133"/>
      <c r="BF2985" s="133"/>
      <c r="BG2985" s="133"/>
      <c r="BH2985" s="133"/>
      <c r="BI2985" s="133"/>
      <c r="BJ2985" s="133"/>
      <c r="BK2985" s="133"/>
      <c r="BL2985" s="133"/>
      <c r="BM2985" s="133"/>
      <c r="BN2985" s="133"/>
      <c r="BO2985" s="133"/>
      <c r="BP2985" s="133"/>
      <c r="BQ2985" s="133"/>
    </row>
    <row r="2986">
      <c r="A2986" s="194" t="s">
        <v>239</v>
      </c>
      <c r="B2986" s="125"/>
      <c r="C2986" s="195">
        <v>43862.0</v>
      </c>
      <c r="D2986" s="133"/>
      <c r="E2986" s="124" t="s">
        <v>41</v>
      </c>
      <c r="F2986" s="198">
        <v>4.0</v>
      </c>
      <c r="G2986" s="124" t="s">
        <v>32</v>
      </c>
      <c r="H2986" s="303">
        <v>1.0</v>
      </c>
      <c r="I2986" s="124" t="s">
        <v>33</v>
      </c>
      <c r="J2986" s="124" t="s">
        <v>147</v>
      </c>
      <c r="K2986" s="133"/>
      <c r="L2986" s="124" t="s">
        <v>194</v>
      </c>
      <c r="M2986" s="242" t="s">
        <v>7900</v>
      </c>
      <c r="N2986" s="233"/>
      <c r="O2986" s="124"/>
      <c r="P2986" s="133"/>
      <c r="Q2986" s="124"/>
      <c r="R2986" s="128"/>
      <c r="S2986" s="37"/>
      <c r="T2986" s="38"/>
      <c r="U2986" s="38"/>
      <c r="V2986" s="124"/>
      <c r="W2986" s="233"/>
      <c r="X2986" s="233"/>
      <c r="Y2986" s="233"/>
      <c r="Z2986" s="133"/>
      <c r="AA2986" s="133"/>
      <c r="AB2986" s="133"/>
      <c r="AC2986" s="133"/>
      <c r="AD2986" s="133"/>
      <c r="AE2986" s="133"/>
      <c r="AF2986" s="133"/>
      <c r="AG2986" s="133"/>
      <c r="AH2986" s="133"/>
      <c r="AI2986" s="133"/>
      <c r="AJ2986" s="133"/>
      <c r="AK2986" s="133"/>
      <c r="AL2986" s="133"/>
      <c r="AM2986" s="133"/>
      <c r="AN2986" s="133"/>
      <c r="AO2986" s="133"/>
      <c r="AP2986" s="133"/>
      <c r="AQ2986" s="133"/>
      <c r="AR2986" s="133"/>
      <c r="AS2986" s="133"/>
      <c r="AT2986" s="133"/>
      <c r="AU2986" s="133"/>
      <c r="AV2986" s="133"/>
      <c r="AW2986" s="133"/>
      <c r="AX2986" s="133"/>
      <c r="AY2986" s="133"/>
      <c r="AZ2986" s="133"/>
      <c r="BA2986" s="133"/>
      <c r="BB2986" s="133"/>
      <c r="BC2986" s="133"/>
      <c r="BD2986" s="133"/>
      <c r="BE2986" s="133"/>
      <c r="BF2986" s="133"/>
      <c r="BG2986" s="133"/>
      <c r="BH2986" s="133"/>
      <c r="BI2986" s="133"/>
      <c r="BJ2986" s="133"/>
      <c r="BK2986" s="133"/>
      <c r="BL2986" s="133"/>
      <c r="BM2986" s="133"/>
      <c r="BN2986" s="133"/>
      <c r="BO2986" s="133"/>
      <c r="BP2986" s="133"/>
      <c r="BQ2986" s="133"/>
    </row>
    <row r="2987">
      <c r="A2987" s="194" t="s">
        <v>7901</v>
      </c>
      <c r="B2987" s="125"/>
      <c r="C2987" s="126">
        <v>43865.0</v>
      </c>
      <c r="D2987" s="133"/>
      <c r="E2987" s="124" t="s">
        <v>41</v>
      </c>
      <c r="F2987" s="198">
        <v>1.0</v>
      </c>
      <c r="G2987" s="124">
        <v>2.0</v>
      </c>
      <c r="H2987" s="303">
        <v>2.0</v>
      </c>
      <c r="I2987" s="124" t="s">
        <v>33</v>
      </c>
      <c r="J2987" s="124" t="s">
        <v>268</v>
      </c>
      <c r="K2987" s="133"/>
      <c r="L2987" s="233" t="s">
        <v>76</v>
      </c>
      <c r="M2987" s="242" t="s">
        <v>7902</v>
      </c>
      <c r="N2987" s="233"/>
      <c r="O2987" s="124"/>
      <c r="P2987" s="133"/>
      <c r="Q2987" s="124"/>
      <c r="R2987" s="128"/>
      <c r="S2987" s="37"/>
      <c r="T2987" s="38"/>
      <c r="U2987" s="38"/>
      <c r="V2987" s="124" t="s">
        <v>33</v>
      </c>
      <c r="W2987" s="233"/>
      <c r="X2987" s="233"/>
      <c r="Y2987" s="233"/>
      <c r="Z2987" s="133"/>
      <c r="AA2987" s="133"/>
      <c r="AB2987" s="133"/>
      <c r="AC2987" s="133"/>
      <c r="AD2987" s="133"/>
      <c r="AE2987" s="133"/>
      <c r="AF2987" s="133"/>
      <c r="AG2987" s="133"/>
      <c r="AH2987" s="133"/>
      <c r="AI2987" s="133"/>
      <c r="AJ2987" s="133"/>
      <c r="AK2987" s="133"/>
      <c r="AL2987" s="133"/>
      <c r="AM2987" s="133"/>
      <c r="AN2987" s="133"/>
      <c r="AO2987" s="133"/>
      <c r="AP2987" s="133"/>
      <c r="AQ2987" s="133"/>
      <c r="AR2987" s="133"/>
      <c r="AS2987" s="133"/>
      <c r="AT2987" s="133"/>
      <c r="AU2987" s="133"/>
      <c r="AV2987" s="133"/>
      <c r="AW2987" s="133"/>
      <c r="AX2987" s="133"/>
      <c r="AY2987" s="133"/>
      <c r="AZ2987" s="133"/>
      <c r="BA2987" s="133"/>
      <c r="BB2987" s="133"/>
      <c r="BC2987" s="133"/>
      <c r="BD2987" s="133"/>
      <c r="BE2987" s="133"/>
      <c r="BF2987" s="133"/>
      <c r="BG2987" s="133"/>
      <c r="BH2987" s="133"/>
      <c r="BI2987" s="133"/>
      <c r="BJ2987" s="133"/>
      <c r="BK2987" s="133"/>
      <c r="BL2987" s="133"/>
      <c r="BM2987" s="133"/>
      <c r="BN2987" s="133"/>
      <c r="BO2987" s="133"/>
      <c r="BP2987" s="133"/>
      <c r="BQ2987" s="133"/>
    </row>
    <row r="2988">
      <c r="A2988" s="194" t="s">
        <v>7903</v>
      </c>
      <c r="B2988" s="125"/>
      <c r="C2988" s="126">
        <v>43865.0</v>
      </c>
      <c r="D2988" s="133"/>
      <c r="E2988" s="124" t="s">
        <v>41</v>
      </c>
      <c r="F2988" s="198">
        <v>1.0</v>
      </c>
      <c r="G2988" s="124" t="s">
        <v>32</v>
      </c>
      <c r="H2988" s="303">
        <v>1.0</v>
      </c>
      <c r="I2988" s="124" t="s">
        <v>33</v>
      </c>
      <c r="J2988" s="124" t="s">
        <v>203</v>
      </c>
      <c r="K2988" s="133"/>
      <c r="L2988" s="138" t="s">
        <v>69</v>
      </c>
      <c r="M2988" s="242" t="s">
        <v>7904</v>
      </c>
      <c r="N2988" s="233"/>
      <c r="O2988" s="124"/>
      <c r="P2988" s="133"/>
      <c r="Q2988" s="124">
        <v>1.0</v>
      </c>
      <c r="R2988" s="128"/>
      <c r="S2988" s="37"/>
      <c r="T2988" s="38"/>
      <c r="U2988" s="38" t="b">
        <f t="shared" ref="U2988:U2989" si="416">countif(A$4:A4658, A2988)&gt;1</f>
        <v>0</v>
      </c>
      <c r="V2988" s="124" t="s">
        <v>33</v>
      </c>
      <c r="W2988" s="233"/>
      <c r="X2988" s="233"/>
      <c r="Y2988" s="233"/>
      <c r="Z2988" s="133"/>
      <c r="AA2988" s="133"/>
      <c r="AB2988" s="133"/>
      <c r="AC2988" s="133"/>
      <c r="AD2988" s="133"/>
      <c r="AE2988" s="133"/>
      <c r="AF2988" s="133"/>
      <c r="AG2988" s="133"/>
      <c r="AH2988" s="133"/>
      <c r="AI2988" s="133"/>
      <c r="AJ2988" s="133"/>
      <c r="AK2988" s="133"/>
      <c r="AL2988" s="133"/>
      <c r="AM2988" s="133"/>
      <c r="AN2988" s="133"/>
      <c r="AO2988" s="133"/>
      <c r="AP2988" s="133"/>
      <c r="AQ2988" s="133"/>
      <c r="AR2988" s="133"/>
      <c r="AS2988" s="133"/>
      <c r="AT2988" s="133"/>
      <c r="AU2988" s="133"/>
      <c r="AV2988" s="133"/>
      <c r="AW2988" s="133"/>
      <c r="AX2988" s="133"/>
      <c r="AY2988" s="133"/>
      <c r="AZ2988" s="133"/>
      <c r="BA2988" s="133"/>
      <c r="BB2988" s="133"/>
      <c r="BC2988" s="133"/>
      <c r="BD2988" s="133"/>
      <c r="BE2988" s="133"/>
      <c r="BF2988" s="133"/>
      <c r="BG2988" s="133"/>
      <c r="BH2988" s="133"/>
      <c r="BI2988" s="133"/>
      <c r="BJ2988" s="133"/>
      <c r="BK2988" s="133"/>
      <c r="BL2988" s="133"/>
      <c r="BM2988" s="133"/>
      <c r="BN2988" s="133"/>
      <c r="BO2988" s="133"/>
      <c r="BP2988" s="133"/>
      <c r="BQ2988" s="133"/>
    </row>
    <row r="2989">
      <c r="A2989" s="194" t="s">
        <v>7905</v>
      </c>
      <c r="B2989" s="125"/>
      <c r="C2989" s="126">
        <v>43866.0</v>
      </c>
      <c r="D2989" s="133"/>
      <c r="E2989" s="124" t="s">
        <v>31</v>
      </c>
      <c r="F2989" s="198">
        <v>1.0</v>
      </c>
      <c r="G2989" s="124">
        <v>12.0</v>
      </c>
      <c r="H2989" s="303">
        <v>12.0</v>
      </c>
      <c r="I2989" s="124" t="s">
        <v>33</v>
      </c>
      <c r="J2989" s="124" t="s">
        <v>93</v>
      </c>
      <c r="K2989" s="133"/>
      <c r="L2989" s="233" t="s">
        <v>7906</v>
      </c>
      <c r="M2989" s="242" t="s">
        <v>7907</v>
      </c>
      <c r="N2989" s="219" t="s">
        <v>7908</v>
      </c>
      <c r="O2989" s="124"/>
      <c r="P2989" s="133"/>
      <c r="Q2989" s="124"/>
      <c r="R2989" s="128"/>
      <c r="S2989" s="37"/>
      <c r="T2989" s="38"/>
      <c r="U2989" s="38" t="b">
        <f t="shared" si="416"/>
        <v>0</v>
      </c>
      <c r="V2989" s="124" t="s">
        <v>33</v>
      </c>
      <c r="W2989" s="219" t="s">
        <v>7909</v>
      </c>
      <c r="X2989" s="219" t="s">
        <v>7910</v>
      </c>
      <c r="Y2989" s="233"/>
      <c r="Z2989" s="133"/>
      <c r="AA2989" s="133"/>
      <c r="AB2989" s="133"/>
      <c r="AC2989" s="133"/>
      <c r="AD2989" s="133"/>
      <c r="AE2989" s="133"/>
      <c r="AF2989" s="133"/>
      <c r="AG2989" s="133"/>
      <c r="AH2989" s="133"/>
      <c r="AI2989" s="133"/>
      <c r="AJ2989" s="133"/>
      <c r="AK2989" s="133"/>
      <c r="AL2989" s="133"/>
      <c r="AM2989" s="133"/>
      <c r="AN2989" s="133"/>
      <c r="AO2989" s="133"/>
      <c r="AP2989" s="133"/>
      <c r="AQ2989" s="133"/>
      <c r="AR2989" s="133"/>
      <c r="AS2989" s="133"/>
      <c r="AT2989" s="133"/>
      <c r="AU2989" s="133"/>
      <c r="AV2989" s="133"/>
      <c r="AW2989" s="133"/>
      <c r="AX2989" s="133"/>
      <c r="AY2989" s="133"/>
      <c r="AZ2989" s="133"/>
      <c r="BA2989" s="133"/>
      <c r="BB2989" s="133"/>
      <c r="BC2989" s="133"/>
      <c r="BD2989" s="133"/>
      <c r="BE2989" s="133"/>
      <c r="BF2989" s="133"/>
      <c r="BG2989" s="133"/>
      <c r="BH2989" s="133"/>
      <c r="BI2989" s="133"/>
      <c r="BJ2989" s="133"/>
      <c r="BK2989" s="133"/>
      <c r="BL2989" s="133"/>
      <c r="BM2989" s="133"/>
      <c r="BN2989" s="133"/>
      <c r="BO2989" s="133"/>
      <c r="BP2989" s="133"/>
      <c r="BQ2989" s="133"/>
    </row>
    <row r="2990">
      <c r="A2990" s="194" t="s">
        <v>7911</v>
      </c>
      <c r="B2990" s="125"/>
      <c r="C2990" s="126">
        <v>43866.0</v>
      </c>
      <c r="D2990" s="133"/>
      <c r="E2990" s="124" t="s">
        <v>41</v>
      </c>
      <c r="F2990" s="198">
        <v>1.0</v>
      </c>
      <c r="G2990" s="124" t="s">
        <v>32</v>
      </c>
      <c r="H2990" s="303">
        <v>1.0</v>
      </c>
      <c r="I2990" s="124" t="s">
        <v>33</v>
      </c>
      <c r="J2990" s="124" t="s">
        <v>61</v>
      </c>
      <c r="K2990" s="133"/>
      <c r="L2990" s="233" t="s">
        <v>76</v>
      </c>
      <c r="M2990" s="242" t="s">
        <v>7912</v>
      </c>
      <c r="N2990" s="233"/>
      <c r="O2990" s="124"/>
      <c r="P2990" s="133"/>
      <c r="Q2990" s="124">
        <v>1.0</v>
      </c>
      <c r="R2990" s="128"/>
      <c r="S2990" s="37"/>
      <c r="T2990" s="38"/>
      <c r="U2990" s="38"/>
      <c r="V2990" s="124" t="s">
        <v>33</v>
      </c>
      <c r="W2990" s="233"/>
      <c r="X2990" s="233"/>
      <c r="Y2990" s="233"/>
      <c r="Z2990" s="133"/>
      <c r="AA2990" s="133"/>
      <c r="AB2990" s="133"/>
      <c r="AC2990" s="133"/>
      <c r="AD2990" s="133"/>
      <c r="AE2990" s="133"/>
      <c r="AF2990" s="133"/>
      <c r="AG2990" s="133"/>
      <c r="AH2990" s="133"/>
      <c r="AI2990" s="133"/>
      <c r="AJ2990" s="133"/>
      <c r="AK2990" s="133"/>
      <c r="AL2990" s="133"/>
      <c r="AM2990" s="133"/>
      <c r="AN2990" s="133"/>
      <c r="AO2990" s="133"/>
      <c r="AP2990" s="133"/>
      <c r="AQ2990" s="133"/>
      <c r="AR2990" s="133"/>
      <c r="AS2990" s="133"/>
      <c r="AT2990" s="133"/>
      <c r="AU2990" s="133"/>
      <c r="AV2990" s="133"/>
      <c r="AW2990" s="133"/>
      <c r="AX2990" s="133"/>
      <c r="AY2990" s="133"/>
      <c r="AZ2990" s="133"/>
      <c r="BA2990" s="133"/>
      <c r="BB2990" s="133"/>
      <c r="BC2990" s="133"/>
      <c r="BD2990" s="133"/>
      <c r="BE2990" s="133"/>
      <c r="BF2990" s="133"/>
      <c r="BG2990" s="133"/>
      <c r="BH2990" s="133"/>
      <c r="BI2990" s="133"/>
      <c r="BJ2990" s="133"/>
      <c r="BK2990" s="133"/>
      <c r="BL2990" s="133"/>
      <c r="BM2990" s="133"/>
      <c r="BN2990" s="133"/>
      <c r="BO2990" s="133"/>
      <c r="BP2990" s="133"/>
      <c r="BQ2990" s="133"/>
    </row>
    <row r="2991">
      <c r="A2991" s="194" t="s">
        <v>7913</v>
      </c>
      <c r="B2991" s="125"/>
      <c r="C2991" s="126">
        <v>43866.0</v>
      </c>
      <c r="D2991" s="133"/>
      <c r="E2991" s="124" t="s">
        <v>41</v>
      </c>
      <c r="F2991" s="198">
        <v>1.0</v>
      </c>
      <c r="G2991" s="124" t="s">
        <v>32</v>
      </c>
      <c r="H2991" s="303">
        <v>1.0</v>
      </c>
      <c r="I2991" s="124" t="s">
        <v>33</v>
      </c>
      <c r="J2991" s="124" t="s">
        <v>410</v>
      </c>
      <c r="K2991" s="133"/>
      <c r="L2991" s="233" t="s">
        <v>7914</v>
      </c>
      <c r="M2991" s="242" t="s">
        <v>7915</v>
      </c>
      <c r="N2991" s="233"/>
      <c r="O2991" s="124"/>
      <c r="P2991" s="133"/>
      <c r="Q2991" s="124"/>
      <c r="R2991" s="128"/>
      <c r="S2991" s="37"/>
      <c r="T2991" s="38"/>
      <c r="U2991" s="38" t="b">
        <f>countif(A$4:A4658, A2991)&gt;1</f>
        <v>0</v>
      </c>
      <c r="V2991" s="124" t="s">
        <v>33</v>
      </c>
      <c r="W2991" s="233"/>
      <c r="X2991" s="233"/>
      <c r="Y2991" s="233"/>
      <c r="Z2991" s="133"/>
      <c r="AA2991" s="133"/>
      <c r="AB2991" s="133"/>
      <c r="AC2991" s="133"/>
      <c r="AD2991" s="133"/>
      <c r="AE2991" s="133"/>
      <c r="AF2991" s="133"/>
      <c r="AG2991" s="133"/>
      <c r="AH2991" s="133"/>
      <c r="AI2991" s="133"/>
      <c r="AJ2991" s="133"/>
      <c r="AK2991" s="133"/>
      <c r="AL2991" s="133"/>
      <c r="AM2991" s="133"/>
      <c r="AN2991" s="133"/>
      <c r="AO2991" s="133"/>
      <c r="AP2991" s="133"/>
      <c r="AQ2991" s="133"/>
      <c r="AR2991" s="133"/>
      <c r="AS2991" s="133"/>
      <c r="AT2991" s="133"/>
      <c r="AU2991" s="133"/>
      <c r="AV2991" s="133"/>
      <c r="AW2991" s="133"/>
      <c r="AX2991" s="133"/>
      <c r="AY2991" s="133"/>
      <c r="AZ2991" s="133"/>
      <c r="BA2991" s="133"/>
      <c r="BB2991" s="133"/>
      <c r="BC2991" s="133"/>
      <c r="BD2991" s="133"/>
      <c r="BE2991" s="133"/>
      <c r="BF2991" s="133"/>
      <c r="BG2991" s="133"/>
      <c r="BH2991" s="133"/>
      <c r="BI2991" s="133"/>
      <c r="BJ2991" s="133"/>
      <c r="BK2991" s="133"/>
      <c r="BL2991" s="133"/>
      <c r="BM2991" s="133"/>
      <c r="BN2991" s="133"/>
      <c r="BO2991" s="133"/>
      <c r="BP2991" s="133"/>
      <c r="BQ2991" s="133"/>
    </row>
    <row r="2992">
      <c r="A2992" s="194" t="s">
        <v>7916</v>
      </c>
      <c r="B2992" s="125"/>
      <c r="C2992" s="126">
        <v>43867.0</v>
      </c>
      <c r="D2992" s="133"/>
      <c r="E2992" s="124" t="s">
        <v>31</v>
      </c>
      <c r="F2992" s="198">
        <v>1.0</v>
      </c>
      <c r="G2992" s="124">
        <v>3.0</v>
      </c>
      <c r="H2992" s="303">
        <v>3.0</v>
      </c>
      <c r="I2992" s="124" t="s">
        <v>33</v>
      </c>
      <c r="J2992" s="124" t="s">
        <v>909</v>
      </c>
      <c r="K2992" s="133"/>
      <c r="L2992" s="233" t="s">
        <v>7917</v>
      </c>
      <c r="M2992" s="242" t="s">
        <v>7918</v>
      </c>
      <c r="N2992" s="233" t="s">
        <v>7919</v>
      </c>
      <c r="O2992" s="124"/>
      <c r="P2992" s="133"/>
      <c r="Q2992" s="124"/>
      <c r="R2992" s="128"/>
      <c r="S2992" s="37"/>
      <c r="T2992" s="38"/>
      <c r="U2992" s="38"/>
      <c r="V2992" s="124" t="s">
        <v>33</v>
      </c>
      <c r="W2992" s="219" t="s">
        <v>7920</v>
      </c>
      <c r="X2992" s="219" t="s">
        <v>7921</v>
      </c>
      <c r="Y2992" s="233"/>
      <c r="Z2992" s="133"/>
      <c r="AA2992" s="133"/>
      <c r="AB2992" s="133"/>
      <c r="AC2992" s="133"/>
      <c r="AD2992" s="133"/>
      <c r="AE2992" s="133"/>
      <c r="AF2992" s="133"/>
      <c r="AG2992" s="133"/>
      <c r="AH2992" s="133"/>
      <c r="AI2992" s="133"/>
      <c r="AJ2992" s="133"/>
      <c r="AK2992" s="133"/>
      <c r="AL2992" s="133"/>
      <c r="AM2992" s="133"/>
      <c r="AN2992" s="133"/>
      <c r="AO2992" s="133"/>
      <c r="AP2992" s="133"/>
      <c r="AQ2992" s="133"/>
      <c r="AR2992" s="133"/>
      <c r="AS2992" s="133"/>
      <c r="AT2992" s="133"/>
      <c r="AU2992" s="133"/>
      <c r="AV2992" s="133"/>
      <c r="AW2992" s="133"/>
      <c r="AX2992" s="133"/>
      <c r="AY2992" s="133"/>
      <c r="AZ2992" s="133"/>
      <c r="BA2992" s="133"/>
      <c r="BB2992" s="133"/>
      <c r="BC2992" s="133"/>
      <c r="BD2992" s="133"/>
      <c r="BE2992" s="133"/>
      <c r="BF2992" s="133"/>
      <c r="BG2992" s="133"/>
      <c r="BH2992" s="133"/>
      <c r="BI2992" s="133"/>
      <c r="BJ2992" s="133"/>
      <c r="BK2992" s="133"/>
      <c r="BL2992" s="133"/>
      <c r="BM2992" s="133"/>
      <c r="BN2992" s="133"/>
      <c r="BO2992" s="133"/>
      <c r="BP2992" s="133"/>
      <c r="BQ2992" s="133"/>
    </row>
    <row r="2993">
      <c r="A2993" s="194" t="s">
        <v>7922</v>
      </c>
      <c r="B2993" s="125"/>
      <c r="C2993" s="126">
        <v>43867.0</v>
      </c>
      <c r="D2993" s="133"/>
      <c r="E2993" s="124" t="s">
        <v>41</v>
      </c>
      <c r="F2993" s="198">
        <v>1.0</v>
      </c>
      <c r="G2993" s="124" t="s">
        <v>32</v>
      </c>
      <c r="H2993" s="303">
        <v>1.0</v>
      </c>
      <c r="I2993" s="124" t="s">
        <v>33</v>
      </c>
      <c r="J2993" s="124" t="s">
        <v>75</v>
      </c>
      <c r="K2993" s="133"/>
      <c r="L2993" s="233" t="s">
        <v>119</v>
      </c>
      <c r="M2993" s="242" t="s">
        <v>7923</v>
      </c>
      <c r="N2993" s="233"/>
      <c r="O2993" s="124"/>
      <c r="P2993" s="133"/>
      <c r="Q2993" s="124"/>
      <c r="R2993" s="128"/>
      <c r="S2993" s="37"/>
      <c r="T2993" s="38"/>
      <c r="U2993" s="38" t="b">
        <f t="shared" ref="U2993:U2996" si="417">countif(A$4:A4658, A2993)&gt;1</f>
        <v>0</v>
      </c>
      <c r="V2993" s="124" t="s">
        <v>33</v>
      </c>
      <c r="W2993" s="233"/>
      <c r="X2993" s="233"/>
      <c r="Y2993" s="233"/>
      <c r="Z2993" s="133"/>
      <c r="AA2993" s="133"/>
      <c r="AB2993" s="133"/>
      <c r="AC2993" s="133"/>
      <c r="AD2993" s="133"/>
      <c r="AE2993" s="133"/>
      <c r="AF2993" s="133"/>
      <c r="AG2993" s="133"/>
      <c r="AH2993" s="133"/>
      <c r="AI2993" s="133"/>
      <c r="AJ2993" s="133"/>
      <c r="AK2993" s="133"/>
      <c r="AL2993" s="133"/>
      <c r="AM2993" s="133"/>
      <c r="AN2993" s="133"/>
      <c r="AO2993" s="133"/>
      <c r="AP2993" s="133"/>
      <c r="AQ2993" s="133"/>
      <c r="AR2993" s="133"/>
      <c r="AS2993" s="133"/>
      <c r="AT2993" s="133"/>
      <c r="AU2993" s="133"/>
      <c r="AV2993" s="133"/>
      <c r="AW2993" s="133"/>
      <c r="AX2993" s="133"/>
      <c r="AY2993" s="133"/>
      <c r="AZ2993" s="133"/>
      <c r="BA2993" s="133"/>
      <c r="BB2993" s="133"/>
      <c r="BC2993" s="133"/>
      <c r="BD2993" s="133"/>
      <c r="BE2993" s="133"/>
      <c r="BF2993" s="133"/>
      <c r="BG2993" s="133"/>
      <c r="BH2993" s="133"/>
      <c r="BI2993" s="133"/>
      <c r="BJ2993" s="133"/>
      <c r="BK2993" s="133"/>
      <c r="BL2993" s="133"/>
      <c r="BM2993" s="133"/>
      <c r="BN2993" s="133"/>
      <c r="BO2993" s="133"/>
      <c r="BP2993" s="133"/>
      <c r="BQ2993" s="133"/>
    </row>
    <row r="2994">
      <c r="A2994" s="194" t="s">
        <v>7924</v>
      </c>
      <c r="B2994" s="125"/>
      <c r="C2994" s="126">
        <v>43867.0</v>
      </c>
      <c r="D2994" s="133"/>
      <c r="E2994" s="124" t="s">
        <v>41</v>
      </c>
      <c r="F2994" s="198">
        <v>1.0</v>
      </c>
      <c r="G2994" s="124" t="s">
        <v>32</v>
      </c>
      <c r="H2994" s="303">
        <v>1.0</v>
      </c>
      <c r="I2994" s="124" t="s">
        <v>33</v>
      </c>
      <c r="J2994" s="124" t="s">
        <v>124</v>
      </c>
      <c r="K2994" s="133"/>
      <c r="L2994" s="233" t="s">
        <v>76</v>
      </c>
      <c r="M2994" s="242" t="s">
        <v>7925</v>
      </c>
      <c r="N2994" s="233"/>
      <c r="O2994" s="124"/>
      <c r="P2994" s="133"/>
      <c r="Q2994" s="124"/>
      <c r="R2994" s="128"/>
      <c r="S2994" s="37"/>
      <c r="T2994" s="38"/>
      <c r="U2994" s="38" t="b">
        <f t="shared" si="417"/>
        <v>0</v>
      </c>
      <c r="V2994" s="124" t="s">
        <v>33</v>
      </c>
      <c r="W2994" s="233"/>
      <c r="X2994" s="233"/>
      <c r="Y2994" s="233"/>
      <c r="Z2994" s="133"/>
      <c r="AA2994" s="133"/>
      <c r="AB2994" s="133"/>
      <c r="AC2994" s="133"/>
      <c r="AD2994" s="133"/>
      <c r="AE2994" s="133"/>
      <c r="AF2994" s="133"/>
      <c r="AG2994" s="133"/>
      <c r="AH2994" s="133"/>
      <c r="AI2994" s="133"/>
      <c r="AJ2994" s="133"/>
      <c r="AK2994" s="133"/>
      <c r="AL2994" s="133"/>
      <c r="AM2994" s="133"/>
      <c r="AN2994" s="133"/>
      <c r="AO2994" s="133"/>
      <c r="AP2994" s="133"/>
      <c r="AQ2994" s="133"/>
      <c r="AR2994" s="133"/>
      <c r="AS2994" s="133"/>
      <c r="AT2994" s="133"/>
      <c r="AU2994" s="133"/>
      <c r="AV2994" s="133"/>
      <c r="AW2994" s="133"/>
      <c r="AX2994" s="133"/>
      <c r="AY2994" s="133"/>
      <c r="AZ2994" s="133"/>
      <c r="BA2994" s="133"/>
      <c r="BB2994" s="133"/>
      <c r="BC2994" s="133"/>
      <c r="BD2994" s="133"/>
      <c r="BE2994" s="133"/>
      <c r="BF2994" s="133"/>
      <c r="BG2994" s="133"/>
      <c r="BH2994" s="133"/>
      <c r="BI2994" s="133"/>
      <c r="BJ2994" s="133"/>
      <c r="BK2994" s="133"/>
      <c r="BL2994" s="133"/>
      <c r="BM2994" s="133"/>
      <c r="BN2994" s="133"/>
      <c r="BO2994" s="133"/>
      <c r="BP2994" s="133"/>
      <c r="BQ2994" s="133"/>
    </row>
    <row r="2995">
      <c r="A2995" s="194" t="s">
        <v>7926</v>
      </c>
      <c r="B2995" s="125"/>
      <c r="C2995" s="126">
        <v>43872.0</v>
      </c>
      <c r="D2995" s="133"/>
      <c r="E2995" s="124" t="s">
        <v>41</v>
      </c>
      <c r="F2995" s="198">
        <v>1.0</v>
      </c>
      <c r="G2995" s="124" t="s">
        <v>32</v>
      </c>
      <c r="H2995" s="303">
        <v>1.0</v>
      </c>
      <c r="I2995" s="124" t="s">
        <v>33</v>
      </c>
      <c r="J2995" s="124" t="s">
        <v>115</v>
      </c>
      <c r="K2995" s="133"/>
      <c r="L2995" s="233" t="s">
        <v>76</v>
      </c>
      <c r="M2995" s="305" t="s">
        <v>7927</v>
      </c>
      <c r="N2995" s="233"/>
      <c r="O2995" s="124"/>
      <c r="P2995" s="133"/>
      <c r="Q2995" s="124"/>
      <c r="R2995" s="128"/>
      <c r="S2995" s="37"/>
      <c r="T2995" s="38"/>
      <c r="U2995" s="38" t="b">
        <f t="shared" si="417"/>
        <v>0</v>
      </c>
      <c r="V2995" s="124" t="s">
        <v>33</v>
      </c>
      <c r="W2995" s="233"/>
      <c r="X2995" s="233"/>
      <c r="Y2995" s="233"/>
      <c r="Z2995" s="133"/>
      <c r="AA2995" s="133"/>
      <c r="AB2995" s="133"/>
      <c r="AC2995" s="133"/>
      <c r="AD2995" s="133"/>
      <c r="AE2995" s="133"/>
      <c r="AF2995" s="133"/>
      <c r="AG2995" s="133"/>
      <c r="AH2995" s="133"/>
      <c r="AI2995" s="133"/>
      <c r="AJ2995" s="133"/>
      <c r="AK2995" s="133"/>
      <c r="AL2995" s="133"/>
      <c r="AM2995" s="133"/>
      <c r="AN2995" s="133"/>
      <c r="AO2995" s="133"/>
      <c r="AP2995" s="133"/>
      <c r="AQ2995" s="133"/>
      <c r="AR2995" s="133"/>
      <c r="AS2995" s="133"/>
      <c r="AT2995" s="133"/>
      <c r="AU2995" s="133"/>
      <c r="AV2995" s="133"/>
      <c r="AW2995" s="133"/>
      <c r="AX2995" s="133"/>
      <c r="AY2995" s="133"/>
      <c r="AZ2995" s="133"/>
      <c r="BA2995" s="133"/>
      <c r="BB2995" s="133"/>
      <c r="BC2995" s="133"/>
      <c r="BD2995" s="133"/>
      <c r="BE2995" s="133"/>
      <c r="BF2995" s="133"/>
      <c r="BG2995" s="133"/>
      <c r="BH2995" s="133"/>
      <c r="BI2995" s="133"/>
      <c r="BJ2995" s="133"/>
      <c r="BK2995" s="133"/>
      <c r="BL2995" s="133"/>
      <c r="BM2995" s="133"/>
      <c r="BN2995" s="133"/>
      <c r="BO2995" s="133"/>
      <c r="BP2995" s="133"/>
      <c r="BQ2995" s="133"/>
    </row>
    <row r="2996">
      <c r="A2996" s="194" t="s">
        <v>7928</v>
      </c>
      <c r="B2996" s="125"/>
      <c r="C2996" s="126">
        <v>43873.0</v>
      </c>
      <c r="D2996" s="133"/>
      <c r="E2996" s="124" t="s">
        <v>41</v>
      </c>
      <c r="F2996" s="198">
        <v>1.0</v>
      </c>
      <c r="G2996" s="124" t="s">
        <v>32</v>
      </c>
      <c r="H2996" s="303">
        <v>1.0</v>
      </c>
      <c r="I2996" s="124" t="s">
        <v>33</v>
      </c>
      <c r="J2996" s="124" t="s">
        <v>124</v>
      </c>
      <c r="K2996" s="133"/>
      <c r="L2996" s="233" t="s">
        <v>69</v>
      </c>
      <c r="M2996" s="242" t="s">
        <v>7929</v>
      </c>
      <c r="N2996" s="233"/>
      <c r="O2996" s="124"/>
      <c r="P2996" s="133"/>
      <c r="Q2996" s="124"/>
      <c r="R2996" s="128"/>
      <c r="S2996" s="37"/>
      <c r="T2996" s="38"/>
      <c r="U2996" s="38" t="b">
        <f t="shared" si="417"/>
        <v>0</v>
      </c>
      <c r="V2996" s="124" t="s">
        <v>33</v>
      </c>
      <c r="W2996" s="233"/>
      <c r="X2996" s="233"/>
      <c r="Y2996" s="233"/>
      <c r="Z2996" s="133"/>
      <c r="AA2996" s="133"/>
      <c r="AB2996" s="133"/>
      <c r="AC2996" s="133"/>
      <c r="AD2996" s="133"/>
      <c r="AE2996" s="133"/>
      <c r="AF2996" s="133"/>
      <c r="AG2996" s="133"/>
      <c r="AH2996" s="133"/>
      <c r="AI2996" s="133"/>
      <c r="AJ2996" s="133"/>
      <c r="AK2996" s="133"/>
      <c r="AL2996" s="133"/>
      <c r="AM2996" s="133"/>
      <c r="AN2996" s="133"/>
      <c r="AO2996" s="133"/>
      <c r="AP2996" s="133"/>
      <c r="AQ2996" s="133"/>
      <c r="AR2996" s="133"/>
      <c r="AS2996" s="133"/>
      <c r="AT2996" s="133"/>
      <c r="AU2996" s="133"/>
      <c r="AV2996" s="133"/>
      <c r="AW2996" s="133"/>
      <c r="AX2996" s="133"/>
      <c r="AY2996" s="133"/>
      <c r="AZ2996" s="133"/>
      <c r="BA2996" s="133"/>
      <c r="BB2996" s="133"/>
      <c r="BC2996" s="133"/>
      <c r="BD2996" s="133"/>
      <c r="BE2996" s="133"/>
      <c r="BF2996" s="133"/>
      <c r="BG2996" s="133"/>
      <c r="BH2996" s="133"/>
      <c r="BI2996" s="133"/>
      <c r="BJ2996" s="133"/>
      <c r="BK2996" s="133"/>
      <c r="BL2996" s="133"/>
      <c r="BM2996" s="133"/>
      <c r="BN2996" s="133"/>
      <c r="BO2996" s="133"/>
      <c r="BP2996" s="133"/>
      <c r="BQ2996" s="133"/>
    </row>
    <row r="2997">
      <c r="A2997" s="194" t="s">
        <v>7930</v>
      </c>
      <c r="B2997" s="125"/>
      <c r="C2997" s="126">
        <v>43873.0</v>
      </c>
      <c r="D2997" s="133"/>
      <c r="E2997" s="124" t="s">
        <v>41</v>
      </c>
      <c r="F2997" s="198">
        <v>1.0</v>
      </c>
      <c r="G2997" s="124" t="s">
        <v>32</v>
      </c>
      <c r="H2997" s="303">
        <v>1.0</v>
      </c>
      <c r="I2997" s="124" t="s">
        <v>33</v>
      </c>
      <c r="J2997" s="124" t="s">
        <v>179</v>
      </c>
      <c r="K2997" s="133"/>
      <c r="L2997" s="233" t="s">
        <v>76</v>
      </c>
      <c r="M2997" s="242" t="s">
        <v>7931</v>
      </c>
      <c r="N2997" s="233"/>
      <c r="O2997" s="124"/>
      <c r="P2997" s="133"/>
      <c r="Q2997" s="124">
        <v>1.0</v>
      </c>
      <c r="R2997" s="128"/>
      <c r="S2997" s="37"/>
      <c r="T2997" s="38"/>
      <c r="U2997" s="38"/>
      <c r="V2997" s="124" t="s">
        <v>33</v>
      </c>
      <c r="W2997" s="233"/>
      <c r="X2997" s="233"/>
      <c r="Y2997" s="233"/>
      <c r="Z2997" s="133"/>
      <c r="AA2997" s="133"/>
      <c r="AB2997" s="133"/>
      <c r="AC2997" s="133"/>
      <c r="AD2997" s="133"/>
      <c r="AE2997" s="133"/>
      <c r="AF2997" s="133"/>
      <c r="AG2997" s="133"/>
      <c r="AH2997" s="133"/>
      <c r="AI2997" s="133"/>
      <c r="AJ2997" s="133"/>
      <c r="AK2997" s="133"/>
      <c r="AL2997" s="133"/>
      <c r="AM2997" s="133"/>
      <c r="AN2997" s="133"/>
      <c r="AO2997" s="133"/>
      <c r="AP2997" s="133"/>
      <c r="AQ2997" s="133"/>
      <c r="AR2997" s="133"/>
      <c r="AS2997" s="133"/>
      <c r="AT2997" s="133"/>
      <c r="AU2997" s="133"/>
      <c r="AV2997" s="133"/>
      <c r="AW2997" s="133"/>
      <c r="AX2997" s="133"/>
      <c r="AY2997" s="133"/>
      <c r="AZ2997" s="133"/>
      <c r="BA2997" s="133"/>
      <c r="BB2997" s="133"/>
      <c r="BC2997" s="133"/>
      <c r="BD2997" s="133"/>
      <c r="BE2997" s="133"/>
      <c r="BF2997" s="133"/>
      <c r="BG2997" s="133"/>
      <c r="BH2997" s="133"/>
      <c r="BI2997" s="133"/>
      <c r="BJ2997" s="133"/>
      <c r="BK2997" s="133"/>
      <c r="BL2997" s="133"/>
      <c r="BM2997" s="133"/>
      <c r="BN2997" s="133"/>
      <c r="BO2997" s="133"/>
      <c r="BP2997" s="133"/>
      <c r="BQ2997" s="133"/>
    </row>
    <row r="2998">
      <c r="A2998" s="194" t="s">
        <v>7932</v>
      </c>
      <c r="B2998" s="125"/>
      <c r="C2998" s="126">
        <v>43875.0</v>
      </c>
      <c r="D2998" s="133"/>
      <c r="E2998" s="124" t="s">
        <v>41</v>
      </c>
      <c r="F2998" s="198">
        <v>1.0</v>
      </c>
      <c r="G2998" s="124" t="s">
        <v>32</v>
      </c>
      <c r="H2998" s="303">
        <v>1.0</v>
      </c>
      <c r="I2998" s="124" t="s">
        <v>33</v>
      </c>
      <c r="J2998" s="124" t="s">
        <v>228</v>
      </c>
      <c r="K2998" s="133"/>
      <c r="L2998" s="233" t="s">
        <v>76</v>
      </c>
      <c r="M2998" s="242" t="s">
        <v>7933</v>
      </c>
      <c r="N2998" s="233"/>
      <c r="O2998" s="124"/>
      <c r="P2998" s="133"/>
      <c r="Q2998" s="124"/>
      <c r="R2998" s="128"/>
      <c r="S2998" s="37"/>
      <c r="T2998" s="38"/>
      <c r="U2998" s="38" t="b">
        <f t="shared" ref="U2998:U2999" si="418">countif(A$4:A4658, A2998)&gt;1</f>
        <v>0</v>
      </c>
      <c r="V2998" s="124" t="s">
        <v>33</v>
      </c>
      <c r="W2998" s="233"/>
      <c r="X2998" s="233"/>
      <c r="Y2998" s="233"/>
      <c r="Z2998" s="133"/>
      <c r="AA2998" s="133"/>
      <c r="AB2998" s="133"/>
      <c r="AC2998" s="133"/>
      <c r="AD2998" s="133"/>
      <c r="AE2998" s="133"/>
      <c r="AF2998" s="133"/>
      <c r="AG2998" s="133"/>
      <c r="AH2998" s="133"/>
      <c r="AI2998" s="133"/>
      <c r="AJ2998" s="133"/>
      <c r="AK2998" s="133"/>
      <c r="AL2998" s="133"/>
      <c r="AM2998" s="133"/>
      <c r="AN2998" s="133"/>
      <c r="AO2998" s="133"/>
      <c r="AP2998" s="133"/>
      <c r="AQ2998" s="133"/>
      <c r="AR2998" s="133"/>
      <c r="AS2998" s="133"/>
      <c r="AT2998" s="133"/>
      <c r="AU2998" s="133"/>
      <c r="AV2998" s="133"/>
      <c r="AW2998" s="133"/>
      <c r="AX2998" s="133"/>
      <c r="AY2998" s="133"/>
      <c r="AZ2998" s="133"/>
      <c r="BA2998" s="133"/>
      <c r="BB2998" s="133"/>
      <c r="BC2998" s="133"/>
      <c r="BD2998" s="133"/>
      <c r="BE2998" s="133"/>
      <c r="BF2998" s="133"/>
      <c r="BG2998" s="133"/>
      <c r="BH2998" s="133"/>
      <c r="BI2998" s="133"/>
      <c r="BJ2998" s="133"/>
      <c r="BK2998" s="133"/>
      <c r="BL2998" s="133"/>
      <c r="BM2998" s="133"/>
      <c r="BN2998" s="133"/>
      <c r="BO2998" s="133"/>
      <c r="BP2998" s="133"/>
      <c r="BQ2998" s="133"/>
    </row>
    <row r="2999">
      <c r="A2999" s="194" t="s">
        <v>7934</v>
      </c>
      <c r="B2999" s="125"/>
      <c r="C2999" s="126">
        <v>43880.0</v>
      </c>
      <c r="D2999" s="133"/>
      <c r="E2999" s="124" t="s">
        <v>41</v>
      </c>
      <c r="F2999" s="198">
        <v>1.0</v>
      </c>
      <c r="G2999" s="124" t="s">
        <v>32</v>
      </c>
      <c r="H2999" s="303">
        <v>1.0</v>
      </c>
      <c r="I2999" s="124" t="s">
        <v>33</v>
      </c>
      <c r="J2999" s="124" t="s">
        <v>410</v>
      </c>
      <c r="K2999" s="133"/>
      <c r="L2999" s="233" t="s">
        <v>2316</v>
      </c>
      <c r="M2999" s="242" t="s">
        <v>7935</v>
      </c>
      <c r="N2999" s="233"/>
      <c r="O2999" s="124"/>
      <c r="P2999" s="133"/>
      <c r="Q2999" s="124"/>
      <c r="R2999" s="128"/>
      <c r="S2999" s="37"/>
      <c r="T2999" s="38"/>
      <c r="U2999" s="38" t="b">
        <f t="shared" si="418"/>
        <v>0</v>
      </c>
      <c r="V2999" s="124" t="s">
        <v>33</v>
      </c>
      <c r="W2999" s="233"/>
      <c r="X2999" s="233"/>
      <c r="Y2999" s="233"/>
      <c r="Z2999" s="133"/>
      <c r="AA2999" s="133"/>
      <c r="AB2999" s="133"/>
      <c r="AC2999" s="133"/>
      <c r="AD2999" s="133"/>
      <c r="AE2999" s="133"/>
      <c r="AF2999" s="133"/>
      <c r="AG2999" s="133"/>
      <c r="AH2999" s="133"/>
      <c r="AI2999" s="133"/>
      <c r="AJ2999" s="133"/>
      <c r="AK2999" s="133"/>
      <c r="AL2999" s="133"/>
      <c r="AM2999" s="133"/>
      <c r="AN2999" s="133"/>
      <c r="AO2999" s="133"/>
      <c r="AP2999" s="133"/>
      <c r="AQ2999" s="133"/>
      <c r="AR2999" s="133"/>
      <c r="AS2999" s="133"/>
      <c r="AT2999" s="133"/>
      <c r="AU2999" s="133"/>
      <c r="AV2999" s="133"/>
      <c r="AW2999" s="133"/>
      <c r="AX2999" s="133"/>
      <c r="AY2999" s="133"/>
      <c r="AZ2999" s="133"/>
      <c r="BA2999" s="133"/>
      <c r="BB2999" s="133"/>
      <c r="BC2999" s="133"/>
      <c r="BD2999" s="133"/>
      <c r="BE2999" s="133"/>
      <c r="BF2999" s="133"/>
      <c r="BG2999" s="133"/>
      <c r="BH2999" s="133"/>
      <c r="BI2999" s="133"/>
      <c r="BJ2999" s="133"/>
      <c r="BK2999" s="133"/>
      <c r="BL2999" s="133"/>
      <c r="BM2999" s="133"/>
      <c r="BN2999" s="133"/>
      <c r="BO2999" s="133"/>
      <c r="BP2999" s="133"/>
      <c r="BQ2999" s="133"/>
    </row>
    <row r="3000">
      <c r="A3000" s="194" t="s">
        <v>7936</v>
      </c>
      <c r="B3000" s="125"/>
      <c r="C3000" s="126">
        <v>43880.0</v>
      </c>
      <c r="D3000" s="133"/>
      <c r="E3000" s="124" t="s">
        <v>41</v>
      </c>
      <c r="F3000" s="198">
        <v>1.0</v>
      </c>
      <c r="G3000" s="124" t="s">
        <v>32</v>
      </c>
      <c r="H3000" s="303">
        <v>1.0</v>
      </c>
      <c r="I3000" s="124" t="s">
        <v>33</v>
      </c>
      <c r="J3000" s="124" t="s">
        <v>115</v>
      </c>
      <c r="K3000" s="133"/>
      <c r="L3000" s="124" t="s">
        <v>119</v>
      </c>
      <c r="M3000" s="242" t="s">
        <v>7937</v>
      </c>
      <c r="N3000" s="233"/>
      <c r="O3000" s="124"/>
      <c r="P3000" s="133"/>
      <c r="Q3000" s="124"/>
      <c r="R3000" s="128"/>
      <c r="S3000" s="37"/>
      <c r="T3000" s="38"/>
      <c r="U3000" s="38"/>
      <c r="V3000" s="124" t="s">
        <v>33</v>
      </c>
      <c r="W3000" s="138"/>
      <c r="X3000" s="138"/>
      <c r="Y3000" s="233"/>
      <c r="Z3000" s="133"/>
      <c r="AA3000" s="133"/>
      <c r="AB3000" s="133"/>
      <c r="AC3000" s="133"/>
      <c r="AD3000" s="133"/>
      <c r="AE3000" s="133"/>
      <c r="AF3000" s="133"/>
      <c r="AG3000" s="133"/>
      <c r="AH3000" s="133"/>
      <c r="AI3000" s="133"/>
      <c r="AJ3000" s="133"/>
      <c r="AK3000" s="133"/>
      <c r="AL3000" s="133"/>
      <c r="AM3000" s="133"/>
      <c r="AN3000" s="133"/>
      <c r="AO3000" s="133"/>
      <c r="AP3000" s="133"/>
      <c r="AQ3000" s="133"/>
      <c r="AR3000" s="133"/>
      <c r="AS3000" s="133"/>
      <c r="AT3000" s="133"/>
      <c r="AU3000" s="133"/>
      <c r="AV3000" s="133"/>
      <c r="AW3000" s="133"/>
      <c r="AX3000" s="133"/>
      <c r="AY3000" s="133"/>
      <c r="AZ3000" s="133"/>
      <c r="BA3000" s="133"/>
      <c r="BB3000" s="133"/>
      <c r="BC3000" s="133"/>
      <c r="BD3000" s="133"/>
      <c r="BE3000" s="133"/>
      <c r="BF3000" s="133"/>
      <c r="BG3000" s="133"/>
      <c r="BH3000" s="133"/>
      <c r="BI3000" s="133"/>
      <c r="BJ3000" s="133"/>
      <c r="BK3000" s="133"/>
      <c r="BL3000" s="133"/>
      <c r="BM3000" s="133"/>
      <c r="BN3000" s="133"/>
      <c r="BO3000" s="133"/>
      <c r="BP3000" s="133"/>
      <c r="BQ3000" s="133"/>
    </row>
    <row r="3001">
      <c r="A3001" s="194" t="s">
        <v>7938</v>
      </c>
      <c r="B3001" s="125"/>
      <c r="C3001" s="126">
        <v>43880.0</v>
      </c>
      <c r="D3001" s="133"/>
      <c r="E3001" s="124" t="s">
        <v>41</v>
      </c>
      <c r="F3001" s="198">
        <v>1.0</v>
      </c>
      <c r="G3001" s="124" t="s">
        <v>32</v>
      </c>
      <c r="H3001" s="303">
        <v>1.0</v>
      </c>
      <c r="I3001" s="124" t="s">
        <v>33</v>
      </c>
      <c r="J3001" s="124" t="s">
        <v>222</v>
      </c>
      <c r="K3001" s="133"/>
      <c r="L3001" s="124" t="s">
        <v>119</v>
      </c>
      <c r="M3001" s="242" t="s">
        <v>7939</v>
      </c>
      <c r="N3001" s="233"/>
      <c r="O3001" s="124"/>
      <c r="P3001" s="133"/>
      <c r="Q3001" s="124"/>
      <c r="R3001" s="128"/>
      <c r="S3001" s="37"/>
      <c r="T3001" s="38"/>
      <c r="U3001" s="38"/>
      <c r="V3001" s="124" t="s">
        <v>33</v>
      </c>
      <c r="W3001" s="138"/>
      <c r="X3001" s="138"/>
      <c r="Y3001" s="233"/>
      <c r="Z3001" s="133"/>
      <c r="AA3001" s="133"/>
      <c r="AB3001" s="133"/>
      <c r="AC3001" s="133"/>
      <c r="AD3001" s="133"/>
      <c r="AE3001" s="133"/>
      <c r="AF3001" s="133"/>
      <c r="AG3001" s="133"/>
      <c r="AH3001" s="133"/>
      <c r="AI3001" s="133"/>
      <c r="AJ3001" s="133"/>
      <c r="AK3001" s="133"/>
      <c r="AL3001" s="133"/>
      <c r="AM3001" s="133"/>
      <c r="AN3001" s="133"/>
      <c r="AO3001" s="133"/>
      <c r="AP3001" s="133"/>
      <c r="AQ3001" s="133"/>
      <c r="AR3001" s="133"/>
      <c r="AS3001" s="133"/>
      <c r="AT3001" s="133"/>
      <c r="AU3001" s="133"/>
      <c r="AV3001" s="133"/>
      <c r="AW3001" s="133"/>
      <c r="AX3001" s="133"/>
      <c r="AY3001" s="133"/>
      <c r="AZ3001" s="133"/>
      <c r="BA3001" s="133"/>
      <c r="BB3001" s="133"/>
      <c r="BC3001" s="133"/>
      <c r="BD3001" s="133"/>
      <c r="BE3001" s="133"/>
      <c r="BF3001" s="133"/>
      <c r="BG3001" s="133"/>
      <c r="BH3001" s="133"/>
      <c r="BI3001" s="133"/>
      <c r="BJ3001" s="133"/>
      <c r="BK3001" s="133"/>
      <c r="BL3001" s="133"/>
      <c r="BM3001" s="133"/>
      <c r="BN3001" s="133"/>
      <c r="BO3001" s="133"/>
      <c r="BP3001" s="133"/>
      <c r="BQ3001" s="133"/>
    </row>
    <row r="3002">
      <c r="A3002" s="194" t="s">
        <v>7940</v>
      </c>
      <c r="B3002" s="125"/>
      <c r="C3002" s="126">
        <v>43880.0</v>
      </c>
      <c r="D3002" s="133"/>
      <c r="E3002" s="124" t="s">
        <v>41</v>
      </c>
      <c r="F3002" s="198">
        <v>1.0</v>
      </c>
      <c r="G3002" s="124" t="s">
        <v>32</v>
      </c>
      <c r="H3002" s="303">
        <v>1.0</v>
      </c>
      <c r="I3002" s="124" t="s">
        <v>33</v>
      </c>
      <c r="J3002" s="124" t="s">
        <v>203</v>
      </c>
      <c r="K3002" s="133"/>
      <c r="L3002" s="124" t="s">
        <v>7941</v>
      </c>
      <c r="M3002" s="242" t="s">
        <v>7942</v>
      </c>
      <c r="N3002" s="233"/>
      <c r="O3002" s="124"/>
      <c r="P3002" s="133"/>
      <c r="Q3002" s="124"/>
      <c r="R3002" s="128"/>
      <c r="S3002" s="37"/>
      <c r="T3002" s="38"/>
      <c r="U3002" s="38"/>
      <c r="V3002" s="124" t="s">
        <v>33</v>
      </c>
      <c r="W3002" s="138"/>
      <c r="X3002" s="138"/>
      <c r="Y3002" s="233"/>
      <c r="Z3002" s="133"/>
      <c r="AA3002" s="133"/>
      <c r="AB3002" s="133"/>
      <c r="AC3002" s="133"/>
      <c r="AD3002" s="133"/>
      <c r="AE3002" s="133"/>
      <c r="AF3002" s="133"/>
      <c r="AG3002" s="133"/>
      <c r="AH3002" s="133"/>
      <c r="AI3002" s="133"/>
      <c r="AJ3002" s="133"/>
      <c r="AK3002" s="133"/>
      <c r="AL3002" s="133"/>
      <c r="AM3002" s="133"/>
      <c r="AN3002" s="133"/>
      <c r="AO3002" s="133"/>
      <c r="AP3002" s="133"/>
      <c r="AQ3002" s="133"/>
      <c r="AR3002" s="133"/>
      <c r="AS3002" s="133"/>
      <c r="AT3002" s="133"/>
      <c r="AU3002" s="133"/>
      <c r="AV3002" s="133"/>
      <c r="AW3002" s="133"/>
      <c r="AX3002" s="133"/>
      <c r="AY3002" s="133"/>
      <c r="AZ3002" s="133"/>
      <c r="BA3002" s="133"/>
      <c r="BB3002" s="133"/>
      <c r="BC3002" s="133"/>
      <c r="BD3002" s="133"/>
      <c r="BE3002" s="133"/>
      <c r="BF3002" s="133"/>
      <c r="BG3002" s="133"/>
      <c r="BH3002" s="133"/>
      <c r="BI3002" s="133"/>
      <c r="BJ3002" s="133"/>
      <c r="BK3002" s="133"/>
      <c r="BL3002" s="133"/>
      <c r="BM3002" s="133"/>
      <c r="BN3002" s="133"/>
      <c r="BO3002" s="133"/>
      <c r="BP3002" s="133"/>
      <c r="BQ3002" s="133"/>
    </row>
    <row r="3003">
      <c r="A3003" s="194" t="s">
        <v>7943</v>
      </c>
      <c r="B3003" s="125"/>
      <c r="C3003" s="126">
        <v>43881.0</v>
      </c>
      <c r="D3003" s="133"/>
      <c r="E3003" s="124" t="s">
        <v>41</v>
      </c>
      <c r="F3003" s="198">
        <v>1.0</v>
      </c>
      <c r="G3003" s="124" t="s">
        <v>32</v>
      </c>
      <c r="H3003" s="303">
        <v>1.0</v>
      </c>
      <c r="I3003" s="124" t="s">
        <v>33</v>
      </c>
      <c r="J3003" s="124" t="s">
        <v>172</v>
      </c>
      <c r="K3003" s="133"/>
      <c r="L3003" s="124" t="s">
        <v>76</v>
      </c>
      <c r="M3003" s="242" t="s">
        <v>7944</v>
      </c>
      <c r="N3003" s="219" t="s">
        <v>7945</v>
      </c>
      <c r="O3003" s="124"/>
      <c r="P3003" s="133"/>
      <c r="Q3003" s="124"/>
      <c r="R3003" s="128"/>
      <c r="S3003" s="37"/>
      <c r="T3003" s="38"/>
      <c r="U3003" s="38"/>
      <c r="V3003" s="124" t="s">
        <v>33</v>
      </c>
      <c r="W3003" s="138"/>
      <c r="X3003" s="138"/>
      <c r="Y3003" s="233"/>
      <c r="Z3003" s="133"/>
      <c r="AA3003" s="133"/>
      <c r="AB3003" s="133"/>
      <c r="AC3003" s="133"/>
      <c r="AD3003" s="133"/>
      <c r="AE3003" s="133"/>
      <c r="AF3003" s="133"/>
      <c r="AG3003" s="133"/>
      <c r="AH3003" s="133"/>
      <c r="AI3003" s="133"/>
      <c r="AJ3003" s="133"/>
      <c r="AK3003" s="133"/>
      <c r="AL3003" s="133"/>
      <c r="AM3003" s="133"/>
      <c r="AN3003" s="133"/>
      <c r="AO3003" s="133"/>
      <c r="AP3003" s="133"/>
      <c r="AQ3003" s="133"/>
      <c r="AR3003" s="133"/>
      <c r="AS3003" s="133"/>
      <c r="AT3003" s="133"/>
      <c r="AU3003" s="133"/>
      <c r="AV3003" s="133"/>
      <c r="AW3003" s="133"/>
      <c r="AX3003" s="133"/>
      <c r="AY3003" s="133"/>
      <c r="AZ3003" s="133"/>
      <c r="BA3003" s="133"/>
      <c r="BB3003" s="133"/>
      <c r="BC3003" s="133"/>
      <c r="BD3003" s="133"/>
      <c r="BE3003" s="133"/>
      <c r="BF3003" s="133"/>
      <c r="BG3003" s="133"/>
      <c r="BH3003" s="133"/>
      <c r="BI3003" s="133"/>
      <c r="BJ3003" s="133"/>
      <c r="BK3003" s="133"/>
      <c r="BL3003" s="133"/>
      <c r="BM3003" s="133"/>
      <c r="BN3003" s="133"/>
      <c r="BO3003" s="133"/>
      <c r="BP3003" s="133"/>
      <c r="BQ3003" s="133"/>
    </row>
    <row r="3004">
      <c r="A3004" s="194" t="s">
        <v>7946</v>
      </c>
      <c r="B3004" s="125"/>
      <c r="C3004" s="126">
        <v>43882.0</v>
      </c>
      <c r="D3004" s="133"/>
      <c r="E3004" s="124" t="s">
        <v>41</v>
      </c>
      <c r="F3004" s="198">
        <v>1.0</v>
      </c>
      <c r="G3004" s="124">
        <v>1.0</v>
      </c>
      <c r="H3004" s="303">
        <v>1.0</v>
      </c>
      <c r="I3004" s="124" t="s">
        <v>33</v>
      </c>
      <c r="J3004" s="124" t="s">
        <v>184</v>
      </c>
      <c r="K3004" s="133"/>
      <c r="L3004" s="124" t="s">
        <v>76</v>
      </c>
      <c r="M3004" s="242" t="s">
        <v>7947</v>
      </c>
      <c r="N3004" s="233"/>
      <c r="O3004" s="124"/>
      <c r="P3004" s="133"/>
      <c r="Q3004" s="124"/>
      <c r="R3004" s="128"/>
      <c r="S3004" s="37"/>
      <c r="T3004" s="38"/>
      <c r="U3004" s="38"/>
      <c r="V3004" s="124" t="s">
        <v>33</v>
      </c>
      <c r="W3004" s="138"/>
      <c r="X3004" s="138"/>
      <c r="Y3004" s="233"/>
      <c r="Z3004" s="133"/>
      <c r="AA3004" s="133"/>
      <c r="AB3004" s="133"/>
      <c r="AC3004" s="133"/>
      <c r="AD3004" s="133"/>
      <c r="AE3004" s="133"/>
      <c r="AF3004" s="133"/>
      <c r="AG3004" s="133"/>
      <c r="AH3004" s="133"/>
      <c r="AI3004" s="133"/>
      <c r="AJ3004" s="133"/>
      <c r="AK3004" s="133"/>
      <c r="AL3004" s="133"/>
      <c r="AM3004" s="133"/>
      <c r="AN3004" s="133"/>
      <c r="AO3004" s="133"/>
      <c r="AP3004" s="133"/>
      <c r="AQ3004" s="133"/>
      <c r="AR3004" s="133"/>
      <c r="AS3004" s="133"/>
      <c r="AT3004" s="133"/>
      <c r="AU3004" s="133"/>
      <c r="AV3004" s="133"/>
      <c r="AW3004" s="133"/>
      <c r="AX3004" s="133"/>
      <c r="AY3004" s="133"/>
      <c r="AZ3004" s="133"/>
      <c r="BA3004" s="133"/>
      <c r="BB3004" s="133"/>
      <c r="BC3004" s="133"/>
      <c r="BD3004" s="133"/>
      <c r="BE3004" s="133"/>
      <c r="BF3004" s="133"/>
      <c r="BG3004" s="133"/>
      <c r="BH3004" s="133"/>
      <c r="BI3004" s="133"/>
      <c r="BJ3004" s="133"/>
      <c r="BK3004" s="133"/>
      <c r="BL3004" s="133"/>
      <c r="BM3004" s="133"/>
      <c r="BN3004" s="133"/>
      <c r="BO3004" s="133"/>
      <c r="BP3004" s="133"/>
      <c r="BQ3004" s="133"/>
    </row>
    <row r="3005">
      <c r="A3005" s="194" t="s">
        <v>7948</v>
      </c>
      <c r="B3005" s="125"/>
      <c r="C3005" s="126">
        <v>43882.0</v>
      </c>
      <c r="D3005" s="133"/>
      <c r="E3005" s="124" t="s">
        <v>41</v>
      </c>
      <c r="F3005" s="198">
        <v>1.0</v>
      </c>
      <c r="G3005" s="124">
        <v>1.0</v>
      </c>
      <c r="H3005" s="303">
        <v>1.0</v>
      </c>
      <c r="I3005" s="124" t="s">
        <v>33</v>
      </c>
      <c r="J3005" s="124" t="s">
        <v>228</v>
      </c>
      <c r="K3005" s="133"/>
      <c r="L3005" s="124" t="s">
        <v>119</v>
      </c>
      <c r="M3005" s="242" t="s">
        <v>7949</v>
      </c>
      <c r="N3005" s="233"/>
      <c r="O3005" s="124"/>
      <c r="P3005" s="133"/>
      <c r="Q3005" s="124"/>
      <c r="R3005" s="128"/>
      <c r="S3005" s="37"/>
      <c r="T3005" s="38"/>
      <c r="U3005" s="38"/>
      <c r="V3005" s="124" t="s">
        <v>33</v>
      </c>
      <c r="W3005" s="138"/>
      <c r="X3005" s="138"/>
      <c r="Y3005" s="233"/>
      <c r="Z3005" s="133"/>
      <c r="AA3005" s="133"/>
      <c r="AB3005" s="133"/>
      <c r="AC3005" s="133"/>
      <c r="AD3005" s="133"/>
      <c r="AE3005" s="133"/>
      <c r="AF3005" s="133"/>
      <c r="AG3005" s="133"/>
      <c r="AH3005" s="133"/>
      <c r="AI3005" s="133"/>
      <c r="AJ3005" s="133"/>
      <c r="AK3005" s="133"/>
      <c r="AL3005" s="133"/>
      <c r="AM3005" s="133"/>
      <c r="AN3005" s="133"/>
      <c r="AO3005" s="133"/>
      <c r="AP3005" s="133"/>
      <c r="AQ3005" s="133"/>
      <c r="AR3005" s="133"/>
      <c r="AS3005" s="133"/>
      <c r="AT3005" s="133"/>
      <c r="AU3005" s="133"/>
      <c r="AV3005" s="133"/>
      <c r="AW3005" s="133"/>
      <c r="AX3005" s="133"/>
      <c r="AY3005" s="133"/>
      <c r="AZ3005" s="133"/>
      <c r="BA3005" s="133"/>
      <c r="BB3005" s="133"/>
      <c r="BC3005" s="133"/>
      <c r="BD3005" s="133"/>
      <c r="BE3005" s="133"/>
      <c r="BF3005" s="133"/>
      <c r="BG3005" s="133"/>
      <c r="BH3005" s="133"/>
      <c r="BI3005" s="133"/>
      <c r="BJ3005" s="133"/>
      <c r="BK3005" s="133"/>
      <c r="BL3005" s="133"/>
      <c r="BM3005" s="133"/>
      <c r="BN3005" s="133"/>
      <c r="BO3005" s="133"/>
      <c r="BP3005" s="133"/>
      <c r="BQ3005" s="133"/>
    </row>
    <row r="3006">
      <c r="A3006" s="194" t="s">
        <v>7950</v>
      </c>
      <c r="B3006" s="125"/>
      <c r="C3006" s="126">
        <v>43882.0</v>
      </c>
      <c r="D3006" s="133"/>
      <c r="E3006" s="124" t="s">
        <v>41</v>
      </c>
      <c r="F3006" s="198">
        <v>1.0</v>
      </c>
      <c r="G3006" s="124" t="s">
        <v>32</v>
      </c>
      <c r="H3006" s="303">
        <v>1.0</v>
      </c>
      <c r="I3006" s="124" t="s">
        <v>33</v>
      </c>
      <c r="J3006" s="124" t="s">
        <v>184</v>
      </c>
      <c r="K3006" s="133"/>
      <c r="L3006" s="124" t="s">
        <v>646</v>
      </c>
      <c r="M3006" s="242" t="s">
        <v>7951</v>
      </c>
      <c r="N3006" s="233"/>
      <c r="O3006" s="124"/>
      <c r="P3006" s="133"/>
      <c r="Q3006" s="124"/>
      <c r="R3006" s="128"/>
      <c r="S3006" s="37"/>
      <c r="T3006" s="38"/>
      <c r="U3006" s="38"/>
      <c r="V3006" s="124" t="s">
        <v>33</v>
      </c>
      <c r="W3006" s="138"/>
      <c r="X3006" s="138"/>
      <c r="Y3006" s="233"/>
      <c r="Z3006" s="133"/>
      <c r="AA3006" s="133"/>
      <c r="AB3006" s="133"/>
      <c r="AC3006" s="133"/>
      <c r="AD3006" s="133"/>
      <c r="AE3006" s="133"/>
      <c r="AF3006" s="133"/>
      <c r="AG3006" s="133"/>
      <c r="AH3006" s="133"/>
      <c r="AI3006" s="133"/>
      <c r="AJ3006" s="133"/>
      <c r="AK3006" s="133"/>
      <c r="AL3006" s="133"/>
      <c r="AM3006" s="133"/>
      <c r="AN3006" s="133"/>
      <c r="AO3006" s="133"/>
      <c r="AP3006" s="133"/>
      <c r="AQ3006" s="133"/>
      <c r="AR3006" s="133"/>
      <c r="AS3006" s="133"/>
      <c r="AT3006" s="133"/>
      <c r="AU3006" s="133"/>
      <c r="AV3006" s="133"/>
      <c r="AW3006" s="133"/>
      <c r="AX3006" s="133"/>
      <c r="AY3006" s="133"/>
      <c r="AZ3006" s="133"/>
      <c r="BA3006" s="133"/>
      <c r="BB3006" s="133"/>
      <c r="BC3006" s="133"/>
      <c r="BD3006" s="133"/>
      <c r="BE3006" s="133"/>
      <c r="BF3006" s="133"/>
      <c r="BG3006" s="133"/>
      <c r="BH3006" s="133"/>
      <c r="BI3006" s="133"/>
      <c r="BJ3006" s="133"/>
      <c r="BK3006" s="133"/>
      <c r="BL3006" s="133"/>
      <c r="BM3006" s="133"/>
      <c r="BN3006" s="133"/>
      <c r="BO3006" s="133"/>
      <c r="BP3006" s="133"/>
      <c r="BQ3006" s="133"/>
    </row>
    <row r="3007">
      <c r="A3007" s="194" t="s">
        <v>7952</v>
      </c>
      <c r="B3007" s="125"/>
      <c r="C3007" s="126">
        <v>43885.0</v>
      </c>
      <c r="D3007" s="133"/>
      <c r="E3007" s="124" t="s">
        <v>41</v>
      </c>
      <c r="F3007" s="198">
        <v>1.0</v>
      </c>
      <c r="G3007" s="124" t="s">
        <v>32</v>
      </c>
      <c r="H3007" s="303">
        <v>1.0</v>
      </c>
      <c r="I3007" s="124" t="s">
        <v>33</v>
      </c>
      <c r="J3007" s="124" t="s">
        <v>115</v>
      </c>
      <c r="K3007" s="133"/>
      <c r="L3007" s="124" t="s">
        <v>69</v>
      </c>
      <c r="M3007" s="242" t="s">
        <v>7953</v>
      </c>
      <c r="N3007" s="233"/>
      <c r="O3007" s="124"/>
      <c r="P3007" s="133"/>
      <c r="Q3007" s="124"/>
      <c r="R3007" s="128"/>
      <c r="S3007" s="37"/>
      <c r="T3007" s="38"/>
      <c r="U3007" s="38"/>
      <c r="V3007" s="124" t="s">
        <v>33</v>
      </c>
      <c r="W3007" s="138"/>
      <c r="X3007" s="138"/>
      <c r="Y3007" s="233"/>
      <c r="Z3007" s="133"/>
      <c r="AA3007" s="133"/>
      <c r="AB3007" s="133"/>
      <c r="AC3007" s="133"/>
      <c r="AD3007" s="133"/>
      <c r="AE3007" s="133"/>
      <c r="AF3007" s="133"/>
      <c r="AG3007" s="133"/>
      <c r="AH3007" s="133"/>
      <c r="AI3007" s="133"/>
      <c r="AJ3007" s="133"/>
      <c r="AK3007" s="133"/>
      <c r="AL3007" s="133"/>
      <c r="AM3007" s="133"/>
      <c r="AN3007" s="133"/>
      <c r="AO3007" s="133"/>
      <c r="AP3007" s="133"/>
      <c r="AQ3007" s="133"/>
      <c r="AR3007" s="133"/>
      <c r="AS3007" s="133"/>
      <c r="AT3007" s="133"/>
      <c r="AU3007" s="133"/>
      <c r="AV3007" s="133"/>
      <c r="AW3007" s="133"/>
      <c r="AX3007" s="133"/>
      <c r="AY3007" s="133"/>
      <c r="AZ3007" s="133"/>
      <c r="BA3007" s="133"/>
      <c r="BB3007" s="133"/>
      <c r="BC3007" s="133"/>
      <c r="BD3007" s="133"/>
      <c r="BE3007" s="133"/>
      <c r="BF3007" s="133"/>
      <c r="BG3007" s="133"/>
      <c r="BH3007" s="133"/>
      <c r="BI3007" s="133"/>
      <c r="BJ3007" s="133"/>
      <c r="BK3007" s="133"/>
      <c r="BL3007" s="133"/>
      <c r="BM3007" s="133"/>
      <c r="BN3007" s="133"/>
      <c r="BO3007" s="133"/>
      <c r="BP3007" s="133"/>
      <c r="BQ3007" s="133"/>
    </row>
    <row r="3008">
      <c r="A3008" s="194" t="s">
        <v>7954</v>
      </c>
      <c r="B3008" s="125"/>
      <c r="C3008" s="126">
        <v>43885.0</v>
      </c>
      <c r="D3008" s="133"/>
      <c r="E3008" s="124" t="s">
        <v>41</v>
      </c>
      <c r="F3008" s="198">
        <v>1.0</v>
      </c>
      <c r="G3008" s="124" t="s">
        <v>32</v>
      </c>
      <c r="H3008" s="303">
        <v>1.0</v>
      </c>
      <c r="I3008" s="124" t="s">
        <v>33</v>
      </c>
      <c r="J3008" s="124" t="s">
        <v>162</v>
      </c>
      <c r="K3008" s="133"/>
      <c r="L3008" s="124" t="s">
        <v>7851</v>
      </c>
      <c r="M3008" s="242" t="s">
        <v>7955</v>
      </c>
      <c r="N3008" s="233"/>
      <c r="O3008" s="124"/>
      <c r="P3008" s="133"/>
      <c r="Q3008" s="124"/>
      <c r="R3008" s="128"/>
      <c r="S3008" s="37"/>
      <c r="T3008" s="38"/>
      <c r="U3008" s="38"/>
      <c r="V3008" s="124" t="s">
        <v>33</v>
      </c>
      <c r="W3008" s="138"/>
      <c r="X3008" s="138"/>
      <c r="Y3008" s="233"/>
      <c r="Z3008" s="133"/>
      <c r="AA3008" s="133"/>
      <c r="AB3008" s="133"/>
      <c r="AC3008" s="133"/>
      <c r="AD3008" s="133"/>
      <c r="AE3008" s="133"/>
      <c r="AF3008" s="133"/>
      <c r="AG3008" s="133"/>
      <c r="AH3008" s="133"/>
      <c r="AI3008" s="133"/>
      <c r="AJ3008" s="133"/>
      <c r="AK3008" s="133"/>
      <c r="AL3008" s="133"/>
      <c r="AM3008" s="133"/>
      <c r="AN3008" s="133"/>
      <c r="AO3008" s="133"/>
      <c r="AP3008" s="133"/>
      <c r="AQ3008" s="133"/>
      <c r="AR3008" s="133"/>
      <c r="AS3008" s="133"/>
      <c r="AT3008" s="133"/>
      <c r="AU3008" s="133"/>
      <c r="AV3008" s="133"/>
      <c r="AW3008" s="133"/>
      <c r="AX3008" s="133"/>
      <c r="AY3008" s="133"/>
      <c r="AZ3008" s="133"/>
      <c r="BA3008" s="133"/>
      <c r="BB3008" s="133"/>
      <c r="BC3008" s="133"/>
      <c r="BD3008" s="133"/>
      <c r="BE3008" s="133"/>
      <c r="BF3008" s="133"/>
      <c r="BG3008" s="133"/>
      <c r="BH3008" s="133"/>
      <c r="BI3008" s="133"/>
      <c r="BJ3008" s="133"/>
      <c r="BK3008" s="133"/>
      <c r="BL3008" s="133"/>
      <c r="BM3008" s="133"/>
      <c r="BN3008" s="133"/>
      <c r="BO3008" s="133"/>
      <c r="BP3008" s="133"/>
      <c r="BQ3008" s="133"/>
    </row>
    <row r="3009">
      <c r="A3009" s="194" t="s">
        <v>7956</v>
      </c>
      <c r="B3009" s="125"/>
      <c r="C3009" s="126">
        <v>43886.0</v>
      </c>
      <c r="D3009" s="133"/>
      <c r="E3009" s="124" t="s">
        <v>41</v>
      </c>
      <c r="F3009" s="198">
        <v>1.0</v>
      </c>
      <c r="G3009" s="124" t="s">
        <v>32</v>
      </c>
      <c r="H3009" s="303">
        <v>1.0</v>
      </c>
      <c r="I3009" s="124" t="s">
        <v>33</v>
      </c>
      <c r="J3009" s="124" t="s">
        <v>93</v>
      </c>
      <c r="K3009" s="133"/>
      <c r="L3009" s="124" t="s">
        <v>7957</v>
      </c>
      <c r="M3009" s="242" t="s">
        <v>7958</v>
      </c>
      <c r="N3009" s="233"/>
      <c r="O3009" s="124"/>
      <c r="P3009" s="133"/>
      <c r="Q3009" s="124"/>
      <c r="R3009" s="128"/>
      <c r="S3009" s="37"/>
      <c r="T3009" s="38"/>
      <c r="U3009" s="38"/>
      <c r="V3009" s="124" t="s">
        <v>33</v>
      </c>
      <c r="W3009" s="138"/>
      <c r="X3009" s="138"/>
      <c r="Y3009" s="233"/>
      <c r="Z3009" s="133"/>
      <c r="AA3009" s="133"/>
      <c r="AB3009" s="133"/>
      <c r="AC3009" s="133"/>
      <c r="AD3009" s="133"/>
      <c r="AE3009" s="133"/>
      <c r="AF3009" s="133"/>
      <c r="AG3009" s="133"/>
      <c r="AH3009" s="133"/>
      <c r="AI3009" s="133"/>
      <c r="AJ3009" s="133"/>
      <c r="AK3009" s="133"/>
      <c r="AL3009" s="133"/>
      <c r="AM3009" s="133"/>
      <c r="AN3009" s="133"/>
      <c r="AO3009" s="133"/>
      <c r="AP3009" s="133"/>
      <c r="AQ3009" s="133"/>
      <c r="AR3009" s="133"/>
      <c r="AS3009" s="133"/>
      <c r="AT3009" s="133"/>
      <c r="AU3009" s="133"/>
      <c r="AV3009" s="133"/>
      <c r="AW3009" s="133"/>
      <c r="AX3009" s="133"/>
      <c r="AY3009" s="133"/>
      <c r="AZ3009" s="133"/>
      <c r="BA3009" s="133"/>
      <c r="BB3009" s="133"/>
      <c r="BC3009" s="133"/>
      <c r="BD3009" s="133"/>
      <c r="BE3009" s="133"/>
      <c r="BF3009" s="133"/>
      <c r="BG3009" s="133"/>
      <c r="BH3009" s="133"/>
      <c r="BI3009" s="133"/>
      <c r="BJ3009" s="133"/>
      <c r="BK3009" s="133"/>
      <c r="BL3009" s="133"/>
      <c r="BM3009" s="133"/>
      <c r="BN3009" s="133"/>
      <c r="BO3009" s="133"/>
      <c r="BP3009" s="133"/>
      <c r="BQ3009" s="133"/>
    </row>
    <row r="3010">
      <c r="A3010" s="194" t="s">
        <v>7959</v>
      </c>
      <c r="B3010" s="125"/>
      <c r="C3010" s="126">
        <v>43886.0</v>
      </c>
      <c r="D3010" s="133"/>
      <c r="E3010" s="124" t="s">
        <v>41</v>
      </c>
      <c r="F3010" s="198">
        <v>1.0</v>
      </c>
      <c r="G3010" s="124" t="s">
        <v>32</v>
      </c>
      <c r="H3010" s="303">
        <v>1.0</v>
      </c>
      <c r="I3010" s="124" t="s">
        <v>33</v>
      </c>
      <c r="J3010" s="124" t="s">
        <v>184</v>
      </c>
      <c r="K3010" s="133"/>
      <c r="L3010" s="124" t="s">
        <v>646</v>
      </c>
      <c r="M3010" s="242" t="s">
        <v>7951</v>
      </c>
      <c r="N3010" s="233"/>
      <c r="O3010" s="124"/>
      <c r="P3010" s="133"/>
      <c r="Q3010" s="124"/>
      <c r="R3010" s="128"/>
      <c r="S3010" s="37"/>
      <c r="T3010" s="38"/>
      <c r="U3010" s="38"/>
      <c r="V3010" s="124" t="s">
        <v>33</v>
      </c>
      <c r="W3010" s="138"/>
      <c r="X3010" s="138"/>
      <c r="Y3010" s="233"/>
      <c r="Z3010" s="133"/>
      <c r="AA3010" s="133"/>
      <c r="AB3010" s="133"/>
      <c r="AC3010" s="133"/>
      <c r="AD3010" s="133"/>
      <c r="AE3010" s="133"/>
      <c r="AF3010" s="133"/>
      <c r="AG3010" s="133"/>
      <c r="AH3010" s="133"/>
      <c r="AI3010" s="133"/>
      <c r="AJ3010" s="133"/>
      <c r="AK3010" s="133"/>
      <c r="AL3010" s="133"/>
      <c r="AM3010" s="133"/>
      <c r="AN3010" s="133"/>
      <c r="AO3010" s="133"/>
      <c r="AP3010" s="133"/>
      <c r="AQ3010" s="133"/>
      <c r="AR3010" s="133"/>
      <c r="AS3010" s="133"/>
      <c r="AT3010" s="133"/>
      <c r="AU3010" s="133"/>
      <c r="AV3010" s="133"/>
      <c r="AW3010" s="133"/>
      <c r="AX3010" s="133"/>
      <c r="AY3010" s="133"/>
      <c r="AZ3010" s="133"/>
      <c r="BA3010" s="133"/>
      <c r="BB3010" s="133"/>
      <c r="BC3010" s="133"/>
      <c r="BD3010" s="133"/>
      <c r="BE3010" s="133"/>
      <c r="BF3010" s="133"/>
      <c r="BG3010" s="133"/>
      <c r="BH3010" s="133"/>
      <c r="BI3010" s="133"/>
      <c r="BJ3010" s="133"/>
      <c r="BK3010" s="133"/>
      <c r="BL3010" s="133"/>
      <c r="BM3010" s="133"/>
      <c r="BN3010" s="133"/>
      <c r="BO3010" s="133"/>
      <c r="BP3010" s="133"/>
      <c r="BQ3010" s="133"/>
    </row>
    <row r="3011">
      <c r="A3011" s="194" t="s">
        <v>7960</v>
      </c>
      <c r="B3011" s="125"/>
      <c r="C3011" s="126">
        <v>43886.0</v>
      </c>
      <c r="D3011" s="133"/>
      <c r="E3011" s="124" t="s">
        <v>41</v>
      </c>
      <c r="F3011" s="198">
        <v>1.0</v>
      </c>
      <c r="G3011" s="124" t="s">
        <v>32</v>
      </c>
      <c r="H3011" s="303">
        <v>1.0</v>
      </c>
      <c r="I3011" s="124" t="s">
        <v>33</v>
      </c>
      <c r="J3011" s="124" t="s">
        <v>184</v>
      </c>
      <c r="K3011" s="133"/>
      <c r="L3011" s="124" t="s">
        <v>646</v>
      </c>
      <c r="M3011" s="242" t="s">
        <v>7951</v>
      </c>
      <c r="N3011" s="233"/>
      <c r="O3011" s="124"/>
      <c r="P3011" s="133"/>
      <c r="Q3011" s="124"/>
      <c r="R3011" s="128"/>
      <c r="S3011" s="37"/>
      <c r="T3011" s="38"/>
      <c r="U3011" s="38"/>
      <c r="V3011" s="124" t="s">
        <v>33</v>
      </c>
      <c r="W3011" s="138"/>
      <c r="X3011" s="138"/>
      <c r="Y3011" s="233"/>
      <c r="Z3011" s="133"/>
      <c r="AA3011" s="133"/>
      <c r="AB3011" s="133"/>
      <c r="AC3011" s="133"/>
      <c r="AD3011" s="133"/>
      <c r="AE3011" s="133"/>
      <c r="AF3011" s="133"/>
      <c r="AG3011" s="133"/>
      <c r="AH3011" s="133"/>
      <c r="AI3011" s="133"/>
      <c r="AJ3011" s="133"/>
      <c r="AK3011" s="133"/>
      <c r="AL3011" s="133"/>
      <c r="AM3011" s="133"/>
      <c r="AN3011" s="133"/>
      <c r="AO3011" s="133"/>
      <c r="AP3011" s="133"/>
      <c r="AQ3011" s="133"/>
      <c r="AR3011" s="133"/>
      <c r="AS3011" s="133"/>
      <c r="AT3011" s="133"/>
      <c r="AU3011" s="133"/>
      <c r="AV3011" s="133"/>
      <c r="AW3011" s="133"/>
      <c r="AX3011" s="133"/>
      <c r="AY3011" s="133"/>
      <c r="AZ3011" s="133"/>
      <c r="BA3011" s="133"/>
      <c r="BB3011" s="133"/>
      <c r="BC3011" s="133"/>
      <c r="BD3011" s="133"/>
      <c r="BE3011" s="133"/>
      <c r="BF3011" s="133"/>
      <c r="BG3011" s="133"/>
      <c r="BH3011" s="133"/>
      <c r="BI3011" s="133"/>
      <c r="BJ3011" s="133"/>
      <c r="BK3011" s="133"/>
      <c r="BL3011" s="133"/>
      <c r="BM3011" s="133"/>
      <c r="BN3011" s="133"/>
      <c r="BO3011" s="133"/>
      <c r="BP3011" s="133"/>
      <c r="BQ3011" s="133"/>
    </row>
    <row r="3012">
      <c r="A3012" s="194" t="s">
        <v>7961</v>
      </c>
      <c r="B3012" s="125"/>
      <c r="C3012" s="126">
        <v>43886.0</v>
      </c>
      <c r="D3012" s="133"/>
      <c r="E3012" s="124" t="s">
        <v>41</v>
      </c>
      <c r="F3012" s="198">
        <v>1.0</v>
      </c>
      <c r="G3012" s="124" t="s">
        <v>32</v>
      </c>
      <c r="H3012" s="303">
        <v>1.0</v>
      </c>
      <c r="I3012" s="124" t="s">
        <v>33</v>
      </c>
      <c r="J3012" s="124" t="s">
        <v>55</v>
      </c>
      <c r="K3012" s="133"/>
      <c r="L3012" s="124" t="s">
        <v>119</v>
      </c>
      <c r="M3012" s="242" t="s">
        <v>7962</v>
      </c>
      <c r="N3012" s="233"/>
      <c r="O3012" s="124"/>
      <c r="P3012" s="133"/>
      <c r="Q3012" s="124"/>
      <c r="R3012" s="128"/>
      <c r="S3012" s="37"/>
      <c r="T3012" s="38"/>
      <c r="U3012" s="38"/>
      <c r="V3012" s="124" t="s">
        <v>33</v>
      </c>
      <c r="W3012" s="138"/>
      <c r="X3012" s="138"/>
      <c r="Y3012" s="233"/>
      <c r="Z3012" s="133"/>
      <c r="AA3012" s="133"/>
      <c r="AB3012" s="133"/>
      <c r="AC3012" s="133"/>
      <c r="AD3012" s="133"/>
      <c r="AE3012" s="133"/>
      <c r="AF3012" s="133"/>
      <c r="AG3012" s="133"/>
      <c r="AH3012" s="133"/>
      <c r="AI3012" s="133"/>
      <c r="AJ3012" s="133"/>
      <c r="AK3012" s="133"/>
      <c r="AL3012" s="133"/>
      <c r="AM3012" s="133"/>
      <c r="AN3012" s="133"/>
      <c r="AO3012" s="133"/>
      <c r="AP3012" s="133"/>
      <c r="AQ3012" s="133"/>
      <c r="AR3012" s="133"/>
      <c r="AS3012" s="133"/>
      <c r="AT3012" s="133"/>
      <c r="AU3012" s="133"/>
      <c r="AV3012" s="133"/>
      <c r="AW3012" s="133"/>
      <c r="AX3012" s="133"/>
      <c r="AY3012" s="133"/>
      <c r="AZ3012" s="133"/>
      <c r="BA3012" s="133"/>
      <c r="BB3012" s="133"/>
      <c r="BC3012" s="133"/>
      <c r="BD3012" s="133"/>
      <c r="BE3012" s="133"/>
      <c r="BF3012" s="133"/>
      <c r="BG3012" s="133"/>
      <c r="BH3012" s="133"/>
      <c r="BI3012" s="133"/>
      <c r="BJ3012" s="133"/>
      <c r="BK3012" s="133"/>
      <c r="BL3012" s="133"/>
      <c r="BM3012" s="133"/>
      <c r="BN3012" s="133"/>
      <c r="BO3012" s="133"/>
      <c r="BP3012" s="133"/>
      <c r="BQ3012" s="133"/>
    </row>
    <row r="3013">
      <c r="A3013" s="194" t="s">
        <v>7963</v>
      </c>
      <c r="B3013" s="125"/>
      <c r="C3013" s="126">
        <v>43887.0</v>
      </c>
      <c r="D3013" s="133"/>
      <c r="E3013" s="124" t="s">
        <v>41</v>
      </c>
      <c r="F3013" s="198">
        <v>1.0</v>
      </c>
      <c r="G3013" s="124">
        <v>10.0</v>
      </c>
      <c r="H3013" s="303">
        <v>10.0</v>
      </c>
      <c r="I3013" s="124" t="s">
        <v>33</v>
      </c>
      <c r="J3013" s="124" t="s">
        <v>524</v>
      </c>
      <c r="K3013" s="133"/>
      <c r="L3013" s="124" t="s">
        <v>7964</v>
      </c>
      <c r="M3013" s="242" t="s">
        <v>7965</v>
      </c>
      <c r="N3013" s="233"/>
      <c r="O3013" s="124"/>
      <c r="P3013" s="133"/>
      <c r="Q3013" s="124"/>
      <c r="R3013" s="128"/>
      <c r="S3013" s="37"/>
      <c r="T3013" s="38"/>
      <c r="U3013" s="38"/>
      <c r="V3013" s="124" t="s">
        <v>33</v>
      </c>
      <c r="W3013" s="138"/>
      <c r="X3013" s="138"/>
      <c r="Y3013" s="233"/>
      <c r="Z3013" s="133"/>
      <c r="AA3013" s="133"/>
      <c r="AB3013" s="133"/>
      <c r="AC3013" s="133"/>
      <c r="AD3013" s="133"/>
      <c r="AE3013" s="133"/>
      <c r="AF3013" s="133"/>
      <c r="AG3013" s="133"/>
      <c r="AH3013" s="133"/>
      <c r="AI3013" s="133"/>
      <c r="AJ3013" s="133"/>
      <c r="AK3013" s="133"/>
      <c r="AL3013" s="133"/>
      <c r="AM3013" s="133"/>
      <c r="AN3013" s="133"/>
      <c r="AO3013" s="133"/>
      <c r="AP3013" s="133"/>
      <c r="AQ3013" s="133"/>
      <c r="AR3013" s="133"/>
      <c r="AS3013" s="133"/>
      <c r="AT3013" s="133"/>
      <c r="AU3013" s="133"/>
      <c r="AV3013" s="133"/>
      <c r="AW3013" s="133"/>
      <c r="AX3013" s="133"/>
      <c r="AY3013" s="133"/>
      <c r="AZ3013" s="133"/>
      <c r="BA3013" s="133"/>
      <c r="BB3013" s="133"/>
      <c r="BC3013" s="133"/>
      <c r="BD3013" s="133"/>
      <c r="BE3013" s="133"/>
      <c r="BF3013" s="133"/>
      <c r="BG3013" s="133"/>
      <c r="BH3013" s="133"/>
      <c r="BI3013" s="133"/>
      <c r="BJ3013" s="133"/>
      <c r="BK3013" s="133"/>
      <c r="BL3013" s="133"/>
      <c r="BM3013" s="133"/>
      <c r="BN3013" s="133"/>
      <c r="BO3013" s="133"/>
      <c r="BP3013" s="133"/>
      <c r="BQ3013" s="133"/>
    </row>
    <row r="3014">
      <c r="A3014" s="194" t="s">
        <v>7966</v>
      </c>
      <c r="B3014" s="125"/>
      <c r="C3014" s="195">
        <v>43891.0</v>
      </c>
      <c r="D3014" s="133"/>
      <c r="E3014" s="124" t="s">
        <v>41</v>
      </c>
      <c r="F3014" s="198">
        <v>1.0</v>
      </c>
      <c r="G3014" s="124" t="s">
        <v>32</v>
      </c>
      <c r="H3014" s="303">
        <v>1.0</v>
      </c>
      <c r="I3014" s="124" t="s">
        <v>33</v>
      </c>
      <c r="J3014" s="124" t="s">
        <v>132</v>
      </c>
      <c r="K3014" s="133"/>
      <c r="L3014" s="124" t="s">
        <v>76</v>
      </c>
      <c r="M3014" s="242" t="s">
        <v>7967</v>
      </c>
      <c r="N3014" s="233"/>
      <c r="O3014" s="124"/>
      <c r="P3014" s="133"/>
      <c r="Q3014" s="124"/>
      <c r="R3014" s="128"/>
      <c r="S3014" s="37"/>
      <c r="T3014" s="38"/>
      <c r="U3014" s="38"/>
      <c r="V3014" s="124" t="s">
        <v>33</v>
      </c>
      <c r="W3014" s="233"/>
      <c r="X3014" s="233"/>
      <c r="Y3014" s="233"/>
      <c r="Z3014" s="133"/>
      <c r="AA3014" s="133"/>
      <c r="AB3014" s="133"/>
      <c r="AC3014" s="133"/>
      <c r="AD3014" s="133"/>
      <c r="AE3014" s="133"/>
      <c r="AF3014" s="133"/>
      <c r="AG3014" s="133"/>
      <c r="AH3014" s="133"/>
      <c r="AI3014" s="133"/>
      <c r="AJ3014" s="133"/>
      <c r="AK3014" s="133"/>
      <c r="AL3014" s="133"/>
      <c r="AM3014" s="133"/>
      <c r="AN3014" s="133"/>
      <c r="AO3014" s="133"/>
      <c r="AP3014" s="133"/>
      <c r="AQ3014" s="133"/>
      <c r="AR3014" s="133"/>
      <c r="AS3014" s="133"/>
      <c r="AT3014" s="133"/>
      <c r="AU3014" s="133"/>
      <c r="AV3014" s="133"/>
      <c r="AW3014" s="133"/>
      <c r="AX3014" s="133"/>
      <c r="AY3014" s="133"/>
      <c r="AZ3014" s="133"/>
      <c r="BA3014" s="133"/>
      <c r="BB3014" s="133"/>
      <c r="BC3014" s="133"/>
      <c r="BD3014" s="133"/>
      <c r="BE3014" s="133"/>
      <c r="BF3014" s="133"/>
      <c r="BG3014" s="133"/>
      <c r="BH3014" s="133"/>
      <c r="BI3014" s="133"/>
      <c r="BJ3014" s="133"/>
      <c r="BK3014" s="133"/>
      <c r="BL3014" s="133"/>
      <c r="BM3014" s="133"/>
      <c r="BN3014" s="133"/>
      <c r="BO3014" s="133"/>
      <c r="BP3014" s="133"/>
      <c r="BQ3014" s="133"/>
    </row>
    <row r="3015">
      <c r="A3015" s="194" t="s">
        <v>7968</v>
      </c>
      <c r="B3015" s="125"/>
      <c r="C3015" s="195">
        <v>43891.0</v>
      </c>
      <c r="D3015" s="133"/>
      <c r="E3015" s="124" t="s">
        <v>41</v>
      </c>
      <c r="F3015" s="198">
        <v>1.0</v>
      </c>
      <c r="G3015" s="124" t="s">
        <v>32</v>
      </c>
      <c r="H3015" s="303">
        <v>1.0</v>
      </c>
      <c r="I3015" s="124" t="s">
        <v>33</v>
      </c>
      <c r="J3015" s="124" t="s">
        <v>89</v>
      </c>
      <c r="K3015" s="133"/>
      <c r="L3015" s="124" t="s">
        <v>119</v>
      </c>
      <c r="M3015" s="242" t="s">
        <v>7969</v>
      </c>
      <c r="N3015" s="233"/>
      <c r="O3015" s="124"/>
      <c r="P3015" s="133"/>
      <c r="Q3015" s="124"/>
      <c r="R3015" s="128"/>
      <c r="S3015" s="37"/>
      <c r="T3015" s="38"/>
      <c r="U3015" s="38"/>
      <c r="V3015" s="124" t="s">
        <v>33</v>
      </c>
      <c r="W3015" s="233"/>
      <c r="X3015" s="233"/>
      <c r="Y3015" s="233"/>
      <c r="Z3015" s="133"/>
      <c r="AA3015" s="133"/>
      <c r="AB3015" s="133"/>
      <c r="AC3015" s="133"/>
      <c r="AD3015" s="133"/>
      <c r="AE3015" s="133"/>
      <c r="AF3015" s="133"/>
      <c r="AG3015" s="133"/>
      <c r="AH3015" s="133"/>
      <c r="AI3015" s="133"/>
      <c r="AJ3015" s="133"/>
      <c r="AK3015" s="133"/>
      <c r="AL3015" s="133"/>
      <c r="AM3015" s="133"/>
      <c r="AN3015" s="133"/>
      <c r="AO3015" s="133"/>
      <c r="AP3015" s="133"/>
      <c r="AQ3015" s="133"/>
      <c r="AR3015" s="133"/>
      <c r="AS3015" s="133"/>
      <c r="AT3015" s="133"/>
      <c r="AU3015" s="133"/>
      <c r="AV3015" s="133"/>
      <c r="AW3015" s="133"/>
      <c r="AX3015" s="133"/>
      <c r="AY3015" s="133"/>
      <c r="AZ3015" s="133"/>
      <c r="BA3015" s="133"/>
      <c r="BB3015" s="133"/>
      <c r="BC3015" s="133"/>
      <c r="BD3015" s="133"/>
      <c r="BE3015" s="133"/>
      <c r="BF3015" s="133"/>
      <c r="BG3015" s="133"/>
      <c r="BH3015" s="133"/>
      <c r="BI3015" s="133"/>
      <c r="BJ3015" s="133"/>
      <c r="BK3015" s="133"/>
      <c r="BL3015" s="133"/>
      <c r="BM3015" s="133"/>
      <c r="BN3015" s="133"/>
      <c r="BO3015" s="133"/>
      <c r="BP3015" s="133"/>
      <c r="BQ3015" s="133"/>
    </row>
    <row r="3016">
      <c r="A3016" s="194" t="s">
        <v>7970</v>
      </c>
      <c r="B3016" s="125"/>
      <c r="C3016" s="195">
        <v>43891.0</v>
      </c>
      <c r="D3016" s="133"/>
      <c r="E3016" s="124" t="s">
        <v>41</v>
      </c>
      <c r="F3016" s="198">
        <v>1.0</v>
      </c>
      <c r="G3016" s="124" t="s">
        <v>32</v>
      </c>
      <c r="H3016" s="303">
        <v>1.0</v>
      </c>
      <c r="I3016" s="124" t="s">
        <v>33</v>
      </c>
      <c r="J3016" s="124" t="s">
        <v>115</v>
      </c>
      <c r="K3016" s="133"/>
      <c r="L3016" s="124" t="s">
        <v>119</v>
      </c>
      <c r="M3016" s="242" t="s">
        <v>7971</v>
      </c>
      <c r="N3016" s="233"/>
      <c r="O3016" s="124"/>
      <c r="P3016" s="133"/>
      <c r="Q3016" s="124"/>
      <c r="R3016" s="128"/>
      <c r="S3016" s="37"/>
      <c r="T3016" s="38"/>
      <c r="U3016" s="38"/>
      <c r="V3016" s="124" t="s">
        <v>33</v>
      </c>
      <c r="W3016" s="233"/>
      <c r="X3016" s="233"/>
      <c r="Y3016" s="233"/>
      <c r="Z3016" s="133"/>
      <c r="AA3016" s="133"/>
      <c r="AB3016" s="133"/>
      <c r="AC3016" s="133"/>
      <c r="AD3016" s="133"/>
      <c r="AE3016" s="133"/>
      <c r="AF3016" s="133"/>
      <c r="AG3016" s="133"/>
      <c r="AH3016" s="133"/>
      <c r="AI3016" s="133"/>
      <c r="AJ3016" s="133"/>
      <c r="AK3016" s="133"/>
      <c r="AL3016" s="133"/>
      <c r="AM3016" s="133"/>
      <c r="AN3016" s="133"/>
      <c r="AO3016" s="133"/>
      <c r="AP3016" s="133"/>
      <c r="AQ3016" s="133"/>
      <c r="AR3016" s="133"/>
      <c r="AS3016" s="133"/>
      <c r="AT3016" s="133"/>
      <c r="AU3016" s="133"/>
      <c r="AV3016" s="133"/>
      <c r="AW3016" s="133"/>
      <c r="AX3016" s="133"/>
      <c r="AY3016" s="133"/>
      <c r="AZ3016" s="133"/>
      <c r="BA3016" s="133"/>
      <c r="BB3016" s="133"/>
      <c r="BC3016" s="133"/>
      <c r="BD3016" s="133"/>
      <c r="BE3016" s="133"/>
      <c r="BF3016" s="133"/>
      <c r="BG3016" s="133"/>
      <c r="BH3016" s="133"/>
      <c r="BI3016" s="133"/>
      <c r="BJ3016" s="133"/>
      <c r="BK3016" s="133"/>
      <c r="BL3016" s="133"/>
      <c r="BM3016" s="133"/>
      <c r="BN3016" s="133"/>
      <c r="BO3016" s="133"/>
      <c r="BP3016" s="133"/>
      <c r="BQ3016" s="133"/>
    </row>
    <row r="3017">
      <c r="A3017" s="194" t="s">
        <v>7972</v>
      </c>
      <c r="B3017" s="125"/>
      <c r="C3017" s="195">
        <v>43891.0</v>
      </c>
      <c r="D3017" s="133"/>
      <c r="E3017" s="124" t="s">
        <v>41</v>
      </c>
      <c r="F3017" s="198">
        <v>1.0</v>
      </c>
      <c r="G3017" s="124" t="s">
        <v>32</v>
      </c>
      <c r="H3017" s="303">
        <v>1.0</v>
      </c>
      <c r="I3017" s="124" t="s">
        <v>33</v>
      </c>
      <c r="J3017" s="124" t="s">
        <v>75</v>
      </c>
      <c r="K3017" s="133"/>
      <c r="L3017" s="124" t="s">
        <v>119</v>
      </c>
      <c r="M3017" s="242" t="s">
        <v>7973</v>
      </c>
      <c r="N3017" s="233"/>
      <c r="O3017" s="124"/>
      <c r="P3017" s="133"/>
      <c r="Q3017" s="124"/>
      <c r="R3017" s="128"/>
      <c r="S3017" s="37"/>
      <c r="T3017" s="38"/>
      <c r="U3017" s="38"/>
      <c r="V3017" s="124" t="s">
        <v>33</v>
      </c>
      <c r="W3017" s="233"/>
      <c r="X3017" s="233"/>
      <c r="Y3017" s="233"/>
      <c r="Z3017" s="133"/>
      <c r="AA3017" s="133"/>
      <c r="AB3017" s="133"/>
      <c r="AC3017" s="133"/>
      <c r="AD3017" s="133"/>
      <c r="AE3017" s="133"/>
      <c r="AF3017" s="133"/>
      <c r="AG3017" s="133"/>
      <c r="AH3017" s="133"/>
      <c r="AI3017" s="133"/>
      <c r="AJ3017" s="133"/>
      <c r="AK3017" s="133"/>
      <c r="AL3017" s="133"/>
      <c r="AM3017" s="133"/>
      <c r="AN3017" s="133"/>
      <c r="AO3017" s="133"/>
      <c r="AP3017" s="133"/>
      <c r="AQ3017" s="133"/>
      <c r="AR3017" s="133"/>
      <c r="AS3017" s="133"/>
      <c r="AT3017" s="133"/>
      <c r="AU3017" s="133"/>
      <c r="AV3017" s="133"/>
      <c r="AW3017" s="133"/>
      <c r="AX3017" s="133"/>
      <c r="AY3017" s="133"/>
      <c r="AZ3017" s="133"/>
      <c r="BA3017" s="133"/>
      <c r="BB3017" s="133"/>
      <c r="BC3017" s="133"/>
      <c r="BD3017" s="133"/>
      <c r="BE3017" s="133"/>
      <c r="BF3017" s="133"/>
      <c r="BG3017" s="133"/>
      <c r="BH3017" s="133"/>
      <c r="BI3017" s="133"/>
      <c r="BJ3017" s="133"/>
      <c r="BK3017" s="133"/>
      <c r="BL3017" s="133"/>
      <c r="BM3017" s="133"/>
      <c r="BN3017" s="133"/>
      <c r="BO3017" s="133"/>
      <c r="BP3017" s="133"/>
      <c r="BQ3017" s="133"/>
    </row>
    <row r="3018">
      <c r="A3018" s="194" t="s">
        <v>7974</v>
      </c>
      <c r="B3018" s="125"/>
      <c r="C3018" s="195">
        <v>43891.0</v>
      </c>
      <c r="D3018" s="133"/>
      <c r="E3018" s="124" t="s">
        <v>31</v>
      </c>
      <c r="F3018" s="198">
        <v>1.0</v>
      </c>
      <c r="G3018" s="124" t="s">
        <v>32</v>
      </c>
      <c r="H3018" s="303">
        <v>1.0</v>
      </c>
      <c r="I3018" s="124" t="s">
        <v>33</v>
      </c>
      <c r="J3018" s="124" t="s">
        <v>343</v>
      </c>
      <c r="K3018" s="133"/>
      <c r="L3018" s="124" t="s">
        <v>119</v>
      </c>
      <c r="M3018" s="242" t="s">
        <v>7975</v>
      </c>
      <c r="N3018" s="219" t="s">
        <v>7976</v>
      </c>
      <c r="O3018" s="124"/>
      <c r="P3018" s="133"/>
      <c r="Q3018" s="124"/>
      <c r="R3018" s="128"/>
      <c r="S3018" s="37"/>
      <c r="T3018" s="38"/>
      <c r="U3018" s="38"/>
      <c r="V3018" s="124" t="s">
        <v>33</v>
      </c>
      <c r="W3018" s="219" t="s">
        <v>7977</v>
      </c>
      <c r="X3018" s="219" t="s">
        <v>7978</v>
      </c>
      <c r="Y3018" s="233"/>
      <c r="Z3018" s="133"/>
      <c r="AA3018" s="133"/>
      <c r="AB3018" s="133"/>
      <c r="AC3018" s="133"/>
      <c r="AD3018" s="133"/>
      <c r="AE3018" s="133"/>
      <c r="AF3018" s="133"/>
      <c r="AG3018" s="133"/>
      <c r="AH3018" s="133"/>
      <c r="AI3018" s="133"/>
      <c r="AJ3018" s="133"/>
      <c r="AK3018" s="133"/>
      <c r="AL3018" s="133"/>
      <c r="AM3018" s="133"/>
      <c r="AN3018" s="133"/>
      <c r="AO3018" s="133"/>
      <c r="AP3018" s="133"/>
      <c r="AQ3018" s="133"/>
      <c r="AR3018" s="133"/>
      <c r="AS3018" s="133"/>
      <c r="AT3018" s="133"/>
      <c r="AU3018" s="133"/>
      <c r="AV3018" s="133"/>
      <c r="AW3018" s="133"/>
      <c r="AX3018" s="133"/>
      <c r="AY3018" s="133"/>
      <c r="AZ3018" s="133"/>
      <c r="BA3018" s="133"/>
      <c r="BB3018" s="133"/>
      <c r="BC3018" s="133"/>
      <c r="BD3018" s="133"/>
      <c r="BE3018" s="133"/>
      <c r="BF3018" s="133"/>
      <c r="BG3018" s="133"/>
      <c r="BH3018" s="133"/>
      <c r="BI3018" s="133"/>
      <c r="BJ3018" s="133"/>
      <c r="BK3018" s="133"/>
      <c r="BL3018" s="133"/>
      <c r="BM3018" s="133"/>
      <c r="BN3018" s="133"/>
      <c r="BO3018" s="133"/>
      <c r="BP3018" s="133"/>
      <c r="BQ3018" s="133"/>
    </row>
    <row r="3019">
      <c r="A3019" s="194" t="s">
        <v>7979</v>
      </c>
      <c r="B3019" s="125"/>
      <c r="C3019" s="195">
        <v>43891.0</v>
      </c>
      <c r="D3019" s="133"/>
      <c r="E3019" s="124" t="s">
        <v>41</v>
      </c>
      <c r="F3019" s="198">
        <v>1.0</v>
      </c>
      <c r="G3019" s="124" t="s">
        <v>32</v>
      </c>
      <c r="H3019" s="303">
        <v>1.0</v>
      </c>
      <c r="I3019" s="124" t="s">
        <v>33</v>
      </c>
      <c r="J3019" s="124" t="s">
        <v>115</v>
      </c>
      <c r="K3019" s="133"/>
      <c r="L3019" s="124" t="s">
        <v>69</v>
      </c>
      <c r="M3019" s="242" t="s">
        <v>7980</v>
      </c>
      <c r="N3019" s="233"/>
      <c r="O3019" s="124"/>
      <c r="P3019" s="133"/>
      <c r="Q3019" s="124"/>
      <c r="R3019" s="128"/>
      <c r="S3019" s="37"/>
      <c r="T3019" s="38"/>
      <c r="U3019" s="38"/>
      <c r="V3019" s="124" t="s">
        <v>33</v>
      </c>
      <c r="W3019" s="138"/>
      <c r="X3019" s="138"/>
      <c r="Y3019" s="233"/>
      <c r="Z3019" s="133"/>
      <c r="AA3019" s="133"/>
      <c r="AB3019" s="133"/>
      <c r="AC3019" s="133"/>
      <c r="AD3019" s="133"/>
      <c r="AE3019" s="133"/>
      <c r="AF3019" s="133"/>
      <c r="AG3019" s="133"/>
      <c r="AH3019" s="133"/>
      <c r="AI3019" s="133"/>
      <c r="AJ3019" s="133"/>
      <c r="AK3019" s="133"/>
      <c r="AL3019" s="133"/>
      <c r="AM3019" s="133"/>
      <c r="AN3019" s="133"/>
      <c r="AO3019" s="133"/>
      <c r="AP3019" s="133"/>
      <c r="AQ3019" s="133"/>
      <c r="AR3019" s="133"/>
      <c r="AS3019" s="133"/>
      <c r="AT3019" s="133"/>
      <c r="AU3019" s="133"/>
      <c r="AV3019" s="133"/>
      <c r="AW3019" s="133"/>
      <c r="AX3019" s="133"/>
      <c r="AY3019" s="133"/>
      <c r="AZ3019" s="133"/>
      <c r="BA3019" s="133"/>
      <c r="BB3019" s="133"/>
      <c r="BC3019" s="133"/>
      <c r="BD3019" s="133"/>
      <c r="BE3019" s="133"/>
      <c r="BF3019" s="133"/>
      <c r="BG3019" s="133"/>
      <c r="BH3019" s="133"/>
      <c r="BI3019" s="133"/>
      <c r="BJ3019" s="133"/>
      <c r="BK3019" s="133"/>
      <c r="BL3019" s="133"/>
      <c r="BM3019" s="133"/>
      <c r="BN3019" s="133"/>
      <c r="BO3019" s="133"/>
      <c r="BP3019" s="133"/>
      <c r="BQ3019" s="133"/>
    </row>
    <row r="3020">
      <c r="A3020" s="194" t="s">
        <v>7981</v>
      </c>
      <c r="B3020" s="125"/>
      <c r="C3020" s="195">
        <v>43891.0</v>
      </c>
      <c r="D3020" s="133"/>
      <c r="E3020" s="124" t="s">
        <v>31</v>
      </c>
      <c r="F3020" s="198">
        <v>1.0</v>
      </c>
      <c r="G3020" s="124" t="s">
        <v>32</v>
      </c>
      <c r="H3020" s="303">
        <v>1.0</v>
      </c>
      <c r="I3020" s="124" t="s">
        <v>33</v>
      </c>
      <c r="J3020" s="124" t="s">
        <v>124</v>
      </c>
      <c r="K3020" s="133"/>
      <c r="L3020" s="124" t="s">
        <v>7982</v>
      </c>
      <c r="M3020" s="242" t="s">
        <v>7983</v>
      </c>
      <c r="N3020" s="219" t="s">
        <v>7984</v>
      </c>
      <c r="O3020" s="124"/>
      <c r="P3020" s="133"/>
      <c r="Q3020" s="124"/>
      <c r="R3020" s="128"/>
      <c r="S3020" s="37"/>
      <c r="T3020" s="38"/>
      <c r="U3020" s="38"/>
      <c r="V3020" s="124" t="s">
        <v>33</v>
      </c>
      <c r="W3020" s="233" t="s">
        <v>7985</v>
      </c>
      <c r="X3020" s="233" t="s">
        <v>7986</v>
      </c>
      <c r="Y3020" s="233"/>
      <c r="Z3020" s="133"/>
      <c r="AA3020" s="133"/>
      <c r="AB3020" s="133"/>
      <c r="AC3020" s="133"/>
      <c r="AD3020" s="133"/>
      <c r="AE3020" s="133"/>
      <c r="AF3020" s="133"/>
      <c r="AG3020" s="133"/>
      <c r="AH3020" s="133"/>
      <c r="AI3020" s="133"/>
      <c r="AJ3020" s="133"/>
      <c r="AK3020" s="133"/>
      <c r="AL3020" s="133"/>
      <c r="AM3020" s="133"/>
      <c r="AN3020" s="133"/>
      <c r="AO3020" s="133"/>
      <c r="AP3020" s="133"/>
      <c r="AQ3020" s="133"/>
      <c r="AR3020" s="133"/>
      <c r="AS3020" s="133"/>
      <c r="AT3020" s="133"/>
      <c r="AU3020" s="133"/>
      <c r="AV3020" s="133"/>
      <c r="AW3020" s="133"/>
      <c r="AX3020" s="133"/>
      <c r="AY3020" s="133"/>
      <c r="AZ3020" s="133"/>
      <c r="BA3020" s="133"/>
      <c r="BB3020" s="133"/>
      <c r="BC3020" s="133"/>
      <c r="BD3020" s="133"/>
      <c r="BE3020" s="133"/>
      <c r="BF3020" s="133"/>
      <c r="BG3020" s="133"/>
      <c r="BH3020" s="133"/>
      <c r="BI3020" s="133"/>
      <c r="BJ3020" s="133"/>
      <c r="BK3020" s="133"/>
      <c r="BL3020" s="133"/>
      <c r="BM3020" s="133"/>
      <c r="BN3020" s="133"/>
      <c r="BO3020" s="133"/>
      <c r="BP3020" s="133"/>
      <c r="BQ3020" s="133"/>
    </row>
    <row r="3021">
      <c r="A3021" s="194" t="s">
        <v>7987</v>
      </c>
      <c r="B3021" s="125"/>
      <c r="C3021" s="195">
        <v>43891.0</v>
      </c>
      <c r="D3021" s="133"/>
      <c r="E3021" s="124" t="s">
        <v>41</v>
      </c>
      <c r="F3021" s="198">
        <v>1.0</v>
      </c>
      <c r="G3021" s="124" t="s">
        <v>32</v>
      </c>
      <c r="H3021" s="303">
        <v>1.0</v>
      </c>
      <c r="I3021" s="124" t="s">
        <v>33</v>
      </c>
      <c r="J3021" s="124" t="s">
        <v>124</v>
      </c>
      <c r="K3021" s="133"/>
      <c r="L3021" s="124" t="s">
        <v>7982</v>
      </c>
      <c r="M3021" s="242" t="s">
        <v>7983</v>
      </c>
      <c r="N3021" s="219" t="s">
        <v>7984</v>
      </c>
      <c r="O3021" s="124"/>
      <c r="P3021" s="133"/>
      <c r="Q3021" s="124"/>
      <c r="R3021" s="128"/>
      <c r="S3021" s="37"/>
      <c r="T3021" s="38"/>
      <c r="U3021" s="38"/>
      <c r="V3021" s="124" t="s">
        <v>33</v>
      </c>
      <c r="W3021" s="233" t="s">
        <v>7985</v>
      </c>
      <c r="X3021" s="233"/>
      <c r="Y3021" s="233"/>
      <c r="Z3021" s="133"/>
      <c r="AA3021" s="133"/>
      <c r="AB3021" s="133"/>
      <c r="AC3021" s="133"/>
      <c r="AD3021" s="133"/>
      <c r="AE3021" s="133"/>
      <c r="AF3021" s="133"/>
      <c r="AG3021" s="133"/>
      <c r="AH3021" s="133"/>
      <c r="AI3021" s="133"/>
      <c r="AJ3021" s="133"/>
      <c r="AK3021" s="133"/>
      <c r="AL3021" s="133"/>
      <c r="AM3021" s="133"/>
      <c r="AN3021" s="133"/>
      <c r="AO3021" s="133"/>
      <c r="AP3021" s="133"/>
      <c r="AQ3021" s="133"/>
      <c r="AR3021" s="133"/>
      <c r="AS3021" s="133"/>
      <c r="AT3021" s="133"/>
      <c r="AU3021" s="133"/>
      <c r="AV3021" s="133"/>
      <c r="AW3021" s="133"/>
      <c r="AX3021" s="133"/>
      <c r="AY3021" s="133"/>
      <c r="AZ3021" s="133"/>
      <c r="BA3021" s="133"/>
      <c r="BB3021" s="133"/>
      <c r="BC3021" s="133"/>
      <c r="BD3021" s="133"/>
      <c r="BE3021" s="133"/>
      <c r="BF3021" s="133"/>
      <c r="BG3021" s="133"/>
      <c r="BH3021" s="133"/>
      <c r="BI3021" s="133"/>
      <c r="BJ3021" s="133"/>
      <c r="BK3021" s="133"/>
      <c r="BL3021" s="133"/>
      <c r="BM3021" s="133"/>
      <c r="BN3021" s="133"/>
      <c r="BO3021" s="133"/>
      <c r="BP3021" s="133"/>
      <c r="BQ3021" s="133"/>
    </row>
    <row r="3022">
      <c r="A3022" s="194" t="s">
        <v>7988</v>
      </c>
      <c r="B3022" s="125"/>
      <c r="C3022" s="195">
        <v>43891.0</v>
      </c>
      <c r="D3022" s="133"/>
      <c r="E3022" s="124" t="s">
        <v>41</v>
      </c>
      <c r="F3022" s="198">
        <v>1.0</v>
      </c>
      <c r="G3022" s="124" t="s">
        <v>32</v>
      </c>
      <c r="H3022" s="303">
        <v>1.0</v>
      </c>
      <c r="I3022" s="124" t="s">
        <v>33</v>
      </c>
      <c r="J3022" s="124" t="s">
        <v>124</v>
      </c>
      <c r="K3022" s="133"/>
      <c r="L3022" s="124" t="s">
        <v>7982</v>
      </c>
      <c r="M3022" s="242" t="s">
        <v>7983</v>
      </c>
      <c r="N3022" s="219" t="s">
        <v>7984</v>
      </c>
      <c r="O3022" s="124"/>
      <c r="P3022" s="133"/>
      <c r="Q3022" s="124"/>
      <c r="R3022" s="128"/>
      <c r="S3022" s="37"/>
      <c r="T3022" s="38"/>
      <c r="U3022" s="38"/>
      <c r="V3022" s="124" t="s">
        <v>33</v>
      </c>
      <c r="W3022" s="233" t="s">
        <v>7985</v>
      </c>
      <c r="X3022" s="233"/>
      <c r="Y3022" s="233"/>
      <c r="Z3022" s="133"/>
      <c r="AA3022" s="133"/>
      <c r="AB3022" s="133"/>
      <c r="AC3022" s="133"/>
      <c r="AD3022" s="133"/>
      <c r="AE3022" s="133"/>
      <c r="AF3022" s="133"/>
      <c r="AG3022" s="133"/>
      <c r="AH3022" s="133"/>
      <c r="AI3022" s="133"/>
      <c r="AJ3022" s="133"/>
      <c r="AK3022" s="133"/>
      <c r="AL3022" s="133"/>
      <c r="AM3022" s="133"/>
      <c r="AN3022" s="133"/>
      <c r="AO3022" s="133"/>
      <c r="AP3022" s="133"/>
      <c r="AQ3022" s="133"/>
      <c r="AR3022" s="133"/>
      <c r="AS3022" s="133"/>
      <c r="AT3022" s="133"/>
      <c r="AU3022" s="133"/>
      <c r="AV3022" s="133"/>
      <c r="AW3022" s="133"/>
      <c r="AX3022" s="133"/>
      <c r="AY3022" s="133"/>
      <c r="AZ3022" s="133"/>
      <c r="BA3022" s="133"/>
      <c r="BB3022" s="133"/>
      <c r="BC3022" s="133"/>
      <c r="BD3022" s="133"/>
      <c r="BE3022" s="133"/>
      <c r="BF3022" s="133"/>
      <c r="BG3022" s="133"/>
      <c r="BH3022" s="133"/>
      <c r="BI3022" s="133"/>
      <c r="BJ3022" s="133"/>
      <c r="BK3022" s="133"/>
      <c r="BL3022" s="133"/>
      <c r="BM3022" s="133"/>
      <c r="BN3022" s="133"/>
      <c r="BO3022" s="133"/>
      <c r="BP3022" s="133"/>
      <c r="BQ3022" s="133"/>
    </row>
    <row r="3023">
      <c r="A3023" s="194" t="s">
        <v>7989</v>
      </c>
      <c r="B3023" s="125"/>
      <c r="C3023" s="195">
        <v>43891.0</v>
      </c>
      <c r="D3023" s="133"/>
      <c r="E3023" s="124" t="s">
        <v>41</v>
      </c>
      <c r="F3023" s="198">
        <v>1.0</v>
      </c>
      <c r="G3023" s="124" t="s">
        <v>32</v>
      </c>
      <c r="H3023" s="303">
        <v>1.0</v>
      </c>
      <c r="I3023" s="124" t="s">
        <v>33</v>
      </c>
      <c r="J3023" s="124" t="s">
        <v>124</v>
      </c>
      <c r="K3023" s="133"/>
      <c r="L3023" s="124" t="s">
        <v>7982</v>
      </c>
      <c r="M3023" s="242" t="s">
        <v>7983</v>
      </c>
      <c r="N3023" s="219" t="s">
        <v>7984</v>
      </c>
      <c r="O3023" s="124"/>
      <c r="P3023" s="133"/>
      <c r="Q3023" s="124"/>
      <c r="R3023" s="128"/>
      <c r="S3023" s="37"/>
      <c r="T3023" s="38"/>
      <c r="U3023" s="38"/>
      <c r="V3023" s="124" t="s">
        <v>33</v>
      </c>
      <c r="W3023" s="233" t="s">
        <v>7985</v>
      </c>
      <c r="X3023" s="233"/>
      <c r="Y3023" s="233"/>
      <c r="Z3023" s="133"/>
      <c r="AA3023" s="133"/>
      <c r="AB3023" s="133"/>
      <c r="AC3023" s="133"/>
      <c r="AD3023" s="133"/>
      <c r="AE3023" s="133"/>
      <c r="AF3023" s="133"/>
      <c r="AG3023" s="133"/>
      <c r="AH3023" s="133"/>
      <c r="AI3023" s="133"/>
      <c r="AJ3023" s="133"/>
      <c r="AK3023" s="133"/>
      <c r="AL3023" s="133"/>
      <c r="AM3023" s="133"/>
      <c r="AN3023" s="133"/>
      <c r="AO3023" s="133"/>
      <c r="AP3023" s="133"/>
      <c r="AQ3023" s="133"/>
      <c r="AR3023" s="133"/>
      <c r="AS3023" s="133"/>
      <c r="AT3023" s="133"/>
      <c r="AU3023" s="133"/>
      <c r="AV3023" s="133"/>
      <c r="AW3023" s="133"/>
      <c r="AX3023" s="133"/>
      <c r="AY3023" s="133"/>
      <c r="AZ3023" s="133"/>
      <c r="BA3023" s="133"/>
      <c r="BB3023" s="133"/>
      <c r="BC3023" s="133"/>
      <c r="BD3023" s="133"/>
      <c r="BE3023" s="133"/>
      <c r="BF3023" s="133"/>
      <c r="BG3023" s="133"/>
      <c r="BH3023" s="133"/>
      <c r="BI3023" s="133"/>
      <c r="BJ3023" s="133"/>
      <c r="BK3023" s="133"/>
      <c r="BL3023" s="133"/>
      <c r="BM3023" s="133"/>
      <c r="BN3023" s="133"/>
      <c r="BO3023" s="133"/>
      <c r="BP3023" s="133"/>
      <c r="BQ3023" s="133"/>
    </row>
    <row r="3024">
      <c r="A3024" s="194" t="s">
        <v>7990</v>
      </c>
      <c r="B3024" s="125"/>
      <c r="C3024" s="195">
        <v>43891.0</v>
      </c>
      <c r="D3024" s="133"/>
      <c r="E3024" s="124" t="s">
        <v>41</v>
      </c>
      <c r="F3024" s="198">
        <v>1.0</v>
      </c>
      <c r="G3024" s="124" t="s">
        <v>32</v>
      </c>
      <c r="H3024" s="303">
        <v>1.0</v>
      </c>
      <c r="I3024" s="124" t="s">
        <v>33</v>
      </c>
      <c r="J3024" s="124" t="s">
        <v>124</v>
      </c>
      <c r="K3024" s="133"/>
      <c r="L3024" s="124" t="s">
        <v>7982</v>
      </c>
      <c r="M3024" s="242" t="s">
        <v>7983</v>
      </c>
      <c r="N3024" s="219" t="s">
        <v>7984</v>
      </c>
      <c r="O3024" s="124"/>
      <c r="P3024" s="133"/>
      <c r="Q3024" s="124"/>
      <c r="R3024" s="128"/>
      <c r="S3024" s="37"/>
      <c r="T3024" s="38"/>
      <c r="U3024" s="38"/>
      <c r="V3024" s="124" t="s">
        <v>33</v>
      </c>
      <c r="W3024" s="233" t="s">
        <v>7985</v>
      </c>
      <c r="X3024" s="233"/>
      <c r="Y3024" s="233"/>
      <c r="Z3024" s="133"/>
      <c r="AA3024" s="133"/>
      <c r="AB3024" s="133"/>
      <c r="AC3024" s="133"/>
      <c r="AD3024" s="133"/>
      <c r="AE3024" s="133"/>
      <c r="AF3024" s="133"/>
      <c r="AG3024" s="133"/>
      <c r="AH3024" s="133"/>
      <c r="AI3024" s="133"/>
      <c r="AJ3024" s="133"/>
      <c r="AK3024" s="133"/>
      <c r="AL3024" s="133"/>
      <c r="AM3024" s="133"/>
      <c r="AN3024" s="133"/>
      <c r="AO3024" s="133"/>
      <c r="AP3024" s="133"/>
      <c r="AQ3024" s="133"/>
      <c r="AR3024" s="133"/>
      <c r="AS3024" s="133"/>
      <c r="AT3024" s="133"/>
      <c r="AU3024" s="133"/>
      <c r="AV3024" s="133"/>
      <c r="AW3024" s="133"/>
      <c r="AX3024" s="133"/>
      <c r="AY3024" s="133"/>
      <c r="AZ3024" s="133"/>
      <c r="BA3024" s="133"/>
      <c r="BB3024" s="133"/>
      <c r="BC3024" s="133"/>
      <c r="BD3024" s="133"/>
      <c r="BE3024" s="133"/>
      <c r="BF3024" s="133"/>
      <c r="BG3024" s="133"/>
      <c r="BH3024" s="133"/>
      <c r="BI3024" s="133"/>
      <c r="BJ3024" s="133"/>
      <c r="BK3024" s="133"/>
      <c r="BL3024" s="133"/>
      <c r="BM3024" s="133"/>
      <c r="BN3024" s="133"/>
      <c r="BO3024" s="133"/>
      <c r="BP3024" s="133"/>
      <c r="BQ3024" s="133"/>
    </row>
    <row r="3025">
      <c r="A3025" s="194" t="s">
        <v>7991</v>
      </c>
      <c r="B3025" s="125"/>
      <c r="C3025" s="195">
        <v>43891.0</v>
      </c>
      <c r="D3025" s="133"/>
      <c r="E3025" s="124" t="s">
        <v>41</v>
      </c>
      <c r="F3025" s="198">
        <v>1.0</v>
      </c>
      <c r="G3025" s="124" t="s">
        <v>32</v>
      </c>
      <c r="H3025" s="303">
        <v>1.0</v>
      </c>
      <c r="I3025" s="124" t="s">
        <v>33</v>
      </c>
      <c r="J3025" s="124" t="s">
        <v>124</v>
      </c>
      <c r="K3025" s="133"/>
      <c r="L3025" s="124" t="s">
        <v>7982</v>
      </c>
      <c r="M3025" s="242" t="s">
        <v>7983</v>
      </c>
      <c r="N3025" s="219" t="s">
        <v>7984</v>
      </c>
      <c r="O3025" s="124"/>
      <c r="P3025" s="133"/>
      <c r="Q3025" s="124"/>
      <c r="R3025" s="128"/>
      <c r="S3025" s="37"/>
      <c r="T3025" s="38"/>
      <c r="U3025" s="38"/>
      <c r="V3025" s="124" t="s">
        <v>33</v>
      </c>
      <c r="W3025" s="233" t="s">
        <v>7985</v>
      </c>
      <c r="X3025" s="233"/>
      <c r="Y3025" s="233"/>
      <c r="Z3025" s="133"/>
      <c r="AA3025" s="133"/>
      <c r="AB3025" s="133"/>
      <c r="AC3025" s="133"/>
      <c r="AD3025" s="133"/>
      <c r="AE3025" s="133"/>
      <c r="AF3025" s="133"/>
      <c r="AG3025" s="133"/>
      <c r="AH3025" s="133"/>
      <c r="AI3025" s="133"/>
      <c r="AJ3025" s="133"/>
      <c r="AK3025" s="133"/>
      <c r="AL3025" s="133"/>
      <c r="AM3025" s="133"/>
      <c r="AN3025" s="133"/>
      <c r="AO3025" s="133"/>
      <c r="AP3025" s="133"/>
      <c r="AQ3025" s="133"/>
      <c r="AR3025" s="133"/>
      <c r="AS3025" s="133"/>
      <c r="AT3025" s="133"/>
      <c r="AU3025" s="133"/>
      <c r="AV3025" s="133"/>
      <c r="AW3025" s="133"/>
      <c r="AX3025" s="133"/>
      <c r="AY3025" s="133"/>
      <c r="AZ3025" s="133"/>
      <c r="BA3025" s="133"/>
      <c r="BB3025" s="133"/>
      <c r="BC3025" s="133"/>
      <c r="BD3025" s="133"/>
      <c r="BE3025" s="133"/>
      <c r="BF3025" s="133"/>
      <c r="BG3025" s="133"/>
      <c r="BH3025" s="133"/>
      <c r="BI3025" s="133"/>
      <c r="BJ3025" s="133"/>
      <c r="BK3025" s="133"/>
      <c r="BL3025" s="133"/>
      <c r="BM3025" s="133"/>
      <c r="BN3025" s="133"/>
      <c r="BO3025" s="133"/>
      <c r="BP3025" s="133"/>
      <c r="BQ3025" s="133"/>
    </row>
    <row r="3026">
      <c r="A3026" s="194" t="s">
        <v>7992</v>
      </c>
      <c r="B3026" s="125"/>
      <c r="C3026" s="195">
        <v>43891.0</v>
      </c>
      <c r="D3026" s="133"/>
      <c r="E3026" s="124" t="s">
        <v>41</v>
      </c>
      <c r="F3026" s="198">
        <v>1.0</v>
      </c>
      <c r="G3026" s="124" t="s">
        <v>32</v>
      </c>
      <c r="H3026" s="303">
        <v>1.0</v>
      </c>
      <c r="I3026" s="124" t="s">
        <v>33</v>
      </c>
      <c r="J3026" s="124" t="s">
        <v>124</v>
      </c>
      <c r="K3026" s="133"/>
      <c r="L3026" s="124" t="s">
        <v>7982</v>
      </c>
      <c r="M3026" s="242" t="s">
        <v>7983</v>
      </c>
      <c r="N3026" s="219" t="s">
        <v>7984</v>
      </c>
      <c r="O3026" s="124"/>
      <c r="P3026" s="133"/>
      <c r="Q3026" s="124"/>
      <c r="R3026" s="128"/>
      <c r="S3026" s="37"/>
      <c r="T3026" s="38"/>
      <c r="U3026" s="38"/>
      <c r="V3026" s="124" t="s">
        <v>33</v>
      </c>
      <c r="W3026" s="233" t="s">
        <v>7985</v>
      </c>
      <c r="X3026" s="233"/>
      <c r="Y3026" s="233"/>
      <c r="Z3026" s="133"/>
      <c r="AA3026" s="133"/>
      <c r="AB3026" s="133"/>
      <c r="AC3026" s="133"/>
      <c r="AD3026" s="133"/>
      <c r="AE3026" s="133"/>
      <c r="AF3026" s="133"/>
      <c r="AG3026" s="133"/>
      <c r="AH3026" s="133"/>
      <c r="AI3026" s="133"/>
      <c r="AJ3026" s="133"/>
      <c r="AK3026" s="133"/>
      <c r="AL3026" s="133"/>
      <c r="AM3026" s="133"/>
      <c r="AN3026" s="133"/>
      <c r="AO3026" s="133"/>
      <c r="AP3026" s="133"/>
      <c r="AQ3026" s="133"/>
      <c r="AR3026" s="133"/>
      <c r="AS3026" s="133"/>
      <c r="AT3026" s="133"/>
      <c r="AU3026" s="133"/>
      <c r="AV3026" s="133"/>
      <c r="AW3026" s="133"/>
      <c r="AX3026" s="133"/>
      <c r="AY3026" s="133"/>
      <c r="AZ3026" s="133"/>
      <c r="BA3026" s="133"/>
      <c r="BB3026" s="133"/>
      <c r="BC3026" s="133"/>
      <c r="BD3026" s="133"/>
      <c r="BE3026" s="133"/>
      <c r="BF3026" s="133"/>
      <c r="BG3026" s="133"/>
      <c r="BH3026" s="133"/>
      <c r="BI3026" s="133"/>
      <c r="BJ3026" s="133"/>
      <c r="BK3026" s="133"/>
      <c r="BL3026" s="133"/>
      <c r="BM3026" s="133"/>
      <c r="BN3026" s="133"/>
      <c r="BO3026" s="133"/>
      <c r="BP3026" s="133"/>
      <c r="BQ3026" s="133"/>
    </row>
    <row r="3027">
      <c r="A3027" s="194" t="s">
        <v>7993</v>
      </c>
      <c r="B3027" s="125"/>
      <c r="C3027" s="195">
        <v>43891.0</v>
      </c>
      <c r="D3027" s="133"/>
      <c r="E3027" s="124" t="s">
        <v>41</v>
      </c>
      <c r="F3027" s="198">
        <v>1.0</v>
      </c>
      <c r="G3027" s="124" t="s">
        <v>32</v>
      </c>
      <c r="H3027" s="303">
        <v>1.0</v>
      </c>
      <c r="I3027" s="124" t="s">
        <v>33</v>
      </c>
      <c r="J3027" s="124" t="s">
        <v>124</v>
      </c>
      <c r="K3027" s="133"/>
      <c r="L3027" s="124" t="s">
        <v>7982</v>
      </c>
      <c r="M3027" s="242" t="s">
        <v>7983</v>
      </c>
      <c r="N3027" s="219" t="s">
        <v>7984</v>
      </c>
      <c r="O3027" s="124"/>
      <c r="P3027" s="133"/>
      <c r="Q3027" s="124"/>
      <c r="R3027" s="128"/>
      <c r="S3027" s="37"/>
      <c r="T3027" s="38"/>
      <c r="U3027" s="38"/>
      <c r="V3027" s="124" t="s">
        <v>33</v>
      </c>
      <c r="W3027" s="219" t="s">
        <v>7994</v>
      </c>
      <c r="X3027" s="233"/>
      <c r="Y3027" s="233"/>
      <c r="Z3027" s="133"/>
      <c r="AA3027" s="133"/>
      <c r="AB3027" s="133"/>
      <c r="AC3027" s="133"/>
      <c r="AD3027" s="133"/>
      <c r="AE3027" s="133"/>
      <c r="AF3027" s="133"/>
      <c r="AG3027" s="133"/>
      <c r="AH3027" s="133"/>
      <c r="AI3027" s="133"/>
      <c r="AJ3027" s="133"/>
      <c r="AK3027" s="133"/>
      <c r="AL3027" s="133"/>
      <c r="AM3027" s="133"/>
      <c r="AN3027" s="133"/>
      <c r="AO3027" s="133"/>
      <c r="AP3027" s="133"/>
      <c r="AQ3027" s="133"/>
      <c r="AR3027" s="133"/>
      <c r="AS3027" s="133"/>
      <c r="AT3027" s="133"/>
      <c r="AU3027" s="133"/>
      <c r="AV3027" s="133"/>
      <c r="AW3027" s="133"/>
      <c r="AX3027" s="133"/>
      <c r="AY3027" s="133"/>
      <c r="AZ3027" s="133"/>
      <c r="BA3027" s="133"/>
      <c r="BB3027" s="133"/>
      <c r="BC3027" s="133"/>
      <c r="BD3027" s="133"/>
      <c r="BE3027" s="133"/>
      <c r="BF3027" s="133"/>
      <c r="BG3027" s="133"/>
      <c r="BH3027" s="133"/>
      <c r="BI3027" s="133"/>
      <c r="BJ3027" s="133"/>
      <c r="BK3027" s="133"/>
      <c r="BL3027" s="133"/>
      <c r="BM3027" s="133"/>
      <c r="BN3027" s="133"/>
      <c r="BO3027" s="133"/>
      <c r="BP3027" s="133"/>
      <c r="BQ3027" s="133"/>
    </row>
    <row r="3028">
      <c r="A3028" s="194" t="s">
        <v>7995</v>
      </c>
      <c r="B3028" s="125"/>
      <c r="C3028" s="195">
        <v>43891.0</v>
      </c>
      <c r="D3028" s="133"/>
      <c r="E3028" s="124" t="s">
        <v>41</v>
      </c>
      <c r="F3028" s="198">
        <v>1.0</v>
      </c>
      <c r="G3028" s="124" t="s">
        <v>32</v>
      </c>
      <c r="H3028" s="303">
        <v>1.0</v>
      </c>
      <c r="I3028" s="124" t="s">
        <v>33</v>
      </c>
      <c r="J3028" s="124" t="s">
        <v>124</v>
      </c>
      <c r="K3028" s="133"/>
      <c r="L3028" s="124" t="s">
        <v>7982</v>
      </c>
      <c r="M3028" s="242" t="s">
        <v>7983</v>
      </c>
      <c r="N3028" s="219" t="s">
        <v>7984</v>
      </c>
      <c r="O3028" s="124"/>
      <c r="P3028" s="133"/>
      <c r="Q3028" s="124"/>
      <c r="R3028" s="128"/>
      <c r="S3028" s="37"/>
      <c r="T3028" s="38"/>
      <c r="U3028" s="38"/>
      <c r="V3028" s="124" t="s">
        <v>33</v>
      </c>
      <c r="W3028" s="219" t="s">
        <v>7994</v>
      </c>
      <c r="X3028" s="233"/>
      <c r="Y3028" s="233"/>
      <c r="Z3028" s="133"/>
      <c r="AA3028" s="133"/>
      <c r="AB3028" s="133"/>
      <c r="AC3028" s="133"/>
      <c r="AD3028" s="133"/>
      <c r="AE3028" s="133"/>
      <c r="AF3028" s="133"/>
      <c r="AG3028" s="133"/>
      <c r="AH3028" s="133"/>
      <c r="AI3028" s="133"/>
      <c r="AJ3028" s="133"/>
      <c r="AK3028" s="133"/>
      <c r="AL3028" s="133"/>
      <c r="AM3028" s="133"/>
      <c r="AN3028" s="133"/>
      <c r="AO3028" s="133"/>
      <c r="AP3028" s="133"/>
      <c r="AQ3028" s="133"/>
      <c r="AR3028" s="133"/>
      <c r="AS3028" s="133"/>
      <c r="AT3028" s="133"/>
      <c r="AU3028" s="133"/>
      <c r="AV3028" s="133"/>
      <c r="AW3028" s="133"/>
      <c r="AX3028" s="133"/>
      <c r="AY3028" s="133"/>
      <c r="AZ3028" s="133"/>
      <c r="BA3028" s="133"/>
      <c r="BB3028" s="133"/>
      <c r="BC3028" s="133"/>
      <c r="BD3028" s="133"/>
      <c r="BE3028" s="133"/>
      <c r="BF3028" s="133"/>
      <c r="BG3028" s="133"/>
      <c r="BH3028" s="133"/>
      <c r="BI3028" s="133"/>
      <c r="BJ3028" s="133"/>
      <c r="BK3028" s="133"/>
      <c r="BL3028" s="133"/>
      <c r="BM3028" s="133"/>
      <c r="BN3028" s="133"/>
      <c r="BO3028" s="133"/>
      <c r="BP3028" s="133"/>
      <c r="BQ3028" s="133"/>
    </row>
    <row r="3029">
      <c r="A3029" s="194" t="s">
        <v>7996</v>
      </c>
      <c r="B3029" s="125"/>
      <c r="C3029" s="126">
        <v>43893.0</v>
      </c>
      <c r="D3029" s="133"/>
      <c r="E3029" s="124" t="s">
        <v>41</v>
      </c>
      <c r="F3029" s="198">
        <v>1.0</v>
      </c>
      <c r="G3029" s="124" t="s">
        <v>32</v>
      </c>
      <c r="H3029" s="303">
        <v>1.0</v>
      </c>
      <c r="I3029" s="124" t="s">
        <v>33</v>
      </c>
      <c r="J3029" s="124" t="s">
        <v>111</v>
      </c>
      <c r="K3029" s="133"/>
      <c r="L3029" s="124" t="s">
        <v>76</v>
      </c>
      <c r="M3029" s="242" t="s">
        <v>7997</v>
      </c>
      <c r="N3029" s="233"/>
      <c r="O3029" s="124"/>
      <c r="P3029" s="133"/>
      <c r="Q3029" s="124">
        <v>1.0</v>
      </c>
      <c r="R3029" s="128"/>
      <c r="S3029" s="37"/>
      <c r="T3029" s="38"/>
      <c r="U3029" s="38"/>
      <c r="V3029" s="124" t="s">
        <v>33</v>
      </c>
      <c r="W3029" s="138"/>
      <c r="X3029" s="138"/>
      <c r="Y3029" s="233"/>
      <c r="Z3029" s="133"/>
      <c r="AA3029" s="133"/>
      <c r="AB3029" s="133"/>
      <c r="AC3029" s="133"/>
      <c r="AD3029" s="133"/>
      <c r="AE3029" s="133"/>
      <c r="AF3029" s="133"/>
      <c r="AG3029" s="133"/>
      <c r="AH3029" s="133"/>
      <c r="AI3029" s="133"/>
      <c r="AJ3029" s="133"/>
      <c r="AK3029" s="133"/>
      <c r="AL3029" s="133"/>
      <c r="AM3029" s="133"/>
      <c r="AN3029" s="133"/>
      <c r="AO3029" s="133"/>
      <c r="AP3029" s="133"/>
      <c r="AQ3029" s="133"/>
      <c r="AR3029" s="133"/>
      <c r="AS3029" s="133"/>
      <c r="AT3029" s="133"/>
      <c r="AU3029" s="133"/>
      <c r="AV3029" s="133"/>
      <c r="AW3029" s="133"/>
      <c r="AX3029" s="133"/>
      <c r="AY3029" s="133"/>
      <c r="AZ3029" s="133"/>
      <c r="BA3029" s="133"/>
      <c r="BB3029" s="133"/>
      <c r="BC3029" s="133"/>
      <c r="BD3029" s="133"/>
      <c r="BE3029" s="133"/>
      <c r="BF3029" s="133"/>
      <c r="BG3029" s="133"/>
      <c r="BH3029" s="133"/>
      <c r="BI3029" s="133"/>
      <c r="BJ3029" s="133"/>
      <c r="BK3029" s="133"/>
      <c r="BL3029" s="133"/>
      <c r="BM3029" s="133"/>
      <c r="BN3029" s="133"/>
      <c r="BO3029" s="133"/>
      <c r="BP3029" s="133"/>
      <c r="BQ3029" s="133"/>
    </row>
    <row r="3030">
      <c r="A3030" s="194" t="s">
        <v>7998</v>
      </c>
      <c r="B3030" s="125"/>
      <c r="C3030" s="126">
        <v>43894.0</v>
      </c>
      <c r="D3030" s="133"/>
      <c r="E3030" s="124" t="s">
        <v>41</v>
      </c>
      <c r="F3030" s="198">
        <v>1.0</v>
      </c>
      <c r="G3030" s="124" t="s">
        <v>32</v>
      </c>
      <c r="H3030" s="303">
        <v>1.0</v>
      </c>
      <c r="I3030" s="124" t="s">
        <v>33</v>
      </c>
      <c r="J3030" s="124" t="s">
        <v>47</v>
      </c>
      <c r="K3030" s="133"/>
      <c r="L3030" s="124" t="s">
        <v>69</v>
      </c>
      <c r="M3030" s="242" t="s">
        <v>7999</v>
      </c>
      <c r="N3030" s="233"/>
      <c r="O3030" s="124"/>
      <c r="P3030" s="133"/>
      <c r="Q3030" s="124"/>
      <c r="R3030" s="128"/>
      <c r="S3030" s="37"/>
      <c r="T3030" s="38"/>
      <c r="U3030" s="38"/>
      <c r="V3030" s="124" t="s">
        <v>33</v>
      </c>
      <c r="W3030" s="138"/>
      <c r="X3030" s="138"/>
      <c r="Y3030" s="233"/>
      <c r="Z3030" s="133"/>
      <c r="AA3030" s="133"/>
      <c r="AB3030" s="133"/>
      <c r="AC3030" s="133"/>
      <c r="AD3030" s="133"/>
      <c r="AE3030" s="133"/>
      <c r="AF3030" s="133"/>
      <c r="AG3030" s="133"/>
      <c r="AH3030" s="133"/>
      <c r="AI3030" s="133"/>
      <c r="AJ3030" s="133"/>
      <c r="AK3030" s="133"/>
      <c r="AL3030" s="133"/>
      <c r="AM3030" s="133"/>
      <c r="AN3030" s="133"/>
      <c r="AO3030" s="133"/>
      <c r="AP3030" s="133"/>
      <c r="AQ3030" s="133"/>
      <c r="AR3030" s="133"/>
      <c r="AS3030" s="133"/>
      <c r="AT3030" s="133"/>
      <c r="AU3030" s="133"/>
      <c r="AV3030" s="133"/>
      <c r="AW3030" s="133"/>
      <c r="AX3030" s="133"/>
      <c r="AY3030" s="133"/>
      <c r="AZ3030" s="133"/>
      <c r="BA3030" s="133"/>
      <c r="BB3030" s="133"/>
      <c r="BC3030" s="133"/>
      <c r="BD3030" s="133"/>
      <c r="BE3030" s="133"/>
      <c r="BF3030" s="133"/>
      <c r="BG3030" s="133"/>
      <c r="BH3030" s="133"/>
      <c r="BI3030" s="133"/>
      <c r="BJ3030" s="133"/>
      <c r="BK3030" s="133"/>
      <c r="BL3030" s="133"/>
      <c r="BM3030" s="133"/>
      <c r="BN3030" s="133"/>
      <c r="BO3030" s="133"/>
      <c r="BP3030" s="133"/>
      <c r="BQ3030" s="133"/>
    </row>
    <row r="3031">
      <c r="A3031" s="194" t="s">
        <v>8000</v>
      </c>
      <c r="B3031" s="125"/>
      <c r="C3031" s="126">
        <v>43894.0</v>
      </c>
      <c r="D3031" s="133"/>
      <c r="E3031" s="124" t="s">
        <v>41</v>
      </c>
      <c r="F3031" s="198">
        <v>1.0</v>
      </c>
      <c r="G3031" s="124" t="s">
        <v>32</v>
      </c>
      <c r="H3031" s="303">
        <v>1.0</v>
      </c>
      <c r="I3031" s="124" t="s">
        <v>33</v>
      </c>
      <c r="J3031" s="124" t="s">
        <v>47</v>
      </c>
      <c r="K3031" s="133"/>
      <c r="L3031" s="124" t="s">
        <v>69</v>
      </c>
      <c r="M3031" s="242" t="s">
        <v>7999</v>
      </c>
      <c r="N3031" s="233"/>
      <c r="O3031" s="124"/>
      <c r="P3031" s="133"/>
      <c r="Q3031" s="124"/>
      <c r="R3031" s="128"/>
      <c r="S3031" s="37"/>
      <c r="T3031" s="38"/>
      <c r="U3031" s="38"/>
      <c r="V3031" s="124" t="s">
        <v>33</v>
      </c>
      <c r="W3031" s="138"/>
      <c r="X3031" s="138"/>
      <c r="Y3031" s="233"/>
      <c r="Z3031" s="133"/>
      <c r="AA3031" s="133"/>
      <c r="AB3031" s="133"/>
      <c r="AC3031" s="133"/>
      <c r="AD3031" s="133"/>
      <c r="AE3031" s="133"/>
      <c r="AF3031" s="133"/>
      <c r="AG3031" s="133"/>
      <c r="AH3031" s="133"/>
      <c r="AI3031" s="133"/>
      <c r="AJ3031" s="133"/>
      <c r="AK3031" s="133"/>
      <c r="AL3031" s="133"/>
      <c r="AM3031" s="133"/>
      <c r="AN3031" s="133"/>
      <c r="AO3031" s="133"/>
      <c r="AP3031" s="133"/>
      <c r="AQ3031" s="133"/>
      <c r="AR3031" s="133"/>
      <c r="AS3031" s="133"/>
      <c r="AT3031" s="133"/>
      <c r="AU3031" s="133"/>
      <c r="AV3031" s="133"/>
      <c r="AW3031" s="133"/>
      <c r="AX3031" s="133"/>
      <c r="AY3031" s="133"/>
      <c r="AZ3031" s="133"/>
      <c r="BA3031" s="133"/>
      <c r="BB3031" s="133"/>
      <c r="BC3031" s="133"/>
      <c r="BD3031" s="133"/>
      <c r="BE3031" s="133"/>
      <c r="BF3031" s="133"/>
      <c r="BG3031" s="133"/>
      <c r="BH3031" s="133"/>
      <c r="BI3031" s="133"/>
      <c r="BJ3031" s="133"/>
      <c r="BK3031" s="133"/>
      <c r="BL3031" s="133"/>
      <c r="BM3031" s="133"/>
      <c r="BN3031" s="133"/>
      <c r="BO3031" s="133"/>
      <c r="BP3031" s="133"/>
      <c r="BQ3031" s="133"/>
    </row>
    <row r="3032">
      <c r="A3032" s="194" t="s">
        <v>8001</v>
      </c>
      <c r="B3032" s="125"/>
      <c r="C3032" s="126">
        <v>43895.0</v>
      </c>
      <c r="D3032" s="133"/>
      <c r="E3032" s="124" t="s">
        <v>41</v>
      </c>
      <c r="F3032" s="198">
        <v>1.0</v>
      </c>
      <c r="G3032" s="124" t="s">
        <v>32</v>
      </c>
      <c r="H3032" s="303">
        <v>1.0</v>
      </c>
      <c r="I3032" s="124" t="s">
        <v>33</v>
      </c>
      <c r="J3032" s="124" t="s">
        <v>111</v>
      </c>
      <c r="K3032" s="133"/>
      <c r="L3032" s="124" t="s">
        <v>1203</v>
      </c>
      <c r="M3032" s="242" t="s">
        <v>8002</v>
      </c>
      <c r="N3032" s="233"/>
      <c r="O3032" s="124"/>
      <c r="P3032" s="133"/>
      <c r="Q3032" s="124"/>
      <c r="R3032" s="128"/>
      <c r="S3032" s="37"/>
      <c r="T3032" s="38"/>
      <c r="U3032" s="38"/>
      <c r="V3032" s="124" t="s">
        <v>33</v>
      </c>
      <c r="W3032" s="138"/>
      <c r="X3032" s="138"/>
      <c r="Y3032" s="233"/>
      <c r="Z3032" s="133"/>
      <c r="AA3032" s="133"/>
      <c r="AB3032" s="133"/>
      <c r="AC3032" s="133"/>
      <c r="AD3032" s="133"/>
      <c r="AE3032" s="133"/>
      <c r="AF3032" s="133"/>
      <c r="AG3032" s="133"/>
      <c r="AH3032" s="133"/>
      <c r="AI3032" s="133"/>
      <c r="AJ3032" s="133"/>
      <c r="AK3032" s="133"/>
      <c r="AL3032" s="133"/>
      <c r="AM3032" s="133"/>
      <c r="AN3032" s="133"/>
      <c r="AO3032" s="133"/>
      <c r="AP3032" s="133"/>
      <c r="AQ3032" s="133"/>
      <c r="AR3032" s="133"/>
      <c r="AS3032" s="133"/>
      <c r="AT3032" s="133"/>
      <c r="AU3032" s="133"/>
      <c r="AV3032" s="133"/>
      <c r="AW3032" s="133"/>
      <c r="AX3032" s="133"/>
      <c r="AY3032" s="133"/>
      <c r="AZ3032" s="133"/>
      <c r="BA3032" s="133"/>
      <c r="BB3032" s="133"/>
      <c r="BC3032" s="133"/>
      <c r="BD3032" s="133"/>
      <c r="BE3032" s="133"/>
      <c r="BF3032" s="133"/>
      <c r="BG3032" s="133"/>
      <c r="BH3032" s="133"/>
      <c r="BI3032" s="133"/>
      <c r="BJ3032" s="133"/>
      <c r="BK3032" s="133"/>
      <c r="BL3032" s="133"/>
      <c r="BM3032" s="133"/>
      <c r="BN3032" s="133"/>
      <c r="BO3032" s="133"/>
      <c r="BP3032" s="133"/>
      <c r="BQ3032" s="133"/>
    </row>
    <row r="3033">
      <c r="A3033" s="194" t="s">
        <v>8003</v>
      </c>
      <c r="B3033" s="125"/>
      <c r="C3033" s="126">
        <v>43895.0</v>
      </c>
      <c r="D3033" s="133"/>
      <c r="E3033" s="124" t="s">
        <v>41</v>
      </c>
      <c r="F3033" s="198">
        <v>1.0</v>
      </c>
      <c r="G3033" s="124" t="s">
        <v>32</v>
      </c>
      <c r="H3033" s="303">
        <v>1.0</v>
      </c>
      <c r="I3033" s="124" t="s">
        <v>33</v>
      </c>
      <c r="J3033" s="124" t="s">
        <v>179</v>
      </c>
      <c r="K3033" s="133"/>
      <c r="L3033" s="124" t="s">
        <v>76</v>
      </c>
      <c r="M3033" s="242" t="s">
        <v>8004</v>
      </c>
      <c r="N3033" s="233"/>
      <c r="O3033" s="124"/>
      <c r="P3033" s="133"/>
      <c r="Q3033" s="124"/>
      <c r="R3033" s="128"/>
      <c r="S3033" s="37"/>
      <c r="T3033" s="38"/>
      <c r="U3033" s="38"/>
      <c r="V3033" s="124" t="s">
        <v>33</v>
      </c>
      <c r="W3033" s="138"/>
      <c r="X3033" s="138"/>
      <c r="Y3033" s="233"/>
      <c r="Z3033" s="133"/>
      <c r="AA3033" s="133"/>
      <c r="AB3033" s="133"/>
      <c r="AC3033" s="133"/>
      <c r="AD3033" s="133"/>
      <c r="AE3033" s="133"/>
      <c r="AF3033" s="133"/>
      <c r="AG3033" s="133"/>
      <c r="AH3033" s="133"/>
      <c r="AI3033" s="133"/>
      <c r="AJ3033" s="133"/>
      <c r="AK3033" s="133"/>
      <c r="AL3033" s="133"/>
      <c r="AM3033" s="133"/>
      <c r="AN3033" s="133"/>
      <c r="AO3033" s="133"/>
      <c r="AP3033" s="133"/>
      <c r="AQ3033" s="133"/>
      <c r="AR3033" s="133"/>
      <c r="AS3033" s="133"/>
      <c r="AT3033" s="133"/>
      <c r="AU3033" s="133"/>
      <c r="AV3033" s="133"/>
      <c r="AW3033" s="133"/>
      <c r="AX3033" s="133"/>
      <c r="AY3033" s="133"/>
      <c r="AZ3033" s="133"/>
      <c r="BA3033" s="133"/>
      <c r="BB3033" s="133"/>
      <c r="BC3033" s="133"/>
      <c r="BD3033" s="133"/>
      <c r="BE3033" s="133"/>
      <c r="BF3033" s="133"/>
      <c r="BG3033" s="133"/>
      <c r="BH3033" s="133"/>
      <c r="BI3033" s="133"/>
      <c r="BJ3033" s="133"/>
      <c r="BK3033" s="133"/>
      <c r="BL3033" s="133"/>
      <c r="BM3033" s="133"/>
      <c r="BN3033" s="133"/>
      <c r="BO3033" s="133"/>
      <c r="BP3033" s="133"/>
      <c r="BQ3033" s="133"/>
    </row>
    <row r="3034">
      <c r="A3034" s="194" t="s">
        <v>8005</v>
      </c>
      <c r="B3034" s="125"/>
      <c r="C3034" s="126">
        <v>43896.0</v>
      </c>
      <c r="D3034" s="133"/>
      <c r="E3034" s="124" t="s">
        <v>41</v>
      </c>
      <c r="F3034" s="198">
        <v>1.0</v>
      </c>
      <c r="G3034" s="124" t="s">
        <v>32</v>
      </c>
      <c r="H3034" s="303">
        <v>1.0</v>
      </c>
      <c r="I3034" s="124" t="s">
        <v>33</v>
      </c>
      <c r="J3034" s="124" t="s">
        <v>268</v>
      </c>
      <c r="K3034" s="133"/>
      <c r="L3034" s="124" t="s">
        <v>790</v>
      </c>
      <c r="M3034" s="242" t="s">
        <v>8006</v>
      </c>
      <c r="N3034" s="233"/>
      <c r="O3034" s="124"/>
      <c r="P3034" s="133"/>
      <c r="Q3034" s="124"/>
      <c r="R3034" s="128"/>
      <c r="S3034" s="37"/>
      <c r="T3034" s="38"/>
      <c r="U3034" s="38"/>
      <c r="V3034" s="124" t="s">
        <v>33</v>
      </c>
      <c r="W3034" s="138"/>
      <c r="X3034" s="138"/>
      <c r="Y3034" s="233"/>
      <c r="Z3034" s="133"/>
      <c r="AA3034" s="133"/>
      <c r="AB3034" s="133"/>
      <c r="AC3034" s="133"/>
      <c r="AD3034" s="133"/>
      <c r="AE3034" s="133"/>
      <c r="AF3034" s="133"/>
      <c r="AG3034" s="133"/>
      <c r="AH3034" s="133"/>
      <c r="AI3034" s="133"/>
      <c r="AJ3034" s="133"/>
      <c r="AK3034" s="133"/>
      <c r="AL3034" s="133"/>
      <c r="AM3034" s="133"/>
      <c r="AN3034" s="133"/>
      <c r="AO3034" s="133"/>
      <c r="AP3034" s="133"/>
      <c r="AQ3034" s="133"/>
      <c r="AR3034" s="133"/>
      <c r="AS3034" s="133"/>
      <c r="AT3034" s="133"/>
      <c r="AU3034" s="133"/>
      <c r="AV3034" s="133"/>
      <c r="AW3034" s="133"/>
      <c r="AX3034" s="133"/>
      <c r="AY3034" s="133"/>
      <c r="AZ3034" s="133"/>
      <c r="BA3034" s="133"/>
      <c r="BB3034" s="133"/>
      <c r="BC3034" s="133"/>
      <c r="BD3034" s="133"/>
      <c r="BE3034" s="133"/>
      <c r="BF3034" s="133"/>
      <c r="BG3034" s="133"/>
      <c r="BH3034" s="133"/>
      <c r="BI3034" s="133"/>
      <c r="BJ3034" s="133"/>
      <c r="BK3034" s="133"/>
      <c r="BL3034" s="133"/>
      <c r="BM3034" s="133"/>
      <c r="BN3034" s="133"/>
      <c r="BO3034" s="133"/>
      <c r="BP3034" s="133"/>
      <c r="BQ3034" s="133"/>
    </row>
    <row r="3035">
      <c r="A3035" s="194" t="s">
        <v>8007</v>
      </c>
      <c r="B3035" s="125"/>
      <c r="C3035" s="126">
        <v>43896.0</v>
      </c>
      <c r="D3035" s="133"/>
      <c r="E3035" s="124" t="s">
        <v>41</v>
      </c>
      <c r="F3035" s="198">
        <v>1.0</v>
      </c>
      <c r="G3035" s="124" t="s">
        <v>32</v>
      </c>
      <c r="H3035" s="303">
        <v>1.0</v>
      </c>
      <c r="I3035" s="124" t="s">
        <v>33</v>
      </c>
      <c r="J3035" s="124" t="s">
        <v>144</v>
      </c>
      <c r="K3035" s="133"/>
      <c r="L3035" s="124" t="s">
        <v>807</v>
      </c>
      <c r="M3035" s="242" t="s">
        <v>8008</v>
      </c>
      <c r="N3035" s="233"/>
      <c r="O3035" s="124"/>
      <c r="P3035" s="133"/>
      <c r="Q3035" s="124"/>
      <c r="R3035" s="128"/>
      <c r="S3035" s="37"/>
      <c r="T3035" s="38"/>
      <c r="U3035" s="38"/>
      <c r="V3035" s="124" t="s">
        <v>33</v>
      </c>
      <c r="W3035" s="138"/>
      <c r="X3035" s="138"/>
      <c r="Y3035" s="233"/>
      <c r="Z3035" s="133"/>
      <c r="AA3035" s="133"/>
      <c r="AB3035" s="133"/>
      <c r="AC3035" s="133"/>
      <c r="AD3035" s="133"/>
      <c r="AE3035" s="133"/>
      <c r="AF3035" s="133"/>
      <c r="AG3035" s="133"/>
      <c r="AH3035" s="133"/>
      <c r="AI3035" s="133"/>
      <c r="AJ3035" s="133"/>
      <c r="AK3035" s="133"/>
      <c r="AL3035" s="133"/>
      <c r="AM3035" s="133"/>
      <c r="AN3035" s="133"/>
      <c r="AO3035" s="133"/>
      <c r="AP3035" s="133"/>
      <c r="AQ3035" s="133"/>
      <c r="AR3035" s="133"/>
      <c r="AS3035" s="133"/>
      <c r="AT3035" s="133"/>
      <c r="AU3035" s="133"/>
      <c r="AV3035" s="133"/>
      <c r="AW3035" s="133"/>
      <c r="AX3035" s="133"/>
      <c r="AY3035" s="133"/>
      <c r="AZ3035" s="133"/>
      <c r="BA3035" s="133"/>
      <c r="BB3035" s="133"/>
      <c r="BC3035" s="133"/>
      <c r="BD3035" s="133"/>
      <c r="BE3035" s="133"/>
      <c r="BF3035" s="133"/>
      <c r="BG3035" s="133"/>
      <c r="BH3035" s="133"/>
      <c r="BI3035" s="133"/>
      <c r="BJ3035" s="133"/>
      <c r="BK3035" s="133"/>
      <c r="BL3035" s="133"/>
      <c r="BM3035" s="133"/>
      <c r="BN3035" s="133"/>
      <c r="BO3035" s="133"/>
      <c r="BP3035" s="133"/>
      <c r="BQ3035" s="133"/>
    </row>
    <row r="3036">
      <c r="A3036" s="194" t="s">
        <v>8009</v>
      </c>
      <c r="B3036" s="125"/>
      <c r="C3036" s="126">
        <v>43896.0</v>
      </c>
      <c r="D3036" s="133"/>
      <c r="E3036" s="124" t="s">
        <v>41</v>
      </c>
      <c r="F3036" s="198">
        <v>1.0</v>
      </c>
      <c r="G3036" s="124" t="s">
        <v>32</v>
      </c>
      <c r="H3036" s="303">
        <v>1.0</v>
      </c>
      <c r="I3036" s="124" t="s">
        <v>33</v>
      </c>
      <c r="J3036" s="124" t="s">
        <v>98</v>
      </c>
      <c r="K3036" s="133"/>
      <c r="L3036" s="124" t="s">
        <v>76</v>
      </c>
      <c r="M3036" s="305" t="s">
        <v>8010</v>
      </c>
      <c r="N3036" s="233"/>
      <c r="O3036" s="124"/>
      <c r="P3036" s="133"/>
      <c r="Q3036" s="124"/>
      <c r="R3036" s="128"/>
      <c r="S3036" s="37"/>
      <c r="T3036" s="38"/>
      <c r="U3036" s="38"/>
      <c r="V3036" s="124" t="s">
        <v>33</v>
      </c>
      <c r="W3036" s="138"/>
      <c r="X3036" s="138"/>
      <c r="Y3036" s="233"/>
      <c r="Z3036" s="133"/>
      <c r="AA3036" s="133"/>
      <c r="AB3036" s="133"/>
      <c r="AC3036" s="133"/>
      <c r="AD3036" s="133"/>
      <c r="AE3036" s="133"/>
      <c r="AF3036" s="133"/>
      <c r="AG3036" s="133"/>
      <c r="AH3036" s="133"/>
      <c r="AI3036" s="133"/>
      <c r="AJ3036" s="133"/>
      <c r="AK3036" s="133"/>
      <c r="AL3036" s="133"/>
      <c r="AM3036" s="133"/>
      <c r="AN3036" s="133"/>
      <c r="AO3036" s="133"/>
      <c r="AP3036" s="133"/>
      <c r="AQ3036" s="133"/>
      <c r="AR3036" s="133"/>
      <c r="AS3036" s="133"/>
      <c r="AT3036" s="133"/>
      <c r="AU3036" s="133"/>
      <c r="AV3036" s="133"/>
      <c r="AW3036" s="133"/>
      <c r="AX3036" s="133"/>
      <c r="AY3036" s="133"/>
      <c r="AZ3036" s="133"/>
      <c r="BA3036" s="133"/>
      <c r="BB3036" s="133"/>
      <c r="BC3036" s="133"/>
      <c r="BD3036" s="133"/>
      <c r="BE3036" s="133"/>
      <c r="BF3036" s="133"/>
      <c r="BG3036" s="133"/>
      <c r="BH3036" s="133"/>
      <c r="BI3036" s="133"/>
      <c r="BJ3036" s="133"/>
      <c r="BK3036" s="133"/>
      <c r="BL3036" s="133"/>
      <c r="BM3036" s="133"/>
      <c r="BN3036" s="133"/>
      <c r="BO3036" s="133"/>
      <c r="BP3036" s="133"/>
      <c r="BQ3036" s="133"/>
    </row>
    <row r="3037">
      <c r="A3037" s="194" t="s">
        <v>8011</v>
      </c>
      <c r="B3037" s="125"/>
      <c r="C3037" s="126">
        <v>43900.0</v>
      </c>
      <c r="D3037" s="133"/>
      <c r="E3037" s="124" t="s">
        <v>41</v>
      </c>
      <c r="F3037" s="198">
        <v>1.0</v>
      </c>
      <c r="G3037" s="124" t="s">
        <v>32</v>
      </c>
      <c r="H3037" s="303">
        <v>1.0</v>
      </c>
      <c r="I3037" s="124" t="s">
        <v>33</v>
      </c>
      <c r="J3037" s="124" t="s">
        <v>93</v>
      </c>
      <c r="K3037" s="133"/>
      <c r="L3037" s="124" t="s">
        <v>119</v>
      </c>
      <c r="M3037" s="242" t="s">
        <v>8012</v>
      </c>
      <c r="N3037" s="233"/>
      <c r="O3037" s="124"/>
      <c r="P3037" s="133"/>
      <c r="Q3037" s="124"/>
      <c r="R3037" s="128"/>
      <c r="S3037" s="37"/>
      <c r="T3037" s="38"/>
      <c r="U3037" s="38"/>
      <c r="V3037" s="124" t="s">
        <v>33</v>
      </c>
      <c r="W3037" s="138"/>
      <c r="X3037" s="138"/>
      <c r="Y3037" s="233"/>
      <c r="Z3037" s="133"/>
      <c r="AA3037" s="133"/>
      <c r="AB3037" s="133"/>
      <c r="AC3037" s="133"/>
      <c r="AD3037" s="133"/>
      <c r="AE3037" s="133"/>
      <c r="AF3037" s="133"/>
      <c r="AG3037" s="133"/>
      <c r="AH3037" s="133"/>
      <c r="AI3037" s="133"/>
      <c r="AJ3037" s="133"/>
      <c r="AK3037" s="133"/>
      <c r="AL3037" s="133"/>
      <c r="AM3037" s="133"/>
      <c r="AN3037" s="133"/>
      <c r="AO3037" s="133"/>
      <c r="AP3037" s="133"/>
      <c r="AQ3037" s="133"/>
      <c r="AR3037" s="133"/>
      <c r="AS3037" s="133"/>
      <c r="AT3037" s="133"/>
      <c r="AU3037" s="133"/>
      <c r="AV3037" s="133"/>
      <c r="AW3037" s="133"/>
      <c r="AX3037" s="133"/>
      <c r="AY3037" s="133"/>
      <c r="AZ3037" s="133"/>
      <c r="BA3037" s="133"/>
      <c r="BB3037" s="133"/>
      <c r="BC3037" s="133"/>
      <c r="BD3037" s="133"/>
      <c r="BE3037" s="133"/>
      <c r="BF3037" s="133"/>
      <c r="BG3037" s="133"/>
      <c r="BH3037" s="133"/>
      <c r="BI3037" s="133"/>
      <c r="BJ3037" s="133"/>
      <c r="BK3037" s="133"/>
      <c r="BL3037" s="133"/>
      <c r="BM3037" s="133"/>
      <c r="BN3037" s="133"/>
      <c r="BO3037" s="133"/>
      <c r="BP3037" s="133"/>
      <c r="BQ3037" s="133"/>
    </row>
    <row r="3038">
      <c r="A3038" s="194" t="s">
        <v>8013</v>
      </c>
      <c r="B3038" s="125"/>
      <c r="C3038" s="126">
        <v>43900.0</v>
      </c>
      <c r="D3038" s="133"/>
      <c r="E3038" s="124" t="s">
        <v>41</v>
      </c>
      <c r="F3038" s="198">
        <v>1.0</v>
      </c>
      <c r="G3038" s="124">
        <v>1.0</v>
      </c>
      <c r="H3038" s="303">
        <v>1.0</v>
      </c>
      <c r="I3038" s="124" t="s">
        <v>33</v>
      </c>
      <c r="J3038" s="124" t="s">
        <v>115</v>
      </c>
      <c r="K3038" s="133"/>
      <c r="L3038" s="124" t="s">
        <v>8014</v>
      </c>
      <c r="M3038" s="242" t="s">
        <v>8015</v>
      </c>
      <c r="N3038" s="233"/>
      <c r="O3038" s="124"/>
      <c r="P3038" s="133"/>
      <c r="Q3038" s="124"/>
      <c r="R3038" s="128"/>
      <c r="S3038" s="37"/>
      <c r="T3038" s="38"/>
      <c r="U3038" s="38"/>
      <c r="V3038" s="124" t="s">
        <v>33</v>
      </c>
      <c r="W3038" s="138"/>
      <c r="X3038" s="138"/>
      <c r="Y3038" s="233"/>
      <c r="Z3038" s="133"/>
      <c r="AA3038" s="133"/>
      <c r="AB3038" s="133"/>
      <c r="AC3038" s="133"/>
      <c r="AD3038" s="133"/>
      <c r="AE3038" s="133"/>
      <c r="AF3038" s="133"/>
      <c r="AG3038" s="133"/>
      <c r="AH3038" s="133"/>
      <c r="AI3038" s="133"/>
      <c r="AJ3038" s="133"/>
      <c r="AK3038" s="133"/>
      <c r="AL3038" s="133"/>
      <c r="AM3038" s="133"/>
      <c r="AN3038" s="133"/>
      <c r="AO3038" s="133"/>
      <c r="AP3038" s="133"/>
      <c r="AQ3038" s="133"/>
      <c r="AR3038" s="133"/>
      <c r="AS3038" s="133"/>
      <c r="AT3038" s="133"/>
      <c r="AU3038" s="133"/>
      <c r="AV3038" s="133"/>
      <c r="AW3038" s="133"/>
      <c r="AX3038" s="133"/>
      <c r="AY3038" s="133"/>
      <c r="AZ3038" s="133"/>
      <c r="BA3038" s="133"/>
      <c r="BB3038" s="133"/>
      <c r="BC3038" s="133"/>
      <c r="BD3038" s="133"/>
      <c r="BE3038" s="133"/>
      <c r="BF3038" s="133"/>
      <c r="BG3038" s="133"/>
      <c r="BH3038" s="133"/>
      <c r="BI3038" s="133"/>
      <c r="BJ3038" s="133"/>
      <c r="BK3038" s="133"/>
      <c r="BL3038" s="133"/>
      <c r="BM3038" s="133"/>
      <c r="BN3038" s="133"/>
      <c r="BO3038" s="133"/>
      <c r="BP3038" s="133"/>
      <c r="BQ3038" s="133"/>
    </row>
    <row r="3039">
      <c r="A3039" s="194" t="s">
        <v>8016</v>
      </c>
      <c r="B3039" s="125"/>
      <c r="C3039" s="126">
        <v>43900.0</v>
      </c>
      <c r="D3039" s="133"/>
      <c r="E3039" s="124" t="s">
        <v>41</v>
      </c>
      <c r="F3039" s="198">
        <v>1.0</v>
      </c>
      <c r="G3039" s="124">
        <v>4.0</v>
      </c>
      <c r="H3039" s="303">
        <v>4.0</v>
      </c>
      <c r="I3039" s="124" t="s">
        <v>33</v>
      </c>
      <c r="J3039" s="124" t="s">
        <v>98</v>
      </c>
      <c r="K3039" s="133"/>
      <c r="L3039" s="124" t="s">
        <v>76</v>
      </c>
      <c r="M3039" s="242" t="s">
        <v>8017</v>
      </c>
      <c r="N3039" s="233"/>
      <c r="O3039" s="124"/>
      <c r="P3039" s="133"/>
      <c r="Q3039" s="124"/>
      <c r="R3039" s="128"/>
      <c r="S3039" s="37"/>
      <c r="T3039" s="38"/>
      <c r="U3039" s="38"/>
      <c r="V3039" s="124" t="s">
        <v>33</v>
      </c>
      <c r="W3039" s="138"/>
      <c r="X3039" s="138"/>
      <c r="Y3039" s="233"/>
      <c r="Z3039" s="133"/>
      <c r="AA3039" s="133"/>
      <c r="AB3039" s="133"/>
      <c r="AC3039" s="133"/>
      <c r="AD3039" s="133"/>
      <c r="AE3039" s="133"/>
      <c r="AF3039" s="133"/>
      <c r="AG3039" s="133"/>
      <c r="AH3039" s="133"/>
      <c r="AI3039" s="133"/>
      <c r="AJ3039" s="133"/>
      <c r="AK3039" s="133"/>
      <c r="AL3039" s="133"/>
      <c r="AM3039" s="133"/>
      <c r="AN3039" s="133"/>
      <c r="AO3039" s="133"/>
      <c r="AP3039" s="133"/>
      <c r="AQ3039" s="133"/>
      <c r="AR3039" s="133"/>
      <c r="AS3039" s="133"/>
      <c r="AT3039" s="133"/>
      <c r="AU3039" s="133"/>
      <c r="AV3039" s="133"/>
      <c r="AW3039" s="133"/>
      <c r="AX3039" s="133"/>
      <c r="AY3039" s="133"/>
      <c r="AZ3039" s="133"/>
      <c r="BA3039" s="133"/>
      <c r="BB3039" s="133"/>
      <c r="BC3039" s="133"/>
      <c r="BD3039" s="133"/>
      <c r="BE3039" s="133"/>
      <c r="BF3039" s="133"/>
      <c r="BG3039" s="133"/>
      <c r="BH3039" s="133"/>
      <c r="BI3039" s="133"/>
      <c r="BJ3039" s="133"/>
      <c r="BK3039" s="133"/>
      <c r="BL3039" s="133"/>
      <c r="BM3039" s="133"/>
      <c r="BN3039" s="133"/>
      <c r="BO3039" s="133"/>
      <c r="BP3039" s="133"/>
      <c r="BQ3039" s="133"/>
    </row>
    <row r="3040">
      <c r="A3040" s="194" t="s">
        <v>8018</v>
      </c>
      <c r="B3040" s="125"/>
      <c r="C3040" s="126">
        <v>43901.0</v>
      </c>
      <c r="D3040" s="133"/>
      <c r="E3040" s="124" t="s">
        <v>41</v>
      </c>
      <c r="F3040" s="198">
        <v>1.0</v>
      </c>
      <c r="G3040" s="124">
        <v>2.0</v>
      </c>
      <c r="H3040" s="303">
        <v>2.0</v>
      </c>
      <c r="I3040" s="124" t="s">
        <v>33</v>
      </c>
      <c r="J3040" s="124" t="s">
        <v>93</v>
      </c>
      <c r="K3040" s="133"/>
      <c r="L3040" s="124" t="s">
        <v>1203</v>
      </c>
      <c r="M3040" s="242" t="s">
        <v>8019</v>
      </c>
      <c r="N3040" s="233"/>
      <c r="O3040" s="124"/>
      <c r="P3040" s="133"/>
      <c r="Q3040" s="124"/>
      <c r="R3040" s="128"/>
      <c r="S3040" s="37"/>
      <c r="T3040" s="38"/>
      <c r="U3040" s="38"/>
      <c r="V3040" s="124" t="s">
        <v>33</v>
      </c>
      <c r="W3040" s="138"/>
      <c r="X3040" s="138"/>
      <c r="Y3040" s="233"/>
      <c r="Z3040" s="133"/>
      <c r="AA3040" s="133"/>
      <c r="AB3040" s="133"/>
      <c r="AC3040" s="133"/>
      <c r="AD3040" s="133"/>
      <c r="AE3040" s="133"/>
      <c r="AF3040" s="133"/>
      <c r="AG3040" s="133"/>
      <c r="AH3040" s="133"/>
      <c r="AI3040" s="133"/>
      <c r="AJ3040" s="133"/>
      <c r="AK3040" s="133"/>
      <c r="AL3040" s="133"/>
      <c r="AM3040" s="133"/>
      <c r="AN3040" s="133"/>
      <c r="AO3040" s="133"/>
      <c r="AP3040" s="133"/>
      <c r="AQ3040" s="133"/>
      <c r="AR3040" s="133"/>
      <c r="AS3040" s="133"/>
      <c r="AT3040" s="133"/>
      <c r="AU3040" s="133"/>
      <c r="AV3040" s="133"/>
      <c r="AW3040" s="133"/>
      <c r="AX3040" s="133"/>
      <c r="AY3040" s="133"/>
      <c r="AZ3040" s="133"/>
      <c r="BA3040" s="133"/>
      <c r="BB3040" s="133"/>
      <c r="BC3040" s="133"/>
      <c r="BD3040" s="133"/>
      <c r="BE3040" s="133"/>
      <c r="BF3040" s="133"/>
      <c r="BG3040" s="133"/>
      <c r="BH3040" s="133"/>
      <c r="BI3040" s="133"/>
      <c r="BJ3040" s="133"/>
      <c r="BK3040" s="133"/>
      <c r="BL3040" s="133"/>
      <c r="BM3040" s="133"/>
      <c r="BN3040" s="133"/>
      <c r="BO3040" s="133"/>
      <c r="BP3040" s="133"/>
      <c r="BQ3040" s="133"/>
    </row>
    <row r="3041">
      <c r="A3041" s="194" t="s">
        <v>8020</v>
      </c>
      <c r="B3041" s="125"/>
      <c r="C3041" s="126">
        <v>43902.0</v>
      </c>
      <c r="D3041" s="133"/>
      <c r="E3041" s="124" t="s">
        <v>41</v>
      </c>
      <c r="F3041" s="198">
        <v>1.0</v>
      </c>
      <c r="G3041" s="124" t="s">
        <v>32</v>
      </c>
      <c r="H3041" s="303">
        <v>1.0</v>
      </c>
      <c r="I3041" s="124" t="s">
        <v>33</v>
      </c>
      <c r="J3041" s="124" t="s">
        <v>410</v>
      </c>
      <c r="K3041" s="133"/>
      <c r="L3041" s="124" t="s">
        <v>119</v>
      </c>
      <c r="M3041" s="242" t="s">
        <v>8021</v>
      </c>
      <c r="N3041" s="233"/>
      <c r="O3041" s="124"/>
      <c r="P3041" s="133"/>
      <c r="Q3041" s="124"/>
      <c r="R3041" s="128"/>
      <c r="S3041" s="37"/>
      <c r="T3041" s="38"/>
      <c r="U3041" s="38"/>
      <c r="V3041" s="124" t="s">
        <v>33</v>
      </c>
      <c r="W3041" s="138"/>
      <c r="X3041" s="138"/>
      <c r="Y3041" s="233"/>
      <c r="Z3041" s="133"/>
      <c r="AA3041" s="133"/>
      <c r="AB3041" s="133"/>
      <c r="AC3041" s="133"/>
      <c r="AD3041" s="133"/>
      <c r="AE3041" s="133"/>
      <c r="AF3041" s="133"/>
      <c r="AG3041" s="133"/>
      <c r="AH3041" s="133"/>
      <c r="AI3041" s="133"/>
      <c r="AJ3041" s="133"/>
      <c r="AK3041" s="133"/>
      <c r="AL3041" s="133"/>
      <c r="AM3041" s="133"/>
      <c r="AN3041" s="133"/>
      <c r="AO3041" s="133"/>
      <c r="AP3041" s="133"/>
      <c r="AQ3041" s="133"/>
      <c r="AR3041" s="133"/>
      <c r="AS3041" s="133"/>
      <c r="AT3041" s="133"/>
      <c r="AU3041" s="133"/>
      <c r="AV3041" s="133"/>
      <c r="AW3041" s="133"/>
      <c r="AX3041" s="133"/>
      <c r="AY3041" s="133"/>
      <c r="AZ3041" s="133"/>
      <c r="BA3041" s="133"/>
      <c r="BB3041" s="133"/>
      <c r="BC3041" s="133"/>
      <c r="BD3041" s="133"/>
      <c r="BE3041" s="133"/>
      <c r="BF3041" s="133"/>
      <c r="BG3041" s="133"/>
      <c r="BH3041" s="133"/>
      <c r="BI3041" s="133"/>
      <c r="BJ3041" s="133"/>
      <c r="BK3041" s="133"/>
      <c r="BL3041" s="133"/>
      <c r="BM3041" s="133"/>
      <c r="BN3041" s="133"/>
      <c r="BO3041" s="133"/>
      <c r="BP3041" s="133"/>
      <c r="BQ3041" s="133"/>
    </row>
    <row r="3042">
      <c r="A3042" s="194" t="s">
        <v>8022</v>
      </c>
      <c r="B3042" s="125"/>
      <c r="C3042" s="126">
        <v>43902.0</v>
      </c>
      <c r="D3042" s="133"/>
      <c r="E3042" s="124" t="s">
        <v>41</v>
      </c>
      <c r="F3042" s="198">
        <v>1.0</v>
      </c>
      <c r="G3042" s="124" t="s">
        <v>32</v>
      </c>
      <c r="H3042" s="303">
        <v>1.0</v>
      </c>
      <c r="I3042" s="124" t="s">
        <v>33</v>
      </c>
      <c r="J3042" s="124" t="s">
        <v>1111</v>
      </c>
      <c r="K3042" s="133"/>
      <c r="L3042" s="124" t="s">
        <v>790</v>
      </c>
      <c r="M3042" s="242" t="s">
        <v>8023</v>
      </c>
      <c r="N3042" s="233"/>
      <c r="O3042" s="124"/>
      <c r="P3042" s="133"/>
      <c r="Q3042" s="124"/>
      <c r="R3042" s="128"/>
      <c r="S3042" s="37"/>
      <c r="T3042" s="38"/>
      <c r="U3042" s="38" t="b">
        <f>countif(A$4:A4658, A3042)&gt;1</f>
        <v>0</v>
      </c>
      <c r="V3042" s="124" t="s">
        <v>8024</v>
      </c>
      <c r="W3042" s="138"/>
      <c r="X3042" s="138"/>
      <c r="Y3042" s="233"/>
      <c r="Z3042" s="133"/>
      <c r="AA3042" s="133"/>
      <c r="AB3042" s="133"/>
      <c r="AC3042" s="133"/>
      <c r="AD3042" s="133"/>
      <c r="AE3042" s="133"/>
      <c r="AF3042" s="133"/>
      <c r="AG3042" s="133"/>
      <c r="AH3042" s="133"/>
      <c r="AI3042" s="133"/>
      <c r="AJ3042" s="133"/>
      <c r="AK3042" s="133"/>
      <c r="AL3042" s="133"/>
      <c r="AM3042" s="133"/>
      <c r="AN3042" s="133"/>
      <c r="AO3042" s="133"/>
      <c r="AP3042" s="133"/>
      <c r="AQ3042" s="133"/>
      <c r="AR3042" s="133"/>
      <c r="AS3042" s="133"/>
      <c r="AT3042" s="133"/>
      <c r="AU3042" s="133"/>
      <c r="AV3042" s="133"/>
      <c r="AW3042" s="133"/>
      <c r="AX3042" s="133"/>
      <c r="AY3042" s="133"/>
      <c r="AZ3042" s="133"/>
      <c r="BA3042" s="133"/>
      <c r="BB3042" s="133"/>
      <c r="BC3042" s="133"/>
      <c r="BD3042" s="133"/>
      <c r="BE3042" s="133"/>
      <c r="BF3042" s="133"/>
      <c r="BG3042" s="133"/>
      <c r="BH3042" s="133"/>
      <c r="BI3042" s="133"/>
      <c r="BJ3042" s="133"/>
      <c r="BK3042" s="133"/>
      <c r="BL3042" s="133"/>
      <c r="BM3042" s="133"/>
      <c r="BN3042" s="133"/>
      <c r="BO3042" s="133"/>
      <c r="BP3042" s="133"/>
      <c r="BQ3042" s="133"/>
    </row>
    <row r="3043">
      <c r="A3043" s="194" t="s">
        <v>8025</v>
      </c>
      <c r="B3043" s="125"/>
      <c r="C3043" s="126">
        <v>43902.0</v>
      </c>
      <c r="D3043" s="133"/>
      <c r="E3043" s="124" t="s">
        <v>41</v>
      </c>
      <c r="F3043" s="198">
        <v>1.0</v>
      </c>
      <c r="G3043" s="124" t="s">
        <v>32</v>
      </c>
      <c r="H3043" s="303">
        <v>1.0</v>
      </c>
      <c r="I3043" s="124" t="s">
        <v>33</v>
      </c>
      <c r="J3043" s="124" t="s">
        <v>93</v>
      </c>
      <c r="K3043" s="133"/>
      <c r="L3043" s="124" t="s">
        <v>69</v>
      </c>
      <c r="M3043" s="242" t="s">
        <v>8026</v>
      </c>
      <c r="N3043" s="233"/>
      <c r="O3043" s="124"/>
      <c r="P3043" s="133"/>
      <c r="Q3043" s="124"/>
      <c r="R3043" s="128"/>
      <c r="S3043" s="37"/>
      <c r="T3043" s="38"/>
      <c r="U3043" s="38"/>
      <c r="V3043" s="124" t="s">
        <v>33</v>
      </c>
      <c r="W3043" s="138"/>
      <c r="X3043" s="138"/>
      <c r="Y3043" s="233"/>
      <c r="Z3043" s="133"/>
      <c r="AA3043" s="133"/>
      <c r="AB3043" s="133"/>
      <c r="AC3043" s="133"/>
      <c r="AD3043" s="133"/>
      <c r="AE3043" s="133"/>
      <c r="AF3043" s="133"/>
      <c r="AG3043" s="133"/>
      <c r="AH3043" s="133"/>
      <c r="AI3043" s="133"/>
      <c r="AJ3043" s="133"/>
      <c r="AK3043" s="133"/>
      <c r="AL3043" s="133"/>
      <c r="AM3043" s="133"/>
      <c r="AN3043" s="133"/>
      <c r="AO3043" s="133"/>
      <c r="AP3043" s="133"/>
      <c r="AQ3043" s="133"/>
      <c r="AR3043" s="133"/>
      <c r="AS3043" s="133"/>
      <c r="AT3043" s="133"/>
      <c r="AU3043" s="133"/>
      <c r="AV3043" s="133"/>
      <c r="AW3043" s="133"/>
      <c r="AX3043" s="133"/>
      <c r="AY3043" s="133"/>
      <c r="AZ3043" s="133"/>
      <c r="BA3043" s="133"/>
      <c r="BB3043" s="133"/>
      <c r="BC3043" s="133"/>
      <c r="BD3043" s="133"/>
      <c r="BE3043" s="133"/>
      <c r="BF3043" s="133"/>
      <c r="BG3043" s="133"/>
      <c r="BH3043" s="133"/>
      <c r="BI3043" s="133"/>
      <c r="BJ3043" s="133"/>
      <c r="BK3043" s="133"/>
      <c r="BL3043" s="133"/>
      <c r="BM3043" s="133"/>
      <c r="BN3043" s="133"/>
      <c r="BO3043" s="133"/>
      <c r="BP3043" s="133"/>
      <c r="BQ3043" s="133"/>
    </row>
    <row r="3044">
      <c r="A3044" s="194" t="s">
        <v>8027</v>
      </c>
      <c r="B3044" s="125"/>
      <c r="C3044" s="126">
        <v>43907.0</v>
      </c>
      <c r="D3044" s="133"/>
      <c r="E3044" s="124" t="s">
        <v>31</v>
      </c>
      <c r="F3044" s="198">
        <v>1.0</v>
      </c>
      <c r="G3044" s="124" t="s">
        <v>32</v>
      </c>
      <c r="H3044" s="303">
        <v>1.0</v>
      </c>
      <c r="I3044" s="124" t="s">
        <v>33</v>
      </c>
      <c r="J3044" s="124" t="s">
        <v>47</v>
      </c>
      <c r="K3044" s="133"/>
      <c r="L3044" s="124" t="s">
        <v>119</v>
      </c>
      <c r="M3044" s="242" t="s">
        <v>8028</v>
      </c>
      <c r="N3044" s="219" t="s">
        <v>8029</v>
      </c>
      <c r="O3044" s="128"/>
      <c r="P3044" s="133"/>
      <c r="Q3044" s="124"/>
      <c r="R3044" s="128"/>
      <c r="S3044" s="37"/>
      <c r="T3044" s="38"/>
      <c r="U3044" s="38"/>
      <c r="V3044" s="124" t="s">
        <v>33</v>
      </c>
      <c r="W3044" s="219" t="s">
        <v>8030</v>
      </c>
      <c r="X3044" s="219" t="s">
        <v>8031</v>
      </c>
      <c r="Y3044" s="138"/>
      <c r="Z3044" s="133"/>
      <c r="AA3044" s="133"/>
      <c r="AB3044" s="133"/>
      <c r="AC3044" s="133"/>
      <c r="AD3044" s="133"/>
      <c r="AE3044" s="133"/>
      <c r="AF3044" s="133"/>
      <c r="AG3044" s="133"/>
      <c r="AH3044" s="133"/>
      <c r="AI3044" s="133"/>
      <c r="AJ3044" s="133"/>
      <c r="AK3044" s="133"/>
      <c r="AL3044" s="133"/>
      <c r="AM3044" s="133"/>
      <c r="AN3044" s="133"/>
      <c r="AO3044" s="133"/>
      <c r="AP3044" s="133"/>
      <c r="AQ3044" s="133"/>
      <c r="AR3044" s="133"/>
      <c r="AS3044" s="133"/>
      <c r="AT3044" s="133"/>
      <c r="AU3044" s="133"/>
      <c r="AV3044" s="133"/>
      <c r="AW3044" s="133"/>
      <c r="AX3044" s="133"/>
      <c r="AY3044" s="133"/>
      <c r="AZ3044" s="133"/>
      <c r="BA3044" s="133"/>
      <c r="BB3044" s="133"/>
      <c r="BC3044" s="133"/>
      <c r="BD3044" s="133"/>
      <c r="BE3044" s="133"/>
      <c r="BF3044" s="133"/>
      <c r="BG3044" s="133"/>
      <c r="BH3044" s="133"/>
      <c r="BI3044" s="133"/>
      <c r="BJ3044" s="133"/>
      <c r="BK3044" s="133"/>
      <c r="BL3044" s="133"/>
      <c r="BM3044" s="133"/>
      <c r="BN3044" s="133"/>
      <c r="BO3044" s="133"/>
      <c r="BP3044" s="133"/>
      <c r="BQ3044" s="133"/>
    </row>
    <row r="3045">
      <c r="A3045" s="194" t="s">
        <v>8032</v>
      </c>
      <c r="B3045" s="125"/>
      <c r="C3045" s="126">
        <v>43908.0</v>
      </c>
      <c r="D3045" s="133"/>
      <c r="E3045" s="124" t="s">
        <v>41</v>
      </c>
      <c r="F3045" s="198">
        <v>1.0</v>
      </c>
      <c r="G3045" s="124" t="s">
        <v>32</v>
      </c>
      <c r="H3045" s="303">
        <v>1.0</v>
      </c>
      <c r="I3045" s="124" t="s">
        <v>33</v>
      </c>
      <c r="J3045" s="124" t="s">
        <v>147</v>
      </c>
      <c r="K3045" s="133"/>
      <c r="L3045" s="124" t="s">
        <v>119</v>
      </c>
      <c r="M3045" s="242" t="s">
        <v>8033</v>
      </c>
      <c r="N3045" s="233"/>
      <c r="O3045" s="124"/>
      <c r="P3045" s="133"/>
      <c r="Q3045" s="124"/>
      <c r="R3045" s="128"/>
      <c r="S3045" s="37"/>
      <c r="T3045" s="38"/>
      <c r="U3045" s="38"/>
      <c r="V3045" s="124" t="s">
        <v>33</v>
      </c>
      <c r="W3045" s="138"/>
      <c r="X3045" s="138"/>
      <c r="Y3045" s="233"/>
      <c r="Z3045" s="133"/>
      <c r="AA3045" s="133"/>
      <c r="AB3045" s="133"/>
      <c r="AC3045" s="133"/>
      <c r="AD3045" s="133"/>
      <c r="AE3045" s="133"/>
      <c r="AF3045" s="133"/>
      <c r="AG3045" s="133"/>
      <c r="AH3045" s="133"/>
      <c r="AI3045" s="133"/>
      <c r="AJ3045" s="133"/>
      <c r="AK3045" s="133"/>
      <c r="AL3045" s="133"/>
      <c r="AM3045" s="133"/>
      <c r="AN3045" s="133"/>
      <c r="AO3045" s="133"/>
      <c r="AP3045" s="133"/>
      <c r="AQ3045" s="133"/>
      <c r="AR3045" s="133"/>
      <c r="AS3045" s="133"/>
      <c r="AT3045" s="133"/>
      <c r="AU3045" s="133"/>
      <c r="AV3045" s="133"/>
      <c r="AW3045" s="133"/>
      <c r="AX3045" s="133"/>
      <c r="AY3045" s="133"/>
      <c r="AZ3045" s="133"/>
      <c r="BA3045" s="133"/>
      <c r="BB3045" s="133"/>
      <c r="BC3045" s="133"/>
      <c r="BD3045" s="133"/>
      <c r="BE3045" s="133"/>
      <c r="BF3045" s="133"/>
      <c r="BG3045" s="133"/>
      <c r="BH3045" s="133"/>
      <c r="BI3045" s="133"/>
      <c r="BJ3045" s="133"/>
      <c r="BK3045" s="133"/>
      <c r="BL3045" s="133"/>
      <c r="BM3045" s="133"/>
      <c r="BN3045" s="133"/>
      <c r="BO3045" s="133"/>
      <c r="BP3045" s="133"/>
      <c r="BQ3045" s="133"/>
    </row>
    <row r="3046">
      <c r="A3046" s="194" t="s">
        <v>8034</v>
      </c>
      <c r="B3046" s="125"/>
      <c r="C3046" s="126">
        <v>43909.0</v>
      </c>
      <c r="D3046" s="133"/>
      <c r="E3046" s="124" t="s">
        <v>41</v>
      </c>
      <c r="F3046" s="198">
        <v>1.0</v>
      </c>
      <c r="G3046" s="124" t="s">
        <v>32</v>
      </c>
      <c r="H3046" s="303">
        <v>1.0</v>
      </c>
      <c r="I3046" s="124" t="s">
        <v>33</v>
      </c>
      <c r="J3046" s="124" t="s">
        <v>47</v>
      </c>
      <c r="K3046" s="133"/>
      <c r="L3046" s="124" t="s">
        <v>119</v>
      </c>
      <c r="M3046" s="242" t="s">
        <v>8035</v>
      </c>
      <c r="N3046" s="233"/>
      <c r="O3046" s="124"/>
      <c r="P3046" s="133"/>
      <c r="Q3046" s="124">
        <v>1.0</v>
      </c>
      <c r="R3046" s="124"/>
      <c r="S3046" s="37"/>
      <c r="T3046" s="38"/>
      <c r="U3046" s="38"/>
      <c r="V3046" s="124" t="s">
        <v>33</v>
      </c>
      <c r="W3046" s="138"/>
      <c r="X3046" s="138"/>
      <c r="Y3046" s="233"/>
      <c r="Z3046" s="133"/>
      <c r="AA3046" s="133"/>
      <c r="AB3046" s="133"/>
      <c r="AC3046" s="133"/>
      <c r="AD3046" s="133"/>
      <c r="AE3046" s="133"/>
      <c r="AF3046" s="133"/>
      <c r="AG3046" s="133"/>
      <c r="AH3046" s="133"/>
      <c r="AI3046" s="133"/>
      <c r="AJ3046" s="133"/>
      <c r="AK3046" s="133"/>
      <c r="AL3046" s="133"/>
      <c r="AM3046" s="133"/>
      <c r="AN3046" s="133"/>
      <c r="AO3046" s="133"/>
      <c r="AP3046" s="133"/>
      <c r="AQ3046" s="133"/>
      <c r="AR3046" s="133"/>
      <c r="AS3046" s="133"/>
      <c r="AT3046" s="133"/>
      <c r="AU3046" s="133"/>
      <c r="AV3046" s="133"/>
      <c r="AW3046" s="133"/>
      <c r="AX3046" s="133"/>
      <c r="AY3046" s="133"/>
      <c r="AZ3046" s="133"/>
      <c r="BA3046" s="133"/>
      <c r="BB3046" s="133"/>
      <c r="BC3046" s="133"/>
      <c r="BD3046" s="133"/>
      <c r="BE3046" s="133"/>
      <c r="BF3046" s="133"/>
      <c r="BG3046" s="133"/>
      <c r="BH3046" s="133"/>
      <c r="BI3046" s="133"/>
      <c r="BJ3046" s="133"/>
      <c r="BK3046" s="133"/>
      <c r="BL3046" s="133"/>
      <c r="BM3046" s="133"/>
      <c r="BN3046" s="133"/>
      <c r="BO3046" s="133"/>
      <c r="BP3046" s="133"/>
      <c r="BQ3046" s="133"/>
    </row>
    <row r="3047">
      <c r="A3047" s="194" t="s">
        <v>8036</v>
      </c>
      <c r="B3047" s="125"/>
      <c r="C3047" s="126">
        <v>43909.0</v>
      </c>
      <c r="D3047" s="133"/>
      <c r="E3047" s="124" t="s">
        <v>41</v>
      </c>
      <c r="F3047" s="198">
        <v>1.0</v>
      </c>
      <c r="G3047" s="124" t="s">
        <v>32</v>
      </c>
      <c r="H3047" s="303">
        <v>1.0</v>
      </c>
      <c r="I3047" s="124" t="s">
        <v>33</v>
      </c>
      <c r="J3047" s="124" t="s">
        <v>460</v>
      </c>
      <c r="K3047" s="133"/>
      <c r="L3047" s="124" t="s">
        <v>119</v>
      </c>
      <c r="M3047" s="242" t="s">
        <v>8037</v>
      </c>
      <c r="N3047" s="233"/>
      <c r="O3047" s="124"/>
      <c r="P3047" s="133"/>
      <c r="Q3047" s="124">
        <v>1.0</v>
      </c>
      <c r="R3047" s="128"/>
      <c r="S3047" s="37"/>
      <c r="T3047" s="38"/>
      <c r="U3047" s="38"/>
      <c r="V3047" s="124" t="s">
        <v>33</v>
      </c>
      <c r="W3047" s="138"/>
      <c r="X3047" s="138"/>
      <c r="Y3047" s="233"/>
      <c r="Z3047" s="133"/>
      <c r="AA3047" s="133"/>
      <c r="AB3047" s="133"/>
      <c r="AC3047" s="133"/>
      <c r="AD3047" s="133"/>
      <c r="AE3047" s="133"/>
      <c r="AF3047" s="133"/>
      <c r="AG3047" s="133"/>
      <c r="AH3047" s="133"/>
      <c r="AI3047" s="133"/>
      <c r="AJ3047" s="133"/>
      <c r="AK3047" s="133"/>
      <c r="AL3047" s="133"/>
      <c r="AM3047" s="133"/>
      <c r="AN3047" s="133"/>
      <c r="AO3047" s="133"/>
      <c r="AP3047" s="133"/>
      <c r="AQ3047" s="133"/>
      <c r="AR3047" s="133"/>
      <c r="AS3047" s="133"/>
      <c r="AT3047" s="133"/>
      <c r="AU3047" s="133"/>
      <c r="AV3047" s="133"/>
      <c r="AW3047" s="133"/>
      <c r="AX3047" s="133"/>
      <c r="AY3047" s="133"/>
      <c r="AZ3047" s="133"/>
      <c r="BA3047" s="133"/>
      <c r="BB3047" s="133"/>
      <c r="BC3047" s="133"/>
      <c r="BD3047" s="133"/>
      <c r="BE3047" s="133"/>
      <c r="BF3047" s="133"/>
      <c r="BG3047" s="133"/>
      <c r="BH3047" s="133"/>
      <c r="BI3047" s="133"/>
      <c r="BJ3047" s="133"/>
      <c r="BK3047" s="133"/>
      <c r="BL3047" s="133"/>
      <c r="BM3047" s="133"/>
      <c r="BN3047" s="133"/>
      <c r="BO3047" s="133"/>
      <c r="BP3047" s="133"/>
      <c r="BQ3047" s="133"/>
    </row>
    <row r="3048">
      <c r="A3048" s="194" t="s">
        <v>8038</v>
      </c>
      <c r="B3048" s="125"/>
      <c r="C3048" s="126">
        <v>43916.0</v>
      </c>
      <c r="D3048" s="133"/>
      <c r="E3048" s="124" t="s">
        <v>41</v>
      </c>
      <c r="F3048" s="198">
        <v>1.0</v>
      </c>
      <c r="G3048" s="124" t="s">
        <v>32</v>
      </c>
      <c r="H3048" s="303">
        <v>1.0</v>
      </c>
      <c r="I3048" s="124" t="s">
        <v>33</v>
      </c>
      <c r="J3048" s="124" t="s">
        <v>55</v>
      </c>
      <c r="K3048" s="133"/>
      <c r="L3048" s="124" t="s">
        <v>76</v>
      </c>
      <c r="M3048" s="242" t="s">
        <v>8039</v>
      </c>
      <c r="N3048" s="233"/>
      <c r="O3048" s="124"/>
      <c r="P3048" s="133"/>
      <c r="Q3048" s="124"/>
      <c r="R3048" s="128"/>
      <c r="S3048" s="37"/>
      <c r="T3048" s="38"/>
      <c r="U3048" s="38"/>
      <c r="V3048" s="124" t="s">
        <v>33</v>
      </c>
      <c r="W3048" s="138"/>
      <c r="X3048" s="138"/>
      <c r="Y3048" s="233"/>
      <c r="Z3048" s="133"/>
      <c r="AA3048" s="133"/>
      <c r="AB3048" s="133"/>
      <c r="AC3048" s="133"/>
      <c r="AD3048" s="133"/>
      <c r="AE3048" s="133"/>
      <c r="AF3048" s="133"/>
      <c r="AG3048" s="133"/>
      <c r="AH3048" s="133"/>
      <c r="AI3048" s="133"/>
      <c r="AJ3048" s="133"/>
      <c r="AK3048" s="133"/>
      <c r="AL3048" s="133"/>
      <c r="AM3048" s="133"/>
      <c r="AN3048" s="133"/>
      <c r="AO3048" s="133"/>
      <c r="AP3048" s="133"/>
      <c r="AQ3048" s="133"/>
      <c r="AR3048" s="133"/>
      <c r="AS3048" s="133"/>
      <c r="AT3048" s="133"/>
      <c r="AU3048" s="133"/>
      <c r="AV3048" s="133"/>
      <c r="AW3048" s="133"/>
      <c r="AX3048" s="133"/>
      <c r="AY3048" s="133"/>
      <c r="AZ3048" s="133"/>
      <c r="BA3048" s="133"/>
      <c r="BB3048" s="133"/>
      <c r="BC3048" s="133"/>
      <c r="BD3048" s="133"/>
      <c r="BE3048" s="133"/>
      <c r="BF3048" s="133"/>
      <c r="BG3048" s="133"/>
      <c r="BH3048" s="133"/>
      <c r="BI3048" s="133"/>
      <c r="BJ3048" s="133"/>
      <c r="BK3048" s="133"/>
      <c r="BL3048" s="133"/>
      <c r="BM3048" s="133"/>
      <c r="BN3048" s="133"/>
      <c r="BO3048" s="133"/>
      <c r="BP3048" s="133"/>
      <c r="BQ3048" s="133"/>
    </row>
    <row r="3049">
      <c r="A3049" s="194" t="s">
        <v>8040</v>
      </c>
      <c r="B3049" s="125"/>
      <c r="C3049" s="126">
        <v>43921.0</v>
      </c>
      <c r="D3049" s="133"/>
      <c r="E3049" s="124" t="s">
        <v>41</v>
      </c>
      <c r="F3049" s="198">
        <v>90.0</v>
      </c>
      <c r="G3049" s="124">
        <v>110.0</v>
      </c>
      <c r="H3049" s="303">
        <v>110.0</v>
      </c>
      <c r="I3049" s="124" t="s">
        <v>40</v>
      </c>
      <c r="J3049" s="124"/>
      <c r="K3049" s="133"/>
      <c r="L3049" s="124" t="s">
        <v>8041</v>
      </c>
      <c r="M3049" s="305" t="s">
        <v>8042</v>
      </c>
      <c r="N3049" s="233"/>
      <c r="O3049" s="124"/>
      <c r="P3049" s="133"/>
      <c r="Q3049" s="124"/>
      <c r="R3049" s="128"/>
      <c r="S3049" s="37"/>
      <c r="T3049" s="38"/>
      <c r="U3049" s="38" t="b">
        <f>countif(A$4:A4658, A3049)&gt;1</f>
        <v>1</v>
      </c>
      <c r="V3049" s="124"/>
      <c r="W3049" s="138"/>
      <c r="X3049" s="138"/>
      <c r="Y3049" s="233"/>
      <c r="Z3049" s="133"/>
      <c r="AA3049" s="133"/>
      <c r="AB3049" s="133"/>
      <c r="AC3049" s="133"/>
      <c r="AD3049" s="133"/>
      <c r="AE3049" s="133"/>
      <c r="AF3049" s="133"/>
      <c r="AG3049" s="133"/>
      <c r="AH3049" s="133"/>
      <c r="AI3049" s="133"/>
      <c r="AJ3049" s="133"/>
      <c r="AK3049" s="133"/>
      <c r="AL3049" s="133"/>
      <c r="AM3049" s="133"/>
      <c r="AN3049" s="133"/>
      <c r="AO3049" s="133"/>
      <c r="AP3049" s="133"/>
      <c r="AQ3049" s="133"/>
      <c r="AR3049" s="133"/>
      <c r="AS3049" s="133"/>
      <c r="AT3049" s="133"/>
      <c r="AU3049" s="133"/>
      <c r="AV3049" s="133"/>
      <c r="AW3049" s="133"/>
      <c r="AX3049" s="133"/>
      <c r="AY3049" s="133"/>
      <c r="AZ3049" s="133"/>
      <c r="BA3049" s="133"/>
      <c r="BB3049" s="133"/>
      <c r="BC3049" s="133"/>
      <c r="BD3049" s="133"/>
      <c r="BE3049" s="133"/>
      <c r="BF3049" s="133"/>
      <c r="BG3049" s="133"/>
      <c r="BH3049" s="133"/>
      <c r="BI3049" s="133"/>
      <c r="BJ3049" s="133"/>
      <c r="BK3049" s="133"/>
      <c r="BL3049" s="133"/>
      <c r="BM3049" s="133"/>
      <c r="BN3049" s="133"/>
      <c r="BO3049" s="133"/>
      <c r="BP3049" s="133"/>
      <c r="BQ3049" s="133"/>
    </row>
    <row r="3050">
      <c r="A3050" s="194" t="s">
        <v>8040</v>
      </c>
      <c r="B3050" s="125"/>
      <c r="C3050" s="195">
        <v>43922.0</v>
      </c>
      <c r="D3050" s="133"/>
      <c r="E3050" s="124" t="s">
        <v>41</v>
      </c>
      <c r="F3050" s="198">
        <v>16.0</v>
      </c>
      <c r="G3050" s="124">
        <v>4.0</v>
      </c>
      <c r="H3050" s="303">
        <v>4.0</v>
      </c>
      <c r="I3050" s="124" t="s">
        <v>8043</v>
      </c>
      <c r="J3050" s="124"/>
      <c r="K3050" s="133"/>
      <c r="L3050" s="124" t="s">
        <v>8041</v>
      </c>
      <c r="M3050" s="242" t="s">
        <v>8044</v>
      </c>
      <c r="N3050" s="233"/>
      <c r="O3050" s="124"/>
      <c r="P3050" s="133"/>
      <c r="Q3050" s="124"/>
      <c r="R3050" s="128"/>
      <c r="S3050" s="37"/>
      <c r="T3050" s="38"/>
      <c r="U3050" s="38"/>
      <c r="V3050" s="124" t="s">
        <v>8043</v>
      </c>
      <c r="W3050" s="233"/>
      <c r="X3050" s="138"/>
      <c r="Y3050" s="233"/>
      <c r="Z3050" s="133"/>
      <c r="AA3050" s="133"/>
      <c r="AB3050" s="133"/>
      <c r="AC3050" s="133"/>
      <c r="AD3050" s="133"/>
      <c r="AE3050" s="133"/>
      <c r="AF3050" s="133"/>
      <c r="AG3050" s="133"/>
      <c r="AH3050" s="133"/>
      <c r="AI3050" s="133"/>
      <c r="AJ3050" s="133"/>
      <c r="AK3050" s="133"/>
      <c r="AL3050" s="133"/>
      <c r="AM3050" s="133"/>
      <c r="AN3050" s="133"/>
      <c r="AO3050" s="133"/>
      <c r="AP3050" s="133"/>
      <c r="AQ3050" s="133"/>
      <c r="AR3050" s="133"/>
      <c r="AS3050" s="133"/>
      <c r="AT3050" s="133"/>
      <c r="AU3050" s="133"/>
      <c r="AV3050" s="133"/>
      <c r="AW3050" s="133"/>
      <c r="AX3050" s="133"/>
      <c r="AY3050" s="133"/>
      <c r="AZ3050" s="133"/>
      <c r="BA3050" s="133"/>
      <c r="BB3050" s="133"/>
      <c r="BC3050" s="133"/>
      <c r="BD3050" s="133"/>
      <c r="BE3050" s="133"/>
      <c r="BF3050" s="133"/>
      <c r="BG3050" s="133"/>
      <c r="BH3050" s="133"/>
      <c r="BI3050" s="133"/>
      <c r="BJ3050" s="133"/>
      <c r="BK3050" s="133"/>
      <c r="BL3050" s="133"/>
      <c r="BM3050" s="133"/>
      <c r="BN3050" s="133"/>
      <c r="BO3050" s="133"/>
      <c r="BP3050" s="133"/>
      <c r="BQ3050" s="133"/>
    </row>
    <row r="3051">
      <c r="A3051" s="194" t="s">
        <v>8045</v>
      </c>
      <c r="B3051" s="125"/>
      <c r="C3051" s="195">
        <v>43922.0</v>
      </c>
      <c r="D3051" s="133"/>
      <c r="E3051" s="124" t="s">
        <v>41</v>
      </c>
      <c r="F3051" s="198">
        <v>1.0</v>
      </c>
      <c r="G3051" s="124" t="s">
        <v>32</v>
      </c>
      <c r="H3051" s="303">
        <v>1.0</v>
      </c>
      <c r="I3051" s="124" t="s">
        <v>33</v>
      </c>
      <c r="J3051" s="124" t="s">
        <v>98</v>
      </c>
      <c r="K3051" s="133"/>
      <c r="L3051" s="124" t="s">
        <v>119</v>
      </c>
      <c r="M3051" s="242" t="s">
        <v>8046</v>
      </c>
      <c r="N3051" s="233"/>
      <c r="O3051" s="124"/>
      <c r="P3051" s="133"/>
      <c r="Q3051" s="124"/>
      <c r="R3051" s="128"/>
      <c r="S3051" s="37"/>
      <c r="T3051" s="38"/>
      <c r="U3051" s="38"/>
      <c r="V3051" s="124" t="s">
        <v>33</v>
      </c>
      <c r="W3051" s="233"/>
      <c r="X3051" s="138"/>
      <c r="Y3051" s="233"/>
      <c r="Z3051" s="133"/>
      <c r="AA3051" s="133"/>
      <c r="AB3051" s="133"/>
      <c r="AC3051" s="133"/>
      <c r="AD3051" s="133"/>
      <c r="AE3051" s="133"/>
      <c r="AF3051" s="133"/>
      <c r="AG3051" s="133"/>
      <c r="AH3051" s="133"/>
      <c r="AI3051" s="133"/>
      <c r="AJ3051" s="133"/>
      <c r="AK3051" s="133"/>
      <c r="AL3051" s="133"/>
      <c r="AM3051" s="133"/>
      <c r="AN3051" s="133"/>
      <c r="AO3051" s="133"/>
      <c r="AP3051" s="133"/>
      <c r="AQ3051" s="133"/>
      <c r="AR3051" s="133"/>
      <c r="AS3051" s="133"/>
      <c r="AT3051" s="133"/>
      <c r="AU3051" s="133"/>
      <c r="AV3051" s="133"/>
      <c r="AW3051" s="133"/>
      <c r="AX3051" s="133"/>
      <c r="AY3051" s="133"/>
      <c r="AZ3051" s="133"/>
      <c r="BA3051" s="133"/>
      <c r="BB3051" s="133"/>
      <c r="BC3051" s="133"/>
      <c r="BD3051" s="133"/>
      <c r="BE3051" s="133"/>
      <c r="BF3051" s="133"/>
      <c r="BG3051" s="133"/>
      <c r="BH3051" s="133"/>
      <c r="BI3051" s="133"/>
      <c r="BJ3051" s="133"/>
      <c r="BK3051" s="133"/>
      <c r="BL3051" s="133"/>
      <c r="BM3051" s="133"/>
      <c r="BN3051" s="133"/>
      <c r="BO3051" s="133"/>
      <c r="BP3051" s="133"/>
      <c r="BQ3051" s="133"/>
    </row>
    <row r="3052">
      <c r="A3052" s="194" t="s">
        <v>8047</v>
      </c>
      <c r="B3052" s="125"/>
      <c r="C3052" s="195">
        <v>43922.0</v>
      </c>
      <c r="D3052" s="133"/>
      <c r="E3052" s="124" t="s">
        <v>31</v>
      </c>
      <c r="F3052" s="198">
        <v>1.0</v>
      </c>
      <c r="G3052" s="124" t="s">
        <v>32</v>
      </c>
      <c r="H3052" s="303">
        <v>1.0</v>
      </c>
      <c r="I3052" s="124" t="s">
        <v>33</v>
      </c>
      <c r="J3052" s="124" t="s">
        <v>179</v>
      </c>
      <c r="K3052" s="133"/>
      <c r="L3052" s="124" t="s">
        <v>8048</v>
      </c>
      <c r="M3052" s="242" t="s">
        <v>8049</v>
      </c>
      <c r="N3052" s="219" t="s">
        <v>8050</v>
      </c>
      <c r="O3052" s="124"/>
      <c r="P3052" s="133"/>
      <c r="Q3052" s="124"/>
      <c r="R3052" s="128"/>
      <c r="S3052" s="37"/>
      <c r="T3052" s="38"/>
      <c r="U3052" s="38" t="b">
        <f t="shared" ref="U3052:U3076" si="419">countif(A$4:A4658, A3052)&gt;1</f>
        <v>0</v>
      </c>
      <c r="V3052" s="124" t="s">
        <v>33</v>
      </c>
      <c r="W3052" s="219" t="s">
        <v>8051</v>
      </c>
      <c r="X3052" s="138"/>
      <c r="Y3052" s="233"/>
      <c r="Z3052" s="133"/>
      <c r="AA3052" s="133"/>
      <c r="AB3052" s="133"/>
      <c r="AC3052" s="133"/>
      <c r="AD3052" s="133"/>
      <c r="AE3052" s="133"/>
      <c r="AF3052" s="133"/>
      <c r="AG3052" s="133"/>
      <c r="AH3052" s="133"/>
      <c r="AI3052" s="133"/>
      <c r="AJ3052" s="133"/>
      <c r="AK3052" s="133"/>
      <c r="AL3052" s="133"/>
      <c r="AM3052" s="133"/>
      <c r="AN3052" s="133"/>
      <c r="AO3052" s="133"/>
      <c r="AP3052" s="133"/>
      <c r="AQ3052" s="133"/>
      <c r="AR3052" s="133"/>
      <c r="AS3052" s="133"/>
      <c r="AT3052" s="133"/>
      <c r="AU3052" s="133"/>
      <c r="AV3052" s="133"/>
      <c r="AW3052" s="133"/>
      <c r="AX3052" s="133"/>
      <c r="AY3052" s="133"/>
      <c r="AZ3052" s="133"/>
      <c r="BA3052" s="133"/>
      <c r="BB3052" s="133"/>
      <c r="BC3052" s="133"/>
      <c r="BD3052" s="133"/>
      <c r="BE3052" s="133"/>
      <c r="BF3052" s="133"/>
      <c r="BG3052" s="133"/>
      <c r="BH3052" s="133"/>
      <c r="BI3052" s="133"/>
      <c r="BJ3052" s="133"/>
      <c r="BK3052" s="133"/>
      <c r="BL3052" s="133"/>
      <c r="BM3052" s="133"/>
      <c r="BN3052" s="133"/>
      <c r="BO3052" s="133"/>
      <c r="BP3052" s="133"/>
      <c r="BQ3052" s="133"/>
    </row>
    <row r="3053">
      <c r="A3053" s="194" t="s">
        <v>8052</v>
      </c>
      <c r="B3053" s="125"/>
      <c r="C3053" s="195">
        <v>43922.0</v>
      </c>
      <c r="D3053" s="133"/>
      <c r="E3053" s="124" t="s">
        <v>31</v>
      </c>
      <c r="F3053" s="198">
        <v>1.0</v>
      </c>
      <c r="G3053" s="124" t="s">
        <v>32</v>
      </c>
      <c r="H3053" s="303">
        <v>1.0</v>
      </c>
      <c r="I3053" s="124" t="s">
        <v>33</v>
      </c>
      <c r="J3053" s="124" t="s">
        <v>179</v>
      </c>
      <c r="K3053" s="133"/>
      <c r="L3053" s="124" t="s">
        <v>8048</v>
      </c>
      <c r="M3053" s="242" t="s">
        <v>8049</v>
      </c>
      <c r="N3053" s="233" t="s">
        <v>8050</v>
      </c>
      <c r="O3053" s="124"/>
      <c r="P3053" s="133"/>
      <c r="Q3053" s="124"/>
      <c r="R3053" s="128"/>
      <c r="S3053" s="37"/>
      <c r="T3053" s="38"/>
      <c r="U3053" s="38" t="b">
        <f t="shared" si="419"/>
        <v>0</v>
      </c>
      <c r="V3053" s="124" t="s">
        <v>33</v>
      </c>
      <c r="W3053" s="233" t="s">
        <v>8051</v>
      </c>
      <c r="X3053" s="138"/>
      <c r="Y3053" s="233"/>
      <c r="Z3053" s="133"/>
      <c r="AA3053" s="133"/>
      <c r="AB3053" s="133"/>
      <c r="AC3053" s="133"/>
      <c r="AD3053" s="133"/>
      <c r="AE3053" s="133"/>
      <c r="AF3053" s="133"/>
      <c r="AG3053" s="133"/>
      <c r="AH3053" s="133"/>
      <c r="AI3053" s="133"/>
      <c r="AJ3053" s="133"/>
      <c r="AK3053" s="133"/>
      <c r="AL3053" s="133"/>
      <c r="AM3053" s="133"/>
      <c r="AN3053" s="133"/>
      <c r="AO3053" s="133"/>
      <c r="AP3053" s="133"/>
      <c r="AQ3053" s="133"/>
      <c r="AR3053" s="133"/>
      <c r="AS3053" s="133"/>
      <c r="AT3053" s="133"/>
      <c r="AU3053" s="133"/>
      <c r="AV3053" s="133"/>
      <c r="AW3053" s="133"/>
      <c r="AX3053" s="133"/>
      <c r="AY3053" s="133"/>
      <c r="AZ3053" s="133"/>
      <c r="BA3053" s="133"/>
      <c r="BB3053" s="133"/>
      <c r="BC3053" s="133"/>
      <c r="BD3053" s="133"/>
      <c r="BE3053" s="133"/>
      <c r="BF3053" s="133"/>
      <c r="BG3053" s="133"/>
      <c r="BH3053" s="133"/>
      <c r="BI3053" s="133"/>
      <c r="BJ3053" s="133"/>
      <c r="BK3053" s="133"/>
      <c r="BL3053" s="133"/>
      <c r="BM3053" s="133"/>
      <c r="BN3053" s="133"/>
      <c r="BO3053" s="133"/>
      <c r="BP3053" s="133"/>
      <c r="BQ3053" s="133"/>
    </row>
    <row r="3054">
      <c r="A3054" s="194" t="s">
        <v>8053</v>
      </c>
      <c r="B3054" s="125"/>
      <c r="C3054" s="195">
        <v>43922.0</v>
      </c>
      <c r="D3054" s="133"/>
      <c r="E3054" s="124" t="s">
        <v>31</v>
      </c>
      <c r="F3054" s="198">
        <v>1.0</v>
      </c>
      <c r="G3054" s="124" t="s">
        <v>32</v>
      </c>
      <c r="H3054" s="303">
        <v>1.0</v>
      </c>
      <c r="I3054" s="124" t="s">
        <v>33</v>
      </c>
      <c r="J3054" s="124" t="s">
        <v>179</v>
      </c>
      <c r="K3054" s="133"/>
      <c r="L3054" s="124" t="s">
        <v>8048</v>
      </c>
      <c r="M3054" s="242" t="s">
        <v>8049</v>
      </c>
      <c r="N3054" s="233" t="s">
        <v>8050</v>
      </c>
      <c r="O3054" s="124"/>
      <c r="P3054" s="133"/>
      <c r="Q3054" s="124"/>
      <c r="R3054" s="128"/>
      <c r="S3054" s="37"/>
      <c r="T3054" s="38"/>
      <c r="U3054" s="38" t="b">
        <f t="shared" si="419"/>
        <v>0</v>
      </c>
      <c r="V3054" s="124" t="s">
        <v>33</v>
      </c>
      <c r="W3054" s="233" t="s">
        <v>8051</v>
      </c>
      <c r="X3054" s="138"/>
      <c r="Y3054" s="233"/>
      <c r="Z3054" s="133"/>
      <c r="AA3054" s="133"/>
      <c r="AB3054" s="133"/>
      <c r="AC3054" s="133"/>
      <c r="AD3054" s="133"/>
      <c r="AE3054" s="133"/>
      <c r="AF3054" s="133"/>
      <c r="AG3054" s="133"/>
      <c r="AH3054" s="133"/>
      <c r="AI3054" s="133"/>
      <c r="AJ3054" s="133"/>
      <c r="AK3054" s="133"/>
      <c r="AL3054" s="133"/>
      <c r="AM3054" s="133"/>
      <c r="AN3054" s="133"/>
      <c r="AO3054" s="133"/>
      <c r="AP3054" s="133"/>
      <c r="AQ3054" s="133"/>
      <c r="AR3054" s="133"/>
      <c r="AS3054" s="133"/>
      <c r="AT3054" s="133"/>
      <c r="AU3054" s="133"/>
      <c r="AV3054" s="133"/>
      <c r="AW3054" s="133"/>
      <c r="AX3054" s="133"/>
      <c r="AY3054" s="133"/>
      <c r="AZ3054" s="133"/>
      <c r="BA3054" s="133"/>
      <c r="BB3054" s="133"/>
      <c r="BC3054" s="133"/>
      <c r="BD3054" s="133"/>
      <c r="BE3054" s="133"/>
      <c r="BF3054" s="133"/>
      <c r="BG3054" s="133"/>
      <c r="BH3054" s="133"/>
      <c r="BI3054" s="133"/>
      <c r="BJ3054" s="133"/>
      <c r="BK3054" s="133"/>
      <c r="BL3054" s="133"/>
      <c r="BM3054" s="133"/>
      <c r="BN3054" s="133"/>
      <c r="BO3054" s="133"/>
      <c r="BP3054" s="133"/>
      <c r="BQ3054" s="133"/>
    </row>
    <row r="3055">
      <c r="A3055" s="194" t="s">
        <v>8054</v>
      </c>
      <c r="B3055" s="125"/>
      <c r="C3055" s="195">
        <v>43922.0</v>
      </c>
      <c r="D3055" s="133"/>
      <c r="E3055" s="124" t="s">
        <v>31</v>
      </c>
      <c r="F3055" s="198">
        <v>1.0</v>
      </c>
      <c r="G3055" s="124" t="s">
        <v>32</v>
      </c>
      <c r="H3055" s="303">
        <v>1.0</v>
      </c>
      <c r="I3055" s="124" t="s">
        <v>33</v>
      </c>
      <c r="J3055" s="124" t="s">
        <v>179</v>
      </c>
      <c r="K3055" s="133"/>
      <c r="L3055" s="124" t="s">
        <v>8048</v>
      </c>
      <c r="M3055" s="242" t="s">
        <v>8049</v>
      </c>
      <c r="N3055" s="233" t="s">
        <v>8050</v>
      </c>
      <c r="O3055" s="124"/>
      <c r="P3055" s="133"/>
      <c r="Q3055" s="124"/>
      <c r="R3055" s="128"/>
      <c r="S3055" s="37"/>
      <c r="T3055" s="38"/>
      <c r="U3055" s="38" t="b">
        <f t="shared" si="419"/>
        <v>0</v>
      </c>
      <c r="V3055" s="124" t="s">
        <v>33</v>
      </c>
      <c r="W3055" s="233" t="s">
        <v>8051</v>
      </c>
      <c r="X3055" s="138"/>
      <c r="Y3055" s="233"/>
      <c r="Z3055" s="133"/>
      <c r="AA3055" s="133"/>
      <c r="AB3055" s="133"/>
      <c r="AC3055" s="133"/>
      <c r="AD3055" s="133"/>
      <c r="AE3055" s="133"/>
      <c r="AF3055" s="133"/>
      <c r="AG3055" s="133"/>
      <c r="AH3055" s="133"/>
      <c r="AI3055" s="133"/>
      <c r="AJ3055" s="133"/>
      <c r="AK3055" s="133"/>
      <c r="AL3055" s="133"/>
      <c r="AM3055" s="133"/>
      <c r="AN3055" s="133"/>
      <c r="AO3055" s="133"/>
      <c r="AP3055" s="133"/>
      <c r="AQ3055" s="133"/>
      <c r="AR3055" s="133"/>
      <c r="AS3055" s="133"/>
      <c r="AT3055" s="133"/>
      <c r="AU3055" s="133"/>
      <c r="AV3055" s="133"/>
      <c r="AW3055" s="133"/>
      <c r="AX3055" s="133"/>
      <c r="AY3055" s="133"/>
      <c r="AZ3055" s="133"/>
      <c r="BA3055" s="133"/>
      <c r="BB3055" s="133"/>
      <c r="BC3055" s="133"/>
      <c r="BD3055" s="133"/>
      <c r="BE3055" s="133"/>
      <c r="BF3055" s="133"/>
      <c r="BG3055" s="133"/>
      <c r="BH3055" s="133"/>
      <c r="BI3055" s="133"/>
      <c r="BJ3055" s="133"/>
      <c r="BK3055" s="133"/>
      <c r="BL3055" s="133"/>
      <c r="BM3055" s="133"/>
      <c r="BN3055" s="133"/>
      <c r="BO3055" s="133"/>
      <c r="BP3055" s="133"/>
      <c r="BQ3055" s="133"/>
    </row>
    <row r="3056">
      <c r="A3056" s="194" t="s">
        <v>8055</v>
      </c>
      <c r="B3056" s="125"/>
      <c r="C3056" s="195">
        <v>43922.0</v>
      </c>
      <c r="D3056" s="133"/>
      <c r="E3056" s="124" t="s">
        <v>31</v>
      </c>
      <c r="F3056" s="198">
        <v>1.0</v>
      </c>
      <c r="G3056" s="124" t="s">
        <v>32</v>
      </c>
      <c r="H3056" s="303">
        <v>1.0</v>
      </c>
      <c r="I3056" s="124" t="s">
        <v>33</v>
      </c>
      <c r="J3056" s="124" t="s">
        <v>179</v>
      </c>
      <c r="K3056" s="133"/>
      <c r="L3056" s="124" t="s">
        <v>8048</v>
      </c>
      <c r="M3056" s="242" t="s">
        <v>8049</v>
      </c>
      <c r="N3056" s="233" t="s">
        <v>8050</v>
      </c>
      <c r="O3056" s="124"/>
      <c r="P3056" s="133"/>
      <c r="Q3056" s="124"/>
      <c r="R3056" s="128"/>
      <c r="S3056" s="37"/>
      <c r="T3056" s="38"/>
      <c r="U3056" s="38" t="b">
        <f t="shared" si="419"/>
        <v>0</v>
      </c>
      <c r="V3056" s="124" t="s">
        <v>33</v>
      </c>
      <c r="W3056" s="233" t="s">
        <v>8051</v>
      </c>
      <c r="X3056" s="138"/>
      <c r="Y3056" s="233"/>
      <c r="Z3056" s="133"/>
      <c r="AA3056" s="133"/>
      <c r="AB3056" s="133"/>
      <c r="AC3056" s="133"/>
      <c r="AD3056" s="133"/>
      <c r="AE3056" s="133"/>
      <c r="AF3056" s="133"/>
      <c r="AG3056" s="133"/>
      <c r="AH3056" s="133"/>
      <c r="AI3056" s="133"/>
      <c r="AJ3056" s="133"/>
      <c r="AK3056" s="133"/>
      <c r="AL3056" s="133"/>
      <c r="AM3056" s="133"/>
      <c r="AN3056" s="133"/>
      <c r="AO3056" s="133"/>
      <c r="AP3056" s="133"/>
      <c r="AQ3056" s="133"/>
      <c r="AR3056" s="133"/>
      <c r="AS3056" s="133"/>
      <c r="AT3056" s="133"/>
      <c r="AU3056" s="133"/>
      <c r="AV3056" s="133"/>
      <c r="AW3056" s="133"/>
      <c r="AX3056" s="133"/>
      <c r="AY3056" s="133"/>
      <c r="AZ3056" s="133"/>
      <c r="BA3056" s="133"/>
      <c r="BB3056" s="133"/>
      <c r="BC3056" s="133"/>
      <c r="BD3056" s="133"/>
      <c r="BE3056" s="133"/>
      <c r="BF3056" s="133"/>
      <c r="BG3056" s="133"/>
      <c r="BH3056" s="133"/>
      <c r="BI3056" s="133"/>
      <c r="BJ3056" s="133"/>
      <c r="BK3056" s="133"/>
      <c r="BL3056" s="133"/>
      <c r="BM3056" s="133"/>
      <c r="BN3056" s="133"/>
      <c r="BO3056" s="133"/>
      <c r="BP3056" s="133"/>
      <c r="BQ3056" s="133"/>
    </row>
    <row r="3057">
      <c r="A3057" s="194" t="s">
        <v>8056</v>
      </c>
      <c r="B3057" s="125"/>
      <c r="C3057" s="195">
        <v>43922.0</v>
      </c>
      <c r="D3057" s="133"/>
      <c r="E3057" s="124" t="s">
        <v>31</v>
      </c>
      <c r="F3057" s="198">
        <v>1.0</v>
      </c>
      <c r="G3057" s="124" t="s">
        <v>32</v>
      </c>
      <c r="H3057" s="303">
        <v>1.0</v>
      </c>
      <c r="I3057" s="124" t="s">
        <v>33</v>
      </c>
      <c r="J3057" s="124" t="s">
        <v>179</v>
      </c>
      <c r="K3057" s="133"/>
      <c r="L3057" s="124" t="s">
        <v>8048</v>
      </c>
      <c r="M3057" s="242" t="s">
        <v>8049</v>
      </c>
      <c r="N3057" s="233" t="s">
        <v>8050</v>
      </c>
      <c r="O3057" s="124"/>
      <c r="P3057" s="133"/>
      <c r="Q3057" s="124"/>
      <c r="R3057" s="128"/>
      <c r="S3057" s="37"/>
      <c r="T3057" s="38"/>
      <c r="U3057" s="38" t="b">
        <f t="shared" si="419"/>
        <v>0</v>
      </c>
      <c r="V3057" s="124" t="s">
        <v>33</v>
      </c>
      <c r="W3057" s="233" t="s">
        <v>8051</v>
      </c>
      <c r="X3057" s="138"/>
      <c r="Y3057" s="233"/>
      <c r="Z3057" s="133"/>
      <c r="AA3057" s="133"/>
      <c r="AB3057" s="133"/>
      <c r="AC3057" s="133"/>
      <c r="AD3057" s="133"/>
      <c r="AE3057" s="133"/>
      <c r="AF3057" s="133"/>
      <c r="AG3057" s="133"/>
      <c r="AH3057" s="133"/>
      <c r="AI3057" s="133"/>
      <c r="AJ3057" s="133"/>
      <c r="AK3057" s="133"/>
      <c r="AL3057" s="133"/>
      <c r="AM3057" s="133"/>
      <c r="AN3057" s="133"/>
      <c r="AO3057" s="133"/>
      <c r="AP3057" s="133"/>
      <c r="AQ3057" s="133"/>
      <c r="AR3057" s="133"/>
      <c r="AS3057" s="133"/>
      <c r="AT3057" s="133"/>
      <c r="AU3057" s="133"/>
      <c r="AV3057" s="133"/>
      <c r="AW3057" s="133"/>
      <c r="AX3057" s="133"/>
      <c r="AY3057" s="133"/>
      <c r="AZ3057" s="133"/>
      <c r="BA3057" s="133"/>
      <c r="BB3057" s="133"/>
      <c r="BC3057" s="133"/>
      <c r="BD3057" s="133"/>
      <c r="BE3057" s="133"/>
      <c r="BF3057" s="133"/>
      <c r="BG3057" s="133"/>
      <c r="BH3057" s="133"/>
      <c r="BI3057" s="133"/>
      <c r="BJ3057" s="133"/>
      <c r="BK3057" s="133"/>
      <c r="BL3057" s="133"/>
      <c r="BM3057" s="133"/>
      <c r="BN3057" s="133"/>
      <c r="BO3057" s="133"/>
      <c r="BP3057" s="133"/>
      <c r="BQ3057" s="133"/>
    </row>
    <row r="3058">
      <c r="A3058" s="194" t="s">
        <v>8057</v>
      </c>
      <c r="B3058" s="125"/>
      <c r="C3058" s="195">
        <v>43922.0</v>
      </c>
      <c r="D3058" s="133"/>
      <c r="E3058" s="124" t="s">
        <v>31</v>
      </c>
      <c r="F3058" s="198">
        <v>1.0</v>
      </c>
      <c r="G3058" s="124" t="s">
        <v>32</v>
      </c>
      <c r="H3058" s="303">
        <v>1.0</v>
      </c>
      <c r="I3058" s="124" t="s">
        <v>33</v>
      </c>
      <c r="J3058" s="124" t="s">
        <v>179</v>
      </c>
      <c r="K3058" s="133"/>
      <c r="L3058" s="124" t="s">
        <v>8048</v>
      </c>
      <c r="M3058" s="242" t="s">
        <v>8049</v>
      </c>
      <c r="N3058" s="233" t="s">
        <v>8050</v>
      </c>
      <c r="O3058" s="124"/>
      <c r="P3058" s="133"/>
      <c r="Q3058" s="124"/>
      <c r="R3058" s="128"/>
      <c r="S3058" s="37"/>
      <c r="T3058" s="38"/>
      <c r="U3058" s="38" t="b">
        <f t="shared" si="419"/>
        <v>0</v>
      </c>
      <c r="V3058" s="124" t="s">
        <v>33</v>
      </c>
      <c r="W3058" s="233" t="s">
        <v>8051</v>
      </c>
      <c r="X3058" s="138"/>
      <c r="Y3058" s="233"/>
      <c r="Z3058" s="133"/>
      <c r="AA3058" s="133"/>
      <c r="AB3058" s="133"/>
      <c r="AC3058" s="133"/>
      <c r="AD3058" s="133"/>
      <c r="AE3058" s="133"/>
      <c r="AF3058" s="133"/>
      <c r="AG3058" s="133"/>
      <c r="AH3058" s="133"/>
      <c r="AI3058" s="133"/>
      <c r="AJ3058" s="133"/>
      <c r="AK3058" s="133"/>
      <c r="AL3058" s="133"/>
      <c r="AM3058" s="133"/>
      <c r="AN3058" s="133"/>
      <c r="AO3058" s="133"/>
      <c r="AP3058" s="133"/>
      <c r="AQ3058" s="133"/>
      <c r="AR3058" s="133"/>
      <c r="AS3058" s="133"/>
      <c r="AT3058" s="133"/>
      <c r="AU3058" s="133"/>
      <c r="AV3058" s="133"/>
      <c r="AW3058" s="133"/>
      <c r="AX3058" s="133"/>
      <c r="AY3058" s="133"/>
      <c r="AZ3058" s="133"/>
      <c r="BA3058" s="133"/>
      <c r="BB3058" s="133"/>
      <c r="BC3058" s="133"/>
      <c r="BD3058" s="133"/>
      <c r="BE3058" s="133"/>
      <c r="BF3058" s="133"/>
      <c r="BG3058" s="133"/>
      <c r="BH3058" s="133"/>
      <c r="BI3058" s="133"/>
      <c r="BJ3058" s="133"/>
      <c r="BK3058" s="133"/>
      <c r="BL3058" s="133"/>
      <c r="BM3058" s="133"/>
      <c r="BN3058" s="133"/>
      <c r="BO3058" s="133"/>
      <c r="BP3058" s="133"/>
      <c r="BQ3058" s="133"/>
    </row>
    <row r="3059">
      <c r="A3059" s="194" t="s">
        <v>8058</v>
      </c>
      <c r="B3059" s="125"/>
      <c r="C3059" s="195">
        <v>43922.0</v>
      </c>
      <c r="D3059" s="133"/>
      <c r="E3059" s="124" t="s">
        <v>31</v>
      </c>
      <c r="F3059" s="198">
        <v>1.0</v>
      </c>
      <c r="G3059" s="124" t="s">
        <v>32</v>
      </c>
      <c r="H3059" s="303">
        <v>1.0</v>
      </c>
      <c r="I3059" s="124" t="s">
        <v>33</v>
      </c>
      <c r="J3059" s="124" t="s">
        <v>179</v>
      </c>
      <c r="K3059" s="133"/>
      <c r="L3059" s="124" t="s">
        <v>8048</v>
      </c>
      <c r="M3059" s="242" t="s">
        <v>8049</v>
      </c>
      <c r="N3059" s="233" t="s">
        <v>8050</v>
      </c>
      <c r="O3059" s="124"/>
      <c r="P3059" s="133"/>
      <c r="Q3059" s="124"/>
      <c r="R3059" s="128"/>
      <c r="S3059" s="37"/>
      <c r="T3059" s="38"/>
      <c r="U3059" s="38" t="b">
        <f t="shared" si="419"/>
        <v>0</v>
      </c>
      <c r="V3059" s="124" t="s">
        <v>33</v>
      </c>
      <c r="W3059" s="233" t="s">
        <v>8051</v>
      </c>
      <c r="X3059" s="138"/>
      <c r="Y3059" s="233"/>
      <c r="Z3059" s="133"/>
      <c r="AA3059" s="133"/>
      <c r="AB3059" s="133"/>
      <c r="AC3059" s="133"/>
      <c r="AD3059" s="133"/>
      <c r="AE3059" s="133"/>
      <c r="AF3059" s="133"/>
      <c r="AG3059" s="133"/>
      <c r="AH3059" s="133"/>
      <c r="AI3059" s="133"/>
      <c r="AJ3059" s="133"/>
      <c r="AK3059" s="133"/>
      <c r="AL3059" s="133"/>
      <c r="AM3059" s="133"/>
      <c r="AN3059" s="133"/>
      <c r="AO3059" s="133"/>
      <c r="AP3059" s="133"/>
      <c r="AQ3059" s="133"/>
      <c r="AR3059" s="133"/>
      <c r="AS3059" s="133"/>
      <c r="AT3059" s="133"/>
      <c r="AU3059" s="133"/>
      <c r="AV3059" s="133"/>
      <c r="AW3059" s="133"/>
      <c r="AX3059" s="133"/>
      <c r="AY3059" s="133"/>
      <c r="AZ3059" s="133"/>
      <c r="BA3059" s="133"/>
      <c r="BB3059" s="133"/>
      <c r="BC3059" s="133"/>
      <c r="BD3059" s="133"/>
      <c r="BE3059" s="133"/>
      <c r="BF3059" s="133"/>
      <c r="BG3059" s="133"/>
      <c r="BH3059" s="133"/>
      <c r="BI3059" s="133"/>
      <c r="BJ3059" s="133"/>
      <c r="BK3059" s="133"/>
      <c r="BL3059" s="133"/>
      <c r="BM3059" s="133"/>
      <c r="BN3059" s="133"/>
      <c r="BO3059" s="133"/>
      <c r="BP3059" s="133"/>
      <c r="BQ3059" s="133"/>
    </row>
    <row r="3060">
      <c r="A3060" s="194" t="s">
        <v>8059</v>
      </c>
      <c r="B3060" s="125"/>
      <c r="C3060" s="195">
        <v>43922.0</v>
      </c>
      <c r="D3060" s="133"/>
      <c r="E3060" s="124" t="s">
        <v>31</v>
      </c>
      <c r="F3060" s="198">
        <v>1.0</v>
      </c>
      <c r="G3060" s="124" t="s">
        <v>32</v>
      </c>
      <c r="H3060" s="303">
        <v>1.0</v>
      </c>
      <c r="I3060" s="124" t="s">
        <v>33</v>
      </c>
      <c r="J3060" s="124" t="s">
        <v>179</v>
      </c>
      <c r="K3060" s="133"/>
      <c r="L3060" s="124" t="s">
        <v>8048</v>
      </c>
      <c r="M3060" s="242" t="s">
        <v>8049</v>
      </c>
      <c r="N3060" s="233" t="s">
        <v>8050</v>
      </c>
      <c r="O3060" s="124"/>
      <c r="P3060" s="133"/>
      <c r="Q3060" s="124"/>
      <c r="R3060" s="128"/>
      <c r="S3060" s="37"/>
      <c r="T3060" s="38"/>
      <c r="U3060" s="38" t="b">
        <f t="shared" si="419"/>
        <v>0</v>
      </c>
      <c r="V3060" s="124" t="s">
        <v>33</v>
      </c>
      <c r="W3060" s="233" t="s">
        <v>8051</v>
      </c>
      <c r="X3060" s="138"/>
      <c r="Y3060" s="233"/>
      <c r="Z3060" s="133"/>
      <c r="AA3060" s="133"/>
      <c r="AB3060" s="133"/>
      <c r="AC3060" s="133"/>
      <c r="AD3060" s="133"/>
      <c r="AE3060" s="133"/>
      <c r="AF3060" s="133"/>
      <c r="AG3060" s="133"/>
      <c r="AH3060" s="133"/>
      <c r="AI3060" s="133"/>
      <c r="AJ3060" s="133"/>
      <c r="AK3060" s="133"/>
      <c r="AL3060" s="133"/>
      <c r="AM3060" s="133"/>
      <c r="AN3060" s="133"/>
      <c r="AO3060" s="133"/>
      <c r="AP3060" s="133"/>
      <c r="AQ3060" s="133"/>
      <c r="AR3060" s="133"/>
      <c r="AS3060" s="133"/>
      <c r="AT3060" s="133"/>
      <c r="AU3060" s="133"/>
      <c r="AV3060" s="133"/>
      <c r="AW3060" s="133"/>
      <c r="AX3060" s="133"/>
      <c r="AY3060" s="133"/>
      <c r="AZ3060" s="133"/>
      <c r="BA3060" s="133"/>
      <c r="BB3060" s="133"/>
      <c r="BC3060" s="133"/>
      <c r="BD3060" s="133"/>
      <c r="BE3060" s="133"/>
      <c r="BF3060" s="133"/>
      <c r="BG3060" s="133"/>
      <c r="BH3060" s="133"/>
      <c r="BI3060" s="133"/>
      <c r="BJ3060" s="133"/>
      <c r="BK3060" s="133"/>
      <c r="BL3060" s="133"/>
      <c r="BM3060" s="133"/>
      <c r="BN3060" s="133"/>
      <c r="BO3060" s="133"/>
      <c r="BP3060" s="133"/>
      <c r="BQ3060" s="133"/>
    </row>
    <row r="3061">
      <c r="A3061" s="194" t="s">
        <v>8060</v>
      </c>
      <c r="B3061" s="125"/>
      <c r="C3061" s="195">
        <v>43922.0</v>
      </c>
      <c r="D3061" s="133"/>
      <c r="E3061" s="124" t="s">
        <v>31</v>
      </c>
      <c r="F3061" s="198">
        <v>1.0</v>
      </c>
      <c r="G3061" s="124" t="s">
        <v>32</v>
      </c>
      <c r="H3061" s="303">
        <v>1.0</v>
      </c>
      <c r="I3061" s="124" t="s">
        <v>33</v>
      </c>
      <c r="J3061" s="124" t="s">
        <v>179</v>
      </c>
      <c r="K3061" s="133"/>
      <c r="L3061" s="124" t="s">
        <v>8048</v>
      </c>
      <c r="M3061" s="242" t="s">
        <v>8049</v>
      </c>
      <c r="N3061" s="233" t="s">
        <v>8050</v>
      </c>
      <c r="O3061" s="124"/>
      <c r="P3061" s="133"/>
      <c r="Q3061" s="124"/>
      <c r="R3061" s="128"/>
      <c r="S3061" s="37"/>
      <c r="T3061" s="38"/>
      <c r="U3061" s="38" t="b">
        <f t="shared" si="419"/>
        <v>0</v>
      </c>
      <c r="V3061" s="124" t="s">
        <v>33</v>
      </c>
      <c r="W3061" s="233" t="s">
        <v>8051</v>
      </c>
      <c r="X3061" s="138"/>
      <c r="Y3061" s="233"/>
      <c r="Z3061" s="133"/>
      <c r="AA3061" s="133"/>
      <c r="AB3061" s="133"/>
      <c r="AC3061" s="133"/>
      <c r="AD3061" s="133"/>
      <c r="AE3061" s="133"/>
      <c r="AF3061" s="133"/>
      <c r="AG3061" s="133"/>
      <c r="AH3061" s="133"/>
      <c r="AI3061" s="133"/>
      <c r="AJ3061" s="133"/>
      <c r="AK3061" s="133"/>
      <c r="AL3061" s="133"/>
      <c r="AM3061" s="133"/>
      <c r="AN3061" s="133"/>
      <c r="AO3061" s="133"/>
      <c r="AP3061" s="133"/>
      <c r="AQ3061" s="133"/>
      <c r="AR3061" s="133"/>
      <c r="AS3061" s="133"/>
      <c r="AT3061" s="133"/>
      <c r="AU3061" s="133"/>
      <c r="AV3061" s="133"/>
      <c r="AW3061" s="133"/>
      <c r="AX3061" s="133"/>
      <c r="AY3061" s="133"/>
      <c r="AZ3061" s="133"/>
      <c r="BA3061" s="133"/>
      <c r="BB3061" s="133"/>
      <c r="BC3061" s="133"/>
      <c r="BD3061" s="133"/>
      <c r="BE3061" s="133"/>
      <c r="BF3061" s="133"/>
      <c r="BG3061" s="133"/>
      <c r="BH3061" s="133"/>
      <c r="BI3061" s="133"/>
      <c r="BJ3061" s="133"/>
      <c r="BK3061" s="133"/>
      <c r="BL3061" s="133"/>
      <c r="BM3061" s="133"/>
      <c r="BN3061" s="133"/>
      <c r="BO3061" s="133"/>
      <c r="BP3061" s="133"/>
      <c r="BQ3061" s="133"/>
    </row>
    <row r="3062">
      <c r="A3062" s="194" t="s">
        <v>8061</v>
      </c>
      <c r="B3062" s="125"/>
      <c r="C3062" s="195">
        <v>43922.0</v>
      </c>
      <c r="D3062" s="133"/>
      <c r="E3062" s="124" t="s">
        <v>31</v>
      </c>
      <c r="F3062" s="198">
        <v>1.0</v>
      </c>
      <c r="G3062" s="124" t="s">
        <v>32</v>
      </c>
      <c r="H3062" s="303">
        <v>1.0</v>
      </c>
      <c r="I3062" s="124" t="s">
        <v>33</v>
      </c>
      <c r="J3062" s="124" t="s">
        <v>179</v>
      </c>
      <c r="K3062" s="133"/>
      <c r="L3062" s="124" t="s">
        <v>8048</v>
      </c>
      <c r="M3062" s="242" t="s">
        <v>8049</v>
      </c>
      <c r="N3062" s="233" t="s">
        <v>8050</v>
      </c>
      <c r="O3062" s="124"/>
      <c r="P3062" s="133"/>
      <c r="Q3062" s="124"/>
      <c r="R3062" s="128"/>
      <c r="S3062" s="37"/>
      <c r="T3062" s="38"/>
      <c r="U3062" s="38" t="b">
        <f t="shared" si="419"/>
        <v>0</v>
      </c>
      <c r="V3062" s="124" t="s">
        <v>33</v>
      </c>
      <c r="W3062" s="233" t="s">
        <v>8051</v>
      </c>
      <c r="X3062" s="138"/>
      <c r="Y3062" s="233"/>
      <c r="Z3062" s="133"/>
      <c r="AA3062" s="133"/>
      <c r="AB3062" s="133"/>
      <c r="AC3062" s="133"/>
      <c r="AD3062" s="133"/>
      <c r="AE3062" s="133"/>
      <c r="AF3062" s="133"/>
      <c r="AG3062" s="133"/>
      <c r="AH3062" s="133"/>
      <c r="AI3062" s="133"/>
      <c r="AJ3062" s="133"/>
      <c r="AK3062" s="133"/>
      <c r="AL3062" s="133"/>
      <c r="AM3062" s="133"/>
      <c r="AN3062" s="133"/>
      <c r="AO3062" s="133"/>
      <c r="AP3062" s="133"/>
      <c r="AQ3062" s="133"/>
      <c r="AR3062" s="133"/>
      <c r="AS3062" s="133"/>
      <c r="AT3062" s="133"/>
      <c r="AU3062" s="133"/>
      <c r="AV3062" s="133"/>
      <c r="AW3062" s="133"/>
      <c r="AX3062" s="133"/>
      <c r="AY3062" s="133"/>
      <c r="AZ3062" s="133"/>
      <c r="BA3062" s="133"/>
      <c r="BB3062" s="133"/>
      <c r="BC3062" s="133"/>
      <c r="BD3062" s="133"/>
      <c r="BE3062" s="133"/>
      <c r="BF3062" s="133"/>
      <c r="BG3062" s="133"/>
      <c r="BH3062" s="133"/>
      <c r="BI3062" s="133"/>
      <c r="BJ3062" s="133"/>
      <c r="BK3062" s="133"/>
      <c r="BL3062" s="133"/>
      <c r="BM3062" s="133"/>
      <c r="BN3062" s="133"/>
      <c r="BO3062" s="133"/>
      <c r="BP3062" s="133"/>
      <c r="BQ3062" s="133"/>
    </row>
    <row r="3063">
      <c r="A3063" s="194" t="s">
        <v>8062</v>
      </c>
      <c r="B3063" s="125"/>
      <c r="C3063" s="195">
        <v>43922.0</v>
      </c>
      <c r="D3063" s="133"/>
      <c r="E3063" s="124" t="s">
        <v>31</v>
      </c>
      <c r="F3063" s="198">
        <v>1.0</v>
      </c>
      <c r="G3063" s="124" t="s">
        <v>32</v>
      </c>
      <c r="H3063" s="303">
        <v>1.0</v>
      </c>
      <c r="I3063" s="124" t="s">
        <v>33</v>
      </c>
      <c r="J3063" s="124" t="s">
        <v>179</v>
      </c>
      <c r="K3063" s="133"/>
      <c r="L3063" s="124" t="s">
        <v>8063</v>
      </c>
      <c r="M3063" s="242" t="s">
        <v>8049</v>
      </c>
      <c r="N3063" s="233" t="s">
        <v>8050</v>
      </c>
      <c r="O3063" s="124"/>
      <c r="P3063" s="133"/>
      <c r="Q3063" s="124"/>
      <c r="R3063" s="128"/>
      <c r="S3063" s="37"/>
      <c r="T3063" s="38"/>
      <c r="U3063" s="38" t="b">
        <f t="shared" si="419"/>
        <v>0</v>
      </c>
      <c r="V3063" s="124" t="s">
        <v>33</v>
      </c>
      <c r="W3063" s="233" t="s">
        <v>8051</v>
      </c>
      <c r="X3063" s="138"/>
      <c r="Y3063" s="233"/>
      <c r="Z3063" s="133"/>
      <c r="AA3063" s="133"/>
      <c r="AB3063" s="133"/>
      <c r="AC3063" s="133"/>
      <c r="AD3063" s="133"/>
      <c r="AE3063" s="133"/>
      <c r="AF3063" s="133"/>
      <c r="AG3063" s="133"/>
      <c r="AH3063" s="133"/>
      <c r="AI3063" s="133"/>
      <c r="AJ3063" s="133"/>
      <c r="AK3063" s="133"/>
      <c r="AL3063" s="133"/>
      <c r="AM3063" s="133"/>
      <c r="AN3063" s="133"/>
      <c r="AO3063" s="133"/>
      <c r="AP3063" s="133"/>
      <c r="AQ3063" s="133"/>
      <c r="AR3063" s="133"/>
      <c r="AS3063" s="133"/>
      <c r="AT3063" s="133"/>
      <c r="AU3063" s="133"/>
      <c r="AV3063" s="133"/>
      <c r="AW3063" s="133"/>
      <c r="AX3063" s="133"/>
      <c r="AY3063" s="133"/>
      <c r="AZ3063" s="133"/>
      <c r="BA3063" s="133"/>
      <c r="BB3063" s="133"/>
      <c r="BC3063" s="133"/>
      <c r="BD3063" s="133"/>
      <c r="BE3063" s="133"/>
      <c r="BF3063" s="133"/>
      <c r="BG3063" s="133"/>
      <c r="BH3063" s="133"/>
      <c r="BI3063" s="133"/>
      <c r="BJ3063" s="133"/>
      <c r="BK3063" s="133"/>
      <c r="BL3063" s="133"/>
      <c r="BM3063" s="133"/>
      <c r="BN3063" s="133"/>
      <c r="BO3063" s="133"/>
      <c r="BP3063" s="133"/>
      <c r="BQ3063" s="133"/>
    </row>
    <row r="3064">
      <c r="A3064" s="194" t="s">
        <v>8064</v>
      </c>
      <c r="B3064" s="125"/>
      <c r="C3064" s="195">
        <v>43922.0</v>
      </c>
      <c r="D3064" s="133"/>
      <c r="E3064" s="124" t="s">
        <v>31</v>
      </c>
      <c r="F3064" s="198">
        <v>1.0</v>
      </c>
      <c r="G3064" s="124" t="s">
        <v>32</v>
      </c>
      <c r="H3064" s="303">
        <v>1.0</v>
      </c>
      <c r="I3064" s="124" t="s">
        <v>33</v>
      </c>
      <c r="J3064" s="124" t="s">
        <v>179</v>
      </c>
      <c r="K3064" s="133"/>
      <c r="L3064" s="124" t="s">
        <v>8048</v>
      </c>
      <c r="M3064" s="242" t="s">
        <v>8049</v>
      </c>
      <c r="N3064" s="233" t="s">
        <v>8050</v>
      </c>
      <c r="O3064" s="124"/>
      <c r="P3064" s="133"/>
      <c r="Q3064" s="124"/>
      <c r="R3064" s="128"/>
      <c r="S3064" s="37"/>
      <c r="T3064" s="38"/>
      <c r="U3064" s="38" t="b">
        <f t="shared" si="419"/>
        <v>0</v>
      </c>
      <c r="V3064" s="124" t="s">
        <v>33</v>
      </c>
      <c r="W3064" s="233" t="s">
        <v>8051</v>
      </c>
      <c r="X3064" s="138"/>
      <c r="Y3064" s="233"/>
      <c r="Z3064" s="133"/>
      <c r="AA3064" s="133"/>
      <c r="AB3064" s="133"/>
      <c r="AC3064" s="133"/>
      <c r="AD3064" s="133"/>
      <c r="AE3064" s="133"/>
      <c r="AF3064" s="133"/>
      <c r="AG3064" s="133"/>
      <c r="AH3064" s="133"/>
      <c r="AI3064" s="133"/>
      <c r="AJ3064" s="133"/>
      <c r="AK3064" s="133"/>
      <c r="AL3064" s="133"/>
      <c r="AM3064" s="133"/>
      <c r="AN3064" s="133"/>
      <c r="AO3064" s="133"/>
      <c r="AP3064" s="133"/>
      <c r="AQ3064" s="133"/>
      <c r="AR3064" s="133"/>
      <c r="AS3064" s="133"/>
      <c r="AT3064" s="133"/>
      <c r="AU3064" s="133"/>
      <c r="AV3064" s="133"/>
      <c r="AW3064" s="133"/>
      <c r="AX3064" s="133"/>
      <c r="AY3064" s="133"/>
      <c r="AZ3064" s="133"/>
      <c r="BA3064" s="133"/>
      <c r="BB3064" s="133"/>
      <c r="BC3064" s="133"/>
      <c r="BD3064" s="133"/>
      <c r="BE3064" s="133"/>
      <c r="BF3064" s="133"/>
      <c r="BG3064" s="133"/>
      <c r="BH3064" s="133"/>
      <c r="BI3064" s="133"/>
      <c r="BJ3064" s="133"/>
      <c r="BK3064" s="133"/>
      <c r="BL3064" s="133"/>
      <c r="BM3064" s="133"/>
      <c r="BN3064" s="133"/>
      <c r="BO3064" s="133"/>
      <c r="BP3064" s="133"/>
      <c r="BQ3064" s="133"/>
    </row>
    <row r="3065">
      <c r="A3065" s="194" t="s">
        <v>8065</v>
      </c>
      <c r="B3065" s="125"/>
      <c r="C3065" s="195">
        <v>43922.0</v>
      </c>
      <c r="D3065" s="133"/>
      <c r="E3065" s="124" t="s">
        <v>31</v>
      </c>
      <c r="F3065" s="198">
        <v>1.0</v>
      </c>
      <c r="G3065" s="124" t="s">
        <v>32</v>
      </c>
      <c r="H3065" s="303">
        <v>1.0</v>
      </c>
      <c r="I3065" s="124" t="s">
        <v>33</v>
      </c>
      <c r="J3065" s="124" t="s">
        <v>179</v>
      </c>
      <c r="K3065" s="133"/>
      <c r="L3065" s="124" t="s">
        <v>8048</v>
      </c>
      <c r="M3065" s="242" t="s">
        <v>8049</v>
      </c>
      <c r="N3065" s="233" t="s">
        <v>8050</v>
      </c>
      <c r="O3065" s="124"/>
      <c r="P3065" s="133"/>
      <c r="Q3065" s="124"/>
      <c r="R3065" s="128"/>
      <c r="S3065" s="37"/>
      <c r="T3065" s="38"/>
      <c r="U3065" s="38" t="b">
        <f t="shared" si="419"/>
        <v>0</v>
      </c>
      <c r="V3065" s="124" t="s">
        <v>33</v>
      </c>
      <c r="W3065" s="233" t="s">
        <v>8051</v>
      </c>
      <c r="X3065" s="138"/>
      <c r="Y3065" s="233"/>
      <c r="Z3065" s="133"/>
      <c r="AA3065" s="133"/>
      <c r="AB3065" s="133"/>
      <c r="AC3065" s="133"/>
      <c r="AD3065" s="133"/>
      <c r="AE3065" s="133"/>
      <c r="AF3065" s="133"/>
      <c r="AG3065" s="133"/>
      <c r="AH3065" s="133"/>
      <c r="AI3065" s="133"/>
      <c r="AJ3065" s="133"/>
      <c r="AK3065" s="133"/>
      <c r="AL3065" s="133"/>
      <c r="AM3065" s="133"/>
      <c r="AN3065" s="133"/>
      <c r="AO3065" s="133"/>
      <c r="AP3065" s="133"/>
      <c r="AQ3065" s="133"/>
      <c r="AR3065" s="133"/>
      <c r="AS3065" s="133"/>
      <c r="AT3065" s="133"/>
      <c r="AU3065" s="133"/>
      <c r="AV3065" s="133"/>
      <c r="AW3065" s="133"/>
      <c r="AX3065" s="133"/>
      <c r="AY3065" s="133"/>
      <c r="AZ3065" s="133"/>
      <c r="BA3065" s="133"/>
      <c r="BB3065" s="133"/>
      <c r="BC3065" s="133"/>
      <c r="BD3065" s="133"/>
      <c r="BE3065" s="133"/>
      <c r="BF3065" s="133"/>
      <c r="BG3065" s="133"/>
      <c r="BH3065" s="133"/>
      <c r="BI3065" s="133"/>
      <c r="BJ3065" s="133"/>
      <c r="BK3065" s="133"/>
      <c r="BL3065" s="133"/>
      <c r="BM3065" s="133"/>
      <c r="BN3065" s="133"/>
      <c r="BO3065" s="133"/>
      <c r="BP3065" s="133"/>
      <c r="BQ3065" s="133"/>
    </row>
    <row r="3066">
      <c r="A3066" s="194" t="s">
        <v>8066</v>
      </c>
      <c r="B3066" s="125"/>
      <c r="C3066" s="195">
        <v>43922.0</v>
      </c>
      <c r="D3066" s="133"/>
      <c r="E3066" s="124" t="s">
        <v>31</v>
      </c>
      <c r="F3066" s="198">
        <v>1.0</v>
      </c>
      <c r="G3066" s="124" t="s">
        <v>32</v>
      </c>
      <c r="H3066" s="303">
        <v>1.0</v>
      </c>
      <c r="I3066" s="124" t="s">
        <v>33</v>
      </c>
      <c r="J3066" s="124" t="s">
        <v>179</v>
      </c>
      <c r="K3066" s="133"/>
      <c r="L3066" s="124" t="s">
        <v>8048</v>
      </c>
      <c r="M3066" s="242" t="s">
        <v>8049</v>
      </c>
      <c r="N3066" s="233" t="s">
        <v>8050</v>
      </c>
      <c r="O3066" s="124"/>
      <c r="P3066" s="133"/>
      <c r="Q3066" s="124"/>
      <c r="R3066" s="128"/>
      <c r="S3066" s="37"/>
      <c r="T3066" s="38"/>
      <c r="U3066" s="38" t="b">
        <f t="shared" si="419"/>
        <v>0</v>
      </c>
      <c r="V3066" s="124" t="s">
        <v>33</v>
      </c>
      <c r="W3066" s="233" t="s">
        <v>8051</v>
      </c>
      <c r="X3066" s="138"/>
      <c r="Y3066" s="233"/>
      <c r="Z3066" s="133"/>
      <c r="AA3066" s="133"/>
      <c r="AB3066" s="133"/>
      <c r="AC3066" s="133"/>
      <c r="AD3066" s="133"/>
      <c r="AE3066" s="133"/>
      <c r="AF3066" s="133"/>
      <c r="AG3066" s="133"/>
      <c r="AH3066" s="133"/>
      <c r="AI3066" s="133"/>
      <c r="AJ3066" s="133"/>
      <c r="AK3066" s="133"/>
      <c r="AL3066" s="133"/>
      <c r="AM3066" s="133"/>
      <c r="AN3066" s="133"/>
      <c r="AO3066" s="133"/>
      <c r="AP3066" s="133"/>
      <c r="AQ3066" s="133"/>
      <c r="AR3066" s="133"/>
      <c r="AS3066" s="133"/>
      <c r="AT3066" s="133"/>
      <c r="AU3066" s="133"/>
      <c r="AV3066" s="133"/>
      <c r="AW3066" s="133"/>
      <c r="AX3066" s="133"/>
      <c r="AY3066" s="133"/>
      <c r="AZ3066" s="133"/>
      <c r="BA3066" s="133"/>
      <c r="BB3066" s="133"/>
      <c r="BC3066" s="133"/>
      <c r="BD3066" s="133"/>
      <c r="BE3066" s="133"/>
      <c r="BF3066" s="133"/>
      <c r="BG3066" s="133"/>
      <c r="BH3066" s="133"/>
      <c r="BI3066" s="133"/>
      <c r="BJ3066" s="133"/>
      <c r="BK3066" s="133"/>
      <c r="BL3066" s="133"/>
      <c r="BM3066" s="133"/>
      <c r="BN3066" s="133"/>
      <c r="BO3066" s="133"/>
      <c r="BP3066" s="133"/>
      <c r="BQ3066" s="133"/>
    </row>
    <row r="3067">
      <c r="A3067" s="194" t="s">
        <v>8067</v>
      </c>
      <c r="B3067" s="125"/>
      <c r="C3067" s="195">
        <v>43922.0</v>
      </c>
      <c r="D3067" s="133"/>
      <c r="E3067" s="124" t="s">
        <v>31</v>
      </c>
      <c r="F3067" s="198">
        <v>1.0</v>
      </c>
      <c r="G3067" s="124" t="s">
        <v>32</v>
      </c>
      <c r="H3067" s="303">
        <v>1.0</v>
      </c>
      <c r="I3067" s="124" t="s">
        <v>33</v>
      </c>
      <c r="J3067" s="124" t="s">
        <v>179</v>
      </c>
      <c r="K3067" s="133"/>
      <c r="L3067" s="124" t="s">
        <v>8048</v>
      </c>
      <c r="M3067" s="242" t="s">
        <v>8049</v>
      </c>
      <c r="N3067" s="233" t="s">
        <v>8050</v>
      </c>
      <c r="O3067" s="124"/>
      <c r="P3067" s="133"/>
      <c r="Q3067" s="124"/>
      <c r="R3067" s="128"/>
      <c r="S3067" s="37"/>
      <c r="T3067" s="38"/>
      <c r="U3067" s="38" t="b">
        <f t="shared" si="419"/>
        <v>0</v>
      </c>
      <c r="V3067" s="124" t="s">
        <v>33</v>
      </c>
      <c r="W3067" s="233" t="s">
        <v>8051</v>
      </c>
      <c r="X3067" s="138"/>
      <c r="Y3067" s="233"/>
      <c r="Z3067" s="133"/>
      <c r="AA3067" s="133"/>
      <c r="AB3067" s="133"/>
      <c r="AC3067" s="133"/>
      <c r="AD3067" s="133"/>
      <c r="AE3067" s="133"/>
      <c r="AF3067" s="133"/>
      <c r="AG3067" s="133"/>
      <c r="AH3067" s="133"/>
      <c r="AI3067" s="133"/>
      <c r="AJ3067" s="133"/>
      <c r="AK3067" s="133"/>
      <c r="AL3067" s="133"/>
      <c r="AM3067" s="133"/>
      <c r="AN3067" s="133"/>
      <c r="AO3067" s="133"/>
      <c r="AP3067" s="133"/>
      <c r="AQ3067" s="133"/>
      <c r="AR3067" s="133"/>
      <c r="AS3067" s="133"/>
      <c r="AT3067" s="133"/>
      <c r="AU3067" s="133"/>
      <c r="AV3067" s="133"/>
      <c r="AW3067" s="133"/>
      <c r="AX3067" s="133"/>
      <c r="AY3067" s="133"/>
      <c r="AZ3067" s="133"/>
      <c r="BA3067" s="133"/>
      <c r="BB3067" s="133"/>
      <c r="BC3067" s="133"/>
      <c r="BD3067" s="133"/>
      <c r="BE3067" s="133"/>
      <c r="BF3067" s="133"/>
      <c r="BG3067" s="133"/>
      <c r="BH3067" s="133"/>
      <c r="BI3067" s="133"/>
      <c r="BJ3067" s="133"/>
      <c r="BK3067" s="133"/>
      <c r="BL3067" s="133"/>
      <c r="BM3067" s="133"/>
      <c r="BN3067" s="133"/>
      <c r="BO3067" s="133"/>
      <c r="BP3067" s="133"/>
      <c r="BQ3067" s="133"/>
    </row>
    <row r="3068">
      <c r="A3068" s="194" t="s">
        <v>8068</v>
      </c>
      <c r="B3068" s="125"/>
      <c r="C3068" s="195">
        <v>43922.0</v>
      </c>
      <c r="D3068" s="133"/>
      <c r="E3068" s="124" t="s">
        <v>31</v>
      </c>
      <c r="F3068" s="198">
        <v>1.0</v>
      </c>
      <c r="G3068" s="124" t="s">
        <v>32</v>
      </c>
      <c r="H3068" s="303">
        <v>1.0</v>
      </c>
      <c r="I3068" s="124" t="s">
        <v>33</v>
      </c>
      <c r="J3068" s="124" t="s">
        <v>179</v>
      </c>
      <c r="K3068" s="133"/>
      <c r="L3068" s="124" t="s">
        <v>8048</v>
      </c>
      <c r="M3068" s="242" t="s">
        <v>8049</v>
      </c>
      <c r="N3068" s="233" t="s">
        <v>8050</v>
      </c>
      <c r="O3068" s="124"/>
      <c r="P3068" s="133"/>
      <c r="Q3068" s="124"/>
      <c r="R3068" s="128"/>
      <c r="S3068" s="37"/>
      <c r="T3068" s="38"/>
      <c r="U3068" s="38" t="b">
        <f t="shared" si="419"/>
        <v>0</v>
      </c>
      <c r="V3068" s="124" t="s">
        <v>33</v>
      </c>
      <c r="W3068" s="233" t="s">
        <v>8051</v>
      </c>
      <c r="X3068" s="138"/>
      <c r="Y3068" s="233"/>
      <c r="Z3068" s="133"/>
      <c r="AA3068" s="133"/>
      <c r="AB3068" s="133"/>
      <c r="AC3068" s="133"/>
      <c r="AD3068" s="133"/>
      <c r="AE3068" s="133"/>
      <c r="AF3068" s="133"/>
      <c r="AG3068" s="133"/>
      <c r="AH3068" s="133"/>
      <c r="AI3068" s="133"/>
      <c r="AJ3068" s="133"/>
      <c r="AK3068" s="133"/>
      <c r="AL3068" s="133"/>
      <c r="AM3068" s="133"/>
      <c r="AN3068" s="133"/>
      <c r="AO3068" s="133"/>
      <c r="AP3068" s="133"/>
      <c r="AQ3068" s="133"/>
      <c r="AR3068" s="133"/>
      <c r="AS3068" s="133"/>
      <c r="AT3068" s="133"/>
      <c r="AU3068" s="133"/>
      <c r="AV3068" s="133"/>
      <c r="AW3068" s="133"/>
      <c r="AX3068" s="133"/>
      <c r="AY3068" s="133"/>
      <c r="AZ3068" s="133"/>
      <c r="BA3068" s="133"/>
      <c r="BB3068" s="133"/>
      <c r="BC3068" s="133"/>
      <c r="BD3068" s="133"/>
      <c r="BE3068" s="133"/>
      <c r="BF3068" s="133"/>
      <c r="BG3068" s="133"/>
      <c r="BH3068" s="133"/>
      <c r="BI3068" s="133"/>
      <c r="BJ3068" s="133"/>
      <c r="BK3068" s="133"/>
      <c r="BL3068" s="133"/>
      <c r="BM3068" s="133"/>
      <c r="BN3068" s="133"/>
      <c r="BO3068" s="133"/>
      <c r="BP3068" s="133"/>
      <c r="BQ3068" s="133"/>
    </row>
    <row r="3069">
      <c r="A3069" s="194" t="s">
        <v>8069</v>
      </c>
      <c r="B3069" s="125"/>
      <c r="C3069" s="195">
        <v>43922.0</v>
      </c>
      <c r="D3069" s="133"/>
      <c r="E3069" s="124" t="s">
        <v>31</v>
      </c>
      <c r="F3069" s="198">
        <v>1.0</v>
      </c>
      <c r="G3069" s="124" t="s">
        <v>32</v>
      </c>
      <c r="H3069" s="303">
        <v>1.0</v>
      </c>
      <c r="I3069" s="124" t="s">
        <v>33</v>
      </c>
      <c r="J3069" s="124" t="s">
        <v>179</v>
      </c>
      <c r="K3069" s="133"/>
      <c r="L3069" s="124" t="s">
        <v>8048</v>
      </c>
      <c r="M3069" s="242" t="s">
        <v>8049</v>
      </c>
      <c r="N3069" s="233" t="s">
        <v>8050</v>
      </c>
      <c r="O3069" s="124"/>
      <c r="P3069" s="133"/>
      <c r="Q3069" s="124"/>
      <c r="R3069" s="128"/>
      <c r="S3069" s="37"/>
      <c r="T3069" s="38"/>
      <c r="U3069" s="38" t="b">
        <f t="shared" si="419"/>
        <v>0</v>
      </c>
      <c r="V3069" s="124" t="s">
        <v>33</v>
      </c>
      <c r="W3069" s="233" t="s">
        <v>8051</v>
      </c>
      <c r="X3069" s="138"/>
      <c r="Y3069" s="233"/>
      <c r="Z3069" s="133"/>
      <c r="AA3069" s="133"/>
      <c r="AB3069" s="133"/>
      <c r="AC3069" s="133"/>
      <c r="AD3069" s="133"/>
      <c r="AE3069" s="133"/>
      <c r="AF3069" s="133"/>
      <c r="AG3069" s="133"/>
      <c r="AH3069" s="133"/>
      <c r="AI3069" s="133"/>
      <c r="AJ3069" s="133"/>
      <c r="AK3069" s="133"/>
      <c r="AL3069" s="133"/>
      <c r="AM3069" s="133"/>
      <c r="AN3069" s="133"/>
      <c r="AO3069" s="133"/>
      <c r="AP3069" s="133"/>
      <c r="AQ3069" s="133"/>
      <c r="AR3069" s="133"/>
      <c r="AS3069" s="133"/>
      <c r="AT3069" s="133"/>
      <c r="AU3069" s="133"/>
      <c r="AV3069" s="133"/>
      <c r="AW3069" s="133"/>
      <c r="AX3069" s="133"/>
      <c r="AY3069" s="133"/>
      <c r="AZ3069" s="133"/>
      <c r="BA3069" s="133"/>
      <c r="BB3069" s="133"/>
      <c r="BC3069" s="133"/>
      <c r="BD3069" s="133"/>
      <c r="BE3069" s="133"/>
      <c r="BF3069" s="133"/>
      <c r="BG3069" s="133"/>
      <c r="BH3069" s="133"/>
      <c r="BI3069" s="133"/>
      <c r="BJ3069" s="133"/>
      <c r="BK3069" s="133"/>
      <c r="BL3069" s="133"/>
      <c r="BM3069" s="133"/>
      <c r="BN3069" s="133"/>
      <c r="BO3069" s="133"/>
      <c r="BP3069" s="133"/>
      <c r="BQ3069" s="133"/>
    </row>
    <row r="3070">
      <c r="A3070" s="194" t="s">
        <v>8070</v>
      </c>
      <c r="B3070" s="125"/>
      <c r="C3070" s="195">
        <v>43922.0</v>
      </c>
      <c r="D3070" s="133"/>
      <c r="E3070" s="124" t="s">
        <v>31</v>
      </c>
      <c r="F3070" s="198">
        <v>1.0</v>
      </c>
      <c r="G3070" s="124" t="s">
        <v>32</v>
      </c>
      <c r="H3070" s="303">
        <v>1.0</v>
      </c>
      <c r="I3070" s="124" t="s">
        <v>33</v>
      </c>
      <c r="J3070" s="124" t="s">
        <v>179</v>
      </c>
      <c r="K3070" s="133"/>
      <c r="L3070" s="124" t="s">
        <v>8048</v>
      </c>
      <c r="M3070" s="242" t="s">
        <v>8049</v>
      </c>
      <c r="N3070" s="233" t="s">
        <v>8050</v>
      </c>
      <c r="O3070" s="124"/>
      <c r="P3070" s="133"/>
      <c r="Q3070" s="124"/>
      <c r="R3070" s="128"/>
      <c r="S3070" s="37"/>
      <c r="T3070" s="38"/>
      <c r="U3070" s="38" t="b">
        <f t="shared" si="419"/>
        <v>0</v>
      </c>
      <c r="V3070" s="124" t="s">
        <v>33</v>
      </c>
      <c r="W3070" s="233" t="s">
        <v>8051</v>
      </c>
      <c r="X3070" s="138"/>
      <c r="Y3070" s="233"/>
      <c r="Z3070" s="133"/>
      <c r="AA3070" s="133"/>
      <c r="AB3070" s="133"/>
      <c r="AC3070" s="133"/>
      <c r="AD3070" s="133"/>
      <c r="AE3070" s="133"/>
      <c r="AF3070" s="133"/>
      <c r="AG3070" s="133"/>
      <c r="AH3070" s="133"/>
      <c r="AI3070" s="133"/>
      <c r="AJ3070" s="133"/>
      <c r="AK3070" s="133"/>
      <c r="AL3070" s="133"/>
      <c r="AM3070" s="133"/>
      <c r="AN3070" s="133"/>
      <c r="AO3070" s="133"/>
      <c r="AP3070" s="133"/>
      <c r="AQ3070" s="133"/>
      <c r="AR3070" s="133"/>
      <c r="AS3070" s="133"/>
      <c r="AT3070" s="133"/>
      <c r="AU3070" s="133"/>
      <c r="AV3070" s="133"/>
      <c r="AW3070" s="133"/>
      <c r="AX3070" s="133"/>
      <c r="AY3070" s="133"/>
      <c r="AZ3070" s="133"/>
      <c r="BA3070" s="133"/>
      <c r="BB3070" s="133"/>
      <c r="BC3070" s="133"/>
      <c r="BD3070" s="133"/>
      <c r="BE3070" s="133"/>
      <c r="BF3070" s="133"/>
      <c r="BG3070" s="133"/>
      <c r="BH3070" s="133"/>
      <c r="BI3070" s="133"/>
      <c r="BJ3070" s="133"/>
      <c r="BK3070" s="133"/>
      <c r="BL3070" s="133"/>
      <c r="BM3070" s="133"/>
      <c r="BN3070" s="133"/>
      <c r="BO3070" s="133"/>
      <c r="BP3070" s="133"/>
      <c r="BQ3070" s="133"/>
    </row>
    <row r="3071">
      <c r="A3071" s="194" t="s">
        <v>8071</v>
      </c>
      <c r="B3071" s="125"/>
      <c r="C3071" s="195">
        <v>43922.0</v>
      </c>
      <c r="D3071" s="133"/>
      <c r="E3071" s="124" t="s">
        <v>31</v>
      </c>
      <c r="F3071" s="198">
        <v>1.0</v>
      </c>
      <c r="G3071" s="124" t="s">
        <v>32</v>
      </c>
      <c r="H3071" s="303">
        <v>1.0</v>
      </c>
      <c r="I3071" s="124" t="s">
        <v>33</v>
      </c>
      <c r="J3071" s="124" t="s">
        <v>179</v>
      </c>
      <c r="K3071" s="133"/>
      <c r="L3071" s="124" t="s">
        <v>8048</v>
      </c>
      <c r="M3071" s="242" t="s">
        <v>8049</v>
      </c>
      <c r="N3071" s="233" t="s">
        <v>8050</v>
      </c>
      <c r="O3071" s="124"/>
      <c r="P3071" s="133"/>
      <c r="Q3071" s="124"/>
      <c r="R3071" s="128"/>
      <c r="S3071" s="37"/>
      <c r="T3071" s="38"/>
      <c r="U3071" s="38" t="b">
        <f t="shared" si="419"/>
        <v>0</v>
      </c>
      <c r="V3071" s="124" t="s">
        <v>33</v>
      </c>
      <c r="W3071" s="233" t="s">
        <v>8051</v>
      </c>
      <c r="X3071" s="138"/>
      <c r="Y3071" s="233"/>
      <c r="Z3071" s="133"/>
      <c r="AA3071" s="133"/>
      <c r="AB3071" s="133"/>
      <c r="AC3071" s="133"/>
      <c r="AD3071" s="133"/>
      <c r="AE3071" s="133"/>
      <c r="AF3071" s="133"/>
      <c r="AG3071" s="133"/>
      <c r="AH3071" s="133"/>
      <c r="AI3071" s="133"/>
      <c r="AJ3071" s="133"/>
      <c r="AK3071" s="133"/>
      <c r="AL3071" s="133"/>
      <c r="AM3071" s="133"/>
      <c r="AN3071" s="133"/>
      <c r="AO3071" s="133"/>
      <c r="AP3071" s="133"/>
      <c r="AQ3071" s="133"/>
      <c r="AR3071" s="133"/>
      <c r="AS3071" s="133"/>
      <c r="AT3071" s="133"/>
      <c r="AU3071" s="133"/>
      <c r="AV3071" s="133"/>
      <c r="AW3071" s="133"/>
      <c r="AX3071" s="133"/>
      <c r="AY3071" s="133"/>
      <c r="AZ3071" s="133"/>
      <c r="BA3071" s="133"/>
      <c r="BB3071" s="133"/>
      <c r="BC3071" s="133"/>
      <c r="BD3071" s="133"/>
      <c r="BE3071" s="133"/>
      <c r="BF3071" s="133"/>
      <c r="BG3071" s="133"/>
      <c r="BH3071" s="133"/>
      <c r="BI3071" s="133"/>
      <c r="BJ3071" s="133"/>
      <c r="BK3071" s="133"/>
      <c r="BL3071" s="133"/>
      <c r="BM3071" s="133"/>
      <c r="BN3071" s="133"/>
      <c r="BO3071" s="133"/>
      <c r="BP3071" s="133"/>
      <c r="BQ3071" s="133"/>
    </row>
    <row r="3072">
      <c r="A3072" s="194" t="s">
        <v>8072</v>
      </c>
      <c r="B3072" s="125"/>
      <c r="C3072" s="195">
        <v>43922.0</v>
      </c>
      <c r="D3072" s="133"/>
      <c r="E3072" s="124" t="s">
        <v>31</v>
      </c>
      <c r="F3072" s="198">
        <v>1.0</v>
      </c>
      <c r="G3072" s="124" t="s">
        <v>32</v>
      </c>
      <c r="H3072" s="303">
        <v>1.0</v>
      </c>
      <c r="I3072" s="124" t="s">
        <v>33</v>
      </c>
      <c r="J3072" s="124" t="s">
        <v>179</v>
      </c>
      <c r="K3072" s="133"/>
      <c r="L3072" s="124" t="s">
        <v>8048</v>
      </c>
      <c r="M3072" s="242" t="s">
        <v>8049</v>
      </c>
      <c r="N3072" s="233" t="s">
        <v>8050</v>
      </c>
      <c r="O3072" s="124"/>
      <c r="P3072" s="133"/>
      <c r="Q3072" s="124"/>
      <c r="R3072" s="128"/>
      <c r="S3072" s="37"/>
      <c r="T3072" s="38"/>
      <c r="U3072" s="38" t="b">
        <f t="shared" si="419"/>
        <v>0</v>
      </c>
      <c r="V3072" s="124" t="s">
        <v>33</v>
      </c>
      <c r="W3072" s="233" t="s">
        <v>8051</v>
      </c>
      <c r="X3072" s="138"/>
      <c r="Y3072" s="233"/>
      <c r="Z3072" s="133"/>
      <c r="AA3072" s="133"/>
      <c r="AB3072" s="133"/>
      <c r="AC3072" s="133"/>
      <c r="AD3072" s="133"/>
      <c r="AE3072" s="133"/>
      <c r="AF3072" s="133"/>
      <c r="AG3072" s="133"/>
      <c r="AH3072" s="133"/>
      <c r="AI3072" s="133"/>
      <c r="AJ3072" s="133"/>
      <c r="AK3072" s="133"/>
      <c r="AL3072" s="133"/>
      <c r="AM3072" s="133"/>
      <c r="AN3072" s="133"/>
      <c r="AO3072" s="133"/>
      <c r="AP3072" s="133"/>
      <c r="AQ3072" s="133"/>
      <c r="AR3072" s="133"/>
      <c r="AS3072" s="133"/>
      <c r="AT3072" s="133"/>
      <c r="AU3072" s="133"/>
      <c r="AV3072" s="133"/>
      <c r="AW3072" s="133"/>
      <c r="AX3072" s="133"/>
      <c r="AY3072" s="133"/>
      <c r="AZ3072" s="133"/>
      <c r="BA3072" s="133"/>
      <c r="BB3072" s="133"/>
      <c r="BC3072" s="133"/>
      <c r="BD3072" s="133"/>
      <c r="BE3072" s="133"/>
      <c r="BF3072" s="133"/>
      <c r="BG3072" s="133"/>
      <c r="BH3072" s="133"/>
      <c r="BI3072" s="133"/>
      <c r="BJ3072" s="133"/>
      <c r="BK3072" s="133"/>
      <c r="BL3072" s="133"/>
      <c r="BM3072" s="133"/>
      <c r="BN3072" s="133"/>
      <c r="BO3072" s="133"/>
      <c r="BP3072" s="133"/>
      <c r="BQ3072" s="133"/>
    </row>
    <row r="3073">
      <c r="A3073" s="194" t="s">
        <v>8073</v>
      </c>
      <c r="B3073" s="125"/>
      <c r="C3073" s="195">
        <v>43922.0</v>
      </c>
      <c r="D3073" s="133"/>
      <c r="E3073" s="124" t="s">
        <v>31</v>
      </c>
      <c r="F3073" s="198">
        <v>1.0</v>
      </c>
      <c r="G3073" s="124" t="s">
        <v>32</v>
      </c>
      <c r="H3073" s="303">
        <v>1.0</v>
      </c>
      <c r="I3073" s="124" t="s">
        <v>33</v>
      </c>
      <c r="J3073" s="124" t="s">
        <v>179</v>
      </c>
      <c r="K3073" s="133"/>
      <c r="L3073" s="124" t="s">
        <v>8048</v>
      </c>
      <c r="M3073" s="242" t="s">
        <v>8049</v>
      </c>
      <c r="N3073" s="233" t="s">
        <v>8050</v>
      </c>
      <c r="O3073" s="124"/>
      <c r="P3073" s="133"/>
      <c r="Q3073" s="124"/>
      <c r="R3073" s="128"/>
      <c r="S3073" s="37"/>
      <c r="T3073" s="38"/>
      <c r="U3073" s="38" t="b">
        <f t="shared" si="419"/>
        <v>0</v>
      </c>
      <c r="V3073" s="124" t="s">
        <v>33</v>
      </c>
      <c r="W3073" s="233" t="s">
        <v>8051</v>
      </c>
      <c r="X3073" s="138"/>
      <c r="Y3073" s="233"/>
      <c r="Z3073" s="133"/>
      <c r="AA3073" s="133"/>
      <c r="AB3073" s="133"/>
      <c r="AC3073" s="133"/>
      <c r="AD3073" s="133"/>
      <c r="AE3073" s="133"/>
      <c r="AF3073" s="133"/>
      <c r="AG3073" s="133"/>
      <c r="AH3073" s="133"/>
      <c r="AI3073" s="133"/>
      <c r="AJ3073" s="133"/>
      <c r="AK3073" s="133"/>
      <c r="AL3073" s="133"/>
      <c r="AM3073" s="133"/>
      <c r="AN3073" s="133"/>
      <c r="AO3073" s="133"/>
      <c r="AP3073" s="133"/>
      <c r="AQ3073" s="133"/>
      <c r="AR3073" s="133"/>
      <c r="AS3073" s="133"/>
      <c r="AT3073" s="133"/>
      <c r="AU3073" s="133"/>
      <c r="AV3073" s="133"/>
      <c r="AW3073" s="133"/>
      <c r="AX3073" s="133"/>
      <c r="AY3073" s="133"/>
      <c r="AZ3073" s="133"/>
      <c r="BA3073" s="133"/>
      <c r="BB3073" s="133"/>
      <c r="BC3073" s="133"/>
      <c r="BD3073" s="133"/>
      <c r="BE3073" s="133"/>
      <c r="BF3073" s="133"/>
      <c r="BG3073" s="133"/>
      <c r="BH3073" s="133"/>
      <c r="BI3073" s="133"/>
      <c r="BJ3073" s="133"/>
      <c r="BK3073" s="133"/>
      <c r="BL3073" s="133"/>
      <c r="BM3073" s="133"/>
      <c r="BN3073" s="133"/>
      <c r="BO3073" s="133"/>
      <c r="BP3073" s="133"/>
      <c r="BQ3073" s="133"/>
    </row>
    <row r="3074">
      <c r="A3074" s="194" t="s">
        <v>8074</v>
      </c>
      <c r="B3074" s="125"/>
      <c r="C3074" s="195">
        <v>43922.0</v>
      </c>
      <c r="D3074" s="133"/>
      <c r="E3074" s="124" t="s">
        <v>31</v>
      </c>
      <c r="F3074" s="198">
        <v>1.0</v>
      </c>
      <c r="G3074" s="124" t="s">
        <v>32</v>
      </c>
      <c r="H3074" s="303">
        <v>1.0</v>
      </c>
      <c r="I3074" s="124" t="s">
        <v>33</v>
      </c>
      <c r="J3074" s="124" t="s">
        <v>179</v>
      </c>
      <c r="K3074" s="133"/>
      <c r="L3074" s="124" t="s">
        <v>8048</v>
      </c>
      <c r="M3074" s="242" t="s">
        <v>8049</v>
      </c>
      <c r="N3074" s="233" t="s">
        <v>8050</v>
      </c>
      <c r="O3074" s="124"/>
      <c r="P3074" s="133"/>
      <c r="Q3074" s="124"/>
      <c r="R3074" s="128"/>
      <c r="S3074" s="37"/>
      <c r="T3074" s="38"/>
      <c r="U3074" s="38" t="b">
        <f t="shared" si="419"/>
        <v>0</v>
      </c>
      <c r="V3074" s="124" t="s">
        <v>33</v>
      </c>
      <c r="W3074" s="233" t="s">
        <v>8051</v>
      </c>
      <c r="X3074" s="138"/>
      <c r="Y3074" s="233"/>
      <c r="Z3074" s="133"/>
      <c r="AA3074" s="133"/>
      <c r="AB3074" s="133"/>
      <c r="AC3074" s="133"/>
      <c r="AD3074" s="133"/>
      <c r="AE3074" s="133"/>
      <c r="AF3074" s="133"/>
      <c r="AG3074" s="133"/>
      <c r="AH3074" s="133"/>
      <c r="AI3074" s="133"/>
      <c r="AJ3074" s="133"/>
      <c r="AK3074" s="133"/>
      <c r="AL3074" s="133"/>
      <c r="AM3074" s="133"/>
      <c r="AN3074" s="133"/>
      <c r="AO3074" s="133"/>
      <c r="AP3074" s="133"/>
      <c r="AQ3074" s="133"/>
      <c r="AR3074" s="133"/>
      <c r="AS3074" s="133"/>
      <c r="AT3074" s="133"/>
      <c r="AU3074" s="133"/>
      <c r="AV3074" s="133"/>
      <c r="AW3074" s="133"/>
      <c r="AX3074" s="133"/>
      <c r="AY3074" s="133"/>
      <c r="AZ3074" s="133"/>
      <c r="BA3074" s="133"/>
      <c r="BB3074" s="133"/>
      <c r="BC3074" s="133"/>
      <c r="BD3074" s="133"/>
      <c r="BE3074" s="133"/>
      <c r="BF3074" s="133"/>
      <c r="BG3074" s="133"/>
      <c r="BH3074" s="133"/>
      <c r="BI3074" s="133"/>
      <c r="BJ3074" s="133"/>
      <c r="BK3074" s="133"/>
      <c r="BL3074" s="133"/>
      <c r="BM3074" s="133"/>
      <c r="BN3074" s="133"/>
      <c r="BO3074" s="133"/>
      <c r="BP3074" s="133"/>
      <c r="BQ3074" s="133"/>
    </row>
    <row r="3075">
      <c r="A3075" s="194" t="s">
        <v>8075</v>
      </c>
      <c r="B3075" s="125"/>
      <c r="C3075" s="195">
        <v>43922.0</v>
      </c>
      <c r="D3075" s="133"/>
      <c r="E3075" s="124" t="s">
        <v>31</v>
      </c>
      <c r="F3075" s="198">
        <v>1.0</v>
      </c>
      <c r="G3075" s="124" t="s">
        <v>32</v>
      </c>
      <c r="H3075" s="303">
        <v>1.0</v>
      </c>
      <c r="I3075" s="124" t="s">
        <v>33</v>
      </c>
      <c r="J3075" s="124" t="s">
        <v>179</v>
      </c>
      <c r="K3075" s="133"/>
      <c r="L3075" s="124" t="s">
        <v>8048</v>
      </c>
      <c r="M3075" s="242" t="s">
        <v>8049</v>
      </c>
      <c r="N3075" s="233" t="s">
        <v>8050</v>
      </c>
      <c r="O3075" s="124"/>
      <c r="P3075" s="133"/>
      <c r="Q3075" s="124"/>
      <c r="R3075" s="128"/>
      <c r="S3075" s="37"/>
      <c r="T3075" s="38"/>
      <c r="U3075" s="38" t="b">
        <f t="shared" si="419"/>
        <v>0</v>
      </c>
      <c r="V3075" s="124" t="s">
        <v>33</v>
      </c>
      <c r="W3075" s="233" t="s">
        <v>8051</v>
      </c>
      <c r="X3075" s="138"/>
      <c r="Y3075" s="233"/>
      <c r="Z3075" s="133"/>
      <c r="AA3075" s="133"/>
      <c r="AB3075" s="133"/>
      <c r="AC3075" s="133"/>
      <c r="AD3075" s="133"/>
      <c r="AE3075" s="133"/>
      <c r="AF3075" s="133"/>
      <c r="AG3075" s="133"/>
      <c r="AH3075" s="133"/>
      <c r="AI3075" s="133"/>
      <c r="AJ3075" s="133"/>
      <c r="AK3075" s="133"/>
      <c r="AL3075" s="133"/>
      <c r="AM3075" s="133"/>
      <c r="AN3075" s="133"/>
      <c r="AO3075" s="133"/>
      <c r="AP3075" s="133"/>
      <c r="AQ3075" s="133"/>
      <c r="AR3075" s="133"/>
      <c r="AS3075" s="133"/>
      <c r="AT3075" s="133"/>
      <c r="AU3075" s="133"/>
      <c r="AV3075" s="133"/>
      <c r="AW3075" s="133"/>
      <c r="AX3075" s="133"/>
      <c r="AY3075" s="133"/>
      <c r="AZ3075" s="133"/>
      <c r="BA3075" s="133"/>
      <c r="BB3075" s="133"/>
      <c r="BC3075" s="133"/>
      <c r="BD3075" s="133"/>
      <c r="BE3075" s="133"/>
      <c r="BF3075" s="133"/>
      <c r="BG3075" s="133"/>
      <c r="BH3075" s="133"/>
      <c r="BI3075" s="133"/>
      <c r="BJ3075" s="133"/>
      <c r="BK3075" s="133"/>
      <c r="BL3075" s="133"/>
      <c r="BM3075" s="133"/>
      <c r="BN3075" s="133"/>
      <c r="BO3075" s="133"/>
      <c r="BP3075" s="133"/>
      <c r="BQ3075" s="133"/>
    </row>
    <row r="3076">
      <c r="A3076" s="194" t="s">
        <v>8076</v>
      </c>
      <c r="B3076" s="125"/>
      <c r="C3076" s="195">
        <v>43922.0</v>
      </c>
      <c r="D3076" s="133"/>
      <c r="E3076" s="124" t="s">
        <v>31</v>
      </c>
      <c r="F3076" s="198">
        <v>1.0</v>
      </c>
      <c r="G3076" s="124" t="s">
        <v>32</v>
      </c>
      <c r="H3076" s="303">
        <v>1.0</v>
      </c>
      <c r="I3076" s="124" t="s">
        <v>33</v>
      </c>
      <c r="J3076" s="124" t="s">
        <v>179</v>
      </c>
      <c r="K3076" s="133"/>
      <c r="L3076" s="124" t="s">
        <v>8048</v>
      </c>
      <c r="M3076" s="242" t="s">
        <v>8049</v>
      </c>
      <c r="N3076" s="233" t="s">
        <v>8050</v>
      </c>
      <c r="O3076" s="124"/>
      <c r="P3076" s="133"/>
      <c r="Q3076" s="124"/>
      <c r="R3076" s="128"/>
      <c r="S3076" s="37"/>
      <c r="T3076" s="38"/>
      <c r="U3076" s="38" t="b">
        <f t="shared" si="419"/>
        <v>0</v>
      </c>
      <c r="V3076" s="124" t="s">
        <v>33</v>
      </c>
      <c r="W3076" s="233" t="s">
        <v>8051</v>
      </c>
      <c r="X3076" s="138"/>
      <c r="Y3076" s="233"/>
      <c r="Z3076" s="133"/>
      <c r="AA3076" s="133"/>
      <c r="AB3076" s="133"/>
      <c r="AC3076" s="133"/>
      <c r="AD3076" s="133"/>
      <c r="AE3076" s="133"/>
      <c r="AF3076" s="133"/>
      <c r="AG3076" s="133"/>
      <c r="AH3076" s="133"/>
      <c r="AI3076" s="133"/>
      <c r="AJ3076" s="133"/>
      <c r="AK3076" s="133"/>
      <c r="AL3076" s="133"/>
      <c r="AM3076" s="133"/>
      <c r="AN3076" s="133"/>
      <c r="AO3076" s="133"/>
      <c r="AP3076" s="133"/>
      <c r="AQ3076" s="133"/>
      <c r="AR3076" s="133"/>
      <c r="AS3076" s="133"/>
      <c r="AT3076" s="133"/>
      <c r="AU3076" s="133"/>
      <c r="AV3076" s="133"/>
      <c r="AW3076" s="133"/>
      <c r="AX3076" s="133"/>
      <c r="AY3076" s="133"/>
      <c r="AZ3076" s="133"/>
      <c r="BA3076" s="133"/>
      <c r="BB3076" s="133"/>
      <c r="BC3076" s="133"/>
      <c r="BD3076" s="133"/>
      <c r="BE3076" s="133"/>
      <c r="BF3076" s="133"/>
      <c r="BG3076" s="133"/>
      <c r="BH3076" s="133"/>
      <c r="BI3076" s="133"/>
      <c r="BJ3076" s="133"/>
      <c r="BK3076" s="133"/>
      <c r="BL3076" s="133"/>
      <c r="BM3076" s="133"/>
      <c r="BN3076" s="133"/>
      <c r="BO3076" s="133"/>
      <c r="BP3076" s="133"/>
      <c r="BQ3076" s="133"/>
    </row>
    <row r="3077">
      <c r="A3077" s="194" t="s">
        <v>8077</v>
      </c>
      <c r="B3077" s="125"/>
      <c r="C3077" s="195">
        <v>43922.0</v>
      </c>
      <c r="D3077" s="133"/>
      <c r="E3077" s="124" t="s">
        <v>41</v>
      </c>
      <c r="F3077" s="198">
        <v>1.0</v>
      </c>
      <c r="G3077" s="124" t="s">
        <v>32</v>
      </c>
      <c r="H3077" s="303">
        <v>1.0</v>
      </c>
      <c r="I3077" s="124" t="s">
        <v>33</v>
      </c>
      <c r="J3077" s="124" t="s">
        <v>111</v>
      </c>
      <c r="K3077" s="133"/>
      <c r="L3077" s="124" t="s">
        <v>6007</v>
      </c>
      <c r="M3077" s="242" t="s">
        <v>8078</v>
      </c>
      <c r="N3077" s="233"/>
      <c r="O3077" s="124"/>
      <c r="P3077" s="133"/>
      <c r="Q3077" s="124"/>
      <c r="R3077" s="128"/>
      <c r="S3077" s="37"/>
      <c r="T3077" s="38"/>
      <c r="U3077" s="38"/>
      <c r="V3077" s="124" t="s">
        <v>33</v>
      </c>
      <c r="W3077" s="233"/>
      <c r="X3077" s="138"/>
      <c r="Y3077" s="233"/>
      <c r="Z3077" s="133"/>
      <c r="AA3077" s="133"/>
      <c r="AB3077" s="133"/>
      <c r="AC3077" s="133"/>
      <c r="AD3077" s="133"/>
      <c r="AE3077" s="133"/>
      <c r="AF3077" s="133"/>
      <c r="AG3077" s="133"/>
      <c r="AH3077" s="133"/>
      <c r="AI3077" s="133"/>
      <c r="AJ3077" s="133"/>
      <c r="AK3077" s="133"/>
      <c r="AL3077" s="133"/>
      <c r="AM3077" s="133"/>
      <c r="AN3077" s="133"/>
      <c r="AO3077" s="133"/>
      <c r="AP3077" s="133"/>
      <c r="AQ3077" s="133"/>
      <c r="AR3077" s="133"/>
      <c r="AS3077" s="133"/>
      <c r="AT3077" s="133"/>
      <c r="AU3077" s="133"/>
      <c r="AV3077" s="133"/>
      <c r="AW3077" s="133"/>
      <c r="AX3077" s="133"/>
      <c r="AY3077" s="133"/>
      <c r="AZ3077" s="133"/>
      <c r="BA3077" s="133"/>
      <c r="BB3077" s="133"/>
      <c r="BC3077" s="133"/>
      <c r="BD3077" s="133"/>
      <c r="BE3077" s="133"/>
      <c r="BF3077" s="133"/>
      <c r="BG3077" s="133"/>
      <c r="BH3077" s="133"/>
      <c r="BI3077" s="133"/>
      <c r="BJ3077" s="133"/>
      <c r="BK3077" s="133"/>
      <c r="BL3077" s="133"/>
      <c r="BM3077" s="133"/>
      <c r="BN3077" s="133"/>
      <c r="BO3077" s="133"/>
      <c r="BP3077" s="133"/>
      <c r="BQ3077" s="133"/>
    </row>
    <row r="3078">
      <c r="A3078" s="194" t="s">
        <v>8079</v>
      </c>
      <c r="B3078" s="125"/>
      <c r="C3078" s="195">
        <v>43922.0</v>
      </c>
      <c r="D3078" s="133"/>
      <c r="E3078" s="124" t="s">
        <v>31</v>
      </c>
      <c r="F3078" s="198">
        <v>1.0</v>
      </c>
      <c r="G3078" s="124" t="s">
        <v>32</v>
      </c>
      <c r="H3078" s="303">
        <v>1.0</v>
      </c>
      <c r="I3078" s="124" t="s">
        <v>33</v>
      </c>
      <c r="J3078" s="124" t="s">
        <v>179</v>
      </c>
      <c r="K3078" s="133"/>
      <c r="L3078" s="124" t="s">
        <v>8048</v>
      </c>
      <c r="M3078" s="242" t="s">
        <v>8049</v>
      </c>
      <c r="N3078" s="233" t="s">
        <v>8050</v>
      </c>
      <c r="O3078" s="124"/>
      <c r="P3078" s="133"/>
      <c r="Q3078" s="124"/>
      <c r="R3078" s="128"/>
      <c r="S3078" s="37"/>
      <c r="T3078" s="38"/>
      <c r="U3078" s="38" t="b">
        <f t="shared" ref="U3078:U3082" si="420">countif(A$4:A4658, A3078)&gt;1</f>
        <v>0</v>
      </c>
      <c r="V3078" s="124" t="s">
        <v>33</v>
      </c>
      <c r="W3078" s="233" t="s">
        <v>8051</v>
      </c>
      <c r="X3078" s="138"/>
      <c r="Y3078" s="233"/>
      <c r="Z3078" s="133"/>
      <c r="AA3078" s="133"/>
      <c r="AB3078" s="133"/>
      <c r="AC3078" s="133"/>
      <c r="AD3078" s="133"/>
      <c r="AE3078" s="133"/>
      <c r="AF3078" s="133"/>
      <c r="AG3078" s="133"/>
      <c r="AH3078" s="133"/>
      <c r="AI3078" s="133"/>
      <c r="AJ3078" s="133"/>
      <c r="AK3078" s="133"/>
      <c r="AL3078" s="133"/>
      <c r="AM3078" s="133"/>
      <c r="AN3078" s="133"/>
      <c r="AO3078" s="133"/>
      <c r="AP3078" s="133"/>
      <c r="AQ3078" s="133"/>
      <c r="AR3078" s="133"/>
      <c r="AS3078" s="133"/>
      <c r="AT3078" s="133"/>
      <c r="AU3078" s="133"/>
      <c r="AV3078" s="133"/>
      <c r="AW3078" s="133"/>
      <c r="AX3078" s="133"/>
      <c r="AY3078" s="133"/>
      <c r="AZ3078" s="133"/>
      <c r="BA3078" s="133"/>
      <c r="BB3078" s="133"/>
      <c r="BC3078" s="133"/>
      <c r="BD3078" s="133"/>
      <c r="BE3078" s="133"/>
      <c r="BF3078" s="133"/>
      <c r="BG3078" s="133"/>
      <c r="BH3078" s="133"/>
      <c r="BI3078" s="133"/>
      <c r="BJ3078" s="133"/>
      <c r="BK3078" s="133"/>
      <c r="BL3078" s="133"/>
      <c r="BM3078" s="133"/>
      <c r="BN3078" s="133"/>
      <c r="BO3078" s="133"/>
      <c r="BP3078" s="133"/>
      <c r="BQ3078" s="133"/>
    </row>
    <row r="3079">
      <c r="A3079" s="194" t="s">
        <v>8080</v>
      </c>
      <c r="B3079" s="125"/>
      <c r="C3079" s="195">
        <v>43922.0</v>
      </c>
      <c r="D3079" s="133"/>
      <c r="E3079" s="124" t="s">
        <v>31</v>
      </c>
      <c r="F3079" s="198">
        <v>1.0</v>
      </c>
      <c r="G3079" s="124" t="s">
        <v>32</v>
      </c>
      <c r="H3079" s="303">
        <v>1.0</v>
      </c>
      <c r="I3079" s="124" t="s">
        <v>33</v>
      </c>
      <c r="J3079" s="124" t="s">
        <v>179</v>
      </c>
      <c r="K3079" s="133"/>
      <c r="L3079" s="124" t="s">
        <v>8048</v>
      </c>
      <c r="M3079" s="242" t="s">
        <v>8049</v>
      </c>
      <c r="N3079" s="233" t="s">
        <v>8050</v>
      </c>
      <c r="O3079" s="124"/>
      <c r="P3079" s="133"/>
      <c r="Q3079" s="124"/>
      <c r="R3079" s="128"/>
      <c r="S3079" s="37"/>
      <c r="T3079" s="38"/>
      <c r="U3079" s="38" t="b">
        <f t="shared" si="420"/>
        <v>0</v>
      </c>
      <c r="V3079" s="124" t="s">
        <v>33</v>
      </c>
      <c r="W3079" s="233" t="s">
        <v>8051</v>
      </c>
      <c r="X3079" s="138"/>
      <c r="Y3079" s="233"/>
      <c r="Z3079" s="133"/>
      <c r="AA3079" s="133"/>
      <c r="AB3079" s="133"/>
      <c r="AC3079" s="133"/>
      <c r="AD3079" s="133"/>
      <c r="AE3079" s="133"/>
      <c r="AF3079" s="133"/>
      <c r="AG3079" s="133"/>
      <c r="AH3079" s="133"/>
      <c r="AI3079" s="133"/>
      <c r="AJ3079" s="133"/>
      <c r="AK3079" s="133"/>
      <c r="AL3079" s="133"/>
      <c r="AM3079" s="133"/>
      <c r="AN3079" s="133"/>
      <c r="AO3079" s="133"/>
      <c r="AP3079" s="133"/>
      <c r="AQ3079" s="133"/>
      <c r="AR3079" s="133"/>
      <c r="AS3079" s="133"/>
      <c r="AT3079" s="133"/>
      <c r="AU3079" s="133"/>
      <c r="AV3079" s="133"/>
      <c r="AW3079" s="133"/>
      <c r="AX3079" s="133"/>
      <c r="AY3079" s="133"/>
      <c r="AZ3079" s="133"/>
      <c r="BA3079" s="133"/>
      <c r="BB3079" s="133"/>
      <c r="BC3079" s="133"/>
      <c r="BD3079" s="133"/>
      <c r="BE3079" s="133"/>
      <c r="BF3079" s="133"/>
      <c r="BG3079" s="133"/>
      <c r="BH3079" s="133"/>
      <c r="BI3079" s="133"/>
      <c r="BJ3079" s="133"/>
      <c r="BK3079" s="133"/>
      <c r="BL3079" s="133"/>
      <c r="BM3079" s="133"/>
      <c r="BN3079" s="133"/>
      <c r="BO3079" s="133"/>
      <c r="BP3079" s="133"/>
      <c r="BQ3079" s="133"/>
    </row>
    <row r="3080">
      <c r="A3080" s="194" t="s">
        <v>8081</v>
      </c>
      <c r="B3080" s="125"/>
      <c r="C3080" s="195">
        <v>43922.0</v>
      </c>
      <c r="D3080" s="133"/>
      <c r="E3080" s="124" t="s">
        <v>31</v>
      </c>
      <c r="F3080" s="198">
        <v>1.0</v>
      </c>
      <c r="G3080" s="124" t="s">
        <v>32</v>
      </c>
      <c r="H3080" s="303">
        <v>1.0</v>
      </c>
      <c r="I3080" s="124" t="s">
        <v>33</v>
      </c>
      <c r="J3080" s="124" t="s">
        <v>179</v>
      </c>
      <c r="K3080" s="133"/>
      <c r="L3080" s="124" t="s">
        <v>8048</v>
      </c>
      <c r="M3080" s="242" t="s">
        <v>8049</v>
      </c>
      <c r="N3080" s="233" t="s">
        <v>8050</v>
      </c>
      <c r="O3080" s="124"/>
      <c r="P3080" s="133"/>
      <c r="Q3080" s="124"/>
      <c r="R3080" s="128"/>
      <c r="S3080" s="37"/>
      <c r="T3080" s="38"/>
      <c r="U3080" s="38" t="b">
        <f t="shared" si="420"/>
        <v>0</v>
      </c>
      <c r="V3080" s="124" t="s">
        <v>33</v>
      </c>
      <c r="W3080" s="233" t="s">
        <v>8051</v>
      </c>
      <c r="X3080" s="138"/>
      <c r="Y3080" s="233"/>
      <c r="Z3080" s="133"/>
      <c r="AA3080" s="133"/>
      <c r="AB3080" s="133"/>
      <c r="AC3080" s="133"/>
      <c r="AD3080" s="133"/>
      <c r="AE3080" s="133"/>
      <c r="AF3080" s="133"/>
      <c r="AG3080" s="133"/>
      <c r="AH3080" s="133"/>
      <c r="AI3080" s="133"/>
      <c r="AJ3080" s="133"/>
      <c r="AK3080" s="133"/>
      <c r="AL3080" s="133"/>
      <c r="AM3080" s="133"/>
      <c r="AN3080" s="133"/>
      <c r="AO3080" s="133"/>
      <c r="AP3080" s="133"/>
      <c r="AQ3080" s="133"/>
      <c r="AR3080" s="133"/>
      <c r="AS3080" s="133"/>
      <c r="AT3080" s="133"/>
      <c r="AU3080" s="133"/>
      <c r="AV3080" s="133"/>
      <c r="AW3080" s="133"/>
      <c r="AX3080" s="133"/>
      <c r="AY3080" s="133"/>
      <c r="AZ3080" s="133"/>
      <c r="BA3080" s="133"/>
      <c r="BB3080" s="133"/>
      <c r="BC3080" s="133"/>
      <c r="BD3080" s="133"/>
      <c r="BE3080" s="133"/>
      <c r="BF3080" s="133"/>
      <c r="BG3080" s="133"/>
      <c r="BH3080" s="133"/>
      <c r="BI3080" s="133"/>
      <c r="BJ3080" s="133"/>
      <c r="BK3080" s="133"/>
      <c r="BL3080" s="133"/>
      <c r="BM3080" s="133"/>
      <c r="BN3080" s="133"/>
      <c r="BO3080" s="133"/>
      <c r="BP3080" s="133"/>
      <c r="BQ3080" s="133"/>
    </row>
    <row r="3081">
      <c r="A3081" s="194" t="s">
        <v>8082</v>
      </c>
      <c r="B3081" s="125"/>
      <c r="C3081" s="195">
        <v>43922.0</v>
      </c>
      <c r="D3081" s="133"/>
      <c r="E3081" s="124" t="s">
        <v>31</v>
      </c>
      <c r="F3081" s="198">
        <v>1.0</v>
      </c>
      <c r="G3081" s="124" t="s">
        <v>32</v>
      </c>
      <c r="H3081" s="303">
        <v>1.0</v>
      </c>
      <c r="I3081" s="124" t="s">
        <v>33</v>
      </c>
      <c r="J3081" s="124" t="s">
        <v>179</v>
      </c>
      <c r="K3081" s="133"/>
      <c r="L3081" s="124" t="s">
        <v>8048</v>
      </c>
      <c r="M3081" s="242" t="s">
        <v>8049</v>
      </c>
      <c r="N3081" s="233" t="s">
        <v>8050</v>
      </c>
      <c r="O3081" s="124"/>
      <c r="P3081" s="133"/>
      <c r="Q3081" s="124"/>
      <c r="R3081" s="128"/>
      <c r="S3081" s="37"/>
      <c r="T3081" s="38"/>
      <c r="U3081" s="38" t="b">
        <f t="shared" si="420"/>
        <v>0</v>
      </c>
      <c r="V3081" s="124" t="s">
        <v>33</v>
      </c>
      <c r="W3081" s="233" t="s">
        <v>8051</v>
      </c>
      <c r="X3081" s="138"/>
      <c r="Y3081" s="233"/>
      <c r="Z3081" s="133"/>
      <c r="AA3081" s="133"/>
      <c r="AB3081" s="133"/>
      <c r="AC3081" s="133"/>
      <c r="AD3081" s="133"/>
      <c r="AE3081" s="133"/>
      <c r="AF3081" s="133"/>
      <c r="AG3081" s="133"/>
      <c r="AH3081" s="133"/>
      <c r="AI3081" s="133"/>
      <c r="AJ3081" s="133"/>
      <c r="AK3081" s="133"/>
      <c r="AL3081" s="133"/>
      <c r="AM3081" s="133"/>
      <c r="AN3081" s="133"/>
      <c r="AO3081" s="133"/>
      <c r="AP3081" s="133"/>
      <c r="AQ3081" s="133"/>
      <c r="AR3081" s="133"/>
      <c r="AS3081" s="133"/>
      <c r="AT3081" s="133"/>
      <c r="AU3081" s="133"/>
      <c r="AV3081" s="133"/>
      <c r="AW3081" s="133"/>
      <c r="AX3081" s="133"/>
      <c r="AY3081" s="133"/>
      <c r="AZ3081" s="133"/>
      <c r="BA3081" s="133"/>
      <c r="BB3081" s="133"/>
      <c r="BC3081" s="133"/>
      <c r="BD3081" s="133"/>
      <c r="BE3081" s="133"/>
      <c r="BF3081" s="133"/>
      <c r="BG3081" s="133"/>
      <c r="BH3081" s="133"/>
      <c r="BI3081" s="133"/>
      <c r="BJ3081" s="133"/>
      <c r="BK3081" s="133"/>
      <c r="BL3081" s="133"/>
      <c r="BM3081" s="133"/>
      <c r="BN3081" s="133"/>
      <c r="BO3081" s="133"/>
      <c r="BP3081" s="133"/>
      <c r="BQ3081" s="133"/>
    </row>
    <row r="3082">
      <c r="A3082" s="194" t="s">
        <v>8083</v>
      </c>
      <c r="B3082" s="125"/>
      <c r="C3082" s="195">
        <v>43922.0</v>
      </c>
      <c r="D3082" s="133"/>
      <c r="E3082" s="124" t="s">
        <v>31</v>
      </c>
      <c r="F3082" s="198">
        <v>1.0</v>
      </c>
      <c r="G3082" s="124" t="s">
        <v>32</v>
      </c>
      <c r="H3082" s="303">
        <v>1.0</v>
      </c>
      <c r="I3082" s="124" t="s">
        <v>33</v>
      </c>
      <c r="J3082" s="124" t="s">
        <v>179</v>
      </c>
      <c r="K3082" s="133"/>
      <c r="L3082" s="124" t="s">
        <v>8048</v>
      </c>
      <c r="M3082" s="242" t="s">
        <v>8049</v>
      </c>
      <c r="N3082" s="233" t="s">
        <v>8050</v>
      </c>
      <c r="O3082" s="124"/>
      <c r="P3082" s="133"/>
      <c r="Q3082" s="124"/>
      <c r="R3082" s="128"/>
      <c r="S3082" s="37"/>
      <c r="T3082" s="38"/>
      <c r="U3082" s="38" t="b">
        <f t="shared" si="420"/>
        <v>0</v>
      </c>
      <c r="V3082" s="124" t="s">
        <v>33</v>
      </c>
      <c r="W3082" s="233" t="s">
        <v>8051</v>
      </c>
      <c r="X3082" s="138"/>
      <c r="Y3082" s="233"/>
      <c r="Z3082" s="133"/>
      <c r="AA3082" s="133"/>
      <c r="AB3082" s="133"/>
      <c r="AC3082" s="133"/>
      <c r="AD3082" s="133"/>
      <c r="AE3082" s="133"/>
      <c r="AF3082" s="133"/>
      <c r="AG3082" s="133"/>
      <c r="AH3082" s="133"/>
      <c r="AI3082" s="133"/>
      <c r="AJ3082" s="133"/>
      <c r="AK3082" s="133"/>
      <c r="AL3082" s="133"/>
      <c r="AM3082" s="133"/>
      <c r="AN3082" s="133"/>
      <c r="AO3082" s="133"/>
      <c r="AP3082" s="133"/>
      <c r="AQ3082" s="133"/>
      <c r="AR3082" s="133"/>
      <c r="AS3082" s="133"/>
      <c r="AT3082" s="133"/>
      <c r="AU3082" s="133"/>
      <c r="AV3082" s="133"/>
      <c r="AW3082" s="133"/>
      <c r="AX3082" s="133"/>
      <c r="AY3082" s="133"/>
      <c r="AZ3082" s="133"/>
      <c r="BA3082" s="133"/>
      <c r="BB3082" s="133"/>
      <c r="BC3082" s="133"/>
      <c r="BD3082" s="133"/>
      <c r="BE3082" s="133"/>
      <c r="BF3082" s="133"/>
      <c r="BG3082" s="133"/>
      <c r="BH3082" s="133"/>
      <c r="BI3082" s="133"/>
      <c r="BJ3082" s="133"/>
      <c r="BK3082" s="133"/>
      <c r="BL3082" s="133"/>
      <c r="BM3082" s="133"/>
      <c r="BN3082" s="133"/>
      <c r="BO3082" s="133"/>
      <c r="BP3082" s="133"/>
      <c r="BQ3082" s="133"/>
    </row>
    <row r="3083">
      <c r="A3083" s="194" t="s">
        <v>8084</v>
      </c>
      <c r="B3083" s="125"/>
      <c r="C3083" s="126">
        <v>43922.0</v>
      </c>
      <c r="D3083" s="133"/>
      <c r="E3083" s="124" t="s">
        <v>41</v>
      </c>
      <c r="F3083" s="198">
        <v>1.0</v>
      </c>
      <c r="G3083" s="124" t="s">
        <v>32</v>
      </c>
      <c r="H3083" s="303">
        <v>1.0</v>
      </c>
      <c r="I3083" s="124" t="s">
        <v>33</v>
      </c>
      <c r="J3083" s="124" t="s">
        <v>222</v>
      </c>
      <c r="K3083" s="133"/>
      <c r="L3083" s="124" t="s">
        <v>119</v>
      </c>
      <c r="M3083" s="242" t="s">
        <v>8085</v>
      </c>
      <c r="N3083" s="233"/>
      <c r="O3083" s="124"/>
      <c r="P3083" s="133"/>
      <c r="Q3083" s="124"/>
      <c r="R3083" s="128"/>
      <c r="S3083" s="37"/>
      <c r="T3083" s="38"/>
      <c r="U3083" s="38"/>
      <c r="V3083" s="124" t="s">
        <v>33</v>
      </c>
      <c r="W3083" s="233"/>
      <c r="X3083" s="138"/>
      <c r="Y3083" s="233"/>
      <c r="Z3083" s="133"/>
      <c r="AA3083" s="133"/>
      <c r="AB3083" s="133"/>
      <c r="AC3083" s="133"/>
      <c r="AD3083" s="133"/>
      <c r="AE3083" s="133"/>
      <c r="AF3083" s="133"/>
      <c r="AG3083" s="133"/>
      <c r="AH3083" s="133"/>
      <c r="AI3083" s="133"/>
      <c r="AJ3083" s="133"/>
      <c r="AK3083" s="133"/>
      <c r="AL3083" s="133"/>
      <c r="AM3083" s="133"/>
      <c r="AN3083" s="133"/>
      <c r="AO3083" s="133"/>
      <c r="AP3083" s="133"/>
      <c r="AQ3083" s="133"/>
      <c r="AR3083" s="133"/>
      <c r="AS3083" s="133"/>
      <c r="AT3083" s="133"/>
      <c r="AU3083" s="133"/>
      <c r="AV3083" s="133"/>
      <c r="AW3083" s="133"/>
      <c r="AX3083" s="133"/>
      <c r="AY3083" s="133"/>
      <c r="AZ3083" s="133"/>
      <c r="BA3083" s="133"/>
      <c r="BB3083" s="133"/>
      <c r="BC3083" s="133"/>
      <c r="BD3083" s="133"/>
      <c r="BE3083" s="133"/>
      <c r="BF3083" s="133"/>
      <c r="BG3083" s="133"/>
      <c r="BH3083" s="133"/>
      <c r="BI3083" s="133"/>
      <c r="BJ3083" s="133"/>
      <c r="BK3083" s="133"/>
      <c r="BL3083" s="133"/>
      <c r="BM3083" s="133"/>
      <c r="BN3083" s="133"/>
      <c r="BO3083" s="133"/>
      <c r="BP3083" s="133"/>
      <c r="BQ3083" s="133"/>
    </row>
    <row r="3084">
      <c r="A3084" s="194" t="s">
        <v>8086</v>
      </c>
      <c r="B3084" s="125"/>
      <c r="C3084" s="126">
        <v>43924.0</v>
      </c>
      <c r="D3084" s="133"/>
      <c r="E3084" s="124" t="s">
        <v>41</v>
      </c>
      <c r="F3084" s="198">
        <v>1.0</v>
      </c>
      <c r="G3084" s="124" t="s">
        <v>32</v>
      </c>
      <c r="H3084" s="303">
        <v>1.0</v>
      </c>
      <c r="I3084" s="124" t="s">
        <v>33</v>
      </c>
      <c r="J3084" s="124" t="s">
        <v>184</v>
      </c>
      <c r="K3084" s="133"/>
      <c r="L3084" s="124" t="s">
        <v>69</v>
      </c>
      <c r="M3084" s="242" t="s">
        <v>8087</v>
      </c>
      <c r="N3084" s="233"/>
      <c r="O3084" s="124"/>
      <c r="P3084" s="133"/>
      <c r="Q3084" s="124"/>
      <c r="R3084" s="128"/>
      <c r="S3084" s="37"/>
      <c r="T3084" s="38"/>
      <c r="U3084" s="38"/>
      <c r="V3084" s="124" t="s">
        <v>33</v>
      </c>
      <c r="W3084" s="233"/>
      <c r="X3084" s="138"/>
      <c r="Y3084" s="233"/>
      <c r="Z3084" s="133"/>
      <c r="AA3084" s="133"/>
      <c r="AB3084" s="133"/>
      <c r="AC3084" s="133"/>
      <c r="AD3084" s="133"/>
      <c r="AE3084" s="133"/>
      <c r="AF3084" s="133"/>
      <c r="AG3084" s="133"/>
      <c r="AH3084" s="133"/>
      <c r="AI3084" s="133"/>
      <c r="AJ3084" s="133"/>
      <c r="AK3084" s="133"/>
      <c r="AL3084" s="133"/>
      <c r="AM3084" s="133"/>
      <c r="AN3084" s="133"/>
      <c r="AO3084" s="133"/>
      <c r="AP3084" s="133"/>
      <c r="AQ3084" s="133"/>
      <c r="AR3084" s="133"/>
      <c r="AS3084" s="133"/>
      <c r="AT3084" s="133"/>
      <c r="AU3084" s="133"/>
      <c r="AV3084" s="133"/>
      <c r="AW3084" s="133"/>
      <c r="AX3084" s="133"/>
      <c r="AY3084" s="133"/>
      <c r="AZ3084" s="133"/>
      <c r="BA3084" s="133"/>
      <c r="BB3084" s="133"/>
      <c r="BC3084" s="133"/>
      <c r="BD3084" s="133"/>
      <c r="BE3084" s="133"/>
      <c r="BF3084" s="133"/>
      <c r="BG3084" s="133"/>
      <c r="BH3084" s="133"/>
      <c r="BI3084" s="133"/>
      <c r="BJ3084" s="133"/>
      <c r="BK3084" s="133"/>
      <c r="BL3084" s="133"/>
      <c r="BM3084" s="133"/>
      <c r="BN3084" s="133"/>
      <c r="BO3084" s="133"/>
      <c r="BP3084" s="133"/>
      <c r="BQ3084" s="133"/>
    </row>
    <row r="3085">
      <c r="A3085" s="194" t="s">
        <v>8088</v>
      </c>
      <c r="B3085" s="125"/>
      <c r="C3085" s="126">
        <v>43924.0</v>
      </c>
      <c r="D3085" s="133"/>
      <c r="E3085" s="124" t="s">
        <v>41</v>
      </c>
      <c r="F3085" s="198">
        <v>1.0</v>
      </c>
      <c r="G3085" s="124" t="s">
        <v>32</v>
      </c>
      <c r="H3085" s="303">
        <v>1.0</v>
      </c>
      <c r="I3085" s="124" t="s">
        <v>33</v>
      </c>
      <c r="J3085" s="124" t="s">
        <v>343</v>
      </c>
      <c r="K3085" s="133"/>
      <c r="L3085" s="124" t="s">
        <v>646</v>
      </c>
      <c r="M3085" s="242" t="s">
        <v>8089</v>
      </c>
      <c r="N3085" s="233"/>
      <c r="O3085" s="124"/>
      <c r="P3085" s="133"/>
      <c r="Q3085" s="124"/>
      <c r="R3085" s="128"/>
      <c r="S3085" s="37"/>
      <c r="T3085" s="38"/>
      <c r="U3085" s="38"/>
      <c r="V3085" s="124" t="s">
        <v>33</v>
      </c>
      <c r="W3085" s="233"/>
      <c r="X3085" s="138"/>
      <c r="Y3085" s="233"/>
      <c r="Z3085" s="133"/>
      <c r="AA3085" s="133"/>
      <c r="AB3085" s="133"/>
      <c r="AC3085" s="133"/>
      <c r="AD3085" s="133"/>
      <c r="AE3085" s="133"/>
      <c r="AF3085" s="133"/>
      <c r="AG3085" s="133"/>
      <c r="AH3085" s="133"/>
      <c r="AI3085" s="133"/>
      <c r="AJ3085" s="133"/>
      <c r="AK3085" s="133"/>
      <c r="AL3085" s="133"/>
      <c r="AM3085" s="133"/>
      <c r="AN3085" s="133"/>
      <c r="AO3085" s="133"/>
      <c r="AP3085" s="133"/>
      <c r="AQ3085" s="133"/>
      <c r="AR3085" s="133"/>
      <c r="AS3085" s="133"/>
      <c r="AT3085" s="133"/>
      <c r="AU3085" s="133"/>
      <c r="AV3085" s="133"/>
      <c r="AW3085" s="133"/>
      <c r="AX3085" s="133"/>
      <c r="AY3085" s="133"/>
      <c r="AZ3085" s="133"/>
      <c r="BA3085" s="133"/>
      <c r="BB3085" s="133"/>
      <c r="BC3085" s="133"/>
      <c r="BD3085" s="133"/>
      <c r="BE3085" s="133"/>
      <c r="BF3085" s="133"/>
      <c r="BG3085" s="133"/>
      <c r="BH3085" s="133"/>
      <c r="BI3085" s="133"/>
      <c r="BJ3085" s="133"/>
      <c r="BK3085" s="133"/>
      <c r="BL3085" s="133"/>
      <c r="BM3085" s="133"/>
      <c r="BN3085" s="133"/>
      <c r="BO3085" s="133"/>
      <c r="BP3085" s="133"/>
      <c r="BQ3085" s="133"/>
    </row>
    <row r="3086">
      <c r="A3086" s="194" t="s">
        <v>8090</v>
      </c>
      <c r="B3086" s="125"/>
      <c r="C3086" s="126">
        <v>43924.0</v>
      </c>
      <c r="D3086" s="133"/>
      <c r="E3086" s="124" t="s">
        <v>41</v>
      </c>
      <c r="F3086" s="198">
        <v>1.0</v>
      </c>
      <c r="G3086" s="124" t="s">
        <v>32</v>
      </c>
      <c r="H3086" s="303">
        <v>1.0</v>
      </c>
      <c r="I3086" s="124" t="s">
        <v>33</v>
      </c>
      <c r="J3086" s="124" t="s">
        <v>268</v>
      </c>
      <c r="K3086" s="133"/>
      <c r="L3086" s="124" t="s">
        <v>69</v>
      </c>
      <c r="M3086" s="242" t="s">
        <v>8091</v>
      </c>
      <c r="N3086" s="233"/>
      <c r="O3086" s="124"/>
      <c r="P3086" s="133"/>
      <c r="Q3086" s="124"/>
      <c r="R3086" s="128"/>
      <c r="S3086" s="37"/>
      <c r="T3086" s="38"/>
      <c r="U3086" s="38"/>
      <c r="V3086" s="124" t="s">
        <v>33</v>
      </c>
      <c r="W3086" s="233"/>
      <c r="X3086" s="138"/>
      <c r="Y3086" s="233"/>
      <c r="Z3086" s="133"/>
      <c r="AA3086" s="133"/>
      <c r="AB3086" s="133"/>
      <c r="AC3086" s="133"/>
      <c r="AD3086" s="133"/>
      <c r="AE3086" s="133"/>
      <c r="AF3086" s="133"/>
      <c r="AG3086" s="133"/>
      <c r="AH3086" s="133"/>
      <c r="AI3086" s="133"/>
      <c r="AJ3086" s="133"/>
      <c r="AK3086" s="133"/>
      <c r="AL3086" s="133"/>
      <c r="AM3086" s="133"/>
      <c r="AN3086" s="133"/>
      <c r="AO3086" s="133"/>
      <c r="AP3086" s="133"/>
      <c r="AQ3086" s="133"/>
      <c r="AR3086" s="133"/>
      <c r="AS3086" s="133"/>
      <c r="AT3086" s="133"/>
      <c r="AU3086" s="133"/>
      <c r="AV3086" s="133"/>
      <c r="AW3086" s="133"/>
      <c r="AX3086" s="133"/>
      <c r="AY3086" s="133"/>
      <c r="AZ3086" s="133"/>
      <c r="BA3086" s="133"/>
      <c r="BB3086" s="133"/>
      <c r="BC3086" s="133"/>
      <c r="BD3086" s="133"/>
      <c r="BE3086" s="133"/>
      <c r="BF3086" s="133"/>
      <c r="BG3086" s="133"/>
      <c r="BH3086" s="133"/>
      <c r="BI3086" s="133"/>
      <c r="BJ3086" s="133"/>
      <c r="BK3086" s="133"/>
      <c r="BL3086" s="133"/>
      <c r="BM3086" s="133"/>
      <c r="BN3086" s="133"/>
      <c r="BO3086" s="133"/>
      <c r="BP3086" s="133"/>
      <c r="BQ3086" s="133"/>
    </row>
    <row r="3087">
      <c r="A3087" s="194" t="s">
        <v>8092</v>
      </c>
      <c r="B3087" s="125"/>
      <c r="C3087" s="126">
        <v>43928.0</v>
      </c>
      <c r="D3087" s="133"/>
      <c r="E3087" s="124" t="s">
        <v>41</v>
      </c>
      <c r="F3087" s="198">
        <v>1.0</v>
      </c>
      <c r="G3087" s="124" t="s">
        <v>32</v>
      </c>
      <c r="H3087" s="303">
        <v>1.0</v>
      </c>
      <c r="I3087" s="124" t="s">
        <v>33</v>
      </c>
      <c r="J3087" s="124" t="s">
        <v>2167</v>
      </c>
      <c r="K3087" s="133"/>
      <c r="L3087" s="124" t="s">
        <v>119</v>
      </c>
      <c r="M3087" s="242" t="s">
        <v>7117</v>
      </c>
      <c r="N3087" s="233"/>
      <c r="O3087" s="124"/>
      <c r="P3087" s="133"/>
      <c r="Q3087" s="124"/>
      <c r="R3087" s="128"/>
      <c r="S3087" s="37"/>
      <c r="T3087" s="38"/>
      <c r="U3087" s="38"/>
      <c r="V3087" s="124" t="s">
        <v>33</v>
      </c>
      <c r="W3087" s="233"/>
      <c r="X3087" s="138"/>
      <c r="Y3087" s="233"/>
      <c r="Z3087" s="133"/>
      <c r="AA3087" s="133"/>
      <c r="AB3087" s="133"/>
      <c r="AC3087" s="133"/>
      <c r="AD3087" s="133"/>
      <c r="AE3087" s="133"/>
      <c r="AF3087" s="133"/>
      <c r="AG3087" s="133"/>
      <c r="AH3087" s="133"/>
      <c r="AI3087" s="133"/>
      <c r="AJ3087" s="133"/>
      <c r="AK3087" s="133"/>
      <c r="AL3087" s="133"/>
      <c r="AM3087" s="133"/>
      <c r="AN3087" s="133"/>
      <c r="AO3087" s="133"/>
      <c r="AP3087" s="133"/>
      <c r="AQ3087" s="133"/>
      <c r="AR3087" s="133"/>
      <c r="AS3087" s="133"/>
      <c r="AT3087" s="133"/>
      <c r="AU3087" s="133"/>
      <c r="AV3087" s="133"/>
      <c r="AW3087" s="133"/>
      <c r="AX3087" s="133"/>
      <c r="AY3087" s="133"/>
      <c r="AZ3087" s="133"/>
      <c r="BA3087" s="133"/>
      <c r="BB3087" s="133"/>
      <c r="BC3087" s="133"/>
      <c r="BD3087" s="133"/>
      <c r="BE3087" s="133"/>
      <c r="BF3087" s="133"/>
      <c r="BG3087" s="133"/>
      <c r="BH3087" s="133"/>
      <c r="BI3087" s="133"/>
      <c r="BJ3087" s="133"/>
      <c r="BK3087" s="133"/>
      <c r="BL3087" s="133"/>
      <c r="BM3087" s="133"/>
      <c r="BN3087" s="133"/>
      <c r="BO3087" s="133"/>
      <c r="BP3087" s="133"/>
      <c r="BQ3087" s="133"/>
    </row>
    <row r="3088">
      <c r="A3088" s="194" t="s">
        <v>8093</v>
      </c>
      <c r="B3088" s="125"/>
      <c r="C3088" s="126">
        <v>43928.0</v>
      </c>
      <c r="D3088" s="133"/>
      <c r="E3088" s="124" t="s">
        <v>41</v>
      </c>
      <c r="F3088" s="198">
        <v>1.0</v>
      </c>
      <c r="G3088" s="124" t="s">
        <v>32</v>
      </c>
      <c r="H3088" s="303">
        <v>1.0</v>
      </c>
      <c r="I3088" s="124" t="s">
        <v>33</v>
      </c>
      <c r="J3088" s="124" t="s">
        <v>75</v>
      </c>
      <c r="K3088" s="133"/>
      <c r="L3088" s="124" t="s">
        <v>76</v>
      </c>
      <c r="M3088" s="242" t="s">
        <v>8094</v>
      </c>
      <c r="N3088" s="233"/>
      <c r="O3088" s="124"/>
      <c r="P3088" s="133"/>
      <c r="Q3088" s="124"/>
      <c r="R3088" s="128"/>
      <c r="S3088" s="37"/>
      <c r="T3088" s="38"/>
      <c r="U3088" s="38"/>
      <c r="V3088" s="124" t="s">
        <v>33</v>
      </c>
      <c r="W3088" s="233"/>
      <c r="X3088" s="138"/>
      <c r="Y3088" s="233"/>
      <c r="Z3088" s="133"/>
      <c r="AA3088" s="133"/>
      <c r="AB3088" s="133"/>
      <c r="AC3088" s="133"/>
      <c r="AD3088" s="133"/>
      <c r="AE3088" s="133"/>
      <c r="AF3088" s="133"/>
      <c r="AG3088" s="133"/>
      <c r="AH3088" s="133"/>
      <c r="AI3088" s="133"/>
      <c r="AJ3088" s="133"/>
      <c r="AK3088" s="133"/>
      <c r="AL3088" s="133"/>
      <c r="AM3088" s="133"/>
      <c r="AN3088" s="133"/>
      <c r="AO3088" s="133"/>
      <c r="AP3088" s="133"/>
      <c r="AQ3088" s="133"/>
      <c r="AR3088" s="133"/>
      <c r="AS3088" s="133"/>
      <c r="AT3088" s="133"/>
      <c r="AU3088" s="133"/>
      <c r="AV3088" s="133"/>
      <c r="AW3088" s="133"/>
      <c r="AX3088" s="133"/>
      <c r="AY3088" s="133"/>
      <c r="AZ3088" s="133"/>
      <c r="BA3088" s="133"/>
      <c r="BB3088" s="133"/>
      <c r="BC3088" s="133"/>
      <c r="BD3088" s="133"/>
      <c r="BE3088" s="133"/>
      <c r="BF3088" s="133"/>
      <c r="BG3088" s="133"/>
      <c r="BH3088" s="133"/>
      <c r="BI3088" s="133"/>
      <c r="BJ3088" s="133"/>
      <c r="BK3088" s="133"/>
      <c r="BL3088" s="133"/>
      <c r="BM3088" s="133"/>
      <c r="BN3088" s="133"/>
      <c r="BO3088" s="133"/>
      <c r="BP3088" s="133"/>
      <c r="BQ3088" s="133"/>
    </row>
    <row r="3089">
      <c r="A3089" s="194" t="s">
        <v>8095</v>
      </c>
      <c r="B3089" s="125"/>
      <c r="C3089" s="126">
        <v>43930.0</v>
      </c>
      <c r="D3089" s="133"/>
      <c r="E3089" s="124" t="s">
        <v>41</v>
      </c>
      <c r="F3089" s="198">
        <v>1.0</v>
      </c>
      <c r="G3089" s="124" t="s">
        <v>32</v>
      </c>
      <c r="H3089" s="303">
        <v>1.0</v>
      </c>
      <c r="I3089" s="124" t="s">
        <v>33</v>
      </c>
      <c r="J3089" s="124" t="s">
        <v>850</v>
      </c>
      <c r="K3089" s="133"/>
      <c r="L3089" s="124" t="s">
        <v>76</v>
      </c>
      <c r="M3089" s="242" t="s">
        <v>8096</v>
      </c>
      <c r="N3089" s="233"/>
      <c r="O3089" s="124"/>
      <c r="P3089" s="133"/>
      <c r="Q3089" s="124"/>
      <c r="R3089" s="128"/>
      <c r="S3089" s="37"/>
      <c r="T3089" s="38"/>
      <c r="U3089" s="38"/>
      <c r="V3089" s="124" t="s">
        <v>33</v>
      </c>
      <c r="W3089" s="233"/>
      <c r="X3089" s="138"/>
      <c r="Y3089" s="233"/>
      <c r="Z3089" s="133"/>
      <c r="AA3089" s="133"/>
      <c r="AB3089" s="133"/>
      <c r="AC3089" s="133"/>
      <c r="AD3089" s="133"/>
      <c r="AE3089" s="133"/>
      <c r="AF3089" s="133"/>
      <c r="AG3089" s="133"/>
      <c r="AH3089" s="133"/>
      <c r="AI3089" s="133"/>
      <c r="AJ3089" s="133"/>
      <c r="AK3089" s="133"/>
      <c r="AL3089" s="133"/>
      <c r="AM3089" s="133"/>
      <c r="AN3089" s="133"/>
      <c r="AO3089" s="133"/>
      <c r="AP3089" s="133"/>
      <c r="AQ3089" s="133"/>
      <c r="AR3089" s="133"/>
      <c r="AS3089" s="133"/>
      <c r="AT3089" s="133"/>
      <c r="AU3089" s="133"/>
      <c r="AV3089" s="133"/>
      <c r="AW3089" s="133"/>
      <c r="AX3089" s="133"/>
      <c r="AY3089" s="133"/>
      <c r="AZ3089" s="133"/>
      <c r="BA3089" s="133"/>
      <c r="BB3089" s="133"/>
      <c r="BC3089" s="133"/>
      <c r="BD3089" s="133"/>
      <c r="BE3089" s="133"/>
      <c r="BF3089" s="133"/>
      <c r="BG3089" s="133"/>
      <c r="BH3089" s="133"/>
      <c r="BI3089" s="133"/>
      <c r="BJ3089" s="133"/>
      <c r="BK3089" s="133"/>
      <c r="BL3089" s="133"/>
      <c r="BM3089" s="133"/>
      <c r="BN3089" s="133"/>
      <c r="BO3089" s="133"/>
      <c r="BP3089" s="133"/>
      <c r="BQ3089" s="133"/>
    </row>
    <row r="3090">
      <c r="A3090" s="194" t="s">
        <v>8097</v>
      </c>
      <c r="B3090" s="125"/>
      <c r="C3090" s="126">
        <v>43934.0</v>
      </c>
      <c r="D3090" s="133"/>
      <c r="E3090" s="124" t="s">
        <v>41</v>
      </c>
      <c r="F3090" s="198">
        <v>1.0</v>
      </c>
      <c r="G3090" s="124" t="s">
        <v>32</v>
      </c>
      <c r="H3090" s="303">
        <v>1.0</v>
      </c>
      <c r="I3090" s="124" t="s">
        <v>33</v>
      </c>
      <c r="J3090" s="124" t="s">
        <v>115</v>
      </c>
      <c r="K3090" s="133"/>
      <c r="L3090" s="124" t="s">
        <v>119</v>
      </c>
      <c r="M3090" s="242" t="s">
        <v>8098</v>
      </c>
      <c r="N3090" s="233"/>
      <c r="O3090" s="124"/>
      <c r="P3090" s="133"/>
      <c r="Q3090" s="124"/>
      <c r="R3090" s="128"/>
      <c r="S3090" s="37"/>
      <c r="T3090" s="38"/>
      <c r="U3090" s="38"/>
      <c r="V3090" s="124" t="s">
        <v>33</v>
      </c>
      <c r="W3090" s="233"/>
      <c r="X3090" s="138"/>
      <c r="Y3090" s="233"/>
      <c r="Z3090" s="133"/>
      <c r="AA3090" s="133"/>
      <c r="AB3090" s="133"/>
      <c r="AC3090" s="133"/>
      <c r="AD3090" s="133"/>
      <c r="AE3090" s="133"/>
      <c r="AF3090" s="133"/>
      <c r="AG3090" s="133"/>
      <c r="AH3090" s="133"/>
      <c r="AI3090" s="133"/>
      <c r="AJ3090" s="133"/>
      <c r="AK3090" s="133"/>
      <c r="AL3090" s="133"/>
      <c r="AM3090" s="133"/>
      <c r="AN3090" s="133"/>
      <c r="AO3090" s="133"/>
      <c r="AP3090" s="133"/>
      <c r="AQ3090" s="133"/>
      <c r="AR3090" s="133"/>
      <c r="AS3090" s="133"/>
      <c r="AT3090" s="133"/>
      <c r="AU3090" s="133"/>
      <c r="AV3090" s="133"/>
      <c r="AW3090" s="133"/>
      <c r="AX3090" s="133"/>
      <c r="AY3090" s="133"/>
      <c r="AZ3090" s="133"/>
      <c r="BA3090" s="133"/>
      <c r="BB3090" s="133"/>
      <c r="BC3090" s="133"/>
      <c r="BD3090" s="133"/>
      <c r="BE3090" s="133"/>
      <c r="BF3090" s="133"/>
      <c r="BG3090" s="133"/>
      <c r="BH3090" s="133"/>
      <c r="BI3090" s="133"/>
      <c r="BJ3090" s="133"/>
      <c r="BK3090" s="133"/>
      <c r="BL3090" s="133"/>
      <c r="BM3090" s="133"/>
      <c r="BN3090" s="133"/>
      <c r="BO3090" s="133"/>
      <c r="BP3090" s="133"/>
      <c r="BQ3090" s="133"/>
    </row>
    <row r="3091">
      <c r="A3091" s="194" t="s">
        <v>8099</v>
      </c>
      <c r="B3091" s="125"/>
      <c r="C3091" s="126">
        <v>43937.0</v>
      </c>
      <c r="D3091" s="133"/>
      <c r="E3091" s="124" t="s">
        <v>41</v>
      </c>
      <c r="F3091" s="198">
        <v>1.0</v>
      </c>
      <c r="G3091" s="124" t="s">
        <v>32</v>
      </c>
      <c r="H3091" s="303">
        <v>1.0</v>
      </c>
      <c r="I3091" s="124" t="s">
        <v>33</v>
      </c>
      <c r="J3091" s="124" t="s">
        <v>93</v>
      </c>
      <c r="K3091" s="133"/>
      <c r="L3091" s="124" t="s">
        <v>76</v>
      </c>
      <c r="M3091" s="242" t="s">
        <v>8100</v>
      </c>
      <c r="N3091" s="233"/>
      <c r="O3091" s="124"/>
      <c r="P3091" s="133"/>
      <c r="Q3091" s="124"/>
      <c r="R3091" s="128"/>
      <c r="S3091" s="37"/>
      <c r="T3091" s="38"/>
      <c r="U3091" s="38"/>
      <c r="V3091" s="124" t="s">
        <v>33</v>
      </c>
      <c r="W3091" s="233"/>
      <c r="X3091" s="138"/>
      <c r="Y3091" s="233"/>
      <c r="Z3091" s="133"/>
      <c r="AA3091" s="133"/>
      <c r="AB3091" s="133"/>
      <c r="AC3091" s="133"/>
      <c r="AD3091" s="133"/>
      <c r="AE3091" s="133"/>
      <c r="AF3091" s="133"/>
      <c r="AG3091" s="133"/>
      <c r="AH3091" s="133"/>
      <c r="AI3091" s="133"/>
      <c r="AJ3091" s="133"/>
      <c r="AK3091" s="133"/>
      <c r="AL3091" s="133"/>
      <c r="AM3091" s="133"/>
      <c r="AN3091" s="133"/>
      <c r="AO3091" s="133"/>
      <c r="AP3091" s="133"/>
      <c r="AQ3091" s="133"/>
      <c r="AR3091" s="133"/>
      <c r="AS3091" s="133"/>
      <c r="AT3091" s="133"/>
      <c r="AU3091" s="133"/>
      <c r="AV3091" s="133"/>
      <c r="AW3091" s="133"/>
      <c r="AX3091" s="133"/>
      <c r="AY3091" s="133"/>
      <c r="AZ3091" s="133"/>
      <c r="BA3091" s="133"/>
      <c r="BB3091" s="133"/>
      <c r="BC3091" s="133"/>
      <c r="BD3091" s="133"/>
      <c r="BE3091" s="133"/>
      <c r="BF3091" s="133"/>
      <c r="BG3091" s="133"/>
      <c r="BH3091" s="133"/>
      <c r="BI3091" s="133"/>
      <c r="BJ3091" s="133"/>
      <c r="BK3091" s="133"/>
      <c r="BL3091" s="133"/>
      <c r="BM3091" s="133"/>
      <c r="BN3091" s="133"/>
      <c r="BO3091" s="133"/>
      <c r="BP3091" s="133"/>
      <c r="BQ3091" s="133"/>
    </row>
    <row r="3092">
      <c r="A3092" s="194" t="s">
        <v>8101</v>
      </c>
      <c r="B3092" s="125"/>
      <c r="C3092" s="126">
        <v>43937.0</v>
      </c>
      <c r="D3092" s="133"/>
      <c r="E3092" s="124" t="s">
        <v>31</v>
      </c>
      <c r="F3092" s="198">
        <v>1.0</v>
      </c>
      <c r="G3092" s="124" t="s">
        <v>32</v>
      </c>
      <c r="H3092" s="303">
        <v>1.0</v>
      </c>
      <c r="I3092" s="124" t="s">
        <v>33</v>
      </c>
      <c r="J3092" s="124" t="s">
        <v>124</v>
      </c>
      <c r="K3092" s="133"/>
      <c r="L3092" s="124" t="s">
        <v>76</v>
      </c>
      <c r="M3092" s="242" t="s">
        <v>8102</v>
      </c>
      <c r="N3092" s="219" t="s">
        <v>8103</v>
      </c>
      <c r="O3092" s="124"/>
      <c r="P3092" s="133"/>
      <c r="Q3092" s="124"/>
      <c r="R3092" s="128"/>
      <c r="S3092" s="37"/>
      <c r="T3092" s="38"/>
      <c r="U3092" s="38"/>
      <c r="V3092" s="124" t="s">
        <v>33</v>
      </c>
      <c r="W3092" s="219" t="s">
        <v>8104</v>
      </c>
      <c r="X3092" s="219" t="s">
        <v>8105</v>
      </c>
      <c r="Y3092" s="233"/>
      <c r="Z3092" s="133"/>
      <c r="AA3092" s="133"/>
      <c r="AB3092" s="133"/>
      <c r="AC3092" s="133"/>
      <c r="AD3092" s="133"/>
      <c r="AE3092" s="133"/>
      <c r="AF3092" s="133"/>
      <c r="AG3092" s="133"/>
      <c r="AH3092" s="133"/>
      <c r="AI3092" s="133"/>
      <c r="AJ3092" s="133"/>
      <c r="AK3092" s="133"/>
      <c r="AL3092" s="133"/>
      <c r="AM3092" s="133"/>
      <c r="AN3092" s="133"/>
      <c r="AO3092" s="133"/>
      <c r="AP3092" s="133"/>
      <c r="AQ3092" s="133"/>
      <c r="AR3092" s="133"/>
      <c r="AS3092" s="133"/>
      <c r="AT3092" s="133"/>
      <c r="AU3092" s="133"/>
      <c r="AV3092" s="133"/>
      <c r="AW3092" s="133"/>
      <c r="AX3092" s="133"/>
      <c r="AY3092" s="133"/>
      <c r="AZ3092" s="133"/>
      <c r="BA3092" s="133"/>
      <c r="BB3092" s="133"/>
      <c r="BC3092" s="133"/>
      <c r="BD3092" s="133"/>
      <c r="BE3092" s="133"/>
      <c r="BF3092" s="133"/>
      <c r="BG3092" s="133"/>
      <c r="BH3092" s="133"/>
      <c r="BI3092" s="133"/>
      <c r="BJ3092" s="133"/>
      <c r="BK3092" s="133"/>
      <c r="BL3092" s="133"/>
      <c r="BM3092" s="133"/>
      <c r="BN3092" s="133"/>
      <c r="BO3092" s="133"/>
      <c r="BP3092" s="133"/>
      <c r="BQ3092" s="133"/>
    </row>
    <row r="3093">
      <c r="A3093" s="194" t="s">
        <v>8106</v>
      </c>
      <c r="B3093" s="125"/>
      <c r="C3093" s="126">
        <v>43939.0</v>
      </c>
      <c r="D3093" s="133"/>
      <c r="E3093" s="124" t="s">
        <v>41</v>
      </c>
      <c r="F3093" s="198">
        <v>1.0</v>
      </c>
      <c r="G3093" s="124" t="s">
        <v>32</v>
      </c>
      <c r="H3093" s="303">
        <v>1.0</v>
      </c>
      <c r="I3093" s="124" t="s">
        <v>33</v>
      </c>
      <c r="J3093" s="124" t="s">
        <v>89</v>
      </c>
      <c r="K3093" s="133"/>
      <c r="L3093" s="124" t="s">
        <v>76</v>
      </c>
      <c r="M3093" s="242" t="s">
        <v>8107</v>
      </c>
      <c r="N3093" s="233"/>
      <c r="O3093" s="124"/>
      <c r="P3093" s="133"/>
      <c r="Q3093" s="124"/>
      <c r="R3093" s="128"/>
      <c r="S3093" s="37"/>
      <c r="T3093" s="38"/>
      <c r="U3093" s="38"/>
      <c r="V3093" s="124" t="s">
        <v>33</v>
      </c>
      <c r="W3093" s="233"/>
      <c r="X3093" s="138"/>
      <c r="Y3093" s="233"/>
      <c r="Z3093" s="133"/>
      <c r="AA3093" s="133"/>
      <c r="AB3093" s="133"/>
      <c r="AC3093" s="133"/>
      <c r="AD3093" s="133"/>
      <c r="AE3093" s="133"/>
      <c r="AF3093" s="133"/>
      <c r="AG3093" s="133"/>
      <c r="AH3093" s="133"/>
      <c r="AI3093" s="133"/>
      <c r="AJ3093" s="133"/>
      <c r="AK3093" s="133"/>
      <c r="AL3093" s="133"/>
      <c r="AM3093" s="133"/>
      <c r="AN3093" s="133"/>
      <c r="AO3093" s="133"/>
      <c r="AP3093" s="133"/>
      <c r="AQ3093" s="133"/>
      <c r="AR3093" s="133"/>
      <c r="AS3093" s="133"/>
      <c r="AT3093" s="133"/>
      <c r="AU3093" s="133"/>
      <c r="AV3093" s="133"/>
      <c r="AW3093" s="133"/>
      <c r="AX3093" s="133"/>
      <c r="AY3093" s="133"/>
      <c r="AZ3093" s="133"/>
      <c r="BA3093" s="133"/>
      <c r="BB3093" s="133"/>
      <c r="BC3093" s="133"/>
      <c r="BD3093" s="133"/>
      <c r="BE3093" s="133"/>
      <c r="BF3093" s="133"/>
      <c r="BG3093" s="133"/>
      <c r="BH3093" s="133"/>
      <c r="BI3093" s="133"/>
      <c r="BJ3093" s="133"/>
      <c r="BK3093" s="133"/>
      <c r="BL3093" s="133"/>
      <c r="BM3093" s="133"/>
      <c r="BN3093" s="133"/>
      <c r="BO3093" s="133"/>
      <c r="BP3093" s="133"/>
      <c r="BQ3093" s="133"/>
    </row>
    <row r="3094">
      <c r="A3094" s="194" t="s">
        <v>8108</v>
      </c>
      <c r="B3094" s="125"/>
      <c r="C3094" s="126">
        <v>43941.0</v>
      </c>
      <c r="D3094" s="133"/>
      <c r="E3094" s="124" t="s">
        <v>41</v>
      </c>
      <c r="F3094" s="198">
        <v>1.0</v>
      </c>
      <c r="G3094" s="124" t="s">
        <v>32</v>
      </c>
      <c r="H3094" s="303">
        <v>1.0</v>
      </c>
      <c r="I3094" s="124" t="s">
        <v>33</v>
      </c>
      <c r="J3094" s="124" t="s">
        <v>93</v>
      </c>
      <c r="K3094" s="133"/>
      <c r="L3094" s="124" t="s">
        <v>119</v>
      </c>
      <c r="M3094" s="242" t="s">
        <v>8109</v>
      </c>
      <c r="N3094" s="233"/>
      <c r="O3094" s="128"/>
      <c r="P3094" s="133"/>
      <c r="Q3094" s="128"/>
      <c r="R3094" s="128"/>
      <c r="S3094" s="37"/>
      <c r="T3094" s="38"/>
      <c r="U3094" s="38"/>
      <c r="V3094" s="124" t="s">
        <v>33</v>
      </c>
      <c r="W3094" s="233"/>
      <c r="X3094" s="233"/>
      <c r="Y3094" s="138"/>
      <c r="Z3094" s="133"/>
      <c r="AA3094" s="133"/>
      <c r="AB3094" s="133"/>
      <c r="AC3094" s="133"/>
      <c r="AD3094" s="133"/>
      <c r="AE3094" s="133"/>
      <c r="AF3094" s="133"/>
      <c r="AG3094" s="133"/>
      <c r="AH3094" s="133"/>
      <c r="AI3094" s="133"/>
      <c r="AJ3094" s="133"/>
      <c r="AK3094" s="133"/>
      <c r="AL3094" s="133"/>
      <c r="AM3094" s="133"/>
      <c r="AN3094" s="133"/>
      <c r="AO3094" s="133"/>
      <c r="AP3094" s="133"/>
      <c r="AQ3094" s="133"/>
      <c r="AR3094" s="133"/>
      <c r="AS3094" s="133"/>
      <c r="AT3094" s="133"/>
      <c r="AU3094" s="133"/>
      <c r="AV3094" s="133"/>
      <c r="AW3094" s="133"/>
      <c r="AX3094" s="133"/>
      <c r="AY3094" s="133"/>
      <c r="AZ3094" s="133"/>
      <c r="BA3094" s="133"/>
      <c r="BB3094" s="133"/>
      <c r="BC3094" s="133"/>
      <c r="BD3094" s="133"/>
      <c r="BE3094" s="133"/>
      <c r="BF3094" s="133"/>
      <c r="BG3094" s="133"/>
      <c r="BH3094" s="133"/>
      <c r="BI3094" s="133"/>
      <c r="BJ3094" s="133"/>
      <c r="BK3094" s="133"/>
      <c r="BL3094" s="133"/>
      <c r="BM3094" s="133"/>
      <c r="BN3094" s="133"/>
      <c r="BO3094" s="133"/>
      <c r="BP3094" s="133"/>
      <c r="BQ3094" s="133"/>
    </row>
    <row r="3095">
      <c r="A3095" s="194" t="s">
        <v>8110</v>
      </c>
      <c r="B3095" s="125"/>
      <c r="C3095" s="126">
        <v>43943.0</v>
      </c>
      <c r="D3095" s="133"/>
      <c r="E3095" s="124" t="s">
        <v>41</v>
      </c>
      <c r="F3095" s="198">
        <v>1.0</v>
      </c>
      <c r="G3095" s="124" t="s">
        <v>32</v>
      </c>
      <c r="H3095" s="303">
        <v>1.0</v>
      </c>
      <c r="I3095" s="124" t="s">
        <v>33</v>
      </c>
      <c r="J3095" s="124" t="s">
        <v>115</v>
      </c>
      <c r="K3095" s="133"/>
      <c r="L3095" s="124" t="s">
        <v>76</v>
      </c>
      <c r="M3095" s="242" t="s">
        <v>8111</v>
      </c>
      <c r="N3095" s="233"/>
      <c r="O3095" s="124"/>
      <c r="P3095" s="133"/>
      <c r="Q3095" s="124"/>
      <c r="R3095" s="128"/>
      <c r="S3095" s="37"/>
      <c r="T3095" s="38"/>
      <c r="U3095" s="38"/>
      <c r="V3095" s="124" t="s">
        <v>33</v>
      </c>
      <c r="W3095" s="233"/>
      <c r="X3095" s="138"/>
      <c r="Y3095" s="233"/>
      <c r="Z3095" s="133"/>
      <c r="AA3095" s="133"/>
      <c r="AB3095" s="133"/>
      <c r="AC3095" s="133"/>
      <c r="AD3095" s="133"/>
      <c r="AE3095" s="133"/>
      <c r="AF3095" s="133"/>
      <c r="AG3095" s="133"/>
      <c r="AH3095" s="133"/>
      <c r="AI3095" s="133"/>
      <c r="AJ3095" s="133"/>
      <c r="AK3095" s="133"/>
      <c r="AL3095" s="133"/>
      <c r="AM3095" s="133"/>
      <c r="AN3095" s="133"/>
      <c r="AO3095" s="133"/>
      <c r="AP3095" s="133"/>
      <c r="AQ3095" s="133"/>
      <c r="AR3095" s="133"/>
      <c r="AS3095" s="133"/>
      <c r="AT3095" s="133"/>
      <c r="AU3095" s="133"/>
      <c r="AV3095" s="133"/>
      <c r="AW3095" s="133"/>
      <c r="AX3095" s="133"/>
      <c r="AY3095" s="133"/>
      <c r="AZ3095" s="133"/>
      <c r="BA3095" s="133"/>
      <c r="BB3095" s="133"/>
      <c r="BC3095" s="133"/>
      <c r="BD3095" s="133"/>
      <c r="BE3095" s="133"/>
      <c r="BF3095" s="133"/>
      <c r="BG3095" s="133"/>
      <c r="BH3095" s="133"/>
      <c r="BI3095" s="133"/>
      <c r="BJ3095" s="133"/>
      <c r="BK3095" s="133"/>
      <c r="BL3095" s="133"/>
      <c r="BM3095" s="133"/>
      <c r="BN3095" s="133"/>
      <c r="BO3095" s="133"/>
      <c r="BP3095" s="133"/>
      <c r="BQ3095" s="133"/>
    </row>
    <row r="3096">
      <c r="A3096" s="194" t="s">
        <v>8112</v>
      </c>
      <c r="B3096" s="125"/>
      <c r="C3096" s="126">
        <v>43945.0</v>
      </c>
      <c r="D3096" s="133"/>
      <c r="E3096" s="124" t="s">
        <v>41</v>
      </c>
      <c r="F3096" s="198">
        <v>1.0</v>
      </c>
      <c r="G3096" s="124" t="s">
        <v>32</v>
      </c>
      <c r="H3096" s="303">
        <v>1.0</v>
      </c>
      <c r="I3096" s="124" t="s">
        <v>33</v>
      </c>
      <c r="J3096" s="124" t="s">
        <v>93</v>
      </c>
      <c r="K3096" s="133"/>
      <c r="L3096" s="124" t="s">
        <v>76</v>
      </c>
      <c r="M3096" s="242" t="s">
        <v>8113</v>
      </c>
      <c r="N3096" s="233"/>
      <c r="O3096" s="124"/>
      <c r="P3096" s="133"/>
      <c r="Q3096" s="124"/>
      <c r="R3096" s="128"/>
      <c r="S3096" s="37"/>
      <c r="T3096" s="38"/>
      <c r="U3096" s="38"/>
      <c r="V3096" s="124" t="s">
        <v>33</v>
      </c>
      <c r="W3096" s="233"/>
      <c r="X3096" s="138"/>
      <c r="Y3096" s="233"/>
      <c r="Z3096" s="133"/>
      <c r="AA3096" s="133"/>
      <c r="AB3096" s="133"/>
      <c r="AC3096" s="133"/>
      <c r="AD3096" s="133"/>
      <c r="AE3096" s="133"/>
      <c r="AF3096" s="133"/>
      <c r="AG3096" s="133"/>
      <c r="AH3096" s="133"/>
      <c r="AI3096" s="133"/>
      <c r="AJ3096" s="133"/>
      <c r="AK3096" s="133"/>
      <c r="AL3096" s="133"/>
      <c r="AM3096" s="133"/>
      <c r="AN3096" s="133"/>
      <c r="AO3096" s="133"/>
      <c r="AP3096" s="133"/>
      <c r="AQ3096" s="133"/>
      <c r="AR3096" s="133"/>
      <c r="AS3096" s="133"/>
      <c r="AT3096" s="133"/>
      <c r="AU3096" s="133"/>
      <c r="AV3096" s="133"/>
      <c r="AW3096" s="133"/>
      <c r="AX3096" s="133"/>
      <c r="AY3096" s="133"/>
      <c r="AZ3096" s="133"/>
      <c r="BA3096" s="133"/>
      <c r="BB3096" s="133"/>
      <c r="BC3096" s="133"/>
      <c r="BD3096" s="133"/>
      <c r="BE3096" s="133"/>
      <c r="BF3096" s="133"/>
      <c r="BG3096" s="133"/>
      <c r="BH3096" s="133"/>
      <c r="BI3096" s="133"/>
      <c r="BJ3096" s="133"/>
      <c r="BK3096" s="133"/>
      <c r="BL3096" s="133"/>
      <c r="BM3096" s="133"/>
      <c r="BN3096" s="133"/>
      <c r="BO3096" s="133"/>
      <c r="BP3096" s="133"/>
      <c r="BQ3096" s="133"/>
    </row>
    <row r="3097">
      <c r="A3097" s="194" t="s">
        <v>8114</v>
      </c>
      <c r="B3097" s="125"/>
      <c r="C3097" s="126">
        <v>43945.0</v>
      </c>
      <c r="D3097" s="133"/>
      <c r="E3097" s="124" t="s">
        <v>41</v>
      </c>
      <c r="F3097" s="198">
        <v>1.0</v>
      </c>
      <c r="G3097" s="124" t="s">
        <v>32</v>
      </c>
      <c r="H3097" s="303"/>
      <c r="I3097" s="124" t="s">
        <v>33</v>
      </c>
      <c r="J3097" s="124" t="s">
        <v>184</v>
      </c>
      <c r="K3097" s="133"/>
      <c r="L3097" s="124" t="s">
        <v>7824</v>
      </c>
      <c r="M3097" s="242" t="s">
        <v>8115</v>
      </c>
      <c r="N3097" s="233"/>
      <c r="O3097" s="124"/>
      <c r="P3097" s="133"/>
      <c r="Q3097" s="124"/>
      <c r="R3097" s="128"/>
      <c r="S3097" s="37"/>
      <c r="T3097" s="38"/>
      <c r="U3097" s="38"/>
      <c r="V3097" s="124" t="s">
        <v>33</v>
      </c>
      <c r="W3097" s="233"/>
      <c r="X3097" s="138"/>
      <c r="Y3097" s="233"/>
      <c r="Z3097" s="133"/>
      <c r="AA3097" s="133"/>
      <c r="AB3097" s="133"/>
      <c r="AC3097" s="133"/>
      <c r="AD3097" s="133"/>
      <c r="AE3097" s="133"/>
      <c r="AF3097" s="133"/>
      <c r="AG3097" s="133"/>
      <c r="AH3097" s="133"/>
      <c r="AI3097" s="133"/>
      <c r="AJ3097" s="133"/>
      <c r="AK3097" s="133"/>
      <c r="AL3097" s="133"/>
      <c r="AM3097" s="133"/>
      <c r="AN3097" s="133"/>
      <c r="AO3097" s="133"/>
      <c r="AP3097" s="133"/>
      <c r="AQ3097" s="133"/>
      <c r="AR3097" s="133"/>
      <c r="AS3097" s="133"/>
      <c r="AT3097" s="133"/>
      <c r="AU3097" s="133"/>
      <c r="AV3097" s="133"/>
      <c r="AW3097" s="133"/>
      <c r="AX3097" s="133"/>
      <c r="AY3097" s="133"/>
      <c r="AZ3097" s="133"/>
      <c r="BA3097" s="133"/>
      <c r="BB3097" s="133"/>
      <c r="BC3097" s="133"/>
      <c r="BD3097" s="133"/>
      <c r="BE3097" s="133"/>
      <c r="BF3097" s="133"/>
      <c r="BG3097" s="133"/>
      <c r="BH3097" s="133"/>
      <c r="BI3097" s="133"/>
      <c r="BJ3097" s="133"/>
      <c r="BK3097" s="133"/>
      <c r="BL3097" s="133"/>
      <c r="BM3097" s="133"/>
      <c r="BN3097" s="133"/>
      <c r="BO3097" s="133"/>
      <c r="BP3097" s="133"/>
      <c r="BQ3097" s="133"/>
    </row>
    <row r="3098">
      <c r="A3098" s="194" t="s">
        <v>8116</v>
      </c>
      <c r="B3098" s="125"/>
      <c r="C3098" s="126">
        <v>43945.0</v>
      </c>
      <c r="D3098" s="133"/>
      <c r="E3098" s="124" t="s">
        <v>41</v>
      </c>
      <c r="F3098" s="198">
        <v>1.0</v>
      </c>
      <c r="G3098" s="124" t="s">
        <v>32</v>
      </c>
      <c r="H3098" s="303">
        <v>1.0</v>
      </c>
      <c r="I3098" s="124" t="s">
        <v>33</v>
      </c>
      <c r="J3098" s="124" t="s">
        <v>93</v>
      </c>
      <c r="K3098" s="133"/>
      <c r="L3098" s="124" t="s">
        <v>76</v>
      </c>
      <c r="M3098" s="242" t="s">
        <v>8117</v>
      </c>
      <c r="N3098" s="233"/>
      <c r="O3098" s="124"/>
      <c r="P3098" s="133"/>
      <c r="Q3098" s="124"/>
      <c r="R3098" s="128"/>
      <c r="S3098" s="37"/>
      <c r="T3098" s="38"/>
      <c r="U3098" s="38"/>
      <c r="V3098" s="124" t="s">
        <v>33</v>
      </c>
      <c r="W3098" s="233"/>
      <c r="X3098" s="138"/>
      <c r="Y3098" s="233"/>
      <c r="Z3098" s="133"/>
      <c r="AA3098" s="133"/>
      <c r="AB3098" s="133"/>
      <c r="AC3098" s="133"/>
      <c r="AD3098" s="133"/>
      <c r="AE3098" s="133"/>
      <c r="AF3098" s="133"/>
      <c r="AG3098" s="133"/>
      <c r="AH3098" s="133"/>
      <c r="AI3098" s="133"/>
      <c r="AJ3098" s="133"/>
      <c r="AK3098" s="133"/>
      <c r="AL3098" s="133"/>
      <c r="AM3098" s="133"/>
      <c r="AN3098" s="133"/>
      <c r="AO3098" s="133"/>
      <c r="AP3098" s="133"/>
      <c r="AQ3098" s="133"/>
      <c r="AR3098" s="133"/>
      <c r="AS3098" s="133"/>
      <c r="AT3098" s="133"/>
      <c r="AU3098" s="133"/>
      <c r="AV3098" s="133"/>
      <c r="AW3098" s="133"/>
      <c r="AX3098" s="133"/>
      <c r="AY3098" s="133"/>
      <c r="AZ3098" s="133"/>
      <c r="BA3098" s="133"/>
      <c r="BB3098" s="133"/>
      <c r="BC3098" s="133"/>
      <c r="BD3098" s="133"/>
      <c r="BE3098" s="133"/>
      <c r="BF3098" s="133"/>
      <c r="BG3098" s="133"/>
      <c r="BH3098" s="133"/>
      <c r="BI3098" s="133"/>
      <c r="BJ3098" s="133"/>
      <c r="BK3098" s="133"/>
      <c r="BL3098" s="133"/>
      <c r="BM3098" s="133"/>
      <c r="BN3098" s="133"/>
      <c r="BO3098" s="133"/>
      <c r="BP3098" s="133"/>
      <c r="BQ3098" s="133"/>
    </row>
    <row r="3099">
      <c r="A3099" s="194" t="s">
        <v>8118</v>
      </c>
      <c r="B3099" s="125"/>
      <c r="C3099" s="126">
        <v>43948.0</v>
      </c>
      <c r="D3099" s="133"/>
      <c r="E3099" s="124" t="s">
        <v>41</v>
      </c>
      <c r="F3099" s="198">
        <v>1.0</v>
      </c>
      <c r="G3099" s="124" t="s">
        <v>32</v>
      </c>
      <c r="H3099" s="303">
        <v>1.0</v>
      </c>
      <c r="I3099" s="124" t="s">
        <v>33</v>
      </c>
      <c r="J3099" s="124" t="s">
        <v>93</v>
      </c>
      <c r="K3099" s="133"/>
      <c r="L3099" s="124" t="s">
        <v>76</v>
      </c>
      <c r="M3099" s="242" t="s">
        <v>8119</v>
      </c>
      <c r="N3099" s="233"/>
      <c r="O3099" s="124"/>
      <c r="P3099" s="133"/>
      <c r="Q3099" s="124"/>
      <c r="R3099" s="128"/>
      <c r="S3099" s="37"/>
      <c r="T3099" s="38"/>
      <c r="U3099" s="38"/>
      <c r="V3099" s="124" t="s">
        <v>33</v>
      </c>
      <c r="W3099" s="233"/>
      <c r="X3099" s="138"/>
      <c r="Y3099" s="233"/>
      <c r="Z3099" s="133"/>
      <c r="AA3099" s="133"/>
      <c r="AB3099" s="133"/>
      <c r="AC3099" s="133"/>
      <c r="AD3099" s="133"/>
      <c r="AE3099" s="133"/>
      <c r="AF3099" s="133"/>
      <c r="AG3099" s="133"/>
      <c r="AH3099" s="133"/>
      <c r="AI3099" s="133"/>
      <c r="AJ3099" s="133"/>
      <c r="AK3099" s="133"/>
      <c r="AL3099" s="133"/>
      <c r="AM3099" s="133"/>
      <c r="AN3099" s="133"/>
      <c r="AO3099" s="133"/>
      <c r="AP3099" s="133"/>
      <c r="AQ3099" s="133"/>
      <c r="AR3099" s="133"/>
      <c r="AS3099" s="133"/>
      <c r="AT3099" s="133"/>
      <c r="AU3099" s="133"/>
      <c r="AV3099" s="133"/>
      <c r="AW3099" s="133"/>
      <c r="AX3099" s="133"/>
      <c r="AY3099" s="133"/>
      <c r="AZ3099" s="133"/>
      <c r="BA3099" s="133"/>
      <c r="BB3099" s="133"/>
      <c r="BC3099" s="133"/>
      <c r="BD3099" s="133"/>
      <c r="BE3099" s="133"/>
      <c r="BF3099" s="133"/>
      <c r="BG3099" s="133"/>
      <c r="BH3099" s="133"/>
      <c r="BI3099" s="133"/>
      <c r="BJ3099" s="133"/>
      <c r="BK3099" s="133"/>
      <c r="BL3099" s="133"/>
      <c r="BM3099" s="133"/>
      <c r="BN3099" s="133"/>
      <c r="BO3099" s="133"/>
      <c r="BP3099" s="133"/>
      <c r="BQ3099" s="133"/>
    </row>
    <row r="3100">
      <c r="A3100" s="194" t="s">
        <v>8120</v>
      </c>
      <c r="B3100" s="125"/>
      <c r="C3100" s="126">
        <v>43948.0</v>
      </c>
      <c r="D3100" s="133"/>
      <c r="E3100" s="124" t="s">
        <v>41</v>
      </c>
      <c r="F3100" s="198">
        <v>1.0</v>
      </c>
      <c r="G3100" s="124" t="s">
        <v>32</v>
      </c>
      <c r="H3100" s="303">
        <v>1.0</v>
      </c>
      <c r="I3100" s="124" t="s">
        <v>33</v>
      </c>
      <c r="J3100" s="124" t="s">
        <v>343</v>
      </c>
      <c r="K3100" s="133"/>
      <c r="L3100" s="124" t="s">
        <v>8121</v>
      </c>
      <c r="M3100" s="242" t="s">
        <v>8122</v>
      </c>
      <c r="N3100" s="233"/>
      <c r="O3100" s="124"/>
      <c r="P3100" s="133"/>
      <c r="Q3100" s="124"/>
      <c r="R3100" s="128"/>
      <c r="S3100" s="37"/>
      <c r="T3100" s="38"/>
      <c r="U3100" s="38"/>
      <c r="V3100" s="124" t="s">
        <v>33</v>
      </c>
      <c r="W3100" s="233"/>
      <c r="X3100" s="138"/>
      <c r="Y3100" s="233"/>
      <c r="Z3100" s="133"/>
      <c r="AA3100" s="133"/>
      <c r="AB3100" s="133"/>
      <c r="AC3100" s="133"/>
      <c r="AD3100" s="133"/>
      <c r="AE3100" s="133"/>
      <c r="AF3100" s="133"/>
      <c r="AG3100" s="133"/>
      <c r="AH3100" s="133"/>
      <c r="AI3100" s="133"/>
      <c r="AJ3100" s="133"/>
      <c r="AK3100" s="133"/>
      <c r="AL3100" s="133"/>
      <c r="AM3100" s="133"/>
      <c r="AN3100" s="133"/>
      <c r="AO3100" s="133"/>
      <c r="AP3100" s="133"/>
      <c r="AQ3100" s="133"/>
      <c r="AR3100" s="133"/>
      <c r="AS3100" s="133"/>
      <c r="AT3100" s="133"/>
      <c r="AU3100" s="133"/>
      <c r="AV3100" s="133"/>
      <c r="AW3100" s="133"/>
      <c r="AX3100" s="133"/>
      <c r="AY3100" s="133"/>
      <c r="AZ3100" s="133"/>
      <c r="BA3100" s="133"/>
      <c r="BB3100" s="133"/>
      <c r="BC3100" s="133"/>
      <c r="BD3100" s="133"/>
      <c r="BE3100" s="133"/>
      <c r="BF3100" s="133"/>
      <c r="BG3100" s="133"/>
      <c r="BH3100" s="133"/>
      <c r="BI3100" s="133"/>
      <c r="BJ3100" s="133"/>
      <c r="BK3100" s="133"/>
      <c r="BL3100" s="133"/>
      <c r="BM3100" s="133"/>
      <c r="BN3100" s="133"/>
      <c r="BO3100" s="133"/>
      <c r="BP3100" s="133"/>
      <c r="BQ3100" s="133"/>
    </row>
    <row r="3101">
      <c r="A3101" s="194" t="s">
        <v>8123</v>
      </c>
      <c r="B3101" s="125"/>
      <c r="C3101" s="126">
        <v>43949.0</v>
      </c>
      <c r="D3101" s="133"/>
      <c r="E3101" s="124" t="s">
        <v>41</v>
      </c>
      <c r="F3101" s="198">
        <v>1.0</v>
      </c>
      <c r="G3101" s="124" t="s">
        <v>32</v>
      </c>
      <c r="H3101" s="303">
        <v>1.0</v>
      </c>
      <c r="I3101" s="124" t="s">
        <v>33</v>
      </c>
      <c r="J3101" s="124" t="s">
        <v>279</v>
      </c>
      <c r="K3101" s="133"/>
      <c r="L3101" s="124" t="s">
        <v>76</v>
      </c>
      <c r="M3101" s="242" t="s">
        <v>8124</v>
      </c>
      <c r="N3101" s="233"/>
      <c r="O3101" s="124"/>
      <c r="P3101" s="133"/>
      <c r="Q3101" s="124"/>
      <c r="R3101" s="128"/>
      <c r="S3101" s="37"/>
      <c r="T3101" s="38"/>
      <c r="U3101" s="38"/>
      <c r="V3101" s="124" t="s">
        <v>33</v>
      </c>
      <c r="W3101" s="233"/>
      <c r="X3101" s="138"/>
      <c r="Y3101" s="233"/>
      <c r="Z3101" s="133"/>
      <c r="AA3101" s="133"/>
      <c r="AB3101" s="133"/>
      <c r="AC3101" s="133"/>
      <c r="AD3101" s="133"/>
      <c r="AE3101" s="133"/>
      <c r="AF3101" s="133"/>
      <c r="AG3101" s="133"/>
      <c r="AH3101" s="133"/>
      <c r="AI3101" s="133"/>
      <c r="AJ3101" s="133"/>
      <c r="AK3101" s="133"/>
      <c r="AL3101" s="133"/>
      <c r="AM3101" s="133"/>
      <c r="AN3101" s="133"/>
      <c r="AO3101" s="133"/>
      <c r="AP3101" s="133"/>
      <c r="AQ3101" s="133"/>
      <c r="AR3101" s="133"/>
      <c r="AS3101" s="133"/>
      <c r="AT3101" s="133"/>
      <c r="AU3101" s="133"/>
      <c r="AV3101" s="133"/>
      <c r="AW3101" s="133"/>
      <c r="AX3101" s="133"/>
      <c r="AY3101" s="133"/>
      <c r="AZ3101" s="133"/>
      <c r="BA3101" s="133"/>
      <c r="BB3101" s="133"/>
      <c r="BC3101" s="133"/>
      <c r="BD3101" s="133"/>
      <c r="BE3101" s="133"/>
      <c r="BF3101" s="133"/>
      <c r="BG3101" s="133"/>
      <c r="BH3101" s="133"/>
      <c r="BI3101" s="133"/>
      <c r="BJ3101" s="133"/>
      <c r="BK3101" s="133"/>
      <c r="BL3101" s="133"/>
      <c r="BM3101" s="133"/>
      <c r="BN3101" s="133"/>
      <c r="BO3101" s="133"/>
      <c r="BP3101" s="133"/>
      <c r="BQ3101" s="133"/>
    </row>
    <row r="3102">
      <c r="A3102" s="194" t="s">
        <v>8045</v>
      </c>
      <c r="B3102" s="125"/>
      <c r="C3102" s="126">
        <v>43950.0</v>
      </c>
      <c r="D3102" s="133"/>
      <c r="E3102" s="124" t="s">
        <v>41</v>
      </c>
      <c r="F3102" s="198">
        <v>1.0</v>
      </c>
      <c r="G3102" s="124" t="s">
        <v>32</v>
      </c>
      <c r="H3102" s="303">
        <v>1.0</v>
      </c>
      <c r="I3102" s="124" t="s">
        <v>33</v>
      </c>
      <c r="J3102" s="124" t="s">
        <v>98</v>
      </c>
      <c r="K3102" s="133"/>
      <c r="L3102" s="124" t="s">
        <v>119</v>
      </c>
      <c r="M3102" s="242" t="s">
        <v>8125</v>
      </c>
      <c r="N3102" s="233"/>
      <c r="O3102" s="124"/>
      <c r="P3102" s="133"/>
      <c r="Q3102" s="124"/>
      <c r="R3102" s="128"/>
      <c r="S3102" s="37"/>
      <c r="T3102" s="38"/>
      <c r="U3102" s="38"/>
      <c r="V3102" s="124" t="s">
        <v>33</v>
      </c>
      <c r="W3102" s="233"/>
      <c r="X3102" s="138"/>
      <c r="Y3102" s="233"/>
      <c r="Z3102" s="133"/>
      <c r="AA3102" s="133"/>
      <c r="AB3102" s="133"/>
      <c r="AC3102" s="133"/>
      <c r="AD3102" s="133"/>
      <c r="AE3102" s="133"/>
      <c r="AF3102" s="133"/>
      <c r="AG3102" s="133"/>
      <c r="AH3102" s="133"/>
      <c r="AI3102" s="133"/>
      <c r="AJ3102" s="133"/>
      <c r="AK3102" s="133"/>
      <c r="AL3102" s="133"/>
      <c r="AM3102" s="133"/>
      <c r="AN3102" s="133"/>
      <c r="AO3102" s="133"/>
      <c r="AP3102" s="133"/>
      <c r="AQ3102" s="133"/>
      <c r="AR3102" s="133"/>
      <c r="AS3102" s="133"/>
      <c r="AT3102" s="133"/>
      <c r="AU3102" s="133"/>
      <c r="AV3102" s="133"/>
      <c r="AW3102" s="133"/>
      <c r="AX3102" s="133"/>
      <c r="AY3102" s="133"/>
      <c r="AZ3102" s="133"/>
      <c r="BA3102" s="133"/>
      <c r="BB3102" s="133"/>
      <c r="BC3102" s="133"/>
      <c r="BD3102" s="133"/>
      <c r="BE3102" s="133"/>
      <c r="BF3102" s="133"/>
      <c r="BG3102" s="133"/>
      <c r="BH3102" s="133"/>
      <c r="BI3102" s="133"/>
      <c r="BJ3102" s="133"/>
      <c r="BK3102" s="133"/>
      <c r="BL3102" s="133"/>
      <c r="BM3102" s="133"/>
      <c r="BN3102" s="133"/>
      <c r="BO3102" s="133"/>
      <c r="BP3102" s="133"/>
      <c r="BQ3102" s="133"/>
    </row>
    <row r="3103">
      <c r="A3103" s="194" t="s">
        <v>8126</v>
      </c>
      <c r="B3103" s="125"/>
      <c r="C3103" s="126">
        <v>43951.0</v>
      </c>
      <c r="D3103" s="133"/>
      <c r="E3103" s="124" t="s">
        <v>41</v>
      </c>
      <c r="F3103" s="198">
        <v>1.0</v>
      </c>
      <c r="G3103" s="124" t="s">
        <v>32</v>
      </c>
      <c r="H3103" s="303">
        <v>1.0</v>
      </c>
      <c r="I3103" s="124" t="s">
        <v>33</v>
      </c>
      <c r="J3103" s="124" t="s">
        <v>318</v>
      </c>
      <c r="K3103" s="133"/>
      <c r="L3103" s="124" t="s">
        <v>119</v>
      </c>
      <c r="M3103" s="242" t="s">
        <v>8127</v>
      </c>
      <c r="N3103" s="233"/>
      <c r="O3103" s="124"/>
      <c r="P3103" s="133"/>
      <c r="Q3103" s="124"/>
      <c r="R3103" s="128"/>
      <c r="S3103" s="37"/>
      <c r="T3103" s="38"/>
      <c r="U3103" s="38"/>
      <c r="V3103" s="124" t="s">
        <v>33</v>
      </c>
      <c r="W3103" s="233"/>
      <c r="X3103" s="138"/>
      <c r="Y3103" s="233"/>
      <c r="Z3103" s="133"/>
      <c r="AA3103" s="133"/>
      <c r="AB3103" s="133"/>
      <c r="AC3103" s="133"/>
      <c r="AD3103" s="133"/>
      <c r="AE3103" s="133"/>
      <c r="AF3103" s="133"/>
      <c r="AG3103" s="133"/>
      <c r="AH3103" s="133"/>
      <c r="AI3103" s="133"/>
      <c r="AJ3103" s="133"/>
      <c r="AK3103" s="133"/>
      <c r="AL3103" s="133"/>
      <c r="AM3103" s="133"/>
      <c r="AN3103" s="133"/>
      <c r="AO3103" s="133"/>
      <c r="AP3103" s="133"/>
      <c r="AQ3103" s="133"/>
      <c r="AR3103" s="133"/>
      <c r="AS3103" s="133"/>
      <c r="AT3103" s="133"/>
      <c r="AU3103" s="133"/>
      <c r="AV3103" s="133"/>
      <c r="AW3103" s="133"/>
      <c r="AX3103" s="133"/>
      <c r="AY3103" s="133"/>
      <c r="AZ3103" s="133"/>
      <c r="BA3103" s="133"/>
      <c r="BB3103" s="133"/>
      <c r="BC3103" s="133"/>
      <c r="BD3103" s="133"/>
      <c r="BE3103" s="133"/>
      <c r="BF3103" s="133"/>
      <c r="BG3103" s="133"/>
      <c r="BH3103" s="133"/>
      <c r="BI3103" s="133"/>
      <c r="BJ3103" s="133"/>
      <c r="BK3103" s="133"/>
      <c r="BL3103" s="133"/>
      <c r="BM3103" s="133"/>
      <c r="BN3103" s="133"/>
      <c r="BO3103" s="133"/>
      <c r="BP3103" s="133"/>
      <c r="BQ3103" s="133"/>
    </row>
    <row r="3104">
      <c r="A3104" s="194" t="s">
        <v>8128</v>
      </c>
      <c r="B3104" s="125"/>
      <c r="C3104" s="195">
        <v>43951.0</v>
      </c>
      <c r="D3104" s="133"/>
      <c r="E3104" s="124" t="s">
        <v>41</v>
      </c>
      <c r="F3104" s="198">
        <v>1.0</v>
      </c>
      <c r="G3104" s="124" t="s">
        <v>32</v>
      </c>
      <c r="H3104" s="303">
        <v>1.0</v>
      </c>
      <c r="I3104" s="124" t="s">
        <v>33</v>
      </c>
      <c r="J3104" s="124" t="s">
        <v>318</v>
      </c>
      <c r="K3104" s="133"/>
      <c r="L3104" s="124" t="s">
        <v>8129</v>
      </c>
      <c r="M3104" s="242" t="s">
        <v>8127</v>
      </c>
      <c r="N3104" s="305"/>
      <c r="O3104" s="124"/>
      <c r="P3104" s="133"/>
      <c r="Q3104" s="124"/>
      <c r="R3104" s="128"/>
      <c r="S3104" s="37"/>
      <c r="T3104" s="38"/>
      <c r="U3104" s="38"/>
      <c r="V3104" s="124" t="s">
        <v>33</v>
      </c>
      <c r="W3104" s="233"/>
      <c r="X3104" s="233"/>
      <c r="Y3104" s="233"/>
      <c r="Z3104" s="133"/>
      <c r="AA3104" s="133"/>
      <c r="AB3104" s="133"/>
      <c r="AC3104" s="133"/>
      <c r="AD3104" s="133"/>
      <c r="AE3104" s="133"/>
      <c r="AF3104" s="133"/>
      <c r="AG3104" s="133"/>
      <c r="AH3104" s="133"/>
      <c r="AI3104" s="133"/>
      <c r="AJ3104" s="133"/>
      <c r="AK3104" s="133"/>
      <c r="AL3104" s="133"/>
      <c r="AM3104" s="133"/>
      <c r="AN3104" s="133"/>
      <c r="AO3104" s="133"/>
      <c r="AP3104" s="133"/>
      <c r="AQ3104" s="133"/>
      <c r="AR3104" s="133"/>
      <c r="AS3104" s="133"/>
      <c r="AT3104" s="133"/>
      <c r="AU3104" s="133"/>
      <c r="AV3104" s="133"/>
      <c r="AW3104" s="133"/>
      <c r="AX3104" s="133"/>
      <c r="AY3104" s="133"/>
      <c r="AZ3104" s="133"/>
      <c r="BA3104" s="133"/>
      <c r="BB3104" s="133"/>
      <c r="BC3104" s="133"/>
      <c r="BD3104" s="133"/>
      <c r="BE3104" s="133"/>
      <c r="BF3104" s="133"/>
      <c r="BG3104" s="133"/>
      <c r="BH3104" s="133"/>
      <c r="BI3104" s="133"/>
      <c r="BJ3104" s="133"/>
      <c r="BK3104" s="133"/>
      <c r="BL3104" s="133"/>
      <c r="BM3104" s="133"/>
      <c r="BN3104" s="133"/>
      <c r="BO3104" s="133"/>
      <c r="BP3104" s="133"/>
      <c r="BQ3104" s="133"/>
    </row>
    <row r="3105">
      <c r="A3105" s="194" t="s">
        <v>8130</v>
      </c>
      <c r="B3105" s="125"/>
      <c r="C3105" s="195">
        <v>43952.0</v>
      </c>
      <c r="D3105" s="133"/>
      <c r="E3105" s="124" t="s">
        <v>31</v>
      </c>
      <c r="F3105" s="198">
        <v>1.0</v>
      </c>
      <c r="G3105" s="124" t="s">
        <v>32</v>
      </c>
      <c r="H3105" s="303">
        <v>1.0</v>
      </c>
      <c r="I3105" s="124" t="s">
        <v>33</v>
      </c>
      <c r="J3105" s="124" t="s">
        <v>47</v>
      </c>
      <c r="K3105" s="133"/>
      <c r="L3105" s="124" t="s">
        <v>8131</v>
      </c>
      <c r="M3105" s="242" t="s">
        <v>8132</v>
      </c>
      <c r="N3105" s="305" t="s">
        <v>8133</v>
      </c>
      <c r="O3105" s="124"/>
      <c r="P3105" s="133"/>
      <c r="Q3105" s="124"/>
      <c r="R3105" s="128"/>
      <c r="S3105" s="37"/>
      <c r="T3105" s="38"/>
      <c r="U3105" s="38"/>
      <c r="V3105" s="124" t="s">
        <v>33</v>
      </c>
      <c r="W3105" s="219" t="s">
        <v>8134</v>
      </c>
      <c r="X3105" s="219" t="s">
        <v>8135</v>
      </c>
      <c r="Y3105" s="233"/>
      <c r="Z3105" s="133"/>
      <c r="AA3105" s="133"/>
      <c r="AB3105" s="133"/>
      <c r="AC3105" s="133"/>
      <c r="AD3105" s="133"/>
      <c r="AE3105" s="133"/>
      <c r="AF3105" s="133"/>
      <c r="AG3105" s="133"/>
      <c r="AH3105" s="133"/>
      <c r="AI3105" s="133"/>
      <c r="AJ3105" s="133"/>
      <c r="AK3105" s="133"/>
      <c r="AL3105" s="133"/>
      <c r="AM3105" s="133"/>
      <c r="AN3105" s="133"/>
      <c r="AO3105" s="133"/>
      <c r="AP3105" s="133"/>
      <c r="AQ3105" s="133"/>
      <c r="AR3105" s="133"/>
      <c r="AS3105" s="133"/>
      <c r="AT3105" s="133"/>
      <c r="AU3105" s="133"/>
      <c r="AV3105" s="133"/>
      <c r="AW3105" s="133"/>
      <c r="AX3105" s="133"/>
      <c r="AY3105" s="133"/>
      <c r="AZ3105" s="133"/>
      <c r="BA3105" s="133"/>
      <c r="BB3105" s="133"/>
      <c r="BC3105" s="133"/>
      <c r="BD3105" s="133"/>
      <c r="BE3105" s="133"/>
      <c r="BF3105" s="133"/>
      <c r="BG3105" s="133"/>
      <c r="BH3105" s="133"/>
      <c r="BI3105" s="133"/>
      <c r="BJ3105" s="133"/>
      <c r="BK3105" s="133"/>
      <c r="BL3105" s="133"/>
      <c r="BM3105" s="133"/>
      <c r="BN3105" s="133"/>
      <c r="BO3105" s="133"/>
      <c r="BP3105" s="133"/>
      <c r="BQ3105" s="133"/>
    </row>
    <row r="3106">
      <c r="A3106" s="194" t="s">
        <v>8136</v>
      </c>
      <c r="B3106" s="125"/>
      <c r="C3106" s="195">
        <v>43952.0</v>
      </c>
      <c r="D3106" s="133"/>
      <c r="E3106" s="124" t="s">
        <v>31</v>
      </c>
      <c r="F3106" s="198">
        <v>1.0</v>
      </c>
      <c r="G3106" s="124" t="s">
        <v>32</v>
      </c>
      <c r="H3106" s="303">
        <v>1.0</v>
      </c>
      <c r="I3106" s="124" t="s">
        <v>33</v>
      </c>
      <c r="J3106" s="124" t="s">
        <v>47</v>
      </c>
      <c r="K3106" s="133"/>
      <c r="L3106" s="124" t="s">
        <v>8131</v>
      </c>
      <c r="M3106" s="242" t="s">
        <v>8132</v>
      </c>
      <c r="N3106" s="219" t="s">
        <v>8133</v>
      </c>
      <c r="O3106" s="124"/>
      <c r="P3106" s="133"/>
      <c r="Q3106" s="124"/>
      <c r="R3106" s="128"/>
      <c r="S3106" s="37"/>
      <c r="T3106" s="38"/>
      <c r="U3106" s="38"/>
      <c r="V3106" s="124" t="s">
        <v>33</v>
      </c>
      <c r="W3106" s="233" t="s">
        <v>8134</v>
      </c>
      <c r="X3106" s="219" t="s">
        <v>8137</v>
      </c>
      <c r="Y3106" s="233"/>
      <c r="Z3106" s="133"/>
      <c r="AA3106" s="133"/>
      <c r="AB3106" s="133"/>
      <c r="AC3106" s="133"/>
      <c r="AD3106" s="133"/>
      <c r="AE3106" s="133"/>
      <c r="AF3106" s="133"/>
      <c r="AG3106" s="133"/>
      <c r="AH3106" s="133"/>
      <c r="AI3106" s="133"/>
      <c r="AJ3106" s="133"/>
      <c r="AK3106" s="133"/>
      <c r="AL3106" s="133"/>
      <c r="AM3106" s="133"/>
      <c r="AN3106" s="133"/>
      <c r="AO3106" s="133"/>
      <c r="AP3106" s="133"/>
      <c r="AQ3106" s="133"/>
      <c r="AR3106" s="133"/>
      <c r="AS3106" s="133"/>
      <c r="AT3106" s="133"/>
      <c r="AU3106" s="133"/>
      <c r="AV3106" s="133"/>
      <c r="AW3106" s="133"/>
      <c r="AX3106" s="133"/>
      <c r="AY3106" s="133"/>
      <c r="AZ3106" s="133"/>
      <c r="BA3106" s="133"/>
      <c r="BB3106" s="133"/>
      <c r="BC3106" s="133"/>
      <c r="BD3106" s="133"/>
      <c r="BE3106" s="133"/>
      <c r="BF3106" s="133"/>
      <c r="BG3106" s="133"/>
      <c r="BH3106" s="133"/>
      <c r="BI3106" s="133"/>
      <c r="BJ3106" s="133"/>
      <c r="BK3106" s="133"/>
      <c r="BL3106" s="133"/>
      <c r="BM3106" s="133"/>
      <c r="BN3106" s="133"/>
      <c r="BO3106" s="133"/>
      <c r="BP3106" s="133"/>
      <c r="BQ3106" s="133"/>
    </row>
    <row r="3107">
      <c r="A3107" s="194" t="s">
        <v>8138</v>
      </c>
      <c r="B3107" s="125"/>
      <c r="C3107" s="195">
        <v>43952.0</v>
      </c>
      <c r="D3107" s="133"/>
      <c r="E3107" s="124" t="s">
        <v>31</v>
      </c>
      <c r="F3107" s="198">
        <v>1.0</v>
      </c>
      <c r="G3107" s="124" t="s">
        <v>32</v>
      </c>
      <c r="H3107" s="303">
        <v>1.0</v>
      </c>
      <c r="I3107" s="124" t="s">
        <v>33</v>
      </c>
      <c r="J3107" s="124" t="s">
        <v>47</v>
      </c>
      <c r="K3107" s="133"/>
      <c r="L3107" s="124" t="s">
        <v>8131</v>
      </c>
      <c r="M3107" s="242" t="s">
        <v>8132</v>
      </c>
      <c r="N3107" s="219" t="s">
        <v>8133</v>
      </c>
      <c r="O3107" s="124"/>
      <c r="P3107" s="133"/>
      <c r="Q3107" s="124"/>
      <c r="R3107" s="128"/>
      <c r="S3107" s="37"/>
      <c r="T3107" s="38"/>
      <c r="U3107" s="38"/>
      <c r="V3107" s="124" t="s">
        <v>33</v>
      </c>
      <c r="W3107" s="233" t="s">
        <v>8134</v>
      </c>
      <c r="X3107" s="219" t="s">
        <v>8139</v>
      </c>
      <c r="Y3107" s="233"/>
      <c r="Z3107" s="133"/>
      <c r="AA3107" s="133"/>
      <c r="AB3107" s="133"/>
      <c r="AC3107" s="133"/>
      <c r="AD3107" s="133"/>
      <c r="AE3107" s="133"/>
      <c r="AF3107" s="133"/>
      <c r="AG3107" s="133"/>
      <c r="AH3107" s="133"/>
      <c r="AI3107" s="133"/>
      <c r="AJ3107" s="133"/>
      <c r="AK3107" s="133"/>
      <c r="AL3107" s="133"/>
      <c r="AM3107" s="133"/>
      <c r="AN3107" s="133"/>
      <c r="AO3107" s="133"/>
      <c r="AP3107" s="133"/>
      <c r="AQ3107" s="133"/>
      <c r="AR3107" s="133"/>
      <c r="AS3107" s="133"/>
      <c r="AT3107" s="133"/>
      <c r="AU3107" s="133"/>
      <c r="AV3107" s="133"/>
      <c r="AW3107" s="133"/>
      <c r="AX3107" s="133"/>
      <c r="AY3107" s="133"/>
      <c r="AZ3107" s="133"/>
      <c r="BA3107" s="133"/>
      <c r="BB3107" s="133"/>
      <c r="BC3107" s="133"/>
      <c r="BD3107" s="133"/>
      <c r="BE3107" s="133"/>
      <c r="BF3107" s="133"/>
      <c r="BG3107" s="133"/>
      <c r="BH3107" s="133"/>
      <c r="BI3107" s="133"/>
      <c r="BJ3107" s="133"/>
      <c r="BK3107" s="133"/>
      <c r="BL3107" s="133"/>
      <c r="BM3107" s="133"/>
      <c r="BN3107" s="133"/>
      <c r="BO3107" s="133"/>
      <c r="BP3107" s="133"/>
      <c r="BQ3107" s="133"/>
    </row>
    <row r="3108">
      <c r="A3108" s="194" t="s">
        <v>8140</v>
      </c>
      <c r="B3108" s="125"/>
      <c r="C3108" s="195">
        <v>43952.0</v>
      </c>
      <c r="D3108" s="133"/>
      <c r="E3108" s="124" t="s">
        <v>31</v>
      </c>
      <c r="F3108" s="198">
        <v>1.0</v>
      </c>
      <c r="G3108" s="124" t="s">
        <v>32</v>
      </c>
      <c r="H3108" s="303">
        <v>1.0</v>
      </c>
      <c r="I3108" s="124" t="s">
        <v>33</v>
      </c>
      <c r="J3108" s="124" t="s">
        <v>47</v>
      </c>
      <c r="K3108" s="133"/>
      <c r="L3108" s="124" t="s">
        <v>8131</v>
      </c>
      <c r="M3108" s="242" t="s">
        <v>8132</v>
      </c>
      <c r="N3108" s="219" t="s">
        <v>8133</v>
      </c>
      <c r="O3108" s="124"/>
      <c r="P3108" s="133"/>
      <c r="Q3108" s="124"/>
      <c r="R3108" s="128"/>
      <c r="S3108" s="37"/>
      <c r="T3108" s="38"/>
      <c r="U3108" s="38"/>
      <c r="V3108" s="124" t="s">
        <v>33</v>
      </c>
      <c r="W3108" s="233" t="s">
        <v>8134</v>
      </c>
      <c r="X3108" s="219" t="s">
        <v>8141</v>
      </c>
      <c r="Y3108" s="233"/>
      <c r="Z3108" s="133"/>
      <c r="AA3108" s="133"/>
      <c r="AB3108" s="133"/>
      <c r="AC3108" s="133"/>
      <c r="AD3108" s="133"/>
      <c r="AE3108" s="133"/>
      <c r="AF3108" s="133"/>
      <c r="AG3108" s="133"/>
      <c r="AH3108" s="133"/>
      <c r="AI3108" s="133"/>
      <c r="AJ3108" s="133"/>
      <c r="AK3108" s="133"/>
      <c r="AL3108" s="133"/>
      <c r="AM3108" s="133"/>
      <c r="AN3108" s="133"/>
      <c r="AO3108" s="133"/>
      <c r="AP3108" s="133"/>
      <c r="AQ3108" s="133"/>
      <c r="AR3108" s="133"/>
      <c r="AS3108" s="133"/>
      <c r="AT3108" s="133"/>
      <c r="AU3108" s="133"/>
      <c r="AV3108" s="133"/>
      <c r="AW3108" s="133"/>
      <c r="AX3108" s="133"/>
      <c r="AY3108" s="133"/>
      <c r="AZ3108" s="133"/>
      <c r="BA3108" s="133"/>
      <c r="BB3108" s="133"/>
      <c r="BC3108" s="133"/>
      <c r="BD3108" s="133"/>
      <c r="BE3108" s="133"/>
      <c r="BF3108" s="133"/>
      <c r="BG3108" s="133"/>
      <c r="BH3108" s="133"/>
      <c r="BI3108" s="133"/>
      <c r="BJ3108" s="133"/>
      <c r="BK3108" s="133"/>
      <c r="BL3108" s="133"/>
      <c r="BM3108" s="133"/>
      <c r="BN3108" s="133"/>
      <c r="BO3108" s="133"/>
      <c r="BP3108" s="133"/>
      <c r="BQ3108" s="133"/>
    </row>
    <row r="3109">
      <c r="A3109" s="194" t="s">
        <v>8142</v>
      </c>
      <c r="B3109" s="125"/>
      <c r="C3109" s="195">
        <v>43952.0</v>
      </c>
      <c r="D3109" s="133"/>
      <c r="E3109" s="124" t="s">
        <v>31</v>
      </c>
      <c r="F3109" s="198">
        <v>1.0</v>
      </c>
      <c r="G3109" s="124" t="s">
        <v>32</v>
      </c>
      <c r="H3109" s="303">
        <v>1.0</v>
      </c>
      <c r="I3109" s="124" t="s">
        <v>33</v>
      </c>
      <c r="J3109" s="124" t="s">
        <v>47</v>
      </c>
      <c r="K3109" s="133"/>
      <c r="L3109" s="124" t="s">
        <v>8131</v>
      </c>
      <c r="M3109" s="242" t="s">
        <v>8132</v>
      </c>
      <c r="N3109" s="219" t="s">
        <v>8133</v>
      </c>
      <c r="O3109" s="124"/>
      <c r="P3109" s="133"/>
      <c r="Q3109" s="124"/>
      <c r="R3109" s="128"/>
      <c r="S3109" s="37"/>
      <c r="T3109" s="38"/>
      <c r="U3109" s="38"/>
      <c r="V3109" s="124" t="s">
        <v>33</v>
      </c>
      <c r="W3109" s="233" t="s">
        <v>8134</v>
      </c>
      <c r="X3109" s="219" t="s">
        <v>8143</v>
      </c>
      <c r="Y3109" s="233"/>
      <c r="Z3109" s="133"/>
      <c r="AA3109" s="133"/>
      <c r="AB3109" s="133"/>
      <c r="AC3109" s="133"/>
      <c r="AD3109" s="133"/>
      <c r="AE3109" s="133"/>
      <c r="AF3109" s="133"/>
      <c r="AG3109" s="133"/>
      <c r="AH3109" s="133"/>
      <c r="AI3109" s="133"/>
      <c r="AJ3109" s="133"/>
      <c r="AK3109" s="133"/>
      <c r="AL3109" s="133"/>
      <c r="AM3109" s="133"/>
      <c r="AN3109" s="133"/>
      <c r="AO3109" s="133"/>
      <c r="AP3109" s="133"/>
      <c r="AQ3109" s="133"/>
      <c r="AR3109" s="133"/>
      <c r="AS3109" s="133"/>
      <c r="AT3109" s="133"/>
      <c r="AU3109" s="133"/>
      <c r="AV3109" s="133"/>
      <c r="AW3109" s="133"/>
      <c r="AX3109" s="133"/>
      <c r="AY3109" s="133"/>
      <c r="AZ3109" s="133"/>
      <c r="BA3109" s="133"/>
      <c r="BB3109" s="133"/>
      <c r="BC3109" s="133"/>
      <c r="BD3109" s="133"/>
      <c r="BE3109" s="133"/>
      <c r="BF3109" s="133"/>
      <c r="BG3109" s="133"/>
      <c r="BH3109" s="133"/>
      <c r="BI3109" s="133"/>
      <c r="BJ3109" s="133"/>
      <c r="BK3109" s="133"/>
      <c r="BL3109" s="133"/>
      <c r="BM3109" s="133"/>
      <c r="BN3109" s="133"/>
      <c r="BO3109" s="133"/>
      <c r="BP3109" s="133"/>
      <c r="BQ3109" s="133"/>
    </row>
    <row r="3110">
      <c r="A3110" s="194" t="s">
        <v>8144</v>
      </c>
      <c r="B3110" s="125"/>
      <c r="C3110" s="195">
        <v>43952.0</v>
      </c>
      <c r="D3110" s="133"/>
      <c r="E3110" s="124" t="s">
        <v>31</v>
      </c>
      <c r="F3110" s="198">
        <v>1.0</v>
      </c>
      <c r="G3110" s="124" t="s">
        <v>32</v>
      </c>
      <c r="H3110" s="303">
        <v>1.0</v>
      </c>
      <c r="I3110" s="124" t="s">
        <v>33</v>
      </c>
      <c r="J3110" s="124" t="s">
        <v>47</v>
      </c>
      <c r="K3110" s="133"/>
      <c r="L3110" s="124" t="s">
        <v>8131</v>
      </c>
      <c r="M3110" s="242" t="s">
        <v>8132</v>
      </c>
      <c r="N3110" s="219" t="s">
        <v>8133</v>
      </c>
      <c r="O3110" s="124"/>
      <c r="P3110" s="133"/>
      <c r="Q3110" s="124"/>
      <c r="R3110" s="128"/>
      <c r="S3110" s="37"/>
      <c r="T3110" s="38"/>
      <c r="U3110" s="38"/>
      <c r="V3110" s="124" t="s">
        <v>33</v>
      </c>
      <c r="W3110" s="233" t="s">
        <v>8134</v>
      </c>
      <c r="X3110" s="219" t="s">
        <v>8145</v>
      </c>
      <c r="Y3110" s="233"/>
      <c r="Z3110" s="133"/>
      <c r="AA3110" s="133"/>
      <c r="AB3110" s="133"/>
      <c r="AC3110" s="133"/>
      <c r="AD3110" s="133"/>
      <c r="AE3110" s="133"/>
      <c r="AF3110" s="133"/>
      <c r="AG3110" s="133"/>
      <c r="AH3110" s="133"/>
      <c r="AI3110" s="133"/>
      <c r="AJ3110" s="133"/>
      <c r="AK3110" s="133"/>
      <c r="AL3110" s="133"/>
      <c r="AM3110" s="133"/>
      <c r="AN3110" s="133"/>
      <c r="AO3110" s="133"/>
      <c r="AP3110" s="133"/>
      <c r="AQ3110" s="133"/>
      <c r="AR3110" s="133"/>
      <c r="AS3110" s="133"/>
      <c r="AT3110" s="133"/>
      <c r="AU3110" s="133"/>
      <c r="AV3110" s="133"/>
      <c r="AW3110" s="133"/>
      <c r="AX3110" s="133"/>
      <c r="AY3110" s="133"/>
      <c r="AZ3110" s="133"/>
      <c r="BA3110" s="133"/>
      <c r="BB3110" s="133"/>
      <c r="BC3110" s="133"/>
      <c r="BD3110" s="133"/>
      <c r="BE3110" s="133"/>
      <c r="BF3110" s="133"/>
      <c r="BG3110" s="133"/>
      <c r="BH3110" s="133"/>
      <c r="BI3110" s="133"/>
      <c r="BJ3110" s="133"/>
      <c r="BK3110" s="133"/>
      <c r="BL3110" s="133"/>
      <c r="BM3110" s="133"/>
      <c r="BN3110" s="133"/>
      <c r="BO3110" s="133"/>
      <c r="BP3110" s="133"/>
      <c r="BQ3110" s="133"/>
    </row>
    <row r="3111">
      <c r="A3111" s="194" t="s">
        <v>8146</v>
      </c>
      <c r="B3111" s="125"/>
      <c r="C3111" s="195">
        <v>43952.0</v>
      </c>
      <c r="D3111" s="133"/>
      <c r="E3111" s="124" t="s">
        <v>31</v>
      </c>
      <c r="F3111" s="198">
        <v>1.0</v>
      </c>
      <c r="G3111" s="124" t="s">
        <v>32</v>
      </c>
      <c r="H3111" s="303">
        <v>1.0</v>
      </c>
      <c r="I3111" s="124" t="s">
        <v>33</v>
      </c>
      <c r="J3111" s="124" t="s">
        <v>47</v>
      </c>
      <c r="K3111" s="133"/>
      <c r="L3111" s="124" t="s">
        <v>8131</v>
      </c>
      <c r="M3111" s="242" t="s">
        <v>8132</v>
      </c>
      <c r="N3111" s="219" t="s">
        <v>8133</v>
      </c>
      <c r="O3111" s="124"/>
      <c r="P3111" s="133"/>
      <c r="Q3111" s="124"/>
      <c r="R3111" s="128"/>
      <c r="S3111" s="37"/>
      <c r="T3111" s="38"/>
      <c r="U3111" s="38"/>
      <c r="V3111" s="124" t="s">
        <v>33</v>
      </c>
      <c r="W3111" s="233" t="s">
        <v>8134</v>
      </c>
      <c r="X3111" s="219" t="s">
        <v>8147</v>
      </c>
      <c r="Y3111" s="233"/>
      <c r="Z3111" s="133"/>
      <c r="AA3111" s="133"/>
      <c r="AB3111" s="133"/>
      <c r="AC3111" s="133"/>
      <c r="AD3111" s="133"/>
      <c r="AE3111" s="133"/>
      <c r="AF3111" s="133"/>
      <c r="AG3111" s="133"/>
      <c r="AH3111" s="133"/>
      <c r="AI3111" s="133"/>
      <c r="AJ3111" s="133"/>
      <c r="AK3111" s="133"/>
      <c r="AL3111" s="133"/>
      <c r="AM3111" s="133"/>
      <c r="AN3111" s="133"/>
      <c r="AO3111" s="133"/>
      <c r="AP3111" s="133"/>
      <c r="AQ3111" s="133"/>
      <c r="AR3111" s="133"/>
      <c r="AS3111" s="133"/>
      <c r="AT3111" s="133"/>
      <c r="AU3111" s="133"/>
      <c r="AV3111" s="133"/>
      <c r="AW3111" s="133"/>
      <c r="AX3111" s="133"/>
      <c r="AY3111" s="133"/>
      <c r="AZ3111" s="133"/>
      <c r="BA3111" s="133"/>
      <c r="BB3111" s="133"/>
      <c r="BC3111" s="133"/>
      <c r="BD3111" s="133"/>
      <c r="BE3111" s="133"/>
      <c r="BF3111" s="133"/>
      <c r="BG3111" s="133"/>
      <c r="BH3111" s="133"/>
      <c r="BI3111" s="133"/>
      <c r="BJ3111" s="133"/>
      <c r="BK3111" s="133"/>
      <c r="BL3111" s="133"/>
      <c r="BM3111" s="133"/>
      <c r="BN3111" s="133"/>
      <c r="BO3111" s="133"/>
      <c r="BP3111" s="133"/>
      <c r="BQ3111" s="133"/>
    </row>
    <row r="3112">
      <c r="A3112" s="194" t="s">
        <v>8148</v>
      </c>
      <c r="B3112" s="125"/>
      <c r="C3112" s="195">
        <v>43952.0</v>
      </c>
      <c r="D3112" s="133"/>
      <c r="E3112" s="124" t="s">
        <v>31</v>
      </c>
      <c r="F3112" s="198">
        <v>1.0</v>
      </c>
      <c r="G3112" s="124" t="s">
        <v>32</v>
      </c>
      <c r="H3112" s="303">
        <v>1.0</v>
      </c>
      <c r="I3112" s="124" t="s">
        <v>33</v>
      </c>
      <c r="J3112" s="124" t="s">
        <v>47</v>
      </c>
      <c r="K3112" s="133"/>
      <c r="L3112" s="124" t="s">
        <v>8131</v>
      </c>
      <c r="M3112" s="242" t="s">
        <v>8132</v>
      </c>
      <c r="N3112" s="219" t="s">
        <v>8133</v>
      </c>
      <c r="O3112" s="124"/>
      <c r="P3112" s="133"/>
      <c r="Q3112" s="124"/>
      <c r="R3112" s="128"/>
      <c r="S3112" s="37"/>
      <c r="T3112" s="38"/>
      <c r="U3112" s="38"/>
      <c r="V3112" s="124" t="s">
        <v>33</v>
      </c>
      <c r="W3112" s="233" t="s">
        <v>8134</v>
      </c>
      <c r="X3112" s="219" t="s">
        <v>8149</v>
      </c>
      <c r="Y3112" s="233"/>
      <c r="Z3112" s="133"/>
      <c r="AA3112" s="133"/>
      <c r="AB3112" s="133"/>
      <c r="AC3112" s="133"/>
      <c r="AD3112" s="133"/>
      <c r="AE3112" s="133"/>
      <c r="AF3112" s="133"/>
      <c r="AG3112" s="133"/>
      <c r="AH3112" s="133"/>
      <c r="AI3112" s="133"/>
      <c r="AJ3112" s="133"/>
      <c r="AK3112" s="133"/>
      <c r="AL3112" s="133"/>
      <c r="AM3112" s="133"/>
      <c r="AN3112" s="133"/>
      <c r="AO3112" s="133"/>
      <c r="AP3112" s="133"/>
      <c r="AQ3112" s="133"/>
      <c r="AR3112" s="133"/>
      <c r="AS3112" s="133"/>
      <c r="AT3112" s="133"/>
      <c r="AU3112" s="133"/>
      <c r="AV3112" s="133"/>
      <c r="AW3112" s="133"/>
      <c r="AX3112" s="133"/>
      <c r="AY3112" s="133"/>
      <c r="AZ3112" s="133"/>
      <c r="BA3112" s="133"/>
      <c r="BB3112" s="133"/>
      <c r="BC3112" s="133"/>
      <c r="BD3112" s="133"/>
      <c r="BE3112" s="133"/>
      <c r="BF3112" s="133"/>
      <c r="BG3112" s="133"/>
      <c r="BH3112" s="133"/>
      <c r="BI3112" s="133"/>
      <c r="BJ3112" s="133"/>
      <c r="BK3112" s="133"/>
      <c r="BL3112" s="133"/>
      <c r="BM3112" s="133"/>
      <c r="BN3112" s="133"/>
      <c r="BO3112" s="133"/>
      <c r="BP3112" s="133"/>
      <c r="BQ3112" s="133"/>
    </row>
    <row r="3113">
      <c r="A3113" s="194" t="s">
        <v>8150</v>
      </c>
      <c r="B3113" s="125"/>
      <c r="C3113" s="195">
        <v>43952.0</v>
      </c>
      <c r="D3113" s="133"/>
      <c r="E3113" s="124" t="s">
        <v>31</v>
      </c>
      <c r="F3113" s="198">
        <v>1.0</v>
      </c>
      <c r="G3113" s="124" t="s">
        <v>32</v>
      </c>
      <c r="H3113" s="303">
        <v>1.0</v>
      </c>
      <c r="I3113" s="124" t="s">
        <v>33</v>
      </c>
      <c r="J3113" s="124" t="s">
        <v>47</v>
      </c>
      <c r="K3113" s="133"/>
      <c r="L3113" s="124" t="s">
        <v>8131</v>
      </c>
      <c r="M3113" s="242" t="s">
        <v>8132</v>
      </c>
      <c r="N3113" s="219" t="s">
        <v>8133</v>
      </c>
      <c r="O3113" s="124"/>
      <c r="P3113" s="133"/>
      <c r="Q3113" s="124"/>
      <c r="R3113" s="128"/>
      <c r="S3113" s="37"/>
      <c r="T3113" s="38"/>
      <c r="U3113" s="38"/>
      <c r="V3113" s="124" t="s">
        <v>33</v>
      </c>
      <c r="W3113" s="233" t="s">
        <v>8134</v>
      </c>
      <c r="X3113" s="219" t="s">
        <v>8151</v>
      </c>
      <c r="Y3113" s="233"/>
      <c r="Z3113" s="133"/>
      <c r="AA3113" s="133"/>
      <c r="AB3113" s="133"/>
      <c r="AC3113" s="133"/>
      <c r="AD3113" s="133"/>
      <c r="AE3113" s="133"/>
      <c r="AF3113" s="133"/>
      <c r="AG3113" s="133"/>
      <c r="AH3113" s="133"/>
      <c r="AI3113" s="133"/>
      <c r="AJ3113" s="133"/>
      <c r="AK3113" s="133"/>
      <c r="AL3113" s="133"/>
      <c r="AM3113" s="133"/>
      <c r="AN3113" s="133"/>
      <c r="AO3113" s="133"/>
      <c r="AP3113" s="133"/>
      <c r="AQ3113" s="133"/>
      <c r="AR3113" s="133"/>
      <c r="AS3113" s="133"/>
      <c r="AT3113" s="133"/>
      <c r="AU3113" s="133"/>
      <c r="AV3113" s="133"/>
      <c r="AW3113" s="133"/>
      <c r="AX3113" s="133"/>
      <c r="AY3113" s="133"/>
      <c r="AZ3113" s="133"/>
      <c r="BA3113" s="133"/>
      <c r="BB3113" s="133"/>
      <c r="BC3113" s="133"/>
      <c r="BD3113" s="133"/>
      <c r="BE3113" s="133"/>
      <c r="BF3113" s="133"/>
      <c r="BG3113" s="133"/>
      <c r="BH3113" s="133"/>
      <c r="BI3113" s="133"/>
      <c r="BJ3113" s="133"/>
      <c r="BK3113" s="133"/>
      <c r="BL3113" s="133"/>
      <c r="BM3113" s="133"/>
      <c r="BN3113" s="133"/>
      <c r="BO3113" s="133"/>
      <c r="BP3113" s="133"/>
      <c r="BQ3113" s="133"/>
    </row>
    <row r="3114">
      <c r="A3114" s="194" t="s">
        <v>8152</v>
      </c>
      <c r="B3114" s="125"/>
      <c r="C3114" s="195">
        <v>43952.0</v>
      </c>
      <c r="D3114" s="133"/>
      <c r="E3114" s="124" t="s">
        <v>31</v>
      </c>
      <c r="F3114" s="198">
        <v>1.0</v>
      </c>
      <c r="G3114" s="124" t="s">
        <v>32</v>
      </c>
      <c r="H3114" s="303">
        <v>1.0</v>
      </c>
      <c r="I3114" s="124" t="s">
        <v>33</v>
      </c>
      <c r="J3114" s="124" t="s">
        <v>47</v>
      </c>
      <c r="K3114" s="133"/>
      <c r="L3114" s="124" t="s">
        <v>8131</v>
      </c>
      <c r="M3114" s="242" t="s">
        <v>8132</v>
      </c>
      <c r="N3114" s="219" t="s">
        <v>8133</v>
      </c>
      <c r="O3114" s="124"/>
      <c r="P3114" s="133"/>
      <c r="Q3114" s="124"/>
      <c r="R3114" s="128"/>
      <c r="S3114" s="37"/>
      <c r="T3114" s="38"/>
      <c r="U3114" s="38"/>
      <c r="V3114" s="124" t="s">
        <v>33</v>
      </c>
      <c r="W3114" s="233" t="s">
        <v>8134</v>
      </c>
      <c r="X3114" s="219" t="s">
        <v>8153</v>
      </c>
      <c r="Y3114" s="233"/>
      <c r="Z3114" s="133"/>
      <c r="AA3114" s="133"/>
      <c r="AB3114" s="133"/>
      <c r="AC3114" s="133"/>
      <c r="AD3114" s="133"/>
      <c r="AE3114" s="133"/>
      <c r="AF3114" s="133"/>
      <c r="AG3114" s="133"/>
      <c r="AH3114" s="133"/>
      <c r="AI3114" s="133"/>
      <c r="AJ3114" s="133"/>
      <c r="AK3114" s="133"/>
      <c r="AL3114" s="133"/>
      <c r="AM3114" s="133"/>
      <c r="AN3114" s="133"/>
      <c r="AO3114" s="133"/>
      <c r="AP3114" s="133"/>
      <c r="AQ3114" s="133"/>
      <c r="AR3114" s="133"/>
      <c r="AS3114" s="133"/>
      <c r="AT3114" s="133"/>
      <c r="AU3114" s="133"/>
      <c r="AV3114" s="133"/>
      <c r="AW3114" s="133"/>
      <c r="AX3114" s="133"/>
      <c r="AY3114" s="133"/>
      <c r="AZ3114" s="133"/>
      <c r="BA3114" s="133"/>
      <c r="BB3114" s="133"/>
      <c r="BC3114" s="133"/>
      <c r="BD3114" s="133"/>
      <c r="BE3114" s="133"/>
      <c r="BF3114" s="133"/>
      <c r="BG3114" s="133"/>
      <c r="BH3114" s="133"/>
      <c r="BI3114" s="133"/>
      <c r="BJ3114" s="133"/>
      <c r="BK3114" s="133"/>
      <c r="BL3114" s="133"/>
      <c r="BM3114" s="133"/>
      <c r="BN3114" s="133"/>
      <c r="BO3114" s="133"/>
      <c r="BP3114" s="133"/>
      <c r="BQ3114" s="133"/>
    </row>
    <row r="3115">
      <c r="A3115" s="194" t="s">
        <v>8154</v>
      </c>
      <c r="B3115" s="125"/>
      <c r="C3115" s="195">
        <v>43952.0</v>
      </c>
      <c r="D3115" s="133"/>
      <c r="E3115" s="124" t="s">
        <v>31</v>
      </c>
      <c r="F3115" s="198">
        <v>1.0</v>
      </c>
      <c r="G3115" s="124" t="s">
        <v>32</v>
      </c>
      <c r="H3115" s="303">
        <v>1.0</v>
      </c>
      <c r="I3115" s="124" t="s">
        <v>33</v>
      </c>
      <c r="J3115" s="124" t="s">
        <v>47</v>
      </c>
      <c r="K3115" s="133"/>
      <c r="L3115" s="124" t="s">
        <v>8131</v>
      </c>
      <c r="M3115" s="242" t="s">
        <v>8132</v>
      </c>
      <c r="N3115" s="219" t="s">
        <v>8133</v>
      </c>
      <c r="O3115" s="124"/>
      <c r="P3115" s="133"/>
      <c r="Q3115" s="124"/>
      <c r="R3115" s="128"/>
      <c r="S3115" s="37"/>
      <c r="T3115" s="38"/>
      <c r="U3115" s="38"/>
      <c r="V3115" s="124" t="s">
        <v>33</v>
      </c>
      <c r="W3115" s="233" t="s">
        <v>8134</v>
      </c>
      <c r="X3115" s="219" t="s">
        <v>8155</v>
      </c>
      <c r="Y3115" s="233"/>
      <c r="Z3115" s="133"/>
      <c r="AA3115" s="133"/>
      <c r="AB3115" s="133"/>
      <c r="AC3115" s="133"/>
      <c r="AD3115" s="133"/>
      <c r="AE3115" s="133"/>
      <c r="AF3115" s="133"/>
      <c r="AG3115" s="133"/>
      <c r="AH3115" s="133"/>
      <c r="AI3115" s="133"/>
      <c r="AJ3115" s="133"/>
      <c r="AK3115" s="133"/>
      <c r="AL3115" s="133"/>
      <c r="AM3115" s="133"/>
      <c r="AN3115" s="133"/>
      <c r="AO3115" s="133"/>
      <c r="AP3115" s="133"/>
      <c r="AQ3115" s="133"/>
      <c r="AR3115" s="133"/>
      <c r="AS3115" s="133"/>
      <c r="AT3115" s="133"/>
      <c r="AU3115" s="133"/>
      <c r="AV3115" s="133"/>
      <c r="AW3115" s="133"/>
      <c r="AX3115" s="133"/>
      <c r="AY3115" s="133"/>
      <c r="AZ3115" s="133"/>
      <c r="BA3115" s="133"/>
      <c r="BB3115" s="133"/>
      <c r="BC3115" s="133"/>
      <c r="BD3115" s="133"/>
      <c r="BE3115" s="133"/>
      <c r="BF3115" s="133"/>
      <c r="BG3115" s="133"/>
      <c r="BH3115" s="133"/>
      <c r="BI3115" s="133"/>
      <c r="BJ3115" s="133"/>
      <c r="BK3115" s="133"/>
      <c r="BL3115" s="133"/>
      <c r="BM3115" s="133"/>
      <c r="BN3115" s="133"/>
      <c r="BO3115" s="133"/>
      <c r="BP3115" s="133"/>
      <c r="BQ3115" s="133"/>
    </row>
    <row r="3116">
      <c r="A3116" s="194" t="s">
        <v>8156</v>
      </c>
      <c r="B3116" s="125"/>
      <c r="C3116" s="195">
        <v>43952.0</v>
      </c>
      <c r="D3116" s="133"/>
      <c r="E3116" s="124" t="s">
        <v>31</v>
      </c>
      <c r="F3116" s="198">
        <v>1.0</v>
      </c>
      <c r="G3116" s="124" t="s">
        <v>32</v>
      </c>
      <c r="H3116" s="303">
        <v>1.0</v>
      </c>
      <c r="I3116" s="124" t="s">
        <v>33</v>
      </c>
      <c r="J3116" s="124" t="s">
        <v>47</v>
      </c>
      <c r="K3116" s="133"/>
      <c r="L3116" s="124" t="s">
        <v>8131</v>
      </c>
      <c r="M3116" s="242" t="s">
        <v>8132</v>
      </c>
      <c r="N3116" s="219" t="s">
        <v>8133</v>
      </c>
      <c r="O3116" s="124"/>
      <c r="P3116" s="133"/>
      <c r="Q3116" s="124"/>
      <c r="R3116" s="128"/>
      <c r="S3116" s="37"/>
      <c r="T3116" s="38"/>
      <c r="U3116" s="38"/>
      <c r="V3116" s="124" t="s">
        <v>33</v>
      </c>
      <c r="W3116" s="233" t="s">
        <v>8134</v>
      </c>
      <c r="X3116" s="219" t="s">
        <v>8157</v>
      </c>
      <c r="Y3116" s="233"/>
      <c r="Z3116" s="133"/>
      <c r="AA3116" s="133"/>
      <c r="AB3116" s="133"/>
      <c r="AC3116" s="133"/>
      <c r="AD3116" s="133"/>
      <c r="AE3116" s="133"/>
      <c r="AF3116" s="133"/>
      <c r="AG3116" s="133"/>
      <c r="AH3116" s="133"/>
      <c r="AI3116" s="133"/>
      <c r="AJ3116" s="133"/>
      <c r="AK3116" s="133"/>
      <c r="AL3116" s="133"/>
      <c r="AM3116" s="133"/>
      <c r="AN3116" s="133"/>
      <c r="AO3116" s="133"/>
      <c r="AP3116" s="133"/>
      <c r="AQ3116" s="133"/>
      <c r="AR3116" s="133"/>
      <c r="AS3116" s="133"/>
      <c r="AT3116" s="133"/>
      <c r="AU3116" s="133"/>
      <c r="AV3116" s="133"/>
      <c r="AW3116" s="133"/>
      <c r="AX3116" s="133"/>
      <c r="AY3116" s="133"/>
      <c r="AZ3116" s="133"/>
      <c r="BA3116" s="133"/>
      <c r="BB3116" s="133"/>
      <c r="BC3116" s="133"/>
      <c r="BD3116" s="133"/>
      <c r="BE3116" s="133"/>
      <c r="BF3116" s="133"/>
      <c r="BG3116" s="133"/>
      <c r="BH3116" s="133"/>
      <c r="BI3116" s="133"/>
      <c r="BJ3116" s="133"/>
      <c r="BK3116" s="133"/>
      <c r="BL3116" s="133"/>
      <c r="BM3116" s="133"/>
      <c r="BN3116" s="133"/>
      <c r="BO3116" s="133"/>
      <c r="BP3116" s="133"/>
      <c r="BQ3116" s="133"/>
    </row>
    <row r="3117">
      <c r="A3117" s="194" t="s">
        <v>8158</v>
      </c>
      <c r="B3117" s="125"/>
      <c r="C3117" s="195">
        <v>43952.0</v>
      </c>
      <c r="D3117" s="133"/>
      <c r="E3117" s="124" t="s">
        <v>31</v>
      </c>
      <c r="F3117" s="198">
        <v>1.0</v>
      </c>
      <c r="G3117" s="124" t="s">
        <v>32</v>
      </c>
      <c r="H3117" s="303">
        <v>1.0</v>
      </c>
      <c r="I3117" s="124" t="s">
        <v>33</v>
      </c>
      <c r="J3117" s="124" t="s">
        <v>47</v>
      </c>
      <c r="K3117" s="133"/>
      <c r="L3117" s="124" t="s">
        <v>8131</v>
      </c>
      <c r="M3117" s="242" t="s">
        <v>8132</v>
      </c>
      <c r="N3117" s="219" t="s">
        <v>8133</v>
      </c>
      <c r="O3117" s="124"/>
      <c r="P3117" s="133"/>
      <c r="Q3117" s="124"/>
      <c r="R3117" s="128"/>
      <c r="S3117" s="37"/>
      <c r="T3117" s="38"/>
      <c r="U3117" s="38"/>
      <c r="V3117" s="124" t="s">
        <v>33</v>
      </c>
      <c r="W3117" s="233" t="s">
        <v>8134</v>
      </c>
      <c r="X3117" s="219" t="s">
        <v>8159</v>
      </c>
      <c r="Y3117" s="233"/>
      <c r="Z3117" s="133"/>
      <c r="AA3117" s="133"/>
      <c r="AB3117" s="133"/>
      <c r="AC3117" s="133"/>
      <c r="AD3117" s="133"/>
      <c r="AE3117" s="133"/>
      <c r="AF3117" s="133"/>
      <c r="AG3117" s="133"/>
      <c r="AH3117" s="133"/>
      <c r="AI3117" s="133"/>
      <c r="AJ3117" s="133"/>
      <c r="AK3117" s="133"/>
      <c r="AL3117" s="133"/>
      <c r="AM3117" s="133"/>
      <c r="AN3117" s="133"/>
      <c r="AO3117" s="133"/>
      <c r="AP3117" s="133"/>
      <c r="AQ3117" s="133"/>
      <c r="AR3117" s="133"/>
      <c r="AS3117" s="133"/>
      <c r="AT3117" s="133"/>
      <c r="AU3117" s="133"/>
      <c r="AV3117" s="133"/>
      <c r="AW3117" s="133"/>
      <c r="AX3117" s="133"/>
      <c r="AY3117" s="133"/>
      <c r="AZ3117" s="133"/>
      <c r="BA3117" s="133"/>
      <c r="BB3117" s="133"/>
      <c r="BC3117" s="133"/>
      <c r="BD3117" s="133"/>
      <c r="BE3117" s="133"/>
      <c r="BF3117" s="133"/>
      <c r="BG3117" s="133"/>
      <c r="BH3117" s="133"/>
      <c r="BI3117" s="133"/>
      <c r="BJ3117" s="133"/>
      <c r="BK3117" s="133"/>
      <c r="BL3117" s="133"/>
      <c r="BM3117" s="133"/>
      <c r="BN3117" s="133"/>
      <c r="BO3117" s="133"/>
      <c r="BP3117" s="133"/>
      <c r="BQ3117" s="133"/>
    </row>
    <row r="3118">
      <c r="A3118" s="194" t="s">
        <v>8160</v>
      </c>
      <c r="B3118" s="125"/>
      <c r="C3118" s="195">
        <v>43952.0</v>
      </c>
      <c r="D3118" s="133"/>
      <c r="E3118" s="124" t="s">
        <v>31</v>
      </c>
      <c r="F3118" s="198">
        <v>1.0</v>
      </c>
      <c r="G3118" s="124" t="s">
        <v>32</v>
      </c>
      <c r="H3118" s="303">
        <v>1.0</v>
      </c>
      <c r="I3118" s="124" t="s">
        <v>33</v>
      </c>
      <c r="J3118" s="124" t="s">
        <v>47</v>
      </c>
      <c r="K3118" s="133"/>
      <c r="L3118" s="124" t="s">
        <v>8131</v>
      </c>
      <c r="M3118" s="242" t="s">
        <v>8132</v>
      </c>
      <c r="N3118" s="219" t="s">
        <v>8133</v>
      </c>
      <c r="O3118" s="124"/>
      <c r="P3118" s="133"/>
      <c r="Q3118" s="124"/>
      <c r="R3118" s="128"/>
      <c r="S3118" s="37"/>
      <c r="T3118" s="38"/>
      <c r="U3118" s="38"/>
      <c r="V3118" s="124" t="s">
        <v>33</v>
      </c>
      <c r="W3118" s="233" t="s">
        <v>8134</v>
      </c>
      <c r="X3118" s="219" t="s">
        <v>8161</v>
      </c>
      <c r="Y3118" s="233"/>
      <c r="Z3118" s="133"/>
      <c r="AA3118" s="133"/>
      <c r="AB3118" s="133"/>
      <c r="AC3118" s="133"/>
      <c r="AD3118" s="133"/>
      <c r="AE3118" s="133"/>
      <c r="AF3118" s="133"/>
      <c r="AG3118" s="133"/>
      <c r="AH3118" s="133"/>
      <c r="AI3118" s="133"/>
      <c r="AJ3118" s="133"/>
      <c r="AK3118" s="133"/>
      <c r="AL3118" s="133"/>
      <c r="AM3118" s="133"/>
      <c r="AN3118" s="133"/>
      <c r="AO3118" s="133"/>
      <c r="AP3118" s="133"/>
      <c r="AQ3118" s="133"/>
      <c r="AR3118" s="133"/>
      <c r="AS3118" s="133"/>
      <c r="AT3118" s="133"/>
      <c r="AU3118" s="133"/>
      <c r="AV3118" s="133"/>
      <c r="AW3118" s="133"/>
      <c r="AX3118" s="133"/>
      <c r="AY3118" s="133"/>
      <c r="AZ3118" s="133"/>
      <c r="BA3118" s="133"/>
      <c r="BB3118" s="133"/>
      <c r="BC3118" s="133"/>
      <c r="BD3118" s="133"/>
      <c r="BE3118" s="133"/>
      <c r="BF3118" s="133"/>
      <c r="BG3118" s="133"/>
      <c r="BH3118" s="133"/>
      <c r="BI3118" s="133"/>
      <c r="BJ3118" s="133"/>
      <c r="BK3118" s="133"/>
      <c r="BL3118" s="133"/>
      <c r="BM3118" s="133"/>
      <c r="BN3118" s="133"/>
      <c r="BO3118" s="133"/>
      <c r="BP3118" s="133"/>
      <c r="BQ3118" s="133"/>
    </row>
    <row r="3119">
      <c r="A3119" s="194" t="s">
        <v>8162</v>
      </c>
      <c r="B3119" s="125"/>
      <c r="C3119" s="195">
        <v>43952.0</v>
      </c>
      <c r="D3119" s="133"/>
      <c r="E3119" s="124" t="s">
        <v>31</v>
      </c>
      <c r="F3119" s="198">
        <v>1.0</v>
      </c>
      <c r="G3119" s="124" t="s">
        <v>32</v>
      </c>
      <c r="H3119" s="303">
        <v>1.0</v>
      </c>
      <c r="I3119" s="124" t="s">
        <v>33</v>
      </c>
      <c r="J3119" s="124" t="s">
        <v>47</v>
      </c>
      <c r="K3119" s="133"/>
      <c r="L3119" s="124" t="s">
        <v>8131</v>
      </c>
      <c r="M3119" s="242" t="s">
        <v>8132</v>
      </c>
      <c r="N3119" s="219" t="s">
        <v>8133</v>
      </c>
      <c r="O3119" s="124"/>
      <c r="P3119" s="133"/>
      <c r="Q3119" s="124"/>
      <c r="R3119" s="128"/>
      <c r="S3119" s="37"/>
      <c r="T3119" s="38"/>
      <c r="U3119" s="38"/>
      <c r="V3119" s="124" t="s">
        <v>33</v>
      </c>
      <c r="W3119" s="233" t="s">
        <v>8134</v>
      </c>
      <c r="X3119" s="219" t="s">
        <v>8163</v>
      </c>
      <c r="Y3119" s="233"/>
      <c r="Z3119" s="133"/>
      <c r="AA3119" s="133"/>
      <c r="AB3119" s="133"/>
      <c r="AC3119" s="133"/>
      <c r="AD3119" s="133"/>
      <c r="AE3119" s="133"/>
      <c r="AF3119" s="133"/>
      <c r="AG3119" s="133"/>
      <c r="AH3119" s="133"/>
      <c r="AI3119" s="133"/>
      <c r="AJ3119" s="133"/>
      <c r="AK3119" s="133"/>
      <c r="AL3119" s="133"/>
      <c r="AM3119" s="133"/>
      <c r="AN3119" s="133"/>
      <c r="AO3119" s="133"/>
      <c r="AP3119" s="133"/>
      <c r="AQ3119" s="133"/>
      <c r="AR3119" s="133"/>
      <c r="AS3119" s="133"/>
      <c r="AT3119" s="133"/>
      <c r="AU3119" s="133"/>
      <c r="AV3119" s="133"/>
      <c r="AW3119" s="133"/>
      <c r="AX3119" s="133"/>
      <c r="AY3119" s="133"/>
      <c r="AZ3119" s="133"/>
      <c r="BA3119" s="133"/>
      <c r="BB3119" s="133"/>
      <c r="BC3119" s="133"/>
      <c r="BD3119" s="133"/>
      <c r="BE3119" s="133"/>
      <c r="BF3119" s="133"/>
      <c r="BG3119" s="133"/>
      <c r="BH3119" s="133"/>
      <c r="BI3119" s="133"/>
      <c r="BJ3119" s="133"/>
      <c r="BK3119" s="133"/>
      <c r="BL3119" s="133"/>
      <c r="BM3119" s="133"/>
      <c r="BN3119" s="133"/>
      <c r="BO3119" s="133"/>
      <c r="BP3119" s="133"/>
      <c r="BQ3119" s="133"/>
    </row>
    <row r="3120">
      <c r="A3120" s="194" t="s">
        <v>8164</v>
      </c>
      <c r="B3120" s="125"/>
      <c r="C3120" s="195">
        <v>43952.0</v>
      </c>
      <c r="D3120" s="133"/>
      <c r="E3120" s="124" t="s">
        <v>31</v>
      </c>
      <c r="F3120" s="198">
        <v>1.0</v>
      </c>
      <c r="G3120" s="124" t="s">
        <v>32</v>
      </c>
      <c r="H3120" s="303">
        <v>1.0</v>
      </c>
      <c r="I3120" s="124" t="s">
        <v>33</v>
      </c>
      <c r="J3120" s="124" t="s">
        <v>47</v>
      </c>
      <c r="K3120" s="133"/>
      <c r="L3120" s="124" t="s">
        <v>8131</v>
      </c>
      <c r="M3120" s="242" t="s">
        <v>8132</v>
      </c>
      <c r="N3120" s="219" t="s">
        <v>8133</v>
      </c>
      <c r="O3120" s="124"/>
      <c r="P3120" s="133"/>
      <c r="Q3120" s="124"/>
      <c r="R3120" s="128"/>
      <c r="S3120" s="37"/>
      <c r="T3120" s="38"/>
      <c r="U3120" s="38"/>
      <c r="V3120" s="124" t="s">
        <v>33</v>
      </c>
      <c r="W3120" s="233" t="s">
        <v>8134</v>
      </c>
      <c r="X3120" s="305" t="s">
        <v>8165</v>
      </c>
      <c r="Y3120" s="233"/>
      <c r="Z3120" s="133"/>
      <c r="AA3120" s="133"/>
      <c r="AB3120" s="133"/>
      <c r="AC3120" s="133"/>
      <c r="AD3120" s="133"/>
      <c r="AE3120" s="133"/>
      <c r="AF3120" s="133"/>
      <c r="AG3120" s="133"/>
      <c r="AH3120" s="133"/>
      <c r="AI3120" s="133"/>
      <c r="AJ3120" s="133"/>
      <c r="AK3120" s="133"/>
      <c r="AL3120" s="133"/>
      <c r="AM3120" s="133"/>
      <c r="AN3120" s="133"/>
      <c r="AO3120" s="133"/>
      <c r="AP3120" s="133"/>
      <c r="AQ3120" s="133"/>
      <c r="AR3120" s="133"/>
      <c r="AS3120" s="133"/>
      <c r="AT3120" s="133"/>
      <c r="AU3120" s="133"/>
      <c r="AV3120" s="133"/>
      <c r="AW3120" s="133"/>
      <c r="AX3120" s="133"/>
      <c r="AY3120" s="133"/>
      <c r="AZ3120" s="133"/>
      <c r="BA3120" s="133"/>
      <c r="BB3120" s="133"/>
      <c r="BC3120" s="133"/>
      <c r="BD3120" s="133"/>
      <c r="BE3120" s="133"/>
      <c r="BF3120" s="133"/>
      <c r="BG3120" s="133"/>
      <c r="BH3120" s="133"/>
      <c r="BI3120" s="133"/>
      <c r="BJ3120" s="133"/>
      <c r="BK3120" s="133"/>
      <c r="BL3120" s="133"/>
      <c r="BM3120" s="133"/>
      <c r="BN3120" s="133"/>
      <c r="BO3120" s="133"/>
      <c r="BP3120" s="133"/>
      <c r="BQ3120" s="133"/>
    </row>
    <row r="3121">
      <c r="A3121" s="194" t="s">
        <v>8166</v>
      </c>
      <c r="B3121" s="125"/>
      <c r="C3121" s="195">
        <v>43952.0</v>
      </c>
      <c r="D3121" s="133"/>
      <c r="E3121" s="124" t="s">
        <v>41</v>
      </c>
      <c r="F3121" s="198">
        <v>1.0</v>
      </c>
      <c r="G3121" s="124" t="s">
        <v>32</v>
      </c>
      <c r="H3121" s="303">
        <v>1.0</v>
      </c>
      <c r="I3121" s="124" t="s">
        <v>33</v>
      </c>
      <c r="J3121" s="124" t="s">
        <v>2167</v>
      </c>
      <c r="K3121" s="133"/>
      <c r="L3121" s="124" t="s">
        <v>119</v>
      </c>
      <c r="M3121" s="242" t="s">
        <v>7117</v>
      </c>
      <c r="N3121" s="233"/>
      <c r="O3121" s="124"/>
      <c r="P3121" s="133"/>
      <c r="Q3121" s="124"/>
      <c r="R3121" s="128"/>
      <c r="S3121" s="37"/>
      <c r="T3121" s="38"/>
      <c r="U3121" s="38"/>
      <c r="V3121" s="124" t="s">
        <v>33</v>
      </c>
      <c r="W3121" s="233"/>
      <c r="X3121" s="138"/>
      <c r="Y3121" s="233"/>
      <c r="Z3121" s="133"/>
      <c r="AA3121" s="133"/>
      <c r="AB3121" s="133"/>
      <c r="AC3121" s="133"/>
      <c r="AD3121" s="133"/>
      <c r="AE3121" s="133"/>
      <c r="AF3121" s="133"/>
      <c r="AG3121" s="133"/>
      <c r="AH3121" s="133"/>
      <c r="AI3121" s="133"/>
      <c r="AJ3121" s="133"/>
      <c r="AK3121" s="133"/>
      <c r="AL3121" s="133"/>
      <c r="AM3121" s="133"/>
      <c r="AN3121" s="133"/>
      <c r="AO3121" s="133"/>
      <c r="AP3121" s="133"/>
      <c r="AQ3121" s="133"/>
      <c r="AR3121" s="133"/>
      <c r="AS3121" s="133"/>
      <c r="AT3121" s="133"/>
      <c r="AU3121" s="133"/>
      <c r="AV3121" s="133"/>
      <c r="AW3121" s="133"/>
      <c r="AX3121" s="133"/>
      <c r="AY3121" s="133"/>
      <c r="AZ3121" s="133"/>
      <c r="BA3121" s="133"/>
      <c r="BB3121" s="133"/>
      <c r="BC3121" s="133"/>
      <c r="BD3121" s="133"/>
      <c r="BE3121" s="133"/>
      <c r="BF3121" s="133"/>
      <c r="BG3121" s="133"/>
      <c r="BH3121" s="133"/>
      <c r="BI3121" s="133"/>
      <c r="BJ3121" s="133"/>
      <c r="BK3121" s="133"/>
      <c r="BL3121" s="133"/>
      <c r="BM3121" s="133"/>
      <c r="BN3121" s="133"/>
      <c r="BO3121" s="133"/>
      <c r="BP3121" s="133"/>
      <c r="BQ3121" s="133"/>
    </row>
    <row r="3122">
      <c r="A3122" s="194" t="s">
        <v>8167</v>
      </c>
      <c r="B3122" s="125"/>
      <c r="C3122" s="195">
        <v>43952.0</v>
      </c>
      <c r="D3122" s="133"/>
      <c r="E3122" s="124" t="s">
        <v>41</v>
      </c>
      <c r="F3122" s="198">
        <v>1.0</v>
      </c>
      <c r="G3122" s="124" t="s">
        <v>32</v>
      </c>
      <c r="H3122" s="303">
        <v>1.0</v>
      </c>
      <c r="I3122" s="124" t="s">
        <v>33</v>
      </c>
      <c r="J3122" s="124" t="s">
        <v>2167</v>
      </c>
      <c r="K3122" s="133"/>
      <c r="L3122" s="124" t="s">
        <v>119</v>
      </c>
      <c r="M3122" s="242" t="s">
        <v>7117</v>
      </c>
      <c r="N3122" s="233"/>
      <c r="O3122" s="124"/>
      <c r="P3122" s="133"/>
      <c r="Q3122" s="124"/>
      <c r="R3122" s="128"/>
      <c r="S3122" s="37"/>
      <c r="T3122" s="38"/>
      <c r="U3122" s="38"/>
      <c r="V3122" s="124" t="s">
        <v>33</v>
      </c>
      <c r="W3122" s="233"/>
      <c r="X3122" s="138"/>
      <c r="Y3122" s="233"/>
      <c r="Z3122" s="133"/>
      <c r="AA3122" s="133"/>
      <c r="AB3122" s="133"/>
      <c r="AC3122" s="133"/>
      <c r="AD3122" s="133"/>
      <c r="AE3122" s="133"/>
      <c r="AF3122" s="133"/>
      <c r="AG3122" s="133"/>
      <c r="AH3122" s="133"/>
      <c r="AI3122" s="133"/>
      <c r="AJ3122" s="133"/>
      <c r="AK3122" s="133"/>
      <c r="AL3122" s="133"/>
      <c r="AM3122" s="133"/>
      <c r="AN3122" s="133"/>
      <c r="AO3122" s="133"/>
      <c r="AP3122" s="133"/>
      <c r="AQ3122" s="133"/>
      <c r="AR3122" s="133"/>
      <c r="AS3122" s="133"/>
      <c r="AT3122" s="133"/>
      <c r="AU3122" s="133"/>
      <c r="AV3122" s="133"/>
      <c r="AW3122" s="133"/>
      <c r="AX3122" s="133"/>
      <c r="AY3122" s="133"/>
      <c r="AZ3122" s="133"/>
      <c r="BA3122" s="133"/>
      <c r="BB3122" s="133"/>
      <c r="BC3122" s="133"/>
      <c r="BD3122" s="133"/>
      <c r="BE3122" s="133"/>
      <c r="BF3122" s="133"/>
      <c r="BG3122" s="133"/>
      <c r="BH3122" s="133"/>
      <c r="BI3122" s="133"/>
      <c r="BJ3122" s="133"/>
      <c r="BK3122" s="133"/>
      <c r="BL3122" s="133"/>
      <c r="BM3122" s="133"/>
      <c r="BN3122" s="133"/>
      <c r="BO3122" s="133"/>
      <c r="BP3122" s="133"/>
      <c r="BQ3122" s="133"/>
    </row>
    <row r="3123">
      <c r="A3123" s="194" t="s">
        <v>8168</v>
      </c>
      <c r="B3123" s="125"/>
      <c r="C3123" s="195">
        <v>43952.0</v>
      </c>
      <c r="D3123" s="133"/>
      <c r="E3123" s="124" t="s">
        <v>41</v>
      </c>
      <c r="F3123" s="198">
        <v>1.0</v>
      </c>
      <c r="G3123" s="124" t="s">
        <v>32</v>
      </c>
      <c r="H3123" s="303">
        <v>1.0</v>
      </c>
      <c r="I3123" s="124" t="s">
        <v>33</v>
      </c>
      <c r="J3123" s="124" t="s">
        <v>283</v>
      </c>
      <c r="K3123" s="133"/>
      <c r="L3123" s="124" t="s">
        <v>119</v>
      </c>
      <c r="M3123" s="242" t="s">
        <v>8169</v>
      </c>
      <c r="N3123" s="138"/>
      <c r="O3123" s="128"/>
      <c r="P3123" s="133"/>
      <c r="Q3123" s="128"/>
      <c r="R3123" s="128"/>
      <c r="S3123" s="91"/>
      <c r="T3123" s="96"/>
      <c r="U3123" s="38"/>
      <c r="V3123" s="124" t="s">
        <v>33</v>
      </c>
      <c r="W3123" s="233"/>
      <c r="X3123" s="233"/>
      <c r="Y3123" s="138"/>
      <c r="Z3123" s="133"/>
      <c r="AA3123" s="133"/>
      <c r="AB3123" s="133"/>
      <c r="AC3123" s="133"/>
      <c r="AD3123" s="133"/>
      <c r="AE3123" s="133"/>
      <c r="AF3123" s="133"/>
      <c r="AG3123" s="133"/>
      <c r="AH3123" s="133"/>
      <c r="AI3123" s="133"/>
      <c r="AJ3123" s="133"/>
      <c r="AK3123" s="133"/>
      <c r="AL3123" s="133"/>
      <c r="AM3123" s="133"/>
      <c r="AN3123" s="133"/>
      <c r="AO3123" s="133"/>
      <c r="AP3123" s="133"/>
      <c r="AQ3123" s="133"/>
      <c r="AR3123" s="133"/>
      <c r="AS3123" s="133"/>
      <c r="AT3123" s="133"/>
      <c r="AU3123" s="133"/>
      <c r="AV3123" s="133"/>
      <c r="AW3123" s="133"/>
      <c r="AX3123" s="133"/>
      <c r="AY3123" s="133"/>
      <c r="AZ3123" s="133"/>
      <c r="BA3123" s="133"/>
      <c r="BB3123" s="133"/>
      <c r="BC3123" s="133"/>
      <c r="BD3123" s="133"/>
      <c r="BE3123" s="133"/>
      <c r="BF3123" s="133"/>
      <c r="BG3123" s="133"/>
      <c r="BH3123" s="133"/>
      <c r="BI3123" s="133"/>
      <c r="BJ3123" s="133"/>
      <c r="BK3123" s="133"/>
      <c r="BL3123" s="133"/>
      <c r="BM3123" s="133"/>
      <c r="BN3123" s="133"/>
      <c r="BO3123" s="133"/>
      <c r="BP3123" s="133"/>
      <c r="BQ3123" s="133"/>
    </row>
    <row r="3124">
      <c r="A3124" s="194" t="s">
        <v>8170</v>
      </c>
      <c r="B3124" s="125"/>
      <c r="C3124" s="126">
        <v>43952.0</v>
      </c>
      <c r="D3124" s="133"/>
      <c r="E3124" s="124" t="s">
        <v>41</v>
      </c>
      <c r="F3124" s="198">
        <v>1.0</v>
      </c>
      <c r="G3124" s="124" t="s">
        <v>32</v>
      </c>
      <c r="H3124" s="303">
        <v>1.0</v>
      </c>
      <c r="I3124" s="124" t="s">
        <v>33</v>
      </c>
      <c r="J3124" s="124" t="s">
        <v>228</v>
      </c>
      <c r="K3124" s="133"/>
      <c r="L3124" s="124" t="s">
        <v>8171</v>
      </c>
      <c r="M3124" s="242" t="s">
        <v>8172</v>
      </c>
      <c r="N3124" s="138"/>
      <c r="O3124" s="128"/>
      <c r="P3124" s="133"/>
      <c r="Q3124" s="128"/>
      <c r="R3124" s="128"/>
      <c r="S3124" s="91"/>
      <c r="T3124" s="96"/>
      <c r="U3124" s="38"/>
      <c r="V3124" s="124" t="s">
        <v>33</v>
      </c>
      <c r="W3124" s="233"/>
      <c r="X3124" s="233"/>
      <c r="Y3124" s="138"/>
      <c r="Z3124" s="133"/>
      <c r="AA3124" s="133"/>
      <c r="AB3124" s="133"/>
      <c r="AC3124" s="133"/>
      <c r="AD3124" s="133"/>
      <c r="AE3124" s="133"/>
      <c r="AF3124" s="133"/>
      <c r="AG3124" s="133"/>
      <c r="AH3124" s="133"/>
      <c r="AI3124" s="133"/>
      <c r="AJ3124" s="133"/>
      <c r="AK3124" s="133"/>
      <c r="AL3124" s="133"/>
      <c r="AM3124" s="133"/>
      <c r="AN3124" s="133"/>
      <c r="AO3124" s="133"/>
      <c r="AP3124" s="133"/>
      <c r="AQ3124" s="133"/>
      <c r="AR3124" s="133"/>
      <c r="AS3124" s="133"/>
      <c r="AT3124" s="133"/>
      <c r="AU3124" s="133"/>
      <c r="AV3124" s="133"/>
      <c r="AW3124" s="133"/>
      <c r="AX3124" s="133"/>
      <c r="AY3124" s="133"/>
      <c r="AZ3124" s="133"/>
      <c r="BA3124" s="133"/>
      <c r="BB3124" s="133"/>
      <c r="BC3124" s="133"/>
      <c r="BD3124" s="133"/>
      <c r="BE3124" s="133"/>
      <c r="BF3124" s="133"/>
      <c r="BG3124" s="133"/>
      <c r="BH3124" s="133"/>
      <c r="BI3124" s="133"/>
      <c r="BJ3124" s="133"/>
      <c r="BK3124" s="133"/>
      <c r="BL3124" s="133"/>
      <c r="BM3124" s="133"/>
      <c r="BN3124" s="133"/>
      <c r="BO3124" s="133"/>
      <c r="BP3124" s="133"/>
      <c r="BQ3124" s="133"/>
    </row>
    <row r="3125">
      <c r="A3125" s="194" t="s">
        <v>8173</v>
      </c>
      <c r="B3125" s="125"/>
      <c r="C3125" s="126">
        <v>43955.0</v>
      </c>
      <c r="D3125" s="133"/>
      <c r="E3125" s="124" t="s">
        <v>41</v>
      </c>
      <c r="F3125" s="198">
        <v>1.0</v>
      </c>
      <c r="G3125" s="124" t="s">
        <v>32</v>
      </c>
      <c r="H3125" s="303">
        <v>1.0</v>
      </c>
      <c r="I3125" s="124" t="s">
        <v>33</v>
      </c>
      <c r="J3125" s="124" t="s">
        <v>179</v>
      </c>
      <c r="K3125" s="133"/>
      <c r="L3125" s="124" t="s">
        <v>119</v>
      </c>
      <c r="M3125" s="242" t="s">
        <v>8174</v>
      </c>
      <c r="N3125" s="233"/>
      <c r="O3125" s="124"/>
      <c r="P3125" s="133"/>
      <c r="Q3125" s="124"/>
      <c r="R3125" s="128"/>
      <c r="S3125" s="37"/>
      <c r="T3125" s="38"/>
      <c r="U3125" s="38" t="b">
        <f t="shared" ref="U3125:U3126" si="421">countif(A$4:A4658, A3125)&gt;1</f>
        <v>0</v>
      </c>
      <c r="V3125" s="124" t="s">
        <v>33</v>
      </c>
      <c r="W3125" s="233"/>
      <c r="X3125" s="138"/>
      <c r="Y3125" s="233"/>
      <c r="Z3125" s="133"/>
      <c r="AA3125" s="133"/>
      <c r="AB3125" s="133"/>
      <c r="AC3125" s="133"/>
      <c r="AD3125" s="133"/>
      <c r="AE3125" s="133"/>
      <c r="AF3125" s="133"/>
      <c r="AG3125" s="133"/>
      <c r="AH3125" s="133"/>
      <c r="AI3125" s="133"/>
      <c r="AJ3125" s="133"/>
      <c r="AK3125" s="133"/>
      <c r="AL3125" s="133"/>
      <c r="AM3125" s="133"/>
      <c r="AN3125" s="133"/>
      <c r="AO3125" s="133"/>
      <c r="AP3125" s="133"/>
      <c r="AQ3125" s="133"/>
      <c r="AR3125" s="133"/>
      <c r="AS3125" s="133"/>
      <c r="AT3125" s="133"/>
      <c r="AU3125" s="133"/>
      <c r="AV3125" s="133"/>
      <c r="AW3125" s="133"/>
      <c r="AX3125" s="133"/>
      <c r="AY3125" s="133"/>
      <c r="AZ3125" s="133"/>
      <c r="BA3125" s="133"/>
      <c r="BB3125" s="133"/>
      <c r="BC3125" s="133"/>
      <c r="BD3125" s="133"/>
      <c r="BE3125" s="133"/>
      <c r="BF3125" s="133"/>
      <c r="BG3125" s="133"/>
      <c r="BH3125" s="133"/>
      <c r="BI3125" s="133"/>
      <c r="BJ3125" s="133"/>
      <c r="BK3125" s="133"/>
      <c r="BL3125" s="133"/>
      <c r="BM3125" s="133"/>
      <c r="BN3125" s="133"/>
      <c r="BO3125" s="133"/>
      <c r="BP3125" s="133"/>
      <c r="BQ3125" s="133"/>
    </row>
    <row r="3126">
      <c r="A3126" s="87" t="s">
        <v>8175</v>
      </c>
      <c r="B3126" s="248"/>
      <c r="C3126" s="99">
        <v>43957.0</v>
      </c>
      <c r="E3126" s="78" t="s">
        <v>41</v>
      </c>
      <c r="F3126" s="37">
        <v>1.0</v>
      </c>
      <c r="G3126" s="37">
        <v>3.0</v>
      </c>
      <c r="H3126" s="78">
        <v>3.0</v>
      </c>
      <c r="I3126" s="78" t="s">
        <v>33</v>
      </c>
      <c r="J3126" s="78" t="s">
        <v>279</v>
      </c>
      <c r="L3126" s="78" t="s">
        <v>76</v>
      </c>
      <c r="M3126" s="46" t="s">
        <v>8176</v>
      </c>
      <c r="N3126" s="288"/>
      <c r="Q3126" s="37"/>
      <c r="S3126" s="37" t="str">
        <f>IFERROR(__xludf.DUMMYFUNCTION("if(not(iserror(index(split(C3126, "" ""),2))), index(split(C3126, "" ""),1),"""")"),"May")</f>
        <v>May</v>
      </c>
      <c r="T3126" s="38">
        <f>IFERROR(__xludf.DUMMYFUNCTION("if(S3126="""",C3126,if(not(iserror(index(split(C3126, "" ""),3))), index(split(C3126, "" ""),3),index(split(C3126, "" ""),2)))"),2020.0)</f>
        <v>2020</v>
      </c>
      <c r="U3126" s="38" t="b">
        <f t="shared" si="421"/>
        <v>0</v>
      </c>
      <c r="V3126" s="78" t="s">
        <v>33</v>
      </c>
      <c r="W3126" s="106"/>
      <c r="X3126" s="290"/>
      <c r="Y3126" s="102"/>
    </row>
    <row r="3127">
      <c r="A3127" s="87" t="s">
        <v>8177</v>
      </c>
      <c r="B3127" s="248"/>
      <c r="C3127" s="99">
        <v>43957.0</v>
      </c>
      <c r="E3127" s="78" t="s">
        <v>41</v>
      </c>
      <c r="F3127" s="37">
        <v>1.0</v>
      </c>
      <c r="G3127" s="37" t="s">
        <v>32</v>
      </c>
      <c r="H3127" s="78">
        <v>1.0</v>
      </c>
      <c r="I3127" s="78" t="s">
        <v>33</v>
      </c>
      <c r="J3127" s="78" t="s">
        <v>144</v>
      </c>
      <c r="L3127" s="78" t="s">
        <v>76</v>
      </c>
      <c r="M3127" s="46" t="s">
        <v>8178</v>
      </c>
      <c r="N3127" s="288"/>
      <c r="Q3127" s="37"/>
      <c r="S3127" s="37"/>
      <c r="T3127" s="38"/>
      <c r="U3127" s="38"/>
      <c r="V3127" s="78" t="s">
        <v>33</v>
      </c>
      <c r="W3127" s="106"/>
      <c r="X3127" s="290"/>
      <c r="Y3127" s="102"/>
    </row>
    <row r="3128">
      <c r="A3128" s="87" t="s">
        <v>8179</v>
      </c>
      <c r="B3128" s="248"/>
      <c r="C3128" s="99">
        <v>43957.0</v>
      </c>
      <c r="E3128" s="78" t="s">
        <v>41</v>
      </c>
      <c r="F3128" s="37">
        <v>1.0</v>
      </c>
      <c r="G3128" s="37">
        <v>1.0</v>
      </c>
      <c r="H3128" s="78">
        <v>1.0</v>
      </c>
      <c r="I3128" s="78" t="s">
        <v>33</v>
      </c>
      <c r="J3128" s="78" t="s">
        <v>147</v>
      </c>
      <c r="L3128" s="78" t="s">
        <v>8180</v>
      </c>
      <c r="M3128" s="46" t="s">
        <v>8181</v>
      </c>
      <c r="N3128" s="288"/>
      <c r="Q3128" s="37"/>
      <c r="S3128" s="37"/>
      <c r="T3128" s="38"/>
      <c r="U3128" s="38"/>
      <c r="V3128" s="78" t="s">
        <v>33</v>
      </c>
      <c r="W3128" s="106"/>
      <c r="X3128" s="290"/>
      <c r="Y3128" s="102"/>
    </row>
    <row r="3129">
      <c r="A3129" s="87" t="s">
        <v>8182</v>
      </c>
      <c r="B3129" s="248"/>
      <c r="C3129" s="99">
        <v>43957.0</v>
      </c>
      <c r="E3129" s="78" t="s">
        <v>41</v>
      </c>
      <c r="F3129" s="37">
        <v>1.0</v>
      </c>
      <c r="G3129" s="37">
        <v>1.0</v>
      </c>
      <c r="H3129" s="78">
        <v>1.0</v>
      </c>
      <c r="I3129" s="78" t="s">
        <v>33</v>
      </c>
      <c r="J3129" s="78" t="s">
        <v>147</v>
      </c>
      <c r="L3129" s="78" t="s">
        <v>7851</v>
      </c>
      <c r="M3129" s="46" t="s">
        <v>8181</v>
      </c>
      <c r="N3129" s="288"/>
      <c r="Q3129" s="37"/>
      <c r="S3129" s="37"/>
      <c r="T3129" s="38"/>
      <c r="U3129" s="38"/>
      <c r="V3129" s="78" t="s">
        <v>33</v>
      </c>
      <c r="W3129" s="106"/>
      <c r="X3129" s="290"/>
      <c r="Y3129" s="102"/>
    </row>
    <row r="3130">
      <c r="A3130" s="87" t="s">
        <v>8183</v>
      </c>
      <c r="B3130" s="248"/>
      <c r="C3130" s="99">
        <v>43957.0</v>
      </c>
      <c r="E3130" s="78" t="s">
        <v>41</v>
      </c>
      <c r="F3130" s="37">
        <v>1.0</v>
      </c>
      <c r="G3130" s="37" t="s">
        <v>32</v>
      </c>
      <c r="H3130" s="78">
        <v>1.0</v>
      </c>
      <c r="I3130" s="78" t="s">
        <v>33</v>
      </c>
      <c r="J3130" s="78" t="s">
        <v>115</v>
      </c>
      <c r="L3130" s="78" t="s">
        <v>76</v>
      </c>
      <c r="M3130" s="46" t="s">
        <v>8184</v>
      </c>
      <c r="N3130" s="288"/>
      <c r="Q3130" s="37"/>
      <c r="S3130" s="37"/>
      <c r="T3130" s="38"/>
      <c r="U3130" s="38" t="b">
        <f t="shared" ref="U3130:U3131" si="422">countif(A$4:A4658, A3130)&gt;1</f>
        <v>0</v>
      </c>
      <c r="V3130" s="78" t="s">
        <v>33</v>
      </c>
      <c r="W3130" s="106"/>
      <c r="X3130" s="290"/>
      <c r="Y3130" s="102"/>
    </row>
    <row r="3131">
      <c r="A3131" s="87" t="s">
        <v>8185</v>
      </c>
      <c r="B3131" s="248"/>
      <c r="C3131" s="99">
        <v>43958.0</v>
      </c>
      <c r="E3131" s="78" t="s">
        <v>41</v>
      </c>
      <c r="F3131" s="37">
        <v>1.0</v>
      </c>
      <c r="G3131" s="37" t="s">
        <v>32</v>
      </c>
      <c r="H3131" s="78">
        <v>1.0</v>
      </c>
      <c r="I3131" s="78" t="s">
        <v>33</v>
      </c>
      <c r="J3131" s="78" t="s">
        <v>93</v>
      </c>
      <c r="L3131" s="78" t="s">
        <v>119</v>
      </c>
      <c r="M3131" s="46" t="s">
        <v>8186</v>
      </c>
      <c r="N3131" s="288"/>
      <c r="Q3131" s="37"/>
      <c r="S3131" s="37"/>
      <c r="T3131" s="38"/>
      <c r="U3131" s="38" t="b">
        <f t="shared" si="422"/>
        <v>0</v>
      </c>
      <c r="V3131" s="78" t="s">
        <v>33</v>
      </c>
      <c r="W3131" s="106"/>
      <c r="X3131" s="290"/>
      <c r="Y3131" s="102"/>
    </row>
    <row r="3132">
      <c r="A3132" s="87" t="s">
        <v>8187</v>
      </c>
      <c r="B3132" s="248"/>
      <c r="C3132" s="99">
        <v>43963.0</v>
      </c>
      <c r="E3132" s="78" t="s">
        <v>41</v>
      </c>
      <c r="F3132" s="37">
        <v>1.0</v>
      </c>
      <c r="G3132" s="37" t="s">
        <v>32</v>
      </c>
      <c r="H3132" s="78">
        <v>1.0</v>
      </c>
      <c r="I3132" s="78" t="s">
        <v>33</v>
      </c>
      <c r="J3132" s="78" t="s">
        <v>93</v>
      </c>
      <c r="L3132" s="78" t="s">
        <v>119</v>
      </c>
      <c r="M3132" s="46" t="s">
        <v>8188</v>
      </c>
      <c r="N3132" s="288"/>
      <c r="Q3132" s="37"/>
      <c r="S3132" s="37"/>
      <c r="T3132" s="38"/>
      <c r="U3132" s="38"/>
      <c r="V3132" s="78" t="s">
        <v>33</v>
      </c>
      <c r="W3132" s="106"/>
      <c r="X3132" s="290"/>
      <c r="Y3132" s="102"/>
    </row>
    <row r="3133">
      <c r="A3133" s="87" t="s">
        <v>8189</v>
      </c>
      <c r="B3133" s="248"/>
      <c r="C3133" s="99">
        <v>43964.0</v>
      </c>
      <c r="E3133" s="78" t="s">
        <v>41</v>
      </c>
      <c r="F3133" s="37">
        <v>1.0</v>
      </c>
      <c r="G3133" s="37" t="s">
        <v>32</v>
      </c>
      <c r="H3133" s="78">
        <v>1.0</v>
      </c>
      <c r="I3133" s="78" t="s">
        <v>33</v>
      </c>
      <c r="J3133" s="78" t="s">
        <v>172</v>
      </c>
      <c r="L3133" s="78" t="s">
        <v>119</v>
      </c>
      <c r="M3133" s="46" t="s">
        <v>8190</v>
      </c>
      <c r="N3133" s="288"/>
      <c r="Q3133" s="37"/>
      <c r="S3133" s="37"/>
      <c r="T3133" s="38"/>
      <c r="U3133" s="38"/>
      <c r="V3133" s="78" t="s">
        <v>33</v>
      </c>
      <c r="W3133" s="106"/>
      <c r="X3133" s="290"/>
      <c r="Y3133" s="102"/>
    </row>
    <row r="3134">
      <c r="A3134" s="87" t="s">
        <v>8191</v>
      </c>
      <c r="B3134" s="248"/>
      <c r="C3134" s="99">
        <v>43964.0</v>
      </c>
      <c r="E3134" s="78" t="s">
        <v>41</v>
      </c>
      <c r="F3134" s="37">
        <v>1.0</v>
      </c>
      <c r="G3134" s="37" t="s">
        <v>32</v>
      </c>
      <c r="H3134" s="78">
        <v>1.0</v>
      </c>
      <c r="I3134" s="78" t="s">
        <v>33</v>
      </c>
      <c r="J3134" s="78" t="s">
        <v>115</v>
      </c>
      <c r="L3134" s="78" t="s">
        <v>69</v>
      </c>
      <c r="M3134" s="46" t="s">
        <v>8192</v>
      </c>
      <c r="N3134" s="288"/>
      <c r="Q3134" s="37"/>
      <c r="S3134" s="37"/>
      <c r="T3134" s="38"/>
      <c r="U3134" s="38"/>
      <c r="V3134" s="78" t="s">
        <v>33</v>
      </c>
      <c r="W3134" s="106"/>
      <c r="X3134" s="290"/>
      <c r="Y3134" s="102"/>
    </row>
    <row r="3135">
      <c r="A3135" s="87" t="s">
        <v>8193</v>
      </c>
      <c r="B3135" s="248"/>
      <c r="C3135" s="99">
        <v>43964.0</v>
      </c>
      <c r="E3135" s="78" t="s">
        <v>41</v>
      </c>
      <c r="F3135" s="37">
        <v>1.0</v>
      </c>
      <c r="G3135" s="37" t="s">
        <v>32</v>
      </c>
      <c r="H3135" s="78">
        <v>1.0</v>
      </c>
      <c r="I3135" s="78" t="s">
        <v>33</v>
      </c>
      <c r="J3135" s="78" t="s">
        <v>172</v>
      </c>
      <c r="L3135" s="78" t="s">
        <v>119</v>
      </c>
      <c r="M3135" s="46" t="s">
        <v>8194</v>
      </c>
      <c r="N3135" s="288"/>
      <c r="Q3135" s="37"/>
      <c r="S3135" s="37"/>
      <c r="T3135" s="38"/>
      <c r="U3135" s="38"/>
      <c r="V3135" s="78" t="s">
        <v>33</v>
      </c>
      <c r="W3135" s="106"/>
      <c r="X3135" s="290"/>
      <c r="Y3135" s="102"/>
    </row>
    <row r="3136">
      <c r="A3136" s="87" t="s">
        <v>8195</v>
      </c>
      <c r="B3136" s="248"/>
      <c r="C3136" s="99">
        <v>43964.0</v>
      </c>
      <c r="E3136" s="78" t="s">
        <v>41</v>
      </c>
      <c r="F3136" s="37">
        <v>1.0</v>
      </c>
      <c r="G3136" s="309" t="s">
        <v>32</v>
      </c>
      <c r="H3136" s="78">
        <v>1.0</v>
      </c>
      <c r="I3136" s="78" t="s">
        <v>33</v>
      </c>
      <c r="J3136" s="78" t="s">
        <v>61</v>
      </c>
      <c r="L3136" s="78" t="s">
        <v>69</v>
      </c>
      <c r="M3136" s="106" t="s">
        <v>8196</v>
      </c>
      <c r="N3136" s="288"/>
      <c r="Q3136" s="37"/>
      <c r="S3136" s="37"/>
      <c r="T3136" s="38"/>
      <c r="U3136" s="38"/>
      <c r="V3136" s="78" t="s">
        <v>33</v>
      </c>
      <c r="W3136" s="106"/>
      <c r="X3136" s="290"/>
      <c r="Y3136" s="102"/>
    </row>
    <row r="3137">
      <c r="A3137" s="87" t="s">
        <v>8197</v>
      </c>
      <c r="B3137" s="248"/>
      <c r="C3137" s="99">
        <v>43965.0</v>
      </c>
      <c r="E3137" s="78" t="s">
        <v>41</v>
      </c>
      <c r="F3137" s="37">
        <v>1.0</v>
      </c>
      <c r="G3137" s="37" t="s">
        <v>32</v>
      </c>
      <c r="H3137" s="78">
        <v>1.0</v>
      </c>
      <c r="I3137" s="78" t="s">
        <v>33</v>
      </c>
      <c r="J3137" s="78" t="s">
        <v>318</v>
      </c>
      <c r="L3137" s="78" t="s">
        <v>8198</v>
      </c>
      <c r="M3137" s="106" t="s">
        <v>8127</v>
      </c>
      <c r="N3137" s="288"/>
      <c r="Q3137" s="37"/>
      <c r="S3137" s="37"/>
      <c r="T3137" s="38"/>
      <c r="U3137" s="38"/>
      <c r="V3137" s="78" t="s">
        <v>33</v>
      </c>
      <c r="W3137" s="106"/>
      <c r="X3137" s="290"/>
      <c r="Y3137" s="102"/>
    </row>
    <row r="3138">
      <c r="A3138" s="87" t="s">
        <v>8199</v>
      </c>
      <c r="B3138" s="248"/>
      <c r="C3138" s="99">
        <v>43966.0</v>
      </c>
      <c r="E3138" s="78" t="s">
        <v>41</v>
      </c>
      <c r="F3138" s="37">
        <v>1.0</v>
      </c>
      <c r="G3138" s="37">
        <v>1.0</v>
      </c>
      <c r="H3138" s="78">
        <v>1.0</v>
      </c>
      <c r="I3138" s="78" t="s">
        <v>33</v>
      </c>
      <c r="J3138" s="78" t="s">
        <v>147</v>
      </c>
      <c r="L3138" s="78" t="s">
        <v>119</v>
      </c>
      <c r="M3138" s="46" t="s">
        <v>8200</v>
      </c>
      <c r="N3138" s="288"/>
      <c r="Q3138" s="37"/>
      <c r="S3138" s="37"/>
      <c r="T3138" s="38"/>
      <c r="U3138" s="38"/>
      <c r="V3138" s="78" t="s">
        <v>33</v>
      </c>
      <c r="W3138" s="106"/>
      <c r="X3138" s="290"/>
      <c r="Y3138" s="102"/>
    </row>
    <row r="3139">
      <c r="A3139" s="87" t="s">
        <v>8201</v>
      </c>
      <c r="B3139" s="248"/>
      <c r="C3139" s="99">
        <v>43968.0</v>
      </c>
      <c r="E3139" s="78" t="s">
        <v>41</v>
      </c>
      <c r="F3139" s="37">
        <v>1.0</v>
      </c>
      <c r="G3139" s="37">
        <v>1.0</v>
      </c>
      <c r="H3139" s="78">
        <v>1.0</v>
      </c>
      <c r="I3139" s="78" t="s">
        <v>33</v>
      </c>
      <c r="J3139" s="78" t="s">
        <v>268</v>
      </c>
      <c r="L3139" s="78" t="s">
        <v>646</v>
      </c>
      <c r="M3139" s="46" t="s">
        <v>8202</v>
      </c>
      <c r="N3139" s="288"/>
      <c r="Q3139" s="37"/>
      <c r="S3139" s="37"/>
      <c r="T3139" s="38"/>
      <c r="U3139" s="38"/>
      <c r="V3139" s="78" t="s">
        <v>33</v>
      </c>
      <c r="W3139" s="106"/>
      <c r="X3139" s="290"/>
      <c r="Y3139" s="102"/>
    </row>
    <row r="3140">
      <c r="A3140" s="87" t="s">
        <v>8203</v>
      </c>
      <c r="B3140" s="248"/>
      <c r="C3140" s="99">
        <v>43970.0</v>
      </c>
      <c r="E3140" s="78" t="s">
        <v>41</v>
      </c>
      <c r="F3140" s="37">
        <v>1.0</v>
      </c>
      <c r="G3140" s="37" t="s">
        <v>32</v>
      </c>
      <c r="H3140" s="78">
        <v>1.0</v>
      </c>
      <c r="I3140" s="78" t="s">
        <v>33</v>
      </c>
      <c r="J3140" s="78" t="s">
        <v>179</v>
      </c>
      <c r="L3140" s="78" t="s">
        <v>76</v>
      </c>
      <c r="M3140" s="46" t="s">
        <v>8204</v>
      </c>
      <c r="N3140" s="288"/>
      <c r="Q3140" s="37"/>
      <c r="S3140" s="37" t="str">
        <f>IFERROR(__xludf.DUMMYFUNCTION("if(not(iserror(index(split(C3140, "" ""),2))), index(split(C3140, "" ""),1),"""")"),"May")</f>
        <v>May</v>
      </c>
      <c r="T3140" s="38">
        <f>IFERROR(__xludf.DUMMYFUNCTION("if(S3140="""",C3140,if(not(iserror(index(split(C3140, "" ""),3))), index(split(C3140, "" ""),3),index(split(C3140, "" ""),2)))"),2020.0)</f>
        <v>2020</v>
      </c>
      <c r="U3140" s="38" t="b">
        <f>countif(A$4:A4658, A3140)&gt;1</f>
        <v>0</v>
      </c>
      <c r="V3140" s="78" t="s">
        <v>33</v>
      </c>
      <c r="W3140" s="106"/>
      <c r="X3140" s="290"/>
      <c r="Y3140" s="102"/>
    </row>
    <row r="3141">
      <c r="A3141" s="87" t="s">
        <v>8205</v>
      </c>
      <c r="B3141" s="248"/>
      <c r="C3141" s="99">
        <v>43970.0</v>
      </c>
      <c r="E3141" s="78" t="s">
        <v>41</v>
      </c>
      <c r="F3141" s="37">
        <v>1.0</v>
      </c>
      <c r="G3141" s="37" t="s">
        <v>32</v>
      </c>
      <c r="H3141" s="78">
        <v>1.0</v>
      </c>
      <c r="I3141" s="78" t="s">
        <v>33</v>
      </c>
      <c r="J3141" s="78" t="s">
        <v>147</v>
      </c>
      <c r="L3141" s="78" t="s">
        <v>372</v>
      </c>
      <c r="M3141" s="46" t="s">
        <v>8206</v>
      </c>
      <c r="N3141" s="288"/>
      <c r="Q3141" s="37"/>
      <c r="S3141" s="37"/>
      <c r="T3141" s="38"/>
      <c r="U3141" s="38"/>
      <c r="V3141" s="78" t="s">
        <v>33</v>
      </c>
      <c r="W3141" s="106"/>
      <c r="X3141" s="290"/>
      <c r="Y3141" s="102"/>
    </row>
    <row r="3142">
      <c r="A3142" s="87" t="s">
        <v>8207</v>
      </c>
      <c r="B3142" s="248"/>
      <c r="C3142" s="99">
        <v>43971.0</v>
      </c>
      <c r="E3142" s="78" t="s">
        <v>41</v>
      </c>
      <c r="F3142" s="37">
        <v>1.0</v>
      </c>
      <c r="G3142" s="37" t="s">
        <v>32</v>
      </c>
      <c r="H3142" s="78">
        <v>1.0</v>
      </c>
      <c r="I3142" s="78" t="s">
        <v>33</v>
      </c>
      <c r="J3142" s="78" t="s">
        <v>47</v>
      </c>
      <c r="L3142" s="78" t="s">
        <v>76</v>
      </c>
      <c r="M3142" s="46" t="s">
        <v>8208</v>
      </c>
      <c r="N3142" s="288"/>
      <c r="Q3142" s="91"/>
      <c r="S3142" s="37"/>
      <c r="T3142" s="38"/>
      <c r="U3142" s="38"/>
      <c r="V3142" s="78" t="s">
        <v>33</v>
      </c>
      <c r="W3142" s="106"/>
      <c r="X3142" s="290"/>
      <c r="Y3142" s="102"/>
    </row>
    <row r="3143">
      <c r="A3143" s="87" t="s">
        <v>8209</v>
      </c>
      <c r="B3143" s="248"/>
      <c r="C3143" s="99">
        <v>43971.0</v>
      </c>
      <c r="E3143" s="78" t="s">
        <v>41</v>
      </c>
      <c r="F3143" s="37">
        <v>1.0</v>
      </c>
      <c r="G3143" s="37" t="s">
        <v>32</v>
      </c>
      <c r="H3143" s="78">
        <v>1.0</v>
      </c>
      <c r="I3143" s="78" t="s">
        <v>33</v>
      </c>
      <c r="J3143" s="78" t="s">
        <v>93</v>
      </c>
      <c r="L3143" s="78" t="s">
        <v>119</v>
      </c>
      <c r="M3143" s="46" t="s">
        <v>8210</v>
      </c>
      <c r="N3143" s="288"/>
      <c r="Q3143" s="91"/>
      <c r="S3143" s="37"/>
      <c r="T3143" s="38"/>
      <c r="U3143" s="38"/>
      <c r="V3143" s="78" t="s">
        <v>33</v>
      </c>
      <c r="W3143" s="106"/>
      <c r="X3143" s="290"/>
      <c r="Y3143" s="102"/>
    </row>
    <row r="3144">
      <c r="A3144" s="87" t="s">
        <v>8211</v>
      </c>
      <c r="B3144" s="248"/>
      <c r="C3144" s="99">
        <v>43971.0</v>
      </c>
      <c r="E3144" s="78" t="s">
        <v>41</v>
      </c>
      <c r="F3144" s="37">
        <v>1.0</v>
      </c>
      <c r="G3144" s="37" t="s">
        <v>32</v>
      </c>
      <c r="H3144" s="78">
        <v>1.0</v>
      </c>
      <c r="I3144" s="78" t="s">
        <v>33</v>
      </c>
      <c r="J3144" s="78" t="s">
        <v>909</v>
      </c>
      <c r="L3144" s="78" t="s">
        <v>69</v>
      </c>
      <c r="M3144" s="106" t="s">
        <v>8212</v>
      </c>
      <c r="N3144" s="288"/>
      <c r="Q3144" s="91"/>
      <c r="S3144" s="37" t="str">
        <f>IFERROR(__xludf.DUMMYFUNCTION("if(not(iserror(index(split(C3144, "" ""),2))), index(split(C3144, "" ""),1),"""")"),"May")</f>
        <v>May</v>
      </c>
      <c r="T3144" s="38">
        <f>IFERROR(__xludf.DUMMYFUNCTION("if(S3144="""",C3144,if(not(iserror(index(split(C3144, "" ""),3))), index(split(C3144, "" ""),3),index(split(C3144, "" ""),2)))"),2020.0)</f>
        <v>2020</v>
      </c>
      <c r="U3144" s="38" t="b">
        <f>countif(A$4:A4658, A3144)&gt;1</f>
        <v>0</v>
      </c>
      <c r="V3144" s="78" t="s">
        <v>33</v>
      </c>
      <c r="W3144" s="106"/>
      <c r="X3144" s="290"/>
      <c r="Y3144" s="102"/>
    </row>
    <row r="3145">
      <c r="A3145" s="87" t="s">
        <v>8213</v>
      </c>
      <c r="B3145" s="248"/>
      <c r="C3145" s="99">
        <v>43971.0</v>
      </c>
      <c r="E3145" s="78" t="s">
        <v>41</v>
      </c>
      <c r="F3145" s="37">
        <v>1.0</v>
      </c>
      <c r="G3145" s="37" t="s">
        <v>32</v>
      </c>
      <c r="H3145" s="78">
        <v>1.0</v>
      </c>
      <c r="I3145" s="78" t="s">
        <v>33</v>
      </c>
      <c r="J3145" s="78" t="s">
        <v>115</v>
      </c>
      <c r="L3145" s="78" t="s">
        <v>76</v>
      </c>
      <c r="M3145" s="46" t="s">
        <v>8214</v>
      </c>
      <c r="N3145" s="288"/>
      <c r="Q3145" s="91"/>
      <c r="S3145" s="37"/>
      <c r="T3145" s="38"/>
      <c r="U3145" s="38"/>
      <c r="V3145" s="78" t="s">
        <v>33</v>
      </c>
      <c r="W3145" s="106"/>
      <c r="X3145" s="290"/>
      <c r="Y3145" s="102"/>
    </row>
    <row r="3146">
      <c r="A3146" s="87" t="s">
        <v>239</v>
      </c>
      <c r="B3146" s="248"/>
      <c r="C3146" s="99">
        <v>43971.0</v>
      </c>
      <c r="E3146" s="78" t="s">
        <v>41</v>
      </c>
      <c r="F3146" s="37">
        <v>1.0</v>
      </c>
      <c r="G3146" s="37" t="s">
        <v>32</v>
      </c>
      <c r="H3146" s="78">
        <v>1.0</v>
      </c>
      <c r="I3146" s="78" t="s">
        <v>33</v>
      </c>
      <c r="J3146" s="78" t="s">
        <v>111</v>
      </c>
      <c r="L3146" s="78" t="s">
        <v>194</v>
      </c>
      <c r="M3146" s="46" t="s">
        <v>8215</v>
      </c>
      <c r="N3146" s="288"/>
      <c r="Q3146" s="91"/>
      <c r="S3146" s="37"/>
      <c r="T3146" s="38"/>
      <c r="U3146" s="38"/>
      <c r="V3146" s="78" t="s">
        <v>33</v>
      </c>
      <c r="W3146" s="106"/>
      <c r="X3146" s="290"/>
      <c r="Y3146" s="102"/>
    </row>
    <row r="3147">
      <c r="A3147" s="87" t="s">
        <v>8216</v>
      </c>
      <c r="B3147" s="248"/>
      <c r="C3147" s="99">
        <v>43971.0</v>
      </c>
      <c r="E3147" s="78" t="s">
        <v>41</v>
      </c>
      <c r="F3147" s="37">
        <v>1.0</v>
      </c>
      <c r="G3147" s="37">
        <v>2.0</v>
      </c>
      <c r="H3147" s="78">
        <v>2.0</v>
      </c>
      <c r="I3147" s="78" t="s">
        <v>33</v>
      </c>
      <c r="J3147" s="78" t="s">
        <v>179</v>
      </c>
      <c r="L3147" s="294" t="s">
        <v>76</v>
      </c>
      <c r="M3147" s="106" t="s">
        <v>8217</v>
      </c>
      <c r="N3147" s="288"/>
      <c r="Q3147" s="37">
        <v>1.0</v>
      </c>
      <c r="S3147" s="37"/>
      <c r="T3147" s="38"/>
      <c r="U3147" s="38"/>
      <c r="V3147" s="78" t="s">
        <v>33</v>
      </c>
      <c r="W3147" s="106"/>
      <c r="X3147" s="290"/>
      <c r="Y3147" s="102"/>
    </row>
    <row r="3148">
      <c r="A3148" s="87" t="s">
        <v>8218</v>
      </c>
      <c r="B3148" s="248"/>
      <c r="C3148" s="99">
        <v>43972.0</v>
      </c>
      <c r="E3148" s="78" t="s">
        <v>41</v>
      </c>
      <c r="F3148" s="37">
        <v>1.0</v>
      </c>
      <c r="G3148" s="37" t="s">
        <v>32</v>
      </c>
      <c r="H3148" s="78">
        <v>1.0</v>
      </c>
      <c r="I3148" s="78" t="s">
        <v>33</v>
      </c>
      <c r="J3148" s="78" t="s">
        <v>124</v>
      </c>
      <c r="L3148" s="78" t="s">
        <v>69</v>
      </c>
      <c r="M3148" s="46" t="s">
        <v>8219</v>
      </c>
      <c r="N3148" s="288"/>
      <c r="Q3148" s="91"/>
      <c r="S3148" s="37" t="str">
        <f>IFERROR(__xludf.DUMMYFUNCTION("if(not(iserror(index(split(C3148, "" ""),2))), index(split(C3148, "" ""),1),"""")"),"May")</f>
        <v>May</v>
      </c>
      <c r="T3148" s="38">
        <f>IFERROR(__xludf.DUMMYFUNCTION("if(S3148="""",C3148,if(not(iserror(index(split(C3148, "" ""),3))), index(split(C3148, "" ""),3),index(split(C3148, "" ""),2)))"),2020.0)</f>
        <v>2020</v>
      </c>
      <c r="U3148" s="38" t="b">
        <f>countif(A$4:A4658, A3148)&gt;1</f>
        <v>0</v>
      </c>
      <c r="V3148" s="78" t="s">
        <v>33</v>
      </c>
      <c r="W3148" s="106"/>
      <c r="X3148" s="290"/>
      <c r="Y3148" s="102"/>
    </row>
    <row r="3149">
      <c r="A3149" s="87" t="s">
        <v>8220</v>
      </c>
      <c r="B3149" s="248"/>
      <c r="C3149" s="99">
        <v>43972.0</v>
      </c>
      <c r="E3149" s="78" t="s">
        <v>41</v>
      </c>
      <c r="F3149" s="37">
        <v>1.0</v>
      </c>
      <c r="G3149" s="37" t="s">
        <v>32</v>
      </c>
      <c r="H3149" s="78">
        <v>1.0</v>
      </c>
      <c r="I3149" s="78" t="s">
        <v>33</v>
      </c>
      <c r="J3149" s="78" t="s">
        <v>268</v>
      </c>
      <c r="L3149" s="78" t="s">
        <v>119</v>
      </c>
      <c r="M3149" s="46" t="s">
        <v>8221</v>
      </c>
      <c r="N3149" s="288"/>
      <c r="Q3149" s="91"/>
      <c r="S3149" s="37"/>
      <c r="T3149" s="38"/>
      <c r="U3149" s="38"/>
      <c r="V3149" s="78" t="s">
        <v>33</v>
      </c>
      <c r="W3149" s="106"/>
      <c r="X3149" s="290"/>
      <c r="Y3149" s="102"/>
    </row>
    <row r="3150">
      <c r="A3150" s="87" t="s">
        <v>8222</v>
      </c>
      <c r="B3150" s="248"/>
      <c r="C3150" s="99">
        <v>43973.0</v>
      </c>
      <c r="E3150" s="78" t="s">
        <v>41</v>
      </c>
      <c r="F3150" s="37">
        <v>1.0</v>
      </c>
      <c r="G3150" s="37" t="s">
        <v>32</v>
      </c>
      <c r="H3150" s="78">
        <v>1.0</v>
      </c>
      <c r="I3150" s="78" t="s">
        <v>33</v>
      </c>
      <c r="J3150" s="78" t="s">
        <v>413</v>
      </c>
      <c r="L3150" s="78" t="s">
        <v>76</v>
      </c>
      <c r="M3150" s="46" t="s">
        <v>8223</v>
      </c>
      <c r="N3150" s="288"/>
      <c r="Q3150" s="91"/>
      <c r="S3150" s="37"/>
      <c r="T3150" s="38"/>
      <c r="U3150" s="38"/>
      <c r="V3150" s="78" t="s">
        <v>33</v>
      </c>
      <c r="W3150" s="106"/>
      <c r="X3150" s="290"/>
      <c r="Y3150" s="102"/>
    </row>
    <row r="3151">
      <c r="A3151" s="87" t="s">
        <v>239</v>
      </c>
      <c r="B3151" s="248"/>
      <c r="C3151" s="99">
        <v>43975.0</v>
      </c>
      <c r="E3151" s="78" t="s">
        <v>41</v>
      </c>
      <c r="F3151" s="37">
        <v>2.0</v>
      </c>
      <c r="G3151" s="37" t="s">
        <v>32</v>
      </c>
      <c r="H3151" s="78">
        <v>1.0</v>
      </c>
      <c r="I3151" s="78" t="s">
        <v>33</v>
      </c>
      <c r="J3151" s="78" t="s">
        <v>111</v>
      </c>
      <c r="L3151" s="78" t="s">
        <v>194</v>
      </c>
      <c r="M3151" s="46" t="s">
        <v>8224</v>
      </c>
      <c r="N3151" s="288"/>
      <c r="Q3151" s="91"/>
      <c r="S3151" s="37"/>
      <c r="T3151" s="38"/>
      <c r="U3151" s="38"/>
      <c r="V3151" s="78" t="s">
        <v>33</v>
      </c>
      <c r="W3151" s="106"/>
      <c r="X3151" s="290"/>
      <c r="Y3151" s="102"/>
    </row>
    <row r="3152">
      <c r="A3152" s="87" t="s">
        <v>8225</v>
      </c>
      <c r="B3152" s="248"/>
      <c r="C3152" s="99">
        <v>43977.0</v>
      </c>
      <c r="E3152" s="78" t="s">
        <v>41</v>
      </c>
      <c r="F3152" s="37">
        <v>1.0</v>
      </c>
      <c r="G3152" s="37" t="s">
        <v>32</v>
      </c>
      <c r="H3152" s="78">
        <v>1.0</v>
      </c>
      <c r="I3152" s="78" t="s">
        <v>33</v>
      </c>
      <c r="J3152" s="78" t="s">
        <v>89</v>
      </c>
      <c r="L3152" s="78" t="s">
        <v>76</v>
      </c>
      <c r="M3152" s="46" t="s">
        <v>8226</v>
      </c>
      <c r="N3152" s="288"/>
      <c r="Q3152" s="91"/>
      <c r="S3152" s="37"/>
      <c r="T3152" s="38"/>
      <c r="U3152" s="38"/>
      <c r="V3152" s="78" t="s">
        <v>33</v>
      </c>
      <c r="W3152" s="106"/>
      <c r="X3152" s="290"/>
      <c r="Y3152" s="102"/>
    </row>
    <row r="3153">
      <c r="A3153" s="87" t="s">
        <v>239</v>
      </c>
      <c r="B3153" s="248"/>
      <c r="C3153" s="99">
        <v>43977.0</v>
      </c>
      <c r="E3153" s="78" t="s">
        <v>41</v>
      </c>
      <c r="F3153" s="37">
        <v>1.0</v>
      </c>
      <c r="G3153" s="37" t="s">
        <v>32</v>
      </c>
      <c r="H3153" s="78">
        <v>1.0</v>
      </c>
      <c r="I3153" s="78" t="s">
        <v>33</v>
      </c>
      <c r="J3153" s="78" t="s">
        <v>111</v>
      </c>
      <c r="L3153" s="78" t="s">
        <v>194</v>
      </c>
      <c r="M3153" s="46" t="s">
        <v>8227</v>
      </c>
      <c r="N3153" s="288"/>
      <c r="Q3153" s="91"/>
      <c r="S3153" s="37"/>
      <c r="T3153" s="38"/>
      <c r="U3153" s="38"/>
      <c r="V3153" s="78" t="s">
        <v>33</v>
      </c>
      <c r="W3153" s="106"/>
      <c r="X3153" s="290"/>
      <c r="Y3153" s="102"/>
    </row>
    <row r="3154">
      <c r="A3154" s="87" t="s">
        <v>8228</v>
      </c>
      <c r="B3154" s="248"/>
      <c r="C3154" s="99">
        <v>43980.0</v>
      </c>
      <c r="E3154" s="78" t="s">
        <v>41</v>
      </c>
      <c r="F3154" s="37">
        <v>1.0</v>
      </c>
      <c r="G3154" s="37" t="s">
        <v>32</v>
      </c>
      <c r="H3154" s="78">
        <v>1.0</v>
      </c>
      <c r="I3154" s="78" t="s">
        <v>33</v>
      </c>
      <c r="J3154" s="78" t="s">
        <v>184</v>
      </c>
      <c r="L3154" s="78" t="s">
        <v>119</v>
      </c>
      <c r="M3154" s="46" t="s">
        <v>8115</v>
      </c>
      <c r="N3154" s="288"/>
      <c r="Q3154" s="91"/>
      <c r="S3154" s="37"/>
      <c r="T3154" s="38"/>
      <c r="U3154" s="38"/>
      <c r="V3154" s="78" t="s">
        <v>33</v>
      </c>
      <c r="W3154" s="106"/>
      <c r="X3154" s="290"/>
      <c r="Y3154" s="102"/>
    </row>
    <row r="3155">
      <c r="A3155" s="87" t="s">
        <v>8229</v>
      </c>
      <c r="B3155" s="248"/>
      <c r="C3155" s="100">
        <v>43983.0</v>
      </c>
      <c r="E3155" s="78" t="s">
        <v>41</v>
      </c>
      <c r="F3155" s="37">
        <v>1.0</v>
      </c>
      <c r="G3155" s="37" t="s">
        <v>32</v>
      </c>
      <c r="H3155" s="78">
        <v>1.0</v>
      </c>
      <c r="I3155" s="78" t="s">
        <v>33</v>
      </c>
      <c r="J3155" s="78" t="s">
        <v>93</v>
      </c>
      <c r="L3155" s="78" t="s">
        <v>119</v>
      </c>
      <c r="M3155" s="46" t="s">
        <v>8230</v>
      </c>
      <c r="N3155" s="288"/>
      <c r="Q3155" s="91"/>
      <c r="S3155" s="37"/>
      <c r="T3155" s="38"/>
      <c r="U3155" s="38"/>
      <c r="V3155" s="78" t="s">
        <v>33</v>
      </c>
      <c r="W3155" s="106"/>
      <c r="X3155" s="290"/>
      <c r="Y3155" s="102"/>
    </row>
    <row r="3156">
      <c r="A3156" s="87" t="s">
        <v>8231</v>
      </c>
      <c r="B3156" s="248"/>
      <c r="C3156" s="100">
        <v>43983.0</v>
      </c>
      <c r="E3156" s="78" t="s">
        <v>41</v>
      </c>
      <c r="F3156" s="37">
        <v>1.0</v>
      </c>
      <c r="G3156" s="37" t="s">
        <v>32</v>
      </c>
      <c r="H3156" s="78">
        <v>1.0</v>
      </c>
      <c r="I3156" s="78" t="s">
        <v>33</v>
      </c>
      <c r="J3156" s="78" t="s">
        <v>2167</v>
      </c>
      <c r="L3156" s="78" t="s">
        <v>69</v>
      </c>
      <c r="M3156" s="46" t="s">
        <v>8232</v>
      </c>
      <c r="N3156" s="288"/>
      <c r="Q3156" s="91"/>
      <c r="S3156" s="37"/>
      <c r="T3156" s="38"/>
      <c r="U3156" s="38"/>
      <c r="V3156" s="78" t="s">
        <v>33</v>
      </c>
      <c r="W3156" s="106"/>
      <c r="X3156" s="290"/>
      <c r="Y3156" s="102"/>
    </row>
    <row r="3157">
      <c r="A3157" s="87" t="s">
        <v>8233</v>
      </c>
      <c r="B3157" s="248"/>
      <c r="C3157" s="99">
        <v>43983.0</v>
      </c>
      <c r="E3157" s="78" t="s">
        <v>41</v>
      </c>
      <c r="F3157" s="37">
        <v>1.0</v>
      </c>
      <c r="G3157" s="37" t="s">
        <v>32</v>
      </c>
      <c r="H3157" s="78">
        <v>1.0</v>
      </c>
      <c r="I3157" s="78" t="s">
        <v>33</v>
      </c>
      <c r="J3157" s="78" t="s">
        <v>283</v>
      </c>
      <c r="L3157" s="78" t="s">
        <v>69</v>
      </c>
      <c r="M3157" s="46" t="s">
        <v>8234</v>
      </c>
      <c r="N3157" s="288"/>
      <c r="Q3157" s="91"/>
      <c r="S3157" s="37"/>
      <c r="T3157" s="38"/>
      <c r="U3157" s="38"/>
      <c r="V3157" s="78" t="s">
        <v>33</v>
      </c>
      <c r="W3157" s="106"/>
      <c r="X3157" s="290"/>
      <c r="Y3157" s="102"/>
    </row>
    <row r="3158">
      <c r="A3158" s="87" t="s">
        <v>8235</v>
      </c>
      <c r="B3158" s="248"/>
      <c r="C3158" s="99">
        <v>43983.0</v>
      </c>
      <c r="E3158" s="78" t="s">
        <v>41</v>
      </c>
      <c r="F3158" s="37">
        <v>1.0</v>
      </c>
      <c r="G3158" s="37" t="s">
        <v>32</v>
      </c>
      <c r="H3158" s="78">
        <v>1.0</v>
      </c>
      <c r="I3158" s="78" t="s">
        <v>33</v>
      </c>
      <c r="J3158" s="78" t="s">
        <v>193</v>
      </c>
      <c r="L3158" s="78" t="s">
        <v>790</v>
      </c>
      <c r="M3158" s="46" t="s">
        <v>8236</v>
      </c>
      <c r="N3158" s="288"/>
      <c r="Q3158" s="91"/>
      <c r="S3158" s="37"/>
      <c r="T3158" s="38"/>
      <c r="U3158" s="38"/>
      <c r="V3158" s="78" t="s">
        <v>33</v>
      </c>
      <c r="W3158" s="106"/>
      <c r="X3158" s="290"/>
      <c r="Y3158" s="102"/>
    </row>
    <row r="3159">
      <c r="A3159" s="87" t="s">
        <v>8237</v>
      </c>
      <c r="B3159" s="248"/>
      <c r="C3159" s="99">
        <v>43984.0</v>
      </c>
      <c r="E3159" s="78" t="s">
        <v>41</v>
      </c>
      <c r="F3159" s="37">
        <v>1.0</v>
      </c>
      <c r="G3159" s="37" t="s">
        <v>32</v>
      </c>
      <c r="H3159" s="78">
        <v>1.0</v>
      </c>
      <c r="I3159" s="78" t="s">
        <v>33</v>
      </c>
      <c r="J3159" s="78" t="s">
        <v>111</v>
      </c>
      <c r="L3159" s="78" t="s">
        <v>76</v>
      </c>
      <c r="M3159" s="46" t="s">
        <v>8238</v>
      </c>
      <c r="N3159" s="288"/>
      <c r="Q3159" s="91"/>
      <c r="S3159" s="37"/>
      <c r="T3159" s="38"/>
      <c r="U3159" s="38"/>
      <c r="V3159" s="78" t="s">
        <v>33</v>
      </c>
      <c r="W3159" s="106"/>
      <c r="X3159" s="290"/>
      <c r="Y3159" s="102"/>
    </row>
    <row r="3160">
      <c r="A3160" s="87" t="s">
        <v>8239</v>
      </c>
      <c r="B3160" s="248"/>
      <c r="C3160" s="99">
        <v>43985.0</v>
      </c>
      <c r="E3160" s="78" t="s">
        <v>41</v>
      </c>
      <c r="F3160" s="37">
        <v>1.0</v>
      </c>
      <c r="G3160" s="37" t="s">
        <v>32</v>
      </c>
      <c r="H3160" s="78">
        <v>1.0</v>
      </c>
      <c r="I3160" s="78" t="s">
        <v>33</v>
      </c>
      <c r="J3160" s="78" t="s">
        <v>268</v>
      </c>
      <c r="L3160" s="78" t="s">
        <v>2316</v>
      </c>
      <c r="M3160" s="46" t="s">
        <v>8240</v>
      </c>
      <c r="N3160" s="288"/>
      <c r="Q3160" s="91"/>
      <c r="S3160" s="37"/>
      <c r="T3160" s="38"/>
      <c r="U3160" s="38"/>
      <c r="V3160" s="78" t="s">
        <v>33</v>
      </c>
      <c r="W3160" s="106"/>
      <c r="X3160" s="290"/>
      <c r="Y3160" s="102"/>
    </row>
    <row r="3161">
      <c r="A3161" s="87" t="s">
        <v>8241</v>
      </c>
      <c r="B3161" s="248"/>
      <c r="C3161" s="99">
        <v>43985.0</v>
      </c>
      <c r="E3161" s="78" t="s">
        <v>41</v>
      </c>
      <c r="F3161" s="37">
        <v>1.0</v>
      </c>
      <c r="G3161" s="37" t="s">
        <v>32</v>
      </c>
      <c r="H3161" s="78">
        <v>1.0</v>
      </c>
      <c r="I3161" s="78" t="s">
        <v>33</v>
      </c>
      <c r="J3161" s="78" t="s">
        <v>268</v>
      </c>
      <c r="L3161" s="78" t="s">
        <v>69</v>
      </c>
      <c r="M3161" s="106" t="s">
        <v>8242</v>
      </c>
      <c r="N3161" s="288"/>
      <c r="Q3161" s="91"/>
      <c r="S3161" s="37"/>
      <c r="T3161" s="38"/>
      <c r="U3161" s="38"/>
      <c r="V3161" s="78" t="s">
        <v>33</v>
      </c>
      <c r="W3161" s="106"/>
      <c r="X3161" s="290"/>
      <c r="Y3161" s="102"/>
    </row>
    <row r="3162">
      <c r="A3162" s="78" t="s">
        <v>8243</v>
      </c>
      <c r="B3162" s="248"/>
      <c r="C3162" s="99">
        <v>43985.0</v>
      </c>
      <c r="E3162" s="294" t="s">
        <v>41</v>
      </c>
      <c r="F3162" s="64">
        <v>1.0</v>
      </c>
      <c r="G3162" s="294" t="s">
        <v>32</v>
      </c>
      <c r="H3162" s="78">
        <v>1.0</v>
      </c>
      <c r="I3162" s="294" t="s">
        <v>33</v>
      </c>
      <c r="J3162" s="294" t="s">
        <v>268</v>
      </c>
      <c r="L3162" s="294" t="s">
        <v>807</v>
      </c>
      <c r="M3162" s="46" t="s">
        <v>8244</v>
      </c>
      <c r="N3162" s="102"/>
      <c r="S3162" s="37"/>
      <c r="T3162" s="38"/>
      <c r="U3162" s="38"/>
      <c r="V3162" s="78" t="s">
        <v>33</v>
      </c>
      <c r="W3162" s="295"/>
      <c r="X3162" s="295"/>
      <c r="Y3162" s="102"/>
    </row>
    <row r="3163">
      <c r="A3163" s="78" t="s">
        <v>8245</v>
      </c>
      <c r="B3163" s="248"/>
      <c r="C3163" s="99">
        <v>43985.0</v>
      </c>
      <c r="E3163" s="78" t="s">
        <v>41</v>
      </c>
      <c r="F3163" s="37">
        <v>1.0</v>
      </c>
      <c r="G3163" s="78" t="s">
        <v>32</v>
      </c>
      <c r="H3163" s="78">
        <v>1.0</v>
      </c>
      <c r="I3163" s="78" t="s">
        <v>33</v>
      </c>
      <c r="J3163" s="78" t="s">
        <v>909</v>
      </c>
      <c r="L3163" s="294" t="s">
        <v>119</v>
      </c>
      <c r="M3163" s="46" t="s">
        <v>8246</v>
      </c>
      <c r="N3163" s="102"/>
      <c r="S3163" s="37"/>
      <c r="T3163" s="38"/>
      <c r="U3163" s="38"/>
      <c r="V3163" s="78" t="s">
        <v>33</v>
      </c>
      <c r="W3163" s="295"/>
      <c r="X3163" s="295"/>
      <c r="Y3163" s="102"/>
    </row>
    <row r="3164">
      <c r="A3164" s="78" t="s">
        <v>8247</v>
      </c>
      <c r="B3164" s="248"/>
      <c r="C3164" s="99">
        <v>43986.0</v>
      </c>
      <c r="E3164" s="78" t="s">
        <v>41</v>
      </c>
      <c r="F3164" s="37">
        <v>1.0</v>
      </c>
      <c r="G3164" s="78" t="s">
        <v>32</v>
      </c>
      <c r="H3164" s="78">
        <v>1.0</v>
      </c>
      <c r="I3164" s="78" t="s">
        <v>33</v>
      </c>
      <c r="J3164" s="78" t="s">
        <v>410</v>
      </c>
      <c r="L3164" s="294" t="s">
        <v>119</v>
      </c>
      <c r="M3164" s="46" t="s">
        <v>8248</v>
      </c>
      <c r="N3164" s="102"/>
      <c r="S3164" s="37"/>
      <c r="T3164" s="38"/>
      <c r="U3164" s="38"/>
      <c r="V3164" s="78" t="s">
        <v>33</v>
      </c>
      <c r="W3164" s="295"/>
      <c r="X3164" s="295"/>
      <c r="Y3164" s="102"/>
    </row>
    <row r="3165">
      <c r="A3165" s="78" t="s">
        <v>8249</v>
      </c>
      <c r="B3165" s="248"/>
      <c r="C3165" s="99">
        <v>43987.0</v>
      </c>
      <c r="E3165" s="78" t="s">
        <v>41</v>
      </c>
      <c r="F3165" s="37">
        <v>1.0</v>
      </c>
      <c r="G3165" s="78" t="s">
        <v>32</v>
      </c>
      <c r="H3165" s="78">
        <v>1.0</v>
      </c>
      <c r="I3165" s="78" t="s">
        <v>33</v>
      </c>
      <c r="J3165" s="78" t="s">
        <v>343</v>
      </c>
      <c r="L3165" s="294" t="s">
        <v>119</v>
      </c>
      <c r="M3165" s="46" t="s">
        <v>8250</v>
      </c>
      <c r="N3165" s="102"/>
      <c r="S3165" s="37"/>
      <c r="T3165" s="38"/>
      <c r="U3165" s="38"/>
      <c r="V3165" s="78" t="s">
        <v>33</v>
      </c>
      <c r="W3165" s="295"/>
      <c r="X3165" s="295"/>
      <c r="Y3165" s="102"/>
    </row>
    <row r="3166">
      <c r="A3166" s="78" t="s">
        <v>8251</v>
      </c>
      <c r="B3166" s="248"/>
      <c r="C3166" s="99">
        <v>43990.0</v>
      </c>
      <c r="E3166" s="78" t="s">
        <v>41</v>
      </c>
      <c r="F3166" s="37">
        <v>1.0</v>
      </c>
      <c r="G3166" s="78" t="s">
        <v>32</v>
      </c>
      <c r="H3166" s="78">
        <v>1.0</v>
      </c>
      <c r="I3166" s="78" t="s">
        <v>33</v>
      </c>
      <c r="J3166" s="78" t="s">
        <v>144</v>
      </c>
      <c r="L3166" s="78" t="s">
        <v>7654</v>
      </c>
      <c r="M3166" s="46" t="s">
        <v>8252</v>
      </c>
      <c r="N3166" s="102"/>
      <c r="S3166" s="37"/>
      <c r="T3166" s="38"/>
      <c r="U3166" s="38"/>
      <c r="V3166" s="78" t="s">
        <v>33</v>
      </c>
      <c r="W3166" s="295"/>
      <c r="X3166" s="295"/>
      <c r="Y3166" s="102"/>
    </row>
    <row r="3167">
      <c r="A3167" s="78" t="s">
        <v>8253</v>
      </c>
      <c r="B3167" s="248"/>
      <c r="C3167" s="99">
        <v>43990.0</v>
      </c>
      <c r="E3167" s="78" t="s">
        <v>41</v>
      </c>
      <c r="F3167" s="37">
        <v>1.0</v>
      </c>
      <c r="G3167" s="78" t="s">
        <v>32</v>
      </c>
      <c r="H3167" s="78">
        <v>1.0</v>
      </c>
      <c r="I3167" s="78" t="s">
        <v>33</v>
      </c>
      <c r="J3167" s="78" t="s">
        <v>75</v>
      </c>
      <c r="L3167" s="78" t="s">
        <v>76</v>
      </c>
      <c r="M3167" s="46" t="s">
        <v>8254</v>
      </c>
      <c r="N3167" s="102"/>
      <c r="S3167" s="37"/>
      <c r="T3167" s="38"/>
      <c r="U3167" s="38"/>
      <c r="V3167" s="78" t="s">
        <v>33</v>
      </c>
      <c r="W3167" s="295"/>
      <c r="X3167" s="295"/>
      <c r="Y3167" s="102"/>
    </row>
    <row r="3168">
      <c r="A3168" s="78" t="s">
        <v>8255</v>
      </c>
      <c r="B3168" s="248"/>
      <c r="C3168" s="99">
        <v>43991.0</v>
      </c>
      <c r="E3168" s="78" t="s">
        <v>41</v>
      </c>
      <c r="F3168" s="37">
        <v>1.0</v>
      </c>
      <c r="G3168" s="78" t="s">
        <v>32</v>
      </c>
      <c r="H3168" s="78">
        <v>1.0</v>
      </c>
      <c r="I3168" s="78" t="s">
        <v>33</v>
      </c>
      <c r="J3168" s="78" t="s">
        <v>93</v>
      </c>
      <c r="L3168" s="78" t="s">
        <v>69</v>
      </c>
      <c r="M3168" s="46" t="s">
        <v>8256</v>
      </c>
      <c r="N3168" s="102"/>
      <c r="S3168" s="37"/>
      <c r="T3168" s="38"/>
      <c r="U3168" s="38"/>
      <c r="V3168" s="78" t="s">
        <v>33</v>
      </c>
      <c r="W3168" s="295"/>
      <c r="X3168" s="295"/>
      <c r="Y3168" s="102"/>
    </row>
    <row r="3169">
      <c r="A3169" s="78" t="s">
        <v>8257</v>
      </c>
      <c r="B3169" s="248"/>
      <c r="C3169" s="99">
        <v>43991.0</v>
      </c>
      <c r="E3169" s="78" t="s">
        <v>41</v>
      </c>
      <c r="F3169" s="37">
        <v>1.0</v>
      </c>
      <c r="G3169" s="78" t="s">
        <v>32</v>
      </c>
      <c r="H3169" s="78">
        <v>1.0</v>
      </c>
      <c r="I3169" s="78" t="s">
        <v>33</v>
      </c>
      <c r="J3169" s="78" t="s">
        <v>2315</v>
      </c>
      <c r="L3169" s="78" t="s">
        <v>119</v>
      </c>
      <c r="M3169" s="46" t="s">
        <v>8258</v>
      </c>
      <c r="N3169" s="102"/>
      <c r="Q3169" s="78"/>
      <c r="S3169" s="37"/>
      <c r="T3169" s="38"/>
      <c r="U3169" s="38"/>
      <c r="V3169" s="78" t="s">
        <v>33</v>
      </c>
      <c r="W3169" s="295"/>
      <c r="X3169" s="295"/>
      <c r="Y3169" s="102"/>
    </row>
    <row r="3170">
      <c r="A3170" s="78" t="s">
        <v>8259</v>
      </c>
      <c r="B3170" s="248"/>
      <c r="C3170" s="99">
        <v>43991.0</v>
      </c>
      <c r="E3170" s="78" t="s">
        <v>41</v>
      </c>
      <c r="F3170" s="37">
        <v>1.0</v>
      </c>
      <c r="G3170" s="78" t="s">
        <v>32</v>
      </c>
      <c r="H3170" s="78">
        <v>1.0</v>
      </c>
      <c r="I3170" s="78" t="s">
        <v>33</v>
      </c>
      <c r="J3170" s="78" t="s">
        <v>279</v>
      </c>
      <c r="L3170" s="78" t="s">
        <v>69</v>
      </c>
      <c r="M3170" s="46" t="s">
        <v>8260</v>
      </c>
      <c r="N3170" s="102"/>
      <c r="Q3170" s="78">
        <v>1.0</v>
      </c>
      <c r="S3170" s="37"/>
      <c r="T3170" s="38"/>
      <c r="U3170" s="38"/>
      <c r="V3170" s="78" t="s">
        <v>33</v>
      </c>
      <c r="W3170" s="295"/>
      <c r="X3170" s="295"/>
      <c r="Y3170" s="102"/>
    </row>
    <row r="3171">
      <c r="A3171" s="78" t="s">
        <v>8261</v>
      </c>
      <c r="B3171" s="248"/>
      <c r="C3171" s="99">
        <v>43991.0</v>
      </c>
      <c r="E3171" s="78" t="s">
        <v>41</v>
      </c>
      <c r="F3171" s="37">
        <v>1.0</v>
      </c>
      <c r="G3171" s="78" t="s">
        <v>32</v>
      </c>
      <c r="H3171" s="78">
        <v>1.0</v>
      </c>
      <c r="I3171" s="78" t="s">
        <v>33</v>
      </c>
      <c r="J3171" s="78" t="s">
        <v>228</v>
      </c>
      <c r="L3171" s="78" t="s">
        <v>76</v>
      </c>
      <c r="M3171" s="46" t="s">
        <v>8262</v>
      </c>
      <c r="N3171" s="102"/>
      <c r="S3171" s="37"/>
      <c r="T3171" s="38"/>
      <c r="U3171" s="38"/>
      <c r="V3171" s="78" t="s">
        <v>33</v>
      </c>
      <c r="W3171" s="295"/>
      <c r="X3171" s="295"/>
      <c r="Y3171" s="102"/>
    </row>
    <row r="3172">
      <c r="A3172" s="78" t="s">
        <v>8263</v>
      </c>
      <c r="B3172" s="248"/>
      <c r="C3172" s="99">
        <v>43993.0</v>
      </c>
      <c r="E3172" s="78" t="s">
        <v>41</v>
      </c>
      <c r="F3172" s="37">
        <v>1.0</v>
      </c>
      <c r="G3172" s="78">
        <v>3.0</v>
      </c>
      <c r="H3172" s="78">
        <v>3.0</v>
      </c>
      <c r="I3172" s="78" t="s">
        <v>33</v>
      </c>
      <c r="J3172" s="78" t="s">
        <v>93</v>
      </c>
      <c r="L3172" s="78" t="s">
        <v>76</v>
      </c>
      <c r="M3172" s="46" t="s">
        <v>8264</v>
      </c>
      <c r="N3172" s="102"/>
      <c r="S3172" s="37"/>
      <c r="T3172" s="38"/>
      <c r="U3172" s="38"/>
      <c r="V3172" s="78" t="s">
        <v>33</v>
      </c>
      <c r="W3172" s="295"/>
      <c r="X3172" s="295"/>
      <c r="Y3172" s="102"/>
    </row>
    <row r="3173">
      <c r="A3173" s="78" t="s">
        <v>8265</v>
      </c>
      <c r="B3173" s="248"/>
      <c r="C3173" s="99">
        <v>43993.0</v>
      </c>
      <c r="E3173" s="78" t="s">
        <v>41</v>
      </c>
      <c r="F3173" s="37">
        <v>1.0</v>
      </c>
      <c r="G3173" s="78" t="s">
        <v>32</v>
      </c>
      <c r="H3173" s="78">
        <v>1.0</v>
      </c>
      <c r="I3173" s="78" t="s">
        <v>33</v>
      </c>
      <c r="J3173" s="78" t="s">
        <v>410</v>
      </c>
      <c r="L3173" s="78" t="s">
        <v>119</v>
      </c>
      <c r="M3173" s="46" t="s">
        <v>8266</v>
      </c>
      <c r="N3173" s="102"/>
      <c r="S3173" s="37"/>
      <c r="T3173" s="38"/>
      <c r="U3173" s="38"/>
      <c r="V3173" s="78" t="s">
        <v>33</v>
      </c>
      <c r="W3173" s="295"/>
      <c r="X3173" s="295"/>
      <c r="Y3173" s="102"/>
    </row>
    <row r="3174">
      <c r="A3174" s="78" t="s">
        <v>8267</v>
      </c>
      <c r="B3174" s="248"/>
      <c r="C3174" s="99">
        <v>43994.0</v>
      </c>
      <c r="E3174" s="78" t="s">
        <v>41</v>
      </c>
      <c r="F3174" s="37">
        <v>1.0</v>
      </c>
      <c r="G3174" s="78" t="s">
        <v>32</v>
      </c>
      <c r="H3174" s="78">
        <v>1.0</v>
      </c>
      <c r="I3174" s="78" t="s">
        <v>33</v>
      </c>
      <c r="J3174" s="78" t="s">
        <v>93</v>
      </c>
      <c r="L3174" s="78" t="s">
        <v>76</v>
      </c>
      <c r="M3174" s="46" t="s">
        <v>8268</v>
      </c>
      <c r="N3174" s="102"/>
      <c r="S3174" s="37"/>
      <c r="T3174" s="38"/>
      <c r="U3174" s="38"/>
      <c r="V3174" s="78" t="s">
        <v>33</v>
      </c>
      <c r="W3174" s="295"/>
      <c r="X3174" s="295"/>
      <c r="Y3174" s="102"/>
    </row>
    <row r="3175">
      <c r="A3175" s="78" t="s">
        <v>8269</v>
      </c>
      <c r="B3175" s="248"/>
      <c r="C3175" s="99">
        <v>43994.0</v>
      </c>
      <c r="E3175" s="78" t="s">
        <v>41</v>
      </c>
      <c r="F3175" s="37">
        <v>1.0</v>
      </c>
      <c r="G3175" s="78" t="s">
        <v>32</v>
      </c>
      <c r="H3175" s="78">
        <v>1.0</v>
      </c>
      <c r="I3175" s="78" t="s">
        <v>33</v>
      </c>
      <c r="J3175" s="78" t="s">
        <v>47</v>
      </c>
      <c r="L3175" s="78" t="s">
        <v>69</v>
      </c>
      <c r="M3175" s="46" t="s">
        <v>8270</v>
      </c>
      <c r="N3175" s="102"/>
      <c r="S3175" s="37"/>
      <c r="T3175" s="38"/>
      <c r="U3175" s="38"/>
      <c r="V3175" s="78" t="s">
        <v>33</v>
      </c>
      <c r="W3175" s="295"/>
      <c r="X3175" s="295"/>
      <c r="Y3175" s="102"/>
    </row>
    <row r="3176">
      <c r="A3176" s="78" t="s">
        <v>8177</v>
      </c>
      <c r="B3176" s="248"/>
      <c r="C3176" s="99">
        <v>43994.0</v>
      </c>
      <c r="E3176" s="78" t="s">
        <v>41</v>
      </c>
      <c r="F3176" s="37">
        <v>1.0</v>
      </c>
      <c r="G3176" s="78" t="s">
        <v>32</v>
      </c>
      <c r="H3176" s="78">
        <v>1.0</v>
      </c>
      <c r="I3176" s="78" t="s">
        <v>33</v>
      </c>
      <c r="J3176" s="78" t="s">
        <v>144</v>
      </c>
      <c r="L3176" s="78" t="s">
        <v>790</v>
      </c>
      <c r="M3176" s="106" t="s">
        <v>8271</v>
      </c>
      <c r="N3176" s="102"/>
      <c r="S3176" s="37"/>
      <c r="T3176" s="38"/>
      <c r="U3176" s="38"/>
      <c r="V3176" s="78" t="s">
        <v>33</v>
      </c>
      <c r="W3176" s="295"/>
      <c r="X3176" s="295"/>
      <c r="Y3176" s="102"/>
    </row>
    <row r="3177">
      <c r="A3177" s="78" t="s">
        <v>8272</v>
      </c>
      <c r="B3177" s="248"/>
      <c r="C3177" s="99">
        <v>43994.0</v>
      </c>
      <c r="E3177" s="78" t="s">
        <v>41</v>
      </c>
      <c r="F3177" s="37">
        <v>1.0</v>
      </c>
      <c r="G3177" s="78" t="s">
        <v>32</v>
      </c>
      <c r="H3177" s="78">
        <v>1.0</v>
      </c>
      <c r="I3177" s="78" t="s">
        <v>33</v>
      </c>
      <c r="J3177" s="78" t="s">
        <v>179</v>
      </c>
      <c r="L3177" s="78" t="s">
        <v>119</v>
      </c>
      <c r="M3177" s="46" t="s">
        <v>8273</v>
      </c>
      <c r="N3177" s="102"/>
      <c r="S3177" s="37"/>
      <c r="T3177" s="38"/>
      <c r="U3177" s="38"/>
      <c r="V3177" s="78" t="s">
        <v>33</v>
      </c>
      <c r="W3177" s="295"/>
      <c r="X3177" s="295"/>
      <c r="Y3177" s="102"/>
    </row>
    <row r="3178">
      <c r="A3178" s="78" t="s">
        <v>8274</v>
      </c>
      <c r="B3178" s="248"/>
      <c r="C3178" s="99">
        <v>43994.0</v>
      </c>
      <c r="E3178" s="78" t="s">
        <v>41</v>
      </c>
      <c r="F3178" s="37">
        <v>1.0</v>
      </c>
      <c r="G3178" s="78" t="s">
        <v>32</v>
      </c>
      <c r="H3178" s="78">
        <v>1.0</v>
      </c>
      <c r="I3178" s="78" t="s">
        <v>33</v>
      </c>
      <c r="J3178" s="78" t="s">
        <v>47</v>
      </c>
      <c r="L3178" s="78" t="s">
        <v>76</v>
      </c>
      <c r="M3178" s="46" t="s">
        <v>8275</v>
      </c>
      <c r="N3178" s="102"/>
      <c r="S3178" s="37"/>
      <c r="T3178" s="38"/>
      <c r="U3178" s="38"/>
      <c r="V3178" s="78" t="s">
        <v>33</v>
      </c>
      <c r="W3178" s="295"/>
      <c r="X3178" s="295"/>
      <c r="Y3178" s="102"/>
    </row>
    <row r="3179">
      <c r="A3179" s="78" t="s">
        <v>239</v>
      </c>
      <c r="B3179" s="248"/>
      <c r="C3179" s="99">
        <v>43997.0</v>
      </c>
      <c r="E3179" s="78" t="s">
        <v>41</v>
      </c>
      <c r="F3179" s="37">
        <v>2.0</v>
      </c>
      <c r="G3179" s="78" t="s">
        <v>32</v>
      </c>
      <c r="H3179" s="78">
        <v>1.0</v>
      </c>
      <c r="I3179" s="78" t="s">
        <v>33</v>
      </c>
      <c r="J3179" s="78" t="s">
        <v>147</v>
      </c>
      <c r="L3179" s="78" t="s">
        <v>194</v>
      </c>
      <c r="M3179" s="46" t="s">
        <v>8276</v>
      </c>
      <c r="N3179" s="102"/>
      <c r="S3179" s="37"/>
      <c r="T3179" s="38"/>
      <c r="U3179" s="38"/>
      <c r="V3179" s="78"/>
      <c r="W3179" s="295"/>
      <c r="X3179" s="295"/>
      <c r="Y3179" s="102"/>
    </row>
    <row r="3180">
      <c r="A3180" s="78" t="s">
        <v>8277</v>
      </c>
      <c r="B3180" s="248"/>
      <c r="C3180" s="99">
        <v>43997.0</v>
      </c>
      <c r="E3180" s="78" t="s">
        <v>41</v>
      </c>
      <c r="F3180" s="37">
        <v>1.0</v>
      </c>
      <c r="G3180" s="78" t="s">
        <v>32</v>
      </c>
      <c r="H3180" s="78">
        <v>1.0</v>
      </c>
      <c r="I3180" s="78" t="s">
        <v>33</v>
      </c>
      <c r="J3180" s="78" t="s">
        <v>93</v>
      </c>
      <c r="L3180" s="78" t="s">
        <v>69</v>
      </c>
      <c r="M3180" s="46" t="s">
        <v>8278</v>
      </c>
      <c r="N3180" s="102"/>
      <c r="S3180" s="37"/>
      <c r="T3180" s="38"/>
      <c r="U3180" s="38"/>
      <c r="V3180" s="78" t="s">
        <v>33</v>
      </c>
      <c r="W3180" s="295"/>
      <c r="X3180" s="295"/>
      <c r="Y3180" s="102"/>
    </row>
    <row r="3181">
      <c r="A3181" s="78" t="s">
        <v>8279</v>
      </c>
      <c r="B3181" s="248"/>
      <c r="C3181" s="99">
        <v>43999.0</v>
      </c>
      <c r="E3181" s="78" t="s">
        <v>41</v>
      </c>
      <c r="F3181" s="37">
        <v>1.0</v>
      </c>
      <c r="G3181" s="78" t="s">
        <v>32</v>
      </c>
      <c r="H3181" s="78">
        <v>1.0</v>
      </c>
      <c r="I3181" s="78" t="s">
        <v>33</v>
      </c>
      <c r="J3181" s="78" t="s">
        <v>115</v>
      </c>
      <c r="L3181" s="78" t="s">
        <v>119</v>
      </c>
      <c r="M3181" s="46" t="s">
        <v>8280</v>
      </c>
      <c r="N3181" s="102"/>
      <c r="S3181" s="37"/>
      <c r="T3181" s="38"/>
      <c r="U3181" s="38"/>
      <c r="V3181" s="78" t="s">
        <v>33</v>
      </c>
      <c r="W3181" s="295"/>
      <c r="X3181" s="295"/>
      <c r="Y3181" s="102"/>
    </row>
    <row r="3182">
      <c r="A3182" s="78" t="s">
        <v>8281</v>
      </c>
      <c r="B3182" s="248"/>
      <c r="C3182" s="99">
        <v>43999.0</v>
      </c>
      <c r="E3182" s="78" t="s">
        <v>41</v>
      </c>
      <c r="F3182" s="37">
        <v>1.0</v>
      </c>
      <c r="G3182" s="78" t="s">
        <v>32</v>
      </c>
      <c r="H3182" s="78">
        <v>1.0</v>
      </c>
      <c r="I3182" s="78" t="s">
        <v>33</v>
      </c>
      <c r="J3182" s="78" t="s">
        <v>115</v>
      </c>
      <c r="L3182" s="78" t="s">
        <v>119</v>
      </c>
      <c r="M3182" s="46" t="s">
        <v>8282</v>
      </c>
      <c r="N3182" s="102"/>
      <c r="S3182" s="37"/>
      <c r="T3182" s="38"/>
      <c r="U3182" s="38"/>
      <c r="V3182" s="78" t="s">
        <v>33</v>
      </c>
      <c r="W3182" s="295"/>
      <c r="X3182" s="295"/>
      <c r="Y3182" s="102"/>
    </row>
    <row r="3183">
      <c r="A3183" s="78" t="s">
        <v>239</v>
      </c>
      <c r="B3183" s="248"/>
      <c r="C3183" s="99">
        <v>43999.0</v>
      </c>
      <c r="E3183" s="78" t="s">
        <v>41</v>
      </c>
      <c r="F3183" s="37">
        <v>1.0</v>
      </c>
      <c r="G3183" s="78">
        <v>2.0</v>
      </c>
      <c r="H3183" s="78">
        <v>2.0</v>
      </c>
      <c r="I3183" s="78" t="s">
        <v>33</v>
      </c>
      <c r="J3183" s="78" t="s">
        <v>241</v>
      </c>
      <c r="L3183" s="78" t="s">
        <v>194</v>
      </c>
      <c r="M3183" s="46" t="s">
        <v>8283</v>
      </c>
      <c r="N3183" s="102"/>
      <c r="S3183" s="37"/>
      <c r="T3183" s="38"/>
      <c r="U3183" s="38"/>
      <c r="V3183" s="78" t="s">
        <v>33</v>
      </c>
      <c r="W3183" s="295"/>
      <c r="X3183" s="295"/>
      <c r="Y3183" s="102"/>
    </row>
    <row r="3184">
      <c r="A3184" s="78" t="s">
        <v>239</v>
      </c>
      <c r="B3184" s="248"/>
      <c r="C3184" s="99">
        <v>44000.0</v>
      </c>
      <c r="E3184" s="78" t="s">
        <v>41</v>
      </c>
      <c r="F3184" s="37">
        <v>1.0</v>
      </c>
      <c r="G3184" s="78" t="s">
        <v>32</v>
      </c>
      <c r="H3184" s="78">
        <v>1.0</v>
      </c>
      <c r="I3184" s="78" t="s">
        <v>33</v>
      </c>
      <c r="J3184" s="78" t="s">
        <v>111</v>
      </c>
      <c r="L3184" s="78" t="s">
        <v>194</v>
      </c>
      <c r="M3184" s="46" t="s">
        <v>8284</v>
      </c>
      <c r="N3184" s="102"/>
      <c r="S3184" s="37"/>
      <c r="T3184" s="38"/>
      <c r="U3184" s="38"/>
      <c r="V3184" s="78" t="s">
        <v>33</v>
      </c>
      <c r="W3184" s="295"/>
      <c r="X3184" s="295"/>
      <c r="Y3184" s="102"/>
    </row>
    <row r="3185">
      <c r="A3185" s="78" t="s">
        <v>8285</v>
      </c>
      <c r="B3185" s="248"/>
      <c r="C3185" s="99">
        <v>44000.0</v>
      </c>
      <c r="E3185" s="78" t="s">
        <v>31</v>
      </c>
      <c r="F3185" s="37">
        <v>1.0</v>
      </c>
      <c r="G3185" s="78" t="s">
        <v>32</v>
      </c>
      <c r="H3185" s="78">
        <v>1.0</v>
      </c>
      <c r="I3185" s="78" t="s">
        <v>33</v>
      </c>
      <c r="J3185" s="78" t="s">
        <v>98</v>
      </c>
      <c r="L3185" s="78" t="s">
        <v>69</v>
      </c>
      <c r="M3185" s="46" t="s">
        <v>8286</v>
      </c>
      <c r="N3185" s="46" t="s">
        <v>8287</v>
      </c>
      <c r="Q3185" s="78">
        <v>1.0</v>
      </c>
      <c r="S3185" s="37"/>
      <c r="T3185" s="38"/>
      <c r="U3185" s="38"/>
      <c r="V3185" s="78" t="s">
        <v>33</v>
      </c>
      <c r="W3185" s="46" t="s">
        <v>8288</v>
      </c>
      <c r="X3185" s="46" t="s">
        <v>8289</v>
      </c>
      <c r="Y3185" s="102"/>
    </row>
    <row r="3186">
      <c r="A3186" s="78" t="s">
        <v>239</v>
      </c>
      <c r="B3186" s="248"/>
      <c r="C3186" s="99">
        <v>44000.0</v>
      </c>
      <c r="E3186" s="78" t="s">
        <v>41</v>
      </c>
      <c r="F3186" s="37">
        <v>1.0</v>
      </c>
      <c r="G3186" s="78" t="s">
        <v>32</v>
      </c>
      <c r="H3186" s="78">
        <v>1.0</v>
      </c>
      <c r="I3186" s="78" t="s">
        <v>33</v>
      </c>
      <c r="J3186" s="78" t="s">
        <v>241</v>
      </c>
      <c r="L3186" s="78" t="s">
        <v>194</v>
      </c>
      <c r="M3186" s="46" t="s">
        <v>8290</v>
      </c>
      <c r="N3186" s="102"/>
      <c r="S3186" s="37"/>
      <c r="T3186" s="38"/>
      <c r="U3186" s="38"/>
      <c r="V3186" s="78" t="s">
        <v>33</v>
      </c>
      <c r="W3186" s="295"/>
      <c r="X3186" s="295"/>
      <c r="Y3186" s="102"/>
    </row>
    <row r="3187">
      <c r="A3187" s="78" t="s">
        <v>8291</v>
      </c>
      <c r="B3187" s="248"/>
      <c r="C3187" s="99">
        <v>44000.0</v>
      </c>
      <c r="E3187" s="78" t="s">
        <v>41</v>
      </c>
      <c r="F3187" s="37">
        <v>1.0</v>
      </c>
      <c r="G3187" s="78" t="s">
        <v>32</v>
      </c>
      <c r="H3187" s="78">
        <v>1.0</v>
      </c>
      <c r="I3187" s="78" t="s">
        <v>33</v>
      </c>
      <c r="J3187" s="78" t="s">
        <v>111</v>
      </c>
      <c r="L3187" s="78" t="s">
        <v>69</v>
      </c>
      <c r="M3187" s="46" t="s">
        <v>8292</v>
      </c>
      <c r="N3187" s="102"/>
      <c r="S3187" s="37"/>
      <c r="T3187" s="38"/>
      <c r="U3187" s="38"/>
      <c r="V3187" s="78" t="s">
        <v>33</v>
      </c>
      <c r="W3187" s="295"/>
      <c r="X3187" s="295"/>
      <c r="Y3187" s="102"/>
    </row>
    <row r="3188">
      <c r="A3188" s="78" t="s">
        <v>8293</v>
      </c>
      <c r="B3188" s="248"/>
      <c r="C3188" s="99">
        <v>44000.0</v>
      </c>
      <c r="E3188" s="78" t="s">
        <v>41</v>
      </c>
      <c r="F3188" s="37">
        <v>1.0</v>
      </c>
      <c r="G3188" s="78" t="s">
        <v>32</v>
      </c>
      <c r="H3188" s="78">
        <v>1.0</v>
      </c>
      <c r="I3188" s="78" t="s">
        <v>33</v>
      </c>
      <c r="J3188" s="78" t="s">
        <v>111</v>
      </c>
      <c r="L3188" s="78" t="s">
        <v>76</v>
      </c>
      <c r="M3188" s="46" t="s">
        <v>8294</v>
      </c>
      <c r="N3188" s="102"/>
      <c r="S3188" s="37"/>
      <c r="T3188" s="38"/>
      <c r="U3188" s="38"/>
      <c r="V3188" s="78" t="s">
        <v>33</v>
      </c>
      <c r="W3188" s="295"/>
      <c r="X3188" s="295"/>
      <c r="Y3188" s="102"/>
    </row>
    <row r="3189">
      <c r="A3189" s="78" t="s">
        <v>8295</v>
      </c>
      <c r="B3189" s="248"/>
      <c r="C3189" s="99">
        <v>44000.0</v>
      </c>
      <c r="E3189" s="78" t="s">
        <v>41</v>
      </c>
      <c r="F3189" s="37">
        <v>1.0</v>
      </c>
      <c r="G3189" s="78" t="s">
        <v>32</v>
      </c>
      <c r="H3189" s="78">
        <v>1.0</v>
      </c>
      <c r="I3189" s="78" t="s">
        <v>33</v>
      </c>
      <c r="J3189" s="78" t="s">
        <v>111</v>
      </c>
      <c r="L3189" s="78" t="s">
        <v>76</v>
      </c>
      <c r="M3189" s="46" t="s">
        <v>8296</v>
      </c>
      <c r="N3189" s="102"/>
      <c r="S3189" s="37"/>
      <c r="T3189" s="38"/>
      <c r="U3189" s="38"/>
      <c r="V3189" s="78" t="s">
        <v>33</v>
      </c>
      <c r="W3189" s="295"/>
      <c r="X3189" s="295"/>
      <c r="Y3189" s="102"/>
    </row>
    <row r="3190">
      <c r="A3190" s="78" t="s">
        <v>8297</v>
      </c>
      <c r="B3190" s="248"/>
      <c r="C3190" s="99">
        <v>44000.0</v>
      </c>
      <c r="E3190" s="78" t="s">
        <v>41</v>
      </c>
      <c r="F3190" s="37">
        <v>1.0</v>
      </c>
      <c r="G3190" s="78" t="s">
        <v>32</v>
      </c>
      <c r="H3190" s="78">
        <v>1.0</v>
      </c>
      <c r="I3190" s="78" t="s">
        <v>33</v>
      </c>
      <c r="J3190" s="78" t="s">
        <v>184</v>
      </c>
      <c r="L3190" s="78" t="s">
        <v>76</v>
      </c>
      <c r="M3190" s="46" t="s">
        <v>8298</v>
      </c>
      <c r="N3190" s="102"/>
      <c r="S3190" s="37"/>
      <c r="T3190" s="38"/>
      <c r="U3190" s="38"/>
      <c r="V3190" s="78" t="s">
        <v>33</v>
      </c>
      <c r="W3190" s="295"/>
      <c r="X3190" s="295"/>
      <c r="Y3190" s="102"/>
    </row>
    <row r="3191">
      <c r="A3191" s="78" t="s">
        <v>8299</v>
      </c>
      <c r="B3191" s="248"/>
      <c r="C3191" s="99">
        <v>44000.0</v>
      </c>
      <c r="E3191" s="78" t="s">
        <v>41</v>
      </c>
      <c r="F3191" s="37">
        <v>1.0</v>
      </c>
      <c r="G3191" s="78" t="s">
        <v>32</v>
      </c>
      <c r="H3191" s="78">
        <v>1.0</v>
      </c>
      <c r="I3191" s="78" t="s">
        <v>33</v>
      </c>
      <c r="J3191" s="78" t="s">
        <v>184</v>
      </c>
      <c r="L3191" s="78" t="s">
        <v>76</v>
      </c>
      <c r="M3191" s="46" t="s">
        <v>8300</v>
      </c>
      <c r="N3191" s="102"/>
      <c r="S3191" s="37"/>
      <c r="T3191" s="38"/>
      <c r="U3191" s="38"/>
      <c r="V3191" s="78" t="s">
        <v>33</v>
      </c>
      <c r="W3191" s="295"/>
      <c r="X3191" s="295"/>
      <c r="Y3191" s="102"/>
    </row>
    <row r="3192">
      <c r="A3192" s="78" t="s">
        <v>239</v>
      </c>
      <c r="B3192" s="248"/>
      <c r="C3192" s="99">
        <v>44001.0</v>
      </c>
      <c r="E3192" s="78" t="s">
        <v>41</v>
      </c>
      <c r="F3192" s="37">
        <v>2.0</v>
      </c>
      <c r="G3192" s="78" t="s">
        <v>32</v>
      </c>
      <c r="H3192" s="78">
        <v>2.0</v>
      </c>
      <c r="I3192" s="78" t="s">
        <v>33</v>
      </c>
      <c r="J3192" s="78" t="s">
        <v>147</v>
      </c>
      <c r="L3192" s="78" t="s">
        <v>194</v>
      </c>
      <c r="M3192" s="46" t="s">
        <v>8301</v>
      </c>
      <c r="N3192" s="106"/>
      <c r="S3192" s="37"/>
      <c r="T3192" s="38"/>
      <c r="U3192" s="38"/>
      <c r="V3192" s="78" t="s">
        <v>33</v>
      </c>
      <c r="W3192" s="106"/>
      <c r="X3192" s="295"/>
      <c r="Y3192" s="102"/>
    </row>
    <row r="3193">
      <c r="A3193" s="78" t="s">
        <v>8302</v>
      </c>
      <c r="B3193" s="248"/>
      <c r="C3193" s="99">
        <v>44001.0</v>
      </c>
      <c r="E3193" s="78" t="s">
        <v>41</v>
      </c>
      <c r="F3193" s="37">
        <v>1.0</v>
      </c>
      <c r="G3193" s="78" t="s">
        <v>32</v>
      </c>
      <c r="H3193" s="78">
        <v>1.0</v>
      </c>
      <c r="I3193" s="78" t="s">
        <v>33</v>
      </c>
      <c r="J3193" s="78" t="s">
        <v>115</v>
      </c>
      <c r="L3193" s="78" t="s">
        <v>69</v>
      </c>
      <c r="M3193" s="46" t="s">
        <v>8303</v>
      </c>
      <c r="N3193" s="46" t="s">
        <v>8304</v>
      </c>
      <c r="S3193" s="37"/>
      <c r="T3193" s="38"/>
      <c r="U3193" s="38"/>
      <c r="V3193" s="78" t="s">
        <v>33</v>
      </c>
      <c r="W3193" s="46" t="s">
        <v>8305</v>
      </c>
      <c r="X3193" s="295"/>
      <c r="Y3193" s="102"/>
    </row>
    <row r="3194">
      <c r="A3194" s="78" t="s">
        <v>239</v>
      </c>
      <c r="B3194" s="248"/>
      <c r="C3194" s="99">
        <v>44002.0</v>
      </c>
      <c r="E3194" s="78" t="s">
        <v>41</v>
      </c>
      <c r="F3194" s="37">
        <v>1.0</v>
      </c>
      <c r="G3194" s="78" t="s">
        <v>32</v>
      </c>
      <c r="H3194" s="78">
        <v>1.0</v>
      </c>
      <c r="I3194" s="78" t="s">
        <v>33</v>
      </c>
      <c r="J3194" s="78" t="s">
        <v>147</v>
      </c>
      <c r="L3194" s="78" t="s">
        <v>194</v>
      </c>
      <c r="M3194" s="46" t="s">
        <v>8301</v>
      </c>
      <c r="N3194" s="106"/>
      <c r="S3194" s="37"/>
      <c r="T3194" s="38"/>
      <c r="U3194" s="38"/>
      <c r="V3194" s="78" t="s">
        <v>33</v>
      </c>
      <c r="W3194" s="106"/>
      <c r="X3194" s="295"/>
      <c r="Y3194" s="102"/>
    </row>
    <row r="3195">
      <c r="A3195" s="78" t="s">
        <v>239</v>
      </c>
      <c r="B3195" s="248"/>
      <c r="C3195" s="99">
        <v>44004.0</v>
      </c>
      <c r="E3195" s="78" t="s">
        <v>41</v>
      </c>
      <c r="F3195" s="37">
        <v>2.0</v>
      </c>
      <c r="G3195" s="78" t="s">
        <v>32</v>
      </c>
      <c r="H3195" s="78">
        <v>1.0</v>
      </c>
      <c r="I3195" s="78" t="s">
        <v>33</v>
      </c>
      <c r="J3195" s="78" t="s">
        <v>147</v>
      </c>
      <c r="L3195" s="78" t="s">
        <v>194</v>
      </c>
      <c r="M3195" s="46" t="s">
        <v>8301</v>
      </c>
      <c r="N3195" s="106"/>
      <c r="S3195" s="37"/>
      <c r="T3195" s="38"/>
      <c r="U3195" s="38"/>
      <c r="V3195" s="78" t="s">
        <v>33</v>
      </c>
      <c r="W3195" s="106"/>
      <c r="X3195" s="295"/>
      <c r="Y3195" s="102"/>
    </row>
    <row r="3196">
      <c r="A3196" s="78" t="s">
        <v>8306</v>
      </c>
      <c r="B3196" s="248"/>
      <c r="C3196" s="99">
        <v>44005.0</v>
      </c>
      <c r="E3196" s="78" t="s">
        <v>41</v>
      </c>
      <c r="F3196" s="37">
        <v>1.0</v>
      </c>
      <c r="G3196" s="78" t="s">
        <v>32</v>
      </c>
      <c r="H3196" s="78">
        <v>1.0</v>
      </c>
      <c r="I3196" s="78" t="s">
        <v>33</v>
      </c>
      <c r="J3196" s="78" t="s">
        <v>93</v>
      </c>
      <c r="L3196" s="78" t="s">
        <v>69</v>
      </c>
      <c r="M3196" s="46" t="s">
        <v>8307</v>
      </c>
      <c r="N3196" s="106"/>
      <c r="S3196" s="37"/>
      <c r="T3196" s="38"/>
      <c r="U3196" s="38"/>
      <c r="V3196" s="78" t="s">
        <v>33</v>
      </c>
      <c r="W3196" s="106"/>
      <c r="X3196" s="295"/>
      <c r="Y3196" s="102"/>
    </row>
    <row r="3197">
      <c r="A3197" s="78" t="s">
        <v>8308</v>
      </c>
      <c r="B3197" s="248"/>
      <c r="C3197" s="99">
        <v>44005.0</v>
      </c>
      <c r="E3197" s="78" t="s">
        <v>41</v>
      </c>
      <c r="F3197" s="37">
        <v>1.0</v>
      </c>
      <c r="G3197" s="78" t="s">
        <v>32</v>
      </c>
      <c r="H3197" s="78">
        <v>1.0</v>
      </c>
      <c r="I3197" s="78" t="s">
        <v>33</v>
      </c>
      <c r="J3197" s="78" t="s">
        <v>222</v>
      </c>
      <c r="L3197" s="78" t="s">
        <v>69</v>
      </c>
      <c r="M3197" s="46" t="s">
        <v>8309</v>
      </c>
      <c r="N3197" s="106"/>
      <c r="S3197" s="37"/>
      <c r="T3197" s="38"/>
      <c r="U3197" s="38"/>
      <c r="V3197" s="78" t="s">
        <v>33</v>
      </c>
      <c r="W3197" s="106"/>
      <c r="X3197" s="295"/>
      <c r="Y3197" s="102"/>
    </row>
    <row r="3198">
      <c r="A3198" s="78" t="s">
        <v>8310</v>
      </c>
      <c r="B3198" s="248"/>
      <c r="C3198" s="99">
        <v>44005.0</v>
      </c>
      <c r="E3198" s="78" t="s">
        <v>41</v>
      </c>
      <c r="F3198" s="37">
        <v>1.0</v>
      </c>
      <c r="G3198" s="78" t="s">
        <v>32</v>
      </c>
      <c r="H3198" s="78">
        <v>1.0</v>
      </c>
      <c r="I3198" s="78" t="s">
        <v>33</v>
      </c>
      <c r="J3198" s="78" t="s">
        <v>34</v>
      </c>
      <c r="L3198" s="78" t="s">
        <v>76</v>
      </c>
      <c r="M3198" s="46" t="s">
        <v>8311</v>
      </c>
      <c r="N3198" s="106"/>
      <c r="S3198" s="37"/>
      <c r="T3198" s="38"/>
      <c r="U3198" s="38"/>
      <c r="V3198" s="78" t="s">
        <v>33</v>
      </c>
      <c r="W3198" s="106"/>
      <c r="X3198" s="295"/>
      <c r="Y3198" s="102"/>
    </row>
    <row r="3199">
      <c r="A3199" s="78" t="s">
        <v>8312</v>
      </c>
      <c r="B3199" s="248"/>
      <c r="C3199" s="99">
        <v>44005.0</v>
      </c>
      <c r="E3199" s="78" t="s">
        <v>41</v>
      </c>
      <c r="F3199" s="37">
        <v>1.0</v>
      </c>
      <c r="G3199" s="78" t="s">
        <v>32</v>
      </c>
      <c r="H3199" s="78">
        <v>1.0</v>
      </c>
      <c r="I3199" s="78" t="s">
        <v>33</v>
      </c>
      <c r="J3199" s="78" t="s">
        <v>55</v>
      </c>
      <c r="L3199" s="78" t="s">
        <v>119</v>
      </c>
      <c r="M3199" s="46" t="s">
        <v>8313</v>
      </c>
      <c r="N3199" s="106"/>
      <c r="S3199" s="37"/>
      <c r="T3199" s="38"/>
      <c r="U3199" s="38"/>
      <c r="V3199" s="78" t="s">
        <v>33</v>
      </c>
      <c r="W3199" s="106"/>
      <c r="X3199" s="295"/>
      <c r="Y3199" s="102"/>
    </row>
    <row r="3200">
      <c r="A3200" s="78" t="s">
        <v>239</v>
      </c>
      <c r="B3200" s="248"/>
      <c r="C3200" s="99">
        <v>44006.0</v>
      </c>
      <c r="E3200" s="78" t="s">
        <v>41</v>
      </c>
      <c r="F3200" s="37">
        <v>2.0</v>
      </c>
      <c r="G3200" s="78" t="s">
        <v>32</v>
      </c>
      <c r="H3200" s="78">
        <v>1.0</v>
      </c>
      <c r="I3200" s="78" t="s">
        <v>33</v>
      </c>
      <c r="J3200" s="78" t="s">
        <v>241</v>
      </c>
      <c r="L3200" s="78" t="s">
        <v>194</v>
      </c>
      <c r="M3200" s="46" t="s">
        <v>8314</v>
      </c>
      <c r="N3200" s="106"/>
      <c r="S3200" s="37"/>
      <c r="T3200" s="38"/>
      <c r="U3200" s="38"/>
      <c r="V3200" s="78" t="s">
        <v>33</v>
      </c>
      <c r="W3200" s="106"/>
      <c r="X3200" s="295"/>
      <c r="Y3200" s="102"/>
    </row>
    <row r="3201">
      <c r="A3201" s="78" t="s">
        <v>239</v>
      </c>
      <c r="B3201" s="248"/>
      <c r="C3201" s="99">
        <v>44006.0</v>
      </c>
      <c r="E3201" s="78" t="s">
        <v>41</v>
      </c>
      <c r="F3201" s="37">
        <v>1.0</v>
      </c>
      <c r="G3201" s="78" t="s">
        <v>32</v>
      </c>
      <c r="H3201" s="78">
        <v>1.0</v>
      </c>
      <c r="I3201" s="78" t="s">
        <v>33</v>
      </c>
      <c r="J3201" s="78" t="s">
        <v>241</v>
      </c>
      <c r="L3201" s="78" t="s">
        <v>194</v>
      </c>
      <c r="M3201" s="46" t="s">
        <v>8314</v>
      </c>
      <c r="N3201" s="106"/>
      <c r="S3201" s="37"/>
      <c r="T3201" s="38"/>
      <c r="U3201" s="38"/>
      <c r="V3201" s="78" t="s">
        <v>33</v>
      </c>
      <c r="W3201" s="106"/>
      <c r="X3201" s="295"/>
      <c r="Y3201" s="102"/>
    </row>
    <row r="3202">
      <c r="A3202" s="78" t="s">
        <v>239</v>
      </c>
      <c r="B3202" s="248"/>
      <c r="C3202" s="99">
        <v>44007.0</v>
      </c>
      <c r="E3202" s="78" t="s">
        <v>41</v>
      </c>
      <c r="F3202" s="37">
        <v>1.0</v>
      </c>
      <c r="G3202" s="78" t="s">
        <v>32</v>
      </c>
      <c r="H3202" s="78">
        <v>1.0</v>
      </c>
      <c r="I3202" s="78" t="s">
        <v>33</v>
      </c>
      <c r="J3202" s="78" t="s">
        <v>241</v>
      </c>
      <c r="L3202" s="78" t="s">
        <v>194</v>
      </c>
      <c r="M3202" s="46" t="s">
        <v>8315</v>
      </c>
      <c r="N3202" s="106"/>
      <c r="S3202" s="37"/>
      <c r="T3202" s="38"/>
      <c r="U3202" s="38"/>
      <c r="V3202" s="78" t="s">
        <v>33</v>
      </c>
      <c r="W3202" s="106"/>
      <c r="X3202" s="295"/>
      <c r="Y3202" s="102"/>
    </row>
    <row r="3203">
      <c r="A3203" s="78" t="s">
        <v>8316</v>
      </c>
      <c r="B3203" s="248"/>
      <c r="C3203" s="99">
        <v>44007.0</v>
      </c>
      <c r="E3203" s="78" t="s">
        <v>41</v>
      </c>
      <c r="F3203" s="37">
        <v>1.0</v>
      </c>
      <c r="G3203" s="78" t="s">
        <v>32</v>
      </c>
      <c r="H3203" s="78">
        <v>1.0</v>
      </c>
      <c r="I3203" s="78" t="s">
        <v>33</v>
      </c>
      <c r="J3203" s="78" t="s">
        <v>318</v>
      </c>
      <c r="L3203" s="78" t="s">
        <v>76</v>
      </c>
      <c r="M3203" s="46" t="s">
        <v>8317</v>
      </c>
      <c r="N3203" s="106"/>
      <c r="S3203" s="37"/>
      <c r="T3203" s="38"/>
      <c r="U3203" s="38"/>
      <c r="V3203" s="78"/>
      <c r="W3203" s="106"/>
      <c r="X3203" s="295"/>
      <c r="Y3203" s="102"/>
    </row>
    <row r="3204">
      <c r="A3204" s="78" t="s">
        <v>8318</v>
      </c>
      <c r="B3204" s="248"/>
      <c r="C3204" s="99">
        <v>44007.0</v>
      </c>
      <c r="E3204" s="78" t="s">
        <v>41</v>
      </c>
      <c r="F3204" s="37">
        <v>1.0</v>
      </c>
      <c r="G3204" s="78" t="s">
        <v>32</v>
      </c>
      <c r="H3204" s="78">
        <v>1.0</v>
      </c>
      <c r="I3204" s="78" t="s">
        <v>33</v>
      </c>
      <c r="J3204" s="78" t="s">
        <v>55</v>
      </c>
      <c r="L3204" s="78" t="s">
        <v>119</v>
      </c>
      <c r="M3204" s="46" t="s">
        <v>8319</v>
      </c>
      <c r="N3204" s="106"/>
      <c r="S3204" s="37"/>
      <c r="T3204" s="38"/>
      <c r="U3204" s="38"/>
      <c r="V3204" s="78" t="s">
        <v>33</v>
      </c>
      <c r="W3204" s="106"/>
      <c r="X3204" s="295"/>
      <c r="Y3204" s="102"/>
    </row>
    <row r="3205">
      <c r="A3205" s="78" t="s">
        <v>8320</v>
      </c>
      <c r="B3205" s="248"/>
      <c r="C3205" s="99">
        <v>44007.0</v>
      </c>
      <c r="E3205" s="78" t="s">
        <v>41</v>
      </c>
      <c r="F3205" s="37">
        <v>1.0</v>
      </c>
      <c r="G3205" s="78" t="s">
        <v>32</v>
      </c>
      <c r="H3205" s="78">
        <v>1.0</v>
      </c>
      <c r="I3205" s="78" t="s">
        <v>33</v>
      </c>
      <c r="J3205" s="78" t="s">
        <v>93</v>
      </c>
      <c r="L3205" s="78" t="s">
        <v>119</v>
      </c>
      <c r="M3205" s="46" t="s">
        <v>8321</v>
      </c>
      <c r="N3205" s="106"/>
      <c r="S3205" s="37"/>
      <c r="T3205" s="38"/>
      <c r="U3205" s="38"/>
      <c r="V3205" s="78" t="s">
        <v>33</v>
      </c>
      <c r="W3205" s="106"/>
      <c r="X3205" s="295"/>
      <c r="Y3205" s="102"/>
    </row>
    <row r="3206">
      <c r="A3206" s="78" t="s">
        <v>8322</v>
      </c>
      <c r="B3206" s="248"/>
      <c r="C3206" s="99">
        <v>44007.0</v>
      </c>
      <c r="E3206" s="78" t="s">
        <v>41</v>
      </c>
      <c r="F3206" s="37">
        <v>1.0</v>
      </c>
      <c r="G3206" s="78" t="s">
        <v>32</v>
      </c>
      <c r="H3206" s="78">
        <v>1.0</v>
      </c>
      <c r="I3206" s="78" t="s">
        <v>33</v>
      </c>
      <c r="J3206" s="78" t="s">
        <v>2315</v>
      </c>
      <c r="L3206" s="78" t="s">
        <v>119</v>
      </c>
      <c r="M3206" s="46" t="s">
        <v>8323</v>
      </c>
      <c r="N3206" s="106"/>
      <c r="S3206" s="37"/>
      <c r="T3206" s="38"/>
      <c r="U3206" s="38"/>
      <c r="V3206" s="78" t="s">
        <v>33</v>
      </c>
      <c r="W3206" s="106"/>
      <c r="X3206" s="295"/>
      <c r="Y3206" s="102"/>
    </row>
    <row r="3207">
      <c r="A3207" s="78" t="s">
        <v>8324</v>
      </c>
      <c r="B3207" s="248"/>
      <c r="C3207" s="99">
        <v>44008.0</v>
      </c>
      <c r="E3207" s="78" t="s">
        <v>31</v>
      </c>
      <c r="F3207" s="37">
        <v>1.0</v>
      </c>
      <c r="G3207" s="78" t="s">
        <v>32</v>
      </c>
      <c r="H3207" s="78">
        <v>1.0</v>
      </c>
      <c r="I3207" s="78" t="s">
        <v>33</v>
      </c>
      <c r="J3207" s="78" t="s">
        <v>147</v>
      </c>
      <c r="L3207" s="78" t="s">
        <v>99</v>
      </c>
      <c r="M3207" s="46" t="s">
        <v>8325</v>
      </c>
      <c r="N3207" s="106"/>
      <c r="S3207" s="37"/>
      <c r="T3207" s="38"/>
      <c r="U3207" s="38"/>
      <c r="V3207" s="78" t="s">
        <v>33</v>
      </c>
      <c r="W3207" s="46" t="s">
        <v>8326</v>
      </c>
      <c r="X3207" s="106"/>
      <c r="Y3207" s="102"/>
    </row>
    <row r="3208">
      <c r="A3208" s="78" t="s">
        <v>239</v>
      </c>
      <c r="B3208" s="248"/>
      <c r="C3208" s="99">
        <v>44008.0</v>
      </c>
      <c r="E3208" s="78" t="s">
        <v>41</v>
      </c>
      <c r="F3208" s="37">
        <v>4.0</v>
      </c>
      <c r="G3208" s="78" t="s">
        <v>32</v>
      </c>
      <c r="H3208" s="78">
        <v>1.0</v>
      </c>
      <c r="I3208" s="78" t="s">
        <v>33</v>
      </c>
      <c r="J3208" s="78" t="s">
        <v>111</v>
      </c>
      <c r="L3208" s="78" t="s">
        <v>194</v>
      </c>
      <c r="M3208" s="46" t="s">
        <v>8327</v>
      </c>
      <c r="N3208" s="106"/>
      <c r="S3208" s="37"/>
      <c r="T3208" s="38"/>
      <c r="U3208" s="38"/>
      <c r="V3208" s="78" t="s">
        <v>33</v>
      </c>
      <c r="W3208" s="106"/>
      <c r="X3208" s="106"/>
      <c r="Y3208" s="102"/>
    </row>
    <row r="3209">
      <c r="A3209" s="78" t="s">
        <v>239</v>
      </c>
      <c r="B3209" s="248"/>
      <c r="C3209" s="99">
        <v>44008.0</v>
      </c>
      <c r="E3209" s="78" t="s">
        <v>41</v>
      </c>
      <c r="F3209" s="37">
        <v>3.0</v>
      </c>
      <c r="G3209" s="78" t="s">
        <v>32</v>
      </c>
      <c r="H3209" s="78">
        <v>1.0</v>
      </c>
      <c r="I3209" s="78" t="s">
        <v>33</v>
      </c>
      <c r="J3209" s="78" t="s">
        <v>111</v>
      </c>
      <c r="L3209" s="78" t="s">
        <v>194</v>
      </c>
      <c r="M3209" s="46" t="s">
        <v>8327</v>
      </c>
      <c r="N3209" s="106"/>
      <c r="S3209" s="37"/>
      <c r="T3209" s="38"/>
      <c r="U3209" s="38"/>
      <c r="V3209" s="78" t="s">
        <v>3919</v>
      </c>
      <c r="W3209" s="106"/>
      <c r="X3209" s="106"/>
      <c r="Y3209" s="102"/>
    </row>
    <row r="3210">
      <c r="A3210" s="78" t="s">
        <v>239</v>
      </c>
      <c r="B3210" s="248"/>
      <c r="C3210" s="99">
        <v>44009.0</v>
      </c>
      <c r="E3210" s="78" t="s">
        <v>41</v>
      </c>
      <c r="F3210" s="37">
        <v>1.0</v>
      </c>
      <c r="G3210" s="78" t="s">
        <v>32</v>
      </c>
      <c r="H3210" s="78">
        <v>1.0</v>
      </c>
      <c r="I3210" s="78" t="s">
        <v>33</v>
      </c>
      <c r="J3210" s="78" t="s">
        <v>147</v>
      </c>
      <c r="L3210" s="78" t="s">
        <v>194</v>
      </c>
      <c r="M3210" s="46" t="s">
        <v>8328</v>
      </c>
      <c r="N3210" s="106"/>
      <c r="S3210" s="37"/>
      <c r="T3210" s="38"/>
      <c r="U3210" s="38"/>
      <c r="V3210" s="78" t="s">
        <v>33</v>
      </c>
      <c r="W3210" s="106"/>
      <c r="X3210" s="106"/>
      <c r="Y3210" s="102"/>
    </row>
    <row r="3211">
      <c r="A3211" s="78" t="s">
        <v>8329</v>
      </c>
      <c r="B3211" s="248"/>
      <c r="C3211" s="99">
        <v>44010.0</v>
      </c>
      <c r="E3211" s="78" t="s">
        <v>41</v>
      </c>
      <c r="F3211" s="37">
        <v>1.0</v>
      </c>
      <c r="G3211" s="78" t="s">
        <v>32</v>
      </c>
      <c r="H3211" s="78">
        <v>1.0</v>
      </c>
      <c r="I3211" s="78" t="s">
        <v>33</v>
      </c>
      <c r="J3211" s="78" t="s">
        <v>184</v>
      </c>
      <c r="L3211" s="78" t="s">
        <v>7738</v>
      </c>
      <c r="M3211" s="46" t="s">
        <v>8330</v>
      </c>
      <c r="N3211" s="106"/>
      <c r="S3211" s="37"/>
      <c r="T3211" s="38"/>
      <c r="U3211" s="38"/>
      <c r="V3211" s="78" t="s">
        <v>33</v>
      </c>
      <c r="W3211" s="106"/>
      <c r="X3211" s="106"/>
      <c r="Y3211" s="102"/>
    </row>
    <row r="3212">
      <c r="A3212" s="78" t="s">
        <v>8331</v>
      </c>
      <c r="B3212" s="248"/>
      <c r="C3212" s="99">
        <v>44010.0</v>
      </c>
      <c r="E3212" s="78" t="s">
        <v>41</v>
      </c>
      <c r="F3212" s="37">
        <v>1.0</v>
      </c>
      <c r="G3212" s="78" t="s">
        <v>32</v>
      </c>
      <c r="H3212" s="78">
        <v>1.0</v>
      </c>
      <c r="I3212" s="78" t="s">
        <v>33</v>
      </c>
      <c r="J3212" s="78" t="s">
        <v>184</v>
      </c>
      <c r="L3212" s="78" t="s">
        <v>7824</v>
      </c>
      <c r="M3212" s="46" t="s">
        <v>8332</v>
      </c>
      <c r="N3212" s="106"/>
      <c r="S3212" s="37"/>
      <c r="T3212" s="38"/>
      <c r="U3212" s="38"/>
      <c r="V3212" s="78" t="s">
        <v>33</v>
      </c>
      <c r="W3212" s="106"/>
      <c r="X3212" s="106"/>
      <c r="Y3212" s="102"/>
    </row>
    <row r="3213">
      <c r="A3213" s="78" t="s">
        <v>8333</v>
      </c>
      <c r="B3213" s="248"/>
      <c r="C3213" s="99">
        <v>44010.0</v>
      </c>
      <c r="E3213" s="78" t="s">
        <v>41</v>
      </c>
      <c r="F3213" s="37">
        <v>1.0</v>
      </c>
      <c r="G3213" s="78" t="s">
        <v>32</v>
      </c>
      <c r="H3213" s="78">
        <v>1.0</v>
      </c>
      <c r="I3213" s="78" t="s">
        <v>33</v>
      </c>
      <c r="J3213" s="78" t="s">
        <v>184</v>
      </c>
      <c r="L3213" s="78" t="s">
        <v>7738</v>
      </c>
      <c r="M3213" s="46" t="s">
        <v>8332</v>
      </c>
      <c r="N3213" s="106"/>
      <c r="S3213" s="37"/>
      <c r="T3213" s="38"/>
      <c r="U3213" s="38"/>
      <c r="V3213" s="78" t="s">
        <v>33</v>
      </c>
      <c r="W3213" s="106"/>
      <c r="X3213" s="106"/>
      <c r="Y3213" s="102"/>
    </row>
    <row r="3214">
      <c r="A3214" s="78" t="s">
        <v>8334</v>
      </c>
      <c r="B3214" s="248"/>
      <c r="C3214" s="99">
        <v>44011.0</v>
      </c>
      <c r="E3214" s="78" t="s">
        <v>41</v>
      </c>
      <c r="F3214" s="37">
        <v>1.0</v>
      </c>
      <c r="G3214" s="78" t="s">
        <v>32</v>
      </c>
      <c r="H3214" s="78">
        <v>1.0</v>
      </c>
      <c r="I3214" s="78" t="s">
        <v>33</v>
      </c>
      <c r="J3214" s="78" t="s">
        <v>3531</v>
      </c>
      <c r="L3214" s="78" t="s">
        <v>76</v>
      </c>
      <c r="M3214" s="46" t="s">
        <v>8335</v>
      </c>
      <c r="N3214" s="106"/>
      <c r="S3214" s="37"/>
      <c r="T3214" s="38"/>
      <c r="U3214" s="38"/>
      <c r="V3214" s="78" t="s">
        <v>33</v>
      </c>
      <c r="W3214" s="106"/>
      <c r="X3214" s="106"/>
      <c r="Y3214" s="102"/>
    </row>
    <row r="3215">
      <c r="A3215" s="78" t="s">
        <v>239</v>
      </c>
      <c r="B3215" s="248"/>
      <c r="C3215" s="99">
        <v>44011.0</v>
      </c>
      <c r="E3215" s="78" t="s">
        <v>41</v>
      </c>
      <c r="F3215" s="37">
        <v>1.0</v>
      </c>
      <c r="G3215" s="78" t="s">
        <v>32</v>
      </c>
      <c r="H3215" s="78">
        <v>1.0</v>
      </c>
      <c r="I3215" s="78" t="s">
        <v>33</v>
      </c>
      <c r="J3215" s="78" t="s">
        <v>147</v>
      </c>
      <c r="L3215" s="78" t="s">
        <v>194</v>
      </c>
      <c r="M3215" s="46" t="s">
        <v>8336</v>
      </c>
      <c r="N3215" s="106"/>
      <c r="S3215" s="37"/>
      <c r="T3215" s="38"/>
      <c r="U3215" s="38"/>
      <c r="V3215" s="78" t="s">
        <v>33</v>
      </c>
      <c r="W3215" s="106"/>
      <c r="X3215" s="106"/>
      <c r="Y3215" s="102"/>
    </row>
    <row r="3216">
      <c r="A3216" s="78" t="s">
        <v>239</v>
      </c>
      <c r="B3216" s="248"/>
      <c r="C3216" s="99">
        <v>44011.0</v>
      </c>
      <c r="E3216" s="78" t="s">
        <v>41</v>
      </c>
      <c r="F3216" s="37">
        <v>1.0</v>
      </c>
      <c r="G3216" s="78" t="s">
        <v>32</v>
      </c>
      <c r="H3216" s="78">
        <v>1.0</v>
      </c>
      <c r="I3216" s="78" t="s">
        <v>33</v>
      </c>
      <c r="J3216" s="78" t="s">
        <v>241</v>
      </c>
      <c r="L3216" s="78" t="s">
        <v>194</v>
      </c>
      <c r="M3216" s="46" t="s">
        <v>8337</v>
      </c>
      <c r="N3216" s="106"/>
      <c r="S3216" s="37"/>
      <c r="T3216" s="38"/>
      <c r="U3216" s="38"/>
      <c r="V3216" s="78" t="s">
        <v>3919</v>
      </c>
      <c r="W3216" s="106"/>
      <c r="X3216" s="106"/>
      <c r="Y3216" s="102"/>
    </row>
    <row r="3217">
      <c r="A3217" s="78" t="s">
        <v>239</v>
      </c>
      <c r="B3217" s="248"/>
      <c r="C3217" s="99">
        <v>44011.0</v>
      </c>
      <c r="E3217" s="78" t="s">
        <v>41</v>
      </c>
      <c r="F3217" s="37">
        <v>1.0</v>
      </c>
      <c r="G3217" s="78" t="s">
        <v>32</v>
      </c>
      <c r="H3217" s="78">
        <v>1.0</v>
      </c>
      <c r="I3217" s="78" t="s">
        <v>33</v>
      </c>
      <c r="J3217" s="78" t="s">
        <v>147</v>
      </c>
      <c r="L3217" s="78" t="s">
        <v>194</v>
      </c>
      <c r="M3217" s="46" t="s">
        <v>8338</v>
      </c>
      <c r="N3217" s="106"/>
      <c r="S3217" s="37"/>
      <c r="T3217" s="38"/>
      <c r="U3217" s="38"/>
      <c r="V3217" s="78" t="s">
        <v>33</v>
      </c>
      <c r="W3217" s="106"/>
      <c r="X3217" s="106"/>
      <c r="Y3217" s="102"/>
    </row>
    <row r="3218">
      <c r="A3218" s="78" t="s">
        <v>239</v>
      </c>
      <c r="B3218" s="248"/>
      <c r="C3218" s="99">
        <v>44011.0</v>
      </c>
      <c r="E3218" s="78" t="s">
        <v>41</v>
      </c>
      <c r="F3218" s="37">
        <v>1.0</v>
      </c>
      <c r="G3218" s="78" t="s">
        <v>32</v>
      </c>
      <c r="H3218" s="78">
        <v>1.0</v>
      </c>
      <c r="I3218" s="78" t="s">
        <v>33</v>
      </c>
      <c r="J3218" s="78" t="s">
        <v>147</v>
      </c>
      <c r="L3218" s="78" t="s">
        <v>194</v>
      </c>
      <c r="M3218" s="46" t="s">
        <v>8339</v>
      </c>
      <c r="N3218" s="106"/>
      <c r="S3218" s="37"/>
      <c r="T3218" s="38"/>
      <c r="U3218" s="38"/>
      <c r="V3218" s="78" t="s">
        <v>33</v>
      </c>
      <c r="W3218" s="106"/>
      <c r="X3218" s="106"/>
      <c r="Y3218" s="102"/>
    </row>
    <row r="3219">
      <c r="A3219" s="78" t="s">
        <v>8340</v>
      </c>
      <c r="B3219" s="248"/>
      <c r="C3219" s="99">
        <v>44012.0</v>
      </c>
      <c r="E3219" s="78" t="s">
        <v>41</v>
      </c>
      <c r="F3219" s="37">
        <v>1.0</v>
      </c>
      <c r="G3219" s="78" t="s">
        <v>32</v>
      </c>
      <c r="H3219" s="78">
        <v>1.0</v>
      </c>
      <c r="I3219" s="78" t="s">
        <v>33</v>
      </c>
      <c r="J3219" s="78" t="s">
        <v>147</v>
      </c>
      <c r="L3219" s="78" t="s">
        <v>69</v>
      </c>
      <c r="M3219" s="46" t="s">
        <v>8341</v>
      </c>
      <c r="N3219" s="106"/>
      <c r="S3219" s="37"/>
      <c r="T3219" s="38"/>
      <c r="U3219" s="38"/>
      <c r="V3219" s="78" t="s">
        <v>33</v>
      </c>
      <c r="W3219" s="106"/>
      <c r="X3219" s="106"/>
      <c r="Y3219" s="102"/>
    </row>
    <row r="3220">
      <c r="A3220" s="78" t="s">
        <v>8342</v>
      </c>
      <c r="B3220" s="248"/>
      <c r="C3220" s="99">
        <v>44012.0</v>
      </c>
      <c r="E3220" s="78" t="s">
        <v>41</v>
      </c>
      <c r="F3220" s="37">
        <v>1.0</v>
      </c>
      <c r="G3220" s="78" t="s">
        <v>32</v>
      </c>
      <c r="H3220" s="78">
        <v>1.0</v>
      </c>
      <c r="I3220" s="78" t="s">
        <v>33</v>
      </c>
      <c r="J3220" s="78" t="s">
        <v>228</v>
      </c>
      <c r="L3220" s="78" t="s">
        <v>69</v>
      </c>
      <c r="M3220" s="46" t="s">
        <v>8343</v>
      </c>
      <c r="N3220" s="106"/>
      <c r="S3220" s="37"/>
      <c r="T3220" s="38"/>
      <c r="U3220" s="38"/>
      <c r="V3220" s="78" t="s">
        <v>33</v>
      </c>
      <c r="W3220" s="106"/>
      <c r="X3220" s="106"/>
      <c r="Y3220" s="102"/>
    </row>
    <row r="3221">
      <c r="A3221" s="78" t="s">
        <v>8344</v>
      </c>
      <c r="B3221" s="248"/>
      <c r="C3221" s="100">
        <v>44013.0</v>
      </c>
      <c r="E3221" s="78" t="s">
        <v>41</v>
      </c>
      <c r="F3221" s="37">
        <v>1.0</v>
      </c>
      <c r="G3221" s="78" t="s">
        <v>32</v>
      </c>
      <c r="H3221" s="78">
        <v>1.0</v>
      </c>
      <c r="I3221" s="78" t="s">
        <v>33</v>
      </c>
      <c r="J3221" s="78" t="s">
        <v>147</v>
      </c>
      <c r="L3221" s="78" t="s">
        <v>76</v>
      </c>
      <c r="M3221" s="46" t="s">
        <v>8345</v>
      </c>
      <c r="N3221" s="106"/>
      <c r="S3221" s="37"/>
      <c r="T3221" s="38"/>
      <c r="U3221" s="38"/>
      <c r="V3221" s="78" t="s">
        <v>33</v>
      </c>
      <c r="W3221" s="106"/>
      <c r="X3221" s="106"/>
      <c r="Y3221" s="102"/>
    </row>
    <row r="3222">
      <c r="A3222" s="78" t="s">
        <v>8346</v>
      </c>
      <c r="B3222" s="248"/>
      <c r="C3222" s="100">
        <v>44013.0</v>
      </c>
      <c r="E3222" s="78" t="s">
        <v>41</v>
      </c>
      <c r="F3222" s="37">
        <v>1.0</v>
      </c>
      <c r="G3222" s="78" t="s">
        <v>32</v>
      </c>
      <c r="H3222" s="78">
        <v>1.0</v>
      </c>
      <c r="I3222" s="78" t="s">
        <v>33</v>
      </c>
      <c r="J3222" s="78" t="s">
        <v>75</v>
      </c>
      <c r="L3222" s="78" t="s">
        <v>76</v>
      </c>
      <c r="M3222" s="46" t="s">
        <v>8347</v>
      </c>
      <c r="N3222" s="106"/>
      <c r="S3222" s="37"/>
      <c r="T3222" s="38"/>
      <c r="U3222" s="38"/>
      <c r="V3222" s="78" t="s">
        <v>33</v>
      </c>
      <c r="W3222" s="106"/>
      <c r="X3222" s="106"/>
      <c r="Y3222" s="102"/>
    </row>
    <row r="3223">
      <c r="A3223" s="78" t="s">
        <v>8348</v>
      </c>
      <c r="B3223" s="248"/>
      <c r="C3223" s="99">
        <v>44013.0</v>
      </c>
      <c r="E3223" s="78" t="s">
        <v>31</v>
      </c>
      <c r="F3223" s="37">
        <v>1.0</v>
      </c>
      <c r="G3223" s="78" t="s">
        <v>32</v>
      </c>
      <c r="H3223" s="78">
        <v>1.0</v>
      </c>
      <c r="I3223" s="78" t="s">
        <v>33</v>
      </c>
      <c r="J3223" s="78" t="s">
        <v>124</v>
      </c>
      <c r="L3223" s="78" t="s">
        <v>8349</v>
      </c>
      <c r="M3223" s="46" t="s">
        <v>8350</v>
      </c>
      <c r="N3223" s="106"/>
      <c r="S3223" s="37"/>
      <c r="T3223" s="38"/>
      <c r="U3223" s="38"/>
      <c r="V3223" s="78" t="s">
        <v>33</v>
      </c>
      <c r="W3223" s="46" t="s">
        <v>8351</v>
      </c>
      <c r="X3223" s="46" t="s">
        <v>8352</v>
      </c>
      <c r="Y3223" s="102"/>
    </row>
    <row r="3224">
      <c r="A3224" s="78" t="s">
        <v>8353</v>
      </c>
      <c r="B3224" s="248"/>
      <c r="C3224" s="99">
        <v>44013.0</v>
      </c>
      <c r="E3224" s="78" t="s">
        <v>41</v>
      </c>
      <c r="F3224" s="37">
        <v>1.0</v>
      </c>
      <c r="G3224" s="78" t="s">
        <v>32</v>
      </c>
      <c r="H3224" s="78">
        <v>1.0</v>
      </c>
      <c r="I3224" s="78" t="s">
        <v>33</v>
      </c>
      <c r="J3224" s="78" t="s">
        <v>124</v>
      </c>
      <c r="L3224" s="78" t="s">
        <v>119</v>
      </c>
      <c r="M3224" s="46" t="s">
        <v>8354</v>
      </c>
      <c r="N3224" s="106"/>
      <c r="S3224" s="37"/>
      <c r="T3224" s="38"/>
      <c r="U3224" s="38"/>
      <c r="V3224" s="78" t="s">
        <v>33</v>
      </c>
      <c r="W3224" s="106"/>
      <c r="X3224" s="106"/>
      <c r="Y3224" s="102"/>
    </row>
    <row r="3225">
      <c r="A3225" s="78" t="s">
        <v>8355</v>
      </c>
      <c r="B3225" s="248"/>
      <c r="C3225" s="99">
        <v>44013.0</v>
      </c>
      <c r="E3225" s="78" t="s">
        <v>41</v>
      </c>
      <c r="F3225" s="37">
        <v>1.0</v>
      </c>
      <c r="G3225" s="78" t="s">
        <v>32</v>
      </c>
      <c r="H3225" s="78">
        <v>1.0</v>
      </c>
      <c r="I3225" s="78" t="s">
        <v>33</v>
      </c>
      <c r="J3225" s="78" t="s">
        <v>162</v>
      </c>
      <c r="L3225" s="78" t="s">
        <v>69</v>
      </c>
      <c r="M3225" s="46" t="s">
        <v>8356</v>
      </c>
      <c r="N3225" s="106"/>
      <c r="S3225" s="37"/>
      <c r="T3225" s="38"/>
      <c r="U3225" s="38"/>
      <c r="V3225" s="78" t="s">
        <v>33</v>
      </c>
      <c r="W3225" s="106"/>
      <c r="X3225" s="106"/>
      <c r="Y3225" s="102"/>
    </row>
    <row r="3226">
      <c r="A3226" s="78" t="s">
        <v>8357</v>
      </c>
      <c r="B3226" s="248"/>
      <c r="C3226" s="99">
        <v>44013.0</v>
      </c>
      <c r="E3226" s="78" t="s">
        <v>41</v>
      </c>
      <c r="F3226" s="37">
        <v>1.0</v>
      </c>
      <c r="G3226" s="78" t="s">
        <v>32</v>
      </c>
      <c r="H3226" s="78">
        <v>1.0</v>
      </c>
      <c r="I3226" s="78" t="s">
        <v>33</v>
      </c>
      <c r="J3226" s="78" t="s">
        <v>162</v>
      </c>
      <c r="L3226" s="78" t="s">
        <v>69</v>
      </c>
      <c r="M3226" s="106" t="s">
        <v>8356</v>
      </c>
      <c r="N3226" s="106"/>
      <c r="S3226" s="37"/>
      <c r="T3226" s="38"/>
      <c r="U3226" s="38"/>
      <c r="V3226" s="78" t="s">
        <v>33</v>
      </c>
      <c r="W3226" s="106"/>
      <c r="X3226" s="106"/>
      <c r="Y3226" s="102"/>
    </row>
    <row r="3227">
      <c r="A3227" s="78" t="s">
        <v>8358</v>
      </c>
      <c r="B3227" s="248"/>
      <c r="C3227" s="99">
        <v>44013.0</v>
      </c>
      <c r="E3227" s="78" t="s">
        <v>41</v>
      </c>
      <c r="F3227" s="37">
        <v>1.0</v>
      </c>
      <c r="G3227" s="78" t="s">
        <v>32</v>
      </c>
      <c r="H3227" s="78">
        <v>1.0</v>
      </c>
      <c r="I3227" s="78" t="s">
        <v>33</v>
      </c>
      <c r="J3227" s="78" t="s">
        <v>410</v>
      </c>
      <c r="L3227" s="78" t="s">
        <v>119</v>
      </c>
      <c r="M3227" s="106" t="s">
        <v>8359</v>
      </c>
      <c r="N3227" s="106"/>
      <c r="S3227" s="37"/>
      <c r="T3227" s="38"/>
      <c r="U3227" s="38"/>
      <c r="V3227" s="78" t="s">
        <v>33</v>
      </c>
      <c r="W3227" s="106"/>
      <c r="X3227" s="106"/>
      <c r="Y3227" s="102"/>
    </row>
    <row r="3228">
      <c r="A3228" s="78" t="s">
        <v>8360</v>
      </c>
      <c r="B3228" s="248"/>
      <c r="C3228" s="99">
        <v>44013.0</v>
      </c>
      <c r="E3228" s="78" t="s">
        <v>31</v>
      </c>
      <c r="F3228" s="37">
        <v>1.0</v>
      </c>
      <c r="G3228" s="78" t="s">
        <v>32</v>
      </c>
      <c r="H3228" s="78">
        <v>1.0</v>
      </c>
      <c r="I3228" s="78" t="s">
        <v>33</v>
      </c>
      <c r="J3228" s="78" t="s">
        <v>402</v>
      </c>
      <c r="L3228" s="78" t="s">
        <v>119</v>
      </c>
      <c r="M3228" s="282" t="s">
        <v>8361</v>
      </c>
      <c r="N3228" s="46" t="s">
        <v>8362</v>
      </c>
      <c r="S3228" s="37"/>
      <c r="T3228" s="38"/>
      <c r="U3228" s="38"/>
      <c r="V3228" s="78" t="s">
        <v>33</v>
      </c>
      <c r="W3228" s="46" t="s">
        <v>8363</v>
      </c>
      <c r="X3228" s="46" t="s">
        <v>8364</v>
      </c>
      <c r="Y3228" s="102"/>
    </row>
    <row r="3229">
      <c r="A3229" s="78" t="s">
        <v>8365</v>
      </c>
      <c r="B3229" s="248"/>
      <c r="C3229" s="99">
        <v>44014.0</v>
      </c>
      <c r="E3229" s="78" t="s">
        <v>41</v>
      </c>
      <c r="F3229" s="37">
        <v>1.0</v>
      </c>
      <c r="G3229" s="78" t="s">
        <v>32</v>
      </c>
      <c r="H3229" s="78">
        <v>1.0</v>
      </c>
      <c r="I3229" s="78" t="s">
        <v>33</v>
      </c>
      <c r="J3229" s="78" t="s">
        <v>318</v>
      </c>
      <c r="L3229" s="106" t="s">
        <v>790</v>
      </c>
      <c r="M3229" s="46" t="s">
        <v>8366</v>
      </c>
      <c r="N3229" s="106"/>
      <c r="S3229" s="37"/>
      <c r="T3229" s="38"/>
      <c r="U3229" s="38"/>
      <c r="V3229" s="78" t="s">
        <v>33</v>
      </c>
      <c r="W3229" s="106"/>
      <c r="X3229" s="106"/>
      <c r="Y3229" s="102"/>
    </row>
    <row r="3230">
      <c r="A3230" s="78" t="s">
        <v>8367</v>
      </c>
      <c r="B3230" s="248"/>
      <c r="C3230" s="99">
        <v>44014.0</v>
      </c>
      <c r="E3230" s="78" t="s">
        <v>31</v>
      </c>
      <c r="F3230" s="37">
        <v>1.0</v>
      </c>
      <c r="G3230" s="78">
        <v>1.0</v>
      </c>
      <c r="H3230" s="78">
        <v>1.0</v>
      </c>
      <c r="I3230" s="78" t="s">
        <v>33</v>
      </c>
      <c r="J3230" s="78" t="s">
        <v>111</v>
      </c>
      <c r="L3230" s="106" t="s">
        <v>2316</v>
      </c>
      <c r="M3230" s="46" t="s">
        <v>8368</v>
      </c>
      <c r="N3230" s="106"/>
      <c r="S3230" s="37"/>
      <c r="T3230" s="38"/>
      <c r="U3230" s="38"/>
      <c r="V3230" s="78" t="s">
        <v>33</v>
      </c>
      <c r="W3230" s="46" t="s">
        <v>8369</v>
      </c>
      <c r="X3230" s="46" t="s">
        <v>8370</v>
      </c>
      <c r="Y3230" s="102"/>
    </row>
    <row r="3231">
      <c r="A3231" s="78" t="s">
        <v>8371</v>
      </c>
      <c r="B3231" s="248"/>
      <c r="C3231" s="99">
        <v>44014.0</v>
      </c>
      <c r="E3231" s="78" t="s">
        <v>31</v>
      </c>
      <c r="F3231" s="37">
        <v>1.0</v>
      </c>
      <c r="G3231" s="78" t="s">
        <v>32</v>
      </c>
      <c r="H3231" s="78">
        <v>1.0</v>
      </c>
      <c r="I3231" s="78" t="s">
        <v>33</v>
      </c>
      <c r="J3231" s="78" t="s">
        <v>93</v>
      </c>
      <c r="L3231" s="106" t="s">
        <v>8372</v>
      </c>
      <c r="M3231" s="46" t="s">
        <v>8373</v>
      </c>
      <c r="N3231" s="46" t="s">
        <v>8374</v>
      </c>
      <c r="S3231" s="37"/>
      <c r="T3231" s="38"/>
      <c r="U3231" s="38"/>
      <c r="V3231" s="78" t="s">
        <v>33</v>
      </c>
      <c r="W3231" s="46" t="s">
        <v>8375</v>
      </c>
      <c r="X3231" s="46" t="s">
        <v>8376</v>
      </c>
      <c r="Y3231" s="102"/>
    </row>
    <row r="3232">
      <c r="A3232" s="78" t="s">
        <v>8377</v>
      </c>
      <c r="B3232" s="248"/>
      <c r="C3232" s="99">
        <v>44015.0</v>
      </c>
      <c r="E3232" s="78" t="s">
        <v>41</v>
      </c>
      <c r="F3232" s="37">
        <v>1.0</v>
      </c>
      <c r="G3232" s="78" t="s">
        <v>32</v>
      </c>
      <c r="H3232" s="78">
        <v>1.0</v>
      </c>
      <c r="I3232" s="78" t="s">
        <v>33</v>
      </c>
      <c r="J3232" s="78" t="s">
        <v>410</v>
      </c>
      <c r="L3232" s="106" t="s">
        <v>99</v>
      </c>
      <c r="M3232" s="46" t="s">
        <v>8378</v>
      </c>
      <c r="N3232" s="106"/>
      <c r="S3232" s="37"/>
      <c r="T3232" s="38"/>
      <c r="U3232" s="38"/>
      <c r="V3232" s="78" t="s">
        <v>33</v>
      </c>
      <c r="W3232" s="282" t="s">
        <v>8379</v>
      </c>
      <c r="X3232" s="106"/>
      <c r="Y3232" s="102"/>
    </row>
    <row r="3233">
      <c r="A3233" s="78" t="s">
        <v>239</v>
      </c>
      <c r="B3233" s="248"/>
      <c r="C3233" s="99">
        <v>44016.0</v>
      </c>
      <c r="E3233" s="78" t="s">
        <v>41</v>
      </c>
      <c r="F3233" s="37">
        <v>1.0</v>
      </c>
      <c r="G3233" s="78" t="s">
        <v>32</v>
      </c>
      <c r="H3233" s="78">
        <v>1.0</v>
      </c>
      <c r="I3233" s="78" t="s">
        <v>33</v>
      </c>
      <c r="J3233" s="78" t="s">
        <v>147</v>
      </c>
      <c r="L3233" s="106" t="s">
        <v>194</v>
      </c>
      <c r="M3233" s="46" t="s">
        <v>8380</v>
      </c>
      <c r="N3233" s="106"/>
      <c r="S3233" s="37"/>
      <c r="T3233" s="38"/>
      <c r="U3233" s="38"/>
      <c r="V3233" s="78" t="s">
        <v>33</v>
      </c>
      <c r="W3233" s="106"/>
      <c r="X3233" s="106"/>
      <c r="Y3233" s="102"/>
    </row>
    <row r="3234">
      <c r="A3234" s="78" t="s">
        <v>239</v>
      </c>
      <c r="B3234" s="248"/>
      <c r="C3234" s="99">
        <v>44017.0</v>
      </c>
      <c r="E3234" s="78" t="s">
        <v>41</v>
      </c>
      <c r="F3234" s="37">
        <v>4.0</v>
      </c>
      <c r="G3234" s="78" t="s">
        <v>32</v>
      </c>
      <c r="H3234" s="78">
        <v>4.0</v>
      </c>
      <c r="I3234" s="78" t="s">
        <v>33</v>
      </c>
      <c r="J3234" s="78" t="s">
        <v>241</v>
      </c>
      <c r="L3234" s="106" t="s">
        <v>194</v>
      </c>
      <c r="M3234" s="46" t="s">
        <v>8381</v>
      </c>
      <c r="N3234" s="106"/>
      <c r="S3234" s="37"/>
      <c r="T3234" s="38"/>
      <c r="U3234" s="38"/>
      <c r="V3234" s="78" t="s">
        <v>33</v>
      </c>
      <c r="W3234" s="106"/>
      <c r="X3234" s="106"/>
      <c r="Y3234" s="102"/>
    </row>
    <row r="3235">
      <c r="A3235" s="78" t="s">
        <v>239</v>
      </c>
      <c r="B3235" s="248"/>
      <c r="C3235" s="99">
        <v>44017.0</v>
      </c>
      <c r="E3235" s="78" t="s">
        <v>41</v>
      </c>
      <c r="F3235" s="37">
        <v>1.0</v>
      </c>
      <c r="G3235" s="78" t="s">
        <v>32</v>
      </c>
      <c r="H3235" s="78">
        <v>1.0</v>
      </c>
      <c r="I3235" s="78" t="s">
        <v>33</v>
      </c>
      <c r="J3235" s="78" t="s">
        <v>147</v>
      </c>
      <c r="L3235" s="106" t="s">
        <v>194</v>
      </c>
      <c r="M3235" s="46" t="s">
        <v>8382</v>
      </c>
      <c r="N3235" s="106"/>
      <c r="S3235" s="37"/>
      <c r="T3235" s="38"/>
      <c r="U3235" s="38"/>
      <c r="V3235" s="78" t="s">
        <v>33</v>
      </c>
      <c r="W3235" s="106"/>
      <c r="X3235" s="106"/>
      <c r="Y3235" s="102"/>
    </row>
    <row r="3236">
      <c r="A3236" s="78" t="s">
        <v>239</v>
      </c>
      <c r="B3236" s="248"/>
      <c r="C3236" s="99">
        <v>44018.0</v>
      </c>
      <c r="E3236" s="78" t="s">
        <v>41</v>
      </c>
      <c r="F3236" s="37">
        <v>1.0</v>
      </c>
      <c r="G3236" s="78" t="s">
        <v>32</v>
      </c>
      <c r="H3236" s="78">
        <v>1.0</v>
      </c>
      <c r="I3236" s="78" t="s">
        <v>33</v>
      </c>
      <c r="J3236" s="78" t="s">
        <v>241</v>
      </c>
      <c r="L3236" s="106" t="s">
        <v>194</v>
      </c>
      <c r="M3236" s="46" t="s">
        <v>8383</v>
      </c>
      <c r="N3236" s="106"/>
      <c r="S3236" s="37"/>
      <c r="T3236" s="38"/>
      <c r="U3236" s="38"/>
      <c r="V3236" s="78" t="s">
        <v>33</v>
      </c>
      <c r="W3236" s="106"/>
      <c r="X3236" s="106"/>
      <c r="Y3236" s="102"/>
    </row>
    <row r="3237">
      <c r="A3237" s="78" t="s">
        <v>239</v>
      </c>
      <c r="B3237" s="248"/>
      <c r="C3237" s="99">
        <v>44018.0</v>
      </c>
      <c r="E3237" s="78" t="s">
        <v>31</v>
      </c>
      <c r="F3237" s="37">
        <v>1.0</v>
      </c>
      <c r="G3237" s="78" t="s">
        <v>32</v>
      </c>
      <c r="H3237" s="78">
        <v>1.0</v>
      </c>
      <c r="I3237" s="78" t="s">
        <v>33</v>
      </c>
      <c r="J3237" s="78" t="s">
        <v>111</v>
      </c>
      <c r="L3237" s="106" t="s">
        <v>194</v>
      </c>
      <c r="M3237" s="46" t="s">
        <v>8384</v>
      </c>
      <c r="N3237" s="106"/>
      <c r="S3237" s="37"/>
      <c r="T3237" s="38"/>
      <c r="U3237" s="38"/>
      <c r="V3237" s="78" t="s">
        <v>33</v>
      </c>
      <c r="W3237" s="46" t="s">
        <v>8385</v>
      </c>
      <c r="X3237" s="46" t="s">
        <v>8386</v>
      </c>
      <c r="Y3237" s="102"/>
    </row>
    <row r="3238">
      <c r="A3238" s="78" t="s">
        <v>8387</v>
      </c>
      <c r="B3238" s="248"/>
      <c r="C3238" s="99">
        <v>44018.0</v>
      </c>
      <c r="E3238" s="78" t="s">
        <v>41</v>
      </c>
      <c r="F3238" s="37">
        <v>1.0</v>
      </c>
      <c r="G3238" s="78" t="s">
        <v>32</v>
      </c>
      <c r="H3238" s="78">
        <v>1.0</v>
      </c>
      <c r="I3238" s="78" t="s">
        <v>33</v>
      </c>
      <c r="J3238" s="78" t="s">
        <v>222</v>
      </c>
      <c r="L3238" s="106" t="s">
        <v>8121</v>
      </c>
      <c r="M3238" s="46" t="s">
        <v>8388</v>
      </c>
      <c r="N3238" s="106"/>
      <c r="S3238" s="37"/>
      <c r="T3238" s="38"/>
      <c r="U3238" s="38"/>
      <c r="V3238" s="78" t="s">
        <v>33</v>
      </c>
      <c r="W3238" s="106"/>
      <c r="X3238" s="106"/>
      <c r="Y3238" s="102"/>
    </row>
    <row r="3239">
      <c r="A3239" s="78" t="s">
        <v>8389</v>
      </c>
      <c r="B3239" s="248"/>
      <c r="C3239" s="99">
        <v>44019.0</v>
      </c>
      <c r="E3239" s="78" t="s">
        <v>41</v>
      </c>
      <c r="F3239" s="37">
        <v>1.0</v>
      </c>
      <c r="G3239" s="78" t="s">
        <v>32</v>
      </c>
      <c r="H3239" s="78">
        <v>1.0</v>
      </c>
      <c r="I3239" s="78" t="s">
        <v>33</v>
      </c>
      <c r="J3239" s="78" t="s">
        <v>115</v>
      </c>
      <c r="L3239" s="106" t="s">
        <v>119</v>
      </c>
      <c r="M3239" s="46" t="s">
        <v>8390</v>
      </c>
      <c r="N3239" s="106"/>
      <c r="S3239" s="37"/>
      <c r="T3239" s="38"/>
      <c r="U3239" s="38"/>
      <c r="V3239" s="78" t="s">
        <v>33</v>
      </c>
      <c r="W3239" s="106"/>
      <c r="X3239" s="106"/>
      <c r="Y3239" s="102"/>
    </row>
    <row r="3240">
      <c r="A3240" s="78" t="s">
        <v>239</v>
      </c>
      <c r="B3240" s="248"/>
      <c r="C3240" s="99">
        <v>44020.0</v>
      </c>
      <c r="E3240" s="78" t="s">
        <v>41</v>
      </c>
      <c r="F3240" s="37">
        <v>1.0</v>
      </c>
      <c r="G3240" s="78" t="s">
        <v>32</v>
      </c>
      <c r="H3240" s="78">
        <v>1.0</v>
      </c>
      <c r="I3240" s="78" t="s">
        <v>33</v>
      </c>
      <c r="J3240" s="78" t="s">
        <v>241</v>
      </c>
      <c r="L3240" s="106" t="s">
        <v>194</v>
      </c>
      <c r="M3240" s="46" t="s">
        <v>8391</v>
      </c>
      <c r="N3240" s="106"/>
      <c r="S3240" s="37"/>
      <c r="T3240" s="38"/>
      <c r="U3240" s="38"/>
      <c r="V3240" s="78" t="s">
        <v>33</v>
      </c>
      <c r="W3240" s="106"/>
      <c r="X3240" s="106"/>
      <c r="Y3240" s="102"/>
    </row>
    <row r="3241">
      <c r="A3241" s="78" t="s">
        <v>239</v>
      </c>
      <c r="B3241" s="248"/>
      <c r="C3241" s="99">
        <v>44020.0</v>
      </c>
      <c r="E3241" s="78" t="s">
        <v>41</v>
      </c>
      <c r="F3241" s="37">
        <v>1.0</v>
      </c>
      <c r="G3241" s="78" t="s">
        <v>32</v>
      </c>
      <c r="H3241" s="78">
        <v>1.0</v>
      </c>
      <c r="I3241" s="78" t="s">
        <v>33</v>
      </c>
      <c r="J3241" s="78" t="s">
        <v>147</v>
      </c>
      <c r="L3241" s="106" t="s">
        <v>194</v>
      </c>
      <c r="M3241" s="46" t="s">
        <v>8392</v>
      </c>
      <c r="N3241" s="106"/>
      <c r="S3241" s="37"/>
      <c r="T3241" s="38"/>
      <c r="U3241" s="38"/>
      <c r="V3241" s="78" t="s">
        <v>33</v>
      </c>
      <c r="W3241" s="106"/>
      <c r="X3241" s="106"/>
      <c r="Y3241" s="102"/>
    </row>
    <row r="3242">
      <c r="A3242" s="78" t="s">
        <v>8393</v>
      </c>
      <c r="B3242" s="248"/>
      <c r="C3242" s="99">
        <v>44020.0</v>
      </c>
      <c r="E3242" s="78" t="s">
        <v>31</v>
      </c>
      <c r="F3242" s="37">
        <v>3.0</v>
      </c>
      <c r="G3242" s="78">
        <v>1.0</v>
      </c>
      <c r="H3242" s="78">
        <v>1.0</v>
      </c>
      <c r="I3242" s="78" t="s">
        <v>33</v>
      </c>
      <c r="J3242" s="78" t="s">
        <v>283</v>
      </c>
      <c r="L3242" s="106" t="s">
        <v>35</v>
      </c>
      <c r="M3242" s="46" t="s">
        <v>8394</v>
      </c>
      <c r="N3242" s="106"/>
      <c r="S3242" s="37"/>
      <c r="T3242" s="38"/>
      <c r="U3242" s="38"/>
      <c r="V3242" s="78" t="s">
        <v>33</v>
      </c>
      <c r="W3242" s="46" t="s">
        <v>8395</v>
      </c>
      <c r="X3242" s="46" t="s">
        <v>8396</v>
      </c>
      <c r="Y3242" s="102"/>
    </row>
    <row r="3243">
      <c r="A3243" s="78" t="s">
        <v>8397</v>
      </c>
      <c r="B3243" s="248"/>
      <c r="C3243" s="99">
        <v>44020.0</v>
      </c>
      <c r="E3243" s="78" t="s">
        <v>41</v>
      </c>
      <c r="F3243" s="37">
        <v>1.0</v>
      </c>
      <c r="G3243" s="78">
        <v>2.0</v>
      </c>
      <c r="H3243" s="78">
        <v>2.0</v>
      </c>
      <c r="I3243" s="78" t="s">
        <v>33</v>
      </c>
      <c r="J3243" s="78" t="s">
        <v>222</v>
      </c>
      <c r="L3243" s="106" t="s">
        <v>7654</v>
      </c>
      <c r="M3243" s="46" t="s">
        <v>8398</v>
      </c>
      <c r="N3243" s="106"/>
      <c r="S3243" s="37"/>
      <c r="T3243" s="38"/>
      <c r="U3243" s="38"/>
      <c r="V3243" s="78" t="s">
        <v>33</v>
      </c>
      <c r="W3243" s="106"/>
      <c r="X3243" s="106"/>
      <c r="Y3243" s="102"/>
    </row>
    <row r="3244">
      <c r="A3244" s="78" t="s">
        <v>8399</v>
      </c>
      <c r="B3244" s="248"/>
      <c r="C3244" s="99">
        <v>44020.0</v>
      </c>
      <c r="E3244" s="78" t="s">
        <v>41</v>
      </c>
      <c r="F3244" s="37">
        <v>1.0</v>
      </c>
      <c r="G3244" s="78" t="s">
        <v>32</v>
      </c>
      <c r="H3244" s="78">
        <v>1.0</v>
      </c>
      <c r="I3244" s="78" t="s">
        <v>33</v>
      </c>
      <c r="J3244" s="78" t="s">
        <v>222</v>
      </c>
      <c r="L3244" s="106" t="s">
        <v>119</v>
      </c>
      <c r="M3244" s="46" t="s">
        <v>8400</v>
      </c>
      <c r="N3244" s="106"/>
      <c r="S3244" s="37"/>
      <c r="T3244" s="38"/>
      <c r="U3244" s="38"/>
      <c r="V3244" s="78" t="s">
        <v>33</v>
      </c>
      <c r="W3244" s="106"/>
      <c r="X3244" s="106"/>
      <c r="Y3244" s="102"/>
    </row>
    <row r="3245">
      <c r="A3245" s="78" t="s">
        <v>8401</v>
      </c>
      <c r="B3245" s="248"/>
      <c r="C3245" s="99">
        <v>44020.0</v>
      </c>
      <c r="E3245" s="78" t="s">
        <v>41</v>
      </c>
      <c r="F3245" s="37">
        <v>1.0</v>
      </c>
      <c r="G3245" s="78">
        <v>3.0</v>
      </c>
      <c r="H3245" s="78">
        <v>3.0</v>
      </c>
      <c r="I3245" s="78" t="s">
        <v>33</v>
      </c>
      <c r="J3245" s="78" t="s">
        <v>410</v>
      </c>
      <c r="L3245" s="106" t="s">
        <v>1203</v>
      </c>
      <c r="M3245" s="46" t="s">
        <v>8402</v>
      </c>
      <c r="N3245" s="106"/>
      <c r="S3245" s="37"/>
      <c r="T3245" s="38"/>
      <c r="U3245" s="38"/>
      <c r="V3245" s="78" t="s">
        <v>33</v>
      </c>
      <c r="W3245" s="106"/>
      <c r="X3245" s="106"/>
      <c r="Y3245" s="102"/>
    </row>
    <row r="3246">
      <c r="A3246" s="78" t="s">
        <v>8403</v>
      </c>
      <c r="B3246" s="248"/>
      <c r="C3246" s="99">
        <v>44021.0</v>
      </c>
      <c r="E3246" s="78" t="s">
        <v>41</v>
      </c>
      <c r="F3246" s="37">
        <v>1.0</v>
      </c>
      <c r="G3246" s="78">
        <v>2.0</v>
      </c>
      <c r="H3246" s="78">
        <v>2.0</v>
      </c>
      <c r="I3246" s="78" t="s">
        <v>33</v>
      </c>
      <c r="J3246" s="78" t="s">
        <v>47</v>
      </c>
      <c r="L3246" s="106" t="s">
        <v>7654</v>
      </c>
      <c r="M3246" s="46" t="s">
        <v>8404</v>
      </c>
      <c r="N3246" s="106"/>
      <c r="S3246" s="37"/>
      <c r="T3246" s="38"/>
      <c r="U3246" s="38"/>
      <c r="V3246" s="78" t="s">
        <v>33</v>
      </c>
      <c r="W3246" s="106"/>
      <c r="X3246" s="106"/>
      <c r="Y3246" s="102"/>
    </row>
    <row r="3247">
      <c r="A3247" s="78" t="s">
        <v>8405</v>
      </c>
      <c r="B3247" s="248"/>
      <c r="C3247" s="99">
        <v>44022.0</v>
      </c>
      <c r="E3247" s="78" t="s">
        <v>41</v>
      </c>
      <c r="F3247" s="37">
        <v>1.0</v>
      </c>
      <c r="G3247" s="78" t="s">
        <v>32</v>
      </c>
      <c r="H3247" s="78">
        <v>1.0</v>
      </c>
      <c r="I3247" s="78" t="s">
        <v>33</v>
      </c>
      <c r="J3247" s="78" t="s">
        <v>184</v>
      </c>
      <c r="L3247" s="106" t="s">
        <v>69</v>
      </c>
      <c r="M3247" s="46" t="s">
        <v>8406</v>
      </c>
      <c r="N3247" s="106"/>
      <c r="S3247" s="37"/>
      <c r="T3247" s="38"/>
      <c r="U3247" s="38"/>
      <c r="V3247" s="78" t="s">
        <v>33</v>
      </c>
      <c r="W3247" s="106"/>
      <c r="X3247" s="106"/>
      <c r="Y3247" s="102"/>
    </row>
    <row r="3248">
      <c r="A3248" s="78" t="s">
        <v>8407</v>
      </c>
      <c r="B3248" s="248"/>
      <c r="C3248" s="99">
        <v>44022.0</v>
      </c>
      <c r="E3248" s="78" t="s">
        <v>31</v>
      </c>
      <c r="F3248" s="37">
        <v>1.0</v>
      </c>
      <c r="G3248" s="78">
        <v>2.0</v>
      </c>
      <c r="H3248" s="78">
        <v>2.0</v>
      </c>
      <c r="I3248" s="78" t="s">
        <v>33</v>
      </c>
      <c r="J3248" s="78" t="s">
        <v>440</v>
      </c>
      <c r="L3248" s="106" t="s">
        <v>76</v>
      </c>
      <c r="M3248" s="46" t="s">
        <v>8408</v>
      </c>
      <c r="N3248" s="46" t="s">
        <v>8409</v>
      </c>
      <c r="S3248" s="37"/>
      <c r="T3248" s="38"/>
      <c r="U3248" s="38"/>
      <c r="V3248" s="78" t="s">
        <v>33</v>
      </c>
      <c r="W3248" s="46" t="s">
        <v>8410</v>
      </c>
      <c r="X3248" s="46" t="s">
        <v>8411</v>
      </c>
      <c r="Y3248" s="102"/>
    </row>
    <row r="3249">
      <c r="A3249" s="78" t="s">
        <v>8412</v>
      </c>
      <c r="B3249" s="248"/>
      <c r="C3249" s="99">
        <v>44022.0</v>
      </c>
      <c r="E3249" s="78" t="s">
        <v>41</v>
      </c>
      <c r="F3249" s="37">
        <v>1.0</v>
      </c>
      <c r="G3249" s="78" t="s">
        <v>32</v>
      </c>
      <c r="H3249" s="78">
        <v>1.0</v>
      </c>
      <c r="I3249" s="78" t="s">
        <v>33</v>
      </c>
      <c r="J3249" s="78" t="s">
        <v>184</v>
      </c>
      <c r="L3249" s="106" t="s">
        <v>69</v>
      </c>
      <c r="M3249" s="46" t="s">
        <v>8413</v>
      </c>
      <c r="N3249" s="106"/>
      <c r="S3249" s="37"/>
      <c r="T3249" s="38"/>
      <c r="U3249" s="38"/>
      <c r="V3249" s="78" t="s">
        <v>33</v>
      </c>
      <c r="W3249" s="106"/>
      <c r="X3249" s="106"/>
      <c r="Y3249" s="102"/>
    </row>
    <row r="3250">
      <c r="A3250" s="78" t="s">
        <v>8414</v>
      </c>
      <c r="B3250" s="248"/>
      <c r="C3250" s="99">
        <v>44022.0</v>
      </c>
      <c r="E3250" s="78" t="s">
        <v>41</v>
      </c>
      <c r="F3250" s="37">
        <v>1.0</v>
      </c>
      <c r="G3250" s="78" t="s">
        <v>32</v>
      </c>
      <c r="H3250" s="78">
        <v>1.0</v>
      </c>
      <c r="I3250" s="78" t="s">
        <v>33</v>
      </c>
      <c r="J3250" s="78" t="s">
        <v>184</v>
      </c>
      <c r="L3250" s="106" t="s">
        <v>69</v>
      </c>
      <c r="M3250" s="106" t="s">
        <v>8415</v>
      </c>
      <c r="N3250" s="106"/>
      <c r="S3250" s="37"/>
      <c r="T3250" s="38"/>
      <c r="U3250" s="38"/>
      <c r="V3250" s="78" t="s">
        <v>33</v>
      </c>
      <c r="W3250" s="106"/>
      <c r="X3250" s="106"/>
      <c r="Y3250" s="102"/>
    </row>
    <row r="3251">
      <c r="A3251" s="78" t="s">
        <v>8416</v>
      </c>
      <c r="B3251" s="248"/>
      <c r="C3251" s="99">
        <v>44022.0</v>
      </c>
      <c r="E3251" s="78" t="s">
        <v>41</v>
      </c>
      <c r="F3251" s="37">
        <v>1.0</v>
      </c>
      <c r="G3251" s="78" t="s">
        <v>32</v>
      </c>
      <c r="H3251" s="78">
        <v>1.0</v>
      </c>
      <c r="I3251" s="78" t="s">
        <v>33</v>
      </c>
      <c r="J3251" s="78" t="s">
        <v>184</v>
      </c>
      <c r="L3251" s="106" t="s">
        <v>69</v>
      </c>
      <c r="M3251" s="106" t="s">
        <v>8406</v>
      </c>
      <c r="N3251" s="106"/>
      <c r="S3251" s="37"/>
      <c r="T3251" s="38"/>
      <c r="U3251" s="38"/>
      <c r="V3251" s="78" t="s">
        <v>33</v>
      </c>
      <c r="W3251" s="106"/>
      <c r="X3251" s="106"/>
      <c r="Y3251" s="102"/>
    </row>
    <row r="3252">
      <c r="A3252" s="78" t="s">
        <v>8417</v>
      </c>
      <c r="B3252" s="248"/>
      <c r="C3252" s="99">
        <v>44022.0</v>
      </c>
      <c r="E3252" s="78" t="s">
        <v>41</v>
      </c>
      <c r="F3252" s="37">
        <v>1.0</v>
      </c>
      <c r="G3252" s="78" t="s">
        <v>32</v>
      </c>
      <c r="H3252" s="78">
        <v>1.0</v>
      </c>
      <c r="I3252" s="78" t="s">
        <v>33</v>
      </c>
      <c r="J3252" s="78" t="s">
        <v>61</v>
      </c>
      <c r="L3252" s="106" t="s">
        <v>119</v>
      </c>
      <c r="M3252" s="46" t="s">
        <v>8418</v>
      </c>
      <c r="N3252" s="106"/>
      <c r="S3252" s="37"/>
      <c r="T3252" s="38"/>
      <c r="U3252" s="38"/>
      <c r="V3252" s="78" t="s">
        <v>33</v>
      </c>
      <c r="W3252" s="106"/>
      <c r="X3252" s="106"/>
      <c r="Y3252" s="102"/>
    </row>
    <row r="3253">
      <c r="A3253" s="78" t="s">
        <v>8419</v>
      </c>
      <c r="B3253" s="248"/>
      <c r="C3253" s="99">
        <v>44022.0</v>
      </c>
      <c r="E3253" s="78" t="s">
        <v>41</v>
      </c>
      <c r="F3253" s="37">
        <v>1.0</v>
      </c>
      <c r="G3253" s="78" t="s">
        <v>32</v>
      </c>
      <c r="H3253" s="78">
        <v>1.0</v>
      </c>
      <c r="I3253" s="78" t="s">
        <v>33</v>
      </c>
      <c r="J3253" s="78" t="s">
        <v>524</v>
      </c>
      <c r="L3253" s="106" t="s">
        <v>76</v>
      </c>
      <c r="M3253" s="46" t="s">
        <v>8420</v>
      </c>
      <c r="N3253" s="106"/>
      <c r="S3253" s="37"/>
      <c r="T3253" s="38"/>
      <c r="U3253" s="38"/>
      <c r="V3253" s="78" t="s">
        <v>33</v>
      </c>
      <c r="W3253" s="106"/>
      <c r="X3253" s="106"/>
      <c r="Y3253" s="102"/>
    </row>
    <row r="3254">
      <c r="A3254" s="78" t="s">
        <v>8421</v>
      </c>
      <c r="B3254" s="248"/>
      <c r="C3254" s="99">
        <v>44022.0</v>
      </c>
      <c r="E3254" s="78" t="s">
        <v>41</v>
      </c>
      <c r="F3254" s="37">
        <v>1.0</v>
      </c>
      <c r="G3254" s="78" t="s">
        <v>32</v>
      </c>
      <c r="H3254" s="78">
        <v>1.0</v>
      </c>
      <c r="I3254" s="78" t="s">
        <v>33</v>
      </c>
      <c r="J3254" s="78" t="s">
        <v>85</v>
      </c>
      <c r="L3254" s="106" t="s">
        <v>8422</v>
      </c>
      <c r="M3254" s="46" t="s">
        <v>8423</v>
      </c>
      <c r="N3254" s="106"/>
      <c r="S3254" s="37"/>
      <c r="T3254" s="38"/>
      <c r="U3254" s="38"/>
      <c r="V3254" s="78" t="s">
        <v>33</v>
      </c>
      <c r="W3254" s="46" t="s">
        <v>8424</v>
      </c>
      <c r="X3254" s="106"/>
      <c r="Y3254" s="102"/>
    </row>
    <row r="3255">
      <c r="A3255" s="78" t="s">
        <v>239</v>
      </c>
      <c r="B3255" s="248"/>
      <c r="C3255" s="99">
        <v>44022.0</v>
      </c>
      <c r="E3255" s="78" t="s">
        <v>41</v>
      </c>
      <c r="F3255" s="37">
        <v>1.0</v>
      </c>
      <c r="G3255" s="78" t="s">
        <v>32</v>
      </c>
      <c r="H3255" s="78">
        <v>1.0</v>
      </c>
      <c r="I3255" s="78" t="s">
        <v>33</v>
      </c>
      <c r="J3255" s="78" t="s">
        <v>241</v>
      </c>
      <c r="L3255" s="106" t="s">
        <v>194</v>
      </c>
      <c r="M3255" s="46" t="s">
        <v>8425</v>
      </c>
      <c r="N3255" s="106"/>
      <c r="S3255" s="37"/>
      <c r="T3255" s="38"/>
      <c r="U3255" s="38"/>
      <c r="V3255" s="78" t="s">
        <v>33</v>
      </c>
      <c r="W3255" s="106"/>
      <c r="X3255" s="106"/>
      <c r="Y3255" s="102"/>
    </row>
    <row r="3256">
      <c r="A3256" s="78" t="s">
        <v>239</v>
      </c>
      <c r="B3256" s="248"/>
      <c r="C3256" s="99">
        <v>44023.0</v>
      </c>
      <c r="E3256" s="78" t="s">
        <v>41</v>
      </c>
      <c r="F3256" s="37">
        <v>1.0</v>
      </c>
      <c r="G3256" s="78" t="s">
        <v>32</v>
      </c>
      <c r="H3256" s="78">
        <v>1.0</v>
      </c>
      <c r="I3256" s="78" t="s">
        <v>33</v>
      </c>
      <c r="J3256" s="78" t="s">
        <v>241</v>
      </c>
      <c r="L3256" s="106" t="s">
        <v>194</v>
      </c>
      <c r="M3256" s="46" t="s">
        <v>8425</v>
      </c>
      <c r="N3256" s="106"/>
      <c r="S3256" s="37"/>
      <c r="T3256" s="38"/>
      <c r="U3256" s="38"/>
      <c r="V3256" s="78" t="s">
        <v>33</v>
      </c>
      <c r="W3256" s="106"/>
      <c r="X3256" s="106"/>
      <c r="Y3256" s="102"/>
    </row>
    <row r="3257">
      <c r="A3257" s="78" t="s">
        <v>239</v>
      </c>
      <c r="B3257" s="248"/>
      <c r="C3257" s="99">
        <v>44023.0</v>
      </c>
      <c r="E3257" s="78" t="s">
        <v>41</v>
      </c>
      <c r="F3257" s="37">
        <v>1.0</v>
      </c>
      <c r="G3257" s="78" t="s">
        <v>32</v>
      </c>
      <c r="H3257" s="78">
        <v>1.0</v>
      </c>
      <c r="I3257" s="78" t="s">
        <v>33</v>
      </c>
      <c r="J3257" s="78" t="s">
        <v>241</v>
      </c>
      <c r="L3257" s="106" t="s">
        <v>194</v>
      </c>
      <c r="M3257" s="106" t="s">
        <v>8425</v>
      </c>
      <c r="N3257" s="106"/>
      <c r="S3257" s="37"/>
      <c r="T3257" s="38"/>
      <c r="U3257" s="38"/>
      <c r="V3257" s="78" t="s">
        <v>33</v>
      </c>
      <c r="W3257" s="106"/>
      <c r="X3257" s="106"/>
      <c r="Y3257" s="102"/>
    </row>
    <row r="3258">
      <c r="A3258" s="78" t="s">
        <v>239</v>
      </c>
      <c r="B3258" s="248"/>
      <c r="C3258" s="99">
        <v>44024.0</v>
      </c>
      <c r="E3258" s="78" t="s">
        <v>41</v>
      </c>
      <c r="F3258" s="37">
        <v>1.0</v>
      </c>
      <c r="G3258" s="78" t="s">
        <v>32</v>
      </c>
      <c r="H3258" s="78">
        <v>1.0</v>
      </c>
      <c r="I3258" s="78" t="s">
        <v>33</v>
      </c>
      <c r="J3258" s="78" t="s">
        <v>241</v>
      </c>
      <c r="L3258" s="106" t="s">
        <v>194</v>
      </c>
      <c r="M3258" s="106" t="s">
        <v>8425</v>
      </c>
      <c r="N3258" s="106"/>
      <c r="S3258" s="37"/>
      <c r="T3258" s="38"/>
      <c r="U3258" s="38"/>
      <c r="V3258" s="78" t="s">
        <v>33</v>
      </c>
      <c r="W3258" s="106"/>
      <c r="X3258" s="106"/>
      <c r="Y3258" s="102"/>
    </row>
    <row r="3259">
      <c r="A3259" s="78" t="s">
        <v>239</v>
      </c>
      <c r="B3259" s="248"/>
      <c r="C3259" s="99">
        <v>44024.0</v>
      </c>
      <c r="E3259" s="78" t="s">
        <v>41</v>
      </c>
      <c r="F3259" s="37">
        <v>1.0</v>
      </c>
      <c r="G3259" s="78" t="s">
        <v>32</v>
      </c>
      <c r="H3259" s="78">
        <v>1.0</v>
      </c>
      <c r="I3259" s="78" t="s">
        <v>33</v>
      </c>
      <c r="J3259" s="78" t="s">
        <v>241</v>
      </c>
      <c r="L3259" s="106" t="s">
        <v>194</v>
      </c>
      <c r="M3259" s="46" t="s">
        <v>8426</v>
      </c>
      <c r="N3259" s="106"/>
      <c r="S3259" s="37"/>
      <c r="T3259" s="38"/>
      <c r="U3259" s="38"/>
      <c r="V3259" s="78" t="s">
        <v>33</v>
      </c>
      <c r="W3259" s="106"/>
      <c r="X3259" s="106"/>
      <c r="Y3259" s="102"/>
    </row>
    <row r="3260">
      <c r="A3260" s="78" t="s">
        <v>239</v>
      </c>
      <c r="B3260" s="248"/>
      <c r="C3260" s="99">
        <v>44025.0</v>
      </c>
      <c r="E3260" s="78" t="s">
        <v>41</v>
      </c>
      <c r="F3260" s="37">
        <v>2.0</v>
      </c>
      <c r="G3260" s="78" t="s">
        <v>32</v>
      </c>
      <c r="H3260" s="78">
        <v>1.0</v>
      </c>
      <c r="I3260" s="78" t="s">
        <v>33</v>
      </c>
      <c r="J3260" s="78" t="s">
        <v>147</v>
      </c>
      <c r="L3260" s="106" t="s">
        <v>194</v>
      </c>
      <c r="M3260" s="46" t="s">
        <v>8427</v>
      </c>
      <c r="N3260" s="106"/>
      <c r="S3260" s="37"/>
      <c r="T3260" s="38"/>
      <c r="U3260" s="38"/>
      <c r="V3260" s="78" t="s">
        <v>33</v>
      </c>
      <c r="W3260" s="106"/>
      <c r="X3260" s="106"/>
      <c r="Y3260" s="102"/>
    </row>
    <row r="3261">
      <c r="A3261" s="78" t="s">
        <v>8428</v>
      </c>
      <c r="B3261" s="248"/>
      <c r="C3261" s="99">
        <v>44025.0</v>
      </c>
      <c r="E3261" s="78" t="s">
        <v>31</v>
      </c>
      <c r="F3261" s="37">
        <v>1.0</v>
      </c>
      <c r="G3261" s="78">
        <v>2.0</v>
      </c>
      <c r="H3261" s="78">
        <v>2.0</v>
      </c>
      <c r="I3261" s="78" t="s">
        <v>33</v>
      </c>
      <c r="J3261" s="78" t="s">
        <v>111</v>
      </c>
      <c r="L3261" s="106" t="s">
        <v>2316</v>
      </c>
      <c r="M3261" s="46" t="s">
        <v>8429</v>
      </c>
      <c r="N3261" s="106"/>
      <c r="S3261" s="37"/>
      <c r="T3261" s="38"/>
      <c r="U3261" s="38"/>
      <c r="V3261" s="78" t="s">
        <v>33</v>
      </c>
      <c r="W3261" s="46" t="s">
        <v>8430</v>
      </c>
      <c r="X3261" s="46" t="s">
        <v>8431</v>
      </c>
      <c r="Y3261" s="102"/>
    </row>
    <row r="3262">
      <c r="A3262" s="78" t="s">
        <v>239</v>
      </c>
      <c r="B3262" s="248"/>
      <c r="C3262" s="99">
        <v>44025.0</v>
      </c>
      <c r="E3262" s="78" t="s">
        <v>41</v>
      </c>
      <c r="F3262" s="37">
        <v>8.0</v>
      </c>
      <c r="G3262" s="78" t="s">
        <v>32</v>
      </c>
      <c r="H3262" s="78">
        <v>6.0</v>
      </c>
      <c r="I3262" s="78" t="s">
        <v>33</v>
      </c>
      <c r="J3262" s="78" t="s">
        <v>147</v>
      </c>
      <c r="L3262" s="106" t="s">
        <v>194</v>
      </c>
      <c r="M3262" s="46" t="s">
        <v>8432</v>
      </c>
      <c r="N3262" s="106"/>
      <c r="S3262" s="37"/>
      <c r="T3262" s="38"/>
      <c r="U3262" s="38"/>
      <c r="V3262" s="78" t="s">
        <v>8433</v>
      </c>
      <c r="W3262" s="106"/>
      <c r="X3262" s="106"/>
      <c r="Y3262" s="102"/>
    </row>
    <row r="3263">
      <c r="A3263" s="78" t="s">
        <v>8434</v>
      </c>
      <c r="B3263" s="248"/>
      <c r="C3263" s="99">
        <v>44026.0</v>
      </c>
      <c r="E3263" s="78" t="s">
        <v>31</v>
      </c>
      <c r="F3263" s="37">
        <v>1.0</v>
      </c>
      <c r="G3263" s="78" t="s">
        <v>32</v>
      </c>
      <c r="H3263" s="78">
        <v>1.0</v>
      </c>
      <c r="I3263" s="78" t="s">
        <v>33</v>
      </c>
      <c r="J3263" s="78" t="s">
        <v>47</v>
      </c>
      <c r="L3263" s="106" t="s">
        <v>8435</v>
      </c>
      <c r="M3263" s="46" t="s">
        <v>8436</v>
      </c>
      <c r="N3263" s="106"/>
      <c r="S3263" s="37"/>
      <c r="T3263" s="38"/>
      <c r="U3263" s="38"/>
      <c r="V3263" s="78" t="s">
        <v>33</v>
      </c>
      <c r="W3263" s="46" t="s">
        <v>8437</v>
      </c>
      <c r="X3263" s="46" t="s">
        <v>8438</v>
      </c>
      <c r="Y3263" s="102"/>
    </row>
    <row r="3264">
      <c r="A3264" s="78" t="s">
        <v>8439</v>
      </c>
      <c r="B3264" s="248"/>
      <c r="C3264" s="99">
        <v>44026.0</v>
      </c>
      <c r="E3264" s="78" t="s">
        <v>31</v>
      </c>
      <c r="F3264" s="37">
        <v>1.0</v>
      </c>
      <c r="G3264" s="78">
        <v>1.0</v>
      </c>
      <c r="H3264" s="78">
        <v>1.0</v>
      </c>
      <c r="I3264" s="78" t="s">
        <v>33</v>
      </c>
      <c r="J3264" s="78" t="s">
        <v>47</v>
      </c>
      <c r="L3264" s="106" t="s">
        <v>2316</v>
      </c>
      <c r="M3264" s="46" t="s">
        <v>8440</v>
      </c>
      <c r="N3264" s="106"/>
      <c r="S3264" s="37"/>
      <c r="T3264" s="38"/>
      <c r="U3264" s="38"/>
      <c r="V3264" s="78" t="s">
        <v>33</v>
      </c>
      <c r="W3264" s="46" t="s">
        <v>8441</v>
      </c>
      <c r="X3264" s="46" t="s">
        <v>8442</v>
      </c>
      <c r="Y3264" s="102"/>
    </row>
    <row r="3265">
      <c r="A3265" s="78" t="s">
        <v>8443</v>
      </c>
      <c r="B3265" s="248"/>
      <c r="C3265" s="99">
        <v>44026.0</v>
      </c>
      <c r="E3265" s="78" t="s">
        <v>31</v>
      </c>
      <c r="F3265" s="37">
        <v>1.0</v>
      </c>
      <c r="G3265" s="78">
        <v>1.0</v>
      </c>
      <c r="H3265" s="78">
        <v>1.0</v>
      </c>
      <c r="I3265" s="78" t="s">
        <v>33</v>
      </c>
      <c r="J3265" s="78" t="s">
        <v>47</v>
      </c>
      <c r="L3265" s="106" t="s">
        <v>2316</v>
      </c>
      <c r="M3265" s="46" t="s">
        <v>8444</v>
      </c>
      <c r="N3265" s="106"/>
      <c r="S3265" s="37"/>
      <c r="T3265" s="38"/>
      <c r="U3265" s="38"/>
      <c r="V3265" s="78" t="s">
        <v>33</v>
      </c>
      <c r="W3265" s="46" t="s">
        <v>8445</v>
      </c>
      <c r="X3265" s="46" t="s">
        <v>8446</v>
      </c>
      <c r="Y3265" s="102"/>
    </row>
    <row r="3266">
      <c r="A3266" s="78" t="s">
        <v>239</v>
      </c>
      <c r="B3266" s="248"/>
      <c r="C3266" s="99">
        <v>44026.0</v>
      </c>
      <c r="E3266" s="78" t="s">
        <v>41</v>
      </c>
      <c r="F3266" s="37">
        <v>1.0</v>
      </c>
      <c r="G3266" s="78">
        <v>1.0</v>
      </c>
      <c r="H3266" s="78">
        <v>1.0</v>
      </c>
      <c r="I3266" s="78" t="s">
        <v>33</v>
      </c>
      <c r="J3266" s="78" t="s">
        <v>111</v>
      </c>
      <c r="L3266" s="106" t="s">
        <v>194</v>
      </c>
      <c r="M3266" s="46" t="s">
        <v>8447</v>
      </c>
      <c r="N3266" s="106"/>
      <c r="S3266" s="37"/>
      <c r="T3266" s="38"/>
      <c r="U3266" s="38"/>
      <c r="V3266" s="78" t="s">
        <v>3919</v>
      </c>
      <c r="W3266" s="106"/>
      <c r="X3266" s="106"/>
      <c r="Y3266" s="102"/>
    </row>
    <row r="3267">
      <c r="A3267" s="78" t="s">
        <v>8448</v>
      </c>
      <c r="B3267" s="248"/>
      <c r="C3267" s="99">
        <v>44026.0</v>
      </c>
      <c r="E3267" s="78" t="s">
        <v>41</v>
      </c>
      <c r="F3267" s="37">
        <v>1.0</v>
      </c>
      <c r="G3267" s="78" t="s">
        <v>32</v>
      </c>
      <c r="H3267" s="78">
        <v>1.0</v>
      </c>
      <c r="I3267" s="78" t="s">
        <v>33</v>
      </c>
      <c r="J3267" s="78" t="s">
        <v>460</v>
      </c>
      <c r="L3267" s="106" t="s">
        <v>119</v>
      </c>
      <c r="M3267" s="106" t="s">
        <v>8449</v>
      </c>
      <c r="N3267" s="106"/>
      <c r="S3267" s="37"/>
      <c r="T3267" s="38"/>
      <c r="U3267" s="38"/>
      <c r="V3267" s="78" t="s">
        <v>33</v>
      </c>
      <c r="W3267" s="106"/>
      <c r="X3267" s="106"/>
      <c r="Y3267" s="102"/>
    </row>
    <row r="3268">
      <c r="A3268" s="78" t="s">
        <v>7616</v>
      </c>
      <c r="B3268" s="248"/>
      <c r="C3268" s="99">
        <v>44027.0</v>
      </c>
      <c r="E3268" s="78" t="s">
        <v>41</v>
      </c>
      <c r="F3268" s="37">
        <v>1.0</v>
      </c>
      <c r="G3268" s="78" t="s">
        <v>32</v>
      </c>
      <c r="H3268" s="78">
        <v>1.0</v>
      </c>
      <c r="I3268" s="78" t="s">
        <v>33</v>
      </c>
      <c r="J3268" s="78" t="s">
        <v>55</v>
      </c>
      <c r="L3268" s="106" t="s">
        <v>69</v>
      </c>
      <c r="M3268" s="46" t="s">
        <v>8450</v>
      </c>
      <c r="N3268" s="106"/>
      <c r="S3268" s="37"/>
      <c r="T3268" s="38"/>
      <c r="U3268" s="38"/>
      <c r="V3268" s="78" t="s">
        <v>33</v>
      </c>
      <c r="W3268" s="106"/>
      <c r="X3268" s="106"/>
      <c r="Y3268" s="102"/>
    </row>
    <row r="3269">
      <c r="A3269" s="78" t="s">
        <v>8451</v>
      </c>
      <c r="B3269" s="248"/>
      <c r="C3269" s="99">
        <v>44027.0</v>
      </c>
      <c r="E3269" s="78" t="s">
        <v>41</v>
      </c>
      <c r="F3269" s="37">
        <v>1.0</v>
      </c>
      <c r="G3269" s="78" t="s">
        <v>32</v>
      </c>
      <c r="H3269" s="78">
        <v>1.0</v>
      </c>
      <c r="I3269" s="78" t="s">
        <v>33</v>
      </c>
      <c r="J3269" s="78" t="s">
        <v>909</v>
      </c>
      <c r="L3269" s="106" t="s">
        <v>69</v>
      </c>
      <c r="M3269" s="106" t="s">
        <v>8452</v>
      </c>
      <c r="N3269" s="106"/>
      <c r="S3269" s="37"/>
      <c r="T3269" s="38"/>
      <c r="U3269" s="38"/>
      <c r="V3269" s="78" t="s">
        <v>33</v>
      </c>
      <c r="W3269" s="106"/>
      <c r="X3269" s="106"/>
      <c r="Y3269" s="102"/>
    </row>
    <row r="3270">
      <c r="A3270" s="78" t="s">
        <v>8453</v>
      </c>
      <c r="B3270" s="248"/>
      <c r="C3270" s="99">
        <v>44027.0</v>
      </c>
      <c r="E3270" s="78" t="s">
        <v>41</v>
      </c>
      <c r="F3270" s="37">
        <v>1.0</v>
      </c>
      <c r="G3270" s="78" t="s">
        <v>32</v>
      </c>
      <c r="H3270" s="78">
        <v>1.0</v>
      </c>
      <c r="I3270" s="78" t="s">
        <v>33</v>
      </c>
      <c r="J3270" s="78" t="s">
        <v>147</v>
      </c>
      <c r="L3270" s="106" t="s">
        <v>76</v>
      </c>
      <c r="M3270" s="106" t="s">
        <v>8454</v>
      </c>
      <c r="N3270" s="106"/>
      <c r="S3270" s="37"/>
      <c r="T3270" s="38"/>
      <c r="U3270" s="38"/>
      <c r="V3270" s="78" t="s">
        <v>33</v>
      </c>
      <c r="W3270" s="106"/>
      <c r="X3270" s="106"/>
      <c r="Y3270" s="102"/>
    </row>
    <row r="3271">
      <c r="A3271" s="78" t="s">
        <v>8455</v>
      </c>
      <c r="B3271" s="248"/>
      <c r="C3271" s="99">
        <v>44027.0</v>
      </c>
      <c r="E3271" s="78" t="s">
        <v>41</v>
      </c>
      <c r="F3271" s="37">
        <v>1.0</v>
      </c>
      <c r="G3271" s="78" t="s">
        <v>32</v>
      </c>
      <c r="H3271" s="78">
        <v>1.0</v>
      </c>
      <c r="I3271" s="78" t="s">
        <v>33</v>
      </c>
      <c r="J3271" s="78" t="s">
        <v>115</v>
      </c>
      <c r="L3271" s="106" t="s">
        <v>76</v>
      </c>
      <c r="M3271" s="46" t="s">
        <v>8456</v>
      </c>
      <c r="N3271" s="106"/>
      <c r="S3271" s="37"/>
      <c r="T3271" s="38"/>
      <c r="U3271" s="38"/>
      <c r="V3271" s="78" t="s">
        <v>33</v>
      </c>
      <c r="W3271" s="106"/>
      <c r="X3271" s="106"/>
      <c r="Y3271" s="102"/>
    </row>
    <row r="3272">
      <c r="A3272" s="78" t="s">
        <v>8457</v>
      </c>
      <c r="B3272" s="248"/>
      <c r="C3272" s="99">
        <v>44027.0</v>
      </c>
      <c r="E3272" s="78" t="s">
        <v>41</v>
      </c>
      <c r="F3272" s="37">
        <v>1.0</v>
      </c>
      <c r="G3272" s="78" t="s">
        <v>32</v>
      </c>
      <c r="H3272" s="78">
        <v>1.0</v>
      </c>
      <c r="I3272" s="78" t="s">
        <v>33</v>
      </c>
      <c r="J3272" s="78" t="s">
        <v>115</v>
      </c>
      <c r="L3272" s="106" t="s">
        <v>76</v>
      </c>
      <c r="M3272" s="106" t="s">
        <v>8458</v>
      </c>
      <c r="N3272" s="106"/>
      <c r="S3272" s="37"/>
      <c r="T3272" s="38"/>
      <c r="U3272" s="38"/>
      <c r="V3272" s="78" t="s">
        <v>33</v>
      </c>
      <c r="W3272" s="106"/>
      <c r="X3272" s="106"/>
      <c r="Y3272" s="102"/>
    </row>
    <row r="3273">
      <c r="A3273" s="78" t="s">
        <v>8459</v>
      </c>
      <c r="B3273" s="248"/>
      <c r="C3273" s="99">
        <v>44028.0</v>
      </c>
      <c r="E3273" s="78" t="s">
        <v>41</v>
      </c>
      <c r="F3273" s="37">
        <v>1.0</v>
      </c>
      <c r="G3273" s="78" t="s">
        <v>32</v>
      </c>
      <c r="H3273" s="78">
        <v>1.0</v>
      </c>
      <c r="I3273" s="78" t="s">
        <v>33</v>
      </c>
      <c r="J3273" s="78" t="s">
        <v>93</v>
      </c>
      <c r="L3273" s="106" t="s">
        <v>119</v>
      </c>
      <c r="M3273" s="46" t="s">
        <v>8460</v>
      </c>
      <c r="N3273" s="106"/>
      <c r="S3273" s="37"/>
      <c r="T3273" s="38"/>
      <c r="U3273" s="38"/>
      <c r="V3273" s="78" t="s">
        <v>33</v>
      </c>
      <c r="W3273" s="106"/>
      <c r="X3273" s="106"/>
      <c r="Y3273" s="102"/>
    </row>
    <row r="3274">
      <c r="A3274" s="78" t="s">
        <v>8461</v>
      </c>
      <c r="B3274" s="248"/>
      <c r="C3274" s="99">
        <v>44028.0</v>
      </c>
      <c r="E3274" s="78" t="s">
        <v>41</v>
      </c>
      <c r="F3274" s="37">
        <v>1.0</v>
      </c>
      <c r="G3274" s="78" t="s">
        <v>32</v>
      </c>
      <c r="H3274" s="78">
        <v>1.0</v>
      </c>
      <c r="I3274" s="78" t="s">
        <v>33</v>
      </c>
      <c r="J3274" s="78" t="s">
        <v>85</v>
      </c>
      <c r="L3274" s="106" t="s">
        <v>8462</v>
      </c>
      <c r="M3274" s="46" t="s">
        <v>8463</v>
      </c>
      <c r="N3274" s="106"/>
      <c r="S3274" s="37"/>
      <c r="T3274" s="38"/>
      <c r="U3274" s="38"/>
      <c r="V3274" s="78" t="s">
        <v>33</v>
      </c>
      <c r="W3274" s="282" t="s">
        <v>8464</v>
      </c>
      <c r="X3274" s="106"/>
      <c r="Y3274" s="102"/>
    </row>
    <row r="3275">
      <c r="A3275" s="78" t="s">
        <v>8465</v>
      </c>
      <c r="B3275" s="248"/>
      <c r="C3275" s="99">
        <v>44028.0</v>
      </c>
      <c r="E3275" s="78" t="s">
        <v>41</v>
      </c>
      <c r="F3275" s="37">
        <v>1.0</v>
      </c>
      <c r="G3275" s="78" t="s">
        <v>32</v>
      </c>
      <c r="H3275" s="78">
        <v>1.0</v>
      </c>
      <c r="I3275" s="78" t="s">
        <v>33</v>
      </c>
      <c r="J3275" s="78" t="s">
        <v>93</v>
      </c>
      <c r="L3275" s="106" t="s">
        <v>69</v>
      </c>
      <c r="M3275" s="106" t="s">
        <v>8466</v>
      </c>
      <c r="N3275" s="106"/>
      <c r="S3275" s="37"/>
      <c r="T3275" s="38"/>
      <c r="U3275" s="38"/>
      <c r="V3275" s="78" t="s">
        <v>33</v>
      </c>
      <c r="W3275" s="106"/>
      <c r="X3275" s="106"/>
      <c r="Y3275" s="102"/>
    </row>
    <row r="3276">
      <c r="A3276" s="78" t="s">
        <v>8467</v>
      </c>
      <c r="B3276" s="248"/>
      <c r="C3276" s="99">
        <v>44029.0</v>
      </c>
      <c r="E3276" s="78" t="s">
        <v>41</v>
      </c>
      <c r="F3276" s="37">
        <v>1.0</v>
      </c>
      <c r="G3276" s="78" t="s">
        <v>32</v>
      </c>
      <c r="H3276" s="78">
        <v>1.0</v>
      </c>
      <c r="I3276" s="78" t="s">
        <v>33</v>
      </c>
      <c r="J3276" s="78" t="s">
        <v>147</v>
      </c>
      <c r="L3276" s="106" t="s">
        <v>194</v>
      </c>
      <c r="M3276" s="46" t="s">
        <v>8468</v>
      </c>
      <c r="N3276" s="106"/>
      <c r="S3276" s="37"/>
      <c r="T3276" s="38"/>
      <c r="U3276" s="38"/>
      <c r="V3276" s="78" t="s">
        <v>33</v>
      </c>
      <c r="W3276" s="106"/>
      <c r="X3276" s="106"/>
      <c r="Y3276" s="102"/>
    </row>
    <row r="3277">
      <c r="A3277" s="78" t="s">
        <v>239</v>
      </c>
      <c r="B3277" s="248"/>
      <c r="C3277" s="99">
        <v>44031.0</v>
      </c>
      <c r="E3277" s="78" t="s">
        <v>41</v>
      </c>
      <c r="F3277" s="37">
        <v>2.0</v>
      </c>
      <c r="G3277" s="78" t="s">
        <v>32</v>
      </c>
      <c r="H3277" s="78">
        <v>1.0</v>
      </c>
      <c r="I3277" s="78" t="s">
        <v>33</v>
      </c>
      <c r="J3277" s="78" t="s">
        <v>147</v>
      </c>
      <c r="L3277" s="106" t="s">
        <v>194</v>
      </c>
      <c r="M3277" s="46" t="s">
        <v>8469</v>
      </c>
      <c r="N3277" s="106"/>
      <c r="S3277" s="37"/>
      <c r="T3277" s="38"/>
      <c r="U3277" s="38"/>
      <c r="V3277" s="78" t="s">
        <v>33</v>
      </c>
      <c r="W3277" s="106"/>
      <c r="X3277" s="106"/>
      <c r="Y3277" s="102"/>
    </row>
    <row r="3278">
      <c r="A3278" s="78" t="s">
        <v>239</v>
      </c>
      <c r="B3278" s="248"/>
      <c r="C3278" s="99">
        <v>44031.0</v>
      </c>
      <c r="E3278" s="78" t="s">
        <v>41</v>
      </c>
      <c r="F3278" s="37">
        <v>2.0</v>
      </c>
      <c r="G3278" s="78" t="s">
        <v>32</v>
      </c>
      <c r="H3278" s="78">
        <v>1.0</v>
      </c>
      <c r="I3278" s="78" t="s">
        <v>33</v>
      </c>
      <c r="J3278" s="78" t="s">
        <v>147</v>
      </c>
      <c r="L3278" s="106" t="s">
        <v>194</v>
      </c>
      <c r="M3278" s="106" t="s">
        <v>8469</v>
      </c>
      <c r="N3278" s="106"/>
      <c r="S3278" s="37"/>
      <c r="T3278" s="38"/>
      <c r="U3278" s="38"/>
      <c r="V3278" s="78" t="s">
        <v>33</v>
      </c>
      <c r="W3278" s="106"/>
      <c r="X3278" s="106"/>
      <c r="Y3278" s="102"/>
    </row>
    <row r="3279">
      <c r="A3279" s="78" t="s">
        <v>7850</v>
      </c>
      <c r="B3279" s="248"/>
      <c r="C3279" s="99">
        <v>44032.0</v>
      </c>
      <c r="E3279" s="78" t="s">
        <v>41</v>
      </c>
      <c r="F3279" s="37">
        <v>1.0</v>
      </c>
      <c r="G3279" s="78" t="s">
        <v>32</v>
      </c>
      <c r="H3279" s="78">
        <v>1.0</v>
      </c>
      <c r="I3279" s="78" t="s">
        <v>33</v>
      </c>
      <c r="J3279" s="78" t="s">
        <v>93</v>
      </c>
      <c r="L3279" s="106" t="s">
        <v>76</v>
      </c>
      <c r="M3279" s="46" t="s">
        <v>8470</v>
      </c>
      <c r="N3279" s="106"/>
      <c r="S3279" s="37"/>
      <c r="T3279" s="38"/>
      <c r="U3279" s="38"/>
      <c r="V3279" s="78" t="s">
        <v>33</v>
      </c>
      <c r="W3279" s="106"/>
      <c r="X3279" s="106"/>
      <c r="Y3279" s="102"/>
    </row>
    <row r="3280">
      <c r="A3280" s="78" t="s">
        <v>8471</v>
      </c>
      <c r="B3280" s="248"/>
      <c r="C3280" s="99">
        <v>44032.0</v>
      </c>
      <c r="E3280" s="78" t="s">
        <v>31</v>
      </c>
      <c r="F3280" s="37">
        <v>1.0</v>
      </c>
      <c r="G3280" s="78" t="s">
        <v>32</v>
      </c>
      <c r="H3280" s="78">
        <v>1.0</v>
      </c>
      <c r="I3280" s="78" t="s">
        <v>33</v>
      </c>
      <c r="J3280" s="78" t="s">
        <v>93</v>
      </c>
      <c r="L3280" s="106" t="s">
        <v>76</v>
      </c>
      <c r="M3280" s="106" t="s">
        <v>8472</v>
      </c>
      <c r="N3280" s="46" t="s">
        <v>8473</v>
      </c>
      <c r="S3280" s="37"/>
      <c r="T3280" s="38"/>
      <c r="U3280" s="38"/>
      <c r="V3280" s="78" t="s">
        <v>33</v>
      </c>
      <c r="W3280" s="46" t="s">
        <v>8474</v>
      </c>
      <c r="X3280" s="46" t="s">
        <v>8475</v>
      </c>
      <c r="Y3280" s="102"/>
    </row>
    <row r="3281">
      <c r="A3281" s="78" t="s">
        <v>8476</v>
      </c>
      <c r="B3281" s="248"/>
      <c r="C3281" s="99">
        <v>44032.0</v>
      </c>
      <c r="E3281" s="78" t="s">
        <v>31</v>
      </c>
      <c r="F3281" s="37">
        <v>1.0</v>
      </c>
      <c r="G3281" s="78" t="s">
        <v>32</v>
      </c>
      <c r="H3281" s="78">
        <v>1.0</v>
      </c>
      <c r="I3281" s="78" t="s">
        <v>33</v>
      </c>
      <c r="J3281" s="78" t="s">
        <v>850</v>
      </c>
      <c r="L3281" s="106" t="s">
        <v>35</v>
      </c>
      <c r="M3281" s="282" t="s">
        <v>8477</v>
      </c>
      <c r="N3281" s="106"/>
      <c r="S3281" s="37"/>
      <c r="T3281" s="38"/>
      <c r="U3281" s="38"/>
      <c r="V3281" s="78" t="s">
        <v>33</v>
      </c>
      <c r="W3281" s="46" t="s">
        <v>8478</v>
      </c>
      <c r="X3281" s="46" t="s">
        <v>8479</v>
      </c>
      <c r="Y3281" s="102"/>
    </row>
    <row r="3282">
      <c r="A3282" s="78" t="s">
        <v>8480</v>
      </c>
      <c r="B3282" s="248"/>
      <c r="C3282" s="99">
        <v>44032.0</v>
      </c>
      <c r="E3282" s="78" t="s">
        <v>41</v>
      </c>
      <c r="F3282" s="37">
        <v>1.0</v>
      </c>
      <c r="G3282" s="78" t="s">
        <v>32</v>
      </c>
      <c r="H3282" s="78">
        <v>1.0</v>
      </c>
      <c r="I3282" s="78" t="s">
        <v>33</v>
      </c>
      <c r="J3282" s="78" t="s">
        <v>115</v>
      </c>
      <c r="L3282" s="106" t="s">
        <v>76</v>
      </c>
      <c r="M3282" s="46" t="s">
        <v>8481</v>
      </c>
      <c r="N3282" s="106"/>
      <c r="S3282" s="37"/>
      <c r="T3282" s="38"/>
      <c r="U3282" s="38"/>
      <c r="V3282" s="78" t="s">
        <v>33</v>
      </c>
      <c r="W3282" s="106"/>
      <c r="X3282" s="106"/>
      <c r="Y3282" s="102"/>
    </row>
    <row r="3283">
      <c r="A3283" s="78" t="s">
        <v>8482</v>
      </c>
      <c r="B3283" s="248"/>
      <c r="C3283" s="99">
        <v>44032.0</v>
      </c>
      <c r="E3283" s="78" t="s">
        <v>8483</v>
      </c>
      <c r="F3283" s="37">
        <v>1.0</v>
      </c>
      <c r="G3283" s="78" t="s">
        <v>32</v>
      </c>
      <c r="H3283" s="78">
        <v>1.0</v>
      </c>
      <c r="I3283" s="78" t="s">
        <v>33</v>
      </c>
      <c r="J3283" s="78" t="s">
        <v>343</v>
      </c>
      <c r="L3283" s="106" t="s">
        <v>1203</v>
      </c>
      <c r="M3283" s="46" t="s">
        <v>8484</v>
      </c>
      <c r="N3283" s="106"/>
      <c r="S3283" s="37"/>
      <c r="T3283" s="38"/>
      <c r="U3283" s="38"/>
      <c r="V3283" s="78" t="s">
        <v>33</v>
      </c>
      <c r="W3283" s="106"/>
      <c r="X3283" s="106"/>
      <c r="Y3283" s="102"/>
    </row>
    <row r="3284">
      <c r="A3284" s="78" t="s">
        <v>8485</v>
      </c>
      <c r="B3284" s="248"/>
      <c r="C3284" s="99">
        <v>44032.0</v>
      </c>
      <c r="E3284" s="78" t="s">
        <v>41</v>
      </c>
      <c r="F3284" s="37">
        <v>1.0</v>
      </c>
      <c r="G3284" s="78" t="s">
        <v>32</v>
      </c>
      <c r="H3284" s="78">
        <v>1.0</v>
      </c>
      <c r="I3284" s="78" t="s">
        <v>33</v>
      </c>
      <c r="J3284" s="78" t="s">
        <v>93</v>
      </c>
      <c r="L3284" s="106" t="s">
        <v>119</v>
      </c>
      <c r="M3284" s="46" t="s">
        <v>8486</v>
      </c>
      <c r="N3284" s="106"/>
      <c r="S3284" s="37"/>
      <c r="T3284" s="38"/>
      <c r="U3284" s="38"/>
      <c r="V3284" s="78" t="s">
        <v>33</v>
      </c>
      <c r="W3284" s="106"/>
      <c r="X3284" s="106"/>
      <c r="Y3284" s="102"/>
    </row>
    <row r="3285">
      <c r="A3285" s="78" t="s">
        <v>8487</v>
      </c>
      <c r="B3285" s="248"/>
      <c r="C3285" s="99">
        <v>44033.0</v>
      </c>
      <c r="E3285" s="78" t="s">
        <v>41</v>
      </c>
      <c r="F3285" s="37">
        <v>1.0</v>
      </c>
      <c r="G3285" s="78" t="s">
        <v>32</v>
      </c>
      <c r="H3285" s="78">
        <v>1.0</v>
      </c>
      <c r="I3285" s="78" t="s">
        <v>33</v>
      </c>
      <c r="J3285" s="78" t="s">
        <v>111</v>
      </c>
      <c r="L3285" s="106" t="s">
        <v>69</v>
      </c>
      <c r="M3285" s="46" t="s">
        <v>8488</v>
      </c>
      <c r="N3285" s="106"/>
      <c r="S3285" s="37"/>
      <c r="T3285" s="38"/>
      <c r="U3285" s="38"/>
      <c r="V3285" s="78" t="s">
        <v>33</v>
      </c>
      <c r="W3285" s="106"/>
      <c r="X3285" s="106"/>
      <c r="Y3285" s="102"/>
    </row>
    <row r="3286">
      <c r="A3286" s="78" t="s">
        <v>239</v>
      </c>
      <c r="B3286" s="248"/>
      <c r="C3286" s="99">
        <v>44033.0</v>
      </c>
      <c r="E3286" s="78" t="s">
        <v>41</v>
      </c>
      <c r="F3286" s="37">
        <v>1.0</v>
      </c>
      <c r="G3286" s="78" t="s">
        <v>32</v>
      </c>
      <c r="H3286" s="78">
        <v>1.0</v>
      </c>
      <c r="I3286" s="78" t="s">
        <v>33</v>
      </c>
      <c r="J3286" s="78" t="s">
        <v>147</v>
      </c>
      <c r="L3286" s="106" t="s">
        <v>194</v>
      </c>
      <c r="M3286" s="46" t="s">
        <v>8489</v>
      </c>
      <c r="N3286" s="106"/>
      <c r="S3286" s="37"/>
      <c r="T3286" s="38"/>
      <c r="U3286" s="38"/>
      <c r="V3286" s="78" t="s">
        <v>33</v>
      </c>
      <c r="W3286" s="106"/>
      <c r="X3286" s="106"/>
      <c r="Y3286" s="102"/>
    </row>
    <row r="3287">
      <c r="A3287" s="78" t="s">
        <v>8490</v>
      </c>
      <c r="B3287" s="248"/>
      <c r="C3287" s="99">
        <v>44033.0</v>
      </c>
      <c r="E3287" s="78" t="s">
        <v>41</v>
      </c>
      <c r="F3287" s="37">
        <v>1.0</v>
      </c>
      <c r="G3287" s="78" t="s">
        <v>32</v>
      </c>
      <c r="H3287" s="78">
        <v>1.0</v>
      </c>
      <c r="I3287" s="78" t="s">
        <v>33</v>
      </c>
      <c r="J3287" s="78" t="s">
        <v>184</v>
      </c>
      <c r="L3287" s="106" t="s">
        <v>99</v>
      </c>
      <c r="M3287" s="46" t="s">
        <v>8491</v>
      </c>
      <c r="N3287" s="106"/>
      <c r="S3287" s="37"/>
      <c r="T3287" s="38"/>
      <c r="U3287" s="38"/>
      <c r="V3287" s="78" t="s">
        <v>33</v>
      </c>
      <c r="W3287" s="106"/>
      <c r="X3287" s="106"/>
      <c r="Y3287" s="102"/>
    </row>
    <row r="3288">
      <c r="A3288" s="78" t="s">
        <v>8492</v>
      </c>
      <c r="B3288" s="248"/>
      <c r="C3288" s="99">
        <v>44033.0</v>
      </c>
      <c r="E3288" s="78" t="s">
        <v>31</v>
      </c>
      <c r="F3288" s="37">
        <v>1.0</v>
      </c>
      <c r="G3288" s="78" t="s">
        <v>32</v>
      </c>
      <c r="H3288" s="78">
        <v>1.0</v>
      </c>
      <c r="I3288" s="78" t="s">
        <v>33</v>
      </c>
      <c r="J3288" s="78" t="s">
        <v>268</v>
      </c>
      <c r="L3288" s="106" t="s">
        <v>69</v>
      </c>
      <c r="M3288" s="46" t="s">
        <v>8493</v>
      </c>
      <c r="N3288" s="106" t="s">
        <v>8494</v>
      </c>
      <c r="S3288" s="37"/>
      <c r="T3288" s="38"/>
      <c r="U3288" s="38"/>
      <c r="V3288" s="78" t="s">
        <v>33</v>
      </c>
      <c r="W3288" s="46" t="s">
        <v>8495</v>
      </c>
      <c r="X3288" s="46" t="s">
        <v>8496</v>
      </c>
      <c r="Y3288" s="102"/>
    </row>
    <row r="3289">
      <c r="A3289" s="78" t="s">
        <v>8497</v>
      </c>
      <c r="B3289" s="248"/>
      <c r="C3289" s="99">
        <v>44033.0</v>
      </c>
      <c r="E3289" s="78" t="s">
        <v>31</v>
      </c>
      <c r="F3289" s="37">
        <v>1.0</v>
      </c>
      <c r="G3289" s="78" t="s">
        <v>32</v>
      </c>
      <c r="H3289" s="78">
        <v>1.0</v>
      </c>
      <c r="I3289" s="78" t="s">
        <v>33</v>
      </c>
      <c r="J3289" s="78" t="s">
        <v>115</v>
      </c>
      <c r="L3289" s="106" t="s">
        <v>8498</v>
      </c>
      <c r="M3289" s="46" t="s">
        <v>8499</v>
      </c>
      <c r="N3289" s="46" t="s">
        <v>8500</v>
      </c>
      <c r="S3289" s="37"/>
      <c r="T3289" s="38"/>
      <c r="U3289" s="38"/>
      <c r="V3289" s="78" t="s">
        <v>33</v>
      </c>
      <c r="W3289" s="46" t="s">
        <v>8501</v>
      </c>
      <c r="X3289" s="46" t="s">
        <v>8502</v>
      </c>
      <c r="Y3289" s="102"/>
    </row>
    <row r="3290">
      <c r="A3290" s="78" t="s">
        <v>8503</v>
      </c>
      <c r="B3290" s="248"/>
      <c r="C3290" s="99">
        <v>44033.0</v>
      </c>
      <c r="E3290" s="78" t="s">
        <v>41</v>
      </c>
      <c r="F3290" s="37">
        <v>1.0</v>
      </c>
      <c r="G3290" s="78">
        <v>4.0</v>
      </c>
      <c r="H3290" s="78">
        <v>4.0</v>
      </c>
      <c r="I3290" s="78"/>
      <c r="J3290" s="78" t="s">
        <v>124</v>
      </c>
      <c r="L3290" s="106" t="s">
        <v>99</v>
      </c>
      <c r="M3290" s="46" t="s">
        <v>8504</v>
      </c>
      <c r="N3290" s="106"/>
      <c r="S3290" s="37"/>
      <c r="T3290" s="38"/>
      <c r="U3290" s="38"/>
      <c r="V3290" s="78" t="s">
        <v>33</v>
      </c>
      <c r="W3290" s="106"/>
      <c r="X3290" s="106"/>
      <c r="Y3290" s="102"/>
    </row>
    <row r="3291">
      <c r="A3291" s="78" t="s">
        <v>8505</v>
      </c>
      <c r="B3291" s="248"/>
      <c r="C3291" s="99">
        <v>44034.0</v>
      </c>
      <c r="E3291" s="78" t="s">
        <v>41</v>
      </c>
      <c r="F3291" s="37">
        <v>1.0</v>
      </c>
      <c r="G3291" s="78" t="s">
        <v>32</v>
      </c>
      <c r="H3291" s="78">
        <v>1.0</v>
      </c>
      <c r="I3291" s="78" t="s">
        <v>33</v>
      </c>
      <c r="J3291" s="78" t="s">
        <v>410</v>
      </c>
      <c r="L3291" s="106" t="s">
        <v>119</v>
      </c>
      <c r="M3291" s="106" t="s">
        <v>8506</v>
      </c>
      <c r="N3291" s="106"/>
      <c r="S3291" s="37"/>
      <c r="T3291" s="38"/>
      <c r="U3291" s="38"/>
      <c r="V3291" s="78" t="s">
        <v>33</v>
      </c>
      <c r="W3291" s="106"/>
      <c r="X3291" s="106"/>
      <c r="Y3291" s="102"/>
    </row>
    <row r="3292">
      <c r="A3292" s="78" t="s">
        <v>8507</v>
      </c>
      <c r="B3292" s="248"/>
      <c r="C3292" s="99">
        <v>44035.0</v>
      </c>
      <c r="E3292" s="78" t="s">
        <v>41</v>
      </c>
      <c r="F3292" s="37">
        <v>1.0</v>
      </c>
      <c r="G3292" s="78" t="s">
        <v>32</v>
      </c>
      <c r="H3292" s="78">
        <v>1.0</v>
      </c>
      <c r="I3292" s="78" t="s">
        <v>33</v>
      </c>
      <c r="J3292" s="78" t="s">
        <v>47</v>
      </c>
      <c r="L3292" s="106" t="s">
        <v>76</v>
      </c>
      <c r="M3292" s="46" t="s">
        <v>8508</v>
      </c>
      <c r="N3292" s="106"/>
      <c r="S3292" s="37"/>
      <c r="T3292" s="38"/>
      <c r="U3292" s="38"/>
      <c r="V3292" s="78" t="s">
        <v>33</v>
      </c>
      <c r="W3292" s="106"/>
      <c r="X3292" s="106"/>
      <c r="Y3292" s="102"/>
    </row>
    <row r="3293">
      <c r="A3293" s="78" t="s">
        <v>239</v>
      </c>
      <c r="B3293" s="248"/>
      <c r="C3293" s="99">
        <v>44035.0</v>
      </c>
      <c r="E3293" s="78" t="s">
        <v>41</v>
      </c>
      <c r="F3293" s="37">
        <v>1.0</v>
      </c>
      <c r="G3293" s="78" t="s">
        <v>32</v>
      </c>
      <c r="H3293" s="78">
        <v>1.0</v>
      </c>
      <c r="I3293" s="78" t="s">
        <v>33</v>
      </c>
      <c r="J3293" s="78" t="s">
        <v>111</v>
      </c>
      <c r="L3293" s="106" t="s">
        <v>194</v>
      </c>
      <c r="M3293" s="46" t="s">
        <v>8509</v>
      </c>
      <c r="N3293" s="106"/>
      <c r="S3293" s="37"/>
      <c r="T3293" s="38"/>
      <c r="U3293" s="38"/>
      <c r="V3293" s="78" t="s">
        <v>33</v>
      </c>
      <c r="W3293" s="106"/>
      <c r="X3293" s="106"/>
      <c r="Y3293" s="102"/>
    </row>
    <row r="3294">
      <c r="A3294" s="78" t="s">
        <v>8510</v>
      </c>
      <c r="B3294" s="248"/>
      <c r="C3294" s="99">
        <v>44035.0</v>
      </c>
      <c r="E3294" s="78" t="s">
        <v>41</v>
      </c>
      <c r="F3294" s="37">
        <v>1.0</v>
      </c>
      <c r="G3294" s="78">
        <v>5.0</v>
      </c>
      <c r="H3294" s="78">
        <v>5.0</v>
      </c>
      <c r="I3294" s="78" t="s">
        <v>33</v>
      </c>
      <c r="J3294" s="78" t="s">
        <v>410</v>
      </c>
      <c r="L3294" s="106" t="s">
        <v>2316</v>
      </c>
      <c r="M3294" s="46" t="s">
        <v>8511</v>
      </c>
      <c r="N3294" s="106"/>
      <c r="S3294" s="37"/>
      <c r="T3294" s="38"/>
      <c r="U3294" s="38"/>
      <c r="V3294" s="78" t="s">
        <v>33</v>
      </c>
      <c r="W3294" s="106"/>
      <c r="X3294" s="106"/>
      <c r="Y3294" s="102"/>
    </row>
    <row r="3295">
      <c r="A3295" s="78" t="s">
        <v>8512</v>
      </c>
      <c r="B3295" s="248"/>
      <c r="C3295" s="99">
        <v>44035.0</v>
      </c>
      <c r="E3295" s="78" t="s">
        <v>41</v>
      </c>
      <c r="F3295" s="37">
        <v>1.0</v>
      </c>
      <c r="G3295" s="78" t="s">
        <v>32</v>
      </c>
      <c r="H3295" s="78">
        <v>1.0</v>
      </c>
      <c r="I3295" s="78" t="s">
        <v>33</v>
      </c>
      <c r="J3295" s="78" t="s">
        <v>410</v>
      </c>
      <c r="L3295" s="106" t="s">
        <v>2316</v>
      </c>
      <c r="M3295" s="46" t="s">
        <v>8513</v>
      </c>
      <c r="N3295" s="106"/>
      <c r="S3295" s="37"/>
      <c r="T3295" s="38"/>
      <c r="U3295" s="38"/>
      <c r="V3295" s="78" t="s">
        <v>33</v>
      </c>
      <c r="W3295" s="106"/>
      <c r="X3295" s="106"/>
      <c r="Y3295" s="102"/>
    </row>
    <row r="3296">
      <c r="A3296" s="78" t="s">
        <v>8514</v>
      </c>
      <c r="B3296" s="248"/>
      <c r="C3296" s="99">
        <v>44036.0</v>
      </c>
      <c r="E3296" s="78" t="s">
        <v>41</v>
      </c>
      <c r="F3296" s="37">
        <v>1.0</v>
      </c>
      <c r="G3296" s="78" t="s">
        <v>32</v>
      </c>
      <c r="H3296" s="78">
        <v>1.0</v>
      </c>
      <c r="I3296" s="78" t="s">
        <v>33</v>
      </c>
      <c r="J3296" s="78" t="s">
        <v>93</v>
      </c>
      <c r="L3296" s="106" t="s">
        <v>69</v>
      </c>
      <c r="M3296" s="46" t="s">
        <v>8515</v>
      </c>
      <c r="N3296" s="106"/>
      <c r="S3296" s="37"/>
      <c r="T3296" s="38"/>
      <c r="U3296" s="38"/>
      <c r="V3296" s="78" t="s">
        <v>33</v>
      </c>
      <c r="W3296" s="106"/>
      <c r="X3296" s="106"/>
      <c r="Y3296" s="102"/>
    </row>
    <row r="3297">
      <c r="A3297" s="78" t="s">
        <v>8516</v>
      </c>
      <c r="B3297" s="248"/>
      <c r="C3297" s="99">
        <v>44036.0</v>
      </c>
      <c r="E3297" s="78" t="s">
        <v>41</v>
      </c>
      <c r="F3297" s="37">
        <v>1.0</v>
      </c>
      <c r="G3297" s="78" t="s">
        <v>32</v>
      </c>
      <c r="H3297" s="78">
        <v>1.0</v>
      </c>
      <c r="I3297" s="78" t="s">
        <v>33</v>
      </c>
      <c r="J3297" s="78" t="s">
        <v>413</v>
      </c>
      <c r="L3297" s="106" t="s">
        <v>119</v>
      </c>
      <c r="M3297" s="46" t="s">
        <v>8517</v>
      </c>
      <c r="N3297" s="106"/>
      <c r="S3297" s="37"/>
      <c r="T3297" s="38"/>
      <c r="U3297" s="38"/>
      <c r="V3297" s="78" t="s">
        <v>33</v>
      </c>
      <c r="W3297" s="106"/>
      <c r="X3297" s="106"/>
      <c r="Y3297" s="102"/>
    </row>
    <row r="3298">
      <c r="A3298" s="78" t="s">
        <v>239</v>
      </c>
      <c r="B3298" s="248"/>
      <c r="C3298" s="99">
        <v>44038.0</v>
      </c>
      <c r="E3298" s="78" t="s">
        <v>41</v>
      </c>
      <c r="F3298" s="37">
        <v>1.0</v>
      </c>
      <c r="G3298" s="78" t="s">
        <v>32</v>
      </c>
      <c r="H3298" s="78">
        <v>1.0</v>
      </c>
      <c r="I3298" s="78" t="s">
        <v>33</v>
      </c>
      <c r="J3298" s="78" t="s">
        <v>147</v>
      </c>
      <c r="L3298" s="106" t="s">
        <v>194</v>
      </c>
      <c r="M3298" s="46" t="s">
        <v>8518</v>
      </c>
      <c r="N3298" s="106"/>
      <c r="S3298" s="37"/>
      <c r="T3298" s="38"/>
      <c r="U3298" s="38"/>
      <c r="V3298" s="78" t="s">
        <v>33</v>
      </c>
      <c r="W3298" s="106"/>
      <c r="X3298" s="106"/>
      <c r="Y3298" s="102"/>
    </row>
    <row r="3299">
      <c r="A3299" s="78" t="s">
        <v>239</v>
      </c>
      <c r="B3299" s="248"/>
      <c r="C3299" s="99">
        <v>44038.0</v>
      </c>
      <c r="E3299" s="78" t="s">
        <v>41</v>
      </c>
      <c r="F3299" s="37">
        <v>1.0</v>
      </c>
      <c r="G3299" s="78" t="s">
        <v>32</v>
      </c>
      <c r="H3299" s="78">
        <v>1.0</v>
      </c>
      <c r="I3299" s="78" t="s">
        <v>33</v>
      </c>
      <c r="J3299" s="78" t="s">
        <v>147</v>
      </c>
      <c r="L3299" s="106" t="s">
        <v>194</v>
      </c>
      <c r="M3299" s="46" t="s">
        <v>8519</v>
      </c>
      <c r="N3299" s="106"/>
      <c r="S3299" s="37"/>
      <c r="T3299" s="38"/>
      <c r="U3299" s="38"/>
      <c r="V3299" s="78" t="s">
        <v>33</v>
      </c>
      <c r="W3299" s="106"/>
      <c r="X3299" s="106"/>
      <c r="Y3299" s="102"/>
    </row>
    <row r="3300">
      <c r="A3300" s="78" t="s">
        <v>8520</v>
      </c>
      <c r="B3300" s="248"/>
      <c r="C3300" s="99">
        <v>44040.0</v>
      </c>
      <c r="E3300" s="78" t="s">
        <v>41</v>
      </c>
      <c r="F3300" s="37">
        <v>1.0</v>
      </c>
      <c r="G3300" s="78">
        <v>3.0</v>
      </c>
      <c r="H3300" s="78">
        <v>3.0</v>
      </c>
      <c r="I3300" s="78" t="s">
        <v>33</v>
      </c>
      <c r="J3300" s="78" t="s">
        <v>61</v>
      </c>
      <c r="L3300" s="106" t="s">
        <v>8521</v>
      </c>
      <c r="M3300" s="46" t="s">
        <v>8522</v>
      </c>
      <c r="N3300" s="106"/>
      <c r="S3300" s="37"/>
      <c r="T3300" s="38"/>
      <c r="U3300" s="38"/>
      <c r="V3300" s="78"/>
      <c r="W3300" s="106"/>
      <c r="X3300" s="106"/>
      <c r="Y3300" s="102"/>
    </row>
    <row r="3301">
      <c r="A3301" s="78" t="s">
        <v>8523</v>
      </c>
      <c r="B3301" s="248"/>
      <c r="C3301" s="99">
        <v>44040.0</v>
      </c>
      <c r="E3301" s="78" t="s">
        <v>41</v>
      </c>
      <c r="F3301" s="37">
        <v>1.0</v>
      </c>
      <c r="G3301" s="78" t="s">
        <v>32</v>
      </c>
      <c r="H3301" s="78">
        <v>1.0</v>
      </c>
      <c r="I3301" s="78" t="s">
        <v>33</v>
      </c>
      <c r="J3301" s="78" t="s">
        <v>93</v>
      </c>
      <c r="L3301" s="106" t="s">
        <v>646</v>
      </c>
      <c r="M3301" s="46" t="s">
        <v>8524</v>
      </c>
      <c r="N3301" s="106"/>
      <c r="S3301" s="37"/>
      <c r="T3301" s="38"/>
      <c r="U3301" s="38"/>
      <c r="V3301" s="78" t="s">
        <v>33</v>
      </c>
      <c r="W3301" s="106"/>
      <c r="X3301" s="106"/>
      <c r="Y3301" s="102"/>
    </row>
    <row r="3302">
      <c r="A3302" s="78" t="s">
        <v>8525</v>
      </c>
      <c r="B3302" s="248"/>
      <c r="C3302" s="99">
        <v>44041.0</v>
      </c>
      <c r="E3302" s="78" t="s">
        <v>31</v>
      </c>
      <c r="F3302" s="37">
        <v>1.0</v>
      </c>
      <c r="G3302" s="78">
        <v>1.0</v>
      </c>
      <c r="H3302" s="78">
        <v>1.0</v>
      </c>
      <c r="I3302" s="78" t="s">
        <v>33</v>
      </c>
      <c r="J3302" s="78" t="s">
        <v>93</v>
      </c>
      <c r="L3302" s="106" t="s">
        <v>119</v>
      </c>
      <c r="M3302" s="46" t="s">
        <v>8526</v>
      </c>
      <c r="N3302" s="46" t="s">
        <v>8527</v>
      </c>
      <c r="S3302" s="37"/>
      <c r="T3302" s="38"/>
      <c r="U3302" s="38"/>
      <c r="V3302" s="78" t="s">
        <v>33</v>
      </c>
      <c r="W3302" s="46" t="s">
        <v>8528</v>
      </c>
      <c r="X3302" s="46" t="s">
        <v>8529</v>
      </c>
      <c r="Y3302" s="102"/>
    </row>
    <row r="3303">
      <c r="A3303" s="78" t="s">
        <v>8530</v>
      </c>
      <c r="B3303" s="248"/>
      <c r="C3303" s="99">
        <v>44041.0</v>
      </c>
      <c r="E3303" s="78" t="s">
        <v>41</v>
      </c>
      <c r="F3303" s="37">
        <v>1.0</v>
      </c>
      <c r="G3303" s="78" t="s">
        <v>32</v>
      </c>
      <c r="H3303" s="78">
        <v>1.0</v>
      </c>
      <c r="I3303" s="78" t="s">
        <v>33</v>
      </c>
      <c r="J3303" s="78" t="s">
        <v>222</v>
      </c>
      <c r="L3303" s="106" t="s">
        <v>119</v>
      </c>
      <c r="M3303" s="46" t="s">
        <v>8531</v>
      </c>
      <c r="N3303" s="106"/>
      <c r="S3303" s="37"/>
      <c r="T3303" s="38"/>
      <c r="U3303" s="38"/>
      <c r="V3303" s="78" t="s">
        <v>33</v>
      </c>
      <c r="W3303" s="106"/>
      <c r="X3303" s="106"/>
      <c r="Y3303" s="102"/>
    </row>
    <row r="3304">
      <c r="A3304" s="78" t="s">
        <v>8532</v>
      </c>
      <c r="B3304" s="248"/>
      <c r="C3304" s="99">
        <v>44041.0</v>
      </c>
      <c r="E3304" s="78" t="s">
        <v>31</v>
      </c>
      <c r="F3304" s="37">
        <v>1.0</v>
      </c>
      <c r="G3304" s="78" t="s">
        <v>32</v>
      </c>
      <c r="H3304" s="78">
        <v>1.0</v>
      </c>
      <c r="I3304" s="78" t="s">
        <v>33</v>
      </c>
      <c r="J3304" s="78" t="s">
        <v>172</v>
      </c>
      <c r="L3304" s="106" t="s">
        <v>141</v>
      </c>
      <c r="M3304" s="46" t="s">
        <v>8533</v>
      </c>
      <c r="N3304" s="106"/>
      <c r="S3304" s="37"/>
      <c r="T3304" s="38"/>
      <c r="U3304" s="38"/>
      <c r="V3304" s="78" t="s">
        <v>33</v>
      </c>
      <c r="W3304" s="46" t="s">
        <v>8534</v>
      </c>
      <c r="X3304" s="46" t="s">
        <v>8535</v>
      </c>
      <c r="Y3304" s="102"/>
    </row>
    <row r="3305">
      <c r="A3305" s="78" t="s">
        <v>8536</v>
      </c>
      <c r="B3305" s="248"/>
      <c r="C3305" s="99">
        <v>44041.0</v>
      </c>
      <c r="E3305" s="78" t="s">
        <v>31</v>
      </c>
      <c r="F3305" s="37">
        <v>1.0</v>
      </c>
      <c r="G3305" s="78" t="s">
        <v>32</v>
      </c>
      <c r="H3305" s="78">
        <v>1.0</v>
      </c>
      <c r="I3305" s="78" t="s">
        <v>33</v>
      </c>
      <c r="J3305" s="78" t="s">
        <v>504</v>
      </c>
      <c r="L3305" s="106" t="s">
        <v>2383</v>
      </c>
      <c r="M3305" s="46" t="s">
        <v>8537</v>
      </c>
      <c r="N3305" s="106"/>
      <c r="S3305" s="37"/>
      <c r="T3305" s="38"/>
      <c r="U3305" s="38"/>
      <c r="V3305" s="78" t="s">
        <v>33</v>
      </c>
      <c r="W3305" s="46" t="s">
        <v>8538</v>
      </c>
      <c r="X3305" s="46" t="s">
        <v>8539</v>
      </c>
      <c r="Y3305" s="102"/>
    </row>
    <row r="3306">
      <c r="A3306" s="78" t="s">
        <v>8540</v>
      </c>
      <c r="B3306" s="248"/>
      <c r="C3306" s="99">
        <v>44042.0</v>
      </c>
      <c r="E3306" s="78" t="s">
        <v>41</v>
      </c>
      <c r="F3306" s="37">
        <v>1.0</v>
      </c>
      <c r="G3306" s="78" t="s">
        <v>32</v>
      </c>
      <c r="H3306" s="78">
        <v>1.0</v>
      </c>
      <c r="I3306" s="78" t="s">
        <v>33</v>
      </c>
      <c r="J3306" s="78" t="s">
        <v>147</v>
      </c>
      <c r="L3306" s="106" t="s">
        <v>69</v>
      </c>
      <c r="M3306" s="46" t="s">
        <v>8541</v>
      </c>
      <c r="N3306" s="106"/>
      <c r="S3306" s="37"/>
      <c r="T3306" s="38"/>
      <c r="U3306" s="38"/>
      <c r="V3306" s="78" t="s">
        <v>33</v>
      </c>
      <c r="W3306" s="106"/>
      <c r="X3306" s="106"/>
      <c r="Y3306" s="102"/>
    </row>
    <row r="3307">
      <c r="A3307" s="78" t="s">
        <v>8542</v>
      </c>
      <c r="B3307" s="248"/>
      <c r="C3307" s="99">
        <v>44042.0</v>
      </c>
      <c r="E3307" s="78" t="s">
        <v>31</v>
      </c>
      <c r="F3307" s="37">
        <v>1.0</v>
      </c>
      <c r="G3307" s="78" t="s">
        <v>32</v>
      </c>
      <c r="H3307" s="78">
        <v>1.0</v>
      </c>
      <c r="I3307" s="78" t="s">
        <v>33</v>
      </c>
      <c r="J3307" s="78" t="s">
        <v>147</v>
      </c>
      <c r="L3307" s="106" t="s">
        <v>69</v>
      </c>
      <c r="M3307" s="46" t="s">
        <v>8543</v>
      </c>
      <c r="N3307" s="46" t="s">
        <v>8544</v>
      </c>
      <c r="Q3307" s="78">
        <v>1.0</v>
      </c>
      <c r="S3307" s="91"/>
      <c r="T3307" s="96"/>
      <c r="U3307" s="38"/>
      <c r="V3307" s="78" t="s">
        <v>33</v>
      </c>
      <c r="W3307" s="46" t="s">
        <v>8545</v>
      </c>
      <c r="X3307" s="46" t="s">
        <v>8546</v>
      </c>
      <c r="Y3307" s="102"/>
    </row>
    <row r="3308">
      <c r="A3308" s="78" t="s">
        <v>8547</v>
      </c>
      <c r="B3308" s="248"/>
      <c r="C3308" s="99">
        <v>44042.0</v>
      </c>
      <c r="E3308" s="78" t="s">
        <v>31</v>
      </c>
      <c r="F3308" s="37">
        <v>1.0</v>
      </c>
      <c r="G3308" s="78" t="s">
        <v>32</v>
      </c>
      <c r="H3308" s="78">
        <v>1.0</v>
      </c>
      <c r="I3308" s="78" t="s">
        <v>33</v>
      </c>
      <c r="J3308" s="78" t="s">
        <v>111</v>
      </c>
      <c r="L3308" s="106" t="s">
        <v>52</v>
      </c>
      <c r="M3308" s="46" t="s">
        <v>8548</v>
      </c>
      <c r="N3308" s="106"/>
      <c r="S3308" s="37"/>
      <c r="T3308" s="38"/>
      <c r="U3308" s="38"/>
      <c r="V3308" s="78" t="s">
        <v>33</v>
      </c>
      <c r="W3308" s="46" t="s">
        <v>8549</v>
      </c>
      <c r="X3308" s="46" t="s">
        <v>8550</v>
      </c>
      <c r="Y3308" s="102"/>
    </row>
    <row r="3309">
      <c r="A3309" s="78" t="s">
        <v>8551</v>
      </c>
      <c r="B3309" s="248"/>
      <c r="C3309" s="99">
        <v>44042.0</v>
      </c>
      <c r="E3309" s="78" t="s">
        <v>41</v>
      </c>
      <c r="F3309" s="37">
        <v>1.0</v>
      </c>
      <c r="G3309" s="78" t="s">
        <v>32</v>
      </c>
      <c r="H3309" s="78">
        <v>1.0</v>
      </c>
      <c r="I3309" s="78" t="s">
        <v>33</v>
      </c>
      <c r="J3309" s="78" t="s">
        <v>410</v>
      </c>
      <c r="L3309" s="106" t="s">
        <v>119</v>
      </c>
      <c r="M3309" s="106" t="s">
        <v>8552</v>
      </c>
      <c r="N3309" s="46" t="s">
        <v>8553</v>
      </c>
      <c r="S3309" s="37"/>
      <c r="T3309" s="38"/>
      <c r="U3309" s="38"/>
      <c r="V3309" s="78" t="s">
        <v>33</v>
      </c>
      <c r="W3309" s="46" t="s">
        <v>8554</v>
      </c>
      <c r="X3309" s="106"/>
      <c r="Y3309" s="102"/>
    </row>
    <row r="3310">
      <c r="A3310" s="78" t="s">
        <v>8555</v>
      </c>
      <c r="B3310" s="248"/>
      <c r="C3310" s="99">
        <v>44042.0</v>
      </c>
      <c r="E3310" s="78" t="s">
        <v>31</v>
      </c>
      <c r="F3310" s="37">
        <v>1.0</v>
      </c>
      <c r="G3310" s="78" t="s">
        <v>32</v>
      </c>
      <c r="H3310" s="78">
        <v>1.0</v>
      </c>
      <c r="I3310" s="78" t="s">
        <v>33</v>
      </c>
      <c r="J3310" s="78" t="s">
        <v>47</v>
      </c>
      <c r="L3310" s="106" t="s">
        <v>8556</v>
      </c>
      <c r="M3310" s="46" t="s">
        <v>8557</v>
      </c>
      <c r="N3310" s="106"/>
      <c r="S3310" s="37"/>
      <c r="T3310" s="38"/>
      <c r="U3310" s="38"/>
      <c r="V3310" s="78" t="s">
        <v>33</v>
      </c>
      <c r="W3310" s="46" t="s">
        <v>8558</v>
      </c>
      <c r="X3310" s="46" t="s">
        <v>8559</v>
      </c>
      <c r="Y3310" s="102"/>
    </row>
    <row r="3311">
      <c r="A3311" s="78" t="s">
        <v>2175</v>
      </c>
      <c r="B3311" s="248"/>
      <c r="C3311" s="99">
        <v>44042.0</v>
      </c>
      <c r="E3311" s="78" t="s">
        <v>31</v>
      </c>
      <c r="F3311" s="37">
        <v>1.0</v>
      </c>
      <c r="G3311" s="78" t="s">
        <v>32</v>
      </c>
      <c r="H3311" s="78">
        <v>1.0</v>
      </c>
      <c r="I3311" s="78" t="s">
        <v>33</v>
      </c>
      <c r="J3311" s="78" t="s">
        <v>47</v>
      </c>
      <c r="L3311" s="106" t="s">
        <v>8556</v>
      </c>
      <c r="M3311" s="46" t="s">
        <v>8560</v>
      </c>
      <c r="N3311" s="106"/>
      <c r="S3311" s="37"/>
      <c r="T3311" s="38"/>
      <c r="U3311" s="38"/>
      <c r="V3311" s="78" t="s">
        <v>33</v>
      </c>
      <c r="W3311" s="46" t="s">
        <v>8561</v>
      </c>
      <c r="X3311" s="46" t="s">
        <v>8562</v>
      </c>
      <c r="Y3311" s="102"/>
    </row>
    <row r="3312">
      <c r="A3312" s="78" t="s">
        <v>8563</v>
      </c>
      <c r="B3312" s="248"/>
      <c r="C3312" s="99">
        <v>44042.0</v>
      </c>
      <c r="E3312" s="78" t="s">
        <v>31</v>
      </c>
      <c r="F3312" s="37">
        <v>1.0</v>
      </c>
      <c r="G3312" s="78" t="s">
        <v>32</v>
      </c>
      <c r="H3312" s="78">
        <v>1.0</v>
      </c>
      <c r="I3312" s="78" t="s">
        <v>33</v>
      </c>
      <c r="J3312" s="78" t="s">
        <v>47</v>
      </c>
      <c r="L3312" s="106" t="s">
        <v>8564</v>
      </c>
      <c r="M3312" s="46" t="s">
        <v>8560</v>
      </c>
      <c r="N3312" s="106"/>
      <c r="S3312" s="37"/>
      <c r="T3312" s="38"/>
      <c r="U3312" s="38"/>
      <c r="V3312" s="78" t="s">
        <v>33</v>
      </c>
      <c r="W3312" s="46" t="s">
        <v>8561</v>
      </c>
      <c r="X3312" s="282" t="s">
        <v>8565</v>
      </c>
      <c r="Y3312" s="102"/>
    </row>
    <row r="3313">
      <c r="A3313" s="78" t="s">
        <v>8566</v>
      </c>
      <c r="B3313" s="248"/>
      <c r="C3313" s="99">
        <v>44042.0</v>
      </c>
      <c r="E3313" s="78" t="s">
        <v>31</v>
      </c>
      <c r="F3313" s="37">
        <v>1.0</v>
      </c>
      <c r="G3313" s="78" t="s">
        <v>32</v>
      </c>
      <c r="H3313" s="78">
        <v>1.0</v>
      </c>
      <c r="I3313" s="78" t="s">
        <v>33</v>
      </c>
      <c r="J3313" s="78" t="s">
        <v>47</v>
      </c>
      <c r="L3313" s="106" t="s">
        <v>8564</v>
      </c>
      <c r="M3313" s="46" t="s">
        <v>8560</v>
      </c>
      <c r="N3313" s="106"/>
      <c r="S3313" s="37"/>
      <c r="T3313" s="38"/>
      <c r="U3313" s="38"/>
      <c r="V3313" s="78" t="s">
        <v>33</v>
      </c>
      <c r="W3313" s="46" t="s">
        <v>8561</v>
      </c>
      <c r="X3313" s="46" t="s">
        <v>8567</v>
      </c>
      <c r="Y3313" s="102"/>
    </row>
    <row r="3314">
      <c r="A3314" s="78" t="s">
        <v>8568</v>
      </c>
      <c r="B3314" s="248"/>
      <c r="C3314" s="99">
        <v>44042.0</v>
      </c>
      <c r="E3314" s="78" t="s">
        <v>31</v>
      </c>
      <c r="F3314" s="37">
        <v>1.0</v>
      </c>
      <c r="G3314" s="78" t="s">
        <v>32</v>
      </c>
      <c r="H3314" s="78">
        <v>1.0</v>
      </c>
      <c r="I3314" s="78" t="s">
        <v>33</v>
      </c>
      <c r="J3314" s="78" t="s">
        <v>47</v>
      </c>
      <c r="L3314" s="106" t="s">
        <v>8564</v>
      </c>
      <c r="M3314" s="46" t="s">
        <v>8560</v>
      </c>
      <c r="N3314" s="106"/>
      <c r="S3314" s="37"/>
      <c r="T3314" s="38"/>
      <c r="U3314" s="38"/>
      <c r="V3314" s="78" t="s">
        <v>33</v>
      </c>
      <c r="W3314" s="46" t="s">
        <v>8561</v>
      </c>
      <c r="X3314" s="46" t="s">
        <v>8569</v>
      </c>
      <c r="Y3314" s="102"/>
    </row>
    <row r="3315">
      <c r="A3315" s="78" t="s">
        <v>8570</v>
      </c>
      <c r="B3315" s="248"/>
      <c r="C3315" s="99">
        <v>44042.0</v>
      </c>
      <c r="E3315" s="78" t="s">
        <v>31</v>
      </c>
      <c r="F3315" s="37">
        <v>1.0</v>
      </c>
      <c r="G3315" s="78" t="s">
        <v>32</v>
      </c>
      <c r="H3315" s="78">
        <v>1.0</v>
      </c>
      <c r="I3315" s="78" t="s">
        <v>33</v>
      </c>
      <c r="J3315" s="78" t="s">
        <v>47</v>
      </c>
      <c r="L3315" s="106" t="s">
        <v>8564</v>
      </c>
      <c r="M3315" s="46" t="s">
        <v>8560</v>
      </c>
      <c r="N3315" s="106"/>
      <c r="S3315" s="37"/>
      <c r="T3315" s="38"/>
      <c r="U3315" s="38"/>
      <c r="V3315" s="78" t="s">
        <v>33</v>
      </c>
      <c r="W3315" s="46" t="s">
        <v>8561</v>
      </c>
      <c r="X3315" s="46" t="s">
        <v>8571</v>
      </c>
      <c r="Y3315" s="102"/>
    </row>
    <row r="3316">
      <c r="A3316" s="78" t="s">
        <v>8572</v>
      </c>
      <c r="B3316" s="248"/>
      <c r="C3316" s="99">
        <v>44042.0</v>
      </c>
      <c r="E3316" s="78" t="s">
        <v>31</v>
      </c>
      <c r="F3316" s="37">
        <v>1.0</v>
      </c>
      <c r="G3316" s="78" t="s">
        <v>32</v>
      </c>
      <c r="H3316" s="78">
        <v>1.0</v>
      </c>
      <c r="I3316" s="78" t="s">
        <v>33</v>
      </c>
      <c r="J3316" s="78" t="s">
        <v>47</v>
      </c>
      <c r="L3316" s="106" t="s">
        <v>8564</v>
      </c>
      <c r="M3316" s="46" t="s">
        <v>8560</v>
      </c>
      <c r="N3316" s="106"/>
      <c r="S3316" s="37"/>
      <c r="T3316" s="38"/>
      <c r="U3316" s="38"/>
      <c r="V3316" s="78" t="s">
        <v>33</v>
      </c>
      <c r="W3316" s="46" t="s">
        <v>8561</v>
      </c>
      <c r="X3316" s="46" t="s">
        <v>8573</v>
      </c>
      <c r="Y3316" s="102"/>
    </row>
    <row r="3317">
      <c r="A3317" s="78" t="s">
        <v>8574</v>
      </c>
      <c r="B3317" s="248"/>
      <c r="C3317" s="99">
        <v>44042.0</v>
      </c>
      <c r="E3317" s="78" t="s">
        <v>31</v>
      </c>
      <c r="F3317" s="37">
        <v>1.0</v>
      </c>
      <c r="G3317" s="78" t="s">
        <v>32</v>
      </c>
      <c r="H3317" s="78">
        <v>1.0</v>
      </c>
      <c r="I3317" s="78" t="s">
        <v>33</v>
      </c>
      <c r="J3317" s="78" t="s">
        <v>47</v>
      </c>
      <c r="L3317" s="106" t="s">
        <v>8564</v>
      </c>
      <c r="M3317" s="46" t="s">
        <v>8575</v>
      </c>
      <c r="N3317" s="106"/>
      <c r="S3317" s="37"/>
      <c r="T3317" s="38"/>
      <c r="U3317" s="38"/>
      <c r="V3317" s="78" t="s">
        <v>33</v>
      </c>
      <c r="W3317" s="46" t="s">
        <v>8576</v>
      </c>
      <c r="X3317" s="46" t="s">
        <v>8577</v>
      </c>
      <c r="Y3317" s="102"/>
    </row>
    <row r="3318">
      <c r="A3318" s="78" t="s">
        <v>8578</v>
      </c>
      <c r="B3318" s="248"/>
      <c r="C3318" s="99">
        <v>44043.0</v>
      </c>
      <c r="E3318" s="78" t="s">
        <v>41</v>
      </c>
      <c r="F3318" s="37">
        <v>1.0</v>
      </c>
      <c r="G3318" s="78" t="s">
        <v>32</v>
      </c>
      <c r="H3318" s="78">
        <v>1.0</v>
      </c>
      <c r="I3318" s="78" t="s">
        <v>33</v>
      </c>
      <c r="J3318" s="78" t="s">
        <v>222</v>
      </c>
      <c r="L3318" s="106" t="s">
        <v>8579</v>
      </c>
      <c r="M3318" s="46" t="s">
        <v>8580</v>
      </c>
      <c r="N3318" s="106"/>
      <c r="S3318" s="37"/>
      <c r="T3318" s="38"/>
      <c r="U3318" s="38"/>
      <c r="V3318" s="78" t="s">
        <v>33</v>
      </c>
      <c r="W3318" s="106"/>
      <c r="X3318" s="106"/>
      <c r="Y3318" s="102"/>
    </row>
    <row r="3319">
      <c r="A3319" s="78" t="s">
        <v>8581</v>
      </c>
      <c r="B3319" s="248"/>
      <c r="C3319" s="99">
        <v>44043.0</v>
      </c>
      <c r="E3319" s="78" t="s">
        <v>41</v>
      </c>
      <c r="F3319" s="37">
        <v>1.0</v>
      </c>
      <c r="G3319" s="78" t="s">
        <v>32</v>
      </c>
      <c r="H3319" s="78">
        <v>1.0</v>
      </c>
      <c r="I3319" s="78" t="s">
        <v>33</v>
      </c>
      <c r="J3319" s="78" t="s">
        <v>410</v>
      </c>
      <c r="L3319" s="106" t="s">
        <v>119</v>
      </c>
      <c r="M3319" s="46" t="s">
        <v>8582</v>
      </c>
      <c r="N3319" s="106"/>
      <c r="S3319" s="37"/>
      <c r="T3319" s="38"/>
      <c r="U3319" s="38"/>
      <c r="V3319" s="78" t="s">
        <v>33</v>
      </c>
      <c r="W3319" s="106"/>
      <c r="X3319" s="106"/>
      <c r="Y3319" s="102"/>
    </row>
    <row r="3320">
      <c r="A3320" s="78" t="s">
        <v>8583</v>
      </c>
      <c r="B3320" s="248"/>
      <c r="C3320" s="100">
        <v>44044.0</v>
      </c>
      <c r="E3320" s="78" t="s">
        <v>31</v>
      </c>
      <c r="F3320" s="37">
        <v>1.0</v>
      </c>
      <c r="G3320" s="78" t="s">
        <v>32</v>
      </c>
      <c r="H3320" s="78">
        <v>1.0</v>
      </c>
      <c r="I3320" s="78" t="s">
        <v>33</v>
      </c>
      <c r="J3320" s="78" t="s">
        <v>147</v>
      </c>
      <c r="L3320" s="106" t="s">
        <v>8584</v>
      </c>
      <c r="M3320" s="46" t="s">
        <v>8585</v>
      </c>
      <c r="N3320" s="46" t="s">
        <v>8586</v>
      </c>
      <c r="S3320" s="37"/>
      <c r="T3320" s="38"/>
      <c r="U3320" s="38"/>
      <c r="V3320" s="78" t="s">
        <v>33</v>
      </c>
      <c r="W3320" s="46" t="s">
        <v>8587</v>
      </c>
      <c r="X3320" s="282" t="s">
        <v>8588</v>
      </c>
      <c r="Y3320" s="102"/>
    </row>
    <row r="3321">
      <c r="A3321" s="78" t="s">
        <v>8589</v>
      </c>
      <c r="B3321" s="248"/>
      <c r="C3321" s="99">
        <v>44046.0</v>
      </c>
      <c r="E3321" s="78" t="s">
        <v>41</v>
      </c>
      <c r="F3321" s="37">
        <v>1.0</v>
      </c>
      <c r="G3321" s="78" t="s">
        <v>32</v>
      </c>
      <c r="H3321" s="78">
        <v>1.0</v>
      </c>
      <c r="I3321" s="78" t="s">
        <v>33</v>
      </c>
      <c r="J3321" s="78" t="s">
        <v>106</v>
      </c>
      <c r="L3321" s="106" t="s">
        <v>76</v>
      </c>
      <c r="M3321" s="46" t="s">
        <v>8590</v>
      </c>
      <c r="N3321" s="106"/>
      <c r="S3321" s="37"/>
      <c r="T3321" s="38"/>
      <c r="U3321" s="38"/>
      <c r="V3321" s="78" t="s">
        <v>33</v>
      </c>
      <c r="W3321" s="106"/>
      <c r="X3321" s="106"/>
      <c r="Y3321" s="102"/>
    </row>
    <row r="3322">
      <c r="A3322" s="78" t="s">
        <v>239</v>
      </c>
      <c r="B3322" s="248"/>
      <c r="C3322" s="99">
        <v>44046.0</v>
      </c>
      <c r="E3322" s="78" t="s">
        <v>41</v>
      </c>
      <c r="F3322" s="37">
        <v>1.0</v>
      </c>
      <c r="G3322" s="78" t="s">
        <v>32</v>
      </c>
      <c r="H3322" s="78">
        <v>1.0</v>
      </c>
      <c r="I3322" s="78" t="s">
        <v>33</v>
      </c>
      <c r="J3322" s="78" t="s">
        <v>147</v>
      </c>
      <c r="L3322" s="106" t="s">
        <v>194</v>
      </c>
      <c r="M3322" s="46" t="s">
        <v>8591</v>
      </c>
      <c r="N3322" s="106"/>
      <c r="S3322" s="37"/>
      <c r="T3322" s="38"/>
      <c r="U3322" s="38"/>
      <c r="V3322" s="78" t="s">
        <v>33</v>
      </c>
      <c r="W3322" s="106"/>
      <c r="X3322" s="106"/>
      <c r="Y3322" s="102"/>
    </row>
    <row r="3323">
      <c r="A3323" s="78" t="s">
        <v>8592</v>
      </c>
      <c r="B3323" s="248"/>
      <c r="C3323" s="99">
        <v>44047.0</v>
      </c>
      <c r="E3323" s="78" t="s">
        <v>41</v>
      </c>
      <c r="F3323" s="37">
        <v>1.0</v>
      </c>
      <c r="G3323" s="78" t="s">
        <v>32</v>
      </c>
      <c r="H3323" s="78">
        <v>1.0</v>
      </c>
      <c r="I3323" s="78" t="s">
        <v>33</v>
      </c>
      <c r="J3323" s="78" t="s">
        <v>909</v>
      </c>
      <c r="L3323" s="106" t="s">
        <v>119</v>
      </c>
      <c r="M3323" s="106" t="s">
        <v>8593</v>
      </c>
      <c r="N3323" s="106"/>
      <c r="S3323" s="37"/>
      <c r="T3323" s="38"/>
      <c r="U3323" s="38"/>
      <c r="V3323" s="78" t="s">
        <v>33</v>
      </c>
      <c r="W3323" s="106"/>
      <c r="X3323" s="106"/>
      <c r="Y3323" s="102"/>
    </row>
    <row r="3324">
      <c r="A3324" s="78" t="s">
        <v>239</v>
      </c>
      <c r="B3324" s="248"/>
      <c r="C3324" s="99">
        <v>44047.0</v>
      </c>
      <c r="E3324" s="78" t="s">
        <v>41</v>
      </c>
      <c r="F3324" s="37">
        <v>1.0</v>
      </c>
      <c r="G3324" s="78" t="s">
        <v>32</v>
      </c>
      <c r="H3324" s="78">
        <v>1.0</v>
      </c>
      <c r="I3324" s="78" t="s">
        <v>33</v>
      </c>
      <c r="J3324" s="78" t="s">
        <v>241</v>
      </c>
      <c r="L3324" s="106" t="s">
        <v>194</v>
      </c>
      <c r="M3324" s="46" t="s">
        <v>8594</v>
      </c>
      <c r="N3324" s="106"/>
      <c r="S3324" s="37"/>
      <c r="T3324" s="38"/>
      <c r="U3324" s="38"/>
      <c r="V3324" s="78" t="s">
        <v>33</v>
      </c>
      <c r="W3324" s="106"/>
      <c r="X3324" s="106"/>
      <c r="Y3324" s="102"/>
    </row>
    <row r="3325">
      <c r="A3325" s="78" t="s">
        <v>239</v>
      </c>
      <c r="B3325" s="248"/>
      <c r="C3325" s="99">
        <v>44047.0</v>
      </c>
      <c r="E3325" s="78" t="s">
        <v>41</v>
      </c>
      <c r="F3325" s="37">
        <v>1.0</v>
      </c>
      <c r="G3325" s="78" t="s">
        <v>32</v>
      </c>
      <c r="H3325" s="78">
        <v>1.0</v>
      </c>
      <c r="I3325" s="78" t="s">
        <v>33</v>
      </c>
      <c r="J3325" s="78" t="s">
        <v>147</v>
      </c>
      <c r="L3325" s="106" t="s">
        <v>194</v>
      </c>
      <c r="M3325" s="46" t="s">
        <v>8595</v>
      </c>
      <c r="N3325" s="106"/>
      <c r="S3325" s="37"/>
      <c r="T3325" s="38"/>
      <c r="U3325" s="38"/>
      <c r="V3325" s="78" t="s">
        <v>33</v>
      </c>
      <c r="W3325" s="106"/>
      <c r="X3325" s="106"/>
      <c r="Y3325" s="102"/>
    </row>
    <row r="3326">
      <c r="A3326" s="78" t="s">
        <v>8596</v>
      </c>
      <c r="B3326" s="248"/>
      <c r="C3326" s="99">
        <v>44047.0</v>
      </c>
      <c r="E3326" s="78" t="s">
        <v>41</v>
      </c>
      <c r="F3326" s="37">
        <v>1.0</v>
      </c>
      <c r="G3326" s="78" t="s">
        <v>32</v>
      </c>
      <c r="H3326" s="78">
        <v>1.0</v>
      </c>
      <c r="I3326" s="78" t="s">
        <v>33</v>
      </c>
      <c r="J3326" s="78" t="s">
        <v>55</v>
      </c>
      <c r="L3326" s="106" t="s">
        <v>76</v>
      </c>
      <c r="M3326" s="46" t="s">
        <v>8597</v>
      </c>
      <c r="N3326" s="106"/>
      <c r="S3326" s="37"/>
      <c r="T3326" s="38"/>
      <c r="U3326" s="38"/>
      <c r="V3326" s="78" t="s">
        <v>33</v>
      </c>
      <c r="W3326" s="106"/>
      <c r="X3326" s="106"/>
      <c r="Y3326" s="102"/>
    </row>
    <row r="3327">
      <c r="A3327" s="78" t="s">
        <v>8598</v>
      </c>
      <c r="B3327" s="248"/>
      <c r="C3327" s="99">
        <v>44047.0</v>
      </c>
      <c r="E3327" s="78" t="s">
        <v>41</v>
      </c>
      <c r="F3327" s="37">
        <v>1.0</v>
      </c>
      <c r="G3327" s="78">
        <v>1.0</v>
      </c>
      <c r="H3327" s="78">
        <v>1.0</v>
      </c>
      <c r="I3327" s="78" t="s">
        <v>33</v>
      </c>
      <c r="J3327" s="78" t="s">
        <v>179</v>
      </c>
      <c r="L3327" s="106" t="s">
        <v>2316</v>
      </c>
      <c r="M3327" s="46" t="s">
        <v>8599</v>
      </c>
      <c r="N3327" s="46" t="s">
        <v>8600</v>
      </c>
      <c r="S3327" s="37"/>
      <c r="T3327" s="38"/>
      <c r="U3327" s="38"/>
      <c r="V3327" s="78" t="s">
        <v>33</v>
      </c>
      <c r="W3327" s="46" t="s">
        <v>8601</v>
      </c>
      <c r="X3327" s="106"/>
      <c r="Y3327" s="102"/>
    </row>
    <row r="3328">
      <c r="A3328" s="78" t="s">
        <v>8602</v>
      </c>
      <c r="B3328" s="248"/>
      <c r="C3328" s="99">
        <v>44047.0</v>
      </c>
      <c r="E3328" s="78" t="s">
        <v>41</v>
      </c>
      <c r="F3328" s="37">
        <v>1.0</v>
      </c>
      <c r="G3328" s="78" t="s">
        <v>32</v>
      </c>
      <c r="H3328" s="78">
        <v>0.0</v>
      </c>
      <c r="I3328" s="78" t="s">
        <v>33</v>
      </c>
      <c r="J3328" s="78" t="s">
        <v>179</v>
      </c>
      <c r="L3328" s="106" t="s">
        <v>2316</v>
      </c>
      <c r="M3328" s="46" t="s">
        <v>8603</v>
      </c>
      <c r="N3328" s="46" t="s">
        <v>8604</v>
      </c>
      <c r="S3328" s="37"/>
      <c r="T3328" s="38"/>
      <c r="U3328" s="38"/>
      <c r="V3328" s="78" t="s">
        <v>33</v>
      </c>
      <c r="W3328" s="46" t="s">
        <v>8601</v>
      </c>
      <c r="X3328" s="106"/>
      <c r="Y3328" s="102"/>
    </row>
    <row r="3329">
      <c r="A3329" s="78" t="s">
        <v>8605</v>
      </c>
      <c r="B3329" s="248"/>
      <c r="C3329" s="99">
        <v>44047.0</v>
      </c>
      <c r="E3329" s="78" t="s">
        <v>41</v>
      </c>
      <c r="F3329" s="37">
        <v>1.0</v>
      </c>
      <c r="G3329" s="78" t="s">
        <v>32</v>
      </c>
      <c r="H3329" s="78">
        <v>0.0</v>
      </c>
      <c r="I3329" s="78" t="s">
        <v>33</v>
      </c>
      <c r="J3329" s="78" t="s">
        <v>179</v>
      </c>
      <c r="L3329" s="106" t="s">
        <v>2316</v>
      </c>
      <c r="M3329" s="46" t="s">
        <v>8603</v>
      </c>
      <c r="N3329" s="46" t="s">
        <v>8604</v>
      </c>
      <c r="S3329" s="37"/>
      <c r="T3329" s="38"/>
      <c r="U3329" s="38"/>
      <c r="V3329" s="78" t="s">
        <v>33</v>
      </c>
      <c r="W3329" s="46" t="s">
        <v>8601</v>
      </c>
      <c r="X3329" s="106"/>
      <c r="Y3329" s="102"/>
    </row>
    <row r="3330">
      <c r="A3330" s="78" t="s">
        <v>8606</v>
      </c>
      <c r="B3330" s="248"/>
      <c r="C3330" s="99">
        <v>44047.0</v>
      </c>
      <c r="E3330" s="78" t="s">
        <v>41</v>
      </c>
      <c r="F3330" s="37">
        <v>1.0</v>
      </c>
      <c r="G3330" s="78" t="s">
        <v>32</v>
      </c>
      <c r="H3330" s="78">
        <v>0.0</v>
      </c>
      <c r="I3330" s="78" t="s">
        <v>33</v>
      </c>
      <c r="J3330" s="78" t="s">
        <v>179</v>
      </c>
      <c r="L3330" s="106" t="s">
        <v>2316</v>
      </c>
      <c r="M3330" s="46" t="s">
        <v>8603</v>
      </c>
      <c r="N3330" s="46" t="s">
        <v>8604</v>
      </c>
      <c r="S3330" s="37"/>
      <c r="T3330" s="38"/>
      <c r="U3330" s="38"/>
      <c r="V3330" s="78" t="s">
        <v>33</v>
      </c>
      <c r="W3330" s="46" t="s">
        <v>8601</v>
      </c>
      <c r="X3330" s="106"/>
      <c r="Y3330" s="102"/>
    </row>
    <row r="3331">
      <c r="A3331" s="78" t="s">
        <v>8607</v>
      </c>
      <c r="B3331" s="248"/>
      <c r="C3331" s="99">
        <v>44047.0</v>
      </c>
      <c r="E3331" s="78" t="s">
        <v>41</v>
      </c>
      <c r="F3331" s="37">
        <v>1.0</v>
      </c>
      <c r="G3331" s="78" t="s">
        <v>32</v>
      </c>
      <c r="H3331" s="78">
        <v>0.0</v>
      </c>
      <c r="I3331" s="78" t="s">
        <v>33</v>
      </c>
      <c r="J3331" s="78" t="s">
        <v>179</v>
      </c>
      <c r="L3331" s="106" t="s">
        <v>2316</v>
      </c>
      <c r="M3331" s="46" t="s">
        <v>8603</v>
      </c>
      <c r="N3331" s="46" t="s">
        <v>8604</v>
      </c>
      <c r="S3331" s="37"/>
      <c r="T3331" s="38"/>
      <c r="U3331" s="38"/>
      <c r="V3331" s="78" t="s">
        <v>33</v>
      </c>
      <c r="W3331" s="46" t="s">
        <v>8601</v>
      </c>
      <c r="X3331" s="106"/>
      <c r="Y3331" s="102"/>
    </row>
    <row r="3332">
      <c r="A3332" s="78" t="s">
        <v>8608</v>
      </c>
      <c r="B3332" s="248"/>
      <c r="C3332" s="99">
        <v>44047.0</v>
      </c>
      <c r="E3332" s="78" t="s">
        <v>41</v>
      </c>
      <c r="F3332" s="37">
        <v>1.0</v>
      </c>
      <c r="G3332" s="78" t="s">
        <v>32</v>
      </c>
      <c r="H3332" s="78">
        <v>0.0</v>
      </c>
      <c r="I3332" s="78" t="s">
        <v>33</v>
      </c>
      <c r="J3332" s="78" t="s">
        <v>179</v>
      </c>
      <c r="L3332" s="106" t="s">
        <v>2316</v>
      </c>
      <c r="M3332" s="46" t="s">
        <v>8603</v>
      </c>
      <c r="N3332" s="46" t="s">
        <v>8604</v>
      </c>
      <c r="S3332" s="37"/>
      <c r="T3332" s="38"/>
      <c r="U3332" s="38"/>
      <c r="V3332" s="78" t="s">
        <v>33</v>
      </c>
      <c r="W3332" s="46" t="s">
        <v>8601</v>
      </c>
      <c r="X3332" s="106"/>
      <c r="Y3332" s="102"/>
    </row>
    <row r="3333">
      <c r="A3333" s="78" t="s">
        <v>8609</v>
      </c>
      <c r="B3333" s="248"/>
      <c r="C3333" s="99">
        <v>44047.0</v>
      </c>
      <c r="E3333" s="78" t="s">
        <v>41</v>
      </c>
      <c r="F3333" s="37">
        <v>1.0</v>
      </c>
      <c r="G3333" s="78" t="s">
        <v>32</v>
      </c>
      <c r="H3333" s="78">
        <v>0.0</v>
      </c>
      <c r="I3333" s="78" t="s">
        <v>33</v>
      </c>
      <c r="J3333" s="78" t="s">
        <v>179</v>
      </c>
      <c r="L3333" s="106" t="s">
        <v>2316</v>
      </c>
      <c r="M3333" s="46" t="s">
        <v>8603</v>
      </c>
      <c r="N3333" s="46" t="s">
        <v>8604</v>
      </c>
      <c r="S3333" s="37"/>
      <c r="T3333" s="38"/>
      <c r="U3333" s="38"/>
      <c r="V3333" s="78" t="s">
        <v>33</v>
      </c>
      <c r="W3333" s="46" t="s">
        <v>8601</v>
      </c>
      <c r="X3333" s="106"/>
      <c r="Y3333" s="102"/>
    </row>
    <row r="3334">
      <c r="A3334" s="78" t="s">
        <v>8610</v>
      </c>
      <c r="B3334" s="248"/>
      <c r="C3334" s="99">
        <v>44047.0</v>
      </c>
      <c r="E3334" s="78" t="s">
        <v>41</v>
      </c>
      <c r="F3334" s="37">
        <v>1.0</v>
      </c>
      <c r="G3334" s="78" t="s">
        <v>32</v>
      </c>
      <c r="H3334" s="78">
        <v>0.0</v>
      </c>
      <c r="I3334" s="78" t="s">
        <v>33</v>
      </c>
      <c r="J3334" s="78" t="s">
        <v>179</v>
      </c>
      <c r="L3334" s="106" t="s">
        <v>2316</v>
      </c>
      <c r="M3334" s="46" t="s">
        <v>8603</v>
      </c>
      <c r="N3334" s="46" t="s">
        <v>8604</v>
      </c>
      <c r="S3334" s="37"/>
      <c r="T3334" s="38"/>
      <c r="U3334" s="38"/>
      <c r="V3334" s="78" t="s">
        <v>33</v>
      </c>
      <c r="W3334" s="46" t="s">
        <v>8601</v>
      </c>
      <c r="X3334" s="106"/>
      <c r="Y3334" s="102"/>
    </row>
    <row r="3335">
      <c r="A3335" s="78" t="s">
        <v>8611</v>
      </c>
      <c r="B3335" s="248"/>
      <c r="C3335" s="99">
        <v>44047.0</v>
      </c>
      <c r="E3335" s="78" t="s">
        <v>41</v>
      </c>
      <c r="F3335" s="37">
        <v>1.0</v>
      </c>
      <c r="G3335" s="78" t="s">
        <v>32</v>
      </c>
      <c r="H3335" s="78">
        <v>0.0</v>
      </c>
      <c r="I3335" s="78" t="s">
        <v>33</v>
      </c>
      <c r="J3335" s="78" t="s">
        <v>179</v>
      </c>
      <c r="L3335" s="106" t="s">
        <v>2316</v>
      </c>
      <c r="M3335" s="46" t="s">
        <v>8603</v>
      </c>
      <c r="N3335" s="46" t="s">
        <v>8604</v>
      </c>
      <c r="S3335" s="37"/>
      <c r="T3335" s="38"/>
      <c r="U3335" s="38"/>
      <c r="V3335" s="78" t="s">
        <v>33</v>
      </c>
      <c r="W3335" s="46" t="s">
        <v>8601</v>
      </c>
      <c r="X3335" s="106"/>
      <c r="Y3335" s="102"/>
    </row>
    <row r="3336">
      <c r="A3336" s="78" t="s">
        <v>8612</v>
      </c>
      <c r="B3336" s="248"/>
      <c r="C3336" s="99">
        <v>44047.0</v>
      </c>
      <c r="E3336" s="78" t="s">
        <v>41</v>
      </c>
      <c r="F3336" s="37">
        <v>1.0</v>
      </c>
      <c r="G3336" s="78" t="s">
        <v>32</v>
      </c>
      <c r="H3336" s="78">
        <v>0.0</v>
      </c>
      <c r="I3336" s="78" t="s">
        <v>33</v>
      </c>
      <c r="J3336" s="78" t="s">
        <v>179</v>
      </c>
      <c r="L3336" s="106" t="s">
        <v>2316</v>
      </c>
      <c r="M3336" s="46" t="s">
        <v>8603</v>
      </c>
      <c r="N3336" s="46" t="s">
        <v>8604</v>
      </c>
      <c r="S3336" s="37"/>
      <c r="T3336" s="38"/>
      <c r="U3336" s="38"/>
      <c r="V3336" s="78" t="s">
        <v>33</v>
      </c>
      <c r="W3336" s="46" t="s">
        <v>8601</v>
      </c>
      <c r="X3336" s="106"/>
      <c r="Y3336" s="102"/>
    </row>
    <row r="3337">
      <c r="A3337" s="78" t="s">
        <v>8613</v>
      </c>
      <c r="B3337" s="248"/>
      <c r="C3337" s="99">
        <v>44047.0</v>
      </c>
      <c r="E3337" s="78" t="s">
        <v>41</v>
      </c>
      <c r="F3337" s="37">
        <v>1.0</v>
      </c>
      <c r="G3337" s="78" t="s">
        <v>32</v>
      </c>
      <c r="H3337" s="78">
        <v>0.0</v>
      </c>
      <c r="I3337" s="78" t="s">
        <v>33</v>
      </c>
      <c r="J3337" s="78" t="s">
        <v>179</v>
      </c>
      <c r="L3337" s="106" t="s">
        <v>2316</v>
      </c>
      <c r="M3337" s="46" t="s">
        <v>8603</v>
      </c>
      <c r="N3337" s="46" t="s">
        <v>8604</v>
      </c>
      <c r="S3337" s="37"/>
      <c r="T3337" s="38"/>
      <c r="U3337" s="38"/>
      <c r="V3337" s="78" t="s">
        <v>33</v>
      </c>
      <c r="W3337" s="46" t="s">
        <v>8601</v>
      </c>
      <c r="X3337" s="106"/>
      <c r="Y3337" s="102"/>
    </row>
    <row r="3338">
      <c r="A3338" s="78" t="s">
        <v>8614</v>
      </c>
      <c r="B3338" s="248"/>
      <c r="C3338" s="99">
        <v>44047.0</v>
      </c>
      <c r="E3338" s="78" t="s">
        <v>41</v>
      </c>
      <c r="F3338" s="37">
        <v>1.0</v>
      </c>
      <c r="G3338" s="78" t="s">
        <v>32</v>
      </c>
      <c r="H3338" s="78">
        <v>1.0</v>
      </c>
      <c r="I3338" s="78" t="s">
        <v>33</v>
      </c>
      <c r="J3338" s="78" t="s">
        <v>111</v>
      </c>
      <c r="L3338" s="106" t="s">
        <v>69</v>
      </c>
      <c r="M3338" s="46" t="s">
        <v>8615</v>
      </c>
      <c r="N3338" s="106"/>
      <c r="S3338" s="37"/>
      <c r="T3338" s="38"/>
      <c r="U3338" s="38"/>
      <c r="V3338" s="78" t="s">
        <v>33</v>
      </c>
      <c r="W3338" s="106"/>
      <c r="X3338" s="106"/>
      <c r="Y3338" s="102"/>
    </row>
    <row r="3339">
      <c r="A3339" s="78" t="s">
        <v>8616</v>
      </c>
      <c r="B3339" s="248"/>
      <c r="C3339" s="99">
        <v>44048.0</v>
      </c>
      <c r="E3339" s="78" t="s">
        <v>41</v>
      </c>
      <c r="F3339" s="37">
        <v>1.0</v>
      </c>
      <c r="G3339" s="78" t="s">
        <v>32</v>
      </c>
      <c r="H3339" s="78">
        <v>1.0</v>
      </c>
      <c r="I3339" s="78" t="s">
        <v>33</v>
      </c>
      <c r="J3339" s="78" t="s">
        <v>343</v>
      </c>
      <c r="L3339" s="106" t="s">
        <v>119</v>
      </c>
      <c r="M3339" s="46" t="s">
        <v>8617</v>
      </c>
      <c r="N3339" s="106"/>
      <c r="Q3339" s="78">
        <v>1.0</v>
      </c>
      <c r="S3339" s="37"/>
      <c r="T3339" s="38"/>
      <c r="U3339" s="38"/>
      <c r="V3339" s="78" t="s">
        <v>33</v>
      </c>
      <c r="W3339" s="106"/>
      <c r="X3339" s="106"/>
      <c r="Y3339" s="102"/>
    </row>
    <row r="3340">
      <c r="A3340" s="78" t="s">
        <v>8618</v>
      </c>
      <c r="B3340" s="248"/>
      <c r="C3340" s="99">
        <v>44048.0</v>
      </c>
      <c r="E3340" s="78" t="s">
        <v>41</v>
      </c>
      <c r="F3340" s="37">
        <v>1.0</v>
      </c>
      <c r="G3340" s="78" t="s">
        <v>32</v>
      </c>
      <c r="H3340" s="78">
        <v>1.0</v>
      </c>
      <c r="I3340" s="78" t="s">
        <v>33</v>
      </c>
      <c r="J3340" s="78" t="s">
        <v>124</v>
      </c>
      <c r="L3340" s="106" t="s">
        <v>6007</v>
      </c>
      <c r="M3340" s="46" t="s">
        <v>8619</v>
      </c>
      <c r="N3340" s="46" t="s">
        <v>8620</v>
      </c>
      <c r="S3340" s="37"/>
      <c r="T3340" s="38"/>
      <c r="U3340" s="38"/>
      <c r="V3340" s="78" t="s">
        <v>33</v>
      </c>
      <c r="W3340" s="46" t="s">
        <v>8621</v>
      </c>
      <c r="X3340" s="46" t="s">
        <v>8622</v>
      </c>
      <c r="Y3340" s="102"/>
    </row>
    <row r="3341">
      <c r="A3341" s="78" t="s">
        <v>239</v>
      </c>
      <c r="B3341" s="248"/>
      <c r="C3341" s="99">
        <v>44048.0</v>
      </c>
      <c r="E3341" s="78" t="s">
        <v>41</v>
      </c>
      <c r="F3341" s="37">
        <v>1.0</v>
      </c>
      <c r="G3341" s="78" t="s">
        <v>32</v>
      </c>
      <c r="H3341" s="78">
        <v>1.0</v>
      </c>
      <c r="I3341" s="78" t="s">
        <v>33</v>
      </c>
      <c r="J3341" s="78" t="s">
        <v>147</v>
      </c>
      <c r="L3341" s="106" t="s">
        <v>194</v>
      </c>
      <c r="M3341" s="46" t="s">
        <v>8623</v>
      </c>
      <c r="N3341" s="106"/>
      <c r="S3341" s="37"/>
      <c r="T3341" s="38"/>
      <c r="U3341" s="38"/>
      <c r="V3341" s="78" t="s">
        <v>33</v>
      </c>
      <c r="W3341" s="106"/>
      <c r="X3341" s="106"/>
      <c r="Y3341" s="102"/>
    </row>
    <row r="3342">
      <c r="A3342" s="78" t="s">
        <v>239</v>
      </c>
      <c r="B3342" s="248"/>
      <c r="C3342" s="99">
        <v>44048.0</v>
      </c>
      <c r="E3342" s="78" t="s">
        <v>41</v>
      </c>
      <c r="F3342" s="37">
        <v>1.0</v>
      </c>
      <c r="G3342" s="78" t="s">
        <v>32</v>
      </c>
      <c r="H3342" s="78">
        <v>1.0</v>
      </c>
      <c r="I3342" s="78" t="s">
        <v>33</v>
      </c>
      <c r="J3342" s="78" t="s">
        <v>147</v>
      </c>
      <c r="L3342" s="106" t="s">
        <v>194</v>
      </c>
      <c r="M3342" s="46" t="s">
        <v>8624</v>
      </c>
      <c r="N3342" s="106"/>
      <c r="S3342" s="37"/>
      <c r="T3342" s="38"/>
      <c r="U3342" s="38"/>
      <c r="V3342" s="78" t="s">
        <v>33</v>
      </c>
      <c r="W3342" s="106"/>
      <c r="X3342" s="106"/>
      <c r="Y3342" s="102"/>
    </row>
    <row r="3343">
      <c r="A3343" s="78" t="s">
        <v>239</v>
      </c>
      <c r="B3343" s="248"/>
      <c r="C3343" s="99">
        <v>44048.0</v>
      </c>
      <c r="E3343" s="78" t="s">
        <v>41</v>
      </c>
      <c r="F3343" s="37">
        <v>1.0</v>
      </c>
      <c r="G3343" s="78" t="s">
        <v>32</v>
      </c>
      <c r="H3343" s="78">
        <v>1.0</v>
      </c>
      <c r="I3343" s="78" t="s">
        <v>33</v>
      </c>
      <c r="J3343" s="78" t="s">
        <v>147</v>
      </c>
      <c r="L3343" s="106" t="s">
        <v>194</v>
      </c>
      <c r="M3343" s="46" t="s">
        <v>8625</v>
      </c>
      <c r="N3343" s="106"/>
      <c r="S3343" s="37"/>
      <c r="T3343" s="38"/>
      <c r="U3343" s="38"/>
      <c r="V3343" s="78" t="s">
        <v>33</v>
      </c>
      <c r="W3343" s="106"/>
      <c r="X3343" s="106"/>
      <c r="Y3343" s="102"/>
    </row>
    <row r="3344">
      <c r="A3344" s="78" t="s">
        <v>239</v>
      </c>
      <c r="B3344" s="248"/>
      <c r="C3344" s="99">
        <v>44048.0</v>
      </c>
      <c r="E3344" s="78" t="s">
        <v>41</v>
      </c>
      <c r="F3344" s="37">
        <v>1.0</v>
      </c>
      <c r="G3344" s="78" t="s">
        <v>32</v>
      </c>
      <c r="H3344" s="78">
        <v>1.0</v>
      </c>
      <c r="I3344" s="78" t="s">
        <v>33</v>
      </c>
      <c r="J3344" s="78" t="s">
        <v>147</v>
      </c>
      <c r="L3344" s="106" t="s">
        <v>194</v>
      </c>
      <c r="M3344" s="46" t="s">
        <v>8625</v>
      </c>
      <c r="N3344" s="106"/>
      <c r="S3344" s="37"/>
      <c r="T3344" s="38"/>
      <c r="U3344" s="38"/>
      <c r="V3344" s="78" t="s">
        <v>33</v>
      </c>
      <c r="W3344" s="106"/>
      <c r="X3344" s="106"/>
      <c r="Y3344" s="102"/>
    </row>
    <row r="3345">
      <c r="A3345" s="78" t="s">
        <v>8626</v>
      </c>
      <c r="B3345" s="248"/>
      <c r="C3345" s="99">
        <v>44049.0</v>
      </c>
      <c r="E3345" s="78" t="s">
        <v>41</v>
      </c>
      <c r="F3345" s="37">
        <v>1.0</v>
      </c>
      <c r="G3345" s="78" t="s">
        <v>32</v>
      </c>
      <c r="H3345" s="78">
        <v>1.0</v>
      </c>
      <c r="I3345" s="78" t="s">
        <v>33</v>
      </c>
      <c r="J3345" s="78" t="s">
        <v>8627</v>
      </c>
      <c r="L3345" s="106" t="s">
        <v>1203</v>
      </c>
      <c r="M3345" s="46" t="s">
        <v>8628</v>
      </c>
      <c r="N3345" s="106"/>
      <c r="S3345" s="37"/>
      <c r="T3345" s="38"/>
      <c r="U3345" s="38"/>
      <c r="V3345" s="78" t="s">
        <v>33</v>
      </c>
      <c r="W3345" s="106"/>
      <c r="X3345" s="106"/>
      <c r="Y3345" s="102"/>
    </row>
    <row r="3346">
      <c r="A3346" s="78" t="s">
        <v>239</v>
      </c>
      <c r="B3346" s="248"/>
      <c r="C3346" s="99">
        <v>44050.0</v>
      </c>
      <c r="E3346" s="78" t="s">
        <v>41</v>
      </c>
      <c r="F3346" s="37">
        <v>1.0</v>
      </c>
      <c r="G3346" s="78" t="s">
        <v>32</v>
      </c>
      <c r="H3346" s="78">
        <v>1.0</v>
      </c>
      <c r="I3346" s="78" t="s">
        <v>33</v>
      </c>
      <c r="J3346" s="78" t="s">
        <v>111</v>
      </c>
      <c r="L3346" s="106" t="s">
        <v>194</v>
      </c>
      <c r="M3346" s="46" t="s">
        <v>8629</v>
      </c>
      <c r="N3346" s="106"/>
      <c r="S3346" s="37"/>
      <c r="T3346" s="38"/>
      <c r="U3346" s="38"/>
      <c r="V3346" s="78" t="s">
        <v>33</v>
      </c>
      <c r="W3346" s="106"/>
      <c r="X3346" s="106"/>
      <c r="Y3346" s="102"/>
    </row>
    <row r="3347">
      <c r="A3347" s="78" t="s">
        <v>239</v>
      </c>
      <c r="B3347" s="248"/>
      <c r="C3347" s="99">
        <v>44050.0</v>
      </c>
      <c r="E3347" s="78" t="s">
        <v>41</v>
      </c>
      <c r="F3347" s="37">
        <v>1.0</v>
      </c>
      <c r="G3347" s="78" t="s">
        <v>32</v>
      </c>
      <c r="H3347" s="78">
        <v>1.0</v>
      </c>
      <c r="I3347" s="78" t="s">
        <v>33</v>
      </c>
      <c r="J3347" s="78" t="s">
        <v>111</v>
      </c>
      <c r="L3347" s="106" t="s">
        <v>194</v>
      </c>
      <c r="M3347" s="46" t="s">
        <v>8630</v>
      </c>
      <c r="N3347" s="106"/>
      <c r="S3347" s="37"/>
      <c r="T3347" s="38"/>
      <c r="U3347" s="38"/>
      <c r="V3347" s="78" t="s">
        <v>33</v>
      </c>
      <c r="W3347" s="106"/>
      <c r="X3347" s="106"/>
      <c r="Y3347" s="102"/>
    </row>
    <row r="3348">
      <c r="A3348" s="78" t="s">
        <v>239</v>
      </c>
      <c r="B3348" s="248"/>
      <c r="C3348" s="99">
        <v>44050.0</v>
      </c>
      <c r="E3348" s="78" t="s">
        <v>41</v>
      </c>
      <c r="F3348" s="37">
        <v>1.0</v>
      </c>
      <c r="G3348" s="78" t="s">
        <v>32</v>
      </c>
      <c r="H3348" s="78">
        <v>1.0</v>
      </c>
      <c r="I3348" s="78" t="s">
        <v>33</v>
      </c>
      <c r="J3348" s="78" t="s">
        <v>147</v>
      </c>
      <c r="L3348" s="106" t="s">
        <v>194</v>
      </c>
      <c r="M3348" s="46" t="s">
        <v>8631</v>
      </c>
      <c r="N3348" s="106"/>
      <c r="S3348" s="37"/>
      <c r="T3348" s="38"/>
      <c r="U3348" s="38"/>
      <c r="V3348" s="78" t="s">
        <v>33</v>
      </c>
      <c r="W3348" s="106"/>
      <c r="X3348" s="106"/>
      <c r="Y3348" s="102"/>
    </row>
    <row r="3349">
      <c r="A3349" s="78" t="s">
        <v>8632</v>
      </c>
      <c r="B3349" s="248"/>
      <c r="C3349" s="99">
        <v>44051.0</v>
      </c>
      <c r="E3349" s="78" t="s">
        <v>31</v>
      </c>
      <c r="F3349" s="37">
        <v>1.0</v>
      </c>
      <c r="G3349" s="78" t="s">
        <v>32</v>
      </c>
      <c r="H3349" s="78">
        <v>1.0</v>
      </c>
      <c r="I3349" s="78" t="s">
        <v>33</v>
      </c>
      <c r="J3349" s="78" t="s">
        <v>147</v>
      </c>
      <c r="L3349" s="106" t="s">
        <v>8180</v>
      </c>
      <c r="M3349" s="46" t="s">
        <v>8633</v>
      </c>
      <c r="N3349" s="106"/>
      <c r="S3349" s="37"/>
      <c r="T3349" s="38"/>
      <c r="U3349" s="38"/>
      <c r="V3349" s="78" t="s">
        <v>33</v>
      </c>
      <c r="W3349" s="46" t="s">
        <v>8634</v>
      </c>
      <c r="X3349" s="46" t="s">
        <v>8635</v>
      </c>
      <c r="Y3349" s="102"/>
    </row>
    <row r="3350">
      <c r="A3350" s="78" t="s">
        <v>8636</v>
      </c>
      <c r="B3350" s="248"/>
      <c r="C3350" s="99">
        <v>44051.0</v>
      </c>
      <c r="E3350" s="78" t="s">
        <v>31</v>
      </c>
      <c r="F3350" s="37">
        <v>1.0</v>
      </c>
      <c r="G3350" s="78" t="s">
        <v>32</v>
      </c>
      <c r="H3350" s="78">
        <v>1.0</v>
      </c>
      <c r="I3350" s="78" t="s">
        <v>33</v>
      </c>
      <c r="J3350" s="78" t="s">
        <v>147</v>
      </c>
      <c r="L3350" s="106" t="s">
        <v>8180</v>
      </c>
      <c r="M3350" s="46" t="s">
        <v>8637</v>
      </c>
      <c r="N3350" s="106"/>
      <c r="S3350" s="37"/>
      <c r="T3350" s="38"/>
      <c r="U3350" s="38"/>
      <c r="V3350" s="78" t="s">
        <v>33</v>
      </c>
      <c r="W3350" s="46" t="s">
        <v>8638</v>
      </c>
      <c r="X3350" s="46" t="s">
        <v>8639</v>
      </c>
      <c r="Y3350" s="102"/>
    </row>
    <row r="3351">
      <c r="A3351" s="78" t="s">
        <v>8640</v>
      </c>
      <c r="B3351" s="248"/>
      <c r="C3351" s="99">
        <v>44051.0</v>
      </c>
      <c r="E3351" s="78" t="s">
        <v>41</v>
      </c>
      <c r="F3351" s="37">
        <v>1.0</v>
      </c>
      <c r="G3351" s="78" t="s">
        <v>32</v>
      </c>
      <c r="H3351" s="78">
        <v>1.0</v>
      </c>
      <c r="I3351" s="78" t="s">
        <v>33</v>
      </c>
      <c r="J3351" s="78" t="s">
        <v>147</v>
      </c>
      <c r="L3351" s="106" t="s">
        <v>52</v>
      </c>
      <c r="M3351" s="46" t="s">
        <v>8637</v>
      </c>
      <c r="N3351" s="106"/>
      <c r="S3351" s="37"/>
      <c r="T3351" s="38"/>
      <c r="U3351" s="38"/>
      <c r="V3351" s="78" t="s">
        <v>33</v>
      </c>
      <c r="W3351" s="46" t="s">
        <v>8638</v>
      </c>
      <c r="X3351" s="106"/>
      <c r="Y3351" s="102"/>
    </row>
    <row r="3352">
      <c r="A3352" s="78" t="s">
        <v>239</v>
      </c>
      <c r="B3352" s="248"/>
      <c r="C3352" s="99">
        <v>44052.0</v>
      </c>
      <c r="E3352" s="78" t="s">
        <v>41</v>
      </c>
      <c r="F3352" s="37">
        <v>1.0</v>
      </c>
      <c r="G3352" s="78" t="s">
        <v>32</v>
      </c>
      <c r="H3352" s="78">
        <v>1.0</v>
      </c>
      <c r="I3352" s="78" t="s">
        <v>33</v>
      </c>
      <c r="J3352" s="78" t="s">
        <v>111</v>
      </c>
      <c r="L3352" s="106" t="s">
        <v>194</v>
      </c>
      <c r="M3352" s="46" t="s">
        <v>8641</v>
      </c>
      <c r="N3352" s="106"/>
      <c r="S3352" s="37"/>
      <c r="T3352" s="38"/>
      <c r="U3352" s="38"/>
      <c r="V3352" s="78" t="s">
        <v>3919</v>
      </c>
      <c r="W3352" s="106"/>
      <c r="X3352" s="106"/>
      <c r="Y3352" s="102"/>
    </row>
    <row r="3353">
      <c r="A3353" s="78" t="s">
        <v>239</v>
      </c>
      <c r="B3353" s="248"/>
      <c r="C3353" s="99">
        <v>44053.0</v>
      </c>
      <c r="E3353" s="78" t="s">
        <v>41</v>
      </c>
      <c r="F3353" s="37">
        <v>1.0</v>
      </c>
      <c r="G3353" s="78" t="s">
        <v>32</v>
      </c>
      <c r="H3353" s="78">
        <v>1.0</v>
      </c>
      <c r="I3353" s="78" t="s">
        <v>33</v>
      </c>
      <c r="J3353" s="78" t="s">
        <v>147</v>
      </c>
      <c r="L3353" s="106" t="s">
        <v>194</v>
      </c>
      <c r="M3353" s="46" t="s">
        <v>8642</v>
      </c>
      <c r="N3353" s="106"/>
      <c r="S3353" s="37"/>
      <c r="T3353" s="38"/>
      <c r="U3353" s="38"/>
      <c r="V3353" s="78" t="s">
        <v>33</v>
      </c>
      <c r="W3353" s="106"/>
      <c r="X3353" s="106"/>
      <c r="Y3353" s="102"/>
    </row>
    <row r="3354">
      <c r="A3354" s="78" t="s">
        <v>8643</v>
      </c>
      <c r="B3354" s="248"/>
      <c r="C3354" s="99">
        <v>44053.0</v>
      </c>
      <c r="E3354" s="78" t="s">
        <v>41</v>
      </c>
      <c r="F3354" s="37">
        <v>1.0</v>
      </c>
      <c r="G3354" s="78">
        <v>2.0</v>
      </c>
      <c r="H3354" s="78">
        <v>2.0</v>
      </c>
      <c r="I3354" s="78" t="s">
        <v>33</v>
      </c>
      <c r="J3354" s="78" t="s">
        <v>433</v>
      </c>
      <c r="L3354" s="106" t="s">
        <v>76</v>
      </c>
      <c r="M3354" s="106" t="s">
        <v>8644</v>
      </c>
      <c r="N3354" s="46" t="s">
        <v>8645</v>
      </c>
      <c r="S3354" s="37"/>
      <c r="T3354" s="38"/>
      <c r="U3354" s="38"/>
      <c r="V3354" s="78" t="s">
        <v>33</v>
      </c>
      <c r="W3354" s="46" t="s">
        <v>8646</v>
      </c>
      <c r="X3354" s="46" t="s">
        <v>8647</v>
      </c>
      <c r="Y3354" s="102"/>
    </row>
    <row r="3355">
      <c r="A3355" s="78" t="s">
        <v>8648</v>
      </c>
      <c r="B3355" s="248"/>
      <c r="C3355" s="99">
        <v>44054.0</v>
      </c>
      <c r="E3355" s="78" t="s">
        <v>31</v>
      </c>
      <c r="F3355" s="37">
        <v>1.0</v>
      </c>
      <c r="G3355" s="78" t="s">
        <v>32</v>
      </c>
      <c r="H3355" s="78">
        <v>1.0</v>
      </c>
      <c r="I3355" s="78" t="s">
        <v>33</v>
      </c>
      <c r="J3355" s="78" t="s">
        <v>124</v>
      </c>
      <c r="L3355" s="106" t="s">
        <v>807</v>
      </c>
      <c r="M3355" s="46" t="s">
        <v>8649</v>
      </c>
      <c r="N3355" s="46" t="s">
        <v>8650</v>
      </c>
      <c r="S3355" s="37"/>
      <c r="T3355" s="38"/>
      <c r="U3355" s="38"/>
      <c r="V3355" s="78" t="s">
        <v>33</v>
      </c>
      <c r="W3355" s="46" t="s">
        <v>8651</v>
      </c>
      <c r="X3355" s="46" t="s">
        <v>8652</v>
      </c>
      <c r="Y3355" s="102"/>
    </row>
    <row r="3356">
      <c r="A3356" s="78" t="s">
        <v>8653</v>
      </c>
      <c r="B3356" s="248"/>
      <c r="C3356" s="99">
        <v>44054.0</v>
      </c>
      <c r="E3356" s="78" t="s">
        <v>41</v>
      </c>
      <c r="F3356" s="37">
        <v>1.0</v>
      </c>
      <c r="G3356" s="78" t="s">
        <v>32</v>
      </c>
      <c r="H3356" s="78">
        <v>1.0</v>
      </c>
      <c r="I3356" s="78" t="s">
        <v>33</v>
      </c>
      <c r="J3356" s="78" t="s">
        <v>115</v>
      </c>
      <c r="L3356" s="106" t="s">
        <v>69</v>
      </c>
      <c r="M3356" s="46" t="s">
        <v>8654</v>
      </c>
      <c r="N3356" s="106"/>
      <c r="S3356" s="37"/>
      <c r="T3356" s="38"/>
      <c r="U3356" s="38"/>
      <c r="V3356" s="78" t="s">
        <v>33</v>
      </c>
      <c r="W3356" s="106"/>
      <c r="X3356" s="106"/>
      <c r="Y3356" s="102"/>
    </row>
    <row r="3357">
      <c r="A3357" s="78" t="s">
        <v>8655</v>
      </c>
      <c r="B3357" s="248"/>
      <c r="C3357" s="99">
        <v>44054.0</v>
      </c>
      <c r="E3357" s="78" t="s">
        <v>41</v>
      </c>
      <c r="F3357" s="37">
        <v>1.0</v>
      </c>
      <c r="G3357" s="78" t="s">
        <v>32</v>
      </c>
      <c r="H3357" s="78">
        <v>1.0</v>
      </c>
      <c r="I3357" s="78" t="s">
        <v>33</v>
      </c>
      <c r="J3357" s="78" t="s">
        <v>279</v>
      </c>
      <c r="L3357" s="106" t="s">
        <v>76</v>
      </c>
      <c r="M3357" s="46" t="s">
        <v>8656</v>
      </c>
      <c r="N3357" s="106"/>
      <c r="S3357" s="37"/>
      <c r="T3357" s="38"/>
      <c r="U3357" s="38"/>
      <c r="V3357" s="78" t="s">
        <v>33</v>
      </c>
      <c r="W3357" s="106"/>
      <c r="X3357" s="106"/>
      <c r="Y3357" s="102"/>
    </row>
    <row r="3358">
      <c r="A3358" s="78" t="s">
        <v>8657</v>
      </c>
      <c r="B3358" s="248"/>
      <c r="C3358" s="99">
        <v>44056.0</v>
      </c>
      <c r="E3358" s="78" t="s">
        <v>41</v>
      </c>
      <c r="F3358" s="37">
        <v>1.0</v>
      </c>
      <c r="G3358" s="78" t="s">
        <v>32</v>
      </c>
      <c r="H3358" s="78">
        <v>1.0</v>
      </c>
      <c r="I3358" s="78" t="s">
        <v>33</v>
      </c>
      <c r="J3358" s="78" t="s">
        <v>93</v>
      </c>
      <c r="L3358" s="106" t="s">
        <v>76</v>
      </c>
      <c r="M3358" s="46" t="s">
        <v>8658</v>
      </c>
      <c r="N3358" s="106"/>
      <c r="S3358" s="37"/>
      <c r="T3358" s="38"/>
      <c r="U3358" s="38"/>
      <c r="V3358" s="78" t="s">
        <v>33</v>
      </c>
      <c r="W3358" s="106"/>
      <c r="X3358" s="106"/>
      <c r="Y3358" s="102"/>
    </row>
    <row r="3359">
      <c r="A3359" s="78" t="s">
        <v>8358</v>
      </c>
      <c r="B3359" s="248"/>
      <c r="C3359" s="99">
        <v>44056.0</v>
      </c>
      <c r="E3359" s="78" t="s">
        <v>41</v>
      </c>
      <c r="F3359" s="37">
        <v>1.0</v>
      </c>
      <c r="G3359" s="78" t="s">
        <v>32</v>
      </c>
      <c r="H3359" s="78">
        <v>1.0</v>
      </c>
      <c r="I3359" s="78" t="s">
        <v>33</v>
      </c>
      <c r="J3359" s="78" t="s">
        <v>410</v>
      </c>
      <c r="L3359" s="106" t="s">
        <v>119</v>
      </c>
      <c r="M3359" s="46" t="s">
        <v>8659</v>
      </c>
      <c r="N3359" s="106"/>
      <c r="S3359" s="37"/>
      <c r="T3359" s="38"/>
      <c r="U3359" s="38"/>
      <c r="V3359" s="78" t="s">
        <v>33</v>
      </c>
      <c r="W3359" s="106"/>
      <c r="X3359" s="282"/>
      <c r="Y3359" s="102"/>
    </row>
    <row r="3360">
      <c r="A3360" s="78" t="s">
        <v>8660</v>
      </c>
      <c r="B3360" s="248"/>
      <c r="C3360" s="99">
        <v>44056.0</v>
      </c>
      <c r="E3360" s="78" t="s">
        <v>41</v>
      </c>
      <c r="F3360" s="37">
        <v>1.0</v>
      </c>
      <c r="G3360" s="78" t="s">
        <v>32</v>
      </c>
      <c r="H3360" s="78">
        <v>1.0</v>
      </c>
      <c r="I3360" s="78" t="s">
        <v>33</v>
      </c>
      <c r="J3360" s="78" t="s">
        <v>203</v>
      </c>
      <c r="L3360" s="106" t="s">
        <v>7824</v>
      </c>
      <c r="M3360" s="46" t="s">
        <v>8661</v>
      </c>
      <c r="N3360" s="106"/>
      <c r="S3360" s="37"/>
      <c r="T3360" s="38"/>
      <c r="U3360" s="38"/>
      <c r="V3360" s="78" t="s">
        <v>33</v>
      </c>
      <c r="W3360" s="106"/>
      <c r="X3360" s="282"/>
      <c r="Y3360" s="102"/>
    </row>
    <row r="3361">
      <c r="A3361" s="78" t="s">
        <v>8662</v>
      </c>
      <c r="B3361" s="248"/>
      <c r="C3361" s="99">
        <v>44056.0</v>
      </c>
      <c r="E3361" s="78" t="s">
        <v>41</v>
      </c>
      <c r="F3361" s="37">
        <v>1.0</v>
      </c>
      <c r="G3361" s="78" t="s">
        <v>32</v>
      </c>
      <c r="H3361" s="78">
        <v>1.0</v>
      </c>
      <c r="I3361" s="78" t="s">
        <v>33</v>
      </c>
      <c r="J3361" s="78" t="s">
        <v>203</v>
      </c>
      <c r="L3361" s="106" t="s">
        <v>7824</v>
      </c>
      <c r="M3361" s="46" t="s">
        <v>8661</v>
      </c>
      <c r="N3361" s="106"/>
      <c r="S3361" s="37"/>
      <c r="T3361" s="38"/>
      <c r="U3361" s="38"/>
      <c r="V3361" s="78" t="s">
        <v>33</v>
      </c>
      <c r="W3361" s="106"/>
      <c r="X3361" s="282"/>
      <c r="Y3361" s="102"/>
    </row>
    <row r="3362">
      <c r="A3362" s="78" t="s">
        <v>8663</v>
      </c>
      <c r="B3362" s="248"/>
      <c r="C3362" s="99">
        <v>44057.0</v>
      </c>
      <c r="E3362" s="78" t="s">
        <v>31</v>
      </c>
      <c r="F3362" s="37">
        <v>1.0</v>
      </c>
      <c r="G3362" s="78" t="s">
        <v>32</v>
      </c>
      <c r="H3362" s="78">
        <v>1.0</v>
      </c>
      <c r="I3362" s="78" t="s">
        <v>33</v>
      </c>
      <c r="J3362" s="78" t="s">
        <v>47</v>
      </c>
      <c r="L3362" s="106" t="s">
        <v>119</v>
      </c>
      <c r="M3362" s="46" t="s">
        <v>8664</v>
      </c>
      <c r="N3362" s="46" t="s">
        <v>8665</v>
      </c>
      <c r="S3362" s="37"/>
      <c r="T3362" s="38"/>
      <c r="U3362" s="38"/>
      <c r="V3362" s="78" t="s">
        <v>33</v>
      </c>
      <c r="W3362" s="46" t="s">
        <v>8666</v>
      </c>
      <c r="X3362" s="282" t="s">
        <v>8667</v>
      </c>
      <c r="Y3362" s="102"/>
    </row>
    <row r="3363">
      <c r="A3363" s="78" t="s">
        <v>8668</v>
      </c>
      <c r="B3363" s="248"/>
      <c r="C3363" s="99">
        <v>44057.0</v>
      </c>
      <c r="E3363" s="78" t="s">
        <v>31</v>
      </c>
      <c r="F3363" s="37">
        <v>1.0</v>
      </c>
      <c r="G3363" s="78" t="s">
        <v>32</v>
      </c>
      <c r="H3363" s="78">
        <v>1.0</v>
      </c>
      <c r="I3363" s="78" t="s">
        <v>33</v>
      </c>
      <c r="J3363" s="78" t="s">
        <v>193</v>
      </c>
      <c r="L3363" s="106" t="s">
        <v>8584</v>
      </c>
      <c r="M3363" s="46" t="s">
        <v>8669</v>
      </c>
      <c r="N3363" s="46" t="s">
        <v>8670</v>
      </c>
      <c r="S3363" s="37"/>
      <c r="T3363" s="38"/>
      <c r="U3363" s="38"/>
      <c r="V3363" s="78" t="s">
        <v>33</v>
      </c>
      <c r="W3363" s="46" t="s">
        <v>8671</v>
      </c>
      <c r="X3363" s="282" t="s">
        <v>8672</v>
      </c>
      <c r="Y3363" s="102"/>
    </row>
    <row r="3364">
      <c r="A3364" s="78" t="s">
        <v>239</v>
      </c>
      <c r="B3364" s="248"/>
      <c r="C3364" s="99">
        <v>44057.0</v>
      </c>
      <c r="E3364" s="78" t="s">
        <v>41</v>
      </c>
      <c r="F3364" s="37">
        <v>9.0</v>
      </c>
      <c r="G3364" s="78" t="s">
        <v>32</v>
      </c>
      <c r="H3364" s="78">
        <v>1.0</v>
      </c>
      <c r="I3364" s="78" t="s">
        <v>33</v>
      </c>
      <c r="J3364" s="78" t="s">
        <v>147</v>
      </c>
      <c r="L3364" s="106" t="s">
        <v>194</v>
      </c>
      <c r="M3364" s="46" t="s">
        <v>8673</v>
      </c>
      <c r="N3364" s="106"/>
      <c r="S3364" s="37"/>
      <c r="T3364" s="38"/>
      <c r="U3364" s="38"/>
      <c r="V3364" s="78" t="s">
        <v>33</v>
      </c>
      <c r="W3364" s="106"/>
      <c r="X3364" s="282"/>
      <c r="Y3364" s="102"/>
    </row>
    <row r="3365">
      <c r="A3365" s="78" t="s">
        <v>8674</v>
      </c>
      <c r="B3365" s="248"/>
      <c r="C3365" s="99">
        <v>44057.0</v>
      </c>
      <c r="E3365" s="78" t="s">
        <v>31</v>
      </c>
      <c r="F3365" s="37">
        <v>1.0</v>
      </c>
      <c r="G3365" s="78" t="s">
        <v>32</v>
      </c>
      <c r="H3365" s="78">
        <v>1.0</v>
      </c>
      <c r="I3365" s="78" t="s">
        <v>33</v>
      </c>
      <c r="J3365" s="78" t="s">
        <v>111</v>
      </c>
      <c r="L3365" s="106" t="s">
        <v>194</v>
      </c>
      <c r="M3365" s="46" t="s">
        <v>8675</v>
      </c>
      <c r="N3365" s="46" t="s">
        <v>8676</v>
      </c>
      <c r="S3365" s="37"/>
      <c r="T3365" s="38"/>
      <c r="U3365" s="38"/>
      <c r="V3365" s="78" t="s">
        <v>8677</v>
      </c>
      <c r="W3365" s="46" t="s">
        <v>8678</v>
      </c>
      <c r="X3365" s="282" t="s">
        <v>8679</v>
      </c>
      <c r="Y3365" s="102"/>
    </row>
    <row r="3366">
      <c r="A3366" s="78" t="s">
        <v>8680</v>
      </c>
      <c r="B3366" s="248"/>
      <c r="C3366" s="99">
        <v>44057.0</v>
      </c>
      <c r="E3366" s="78" t="s">
        <v>31</v>
      </c>
      <c r="F3366" s="37">
        <v>1.0</v>
      </c>
      <c r="G3366" s="78" t="s">
        <v>32</v>
      </c>
      <c r="H3366" s="78">
        <v>1.0</v>
      </c>
      <c r="I3366" s="78" t="s">
        <v>33</v>
      </c>
      <c r="J3366" s="78" t="s">
        <v>147</v>
      </c>
      <c r="L3366" s="106" t="s">
        <v>99</v>
      </c>
      <c r="M3366" s="46" t="s">
        <v>8681</v>
      </c>
      <c r="N3366" s="106"/>
      <c r="S3366" s="37"/>
      <c r="T3366" s="38"/>
      <c r="U3366" s="38"/>
      <c r="V3366" s="78" t="s">
        <v>33</v>
      </c>
      <c r="W3366" s="46" t="s">
        <v>8682</v>
      </c>
      <c r="X3366" s="282" t="s">
        <v>8683</v>
      </c>
      <c r="Y3366" s="102"/>
    </row>
    <row r="3367">
      <c r="A3367" s="78" t="s">
        <v>8684</v>
      </c>
      <c r="B3367" s="248"/>
      <c r="C3367" s="99">
        <v>44057.0</v>
      </c>
      <c r="E3367" s="78" t="s">
        <v>31</v>
      </c>
      <c r="F3367" s="37">
        <v>1.0</v>
      </c>
      <c r="G3367" s="78" t="s">
        <v>32</v>
      </c>
      <c r="H3367" s="78">
        <v>1.0</v>
      </c>
      <c r="I3367" s="78" t="s">
        <v>33</v>
      </c>
      <c r="J3367" s="78" t="s">
        <v>184</v>
      </c>
      <c r="L3367" s="106" t="s">
        <v>76</v>
      </c>
      <c r="M3367" s="46" t="s">
        <v>8685</v>
      </c>
      <c r="N3367" s="46" t="s">
        <v>8686</v>
      </c>
      <c r="S3367" s="37"/>
      <c r="T3367" s="38"/>
      <c r="U3367" s="38"/>
      <c r="V3367" s="78" t="s">
        <v>33</v>
      </c>
      <c r="W3367" s="46" t="s">
        <v>8687</v>
      </c>
      <c r="X3367" s="282" t="s">
        <v>8688</v>
      </c>
      <c r="Y3367" s="102"/>
    </row>
    <row r="3368">
      <c r="A3368" s="78" t="s">
        <v>239</v>
      </c>
      <c r="B3368" s="248"/>
      <c r="C3368" s="99">
        <v>44058.0</v>
      </c>
      <c r="E3368" s="78" t="s">
        <v>41</v>
      </c>
      <c r="F3368" s="37">
        <v>1.0</v>
      </c>
      <c r="G3368" s="78" t="s">
        <v>32</v>
      </c>
      <c r="H3368" s="78">
        <v>1.0</v>
      </c>
      <c r="I3368" s="78" t="s">
        <v>33</v>
      </c>
      <c r="J3368" s="78" t="s">
        <v>147</v>
      </c>
      <c r="L3368" s="106" t="s">
        <v>194</v>
      </c>
      <c r="M3368" s="46" t="s">
        <v>8673</v>
      </c>
      <c r="N3368" s="106"/>
      <c r="S3368" s="37"/>
      <c r="T3368" s="38"/>
      <c r="U3368" s="38"/>
      <c r="V3368" s="78"/>
      <c r="W3368" s="106"/>
      <c r="X3368" s="282"/>
      <c r="Y3368" s="102"/>
    </row>
    <row r="3369">
      <c r="A3369" s="78" t="s">
        <v>8689</v>
      </c>
      <c r="B3369" s="248"/>
      <c r="C3369" s="99">
        <v>44060.0</v>
      </c>
      <c r="E3369" s="78" t="s">
        <v>41</v>
      </c>
      <c r="F3369" s="37">
        <v>1.0</v>
      </c>
      <c r="G3369" s="78" t="s">
        <v>32</v>
      </c>
      <c r="H3369" s="78">
        <v>1.0</v>
      </c>
      <c r="I3369" s="78" t="s">
        <v>33</v>
      </c>
      <c r="J3369" s="78" t="s">
        <v>203</v>
      </c>
      <c r="L3369" s="106" t="s">
        <v>69</v>
      </c>
      <c r="M3369" s="46" t="s">
        <v>8690</v>
      </c>
      <c r="N3369" s="106"/>
      <c r="S3369" s="37"/>
      <c r="T3369" s="38"/>
      <c r="U3369" s="38"/>
      <c r="V3369" s="78" t="s">
        <v>33</v>
      </c>
      <c r="W3369" s="106"/>
      <c r="X3369" s="282"/>
      <c r="Y3369" s="102"/>
    </row>
    <row r="3370">
      <c r="A3370" s="78" t="s">
        <v>8691</v>
      </c>
      <c r="B3370" s="248"/>
      <c r="C3370" s="99">
        <v>44060.0</v>
      </c>
      <c r="E3370" s="78" t="s">
        <v>41</v>
      </c>
      <c r="F3370" s="37">
        <v>1.0</v>
      </c>
      <c r="G3370" s="78" t="s">
        <v>32</v>
      </c>
      <c r="H3370" s="78">
        <v>1.0</v>
      </c>
      <c r="I3370" s="78" t="s">
        <v>33</v>
      </c>
      <c r="J3370" s="78" t="s">
        <v>42</v>
      </c>
      <c r="L3370" s="106" t="s">
        <v>76</v>
      </c>
      <c r="M3370" s="106" t="s">
        <v>8692</v>
      </c>
      <c r="N3370" s="46" t="s">
        <v>8693</v>
      </c>
      <c r="S3370" s="37"/>
      <c r="T3370" s="38"/>
      <c r="U3370" s="38"/>
      <c r="V3370" s="78" t="s">
        <v>33</v>
      </c>
      <c r="W3370" s="46" t="s">
        <v>8694</v>
      </c>
      <c r="X3370" s="282"/>
      <c r="Y3370" s="102"/>
    </row>
    <row r="3371">
      <c r="A3371" s="78" t="s">
        <v>8695</v>
      </c>
      <c r="B3371" s="248"/>
      <c r="C3371" s="99">
        <v>44060.0</v>
      </c>
      <c r="E3371" s="78" t="s">
        <v>31</v>
      </c>
      <c r="F3371" s="37">
        <v>1.0</v>
      </c>
      <c r="G3371" s="78" t="s">
        <v>32</v>
      </c>
      <c r="H3371" s="78">
        <v>1.0</v>
      </c>
      <c r="I3371" s="78" t="s">
        <v>33</v>
      </c>
      <c r="J3371" s="78" t="s">
        <v>514</v>
      </c>
      <c r="L3371" s="106" t="s">
        <v>8696</v>
      </c>
      <c r="M3371" s="46" t="s">
        <v>8697</v>
      </c>
      <c r="N3371" s="46" t="s">
        <v>8698</v>
      </c>
      <c r="S3371" s="37"/>
      <c r="T3371" s="38"/>
      <c r="U3371" s="38"/>
      <c r="V3371" s="78" t="s">
        <v>33</v>
      </c>
      <c r="W3371" s="46" t="s">
        <v>8699</v>
      </c>
      <c r="X3371" s="282" t="s">
        <v>8700</v>
      </c>
      <c r="Y3371" s="102"/>
    </row>
    <row r="3372">
      <c r="A3372" s="78" t="s">
        <v>8701</v>
      </c>
      <c r="B3372" s="248"/>
      <c r="C3372" s="99">
        <v>44060.0</v>
      </c>
      <c r="E3372" s="78" t="s">
        <v>41</v>
      </c>
      <c r="F3372" s="37">
        <v>1.0</v>
      </c>
      <c r="G3372" s="78" t="s">
        <v>32</v>
      </c>
      <c r="H3372" s="78">
        <v>1.0</v>
      </c>
      <c r="I3372" s="78" t="s">
        <v>33</v>
      </c>
      <c r="J3372" s="78" t="s">
        <v>203</v>
      </c>
      <c r="L3372" s="106" t="s">
        <v>69</v>
      </c>
      <c r="M3372" s="46" t="s">
        <v>8702</v>
      </c>
      <c r="N3372" s="106"/>
      <c r="S3372" s="37"/>
      <c r="T3372" s="38"/>
      <c r="U3372" s="38"/>
      <c r="V3372" s="78" t="s">
        <v>33</v>
      </c>
      <c r="W3372" s="106"/>
      <c r="X3372" s="282"/>
      <c r="Y3372" s="102"/>
    </row>
    <row r="3373">
      <c r="A3373" s="78" t="s">
        <v>8703</v>
      </c>
      <c r="B3373" s="248"/>
      <c r="C3373" s="99">
        <v>44060.0</v>
      </c>
      <c r="E3373" s="78" t="s">
        <v>41</v>
      </c>
      <c r="F3373" s="37">
        <v>1.0</v>
      </c>
      <c r="G3373" s="78" t="s">
        <v>32</v>
      </c>
      <c r="H3373" s="78">
        <v>1.0</v>
      </c>
      <c r="I3373" s="78" t="s">
        <v>33</v>
      </c>
      <c r="J3373" s="78" t="s">
        <v>203</v>
      </c>
      <c r="L3373" s="106" t="s">
        <v>69</v>
      </c>
      <c r="M3373" s="46" t="s">
        <v>8704</v>
      </c>
      <c r="N3373" s="106"/>
      <c r="S3373" s="37"/>
      <c r="T3373" s="38"/>
      <c r="U3373" s="38"/>
      <c r="V3373" s="78" t="s">
        <v>33</v>
      </c>
      <c r="W3373" s="106"/>
      <c r="X3373" s="282"/>
      <c r="Y3373" s="102"/>
    </row>
    <row r="3374">
      <c r="A3374" s="78" t="s">
        <v>8705</v>
      </c>
      <c r="B3374" s="248"/>
      <c r="C3374" s="99">
        <v>44061.0</v>
      </c>
      <c r="E3374" s="78" t="s">
        <v>31</v>
      </c>
      <c r="F3374" s="37">
        <v>1.0</v>
      </c>
      <c r="G3374" s="78" t="s">
        <v>32</v>
      </c>
      <c r="H3374" s="78">
        <v>1.0</v>
      </c>
      <c r="I3374" s="78" t="s">
        <v>33</v>
      </c>
      <c r="J3374" s="78" t="s">
        <v>124</v>
      </c>
      <c r="L3374" s="106" t="s">
        <v>2316</v>
      </c>
      <c r="M3374" s="106" t="s">
        <v>8706</v>
      </c>
      <c r="N3374" s="46" t="s">
        <v>8707</v>
      </c>
      <c r="S3374" s="37"/>
      <c r="T3374" s="38"/>
      <c r="U3374" s="38"/>
      <c r="V3374" s="78" t="s">
        <v>33</v>
      </c>
      <c r="W3374" s="46" t="s">
        <v>8708</v>
      </c>
      <c r="X3374" s="282" t="s">
        <v>8709</v>
      </c>
      <c r="Y3374" s="102"/>
    </row>
    <row r="3375">
      <c r="A3375" s="78" t="s">
        <v>8710</v>
      </c>
      <c r="B3375" s="248"/>
      <c r="C3375" s="99">
        <v>44061.0</v>
      </c>
      <c r="E3375" s="78" t="s">
        <v>41</v>
      </c>
      <c r="F3375" s="37">
        <v>1.0</v>
      </c>
      <c r="G3375" s="78" t="s">
        <v>32</v>
      </c>
      <c r="H3375" s="78">
        <v>1.0</v>
      </c>
      <c r="I3375" s="78" t="s">
        <v>33</v>
      </c>
      <c r="J3375" s="78" t="s">
        <v>184</v>
      </c>
      <c r="L3375" s="106" t="s">
        <v>2316</v>
      </c>
      <c r="M3375" s="46" t="s">
        <v>8711</v>
      </c>
      <c r="N3375" s="106"/>
      <c r="S3375" s="37"/>
      <c r="T3375" s="38"/>
      <c r="U3375" s="38"/>
      <c r="V3375" s="78" t="s">
        <v>33</v>
      </c>
      <c r="W3375" s="106"/>
      <c r="X3375" s="282"/>
      <c r="Y3375" s="102"/>
    </row>
    <row r="3376">
      <c r="A3376" s="78" t="s">
        <v>8712</v>
      </c>
      <c r="B3376" s="248"/>
      <c r="C3376" s="99">
        <v>44061.0</v>
      </c>
      <c r="E3376" s="78" t="s">
        <v>41</v>
      </c>
      <c r="F3376" s="37">
        <v>1.0</v>
      </c>
      <c r="G3376" s="78" t="s">
        <v>32</v>
      </c>
      <c r="H3376" s="78">
        <v>1.0</v>
      </c>
      <c r="I3376" s="78" t="s">
        <v>33</v>
      </c>
      <c r="J3376" s="78" t="s">
        <v>184</v>
      </c>
      <c r="L3376" s="106" t="s">
        <v>2316</v>
      </c>
      <c r="M3376" s="46" t="s">
        <v>8711</v>
      </c>
      <c r="N3376" s="106"/>
      <c r="S3376" s="37"/>
      <c r="T3376" s="38"/>
      <c r="U3376" s="38"/>
      <c r="V3376" s="78" t="s">
        <v>33</v>
      </c>
      <c r="W3376" s="106"/>
      <c r="X3376" s="282"/>
      <c r="Y3376" s="102"/>
    </row>
    <row r="3377">
      <c r="A3377" s="78" t="s">
        <v>239</v>
      </c>
      <c r="B3377" s="248"/>
      <c r="C3377" s="99">
        <v>44061.0</v>
      </c>
      <c r="E3377" s="78" t="s">
        <v>41</v>
      </c>
      <c r="F3377" s="37">
        <v>1.0</v>
      </c>
      <c r="G3377" s="78" t="s">
        <v>32</v>
      </c>
      <c r="H3377" s="78">
        <v>1.0</v>
      </c>
      <c r="I3377" s="78" t="s">
        <v>33</v>
      </c>
      <c r="J3377" s="78" t="s">
        <v>147</v>
      </c>
      <c r="L3377" s="106" t="s">
        <v>194</v>
      </c>
      <c r="M3377" s="46" t="s">
        <v>8713</v>
      </c>
      <c r="N3377" s="106"/>
      <c r="S3377" s="37"/>
      <c r="T3377" s="38"/>
      <c r="U3377" s="38"/>
      <c r="V3377" s="78" t="s">
        <v>33</v>
      </c>
      <c r="W3377" s="106"/>
      <c r="X3377" s="282"/>
      <c r="Y3377" s="102"/>
    </row>
    <row r="3378">
      <c r="A3378" s="78" t="s">
        <v>8714</v>
      </c>
      <c r="B3378" s="293"/>
      <c r="C3378" s="99">
        <v>44062.0</v>
      </c>
      <c r="D3378" s="294"/>
      <c r="E3378" s="78" t="s">
        <v>31</v>
      </c>
      <c r="F3378" s="37">
        <v>1.0</v>
      </c>
      <c r="G3378" s="78" t="s">
        <v>32</v>
      </c>
      <c r="H3378" s="78">
        <v>1.0</v>
      </c>
      <c r="I3378" s="78" t="s">
        <v>33</v>
      </c>
      <c r="J3378" s="78" t="s">
        <v>47</v>
      </c>
      <c r="K3378" s="294"/>
      <c r="L3378" s="106" t="s">
        <v>69</v>
      </c>
      <c r="M3378" s="46" t="s">
        <v>8715</v>
      </c>
      <c r="N3378" s="46" t="s">
        <v>8716</v>
      </c>
      <c r="S3378" s="37"/>
      <c r="T3378" s="38"/>
      <c r="U3378" s="38"/>
      <c r="V3378" s="78" t="s">
        <v>33</v>
      </c>
      <c r="W3378" s="106" t="s">
        <v>8717</v>
      </c>
      <c r="X3378" s="282" t="s">
        <v>8718</v>
      </c>
      <c r="Y3378" s="295"/>
      <c r="Z3378" s="294"/>
      <c r="AA3378" s="294"/>
      <c r="AB3378" s="294"/>
      <c r="AC3378" s="294"/>
      <c r="AD3378" s="294"/>
      <c r="AE3378" s="294"/>
      <c r="AF3378" s="294"/>
      <c r="AG3378" s="294"/>
      <c r="AH3378" s="294"/>
      <c r="AI3378" s="294"/>
      <c r="AJ3378" s="294"/>
      <c r="AK3378" s="294"/>
      <c r="AL3378" s="294"/>
      <c r="AM3378" s="294"/>
      <c r="AN3378" s="294"/>
      <c r="AO3378" s="294"/>
      <c r="AP3378" s="294"/>
      <c r="AQ3378" s="294"/>
      <c r="AR3378" s="294"/>
      <c r="AS3378" s="294"/>
      <c r="AT3378" s="294"/>
      <c r="AU3378" s="294"/>
      <c r="AV3378" s="294"/>
      <c r="AW3378" s="294"/>
      <c r="AX3378" s="294"/>
      <c r="AY3378" s="294"/>
      <c r="AZ3378" s="294"/>
      <c r="BA3378" s="294"/>
      <c r="BB3378" s="294"/>
      <c r="BC3378" s="294"/>
      <c r="BD3378" s="294"/>
      <c r="BE3378" s="294"/>
      <c r="BF3378" s="294"/>
      <c r="BG3378" s="294"/>
      <c r="BH3378" s="294"/>
      <c r="BI3378" s="294"/>
      <c r="BJ3378" s="294"/>
      <c r="BK3378" s="294"/>
      <c r="BL3378" s="294"/>
      <c r="BM3378" s="294"/>
      <c r="BN3378" s="294"/>
      <c r="BO3378" s="294"/>
      <c r="BP3378" s="294"/>
      <c r="BQ3378" s="294"/>
    </row>
    <row r="3379">
      <c r="A3379" s="78" t="s">
        <v>8719</v>
      </c>
      <c r="B3379" s="248"/>
      <c r="C3379" s="99">
        <v>44062.0</v>
      </c>
      <c r="E3379" s="78" t="s">
        <v>41</v>
      </c>
      <c r="F3379" s="37">
        <v>1.0</v>
      </c>
      <c r="G3379" s="78" t="s">
        <v>32</v>
      </c>
      <c r="H3379" s="78">
        <v>1.0</v>
      </c>
      <c r="I3379" s="78" t="s">
        <v>33</v>
      </c>
      <c r="J3379" s="78" t="s">
        <v>343</v>
      </c>
      <c r="L3379" s="106" t="s">
        <v>76</v>
      </c>
      <c r="M3379" s="46" t="s">
        <v>8720</v>
      </c>
      <c r="N3379" s="106"/>
      <c r="S3379" s="37"/>
      <c r="T3379" s="38"/>
      <c r="U3379" s="38"/>
      <c r="V3379" s="78" t="s">
        <v>33</v>
      </c>
      <c r="W3379" s="106"/>
      <c r="X3379" s="282"/>
      <c r="Y3379" s="102"/>
    </row>
    <row r="3380">
      <c r="A3380" s="78" t="s">
        <v>239</v>
      </c>
      <c r="B3380" s="248"/>
      <c r="C3380" s="99">
        <v>44062.0</v>
      </c>
      <c r="E3380" s="78" t="s">
        <v>41</v>
      </c>
      <c r="F3380" s="37">
        <v>1.0</v>
      </c>
      <c r="G3380" s="78" t="s">
        <v>32</v>
      </c>
      <c r="H3380" s="78">
        <v>1.0</v>
      </c>
      <c r="I3380" s="78" t="s">
        <v>33</v>
      </c>
      <c r="J3380" s="78" t="s">
        <v>241</v>
      </c>
      <c r="L3380" s="106" t="s">
        <v>194</v>
      </c>
      <c r="M3380" s="282" t="s">
        <v>8721</v>
      </c>
      <c r="N3380" s="106"/>
      <c r="S3380" s="37"/>
      <c r="T3380" s="38"/>
      <c r="U3380" s="38"/>
      <c r="V3380" s="78" t="s">
        <v>33</v>
      </c>
      <c r="W3380" s="106"/>
      <c r="X3380" s="282"/>
      <c r="Y3380" s="102"/>
    </row>
    <row r="3381">
      <c r="A3381" s="78" t="s">
        <v>8722</v>
      </c>
      <c r="B3381" s="248"/>
      <c r="C3381" s="99">
        <v>44062.0</v>
      </c>
      <c r="E3381" s="78" t="s">
        <v>41</v>
      </c>
      <c r="F3381" s="37">
        <v>1.0</v>
      </c>
      <c r="G3381" s="78" t="s">
        <v>32</v>
      </c>
      <c r="H3381" s="78">
        <v>1.0</v>
      </c>
      <c r="I3381" s="78" t="s">
        <v>33</v>
      </c>
      <c r="J3381" s="78" t="s">
        <v>2167</v>
      </c>
      <c r="L3381" s="106" t="s">
        <v>119</v>
      </c>
      <c r="M3381" s="282" t="s">
        <v>8723</v>
      </c>
      <c r="N3381" s="106"/>
      <c r="S3381" s="37"/>
      <c r="T3381" s="38"/>
      <c r="U3381" s="38"/>
      <c r="V3381" s="78" t="s">
        <v>33</v>
      </c>
      <c r="W3381" s="106"/>
      <c r="X3381" s="282"/>
      <c r="Y3381" s="102"/>
    </row>
    <row r="3382">
      <c r="A3382" s="78" t="s">
        <v>8724</v>
      </c>
      <c r="B3382" s="248"/>
      <c r="C3382" s="99">
        <v>44062.0</v>
      </c>
      <c r="E3382" s="78" t="s">
        <v>31</v>
      </c>
      <c r="F3382" s="37">
        <v>1.0</v>
      </c>
      <c r="G3382" s="78" t="s">
        <v>32</v>
      </c>
      <c r="H3382" s="78">
        <v>1.0</v>
      </c>
      <c r="I3382" s="78" t="s">
        <v>33</v>
      </c>
      <c r="J3382" s="78" t="s">
        <v>147</v>
      </c>
      <c r="L3382" s="106" t="s">
        <v>76</v>
      </c>
      <c r="M3382" s="282" t="s">
        <v>8725</v>
      </c>
      <c r="N3382" s="46" t="s">
        <v>8726</v>
      </c>
      <c r="S3382" s="37"/>
      <c r="T3382" s="38"/>
      <c r="U3382" s="38"/>
      <c r="V3382" s="78" t="s">
        <v>33</v>
      </c>
      <c r="W3382" s="46" t="s">
        <v>8727</v>
      </c>
      <c r="X3382" s="282" t="s">
        <v>8728</v>
      </c>
      <c r="Y3382" s="102"/>
    </row>
    <row r="3383">
      <c r="A3383" s="78" t="s">
        <v>8729</v>
      </c>
      <c r="B3383" s="248"/>
      <c r="C3383" s="99">
        <v>44062.0</v>
      </c>
      <c r="E3383" s="78" t="s">
        <v>31</v>
      </c>
      <c r="F3383" s="37">
        <v>1.0</v>
      </c>
      <c r="G3383" s="78" t="s">
        <v>32</v>
      </c>
      <c r="H3383" s="78">
        <v>1.0</v>
      </c>
      <c r="I3383" s="78" t="s">
        <v>33</v>
      </c>
      <c r="J3383" s="78" t="s">
        <v>147</v>
      </c>
      <c r="L3383" s="106" t="s">
        <v>76</v>
      </c>
      <c r="M3383" s="282" t="s">
        <v>8725</v>
      </c>
      <c r="N3383" s="46" t="s">
        <v>8730</v>
      </c>
      <c r="S3383" s="37"/>
      <c r="T3383" s="38"/>
      <c r="U3383" s="38"/>
      <c r="V3383" s="78" t="s">
        <v>33</v>
      </c>
      <c r="W3383" s="46" t="s">
        <v>8731</v>
      </c>
      <c r="X3383" s="282" t="s">
        <v>8732</v>
      </c>
      <c r="Y3383" s="102"/>
    </row>
    <row r="3384">
      <c r="A3384" s="78" t="s">
        <v>8733</v>
      </c>
      <c r="B3384" s="248"/>
      <c r="C3384" s="99">
        <v>44063.0</v>
      </c>
      <c r="E3384" s="78" t="s">
        <v>41</v>
      </c>
      <c r="F3384" s="37">
        <v>2.0</v>
      </c>
      <c r="G3384" s="78" t="s">
        <v>32</v>
      </c>
      <c r="H3384" s="78">
        <v>1.0</v>
      </c>
      <c r="I3384" s="78" t="s">
        <v>33</v>
      </c>
      <c r="J3384" s="78" t="s">
        <v>440</v>
      </c>
      <c r="L3384" s="106" t="s">
        <v>1203</v>
      </c>
      <c r="M3384" s="282" t="s">
        <v>8734</v>
      </c>
      <c r="N3384" s="106"/>
      <c r="S3384" s="37"/>
      <c r="T3384" s="38"/>
      <c r="U3384" s="38"/>
      <c r="V3384" s="78" t="s">
        <v>8735</v>
      </c>
      <c r="W3384" s="106"/>
      <c r="X3384" s="282"/>
      <c r="Y3384" s="102"/>
    </row>
    <row r="3385">
      <c r="A3385" s="78" t="s">
        <v>8736</v>
      </c>
      <c r="B3385" s="248"/>
      <c r="C3385" s="99">
        <v>44063.0</v>
      </c>
      <c r="E3385" s="78" t="s">
        <v>41</v>
      </c>
      <c r="F3385" s="37">
        <v>1.0</v>
      </c>
      <c r="G3385" s="78" t="s">
        <v>32</v>
      </c>
      <c r="H3385" s="78">
        <v>1.0</v>
      </c>
      <c r="I3385" s="78" t="s">
        <v>33</v>
      </c>
      <c r="J3385" s="78" t="s">
        <v>93</v>
      </c>
      <c r="L3385" s="106" t="s">
        <v>76</v>
      </c>
      <c r="M3385" s="282" t="s">
        <v>8737</v>
      </c>
      <c r="N3385" s="106"/>
      <c r="S3385" s="37"/>
      <c r="T3385" s="38"/>
      <c r="U3385" s="38"/>
      <c r="V3385" s="78" t="s">
        <v>33</v>
      </c>
      <c r="W3385" s="106"/>
      <c r="X3385" s="282"/>
      <c r="Y3385" s="102"/>
    </row>
    <row r="3386">
      <c r="A3386" s="78" t="s">
        <v>8738</v>
      </c>
      <c r="B3386" s="248"/>
      <c r="C3386" s="99">
        <v>44063.0</v>
      </c>
      <c r="E3386" s="78" t="s">
        <v>41</v>
      </c>
      <c r="F3386" s="37">
        <v>1.0</v>
      </c>
      <c r="G3386" s="78">
        <v>6.0</v>
      </c>
      <c r="H3386" s="78">
        <v>6.0</v>
      </c>
      <c r="I3386" s="78" t="s">
        <v>33</v>
      </c>
      <c r="J3386" s="78" t="s">
        <v>228</v>
      </c>
      <c r="L3386" s="106" t="s">
        <v>76</v>
      </c>
      <c r="M3386" s="282" t="s">
        <v>8739</v>
      </c>
      <c r="N3386" s="106"/>
      <c r="S3386" s="37"/>
      <c r="T3386" s="38"/>
      <c r="U3386" s="38"/>
      <c r="V3386" s="78" t="s">
        <v>33</v>
      </c>
      <c r="W3386" s="106"/>
      <c r="X3386" s="282"/>
      <c r="Y3386" s="102"/>
    </row>
    <row r="3387">
      <c r="A3387" s="78" t="s">
        <v>8740</v>
      </c>
      <c r="B3387" s="248"/>
      <c r="C3387" s="99">
        <v>44064.0</v>
      </c>
      <c r="E3387" s="78" t="s">
        <v>31</v>
      </c>
      <c r="F3387" s="37">
        <v>1.0</v>
      </c>
      <c r="G3387" s="78" t="s">
        <v>32</v>
      </c>
      <c r="H3387" s="78">
        <v>1.0</v>
      </c>
      <c r="I3387" s="78" t="s">
        <v>33</v>
      </c>
      <c r="J3387" s="78" t="s">
        <v>47</v>
      </c>
      <c r="L3387" s="106" t="s">
        <v>35</v>
      </c>
      <c r="M3387" s="282" t="s">
        <v>8741</v>
      </c>
      <c r="N3387" s="106"/>
      <c r="S3387" s="37"/>
      <c r="T3387" s="38"/>
      <c r="U3387" s="38"/>
      <c r="V3387" s="78" t="s">
        <v>33</v>
      </c>
      <c r="W3387" s="46" t="s">
        <v>8742</v>
      </c>
      <c r="X3387" s="282" t="s">
        <v>8743</v>
      </c>
      <c r="Y3387" s="102"/>
    </row>
    <row r="3388">
      <c r="A3388" s="78" t="s">
        <v>239</v>
      </c>
      <c r="B3388" s="248"/>
      <c r="C3388" s="99">
        <v>44064.0</v>
      </c>
      <c r="E3388" s="78" t="s">
        <v>41</v>
      </c>
      <c r="F3388" s="37">
        <v>1.0</v>
      </c>
      <c r="G3388" s="78" t="s">
        <v>32</v>
      </c>
      <c r="H3388" s="78">
        <v>1.0</v>
      </c>
      <c r="I3388" s="78" t="s">
        <v>33</v>
      </c>
      <c r="J3388" s="78" t="s">
        <v>147</v>
      </c>
      <c r="L3388" s="106" t="s">
        <v>194</v>
      </c>
      <c r="M3388" s="282" t="s">
        <v>8744</v>
      </c>
      <c r="N3388" s="106"/>
      <c r="S3388" s="37"/>
      <c r="T3388" s="38"/>
      <c r="U3388" s="38"/>
      <c r="V3388" s="78" t="s">
        <v>33</v>
      </c>
      <c r="W3388" s="106"/>
      <c r="X3388" s="282"/>
      <c r="Y3388" s="102"/>
    </row>
    <row r="3389">
      <c r="A3389" s="78" t="s">
        <v>8745</v>
      </c>
      <c r="B3389" s="248"/>
      <c r="C3389" s="99">
        <v>44067.0</v>
      </c>
      <c r="E3389" s="78" t="s">
        <v>41</v>
      </c>
      <c r="F3389" s="37">
        <v>1.0</v>
      </c>
      <c r="G3389" s="78" t="s">
        <v>32</v>
      </c>
      <c r="H3389" s="78">
        <v>1.0</v>
      </c>
      <c r="I3389" s="78" t="s">
        <v>33</v>
      </c>
      <c r="J3389" s="78" t="s">
        <v>147</v>
      </c>
      <c r="L3389" s="106" t="s">
        <v>76</v>
      </c>
      <c r="M3389" s="282" t="s">
        <v>8746</v>
      </c>
      <c r="N3389" s="106"/>
      <c r="S3389" s="37"/>
      <c r="T3389" s="38"/>
      <c r="U3389" s="38"/>
      <c r="V3389" s="78" t="s">
        <v>33</v>
      </c>
      <c r="W3389" s="106"/>
      <c r="X3389" s="282"/>
      <c r="Y3389" s="102"/>
    </row>
    <row r="3390">
      <c r="A3390" s="78" t="s">
        <v>239</v>
      </c>
      <c r="B3390" s="248"/>
      <c r="C3390" s="99">
        <v>44067.0</v>
      </c>
      <c r="E3390" s="78" t="s">
        <v>41</v>
      </c>
      <c r="F3390" s="37">
        <v>1.0</v>
      </c>
      <c r="G3390" s="78" t="s">
        <v>32</v>
      </c>
      <c r="H3390" s="78">
        <v>1.0</v>
      </c>
      <c r="I3390" s="78" t="s">
        <v>33</v>
      </c>
      <c r="J3390" s="78" t="s">
        <v>111</v>
      </c>
      <c r="L3390" s="106" t="s">
        <v>194</v>
      </c>
      <c r="M3390" s="282" t="s">
        <v>8747</v>
      </c>
      <c r="N3390" s="106"/>
      <c r="S3390" s="37"/>
      <c r="T3390" s="38"/>
      <c r="U3390" s="38"/>
      <c r="V3390" s="78" t="s">
        <v>33</v>
      </c>
      <c r="W3390" s="106"/>
      <c r="X3390" s="282"/>
      <c r="Y3390" s="102"/>
    </row>
    <row r="3391">
      <c r="A3391" s="78" t="s">
        <v>239</v>
      </c>
      <c r="B3391" s="248"/>
      <c r="C3391" s="99">
        <v>44067.0</v>
      </c>
      <c r="E3391" s="78" t="s">
        <v>41</v>
      </c>
      <c r="F3391" s="37">
        <v>1.0</v>
      </c>
      <c r="G3391" s="78" t="s">
        <v>32</v>
      </c>
      <c r="H3391" s="78">
        <v>1.0</v>
      </c>
      <c r="I3391" s="78" t="s">
        <v>33</v>
      </c>
      <c r="J3391" s="78" t="s">
        <v>111</v>
      </c>
      <c r="L3391" s="106" t="s">
        <v>194</v>
      </c>
      <c r="M3391" s="282" t="s">
        <v>8747</v>
      </c>
      <c r="N3391" s="106"/>
      <c r="S3391" s="37"/>
      <c r="T3391" s="38"/>
      <c r="U3391" s="38"/>
      <c r="V3391" s="78" t="s">
        <v>3919</v>
      </c>
      <c r="W3391" s="106"/>
      <c r="X3391" s="282"/>
      <c r="Y3391" s="102"/>
    </row>
    <row r="3392">
      <c r="A3392" s="78" t="s">
        <v>239</v>
      </c>
      <c r="B3392" s="248"/>
      <c r="C3392" s="99">
        <v>44068.0</v>
      </c>
      <c r="E3392" s="78" t="s">
        <v>41</v>
      </c>
      <c r="F3392" s="37">
        <v>1.0</v>
      </c>
      <c r="G3392" s="78" t="s">
        <v>32</v>
      </c>
      <c r="H3392" s="78">
        <v>1.0</v>
      </c>
      <c r="I3392" s="78" t="s">
        <v>33</v>
      </c>
      <c r="J3392" s="78" t="s">
        <v>147</v>
      </c>
      <c r="L3392" s="106" t="s">
        <v>194</v>
      </c>
      <c r="M3392" s="282" t="s">
        <v>8748</v>
      </c>
      <c r="N3392" s="106"/>
      <c r="S3392" s="37"/>
      <c r="T3392" s="38"/>
      <c r="U3392" s="38"/>
      <c r="V3392" s="78" t="s">
        <v>33</v>
      </c>
      <c r="W3392" s="106"/>
      <c r="X3392" s="282"/>
      <c r="Y3392" s="102"/>
    </row>
    <row r="3393">
      <c r="A3393" s="78" t="s">
        <v>8749</v>
      </c>
      <c r="B3393" s="248"/>
      <c r="C3393" s="99">
        <v>44068.0</v>
      </c>
      <c r="E3393" s="78" t="s">
        <v>31</v>
      </c>
      <c r="F3393" s="37">
        <v>1.0</v>
      </c>
      <c r="G3393" s="78" t="s">
        <v>32</v>
      </c>
      <c r="H3393" s="78">
        <v>1.0</v>
      </c>
      <c r="I3393" s="78" t="s">
        <v>33</v>
      </c>
      <c r="J3393" s="78" t="s">
        <v>47</v>
      </c>
      <c r="L3393" s="106" t="s">
        <v>1203</v>
      </c>
      <c r="M3393" s="282" t="s">
        <v>8750</v>
      </c>
      <c r="N3393" s="46" t="s">
        <v>8751</v>
      </c>
      <c r="S3393" s="37"/>
      <c r="T3393" s="38"/>
      <c r="U3393" s="38"/>
      <c r="V3393" s="78" t="s">
        <v>33</v>
      </c>
      <c r="W3393" s="46" t="s">
        <v>8752</v>
      </c>
      <c r="X3393" s="282" t="s">
        <v>8753</v>
      </c>
      <c r="Y3393" s="102"/>
    </row>
    <row r="3394">
      <c r="A3394" s="78" t="s">
        <v>8754</v>
      </c>
      <c r="B3394" s="248"/>
      <c r="C3394" s="99">
        <v>44068.0</v>
      </c>
      <c r="E3394" s="78" t="s">
        <v>31</v>
      </c>
      <c r="F3394" s="37">
        <v>1.0</v>
      </c>
      <c r="G3394" s="78" t="s">
        <v>32</v>
      </c>
      <c r="H3394" s="78">
        <v>1.0</v>
      </c>
      <c r="I3394" s="78" t="s">
        <v>33</v>
      </c>
      <c r="J3394" s="78" t="s">
        <v>47</v>
      </c>
      <c r="L3394" s="106" t="s">
        <v>1203</v>
      </c>
      <c r="M3394" s="282" t="s">
        <v>8750</v>
      </c>
      <c r="N3394" s="46" t="s">
        <v>8751</v>
      </c>
      <c r="S3394" s="37"/>
      <c r="T3394" s="38"/>
      <c r="U3394" s="38"/>
      <c r="V3394" s="78" t="s">
        <v>33</v>
      </c>
      <c r="W3394" s="46" t="s">
        <v>8752</v>
      </c>
      <c r="X3394" s="282" t="s">
        <v>8753</v>
      </c>
      <c r="Y3394" s="102"/>
    </row>
    <row r="3395">
      <c r="A3395" s="78" t="s">
        <v>8755</v>
      </c>
      <c r="B3395" s="248"/>
      <c r="C3395" s="99">
        <v>44068.0</v>
      </c>
      <c r="E3395" s="78" t="s">
        <v>31</v>
      </c>
      <c r="F3395" s="37">
        <v>1.0</v>
      </c>
      <c r="G3395" s="78" t="s">
        <v>32</v>
      </c>
      <c r="H3395" s="78">
        <v>1.0</v>
      </c>
      <c r="I3395" s="78" t="s">
        <v>33</v>
      </c>
      <c r="J3395" s="78" t="s">
        <v>115</v>
      </c>
      <c r="L3395" s="106" t="s">
        <v>76</v>
      </c>
      <c r="M3395" s="282" t="s">
        <v>8756</v>
      </c>
      <c r="N3395" s="46" t="s">
        <v>8757</v>
      </c>
      <c r="S3395" s="37"/>
      <c r="T3395" s="38"/>
      <c r="U3395" s="38"/>
      <c r="V3395" s="78" t="s">
        <v>33</v>
      </c>
      <c r="W3395" s="46" t="s">
        <v>8758</v>
      </c>
      <c r="X3395" s="282" t="s">
        <v>8759</v>
      </c>
      <c r="Y3395" s="102"/>
    </row>
    <row r="3396">
      <c r="A3396" s="78" t="s">
        <v>8760</v>
      </c>
      <c r="B3396" s="248"/>
      <c r="C3396" s="99">
        <v>44068.0</v>
      </c>
      <c r="E3396" s="78" t="s">
        <v>41</v>
      </c>
      <c r="F3396" s="37">
        <v>1.0</v>
      </c>
      <c r="G3396" s="78" t="s">
        <v>32</v>
      </c>
      <c r="H3396" s="78">
        <v>1.0</v>
      </c>
      <c r="I3396" s="78" t="s">
        <v>33</v>
      </c>
      <c r="J3396" s="78" t="s">
        <v>93</v>
      </c>
      <c r="L3396" s="106" t="s">
        <v>119</v>
      </c>
      <c r="M3396" s="282" t="s">
        <v>8761</v>
      </c>
      <c r="N3396" s="106"/>
      <c r="S3396" s="37"/>
      <c r="T3396" s="38"/>
      <c r="U3396" s="38"/>
      <c r="V3396" s="78" t="s">
        <v>33</v>
      </c>
      <c r="W3396" s="106"/>
      <c r="X3396" s="282"/>
      <c r="Y3396" s="102"/>
    </row>
    <row r="3397">
      <c r="A3397" s="78" t="s">
        <v>239</v>
      </c>
      <c r="B3397" s="248"/>
      <c r="C3397" s="99">
        <v>44068.0</v>
      </c>
      <c r="E3397" s="78" t="s">
        <v>41</v>
      </c>
      <c r="F3397" s="37">
        <v>1.0</v>
      </c>
      <c r="G3397" s="78" t="s">
        <v>32</v>
      </c>
      <c r="H3397" s="78">
        <v>1.0</v>
      </c>
      <c r="I3397" s="78" t="s">
        <v>33</v>
      </c>
      <c r="J3397" s="78" t="s">
        <v>147</v>
      </c>
      <c r="L3397" s="106" t="s">
        <v>194</v>
      </c>
      <c r="M3397" s="282" t="s">
        <v>8762</v>
      </c>
      <c r="N3397" s="106"/>
      <c r="S3397" s="37"/>
      <c r="T3397" s="38"/>
      <c r="U3397" s="38"/>
      <c r="V3397" s="78" t="s">
        <v>6300</v>
      </c>
      <c r="W3397" s="106"/>
      <c r="X3397" s="282"/>
      <c r="Y3397" s="102"/>
    </row>
    <row r="3398">
      <c r="A3398" s="78" t="s">
        <v>8763</v>
      </c>
      <c r="B3398" s="248"/>
      <c r="C3398" s="99">
        <v>44068.0</v>
      </c>
      <c r="E3398" s="78" t="s">
        <v>41</v>
      </c>
      <c r="F3398" s="37">
        <v>1.0</v>
      </c>
      <c r="G3398" s="78" t="s">
        <v>32</v>
      </c>
      <c r="H3398" s="78">
        <v>1.0</v>
      </c>
      <c r="I3398" s="78" t="s">
        <v>33</v>
      </c>
      <c r="J3398" s="78" t="s">
        <v>909</v>
      </c>
      <c r="L3398" s="106" t="s">
        <v>8764</v>
      </c>
      <c r="M3398" s="282" t="s">
        <v>8765</v>
      </c>
      <c r="N3398" s="106"/>
      <c r="S3398" s="37"/>
      <c r="T3398" s="38"/>
      <c r="U3398" s="38"/>
      <c r="V3398" s="78" t="s">
        <v>33</v>
      </c>
      <c r="W3398" s="106"/>
      <c r="X3398" s="282"/>
      <c r="Y3398" s="102"/>
    </row>
    <row r="3399">
      <c r="A3399" s="78" t="s">
        <v>8766</v>
      </c>
      <c r="B3399" s="248"/>
      <c r="C3399" s="99">
        <v>44069.0</v>
      </c>
      <c r="E3399" s="78" t="s">
        <v>31</v>
      </c>
      <c r="F3399" s="37">
        <v>1.0</v>
      </c>
      <c r="G3399" s="78" t="s">
        <v>32</v>
      </c>
      <c r="H3399" s="78">
        <v>1.0</v>
      </c>
      <c r="I3399" s="78" t="s">
        <v>33</v>
      </c>
      <c r="J3399" s="78" t="s">
        <v>241</v>
      </c>
      <c r="L3399" s="106" t="s">
        <v>8767</v>
      </c>
      <c r="M3399" s="282" t="s">
        <v>8768</v>
      </c>
      <c r="N3399" s="106"/>
      <c r="S3399" s="37"/>
      <c r="T3399" s="38"/>
      <c r="U3399" s="38"/>
      <c r="V3399" s="78" t="s">
        <v>33</v>
      </c>
      <c r="W3399" s="106"/>
      <c r="X3399" s="282"/>
      <c r="Y3399" s="102"/>
    </row>
    <row r="3400">
      <c r="A3400" s="78" t="s">
        <v>8769</v>
      </c>
      <c r="B3400" s="248"/>
      <c r="C3400" s="99">
        <v>44069.0</v>
      </c>
      <c r="E3400" s="78" t="s">
        <v>31</v>
      </c>
      <c r="F3400" s="37">
        <v>1.0</v>
      </c>
      <c r="G3400" s="78" t="s">
        <v>32</v>
      </c>
      <c r="H3400" s="78">
        <v>1.0</v>
      </c>
      <c r="I3400" s="78" t="s">
        <v>33</v>
      </c>
      <c r="J3400" s="78" t="s">
        <v>241</v>
      </c>
      <c r="L3400" s="106" t="s">
        <v>8767</v>
      </c>
      <c r="M3400" s="282" t="s">
        <v>8768</v>
      </c>
      <c r="N3400" s="106"/>
      <c r="S3400" s="37"/>
      <c r="T3400" s="38"/>
      <c r="U3400" s="38"/>
      <c r="V3400" s="78" t="s">
        <v>33</v>
      </c>
      <c r="W3400" s="106"/>
      <c r="X3400" s="282"/>
      <c r="Y3400" s="102"/>
    </row>
    <row r="3401">
      <c r="A3401" s="78" t="s">
        <v>8770</v>
      </c>
      <c r="B3401" s="248"/>
      <c r="C3401" s="99">
        <v>44069.0</v>
      </c>
      <c r="E3401" s="78" t="s">
        <v>41</v>
      </c>
      <c r="F3401" s="37">
        <v>1.0</v>
      </c>
      <c r="G3401" s="78" t="s">
        <v>32</v>
      </c>
      <c r="H3401" s="78">
        <v>1.0</v>
      </c>
      <c r="I3401" s="78" t="s">
        <v>33</v>
      </c>
      <c r="J3401" s="78" t="s">
        <v>93</v>
      </c>
      <c r="L3401" s="106" t="s">
        <v>119</v>
      </c>
      <c r="M3401" s="282" t="s">
        <v>8771</v>
      </c>
      <c r="N3401" s="106"/>
      <c r="S3401" s="37"/>
      <c r="T3401" s="38"/>
      <c r="U3401" s="38"/>
      <c r="V3401" s="78" t="s">
        <v>33</v>
      </c>
      <c r="W3401" s="106"/>
      <c r="X3401" s="282"/>
      <c r="Y3401" s="102"/>
    </row>
    <row r="3402">
      <c r="A3402" s="78" t="s">
        <v>8772</v>
      </c>
      <c r="B3402" s="248"/>
      <c r="C3402" s="99">
        <v>44070.0</v>
      </c>
      <c r="E3402" s="78" t="s">
        <v>41</v>
      </c>
      <c r="F3402" s="37">
        <v>1.0</v>
      </c>
      <c r="G3402" s="78" t="s">
        <v>32</v>
      </c>
      <c r="H3402" s="78">
        <v>1.0</v>
      </c>
      <c r="I3402" s="78" t="s">
        <v>33</v>
      </c>
      <c r="J3402" s="78" t="s">
        <v>193</v>
      </c>
      <c r="L3402" s="106" t="s">
        <v>119</v>
      </c>
      <c r="M3402" s="282" t="s">
        <v>8773</v>
      </c>
      <c r="N3402" s="106"/>
      <c r="Q3402" s="78">
        <v>1.0</v>
      </c>
      <c r="S3402" s="37"/>
      <c r="T3402" s="38"/>
      <c r="U3402" s="38"/>
      <c r="V3402" s="78" t="s">
        <v>33</v>
      </c>
      <c r="W3402" s="106"/>
      <c r="X3402" s="282"/>
      <c r="Y3402" s="102"/>
    </row>
    <row r="3403">
      <c r="A3403" s="78" t="s">
        <v>8774</v>
      </c>
      <c r="B3403" s="248"/>
      <c r="C3403" s="99">
        <v>44070.0</v>
      </c>
      <c r="E3403" s="78" t="s">
        <v>41</v>
      </c>
      <c r="F3403" s="37">
        <v>1.0</v>
      </c>
      <c r="G3403" s="78" t="s">
        <v>32</v>
      </c>
      <c r="H3403" s="78">
        <v>1.0</v>
      </c>
      <c r="I3403" s="78" t="s">
        <v>33</v>
      </c>
      <c r="J3403" s="78" t="s">
        <v>909</v>
      </c>
      <c r="L3403" s="106" t="s">
        <v>69</v>
      </c>
      <c r="M3403" s="282" t="s">
        <v>8775</v>
      </c>
      <c r="N3403" s="106"/>
      <c r="Q3403" s="294"/>
      <c r="S3403" s="91"/>
      <c r="T3403" s="96"/>
      <c r="U3403" s="38"/>
      <c r="V3403" s="78" t="s">
        <v>33</v>
      </c>
      <c r="W3403" s="106"/>
      <c r="X3403" s="282"/>
      <c r="Y3403" s="102"/>
    </row>
    <row r="3404">
      <c r="A3404" s="78" t="s">
        <v>8776</v>
      </c>
      <c r="B3404" s="248"/>
      <c r="C3404" s="99">
        <v>44071.0</v>
      </c>
      <c r="E3404" s="78" t="s">
        <v>41</v>
      </c>
      <c r="F3404" s="37">
        <v>1.0</v>
      </c>
      <c r="G3404" s="78" t="s">
        <v>32</v>
      </c>
      <c r="H3404" s="78">
        <v>1.0</v>
      </c>
      <c r="I3404" s="78" t="s">
        <v>33</v>
      </c>
      <c r="J3404" s="78" t="s">
        <v>93</v>
      </c>
      <c r="L3404" s="106" t="s">
        <v>69</v>
      </c>
      <c r="M3404" s="282" t="s">
        <v>8777</v>
      </c>
      <c r="N3404" s="106"/>
      <c r="Q3404" s="294"/>
      <c r="S3404" s="91"/>
      <c r="T3404" s="96"/>
      <c r="U3404" s="38"/>
      <c r="V3404" s="78" t="s">
        <v>33</v>
      </c>
      <c r="W3404" s="106"/>
      <c r="X3404" s="282"/>
      <c r="Y3404" s="102"/>
    </row>
    <row r="3405">
      <c r="A3405" s="78" t="s">
        <v>8778</v>
      </c>
      <c r="B3405" s="248"/>
      <c r="C3405" s="100">
        <v>44075.0</v>
      </c>
      <c r="E3405" s="78" t="s">
        <v>41</v>
      </c>
      <c r="F3405" s="37">
        <v>1.0</v>
      </c>
      <c r="G3405" s="78">
        <v>1.0</v>
      </c>
      <c r="H3405" s="78">
        <v>1.0</v>
      </c>
      <c r="I3405" s="78" t="s">
        <v>33</v>
      </c>
      <c r="J3405" s="78" t="s">
        <v>268</v>
      </c>
      <c r="L3405" s="106" t="s">
        <v>790</v>
      </c>
      <c r="M3405" s="282" t="s">
        <v>8779</v>
      </c>
      <c r="N3405" s="106"/>
      <c r="Q3405" s="294"/>
      <c r="S3405" s="91"/>
      <c r="T3405" s="96"/>
      <c r="U3405" s="38"/>
      <c r="V3405" s="78" t="s">
        <v>33</v>
      </c>
      <c r="W3405" s="106"/>
      <c r="X3405" s="282"/>
      <c r="Y3405" s="102"/>
    </row>
    <row r="3406">
      <c r="A3406" s="78" t="s">
        <v>239</v>
      </c>
      <c r="B3406" s="248"/>
      <c r="C3406" s="100">
        <v>44075.0</v>
      </c>
      <c r="E3406" s="78" t="s">
        <v>41</v>
      </c>
      <c r="F3406" s="37">
        <v>6.0</v>
      </c>
      <c r="G3406" s="78" t="s">
        <v>32</v>
      </c>
      <c r="H3406" s="78">
        <v>1.0</v>
      </c>
      <c r="I3406" s="78" t="s">
        <v>33</v>
      </c>
      <c r="J3406" s="78" t="s">
        <v>147</v>
      </c>
      <c r="L3406" s="106" t="s">
        <v>8780</v>
      </c>
      <c r="M3406" s="282" t="s">
        <v>8781</v>
      </c>
      <c r="N3406" s="106"/>
      <c r="Q3406" s="294"/>
      <c r="S3406" s="91"/>
      <c r="T3406" s="96"/>
      <c r="U3406" s="38"/>
      <c r="V3406" s="78" t="s">
        <v>33</v>
      </c>
      <c r="W3406" s="106"/>
      <c r="X3406" s="282"/>
      <c r="Y3406" s="102"/>
    </row>
    <row r="3407">
      <c r="A3407" s="78" t="s">
        <v>239</v>
      </c>
      <c r="B3407" s="248"/>
      <c r="C3407" s="99">
        <v>44075.0</v>
      </c>
      <c r="E3407" s="78" t="s">
        <v>41</v>
      </c>
      <c r="F3407" s="37">
        <v>8.0</v>
      </c>
      <c r="G3407" s="78" t="s">
        <v>32</v>
      </c>
      <c r="H3407" s="78">
        <v>1.0</v>
      </c>
      <c r="I3407" s="78" t="s">
        <v>33</v>
      </c>
      <c r="J3407" s="78" t="s">
        <v>147</v>
      </c>
      <c r="L3407" s="106" t="s">
        <v>194</v>
      </c>
      <c r="M3407" s="282" t="s">
        <v>8782</v>
      </c>
      <c r="N3407" s="106"/>
      <c r="S3407" s="37"/>
      <c r="T3407" s="38"/>
      <c r="U3407" s="38"/>
      <c r="V3407" s="78" t="s">
        <v>32</v>
      </c>
      <c r="W3407" s="106"/>
      <c r="X3407" s="282"/>
      <c r="Y3407" s="102"/>
    </row>
    <row r="3408">
      <c r="A3408" s="78" t="s">
        <v>239</v>
      </c>
      <c r="B3408" s="248"/>
      <c r="C3408" s="99">
        <v>44075.0</v>
      </c>
      <c r="E3408" s="78" t="s">
        <v>41</v>
      </c>
      <c r="F3408" s="37">
        <v>1.0</v>
      </c>
      <c r="G3408" s="78" t="s">
        <v>32</v>
      </c>
      <c r="H3408" s="78">
        <v>1.0</v>
      </c>
      <c r="I3408" s="78" t="s">
        <v>33</v>
      </c>
      <c r="J3408" s="78" t="s">
        <v>111</v>
      </c>
      <c r="L3408" s="106" t="s">
        <v>194</v>
      </c>
      <c r="M3408" s="282" t="s">
        <v>8783</v>
      </c>
      <c r="N3408" s="106"/>
      <c r="S3408" s="37"/>
      <c r="T3408" s="38"/>
      <c r="U3408" s="38"/>
      <c r="V3408" s="78" t="s">
        <v>33</v>
      </c>
      <c r="W3408" s="106"/>
      <c r="X3408" s="282"/>
      <c r="Y3408" s="102"/>
    </row>
    <row r="3409">
      <c r="A3409" s="78" t="s">
        <v>8784</v>
      </c>
      <c r="B3409" s="248"/>
      <c r="C3409" s="99">
        <v>44075.0</v>
      </c>
      <c r="E3409" s="78" t="s">
        <v>41</v>
      </c>
      <c r="F3409" s="37">
        <v>1.0</v>
      </c>
      <c r="G3409" s="78" t="s">
        <v>32</v>
      </c>
      <c r="H3409" s="78">
        <v>1.0</v>
      </c>
      <c r="I3409" s="78" t="s">
        <v>33</v>
      </c>
      <c r="J3409" s="78" t="s">
        <v>460</v>
      </c>
      <c r="L3409" s="106" t="s">
        <v>119</v>
      </c>
      <c r="M3409" s="282" t="s">
        <v>8785</v>
      </c>
      <c r="N3409" s="106"/>
      <c r="S3409" s="37"/>
      <c r="T3409" s="38"/>
      <c r="U3409" s="38"/>
      <c r="V3409" s="78" t="s">
        <v>33</v>
      </c>
      <c r="W3409" s="106"/>
      <c r="X3409" s="282"/>
      <c r="Y3409" s="102"/>
    </row>
    <row r="3410">
      <c r="A3410" s="78" t="s">
        <v>8786</v>
      </c>
      <c r="B3410" s="248"/>
      <c r="C3410" s="99">
        <v>44075.0</v>
      </c>
      <c r="E3410" s="78" t="s">
        <v>41</v>
      </c>
      <c r="F3410" s="37">
        <v>1.0</v>
      </c>
      <c r="G3410" s="78">
        <v>1.0</v>
      </c>
      <c r="H3410" s="78">
        <v>1.0</v>
      </c>
      <c r="I3410" s="78" t="s">
        <v>33</v>
      </c>
      <c r="J3410" s="78" t="s">
        <v>268</v>
      </c>
      <c r="L3410" s="106" t="s">
        <v>6007</v>
      </c>
      <c r="M3410" s="282" t="s">
        <v>8787</v>
      </c>
      <c r="N3410" s="106"/>
      <c r="S3410" s="37"/>
      <c r="T3410" s="38"/>
      <c r="U3410" s="38"/>
      <c r="V3410" s="78" t="s">
        <v>33</v>
      </c>
      <c r="W3410" s="106"/>
      <c r="X3410" s="282"/>
      <c r="Y3410" s="102"/>
    </row>
    <row r="3411">
      <c r="A3411" s="78" t="s">
        <v>8788</v>
      </c>
      <c r="B3411" s="248"/>
      <c r="C3411" s="99">
        <v>44075.0</v>
      </c>
      <c r="E3411" s="78" t="s">
        <v>41</v>
      </c>
      <c r="F3411" s="37">
        <v>1.0</v>
      </c>
      <c r="G3411" s="78" t="s">
        <v>32</v>
      </c>
      <c r="H3411" s="78">
        <v>1.0</v>
      </c>
      <c r="I3411" s="78" t="s">
        <v>33</v>
      </c>
      <c r="J3411" s="78" t="s">
        <v>203</v>
      </c>
      <c r="L3411" s="106" t="s">
        <v>69</v>
      </c>
      <c r="M3411" s="282" t="s">
        <v>8789</v>
      </c>
      <c r="N3411" s="106"/>
      <c r="S3411" s="37"/>
      <c r="T3411" s="38"/>
      <c r="U3411" s="38"/>
      <c r="V3411" s="78" t="s">
        <v>33</v>
      </c>
      <c r="W3411" s="106"/>
      <c r="X3411" s="282"/>
      <c r="Y3411" s="102"/>
    </row>
    <row r="3412">
      <c r="A3412" s="78" t="s">
        <v>8790</v>
      </c>
      <c r="B3412" s="248"/>
      <c r="C3412" s="99">
        <v>44076.0</v>
      </c>
      <c r="E3412" s="78" t="s">
        <v>41</v>
      </c>
      <c r="F3412" s="37">
        <v>1.0</v>
      </c>
      <c r="G3412" s="78" t="s">
        <v>32</v>
      </c>
      <c r="H3412" s="78">
        <v>1.0</v>
      </c>
      <c r="I3412" s="78" t="s">
        <v>33</v>
      </c>
      <c r="J3412" s="78" t="s">
        <v>106</v>
      </c>
      <c r="L3412" s="106" t="s">
        <v>69</v>
      </c>
      <c r="M3412" s="282" t="s">
        <v>8791</v>
      </c>
      <c r="N3412" s="106"/>
      <c r="S3412" s="37"/>
      <c r="T3412" s="38"/>
      <c r="U3412" s="38"/>
      <c r="V3412" s="78" t="s">
        <v>33</v>
      </c>
      <c r="W3412" s="106"/>
      <c r="X3412" s="282"/>
      <c r="Y3412" s="102"/>
    </row>
    <row r="3413">
      <c r="A3413" s="78" t="s">
        <v>8792</v>
      </c>
      <c r="B3413" s="248"/>
      <c r="C3413" s="99">
        <v>44076.0</v>
      </c>
      <c r="E3413" s="78" t="s">
        <v>31</v>
      </c>
      <c r="F3413" s="37">
        <v>1.0</v>
      </c>
      <c r="G3413" s="78" t="s">
        <v>32</v>
      </c>
      <c r="H3413" s="78">
        <v>1.0</v>
      </c>
      <c r="I3413" s="78" t="s">
        <v>33</v>
      </c>
      <c r="J3413" s="78" t="s">
        <v>162</v>
      </c>
      <c r="L3413" s="106" t="s">
        <v>76</v>
      </c>
      <c r="M3413" s="282" t="s">
        <v>8793</v>
      </c>
      <c r="N3413" s="46" t="s">
        <v>8794</v>
      </c>
      <c r="S3413" s="37"/>
      <c r="T3413" s="38"/>
      <c r="U3413" s="38"/>
      <c r="V3413" s="78" t="s">
        <v>33</v>
      </c>
      <c r="W3413" s="46" t="s">
        <v>8795</v>
      </c>
      <c r="X3413" s="282" t="s">
        <v>8796</v>
      </c>
      <c r="Y3413" s="102"/>
    </row>
    <row r="3414">
      <c r="A3414" s="78" t="s">
        <v>8797</v>
      </c>
      <c r="B3414" s="248"/>
      <c r="C3414" s="99">
        <v>44076.0</v>
      </c>
      <c r="E3414" s="78" t="s">
        <v>31</v>
      </c>
      <c r="F3414" s="37">
        <v>1.0</v>
      </c>
      <c r="G3414" s="78" t="s">
        <v>32</v>
      </c>
      <c r="H3414" s="78">
        <v>1.0</v>
      </c>
      <c r="I3414" s="78" t="s">
        <v>33</v>
      </c>
      <c r="J3414" s="78" t="s">
        <v>241</v>
      </c>
      <c r="L3414" s="106" t="s">
        <v>8767</v>
      </c>
      <c r="M3414" s="282" t="s">
        <v>8768</v>
      </c>
      <c r="N3414" s="46" t="s">
        <v>8798</v>
      </c>
      <c r="S3414" s="37"/>
      <c r="T3414" s="38"/>
      <c r="U3414" s="38"/>
      <c r="V3414" s="78" t="s">
        <v>33</v>
      </c>
      <c r="W3414" s="46" t="s">
        <v>8799</v>
      </c>
      <c r="X3414" s="282" t="s">
        <v>8800</v>
      </c>
      <c r="Y3414" s="102"/>
    </row>
    <row r="3415">
      <c r="A3415" s="78" t="s">
        <v>8801</v>
      </c>
      <c r="B3415" s="248"/>
      <c r="C3415" s="99">
        <v>44076.0</v>
      </c>
      <c r="E3415" s="78" t="s">
        <v>41</v>
      </c>
      <c r="F3415" s="37">
        <v>1.0</v>
      </c>
      <c r="G3415" s="78" t="s">
        <v>32</v>
      </c>
      <c r="H3415" s="78">
        <v>1.0</v>
      </c>
      <c r="I3415" s="78" t="s">
        <v>33</v>
      </c>
      <c r="J3415" s="78" t="s">
        <v>147</v>
      </c>
      <c r="L3415" s="106" t="s">
        <v>2316</v>
      </c>
      <c r="M3415" s="282" t="s">
        <v>8802</v>
      </c>
      <c r="N3415" s="106"/>
      <c r="S3415" s="37"/>
      <c r="T3415" s="38"/>
      <c r="U3415" s="38"/>
      <c r="V3415" s="78" t="s">
        <v>33</v>
      </c>
      <c r="W3415" s="106"/>
      <c r="X3415" s="282"/>
      <c r="Y3415" s="102"/>
    </row>
    <row r="3416">
      <c r="A3416" s="78" t="s">
        <v>8803</v>
      </c>
      <c r="B3416" s="248"/>
      <c r="C3416" s="99">
        <v>44076.0</v>
      </c>
      <c r="E3416" s="78" t="s">
        <v>41</v>
      </c>
      <c r="F3416" s="37">
        <v>1.0</v>
      </c>
      <c r="G3416" s="78" t="s">
        <v>32</v>
      </c>
      <c r="H3416" s="78">
        <v>1.0</v>
      </c>
      <c r="I3416" s="78" t="s">
        <v>33</v>
      </c>
      <c r="J3416" s="78" t="s">
        <v>147</v>
      </c>
      <c r="L3416" s="106" t="s">
        <v>2316</v>
      </c>
      <c r="M3416" s="282" t="s">
        <v>8802</v>
      </c>
      <c r="N3416" s="106"/>
      <c r="S3416" s="37"/>
      <c r="T3416" s="38"/>
      <c r="U3416" s="38"/>
      <c r="V3416" s="78" t="s">
        <v>33</v>
      </c>
      <c r="W3416" s="106"/>
      <c r="X3416" s="282"/>
      <c r="Y3416" s="102"/>
    </row>
    <row r="3417">
      <c r="A3417" s="78" t="s">
        <v>8804</v>
      </c>
      <c r="B3417" s="248"/>
      <c r="C3417" s="99">
        <v>44077.0</v>
      </c>
      <c r="E3417" s="78" t="s">
        <v>41</v>
      </c>
      <c r="F3417" s="37">
        <v>1.0</v>
      </c>
      <c r="G3417" s="78" t="s">
        <v>32</v>
      </c>
      <c r="H3417" s="78">
        <v>1.0</v>
      </c>
      <c r="I3417" s="78" t="s">
        <v>33</v>
      </c>
      <c r="J3417" s="78" t="s">
        <v>93</v>
      </c>
      <c r="L3417" s="106" t="s">
        <v>76</v>
      </c>
      <c r="M3417" s="282" t="s">
        <v>8805</v>
      </c>
      <c r="N3417" s="106"/>
      <c r="S3417" s="37"/>
      <c r="T3417" s="38"/>
      <c r="U3417" s="38"/>
      <c r="V3417" s="78"/>
      <c r="W3417" s="106"/>
      <c r="X3417" s="282"/>
      <c r="Y3417" s="102"/>
    </row>
    <row r="3418">
      <c r="A3418" s="78" t="s">
        <v>8806</v>
      </c>
      <c r="B3418" s="248"/>
      <c r="C3418" s="99">
        <v>44077.0</v>
      </c>
      <c r="E3418" s="78" t="s">
        <v>31</v>
      </c>
      <c r="F3418" s="37">
        <v>1.0</v>
      </c>
      <c r="G3418" s="78" t="s">
        <v>32</v>
      </c>
      <c r="H3418" s="78">
        <v>1.0</v>
      </c>
      <c r="I3418" s="78" t="s">
        <v>33</v>
      </c>
      <c r="J3418" s="78" t="s">
        <v>241</v>
      </c>
      <c r="L3418" s="106" t="s">
        <v>8767</v>
      </c>
      <c r="M3418" s="282" t="s">
        <v>8768</v>
      </c>
      <c r="N3418" s="106"/>
      <c r="S3418" s="37"/>
      <c r="T3418" s="38"/>
      <c r="U3418" s="38"/>
      <c r="V3418" s="78" t="s">
        <v>33</v>
      </c>
      <c r="W3418" s="106"/>
      <c r="X3418" s="282"/>
      <c r="Y3418" s="102"/>
    </row>
    <row r="3419">
      <c r="A3419" s="78" t="s">
        <v>8807</v>
      </c>
      <c r="B3419" s="293"/>
      <c r="C3419" s="99">
        <v>44077.0</v>
      </c>
      <c r="D3419" s="294"/>
      <c r="E3419" s="78" t="s">
        <v>41</v>
      </c>
      <c r="F3419" s="37">
        <v>1.0</v>
      </c>
      <c r="G3419" s="78" t="s">
        <v>32</v>
      </c>
      <c r="H3419" s="78">
        <v>1.0</v>
      </c>
      <c r="I3419" s="78" t="s">
        <v>33</v>
      </c>
      <c r="J3419" s="78" t="s">
        <v>111</v>
      </c>
      <c r="K3419" s="294"/>
      <c r="L3419" s="106" t="s">
        <v>8808</v>
      </c>
      <c r="M3419" s="282" t="s">
        <v>8809</v>
      </c>
      <c r="N3419" s="288"/>
      <c r="S3419" s="37"/>
      <c r="T3419" s="38"/>
      <c r="U3419" s="38"/>
      <c r="V3419" s="78" t="s">
        <v>33</v>
      </c>
      <c r="W3419" s="106"/>
      <c r="X3419" s="282"/>
      <c r="Y3419" s="295"/>
      <c r="Z3419" s="294"/>
      <c r="AA3419" s="294"/>
      <c r="AB3419" s="294"/>
      <c r="AC3419" s="294"/>
      <c r="AD3419" s="294"/>
      <c r="AE3419" s="294"/>
      <c r="AF3419" s="294"/>
      <c r="AG3419" s="294"/>
      <c r="AH3419" s="294"/>
      <c r="AI3419" s="294"/>
      <c r="AJ3419" s="294"/>
      <c r="AK3419" s="294"/>
      <c r="AL3419" s="294"/>
      <c r="AM3419" s="294"/>
      <c r="AN3419" s="294"/>
      <c r="AO3419" s="294"/>
      <c r="AP3419" s="294"/>
      <c r="AQ3419" s="294"/>
      <c r="AR3419" s="294"/>
      <c r="AS3419" s="294"/>
      <c r="AT3419" s="294"/>
      <c r="AU3419" s="294"/>
      <c r="AV3419" s="294"/>
      <c r="AW3419" s="294"/>
      <c r="AX3419" s="294"/>
      <c r="AY3419" s="294"/>
      <c r="AZ3419" s="294"/>
      <c r="BA3419" s="294"/>
      <c r="BB3419" s="294"/>
      <c r="BC3419" s="294"/>
      <c r="BD3419" s="294"/>
      <c r="BE3419" s="294"/>
      <c r="BF3419" s="294"/>
      <c r="BG3419" s="294"/>
      <c r="BH3419" s="294"/>
      <c r="BI3419" s="294"/>
      <c r="BJ3419" s="294"/>
      <c r="BK3419" s="294"/>
      <c r="BL3419" s="294"/>
      <c r="BM3419" s="294"/>
      <c r="BN3419" s="294"/>
      <c r="BO3419" s="294"/>
      <c r="BP3419" s="294"/>
      <c r="BQ3419" s="294"/>
    </row>
    <row r="3420">
      <c r="A3420" s="78" t="s">
        <v>8810</v>
      </c>
      <c r="B3420" s="293"/>
      <c r="C3420" s="99">
        <v>44078.0</v>
      </c>
      <c r="D3420" s="294"/>
      <c r="E3420" s="78" t="s">
        <v>41</v>
      </c>
      <c r="F3420" s="37">
        <v>1.0</v>
      </c>
      <c r="G3420" s="78" t="s">
        <v>32</v>
      </c>
      <c r="H3420" s="78">
        <v>1.0</v>
      </c>
      <c r="I3420" s="78" t="s">
        <v>33</v>
      </c>
      <c r="J3420" s="78" t="s">
        <v>111</v>
      </c>
      <c r="K3420" s="294"/>
      <c r="L3420" s="106" t="s">
        <v>8811</v>
      </c>
      <c r="M3420" s="282" t="s">
        <v>8812</v>
      </c>
      <c r="N3420" s="288"/>
      <c r="S3420" s="37"/>
      <c r="T3420" s="38"/>
      <c r="U3420" s="38"/>
      <c r="V3420" s="78" t="s">
        <v>33</v>
      </c>
      <c r="W3420" s="106"/>
      <c r="X3420" s="282"/>
      <c r="Y3420" s="295"/>
      <c r="Z3420" s="294"/>
      <c r="AA3420" s="294"/>
      <c r="AB3420" s="294"/>
      <c r="AC3420" s="294"/>
      <c r="AD3420" s="294"/>
      <c r="AE3420" s="294"/>
      <c r="AF3420" s="294"/>
      <c r="AG3420" s="294"/>
      <c r="AH3420" s="294"/>
      <c r="AI3420" s="294"/>
      <c r="AJ3420" s="294"/>
      <c r="AK3420" s="294"/>
      <c r="AL3420" s="294"/>
      <c r="AM3420" s="294"/>
      <c r="AN3420" s="294"/>
      <c r="AO3420" s="294"/>
      <c r="AP3420" s="294"/>
      <c r="AQ3420" s="294"/>
      <c r="AR3420" s="294"/>
      <c r="AS3420" s="294"/>
      <c r="AT3420" s="294"/>
      <c r="AU3420" s="294"/>
      <c r="AV3420" s="294"/>
      <c r="AW3420" s="294"/>
      <c r="AX3420" s="294"/>
      <c r="AY3420" s="294"/>
      <c r="AZ3420" s="294"/>
      <c r="BA3420" s="294"/>
      <c r="BB3420" s="294"/>
      <c r="BC3420" s="294"/>
      <c r="BD3420" s="294"/>
      <c r="BE3420" s="294"/>
      <c r="BF3420" s="294"/>
      <c r="BG3420" s="294"/>
      <c r="BH3420" s="294"/>
      <c r="BI3420" s="294"/>
      <c r="BJ3420" s="294"/>
      <c r="BK3420" s="294"/>
      <c r="BL3420" s="294"/>
      <c r="BM3420" s="294"/>
      <c r="BN3420" s="294"/>
      <c r="BO3420" s="294"/>
      <c r="BP3420" s="294"/>
      <c r="BQ3420" s="294"/>
    </row>
    <row r="3421">
      <c r="A3421" s="78" t="s">
        <v>8813</v>
      </c>
      <c r="B3421" s="293"/>
      <c r="C3421" s="99">
        <v>44078.0</v>
      </c>
      <c r="D3421" s="294"/>
      <c r="E3421" s="78" t="s">
        <v>41</v>
      </c>
      <c r="F3421" s="37">
        <v>1.0</v>
      </c>
      <c r="G3421" s="78">
        <v>2.0</v>
      </c>
      <c r="H3421" s="78">
        <v>2.0</v>
      </c>
      <c r="I3421" s="78" t="s">
        <v>33</v>
      </c>
      <c r="J3421" s="78" t="s">
        <v>279</v>
      </c>
      <c r="K3421" s="294"/>
      <c r="L3421" s="106" t="s">
        <v>8814</v>
      </c>
      <c r="M3421" s="282" t="s">
        <v>8815</v>
      </c>
      <c r="N3421" s="288"/>
      <c r="S3421" s="37"/>
      <c r="T3421" s="38"/>
      <c r="U3421" s="38"/>
      <c r="V3421" s="78" t="s">
        <v>33</v>
      </c>
      <c r="W3421" s="106"/>
      <c r="X3421" s="282"/>
      <c r="Y3421" s="295"/>
      <c r="Z3421" s="294"/>
      <c r="AA3421" s="294"/>
      <c r="AB3421" s="294"/>
      <c r="AC3421" s="294"/>
      <c r="AD3421" s="294"/>
      <c r="AE3421" s="294"/>
      <c r="AF3421" s="294"/>
      <c r="AG3421" s="294"/>
      <c r="AH3421" s="294"/>
      <c r="AI3421" s="294"/>
      <c r="AJ3421" s="294"/>
      <c r="AK3421" s="294"/>
      <c r="AL3421" s="294"/>
      <c r="AM3421" s="294"/>
      <c r="AN3421" s="294"/>
      <c r="AO3421" s="294"/>
      <c r="AP3421" s="294"/>
      <c r="AQ3421" s="294"/>
      <c r="AR3421" s="294"/>
      <c r="AS3421" s="294"/>
      <c r="AT3421" s="294"/>
      <c r="AU3421" s="294"/>
      <c r="AV3421" s="294"/>
      <c r="AW3421" s="294"/>
      <c r="AX3421" s="294"/>
      <c r="AY3421" s="294"/>
      <c r="AZ3421" s="294"/>
      <c r="BA3421" s="294"/>
      <c r="BB3421" s="294"/>
      <c r="BC3421" s="294"/>
      <c r="BD3421" s="294"/>
      <c r="BE3421" s="294"/>
      <c r="BF3421" s="294"/>
      <c r="BG3421" s="294"/>
      <c r="BH3421" s="294"/>
      <c r="BI3421" s="294"/>
      <c r="BJ3421" s="294"/>
      <c r="BK3421" s="294"/>
      <c r="BL3421" s="294"/>
      <c r="BM3421" s="294"/>
      <c r="BN3421" s="294"/>
      <c r="BO3421" s="294"/>
      <c r="BP3421" s="294"/>
      <c r="BQ3421" s="294"/>
    </row>
    <row r="3422">
      <c r="A3422" s="78" t="s">
        <v>8816</v>
      </c>
      <c r="B3422" s="293"/>
      <c r="C3422" s="99">
        <v>44078.0</v>
      </c>
      <c r="D3422" s="294"/>
      <c r="E3422" s="78" t="s">
        <v>41</v>
      </c>
      <c r="F3422" s="37">
        <v>1.0</v>
      </c>
      <c r="G3422" s="78" t="s">
        <v>32</v>
      </c>
      <c r="H3422" s="78">
        <v>1.0</v>
      </c>
      <c r="I3422" s="78" t="s">
        <v>33</v>
      </c>
      <c r="J3422" s="78" t="s">
        <v>47</v>
      </c>
      <c r="K3422" s="294"/>
      <c r="L3422" s="106" t="s">
        <v>76</v>
      </c>
      <c r="M3422" s="282" t="s">
        <v>8817</v>
      </c>
      <c r="N3422" s="288"/>
      <c r="S3422" s="37"/>
      <c r="T3422" s="38"/>
      <c r="U3422" s="38"/>
      <c r="V3422" s="78" t="s">
        <v>33</v>
      </c>
      <c r="W3422" s="106"/>
      <c r="X3422" s="282"/>
      <c r="Y3422" s="295"/>
      <c r="Z3422" s="294"/>
      <c r="AA3422" s="294"/>
      <c r="AB3422" s="294"/>
      <c r="AC3422" s="294"/>
      <c r="AD3422" s="294"/>
      <c r="AE3422" s="294"/>
      <c r="AF3422" s="294"/>
      <c r="AG3422" s="294"/>
      <c r="AH3422" s="294"/>
      <c r="AI3422" s="294"/>
      <c r="AJ3422" s="294"/>
      <c r="AK3422" s="294"/>
      <c r="AL3422" s="294"/>
      <c r="AM3422" s="294"/>
      <c r="AN3422" s="294"/>
      <c r="AO3422" s="294"/>
      <c r="AP3422" s="294"/>
      <c r="AQ3422" s="294"/>
      <c r="AR3422" s="294"/>
      <c r="AS3422" s="294"/>
      <c r="AT3422" s="294"/>
      <c r="AU3422" s="294"/>
      <c r="AV3422" s="294"/>
      <c r="AW3422" s="294"/>
      <c r="AX3422" s="294"/>
      <c r="AY3422" s="294"/>
      <c r="AZ3422" s="294"/>
      <c r="BA3422" s="294"/>
      <c r="BB3422" s="294"/>
      <c r="BC3422" s="294"/>
      <c r="BD3422" s="294"/>
      <c r="BE3422" s="294"/>
      <c r="BF3422" s="294"/>
      <c r="BG3422" s="294"/>
      <c r="BH3422" s="294"/>
      <c r="BI3422" s="294"/>
      <c r="BJ3422" s="294"/>
      <c r="BK3422" s="294"/>
      <c r="BL3422" s="294"/>
      <c r="BM3422" s="294"/>
      <c r="BN3422" s="294"/>
      <c r="BO3422" s="294"/>
      <c r="BP3422" s="294"/>
      <c r="BQ3422" s="294"/>
    </row>
    <row r="3423">
      <c r="A3423" s="78" t="s">
        <v>8714</v>
      </c>
      <c r="B3423" s="293"/>
      <c r="C3423" s="99">
        <v>44082.0</v>
      </c>
      <c r="D3423" s="294"/>
      <c r="E3423" s="78" t="s">
        <v>31</v>
      </c>
      <c r="F3423" s="37">
        <v>1.0</v>
      </c>
      <c r="G3423" s="78" t="s">
        <v>32</v>
      </c>
      <c r="H3423" s="78">
        <v>1.0</v>
      </c>
      <c r="I3423" s="78" t="s">
        <v>33</v>
      </c>
      <c r="J3423" s="78" t="s">
        <v>47</v>
      </c>
      <c r="K3423" s="294"/>
      <c r="L3423" s="106" t="s">
        <v>69</v>
      </c>
      <c r="M3423" s="282" t="s">
        <v>8818</v>
      </c>
      <c r="N3423" s="46" t="s">
        <v>8819</v>
      </c>
      <c r="S3423" s="37"/>
      <c r="T3423" s="38"/>
      <c r="U3423" s="38"/>
      <c r="V3423" s="78" t="s">
        <v>33</v>
      </c>
      <c r="W3423" s="46" t="s">
        <v>8717</v>
      </c>
      <c r="X3423" s="282" t="s">
        <v>8718</v>
      </c>
      <c r="Y3423" s="295"/>
      <c r="Z3423" s="294"/>
      <c r="AA3423" s="294"/>
      <c r="AB3423" s="294"/>
      <c r="AC3423" s="294"/>
      <c r="AD3423" s="294"/>
      <c r="AE3423" s="294"/>
      <c r="AF3423" s="294"/>
      <c r="AG3423" s="294"/>
      <c r="AH3423" s="294"/>
      <c r="AI3423" s="294"/>
      <c r="AJ3423" s="294"/>
      <c r="AK3423" s="294"/>
      <c r="AL3423" s="294"/>
      <c r="AM3423" s="294"/>
      <c r="AN3423" s="294"/>
      <c r="AO3423" s="294"/>
      <c r="AP3423" s="294"/>
      <c r="AQ3423" s="294"/>
      <c r="AR3423" s="294"/>
      <c r="AS3423" s="294"/>
      <c r="AT3423" s="294"/>
      <c r="AU3423" s="294"/>
      <c r="AV3423" s="294"/>
      <c r="AW3423" s="294"/>
      <c r="AX3423" s="294"/>
      <c r="AY3423" s="294"/>
      <c r="AZ3423" s="294"/>
      <c r="BA3423" s="294"/>
      <c r="BB3423" s="294"/>
      <c r="BC3423" s="294"/>
      <c r="BD3423" s="294"/>
      <c r="BE3423" s="294"/>
      <c r="BF3423" s="294"/>
      <c r="BG3423" s="294"/>
      <c r="BH3423" s="294"/>
      <c r="BI3423" s="294"/>
      <c r="BJ3423" s="294"/>
      <c r="BK3423" s="294"/>
      <c r="BL3423" s="294"/>
      <c r="BM3423" s="294"/>
      <c r="BN3423" s="294"/>
      <c r="BO3423" s="294"/>
      <c r="BP3423" s="294"/>
      <c r="BQ3423" s="294"/>
    </row>
    <row r="3424">
      <c r="A3424" s="78" t="s">
        <v>8820</v>
      </c>
      <c r="B3424" s="293"/>
      <c r="C3424" s="99">
        <v>44082.0</v>
      </c>
      <c r="D3424" s="294"/>
      <c r="E3424" s="78" t="s">
        <v>41</v>
      </c>
      <c r="F3424" s="37">
        <v>1.0</v>
      </c>
      <c r="G3424" s="78">
        <v>1.0</v>
      </c>
      <c r="H3424" s="78">
        <v>1.0</v>
      </c>
      <c r="I3424" s="78" t="s">
        <v>33</v>
      </c>
      <c r="J3424" s="78" t="s">
        <v>279</v>
      </c>
      <c r="K3424" s="294"/>
      <c r="L3424" s="106" t="s">
        <v>76</v>
      </c>
      <c r="M3424" s="282" t="s">
        <v>8821</v>
      </c>
      <c r="N3424" s="288"/>
      <c r="S3424" s="37"/>
      <c r="T3424" s="38"/>
      <c r="U3424" s="38"/>
      <c r="V3424" s="78" t="s">
        <v>33</v>
      </c>
      <c r="W3424" s="106"/>
      <c r="X3424" s="282"/>
      <c r="Y3424" s="295"/>
      <c r="Z3424" s="294"/>
      <c r="AA3424" s="294"/>
      <c r="AB3424" s="294"/>
      <c r="AC3424" s="294"/>
      <c r="AD3424" s="294"/>
      <c r="AE3424" s="294"/>
      <c r="AF3424" s="294"/>
      <c r="AG3424" s="294"/>
      <c r="AH3424" s="294"/>
      <c r="AI3424" s="294"/>
      <c r="AJ3424" s="294"/>
      <c r="AK3424" s="294"/>
      <c r="AL3424" s="294"/>
      <c r="AM3424" s="294"/>
      <c r="AN3424" s="294"/>
      <c r="AO3424" s="294"/>
      <c r="AP3424" s="294"/>
      <c r="AQ3424" s="294"/>
      <c r="AR3424" s="294"/>
      <c r="AS3424" s="294"/>
      <c r="AT3424" s="294"/>
      <c r="AU3424" s="294"/>
      <c r="AV3424" s="294"/>
      <c r="AW3424" s="294"/>
      <c r="AX3424" s="294"/>
      <c r="AY3424" s="294"/>
      <c r="AZ3424" s="294"/>
      <c r="BA3424" s="294"/>
      <c r="BB3424" s="294"/>
      <c r="BC3424" s="294"/>
      <c r="BD3424" s="294"/>
      <c r="BE3424" s="294"/>
      <c r="BF3424" s="294"/>
      <c r="BG3424" s="294"/>
      <c r="BH3424" s="294"/>
      <c r="BI3424" s="294"/>
      <c r="BJ3424" s="294"/>
      <c r="BK3424" s="294"/>
      <c r="BL3424" s="294"/>
      <c r="BM3424" s="294"/>
      <c r="BN3424" s="294"/>
      <c r="BO3424" s="294"/>
      <c r="BP3424" s="294"/>
      <c r="BQ3424" s="294"/>
    </row>
    <row r="3425">
      <c r="A3425" s="78" t="s">
        <v>8822</v>
      </c>
      <c r="B3425" s="293"/>
      <c r="C3425" s="99">
        <v>44083.0</v>
      </c>
      <c r="D3425" s="294"/>
      <c r="E3425" s="78" t="s">
        <v>41</v>
      </c>
      <c r="F3425" s="37">
        <v>1.0</v>
      </c>
      <c r="G3425" s="78" t="s">
        <v>32</v>
      </c>
      <c r="H3425" s="78">
        <v>1.0</v>
      </c>
      <c r="I3425" s="78" t="s">
        <v>33</v>
      </c>
      <c r="J3425" s="78" t="s">
        <v>410</v>
      </c>
      <c r="K3425" s="294"/>
      <c r="L3425" s="106" t="s">
        <v>119</v>
      </c>
      <c r="M3425" s="282" t="s">
        <v>8823</v>
      </c>
      <c r="N3425" s="288"/>
      <c r="S3425" s="37"/>
      <c r="T3425" s="38"/>
      <c r="U3425" s="38"/>
      <c r="V3425" s="78" t="s">
        <v>33</v>
      </c>
      <c r="W3425" s="106"/>
      <c r="X3425" s="282"/>
      <c r="Y3425" s="295"/>
      <c r="Z3425" s="294"/>
      <c r="AA3425" s="294"/>
      <c r="AB3425" s="294"/>
      <c r="AC3425" s="294"/>
      <c r="AD3425" s="294"/>
      <c r="AE3425" s="294"/>
      <c r="AF3425" s="294"/>
      <c r="AG3425" s="294"/>
      <c r="AH3425" s="294"/>
      <c r="AI3425" s="294"/>
      <c r="AJ3425" s="294"/>
      <c r="AK3425" s="294"/>
      <c r="AL3425" s="294"/>
      <c r="AM3425" s="294"/>
      <c r="AN3425" s="294"/>
      <c r="AO3425" s="294"/>
      <c r="AP3425" s="294"/>
      <c r="AQ3425" s="294"/>
      <c r="AR3425" s="294"/>
      <c r="AS3425" s="294"/>
      <c r="AT3425" s="294"/>
      <c r="AU3425" s="294"/>
      <c r="AV3425" s="294"/>
      <c r="AW3425" s="294"/>
      <c r="AX3425" s="294"/>
      <c r="AY3425" s="294"/>
      <c r="AZ3425" s="294"/>
      <c r="BA3425" s="294"/>
      <c r="BB3425" s="294"/>
      <c r="BC3425" s="294"/>
      <c r="BD3425" s="294"/>
      <c r="BE3425" s="294"/>
      <c r="BF3425" s="294"/>
      <c r="BG3425" s="294"/>
      <c r="BH3425" s="294"/>
      <c r="BI3425" s="294"/>
      <c r="BJ3425" s="294"/>
      <c r="BK3425" s="294"/>
      <c r="BL3425" s="294"/>
      <c r="BM3425" s="294"/>
      <c r="BN3425" s="294"/>
      <c r="BO3425" s="294"/>
      <c r="BP3425" s="294"/>
      <c r="BQ3425" s="294"/>
    </row>
    <row r="3426">
      <c r="A3426" s="78" t="s">
        <v>8824</v>
      </c>
      <c r="B3426" s="293"/>
      <c r="C3426" s="99">
        <v>44083.0</v>
      </c>
      <c r="D3426" s="294"/>
      <c r="E3426" s="78" t="s">
        <v>41</v>
      </c>
      <c r="F3426" s="37">
        <v>1.0</v>
      </c>
      <c r="G3426" s="78" t="s">
        <v>32</v>
      </c>
      <c r="H3426" s="78">
        <v>1.0</v>
      </c>
      <c r="I3426" s="78" t="s">
        <v>33</v>
      </c>
      <c r="J3426" s="78" t="s">
        <v>106</v>
      </c>
      <c r="K3426" s="294"/>
      <c r="L3426" s="106" t="s">
        <v>76</v>
      </c>
      <c r="M3426" s="282" t="s">
        <v>8825</v>
      </c>
      <c r="N3426" s="288"/>
      <c r="S3426" s="37"/>
      <c r="T3426" s="38"/>
      <c r="U3426" s="38"/>
      <c r="V3426" s="78" t="s">
        <v>33</v>
      </c>
      <c r="W3426" s="106"/>
      <c r="X3426" s="282"/>
      <c r="Y3426" s="295"/>
      <c r="Z3426" s="294"/>
      <c r="AA3426" s="294"/>
      <c r="AB3426" s="294"/>
      <c r="AC3426" s="294"/>
      <c r="AD3426" s="294"/>
      <c r="AE3426" s="294"/>
      <c r="AF3426" s="294"/>
      <c r="AG3426" s="294"/>
      <c r="AH3426" s="294"/>
      <c r="AI3426" s="294"/>
      <c r="AJ3426" s="294"/>
      <c r="AK3426" s="294"/>
      <c r="AL3426" s="294"/>
      <c r="AM3426" s="294"/>
      <c r="AN3426" s="294"/>
      <c r="AO3426" s="294"/>
      <c r="AP3426" s="294"/>
      <c r="AQ3426" s="294"/>
      <c r="AR3426" s="294"/>
      <c r="AS3426" s="294"/>
      <c r="AT3426" s="294"/>
      <c r="AU3426" s="294"/>
      <c r="AV3426" s="294"/>
      <c r="AW3426" s="294"/>
      <c r="AX3426" s="294"/>
      <c r="AY3426" s="294"/>
      <c r="AZ3426" s="294"/>
      <c r="BA3426" s="294"/>
      <c r="BB3426" s="294"/>
      <c r="BC3426" s="294"/>
      <c r="BD3426" s="294"/>
      <c r="BE3426" s="294"/>
      <c r="BF3426" s="294"/>
      <c r="BG3426" s="294"/>
      <c r="BH3426" s="294"/>
      <c r="BI3426" s="294"/>
      <c r="BJ3426" s="294"/>
      <c r="BK3426" s="294"/>
      <c r="BL3426" s="294"/>
      <c r="BM3426" s="294"/>
      <c r="BN3426" s="294"/>
      <c r="BO3426" s="294"/>
      <c r="BP3426" s="294"/>
      <c r="BQ3426" s="294"/>
    </row>
    <row r="3427">
      <c r="A3427" s="78" t="s">
        <v>8826</v>
      </c>
      <c r="B3427" s="293"/>
      <c r="C3427" s="99">
        <v>44083.0</v>
      </c>
      <c r="D3427" s="294"/>
      <c r="E3427" s="78" t="s">
        <v>41</v>
      </c>
      <c r="F3427" s="37">
        <v>1.0</v>
      </c>
      <c r="G3427" s="78" t="s">
        <v>32</v>
      </c>
      <c r="H3427" s="78">
        <v>1.0</v>
      </c>
      <c r="I3427" s="78" t="s">
        <v>33</v>
      </c>
      <c r="J3427" s="78" t="s">
        <v>147</v>
      </c>
      <c r="K3427" s="294"/>
      <c r="L3427" s="106" t="s">
        <v>99</v>
      </c>
      <c r="M3427" s="282" t="s">
        <v>8827</v>
      </c>
      <c r="N3427" s="288"/>
      <c r="S3427" s="37"/>
      <c r="T3427" s="38"/>
      <c r="U3427" s="38"/>
      <c r="V3427" s="78" t="s">
        <v>33</v>
      </c>
      <c r="W3427" s="106"/>
      <c r="X3427" s="282"/>
      <c r="Y3427" s="295"/>
      <c r="Z3427" s="294"/>
      <c r="AA3427" s="294"/>
      <c r="AB3427" s="294"/>
      <c r="AC3427" s="294"/>
      <c r="AD3427" s="294"/>
      <c r="AE3427" s="294"/>
      <c r="AF3427" s="294"/>
      <c r="AG3427" s="294"/>
      <c r="AH3427" s="294"/>
      <c r="AI3427" s="294"/>
      <c r="AJ3427" s="294"/>
      <c r="AK3427" s="294"/>
      <c r="AL3427" s="294"/>
      <c r="AM3427" s="294"/>
      <c r="AN3427" s="294"/>
      <c r="AO3427" s="294"/>
      <c r="AP3427" s="294"/>
      <c r="AQ3427" s="294"/>
      <c r="AR3427" s="294"/>
      <c r="AS3427" s="294"/>
      <c r="AT3427" s="294"/>
      <c r="AU3427" s="294"/>
      <c r="AV3427" s="294"/>
      <c r="AW3427" s="294"/>
      <c r="AX3427" s="294"/>
      <c r="AY3427" s="294"/>
      <c r="AZ3427" s="294"/>
      <c r="BA3427" s="294"/>
      <c r="BB3427" s="294"/>
      <c r="BC3427" s="294"/>
      <c r="BD3427" s="294"/>
      <c r="BE3427" s="294"/>
      <c r="BF3427" s="294"/>
      <c r="BG3427" s="294"/>
      <c r="BH3427" s="294"/>
      <c r="BI3427" s="294"/>
      <c r="BJ3427" s="294"/>
      <c r="BK3427" s="294"/>
      <c r="BL3427" s="294"/>
      <c r="BM3427" s="294"/>
      <c r="BN3427" s="294"/>
      <c r="BO3427" s="294"/>
      <c r="BP3427" s="294"/>
      <c r="BQ3427" s="294"/>
    </row>
    <row r="3428">
      <c r="A3428" s="78" t="s">
        <v>8784</v>
      </c>
      <c r="B3428" s="293"/>
      <c r="C3428" s="99">
        <v>44084.0</v>
      </c>
      <c r="D3428" s="294"/>
      <c r="E3428" s="78" t="s">
        <v>41</v>
      </c>
      <c r="F3428" s="37">
        <v>1.0</v>
      </c>
      <c r="G3428" s="78" t="s">
        <v>32</v>
      </c>
      <c r="H3428" s="78">
        <v>1.0</v>
      </c>
      <c r="I3428" s="78" t="s">
        <v>33</v>
      </c>
      <c r="J3428" s="78" t="s">
        <v>460</v>
      </c>
      <c r="K3428" s="294"/>
      <c r="L3428" s="106" t="s">
        <v>69</v>
      </c>
      <c r="M3428" s="282" t="s">
        <v>8828</v>
      </c>
      <c r="N3428" s="106"/>
      <c r="S3428" s="37"/>
      <c r="T3428" s="38"/>
      <c r="U3428" s="38"/>
      <c r="V3428" s="78" t="s">
        <v>33</v>
      </c>
      <c r="W3428" s="106"/>
      <c r="X3428" s="282"/>
      <c r="Y3428" s="295"/>
      <c r="Z3428" s="294"/>
      <c r="AA3428" s="294"/>
      <c r="AB3428" s="294"/>
      <c r="AC3428" s="294"/>
      <c r="AD3428" s="294"/>
      <c r="AE3428" s="294"/>
      <c r="AF3428" s="294"/>
      <c r="AG3428" s="294"/>
      <c r="AH3428" s="294"/>
      <c r="AI3428" s="294"/>
      <c r="AJ3428" s="294"/>
      <c r="AK3428" s="294"/>
      <c r="AL3428" s="294"/>
      <c r="AM3428" s="294"/>
      <c r="AN3428" s="294"/>
      <c r="AO3428" s="294"/>
      <c r="AP3428" s="294"/>
      <c r="AQ3428" s="294"/>
      <c r="AR3428" s="294"/>
      <c r="AS3428" s="294"/>
      <c r="AT3428" s="294"/>
      <c r="AU3428" s="294"/>
      <c r="AV3428" s="294"/>
      <c r="AW3428" s="294"/>
      <c r="AX3428" s="294"/>
      <c r="AY3428" s="294"/>
      <c r="AZ3428" s="294"/>
      <c r="BA3428" s="294"/>
      <c r="BB3428" s="294"/>
      <c r="BC3428" s="294"/>
      <c r="BD3428" s="294"/>
      <c r="BE3428" s="294"/>
      <c r="BF3428" s="294"/>
      <c r="BG3428" s="294"/>
      <c r="BH3428" s="294"/>
      <c r="BI3428" s="294"/>
      <c r="BJ3428" s="294"/>
      <c r="BK3428" s="294"/>
      <c r="BL3428" s="294"/>
      <c r="BM3428" s="294"/>
      <c r="BN3428" s="294"/>
      <c r="BO3428" s="294"/>
      <c r="BP3428" s="294"/>
      <c r="BQ3428" s="294"/>
    </row>
    <row r="3429">
      <c r="A3429" s="78" t="s">
        <v>8829</v>
      </c>
      <c r="B3429" s="293"/>
      <c r="C3429" s="99">
        <v>44084.0</v>
      </c>
      <c r="D3429" s="294"/>
      <c r="E3429" s="78" t="s">
        <v>31</v>
      </c>
      <c r="F3429" s="37">
        <v>1.0</v>
      </c>
      <c r="G3429" s="78">
        <v>1.0</v>
      </c>
      <c r="H3429" s="78">
        <v>1.0</v>
      </c>
      <c r="I3429" s="78" t="s">
        <v>33</v>
      </c>
      <c r="J3429" s="78" t="s">
        <v>147</v>
      </c>
      <c r="K3429" s="294"/>
      <c r="L3429" s="106" t="s">
        <v>790</v>
      </c>
      <c r="M3429" s="282" t="s">
        <v>8830</v>
      </c>
      <c r="N3429" s="46" t="s">
        <v>8831</v>
      </c>
      <c r="S3429" s="37"/>
      <c r="T3429" s="38"/>
      <c r="U3429" s="38"/>
      <c r="V3429" s="78" t="s">
        <v>33</v>
      </c>
      <c r="W3429" s="46" t="s">
        <v>8832</v>
      </c>
      <c r="X3429" s="282" t="s">
        <v>8833</v>
      </c>
      <c r="Y3429" s="295"/>
      <c r="Z3429" s="294"/>
      <c r="AA3429" s="294"/>
      <c r="AB3429" s="294"/>
      <c r="AC3429" s="294"/>
      <c r="AD3429" s="294"/>
      <c r="AE3429" s="294"/>
      <c r="AF3429" s="294"/>
      <c r="AG3429" s="294"/>
      <c r="AH3429" s="294"/>
      <c r="AI3429" s="294"/>
      <c r="AJ3429" s="294"/>
      <c r="AK3429" s="294"/>
      <c r="AL3429" s="294"/>
      <c r="AM3429" s="294"/>
      <c r="AN3429" s="294"/>
      <c r="AO3429" s="294"/>
      <c r="AP3429" s="294"/>
      <c r="AQ3429" s="294"/>
      <c r="AR3429" s="294"/>
      <c r="AS3429" s="294"/>
      <c r="AT3429" s="294"/>
      <c r="AU3429" s="294"/>
      <c r="AV3429" s="294"/>
      <c r="AW3429" s="294"/>
      <c r="AX3429" s="294"/>
      <c r="AY3429" s="294"/>
      <c r="AZ3429" s="294"/>
      <c r="BA3429" s="294"/>
      <c r="BB3429" s="294"/>
      <c r="BC3429" s="294"/>
      <c r="BD3429" s="294"/>
      <c r="BE3429" s="294"/>
      <c r="BF3429" s="294"/>
      <c r="BG3429" s="294"/>
      <c r="BH3429" s="294"/>
      <c r="BI3429" s="294"/>
      <c r="BJ3429" s="294"/>
      <c r="BK3429" s="294"/>
      <c r="BL3429" s="294"/>
      <c r="BM3429" s="294"/>
      <c r="BN3429" s="294"/>
      <c r="BO3429" s="294"/>
      <c r="BP3429" s="294"/>
      <c r="BQ3429" s="294"/>
    </row>
    <row r="3430">
      <c r="A3430" s="78" t="s">
        <v>8834</v>
      </c>
      <c r="B3430" s="293"/>
      <c r="C3430" s="99">
        <v>44084.0</v>
      </c>
      <c r="D3430" s="294"/>
      <c r="E3430" s="78" t="s">
        <v>41</v>
      </c>
      <c r="F3430" s="37">
        <v>1.0</v>
      </c>
      <c r="G3430" s="78" t="s">
        <v>32</v>
      </c>
      <c r="H3430" s="78">
        <v>1.0</v>
      </c>
      <c r="I3430" s="78" t="s">
        <v>33</v>
      </c>
      <c r="J3430" s="78" t="s">
        <v>222</v>
      </c>
      <c r="K3430" s="294"/>
      <c r="L3430" s="106" t="s">
        <v>8835</v>
      </c>
      <c r="M3430" s="282" t="s">
        <v>8836</v>
      </c>
      <c r="N3430" s="288"/>
      <c r="S3430" s="37"/>
      <c r="T3430" s="38"/>
      <c r="U3430" s="38"/>
      <c r="V3430" s="78" t="s">
        <v>33</v>
      </c>
      <c r="W3430" s="106"/>
      <c r="X3430" s="282"/>
      <c r="Y3430" s="295"/>
      <c r="Z3430" s="294"/>
      <c r="AA3430" s="294"/>
      <c r="AB3430" s="294"/>
      <c r="AC3430" s="294"/>
      <c r="AD3430" s="294"/>
      <c r="AE3430" s="294"/>
      <c r="AF3430" s="294"/>
      <c r="AG3430" s="294"/>
      <c r="AH3430" s="294"/>
      <c r="AI3430" s="294"/>
      <c r="AJ3430" s="294"/>
      <c r="AK3430" s="294"/>
      <c r="AL3430" s="294"/>
      <c r="AM3430" s="294"/>
      <c r="AN3430" s="294"/>
      <c r="AO3430" s="294"/>
      <c r="AP3430" s="294"/>
      <c r="AQ3430" s="294"/>
      <c r="AR3430" s="294"/>
      <c r="AS3430" s="294"/>
      <c r="AT3430" s="294"/>
      <c r="AU3430" s="294"/>
      <c r="AV3430" s="294"/>
      <c r="AW3430" s="294"/>
      <c r="AX3430" s="294"/>
      <c r="AY3430" s="294"/>
      <c r="AZ3430" s="294"/>
      <c r="BA3430" s="294"/>
      <c r="BB3430" s="294"/>
      <c r="BC3430" s="294"/>
      <c r="BD3430" s="294"/>
      <c r="BE3430" s="294"/>
      <c r="BF3430" s="294"/>
      <c r="BG3430" s="294"/>
      <c r="BH3430" s="294"/>
      <c r="BI3430" s="294"/>
      <c r="BJ3430" s="294"/>
      <c r="BK3430" s="294"/>
      <c r="BL3430" s="294"/>
      <c r="BM3430" s="294"/>
      <c r="BN3430" s="294"/>
      <c r="BO3430" s="294"/>
      <c r="BP3430" s="294"/>
      <c r="BQ3430" s="294"/>
    </row>
    <row r="3431">
      <c r="A3431" s="78" t="s">
        <v>8837</v>
      </c>
      <c r="B3431" s="293"/>
      <c r="C3431" s="99">
        <v>44084.0</v>
      </c>
      <c r="D3431" s="294"/>
      <c r="E3431" s="78" t="s">
        <v>41</v>
      </c>
      <c r="F3431" s="37">
        <v>1.0</v>
      </c>
      <c r="G3431" s="78" t="s">
        <v>32</v>
      </c>
      <c r="H3431" s="78">
        <v>1.0</v>
      </c>
      <c r="I3431" s="78" t="s">
        <v>1393</v>
      </c>
      <c r="J3431" s="78"/>
      <c r="K3431" s="294"/>
      <c r="L3431" s="106" t="s">
        <v>194</v>
      </c>
      <c r="M3431" s="282" t="s">
        <v>8838</v>
      </c>
      <c r="N3431" s="46" t="s">
        <v>8839</v>
      </c>
      <c r="S3431" s="37"/>
      <c r="T3431" s="38"/>
      <c r="U3431" s="38"/>
      <c r="V3431" s="78" t="s">
        <v>8840</v>
      </c>
      <c r="W3431" s="46" t="s">
        <v>8841</v>
      </c>
      <c r="X3431" s="282"/>
      <c r="Y3431" s="295"/>
      <c r="Z3431" s="294"/>
      <c r="AA3431" s="294"/>
      <c r="AB3431" s="294"/>
      <c r="AC3431" s="294"/>
      <c r="AD3431" s="294"/>
      <c r="AE3431" s="294"/>
      <c r="AF3431" s="294"/>
      <c r="AG3431" s="294"/>
      <c r="AH3431" s="294"/>
      <c r="AI3431" s="294"/>
      <c r="AJ3431" s="294"/>
      <c r="AK3431" s="294"/>
      <c r="AL3431" s="294"/>
      <c r="AM3431" s="294"/>
      <c r="AN3431" s="294"/>
      <c r="AO3431" s="294"/>
      <c r="AP3431" s="294"/>
      <c r="AQ3431" s="294"/>
      <c r="AR3431" s="294"/>
      <c r="AS3431" s="294"/>
      <c r="AT3431" s="294"/>
      <c r="AU3431" s="294"/>
      <c r="AV3431" s="294"/>
      <c r="AW3431" s="294"/>
      <c r="AX3431" s="294"/>
      <c r="AY3431" s="294"/>
      <c r="AZ3431" s="294"/>
      <c r="BA3431" s="294"/>
      <c r="BB3431" s="294"/>
      <c r="BC3431" s="294"/>
      <c r="BD3431" s="294"/>
      <c r="BE3431" s="294"/>
      <c r="BF3431" s="294"/>
      <c r="BG3431" s="294"/>
      <c r="BH3431" s="294"/>
      <c r="BI3431" s="294"/>
      <c r="BJ3431" s="294"/>
      <c r="BK3431" s="294"/>
      <c r="BL3431" s="294"/>
      <c r="BM3431" s="294"/>
      <c r="BN3431" s="294"/>
      <c r="BO3431" s="294"/>
      <c r="BP3431" s="294"/>
      <c r="BQ3431" s="294"/>
    </row>
    <row r="3432">
      <c r="A3432" s="78" t="s">
        <v>8842</v>
      </c>
      <c r="B3432" s="293"/>
      <c r="C3432" s="99">
        <v>44085.0</v>
      </c>
      <c r="D3432" s="294"/>
      <c r="E3432" s="78" t="s">
        <v>31</v>
      </c>
      <c r="F3432" s="37">
        <v>1.0</v>
      </c>
      <c r="G3432" s="78" t="s">
        <v>32</v>
      </c>
      <c r="H3432" s="78">
        <v>1.0</v>
      </c>
      <c r="I3432" s="78" t="s">
        <v>33</v>
      </c>
      <c r="J3432" s="78" t="s">
        <v>47</v>
      </c>
      <c r="K3432" s="294"/>
      <c r="L3432" s="106" t="s">
        <v>69</v>
      </c>
      <c r="M3432" s="282" t="s">
        <v>8843</v>
      </c>
      <c r="N3432" s="46" t="s">
        <v>8844</v>
      </c>
      <c r="Q3432" s="78">
        <v>1.0</v>
      </c>
      <c r="S3432" s="37"/>
      <c r="T3432" s="38"/>
      <c r="U3432" s="38"/>
      <c r="V3432" s="78" t="s">
        <v>33</v>
      </c>
      <c r="W3432" s="46" t="s">
        <v>8845</v>
      </c>
      <c r="X3432" s="282" t="s">
        <v>8846</v>
      </c>
      <c r="Y3432" s="295"/>
      <c r="Z3432" s="294"/>
      <c r="AA3432" s="294"/>
      <c r="AB3432" s="294"/>
      <c r="AC3432" s="294"/>
      <c r="AD3432" s="294"/>
      <c r="AE3432" s="294"/>
      <c r="AF3432" s="294"/>
      <c r="AG3432" s="294"/>
      <c r="AH3432" s="294"/>
      <c r="AI3432" s="294"/>
      <c r="AJ3432" s="294"/>
      <c r="AK3432" s="294"/>
      <c r="AL3432" s="294"/>
      <c r="AM3432" s="294"/>
      <c r="AN3432" s="294"/>
      <c r="AO3432" s="294"/>
      <c r="AP3432" s="294"/>
      <c r="AQ3432" s="294"/>
      <c r="AR3432" s="294"/>
      <c r="AS3432" s="294"/>
      <c r="AT3432" s="294"/>
      <c r="AU3432" s="294"/>
      <c r="AV3432" s="294"/>
      <c r="AW3432" s="294"/>
      <c r="AX3432" s="294"/>
      <c r="AY3432" s="294"/>
      <c r="AZ3432" s="294"/>
      <c r="BA3432" s="294"/>
      <c r="BB3432" s="294"/>
      <c r="BC3432" s="294"/>
      <c r="BD3432" s="294"/>
      <c r="BE3432" s="294"/>
      <c r="BF3432" s="294"/>
      <c r="BG3432" s="294"/>
      <c r="BH3432" s="294"/>
      <c r="BI3432" s="294"/>
      <c r="BJ3432" s="294"/>
      <c r="BK3432" s="294"/>
      <c r="BL3432" s="294"/>
      <c r="BM3432" s="294"/>
      <c r="BN3432" s="294"/>
      <c r="BO3432" s="294"/>
      <c r="BP3432" s="294"/>
      <c r="BQ3432" s="294"/>
    </row>
    <row r="3433">
      <c r="A3433" s="78" t="s">
        <v>8847</v>
      </c>
      <c r="B3433" s="293"/>
      <c r="C3433" s="99">
        <v>44085.0</v>
      </c>
      <c r="D3433" s="294"/>
      <c r="E3433" s="78" t="s">
        <v>41</v>
      </c>
      <c r="F3433" s="37">
        <v>1.0</v>
      </c>
      <c r="G3433" s="78" t="s">
        <v>32</v>
      </c>
      <c r="H3433" s="78">
        <v>1.0</v>
      </c>
      <c r="I3433" s="78" t="s">
        <v>33</v>
      </c>
      <c r="J3433" s="78" t="s">
        <v>115</v>
      </c>
      <c r="K3433" s="294"/>
      <c r="L3433" s="106" t="s">
        <v>1203</v>
      </c>
      <c r="M3433" s="282" t="s">
        <v>8848</v>
      </c>
      <c r="N3433" s="288"/>
      <c r="S3433" s="37"/>
      <c r="T3433" s="38"/>
      <c r="U3433" s="38"/>
      <c r="V3433" s="78" t="s">
        <v>33</v>
      </c>
      <c r="W3433" s="106"/>
      <c r="X3433" s="282"/>
      <c r="Y3433" s="295"/>
      <c r="Z3433" s="294"/>
      <c r="AA3433" s="294"/>
      <c r="AB3433" s="294"/>
      <c r="AC3433" s="294"/>
      <c r="AD3433" s="294"/>
      <c r="AE3433" s="294"/>
      <c r="AF3433" s="294"/>
      <c r="AG3433" s="294"/>
      <c r="AH3433" s="294"/>
      <c r="AI3433" s="294"/>
      <c r="AJ3433" s="294"/>
      <c r="AK3433" s="294"/>
      <c r="AL3433" s="294"/>
      <c r="AM3433" s="294"/>
      <c r="AN3433" s="294"/>
      <c r="AO3433" s="294"/>
      <c r="AP3433" s="294"/>
      <c r="AQ3433" s="294"/>
      <c r="AR3433" s="294"/>
      <c r="AS3433" s="294"/>
      <c r="AT3433" s="294"/>
      <c r="AU3433" s="294"/>
      <c r="AV3433" s="294"/>
      <c r="AW3433" s="294"/>
      <c r="AX3433" s="294"/>
      <c r="AY3433" s="294"/>
      <c r="AZ3433" s="294"/>
      <c r="BA3433" s="294"/>
      <c r="BB3433" s="294"/>
      <c r="BC3433" s="294"/>
      <c r="BD3433" s="294"/>
      <c r="BE3433" s="294"/>
      <c r="BF3433" s="294"/>
      <c r="BG3433" s="294"/>
      <c r="BH3433" s="294"/>
      <c r="BI3433" s="294"/>
      <c r="BJ3433" s="294"/>
      <c r="BK3433" s="294"/>
      <c r="BL3433" s="294"/>
      <c r="BM3433" s="294"/>
      <c r="BN3433" s="294"/>
      <c r="BO3433" s="294"/>
      <c r="BP3433" s="294"/>
      <c r="BQ3433" s="294"/>
    </row>
    <row r="3434">
      <c r="A3434" s="78" t="s">
        <v>8849</v>
      </c>
      <c r="B3434" s="293"/>
      <c r="C3434" s="99">
        <v>44085.0</v>
      </c>
      <c r="D3434" s="294"/>
      <c r="E3434" s="78" t="s">
        <v>41</v>
      </c>
      <c r="F3434" s="37">
        <v>1.0</v>
      </c>
      <c r="G3434" s="78" t="s">
        <v>32</v>
      </c>
      <c r="H3434" s="78">
        <v>1.0</v>
      </c>
      <c r="I3434" s="78" t="s">
        <v>33</v>
      </c>
      <c r="J3434" s="78" t="s">
        <v>115</v>
      </c>
      <c r="K3434" s="294"/>
      <c r="L3434" s="106" t="s">
        <v>1203</v>
      </c>
      <c r="M3434" s="282" t="s">
        <v>8848</v>
      </c>
      <c r="N3434" s="288"/>
      <c r="S3434" s="37"/>
      <c r="T3434" s="38"/>
      <c r="U3434" s="38"/>
      <c r="V3434" s="78" t="s">
        <v>33</v>
      </c>
      <c r="W3434" s="106"/>
      <c r="X3434" s="282"/>
      <c r="Y3434" s="295"/>
      <c r="Z3434" s="294"/>
      <c r="AA3434" s="294"/>
      <c r="AB3434" s="294"/>
      <c r="AC3434" s="294"/>
      <c r="AD3434" s="294"/>
      <c r="AE3434" s="294"/>
      <c r="AF3434" s="294"/>
      <c r="AG3434" s="294"/>
      <c r="AH3434" s="294"/>
      <c r="AI3434" s="294"/>
      <c r="AJ3434" s="294"/>
      <c r="AK3434" s="294"/>
      <c r="AL3434" s="294"/>
      <c r="AM3434" s="294"/>
      <c r="AN3434" s="294"/>
      <c r="AO3434" s="294"/>
      <c r="AP3434" s="294"/>
      <c r="AQ3434" s="294"/>
      <c r="AR3434" s="294"/>
      <c r="AS3434" s="294"/>
      <c r="AT3434" s="294"/>
      <c r="AU3434" s="294"/>
      <c r="AV3434" s="294"/>
      <c r="AW3434" s="294"/>
      <c r="AX3434" s="294"/>
      <c r="AY3434" s="294"/>
      <c r="AZ3434" s="294"/>
      <c r="BA3434" s="294"/>
      <c r="BB3434" s="294"/>
      <c r="BC3434" s="294"/>
      <c r="BD3434" s="294"/>
      <c r="BE3434" s="294"/>
      <c r="BF3434" s="294"/>
      <c r="BG3434" s="294"/>
      <c r="BH3434" s="294"/>
      <c r="BI3434" s="294"/>
      <c r="BJ3434" s="294"/>
      <c r="BK3434" s="294"/>
      <c r="BL3434" s="294"/>
      <c r="BM3434" s="294"/>
      <c r="BN3434" s="294"/>
      <c r="BO3434" s="294"/>
      <c r="BP3434" s="294"/>
      <c r="BQ3434" s="294"/>
    </row>
    <row r="3435">
      <c r="A3435" s="78" t="s">
        <v>8850</v>
      </c>
      <c r="B3435" s="293"/>
      <c r="C3435" s="99">
        <v>44085.0</v>
      </c>
      <c r="D3435" s="294"/>
      <c r="E3435" s="78" t="s">
        <v>41</v>
      </c>
      <c r="F3435" s="37">
        <v>1.0</v>
      </c>
      <c r="G3435" s="78" t="s">
        <v>32</v>
      </c>
      <c r="H3435" s="78">
        <v>1.0</v>
      </c>
      <c r="I3435" s="78" t="s">
        <v>33</v>
      </c>
      <c r="J3435" s="78" t="s">
        <v>115</v>
      </c>
      <c r="K3435" s="294"/>
      <c r="L3435" s="106" t="s">
        <v>1203</v>
      </c>
      <c r="M3435" s="282" t="s">
        <v>8848</v>
      </c>
      <c r="N3435" s="288"/>
      <c r="S3435" s="37"/>
      <c r="T3435" s="38"/>
      <c r="U3435" s="38"/>
      <c r="V3435" s="78" t="s">
        <v>33</v>
      </c>
      <c r="W3435" s="106"/>
      <c r="X3435" s="282"/>
      <c r="Y3435" s="295"/>
      <c r="Z3435" s="294"/>
      <c r="AA3435" s="294"/>
      <c r="AB3435" s="294"/>
      <c r="AC3435" s="294"/>
      <c r="AD3435" s="294"/>
      <c r="AE3435" s="294"/>
      <c r="AF3435" s="294"/>
      <c r="AG3435" s="294"/>
      <c r="AH3435" s="294"/>
      <c r="AI3435" s="294"/>
      <c r="AJ3435" s="294"/>
      <c r="AK3435" s="294"/>
      <c r="AL3435" s="294"/>
      <c r="AM3435" s="294"/>
      <c r="AN3435" s="294"/>
      <c r="AO3435" s="294"/>
      <c r="AP3435" s="294"/>
      <c r="AQ3435" s="294"/>
      <c r="AR3435" s="294"/>
      <c r="AS3435" s="294"/>
      <c r="AT3435" s="294"/>
      <c r="AU3435" s="294"/>
      <c r="AV3435" s="294"/>
      <c r="AW3435" s="294"/>
      <c r="AX3435" s="294"/>
      <c r="AY3435" s="294"/>
      <c r="AZ3435" s="294"/>
      <c r="BA3435" s="294"/>
      <c r="BB3435" s="294"/>
      <c r="BC3435" s="294"/>
      <c r="BD3435" s="294"/>
      <c r="BE3435" s="294"/>
      <c r="BF3435" s="294"/>
      <c r="BG3435" s="294"/>
      <c r="BH3435" s="294"/>
      <c r="BI3435" s="294"/>
      <c r="BJ3435" s="294"/>
      <c r="BK3435" s="294"/>
      <c r="BL3435" s="294"/>
      <c r="BM3435" s="294"/>
      <c r="BN3435" s="294"/>
      <c r="BO3435" s="294"/>
      <c r="BP3435" s="294"/>
      <c r="BQ3435" s="294"/>
    </row>
    <row r="3436">
      <c r="A3436" s="78" t="s">
        <v>8851</v>
      </c>
      <c r="B3436" s="293"/>
      <c r="C3436" s="99">
        <v>44089.0</v>
      </c>
      <c r="D3436" s="294"/>
      <c r="E3436" s="78" t="s">
        <v>41</v>
      </c>
      <c r="F3436" s="37">
        <v>1.0</v>
      </c>
      <c r="G3436" s="78" t="s">
        <v>32</v>
      </c>
      <c r="H3436" s="78">
        <v>1.0</v>
      </c>
      <c r="I3436" s="78" t="s">
        <v>33</v>
      </c>
      <c r="J3436" s="78" t="s">
        <v>203</v>
      </c>
      <c r="K3436" s="294"/>
      <c r="L3436" s="106" t="s">
        <v>119</v>
      </c>
      <c r="M3436" s="282" t="s">
        <v>8852</v>
      </c>
      <c r="N3436" s="288"/>
      <c r="S3436" s="37"/>
      <c r="T3436" s="38"/>
      <c r="U3436" s="38"/>
      <c r="V3436" s="78" t="s">
        <v>33</v>
      </c>
      <c r="W3436" s="106"/>
      <c r="X3436" s="282"/>
      <c r="Y3436" s="295"/>
      <c r="Z3436" s="294"/>
      <c r="AA3436" s="294"/>
      <c r="AB3436" s="294"/>
      <c r="AC3436" s="294"/>
      <c r="AD3436" s="294"/>
      <c r="AE3436" s="294"/>
      <c r="AF3436" s="294"/>
      <c r="AG3436" s="294"/>
      <c r="AH3436" s="294"/>
      <c r="AI3436" s="294"/>
      <c r="AJ3436" s="294"/>
      <c r="AK3436" s="294"/>
      <c r="AL3436" s="294"/>
      <c r="AM3436" s="294"/>
      <c r="AN3436" s="294"/>
      <c r="AO3436" s="294"/>
      <c r="AP3436" s="294"/>
      <c r="AQ3436" s="294"/>
      <c r="AR3436" s="294"/>
      <c r="AS3436" s="294"/>
      <c r="AT3436" s="294"/>
      <c r="AU3436" s="294"/>
      <c r="AV3436" s="294"/>
      <c r="AW3436" s="294"/>
      <c r="AX3436" s="294"/>
      <c r="AY3436" s="294"/>
      <c r="AZ3436" s="294"/>
      <c r="BA3436" s="294"/>
      <c r="BB3436" s="294"/>
      <c r="BC3436" s="294"/>
      <c r="BD3436" s="294"/>
      <c r="BE3436" s="294"/>
      <c r="BF3436" s="294"/>
      <c r="BG3436" s="294"/>
      <c r="BH3436" s="294"/>
      <c r="BI3436" s="294"/>
      <c r="BJ3436" s="294"/>
      <c r="BK3436" s="294"/>
      <c r="BL3436" s="294"/>
      <c r="BM3436" s="294"/>
      <c r="BN3436" s="294"/>
      <c r="BO3436" s="294"/>
      <c r="BP3436" s="294"/>
      <c r="BQ3436" s="294"/>
    </row>
    <row r="3437">
      <c r="A3437" s="78" t="s">
        <v>239</v>
      </c>
      <c r="B3437" s="293"/>
      <c r="C3437" s="99">
        <v>44090.0</v>
      </c>
      <c r="D3437" s="294"/>
      <c r="E3437" s="78" t="s">
        <v>41</v>
      </c>
      <c r="F3437" s="37">
        <v>2.0</v>
      </c>
      <c r="G3437" s="78" t="s">
        <v>32</v>
      </c>
      <c r="H3437" s="78">
        <v>1.0</v>
      </c>
      <c r="I3437" s="78" t="s">
        <v>33</v>
      </c>
      <c r="J3437" s="78" t="s">
        <v>193</v>
      </c>
      <c r="K3437" s="294"/>
      <c r="L3437" s="106" t="s">
        <v>194</v>
      </c>
      <c r="M3437" s="282" t="s">
        <v>8853</v>
      </c>
      <c r="N3437" s="288"/>
      <c r="S3437" s="37"/>
      <c r="T3437" s="38"/>
      <c r="U3437" s="38"/>
      <c r="V3437" s="78" t="s">
        <v>32</v>
      </c>
      <c r="W3437" s="106"/>
      <c r="X3437" s="282"/>
      <c r="Y3437" s="295"/>
      <c r="Z3437" s="294"/>
      <c r="AA3437" s="294"/>
      <c r="AB3437" s="294"/>
      <c r="AC3437" s="294"/>
      <c r="AD3437" s="294"/>
      <c r="AE3437" s="294"/>
      <c r="AF3437" s="294"/>
      <c r="AG3437" s="294"/>
      <c r="AH3437" s="294"/>
      <c r="AI3437" s="294"/>
      <c r="AJ3437" s="294"/>
      <c r="AK3437" s="294"/>
      <c r="AL3437" s="294"/>
      <c r="AM3437" s="294"/>
      <c r="AN3437" s="294"/>
      <c r="AO3437" s="294"/>
      <c r="AP3437" s="294"/>
      <c r="AQ3437" s="294"/>
      <c r="AR3437" s="294"/>
      <c r="AS3437" s="294"/>
      <c r="AT3437" s="294"/>
      <c r="AU3437" s="294"/>
      <c r="AV3437" s="294"/>
      <c r="AW3437" s="294"/>
      <c r="AX3437" s="294"/>
      <c r="AY3437" s="294"/>
      <c r="AZ3437" s="294"/>
      <c r="BA3437" s="294"/>
      <c r="BB3437" s="294"/>
      <c r="BC3437" s="294"/>
      <c r="BD3437" s="294"/>
      <c r="BE3437" s="294"/>
      <c r="BF3437" s="294"/>
      <c r="BG3437" s="294"/>
      <c r="BH3437" s="294"/>
      <c r="BI3437" s="294"/>
      <c r="BJ3437" s="294"/>
      <c r="BK3437" s="294"/>
      <c r="BL3437" s="294"/>
      <c r="BM3437" s="294"/>
      <c r="BN3437" s="294"/>
      <c r="BO3437" s="294"/>
      <c r="BP3437" s="294"/>
      <c r="BQ3437" s="294"/>
    </row>
    <row r="3438">
      <c r="A3438" s="78" t="s">
        <v>8854</v>
      </c>
      <c r="B3438" s="293"/>
      <c r="C3438" s="99">
        <v>44091.0</v>
      </c>
      <c r="D3438" s="294"/>
      <c r="E3438" s="78" t="s">
        <v>41</v>
      </c>
      <c r="F3438" s="37">
        <v>1.0</v>
      </c>
      <c r="G3438" s="78" t="s">
        <v>32</v>
      </c>
      <c r="H3438" s="78">
        <v>1.0</v>
      </c>
      <c r="I3438" s="78" t="s">
        <v>33</v>
      </c>
      <c r="J3438" s="78" t="s">
        <v>402</v>
      </c>
      <c r="K3438" s="294"/>
      <c r="L3438" s="106" t="s">
        <v>76</v>
      </c>
      <c r="M3438" s="282" t="s">
        <v>8855</v>
      </c>
      <c r="N3438" s="288"/>
      <c r="S3438" s="37"/>
      <c r="T3438" s="38"/>
      <c r="U3438" s="38"/>
      <c r="V3438" s="78" t="s">
        <v>33</v>
      </c>
      <c r="W3438" s="106"/>
      <c r="X3438" s="282"/>
      <c r="Y3438" s="295"/>
      <c r="Z3438" s="294"/>
      <c r="AA3438" s="294"/>
      <c r="AB3438" s="294"/>
      <c r="AC3438" s="294"/>
      <c r="AD3438" s="294"/>
      <c r="AE3438" s="294"/>
      <c r="AF3438" s="294"/>
      <c r="AG3438" s="294"/>
      <c r="AH3438" s="294"/>
      <c r="AI3438" s="294"/>
      <c r="AJ3438" s="294"/>
      <c r="AK3438" s="294"/>
      <c r="AL3438" s="294"/>
      <c r="AM3438" s="294"/>
      <c r="AN3438" s="294"/>
      <c r="AO3438" s="294"/>
      <c r="AP3438" s="294"/>
      <c r="AQ3438" s="294"/>
      <c r="AR3438" s="294"/>
      <c r="AS3438" s="294"/>
      <c r="AT3438" s="294"/>
      <c r="AU3438" s="294"/>
      <c r="AV3438" s="294"/>
      <c r="AW3438" s="294"/>
      <c r="AX3438" s="294"/>
      <c r="AY3438" s="294"/>
      <c r="AZ3438" s="294"/>
      <c r="BA3438" s="294"/>
      <c r="BB3438" s="294"/>
      <c r="BC3438" s="294"/>
      <c r="BD3438" s="294"/>
      <c r="BE3438" s="294"/>
      <c r="BF3438" s="294"/>
      <c r="BG3438" s="294"/>
      <c r="BH3438" s="294"/>
      <c r="BI3438" s="294"/>
      <c r="BJ3438" s="294"/>
      <c r="BK3438" s="294"/>
      <c r="BL3438" s="294"/>
      <c r="BM3438" s="294"/>
      <c r="BN3438" s="294"/>
      <c r="BO3438" s="294"/>
      <c r="BP3438" s="294"/>
      <c r="BQ3438" s="294"/>
    </row>
    <row r="3439">
      <c r="A3439" s="78" t="s">
        <v>8856</v>
      </c>
      <c r="B3439" s="293"/>
      <c r="C3439" s="99">
        <v>44091.0</v>
      </c>
      <c r="D3439" s="294"/>
      <c r="E3439" s="78" t="s">
        <v>41</v>
      </c>
      <c r="F3439" s="37">
        <v>1.0</v>
      </c>
      <c r="G3439" s="78" t="s">
        <v>32</v>
      </c>
      <c r="H3439" s="78">
        <v>1.0</v>
      </c>
      <c r="I3439" s="78" t="s">
        <v>33</v>
      </c>
      <c r="J3439" s="78" t="s">
        <v>402</v>
      </c>
      <c r="K3439" s="294"/>
      <c r="L3439" s="106" t="s">
        <v>8857</v>
      </c>
      <c r="M3439" s="282" t="s">
        <v>8855</v>
      </c>
      <c r="N3439" s="288"/>
      <c r="S3439" s="37"/>
      <c r="T3439" s="38"/>
      <c r="U3439" s="38"/>
      <c r="V3439" s="78" t="s">
        <v>33</v>
      </c>
      <c r="W3439" s="106"/>
      <c r="X3439" s="282"/>
      <c r="Y3439" s="295"/>
      <c r="Z3439" s="294"/>
      <c r="AA3439" s="294"/>
      <c r="AB3439" s="294"/>
      <c r="AC3439" s="294"/>
      <c r="AD3439" s="294"/>
      <c r="AE3439" s="294"/>
      <c r="AF3439" s="294"/>
      <c r="AG3439" s="294"/>
      <c r="AH3439" s="294"/>
      <c r="AI3439" s="294"/>
      <c r="AJ3439" s="294"/>
      <c r="AK3439" s="294"/>
      <c r="AL3439" s="294"/>
      <c r="AM3439" s="294"/>
      <c r="AN3439" s="294"/>
      <c r="AO3439" s="294"/>
      <c r="AP3439" s="294"/>
      <c r="AQ3439" s="294"/>
      <c r="AR3439" s="294"/>
      <c r="AS3439" s="294"/>
      <c r="AT3439" s="294"/>
      <c r="AU3439" s="294"/>
      <c r="AV3439" s="294"/>
      <c r="AW3439" s="294"/>
      <c r="AX3439" s="294"/>
      <c r="AY3439" s="294"/>
      <c r="AZ3439" s="294"/>
      <c r="BA3439" s="294"/>
      <c r="BB3439" s="294"/>
      <c r="BC3439" s="294"/>
      <c r="BD3439" s="294"/>
      <c r="BE3439" s="294"/>
      <c r="BF3439" s="294"/>
      <c r="BG3439" s="294"/>
      <c r="BH3439" s="294"/>
      <c r="BI3439" s="294"/>
      <c r="BJ3439" s="294"/>
      <c r="BK3439" s="294"/>
      <c r="BL3439" s="294"/>
      <c r="BM3439" s="294"/>
      <c r="BN3439" s="294"/>
      <c r="BO3439" s="294"/>
      <c r="BP3439" s="294"/>
      <c r="BQ3439" s="294"/>
    </row>
    <row r="3440">
      <c r="A3440" s="78" t="s">
        <v>8858</v>
      </c>
      <c r="B3440" s="293"/>
      <c r="C3440" s="99">
        <v>44091.0</v>
      </c>
      <c r="D3440" s="294"/>
      <c r="E3440" s="78" t="s">
        <v>41</v>
      </c>
      <c r="F3440" s="37">
        <v>1.0</v>
      </c>
      <c r="G3440" s="78">
        <v>4.0</v>
      </c>
      <c r="H3440" s="78">
        <v>4.0</v>
      </c>
      <c r="I3440" s="78" t="s">
        <v>33</v>
      </c>
      <c r="J3440" s="78" t="s">
        <v>402</v>
      </c>
      <c r="K3440" s="294"/>
      <c r="L3440" s="106" t="s">
        <v>76</v>
      </c>
      <c r="M3440" s="282" t="s">
        <v>8855</v>
      </c>
      <c r="N3440" s="288"/>
      <c r="S3440" s="37"/>
      <c r="T3440" s="38"/>
      <c r="U3440" s="38"/>
      <c r="V3440" s="78" t="s">
        <v>33</v>
      </c>
      <c r="W3440" s="106"/>
      <c r="X3440" s="282"/>
      <c r="Y3440" s="295"/>
      <c r="Z3440" s="294"/>
      <c r="AA3440" s="294"/>
      <c r="AB3440" s="294"/>
      <c r="AC3440" s="294"/>
      <c r="AD3440" s="294"/>
      <c r="AE3440" s="294"/>
      <c r="AF3440" s="294"/>
      <c r="AG3440" s="294"/>
      <c r="AH3440" s="294"/>
      <c r="AI3440" s="294"/>
      <c r="AJ3440" s="294"/>
      <c r="AK3440" s="294"/>
      <c r="AL3440" s="294"/>
      <c r="AM3440" s="294"/>
      <c r="AN3440" s="294"/>
      <c r="AO3440" s="294"/>
      <c r="AP3440" s="294"/>
      <c r="AQ3440" s="294"/>
      <c r="AR3440" s="294"/>
      <c r="AS3440" s="294"/>
      <c r="AT3440" s="294"/>
      <c r="AU3440" s="294"/>
      <c r="AV3440" s="294"/>
      <c r="AW3440" s="294"/>
      <c r="AX3440" s="294"/>
      <c r="AY3440" s="294"/>
      <c r="AZ3440" s="294"/>
      <c r="BA3440" s="294"/>
      <c r="BB3440" s="294"/>
      <c r="BC3440" s="294"/>
      <c r="BD3440" s="294"/>
      <c r="BE3440" s="294"/>
      <c r="BF3440" s="294"/>
      <c r="BG3440" s="294"/>
      <c r="BH3440" s="294"/>
      <c r="BI3440" s="294"/>
      <c r="BJ3440" s="294"/>
      <c r="BK3440" s="294"/>
      <c r="BL3440" s="294"/>
      <c r="BM3440" s="294"/>
      <c r="BN3440" s="294"/>
      <c r="BO3440" s="294"/>
      <c r="BP3440" s="294"/>
      <c r="BQ3440" s="294"/>
    </row>
    <row r="3441">
      <c r="A3441" s="78" t="s">
        <v>8859</v>
      </c>
      <c r="B3441" s="293"/>
      <c r="C3441" s="99">
        <v>44091.0</v>
      </c>
      <c r="D3441" s="294"/>
      <c r="E3441" s="78" t="s">
        <v>31</v>
      </c>
      <c r="F3441" s="37">
        <v>1.0</v>
      </c>
      <c r="G3441" s="78">
        <v>1.0</v>
      </c>
      <c r="H3441" s="78">
        <v>1.0</v>
      </c>
      <c r="I3441" s="78" t="s">
        <v>33</v>
      </c>
      <c r="J3441" s="78" t="s">
        <v>184</v>
      </c>
      <c r="K3441" s="294"/>
      <c r="L3441" s="106" t="s">
        <v>76</v>
      </c>
      <c r="M3441" s="282" t="s">
        <v>8860</v>
      </c>
      <c r="N3441" s="46" t="s">
        <v>8861</v>
      </c>
      <c r="S3441" s="37"/>
      <c r="T3441" s="38"/>
      <c r="U3441" s="38"/>
      <c r="V3441" s="78" t="s">
        <v>33</v>
      </c>
      <c r="W3441" s="46" t="s">
        <v>8862</v>
      </c>
      <c r="X3441" s="282" t="s">
        <v>8863</v>
      </c>
      <c r="Y3441" s="295"/>
      <c r="Z3441" s="294"/>
      <c r="AA3441" s="294"/>
      <c r="AB3441" s="294"/>
      <c r="AC3441" s="294"/>
      <c r="AD3441" s="294"/>
      <c r="AE3441" s="294"/>
      <c r="AF3441" s="294"/>
      <c r="AG3441" s="294"/>
      <c r="AH3441" s="294"/>
      <c r="AI3441" s="294"/>
      <c r="AJ3441" s="294"/>
      <c r="AK3441" s="294"/>
      <c r="AL3441" s="294"/>
      <c r="AM3441" s="294"/>
      <c r="AN3441" s="294"/>
      <c r="AO3441" s="294"/>
      <c r="AP3441" s="294"/>
      <c r="AQ3441" s="294"/>
      <c r="AR3441" s="294"/>
      <c r="AS3441" s="294"/>
      <c r="AT3441" s="294"/>
      <c r="AU3441" s="294"/>
      <c r="AV3441" s="294"/>
      <c r="AW3441" s="294"/>
      <c r="AX3441" s="294"/>
      <c r="AY3441" s="294"/>
      <c r="AZ3441" s="294"/>
      <c r="BA3441" s="294"/>
      <c r="BB3441" s="294"/>
      <c r="BC3441" s="294"/>
      <c r="BD3441" s="294"/>
      <c r="BE3441" s="294"/>
      <c r="BF3441" s="294"/>
      <c r="BG3441" s="294"/>
      <c r="BH3441" s="294"/>
      <c r="BI3441" s="294"/>
      <c r="BJ3441" s="294"/>
      <c r="BK3441" s="294"/>
      <c r="BL3441" s="294"/>
      <c r="BM3441" s="294"/>
      <c r="BN3441" s="294"/>
      <c r="BO3441" s="294"/>
      <c r="BP3441" s="294"/>
      <c r="BQ3441" s="294"/>
    </row>
    <row r="3442">
      <c r="A3442" s="78" t="s">
        <v>8864</v>
      </c>
      <c r="B3442" s="293"/>
      <c r="C3442" s="99">
        <v>44091.0</v>
      </c>
      <c r="D3442" s="294"/>
      <c r="E3442" s="78" t="s">
        <v>41</v>
      </c>
      <c r="F3442" s="37">
        <v>1.0</v>
      </c>
      <c r="G3442" s="78" t="s">
        <v>32</v>
      </c>
      <c r="H3442" s="78">
        <v>1.0</v>
      </c>
      <c r="I3442" s="78" t="s">
        <v>33</v>
      </c>
      <c r="J3442" s="78" t="s">
        <v>55</v>
      </c>
      <c r="K3442" s="294"/>
      <c r="L3442" s="106" t="s">
        <v>76</v>
      </c>
      <c r="M3442" s="282" t="s">
        <v>8865</v>
      </c>
      <c r="N3442" s="106"/>
      <c r="S3442" s="37"/>
      <c r="T3442" s="38"/>
      <c r="U3442" s="38"/>
      <c r="V3442" s="78" t="s">
        <v>33</v>
      </c>
      <c r="W3442" s="106"/>
      <c r="X3442" s="282"/>
      <c r="Y3442" s="295"/>
      <c r="Z3442" s="294"/>
      <c r="AA3442" s="294"/>
      <c r="AB3442" s="294"/>
      <c r="AC3442" s="294"/>
      <c r="AD3442" s="294"/>
      <c r="AE3442" s="294"/>
      <c r="AF3442" s="294"/>
      <c r="AG3442" s="294"/>
      <c r="AH3442" s="294"/>
      <c r="AI3442" s="294"/>
      <c r="AJ3442" s="294"/>
      <c r="AK3442" s="294"/>
      <c r="AL3442" s="294"/>
      <c r="AM3442" s="294"/>
      <c r="AN3442" s="294"/>
      <c r="AO3442" s="294"/>
      <c r="AP3442" s="294"/>
      <c r="AQ3442" s="294"/>
      <c r="AR3442" s="294"/>
      <c r="AS3442" s="294"/>
      <c r="AT3442" s="294"/>
      <c r="AU3442" s="294"/>
      <c r="AV3442" s="294"/>
      <c r="AW3442" s="294"/>
      <c r="AX3442" s="294"/>
      <c r="AY3442" s="294"/>
      <c r="AZ3442" s="294"/>
      <c r="BA3442" s="294"/>
      <c r="BB3442" s="294"/>
      <c r="BC3442" s="294"/>
      <c r="BD3442" s="294"/>
      <c r="BE3442" s="294"/>
      <c r="BF3442" s="294"/>
      <c r="BG3442" s="294"/>
      <c r="BH3442" s="294"/>
      <c r="BI3442" s="294"/>
      <c r="BJ3442" s="294"/>
      <c r="BK3442" s="294"/>
      <c r="BL3442" s="294"/>
      <c r="BM3442" s="294"/>
      <c r="BN3442" s="294"/>
      <c r="BO3442" s="294"/>
      <c r="BP3442" s="294"/>
      <c r="BQ3442" s="294"/>
    </row>
    <row r="3443">
      <c r="A3443" s="78" t="s">
        <v>8866</v>
      </c>
      <c r="B3443" s="293"/>
      <c r="C3443" s="99">
        <v>44091.0</v>
      </c>
      <c r="D3443" s="294"/>
      <c r="E3443" s="78" t="s">
        <v>31</v>
      </c>
      <c r="F3443" s="37">
        <v>1.0</v>
      </c>
      <c r="G3443" s="78" t="s">
        <v>32</v>
      </c>
      <c r="H3443" s="78">
        <v>1.0</v>
      </c>
      <c r="I3443" s="78" t="s">
        <v>33</v>
      </c>
      <c r="J3443" s="78" t="s">
        <v>98</v>
      </c>
      <c r="K3443" s="294"/>
      <c r="L3443" s="106" t="s">
        <v>76</v>
      </c>
      <c r="M3443" s="282" t="s">
        <v>8867</v>
      </c>
      <c r="N3443" s="106" t="s">
        <v>8868</v>
      </c>
      <c r="S3443" s="37"/>
      <c r="T3443" s="38"/>
      <c r="U3443" s="38"/>
      <c r="V3443" s="78" t="s">
        <v>33</v>
      </c>
      <c r="W3443" s="106" t="s">
        <v>8869</v>
      </c>
      <c r="X3443" s="282" t="s">
        <v>8870</v>
      </c>
      <c r="Y3443" s="295"/>
      <c r="Z3443" s="294"/>
      <c r="AA3443" s="294"/>
      <c r="AB3443" s="294"/>
      <c r="AC3443" s="294"/>
      <c r="AD3443" s="294"/>
      <c r="AE3443" s="294"/>
      <c r="AF3443" s="294"/>
      <c r="AG3443" s="294"/>
      <c r="AH3443" s="294"/>
      <c r="AI3443" s="294"/>
      <c r="AJ3443" s="294"/>
      <c r="AK3443" s="294"/>
      <c r="AL3443" s="294"/>
      <c r="AM3443" s="294"/>
      <c r="AN3443" s="294"/>
      <c r="AO3443" s="294"/>
      <c r="AP3443" s="294"/>
      <c r="AQ3443" s="294"/>
      <c r="AR3443" s="294"/>
      <c r="AS3443" s="294"/>
      <c r="AT3443" s="294"/>
      <c r="AU3443" s="294"/>
      <c r="AV3443" s="294"/>
      <c r="AW3443" s="294"/>
      <c r="AX3443" s="294"/>
      <c r="AY3443" s="294"/>
      <c r="AZ3443" s="294"/>
      <c r="BA3443" s="294"/>
      <c r="BB3443" s="294"/>
      <c r="BC3443" s="294"/>
      <c r="BD3443" s="294"/>
      <c r="BE3443" s="294"/>
      <c r="BF3443" s="294"/>
      <c r="BG3443" s="294"/>
      <c r="BH3443" s="294"/>
      <c r="BI3443" s="294"/>
      <c r="BJ3443" s="294"/>
      <c r="BK3443" s="294"/>
      <c r="BL3443" s="294"/>
      <c r="BM3443" s="294"/>
      <c r="BN3443" s="294"/>
      <c r="BO3443" s="294"/>
      <c r="BP3443" s="294"/>
      <c r="BQ3443" s="294"/>
    </row>
    <row r="3444">
      <c r="A3444" s="78" t="s">
        <v>8871</v>
      </c>
      <c r="B3444" s="293"/>
      <c r="C3444" s="99">
        <v>44091.0</v>
      </c>
      <c r="D3444" s="294"/>
      <c r="E3444" s="78" t="s">
        <v>31</v>
      </c>
      <c r="F3444" s="37">
        <v>1.0</v>
      </c>
      <c r="G3444" s="78" t="s">
        <v>32</v>
      </c>
      <c r="H3444" s="78">
        <v>1.0</v>
      </c>
      <c r="I3444" s="78" t="s">
        <v>33</v>
      </c>
      <c r="J3444" s="78" t="s">
        <v>98</v>
      </c>
      <c r="K3444" s="294"/>
      <c r="L3444" s="106" t="s">
        <v>76</v>
      </c>
      <c r="M3444" s="282" t="s">
        <v>8867</v>
      </c>
      <c r="N3444" s="106" t="s">
        <v>8868</v>
      </c>
      <c r="S3444" s="37"/>
      <c r="T3444" s="38"/>
      <c r="U3444" s="38"/>
      <c r="V3444" s="78" t="s">
        <v>33</v>
      </c>
      <c r="W3444" s="46" t="s">
        <v>8869</v>
      </c>
      <c r="X3444" s="282" t="s">
        <v>8870</v>
      </c>
      <c r="Y3444" s="295"/>
      <c r="Z3444" s="294"/>
      <c r="AA3444" s="294"/>
      <c r="AB3444" s="294"/>
      <c r="AC3444" s="294"/>
      <c r="AD3444" s="294"/>
      <c r="AE3444" s="294"/>
      <c r="AF3444" s="294"/>
      <c r="AG3444" s="294"/>
      <c r="AH3444" s="294"/>
      <c r="AI3444" s="294"/>
      <c r="AJ3444" s="294"/>
      <c r="AK3444" s="294"/>
      <c r="AL3444" s="294"/>
      <c r="AM3444" s="294"/>
      <c r="AN3444" s="294"/>
      <c r="AO3444" s="294"/>
      <c r="AP3444" s="294"/>
      <c r="AQ3444" s="294"/>
      <c r="AR3444" s="294"/>
      <c r="AS3444" s="294"/>
      <c r="AT3444" s="294"/>
      <c r="AU3444" s="294"/>
      <c r="AV3444" s="294"/>
      <c r="AW3444" s="294"/>
      <c r="AX3444" s="294"/>
      <c r="AY3444" s="294"/>
      <c r="AZ3444" s="294"/>
      <c r="BA3444" s="294"/>
      <c r="BB3444" s="294"/>
      <c r="BC3444" s="294"/>
      <c r="BD3444" s="294"/>
      <c r="BE3444" s="294"/>
      <c r="BF3444" s="294"/>
      <c r="BG3444" s="294"/>
      <c r="BH3444" s="294"/>
      <c r="BI3444" s="294"/>
      <c r="BJ3444" s="294"/>
      <c r="BK3444" s="294"/>
      <c r="BL3444" s="294"/>
      <c r="BM3444" s="294"/>
      <c r="BN3444" s="294"/>
      <c r="BO3444" s="294"/>
      <c r="BP3444" s="294"/>
      <c r="BQ3444" s="294"/>
    </row>
    <row r="3445">
      <c r="A3445" s="78" t="s">
        <v>239</v>
      </c>
      <c r="B3445" s="293"/>
      <c r="C3445" s="99">
        <v>44093.0</v>
      </c>
      <c r="D3445" s="294"/>
      <c r="E3445" s="78" t="s">
        <v>41</v>
      </c>
      <c r="F3445" s="37">
        <v>2.0</v>
      </c>
      <c r="G3445" s="78" t="s">
        <v>32</v>
      </c>
      <c r="H3445" s="78">
        <v>1.0</v>
      </c>
      <c r="I3445" s="78" t="s">
        <v>33</v>
      </c>
      <c r="J3445" s="78" t="s">
        <v>241</v>
      </c>
      <c r="K3445" s="294"/>
      <c r="L3445" s="106" t="s">
        <v>194</v>
      </c>
      <c r="M3445" s="282" t="s">
        <v>8872</v>
      </c>
      <c r="N3445" s="106"/>
      <c r="S3445" s="37"/>
      <c r="T3445" s="38"/>
      <c r="U3445" s="38"/>
      <c r="V3445" s="78" t="s">
        <v>33</v>
      </c>
      <c r="W3445" s="106"/>
      <c r="X3445" s="282"/>
      <c r="Y3445" s="295"/>
      <c r="Z3445" s="294"/>
      <c r="AA3445" s="294"/>
      <c r="AB3445" s="294"/>
      <c r="AC3445" s="294"/>
      <c r="AD3445" s="294"/>
      <c r="AE3445" s="294"/>
      <c r="AF3445" s="294"/>
      <c r="AG3445" s="294"/>
      <c r="AH3445" s="294"/>
      <c r="AI3445" s="294"/>
      <c r="AJ3445" s="294"/>
      <c r="AK3445" s="294"/>
      <c r="AL3445" s="294"/>
      <c r="AM3445" s="294"/>
      <c r="AN3445" s="294"/>
      <c r="AO3445" s="294"/>
      <c r="AP3445" s="294"/>
      <c r="AQ3445" s="294"/>
      <c r="AR3445" s="294"/>
      <c r="AS3445" s="294"/>
      <c r="AT3445" s="294"/>
      <c r="AU3445" s="294"/>
      <c r="AV3445" s="294"/>
      <c r="AW3445" s="294"/>
      <c r="AX3445" s="294"/>
      <c r="AY3445" s="294"/>
      <c r="AZ3445" s="294"/>
      <c r="BA3445" s="294"/>
      <c r="BB3445" s="294"/>
      <c r="BC3445" s="294"/>
      <c r="BD3445" s="294"/>
      <c r="BE3445" s="294"/>
      <c r="BF3445" s="294"/>
      <c r="BG3445" s="294"/>
      <c r="BH3445" s="294"/>
      <c r="BI3445" s="294"/>
      <c r="BJ3445" s="294"/>
      <c r="BK3445" s="294"/>
      <c r="BL3445" s="294"/>
      <c r="BM3445" s="294"/>
      <c r="BN3445" s="294"/>
      <c r="BO3445" s="294"/>
      <c r="BP3445" s="294"/>
      <c r="BQ3445" s="294"/>
    </row>
    <row r="3446">
      <c r="A3446" s="78" t="s">
        <v>8873</v>
      </c>
      <c r="B3446" s="293"/>
      <c r="C3446" s="99">
        <v>44095.0</v>
      </c>
      <c r="D3446" s="294"/>
      <c r="E3446" s="78" t="s">
        <v>41</v>
      </c>
      <c r="F3446" s="37">
        <v>1.0</v>
      </c>
      <c r="G3446" s="78">
        <v>1.0</v>
      </c>
      <c r="H3446" s="78">
        <v>1.0</v>
      </c>
      <c r="I3446" s="78" t="s">
        <v>33</v>
      </c>
      <c r="J3446" s="78" t="s">
        <v>93</v>
      </c>
      <c r="K3446" s="294"/>
      <c r="L3446" s="106" t="s">
        <v>76</v>
      </c>
      <c r="M3446" s="282" t="s">
        <v>8874</v>
      </c>
      <c r="N3446" s="106"/>
      <c r="S3446" s="37"/>
      <c r="T3446" s="38"/>
      <c r="U3446" s="38"/>
      <c r="V3446" s="78" t="s">
        <v>33</v>
      </c>
      <c r="W3446" s="106"/>
      <c r="X3446" s="282"/>
      <c r="Y3446" s="295"/>
      <c r="Z3446" s="294"/>
      <c r="AA3446" s="294"/>
      <c r="AB3446" s="294"/>
      <c r="AC3446" s="294"/>
      <c r="AD3446" s="294"/>
      <c r="AE3446" s="294"/>
      <c r="AF3446" s="294"/>
      <c r="AG3446" s="294"/>
      <c r="AH3446" s="294"/>
      <c r="AI3446" s="294"/>
      <c r="AJ3446" s="294"/>
      <c r="AK3446" s="294"/>
      <c r="AL3446" s="294"/>
      <c r="AM3446" s="294"/>
      <c r="AN3446" s="294"/>
      <c r="AO3446" s="294"/>
      <c r="AP3446" s="294"/>
      <c r="AQ3446" s="294"/>
      <c r="AR3446" s="294"/>
      <c r="AS3446" s="294"/>
      <c r="AT3446" s="294"/>
      <c r="AU3446" s="294"/>
      <c r="AV3446" s="294"/>
      <c r="AW3446" s="294"/>
      <c r="AX3446" s="294"/>
      <c r="AY3446" s="294"/>
      <c r="AZ3446" s="294"/>
      <c r="BA3446" s="294"/>
      <c r="BB3446" s="294"/>
      <c r="BC3446" s="294"/>
      <c r="BD3446" s="294"/>
      <c r="BE3446" s="294"/>
      <c r="BF3446" s="294"/>
      <c r="BG3446" s="294"/>
      <c r="BH3446" s="294"/>
      <c r="BI3446" s="294"/>
      <c r="BJ3446" s="294"/>
      <c r="BK3446" s="294"/>
      <c r="BL3446" s="294"/>
      <c r="BM3446" s="294"/>
      <c r="BN3446" s="294"/>
      <c r="BO3446" s="294"/>
      <c r="BP3446" s="294"/>
      <c r="BQ3446" s="294"/>
    </row>
    <row r="3447">
      <c r="A3447" s="78" t="s">
        <v>239</v>
      </c>
      <c r="B3447" s="293"/>
      <c r="C3447" s="99">
        <v>44095.0</v>
      </c>
      <c r="D3447" s="294"/>
      <c r="E3447" s="78" t="s">
        <v>41</v>
      </c>
      <c r="F3447" s="37">
        <v>1.0</v>
      </c>
      <c r="G3447" s="78" t="s">
        <v>32</v>
      </c>
      <c r="H3447" s="78">
        <v>1.0</v>
      </c>
      <c r="I3447" s="78" t="s">
        <v>33</v>
      </c>
      <c r="J3447" s="78" t="s">
        <v>241</v>
      </c>
      <c r="K3447" s="294"/>
      <c r="L3447" s="106" t="s">
        <v>194</v>
      </c>
      <c r="M3447" s="282" t="s">
        <v>8875</v>
      </c>
      <c r="N3447" s="106"/>
      <c r="S3447" s="37"/>
      <c r="T3447" s="38"/>
      <c r="U3447" s="38"/>
      <c r="V3447" s="78" t="s">
        <v>33</v>
      </c>
      <c r="W3447" s="106"/>
      <c r="X3447" s="282"/>
      <c r="Y3447" s="295"/>
      <c r="Z3447" s="294"/>
      <c r="AA3447" s="294"/>
      <c r="AB3447" s="294"/>
      <c r="AC3447" s="294"/>
      <c r="AD3447" s="294"/>
      <c r="AE3447" s="294"/>
      <c r="AF3447" s="294"/>
      <c r="AG3447" s="294"/>
      <c r="AH3447" s="294"/>
      <c r="AI3447" s="294"/>
      <c r="AJ3447" s="294"/>
      <c r="AK3447" s="294"/>
      <c r="AL3447" s="294"/>
      <c r="AM3447" s="294"/>
      <c r="AN3447" s="294"/>
      <c r="AO3447" s="294"/>
      <c r="AP3447" s="294"/>
      <c r="AQ3447" s="294"/>
      <c r="AR3447" s="294"/>
      <c r="AS3447" s="294"/>
      <c r="AT3447" s="294"/>
      <c r="AU3447" s="294"/>
      <c r="AV3447" s="294"/>
      <c r="AW3447" s="294"/>
      <c r="AX3447" s="294"/>
      <c r="AY3447" s="294"/>
      <c r="AZ3447" s="294"/>
      <c r="BA3447" s="294"/>
      <c r="BB3447" s="294"/>
      <c r="BC3447" s="294"/>
      <c r="BD3447" s="294"/>
      <c r="BE3447" s="294"/>
      <c r="BF3447" s="294"/>
      <c r="BG3447" s="294"/>
      <c r="BH3447" s="294"/>
      <c r="BI3447" s="294"/>
      <c r="BJ3447" s="294"/>
      <c r="BK3447" s="294"/>
      <c r="BL3447" s="294"/>
      <c r="BM3447" s="294"/>
      <c r="BN3447" s="294"/>
      <c r="BO3447" s="294"/>
      <c r="BP3447" s="294"/>
      <c r="BQ3447" s="294"/>
    </row>
    <row r="3448">
      <c r="A3448" s="78" t="s">
        <v>8876</v>
      </c>
      <c r="B3448" s="293"/>
      <c r="C3448" s="99">
        <v>44095.0</v>
      </c>
      <c r="D3448" s="294"/>
      <c r="E3448" s="78" t="s">
        <v>41</v>
      </c>
      <c r="F3448" s="37">
        <v>1.0</v>
      </c>
      <c r="G3448" s="78" t="s">
        <v>32</v>
      </c>
      <c r="H3448" s="78">
        <v>1.0</v>
      </c>
      <c r="I3448" s="78" t="s">
        <v>33</v>
      </c>
      <c r="J3448" s="78" t="s">
        <v>440</v>
      </c>
      <c r="K3448" s="294"/>
      <c r="L3448" s="106" t="s">
        <v>69</v>
      </c>
      <c r="M3448" s="282" t="s">
        <v>8877</v>
      </c>
      <c r="N3448" s="106"/>
      <c r="S3448" s="37"/>
      <c r="T3448" s="38"/>
      <c r="U3448" s="38"/>
      <c r="V3448" s="78" t="s">
        <v>33</v>
      </c>
      <c r="W3448" s="106"/>
      <c r="X3448" s="282"/>
      <c r="Y3448" s="295"/>
      <c r="Z3448" s="294"/>
      <c r="AA3448" s="294"/>
      <c r="AB3448" s="294"/>
      <c r="AC3448" s="294"/>
      <c r="AD3448" s="294"/>
      <c r="AE3448" s="294"/>
      <c r="AF3448" s="294"/>
      <c r="AG3448" s="294"/>
      <c r="AH3448" s="294"/>
      <c r="AI3448" s="294"/>
      <c r="AJ3448" s="294"/>
      <c r="AK3448" s="294"/>
      <c r="AL3448" s="294"/>
      <c r="AM3448" s="294"/>
      <c r="AN3448" s="294"/>
      <c r="AO3448" s="294"/>
      <c r="AP3448" s="294"/>
      <c r="AQ3448" s="294"/>
      <c r="AR3448" s="294"/>
      <c r="AS3448" s="294"/>
      <c r="AT3448" s="294"/>
      <c r="AU3448" s="294"/>
      <c r="AV3448" s="294"/>
      <c r="AW3448" s="294"/>
      <c r="AX3448" s="294"/>
      <c r="AY3448" s="294"/>
      <c r="AZ3448" s="294"/>
      <c r="BA3448" s="294"/>
      <c r="BB3448" s="294"/>
      <c r="BC3448" s="294"/>
      <c r="BD3448" s="294"/>
      <c r="BE3448" s="294"/>
      <c r="BF3448" s="294"/>
      <c r="BG3448" s="294"/>
      <c r="BH3448" s="294"/>
      <c r="BI3448" s="294"/>
      <c r="BJ3448" s="294"/>
      <c r="BK3448" s="294"/>
      <c r="BL3448" s="294"/>
      <c r="BM3448" s="294"/>
      <c r="BN3448" s="294"/>
      <c r="BO3448" s="294"/>
      <c r="BP3448" s="294"/>
      <c r="BQ3448" s="294"/>
    </row>
    <row r="3449">
      <c r="A3449" s="78" t="s">
        <v>8878</v>
      </c>
      <c r="B3449" s="293"/>
      <c r="C3449" s="99">
        <v>44096.0</v>
      </c>
      <c r="D3449" s="294"/>
      <c r="E3449" s="78" t="s">
        <v>41</v>
      </c>
      <c r="F3449" s="37">
        <v>1.0</v>
      </c>
      <c r="G3449" s="78" t="s">
        <v>32</v>
      </c>
      <c r="H3449" s="78">
        <v>1.0</v>
      </c>
      <c r="I3449" s="78" t="s">
        <v>33</v>
      </c>
      <c r="J3449" s="78" t="s">
        <v>115</v>
      </c>
      <c r="K3449" s="294"/>
      <c r="L3449" s="106" t="s">
        <v>119</v>
      </c>
      <c r="M3449" s="282" t="s">
        <v>8879</v>
      </c>
      <c r="N3449" s="106"/>
      <c r="S3449" s="37"/>
      <c r="T3449" s="38"/>
      <c r="U3449" s="38"/>
      <c r="V3449" s="78" t="s">
        <v>33</v>
      </c>
      <c r="W3449" s="106"/>
      <c r="X3449" s="282"/>
      <c r="Y3449" s="295"/>
      <c r="Z3449" s="294"/>
      <c r="AA3449" s="294"/>
      <c r="AB3449" s="294"/>
      <c r="AC3449" s="294"/>
      <c r="AD3449" s="294"/>
      <c r="AE3449" s="294"/>
      <c r="AF3449" s="294"/>
      <c r="AG3449" s="294"/>
      <c r="AH3449" s="294"/>
      <c r="AI3449" s="294"/>
      <c r="AJ3449" s="294"/>
      <c r="AK3449" s="294"/>
      <c r="AL3449" s="294"/>
      <c r="AM3449" s="294"/>
      <c r="AN3449" s="294"/>
      <c r="AO3449" s="294"/>
      <c r="AP3449" s="294"/>
      <c r="AQ3449" s="294"/>
      <c r="AR3449" s="294"/>
      <c r="AS3449" s="294"/>
      <c r="AT3449" s="294"/>
      <c r="AU3449" s="294"/>
      <c r="AV3449" s="294"/>
      <c r="AW3449" s="294"/>
      <c r="AX3449" s="294"/>
      <c r="AY3449" s="294"/>
      <c r="AZ3449" s="294"/>
      <c r="BA3449" s="294"/>
      <c r="BB3449" s="294"/>
      <c r="BC3449" s="294"/>
      <c r="BD3449" s="294"/>
      <c r="BE3449" s="294"/>
      <c r="BF3449" s="294"/>
      <c r="BG3449" s="294"/>
      <c r="BH3449" s="294"/>
      <c r="BI3449" s="294"/>
      <c r="BJ3449" s="294"/>
      <c r="BK3449" s="294"/>
      <c r="BL3449" s="294"/>
      <c r="BM3449" s="294"/>
      <c r="BN3449" s="294"/>
      <c r="BO3449" s="294"/>
      <c r="BP3449" s="294"/>
      <c r="BQ3449" s="294"/>
    </row>
    <row r="3450">
      <c r="A3450" s="78" t="s">
        <v>8880</v>
      </c>
      <c r="B3450" s="293"/>
      <c r="C3450" s="99">
        <v>44097.0</v>
      </c>
      <c r="D3450" s="294"/>
      <c r="E3450" s="78" t="s">
        <v>41</v>
      </c>
      <c r="F3450" s="37">
        <v>1.0</v>
      </c>
      <c r="G3450" s="78" t="s">
        <v>32</v>
      </c>
      <c r="H3450" s="78">
        <v>1.0</v>
      </c>
      <c r="I3450" s="78" t="s">
        <v>33</v>
      </c>
      <c r="J3450" s="78" t="s">
        <v>93</v>
      </c>
      <c r="K3450" s="294"/>
      <c r="L3450" s="106" t="s">
        <v>69</v>
      </c>
      <c r="M3450" s="282" t="s">
        <v>8881</v>
      </c>
      <c r="N3450" s="106"/>
      <c r="S3450" s="37"/>
      <c r="T3450" s="38"/>
      <c r="U3450" s="38"/>
      <c r="V3450" s="78" t="s">
        <v>33</v>
      </c>
      <c r="W3450" s="106"/>
      <c r="X3450" s="282"/>
      <c r="Y3450" s="295"/>
      <c r="Z3450" s="294"/>
      <c r="AA3450" s="294"/>
      <c r="AB3450" s="294"/>
      <c r="AC3450" s="294"/>
      <c r="AD3450" s="294"/>
      <c r="AE3450" s="294"/>
      <c r="AF3450" s="294"/>
      <c r="AG3450" s="294"/>
      <c r="AH3450" s="294"/>
      <c r="AI3450" s="294"/>
      <c r="AJ3450" s="294"/>
      <c r="AK3450" s="294"/>
      <c r="AL3450" s="294"/>
      <c r="AM3450" s="294"/>
      <c r="AN3450" s="294"/>
      <c r="AO3450" s="294"/>
      <c r="AP3450" s="294"/>
      <c r="AQ3450" s="294"/>
      <c r="AR3450" s="294"/>
      <c r="AS3450" s="294"/>
      <c r="AT3450" s="294"/>
      <c r="AU3450" s="294"/>
      <c r="AV3450" s="294"/>
      <c r="AW3450" s="294"/>
      <c r="AX3450" s="294"/>
      <c r="AY3450" s="294"/>
      <c r="AZ3450" s="294"/>
      <c r="BA3450" s="294"/>
      <c r="BB3450" s="294"/>
      <c r="BC3450" s="294"/>
      <c r="BD3450" s="294"/>
      <c r="BE3450" s="294"/>
      <c r="BF3450" s="294"/>
      <c r="BG3450" s="294"/>
      <c r="BH3450" s="294"/>
      <c r="BI3450" s="294"/>
      <c r="BJ3450" s="294"/>
      <c r="BK3450" s="294"/>
      <c r="BL3450" s="294"/>
      <c r="BM3450" s="294"/>
      <c r="BN3450" s="294"/>
      <c r="BO3450" s="294"/>
      <c r="BP3450" s="294"/>
      <c r="BQ3450" s="294"/>
    </row>
    <row r="3451">
      <c r="A3451" s="78" t="s">
        <v>8882</v>
      </c>
      <c r="B3451" s="293"/>
      <c r="C3451" s="99">
        <v>44097.0</v>
      </c>
      <c r="D3451" s="294"/>
      <c r="E3451" s="78" t="s">
        <v>41</v>
      </c>
      <c r="F3451" s="37">
        <v>1.0</v>
      </c>
      <c r="G3451" s="78">
        <v>1.0</v>
      </c>
      <c r="H3451" s="78">
        <v>1.0</v>
      </c>
      <c r="I3451" s="78" t="s">
        <v>33</v>
      </c>
      <c r="J3451" s="78" t="s">
        <v>85</v>
      </c>
      <c r="K3451" s="294"/>
      <c r="L3451" s="106" t="s">
        <v>76</v>
      </c>
      <c r="M3451" s="282" t="s">
        <v>8883</v>
      </c>
      <c r="N3451" s="106"/>
      <c r="S3451" s="37"/>
      <c r="T3451" s="38"/>
      <c r="U3451" s="38"/>
      <c r="V3451" s="78" t="s">
        <v>33</v>
      </c>
      <c r="W3451" s="106"/>
      <c r="X3451" s="282"/>
      <c r="Y3451" s="295"/>
      <c r="Z3451" s="294"/>
      <c r="AA3451" s="294"/>
      <c r="AB3451" s="294"/>
      <c r="AC3451" s="294"/>
      <c r="AD3451" s="294"/>
      <c r="AE3451" s="294"/>
      <c r="AF3451" s="294"/>
      <c r="AG3451" s="294"/>
      <c r="AH3451" s="294"/>
      <c r="AI3451" s="294"/>
      <c r="AJ3451" s="294"/>
      <c r="AK3451" s="294"/>
      <c r="AL3451" s="294"/>
      <c r="AM3451" s="294"/>
      <c r="AN3451" s="294"/>
      <c r="AO3451" s="294"/>
      <c r="AP3451" s="294"/>
      <c r="AQ3451" s="294"/>
      <c r="AR3451" s="294"/>
      <c r="AS3451" s="294"/>
      <c r="AT3451" s="294"/>
      <c r="AU3451" s="294"/>
      <c r="AV3451" s="294"/>
      <c r="AW3451" s="294"/>
      <c r="AX3451" s="294"/>
      <c r="AY3451" s="294"/>
      <c r="AZ3451" s="294"/>
      <c r="BA3451" s="294"/>
      <c r="BB3451" s="294"/>
      <c r="BC3451" s="294"/>
      <c r="BD3451" s="294"/>
      <c r="BE3451" s="294"/>
      <c r="BF3451" s="294"/>
      <c r="BG3451" s="294"/>
      <c r="BH3451" s="294"/>
      <c r="BI3451" s="294"/>
      <c r="BJ3451" s="294"/>
      <c r="BK3451" s="294"/>
      <c r="BL3451" s="294"/>
      <c r="BM3451" s="294"/>
      <c r="BN3451" s="294"/>
      <c r="BO3451" s="294"/>
      <c r="BP3451" s="294"/>
      <c r="BQ3451" s="294"/>
    </row>
    <row r="3452">
      <c r="A3452" s="78" t="s">
        <v>8884</v>
      </c>
      <c r="B3452" s="293"/>
      <c r="C3452" s="99">
        <v>44097.0</v>
      </c>
      <c r="D3452" s="294"/>
      <c r="E3452" s="78" t="s">
        <v>41</v>
      </c>
      <c r="F3452" s="37">
        <v>1.0</v>
      </c>
      <c r="G3452" s="78" t="s">
        <v>32</v>
      </c>
      <c r="H3452" s="78">
        <v>1.0</v>
      </c>
      <c r="I3452" s="78" t="s">
        <v>33</v>
      </c>
      <c r="J3452" s="78" t="s">
        <v>440</v>
      </c>
      <c r="K3452" s="294"/>
      <c r="L3452" s="106" t="s">
        <v>69</v>
      </c>
      <c r="M3452" s="282" t="s">
        <v>8885</v>
      </c>
      <c r="N3452" s="106"/>
      <c r="S3452" s="37"/>
      <c r="T3452" s="38"/>
      <c r="U3452" s="38"/>
      <c r="V3452" s="78" t="s">
        <v>33</v>
      </c>
      <c r="W3452" s="106"/>
      <c r="X3452" s="282"/>
      <c r="Y3452" s="295"/>
      <c r="Z3452" s="294"/>
      <c r="AA3452" s="294"/>
      <c r="AB3452" s="294"/>
      <c r="AC3452" s="294"/>
      <c r="AD3452" s="294"/>
      <c r="AE3452" s="294"/>
      <c r="AF3452" s="294"/>
      <c r="AG3452" s="294"/>
      <c r="AH3452" s="294"/>
      <c r="AI3452" s="294"/>
      <c r="AJ3452" s="294"/>
      <c r="AK3452" s="294"/>
      <c r="AL3452" s="294"/>
      <c r="AM3452" s="294"/>
      <c r="AN3452" s="294"/>
      <c r="AO3452" s="294"/>
      <c r="AP3452" s="294"/>
      <c r="AQ3452" s="294"/>
      <c r="AR3452" s="294"/>
      <c r="AS3452" s="294"/>
      <c r="AT3452" s="294"/>
      <c r="AU3452" s="294"/>
      <c r="AV3452" s="294"/>
      <c r="AW3452" s="294"/>
      <c r="AX3452" s="294"/>
      <c r="AY3452" s="294"/>
      <c r="AZ3452" s="294"/>
      <c r="BA3452" s="294"/>
      <c r="BB3452" s="294"/>
      <c r="BC3452" s="294"/>
      <c r="BD3452" s="294"/>
      <c r="BE3452" s="294"/>
      <c r="BF3452" s="294"/>
      <c r="BG3452" s="294"/>
      <c r="BH3452" s="294"/>
      <c r="BI3452" s="294"/>
      <c r="BJ3452" s="294"/>
      <c r="BK3452" s="294"/>
      <c r="BL3452" s="294"/>
      <c r="BM3452" s="294"/>
      <c r="BN3452" s="294"/>
      <c r="BO3452" s="294"/>
      <c r="BP3452" s="294"/>
      <c r="BQ3452" s="294"/>
    </row>
    <row r="3453">
      <c r="A3453" s="78" t="s">
        <v>8886</v>
      </c>
      <c r="B3453" s="293"/>
      <c r="C3453" s="99">
        <v>44097.0</v>
      </c>
      <c r="D3453" s="294"/>
      <c r="E3453" s="78" t="s">
        <v>41</v>
      </c>
      <c r="F3453" s="37">
        <v>1.0</v>
      </c>
      <c r="G3453" s="78" t="s">
        <v>32</v>
      </c>
      <c r="H3453" s="78">
        <v>1.0</v>
      </c>
      <c r="I3453" s="78" t="s">
        <v>33</v>
      </c>
      <c r="J3453" s="78" t="s">
        <v>203</v>
      </c>
      <c r="K3453" s="294"/>
      <c r="L3453" s="106" t="s">
        <v>8887</v>
      </c>
      <c r="M3453" s="282" t="s">
        <v>8888</v>
      </c>
      <c r="N3453" s="106"/>
      <c r="S3453" s="37"/>
      <c r="T3453" s="38"/>
      <c r="U3453" s="38"/>
      <c r="V3453" s="78" t="s">
        <v>33</v>
      </c>
      <c r="W3453" s="106"/>
      <c r="X3453" s="282"/>
      <c r="Y3453" s="295"/>
      <c r="Z3453" s="294"/>
      <c r="AA3453" s="294"/>
      <c r="AB3453" s="294"/>
      <c r="AC3453" s="294"/>
      <c r="AD3453" s="294"/>
      <c r="AE3453" s="294"/>
      <c r="AF3453" s="294"/>
      <c r="AG3453" s="294"/>
      <c r="AH3453" s="294"/>
      <c r="AI3453" s="294"/>
      <c r="AJ3453" s="294"/>
      <c r="AK3453" s="294"/>
      <c r="AL3453" s="294"/>
      <c r="AM3453" s="294"/>
      <c r="AN3453" s="294"/>
      <c r="AO3453" s="294"/>
      <c r="AP3453" s="294"/>
      <c r="AQ3453" s="294"/>
      <c r="AR3453" s="294"/>
      <c r="AS3453" s="294"/>
      <c r="AT3453" s="294"/>
      <c r="AU3453" s="294"/>
      <c r="AV3453" s="294"/>
      <c r="AW3453" s="294"/>
      <c r="AX3453" s="294"/>
      <c r="AY3453" s="294"/>
      <c r="AZ3453" s="294"/>
      <c r="BA3453" s="294"/>
      <c r="BB3453" s="294"/>
      <c r="BC3453" s="294"/>
      <c r="BD3453" s="294"/>
      <c r="BE3453" s="294"/>
      <c r="BF3453" s="294"/>
      <c r="BG3453" s="294"/>
      <c r="BH3453" s="294"/>
      <c r="BI3453" s="294"/>
      <c r="BJ3453" s="294"/>
      <c r="BK3453" s="294"/>
      <c r="BL3453" s="294"/>
      <c r="BM3453" s="294"/>
      <c r="BN3453" s="294"/>
      <c r="BO3453" s="294"/>
      <c r="BP3453" s="294"/>
      <c r="BQ3453" s="294"/>
    </row>
    <row r="3454">
      <c r="A3454" s="78" t="s">
        <v>8889</v>
      </c>
      <c r="B3454" s="293"/>
      <c r="C3454" s="99">
        <v>44098.0</v>
      </c>
      <c r="D3454" s="294"/>
      <c r="E3454" s="78" t="s">
        <v>41</v>
      </c>
      <c r="F3454" s="37">
        <v>1.0</v>
      </c>
      <c r="G3454" s="78" t="s">
        <v>32</v>
      </c>
      <c r="H3454" s="78">
        <v>1.0</v>
      </c>
      <c r="I3454" s="78" t="s">
        <v>33</v>
      </c>
      <c r="J3454" s="78" t="s">
        <v>55</v>
      </c>
      <c r="K3454" s="294"/>
      <c r="L3454" s="106" t="s">
        <v>69</v>
      </c>
      <c r="M3454" s="282" t="s">
        <v>8890</v>
      </c>
      <c r="N3454" s="106"/>
      <c r="S3454" s="37"/>
      <c r="T3454" s="38"/>
      <c r="U3454" s="38"/>
      <c r="V3454" s="78" t="s">
        <v>33</v>
      </c>
      <c r="W3454" s="106"/>
      <c r="X3454" s="282"/>
      <c r="Y3454" s="295"/>
      <c r="Z3454" s="294"/>
      <c r="AA3454" s="294"/>
      <c r="AB3454" s="294"/>
      <c r="AC3454" s="294"/>
      <c r="AD3454" s="294"/>
      <c r="AE3454" s="294"/>
      <c r="AF3454" s="294"/>
      <c r="AG3454" s="294"/>
      <c r="AH3454" s="294"/>
      <c r="AI3454" s="294"/>
      <c r="AJ3454" s="294"/>
      <c r="AK3454" s="294"/>
      <c r="AL3454" s="294"/>
      <c r="AM3454" s="294"/>
      <c r="AN3454" s="294"/>
      <c r="AO3454" s="294"/>
      <c r="AP3454" s="294"/>
      <c r="AQ3454" s="294"/>
      <c r="AR3454" s="294"/>
      <c r="AS3454" s="294"/>
      <c r="AT3454" s="294"/>
      <c r="AU3454" s="294"/>
      <c r="AV3454" s="294"/>
      <c r="AW3454" s="294"/>
      <c r="AX3454" s="294"/>
      <c r="AY3454" s="294"/>
      <c r="AZ3454" s="294"/>
      <c r="BA3454" s="294"/>
      <c r="BB3454" s="294"/>
      <c r="BC3454" s="294"/>
      <c r="BD3454" s="294"/>
      <c r="BE3454" s="294"/>
      <c r="BF3454" s="294"/>
      <c r="BG3454" s="294"/>
      <c r="BH3454" s="294"/>
      <c r="BI3454" s="294"/>
      <c r="BJ3454" s="294"/>
      <c r="BK3454" s="294"/>
      <c r="BL3454" s="294"/>
      <c r="BM3454" s="294"/>
      <c r="BN3454" s="294"/>
      <c r="BO3454" s="294"/>
      <c r="BP3454" s="294"/>
      <c r="BQ3454" s="294"/>
    </row>
    <row r="3455">
      <c r="A3455" s="78" t="s">
        <v>8891</v>
      </c>
      <c r="B3455" s="293"/>
      <c r="C3455" s="99">
        <v>44098.0</v>
      </c>
      <c r="D3455" s="294"/>
      <c r="E3455" s="78" t="s">
        <v>41</v>
      </c>
      <c r="F3455" s="37">
        <v>1.0</v>
      </c>
      <c r="G3455" s="78" t="s">
        <v>32</v>
      </c>
      <c r="H3455" s="78">
        <v>1.0</v>
      </c>
      <c r="I3455" s="78" t="s">
        <v>33</v>
      </c>
      <c r="J3455" s="78" t="s">
        <v>111</v>
      </c>
      <c r="K3455" s="294"/>
      <c r="L3455" s="106" t="s">
        <v>807</v>
      </c>
      <c r="M3455" s="282" t="s">
        <v>8892</v>
      </c>
      <c r="N3455" s="106"/>
      <c r="S3455" s="37"/>
      <c r="T3455" s="38"/>
      <c r="U3455" s="38"/>
      <c r="V3455" s="78" t="s">
        <v>33</v>
      </c>
      <c r="W3455" s="106"/>
      <c r="X3455" s="282"/>
      <c r="Y3455" s="295"/>
      <c r="Z3455" s="294"/>
      <c r="AA3455" s="294"/>
      <c r="AB3455" s="294"/>
      <c r="AC3455" s="294"/>
      <c r="AD3455" s="294"/>
      <c r="AE3455" s="294"/>
      <c r="AF3455" s="294"/>
      <c r="AG3455" s="294"/>
      <c r="AH3455" s="294"/>
      <c r="AI3455" s="294"/>
      <c r="AJ3455" s="294"/>
      <c r="AK3455" s="294"/>
      <c r="AL3455" s="294"/>
      <c r="AM3455" s="294"/>
      <c r="AN3455" s="294"/>
      <c r="AO3455" s="294"/>
      <c r="AP3455" s="294"/>
      <c r="AQ3455" s="294"/>
      <c r="AR3455" s="294"/>
      <c r="AS3455" s="294"/>
      <c r="AT3455" s="294"/>
      <c r="AU3455" s="294"/>
      <c r="AV3455" s="294"/>
      <c r="AW3455" s="294"/>
      <c r="AX3455" s="294"/>
      <c r="AY3455" s="294"/>
      <c r="AZ3455" s="294"/>
      <c r="BA3455" s="294"/>
      <c r="BB3455" s="294"/>
      <c r="BC3455" s="294"/>
      <c r="BD3455" s="294"/>
      <c r="BE3455" s="294"/>
      <c r="BF3455" s="294"/>
      <c r="BG3455" s="294"/>
      <c r="BH3455" s="294"/>
      <c r="BI3455" s="294"/>
      <c r="BJ3455" s="294"/>
      <c r="BK3455" s="294"/>
      <c r="BL3455" s="294"/>
      <c r="BM3455" s="294"/>
      <c r="BN3455" s="294"/>
      <c r="BO3455" s="294"/>
      <c r="BP3455" s="294"/>
      <c r="BQ3455" s="294"/>
    </row>
    <row r="3456">
      <c r="A3456" s="78" t="s">
        <v>8893</v>
      </c>
      <c r="B3456" s="293"/>
      <c r="C3456" s="99">
        <v>44098.0</v>
      </c>
      <c r="D3456" s="294"/>
      <c r="E3456" s="78" t="s">
        <v>41</v>
      </c>
      <c r="F3456" s="37">
        <v>1.0</v>
      </c>
      <c r="G3456" s="78" t="s">
        <v>32</v>
      </c>
      <c r="H3456" s="78">
        <v>1.0</v>
      </c>
      <c r="I3456" s="78" t="s">
        <v>33</v>
      </c>
      <c r="J3456" s="78" t="s">
        <v>111</v>
      </c>
      <c r="K3456" s="294"/>
      <c r="L3456" s="106" t="s">
        <v>76</v>
      </c>
      <c r="M3456" s="282" t="s">
        <v>8894</v>
      </c>
      <c r="N3456" s="106"/>
      <c r="S3456" s="37"/>
      <c r="T3456" s="38"/>
      <c r="U3456" s="38"/>
      <c r="V3456" s="78" t="s">
        <v>33</v>
      </c>
      <c r="W3456" s="106"/>
      <c r="X3456" s="282"/>
      <c r="Y3456" s="295"/>
      <c r="Z3456" s="294"/>
      <c r="AA3456" s="294"/>
      <c r="AB3456" s="294"/>
      <c r="AC3456" s="294"/>
      <c r="AD3456" s="294"/>
      <c r="AE3456" s="294"/>
      <c r="AF3456" s="294"/>
      <c r="AG3456" s="294"/>
      <c r="AH3456" s="294"/>
      <c r="AI3456" s="294"/>
      <c r="AJ3456" s="294"/>
      <c r="AK3456" s="294"/>
      <c r="AL3456" s="294"/>
      <c r="AM3456" s="294"/>
      <c r="AN3456" s="294"/>
      <c r="AO3456" s="294"/>
      <c r="AP3456" s="294"/>
      <c r="AQ3456" s="294"/>
      <c r="AR3456" s="294"/>
      <c r="AS3456" s="294"/>
      <c r="AT3456" s="294"/>
      <c r="AU3456" s="294"/>
      <c r="AV3456" s="294"/>
      <c r="AW3456" s="294"/>
      <c r="AX3456" s="294"/>
      <c r="AY3456" s="294"/>
      <c r="AZ3456" s="294"/>
      <c r="BA3456" s="294"/>
      <c r="BB3456" s="294"/>
      <c r="BC3456" s="294"/>
      <c r="BD3456" s="294"/>
      <c r="BE3456" s="294"/>
      <c r="BF3456" s="294"/>
      <c r="BG3456" s="294"/>
      <c r="BH3456" s="294"/>
      <c r="BI3456" s="294"/>
      <c r="BJ3456" s="294"/>
      <c r="BK3456" s="294"/>
      <c r="BL3456" s="294"/>
      <c r="BM3456" s="294"/>
      <c r="BN3456" s="294"/>
      <c r="BO3456" s="294"/>
      <c r="BP3456" s="294"/>
      <c r="BQ3456" s="294"/>
    </row>
    <row r="3457">
      <c r="A3457" s="78" t="s">
        <v>8895</v>
      </c>
      <c r="B3457" s="293"/>
      <c r="C3457" s="99">
        <v>44099.0</v>
      </c>
      <c r="D3457" s="294"/>
      <c r="E3457" s="78" t="s">
        <v>41</v>
      </c>
      <c r="F3457" s="37">
        <v>1.0</v>
      </c>
      <c r="G3457" s="78">
        <v>1.0</v>
      </c>
      <c r="H3457" s="78">
        <v>1.0</v>
      </c>
      <c r="I3457" s="78" t="s">
        <v>33</v>
      </c>
      <c r="J3457" s="78" t="s">
        <v>47</v>
      </c>
      <c r="K3457" s="294"/>
      <c r="L3457" s="106" t="s">
        <v>1203</v>
      </c>
      <c r="M3457" s="282" t="s">
        <v>8896</v>
      </c>
      <c r="N3457" s="106"/>
      <c r="S3457" s="37"/>
      <c r="T3457" s="38"/>
      <c r="U3457" s="38"/>
      <c r="V3457" s="78" t="s">
        <v>33</v>
      </c>
      <c r="W3457" s="106"/>
      <c r="X3457" s="282"/>
      <c r="Y3457" s="295"/>
      <c r="Z3457" s="294"/>
      <c r="AA3457" s="294"/>
      <c r="AB3457" s="294"/>
      <c r="AC3457" s="294"/>
      <c r="AD3457" s="294"/>
      <c r="AE3457" s="294"/>
      <c r="AF3457" s="294"/>
      <c r="AG3457" s="294"/>
      <c r="AH3457" s="294"/>
      <c r="AI3457" s="294"/>
      <c r="AJ3457" s="294"/>
      <c r="AK3457" s="294"/>
      <c r="AL3457" s="294"/>
      <c r="AM3457" s="294"/>
      <c r="AN3457" s="294"/>
      <c r="AO3457" s="294"/>
      <c r="AP3457" s="294"/>
      <c r="AQ3457" s="294"/>
      <c r="AR3457" s="294"/>
      <c r="AS3457" s="294"/>
      <c r="AT3457" s="294"/>
      <c r="AU3457" s="294"/>
      <c r="AV3457" s="294"/>
      <c r="AW3457" s="294"/>
      <c r="AX3457" s="294"/>
      <c r="AY3457" s="294"/>
      <c r="AZ3457" s="294"/>
      <c r="BA3457" s="294"/>
      <c r="BB3457" s="294"/>
      <c r="BC3457" s="294"/>
      <c r="BD3457" s="294"/>
      <c r="BE3457" s="294"/>
      <c r="BF3457" s="294"/>
      <c r="BG3457" s="294"/>
      <c r="BH3457" s="294"/>
      <c r="BI3457" s="294"/>
      <c r="BJ3457" s="294"/>
      <c r="BK3457" s="294"/>
      <c r="BL3457" s="294"/>
      <c r="BM3457" s="294"/>
      <c r="BN3457" s="294"/>
      <c r="BO3457" s="294"/>
      <c r="BP3457" s="294"/>
      <c r="BQ3457" s="294"/>
    </row>
    <row r="3458">
      <c r="A3458" s="78" t="s">
        <v>8897</v>
      </c>
      <c r="B3458" s="293"/>
      <c r="C3458" s="99">
        <v>44103.0</v>
      </c>
      <c r="D3458" s="294"/>
      <c r="E3458" s="78" t="s">
        <v>41</v>
      </c>
      <c r="F3458" s="37">
        <v>1.0</v>
      </c>
      <c r="G3458" s="78" t="s">
        <v>32</v>
      </c>
      <c r="H3458" s="78">
        <v>1.0</v>
      </c>
      <c r="I3458" s="78" t="s">
        <v>33</v>
      </c>
      <c r="J3458" s="78" t="s">
        <v>115</v>
      </c>
      <c r="K3458" s="294"/>
      <c r="L3458" s="106" t="s">
        <v>1203</v>
      </c>
      <c r="M3458" s="282" t="s">
        <v>8898</v>
      </c>
      <c r="N3458" s="106"/>
      <c r="S3458" s="37"/>
      <c r="T3458" s="38"/>
      <c r="U3458" s="38"/>
      <c r="V3458" s="78" t="s">
        <v>33</v>
      </c>
      <c r="W3458" s="106"/>
      <c r="X3458" s="282"/>
      <c r="Y3458" s="295"/>
      <c r="Z3458" s="294"/>
      <c r="AA3458" s="294"/>
      <c r="AB3458" s="294"/>
      <c r="AC3458" s="294"/>
      <c r="AD3458" s="294"/>
      <c r="AE3458" s="294"/>
      <c r="AF3458" s="294"/>
      <c r="AG3458" s="294"/>
      <c r="AH3458" s="294"/>
      <c r="AI3458" s="294"/>
      <c r="AJ3458" s="294"/>
      <c r="AK3458" s="294"/>
      <c r="AL3458" s="294"/>
      <c r="AM3458" s="294"/>
      <c r="AN3458" s="294"/>
      <c r="AO3458" s="294"/>
      <c r="AP3458" s="294"/>
      <c r="AQ3458" s="294"/>
      <c r="AR3458" s="294"/>
      <c r="AS3458" s="294"/>
      <c r="AT3458" s="294"/>
      <c r="AU3458" s="294"/>
      <c r="AV3458" s="294"/>
      <c r="AW3458" s="294"/>
      <c r="AX3458" s="294"/>
      <c r="AY3458" s="294"/>
      <c r="AZ3458" s="294"/>
      <c r="BA3458" s="294"/>
      <c r="BB3458" s="294"/>
      <c r="BC3458" s="294"/>
      <c r="BD3458" s="294"/>
      <c r="BE3458" s="294"/>
      <c r="BF3458" s="294"/>
      <c r="BG3458" s="294"/>
      <c r="BH3458" s="294"/>
      <c r="BI3458" s="294"/>
      <c r="BJ3458" s="294"/>
      <c r="BK3458" s="294"/>
      <c r="BL3458" s="294"/>
      <c r="BM3458" s="294"/>
      <c r="BN3458" s="294"/>
      <c r="BO3458" s="294"/>
      <c r="BP3458" s="294"/>
      <c r="BQ3458" s="294"/>
    </row>
    <row r="3459">
      <c r="A3459" s="78" t="s">
        <v>8899</v>
      </c>
      <c r="B3459" s="293"/>
      <c r="C3459" s="99">
        <v>44103.0</v>
      </c>
      <c r="D3459" s="294"/>
      <c r="E3459" s="78" t="s">
        <v>41</v>
      </c>
      <c r="F3459" s="37">
        <v>1.0</v>
      </c>
      <c r="G3459" s="78" t="s">
        <v>32</v>
      </c>
      <c r="H3459" s="78">
        <v>1.0</v>
      </c>
      <c r="I3459" s="78" t="s">
        <v>33</v>
      </c>
      <c r="J3459" s="78" t="s">
        <v>115</v>
      </c>
      <c r="K3459" s="294"/>
      <c r="L3459" s="106" t="s">
        <v>8900</v>
      </c>
      <c r="M3459" s="282" t="s">
        <v>8901</v>
      </c>
      <c r="N3459" s="106"/>
      <c r="S3459" s="37"/>
      <c r="T3459" s="38"/>
      <c r="U3459" s="38"/>
      <c r="V3459" s="78" t="s">
        <v>33</v>
      </c>
      <c r="W3459" s="106"/>
      <c r="X3459" s="282"/>
      <c r="Y3459" s="295"/>
      <c r="Z3459" s="294"/>
      <c r="AA3459" s="294"/>
      <c r="AB3459" s="294"/>
      <c r="AC3459" s="294"/>
      <c r="AD3459" s="294"/>
      <c r="AE3459" s="294"/>
      <c r="AF3459" s="294"/>
      <c r="AG3459" s="294"/>
      <c r="AH3459" s="294"/>
      <c r="AI3459" s="294"/>
      <c r="AJ3459" s="294"/>
      <c r="AK3459" s="294"/>
      <c r="AL3459" s="294"/>
      <c r="AM3459" s="294"/>
      <c r="AN3459" s="294"/>
      <c r="AO3459" s="294"/>
      <c r="AP3459" s="294"/>
      <c r="AQ3459" s="294"/>
      <c r="AR3459" s="294"/>
      <c r="AS3459" s="294"/>
      <c r="AT3459" s="294"/>
      <c r="AU3459" s="294"/>
      <c r="AV3459" s="294"/>
      <c r="AW3459" s="294"/>
      <c r="AX3459" s="294"/>
      <c r="AY3459" s="294"/>
      <c r="AZ3459" s="294"/>
      <c r="BA3459" s="294"/>
      <c r="BB3459" s="294"/>
      <c r="BC3459" s="294"/>
      <c r="BD3459" s="294"/>
      <c r="BE3459" s="294"/>
      <c r="BF3459" s="294"/>
      <c r="BG3459" s="294"/>
      <c r="BH3459" s="294"/>
      <c r="BI3459" s="294"/>
      <c r="BJ3459" s="294"/>
      <c r="BK3459" s="294"/>
      <c r="BL3459" s="294"/>
      <c r="BM3459" s="294"/>
      <c r="BN3459" s="294"/>
      <c r="BO3459" s="294"/>
      <c r="BP3459" s="294"/>
      <c r="BQ3459" s="294"/>
    </row>
    <row r="3460">
      <c r="A3460" s="78" t="s">
        <v>8902</v>
      </c>
      <c r="B3460" s="293"/>
      <c r="C3460" s="99">
        <v>44103.0</v>
      </c>
      <c r="D3460" s="294"/>
      <c r="E3460" s="78" t="s">
        <v>41</v>
      </c>
      <c r="F3460" s="37">
        <v>1.0</v>
      </c>
      <c r="G3460" s="78" t="s">
        <v>32</v>
      </c>
      <c r="H3460" s="78">
        <v>1.0</v>
      </c>
      <c r="I3460" s="78" t="s">
        <v>33</v>
      </c>
      <c r="J3460" s="78" t="s">
        <v>115</v>
      </c>
      <c r="K3460" s="294"/>
      <c r="L3460" s="106" t="s">
        <v>8900</v>
      </c>
      <c r="M3460" s="282" t="s">
        <v>8903</v>
      </c>
      <c r="N3460" s="106"/>
      <c r="S3460" s="37"/>
      <c r="T3460" s="38"/>
      <c r="U3460" s="38"/>
      <c r="V3460" s="78" t="s">
        <v>33</v>
      </c>
      <c r="W3460" s="106"/>
      <c r="X3460" s="282"/>
      <c r="Y3460" s="295"/>
      <c r="Z3460" s="294"/>
      <c r="AA3460" s="294"/>
      <c r="AB3460" s="294"/>
      <c r="AC3460" s="294"/>
      <c r="AD3460" s="294"/>
      <c r="AE3460" s="294"/>
      <c r="AF3460" s="294"/>
      <c r="AG3460" s="294"/>
      <c r="AH3460" s="294"/>
      <c r="AI3460" s="294"/>
      <c r="AJ3460" s="294"/>
      <c r="AK3460" s="294"/>
      <c r="AL3460" s="294"/>
      <c r="AM3460" s="294"/>
      <c r="AN3460" s="294"/>
      <c r="AO3460" s="294"/>
      <c r="AP3460" s="294"/>
      <c r="AQ3460" s="294"/>
      <c r="AR3460" s="294"/>
      <c r="AS3460" s="294"/>
      <c r="AT3460" s="294"/>
      <c r="AU3460" s="294"/>
      <c r="AV3460" s="294"/>
      <c r="AW3460" s="294"/>
      <c r="AX3460" s="294"/>
      <c r="AY3460" s="294"/>
      <c r="AZ3460" s="294"/>
      <c r="BA3460" s="294"/>
      <c r="BB3460" s="294"/>
      <c r="BC3460" s="294"/>
      <c r="BD3460" s="294"/>
      <c r="BE3460" s="294"/>
      <c r="BF3460" s="294"/>
      <c r="BG3460" s="294"/>
      <c r="BH3460" s="294"/>
      <c r="BI3460" s="294"/>
      <c r="BJ3460" s="294"/>
      <c r="BK3460" s="294"/>
      <c r="BL3460" s="294"/>
      <c r="BM3460" s="294"/>
      <c r="BN3460" s="294"/>
      <c r="BO3460" s="294"/>
      <c r="BP3460" s="294"/>
      <c r="BQ3460" s="294"/>
    </row>
    <row r="3461">
      <c r="A3461" s="78" t="s">
        <v>8904</v>
      </c>
      <c r="B3461" s="293"/>
      <c r="C3461" s="99">
        <v>44103.0</v>
      </c>
      <c r="D3461" s="294"/>
      <c r="E3461" s="78" t="s">
        <v>41</v>
      </c>
      <c r="F3461" s="37">
        <v>1.0</v>
      </c>
      <c r="G3461" s="78" t="s">
        <v>32</v>
      </c>
      <c r="H3461" s="78">
        <v>1.0</v>
      </c>
      <c r="I3461" s="78" t="s">
        <v>33</v>
      </c>
      <c r="J3461" s="78" t="s">
        <v>410</v>
      </c>
      <c r="K3461" s="294"/>
      <c r="L3461" s="106" t="s">
        <v>119</v>
      </c>
      <c r="M3461" s="282" t="s">
        <v>8905</v>
      </c>
      <c r="N3461" s="106"/>
      <c r="S3461" s="37"/>
      <c r="T3461" s="38"/>
      <c r="U3461" s="38"/>
      <c r="V3461" s="78" t="s">
        <v>33</v>
      </c>
      <c r="W3461" s="106"/>
      <c r="X3461" s="282"/>
      <c r="Y3461" s="295"/>
      <c r="Z3461" s="294"/>
      <c r="AA3461" s="294"/>
      <c r="AB3461" s="294"/>
      <c r="AC3461" s="294"/>
      <c r="AD3461" s="294"/>
      <c r="AE3461" s="294"/>
      <c r="AF3461" s="294"/>
      <c r="AG3461" s="294"/>
      <c r="AH3461" s="294"/>
      <c r="AI3461" s="294"/>
      <c r="AJ3461" s="294"/>
      <c r="AK3461" s="294"/>
      <c r="AL3461" s="294"/>
      <c r="AM3461" s="294"/>
      <c r="AN3461" s="294"/>
      <c r="AO3461" s="294"/>
      <c r="AP3461" s="294"/>
      <c r="AQ3461" s="294"/>
      <c r="AR3461" s="294"/>
      <c r="AS3461" s="294"/>
      <c r="AT3461" s="294"/>
      <c r="AU3461" s="294"/>
      <c r="AV3461" s="294"/>
      <c r="AW3461" s="294"/>
      <c r="AX3461" s="294"/>
      <c r="AY3461" s="294"/>
      <c r="AZ3461" s="294"/>
      <c r="BA3461" s="294"/>
      <c r="BB3461" s="294"/>
      <c r="BC3461" s="294"/>
      <c r="BD3461" s="294"/>
      <c r="BE3461" s="294"/>
      <c r="BF3461" s="294"/>
      <c r="BG3461" s="294"/>
      <c r="BH3461" s="294"/>
      <c r="BI3461" s="294"/>
      <c r="BJ3461" s="294"/>
      <c r="BK3461" s="294"/>
      <c r="BL3461" s="294"/>
      <c r="BM3461" s="294"/>
      <c r="BN3461" s="294"/>
      <c r="BO3461" s="294"/>
      <c r="BP3461" s="294"/>
      <c r="BQ3461" s="294"/>
    </row>
    <row r="3462">
      <c r="A3462" s="78" t="s">
        <v>239</v>
      </c>
      <c r="B3462" s="293"/>
      <c r="C3462" s="99">
        <v>44103.0</v>
      </c>
      <c r="D3462" s="294"/>
      <c r="E3462" s="78" t="s">
        <v>41</v>
      </c>
      <c r="F3462" s="37">
        <v>1.0</v>
      </c>
      <c r="G3462" s="78" t="s">
        <v>32</v>
      </c>
      <c r="H3462" s="78">
        <v>1.0</v>
      </c>
      <c r="I3462" s="78" t="s">
        <v>33</v>
      </c>
      <c r="J3462" s="78" t="s">
        <v>147</v>
      </c>
      <c r="K3462" s="294"/>
      <c r="L3462" s="106" t="s">
        <v>194</v>
      </c>
      <c r="M3462" s="282" t="s">
        <v>8906</v>
      </c>
      <c r="N3462" s="106"/>
      <c r="S3462" s="37"/>
      <c r="T3462" s="38"/>
      <c r="U3462" s="38"/>
      <c r="V3462" s="78" t="s">
        <v>33</v>
      </c>
      <c r="W3462" s="106"/>
      <c r="X3462" s="282"/>
      <c r="Y3462" s="295"/>
      <c r="Z3462" s="294"/>
      <c r="AA3462" s="294"/>
      <c r="AB3462" s="294"/>
      <c r="AC3462" s="294"/>
      <c r="AD3462" s="294"/>
      <c r="AE3462" s="294"/>
      <c r="AF3462" s="294"/>
      <c r="AG3462" s="294"/>
      <c r="AH3462" s="294"/>
      <c r="AI3462" s="294"/>
      <c r="AJ3462" s="294"/>
      <c r="AK3462" s="294"/>
      <c r="AL3462" s="294"/>
      <c r="AM3462" s="294"/>
      <c r="AN3462" s="294"/>
      <c r="AO3462" s="294"/>
      <c r="AP3462" s="294"/>
      <c r="AQ3462" s="294"/>
      <c r="AR3462" s="294"/>
      <c r="AS3462" s="294"/>
      <c r="AT3462" s="294"/>
      <c r="AU3462" s="294"/>
      <c r="AV3462" s="294"/>
      <c r="AW3462" s="294"/>
      <c r="AX3462" s="294"/>
      <c r="AY3462" s="294"/>
      <c r="AZ3462" s="294"/>
      <c r="BA3462" s="294"/>
      <c r="BB3462" s="294"/>
      <c r="BC3462" s="294"/>
      <c r="BD3462" s="294"/>
      <c r="BE3462" s="294"/>
      <c r="BF3462" s="294"/>
      <c r="BG3462" s="294"/>
      <c r="BH3462" s="294"/>
      <c r="BI3462" s="294"/>
      <c r="BJ3462" s="294"/>
      <c r="BK3462" s="294"/>
      <c r="BL3462" s="294"/>
      <c r="BM3462" s="294"/>
      <c r="BN3462" s="294"/>
      <c r="BO3462" s="294"/>
      <c r="BP3462" s="294"/>
      <c r="BQ3462" s="294"/>
    </row>
    <row r="3463">
      <c r="A3463" s="78" t="s">
        <v>8907</v>
      </c>
      <c r="B3463" s="293"/>
      <c r="C3463" s="99">
        <v>44103.0</v>
      </c>
      <c r="D3463" s="294"/>
      <c r="E3463" s="78" t="s">
        <v>31</v>
      </c>
      <c r="F3463" s="37">
        <v>1.0</v>
      </c>
      <c r="G3463" s="78" t="s">
        <v>32</v>
      </c>
      <c r="H3463" s="78">
        <v>1.0</v>
      </c>
      <c r="I3463" s="78" t="s">
        <v>33</v>
      </c>
      <c r="J3463" s="78" t="s">
        <v>111</v>
      </c>
      <c r="K3463" s="294"/>
      <c r="L3463" s="106" t="s">
        <v>35</v>
      </c>
      <c r="M3463" s="282" t="s">
        <v>8908</v>
      </c>
      <c r="N3463" s="46" t="s">
        <v>8909</v>
      </c>
      <c r="S3463" s="37"/>
      <c r="T3463" s="38"/>
      <c r="U3463" s="38"/>
      <c r="V3463" s="78" t="s">
        <v>33</v>
      </c>
      <c r="W3463" s="46" t="s">
        <v>8910</v>
      </c>
      <c r="X3463" s="282" t="s">
        <v>8911</v>
      </c>
      <c r="Y3463" s="295"/>
      <c r="Z3463" s="294"/>
      <c r="AA3463" s="294"/>
      <c r="AB3463" s="294"/>
      <c r="AC3463" s="294"/>
      <c r="AD3463" s="294"/>
      <c r="AE3463" s="294"/>
      <c r="AF3463" s="294"/>
      <c r="AG3463" s="294"/>
      <c r="AH3463" s="294"/>
      <c r="AI3463" s="294"/>
      <c r="AJ3463" s="294"/>
      <c r="AK3463" s="294"/>
      <c r="AL3463" s="294"/>
      <c r="AM3463" s="294"/>
      <c r="AN3463" s="294"/>
      <c r="AO3463" s="294"/>
      <c r="AP3463" s="294"/>
      <c r="AQ3463" s="294"/>
      <c r="AR3463" s="294"/>
      <c r="AS3463" s="294"/>
      <c r="AT3463" s="294"/>
      <c r="AU3463" s="294"/>
      <c r="AV3463" s="294"/>
      <c r="AW3463" s="294"/>
      <c r="AX3463" s="294"/>
      <c r="AY3463" s="294"/>
      <c r="AZ3463" s="294"/>
      <c r="BA3463" s="294"/>
      <c r="BB3463" s="294"/>
      <c r="BC3463" s="294"/>
      <c r="BD3463" s="294"/>
      <c r="BE3463" s="294"/>
      <c r="BF3463" s="294"/>
      <c r="BG3463" s="294"/>
      <c r="BH3463" s="294"/>
      <c r="BI3463" s="294"/>
      <c r="BJ3463" s="294"/>
      <c r="BK3463" s="294"/>
      <c r="BL3463" s="294"/>
      <c r="BM3463" s="294"/>
      <c r="BN3463" s="294"/>
      <c r="BO3463" s="294"/>
      <c r="BP3463" s="294"/>
      <c r="BQ3463" s="294"/>
    </row>
    <row r="3464">
      <c r="A3464" s="78" t="s">
        <v>8912</v>
      </c>
      <c r="B3464" s="293"/>
      <c r="C3464" s="99">
        <v>44104.0</v>
      </c>
      <c r="D3464" s="294"/>
      <c r="E3464" s="78" t="s">
        <v>41</v>
      </c>
      <c r="F3464" s="37">
        <v>1.0</v>
      </c>
      <c r="G3464" s="78" t="s">
        <v>32</v>
      </c>
      <c r="H3464" s="78">
        <v>1.0</v>
      </c>
      <c r="I3464" s="78" t="s">
        <v>33</v>
      </c>
      <c r="J3464" s="78" t="s">
        <v>111</v>
      </c>
      <c r="K3464" s="294"/>
      <c r="L3464" s="106" t="s">
        <v>35</v>
      </c>
      <c r="M3464" s="282" t="s">
        <v>8908</v>
      </c>
      <c r="N3464" s="106"/>
      <c r="S3464" s="37"/>
      <c r="T3464" s="38"/>
      <c r="U3464" s="38"/>
      <c r="V3464" s="78" t="s">
        <v>33</v>
      </c>
      <c r="W3464" s="46" t="s">
        <v>8913</v>
      </c>
      <c r="X3464" s="282"/>
      <c r="Y3464" s="295"/>
      <c r="Z3464" s="294"/>
      <c r="AA3464" s="294"/>
      <c r="AB3464" s="294"/>
      <c r="AC3464" s="294"/>
      <c r="AD3464" s="294"/>
      <c r="AE3464" s="294"/>
      <c r="AF3464" s="294"/>
      <c r="AG3464" s="294"/>
      <c r="AH3464" s="294"/>
      <c r="AI3464" s="294"/>
      <c r="AJ3464" s="294"/>
      <c r="AK3464" s="294"/>
      <c r="AL3464" s="294"/>
      <c r="AM3464" s="294"/>
      <c r="AN3464" s="294"/>
      <c r="AO3464" s="294"/>
      <c r="AP3464" s="294"/>
      <c r="AQ3464" s="294"/>
      <c r="AR3464" s="294"/>
      <c r="AS3464" s="294"/>
      <c r="AT3464" s="294"/>
      <c r="AU3464" s="294"/>
      <c r="AV3464" s="294"/>
      <c r="AW3464" s="294"/>
      <c r="AX3464" s="294"/>
      <c r="AY3464" s="294"/>
      <c r="AZ3464" s="294"/>
      <c r="BA3464" s="294"/>
      <c r="BB3464" s="294"/>
      <c r="BC3464" s="294"/>
      <c r="BD3464" s="294"/>
      <c r="BE3464" s="294"/>
      <c r="BF3464" s="294"/>
      <c r="BG3464" s="294"/>
      <c r="BH3464" s="294"/>
      <c r="BI3464" s="294"/>
      <c r="BJ3464" s="294"/>
      <c r="BK3464" s="294"/>
      <c r="BL3464" s="294"/>
      <c r="BM3464" s="294"/>
      <c r="BN3464" s="294"/>
      <c r="BO3464" s="294"/>
      <c r="BP3464" s="294"/>
      <c r="BQ3464" s="294"/>
    </row>
    <row r="3465">
      <c r="A3465" s="78" t="s">
        <v>8914</v>
      </c>
      <c r="B3465" s="293"/>
      <c r="C3465" s="99">
        <v>44104.0</v>
      </c>
      <c r="D3465" s="294"/>
      <c r="E3465" s="78" t="s">
        <v>41</v>
      </c>
      <c r="F3465" s="37">
        <v>1.0</v>
      </c>
      <c r="G3465" s="78">
        <v>2.0</v>
      </c>
      <c r="H3465" s="78">
        <v>2.0</v>
      </c>
      <c r="I3465" s="78" t="s">
        <v>33</v>
      </c>
      <c r="J3465" s="78" t="s">
        <v>115</v>
      </c>
      <c r="K3465" s="294"/>
      <c r="L3465" s="106" t="s">
        <v>76</v>
      </c>
      <c r="M3465" s="282" t="s">
        <v>8915</v>
      </c>
      <c r="N3465" s="106"/>
      <c r="S3465" s="37"/>
      <c r="T3465" s="38"/>
      <c r="U3465" s="38"/>
      <c r="V3465" s="78" t="s">
        <v>33</v>
      </c>
      <c r="W3465" s="106"/>
      <c r="X3465" s="282"/>
      <c r="Y3465" s="295"/>
      <c r="Z3465" s="294"/>
      <c r="AA3465" s="294"/>
      <c r="AB3465" s="294"/>
      <c r="AC3465" s="294"/>
      <c r="AD3465" s="294"/>
      <c r="AE3465" s="294"/>
      <c r="AF3465" s="294"/>
      <c r="AG3465" s="294"/>
      <c r="AH3465" s="294"/>
      <c r="AI3465" s="294"/>
      <c r="AJ3465" s="294"/>
      <c r="AK3465" s="294"/>
      <c r="AL3465" s="294"/>
      <c r="AM3465" s="294"/>
      <c r="AN3465" s="294"/>
      <c r="AO3465" s="294"/>
      <c r="AP3465" s="294"/>
      <c r="AQ3465" s="294"/>
      <c r="AR3465" s="294"/>
      <c r="AS3465" s="294"/>
      <c r="AT3465" s="294"/>
      <c r="AU3465" s="294"/>
      <c r="AV3465" s="294"/>
      <c r="AW3465" s="294"/>
      <c r="AX3465" s="294"/>
      <c r="AY3465" s="294"/>
      <c r="AZ3465" s="294"/>
      <c r="BA3465" s="294"/>
      <c r="BB3465" s="294"/>
      <c r="BC3465" s="294"/>
      <c r="BD3465" s="294"/>
      <c r="BE3465" s="294"/>
      <c r="BF3465" s="294"/>
      <c r="BG3465" s="294"/>
      <c r="BH3465" s="294"/>
      <c r="BI3465" s="294"/>
      <c r="BJ3465" s="294"/>
      <c r="BK3465" s="294"/>
      <c r="BL3465" s="294"/>
      <c r="BM3465" s="294"/>
      <c r="BN3465" s="294"/>
      <c r="BO3465" s="294"/>
      <c r="BP3465" s="294"/>
      <c r="BQ3465" s="294"/>
    </row>
    <row r="3466">
      <c r="A3466" s="78" t="s">
        <v>8916</v>
      </c>
      <c r="B3466" s="293"/>
      <c r="C3466" s="100">
        <v>44119.0</v>
      </c>
      <c r="D3466" s="294"/>
      <c r="E3466" s="78" t="s">
        <v>41</v>
      </c>
      <c r="F3466" s="37">
        <v>1.0</v>
      </c>
      <c r="G3466" s="78" t="s">
        <v>32</v>
      </c>
      <c r="H3466" s="78">
        <v>1.0</v>
      </c>
      <c r="I3466" s="78" t="s">
        <v>33</v>
      </c>
      <c r="J3466" s="78" t="s">
        <v>55</v>
      </c>
      <c r="K3466" s="294"/>
      <c r="L3466" s="106" t="s">
        <v>8917</v>
      </c>
      <c r="M3466" s="282" t="s">
        <v>8918</v>
      </c>
      <c r="N3466" s="106"/>
      <c r="S3466" s="37"/>
      <c r="T3466" s="38"/>
      <c r="U3466" s="38"/>
      <c r="V3466" s="78" t="s">
        <v>33</v>
      </c>
      <c r="W3466" s="106"/>
      <c r="X3466" s="282"/>
      <c r="Y3466" s="295"/>
      <c r="Z3466" s="294"/>
      <c r="AA3466" s="294"/>
      <c r="AB3466" s="294"/>
      <c r="AC3466" s="294"/>
      <c r="AD3466" s="294"/>
      <c r="AE3466" s="294"/>
      <c r="AF3466" s="294"/>
      <c r="AG3466" s="294"/>
      <c r="AH3466" s="294"/>
      <c r="AI3466" s="294"/>
      <c r="AJ3466" s="294"/>
      <c r="AK3466" s="294"/>
      <c r="AL3466" s="294"/>
      <c r="AM3466" s="294"/>
      <c r="AN3466" s="294"/>
      <c r="AO3466" s="294"/>
      <c r="AP3466" s="294"/>
      <c r="AQ3466" s="294"/>
      <c r="AR3466" s="294"/>
      <c r="AS3466" s="294"/>
      <c r="AT3466" s="294"/>
      <c r="AU3466" s="294"/>
      <c r="AV3466" s="294"/>
      <c r="AW3466" s="294"/>
      <c r="AX3466" s="294"/>
      <c r="AY3466" s="294"/>
      <c r="AZ3466" s="294"/>
      <c r="BA3466" s="294"/>
      <c r="BB3466" s="294"/>
      <c r="BC3466" s="294"/>
      <c r="BD3466" s="294"/>
      <c r="BE3466" s="294"/>
      <c r="BF3466" s="294"/>
      <c r="BG3466" s="294"/>
      <c r="BH3466" s="294"/>
      <c r="BI3466" s="294"/>
      <c r="BJ3466" s="294"/>
      <c r="BK3466" s="294"/>
      <c r="BL3466" s="294"/>
      <c r="BM3466" s="294"/>
      <c r="BN3466" s="294"/>
      <c r="BO3466" s="294"/>
      <c r="BP3466" s="294"/>
      <c r="BQ3466" s="294"/>
    </row>
    <row r="3467">
      <c r="A3467" s="78" t="s">
        <v>8919</v>
      </c>
      <c r="B3467" s="293"/>
      <c r="C3467" s="100">
        <v>44119.0</v>
      </c>
      <c r="D3467" s="294"/>
      <c r="E3467" s="78" t="s">
        <v>41</v>
      </c>
      <c r="F3467" s="37">
        <v>1.0</v>
      </c>
      <c r="G3467" s="78">
        <v>170.0</v>
      </c>
      <c r="H3467" s="78">
        <v>170.0</v>
      </c>
      <c r="I3467" s="78" t="s">
        <v>33</v>
      </c>
      <c r="J3467" s="78" t="s">
        <v>124</v>
      </c>
      <c r="K3467" s="294"/>
      <c r="L3467" s="106" t="s">
        <v>8920</v>
      </c>
      <c r="M3467" s="282" t="s">
        <v>8921</v>
      </c>
      <c r="N3467" s="106"/>
      <c r="S3467" s="37"/>
      <c r="T3467" s="38"/>
      <c r="U3467" s="38"/>
      <c r="V3467" s="78" t="s">
        <v>33</v>
      </c>
      <c r="W3467" s="106"/>
      <c r="X3467" s="282"/>
      <c r="Y3467" s="295"/>
      <c r="Z3467" s="294"/>
      <c r="AA3467" s="294"/>
      <c r="AB3467" s="294"/>
      <c r="AC3467" s="294"/>
      <c r="AD3467" s="294"/>
      <c r="AE3467" s="294"/>
      <c r="AF3467" s="294"/>
      <c r="AG3467" s="294"/>
      <c r="AH3467" s="294"/>
      <c r="AI3467" s="294"/>
      <c r="AJ3467" s="294"/>
      <c r="AK3467" s="294"/>
      <c r="AL3467" s="294"/>
      <c r="AM3467" s="294"/>
      <c r="AN3467" s="294"/>
      <c r="AO3467" s="294"/>
      <c r="AP3467" s="294"/>
      <c r="AQ3467" s="294"/>
      <c r="AR3467" s="294"/>
      <c r="AS3467" s="294"/>
      <c r="AT3467" s="294"/>
      <c r="AU3467" s="294"/>
      <c r="AV3467" s="294"/>
      <c r="AW3467" s="294"/>
      <c r="AX3467" s="294"/>
      <c r="AY3467" s="294"/>
      <c r="AZ3467" s="294"/>
      <c r="BA3467" s="294"/>
      <c r="BB3467" s="294"/>
      <c r="BC3467" s="294"/>
      <c r="BD3467" s="294"/>
      <c r="BE3467" s="294"/>
      <c r="BF3467" s="294"/>
      <c r="BG3467" s="294"/>
      <c r="BH3467" s="294"/>
      <c r="BI3467" s="294"/>
      <c r="BJ3467" s="294"/>
      <c r="BK3467" s="294"/>
      <c r="BL3467" s="294"/>
      <c r="BM3467" s="294"/>
      <c r="BN3467" s="294"/>
      <c r="BO3467" s="294"/>
      <c r="BP3467" s="294"/>
      <c r="BQ3467" s="294"/>
    </row>
    <row r="3468">
      <c r="A3468" s="78" t="s">
        <v>239</v>
      </c>
      <c r="B3468" s="293"/>
      <c r="C3468" s="100">
        <v>44105.0</v>
      </c>
      <c r="D3468" s="294"/>
      <c r="E3468" s="78" t="s">
        <v>41</v>
      </c>
      <c r="F3468" s="37">
        <v>5.0</v>
      </c>
      <c r="G3468" s="78" t="s">
        <v>32</v>
      </c>
      <c r="H3468" s="78">
        <v>1.0</v>
      </c>
      <c r="I3468" s="78" t="s">
        <v>33</v>
      </c>
      <c r="J3468" s="78" t="s">
        <v>147</v>
      </c>
      <c r="K3468" s="294"/>
      <c r="L3468" s="106" t="s">
        <v>194</v>
      </c>
      <c r="M3468" s="282" t="s">
        <v>8922</v>
      </c>
      <c r="N3468" s="106"/>
      <c r="S3468" s="37"/>
      <c r="T3468" s="38"/>
      <c r="U3468" s="38"/>
      <c r="V3468" s="78" t="s">
        <v>32</v>
      </c>
      <c r="W3468" s="106"/>
      <c r="X3468" s="282"/>
      <c r="Y3468" s="295"/>
      <c r="Z3468" s="294"/>
      <c r="AA3468" s="294"/>
      <c r="AB3468" s="294"/>
      <c r="AC3468" s="294"/>
      <c r="AD3468" s="294"/>
      <c r="AE3468" s="294"/>
      <c r="AF3468" s="294"/>
      <c r="AG3468" s="294"/>
      <c r="AH3468" s="294"/>
      <c r="AI3468" s="294"/>
      <c r="AJ3468" s="294"/>
      <c r="AK3468" s="294"/>
      <c r="AL3468" s="294"/>
      <c r="AM3468" s="294"/>
      <c r="AN3468" s="294"/>
      <c r="AO3468" s="294"/>
      <c r="AP3468" s="294"/>
      <c r="AQ3468" s="294"/>
      <c r="AR3468" s="294"/>
      <c r="AS3468" s="294"/>
      <c r="AT3468" s="294"/>
      <c r="AU3468" s="294"/>
      <c r="AV3468" s="294"/>
      <c r="AW3468" s="294"/>
      <c r="AX3468" s="294"/>
      <c r="AY3468" s="294"/>
      <c r="AZ3468" s="294"/>
      <c r="BA3468" s="294"/>
      <c r="BB3468" s="294"/>
      <c r="BC3468" s="294"/>
      <c r="BD3468" s="294"/>
      <c r="BE3468" s="294"/>
      <c r="BF3468" s="294"/>
      <c r="BG3468" s="294"/>
      <c r="BH3468" s="294"/>
      <c r="BI3468" s="294"/>
      <c r="BJ3468" s="294"/>
      <c r="BK3468" s="294"/>
      <c r="BL3468" s="294"/>
      <c r="BM3468" s="294"/>
      <c r="BN3468" s="294"/>
      <c r="BO3468" s="294"/>
      <c r="BP3468" s="294"/>
      <c r="BQ3468" s="294"/>
    </row>
    <row r="3469">
      <c r="A3469" s="78" t="s">
        <v>239</v>
      </c>
      <c r="B3469" s="293"/>
      <c r="C3469" s="100">
        <v>44105.0</v>
      </c>
      <c r="D3469" s="294"/>
      <c r="E3469" s="78" t="s">
        <v>41</v>
      </c>
      <c r="F3469" s="37">
        <v>179.0</v>
      </c>
      <c r="G3469" s="78">
        <v>109.0</v>
      </c>
      <c r="H3469" s="78">
        <v>109.0</v>
      </c>
      <c r="I3469" s="78" t="s">
        <v>33</v>
      </c>
      <c r="J3469" s="78" t="s">
        <v>124</v>
      </c>
      <c r="K3469" s="294"/>
      <c r="L3469" s="106" t="s">
        <v>8923</v>
      </c>
      <c r="M3469" s="282" t="s">
        <v>8924</v>
      </c>
      <c r="N3469" s="106"/>
      <c r="Q3469" s="78"/>
      <c r="S3469" s="37"/>
      <c r="T3469" s="38"/>
      <c r="U3469" s="38"/>
      <c r="V3469" s="78" t="s">
        <v>33</v>
      </c>
      <c r="W3469" s="46" t="s">
        <v>8925</v>
      </c>
      <c r="X3469" s="282"/>
      <c r="Y3469" s="295"/>
      <c r="Z3469" s="294"/>
      <c r="AA3469" s="294"/>
      <c r="AB3469" s="294"/>
      <c r="AC3469" s="294"/>
      <c r="AD3469" s="294"/>
      <c r="AE3469" s="294"/>
      <c r="AF3469" s="294"/>
      <c r="AG3469" s="294"/>
      <c r="AH3469" s="294"/>
      <c r="AI3469" s="294"/>
      <c r="AJ3469" s="294"/>
      <c r="AK3469" s="294"/>
      <c r="AL3469" s="294"/>
      <c r="AM3469" s="294"/>
      <c r="AN3469" s="294"/>
      <c r="AO3469" s="294"/>
      <c r="AP3469" s="294"/>
      <c r="AQ3469" s="294"/>
      <c r="AR3469" s="294"/>
      <c r="AS3469" s="294"/>
      <c r="AT3469" s="294"/>
      <c r="AU3469" s="294"/>
      <c r="AV3469" s="294"/>
      <c r="AW3469" s="294"/>
      <c r="AX3469" s="294"/>
      <c r="AY3469" s="294"/>
      <c r="AZ3469" s="294"/>
      <c r="BA3469" s="294"/>
      <c r="BB3469" s="294"/>
      <c r="BC3469" s="294"/>
      <c r="BD3469" s="294"/>
      <c r="BE3469" s="294"/>
      <c r="BF3469" s="294"/>
      <c r="BG3469" s="294"/>
      <c r="BH3469" s="294"/>
      <c r="BI3469" s="294"/>
      <c r="BJ3469" s="294"/>
      <c r="BK3469" s="294"/>
      <c r="BL3469" s="294"/>
      <c r="BM3469" s="294"/>
      <c r="BN3469" s="294"/>
      <c r="BO3469" s="294"/>
      <c r="BP3469" s="294"/>
      <c r="BQ3469" s="294"/>
    </row>
    <row r="3470">
      <c r="A3470" s="78" t="s">
        <v>8926</v>
      </c>
      <c r="B3470" s="293"/>
      <c r="C3470" s="99">
        <v>44105.0</v>
      </c>
      <c r="D3470" s="294"/>
      <c r="E3470" s="78" t="s">
        <v>31</v>
      </c>
      <c r="F3470" s="37">
        <v>1.0</v>
      </c>
      <c r="G3470" s="78">
        <v>6.0</v>
      </c>
      <c r="H3470" s="78">
        <v>6.0</v>
      </c>
      <c r="I3470" s="78" t="s">
        <v>33</v>
      </c>
      <c r="J3470" s="78" t="s">
        <v>47</v>
      </c>
      <c r="K3470" s="294"/>
      <c r="L3470" s="106" t="s">
        <v>76</v>
      </c>
      <c r="M3470" s="282" t="s">
        <v>8927</v>
      </c>
      <c r="N3470" s="46" t="s">
        <v>8928</v>
      </c>
      <c r="Q3470" s="78">
        <v>1.0</v>
      </c>
      <c r="S3470" s="37"/>
      <c r="T3470" s="38"/>
      <c r="U3470" s="38"/>
      <c r="V3470" s="78" t="s">
        <v>33</v>
      </c>
      <c r="W3470" s="46" t="s">
        <v>8929</v>
      </c>
      <c r="X3470" s="282"/>
      <c r="Y3470" s="295"/>
      <c r="Z3470" s="294"/>
      <c r="AA3470" s="294"/>
      <c r="AB3470" s="294"/>
      <c r="AC3470" s="294"/>
      <c r="AD3470" s="294"/>
      <c r="AE3470" s="294"/>
      <c r="AF3470" s="294"/>
      <c r="AG3470" s="294"/>
      <c r="AH3470" s="294"/>
      <c r="AI3470" s="294"/>
      <c r="AJ3470" s="294"/>
      <c r="AK3470" s="294"/>
      <c r="AL3470" s="294"/>
      <c r="AM3470" s="294"/>
      <c r="AN3470" s="294"/>
      <c r="AO3470" s="294"/>
      <c r="AP3470" s="294"/>
      <c r="AQ3470" s="294"/>
      <c r="AR3470" s="294"/>
      <c r="AS3470" s="294"/>
      <c r="AT3470" s="294"/>
      <c r="AU3470" s="294"/>
      <c r="AV3470" s="294"/>
      <c r="AW3470" s="294"/>
      <c r="AX3470" s="294"/>
      <c r="AY3470" s="294"/>
      <c r="AZ3470" s="294"/>
      <c r="BA3470" s="294"/>
      <c r="BB3470" s="294"/>
      <c r="BC3470" s="294"/>
      <c r="BD3470" s="294"/>
      <c r="BE3470" s="294"/>
      <c r="BF3470" s="294"/>
      <c r="BG3470" s="294"/>
      <c r="BH3470" s="294"/>
      <c r="BI3470" s="294"/>
      <c r="BJ3470" s="294"/>
      <c r="BK3470" s="294"/>
      <c r="BL3470" s="294"/>
      <c r="BM3470" s="294"/>
      <c r="BN3470" s="294"/>
      <c r="BO3470" s="294"/>
      <c r="BP3470" s="294"/>
      <c r="BQ3470" s="294"/>
    </row>
    <row r="3471">
      <c r="A3471" s="78" t="s">
        <v>8930</v>
      </c>
      <c r="B3471" s="293"/>
      <c r="C3471" s="99">
        <v>44105.0</v>
      </c>
      <c r="D3471" s="294"/>
      <c r="E3471" s="78" t="s">
        <v>41</v>
      </c>
      <c r="F3471" s="37">
        <v>1.0</v>
      </c>
      <c r="G3471" s="78">
        <v>1.0</v>
      </c>
      <c r="H3471" s="78">
        <v>1.0</v>
      </c>
      <c r="I3471" s="78" t="s">
        <v>33</v>
      </c>
      <c r="J3471" s="78" t="s">
        <v>47</v>
      </c>
      <c r="K3471" s="294"/>
      <c r="L3471" s="106" t="s">
        <v>1203</v>
      </c>
      <c r="M3471" s="282" t="s">
        <v>8931</v>
      </c>
      <c r="N3471" s="106"/>
      <c r="S3471" s="37"/>
      <c r="T3471" s="38"/>
      <c r="U3471" s="38"/>
      <c r="V3471" s="78" t="s">
        <v>33</v>
      </c>
      <c r="W3471" s="106"/>
      <c r="X3471" s="282"/>
      <c r="Y3471" s="295"/>
      <c r="Z3471" s="294"/>
      <c r="AA3471" s="294"/>
      <c r="AB3471" s="294"/>
      <c r="AC3471" s="294"/>
      <c r="AD3471" s="294"/>
      <c r="AE3471" s="294"/>
      <c r="AF3471" s="294"/>
      <c r="AG3471" s="294"/>
      <c r="AH3471" s="294"/>
      <c r="AI3471" s="294"/>
      <c r="AJ3471" s="294"/>
      <c r="AK3471" s="294"/>
      <c r="AL3471" s="294"/>
      <c r="AM3471" s="294"/>
      <c r="AN3471" s="294"/>
      <c r="AO3471" s="294"/>
      <c r="AP3471" s="294"/>
      <c r="AQ3471" s="294"/>
      <c r="AR3471" s="294"/>
      <c r="AS3471" s="294"/>
      <c r="AT3471" s="294"/>
      <c r="AU3471" s="294"/>
      <c r="AV3471" s="294"/>
      <c r="AW3471" s="294"/>
      <c r="AX3471" s="294"/>
      <c r="AY3471" s="294"/>
      <c r="AZ3471" s="294"/>
      <c r="BA3471" s="294"/>
      <c r="BB3471" s="294"/>
      <c r="BC3471" s="294"/>
      <c r="BD3471" s="294"/>
      <c r="BE3471" s="294"/>
      <c r="BF3471" s="294"/>
      <c r="BG3471" s="294"/>
      <c r="BH3471" s="294"/>
      <c r="BI3471" s="294"/>
      <c r="BJ3471" s="294"/>
      <c r="BK3471" s="294"/>
      <c r="BL3471" s="294"/>
      <c r="BM3471" s="294"/>
      <c r="BN3471" s="294"/>
      <c r="BO3471" s="294"/>
      <c r="BP3471" s="294"/>
      <c r="BQ3471" s="294"/>
    </row>
    <row r="3472">
      <c r="A3472" s="78" t="s">
        <v>8932</v>
      </c>
      <c r="B3472" s="293"/>
      <c r="C3472" s="99">
        <v>44105.0</v>
      </c>
      <c r="D3472" s="294"/>
      <c r="E3472" s="78" t="s">
        <v>31</v>
      </c>
      <c r="F3472" s="37">
        <v>1.0</v>
      </c>
      <c r="G3472" s="78">
        <v>13.0</v>
      </c>
      <c r="H3472" s="78">
        <v>13.0</v>
      </c>
      <c r="I3472" s="78" t="s">
        <v>33</v>
      </c>
      <c r="J3472" s="78" t="s">
        <v>410</v>
      </c>
      <c r="K3472" s="294"/>
      <c r="L3472" s="106" t="s">
        <v>76</v>
      </c>
      <c r="M3472" s="282" t="s">
        <v>8933</v>
      </c>
      <c r="N3472" s="46" t="s">
        <v>8934</v>
      </c>
      <c r="S3472" s="37"/>
      <c r="T3472" s="38"/>
      <c r="U3472" s="38"/>
      <c r="V3472" s="78" t="s">
        <v>33</v>
      </c>
      <c r="W3472" s="46" t="s">
        <v>8935</v>
      </c>
      <c r="X3472" s="282" t="s">
        <v>8936</v>
      </c>
      <c r="Y3472" s="295"/>
      <c r="Z3472" s="294"/>
      <c r="AA3472" s="294"/>
      <c r="AB3472" s="294"/>
      <c r="AC3472" s="294"/>
      <c r="AD3472" s="294"/>
      <c r="AE3472" s="294"/>
      <c r="AF3472" s="294"/>
      <c r="AG3472" s="294"/>
      <c r="AH3472" s="294"/>
      <c r="AI3472" s="294"/>
      <c r="AJ3472" s="294"/>
      <c r="AK3472" s="294"/>
      <c r="AL3472" s="294"/>
      <c r="AM3472" s="294"/>
      <c r="AN3472" s="294"/>
      <c r="AO3472" s="294"/>
      <c r="AP3472" s="294"/>
      <c r="AQ3472" s="294"/>
      <c r="AR3472" s="294"/>
      <c r="AS3472" s="294"/>
      <c r="AT3472" s="294"/>
      <c r="AU3472" s="294"/>
      <c r="AV3472" s="294"/>
      <c r="AW3472" s="294"/>
      <c r="AX3472" s="294"/>
      <c r="AY3472" s="294"/>
      <c r="AZ3472" s="294"/>
      <c r="BA3472" s="294"/>
      <c r="BB3472" s="294"/>
      <c r="BC3472" s="294"/>
      <c r="BD3472" s="294"/>
      <c r="BE3472" s="294"/>
      <c r="BF3472" s="294"/>
      <c r="BG3472" s="294"/>
      <c r="BH3472" s="294"/>
      <c r="BI3472" s="294"/>
      <c r="BJ3472" s="294"/>
      <c r="BK3472" s="294"/>
      <c r="BL3472" s="294"/>
      <c r="BM3472" s="294"/>
      <c r="BN3472" s="294"/>
      <c r="BO3472" s="294"/>
      <c r="BP3472" s="294"/>
      <c r="BQ3472" s="294"/>
    </row>
    <row r="3473">
      <c r="A3473" s="78" t="s">
        <v>239</v>
      </c>
      <c r="B3473" s="293"/>
      <c r="C3473" s="99">
        <v>44105.0</v>
      </c>
      <c r="D3473" s="294"/>
      <c r="E3473" s="78" t="s">
        <v>41</v>
      </c>
      <c r="F3473" s="37">
        <v>1.0</v>
      </c>
      <c r="G3473" s="78" t="s">
        <v>32</v>
      </c>
      <c r="H3473" s="78">
        <v>1.0</v>
      </c>
      <c r="I3473" s="78" t="s">
        <v>33</v>
      </c>
      <c r="J3473" s="78" t="s">
        <v>147</v>
      </c>
      <c r="K3473" s="294"/>
      <c r="L3473" s="106" t="s">
        <v>194</v>
      </c>
      <c r="M3473" s="282" t="s">
        <v>8937</v>
      </c>
      <c r="N3473" s="106"/>
      <c r="S3473" s="37"/>
      <c r="T3473" s="38"/>
      <c r="U3473" s="38"/>
      <c r="V3473" s="78" t="s">
        <v>33</v>
      </c>
      <c r="W3473" s="106"/>
      <c r="X3473" s="282"/>
      <c r="Y3473" s="295"/>
      <c r="Z3473" s="294"/>
      <c r="AA3473" s="294"/>
      <c r="AB3473" s="294"/>
      <c r="AC3473" s="294"/>
      <c r="AD3473" s="294"/>
      <c r="AE3473" s="294"/>
      <c r="AF3473" s="294"/>
      <c r="AG3473" s="294"/>
      <c r="AH3473" s="294"/>
      <c r="AI3473" s="294"/>
      <c r="AJ3473" s="294"/>
      <c r="AK3473" s="294"/>
      <c r="AL3473" s="294"/>
      <c r="AM3473" s="294"/>
      <c r="AN3473" s="294"/>
      <c r="AO3473" s="294"/>
      <c r="AP3473" s="294"/>
      <c r="AQ3473" s="294"/>
      <c r="AR3473" s="294"/>
      <c r="AS3473" s="294"/>
      <c r="AT3473" s="294"/>
      <c r="AU3473" s="294"/>
      <c r="AV3473" s="294"/>
      <c r="AW3473" s="294"/>
      <c r="AX3473" s="294"/>
      <c r="AY3473" s="294"/>
      <c r="AZ3473" s="294"/>
      <c r="BA3473" s="294"/>
      <c r="BB3473" s="294"/>
      <c r="BC3473" s="294"/>
      <c r="BD3473" s="294"/>
      <c r="BE3473" s="294"/>
      <c r="BF3473" s="294"/>
      <c r="BG3473" s="294"/>
      <c r="BH3473" s="294"/>
      <c r="BI3473" s="294"/>
      <c r="BJ3473" s="294"/>
      <c r="BK3473" s="294"/>
      <c r="BL3473" s="294"/>
      <c r="BM3473" s="294"/>
      <c r="BN3473" s="294"/>
      <c r="BO3473" s="294"/>
      <c r="BP3473" s="294"/>
      <c r="BQ3473" s="294"/>
    </row>
    <row r="3474">
      <c r="A3474" s="78" t="s">
        <v>8902</v>
      </c>
      <c r="B3474" s="293"/>
      <c r="C3474" s="99">
        <v>44105.0</v>
      </c>
      <c r="D3474" s="294"/>
      <c r="E3474" s="78" t="s">
        <v>41</v>
      </c>
      <c r="F3474" s="37">
        <v>1.0</v>
      </c>
      <c r="G3474" s="78" t="s">
        <v>32</v>
      </c>
      <c r="H3474" s="78">
        <v>1.0</v>
      </c>
      <c r="I3474" s="78" t="s">
        <v>33</v>
      </c>
      <c r="J3474" s="78" t="s">
        <v>115</v>
      </c>
      <c r="K3474" s="294"/>
      <c r="L3474" s="106" t="s">
        <v>8900</v>
      </c>
      <c r="M3474" s="282" t="s">
        <v>8903</v>
      </c>
      <c r="N3474" s="106"/>
      <c r="S3474" s="37"/>
      <c r="T3474" s="38"/>
      <c r="U3474" s="38"/>
      <c r="V3474" s="78" t="s">
        <v>33</v>
      </c>
      <c r="W3474" s="106"/>
      <c r="X3474" s="282"/>
      <c r="Y3474" s="295"/>
      <c r="Z3474" s="294"/>
      <c r="AA3474" s="294"/>
      <c r="AB3474" s="294"/>
      <c r="AC3474" s="294"/>
      <c r="AD3474" s="294"/>
      <c r="AE3474" s="294"/>
      <c r="AF3474" s="294"/>
      <c r="AG3474" s="294"/>
      <c r="AH3474" s="294"/>
      <c r="AI3474" s="294"/>
      <c r="AJ3474" s="294"/>
      <c r="AK3474" s="294"/>
      <c r="AL3474" s="294"/>
      <c r="AM3474" s="294"/>
      <c r="AN3474" s="294"/>
      <c r="AO3474" s="294"/>
      <c r="AP3474" s="294"/>
      <c r="AQ3474" s="294"/>
      <c r="AR3474" s="294"/>
      <c r="AS3474" s="294"/>
      <c r="AT3474" s="294"/>
      <c r="AU3474" s="294"/>
      <c r="AV3474" s="294"/>
      <c r="AW3474" s="294"/>
      <c r="AX3474" s="294"/>
      <c r="AY3474" s="294"/>
      <c r="AZ3474" s="294"/>
      <c r="BA3474" s="294"/>
      <c r="BB3474" s="294"/>
      <c r="BC3474" s="294"/>
      <c r="BD3474" s="294"/>
      <c r="BE3474" s="294"/>
      <c r="BF3474" s="294"/>
      <c r="BG3474" s="294"/>
      <c r="BH3474" s="294"/>
      <c r="BI3474" s="294"/>
      <c r="BJ3474" s="294"/>
      <c r="BK3474" s="294"/>
      <c r="BL3474" s="294"/>
      <c r="BM3474" s="294"/>
      <c r="BN3474" s="294"/>
      <c r="BO3474" s="294"/>
      <c r="BP3474" s="294"/>
      <c r="BQ3474" s="294"/>
    </row>
    <row r="3475">
      <c r="A3475" s="78" t="s">
        <v>239</v>
      </c>
      <c r="B3475" s="293"/>
      <c r="C3475" s="99">
        <v>44105.0</v>
      </c>
      <c r="D3475" s="294"/>
      <c r="E3475" s="78" t="s">
        <v>41</v>
      </c>
      <c r="F3475" s="37">
        <v>1.0</v>
      </c>
      <c r="G3475" s="78" t="s">
        <v>32</v>
      </c>
      <c r="H3475" s="78">
        <v>1.0</v>
      </c>
      <c r="I3475" s="78" t="s">
        <v>33</v>
      </c>
      <c r="J3475" s="78" t="s">
        <v>147</v>
      </c>
      <c r="K3475" s="294"/>
      <c r="L3475" s="106" t="s">
        <v>194</v>
      </c>
      <c r="M3475" s="282" t="s">
        <v>8938</v>
      </c>
      <c r="N3475" s="106"/>
      <c r="S3475" s="37"/>
      <c r="T3475" s="38"/>
      <c r="U3475" s="38"/>
      <c r="V3475" s="78" t="s">
        <v>33</v>
      </c>
      <c r="W3475" s="106"/>
      <c r="X3475" s="282"/>
      <c r="Y3475" s="295"/>
      <c r="Z3475" s="294"/>
      <c r="AA3475" s="294"/>
      <c r="AB3475" s="294"/>
      <c r="AC3475" s="294"/>
      <c r="AD3475" s="294"/>
      <c r="AE3475" s="294"/>
      <c r="AF3475" s="294"/>
      <c r="AG3475" s="294"/>
      <c r="AH3475" s="294"/>
      <c r="AI3475" s="294"/>
      <c r="AJ3475" s="294"/>
      <c r="AK3475" s="294"/>
      <c r="AL3475" s="294"/>
      <c r="AM3475" s="294"/>
      <c r="AN3475" s="294"/>
      <c r="AO3475" s="294"/>
      <c r="AP3475" s="294"/>
      <c r="AQ3475" s="294"/>
      <c r="AR3475" s="294"/>
      <c r="AS3475" s="294"/>
      <c r="AT3475" s="294"/>
      <c r="AU3475" s="294"/>
      <c r="AV3475" s="294"/>
      <c r="AW3475" s="294"/>
      <c r="AX3475" s="294"/>
      <c r="AY3475" s="294"/>
      <c r="AZ3475" s="294"/>
      <c r="BA3475" s="294"/>
      <c r="BB3475" s="294"/>
      <c r="BC3475" s="294"/>
      <c r="BD3475" s="294"/>
      <c r="BE3475" s="294"/>
      <c r="BF3475" s="294"/>
      <c r="BG3475" s="294"/>
      <c r="BH3475" s="294"/>
      <c r="BI3475" s="294"/>
      <c r="BJ3475" s="294"/>
      <c r="BK3475" s="294"/>
      <c r="BL3475" s="294"/>
      <c r="BM3475" s="294"/>
      <c r="BN3475" s="294"/>
      <c r="BO3475" s="294"/>
      <c r="BP3475" s="294"/>
      <c r="BQ3475" s="294"/>
    </row>
    <row r="3476">
      <c r="A3476" s="78" t="s">
        <v>8592</v>
      </c>
      <c r="B3476" s="293"/>
      <c r="C3476" s="99">
        <v>44105.0</v>
      </c>
      <c r="D3476" s="294"/>
      <c r="E3476" s="78" t="s">
        <v>41</v>
      </c>
      <c r="F3476" s="37">
        <v>1.0</v>
      </c>
      <c r="G3476" s="78" t="s">
        <v>32</v>
      </c>
      <c r="H3476" s="78">
        <v>1.0</v>
      </c>
      <c r="I3476" s="78" t="s">
        <v>33</v>
      </c>
      <c r="J3476" s="78" t="s">
        <v>909</v>
      </c>
      <c r="K3476" s="294"/>
      <c r="L3476" s="106" t="s">
        <v>119</v>
      </c>
      <c r="M3476" s="282" t="s">
        <v>8939</v>
      </c>
      <c r="N3476" s="106"/>
      <c r="S3476" s="37"/>
      <c r="T3476" s="38"/>
      <c r="U3476" s="38"/>
      <c r="V3476" s="78" t="s">
        <v>33</v>
      </c>
      <c r="W3476" s="106"/>
      <c r="X3476" s="282"/>
      <c r="Y3476" s="295"/>
      <c r="Z3476" s="294"/>
      <c r="AA3476" s="294"/>
      <c r="AB3476" s="294"/>
      <c r="AC3476" s="294"/>
      <c r="AD3476" s="294"/>
      <c r="AE3476" s="294"/>
      <c r="AF3476" s="294"/>
      <c r="AG3476" s="294"/>
      <c r="AH3476" s="294"/>
      <c r="AI3476" s="294"/>
      <c r="AJ3476" s="294"/>
      <c r="AK3476" s="294"/>
      <c r="AL3476" s="294"/>
      <c r="AM3476" s="294"/>
      <c r="AN3476" s="294"/>
      <c r="AO3476" s="294"/>
      <c r="AP3476" s="294"/>
      <c r="AQ3476" s="294"/>
      <c r="AR3476" s="294"/>
      <c r="AS3476" s="294"/>
      <c r="AT3476" s="294"/>
      <c r="AU3476" s="294"/>
      <c r="AV3476" s="294"/>
      <c r="AW3476" s="294"/>
      <c r="AX3476" s="294"/>
      <c r="AY3476" s="294"/>
      <c r="AZ3476" s="294"/>
      <c r="BA3476" s="294"/>
      <c r="BB3476" s="294"/>
      <c r="BC3476" s="294"/>
      <c r="BD3476" s="294"/>
      <c r="BE3476" s="294"/>
      <c r="BF3476" s="294"/>
      <c r="BG3476" s="294"/>
      <c r="BH3476" s="294"/>
      <c r="BI3476" s="294"/>
      <c r="BJ3476" s="294"/>
      <c r="BK3476" s="294"/>
      <c r="BL3476" s="294"/>
      <c r="BM3476" s="294"/>
      <c r="BN3476" s="294"/>
      <c r="BO3476" s="294"/>
      <c r="BP3476" s="294"/>
      <c r="BQ3476" s="294"/>
    </row>
    <row r="3477">
      <c r="A3477" s="78" t="s">
        <v>239</v>
      </c>
      <c r="B3477" s="293"/>
      <c r="C3477" s="99">
        <v>44106.0</v>
      </c>
      <c r="D3477" s="294"/>
      <c r="E3477" s="78" t="s">
        <v>41</v>
      </c>
      <c r="F3477" s="37">
        <v>2.0</v>
      </c>
      <c r="G3477" s="78" t="s">
        <v>32</v>
      </c>
      <c r="H3477" s="78">
        <v>1.0</v>
      </c>
      <c r="I3477" s="78" t="s">
        <v>33</v>
      </c>
      <c r="J3477" s="78" t="s">
        <v>147</v>
      </c>
      <c r="K3477" s="294"/>
      <c r="L3477" s="106" t="s">
        <v>194</v>
      </c>
      <c r="M3477" s="282" t="s">
        <v>8940</v>
      </c>
      <c r="N3477" s="106"/>
      <c r="S3477" s="37"/>
      <c r="T3477" s="38"/>
      <c r="U3477" s="38"/>
      <c r="V3477" s="78" t="s">
        <v>33</v>
      </c>
      <c r="W3477" s="106"/>
      <c r="X3477" s="282"/>
      <c r="Y3477" s="295"/>
      <c r="Z3477" s="294"/>
      <c r="AA3477" s="294"/>
      <c r="AB3477" s="294"/>
      <c r="AC3477" s="294"/>
      <c r="AD3477" s="294"/>
      <c r="AE3477" s="294"/>
      <c r="AF3477" s="294"/>
      <c r="AG3477" s="294"/>
      <c r="AH3477" s="294"/>
      <c r="AI3477" s="294"/>
      <c r="AJ3477" s="294"/>
      <c r="AK3477" s="294"/>
      <c r="AL3477" s="294"/>
      <c r="AM3477" s="294"/>
      <c r="AN3477" s="294"/>
      <c r="AO3477" s="294"/>
      <c r="AP3477" s="294"/>
      <c r="AQ3477" s="294"/>
      <c r="AR3477" s="294"/>
      <c r="AS3477" s="294"/>
      <c r="AT3477" s="294"/>
      <c r="AU3477" s="294"/>
      <c r="AV3477" s="294"/>
      <c r="AW3477" s="294"/>
      <c r="AX3477" s="294"/>
      <c r="AY3477" s="294"/>
      <c r="AZ3477" s="294"/>
      <c r="BA3477" s="294"/>
      <c r="BB3477" s="294"/>
      <c r="BC3477" s="294"/>
      <c r="BD3477" s="294"/>
      <c r="BE3477" s="294"/>
      <c r="BF3477" s="294"/>
      <c r="BG3477" s="294"/>
      <c r="BH3477" s="294"/>
      <c r="BI3477" s="294"/>
      <c r="BJ3477" s="294"/>
      <c r="BK3477" s="294"/>
      <c r="BL3477" s="294"/>
      <c r="BM3477" s="294"/>
      <c r="BN3477" s="294"/>
      <c r="BO3477" s="294"/>
      <c r="BP3477" s="294"/>
      <c r="BQ3477" s="294"/>
    </row>
    <row r="3478">
      <c r="A3478" s="78" t="s">
        <v>8941</v>
      </c>
      <c r="B3478" s="293"/>
      <c r="C3478" s="99">
        <v>44106.0</v>
      </c>
      <c r="D3478" s="294"/>
      <c r="E3478" s="78" t="s">
        <v>41</v>
      </c>
      <c r="F3478" s="37">
        <v>1.0</v>
      </c>
      <c r="G3478" s="78" t="s">
        <v>32</v>
      </c>
      <c r="H3478" s="78">
        <v>1.0</v>
      </c>
      <c r="I3478" s="78" t="s">
        <v>33</v>
      </c>
      <c r="J3478" s="78" t="s">
        <v>111</v>
      </c>
      <c r="K3478" s="294"/>
      <c r="L3478" s="106" t="s">
        <v>76</v>
      </c>
      <c r="M3478" s="282" t="s">
        <v>8942</v>
      </c>
      <c r="N3478" s="106"/>
      <c r="S3478" s="37"/>
      <c r="T3478" s="38"/>
      <c r="U3478" s="38"/>
      <c r="V3478" s="78" t="s">
        <v>33</v>
      </c>
      <c r="W3478" s="106"/>
      <c r="X3478" s="282"/>
      <c r="Y3478" s="295"/>
      <c r="Z3478" s="294"/>
      <c r="AA3478" s="294"/>
      <c r="AB3478" s="294"/>
      <c r="AC3478" s="294"/>
      <c r="AD3478" s="294"/>
      <c r="AE3478" s="294"/>
      <c r="AF3478" s="294"/>
      <c r="AG3478" s="294"/>
      <c r="AH3478" s="294"/>
      <c r="AI3478" s="294"/>
      <c r="AJ3478" s="294"/>
      <c r="AK3478" s="294"/>
      <c r="AL3478" s="294"/>
      <c r="AM3478" s="294"/>
      <c r="AN3478" s="294"/>
      <c r="AO3478" s="294"/>
      <c r="AP3478" s="294"/>
      <c r="AQ3478" s="294"/>
      <c r="AR3478" s="294"/>
      <c r="AS3478" s="294"/>
      <c r="AT3478" s="294"/>
      <c r="AU3478" s="294"/>
      <c r="AV3478" s="294"/>
      <c r="AW3478" s="294"/>
      <c r="AX3478" s="294"/>
      <c r="AY3478" s="294"/>
      <c r="AZ3478" s="294"/>
      <c r="BA3478" s="294"/>
      <c r="BB3478" s="294"/>
      <c r="BC3478" s="294"/>
      <c r="BD3478" s="294"/>
      <c r="BE3478" s="294"/>
      <c r="BF3478" s="294"/>
      <c r="BG3478" s="294"/>
      <c r="BH3478" s="294"/>
      <c r="BI3478" s="294"/>
      <c r="BJ3478" s="294"/>
      <c r="BK3478" s="294"/>
      <c r="BL3478" s="294"/>
      <c r="BM3478" s="294"/>
      <c r="BN3478" s="294"/>
      <c r="BO3478" s="294"/>
      <c r="BP3478" s="294"/>
      <c r="BQ3478" s="294"/>
    </row>
    <row r="3479">
      <c r="A3479" s="78" t="s">
        <v>8943</v>
      </c>
      <c r="B3479" s="293"/>
      <c r="C3479" s="99">
        <v>44106.0</v>
      </c>
      <c r="D3479" s="294"/>
      <c r="E3479" s="78" t="s">
        <v>41</v>
      </c>
      <c r="F3479" s="37">
        <v>1.0</v>
      </c>
      <c r="G3479" s="78" t="s">
        <v>32</v>
      </c>
      <c r="H3479" s="78">
        <v>1.0</v>
      </c>
      <c r="I3479" s="78" t="s">
        <v>33</v>
      </c>
      <c r="J3479" s="78" t="s">
        <v>93</v>
      </c>
      <c r="K3479" s="294"/>
      <c r="L3479" s="106" t="s">
        <v>119</v>
      </c>
      <c r="M3479" s="282" t="s">
        <v>8944</v>
      </c>
      <c r="N3479" s="106"/>
      <c r="S3479" s="37"/>
      <c r="T3479" s="38"/>
      <c r="U3479" s="38"/>
      <c r="V3479" s="78" t="s">
        <v>33</v>
      </c>
      <c r="W3479" s="106"/>
      <c r="X3479" s="282"/>
      <c r="Y3479" s="295"/>
      <c r="Z3479" s="294"/>
      <c r="AA3479" s="294"/>
      <c r="AB3479" s="294"/>
      <c r="AC3479" s="294"/>
      <c r="AD3479" s="294"/>
      <c r="AE3479" s="294"/>
      <c r="AF3479" s="294"/>
      <c r="AG3479" s="294"/>
      <c r="AH3479" s="294"/>
      <c r="AI3479" s="294"/>
      <c r="AJ3479" s="294"/>
      <c r="AK3479" s="294"/>
      <c r="AL3479" s="294"/>
      <c r="AM3479" s="294"/>
      <c r="AN3479" s="294"/>
      <c r="AO3479" s="294"/>
      <c r="AP3479" s="294"/>
      <c r="AQ3479" s="294"/>
      <c r="AR3479" s="294"/>
      <c r="AS3479" s="294"/>
      <c r="AT3479" s="294"/>
      <c r="AU3479" s="294"/>
      <c r="AV3479" s="294"/>
      <c r="AW3479" s="294"/>
      <c r="AX3479" s="294"/>
      <c r="AY3479" s="294"/>
      <c r="AZ3479" s="294"/>
      <c r="BA3479" s="294"/>
      <c r="BB3479" s="294"/>
      <c r="BC3479" s="294"/>
      <c r="BD3479" s="294"/>
      <c r="BE3479" s="294"/>
      <c r="BF3479" s="294"/>
      <c r="BG3479" s="294"/>
      <c r="BH3479" s="294"/>
      <c r="BI3479" s="294"/>
      <c r="BJ3479" s="294"/>
      <c r="BK3479" s="294"/>
      <c r="BL3479" s="294"/>
      <c r="BM3479" s="294"/>
      <c r="BN3479" s="294"/>
      <c r="BO3479" s="294"/>
      <c r="BP3479" s="294"/>
      <c r="BQ3479" s="294"/>
    </row>
    <row r="3480">
      <c r="A3480" s="78" t="s">
        <v>8945</v>
      </c>
      <c r="B3480" s="293"/>
      <c r="C3480" s="99">
        <v>44106.0</v>
      </c>
      <c r="D3480" s="294"/>
      <c r="E3480" s="78" t="s">
        <v>41</v>
      </c>
      <c r="F3480" s="37">
        <v>1.0</v>
      </c>
      <c r="G3480" s="78" t="s">
        <v>32</v>
      </c>
      <c r="H3480" s="78">
        <v>1.0</v>
      </c>
      <c r="I3480" s="78" t="s">
        <v>33</v>
      </c>
      <c r="J3480" s="78" t="s">
        <v>111</v>
      </c>
      <c r="K3480" s="294"/>
      <c r="L3480" s="106" t="s">
        <v>119</v>
      </c>
      <c r="M3480" s="282" t="s">
        <v>8946</v>
      </c>
      <c r="N3480" s="106"/>
      <c r="S3480" s="37"/>
      <c r="T3480" s="38"/>
      <c r="U3480" s="38"/>
      <c r="V3480" s="78" t="s">
        <v>33</v>
      </c>
      <c r="W3480" s="106"/>
      <c r="X3480" s="282"/>
      <c r="Y3480" s="295"/>
      <c r="Z3480" s="294"/>
      <c r="AA3480" s="294"/>
      <c r="AB3480" s="294"/>
      <c r="AC3480" s="294"/>
      <c r="AD3480" s="294"/>
      <c r="AE3480" s="294"/>
      <c r="AF3480" s="294"/>
      <c r="AG3480" s="294"/>
      <c r="AH3480" s="294"/>
      <c r="AI3480" s="294"/>
      <c r="AJ3480" s="294"/>
      <c r="AK3480" s="294"/>
      <c r="AL3480" s="294"/>
      <c r="AM3480" s="294"/>
      <c r="AN3480" s="294"/>
      <c r="AO3480" s="294"/>
      <c r="AP3480" s="294"/>
      <c r="AQ3480" s="294"/>
      <c r="AR3480" s="294"/>
      <c r="AS3480" s="294"/>
      <c r="AT3480" s="294"/>
      <c r="AU3480" s="294"/>
      <c r="AV3480" s="294"/>
      <c r="AW3480" s="294"/>
      <c r="AX3480" s="294"/>
      <c r="AY3480" s="294"/>
      <c r="AZ3480" s="294"/>
      <c r="BA3480" s="294"/>
      <c r="BB3480" s="294"/>
      <c r="BC3480" s="294"/>
      <c r="BD3480" s="294"/>
      <c r="BE3480" s="294"/>
      <c r="BF3480" s="294"/>
      <c r="BG3480" s="294"/>
      <c r="BH3480" s="294"/>
      <c r="BI3480" s="294"/>
      <c r="BJ3480" s="294"/>
      <c r="BK3480" s="294"/>
      <c r="BL3480" s="294"/>
      <c r="BM3480" s="294"/>
      <c r="BN3480" s="294"/>
      <c r="BO3480" s="294"/>
      <c r="BP3480" s="294"/>
      <c r="BQ3480" s="294"/>
    </row>
    <row r="3481">
      <c r="A3481" s="78" t="s">
        <v>239</v>
      </c>
      <c r="B3481" s="293"/>
      <c r="C3481" s="99">
        <v>44107.0</v>
      </c>
      <c r="D3481" s="294"/>
      <c r="E3481" s="78" t="s">
        <v>41</v>
      </c>
      <c r="F3481" s="37">
        <v>2.0</v>
      </c>
      <c r="G3481" s="78" t="s">
        <v>32</v>
      </c>
      <c r="H3481" s="78">
        <v>1.0</v>
      </c>
      <c r="I3481" s="78" t="s">
        <v>33</v>
      </c>
      <c r="J3481" s="78" t="s">
        <v>147</v>
      </c>
      <c r="K3481" s="294"/>
      <c r="L3481" s="106" t="s">
        <v>194</v>
      </c>
      <c r="M3481" s="282" t="s">
        <v>8947</v>
      </c>
      <c r="N3481" s="106"/>
      <c r="S3481" s="37"/>
      <c r="T3481" s="38"/>
      <c r="U3481" s="38"/>
      <c r="V3481" s="78" t="s">
        <v>33</v>
      </c>
      <c r="W3481" s="106"/>
      <c r="X3481" s="282"/>
      <c r="Y3481" s="295"/>
      <c r="Z3481" s="294"/>
      <c r="AA3481" s="294"/>
      <c r="AB3481" s="294"/>
      <c r="AC3481" s="294"/>
      <c r="AD3481" s="294"/>
      <c r="AE3481" s="294"/>
      <c r="AF3481" s="294"/>
      <c r="AG3481" s="294"/>
      <c r="AH3481" s="294"/>
      <c r="AI3481" s="294"/>
      <c r="AJ3481" s="294"/>
      <c r="AK3481" s="294"/>
      <c r="AL3481" s="294"/>
      <c r="AM3481" s="294"/>
      <c r="AN3481" s="294"/>
      <c r="AO3481" s="294"/>
      <c r="AP3481" s="294"/>
      <c r="AQ3481" s="294"/>
      <c r="AR3481" s="294"/>
      <c r="AS3481" s="294"/>
      <c r="AT3481" s="294"/>
      <c r="AU3481" s="294"/>
      <c r="AV3481" s="294"/>
      <c r="AW3481" s="294"/>
      <c r="AX3481" s="294"/>
      <c r="AY3481" s="294"/>
      <c r="AZ3481" s="294"/>
      <c r="BA3481" s="294"/>
      <c r="BB3481" s="294"/>
      <c r="BC3481" s="294"/>
      <c r="BD3481" s="294"/>
      <c r="BE3481" s="294"/>
      <c r="BF3481" s="294"/>
      <c r="BG3481" s="294"/>
      <c r="BH3481" s="294"/>
      <c r="BI3481" s="294"/>
      <c r="BJ3481" s="294"/>
      <c r="BK3481" s="294"/>
      <c r="BL3481" s="294"/>
      <c r="BM3481" s="294"/>
      <c r="BN3481" s="294"/>
      <c r="BO3481" s="294"/>
      <c r="BP3481" s="294"/>
      <c r="BQ3481" s="294"/>
    </row>
    <row r="3482">
      <c r="A3482" s="78" t="s">
        <v>239</v>
      </c>
      <c r="B3482" s="293"/>
      <c r="C3482" s="99">
        <v>44107.0</v>
      </c>
      <c r="D3482" s="294"/>
      <c r="E3482" s="78" t="s">
        <v>41</v>
      </c>
      <c r="F3482" s="37">
        <v>2.0</v>
      </c>
      <c r="G3482" s="78" t="s">
        <v>32</v>
      </c>
      <c r="H3482" s="78">
        <v>1.0</v>
      </c>
      <c r="I3482" s="78" t="s">
        <v>33</v>
      </c>
      <c r="J3482" s="78" t="s">
        <v>147</v>
      </c>
      <c r="K3482" s="294"/>
      <c r="L3482" s="106" t="s">
        <v>194</v>
      </c>
      <c r="M3482" s="282" t="s">
        <v>8948</v>
      </c>
      <c r="N3482" s="106"/>
      <c r="S3482" s="37"/>
      <c r="T3482" s="38"/>
      <c r="U3482" s="38"/>
      <c r="V3482" s="78" t="s">
        <v>33</v>
      </c>
      <c r="W3482" s="106"/>
      <c r="X3482" s="282"/>
      <c r="Y3482" s="295"/>
      <c r="Z3482" s="294"/>
      <c r="AA3482" s="294"/>
      <c r="AB3482" s="294"/>
      <c r="AC3482" s="294"/>
      <c r="AD3482" s="294"/>
      <c r="AE3482" s="294"/>
      <c r="AF3482" s="294"/>
      <c r="AG3482" s="294"/>
      <c r="AH3482" s="294"/>
      <c r="AI3482" s="294"/>
      <c r="AJ3482" s="294"/>
      <c r="AK3482" s="294"/>
      <c r="AL3482" s="294"/>
      <c r="AM3482" s="294"/>
      <c r="AN3482" s="294"/>
      <c r="AO3482" s="294"/>
      <c r="AP3482" s="294"/>
      <c r="AQ3482" s="294"/>
      <c r="AR3482" s="294"/>
      <c r="AS3482" s="294"/>
      <c r="AT3482" s="294"/>
      <c r="AU3482" s="294"/>
      <c r="AV3482" s="294"/>
      <c r="AW3482" s="294"/>
      <c r="AX3482" s="294"/>
      <c r="AY3482" s="294"/>
      <c r="AZ3482" s="294"/>
      <c r="BA3482" s="294"/>
      <c r="BB3482" s="294"/>
      <c r="BC3482" s="294"/>
      <c r="BD3482" s="294"/>
      <c r="BE3482" s="294"/>
      <c r="BF3482" s="294"/>
      <c r="BG3482" s="294"/>
      <c r="BH3482" s="294"/>
      <c r="BI3482" s="294"/>
      <c r="BJ3482" s="294"/>
      <c r="BK3482" s="294"/>
      <c r="BL3482" s="294"/>
      <c r="BM3482" s="294"/>
      <c r="BN3482" s="294"/>
      <c r="BO3482" s="294"/>
      <c r="BP3482" s="294"/>
      <c r="BQ3482" s="294"/>
    </row>
    <row r="3483">
      <c r="A3483" s="78" t="s">
        <v>239</v>
      </c>
      <c r="B3483" s="293"/>
      <c r="C3483" s="99">
        <v>44109.0</v>
      </c>
      <c r="D3483" s="294"/>
      <c r="E3483" s="78" t="s">
        <v>41</v>
      </c>
      <c r="F3483" s="37">
        <v>1.0</v>
      </c>
      <c r="G3483" s="78" t="s">
        <v>32</v>
      </c>
      <c r="H3483" s="78">
        <v>1.0</v>
      </c>
      <c r="I3483" s="78" t="s">
        <v>33</v>
      </c>
      <c r="J3483" s="78" t="s">
        <v>241</v>
      </c>
      <c r="K3483" s="294"/>
      <c r="L3483" s="106" t="s">
        <v>194</v>
      </c>
      <c r="M3483" s="282" t="s">
        <v>8949</v>
      </c>
      <c r="N3483" s="106"/>
      <c r="S3483" s="37"/>
      <c r="T3483" s="38"/>
      <c r="U3483" s="38"/>
      <c r="V3483" s="78" t="s">
        <v>33</v>
      </c>
      <c r="W3483" s="106"/>
      <c r="X3483" s="282"/>
      <c r="Y3483" s="295"/>
      <c r="Z3483" s="294"/>
      <c r="AA3483" s="294"/>
      <c r="AB3483" s="294"/>
      <c r="AC3483" s="294"/>
      <c r="AD3483" s="294"/>
      <c r="AE3483" s="294"/>
      <c r="AF3483" s="294"/>
      <c r="AG3483" s="294"/>
      <c r="AH3483" s="294"/>
      <c r="AI3483" s="294"/>
      <c r="AJ3483" s="294"/>
      <c r="AK3483" s="294"/>
      <c r="AL3483" s="294"/>
      <c r="AM3483" s="294"/>
      <c r="AN3483" s="294"/>
      <c r="AO3483" s="294"/>
      <c r="AP3483" s="294"/>
      <c r="AQ3483" s="294"/>
      <c r="AR3483" s="294"/>
      <c r="AS3483" s="294"/>
      <c r="AT3483" s="294"/>
      <c r="AU3483" s="294"/>
      <c r="AV3483" s="294"/>
      <c r="AW3483" s="294"/>
      <c r="AX3483" s="294"/>
      <c r="AY3483" s="294"/>
      <c r="AZ3483" s="294"/>
      <c r="BA3483" s="294"/>
      <c r="BB3483" s="294"/>
      <c r="BC3483" s="294"/>
      <c r="BD3483" s="294"/>
      <c r="BE3483" s="294"/>
      <c r="BF3483" s="294"/>
      <c r="BG3483" s="294"/>
      <c r="BH3483" s="294"/>
      <c r="BI3483" s="294"/>
      <c r="BJ3483" s="294"/>
      <c r="BK3483" s="294"/>
      <c r="BL3483" s="294"/>
      <c r="BM3483" s="294"/>
      <c r="BN3483" s="294"/>
      <c r="BO3483" s="294"/>
      <c r="BP3483" s="294"/>
      <c r="BQ3483" s="294"/>
    </row>
    <row r="3484">
      <c r="A3484" s="78" t="s">
        <v>239</v>
      </c>
      <c r="B3484" s="293"/>
      <c r="C3484" s="99">
        <v>44109.0</v>
      </c>
      <c r="D3484" s="294"/>
      <c r="E3484" s="78" t="s">
        <v>41</v>
      </c>
      <c r="F3484" s="37">
        <v>1.0</v>
      </c>
      <c r="G3484" s="78" t="s">
        <v>32</v>
      </c>
      <c r="H3484" s="78">
        <v>1.0</v>
      </c>
      <c r="I3484" s="78" t="s">
        <v>33</v>
      </c>
      <c r="J3484" s="78" t="s">
        <v>147</v>
      </c>
      <c r="K3484" s="294"/>
      <c r="L3484" s="106" t="s">
        <v>194</v>
      </c>
      <c r="M3484" s="282" t="s">
        <v>8950</v>
      </c>
      <c r="N3484" s="106"/>
      <c r="S3484" s="37"/>
      <c r="T3484" s="38"/>
      <c r="U3484" s="38"/>
      <c r="V3484" s="78" t="s">
        <v>33</v>
      </c>
      <c r="W3484" s="106"/>
      <c r="X3484" s="282"/>
      <c r="Y3484" s="295"/>
    </row>
    <row r="3485">
      <c r="A3485" s="78" t="s">
        <v>8951</v>
      </c>
      <c r="B3485" s="293"/>
      <c r="C3485" s="99">
        <v>44109.0</v>
      </c>
      <c r="D3485" s="294"/>
      <c r="E3485" s="78" t="s">
        <v>41</v>
      </c>
      <c r="F3485" s="37">
        <v>1.0</v>
      </c>
      <c r="G3485" s="78" t="s">
        <v>32</v>
      </c>
      <c r="H3485" s="78">
        <v>1.0</v>
      </c>
      <c r="I3485" s="78" t="s">
        <v>33</v>
      </c>
      <c r="J3485" s="78" t="s">
        <v>203</v>
      </c>
      <c r="K3485" s="294"/>
      <c r="L3485" s="106" t="s">
        <v>76</v>
      </c>
      <c r="M3485" s="282" t="s">
        <v>8952</v>
      </c>
      <c r="N3485" s="106"/>
      <c r="S3485" s="37"/>
      <c r="T3485" s="38"/>
      <c r="U3485" s="38"/>
      <c r="V3485" s="78" t="s">
        <v>33</v>
      </c>
      <c r="W3485" s="106"/>
      <c r="X3485" s="282"/>
      <c r="Y3485" s="295"/>
    </row>
    <row r="3486">
      <c r="A3486" s="78" t="s">
        <v>8953</v>
      </c>
      <c r="B3486" s="293"/>
      <c r="C3486" s="99">
        <v>44109.0</v>
      </c>
      <c r="D3486" s="294"/>
      <c r="E3486" s="78" t="s">
        <v>41</v>
      </c>
      <c r="F3486" s="37">
        <v>1.0</v>
      </c>
      <c r="G3486" s="78" t="s">
        <v>32</v>
      </c>
      <c r="H3486" s="78">
        <v>1.0</v>
      </c>
      <c r="I3486" s="78" t="s">
        <v>33</v>
      </c>
      <c r="J3486" s="78" t="s">
        <v>115</v>
      </c>
      <c r="K3486" s="294"/>
      <c r="L3486" s="106" t="s">
        <v>76</v>
      </c>
      <c r="M3486" s="282" t="s">
        <v>8954</v>
      </c>
      <c r="N3486" s="106"/>
      <c r="S3486" s="37"/>
      <c r="T3486" s="38"/>
      <c r="U3486" s="38"/>
      <c r="V3486" s="78" t="s">
        <v>33</v>
      </c>
      <c r="W3486" s="106"/>
      <c r="X3486" s="282"/>
      <c r="Y3486" s="295"/>
      <c r="Z3486" s="294"/>
      <c r="AA3486" s="294"/>
      <c r="AB3486" s="294"/>
      <c r="AC3486" s="294"/>
      <c r="AD3486" s="294"/>
      <c r="AE3486" s="294"/>
      <c r="AF3486" s="294"/>
      <c r="AG3486" s="294"/>
      <c r="AH3486" s="294"/>
      <c r="AI3486" s="294"/>
      <c r="AJ3486" s="294"/>
      <c r="AK3486" s="294"/>
      <c r="AL3486" s="294"/>
      <c r="AM3486" s="294"/>
      <c r="AN3486" s="294"/>
      <c r="AO3486" s="294"/>
      <c r="AP3486" s="294"/>
      <c r="AQ3486" s="294"/>
      <c r="AR3486" s="294"/>
      <c r="AS3486" s="294"/>
      <c r="AT3486" s="294"/>
      <c r="AU3486" s="294"/>
      <c r="AV3486" s="294"/>
      <c r="AW3486" s="294"/>
      <c r="AX3486" s="294"/>
      <c r="AY3486" s="294"/>
      <c r="AZ3486" s="294"/>
      <c r="BA3486" s="294"/>
      <c r="BB3486" s="294"/>
      <c r="BC3486" s="294"/>
      <c r="BD3486" s="294"/>
      <c r="BE3486" s="294"/>
      <c r="BF3486" s="294"/>
      <c r="BG3486" s="294"/>
      <c r="BH3486" s="294"/>
      <c r="BI3486" s="294"/>
      <c r="BJ3486" s="294"/>
      <c r="BK3486" s="294"/>
      <c r="BL3486" s="294"/>
      <c r="BM3486" s="294"/>
      <c r="BN3486" s="294"/>
      <c r="BO3486" s="294"/>
      <c r="BP3486" s="294"/>
      <c r="BQ3486" s="294"/>
    </row>
    <row r="3487">
      <c r="A3487" s="78" t="s">
        <v>239</v>
      </c>
      <c r="B3487" s="293"/>
      <c r="C3487" s="99">
        <v>44110.0</v>
      </c>
      <c r="D3487" s="294"/>
      <c r="E3487" s="78" t="s">
        <v>41</v>
      </c>
      <c r="F3487" s="37">
        <v>1.0</v>
      </c>
      <c r="G3487" s="78" t="s">
        <v>32</v>
      </c>
      <c r="H3487" s="78">
        <v>1.0</v>
      </c>
      <c r="I3487" s="78" t="s">
        <v>33</v>
      </c>
      <c r="J3487" s="78" t="s">
        <v>147</v>
      </c>
      <c r="K3487" s="294"/>
      <c r="L3487" s="106" t="s">
        <v>194</v>
      </c>
      <c r="M3487" s="282" t="s">
        <v>8955</v>
      </c>
      <c r="N3487" s="106"/>
      <c r="S3487" s="37"/>
      <c r="T3487" s="38"/>
      <c r="U3487" s="38"/>
      <c r="V3487" s="78" t="s">
        <v>33</v>
      </c>
      <c r="W3487" s="106"/>
      <c r="X3487" s="282"/>
      <c r="Y3487" s="295"/>
      <c r="Z3487" s="294"/>
      <c r="AA3487" s="294"/>
      <c r="AB3487" s="294"/>
      <c r="AC3487" s="294"/>
      <c r="AD3487" s="294"/>
      <c r="AE3487" s="294"/>
      <c r="AF3487" s="294"/>
      <c r="AG3487" s="294"/>
      <c r="AH3487" s="294"/>
      <c r="AI3487" s="294"/>
      <c r="AJ3487" s="294"/>
      <c r="AK3487" s="294"/>
      <c r="AL3487" s="294"/>
      <c r="AM3487" s="294"/>
      <c r="AN3487" s="294"/>
      <c r="AO3487" s="294"/>
      <c r="AP3487" s="294"/>
      <c r="AQ3487" s="294"/>
      <c r="AR3487" s="294"/>
      <c r="AS3487" s="294"/>
      <c r="AT3487" s="294"/>
      <c r="AU3487" s="294"/>
      <c r="AV3487" s="294"/>
      <c r="AW3487" s="294"/>
      <c r="AX3487" s="294"/>
      <c r="AY3487" s="294"/>
      <c r="AZ3487" s="294"/>
      <c r="BA3487" s="294"/>
      <c r="BB3487" s="294"/>
      <c r="BC3487" s="294"/>
      <c r="BD3487" s="294"/>
      <c r="BE3487" s="294"/>
      <c r="BF3487" s="294"/>
      <c r="BG3487" s="294"/>
      <c r="BH3487" s="294"/>
      <c r="BI3487" s="294"/>
      <c r="BJ3487" s="294"/>
      <c r="BK3487" s="294"/>
      <c r="BL3487" s="294"/>
      <c r="BM3487" s="294"/>
      <c r="BN3487" s="294"/>
      <c r="BO3487" s="294"/>
      <c r="BP3487" s="294"/>
      <c r="BQ3487" s="294"/>
    </row>
    <row r="3488">
      <c r="A3488" s="78" t="s">
        <v>8956</v>
      </c>
      <c r="B3488" s="293"/>
      <c r="C3488" s="99">
        <v>44110.0</v>
      </c>
      <c r="D3488" s="294"/>
      <c r="E3488" s="78" t="s">
        <v>41</v>
      </c>
      <c r="F3488" s="37">
        <v>1.0</v>
      </c>
      <c r="G3488" s="78" t="s">
        <v>32</v>
      </c>
      <c r="H3488" s="78">
        <v>1.0</v>
      </c>
      <c r="I3488" s="78" t="s">
        <v>33</v>
      </c>
      <c r="J3488" s="78" t="s">
        <v>410</v>
      </c>
      <c r="K3488" s="294"/>
      <c r="L3488" s="106" t="s">
        <v>8584</v>
      </c>
      <c r="M3488" s="282" t="s">
        <v>8957</v>
      </c>
      <c r="N3488" s="106"/>
      <c r="S3488" s="37"/>
      <c r="T3488" s="38"/>
      <c r="U3488" s="38"/>
      <c r="V3488" s="78" t="s">
        <v>33</v>
      </c>
      <c r="W3488" s="106"/>
      <c r="X3488" s="282"/>
      <c r="Y3488" s="295"/>
      <c r="Z3488" s="294"/>
      <c r="AA3488" s="294"/>
      <c r="AB3488" s="294"/>
      <c r="AC3488" s="294"/>
      <c r="AD3488" s="294"/>
      <c r="AE3488" s="294"/>
      <c r="AF3488" s="294"/>
      <c r="AG3488" s="294"/>
      <c r="AH3488" s="294"/>
      <c r="AI3488" s="294"/>
      <c r="AJ3488" s="294"/>
      <c r="AK3488" s="294"/>
      <c r="AL3488" s="294"/>
      <c r="AM3488" s="294"/>
      <c r="AN3488" s="294"/>
      <c r="AO3488" s="294"/>
      <c r="AP3488" s="294"/>
      <c r="AQ3488" s="294"/>
      <c r="AR3488" s="294"/>
      <c r="AS3488" s="294"/>
      <c r="AT3488" s="294"/>
      <c r="AU3488" s="294"/>
      <c r="AV3488" s="294"/>
      <c r="AW3488" s="294"/>
      <c r="AX3488" s="294"/>
      <c r="AY3488" s="294"/>
      <c r="AZ3488" s="294"/>
      <c r="BA3488" s="294"/>
      <c r="BB3488" s="294"/>
      <c r="BC3488" s="294"/>
      <c r="BD3488" s="294"/>
      <c r="BE3488" s="294"/>
      <c r="BF3488" s="294"/>
      <c r="BG3488" s="294"/>
      <c r="BH3488" s="294"/>
      <c r="BI3488" s="294"/>
      <c r="BJ3488" s="294"/>
      <c r="BK3488" s="294"/>
      <c r="BL3488" s="294"/>
      <c r="BM3488" s="294"/>
      <c r="BN3488" s="294"/>
      <c r="BO3488" s="294"/>
      <c r="BP3488" s="294"/>
      <c r="BQ3488" s="294"/>
    </row>
    <row r="3489">
      <c r="A3489" s="78" t="s">
        <v>8958</v>
      </c>
      <c r="B3489" s="293"/>
      <c r="C3489" s="99">
        <v>44110.0</v>
      </c>
      <c r="D3489" s="294"/>
      <c r="E3489" s="78" t="s">
        <v>41</v>
      </c>
      <c r="F3489" s="37">
        <v>1.0</v>
      </c>
      <c r="G3489" s="78">
        <v>1.0</v>
      </c>
      <c r="H3489" s="78">
        <v>1.0</v>
      </c>
      <c r="I3489" s="78" t="s">
        <v>33</v>
      </c>
      <c r="J3489" s="78" t="s">
        <v>111</v>
      </c>
      <c r="K3489" s="294"/>
      <c r="L3489" s="106" t="s">
        <v>1203</v>
      </c>
      <c r="M3489" s="282" t="s">
        <v>8959</v>
      </c>
      <c r="N3489" s="106"/>
      <c r="S3489" s="37"/>
      <c r="T3489" s="38"/>
      <c r="U3489" s="38"/>
      <c r="V3489" s="78" t="s">
        <v>33</v>
      </c>
      <c r="W3489" s="106"/>
      <c r="X3489" s="282"/>
      <c r="Y3489" s="295"/>
      <c r="Z3489" s="294"/>
      <c r="AA3489" s="294"/>
      <c r="AB3489" s="294"/>
      <c r="AC3489" s="294"/>
      <c r="AD3489" s="294"/>
      <c r="AE3489" s="294"/>
      <c r="AF3489" s="294"/>
      <c r="AG3489" s="294"/>
      <c r="AH3489" s="294"/>
      <c r="AI3489" s="294"/>
      <c r="AJ3489" s="294"/>
      <c r="AK3489" s="294"/>
      <c r="AL3489" s="294"/>
      <c r="AM3489" s="294"/>
      <c r="AN3489" s="294"/>
      <c r="AO3489" s="294"/>
      <c r="AP3489" s="294"/>
      <c r="AQ3489" s="294"/>
      <c r="AR3489" s="294"/>
      <c r="AS3489" s="294"/>
      <c r="AT3489" s="294"/>
      <c r="AU3489" s="294"/>
      <c r="AV3489" s="294"/>
      <c r="AW3489" s="294"/>
      <c r="AX3489" s="294"/>
      <c r="AY3489" s="294"/>
      <c r="AZ3489" s="294"/>
      <c r="BA3489" s="294"/>
      <c r="BB3489" s="294"/>
      <c r="BC3489" s="294"/>
      <c r="BD3489" s="294"/>
      <c r="BE3489" s="294"/>
      <c r="BF3489" s="294"/>
      <c r="BG3489" s="294"/>
      <c r="BH3489" s="294"/>
      <c r="BI3489" s="294"/>
      <c r="BJ3489" s="294"/>
      <c r="BK3489" s="294"/>
      <c r="BL3489" s="294"/>
      <c r="BM3489" s="294"/>
      <c r="BN3489" s="294"/>
      <c r="BO3489" s="294"/>
      <c r="BP3489" s="294"/>
      <c r="BQ3489" s="294"/>
    </row>
    <row r="3490">
      <c r="A3490" s="78" t="s">
        <v>8960</v>
      </c>
      <c r="B3490" s="293"/>
      <c r="C3490" s="99">
        <v>44111.0</v>
      </c>
      <c r="D3490" s="294"/>
      <c r="E3490" s="78" t="s">
        <v>31</v>
      </c>
      <c r="F3490" s="37">
        <v>1.0</v>
      </c>
      <c r="G3490" s="78" t="s">
        <v>32</v>
      </c>
      <c r="H3490" s="78">
        <v>1.0</v>
      </c>
      <c r="I3490" s="78" t="s">
        <v>33</v>
      </c>
      <c r="J3490" s="78" t="s">
        <v>283</v>
      </c>
      <c r="K3490" s="294"/>
      <c r="L3490" s="106" t="s">
        <v>1203</v>
      </c>
      <c r="M3490" s="282" t="s">
        <v>8961</v>
      </c>
      <c r="N3490" s="46" t="s">
        <v>8962</v>
      </c>
      <c r="S3490" s="37"/>
      <c r="T3490" s="38"/>
      <c r="U3490" s="38"/>
      <c r="V3490" s="78" t="s">
        <v>33</v>
      </c>
      <c r="W3490" s="46" t="s">
        <v>8963</v>
      </c>
      <c r="X3490" s="282" t="s">
        <v>8964</v>
      </c>
      <c r="Y3490" s="295"/>
      <c r="Z3490" s="294"/>
      <c r="AA3490" s="294"/>
      <c r="AB3490" s="294"/>
      <c r="AC3490" s="294"/>
      <c r="AD3490" s="294"/>
      <c r="AE3490" s="294"/>
      <c r="AF3490" s="294"/>
      <c r="AG3490" s="294"/>
      <c r="AH3490" s="294"/>
      <c r="AI3490" s="294"/>
      <c r="AJ3490" s="294"/>
      <c r="AK3490" s="294"/>
      <c r="AL3490" s="294"/>
      <c r="AM3490" s="294"/>
      <c r="AN3490" s="294"/>
      <c r="AO3490" s="294"/>
      <c r="AP3490" s="294"/>
      <c r="AQ3490" s="294"/>
      <c r="AR3490" s="294"/>
      <c r="AS3490" s="294"/>
      <c r="AT3490" s="294"/>
      <c r="AU3490" s="294"/>
      <c r="AV3490" s="294"/>
      <c r="AW3490" s="294"/>
      <c r="AX3490" s="294"/>
      <c r="AY3490" s="294"/>
      <c r="AZ3490" s="294"/>
      <c r="BA3490" s="294"/>
      <c r="BB3490" s="294"/>
      <c r="BC3490" s="294"/>
      <c r="BD3490" s="294"/>
      <c r="BE3490" s="294"/>
      <c r="BF3490" s="294"/>
      <c r="BG3490" s="294"/>
      <c r="BH3490" s="294"/>
      <c r="BI3490" s="294"/>
      <c r="BJ3490" s="294"/>
      <c r="BK3490" s="294"/>
      <c r="BL3490" s="294"/>
      <c r="BM3490" s="294"/>
      <c r="BN3490" s="294"/>
      <c r="BO3490" s="294"/>
      <c r="BP3490" s="294"/>
      <c r="BQ3490" s="294"/>
    </row>
    <row r="3491">
      <c r="A3491" s="78" t="s">
        <v>239</v>
      </c>
      <c r="B3491" s="293"/>
      <c r="C3491" s="99">
        <v>44111.0</v>
      </c>
      <c r="D3491" s="294"/>
      <c r="E3491" s="78" t="s">
        <v>41</v>
      </c>
      <c r="F3491" s="37">
        <v>1.0</v>
      </c>
      <c r="G3491" s="78" t="s">
        <v>32</v>
      </c>
      <c r="H3491" s="78">
        <v>1.0</v>
      </c>
      <c r="I3491" s="78" t="s">
        <v>33</v>
      </c>
      <c r="J3491" s="78" t="s">
        <v>147</v>
      </c>
      <c r="K3491" s="294"/>
      <c r="L3491" s="106" t="s">
        <v>194</v>
      </c>
      <c r="M3491" s="282" t="s">
        <v>8965</v>
      </c>
      <c r="N3491" s="106"/>
      <c r="S3491" s="37"/>
      <c r="T3491" s="38"/>
      <c r="U3491" s="38"/>
      <c r="V3491" s="78" t="s">
        <v>33</v>
      </c>
      <c r="W3491" s="106"/>
      <c r="X3491" s="282"/>
      <c r="Y3491" s="295"/>
      <c r="Z3491" s="294"/>
      <c r="AA3491" s="294"/>
      <c r="AB3491" s="294"/>
      <c r="AC3491" s="294"/>
      <c r="AD3491" s="294"/>
      <c r="AE3491" s="294"/>
      <c r="AF3491" s="294"/>
      <c r="AG3491" s="294"/>
      <c r="AH3491" s="294"/>
      <c r="AI3491" s="294"/>
      <c r="AJ3491" s="294"/>
      <c r="AK3491" s="294"/>
      <c r="AL3491" s="294"/>
      <c r="AM3491" s="294"/>
      <c r="AN3491" s="294"/>
      <c r="AO3491" s="294"/>
      <c r="AP3491" s="294"/>
      <c r="AQ3491" s="294"/>
      <c r="AR3491" s="294"/>
      <c r="AS3491" s="294"/>
      <c r="AT3491" s="294"/>
      <c r="AU3491" s="294"/>
      <c r="AV3491" s="294"/>
      <c r="AW3491" s="294"/>
      <c r="AX3491" s="294"/>
      <c r="AY3491" s="294"/>
      <c r="AZ3491" s="294"/>
      <c r="BA3491" s="294"/>
      <c r="BB3491" s="294"/>
      <c r="BC3491" s="294"/>
      <c r="BD3491" s="294"/>
      <c r="BE3491" s="294"/>
      <c r="BF3491" s="294"/>
      <c r="BG3491" s="294"/>
      <c r="BH3491" s="294"/>
      <c r="BI3491" s="294"/>
      <c r="BJ3491" s="294"/>
      <c r="BK3491" s="294"/>
      <c r="BL3491" s="294"/>
      <c r="BM3491" s="294"/>
      <c r="BN3491" s="294"/>
      <c r="BO3491" s="294"/>
      <c r="BP3491" s="294"/>
      <c r="BQ3491" s="294"/>
    </row>
    <row r="3492">
      <c r="A3492" s="78" t="s">
        <v>239</v>
      </c>
      <c r="B3492" s="293"/>
      <c r="C3492" s="99">
        <v>44111.0</v>
      </c>
      <c r="D3492" s="294"/>
      <c r="E3492" s="78" t="s">
        <v>41</v>
      </c>
      <c r="F3492" s="37">
        <v>4.0</v>
      </c>
      <c r="G3492" s="78" t="s">
        <v>32</v>
      </c>
      <c r="H3492" s="78">
        <v>1.0</v>
      </c>
      <c r="I3492" s="78" t="s">
        <v>33</v>
      </c>
      <c r="J3492" s="78" t="s">
        <v>241</v>
      </c>
      <c r="K3492" s="294"/>
      <c r="L3492" s="106" t="s">
        <v>194</v>
      </c>
      <c r="M3492" s="282" t="s">
        <v>8966</v>
      </c>
      <c r="N3492" s="106"/>
      <c r="S3492" s="37"/>
      <c r="T3492" s="38"/>
      <c r="U3492" s="38"/>
      <c r="V3492" s="78" t="s">
        <v>33</v>
      </c>
      <c r="W3492" s="106"/>
      <c r="X3492" s="282"/>
      <c r="Y3492" s="295"/>
      <c r="Z3492" s="294"/>
      <c r="AA3492" s="294"/>
      <c r="AB3492" s="294"/>
      <c r="AC3492" s="294"/>
      <c r="AD3492" s="294"/>
      <c r="AE3492" s="294"/>
      <c r="AF3492" s="294"/>
      <c r="AG3492" s="294"/>
      <c r="AH3492" s="294"/>
      <c r="AI3492" s="294"/>
      <c r="AJ3492" s="294"/>
      <c r="AK3492" s="294"/>
      <c r="AL3492" s="294"/>
      <c r="AM3492" s="294"/>
      <c r="AN3492" s="294"/>
      <c r="AO3492" s="294"/>
      <c r="AP3492" s="294"/>
      <c r="AQ3492" s="294"/>
      <c r="AR3492" s="294"/>
      <c r="AS3492" s="294"/>
      <c r="AT3492" s="294"/>
      <c r="AU3492" s="294"/>
      <c r="AV3492" s="294"/>
      <c r="AW3492" s="294"/>
      <c r="AX3492" s="294"/>
      <c r="AY3492" s="294"/>
      <c r="AZ3492" s="294"/>
      <c r="BA3492" s="294"/>
      <c r="BB3492" s="294"/>
      <c r="BC3492" s="294"/>
      <c r="BD3492" s="294"/>
      <c r="BE3492" s="294"/>
      <c r="BF3492" s="294"/>
      <c r="BG3492" s="294"/>
      <c r="BH3492" s="294"/>
      <c r="BI3492" s="294"/>
      <c r="BJ3492" s="294"/>
      <c r="BK3492" s="294"/>
      <c r="BL3492" s="294"/>
      <c r="BM3492" s="294"/>
      <c r="BN3492" s="294"/>
      <c r="BO3492" s="294"/>
      <c r="BP3492" s="294"/>
      <c r="BQ3492" s="294"/>
    </row>
    <row r="3493">
      <c r="A3493" s="78" t="s">
        <v>8967</v>
      </c>
      <c r="B3493" s="293"/>
      <c r="C3493" s="99">
        <v>44112.0</v>
      </c>
      <c r="D3493" s="294"/>
      <c r="E3493" s="78" t="s">
        <v>31</v>
      </c>
      <c r="F3493" s="37">
        <v>2.0</v>
      </c>
      <c r="G3493" s="78">
        <v>2.0</v>
      </c>
      <c r="H3493" s="78">
        <v>2.0</v>
      </c>
      <c r="I3493" s="78" t="s">
        <v>33</v>
      </c>
      <c r="J3493" s="78" t="s">
        <v>93</v>
      </c>
      <c r="K3493" s="294"/>
      <c r="L3493" s="106" t="s">
        <v>8968</v>
      </c>
      <c r="M3493" s="282" t="s">
        <v>8969</v>
      </c>
      <c r="N3493" s="46" t="s">
        <v>8970</v>
      </c>
      <c r="S3493" s="37"/>
      <c r="T3493" s="38"/>
      <c r="U3493" s="38"/>
      <c r="V3493" s="78" t="s">
        <v>33</v>
      </c>
      <c r="W3493" s="46" t="s">
        <v>8971</v>
      </c>
      <c r="X3493" s="282" t="s">
        <v>8972</v>
      </c>
      <c r="Y3493" s="295"/>
      <c r="Z3493" s="294"/>
      <c r="AA3493" s="294"/>
      <c r="AB3493" s="294"/>
      <c r="AC3493" s="294"/>
      <c r="AD3493" s="294"/>
      <c r="AE3493" s="294"/>
      <c r="AF3493" s="294"/>
      <c r="AG3493" s="294"/>
      <c r="AH3493" s="294"/>
      <c r="AI3493" s="294"/>
      <c r="AJ3493" s="294"/>
      <c r="AK3493" s="294"/>
      <c r="AL3493" s="294"/>
      <c r="AM3493" s="294"/>
      <c r="AN3493" s="294"/>
      <c r="AO3493" s="294"/>
      <c r="AP3493" s="294"/>
      <c r="AQ3493" s="294"/>
      <c r="AR3493" s="294"/>
      <c r="AS3493" s="294"/>
      <c r="AT3493" s="294"/>
      <c r="AU3493" s="294"/>
      <c r="AV3493" s="294"/>
      <c r="AW3493" s="294"/>
      <c r="AX3493" s="294"/>
      <c r="AY3493" s="294"/>
      <c r="AZ3493" s="294"/>
      <c r="BA3493" s="294"/>
      <c r="BB3493" s="294"/>
      <c r="BC3493" s="294"/>
      <c r="BD3493" s="294"/>
      <c r="BE3493" s="294"/>
      <c r="BF3493" s="294"/>
      <c r="BG3493" s="294"/>
      <c r="BH3493" s="294"/>
      <c r="BI3493" s="294"/>
      <c r="BJ3493" s="294"/>
      <c r="BK3493" s="294"/>
      <c r="BL3493" s="294"/>
      <c r="BM3493" s="294"/>
      <c r="BN3493" s="294"/>
      <c r="BO3493" s="294"/>
      <c r="BP3493" s="294"/>
      <c r="BQ3493" s="294"/>
    </row>
    <row r="3494">
      <c r="A3494" s="78" t="s">
        <v>8973</v>
      </c>
      <c r="B3494" s="293"/>
      <c r="C3494" s="99">
        <v>44112.0</v>
      </c>
      <c r="D3494" s="294"/>
      <c r="E3494" s="78" t="s">
        <v>41</v>
      </c>
      <c r="F3494" s="37">
        <v>1.0</v>
      </c>
      <c r="G3494" s="78" t="s">
        <v>32</v>
      </c>
      <c r="H3494" s="78">
        <v>1.0</v>
      </c>
      <c r="I3494" s="78" t="s">
        <v>33</v>
      </c>
      <c r="J3494" s="78" t="s">
        <v>184</v>
      </c>
      <c r="K3494" s="294"/>
      <c r="L3494" s="106" t="s">
        <v>69</v>
      </c>
      <c r="M3494" s="282" t="s">
        <v>8974</v>
      </c>
      <c r="N3494" s="106"/>
      <c r="S3494" s="37"/>
      <c r="T3494" s="38"/>
      <c r="U3494" s="38"/>
      <c r="V3494" s="78" t="s">
        <v>33</v>
      </c>
      <c r="W3494" s="106"/>
      <c r="X3494" s="282"/>
      <c r="Y3494" s="295"/>
      <c r="Z3494" s="294"/>
      <c r="AA3494" s="294"/>
      <c r="AB3494" s="294"/>
      <c r="AC3494" s="294"/>
      <c r="AD3494" s="294"/>
      <c r="AE3494" s="294"/>
      <c r="AF3494" s="294"/>
      <c r="AG3494" s="294"/>
      <c r="AH3494" s="294"/>
      <c r="AI3494" s="294"/>
      <c r="AJ3494" s="294"/>
      <c r="AK3494" s="294"/>
      <c r="AL3494" s="294"/>
      <c r="AM3494" s="294"/>
      <c r="AN3494" s="294"/>
      <c r="AO3494" s="294"/>
      <c r="AP3494" s="294"/>
      <c r="AQ3494" s="294"/>
      <c r="AR3494" s="294"/>
      <c r="AS3494" s="294"/>
      <c r="AT3494" s="294"/>
      <c r="AU3494" s="294"/>
      <c r="AV3494" s="294"/>
      <c r="AW3494" s="294"/>
      <c r="AX3494" s="294"/>
      <c r="AY3494" s="294"/>
      <c r="AZ3494" s="294"/>
      <c r="BA3494" s="294"/>
      <c r="BB3494" s="294"/>
      <c r="BC3494" s="294"/>
      <c r="BD3494" s="294"/>
      <c r="BE3494" s="294"/>
      <c r="BF3494" s="294"/>
      <c r="BG3494" s="294"/>
      <c r="BH3494" s="294"/>
      <c r="BI3494" s="294"/>
      <c r="BJ3494" s="294"/>
      <c r="BK3494" s="294"/>
      <c r="BL3494" s="294"/>
      <c r="BM3494" s="294"/>
      <c r="BN3494" s="294"/>
      <c r="BO3494" s="294"/>
      <c r="BP3494" s="294"/>
      <c r="BQ3494" s="294"/>
    </row>
    <row r="3495">
      <c r="A3495" s="78" t="s">
        <v>239</v>
      </c>
      <c r="B3495" s="293"/>
      <c r="C3495" s="99">
        <v>44112.0</v>
      </c>
      <c r="D3495" s="294"/>
      <c r="E3495" s="78" t="s">
        <v>41</v>
      </c>
      <c r="F3495" s="37">
        <v>1.0</v>
      </c>
      <c r="G3495" s="78" t="s">
        <v>32</v>
      </c>
      <c r="H3495" s="78">
        <v>1.0</v>
      </c>
      <c r="I3495" s="78" t="s">
        <v>33</v>
      </c>
      <c r="J3495" s="78" t="s">
        <v>147</v>
      </c>
      <c r="K3495" s="294"/>
      <c r="L3495" s="106" t="s">
        <v>8975</v>
      </c>
      <c r="M3495" s="282" t="s">
        <v>8976</v>
      </c>
      <c r="N3495" s="106"/>
      <c r="S3495" s="37"/>
      <c r="T3495" s="38"/>
      <c r="U3495" s="38"/>
      <c r="V3495" s="78" t="s">
        <v>33</v>
      </c>
      <c r="W3495" s="106"/>
      <c r="X3495" s="282"/>
      <c r="Y3495" s="295"/>
      <c r="Z3495" s="294"/>
      <c r="AA3495" s="294"/>
      <c r="AB3495" s="294"/>
      <c r="AC3495" s="294"/>
      <c r="AD3495" s="294"/>
      <c r="AE3495" s="294"/>
      <c r="AF3495" s="294"/>
      <c r="AG3495" s="294"/>
      <c r="AH3495" s="294"/>
      <c r="AI3495" s="294"/>
      <c r="AJ3495" s="294"/>
      <c r="AK3495" s="294"/>
      <c r="AL3495" s="294"/>
      <c r="AM3495" s="294"/>
      <c r="AN3495" s="294"/>
      <c r="AO3495" s="294"/>
      <c r="AP3495" s="294"/>
      <c r="AQ3495" s="294"/>
      <c r="AR3495" s="294"/>
      <c r="AS3495" s="294"/>
      <c r="AT3495" s="294"/>
      <c r="AU3495" s="294"/>
      <c r="AV3495" s="294"/>
      <c r="AW3495" s="294"/>
      <c r="AX3495" s="294"/>
      <c r="AY3495" s="294"/>
      <c r="AZ3495" s="294"/>
      <c r="BA3495" s="294"/>
      <c r="BB3495" s="294"/>
      <c r="BC3495" s="294"/>
      <c r="BD3495" s="294"/>
      <c r="BE3495" s="294"/>
      <c r="BF3495" s="294"/>
      <c r="BG3495" s="294"/>
      <c r="BH3495" s="294"/>
      <c r="BI3495" s="294"/>
      <c r="BJ3495" s="294"/>
      <c r="BK3495" s="294"/>
      <c r="BL3495" s="294"/>
      <c r="BM3495" s="294"/>
      <c r="BN3495" s="294"/>
      <c r="BO3495" s="294"/>
      <c r="BP3495" s="294"/>
      <c r="BQ3495" s="294"/>
    </row>
    <row r="3496">
      <c r="A3496" s="78" t="s">
        <v>8977</v>
      </c>
      <c r="B3496" s="293"/>
      <c r="C3496" s="99">
        <v>44113.0</v>
      </c>
      <c r="D3496" s="294"/>
      <c r="E3496" s="78" t="s">
        <v>31</v>
      </c>
      <c r="F3496" s="37">
        <v>1.0</v>
      </c>
      <c r="G3496" s="78" t="s">
        <v>32</v>
      </c>
      <c r="H3496" s="78">
        <v>2.0</v>
      </c>
      <c r="I3496" s="78" t="s">
        <v>33</v>
      </c>
      <c r="J3496" s="78" t="s">
        <v>228</v>
      </c>
      <c r="K3496" s="294"/>
      <c r="L3496" s="106" t="s">
        <v>76</v>
      </c>
      <c r="M3496" s="282" t="s">
        <v>8978</v>
      </c>
      <c r="N3496" s="46" t="s">
        <v>8979</v>
      </c>
      <c r="S3496" s="37"/>
      <c r="T3496" s="38"/>
      <c r="U3496" s="38"/>
      <c r="V3496" s="78" t="s">
        <v>33</v>
      </c>
      <c r="W3496" s="46" t="s">
        <v>8980</v>
      </c>
      <c r="X3496" s="282" t="s">
        <v>8981</v>
      </c>
      <c r="Y3496" s="295"/>
      <c r="Z3496" s="294"/>
      <c r="AA3496" s="294"/>
      <c r="AB3496" s="294"/>
      <c r="AC3496" s="294"/>
      <c r="AD3496" s="294"/>
      <c r="AE3496" s="294"/>
      <c r="AF3496" s="294"/>
      <c r="AG3496" s="294"/>
      <c r="AH3496" s="294"/>
      <c r="AI3496" s="294"/>
      <c r="AJ3496" s="294"/>
      <c r="AK3496" s="294"/>
      <c r="AL3496" s="294"/>
      <c r="AM3496" s="294"/>
      <c r="AN3496" s="294"/>
      <c r="AO3496" s="294"/>
      <c r="AP3496" s="294"/>
      <c r="AQ3496" s="294"/>
      <c r="AR3496" s="294"/>
      <c r="AS3496" s="294"/>
      <c r="AT3496" s="294"/>
      <c r="AU3496" s="294"/>
      <c r="AV3496" s="294"/>
      <c r="AW3496" s="294"/>
      <c r="AX3496" s="294"/>
      <c r="AY3496" s="294"/>
      <c r="AZ3496" s="294"/>
      <c r="BA3496" s="294"/>
      <c r="BB3496" s="294"/>
      <c r="BC3496" s="294"/>
      <c r="BD3496" s="294"/>
      <c r="BE3496" s="294"/>
      <c r="BF3496" s="294"/>
      <c r="BG3496" s="294"/>
      <c r="BH3496" s="294"/>
      <c r="BI3496" s="294"/>
      <c r="BJ3496" s="294"/>
      <c r="BK3496" s="294"/>
      <c r="BL3496" s="294"/>
      <c r="BM3496" s="294"/>
      <c r="BN3496" s="294"/>
      <c r="BO3496" s="294"/>
      <c r="BP3496" s="294"/>
      <c r="BQ3496" s="294"/>
    </row>
    <row r="3497">
      <c r="A3497" s="78" t="s">
        <v>239</v>
      </c>
      <c r="B3497" s="293"/>
      <c r="C3497" s="99">
        <v>44113.0</v>
      </c>
      <c r="D3497" s="294"/>
      <c r="E3497" s="78" t="s">
        <v>41</v>
      </c>
      <c r="F3497" s="37">
        <v>1.0</v>
      </c>
      <c r="G3497" s="78" t="s">
        <v>32</v>
      </c>
      <c r="H3497" s="78">
        <v>1.0</v>
      </c>
      <c r="I3497" s="78" t="s">
        <v>33</v>
      </c>
      <c r="J3497" s="78" t="s">
        <v>147</v>
      </c>
      <c r="K3497" s="294"/>
      <c r="L3497" s="106" t="s">
        <v>194</v>
      </c>
      <c r="M3497" s="282" t="s">
        <v>8965</v>
      </c>
      <c r="N3497" s="106"/>
      <c r="S3497" s="37"/>
      <c r="T3497" s="38"/>
      <c r="U3497" s="38"/>
      <c r="V3497" s="78" t="s">
        <v>33</v>
      </c>
      <c r="W3497" s="106"/>
      <c r="X3497" s="282"/>
      <c r="Y3497" s="295"/>
      <c r="Z3497" s="294"/>
      <c r="AA3497" s="294"/>
      <c r="AB3497" s="294"/>
      <c r="AC3497" s="294"/>
      <c r="AD3497" s="294"/>
      <c r="AE3497" s="294"/>
      <c r="AF3497" s="294"/>
      <c r="AG3497" s="294"/>
      <c r="AH3497" s="294"/>
      <c r="AI3497" s="294"/>
      <c r="AJ3497" s="294"/>
      <c r="AK3497" s="294"/>
      <c r="AL3497" s="294"/>
      <c r="AM3497" s="294"/>
      <c r="AN3497" s="294"/>
      <c r="AO3497" s="294"/>
      <c r="AP3497" s="294"/>
      <c r="AQ3497" s="294"/>
      <c r="AR3497" s="294"/>
      <c r="AS3497" s="294"/>
      <c r="AT3497" s="294"/>
      <c r="AU3497" s="294"/>
      <c r="AV3497" s="294"/>
      <c r="AW3497" s="294"/>
      <c r="AX3497" s="294"/>
      <c r="AY3497" s="294"/>
      <c r="AZ3497" s="294"/>
      <c r="BA3497" s="294"/>
      <c r="BB3497" s="294"/>
      <c r="BC3497" s="294"/>
      <c r="BD3497" s="294"/>
      <c r="BE3497" s="294"/>
      <c r="BF3497" s="294"/>
      <c r="BG3497" s="294"/>
      <c r="BH3497" s="294"/>
      <c r="BI3497" s="294"/>
      <c r="BJ3497" s="294"/>
      <c r="BK3497" s="294"/>
      <c r="BL3497" s="294"/>
      <c r="BM3497" s="294"/>
      <c r="BN3497" s="294"/>
      <c r="BO3497" s="294"/>
      <c r="BP3497" s="294"/>
      <c r="BQ3497" s="294"/>
    </row>
    <row r="3498">
      <c r="A3498" s="78" t="s">
        <v>8982</v>
      </c>
      <c r="B3498" s="293"/>
      <c r="C3498" s="99">
        <v>44113.0</v>
      </c>
      <c r="D3498" s="294"/>
      <c r="E3498" s="78" t="s">
        <v>41</v>
      </c>
      <c r="F3498" s="37">
        <v>1.0</v>
      </c>
      <c r="G3498" s="78">
        <v>3.0</v>
      </c>
      <c r="H3498" s="78">
        <v>3.0</v>
      </c>
      <c r="I3498" s="78" t="s">
        <v>33</v>
      </c>
      <c r="J3498" s="78" t="s">
        <v>514</v>
      </c>
      <c r="K3498" s="294"/>
      <c r="L3498" s="106" t="s">
        <v>76</v>
      </c>
      <c r="M3498" s="282" t="s">
        <v>8983</v>
      </c>
      <c r="N3498" s="46" t="s">
        <v>8984</v>
      </c>
      <c r="S3498" s="37"/>
      <c r="T3498" s="38"/>
      <c r="U3498" s="38"/>
      <c r="V3498" s="78" t="s">
        <v>33</v>
      </c>
      <c r="W3498" s="46" t="s">
        <v>8985</v>
      </c>
      <c r="X3498" s="282"/>
      <c r="Y3498" s="295"/>
      <c r="Z3498" s="294"/>
      <c r="AA3498" s="294"/>
      <c r="AB3498" s="294"/>
      <c r="AC3498" s="294"/>
      <c r="AD3498" s="294"/>
      <c r="AE3498" s="294"/>
      <c r="AF3498" s="294"/>
      <c r="AG3498" s="294"/>
      <c r="AH3498" s="294"/>
      <c r="AI3498" s="294"/>
      <c r="AJ3498" s="294"/>
      <c r="AK3498" s="294"/>
      <c r="AL3498" s="294"/>
      <c r="AM3498" s="294"/>
      <c r="AN3498" s="294"/>
      <c r="AO3498" s="294"/>
      <c r="AP3498" s="294"/>
      <c r="AQ3498" s="294"/>
      <c r="AR3498" s="294"/>
      <c r="AS3498" s="294"/>
      <c r="AT3498" s="294"/>
      <c r="AU3498" s="294"/>
      <c r="AV3498" s="294"/>
      <c r="AW3498" s="294"/>
      <c r="AX3498" s="294"/>
      <c r="AY3498" s="294"/>
      <c r="AZ3498" s="294"/>
      <c r="BA3498" s="294"/>
      <c r="BB3498" s="294"/>
      <c r="BC3498" s="294"/>
      <c r="BD3498" s="294"/>
      <c r="BE3498" s="294"/>
      <c r="BF3498" s="294"/>
      <c r="BG3498" s="294"/>
      <c r="BH3498" s="294"/>
      <c r="BI3498" s="294"/>
      <c r="BJ3498" s="294"/>
      <c r="BK3498" s="294"/>
      <c r="BL3498" s="294"/>
      <c r="BM3498" s="294"/>
      <c r="BN3498" s="294"/>
      <c r="BO3498" s="294"/>
      <c r="BP3498" s="294"/>
      <c r="BQ3498" s="294"/>
    </row>
    <row r="3499">
      <c r="A3499" s="78" t="s">
        <v>8986</v>
      </c>
      <c r="B3499" s="293"/>
      <c r="C3499" s="99">
        <v>44116.0</v>
      </c>
      <c r="D3499" s="294"/>
      <c r="E3499" s="78" t="s">
        <v>41</v>
      </c>
      <c r="F3499" s="37">
        <v>1.0</v>
      </c>
      <c r="G3499" s="78" t="s">
        <v>32</v>
      </c>
      <c r="H3499" s="78">
        <v>1.0</v>
      </c>
      <c r="I3499" s="78" t="s">
        <v>33</v>
      </c>
      <c r="J3499" s="78" t="s">
        <v>184</v>
      </c>
      <c r="K3499" s="294"/>
      <c r="L3499" s="106" t="s">
        <v>119</v>
      </c>
      <c r="M3499" s="282" t="s">
        <v>8987</v>
      </c>
      <c r="N3499" s="106"/>
      <c r="S3499" s="37"/>
      <c r="T3499" s="38"/>
      <c r="U3499" s="38"/>
      <c r="V3499" s="78" t="s">
        <v>33</v>
      </c>
      <c r="W3499" s="106"/>
      <c r="X3499" s="282"/>
      <c r="Y3499" s="295"/>
      <c r="Z3499" s="294"/>
      <c r="AA3499" s="294"/>
      <c r="AB3499" s="294"/>
      <c r="AC3499" s="294"/>
      <c r="AD3499" s="294"/>
      <c r="AE3499" s="294"/>
      <c r="AF3499" s="294"/>
      <c r="AG3499" s="294"/>
      <c r="AH3499" s="294"/>
      <c r="AI3499" s="294"/>
      <c r="AJ3499" s="294"/>
      <c r="AK3499" s="294"/>
      <c r="AL3499" s="294"/>
      <c r="AM3499" s="294"/>
      <c r="AN3499" s="294"/>
      <c r="AO3499" s="294"/>
      <c r="AP3499" s="294"/>
      <c r="AQ3499" s="294"/>
      <c r="AR3499" s="294"/>
      <c r="AS3499" s="294"/>
      <c r="AT3499" s="294"/>
      <c r="AU3499" s="294"/>
      <c r="AV3499" s="294"/>
      <c r="AW3499" s="294"/>
      <c r="AX3499" s="294"/>
      <c r="AY3499" s="294"/>
      <c r="AZ3499" s="294"/>
      <c r="BA3499" s="294"/>
      <c r="BB3499" s="294"/>
      <c r="BC3499" s="294"/>
      <c r="BD3499" s="294"/>
      <c r="BE3499" s="294"/>
      <c r="BF3499" s="294"/>
      <c r="BG3499" s="294"/>
      <c r="BH3499" s="294"/>
      <c r="BI3499" s="294"/>
      <c r="BJ3499" s="294"/>
      <c r="BK3499" s="294"/>
      <c r="BL3499" s="294"/>
      <c r="BM3499" s="294"/>
      <c r="BN3499" s="294"/>
      <c r="BO3499" s="294"/>
      <c r="BP3499" s="294"/>
      <c r="BQ3499" s="294"/>
    </row>
    <row r="3500">
      <c r="A3500" s="78" t="s">
        <v>8988</v>
      </c>
      <c r="B3500" s="293"/>
      <c r="C3500" s="99">
        <v>44117.0</v>
      </c>
      <c r="D3500" s="294"/>
      <c r="E3500" s="78" t="s">
        <v>41</v>
      </c>
      <c r="F3500" s="37">
        <v>1.0</v>
      </c>
      <c r="G3500" s="78" t="s">
        <v>32</v>
      </c>
      <c r="H3500" s="78">
        <v>1.0</v>
      </c>
      <c r="I3500" s="78" t="s">
        <v>33</v>
      </c>
      <c r="J3500" s="78" t="s">
        <v>410</v>
      </c>
      <c r="K3500" s="294"/>
      <c r="L3500" s="106" t="s">
        <v>119</v>
      </c>
      <c r="M3500" s="282" t="s">
        <v>8989</v>
      </c>
      <c r="N3500" s="106"/>
      <c r="S3500" s="37"/>
      <c r="T3500" s="38"/>
      <c r="U3500" s="38"/>
      <c r="V3500" s="78" t="s">
        <v>33</v>
      </c>
      <c r="W3500" s="106"/>
      <c r="X3500" s="282"/>
      <c r="Y3500" s="295"/>
      <c r="Z3500" s="294"/>
      <c r="AA3500" s="294"/>
      <c r="AB3500" s="294"/>
      <c r="AC3500" s="294"/>
      <c r="AD3500" s="294"/>
      <c r="AE3500" s="294"/>
      <c r="AF3500" s="294"/>
      <c r="AG3500" s="294"/>
      <c r="AH3500" s="294"/>
      <c r="AI3500" s="294"/>
      <c r="AJ3500" s="294"/>
      <c r="AK3500" s="294"/>
      <c r="AL3500" s="294"/>
      <c r="AM3500" s="294"/>
      <c r="AN3500" s="294"/>
      <c r="AO3500" s="294"/>
      <c r="AP3500" s="294"/>
      <c r="AQ3500" s="294"/>
      <c r="AR3500" s="294"/>
      <c r="AS3500" s="294"/>
      <c r="AT3500" s="294"/>
      <c r="AU3500" s="294"/>
      <c r="AV3500" s="294"/>
      <c r="AW3500" s="294"/>
      <c r="AX3500" s="294"/>
      <c r="AY3500" s="294"/>
      <c r="AZ3500" s="294"/>
      <c r="BA3500" s="294"/>
      <c r="BB3500" s="294"/>
      <c r="BC3500" s="294"/>
      <c r="BD3500" s="294"/>
      <c r="BE3500" s="294"/>
      <c r="BF3500" s="294"/>
      <c r="BG3500" s="294"/>
      <c r="BH3500" s="294"/>
      <c r="BI3500" s="294"/>
      <c r="BJ3500" s="294"/>
      <c r="BK3500" s="294"/>
      <c r="BL3500" s="294"/>
      <c r="BM3500" s="294"/>
      <c r="BN3500" s="294"/>
      <c r="BO3500" s="294"/>
      <c r="BP3500" s="294"/>
      <c r="BQ3500" s="294"/>
    </row>
    <row r="3501">
      <c r="A3501" s="78" t="s">
        <v>239</v>
      </c>
      <c r="B3501" s="293"/>
      <c r="C3501" s="99">
        <v>44119.0</v>
      </c>
      <c r="D3501" s="294"/>
      <c r="E3501" s="78" t="s">
        <v>41</v>
      </c>
      <c r="F3501" s="37">
        <v>3.0</v>
      </c>
      <c r="G3501" s="78" t="s">
        <v>32</v>
      </c>
      <c r="H3501" s="78">
        <v>1.0</v>
      </c>
      <c r="I3501" s="78" t="s">
        <v>33</v>
      </c>
      <c r="J3501" s="78" t="s">
        <v>147</v>
      </c>
      <c r="K3501" s="294"/>
      <c r="L3501" s="106" t="s">
        <v>194</v>
      </c>
      <c r="M3501" s="282" t="s">
        <v>8990</v>
      </c>
      <c r="N3501" s="106"/>
      <c r="S3501" s="37"/>
      <c r="T3501" s="38"/>
      <c r="U3501" s="38"/>
      <c r="V3501" s="78" t="s">
        <v>33</v>
      </c>
      <c r="W3501" s="106"/>
      <c r="X3501" s="282"/>
      <c r="Y3501" s="295"/>
      <c r="Z3501" s="294"/>
      <c r="AA3501" s="294"/>
      <c r="AB3501" s="294"/>
      <c r="AC3501" s="294"/>
      <c r="AD3501" s="294"/>
      <c r="AE3501" s="294"/>
      <c r="AF3501" s="294"/>
      <c r="AG3501" s="294"/>
      <c r="AH3501" s="294"/>
      <c r="AI3501" s="294"/>
      <c r="AJ3501" s="294"/>
      <c r="AK3501" s="294"/>
      <c r="AL3501" s="294"/>
      <c r="AM3501" s="294"/>
      <c r="AN3501" s="294"/>
      <c r="AO3501" s="294"/>
      <c r="AP3501" s="294"/>
      <c r="AQ3501" s="294"/>
      <c r="AR3501" s="294"/>
      <c r="AS3501" s="294"/>
      <c r="AT3501" s="294"/>
      <c r="AU3501" s="294"/>
      <c r="AV3501" s="294"/>
      <c r="AW3501" s="294"/>
      <c r="AX3501" s="294"/>
      <c r="AY3501" s="294"/>
      <c r="AZ3501" s="294"/>
      <c r="BA3501" s="294"/>
      <c r="BB3501" s="294"/>
      <c r="BC3501" s="294"/>
      <c r="BD3501" s="294"/>
      <c r="BE3501" s="294"/>
      <c r="BF3501" s="294"/>
      <c r="BG3501" s="294"/>
      <c r="BH3501" s="294"/>
      <c r="BI3501" s="294"/>
      <c r="BJ3501" s="294"/>
      <c r="BK3501" s="294"/>
      <c r="BL3501" s="294"/>
      <c r="BM3501" s="294"/>
      <c r="BN3501" s="294"/>
      <c r="BO3501" s="294"/>
      <c r="BP3501" s="294"/>
      <c r="BQ3501" s="294"/>
    </row>
    <row r="3502">
      <c r="A3502" s="78" t="s">
        <v>8991</v>
      </c>
      <c r="B3502" s="293"/>
      <c r="C3502" s="99">
        <v>44119.0</v>
      </c>
      <c r="D3502" s="294"/>
      <c r="E3502" s="78" t="s">
        <v>41</v>
      </c>
      <c r="F3502" s="37">
        <v>1.0</v>
      </c>
      <c r="G3502" s="78" t="s">
        <v>32</v>
      </c>
      <c r="H3502" s="78">
        <v>1.0</v>
      </c>
      <c r="I3502" s="78" t="s">
        <v>33</v>
      </c>
      <c r="J3502" s="78" t="s">
        <v>55</v>
      </c>
      <c r="K3502" s="294"/>
      <c r="L3502" s="106" t="s">
        <v>8992</v>
      </c>
      <c r="M3502" s="282" t="s">
        <v>8918</v>
      </c>
      <c r="N3502" s="106"/>
      <c r="S3502" s="37"/>
      <c r="T3502" s="38"/>
      <c r="U3502" s="38"/>
      <c r="V3502" s="78" t="s">
        <v>33</v>
      </c>
      <c r="W3502" s="106"/>
      <c r="X3502" s="282"/>
      <c r="Y3502" s="295"/>
      <c r="Z3502" s="294"/>
      <c r="AA3502" s="294"/>
      <c r="AB3502" s="294"/>
      <c r="AC3502" s="294"/>
      <c r="AD3502" s="294"/>
      <c r="AE3502" s="294"/>
      <c r="AF3502" s="294"/>
      <c r="AG3502" s="294"/>
      <c r="AH3502" s="294"/>
      <c r="AI3502" s="294"/>
      <c r="AJ3502" s="294"/>
      <c r="AK3502" s="294"/>
      <c r="AL3502" s="294"/>
      <c r="AM3502" s="294"/>
      <c r="AN3502" s="294"/>
      <c r="AO3502" s="294"/>
      <c r="AP3502" s="294"/>
      <c r="AQ3502" s="294"/>
      <c r="AR3502" s="294"/>
      <c r="AS3502" s="294"/>
      <c r="AT3502" s="294"/>
      <c r="AU3502" s="294"/>
      <c r="AV3502" s="294"/>
      <c r="AW3502" s="294"/>
      <c r="AX3502" s="294"/>
      <c r="AY3502" s="294"/>
      <c r="AZ3502" s="294"/>
      <c r="BA3502" s="294"/>
      <c r="BB3502" s="294"/>
      <c r="BC3502" s="294"/>
      <c r="BD3502" s="294"/>
      <c r="BE3502" s="294"/>
      <c r="BF3502" s="294"/>
      <c r="BG3502" s="294"/>
      <c r="BH3502" s="294"/>
      <c r="BI3502" s="294"/>
      <c r="BJ3502" s="294"/>
      <c r="BK3502" s="294"/>
      <c r="BL3502" s="294"/>
      <c r="BM3502" s="294"/>
      <c r="BN3502" s="294"/>
      <c r="BO3502" s="294"/>
      <c r="BP3502" s="294"/>
      <c r="BQ3502" s="294"/>
    </row>
    <row r="3503">
      <c r="A3503" s="78" t="s">
        <v>8993</v>
      </c>
      <c r="B3503" s="293"/>
      <c r="C3503" s="99">
        <v>44120.0</v>
      </c>
      <c r="D3503" s="294"/>
      <c r="E3503" s="78" t="s">
        <v>41</v>
      </c>
      <c r="F3503" s="37">
        <v>1.0</v>
      </c>
      <c r="G3503" s="78" t="s">
        <v>32</v>
      </c>
      <c r="H3503" s="78">
        <v>1.0</v>
      </c>
      <c r="I3503" s="78" t="s">
        <v>33</v>
      </c>
      <c r="J3503" s="78" t="s">
        <v>172</v>
      </c>
      <c r="K3503" s="294"/>
      <c r="L3503" s="106" t="s">
        <v>119</v>
      </c>
      <c r="M3503" s="282" t="s">
        <v>8994</v>
      </c>
      <c r="N3503" s="106"/>
      <c r="S3503" s="37"/>
      <c r="T3503" s="38"/>
      <c r="U3503" s="38"/>
      <c r="V3503" s="78" t="s">
        <v>33</v>
      </c>
      <c r="W3503" s="106"/>
      <c r="X3503" s="282"/>
      <c r="Y3503" s="295"/>
      <c r="Z3503" s="294"/>
      <c r="AA3503" s="294"/>
      <c r="AB3503" s="294"/>
      <c r="AC3503" s="294"/>
      <c r="AD3503" s="294"/>
      <c r="AE3503" s="294"/>
      <c r="AF3503" s="294"/>
      <c r="AG3503" s="294"/>
      <c r="AH3503" s="294"/>
      <c r="AI3503" s="294"/>
      <c r="AJ3503" s="294"/>
      <c r="AK3503" s="294"/>
      <c r="AL3503" s="294"/>
      <c r="AM3503" s="294"/>
      <c r="AN3503" s="294"/>
      <c r="AO3503" s="294"/>
      <c r="AP3503" s="294"/>
      <c r="AQ3503" s="294"/>
      <c r="AR3503" s="294"/>
      <c r="AS3503" s="294"/>
      <c r="AT3503" s="294"/>
      <c r="AU3503" s="294"/>
      <c r="AV3503" s="294"/>
      <c r="AW3503" s="294"/>
      <c r="AX3503" s="294"/>
      <c r="AY3503" s="294"/>
      <c r="AZ3503" s="294"/>
      <c r="BA3503" s="294"/>
      <c r="BB3503" s="294"/>
      <c r="BC3503" s="294"/>
      <c r="BD3503" s="294"/>
      <c r="BE3503" s="294"/>
      <c r="BF3503" s="294"/>
      <c r="BG3503" s="294"/>
      <c r="BH3503" s="294"/>
      <c r="BI3503" s="294"/>
      <c r="BJ3503" s="294"/>
      <c r="BK3503" s="294"/>
      <c r="BL3503" s="294"/>
      <c r="BM3503" s="294"/>
      <c r="BN3503" s="294"/>
      <c r="BO3503" s="294"/>
      <c r="BP3503" s="294"/>
      <c r="BQ3503" s="294"/>
    </row>
    <row r="3504">
      <c r="A3504" s="78" t="s">
        <v>239</v>
      </c>
      <c r="B3504" s="293"/>
      <c r="C3504" s="99">
        <v>44121.0</v>
      </c>
      <c r="D3504" s="294"/>
      <c r="E3504" s="78" t="s">
        <v>41</v>
      </c>
      <c r="F3504" s="37">
        <v>2.0</v>
      </c>
      <c r="G3504" s="78" t="s">
        <v>32</v>
      </c>
      <c r="H3504" s="78">
        <v>1.0</v>
      </c>
      <c r="I3504" s="78" t="s">
        <v>33</v>
      </c>
      <c r="J3504" s="78" t="s">
        <v>241</v>
      </c>
      <c r="K3504" s="294"/>
      <c r="L3504" s="106" t="s">
        <v>194</v>
      </c>
      <c r="M3504" s="282" t="s">
        <v>8995</v>
      </c>
      <c r="N3504" s="106"/>
      <c r="S3504" s="37"/>
      <c r="T3504" s="38"/>
      <c r="U3504" s="38"/>
      <c r="V3504" s="78" t="s">
        <v>33</v>
      </c>
      <c r="W3504" s="106"/>
      <c r="X3504" s="282"/>
      <c r="Y3504" s="295"/>
      <c r="Z3504" s="294"/>
      <c r="AA3504" s="294"/>
      <c r="AB3504" s="294"/>
      <c r="AC3504" s="294"/>
      <c r="AD3504" s="294"/>
      <c r="AE3504" s="294"/>
      <c r="AF3504" s="294"/>
      <c r="AG3504" s="294"/>
      <c r="AH3504" s="294"/>
      <c r="AI3504" s="294"/>
      <c r="AJ3504" s="294"/>
      <c r="AK3504" s="294"/>
      <c r="AL3504" s="294"/>
      <c r="AM3504" s="294"/>
      <c r="AN3504" s="294"/>
      <c r="AO3504" s="294"/>
      <c r="AP3504" s="294"/>
      <c r="AQ3504" s="294"/>
      <c r="AR3504" s="294"/>
      <c r="AS3504" s="294"/>
      <c r="AT3504" s="294"/>
      <c r="AU3504" s="294"/>
      <c r="AV3504" s="294"/>
      <c r="AW3504" s="294"/>
      <c r="AX3504" s="294"/>
      <c r="AY3504" s="294"/>
      <c r="AZ3504" s="294"/>
      <c r="BA3504" s="294"/>
      <c r="BB3504" s="294"/>
      <c r="BC3504" s="294"/>
      <c r="BD3504" s="294"/>
      <c r="BE3504" s="294"/>
      <c r="BF3504" s="294"/>
      <c r="BG3504" s="294"/>
      <c r="BH3504" s="294"/>
      <c r="BI3504" s="294"/>
      <c r="BJ3504" s="294"/>
      <c r="BK3504" s="294"/>
      <c r="BL3504" s="294"/>
      <c r="BM3504" s="294"/>
      <c r="BN3504" s="294"/>
      <c r="BO3504" s="294"/>
      <c r="BP3504" s="294"/>
      <c r="BQ3504" s="294"/>
    </row>
    <row r="3505">
      <c r="A3505" s="78" t="s">
        <v>239</v>
      </c>
      <c r="B3505" s="293"/>
      <c r="C3505" s="99">
        <v>44122.0</v>
      </c>
      <c r="D3505" s="294"/>
      <c r="E3505" s="78" t="s">
        <v>41</v>
      </c>
      <c r="F3505" s="37">
        <v>8.0</v>
      </c>
      <c r="G3505" s="78" t="s">
        <v>32</v>
      </c>
      <c r="H3505" s="78">
        <v>1.0</v>
      </c>
      <c r="I3505" s="78" t="s">
        <v>33</v>
      </c>
      <c r="J3505" s="78" t="s">
        <v>147</v>
      </c>
      <c r="K3505" s="294"/>
      <c r="L3505" s="106" t="s">
        <v>194</v>
      </c>
      <c r="M3505" s="282" t="s">
        <v>8996</v>
      </c>
      <c r="N3505" s="106"/>
      <c r="S3505" s="37"/>
      <c r="T3505" s="38"/>
      <c r="U3505" s="38"/>
      <c r="V3505" s="78" t="s">
        <v>32</v>
      </c>
      <c r="W3505" s="106"/>
      <c r="X3505" s="282"/>
      <c r="Y3505" s="295"/>
      <c r="Z3505" s="294"/>
      <c r="AA3505" s="294"/>
      <c r="AB3505" s="294"/>
      <c r="AC3505" s="294"/>
      <c r="AD3505" s="294"/>
      <c r="AE3505" s="294"/>
      <c r="AF3505" s="294"/>
      <c r="AG3505" s="294"/>
      <c r="AH3505" s="294"/>
      <c r="AI3505" s="294"/>
      <c r="AJ3505" s="294"/>
      <c r="AK3505" s="294"/>
      <c r="AL3505" s="294"/>
      <c r="AM3505" s="294"/>
      <c r="AN3505" s="294"/>
      <c r="AO3505" s="294"/>
      <c r="AP3505" s="294"/>
      <c r="AQ3505" s="294"/>
      <c r="AR3505" s="294"/>
      <c r="AS3505" s="294"/>
      <c r="AT3505" s="294"/>
      <c r="AU3505" s="294"/>
      <c r="AV3505" s="294"/>
      <c r="AW3505" s="294"/>
      <c r="AX3505" s="294"/>
      <c r="AY3505" s="294"/>
      <c r="AZ3505" s="294"/>
      <c r="BA3505" s="294"/>
      <c r="BB3505" s="294"/>
      <c r="BC3505" s="294"/>
      <c r="BD3505" s="294"/>
      <c r="BE3505" s="294"/>
      <c r="BF3505" s="294"/>
      <c r="BG3505" s="294"/>
      <c r="BH3505" s="294"/>
      <c r="BI3505" s="294"/>
      <c r="BJ3505" s="294"/>
      <c r="BK3505" s="294"/>
      <c r="BL3505" s="294"/>
      <c r="BM3505" s="294"/>
      <c r="BN3505" s="294"/>
      <c r="BO3505" s="294"/>
      <c r="BP3505" s="294"/>
      <c r="BQ3505" s="294"/>
    </row>
    <row r="3506">
      <c r="A3506" s="78" t="s">
        <v>8997</v>
      </c>
      <c r="B3506" s="293"/>
      <c r="C3506" s="99">
        <v>44123.0</v>
      </c>
      <c r="D3506" s="294"/>
      <c r="E3506" s="78" t="s">
        <v>41</v>
      </c>
      <c r="F3506" s="37">
        <v>1.0</v>
      </c>
      <c r="G3506" s="78" t="s">
        <v>32</v>
      </c>
      <c r="H3506" s="78">
        <v>1.0</v>
      </c>
      <c r="I3506" s="78" t="s">
        <v>1393</v>
      </c>
      <c r="J3506" s="78"/>
      <c r="K3506" s="294"/>
      <c r="L3506" s="106" t="s">
        <v>194</v>
      </c>
      <c r="M3506" s="282" t="s">
        <v>8998</v>
      </c>
      <c r="N3506" s="106"/>
      <c r="S3506" s="37"/>
      <c r="T3506" s="38"/>
      <c r="U3506" s="38"/>
      <c r="V3506" s="78" t="s">
        <v>8999</v>
      </c>
      <c r="W3506" s="106"/>
      <c r="X3506" s="282"/>
      <c r="Y3506" s="295"/>
      <c r="Z3506" s="294"/>
      <c r="AA3506" s="294"/>
      <c r="AB3506" s="294"/>
      <c r="AC3506" s="294"/>
      <c r="AD3506" s="294"/>
      <c r="AE3506" s="294"/>
      <c r="AF3506" s="294"/>
      <c r="AG3506" s="294"/>
      <c r="AH3506" s="294"/>
      <c r="AI3506" s="294"/>
      <c r="AJ3506" s="294"/>
      <c r="AK3506" s="294"/>
      <c r="AL3506" s="294"/>
      <c r="AM3506" s="294"/>
      <c r="AN3506" s="294"/>
      <c r="AO3506" s="294"/>
      <c r="AP3506" s="294"/>
      <c r="AQ3506" s="294"/>
      <c r="AR3506" s="294"/>
      <c r="AS3506" s="294"/>
      <c r="AT3506" s="294"/>
      <c r="AU3506" s="294"/>
      <c r="AV3506" s="294"/>
      <c r="AW3506" s="294"/>
      <c r="AX3506" s="294"/>
      <c r="AY3506" s="294"/>
      <c r="AZ3506" s="294"/>
      <c r="BA3506" s="294"/>
      <c r="BB3506" s="294"/>
      <c r="BC3506" s="294"/>
      <c r="BD3506" s="294"/>
      <c r="BE3506" s="294"/>
      <c r="BF3506" s="294"/>
      <c r="BG3506" s="294"/>
      <c r="BH3506" s="294"/>
      <c r="BI3506" s="294"/>
      <c r="BJ3506" s="294"/>
      <c r="BK3506" s="294"/>
      <c r="BL3506" s="294"/>
      <c r="BM3506" s="294"/>
      <c r="BN3506" s="294"/>
      <c r="BO3506" s="294"/>
      <c r="BP3506" s="294"/>
      <c r="BQ3506" s="294"/>
    </row>
    <row r="3507">
      <c r="A3507" s="310" t="s">
        <v>9000</v>
      </c>
      <c r="B3507" s="293"/>
      <c r="C3507" s="99">
        <v>44124.0</v>
      </c>
      <c r="D3507" s="294"/>
      <c r="E3507" s="78" t="s">
        <v>41</v>
      </c>
      <c r="F3507" s="37">
        <v>1.0</v>
      </c>
      <c r="G3507" s="78">
        <v>27.0</v>
      </c>
      <c r="H3507" s="78">
        <v>27.0</v>
      </c>
      <c r="I3507" s="78" t="s">
        <v>33</v>
      </c>
      <c r="J3507" s="78" t="s">
        <v>124</v>
      </c>
      <c r="K3507" s="294"/>
      <c r="L3507" s="106" t="s">
        <v>52</v>
      </c>
      <c r="M3507" s="282" t="s">
        <v>9001</v>
      </c>
      <c r="N3507" s="106"/>
      <c r="S3507" s="37"/>
      <c r="T3507" s="38"/>
      <c r="U3507" s="38"/>
      <c r="V3507" s="78" t="s">
        <v>33</v>
      </c>
      <c r="W3507" s="46" t="s">
        <v>9002</v>
      </c>
      <c r="X3507" s="282" t="s">
        <v>9003</v>
      </c>
      <c r="Y3507" s="295"/>
      <c r="Z3507" s="294"/>
      <c r="AA3507" s="294"/>
      <c r="AB3507" s="294"/>
      <c r="AC3507" s="294"/>
      <c r="AD3507" s="294"/>
      <c r="AE3507" s="294"/>
      <c r="AF3507" s="294"/>
      <c r="AG3507" s="294"/>
      <c r="AH3507" s="294"/>
      <c r="AI3507" s="294"/>
      <c r="AJ3507" s="294"/>
      <c r="AK3507" s="294"/>
      <c r="AL3507" s="294"/>
      <c r="AM3507" s="294"/>
      <c r="AN3507" s="294"/>
      <c r="AO3507" s="294"/>
      <c r="AP3507" s="294"/>
      <c r="AQ3507" s="294"/>
      <c r="AR3507" s="294"/>
      <c r="AS3507" s="294"/>
      <c r="AT3507" s="294"/>
      <c r="AU3507" s="294"/>
      <c r="AV3507" s="294"/>
      <c r="AW3507" s="294"/>
      <c r="AX3507" s="294"/>
      <c r="AY3507" s="294"/>
      <c r="AZ3507" s="294"/>
      <c r="BA3507" s="294"/>
      <c r="BB3507" s="294"/>
      <c r="BC3507" s="294"/>
      <c r="BD3507" s="294"/>
      <c r="BE3507" s="294"/>
      <c r="BF3507" s="294"/>
      <c r="BG3507" s="294"/>
      <c r="BH3507" s="294"/>
      <c r="BI3507" s="294"/>
      <c r="BJ3507" s="294"/>
      <c r="BK3507" s="294"/>
      <c r="BL3507" s="294"/>
      <c r="BM3507" s="294"/>
      <c r="BN3507" s="294"/>
      <c r="BO3507" s="294"/>
      <c r="BP3507" s="294"/>
      <c r="BQ3507" s="294"/>
    </row>
    <row r="3508">
      <c r="A3508" s="310" t="s">
        <v>9004</v>
      </c>
      <c r="B3508" s="293"/>
      <c r="C3508" s="99">
        <v>44124.0</v>
      </c>
      <c r="D3508" s="294"/>
      <c r="E3508" s="78" t="s">
        <v>41</v>
      </c>
      <c r="F3508" s="37">
        <v>2.0</v>
      </c>
      <c r="G3508" s="78" t="s">
        <v>32</v>
      </c>
      <c r="H3508" s="78">
        <v>1.0</v>
      </c>
      <c r="I3508" s="78" t="s">
        <v>33</v>
      </c>
      <c r="J3508" s="78" t="s">
        <v>147</v>
      </c>
      <c r="K3508" s="294"/>
      <c r="L3508" s="106" t="s">
        <v>76</v>
      </c>
      <c r="M3508" s="282" t="s">
        <v>9005</v>
      </c>
      <c r="N3508" s="106"/>
      <c r="S3508" s="37"/>
      <c r="T3508" s="38"/>
      <c r="U3508" s="38"/>
      <c r="V3508" s="78" t="s">
        <v>33</v>
      </c>
      <c r="W3508" s="106"/>
      <c r="X3508" s="282"/>
      <c r="Y3508" s="295"/>
      <c r="Z3508" s="294"/>
      <c r="AA3508" s="294"/>
      <c r="AB3508" s="294"/>
      <c r="AC3508" s="294"/>
      <c r="AD3508" s="294"/>
      <c r="AE3508" s="294"/>
      <c r="AF3508" s="294"/>
      <c r="AG3508" s="294"/>
      <c r="AH3508" s="294"/>
      <c r="AI3508" s="294"/>
      <c r="AJ3508" s="294"/>
      <c r="AK3508" s="294"/>
      <c r="AL3508" s="294"/>
      <c r="AM3508" s="294"/>
      <c r="AN3508" s="294"/>
      <c r="AO3508" s="294"/>
      <c r="AP3508" s="294"/>
      <c r="AQ3508" s="294"/>
      <c r="AR3508" s="294"/>
      <c r="AS3508" s="294"/>
      <c r="AT3508" s="294"/>
      <c r="AU3508" s="294"/>
      <c r="AV3508" s="294"/>
      <c r="AW3508" s="294"/>
      <c r="AX3508" s="294"/>
      <c r="AY3508" s="294"/>
      <c r="AZ3508" s="294"/>
      <c r="BA3508" s="294"/>
      <c r="BB3508" s="294"/>
      <c r="BC3508" s="294"/>
      <c r="BD3508" s="294"/>
      <c r="BE3508" s="294"/>
      <c r="BF3508" s="294"/>
      <c r="BG3508" s="294"/>
      <c r="BH3508" s="294"/>
      <c r="BI3508" s="294"/>
      <c r="BJ3508" s="294"/>
      <c r="BK3508" s="294"/>
      <c r="BL3508" s="294"/>
      <c r="BM3508" s="294"/>
      <c r="BN3508" s="294"/>
      <c r="BO3508" s="294"/>
      <c r="BP3508" s="294"/>
      <c r="BQ3508" s="294"/>
    </row>
    <row r="3509">
      <c r="A3509" s="78" t="s">
        <v>9006</v>
      </c>
      <c r="B3509" s="293"/>
      <c r="C3509" s="99">
        <v>44124.0</v>
      </c>
      <c r="D3509" s="294"/>
      <c r="E3509" s="78" t="s">
        <v>41</v>
      </c>
      <c r="F3509" s="37">
        <v>1.0</v>
      </c>
      <c r="G3509" s="78" t="s">
        <v>32</v>
      </c>
      <c r="H3509" s="78">
        <v>1.0</v>
      </c>
      <c r="I3509" s="78" t="s">
        <v>33</v>
      </c>
      <c r="J3509" s="78" t="s">
        <v>93</v>
      </c>
      <c r="K3509" s="294"/>
      <c r="L3509" s="106" t="s">
        <v>119</v>
      </c>
      <c r="M3509" s="282" t="s">
        <v>9007</v>
      </c>
      <c r="N3509" s="106"/>
      <c r="S3509" s="37"/>
      <c r="T3509" s="38"/>
      <c r="U3509" s="38"/>
      <c r="V3509" s="78" t="s">
        <v>33</v>
      </c>
      <c r="W3509" s="106"/>
      <c r="X3509" s="282"/>
      <c r="Y3509" s="295"/>
      <c r="Z3509" s="294"/>
      <c r="AA3509" s="294"/>
      <c r="AB3509" s="294"/>
      <c r="AC3509" s="294"/>
      <c r="AD3509" s="294"/>
      <c r="AE3509" s="294"/>
      <c r="AF3509" s="294"/>
      <c r="AG3509" s="294"/>
      <c r="AH3509" s="294"/>
      <c r="AI3509" s="294"/>
      <c r="AJ3509" s="294"/>
      <c r="AK3509" s="294"/>
      <c r="AL3509" s="294"/>
      <c r="AM3509" s="294"/>
      <c r="AN3509" s="294"/>
      <c r="AO3509" s="294"/>
      <c r="AP3509" s="294"/>
      <c r="AQ3509" s="294"/>
      <c r="AR3509" s="294"/>
      <c r="AS3509" s="294"/>
      <c r="AT3509" s="294"/>
      <c r="AU3509" s="294"/>
      <c r="AV3509" s="294"/>
      <c r="AW3509" s="294"/>
      <c r="AX3509" s="294"/>
      <c r="AY3509" s="294"/>
      <c r="AZ3509" s="294"/>
      <c r="BA3509" s="294"/>
      <c r="BB3509" s="294"/>
      <c r="BC3509" s="294"/>
      <c r="BD3509" s="294"/>
      <c r="BE3509" s="294"/>
      <c r="BF3509" s="294"/>
      <c r="BG3509" s="294"/>
      <c r="BH3509" s="294"/>
      <c r="BI3509" s="294"/>
      <c r="BJ3509" s="294"/>
      <c r="BK3509" s="294"/>
      <c r="BL3509" s="294"/>
      <c r="BM3509" s="294"/>
      <c r="BN3509" s="294"/>
      <c r="BO3509" s="294"/>
      <c r="BP3509" s="294"/>
      <c r="BQ3509" s="294"/>
    </row>
    <row r="3510">
      <c r="A3510" s="78" t="s">
        <v>9008</v>
      </c>
      <c r="B3510" s="293"/>
      <c r="C3510" s="99">
        <v>44124.0</v>
      </c>
      <c r="D3510" s="294"/>
      <c r="E3510" s="78" t="s">
        <v>41</v>
      </c>
      <c r="F3510" s="37">
        <v>1.0</v>
      </c>
      <c r="G3510" s="78" t="s">
        <v>32</v>
      </c>
      <c r="H3510" s="78">
        <v>1.0</v>
      </c>
      <c r="I3510" s="78" t="s">
        <v>33</v>
      </c>
      <c r="J3510" s="78" t="s">
        <v>222</v>
      </c>
      <c r="K3510" s="294"/>
      <c r="L3510" s="106" t="s">
        <v>69</v>
      </c>
      <c r="M3510" s="282" t="s">
        <v>9009</v>
      </c>
      <c r="N3510" s="106"/>
      <c r="S3510" s="37"/>
      <c r="T3510" s="38"/>
      <c r="U3510" s="38"/>
      <c r="V3510" s="78" t="s">
        <v>33</v>
      </c>
      <c r="W3510" s="106"/>
      <c r="X3510" s="282"/>
      <c r="Y3510" s="295"/>
      <c r="Z3510" s="294"/>
      <c r="AA3510" s="294"/>
      <c r="AB3510" s="294"/>
      <c r="AC3510" s="294"/>
      <c r="AD3510" s="294"/>
      <c r="AE3510" s="294"/>
      <c r="AF3510" s="294"/>
      <c r="AG3510" s="294"/>
      <c r="AH3510" s="294"/>
      <c r="AI3510" s="294"/>
      <c r="AJ3510" s="294"/>
      <c r="AK3510" s="294"/>
      <c r="AL3510" s="294"/>
      <c r="AM3510" s="294"/>
      <c r="AN3510" s="294"/>
      <c r="AO3510" s="294"/>
      <c r="AP3510" s="294"/>
      <c r="AQ3510" s="294"/>
      <c r="AR3510" s="294"/>
      <c r="AS3510" s="294"/>
      <c r="AT3510" s="294"/>
      <c r="AU3510" s="294"/>
      <c r="AV3510" s="294"/>
      <c r="AW3510" s="294"/>
      <c r="AX3510" s="294"/>
      <c r="AY3510" s="294"/>
      <c r="AZ3510" s="294"/>
      <c r="BA3510" s="294"/>
      <c r="BB3510" s="294"/>
      <c r="BC3510" s="294"/>
      <c r="BD3510" s="294"/>
      <c r="BE3510" s="294"/>
      <c r="BF3510" s="294"/>
      <c r="BG3510" s="294"/>
      <c r="BH3510" s="294"/>
      <c r="BI3510" s="294"/>
      <c r="BJ3510" s="294"/>
      <c r="BK3510" s="294"/>
      <c r="BL3510" s="294"/>
      <c r="BM3510" s="294"/>
      <c r="BN3510" s="294"/>
      <c r="BO3510" s="294"/>
      <c r="BP3510" s="294"/>
      <c r="BQ3510" s="294"/>
    </row>
    <row r="3511">
      <c r="A3511" s="78" t="s">
        <v>9010</v>
      </c>
      <c r="B3511" s="293"/>
      <c r="C3511" s="99">
        <v>44125.0</v>
      </c>
      <c r="D3511" s="294"/>
      <c r="E3511" s="78" t="s">
        <v>41</v>
      </c>
      <c r="F3511" s="37">
        <v>1.0</v>
      </c>
      <c r="G3511" s="78" t="s">
        <v>32</v>
      </c>
      <c r="H3511" s="78">
        <v>1.0</v>
      </c>
      <c r="I3511" s="78" t="s">
        <v>33</v>
      </c>
      <c r="J3511" s="78" t="s">
        <v>47</v>
      </c>
      <c r="K3511" s="294"/>
      <c r="L3511" s="106" t="s">
        <v>119</v>
      </c>
      <c r="M3511" s="282" t="s">
        <v>9011</v>
      </c>
      <c r="N3511" s="106"/>
      <c r="S3511" s="37"/>
      <c r="T3511" s="38"/>
      <c r="U3511" s="38"/>
      <c r="V3511" s="78" t="s">
        <v>33</v>
      </c>
      <c r="W3511" s="106"/>
      <c r="X3511" s="282"/>
      <c r="Y3511" s="295"/>
      <c r="Z3511" s="294"/>
      <c r="AA3511" s="294"/>
      <c r="AB3511" s="294"/>
      <c r="AC3511" s="294"/>
      <c r="AD3511" s="294"/>
      <c r="AE3511" s="294"/>
      <c r="AF3511" s="294"/>
      <c r="AG3511" s="294"/>
      <c r="AH3511" s="294"/>
      <c r="AI3511" s="294"/>
      <c r="AJ3511" s="294"/>
      <c r="AK3511" s="294"/>
      <c r="AL3511" s="294"/>
      <c r="AM3511" s="294"/>
      <c r="AN3511" s="294"/>
      <c r="AO3511" s="294"/>
      <c r="AP3511" s="294"/>
      <c r="AQ3511" s="294"/>
      <c r="AR3511" s="294"/>
      <c r="AS3511" s="294"/>
      <c r="AT3511" s="294"/>
      <c r="AU3511" s="294"/>
      <c r="AV3511" s="294"/>
      <c r="AW3511" s="294"/>
      <c r="AX3511" s="294"/>
      <c r="AY3511" s="294"/>
      <c r="AZ3511" s="294"/>
      <c r="BA3511" s="294"/>
      <c r="BB3511" s="294"/>
      <c r="BC3511" s="294"/>
      <c r="BD3511" s="294"/>
      <c r="BE3511" s="294"/>
      <c r="BF3511" s="294"/>
      <c r="BG3511" s="294"/>
      <c r="BH3511" s="294"/>
      <c r="BI3511" s="294"/>
      <c r="BJ3511" s="294"/>
      <c r="BK3511" s="294"/>
      <c r="BL3511" s="294"/>
      <c r="BM3511" s="294"/>
      <c r="BN3511" s="294"/>
      <c r="BO3511" s="294"/>
      <c r="BP3511" s="294"/>
      <c r="BQ3511" s="294"/>
    </row>
    <row r="3512">
      <c r="A3512" s="78" t="s">
        <v>9012</v>
      </c>
      <c r="B3512" s="293"/>
      <c r="C3512" s="99">
        <v>44125.0</v>
      </c>
      <c r="D3512" s="294"/>
      <c r="E3512" s="78" t="s">
        <v>41</v>
      </c>
      <c r="F3512" s="37">
        <v>1.0</v>
      </c>
      <c r="G3512" s="78" t="s">
        <v>32</v>
      </c>
      <c r="H3512" s="78">
        <v>1.0</v>
      </c>
      <c r="I3512" s="78" t="s">
        <v>33</v>
      </c>
      <c r="J3512" s="78" t="s">
        <v>909</v>
      </c>
      <c r="K3512" s="294"/>
      <c r="L3512" s="106" t="s">
        <v>69</v>
      </c>
      <c r="M3512" s="282" t="s">
        <v>9013</v>
      </c>
      <c r="N3512" s="106"/>
      <c r="S3512" s="37"/>
      <c r="T3512" s="38"/>
      <c r="U3512" s="38"/>
      <c r="V3512" s="78" t="s">
        <v>33</v>
      </c>
      <c r="W3512" s="106"/>
      <c r="X3512" s="282"/>
      <c r="Y3512" s="295"/>
      <c r="Z3512" s="294"/>
      <c r="AA3512" s="294"/>
      <c r="AB3512" s="294"/>
      <c r="AC3512" s="294"/>
      <c r="AD3512" s="294"/>
      <c r="AE3512" s="294"/>
      <c r="AF3512" s="294"/>
      <c r="AG3512" s="294"/>
      <c r="AH3512" s="294"/>
      <c r="AI3512" s="294"/>
      <c r="AJ3512" s="294"/>
      <c r="AK3512" s="294"/>
      <c r="AL3512" s="294"/>
      <c r="AM3512" s="294"/>
      <c r="AN3512" s="294"/>
      <c r="AO3512" s="294"/>
      <c r="AP3512" s="294"/>
      <c r="AQ3512" s="294"/>
      <c r="AR3512" s="294"/>
      <c r="AS3512" s="294"/>
      <c r="AT3512" s="294"/>
      <c r="AU3512" s="294"/>
      <c r="AV3512" s="294"/>
      <c r="AW3512" s="294"/>
      <c r="AX3512" s="294"/>
      <c r="AY3512" s="294"/>
      <c r="AZ3512" s="294"/>
      <c r="BA3512" s="294"/>
      <c r="BB3512" s="294"/>
      <c r="BC3512" s="294"/>
      <c r="BD3512" s="294"/>
      <c r="BE3512" s="294"/>
      <c r="BF3512" s="294"/>
      <c r="BG3512" s="294"/>
      <c r="BH3512" s="294"/>
      <c r="BI3512" s="294"/>
      <c r="BJ3512" s="294"/>
      <c r="BK3512" s="294"/>
      <c r="BL3512" s="294"/>
      <c r="BM3512" s="294"/>
      <c r="BN3512" s="294"/>
      <c r="BO3512" s="294"/>
      <c r="BP3512" s="294"/>
      <c r="BQ3512" s="294"/>
    </row>
    <row r="3513">
      <c r="A3513" s="78" t="s">
        <v>9014</v>
      </c>
      <c r="B3513" s="293"/>
      <c r="C3513" s="99">
        <v>44125.0</v>
      </c>
      <c r="D3513" s="294"/>
      <c r="E3513" s="78" t="s">
        <v>41</v>
      </c>
      <c r="F3513" s="37">
        <v>1.0</v>
      </c>
      <c r="G3513" s="78" t="s">
        <v>32</v>
      </c>
      <c r="H3513" s="78">
        <v>1.0</v>
      </c>
      <c r="I3513" s="78" t="s">
        <v>33</v>
      </c>
      <c r="J3513" s="78" t="s">
        <v>55</v>
      </c>
      <c r="K3513" s="294"/>
      <c r="L3513" s="106" t="s">
        <v>119</v>
      </c>
      <c r="M3513" s="282" t="s">
        <v>9015</v>
      </c>
      <c r="N3513" s="106"/>
      <c r="S3513" s="37"/>
      <c r="T3513" s="38"/>
      <c r="U3513" s="38"/>
      <c r="V3513" s="78" t="s">
        <v>33</v>
      </c>
      <c r="W3513" s="106"/>
      <c r="X3513" s="282"/>
      <c r="Y3513" s="295"/>
      <c r="Z3513" s="294"/>
      <c r="AA3513" s="294"/>
      <c r="AB3513" s="294"/>
      <c r="AC3513" s="294"/>
      <c r="AD3513" s="294"/>
      <c r="AE3513" s="294"/>
      <c r="AF3513" s="294"/>
      <c r="AG3513" s="294"/>
      <c r="AH3513" s="294"/>
      <c r="AI3513" s="294"/>
      <c r="AJ3513" s="294"/>
      <c r="AK3513" s="294"/>
      <c r="AL3513" s="294"/>
      <c r="AM3513" s="294"/>
      <c r="AN3513" s="294"/>
      <c r="AO3513" s="294"/>
      <c r="AP3513" s="294"/>
      <c r="AQ3513" s="294"/>
      <c r="AR3513" s="294"/>
      <c r="AS3513" s="294"/>
      <c r="AT3513" s="294"/>
      <c r="AU3513" s="294"/>
      <c r="AV3513" s="294"/>
      <c r="AW3513" s="294"/>
      <c r="AX3513" s="294"/>
      <c r="AY3513" s="294"/>
      <c r="AZ3513" s="294"/>
      <c r="BA3513" s="294"/>
      <c r="BB3513" s="294"/>
      <c r="BC3513" s="294"/>
      <c r="BD3513" s="294"/>
      <c r="BE3513" s="294"/>
      <c r="BF3513" s="294"/>
      <c r="BG3513" s="294"/>
      <c r="BH3513" s="294"/>
      <c r="BI3513" s="294"/>
      <c r="BJ3513" s="294"/>
      <c r="BK3513" s="294"/>
      <c r="BL3513" s="294"/>
      <c r="BM3513" s="294"/>
      <c r="BN3513" s="294"/>
      <c r="BO3513" s="294"/>
      <c r="BP3513" s="294"/>
      <c r="BQ3513" s="294"/>
    </row>
    <row r="3514">
      <c r="A3514" s="78" t="s">
        <v>9016</v>
      </c>
      <c r="B3514" s="293"/>
      <c r="C3514" s="99">
        <v>44126.0</v>
      </c>
      <c r="D3514" s="294"/>
      <c r="E3514" s="78" t="s">
        <v>41</v>
      </c>
      <c r="F3514" s="37">
        <v>1.0</v>
      </c>
      <c r="G3514" s="78" t="s">
        <v>32</v>
      </c>
      <c r="H3514" s="78">
        <v>1.0</v>
      </c>
      <c r="I3514" s="78" t="s">
        <v>33</v>
      </c>
      <c r="J3514" s="78" t="s">
        <v>111</v>
      </c>
      <c r="K3514" s="294"/>
      <c r="L3514" s="106" t="s">
        <v>76</v>
      </c>
      <c r="M3514" s="282" t="s">
        <v>9017</v>
      </c>
      <c r="N3514" s="106"/>
      <c r="S3514" s="37"/>
      <c r="T3514" s="38"/>
      <c r="U3514" s="38"/>
      <c r="V3514" s="78" t="s">
        <v>33</v>
      </c>
      <c r="W3514" s="106"/>
      <c r="X3514" s="282"/>
      <c r="Y3514" s="295"/>
      <c r="Z3514" s="294"/>
      <c r="AA3514" s="294"/>
      <c r="AB3514" s="294"/>
      <c r="AC3514" s="294"/>
      <c r="AD3514" s="294"/>
      <c r="AE3514" s="294"/>
      <c r="AF3514" s="294"/>
      <c r="AG3514" s="294"/>
      <c r="AH3514" s="294"/>
      <c r="AI3514" s="294"/>
      <c r="AJ3514" s="294"/>
      <c r="AK3514" s="294"/>
      <c r="AL3514" s="294"/>
      <c r="AM3514" s="294"/>
      <c r="AN3514" s="294"/>
      <c r="AO3514" s="294"/>
      <c r="AP3514" s="294"/>
      <c r="AQ3514" s="294"/>
      <c r="AR3514" s="294"/>
      <c r="AS3514" s="294"/>
      <c r="AT3514" s="294"/>
      <c r="AU3514" s="294"/>
      <c r="AV3514" s="294"/>
      <c r="AW3514" s="294"/>
      <c r="AX3514" s="294"/>
      <c r="AY3514" s="294"/>
      <c r="AZ3514" s="294"/>
      <c r="BA3514" s="294"/>
      <c r="BB3514" s="294"/>
      <c r="BC3514" s="294"/>
      <c r="BD3514" s="294"/>
      <c r="BE3514" s="294"/>
      <c r="BF3514" s="294"/>
      <c r="BG3514" s="294"/>
      <c r="BH3514" s="294"/>
      <c r="BI3514" s="294"/>
      <c r="BJ3514" s="294"/>
      <c r="BK3514" s="294"/>
      <c r="BL3514" s="294"/>
      <c r="BM3514" s="294"/>
      <c r="BN3514" s="294"/>
      <c r="BO3514" s="294"/>
      <c r="BP3514" s="294"/>
      <c r="BQ3514" s="294"/>
    </row>
    <row r="3515">
      <c r="A3515" s="78" t="s">
        <v>9018</v>
      </c>
      <c r="B3515" s="293"/>
      <c r="C3515" s="99">
        <v>44131.0</v>
      </c>
      <c r="D3515" s="294"/>
      <c r="E3515" s="78" t="s">
        <v>31</v>
      </c>
      <c r="F3515" s="37">
        <v>1.0</v>
      </c>
      <c r="G3515" s="78">
        <v>2.0</v>
      </c>
      <c r="H3515" s="78">
        <v>2.0</v>
      </c>
      <c r="I3515" s="78" t="s">
        <v>33</v>
      </c>
      <c r="J3515" s="78" t="s">
        <v>106</v>
      </c>
      <c r="K3515" s="294"/>
      <c r="L3515" s="106" t="s">
        <v>76</v>
      </c>
      <c r="M3515" s="282" t="s">
        <v>9019</v>
      </c>
      <c r="N3515" s="46" t="s">
        <v>9020</v>
      </c>
      <c r="S3515" s="37"/>
      <c r="T3515" s="38"/>
      <c r="U3515" s="38"/>
      <c r="V3515" s="78" t="s">
        <v>33</v>
      </c>
      <c r="W3515" s="46" t="s">
        <v>9021</v>
      </c>
      <c r="X3515" s="282" t="s">
        <v>9022</v>
      </c>
      <c r="Y3515" s="295"/>
      <c r="Z3515" s="294"/>
      <c r="AA3515" s="294"/>
      <c r="AB3515" s="294"/>
      <c r="AC3515" s="294"/>
      <c r="AD3515" s="294"/>
      <c r="AE3515" s="294"/>
      <c r="AF3515" s="294"/>
      <c r="AG3515" s="294"/>
      <c r="AH3515" s="294"/>
      <c r="AI3515" s="294"/>
      <c r="AJ3515" s="294"/>
      <c r="AK3515" s="294"/>
      <c r="AL3515" s="294"/>
      <c r="AM3515" s="294"/>
      <c r="AN3515" s="294"/>
      <c r="AO3515" s="294"/>
      <c r="AP3515" s="294"/>
      <c r="AQ3515" s="294"/>
      <c r="AR3515" s="294"/>
      <c r="AS3515" s="294"/>
      <c r="AT3515" s="294"/>
      <c r="AU3515" s="294"/>
      <c r="AV3515" s="294"/>
      <c r="AW3515" s="294"/>
      <c r="AX3515" s="294"/>
      <c r="AY3515" s="294"/>
      <c r="AZ3515" s="294"/>
      <c r="BA3515" s="294"/>
      <c r="BB3515" s="294"/>
      <c r="BC3515" s="294"/>
      <c r="BD3515" s="294"/>
      <c r="BE3515" s="294"/>
      <c r="BF3515" s="294"/>
      <c r="BG3515" s="294"/>
      <c r="BH3515" s="294"/>
      <c r="BI3515" s="294"/>
      <c r="BJ3515" s="294"/>
      <c r="BK3515" s="294"/>
      <c r="BL3515" s="294"/>
      <c r="BM3515" s="294"/>
      <c r="BN3515" s="294"/>
      <c r="BO3515" s="294"/>
      <c r="BP3515" s="294"/>
      <c r="BQ3515" s="294"/>
    </row>
    <row r="3516">
      <c r="A3516" s="78" t="s">
        <v>9023</v>
      </c>
      <c r="B3516" s="293"/>
      <c r="C3516" s="99">
        <v>44131.0</v>
      </c>
      <c r="D3516" s="294"/>
      <c r="E3516" s="78" t="s">
        <v>41</v>
      </c>
      <c r="F3516" s="37">
        <v>1.0</v>
      </c>
      <c r="G3516" s="78" t="s">
        <v>32</v>
      </c>
      <c r="H3516" s="78">
        <v>1.0</v>
      </c>
      <c r="I3516" s="78" t="s">
        <v>33</v>
      </c>
      <c r="J3516" s="78" t="s">
        <v>55</v>
      </c>
      <c r="K3516" s="294"/>
      <c r="L3516" s="106" t="s">
        <v>69</v>
      </c>
      <c r="M3516" s="282" t="s">
        <v>9024</v>
      </c>
      <c r="N3516" s="106"/>
      <c r="S3516" s="37"/>
      <c r="T3516" s="38"/>
      <c r="U3516" s="38"/>
      <c r="V3516" s="78" t="s">
        <v>33</v>
      </c>
      <c r="W3516" s="106"/>
      <c r="X3516" s="282"/>
      <c r="Y3516" s="295"/>
      <c r="Z3516" s="294"/>
      <c r="AA3516" s="294"/>
      <c r="AB3516" s="294"/>
      <c r="AC3516" s="294"/>
      <c r="AD3516" s="294"/>
      <c r="AE3516" s="294"/>
      <c r="AF3516" s="294"/>
      <c r="AG3516" s="294"/>
      <c r="AH3516" s="294"/>
      <c r="AI3516" s="294"/>
      <c r="AJ3516" s="294"/>
      <c r="AK3516" s="294"/>
      <c r="AL3516" s="294"/>
      <c r="AM3516" s="294"/>
      <c r="AN3516" s="294"/>
      <c r="AO3516" s="294"/>
      <c r="AP3516" s="294"/>
      <c r="AQ3516" s="294"/>
      <c r="AR3516" s="294"/>
      <c r="AS3516" s="294"/>
      <c r="AT3516" s="294"/>
      <c r="AU3516" s="294"/>
      <c r="AV3516" s="294"/>
      <c r="AW3516" s="294"/>
      <c r="AX3516" s="294"/>
      <c r="AY3516" s="294"/>
      <c r="AZ3516" s="294"/>
      <c r="BA3516" s="294"/>
      <c r="BB3516" s="294"/>
      <c r="BC3516" s="294"/>
      <c r="BD3516" s="294"/>
      <c r="BE3516" s="294"/>
      <c r="BF3516" s="294"/>
      <c r="BG3516" s="294"/>
      <c r="BH3516" s="294"/>
      <c r="BI3516" s="294"/>
      <c r="BJ3516" s="294"/>
      <c r="BK3516" s="294"/>
      <c r="BL3516" s="294"/>
      <c r="BM3516" s="294"/>
      <c r="BN3516" s="294"/>
      <c r="BO3516" s="294"/>
      <c r="BP3516" s="294"/>
      <c r="BQ3516" s="294"/>
    </row>
    <row r="3517">
      <c r="A3517" s="78" t="s">
        <v>9025</v>
      </c>
      <c r="B3517" s="293"/>
      <c r="C3517" s="99">
        <v>44131.0</v>
      </c>
      <c r="D3517" s="294"/>
      <c r="E3517" s="78" t="s">
        <v>41</v>
      </c>
      <c r="F3517" s="37">
        <v>1.0</v>
      </c>
      <c r="G3517" s="78" t="s">
        <v>32</v>
      </c>
      <c r="H3517" s="78">
        <v>1.0</v>
      </c>
      <c r="I3517" s="78" t="s">
        <v>33</v>
      </c>
      <c r="J3517" s="78" t="s">
        <v>909</v>
      </c>
      <c r="K3517" s="294"/>
      <c r="L3517" s="106" t="s">
        <v>119</v>
      </c>
      <c r="M3517" s="282" t="s">
        <v>9026</v>
      </c>
      <c r="N3517" s="106"/>
      <c r="S3517" s="37"/>
      <c r="T3517" s="38"/>
      <c r="U3517" s="38"/>
      <c r="V3517" s="78" t="s">
        <v>33</v>
      </c>
      <c r="W3517" s="106"/>
      <c r="X3517" s="282"/>
      <c r="Y3517" s="295"/>
      <c r="Z3517" s="294"/>
      <c r="AA3517" s="294"/>
      <c r="AB3517" s="294"/>
      <c r="AC3517" s="294"/>
      <c r="AD3517" s="294"/>
      <c r="AE3517" s="294"/>
      <c r="AF3517" s="294"/>
      <c r="AG3517" s="294"/>
      <c r="AH3517" s="294"/>
      <c r="AI3517" s="294"/>
      <c r="AJ3517" s="294"/>
      <c r="AK3517" s="294"/>
      <c r="AL3517" s="294"/>
      <c r="AM3517" s="294"/>
      <c r="AN3517" s="294"/>
      <c r="AO3517" s="294"/>
      <c r="AP3517" s="294"/>
      <c r="AQ3517" s="294"/>
      <c r="AR3517" s="294"/>
      <c r="AS3517" s="294"/>
      <c r="AT3517" s="294"/>
      <c r="AU3517" s="294"/>
      <c r="AV3517" s="294"/>
      <c r="AW3517" s="294"/>
      <c r="AX3517" s="294"/>
      <c r="AY3517" s="294"/>
      <c r="AZ3517" s="294"/>
      <c r="BA3517" s="294"/>
      <c r="BB3517" s="294"/>
      <c r="BC3517" s="294"/>
      <c r="BD3517" s="294"/>
      <c r="BE3517" s="294"/>
      <c r="BF3517" s="294"/>
      <c r="BG3517" s="294"/>
      <c r="BH3517" s="294"/>
      <c r="BI3517" s="294"/>
      <c r="BJ3517" s="294"/>
      <c r="BK3517" s="294"/>
      <c r="BL3517" s="294"/>
      <c r="BM3517" s="294"/>
      <c r="BN3517" s="294"/>
      <c r="BO3517" s="294"/>
      <c r="BP3517" s="294"/>
      <c r="BQ3517" s="294"/>
    </row>
    <row r="3518">
      <c r="A3518" s="78" t="s">
        <v>9027</v>
      </c>
      <c r="B3518" s="293"/>
      <c r="C3518" s="99">
        <v>44131.0</v>
      </c>
      <c r="D3518" s="294"/>
      <c r="E3518" s="78" t="s">
        <v>41</v>
      </c>
      <c r="F3518" s="37">
        <v>1.0</v>
      </c>
      <c r="G3518" s="78">
        <v>1.0</v>
      </c>
      <c r="H3518" s="78">
        <v>1.0</v>
      </c>
      <c r="I3518" s="78" t="s">
        <v>33</v>
      </c>
      <c r="J3518" s="78" t="s">
        <v>440</v>
      </c>
      <c r="K3518" s="294"/>
      <c r="L3518" s="106" t="s">
        <v>76</v>
      </c>
      <c r="M3518" s="282" t="s">
        <v>9028</v>
      </c>
      <c r="N3518" s="106"/>
      <c r="S3518" s="37"/>
      <c r="T3518" s="38"/>
      <c r="U3518" s="38"/>
      <c r="V3518" s="78" t="s">
        <v>33</v>
      </c>
      <c r="W3518" s="106"/>
      <c r="X3518" s="282"/>
      <c r="Y3518" s="295"/>
      <c r="Z3518" s="294"/>
      <c r="AA3518" s="294"/>
      <c r="AB3518" s="294"/>
      <c r="AC3518" s="294"/>
      <c r="AD3518" s="294"/>
      <c r="AE3518" s="294"/>
      <c r="AF3518" s="294"/>
      <c r="AG3518" s="294"/>
      <c r="AH3518" s="294"/>
      <c r="AI3518" s="294"/>
      <c r="AJ3518" s="294"/>
      <c r="AK3518" s="294"/>
      <c r="AL3518" s="294"/>
      <c r="AM3518" s="294"/>
      <c r="AN3518" s="294"/>
      <c r="AO3518" s="294"/>
      <c r="AP3518" s="294"/>
      <c r="AQ3518" s="294"/>
      <c r="AR3518" s="294"/>
      <c r="AS3518" s="294"/>
      <c r="AT3518" s="294"/>
      <c r="AU3518" s="294"/>
      <c r="AV3518" s="294"/>
      <c r="AW3518" s="294"/>
      <c r="AX3518" s="294"/>
      <c r="AY3518" s="294"/>
      <c r="AZ3518" s="294"/>
      <c r="BA3518" s="294"/>
      <c r="BB3518" s="294"/>
      <c r="BC3518" s="294"/>
      <c r="BD3518" s="294"/>
      <c r="BE3518" s="294"/>
      <c r="BF3518" s="294"/>
      <c r="BG3518" s="294"/>
      <c r="BH3518" s="294"/>
      <c r="BI3518" s="294"/>
      <c r="BJ3518" s="294"/>
      <c r="BK3518" s="294"/>
      <c r="BL3518" s="294"/>
      <c r="BM3518" s="294"/>
      <c r="BN3518" s="294"/>
      <c r="BO3518" s="294"/>
      <c r="BP3518" s="294"/>
      <c r="BQ3518" s="294"/>
    </row>
    <row r="3519">
      <c r="A3519" s="78" t="s">
        <v>9029</v>
      </c>
      <c r="B3519" s="293"/>
      <c r="C3519" s="99">
        <v>44131.0</v>
      </c>
      <c r="D3519" s="294"/>
      <c r="E3519" s="78" t="s">
        <v>41</v>
      </c>
      <c r="F3519" s="37">
        <v>1.0</v>
      </c>
      <c r="G3519" s="78" t="s">
        <v>32</v>
      </c>
      <c r="H3519" s="78">
        <v>1.0</v>
      </c>
      <c r="I3519" s="78" t="s">
        <v>33</v>
      </c>
      <c r="J3519" s="78" t="s">
        <v>268</v>
      </c>
      <c r="K3519" s="294"/>
      <c r="L3519" s="106" t="s">
        <v>790</v>
      </c>
      <c r="M3519" s="282" t="s">
        <v>9030</v>
      </c>
      <c r="N3519" s="106"/>
      <c r="S3519" s="37"/>
      <c r="T3519" s="38"/>
      <c r="U3519" s="38"/>
      <c r="V3519" s="78" t="s">
        <v>33</v>
      </c>
      <c r="W3519" s="106"/>
      <c r="X3519" s="282"/>
      <c r="Y3519" s="295"/>
      <c r="Z3519" s="294"/>
      <c r="AA3519" s="294"/>
      <c r="AB3519" s="294"/>
      <c r="AC3519" s="294"/>
      <c r="AD3519" s="294"/>
      <c r="AE3519" s="294"/>
      <c r="AF3519" s="294"/>
      <c r="AG3519" s="294"/>
      <c r="AH3519" s="294"/>
      <c r="AI3519" s="294"/>
      <c r="AJ3519" s="294"/>
      <c r="AK3519" s="294"/>
      <c r="AL3519" s="294"/>
      <c r="AM3519" s="294"/>
      <c r="AN3519" s="294"/>
      <c r="AO3519" s="294"/>
      <c r="AP3519" s="294"/>
      <c r="AQ3519" s="294"/>
      <c r="AR3519" s="294"/>
      <c r="AS3519" s="294"/>
      <c r="AT3519" s="294"/>
      <c r="AU3519" s="294"/>
      <c r="AV3519" s="294"/>
      <c r="AW3519" s="294"/>
      <c r="AX3519" s="294"/>
      <c r="AY3519" s="294"/>
      <c r="AZ3519" s="294"/>
      <c r="BA3519" s="294"/>
      <c r="BB3519" s="294"/>
      <c r="BC3519" s="294"/>
      <c r="BD3519" s="294"/>
      <c r="BE3519" s="294"/>
      <c r="BF3519" s="294"/>
      <c r="BG3519" s="294"/>
      <c r="BH3519" s="294"/>
      <c r="BI3519" s="294"/>
      <c r="BJ3519" s="294"/>
      <c r="BK3519" s="294"/>
      <c r="BL3519" s="294"/>
      <c r="BM3519" s="294"/>
      <c r="BN3519" s="294"/>
      <c r="BO3519" s="294"/>
      <c r="BP3519" s="294"/>
      <c r="BQ3519" s="294"/>
    </row>
    <row r="3520">
      <c r="A3520" s="78" t="s">
        <v>9031</v>
      </c>
      <c r="B3520" s="293"/>
      <c r="C3520" s="99">
        <v>44132.0</v>
      </c>
      <c r="D3520" s="294"/>
      <c r="E3520" s="78" t="s">
        <v>41</v>
      </c>
      <c r="F3520" s="37">
        <v>1.0</v>
      </c>
      <c r="G3520" s="78" t="s">
        <v>32</v>
      </c>
      <c r="H3520" s="78">
        <v>1.0</v>
      </c>
      <c r="I3520" s="78" t="s">
        <v>33</v>
      </c>
      <c r="J3520" s="78" t="s">
        <v>115</v>
      </c>
      <c r="K3520" s="294"/>
      <c r="L3520" s="106" t="s">
        <v>119</v>
      </c>
      <c r="M3520" s="282" t="s">
        <v>9032</v>
      </c>
      <c r="N3520" s="106"/>
      <c r="S3520" s="37"/>
      <c r="T3520" s="38"/>
      <c r="U3520" s="38"/>
      <c r="V3520" s="78" t="s">
        <v>33</v>
      </c>
      <c r="W3520" s="106"/>
      <c r="X3520" s="282"/>
      <c r="Y3520" s="295"/>
      <c r="Z3520" s="294"/>
      <c r="AA3520" s="294"/>
      <c r="AB3520" s="294"/>
      <c r="AC3520" s="294"/>
      <c r="AD3520" s="294"/>
      <c r="AE3520" s="294"/>
      <c r="AF3520" s="294"/>
      <c r="AG3520" s="294"/>
      <c r="AH3520" s="294"/>
      <c r="AI3520" s="294"/>
      <c r="AJ3520" s="294"/>
      <c r="AK3520" s="294"/>
      <c r="AL3520" s="294"/>
      <c r="AM3520" s="294"/>
      <c r="AN3520" s="294"/>
      <c r="AO3520" s="294"/>
      <c r="AP3520" s="294"/>
      <c r="AQ3520" s="294"/>
      <c r="AR3520" s="294"/>
      <c r="AS3520" s="294"/>
      <c r="AT3520" s="294"/>
      <c r="AU3520" s="294"/>
      <c r="AV3520" s="294"/>
      <c r="AW3520" s="294"/>
      <c r="AX3520" s="294"/>
      <c r="AY3520" s="294"/>
      <c r="AZ3520" s="294"/>
      <c r="BA3520" s="294"/>
      <c r="BB3520" s="294"/>
      <c r="BC3520" s="294"/>
      <c r="BD3520" s="294"/>
      <c r="BE3520" s="294"/>
      <c r="BF3520" s="294"/>
      <c r="BG3520" s="294"/>
      <c r="BH3520" s="294"/>
      <c r="BI3520" s="294"/>
      <c r="BJ3520" s="294"/>
      <c r="BK3520" s="294"/>
      <c r="BL3520" s="294"/>
      <c r="BM3520" s="294"/>
      <c r="BN3520" s="294"/>
      <c r="BO3520" s="294"/>
      <c r="BP3520" s="294"/>
      <c r="BQ3520" s="294"/>
    </row>
    <row r="3521">
      <c r="A3521" s="78" t="s">
        <v>9033</v>
      </c>
      <c r="B3521" s="293"/>
      <c r="C3521" s="99">
        <v>44133.0</v>
      </c>
      <c r="D3521" s="294"/>
      <c r="E3521" s="78" t="s">
        <v>41</v>
      </c>
      <c r="F3521" s="37">
        <v>1.0</v>
      </c>
      <c r="G3521" s="78" t="s">
        <v>32</v>
      </c>
      <c r="H3521" s="78">
        <v>1.0</v>
      </c>
      <c r="I3521" s="78" t="s">
        <v>33</v>
      </c>
      <c r="J3521" s="78" t="s">
        <v>909</v>
      </c>
      <c r="K3521" s="294"/>
      <c r="L3521" s="106" t="s">
        <v>69</v>
      </c>
      <c r="M3521" s="282" t="s">
        <v>9034</v>
      </c>
      <c r="N3521" s="106"/>
      <c r="S3521" s="37"/>
      <c r="T3521" s="38"/>
      <c r="U3521" s="38"/>
      <c r="V3521" s="78" t="s">
        <v>33</v>
      </c>
      <c r="W3521" s="106"/>
      <c r="X3521" s="282"/>
      <c r="Y3521" s="295"/>
      <c r="Z3521" s="294"/>
      <c r="AA3521" s="294"/>
      <c r="AB3521" s="294"/>
      <c r="AC3521" s="294"/>
      <c r="AD3521" s="294"/>
      <c r="AE3521" s="294"/>
      <c r="AF3521" s="294"/>
      <c r="AG3521" s="294"/>
      <c r="AH3521" s="294"/>
      <c r="AI3521" s="294"/>
      <c r="AJ3521" s="294"/>
      <c r="AK3521" s="294"/>
      <c r="AL3521" s="294"/>
      <c r="AM3521" s="294"/>
      <c r="AN3521" s="294"/>
      <c r="AO3521" s="294"/>
      <c r="AP3521" s="294"/>
      <c r="AQ3521" s="294"/>
      <c r="AR3521" s="294"/>
      <c r="AS3521" s="294"/>
      <c r="AT3521" s="294"/>
      <c r="AU3521" s="294"/>
      <c r="AV3521" s="294"/>
      <c r="AW3521" s="294"/>
      <c r="AX3521" s="294"/>
      <c r="AY3521" s="294"/>
      <c r="AZ3521" s="294"/>
      <c r="BA3521" s="294"/>
      <c r="BB3521" s="294"/>
      <c r="BC3521" s="294"/>
      <c r="BD3521" s="294"/>
      <c r="BE3521" s="294"/>
      <c r="BF3521" s="294"/>
      <c r="BG3521" s="294"/>
      <c r="BH3521" s="294"/>
      <c r="BI3521" s="294"/>
      <c r="BJ3521" s="294"/>
      <c r="BK3521" s="294"/>
      <c r="BL3521" s="294"/>
      <c r="BM3521" s="294"/>
      <c r="BN3521" s="294"/>
      <c r="BO3521" s="294"/>
      <c r="BP3521" s="294"/>
      <c r="BQ3521" s="294"/>
    </row>
    <row r="3522">
      <c r="A3522" s="78" t="s">
        <v>9035</v>
      </c>
      <c r="B3522" s="293"/>
      <c r="C3522" s="99">
        <v>44133.0</v>
      </c>
      <c r="D3522" s="294"/>
      <c r="E3522" s="78" t="s">
        <v>41</v>
      </c>
      <c r="F3522" s="37">
        <v>1.0</v>
      </c>
      <c r="G3522" s="78" t="s">
        <v>32</v>
      </c>
      <c r="H3522" s="78">
        <v>1.0</v>
      </c>
      <c r="I3522" s="78" t="s">
        <v>33</v>
      </c>
      <c r="J3522" s="78" t="s">
        <v>909</v>
      </c>
      <c r="K3522" s="294"/>
      <c r="L3522" s="106" t="s">
        <v>69</v>
      </c>
      <c r="M3522" s="282" t="s">
        <v>9034</v>
      </c>
      <c r="N3522" s="106"/>
      <c r="S3522" s="37"/>
      <c r="T3522" s="38"/>
      <c r="U3522" s="38"/>
      <c r="V3522" s="78" t="s">
        <v>33</v>
      </c>
      <c r="W3522" s="106"/>
      <c r="X3522" s="282"/>
      <c r="Y3522" s="295"/>
      <c r="Z3522" s="294"/>
      <c r="AA3522" s="294"/>
      <c r="AB3522" s="294"/>
      <c r="AC3522" s="294"/>
      <c r="AD3522" s="294"/>
      <c r="AE3522" s="294"/>
      <c r="AF3522" s="294"/>
      <c r="AG3522" s="294"/>
      <c r="AH3522" s="294"/>
      <c r="AI3522" s="294"/>
      <c r="AJ3522" s="294"/>
      <c r="AK3522" s="294"/>
      <c r="AL3522" s="294"/>
      <c r="AM3522" s="294"/>
      <c r="AN3522" s="294"/>
      <c r="AO3522" s="294"/>
      <c r="AP3522" s="294"/>
      <c r="AQ3522" s="294"/>
      <c r="AR3522" s="294"/>
      <c r="AS3522" s="294"/>
      <c r="AT3522" s="294"/>
      <c r="AU3522" s="294"/>
      <c r="AV3522" s="294"/>
      <c r="AW3522" s="294"/>
      <c r="AX3522" s="294"/>
      <c r="AY3522" s="294"/>
      <c r="AZ3522" s="294"/>
      <c r="BA3522" s="294"/>
      <c r="BB3522" s="294"/>
      <c r="BC3522" s="294"/>
      <c r="BD3522" s="294"/>
      <c r="BE3522" s="294"/>
      <c r="BF3522" s="294"/>
      <c r="BG3522" s="294"/>
      <c r="BH3522" s="294"/>
      <c r="BI3522" s="294"/>
      <c r="BJ3522" s="294"/>
      <c r="BK3522" s="294"/>
      <c r="BL3522" s="294"/>
      <c r="BM3522" s="294"/>
      <c r="BN3522" s="294"/>
      <c r="BO3522" s="294"/>
      <c r="BP3522" s="294"/>
      <c r="BQ3522" s="294"/>
    </row>
    <row r="3523">
      <c r="A3523" s="78" t="s">
        <v>9036</v>
      </c>
      <c r="B3523" s="293"/>
      <c r="C3523" s="99">
        <v>44134.0</v>
      </c>
      <c r="D3523" s="294"/>
      <c r="E3523" s="78" t="s">
        <v>41</v>
      </c>
      <c r="F3523" s="37">
        <v>1.0</v>
      </c>
      <c r="G3523" s="78" t="s">
        <v>32</v>
      </c>
      <c r="H3523" s="78">
        <v>1.0</v>
      </c>
      <c r="I3523" s="78" t="s">
        <v>33</v>
      </c>
      <c r="J3523" s="78" t="s">
        <v>440</v>
      </c>
      <c r="K3523" s="294"/>
      <c r="L3523" s="106" t="s">
        <v>119</v>
      </c>
      <c r="M3523" s="282" t="s">
        <v>9037</v>
      </c>
      <c r="N3523" s="106"/>
      <c r="S3523" s="37"/>
      <c r="T3523" s="38"/>
      <c r="U3523" s="38"/>
      <c r="V3523" s="78" t="s">
        <v>33</v>
      </c>
      <c r="W3523" s="106"/>
      <c r="X3523" s="282"/>
      <c r="Y3523" s="295"/>
      <c r="Z3523" s="294"/>
      <c r="AA3523" s="294"/>
      <c r="AB3523" s="294"/>
      <c r="AC3523" s="294"/>
      <c r="AD3523" s="294"/>
      <c r="AE3523" s="294"/>
      <c r="AF3523" s="294"/>
      <c r="AG3523" s="294"/>
      <c r="AH3523" s="294"/>
      <c r="AI3523" s="294"/>
      <c r="AJ3523" s="294"/>
      <c r="AK3523" s="294"/>
      <c r="AL3523" s="294"/>
      <c r="AM3523" s="294"/>
      <c r="AN3523" s="294"/>
      <c r="AO3523" s="294"/>
      <c r="AP3523" s="294"/>
      <c r="AQ3523" s="294"/>
      <c r="AR3523" s="294"/>
      <c r="AS3523" s="294"/>
      <c r="AT3523" s="294"/>
      <c r="AU3523" s="294"/>
      <c r="AV3523" s="294"/>
      <c r="AW3523" s="294"/>
      <c r="AX3523" s="294"/>
      <c r="AY3523" s="294"/>
      <c r="AZ3523" s="294"/>
      <c r="BA3523" s="294"/>
      <c r="BB3523" s="294"/>
      <c r="BC3523" s="294"/>
      <c r="BD3523" s="294"/>
      <c r="BE3523" s="294"/>
      <c r="BF3523" s="294"/>
      <c r="BG3523" s="294"/>
      <c r="BH3523" s="294"/>
      <c r="BI3523" s="294"/>
      <c r="BJ3523" s="294"/>
      <c r="BK3523" s="294"/>
      <c r="BL3523" s="294"/>
      <c r="BM3523" s="294"/>
      <c r="BN3523" s="294"/>
      <c r="BO3523" s="294"/>
      <c r="BP3523" s="294"/>
      <c r="BQ3523" s="294"/>
    </row>
    <row r="3524">
      <c r="A3524" s="78" t="s">
        <v>9038</v>
      </c>
      <c r="B3524" s="248"/>
      <c r="C3524" s="100">
        <v>44136.0</v>
      </c>
      <c r="E3524" s="78" t="s">
        <v>41</v>
      </c>
      <c r="F3524" s="37">
        <v>2.0</v>
      </c>
      <c r="G3524" s="78">
        <v>1.0</v>
      </c>
      <c r="H3524" s="78">
        <v>1.0</v>
      </c>
      <c r="I3524" s="78" t="s">
        <v>33</v>
      </c>
      <c r="J3524" s="78" t="s">
        <v>268</v>
      </c>
      <c r="L3524" s="106" t="s">
        <v>9039</v>
      </c>
      <c r="M3524" s="282" t="s">
        <v>9040</v>
      </c>
      <c r="N3524" s="106"/>
      <c r="Q3524" s="294"/>
      <c r="S3524" s="91"/>
      <c r="T3524" s="96"/>
      <c r="U3524" s="38"/>
      <c r="V3524" s="78" t="s">
        <v>33</v>
      </c>
      <c r="W3524" s="106"/>
      <c r="X3524" s="282"/>
      <c r="Y3524" s="102"/>
    </row>
    <row r="3525">
      <c r="A3525" s="78" t="s">
        <v>9041</v>
      </c>
      <c r="B3525" s="293"/>
      <c r="C3525" s="100">
        <v>44136.0</v>
      </c>
      <c r="D3525" s="294"/>
      <c r="E3525" s="78" t="s">
        <v>41</v>
      </c>
      <c r="F3525" s="37">
        <v>1.0</v>
      </c>
      <c r="G3525" s="78" t="s">
        <v>32</v>
      </c>
      <c r="H3525" s="78">
        <v>1.0</v>
      </c>
      <c r="I3525" s="78" t="s">
        <v>33</v>
      </c>
      <c r="J3525" s="78" t="s">
        <v>268</v>
      </c>
      <c r="K3525" s="294"/>
      <c r="L3525" s="106" t="s">
        <v>790</v>
      </c>
      <c r="M3525" s="282" t="s">
        <v>9030</v>
      </c>
      <c r="N3525" s="106"/>
      <c r="S3525" s="37"/>
      <c r="T3525" s="38"/>
      <c r="U3525" s="38"/>
      <c r="V3525" s="78" t="s">
        <v>33</v>
      </c>
      <c r="W3525" s="106"/>
      <c r="X3525" s="282"/>
      <c r="Y3525" s="295"/>
      <c r="Z3525" s="294"/>
      <c r="AA3525" s="294"/>
      <c r="AB3525" s="294"/>
      <c r="AC3525" s="294"/>
      <c r="AD3525" s="294"/>
      <c r="AE3525" s="294"/>
      <c r="AF3525" s="294"/>
      <c r="AG3525" s="294"/>
      <c r="AH3525" s="294"/>
      <c r="AI3525" s="294"/>
      <c r="AJ3525" s="294"/>
      <c r="AK3525" s="294"/>
      <c r="AL3525" s="294"/>
      <c r="AM3525" s="294"/>
      <c r="AN3525" s="294"/>
      <c r="AO3525" s="294"/>
      <c r="AP3525" s="294"/>
      <c r="AQ3525" s="294"/>
      <c r="AR3525" s="294"/>
      <c r="AS3525" s="294"/>
      <c r="AT3525" s="294"/>
      <c r="AU3525" s="294"/>
      <c r="AV3525" s="294"/>
      <c r="AW3525" s="294"/>
      <c r="AX3525" s="294"/>
      <c r="AY3525" s="294"/>
      <c r="AZ3525" s="294"/>
      <c r="BA3525" s="294"/>
      <c r="BB3525" s="294"/>
      <c r="BC3525" s="294"/>
      <c r="BD3525" s="294"/>
      <c r="BE3525" s="294"/>
      <c r="BF3525" s="294"/>
      <c r="BG3525" s="294"/>
      <c r="BH3525" s="294"/>
      <c r="BI3525" s="294"/>
      <c r="BJ3525" s="294"/>
      <c r="BK3525" s="294"/>
      <c r="BL3525" s="294"/>
      <c r="BM3525" s="294"/>
      <c r="BN3525" s="294"/>
      <c r="BO3525" s="294"/>
      <c r="BP3525" s="294"/>
      <c r="BQ3525" s="294"/>
    </row>
    <row r="3526">
      <c r="A3526" s="78" t="s">
        <v>9042</v>
      </c>
      <c r="B3526" s="293"/>
      <c r="C3526" s="100">
        <v>44136.0</v>
      </c>
      <c r="D3526" s="294"/>
      <c r="E3526" s="78" t="s">
        <v>41</v>
      </c>
      <c r="F3526" s="37">
        <v>1.0</v>
      </c>
      <c r="G3526" s="78" t="s">
        <v>32</v>
      </c>
      <c r="H3526" s="78">
        <v>1.0</v>
      </c>
      <c r="I3526" s="78" t="s">
        <v>33</v>
      </c>
      <c r="J3526" s="78" t="s">
        <v>268</v>
      </c>
      <c r="K3526" s="294"/>
      <c r="L3526" s="106" t="s">
        <v>790</v>
      </c>
      <c r="M3526" s="282" t="s">
        <v>9030</v>
      </c>
      <c r="N3526" s="106"/>
      <c r="S3526" s="37"/>
      <c r="T3526" s="38"/>
      <c r="U3526" s="38"/>
      <c r="V3526" s="78" t="s">
        <v>33</v>
      </c>
      <c r="W3526" s="106"/>
      <c r="X3526" s="282"/>
      <c r="Y3526" s="295"/>
      <c r="Z3526" s="294"/>
      <c r="AA3526" s="294"/>
      <c r="AB3526" s="294"/>
      <c r="AC3526" s="294"/>
      <c r="AD3526" s="294"/>
      <c r="AE3526" s="294"/>
      <c r="AF3526" s="294"/>
      <c r="AG3526" s="294"/>
      <c r="AH3526" s="294"/>
      <c r="AI3526" s="294"/>
      <c r="AJ3526" s="294"/>
      <c r="AK3526" s="294"/>
      <c r="AL3526" s="294"/>
      <c r="AM3526" s="294"/>
      <c r="AN3526" s="294"/>
      <c r="AO3526" s="294"/>
      <c r="AP3526" s="294"/>
      <c r="AQ3526" s="294"/>
      <c r="AR3526" s="294"/>
      <c r="AS3526" s="294"/>
      <c r="AT3526" s="294"/>
      <c r="AU3526" s="294"/>
      <c r="AV3526" s="294"/>
      <c r="AW3526" s="294"/>
      <c r="AX3526" s="294"/>
      <c r="AY3526" s="294"/>
      <c r="AZ3526" s="294"/>
      <c r="BA3526" s="294"/>
      <c r="BB3526" s="294"/>
      <c r="BC3526" s="294"/>
      <c r="BD3526" s="294"/>
      <c r="BE3526" s="294"/>
      <c r="BF3526" s="294"/>
      <c r="BG3526" s="294"/>
      <c r="BH3526" s="294"/>
      <c r="BI3526" s="294"/>
      <c r="BJ3526" s="294"/>
      <c r="BK3526" s="294"/>
      <c r="BL3526" s="294"/>
      <c r="BM3526" s="294"/>
      <c r="BN3526" s="294"/>
      <c r="BO3526" s="294"/>
      <c r="BP3526" s="294"/>
      <c r="BQ3526" s="294"/>
    </row>
    <row r="3527">
      <c r="A3527" s="78" t="s">
        <v>9043</v>
      </c>
      <c r="B3527" s="293"/>
      <c r="C3527" s="100">
        <v>44136.0</v>
      </c>
      <c r="D3527" s="294"/>
      <c r="E3527" s="78" t="s">
        <v>41</v>
      </c>
      <c r="F3527" s="37">
        <v>1.0</v>
      </c>
      <c r="G3527" s="78" t="s">
        <v>32</v>
      </c>
      <c r="H3527" s="78">
        <v>1.0</v>
      </c>
      <c r="I3527" s="78" t="s">
        <v>33</v>
      </c>
      <c r="J3527" s="78" t="s">
        <v>268</v>
      </c>
      <c r="K3527" s="294"/>
      <c r="L3527" s="106" t="s">
        <v>99</v>
      </c>
      <c r="M3527" s="282" t="s">
        <v>9030</v>
      </c>
      <c r="N3527" s="106"/>
      <c r="S3527" s="37"/>
      <c r="T3527" s="38"/>
      <c r="U3527" s="38"/>
      <c r="V3527" s="78" t="s">
        <v>33</v>
      </c>
      <c r="W3527" s="106"/>
      <c r="X3527" s="282"/>
      <c r="Y3527" s="295"/>
      <c r="Z3527" s="294"/>
      <c r="AA3527" s="294"/>
      <c r="AB3527" s="294"/>
      <c r="AC3527" s="294"/>
      <c r="AD3527" s="294"/>
      <c r="AE3527" s="294"/>
      <c r="AF3527" s="294"/>
      <c r="AG3527" s="294"/>
      <c r="AH3527" s="294"/>
      <c r="AI3527" s="294"/>
      <c r="AJ3527" s="294"/>
      <c r="AK3527" s="294"/>
      <c r="AL3527" s="294"/>
      <c r="AM3527" s="294"/>
      <c r="AN3527" s="294"/>
      <c r="AO3527" s="294"/>
      <c r="AP3527" s="294"/>
      <c r="AQ3527" s="294"/>
      <c r="AR3527" s="294"/>
      <c r="AS3527" s="294"/>
      <c r="AT3527" s="294"/>
      <c r="AU3527" s="294"/>
      <c r="AV3527" s="294"/>
      <c r="AW3527" s="294"/>
      <c r="AX3527" s="294"/>
      <c r="AY3527" s="294"/>
      <c r="AZ3527" s="294"/>
      <c r="BA3527" s="294"/>
      <c r="BB3527" s="294"/>
      <c r="BC3527" s="294"/>
      <c r="BD3527" s="294"/>
      <c r="BE3527" s="294"/>
      <c r="BF3527" s="294"/>
      <c r="BG3527" s="294"/>
      <c r="BH3527" s="294"/>
      <c r="BI3527" s="294"/>
      <c r="BJ3527" s="294"/>
      <c r="BK3527" s="294"/>
      <c r="BL3527" s="294"/>
      <c r="BM3527" s="294"/>
      <c r="BN3527" s="294"/>
      <c r="BO3527" s="294"/>
      <c r="BP3527" s="294"/>
      <c r="BQ3527" s="294"/>
    </row>
    <row r="3528">
      <c r="A3528" s="78" t="s">
        <v>9044</v>
      </c>
      <c r="B3528" s="293"/>
      <c r="C3528" s="99">
        <v>44136.0</v>
      </c>
      <c r="D3528" s="294"/>
      <c r="E3528" s="78" t="s">
        <v>41</v>
      </c>
      <c r="F3528" s="37">
        <v>1.0</v>
      </c>
      <c r="G3528" s="78" t="s">
        <v>32</v>
      </c>
      <c r="H3528" s="78">
        <v>1.0</v>
      </c>
      <c r="I3528" s="78" t="s">
        <v>33</v>
      </c>
      <c r="J3528" s="78" t="s">
        <v>268</v>
      </c>
      <c r="K3528" s="294"/>
      <c r="L3528" s="106" t="s">
        <v>119</v>
      </c>
      <c r="M3528" s="282" t="s">
        <v>9045</v>
      </c>
      <c r="N3528" s="106"/>
      <c r="S3528" s="37"/>
      <c r="T3528" s="38"/>
      <c r="U3528" s="38"/>
      <c r="V3528" s="78" t="s">
        <v>33</v>
      </c>
      <c r="W3528" s="106"/>
      <c r="X3528" s="282"/>
      <c r="Y3528" s="295"/>
      <c r="Z3528" s="294"/>
      <c r="AA3528" s="294"/>
      <c r="AB3528" s="294"/>
      <c r="AC3528" s="294"/>
      <c r="AD3528" s="294"/>
      <c r="AE3528" s="294"/>
      <c r="AF3528" s="294"/>
      <c r="AG3528" s="294"/>
      <c r="AH3528" s="294"/>
      <c r="AI3528" s="294"/>
      <c r="AJ3528" s="294"/>
      <c r="AK3528" s="294"/>
      <c r="AL3528" s="294"/>
      <c r="AM3528" s="294"/>
      <c r="AN3528" s="294"/>
      <c r="AO3528" s="294"/>
      <c r="AP3528" s="294"/>
      <c r="AQ3528" s="294"/>
      <c r="AR3528" s="294"/>
      <c r="AS3528" s="294"/>
      <c r="AT3528" s="294"/>
      <c r="AU3528" s="294"/>
      <c r="AV3528" s="294"/>
      <c r="AW3528" s="294"/>
      <c r="AX3528" s="294"/>
      <c r="AY3528" s="294"/>
      <c r="AZ3528" s="294"/>
      <c r="BA3528" s="294"/>
      <c r="BB3528" s="294"/>
      <c r="BC3528" s="294"/>
      <c r="BD3528" s="294"/>
      <c r="BE3528" s="294"/>
      <c r="BF3528" s="294"/>
      <c r="BG3528" s="294"/>
      <c r="BH3528" s="294"/>
      <c r="BI3528" s="294"/>
      <c r="BJ3528" s="294"/>
      <c r="BK3528" s="294"/>
      <c r="BL3528" s="294"/>
      <c r="BM3528" s="294"/>
      <c r="BN3528" s="294"/>
      <c r="BO3528" s="294"/>
      <c r="BP3528" s="294"/>
      <c r="BQ3528" s="294"/>
    </row>
    <row r="3529">
      <c r="A3529" s="78" t="s">
        <v>9046</v>
      </c>
      <c r="B3529" s="293"/>
      <c r="C3529" s="99">
        <v>44136.0</v>
      </c>
      <c r="D3529" s="294"/>
      <c r="E3529" s="78" t="s">
        <v>31</v>
      </c>
      <c r="F3529" s="37">
        <v>178.0</v>
      </c>
      <c r="G3529" s="78">
        <v>1.0</v>
      </c>
      <c r="H3529" s="78">
        <v>1.0</v>
      </c>
      <c r="I3529" s="78" t="s">
        <v>33</v>
      </c>
      <c r="J3529" s="78" t="s">
        <v>47</v>
      </c>
      <c r="K3529" s="294"/>
      <c r="L3529" s="106" t="s">
        <v>9047</v>
      </c>
      <c r="M3529" s="282" t="s">
        <v>9048</v>
      </c>
      <c r="N3529" s="46" t="s">
        <v>9049</v>
      </c>
      <c r="S3529" s="37"/>
      <c r="T3529" s="38"/>
      <c r="U3529" s="38"/>
      <c r="V3529" s="78" t="s">
        <v>33</v>
      </c>
      <c r="W3529" s="46" t="s">
        <v>9050</v>
      </c>
      <c r="X3529" s="282"/>
      <c r="Y3529" s="295"/>
      <c r="Z3529" s="294"/>
      <c r="AA3529" s="294"/>
      <c r="AB3529" s="294"/>
      <c r="AC3529" s="294"/>
      <c r="AD3529" s="294"/>
      <c r="AE3529" s="294"/>
      <c r="AF3529" s="294"/>
      <c r="AG3529" s="294"/>
      <c r="AH3529" s="294"/>
      <c r="AI3529" s="294"/>
      <c r="AJ3529" s="294"/>
      <c r="AK3529" s="294"/>
      <c r="AL3529" s="294"/>
      <c r="AM3529" s="294"/>
      <c r="AN3529" s="294"/>
      <c r="AO3529" s="294"/>
      <c r="AP3529" s="294"/>
      <c r="AQ3529" s="294"/>
      <c r="AR3529" s="294"/>
      <c r="AS3529" s="294"/>
      <c r="AT3529" s="294"/>
      <c r="AU3529" s="294"/>
      <c r="AV3529" s="294"/>
      <c r="AW3529" s="294"/>
      <c r="AX3529" s="294"/>
      <c r="AY3529" s="294"/>
      <c r="AZ3529" s="294"/>
      <c r="BA3529" s="294"/>
      <c r="BB3529" s="294"/>
      <c r="BC3529" s="294"/>
      <c r="BD3529" s="294"/>
      <c r="BE3529" s="294"/>
      <c r="BF3529" s="294"/>
      <c r="BG3529" s="294"/>
      <c r="BH3529" s="294"/>
      <c r="BI3529" s="294"/>
      <c r="BJ3529" s="294"/>
      <c r="BK3529" s="294"/>
      <c r="BL3529" s="294"/>
      <c r="BM3529" s="294"/>
      <c r="BN3529" s="294"/>
      <c r="BO3529" s="294"/>
      <c r="BP3529" s="294"/>
      <c r="BQ3529" s="294"/>
    </row>
    <row r="3530">
      <c r="A3530" s="78" t="s">
        <v>9051</v>
      </c>
      <c r="B3530" s="293"/>
      <c r="C3530" s="99">
        <v>44137.0</v>
      </c>
      <c r="D3530" s="294"/>
      <c r="E3530" s="78" t="s">
        <v>31</v>
      </c>
      <c r="F3530" s="37">
        <v>1.0</v>
      </c>
      <c r="G3530" s="78" t="s">
        <v>32</v>
      </c>
      <c r="H3530" s="78">
        <v>1.0</v>
      </c>
      <c r="I3530" s="78" t="s">
        <v>33</v>
      </c>
      <c r="J3530" s="78" t="s">
        <v>115</v>
      </c>
      <c r="K3530" s="294"/>
      <c r="L3530" s="106" t="s">
        <v>9052</v>
      </c>
      <c r="M3530" s="282" t="s">
        <v>9053</v>
      </c>
      <c r="N3530" s="106"/>
      <c r="S3530" s="37"/>
      <c r="T3530" s="38"/>
      <c r="U3530" s="38"/>
      <c r="V3530" s="78" t="s">
        <v>33</v>
      </c>
      <c r="W3530" s="46" t="s">
        <v>9054</v>
      </c>
      <c r="X3530" s="282" t="s">
        <v>9055</v>
      </c>
      <c r="Y3530" s="295"/>
      <c r="Z3530" s="294"/>
      <c r="AA3530" s="294"/>
      <c r="AB3530" s="294"/>
      <c r="AC3530" s="294"/>
      <c r="AD3530" s="294"/>
      <c r="AE3530" s="294"/>
      <c r="AF3530" s="294"/>
      <c r="AG3530" s="294"/>
      <c r="AH3530" s="294"/>
      <c r="AI3530" s="294"/>
      <c r="AJ3530" s="294"/>
      <c r="AK3530" s="294"/>
      <c r="AL3530" s="294"/>
      <c r="AM3530" s="294"/>
      <c r="AN3530" s="294"/>
      <c r="AO3530" s="294"/>
      <c r="AP3530" s="294"/>
      <c r="AQ3530" s="294"/>
      <c r="AR3530" s="294"/>
      <c r="AS3530" s="294"/>
      <c r="AT3530" s="294"/>
      <c r="AU3530" s="294"/>
      <c r="AV3530" s="294"/>
      <c r="AW3530" s="294"/>
      <c r="AX3530" s="294"/>
      <c r="AY3530" s="294"/>
      <c r="AZ3530" s="294"/>
      <c r="BA3530" s="294"/>
      <c r="BB3530" s="294"/>
      <c r="BC3530" s="294"/>
      <c r="BD3530" s="294"/>
      <c r="BE3530" s="294"/>
      <c r="BF3530" s="294"/>
      <c r="BG3530" s="294"/>
      <c r="BH3530" s="294"/>
      <c r="BI3530" s="294"/>
      <c r="BJ3530" s="294"/>
      <c r="BK3530" s="294"/>
      <c r="BL3530" s="294"/>
      <c r="BM3530" s="294"/>
      <c r="BN3530" s="294"/>
      <c r="BO3530" s="294"/>
      <c r="BP3530" s="294"/>
      <c r="BQ3530" s="294"/>
    </row>
    <row r="3531">
      <c r="A3531" s="78" t="s">
        <v>9010</v>
      </c>
      <c r="B3531" s="293"/>
      <c r="C3531" s="99">
        <v>44137.0</v>
      </c>
      <c r="D3531" s="293"/>
      <c r="E3531" s="78" t="s">
        <v>41</v>
      </c>
      <c r="F3531" s="37">
        <v>1.0</v>
      </c>
      <c r="G3531" s="78" t="s">
        <v>32</v>
      </c>
      <c r="H3531" s="78">
        <v>1.0</v>
      </c>
      <c r="I3531" s="78" t="s">
        <v>33</v>
      </c>
      <c r="J3531" s="78" t="s">
        <v>47</v>
      </c>
      <c r="K3531" s="293"/>
      <c r="L3531" s="311" t="s">
        <v>119</v>
      </c>
      <c r="M3531" s="282" t="s">
        <v>9056</v>
      </c>
      <c r="N3531" s="311"/>
      <c r="O3531" s="248"/>
      <c r="P3531" s="248"/>
      <c r="Q3531" s="248"/>
      <c r="R3531" s="248"/>
      <c r="S3531" s="99"/>
      <c r="T3531" s="279"/>
      <c r="U3531" s="279"/>
      <c r="V3531" s="78" t="s">
        <v>33</v>
      </c>
      <c r="W3531" s="311"/>
      <c r="X3531" s="312"/>
      <c r="Y3531" s="311"/>
      <c r="Z3531" s="293"/>
      <c r="AA3531" s="293"/>
      <c r="AB3531" s="293"/>
      <c r="AC3531" s="293"/>
      <c r="AD3531" s="293"/>
      <c r="AE3531" s="293"/>
      <c r="AF3531" s="293"/>
      <c r="AG3531" s="293"/>
      <c r="AH3531" s="293"/>
      <c r="AI3531" s="293"/>
      <c r="AJ3531" s="293"/>
      <c r="AK3531" s="293"/>
      <c r="AL3531" s="293"/>
      <c r="AM3531" s="293"/>
      <c r="AN3531" s="293"/>
      <c r="AO3531" s="293"/>
      <c r="AP3531" s="293"/>
      <c r="AQ3531" s="293"/>
      <c r="AR3531" s="293"/>
      <c r="AS3531" s="293"/>
      <c r="AT3531" s="293"/>
      <c r="AU3531" s="293"/>
      <c r="AV3531" s="293"/>
      <c r="AW3531" s="293"/>
      <c r="AX3531" s="293"/>
      <c r="AY3531" s="293"/>
      <c r="AZ3531" s="293"/>
      <c r="BA3531" s="293"/>
      <c r="BB3531" s="293"/>
      <c r="BC3531" s="293"/>
      <c r="BD3531" s="293"/>
      <c r="BE3531" s="293"/>
      <c r="BF3531" s="293"/>
      <c r="BG3531" s="293"/>
      <c r="BH3531" s="293"/>
      <c r="BI3531" s="293"/>
      <c r="BJ3531" s="293"/>
      <c r="BK3531" s="293"/>
      <c r="BL3531" s="293"/>
      <c r="BM3531" s="293"/>
      <c r="BN3531" s="293"/>
      <c r="BO3531" s="293"/>
      <c r="BP3531" s="293"/>
      <c r="BQ3531" s="293"/>
    </row>
    <row r="3532">
      <c r="A3532" s="78" t="s">
        <v>9057</v>
      </c>
      <c r="B3532" s="293"/>
      <c r="C3532" s="99">
        <v>44137.0</v>
      </c>
      <c r="D3532" s="293"/>
      <c r="E3532" s="78" t="s">
        <v>41</v>
      </c>
      <c r="F3532" s="37">
        <v>1.0</v>
      </c>
      <c r="G3532" s="78" t="s">
        <v>32</v>
      </c>
      <c r="H3532" s="78">
        <v>1.0</v>
      </c>
      <c r="I3532" s="78" t="s">
        <v>33</v>
      </c>
      <c r="J3532" s="78" t="s">
        <v>318</v>
      </c>
      <c r="K3532" s="293"/>
      <c r="L3532" s="106" t="s">
        <v>1203</v>
      </c>
      <c r="M3532" s="282" t="s">
        <v>9058</v>
      </c>
      <c r="N3532" s="311"/>
      <c r="O3532" s="248"/>
      <c r="P3532" s="248"/>
      <c r="Q3532" s="248"/>
      <c r="R3532" s="248"/>
      <c r="S3532" s="99"/>
      <c r="T3532" s="279"/>
      <c r="U3532" s="279"/>
      <c r="V3532" s="78" t="s">
        <v>33</v>
      </c>
      <c r="W3532" s="311"/>
      <c r="X3532" s="312"/>
      <c r="Y3532" s="311"/>
      <c r="Z3532" s="293"/>
      <c r="AA3532" s="293"/>
      <c r="AB3532" s="293"/>
      <c r="AC3532" s="293"/>
      <c r="AD3532" s="293"/>
      <c r="AE3532" s="293"/>
      <c r="AF3532" s="293"/>
      <c r="AG3532" s="293"/>
      <c r="AH3532" s="293"/>
      <c r="AI3532" s="293"/>
      <c r="AJ3532" s="293"/>
      <c r="AK3532" s="293"/>
      <c r="AL3532" s="293"/>
      <c r="AM3532" s="293"/>
      <c r="AN3532" s="293"/>
      <c r="AO3532" s="293"/>
      <c r="AP3532" s="293"/>
      <c r="AQ3532" s="293"/>
      <c r="AR3532" s="293"/>
      <c r="AS3532" s="293"/>
      <c r="AT3532" s="293"/>
      <c r="AU3532" s="293"/>
      <c r="AV3532" s="293"/>
      <c r="AW3532" s="293"/>
      <c r="AX3532" s="293"/>
      <c r="AY3532" s="293"/>
      <c r="AZ3532" s="293"/>
      <c r="BA3532" s="293"/>
      <c r="BB3532" s="293"/>
      <c r="BC3532" s="293"/>
      <c r="BD3532" s="293"/>
      <c r="BE3532" s="293"/>
      <c r="BF3532" s="293"/>
      <c r="BG3532" s="293"/>
      <c r="BH3532" s="293"/>
      <c r="BI3532" s="293"/>
      <c r="BJ3532" s="293"/>
      <c r="BK3532" s="293"/>
      <c r="BL3532" s="293"/>
      <c r="BM3532" s="293"/>
      <c r="BN3532" s="293"/>
      <c r="BO3532" s="293"/>
      <c r="BP3532" s="293"/>
      <c r="BQ3532" s="293"/>
    </row>
    <row r="3533">
      <c r="A3533" s="293" t="s">
        <v>9059</v>
      </c>
      <c r="B3533" s="293"/>
      <c r="C3533" s="99">
        <v>44139.0</v>
      </c>
      <c r="D3533" s="293"/>
      <c r="E3533" s="78" t="s">
        <v>41</v>
      </c>
      <c r="F3533" s="37">
        <v>1.0</v>
      </c>
      <c r="G3533" s="78" t="s">
        <v>32</v>
      </c>
      <c r="H3533" s="78">
        <v>1.0</v>
      </c>
      <c r="I3533" s="78" t="s">
        <v>33</v>
      </c>
      <c r="J3533" s="78" t="s">
        <v>115</v>
      </c>
      <c r="K3533" s="293"/>
      <c r="L3533" s="311" t="s">
        <v>76</v>
      </c>
      <c r="M3533" s="282" t="s">
        <v>9060</v>
      </c>
      <c r="N3533" s="311"/>
      <c r="O3533" s="248"/>
      <c r="P3533" s="248"/>
      <c r="Q3533" s="248"/>
      <c r="R3533" s="248"/>
      <c r="S3533" s="99"/>
      <c r="T3533" s="279"/>
      <c r="U3533" s="279"/>
      <c r="V3533" s="78" t="s">
        <v>33</v>
      </c>
      <c r="W3533" s="311"/>
      <c r="X3533" s="312"/>
      <c r="Y3533" s="311"/>
      <c r="Z3533" s="293"/>
      <c r="AA3533" s="293"/>
      <c r="AB3533" s="293"/>
      <c r="AC3533" s="293"/>
      <c r="AD3533" s="293"/>
      <c r="AE3533" s="293"/>
      <c r="AF3533" s="293"/>
      <c r="AG3533" s="293"/>
      <c r="AH3533" s="293"/>
      <c r="AI3533" s="293"/>
      <c r="AJ3533" s="293"/>
      <c r="AK3533" s="293"/>
      <c r="AL3533" s="293"/>
      <c r="AM3533" s="293"/>
      <c r="AN3533" s="293"/>
      <c r="AO3533" s="293"/>
      <c r="AP3533" s="293"/>
      <c r="AQ3533" s="293"/>
      <c r="AR3533" s="293"/>
      <c r="AS3533" s="293"/>
      <c r="AT3533" s="293"/>
      <c r="AU3533" s="293"/>
      <c r="AV3533" s="293"/>
      <c r="AW3533" s="293"/>
      <c r="AX3533" s="293"/>
      <c r="AY3533" s="293"/>
      <c r="AZ3533" s="293"/>
      <c r="BA3533" s="293"/>
      <c r="BB3533" s="293"/>
      <c r="BC3533" s="293"/>
      <c r="BD3533" s="293"/>
      <c r="BE3533" s="293"/>
      <c r="BF3533" s="293"/>
      <c r="BG3533" s="293"/>
      <c r="BH3533" s="293"/>
      <c r="BI3533" s="293"/>
      <c r="BJ3533" s="293"/>
      <c r="BK3533" s="293"/>
      <c r="BL3533" s="293"/>
      <c r="BM3533" s="293"/>
      <c r="BN3533" s="293"/>
      <c r="BO3533" s="293"/>
      <c r="BP3533" s="293"/>
      <c r="BQ3533" s="293"/>
    </row>
    <row r="3534">
      <c r="A3534" s="78" t="s">
        <v>9061</v>
      </c>
      <c r="B3534" s="293"/>
      <c r="C3534" s="99">
        <v>44139.0</v>
      </c>
      <c r="D3534" s="293"/>
      <c r="E3534" s="78" t="s">
        <v>41</v>
      </c>
      <c r="F3534" s="37">
        <v>1.0</v>
      </c>
      <c r="G3534" s="78" t="s">
        <v>32</v>
      </c>
      <c r="H3534" s="78">
        <v>1.0</v>
      </c>
      <c r="I3534" s="78" t="s">
        <v>33</v>
      </c>
      <c r="J3534" s="78" t="s">
        <v>179</v>
      </c>
      <c r="K3534" s="293"/>
      <c r="L3534" s="106" t="s">
        <v>9062</v>
      </c>
      <c r="M3534" s="282" t="s">
        <v>9063</v>
      </c>
      <c r="N3534" s="311"/>
      <c r="O3534" s="248"/>
      <c r="P3534" s="248"/>
      <c r="Q3534" s="248"/>
      <c r="R3534" s="248"/>
      <c r="S3534" s="99"/>
      <c r="T3534" s="279"/>
      <c r="U3534" s="279"/>
      <c r="V3534" s="78" t="s">
        <v>33</v>
      </c>
      <c r="W3534" s="311"/>
      <c r="X3534" s="312"/>
      <c r="Y3534" s="311"/>
      <c r="Z3534" s="293"/>
      <c r="AA3534" s="293"/>
      <c r="AB3534" s="293"/>
      <c r="AC3534" s="293"/>
      <c r="AD3534" s="293"/>
      <c r="AE3534" s="293"/>
      <c r="AF3534" s="293"/>
      <c r="AG3534" s="293"/>
      <c r="AH3534" s="293"/>
      <c r="AI3534" s="293"/>
      <c r="AJ3534" s="293"/>
      <c r="AK3534" s="293"/>
      <c r="AL3534" s="293"/>
      <c r="AM3534" s="293"/>
      <c r="AN3534" s="293"/>
      <c r="AO3534" s="293"/>
      <c r="AP3534" s="293"/>
      <c r="AQ3534" s="293"/>
      <c r="AR3534" s="293"/>
      <c r="AS3534" s="293"/>
      <c r="AT3534" s="293"/>
      <c r="AU3534" s="293"/>
      <c r="AV3534" s="293"/>
      <c r="AW3534" s="293"/>
      <c r="AX3534" s="293"/>
      <c r="AY3534" s="293"/>
      <c r="AZ3534" s="293"/>
      <c r="BA3534" s="293"/>
      <c r="BB3534" s="293"/>
      <c r="BC3534" s="293"/>
      <c r="BD3534" s="293"/>
      <c r="BE3534" s="293"/>
      <c r="BF3534" s="293"/>
      <c r="BG3534" s="293"/>
      <c r="BH3534" s="293"/>
      <c r="BI3534" s="293"/>
      <c r="BJ3534" s="293"/>
      <c r="BK3534" s="293"/>
      <c r="BL3534" s="293"/>
      <c r="BM3534" s="293"/>
      <c r="BN3534" s="293"/>
      <c r="BO3534" s="293"/>
      <c r="BP3534" s="293"/>
      <c r="BQ3534" s="293"/>
    </row>
    <row r="3535">
      <c r="A3535" s="78" t="s">
        <v>9064</v>
      </c>
      <c r="B3535" s="293"/>
      <c r="C3535" s="99">
        <v>44139.0</v>
      </c>
      <c r="D3535" s="293"/>
      <c r="E3535" s="78" t="s">
        <v>41</v>
      </c>
      <c r="F3535" s="37">
        <v>1.0</v>
      </c>
      <c r="G3535" s="78" t="s">
        <v>32</v>
      </c>
      <c r="H3535" s="78">
        <v>1.0</v>
      </c>
      <c r="I3535" s="78" t="s">
        <v>33</v>
      </c>
      <c r="J3535" s="78" t="s">
        <v>162</v>
      </c>
      <c r="K3535" s="293"/>
      <c r="L3535" s="311" t="s">
        <v>76</v>
      </c>
      <c r="M3535" s="282" t="s">
        <v>9065</v>
      </c>
      <c r="N3535" s="311"/>
      <c r="O3535" s="248"/>
      <c r="P3535" s="248"/>
      <c r="Q3535" s="248"/>
      <c r="R3535" s="248"/>
      <c r="S3535" s="99"/>
      <c r="T3535" s="279"/>
      <c r="U3535" s="279"/>
      <c r="V3535" s="78" t="s">
        <v>33</v>
      </c>
      <c r="W3535" s="311"/>
      <c r="X3535" s="312"/>
      <c r="Y3535" s="311"/>
      <c r="Z3535" s="293"/>
      <c r="AA3535" s="293"/>
      <c r="AB3535" s="293"/>
      <c r="AC3535" s="293"/>
      <c r="AD3535" s="293"/>
      <c r="AE3535" s="293"/>
      <c r="AF3535" s="293"/>
      <c r="AG3535" s="293"/>
      <c r="AH3535" s="293"/>
      <c r="AI3535" s="293"/>
      <c r="AJ3535" s="293"/>
      <c r="AK3535" s="293"/>
      <c r="AL3535" s="293"/>
      <c r="AM3535" s="293"/>
      <c r="AN3535" s="293"/>
      <c r="AO3535" s="293"/>
      <c r="AP3535" s="293"/>
      <c r="AQ3535" s="293"/>
      <c r="AR3535" s="293"/>
      <c r="AS3535" s="293"/>
      <c r="AT3535" s="293"/>
      <c r="AU3535" s="293"/>
      <c r="AV3535" s="293"/>
      <c r="AW3535" s="293"/>
      <c r="AX3535" s="293"/>
      <c r="AY3535" s="293"/>
      <c r="AZ3535" s="293"/>
      <c r="BA3535" s="293"/>
      <c r="BB3535" s="293"/>
      <c r="BC3535" s="293"/>
      <c r="BD3535" s="293"/>
      <c r="BE3535" s="293"/>
      <c r="BF3535" s="293"/>
      <c r="BG3535" s="293"/>
      <c r="BH3535" s="293"/>
      <c r="BI3535" s="293"/>
      <c r="BJ3535" s="293"/>
      <c r="BK3535" s="293"/>
      <c r="BL3535" s="293"/>
      <c r="BM3535" s="293"/>
      <c r="BN3535" s="293"/>
      <c r="BO3535" s="293"/>
      <c r="BP3535" s="293"/>
      <c r="BQ3535" s="293"/>
    </row>
    <row r="3536">
      <c r="A3536" s="78" t="s">
        <v>9066</v>
      </c>
      <c r="B3536" s="293"/>
      <c r="C3536" s="99">
        <v>44140.0</v>
      </c>
      <c r="D3536" s="293"/>
      <c r="E3536" s="78" t="s">
        <v>41</v>
      </c>
      <c r="F3536" s="37">
        <v>1.0</v>
      </c>
      <c r="G3536" s="78" t="s">
        <v>32</v>
      </c>
      <c r="H3536" s="78">
        <v>1.0</v>
      </c>
      <c r="I3536" s="78" t="s">
        <v>33</v>
      </c>
      <c r="J3536" s="78" t="s">
        <v>93</v>
      </c>
      <c r="K3536" s="293"/>
      <c r="L3536" s="311" t="s">
        <v>69</v>
      </c>
      <c r="M3536" s="282" t="s">
        <v>9067</v>
      </c>
      <c r="N3536" s="311"/>
      <c r="O3536" s="248"/>
      <c r="P3536" s="248"/>
      <c r="Q3536" s="248"/>
      <c r="R3536" s="248"/>
      <c r="S3536" s="99"/>
      <c r="T3536" s="279"/>
      <c r="U3536" s="279"/>
      <c r="V3536" s="78" t="s">
        <v>33</v>
      </c>
      <c r="W3536" s="311"/>
      <c r="X3536" s="312"/>
      <c r="Y3536" s="311"/>
      <c r="Z3536" s="293"/>
      <c r="AA3536" s="293"/>
      <c r="AB3536" s="293"/>
      <c r="AC3536" s="293"/>
      <c r="AD3536" s="293"/>
      <c r="AE3536" s="293"/>
      <c r="AF3536" s="293"/>
      <c r="AG3536" s="293"/>
      <c r="AH3536" s="293"/>
      <c r="AI3536" s="293"/>
      <c r="AJ3536" s="293"/>
      <c r="AK3536" s="293"/>
      <c r="AL3536" s="293"/>
      <c r="AM3536" s="293"/>
      <c r="AN3536" s="293"/>
      <c r="AO3536" s="293"/>
      <c r="AP3536" s="293"/>
      <c r="AQ3536" s="293"/>
      <c r="AR3536" s="293"/>
      <c r="AS3536" s="293"/>
      <c r="AT3536" s="293"/>
      <c r="AU3536" s="293"/>
      <c r="AV3536" s="293"/>
      <c r="AW3536" s="293"/>
      <c r="AX3536" s="293"/>
      <c r="AY3536" s="293"/>
      <c r="AZ3536" s="293"/>
      <c r="BA3536" s="293"/>
      <c r="BB3536" s="293"/>
      <c r="BC3536" s="293"/>
      <c r="BD3536" s="293"/>
      <c r="BE3536" s="293"/>
      <c r="BF3536" s="293"/>
      <c r="BG3536" s="293"/>
      <c r="BH3536" s="293"/>
      <c r="BI3536" s="293"/>
      <c r="BJ3536" s="293"/>
      <c r="BK3536" s="293"/>
      <c r="BL3536" s="293"/>
      <c r="BM3536" s="293"/>
      <c r="BN3536" s="293"/>
      <c r="BO3536" s="293"/>
      <c r="BP3536" s="293"/>
      <c r="BQ3536" s="293"/>
    </row>
    <row r="3537">
      <c r="A3537" s="78" t="s">
        <v>9068</v>
      </c>
      <c r="B3537" s="293"/>
      <c r="C3537" s="99">
        <v>44140.0</v>
      </c>
      <c r="D3537" s="293"/>
      <c r="E3537" s="78" t="s">
        <v>41</v>
      </c>
      <c r="F3537" s="37">
        <v>1.0</v>
      </c>
      <c r="G3537" s="78" t="s">
        <v>32</v>
      </c>
      <c r="H3537" s="78">
        <v>1.0</v>
      </c>
      <c r="I3537" s="78" t="s">
        <v>33</v>
      </c>
      <c r="J3537" s="78" t="s">
        <v>343</v>
      </c>
      <c r="K3537" s="293"/>
      <c r="L3537" s="311" t="s">
        <v>119</v>
      </c>
      <c r="M3537" s="282" t="s">
        <v>9069</v>
      </c>
      <c r="N3537" s="311"/>
      <c r="O3537" s="248"/>
      <c r="P3537" s="248"/>
      <c r="Q3537" s="248"/>
      <c r="R3537" s="248"/>
      <c r="S3537" s="99"/>
      <c r="T3537" s="279"/>
      <c r="U3537" s="279"/>
      <c r="V3537" s="78" t="s">
        <v>33</v>
      </c>
      <c r="W3537" s="311"/>
      <c r="X3537" s="312"/>
      <c r="Y3537" s="311"/>
      <c r="Z3537" s="293"/>
      <c r="AA3537" s="293"/>
      <c r="AB3537" s="293"/>
      <c r="AC3537" s="293"/>
      <c r="AD3537" s="293"/>
      <c r="AE3537" s="293"/>
      <c r="AF3537" s="293"/>
      <c r="AG3537" s="293"/>
      <c r="AH3537" s="293"/>
      <c r="AI3537" s="293"/>
      <c r="AJ3537" s="293"/>
      <c r="AK3537" s="293"/>
      <c r="AL3537" s="293"/>
      <c r="AM3537" s="293"/>
      <c r="AN3537" s="293"/>
      <c r="AO3537" s="293"/>
      <c r="AP3537" s="293"/>
      <c r="AQ3537" s="293"/>
      <c r="AR3537" s="293"/>
      <c r="AS3537" s="293"/>
      <c r="AT3537" s="293"/>
      <c r="AU3537" s="293"/>
      <c r="AV3537" s="293"/>
      <c r="AW3537" s="293"/>
      <c r="AX3537" s="293"/>
      <c r="AY3537" s="293"/>
      <c r="AZ3537" s="293"/>
      <c r="BA3537" s="293"/>
      <c r="BB3537" s="293"/>
      <c r="BC3537" s="293"/>
      <c r="BD3537" s="293"/>
      <c r="BE3537" s="293"/>
      <c r="BF3537" s="293"/>
      <c r="BG3537" s="293"/>
      <c r="BH3537" s="293"/>
      <c r="BI3537" s="293"/>
      <c r="BJ3537" s="293"/>
      <c r="BK3537" s="293"/>
      <c r="BL3537" s="293"/>
      <c r="BM3537" s="293"/>
      <c r="BN3537" s="293"/>
      <c r="BO3537" s="293"/>
      <c r="BP3537" s="293"/>
      <c r="BQ3537" s="293"/>
    </row>
    <row r="3538">
      <c r="A3538" s="78" t="s">
        <v>239</v>
      </c>
      <c r="B3538" s="293"/>
      <c r="C3538" s="99">
        <v>44141.0</v>
      </c>
      <c r="D3538" s="293"/>
      <c r="E3538" s="78" t="s">
        <v>41</v>
      </c>
      <c r="F3538" s="37">
        <v>113.0</v>
      </c>
      <c r="G3538" s="78" t="s">
        <v>32</v>
      </c>
      <c r="H3538" s="78">
        <v>1.0</v>
      </c>
      <c r="I3538" s="78" t="s">
        <v>9070</v>
      </c>
      <c r="J3538" s="78"/>
      <c r="K3538" s="293"/>
      <c r="L3538" s="106" t="s">
        <v>9071</v>
      </c>
      <c r="M3538" s="282" t="s">
        <v>9072</v>
      </c>
      <c r="N3538" s="311"/>
      <c r="O3538" s="248"/>
      <c r="P3538" s="248"/>
      <c r="Q3538" s="248"/>
      <c r="R3538" s="248"/>
      <c r="S3538" s="99"/>
      <c r="T3538" s="279"/>
      <c r="U3538" s="279"/>
      <c r="V3538" s="78" t="s">
        <v>9073</v>
      </c>
      <c r="W3538" s="311"/>
      <c r="X3538" s="312"/>
      <c r="Y3538" s="311"/>
      <c r="Z3538" s="293"/>
      <c r="AA3538" s="293"/>
      <c r="AB3538" s="293"/>
      <c r="AC3538" s="293"/>
      <c r="AD3538" s="293"/>
      <c r="AE3538" s="293"/>
      <c r="AF3538" s="293"/>
      <c r="AG3538" s="293"/>
      <c r="AH3538" s="293"/>
      <c r="AI3538" s="293"/>
      <c r="AJ3538" s="293"/>
      <c r="AK3538" s="293"/>
      <c r="AL3538" s="293"/>
      <c r="AM3538" s="293"/>
      <c r="AN3538" s="293"/>
      <c r="AO3538" s="293"/>
      <c r="AP3538" s="293"/>
      <c r="AQ3538" s="293"/>
      <c r="AR3538" s="293"/>
      <c r="AS3538" s="293"/>
      <c r="AT3538" s="293"/>
      <c r="AU3538" s="293"/>
      <c r="AV3538" s="293"/>
      <c r="AW3538" s="293"/>
      <c r="AX3538" s="293"/>
      <c r="AY3538" s="293"/>
      <c r="AZ3538" s="293"/>
      <c r="BA3538" s="293"/>
      <c r="BB3538" s="293"/>
      <c r="BC3538" s="293"/>
      <c r="BD3538" s="293"/>
      <c r="BE3538" s="293"/>
      <c r="BF3538" s="293"/>
      <c r="BG3538" s="293"/>
      <c r="BH3538" s="293"/>
      <c r="BI3538" s="293"/>
      <c r="BJ3538" s="293"/>
      <c r="BK3538" s="293"/>
      <c r="BL3538" s="293"/>
      <c r="BM3538" s="293"/>
      <c r="BN3538" s="293"/>
      <c r="BO3538" s="293"/>
      <c r="BP3538" s="293"/>
      <c r="BQ3538" s="293"/>
    </row>
    <row r="3539">
      <c r="A3539" s="78" t="s">
        <v>9074</v>
      </c>
      <c r="B3539" s="293"/>
      <c r="C3539" s="99">
        <v>44141.0</v>
      </c>
      <c r="D3539" s="293"/>
      <c r="E3539" s="78" t="s">
        <v>41</v>
      </c>
      <c r="F3539" s="37">
        <v>1.0</v>
      </c>
      <c r="G3539" s="78" t="s">
        <v>32</v>
      </c>
      <c r="H3539" s="78">
        <v>1.0</v>
      </c>
      <c r="I3539" s="78" t="s">
        <v>33</v>
      </c>
      <c r="J3539" s="78" t="s">
        <v>410</v>
      </c>
      <c r="K3539" s="293"/>
      <c r="L3539" s="106" t="s">
        <v>119</v>
      </c>
      <c r="M3539" s="282" t="s">
        <v>9075</v>
      </c>
      <c r="N3539" s="311"/>
      <c r="O3539" s="248"/>
      <c r="P3539" s="248"/>
      <c r="Q3539" s="248"/>
      <c r="R3539" s="248"/>
      <c r="S3539" s="99"/>
      <c r="T3539" s="279"/>
      <c r="U3539" s="279"/>
      <c r="V3539" s="78" t="s">
        <v>33</v>
      </c>
      <c r="W3539" s="311"/>
      <c r="X3539" s="312"/>
      <c r="Y3539" s="311"/>
      <c r="Z3539" s="293"/>
      <c r="AA3539" s="293"/>
      <c r="AB3539" s="293"/>
      <c r="AC3539" s="293"/>
      <c r="AD3539" s="293"/>
      <c r="AE3539" s="293"/>
      <c r="AF3539" s="293"/>
      <c r="AG3539" s="293"/>
      <c r="AH3539" s="293"/>
      <c r="AI3539" s="293"/>
      <c r="AJ3539" s="293"/>
      <c r="AK3539" s="293"/>
      <c r="AL3539" s="293"/>
      <c r="AM3539" s="293"/>
      <c r="AN3539" s="293"/>
      <c r="AO3539" s="293"/>
      <c r="AP3539" s="293"/>
      <c r="AQ3539" s="293"/>
      <c r="AR3539" s="293"/>
      <c r="AS3539" s="293"/>
      <c r="AT3539" s="293"/>
      <c r="AU3539" s="293"/>
      <c r="AV3539" s="293"/>
      <c r="AW3539" s="293"/>
      <c r="AX3539" s="293"/>
      <c r="AY3539" s="293"/>
      <c r="AZ3539" s="293"/>
      <c r="BA3539" s="293"/>
      <c r="BB3539" s="293"/>
      <c r="BC3539" s="293"/>
      <c r="BD3539" s="293"/>
      <c r="BE3539" s="293"/>
      <c r="BF3539" s="293"/>
      <c r="BG3539" s="293"/>
      <c r="BH3539" s="293"/>
      <c r="BI3539" s="293"/>
      <c r="BJ3539" s="293"/>
      <c r="BK3539" s="293"/>
      <c r="BL3539" s="293"/>
      <c r="BM3539" s="293"/>
      <c r="BN3539" s="293"/>
      <c r="BO3539" s="293"/>
      <c r="BP3539" s="293"/>
      <c r="BQ3539" s="293"/>
    </row>
    <row r="3540">
      <c r="A3540" s="78" t="s">
        <v>9076</v>
      </c>
      <c r="B3540" s="293"/>
      <c r="C3540" s="99">
        <v>44141.0</v>
      </c>
      <c r="D3540" s="293"/>
      <c r="E3540" s="78" t="s">
        <v>41</v>
      </c>
      <c r="F3540" s="37">
        <v>1.0</v>
      </c>
      <c r="G3540" s="78" t="s">
        <v>32</v>
      </c>
      <c r="H3540" s="78">
        <v>1.0</v>
      </c>
      <c r="I3540" s="78" t="s">
        <v>33</v>
      </c>
      <c r="J3540" s="78" t="s">
        <v>68</v>
      </c>
      <c r="K3540" s="293"/>
      <c r="L3540" s="311" t="s">
        <v>76</v>
      </c>
      <c r="M3540" s="282" t="s">
        <v>9077</v>
      </c>
      <c r="N3540" s="311"/>
      <c r="O3540" s="248"/>
      <c r="P3540" s="248"/>
      <c r="Q3540" s="248"/>
      <c r="R3540" s="248"/>
      <c r="S3540" s="99"/>
      <c r="T3540" s="279"/>
      <c r="U3540" s="279"/>
      <c r="V3540" s="78" t="s">
        <v>33</v>
      </c>
      <c r="W3540" s="311"/>
      <c r="X3540" s="312"/>
      <c r="Y3540" s="311"/>
      <c r="Z3540" s="293"/>
      <c r="AA3540" s="293"/>
      <c r="AB3540" s="293"/>
      <c r="AC3540" s="293"/>
      <c r="AD3540" s="293"/>
      <c r="AE3540" s="293"/>
      <c r="AF3540" s="293"/>
      <c r="AG3540" s="293"/>
      <c r="AH3540" s="293"/>
      <c r="AI3540" s="293"/>
      <c r="AJ3540" s="293"/>
      <c r="AK3540" s="293"/>
      <c r="AL3540" s="293"/>
      <c r="AM3540" s="293"/>
      <c r="AN3540" s="293"/>
      <c r="AO3540" s="293"/>
      <c r="AP3540" s="293"/>
      <c r="AQ3540" s="293"/>
      <c r="AR3540" s="293"/>
      <c r="AS3540" s="293"/>
      <c r="AT3540" s="293"/>
      <c r="AU3540" s="293"/>
      <c r="AV3540" s="293"/>
      <c r="AW3540" s="293"/>
      <c r="AX3540" s="293"/>
      <c r="AY3540" s="293"/>
      <c r="AZ3540" s="293"/>
      <c r="BA3540" s="293"/>
      <c r="BB3540" s="293"/>
      <c r="BC3540" s="293"/>
      <c r="BD3540" s="293"/>
      <c r="BE3540" s="293"/>
      <c r="BF3540" s="293"/>
      <c r="BG3540" s="293"/>
      <c r="BH3540" s="293"/>
      <c r="BI3540" s="293"/>
      <c r="BJ3540" s="293"/>
      <c r="BK3540" s="293"/>
      <c r="BL3540" s="293"/>
      <c r="BM3540" s="293"/>
      <c r="BN3540" s="293"/>
      <c r="BO3540" s="293"/>
      <c r="BP3540" s="293"/>
      <c r="BQ3540" s="293"/>
    </row>
    <row r="3541">
      <c r="A3541" s="78" t="s">
        <v>9078</v>
      </c>
      <c r="B3541" s="293"/>
      <c r="C3541" s="99">
        <v>44144.0</v>
      </c>
      <c r="D3541" s="293"/>
      <c r="E3541" s="78" t="s">
        <v>41</v>
      </c>
      <c r="F3541" s="37">
        <v>1.0</v>
      </c>
      <c r="G3541" s="78" t="s">
        <v>32</v>
      </c>
      <c r="H3541" s="78">
        <v>1.0</v>
      </c>
      <c r="I3541" s="78" t="s">
        <v>33</v>
      </c>
      <c r="J3541" s="78" t="s">
        <v>47</v>
      </c>
      <c r="K3541" s="293"/>
      <c r="L3541" s="106" t="s">
        <v>76</v>
      </c>
      <c r="M3541" s="282" t="s">
        <v>9079</v>
      </c>
      <c r="N3541" s="106"/>
      <c r="O3541" s="248"/>
      <c r="P3541" s="248"/>
      <c r="Q3541" s="248"/>
      <c r="R3541" s="248"/>
      <c r="S3541" s="99"/>
      <c r="T3541" s="279"/>
      <c r="U3541" s="279"/>
      <c r="V3541" s="78" t="s">
        <v>33</v>
      </c>
      <c r="W3541" s="106"/>
      <c r="X3541" s="282"/>
      <c r="Y3541" s="311"/>
      <c r="Z3541" s="293"/>
      <c r="AA3541" s="293"/>
      <c r="AB3541" s="293"/>
      <c r="AC3541" s="293"/>
      <c r="AD3541" s="293"/>
      <c r="AE3541" s="293"/>
      <c r="AF3541" s="293"/>
      <c r="AG3541" s="293"/>
      <c r="AH3541" s="293"/>
      <c r="AI3541" s="293"/>
      <c r="AJ3541" s="293"/>
      <c r="AK3541" s="293"/>
      <c r="AL3541" s="293"/>
      <c r="AM3541" s="293"/>
      <c r="AN3541" s="293"/>
      <c r="AO3541" s="293"/>
      <c r="AP3541" s="293"/>
      <c r="AQ3541" s="293"/>
      <c r="AR3541" s="293"/>
      <c r="AS3541" s="293"/>
      <c r="AT3541" s="293"/>
      <c r="AU3541" s="293"/>
      <c r="AV3541" s="293"/>
      <c r="AW3541" s="293"/>
      <c r="AX3541" s="293"/>
      <c r="AY3541" s="293"/>
      <c r="AZ3541" s="293"/>
      <c r="BA3541" s="293"/>
      <c r="BB3541" s="293"/>
      <c r="BC3541" s="293"/>
      <c r="BD3541" s="293"/>
      <c r="BE3541" s="293"/>
      <c r="BF3541" s="293"/>
      <c r="BG3541" s="293"/>
      <c r="BH3541" s="293"/>
      <c r="BI3541" s="293"/>
      <c r="BJ3541" s="293"/>
      <c r="BK3541" s="293"/>
      <c r="BL3541" s="293"/>
      <c r="BM3541" s="293"/>
      <c r="BN3541" s="293"/>
      <c r="BO3541" s="293"/>
      <c r="BP3541" s="293"/>
      <c r="BQ3541" s="293"/>
    </row>
    <row r="3542">
      <c r="A3542" s="78" t="s">
        <v>9080</v>
      </c>
      <c r="B3542" s="293"/>
      <c r="C3542" s="99">
        <v>44144.0</v>
      </c>
      <c r="D3542" s="293"/>
      <c r="E3542" s="78" t="s">
        <v>31</v>
      </c>
      <c r="F3542" s="37">
        <v>1.0</v>
      </c>
      <c r="G3542" s="78">
        <v>4.0</v>
      </c>
      <c r="H3542" s="78">
        <v>4.0</v>
      </c>
      <c r="I3542" s="78" t="s">
        <v>33</v>
      </c>
      <c r="J3542" s="78" t="s">
        <v>283</v>
      </c>
      <c r="K3542" s="293"/>
      <c r="L3542" s="106" t="s">
        <v>1203</v>
      </c>
      <c r="M3542" s="282" t="s">
        <v>9081</v>
      </c>
      <c r="N3542" s="46" t="s">
        <v>9082</v>
      </c>
      <c r="O3542" s="248"/>
      <c r="P3542" s="248"/>
      <c r="Q3542" s="248"/>
      <c r="R3542" s="248"/>
      <c r="S3542" s="99"/>
      <c r="T3542" s="279"/>
      <c r="U3542" s="279"/>
      <c r="V3542" s="78" t="s">
        <v>33</v>
      </c>
      <c r="W3542" s="46" t="s">
        <v>9083</v>
      </c>
      <c r="X3542" s="282" t="s">
        <v>9084</v>
      </c>
      <c r="Y3542" s="311"/>
      <c r="Z3542" s="293"/>
      <c r="AA3542" s="293"/>
      <c r="AB3542" s="293"/>
      <c r="AC3542" s="293"/>
      <c r="AD3542" s="293"/>
      <c r="AE3542" s="293"/>
      <c r="AF3542" s="293"/>
      <c r="AG3542" s="293"/>
      <c r="AH3542" s="293"/>
      <c r="AI3542" s="293"/>
      <c r="AJ3542" s="293"/>
      <c r="AK3542" s="293"/>
      <c r="AL3542" s="293"/>
      <c r="AM3542" s="293"/>
      <c r="AN3542" s="293"/>
      <c r="AO3542" s="293"/>
      <c r="AP3542" s="293"/>
      <c r="AQ3542" s="293"/>
      <c r="AR3542" s="293"/>
      <c r="AS3542" s="293"/>
      <c r="AT3542" s="293"/>
      <c r="AU3542" s="293"/>
      <c r="AV3542" s="293"/>
      <c r="AW3542" s="293"/>
      <c r="AX3542" s="293"/>
      <c r="AY3542" s="293"/>
      <c r="AZ3542" s="293"/>
      <c r="BA3542" s="293"/>
      <c r="BB3542" s="293"/>
      <c r="BC3542" s="293"/>
      <c r="BD3542" s="293"/>
      <c r="BE3542" s="293"/>
      <c r="BF3542" s="293"/>
      <c r="BG3542" s="293"/>
      <c r="BH3542" s="293"/>
      <c r="BI3542" s="293"/>
      <c r="BJ3542" s="293"/>
      <c r="BK3542" s="293"/>
      <c r="BL3542" s="293"/>
      <c r="BM3542" s="293"/>
      <c r="BN3542" s="293"/>
      <c r="BO3542" s="293"/>
      <c r="BP3542" s="293"/>
      <c r="BQ3542" s="293"/>
    </row>
    <row r="3543">
      <c r="A3543" s="78" t="s">
        <v>9085</v>
      </c>
      <c r="B3543" s="248"/>
      <c r="C3543" s="99">
        <v>44145.0</v>
      </c>
      <c r="D3543" s="248"/>
      <c r="E3543" s="78" t="s">
        <v>41</v>
      </c>
      <c r="F3543" s="37">
        <v>1.0</v>
      </c>
      <c r="G3543" s="78" t="s">
        <v>32</v>
      </c>
      <c r="H3543" s="78">
        <v>1.0</v>
      </c>
      <c r="I3543" s="78" t="s">
        <v>33</v>
      </c>
      <c r="J3543" s="78" t="s">
        <v>203</v>
      </c>
      <c r="K3543" s="248"/>
      <c r="L3543" s="106" t="s">
        <v>69</v>
      </c>
      <c r="M3543" s="282" t="s">
        <v>9086</v>
      </c>
      <c r="N3543" s="106"/>
      <c r="O3543" s="248"/>
      <c r="P3543" s="248"/>
      <c r="Q3543" s="293"/>
      <c r="R3543" s="248"/>
      <c r="S3543" s="145"/>
      <c r="T3543" s="313"/>
      <c r="U3543" s="279"/>
      <c r="V3543" s="78" t="s">
        <v>33</v>
      </c>
      <c r="W3543" s="106"/>
      <c r="X3543" s="282"/>
      <c r="Y3543" s="314"/>
      <c r="Z3543" s="248"/>
      <c r="AA3543" s="248"/>
      <c r="AB3543" s="248"/>
      <c r="AC3543" s="248"/>
      <c r="AD3543" s="248"/>
      <c r="AE3543" s="248"/>
      <c r="AF3543" s="248"/>
      <c r="AG3543" s="248"/>
      <c r="AH3543" s="248"/>
      <c r="AI3543" s="248"/>
      <c r="AJ3543" s="248"/>
      <c r="AK3543" s="248"/>
      <c r="AL3543" s="248"/>
      <c r="AM3543" s="248"/>
      <c r="AN3543" s="248"/>
      <c r="AO3543" s="248"/>
      <c r="AP3543" s="248"/>
      <c r="AQ3543" s="248"/>
      <c r="AR3543" s="248"/>
      <c r="AS3543" s="248"/>
      <c r="AT3543" s="248"/>
      <c r="AU3543" s="248"/>
      <c r="AV3543" s="248"/>
      <c r="AW3543" s="248"/>
      <c r="AX3543" s="248"/>
      <c r="AY3543" s="248"/>
      <c r="AZ3543" s="248"/>
      <c r="BA3543" s="248"/>
      <c r="BB3543" s="248"/>
      <c r="BC3543" s="248"/>
      <c r="BD3543" s="248"/>
      <c r="BE3543" s="248"/>
      <c r="BF3543" s="248"/>
      <c r="BG3543" s="248"/>
      <c r="BH3543" s="248"/>
      <c r="BI3543" s="248"/>
      <c r="BJ3543" s="248"/>
      <c r="BK3543" s="248"/>
      <c r="BL3543" s="248"/>
      <c r="BM3543" s="248"/>
      <c r="BN3543" s="248"/>
      <c r="BO3543" s="248"/>
      <c r="BP3543" s="248"/>
      <c r="BQ3543" s="248"/>
    </row>
    <row r="3544">
      <c r="A3544" s="78" t="s">
        <v>9087</v>
      </c>
      <c r="B3544" s="248"/>
      <c r="C3544" s="99">
        <v>44145.0</v>
      </c>
      <c r="D3544" s="248"/>
      <c r="E3544" s="78" t="s">
        <v>41</v>
      </c>
      <c r="F3544" s="37">
        <v>1.0</v>
      </c>
      <c r="G3544" s="78" t="s">
        <v>32</v>
      </c>
      <c r="H3544" s="78">
        <v>1.0</v>
      </c>
      <c r="I3544" s="78" t="s">
        <v>33</v>
      </c>
      <c r="J3544" s="78" t="s">
        <v>55</v>
      </c>
      <c r="K3544" s="248"/>
      <c r="L3544" s="106" t="s">
        <v>76</v>
      </c>
      <c r="M3544" s="282" t="s">
        <v>9088</v>
      </c>
      <c r="N3544" s="106"/>
      <c r="O3544" s="248"/>
      <c r="P3544" s="248"/>
      <c r="Q3544" s="293"/>
      <c r="R3544" s="248"/>
      <c r="S3544" s="145"/>
      <c r="T3544" s="313"/>
      <c r="U3544" s="279"/>
      <c r="V3544" s="78"/>
      <c r="W3544" s="106"/>
      <c r="X3544" s="282"/>
      <c r="Y3544" s="314"/>
      <c r="Z3544" s="248"/>
      <c r="AA3544" s="248"/>
      <c r="AB3544" s="248"/>
      <c r="AC3544" s="248"/>
      <c r="AD3544" s="248"/>
      <c r="AE3544" s="248"/>
      <c r="AF3544" s="248"/>
      <c r="AG3544" s="248"/>
      <c r="AH3544" s="248"/>
      <c r="AI3544" s="248"/>
      <c r="AJ3544" s="248"/>
      <c r="AK3544" s="248"/>
      <c r="AL3544" s="248"/>
      <c r="AM3544" s="248"/>
      <c r="AN3544" s="248"/>
      <c r="AO3544" s="248"/>
      <c r="AP3544" s="248"/>
      <c r="AQ3544" s="248"/>
      <c r="AR3544" s="248"/>
      <c r="AS3544" s="248"/>
      <c r="AT3544" s="248"/>
      <c r="AU3544" s="248"/>
      <c r="AV3544" s="248"/>
      <c r="AW3544" s="248"/>
      <c r="AX3544" s="248"/>
      <c r="AY3544" s="248"/>
      <c r="AZ3544" s="248"/>
      <c r="BA3544" s="248"/>
      <c r="BB3544" s="248"/>
      <c r="BC3544" s="248"/>
      <c r="BD3544" s="248"/>
      <c r="BE3544" s="248"/>
      <c r="BF3544" s="248"/>
      <c r="BG3544" s="248"/>
      <c r="BH3544" s="248"/>
      <c r="BI3544" s="248"/>
      <c r="BJ3544" s="248"/>
      <c r="BK3544" s="248"/>
      <c r="BL3544" s="248"/>
      <c r="BM3544" s="248"/>
      <c r="BN3544" s="248"/>
      <c r="BO3544" s="248"/>
      <c r="BP3544" s="248"/>
      <c r="BQ3544" s="248"/>
    </row>
    <row r="3545">
      <c r="A3545" s="78" t="s">
        <v>239</v>
      </c>
      <c r="B3545" s="293"/>
      <c r="C3545" s="99">
        <v>44145.0</v>
      </c>
      <c r="D3545" s="293"/>
      <c r="E3545" s="78" t="s">
        <v>41</v>
      </c>
      <c r="F3545" s="37">
        <v>2.0</v>
      </c>
      <c r="G3545" s="78" t="s">
        <v>32</v>
      </c>
      <c r="H3545" s="78">
        <v>1.0</v>
      </c>
      <c r="I3545" s="78" t="s">
        <v>33</v>
      </c>
      <c r="J3545" s="78" t="s">
        <v>147</v>
      </c>
      <c r="K3545" s="293"/>
      <c r="L3545" s="106" t="s">
        <v>194</v>
      </c>
      <c r="M3545" s="282" t="s">
        <v>9089</v>
      </c>
      <c r="N3545" s="106"/>
      <c r="O3545" s="248"/>
      <c r="P3545" s="248"/>
      <c r="Q3545" s="248"/>
      <c r="R3545" s="248"/>
      <c r="S3545" s="99"/>
      <c r="T3545" s="279"/>
      <c r="U3545" s="279"/>
      <c r="V3545" s="78" t="s">
        <v>33</v>
      </c>
      <c r="W3545" s="106"/>
      <c r="X3545" s="282"/>
      <c r="Y3545" s="311"/>
      <c r="Z3545" s="293"/>
      <c r="AA3545" s="293"/>
      <c r="AB3545" s="293"/>
      <c r="AC3545" s="293"/>
      <c r="AD3545" s="293"/>
      <c r="AE3545" s="293"/>
      <c r="AF3545" s="293"/>
      <c r="AG3545" s="293"/>
      <c r="AH3545" s="293"/>
      <c r="AI3545" s="293"/>
      <c r="AJ3545" s="293"/>
      <c r="AK3545" s="293"/>
      <c r="AL3545" s="293"/>
      <c r="AM3545" s="293"/>
      <c r="AN3545" s="293"/>
      <c r="AO3545" s="293"/>
      <c r="AP3545" s="293"/>
      <c r="AQ3545" s="293"/>
      <c r="AR3545" s="293"/>
      <c r="AS3545" s="293"/>
      <c r="AT3545" s="293"/>
      <c r="AU3545" s="293"/>
      <c r="AV3545" s="293"/>
      <c r="AW3545" s="293"/>
      <c r="AX3545" s="293"/>
      <c r="AY3545" s="293"/>
      <c r="AZ3545" s="293"/>
      <c r="BA3545" s="293"/>
      <c r="BB3545" s="293"/>
      <c r="BC3545" s="293"/>
      <c r="BD3545" s="293"/>
      <c r="BE3545" s="293"/>
      <c r="BF3545" s="293"/>
      <c r="BG3545" s="293"/>
      <c r="BH3545" s="293"/>
      <c r="BI3545" s="293"/>
      <c r="BJ3545" s="293"/>
      <c r="BK3545" s="293"/>
      <c r="BL3545" s="293"/>
      <c r="BM3545" s="293"/>
      <c r="BN3545" s="293"/>
      <c r="BO3545" s="293"/>
      <c r="BP3545" s="293"/>
      <c r="BQ3545" s="293"/>
    </row>
    <row r="3546">
      <c r="A3546" s="78" t="s">
        <v>9090</v>
      </c>
      <c r="B3546" s="293"/>
      <c r="C3546" s="99">
        <v>44146.0</v>
      </c>
      <c r="D3546" s="293"/>
      <c r="E3546" s="78" t="s">
        <v>41</v>
      </c>
      <c r="F3546" s="37">
        <v>1.0</v>
      </c>
      <c r="G3546" s="78" t="s">
        <v>32</v>
      </c>
      <c r="H3546" s="78">
        <v>1.0</v>
      </c>
      <c r="I3546" s="78" t="s">
        <v>33</v>
      </c>
      <c r="J3546" s="78" t="s">
        <v>93</v>
      </c>
      <c r="K3546" s="293"/>
      <c r="L3546" s="106" t="s">
        <v>69</v>
      </c>
      <c r="M3546" s="282" t="s">
        <v>9091</v>
      </c>
      <c r="N3546" s="106"/>
      <c r="O3546" s="248"/>
      <c r="P3546" s="248"/>
      <c r="Q3546" s="248"/>
      <c r="R3546" s="248"/>
      <c r="S3546" s="99"/>
      <c r="T3546" s="279"/>
      <c r="U3546" s="279"/>
      <c r="V3546" s="78" t="s">
        <v>33</v>
      </c>
      <c r="W3546" s="106"/>
      <c r="X3546" s="282"/>
      <c r="Y3546" s="311"/>
      <c r="Z3546" s="293"/>
      <c r="AA3546" s="293"/>
      <c r="AB3546" s="293"/>
      <c r="AC3546" s="293"/>
      <c r="AD3546" s="293"/>
      <c r="AE3546" s="293"/>
      <c r="AF3546" s="293"/>
      <c r="AG3546" s="293"/>
      <c r="AH3546" s="293"/>
      <c r="AI3546" s="293"/>
      <c r="AJ3546" s="293"/>
      <c r="AK3546" s="293"/>
      <c r="AL3546" s="293"/>
      <c r="AM3546" s="293"/>
      <c r="AN3546" s="293"/>
      <c r="AO3546" s="293"/>
      <c r="AP3546" s="293"/>
      <c r="AQ3546" s="293"/>
      <c r="AR3546" s="293"/>
      <c r="AS3546" s="293"/>
      <c r="AT3546" s="293"/>
      <c r="AU3546" s="293"/>
      <c r="AV3546" s="293"/>
      <c r="AW3546" s="293"/>
      <c r="AX3546" s="293"/>
      <c r="AY3546" s="293"/>
      <c r="AZ3546" s="293"/>
      <c r="BA3546" s="293"/>
      <c r="BB3546" s="293"/>
      <c r="BC3546" s="293"/>
      <c r="BD3546" s="293"/>
      <c r="BE3546" s="293"/>
      <c r="BF3546" s="293"/>
      <c r="BG3546" s="293"/>
      <c r="BH3546" s="293"/>
      <c r="BI3546" s="293"/>
      <c r="BJ3546" s="293"/>
      <c r="BK3546" s="293"/>
      <c r="BL3546" s="293"/>
      <c r="BM3546" s="293"/>
      <c r="BN3546" s="293"/>
      <c r="BO3546" s="293"/>
      <c r="BP3546" s="293"/>
      <c r="BQ3546" s="293"/>
    </row>
    <row r="3547">
      <c r="A3547" s="78" t="s">
        <v>9092</v>
      </c>
      <c r="B3547" s="293"/>
      <c r="C3547" s="99">
        <v>44147.0</v>
      </c>
      <c r="D3547" s="293"/>
      <c r="E3547" s="78" t="s">
        <v>41</v>
      </c>
      <c r="F3547" s="37">
        <v>1.0</v>
      </c>
      <c r="G3547" s="78" t="s">
        <v>32</v>
      </c>
      <c r="H3547" s="78">
        <v>1.0</v>
      </c>
      <c r="I3547" s="78" t="s">
        <v>33</v>
      </c>
      <c r="J3547" s="78" t="s">
        <v>115</v>
      </c>
      <c r="K3547" s="293"/>
      <c r="L3547" s="106" t="s">
        <v>76</v>
      </c>
      <c r="M3547" s="282" t="s">
        <v>9093</v>
      </c>
      <c r="N3547" s="106"/>
      <c r="O3547" s="248"/>
      <c r="P3547" s="248"/>
      <c r="Q3547" s="248"/>
      <c r="R3547" s="248"/>
      <c r="S3547" s="99"/>
      <c r="T3547" s="279"/>
      <c r="U3547" s="279"/>
      <c r="V3547" s="78" t="s">
        <v>33</v>
      </c>
      <c r="W3547" s="106"/>
      <c r="X3547" s="282"/>
      <c r="Y3547" s="311"/>
      <c r="Z3547" s="293"/>
      <c r="AA3547" s="293"/>
      <c r="AB3547" s="293"/>
      <c r="AC3547" s="293"/>
      <c r="AD3547" s="293"/>
      <c r="AE3547" s="293"/>
      <c r="AF3547" s="293"/>
      <c r="AG3547" s="293"/>
      <c r="AH3547" s="293"/>
      <c r="AI3547" s="293"/>
      <c r="AJ3547" s="293"/>
      <c r="AK3547" s="293"/>
      <c r="AL3547" s="293"/>
      <c r="AM3547" s="293"/>
      <c r="AN3547" s="293"/>
      <c r="AO3547" s="293"/>
      <c r="AP3547" s="293"/>
      <c r="AQ3547" s="293"/>
      <c r="AR3547" s="293"/>
      <c r="AS3547" s="293"/>
      <c r="AT3547" s="293"/>
      <c r="AU3547" s="293"/>
      <c r="AV3547" s="293"/>
      <c r="AW3547" s="293"/>
      <c r="AX3547" s="293"/>
      <c r="AY3547" s="293"/>
      <c r="AZ3547" s="293"/>
      <c r="BA3547" s="293"/>
      <c r="BB3547" s="293"/>
      <c r="BC3547" s="293"/>
      <c r="BD3547" s="293"/>
      <c r="BE3547" s="293"/>
      <c r="BF3547" s="293"/>
      <c r="BG3547" s="293"/>
      <c r="BH3547" s="293"/>
      <c r="BI3547" s="293"/>
      <c r="BJ3547" s="293"/>
      <c r="BK3547" s="293"/>
      <c r="BL3547" s="293"/>
      <c r="BM3547" s="293"/>
      <c r="BN3547" s="293"/>
      <c r="BO3547" s="293"/>
      <c r="BP3547" s="293"/>
      <c r="BQ3547" s="293"/>
    </row>
    <row r="3548">
      <c r="A3548" s="78" t="s">
        <v>9094</v>
      </c>
      <c r="B3548" s="293"/>
      <c r="C3548" s="99">
        <v>44147.0</v>
      </c>
      <c r="D3548" s="293"/>
      <c r="E3548" s="78" t="s">
        <v>41</v>
      </c>
      <c r="F3548" s="37">
        <v>1.0</v>
      </c>
      <c r="G3548" s="78">
        <v>3.0</v>
      </c>
      <c r="H3548" s="78">
        <v>3.0</v>
      </c>
      <c r="I3548" s="78" t="s">
        <v>33</v>
      </c>
      <c r="J3548" s="78" t="s">
        <v>111</v>
      </c>
      <c r="K3548" s="293"/>
      <c r="L3548" s="106" t="s">
        <v>69</v>
      </c>
      <c r="M3548" s="282" t="s">
        <v>9095</v>
      </c>
      <c r="N3548" s="106"/>
      <c r="O3548" s="248"/>
      <c r="P3548" s="248"/>
      <c r="Q3548" s="248"/>
      <c r="R3548" s="248"/>
      <c r="S3548" s="99"/>
      <c r="T3548" s="279"/>
      <c r="U3548" s="279"/>
      <c r="V3548" s="78" t="s">
        <v>33</v>
      </c>
      <c r="W3548" s="106"/>
      <c r="X3548" s="282"/>
      <c r="Y3548" s="311"/>
      <c r="Z3548" s="293"/>
      <c r="AA3548" s="293"/>
      <c r="AB3548" s="293"/>
      <c r="AC3548" s="293"/>
      <c r="AD3548" s="293"/>
      <c r="AE3548" s="293"/>
      <c r="AF3548" s="293"/>
      <c r="AG3548" s="293"/>
      <c r="AH3548" s="293"/>
      <c r="AI3548" s="293"/>
      <c r="AJ3548" s="293"/>
      <c r="AK3548" s="293"/>
      <c r="AL3548" s="293"/>
      <c r="AM3548" s="293"/>
      <c r="AN3548" s="293"/>
      <c r="AO3548" s="293"/>
      <c r="AP3548" s="293"/>
      <c r="AQ3548" s="293"/>
      <c r="AR3548" s="293"/>
      <c r="AS3548" s="293"/>
      <c r="AT3548" s="293"/>
      <c r="AU3548" s="293"/>
      <c r="AV3548" s="293"/>
      <c r="AW3548" s="293"/>
      <c r="AX3548" s="293"/>
      <c r="AY3548" s="293"/>
      <c r="AZ3548" s="293"/>
      <c r="BA3548" s="293"/>
      <c r="BB3548" s="293"/>
      <c r="BC3548" s="293"/>
      <c r="BD3548" s="293"/>
      <c r="BE3548" s="293"/>
      <c r="BF3548" s="293"/>
      <c r="BG3548" s="293"/>
      <c r="BH3548" s="293"/>
      <c r="BI3548" s="293"/>
      <c r="BJ3548" s="293"/>
      <c r="BK3548" s="293"/>
      <c r="BL3548" s="293"/>
      <c r="BM3548" s="293"/>
      <c r="BN3548" s="293"/>
      <c r="BO3548" s="293"/>
      <c r="BP3548" s="293"/>
      <c r="BQ3548" s="293"/>
    </row>
    <row r="3549">
      <c r="A3549" s="78" t="s">
        <v>239</v>
      </c>
      <c r="B3549" s="293"/>
      <c r="C3549" s="99">
        <v>44147.0</v>
      </c>
      <c r="D3549" s="293"/>
      <c r="E3549" s="78" t="s">
        <v>31</v>
      </c>
      <c r="F3549" s="37">
        <v>1.0</v>
      </c>
      <c r="G3549" s="78" t="s">
        <v>32</v>
      </c>
      <c r="H3549" s="78">
        <v>1.0</v>
      </c>
      <c r="I3549" s="78" t="s">
        <v>33</v>
      </c>
      <c r="J3549" s="78" t="s">
        <v>241</v>
      </c>
      <c r="K3549" s="293"/>
      <c r="L3549" s="106" t="s">
        <v>194</v>
      </c>
      <c r="M3549" s="282" t="s">
        <v>9096</v>
      </c>
      <c r="N3549" s="106"/>
      <c r="O3549" s="248"/>
      <c r="P3549" s="248"/>
      <c r="Q3549" s="248"/>
      <c r="R3549" s="248"/>
      <c r="S3549" s="99"/>
      <c r="T3549" s="279"/>
      <c r="U3549" s="279"/>
      <c r="V3549" s="78" t="s">
        <v>33</v>
      </c>
      <c r="W3549" s="106"/>
      <c r="X3549" s="282"/>
      <c r="Y3549" s="311"/>
      <c r="Z3549" s="293"/>
      <c r="AA3549" s="293"/>
      <c r="AB3549" s="293"/>
      <c r="AC3549" s="293"/>
      <c r="AD3549" s="293"/>
      <c r="AE3549" s="293"/>
      <c r="AF3549" s="293"/>
      <c r="AG3549" s="293"/>
      <c r="AH3549" s="293"/>
      <c r="AI3549" s="293"/>
      <c r="AJ3549" s="293"/>
      <c r="AK3549" s="293"/>
      <c r="AL3549" s="293"/>
      <c r="AM3549" s="293"/>
      <c r="AN3549" s="293"/>
      <c r="AO3549" s="293"/>
      <c r="AP3549" s="293"/>
      <c r="AQ3549" s="293"/>
      <c r="AR3549" s="293"/>
      <c r="AS3549" s="293"/>
      <c r="AT3549" s="293"/>
      <c r="AU3549" s="293"/>
      <c r="AV3549" s="293"/>
      <c r="AW3549" s="293"/>
      <c r="AX3549" s="293"/>
      <c r="AY3549" s="293"/>
      <c r="AZ3549" s="293"/>
      <c r="BA3549" s="293"/>
      <c r="BB3549" s="293"/>
      <c r="BC3549" s="293"/>
      <c r="BD3549" s="293"/>
      <c r="BE3549" s="293"/>
      <c r="BF3549" s="293"/>
      <c r="BG3549" s="293"/>
      <c r="BH3549" s="293"/>
      <c r="BI3549" s="293"/>
      <c r="BJ3549" s="293"/>
      <c r="BK3549" s="293"/>
      <c r="BL3549" s="293"/>
      <c r="BM3549" s="293"/>
      <c r="BN3549" s="293"/>
      <c r="BO3549" s="293"/>
      <c r="BP3549" s="293"/>
      <c r="BQ3549" s="293"/>
    </row>
    <row r="3550">
      <c r="A3550" s="78" t="s">
        <v>9097</v>
      </c>
      <c r="B3550" s="293"/>
      <c r="C3550" s="99">
        <v>44148.0</v>
      </c>
      <c r="D3550" s="293"/>
      <c r="E3550" s="78" t="s">
        <v>41</v>
      </c>
      <c r="F3550" s="37">
        <v>1.0</v>
      </c>
      <c r="G3550" s="78" t="s">
        <v>32</v>
      </c>
      <c r="H3550" s="78">
        <v>1.0</v>
      </c>
      <c r="I3550" s="78" t="s">
        <v>33</v>
      </c>
      <c r="J3550" s="78" t="s">
        <v>55</v>
      </c>
      <c r="K3550" s="293"/>
      <c r="L3550" s="106" t="s">
        <v>69</v>
      </c>
      <c r="M3550" s="282" t="s">
        <v>9098</v>
      </c>
      <c r="N3550" s="106"/>
      <c r="O3550" s="248"/>
      <c r="P3550" s="248"/>
      <c r="Q3550" s="248"/>
      <c r="R3550" s="248"/>
      <c r="S3550" s="99"/>
      <c r="T3550" s="279"/>
      <c r="U3550" s="279"/>
      <c r="V3550" s="78" t="s">
        <v>33</v>
      </c>
      <c r="W3550" s="106"/>
      <c r="X3550" s="282"/>
      <c r="Y3550" s="311"/>
      <c r="Z3550" s="293"/>
      <c r="AA3550" s="293"/>
      <c r="AB3550" s="293"/>
      <c r="AC3550" s="293"/>
      <c r="AD3550" s="293"/>
      <c r="AE3550" s="293"/>
      <c r="AF3550" s="293"/>
      <c r="AG3550" s="293"/>
      <c r="AH3550" s="293"/>
      <c r="AI3550" s="293"/>
      <c r="AJ3550" s="293"/>
      <c r="AK3550" s="293"/>
      <c r="AL3550" s="293"/>
      <c r="AM3550" s="293"/>
      <c r="AN3550" s="293"/>
      <c r="AO3550" s="293"/>
      <c r="AP3550" s="293"/>
      <c r="AQ3550" s="293"/>
      <c r="AR3550" s="293"/>
      <c r="AS3550" s="293"/>
      <c r="AT3550" s="293"/>
      <c r="AU3550" s="293"/>
      <c r="AV3550" s="293"/>
      <c r="AW3550" s="293"/>
      <c r="AX3550" s="293"/>
      <c r="AY3550" s="293"/>
      <c r="AZ3550" s="293"/>
      <c r="BA3550" s="293"/>
      <c r="BB3550" s="293"/>
      <c r="BC3550" s="293"/>
      <c r="BD3550" s="293"/>
      <c r="BE3550" s="293"/>
      <c r="BF3550" s="293"/>
      <c r="BG3550" s="293"/>
      <c r="BH3550" s="293"/>
      <c r="BI3550" s="293"/>
      <c r="BJ3550" s="293"/>
      <c r="BK3550" s="293"/>
      <c r="BL3550" s="293"/>
      <c r="BM3550" s="293"/>
      <c r="BN3550" s="293"/>
      <c r="BO3550" s="293"/>
      <c r="BP3550" s="293"/>
      <c r="BQ3550" s="293"/>
    </row>
    <row r="3551">
      <c r="A3551" s="78" t="s">
        <v>239</v>
      </c>
      <c r="B3551" s="293"/>
      <c r="C3551" s="99">
        <v>44148.0</v>
      </c>
      <c r="D3551" s="293"/>
      <c r="E3551" s="78" t="s">
        <v>41</v>
      </c>
      <c r="F3551" s="37">
        <v>1.0</v>
      </c>
      <c r="G3551" s="78" t="s">
        <v>32</v>
      </c>
      <c r="H3551" s="78">
        <v>1.0</v>
      </c>
      <c r="I3551" s="78" t="s">
        <v>33</v>
      </c>
      <c r="J3551" s="78" t="s">
        <v>147</v>
      </c>
      <c r="K3551" s="293"/>
      <c r="L3551" s="106" t="s">
        <v>194</v>
      </c>
      <c r="M3551" s="282" t="s">
        <v>9099</v>
      </c>
      <c r="N3551" s="106"/>
      <c r="O3551" s="248"/>
      <c r="P3551" s="248"/>
      <c r="Q3551" s="248"/>
      <c r="R3551" s="248"/>
      <c r="S3551" s="99"/>
      <c r="T3551" s="279"/>
      <c r="U3551" s="279"/>
      <c r="V3551" s="78" t="s">
        <v>33</v>
      </c>
      <c r="W3551" s="106"/>
      <c r="X3551" s="282"/>
      <c r="Y3551" s="311"/>
      <c r="Z3551" s="293"/>
      <c r="AA3551" s="293"/>
      <c r="AB3551" s="293"/>
      <c r="AC3551" s="293"/>
      <c r="AD3551" s="293"/>
      <c r="AE3551" s="293"/>
      <c r="AF3551" s="293"/>
      <c r="AG3551" s="293"/>
      <c r="AH3551" s="293"/>
      <c r="AI3551" s="293"/>
      <c r="AJ3551" s="293"/>
      <c r="AK3551" s="293"/>
      <c r="AL3551" s="293"/>
      <c r="AM3551" s="293"/>
      <c r="AN3551" s="293"/>
      <c r="AO3551" s="293"/>
      <c r="AP3551" s="293"/>
      <c r="AQ3551" s="293"/>
      <c r="AR3551" s="293"/>
      <c r="AS3551" s="293"/>
      <c r="AT3551" s="293"/>
      <c r="AU3551" s="293"/>
      <c r="AV3551" s="293"/>
      <c r="AW3551" s="293"/>
      <c r="AX3551" s="293"/>
      <c r="AY3551" s="293"/>
      <c r="AZ3551" s="293"/>
      <c r="BA3551" s="293"/>
      <c r="BB3551" s="293"/>
      <c r="BC3551" s="293"/>
      <c r="BD3551" s="293"/>
      <c r="BE3551" s="293"/>
      <c r="BF3551" s="293"/>
      <c r="BG3551" s="293"/>
      <c r="BH3551" s="293"/>
      <c r="BI3551" s="293"/>
      <c r="BJ3551" s="293"/>
      <c r="BK3551" s="293"/>
      <c r="BL3551" s="293"/>
      <c r="BM3551" s="293"/>
      <c r="BN3551" s="293"/>
      <c r="BO3551" s="293"/>
      <c r="BP3551" s="293"/>
      <c r="BQ3551" s="293"/>
    </row>
    <row r="3552">
      <c r="A3552" s="78" t="s">
        <v>9100</v>
      </c>
      <c r="B3552" s="293"/>
      <c r="C3552" s="99">
        <v>44151.0</v>
      </c>
      <c r="D3552" s="293"/>
      <c r="E3552" s="78" t="s">
        <v>41</v>
      </c>
      <c r="F3552" s="37">
        <v>1.0</v>
      </c>
      <c r="G3552" s="78" t="s">
        <v>32</v>
      </c>
      <c r="H3552" s="78">
        <v>1.0</v>
      </c>
      <c r="I3552" s="78" t="s">
        <v>33</v>
      </c>
      <c r="J3552" s="78" t="s">
        <v>55</v>
      </c>
      <c r="K3552" s="293"/>
      <c r="L3552" s="106" t="s">
        <v>69</v>
      </c>
      <c r="M3552" s="282" t="s">
        <v>9101</v>
      </c>
      <c r="N3552" s="106"/>
      <c r="O3552" s="248"/>
      <c r="P3552" s="248"/>
      <c r="Q3552" s="248"/>
      <c r="R3552" s="248"/>
      <c r="S3552" s="99"/>
      <c r="T3552" s="279"/>
      <c r="U3552" s="279"/>
      <c r="V3552" s="78" t="s">
        <v>33</v>
      </c>
      <c r="W3552" s="106"/>
      <c r="X3552" s="282"/>
      <c r="Y3552" s="311"/>
      <c r="Z3552" s="293"/>
      <c r="AA3552" s="293"/>
      <c r="AB3552" s="293"/>
      <c r="AC3552" s="293"/>
      <c r="AD3552" s="293"/>
      <c r="AE3552" s="293"/>
      <c r="AF3552" s="293"/>
      <c r="AG3552" s="293"/>
      <c r="AH3552" s="293"/>
      <c r="AI3552" s="293"/>
      <c r="AJ3552" s="293"/>
      <c r="AK3552" s="293"/>
      <c r="AL3552" s="293"/>
      <c r="AM3552" s="293"/>
      <c r="AN3552" s="293"/>
      <c r="AO3552" s="293"/>
      <c r="AP3552" s="293"/>
      <c r="AQ3552" s="293"/>
      <c r="AR3552" s="293"/>
      <c r="AS3552" s="293"/>
      <c r="AT3552" s="293"/>
      <c r="AU3552" s="293"/>
      <c r="AV3552" s="293"/>
      <c r="AW3552" s="293"/>
      <c r="AX3552" s="293"/>
      <c r="AY3552" s="293"/>
      <c r="AZ3552" s="293"/>
      <c r="BA3552" s="293"/>
      <c r="BB3552" s="293"/>
      <c r="BC3552" s="293"/>
      <c r="BD3552" s="293"/>
      <c r="BE3552" s="293"/>
      <c r="BF3552" s="293"/>
      <c r="BG3552" s="293"/>
      <c r="BH3552" s="293"/>
      <c r="BI3552" s="293"/>
      <c r="BJ3552" s="293"/>
      <c r="BK3552" s="293"/>
      <c r="BL3552" s="293"/>
      <c r="BM3552" s="293"/>
      <c r="BN3552" s="293"/>
      <c r="BO3552" s="293"/>
      <c r="BP3552" s="293"/>
      <c r="BQ3552" s="293"/>
    </row>
    <row r="3553">
      <c r="A3553" s="78" t="s">
        <v>9102</v>
      </c>
      <c r="B3553" s="293"/>
      <c r="C3553" s="99">
        <v>44151.0</v>
      </c>
      <c r="D3553" s="293"/>
      <c r="E3553" s="78" t="s">
        <v>41</v>
      </c>
      <c r="F3553" s="37">
        <v>1.0</v>
      </c>
      <c r="G3553" s="78" t="s">
        <v>32</v>
      </c>
      <c r="H3553" s="78">
        <v>1.0</v>
      </c>
      <c r="I3553" s="78" t="s">
        <v>33</v>
      </c>
      <c r="J3553" s="78" t="s">
        <v>318</v>
      </c>
      <c r="K3553" s="293"/>
      <c r="L3553" s="106" t="s">
        <v>76</v>
      </c>
      <c r="M3553" s="282" t="s">
        <v>9103</v>
      </c>
      <c r="N3553" s="106"/>
      <c r="O3553" s="248"/>
      <c r="P3553" s="248"/>
      <c r="Q3553" s="248"/>
      <c r="R3553" s="248"/>
      <c r="S3553" s="99"/>
      <c r="T3553" s="279"/>
      <c r="U3553" s="279"/>
      <c r="V3553" s="78" t="s">
        <v>33</v>
      </c>
      <c r="W3553" s="106"/>
      <c r="X3553" s="282"/>
      <c r="Y3553" s="311"/>
      <c r="Z3553" s="293"/>
      <c r="AA3553" s="293"/>
      <c r="AB3553" s="293"/>
      <c r="AC3553" s="293"/>
      <c r="AD3553" s="293"/>
      <c r="AE3553" s="293"/>
      <c r="AF3553" s="293"/>
      <c r="AG3553" s="293"/>
      <c r="AH3553" s="293"/>
      <c r="AI3553" s="293"/>
      <c r="AJ3553" s="293"/>
      <c r="AK3553" s="293"/>
      <c r="AL3553" s="293"/>
      <c r="AM3553" s="293"/>
      <c r="AN3553" s="293"/>
      <c r="AO3553" s="293"/>
      <c r="AP3553" s="293"/>
      <c r="AQ3553" s="293"/>
      <c r="AR3553" s="293"/>
      <c r="AS3553" s="293"/>
      <c r="AT3553" s="293"/>
      <c r="AU3553" s="293"/>
      <c r="AV3553" s="293"/>
      <c r="AW3553" s="293"/>
      <c r="AX3553" s="293"/>
      <c r="AY3553" s="293"/>
      <c r="AZ3553" s="293"/>
      <c r="BA3553" s="293"/>
      <c r="BB3553" s="293"/>
      <c r="BC3553" s="293"/>
      <c r="BD3553" s="293"/>
      <c r="BE3553" s="293"/>
      <c r="BF3553" s="293"/>
      <c r="BG3553" s="293"/>
      <c r="BH3553" s="293"/>
      <c r="BI3553" s="293"/>
      <c r="BJ3553" s="293"/>
      <c r="BK3553" s="293"/>
      <c r="BL3553" s="293"/>
      <c r="BM3553" s="293"/>
      <c r="BN3553" s="293"/>
      <c r="BO3553" s="293"/>
      <c r="BP3553" s="293"/>
      <c r="BQ3553" s="293"/>
    </row>
    <row r="3554">
      <c r="A3554" s="78" t="s">
        <v>9104</v>
      </c>
      <c r="B3554" s="293"/>
      <c r="C3554" s="99">
        <v>44151.0</v>
      </c>
      <c r="D3554" s="293"/>
      <c r="E3554" s="78" t="s">
        <v>41</v>
      </c>
      <c r="F3554" s="37">
        <v>1.0</v>
      </c>
      <c r="G3554" s="78">
        <v>2.0</v>
      </c>
      <c r="H3554" s="78">
        <v>2.0</v>
      </c>
      <c r="I3554" s="78" t="s">
        <v>33</v>
      </c>
      <c r="J3554" s="78" t="s">
        <v>106</v>
      </c>
      <c r="K3554" s="293"/>
      <c r="L3554" s="106" t="s">
        <v>76</v>
      </c>
      <c r="M3554" s="282" t="s">
        <v>9105</v>
      </c>
      <c r="N3554" s="106"/>
      <c r="O3554" s="248"/>
      <c r="P3554" s="248"/>
      <c r="Q3554" s="248"/>
      <c r="R3554" s="248"/>
      <c r="S3554" s="99"/>
      <c r="T3554" s="279"/>
      <c r="U3554" s="279"/>
      <c r="V3554" s="78" t="s">
        <v>33</v>
      </c>
      <c r="W3554" s="106"/>
      <c r="X3554" s="282"/>
      <c r="Y3554" s="311"/>
      <c r="Z3554" s="293"/>
      <c r="AA3554" s="293"/>
      <c r="AB3554" s="293"/>
      <c r="AC3554" s="293"/>
      <c r="AD3554" s="293"/>
      <c r="AE3554" s="293"/>
      <c r="AF3554" s="293"/>
      <c r="AG3554" s="293"/>
      <c r="AH3554" s="293"/>
      <c r="AI3554" s="293"/>
      <c r="AJ3554" s="293"/>
      <c r="AK3554" s="293"/>
      <c r="AL3554" s="293"/>
      <c r="AM3554" s="293"/>
      <c r="AN3554" s="293"/>
      <c r="AO3554" s="293"/>
      <c r="AP3554" s="293"/>
      <c r="AQ3554" s="293"/>
      <c r="AR3554" s="293"/>
      <c r="AS3554" s="293"/>
      <c r="AT3554" s="293"/>
      <c r="AU3554" s="293"/>
      <c r="AV3554" s="293"/>
      <c r="AW3554" s="293"/>
      <c r="AX3554" s="293"/>
      <c r="AY3554" s="293"/>
      <c r="AZ3554" s="293"/>
      <c r="BA3554" s="293"/>
      <c r="BB3554" s="293"/>
      <c r="BC3554" s="293"/>
      <c r="BD3554" s="293"/>
      <c r="BE3554" s="293"/>
      <c r="BF3554" s="293"/>
      <c r="BG3554" s="293"/>
      <c r="BH3554" s="293"/>
      <c r="BI3554" s="293"/>
      <c r="BJ3554" s="293"/>
      <c r="BK3554" s="293"/>
      <c r="BL3554" s="293"/>
      <c r="BM3554" s="293"/>
      <c r="BN3554" s="293"/>
      <c r="BO3554" s="293"/>
      <c r="BP3554" s="293"/>
      <c r="BQ3554" s="293"/>
    </row>
    <row r="3555">
      <c r="A3555" s="78" t="s">
        <v>9106</v>
      </c>
      <c r="B3555" s="293"/>
      <c r="C3555" s="99">
        <v>44152.0</v>
      </c>
      <c r="D3555" s="293"/>
      <c r="E3555" s="78" t="s">
        <v>41</v>
      </c>
      <c r="F3555" s="37">
        <v>1.0</v>
      </c>
      <c r="G3555" s="78" t="s">
        <v>32</v>
      </c>
      <c r="H3555" s="78">
        <v>1.0</v>
      </c>
      <c r="I3555" s="78" t="s">
        <v>33</v>
      </c>
      <c r="J3555" s="78" t="s">
        <v>93</v>
      </c>
      <c r="K3555" s="293"/>
      <c r="L3555" s="106" t="s">
        <v>119</v>
      </c>
      <c r="M3555" s="282" t="s">
        <v>9107</v>
      </c>
      <c r="N3555" s="106"/>
      <c r="O3555" s="248"/>
      <c r="P3555" s="248"/>
      <c r="Q3555" s="248"/>
      <c r="R3555" s="248"/>
      <c r="S3555" s="99"/>
      <c r="T3555" s="279"/>
      <c r="U3555" s="279"/>
      <c r="V3555" s="78" t="s">
        <v>33</v>
      </c>
      <c r="W3555" s="106"/>
      <c r="X3555" s="282"/>
      <c r="Y3555" s="311"/>
      <c r="Z3555" s="293"/>
      <c r="AA3555" s="293"/>
      <c r="AB3555" s="293"/>
      <c r="AC3555" s="293"/>
      <c r="AD3555" s="293"/>
      <c r="AE3555" s="293"/>
      <c r="AF3555" s="293"/>
      <c r="AG3555" s="293"/>
      <c r="AH3555" s="293"/>
      <c r="AI3555" s="293"/>
      <c r="AJ3555" s="293"/>
      <c r="AK3555" s="293"/>
      <c r="AL3555" s="293"/>
      <c r="AM3555" s="293"/>
      <c r="AN3555" s="293"/>
      <c r="AO3555" s="293"/>
      <c r="AP3555" s="293"/>
      <c r="AQ3555" s="293"/>
      <c r="AR3555" s="293"/>
      <c r="AS3555" s="293"/>
      <c r="AT3555" s="293"/>
      <c r="AU3555" s="293"/>
      <c r="AV3555" s="293"/>
      <c r="AW3555" s="293"/>
      <c r="AX3555" s="293"/>
      <c r="AY3555" s="293"/>
      <c r="AZ3555" s="293"/>
      <c r="BA3555" s="293"/>
      <c r="BB3555" s="293"/>
      <c r="BC3555" s="293"/>
      <c r="BD3555" s="293"/>
      <c r="BE3555" s="293"/>
      <c r="BF3555" s="293"/>
      <c r="BG3555" s="293"/>
      <c r="BH3555" s="293"/>
      <c r="BI3555" s="293"/>
      <c r="BJ3555" s="293"/>
      <c r="BK3555" s="293"/>
      <c r="BL3555" s="293"/>
      <c r="BM3555" s="293"/>
      <c r="BN3555" s="293"/>
      <c r="BO3555" s="293"/>
      <c r="BP3555" s="293"/>
      <c r="BQ3555" s="293"/>
    </row>
    <row r="3556">
      <c r="A3556" s="78" t="s">
        <v>9108</v>
      </c>
      <c r="B3556" s="293"/>
      <c r="C3556" s="99">
        <v>44152.0</v>
      </c>
      <c r="D3556" s="293"/>
      <c r="E3556" s="78" t="s">
        <v>41</v>
      </c>
      <c r="F3556" s="37">
        <v>1.0</v>
      </c>
      <c r="G3556" s="78">
        <v>1.0</v>
      </c>
      <c r="H3556" s="78">
        <v>1.0</v>
      </c>
      <c r="I3556" s="78" t="s">
        <v>33</v>
      </c>
      <c r="J3556" s="78" t="s">
        <v>93</v>
      </c>
      <c r="K3556" s="293"/>
      <c r="L3556" s="106" t="s">
        <v>76</v>
      </c>
      <c r="M3556" s="282" t="s">
        <v>9109</v>
      </c>
      <c r="N3556" s="106"/>
      <c r="O3556" s="248"/>
      <c r="P3556" s="248"/>
      <c r="Q3556" s="248"/>
      <c r="R3556" s="248"/>
      <c r="S3556" s="99"/>
      <c r="T3556" s="279"/>
      <c r="U3556" s="279"/>
      <c r="V3556" s="78" t="s">
        <v>33</v>
      </c>
      <c r="W3556" s="106"/>
      <c r="X3556" s="282"/>
      <c r="Y3556" s="311"/>
      <c r="Z3556" s="293"/>
      <c r="AA3556" s="293"/>
      <c r="AB3556" s="293"/>
      <c r="AC3556" s="293"/>
      <c r="AD3556" s="293"/>
      <c r="AE3556" s="293"/>
      <c r="AF3556" s="293"/>
      <c r="AG3556" s="293"/>
      <c r="AH3556" s="293"/>
      <c r="AI3556" s="293"/>
      <c r="AJ3556" s="293"/>
      <c r="AK3556" s="293"/>
      <c r="AL3556" s="293"/>
      <c r="AM3556" s="293"/>
      <c r="AN3556" s="293"/>
      <c r="AO3556" s="293"/>
      <c r="AP3556" s="293"/>
      <c r="AQ3556" s="293"/>
      <c r="AR3556" s="293"/>
      <c r="AS3556" s="293"/>
      <c r="AT3556" s="293"/>
      <c r="AU3556" s="293"/>
      <c r="AV3556" s="293"/>
      <c r="AW3556" s="293"/>
      <c r="AX3556" s="293"/>
      <c r="AY3556" s="293"/>
      <c r="AZ3556" s="293"/>
      <c r="BA3556" s="293"/>
      <c r="BB3556" s="293"/>
      <c r="BC3556" s="293"/>
      <c r="BD3556" s="293"/>
      <c r="BE3556" s="293"/>
      <c r="BF3556" s="293"/>
      <c r="BG3556" s="293"/>
      <c r="BH3556" s="293"/>
      <c r="BI3556" s="293"/>
      <c r="BJ3556" s="293"/>
      <c r="BK3556" s="293"/>
      <c r="BL3556" s="293"/>
      <c r="BM3556" s="293"/>
      <c r="BN3556" s="293"/>
      <c r="BO3556" s="293"/>
      <c r="BP3556" s="293"/>
      <c r="BQ3556" s="293"/>
    </row>
    <row r="3557">
      <c r="A3557" s="78" t="s">
        <v>239</v>
      </c>
      <c r="B3557" s="293"/>
      <c r="C3557" s="99">
        <v>44152.0</v>
      </c>
      <c r="D3557" s="293"/>
      <c r="E3557" s="78" t="s">
        <v>41</v>
      </c>
      <c r="F3557" s="37">
        <v>1.0</v>
      </c>
      <c r="G3557" s="78" t="s">
        <v>32</v>
      </c>
      <c r="H3557" s="78">
        <v>1.0</v>
      </c>
      <c r="I3557" s="78" t="s">
        <v>33</v>
      </c>
      <c r="J3557" s="78" t="s">
        <v>241</v>
      </c>
      <c r="K3557" s="293"/>
      <c r="L3557" s="106" t="s">
        <v>194</v>
      </c>
      <c r="M3557" s="282" t="s">
        <v>9110</v>
      </c>
      <c r="N3557" s="106"/>
      <c r="O3557" s="248"/>
      <c r="P3557" s="248"/>
      <c r="Q3557" s="248"/>
      <c r="R3557" s="248"/>
      <c r="S3557" s="99"/>
      <c r="T3557" s="279"/>
      <c r="U3557" s="279"/>
      <c r="V3557" s="78" t="s">
        <v>33</v>
      </c>
      <c r="W3557" s="106"/>
      <c r="X3557" s="282"/>
      <c r="Y3557" s="311"/>
      <c r="Z3557" s="293"/>
      <c r="AA3557" s="293"/>
      <c r="AB3557" s="293"/>
      <c r="AC3557" s="293"/>
      <c r="AD3557" s="293"/>
      <c r="AE3557" s="293"/>
      <c r="AF3557" s="293"/>
      <c r="AG3557" s="293"/>
      <c r="AH3557" s="293"/>
      <c r="AI3557" s="293"/>
      <c r="AJ3557" s="293"/>
      <c r="AK3557" s="293"/>
      <c r="AL3557" s="293"/>
      <c r="AM3557" s="293"/>
      <c r="AN3557" s="293"/>
      <c r="AO3557" s="293"/>
      <c r="AP3557" s="293"/>
      <c r="AQ3557" s="293"/>
      <c r="AR3557" s="293"/>
      <c r="AS3557" s="293"/>
      <c r="AT3557" s="293"/>
      <c r="AU3557" s="293"/>
      <c r="AV3557" s="293"/>
      <c r="AW3557" s="293"/>
      <c r="AX3557" s="293"/>
      <c r="AY3557" s="293"/>
      <c r="AZ3557" s="293"/>
      <c r="BA3557" s="293"/>
      <c r="BB3557" s="293"/>
      <c r="BC3557" s="293"/>
      <c r="BD3557" s="293"/>
      <c r="BE3557" s="293"/>
      <c r="BF3557" s="293"/>
      <c r="BG3557" s="293"/>
      <c r="BH3557" s="293"/>
      <c r="BI3557" s="293"/>
      <c r="BJ3557" s="293"/>
      <c r="BK3557" s="293"/>
      <c r="BL3557" s="293"/>
      <c r="BM3557" s="293"/>
      <c r="BN3557" s="293"/>
      <c r="BO3557" s="293"/>
      <c r="BP3557" s="293"/>
      <c r="BQ3557" s="293"/>
    </row>
    <row r="3558">
      <c r="A3558" s="78" t="s">
        <v>239</v>
      </c>
      <c r="B3558" s="293"/>
      <c r="C3558" s="99">
        <v>44153.0</v>
      </c>
      <c r="D3558" s="293"/>
      <c r="E3558" s="78" t="s">
        <v>41</v>
      </c>
      <c r="F3558" s="37">
        <v>1.0</v>
      </c>
      <c r="G3558" s="78" t="s">
        <v>32</v>
      </c>
      <c r="H3558" s="78">
        <v>1.0</v>
      </c>
      <c r="I3558" s="78" t="s">
        <v>33</v>
      </c>
      <c r="J3558" s="78" t="s">
        <v>241</v>
      </c>
      <c r="K3558" s="293"/>
      <c r="L3558" s="106" t="s">
        <v>194</v>
      </c>
      <c r="M3558" s="282" t="s">
        <v>9111</v>
      </c>
      <c r="N3558" s="106"/>
      <c r="O3558" s="248"/>
      <c r="P3558" s="248"/>
      <c r="Q3558" s="248"/>
      <c r="R3558" s="248"/>
      <c r="S3558" s="99"/>
      <c r="T3558" s="279"/>
      <c r="U3558" s="279"/>
      <c r="V3558" s="78" t="s">
        <v>33</v>
      </c>
      <c r="W3558" s="106"/>
      <c r="X3558" s="282"/>
      <c r="Y3558" s="311"/>
      <c r="Z3558" s="293"/>
      <c r="AA3558" s="293"/>
      <c r="AB3558" s="293"/>
      <c r="AC3558" s="293"/>
      <c r="AD3558" s="293"/>
      <c r="AE3558" s="293"/>
      <c r="AF3558" s="293"/>
      <c r="AG3558" s="293"/>
      <c r="AH3558" s="293"/>
      <c r="AI3558" s="293"/>
      <c r="AJ3558" s="293"/>
      <c r="AK3558" s="293"/>
      <c r="AL3558" s="293"/>
      <c r="AM3558" s="293"/>
      <c r="AN3558" s="293"/>
      <c r="AO3558" s="293"/>
      <c r="AP3558" s="293"/>
      <c r="AQ3558" s="293"/>
      <c r="AR3558" s="293"/>
      <c r="AS3558" s="293"/>
      <c r="AT3558" s="293"/>
      <c r="AU3558" s="293"/>
      <c r="AV3558" s="293"/>
      <c r="AW3558" s="293"/>
      <c r="AX3558" s="293"/>
      <c r="AY3558" s="293"/>
      <c r="AZ3558" s="293"/>
      <c r="BA3558" s="293"/>
      <c r="BB3558" s="293"/>
      <c r="BC3558" s="293"/>
      <c r="BD3558" s="293"/>
      <c r="BE3558" s="293"/>
      <c r="BF3558" s="293"/>
      <c r="BG3558" s="293"/>
      <c r="BH3558" s="293"/>
      <c r="BI3558" s="293"/>
      <c r="BJ3558" s="293"/>
      <c r="BK3558" s="293"/>
      <c r="BL3558" s="293"/>
      <c r="BM3558" s="293"/>
      <c r="BN3558" s="293"/>
      <c r="BO3558" s="293"/>
      <c r="BP3558" s="293"/>
      <c r="BQ3558" s="293"/>
    </row>
    <row r="3559">
      <c r="A3559" s="78" t="s">
        <v>239</v>
      </c>
      <c r="B3559" s="293"/>
      <c r="C3559" s="99">
        <v>44153.0</v>
      </c>
      <c r="D3559" s="293"/>
      <c r="E3559" s="78" t="s">
        <v>41</v>
      </c>
      <c r="F3559" s="37">
        <v>2.0</v>
      </c>
      <c r="G3559" s="78" t="s">
        <v>32</v>
      </c>
      <c r="H3559" s="78">
        <v>1.0</v>
      </c>
      <c r="I3559" s="78" t="s">
        <v>33</v>
      </c>
      <c r="J3559" s="78" t="s">
        <v>147</v>
      </c>
      <c r="K3559" s="293"/>
      <c r="L3559" s="106" t="s">
        <v>194</v>
      </c>
      <c r="M3559" s="282" t="s">
        <v>9112</v>
      </c>
      <c r="N3559" s="106"/>
      <c r="O3559" s="248"/>
      <c r="P3559" s="248"/>
      <c r="Q3559" s="248"/>
      <c r="R3559" s="248"/>
      <c r="S3559" s="99"/>
      <c r="T3559" s="279"/>
      <c r="U3559" s="279"/>
      <c r="V3559" s="78" t="s">
        <v>33</v>
      </c>
      <c r="W3559" s="106"/>
      <c r="X3559" s="282"/>
      <c r="Y3559" s="311"/>
      <c r="Z3559" s="293"/>
      <c r="AA3559" s="293"/>
      <c r="AB3559" s="293"/>
      <c r="AC3559" s="293"/>
      <c r="AD3559" s="293"/>
      <c r="AE3559" s="293"/>
      <c r="AF3559" s="293"/>
      <c r="AG3559" s="293"/>
      <c r="AH3559" s="293"/>
      <c r="AI3559" s="293"/>
      <c r="AJ3559" s="293"/>
      <c r="AK3559" s="293"/>
      <c r="AL3559" s="293"/>
      <c r="AM3559" s="293"/>
      <c r="AN3559" s="293"/>
      <c r="AO3559" s="293"/>
      <c r="AP3559" s="293"/>
      <c r="AQ3559" s="293"/>
      <c r="AR3559" s="293"/>
      <c r="AS3559" s="293"/>
      <c r="AT3559" s="293"/>
      <c r="AU3559" s="293"/>
      <c r="AV3559" s="293"/>
      <c r="AW3559" s="293"/>
      <c r="AX3559" s="293"/>
      <c r="AY3559" s="293"/>
      <c r="AZ3559" s="293"/>
      <c r="BA3559" s="293"/>
      <c r="BB3559" s="293"/>
      <c r="BC3559" s="293"/>
      <c r="BD3559" s="293"/>
      <c r="BE3559" s="293"/>
      <c r="BF3559" s="293"/>
      <c r="BG3559" s="293"/>
      <c r="BH3559" s="293"/>
      <c r="BI3559" s="293"/>
      <c r="BJ3559" s="293"/>
      <c r="BK3559" s="293"/>
      <c r="BL3559" s="293"/>
      <c r="BM3559" s="293"/>
      <c r="BN3559" s="293"/>
      <c r="BO3559" s="293"/>
      <c r="BP3559" s="293"/>
      <c r="BQ3559" s="293"/>
    </row>
    <row r="3560">
      <c r="A3560" s="78" t="s">
        <v>239</v>
      </c>
      <c r="B3560" s="293"/>
      <c r="C3560" s="99">
        <v>44154.0</v>
      </c>
      <c r="D3560" s="293"/>
      <c r="E3560" s="78" t="s">
        <v>41</v>
      </c>
      <c r="F3560" s="37">
        <v>1.0</v>
      </c>
      <c r="G3560" s="78" t="s">
        <v>32</v>
      </c>
      <c r="H3560" s="78">
        <v>1.0</v>
      </c>
      <c r="I3560" s="78" t="s">
        <v>33</v>
      </c>
      <c r="J3560" s="78" t="s">
        <v>147</v>
      </c>
      <c r="K3560" s="293"/>
      <c r="L3560" s="106" t="s">
        <v>194</v>
      </c>
      <c r="M3560" s="282" t="s">
        <v>9113</v>
      </c>
      <c r="N3560" s="106"/>
      <c r="O3560" s="248"/>
      <c r="P3560" s="248"/>
      <c r="Q3560" s="248"/>
      <c r="R3560" s="248"/>
      <c r="S3560" s="99"/>
      <c r="T3560" s="279"/>
      <c r="U3560" s="279"/>
      <c r="V3560" s="78" t="s">
        <v>33</v>
      </c>
      <c r="W3560" s="106"/>
      <c r="X3560" s="282"/>
      <c r="Y3560" s="311"/>
      <c r="Z3560" s="293"/>
      <c r="AA3560" s="293"/>
      <c r="AB3560" s="293"/>
      <c r="AC3560" s="293"/>
      <c r="AD3560" s="293"/>
      <c r="AE3560" s="293"/>
      <c r="AF3560" s="293"/>
      <c r="AG3560" s="293"/>
      <c r="AH3560" s="293"/>
      <c r="AI3560" s="293"/>
      <c r="AJ3560" s="293"/>
      <c r="AK3560" s="293"/>
      <c r="AL3560" s="293"/>
      <c r="AM3560" s="293"/>
      <c r="AN3560" s="293"/>
      <c r="AO3560" s="293"/>
      <c r="AP3560" s="293"/>
      <c r="AQ3560" s="293"/>
      <c r="AR3560" s="293"/>
      <c r="AS3560" s="293"/>
      <c r="AT3560" s="293"/>
      <c r="AU3560" s="293"/>
      <c r="AV3560" s="293"/>
      <c r="AW3560" s="293"/>
      <c r="AX3560" s="293"/>
      <c r="AY3560" s="293"/>
      <c r="AZ3560" s="293"/>
      <c r="BA3560" s="293"/>
      <c r="BB3560" s="293"/>
      <c r="BC3560" s="293"/>
      <c r="BD3560" s="293"/>
      <c r="BE3560" s="293"/>
      <c r="BF3560" s="293"/>
      <c r="BG3560" s="293"/>
      <c r="BH3560" s="293"/>
      <c r="BI3560" s="293"/>
      <c r="BJ3560" s="293"/>
      <c r="BK3560" s="293"/>
      <c r="BL3560" s="293"/>
      <c r="BM3560" s="293"/>
      <c r="BN3560" s="293"/>
      <c r="BO3560" s="293"/>
      <c r="BP3560" s="293"/>
      <c r="BQ3560" s="293"/>
    </row>
    <row r="3561">
      <c r="A3561" s="78" t="s">
        <v>9114</v>
      </c>
      <c r="B3561" s="248"/>
      <c r="C3561" s="99">
        <v>44155.0</v>
      </c>
      <c r="D3561" s="248"/>
      <c r="E3561" s="78" t="s">
        <v>41</v>
      </c>
      <c r="F3561" s="37">
        <v>1.0</v>
      </c>
      <c r="G3561" s="78" t="s">
        <v>32</v>
      </c>
      <c r="H3561" s="78">
        <v>1.0</v>
      </c>
      <c r="I3561" s="78" t="s">
        <v>33</v>
      </c>
      <c r="J3561" s="78" t="s">
        <v>47</v>
      </c>
      <c r="K3561" s="248"/>
      <c r="L3561" s="106" t="s">
        <v>76</v>
      </c>
      <c r="M3561" s="282" t="s">
        <v>9115</v>
      </c>
      <c r="N3561" s="106"/>
      <c r="O3561" s="248"/>
      <c r="P3561" s="248"/>
      <c r="Q3561" s="293"/>
      <c r="R3561" s="248"/>
      <c r="S3561" s="145"/>
      <c r="T3561" s="313"/>
      <c r="U3561" s="279"/>
      <c r="V3561" s="78" t="s">
        <v>33</v>
      </c>
      <c r="W3561" s="106"/>
      <c r="X3561" s="282"/>
      <c r="Y3561" s="314"/>
      <c r="Z3561" s="248"/>
      <c r="AA3561" s="248"/>
      <c r="AB3561" s="248"/>
      <c r="AC3561" s="248"/>
      <c r="AD3561" s="248"/>
      <c r="AE3561" s="248"/>
      <c r="AF3561" s="248"/>
      <c r="AG3561" s="248"/>
      <c r="AH3561" s="248"/>
      <c r="AI3561" s="248"/>
      <c r="AJ3561" s="248"/>
      <c r="AK3561" s="248"/>
      <c r="AL3561" s="248"/>
      <c r="AM3561" s="248"/>
      <c r="AN3561" s="248"/>
      <c r="AO3561" s="248"/>
      <c r="AP3561" s="248"/>
      <c r="AQ3561" s="248"/>
      <c r="AR3561" s="248"/>
      <c r="AS3561" s="248"/>
      <c r="AT3561" s="248"/>
      <c r="AU3561" s="248"/>
      <c r="AV3561" s="248"/>
      <c r="AW3561" s="248"/>
      <c r="AX3561" s="248"/>
      <c r="AY3561" s="248"/>
      <c r="AZ3561" s="248"/>
      <c r="BA3561" s="248"/>
      <c r="BB3561" s="248"/>
      <c r="BC3561" s="248"/>
      <c r="BD3561" s="248"/>
      <c r="BE3561" s="248"/>
      <c r="BF3561" s="248"/>
      <c r="BG3561" s="248"/>
      <c r="BH3561" s="248"/>
      <c r="BI3561" s="248"/>
      <c r="BJ3561" s="248"/>
      <c r="BK3561" s="248"/>
      <c r="BL3561" s="248"/>
      <c r="BM3561" s="248"/>
      <c r="BN3561" s="248"/>
      <c r="BO3561" s="248"/>
      <c r="BP3561" s="248"/>
      <c r="BQ3561" s="248"/>
    </row>
    <row r="3562">
      <c r="A3562" s="78" t="s">
        <v>239</v>
      </c>
      <c r="B3562" s="248"/>
      <c r="C3562" s="99">
        <v>44156.0</v>
      </c>
      <c r="D3562" s="248"/>
      <c r="E3562" s="78" t="s">
        <v>41</v>
      </c>
      <c r="F3562" s="37">
        <v>2.0</v>
      </c>
      <c r="G3562" s="78" t="s">
        <v>32</v>
      </c>
      <c r="H3562" s="78">
        <v>1.0</v>
      </c>
      <c r="I3562" s="78" t="s">
        <v>33</v>
      </c>
      <c r="J3562" s="78" t="s">
        <v>241</v>
      </c>
      <c r="K3562" s="248"/>
      <c r="L3562" s="106" t="s">
        <v>194</v>
      </c>
      <c r="M3562" s="282" t="s">
        <v>9116</v>
      </c>
      <c r="N3562" s="106"/>
      <c r="O3562" s="248"/>
      <c r="P3562" s="248"/>
      <c r="Q3562" s="293"/>
      <c r="R3562" s="248"/>
      <c r="S3562" s="145"/>
      <c r="T3562" s="313"/>
      <c r="U3562" s="279"/>
      <c r="V3562" s="78" t="s">
        <v>33</v>
      </c>
      <c r="W3562" s="106"/>
      <c r="X3562" s="282"/>
      <c r="Y3562" s="314"/>
      <c r="Z3562" s="248"/>
      <c r="AA3562" s="248"/>
      <c r="AB3562" s="248"/>
      <c r="AC3562" s="248"/>
      <c r="AD3562" s="248"/>
      <c r="AE3562" s="248"/>
      <c r="AF3562" s="248"/>
      <c r="AG3562" s="248"/>
      <c r="AH3562" s="248"/>
      <c r="AI3562" s="248"/>
      <c r="AJ3562" s="248"/>
      <c r="AK3562" s="248"/>
      <c r="AL3562" s="248"/>
      <c r="AM3562" s="248"/>
      <c r="AN3562" s="248"/>
      <c r="AO3562" s="248"/>
      <c r="AP3562" s="248"/>
      <c r="AQ3562" s="248"/>
      <c r="AR3562" s="248"/>
      <c r="AS3562" s="248"/>
      <c r="AT3562" s="248"/>
      <c r="AU3562" s="248"/>
      <c r="AV3562" s="248"/>
      <c r="AW3562" s="248"/>
      <c r="AX3562" s="248"/>
      <c r="AY3562" s="248"/>
      <c r="AZ3562" s="248"/>
      <c r="BA3562" s="248"/>
      <c r="BB3562" s="248"/>
      <c r="BC3562" s="248"/>
      <c r="BD3562" s="248"/>
      <c r="BE3562" s="248"/>
      <c r="BF3562" s="248"/>
      <c r="BG3562" s="248"/>
      <c r="BH3562" s="248"/>
      <c r="BI3562" s="248"/>
      <c r="BJ3562" s="248"/>
      <c r="BK3562" s="248"/>
      <c r="BL3562" s="248"/>
      <c r="BM3562" s="248"/>
      <c r="BN3562" s="248"/>
      <c r="BO3562" s="248"/>
      <c r="BP3562" s="248"/>
      <c r="BQ3562" s="248"/>
    </row>
    <row r="3563">
      <c r="A3563" s="78" t="s">
        <v>9117</v>
      </c>
      <c r="B3563" s="248"/>
      <c r="C3563" s="99">
        <v>44158.0</v>
      </c>
      <c r="D3563" s="248"/>
      <c r="E3563" s="78" t="s">
        <v>41</v>
      </c>
      <c r="F3563" s="37">
        <v>1.0</v>
      </c>
      <c r="G3563" s="78" t="s">
        <v>32</v>
      </c>
      <c r="H3563" s="78">
        <v>1.0</v>
      </c>
      <c r="I3563" s="78" t="s">
        <v>33</v>
      </c>
      <c r="J3563" s="78" t="s">
        <v>93</v>
      </c>
      <c r="K3563" s="248"/>
      <c r="L3563" s="106" t="s">
        <v>9118</v>
      </c>
      <c r="M3563" s="282" t="s">
        <v>9119</v>
      </c>
      <c r="N3563" s="106"/>
      <c r="O3563" s="248"/>
      <c r="P3563" s="248"/>
      <c r="Q3563" s="293"/>
      <c r="R3563" s="248"/>
      <c r="S3563" s="145"/>
      <c r="T3563" s="313"/>
      <c r="U3563" s="279"/>
      <c r="V3563" s="78" t="s">
        <v>33</v>
      </c>
      <c r="W3563" s="106"/>
      <c r="X3563" s="282"/>
      <c r="Y3563" s="314"/>
      <c r="Z3563" s="248"/>
      <c r="AA3563" s="248"/>
      <c r="AB3563" s="248"/>
      <c r="AC3563" s="248"/>
      <c r="AD3563" s="248"/>
      <c r="AE3563" s="248"/>
      <c r="AF3563" s="248"/>
      <c r="AG3563" s="248"/>
      <c r="AH3563" s="248"/>
      <c r="AI3563" s="248"/>
      <c r="AJ3563" s="248"/>
      <c r="AK3563" s="248"/>
      <c r="AL3563" s="248"/>
      <c r="AM3563" s="248"/>
      <c r="AN3563" s="248"/>
      <c r="AO3563" s="248"/>
      <c r="AP3563" s="248"/>
      <c r="AQ3563" s="248"/>
      <c r="AR3563" s="248"/>
      <c r="AS3563" s="248"/>
      <c r="AT3563" s="248"/>
      <c r="AU3563" s="248"/>
      <c r="AV3563" s="248"/>
      <c r="AW3563" s="248"/>
      <c r="AX3563" s="248"/>
      <c r="AY3563" s="248"/>
      <c r="AZ3563" s="248"/>
      <c r="BA3563" s="248"/>
      <c r="BB3563" s="248"/>
      <c r="BC3563" s="248"/>
      <c r="BD3563" s="248"/>
      <c r="BE3563" s="248"/>
      <c r="BF3563" s="248"/>
      <c r="BG3563" s="248"/>
      <c r="BH3563" s="248"/>
      <c r="BI3563" s="248"/>
      <c r="BJ3563" s="248"/>
      <c r="BK3563" s="248"/>
      <c r="BL3563" s="248"/>
      <c r="BM3563" s="248"/>
      <c r="BN3563" s="248"/>
      <c r="BO3563" s="248"/>
      <c r="BP3563" s="248"/>
      <c r="BQ3563" s="248"/>
    </row>
    <row r="3564">
      <c r="A3564" s="78" t="s">
        <v>9120</v>
      </c>
      <c r="B3564" s="248"/>
      <c r="C3564" s="99">
        <v>44158.0</v>
      </c>
      <c r="D3564" s="248"/>
      <c r="E3564" s="78" t="s">
        <v>41</v>
      </c>
      <c r="F3564" s="37">
        <v>1.0</v>
      </c>
      <c r="G3564" s="78" t="s">
        <v>32</v>
      </c>
      <c r="H3564" s="78">
        <v>1.0</v>
      </c>
      <c r="I3564" s="78" t="s">
        <v>33</v>
      </c>
      <c r="J3564" s="78" t="s">
        <v>93</v>
      </c>
      <c r="K3564" s="248"/>
      <c r="L3564" s="106" t="s">
        <v>9118</v>
      </c>
      <c r="M3564" s="282" t="s">
        <v>9121</v>
      </c>
      <c r="N3564" s="106"/>
      <c r="O3564" s="248"/>
      <c r="P3564" s="248"/>
      <c r="Q3564" s="293"/>
      <c r="R3564" s="248"/>
      <c r="S3564" s="145"/>
      <c r="T3564" s="313"/>
      <c r="U3564" s="279"/>
      <c r="V3564" s="78" t="s">
        <v>33</v>
      </c>
      <c r="W3564" s="106"/>
      <c r="X3564" s="282"/>
      <c r="Y3564" s="314"/>
      <c r="Z3564" s="248"/>
      <c r="AA3564" s="248"/>
      <c r="AB3564" s="248"/>
      <c r="AC3564" s="248"/>
      <c r="AD3564" s="248"/>
      <c r="AE3564" s="248"/>
      <c r="AF3564" s="248"/>
      <c r="AG3564" s="248"/>
      <c r="AH3564" s="248"/>
      <c r="AI3564" s="248"/>
      <c r="AJ3564" s="248"/>
      <c r="AK3564" s="248"/>
      <c r="AL3564" s="248"/>
      <c r="AM3564" s="248"/>
      <c r="AN3564" s="248"/>
      <c r="AO3564" s="248"/>
      <c r="AP3564" s="248"/>
      <c r="AQ3564" s="248"/>
      <c r="AR3564" s="248"/>
      <c r="AS3564" s="248"/>
      <c r="AT3564" s="248"/>
      <c r="AU3564" s="248"/>
      <c r="AV3564" s="248"/>
      <c r="AW3564" s="248"/>
      <c r="AX3564" s="248"/>
      <c r="AY3564" s="248"/>
      <c r="AZ3564" s="248"/>
      <c r="BA3564" s="248"/>
      <c r="BB3564" s="248"/>
      <c r="BC3564" s="248"/>
      <c r="BD3564" s="248"/>
      <c r="BE3564" s="248"/>
      <c r="BF3564" s="248"/>
      <c r="BG3564" s="248"/>
      <c r="BH3564" s="248"/>
      <c r="BI3564" s="248"/>
      <c r="BJ3564" s="248"/>
      <c r="BK3564" s="248"/>
      <c r="BL3564" s="248"/>
      <c r="BM3564" s="248"/>
      <c r="BN3564" s="248"/>
      <c r="BO3564" s="248"/>
      <c r="BP3564" s="248"/>
      <c r="BQ3564" s="248"/>
    </row>
    <row r="3565">
      <c r="A3565" s="78" t="s">
        <v>9122</v>
      </c>
      <c r="B3565" s="248"/>
      <c r="C3565" s="99">
        <v>44159.0</v>
      </c>
      <c r="D3565" s="248"/>
      <c r="E3565" s="78" t="s">
        <v>41</v>
      </c>
      <c r="F3565" s="37">
        <v>1.0</v>
      </c>
      <c r="G3565" s="78">
        <v>1.0</v>
      </c>
      <c r="H3565" s="78">
        <v>1.0</v>
      </c>
      <c r="I3565" s="78" t="s">
        <v>33</v>
      </c>
      <c r="J3565" s="78" t="s">
        <v>222</v>
      </c>
      <c r="K3565" s="248"/>
      <c r="L3565" s="106" t="s">
        <v>9123</v>
      </c>
      <c r="M3565" s="282" t="s">
        <v>9124</v>
      </c>
      <c r="N3565" s="106"/>
      <c r="O3565" s="248"/>
      <c r="P3565" s="248"/>
      <c r="Q3565" s="293"/>
      <c r="R3565" s="248"/>
      <c r="S3565" s="145"/>
      <c r="T3565" s="313"/>
      <c r="U3565" s="279"/>
      <c r="V3565" s="78" t="s">
        <v>33</v>
      </c>
      <c r="W3565" s="106"/>
      <c r="X3565" s="282"/>
      <c r="Y3565" s="314"/>
      <c r="Z3565" s="248"/>
      <c r="AA3565" s="248"/>
      <c r="AB3565" s="248"/>
      <c r="AC3565" s="248"/>
      <c r="AD3565" s="248"/>
      <c r="AE3565" s="248"/>
      <c r="AF3565" s="248"/>
      <c r="AG3565" s="248"/>
      <c r="AH3565" s="248"/>
      <c r="AI3565" s="248"/>
      <c r="AJ3565" s="248"/>
      <c r="AK3565" s="248"/>
      <c r="AL3565" s="248"/>
      <c r="AM3565" s="248"/>
      <c r="AN3565" s="248"/>
      <c r="AO3565" s="248"/>
      <c r="AP3565" s="248"/>
      <c r="AQ3565" s="248"/>
      <c r="AR3565" s="248"/>
      <c r="AS3565" s="248"/>
      <c r="AT3565" s="248"/>
      <c r="AU3565" s="248"/>
      <c r="AV3565" s="248"/>
      <c r="AW3565" s="248"/>
      <c r="AX3565" s="248"/>
      <c r="AY3565" s="248"/>
      <c r="AZ3565" s="248"/>
      <c r="BA3565" s="248"/>
      <c r="BB3565" s="248"/>
      <c r="BC3565" s="248"/>
      <c r="BD3565" s="248"/>
      <c r="BE3565" s="248"/>
      <c r="BF3565" s="248"/>
      <c r="BG3565" s="248"/>
      <c r="BH3565" s="248"/>
      <c r="BI3565" s="248"/>
      <c r="BJ3565" s="248"/>
      <c r="BK3565" s="248"/>
      <c r="BL3565" s="248"/>
      <c r="BM3565" s="248"/>
      <c r="BN3565" s="248"/>
      <c r="BO3565" s="248"/>
      <c r="BP3565" s="248"/>
      <c r="BQ3565" s="248"/>
    </row>
    <row r="3566">
      <c r="A3566" s="78" t="s">
        <v>9125</v>
      </c>
      <c r="B3566" s="248"/>
      <c r="C3566" s="99">
        <v>44159.0</v>
      </c>
      <c r="D3566" s="248"/>
      <c r="E3566" s="78" t="s">
        <v>41</v>
      </c>
      <c r="F3566" s="37">
        <v>1.0</v>
      </c>
      <c r="G3566" s="78">
        <v>2.0</v>
      </c>
      <c r="H3566" s="78">
        <v>2.0</v>
      </c>
      <c r="I3566" s="78" t="s">
        <v>33</v>
      </c>
      <c r="J3566" s="78" t="s">
        <v>410</v>
      </c>
      <c r="K3566" s="248"/>
      <c r="L3566" s="106" t="s">
        <v>76</v>
      </c>
      <c r="M3566" s="282" t="s">
        <v>9126</v>
      </c>
      <c r="N3566" s="106"/>
      <c r="O3566" s="248"/>
      <c r="P3566" s="248"/>
      <c r="Q3566" s="293"/>
      <c r="R3566" s="248"/>
      <c r="S3566" s="145"/>
      <c r="T3566" s="313"/>
      <c r="U3566" s="279"/>
      <c r="V3566" s="78" t="s">
        <v>33</v>
      </c>
      <c r="W3566" s="106"/>
      <c r="X3566" s="282"/>
      <c r="Y3566" s="314"/>
      <c r="Z3566" s="248"/>
      <c r="AA3566" s="248"/>
      <c r="AB3566" s="248"/>
      <c r="AC3566" s="248"/>
      <c r="AD3566" s="248"/>
      <c r="AE3566" s="248"/>
      <c r="AF3566" s="248"/>
      <c r="AG3566" s="248"/>
      <c r="AH3566" s="248"/>
      <c r="AI3566" s="248"/>
      <c r="AJ3566" s="248"/>
      <c r="AK3566" s="248"/>
      <c r="AL3566" s="248"/>
      <c r="AM3566" s="248"/>
      <c r="AN3566" s="248"/>
      <c r="AO3566" s="248"/>
      <c r="AP3566" s="248"/>
      <c r="AQ3566" s="248"/>
      <c r="AR3566" s="248"/>
      <c r="AS3566" s="248"/>
      <c r="AT3566" s="248"/>
      <c r="AU3566" s="248"/>
      <c r="AV3566" s="248"/>
      <c r="AW3566" s="248"/>
      <c r="AX3566" s="248"/>
      <c r="AY3566" s="248"/>
      <c r="AZ3566" s="248"/>
      <c r="BA3566" s="248"/>
      <c r="BB3566" s="248"/>
      <c r="BC3566" s="248"/>
      <c r="BD3566" s="248"/>
      <c r="BE3566" s="248"/>
      <c r="BF3566" s="248"/>
      <c r="BG3566" s="248"/>
      <c r="BH3566" s="248"/>
      <c r="BI3566" s="248"/>
      <c r="BJ3566" s="248"/>
      <c r="BK3566" s="248"/>
      <c r="BL3566" s="248"/>
      <c r="BM3566" s="248"/>
      <c r="BN3566" s="248"/>
      <c r="BO3566" s="248"/>
      <c r="BP3566" s="248"/>
      <c r="BQ3566" s="248"/>
    </row>
    <row r="3567">
      <c r="A3567" s="78" t="s">
        <v>9127</v>
      </c>
      <c r="B3567" s="248"/>
      <c r="C3567" s="99">
        <v>44159.0</v>
      </c>
      <c r="D3567" s="248"/>
      <c r="E3567" s="78" t="s">
        <v>41</v>
      </c>
      <c r="F3567" s="37">
        <v>1.0</v>
      </c>
      <c r="G3567" s="78" t="s">
        <v>32</v>
      </c>
      <c r="H3567" s="78">
        <v>1.0</v>
      </c>
      <c r="I3567" s="78" t="s">
        <v>33</v>
      </c>
      <c r="J3567" s="78" t="s">
        <v>410</v>
      </c>
      <c r="K3567" s="248"/>
      <c r="L3567" s="106" t="s">
        <v>119</v>
      </c>
      <c r="M3567" s="282" t="s">
        <v>9128</v>
      </c>
      <c r="N3567" s="106"/>
      <c r="O3567" s="248"/>
      <c r="P3567" s="248"/>
      <c r="Q3567" s="293"/>
      <c r="R3567" s="248"/>
      <c r="S3567" s="145"/>
      <c r="T3567" s="313"/>
      <c r="U3567" s="279"/>
      <c r="V3567" s="78" t="s">
        <v>9129</v>
      </c>
      <c r="W3567" s="106"/>
      <c r="X3567" s="282"/>
      <c r="Y3567" s="314"/>
      <c r="Z3567" s="248"/>
      <c r="AA3567" s="248"/>
      <c r="AB3567" s="248"/>
      <c r="AC3567" s="248"/>
      <c r="AD3567" s="248"/>
      <c r="AE3567" s="248"/>
      <c r="AF3567" s="248"/>
      <c r="AG3567" s="248"/>
      <c r="AH3567" s="248"/>
      <c r="AI3567" s="248"/>
      <c r="AJ3567" s="248"/>
      <c r="AK3567" s="248"/>
      <c r="AL3567" s="248"/>
      <c r="AM3567" s="248"/>
      <c r="AN3567" s="248"/>
      <c r="AO3567" s="248"/>
      <c r="AP3567" s="248"/>
      <c r="AQ3567" s="248"/>
      <c r="AR3567" s="248"/>
      <c r="AS3567" s="248"/>
      <c r="AT3567" s="248"/>
      <c r="AU3567" s="248"/>
      <c r="AV3567" s="248"/>
      <c r="AW3567" s="248"/>
      <c r="AX3567" s="248"/>
      <c r="AY3567" s="248"/>
      <c r="AZ3567" s="248"/>
      <c r="BA3567" s="248"/>
      <c r="BB3567" s="248"/>
      <c r="BC3567" s="248"/>
      <c r="BD3567" s="248"/>
      <c r="BE3567" s="248"/>
      <c r="BF3567" s="248"/>
      <c r="BG3567" s="248"/>
      <c r="BH3567" s="248"/>
      <c r="BI3567" s="248"/>
      <c r="BJ3567" s="248"/>
      <c r="BK3567" s="248"/>
      <c r="BL3567" s="248"/>
      <c r="BM3567" s="248"/>
      <c r="BN3567" s="248"/>
      <c r="BO3567" s="248"/>
      <c r="BP3567" s="248"/>
      <c r="BQ3567" s="248"/>
    </row>
    <row r="3568">
      <c r="A3568" s="78" t="s">
        <v>239</v>
      </c>
      <c r="B3568" s="248"/>
      <c r="C3568" s="99">
        <v>44165.0</v>
      </c>
      <c r="D3568" s="248"/>
      <c r="E3568" s="78" t="s">
        <v>41</v>
      </c>
      <c r="F3568" s="37">
        <v>1.0</v>
      </c>
      <c r="G3568" s="78" t="s">
        <v>32</v>
      </c>
      <c r="H3568" s="78">
        <v>1.0</v>
      </c>
      <c r="I3568" s="78" t="s">
        <v>33</v>
      </c>
      <c r="J3568" s="78" t="s">
        <v>241</v>
      </c>
      <c r="K3568" s="248"/>
      <c r="L3568" s="106" t="s">
        <v>194</v>
      </c>
      <c r="M3568" s="282" t="s">
        <v>9130</v>
      </c>
      <c r="N3568" s="106"/>
      <c r="O3568" s="248"/>
      <c r="P3568" s="248"/>
      <c r="Q3568" s="293"/>
      <c r="R3568" s="248"/>
      <c r="S3568" s="145"/>
      <c r="T3568" s="313"/>
      <c r="U3568" s="279"/>
      <c r="V3568" s="78" t="s">
        <v>33</v>
      </c>
      <c r="W3568" s="106"/>
      <c r="X3568" s="282"/>
      <c r="Y3568" s="314"/>
      <c r="Z3568" s="248"/>
      <c r="AA3568" s="248"/>
      <c r="AB3568" s="248"/>
      <c r="AC3568" s="248"/>
      <c r="AD3568" s="248"/>
      <c r="AE3568" s="248"/>
      <c r="AF3568" s="248"/>
      <c r="AG3568" s="248"/>
      <c r="AH3568" s="248"/>
      <c r="AI3568" s="248"/>
      <c r="AJ3568" s="248"/>
      <c r="AK3568" s="248"/>
      <c r="AL3568" s="248"/>
      <c r="AM3568" s="248"/>
      <c r="AN3568" s="248"/>
      <c r="AO3568" s="248"/>
      <c r="AP3568" s="248"/>
      <c r="AQ3568" s="248"/>
      <c r="AR3568" s="248"/>
      <c r="AS3568" s="248"/>
      <c r="AT3568" s="248"/>
      <c r="AU3568" s="248"/>
      <c r="AV3568" s="248"/>
      <c r="AW3568" s="248"/>
      <c r="AX3568" s="248"/>
      <c r="AY3568" s="248"/>
      <c r="AZ3568" s="248"/>
      <c r="BA3568" s="248"/>
      <c r="BB3568" s="248"/>
      <c r="BC3568" s="248"/>
      <c r="BD3568" s="248"/>
      <c r="BE3568" s="248"/>
      <c r="BF3568" s="248"/>
      <c r="BG3568" s="248"/>
      <c r="BH3568" s="248"/>
      <c r="BI3568" s="248"/>
      <c r="BJ3568" s="248"/>
      <c r="BK3568" s="248"/>
      <c r="BL3568" s="248"/>
      <c r="BM3568" s="248"/>
      <c r="BN3568" s="248"/>
      <c r="BO3568" s="248"/>
      <c r="BP3568" s="248"/>
      <c r="BQ3568" s="248"/>
    </row>
    <row r="3569">
      <c r="A3569" s="78" t="s">
        <v>9131</v>
      </c>
      <c r="B3569" s="248"/>
      <c r="C3569" s="100">
        <v>44166.0</v>
      </c>
      <c r="D3569" s="248"/>
      <c r="E3569" s="78" t="s">
        <v>41</v>
      </c>
      <c r="F3569" s="37">
        <v>3.0</v>
      </c>
      <c r="G3569" s="78">
        <v>1.0</v>
      </c>
      <c r="H3569" s="78">
        <v>1.0</v>
      </c>
      <c r="I3569" s="78" t="s">
        <v>33</v>
      </c>
      <c r="J3569" s="78" t="s">
        <v>268</v>
      </c>
      <c r="K3569" s="248"/>
      <c r="L3569" s="106" t="s">
        <v>1203</v>
      </c>
      <c r="M3569" s="282" t="s">
        <v>9132</v>
      </c>
      <c r="N3569" s="106"/>
      <c r="O3569" s="248"/>
      <c r="P3569" s="248"/>
      <c r="Q3569" s="293"/>
      <c r="R3569" s="248"/>
      <c r="S3569" s="145"/>
      <c r="T3569" s="313"/>
      <c r="U3569" s="279"/>
      <c r="V3569" s="78" t="s">
        <v>33</v>
      </c>
      <c r="W3569" s="106"/>
      <c r="X3569" s="282"/>
      <c r="Y3569" s="314"/>
      <c r="Z3569" s="248"/>
      <c r="AA3569" s="248"/>
      <c r="AB3569" s="248"/>
      <c r="AC3569" s="248"/>
      <c r="AD3569" s="248"/>
      <c r="AE3569" s="248"/>
      <c r="AF3569" s="248"/>
      <c r="AG3569" s="248"/>
      <c r="AH3569" s="248"/>
      <c r="AI3569" s="248"/>
      <c r="AJ3569" s="248"/>
      <c r="AK3569" s="248"/>
      <c r="AL3569" s="248"/>
      <c r="AM3569" s="248"/>
      <c r="AN3569" s="248"/>
      <c r="AO3569" s="248"/>
      <c r="AP3569" s="248"/>
      <c r="AQ3569" s="248"/>
      <c r="AR3569" s="248"/>
      <c r="AS3569" s="248"/>
      <c r="AT3569" s="248"/>
      <c r="AU3569" s="248"/>
      <c r="AV3569" s="248"/>
      <c r="AW3569" s="248"/>
      <c r="AX3569" s="248"/>
      <c r="AY3569" s="248"/>
      <c r="AZ3569" s="248"/>
      <c r="BA3569" s="248"/>
      <c r="BB3569" s="248"/>
      <c r="BC3569" s="248"/>
      <c r="BD3569" s="248"/>
      <c r="BE3569" s="248"/>
      <c r="BF3569" s="248"/>
      <c r="BG3569" s="248"/>
      <c r="BH3569" s="248"/>
      <c r="BI3569" s="248"/>
      <c r="BJ3569" s="248"/>
      <c r="BK3569" s="248"/>
      <c r="BL3569" s="248"/>
      <c r="BM3569" s="248"/>
      <c r="BN3569" s="248"/>
      <c r="BO3569" s="248"/>
      <c r="BP3569" s="248"/>
      <c r="BQ3569" s="248"/>
    </row>
    <row r="3570">
      <c r="A3570" s="78" t="s">
        <v>239</v>
      </c>
      <c r="B3570" s="248"/>
      <c r="C3570" s="99">
        <v>44166.0</v>
      </c>
      <c r="D3570" s="248"/>
      <c r="E3570" s="78" t="s">
        <v>41</v>
      </c>
      <c r="F3570" s="37">
        <v>10.0</v>
      </c>
      <c r="G3570" s="78" t="s">
        <v>32</v>
      </c>
      <c r="H3570" s="78">
        <v>1.0</v>
      </c>
      <c r="I3570" s="78" t="s">
        <v>33</v>
      </c>
      <c r="J3570" s="78"/>
      <c r="K3570" s="248"/>
      <c r="L3570" s="106" t="s">
        <v>9133</v>
      </c>
      <c r="M3570" s="282" t="s">
        <v>9134</v>
      </c>
      <c r="N3570" s="106"/>
      <c r="O3570" s="248"/>
      <c r="P3570" s="248"/>
      <c r="Q3570" s="293"/>
      <c r="R3570" s="248"/>
      <c r="S3570" s="145"/>
      <c r="T3570" s="313"/>
      <c r="U3570" s="279"/>
      <c r="V3570" s="78" t="s">
        <v>40</v>
      </c>
      <c r="W3570" s="106"/>
      <c r="X3570" s="282"/>
      <c r="Y3570" s="314"/>
      <c r="Z3570" s="248"/>
      <c r="AA3570" s="248"/>
      <c r="AB3570" s="248"/>
      <c r="AC3570" s="248"/>
      <c r="AD3570" s="248"/>
      <c r="AE3570" s="248"/>
      <c r="AF3570" s="248"/>
      <c r="AG3570" s="248"/>
      <c r="AH3570" s="248"/>
      <c r="AI3570" s="248"/>
      <c r="AJ3570" s="248"/>
      <c r="AK3570" s="248"/>
      <c r="AL3570" s="248"/>
      <c r="AM3570" s="248"/>
      <c r="AN3570" s="248"/>
      <c r="AO3570" s="248"/>
      <c r="AP3570" s="248"/>
      <c r="AQ3570" s="248"/>
      <c r="AR3570" s="248"/>
      <c r="AS3570" s="248"/>
      <c r="AT3570" s="248"/>
      <c r="AU3570" s="248"/>
      <c r="AV3570" s="248"/>
      <c r="AW3570" s="248"/>
      <c r="AX3570" s="248"/>
      <c r="AY3570" s="248"/>
      <c r="AZ3570" s="248"/>
      <c r="BA3570" s="248"/>
      <c r="BB3570" s="248"/>
      <c r="BC3570" s="248"/>
      <c r="BD3570" s="248"/>
      <c r="BE3570" s="248"/>
      <c r="BF3570" s="248"/>
      <c r="BG3570" s="248"/>
      <c r="BH3570" s="248"/>
      <c r="BI3570" s="248"/>
      <c r="BJ3570" s="248"/>
      <c r="BK3570" s="248"/>
      <c r="BL3570" s="248"/>
      <c r="BM3570" s="248"/>
      <c r="BN3570" s="248"/>
      <c r="BO3570" s="248"/>
      <c r="BP3570" s="248"/>
      <c r="BQ3570" s="248"/>
    </row>
    <row r="3571">
      <c r="A3571" s="78" t="s">
        <v>239</v>
      </c>
      <c r="B3571" s="248"/>
      <c r="C3571" s="99">
        <v>44166.0</v>
      </c>
      <c r="D3571" s="248"/>
      <c r="E3571" s="78" t="s">
        <v>41</v>
      </c>
      <c r="F3571" s="37">
        <v>2.0</v>
      </c>
      <c r="G3571" s="78" t="s">
        <v>32</v>
      </c>
      <c r="H3571" s="78">
        <v>1.0</v>
      </c>
      <c r="I3571" s="78" t="s">
        <v>33</v>
      </c>
      <c r="J3571" s="78" t="s">
        <v>147</v>
      </c>
      <c r="K3571" s="248"/>
      <c r="L3571" s="106" t="s">
        <v>194</v>
      </c>
      <c r="M3571" s="282" t="s">
        <v>9135</v>
      </c>
      <c r="N3571" s="106"/>
      <c r="O3571" s="248"/>
      <c r="P3571" s="248"/>
      <c r="Q3571" s="293"/>
      <c r="R3571" s="248"/>
      <c r="S3571" s="145"/>
      <c r="T3571" s="313"/>
      <c r="U3571" s="279"/>
      <c r="V3571" s="78" t="s">
        <v>33</v>
      </c>
      <c r="W3571" s="106"/>
      <c r="X3571" s="282"/>
      <c r="Y3571" s="314"/>
      <c r="Z3571" s="248"/>
      <c r="AA3571" s="248"/>
      <c r="AB3571" s="248"/>
      <c r="AC3571" s="248"/>
      <c r="AD3571" s="248"/>
      <c r="AE3571" s="248"/>
      <c r="AF3571" s="248"/>
      <c r="AG3571" s="248"/>
      <c r="AH3571" s="248"/>
      <c r="AI3571" s="248"/>
      <c r="AJ3571" s="248"/>
      <c r="AK3571" s="248"/>
      <c r="AL3571" s="248"/>
      <c r="AM3571" s="248"/>
      <c r="AN3571" s="248"/>
      <c r="AO3571" s="248"/>
      <c r="AP3571" s="248"/>
      <c r="AQ3571" s="248"/>
      <c r="AR3571" s="248"/>
      <c r="AS3571" s="248"/>
      <c r="AT3571" s="248"/>
      <c r="AU3571" s="248"/>
      <c r="AV3571" s="248"/>
      <c r="AW3571" s="248"/>
      <c r="AX3571" s="248"/>
      <c r="AY3571" s="248"/>
      <c r="AZ3571" s="248"/>
      <c r="BA3571" s="248"/>
      <c r="BB3571" s="248"/>
      <c r="BC3571" s="248"/>
      <c r="BD3571" s="248"/>
      <c r="BE3571" s="248"/>
      <c r="BF3571" s="248"/>
      <c r="BG3571" s="248"/>
      <c r="BH3571" s="248"/>
      <c r="BI3571" s="248"/>
      <c r="BJ3571" s="248"/>
      <c r="BK3571" s="248"/>
      <c r="BL3571" s="248"/>
      <c r="BM3571" s="248"/>
      <c r="BN3571" s="248"/>
      <c r="BO3571" s="248"/>
      <c r="BP3571" s="248"/>
      <c r="BQ3571" s="248"/>
    </row>
    <row r="3572">
      <c r="A3572" s="78" t="s">
        <v>9136</v>
      </c>
      <c r="B3572" s="248"/>
      <c r="C3572" s="99">
        <v>44167.0</v>
      </c>
      <c r="D3572" s="248"/>
      <c r="E3572" s="78" t="s">
        <v>41</v>
      </c>
      <c r="F3572" s="37">
        <v>1.0</v>
      </c>
      <c r="G3572" s="78" t="s">
        <v>32</v>
      </c>
      <c r="H3572" s="78">
        <v>1.0</v>
      </c>
      <c r="I3572" s="78" t="s">
        <v>33</v>
      </c>
      <c r="J3572" s="78" t="s">
        <v>222</v>
      </c>
      <c r="K3572" s="248"/>
      <c r="L3572" s="106" t="s">
        <v>6007</v>
      </c>
      <c r="M3572" s="282" t="s">
        <v>9137</v>
      </c>
      <c r="N3572" s="106"/>
      <c r="O3572" s="248"/>
      <c r="P3572" s="248"/>
      <c r="Q3572" s="293"/>
      <c r="R3572" s="248"/>
      <c r="S3572" s="145"/>
      <c r="T3572" s="313"/>
      <c r="U3572" s="279"/>
      <c r="V3572" s="78" t="s">
        <v>33</v>
      </c>
      <c r="W3572" s="106"/>
      <c r="X3572" s="282"/>
      <c r="Y3572" s="314"/>
      <c r="Z3572" s="248"/>
      <c r="AA3572" s="248"/>
      <c r="AB3572" s="248"/>
      <c r="AC3572" s="248"/>
      <c r="AD3572" s="248"/>
      <c r="AE3572" s="248"/>
      <c r="AF3572" s="248"/>
      <c r="AG3572" s="248"/>
      <c r="AH3572" s="248"/>
      <c r="AI3572" s="248"/>
      <c r="AJ3572" s="248"/>
      <c r="AK3572" s="248"/>
      <c r="AL3572" s="248"/>
      <c r="AM3572" s="248"/>
      <c r="AN3572" s="248"/>
      <c r="AO3572" s="248"/>
      <c r="AP3572" s="248"/>
      <c r="AQ3572" s="248"/>
      <c r="AR3572" s="248"/>
      <c r="AS3572" s="248"/>
      <c r="AT3572" s="248"/>
      <c r="AU3572" s="248"/>
      <c r="AV3572" s="248"/>
      <c r="AW3572" s="248"/>
      <c r="AX3572" s="248"/>
      <c r="AY3572" s="248"/>
      <c r="AZ3572" s="248"/>
      <c r="BA3572" s="248"/>
      <c r="BB3572" s="248"/>
      <c r="BC3572" s="248"/>
      <c r="BD3572" s="248"/>
      <c r="BE3572" s="248"/>
      <c r="BF3572" s="248"/>
      <c r="BG3572" s="248"/>
      <c r="BH3572" s="248"/>
      <c r="BI3572" s="248"/>
      <c r="BJ3572" s="248"/>
      <c r="BK3572" s="248"/>
      <c r="BL3572" s="248"/>
      <c r="BM3572" s="248"/>
      <c r="BN3572" s="248"/>
      <c r="BO3572" s="248"/>
      <c r="BP3572" s="248"/>
      <c r="BQ3572" s="248"/>
    </row>
    <row r="3573">
      <c r="A3573" s="78" t="s">
        <v>9138</v>
      </c>
      <c r="B3573" s="248"/>
      <c r="C3573" s="99">
        <v>44167.0</v>
      </c>
      <c r="D3573" s="248"/>
      <c r="E3573" s="78" t="s">
        <v>41</v>
      </c>
      <c r="F3573" s="37">
        <v>1.0</v>
      </c>
      <c r="G3573" s="78" t="s">
        <v>32</v>
      </c>
      <c r="H3573" s="78">
        <v>1.0</v>
      </c>
      <c r="I3573" s="78" t="s">
        <v>33</v>
      </c>
      <c r="J3573" s="78" t="s">
        <v>111</v>
      </c>
      <c r="K3573" s="248"/>
      <c r="L3573" s="106" t="s">
        <v>76</v>
      </c>
      <c r="M3573" s="282" t="s">
        <v>9139</v>
      </c>
      <c r="N3573" s="106"/>
      <c r="O3573" s="248"/>
      <c r="P3573" s="248"/>
      <c r="Q3573" s="293"/>
      <c r="R3573" s="248"/>
      <c r="S3573" s="145"/>
      <c r="T3573" s="313"/>
      <c r="U3573" s="279"/>
      <c r="V3573" s="78" t="s">
        <v>33</v>
      </c>
      <c r="W3573" s="106"/>
      <c r="X3573" s="282"/>
      <c r="Y3573" s="314"/>
      <c r="Z3573" s="248"/>
      <c r="AA3573" s="248"/>
      <c r="AB3573" s="248"/>
      <c r="AC3573" s="248"/>
      <c r="AD3573" s="248"/>
      <c r="AE3573" s="248"/>
      <c r="AF3573" s="248"/>
      <c r="AG3573" s="248"/>
      <c r="AH3573" s="248"/>
      <c r="AI3573" s="248"/>
      <c r="AJ3573" s="248"/>
      <c r="AK3573" s="248"/>
      <c r="AL3573" s="248"/>
      <c r="AM3573" s="248"/>
      <c r="AN3573" s="248"/>
      <c r="AO3573" s="248"/>
      <c r="AP3573" s="248"/>
      <c r="AQ3573" s="248"/>
      <c r="AR3573" s="248"/>
      <c r="AS3573" s="248"/>
      <c r="AT3573" s="248"/>
      <c r="AU3573" s="248"/>
      <c r="AV3573" s="248"/>
      <c r="AW3573" s="248"/>
      <c r="AX3573" s="248"/>
      <c r="AY3573" s="248"/>
      <c r="AZ3573" s="248"/>
      <c r="BA3573" s="248"/>
      <c r="BB3573" s="248"/>
      <c r="BC3573" s="248"/>
      <c r="BD3573" s="248"/>
      <c r="BE3573" s="248"/>
      <c r="BF3573" s="248"/>
      <c r="BG3573" s="248"/>
      <c r="BH3573" s="248"/>
      <c r="BI3573" s="248"/>
      <c r="BJ3573" s="248"/>
      <c r="BK3573" s="248"/>
      <c r="BL3573" s="248"/>
      <c r="BM3573" s="248"/>
      <c r="BN3573" s="248"/>
      <c r="BO3573" s="248"/>
      <c r="BP3573" s="248"/>
      <c r="BQ3573" s="248"/>
    </row>
    <row r="3574">
      <c r="A3574" s="78" t="s">
        <v>9140</v>
      </c>
      <c r="B3574" s="248"/>
      <c r="C3574" s="99">
        <v>44168.0</v>
      </c>
      <c r="D3574" s="248"/>
      <c r="E3574" s="78" t="s">
        <v>41</v>
      </c>
      <c r="F3574" s="37">
        <v>1.0</v>
      </c>
      <c r="G3574" s="78" t="s">
        <v>32</v>
      </c>
      <c r="H3574" s="78">
        <v>1.0</v>
      </c>
      <c r="I3574" s="78" t="s">
        <v>33</v>
      </c>
      <c r="J3574" s="78" t="s">
        <v>184</v>
      </c>
      <c r="K3574" s="248"/>
      <c r="L3574" s="106" t="s">
        <v>9141</v>
      </c>
      <c r="M3574" s="282" t="s">
        <v>9142</v>
      </c>
      <c r="N3574" s="106"/>
      <c r="O3574" s="248"/>
      <c r="P3574" s="248"/>
      <c r="Q3574" s="293"/>
      <c r="R3574" s="248"/>
      <c r="S3574" s="145"/>
      <c r="T3574" s="313"/>
      <c r="U3574" s="279"/>
      <c r="V3574" s="78" t="s">
        <v>33</v>
      </c>
      <c r="W3574" s="106"/>
      <c r="X3574" s="282"/>
      <c r="Y3574" s="314"/>
      <c r="Z3574" s="248"/>
      <c r="AA3574" s="248"/>
      <c r="AB3574" s="248"/>
      <c r="AC3574" s="248"/>
      <c r="AD3574" s="248"/>
      <c r="AE3574" s="248"/>
      <c r="AF3574" s="248"/>
      <c r="AG3574" s="248"/>
      <c r="AH3574" s="248"/>
      <c r="AI3574" s="248"/>
      <c r="AJ3574" s="248"/>
      <c r="AK3574" s="248"/>
      <c r="AL3574" s="248"/>
      <c r="AM3574" s="248"/>
      <c r="AN3574" s="248"/>
      <c r="AO3574" s="248"/>
      <c r="AP3574" s="248"/>
      <c r="AQ3574" s="248"/>
      <c r="AR3574" s="248"/>
      <c r="AS3574" s="248"/>
      <c r="AT3574" s="248"/>
      <c r="AU3574" s="248"/>
      <c r="AV3574" s="248"/>
      <c r="AW3574" s="248"/>
      <c r="AX3574" s="248"/>
      <c r="AY3574" s="248"/>
      <c r="AZ3574" s="248"/>
      <c r="BA3574" s="248"/>
      <c r="BB3574" s="248"/>
      <c r="BC3574" s="248"/>
      <c r="BD3574" s="248"/>
      <c r="BE3574" s="248"/>
      <c r="BF3574" s="248"/>
      <c r="BG3574" s="248"/>
      <c r="BH3574" s="248"/>
      <c r="BI3574" s="248"/>
      <c r="BJ3574" s="248"/>
      <c r="BK3574" s="248"/>
      <c r="BL3574" s="248"/>
      <c r="BM3574" s="248"/>
      <c r="BN3574" s="248"/>
      <c r="BO3574" s="248"/>
      <c r="BP3574" s="248"/>
      <c r="BQ3574" s="248"/>
    </row>
    <row r="3575">
      <c r="A3575" s="78" t="s">
        <v>9143</v>
      </c>
      <c r="B3575" s="248"/>
      <c r="C3575" s="99">
        <v>44168.0</v>
      </c>
      <c r="D3575" s="248"/>
      <c r="E3575" s="78" t="s">
        <v>41</v>
      </c>
      <c r="F3575" s="37">
        <v>1.0</v>
      </c>
      <c r="G3575" s="78" t="s">
        <v>32</v>
      </c>
      <c r="H3575" s="78">
        <v>1.0</v>
      </c>
      <c r="I3575" s="78" t="s">
        <v>33</v>
      </c>
      <c r="J3575" s="78" t="s">
        <v>184</v>
      </c>
      <c r="K3575" s="248"/>
      <c r="L3575" s="106" t="s">
        <v>9141</v>
      </c>
      <c r="M3575" s="282" t="s">
        <v>9142</v>
      </c>
      <c r="N3575" s="106"/>
      <c r="O3575" s="248"/>
      <c r="P3575" s="248"/>
      <c r="Q3575" s="293"/>
      <c r="R3575" s="248"/>
      <c r="S3575" s="145"/>
      <c r="T3575" s="313"/>
      <c r="U3575" s="279"/>
      <c r="V3575" s="78" t="s">
        <v>33</v>
      </c>
      <c r="W3575" s="106"/>
      <c r="X3575" s="282"/>
      <c r="Y3575" s="314"/>
      <c r="Z3575" s="248"/>
      <c r="AA3575" s="248"/>
      <c r="AB3575" s="248"/>
      <c r="AC3575" s="248"/>
      <c r="AD3575" s="248"/>
      <c r="AE3575" s="248"/>
      <c r="AF3575" s="248"/>
      <c r="AG3575" s="248"/>
      <c r="AH3575" s="248"/>
      <c r="AI3575" s="248"/>
      <c r="AJ3575" s="248"/>
      <c r="AK3575" s="248"/>
      <c r="AL3575" s="248"/>
      <c r="AM3575" s="248"/>
      <c r="AN3575" s="248"/>
      <c r="AO3575" s="248"/>
      <c r="AP3575" s="248"/>
      <c r="AQ3575" s="248"/>
      <c r="AR3575" s="248"/>
      <c r="AS3575" s="248"/>
      <c r="AT3575" s="248"/>
      <c r="AU3575" s="248"/>
      <c r="AV3575" s="248"/>
      <c r="AW3575" s="248"/>
      <c r="AX3575" s="248"/>
      <c r="AY3575" s="248"/>
      <c r="AZ3575" s="248"/>
      <c r="BA3575" s="248"/>
      <c r="BB3575" s="248"/>
      <c r="BC3575" s="248"/>
      <c r="BD3575" s="248"/>
      <c r="BE3575" s="248"/>
      <c r="BF3575" s="248"/>
      <c r="BG3575" s="248"/>
      <c r="BH3575" s="248"/>
      <c r="BI3575" s="248"/>
      <c r="BJ3575" s="248"/>
      <c r="BK3575" s="248"/>
      <c r="BL3575" s="248"/>
      <c r="BM3575" s="248"/>
      <c r="BN3575" s="248"/>
      <c r="BO3575" s="248"/>
      <c r="BP3575" s="248"/>
      <c r="BQ3575" s="248"/>
    </row>
    <row r="3576">
      <c r="A3576" s="78" t="s">
        <v>9144</v>
      </c>
      <c r="B3576" s="248"/>
      <c r="C3576" s="99">
        <v>44168.0</v>
      </c>
      <c r="D3576" s="248"/>
      <c r="E3576" s="78" t="s">
        <v>31</v>
      </c>
      <c r="F3576" s="37">
        <v>1.0</v>
      </c>
      <c r="G3576" s="78" t="s">
        <v>32</v>
      </c>
      <c r="H3576" s="78">
        <v>1.0</v>
      </c>
      <c r="I3576" s="78" t="s">
        <v>33</v>
      </c>
      <c r="J3576" s="78" t="s">
        <v>115</v>
      </c>
      <c r="K3576" s="248"/>
      <c r="L3576" s="106" t="s">
        <v>119</v>
      </c>
      <c r="M3576" s="282" t="s">
        <v>9145</v>
      </c>
      <c r="N3576" s="46" t="s">
        <v>9146</v>
      </c>
      <c r="O3576" s="248"/>
      <c r="P3576" s="248"/>
      <c r="Q3576" s="293"/>
      <c r="R3576" s="248"/>
      <c r="S3576" s="145"/>
      <c r="T3576" s="313"/>
      <c r="U3576" s="279"/>
      <c r="V3576" s="78" t="s">
        <v>33</v>
      </c>
      <c r="W3576" s="46" t="s">
        <v>9147</v>
      </c>
      <c r="X3576" s="282" t="s">
        <v>9148</v>
      </c>
      <c r="Y3576" s="314"/>
      <c r="Z3576" s="248"/>
      <c r="AA3576" s="248"/>
      <c r="AB3576" s="248"/>
      <c r="AC3576" s="248"/>
      <c r="AD3576" s="248"/>
      <c r="AE3576" s="248"/>
      <c r="AF3576" s="248"/>
      <c r="AG3576" s="248"/>
      <c r="AH3576" s="248"/>
      <c r="AI3576" s="248"/>
      <c r="AJ3576" s="248"/>
      <c r="AK3576" s="248"/>
      <c r="AL3576" s="248"/>
      <c r="AM3576" s="248"/>
      <c r="AN3576" s="248"/>
      <c r="AO3576" s="248"/>
      <c r="AP3576" s="248"/>
      <c r="AQ3576" s="248"/>
      <c r="AR3576" s="248"/>
      <c r="AS3576" s="248"/>
      <c r="AT3576" s="248"/>
      <c r="AU3576" s="248"/>
      <c r="AV3576" s="248"/>
      <c r="AW3576" s="248"/>
      <c r="AX3576" s="248"/>
      <c r="AY3576" s="248"/>
      <c r="AZ3576" s="248"/>
      <c r="BA3576" s="248"/>
      <c r="BB3576" s="248"/>
      <c r="BC3576" s="248"/>
      <c r="BD3576" s="248"/>
      <c r="BE3576" s="248"/>
      <c r="BF3576" s="248"/>
      <c r="BG3576" s="248"/>
      <c r="BH3576" s="248"/>
      <c r="BI3576" s="248"/>
      <c r="BJ3576" s="248"/>
      <c r="BK3576" s="248"/>
      <c r="BL3576" s="248"/>
      <c r="BM3576" s="248"/>
      <c r="BN3576" s="248"/>
      <c r="BO3576" s="248"/>
      <c r="BP3576" s="248"/>
      <c r="BQ3576" s="248"/>
    </row>
    <row r="3577">
      <c r="A3577" s="78" t="s">
        <v>9149</v>
      </c>
      <c r="B3577" s="248"/>
      <c r="C3577" s="99">
        <v>44168.0</v>
      </c>
      <c r="D3577" s="248"/>
      <c r="E3577" s="78" t="s">
        <v>41</v>
      </c>
      <c r="F3577" s="37">
        <v>1.0</v>
      </c>
      <c r="G3577" s="78" t="s">
        <v>32</v>
      </c>
      <c r="H3577" s="78">
        <v>1.0</v>
      </c>
      <c r="I3577" s="78" t="s">
        <v>33</v>
      </c>
      <c r="J3577" s="78" t="s">
        <v>184</v>
      </c>
      <c r="K3577" s="248"/>
      <c r="L3577" s="106" t="s">
        <v>76</v>
      </c>
      <c r="M3577" s="282" t="s">
        <v>9150</v>
      </c>
      <c r="N3577" s="106"/>
      <c r="O3577" s="248"/>
      <c r="P3577" s="248"/>
      <c r="Q3577" s="293"/>
      <c r="R3577" s="248"/>
      <c r="S3577" s="145"/>
      <c r="T3577" s="313"/>
      <c r="U3577" s="279"/>
      <c r="V3577" s="78" t="s">
        <v>33</v>
      </c>
      <c r="W3577" s="106"/>
      <c r="X3577" s="282"/>
      <c r="Y3577" s="314"/>
      <c r="Z3577" s="248"/>
      <c r="AA3577" s="248"/>
      <c r="AB3577" s="248"/>
      <c r="AC3577" s="248"/>
      <c r="AD3577" s="248"/>
      <c r="AE3577" s="248"/>
      <c r="AF3577" s="248"/>
      <c r="AG3577" s="248"/>
      <c r="AH3577" s="248"/>
      <c r="AI3577" s="248"/>
      <c r="AJ3577" s="248"/>
      <c r="AK3577" s="248"/>
      <c r="AL3577" s="248"/>
      <c r="AM3577" s="248"/>
      <c r="AN3577" s="248"/>
      <c r="AO3577" s="248"/>
      <c r="AP3577" s="248"/>
      <c r="AQ3577" s="248"/>
      <c r="AR3577" s="248"/>
      <c r="AS3577" s="248"/>
      <c r="AT3577" s="248"/>
      <c r="AU3577" s="248"/>
      <c r="AV3577" s="248"/>
      <c r="AW3577" s="248"/>
      <c r="AX3577" s="248"/>
      <c r="AY3577" s="248"/>
      <c r="AZ3577" s="248"/>
      <c r="BA3577" s="248"/>
      <c r="BB3577" s="248"/>
      <c r="BC3577" s="248"/>
      <c r="BD3577" s="248"/>
      <c r="BE3577" s="248"/>
      <c r="BF3577" s="248"/>
      <c r="BG3577" s="248"/>
      <c r="BH3577" s="248"/>
      <c r="BI3577" s="248"/>
      <c r="BJ3577" s="248"/>
      <c r="BK3577" s="248"/>
      <c r="BL3577" s="248"/>
      <c r="BM3577" s="248"/>
      <c r="BN3577" s="248"/>
      <c r="BO3577" s="248"/>
      <c r="BP3577" s="248"/>
      <c r="BQ3577" s="248"/>
    </row>
    <row r="3578">
      <c r="A3578" s="78" t="s">
        <v>9151</v>
      </c>
      <c r="B3578" s="248"/>
      <c r="C3578" s="99">
        <v>44168.0</v>
      </c>
      <c r="D3578" s="248"/>
      <c r="E3578" s="78" t="s">
        <v>31</v>
      </c>
      <c r="F3578" s="37">
        <v>1.0</v>
      </c>
      <c r="G3578" s="78" t="s">
        <v>32</v>
      </c>
      <c r="H3578" s="78">
        <v>1.0</v>
      </c>
      <c r="I3578" s="78" t="s">
        <v>33</v>
      </c>
      <c r="J3578" s="78" t="s">
        <v>93</v>
      </c>
      <c r="K3578" s="248"/>
      <c r="L3578" s="106" t="s">
        <v>2316</v>
      </c>
      <c r="M3578" s="282" t="s">
        <v>9152</v>
      </c>
      <c r="N3578" s="106"/>
      <c r="O3578" s="248"/>
      <c r="P3578" s="248"/>
      <c r="Q3578" s="293"/>
      <c r="R3578" s="248"/>
      <c r="S3578" s="145"/>
      <c r="T3578" s="313"/>
      <c r="U3578" s="279"/>
      <c r="V3578" s="78" t="s">
        <v>33</v>
      </c>
      <c r="W3578" s="46" t="s">
        <v>9153</v>
      </c>
      <c r="X3578" s="282" t="s">
        <v>9154</v>
      </c>
      <c r="Y3578" s="314"/>
      <c r="Z3578" s="248"/>
      <c r="AA3578" s="248"/>
      <c r="AB3578" s="248"/>
      <c r="AC3578" s="248"/>
      <c r="AD3578" s="248"/>
      <c r="AE3578" s="248"/>
      <c r="AF3578" s="248"/>
      <c r="AG3578" s="248"/>
      <c r="AH3578" s="248"/>
      <c r="AI3578" s="248"/>
      <c r="AJ3578" s="248"/>
      <c r="AK3578" s="248"/>
      <c r="AL3578" s="248"/>
      <c r="AM3578" s="248"/>
      <c r="AN3578" s="248"/>
      <c r="AO3578" s="248"/>
      <c r="AP3578" s="248"/>
      <c r="AQ3578" s="248"/>
      <c r="AR3578" s="248"/>
      <c r="AS3578" s="248"/>
      <c r="AT3578" s="248"/>
      <c r="AU3578" s="248"/>
      <c r="AV3578" s="248"/>
      <c r="AW3578" s="248"/>
      <c r="AX3578" s="248"/>
      <c r="AY3578" s="248"/>
      <c r="AZ3578" s="248"/>
      <c r="BA3578" s="248"/>
      <c r="BB3578" s="248"/>
      <c r="BC3578" s="248"/>
      <c r="BD3578" s="248"/>
      <c r="BE3578" s="248"/>
      <c r="BF3578" s="248"/>
      <c r="BG3578" s="248"/>
      <c r="BH3578" s="248"/>
      <c r="BI3578" s="248"/>
      <c r="BJ3578" s="248"/>
      <c r="BK3578" s="248"/>
      <c r="BL3578" s="248"/>
      <c r="BM3578" s="248"/>
      <c r="BN3578" s="248"/>
      <c r="BO3578" s="248"/>
      <c r="BP3578" s="248"/>
      <c r="BQ3578" s="248"/>
    </row>
    <row r="3579">
      <c r="A3579" s="78" t="s">
        <v>239</v>
      </c>
      <c r="B3579" s="248"/>
      <c r="C3579" s="99">
        <v>44168.0</v>
      </c>
      <c r="D3579" s="248"/>
      <c r="E3579" s="78" t="s">
        <v>41</v>
      </c>
      <c r="F3579" s="37">
        <v>10.0</v>
      </c>
      <c r="G3579" s="78" t="s">
        <v>32</v>
      </c>
      <c r="H3579" s="78">
        <v>1.0</v>
      </c>
      <c r="I3579" s="78" t="s">
        <v>1393</v>
      </c>
      <c r="J3579" s="78"/>
      <c r="K3579" s="248"/>
      <c r="L3579" s="106" t="s">
        <v>194</v>
      </c>
      <c r="M3579" s="282" t="s">
        <v>9155</v>
      </c>
      <c r="N3579" s="106"/>
      <c r="O3579" s="248"/>
      <c r="P3579" s="248"/>
      <c r="Q3579" s="293"/>
      <c r="R3579" s="248"/>
      <c r="S3579" s="145"/>
      <c r="T3579" s="313"/>
      <c r="U3579" s="279"/>
      <c r="V3579" s="78" t="s">
        <v>1393</v>
      </c>
      <c r="W3579" s="106"/>
      <c r="X3579" s="282"/>
      <c r="Y3579" s="314"/>
      <c r="Z3579" s="248"/>
      <c r="AA3579" s="248"/>
      <c r="AB3579" s="248"/>
      <c r="AC3579" s="248"/>
      <c r="AD3579" s="248"/>
      <c r="AE3579" s="248"/>
      <c r="AF3579" s="248"/>
      <c r="AG3579" s="248"/>
      <c r="AH3579" s="248"/>
      <c r="AI3579" s="248"/>
      <c r="AJ3579" s="248"/>
      <c r="AK3579" s="248"/>
      <c r="AL3579" s="248"/>
      <c r="AM3579" s="248"/>
      <c r="AN3579" s="248"/>
      <c r="AO3579" s="248"/>
      <c r="AP3579" s="248"/>
      <c r="AQ3579" s="248"/>
      <c r="AR3579" s="248"/>
      <c r="AS3579" s="248"/>
      <c r="AT3579" s="248"/>
      <c r="AU3579" s="248"/>
      <c r="AV3579" s="248"/>
      <c r="AW3579" s="248"/>
      <c r="AX3579" s="248"/>
      <c r="AY3579" s="248"/>
      <c r="AZ3579" s="248"/>
      <c r="BA3579" s="248"/>
      <c r="BB3579" s="248"/>
      <c r="BC3579" s="248"/>
      <c r="BD3579" s="248"/>
      <c r="BE3579" s="248"/>
      <c r="BF3579" s="248"/>
      <c r="BG3579" s="248"/>
      <c r="BH3579" s="248"/>
      <c r="BI3579" s="248"/>
      <c r="BJ3579" s="248"/>
      <c r="BK3579" s="248"/>
      <c r="BL3579" s="248"/>
      <c r="BM3579" s="248"/>
      <c r="BN3579" s="248"/>
      <c r="BO3579" s="248"/>
      <c r="BP3579" s="248"/>
      <c r="BQ3579" s="248"/>
    </row>
    <row r="3580">
      <c r="A3580" s="78" t="s">
        <v>9156</v>
      </c>
      <c r="B3580" s="248"/>
      <c r="C3580" s="99">
        <v>44169.0</v>
      </c>
      <c r="D3580" s="248"/>
      <c r="E3580" s="78" t="s">
        <v>41</v>
      </c>
      <c r="F3580" s="37">
        <v>1.0</v>
      </c>
      <c r="G3580" s="78" t="s">
        <v>32</v>
      </c>
      <c r="H3580" s="78">
        <v>1.0</v>
      </c>
      <c r="I3580" s="78" t="s">
        <v>33</v>
      </c>
      <c r="J3580" s="78" t="s">
        <v>93</v>
      </c>
      <c r="K3580" s="248"/>
      <c r="L3580" s="106" t="s">
        <v>76</v>
      </c>
      <c r="M3580" s="282" t="s">
        <v>9157</v>
      </c>
      <c r="N3580" s="106"/>
      <c r="O3580" s="248"/>
      <c r="P3580" s="248"/>
      <c r="Q3580" s="293"/>
      <c r="R3580" s="248"/>
      <c r="S3580" s="145"/>
      <c r="T3580" s="313"/>
      <c r="U3580" s="279"/>
      <c r="V3580" s="78" t="s">
        <v>33</v>
      </c>
      <c r="W3580" s="106"/>
      <c r="X3580" s="282"/>
      <c r="Y3580" s="314"/>
      <c r="Z3580" s="248"/>
      <c r="AA3580" s="248"/>
      <c r="AB3580" s="248"/>
      <c r="AC3580" s="248"/>
      <c r="AD3580" s="248"/>
      <c r="AE3580" s="248"/>
      <c r="AF3580" s="248"/>
      <c r="AG3580" s="248"/>
      <c r="AH3580" s="248"/>
      <c r="AI3580" s="248"/>
      <c r="AJ3580" s="248"/>
      <c r="AK3580" s="248"/>
      <c r="AL3580" s="248"/>
      <c r="AM3580" s="248"/>
      <c r="AN3580" s="248"/>
      <c r="AO3580" s="248"/>
      <c r="AP3580" s="248"/>
      <c r="AQ3580" s="248"/>
      <c r="AR3580" s="248"/>
      <c r="AS3580" s="248"/>
      <c r="AT3580" s="248"/>
      <c r="AU3580" s="248"/>
      <c r="AV3580" s="248"/>
      <c r="AW3580" s="248"/>
      <c r="AX3580" s="248"/>
      <c r="AY3580" s="248"/>
      <c r="AZ3580" s="248"/>
      <c r="BA3580" s="248"/>
      <c r="BB3580" s="248"/>
      <c r="BC3580" s="248"/>
      <c r="BD3580" s="248"/>
      <c r="BE3580" s="248"/>
      <c r="BF3580" s="248"/>
      <c r="BG3580" s="248"/>
      <c r="BH3580" s="248"/>
      <c r="BI3580" s="248"/>
      <c r="BJ3580" s="248"/>
      <c r="BK3580" s="248"/>
      <c r="BL3580" s="248"/>
      <c r="BM3580" s="248"/>
      <c r="BN3580" s="248"/>
      <c r="BO3580" s="248"/>
      <c r="BP3580" s="248"/>
      <c r="BQ3580" s="248"/>
    </row>
    <row r="3581">
      <c r="A3581" s="78" t="s">
        <v>9158</v>
      </c>
      <c r="B3581" s="248"/>
      <c r="C3581" s="99">
        <v>44169.0</v>
      </c>
      <c r="D3581" s="248"/>
      <c r="E3581" s="78" t="s">
        <v>41</v>
      </c>
      <c r="F3581" s="37">
        <v>1.0</v>
      </c>
      <c r="G3581" s="78">
        <v>2.0</v>
      </c>
      <c r="H3581" s="78">
        <v>2.0</v>
      </c>
      <c r="I3581" s="78" t="s">
        <v>33</v>
      </c>
      <c r="J3581" s="78" t="s">
        <v>93</v>
      </c>
      <c r="K3581" s="248"/>
      <c r="L3581" s="106" t="s">
        <v>1203</v>
      </c>
      <c r="M3581" s="282" t="s">
        <v>9159</v>
      </c>
      <c r="N3581" s="106"/>
      <c r="O3581" s="248"/>
      <c r="P3581" s="248"/>
      <c r="Q3581" s="293"/>
      <c r="R3581" s="248"/>
      <c r="S3581" s="145"/>
      <c r="T3581" s="313"/>
      <c r="U3581" s="279"/>
      <c r="V3581" s="78" t="s">
        <v>33</v>
      </c>
      <c r="W3581" s="106"/>
      <c r="X3581" s="282"/>
      <c r="Y3581" s="314"/>
      <c r="Z3581" s="248"/>
      <c r="AA3581" s="248"/>
      <c r="AB3581" s="248"/>
      <c r="AC3581" s="248"/>
      <c r="AD3581" s="248"/>
      <c r="AE3581" s="248"/>
      <c r="AF3581" s="248"/>
      <c r="AG3581" s="248"/>
      <c r="AH3581" s="248"/>
      <c r="AI3581" s="248"/>
      <c r="AJ3581" s="248"/>
      <c r="AK3581" s="248"/>
      <c r="AL3581" s="248"/>
      <c r="AM3581" s="248"/>
      <c r="AN3581" s="248"/>
      <c r="AO3581" s="248"/>
      <c r="AP3581" s="248"/>
      <c r="AQ3581" s="248"/>
      <c r="AR3581" s="248"/>
      <c r="AS3581" s="248"/>
      <c r="AT3581" s="248"/>
      <c r="AU3581" s="248"/>
      <c r="AV3581" s="248"/>
      <c r="AW3581" s="248"/>
      <c r="AX3581" s="248"/>
      <c r="AY3581" s="248"/>
      <c r="AZ3581" s="248"/>
      <c r="BA3581" s="248"/>
      <c r="BB3581" s="248"/>
      <c r="BC3581" s="248"/>
      <c r="BD3581" s="248"/>
      <c r="BE3581" s="248"/>
      <c r="BF3581" s="248"/>
      <c r="BG3581" s="248"/>
      <c r="BH3581" s="248"/>
      <c r="BI3581" s="248"/>
      <c r="BJ3581" s="248"/>
      <c r="BK3581" s="248"/>
      <c r="BL3581" s="248"/>
      <c r="BM3581" s="248"/>
      <c r="BN3581" s="248"/>
      <c r="BO3581" s="248"/>
      <c r="BP3581" s="248"/>
      <c r="BQ3581" s="248"/>
    </row>
    <row r="3582">
      <c r="A3582" s="78" t="s">
        <v>239</v>
      </c>
      <c r="B3582" s="248"/>
      <c r="C3582" s="99">
        <v>44169.0</v>
      </c>
      <c r="D3582" s="248"/>
      <c r="E3582" s="78" t="s">
        <v>41</v>
      </c>
      <c r="F3582" s="37">
        <v>1.0</v>
      </c>
      <c r="G3582" s="78" t="s">
        <v>32</v>
      </c>
      <c r="H3582" s="78">
        <v>1.0</v>
      </c>
      <c r="I3582" s="78" t="s">
        <v>33</v>
      </c>
      <c r="J3582" s="78" t="s">
        <v>147</v>
      </c>
      <c r="K3582" s="248"/>
      <c r="L3582" s="106" t="s">
        <v>194</v>
      </c>
      <c r="M3582" s="282" t="s">
        <v>9160</v>
      </c>
      <c r="N3582" s="106"/>
      <c r="O3582" s="248"/>
      <c r="P3582" s="248"/>
      <c r="Q3582" s="293"/>
      <c r="R3582" s="248"/>
      <c r="S3582" s="145"/>
      <c r="T3582" s="313"/>
      <c r="U3582" s="279"/>
      <c r="V3582" s="78" t="s">
        <v>33</v>
      </c>
      <c r="W3582" s="106"/>
      <c r="X3582" s="282"/>
      <c r="Y3582" s="314"/>
      <c r="Z3582" s="248"/>
      <c r="AA3582" s="248"/>
      <c r="AB3582" s="248"/>
      <c r="AC3582" s="248"/>
      <c r="AD3582" s="248"/>
      <c r="AE3582" s="248"/>
      <c r="AF3582" s="248"/>
      <c r="AG3582" s="248"/>
      <c r="AH3582" s="248"/>
      <c r="AI3582" s="248"/>
      <c r="AJ3582" s="248"/>
      <c r="AK3582" s="248"/>
      <c r="AL3582" s="248"/>
      <c r="AM3582" s="248"/>
      <c r="AN3582" s="248"/>
      <c r="AO3582" s="248"/>
      <c r="AP3582" s="248"/>
      <c r="AQ3582" s="248"/>
      <c r="AR3582" s="248"/>
      <c r="AS3582" s="248"/>
      <c r="AT3582" s="248"/>
      <c r="AU3582" s="248"/>
      <c r="AV3582" s="248"/>
      <c r="AW3582" s="248"/>
      <c r="AX3582" s="248"/>
      <c r="AY3582" s="248"/>
      <c r="AZ3582" s="248"/>
      <c r="BA3582" s="248"/>
      <c r="BB3582" s="248"/>
      <c r="BC3582" s="248"/>
      <c r="BD3582" s="248"/>
      <c r="BE3582" s="248"/>
      <c r="BF3582" s="248"/>
      <c r="BG3582" s="248"/>
      <c r="BH3582" s="248"/>
      <c r="BI3582" s="248"/>
      <c r="BJ3582" s="248"/>
      <c r="BK3582" s="248"/>
      <c r="BL3582" s="248"/>
      <c r="BM3582" s="248"/>
      <c r="BN3582" s="248"/>
      <c r="BO3582" s="248"/>
      <c r="BP3582" s="248"/>
      <c r="BQ3582" s="248"/>
    </row>
    <row r="3583">
      <c r="A3583" s="78" t="s">
        <v>239</v>
      </c>
      <c r="B3583" s="248"/>
      <c r="C3583" s="99">
        <v>44172.0</v>
      </c>
      <c r="D3583" s="248"/>
      <c r="E3583" s="78" t="s">
        <v>41</v>
      </c>
      <c r="F3583" s="37">
        <v>1.0</v>
      </c>
      <c r="G3583" s="78" t="s">
        <v>32</v>
      </c>
      <c r="H3583" s="78">
        <v>1.0</v>
      </c>
      <c r="I3583" s="78" t="s">
        <v>33</v>
      </c>
      <c r="J3583" s="78" t="s">
        <v>147</v>
      </c>
      <c r="K3583" s="248"/>
      <c r="L3583" s="106" t="s">
        <v>194</v>
      </c>
      <c r="M3583" s="282" t="s">
        <v>9161</v>
      </c>
      <c r="N3583" s="106"/>
      <c r="O3583" s="248"/>
      <c r="P3583" s="248"/>
      <c r="Q3583" s="293"/>
      <c r="R3583" s="248"/>
      <c r="S3583" s="145"/>
      <c r="T3583" s="313"/>
      <c r="U3583" s="279"/>
      <c r="V3583" s="78" t="s">
        <v>33</v>
      </c>
      <c r="W3583" s="106"/>
      <c r="X3583" s="282"/>
      <c r="Y3583" s="314"/>
      <c r="Z3583" s="248"/>
      <c r="AA3583" s="248"/>
      <c r="AB3583" s="248"/>
      <c r="AC3583" s="248"/>
      <c r="AD3583" s="248"/>
      <c r="AE3583" s="248"/>
      <c r="AF3583" s="248"/>
      <c r="AG3583" s="248"/>
      <c r="AH3583" s="248"/>
      <c r="AI3583" s="248"/>
      <c r="AJ3583" s="248"/>
      <c r="AK3583" s="248"/>
      <c r="AL3583" s="248"/>
      <c r="AM3583" s="248"/>
      <c r="AN3583" s="248"/>
      <c r="AO3583" s="248"/>
      <c r="AP3583" s="248"/>
      <c r="AQ3583" s="248"/>
      <c r="AR3583" s="248"/>
      <c r="AS3583" s="248"/>
      <c r="AT3583" s="248"/>
      <c r="AU3583" s="248"/>
      <c r="AV3583" s="248"/>
      <c r="AW3583" s="248"/>
      <c r="AX3583" s="248"/>
      <c r="AY3583" s="248"/>
      <c r="AZ3583" s="248"/>
      <c r="BA3583" s="248"/>
      <c r="BB3583" s="248"/>
      <c r="BC3583" s="248"/>
      <c r="BD3583" s="248"/>
      <c r="BE3583" s="248"/>
      <c r="BF3583" s="248"/>
      <c r="BG3583" s="248"/>
      <c r="BH3583" s="248"/>
      <c r="BI3583" s="248"/>
      <c r="BJ3583" s="248"/>
      <c r="BK3583" s="248"/>
      <c r="BL3583" s="248"/>
      <c r="BM3583" s="248"/>
      <c r="BN3583" s="248"/>
      <c r="BO3583" s="248"/>
      <c r="BP3583" s="248"/>
      <c r="BQ3583" s="248"/>
    </row>
    <row r="3584">
      <c r="A3584" s="78" t="s">
        <v>9162</v>
      </c>
      <c r="B3584" s="248"/>
      <c r="C3584" s="99">
        <v>44172.0</v>
      </c>
      <c r="D3584" s="248"/>
      <c r="E3584" s="78" t="s">
        <v>41</v>
      </c>
      <c r="F3584" s="37">
        <v>1.0</v>
      </c>
      <c r="G3584" s="78" t="s">
        <v>32</v>
      </c>
      <c r="H3584" s="78">
        <v>1.0</v>
      </c>
      <c r="I3584" s="78" t="s">
        <v>33</v>
      </c>
      <c r="J3584" s="78" t="s">
        <v>124</v>
      </c>
      <c r="K3584" s="248"/>
      <c r="L3584" s="106" t="s">
        <v>119</v>
      </c>
      <c r="M3584" s="282" t="s">
        <v>9163</v>
      </c>
      <c r="N3584" s="106"/>
      <c r="O3584" s="248"/>
      <c r="P3584" s="248"/>
      <c r="Q3584" s="293"/>
      <c r="R3584" s="248"/>
      <c r="S3584" s="145"/>
      <c r="T3584" s="313"/>
      <c r="U3584" s="279"/>
      <c r="V3584" s="78" t="s">
        <v>33</v>
      </c>
      <c r="W3584" s="106"/>
      <c r="X3584" s="282"/>
      <c r="Y3584" s="314"/>
      <c r="Z3584" s="248"/>
      <c r="AA3584" s="248"/>
      <c r="AB3584" s="248"/>
      <c r="AC3584" s="248"/>
      <c r="AD3584" s="248"/>
      <c r="AE3584" s="248"/>
      <c r="AF3584" s="248"/>
      <c r="AG3584" s="248"/>
      <c r="AH3584" s="248"/>
      <c r="AI3584" s="248"/>
      <c r="AJ3584" s="248"/>
      <c r="AK3584" s="248"/>
      <c r="AL3584" s="248"/>
      <c r="AM3584" s="248"/>
      <c r="AN3584" s="248"/>
      <c r="AO3584" s="248"/>
      <c r="AP3584" s="248"/>
      <c r="AQ3584" s="248"/>
      <c r="AR3584" s="248"/>
      <c r="AS3584" s="248"/>
      <c r="AT3584" s="248"/>
      <c r="AU3584" s="248"/>
      <c r="AV3584" s="248"/>
      <c r="AW3584" s="248"/>
      <c r="AX3584" s="248"/>
      <c r="AY3584" s="248"/>
      <c r="AZ3584" s="248"/>
      <c r="BA3584" s="248"/>
      <c r="BB3584" s="248"/>
      <c r="BC3584" s="248"/>
      <c r="BD3584" s="248"/>
      <c r="BE3584" s="248"/>
      <c r="BF3584" s="248"/>
      <c r="BG3584" s="248"/>
      <c r="BH3584" s="248"/>
      <c r="BI3584" s="248"/>
      <c r="BJ3584" s="248"/>
      <c r="BK3584" s="248"/>
      <c r="BL3584" s="248"/>
      <c r="BM3584" s="248"/>
      <c r="BN3584" s="248"/>
      <c r="BO3584" s="248"/>
      <c r="BP3584" s="248"/>
      <c r="BQ3584" s="248"/>
    </row>
    <row r="3585">
      <c r="A3585" s="78" t="s">
        <v>9164</v>
      </c>
      <c r="B3585" s="248"/>
      <c r="C3585" s="99">
        <v>44172.0</v>
      </c>
      <c r="D3585" s="248"/>
      <c r="E3585" s="78" t="s">
        <v>41</v>
      </c>
      <c r="F3585" s="37">
        <v>1.0</v>
      </c>
      <c r="G3585" s="78" t="s">
        <v>32</v>
      </c>
      <c r="H3585" s="78">
        <v>1.0</v>
      </c>
      <c r="I3585" s="78" t="s">
        <v>33</v>
      </c>
      <c r="J3585" s="78" t="s">
        <v>111</v>
      </c>
      <c r="K3585" s="248"/>
      <c r="L3585" s="106" t="s">
        <v>119</v>
      </c>
      <c r="M3585" s="282" t="s">
        <v>9165</v>
      </c>
      <c r="N3585" s="106"/>
      <c r="O3585" s="248"/>
      <c r="P3585" s="248"/>
      <c r="Q3585" s="293"/>
      <c r="R3585" s="248"/>
      <c r="S3585" s="145"/>
      <c r="T3585" s="313"/>
      <c r="U3585" s="279"/>
      <c r="V3585" s="78" t="s">
        <v>33</v>
      </c>
      <c r="W3585" s="106"/>
      <c r="X3585" s="282"/>
      <c r="Y3585" s="314"/>
      <c r="Z3585" s="248"/>
      <c r="AA3585" s="248"/>
      <c r="AB3585" s="248"/>
      <c r="AC3585" s="248"/>
      <c r="AD3585" s="248"/>
      <c r="AE3585" s="248"/>
      <c r="AF3585" s="248"/>
      <c r="AG3585" s="248"/>
      <c r="AH3585" s="248"/>
      <c r="AI3585" s="248"/>
      <c r="AJ3585" s="248"/>
      <c r="AK3585" s="248"/>
      <c r="AL3585" s="248"/>
      <c r="AM3585" s="248"/>
      <c r="AN3585" s="248"/>
      <c r="AO3585" s="248"/>
      <c r="AP3585" s="248"/>
      <c r="AQ3585" s="248"/>
      <c r="AR3585" s="248"/>
      <c r="AS3585" s="248"/>
      <c r="AT3585" s="248"/>
      <c r="AU3585" s="248"/>
      <c r="AV3585" s="248"/>
      <c r="AW3585" s="248"/>
      <c r="AX3585" s="248"/>
      <c r="AY3585" s="248"/>
      <c r="AZ3585" s="248"/>
      <c r="BA3585" s="248"/>
      <c r="BB3585" s="248"/>
      <c r="BC3585" s="248"/>
      <c r="BD3585" s="248"/>
      <c r="BE3585" s="248"/>
      <c r="BF3585" s="248"/>
      <c r="BG3585" s="248"/>
      <c r="BH3585" s="248"/>
      <c r="BI3585" s="248"/>
      <c r="BJ3585" s="248"/>
      <c r="BK3585" s="248"/>
      <c r="BL3585" s="248"/>
      <c r="BM3585" s="248"/>
      <c r="BN3585" s="248"/>
      <c r="BO3585" s="248"/>
      <c r="BP3585" s="248"/>
      <c r="BQ3585" s="248"/>
    </row>
    <row r="3586">
      <c r="A3586" s="78" t="s">
        <v>239</v>
      </c>
      <c r="B3586" s="248"/>
      <c r="C3586" s="99">
        <v>44173.0</v>
      </c>
      <c r="D3586" s="248"/>
      <c r="E3586" s="78" t="s">
        <v>41</v>
      </c>
      <c r="F3586" s="37">
        <v>1.0</v>
      </c>
      <c r="G3586" s="78" t="s">
        <v>32</v>
      </c>
      <c r="H3586" s="78">
        <v>1.0</v>
      </c>
      <c r="I3586" s="78" t="s">
        <v>33</v>
      </c>
      <c r="J3586" s="78" t="s">
        <v>111</v>
      </c>
      <c r="K3586" s="248"/>
      <c r="L3586" s="106" t="s">
        <v>194</v>
      </c>
      <c r="M3586" s="282" t="s">
        <v>9166</v>
      </c>
      <c r="N3586" s="106"/>
      <c r="O3586" s="248"/>
      <c r="P3586" s="248"/>
      <c r="Q3586" s="293"/>
      <c r="R3586" s="248"/>
      <c r="S3586" s="145"/>
      <c r="T3586" s="313"/>
      <c r="U3586" s="279"/>
      <c r="V3586" s="78" t="s">
        <v>33</v>
      </c>
      <c r="W3586" s="106"/>
      <c r="X3586" s="282"/>
      <c r="Y3586" s="314"/>
      <c r="Z3586" s="248"/>
      <c r="AA3586" s="248"/>
      <c r="AB3586" s="248"/>
      <c r="AC3586" s="248"/>
      <c r="AD3586" s="248"/>
      <c r="AE3586" s="248"/>
      <c r="AF3586" s="248"/>
      <c r="AG3586" s="248"/>
      <c r="AH3586" s="248"/>
      <c r="AI3586" s="248"/>
      <c r="AJ3586" s="248"/>
      <c r="AK3586" s="248"/>
      <c r="AL3586" s="248"/>
      <c r="AM3586" s="248"/>
      <c r="AN3586" s="248"/>
      <c r="AO3586" s="248"/>
      <c r="AP3586" s="248"/>
      <c r="AQ3586" s="248"/>
      <c r="AR3586" s="248"/>
      <c r="AS3586" s="248"/>
      <c r="AT3586" s="248"/>
      <c r="AU3586" s="248"/>
      <c r="AV3586" s="248"/>
      <c r="AW3586" s="248"/>
      <c r="AX3586" s="248"/>
      <c r="AY3586" s="248"/>
      <c r="AZ3586" s="248"/>
      <c r="BA3586" s="248"/>
      <c r="BB3586" s="248"/>
      <c r="BC3586" s="248"/>
      <c r="BD3586" s="248"/>
      <c r="BE3586" s="248"/>
      <c r="BF3586" s="248"/>
      <c r="BG3586" s="248"/>
      <c r="BH3586" s="248"/>
      <c r="BI3586" s="248"/>
      <c r="BJ3586" s="248"/>
      <c r="BK3586" s="248"/>
      <c r="BL3586" s="248"/>
      <c r="BM3586" s="248"/>
      <c r="BN3586" s="248"/>
      <c r="BO3586" s="248"/>
      <c r="BP3586" s="248"/>
      <c r="BQ3586" s="248"/>
    </row>
    <row r="3587">
      <c r="A3587" s="78" t="s">
        <v>9167</v>
      </c>
      <c r="B3587" s="248"/>
      <c r="C3587" s="99">
        <v>44173.0</v>
      </c>
      <c r="D3587" s="248"/>
      <c r="E3587" s="78" t="s">
        <v>41</v>
      </c>
      <c r="F3587" s="37">
        <v>1.0</v>
      </c>
      <c r="G3587" s="78" t="s">
        <v>32</v>
      </c>
      <c r="H3587" s="78">
        <v>1.0</v>
      </c>
      <c r="I3587" s="78" t="s">
        <v>33</v>
      </c>
      <c r="J3587" s="78" t="s">
        <v>55</v>
      </c>
      <c r="K3587" s="248"/>
      <c r="L3587" s="106" t="s">
        <v>69</v>
      </c>
      <c r="M3587" s="282" t="s">
        <v>9168</v>
      </c>
      <c r="N3587" s="106"/>
      <c r="O3587" s="248"/>
      <c r="P3587" s="248"/>
      <c r="Q3587" s="293"/>
      <c r="R3587" s="248"/>
      <c r="S3587" s="145"/>
      <c r="T3587" s="313"/>
      <c r="U3587" s="279"/>
      <c r="V3587" s="78" t="s">
        <v>33</v>
      </c>
      <c r="W3587" s="106"/>
      <c r="X3587" s="282"/>
      <c r="Y3587" s="314"/>
      <c r="Z3587" s="248"/>
      <c r="AA3587" s="248"/>
      <c r="AB3587" s="248"/>
      <c r="AC3587" s="248"/>
      <c r="AD3587" s="248"/>
      <c r="AE3587" s="248"/>
      <c r="AF3587" s="248"/>
      <c r="AG3587" s="248"/>
      <c r="AH3587" s="248"/>
      <c r="AI3587" s="248"/>
      <c r="AJ3587" s="248"/>
      <c r="AK3587" s="248"/>
      <c r="AL3587" s="248"/>
      <c r="AM3587" s="248"/>
      <c r="AN3587" s="248"/>
      <c r="AO3587" s="248"/>
      <c r="AP3587" s="248"/>
      <c r="AQ3587" s="248"/>
      <c r="AR3587" s="248"/>
      <c r="AS3587" s="248"/>
      <c r="AT3587" s="248"/>
      <c r="AU3587" s="248"/>
      <c r="AV3587" s="248"/>
      <c r="AW3587" s="248"/>
      <c r="AX3587" s="248"/>
      <c r="AY3587" s="248"/>
      <c r="AZ3587" s="248"/>
      <c r="BA3587" s="248"/>
      <c r="BB3587" s="248"/>
      <c r="BC3587" s="248"/>
      <c r="BD3587" s="248"/>
      <c r="BE3587" s="248"/>
      <c r="BF3587" s="248"/>
      <c r="BG3587" s="248"/>
      <c r="BH3587" s="248"/>
      <c r="BI3587" s="248"/>
      <c r="BJ3587" s="248"/>
      <c r="BK3587" s="248"/>
      <c r="BL3587" s="248"/>
      <c r="BM3587" s="248"/>
      <c r="BN3587" s="248"/>
      <c r="BO3587" s="248"/>
      <c r="BP3587" s="248"/>
      <c r="BQ3587" s="248"/>
    </row>
    <row r="3588">
      <c r="A3588" s="78" t="s">
        <v>239</v>
      </c>
      <c r="B3588" s="248"/>
      <c r="C3588" s="99">
        <v>44174.0</v>
      </c>
      <c r="D3588" s="248"/>
      <c r="E3588" s="78" t="s">
        <v>41</v>
      </c>
      <c r="F3588" s="37">
        <v>1.0</v>
      </c>
      <c r="G3588" s="78" t="s">
        <v>32</v>
      </c>
      <c r="H3588" s="78">
        <v>1.0</v>
      </c>
      <c r="I3588" s="78" t="s">
        <v>33</v>
      </c>
      <c r="J3588" s="78" t="s">
        <v>147</v>
      </c>
      <c r="K3588" s="248"/>
      <c r="L3588" s="106" t="s">
        <v>194</v>
      </c>
      <c r="M3588" s="282" t="s">
        <v>9169</v>
      </c>
      <c r="N3588" s="106"/>
      <c r="O3588" s="248"/>
      <c r="P3588" s="248"/>
      <c r="Q3588" s="293"/>
      <c r="R3588" s="248"/>
      <c r="S3588" s="145"/>
      <c r="T3588" s="313"/>
      <c r="U3588" s="279"/>
      <c r="V3588" s="78" t="s">
        <v>33</v>
      </c>
      <c r="W3588" s="106"/>
      <c r="X3588" s="282"/>
      <c r="Y3588" s="314"/>
      <c r="Z3588" s="248"/>
      <c r="AA3588" s="248"/>
      <c r="AB3588" s="248"/>
      <c r="AC3588" s="248"/>
      <c r="AD3588" s="248"/>
      <c r="AE3588" s="248"/>
      <c r="AF3588" s="248"/>
      <c r="AG3588" s="248"/>
      <c r="AH3588" s="248"/>
      <c r="AI3588" s="248"/>
      <c r="AJ3588" s="248"/>
      <c r="AK3588" s="248"/>
      <c r="AL3588" s="248"/>
      <c r="AM3588" s="248"/>
      <c r="AN3588" s="248"/>
      <c r="AO3588" s="248"/>
      <c r="AP3588" s="248"/>
      <c r="AQ3588" s="248"/>
      <c r="AR3588" s="248"/>
      <c r="AS3588" s="248"/>
      <c r="AT3588" s="248"/>
      <c r="AU3588" s="248"/>
      <c r="AV3588" s="248"/>
      <c r="AW3588" s="248"/>
      <c r="AX3588" s="248"/>
      <c r="AY3588" s="248"/>
      <c r="AZ3588" s="248"/>
      <c r="BA3588" s="248"/>
      <c r="BB3588" s="248"/>
      <c r="BC3588" s="248"/>
      <c r="BD3588" s="248"/>
      <c r="BE3588" s="248"/>
      <c r="BF3588" s="248"/>
      <c r="BG3588" s="248"/>
      <c r="BH3588" s="248"/>
      <c r="BI3588" s="248"/>
      <c r="BJ3588" s="248"/>
      <c r="BK3588" s="248"/>
      <c r="BL3588" s="248"/>
      <c r="BM3588" s="248"/>
      <c r="BN3588" s="248"/>
      <c r="BO3588" s="248"/>
      <c r="BP3588" s="248"/>
      <c r="BQ3588" s="248"/>
    </row>
    <row r="3589">
      <c r="A3589" s="78" t="s">
        <v>9170</v>
      </c>
      <c r="B3589" s="248"/>
      <c r="C3589" s="99">
        <v>44174.0</v>
      </c>
      <c r="D3589" s="248"/>
      <c r="E3589" s="78" t="s">
        <v>31</v>
      </c>
      <c r="F3589" s="37">
        <v>1.0</v>
      </c>
      <c r="G3589" s="78">
        <v>1.0</v>
      </c>
      <c r="H3589" s="78">
        <v>1.0</v>
      </c>
      <c r="I3589" s="78" t="s">
        <v>33</v>
      </c>
      <c r="J3589" s="78" t="s">
        <v>162</v>
      </c>
      <c r="K3589" s="248"/>
      <c r="L3589" s="106" t="s">
        <v>76</v>
      </c>
      <c r="M3589" s="282" t="s">
        <v>9171</v>
      </c>
      <c r="N3589" s="46" t="s">
        <v>9172</v>
      </c>
      <c r="O3589" s="248"/>
      <c r="P3589" s="248"/>
      <c r="Q3589" s="293"/>
      <c r="R3589" s="248"/>
      <c r="S3589" s="145"/>
      <c r="T3589" s="313"/>
      <c r="U3589" s="279"/>
      <c r="V3589" s="78" t="s">
        <v>33</v>
      </c>
      <c r="W3589" s="46" t="s">
        <v>9173</v>
      </c>
      <c r="X3589" s="282" t="s">
        <v>9174</v>
      </c>
      <c r="Y3589" s="314"/>
      <c r="Z3589" s="248"/>
      <c r="AA3589" s="248"/>
      <c r="AB3589" s="248"/>
      <c r="AC3589" s="248"/>
      <c r="AD3589" s="248"/>
      <c r="AE3589" s="248"/>
      <c r="AF3589" s="248"/>
      <c r="AG3589" s="248"/>
      <c r="AH3589" s="248"/>
      <c r="AI3589" s="248"/>
      <c r="AJ3589" s="248"/>
      <c r="AK3589" s="248"/>
      <c r="AL3589" s="248"/>
      <c r="AM3589" s="248"/>
      <c r="AN3589" s="248"/>
      <c r="AO3589" s="248"/>
      <c r="AP3589" s="248"/>
      <c r="AQ3589" s="248"/>
      <c r="AR3589" s="248"/>
      <c r="AS3589" s="248"/>
      <c r="AT3589" s="248"/>
      <c r="AU3589" s="248"/>
      <c r="AV3589" s="248"/>
      <c r="AW3589" s="248"/>
      <c r="AX3589" s="248"/>
      <c r="AY3589" s="248"/>
      <c r="AZ3589" s="248"/>
      <c r="BA3589" s="248"/>
      <c r="BB3589" s="248"/>
      <c r="BC3589" s="248"/>
      <c r="BD3589" s="248"/>
      <c r="BE3589" s="248"/>
      <c r="BF3589" s="248"/>
      <c r="BG3589" s="248"/>
      <c r="BH3589" s="248"/>
      <c r="BI3589" s="248"/>
      <c r="BJ3589" s="248"/>
      <c r="BK3589" s="248"/>
      <c r="BL3589" s="248"/>
      <c r="BM3589" s="248"/>
      <c r="BN3589" s="248"/>
      <c r="BO3589" s="248"/>
      <c r="BP3589" s="248"/>
      <c r="BQ3589" s="248"/>
    </row>
    <row r="3590">
      <c r="A3590" s="78" t="s">
        <v>9175</v>
      </c>
      <c r="B3590" s="248"/>
      <c r="C3590" s="99">
        <v>44175.0</v>
      </c>
      <c r="D3590" s="248"/>
      <c r="E3590" s="78" t="s">
        <v>41</v>
      </c>
      <c r="F3590" s="37">
        <v>1.0</v>
      </c>
      <c r="G3590" s="78" t="s">
        <v>32</v>
      </c>
      <c r="H3590" s="78">
        <v>1.0</v>
      </c>
      <c r="I3590" s="78" t="s">
        <v>33</v>
      </c>
      <c r="J3590" s="78" t="s">
        <v>89</v>
      </c>
      <c r="K3590" s="248"/>
      <c r="L3590" s="106" t="s">
        <v>2316</v>
      </c>
      <c r="M3590" s="282" t="s">
        <v>9176</v>
      </c>
      <c r="N3590" s="106"/>
      <c r="O3590" s="248"/>
      <c r="P3590" s="248"/>
      <c r="Q3590" s="293"/>
      <c r="R3590" s="248"/>
      <c r="S3590" s="145"/>
      <c r="T3590" s="313"/>
      <c r="U3590" s="279"/>
      <c r="V3590" s="78" t="s">
        <v>33</v>
      </c>
      <c r="W3590" s="46" t="s">
        <v>9177</v>
      </c>
      <c r="X3590" s="282"/>
      <c r="Y3590" s="314"/>
      <c r="Z3590" s="248"/>
      <c r="AA3590" s="248"/>
      <c r="AB3590" s="248"/>
      <c r="AC3590" s="248"/>
      <c r="AD3590" s="248"/>
      <c r="AE3590" s="248"/>
      <c r="AF3590" s="248"/>
      <c r="AG3590" s="248"/>
      <c r="AH3590" s="248"/>
      <c r="AI3590" s="248"/>
      <c r="AJ3590" s="248"/>
      <c r="AK3590" s="248"/>
      <c r="AL3590" s="248"/>
      <c r="AM3590" s="248"/>
      <c r="AN3590" s="248"/>
      <c r="AO3590" s="248"/>
      <c r="AP3590" s="248"/>
      <c r="AQ3590" s="248"/>
      <c r="AR3590" s="248"/>
      <c r="AS3590" s="248"/>
      <c r="AT3590" s="248"/>
      <c r="AU3590" s="248"/>
      <c r="AV3590" s="248"/>
      <c r="AW3590" s="248"/>
      <c r="AX3590" s="248"/>
      <c r="AY3590" s="248"/>
      <c r="AZ3590" s="248"/>
      <c r="BA3590" s="248"/>
      <c r="BB3590" s="248"/>
      <c r="BC3590" s="248"/>
      <c r="BD3590" s="248"/>
      <c r="BE3590" s="248"/>
      <c r="BF3590" s="248"/>
      <c r="BG3590" s="248"/>
      <c r="BH3590" s="248"/>
      <c r="BI3590" s="248"/>
      <c r="BJ3590" s="248"/>
      <c r="BK3590" s="248"/>
      <c r="BL3590" s="248"/>
      <c r="BM3590" s="248"/>
      <c r="BN3590" s="248"/>
      <c r="BO3590" s="248"/>
      <c r="BP3590" s="248"/>
      <c r="BQ3590" s="248"/>
    </row>
    <row r="3591">
      <c r="A3591" s="78" t="s">
        <v>9178</v>
      </c>
      <c r="B3591" s="248"/>
      <c r="C3591" s="99">
        <v>44175.0</v>
      </c>
      <c r="D3591" s="248"/>
      <c r="E3591" s="78" t="s">
        <v>41</v>
      </c>
      <c r="F3591" s="37">
        <v>1.0</v>
      </c>
      <c r="G3591" s="78" t="s">
        <v>32</v>
      </c>
      <c r="H3591" s="78">
        <v>1.0</v>
      </c>
      <c r="I3591" s="78" t="s">
        <v>33</v>
      </c>
      <c r="J3591" s="78" t="s">
        <v>89</v>
      </c>
      <c r="K3591" s="248"/>
      <c r="L3591" s="106" t="s">
        <v>2316</v>
      </c>
      <c r="M3591" s="282" t="s">
        <v>9176</v>
      </c>
      <c r="N3591" s="106"/>
      <c r="O3591" s="248"/>
      <c r="P3591" s="248"/>
      <c r="Q3591" s="293"/>
      <c r="R3591" s="248"/>
      <c r="S3591" s="145"/>
      <c r="T3591" s="313"/>
      <c r="U3591" s="279"/>
      <c r="V3591" s="78" t="s">
        <v>33</v>
      </c>
      <c r="W3591" s="46" t="s">
        <v>9179</v>
      </c>
      <c r="X3591" s="282"/>
      <c r="Y3591" s="314"/>
      <c r="Z3591" s="248"/>
      <c r="AA3591" s="248"/>
      <c r="AB3591" s="248"/>
      <c r="AC3591" s="248"/>
      <c r="AD3591" s="248"/>
      <c r="AE3591" s="248"/>
      <c r="AF3591" s="248"/>
      <c r="AG3591" s="248"/>
      <c r="AH3591" s="248"/>
      <c r="AI3591" s="248"/>
      <c r="AJ3591" s="248"/>
      <c r="AK3591" s="248"/>
      <c r="AL3591" s="248"/>
      <c r="AM3591" s="248"/>
      <c r="AN3591" s="248"/>
      <c r="AO3591" s="248"/>
      <c r="AP3591" s="248"/>
      <c r="AQ3591" s="248"/>
      <c r="AR3591" s="248"/>
      <c r="AS3591" s="248"/>
      <c r="AT3591" s="248"/>
      <c r="AU3591" s="248"/>
      <c r="AV3591" s="248"/>
      <c r="AW3591" s="248"/>
      <c r="AX3591" s="248"/>
      <c r="AY3591" s="248"/>
      <c r="AZ3591" s="248"/>
      <c r="BA3591" s="248"/>
      <c r="BB3591" s="248"/>
      <c r="BC3591" s="248"/>
      <c r="BD3591" s="248"/>
      <c r="BE3591" s="248"/>
      <c r="BF3591" s="248"/>
      <c r="BG3591" s="248"/>
      <c r="BH3591" s="248"/>
      <c r="BI3591" s="248"/>
      <c r="BJ3591" s="248"/>
      <c r="BK3591" s="248"/>
      <c r="BL3591" s="248"/>
      <c r="BM3591" s="248"/>
      <c r="BN3591" s="248"/>
      <c r="BO3591" s="248"/>
      <c r="BP3591" s="248"/>
      <c r="BQ3591" s="248"/>
    </row>
    <row r="3592">
      <c r="A3592" s="78" t="s">
        <v>9180</v>
      </c>
      <c r="B3592" s="248"/>
      <c r="C3592" s="99">
        <v>44175.0</v>
      </c>
      <c r="D3592" s="248"/>
      <c r="E3592" s="78" t="s">
        <v>41</v>
      </c>
      <c r="F3592" s="37">
        <v>1.0</v>
      </c>
      <c r="G3592" s="78" t="s">
        <v>32</v>
      </c>
      <c r="H3592" s="78">
        <v>1.0</v>
      </c>
      <c r="I3592" s="78" t="s">
        <v>33</v>
      </c>
      <c r="J3592" s="78" t="s">
        <v>89</v>
      </c>
      <c r="K3592" s="248"/>
      <c r="L3592" s="106" t="s">
        <v>2316</v>
      </c>
      <c r="M3592" s="282" t="s">
        <v>9176</v>
      </c>
      <c r="N3592" s="106"/>
      <c r="O3592" s="248"/>
      <c r="P3592" s="248"/>
      <c r="Q3592" s="293"/>
      <c r="R3592" s="248"/>
      <c r="S3592" s="145"/>
      <c r="T3592" s="313"/>
      <c r="U3592" s="279"/>
      <c r="V3592" s="78" t="s">
        <v>33</v>
      </c>
      <c r="W3592" s="46" t="s">
        <v>9179</v>
      </c>
      <c r="X3592" s="282"/>
      <c r="Y3592" s="314"/>
      <c r="Z3592" s="248"/>
      <c r="AA3592" s="248"/>
      <c r="AB3592" s="248"/>
      <c r="AC3592" s="248"/>
      <c r="AD3592" s="248"/>
      <c r="AE3592" s="248"/>
      <c r="AF3592" s="248"/>
      <c r="AG3592" s="248"/>
      <c r="AH3592" s="248"/>
      <c r="AI3592" s="248"/>
      <c r="AJ3592" s="248"/>
      <c r="AK3592" s="248"/>
      <c r="AL3592" s="248"/>
      <c r="AM3592" s="248"/>
      <c r="AN3592" s="248"/>
      <c r="AO3592" s="248"/>
      <c r="AP3592" s="248"/>
      <c r="AQ3592" s="248"/>
      <c r="AR3592" s="248"/>
      <c r="AS3592" s="248"/>
      <c r="AT3592" s="248"/>
      <c r="AU3592" s="248"/>
      <c r="AV3592" s="248"/>
      <c r="AW3592" s="248"/>
      <c r="AX3592" s="248"/>
      <c r="AY3592" s="248"/>
      <c r="AZ3592" s="248"/>
      <c r="BA3592" s="248"/>
      <c r="BB3592" s="248"/>
      <c r="BC3592" s="248"/>
      <c r="BD3592" s="248"/>
      <c r="BE3592" s="248"/>
      <c r="BF3592" s="248"/>
      <c r="BG3592" s="248"/>
      <c r="BH3592" s="248"/>
      <c r="BI3592" s="248"/>
      <c r="BJ3592" s="248"/>
      <c r="BK3592" s="248"/>
      <c r="BL3592" s="248"/>
      <c r="BM3592" s="248"/>
      <c r="BN3592" s="248"/>
      <c r="BO3592" s="248"/>
      <c r="BP3592" s="248"/>
      <c r="BQ3592" s="248"/>
    </row>
    <row r="3593">
      <c r="A3593" s="78" t="s">
        <v>9181</v>
      </c>
      <c r="B3593" s="248"/>
      <c r="C3593" s="99">
        <v>44175.0</v>
      </c>
      <c r="D3593" s="248"/>
      <c r="E3593" s="78" t="s">
        <v>41</v>
      </c>
      <c r="F3593" s="37">
        <v>1.0</v>
      </c>
      <c r="G3593" s="78" t="s">
        <v>32</v>
      </c>
      <c r="H3593" s="78">
        <v>1.0</v>
      </c>
      <c r="I3593" s="78" t="s">
        <v>33</v>
      </c>
      <c r="J3593" s="78" t="s">
        <v>89</v>
      </c>
      <c r="K3593" s="248"/>
      <c r="L3593" s="106" t="s">
        <v>2316</v>
      </c>
      <c r="M3593" s="282" t="s">
        <v>9176</v>
      </c>
      <c r="N3593" s="106"/>
      <c r="O3593" s="248"/>
      <c r="P3593" s="248"/>
      <c r="Q3593" s="293"/>
      <c r="R3593" s="248"/>
      <c r="S3593" s="145"/>
      <c r="T3593" s="313"/>
      <c r="U3593" s="279"/>
      <c r="V3593" s="78" t="s">
        <v>33</v>
      </c>
      <c r="W3593" s="46" t="s">
        <v>9179</v>
      </c>
      <c r="X3593" s="282"/>
      <c r="Y3593" s="314"/>
      <c r="Z3593" s="248"/>
      <c r="AA3593" s="248"/>
      <c r="AB3593" s="248"/>
      <c r="AC3593" s="248"/>
      <c r="AD3593" s="248"/>
      <c r="AE3593" s="248"/>
      <c r="AF3593" s="248"/>
      <c r="AG3593" s="248"/>
      <c r="AH3593" s="248"/>
      <c r="AI3593" s="248"/>
      <c r="AJ3593" s="248"/>
      <c r="AK3593" s="248"/>
      <c r="AL3593" s="248"/>
      <c r="AM3593" s="248"/>
      <c r="AN3593" s="248"/>
      <c r="AO3593" s="248"/>
      <c r="AP3593" s="248"/>
      <c r="AQ3593" s="248"/>
      <c r="AR3593" s="248"/>
      <c r="AS3593" s="248"/>
      <c r="AT3593" s="248"/>
      <c r="AU3593" s="248"/>
      <c r="AV3593" s="248"/>
      <c r="AW3593" s="248"/>
      <c r="AX3593" s="248"/>
      <c r="AY3593" s="248"/>
      <c r="AZ3593" s="248"/>
      <c r="BA3593" s="248"/>
      <c r="BB3593" s="248"/>
      <c r="BC3593" s="248"/>
      <c r="BD3593" s="248"/>
      <c r="BE3593" s="248"/>
      <c r="BF3593" s="248"/>
      <c r="BG3593" s="248"/>
      <c r="BH3593" s="248"/>
      <c r="BI3593" s="248"/>
      <c r="BJ3593" s="248"/>
      <c r="BK3593" s="248"/>
      <c r="BL3593" s="248"/>
      <c r="BM3593" s="248"/>
      <c r="BN3593" s="248"/>
      <c r="BO3593" s="248"/>
      <c r="BP3593" s="248"/>
      <c r="BQ3593" s="248"/>
    </row>
    <row r="3594">
      <c r="A3594" s="78" t="s">
        <v>9182</v>
      </c>
      <c r="B3594" s="248"/>
      <c r="C3594" s="99">
        <v>44175.0</v>
      </c>
      <c r="D3594" s="248"/>
      <c r="E3594" s="78" t="s">
        <v>41</v>
      </c>
      <c r="F3594" s="37">
        <v>1.0</v>
      </c>
      <c r="G3594" s="78" t="s">
        <v>32</v>
      </c>
      <c r="H3594" s="78">
        <v>1.0</v>
      </c>
      <c r="I3594" s="78" t="s">
        <v>33</v>
      </c>
      <c r="J3594" s="78" t="s">
        <v>89</v>
      </c>
      <c r="K3594" s="248"/>
      <c r="L3594" s="106" t="s">
        <v>2316</v>
      </c>
      <c r="M3594" s="282" t="s">
        <v>9176</v>
      </c>
      <c r="N3594" s="106"/>
      <c r="O3594" s="248"/>
      <c r="P3594" s="248"/>
      <c r="Q3594" s="293"/>
      <c r="R3594" s="248"/>
      <c r="S3594" s="145"/>
      <c r="T3594" s="313"/>
      <c r="U3594" s="279"/>
      <c r="V3594" s="78" t="s">
        <v>33</v>
      </c>
      <c r="W3594" s="46" t="s">
        <v>9179</v>
      </c>
      <c r="X3594" s="282"/>
      <c r="Y3594" s="314"/>
      <c r="Z3594" s="248"/>
      <c r="AA3594" s="248"/>
      <c r="AB3594" s="248"/>
      <c r="AC3594" s="248"/>
      <c r="AD3594" s="248"/>
      <c r="AE3594" s="248"/>
      <c r="AF3594" s="248"/>
      <c r="AG3594" s="248"/>
      <c r="AH3594" s="248"/>
      <c r="AI3594" s="248"/>
      <c r="AJ3594" s="248"/>
      <c r="AK3594" s="248"/>
      <c r="AL3594" s="248"/>
      <c r="AM3594" s="248"/>
      <c r="AN3594" s="248"/>
      <c r="AO3594" s="248"/>
      <c r="AP3594" s="248"/>
      <c r="AQ3594" s="248"/>
      <c r="AR3594" s="248"/>
      <c r="AS3594" s="248"/>
      <c r="AT3594" s="248"/>
      <c r="AU3594" s="248"/>
      <c r="AV3594" s="248"/>
      <c r="AW3594" s="248"/>
      <c r="AX3594" s="248"/>
      <c r="AY3594" s="248"/>
      <c r="AZ3594" s="248"/>
      <c r="BA3594" s="248"/>
      <c r="BB3594" s="248"/>
      <c r="BC3594" s="248"/>
      <c r="BD3594" s="248"/>
      <c r="BE3594" s="248"/>
      <c r="BF3594" s="248"/>
      <c r="BG3594" s="248"/>
      <c r="BH3594" s="248"/>
      <c r="BI3594" s="248"/>
      <c r="BJ3594" s="248"/>
      <c r="BK3594" s="248"/>
      <c r="BL3594" s="248"/>
      <c r="BM3594" s="248"/>
      <c r="BN3594" s="248"/>
      <c r="BO3594" s="248"/>
      <c r="BP3594" s="248"/>
      <c r="BQ3594" s="248"/>
    </row>
    <row r="3595">
      <c r="A3595" s="78" t="s">
        <v>9183</v>
      </c>
      <c r="B3595" s="248"/>
      <c r="C3595" s="99">
        <v>44175.0</v>
      </c>
      <c r="D3595" s="248"/>
      <c r="E3595" s="78" t="s">
        <v>41</v>
      </c>
      <c r="F3595" s="37">
        <v>1.0</v>
      </c>
      <c r="G3595" s="78" t="s">
        <v>32</v>
      </c>
      <c r="H3595" s="78">
        <v>1.0</v>
      </c>
      <c r="I3595" s="78" t="s">
        <v>33</v>
      </c>
      <c r="J3595" s="78" t="s">
        <v>89</v>
      </c>
      <c r="K3595" s="248"/>
      <c r="L3595" s="106" t="s">
        <v>2316</v>
      </c>
      <c r="M3595" s="282" t="s">
        <v>9176</v>
      </c>
      <c r="N3595" s="106"/>
      <c r="O3595" s="248"/>
      <c r="P3595" s="248"/>
      <c r="Q3595" s="293"/>
      <c r="R3595" s="248"/>
      <c r="S3595" s="145"/>
      <c r="T3595" s="313"/>
      <c r="U3595" s="279"/>
      <c r="V3595" s="78" t="s">
        <v>33</v>
      </c>
      <c r="W3595" s="46" t="s">
        <v>9179</v>
      </c>
      <c r="X3595" s="282"/>
      <c r="Y3595" s="314"/>
      <c r="Z3595" s="248"/>
      <c r="AA3595" s="248"/>
      <c r="AB3595" s="248"/>
      <c r="AC3595" s="248"/>
      <c r="AD3595" s="248"/>
      <c r="AE3595" s="248"/>
      <c r="AF3595" s="248"/>
      <c r="AG3595" s="248"/>
      <c r="AH3595" s="248"/>
      <c r="AI3595" s="248"/>
      <c r="AJ3595" s="248"/>
      <c r="AK3595" s="248"/>
      <c r="AL3595" s="248"/>
      <c r="AM3595" s="248"/>
      <c r="AN3595" s="248"/>
      <c r="AO3595" s="248"/>
      <c r="AP3595" s="248"/>
      <c r="AQ3595" s="248"/>
      <c r="AR3595" s="248"/>
      <c r="AS3595" s="248"/>
      <c r="AT3595" s="248"/>
      <c r="AU3595" s="248"/>
      <c r="AV3595" s="248"/>
      <c r="AW3595" s="248"/>
      <c r="AX3595" s="248"/>
      <c r="AY3595" s="248"/>
      <c r="AZ3595" s="248"/>
      <c r="BA3595" s="248"/>
      <c r="BB3595" s="248"/>
      <c r="BC3595" s="248"/>
      <c r="BD3595" s="248"/>
      <c r="BE3595" s="248"/>
      <c r="BF3595" s="248"/>
      <c r="BG3595" s="248"/>
      <c r="BH3595" s="248"/>
      <c r="BI3595" s="248"/>
      <c r="BJ3595" s="248"/>
      <c r="BK3595" s="248"/>
      <c r="BL3595" s="248"/>
      <c r="BM3595" s="248"/>
      <c r="BN3595" s="248"/>
      <c r="BO3595" s="248"/>
      <c r="BP3595" s="248"/>
      <c r="BQ3595" s="248"/>
    </row>
    <row r="3596">
      <c r="A3596" s="78" t="s">
        <v>9184</v>
      </c>
      <c r="B3596" s="248"/>
      <c r="C3596" s="99">
        <v>44175.0</v>
      </c>
      <c r="D3596" s="248"/>
      <c r="E3596" s="78" t="s">
        <v>41</v>
      </c>
      <c r="F3596" s="37">
        <v>1.0</v>
      </c>
      <c r="G3596" s="78" t="s">
        <v>32</v>
      </c>
      <c r="H3596" s="78">
        <v>1.0</v>
      </c>
      <c r="I3596" s="78" t="s">
        <v>33</v>
      </c>
      <c r="J3596" s="78" t="s">
        <v>89</v>
      </c>
      <c r="K3596" s="248"/>
      <c r="L3596" s="106" t="s">
        <v>2316</v>
      </c>
      <c r="M3596" s="282" t="s">
        <v>9176</v>
      </c>
      <c r="N3596" s="106"/>
      <c r="O3596" s="248"/>
      <c r="P3596" s="248"/>
      <c r="Q3596" s="293"/>
      <c r="R3596" s="248"/>
      <c r="S3596" s="145"/>
      <c r="T3596" s="313"/>
      <c r="U3596" s="279"/>
      <c r="V3596" s="78" t="s">
        <v>33</v>
      </c>
      <c r="W3596" s="46" t="s">
        <v>9179</v>
      </c>
      <c r="X3596" s="282"/>
      <c r="Y3596" s="314"/>
      <c r="Z3596" s="248"/>
      <c r="AA3596" s="248"/>
      <c r="AB3596" s="248"/>
      <c r="AC3596" s="248"/>
      <c r="AD3596" s="248"/>
      <c r="AE3596" s="248"/>
      <c r="AF3596" s="248"/>
      <c r="AG3596" s="248"/>
      <c r="AH3596" s="248"/>
      <c r="AI3596" s="248"/>
      <c r="AJ3596" s="248"/>
      <c r="AK3596" s="248"/>
      <c r="AL3596" s="248"/>
      <c r="AM3596" s="248"/>
      <c r="AN3596" s="248"/>
      <c r="AO3596" s="248"/>
      <c r="AP3596" s="248"/>
      <c r="AQ3596" s="248"/>
      <c r="AR3596" s="248"/>
      <c r="AS3596" s="248"/>
      <c r="AT3596" s="248"/>
      <c r="AU3596" s="248"/>
      <c r="AV3596" s="248"/>
      <c r="AW3596" s="248"/>
      <c r="AX3596" s="248"/>
      <c r="AY3596" s="248"/>
      <c r="AZ3596" s="248"/>
      <c r="BA3596" s="248"/>
      <c r="BB3596" s="248"/>
      <c r="BC3596" s="248"/>
      <c r="BD3596" s="248"/>
      <c r="BE3596" s="248"/>
      <c r="BF3596" s="248"/>
      <c r="BG3596" s="248"/>
      <c r="BH3596" s="248"/>
      <c r="BI3596" s="248"/>
      <c r="BJ3596" s="248"/>
      <c r="BK3596" s="248"/>
      <c r="BL3596" s="248"/>
      <c r="BM3596" s="248"/>
      <c r="BN3596" s="248"/>
      <c r="BO3596" s="248"/>
      <c r="BP3596" s="248"/>
      <c r="BQ3596" s="248"/>
    </row>
    <row r="3597">
      <c r="A3597" s="78" t="s">
        <v>9185</v>
      </c>
      <c r="B3597" s="248"/>
      <c r="C3597" s="99">
        <v>44175.0</v>
      </c>
      <c r="D3597" s="248"/>
      <c r="E3597" s="78" t="s">
        <v>41</v>
      </c>
      <c r="F3597" s="37">
        <v>1.0</v>
      </c>
      <c r="G3597" s="78" t="s">
        <v>32</v>
      </c>
      <c r="H3597" s="78">
        <v>1.0</v>
      </c>
      <c r="I3597" s="78" t="s">
        <v>33</v>
      </c>
      <c r="J3597" s="78" t="s">
        <v>89</v>
      </c>
      <c r="K3597" s="248"/>
      <c r="L3597" s="106" t="s">
        <v>2316</v>
      </c>
      <c r="M3597" s="282" t="s">
        <v>9176</v>
      </c>
      <c r="N3597" s="106"/>
      <c r="O3597" s="248"/>
      <c r="P3597" s="248"/>
      <c r="Q3597" s="293"/>
      <c r="R3597" s="248"/>
      <c r="S3597" s="145"/>
      <c r="T3597" s="313"/>
      <c r="U3597" s="279"/>
      <c r="V3597" s="78" t="s">
        <v>33</v>
      </c>
      <c r="W3597" s="46" t="s">
        <v>9179</v>
      </c>
      <c r="X3597" s="282"/>
      <c r="Y3597" s="314"/>
      <c r="Z3597" s="248"/>
      <c r="AA3597" s="248"/>
      <c r="AB3597" s="248"/>
      <c r="AC3597" s="248"/>
      <c r="AD3597" s="248"/>
      <c r="AE3597" s="248"/>
      <c r="AF3597" s="248"/>
      <c r="AG3597" s="248"/>
      <c r="AH3597" s="248"/>
      <c r="AI3597" s="248"/>
      <c r="AJ3597" s="248"/>
      <c r="AK3597" s="248"/>
      <c r="AL3597" s="248"/>
      <c r="AM3597" s="248"/>
      <c r="AN3597" s="248"/>
      <c r="AO3597" s="248"/>
      <c r="AP3597" s="248"/>
      <c r="AQ3597" s="248"/>
      <c r="AR3597" s="248"/>
      <c r="AS3597" s="248"/>
      <c r="AT3597" s="248"/>
      <c r="AU3597" s="248"/>
      <c r="AV3597" s="248"/>
      <c r="AW3597" s="248"/>
      <c r="AX3597" s="248"/>
      <c r="AY3597" s="248"/>
      <c r="AZ3597" s="248"/>
      <c r="BA3597" s="248"/>
      <c r="BB3597" s="248"/>
      <c r="BC3597" s="248"/>
      <c r="BD3597" s="248"/>
      <c r="BE3597" s="248"/>
      <c r="BF3597" s="248"/>
      <c r="BG3597" s="248"/>
      <c r="BH3597" s="248"/>
      <c r="BI3597" s="248"/>
      <c r="BJ3597" s="248"/>
      <c r="BK3597" s="248"/>
      <c r="BL3597" s="248"/>
      <c r="BM3597" s="248"/>
      <c r="BN3597" s="248"/>
      <c r="BO3597" s="248"/>
      <c r="BP3597" s="248"/>
      <c r="BQ3597" s="248"/>
    </row>
    <row r="3598">
      <c r="A3598" s="78" t="s">
        <v>9186</v>
      </c>
      <c r="B3598" s="248"/>
      <c r="C3598" s="99">
        <v>44175.0</v>
      </c>
      <c r="D3598" s="248"/>
      <c r="E3598" s="78" t="s">
        <v>41</v>
      </c>
      <c r="F3598" s="37">
        <v>1.0</v>
      </c>
      <c r="G3598" s="78" t="s">
        <v>32</v>
      </c>
      <c r="H3598" s="78">
        <v>1.0</v>
      </c>
      <c r="I3598" s="78" t="s">
        <v>33</v>
      </c>
      <c r="J3598" s="78" t="s">
        <v>89</v>
      </c>
      <c r="K3598" s="248"/>
      <c r="L3598" s="106" t="s">
        <v>2316</v>
      </c>
      <c r="M3598" s="282" t="s">
        <v>9176</v>
      </c>
      <c r="N3598" s="106"/>
      <c r="O3598" s="248"/>
      <c r="P3598" s="248"/>
      <c r="Q3598" s="293"/>
      <c r="R3598" s="248"/>
      <c r="S3598" s="145"/>
      <c r="T3598" s="313"/>
      <c r="U3598" s="279"/>
      <c r="V3598" s="78" t="s">
        <v>33</v>
      </c>
      <c r="W3598" s="46" t="s">
        <v>9179</v>
      </c>
      <c r="X3598" s="282"/>
      <c r="Y3598" s="314"/>
      <c r="Z3598" s="248"/>
      <c r="AA3598" s="248"/>
      <c r="AB3598" s="248"/>
      <c r="AC3598" s="248"/>
      <c r="AD3598" s="248"/>
      <c r="AE3598" s="248"/>
      <c r="AF3598" s="248"/>
      <c r="AG3598" s="248"/>
      <c r="AH3598" s="248"/>
      <c r="AI3598" s="248"/>
      <c r="AJ3598" s="248"/>
      <c r="AK3598" s="248"/>
      <c r="AL3598" s="248"/>
      <c r="AM3598" s="248"/>
      <c r="AN3598" s="248"/>
      <c r="AO3598" s="248"/>
      <c r="AP3598" s="248"/>
      <c r="AQ3598" s="248"/>
      <c r="AR3598" s="248"/>
      <c r="AS3598" s="248"/>
      <c r="AT3598" s="248"/>
      <c r="AU3598" s="248"/>
      <c r="AV3598" s="248"/>
      <c r="AW3598" s="248"/>
      <c r="AX3598" s="248"/>
      <c r="AY3598" s="248"/>
      <c r="AZ3598" s="248"/>
      <c r="BA3598" s="248"/>
      <c r="BB3598" s="248"/>
      <c r="BC3598" s="248"/>
      <c r="BD3598" s="248"/>
      <c r="BE3598" s="248"/>
      <c r="BF3598" s="248"/>
      <c r="BG3598" s="248"/>
      <c r="BH3598" s="248"/>
      <c r="BI3598" s="248"/>
      <c r="BJ3598" s="248"/>
      <c r="BK3598" s="248"/>
      <c r="BL3598" s="248"/>
      <c r="BM3598" s="248"/>
      <c r="BN3598" s="248"/>
      <c r="BO3598" s="248"/>
      <c r="BP3598" s="248"/>
      <c r="BQ3598" s="248"/>
    </row>
    <row r="3599">
      <c r="A3599" s="78" t="s">
        <v>9187</v>
      </c>
      <c r="B3599" s="248"/>
      <c r="C3599" s="99">
        <v>44175.0</v>
      </c>
      <c r="D3599" s="248"/>
      <c r="E3599" s="78" t="s">
        <v>41</v>
      </c>
      <c r="F3599" s="37">
        <v>1.0</v>
      </c>
      <c r="G3599" s="78" t="s">
        <v>32</v>
      </c>
      <c r="H3599" s="78">
        <v>1.0</v>
      </c>
      <c r="I3599" s="78" t="s">
        <v>33</v>
      </c>
      <c r="J3599" s="78" t="s">
        <v>89</v>
      </c>
      <c r="K3599" s="248"/>
      <c r="L3599" s="106" t="s">
        <v>2316</v>
      </c>
      <c r="M3599" s="282" t="s">
        <v>9176</v>
      </c>
      <c r="N3599" s="106"/>
      <c r="O3599" s="248"/>
      <c r="P3599" s="248"/>
      <c r="Q3599" s="293"/>
      <c r="R3599" s="248"/>
      <c r="S3599" s="145"/>
      <c r="T3599" s="313"/>
      <c r="U3599" s="279"/>
      <c r="V3599" s="78" t="s">
        <v>33</v>
      </c>
      <c r="W3599" s="46" t="s">
        <v>9179</v>
      </c>
      <c r="X3599" s="282"/>
      <c r="Y3599" s="314"/>
      <c r="Z3599" s="248"/>
      <c r="AA3599" s="248"/>
      <c r="AB3599" s="248"/>
      <c r="AC3599" s="248"/>
      <c r="AD3599" s="248"/>
      <c r="AE3599" s="248"/>
      <c r="AF3599" s="248"/>
      <c r="AG3599" s="248"/>
      <c r="AH3599" s="248"/>
      <c r="AI3599" s="248"/>
      <c r="AJ3599" s="248"/>
      <c r="AK3599" s="248"/>
      <c r="AL3599" s="248"/>
      <c r="AM3599" s="248"/>
      <c r="AN3599" s="248"/>
      <c r="AO3599" s="248"/>
      <c r="AP3599" s="248"/>
      <c r="AQ3599" s="248"/>
      <c r="AR3599" s="248"/>
      <c r="AS3599" s="248"/>
      <c r="AT3599" s="248"/>
      <c r="AU3599" s="248"/>
      <c r="AV3599" s="248"/>
      <c r="AW3599" s="248"/>
      <c r="AX3599" s="248"/>
      <c r="AY3599" s="248"/>
      <c r="AZ3599" s="248"/>
      <c r="BA3599" s="248"/>
      <c r="BB3599" s="248"/>
      <c r="BC3599" s="248"/>
      <c r="BD3599" s="248"/>
      <c r="BE3599" s="248"/>
      <c r="BF3599" s="248"/>
      <c r="BG3599" s="248"/>
      <c r="BH3599" s="248"/>
      <c r="BI3599" s="248"/>
      <c r="BJ3599" s="248"/>
      <c r="BK3599" s="248"/>
      <c r="BL3599" s="248"/>
      <c r="BM3599" s="248"/>
      <c r="BN3599" s="248"/>
      <c r="BO3599" s="248"/>
      <c r="BP3599" s="248"/>
      <c r="BQ3599" s="248"/>
    </row>
    <row r="3600">
      <c r="A3600" s="78" t="s">
        <v>9188</v>
      </c>
      <c r="B3600" s="248"/>
      <c r="C3600" s="99">
        <v>44175.0</v>
      </c>
      <c r="D3600" s="248"/>
      <c r="E3600" s="78" t="s">
        <v>41</v>
      </c>
      <c r="F3600" s="37">
        <v>1.0</v>
      </c>
      <c r="G3600" s="78" t="s">
        <v>32</v>
      </c>
      <c r="H3600" s="78">
        <v>1.0</v>
      </c>
      <c r="I3600" s="78" t="s">
        <v>33</v>
      </c>
      <c r="J3600" s="78" t="s">
        <v>89</v>
      </c>
      <c r="K3600" s="248"/>
      <c r="L3600" s="106" t="s">
        <v>2316</v>
      </c>
      <c r="M3600" s="282" t="s">
        <v>9176</v>
      </c>
      <c r="N3600" s="106"/>
      <c r="O3600" s="248"/>
      <c r="P3600" s="248"/>
      <c r="Q3600" s="293"/>
      <c r="R3600" s="248"/>
      <c r="S3600" s="145"/>
      <c r="T3600" s="313"/>
      <c r="U3600" s="279"/>
      <c r="V3600" s="78" t="s">
        <v>33</v>
      </c>
      <c r="W3600" s="46" t="s">
        <v>9179</v>
      </c>
      <c r="X3600" s="282"/>
      <c r="Y3600" s="314"/>
      <c r="Z3600" s="248"/>
      <c r="AA3600" s="248"/>
      <c r="AB3600" s="248"/>
      <c r="AC3600" s="248"/>
      <c r="AD3600" s="248"/>
      <c r="AE3600" s="248"/>
      <c r="AF3600" s="248"/>
      <c r="AG3600" s="248"/>
      <c r="AH3600" s="248"/>
      <c r="AI3600" s="248"/>
      <c r="AJ3600" s="248"/>
      <c r="AK3600" s="248"/>
      <c r="AL3600" s="248"/>
      <c r="AM3600" s="248"/>
      <c r="AN3600" s="248"/>
      <c r="AO3600" s="248"/>
      <c r="AP3600" s="248"/>
      <c r="AQ3600" s="248"/>
      <c r="AR3600" s="248"/>
      <c r="AS3600" s="248"/>
      <c r="AT3600" s="248"/>
      <c r="AU3600" s="248"/>
      <c r="AV3600" s="248"/>
      <c r="AW3600" s="248"/>
      <c r="AX3600" s="248"/>
      <c r="AY3600" s="248"/>
      <c r="AZ3600" s="248"/>
      <c r="BA3600" s="248"/>
      <c r="BB3600" s="248"/>
      <c r="BC3600" s="248"/>
      <c r="BD3600" s="248"/>
      <c r="BE3600" s="248"/>
      <c r="BF3600" s="248"/>
      <c r="BG3600" s="248"/>
      <c r="BH3600" s="248"/>
      <c r="BI3600" s="248"/>
      <c r="BJ3600" s="248"/>
      <c r="BK3600" s="248"/>
      <c r="BL3600" s="248"/>
      <c r="BM3600" s="248"/>
      <c r="BN3600" s="248"/>
      <c r="BO3600" s="248"/>
      <c r="BP3600" s="248"/>
      <c r="BQ3600" s="248"/>
    </row>
    <row r="3601">
      <c r="A3601" s="78" t="s">
        <v>9189</v>
      </c>
      <c r="B3601" s="248"/>
      <c r="C3601" s="99">
        <v>44175.0</v>
      </c>
      <c r="D3601" s="248"/>
      <c r="E3601" s="78" t="s">
        <v>41</v>
      </c>
      <c r="F3601" s="37">
        <v>1.0</v>
      </c>
      <c r="G3601" s="78" t="s">
        <v>32</v>
      </c>
      <c r="H3601" s="78">
        <v>1.0</v>
      </c>
      <c r="I3601" s="78" t="s">
        <v>33</v>
      </c>
      <c r="J3601" s="78" t="s">
        <v>89</v>
      </c>
      <c r="K3601" s="248"/>
      <c r="L3601" s="106" t="s">
        <v>2316</v>
      </c>
      <c r="M3601" s="282" t="s">
        <v>9176</v>
      </c>
      <c r="N3601" s="106"/>
      <c r="O3601" s="248"/>
      <c r="P3601" s="248"/>
      <c r="Q3601" s="293"/>
      <c r="R3601" s="248"/>
      <c r="S3601" s="145"/>
      <c r="T3601" s="313"/>
      <c r="U3601" s="279"/>
      <c r="V3601" s="78" t="s">
        <v>33</v>
      </c>
      <c r="W3601" s="46" t="s">
        <v>9179</v>
      </c>
      <c r="X3601" s="282"/>
      <c r="Y3601" s="314"/>
      <c r="Z3601" s="248"/>
      <c r="AA3601" s="248"/>
      <c r="AB3601" s="248"/>
      <c r="AC3601" s="248"/>
      <c r="AD3601" s="248"/>
      <c r="AE3601" s="248"/>
      <c r="AF3601" s="248"/>
      <c r="AG3601" s="248"/>
      <c r="AH3601" s="248"/>
      <c r="AI3601" s="248"/>
      <c r="AJ3601" s="248"/>
      <c r="AK3601" s="248"/>
      <c r="AL3601" s="248"/>
      <c r="AM3601" s="248"/>
      <c r="AN3601" s="248"/>
      <c r="AO3601" s="248"/>
      <c r="AP3601" s="248"/>
      <c r="AQ3601" s="248"/>
      <c r="AR3601" s="248"/>
      <c r="AS3601" s="248"/>
      <c r="AT3601" s="248"/>
      <c r="AU3601" s="248"/>
      <c r="AV3601" s="248"/>
      <c r="AW3601" s="248"/>
      <c r="AX3601" s="248"/>
      <c r="AY3601" s="248"/>
      <c r="AZ3601" s="248"/>
      <c r="BA3601" s="248"/>
      <c r="BB3601" s="248"/>
      <c r="BC3601" s="248"/>
      <c r="BD3601" s="248"/>
      <c r="BE3601" s="248"/>
      <c r="BF3601" s="248"/>
      <c r="BG3601" s="248"/>
      <c r="BH3601" s="248"/>
      <c r="BI3601" s="248"/>
      <c r="BJ3601" s="248"/>
      <c r="BK3601" s="248"/>
      <c r="BL3601" s="248"/>
      <c r="BM3601" s="248"/>
      <c r="BN3601" s="248"/>
      <c r="BO3601" s="248"/>
      <c r="BP3601" s="248"/>
      <c r="BQ3601" s="248"/>
    </row>
    <row r="3602">
      <c r="A3602" s="78" t="s">
        <v>9190</v>
      </c>
      <c r="B3602" s="248"/>
      <c r="C3602" s="99">
        <v>44175.0</v>
      </c>
      <c r="D3602" s="248"/>
      <c r="E3602" s="78" t="s">
        <v>41</v>
      </c>
      <c r="F3602" s="37">
        <v>1.0</v>
      </c>
      <c r="G3602" s="78" t="s">
        <v>32</v>
      </c>
      <c r="H3602" s="78">
        <v>1.0</v>
      </c>
      <c r="I3602" s="78" t="s">
        <v>33</v>
      </c>
      <c r="J3602" s="78" t="s">
        <v>89</v>
      </c>
      <c r="K3602" s="248"/>
      <c r="L3602" s="106" t="s">
        <v>2316</v>
      </c>
      <c r="M3602" s="282" t="s">
        <v>9176</v>
      </c>
      <c r="N3602" s="106"/>
      <c r="O3602" s="248"/>
      <c r="P3602" s="248"/>
      <c r="Q3602" s="293"/>
      <c r="R3602" s="248"/>
      <c r="S3602" s="145"/>
      <c r="T3602" s="313"/>
      <c r="U3602" s="279"/>
      <c r="V3602" s="78" t="s">
        <v>33</v>
      </c>
      <c r="W3602" s="46" t="s">
        <v>9179</v>
      </c>
      <c r="X3602" s="282"/>
      <c r="Y3602" s="314"/>
      <c r="Z3602" s="248"/>
      <c r="AA3602" s="248"/>
      <c r="AB3602" s="248"/>
      <c r="AC3602" s="248"/>
      <c r="AD3602" s="248"/>
      <c r="AE3602" s="248"/>
      <c r="AF3602" s="248"/>
      <c r="AG3602" s="248"/>
      <c r="AH3602" s="248"/>
      <c r="AI3602" s="248"/>
      <c r="AJ3602" s="248"/>
      <c r="AK3602" s="248"/>
      <c r="AL3602" s="248"/>
      <c r="AM3602" s="248"/>
      <c r="AN3602" s="248"/>
      <c r="AO3602" s="248"/>
      <c r="AP3602" s="248"/>
      <c r="AQ3602" s="248"/>
      <c r="AR3602" s="248"/>
      <c r="AS3602" s="248"/>
      <c r="AT3602" s="248"/>
      <c r="AU3602" s="248"/>
      <c r="AV3602" s="248"/>
      <c r="AW3602" s="248"/>
      <c r="AX3602" s="248"/>
      <c r="AY3602" s="248"/>
      <c r="AZ3602" s="248"/>
      <c r="BA3602" s="248"/>
      <c r="BB3602" s="248"/>
      <c r="BC3602" s="248"/>
      <c r="BD3602" s="248"/>
      <c r="BE3602" s="248"/>
      <c r="BF3602" s="248"/>
      <c r="BG3602" s="248"/>
      <c r="BH3602" s="248"/>
      <c r="BI3602" s="248"/>
      <c r="BJ3602" s="248"/>
      <c r="BK3602" s="248"/>
      <c r="BL3602" s="248"/>
      <c r="BM3602" s="248"/>
      <c r="BN3602" s="248"/>
      <c r="BO3602" s="248"/>
      <c r="BP3602" s="248"/>
      <c r="BQ3602" s="248"/>
    </row>
    <row r="3603">
      <c r="A3603" s="78" t="s">
        <v>9191</v>
      </c>
      <c r="B3603" s="248"/>
      <c r="C3603" s="99">
        <v>44175.0</v>
      </c>
      <c r="D3603" s="248"/>
      <c r="E3603" s="78" t="s">
        <v>41</v>
      </c>
      <c r="F3603" s="37">
        <v>1.0</v>
      </c>
      <c r="G3603" s="78" t="s">
        <v>32</v>
      </c>
      <c r="H3603" s="78">
        <v>1.0</v>
      </c>
      <c r="I3603" s="78" t="s">
        <v>33</v>
      </c>
      <c r="J3603" s="78" t="s">
        <v>89</v>
      </c>
      <c r="K3603" s="248"/>
      <c r="L3603" s="106" t="s">
        <v>2316</v>
      </c>
      <c r="M3603" s="282" t="s">
        <v>9176</v>
      </c>
      <c r="N3603" s="106"/>
      <c r="O3603" s="248"/>
      <c r="P3603" s="248"/>
      <c r="Q3603" s="293"/>
      <c r="R3603" s="248"/>
      <c r="S3603" s="145"/>
      <c r="T3603" s="313"/>
      <c r="U3603" s="279"/>
      <c r="V3603" s="78" t="s">
        <v>33</v>
      </c>
      <c r="W3603" s="46" t="s">
        <v>9179</v>
      </c>
      <c r="X3603" s="282"/>
      <c r="Y3603" s="314"/>
      <c r="Z3603" s="248"/>
      <c r="AA3603" s="248"/>
      <c r="AB3603" s="248"/>
      <c r="AC3603" s="248"/>
      <c r="AD3603" s="248"/>
      <c r="AE3603" s="248"/>
      <c r="AF3603" s="248"/>
      <c r="AG3603" s="248"/>
      <c r="AH3603" s="248"/>
      <c r="AI3603" s="248"/>
      <c r="AJ3603" s="248"/>
      <c r="AK3603" s="248"/>
      <c r="AL3603" s="248"/>
      <c r="AM3603" s="248"/>
      <c r="AN3603" s="248"/>
      <c r="AO3603" s="248"/>
      <c r="AP3603" s="248"/>
      <c r="AQ3603" s="248"/>
      <c r="AR3603" s="248"/>
      <c r="AS3603" s="248"/>
      <c r="AT3603" s="248"/>
      <c r="AU3603" s="248"/>
      <c r="AV3603" s="248"/>
      <c r="AW3603" s="248"/>
      <c r="AX3603" s="248"/>
      <c r="AY3603" s="248"/>
      <c r="AZ3603" s="248"/>
      <c r="BA3603" s="248"/>
      <c r="BB3603" s="248"/>
      <c r="BC3603" s="248"/>
      <c r="BD3603" s="248"/>
      <c r="BE3603" s="248"/>
      <c r="BF3603" s="248"/>
      <c r="BG3603" s="248"/>
      <c r="BH3603" s="248"/>
      <c r="BI3603" s="248"/>
      <c r="BJ3603" s="248"/>
      <c r="BK3603" s="248"/>
      <c r="BL3603" s="248"/>
      <c r="BM3603" s="248"/>
      <c r="BN3603" s="248"/>
      <c r="BO3603" s="248"/>
      <c r="BP3603" s="248"/>
      <c r="BQ3603" s="248"/>
    </row>
    <row r="3604">
      <c r="A3604" s="78" t="s">
        <v>9192</v>
      </c>
      <c r="B3604" s="248"/>
      <c r="C3604" s="99">
        <v>44176.0</v>
      </c>
      <c r="D3604" s="248"/>
      <c r="E3604" s="78" t="s">
        <v>41</v>
      </c>
      <c r="F3604" s="37">
        <v>2.0</v>
      </c>
      <c r="G3604" s="78" t="s">
        <v>32</v>
      </c>
      <c r="H3604" s="78">
        <v>1.0</v>
      </c>
      <c r="I3604" s="78" t="s">
        <v>33</v>
      </c>
      <c r="J3604" s="78" t="s">
        <v>93</v>
      </c>
      <c r="K3604" s="248"/>
      <c r="L3604" s="106" t="s">
        <v>194</v>
      </c>
      <c r="M3604" s="282" t="s">
        <v>9193</v>
      </c>
      <c r="N3604" s="106"/>
      <c r="O3604" s="248"/>
      <c r="P3604" s="248"/>
      <c r="Q3604" s="293"/>
      <c r="R3604" s="248"/>
      <c r="S3604" s="145"/>
      <c r="T3604" s="313"/>
      <c r="U3604" s="279"/>
      <c r="V3604" s="78" t="s">
        <v>9194</v>
      </c>
      <c r="W3604" s="106"/>
      <c r="X3604" s="282"/>
      <c r="Y3604" s="314"/>
      <c r="Z3604" s="248"/>
      <c r="AA3604" s="248"/>
      <c r="AB3604" s="248"/>
      <c r="AC3604" s="248"/>
      <c r="AD3604" s="248"/>
      <c r="AE3604" s="248"/>
      <c r="AF3604" s="248"/>
      <c r="AG3604" s="248"/>
      <c r="AH3604" s="248"/>
      <c r="AI3604" s="248"/>
      <c r="AJ3604" s="248"/>
      <c r="AK3604" s="248"/>
      <c r="AL3604" s="248"/>
      <c r="AM3604" s="248"/>
      <c r="AN3604" s="248"/>
      <c r="AO3604" s="248"/>
      <c r="AP3604" s="248"/>
      <c r="AQ3604" s="248"/>
      <c r="AR3604" s="248"/>
      <c r="AS3604" s="248"/>
      <c r="AT3604" s="248"/>
      <c r="AU3604" s="248"/>
      <c r="AV3604" s="248"/>
      <c r="AW3604" s="248"/>
      <c r="AX3604" s="248"/>
      <c r="AY3604" s="248"/>
      <c r="AZ3604" s="248"/>
      <c r="BA3604" s="248"/>
      <c r="BB3604" s="248"/>
      <c r="BC3604" s="248"/>
      <c r="BD3604" s="248"/>
      <c r="BE3604" s="248"/>
      <c r="BF3604" s="248"/>
      <c r="BG3604" s="248"/>
      <c r="BH3604" s="248"/>
      <c r="BI3604" s="248"/>
      <c r="BJ3604" s="248"/>
      <c r="BK3604" s="248"/>
      <c r="BL3604" s="248"/>
      <c r="BM3604" s="248"/>
      <c r="BN3604" s="248"/>
      <c r="BO3604" s="248"/>
      <c r="BP3604" s="248"/>
      <c r="BQ3604" s="248"/>
    </row>
    <row r="3605">
      <c r="A3605" s="78" t="s">
        <v>239</v>
      </c>
      <c r="B3605" s="248"/>
      <c r="C3605" s="99">
        <v>44176.0</v>
      </c>
      <c r="D3605" s="248"/>
      <c r="E3605" s="78" t="s">
        <v>41</v>
      </c>
      <c r="F3605" s="37">
        <v>3.0</v>
      </c>
      <c r="G3605" s="78" t="s">
        <v>32</v>
      </c>
      <c r="H3605" s="78">
        <v>1.0</v>
      </c>
      <c r="I3605" s="78" t="s">
        <v>33</v>
      </c>
      <c r="J3605" s="78" t="s">
        <v>111</v>
      </c>
      <c r="K3605" s="248"/>
      <c r="L3605" s="106" t="s">
        <v>194</v>
      </c>
      <c r="M3605" s="282" t="s">
        <v>9195</v>
      </c>
      <c r="N3605" s="106"/>
      <c r="O3605" s="248"/>
      <c r="P3605" s="248"/>
      <c r="Q3605" s="293"/>
      <c r="R3605" s="248"/>
      <c r="S3605" s="145"/>
      <c r="T3605" s="313"/>
      <c r="U3605" s="279"/>
      <c r="V3605" s="78" t="s">
        <v>33</v>
      </c>
      <c r="W3605" s="106"/>
      <c r="X3605" s="282"/>
      <c r="Y3605" s="314"/>
      <c r="Z3605" s="248"/>
      <c r="AA3605" s="248"/>
      <c r="AB3605" s="248"/>
      <c r="AC3605" s="248"/>
      <c r="AD3605" s="248"/>
      <c r="AE3605" s="248"/>
      <c r="AF3605" s="248"/>
      <c r="AG3605" s="248"/>
      <c r="AH3605" s="248"/>
      <c r="AI3605" s="248"/>
      <c r="AJ3605" s="248"/>
      <c r="AK3605" s="248"/>
      <c r="AL3605" s="248"/>
      <c r="AM3605" s="248"/>
      <c r="AN3605" s="248"/>
      <c r="AO3605" s="248"/>
      <c r="AP3605" s="248"/>
      <c r="AQ3605" s="248"/>
      <c r="AR3605" s="248"/>
      <c r="AS3605" s="248"/>
      <c r="AT3605" s="248"/>
      <c r="AU3605" s="248"/>
      <c r="AV3605" s="248"/>
      <c r="AW3605" s="248"/>
      <c r="AX3605" s="248"/>
      <c r="AY3605" s="248"/>
      <c r="AZ3605" s="248"/>
      <c r="BA3605" s="248"/>
      <c r="BB3605" s="248"/>
      <c r="BC3605" s="248"/>
      <c r="BD3605" s="248"/>
      <c r="BE3605" s="248"/>
      <c r="BF3605" s="248"/>
      <c r="BG3605" s="248"/>
      <c r="BH3605" s="248"/>
      <c r="BI3605" s="248"/>
      <c r="BJ3605" s="248"/>
      <c r="BK3605" s="248"/>
      <c r="BL3605" s="248"/>
      <c r="BM3605" s="248"/>
      <c r="BN3605" s="248"/>
      <c r="BO3605" s="248"/>
      <c r="BP3605" s="248"/>
      <c r="BQ3605" s="248"/>
    </row>
    <row r="3606">
      <c r="A3606" s="78" t="s">
        <v>7940</v>
      </c>
      <c r="B3606" s="248"/>
      <c r="C3606" s="99">
        <v>44176.0</v>
      </c>
      <c r="D3606" s="248"/>
      <c r="E3606" s="78" t="s">
        <v>41</v>
      </c>
      <c r="F3606" s="37">
        <v>1.0</v>
      </c>
      <c r="G3606" s="78" t="s">
        <v>32</v>
      </c>
      <c r="H3606" s="78">
        <v>1.0</v>
      </c>
      <c r="I3606" s="78" t="s">
        <v>33</v>
      </c>
      <c r="J3606" s="78" t="s">
        <v>203</v>
      </c>
      <c r="K3606" s="248"/>
      <c r="L3606" s="106" t="s">
        <v>119</v>
      </c>
      <c r="M3606" s="282" t="s">
        <v>7942</v>
      </c>
      <c r="N3606" s="106"/>
      <c r="O3606" s="248"/>
      <c r="P3606" s="248"/>
      <c r="Q3606" s="293"/>
      <c r="R3606" s="248"/>
      <c r="S3606" s="145"/>
      <c r="T3606" s="313"/>
      <c r="U3606" s="279"/>
      <c r="V3606" s="78" t="s">
        <v>33</v>
      </c>
      <c r="W3606" s="106"/>
      <c r="X3606" s="282"/>
      <c r="Y3606" s="314"/>
      <c r="Z3606" s="248"/>
      <c r="AA3606" s="248"/>
      <c r="AB3606" s="248"/>
      <c r="AC3606" s="248"/>
      <c r="AD3606" s="248"/>
      <c r="AE3606" s="248"/>
      <c r="AF3606" s="248"/>
      <c r="AG3606" s="248"/>
      <c r="AH3606" s="248"/>
      <c r="AI3606" s="248"/>
      <c r="AJ3606" s="248"/>
      <c r="AK3606" s="248"/>
      <c r="AL3606" s="248"/>
      <c r="AM3606" s="248"/>
      <c r="AN3606" s="248"/>
      <c r="AO3606" s="248"/>
      <c r="AP3606" s="248"/>
      <c r="AQ3606" s="248"/>
      <c r="AR3606" s="248"/>
      <c r="AS3606" s="248"/>
      <c r="AT3606" s="248"/>
      <c r="AU3606" s="248"/>
      <c r="AV3606" s="248"/>
      <c r="AW3606" s="248"/>
      <c r="AX3606" s="248"/>
      <c r="AY3606" s="248"/>
      <c r="AZ3606" s="248"/>
      <c r="BA3606" s="248"/>
      <c r="BB3606" s="248"/>
      <c r="BC3606" s="248"/>
      <c r="BD3606" s="248"/>
      <c r="BE3606" s="248"/>
      <c r="BF3606" s="248"/>
      <c r="BG3606" s="248"/>
      <c r="BH3606" s="248"/>
      <c r="BI3606" s="248"/>
      <c r="BJ3606" s="248"/>
      <c r="BK3606" s="248"/>
      <c r="BL3606" s="248"/>
      <c r="BM3606" s="248"/>
      <c r="BN3606" s="248"/>
      <c r="BO3606" s="248"/>
      <c r="BP3606" s="248"/>
      <c r="BQ3606" s="248"/>
    </row>
    <row r="3607">
      <c r="A3607" s="78" t="s">
        <v>9196</v>
      </c>
      <c r="B3607" s="248"/>
      <c r="C3607" s="99">
        <v>44176.0</v>
      </c>
      <c r="D3607" s="248"/>
      <c r="E3607" s="78" t="s">
        <v>41</v>
      </c>
      <c r="F3607" s="37">
        <v>1.0</v>
      </c>
      <c r="G3607" s="78">
        <v>29.0</v>
      </c>
      <c r="H3607" s="78">
        <v>29.0</v>
      </c>
      <c r="I3607" s="78" t="s">
        <v>33</v>
      </c>
      <c r="J3607" s="78" t="s">
        <v>115</v>
      </c>
      <c r="K3607" s="248"/>
      <c r="L3607" s="106" t="s">
        <v>76</v>
      </c>
      <c r="M3607" s="282" t="s">
        <v>9197</v>
      </c>
      <c r="N3607" s="46" t="s">
        <v>9198</v>
      </c>
      <c r="O3607" s="248"/>
      <c r="P3607" s="248"/>
      <c r="Q3607" s="293"/>
      <c r="R3607" s="248"/>
      <c r="S3607" s="145"/>
      <c r="T3607" s="313"/>
      <c r="U3607" s="279"/>
      <c r="V3607" s="78" t="s">
        <v>33</v>
      </c>
      <c r="W3607" s="46" t="s">
        <v>9199</v>
      </c>
      <c r="X3607" s="282" t="s">
        <v>9200</v>
      </c>
      <c r="Y3607" s="314"/>
      <c r="Z3607" s="248"/>
      <c r="AA3607" s="248"/>
      <c r="AB3607" s="248"/>
      <c r="AC3607" s="248"/>
      <c r="AD3607" s="248"/>
      <c r="AE3607" s="248"/>
      <c r="AF3607" s="248"/>
      <c r="AG3607" s="248"/>
      <c r="AH3607" s="248"/>
      <c r="AI3607" s="248"/>
      <c r="AJ3607" s="248"/>
      <c r="AK3607" s="248"/>
      <c r="AL3607" s="248"/>
      <c r="AM3607" s="248"/>
      <c r="AN3607" s="248"/>
      <c r="AO3607" s="248"/>
      <c r="AP3607" s="248"/>
      <c r="AQ3607" s="248"/>
      <c r="AR3607" s="248"/>
      <c r="AS3607" s="248"/>
      <c r="AT3607" s="248"/>
      <c r="AU3607" s="248"/>
      <c r="AV3607" s="248"/>
      <c r="AW3607" s="248"/>
      <c r="AX3607" s="248"/>
      <c r="AY3607" s="248"/>
      <c r="AZ3607" s="248"/>
      <c r="BA3607" s="248"/>
      <c r="BB3607" s="248"/>
      <c r="BC3607" s="248"/>
      <c r="BD3607" s="248"/>
      <c r="BE3607" s="248"/>
      <c r="BF3607" s="248"/>
      <c r="BG3607" s="248"/>
      <c r="BH3607" s="248"/>
      <c r="BI3607" s="248"/>
      <c r="BJ3607" s="248"/>
      <c r="BK3607" s="248"/>
      <c r="BL3607" s="248"/>
      <c r="BM3607" s="248"/>
      <c r="BN3607" s="248"/>
      <c r="BO3607" s="248"/>
      <c r="BP3607" s="248"/>
      <c r="BQ3607" s="248"/>
    </row>
    <row r="3608">
      <c r="A3608" s="78" t="s">
        <v>9201</v>
      </c>
      <c r="B3608" s="248"/>
      <c r="C3608" s="99">
        <v>44176.0</v>
      </c>
      <c r="D3608" s="248"/>
      <c r="E3608" s="78" t="s">
        <v>41</v>
      </c>
      <c r="F3608" s="37">
        <v>1.0</v>
      </c>
      <c r="G3608" s="78" t="s">
        <v>32</v>
      </c>
      <c r="H3608" s="78">
        <v>1.0</v>
      </c>
      <c r="I3608" s="78" t="s">
        <v>33</v>
      </c>
      <c r="J3608" s="78" t="s">
        <v>440</v>
      </c>
      <c r="K3608" s="248"/>
      <c r="L3608" s="106" t="s">
        <v>69</v>
      </c>
      <c r="M3608" s="282" t="s">
        <v>9202</v>
      </c>
      <c r="N3608" s="106"/>
      <c r="O3608" s="248"/>
      <c r="P3608" s="248"/>
      <c r="Q3608" s="293"/>
      <c r="R3608" s="248"/>
      <c r="S3608" s="145"/>
      <c r="T3608" s="313"/>
      <c r="U3608" s="279"/>
      <c r="V3608" s="78" t="s">
        <v>33</v>
      </c>
      <c r="W3608" s="106"/>
      <c r="X3608" s="282"/>
      <c r="Y3608" s="314"/>
      <c r="Z3608" s="248"/>
      <c r="AA3608" s="248"/>
      <c r="AB3608" s="248"/>
      <c r="AC3608" s="248"/>
      <c r="AD3608" s="248"/>
      <c r="AE3608" s="248"/>
      <c r="AF3608" s="248"/>
      <c r="AG3608" s="248"/>
      <c r="AH3608" s="248"/>
      <c r="AI3608" s="248"/>
      <c r="AJ3608" s="248"/>
      <c r="AK3608" s="248"/>
      <c r="AL3608" s="248"/>
      <c r="AM3608" s="248"/>
      <c r="AN3608" s="248"/>
      <c r="AO3608" s="248"/>
      <c r="AP3608" s="248"/>
      <c r="AQ3608" s="248"/>
      <c r="AR3608" s="248"/>
      <c r="AS3608" s="248"/>
      <c r="AT3608" s="248"/>
      <c r="AU3608" s="248"/>
      <c r="AV3608" s="248"/>
      <c r="AW3608" s="248"/>
      <c r="AX3608" s="248"/>
      <c r="AY3608" s="248"/>
      <c r="AZ3608" s="248"/>
      <c r="BA3608" s="248"/>
      <c r="BB3608" s="248"/>
      <c r="BC3608" s="248"/>
      <c r="BD3608" s="248"/>
      <c r="BE3608" s="248"/>
      <c r="BF3608" s="248"/>
      <c r="BG3608" s="248"/>
      <c r="BH3608" s="248"/>
      <c r="BI3608" s="248"/>
      <c r="BJ3608" s="248"/>
      <c r="BK3608" s="248"/>
      <c r="BL3608" s="248"/>
      <c r="BM3608" s="248"/>
      <c r="BN3608" s="248"/>
      <c r="BO3608" s="248"/>
      <c r="BP3608" s="248"/>
      <c r="BQ3608" s="248"/>
    </row>
    <row r="3609">
      <c r="A3609" s="78" t="s">
        <v>239</v>
      </c>
      <c r="B3609" s="248"/>
      <c r="C3609" s="99">
        <v>44179.0</v>
      </c>
      <c r="D3609" s="248"/>
      <c r="E3609" s="78" t="s">
        <v>41</v>
      </c>
      <c r="F3609" s="37">
        <v>3.0</v>
      </c>
      <c r="G3609" s="78" t="s">
        <v>32</v>
      </c>
      <c r="H3609" s="78">
        <v>1.0</v>
      </c>
      <c r="I3609" s="78" t="s">
        <v>33</v>
      </c>
      <c r="J3609" s="78" t="s">
        <v>111</v>
      </c>
      <c r="K3609" s="248"/>
      <c r="L3609" s="106" t="s">
        <v>194</v>
      </c>
      <c r="M3609" s="282" t="s">
        <v>9203</v>
      </c>
      <c r="N3609" s="106"/>
      <c r="O3609" s="248"/>
      <c r="P3609" s="248"/>
      <c r="Q3609" s="293"/>
      <c r="R3609" s="248"/>
      <c r="S3609" s="145"/>
      <c r="T3609" s="313"/>
      <c r="U3609" s="279"/>
      <c r="V3609" s="78" t="s">
        <v>33</v>
      </c>
      <c r="W3609" s="106"/>
      <c r="X3609" s="282"/>
      <c r="Y3609" s="314"/>
      <c r="Z3609" s="248"/>
      <c r="AA3609" s="248"/>
      <c r="AB3609" s="248"/>
      <c r="AC3609" s="248"/>
      <c r="AD3609" s="248"/>
      <c r="AE3609" s="248"/>
      <c r="AF3609" s="248"/>
      <c r="AG3609" s="248"/>
      <c r="AH3609" s="248"/>
      <c r="AI3609" s="248"/>
      <c r="AJ3609" s="248"/>
      <c r="AK3609" s="248"/>
      <c r="AL3609" s="248"/>
      <c r="AM3609" s="248"/>
      <c r="AN3609" s="248"/>
      <c r="AO3609" s="248"/>
      <c r="AP3609" s="248"/>
      <c r="AQ3609" s="248"/>
      <c r="AR3609" s="248"/>
      <c r="AS3609" s="248"/>
      <c r="AT3609" s="248"/>
      <c r="AU3609" s="248"/>
      <c r="AV3609" s="248"/>
      <c r="AW3609" s="248"/>
      <c r="AX3609" s="248"/>
      <c r="AY3609" s="248"/>
      <c r="AZ3609" s="248"/>
      <c r="BA3609" s="248"/>
      <c r="BB3609" s="248"/>
      <c r="BC3609" s="248"/>
      <c r="BD3609" s="248"/>
      <c r="BE3609" s="248"/>
      <c r="BF3609" s="248"/>
      <c r="BG3609" s="248"/>
      <c r="BH3609" s="248"/>
      <c r="BI3609" s="248"/>
      <c r="BJ3609" s="248"/>
      <c r="BK3609" s="248"/>
      <c r="BL3609" s="248"/>
      <c r="BM3609" s="248"/>
      <c r="BN3609" s="248"/>
      <c r="BO3609" s="248"/>
      <c r="BP3609" s="248"/>
      <c r="BQ3609" s="248"/>
    </row>
    <row r="3610">
      <c r="A3610" s="78" t="s">
        <v>9204</v>
      </c>
      <c r="B3610" s="248"/>
      <c r="C3610" s="99">
        <v>44179.0</v>
      </c>
      <c r="D3610" s="248"/>
      <c r="E3610" s="78" t="s">
        <v>31</v>
      </c>
      <c r="F3610" s="37">
        <v>1.0</v>
      </c>
      <c r="G3610" s="78" t="s">
        <v>32</v>
      </c>
      <c r="H3610" s="78">
        <v>1.0</v>
      </c>
      <c r="I3610" s="78" t="s">
        <v>33</v>
      </c>
      <c r="J3610" s="78" t="s">
        <v>241</v>
      </c>
      <c r="K3610" s="248"/>
      <c r="L3610" s="106" t="s">
        <v>2316</v>
      </c>
      <c r="M3610" s="282" t="s">
        <v>9205</v>
      </c>
      <c r="N3610" s="106"/>
      <c r="O3610" s="248"/>
      <c r="P3610" s="248"/>
      <c r="Q3610" s="293"/>
      <c r="R3610" s="248"/>
      <c r="S3610" s="145"/>
      <c r="T3610" s="313"/>
      <c r="U3610" s="279"/>
      <c r="V3610" s="78" t="s">
        <v>33</v>
      </c>
      <c r="W3610" s="46" t="s">
        <v>9206</v>
      </c>
      <c r="X3610" s="282" t="s">
        <v>9207</v>
      </c>
      <c r="Y3610" s="314"/>
      <c r="Z3610" s="248"/>
      <c r="AA3610" s="248"/>
      <c r="AB3610" s="248"/>
      <c r="AC3610" s="248"/>
      <c r="AD3610" s="248"/>
      <c r="AE3610" s="248"/>
      <c r="AF3610" s="248"/>
      <c r="AG3610" s="248"/>
      <c r="AH3610" s="248"/>
      <c r="AI3610" s="248"/>
      <c r="AJ3610" s="248"/>
      <c r="AK3610" s="248"/>
      <c r="AL3610" s="248"/>
      <c r="AM3610" s="248"/>
      <c r="AN3610" s="248"/>
      <c r="AO3610" s="248"/>
      <c r="AP3610" s="248"/>
      <c r="AQ3610" s="248"/>
      <c r="AR3610" s="248"/>
      <c r="AS3610" s="248"/>
      <c r="AT3610" s="248"/>
      <c r="AU3610" s="248"/>
      <c r="AV3610" s="248"/>
      <c r="AW3610" s="248"/>
      <c r="AX3610" s="248"/>
      <c r="AY3610" s="248"/>
      <c r="AZ3610" s="248"/>
      <c r="BA3610" s="248"/>
      <c r="BB3610" s="248"/>
      <c r="BC3610" s="248"/>
      <c r="BD3610" s="248"/>
      <c r="BE3610" s="248"/>
      <c r="BF3610" s="248"/>
      <c r="BG3610" s="248"/>
      <c r="BH3610" s="248"/>
      <c r="BI3610" s="248"/>
      <c r="BJ3610" s="248"/>
      <c r="BK3610" s="248"/>
      <c r="BL3610" s="248"/>
      <c r="BM3610" s="248"/>
      <c r="BN3610" s="248"/>
      <c r="BO3610" s="248"/>
      <c r="BP3610" s="248"/>
      <c r="BQ3610" s="248"/>
    </row>
    <row r="3611">
      <c r="A3611" s="78" t="s">
        <v>9208</v>
      </c>
      <c r="B3611" s="248"/>
      <c r="C3611" s="99">
        <v>44179.0</v>
      </c>
      <c r="D3611" s="248"/>
      <c r="E3611" s="78" t="s">
        <v>31</v>
      </c>
      <c r="F3611" s="37">
        <v>1.0</v>
      </c>
      <c r="G3611" s="78" t="s">
        <v>32</v>
      </c>
      <c r="H3611" s="78">
        <v>1.0</v>
      </c>
      <c r="I3611" s="78" t="s">
        <v>33</v>
      </c>
      <c r="J3611" s="78" t="s">
        <v>241</v>
      </c>
      <c r="K3611" s="248"/>
      <c r="L3611" s="106" t="s">
        <v>2316</v>
      </c>
      <c r="M3611" s="282" t="s">
        <v>9205</v>
      </c>
      <c r="N3611" s="106"/>
      <c r="O3611" s="248"/>
      <c r="P3611" s="248"/>
      <c r="Q3611" s="293"/>
      <c r="R3611" s="248"/>
      <c r="S3611" s="145"/>
      <c r="T3611" s="313"/>
      <c r="U3611" s="279"/>
      <c r="V3611" s="78" t="s">
        <v>33</v>
      </c>
      <c r="W3611" s="46" t="s">
        <v>9209</v>
      </c>
      <c r="X3611" s="282" t="s">
        <v>9207</v>
      </c>
      <c r="Y3611" s="314"/>
      <c r="Z3611" s="248"/>
      <c r="AA3611" s="248"/>
      <c r="AB3611" s="248"/>
      <c r="AC3611" s="248"/>
      <c r="AD3611" s="248"/>
      <c r="AE3611" s="248"/>
      <c r="AF3611" s="248"/>
      <c r="AG3611" s="248"/>
      <c r="AH3611" s="248"/>
      <c r="AI3611" s="248"/>
      <c r="AJ3611" s="248"/>
      <c r="AK3611" s="248"/>
      <c r="AL3611" s="248"/>
      <c r="AM3611" s="248"/>
      <c r="AN3611" s="248"/>
      <c r="AO3611" s="248"/>
      <c r="AP3611" s="248"/>
      <c r="AQ3611" s="248"/>
      <c r="AR3611" s="248"/>
      <c r="AS3611" s="248"/>
      <c r="AT3611" s="248"/>
      <c r="AU3611" s="248"/>
      <c r="AV3611" s="248"/>
      <c r="AW3611" s="248"/>
      <c r="AX3611" s="248"/>
      <c r="AY3611" s="248"/>
      <c r="AZ3611" s="248"/>
      <c r="BA3611" s="248"/>
      <c r="BB3611" s="248"/>
      <c r="BC3611" s="248"/>
      <c r="BD3611" s="248"/>
      <c r="BE3611" s="248"/>
      <c r="BF3611" s="248"/>
      <c r="BG3611" s="248"/>
      <c r="BH3611" s="248"/>
      <c r="BI3611" s="248"/>
      <c r="BJ3611" s="248"/>
      <c r="BK3611" s="248"/>
      <c r="BL3611" s="248"/>
      <c r="BM3611" s="248"/>
      <c r="BN3611" s="248"/>
      <c r="BO3611" s="248"/>
      <c r="BP3611" s="248"/>
      <c r="BQ3611" s="248"/>
    </row>
    <row r="3612">
      <c r="A3612" s="78" t="s">
        <v>9210</v>
      </c>
      <c r="B3612" s="248"/>
      <c r="C3612" s="99">
        <v>44179.0</v>
      </c>
      <c r="D3612" s="248"/>
      <c r="E3612" s="78" t="s">
        <v>31</v>
      </c>
      <c r="F3612" s="37">
        <v>1.0</v>
      </c>
      <c r="G3612" s="78" t="s">
        <v>32</v>
      </c>
      <c r="H3612" s="78">
        <v>1.0</v>
      </c>
      <c r="I3612" s="78" t="s">
        <v>33</v>
      </c>
      <c r="J3612" s="78" t="s">
        <v>241</v>
      </c>
      <c r="K3612" s="248"/>
      <c r="L3612" s="106" t="s">
        <v>2316</v>
      </c>
      <c r="M3612" s="282" t="s">
        <v>9205</v>
      </c>
      <c r="N3612" s="106"/>
      <c r="O3612" s="248"/>
      <c r="P3612" s="248"/>
      <c r="Q3612" s="293"/>
      <c r="R3612" s="248"/>
      <c r="S3612" s="145"/>
      <c r="T3612" s="313"/>
      <c r="U3612" s="279"/>
      <c r="V3612" s="78" t="s">
        <v>33</v>
      </c>
      <c r="W3612" s="46" t="s">
        <v>9209</v>
      </c>
      <c r="X3612" s="282" t="s">
        <v>9207</v>
      </c>
      <c r="Y3612" s="314"/>
      <c r="Z3612" s="248"/>
      <c r="AA3612" s="248"/>
      <c r="AB3612" s="248"/>
      <c r="AC3612" s="248"/>
      <c r="AD3612" s="248"/>
      <c r="AE3612" s="248"/>
      <c r="AF3612" s="248"/>
      <c r="AG3612" s="248"/>
      <c r="AH3612" s="248"/>
      <c r="AI3612" s="248"/>
      <c r="AJ3612" s="248"/>
      <c r="AK3612" s="248"/>
      <c r="AL3612" s="248"/>
      <c r="AM3612" s="248"/>
      <c r="AN3612" s="248"/>
      <c r="AO3612" s="248"/>
      <c r="AP3612" s="248"/>
      <c r="AQ3612" s="248"/>
      <c r="AR3612" s="248"/>
      <c r="AS3612" s="248"/>
      <c r="AT3612" s="248"/>
      <c r="AU3612" s="248"/>
      <c r="AV3612" s="248"/>
      <c r="AW3612" s="248"/>
      <c r="AX3612" s="248"/>
      <c r="AY3612" s="248"/>
      <c r="AZ3612" s="248"/>
      <c r="BA3612" s="248"/>
      <c r="BB3612" s="248"/>
      <c r="BC3612" s="248"/>
      <c r="BD3612" s="248"/>
      <c r="BE3612" s="248"/>
      <c r="BF3612" s="248"/>
      <c r="BG3612" s="248"/>
      <c r="BH3612" s="248"/>
      <c r="BI3612" s="248"/>
      <c r="BJ3612" s="248"/>
      <c r="BK3612" s="248"/>
      <c r="BL3612" s="248"/>
      <c r="BM3612" s="248"/>
      <c r="BN3612" s="248"/>
      <c r="BO3612" s="248"/>
      <c r="BP3612" s="248"/>
      <c r="BQ3612" s="248"/>
    </row>
    <row r="3613">
      <c r="A3613" s="78" t="s">
        <v>9211</v>
      </c>
      <c r="B3613" s="248"/>
      <c r="C3613" s="99">
        <v>44179.0</v>
      </c>
      <c r="D3613" s="248"/>
      <c r="E3613" s="78" t="s">
        <v>31</v>
      </c>
      <c r="F3613" s="37">
        <v>1.0</v>
      </c>
      <c r="G3613" s="78" t="s">
        <v>32</v>
      </c>
      <c r="H3613" s="78">
        <v>1.0</v>
      </c>
      <c r="I3613" s="78" t="s">
        <v>33</v>
      </c>
      <c r="J3613" s="78" t="s">
        <v>241</v>
      </c>
      <c r="K3613" s="248"/>
      <c r="L3613" s="106" t="s">
        <v>2316</v>
      </c>
      <c r="M3613" s="282" t="s">
        <v>9205</v>
      </c>
      <c r="N3613" s="106"/>
      <c r="O3613" s="248"/>
      <c r="P3613" s="248"/>
      <c r="Q3613" s="293"/>
      <c r="R3613" s="248"/>
      <c r="S3613" s="145"/>
      <c r="T3613" s="313"/>
      <c r="U3613" s="279"/>
      <c r="V3613" s="78" t="s">
        <v>33</v>
      </c>
      <c r="W3613" s="46" t="s">
        <v>9209</v>
      </c>
      <c r="X3613" s="282" t="s">
        <v>9207</v>
      </c>
      <c r="Y3613" s="314"/>
      <c r="Z3613" s="248"/>
      <c r="AA3613" s="248"/>
      <c r="AB3613" s="248"/>
      <c r="AC3613" s="248"/>
      <c r="AD3613" s="248"/>
      <c r="AE3613" s="248"/>
      <c r="AF3613" s="248"/>
      <c r="AG3613" s="248"/>
      <c r="AH3613" s="248"/>
      <c r="AI3613" s="248"/>
      <c r="AJ3613" s="248"/>
      <c r="AK3613" s="248"/>
      <c r="AL3613" s="248"/>
      <c r="AM3613" s="248"/>
      <c r="AN3613" s="248"/>
      <c r="AO3613" s="248"/>
      <c r="AP3613" s="248"/>
      <c r="AQ3613" s="248"/>
      <c r="AR3613" s="248"/>
      <c r="AS3613" s="248"/>
      <c r="AT3613" s="248"/>
      <c r="AU3613" s="248"/>
      <c r="AV3613" s="248"/>
      <c r="AW3613" s="248"/>
      <c r="AX3613" s="248"/>
      <c r="AY3613" s="248"/>
      <c r="AZ3613" s="248"/>
      <c r="BA3613" s="248"/>
      <c r="BB3613" s="248"/>
      <c r="BC3613" s="248"/>
      <c r="BD3613" s="248"/>
      <c r="BE3613" s="248"/>
      <c r="BF3613" s="248"/>
      <c r="BG3613" s="248"/>
      <c r="BH3613" s="248"/>
      <c r="BI3613" s="248"/>
      <c r="BJ3613" s="248"/>
      <c r="BK3613" s="248"/>
      <c r="BL3613" s="248"/>
      <c r="BM3613" s="248"/>
      <c r="BN3613" s="248"/>
      <c r="BO3613" s="248"/>
      <c r="BP3613" s="248"/>
      <c r="BQ3613" s="248"/>
    </row>
    <row r="3614">
      <c r="A3614" s="78" t="s">
        <v>9212</v>
      </c>
      <c r="B3614" s="248"/>
      <c r="C3614" s="99">
        <v>44179.0</v>
      </c>
      <c r="D3614" s="248"/>
      <c r="E3614" s="78" t="s">
        <v>31</v>
      </c>
      <c r="F3614" s="37">
        <v>1.0</v>
      </c>
      <c r="G3614" s="78" t="s">
        <v>32</v>
      </c>
      <c r="H3614" s="78">
        <v>1.0</v>
      </c>
      <c r="I3614" s="78" t="s">
        <v>33</v>
      </c>
      <c r="J3614" s="78" t="s">
        <v>241</v>
      </c>
      <c r="K3614" s="248"/>
      <c r="L3614" s="106" t="s">
        <v>2316</v>
      </c>
      <c r="M3614" s="282" t="s">
        <v>9205</v>
      </c>
      <c r="N3614" s="106"/>
      <c r="O3614" s="248"/>
      <c r="P3614" s="248"/>
      <c r="Q3614" s="293"/>
      <c r="R3614" s="248"/>
      <c r="S3614" s="145"/>
      <c r="T3614" s="313"/>
      <c r="U3614" s="279"/>
      <c r="V3614" s="78" t="s">
        <v>33</v>
      </c>
      <c r="W3614" s="46" t="s">
        <v>9209</v>
      </c>
      <c r="X3614" s="282" t="s">
        <v>9207</v>
      </c>
      <c r="Y3614" s="314"/>
      <c r="Z3614" s="248"/>
      <c r="AA3614" s="248"/>
      <c r="AB3614" s="248"/>
      <c r="AC3614" s="248"/>
      <c r="AD3614" s="248"/>
      <c r="AE3614" s="248"/>
      <c r="AF3614" s="248"/>
      <c r="AG3614" s="248"/>
      <c r="AH3614" s="248"/>
      <c r="AI3614" s="248"/>
      <c r="AJ3614" s="248"/>
      <c r="AK3614" s="248"/>
      <c r="AL3614" s="248"/>
      <c r="AM3614" s="248"/>
      <c r="AN3614" s="248"/>
      <c r="AO3614" s="248"/>
      <c r="AP3614" s="248"/>
      <c r="AQ3614" s="248"/>
      <c r="AR3614" s="248"/>
      <c r="AS3614" s="248"/>
      <c r="AT3614" s="248"/>
      <c r="AU3614" s="248"/>
      <c r="AV3614" s="248"/>
      <c r="AW3614" s="248"/>
      <c r="AX3614" s="248"/>
      <c r="AY3614" s="248"/>
      <c r="AZ3614" s="248"/>
      <c r="BA3614" s="248"/>
      <c r="BB3614" s="248"/>
      <c r="BC3614" s="248"/>
      <c r="BD3614" s="248"/>
      <c r="BE3614" s="248"/>
      <c r="BF3614" s="248"/>
      <c r="BG3614" s="248"/>
      <c r="BH3614" s="248"/>
      <c r="BI3614" s="248"/>
      <c r="BJ3614" s="248"/>
      <c r="BK3614" s="248"/>
      <c r="BL3614" s="248"/>
      <c r="BM3614" s="248"/>
      <c r="BN3614" s="248"/>
      <c r="BO3614" s="248"/>
      <c r="BP3614" s="248"/>
      <c r="BQ3614" s="248"/>
    </row>
    <row r="3615">
      <c r="A3615" s="78" t="s">
        <v>9213</v>
      </c>
      <c r="B3615" s="248"/>
      <c r="C3615" s="99">
        <v>44179.0</v>
      </c>
      <c r="D3615" s="248"/>
      <c r="E3615" s="78" t="s">
        <v>31</v>
      </c>
      <c r="F3615" s="37">
        <v>1.0</v>
      </c>
      <c r="G3615" s="78" t="s">
        <v>32</v>
      </c>
      <c r="H3615" s="78">
        <v>1.0</v>
      </c>
      <c r="I3615" s="78" t="s">
        <v>33</v>
      </c>
      <c r="J3615" s="78" t="s">
        <v>241</v>
      </c>
      <c r="K3615" s="248"/>
      <c r="L3615" s="106" t="s">
        <v>2316</v>
      </c>
      <c r="M3615" s="282" t="s">
        <v>9205</v>
      </c>
      <c r="N3615" s="106"/>
      <c r="O3615" s="248"/>
      <c r="P3615" s="248"/>
      <c r="Q3615" s="293"/>
      <c r="R3615" s="248"/>
      <c r="S3615" s="145"/>
      <c r="T3615" s="313"/>
      <c r="U3615" s="279"/>
      <c r="V3615" s="78" t="s">
        <v>33</v>
      </c>
      <c r="W3615" s="46" t="s">
        <v>9209</v>
      </c>
      <c r="X3615" s="282" t="s">
        <v>9207</v>
      </c>
      <c r="Y3615" s="314"/>
      <c r="Z3615" s="248"/>
      <c r="AA3615" s="248"/>
      <c r="AB3615" s="248"/>
      <c r="AC3615" s="248"/>
      <c r="AD3615" s="248"/>
      <c r="AE3615" s="248"/>
      <c r="AF3615" s="248"/>
      <c r="AG3615" s="248"/>
      <c r="AH3615" s="248"/>
      <c r="AI3615" s="248"/>
      <c r="AJ3615" s="248"/>
      <c r="AK3615" s="248"/>
      <c r="AL3615" s="248"/>
      <c r="AM3615" s="248"/>
      <c r="AN3615" s="248"/>
      <c r="AO3615" s="248"/>
      <c r="AP3615" s="248"/>
      <c r="AQ3615" s="248"/>
      <c r="AR3615" s="248"/>
      <c r="AS3615" s="248"/>
      <c r="AT3615" s="248"/>
      <c r="AU3615" s="248"/>
      <c r="AV3615" s="248"/>
      <c r="AW3615" s="248"/>
      <c r="AX3615" s="248"/>
      <c r="AY3615" s="248"/>
      <c r="AZ3615" s="248"/>
      <c r="BA3615" s="248"/>
      <c r="BB3615" s="248"/>
      <c r="BC3615" s="248"/>
      <c r="BD3615" s="248"/>
      <c r="BE3615" s="248"/>
      <c r="BF3615" s="248"/>
      <c r="BG3615" s="248"/>
      <c r="BH3615" s="248"/>
      <c r="BI3615" s="248"/>
      <c r="BJ3615" s="248"/>
      <c r="BK3615" s="248"/>
      <c r="BL3615" s="248"/>
      <c r="BM3615" s="248"/>
      <c r="BN3615" s="248"/>
      <c r="BO3615" s="248"/>
      <c r="BP3615" s="248"/>
      <c r="BQ3615" s="248"/>
    </row>
    <row r="3616">
      <c r="A3616" s="78" t="s">
        <v>9214</v>
      </c>
      <c r="B3616" s="248"/>
      <c r="C3616" s="99">
        <v>44179.0</v>
      </c>
      <c r="D3616" s="248"/>
      <c r="E3616" s="78" t="s">
        <v>31</v>
      </c>
      <c r="F3616" s="37">
        <v>1.0</v>
      </c>
      <c r="G3616" s="78" t="s">
        <v>32</v>
      </c>
      <c r="H3616" s="78">
        <v>1.0</v>
      </c>
      <c r="I3616" s="78" t="s">
        <v>33</v>
      </c>
      <c r="J3616" s="78" t="s">
        <v>241</v>
      </c>
      <c r="K3616" s="248"/>
      <c r="L3616" s="106" t="s">
        <v>2316</v>
      </c>
      <c r="M3616" s="282" t="s">
        <v>9205</v>
      </c>
      <c r="N3616" s="106"/>
      <c r="O3616" s="248"/>
      <c r="P3616" s="248"/>
      <c r="Q3616" s="293"/>
      <c r="R3616" s="248"/>
      <c r="S3616" s="145"/>
      <c r="T3616" s="313"/>
      <c r="U3616" s="279"/>
      <c r="V3616" s="78" t="s">
        <v>33</v>
      </c>
      <c r="W3616" s="46" t="s">
        <v>9209</v>
      </c>
      <c r="X3616" s="282" t="s">
        <v>9207</v>
      </c>
      <c r="Y3616" s="314"/>
      <c r="Z3616" s="248"/>
      <c r="AA3616" s="248"/>
      <c r="AB3616" s="248"/>
      <c r="AC3616" s="248"/>
      <c r="AD3616" s="248"/>
      <c r="AE3616" s="248"/>
      <c r="AF3616" s="248"/>
      <c r="AG3616" s="248"/>
      <c r="AH3616" s="248"/>
      <c r="AI3616" s="248"/>
      <c r="AJ3616" s="248"/>
      <c r="AK3616" s="248"/>
      <c r="AL3616" s="248"/>
      <c r="AM3616" s="248"/>
      <c r="AN3616" s="248"/>
      <c r="AO3616" s="248"/>
      <c r="AP3616" s="248"/>
      <c r="AQ3616" s="248"/>
      <c r="AR3616" s="248"/>
      <c r="AS3616" s="248"/>
      <c r="AT3616" s="248"/>
      <c r="AU3616" s="248"/>
      <c r="AV3616" s="248"/>
      <c r="AW3616" s="248"/>
      <c r="AX3616" s="248"/>
      <c r="AY3616" s="248"/>
      <c r="AZ3616" s="248"/>
      <c r="BA3616" s="248"/>
      <c r="BB3616" s="248"/>
      <c r="BC3616" s="248"/>
      <c r="BD3616" s="248"/>
      <c r="BE3616" s="248"/>
      <c r="BF3616" s="248"/>
      <c r="BG3616" s="248"/>
      <c r="BH3616" s="248"/>
      <c r="BI3616" s="248"/>
      <c r="BJ3616" s="248"/>
      <c r="BK3616" s="248"/>
      <c r="BL3616" s="248"/>
      <c r="BM3616" s="248"/>
      <c r="BN3616" s="248"/>
      <c r="BO3616" s="248"/>
      <c r="BP3616" s="248"/>
      <c r="BQ3616" s="248"/>
    </row>
    <row r="3617">
      <c r="A3617" s="78" t="s">
        <v>9215</v>
      </c>
      <c r="B3617" s="248"/>
      <c r="C3617" s="99">
        <v>44179.0</v>
      </c>
      <c r="D3617" s="248"/>
      <c r="E3617" s="78" t="s">
        <v>31</v>
      </c>
      <c r="F3617" s="37">
        <v>1.0</v>
      </c>
      <c r="G3617" s="78" t="s">
        <v>32</v>
      </c>
      <c r="H3617" s="78">
        <v>1.0</v>
      </c>
      <c r="I3617" s="78" t="s">
        <v>33</v>
      </c>
      <c r="J3617" s="78" t="s">
        <v>241</v>
      </c>
      <c r="K3617" s="248"/>
      <c r="L3617" s="106" t="s">
        <v>2316</v>
      </c>
      <c r="M3617" s="282" t="s">
        <v>9205</v>
      </c>
      <c r="N3617" s="106"/>
      <c r="O3617" s="248"/>
      <c r="P3617" s="248"/>
      <c r="Q3617" s="293"/>
      <c r="R3617" s="248"/>
      <c r="S3617" s="145"/>
      <c r="T3617" s="313"/>
      <c r="U3617" s="279"/>
      <c r="V3617" s="78" t="s">
        <v>33</v>
      </c>
      <c r="W3617" s="46" t="s">
        <v>9209</v>
      </c>
      <c r="X3617" s="282" t="s">
        <v>9207</v>
      </c>
      <c r="Y3617" s="314"/>
      <c r="Z3617" s="248"/>
      <c r="AA3617" s="248"/>
      <c r="AB3617" s="248"/>
      <c r="AC3617" s="248"/>
      <c r="AD3617" s="248"/>
      <c r="AE3617" s="248"/>
      <c r="AF3617" s="248"/>
      <c r="AG3617" s="248"/>
      <c r="AH3617" s="248"/>
      <c r="AI3617" s="248"/>
      <c r="AJ3617" s="248"/>
      <c r="AK3617" s="248"/>
      <c r="AL3617" s="248"/>
      <c r="AM3617" s="248"/>
      <c r="AN3617" s="248"/>
      <c r="AO3617" s="248"/>
      <c r="AP3617" s="248"/>
      <c r="AQ3617" s="248"/>
      <c r="AR3617" s="248"/>
      <c r="AS3617" s="248"/>
      <c r="AT3617" s="248"/>
      <c r="AU3617" s="248"/>
      <c r="AV3617" s="248"/>
      <c r="AW3617" s="248"/>
      <c r="AX3617" s="248"/>
      <c r="AY3617" s="248"/>
      <c r="AZ3617" s="248"/>
      <c r="BA3617" s="248"/>
      <c r="BB3617" s="248"/>
      <c r="BC3617" s="248"/>
      <c r="BD3617" s="248"/>
      <c r="BE3617" s="248"/>
      <c r="BF3617" s="248"/>
      <c r="BG3617" s="248"/>
      <c r="BH3617" s="248"/>
      <c r="BI3617" s="248"/>
      <c r="BJ3617" s="248"/>
      <c r="BK3617" s="248"/>
      <c r="BL3617" s="248"/>
      <c r="BM3617" s="248"/>
      <c r="BN3617" s="248"/>
      <c r="BO3617" s="248"/>
      <c r="BP3617" s="248"/>
      <c r="BQ3617" s="248"/>
    </row>
    <row r="3618">
      <c r="A3618" s="78" t="s">
        <v>9216</v>
      </c>
      <c r="B3618" s="248"/>
      <c r="C3618" s="99">
        <v>44179.0</v>
      </c>
      <c r="D3618" s="248"/>
      <c r="E3618" s="78" t="s">
        <v>31</v>
      </c>
      <c r="F3618" s="37">
        <v>1.0</v>
      </c>
      <c r="G3618" s="78" t="s">
        <v>32</v>
      </c>
      <c r="H3618" s="78">
        <v>1.0</v>
      </c>
      <c r="I3618" s="78" t="s">
        <v>33</v>
      </c>
      <c r="J3618" s="78" t="s">
        <v>241</v>
      </c>
      <c r="K3618" s="248"/>
      <c r="L3618" s="106" t="s">
        <v>2316</v>
      </c>
      <c r="M3618" s="282" t="s">
        <v>9205</v>
      </c>
      <c r="N3618" s="106"/>
      <c r="O3618" s="248"/>
      <c r="P3618" s="248"/>
      <c r="Q3618" s="293"/>
      <c r="R3618" s="248"/>
      <c r="S3618" s="145"/>
      <c r="T3618" s="313"/>
      <c r="U3618" s="279"/>
      <c r="V3618" s="78" t="s">
        <v>33</v>
      </c>
      <c r="W3618" s="46" t="s">
        <v>9209</v>
      </c>
      <c r="X3618" s="282" t="s">
        <v>9207</v>
      </c>
      <c r="Y3618" s="314"/>
      <c r="Z3618" s="248"/>
      <c r="AA3618" s="248"/>
      <c r="AB3618" s="248"/>
      <c r="AC3618" s="248"/>
      <c r="AD3618" s="248"/>
      <c r="AE3618" s="248"/>
      <c r="AF3618" s="248"/>
      <c r="AG3618" s="248"/>
      <c r="AH3618" s="248"/>
      <c r="AI3618" s="248"/>
      <c r="AJ3618" s="248"/>
      <c r="AK3618" s="248"/>
      <c r="AL3618" s="248"/>
      <c r="AM3618" s="248"/>
      <c r="AN3618" s="248"/>
      <c r="AO3618" s="248"/>
      <c r="AP3618" s="248"/>
      <c r="AQ3618" s="248"/>
      <c r="AR3618" s="248"/>
      <c r="AS3618" s="248"/>
      <c r="AT3618" s="248"/>
      <c r="AU3618" s="248"/>
      <c r="AV3618" s="248"/>
      <c r="AW3618" s="248"/>
      <c r="AX3618" s="248"/>
      <c r="AY3618" s="248"/>
      <c r="AZ3618" s="248"/>
      <c r="BA3618" s="248"/>
      <c r="BB3618" s="248"/>
      <c r="BC3618" s="248"/>
      <c r="BD3618" s="248"/>
      <c r="BE3618" s="248"/>
      <c r="BF3618" s="248"/>
      <c r="BG3618" s="248"/>
      <c r="BH3618" s="248"/>
      <c r="BI3618" s="248"/>
      <c r="BJ3618" s="248"/>
      <c r="BK3618" s="248"/>
      <c r="BL3618" s="248"/>
      <c r="BM3618" s="248"/>
      <c r="BN3618" s="248"/>
      <c r="BO3618" s="248"/>
      <c r="BP3618" s="248"/>
      <c r="BQ3618" s="248"/>
    </row>
    <row r="3619">
      <c r="A3619" s="78" t="s">
        <v>9217</v>
      </c>
      <c r="B3619" s="248"/>
      <c r="C3619" s="99">
        <v>44179.0</v>
      </c>
      <c r="D3619" s="248"/>
      <c r="E3619" s="78" t="s">
        <v>31</v>
      </c>
      <c r="F3619" s="37">
        <v>1.0</v>
      </c>
      <c r="G3619" s="78" t="s">
        <v>32</v>
      </c>
      <c r="H3619" s="78">
        <v>1.0</v>
      </c>
      <c r="I3619" s="78" t="s">
        <v>33</v>
      </c>
      <c r="J3619" s="78" t="s">
        <v>241</v>
      </c>
      <c r="K3619" s="248"/>
      <c r="L3619" s="106" t="s">
        <v>2316</v>
      </c>
      <c r="M3619" s="282" t="s">
        <v>9205</v>
      </c>
      <c r="N3619" s="106"/>
      <c r="O3619" s="248"/>
      <c r="P3619" s="248"/>
      <c r="Q3619" s="293"/>
      <c r="R3619" s="248"/>
      <c r="S3619" s="145"/>
      <c r="T3619" s="313"/>
      <c r="U3619" s="279"/>
      <c r="V3619" s="78" t="s">
        <v>33</v>
      </c>
      <c r="W3619" s="46" t="s">
        <v>9209</v>
      </c>
      <c r="X3619" s="282" t="s">
        <v>9207</v>
      </c>
      <c r="Y3619" s="314"/>
      <c r="Z3619" s="248"/>
      <c r="AA3619" s="248"/>
      <c r="AB3619" s="248"/>
      <c r="AC3619" s="248"/>
      <c r="AD3619" s="248"/>
      <c r="AE3619" s="248"/>
      <c r="AF3619" s="248"/>
      <c r="AG3619" s="248"/>
      <c r="AH3619" s="248"/>
      <c r="AI3619" s="248"/>
      <c r="AJ3619" s="248"/>
      <c r="AK3619" s="248"/>
      <c r="AL3619" s="248"/>
      <c r="AM3619" s="248"/>
      <c r="AN3619" s="248"/>
      <c r="AO3619" s="248"/>
      <c r="AP3619" s="248"/>
      <c r="AQ3619" s="248"/>
      <c r="AR3619" s="248"/>
      <c r="AS3619" s="248"/>
      <c r="AT3619" s="248"/>
      <c r="AU3619" s="248"/>
      <c r="AV3619" s="248"/>
      <c r="AW3619" s="248"/>
      <c r="AX3619" s="248"/>
      <c r="AY3619" s="248"/>
      <c r="AZ3619" s="248"/>
      <c r="BA3619" s="248"/>
      <c r="BB3619" s="248"/>
      <c r="BC3619" s="248"/>
      <c r="BD3619" s="248"/>
      <c r="BE3619" s="248"/>
      <c r="BF3619" s="248"/>
      <c r="BG3619" s="248"/>
      <c r="BH3619" s="248"/>
      <c r="BI3619" s="248"/>
      <c r="BJ3619" s="248"/>
      <c r="BK3619" s="248"/>
      <c r="BL3619" s="248"/>
      <c r="BM3619" s="248"/>
      <c r="BN3619" s="248"/>
      <c r="BO3619" s="248"/>
      <c r="BP3619" s="248"/>
      <c r="BQ3619" s="248"/>
    </row>
    <row r="3620">
      <c r="A3620" s="78" t="s">
        <v>9218</v>
      </c>
      <c r="B3620" s="248"/>
      <c r="C3620" s="99">
        <v>44179.0</v>
      </c>
      <c r="D3620" s="248"/>
      <c r="E3620" s="78" t="s">
        <v>31</v>
      </c>
      <c r="F3620" s="37">
        <v>1.0</v>
      </c>
      <c r="G3620" s="78" t="s">
        <v>32</v>
      </c>
      <c r="H3620" s="78">
        <v>1.0</v>
      </c>
      <c r="I3620" s="78" t="s">
        <v>33</v>
      </c>
      <c r="J3620" s="78" t="s">
        <v>241</v>
      </c>
      <c r="K3620" s="248"/>
      <c r="L3620" s="106" t="s">
        <v>2316</v>
      </c>
      <c r="M3620" s="282" t="s">
        <v>9205</v>
      </c>
      <c r="N3620" s="106"/>
      <c r="O3620" s="248"/>
      <c r="P3620" s="248"/>
      <c r="Q3620" s="293"/>
      <c r="R3620" s="248"/>
      <c r="S3620" s="145"/>
      <c r="T3620" s="313"/>
      <c r="U3620" s="279"/>
      <c r="V3620" s="78" t="s">
        <v>33</v>
      </c>
      <c r="W3620" s="46" t="s">
        <v>9209</v>
      </c>
      <c r="X3620" s="282" t="s">
        <v>9207</v>
      </c>
      <c r="Y3620" s="314"/>
      <c r="Z3620" s="248"/>
      <c r="AA3620" s="248"/>
      <c r="AB3620" s="248"/>
      <c r="AC3620" s="248"/>
      <c r="AD3620" s="248"/>
      <c r="AE3620" s="248"/>
      <c r="AF3620" s="248"/>
      <c r="AG3620" s="248"/>
      <c r="AH3620" s="248"/>
      <c r="AI3620" s="248"/>
      <c r="AJ3620" s="248"/>
      <c r="AK3620" s="248"/>
      <c r="AL3620" s="248"/>
      <c r="AM3620" s="248"/>
      <c r="AN3620" s="248"/>
      <c r="AO3620" s="248"/>
      <c r="AP3620" s="248"/>
      <c r="AQ3620" s="248"/>
      <c r="AR3620" s="248"/>
      <c r="AS3620" s="248"/>
      <c r="AT3620" s="248"/>
      <c r="AU3620" s="248"/>
      <c r="AV3620" s="248"/>
      <c r="AW3620" s="248"/>
      <c r="AX3620" s="248"/>
      <c r="AY3620" s="248"/>
      <c r="AZ3620" s="248"/>
      <c r="BA3620" s="248"/>
      <c r="BB3620" s="248"/>
      <c r="BC3620" s="248"/>
      <c r="BD3620" s="248"/>
      <c r="BE3620" s="248"/>
      <c r="BF3620" s="248"/>
      <c r="BG3620" s="248"/>
      <c r="BH3620" s="248"/>
      <c r="BI3620" s="248"/>
      <c r="BJ3620" s="248"/>
      <c r="BK3620" s="248"/>
      <c r="BL3620" s="248"/>
      <c r="BM3620" s="248"/>
      <c r="BN3620" s="248"/>
      <c r="BO3620" s="248"/>
      <c r="BP3620" s="248"/>
      <c r="BQ3620" s="248"/>
    </row>
    <row r="3621">
      <c r="A3621" s="78" t="s">
        <v>9219</v>
      </c>
      <c r="B3621" s="248"/>
      <c r="C3621" s="99">
        <v>44179.0</v>
      </c>
      <c r="D3621" s="248"/>
      <c r="E3621" s="78" t="s">
        <v>41</v>
      </c>
      <c r="F3621" s="37">
        <v>1.0</v>
      </c>
      <c r="G3621" s="78" t="s">
        <v>32</v>
      </c>
      <c r="H3621" s="78">
        <v>1.0</v>
      </c>
      <c r="I3621" s="78" t="s">
        <v>33</v>
      </c>
      <c r="J3621" s="78" t="s">
        <v>147</v>
      </c>
      <c r="K3621" s="248"/>
      <c r="L3621" s="106" t="s">
        <v>119</v>
      </c>
      <c r="M3621" s="282" t="s">
        <v>9220</v>
      </c>
      <c r="N3621" s="106"/>
      <c r="O3621" s="248"/>
      <c r="P3621" s="248"/>
      <c r="Q3621" s="293"/>
      <c r="R3621" s="248"/>
      <c r="S3621" s="145"/>
      <c r="T3621" s="313"/>
      <c r="U3621" s="279"/>
      <c r="V3621" s="78" t="s">
        <v>33</v>
      </c>
      <c r="W3621" s="106"/>
      <c r="X3621" s="282"/>
      <c r="Y3621" s="314"/>
      <c r="Z3621" s="248"/>
      <c r="AA3621" s="248"/>
      <c r="AB3621" s="248"/>
      <c r="AC3621" s="248"/>
      <c r="AD3621" s="248"/>
      <c r="AE3621" s="248"/>
      <c r="AF3621" s="248"/>
      <c r="AG3621" s="248"/>
      <c r="AH3621" s="248"/>
      <c r="AI3621" s="248"/>
      <c r="AJ3621" s="248"/>
      <c r="AK3621" s="248"/>
      <c r="AL3621" s="248"/>
      <c r="AM3621" s="248"/>
      <c r="AN3621" s="248"/>
      <c r="AO3621" s="248"/>
      <c r="AP3621" s="248"/>
      <c r="AQ3621" s="248"/>
      <c r="AR3621" s="248"/>
      <c r="AS3621" s="248"/>
      <c r="AT3621" s="248"/>
      <c r="AU3621" s="248"/>
      <c r="AV3621" s="248"/>
      <c r="AW3621" s="248"/>
      <c r="AX3621" s="248"/>
      <c r="AY3621" s="248"/>
      <c r="AZ3621" s="248"/>
      <c r="BA3621" s="248"/>
      <c r="BB3621" s="248"/>
      <c r="BC3621" s="248"/>
      <c r="BD3621" s="248"/>
      <c r="BE3621" s="248"/>
      <c r="BF3621" s="248"/>
      <c r="BG3621" s="248"/>
      <c r="BH3621" s="248"/>
      <c r="BI3621" s="248"/>
      <c r="BJ3621" s="248"/>
      <c r="BK3621" s="248"/>
      <c r="BL3621" s="248"/>
      <c r="BM3621" s="248"/>
      <c r="BN3621" s="248"/>
      <c r="BO3621" s="248"/>
      <c r="BP3621" s="248"/>
      <c r="BQ3621" s="248"/>
    </row>
    <row r="3622">
      <c r="A3622" s="78" t="s">
        <v>9221</v>
      </c>
      <c r="B3622" s="248"/>
      <c r="C3622" s="99">
        <v>44179.0</v>
      </c>
      <c r="D3622" s="248"/>
      <c r="E3622" s="78" t="s">
        <v>31</v>
      </c>
      <c r="F3622" s="37">
        <v>1.0</v>
      </c>
      <c r="G3622" s="78">
        <v>57.0</v>
      </c>
      <c r="H3622" s="78">
        <v>57.0</v>
      </c>
      <c r="I3622" s="78" t="s">
        <v>3025</v>
      </c>
      <c r="J3622" s="78"/>
      <c r="K3622" s="248"/>
      <c r="L3622" s="106" t="s">
        <v>9222</v>
      </c>
      <c r="M3622" s="282" t="s">
        <v>9223</v>
      </c>
      <c r="N3622" s="282" t="s">
        <v>9224</v>
      </c>
      <c r="O3622" s="248"/>
      <c r="P3622" s="248"/>
      <c r="Q3622" s="293"/>
      <c r="R3622" s="78">
        <v>1.0</v>
      </c>
      <c r="S3622" s="145"/>
      <c r="T3622" s="313"/>
      <c r="U3622" s="279"/>
      <c r="V3622" s="78" t="s">
        <v>9225</v>
      </c>
      <c r="W3622" s="46" t="s">
        <v>9226</v>
      </c>
      <c r="X3622" s="282" t="s">
        <v>9227</v>
      </c>
      <c r="Y3622" s="314"/>
      <c r="Z3622" s="248"/>
      <c r="AA3622" s="248"/>
      <c r="AB3622" s="248"/>
      <c r="AC3622" s="248"/>
      <c r="AD3622" s="248"/>
      <c r="AE3622" s="248"/>
      <c r="AF3622" s="248"/>
      <c r="AG3622" s="248"/>
      <c r="AH3622" s="248"/>
      <c r="AI3622" s="248"/>
      <c r="AJ3622" s="248"/>
      <c r="AK3622" s="248"/>
      <c r="AL3622" s="248"/>
      <c r="AM3622" s="248"/>
      <c r="AN3622" s="248"/>
      <c r="AO3622" s="248"/>
      <c r="AP3622" s="248"/>
      <c r="AQ3622" s="248"/>
      <c r="AR3622" s="248"/>
      <c r="AS3622" s="248"/>
      <c r="AT3622" s="248"/>
      <c r="AU3622" s="248"/>
      <c r="AV3622" s="248"/>
      <c r="AW3622" s="248"/>
      <c r="AX3622" s="248"/>
      <c r="AY3622" s="248"/>
      <c r="AZ3622" s="248"/>
      <c r="BA3622" s="248"/>
      <c r="BB3622" s="248"/>
      <c r="BC3622" s="248"/>
      <c r="BD3622" s="248"/>
      <c r="BE3622" s="248"/>
      <c r="BF3622" s="248"/>
      <c r="BG3622" s="248"/>
      <c r="BH3622" s="248"/>
      <c r="BI3622" s="248"/>
      <c r="BJ3622" s="248"/>
      <c r="BK3622" s="248"/>
      <c r="BL3622" s="248"/>
      <c r="BM3622" s="248"/>
      <c r="BN3622" s="248"/>
      <c r="BO3622" s="248"/>
      <c r="BP3622" s="248"/>
      <c r="BQ3622" s="248"/>
    </row>
    <row r="3623">
      <c r="A3623" s="78" t="s">
        <v>9228</v>
      </c>
      <c r="B3623" s="248"/>
      <c r="C3623" s="99">
        <v>44180.0</v>
      </c>
      <c r="D3623" s="248"/>
      <c r="E3623" s="78" t="s">
        <v>41</v>
      </c>
      <c r="F3623" s="37">
        <v>1.0</v>
      </c>
      <c r="G3623" s="78" t="s">
        <v>32</v>
      </c>
      <c r="H3623" s="78">
        <v>1.0</v>
      </c>
      <c r="I3623" s="78" t="s">
        <v>33</v>
      </c>
      <c r="J3623" s="78" t="s">
        <v>283</v>
      </c>
      <c r="K3623" s="248"/>
      <c r="L3623" s="106" t="s">
        <v>9229</v>
      </c>
      <c r="M3623" s="282" t="s">
        <v>9230</v>
      </c>
      <c r="N3623" s="282"/>
      <c r="O3623" s="248"/>
      <c r="P3623" s="248"/>
      <c r="Q3623" s="293"/>
      <c r="R3623" s="248"/>
      <c r="S3623" s="145"/>
      <c r="T3623" s="313"/>
      <c r="U3623" s="279"/>
      <c r="V3623" s="78" t="s">
        <v>33</v>
      </c>
      <c r="W3623" s="106"/>
      <c r="X3623" s="282"/>
      <c r="Y3623" s="314"/>
      <c r="Z3623" s="248"/>
      <c r="AA3623" s="248"/>
      <c r="AB3623" s="248"/>
      <c r="AC3623" s="248"/>
      <c r="AD3623" s="248"/>
      <c r="AE3623" s="248"/>
      <c r="AF3623" s="248"/>
      <c r="AG3623" s="248"/>
      <c r="AH3623" s="248"/>
      <c r="AI3623" s="248"/>
      <c r="AJ3623" s="248"/>
      <c r="AK3623" s="248"/>
      <c r="AL3623" s="248"/>
      <c r="AM3623" s="248"/>
      <c r="AN3623" s="248"/>
      <c r="AO3623" s="248"/>
      <c r="AP3623" s="248"/>
      <c r="AQ3623" s="248"/>
      <c r="AR3623" s="248"/>
      <c r="AS3623" s="248"/>
      <c r="AT3623" s="248"/>
      <c r="AU3623" s="248"/>
      <c r="AV3623" s="248"/>
      <c r="AW3623" s="248"/>
      <c r="AX3623" s="248"/>
      <c r="AY3623" s="248"/>
      <c r="AZ3623" s="248"/>
      <c r="BA3623" s="248"/>
      <c r="BB3623" s="248"/>
      <c r="BC3623" s="248"/>
      <c r="BD3623" s="248"/>
      <c r="BE3623" s="248"/>
      <c r="BF3623" s="248"/>
      <c r="BG3623" s="248"/>
      <c r="BH3623" s="248"/>
      <c r="BI3623" s="248"/>
      <c r="BJ3623" s="248"/>
      <c r="BK3623" s="248"/>
      <c r="BL3623" s="248"/>
      <c r="BM3623" s="248"/>
      <c r="BN3623" s="248"/>
      <c r="BO3623" s="248"/>
      <c r="BP3623" s="248"/>
      <c r="BQ3623" s="248"/>
    </row>
    <row r="3624">
      <c r="A3624" s="78" t="s">
        <v>9231</v>
      </c>
      <c r="B3624" s="248"/>
      <c r="C3624" s="99">
        <v>44180.0</v>
      </c>
      <c r="D3624" s="248"/>
      <c r="E3624" s="78" t="s">
        <v>41</v>
      </c>
      <c r="F3624" s="37">
        <v>1.0</v>
      </c>
      <c r="G3624" s="78" t="s">
        <v>32</v>
      </c>
      <c r="H3624" s="78">
        <v>1.0</v>
      </c>
      <c r="I3624" s="78" t="s">
        <v>33</v>
      </c>
      <c r="J3624" s="78" t="s">
        <v>410</v>
      </c>
      <c r="K3624" s="248"/>
      <c r="L3624" s="106" t="s">
        <v>119</v>
      </c>
      <c r="M3624" s="282" t="s">
        <v>9232</v>
      </c>
      <c r="N3624" s="282"/>
      <c r="O3624" s="248"/>
      <c r="P3624" s="248"/>
      <c r="Q3624" s="293"/>
      <c r="R3624" s="248"/>
      <c r="S3624" s="145"/>
      <c r="T3624" s="313"/>
      <c r="U3624" s="279"/>
      <c r="V3624" s="78" t="s">
        <v>33</v>
      </c>
      <c r="W3624" s="106"/>
      <c r="X3624" s="282"/>
      <c r="Y3624" s="314"/>
      <c r="Z3624" s="248"/>
      <c r="AA3624" s="248"/>
      <c r="AB3624" s="248"/>
      <c r="AC3624" s="248"/>
      <c r="AD3624" s="248"/>
      <c r="AE3624" s="248"/>
      <c r="AF3624" s="248"/>
      <c r="AG3624" s="248"/>
      <c r="AH3624" s="248"/>
      <c r="AI3624" s="248"/>
      <c r="AJ3624" s="248"/>
      <c r="AK3624" s="248"/>
      <c r="AL3624" s="248"/>
      <c r="AM3624" s="248"/>
      <c r="AN3624" s="248"/>
      <c r="AO3624" s="248"/>
      <c r="AP3624" s="248"/>
      <c r="AQ3624" s="248"/>
      <c r="AR3624" s="248"/>
      <c r="AS3624" s="248"/>
      <c r="AT3624" s="248"/>
      <c r="AU3624" s="248"/>
      <c r="AV3624" s="248"/>
      <c r="AW3624" s="248"/>
      <c r="AX3624" s="248"/>
      <c r="AY3624" s="248"/>
      <c r="AZ3624" s="248"/>
      <c r="BA3624" s="248"/>
      <c r="BB3624" s="248"/>
      <c r="BC3624" s="248"/>
      <c r="BD3624" s="248"/>
      <c r="BE3624" s="248"/>
      <c r="BF3624" s="248"/>
      <c r="BG3624" s="248"/>
      <c r="BH3624" s="248"/>
      <c r="BI3624" s="248"/>
      <c r="BJ3624" s="248"/>
      <c r="BK3624" s="248"/>
      <c r="BL3624" s="248"/>
      <c r="BM3624" s="248"/>
      <c r="BN3624" s="248"/>
      <c r="BO3624" s="248"/>
      <c r="BP3624" s="248"/>
      <c r="BQ3624" s="248"/>
    </row>
    <row r="3625">
      <c r="A3625" s="78" t="s">
        <v>9233</v>
      </c>
      <c r="B3625" s="248"/>
      <c r="C3625" s="99">
        <v>44180.0</v>
      </c>
      <c r="D3625" s="248"/>
      <c r="E3625" s="78" t="s">
        <v>41</v>
      </c>
      <c r="F3625" s="37">
        <v>1.0</v>
      </c>
      <c r="G3625" s="78" t="s">
        <v>32</v>
      </c>
      <c r="H3625" s="78">
        <v>1.0</v>
      </c>
      <c r="I3625" s="78" t="s">
        <v>33</v>
      </c>
      <c r="J3625" s="78" t="s">
        <v>410</v>
      </c>
      <c r="K3625" s="248"/>
      <c r="L3625" s="106" t="s">
        <v>1203</v>
      </c>
      <c r="M3625" s="282" t="s">
        <v>9234</v>
      </c>
      <c r="N3625" s="282"/>
      <c r="O3625" s="248"/>
      <c r="P3625" s="248"/>
      <c r="Q3625" s="293"/>
      <c r="R3625" s="248"/>
      <c r="S3625" s="145"/>
      <c r="T3625" s="313"/>
      <c r="U3625" s="279"/>
      <c r="V3625" s="78" t="s">
        <v>33</v>
      </c>
      <c r="W3625" s="106"/>
      <c r="X3625" s="282"/>
      <c r="Y3625" s="314"/>
      <c r="Z3625" s="248"/>
      <c r="AA3625" s="248"/>
      <c r="AB3625" s="248"/>
      <c r="AC3625" s="248"/>
      <c r="AD3625" s="248"/>
      <c r="AE3625" s="248"/>
      <c r="AF3625" s="248"/>
      <c r="AG3625" s="248"/>
      <c r="AH3625" s="248"/>
      <c r="AI3625" s="248"/>
      <c r="AJ3625" s="248"/>
      <c r="AK3625" s="248"/>
      <c r="AL3625" s="248"/>
      <c r="AM3625" s="248"/>
      <c r="AN3625" s="248"/>
      <c r="AO3625" s="248"/>
      <c r="AP3625" s="248"/>
      <c r="AQ3625" s="248"/>
      <c r="AR3625" s="248"/>
      <c r="AS3625" s="248"/>
      <c r="AT3625" s="248"/>
      <c r="AU3625" s="248"/>
      <c r="AV3625" s="248"/>
      <c r="AW3625" s="248"/>
      <c r="AX3625" s="248"/>
      <c r="AY3625" s="248"/>
      <c r="AZ3625" s="248"/>
      <c r="BA3625" s="248"/>
      <c r="BB3625" s="248"/>
      <c r="BC3625" s="248"/>
      <c r="BD3625" s="248"/>
      <c r="BE3625" s="248"/>
      <c r="BF3625" s="248"/>
      <c r="BG3625" s="248"/>
      <c r="BH3625" s="248"/>
      <c r="BI3625" s="248"/>
      <c r="BJ3625" s="248"/>
      <c r="BK3625" s="248"/>
      <c r="BL3625" s="248"/>
      <c r="BM3625" s="248"/>
      <c r="BN3625" s="248"/>
      <c r="BO3625" s="248"/>
      <c r="BP3625" s="248"/>
      <c r="BQ3625" s="248"/>
    </row>
    <row r="3626">
      <c r="A3626" s="78" t="s">
        <v>9235</v>
      </c>
      <c r="B3626" s="248"/>
      <c r="C3626" s="99">
        <v>44181.0</v>
      </c>
      <c r="D3626" s="248"/>
      <c r="E3626" s="78" t="s">
        <v>41</v>
      </c>
      <c r="F3626" s="37">
        <v>1.0</v>
      </c>
      <c r="G3626" s="78" t="s">
        <v>32</v>
      </c>
      <c r="H3626" s="78">
        <v>1.0</v>
      </c>
      <c r="I3626" s="78" t="s">
        <v>33</v>
      </c>
      <c r="J3626" s="78" t="s">
        <v>147</v>
      </c>
      <c r="K3626" s="248"/>
      <c r="L3626" s="106" t="s">
        <v>6469</v>
      </c>
      <c r="M3626" s="282" t="s">
        <v>9220</v>
      </c>
      <c r="N3626" s="282"/>
      <c r="O3626" s="248"/>
      <c r="P3626" s="248"/>
      <c r="Q3626" s="293"/>
      <c r="R3626" s="248"/>
      <c r="S3626" s="145"/>
      <c r="T3626" s="313"/>
      <c r="U3626" s="279"/>
      <c r="V3626" s="78" t="s">
        <v>33</v>
      </c>
      <c r="W3626" s="106"/>
      <c r="X3626" s="282"/>
      <c r="Y3626" s="314"/>
      <c r="Z3626" s="248"/>
      <c r="AA3626" s="248"/>
      <c r="AB3626" s="248"/>
      <c r="AC3626" s="248"/>
      <c r="AD3626" s="248"/>
      <c r="AE3626" s="248"/>
      <c r="AF3626" s="248"/>
      <c r="AG3626" s="248"/>
      <c r="AH3626" s="248"/>
      <c r="AI3626" s="248"/>
      <c r="AJ3626" s="248"/>
      <c r="AK3626" s="248"/>
      <c r="AL3626" s="248"/>
      <c r="AM3626" s="248"/>
      <c r="AN3626" s="248"/>
      <c r="AO3626" s="248"/>
      <c r="AP3626" s="248"/>
      <c r="AQ3626" s="248"/>
      <c r="AR3626" s="248"/>
      <c r="AS3626" s="248"/>
      <c r="AT3626" s="248"/>
      <c r="AU3626" s="248"/>
      <c r="AV3626" s="248"/>
      <c r="AW3626" s="248"/>
      <c r="AX3626" s="248"/>
      <c r="AY3626" s="248"/>
      <c r="AZ3626" s="248"/>
      <c r="BA3626" s="248"/>
      <c r="BB3626" s="248"/>
      <c r="BC3626" s="248"/>
      <c r="BD3626" s="248"/>
      <c r="BE3626" s="248"/>
      <c r="BF3626" s="248"/>
      <c r="BG3626" s="248"/>
      <c r="BH3626" s="248"/>
      <c r="BI3626" s="248"/>
      <c r="BJ3626" s="248"/>
      <c r="BK3626" s="248"/>
      <c r="BL3626" s="248"/>
      <c r="BM3626" s="248"/>
      <c r="BN3626" s="248"/>
      <c r="BO3626" s="248"/>
      <c r="BP3626" s="248"/>
      <c r="BQ3626" s="248"/>
    </row>
    <row r="3627">
      <c r="A3627" s="78" t="s">
        <v>239</v>
      </c>
      <c r="B3627" s="248"/>
      <c r="C3627" s="99">
        <v>44181.0</v>
      </c>
      <c r="D3627" s="248"/>
      <c r="E3627" s="78" t="s">
        <v>41</v>
      </c>
      <c r="F3627" s="37">
        <v>1.0</v>
      </c>
      <c r="G3627" s="78" t="s">
        <v>32</v>
      </c>
      <c r="H3627" s="78">
        <v>1.0</v>
      </c>
      <c r="I3627" s="78" t="s">
        <v>33</v>
      </c>
      <c r="J3627" s="78" t="s">
        <v>241</v>
      </c>
      <c r="K3627" s="248"/>
      <c r="L3627" s="106" t="s">
        <v>194</v>
      </c>
      <c r="M3627" s="282" t="s">
        <v>9236</v>
      </c>
      <c r="N3627" s="282"/>
      <c r="O3627" s="248"/>
      <c r="P3627" s="248"/>
      <c r="Q3627" s="293"/>
      <c r="R3627" s="248"/>
      <c r="S3627" s="145"/>
      <c r="T3627" s="313"/>
      <c r="U3627" s="279"/>
      <c r="V3627" s="78" t="s">
        <v>33</v>
      </c>
      <c r="W3627" s="106"/>
      <c r="X3627" s="282"/>
      <c r="Y3627" s="314"/>
      <c r="Z3627" s="248"/>
      <c r="AA3627" s="248"/>
      <c r="AB3627" s="248"/>
      <c r="AC3627" s="248"/>
      <c r="AD3627" s="248"/>
      <c r="AE3627" s="248"/>
      <c r="AF3627" s="248"/>
      <c r="AG3627" s="248"/>
      <c r="AH3627" s="248"/>
      <c r="AI3627" s="248"/>
      <c r="AJ3627" s="248"/>
      <c r="AK3627" s="248"/>
      <c r="AL3627" s="248"/>
      <c r="AM3627" s="248"/>
      <c r="AN3627" s="248"/>
      <c r="AO3627" s="248"/>
      <c r="AP3627" s="248"/>
      <c r="AQ3627" s="248"/>
      <c r="AR3627" s="248"/>
      <c r="AS3627" s="248"/>
      <c r="AT3627" s="248"/>
      <c r="AU3627" s="248"/>
      <c r="AV3627" s="248"/>
      <c r="AW3627" s="248"/>
      <c r="AX3627" s="248"/>
      <c r="AY3627" s="248"/>
      <c r="AZ3627" s="248"/>
      <c r="BA3627" s="248"/>
      <c r="BB3627" s="248"/>
      <c r="BC3627" s="248"/>
      <c r="BD3627" s="248"/>
      <c r="BE3627" s="248"/>
      <c r="BF3627" s="248"/>
      <c r="BG3627" s="248"/>
      <c r="BH3627" s="248"/>
      <c r="BI3627" s="248"/>
      <c r="BJ3627" s="248"/>
      <c r="BK3627" s="248"/>
      <c r="BL3627" s="248"/>
      <c r="BM3627" s="248"/>
      <c r="BN3627" s="248"/>
      <c r="BO3627" s="248"/>
      <c r="BP3627" s="248"/>
      <c r="BQ3627" s="248"/>
    </row>
    <row r="3628">
      <c r="A3628" s="78" t="s">
        <v>9237</v>
      </c>
      <c r="B3628" s="248"/>
      <c r="C3628" s="99">
        <v>44182.0</v>
      </c>
      <c r="D3628" s="248"/>
      <c r="E3628" s="78" t="s">
        <v>41</v>
      </c>
      <c r="F3628" s="37">
        <v>1.0</v>
      </c>
      <c r="G3628" s="78">
        <v>1.0</v>
      </c>
      <c r="H3628" s="78">
        <v>1.0</v>
      </c>
      <c r="I3628" s="78" t="s">
        <v>33</v>
      </c>
      <c r="J3628" s="78" t="s">
        <v>524</v>
      </c>
      <c r="K3628" s="248"/>
      <c r="L3628" s="106" t="s">
        <v>1203</v>
      </c>
      <c r="M3628" s="282" t="s">
        <v>9238</v>
      </c>
      <c r="N3628" s="282"/>
      <c r="O3628" s="248"/>
      <c r="P3628" s="248"/>
      <c r="Q3628" s="293"/>
      <c r="R3628" s="248"/>
      <c r="S3628" s="145"/>
      <c r="T3628" s="313"/>
      <c r="U3628" s="279"/>
      <c r="V3628" s="78" t="s">
        <v>33</v>
      </c>
      <c r="W3628" s="106"/>
      <c r="X3628" s="282"/>
      <c r="Y3628" s="314"/>
      <c r="Z3628" s="248"/>
      <c r="AA3628" s="248"/>
      <c r="AB3628" s="248"/>
      <c r="AC3628" s="248"/>
      <c r="AD3628" s="248"/>
      <c r="AE3628" s="248"/>
      <c r="AF3628" s="248"/>
      <c r="AG3628" s="248"/>
      <c r="AH3628" s="248"/>
      <c r="AI3628" s="248"/>
      <c r="AJ3628" s="248"/>
      <c r="AK3628" s="248"/>
      <c r="AL3628" s="248"/>
      <c r="AM3628" s="248"/>
      <c r="AN3628" s="248"/>
      <c r="AO3628" s="248"/>
      <c r="AP3628" s="248"/>
      <c r="AQ3628" s="248"/>
      <c r="AR3628" s="248"/>
      <c r="AS3628" s="248"/>
      <c r="AT3628" s="248"/>
      <c r="AU3628" s="248"/>
      <c r="AV3628" s="248"/>
      <c r="AW3628" s="248"/>
      <c r="AX3628" s="248"/>
      <c r="AY3628" s="248"/>
      <c r="AZ3628" s="248"/>
      <c r="BA3628" s="248"/>
      <c r="BB3628" s="248"/>
      <c r="BC3628" s="248"/>
      <c r="BD3628" s="248"/>
      <c r="BE3628" s="248"/>
      <c r="BF3628" s="248"/>
      <c r="BG3628" s="248"/>
      <c r="BH3628" s="248"/>
      <c r="BI3628" s="248"/>
      <c r="BJ3628" s="248"/>
      <c r="BK3628" s="248"/>
      <c r="BL3628" s="248"/>
      <c r="BM3628" s="248"/>
      <c r="BN3628" s="248"/>
      <c r="BO3628" s="248"/>
      <c r="BP3628" s="248"/>
      <c r="BQ3628" s="248"/>
    </row>
    <row r="3629">
      <c r="A3629" s="78" t="s">
        <v>9239</v>
      </c>
      <c r="B3629" s="248"/>
      <c r="C3629" s="99">
        <v>44182.0</v>
      </c>
      <c r="D3629" s="248"/>
      <c r="E3629" s="78" t="s">
        <v>41</v>
      </c>
      <c r="F3629" s="37">
        <v>1.0</v>
      </c>
      <c r="G3629" s="78" t="s">
        <v>32</v>
      </c>
      <c r="H3629" s="78">
        <v>1.0</v>
      </c>
      <c r="I3629" s="78" t="s">
        <v>33</v>
      </c>
      <c r="J3629" s="78" t="s">
        <v>93</v>
      </c>
      <c r="K3629" s="248"/>
      <c r="L3629" s="106" t="s">
        <v>76</v>
      </c>
      <c r="M3629" s="282" t="s">
        <v>9240</v>
      </c>
      <c r="N3629" s="282"/>
      <c r="O3629" s="248"/>
      <c r="P3629" s="248"/>
      <c r="Q3629" s="293"/>
      <c r="R3629" s="248"/>
      <c r="S3629" s="145"/>
      <c r="T3629" s="313"/>
      <c r="U3629" s="279"/>
      <c r="V3629" s="78" t="s">
        <v>33</v>
      </c>
      <c r="W3629" s="106"/>
      <c r="X3629" s="282"/>
      <c r="Y3629" s="314"/>
      <c r="Z3629" s="248"/>
      <c r="AA3629" s="248"/>
      <c r="AB3629" s="248"/>
      <c r="AC3629" s="248"/>
      <c r="AD3629" s="248"/>
      <c r="AE3629" s="248"/>
      <c r="AF3629" s="248"/>
      <c r="AG3629" s="248"/>
      <c r="AH3629" s="248"/>
      <c r="AI3629" s="248"/>
      <c r="AJ3629" s="248"/>
      <c r="AK3629" s="248"/>
      <c r="AL3629" s="248"/>
      <c r="AM3629" s="248"/>
      <c r="AN3629" s="248"/>
      <c r="AO3629" s="248"/>
      <c r="AP3629" s="248"/>
      <c r="AQ3629" s="248"/>
      <c r="AR3629" s="248"/>
      <c r="AS3629" s="248"/>
      <c r="AT3629" s="248"/>
      <c r="AU3629" s="248"/>
      <c r="AV3629" s="248"/>
      <c r="AW3629" s="248"/>
      <c r="AX3629" s="248"/>
      <c r="AY3629" s="248"/>
      <c r="AZ3629" s="248"/>
      <c r="BA3629" s="248"/>
      <c r="BB3629" s="248"/>
      <c r="BC3629" s="248"/>
      <c r="BD3629" s="248"/>
      <c r="BE3629" s="248"/>
      <c r="BF3629" s="248"/>
      <c r="BG3629" s="248"/>
      <c r="BH3629" s="248"/>
      <c r="BI3629" s="248"/>
      <c r="BJ3629" s="248"/>
      <c r="BK3629" s="248"/>
      <c r="BL3629" s="248"/>
      <c r="BM3629" s="248"/>
      <c r="BN3629" s="248"/>
      <c r="BO3629" s="248"/>
      <c r="BP3629" s="248"/>
      <c r="BQ3629" s="248"/>
    </row>
    <row r="3630">
      <c r="A3630" s="78" t="s">
        <v>9241</v>
      </c>
      <c r="B3630" s="248"/>
      <c r="C3630" s="99">
        <v>44183.0</v>
      </c>
      <c r="D3630" s="248"/>
      <c r="E3630" s="78" t="s">
        <v>41</v>
      </c>
      <c r="F3630" s="37">
        <v>1.0</v>
      </c>
      <c r="G3630" s="78" t="s">
        <v>32</v>
      </c>
      <c r="H3630" s="78">
        <v>1.0</v>
      </c>
      <c r="I3630" s="78" t="s">
        <v>33</v>
      </c>
      <c r="J3630" s="78" t="s">
        <v>184</v>
      </c>
      <c r="K3630" s="248"/>
      <c r="L3630" s="106" t="s">
        <v>76</v>
      </c>
      <c r="M3630" s="282" t="s">
        <v>9242</v>
      </c>
      <c r="N3630" s="282"/>
      <c r="O3630" s="248"/>
      <c r="P3630" s="248"/>
      <c r="Q3630" s="293"/>
      <c r="R3630" s="248"/>
      <c r="S3630" s="145"/>
      <c r="T3630" s="313"/>
      <c r="U3630" s="279"/>
      <c r="V3630" s="78" t="s">
        <v>33</v>
      </c>
      <c r="W3630" s="106"/>
      <c r="X3630" s="282"/>
      <c r="Y3630" s="314"/>
      <c r="Z3630" s="248"/>
      <c r="AA3630" s="248"/>
      <c r="AB3630" s="248"/>
      <c r="AC3630" s="248"/>
      <c r="AD3630" s="248"/>
      <c r="AE3630" s="248"/>
      <c r="AF3630" s="248"/>
      <c r="AG3630" s="248"/>
      <c r="AH3630" s="248"/>
      <c r="AI3630" s="248"/>
      <c r="AJ3630" s="248"/>
      <c r="AK3630" s="248"/>
      <c r="AL3630" s="248"/>
      <c r="AM3630" s="248"/>
      <c r="AN3630" s="248"/>
      <c r="AO3630" s="248"/>
      <c r="AP3630" s="248"/>
      <c r="AQ3630" s="248"/>
      <c r="AR3630" s="248"/>
      <c r="AS3630" s="248"/>
      <c r="AT3630" s="248"/>
      <c r="AU3630" s="248"/>
      <c r="AV3630" s="248"/>
      <c r="AW3630" s="248"/>
      <c r="AX3630" s="248"/>
      <c r="AY3630" s="248"/>
      <c r="AZ3630" s="248"/>
      <c r="BA3630" s="248"/>
      <c r="BB3630" s="248"/>
      <c r="BC3630" s="248"/>
      <c r="BD3630" s="248"/>
      <c r="BE3630" s="248"/>
      <c r="BF3630" s="248"/>
      <c r="BG3630" s="248"/>
      <c r="BH3630" s="248"/>
      <c r="BI3630" s="248"/>
      <c r="BJ3630" s="248"/>
      <c r="BK3630" s="248"/>
      <c r="BL3630" s="248"/>
      <c r="BM3630" s="248"/>
      <c r="BN3630" s="248"/>
      <c r="BO3630" s="248"/>
      <c r="BP3630" s="248"/>
      <c r="BQ3630" s="248"/>
    </row>
    <row r="3631">
      <c r="A3631" s="78" t="s">
        <v>9243</v>
      </c>
      <c r="B3631" s="248"/>
      <c r="C3631" s="99">
        <v>44186.0</v>
      </c>
      <c r="D3631" s="248"/>
      <c r="E3631" s="78" t="s">
        <v>41</v>
      </c>
      <c r="F3631" s="37">
        <v>1.0</v>
      </c>
      <c r="G3631" s="78" t="s">
        <v>32</v>
      </c>
      <c r="H3631" s="78">
        <v>1.0</v>
      </c>
      <c r="I3631" s="78" t="s">
        <v>33</v>
      </c>
      <c r="J3631" s="78" t="s">
        <v>93</v>
      </c>
      <c r="K3631" s="248"/>
      <c r="L3631" s="106" t="s">
        <v>69</v>
      </c>
      <c r="M3631" s="282" t="s">
        <v>9244</v>
      </c>
      <c r="N3631" s="282"/>
      <c r="O3631" s="248"/>
      <c r="P3631" s="248"/>
      <c r="Q3631" s="293"/>
      <c r="R3631" s="248"/>
      <c r="S3631" s="145"/>
      <c r="T3631" s="313"/>
      <c r="U3631" s="279"/>
      <c r="V3631" s="78" t="s">
        <v>33</v>
      </c>
      <c r="W3631" s="106"/>
      <c r="X3631" s="282"/>
      <c r="Y3631" s="314"/>
      <c r="Z3631" s="248"/>
      <c r="AA3631" s="248"/>
      <c r="AB3631" s="248"/>
      <c r="AC3631" s="248"/>
      <c r="AD3631" s="248"/>
      <c r="AE3631" s="248"/>
      <c r="AF3631" s="248"/>
      <c r="AG3631" s="248"/>
      <c r="AH3631" s="248"/>
      <c r="AI3631" s="248"/>
      <c r="AJ3631" s="248"/>
      <c r="AK3631" s="248"/>
      <c r="AL3631" s="248"/>
      <c r="AM3631" s="248"/>
      <c r="AN3631" s="248"/>
      <c r="AO3631" s="248"/>
      <c r="AP3631" s="248"/>
      <c r="AQ3631" s="248"/>
      <c r="AR3631" s="248"/>
      <c r="AS3631" s="248"/>
      <c r="AT3631" s="248"/>
      <c r="AU3631" s="248"/>
      <c r="AV3631" s="248"/>
      <c r="AW3631" s="248"/>
      <c r="AX3631" s="248"/>
      <c r="AY3631" s="248"/>
      <c r="AZ3631" s="248"/>
      <c r="BA3631" s="248"/>
      <c r="BB3631" s="248"/>
      <c r="BC3631" s="248"/>
      <c r="BD3631" s="248"/>
      <c r="BE3631" s="248"/>
      <c r="BF3631" s="248"/>
      <c r="BG3631" s="248"/>
      <c r="BH3631" s="248"/>
      <c r="BI3631" s="248"/>
      <c r="BJ3631" s="248"/>
      <c r="BK3631" s="248"/>
      <c r="BL3631" s="248"/>
      <c r="BM3631" s="248"/>
      <c r="BN3631" s="248"/>
      <c r="BO3631" s="248"/>
      <c r="BP3631" s="248"/>
      <c r="BQ3631" s="248"/>
    </row>
    <row r="3632">
      <c r="A3632" s="78" t="s">
        <v>9245</v>
      </c>
      <c r="B3632" s="248"/>
      <c r="C3632" s="99">
        <v>44188.0</v>
      </c>
      <c r="D3632" s="248"/>
      <c r="E3632" s="78" t="s">
        <v>41</v>
      </c>
      <c r="F3632" s="37">
        <v>1.0</v>
      </c>
      <c r="G3632" s="78" t="s">
        <v>32</v>
      </c>
      <c r="H3632" s="78">
        <v>1.0</v>
      </c>
      <c r="I3632" s="78" t="s">
        <v>33</v>
      </c>
      <c r="J3632" s="78" t="s">
        <v>288</v>
      </c>
      <c r="K3632" s="248"/>
      <c r="L3632" s="311" t="s">
        <v>1203</v>
      </c>
      <c r="M3632" s="282" t="s">
        <v>9246</v>
      </c>
      <c r="N3632" s="312"/>
      <c r="O3632" s="248"/>
      <c r="P3632" s="248"/>
      <c r="Q3632" s="293"/>
      <c r="R3632" s="248"/>
      <c r="S3632" s="145"/>
      <c r="T3632" s="313"/>
      <c r="U3632" s="279"/>
      <c r="V3632" s="78" t="s">
        <v>33</v>
      </c>
      <c r="W3632" s="311"/>
      <c r="X3632" s="312"/>
      <c r="Y3632" s="314"/>
      <c r="Z3632" s="248"/>
      <c r="AA3632" s="248"/>
      <c r="AB3632" s="248"/>
      <c r="AC3632" s="248"/>
      <c r="AD3632" s="248"/>
      <c r="AE3632" s="248"/>
      <c r="AF3632" s="248"/>
      <c r="AG3632" s="248"/>
      <c r="AH3632" s="248"/>
      <c r="AI3632" s="248"/>
      <c r="AJ3632" s="248"/>
      <c r="AK3632" s="248"/>
      <c r="AL3632" s="248"/>
      <c r="AM3632" s="248"/>
      <c r="AN3632" s="248"/>
      <c r="AO3632" s="248"/>
      <c r="AP3632" s="248"/>
      <c r="AQ3632" s="248"/>
      <c r="AR3632" s="248"/>
      <c r="AS3632" s="248"/>
      <c r="AT3632" s="248"/>
      <c r="AU3632" s="248"/>
      <c r="AV3632" s="248"/>
      <c r="AW3632" s="248"/>
      <c r="AX3632" s="248"/>
      <c r="AY3632" s="248"/>
      <c r="AZ3632" s="248"/>
      <c r="BA3632" s="248"/>
      <c r="BB3632" s="248"/>
      <c r="BC3632" s="248"/>
      <c r="BD3632" s="248"/>
      <c r="BE3632" s="248"/>
      <c r="BF3632" s="248"/>
      <c r="BG3632" s="248"/>
      <c r="BH3632" s="248"/>
      <c r="BI3632" s="248"/>
      <c r="BJ3632" s="248"/>
      <c r="BK3632" s="248"/>
      <c r="BL3632" s="248"/>
      <c r="BM3632" s="248"/>
      <c r="BN3632" s="248"/>
      <c r="BO3632" s="248"/>
      <c r="BP3632" s="248"/>
      <c r="BQ3632" s="248"/>
    </row>
    <row r="3633">
      <c r="A3633" s="78" t="s">
        <v>9247</v>
      </c>
      <c r="B3633" s="248"/>
      <c r="C3633" s="99">
        <v>44188.0</v>
      </c>
      <c r="D3633" s="248"/>
      <c r="E3633" s="78" t="s">
        <v>41</v>
      </c>
      <c r="F3633" s="37">
        <v>1.0</v>
      </c>
      <c r="G3633" s="78" t="s">
        <v>32</v>
      </c>
      <c r="H3633" s="78">
        <v>1.0</v>
      </c>
      <c r="I3633" s="78" t="s">
        <v>33</v>
      </c>
      <c r="J3633" s="78" t="s">
        <v>288</v>
      </c>
      <c r="K3633" s="248"/>
      <c r="L3633" s="106" t="s">
        <v>1203</v>
      </c>
      <c r="M3633" s="282" t="s">
        <v>9246</v>
      </c>
      <c r="N3633" s="282"/>
      <c r="O3633" s="248"/>
      <c r="P3633" s="248"/>
      <c r="Q3633" s="293"/>
      <c r="R3633" s="248"/>
      <c r="S3633" s="145"/>
      <c r="T3633" s="313"/>
      <c r="U3633" s="279"/>
      <c r="V3633" s="78" t="s">
        <v>33</v>
      </c>
      <c r="W3633" s="106"/>
      <c r="X3633" s="282"/>
      <c r="Y3633" s="314"/>
      <c r="Z3633" s="248"/>
      <c r="AA3633" s="248"/>
      <c r="AB3633" s="248"/>
      <c r="AC3633" s="248"/>
      <c r="AD3633" s="248"/>
      <c r="AE3633" s="248"/>
      <c r="AF3633" s="248"/>
      <c r="AG3633" s="248"/>
      <c r="AH3633" s="248"/>
      <c r="AI3633" s="248"/>
      <c r="AJ3633" s="248"/>
      <c r="AK3633" s="248"/>
      <c r="AL3633" s="248"/>
      <c r="AM3633" s="248"/>
      <c r="AN3633" s="248"/>
      <c r="AO3633" s="248"/>
      <c r="AP3633" s="248"/>
      <c r="AQ3633" s="248"/>
      <c r="AR3633" s="248"/>
      <c r="AS3633" s="248"/>
      <c r="AT3633" s="248"/>
      <c r="AU3633" s="248"/>
      <c r="AV3633" s="248"/>
      <c r="AW3633" s="248"/>
      <c r="AX3633" s="248"/>
      <c r="AY3633" s="248"/>
      <c r="AZ3633" s="248"/>
      <c r="BA3633" s="248"/>
      <c r="BB3633" s="248"/>
      <c r="BC3633" s="248"/>
      <c r="BD3633" s="248"/>
      <c r="BE3633" s="248"/>
      <c r="BF3633" s="248"/>
      <c r="BG3633" s="248"/>
      <c r="BH3633" s="248"/>
      <c r="BI3633" s="248"/>
      <c r="BJ3633" s="248"/>
      <c r="BK3633" s="248"/>
      <c r="BL3633" s="248"/>
      <c r="BM3633" s="248"/>
      <c r="BN3633" s="248"/>
      <c r="BO3633" s="248"/>
      <c r="BP3633" s="248"/>
      <c r="BQ3633" s="248"/>
    </row>
    <row r="3634">
      <c r="A3634" s="78" t="s">
        <v>9248</v>
      </c>
      <c r="B3634" s="248"/>
      <c r="C3634" s="99">
        <v>44188.0</v>
      </c>
      <c r="D3634" s="248"/>
      <c r="E3634" s="78" t="s">
        <v>41</v>
      </c>
      <c r="F3634" s="37">
        <v>1.0</v>
      </c>
      <c r="G3634" s="78" t="s">
        <v>32</v>
      </c>
      <c r="H3634" s="78">
        <v>1.0</v>
      </c>
      <c r="I3634" s="78" t="s">
        <v>33</v>
      </c>
      <c r="J3634" s="78" t="s">
        <v>288</v>
      </c>
      <c r="K3634" s="248"/>
      <c r="L3634" s="106" t="s">
        <v>1203</v>
      </c>
      <c r="M3634" s="282" t="s">
        <v>9246</v>
      </c>
      <c r="N3634" s="282"/>
      <c r="O3634" s="248"/>
      <c r="P3634" s="248"/>
      <c r="Q3634" s="293"/>
      <c r="R3634" s="248"/>
      <c r="S3634" s="145"/>
      <c r="T3634" s="313"/>
      <c r="U3634" s="279"/>
      <c r="V3634" s="78" t="s">
        <v>33</v>
      </c>
      <c r="W3634" s="106"/>
      <c r="X3634" s="282"/>
      <c r="Y3634" s="314"/>
      <c r="Z3634" s="248"/>
      <c r="AA3634" s="248"/>
      <c r="AB3634" s="248"/>
      <c r="AC3634" s="248"/>
      <c r="AD3634" s="248"/>
      <c r="AE3634" s="248"/>
      <c r="AF3634" s="248"/>
      <c r="AG3634" s="248"/>
      <c r="AH3634" s="248"/>
      <c r="AI3634" s="248"/>
      <c r="AJ3634" s="248"/>
      <c r="AK3634" s="248"/>
      <c r="AL3634" s="248"/>
      <c r="AM3634" s="248"/>
      <c r="AN3634" s="248"/>
      <c r="AO3634" s="248"/>
      <c r="AP3634" s="248"/>
      <c r="AQ3634" s="248"/>
      <c r="AR3634" s="248"/>
      <c r="AS3634" s="248"/>
      <c r="AT3634" s="248"/>
      <c r="AU3634" s="248"/>
      <c r="AV3634" s="248"/>
      <c r="AW3634" s="248"/>
      <c r="AX3634" s="248"/>
      <c r="AY3634" s="248"/>
      <c r="AZ3634" s="248"/>
      <c r="BA3634" s="248"/>
      <c r="BB3634" s="248"/>
      <c r="BC3634" s="248"/>
      <c r="BD3634" s="248"/>
      <c r="BE3634" s="248"/>
      <c r="BF3634" s="248"/>
      <c r="BG3634" s="248"/>
      <c r="BH3634" s="248"/>
      <c r="BI3634" s="248"/>
      <c r="BJ3634" s="248"/>
      <c r="BK3634" s="248"/>
      <c r="BL3634" s="248"/>
      <c r="BM3634" s="248"/>
      <c r="BN3634" s="248"/>
      <c r="BO3634" s="248"/>
      <c r="BP3634" s="248"/>
      <c r="BQ3634" s="248"/>
    </row>
    <row r="3635">
      <c r="A3635" s="78" t="s">
        <v>9249</v>
      </c>
      <c r="B3635" s="248"/>
      <c r="C3635" s="99">
        <v>44188.0</v>
      </c>
      <c r="D3635" s="248"/>
      <c r="E3635" s="78" t="s">
        <v>41</v>
      </c>
      <c r="F3635" s="37">
        <v>1.0</v>
      </c>
      <c r="G3635" s="78" t="s">
        <v>32</v>
      </c>
      <c r="H3635" s="78">
        <v>1.0</v>
      </c>
      <c r="I3635" s="78" t="s">
        <v>33</v>
      </c>
      <c r="J3635" s="78" t="s">
        <v>288</v>
      </c>
      <c r="K3635" s="248"/>
      <c r="L3635" s="106" t="s">
        <v>1203</v>
      </c>
      <c r="M3635" s="282" t="s">
        <v>9246</v>
      </c>
      <c r="N3635" s="282"/>
      <c r="O3635" s="248"/>
      <c r="P3635" s="248"/>
      <c r="Q3635" s="293"/>
      <c r="R3635" s="248"/>
      <c r="S3635" s="145"/>
      <c r="T3635" s="313"/>
      <c r="U3635" s="279"/>
      <c r="V3635" s="78" t="s">
        <v>33</v>
      </c>
      <c r="W3635" s="106"/>
      <c r="X3635" s="282"/>
      <c r="Y3635" s="314"/>
      <c r="Z3635" s="248"/>
      <c r="AA3635" s="248"/>
      <c r="AB3635" s="248"/>
      <c r="AC3635" s="248"/>
      <c r="AD3635" s="248"/>
      <c r="AE3635" s="248"/>
      <c r="AF3635" s="248"/>
      <c r="AG3635" s="248"/>
      <c r="AH3635" s="248"/>
      <c r="AI3635" s="248"/>
      <c r="AJ3635" s="248"/>
      <c r="AK3635" s="248"/>
      <c r="AL3635" s="248"/>
      <c r="AM3635" s="248"/>
      <c r="AN3635" s="248"/>
      <c r="AO3635" s="248"/>
      <c r="AP3635" s="248"/>
      <c r="AQ3635" s="248"/>
      <c r="AR3635" s="248"/>
      <c r="AS3635" s="248"/>
      <c r="AT3635" s="248"/>
      <c r="AU3635" s="248"/>
      <c r="AV3635" s="248"/>
      <c r="AW3635" s="248"/>
      <c r="AX3635" s="248"/>
      <c r="AY3635" s="248"/>
      <c r="AZ3635" s="248"/>
      <c r="BA3635" s="248"/>
      <c r="BB3635" s="248"/>
      <c r="BC3635" s="248"/>
      <c r="BD3635" s="248"/>
      <c r="BE3635" s="248"/>
      <c r="BF3635" s="248"/>
      <c r="BG3635" s="248"/>
      <c r="BH3635" s="248"/>
      <c r="BI3635" s="248"/>
      <c r="BJ3635" s="248"/>
      <c r="BK3635" s="248"/>
      <c r="BL3635" s="248"/>
      <c r="BM3635" s="248"/>
      <c r="BN3635" s="248"/>
      <c r="BO3635" s="248"/>
      <c r="BP3635" s="248"/>
      <c r="BQ3635" s="248"/>
    </row>
    <row r="3636">
      <c r="A3636" s="78" t="s">
        <v>9250</v>
      </c>
      <c r="B3636" s="248"/>
      <c r="C3636" s="99">
        <v>44194.0</v>
      </c>
      <c r="D3636" s="248"/>
      <c r="E3636" s="78" t="s">
        <v>41</v>
      </c>
      <c r="F3636" s="37">
        <v>1.0</v>
      </c>
      <c r="G3636" s="78" t="s">
        <v>32</v>
      </c>
      <c r="H3636" s="78">
        <v>1.0</v>
      </c>
      <c r="I3636" s="78" t="s">
        <v>33</v>
      </c>
      <c r="J3636" s="78" t="s">
        <v>144</v>
      </c>
      <c r="K3636" s="248"/>
      <c r="L3636" s="106" t="s">
        <v>76</v>
      </c>
      <c r="M3636" s="282" t="s">
        <v>9251</v>
      </c>
      <c r="N3636" s="282"/>
      <c r="O3636" s="248"/>
      <c r="P3636" s="248"/>
      <c r="Q3636" s="293"/>
      <c r="R3636" s="248"/>
      <c r="S3636" s="145"/>
      <c r="T3636" s="313"/>
      <c r="U3636" s="279"/>
      <c r="V3636" s="78" t="s">
        <v>33</v>
      </c>
      <c r="W3636" s="106"/>
      <c r="X3636" s="282"/>
      <c r="Y3636" s="314"/>
      <c r="Z3636" s="248"/>
      <c r="AA3636" s="248"/>
      <c r="AB3636" s="248"/>
      <c r="AC3636" s="248"/>
      <c r="AD3636" s="248"/>
      <c r="AE3636" s="248"/>
      <c r="AF3636" s="248"/>
      <c r="AG3636" s="248"/>
      <c r="AH3636" s="248"/>
      <c r="AI3636" s="248"/>
      <c r="AJ3636" s="248"/>
      <c r="AK3636" s="248"/>
      <c r="AL3636" s="248"/>
      <c r="AM3636" s="248"/>
      <c r="AN3636" s="248"/>
      <c r="AO3636" s="248"/>
      <c r="AP3636" s="248"/>
      <c r="AQ3636" s="248"/>
      <c r="AR3636" s="248"/>
      <c r="AS3636" s="248"/>
      <c r="AT3636" s="248"/>
      <c r="AU3636" s="248"/>
      <c r="AV3636" s="248"/>
      <c r="AW3636" s="248"/>
      <c r="AX3636" s="248"/>
      <c r="AY3636" s="248"/>
      <c r="AZ3636" s="248"/>
      <c r="BA3636" s="248"/>
      <c r="BB3636" s="248"/>
      <c r="BC3636" s="248"/>
      <c r="BD3636" s="248"/>
      <c r="BE3636" s="248"/>
      <c r="BF3636" s="248"/>
      <c r="BG3636" s="248"/>
      <c r="BH3636" s="248"/>
      <c r="BI3636" s="248"/>
      <c r="BJ3636" s="248"/>
      <c r="BK3636" s="248"/>
      <c r="BL3636" s="248"/>
      <c r="BM3636" s="248"/>
      <c r="BN3636" s="248"/>
      <c r="BO3636" s="248"/>
      <c r="BP3636" s="248"/>
      <c r="BQ3636" s="248"/>
    </row>
    <row r="3637">
      <c r="A3637" s="78" t="s">
        <v>239</v>
      </c>
      <c r="B3637" s="248"/>
      <c r="C3637" s="99">
        <v>44200.0</v>
      </c>
      <c r="D3637" s="248"/>
      <c r="E3637" s="78" t="s">
        <v>41</v>
      </c>
      <c r="F3637" s="37">
        <v>2.0</v>
      </c>
      <c r="G3637" s="78" t="s">
        <v>32</v>
      </c>
      <c r="H3637" s="78">
        <v>1.0</v>
      </c>
      <c r="I3637" s="78" t="s">
        <v>33</v>
      </c>
      <c r="J3637" s="78" t="s">
        <v>111</v>
      </c>
      <c r="K3637" s="248"/>
      <c r="L3637" s="106" t="s">
        <v>194</v>
      </c>
      <c r="M3637" s="282" t="s">
        <v>9252</v>
      </c>
      <c r="N3637" s="282"/>
      <c r="O3637" s="248"/>
      <c r="P3637" s="248"/>
      <c r="Q3637" s="293"/>
      <c r="R3637" s="248"/>
      <c r="S3637" s="145"/>
      <c r="T3637" s="313"/>
      <c r="U3637" s="279"/>
      <c r="V3637" s="78" t="s">
        <v>33</v>
      </c>
      <c r="W3637" s="106"/>
      <c r="X3637" s="282"/>
      <c r="Y3637" s="314"/>
      <c r="Z3637" s="248"/>
      <c r="AA3637" s="248"/>
      <c r="AB3637" s="248"/>
      <c r="AC3637" s="248"/>
      <c r="AD3637" s="248"/>
      <c r="AE3637" s="248"/>
      <c r="AF3637" s="248"/>
      <c r="AG3637" s="248"/>
      <c r="AH3637" s="248"/>
      <c r="AI3637" s="248"/>
      <c r="AJ3637" s="248"/>
      <c r="AK3637" s="248"/>
      <c r="AL3637" s="248"/>
      <c r="AM3637" s="248"/>
      <c r="AN3637" s="248"/>
      <c r="AO3637" s="248"/>
      <c r="AP3637" s="248"/>
      <c r="AQ3637" s="248"/>
      <c r="AR3637" s="248"/>
      <c r="AS3637" s="248"/>
      <c r="AT3637" s="248"/>
      <c r="AU3637" s="248"/>
      <c r="AV3637" s="248"/>
      <c r="AW3637" s="248"/>
      <c r="AX3637" s="248"/>
      <c r="AY3637" s="248"/>
      <c r="AZ3637" s="248"/>
      <c r="BA3637" s="248"/>
      <c r="BB3637" s="248"/>
      <c r="BC3637" s="248"/>
      <c r="BD3637" s="248"/>
      <c r="BE3637" s="248"/>
      <c r="BF3637" s="248"/>
      <c r="BG3637" s="248"/>
      <c r="BH3637" s="248"/>
      <c r="BI3637" s="248"/>
      <c r="BJ3637" s="248"/>
      <c r="BK3637" s="248"/>
      <c r="BL3637" s="248"/>
      <c r="BM3637" s="248"/>
      <c r="BN3637" s="248"/>
      <c r="BO3637" s="248"/>
      <c r="BP3637" s="248"/>
      <c r="BQ3637" s="248"/>
    </row>
    <row r="3638">
      <c r="A3638" s="78" t="s">
        <v>9253</v>
      </c>
      <c r="B3638" s="248"/>
      <c r="C3638" s="99">
        <v>44201.0</v>
      </c>
      <c r="D3638" s="248"/>
      <c r="E3638" s="78" t="s">
        <v>31</v>
      </c>
      <c r="F3638" s="37">
        <v>1.0</v>
      </c>
      <c r="G3638" s="78" t="s">
        <v>32</v>
      </c>
      <c r="H3638" s="78">
        <v>1.0</v>
      </c>
      <c r="I3638" s="78" t="s">
        <v>33</v>
      </c>
      <c r="J3638" s="78" t="s">
        <v>93</v>
      </c>
      <c r="K3638" s="248"/>
      <c r="L3638" s="106" t="s">
        <v>69</v>
      </c>
      <c r="M3638" s="282" t="s">
        <v>9254</v>
      </c>
      <c r="N3638" s="282" t="s">
        <v>9255</v>
      </c>
      <c r="O3638" s="248"/>
      <c r="P3638" s="248"/>
      <c r="Q3638" s="293"/>
      <c r="R3638" s="248"/>
      <c r="S3638" s="145"/>
      <c r="T3638" s="313"/>
      <c r="U3638" s="279"/>
      <c r="V3638" s="78" t="s">
        <v>33</v>
      </c>
      <c r="W3638" s="46" t="s">
        <v>9256</v>
      </c>
      <c r="X3638" s="282" t="s">
        <v>9257</v>
      </c>
      <c r="Y3638" s="314"/>
      <c r="Z3638" s="248"/>
      <c r="AA3638" s="248"/>
      <c r="AB3638" s="248"/>
      <c r="AC3638" s="248"/>
      <c r="AD3638" s="248"/>
      <c r="AE3638" s="248"/>
      <c r="AF3638" s="248"/>
      <c r="AG3638" s="248"/>
      <c r="AH3638" s="248"/>
      <c r="AI3638" s="248"/>
      <c r="AJ3638" s="248"/>
      <c r="AK3638" s="248"/>
      <c r="AL3638" s="248"/>
      <c r="AM3638" s="248"/>
      <c r="AN3638" s="248"/>
      <c r="AO3638" s="248"/>
      <c r="AP3638" s="248"/>
      <c r="AQ3638" s="248"/>
      <c r="AR3638" s="248"/>
      <c r="AS3638" s="248"/>
      <c r="AT3638" s="248"/>
      <c r="AU3638" s="248"/>
      <c r="AV3638" s="248"/>
      <c r="AW3638" s="248"/>
      <c r="AX3638" s="248"/>
      <c r="AY3638" s="248"/>
      <c r="AZ3638" s="248"/>
      <c r="BA3638" s="248"/>
      <c r="BB3638" s="248"/>
      <c r="BC3638" s="248"/>
      <c r="BD3638" s="248"/>
      <c r="BE3638" s="248"/>
      <c r="BF3638" s="248"/>
      <c r="BG3638" s="248"/>
      <c r="BH3638" s="248"/>
      <c r="BI3638" s="248"/>
      <c r="BJ3638" s="248"/>
      <c r="BK3638" s="248"/>
      <c r="BL3638" s="248"/>
      <c r="BM3638" s="248"/>
      <c r="BN3638" s="248"/>
      <c r="BO3638" s="248"/>
      <c r="BP3638" s="248"/>
      <c r="BQ3638" s="248"/>
    </row>
    <row r="3639">
      <c r="A3639" s="78" t="s">
        <v>239</v>
      </c>
      <c r="B3639" s="248"/>
      <c r="C3639" s="99">
        <v>44201.0</v>
      </c>
      <c r="D3639" s="248"/>
      <c r="E3639" s="78" t="s">
        <v>41</v>
      </c>
      <c r="F3639" s="37">
        <v>2.0</v>
      </c>
      <c r="G3639" s="78" t="s">
        <v>32</v>
      </c>
      <c r="H3639" s="78">
        <v>1.0</v>
      </c>
      <c r="I3639" s="78" t="s">
        <v>33</v>
      </c>
      <c r="J3639" s="78" t="s">
        <v>147</v>
      </c>
      <c r="K3639" s="248"/>
      <c r="L3639" s="106" t="s">
        <v>194</v>
      </c>
      <c r="M3639" s="282" t="s">
        <v>9258</v>
      </c>
      <c r="N3639" s="282"/>
      <c r="O3639" s="248"/>
      <c r="P3639" s="248"/>
      <c r="Q3639" s="293"/>
      <c r="R3639" s="248"/>
      <c r="S3639" s="145"/>
      <c r="T3639" s="313"/>
      <c r="U3639" s="279"/>
      <c r="V3639" s="78" t="s">
        <v>33</v>
      </c>
      <c r="W3639" s="106"/>
      <c r="X3639" s="282"/>
      <c r="Y3639" s="314"/>
      <c r="Z3639" s="248"/>
      <c r="AA3639" s="248"/>
      <c r="AB3639" s="248"/>
      <c r="AC3639" s="248"/>
      <c r="AD3639" s="248"/>
      <c r="AE3639" s="248"/>
      <c r="AF3639" s="248"/>
      <c r="AG3639" s="248"/>
      <c r="AH3639" s="248"/>
      <c r="AI3639" s="248"/>
      <c r="AJ3639" s="248"/>
      <c r="AK3639" s="248"/>
      <c r="AL3639" s="248"/>
      <c r="AM3639" s="248"/>
      <c r="AN3639" s="248"/>
      <c r="AO3639" s="248"/>
      <c r="AP3639" s="248"/>
      <c r="AQ3639" s="248"/>
      <c r="AR3639" s="248"/>
      <c r="AS3639" s="248"/>
      <c r="AT3639" s="248"/>
      <c r="AU3639" s="248"/>
      <c r="AV3639" s="248"/>
      <c r="AW3639" s="248"/>
      <c r="AX3639" s="248"/>
      <c r="AY3639" s="248"/>
      <c r="AZ3639" s="248"/>
      <c r="BA3639" s="248"/>
      <c r="BB3639" s="248"/>
      <c r="BC3639" s="248"/>
      <c r="BD3639" s="248"/>
      <c r="BE3639" s="248"/>
      <c r="BF3639" s="248"/>
      <c r="BG3639" s="248"/>
      <c r="BH3639" s="248"/>
      <c r="BI3639" s="248"/>
      <c r="BJ3639" s="248"/>
      <c r="BK3639" s="248"/>
      <c r="BL3639" s="248"/>
      <c r="BM3639" s="248"/>
      <c r="BN3639" s="248"/>
      <c r="BO3639" s="248"/>
      <c r="BP3639" s="248"/>
      <c r="BQ3639" s="248"/>
    </row>
    <row r="3640">
      <c r="A3640" s="78" t="s">
        <v>239</v>
      </c>
      <c r="B3640" s="248"/>
      <c r="C3640" s="99">
        <v>44202.0</v>
      </c>
      <c r="D3640" s="248"/>
      <c r="E3640" s="78" t="s">
        <v>41</v>
      </c>
      <c r="F3640" s="37">
        <v>1.0</v>
      </c>
      <c r="G3640" s="78" t="s">
        <v>32</v>
      </c>
      <c r="H3640" s="78">
        <v>1.0</v>
      </c>
      <c r="I3640" s="78" t="s">
        <v>33</v>
      </c>
      <c r="J3640" s="78" t="s">
        <v>147</v>
      </c>
      <c r="K3640" s="248"/>
      <c r="L3640" s="106" t="s">
        <v>194</v>
      </c>
      <c r="M3640" s="282" t="s">
        <v>9259</v>
      </c>
      <c r="N3640" s="282"/>
      <c r="O3640" s="248"/>
      <c r="P3640" s="248"/>
      <c r="Q3640" s="293"/>
      <c r="R3640" s="248"/>
      <c r="S3640" s="145"/>
      <c r="T3640" s="313"/>
      <c r="U3640" s="279"/>
      <c r="V3640" s="78" t="s">
        <v>33</v>
      </c>
      <c r="W3640" s="106"/>
      <c r="X3640" s="282"/>
      <c r="Y3640" s="314"/>
      <c r="Z3640" s="248"/>
      <c r="AA3640" s="248"/>
      <c r="AB3640" s="248"/>
      <c r="AC3640" s="248"/>
      <c r="AD3640" s="248"/>
      <c r="AE3640" s="248"/>
      <c r="AF3640" s="248"/>
      <c r="AG3640" s="248"/>
      <c r="AH3640" s="248"/>
      <c r="AI3640" s="248"/>
      <c r="AJ3640" s="248"/>
      <c r="AK3640" s="248"/>
      <c r="AL3640" s="248"/>
      <c r="AM3640" s="248"/>
      <c r="AN3640" s="248"/>
      <c r="AO3640" s="248"/>
      <c r="AP3640" s="248"/>
      <c r="AQ3640" s="248"/>
      <c r="AR3640" s="248"/>
      <c r="AS3640" s="248"/>
      <c r="AT3640" s="248"/>
      <c r="AU3640" s="248"/>
      <c r="AV3640" s="248"/>
      <c r="AW3640" s="248"/>
      <c r="AX3640" s="248"/>
      <c r="AY3640" s="248"/>
      <c r="AZ3640" s="248"/>
      <c r="BA3640" s="248"/>
      <c r="BB3640" s="248"/>
      <c r="BC3640" s="248"/>
      <c r="BD3640" s="248"/>
      <c r="BE3640" s="248"/>
      <c r="BF3640" s="248"/>
      <c r="BG3640" s="248"/>
      <c r="BH3640" s="248"/>
      <c r="BI3640" s="248"/>
      <c r="BJ3640" s="248"/>
      <c r="BK3640" s="248"/>
      <c r="BL3640" s="248"/>
      <c r="BM3640" s="248"/>
      <c r="BN3640" s="248"/>
      <c r="BO3640" s="248"/>
      <c r="BP3640" s="248"/>
      <c r="BQ3640" s="248"/>
    </row>
    <row r="3641">
      <c r="A3641" s="78" t="s">
        <v>9260</v>
      </c>
      <c r="B3641" s="248"/>
      <c r="C3641" s="99">
        <v>44202.0</v>
      </c>
      <c r="D3641" s="248"/>
      <c r="E3641" s="78" t="s">
        <v>41</v>
      </c>
      <c r="F3641" s="37">
        <v>1.0</v>
      </c>
      <c r="G3641" s="78" t="s">
        <v>32</v>
      </c>
      <c r="H3641" s="78">
        <v>1.0</v>
      </c>
      <c r="I3641" s="78" t="s">
        <v>33</v>
      </c>
      <c r="J3641" s="78" t="s">
        <v>410</v>
      </c>
      <c r="K3641" s="248"/>
      <c r="L3641" s="106" t="s">
        <v>76</v>
      </c>
      <c r="M3641" s="282" t="s">
        <v>9261</v>
      </c>
      <c r="N3641" s="282"/>
      <c r="O3641" s="248"/>
      <c r="P3641" s="248"/>
      <c r="Q3641" s="293"/>
      <c r="R3641" s="248"/>
      <c r="S3641" s="145"/>
      <c r="T3641" s="313"/>
      <c r="U3641" s="279"/>
      <c r="V3641" s="78" t="s">
        <v>33</v>
      </c>
      <c r="W3641" s="106"/>
      <c r="X3641" s="282"/>
      <c r="Y3641" s="314"/>
      <c r="Z3641" s="248"/>
      <c r="AA3641" s="248"/>
      <c r="AB3641" s="248"/>
      <c r="AC3641" s="248"/>
      <c r="AD3641" s="248"/>
      <c r="AE3641" s="248"/>
      <c r="AF3641" s="248"/>
      <c r="AG3641" s="248"/>
      <c r="AH3641" s="248"/>
      <c r="AI3641" s="248"/>
      <c r="AJ3641" s="248"/>
      <c r="AK3641" s="248"/>
      <c r="AL3641" s="248"/>
      <c r="AM3641" s="248"/>
      <c r="AN3641" s="248"/>
      <c r="AO3641" s="248"/>
      <c r="AP3641" s="248"/>
      <c r="AQ3641" s="248"/>
      <c r="AR3641" s="248"/>
      <c r="AS3641" s="248"/>
      <c r="AT3641" s="248"/>
      <c r="AU3641" s="248"/>
      <c r="AV3641" s="248"/>
      <c r="AW3641" s="248"/>
      <c r="AX3641" s="248"/>
      <c r="AY3641" s="248"/>
      <c r="AZ3641" s="248"/>
      <c r="BA3641" s="248"/>
      <c r="BB3641" s="248"/>
      <c r="BC3641" s="248"/>
      <c r="BD3641" s="248"/>
      <c r="BE3641" s="248"/>
      <c r="BF3641" s="248"/>
      <c r="BG3641" s="248"/>
      <c r="BH3641" s="248"/>
      <c r="BI3641" s="248"/>
      <c r="BJ3641" s="248"/>
      <c r="BK3641" s="248"/>
      <c r="BL3641" s="248"/>
      <c r="BM3641" s="248"/>
      <c r="BN3641" s="248"/>
      <c r="BO3641" s="248"/>
      <c r="BP3641" s="248"/>
      <c r="BQ3641" s="248"/>
    </row>
    <row r="3642">
      <c r="A3642" s="78" t="s">
        <v>9262</v>
      </c>
      <c r="B3642" s="248"/>
      <c r="C3642" s="99">
        <v>44203.0</v>
      </c>
      <c r="D3642" s="248"/>
      <c r="E3642" s="78" t="s">
        <v>41</v>
      </c>
      <c r="F3642" s="37">
        <v>1.0</v>
      </c>
      <c r="G3642" s="78" t="s">
        <v>32</v>
      </c>
      <c r="H3642" s="78">
        <v>1.0</v>
      </c>
      <c r="I3642" s="78" t="s">
        <v>33</v>
      </c>
      <c r="J3642" s="78" t="s">
        <v>241</v>
      </c>
      <c r="K3642" s="248"/>
      <c r="L3642" s="106" t="s">
        <v>790</v>
      </c>
      <c r="M3642" s="282" t="s">
        <v>9263</v>
      </c>
      <c r="N3642" s="282"/>
      <c r="O3642" s="248"/>
      <c r="P3642" s="248"/>
      <c r="Q3642" s="293"/>
      <c r="R3642" s="248"/>
      <c r="S3642" s="145"/>
      <c r="T3642" s="313"/>
      <c r="U3642" s="279"/>
      <c r="V3642" s="78" t="s">
        <v>33</v>
      </c>
      <c r="W3642" s="106"/>
      <c r="X3642" s="282"/>
      <c r="Y3642" s="314"/>
      <c r="Z3642" s="248"/>
      <c r="AA3642" s="248"/>
      <c r="AB3642" s="248"/>
      <c r="AC3642" s="248"/>
      <c r="AD3642" s="248"/>
      <c r="AE3642" s="248"/>
      <c r="AF3642" s="248"/>
      <c r="AG3642" s="248"/>
      <c r="AH3642" s="248"/>
      <c r="AI3642" s="248"/>
      <c r="AJ3642" s="248"/>
      <c r="AK3642" s="248"/>
      <c r="AL3642" s="248"/>
      <c r="AM3642" s="248"/>
      <c r="AN3642" s="248"/>
      <c r="AO3642" s="248"/>
      <c r="AP3642" s="248"/>
      <c r="AQ3642" s="248"/>
      <c r="AR3642" s="248"/>
      <c r="AS3642" s="248"/>
      <c r="AT3642" s="248"/>
      <c r="AU3642" s="248"/>
      <c r="AV3642" s="248"/>
      <c r="AW3642" s="248"/>
      <c r="AX3642" s="248"/>
      <c r="AY3642" s="248"/>
      <c r="AZ3642" s="248"/>
      <c r="BA3642" s="248"/>
      <c r="BB3642" s="248"/>
      <c r="BC3642" s="248"/>
      <c r="BD3642" s="248"/>
      <c r="BE3642" s="248"/>
      <c r="BF3642" s="248"/>
      <c r="BG3642" s="248"/>
      <c r="BH3642" s="248"/>
      <c r="BI3642" s="248"/>
      <c r="BJ3642" s="248"/>
      <c r="BK3642" s="248"/>
      <c r="BL3642" s="248"/>
      <c r="BM3642" s="248"/>
      <c r="BN3642" s="248"/>
      <c r="BO3642" s="248"/>
      <c r="BP3642" s="248"/>
      <c r="BQ3642" s="248"/>
    </row>
    <row r="3643">
      <c r="A3643" s="78" t="s">
        <v>9264</v>
      </c>
      <c r="B3643" s="248"/>
      <c r="C3643" s="99">
        <v>44203.0</v>
      </c>
      <c r="D3643" s="248"/>
      <c r="E3643" s="78" t="s">
        <v>41</v>
      </c>
      <c r="F3643" s="37">
        <v>1.0</v>
      </c>
      <c r="G3643" s="78" t="s">
        <v>32</v>
      </c>
      <c r="H3643" s="78">
        <v>1.0</v>
      </c>
      <c r="I3643" s="78" t="s">
        <v>33</v>
      </c>
      <c r="J3643" s="78" t="s">
        <v>93</v>
      </c>
      <c r="K3643" s="248"/>
      <c r="L3643" s="106" t="s">
        <v>9265</v>
      </c>
      <c r="M3643" s="282" t="s">
        <v>9266</v>
      </c>
      <c r="N3643" s="282"/>
      <c r="O3643" s="248"/>
      <c r="P3643" s="248"/>
      <c r="Q3643" s="293"/>
      <c r="R3643" s="248"/>
      <c r="S3643" s="145"/>
      <c r="T3643" s="313"/>
      <c r="U3643" s="279"/>
      <c r="V3643" s="78" t="s">
        <v>33</v>
      </c>
      <c r="W3643" s="106"/>
      <c r="X3643" s="282"/>
      <c r="Y3643" s="314"/>
      <c r="Z3643" s="248"/>
      <c r="AA3643" s="248"/>
      <c r="AB3643" s="248"/>
      <c r="AC3643" s="248"/>
      <c r="AD3643" s="248"/>
      <c r="AE3643" s="248"/>
      <c r="AF3643" s="248"/>
      <c r="AG3643" s="248"/>
      <c r="AH3643" s="248"/>
      <c r="AI3643" s="248"/>
      <c r="AJ3643" s="248"/>
      <c r="AK3643" s="248"/>
      <c r="AL3643" s="248"/>
      <c r="AM3643" s="248"/>
      <c r="AN3643" s="248"/>
      <c r="AO3643" s="248"/>
      <c r="AP3643" s="248"/>
      <c r="AQ3643" s="248"/>
      <c r="AR3643" s="248"/>
      <c r="AS3643" s="248"/>
      <c r="AT3643" s="248"/>
      <c r="AU3643" s="248"/>
      <c r="AV3643" s="248"/>
      <c r="AW3643" s="248"/>
      <c r="AX3643" s="248"/>
      <c r="AY3643" s="248"/>
      <c r="AZ3643" s="248"/>
      <c r="BA3643" s="248"/>
      <c r="BB3643" s="248"/>
      <c r="BC3643" s="248"/>
      <c r="BD3643" s="248"/>
      <c r="BE3643" s="248"/>
      <c r="BF3643" s="248"/>
      <c r="BG3643" s="248"/>
      <c r="BH3643" s="248"/>
      <c r="BI3643" s="248"/>
      <c r="BJ3643" s="248"/>
      <c r="BK3643" s="248"/>
      <c r="BL3643" s="248"/>
      <c r="BM3643" s="248"/>
      <c r="BN3643" s="248"/>
      <c r="BO3643" s="248"/>
      <c r="BP3643" s="248"/>
      <c r="BQ3643" s="248"/>
    </row>
    <row r="3644">
      <c r="A3644" s="78" t="s">
        <v>9267</v>
      </c>
      <c r="B3644" s="248"/>
      <c r="C3644" s="99">
        <v>44205.0</v>
      </c>
      <c r="D3644" s="248"/>
      <c r="E3644" s="78" t="s">
        <v>31</v>
      </c>
      <c r="F3644" s="37">
        <v>1.0</v>
      </c>
      <c r="G3644" s="78" t="s">
        <v>32</v>
      </c>
      <c r="H3644" s="78">
        <v>1.0</v>
      </c>
      <c r="I3644" s="78" t="s">
        <v>33</v>
      </c>
      <c r="J3644" s="78" t="s">
        <v>55</v>
      </c>
      <c r="K3644" s="248"/>
      <c r="L3644" s="106" t="s">
        <v>76</v>
      </c>
      <c r="M3644" s="282" t="s">
        <v>9268</v>
      </c>
      <c r="N3644" s="282"/>
      <c r="O3644" s="248"/>
      <c r="P3644" s="248"/>
      <c r="Q3644" s="293"/>
      <c r="R3644" s="248"/>
      <c r="S3644" s="145"/>
      <c r="T3644" s="313"/>
      <c r="U3644" s="279"/>
      <c r="V3644" s="78" t="s">
        <v>33</v>
      </c>
      <c r="W3644" s="106"/>
      <c r="X3644" s="282" t="s">
        <v>9269</v>
      </c>
      <c r="Y3644" s="46" t="s">
        <v>9270</v>
      </c>
      <c r="Z3644" s="248"/>
      <c r="AA3644" s="248"/>
      <c r="AB3644" s="248"/>
      <c r="AC3644" s="248"/>
      <c r="AD3644" s="248"/>
      <c r="AE3644" s="248"/>
      <c r="AF3644" s="248"/>
      <c r="AG3644" s="248"/>
      <c r="AH3644" s="248"/>
      <c r="AI3644" s="248"/>
      <c r="AJ3644" s="248"/>
      <c r="AK3644" s="248"/>
      <c r="AL3644" s="248"/>
      <c r="AM3644" s="248"/>
      <c r="AN3644" s="248"/>
      <c r="AO3644" s="248"/>
      <c r="AP3644" s="248"/>
      <c r="AQ3644" s="248"/>
      <c r="AR3644" s="248"/>
      <c r="AS3644" s="248"/>
      <c r="AT3644" s="248"/>
      <c r="AU3644" s="248"/>
      <c r="AV3644" s="248"/>
      <c r="AW3644" s="248"/>
      <c r="AX3644" s="248"/>
      <c r="AY3644" s="248"/>
      <c r="AZ3644" s="248"/>
      <c r="BA3644" s="248"/>
      <c r="BB3644" s="248"/>
      <c r="BC3644" s="248"/>
      <c r="BD3644" s="248"/>
      <c r="BE3644" s="248"/>
      <c r="BF3644" s="248"/>
      <c r="BG3644" s="248"/>
      <c r="BH3644" s="248"/>
      <c r="BI3644" s="248"/>
      <c r="BJ3644" s="248"/>
      <c r="BK3644" s="248"/>
      <c r="BL3644" s="248"/>
      <c r="BM3644" s="248"/>
      <c r="BN3644" s="248"/>
      <c r="BO3644" s="248"/>
      <c r="BP3644" s="248"/>
      <c r="BQ3644" s="248"/>
    </row>
    <row r="3645">
      <c r="A3645" s="78" t="s">
        <v>239</v>
      </c>
      <c r="B3645" s="248"/>
      <c r="C3645" s="99">
        <v>44207.0</v>
      </c>
      <c r="D3645" s="248"/>
      <c r="E3645" s="78" t="s">
        <v>41</v>
      </c>
      <c r="F3645" s="37">
        <v>1.0</v>
      </c>
      <c r="G3645" s="78" t="s">
        <v>32</v>
      </c>
      <c r="H3645" s="78">
        <v>1.0</v>
      </c>
      <c r="I3645" s="78" t="s">
        <v>33</v>
      </c>
      <c r="J3645" s="78" t="s">
        <v>147</v>
      </c>
      <c r="K3645" s="248"/>
      <c r="L3645" s="106" t="s">
        <v>194</v>
      </c>
      <c r="M3645" s="282" t="s">
        <v>9271</v>
      </c>
      <c r="N3645" s="282"/>
      <c r="O3645" s="248"/>
      <c r="P3645" s="248"/>
      <c r="Q3645" s="293"/>
      <c r="R3645" s="248"/>
      <c r="S3645" s="145"/>
      <c r="T3645" s="313"/>
      <c r="U3645" s="279"/>
      <c r="V3645" s="78" t="s">
        <v>33</v>
      </c>
      <c r="W3645" s="106"/>
      <c r="X3645" s="282"/>
      <c r="Y3645" s="314"/>
      <c r="Z3645" s="248"/>
      <c r="AA3645" s="248"/>
      <c r="AB3645" s="248"/>
      <c r="AC3645" s="248"/>
      <c r="AD3645" s="248"/>
      <c r="AE3645" s="248"/>
      <c r="AF3645" s="248"/>
      <c r="AG3645" s="248"/>
      <c r="AH3645" s="248"/>
      <c r="AI3645" s="248"/>
      <c r="AJ3645" s="248"/>
      <c r="AK3645" s="248"/>
      <c r="AL3645" s="248"/>
      <c r="AM3645" s="248"/>
      <c r="AN3645" s="248"/>
      <c r="AO3645" s="248"/>
      <c r="AP3645" s="248"/>
      <c r="AQ3645" s="248"/>
      <c r="AR3645" s="248"/>
      <c r="AS3645" s="248"/>
      <c r="AT3645" s="248"/>
      <c r="AU3645" s="248"/>
      <c r="AV3645" s="248"/>
      <c r="AW3645" s="248"/>
      <c r="AX3645" s="248"/>
      <c r="AY3645" s="248"/>
      <c r="AZ3645" s="248"/>
      <c r="BA3645" s="248"/>
      <c r="BB3645" s="248"/>
      <c r="BC3645" s="248"/>
      <c r="BD3645" s="248"/>
      <c r="BE3645" s="248"/>
      <c r="BF3645" s="248"/>
      <c r="BG3645" s="248"/>
      <c r="BH3645" s="248"/>
      <c r="BI3645" s="248"/>
      <c r="BJ3645" s="248"/>
      <c r="BK3645" s="248"/>
      <c r="BL3645" s="248"/>
      <c r="BM3645" s="248"/>
      <c r="BN3645" s="248"/>
      <c r="BO3645" s="248"/>
      <c r="BP3645" s="248"/>
      <c r="BQ3645" s="248"/>
    </row>
    <row r="3646">
      <c r="A3646" s="78" t="s">
        <v>9272</v>
      </c>
      <c r="B3646" s="248"/>
      <c r="C3646" s="99">
        <v>44207.0</v>
      </c>
      <c r="D3646" s="248"/>
      <c r="E3646" s="78" t="s">
        <v>41</v>
      </c>
      <c r="F3646" s="37">
        <v>1.0</v>
      </c>
      <c r="G3646" s="78" t="s">
        <v>32</v>
      </c>
      <c r="H3646" s="78">
        <v>1.0</v>
      </c>
      <c r="I3646" s="78" t="s">
        <v>33</v>
      </c>
      <c r="J3646" s="78" t="s">
        <v>55</v>
      </c>
      <c r="K3646" s="248"/>
      <c r="L3646" s="106" t="s">
        <v>69</v>
      </c>
      <c r="M3646" s="282" t="s">
        <v>9273</v>
      </c>
      <c r="N3646" s="282"/>
      <c r="O3646" s="248"/>
      <c r="P3646" s="248"/>
      <c r="Q3646" s="293"/>
      <c r="R3646" s="248"/>
      <c r="S3646" s="145"/>
      <c r="T3646" s="313"/>
      <c r="U3646" s="279"/>
      <c r="V3646" s="78" t="s">
        <v>33</v>
      </c>
      <c r="W3646" s="106"/>
      <c r="X3646" s="282"/>
      <c r="Y3646" s="314"/>
      <c r="Z3646" s="248"/>
      <c r="AA3646" s="248"/>
      <c r="AB3646" s="248"/>
      <c r="AC3646" s="248"/>
      <c r="AD3646" s="248"/>
      <c r="AE3646" s="248"/>
      <c r="AF3646" s="248"/>
      <c r="AG3646" s="248"/>
      <c r="AH3646" s="248"/>
      <c r="AI3646" s="248"/>
      <c r="AJ3646" s="248"/>
      <c r="AK3646" s="248"/>
      <c r="AL3646" s="248"/>
      <c r="AM3646" s="248"/>
      <c r="AN3646" s="248"/>
      <c r="AO3646" s="248"/>
      <c r="AP3646" s="248"/>
      <c r="AQ3646" s="248"/>
      <c r="AR3646" s="248"/>
      <c r="AS3646" s="248"/>
      <c r="AT3646" s="248"/>
      <c r="AU3646" s="248"/>
      <c r="AV3646" s="248"/>
      <c r="AW3646" s="248"/>
      <c r="AX3646" s="248"/>
      <c r="AY3646" s="248"/>
      <c r="AZ3646" s="248"/>
      <c r="BA3646" s="248"/>
      <c r="BB3646" s="248"/>
      <c r="BC3646" s="248"/>
      <c r="BD3646" s="248"/>
      <c r="BE3646" s="248"/>
      <c r="BF3646" s="248"/>
      <c r="BG3646" s="248"/>
      <c r="BH3646" s="248"/>
      <c r="BI3646" s="248"/>
      <c r="BJ3646" s="248"/>
      <c r="BK3646" s="248"/>
      <c r="BL3646" s="248"/>
      <c r="BM3646" s="248"/>
      <c r="BN3646" s="248"/>
      <c r="BO3646" s="248"/>
      <c r="BP3646" s="248"/>
      <c r="BQ3646" s="248"/>
    </row>
    <row r="3647">
      <c r="A3647" s="78" t="s">
        <v>9274</v>
      </c>
      <c r="B3647" s="248"/>
      <c r="C3647" s="99">
        <v>44208.0</v>
      </c>
      <c r="D3647" s="248"/>
      <c r="E3647" s="78" t="s">
        <v>41</v>
      </c>
      <c r="F3647" s="37">
        <v>1.0</v>
      </c>
      <c r="G3647" s="78" t="s">
        <v>32</v>
      </c>
      <c r="H3647" s="78">
        <v>1.0</v>
      </c>
      <c r="I3647" s="78" t="s">
        <v>33</v>
      </c>
      <c r="J3647" s="78" t="s">
        <v>147</v>
      </c>
      <c r="K3647" s="248"/>
      <c r="L3647" s="106" t="s">
        <v>194</v>
      </c>
      <c r="M3647" s="282" t="s">
        <v>9275</v>
      </c>
      <c r="N3647" s="282"/>
      <c r="O3647" s="248"/>
      <c r="P3647" s="248"/>
      <c r="Q3647" s="293"/>
      <c r="R3647" s="248"/>
      <c r="S3647" s="145"/>
      <c r="T3647" s="313"/>
      <c r="U3647" s="279"/>
      <c r="V3647" s="78" t="s">
        <v>33</v>
      </c>
      <c r="W3647" s="106"/>
      <c r="X3647" s="282"/>
      <c r="Y3647" s="314"/>
      <c r="Z3647" s="248"/>
      <c r="AA3647" s="248"/>
      <c r="AB3647" s="248"/>
      <c r="AC3647" s="248"/>
      <c r="AD3647" s="248"/>
      <c r="AE3647" s="248"/>
      <c r="AF3647" s="248"/>
      <c r="AG3647" s="248"/>
      <c r="AH3647" s="248"/>
      <c r="AI3647" s="248"/>
      <c r="AJ3647" s="248"/>
      <c r="AK3647" s="248"/>
      <c r="AL3647" s="248"/>
      <c r="AM3647" s="248"/>
      <c r="AN3647" s="248"/>
      <c r="AO3647" s="248"/>
      <c r="AP3647" s="248"/>
      <c r="AQ3647" s="248"/>
      <c r="AR3647" s="248"/>
      <c r="AS3647" s="248"/>
      <c r="AT3647" s="248"/>
      <c r="AU3647" s="248"/>
      <c r="AV3647" s="248"/>
      <c r="AW3647" s="248"/>
      <c r="AX3647" s="248"/>
      <c r="AY3647" s="248"/>
      <c r="AZ3647" s="248"/>
      <c r="BA3647" s="248"/>
      <c r="BB3647" s="248"/>
      <c r="BC3647" s="248"/>
      <c r="BD3647" s="248"/>
      <c r="BE3647" s="248"/>
      <c r="BF3647" s="248"/>
      <c r="BG3647" s="248"/>
      <c r="BH3647" s="248"/>
      <c r="BI3647" s="248"/>
      <c r="BJ3647" s="248"/>
      <c r="BK3647" s="248"/>
      <c r="BL3647" s="248"/>
      <c r="BM3647" s="248"/>
      <c r="BN3647" s="248"/>
      <c r="BO3647" s="248"/>
      <c r="BP3647" s="248"/>
      <c r="BQ3647" s="248"/>
    </row>
    <row r="3648">
      <c r="A3648" s="78" t="s">
        <v>9276</v>
      </c>
      <c r="B3648" s="248"/>
      <c r="C3648" s="99">
        <v>44208.0</v>
      </c>
      <c r="D3648" s="248"/>
      <c r="E3648" s="78" t="s">
        <v>31</v>
      </c>
      <c r="F3648" s="37">
        <v>1.0</v>
      </c>
      <c r="G3648" s="78" t="s">
        <v>32</v>
      </c>
      <c r="H3648" s="78">
        <v>1.0</v>
      </c>
      <c r="I3648" s="78" t="s">
        <v>33</v>
      </c>
      <c r="J3648" s="78" t="s">
        <v>222</v>
      </c>
      <c r="K3648" s="248"/>
      <c r="L3648" s="106" t="s">
        <v>76</v>
      </c>
      <c r="M3648" s="282" t="s">
        <v>9277</v>
      </c>
      <c r="N3648" s="282" t="s">
        <v>9278</v>
      </c>
      <c r="O3648" s="248"/>
      <c r="P3648" s="248"/>
      <c r="Q3648" s="293"/>
      <c r="R3648" s="248"/>
      <c r="S3648" s="145"/>
      <c r="T3648" s="313"/>
      <c r="U3648" s="279"/>
      <c r="V3648" s="78" t="s">
        <v>33</v>
      </c>
      <c r="W3648" s="46" t="s">
        <v>9279</v>
      </c>
      <c r="X3648" s="282" t="s">
        <v>9280</v>
      </c>
      <c r="Y3648" s="314"/>
      <c r="Z3648" s="248"/>
      <c r="AA3648" s="248"/>
      <c r="AB3648" s="248"/>
      <c r="AC3648" s="248"/>
      <c r="AD3648" s="248"/>
      <c r="AE3648" s="248"/>
      <c r="AF3648" s="248"/>
      <c r="AG3648" s="248"/>
      <c r="AH3648" s="248"/>
      <c r="AI3648" s="248"/>
      <c r="AJ3648" s="248"/>
      <c r="AK3648" s="248"/>
      <c r="AL3648" s="248"/>
      <c r="AM3648" s="248"/>
      <c r="AN3648" s="248"/>
      <c r="AO3648" s="248"/>
      <c r="AP3648" s="248"/>
      <c r="AQ3648" s="248"/>
      <c r="AR3648" s="248"/>
      <c r="AS3648" s="248"/>
      <c r="AT3648" s="248"/>
      <c r="AU3648" s="248"/>
      <c r="AV3648" s="248"/>
      <c r="AW3648" s="248"/>
      <c r="AX3648" s="248"/>
      <c r="AY3648" s="248"/>
      <c r="AZ3648" s="248"/>
      <c r="BA3648" s="248"/>
      <c r="BB3648" s="248"/>
      <c r="BC3648" s="248"/>
      <c r="BD3648" s="248"/>
      <c r="BE3648" s="248"/>
      <c r="BF3648" s="248"/>
      <c r="BG3648" s="248"/>
      <c r="BH3648" s="248"/>
      <c r="BI3648" s="248"/>
      <c r="BJ3648" s="248"/>
      <c r="BK3648" s="248"/>
      <c r="BL3648" s="248"/>
      <c r="BM3648" s="248"/>
      <c r="BN3648" s="248"/>
      <c r="BO3648" s="248"/>
      <c r="BP3648" s="248"/>
      <c r="BQ3648" s="248"/>
    </row>
    <row r="3649">
      <c r="A3649" s="78" t="s">
        <v>9281</v>
      </c>
      <c r="B3649" s="248"/>
      <c r="C3649" s="99">
        <v>44209.0</v>
      </c>
      <c r="D3649" s="248"/>
      <c r="E3649" s="78" t="s">
        <v>31</v>
      </c>
      <c r="F3649" s="37">
        <v>1.0</v>
      </c>
      <c r="G3649" s="78" t="s">
        <v>32</v>
      </c>
      <c r="H3649" s="78">
        <v>1.0</v>
      </c>
      <c r="I3649" s="78" t="s">
        <v>33</v>
      </c>
      <c r="J3649" s="78" t="s">
        <v>147</v>
      </c>
      <c r="K3649" s="248"/>
      <c r="L3649" s="106" t="s">
        <v>69</v>
      </c>
      <c r="M3649" s="282" t="s">
        <v>9282</v>
      </c>
      <c r="N3649" s="282" t="s">
        <v>9283</v>
      </c>
      <c r="O3649" s="248"/>
      <c r="P3649" s="248"/>
      <c r="Q3649" s="293"/>
      <c r="R3649" s="248"/>
      <c r="S3649" s="145"/>
      <c r="T3649" s="313"/>
      <c r="U3649" s="279"/>
      <c r="V3649" s="78" t="s">
        <v>1488</v>
      </c>
      <c r="W3649" s="46" t="s">
        <v>9284</v>
      </c>
      <c r="X3649" s="282" t="s">
        <v>9285</v>
      </c>
      <c r="Y3649" s="314"/>
      <c r="Z3649" s="248"/>
      <c r="AA3649" s="248"/>
      <c r="AB3649" s="248"/>
      <c r="AC3649" s="248"/>
      <c r="AD3649" s="248"/>
      <c r="AE3649" s="248"/>
      <c r="AF3649" s="248"/>
      <c r="AG3649" s="248"/>
      <c r="AH3649" s="248"/>
      <c r="AI3649" s="248"/>
      <c r="AJ3649" s="248"/>
      <c r="AK3649" s="248"/>
      <c r="AL3649" s="248"/>
      <c r="AM3649" s="248"/>
      <c r="AN3649" s="248"/>
      <c r="AO3649" s="248"/>
      <c r="AP3649" s="248"/>
      <c r="AQ3649" s="248"/>
      <c r="AR3649" s="248"/>
      <c r="AS3649" s="248"/>
      <c r="AT3649" s="248"/>
      <c r="AU3649" s="248"/>
      <c r="AV3649" s="248"/>
      <c r="AW3649" s="248"/>
      <c r="AX3649" s="248"/>
      <c r="AY3649" s="248"/>
      <c r="AZ3649" s="248"/>
      <c r="BA3649" s="248"/>
      <c r="BB3649" s="248"/>
      <c r="BC3649" s="248"/>
      <c r="BD3649" s="248"/>
      <c r="BE3649" s="248"/>
      <c r="BF3649" s="248"/>
      <c r="BG3649" s="248"/>
      <c r="BH3649" s="248"/>
      <c r="BI3649" s="248"/>
      <c r="BJ3649" s="248"/>
      <c r="BK3649" s="248"/>
      <c r="BL3649" s="248"/>
      <c r="BM3649" s="248"/>
      <c r="BN3649" s="248"/>
      <c r="BO3649" s="248"/>
      <c r="BP3649" s="248"/>
      <c r="BQ3649" s="248"/>
    </row>
    <row r="3650">
      <c r="A3650" s="78" t="s">
        <v>9286</v>
      </c>
      <c r="B3650" s="248"/>
      <c r="C3650" s="99">
        <v>44209.0</v>
      </c>
      <c r="D3650" s="248"/>
      <c r="E3650" s="78" t="s">
        <v>41</v>
      </c>
      <c r="F3650" s="37">
        <v>1.0</v>
      </c>
      <c r="G3650" s="78">
        <v>2.0</v>
      </c>
      <c r="H3650" s="78">
        <v>2.0</v>
      </c>
      <c r="I3650" s="78" t="s">
        <v>33</v>
      </c>
      <c r="J3650" s="78" t="s">
        <v>228</v>
      </c>
      <c r="K3650" s="248"/>
      <c r="L3650" s="106" t="s">
        <v>790</v>
      </c>
      <c r="M3650" s="282" t="s">
        <v>9287</v>
      </c>
      <c r="N3650" s="282"/>
      <c r="O3650" s="248"/>
      <c r="P3650" s="248"/>
      <c r="Q3650" s="293"/>
      <c r="R3650" s="248"/>
      <c r="S3650" s="145"/>
      <c r="T3650" s="313"/>
      <c r="U3650" s="279"/>
      <c r="V3650" s="78"/>
      <c r="W3650" s="106"/>
      <c r="X3650" s="282"/>
      <c r="Y3650" s="314"/>
      <c r="Z3650" s="248"/>
      <c r="AA3650" s="248"/>
      <c r="AB3650" s="248"/>
      <c r="AC3650" s="248"/>
      <c r="AD3650" s="248"/>
      <c r="AE3650" s="248"/>
      <c r="AF3650" s="248"/>
      <c r="AG3650" s="248"/>
      <c r="AH3650" s="248"/>
      <c r="AI3650" s="248"/>
      <c r="AJ3650" s="248"/>
      <c r="AK3650" s="248"/>
      <c r="AL3650" s="248"/>
      <c r="AM3650" s="248"/>
      <c r="AN3650" s="248"/>
      <c r="AO3650" s="248"/>
      <c r="AP3650" s="248"/>
      <c r="AQ3650" s="248"/>
      <c r="AR3650" s="248"/>
      <c r="AS3650" s="248"/>
      <c r="AT3650" s="248"/>
      <c r="AU3650" s="248"/>
      <c r="AV3650" s="248"/>
      <c r="AW3650" s="248"/>
      <c r="AX3650" s="248"/>
      <c r="AY3650" s="248"/>
      <c r="AZ3650" s="248"/>
      <c r="BA3650" s="248"/>
      <c r="BB3650" s="248"/>
      <c r="BC3650" s="248"/>
      <c r="BD3650" s="248"/>
      <c r="BE3650" s="248"/>
      <c r="BF3650" s="248"/>
      <c r="BG3650" s="248"/>
      <c r="BH3650" s="248"/>
      <c r="BI3650" s="248"/>
      <c r="BJ3650" s="248"/>
      <c r="BK3650" s="248"/>
      <c r="BL3650" s="248"/>
      <c r="BM3650" s="248"/>
      <c r="BN3650" s="248"/>
      <c r="BO3650" s="248"/>
      <c r="BP3650" s="248"/>
      <c r="BQ3650" s="248"/>
    </row>
    <row r="3651">
      <c r="A3651" s="78" t="s">
        <v>9288</v>
      </c>
      <c r="B3651" s="248"/>
      <c r="C3651" s="99">
        <v>44209.0</v>
      </c>
      <c r="D3651" s="248"/>
      <c r="E3651" s="78" t="s">
        <v>41</v>
      </c>
      <c r="F3651" s="37">
        <v>1.0</v>
      </c>
      <c r="G3651" s="78">
        <v>4.0</v>
      </c>
      <c r="H3651" s="78">
        <v>4.0</v>
      </c>
      <c r="I3651" s="78" t="s">
        <v>33</v>
      </c>
      <c r="J3651" s="78" t="s">
        <v>184</v>
      </c>
      <c r="K3651" s="248"/>
      <c r="L3651" s="106" t="s">
        <v>76</v>
      </c>
      <c r="M3651" s="282" t="s">
        <v>9289</v>
      </c>
      <c r="N3651" s="282"/>
      <c r="O3651" s="248"/>
      <c r="P3651" s="248"/>
      <c r="Q3651" s="293"/>
      <c r="R3651" s="248"/>
      <c r="S3651" s="145"/>
      <c r="T3651" s="313"/>
      <c r="U3651" s="279"/>
      <c r="V3651" s="78" t="s">
        <v>33</v>
      </c>
      <c r="W3651" s="106"/>
      <c r="X3651" s="282"/>
      <c r="Y3651" s="314"/>
      <c r="Z3651" s="248"/>
      <c r="AA3651" s="248"/>
      <c r="AB3651" s="248"/>
      <c r="AC3651" s="248"/>
      <c r="AD3651" s="248"/>
      <c r="AE3651" s="248"/>
      <c r="AF3651" s="248"/>
      <c r="AG3651" s="248"/>
      <c r="AH3651" s="248"/>
      <c r="AI3651" s="248"/>
      <c r="AJ3651" s="248"/>
      <c r="AK3651" s="248"/>
      <c r="AL3651" s="248"/>
      <c r="AM3651" s="248"/>
      <c r="AN3651" s="248"/>
      <c r="AO3651" s="248"/>
      <c r="AP3651" s="248"/>
      <c r="AQ3651" s="248"/>
      <c r="AR3651" s="248"/>
      <c r="AS3651" s="248"/>
      <c r="AT3651" s="248"/>
      <c r="AU3651" s="248"/>
      <c r="AV3651" s="248"/>
      <c r="AW3651" s="248"/>
      <c r="AX3651" s="248"/>
      <c r="AY3651" s="248"/>
      <c r="AZ3651" s="248"/>
      <c r="BA3651" s="248"/>
      <c r="BB3651" s="248"/>
      <c r="BC3651" s="248"/>
      <c r="BD3651" s="248"/>
      <c r="BE3651" s="248"/>
      <c r="BF3651" s="248"/>
      <c r="BG3651" s="248"/>
      <c r="BH3651" s="248"/>
      <c r="BI3651" s="248"/>
      <c r="BJ3651" s="248"/>
      <c r="BK3651" s="248"/>
      <c r="BL3651" s="248"/>
      <c r="BM3651" s="248"/>
      <c r="BN3651" s="248"/>
      <c r="BO3651" s="248"/>
      <c r="BP3651" s="248"/>
      <c r="BQ3651" s="248"/>
    </row>
    <row r="3652">
      <c r="A3652" s="78" t="s">
        <v>239</v>
      </c>
      <c r="B3652" s="248"/>
      <c r="C3652" s="99">
        <v>44215.0</v>
      </c>
      <c r="D3652" s="248"/>
      <c r="E3652" s="78" t="s">
        <v>41</v>
      </c>
      <c r="F3652" s="37">
        <v>1.0</v>
      </c>
      <c r="G3652" s="78" t="s">
        <v>32</v>
      </c>
      <c r="H3652" s="78">
        <v>1.0</v>
      </c>
      <c r="I3652" s="78" t="s">
        <v>33</v>
      </c>
      <c r="J3652" s="78" t="s">
        <v>147</v>
      </c>
      <c r="K3652" s="248"/>
      <c r="L3652" s="106" t="s">
        <v>194</v>
      </c>
      <c r="M3652" s="282" t="s">
        <v>9290</v>
      </c>
      <c r="N3652" s="282"/>
      <c r="O3652" s="248"/>
      <c r="P3652" s="248"/>
      <c r="Q3652" s="293"/>
      <c r="R3652" s="248"/>
      <c r="S3652" s="145"/>
      <c r="T3652" s="313"/>
      <c r="U3652" s="279"/>
      <c r="V3652" s="78" t="s">
        <v>33</v>
      </c>
      <c r="W3652" s="106"/>
      <c r="X3652" s="282"/>
      <c r="Y3652" s="314"/>
      <c r="Z3652" s="248"/>
      <c r="AA3652" s="248"/>
      <c r="AB3652" s="248"/>
      <c r="AC3652" s="248"/>
      <c r="AD3652" s="248"/>
      <c r="AE3652" s="248"/>
      <c r="AF3652" s="248"/>
      <c r="AG3652" s="248"/>
      <c r="AH3652" s="248"/>
      <c r="AI3652" s="248"/>
      <c r="AJ3652" s="248"/>
      <c r="AK3652" s="248"/>
      <c r="AL3652" s="248"/>
      <c r="AM3652" s="248"/>
      <c r="AN3652" s="248"/>
      <c r="AO3652" s="248"/>
      <c r="AP3652" s="248"/>
      <c r="AQ3652" s="248"/>
      <c r="AR3652" s="248"/>
      <c r="AS3652" s="248"/>
      <c r="AT3652" s="248"/>
      <c r="AU3652" s="248"/>
      <c r="AV3652" s="248"/>
      <c r="AW3652" s="248"/>
      <c r="AX3652" s="248"/>
      <c r="AY3652" s="248"/>
      <c r="AZ3652" s="248"/>
      <c r="BA3652" s="248"/>
      <c r="BB3652" s="248"/>
      <c r="BC3652" s="248"/>
      <c r="BD3652" s="248"/>
      <c r="BE3652" s="248"/>
      <c r="BF3652" s="248"/>
      <c r="BG3652" s="248"/>
      <c r="BH3652" s="248"/>
      <c r="BI3652" s="248"/>
      <c r="BJ3652" s="248"/>
      <c r="BK3652" s="248"/>
      <c r="BL3652" s="248"/>
      <c r="BM3652" s="248"/>
      <c r="BN3652" s="248"/>
      <c r="BO3652" s="248"/>
      <c r="BP3652" s="248"/>
      <c r="BQ3652" s="248"/>
    </row>
    <row r="3653">
      <c r="A3653" s="78" t="s">
        <v>9291</v>
      </c>
      <c r="B3653" s="248"/>
      <c r="C3653" s="99">
        <v>44216.0</v>
      </c>
      <c r="D3653" s="248"/>
      <c r="E3653" s="78" t="s">
        <v>41</v>
      </c>
      <c r="F3653" s="37">
        <v>1.0</v>
      </c>
      <c r="G3653" s="78" t="s">
        <v>32</v>
      </c>
      <c r="H3653" s="78">
        <v>1.0</v>
      </c>
      <c r="I3653" s="78" t="s">
        <v>33</v>
      </c>
      <c r="J3653" s="78" t="s">
        <v>410</v>
      </c>
      <c r="K3653" s="248"/>
      <c r="L3653" s="106" t="s">
        <v>9292</v>
      </c>
      <c r="M3653" s="282" t="s">
        <v>9293</v>
      </c>
      <c r="N3653" s="282"/>
      <c r="O3653" s="248"/>
      <c r="P3653" s="248"/>
      <c r="Q3653" s="293"/>
      <c r="R3653" s="248"/>
      <c r="S3653" s="145"/>
      <c r="T3653" s="313"/>
      <c r="U3653" s="279"/>
      <c r="V3653" s="78" t="s">
        <v>33</v>
      </c>
      <c r="W3653" s="106"/>
      <c r="X3653" s="282"/>
      <c r="Y3653" s="314"/>
      <c r="Z3653" s="248"/>
      <c r="AA3653" s="248"/>
      <c r="AB3653" s="248"/>
      <c r="AC3653" s="248"/>
      <c r="AD3653" s="248"/>
      <c r="AE3653" s="248"/>
      <c r="AF3653" s="248"/>
      <c r="AG3653" s="248"/>
      <c r="AH3653" s="248"/>
      <c r="AI3653" s="248"/>
      <c r="AJ3653" s="248"/>
      <c r="AK3653" s="248"/>
      <c r="AL3653" s="248"/>
      <c r="AM3653" s="248"/>
      <c r="AN3653" s="248"/>
      <c r="AO3653" s="248"/>
      <c r="AP3653" s="248"/>
      <c r="AQ3653" s="248"/>
      <c r="AR3653" s="248"/>
      <c r="AS3653" s="248"/>
      <c r="AT3653" s="248"/>
      <c r="AU3653" s="248"/>
      <c r="AV3653" s="248"/>
      <c r="AW3653" s="248"/>
      <c r="AX3653" s="248"/>
      <c r="AY3653" s="248"/>
      <c r="AZ3653" s="248"/>
      <c r="BA3653" s="248"/>
      <c r="BB3653" s="248"/>
      <c r="BC3653" s="248"/>
      <c r="BD3653" s="248"/>
      <c r="BE3653" s="248"/>
      <c r="BF3653" s="248"/>
      <c r="BG3653" s="248"/>
      <c r="BH3653" s="248"/>
      <c r="BI3653" s="248"/>
      <c r="BJ3653" s="248"/>
      <c r="BK3653" s="248"/>
      <c r="BL3653" s="248"/>
      <c r="BM3653" s="248"/>
      <c r="BN3653" s="248"/>
      <c r="BO3653" s="248"/>
      <c r="BP3653" s="248"/>
      <c r="BQ3653" s="248"/>
    </row>
    <row r="3654">
      <c r="A3654" s="78" t="s">
        <v>9294</v>
      </c>
      <c r="B3654" s="248"/>
      <c r="C3654" s="99">
        <v>44217.0</v>
      </c>
      <c r="D3654" s="248"/>
      <c r="E3654" s="78" t="s">
        <v>41</v>
      </c>
      <c r="F3654" s="37">
        <v>1.0</v>
      </c>
      <c r="G3654" s="78" t="s">
        <v>32</v>
      </c>
      <c r="H3654" s="78">
        <v>1.0</v>
      </c>
      <c r="I3654" s="78" t="s">
        <v>33</v>
      </c>
      <c r="J3654" s="78" t="s">
        <v>93</v>
      </c>
      <c r="K3654" s="248"/>
      <c r="L3654" s="106" t="s">
        <v>69</v>
      </c>
      <c r="M3654" s="282" t="s">
        <v>9295</v>
      </c>
      <c r="N3654" s="282"/>
      <c r="O3654" s="248"/>
      <c r="P3654" s="248"/>
      <c r="Q3654" s="293"/>
      <c r="R3654" s="248"/>
      <c r="S3654" s="145"/>
      <c r="T3654" s="313"/>
      <c r="U3654" s="279"/>
      <c r="V3654" s="78" t="s">
        <v>33</v>
      </c>
      <c r="W3654" s="106"/>
      <c r="X3654" s="282"/>
      <c r="Y3654" s="314"/>
      <c r="Z3654" s="248"/>
      <c r="AA3654" s="248"/>
      <c r="AB3654" s="248"/>
      <c r="AC3654" s="248"/>
      <c r="AD3654" s="248"/>
      <c r="AE3654" s="248"/>
      <c r="AF3654" s="248"/>
      <c r="AG3654" s="248"/>
      <c r="AH3654" s="248"/>
      <c r="AI3654" s="248"/>
      <c r="AJ3654" s="248"/>
      <c r="AK3654" s="248"/>
      <c r="AL3654" s="248"/>
      <c r="AM3654" s="248"/>
      <c r="AN3654" s="248"/>
      <c r="AO3654" s="248"/>
      <c r="AP3654" s="248"/>
      <c r="AQ3654" s="248"/>
      <c r="AR3654" s="248"/>
      <c r="AS3654" s="248"/>
      <c r="AT3654" s="248"/>
      <c r="AU3654" s="248"/>
      <c r="AV3654" s="248"/>
      <c r="AW3654" s="248"/>
      <c r="AX3654" s="248"/>
      <c r="AY3654" s="248"/>
      <c r="AZ3654" s="248"/>
      <c r="BA3654" s="248"/>
      <c r="BB3654" s="248"/>
      <c r="BC3654" s="248"/>
      <c r="BD3654" s="248"/>
      <c r="BE3654" s="248"/>
      <c r="BF3654" s="248"/>
      <c r="BG3654" s="248"/>
      <c r="BH3654" s="248"/>
      <c r="BI3654" s="248"/>
      <c r="BJ3654" s="248"/>
      <c r="BK3654" s="248"/>
      <c r="BL3654" s="248"/>
      <c r="BM3654" s="248"/>
      <c r="BN3654" s="248"/>
      <c r="BO3654" s="248"/>
      <c r="BP3654" s="248"/>
      <c r="BQ3654" s="248"/>
    </row>
    <row r="3655">
      <c r="A3655" s="78" t="s">
        <v>9296</v>
      </c>
      <c r="B3655" s="248"/>
      <c r="C3655" s="99">
        <v>44218.0</v>
      </c>
      <c r="D3655" s="248"/>
      <c r="E3655" s="78" t="s">
        <v>41</v>
      </c>
      <c r="F3655" s="37">
        <v>1.0</v>
      </c>
      <c r="G3655" s="78" t="s">
        <v>32</v>
      </c>
      <c r="H3655" s="78">
        <v>1.0</v>
      </c>
      <c r="I3655" s="78" t="s">
        <v>33</v>
      </c>
      <c r="J3655" s="78" t="s">
        <v>55</v>
      </c>
      <c r="K3655" s="248"/>
      <c r="L3655" s="106" t="s">
        <v>69</v>
      </c>
      <c r="M3655" s="282" t="s">
        <v>9297</v>
      </c>
      <c r="N3655" s="282"/>
      <c r="O3655" s="248"/>
      <c r="P3655" s="248"/>
      <c r="Q3655" s="293"/>
      <c r="R3655" s="248"/>
      <c r="S3655" s="145"/>
      <c r="T3655" s="313"/>
      <c r="U3655" s="279"/>
      <c r="V3655" s="78" t="s">
        <v>33</v>
      </c>
      <c r="W3655" s="106"/>
      <c r="X3655" s="282"/>
      <c r="Y3655" s="314"/>
      <c r="Z3655" s="248"/>
      <c r="AA3655" s="248"/>
      <c r="AB3655" s="248"/>
      <c r="AC3655" s="248"/>
      <c r="AD3655" s="248"/>
      <c r="AE3655" s="248"/>
      <c r="AF3655" s="248"/>
      <c r="AG3655" s="248"/>
      <c r="AH3655" s="248"/>
      <c r="AI3655" s="248"/>
      <c r="AJ3655" s="248"/>
      <c r="AK3655" s="248"/>
      <c r="AL3655" s="248"/>
      <c r="AM3655" s="248"/>
      <c r="AN3655" s="248"/>
      <c r="AO3655" s="248"/>
      <c r="AP3655" s="248"/>
      <c r="AQ3655" s="248"/>
      <c r="AR3655" s="248"/>
      <c r="AS3655" s="248"/>
      <c r="AT3655" s="248"/>
      <c r="AU3655" s="248"/>
      <c r="AV3655" s="248"/>
      <c r="AW3655" s="248"/>
      <c r="AX3655" s="248"/>
      <c r="AY3655" s="248"/>
      <c r="AZ3655" s="248"/>
      <c r="BA3655" s="248"/>
      <c r="BB3655" s="248"/>
      <c r="BC3655" s="248"/>
      <c r="BD3655" s="248"/>
      <c r="BE3655" s="248"/>
      <c r="BF3655" s="248"/>
      <c r="BG3655" s="248"/>
      <c r="BH3655" s="248"/>
      <c r="BI3655" s="248"/>
      <c r="BJ3655" s="248"/>
      <c r="BK3655" s="248"/>
      <c r="BL3655" s="248"/>
      <c r="BM3655" s="248"/>
      <c r="BN3655" s="248"/>
      <c r="BO3655" s="248"/>
      <c r="BP3655" s="248"/>
      <c r="BQ3655" s="248"/>
    </row>
    <row r="3656">
      <c r="A3656" s="78" t="s">
        <v>239</v>
      </c>
      <c r="B3656" s="248"/>
      <c r="C3656" s="99">
        <v>44219.0</v>
      </c>
      <c r="D3656" s="248"/>
      <c r="E3656" s="78" t="s">
        <v>41</v>
      </c>
      <c r="F3656" s="37">
        <v>3.0</v>
      </c>
      <c r="G3656" s="78" t="s">
        <v>32</v>
      </c>
      <c r="H3656" s="78">
        <v>3.0</v>
      </c>
      <c r="I3656" s="78" t="s">
        <v>33</v>
      </c>
      <c r="J3656" s="78" t="s">
        <v>147</v>
      </c>
      <c r="K3656" s="248"/>
      <c r="L3656" s="106" t="s">
        <v>194</v>
      </c>
      <c r="M3656" s="282" t="s">
        <v>9298</v>
      </c>
      <c r="N3656" s="282"/>
      <c r="O3656" s="248"/>
      <c r="P3656" s="248"/>
      <c r="Q3656" s="293"/>
      <c r="R3656" s="248"/>
      <c r="S3656" s="145"/>
      <c r="T3656" s="313"/>
      <c r="U3656" s="279"/>
      <c r="V3656" s="78" t="s">
        <v>33</v>
      </c>
      <c r="W3656" s="106"/>
      <c r="X3656" s="282"/>
      <c r="Y3656" s="314"/>
      <c r="Z3656" s="248"/>
      <c r="AA3656" s="248"/>
      <c r="AB3656" s="248"/>
      <c r="AC3656" s="248"/>
      <c r="AD3656" s="248"/>
      <c r="AE3656" s="248"/>
      <c r="AF3656" s="248"/>
      <c r="AG3656" s="248"/>
      <c r="AH3656" s="248"/>
      <c r="AI3656" s="248"/>
      <c r="AJ3656" s="248"/>
      <c r="AK3656" s="248"/>
      <c r="AL3656" s="248"/>
      <c r="AM3656" s="248"/>
      <c r="AN3656" s="248"/>
      <c r="AO3656" s="248"/>
      <c r="AP3656" s="248"/>
      <c r="AQ3656" s="248"/>
      <c r="AR3656" s="248"/>
      <c r="AS3656" s="248"/>
      <c r="AT3656" s="248"/>
      <c r="AU3656" s="248"/>
      <c r="AV3656" s="248"/>
      <c r="AW3656" s="248"/>
      <c r="AX3656" s="248"/>
      <c r="AY3656" s="248"/>
      <c r="AZ3656" s="248"/>
      <c r="BA3656" s="248"/>
      <c r="BB3656" s="248"/>
      <c r="BC3656" s="248"/>
      <c r="BD3656" s="248"/>
      <c r="BE3656" s="248"/>
      <c r="BF3656" s="248"/>
      <c r="BG3656" s="248"/>
      <c r="BH3656" s="248"/>
      <c r="BI3656" s="248"/>
      <c r="BJ3656" s="248"/>
      <c r="BK3656" s="248"/>
      <c r="BL3656" s="248"/>
      <c r="BM3656" s="248"/>
      <c r="BN3656" s="248"/>
      <c r="BO3656" s="248"/>
      <c r="BP3656" s="248"/>
      <c r="BQ3656" s="248"/>
    </row>
    <row r="3657">
      <c r="A3657" s="78" t="s">
        <v>9299</v>
      </c>
      <c r="B3657" s="248"/>
      <c r="C3657" s="99">
        <v>44219.0</v>
      </c>
      <c r="D3657" s="248"/>
      <c r="E3657" s="78" t="s">
        <v>41</v>
      </c>
      <c r="F3657" s="37">
        <v>1.0</v>
      </c>
      <c r="G3657" s="78" t="s">
        <v>32</v>
      </c>
      <c r="H3657" s="78">
        <v>1.0</v>
      </c>
      <c r="I3657" s="78" t="s">
        <v>33</v>
      </c>
      <c r="J3657" s="78" t="s">
        <v>98</v>
      </c>
      <c r="K3657" s="248"/>
      <c r="L3657" s="106" t="s">
        <v>69</v>
      </c>
      <c r="M3657" s="282" t="s">
        <v>9300</v>
      </c>
      <c r="N3657" s="282"/>
      <c r="O3657" s="248"/>
      <c r="P3657" s="248"/>
      <c r="Q3657" s="293"/>
      <c r="R3657" s="248"/>
      <c r="S3657" s="145"/>
      <c r="T3657" s="313"/>
      <c r="U3657" s="279"/>
      <c r="V3657" s="78" t="s">
        <v>33</v>
      </c>
      <c r="W3657" s="106"/>
      <c r="X3657" s="282"/>
      <c r="Y3657" s="314"/>
      <c r="Z3657" s="248"/>
      <c r="AA3657" s="248"/>
      <c r="AB3657" s="248"/>
      <c r="AC3657" s="248"/>
      <c r="AD3657" s="248"/>
      <c r="AE3657" s="248"/>
      <c r="AF3657" s="248"/>
      <c r="AG3657" s="248"/>
      <c r="AH3657" s="248"/>
      <c r="AI3657" s="248"/>
      <c r="AJ3657" s="248"/>
      <c r="AK3657" s="248"/>
      <c r="AL3657" s="248"/>
      <c r="AM3657" s="248"/>
      <c r="AN3657" s="248"/>
      <c r="AO3657" s="248"/>
      <c r="AP3657" s="248"/>
      <c r="AQ3657" s="248"/>
      <c r="AR3657" s="248"/>
      <c r="AS3657" s="248"/>
      <c r="AT3657" s="248"/>
      <c r="AU3657" s="248"/>
      <c r="AV3657" s="248"/>
      <c r="AW3657" s="248"/>
      <c r="AX3657" s="248"/>
      <c r="AY3657" s="248"/>
      <c r="AZ3657" s="248"/>
      <c r="BA3657" s="248"/>
      <c r="BB3657" s="248"/>
      <c r="BC3657" s="248"/>
      <c r="BD3657" s="248"/>
      <c r="BE3657" s="248"/>
      <c r="BF3657" s="248"/>
      <c r="BG3657" s="248"/>
      <c r="BH3657" s="248"/>
      <c r="BI3657" s="248"/>
      <c r="BJ3657" s="248"/>
      <c r="BK3657" s="248"/>
      <c r="BL3657" s="248"/>
      <c r="BM3657" s="248"/>
      <c r="BN3657" s="248"/>
      <c r="BO3657" s="248"/>
      <c r="BP3657" s="248"/>
      <c r="BQ3657" s="248"/>
    </row>
    <row r="3658">
      <c r="A3658" s="78" t="s">
        <v>239</v>
      </c>
      <c r="B3658" s="248"/>
      <c r="C3658" s="99">
        <v>44221.0</v>
      </c>
      <c r="D3658" s="248"/>
      <c r="E3658" s="78" t="s">
        <v>41</v>
      </c>
      <c r="F3658" s="37">
        <v>1.0</v>
      </c>
      <c r="G3658" s="78">
        <v>245.0</v>
      </c>
      <c r="H3658" s="78">
        <v>245.0</v>
      </c>
      <c r="I3658" s="78" t="s">
        <v>8043</v>
      </c>
      <c r="J3658" s="78"/>
      <c r="K3658" s="248"/>
      <c r="L3658" s="106" t="s">
        <v>76</v>
      </c>
      <c r="M3658" s="282" t="s">
        <v>9301</v>
      </c>
      <c r="N3658" s="282"/>
      <c r="O3658" s="248"/>
      <c r="P3658" s="248"/>
      <c r="Q3658" s="293"/>
      <c r="R3658" s="248"/>
      <c r="S3658" s="145"/>
      <c r="T3658" s="313"/>
      <c r="U3658" s="279"/>
      <c r="V3658" s="78" t="s">
        <v>8043</v>
      </c>
      <c r="W3658" s="106"/>
      <c r="X3658" s="282"/>
      <c r="Y3658" s="314"/>
      <c r="Z3658" s="248"/>
      <c r="AA3658" s="248"/>
      <c r="AB3658" s="248"/>
      <c r="AC3658" s="248"/>
      <c r="AD3658" s="248"/>
      <c r="AE3658" s="248"/>
      <c r="AF3658" s="248"/>
      <c r="AG3658" s="248"/>
      <c r="AH3658" s="248"/>
      <c r="AI3658" s="248"/>
      <c r="AJ3658" s="248"/>
      <c r="AK3658" s="248"/>
      <c r="AL3658" s="248"/>
      <c r="AM3658" s="248"/>
      <c r="AN3658" s="248"/>
      <c r="AO3658" s="248"/>
      <c r="AP3658" s="248"/>
      <c r="AQ3658" s="248"/>
      <c r="AR3658" s="248"/>
      <c r="AS3658" s="248"/>
      <c r="AT3658" s="248"/>
      <c r="AU3658" s="248"/>
      <c r="AV3658" s="248"/>
      <c r="AW3658" s="248"/>
      <c r="AX3658" s="248"/>
      <c r="AY3658" s="248"/>
      <c r="AZ3658" s="248"/>
      <c r="BA3658" s="248"/>
      <c r="BB3658" s="248"/>
      <c r="BC3658" s="248"/>
      <c r="BD3658" s="248"/>
      <c r="BE3658" s="248"/>
      <c r="BF3658" s="248"/>
      <c r="BG3658" s="248"/>
      <c r="BH3658" s="248"/>
      <c r="BI3658" s="248"/>
      <c r="BJ3658" s="248"/>
      <c r="BK3658" s="248"/>
      <c r="BL3658" s="248"/>
      <c r="BM3658" s="248"/>
      <c r="BN3658" s="248"/>
      <c r="BO3658" s="248"/>
      <c r="BP3658" s="248"/>
      <c r="BQ3658" s="248"/>
    </row>
    <row r="3659">
      <c r="A3659" s="78" t="s">
        <v>9302</v>
      </c>
      <c r="B3659" s="248"/>
      <c r="C3659" s="99">
        <v>44222.0</v>
      </c>
      <c r="D3659" s="248"/>
      <c r="E3659" s="78" t="s">
        <v>41</v>
      </c>
      <c r="F3659" s="37">
        <v>1.0</v>
      </c>
      <c r="G3659" s="78" t="s">
        <v>32</v>
      </c>
      <c r="H3659" s="78">
        <v>1.0</v>
      </c>
      <c r="I3659" s="78" t="s">
        <v>33</v>
      </c>
      <c r="J3659" s="78" t="s">
        <v>147</v>
      </c>
      <c r="K3659" s="248"/>
      <c r="L3659" s="106" t="s">
        <v>69</v>
      </c>
      <c r="M3659" s="282" t="s">
        <v>9303</v>
      </c>
      <c r="N3659" s="282"/>
      <c r="O3659" s="248"/>
      <c r="P3659" s="248"/>
      <c r="Q3659" s="293"/>
      <c r="R3659" s="248"/>
      <c r="S3659" s="145"/>
      <c r="T3659" s="313"/>
      <c r="U3659" s="279"/>
      <c r="V3659" s="78" t="s">
        <v>33</v>
      </c>
      <c r="W3659" s="106"/>
      <c r="X3659" s="282"/>
      <c r="Y3659" s="314"/>
      <c r="Z3659" s="248"/>
      <c r="AA3659" s="248"/>
      <c r="AB3659" s="248"/>
      <c r="AC3659" s="248"/>
      <c r="AD3659" s="248"/>
      <c r="AE3659" s="248"/>
      <c r="AF3659" s="248"/>
      <c r="AG3659" s="248"/>
      <c r="AH3659" s="248"/>
      <c r="AI3659" s="248"/>
      <c r="AJ3659" s="248"/>
      <c r="AK3659" s="248"/>
      <c r="AL3659" s="248"/>
      <c r="AM3659" s="248"/>
      <c r="AN3659" s="248"/>
      <c r="AO3659" s="248"/>
      <c r="AP3659" s="248"/>
      <c r="AQ3659" s="248"/>
      <c r="AR3659" s="248"/>
      <c r="AS3659" s="248"/>
      <c r="AT3659" s="248"/>
      <c r="AU3659" s="248"/>
      <c r="AV3659" s="248"/>
      <c r="AW3659" s="248"/>
      <c r="AX3659" s="248"/>
      <c r="AY3659" s="248"/>
      <c r="AZ3659" s="248"/>
      <c r="BA3659" s="248"/>
      <c r="BB3659" s="248"/>
      <c r="BC3659" s="248"/>
      <c r="BD3659" s="248"/>
      <c r="BE3659" s="248"/>
      <c r="BF3659" s="248"/>
      <c r="BG3659" s="248"/>
      <c r="BH3659" s="248"/>
      <c r="BI3659" s="248"/>
      <c r="BJ3659" s="248"/>
      <c r="BK3659" s="248"/>
      <c r="BL3659" s="248"/>
      <c r="BM3659" s="248"/>
      <c r="BN3659" s="248"/>
      <c r="BO3659" s="248"/>
      <c r="BP3659" s="248"/>
      <c r="BQ3659" s="248"/>
    </row>
    <row r="3660">
      <c r="A3660" s="78" t="s">
        <v>9304</v>
      </c>
      <c r="B3660" s="248"/>
      <c r="C3660" s="99">
        <v>44223.0</v>
      </c>
      <c r="D3660" s="248"/>
      <c r="E3660" s="78" t="s">
        <v>41</v>
      </c>
      <c r="F3660" s="37">
        <v>1.0</v>
      </c>
      <c r="G3660" s="78">
        <v>10.0</v>
      </c>
      <c r="H3660" s="78">
        <v>10.0</v>
      </c>
      <c r="I3660" s="78" t="s">
        <v>33</v>
      </c>
      <c r="J3660" s="78" t="s">
        <v>147</v>
      </c>
      <c r="K3660" s="248"/>
      <c r="L3660" s="106" t="s">
        <v>76</v>
      </c>
      <c r="M3660" s="282" t="s">
        <v>9305</v>
      </c>
      <c r="N3660" s="282"/>
      <c r="O3660" s="248"/>
      <c r="P3660" s="248"/>
      <c r="Q3660" s="293"/>
      <c r="R3660" s="248"/>
      <c r="S3660" s="145"/>
      <c r="T3660" s="313"/>
      <c r="U3660" s="279"/>
      <c r="V3660" s="78" t="s">
        <v>33</v>
      </c>
      <c r="W3660" s="106"/>
      <c r="X3660" s="282"/>
      <c r="Y3660" s="314"/>
      <c r="Z3660" s="248"/>
      <c r="AA3660" s="248"/>
      <c r="AB3660" s="248"/>
      <c r="AC3660" s="248"/>
      <c r="AD3660" s="248"/>
      <c r="AE3660" s="248"/>
      <c r="AF3660" s="248"/>
      <c r="AG3660" s="248"/>
      <c r="AH3660" s="248"/>
      <c r="AI3660" s="248"/>
      <c r="AJ3660" s="248"/>
      <c r="AK3660" s="248"/>
      <c r="AL3660" s="248"/>
      <c r="AM3660" s="248"/>
      <c r="AN3660" s="248"/>
      <c r="AO3660" s="248"/>
      <c r="AP3660" s="248"/>
      <c r="AQ3660" s="248"/>
      <c r="AR3660" s="248"/>
      <c r="AS3660" s="248"/>
      <c r="AT3660" s="248"/>
      <c r="AU3660" s="248"/>
      <c r="AV3660" s="248"/>
      <c r="AW3660" s="248"/>
      <c r="AX3660" s="248"/>
      <c r="AY3660" s="248"/>
      <c r="AZ3660" s="248"/>
      <c r="BA3660" s="248"/>
      <c r="BB3660" s="248"/>
      <c r="BC3660" s="248"/>
      <c r="BD3660" s="248"/>
      <c r="BE3660" s="248"/>
      <c r="BF3660" s="248"/>
      <c r="BG3660" s="248"/>
      <c r="BH3660" s="248"/>
      <c r="BI3660" s="248"/>
      <c r="BJ3660" s="248"/>
      <c r="BK3660" s="248"/>
      <c r="BL3660" s="248"/>
      <c r="BM3660" s="248"/>
      <c r="BN3660" s="248"/>
      <c r="BO3660" s="248"/>
      <c r="BP3660" s="248"/>
      <c r="BQ3660" s="248"/>
    </row>
    <row r="3661">
      <c r="A3661" s="78" t="s">
        <v>9006</v>
      </c>
      <c r="B3661" s="248"/>
      <c r="C3661" s="99">
        <v>44223.0</v>
      </c>
      <c r="D3661" s="248"/>
      <c r="E3661" s="78" t="s">
        <v>41</v>
      </c>
      <c r="F3661" s="37">
        <v>1.0</v>
      </c>
      <c r="G3661" s="78" t="s">
        <v>32</v>
      </c>
      <c r="H3661" s="78">
        <v>1.0</v>
      </c>
      <c r="I3661" s="78" t="s">
        <v>33</v>
      </c>
      <c r="J3661" s="78" t="s">
        <v>93</v>
      </c>
      <c r="K3661" s="248"/>
      <c r="L3661" s="106" t="s">
        <v>9306</v>
      </c>
      <c r="M3661" s="282" t="s">
        <v>9307</v>
      </c>
      <c r="N3661" s="282"/>
      <c r="O3661" s="248"/>
      <c r="P3661" s="248"/>
      <c r="Q3661" s="293"/>
      <c r="R3661" s="248"/>
      <c r="S3661" s="145"/>
      <c r="T3661" s="313"/>
      <c r="U3661" s="279"/>
      <c r="V3661" s="78" t="s">
        <v>33</v>
      </c>
      <c r="W3661" s="106"/>
      <c r="X3661" s="282"/>
      <c r="Y3661" s="314"/>
      <c r="Z3661" s="248"/>
      <c r="AA3661" s="248"/>
      <c r="AB3661" s="248"/>
      <c r="AC3661" s="248"/>
      <c r="AD3661" s="248"/>
      <c r="AE3661" s="248"/>
      <c r="AF3661" s="248"/>
      <c r="AG3661" s="248"/>
      <c r="AH3661" s="248"/>
      <c r="AI3661" s="248"/>
      <c r="AJ3661" s="248"/>
      <c r="AK3661" s="248"/>
      <c r="AL3661" s="248"/>
      <c r="AM3661" s="248"/>
      <c r="AN3661" s="248"/>
      <c r="AO3661" s="248"/>
      <c r="AP3661" s="248"/>
      <c r="AQ3661" s="248"/>
      <c r="AR3661" s="248"/>
      <c r="AS3661" s="248"/>
      <c r="AT3661" s="248"/>
      <c r="AU3661" s="248"/>
      <c r="AV3661" s="248"/>
      <c r="AW3661" s="248"/>
      <c r="AX3661" s="248"/>
      <c r="AY3661" s="248"/>
      <c r="AZ3661" s="248"/>
      <c r="BA3661" s="248"/>
      <c r="BB3661" s="248"/>
      <c r="BC3661" s="248"/>
      <c r="BD3661" s="248"/>
      <c r="BE3661" s="248"/>
      <c r="BF3661" s="248"/>
      <c r="BG3661" s="248"/>
      <c r="BH3661" s="248"/>
      <c r="BI3661" s="248"/>
      <c r="BJ3661" s="248"/>
      <c r="BK3661" s="248"/>
      <c r="BL3661" s="248"/>
      <c r="BM3661" s="248"/>
      <c r="BN3661" s="248"/>
      <c r="BO3661" s="248"/>
      <c r="BP3661" s="248"/>
      <c r="BQ3661" s="248"/>
    </row>
    <row r="3662">
      <c r="A3662" s="78" t="s">
        <v>9308</v>
      </c>
      <c r="B3662" s="248"/>
      <c r="C3662" s="99">
        <v>44224.0</v>
      </c>
      <c r="D3662" s="248"/>
      <c r="E3662" s="78" t="s">
        <v>41</v>
      </c>
      <c r="F3662" s="37">
        <v>1.0</v>
      </c>
      <c r="G3662" s="78" t="s">
        <v>32</v>
      </c>
      <c r="H3662" s="78">
        <v>1.0</v>
      </c>
      <c r="I3662" s="78" t="s">
        <v>33</v>
      </c>
      <c r="J3662" s="78" t="s">
        <v>402</v>
      </c>
      <c r="K3662" s="248"/>
      <c r="L3662" s="106" t="s">
        <v>76</v>
      </c>
      <c r="M3662" s="282" t="s">
        <v>9309</v>
      </c>
      <c r="N3662" s="282"/>
      <c r="O3662" s="248"/>
      <c r="P3662" s="248"/>
      <c r="Q3662" s="293"/>
      <c r="R3662" s="248"/>
      <c r="S3662" s="145"/>
      <c r="T3662" s="313"/>
      <c r="U3662" s="279"/>
      <c r="V3662" s="78" t="s">
        <v>33</v>
      </c>
      <c r="W3662" s="106"/>
      <c r="X3662" s="282"/>
      <c r="Y3662" s="314"/>
      <c r="Z3662" s="248"/>
      <c r="AA3662" s="248"/>
      <c r="AB3662" s="248"/>
      <c r="AC3662" s="248"/>
      <c r="AD3662" s="248"/>
      <c r="AE3662" s="248"/>
      <c r="AF3662" s="248"/>
      <c r="AG3662" s="248"/>
      <c r="AH3662" s="248"/>
      <c r="AI3662" s="248"/>
      <c r="AJ3662" s="248"/>
      <c r="AK3662" s="248"/>
      <c r="AL3662" s="248"/>
      <c r="AM3662" s="248"/>
      <c r="AN3662" s="248"/>
      <c r="AO3662" s="248"/>
      <c r="AP3662" s="248"/>
      <c r="AQ3662" s="248"/>
      <c r="AR3662" s="248"/>
      <c r="AS3662" s="248"/>
      <c r="AT3662" s="248"/>
      <c r="AU3662" s="248"/>
      <c r="AV3662" s="248"/>
      <c r="AW3662" s="248"/>
      <c r="AX3662" s="248"/>
      <c r="AY3662" s="248"/>
      <c r="AZ3662" s="248"/>
      <c r="BA3662" s="248"/>
      <c r="BB3662" s="248"/>
      <c r="BC3662" s="248"/>
      <c r="BD3662" s="248"/>
      <c r="BE3662" s="248"/>
      <c r="BF3662" s="248"/>
      <c r="BG3662" s="248"/>
      <c r="BH3662" s="248"/>
      <c r="BI3662" s="248"/>
      <c r="BJ3662" s="248"/>
      <c r="BK3662" s="248"/>
      <c r="BL3662" s="248"/>
      <c r="BM3662" s="248"/>
      <c r="BN3662" s="248"/>
      <c r="BO3662" s="248"/>
      <c r="BP3662" s="248"/>
      <c r="BQ3662" s="248"/>
    </row>
    <row r="3663">
      <c r="A3663" s="78" t="s">
        <v>9310</v>
      </c>
      <c r="B3663" s="248"/>
      <c r="C3663" s="99">
        <v>44224.0</v>
      </c>
      <c r="D3663" s="248"/>
      <c r="E3663" s="78" t="s">
        <v>41</v>
      </c>
      <c r="F3663" s="37">
        <v>1.0</v>
      </c>
      <c r="G3663" s="78" t="s">
        <v>32</v>
      </c>
      <c r="H3663" s="78">
        <v>1.0</v>
      </c>
      <c r="I3663" s="78" t="s">
        <v>33</v>
      </c>
      <c r="J3663" s="78" t="s">
        <v>111</v>
      </c>
      <c r="K3663" s="248"/>
      <c r="L3663" s="106" t="s">
        <v>1203</v>
      </c>
      <c r="M3663" s="282" t="s">
        <v>7591</v>
      </c>
      <c r="N3663" s="282" t="s">
        <v>9311</v>
      </c>
      <c r="O3663" s="248"/>
      <c r="P3663" s="248"/>
      <c r="Q3663" s="293"/>
      <c r="R3663" s="248"/>
      <c r="S3663" s="145"/>
      <c r="T3663" s="313"/>
      <c r="U3663" s="279"/>
      <c r="V3663" s="78" t="s">
        <v>33</v>
      </c>
      <c r="W3663" s="46" t="s">
        <v>9312</v>
      </c>
      <c r="X3663" s="282"/>
      <c r="Y3663" s="314"/>
      <c r="Z3663" s="248"/>
      <c r="AA3663" s="248"/>
      <c r="AB3663" s="248"/>
      <c r="AC3663" s="248"/>
      <c r="AD3663" s="248"/>
      <c r="AE3663" s="248"/>
      <c r="AF3663" s="248"/>
      <c r="AG3663" s="248"/>
      <c r="AH3663" s="248"/>
      <c r="AI3663" s="248"/>
      <c r="AJ3663" s="248"/>
      <c r="AK3663" s="248"/>
      <c r="AL3663" s="248"/>
      <c r="AM3663" s="248"/>
      <c r="AN3663" s="248"/>
      <c r="AO3663" s="248"/>
      <c r="AP3663" s="248"/>
      <c r="AQ3663" s="248"/>
      <c r="AR3663" s="248"/>
      <c r="AS3663" s="248"/>
      <c r="AT3663" s="248"/>
      <c r="AU3663" s="248"/>
      <c r="AV3663" s="248"/>
      <c r="AW3663" s="248"/>
      <c r="AX3663" s="248"/>
      <c r="AY3663" s="248"/>
      <c r="AZ3663" s="248"/>
      <c r="BA3663" s="248"/>
      <c r="BB3663" s="248"/>
      <c r="BC3663" s="248"/>
      <c r="BD3663" s="248"/>
      <c r="BE3663" s="248"/>
      <c r="BF3663" s="248"/>
      <c r="BG3663" s="248"/>
      <c r="BH3663" s="248"/>
      <c r="BI3663" s="248"/>
      <c r="BJ3663" s="248"/>
      <c r="BK3663" s="248"/>
      <c r="BL3663" s="248"/>
      <c r="BM3663" s="248"/>
      <c r="BN3663" s="248"/>
      <c r="BO3663" s="248"/>
      <c r="BP3663" s="248"/>
      <c r="BQ3663" s="248"/>
    </row>
    <row r="3664">
      <c r="A3664" s="78" t="s">
        <v>9313</v>
      </c>
      <c r="B3664" s="248"/>
      <c r="C3664" s="99">
        <v>44224.0</v>
      </c>
      <c r="D3664" s="248"/>
      <c r="E3664" s="78" t="s">
        <v>41</v>
      </c>
      <c r="F3664" s="37">
        <v>1.0</v>
      </c>
      <c r="G3664" s="78" t="s">
        <v>32</v>
      </c>
      <c r="H3664" s="78">
        <v>1.0</v>
      </c>
      <c r="I3664" s="78" t="s">
        <v>33</v>
      </c>
      <c r="J3664" s="78" t="s">
        <v>111</v>
      </c>
      <c r="K3664" s="248"/>
      <c r="L3664" s="106" t="s">
        <v>1203</v>
      </c>
      <c r="M3664" s="282" t="s">
        <v>7591</v>
      </c>
      <c r="N3664" s="282" t="s">
        <v>9311</v>
      </c>
      <c r="O3664" s="248"/>
      <c r="P3664" s="248"/>
      <c r="Q3664" s="293"/>
      <c r="R3664" s="248"/>
      <c r="S3664" s="145"/>
      <c r="T3664" s="313"/>
      <c r="U3664" s="279"/>
      <c r="V3664" s="78" t="s">
        <v>33</v>
      </c>
      <c r="W3664" s="46" t="s">
        <v>9312</v>
      </c>
      <c r="X3664" s="282"/>
      <c r="Y3664" s="314"/>
      <c r="Z3664" s="248"/>
      <c r="AA3664" s="248"/>
      <c r="AB3664" s="248"/>
      <c r="AC3664" s="248"/>
      <c r="AD3664" s="248"/>
      <c r="AE3664" s="248"/>
      <c r="AF3664" s="248"/>
      <c r="AG3664" s="248"/>
      <c r="AH3664" s="248"/>
      <c r="AI3664" s="248"/>
      <c r="AJ3664" s="248"/>
      <c r="AK3664" s="248"/>
      <c r="AL3664" s="248"/>
      <c r="AM3664" s="248"/>
      <c r="AN3664" s="248"/>
      <c r="AO3664" s="248"/>
      <c r="AP3664" s="248"/>
      <c r="AQ3664" s="248"/>
      <c r="AR3664" s="248"/>
      <c r="AS3664" s="248"/>
      <c r="AT3664" s="248"/>
      <c r="AU3664" s="248"/>
      <c r="AV3664" s="248"/>
      <c r="AW3664" s="248"/>
      <c r="AX3664" s="248"/>
      <c r="AY3664" s="248"/>
      <c r="AZ3664" s="248"/>
      <c r="BA3664" s="248"/>
      <c r="BB3664" s="248"/>
      <c r="BC3664" s="248"/>
      <c r="BD3664" s="248"/>
      <c r="BE3664" s="248"/>
      <c r="BF3664" s="248"/>
      <c r="BG3664" s="248"/>
      <c r="BH3664" s="248"/>
      <c r="BI3664" s="248"/>
      <c r="BJ3664" s="248"/>
      <c r="BK3664" s="248"/>
      <c r="BL3664" s="248"/>
      <c r="BM3664" s="248"/>
      <c r="BN3664" s="248"/>
      <c r="BO3664" s="248"/>
      <c r="BP3664" s="248"/>
      <c r="BQ3664" s="248"/>
    </row>
    <row r="3665">
      <c r="A3665" s="78" t="s">
        <v>9314</v>
      </c>
      <c r="B3665" s="248"/>
      <c r="C3665" s="99">
        <v>44225.0</v>
      </c>
      <c r="D3665" s="248"/>
      <c r="E3665" s="78" t="s">
        <v>41</v>
      </c>
      <c r="F3665" s="37">
        <v>1.0</v>
      </c>
      <c r="G3665" s="78" t="s">
        <v>32</v>
      </c>
      <c r="H3665" s="78">
        <v>1.0</v>
      </c>
      <c r="I3665" s="78" t="s">
        <v>33</v>
      </c>
      <c r="J3665" s="78" t="s">
        <v>47</v>
      </c>
      <c r="K3665" s="248"/>
      <c r="L3665" s="106" t="s">
        <v>76</v>
      </c>
      <c r="M3665" s="282" t="s">
        <v>9315</v>
      </c>
      <c r="N3665" s="282"/>
      <c r="O3665" s="248"/>
      <c r="P3665" s="248"/>
      <c r="Q3665" s="293"/>
      <c r="R3665" s="248"/>
      <c r="S3665" s="145"/>
      <c r="T3665" s="313"/>
      <c r="U3665" s="279"/>
      <c r="V3665" s="78" t="s">
        <v>33</v>
      </c>
      <c r="W3665" s="106"/>
      <c r="X3665" s="282"/>
      <c r="Y3665" s="314"/>
      <c r="Z3665" s="248"/>
      <c r="AA3665" s="248"/>
      <c r="AB3665" s="248"/>
      <c r="AC3665" s="248"/>
      <c r="AD3665" s="248"/>
      <c r="AE3665" s="248"/>
      <c r="AF3665" s="248"/>
      <c r="AG3665" s="248"/>
      <c r="AH3665" s="248"/>
      <c r="AI3665" s="248"/>
      <c r="AJ3665" s="248"/>
      <c r="AK3665" s="248"/>
      <c r="AL3665" s="248"/>
      <c r="AM3665" s="248"/>
      <c r="AN3665" s="248"/>
      <c r="AO3665" s="248"/>
      <c r="AP3665" s="248"/>
      <c r="AQ3665" s="248"/>
      <c r="AR3665" s="248"/>
      <c r="AS3665" s="248"/>
      <c r="AT3665" s="248"/>
      <c r="AU3665" s="248"/>
      <c r="AV3665" s="248"/>
      <c r="AW3665" s="248"/>
      <c r="AX3665" s="248"/>
      <c r="AY3665" s="248"/>
      <c r="AZ3665" s="248"/>
      <c r="BA3665" s="248"/>
      <c r="BB3665" s="248"/>
      <c r="BC3665" s="248"/>
      <c r="BD3665" s="248"/>
      <c r="BE3665" s="248"/>
      <c r="BF3665" s="248"/>
      <c r="BG3665" s="248"/>
      <c r="BH3665" s="248"/>
      <c r="BI3665" s="248"/>
      <c r="BJ3665" s="248"/>
      <c r="BK3665" s="248"/>
      <c r="BL3665" s="248"/>
      <c r="BM3665" s="248"/>
      <c r="BN3665" s="248"/>
      <c r="BO3665" s="248"/>
      <c r="BP3665" s="248"/>
      <c r="BQ3665" s="248"/>
    </row>
    <row r="3666">
      <c r="A3666" s="78" t="s">
        <v>239</v>
      </c>
      <c r="B3666" s="248"/>
      <c r="C3666" s="99">
        <v>44225.0</v>
      </c>
      <c r="D3666" s="248"/>
      <c r="E3666" s="78" t="s">
        <v>41</v>
      </c>
      <c r="F3666" s="37">
        <v>1.0</v>
      </c>
      <c r="G3666" s="78" t="s">
        <v>32</v>
      </c>
      <c r="H3666" s="78">
        <v>1.0</v>
      </c>
      <c r="I3666" s="78" t="s">
        <v>33</v>
      </c>
      <c r="J3666" s="78" t="s">
        <v>147</v>
      </c>
      <c r="K3666" s="248"/>
      <c r="L3666" s="106" t="s">
        <v>35</v>
      </c>
      <c r="M3666" s="282" t="s">
        <v>9316</v>
      </c>
      <c r="N3666" s="282"/>
      <c r="O3666" s="248"/>
      <c r="P3666" s="248"/>
      <c r="Q3666" s="293"/>
      <c r="R3666" s="248"/>
      <c r="S3666" s="145"/>
      <c r="T3666" s="313"/>
      <c r="U3666" s="279"/>
      <c r="V3666" s="78" t="s">
        <v>33</v>
      </c>
      <c r="W3666" s="106"/>
      <c r="X3666" s="282"/>
      <c r="Y3666" s="314"/>
      <c r="Z3666" s="248"/>
      <c r="AA3666" s="248"/>
      <c r="AB3666" s="248"/>
      <c r="AC3666" s="248"/>
      <c r="AD3666" s="248"/>
      <c r="AE3666" s="248"/>
      <c r="AF3666" s="248"/>
      <c r="AG3666" s="248"/>
      <c r="AH3666" s="248"/>
      <c r="AI3666" s="248"/>
      <c r="AJ3666" s="248"/>
      <c r="AK3666" s="248"/>
      <c r="AL3666" s="248"/>
      <c r="AM3666" s="248"/>
      <c r="AN3666" s="248"/>
      <c r="AO3666" s="248"/>
      <c r="AP3666" s="248"/>
      <c r="AQ3666" s="248"/>
      <c r="AR3666" s="248"/>
      <c r="AS3666" s="248"/>
      <c r="AT3666" s="248"/>
      <c r="AU3666" s="248"/>
      <c r="AV3666" s="248"/>
      <c r="AW3666" s="248"/>
      <c r="AX3666" s="248"/>
      <c r="AY3666" s="248"/>
      <c r="AZ3666" s="248"/>
      <c r="BA3666" s="248"/>
      <c r="BB3666" s="248"/>
      <c r="BC3666" s="248"/>
      <c r="BD3666" s="248"/>
      <c r="BE3666" s="248"/>
      <c r="BF3666" s="248"/>
      <c r="BG3666" s="248"/>
      <c r="BH3666" s="248"/>
      <c r="BI3666" s="248"/>
      <c r="BJ3666" s="248"/>
      <c r="BK3666" s="248"/>
      <c r="BL3666" s="248"/>
      <c r="BM3666" s="248"/>
      <c r="BN3666" s="248"/>
      <c r="BO3666" s="248"/>
      <c r="BP3666" s="248"/>
      <c r="BQ3666" s="248"/>
    </row>
    <row r="3667">
      <c r="A3667" s="78" t="s">
        <v>239</v>
      </c>
      <c r="B3667" s="248"/>
      <c r="C3667" s="99">
        <v>44226.0</v>
      </c>
      <c r="D3667" s="248"/>
      <c r="E3667" s="78" t="s">
        <v>41</v>
      </c>
      <c r="F3667" s="37">
        <v>1.0</v>
      </c>
      <c r="G3667" s="78" t="s">
        <v>32</v>
      </c>
      <c r="H3667" s="78">
        <v>1.0</v>
      </c>
      <c r="I3667" s="78" t="s">
        <v>33</v>
      </c>
      <c r="J3667" s="78" t="s">
        <v>147</v>
      </c>
      <c r="K3667" s="248"/>
      <c r="L3667" s="106" t="s">
        <v>194</v>
      </c>
      <c r="M3667" s="282" t="s">
        <v>9317</v>
      </c>
      <c r="N3667" s="282"/>
      <c r="O3667" s="248"/>
      <c r="P3667" s="248"/>
      <c r="Q3667" s="293"/>
      <c r="R3667" s="248"/>
      <c r="S3667" s="145"/>
      <c r="T3667" s="313"/>
      <c r="U3667" s="279"/>
      <c r="V3667" s="78" t="s">
        <v>33</v>
      </c>
      <c r="W3667" s="106"/>
      <c r="X3667" s="282"/>
      <c r="Y3667" s="314"/>
      <c r="Z3667" s="248"/>
      <c r="AA3667" s="248"/>
      <c r="AB3667" s="248"/>
      <c r="AC3667" s="248"/>
      <c r="AD3667" s="248"/>
      <c r="AE3667" s="248"/>
      <c r="AF3667" s="248"/>
      <c r="AG3667" s="248"/>
      <c r="AH3667" s="248"/>
      <c r="AI3667" s="248"/>
      <c r="AJ3667" s="248"/>
      <c r="AK3667" s="248"/>
      <c r="AL3667" s="248"/>
      <c r="AM3667" s="248"/>
      <c r="AN3667" s="248"/>
      <c r="AO3667" s="248"/>
      <c r="AP3667" s="248"/>
      <c r="AQ3667" s="248"/>
      <c r="AR3667" s="248"/>
      <c r="AS3667" s="248"/>
      <c r="AT3667" s="248"/>
      <c r="AU3667" s="248"/>
      <c r="AV3667" s="248"/>
      <c r="AW3667" s="248"/>
      <c r="AX3667" s="248"/>
      <c r="AY3667" s="248"/>
      <c r="AZ3667" s="248"/>
      <c r="BA3667" s="248"/>
      <c r="BB3667" s="248"/>
      <c r="BC3667" s="248"/>
      <c r="BD3667" s="248"/>
      <c r="BE3667" s="248"/>
      <c r="BF3667" s="248"/>
      <c r="BG3667" s="248"/>
      <c r="BH3667" s="248"/>
      <c r="BI3667" s="248"/>
      <c r="BJ3667" s="248"/>
      <c r="BK3667" s="248"/>
      <c r="BL3667" s="248"/>
      <c r="BM3667" s="248"/>
      <c r="BN3667" s="248"/>
      <c r="BO3667" s="248"/>
      <c r="BP3667" s="248"/>
      <c r="BQ3667" s="248"/>
    </row>
    <row r="3668">
      <c r="A3668" s="78" t="s">
        <v>239</v>
      </c>
      <c r="B3668" s="248"/>
      <c r="C3668" s="100">
        <v>44228.0</v>
      </c>
      <c r="D3668" s="248"/>
      <c r="E3668" s="78" t="s">
        <v>41</v>
      </c>
      <c r="F3668" s="37">
        <v>3.0</v>
      </c>
      <c r="G3668" s="78">
        <v>150.0</v>
      </c>
      <c r="H3668" s="78">
        <v>150.0</v>
      </c>
      <c r="I3668" s="78" t="s">
        <v>33</v>
      </c>
      <c r="J3668" s="78" t="s">
        <v>89</v>
      </c>
      <c r="K3668" s="248"/>
      <c r="L3668" s="106" t="s">
        <v>9318</v>
      </c>
      <c r="M3668" s="282" t="s">
        <v>9319</v>
      </c>
      <c r="N3668" s="282"/>
      <c r="O3668" s="248"/>
      <c r="P3668" s="248"/>
      <c r="Q3668" s="293"/>
      <c r="R3668" s="248"/>
      <c r="S3668" s="145"/>
      <c r="T3668" s="313"/>
      <c r="U3668" s="279"/>
      <c r="V3668" s="78" t="s">
        <v>32</v>
      </c>
      <c r="W3668" s="106"/>
      <c r="X3668" s="282"/>
      <c r="Y3668" s="314"/>
      <c r="Z3668" s="248"/>
      <c r="AA3668" s="248"/>
      <c r="AB3668" s="248"/>
      <c r="AC3668" s="248"/>
      <c r="AD3668" s="248"/>
      <c r="AE3668" s="248"/>
      <c r="AF3668" s="248"/>
      <c r="AG3668" s="248"/>
      <c r="AH3668" s="248"/>
      <c r="AI3668" s="248"/>
      <c r="AJ3668" s="248"/>
      <c r="AK3668" s="248"/>
      <c r="AL3668" s="248"/>
      <c r="AM3668" s="248"/>
      <c r="AN3668" s="248"/>
      <c r="AO3668" s="248"/>
      <c r="AP3668" s="248"/>
      <c r="AQ3668" s="248"/>
      <c r="AR3668" s="248"/>
      <c r="AS3668" s="248"/>
      <c r="AT3668" s="248"/>
      <c r="AU3668" s="248"/>
      <c r="AV3668" s="248"/>
      <c r="AW3668" s="248"/>
      <c r="AX3668" s="248"/>
      <c r="AY3668" s="248"/>
      <c r="AZ3668" s="248"/>
      <c r="BA3668" s="248"/>
      <c r="BB3668" s="248"/>
      <c r="BC3668" s="248"/>
      <c r="BD3668" s="248"/>
      <c r="BE3668" s="248"/>
      <c r="BF3668" s="248"/>
      <c r="BG3668" s="248"/>
      <c r="BH3668" s="248"/>
      <c r="BI3668" s="248"/>
      <c r="BJ3668" s="248"/>
      <c r="BK3668" s="248"/>
      <c r="BL3668" s="248"/>
      <c r="BM3668" s="248"/>
      <c r="BN3668" s="248"/>
      <c r="BO3668" s="248"/>
      <c r="BP3668" s="248"/>
      <c r="BQ3668" s="248"/>
    </row>
    <row r="3669">
      <c r="A3669" s="78" t="s">
        <v>9320</v>
      </c>
      <c r="B3669" s="248"/>
      <c r="C3669" s="99">
        <v>44230.0</v>
      </c>
      <c r="D3669" s="248"/>
      <c r="E3669" s="78" t="s">
        <v>41</v>
      </c>
      <c r="F3669" s="37">
        <v>1.0</v>
      </c>
      <c r="G3669" s="78" t="s">
        <v>32</v>
      </c>
      <c r="H3669" s="78">
        <v>1.0</v>
      </c>
      <c r="I3669" s="78" t="s">
        <v>33</v>
      </c>
      <c r="J3669" s="78" t="s">
        <v>93</v>
      </c>
      <c r="K3669" s="248"/>
      <c r="L3669" s="106" t="s">
        <v>76</v>
      </c>
      <c r="M3669" s="282" t="s">
        <v>9321</v>
      </c>
      <c r="N3669" s="282"/>
      <c r="O3669" s="248"/>
      <c r="P3669" s="248"/>
      <c r="Q3669" s="293"/>
      <c r="R3669" s="248"/>
      <c r="S3669" s="145"/>
      <c r="T3669" s="313"/>
      <c r="U3669" s="279"/>
      <c r="V3669" s="78" t="s">
        <v>33</v>
      </c>
      <c r="W3669" s="106"/>
      <c r="X3669" s="282"/>
      <c r="Y3669" s="314"/>
      <c r="Z3669" s="248"/>
      <c r="AA3669" s="248"/>
      <c r="AB3669" s="248"/>
      <c r="AC3669" s="248"/>
      <c r="AD3669" s="248"/>
      <c r="AE3669" s="248"/>
      <c r="AF3669" s="248"/>
      <c r="AG3669" s="248"/>
      <c r="AH3669" s="248"/>
      <c r="AI3669" s="248"/>
      <c r="AJ3669" s="248"/>
      <c r="AK3669" s="248"/>
      <c r="AL3669" s="248"/>
      <c r="AM3669" s="248"/>
      <c r="AN3669" s="248"/>
      <c r="AO3669" s="248"/>
      <c r="AP3669" s="248"/>
      <c r="AQ3669" s="248"/>
      <c r="AR3669" s="248"/>
      <c r="AS3669" s="248"/>
      <c r="AT3669" s="248"/>
      <c r="AU3669" s="248"/>
      <c r="AV3669" s="248"/>
      <c r="AW3669" s="248"/>
      <c r="AX3669" s="248"/>
      <c r="AY3669" s="248"/>
      <c r="AZ3669" s="248"/>
      <c r="BA3669" s="248"/>
      <c r="BB3669" s="248"/>
      <c r="BC3669" s="248"/>
      <c r="BD3669" s="248"/>
      <c r="BE3669" s="248"/>
      <c r="BF3669" s="248"/>
      <c r="BG3669" s="248"/>
      <c r="BH3669" s="248"/>
      <c r="BI3669" s="248"/>
      <c r="BJ3669" s="248"/>
      <c r="BK3669" s="248"/>
      <c r="BL3669" s="248"/>
      <c r="BM3669" s="248"/>
      <c r="BN3669" s="248"/>
      <c r="BO3669" s="248"/>
      <c r="BP3669" s="248"/>
      <c r="BQ3669" s="248"/>
    </row>
    <row r="3670">
      <c r="A3670" s="78" t="s">
        <v>239</v>
      </c>
      <c r="B3670" s="248"/>
      <c r="C3670" s="99">
        <v>44231.0</v>
      </c>
      <c r="D3670" s="248"/>
      <c r="E3670" s="78" t="s">
        <v>41</v>
      </c>
      <c r="F3670" s="37">
        <v>1.0</v>
      </c>
      <c r="G3670" s="78" t="s">
        <v>32</v>
      </c>
      <c r="H3670" s="78">
        <v>1.0</v>
      </c>
      <c r="I3670" s="78" t="s">
        <v>33</v>
      </c>
      <c r="J3670" s="78" t="s">
        <v>241</v>
      </c>
      <c r="K3670" s="248"/>
      <c r="L3670" s="106" t="s">
        <v>194</v>
      </c>
      <c r="M3670" s="282" t="s">
        <v>9322</v>
      </c>
      <c r="N3670" s="282"/>
      <c r="O3670" s="248"/>
      <c r="P3670" s="248"/>
      <c r="Q3670" s="293"/>
      <c r="R3670" s="248"/>
      <c r="S3670" s="145"/>
      <c r="T3670" s="313"/>
      <c r="U3670" s="279"/>
      <c r="V3670" s="78" t="s">
        <v>33</v>
      </c>
      <c r="W3670" s="106"/>
      <c r="X3670" s="282"/>
      <c r="Y3670" s="314"/>
      <c r="Z3670" s="248"/>
      <c r="AA3670" s="248"/>
      <c r="AB3670" s="248"/>
      <c r="AC3670" s="248"/>
      <c r="AD3670" s="248"/>
      <c r="AE3670" s="248"/>
      <c r="AF3670" s="248"/>
      <c r="AG3670" s="248"/>
      <c r="AH3670" s="248"/>
      <c r="AI3670" s="248"/>
      <c r="AJ3670" s="248"/>
      <c r="AK3670" s="248"/>
      <c r="AL3670" s="248"/>
      <c r="AM3670" s="248"/>
      <c r="AN3670" s="248"/>
      <c r="AO3670" s="248"/>
      <c r="AP3670" s="248"/>
      <c r="AQ3670" s="248"/>
      <c r="AR3670" s="248"/>
      <c r="AS3670" s="248"/>
      <c r="AT3670" s="248"/>
      <c r="AU3670" s="248"/>
      <c r="AV3670" s="248"/>
      <c r="AW3670" s="248"/>
      <c r="AX3670" s="248"/>
      <c r="AY3670" s="248"/>
      <c r="AZ3670" s="248"/>
      <c r="BA3670" s="248"/>
      <c r="BB3670" s="248"/>
      <c r="BC3670" s="248"/>
      <c r="BD3670" s="248"/>
      <c r="BE3670" s="248"/>
      <c r="BF3670" s="248"/>
      <c r="BG3670" s="248"/>
      <c r="BH3670" s="248"/>
      <c r="BI3670" s="248"/>
      <c r="BJ3670" s="248"/>
      <c r="BK3670" s="248"/>
      <c r="BL3670" s="248"/>
      <c r="BM3670" s="248"/>
      <c r="BN3670" s="248"/>
      <c r="BO3670" s="248"/>
      <c r="BP3670" s="248"/>
      <c r="BQ3670" s="248"/>
    </row>
    <row r="3671">
      <c r="A3671" s="78" t="s">
        <v>9323</v>
      </c>
      <c r="B3671" s="248"/>
      <c r="C3671" s="99">
        <v>44231.0</v>
      </c>
      <c r="D3671" s="248"/>
      <c r="E3671" s="78" t="s">
        <v>41</v>
      </c>
      <c r="F3671" s="37">
        <v>1.0</v>
      </c>
      <c r="G3671" s="78" t="s">
        <v>32</v>
      </c>
      <c r="H3671" s="78">
        <v>1.0</v>
      </c>
      <c r="I3671" s="78" t="s">
        <v>33</v>
      </c>
      <c r="J3671" s="78" t="s">
        <v>93</v>
      </c>
      <c r="K3671" s="248"/>
      <c r="L3671" s="106" t="s">
        <v>119</v>
      </c>
      <c r="M3671" s="282" t="s">
        <v>9324</v>
      </c>
      <c r="N3671" s="282"/>
      <c r="O3671" s="248"/>
      <c r="P3671" s="248"/>
      <c r="Q3671" s="293"/>
      <c r="R3671" s="248"/>
      <c r="S3671" s="145"/>
      <c r="T3671" s="313"/>
      <c r="U3671" s="279"/>
      <c r="V3671" s="78" t="s">
        <v>33</v>
      </c>
      <c r="W3671" s="106"/>
      <c r="X3671" s="282"/>
      <c r="Y3671" s="314"/>
      <c r="Z3671" s="248"/>
      <c r="AA3671" s="248"/>
      <c r="AB3671" s="248"/>
      <c r="AC3671" s="248"/>
      <c r="AD3671" s="248"/>
      <c r="AE3671" s="248"/>
      <c r="AF3671" s="248"/>
      <c r="AG3671" s="248"/>
      <c r="AH3671" s="248"/>
      <c r="AI3671" s="248"/>
      <c r="AJ3671" s="248"/>
      <c r="AK3671" s="248"/>
      <c r="AL3671" s="248"/>
      <c r="AM3671" s="248"/>
      <c r="AN3671" s="248"/>
      <c r="AO3671" s="248"/>
      <c r="AP3671" s="248"/>
      <c r="AQ3671" s="248"/>
      <c r="AR3671" s="248"/>
      <c r="AS3671" s="248"/>
      <c r="AT3671" s="248"/>
      <c r="AU3671" s="248"/>
      <c r="AV3671" s="248"/>
      <c r="AW3671" s="248"/>
      <c r="AX3671" s="248"/>
      <c r="AY3671" s="248"/>
      <c r="AZ3671" s="248"/>
      <c r="BA3671" s="248"/>
      <c r="BB3671" s="248"/>
      <c r="BC3671" s="248"/>
      <c r="BD3671" s="248"/>
      <c r="BE3671" s="248"/>
      <c r="BF3671" s="248"/>
      <c r="BG3671" s="248"/>
      <c r="BH3671" s="248"/>
      <c r="BI3671" s="248"/>
      <c r="BJ3671" s="248"/>
      <c r="BK3671" s="248"/>
      <c r="BL3671" s="248"/>
      <c r="BM3671" s="248"/>
      <c r="BN3671" s="248"/>
      <c r="BO3671" s="248"/>
      <c r="BP3671" s="248"/>
      <c r="BQ3671" s="248"/>
    </row>
    <row r="3672">
      <c r="A3672" s="78" t="s">
        <v>239</v>
      </c>
      <c r="B3672" s="248"/>
      <c r="C3672" s="99">
        <v>44232.0</v>
      </c>
      <c r="D3672" s="248"/>
      <c r="E3672" s="78" t="s">
        <v>41</v>
      </c>
      <c r="F3672" s="37">
        <v>2.0</v>
      </c>
      <c r="G3672" s="78" t="s">
        <v>32</v>
      </c>
      <c r="H3672" s="78">
        <v>2.0</v>
      </c>
      <c r="I3672" s="78" t="s">
        <v>33</v>
      </c>
      <c r="J3672" s="78" t="s">
        <v>147</v>
      </c>
      <c r="K3672" s="248"/>
      <c r="L3672" s="106" t="s">
        <v>194</v>
      </c>
      <c r="M3672" s="282" t="s">
        <v>9325</v>
      </c>
      <c r="N3672" s="282"/>
      <c r="O3672" s="248"/>
      <c r="P3672" s="248"/>
      <c r="Q3672" s="293"/>
      <c r="R3672" s="248"/>
      <c r="S3672" s="145"/>
      <c r="T3672" s="313"/>
      <c r="U3672" s="279"/>
      <c r="V3672" s="78" t="s">
        <v>33</v>
      </c>
      <c r="W3672" s="106"/>
      <c r="X3672" s="282"/>
      <c r="Y3672" s="314"/>
      <c r="Z3672" s="248"/>
      <c r="AA3672" s="248"/>
      <c r="AB3672" s="248"/>
      <c r="AC3672" s="248"/>
      <c r="AD3672" s="248"/>
      <c r="AE3672" s="248"/>
      <c r="AF3672" s="248"/>
      <c r="AG3672" s="248"/>
      <c r="AH3672" s="248"/>
      <c r="AI3672" s="248"/>
      <c r="AJ3672" s="248"/>
      <c r="AK3672" s="248"/>
      <c r="AL3672" s="248"/>
      <c r="AM3672" s="248"/>
      <c r="AN3672" s="248"/>
      <c r="AO3672" s="248"/>
      <c r="AP3672" s="248"/>
      <c r="AQ3672" s="248"/>
      <c r="AR3672" s="248"/>
      <c r="AS3672" s="248"/>
      <c r="AT3672" s="248"/>
      <c r="AU3672" s="248"/>
      <c r="AV3672" s="248"/>
      <c r="AW3672" s="248"/>
      <c r="AX3672" s="248"/>
      <c r="AY3672" s="248"/>
      <c r="AZ3672" s="248"/>
      <c r="BA3672" s="248"/>
      <c r="BB3672" s="248"/>
      <c r="BC3672" s="248"/>
      <c r="BD3672" s="248"/>
      <c r="BE3672" s="248"/>
      <c r="BF3672" s="248"/>
      <c r="BG3672" s="248"/>
      <c r="BH3672" s="248"/>
      <c r="BI3672" s="248"/>
      <c r="BJ3672" s="248"/>
      <c r="BK3672" s="248"/>
      <c r="BL3672" s="248"/>
      <c r="BM3672" s="248"/>
      <c r="BN3672" s="248"/>
      <c r="BO3672" s="248"/>
      <c r="BP3672" s="248"/>
      <c r="BQ3672" s="248"/>
    </row>
    <row r="3673">
      <c r="A3673" s="78" t="s">
        <v>9326</v>
      </c>
      <c r="B3673" s="248"/>
      <c r="C3673" s="99">
        <v>44232.0</v>
      </c>
      <c r="D3673" s="248"/>
      <c r="E3673" s="78" t="s">
        <v>41</v>
      </c>
      <c r="F3673" s="37">
        <v>1.0</v>
      </c>
      <c r="G3673" s="78" t="s">
        <v>32</v>
      </c>
      <c r="H3673" s="78">
        <v>1.0</v>
      </c>
      <c r="I3673" s="78" t="s">
        <v>33</v>
      </c>
      <c r="J3673" s="78" t="s">
        <v>318</v>
      </c>
      <c r="K3673" s="248"/>
      <c r="L3673" s="106" t="s">
        <v>9141</v>
      </c>
      <c r="M3673" s="282" t="s">
        <v>9327</v>
      </c>
      <c r="N3673" s="282"/>
      <c r="O3673" s="248"/>
      <c r="P3673" s="248"/>
      <c r="Q3673" s="293"/>
      <c r="R3673" s="248"/>
      <c r="S3673" s="145"/>
      <c r="T3673" s="313"/>
      <c r="U3673" s="279"/>
      <c r="V3673" s="78" t="s">
        <v>33</v>
      </c>
      <c r="W3673" s="106"/>
      <c r="X3673" s="282"/>
      <c r="Y3673" s="314"/>
      <c r="Z3673" s="248"/>
      <c r="AA3673" s="248"/>
      <c r="AB3673" s="248"/>
      <c r="AC3673" s="248"/>
      <c r="AD3673" s="248"/>
      <c r="AE3673" s="248"/>
      <c r="AF3673" s="248"/>
      <c r="AG3673" s="248"/>
      <c r="AH3673" s="248"/>
      <c r="AI3673" s="248"/>
      <c r="AJ3673" s="248"/>
      <c r="AK3673" s="248"/>
      <c r="AL3673" s="248"/>
      <c r="AM3673" s="248"/>
      <c r="AN3673" s="248"/>
      <c r="AO3673" s="248"/>
      <c r="AP3673" s="248"/>
      <c r="AQ3673" s="248"/>
      <c r="AR3673" s="248"/>
      <c r="AS3673" s="248"/>
      <c r="AT3673" s="248"/>
      <c r="AU3673" s="248"/>
      <c r="AV3673" s="248"/>
      <c r="AW3673" s="248"/>
      <c r="AX3673" s="248"/>
      <c r="AY3673" s="248"/>
      <c r="AZ3673" s="248"/>
      <c r="BA3673" s="248"/>
      <c r="BB3673" s="248"/>
      <c r="BC3673" s="248"/>
      <c r="BD3673" s="248"/>
      <c r="BE3673" s="248"/>
      <c r="BF3673" s="248"/>
      <c r="BG3673" s="248"/>
      <c r="BH3673" s="248"/>
      <c r="BI3673" s="248"/>
      <c r="BJ3673" s="248"/>
      <c r="BK3673" s="248"/>
      <c r="BL3673" s="248"/>
      <c r="BM3673" s="248"/>
      <c r="BN3673" s="248"/>
      <c r="BO3673" s="248"/>
      <c r="BP3673" s="248"/>
      <c r="BQ3673" s="248"/>
    </row>
    <row r="3674">
      <c r="A3674" s="78" t="s">
        <v>9328</v>
      </c>
      <c r="B3674" s="248"/>
      <c r="C3674" s="99">
        <v>44232.0</v>
      </c>
      <c r="D3674" s="248"/>
      <c r="E3674" s="78" t="s">
        <v>41</v>
      </c>
      <c r="F3674" s="37">
        <v>1.0</v>
      </c>
      <c r="G3674" s="78" t="s">
        <v>32</v>
      </c>
      <c r="H3674" s="78">
        <v>1.0</v>
      </c>
      <c r="I3674" s="78" t="s">
        <v>33</v>
      </c>
      <c r="J3674" s="78" t="s">
        <v>318</v>
      </c>
      <c r="K3674" s="248"/>
      <c r="L3674" s="106" t="s">
        <v>9141</v>
      </c>
      <c r="M3674" s="282" t="s">
        <v>9327</v>
      </c>
      <c r="N3674" s="282"/>
      <c r="O3674" s="248"/>
      <c r="P3674" s="248"/>
      <c r="Q3674" s="293"/>
      <c r="R3674" s="248"/>
      <c r="S3674" s="145"/>
      <c r="T3674" s="313"/>
      <c r="U3674" s="279"/>
      <c r="V3674" s="78" t="s">
        <v>33</v>
      </c>
      <c r="W3674" s="106"/>
      <c r="X3674" s="282"/>
      <c r="Y3674" s="314"/>
      <c r="Z3674" s="248"/>
      <c r="AA3674" s="248"/>
      <c r="AB3674" s="248"/>
      <c r="AC3674" s="248"/>
      <c r="AD3674" s="248"/>
      <c r="AE3674" s="248"/>
      <c r="AF3674" s="248"/>
      <c r="AG3674" s="248"/>
      <c r="AH3674" s="248"/>
      <c r="AI3674" s="248"/>
      <c r="AJ3674" s="248"/>
      <c r="AK3674" s="248"/>
      <c r="AL3674" s="248"/>
      <c r="AM3674" s="248"/>
      <c r="AN3674" s="248"/>
      <c r="AO3674" s="248"/>
      <c r="AP3674" s="248"/>
      <c r="AQ3674" s="248"/>
      <c r="AR3674" s="248"/>
      <c r="AS3674" s="248"/>
      <c r="AT3674" s="248"/>
      <c r="AU3674" s="248"/>
      <c r="AV3674" s="248"/>
      <c r="AW3674" s="248"/>
      <c r="AX3674" s="248"/>
      <c r="AY3674" s="248"/>
      <c r="AZ3674" s="248"/>
      <c r="BA3674" s="248"/>
      <c r="BB3674" s="248"/>
      <c r="BC3674" s="248"/>
      <c r="BD3674" s="248"/>
      <c r="BE3674" s="248"/>
      <c r="BF3674" s="248"/>
      <c r="BG3674" s="248"/>
      <c r="BH3674" s="248"/>
      <c r="BI3674" s="248"/>
      <c r="BJ3674" s="248"/>
      <c r="BK3674" s="248"/>
      <c r="BL3674" s="248"/>
      <c r="BM3674" s="248"/>
      <c r="BN3674" s="248"/>
      <c r="BO3674" s="248"/>
      <c r="BP3674" s="248"/>
      <c r="BQ3674" s="248"/>
    </row>
    <row r="3675">
      <c r="A3675" s="78" t="s">
        <v>9329</v>
      </c>
      <c r="B3675" s="248"/>
      <c r="C3675" s="99">
        <v>44232.0</v>
      </c>
      <c r="D3675" s="248"/>
      <c r="E3675" s="78" t="s">
        <v>31</v>
      </c>
      <c r="F3675" s="37">
        <v>1.0</v>
      </c>
      <c r="G3675" s="78">
        <v>1.0</v>
      </c>
      <c r="H3675" s="78">
        <v>1.0</v>
      </c>
      <c r="I3675" s="78" t="s">
        <v>33</v>
      </c>
      <c r="J3675" s="78" t="s">
        <v>850</v>
      </c>
      <c r="K3675" s="248"/>
      <c r="L3675" s="106" t="s">
        <v>9330</v>
      </c>
      <c r="M3675" s="282" t="s">
        <v>9331</v>
      </c>
      <c r="N3675" s="282" t="s">
        <v>9332</v>
      </c>
      <c r="O3675" s="248"/>
      <c r="P3675" s="248"/>
      <c r="Q3675" s="293"/>
      <c r="R3675" s="248"/>
      <c r="S3675" s="145"/>
      <c r="T3675" s="313"/>
      <c r="U3675" s="279"/>
      <c r="V3675" s="78" t="s">
        <v>33</v>
      </c>
      <c r="W3675" s="46" t="s">
        <v>9333</v>
      </c>
      <c r="X3675" s="282" t="s">
        <v>9334</v>
      </c>
      <c r="Y3675" s="314"/>
      <c r="Z3675" s="248"/>
      <c r="AA3675" s="248"/>
      <c r="AB3675" s="248"/>
      <c r="AC3675" s="248"/>
      <c r="AD3675" s="248"/>
      <c r="AE3675" s="248"/>
      <c r="AF3675" s="248"/>
      <c r="AG3675" s="248"/>
      <c r="AH3675" s="248"/>
      <c r="AI3675" s="248"/>
      <c r="AJ3675" s="248"/>
      <c r="AK3675" s="248"/>
      <c r="AL3675" s="248"/>
      <c r="AM3675" s="248"/>
      <c r="AN3675" s="248"/>
      <c r="AO3675" s="248"/>
      <c r="AP3675" s="248"/>
      <c r="AQ3675" s="248"/>
      <c r="AR3675" s="248"/>
      <c r="AS3675" s="248"/>
      <c r="AT3675" s="248"/>
      <c r="AU3675" s="248"/>
      <c r="AV3675" s="248"/>
      <c r="AW3675" s="248"/>
      <c r="AX3675" s="248"/>
      <c r="AY3675" s="248"/>
      <c r="AZ3675" s="248"/>
      <c r="BA3675" s="248"/>
      <c r="BB3675" s="248"/>
      <c r="BC3675" s="248"/>
      <c r="BD3675" s="248"/>
      <c r="BE3675" s="248"/>
      <c r="BF3675" s="248"/>
      <c r="BG3675" s="248"/>
      <c r="BH3675" s="248"/>
      <c r="BI3675" s="248"/>
      <c r="BJ3675" s="248"/>
      <c r="BK3675" s="248"/>
      <c r="BL3675" s="248"/>
      <c r="BM3675" s="248"/>
      <c r="BN3675" s="248"/>
      <c r="BO3675" s="248"/>
      <c r="BP3675" s="248"/>
      <c r="BQ3675" s="248"/>
    </row>
    <row r="3676">
      <c r="A3676" s="78" t="s">
        <v>239</v>
      </c>
      <c r="B3676" s="248"/>
      <c r="C3676" s="99">
        <v>44235.0</v>
      </c>
      <c r="D3676" s="248"/>
      <c r="E3676" s="78" t="s">
        <v>41</v>
      </c>
      <c r="F3676" s="37">
        <v>1.0</v>
      </c>
      <c r="G3676" s="78" t="s">
        <v>32</v>
      </c>
      <c r="H3676" s="78">
        <v>1.0</v>
      </c>
      <c r="I3676" s="78" t="s">
        <v>33</v>
      </c>
      <c r="J3676" s="78" t="s">
        <v>111</v>
      </c>
      <c r="K3676" s="248"/>
      <c r="L3676" s="106" t="s">
        <v>194</v>
      </c>
      <c r="M3676" s="282" t="s">
        <v>9335</v>
      </c>
      <c r="N3676" s="282"/>
      <c r="O3676" s="248"/>
      <c r="P3676" s="248"/>
      <c r="Q3676" s="293"/>
      <c r="R3676" s="248"/>
      <c r="S3676" s="145"/>
      <c r="T3676" s="313"/>
      <c r="U3676" s="279"/>
      <c r="V3676" s="78" t="s">
        <v>33</v>
      </c>
      <c r="W3676" s="106"/>
      <c r="X3676" s="282"/>
      <c r="Y3676" s="314"/>
      <c r="Z3676" s="248"/>
      <c r="AA3676" s="248"/>
      <c r="AB3676" s="248"/>
      <c r="AC3676" s="248"/>
      <c r="AD3676" s="248"/>
      <c r="AE3676" s="248"/>
      <c r="AF3676" s="248"/>
      <c r="AG3676" s="248"/>
      <c r="AH3676" s="248"/>
      <c r="AI3676" s="248"/>
      <c r="AJ3676" s="248"/>
      <c r="AK3676" s="248"/>
      <c r="AL3676" s="248"/>
      <c r="AM3676" s="248"/>
      <c r="AN3676" s="248"/>
      <c r="AO3676" s="248"/>
      <c r="AP3676" s="248"/>
      <c r="AQ3676" s="248"/>
      <c r="AR3676" s="248"/>
      <c r="AS3676" s="248"/>
      <c r="AT3676" s="248"/>
      <c r="AU3676" s="248"/>
      <c r="AV3676" s="248"/>
      <c r="AW3676" s="248"/>
      <c r="AX3676" s="248"/>
      <c r="AY3676" s="248"/>
      <c r="AZ3676" s="248"/>
      <c r="BA3676" s="248"/>
      <c r="BB3676" s="248"/>
      <c r="BC3676" s="248"/>
      <c r="BD3676" s="248"/>
      <c r="BE3676" s="248"/>
      <c r="BF3676" s="248"/>
      <c r="BG3676" s="248"/>
      <c r="BH3676" s="248"/>
      <c r="BI3676" s="248"/>
      <c r="BJ3676" s="248"/>
      <c r="BK3676" s="248"/>
      <c r="BL3676" s="248"/>
      <c r="BM3676" s="248"/>
      <c r="BN3676" s="248"/>
      <c r="BO3676" s="248"/>
      <c r="BP3676" s="248"/>
      <c r="BQ3676" s="248"/>
    </row>
    <row r="3677">
      <c r="A3677" s="78" t="s">
        <v>239</v>
      </c>
      <c r="B3677" s="248"/>
      <c r="C3677" s="99">
        <v>44238.0</v>
      </c>
      <c r="D3677" s="248"/>
      <c r="E3677" s="78" t="s">
        <v>41</v>
      </c>
      <c r="F3677" s="37">
        <v>1.0</v>
      </c>
      <c r="G3677" s="78" t="s">
        <v>32</v>
      </c>
      <c r="H3677" s="78">
        <v>1.0</v>
      </c>
      <c r="I3677" s="78" t="s">
        <v>33</v>
      </c>
      <c r="J3677" s="78" t="s">
        <v>241</v>
      </c>
      <c r="K3677" s="248"/>
      <c r="L3677" s="106" t="s">
        <v>194</v>
      </c>
      <c r="M3677" s="282" t="s">
        <v>9336</v>
      </c>
      <c r="N3677" s="282"/>
      <c r="O3677" s="248"/>
      <c r="P3677" s="248"/>
      <c r="Q3677" s="293"/>
      <c r="R3677" s="248"/>
      <c r="S3677" s="145"/>
      <c r="T3677" s="313"/>
      <c r="U3677" s="279"/>
      <c r="V3677" s="78" t="s">
        <v>33</v>
      </c>
      <c r="W3677" s="106"/>
      <c r="X3677" s="282"/>
      <c r="Y3677" s="314"/>
      <c r="Z3677" s="248"/>
      <c r="AA3677" s="248"/>
      <c r="AB3677" s="248"/>
      <c r="AC3677" s="248"/>
      <c r="AD3677" s="248"/>
      <c r="AE3677" s="248"/>
      <c r="AF3677" s="248"/>
      <c r="AG3677" s="248"/>
      <c r="AH3677" s="248"/>
      <c r="AI3677" s="248"/>
      <c r="AJ3677" s="248"/>
      <c r="AK3677" s="248"/>
      <c r="AL3677" s="248"/>
      <c r="AM3677" s="248"/>
      <c r="AN3677" s="248"/>
      <c r="AO3677" s="248"/>
      <c r="AP3677" s="248"/>
      <c r="AQ3677" s="248"/>
      <c r="AR3677" s="248"/>
      <c r="AS3677" s="248"/>
      <c r="AT3677" s="248"/>
      <c r="AU3677" s="248"/>
      <c r="AV3677" s="248"/>
      <c r="AW3677" s="248"/>
      <c r="AX3677" s="248"/>
      <c r="AY3677" s="248"/>
      <c r="AZ3677" s="248"/>
      <c r="BA3677" s="248"/>
      <c r="BB3677" s="248"/>
      <c r="BC3677" s="248"/>
      <c r="BD3677" s="248"/>
      <c r="BE3677" s="248"/>
      <c r="BF3677" s="248"/>
      <c r="BG3677" s="248"/>
      <c r="BH3677" s="248"/>
      <c r="BI3677" s="248"/>
      <c r="BJ3677" s="248"/>
      <c r="BK3677" s="248"/>
      <c r="BL3677" s="248"/>
      <c r="BM3677" s="248"/>
      <c r="BN3677" s="248"/>
      <c r="BO3677" s="248"/>
      <c r="BP3677" s="248"/>
      <c r="BQ3677" s="248"/>
    </row>
    <row r="3678">
      <c r="A3678" s="78" t="s">
        <v>239</v>
      </c>
      <c r="B3678" s="248"/>
      <c r="C3678" s="99">
        <v>44238.0</v>
      </c>
      <c r="D3678" s="248"/>
      <c r="E3678" s="78" t="s">
        <v>41</v>
      </c>
      <c r="F3678" s="37">
        <v>1.0</v>
      </c>
      <c r="G3678" s="78" t="s">
        <v>32</v>
      </c>
      <c r="H3678" s="78">
        <v>1.0</v>
      </c>
      <c r="I3678" s="78" t="s">
        <v>33</v>
      </c>
      <c r="J3678" s="78" t="s">
        <v>111</v>
      </c>
      <c r="K3678" s="248"/>
      <c r="L3678" s="106" t="s">
        <v>194</v>
      </c>
      <c r="M3678" s="282" t="s">
        <v>9337</v>
      </c>
      <c r="N3678" s="282"/>
      <c r="O3678" s="248"/>
      <c r="P3678" s="248"/>
      <c r="Q3678" s="293"/>
      <c r="R3678" s="248"/>
      <c r="S3678" s="145"/>
      <c r="T3678" s="313"/>
      <c r="U3678" s="279"/>
      <c r="V3678" s="78" t="s">
        <v>33</v>
      </c>
      <c r="W3678" s="106"/>
      <c r="X3678" s="282"/>
      <c r="Y3678" s="314"/>
      <c r="Z3678" s="248"/>
      <c r="AA3678" s="248"/>
      <c r="AB3678" s="248"/>
      <c r="AC3678" s="248"/>
      <c r="AD3678" s="248"/>
      <c r="AE3678" s="248"/>
      <c r="AF3678" s="248"/>
      <c r="AG3678" s="248"/>
      <c r="AH3678" s="248"/>
      <c r="AI3678" s="248"/>
      <c r="AJ3678" s="248"/>
      <c r="AK3678" s="248"/>
      <c r="AL3678" s="248"/>
      <c r="AM3678" s="248"/>
      <c r="AN3678" s="248"/>
      <c r="AO3678" s="248"/>
      <c r="AP3678" s="248"/>
      <c r="AQ3678" s="248"/>
      <c r="AR3678" s="248"/>
      <c r="AS3678" s="248"/>
      <c r="AT3678" s="248"/>
      <c r="AU3678" s="248"/>
      <c r="AV3678" s="248"/>
      <c r="AW3678" s="248"/>
      <c r="AX3678" s="248"/>
      <c r="AY3678" s="248"/>
      <c r="AZ3678" s="248"/>
      <c r="BA3678" s="248"/>
      <c r="BB3678" s="248"/>
      <c r="BC3678" s="248"/>
      <c r="BD3678" s="248"/>
      <c r="BE3678" s="248"/>
      <c r="BF3678" s="248"/>
      <c r="BG3678" s="248"/>
      <c r="BH3678" s="248"/>
      <c r="BI3678" s="248"/>
      <c r="BJ3678" s="248"/>
      <c r="BK3678" s="248"/>
      <c r="BL3678" s="248"/>
      <c r="BM3678" s="248"/>
      <c r="BN3678" s="248"/>
      <c r="BO3678" s="248"/>
      <c r="BP3678" s="248"/>
      <c r="BQ3678" s="248"/>
    </row>
    <row r="3679">
      <c r="A3679" s="78" t="s">
        <v>9338</v>
      </c>
      <c r="B3679" s="248"/>
      <c r="C3679" s="99">
        <v>44239.0</v>
      </c>
      <c r="D3679" s="248"/>
      <c r="E3679" s="78" t="s">
        <v>41</v>
      </c>
      <c r="F3679" s="37">
        <v>1.0</v>
      </c>
      <c r="G3679" s="78" t="s">
        <v>32</v>
      </c>
      <c r="H3679" s="78">
        <v>1.0</v>
      </c>
      <c r="I3679" s="78" t="s">
        <v>33</v>
      </c>
      <c r="J3679" s="78" t="s">
        <v>68</v>
      </c>
      <c r="K3679" s="248"/>
      <c r="L3679" s="106" t="s">
        <v>99</v>
      </c>
      <c r="M3679" s="282" t="s">
        <v>9339</v>
      </c>
      <c r="N3679" s="282"/>
      <c r="O3679" s="248"/>
      <c r="P3679" s="248"/>
      <c r="Q3679" s="293"/>
      <c r="R3679" s="248"/>
      <c r="S3679" s="145"/>
      <c r="T3679" s="313"/>
      <c r="U3679" s="279"/>
      <c r="V3679" s="78"/>
      <c r="W3679" s="106"/>
      <c r="X3679" s="282"/>
      <c r="Y3679" s="314"/>
      <c r="Z3679" s="248"/>
      <c r="AA3679" s="248"/>
      <c r="AB3679" s="248"/>
      <c r="AC3679" s="248"/>
      <c r="AD3679" s="248"/>
      <c r="AE3679" s="248"/>
      <c r="AF3679" s="248"/>
      <c r="AG3679" s="248"/>
      <c r="AH3679" s="248"/>
      <c r="AI3679" s="248"/>
      <c r="AJ3679" s="248"/>
      <c r="AK3679" s="248"/>
      <c r="AL3679" s="248"/>
      <c r="AM3679" s="248"/>
      <c r="AN3679" s="248"/>
      <c r="AO3679" s="248"/>
      <c r="AP3679" s="248"/>
      <c r="AQ3679" s="248"/>
      <c r="AR3679" s="248"/>
      <c r="AS3679" s="248"/>
      <c r="AT3679" s="248"/>
      <c r="AU3679" s="248"/>
      <c r="AV3679" s="248"/>
      <c r="AW3679" s="248"/>
      <c r="AX3679" s="248"/>
      <c r="AY3679" s="248"/>
      <c r="AZ3679" s="248"/>
      <c r="BA3679" s="248"/>
      <c r="BB3679" s="248"/>
      <c r="BC3679" s="248"/>
      <c r="BD3679" s="248"/>
      <c r="BE3679" s="248"/>
      <c r="BF3679" s="248"/>
      <c r="BG3679" s="248"/>
      <c r="BH3679" s="248"/>
      <c r="BI3679" s="248"/>
      <c r="BJ3679" s="248"/>
      <c r="BK3679" s="248"/>
      <c r="BL3679" s="248"/>
      <c r="BM3679" s="248"/>
      <c r="BN3679" s="248"/>
      <c r="BO3679" s="248"/>
      <c r="BP3679" s="248"/>
      <c r="BQ3679" s="248"/>
    </row>
    <row r="3680">
      <c r="A3680" s="78" t="s">
        <v>9340</v>
      </c>
      <c r="B3680" s="248"/>
      <c r="C3680" s="99">
        <v>44271.0</v>
      </c>
      <c r="D3680" s="248"/>
      <c r="E3680" s="78" t="s">
        <v>31</v>
      </c>
      <c r="F3680" s="37">
        <v>1.0</v>
      </c>
      <c r="G3680" s="78" t="s">
        <v>32</v>
      </c>
      <c r="H3680" s="78">
        <v>1.0</v>
      </c>
      <c r="I3680" s="78" t="s">
        <v>33</v>
      </c>
      <c r="J3680" s="78" t="s">
        <v>47</v>
      </c>
      <c r="K3680" s="248"/>
      <c r="L3680" s="106" t="s">
        <v>9341</v>
      </c>
      <c r="M3680" s="282" t="s">
        <v>9342</v>
      </c>
      <c r="N3680" s="282"/>
      <c r="O3680" s="248"/>
      <c r="P3680" s="248"/>
      <c r="Q3680" s="293"/>
      <c r="R3680" s="248"/>
      <c r="S3680" s="145"/>
      <c r="T3680" s="313"/>
      <c r="U3680" s="279"/>
      <c r="V3680" s="78" t="s">
        <v>33</v>
      </c>
      <c r="W3680" s="46" t="s">
        <v>9343</v>
      </c>
      <c r="X3680" s="282" t="s">
        <v>9344</v>
      </c>
      <c r="Y3680" s="314"/>
      <c r="Z3680" s="248"/>
      <c r="AA3680" s="248"/>
      <c r="AB3680" s="248"/>
      <c r="AC3680" s="248"/>
      <c r="AD3680" s="248"/>
      <c r="AE3680" s="248"/>
      <c r="AF3680" s="248"/>
      <c r="AG3680" s="248"/>
      <c r="AH3680" s="248"/>
      <c r="AI3680" s="248"/>
      <c r="AJ3680" s="248"/>
      <c r="AK3680" s="248"/>
      <c r="AL3680" s="248"/>
      <c r="AM3680" s="248"/>
      <c r="AN3680" s="248"/>
      <c r="AO3680" s="248"/>
      <c r="AP3680" s="248"/>
      <c r="AQ3680" s="248"/>
      <c r="AR3680" s="248"/>
      <c r="AS3680" s="248"/>
      <c r="AT3680" s="248"/>
      <c r="AU3680" s="248"/>
      <c r="AV3680" s="248"/>
      <c r="AW3680" s="248"/>
      <c r="AX3680" s="248"/>
      <c r="AY3680" s="248"/>
      <c r="AZ3680" s="248"/>
      <c r="BA3680" s="248"/>
      <c r="BB3680" s="248"/>
      <c r="BC3680" s="248"/>
      <c r="BD3680" s="248"/>
      <c r="BE3680" s="248"/>
      <c r="BF3680" s="248"/>
      <c r="BG3680" s="248"/>
      <c r="BH3680" s="248"/>
      <c r="BI3680" s="248"/>
      <c r="BJ3680" s="248"/>
      <c r="BK3680" s="248"/>
      <c r="BL3680" s="248"/>
      <c r="BM3680" s="248"/>
      <c r="BN3680" s="248"/>
      <c r="BO3680" s="248"/>
      <c r="BP3680" s="248"/>
      <c r="BQ3680" s="248"/>
    </row>
    <row r="3681">
      <c r="B3681" s="248"/>
      <c r="C3681" s="99"/>
      <c r="D3681" s="248"/>
      <c r="E3681" s="78"/>
      <c r="F3681" s="37"/>
      <c r="G3681" s="78"/>
      <c r="H3681" s="78"/>
      <c r="I3681" s="78"/>
      <c r="J3681" s="78"/>
      <c r="K3681" s="248"/>
      <c r="L3681" s="106"/>
      <c r="M3681" s="282"/>
      <c r="N3681" s="282"/>
      <c r="O3681" s="248"/>
      <c r="P3681" s="248"/>
      <c r="Q3681" s="293"/>
      <c r="R3681" s="248"/>
      <c r="S3681" s="145"/>
      <c r="T3681" s="313"/>
      <c r="U3681" s="279"/>
      <c r="V3681" s="78"/>
      <c r="W3681" s="106"/>
      <c r="X3681" s="282"/>
      <c r="Y3681" s="314"/>
      <c r="Z3681" s="248"/>
      <c r="AA3681" s="248"/>
      <c r="AB3681" s="248"/>
      <c r="AC3681" s="248"/>
      <c r="AD3681" s="248"/>
      <c r="AE3681" s="248"/>
      <c r="AF3681" s="248"/>
      <c r="AG3681" s="248"/>
      <c r="AH3681" s="248"/>
      <c r="AI3681" s="248"/>
      <c r="AJ3681" s="248"/>
      <c r="AK3681" s="248"/>
      <c r="AL3681" s="248"/>
      <c r="AM3681" s="248"/>
      <c r="AN3681" s="248"/>
      <c r="AO3681" s="248"/>
      <c r="AP3681" s="248"/>
      <c r="AQ3681" s="248"/>
      <c r="AR3681" s="248"/>
      <c r="AS3681" s="248"/>
      <c r="AT3681" s="248"/>
      <c r="AU3681" s="248"/>
      <c r="AV3681" s="248"/>
      <c r="AW3681" s="248"/>
      <c r="AX3681" s="248"/>
      <c r="AY3681" s="248"/>
      <c r="AZ3681" s="248"/>
      <c r="BA3681" s="248"/>
      <c r="BB3681" s="248"/>
      <c r="BC3681" s="248"/>
      <c r="BD3681" s="248"/>
      <c r="BE3681" s="248"/>
      <c r="BF3681" s="248"/>
      <c r="BG3681" s="248"/>
      <c r="BH3681" s="248"/>
      <c r="BI3681" s="248"/>
      <c r="BJ3681" s="248"/>
      <c r="BK3681" s="248"/>
      <c r="BL3681" s="248"/>
      <c r="BM3681" s="248"/>
      <c r="BN3681" s="248"/>
      <c r="BO3681" s="248"/>
      <c r="BP3681" s="248"/>
      <c r="BQ3681" s="248"/>
    </row>
    <row r="3682">
      <c r="B3682" s="248"/>
      <c r="C3682" s="99"/>
      <c r="D3682" s="248"/>
      <c r="E3682" s="78"/>
      <c r="F3682" s="37"/>
      <c r="G3682" s="78"/>
      <c r="H3682" s="78"/>
      <c r="I3682" s="78"/>
      <c r="J3682" s="78"/>
      <c r="K3682" s="248"/>
      <c r="L3682" s="106"/>
      <c r="M3682" s="282"/>
      <c r="N3682" s="282"/>
      <c r="O3682" s="248"/>
      <c r="P3682" s="248"/>
      <c r="Q3682" s="293"/>
      <c r="R3682" s="248"/>
      <c r="S3682" s="145"/>
      <c r="T3682" s="313"/>
      <c r="U3682" s="279"/>
      <c r="V3682" s="78"/>
      <c r="W3682" s="106"/>
      <c r="X3682" s="282"/>
      <c r="Y3682" s="314"/>
      <c r="Z3682" s="248"/>
      <c r="AA3682" s="248"/>
      <c r="AB3682" s="248"/>
      <c r="AC3682" s="248"/>
      <c r="AD3682" s="248"/>
      <c r="AE3682" s="248"/>
      <c r="AF3682" s="248"/>
      <c r="AG3682" s="248"/>
      <c r="AH3682" s="248"/>
      <c r="AI3682" s="248"/>
      <c r="AJ3682" s="248"/>
      <c r="AK3682" s="248"/>
      <c r="AL3682" s="248"/>
      <c r="AM3682" s="248"/>
      <c r="AN3682" s="248"/>
      <c r="AO3682" s="248"/>
      <c r="AP3682" s="248"/>
      <c r="AQ3682" s="248"/>
      <c r="AR3682" s="248"/>
      <c r="AS3682" s="248"/>
      <c r="AT3682" s="248"/>
      <c r="AU3682" s="248"/>
      <c r="AV3682" s="248"/>
      <c r="AW3682" s="248"/>
      <c r="AX3682" s="248"/>
      <c r="AY3682" s="248"/>
      <c r="AZ3682" s="248"/>
      <c r="BA3682" s="248"/>
      <c r="BB3682" s="248"/>
      <c r="BC3682" s="248"/>
      <c r="BD3682" s="248"/>
      <c r="BE3682" s="248"/>
      <c r="BF3682" s="248"/>
      <c r="BG3682" s="248"/>
      <c r="BH3682" s="248"/>
      <c r="BI3682" s="248"/>
      <c r="BJ3682" s="248"/>
      <c r="BK3682" s="248"/>
      <c r="BL3682" s="248"/>
      <c r="BM3682" s="248"/>
      <c r="BN3682" s="248"/>
      <c r="BO3682" s="248"/>
      <c r="BP3682" s="248"/>
      <c r="BQ3682" s="248"/>
    </row>
    <row r="3683">
      <c r="A3683" s="78"/>
      <c r="B3683" s="248"/>
      <c r="C3683" s="99"/>
      <c r="E3683" s="78"/>
      <c r="F3683" s="37"/>
      <c r="G3683" s="78"/>
      <c r="H3683" s="78"/>
      <c r="I3683" s="78"/>
      <c r="J3683" s="78"/>
      <c r="L3683" s="78"/>
      <c r="M3683" s="106"/>
      <c r="N3683" s="106"/>
      <c r="S3683" s="37"/>
      <c r="T3683" s="38"/>
      <c r="U3683" s="38"/>
      <c r="V3683" s="78"/>
      <c r="W3683" s="106"/>
      <c r="X3683" s="106"/>
      <c r="Y3683" s="102"/>
    </row>
    <row r="3684">
      <c r="A3684" s="47"/>
      <c r="B3684" s="48"/>
      <c r="C3684" s="49"/>
      <c r="D3684" s="49"/>
      <c r="E3684" s="47"/>
      <c r="F3684" s="47"/>
      <c r="G3684" s="47"/>
      <c r="H3684" s="63"/>
      <c r="I3684" s="47"/>
      <c r="J3684" s="47"/>
      <c r="K3684" s="47"/>
      <c r="L3684" s="47"/>
      <c r="M3684" s="52"/>
      <c r="N3684" s="52"/>
      <c r="O3684" s="55"/>
      <c r="P3684" s="47"/>
      <c r="Q3684" s="47"/>
      <c r="R3684" s="55"/>
      <c r="S3684" s="37" t="str">
        <f>IFERROR(__xludf.DUMMYFUNCTION("if(not(iserror(index(split(C3684, "" ""),2))), index(split(C3684, "" ""),1),"""")"),"")</f>
        <v/>
      </c>
      <c r="T3684" s="315" t="str">
        <f>IFERROR(__xludf.DUMMYFUNCTION("if(S3684="""",C3684,if(not(iserror(index(split(C3684, "" ""),3))), index(split(C3684, "" ""),3),index(split(C3684, "" ""),2)))"),"")</f>
        <v/>
      </c>
      <c r="U3684" s="38" t="b">
        <f t="shared" ref="U3684:U4658" si="423">countif(A$4:A4658, A3684)&gt;1</f>
        <v>0</v>
      </c>
      <c r="V3684" s="38"/>
      <c r="W3684" s="40"/>
      <c r="X3684" s="40"/>
      <c r="Y3684" s="40"/>
      <c r="Z3684" s="38"/>
      <c r="AA3684" s="38"/>
      <c r="AB3684" s="38"/>
      <c r="AC3684" s="38"/>
      <c r="AD3684" s="38"/>
      <c r="AE3684" s="38"/>
      <c r="AF3684" s="38"/>
      <c r="AG3684" s="38"/>
      <c r="AH3684" s="38"/>
      <c r="AI3684" s="38"/>
      <c r="AJ3684" s="38"/>
      <c r="AK3684" s="38"/>
      <c r="AL3684" s="38"/>
      <c r="AM3684" s="38"/>
      <c r="AN3684" s="38"/>
      <c r="AO3684" s="38"/>
      <c r="AP3684" s="38"/>
      <c r="AQ3684" s="38"/>
      <c r="AR3684" s="38"/>
      <c r="AS3684" s="38"/>
      <c r="AT3684" s="38"/>
      <c r="AU3684" s="38"/>
      <c r="AV3684" s="38"/>
      <c r="AW3684" s="38"/>
      <c r="AX3684" s="38"/>
      <c r="AY3684" s="38"/>
      <c r="AZ3684" s="38"/>
      <c r="BA3684" s="38"/>
      <c r="BB3684" s="38"/>
      <c r="BC3684" s="38"/>
      <c r="BD3684" s="38"/>
      <c r="BE3684" s="38"/>
      <c r="BF3684" s="38"/>
      <c r="BG3684" s="38"/>
      <c r="BH3684" s="38"/>
      <c r="BI3684" s="38"/>
      <c r="BJ3684" s="38"/>
      <c r="BK3684" s="38"/>
      <c r="BL3684" s="38"/>
      <c r="BM3684" s="38"/>
      <c r="BN3684" s="38"/>
      <c r="BO3684" s="38"/>
      <c r="BP3684" s="38"/>
      <c r="BQ3684" s="38"/>
    </row>
    <row r="3685">
      <c r="A3685" s="37"/>
      <c r="B3685" s="99"/>
      <c r="C3685" s="101"/>
      <c r="D3685" s="101"/>
      <c r="E3685" s="37"/>
      <c r="F3685" s="37"/>
      <c r="G3685" s="37"/>
      <c r="H3685" s="37"/>
      <c r="I3685" s="37"/>
      <c r="J3685" s="37"/>
      <c r="K3685" s="37"/>
      <c r="L3685" s="37"/>
      <c r="M3685" s="14"/>
      <c r="N3685" s="15"/>
      <c r="O3685" s="16"/>
      <c r="P3685" s="16"/>
      <c r="Q3685" s="37"/>
      <c r="R3685" s="16"/>
      <c r="S3685" s="37" t="str">
        <f>IFERROR(__xludf.DUMMYFUNCTION("if(not(iserror(index(split(C3685, "" ""),2))), index(split(C3685, "" ""),1),"""")"),"")</f>
        <v/>
      </c>
      <c r="T3685" s="316" t="str">
        <f>IFERROR(__xludf.DUMMYFUNCTION("if(S3685="""",C3685,if(not(iserror(index(split(C3685, "" ""),3))), index(split(C3685, "" ""),3),index(split(C3685, "" ""),2)))"),"")</f>
        <v/>
      </c>
      <c r="U3685" s="38" t="b">
        <f t="shared" si="423"/>
        <v>0</v>
      </c>
      <c r="V3685" s="16"/>
      <c r="W3685" s="15"/>
      <c r="X3685" s="15"/>
      <c r="Y3685" s="15"/>
      <c r="Z3685" s="16"/>
      <c r="AA3685" s="16"/>
      <c r="AB3685" s="16"/>
      <c r="AC3685" s="16"/>
      <c r="AD3685" s="16"/>
      <c r="AE3685" s="16"/>
      <c r="AF3685" s="16"/>
      <c r="AG3685" s="16"/>
      <c r="AH3685" s="16"/>
      <c r="AI3685" s="16"/>
      <c r="AJ3685" s="16"/>
      <c r="AK3685" s="16"/>
      <c r="AL3685" s="16"/>
      <c r="AM3685" s="16"/>
      <c r="AN3685" s="16"/>
      <c r="AO3685" s="16"/>
      <c r="AP3685" s="16"/>
      <c r="AQ3685" s="16"/>
      <c r="AR3685" s="16"/>
      <c r="AS3685" s="16"/>
      <c r="AT3685" s="16"/>
      <c r="AU3685" s="16"/>
      <c r="AV3685" s="16"/>
      <c r="AW3685" s="16"/>
      <c r="AX3685" s="16"/>
      <c r="AY3685" s="16"/>
      <c r="AZ3685" s="16"/>
      <c r="BA3685" s="16"/>
      <c r="BB3685" s="16"/>
      <c r="BC3685" s="16"/>
      <c r="BD3685" s="16"/>
      <c r="BE3685" s="16"/>
      <c r="BF3685" s="16"/>
      <c r="BG3685" s="16"/>
      <c r="BH3685" s="16"/>
      <c r="BI3685" s="16"/>
      <c r="BJ3685" s="16"/>
      <c r="BK3685" s="16"/>
      <c r="BL3685" s="16"/>
      <c r="BM3685" s="16"/>
      <c r="BN3685" s="16"/>
      <c r="BO3685" s="16"/>
      <c r="BP3685" s="16"/>
      <c r="BQ3685" s="16"/>
    </row>
    <row r="3686">
      <c r="A3686" s="37"/>
      <c r="B3686" s="317"/>
      <c r="C3686" s="146"/>
      <c r="D3686" s="146"/>
      <c r="E3686" s="16"/>
      <c r="F3686" s="318"/>
      <c r="G3686" s="319"/>
      <c r="H3686" s="320" t="str">
        <f>if(G3686="Unknown",1,G3686)</f>
        <v/>
      </c>
      <c r="I3686" s="16"/>
      <c r="J3686" s="16"/>
      <c r="K3686" s="16"/>
      <c r="L3686" s="16"/>
      <c r="M3686" s="15"/>
      <c r="N3686" s="15"/>
      <c r="O3686" s="16"/>
      <c r="P3686" s="16"/>
      <c r="Q3686" s="16"/>
      <c r="R3686" s="16"/>
      <c r="S3686" s="37" t="str">
        <f>IFERROR(__xludf.DUMMYFUNCTION("if(not(iserror(index(split(C3686, "" ""),2))), index(split(C3686, "" ""),1),"""")"),"")</f>
        <v/>
      </c>
      <c r="T3686" s="315" t="str">
        <f>IFERROR(__xludf.DUMMYFUNCTION("if(S3686="""",C3686,if(not(iserror(index(split(C3686, "" ""),3))), index(split(C3686, "" ""),3),index(split(C3686, "" ""),2)))"),"")</f>
        <v/>
      </c>
      <c r="U3686" s="38" t="b">
        <f t="shared" si="423"/>
        <v>0</v>
      </c>
      <c r="V3686" s="38"/>
      <c r="W3686" s="40"/>
      <c r="X3686" s="40"/>
      <c r="Y3686" s="40"/>
      <c r="Z3686" s="38"/>
      <c r="AA3686" s="38"/>
      <c r="AB3686" s="38"/>
      <c r="AC3686" s="38"/>
      <c r="AD3686" s="38"/>
      <c r="AE3686" s="38"/>
      <c r="AF3686" s="38"/>
      <c r="AG3686" s="38"/>
      <c r="AH3686" s="38"/>
      <c r="AI3686" s="38"/>
      <c r="AJ3686" s="38"/>
      <c r="AK3686" s="38"/>
      <c r="AL3686" s="38"/>
      <c r="AM3686" s="38"/>
      <c r="AN3686" s="38"/>
      <c r="AO3686" s="38"/>
      <c r="AP3686" s="38"/>
      <c r="AQ3686" s="38"/>
      <c r="AR3686" s="38"/>
      <c r="AS3686" s="38"/>
      <c r="AT3686" s="38"/>
      <c r="AU3686" s="38"/>
      <c r="AV3686" s="38"/>
      <c r="AW3686" s="38"/>
      <c r="AX3686" s="38"/>
      <c r="AY3686" s="38"/>
      <c r="AZ3686" s="38"/>
      <c r="BA3686" s="38"/>
      <c r="BB3686" s="38"/>
      <c r="BC3686" s="38"/>
      <c r="BD3686" s="38"/>
      <c r="BE3686" s="38"/>
      <c r="BF3686" s="38"/>
      <c r="BG3686" s="38"/>
      <c r="BH3686" s="38"/>
      <c r="BI3686" s="38"/>
      <c r="BJ3686" s="38"/>
      <c r="BK3686" s="38"/>
      <c r="BL3686" s="38"/>
      <c r="BM3686" s="38"/>
      <c r="BN3686" s="38"/>
      <c r="BO3686" s="38"/>
      <c r="BP3686" s="38"/>
      <c r="BQ3686" s="38"/>
    </row>
    <row r="3687">
      <c r="A3687" s="16"/>
      <c r="B3687" s="317" t="s">
        <v>9345</v>
      </c>
      <c r="C3687" s="321" t="s">
        <v>9345</v>
      </c>
      <c r="D3687" s="146"/>
      <c r="E3687" s="16"/>
      <c r="F3687" s="318">
        <f>SUM(F4:F3686)</f>
        <v>14981</v>
      </c>
      <c r="G3687" s="319" t="str">
        <f>SUM(H4:H3686)&amp;"+"</f>
        <v>12647+</v>
      </c>
      <c r="H3687" s="320"/>
      <c r="I3687" s="16"/>
      <c r="J3687" s="16"/>
      <c r="K3687" s="16"/>
      <c r="L3687" s="16"/>
      <c r="M3687" s="15"/>
      <c r="N3687" s="15"/>
      <c r="O3687" s="16"/>
      <c r="P3687" s="16"/>
      <c r="Q3687" s="16"/>
      <c r="R3687" s="16"/>
      <c r="S3687" s="37" t="str">
        <f>IFERROR(__xludf.DUMMYFUNCTION("if(not(iserror(index(split(C3687, "" ""),2))), index(split(C3687, "" ""),1),"""")"),"")</f>
        <v/>
      </c>
      <c r="T3687" s="315" t="str">
        <f>IFERROR(__xludf.DUMMYFUNCTION("if(S3687="""",C3687,if(not(iserror(index(split(C3687, "" ""),3))), index(split(C3687, "" ""),3),index(split(C3687, "" ""),2)))"),"Totals")</f>
        <v>Totals</v>
      </c>
      <c r="U3687" s="38" t="b">
        <f t="shared" si="423"/>
        <v>0</v>
      </c>
      <c r="V3687" s="38"/>
      <c r="W3687" s="40"/>
      <c r="X3687" s="40"/>
      <c r="Y3687" s="40"/>
      <c r="Z3687" s="38"/>
      <c r="AA3687" s="38"/>
      <c r="AB3687" s="38"/>
      <c r="AC3687" s="38"/>
      <c r="AD3687" s="38"/>
      <c r="AE3687" s="38"/>
      <c r="AF3687" s="38"/>
      <c r="AG3687" s="38"/>
      <c r="AH3687" s="38"/>
      <c r="AI3687" s="38"/>
      <c r="AJ3687" s="38"/>
      <c r="AK3687" s="38"/>
      <c r="AL3687" s="38"/>
      <c r="AM3687" s="38"/>
      <c r="AN3687" s="38"/>
      <c r="AO3687" s="38"/>
      <c r="AP3687" s="38"/>
      <c r="AQ3687" s="38"/>
      <c r="AR3687" s="38"/>
      <c r="AS3687" s="38"/>
      <c r="AT3687" s="38"/>
      <c r="AU3687" s="38"/>
      <c r="AV3687" s="38"/>
      <c r="AW3687" s="38"/>
      <c r="AX3687" s="38"/>
      <c r="AY3687" s="38"/>
      <c r="AZ3687" s="38"/>
      <c r="BA3687" s="38"/>
      <c r="BB3687" s="38"/>
      <c r="BC3687" s="38"/>
      <c r="BD3687" s="38"/>
      <c r="BE3687" s="38"/>
      <c r="BF3687" s="38"/>
      <c r="BG3687" s="38"/>
      <c r="BH3687" s="38"/>
      <c r="BI3687" s="38"/>
      <c r="BJ3687" s="38"/>
      <c r="BK3687" s="38"/>
      <c r="BL3687" s="38"/>
      <c r="BM3687" s="38"/>
      <c r="BN3687" s="38"/>
      <c r="BO3687" s="38"/>
      <c r="BP3687" s="38"/>
      <c r="BQ3687" s="38"/>
    </row>
    <row r="3688">
      <c r="A3688" s="16"/>
      <c r="B3688" s="145"/>
      <c r="C3688" s="146"/>
      <c r="D3688" s="146"/>
      <c r="E3688" s="16"/>
      <c r="F3688" s="91"/>
      <c r="G3688" s="16"/>
      <c r="H3688" s="320" t="str">
        <f t="shared" ref="H3688:H4657" si="424">if(G3688="Unknown",1,G3688)</f>
        <v/>
      </c>
      <c r="I3688" s="16"/>
      <c r="J3688" s="16"/>
      <c r="K3688" s="16"/>
      <c r="L3688" s="16"/>
      <c r="M3688" s="15"/>
      <c r="N3688" s="15"/>
      <c r="O3688" s="16"/>
      <c r="P3688" s="16"/>
      <c r="Q3688" s="16"/>
      <c r="R3688" s="16"/>
      <c r="S3688" s="37" t="str">
        <f>IFERROR(__xludf.DUMMYFUNCTION("if(not(iserror(index(split(C3688, "" ""),2))), index(split(C3688, "" ""),1),"""")"),"")</f>
        <v/>
      </c>
      <c r="T3688" s="315" t="str">
        <f>IFERROR(__xludf.DUMMYFUNCTION("if(S3688="""",C3688,if(not(iserror(index(split(C3688, "" ""),3))), index(split(C3688, "" ""),3),index(split(C3688, "" ""),2)))"),"")</f>
        <v/>
      </c>
      <c r="U3688" s="38" t="b">
        <f t="shared" si="423"/>
        <v>0</v>
      </c>
      <c r="V3688" s="38"/>
      <c r="W3688" s="40"/>
      <c r="X3688" s="40"/>
      <c r="Y3688" s="40"/>
      <c r="Z3688" s="38"/>
      <c r="AA3688" s="38"/>
      <c r="AB3688" s="38"/>
      <c r="AC3688" s="38"/>
      <c r="AD3688" s="38"/>
      <c r="AE3688" s="38"/>
      <c r="AF3688" s="38"/>
      <c r="AG3688" s="38"/>
      <c r="AH3688" s="38"/>
      <c r="AI3688" s="38"/>
      <c r="AJ3688" s="38"/>
      <c r="AK3688" s="38"/>
      <c r="AL3688" s="38"/>
      <c r="AM3688" s="38"/>
      <c r="AN3688" s="38"/>
      <c r="AO3688" s="38"/>
      <c r="AP3688" s="38"/>
      <c r="AQ3688" s="38"/>
      <c r="AR3688" s="38"/>
      <c r="AS3688" s="38"/>
      <c r="AT3688" s="38"/>
      <c r="AU3688" s="38"/>
      <c r="AV3688" s="38"/>
      <c r="AW3688" s="38"/>
      <c r="AX3688" s="38"/>
      <c r="AY3688" s="38"/>
      <c r="AZ3688" s="38"/>
      <c r="BA3688" s="38"/>
      <c r="BB3688" s="38"/>
      <c r="BC3688" s="38"/>
      <c r="BD3688" s="38"/>
      <c r="BE3688" s="38"/>
      <c r="BF3688" s="38"/>
      <c r="BG3688" s="38"/>
      <c r="BH3688" s="38"/>
      <c r="BI3688" s="38"/>
      <c r="BJ3688" s="38"/>
      <c r="BK3688" s="38"/>
      <c r="BL3688" s="38"/>
      <c r="BM3688" s="38"/>
      <c r="BN3688" s="38"/>
      <c r="BO3688" s="38"/>
      <c r="BP3688" s="38"/>
      <c r="BQ3688" s="38"/>
    </row>
    <row r="3689">
      <c r="A3689" s="16"/>
      <c r="B3689" s="145"/>
      <c r="C3689" s="146"/>
      <c r="D3689" s="146"/>
      <c r="E3689" s="16"/>
      <c r="F3689" s="91"/>
      <c r="G3689" s="16"/>
      <c r="H3689" s="320" t="str">
        <f t="shared" si="424"/>
        <v/>
      </c>
      <c r="I3689" s="16"/>
      <c r="J3689" s="16"/>
      <c r="K3689" s="16"/>
      <c r="L3689" s="16"/>
      <c r="M3689" s="15"/>
      <c r="N3689" s="15"/>
      <c r="O3689" s="16"/>
      <c r="P3689" s="16"/>
      <c r="Q3689" s="16"/>
      <c r="R3689" s="16"/>
      <c r="S3689" s="37" t="str">
        <f>IFERROR(__xludf.DUMMYFUNCTION("if(not(iserror(index(split(C3689, "" ""),2))), index(split(C3689, "" ""),1),"""")"),"")</f>
        <v/>
      </c>
      <c r="T3689" s="315" t="str">
        <f>IFERROR(__xludf.DUMMYFUNCTION("if(S3689="""",C3689,if(not(iserror(index(split(C3689, "" ""),3))), index(split(C3689, "" ""),3),index(split(C3689, "" ""),2)))"),"")</f>
        <v/>
      </c>
      <c r="U3689" s="38" t="b">
        <f t="shared" si="423"/>
        <v>0</v>
      </c>
      <c r="V3689" s="38"/>
      <c r="W3689" s="40"/>
      <c r="X3689" s="40"/>
      <c r="Y3689" s="40"/>
      <c r="Z3689" s="38"/>
      <c r="AA3689" s="38"/>
      <c r="AB3689" s="38"/>
      <c r="AC3689" s="38"/>
      <c r="AD3689" s="38"/>
      <c r="AE3689" s="38"/>
      <c r="AF3689" s="38"/>
      <c r="AG3689" s="38"/>
      <c r="AH3689" s="38"/>
      <c r="AI3689" s="38"/>
      <c r="AJ3689" s="38"/>
      <c r="AK3689" s="38"/>
      <c r="AL3689" s="38"/>
      <c r="AM3689" s="38"/>
      <c r="AN3689" s="38"/>
      <c r="AO3689" s="38"/>
      <c r="AP3689" s="38"/>
      <c r="AQ3689" s="38"/>
      <c r="AR3689" s="38"/>
      <c r="AS3689" s="38"/>
      <c r="AT3689" s="38"/>
      <c r="AU3689" s="38"/>
      <c r="AV3689" s="38"/>
      <c r="AW3689" s="38"/>
      <c r="AX3689" s="38"/>
      <c r="AY3689" s="38"/>
      <c r="AZ3689" s="38"/>
      <c r="BA3689" s="38"/>
      <c r="BB3689" s="38"/>
      <c r="BC3689" s="38"/>
      <c r="BD3689" s="38"/>
      <c r="BE3689" s="38"/>
      <c r="BF3689" s="38"/>
      <c r="BG3689" s="38"/>
      <c r="BH3689" s="38"/>
      <c r="BI3689" s="38"/>
      <c r="BJ3689" s="38"/>
      <c r="BK3689" s="38"/>
      <c r="BL3689" s="38"/>
      <c r="BM3689" s="38"/>
      <c r="BN3689" s="38"/>
      <c r="BO3689" s="38"/>
      <c r="BP3689" s="38"/>
      <c r="BQ3689" s="38"/>
    </row>
    <row r="3690">
      <c r="A3690" s="16"/>
      <c r="B3690" s="145"/>
      <c r="C3690" s="146"/>
      <c r="D3690" s="146"/>
      <c r="E3690" s="16"/>
      <c r="F3690" s="91"/>
      <c r="G3690" s="16"/>
      <c r="H3690" s="320" t="str">
        <f t="shared" si="424"/>
        <v/>
      </c>
      <c r="I3690" s="16"/>
      <c r="J3690" s="16"/>
      <c r="K3690" s="16"/>
      <c r="L3690" s="16"/>
      <c r="M3690" s="15"/>
      <c r="N3690" s="15"/>
      <c r="O3690" s="16"/>
      <c r="P3690" s="16"/>
      <c r="Q3690" s="16"/>
      <c r="R3690" s="16"/>
      <c r="S3690" s="37" t="str">
        <f>IFERROR(__xludf.DUMMYFUNCTION("if(not(iserror(index(split(C3690, "" ""),2))), index(split(C3690, "" ""),1),"""")"),"")</f>
        <v/>
      </c>
      <c r="T3690" s="315" t="str">
        <f>IFERROR(__xludf.DUMMYFUNCTION("if(S3690="""",C3690,if(not(iserror(index(split(C3690, "" ""),3))), index(split(C3690, "" ""),3),index(split(C3690, "" ""),2)))"),"")</f>
        <v/>
      </c>
      <c r="U3690" s="38" t="b">
        <f t="shared" si="423"/>
        <v>0</v>
      </c>
      <c r="V3690" s="38"/>
      <c r="W3690" s="40"/>
      <c r="X3690" s="40"/>
      <c r="Y3690" s="40"/>
      <c r="Z3690" s="38"/>
      <c r="AA3690" s="38"/>
      <c r="AB3690" s="38"/>
      <c r="AC3690" s="38"/>
      <c r="AD3690" s="38"/>
      <c r="AE3690" s="38"/>
      <c r="AF3690" s="38"/>
      <c r="AG3690" s="38"/>
      <c r="AH3690" s="38"/>
      <c r="AI3690" s="38"/>
      <c r="AJ3690" s="38"/>
      <c r="AK3690" s="38"/>
      <c r="AL3690" s="38"/>
      <c r="AM3690" s="38"/>
      <c r="AN3690" s="38"/>
      <c r="AO3690" s="38"/>
      <c r="AP3690" s="38"/>
      <c r="AQ3690" s="38"/>
      <c r="AR3690" s="38"/>
      <c r="AS3690" s="38"/>
      <c r="AT3690" s="38"/>
      <c r="AU3690" s="38"/>
      <c r="AV3690" s="38"/>
      <c r="AW3690" s="38"/>
      <c r="AX3690" s="38"/>
      <c r="AY3690" s="38"/>
      <c r="AZ3690" s="38"/>
      <c r="BA3690" s="38"/>
      <c r="BB3690" s="38"/>
      <c r="BC3690" s="38"/>
      <c r="BD3690" s="38"/>
      <c r="BE3690" s="38"/>
      <c r="BF3690" s="38"/>
      <c r="BG3690" s="38"/>
      <c r="BH3690" s="38"/>
      <c r="BI3690" s="38"/>
      <c r="BJ3690" s="38"/>
      <c r="BK3690" s="38"/>
      <c r="BL3690" s="38"/>
      <c r="BM3690" s="38"/>
      <c r="BN3690" s="38"/>
      <c r="BO3690" s="38"/>
      <c r="BP3690" s="38"/>
      <c r="BQ3690" s="38"/>
    </row>
    <row r="3691">
      <c r="A3691" s="16"/>
      <c r="B3691" s="145"/>
      <c r="C3691" s="146"/>
      <c r="D3691" s="146"/>
      <c r="E3691" s="16"/>
      <c r="F3691" s="91"/>
      <c r="G3691" s="16"/>
      <c r="H3691" s="320" t="str">
        <f t="shared" si="424"/>
        <v/>
      </c>
      <c r="I3691" s="16"/>
      <c r="J3691" s="16"/>
      <c r="K3691" s="16"/>
      <c r="L3691" s="16"/>
      <c r="M3691" s="15"/>
      <c r="N3691" s="15"/>
      <c r="O3691" s="16"/>
      <c r="P3691" s="16"/>
      <c r="Q3691" s="16"/>
      <c r="R3691" s="16"/>
      <c r="S3691" s="37" t="str">
        <f>IFERROR(__xludf.DUMMYFUNCTION("if(not(iserror(index(split(C3691, "" ""),2))), index(split(C3691, "" ""),1),"""")"),"")</f>
        <v/>
      </c>
      <c r="T3691" s="315" t="str">
        <f>IFERROR(__xludf.DUMMYFUNCTION("if(S3691="""",C3691,if(not(iserror(index(split(C3691, "" ""),3))), index(split(C3691, "" ""),3),index(split(C3691, "" ""),2)))"),"")</f>
        <v/>
      </c>
      <c r="U3691" s="38" t="b">
        <f t="shared" si="423"/>
        <v>0</v>
      </c>
      <c r="V3691" s="38"/>
      <c r="W3691" s="40"/>
      <c r="X3691" s="40"/>
      <c r="Y3691" s="40"/>
      <c r="Z3691" s="38"/>
      <c r="AA3691" s="38"/>
      <c r="AB3691" s="38"/>
      <c r="AC3691" s="38"/>
      <c r="AD3691" s="38"/>
      <c r="AE3691" s="38"/>
      <c r="AF3691" s="38"/>
      <c r="AG3691" s="38"/>
      <c r="AH3691" s="38"/>
      <c r="AI3691" s="38"/>
      <c r="AJ3691" s="38"/>
      <c r="AK3691" s="38"/>
      <c r="AL3691" s="38"/>
      <c r="AM3691" s="38"/>
      <c r="AN3691" s="38"/>
      <c r="AO3691" s="38"/>
      <c r="AP3691" s="38"/>
      <c r="AQ3691" s="38"/>
      <c r="AR3691" s="38"/>
      <c r="AS3691" s="38"/>
      <c r="AT3691" s="38"/>
      <c r="AU3691" s="38"/>
      <c r="AV3691" s="38"/>
      <c r="AW3691" s="38"/>
      <c r="AX3691" s="38"/>
      <c r="AY3691" s="38"/>
      <c r="AZ3691" s="38"/>
      <c r="BA3691" s="38"/>
      <c r="BB3691" s="38"/>
      <c r="BC3691" s="38"/>
      <c r="BD3691" s="38"/>
      <c r="BE3691" s="38"/>
      <c r="BF3691" s="38"/>
      <c r="BG3691" s="38"/>
      <c r="BH3691" s="38"/>
      <c r="BI3691" s="38"/>
      <c r="BJ3691" s="38"/>
      <c r="BK3691" s="38"/>
      <c r="BL3691" s="38"/>
      <c r="BM3691" s="38"/>
      <c r="BN3691" s="38"/>
      <c r="BO3691" s="38"/>
      <c r="BP3691" s="38"/>
      <c r="BQ3691" s="38"/>
    </row>
    <row r="3692">
      <c r="A3692" s="16"/>
      <c r="B3692" s="145"/>
      <c r="C3692" s="146"/>
      <c r="D3692" s="146"/>
      <c r="E3692" s="16"/>
      <c r="F3692" s="91"/>
      <c r="G3692" s="16"/>
      <c r="H3692" s="320" t="str">
        <f t="shared" si="424"/>
        <v/>
      </c>
      <c r="I3692" s="16"/>
      <c r="J3692" s="16"/>
      <c r="K3692" s="16"/>
      <c r="L3692" s="16"/>
      <c r="M3692" s="15"/>
      <c r="N3692" s="15"/>
      <c r="O3692" s="16"/>
      <c r="P3692" s="16"/>
      <c r="Q3692" s="16"/>
      <c r="R3692" s="16"/>
      <c r="S3692" s="37" t="str">
        <f>IFERROR(__xludf.DUMMYFUNCTION("if(not(iserror(index(split(C3692, "" ""),2))), index(split(C3692, "" ""),1),"""")"),"")</f>
        <v/>
      </c>
      <c r="T3692" s="315" t="str">
        <f>IFERROR(__xludf.DUMMYFUNCTION("if(S3692="""",C3692,if(not(iserror(index(split(C3692, "" ""),3))), index(split(C3692, "" ""),3),index(split(C3692, "" ""),2)))"),"")</f>
        <v/>
      </c>
      <c r="U3692" s="38" t="b">
        <f t="shared" si="423"/>
        <v>0</v>
      </c>
      <c r="V3692" s="38"/>
      <c r="W3692" s="40"/>
      <c r="X3692" s="40"/>
      <c r="Y3692" s="40"/>
      <c r="Z3692" s="38"/>
      <c r="AA3692" s="38"/>
      <c r="AB3692" s="38"/>
      <c r="AC3692" s="38"/>
      <c r="AD3692" s="38"/>
      <c r="AE3692" s="38"/>
      <c r="AF3692" s="38"/>
      <c r="AG3692" s="38"/>
      <c r="AH3692" s="38"/>
      <c r="AI3692" s="38"/>
      <c r="AJ3692" s="38"/>
      <c r="AK3692" s="38"/>
      <c r="AL3692" s="38"/>
      <c r="AM3692" s="38"/>
      <c r="AN3692" s="38"/>
      <c r="AO3692" s="38"/>
      <c r="AP3692" s="38"/>
      <c r="AQ3692" s="38"/>
      <c r="AR3692" s="38"/>
      <c r="AS3692" s="38"/>
      <c r="AT3692" s="38"/>
      <c r="AU3692" s="38"/>
      <c r="AV3692" s="38"/>
      <c r="AW3692" s="38"/>
      <c r="AX3692" s="38"/>
      <c r="AY3692" s="38"/>
      <c r="AZ3692" s="38"/>
      <c r="BA3692" s="38"/>
      <c r="BB3692" s="38"/>
      <c r="BC3692" s="38"/>
      <c r="BD3692" s="38"/>
      <c r="BE3692" s="38"/>
      <c r="BF3692" s="38"/>
      <c r="BG3692" s="38"/>
      <c r="BH3692" s="38"/>
      <c r="BI3692" s="38"/>
      <c r="BJ3692" s="38"/>
      <c r="BK3692" s="38"/>
      <c r="BL3692" s="38"/>
      <c r="BM3692" s="38"/>
      <c r="BN3692" s="38"/>
      <c r="BO3692" s="38"/>
      <c r="BP3692" s="38"/>
      <c r="BQ3692" s="38"/>
    </row>
    <row r="3693">
      <c r="A3693" s="16"/>
      <c r="B3693" s="145"/>
      <c r="C3693" s="146"/>
      <c r="D3693" s="146"/>
      <c r="E3693" s="16"/>
      <c r="F3693" s="91"/>
      <c r="G3693" s="16"/>
      <c r="H3693" s="320" t="str">
        <f t="shared" si="424"/>
        <v/>
      </c>
      <c r="I3693" s="16"/>
      <c r="J3693" s="16"/>
      <c r="K3693" s="16"/>
      <c r="L3693" s="16"/>
      <c r="M3693" s="15"/>
      <c r="N3693" s="15"/>
      <c r="O3693" s="16"/>
      <c r="P3693" s="16"/>
      <c r="Q3693" s="16"/>
      <c r="R3693" s="16"/>
      <c r="S3693" s="37" t="str">
        <f>IFERROR(__xludf.DUMMYFUNCTION("if(not(iserror(index(split(C3693, "" ""),2))), index(split(C3693, "" ""),1),"""")"),"")</f>
        <v/>
      </c>
      <c r="T3693" s="315" t="str">
        <f>IFERROR(__xludf.DUMMYFUNCTION("if(S3693="""",C3693,if(not(iserror(index(split(C3693, "" ""),3))), index(split(C3693, "" ""),3),index(split(C3693, "" ""),2)))"),"")</f>
        <v/>
      </c>
      <c r="U3693" s="38" t="b">
        <f t="shared" si="423"/>
        <v>0</v>
      </c>
      <c r="V3693" s="38"/>
      <c r="W3693" s="40"/>
      <c r="X3693" s="40"/>
      <c r="Y3693" s="40"/>
      <c r="Z3693" s="38"/>
      <c r="AA3693" s="38"/>
      <c r="AB3693" s="38"/>
      <c r="AC3693" s="38"/>
      <c r="AD3693" s="38"/>
      <c r="AE3693" s="38"/>
      <c r="AF3693" s="38"/>
      <c r="AG3693" s="38"/>
      <c r="AH3693" s="38"/>
      <c r="AI3693" s="38"/>
      <c r="AJ3693" s="38"/>
      <c r="AK3693" s="38"/>
      <c r="AL3693" s="38"/>
      <c r="AM3693" s="38"/>
      <c r="AN3693" s="38"/>
      <c r="AO3693" s="38"/>
      <c r="AP3693" s="38"/>
      <c r="AQ3693" s="38"/>
      <c r="AR3693" s="38"/>
      <c r="AS3693" s="38"/>
      <c r="AT3693" s="38"/>
      <c r="AU3693" s="38"/>
      <c r="AV3693" s="38"/>
      <c r="AW3693" s="38"/>
      <c r="AX3693" s="38"/>
      <c r="AY3693" s="38"/>
      <c r="AZ3693" s="38"/>
      <c r="BA3693" s="38"/>
      <c r="BB3693" s="38"/>
      <c r="BC3693" s="38"/>
      <c r="BD3693" s="38"/>
      <c r="BE3693" s="38"/>
      <c r="BF3693" s="38"/>
      <c r="BG3693" s="38"/>
      <c r="BH3693" s="38"/>
      <c r="BI3693" s="38"/>
      <c r="BJ3693" s="38"/>
      <c r="BK3693" s="38"/>
      <c r="BL3693" s="38"/>
      <c r="BM3693" s="38"/>
      <c r="BN3693" s="38"/>
      <c r="BO3693" s="38"/>
      <c r="BP3693" s="38"/>
      <c r="BQ3693" s="38"/>
    </row>
    <row r="3694">
      <c r="A3694" s="16"/>
      <c r="B3694" s="145"/>
      <c r="C3694" s="146"/>
      <c r="D3694" s="146"/>
      <c r="E3694" s="16"/>
      <c r="F3694" s="91"/>
      <c r="G3694" s="16"/>
      <c r="H3694" s="320" t="str">
        <f t="shared" si="424"/>
        <v/>
      </c>
      <c r="I3694" s="16"/>
      <c r="J3694" s="16"/>
      <c r="K3694" s="16"/>
      <c r="L3694" s="16"/>
      <c r="M3694" s="15"/>
      <c r="N3694" s="15"/>
      <c r="O3694" s="16"/>
      <c r="P3694" s="16"/>
      <c r="Q3694" s="16"/>
      <c r="R3694" s="16"/>
      <c r="S3694" s="37" t="str">
        <f>IFERROR(__xludf.DUMMYFUNCTION("if(not(iserror(index(split(C3694, "" ""),2))), index(split(C3694, "" ""),1),"""")"),"")</f>
        <v/>
      </c>
      <c r="T3694" s="315" t="str">
        <f>IFERROR(__xludf.DUMMYFUNCTION("if(S3694="""",C3694,if(not(iserror(index(split(C3694, "" ""),3))), index(split(C3694, "" ""),3),index(split(C3694, "" ""),2)))"),"")</f>
        <v/>
      </c>
      <c r="U3694" s="38" t="b">
        <f t="shared" si="423"/>
        <v>0</v>
      </c>
      <c r="V3694" s="38"/>
      <c r="W3694" s="40"/>
      <c r="X3694" s="40"/>
      <c r="Y3694" s="40"/>
      <c r="Z3694" s="38"/>
      <c r="AA3694" s="38"/>
      <c r="AB3694" s="38"/>
      <c r="AC3694" s="38"/>
      <c r="AD3694" s="38"/>
      <c r="AE3694" s="38"/>
      <c r="AF3694" s="38"/>
      <c r="AG3694" s="38"/>
      <c r="AH3694" s="38"/>
      <c r="AI3694" s="38"/>
      <c r="AJ3694" s="38"/>
      <c r="AK3694" s="38"/>
      <c r="AL3694" s="38"/>
      <c r="AM3694" s="38"/>
      <c r="AN3694" s="38"/>
      <c r="AO3694" s="38"/>
      <c r="AP3694" s="38"/>
      <c r="AQ3694" s="38"/>
      <c r="AR3694" s="38"/>
      <c r="AS3694" s="38"/>
      <c r="AT3694" s="38"/>
      <c r="AU3694" s="38"/>
      <c r="AV3694" s="38"/>
      <c r="AW3694" s="38"/>
      <c r="AX3694" s="38"/>
      <c r="AY3694" s="38"/>
      <c r="AZ3694" s="38"/>
      <c r="BA3694" s="38"/>
      <c r="BB3694" s="38"/>
      <c r="BC3694" s="38"/>
      <c r="BD3694" s="38"/>
      <c r="BE3694" s="38"/>
      <c r="BF3694" s="38"/>
      <c r="BG3694" s="38"/>
      <c r="BH3694" s="38"/>
      <c r="BI3694" s="38"/>
      <c r="BJ3694" s="38"/>
      <c r="BK3694" s="38"/>
      <c r="BL3694" s="38"/>
      <c r="BM3694" s="38"/>
      <c r="BN3694" s="38"/>
      <c r="BO3694" s="38"/>
      <c r="BP3694" s="38"/>
      <c r="BQ3694" s="38"/>
    </row>
    <row r="3695">
      <c r="A3695" s="16"/>
      <c r="B3695" s="145"/>
      <c r="C3695" s="146"/>
      <c r="D3695" s="146"/>
      <c r="E3695" s="16"/>
      <c r="F3695" s="91"/>
      <c r="G3695" s="16"/>
      <c r="H3695" s="320" t="str">
        <f t="shared" si="424"/>
        <v/>
      </c>
      <c r="I3695" s="16"/>
      <c r="J3695" s="16"/>
      <c r="K3695" s="16"/>
      <c r="L3695" s="16"/>
      <c r="M3695" s="15"/>
      <c r="N3695" s="15"/>
      <c r="O3695" s="16"/>
      <c r="P3695" s="16"/>
      <c r="Q3695" s="16"/>
      <c r="R3695" s="16"/>
      <c r="S3695" s="37" t="str">
        <f>IFERROR(__xludf.DUMMYFUNCTION("if(not(iserror(index(split(C3695, "" ""),2))), index(split(C3695, "" ""),1),"""")"),"")</f>
        <v/>
      </c>
      <c r="T3695" s="315" t="str">
        <f>IFERROR(__xludf.DUMMYFUNCTION("if(S3695="""",C3695,if(not(iserror(index(split(C3695, "" ""),3))), index(split(C3695, "" ""),3),index(split(C3695, "" ""),2)))"),"")</f>
        <v/>
      </c>
      <c r="U3695" s="38" t="b">
        <f t="shared" si="423"/>
        <v>0</v>
      </c>
      <c r="V3695" s="38"/>
      <c r="W3695" s="40"/>
      <c r="X3695" s="40"/>
      <c r="Y3695" s="40"/>
      <c r="Z3695" s="38"/>
      <c r="AA3695" s="38"/>
      <c r="AB3695" s="38"/>
      <c r="AC3695" s="38"/>
      <c r="AD3695" s="38"/>
      <c r="AE3695" s="38"/>
      <c r="AF3695" s="38"/>
      <c r="AG3695" s="38"/>
      <c r="AH3695" s="38"/>
      <c r="AI3695" s="38"/>
      <c r="AJ3695" s="38"/>
      <c r="AK3695" s="38"/>
      <c r="AL3695" s="38"/>
      <c r="AM3695" s="38"/>
      <c r="AN3695" s="38"/>
      <c r="AO3695" s="38"/>
      <c r="AP3695" s="38"/>
      <c r="AQ3695" s="38"/>
      <c r="AR3695" s="38"/>
      <c r="AS3695" s="38"/>
      <c r="AT3695" s="38"/>
      <c r="AU3695" s="38"/>
      <c r="AV3695" s="38"/>
      <c r="AW3695" s="38"/>
      <c r="AX3695" s="38"/>
      <c r="AY3695" s="38"/>
      <c r="AZ3695" s="38"/>
      <c r="BA3695" s="38"/>
      <c r="BB3695" s="38"/>
      <c r="BC3695" s="38"/>
      <c r="BD3695" s="38"/>
      <c r="BE3695" s="38"/>
      <c r="BF3695" s="38"/>
      <c r="BG3695" s="38"/>
      <c r="BH3695" s="38"/>
      <c r="BI3695" s="38"/>
      <c r="BJ3695" s="38"/>
      <c r="BK3695" s="38"/>
      <c r="BL3695" s="38"/>
      <c r="BM3695" s="38"/>
      <c r="BN3695" s="38"/>
      <c r="BO3695" s="38"/>
      <c r="BP3695" s="38"/>
      <c r="BQ3695" s="38"/>
    </row>
    <row r="3696">
      <c r="A3696" s="16"/>
      <c r="B3696" s="145"/>
      <c r="C3696" s="146"/>
      <c r="D3696" s="146"/>
      <c r="E3696" s="16"/>
      <c r="F3696" s="91"/>
      <c r="G3696" s="16"/>
      <c r="H3696" s="320" t="str">
        <f t="shared" si="424"/>
        <v/>
      </c>
      <c r="I3696" s="16"/>
      <c r="J3696" s="16"/>
      <c r="K3696" s="16"/>
      <c r="L3696" s="16"/>
      <c r="M3696" s="15"/>
      <c r="N3696" s="15"/>
      <c r="O3696" s="16"/>
      <c r="P3696" s="16"/>
      <c r="Q3696" s="16"/>
      <c r="R3696" s="16"/>
      <c r="S3696" s="37" t="str">
        <f>IFERROR(__xludf.DUMMYFUNCTION("if(not(iserror(index(split(C3696, "" ""),2))), index(split(C3696, "" ""),1),"""")"),"")</f>
        <v/>
      </c>
      <c r="T3696" s="315" t="str">
        <f>IFERROR(__xludf.DUMMYFUNCTION("if(S3696="""",C3696,if(not(iserror(index(split(C3696, "" ""),3))), index(split(C3696, "" ""),3),index(split(C3696, "" ""),2)))"),"")</f>
        <v/>
      </c>
      <c r="U3696" s="38" t="b">
        <f t="shared" si="423"/>
        <v>0</v>
      </c>
      <c r="V3696" s="38"/>
      <c r="W3696" s="40"/>
      <c r="X3696" s="40"/>
      <c r="Y3696" s="40"/>
      <c r="Z3696" s="38"/>
      <c r="AA3696" s="38"/>
      <c r="AB3696" s="38"/>
      <c r="AC3696" s="38"/>
      <c r="AD3696" s="38"/>
      <c r="AE3696" s="38"/>
      <c r="AF3696" s="38"/>
      <c r="AG3696" s="38"/>
      <c r="AH3696" s="38"/>
      <c r="AI3696" s="38"/>
      <c r="AJ3696" s="38"/>
      <c r="AK3696" s="38"/>
      <c r="AL3696" s="38"/>
      <c r="AM3696" s="38"/>
      <c r="AN3696" s="38"/>
      <c r="AO3696" s="38"/>
      <c r="AP3696" s="38"/>
      <c r="AQ3696" s="38"/>
      <c r="AR3696" s="38"/>
      <c r="AS3696" s="38"/>
      <c r="AT3696" s="38"/>
      <c r="AU3696" s="38"/>
      <c r="AV3696" s="38"/>
      <c r="AW3696" s="38"/>
      <c r="AX3696" s="38"/>
      <c r="AY3696" s="38"/>
      <c r="AZ3696" s="38"/>
      <c r="BA3696" s="38"/>
      <c r="BB3696" s="38"/>
      <c r="BC3696" s="38"/>
      <c r="BD3696" s="38"/>
      <c r="BE3696" s="38"/>
      <c r="BF3696" s="38"/>
      <c r="BG3696" s="38"/>
      <c r="BH3696" s="38"/>
      <c r="BI3696" s="38"/>
      <c r="BJ3696" s="38"/>
      <c r="BK3696" s="38"/>
      <c r="BL3696" s="38"/>
      <c r="BM3696" s="38"/>
      <c r="BN3696" s="38"/>
      <c r="BO3696" s="38"/>
      <c r="BP3696" s="38"/>
      <c r="BQ3696" s="38"/>
    </row>
    <row r="3697">
      <c r="A3697" s="16"/>
      <c r="B3697" s="145"/>
      <c r="C3697" s="146"/>
      <c r="D3697" s="146"/>
      <c r="E3697" s="16"/>
      <c r="F3697" s="91"/>
      <c r="G3697" s="16"/>
      <c r="H3697" s="320" t="str">
        <f t="shared" si="424"/>
        <v/>
      </c>
      <c r="I3697" s="16"/>
      <c r="J3697" s="16"/>
      <c r="K3697" s="16"/>
      <c r="L3697" s="16"/>
      <c r="M3697" s="15"/>
      <c r="N3697" s="15"/>
      <c r="O3697" s="16"/>
      <c r="P3697" s="16"/>
      <c r="Q3697" s="16"/>
      <c r="R3697" s="16"/>
      <c r="S3697" s="37" t="str">
        <f>IFERROR(__xludf.DUMMYFUNCTION("if(not(iserror(index(split(C3697, "" ""),2))), index(split(C3697, "" ""),1),"""")"),"")</f>
        <v/>
      </c>
      <c r="T3697" s="315" t="str">
        <f>IFERROR(__xludf.DUMMYFUNCTION("if(S3697="""",C3697,if(not(iserror(index(split(C3697, "" ""),3))), index(split(C3697, "" ""),3),index(split(C3697, "" ""),2)))"),"")</f>
        <v/>
      </c>
      <c r="U3697" s="38" t="b">
        <f t="shared" si="423"/>
        <v>0</v>
      </c>
      <c r="V3697" s="38"/>
      <c r="W3697" s="40"/>
      <c r="X3697" s="40"/>
      <c r="Y3697" s="40"/>
      <c r="Z3697" s="38"/>
      <c r="AA3697" s="38"/>
      <c r="AB3697" s="38"/>
      <c r="AC3697" s="38"/>
      <c r="AD3697" s="38"/>
      <c r="AE3697" s="38"/>
      <c r="AF3697" s="38"/>
      <c r="AG3697" s="38"/>
      <c r="AH3697" s="38"/>
      <c r="AI3697" s="38"/>
      <c r="AJ3697" s="38"/>
      <c r="AK3697" s="38"/>
      <c r="AL3697" s="38"/>
      <c r="AM3697" s="38"/>
      <c r="AN3697" s="38"/>
      <c r="AO3697" s="38"/>
      <c r="AP3697" s="38"/>
      <c r="AQ3697" s="38"/>
      <c r="AR3697" s="38"/>
      <c r="AS3697" s="38"/>
      <c r="AT3697" s="38"/>
      <c r="AU3697" s="38"/>
      <c r="AV3697" s="38"/>
      <c r="AW3697" s="38"/>
      <c r="AX3697" s="38"/>
      <c r="AY3697" s="38"/>
      <c r="AZ3697" s="38"/>
      <c r="BA3697" s="38"/>
      <c r="BB3697" s="38"/>
      <c r="BC3697" s="38"/>
      <c r="BD3697" s="38"/>
      <c r="BE3697" s="38"/>
      <c r="BF3697" s="38"/>
      <c r="BG3697" s="38"/>
      <c r="BH3697" s="38"/>
      <c r="BI3697" s="38"/>
      <c r="BJ3697" s="38"/>
      <c r="BK3697" s="38"/>
      <c r="BL3697" s="38"/>
      <c r="BM3697" s="38"/>
      <c r="BN3697" s="38"/>
      <c r="BO3697" s="38"/>
      <c r="BP3697" s="38"/>
      <c r="BQ3697" s="38"/>
    </row>
    <row r="3698">
      <c r="A3698" s="16"/>
      <c r="B3698" s="145"/>
      <c r="C3698" s="146"/>
      <c r="D3698" s="146"/>
      <c r="E3698" s="16"/>
      <c r="F3698" s="91"/>
      <c r="G3698" s="16"/>
      <c r="H3698" s="320" t="str">
        <f t="shared" si="424"/>
        <v/>
      </c>
      <c r="I3698" s="16"/>
      <c r="J3698" s="16"/>
      <c r="K3698" s="16"/>
      <c r="L3698" s="16"/>
      <c r="M3698" s="15"/>
      <c r="N3698" s="15"/>
      <c r="O3698" s="16"/>
      <c r="P3698" s="16"/>
      <c r="Q3698" s="16"/>
      <c r="R3698" s="16"/>
      <c r="S3698" s="37" t="str">
        <f>IFERROR(__xludf.DUMMYFUNCTION("if(not(iserror(index(split(C3698, "" ""),2))), index(split(C3698, "" ""),1),"""")"),"")</f>
        <v/>
      </c>
      <c r="T3698" s="315" t="str">
        <f>IFERROR(__xludf.DUMMYFUNCTION("if(S3698="""",C3698,if(not(iserror(index(split(C3698, "" ""),3))), index(split(C3698, "" ""),3),index(split(C3698, "" ""),2)))"),"")</f>
        <v/>
      </c>
      <c r="U3698" s="38" t="b">
        <f t="shared" si="423"/>
        <v>0</v>
      </c>
      <c r="V3698" s="38"/>
      <c r="W3698" s="40"/>
      <c r="X3698" s="40"/>
      <c r="Y3698" s="40"/>
      <c r="Z3698" s="38"/>
      <c r="AA3698" s="38"/>
      <c r="AB3698" s="38"/>
      <c r="AC3698" s="38"/>
      <c r="AD3698" s="38"/>
      <c r="AE3698" s="38"/>
      <c r="AF3698" s="38"/>
      <c r="AG3698" s="38"/>
      <c r="AH3698" s="38"/>
      <c r="AI3698" s="38"/>
      <c r="AJ3698" s="38"/>
      <c r="AK3698" s="38"/>
      <c r="AL3698" s="38"/>
      <c r="AM3698" s="38"/>
      <c r="AN3698" s="38"/>
      <c r="AO3698" s="38"/>
      <c r="AP3698" s="38"/>
      <c r="AQ3698" s="38"/>
      <c r="AR3698" s="38"/>
      <c r="AS3698" s="38"/>
      <c r="AT3698" s="38"/>
      <c r="AU3698" s="38"/>
      <c r="AV3698" s="38"/>
      <c r="AW3698" s="38"/>
      <c r="AX3698" s="38"/>
      <c r="AY3698" s="38"/>
      <c r="AZ3698" s="38"/>
      <c r="BA3698" s="38"/>
      <c r="BB3698" s="38"/>
      <c r="BC3698" s="38"/>
      <c r="BD3698" s="38"/>
      <c r="BE3698" s="38"/>
      <c r="BF3698" s="38"/>
      <c r="BG3698" s="38"/>
      <c r="BH3698" s="38"/>
      <c r="BI3698" s="38"/>
      <c r="BJ3698" s="38"/>
      <c r="BK3698" s="38"/>
      <c r="BL3698" s="38"/>
      <c r="BM3698" s="38"/>
      <c r="BN3698" s="38"/>
      <c r="BO3698" s="38"/>
      <c r="BP3698" s="38"/>
      <c r="BQ3698" s="38"/>
    </row>
    <row r="3699">
      <c r="A3699" s="16"/>
      <c r="B3699" s="145"/>
      <c r="C3699" s="146"/>
      <c r="D3699" s="146"/>
      <c r="E3699" s="16"/>
      <c r="F3699" s="91"/>
      <c r="G3699" s="16"/>
      <c r="H3699" s="320" t="str">
        <f t="shared" si="424"/>
        <v/>
      </c>
      <c r="I3699" s="16"/>
      <c r="J3699" s="16"/>
      <c r="K3699" s="16"/>
      <c r="L3699" s="16"/>
      <c r="M3699" s="15"/>
      <c r="N3699" s="15"/>
      <c r="O3699" s="16"/>
      <c r="P3699" s="16"/>
      <c r="Q3699" s="16"/>
      <c r="R3699" s="16"/>
      <c r="S3699" s="37" t="str">
        <f>IFERROR(__xludf.DUMMYFUNCTION("if(not(iserror(index(split(C3699, "" ""),2))), index(split(C3699, "" ""),1),"""")"),"")</f>
        <v/>
      </c>
      <c r="T3699" s="315" t="str">
        <f>IFERROR(__xludf.DUMMYFUNCTION("if(S3699="""",C3699,if(not(iserror(index(split(C3699, "" ""),3))), index(split(C3699, "" ""),3),index(split(C3699, "" ""),2)))"),"")</f>
        <v/>
      </c>
      <c r="U3699" s="38" t="b">
        <f t="shared" si="423"/>
        <v>0</v>
      </c>
      <c r="V3699" s="38"/>
      <c r="W3699" s="40"/>
      <c r="X3699" s="40"/>
      <c r="Y3699" s="40"/>
      <c r="Z3699" s="38"/>
      <c r="AA3699" s="38"/>
      <c r="AB3699" s="38"/>
      <c r="AC3699" s="38"/>
      <c r="AD3699" s="38"/>
      <c r="AE3699" s="38"/>
      <c r="AF3699" s="38"/>
      <c r="AG3699" s="38"/>
      <c r="AH3699" s="38"/>
      <c r="AI3699" s="38"/>
      <c r="AJ3699" s="38"/>
      <c r="AK3699" s="38"/>
      <c r="AL3699" s="38"/>
      <c r="AM3699" s="38"/>
      <c r="AN3699" s="38"/>
      <c r="AO3699" s="38"/>
      <c r="AP3699" s="38"/>
      <c r="AQ3699" s="38"/>
      <c r="AR3699" s="38"/>
      <c r="AS3699" s="38"/>
      <c r="AT3699" s="38"/>
      <c r="AU3699" s="38"/>
      <c r="AV3699" s="38"/>
      <c r="AW3699" s="38"/>
      <c r="AX3699" s="38"/>
      <c r="AY3699" s="38"/>
      <c r="AZ3699" s="38"/>
      <c r="BA3699" s="38"/>
      <c r="BB3699" s="38"/>
      <c r="BC3699" s="38"/>
      <c r="BD3699" s="38"/>
      <c r="BE3699" s="38"/>
      <c r="BF3699" s="38"/>
      <c r="BG3699" s="38"/>
      <c r="BH3699" s="38"/>
      <c r="BI3699" s="38"/>
      <c r="BJ3699" s="38"/>
      <c r="BK3699" s="38"/>
      <c r="BL3699" s="38"/>
      <c r="BM3699" s="38"/>
      <c r="BN3699" s="38"/>
      <c r="BO3699" s="38"/>
      <c r="BP3699" s="38"/>
      <c r="BQ3699" s="38"/>
    </row>
    <row r="3700">
      <c r="A3700" s="16"/>
      <c r="B3700" s="145"/>
      <c r="C3700" s="146"/>
      <c r="D3700" s="146"/>
      <c r="E3700" s="16"/>
      <c r="F3700" s="91"/>
      <c r="G3700" s="16"/>
      <c r="H3700" s="320" t="str">
        <f t="shared" si="424"/>
        <v/>
      </c>
      <c r="I3700" s="16"/>
      <c r="J3700" s="16"/>
      <c r="K3700" s="16"/>
      <c r="L3700" s="16"/>
      <c r="M3700" s="15"/>
      <c r="N3700" s="15"/>
      <c r="O3700" s="16"/>
      <c r="P3700" s="16"/>
      <c r="Q3700" s="16"/>
      <c r="R3700" s="16"/>
      <c r="S3700" s="37" t="str">
        <f>IFERROR(__xludf.DUMMYFUNCTION("if(not(iserror(index(split(C3700, "" ""),2))), index(split(C3700, "" ""),1),"""")"),"")</f>
        <v/>
      </c>
      <c r="T3700" s="315" t="str">
        <f>IFERROR(__xludf.DUMMYFUNCTION("if(S3700="""",C3700,if(not(iserror(index(split(C3700, "" ""),3))), index(split(C3700, "" ""),3),index(split(C3700, "" ""),2)))"),"")</f>
        <v/>
      </c>
      <c r="U3700" s="38" t="b">
        <f t="shared" si="423"/>
        <v>0</v>
      </c>
      <c r="V3700" s="38"/>
      <c r="W3700" s="40"/>
      <c r="X3700" s="40"/>
      <c r="Y3700" s="40"/>
      <c r="Z3700" s="38"/>
      <c r="AA3700" s="38"/>
      <c r="AB3700" s="38"/>
      <c r="AC3700" s="38"/>
      <c r="AD3700" s="38"/>
      <c r="AE3700" s="38"/>
      <c r="AF3700" s="38"/>
      <c r="AG3700" s="38"/>
      <c r="AH3700" s="38"/>
      <c r="AI3700" s="38"/>
      <c r="AJ3700" s="38"/>
      <c r="AK3700" s="38"/>
      <c r="AL3700" s="38"/>
      <c r="AM3700" s="38"/>
      <c r="AN3700" s="38"/>
      <c r="AO3700" s="38"/>
      <c r="AP3700" s="38"/>
      <c r="AQ3700" s="38"/>
      <c r="AR3700" s="38"/>
      <c r="AS3700" s="38"/>
      <c r="AT3700" s="38"/>
      <c r="AU3700" s="38"/>
      <c r="AV3700" s="38"/>
      <c r="AW3700" s="38"/>
      <c r="AX3700" s="38"/>
      <c r="AY3700" s="38"/>
      <c r="AZ3700" s="38"/>
      <c r="BA3700" s="38"/>
      <c r="BB3700" s="38"/>
      <c r="BC3700" s="38"/>
      <c r="BD3700" s="38"/>
      <c r="BE3700" s="38"/>
      <c r="BF3700" s="38"/>
      <c r="BG3700" s="38"/>
      <c r="BH3700" s="38"/>
      <c r="BI3700" s="38"/>
      <c r="BJ3700" s="38"/>
      <c r="BK3700" s="38"/>
      <c r="BL3700" s="38"/>
      <c r="BM3700" s="38"/>
      <c r="BN3700" s="38"/>
      <c r="BO3700" s="38"/>
      <c r="BP3700" s="38"/>
      <c r="BQ3700" s="38"/>
    </row>
    <row r="3701">
      <c r="A3701" s="16"/>
      <c r="B3701" s="145"/>
      <c r="C3701" s="146"/>
      <c r="D3701" s="146"/>
      <c r="E3701" s="16"/>
      <c r="F3701" s="91"/>
      <c r="G3701" s="16"/>
      <c r="H3701" s="320" t="str">
        <f t="shared" si="424"/>
        <v/>
      </c>
      <c r="I3701" s="16"/>
      <c r="J3701" s="16"/>
      <c r="K3701" s="16"/>
      <c r="L3701" s="16"/>
      <c r="M3701" s="15"/>
      <c r="N3701" s="15"/>
      <c r="O3701" s="16"/>
      <c r="P3701" s="16"/>
      <c r="Q3701" s="16"/>
      <c r="R3701" s="16"/>
      <c r="S3701" s="37" t="str">
        <f>IFERROR(__xludf.DUMMYFUNCTION("if(not(iserror(index(split(C3701, "" ""),2))), index(split(C3701, "" ""),1),"""")"),"")</f>
        <v/>
      </c>
      <c r="T3701" s="315" t="str">
        <f>IFERROR(__xludf.DUMMYFUNCTION("if(S3701="""",C3701,if(not(iserror(index(split(C3701, "" ""),3))), index(split(C3701, "" ""),3),index(split(C3701, "" ""),2)))"),"")</f>
        <v/>
      </c>
      <c r="U3701" s="38" t="b">
        <f t="shared" si="423"/>
        <v>0</v>
      </c>
      <c r="V3701" s="38"/>
      <c r="W3701" s="40"/>
      <c r="X3701" s="40"/>
      <c r="Y3701" s="40"/>
      <c r="Z3701" s="38"/>
      <c r="AA3701" s="38"/>
      <c r="AB3701" s="38"/>
      <c r="AC3701" s="38"/>
      <c r="AD3701" s="38"/>
      <c r="AE3701" s="38"/>
      <c r="AF3701" s="38"/>
      <c r="AG3701" s="38"/>
      <c r="AH3701" s="38"/>
      <c r="AI3701" s="38"/>
      <c r="AJ3701" s="38"/>
      <c r="AK3701" s="38"/>
      <c r="AL3701" s="38"/>
      <c r="AM3701" s="38"/>
      <c r="AN3701" s="38"/>
      <c r="AO3701" s="38"/>
      <c r="AP3701" s="38"/>
      <c r="AQ3701" s="38"/>
      <c r="AR3701" s="38"/>
      <c r="AS3701" s="38"/>
      <c r="AT3701" s="38"/>
      <c r="AU3701" s="38"/>
      <c r="AV3701" s="38"/>
      <c r="AW3701" s="38"/>
      <c r="AX3701" s="38"/>
      <c r="AY3701" s="38"/>
      <c r="AZ3701" s="38"/>
      <c r="BA3701" s="38"/>
      <c r="BB3701" s="38"/>
      <c r="BC3701" s="38"/>
      <c r="BD3701" s="38"/>
      <c r="BE3701" s="38"/>
      <c r="BF3701" s="38"/>
      <c r="BG3701" s="38"/>
      <c r="BH3701" s="38"/>
      <c r="BI3701" s="38"/>
      <c r="BJ3701" s="38"/>
      <c r="BK3701" s="38"/>
      <c r="BL3701" s="38"/>
      <c r="BM3701" s="38"/>
      <c r="BN3701" s="38"/>
      <c r="BO3701" s="38"/>
      <c r="BP3701" s="38"/>
      <c r="BQ3701" s="38"/>
    </row>
    <row r="3702">
      <c r="A3702" s="16"/>
      <c r="B3702" s="145"/>
      <c r="C3702" s="146"/>
      <c r="D3702" s="146"/>
      <c r="E3702" s="16"/>
      <c r="F3702" s="91"/>
      <c r="G3702" s="16"/>
      <c r="H3702" s="320" t="str">
        <f t="shared" si="424"/>
        <v/>
      </c>
      <c r="I3702" s="16"/>
      <c r="J3702" s="16"/>
      <c r="K3702" s="16"/>
      <c r="L3702" s="16"/>
      <c r="M3702" s="15"/>
      <c r="N3702" s="15"/>
      <c r="O3702" s="16"/>
      <c r="P3702" s="16"/>
      <c r="Q3702" s="16"/>
      <c r="R3702" s="16"/>
      <c r="S3702" s="37" t="str">
        <f>IFERROR(__xludf.DUMMYFUNCTION("if(not(iserror(index(split(C3702, "" ""),2))), index(split(C3702, "" ""),1),"""")"),"")</f>
        <v/>
      </c>
      <c r="T3702" s="315" t="str">
        <f>IFERROR(__xludf.DUMMYFUNCTION("if(S3702="""",C3702,if(not(iserror(index(split(C3702, "" ""),3))), index(split(C3702, "" ""),3),index(split(C3702, "" ""),2)))"),"")</f>
        <v/>
      </c>
      <c r="U3702" s="38" t="b">
        <f t="shared" si="423"/>
        <v>0</v>
      </c>
      <c r="V3702" s="38"/>
      <c r="W3702" s="40"/>
      <c r="X3702" s="40"/>
      <c r="Y3702" s="40"/>
      <c r="Z3702" s="38"/>
      <c r="AA3702" s="38"/>
      <c r="AB3702" s="38"/>
      <c r="AC3702" s="38"/>
      <c r="AD3702" s="38"/>
      <c r="AE3702" s="38"/>
      <c r="AF3702" s="38"/>
      <c r="AG3702" s="38"/>
      <c r="AH3702" s="38"/>
      <c r="AI3702" s="38"/>
      <c r="AJ3702" s="38"/>
      <c r="AK3702" s="38"/>
      <c r="AL3702" s="38"/>
      <c r="AM3702" s="38"/>
      <c r="AN3702" s="38"/>
      <c r="AO3702" s="38"/>
      <c r="AP3702" s="38"/>
      <c r="AQ3702" s="38"/>
      <c r="AR3702" s="38"/>
      <c r="AS3702" s="38"/>
      <c r="AT3702" s="38"/>
      <c r="AU3702" s="38"/>
      <c r="AV3702" s="38"/>
      <c r="AW3702" s="38"/>
      <c r="AX3702" s="38"/>
      <c r="AY3702" s="38"/>
      <c r="AZ3702" s="38"/>
      <c r="BA3702" s="38"/>
      <c r="BB3702" s="38"/>
      <c r="BC3702" s="38"/>
      <c r="BD3702" s="38"/>
      <c r="BE3702" s="38"/>
      <c r="BF3702" s="38"/>
      <c r="BG3702" s="38"/>
      <c r="BH3702" s="38"/>
      <c r="BI3702" s="38"/>
      <c r="BJ3702" s="38"/>
      <c r="BK3702" s="38"/>
      <c r="BL3702" s="38"/>
      <c r="BM3702" s="38"/>
      <c r="BN3702" s="38"/>
      <c r="BO3702" s="38"/>
      <c r="BP3702" s="38"/>
      <c r="BQ3702" s="38"/>
    </row>
    <row r="3703">
      <c r="A3703" s="16"/>
      <c r="B3703" s="145"/>
      <c r="C3703" s="146"/>
      <c r="D3703" s="146"/>
      <c r="E3703" s="16"/>
      <c r="F3703" s="91"/>
      <c r="G3703" s="16"/>
      <c r="H3703" s="320" t="str">
        <f t="shared" si="424"/>
        <v/>
      </c>
      <c r="I3703" s="16"/>
      <c r="J3703" s="16"/>
      <c r="K3703" s="16"/>
      <c r="L3703" s="16"/>
      <c r="M3703" s="15"/>
      <c r="N3703" s="15"/>
      <c r="O3703" s="16"/>
      <c r="P3703" s="16"/>
      <c r="Q3703" s="16"/>
      <c r="R3703" s="16"/>
      <c r="S3703" s="37" t="str">
        <f>IFERROR(__xludf.DUMMYFUNCTION("if(not(iserror(index(split(C3703, "" ""),2))), index(split(C3703, "" ""),1),"""")"),"")</f>
        <v/>
      </c>
      <c r="T3703" s="315" t="str">
        <f>IFERROR(__xludf.DUMMYFUNCTION("if(S3703="""",C3703,if(not(iserror(index(split(C3703, "" ""),3))), index(split(C3703, "" ""),3),index(split(C3703, "" ""),2)))"),"")</f>
        <v/>
      </c>
      <c r="U3703" s="38" t="b">
        <f t="shared" si="423"/>
        <v>0</v>
      </c>
      <c r="V3703" s="38"/>
      <c r="W3703" s="40"/>
      <c r="X3703" s="40"/>
      <c r="Y3703" s="40"/>
      <c r="Z3703" s="38"/>
      <c r="AA3703" s="38"/>
      <c r="AB3703" s="38"/>
      <c r="AC3703" s="38"/>
      <c r="AD3703" s="38"/>
      <c r="AE3703" s="38"/>
      <c r="AF3703" s="38"/>
      <c r="AG3703" s="38"/>
      <c r="AH3703" s="38"/>
      <c r="AI3703" s="38"/>
      <c r="AJ3703" s="38"/>
      <c r="AK3703" s="38"/>
      <c r="AL3703" s="38"/>
      <c r="AM3703" s="38"/>
      <c r="AN3703" s="38"/>
      <c r="AO3703" s="38"/>
      <c r="AP3703" s="38"/>
      <c r="AQ3703" s="38"/>
      <c r="AR3703" s="38"/>
      <c r="AS3703" s="38"/>
      <c r="AT3703" s="38"/>
      <c r="AU3703" s="38"/>
      <c r="AV3703" s="38"/>
      <c r="AW3703" s="38"/>
      <c r="AX3703" s="38"/>
      <c r="AY3703" s="38"/>
      <c r="AZ3703" s="38"/>
      <c r="BA3703" s="38"/>
      <c r="BB3703" s="38"/>
      <c r="BC3703" s="38"/>
      <c r="BD3703" s="38"/>
      <c r="BE3703" s="38"/>
      <c r="BF3703" s="38"/>
      <c r="BG3703" s="38"/>
      <c r="BH3703" s="38"/>
      <c r="BI3703" s="38"/>
      <c r="BJ3703" s="38"/>
      <c r="BK3703" s="38"/>
      <c r="BL3703" s="38"/>
      <c r="BM3703" s="38"/>
      <c r="BN3703" s="38"/>
      <c r="BO3703" s="38"/>
      <c r="BP3703" s="38"/>
      <c r="BQ3703" s="38"/>
    </row>
    <row r="3704">
      <c r="A3704" s="16"/>
      <c r="B3704" s="145"/>
      <c r="C3704" s="146"/>
      <c r="D3704" s="146"/>
      <c r="E3704" s="16"/>
      <c r="F3704" s="91"/>
      <c r="G3704" s="16"/>
      <c r="H3704" s="320" t="str">
        <f t="shared" si="424"/>
        <v/>
      </c>
      <c r="I3704" s="16"/>
      <c r="J3704" s="16"/>
      <c r="K3704" s="16"/>
      <c r="L3704" s="16"/>
      <c r="M3704" s="15"/>
      <c r="N3704" s="15"/>
      <c r="O3704" s="16"/>
      <c r="P3704" s="16"/>
      <c r="Q3704" s="16"/>
      <c r="R3704" s="16"/>
      <c r="S3704" s="37" t="str">
        <f>IFERROR(__xludf.DUMMYFUNCTION("if(not(iserror(index(split(C3704, "" ""),2))), index(split(C3704, "" ""),1),"""")"),"")</f>
        <v/>
      </c>
      <c r="T3704" s="315" t="str">
        <f>IFERROR(__xludf.DUMMYFUNCTION("if(S3704="""",C3704,if(not(iserror(index(split(C3704, "" ""),3))), index(split(C3704, "" ""),3),index(split(C3704, "" ""),2)))"),"")</f>
        <v/>
      </c>
      <c r="U3704" s="38" t="b">
        <f t="shared" si="423"/>
        <v>0</v>
      </c>
      <c r="V3704" s="38"/>
      <c r="W3704" s="40"/>
      <c r="X3704" s="40"/>
      <c r="Y3704" s="40"/>
      <c r="Z3704" s="38"/>
      <c r="AA3704" s="38"/>
      <c r="AB3704" s="38"/>
      <c r="AC3704" s="38"/>
      <c r="AD3704" s="38"/>
      <c r="AE3704" s="38"/>
      <c r="AF3704" s="38"/>
      <c r="AG3704" s="38"/>
      <c r="AH3704" s="38"/>
      <c r="AI3704" s="38"/>
      <c r="AJ3704" s="38"/>
      <c r="AK3704" s="38"/>
      <c r="AL3704" s="38"/>
      <c r="AM3704" s="38"/>
      <c r="AN3704" s="38"/>
      <c r="AO3704" s="38"/>
      <c r="AP3704" s="38"/>
      <c r="AQ3704" s="38"/>
      <c r="AR3704" s="38"/>
      <c r="AS3704" s="38"/>
      <c r="AT3704" s="38"/>
      <c r="AU3704" s="38"/>
      <c r="AV3704" s="38"/>
      <c r="AW3704" s="38"/>
      <c r="AX3704" s="38"/>
      <c r="AY3704" s="38"/>
      <c r="AZ3704" s="38"/>
      <c r="BA3704" s="38"/>
      <c r="BB3704" s="38"/>
      <c r="BC3704" s="38"/>
      <c r="BD3704" s="38"/>
      <c r="BE3704" s="38"/>
      <c r="BF3704" s="38"/>
      <c r="BG3704" s="38"/>
      <c r="BH3704" s="38"/>
      <c r="BI3704" s="38"/>
      <c r="BJ3704" s="38"/>
      <c r="BK3704" s="38"/>
      <c r="BL3704" s="38"/>
      <c r="BM3704" s="38"/>
      <c r="BN3704" s="38"/>
      <c r="BO3704" s="38"/>
      <c r="BP3704" s="38"/>
      <c r="BQ3704" s="38"/>
    </row>
    <row r="3705">
      <c r="A3705" s="16"/>
      <c r="B3705" s="145"/>
      <c r="C3705" s="146"/>
      <c r="D3705" s="146"/>
      <c r="E3705" s="16"/>
      <c r="F3705" s="91"/>
      <c r="G3705" s="16"/>
      <c r="H3705" s="320" t="str">
        <f t="shared" si="424"/>
        <v/>
      </c>
      <c r="I3705" s="16"/>
      <c r="J3705" s="16"/>
      <c r="K3705" s="16"/>
      <c r="L3705" s="16"/>
      <c r="M3705" s="15"/>
      <c r="N3705" s="15"/>
      <c r="O3705" s="16"/>
      <c r="P3705" s="16"/>
      <c r="Q3705" s="16"/>
      <c r="R3705" s="16"/>
      <c r="S3705" s="37" t="str">
        <f>IFERROR(__xludf.DUMMYFUNCTION("if(not(iserror(index(split(C3705, "" ""),2))), index(split(C3705, "" ""),1),"""")"),"")</f>
        <v/>
      </c>
      <c r="T3705" s="315" t="str">
        <f>IFERROR(__xludf.DUMMYFUNCTION("if(S3705="""",C3705,if(not(iserror(index(split(C3705, "" ""),3))), index(split(C3705, "" ""),3),index(split(C3705, "" ""),2)))"),"")</f>
        <v/>
      </c>
      <c r="U3705" s="38" t="b">
        <f t="shared" si="423"/>
        <v>0</v>
      </c>
      <c r="V3705" s="38"/>
      <c r="W3705" s="40"/>
      <c r="X3705" s="40"/>
      <c r="Y3705" s="40"/>
      <c r="Z3705" s="38"/>
      <c r="AA3705" s="38"/>
      <c r="AB3705" s="38"/>
      <c r="AC3705" s="38"/>
      <c r="AD3705" s="38"/>
      <c r="AE3705" s="38"/>
      <c r="AF3705" s="38"/>
      <c r="AG3705" s="38"/>
      <c r="AH3705" s="38"/>
      <c r="AI3705" s="38"/>
      <c r="AJ3705" s="38"/>
      <c r="AK3705" s="38"/>
      <c r="AL3705" s="38"/>
      <c r="AM3705" s="38"/>
      <c r="AN3705" s="38"/>
      <c r="AO3705" s="38"/>
      <c r="AP3705" s="38"/>
      <c r="AQ3705" s="38"/>
      <c r="AR3705" s="38"/>
      <c r="AS3705" s="38"/>
      <c r="AT3705" s="38"/>
      <c r="AU3705" s="38"/>
      <c r="AV3705" s="38"/>
      <c r="AW3705" s="38"/>
      <c r="AX3705" s="38"/>
      <c r="AY3705" s="38"/>
      <c r="AZ3705" s="38"/>
      <c r="BA3705" s="38"/>
      <c r="BB3705" s="38"/>
      <c r="BC3705" s="38"/>
      <c r="BD3705" s="38"/>
      <c r="BE3705" s="38"/>
      <c r="BF3705" s="38"/>
      <c r="BG3705" s="38"/>
      <c r="BH3705" s="38"/>
      <c r="BI3705" s="38"/>
      <c r="BJ3705" s="38"/>
      <c r="BK3705" s="38"/>
      <c r="BL3705" s="38"/>
      <c r="BM3705" s="38"/>
      <c r="BN3705" s="38"/>
      <c r="BO3705" s="38"/>
      <c r="BP3705" s="38"/>
      <c r="BQ3705" s="38"/>
    </row>
    <row r="3706">
      <c r="A3706" s="16"/>
      <c r="B3706" s="145"/>
      <c r="C3706" s="146"/>
      <c r="D3706" s="146"/>
      <c r="E3706" s="16"/>
      <c r="F3706" s="91"/>
      <c r="G3706" s="16"/>
      <c r="H3706" s="320" t="str">
        <f t="shared" si="424"/>
        <v/>
      </c>
      <c r="I3706" s="16"/>
      <c r="J3706" s="16"/>
      <c r="K3706" s="16"/>
      <c r="L3706" s="16"/>
      <c r="M3706" s="15"/>
      <c r="N3706" s="15"/>
      <c r="O3706" s="16"/>
      <c r="P3706" s="16"/>
      <c r="Q3706" s="16"/>
      <c r="R3706" s="16"/>
      <c r="S3706" s="37" t="str">
        <f>IFERROR(__xludf.DUMMYFUNCTION("if(not(iserror(index(split(C3706, "" ""),2))), index(split(C3706, "" ""),1),"""")"),"")</f>
        <v/>
      </c>
      <c r="T3706" s="315" t="str">
        <f>IFERROR(__xludf.DUMMYFUNCTION("if(S3706="""",C3706,if(not(iserror(index(split(C3706, "" ""),3))), index(split(C3706, "" ""),3),index(split(C3706, "" ""),2)))"),"")</f>
        <v/>
      </c>
      <c r="U3706" s="38" t="b">
        <f t="shared" si="423"/>
        <v>0</v>
      </c>
      <c r="V3706" s="38"/>
      <c r="W3706" s="40"/>
      <c r="X3706" s="40"/>
      <c r="Y3706" s="40"/>
      <c r="Z3706" s="38"/>
      <c r="AA3706" s="38"/>
      <c r="AB3706" s="38"/>
      <c r="AC3706" s="38"/>
      <c r="AD3706" s="38"/>
      <c r="AE3706" s="38"/>
      <c r="AF3706" s="38"/>
      <c r="AG3706" s="38"/>
      <c r="AH3706" s="38"/>
      <c r="AI3706" s="38"/>
      <c r="AJ3706" s="38"/>
      <c r="AK3706" s="38"/>
      <c r="AL3706" s="38"/>
      <c r="AM3706" s="38"/>
      <c r="AN3706" s="38"/>
      <c r="AO3706" s="38"/>
      <c r="AP3706" s="38"/>
      <c r="AQ3706" s="38"/>
      <c r="AR3706" s="38"/>
      <c r="AS3706" s="38"/>
      <c r="AT3706" s="38"/>
      <c r="AU3706" s="38"/>
      <c r="AV3706" s="38"/>
      <c r="AW3706" s="38"/>
      <c r="AX3706" s="38"/>
      <c r="AY3706" s="38"/>
      <c r="AZ3706" s="38"/>
      <c r="BA3706" s="38"/>
      <c r="BB3706" s="38"/>
      <c r="BC3706" s="38"/>
      <c r="BD3706" s="38"/>
      <c r="BE3706" s="38"/>
      <c r="BF3706" s="38"/>
      <c r="BG3706" s="38"/>
      <c r="BH3706" s="38"/>
      <c r="BI3706" s="38"/>
      <c r="BJ3706" s="38"/>
      <c r="BK3706" s="38"/>
      <c r="BL3706" s="38"/>
      <c r="BM3706" s="38"/>
      <c r="BN3706" s="38"/>
      <c r="BO3706" s="38"/>
      <c r="BP3706" s="38"/>
      <c r="BQ3706" s="38"/>
    </row>
    <row r="3707">
      <c r="A3707" s="16"/>
      <c r="B3707" s="145"/>
      <c r="C3707" s="146"/>
      <c r="D3707" s="146"/>
      <c r="E3707" s="16"/>
      <c r="F3707" s="91"/>
      <c r="G3707" s="16"/>
      <c r="H3707" s="320" t="str">
        <f t="shared" si="424"/>
        <v/>
      </c>
      <c r="I3707" s="16"/>
      <c r="J3707" s="16"/>
      <c r="K3707" s="16"/>
      <c r="L3707" s="16"/>
      <c r="M3707" s="15"/>
      <c r="N3707" s="15"/>
      <c r="O3707" s="16"/>
      <c r="P3707" s="16"/>
      <c r="Q3707" s="16"/>
      <c r="R3707" s="16"/>
      <c r="S3707" s="37" t="str">
        <f>IFERROR(__xludf.DUMMYFUNCTION("if(not(iserror(index(split(C3707, "" ""),2))), index(split(C3707, "" ""),1),"""")"),"")</f>
        <v/>
      </c>
      <c r="T3707" s="315" t="str">
        <f>IFERROR(__xludf.DUMMYFUNCTION("if(S3707="""",C3707,if(not(iserror(index(split(C3707, "" ""),3))), index(split(C3707, "" ""),3),index(split(C3707, "" ""),2)))"),"")</f>
        <v/>
      </c>
      <c r="U3707" s="38" t="b">
        <f t="shared" si="423"/>
        <v>0</v>
      </c>
      <c r="V3707" s="38"/>
      <c r="W3707" s="40"/>
      <c r="X3707" s="40"/>
      <c r="Y3707" s="40"/>
      <c r="Z3707" s="38"/>
      <c r="AA3707" s="38"/>
      <c r="AB3707" s="38"/>
      <c r="AC3707" s="38"/>
      <c r="AD3707" s="38"/>
      <c r="AE3707" s="38"/>
      <c r="AF3707" s="38"/>
      <c r="AG3707" s="38"/>
      <c r="AH3707" s="38"/>
      <c r="AI3707" s="38"/>
      <c r="AJ3707" s="38"/>
      <c r="AK3707" s="38"/>
      <c r="AL3707" s="38"/>
      <c r="AM3707" s="38"/>
      <c r="AN3707" s="38"/>
      <c r="AO3707" s="38"/>
      <c r="AP3707" s="38"/>
      <c r="AQ3707" s="38"/>
      <c r="AR3707" s="38"/>
      <c r="AS3707" s="38"/>
      <c r="AT3707" s="38"/>
      <c r="AU3707" s="38"/>
      <c r="AV3707" s="38"/>
      <c r="AW3707" s="38"/>
      <c r="AX3707" s="38"/>
      <c r="AY3707" s="38"/>
      <c r="AZ3707" s="38"/>
      <c r="BA3707" s="38"/>
      <c r="BB3707" s="38"/>
      <c r="BC3707" s="38"/>
      <c r="BD3707" s="38"/>
      <c r="BE3707" s="38"/>
      <c r="BF3707" s="38"/>
      <c r="BG3707" s="38"/>
      <c r="BH3707" s="38"/>
      <c r="BI3707" s="38"/>
      <c r="BJ3707" s="38"/>
      <c r="BK3707" s="38"/>
      <c r="BL3707" s="38"/>
      <c r="BM3707" s="38"/>
      <c r="BN3707" s="38"/>
      <c r="BO3707" s="38"/>
      <c r="BP3707" s="38"/>
      <c r="BQ3707" s="38"/>
    </row>
    <row r="3708">
      <c r="A3708" s="16"/>
      <c r="B3708" s="145"/>
      <c r="C3708" s="146"/>
      <c r="D3708" s="146"/>
      <c r="E3708" s="16"/>
      <c r="F3708" s="91"/>
      <c r="G3708" s="16"/>
      <c r="H3708" s="320" t="str">
        <f t="shared" si="424"/>
        <v/>
      </c>
      <c r="I3708" s="16"/>
      <c r="J3708" s="16"/>
      <c r="K3708" s="16"/>
      <c r="L3708" s="16"/>
      <c r="M3708" s="15"/>
      <c r="N3708" s="15"/>
      <c r="O3708" s="16"/>
      <c r="P3708" s="16"/>
      <c r="Q3708" s="16"/>
      <c r="R3708" s="16"/>
      <c r="S3708" s="37" t="str">
        <f>IFERROR(__xludf.DUMMYFUNCTION("if(not(iserror(index(split(C3708, "" ""),2))), index(split(C3708, "" ""),1),"""")"),"")</f>
        <v/>
      </c>
      <c r="T3708" s="315" t="str">
        <f>IFERROR(__xludf.DUMMYFUNCTION("if(S3708="""",C3708,if(not(iserror(index(split(C3708, "" ""),3))), index(split(C3708, "" ""),3),index(split(C3708, "" ""),2)))"),"")</f>
        <v/>
      </c>
      <c r="U3708" s="38" t="b">
        <f t="shared" si="423"/>
        <v>0</v>
      </c>
      <c r="V3708" s="38"/>
      <c r="W3708" s="40"/>
      <c r="X3708" s="40"/>
      <c r="Y3708" s="40"/>
      <c r="Z3708" s="38"/>
      <c r="AA3708" s="38"/>
      <c r="AB3708" s="38"/>
      <c r="AC3708" s="38"/>
      <c r="AD3708" s="38"/>
      <c r="AE3708" s="38"/>
      <c r="AF3708" s="38"/>
      <c r="AG3708" s="38"/>
      <c r="AH3708" s="38"/>
      <c r="AI3708" s="38"/>
      <c r="AJ3708" s="38"/>
      <c r="AK3708" s="38"/>
      <c r="AL3708" s="38"/>
      <c r="AM3708" s="38"/>
      <c r="AN3708" s="38"/>
      <c r="AO3708" s="38"/>
      <c r="AP3708" s="38"/>
      <c r="AQ3708" s="38"/>
      <c r="AR3708" s="38"/>
      <c r="AS3708" s="38"/>
      <c r="AT3708" s="38"/>
      <c r="AU3708" s="38"/>
      <c r="AV3708" s="38"/>
      <c r="AW3708" s="38"/>
      <c r="AX3708" s="38"/>
      <c r="AY3708" s="38"/>
      <c r="AZ3708" s="38"/>
      <c r="BA3708" s="38"/>
      <c r="BB3708" s="38"/>
      <c r="BC3708" s="38"/>
      <c r="BD3708" s="38"/>
      <c r="BE3708" s="38"/>
      <c r="BF3708" s="38"/>
      <c r="BG3708" s="38"/>
      <c r="BH3708" s="38"/>
      <c r="BI3708" s="38"/>
      <c r="BJ3708" s="38"/>
      <c r="BK3708" s="38"/>
      <c r="BL3708" s="38"/>
      <c r="BM3708" s="38"/>
      <c r="BN3708" s="38"/>
      <c r="BO3708" s="38"/>
      <c r="BP3708" s="38"/>
      <c r="BQ3708" s="38"/>
    </row>
    <row r="3709">
      <c r="A3709" s="16"/>
      <c r="B3709" s="145"/>
      <c r="C3709" s="146"/>
      <c r="D3709" s="146"/>
      <c r="E3709" s="16"/>
      <c r="F3709" s="91"/>
      <c r="G3709" s="16"/>
      <c r="H3709" s="320" t="str">
        <f t="shared" si="424"/>
        <v/>
      </c>
      <c r="I3709" s="16"/>
      <c r="J3709" s="16"/>
      <c r="K3709" s="16"/>
      <c r="L3709" s="16"/>
      <c r="M3709" s="15"/>
      <c r="N3709" s="15"/>
      <c r="O3709" s="16"/>
      <c r="P3709" s="16"/>
      <c r="Q3709" s="16"/>
      <c r="R3709" s="16"/>
      <c r="S3709" s="37" t="str">
        <f>IFERROR(__xludf.DUMMYFUNCTION("if(not(iserror(index(split(C3709, "" ""),2))), index(split(C3709, "" ""),1),"""")"),"")</f>
        <v/>
      </c>
      <c r="T3709" s="315" t="str">
        <f>IFERROR(__xludf.DUMMYFUNCTION("if(S3709="""",C3709,if(not(iserror(index(split(C3709, "" ""),3))), index(split(C3709, "" ""),3),index(split(C3709, "" ""),2)))"),"")</f>
        <v/>
      </c>
      <c r="U3709" s="38" t="b">
        <f t="shared" si="423"/>
        <v>0</v>
      </c>
      <c r="V3709" s="38"/>
      <c r="W3709" s="40"/>
      <c r="X3709" s="40"/>
      <c r="Y3709" s="40"/>
      <c r="Z3709" s="38"/>
      <c r="AA3709" s="38"/>
      <c r="AB3709" s="38"/>
      <c r="AC3709" s="38"/>
      <c r="AD3709" s="38"/>
      <c r="AE3709" s="38"/>
      <c r="AF3709" s="38"/>
      <c r="AG3709" s="38"/>
      <c r="AH3709" s="38"/>
      <c r="AI3709" s="38"/>
      <c r="AJ3709" s="38"/>
      <c r="AK3709" s="38"/>
      <c r="AL3709" s="38"/>
      <c r="AM3709" s="38"/>
      <c r="AN3709" s="38"/>
      <c r="AO3709" s="38"/>
      <c r="AP3709" s="38"/>
      <c r="AQ3709" s="38"/>
      <c r="AR3709" s="38"/>
      <c r="AS3709" s="38"/>
      <c r="AT3709" s="38"/>
      <c r="AU3709" s="38"/>
      <c r="AV3709" s="38"/>
      <c r="AW3709" s="38"/>
      <c r="AX3709" s="38"/>
      <c r="AY3709" s="38"/>
      <c r="AZ3709" s="38"/>
      <c r="BA3709" s="38"/>
      <c r="BB3709" s="38"/>
      <c r="BC3709" s="38"/>
      <c r="BD3709" s="38"/>
      <c r="BE3709" s="38"/>
      <c r="BF3709" s="38"/>
      <c r="BG3709" s="38"/>
      <c r="BH3709" s="38"/>
      <c r="BI3709" s="38"/>
      <c r="BJ3709" s="38"/>
      <c r="BK3709" s="38"/>
      <c r="BL3709" s="38"/>
      <c r="BM3709" s="38"/>
      <c r="BN3709" s="38"/>
      <c r="BO3709" s="38"/>
      <c r="BP3709" s="38"/>
      <c r="BQ3709" s="38"/>
    </row>
    <row r="3710">
      <c r="A3710" s="16"/>
      <c r="B3710" s="145"/>
      <c r="C3710" s="146"/>
      <c r="D3710" s="146"/>
      <c r="E3710" s="16"/>
      <c r="F3710" s="91"/>
      <c r="G3710" s="16"/>
      <c r="H3710" s="320" t="str">
        <f t="shared" si="424"/>
        <v/>
      </c>
      <c r="I3710" s="16"/>
      <c r="J3710" s="16"/>
      <c r="K3710" s="16"/>
      <c r="L3710" s="16"/>
      <c r="M3710" s="15"/>
      <c r="N3710" s="15"/>
      <c r="O3710" s="16"/>
      <c r="P3710" s="16"/>
      <c r="Q3710" s="16"/>
      <c r="R3710" s="16"/>
      <c r="S3710" s="37" t="str">
        <f>IFERROR(__xludf.DUMMYFUNCTION("if(not(iserror(index(split(C3710, "" ""),2))), index(split(C3710, "" ""),1),"""")"),"")</f>
        <v/>
      </c>
      <c r="T3710" s="315" t="str">
        <f>IFERROR(__xludf.DUMMYFUNCTION("if(S3710="""",C3710,if(not(iserror(index(split(C3710, "" ""),3))), index(split(C3710, "" ""),3),index(split(C3710, "" ""),2)))"),"")</f>
        <v/>
      </c>
      <c r="U3710" s="38" t="b">
        <f t="shared" si="423"/>
        <v>0</v>
      </c>
      <c r="V3710" s="38"/>
      <c r="W3710" s="40"/>
      <c r="X3710" s="40"/>
      <c r="Y3710" s="40"/>
      <c r="Z3710" s="38"/>
      <c r="AA3710" s="38"/>
      <c r="AB3710" s="38"/>
      <c r="AC3710" s="38"/>
      <c r="AD3710" s="38"/>
      <c r="AE3710" s="38"/>
      <c r="AF3710" s="38"/>
      <c r="AG3710" s="38"/>
      <c r="AH3710" s="38"/>
      <c r="AI3710" s="38"/>
      <c r="AJ3710" s="38"/>
      <c r="AK3710" s="38"/>
      <c r="AL3710" s="38"/>
      <c r="AM3710" s="38"/>
      <c r="AN3710" s="38"/>
      <c r="AO3710" s="38"/>
      <c r="AP3710" s="38"/>
      <c r="AQ3710" s="38"/>
      <c r="AR3710" s="38"/>
      <c r="AS3710" s="38"/>
      <c r="AT3710" s="38"/>
      <c r="AU3710" s="38"/>
      <c r="AV3710" s="38"/>
      <c r="AW3710" s="38"/>
      <c r="AX3710" s="38"/>
      <c r="AY3710" s="38"/>
      <c r="AZ3710" s="38"/>
      <c r="BA3710" s="38"/>
      <c r="BB3710" s="38"/>
      <c r="BC3710" s="38"/>
      <c r="BD3710" s="38"/>
      <c r="BE3710" s="38"/>
      <c r="BF3710" s="38"/>
      <c r="BG3710" s="38"/>
      <c r="BH3710" s="38"/>
      <c r="BI3710" s="38"/>
      <c r="BJ3710" s="38"/>
      <c r="BK3710" s="38"/>
      <c r="BL3710" s="38"/>
      <c r="BM3710" s="38"/>
      <c r="BN3710" s="38"/>
      <c r="BO3710" s="38"/>
      <c r="BP3710" s="38"/>
      <c r="BQ3710" s="38"/>
    </row>
    <row r="3711">
      <c r="A3711" s="16"/>
      <c r="B3711" s="145"/>
      <c r="C3711" s="146"/>
      <c r="D3711" s="146"/>
      <c r="E3711" s="16"/>
      <c r="F3711" s="91"/>
      <c r="G3711" s="16"/>
      <c r="H3711" s="320" t="str">
        <f t="shared" si="424"/>
        <v/>
      </c>
      <c r="I3711" s="16"/>
      <c r="J3711" s="16"/>
      <c r="K3711" s="16"/>
      <c r="L3711" s="16"/>
      <c r="M3711" s="15"/>
      <c r="N3711" s="15"/>
      <c r="O3711" s="16"/>
      <c r="P3711" s="16"/>
      <c r="Q3711" s="16"/>
      <c r="R3711" s="16"/>
      <c r="S3711" s="37" t="str">
        <f>IFERROR(__xludf.DUMMYFUNCTION("if(not(iserror(index(split(C3711, "" ""),2))), index(split(C3711, "" ""),1),"""")"),"")</f>
        <v/>
      </c>
      <c r="T3711" s="315" t="str">
        <f>IFERROR(__xludf.DUMMYFUNCTION("if(S3711="""",C3711,if(not(iserror(index(split(C3711, "" ""),3))), index(split(C3711, "" ""),3),index(split(C3711, "" ""),2)))"),"")</f>
        <v/>
      </c>
      <c r="U3711" s="38" t="b">
        <f t="shared" si="423"/>
        <v>0</v>
      </c>
      <c r="V3711" s="38"/>
      <c r="W3711" s="40"/>
      <c r="X3711" s="40"/>
      <c r="Y3711" s="40"/>
      <c r="Z3711" s="38"/>
      <c r="AA3711" s="38"/>
      <c r="AB3711" s="38"/>
      <c r="AC3711" s="38"/>
      <c r="AD3711" s="38"/>
      <c r="AE3711" s="38"/>
      <c r="AF3711" s="38"/>
      <c r="AG3711" s="38"/>
      <c r="AH3711" s="38"/>
      <c r="AI3711" s="38"/>
      <c r="AJ3711" s="38"/>
      <c r="AK3711" s="38"/>
      <c r="AL3711" s="38"/>
      <c r="AM3711" s="38"/>
      <c r="AN3711" s="38"/>
      <c r="AO3711" s="38"/>
      <c r="AP3711" s="38"/>
      <c r="AQ3711" s="38"/>
      <c r="AR3711" s="38"/>
      <c r="AS3711" s="38"/>
      <c r="AT3711" s="38"/>
      <c r="AU3711" s="38"/>
      <c r="AV3711" s="38"/>
      <c r="AW3711" s="38"/>
      <c r="AX3711" s="38"/>
      <c r="AY3711" s="38"/>
      <c r="AZ3711" s="38"/>
      <c r="BA3711" s="38"/>
      <c r="BB3711" s="38"/>
      <c r="BC3711" s="38"/>
      <c r="BD3711" s="38"/>
      <c r="BE3711" s="38"/>
      <c r="BF3711" s="38"/>
      <c r="BG3711" s="38"/>
      <c r="BH3711" s="38"/>
      <c r="BI3711" s="38"/>
      <c r="BJ3711" s="38"/>
      <c r="BK3711" s="38"/>
      <c r="BL3711" s="38"/>
      <c r="BM3711" s="38"/>
      <c r="BN3711" s="38"/>
      <c r="BO3711" s="38"/>
      <c r="BP3711" s="38"/>
      <c r="BQ3711" s="38"/>
    </row>
    <row r="3712">
      <c r="A3712" s="16"/>
      <c r="B3712" s="145"/>
      <c r="C3712" s="146"/>
      <c r="D3712" s="146"/>
      <c r="E3712" s="16"/>
      <c r="F3712" s="91"/>
      <c r="G3712" s="16"/>
      <c r="H3712" s="320" t="str">
        <f t="shared" si="424"/>
        <v/>
      </c>
      <c r="I3712" s="16"/>
      <c r="J3712" s="16"/>
      <c r="K3712" s="16"/>
      <c r="L3712" s="16"/>
      <c r="M3712" s="15"/>
      <c r="N3712" s="15"/>
      <c r="O3712" s="16"/>
      <c r="P3712" s="16"/>
      <c r="Q3712" s="16"/>
      <c r="R3712" s="16"/>
      <c r="S3712" s="37" t="str">
        <f>IFERROR(__xludf.DUMMYFUNCTION("if(not(iserror(index(split(C3712, "" ""),2))), index(split(C3712, "" ""),1),"""")"),"")</f>
        <v/>
      </c>
      <c r="T3712" s="315" t="str">
        <f>IFERROR(__xludf.DUMMYFUNCTION("if(S3712="""",C3712,if(not(iserror(index(split(C3712, "" ""),3))), index(split(C3712, "" ""),3),index(split(C3712, "" ""),2)))"),"")</f>
        <v/>
      </c>
      <c r="U3712" s="38" t="b">
        <f t="shared" si="423"/>
        <v>0</v>
      </c>
      <c r="V3712" s="38"/>
      <c r="W3712" s="40"/>
      <c r="X3712" s="40"/>
      <c r="Y3712" s="40"/>
      <c r="Z3712" s="38"/>
      <c r="AA3712" s="38"/>
      <c r="AB3712" s="38"/>
      <c r="AC3712" s="38"/>
      <c r="AD3712" s="38"/>
      <c r="AE3712" s="38"/>
      <c r="AF3712" s="38"/>
      <c r="AG3712" s="38"/>
      <c r="AH3712" s="38"/>
      <c r="AI3712" s="38"/>
      <c r="AJ3712" s="38"/>
      <c r="AK3712" s="38"/>
      <c r="AL3712" s="38"/>
      <c r="AM3712" s="38"/>
      <c r="AN3712" s="38"/>
      <c r="AO3712" s="38"/>
      <c r="AP3712" s="38"/>
      <c r="AQ3712" s="38"/>
      <c r="AR3712" s="38"/>
      <c r="AS3712" s="38"/>
      <c r="AT3712" s="38"/>
      <c r="AU3712" s="38"/>
      <c r="AV3712" s="38"/>
      <c r="AW3712" s="38"/>
      <c r="AX3712" s="38"/>
      <c r="AY3712" s="38"/>
      <c r="AZ3712" s="38"/>
      <c r="BA3712" s="38"/>
      <c r="BB3712" s="38"/>
      <c r="BC3712" s="38"/>
      <c r="BD3712" s="38"/>
      <c r="BE3712" s="38"/>
      <c r="BF3712" s="38"/>
      <c r="BG3712" s="38"/>
      <c r="BH3712" s="38"/>
      <c r="BI3712" s="38"/>
      <c r="BJ3712" s="38"/>
      <c r="BK3712" s="38"/>
      <c r="BL3712" s="38"/>
      <c r="BM3712" s="38"/>
      <c r="BN3712" s="38"/>
      <c r="BO3712" s="38"/>
      <c r="BP3712" s="38"/>
      <c r="BQ3712" s="38"/>
    </row>
    <row r="3713">
      <c r="A3713" s="16"/>
      <c r="B3713" s="145"/>
      <c r="C3713" s="146"/>
      <c r="D3713" s="146"/>
      <c r="E3713" s="16"/>
      <c r="F3713" s="91"/>
      <c r="G3713" s="16"/>
      <c r="H3713" s="320" t="str">
        <f t="shared" si="424"/>
        <v/>
      </c>
      <c r="I3713" s="16"/>
      <c r="J3713" s="16"/>
      <c r="K3713" s="16"/>
      <c r="L3713" s="16"/>
      <c r="M3713" s="15"/>
      <c r="N3713" s="15"/>
      <c r="O3713" s="16"/>
      <c r="P3713" s="16"/>
      <c r="Q3713" s="16"/>
      <c r="R3713" s="16"/>
      <c r="S3713" s="37" t="str">
        <f>IFERROR(__xludf.DUMMYFUNCTION("if(not(iserror(index(split(C3713, "" ""),2))), index(split(C3713, "" ""),1),"""")"),"")</f>
        <v/>
      </c>
      <c r="T3713" s="315" t="str">
        <f>IFERROR(__xludf.DUMMYFUNCTION("if(S3713="""",C3713,if(not(iserror(index(split(C3713, "" ""),3))), index(split(C3713, "" ""),3),index(split(C3713, "" ""),2)))"),"")</f>
        <v/>
      </c>
      <c r="U3713" s="38" t="b">
        <f t="shared" si="423"/>
        <v>0</v>
      </c>
      <c r="V3713" s="38"/>
      <c r="W3713" s="40"/>
      <c r="X3713" s="40"/>
      <c r="Y3713" s="40"/>
      <c r="Z3713" s="38"/>
      <c r="AA3713" s="38"/>
      <c r="AB3713" s="38"/>
      <c r="AC3713" s="38"/>
      <c r="AD3713" s="38"/>
      <c r="AE3713" s="38"/>
      <c r="AF3713" s="38"/>
      <c r="AG3713" s="38"/>
      <c r="AH3713" s="38"/>
      <c r="AI3713" s="38"/>
      <c r="AJ3713" s="38"/>
      <c r="AK3713" s="38"/>
      <c r="AL3713" s="38"/>
      <c r="AM3713" s="38"/>
      <c r="AN3713" s="38"/>
      <c r="AO3713" s="38"/>
      <c r="AP3713" s="38"/>
      <c r="AQ3713" s="38"/>
      <c r="AR3713" s="38"/>
      <c r="AS3713" s="38"/>
      <c r="AT3713" s="38"/>
      <c r="AU3713" s="38"/>
      <c r="AV3713" s="38"/>
      <c r="AW3713" s="38"/>
      <c r="AX3713" s="38"/>
      <c r="AY3713" s="38"/>
      <c r="AZ3713" s="38"/>
      <c r="BA3713" s="38"/>
      <c r="BB3713" s="38"/>
      <c r="BC3713" s="38"/>
      <c r="BD3713" s="38"/>
      <c r="BE3713" s="38"/>
      <c r="BF3713" s="38"/>
      <c r="BG3713" s="38"/>
      <c r="BH3713" s="38"/>
      <c r="BI3713" s="38"/>
      <c r="BJ3713" s="38"/>
      <c r="BK3713" s="38"/>
      <c r="BL3713" s="38"/>
      <c r="BM3713" s="38"/>
      <c r="BN3713" s="38"/>
      <c r="BO3713" s="38"/>
      <c r="BP3713" s="38"/>
      <c r="BQ3713" s="38"/>
    </row>
    <row r="3714">
      <c r="A3714" s="16"/>
      <c r="B3714" s="145"/>
      <c r="C3714" s="146"/>
      <c r="D3714" s="146"/>
      <c r="E3714" s="16"/>
      <c r="F3714" s="91"/>
      <c r="G3714" s="16"/>
      <c r="H3714" s="320" t="str">
        <f t="shared" si="424"/>
        <v/>
      </c>
      <c r="I3714" s="16"/>
      <c r="J3714" s="16"/>
      <c r="K3714" s="16"/>
      <c r="L3714" s="16"/>
      <c r="M3714" s="15"/>
      <c r="N3714" s="15"/>
      <c r="O3714" s="16"/>
      <c r="P3714" s="16"/>
      <c r="Q3714" s="16"/>
      <c r="R3714" s="16"/>
      <c r="S3714" s="37" t="str">
        <f>IFERROR(__xludf.DUMMYFUNCTION("if(not(iserror(index(split(C3714, "" ""),2))), index(split(C3714, "" ""),1),"""")"),"")</f>
        <v/>
      </c>
      <c r="T3714" s="315" t="str">
        <f>IFERROR(__xludf.DUMMYFUNCTION("if(S3714="""",C3714,if(not(iserror(index(split(C3714, "" ""),3))), index(split(C3714, "" ""),3),index(split(C3714, "" ""),2)))"),"")</f>
        <v/>
      </c>
      <c r="U3714" s="38" t="b">
        <f t="shared" si="423"/>
        <v>0</v>
      </c>
      <c r="V3714" s="38"/>
      <c r="W3714" s="40"/>
      <c r="X3714" s="40"/>
      <c r="Y3714" s="40"/>
      <c r="Z3714" s="38"/>
      <c r="AA3714" s="38"/>
      <c r="AB3714" s="38"/>
      <c r="AC3714" s="38"/>
      <c r="AD3714" s="38"/>
      <c r="AE3714" s="38"/>
      <c r="AF3714" s="38"/>
      <c r="AG3714" s="38"/>
      <c r="AH3714" s="38"/>
      <c r="AI3714" s="38"/>
      <c r="AJ3714" s="38"/>
      <c r="AK3714" s="38"/>
      <c r="AL3714" s="38"/>
      <c r="AM3714" s="38"/>
      <c r="AN3714" s="38"/>
      <c r="AO3714" s="38"/>
      <c r="AP3714" s="38"/>
      <c r="AQ3714" s="38"/>
      <c r="AR3714" s="38"/>
      <c r="AS3714" s="38"/>
      <c r="AT3714" s="38"/>
      <c r="AU3714" s="38"/>
      <c r="AV3714" s="38"/>
      <c r="AW3714" s="38"/>
      <c r="AX3714" s="38"/>
      <c r="AY3714" s="38"/>
      <c r="AZ3714" s="38"/>
      <c r="BA3714" s="38"/>
      <c r="BB3714" s="38"/>
      <c r="BC3714" s="38"/>
      <c r="BD3714" s="38"/>
      <c r="BE3714" s="38"/>
      <c r="BF3714" s="38"/>
      <c r="BG3714" s="38"/>
      <c r="BH3714" s="38"/>
      <c r="BI3714" s="38"/>
      <c r="BJ3714" s="38"/>
      <c r="BK3714" s="38"/>
      <c r="BL3714" s="38"/>
      <c r="BM3714" s="38"/>
      <c r="BN3714" s="38"/>
      <c r="BO3714" s="38"/>
      <c r="BP3714" s="38"/>
      <c r="BQ3714" s="38"/>
    </row>
    <row r="3715">
      <c r="A3715" s="16"/>
      <c r="B3715" s="145"/>
      <c r="C3715" s="146"/>
      <c r="D3715" s="146"/>
      <c r="E3715" s="16"/>
      <c r="F3715" s="91"/>
      <c r="G3715" s="16"/>
      <c r="H3715" s="320" t="str">
        <f t="shared" si="424"/>
        <v/>
      </c>
      <c r="I3715" s="16"/>
      <c r="J3715" s="16"/>
      <c r="K3715" s="16"/>
      <c r="L3715" s="16"/>
      <c r="M3715" s="15"/>
      <c r="N3715" s="15"/>
      <c r="O3715" s="16"/>
      <c r="P3715" s="16"/>
      <c r="Q3715" s="16"/>
      <c r="R3715" s="16"/>
      <c r="S3715" s="37" t="str">
        <f>IFERROR(__xludf.DUMMYFUNCTION("if(not(iserror(index(split(C3715, "" ""),2))), index(split(C3715, "" ""),1),"""")"),"")</f>
        <v/>
      </c>
      <c r="T3715" s="315" t="str">
        <f>IFERROR(__xludf.DUMMYFUNCTION("if(S3715="""",C3715,if(not(iserror(index(split(C3715, "" ""),3))), index(split(C3715, "" ""),3),index(split(C3715, "" ""),2)))"),"")</f>
        <v/>
      </c>
      <c r="U3715" s="38" t="b">
        <f t="shared" si="423"/>
        <v>0</v>
      </c>
      <c r="V3715" s="38"/>
      <c r="W3715" s="40"/>
      <c r="X3715" s="40"/>
      <c r="Y3715" s="40"/>
      <c r="Z3715" s="38"/>
      <c r="AA3715" s="38"/>
      <c r="AB3715" s="38"/>
      <c r="AC3715" s="38"/>
      <c r="AD3715" s="38"/>
      <c r="AE3715" s="38"/>
      <c r="AF3715" s="38"/>
      <c r="AG3715" s="38"/>
      <c r="AH3715" s="38"/>
      <c r="AI3715" s="38"/>
      <c r="AJ3715" s="38"/>
      <c r="AK3715" s="38"/>
      <c r="AL3715" s="38"/>
      <c r="AM3715" s="38"/>
      <c r="AN3715" s="38"/>
      <c r="AO3715" s="38"/>
      <c r="AP3715" s="38"/>
      <c r="AQ3715" s="38"/>
      <c r="AR3715" s="38"/>
      <c r="AS3715" s="38"/>
      <c r="AT3715" s="38"/>
      <c r="AU3715" s="38"/>
      <c r="AV3715" s="38"/>
      <c r="AW3715" s="38"/>
      <c r="AX3715" s="38"/>
      <c r="AY3715" s="38"/>
      <c r="AZ3715" s="38"/>
      <c r="BA3715" s="38"/>
      <c r="BB3715" s="38"/>
      <c r="BC3715" s="38"/>
      <c r="BD3715" s="38"/>
      <c r="BE3715" s="38"/>
      <c r="BF3715" s="38"/>
      <c r="BG3715" s="38"/>
      <c r="BH3715" s="38"/>
      <c r="BI3715" s="38"/>
      <c r="BJ3715" s="38"/>
      <c r="BK3715" s="38"/>
      <c r="BL3715" s="38"/>
      <c r="BM3715" s="38"/>
      <c r="BN3715" s="38"/>
      <c r="BO3715" s="38"/>
      <c r="BP3715" s="38"/>
      <c r="BQ3715" s="38"/>
    </row>
    <row r="3716">
      <c r="A3716" s="16"/>
      <c r="B3716" s="145"/>
      <c r="C3716" s="146"/>
      <c r="D3716" s="146"/>
      <c r="E3716" s="16"/>
      <c r="F3716" s="91"/>
      <c r="G3716" s="16"/>
      <c r="H3716" s="320" t="str">
        <f t="shared" si="424"/>
        <v/>
      </c>
      <c r="I3716" s="16"/>
      <c r="J3716" s="16"/>
      <c r="K3716" s="16"/>
      <c r="L3716" s="16"/>
      <c r="M3716" s="15"/>
      <c r="N3716" s="15"/>
      <c r="O3716" s="16"/>
      <c r="P3716" s="16"/>
      <c r="Q3716" s="16"/>
      <c r="R3716" s="16"/>
      <c r="S3716" s="37" t="str">
        <f>IFERROR(__xludf.DUMMYFUNCTION("if(not(iserror(index(split(C3716, "" ""),2))), index(split(C3716, "" ""),1),"""")"),"")</f>
        <v/>
      </c>
      <c r="T3716" s="315" t="str">
        <f>IFERROR(__xludf.DUMMYFUNCTION("if(S3716="""",C3716,if(not(iserror(index(split(C3716, "" ""),3))), index(split(C3716, "" ""),3),index(split(C3716, "" ""),2)))"),"")</f>
        <v/>
      </c>
      <c r="U3716" s="38" t="b">
        <f t="shared" si="423"/>
        <v>0</v>
      </c>
      <c r="V3716" s="38"/>
      <c r="W3716" s="40"/>
      <c r="X3716" s="40"/>
      <c r="Y3716" s="40"/>
      <c r="Z3716" s="38"/>
      <c r="AA3716" s="38"/>
      <c r="AB3716" s="38"/>
      <c r="AC3716" s="38"/>
      <c r="AD3716" s="38"/>
      <c r="AE3716" s="38"/>
      <c r="AF3716" s="38"/>
      <c r="AG3716" s="38"/>
      <c r="AH3716" s="38"/>
      <c r="AI3716" s="38"/>
      <c r="AJ3716" s="38"/>
      <c r="AK3716" s="38"/>
      <c r="AL3716" s="38"/>
      <c r="AM3716" s="38"/>
      <c r="AN3716" s="38"/>
      <c r="AO3716" s="38"/>
      <c r="AP3716" s="38"/>
      <c r="AQ3716" s="38"/>
      <c r="AR3716" s="38"/>
      <c r="AS3716" s="38"/>
      <c r="AT3716" s="38"/>
      <c r="AU3716" s="38"/>
      <c r="AV3716" s="38"/>
      <c r="AW3716" s="38"/>
      <c r="AX3716" s="38"/>
      <c r="AY3716" s="38"/>
      <c r="AZ3716" s="38"/>
      <c r="BA3716" s="38"/>
      <c r="BB3716" s="38"/>
      <c r="BC3716" s="38"/>
      <c r="BD3716" s="38"/>
      <c r="BE3716" s="38"/>
      <c r="BF3716" s="38"/>
      <c r="BG3716" s="38"/>
      <c r="BH3716" s="38"/>
      <c r="BI3716" s="38"/>
      <c r="BJ3716" s="38"/>
      <c r="BK3716" s="38"/>
      <c r="BL3716" s="38"/>
      <c r="BM3716" s="38"/>
      <c r="BN3716" s="38"/>
      <c r="BO3716" s="38"/>
      <c r="BP3716" s="38"/>
      <c r="BQ3716" s="38"/>
    </row>
    <row r="3717">
      <c r="A3717" s="16"/>
      <c r="B3717" s="145"/>
      <c r="C3717" s="146"/>
      <c r="D3717" s="146"/>
      <c r="E3717" s="16"/>
      <c r="F3717" s="91"/>
      <c r="G3717" s="16"/>
      <c r="H3717" s="320" t="str">
        <f t="shared" si="424"/>
        <v/>
      </c>
      <c r="I3717" s="16"/>
      <c r="J3717" s="16"/>
      <c r="K3717" s="16"/>
      <c r="L3717" s="16"/>
      <c r="M3717" s="15"/>
      <c r="N3717" s="15"/>
      <c r="O3717" s="16"/>
      <c r="P3717" s="16"/>
      <c r="Q3717" s="16"/>
      <c r="R3717" s="16"/>
      <c r="S3717" s="37" t="str">
        <f>IFERROR(__xludf.DUMMYFUNCTION("if(not(iserror(index(split(C3717, "" ""),2))), index(split(C3717, "" ""),1),"""")"),"")</f>
        <v/>
      </c>
      <c r="T3717" s="315" t="str">
        <f>IFERROR(__xludf.DUMMYFUNCTION("if(S3717="""",C3717,if(not(iserror(index(split(C3717, "" ""),3))), index(split(C3717, "" ""),3),index(split(C3717, "" ""),2)))"),"")</f>
        <v/>
      </c>
      <c r="U3717" s="38" t="b">
        <f t="shared" si="423"/>
        <v>0</v>
      </c>
      <c r="V3717" s="38"/>
      <c r="W3717" s="40"/>
      <c r="X3717" s="40"/>
      <c r="Y3717" s="40"/>
      <c r="Z3717" s="38"/>
      <c r="AA3717" s="38"/>
      <c r="AB3717" s="38"/>
      <c r="AC3717" s="38"/>
      <c r="AD3717" s="38"/>
      <c r="AE3717" s="38"/>
      <c r="AF3717" s="38"/>
      <c r="AG3717" s="38"/>
      <c r="AH3717" s="38"/>
      <c r="AI3717" s="38"/>
      <c r="AJ3717" s="38"/>
      <c r="AK3717" s="38"/>
      <c r="AL3717" s="38"/>
      <c r="AM3717" s="38"/>
      <c r="AN3717" s="38"/>
      <c r="AO3717" s="38"/>
      <c r="AP3717" s="38"/>
      <c r="AQ3717" s="38"/>
      <c r="AR3717" s="38"/>
      <c r="AS3717" s="38"/>
      <c r="AT3717" s="38"/>
      <c r="AU3717" s="38"/>
      <c r="AV3717" s="38"/>
      <c r="AW3717" s="38"/>
      <c r="AX3717" s="38"/>
      <c r="AY3717" s="38"/>
      <c r="AZ3717" s="38"/>
      <c r="BA3717" s="38"/>
      <c r="BB3717" s="38"/>
      <c r="BC3717" s="38"/>
      <c r="BD3717" s="38"/>
      <c r="BE3717" s="38"/>
      <c r="BF3717" s="38"/>
      <c r="BG3717" s="38"/>
      <c r="BH3717" s="38"/>
      <c r="BI3717" s="38"/>
      <c r="BJ3717" s="38"/>
      <c r="BK3717" s="38"/>
      <c r="BL3717" s="38"/>
      <c r="BM3717" s="38"/>
      <c r="BN3717" s="38"/>
      <c r="BO3717" s="38"/>
      <c r="BP3717" s="38"/>
      <c r="BQ3717" s="38"/>
    </row>
    <row r="3718">
      <c r="A3718" s="16"/>
      <c r="B3718" s="145"/>
      <c r="C3718" s="146"/>
      <c r="D3718" s="146"/>
      <c r="E3718" s="16"/>
      <c r="F3718" s="91"/>
      <c r="G3718" s="16"/>
      <c r="H3718" s="320" t="str">
        <f t="shared" si="424"/>
        <v/>
      </c>
      <c r="I3718" s="16"/>
      <c r="J3718" s="16"/>
      <c r="K3718" s="16"/>
      <c r="L3718" s="16"/>
      <c r="M3718" s="15"/>
      <c r="N3718" s="15"/>
      <c r="O3718" s="16"/>
      <c r="P3718" s="16"/>
      <c r="Q3718" s="16"/>
      <c r="R3718" s="16"/>
      <c r="S3718" s="37" t="str">
        <f>IFERROR(__xludf.DUMMYFUNCTION("if(not(iserror(index(split(C3718, "" ""),2))), index(split(C3718, "" ""),1),"""")"),"")</f>
        <v/>
      </c>
      <c r="T3718" s="315" t="str">
        <f>IFERROR(__xludf.DUMMYFUNCTION("if(S3718="""",C3718,if(not(iserror(index(split(C3718, "" ""),3))), index(split(C3718, "" ""),3),index(split(C3718, "" ""),2)))"),"")</f>
        <v/>
      </c>
      <c r="U3718" s="38" t="b">
        <f t="shared" si="423"/>
        <v>0</v>
      </c>
      <c r="V3718" s="38"/>
      <c r="W3718" s="40"/>
      <c r="X3718" s="40"/>
      <c r="Y3718" s="40"/>
      <c r="Z3718" s="38"/>
      <c r="AA3718" s="38"/>
      <c r="AB3718" s="38"/>
      <c r="AC3718" s="38"/>
      <c r="AD3718" s="38"/>
      <c r="AE3718" s="38"/>
      <c r="AF3718" s="38"/>
      <c r="AG3718" s="38"/>
      <c r="AH3718" s="38"/>
      <c r="AI3718" s="38"/>
      <c r="AJ3718" s="38"/>
      <c r="AK3718" s="38"/>
      <c r="AL3718" s="38"/>
      <c r="AM3718" s="38"/>
      <c r="AN3718" s="38"/>
      <c r="AO3718" s="38"/>
      <c r="AP3718" s="38"/>
      <c r="AQ3718" s="38"/>
      <c r="AR3718" s="38"/>
      <c r="AS3718" s="38"/>
      <c r="AT3718" s="38"/>
      <c r="AU3718" s="38"/>
      <c r="AV3718" s="38"/>
      <c r="AW3718" s="38"/>
      <c r="AX3718" s="38"/>
      <c r="AY3718" s="38"/>
      <c r="AZ3718" s="38"/>
      <c r="BA3718" s="38"/>
      <c r="BB3718" s="38"/>
      <c r="BC3718" s="38"/>
      <c r="BD3718" s="38"/>
      <c r="BE3718" s="38"/>
      <c r="BF3718" s="38"/>
      <c r="BG3718" s="38"/>
      <c r="BH3718" s="38"/>
      <c r="BI3718" s="38"/>
      <c r="BJ3718" s="38"/>
      <c r="BK3718" s="38"/>
      <c r="BL3718" s="38"/>
      <c r="BM3718" s="38"/>
      <c r="BN3718" s="38"/>
      <c r="BO3718" s="38"/>
      <c r="BP3718" s="38"/>
      <c r="BQ3718" s="38"/>
    </row>
    <row r="3719">
      <c r="A3719" s="16"/>
      <c r="B3719" s="145"/>
      <c r="C3719" s="146"/>
      <c r="D3719" s="146"/>
      <c r="E3719" s="16"/>
      <c r="F3719" s="91"/>
      <c r="G3719" s="16"/>
      <c r="H3719" s="320" t="str">
        <f t="shared" si="424"/>
        <v/>
      </c>
      <c r="I3719" s="16"/>
      <c r="J3719" s="16"/>
      <c r="K3719" s="16"/>
      <c r="L3719" s="16"/>
      <c r="M3719" s="15"/>
      <c r="N3719" s="15"/>
      <c r="O3719" s="16"/>
      <c r="P3719" s="16"/>
      <c r="Q3719" s="16"/>
      <c r="R3719" s="16"/>
      <c r="S3719" s="37" t="str">
        <f>IFERROR(__xludf.DUMMYFUNCTION("if(not(iserror(index(split(C3719, "" ""),2))), index(split(C3719, "" ""),1),"""")"),"")</f>
        <v/>
      </c>
      <c r="T3719" s="315" t="str">
        <f>IFERROR(__xludf.DUMMYFUNCTION("if(S3719="""",C3719,if(not(iserror(index(split(C3719, "" ""),3))), index(split(C3719, "" ""),3),index(split(C3719, "" ""),2)))"),"")</f>
        <v/>
      </c>
      <c r="U3719" s="38" t="b">
        <f t="shared" si="423"/>
        <v>0</v>
      </c>
      <c r="V3719" s="38"/>
      <c r="W3719" s="40"/>
      <c r="X3719" s="40"/>
      <c r="Y3719" s="40"/>
      <c r="Z3719" s="38"/>
      <c r="AA3719" s="38"/>
      <c r="AB3719" s="38"/>
      <c r="AC3719" s="38"/>
      <c r="AD3719" s="38"/>
      <c r="AE3719" s="38"/>
      <c r="AF3719" s="38"/>
      <c r="AG3719" s="38"/>
      <c r="AH3719" s="38"/>
      <c r="AI3719" s="38"/>
      <c r="AJ3719" s="38"/>
      <c r="AK3719" s="38"/>
      <c r="AL3719" s="38"/>
      <c r="AM3719" s="38"/>
      <c r="AN3719" s="38"/>
      <c r="AO3719" s="38"/>
      <c r="AP3719" s="38"/>
      <c r="AQ3719" s="38"/>
      <c r="AR3719" s="38"/>
      <c r="AS3719" s="38"/>
      <c r="AT3719" s="38"/>
      <c r="AU3719" s="38"/>
      <c r="AV3719" s="38"/>
      <c r="AW3719" s="38"/>
      <c r="AX3719" s="38"/>
      <c r="AY3719" s="38"/>
      <c r="AZ3719" s="38"/>
      <c r="BA3719" s="38"/>
      <c r="BB3719" s="38"/>
      <c r="BC3719" s="38"/>
      <c r="BD3719" s="38"/>
      <c r="BE3719" s="38"/>
      <c r="BF3719" s="38"/>
      <c r="BG3719" s="38"/>
      <c r="BH3719" s="38"/>
      <c r="BI3719" s="38"/>
      <c r="BJ3719" s="38"/>
      <c r="BK3719" s="38"/>
      <c r="BL3719" s="38"/>
      <c r="BM3719" s="38"/>
      <c r="BN3719" s="38"/>
      <c r="BO3719" s="38"/>
      <c r="BP3719" s="38"/>
      <c r="BQ3719" s="38"/>
    </row>
    <row r="3720">
      <c r="A3720" s="16"/>
      <c r="B3720" s="145"/>
      <c r="C3720" s="146"/>
      <c r="D3720" s="146"/>
      <c r="E3720" s="16"/>
      <c r="F3720" s="91"/>
      <c r="G3720" s="16"/>
      <c r="H3720" s="320" t="str">
        <f t="shared" si="424"/>
        <v/>
      </c>
      <c r="I3720" s="16"/>
      <c r="J3720" s="16"/>
      <c r="K3720" s="16"/>
      <c r="L3720" s="16"/>
      <c r="M3720" s="15"/>
      <c r="N3720" s="15"/>
      <c r="O3720" s="16"/>
      <c r="P3720" s="16"/>
      <c r="Q3720" s="16"/>
      <c r="R3720" s="16"/>
      <c r="S3720" s="37" t="str">
        <f>IFERROR(__xludf.DUMMYFUNCTION("if(not(iserror(index(split(C3720, "" ""),2))), index(split(C3720, "" ""),1),"""")"),"")</f>
        <v/>
      </c>
      <c r="T3720" s="315" t="str">
        <f>IFERROR(__xludf.DUMMYFUNCTION("if(S3720="""",C3720,if(not(iserror(index(split(C3720, "" ""),3))), index(split(C3720, "" ""),3),index(split(C3720, "" ""),2)))"),"")</f>
        <v/>
      </c>
      <c r="U3720" s="38" t="b">
        <f t="shared" si="423"/>
        <v>0</v>
      </c>
      <c r="V3720" s="38"/>
      <c r="W3720" s="40"/>
      <c r="X3720" s="40"/>
      <c r="Y3720" s="40"/>
      <c r="Z3720" s="38"/>
      <c r="AA3720" s="38"/>
      <c r="AB3720" s="38"/>
      <c r="AC3720" s="38"/>
      <c r="AD3720" s="38"/>
      <c r="AE3720" s="38"/>
      <c r="AF3720" s="38"/>
      <c r="AG3720" s="38"/>
      <c r="AH3720" s="38"/>
      <c r="AI3720" s="38"/>
      <c r="AJ3720" s="38"/>
      <c r="AK3720" s="38"/>
      <c r="AL3720" s="38"/>
      <c r="AM3720" s="38"/>
      <c r="AN3720" s="38"/>
      <c r="AO3720" s="38"/>
      <c r="AP3720" s="38"/>
      <c r="AQ3720" s="38"/>
      <c r="AR3720" s="38"/>
      <c r="AS3720" s="38"/>
      <c r="AT3720" s="38"/>
      <c r="AU3720" s="38"/>
      <c r="AV3720" s="38"/>
      <c r="AW3720" s="38"/>
      <c r="AX3720" s="38"/>
      <c r="AY3720" s="38"/>
      <c r="AZ3720" s="38"/>
      <c r="BA3720" s="38"/>
      <c r="BB3720" s="38"/>
      <c r="BC3720" s="38"/>
      <c r="BD3720" s="38"/>
      <c r="BE3720" s="38"/>
      <c r="BF3720" s="38"/>
      <c r="BG3720" s="38"/>
      <c r="BH3720" s="38"/>
      <c r="BI3720" s="38"/>
      <c r="BJ3720" s="38"/>
      <c r="BK3720" s="38"/>
      <c r="BL3720" s="38"/>
      <c r="BM3720" s="38"/>
      <c r="BN3720" s="38"/>
      <c r="BO3720" s="38"/>
      <c r="BP3720" s="38"/>
      <c r="BQ3720" s="38"/>
    </row>
    <row r="3721">
      <c r="A3721" s="16"/>
      <c r="B3721" s="145"/>
      <c r="C3721" s="146"/>
      <c r="D3721" s="146"/>
      <c r="E3721" s="16"/>
      <c r="F3721" s="91"/>
      <c r="G3721" s="16"/>
      <c r="H3721" s="320" t="str">
        <f t="shared" si="424"/>
        <v/>
      </c>
      <c r="I3721" s="16"/>
      <c r="J3721" s="16"/>
      <c r="K3721" s="16"/>
      <c r="L3721" s="16"/>
      <c r="M3721" s="15"/>
      <c r="N3721" s="15"/>
      <c r="O3721" s="16"/>
      <c r="P3721" s="16"/>
      <c r="Q3721" s="16"/>
      <c r="R3721" s="16"/>
      <c r="S3721" s="37" t="str">
        <f>IFERROR(__xludf.DUMMYFUNCTION("if(not(iserror(index(split(C3721, "" ""),2))), index(split(C3721, "" ""),1),"""")"),"")</f>
        <v/>
      </c>
      <c r="T3721" s="315" t="str">
        <f>IFERROR(__xludf.DUMMYFUNCTION("if(S3721="""",C3721,if(not(iserror(index(split(C3721, "" ""),3))), index(split(C3721, "" ""),3),index(split(C3721, "" ""),2)))"),"")</f>
        <v/>
      </c>
      <c r="U3721" s="38" t="b">
        <f t="shared" si="423"/>
        <v>0</v>
      </c>
      <c r="V3721" s="38"/>
      <c r="W3721" s="40"/>
      <c r="X3721" s="40"/>
      <c r="Y3721" s="40"/>
      <c r="Z3721" s="38"/>
      <c r="AA3721" s="38"/>
      <c r="AB3721" s="38"/>
      <c r="AC3721" s="38"/>
      <c r="AD3721" s="38"/>
      <c r="AE3721" s="38"/>
      <c r="AF3721" s="38"/>
      <c r="AG3721" s="38"/>
      <c r="AH3721" s="38"/>
      <c r="AI3721" s="38"/>
      <c r="AJ3721" s="38"/>
      <c r="AK3721" s="38"/>
      <c r="AL3721" s="38"/>
      <c r="AM3721" s="38"/>
      <c r="AN3721" s="38"/>
      <c r="AO3721" s="38"/>
      <c r="AP3721" s="38"/>
      <c r="AQ3721" s="38"/>
      <c r="AR3721" s="38"/>
      <c r="AS3721" s="38"/>
      <c r="AT3721" s="38"/>
      <c r="AU3721" s="38"/>
      <c r="AV3721" s="38"/>
      <c r="AW3721" s="38"/>
      <c r="AX3721" s="38"/>
      <c r="AY3721" s="38"/>
      <c r="AZ3721" s="38"/>
      <c r="BA3721" s="38"/>
      <c r="BB3721" s="38"/>
      <c r="BC3721" s="38"/>
      <c r="BD3721" s="38"/>
      <c r="BE3721" s="38"/>
      <c r="BF3721" s="38"/>
      <c r="BG3721" s="38"/>
      <c r="BH3721" s="38"/>
      <c r="BI3721" s="38"/>
      <c r="BJ3721" s="38"/>
      <c r="BK3721" s="38"/>
      <c r="BL3721" s="38"/>
      <c r="BM3721" s="38"/>
      <c r="BN3721" s="38"/>
      <c r="BO3721" s="38"/>
      <c r="BP3721" s="38"/>
      <c r="BQ3721" s="38"/>
    </row>
    <row r="3722">
      <c r="A3722" s="16"/>
      <c r="B3722" s="145"/>
      <c r="C3722" s="146"/>
      <c r="D3722" s="146"/>
      <c r="E3722" s="16"/>
      <c r="F3722" s="91"/>
      <c r="G3722" s="16"/>
      <c r="H3722" s="320" t="str">
        <f t="shared" si="424"/>
        <v/>
      </c>
      <c r="I3722" s="16"/>
      <c r="J3722" s="16"/>
      <c r="K3722" s="16"/>
      <c r="L3722" s="16"/>
      <c r="M3722" s="15"/>
      <c r="N3722" s="15"/>
      <c r="O3722" s="16"/>
      <c r="P3722" s="16"/>
      <c r="Q3722" s="16"/>
      <c r="R3722" s="16"/>
      <c r="S3722" s="37" t="str">
        <f>IFERROR(__xludf.DUMMYFUNCTION("if(not(iserror(index(split(C3722, "" ""),2))), index(split(C3722, "" ""),1),"""")"),"")</f>
        <v/>
      </c>
      <c r="T3722" s="315" t="str">
        <f>IFERROR(__xludf.DUMMYFUNCTION("if(S3722="""",C3722,if(not(iserror(index(split(C3722, "" ""),3))), index(split(C3722, "" ""),3),index(split(C3722, "" ""),2)))"),"")</f>
        <v/>
      </c>
      <c r="U3722" s="38" t="b">
        <f t="shared" si="423"/>
        <v>0</v>
      </c>
      <c r="V3722" s="38"/>
      <c r="W3722" s="40"/>
      <c r="X3722" s="40"/>
      <c r="Y3722" s="40"/>
      <c r="Z3722" s="38"/>
      <c r="AA3722" s="38"/>
      <c r="AB3722" s="38"/>
      <c r="AC3722" s="38"/>
      <c r="AD3722" s="38"/>
      <c r="AE3722" s="38"/>
      <c r="AF3722" s="38"/>
      <c r="AG3722" s="38"/>
      <c r="AH3722" s="38"/>
      <c r="AI3722" s="38"/>
      <c r="AJ3722" s="38"/>
      <c r="AK3722" s="38"/>
      <c r="AL3722" s="38"/>
      <c r="AM3722" s="38"/>
      <c r="AN3722" s="38"/>
      <c r="AO3722" s="38"/>
      <c r="AP3722" s="38"/>
      <c r="AQ3722" s="38"/>
      <c r="AR3722" s="38"/>
      <c r="AS3722" s="38"/>
      <c r="AT3722" s="38"/>
      <c r="AU3722" s="38"/>
      <c r="AV3722" s="38"/>
      <c r="AW3722" s="38"/>
      <c r="AX3722" s="38"/>
      <c r="AY3722" s="38"/>
      <c r="AZ3722" s="38"/>
      <c r="BA3722" s="38"/>
      <c r="BB3722" s="38"/>
      <c r="BC3722" s="38"/>
      <c r="BD3722" s="38"/>
      <c r="BE3722" s="38"/>
      <c r="BF3722" s="38"/>
      <c r="BG3722" s="38"/>
      <c r="BH3722" s="38"/>
      <c r="BI3722" s="38"/>
      <c r="BJ3722" s="38"/>
      <c r="BK3722" s="38"/>
      <c r="BL3722" s="38"/>
      <c r="BM3722" s="38"/>
      <c r="BN3722" s="38"/>
      <c r="BO3722" s="38"/>
      <c r="BP3722" s="38"/>
      <c r="BQ3722" s="38"/>
    </row>
    <row r="3723">
      <c r="A3723" s="16"/>
      <c r="B3723" s="145"/>
      <c r="C3723" s="146"/>
      <c r="D3723" s="146"/>
      <c r="E3723" s="16"/>
      <c r="F3723" s="91"/>
      <c r="G3723" s="16"/>
      <c r="H3723" s="320" t="str">
        <f t="shared" si="424"/>
        <v/>
      </c>
      <c r="I3723" s="16"/>
      <c r="J3723" s="16"/>
      <c r="K3723" s="16"/>
      <c r="L3723" s="16"/>
      <c r="M3723" s="15"/>
      <c r="N3723" s="15"/>
      <c r="O3723" s="16"/>
      <c r="P3723" s="16"/>
      <c r="Q3723" s="16"/>
      <c r="R3723" s="16"/>
      <c r="S3723" s="37" t="str">
        <f>IFERROR(__xludf.DUMMYFUNCTION("if(not(iserror(index(split(C3723, "" ""),2))), index(split(C3723, "" ""),1),"""")"),"")</f>
        <v/>
      </c>
      <c r="T3723" s="315" t="str">
        <f>IFERROR(__xludf.DUMMYFUNCTION("if(S3723="""",C3723,if(not(iserror(index(split(C3723, "" ""),3))), index(split(C3723, "" ""),3),index(split(C3723, "" ""),2)))"),"")</f>
        <v/>
      </c>
      <c r="U3723" s="38" t="b">
        <f t="shared" si="423"/>
        <v>0</v>
      </c>
      <c r="V3723" s="38"/>
      <c r="W3723" s="40"/>
      <c r="X3723" s="40"/>
      <c r="Y3723" s="40"/>
      <c r="Z3723" s="38"/>
      <c r="AA3723" s="38"/>
      <c r="AB3723" s="38"/>
      <c r="AC3723" s="38"/>
      <c r="AD3723" s="38"/>
      <c r="AE3723" s="38"/>
      <c r="AF3723" s="38"/>
      <c r="AG3723" s="38"/>
      <c r="AH3723" s="38"/>
      <c r="AI3723" s="38"/>
      <c r="AJ3723" s="38"/>
      <c r="AK3723" s="38"/>
      <c r="AL3723" s="38"/>
      <c r="AM3723" s="38"/>
      <c r="AN3723" s="38"/>
      <c r="AO3723" s="38"/>
      <c r="AP3723" s="38"/>
      <c r="AQ3723" s="38"/>
      <c r="AR3723" s="38"/>
      <c r="AS3723" s="38"/>
      <c r="AT3723" s="38"/>
      <c r="AU3723" s="38"/>
      <c r="AV3723" s="38"/>
      <c r="AW3723" s="38"/>
      <c r="AX3723" s="38"/>
      <c r="AY3723" s="38"/>
      <c r="AZ3723" s="38"/>
      <c r="BA3723" s="38"/>
      <c r="BB3723" s="38"/>
      <c r="BC3723" s="38"/>
      <c r="BD3723" s="38"/>
      <c r="BE3723" s="38"/>
      <c r="BF3723" s="38"/>
      <c r="BG3723" s="38"/>
      <c r="BH3723" s="38"/>
      <c r="BI3723" s="38"/>
      <c r="BJ3723" s="38"/>
      <c r="BK3723" s="38"/>
      <c r="BL3723" s="38"/>
      <c r="BM3723" s="38"/>
      <c r="BN3723" s="38"/>
      <c r="BO3723" s="38"/>
      <c r="BP3723" s="38"/>
      <c r="BQ3723" s="38"/>
    </row>
    <row r="3724">
      <c r="A3724" s="16"/>
      <c r="B3724" s="145"/>
      <c r="C3724" s="146"/>
      <c r="D3724" s="146"/>
      <c r="E3724" s="16"/>
      <c r="F3724" s="91"/>
      <c r="G3724" s="16"/>
      <c r="H3724" s="320" t="str">
        <f t="shared" si="424"/>
        <v/>
      </c>
      <c r="I3724" s="16"/>
      <c r="J3724" s="16"/>
      <c r="K3724" s="16"/>
      <c r="L3724" s="16"/>
      <c r="M3724" s="15"/>
      <c r="N3724" s="15"/>
      <c r="O3724" s="16"/>
      <c r="P3724" s="16"/>
      <c r="Q3724" s="16"/>
      <c r="R3724" s="16"/>
      <c r="S3724" s="37" t="str">
        <f>IFERROR(__xludf.DUMMYFUNCTION("if(not(iserror(index(split(C3724, "" ""),2))), index(split(C3724, "" ""),1),"""")"),"")</f>
        <v/>
      </c>
      <c r="T3724" s="315" t="str">
        <f>IFERROR(__xludf.DUMMYFUNCTION("if(S3724="""",C3724,if(not(iserror(index(split(C3724, "" ""),3))), index(split(C3724, "" ""),3),index(split(C3724, "" ""),2)))"),"")</f>
        <v/>
      </c>
      <c r="U3724" s="38" t="b">
        <f t="shared" si="423"/>
        <v>0</v>
      </c>
      <c r="V3724" s="38"/>
      <c r="W3724" s="40"/>
      <c r="X3724" s="40"/>
      <c r="Y3724" s="40"/>
      <c r="Z3724" s="38"/>
      <c r="AA3724" s="38"/>
      <c r="AB3724" s="38"/>
      <c r="AC3724" s="38"/>
      <c r="AD3724" s="38"/>
      <c r="AE3724" s="38"/>
      <c r="AF3724" s="38"/>
      <c r="AG3724" s="38"/>
      <c r="AH3724" s="38"/>
      <c r="AI3724" s="38"/>
      <c r="AJ3724" s="38"/>
      <c r="AK3724" s="38"/>
      <c r="AL3724" s="38"/>
      <c r="AM3724" s="38"/>
      <c r="AN3724" s="38"/>
      <c r="AO3724" s="38"/>
      <c r="AP3724" s="38"/>
      <c r="AQ3724" s="38"/>
      <c r="AR3724" s="38"/>
      <c r="AS3724" s="38"/>
      <c r="AT3724" s="38"/>
      <c r="AU3724" s="38"/>
      <c r="AV3724" s="38"/>
      <c r="AW3724" s="38"/>
      <c r="AX3724" s="38"/>
      <c r="AY3724" s="38"/>
      <c r="AZ3724" s="38"/>
      <c r="BA3724" s="38"/>
      <c r="BB3724" s="38"/>
      <c r="BC3724" s="38"/>
      <c r="BD3724" s="38"/>
      <c r="BE3724" s="38"/>
      <c r="BF3724" s="38"/>
      <c r="BG3724" s="38"/>
      <c r="BH3724" s="38"/>
      <c r="BI3724" s="38"/>
      <c r="BJ3724" s="38"/>
      <c r="BK3724" s="38"/>
      <c r="BL3724" s="38"/>
      <c r="BM3724" s="38"/>
      <c r="BN3724" s="38"/>
      <c r="BO3724" s="38"/>
      <c r="BP3724" s="38"/>
      <c r="BQ3724" s="38"/>
    </row>
    <row r="3725">
      <c r="A3725" s="16"/>
      <c r="B3725" s="145"/>
      <c r="C3725" s="146"/>
      <c r="D3725" s="146"/>
      <c r="E3725" s="16"/>
      <c r="F3725" s="91"/>
      <c r="G3725" s="16"/>
      <c r="H3725" s="320" t="str">
        <f t="shared" si="424"/>
        <v/>
      </c>
      <c r="I3725" s="16"/>
      <c r="J3725" s="16"/>
      <c r="K3725" s="16"/>
      <c r="L3725" s="16"/>
      <c r="M3725" s="15"/>
      <c r="N3725" s="15"/>
      <c r="O3725" s="16"/>
      <c r="P3725" s="16"/>
      <c r="Q3725" s="16"/>
      <c r="R3725" s="16"/>
      <c r="S3725" s="37" t="str">
        <f>IFERROR(__xludf.DUMMYFUNCTION("if(not(iserror(index(split(C3725, "" ""),2))), index(split(C3725, "" ""),1),"""")"),"")</f>
        <v/>
      </c>
      <c r="T3725" s="315" t="str">
        <f>IFERROR(__xludf.DUMMYFUNCTION("if(S3725="""",C3725,if(not(iserror(index(split(C3725, "" ""),3))), index(split(C3725, "" ""),3),index(split(C3725, "" ""),2)))"),"")</f>
        <v/>
      </c>
      <c r="U3725" s="38" t="b">
        <f t="shared" si="423"/>
        <v>0</v>
      </c>
      <c r="V3725" s="38"/>
      <c r="W3725" s="40"/>
      <c r="X3725" s="40"/>
      <c r="Y3725" s="40"/>
      <c r="Z3725" s="38"/>
      <c r="AA3725" s="38"/>
      <c r="AB3725" s="38"/>
      <c r="AC3725" s="38"/>
      <c r="AD3725" s="38"/>
      <c r="AE3725" s="38"/>
      <c r="AF3725" s="38"/>
      <c r="AG3725" s="38"/>
      <c r="AH3725" s="38"/>
      <c r="AI3725" s="38"/>
      <c r="AJ3725" s="38"/>
      <c r="AK3725" s="38"/>
      <c r="AL3725" s="38"/>
      <c r="AM3725" s="38"/>
      <c r="AN3725" s="38"/>
      <c r="AO3725" s="38"/>
      <c r="AP3725" s="38"/>
      <c r="AQ3725" s="38"/>
      <c r="AR3725" s="38"/>
      <c r="AS3725" s="38"/>
      <c r="AT3725" s="38"/>
      <c r="AU3725" s="38"/>
      <c r="AV3725" s="38"/>
      <c r="AW3725" s="38"/>
      <c r="AX3725" s="38"/>
      <c r="AY3725" s="38"/>
      <c r="AZ3725" s="38"/>
      <c r="BA3725" s="38"/>
      <c r="BB3725" s="38"/>
      <c r="BC3725" s="38"/>
      <c r="BD3725" s="38"/>
      <c r="BE3725" s="38"/>
      <c r="BF3725" s="38"/>
      <c r="BG3725" s="38"/>
      <c r="BH3725" s="38"/>
      <c r="BI3725" s="38"/>
      <c r="BJ3725" s="38"/>
      <c r="BK3725" s="38"/>
      <c r="BL3725" s="38"/>
      <c r="BM3725" s="38"/>
      <c r="BN3725" s="38"/>
      <c r="BO3725" s="38"/>
      <c r="BP3725" s="38"/>
      <c r="BQ3725" s="38"/>
    </row>
    <row r="3726">
      <c r="A3726" s="16"/>
      <c r="B3726" s="145"/>
      <c r="C3726" s="146"/>
      <c r="D3726" s="146"/>
      <c r="E3726" s="16"/>
      <c r="F3726" s="91"/>
      <c r="G3726" s="16"/>
      <c r="H3726" s="320" t="str">
        <f t="shared" si="424"/>
        <v/>
      </c>
      <c r="I3726" s="16"/>
      <c r="J3726" s="16"/>
      <c r="K3726" s="16"/>
      <c r="L3726" s="16"/>
      <c r="M3726" s="15"/>
      <c r="N3726" s="15"/>
      <c r="O3726" s="16"/>
      <c r="P3726" s="16"/>
      <c r="Q3726" s="16"/>
      <c r="R3726" s="16"/>
      <c r="S3726" s="37" t="str">
        <f>IFERROR(__xludf.DUMMYFUNCTION("if(not(iserror(index(split(C3726, "" ""),2))), index(split(C3726, "" ""),1),"""")"),"")</f>
        <v/>
      </c>
      <c r="T3726" s="315" t="str">
        <f>IFERROR(__xludf.DUMMYFUNCTION("if(S3726="""",C3726,if(not(iserror(index(split(C3726, "" ""),3))), index(split(C3726, "" ""),3),index(split(C3726, "" ""),2)))"),"")</f>
        <v/>
      </c>
      <c r="U3726" s="38" t="b">
        <f t="shared" si="423"/>
        <v>0</v>
      </c>
      <c r="V3726" s="38"/>
      <c r="W3726" s="40"/>
      <c r="X3726" s="40"/>
      <c r="Y3726" s="40"/>
      <c r="Z3726" s="38"/>
      <c r="AA3726" s="38"/>
      <c r="AB3726" s="38"/>
      <c r="AC3726" s="38"/>
      <c r="AD3726" s="38"/>
      <c r="AE3726" s="38"/>
      <c r="AF3726" s="38"/>
      <c r="AG3726" s="38"/>
      <c r="AH3726" s="38"/>
      <c r="AI3726" s="38"/>
      <c r="AJ3726" s="38"/>
      <c r="AK3726" s="38"/>
      <c r="AL3726" s="38"/>
      <c r="AM3726" s="38"/>
      <c r="AN3726" s="38"/>
      <c r="AO3726" s="38"/>
      <c r="AP3726" s="38"/>
      <c r="AQ3726" s="38"/>
      <c r="AR3726" s="38"/>
      <c r="AS3726" s="38"/>
      <c r="AT3726" s="38"/>
      <c r="AU3726" s="38"/>
      <c r="AV3726" s="38"/>
      <c r="AW3726" s="38"/>
      <c r="AX3726" s="38"/>
      <c r="AY3726" s="38"/>
      <c r="AZ3726" s="38"/>
      <c r="BA3726" s="38"/>
      <c r="BB3726" s="38"/>
      <c r="BC3726" s="38"/>
      <c r="BD3726" s="38"/>
      <c r="BE3726" s="38"/>
      <c r="BF3726" s="38"/>
      <c r="BG3726" s="38"/>
      <c r="BH3726" s="38"/>
      <c r="BI3726" s="38"/>
      <c r="BJ3726" s="38"/>
      <c r="BK3726" s="38"/>
      <c r="BL3726" s="38"/>
      <c r="BM3726" s="38"/>
      <c r="BN3726" s="38"/>
      <c r="BO3726" s="38"/>
      <c r="BP3726" s="38"/>
      <c r="BQ3726" s="38"/>
    </row>
    <row r="3727">
      <c r="A3727" s="16"/>
      <c r="B3727" s="145"/>
      <c r="C3727" s="146"/>
      <c r="D3727" s="146"/>
      <c r="E3727" s="16"/>
      <c r="F3727" s="91"/>
      <c r="G3727" s="16"/>
      <c r="H3727" s="320" t="str">
        <f t="shared" si="424"/>
        <v/>
      </c>
      <c r="I3727" s="16"/>
      <c r="J3727" s="16"/>
      <c r="K3727" s="16"/>
      <c r="L3727" s="16"/>
      <c r="M3727" s="15"/>
      <c r="N3727" s="15"/>
      <c r="O3727" s="16"/>
      <c r="P3727" s="16"/>
      <c r="Q3727" s="16"/>
      <c r="R3727" s="16"/>
      <c r="S3727" s="37" t="str">
        <f>IFERROR(__xludf.DUMMYFUNCTION("if(not(iserror(index(split(C3727, "" ""),2))), index(split(C3727, "" ""),1),"""")"),"")</f>
        <v/>
      </c>
      <c r="T3727" s="315" t="str">
        <f>IFERROR(__xludf.DUMMYFUNCTION("if(S3727="""",C3727,if(not(iserror(index(split(C3727, "" ""),3))), index(split(C3727, "" ""),3),index(split(C3727, "" ""),2)))"),"")</f>
        <v/>
      </c>
      <c r="U3727" s="38" t="b">
        <f t="shared" si="423"/>
        <v>0</v>
      </c>
      <c r="V3727" s="38"/>
      <c r="W3727" s="40"/>
      <c r="X3727" s="40"/>
      <c r="Y3727" s="40"/>
      <c r="Z3727" s="38"/>
      <c r="AA3727" s="38"/>
      <c r="AB3727" s="38"/>
      <c r="AC3727" s="38"/>
      <c r="AD3727" s="38"/>
      <c r="AE3727" s="38"/>
      <c r="AF3727" s="38"/>
      <c r="AG3727" s="38"/>
      <c r="AH3727" s="38"/>
      <c r="AI3727" s="38"/>
      <c r="AJ3727" s="38"/>
      <c r="AK3727" s="38"/>
      <c r="AL3727" s="38"/>
      <c r="AM3727" s="38"/>
      <c r="AN3727" s="38"/>
      <c r="AO3727" s="38"/>
      <c r="AP3727" s="38"/>
      <c r="AQ3727" s="38"/>
      <c r="AR3727" s="38"/>
      <c r="AS3727" s="38"/>
      <c r="AT3727" s="38"/>
      <c r="AU3727" s="38"/>
      <c r="AV3727" s="38"/>
      <c r="AW3727" s="38"/>
      <c r="AX3727" s="38"/>
      <c r="AY3727" s="38"/>
      <c r="AZ3727" s="38"/>
      <c r="BA3727" s="38"/>
      <c r="BB3727" s="38"/>
      <c r="BC3727" s="38"/>
      <c r="BD3727" s="38"/>
      <c r="BE3727" s="38"/>
      <c r="BF3727" s="38"/>
      <c r="BG3727" s="38"/>
      <c r="BH3727" s="38"/>
      <c r="BI3727" s="38"/>
      <c r="BJ3727" s="38"/>
      <c r="BK3727" s="38"/>
      <c r="BL3727" s="38"/>
      <c r="BM3727" s="38"/>
      <c r="BN3727" s="38"/>
      <c r="BO3727" s="38"/>
      <c r="BP3727" s="38"/>
      <c r="BQ3727" s="38"/>
    </row>
    <row r="3728">
      <c r="A3728" s="16"/>
      <c r="B3728" s="145"/>
      <c r="C3728" s="146"/>
      <c r="D3728" s="146"/>
      <c r="E3728" s="16"/>
      <c r="F3728" s="91"/>
      <c r="G3728" s="16"/>
      <c r="H3728" s="320" t="str">
        <f t="shared" si="424"/>
        <v/>
      </c>
      <c r="I3728" s="16"/>
      <c r="J3728" s="16"/>
      <c r="K3728" s="16"/>
      <c r="L3728" s="16"/>
      <c r="M3728" s="15"/>
      <c r="N3728" s="15"/>
      <c r="O3728" s="16"/>
      <c r="P3728" s="16"/>
      <c r="Q3728" s="16"/>
      <c r="R3728" s="16"/>
      <c r="S3728" s="37" t="str">
        <f>IFERROR(__xludf.DUMMYFUNCTION("if(not(iserror(index(split(C3728, "" ""),2))), index(split(C3728, "" ""),1),"""")"),"")</f>
        <v/>
      </c>
      <c r="T3728" s="315" t="str">
        <f>IFERROR(__xludf.DUMMYFUNCTION("if(S3728="""",C3728,if(not(iserror(index(split(C3728, "" ""),3))), index(split(C3728, "" ""),3),index(split(C3728, "" ""),2)))"),"")</f>
        <v/>
      </c>
      <c r="U3728" s="38" t="b">
        <f t="shared" si="423"/>
        <v>0</v>
      </c>
      <c r="V3728" s="38"/>
      <c r="W3728" s="40"/>
      <c r="X3728" s="40"/>
      <c r="Y3728" s="40"/>
      <c r="Z3728" s="38"/>
      <c r="AA3728" s="38"/>
      <c r="AB3728" s="38"/>
      <c r="AC3728" s="38"/>
      <c r="AD3728" s="38"/>
      <c r="AE3728" s="38"/>
      <c r="AF3728" s="38"/>
      <c r="AG3728" s="38"/>
      <c r="AH3728" s="38"/>
      <c r="AI3728" s="38"/>
      <c r="AJ3728" s="38"/>
      <c r="AK3728" s="38"/>
      <c r="AL3728" s="38"/>
      <c r="AM3728" s="38"/>
      <c r="AN3728" s="38"/>
      <c r="AO3728" s="38"/>
      <c r="AP3728" s="38"/>
      <c r="AQ3728" s="38"/>
      <c r="AR3728" s="38"/>
      <c r="AS3728" s="38"/>
      <c r="AT3728" s="38"/>
      <c r="AU3728" s="38"/>
      <c r="AV3728" s="38"/>
      <c r="AW3728" s="38"/>
      <c r="AX3728" s="38"/>
      <c r="AY3728" s="38"/>
      <c r="AZ3728" s="38"/>
      <c r="BA3728" s="38"/>
      <c r="BB3728" s="38"/>
      <c r="BC3728" s="38"/>
      <c r="BD3728" s="38"/>
      <c r="BE3728" s="38"/>
      <c r="BF3728" s="38"/>
      <c r="BG3728" s="38"/>
      <c r="BH3728" s="38"/>
      <c r="BI3728" s="38"/>
      <c r="BJ3728" s="38"/>
      <c r="BK3728" s="38"/>
      <c r="BL3728" s="38"/>
      <c r="BM3728" s="38"/>
      <c r="BN3728" s="38"/>
      <c r="BO3728" s="38"/>
      <c r="BP3728" s="38"/>
      <c r="BQ3728" s="38"/>
    </row>
    <row r="3729">
      <c r="A3729" s="16"/>
      <c r="B3729" s="145"/>
      <c r="C3729" s="146"/>
      <c r="D3729" s="146"/>
      <c r="E3729" s="16"/>
      <c r="F3729" s="91"/>
      <c r="G3729" s="16"/>
      <c r="H3729" s="320" t="str">
        <f t="shared" si="424"/>
        <v/>
      </c>
      <c r="I3729" s="16"/>
      <c r="J3729" s="16"/>
      <c r="K3729" s="16"/>
      <c r="L3729" s="16"/>
      <c r="M3729" s="15"/>
      <c r="N3729" s="15"/>
      <c r="O3729" s="16"/>
      <c r="P3729" s="16"/>
      <c r="Q3729" s="16"/>
      <c r="R3729" s="16"/>
      <c r="S3729" s="37" t="str">
        <f>IFERROR(__xludf.DUMMYFUNCTION("if(not(iserror(index(split(C3729, "" ""),2))), index(split(C3729, "" ""),1),"""")"),"")</f>
        <v/>
      </c>
      <c r="T3729" s="315" t="str">
        <f>IFERROR(__xludf.DUMMYFUNCTION("if(S3729="""",C3729,if(not(iserror(index(split(C3729, "" ""),3))), index(split(C3729, "" ""),3),index(split(C3729, "" ""),2)))"),"")</f>
        <v/>
      </c>
      <c r="U3729" s="38" t="b">
        <f t="shared" si="423"/>
        <v>0</v>
      </c>
      <c r="V3729" s="38"/>
      <c r="W3729" s="40"/>
      <c r="X3729" s="40"/>
      <c r="Y3729" s="40"/>
      <c r="Z3729" s="38"/>
      <c r="AA3729" s="38"/>
      <c r="AB3729" s="38"/>
      <c r="AC3729" s="38"/>
      <c r="AD3729" s="38"/>
      <c r="AE3729" s="38"/>
      <c r="AF3729" s="38"/>
      <c r="AG3729" s="38"/>
      <c r="AH3729" s="38"/>
      <c r="AI3729" s="38"/>
      <c r="AJ3729" s="38"/>
      <c r="AK3729" s="38"/>
      <c r="AL3729" s="38"/>
      <c r="AM3729" s="38"/>
      <c r="AN3729" s="38"/>
      <c r="AO3729" s="38"/>
      <c r="AP3729" s="38"/>
      <c r="AQ3729" s="38"/>
      <c r="AR3729" s="38"/>
      <c r="AS3729" s="38"/>
      <c r="AT3729" s="38"/>
      <c r="AU3729" s="38"/>
      <c r="AV3729" s="38"/>
      <c r="AW3729" s="38"/>
      <c r="AX3729" s="38"/>
      <c r="AY3729" s="38"/>
      <c r="AZ3729" s="38"/>
      <c r="BA3729" s="38"/>
      <c r="BB3729" s="38"/>
      <c r="BC3729" s="38"/>
      <c r="BD3729" s="38"/>
      <c r="BE3729" s="38"/>
      <c r="BF3729" s="38"/>
      <c r="BG3729" s="38"/>
      <c r="BH3729" s="38"/>
      <c r="BI3729" s="38"/>
      <c r="BJ3729" s="38"/>
      <c r="BK3729" s="38"/>
      <c r="BL3729" s="38"/>
      <c r="BM3729" s="38"/>
      <c r="BN3729" s="38"/>
      <c r="BO3729" s="38"/>
      <c r="BP3729" s="38"/>
      <c r="BQ3729" s="38"/>
    </row>
    <row r="3730">
      <c r="A3730" s="16"/>
      <c r="B3730" s="145"/>
      <c r="C3730" s="146"/>
      <c r="D3730" s="146"/>
      <c r="E3730" s="16"/>
      <c r="F3730" s="91"/>
      <c r="G3730" s="16"/>
      <c r="H3730" s="320" t="str">
        <f t="shared" si="424"/>
        <v/>
      </c>
      <c r="I3730" s="16"/>
      <c r="J3730" s="16"/>
      <c r="K3730" s="16"/>
      <c r="L3730" s="16"/>
      <c r="M3730" s="15"/>
      <c r="N3730" s="15"/>
      <c r="O3730" s="16"/>
      <c r="P3730" s="16"/>
      <c r="Q3730" s="16"/>
      <c r="R3730" s="16"/>
      <c r="S3730" s="37" t="str">
        <f>IFERROR(__xludf.DUMMYFUNCTION("if(not(iserror(index(split(C3730, "" ""),2))), index(split(C3730, "" ""),1),"""")"),"")</f>
        <v/>
      </c>
      <c r="T3730" s="315" t="str">
        <f>IFERROR(__xludf.DUMMYFUNCTION("if(S3730="""",C3730,if(not(iserror(index(split(C3730, "" ""),3))), index(split(C3730, "" ""),3),index(split(C3730, "" ""),2)))"),"")</f>
        <v/>
      </c>
      <c r="U3730" s="38" t="b">
        <f t="shared" si="423"/>
        <v>0</v>
      </c>
      <c r="V3730" s="38"/>
      <c r="W3730" s="40"/>
      <c r="X3730" s="40"/>
      <c r="Y3730" s="40"/>
      <c r="Z3730" s="38"/>
      <c r="AA3730" s="38"/>
      <c r="AB3730" s="38"/>
      <c r="AC3730" s="38"/>
      <c r="AD3730" s="38"/>
      <c r="AE3730" s="38"/>
      <c r="AF3730" s="38"/>
      <c r="AG3730" s="38"/>
      <c r="AH3730" s="38"/>
      <c r="AI3730" s="38"/>
      <c r="AJ3730" s="38"/>
      <c r="AK3730" s="38"/>
      <c r="AL3730" s="38"/>
      <c r="AM3730" s="38"/>
      <c r="AN3730" s="38"/>
      <c r="AO3730" s="38"/>
      <c r="AP3730" s="38"/>
      <c r="AQ3730" s="38"/>
      <c r="AR3730" s="38"/>
      <c r="AS3730" s="38"/>
      <c r="AT3730" s="38"/>
      <c r="AU3730" s="38"/>
      <c r="AV3730" s="38"/>
      <c r="AW3730" s="38"/>
      <c r="AX3730" s="38"/>
      <c r="AY3730" s="38"/>
      <c r="AZ3730" s="38"/>
      <c r="BA3730" s="38"/>
      <c r="BB3730" s="38"/>
      <c r="BC3730" s="38"/>
      <c r="BD3730" s="38"/>
      <c r="BE3730" s="38"/>
      <c r="BF3730" s="38"/>
      <c r="BG3730" s="38"/>
      <c r="BH3730" s="38"/>
      <c r="BI3730" s="38"/>
      <c r="BJ3730" s="38"/>
      <c r="BK3730" s="38"/>
      <c r="BL3730" s="38"/>
      <c r="BM3730" s="38"/>
      <c r="BN3730" s="38"/>
      <c r="BO3730" s="38"/>
      <c r="BP3730" s="38"/>
      <c r="BQ3730" s="38"/>
    </row>
    <row r="3731">
      <c r="A3731" s="16"/>
      <c r="B3731" s="145"/>
      <c r="C3731" s="146"/>
      <c r="D3731" s="146"/>
      <c r="E3731" s="16"/>
      <c r="F3731" s="91"/>
      <c r="G3731" s="16"/>
      <c r="H3731" s="320" t="str">
        <f t="shared" si="424"/>
        <v/>
      </c>
      <c r="I3731" s="16"/>
      <c r="J3731" s="16"/>
      <c r="K3731" s="16"/>
      <c r="L3731" s="16"/>
      <c r="M3731" s="15"/>
      <c r="N3731" s="15"/>
      <c r="O3731" s="16"/>
      <c r="P3731" s="16"/>
      <c r="Q3731" s="16"/>
      <c r="R3731" s="16"/>
      <c r="S3731" s="37" t="str">
        <f>IFERROR(__xludf.DUMMYFUNCTION("if(not(iserror(index(split(C3731, "" ""),2))), index(split(C3731, "" ""),1),"""")"),"")</f>
        <v/>
      </c>
      <c r="T3731" s="315" t="str">
        <f>IFERROR(__xludf.DUMMYFUNCTION("if(S3731="""",C3731,if(not(iserror(index(split(C3731, "" ""),3))), index(split(C3731, "" ""),3),index(split(C3731, "" ""),2)))"),"")</f>
        <v/>
      </c>
      <c r="U3731" s="38" t="b">
        <f t="shared" si="423"/>
        <v>0</v>
      </c>
      <c r="V3731" s="38"/>
      <c r="W3731" s="40"/>
      <c r="X3731" s="40"/>
      <c r="Y3731" s="40"/>
      <c r="Z3731" s="38"/>
      <c r="AA3731" s="38"/>
      <c r="AB3731" s="38"/>
      <c r="AC3731" s="38"/>
      <c r="AD3731" s="38"/>
      <c r="AE3731" s="38"/>
      <c r="AF3731" s="38"/>
      <c r="AG3731" s="38"/>
      <c r="AH3731" s="38"/>
      <c r="AI3731" s="38"/>
      <c r="AJ3731" s="38"/>
      <c r="AK3731" s="38"/>
      <c r="AL3731" s="38"/>
      <c r="AM3731" s="38"/>
      <c r="AN3731" s="38"/>
      <c r="AO3731" s="38"/>
      <c r="AP3731" s="38"/>
      <c r="AQ3731" s="38"/>
      <c r="AR3731" s="38"/>
      <c r="AS3731" s="38"/>
      <c r="AT3731" s="38"/>
      <c r="AU3731" s="38"/>
      <c r="AV3731" s="38"/>
      <c r="AW3731" s="38"/>
      <c r="AX3731" s="38"/>
      <c r="AY3731" s="38"/>
      <c r="AZ3731" s="38"/>
      <c r="BA3731" s="38"/>
      <c r="BB3731" s="38"/>
      <c r="BC3731" s="38"/>
      <c r="BD3731" s="38"/>
      <c r="BE3731" s="38"/>
      <c r="BF3731" s="38"/>
      <c r="BG3731" s="38"/>
      <c r="BH3731" s="38"/>
      <c r="BI3731" s="38"/>
      <c r="BJ3731" s="38"/>
      <c r="BK3731" s="38"/>
      <c r="BL3731" s="38"/>
      <c r="BM3731" s="38"/>
      <c r="BN3731" s="38"/>
      <c r="BO3731" s="38"/>
      <c r="BP3731" s="38"/>
      <c r="BQ3731" s="38"/>
    </row>
    <row r="3732">
      <c r="A3732" s="16"/>
      <c r="B3732" s="145"/>
      <c r="C3732" s="146"/>
      <c r="D3732" s="146"/>
      <c r="E3732" s="16"/>
      <c r="F3732" s="91"/>
      <c r="G3732" s="16"/>
      <c r="H3732" s="320" t="str">
        <f t="shared" si="424"/>
        <v/>
      </c>
      <c r="I3732" s="16"/>
      <c r="J3732" s="16"/>
      <c r="K3732" s="16"/>
      <c r="L3732" s="16"/>
      <c r="M3732" s="15"/>
      <c r="N3732" s="15"/>
      <c r="O3732" s="16"/>
      <c r="P3732" s="16"/>
      <c r="Q3732" s="16"/>
      <c r="R3732" s="16"/>
      <c r="S3732" s="37" t="str">
        <f>IFERROR(__xludf.DUMMYFUNCTION("if(not(iserror(index(split(C3732, "" ""),2))), index(split(C3732, "" ""),1),"""")"),"")</f>
        <v/>
      </c>
      <c r="T3732" s="315" t="str">
        <f>IFERROR(__xludf.DUMMYFUNCTION("if(S3732="""",C3732,if(not(iserror(index(split(C3732, "" ""),3))), index(split(C3732, "" ""),3),index(split(C3732, "" ""),2)))"),"")</f>
        <v/>
      </c>
      <c r="U3732" s="38" t="b">
        <f t="shared" si="423"/>
        <v>0</v>
      </c>
      <c r="V3732" s="38"/>
      <c r="W3732" s="40"/>
      <c r="X3732" s="40"/>
      <c r="Y3732" s="40"/>
      <c r="Z3732" s="38"/>
      <c r="AA3732" s="38"/>
      <c r="AB3732" s="38"/>
      <c r="AC3732" s="38"/>
      <c r="AD3732" s="38"/>
      <c r="AE3732" s="38"/>
      <c r="AF3732" s="38"/>
      <c r="AG3732" s="38"/>
      <c r="AH3732" s="38"/>
      <c r="AI3732" s="38"/>
      <c r="AJ3732" s="38"/>
      <c r="AK3732" s="38"/>
      <c r="AL3732" s="38"/>
      <c r="AM3732" s="38"/>
      <c r="AN3732" s="38"/>
      <c r="AO3732" s="38"/>
      <c r="AP3732" s="38"/>
      <c r="AQ3732" s="38"/>
      <c r="AR3732" s="38"/>
      <c r="AS3732" s="38"/>
      <c r="AT3732" s="38"/>
      <c r="AU3732" s="38"/>
      <c r="AV3732" s="38"/>
      <c r="AW3732" s="38"/>
      <c r="AX3732" s="38"/>
      <c r="AY3732" s="38"/>
      <c r="AZ3732" s="38"/>
      <c r="BA3732" s="38"/>
      <c r="BB3732" s="38"/>
      <c r="BC3732" s="38"/>
      <c r="BD3732" s="38"/>
      <c r="BE3732" s="38"/>
      <c r="BF3732" s="38"/>
      <c r="BG3732" s="38"/>
      <c r="BH3732" s="38"/>
      <c r="BI3732" s="38"/>
      <c r="BJ3732" s="38"/>
      <c r="BK3732" s="38"/>
      <c r="BL3732" s="38"/>
      <c r="BM3732" s="38"/>
      <c r="BN3732" s="38"/>
      <c r="BO3732" s="38"/>
      <c r="BP3732" s="38"/>
      <c r="BQ3732" s="38"/>
    </row>
    <row r="3733">
      <c r="A3733" s="16"/>
      <c r="B3733" s="145"/>
      <c r="C3733" s="146"/>
      <c r="D3733" s="146"/>
      <c r="E3733" s="16"/>
      <c r="F3733" s="91"/>
      <c r="G3733" s="16"/>
      <c r="H3733" s="320" t="str">
        <f t="shared" si="424"/>
        <v/>
      </c>
      <c r="I3733" s="16"/>
      <c r="J3733" s="16"/>
      <c r="K3733" s="16"/>
      <c r="L3733" s="16"/>
      <c r="M3733" s="15"/>
      <c r="N3733" s="15"/>
      <c r="O3733" s="16"/>
      <c r="P3733" s="16"/>
      <c r="Q3733" s="16"/>
      <c r="R3733" s="16"/>
      <c r="S3733" s="37" t="str">
        <f>IFERROR(__xludf.DUMMYFUNCTION("if(not(iserror(index(split(C3733, "" ""),2))), index(split(C3733, "" ""),1),"""")"),"")</f>
        <v/>
      </c>
      <c r="T3733" s="315" t="str">
        <f>IFERROR(__xludf.DUMMYFUNCTION("if(S3733="""",C3733,if(not(iserror(index(split(C3733, "" ""),3))), index(split(C3733, "" ""),3),index(split(C3733, "" ""),2)))"),"")</f>
        <v/>
      </c>
      <c r="U3733" s="38" t="b">
        <f t="shared" si="423"/>
        <v>0</v>
      </c>
      <c r="V3733" s="38"/>
      <c r="W3733" s="40"/>
      <c r="X3733" s="40"/>
      <c r="Y3733" s="40"/>
      <c r="Z3733" s="38"/>
      <c r="AA3733" s="38"/>
      <c r="AB3733" s="38"/>
      <c r="AC3733" s="38"/>
      <c r="AD3733" s="38"/>
      <c r="AE3733" s="38"/>
      <c r="AF3733" s="38"/>
      <c r="AG3733" s="38"/>
      <c r="AH3733" s="38"/>
      <c r="AI3733" s="38"/>
      <c r="AJ3733" s="38"/>
      <c r="AK3733" s="38"/>
      <c r="AL3733" s="38"/>
      <c r="AM3733" s="38"/>
      <c r="AN3733" s="38"/>
      <c r="AO3733" s="38"/>
      <c r="AP3733" s="38"/>
      <c r="AQ3733" s="38"/>
      <c r="AR3733" s="38"/>
      <c r="AS3733" s="38"/>
      <c r="AT3733" s="38"/>
      <c r="AU3733" s="38"/>
      <c r="AV3733" s="38"/>
      <c r="AW3733" s="38"/>
      <c r="AX3733" s="38"/>
      <c r="AY3733" s="38"/>
      <c r="AZ3733" s="38"/>
      <c r="BA3733" s="38"/>
      <c r="BB3733" s="38"/>
      <c r="BC3733" s="38"/>
      <c r="BD3733" s="38"/>
      <c r="BE3733" s="38"/>
      <c r="BF3733" s="38"/>
      <c r="BG3733" s="38"/>
      <c r="BH3733" s="38"/>
      <c r="BI3733" s="38"/>
      <c r="BJ3733" s="38"/>
      <c r="BK3733" s="38"/>
      <c r="BL3733" s="38"/>
      <c r="BM3733" s="38"/>
      <c r="BN3733" s="38"/>
      <c r="BO3733" s="38"/>
      <c r="BP3733" s="38"/>
      <c r="BQ3733" s="38"/>
    </row>
    <row r="3734">
      <c r="A3734" s="16"/>
      <c r="B3734" s="145"/>
      <c r="C3734" s="146"/>
      <c r="D3734" s="146"/>
      <c r="E3734" s="16"/>
      <c r="F3734" s="91"/>
      <c r="G3734" s="16"/>
      <c r="H3734" s="320" t="str">
        <f t="shared" si="424"/>
        <v/>
      </c>
      <c r="I3734" s="16"/>
      <c r="J3734" s="16"/>
      <c r="K3734" s="16"/>
      <c r="L3734" s="16"/>
      <c r="M3734" s="15"/>
      <c r="N3734" s="15"/>
      <c r="O3734" s="16"/>
      <c r="P3734" s="16"/>
      <c r="Q3734" s="16"/>
      <c r="R3734" s="16"/>
      <c r="S3734" s="37" t="str">
        <f>IFERROR(__xludf.DUMMYFUNCTION("if(not(iserror(index(split(C3734, "" ""),2))), index(split(C3734, "" ""),1),"""")"),"")</f>
        <v/>
      </c>
      <c r="T3734" s="315" t="str">
        <f>IFERROR(__xludf.DUMMYFUNCTION("if(S3734="""",C3734,if(not(iserror(index(split(C3734, "" ""),3))), index(split(C3734, "" ""),3),index(split(C3734, "" ""),2)))"),"")</f>
        <v/>
      </c>
      <c r="U3734" s="38" t="b">
        <f t="shared" si="423"/>
        <v>0</v>
      </c>
      <c r="V3734" s="38"/>
      <c r="W3734" s="40"/>
      <c r="X3734" s="40"/>
      <c r="Y3734" s="40"/>
      <c r="Z3734" s="38"/>
      <c r="AA3734" s="38"/>
      <c r="AB3734" s="38"/>
      <c r="AC3734" s="38"/>
      <c r="AD3734" s="38"/>
      <c r="AE3734" s="38"/>
      <c r="AF3734" s="38"/>
      <c r="AG3734" s="38"/>
      <c r="AH3734" s="38"/>
      <c r="AI3734" s="38"/>
      <c r="AJ3734" s="38"/>
      <c r="AK3734" s="38"/>
      <c r="AL3734" s="38"/>
      <c r="AM3734" s="38"/>
      <c r="AN3734" s="38"/>
      <c r="AO3734" s="38"/>
      <c r="AP3734" s="38"/>
      <c r="AQ3734" s="38"/>
      <c r="AR3734" s="38"/>
      <c r="AS3734" s="38"/>
      <c r="AT3734" s="38"/>
      <c r="AU3734" s="38"/>
      <c r="AV3734" s="38"/>
      <c r="AW3734" s="38"/>
      <c r="AX3734" s="38"/>
      <c r="AY3734" s="38"/>
      <c r="AZ3734" s="38"/>
      <c r="BA3734" s="38"/>
      <c r="BB3734" s="38"/>
      <c r="BC3734" s="38"/>
      <c r="BD3734" s="38"/>
      <c r="BE3734" s="38"/>
      <c r="BF3734" s="38"/>
      <c r="BG3734" s="38"/>
      <c r="BH3734" s="38"/>
      <c r="BI3734" s="38"/>
      <c r="BJ3734" s="38"/>
      <c r="BK3734" s="38"/>
      <c r="BL3734" s="38"/>
      <c r="BM3734" s="38"/>
      <c r="BN3734" s="38"/>
      <c r="BO3734" s="38"/>
      <c r="BP3734" s="38"/>
      <c r="BQ3734" s="38"/>
    </row>
    <row r="3735">
      <c r="A3735" s="16"/>
      <c r="B3735" s="145"/>
      <c r="C3735" s="146"/>
      <c r="D3735" s="146"/>
      <c r="E3735" s="16"/>
      <c r="F3735" s="91"/>
      <c r="G3735" s="16"/>
      <c r="H3735" s="320" t="str">
        <f t="shared" si="424"/>
        <v/>
      </c>
      <c r="I3735" s="16"/>
      <c r="J3735" s="16"/>
      <c r="K3735" s="16"/>
      <c r="L3735" s="16"/>
      <c r="M3735" s="15"/>
      <c r="N3735" s="15"/>
      <c r="O3735" s="16"/>
      <c r="P3735" s="16"/>
      <c r="Q3735" s="16"/>
      <c r="R3735" s="16"/>
      <c r="S3735" s="37" t="str">
        <f>IFERROR(__xludf.DUMMYFUNCTION("if(not(iserror(index(split(C3735, "" ""),2))), index(split(C3735, "" ""),1),"""")"),"")</f>
        <v/>
      </c>
      <c r="T3735" s="315" t="str">
        <f>IFERROR(__xludf.DUMMYFUNCTION("if(S3735="""",C3735,if(not(iserror(index(split(C3735, "" ""),3))), index(split(C3735, "" ""),3),index(split(C3735, "" ""),2)))"),"")</f>
        <v/>
      </c>
      <c r="U3735" s="38" t="b">
        <f t="shared" si="423"/>
        <v>0</v>
      </c>
      <c r="V3735" s="38"/>
      <c r="W3735" s="40"/>
      <c r="X3735" s="40"/>
      <c r="Y3735" s="40"/>
      <c r="Z3735" s="38"/>
      <c r="AA3735" s="38"/>
      <c r="AB3735" s="38"/>
      <c r="AC3735" s="38"/>
      <c r="AD3735" s="38"/>
      <c r="AE3735" s="38"/>
      <c r="AF3735" s="38"/>
      <c r="AG3735" s="38"/>
      <c r="AH3735" s="38"/>
      <c r="AI3735" s="38"/>
      <c r="AJ3735" s="38"/>
      <c r="AK3735" s="38"/>
      <c r="AL3735" s="38"/>
      <c r="AM3735" s="38"/>
      <c r="AN3735" s="38"/>
      <c r="AO3735" s="38"/>
      <c r="AP3735" s="38"/>
      <c r="AQ3735" s="38"/>
      <c r="AR3735" s="38"/>
      <c r="AS3735" s="38"/>
      <c r="AT3735" s="38"/>
      <c r="AU3735" s="38"/>
      <c r="AV3735" s="38"/>
      <c r="AW3735" s="38"/>
      <c r="AX3735" s="38"/>
      <c r="AY3735" s="38"/>
      <c r="AZ3735" s="38"/>
      <c r="BA3735" s="38"/>
      <c r="BB3735" s="38"/>
      <c r="BC3735" s="38"/>
      <c r="BD3735" s="38"/>
      <c r="BE3735" s="38"/>
      <c r="BF3735" s="38"/>
      <c r="BG3735" s="38"/>
      <c r="BH3735" s="38"/>
      <c r="BI3735" s="38"/>
      <c r="BJ3735" s="38"/>
      <c r="BK3735" s="38"/>
      <c r="BL3735" s="38"/>
      <c r="BM3735" s="38"/>
      <c r="BN3735" s="38"/>
      <c r="BO3735" s="38"/>
      <c r="BP3735" s="38"/>
      <c r="BQ3735" s="38"/>
    </row>
    <row r="3736">
      <c r="A3736" s="16"/>
      <c r="B3736" s="145"/>
      <c r="C3736" s="146"/>
      <c r="D3736" s="146"/>
      <c r="E3736" s="16"/>
      <c r="F3736" s="91"/>
      <c r="G3736" s="16"/>
      <c r="H3736" s="320" t="str">
        <f t="shared" si="424"/>
        <v/>
      </c>
      <c r="I3736" s="16"/>
      <c r="J3736" s="16"/>
      <c r="K3736" s="16"/>
      <c r="L3736" s="16"/>
      <c r="M3736" s="15"/>
      <c r="N3736" s="15"/>
      <c r="O3736" s="16"/>
      <c r="P3736" s="16"/>
      <c r="Q3736" s="16"/>
      <c r="R3736" s="16"/>
      <c r="S3736" s="37" t="str">
        <f>IFERROR(__xludf.DUMMYFUNCTION("if(not(iserror(index(split(C3736, "" ""),2))), index(split(C3736, "" ""),1),"""")"),"")</f>
        <v/>
      </c>
      <c r="T3736" s="315" t="str">
        <f>IFERROR(__xludf.DUMMYFUNCTION("if(S3736="""",C3736,if(not(iserror(index(split(C3736, "" ""),3))), index(split(C3736, "" ""),3),index(split(C3736, "" ""),2)))"),"")</f>
        <v/>
      </c>
      <c r="U3736" s="38" t="b">
        <f t="shared" si="423"/>
        <v>0</v>
      </c>
      <c r="V3736" s="38"/>
      <c r="W3736" s="40"/>
      <c r="X3736" s="40"/>
      <c r="Y3736" s="40"/>
      <c r="Z3736" s="38"/>
      <c r="AA3736" s="38"/>
      <c r="AB3736" s="38"/>
      <c r="AC3736" s="38"/>
      <c r="AD3736" s="38"/>
      <c r="AE3736" s="38"/>
      <c r="AF3736" s="38"/>
      <c r="AG3736" s="38"/>
      <c r="AH3736" s="38"/>
      <c r="AI3736" s="38"/>
      <c r="AJ3736" s="38"/>
      <c r="AK3736" s="38"/>
      <c r="AL3736" s="38"/>
      <c r="AM3736" s="38"/>
      <c r="AN3736" s="38"/>
      <c r="AO3736" s="38"/>
      <c r="AP3736" s="38"/>
      <c r="AQ3736" s="38"/>
      <c r="AR3736" s="38"/>
      <c r="AS3736" s="38"/>
      <c r="AT3736" s="38"/>
      <c r="AU3736" s="38"/>
      <c r="AV3736" s="38"/>
      <c r="AW3736" s="38"/>
      <c r="AX3736" s="38"/>
      <c r="AY3736" s="38"/>
      <c r="AZ3736" s="38"/>
      <c r="BA3736" s="38"/>
      <c r="BB3736" s="38"/>
      <c r="BC3736" s="38"/>
      <c r="BD3736" s="38"/>
      <c r="BE3736" s="38"/>
      <c r="BF3736" s="38"/>
      <c r="BG3736" s="38"/>
      <c r="BH3736" s="38"/>
      <c r="BI3736" s="38"/>
      <c r="BJ3736" s="38"/>
      <c r="BK3736" s="38"/>
      <c r="BL3736" s="38"/>
      <c r="BM3736" s="38"/>
      <c r="BN3736" s="38"/>
      <c r="BO3736" s="38"/>
      <c r="BP3736" s="38"/>
      <c r="BQ3736" s="38"/>
    </row>
    <row r="3737">
      <c r="A3737" s="16"/>
      <c r="B3737" s="145"/>
      <c r="C3737" s="146"/>
      <c r="D3737" s="146"/>
      <c r="E3737" s="16"/>
      <c r="F3737" s="91"/>
      <c r="G3737" s="16"/>
      <c r="H3737" s="320" t="str">
        <f t="shared" si="424"/>
        <v/>
      </c>
      <c r="I3737" s="16"/>
      <c r="J3737" s="16"/>
      <c r="K3737" s="16"/>
      <c r="L3737" s="16"/>
      <c r="M3737" s="15"/>
      <c r="N3737" s="15"/>
      <c r="O3737" s="16"/>
      <c r="P3737" s="16"/>
      <c r="Q3737" s="16"/>
      <c r="R3737" s="16"/>
      <c r="S3737" s="37" t="str">
        <f>IFERROR(__xludf.DUMMYFUNCTION("if(not(iserror(index(split(C3737, "" ""),2))), index(split(C3737, "" ""),1),"""")"),"")</f>
        <v/>
      </c>
      <c r="T3737" s="315" t="str">
        <f>IFERROR(__xludf.DUMMYFUNCTION("if(S3737="""",C3737,if(not(iserror(index(split(C3737, "" ""),3))), index(split(C3737, "" ""),3),index(split(C3737, "" ""),2)))"),"")</f>
        <v/>
      </c>
      <c r="U3737" s="38" t="b">
        <f t="shared" si="423"/>
        <v>0</v>
      </c>
      <c r="V3737" s="38"/>
      <c r="W3737" s="40"/>
      <c r="X3737" s="40"/>
      <c r="Y3737" s="40"/>
      <c r="Z3737" s="38"/>
      <c r="AA3737" s="38"/>
      <c r="AB3737" s="38"/>
      <c r="AC3737" s="38"/>
      <c r="AD3737" s="38"/>
      <c r="AE3737" s="38"/>
      <c r="AF3737" s="38"/>
      <c r="AG3737" s="38"/>
      <c r="AH3737" s="38"/>
      <c r="AI3737" s="38"/>
      <c r="AJ3737" s="38"/>
      <c r="AK3737" s="38"/>
      <c r="AL3737" s="38"/>
      <c r="AM3737" s="38"/>
      <c r="AN3737" s="38"/>
      <c r="AO3737" s="38"/>
      <c r="AP3737" s="38"/>
      <c r="AQ3737" s="38"/>
      <c r="AR3737" s="38"/>
      <c r="AS3737" s="38"/>
      <c r="AT3737" s="38"/>
      <c r="AU3737" s="38"/>
      <c r="AV3737" s="38"/>
      <c r="AW3737" s="38"/>
      <c r="AX3737" s="38"/>
      <c r="AY3737" s="38"/>
      <c r="AZ3737" s="38"/>
      <c r="BA3737" s="38"/>
      <c r="BB3737" s="38"/>
      <c r="BC3737" s="38"/>
      <c r="BD3737" s="38"/>
      <c r="BE3737" s="38"/>
      <c r="BF3737" s="38"/>
      <c r="BG3737" s="38"/>
      <c r="BH3737" s="38"/>
      <c r="BI3737" s="38"/>
      <c r="BJ3737" s="38"/>
      <c r="BK3737" s="38"/>
      <c r="BL3737" s="38"/>
      <c r="BM3737" s="38"/>
      <c r="BN3737" s="38"/>
      <c r="BO3737" s="38"/>
      <c r="BP3737" s="38"/>
      <c r="BQ3737" s="38"/>
    </row>
    <row r="3738">
      <c r="A3738" s="16"/>
      <c r="B3738" s="145"/>
      <c r="C3738" s="146"/>
      <c r="D3738" s="146"/>
      <c r="E3738" s="16"/>
      <c r="F3738" s="91"/>
      <c r="G3738" s="16"/>
      <c r="H3738" s="320" t="str">
        <f t="shared" si="424"/>
        <v/>
      </c>
      <c r="I3738" s="16"/>
      <c r="J3738" s="16"/>
      <c r="K3738" s="16"/>
      <c r="L3738" s="16"/>
      <c r="M3738" s="15"/>
      <c r="N3738" s="15"/>
      <c r="O3738" s="16"/>
      <c r="P3738" s="16"/>
      <c r="Q3738" s="16"/>
      <c r="R3738" s="16"/>
      <c r="S3738" s="37" t="str">
        <f>IFERROR(__xludf.DUMMYFUNCTION("if(not(iserror(index(split(C3738, "" ""),2))), index(split(C3738, "" ""),1),"""")"),"")</f>
        <v/>
      </c>
      <c r="T3738" s="315" t="str">
        <f>IFERROR(__xludf.DUMMYFUNCTION("if(S3738="""",C3738,if(not(iserror(index(split(C3738, "" ""),3))), index(split(C3738, "" ""),3),index(split(C3738, "" ""),2)))"),"")</f>
        <v/>
      </c>
      <c r="U3738" s="38" t="b">
        <f t="shared" si="423"/>
        <v>0</v>
      </c>
      <c r="V3738" s="38"/>
      <c r="W3738" s="40"/>
      <c r="X3738" s="40"/>
      <c r="Y3738" s="40"/>
      <c r="Z3738" s="38"/>
      <c r="AA3738" s="38"/>
      <c r="AB3738" s="38"/>
      <c r="AC3738" s="38"/>
      <c r="AD3738" s="38"/>
      <c r="AE3738" s="38"/>
      <c r="AF3738" s="38"/>
      <c r="AG3738" s="38"/>
      <c r="AH3738" s="38"/>
      <c r="AI3738" s="38"/>
      <c r="AJ3738" s="38"/>
      <c r="AK3738" s="38"/>
      <c r="AL3738" s="38"/>
      <c r="AM3738" s="38"/>
      <c r="AN3738" s="38"/>
      <c r="AO3738" s="38"/>
      <c r="AP3738" s="38"/>
      <c r="AQ3738" s="38"/>
      <c r="AR3738" s="38"/>
      <c r="AS3738" s="38"/>
      <c r="AT3738" s="38"/>
      <c r="AU3738" s="38"/>
      <c r="AV3738" s="38"/>
      <c r="AW3738" s="38"/>
      <c r="AX3738" s="38"/>
      <c r="AY3738" s="38"/>
      <c r="AZ3738" s="38"/>
      <c r="BA3738" s="38"/>
      <c r="BB3738" s="38"/>
      <c r="BC3738" s="38"/>
      <c r="BD3738" s="38"/>
      <c r="BE3738" s="38"/>
      <c r="BF3738" s="38"/>
      <c r="BG3738" s="38"/>
      <c r="BH3738" s="38"/>
      <c r="BI3738" s="38"/>
      <c r="BJ3738" s="38"/>
      <c r="BK3738" s="38"/>
      <c r="BL3738" s="38"/>
      <c r="BM3738" s="38"/>
      <c r="BN3738" s="38"/>
      <c r="BO3738" s="38"/>
      <c r="BP3738" s="38"/>
      <c r="BQ3738" s="38"/>
    </row>
    <row r="3739">
      <c r="A3739" s="16"/>
      <c r="B3739" s="145"/>
      <c r="C3739" s="146"/>
      <c r="D3739" s="146"/>
      <c r="E3739" s="16"/>
      <c r="F3739" s="91"/>
      <c r="G3739" s="16"/>
      <c r="H3739" s="320" t="str">
        <f t="shared" si="424"/>
        <v/>
      </c>
      <c r="I3739" s="16"/>
      <c r="J3739" s="16"/>
      <c r="K3739" s="16"/>
      <c r="L3739" s="16"/>
      <c r="M3739" s="15"/>
      <c r="N3739" s="15"/>
      <c r="O3739" s="16"/>
      <c r="P3739" s="16"/>
      <c r="Q3739" s="16"/>
      <c r="R3739" s="16"/>
      <c r="S3739" s="37" t="str">
        <f>IFERROR(__xludf.DUMMYFUNCTION("if(not(iserror(index(split(C3739, "" ""),2))), index(split(C3739, "" ""),1),"""")"),"")</f>
        <v/>
      </c>
      <c r="T3739" s="315" t="str">
        <f>IFERROR(__xludf.DUMMYFUNCTION("if(S3739="""",C3739,if(not(iserror(index(split(C3739, "" ""),3))), index(split(C3739, "" ""),3),index(split(C3739, "" ""),2)))"),"")</f>
        <v/>
      </c>
      <c r="U3739" s="38" t="b">
        <f t="shared" si="423"/>
        <v>0</v>
      </c>
      <c r="V3739" s="38"/>
      <c r="W3739" s="40"/>
      <c r="X3739" s="40"/>
      <c r="Y3739" s="40"/>
      <c r="Z3739" s="38"/>
      <c r="AA3739" s="38"/>
      <c r="AB3739" s="38"/>
      <c r="AC3739" s="38"/>
      <c r="AD3739" s="38"/>
      <c r="AE3739" s="38"/>
      <c r="AF3739" s="38"/>
      <c r="AG3739" s="38"/>
      <c r="AH3739" s="38"/>
      <c r="AI3739" s="38"/>
      <c r="AJ3739" s="38"/>
      <c r="AK3739" s="38"/>
      <c r="AL3739" s="38"/>
      <c r="AM3739" s="38"/>
      <c r="AN3739" s="38"/>
      <c r="AO3739" s="38"/>
      <c r="AP3739" s="38"/>
      <c r="AQ3739" s="38"/>
      <c r="AR3739" s="38"/>
      <c r="AS3739" s="38"/>
      <c r="AT3739" s="38"/>
      <c r="AU3739" s="38"/>
      <c r="AV3739" s="38"/>
      <c r="AW3739" s="38"/>
      <c r="AX3739" s="38"/>
      <c r="AY3739" s="38"/>
      <c r="AZ3739" s="38"/>
      <c r="BA3739" s="38"/>
      <c r="BB3739" s="38"/>
      <c r="BC3739" s="38"/>
      <c r="BD3739" s="38"/>
      <c r="BE3739" s="38"/>
      <c r="BF3739" s="38"/>
      <c r="BG3739" s="38"/>
      <c r="BH3739" s="38"/>
      <c r="BI3739" s="38"/>
      <c r="BJ3739" s="38"/>
      <c r="BK3739" s="38"/>
      <c r="BL3739" s="38"/>
      <c r="BM3739" s="38"/>
      <c r="BN3739" s="38"/>
      <c r="BO3739" s="38"/>
      <c r="BP3739" s="38"/>
      <c r="BQ3739" s="38"/>
    </row>
    <row r="3740">
      <c r="A3740" s="16"/>
      <c r="B3740" s="145"/>
      <c r="C3740" s="146"/>
      <c r="D3740" s="146"/>
      <c r="E3740" s="16"/>
      <c r="F3740" s="91"/>
      <c r="G3740" s="16"/>
      <c r="H3740" s="320" t="str">
        <f t="shared" si="424"/>
        <v/>
      </c>
      <c r="I3740" s="16"/>
      <c r="J3740" s="16"/>
      <c r="K3740" s="16"/>
      <c r="L3740" s="16"/>
      <c r="M3740" s="15"/>
      <c r="N3740" s="15"/>
      <c r="O3740" s="16"/>
      <c r="P3740" s="16"/>
      <c r="Q3740" s="16"/>
      <c r="R3740" s="16"/>
      <c r="S3740" s="37" t="str">
        <f>IFERROR(__xludf.DUMMYFUNCTION("if(not(iserror(index(split(C3740, "" ""),2))), index(split(C3740, "" ""),1),"""")"),"")</f>
        <v/>
      </c>
      <c r="T3740" s="315" t="str">
        <f>IFERROR(__xludf.DUMMYFUNCTION("if(S3740="""",C3740,if(not(iserror(index(split(C3740, "" ""),3))), index(split(C3740, "" ""),3),index(split(C3740, "" ""),2)))"),"")</f>
        <v/>
      </c>
      <c r="U3740" s="38" t="b">
        <f t="shared" si="423"/>
        <v>0</v>
      </c>
      <c r="V3740" s="38"/>
      <c r="W3740" s="40"/>
      <c r="X3740" s="40"/>
      <c r="Y3740" s="40"/>
      <c r="Z3740" s="38"/>
      <c r="AA3740" s="38"/>
      <c r="AB3740" s="38"/>
      <c r="AC3740" s="38"/>
      <c r="AD3740" s="38"/>
      <c r="AE3740" s="38"/>
      <c r="AF3740" s="38"/>
      <c r="AG3740" s="38"/>
      <c r="AH3740" s="38"/>
      <c r="AI3740" s="38"/>
      <c r="AJ3740" s="38"/>
      <c r="AK3740" s="38"/>
      <c r="AL3740" s="38"/>
      <c r="AM3740" s="38"/>
      <c r="AN3740" s="38"/>
      <c r="AO3740" s="38"/>
      <c r="AP3740" s="38"/>
      <c r="AQ3740" s="38"/>
      <c r="AR3740" s="38"/>
      <c r="AS3740" s="38"/>
      <c r="AT3740" s="38"/>
      <c r="AU3740" s="38"/>
      <c r="AV3740" s="38"/>
      <c r="AW3740" s="38"/>
      <c r="AX3740" s="38"/>
      <c r="AY3740" s="38"/>
      <c r="AZ3740" s="38"/>
      <c r="BA3740" s="38"/>
      <c r="BB3740" s="38"/>
      <c r="BC3740" s="38"/>
      <c r="BD3740" s="38"/>
      <c r="BE3740" s="38"/>
      <c r="BF3740" s="38"/>
      <c r="BG3740" s="38"/>
      <c r="BH3740" s="38"/>
      <c r="BI3740" s="38"/>
      <c r="BJ3740" s="38"/>
      <c r="BK3740" s="38"/>
      <c r="BL3740" s="38"/>
      <c r="BM3740" s="38"/>
      <c r="BN3740" s="38"/>
      <c r="BO3740" s="38"/>
      <c r="BP3740" s="38"/>
      <c r="BQ3740" s="38"/>
    </row>
    <row r="3741">
      <c r="A3741" s="16"/>
      <c r="B3741" s="145"/>
      <c r="C3741" s="146"/>
      <c r="D3741" s="146"/>
      <c r="E3741" s="16"/>
      <c r="F3741" s="91"/>
      <c r="G3741" s="16"/>
      <c r="H3741" s="320" t="str">
        <f t="shared" si="424"/>
        <v/>
      </c>
      <c r="I3741" s="16"/>
      <c r="J3741" s="16"/>
      <c r="K3741" s="16"/>
      <c r="L3741" s="16"/>
      <c r="M3741" s="15"/>
      <c r="N3741" s="15"/>
      <c r="O3741" s="16"/>
      <c r="P3741" s="16"/>
      <c r="Q3741" s="16"/>
      <c r="R3741" s="16"/>
      <c r="S3741" s="37" t="str">
        <f>IFERROR(__xludf.DUMMYFUNCTION("if(not(iserror(index(split(C3741, "" ""),2))), index(split(C3741, "" ""),1),"""")"),"")</f>
        <v/>
      </c>
      <c r="T3741" s="315" t="str">
        <f>IFERROR(__xludf.DUMMYFUNCTION("if(S3741="""",C3741,if(not(iserror(index(split(C3741, "" ""),3))), index(split(C3741, "" ""),3),index(split(C3741, "" ""),2)))"),"")</f>
        <v/>
      </c>
      <c r="U3741" s="38" t="b">
        <f t="shared" si="423"/>
        <v>0</v>
      </c>
      <c r="V3741" s="38"/>
      <c r="W3741" s="40"/>
      <c r="X3741" s="40"/>
      <c r="Y3741" s="40"/>
      <c r="Z3741" s="38"/>
      <c r="AA3741" s="38"/>
      <c r="AB3741" s="38"/>
      <c r="AC3741" s="38"/>
      <c r="AD3741" s="38"/>
      <c r="AE3741" s="38"/>
      <c r="AF3741" s="38"/>
      <c r="AG3741" s="38"/>
      <c r="AH3741" s="38"/>
      <c r="AI3741" s="38"/>
      <c r="AJ3741" s="38"/>
      <c r="AK3741" s="38"/>
      <c r="AL3741" s="38"/>
      <c r="AM3741" s="38"/>
      <c r="AN3741" s="38"/>
      <c r="AO3741" s="38"/>
      <c r="AP3741" s="38"/>
      <c r="AQ3741" s="38"/>
      <c r="AR3741" s="38"/>
      <c r="AS3741" s="38"/>
      <c r="AT3741" s="38"/>
      <c r="AU3741" s="38"/>
      <c r="AV3741" s="38"/>
      <c r="AW3741" s="38"/>
      <c r="AX3741" s="38"/>
      <c r="AY3741" s="38"/>
      <c r="AZ3741" s="38"/>
      <c r="BA3741" s="38"/>
      <c r="BB3741" s="38"/>
      <c r="BC3741" s="38"/>
      <c r="BD3741" s="38"/>
      <c r="BE3741" s="38"/>
      <c r="BF3741" s="38"/>
      <c r="BG3741" s="38"/>
      <c r="BH3741" s="38"/>
      <c r="BI3741" s="38"/>
      <c r="BJ3741" s="38"/>
      <c r="BK3741" s="38"/>
      <c r="BL3741" s="38"/>
      <c r="BM3741" s="38"/>
      <c r="BN3741" s="38"/>
      <c r="BO3741" s="38"/>
      <c r="BP3741" s="38"/>
      <c r="BQ3741" s="38"/>
    </row>
    <row r="3742">
      <c r="A3742" s="16"/>
      <c r="B3742" s="145"/>
      <c r="C3742" s="146"/>
      <c r="D3742" s="146"/>
      <c r="E3742" s="16"/>
      <c r="F3742" s="91"/>
      <c r="G3742" s="16"/>
      <c r="H3742" s="320" t="str">
        <f t="shared" si="424"/>
        <v/>
      </c>
      <c r="I3742" s="16"/>
      <c r="J3742" s="16"/>
      <c r="K3742" s="16"/>
      <c r="L3742" s="16"/>
      <c r="M3742" s="15"/>
      <c r="N3742" s="15"/>
      <c r="O3742" s="16"/>
      <c r="P3742" s="16"/>
      <c r="Q3742" s="16"/>
      <c r="R3742" s="16"/>
      <c r="S3742" s="37" t="str">
        <f>IFERROR(__xludf.DUMMYFUNCTION("if(not(iserror(index(split(C3742, "" ""),2))), index(split(C3742, "" ""),1),"""")"),"")</f>
        <v/>
      </c>
      <c r="T3742" s="315" t="str">
        <f>IFERROR(__xludf.DUMMYFUNCTION("if(S3742="""",C3742,if(not(iserror(index(split(C3742, "" ""),3))), index(split(C3742, "" ""),3),index(split(C3742, "" ""),2)))"),"")</f>
        <v/>
      </c>
      <c r="U3742" s="38" t="b">
        <f t="shared" si="423"/>
        <v>0</v>
      </c>
      <c r="V3742" s="38"/>
      <c r="W3742" s="40"/>
      <c r="X3742" s="40"/>
      <c r="Y3742" s="40"/>
      <c r="Z3742" s="38"/>
      <c r="AA3742" s="38"/>
      <c r="AB3742" s="38"/>
      <c r="AC3742" s="38"/>
      <c r="AD3742" s="38"/>
      <c r="AE3742" s="38"/>
      <c r="AF3742" s="38"/>
      <c r="AG3742" s="38"/>
      <c r="AH3742" s="38"/>
      <c r="AI3742" s="38"/>
      <c r="AJ3742" s="38"/>
      <c r="AK3742" s="38"/>
      <c r="AL3742" s="38"/>
      <c r="AM3742" s="38"/>
      <c r="AN3742" s="38"/>
      <c r="AO3742" s="38"/>
      <c r="AP3742" s="38"/>
      <c r="AQ3742" s="38"/>
      <c r="AR3742" s="38"/>
      <c r="AS3742" s="38"/>
      <c r="AT3742" s="38"/>
      <c r="AU3742" s="38"/>
      <c r="AV3742" s="38"/>
      <c r="AW3742" s="38"/>
      <c r="AX3742" s="38"/>
      <c r="AY3742" s="38"/>
      <c r="AZ3742" s="38"/>
      <c r="BA3742" s="38"/>
      <c r="BB3742" s="38"/>
      <c r="BC3742" s="38"/>
      <c r="BD3742" s="38"/>
      <c r="BE3742" s="38"/>
      <c r="BF3742" s="38"/>
      <c r="BG3742" s="38"/>
      <c r="BH3742" s="38"/>
      <c r="BI3742" s="38"/>
      <c r="BJ3742" s="38"/>
      <c r="BK3742" s="38"/>
      <c r="BL3742" s="38"/>
      <c r="BM3742" s="38"/>
      <c r="BN3742" s="38"/>
      <c r="BO3742" s="38"/>
      <c r="BP3742" s="38"/>
      <c r="BQ3742" s="38"/>
    </row>
    <row r="3743">
      <c r="A3743" s="16"/>
      <c r="B3743" s="145"/>
      <c r="C3743" s="146"/>
      <c r="D3743" s="146"/>
      <c r="E3743" s="16"/>
      <c r="F3743" s="91"/>
      <c r="G3743" s="16"/>
      <c r="H3743" s="320" t="str">
        <f t="shared" si="424"/>
        <v/>
      </c>
      <c r="I3743" s="16"/>
      <c r="J3743" s="16"/>
      <c r="K3743" s="16"/>
      <c r="L3743" s="16"/>
      <c r="M3743" s="15"/>
      <c r="N3743" s="15"/>
      <c r="O3743" s="16"/>
      <c r="P3743" s="16"/>
      <c r="Q3743" s="16"/>
      <c r="R3743" s="16"/>
      <c r="S3743" s="37" t="str">
        <f>IFERROR(__xludf.DUMMYFUNCTION("if(not(iserror(index(split(C3743, "" ""),2))), index(split(C3743, "" ""),1),"""")"),"")</f>
        <v/>
      </c>
      <c r="T3743" s="315" t="str">
        <f>IFERROR(__xludf.DUMMYFUNCTION("if(S3743="""",C3743,if(not(iserror(index(split(C3743, "" ""),3))), index(split(C3743, "" ""),3),index(split(C3743, "" ""),2)))"),"")</f>
        <v/>
      </c>
      <c r="U3743" s="38" t="b">
        <f t="shared" si="423"/>
        <v>0</v>
      </c>
      <c r="V3743" s="38"/>
      <c r="W3743" s="40"/>
      <c r="X3743" s="40"/>
      <c r="Y3743" s="40"/>
      <c r="Z3743" s="38"/>
      <c r="AA3743" s="38"/>
      <c r="AB3743" s="38"/>
      <c r="AC3743" s="38"/>
      <c r="AD3743" s="38"/>
      <c r="AE3743" s="38"/>
      <c r="AF3743" s="38"/>
      <c r="AG3743" s="38"/>
      <c r="AH3743" s="38"/>
      <c r="AI3743" s="38"/>
      <c r="AJ3743" s="38"/>
      <c r="AK3743" s="38"/>
      <c r="AL3743" s="38"/>
      <c r="AM3743" s="38"/>
      <c r="AN3743" s="38"/>
      <c r="AO3743" s="38"/>
      <c r="AP3743" s="38"/>
      <c r="AQ3743" s="38"/>
      <c r="AR3743" s="38"/>
      <c r="AS3743" s="38"/>
      <c r="AT3743" s="38"/>
      <c r="AU3743" s="38"/>
      <c r="AV3743" s="38"/>
      <c r="AW3743" s="38"/>
      <c r="AX3743" s="38"/>
      <c r="AY3743" s="38"/>
      <c r="AZ3743" s="38"/>
      <c r="BA3743" s="38"/>
      <c r="BB3743" s="38"/>
      <c r="BC3743" s="38"/>
      <c r="BD3743" s="38"/>
      <c r="BE3743" s="38"/>
      <c r="BF3743" s="38"/>
      <c r="BG3743" s="38"/>
      <c r="BH3743" s="38"/>
      <c r="BI3743" s="38"/>
      <c r="BJ3743" s="38"/>
      <c r="BK3743" s="38"/>
      <c r="BL3743" s="38"/>
      <c r="BM3743" s="38"/>
      <c r="BN3743" s="38"/>
      <c r="BO3743" s="38"/>
      <c r="BP3743" s="38"/>
      <c r="BQ3743" s="38"/>
    </row>
    <row r="3744">
      <c r="A3744" s="16"/>
      <c r="B3744" s="145"/>
      <c r="C3744" s="146"/>
      <c r="D3744" s="146"/>
      <c r="E3744" s="16"/>
      <c r="F3744" s="91"/>
      <c r="G3744" s="16"/>
      <c r="H3744" s="320" t="str">
        <f t="shared" si="424"/>
        <v/>
      </c>
      <c r="I3744" s="16"/>
      <c r="J3744" s="16"/>
      <c r="K3744" s="16"/>
      <c r="L3744" s="16"/>
      <c r="M3744" s="15"/>
      <c r="N3744" s="15"/>
      <c r="O3744" s="16"/>
      <c r="P3744" s="16"/>
      <c r="Q3744" s="16"/>
      <c r="R3744" s="16"/>
      <c r="S3744" s="37" t="str">
        <f>IFERROR(__xludf.DUMMYFUNCTION("if(not(iserror(index(split(C3744, "" ""),2))), index(split(C3744, "" ""),1),"""")"),"")</f>
        <v/>
      </c>
      <c r="T3744" s="315" t="str">
        <f>IFERROR(__xludf.DUMMYFUNCTION("if(S3744="""",C3744,if(not(iserror(index(split(C3744, "" ""),3))), index(split(C3744, "" ""),3),index(split(C3744, "" ""),2)))"),"")</f>
        <v/>
      </c>
      <c r="U3744" s="38" t="b">
        <f t="shared" si="423"/>
        <v>0</v>
      </c>
      <c r="V3744" s="38"/>
      <c r="W3744" s="40"/>
      <c r="X3744" s="40"/>
      <c r="Y3744" s="40"/>
      <c r="Z3744" s="38"/>
      <c r="AA3744" s="38"/>
      <c r="AB3744" s="38"/>
      <c r="AC3744" s="38"/>
      <c r="AD3744" s="38"/>
      <c r="AE3744" s="38"/>
      <c r="AF3744" s="38"/>
      <c r="AG3744" s="38"/>
      <c r="AH3744" s="38"/>
      <c r="AI3744" s="38"/>
      <c r="AJ3744" s="38"/>
      <c r="AK3744" s="38"/>
      <c r="AL3744" s="38"/>
      <c r="AM3744" s="38"/>
      <c r="AN3744" s="38"/>
      <c r="AO3744" s="38"/>
      <c r="AP3744" s="38"/>
      <c r="AQ3744" s="38"/>
      <c r="AR3744" s="38"/>
      <c r="AS3744" s="38"/>
      <c r="AT3744" s="38"/>
      <c r="AU3744" s="38"/>
      <c r="AV3744" s="38"/>
      <c r="AW3744" s="38"/>
      <c r="AX3744" s="38"/>
      <c r="AY3744" s="38"/>
      <c r="AZ3744" s="38"/>
      <c r="BA3744" s="38"/>
      <c r="BB3744" s="38"/>
      <c r="BC3744" s="38"/>
      <c r="BD3744" s="38"/>
      <c r="BE3744" s="38"/>
      <c r="BF3744" s="38"/>
      <c r="BG3744" s="38"/>
      <c r="BH3744" s="38"/>
      <c r="BI3744" s="38"/>
      <c r="BJ3744" s="38"/>
      <c r="BK3744" s="38"/>
      <c r="BL3744" s="38"/>
      <c r="BM3744" s="38"/>
      <c r="BN3744" s="38"/>
      <c r="BO3744" s="38"/>
      <c r="BP3744" s="38"/>
      <c r="BQ3744" s="38"/>
    </row>
    <row r="3745">
      <c r="A3745" s="16"/>
      <c r="B3745" s="145"/>
      <c r="C3745" s="146"/>
      <c r="D3745" s="146"/>
      <c r="E3745" s="16"/>
      <c r="F3745" s="91"/>
      <c r="G3745" s="16"/>
      <c r="H3745" s="320" t="str">
        <f t="shared" si="424"/>
        <v/>
      </c>
      <c r="I3745" s="16"/>
      <c r="J3745" s="16"/>
      <c r="K3745" s="16"/>
      <c r="L3745" s="16"/>
      <c r="M3745" s="15"/>
      <c r="N3745" s="15"/>
      <c r="O3745" s="16"/>
      <c r="P3745" s="16"/>
      <c r="Q3745" s="16"/>
      <c r="R3745" s="16"/>
      <c r="S3745" s="37" t="str">
        <f>IFERROR(__xludf.DUMMYFUNCTION("if(not(iserror(index(split(C3745, "" ""),2))), index(split(C3745, "" ""),1),"""")"),"")</f>
        <v/>
      </c>
      <c r="T3745" s="315" t="str">
        <f>IFERROR(__xludf.DUMMYFUNCTION("if(S3745="""",C3745,if(not(iserror(index(split(C3745, "" ""),3))), index(split(C3745, "" ""),3),index(split(C3745, "" ""),2)))"),"")</f>
        <v/>
      </c>
      <c r="U3745" s="38" t="b">
        <f t="shared" si="423"/>
        <v>0</v>
      </c>
      <c r="V3745" s="38"/>
      <c r="W3745" s="40"/>
      <c r="X3745" s="40"/>
      <c r="Y3745" s="40"/>
      <c r="Z3745" s="38"/>
      <c r="AA3745" s="38"/>
      <c r="AB3745" s="38"/>
      <c r="AC3745" s="38"/>
      <c r="AD3745" s="38"/>
      <c r="AE3745" s="38"/>
      <c r="AF3745" s="38"/>
      <c r="AG3745" s="38"/>
      <c r="AH3745" s="38"/>
      <c r="AI3745" s="38"/>
      <c r="AJ3745" s="38"/>
      <c r="AK3745" s="38"/>
      <c r="AL3745" s="38"/>
      <c r="AM3745" s="38"/>
      <c r="AN3745" s="38"/>
      <c r="AO3745" s="38"/>
      <c r="AP3745" s="38"/>
      <c r="AQ3745" s="38"/>
      <c r="AR3745" s="38"/>
      <c r="AS3745" s="38"/>
      <c r="AT3745" s="38"/>
      <c r="AU3745" s="38"/>
      <c r="AV3745" s="38"/>
      <c r="AW3745" s="38"/>
      <c r="AX3745" s="38"/>
      <c r="AY3745" s="38"/>
      <c r="AZ3745" s="38"/>
      <c r="BA3745" s="38"/>
      <c r="BB3745" s="38"/>
      <c r="BC3745" s="38"/>
      <c r="BD3745" s="38"/>
      <c r="BE3745" s="38"/>
      <c r="BF3745" s="38"/>
      <c r="BG3745" s="38"/>
      <c r="BH3745" s="38"/>
      <c r="BI3745" s="38"/>
      <c r="BJ3745" s="38"/>
      <c r="BK3745" s="38"/>
      <c r="BL3745" s="38"/>
      <c r="BM3745" s="38"/>
      <c r="BN3745" s="38"/>
      <c r="BO3745" s="38"/>
      <c r="BP3745" s="38"/>
      <c r="BQ3745" s="38"/>
    </row>
    <row r="3746">
      <c r="A3746" s="16"/>
      <c r="B3746" s="145"/>
      <c r="C3746" s="146"/>
      <c r="D3746" s="146"/>
      <c r="E3746" s="16"/>
      <c r="F3746" s="91"/>
      <c r="G3746" s="16"/>
      <c r="H3746" s="320" t="str">
        <f t="shared" si="424"/>
        <v/>
      </c>
      <c r="I3746" s="16"/>
      <c r="J3746" s="16"/>
      <c r="K3746" s="16"/>
      <c r="L3746" s="16"/>
      <c r="M3746" s="15"/>
      <c r="N3746" s="15"/>
      <c r="O3746" s="16"/>
      <c r="P3746" s="16"/>
      <c r="Q3746" s="16"/>
      <c r="R3746" s="16"/>
      <c r="S3746" s="37" t="str">
        <f>IFERROR(__xludf.DUMMYFUNCTION("if(not(iserror(index(split(C3746, "" ""),2))), index(split(C3746, "" ""),1),"""")"),"")</f>
        <v/>
      </c>
      <c r="T3746" s="315" t="str">
        <f>IFERROR(__xludf.DUMMYFUNCTION("if(S3746="""",C3746,if(not(iserror(index(split(C3746, "" ""),3))), index(split(C3746, "" ""),3),index(split(C3746, "" ""),2)))"),"")</f>
        <v/>
      </c>
      <c r="U3746" s="38" t="b">
        <f t="shared" si="423"/>
        <v>0</v>
      </c>
      <c r="V3746" s="38"/>
      <c r="W3746" s="40"/>
      <c r="X3746" s="40"/>
      <c r="Y3746" s="40"/>
      <c r="Z3746" s="38"/>
      <c r="AA3746" s="38"/>
      <c r="AB3746" s="38"/>
      <c r="AC3746" s="38"/>
      <c r="AD3746" s="38"/>
      <c r="AE3746" s="38"/>
      <c r="AF3746" s="38"/>
      <c r="AG3746" s="38"/>
      <c r="AH3746" s="38"/>
      <c r="AI3746" s="38"/>
      <c r="AJ3746" s="38"/>
      <c r="AK3746" s="38"/>
      <c r="AL3746" s="38"/>
      <c r="AM3746" s="38"/>
      <c r="AN3746" s="38"/>
      <c r="AO3746" s="38"/>
      <c r="AP3746" s="38"/>
      <c r="AQ3746" s="38"/>
      <c r="AR3746" s="38"/>
      <c r="AS3746" s="38"/>
      <c r="AT3746" s="38"/>
      <c r="AU3746" s="38"/>
      <c r="AV3746" s="38"/>
      <c r="AW3746" s="38"/>
      <c r="AX3746" s="38"/>
      <c r="AY3746" s="38"/>
      <c r="AZ3746" s="38"/>
      <c r="BA3746" s="38"/>
      <c r="BB3746" s="38"/>
      <c r="BC3746" s="38"/>
      <c r="BD3746" s="38"/>
      <c r="BE3746" s="38"/>
      <c r="BF3746" s="38"/>
      <c r="BG3746" s="38"/>
      <c r="BH3746" s="38"/>
      <c r="BI3746" s="38"/>
      <c r="BJ3746" s="38"/>
      <c r="BK3746" s="38"/>
      <c r="BL3746" s="38"/>
      <c r="BM3746" s="38"/>
      <c r="BN3746" s="38"/>
      <c r="BO3746" s="38"/>
      <c r="BP3746" s="38"/>
      <c r="BQ3746" s="38"/>
    </row>
    <row r="3747">
      <c r="A3747" s="16"/>
      <c r="B3747" s="145"/>
      <c r="C3747" s="146"/>
      <c r="D3747" s="146"/>
      <c r="E3747" s="16"/>
      <c r="F3747" s="91"/>
      <c r="G3747" s="16"/>
      <c r="H3747" s="320" t="str">
        <f t="shared" si="424"/>
        <v/>
      </c>
      <c r="I3747" s="16"/>
      <c r="J3747" s="16"/>
      <c r="K3747" s="16"/>
      <c r="L3747" s="16"/>
      <c r="M3747" s="15"/>
      <c r="N3747" s="15"/>
      <c r="O3747" s="16"/>
      <c r="P3747" s="16"/>
      <c r="Q3747" s="16"/>
      <c r="R3747" s="16"/>
      <c r="S3747" s="37" t="str">
        <f>IFERROR(__xludf.DUMMYFUNCTION("if(not(iserror(index(split(C3747, "" ""),2))), index(split(C3747, "" ""),1),"""")"),"")</f>
        <v/>
      </c>
      <c r="T3747" s="315" t="str">
        <f>IFERROR(__xludf.DUMMYFUNCTION("if(S3747="""",C3747,if(not(iserror(index(split(C3747, "" ""),3))), index(split(C3747, "" ""),3),index(split(C3747, "" ""),2)))"),"")</f>
        <v/>
      </c>
      <c r="U3747" s="38" t="b">
        <f t="shared" si="423"/>
        <v>0</v>
      </c>
      <c r="V3747" s="38"/>
      <c r="W3747" s="40"/>
      <c r="X3747" s="40"/>
      <c r="Y3747" s="40"/>
      <c r="Z3747" s="38"/>
      <c r="AA3747" s="38"/>
      <c r="AB3747" s="38"/>
      <c r="AC3747" s="38"/>
      <c r="AD3747" s="38"/>
      <c r="AE3747" s="38"/>
      <c r="AF3747" s="38"/>
      <c r="AG3747" s="38"/>
      <c r="AH3747" s="38"/>
      <c r="AI3747" s="38"/>
      <c r="AJ3747" s="38"/>
      <c r="AK3747" s="38"/>
      <c r="AL3747" s="38"/>
      <c r="AM3747" s="38"/>
      <c r="AN3747" s="38"/>
      <c r="AO3747" s="38"/>
      <c r="AP3747" s="38"/>
      <c r="AQ3747" s="38"/>
      <c r="AR3747" s="38"/>
      <c r="AS3747" s="38"/>
      <c r="AT3747" s="38"/>
      <c r="AU3747" s="38"/>
      <c r="AV3747" s="38"/>
      <c r="AW3747" s="38"/>
      <c r="AX3747" s="38"/>
      <c r="AY3747" s="38"/>
      <c r="AZ3747" s="38"/>
      <c r="BA3747" s="38"/>
      <c r="BB3747" s="38"/>
      <c r="BC3747" s="38"/>
      <c r="BD3747" s="38"/>
      <c r="BE3747" s="38"/>
      <c r="BF3747" s="38"/>
      <c r="BG3747" s="38"/>
      <c r="BH3747" s="38"/>
      <c r="BI3747" s="38"/>
      <c r="BJ3747" s="38"/>
      <c r="BK3747" s="38"/>
      <c r="BL3747" s="38"/>
      <c r="BM3747" s="38"/>
      <c r="BN3747" s="38"/>
      <c r="BO3747" s="38"/>
      <c r="BP3747" s="38"/>
      <c r="BQ3747" s="38"/>
    </row>
    <row r="3748">
      <c r="A3748" s="16"/>
      <c r="B3748" s="145"/>
      <c r="C3748" s="146"/>
      <c r="D3748" s="146"/>
      <c r="E3748" s="16"/>
      <c r="F3748" s="91"/>
      <c r="G3748" s="16"/>
      <c r="H3748" s="320" t="str">
        <f t="shared" si="424"/>
        <v/>
      </c>
      <c r="I3748" s="16"/>
      <c r="J3748" s="16"/>
      <c r="K3748" s="16"/>
      <c r="L3748" s="16"/>
      <c r="M3748" s="15"/>
      <c r="N3748" s="15"/>
      <c r="O3748" s="16"/>
      <c r="P3748" s="16"/>
      <c r="Q3748" s="16"/>
      <c r="R3748" s="16"/>
      <c r="S3748" s="37" t="str">
        <f>IFERROR(__xludf.DUMMYFUNCTION("if(not(iserror(index(split(C3748, "" ""),2))), index(split(C3748, "" ""),1),"""")"),"")</f>
        <v/>
      </c>
      <c r="T3748" s="315" t="str">
        <f>IFERROR(__xludf.DUMMYFUNCTION("if(S3748="""",C3748,if(not(iserror(index(split(C3748, "" ""),3))), index(split(C3748, "" ""),3),index(split(C3748, "" ""),2)))"),"")</f>
        <v/>
      </c>
      <c r="U3748" s="38" t="b">
        <f t="shared" si="423"/>
        <v>0</v>
      </c>
      <c r="V3748" s="38"/>
      <c r="W3748" s="40"/>
      <c r="X3748" s="40"/>
      <c r="Y3748" s="40"/>
      <c r="Z3748" s="38"/>
      <c r="AA3748" s="38"/>
      <c r="AB3748" s="38"/>
      <c r="AC3748" s="38"/>
      <c r="AD3748" s="38"/>
      <c r="AE3748" s="38"/>
      <c r="AF3748" s="38"/>
      <c r="AG3748" s="38"/>
      <c r="AH3748" s="38"/>
      <c r="AI3748" s="38"/>
      <c r="AJ3748" s="38"/>
      <c r="AK3748" s="38"/>
      <c r="AL3748" s="38"/>
      <c r="AM3748" s="38"/>
      <c r="AN3748" s="38"/>
      <c r="AO3748" s="38"/>
      <c r="AP3748" s="38"/>
      <c r="AQ3748" s="38"/>
      <c r="AR3748" s="38"/>
      <c r="AS3748" s="38"/>
      <c r="AT3748" s="38"/>
      <c r="AU3748" s="38"/>
      <c r="AV3748" s="38"/>
      <c r="AW3748" s="38"/>
      <c r="AX3748" s="38"/>
      <c r="AY3748" s="38"/>
      <c r="AZ3748" s="38"/>
      <c r="BA3748" s="38"/>
      <c r="BB3748" s="38"/>
      <c r="BC3748" s="38"/>
      <c r="BD3748" s="38"/>
      <c r="BE3748" s="38"/>
      <c r="BF3748" s="38"/>
      <c r="BG3748" s="38"/>
      <c r="BH3748" s="38"/>
      <c r="BI3748" s="38"/>
      <c r="BJ3748" s="38"/>
      <c r="BK3748" s="38"/>
      <c r="BL3748" s="38"/>
      <c r="BM3748" s="38"/>
      <c r="BN3748" s="38"/>
      <c r="BO3748" s="38"/>
      <c r="BP3748" s="38"/>
      <c r="BQ3748" s="38"/>
    </row>
    <row r="3749">
      <c r="A3749" s="16"/>
      <c r="B3749" s="145"/>
      <c r="C3749" s="146"/>
      <c r="D3749" s="146"/>
      <c r="E3749" s="16"/>
      <c r="F3749" s="91"/>
      <c r="G3749" s="16"/>
      <c r="H3749" s="320" t="str">
        <f t="shared" si="424"/>
        <v/>
      </c>
      <c r="I3749" s="16"/>
      <c r="J3749" s="16"/>
      <c r="K3749" s="16"/>
      <c r="L3749" s="16"/>
      <c r="M3749" s="15"/>
      <c r="N3749" s="15"/>
      <c r="O3749" s="16"/>
      <c r="P3749" s="16"/>
      <c r="Q3749" s="16"/>
      <c r="R3749" s="16"/>
      <c r="S3749" s="37" t="str">
        <f>IFERROR(__xludf.DUMMYFUNCTION("if(not(iserror(index(split(C3749, "" ""),2))), index(split(C3749, "" ""),1),"""")"),"")</f>
        <v/>
      </c>
      <c r="T3749" s="315" t="str">
        <f>IFERROR(__xludf.DUMMYFUNCTION("if(S3749="""",C3749,if(not(iserror(index(split(C3749, "" ""),3))), index(split(C3749, "" ""),3),index(split(C3749, "" ""),2)))"),"")</f>
        <v/>
      </c>
      <c r="U3749" s="38" t="b">
        <f t="shared" si="423"/>
        <v>0</v>
      </c>
      <c r="V3749" s="38"/>
      <c r="W3749" s="40"/>
      <c r="X3749" s="40"/>
      <c r="Y3749" s="40"/>
      <c r="Z3749" s="38"/>
      <c r="AA3749" s="38"/>
      <c r="AB3749" s="38"/>
      <c r="AC3749" s="38"/>
      <c r="AD3749" s="38"/>
      <c r="AE3749" s="38"/>
      <c r="AF3749" s="38"/>
      <c r="AG3749" s="38"/>
      <c r="AH3749" s="38"/>
      <c r="AI3749" s="38"/>
      <c r="AJ3749" s="38"/>
      <c r="AK3749" s="38"/>
      <c r="AL3749" s="38"/>
      <c r="AM3749" s="38"/>
      <c r="AN3749" s="38"/>
      <c r="AO3749" s="38"/>
      <c r="AP3749" s="38"/>
      <c r="AQ3749" s="38"/>
      <c r="AR3749" s="38"/>
      <c r="AS3749" s="38"/>
      <c r="AT3749" s="38"/>
      <c r="AU3749" s="38"/>
      <c r="AV3749" s="38"/>
      <c r="AW3749" s="38"/>
      <c r="AX3749" s="38"/>
      <c r="AY3749" s="38"/>
      <c r="AZ3749" s="38"/>
      <c r="BA3749" s="38"/>
      <c r="BB3749" s="38"/>
      <c r="BC3749" s="38"/>
      <c r="BD3749" s="38"/>
      <c r="BE3749" s="38"/>
      <c r="BF3749" s="38"/>
      <c r="BG3749" s="38"/>
      <c r="BH3749" s="38"/>
      <c r="BI3749" s="38"/>
      <c r="BJ3749" s="38"/>
      <c r="BK3749" s="38"/>
      <c r="BL3749" s="38"/>
      <c r="BM3749" s="38"/>
      <c r="BN3749" s="38"/>
      <c r="BO3749" s="38"/>
      <c r="BP3749" s="38"/>
      <c r="BQ3749" s="38"/>
    </row>
    <row r="3750">
      <c r="A3750" s="16"/>
      <c r="B3750" s="145"/>
      <c r="C3750" s="146"/>
      <c r="D3750" s="146"/>
      <c r="E3750" s="16"/>
      <c r="F3750" s="91"/>
      <c r="G3750" s="16"/>
      <c r="H3750" s="320" t="str">
        <f t="shared" si="424"/>
        <v/>
      </c>
      <c r="I3750" s="16"/>
      <c r="J3750" s="16"/>
      <c r="K3750" s="16"/>
      <c r="L3750" s="16"/>
      <c r="M3750" s="15"/>
      <c r="N3750" s="15"/>
      <c r="O3750" s="16"/>
      <c r="P3750" s="16"/>
      <c r="Q3750" s="16"/>
      <c r="R3750" s="16"/>
      <c r="S3750" s="37" t="str">
        <f>IFERROR(__xludf.DUMMYFUNCTION("if(not(iserror(index(split(C3750, "" ""),2))), index(split(C3750, "" ""),1),"""")"),"")</f>
        <v/>
      </c>
      <c r="T3750" s="315" t="str">
        <f>IFERROR(__xludf.DUMMYFUNCTION("if(S3750="""",C3750,if(not(iserror(index(split(C3750, "" ""),3))), index(split(C3750, "" ""),3),index(split(C3750, "" ""),2)))"),"")</f>
        <v/>
      </c>
      <c r="U3750" s="38" t="b">
        <f t="shared" si="423"/>
        <v>0</v>
      </c>
      <c r="V3750" s="38"/>
      <c r="W3750" s="40"/>
      <c r="X3750" s="40"/>
      <c r="Y3750" s="40"/>
      <c r="Z3750" s="38"/>
      <c r="AA3750" s="38"/>
      <c r="AB3750" s="38"/>
      <c r="AC3750" s="38"/>
      <c r="AD3750" s="38"/>
      <c r="AE3750" s="38"/>
      <c r="AF3750" s="38"/>
      <c r="AG3750" s="38"/>
      <c r="AH3750" s="38"/>
      <c r="AI3750" s="38"/>
      <c r="AJ3750" s="38"/>
      <c r="AK3750" s="38"/>
      <c r="AL3750" s="38"/>
      <c r="AM3750" s="38"/>
      <c r="AN3750" s="38"/>
      <c r="AO3750" s="38"/>
      <c r="AP3750" s="38"/>
      <c r="AQ3750" s="38"/>
      <c r="AR3750" s="38"/>
      <c r="AS3750" s="38"/>
      <c r="AT3750" s="38"/>
      <c r="AU3750" s="38"/>
      <c r="AV3750" s="38"/>
      <c r="AW3750" s="38"/>
      <c r="AX3750" s="38"/>
      <c r="AY3750" s="38"/>
      <c r="AZ3750" s="38"/>
      <c r="BA3750" s="38"/>
      <c r="BB3750" s="38"/>
      <c r="BC3750" s="38"/>
      <c r="BD3750" s="38"/>
      <c r="BE3750" s="38"/>
      <c r="BF3750" s="38"/>
      <c r="BG3750" s="38"/>
      <c r="BH3750" s="38"/>
      <c r="BI3750" s="38"/>
      <c r="BJ3750" s="38"/>
      <c r="BK3750" s="38"/>
      <c r="BL3750" s="38"/>
      <c r="BM3750" s="38"/>
      <c r="BN3750" s="38"/>
      <c r="BO3750" s="38"/>
      <c r="BP3750" s="38"/>
      <c r="BQ3750" s="38"/>
    </row>
    <row r="3751">
      <c r="A3751" s="16"/>
      <c r="B3751" s="145"/>
      <c r="C3751" s="146"/>
      <c r="D3751" s="146"/>
      <c r="E3751" s="16"/>
      <c r="F3751" s="91"/>
      <c r="G3751" s="16"/>
      <c r="H3751" s="320" t="str">
        <f t="shared" si="424"/>
        <v/>
      </c>
      <c r="I3751" s="16"/>
      <c r="J3751" s="16"/>
      <c r="K3751" s="16"/>
      <c r="L3751" s="16"/>
      <c r="M3751" s="15"/>
      <c r="N3751" s="15"/>
      <c r="O3751" s="16"/>
      <c r="P3751" s="16"/>
      <c r="Q3751" s="16"/>
      <c r="R3751" s="16"/>
      <c r="S3751" s="37" t="str">
        <f>IFERROR(__xludf.DUMMYFUNCTION("if(not(iserror(index(split(C3751, "" ""),2))), index(split(C3751, "" ""),1),"""")"),"")</f>
        <v/>
      </c>
      <c r="T3751" s="315" t="str">
        <f>IFERROR(__xludf.DUMMYFUNCTION("if(S3751="""",C3751,if(not(iserror(index(split(C3751, "" ""),3))), index(split(C3751, "" ""),3),index(split(C3751, "" ""),2)))"),"")</f>
        <v/>
      </c>
      <c r="U3751" s="38" t="b">
        <f t="shared" si="423"/>
        <v>0</v>
      </c>
      <c r="V3751" s="38"/>
      <c r="W3751" s="40"/>
      <c r="X3751" s="40"/>
      <c r="Y3751" s="40"/>
      <c r="Z3751" s="38"/>
      <c r="AA3751" s="38"/>
      <c r="AB3751" s="38"/>
      <c r="AC3751" s="38"/>
      <c r="AD3751" s="38"/>
      <c r="AE3751" s="38"/>
      <c r="AF3751" s="38"/>
      <c r="AG3751" s="38"/>
      <c r="AH3751" s="38"/>
      <c r="AI3751" s="38"/>
      <c r="AJ3751" s="38"/>
      <c r="AK3751" s="38"/>
      <c r="AL3751" s="38"/>
      <c r="AM3751" s="38"/>
      <c r="AN3751" s="38"/>
      <c r="AO3751" s="38"/>
      <c r="AP3751" s="38"/>
      <c r="AQ3751" s="38"/>
      <c r="AR3751" s="38"/>
      <c r="AS3751" s="38"/>
      <c r="AT3751" s="38"/>
      <c r="AU3751" s="38"/>
      <c r="AV3751" s="38"/>
      <c r="AW3751" s="38"/>
      <c r="AX3751" s="38"/>
      <c r="AY3751" s="38"/>
      <c r="AZ3751" s="38"/>
      <c r="BA3751" s="38"/>
      <c r="BB3751" s="38"/>
      <c r="BC3751" s="38"/>
      <c r="BD3751" s="38"/>
      <c r="BE3751" s="38"/>
      <c r="BF3751" s="38"/>
      <c r="BG3751" s="38"/>
      <c r="BH3751" s="38"/>
      <c r="BI3751" s="38"/>
      <c r="BJ3751" s="38"/>
      <c r="BK3751" s="38"/>
      <c r="BL3751" s="38"/>
      <c r="BM3751" s="38"/>
      <c r="BN3751" s="38"/>
      <c r="BO3751" s="38"/>
      <c r="BP3751" s="38"/>
      <c r="BQ3751" s="38"/>
    </row>
    <row r="3752">
      <c r="A3752" s="16"/>
      <c r="B3752" s="145"/>
      <c r="C3752" s="146"/>
      <c r="D3752" s="146"/>
      <c r="E3752" s="16"/>
      <c r="F3752" s="91"/>
      <c r="G3752" s="16"/>
      <c r="H3752" s="320" t="str">
        <f t="shared" si="424"/>
        <v/>
      </c>
      <c r="I3752" s="16"/>
      <c r="J3752" s="16"/>
      <c r="K3752" s="16"/>
      <c r="L3752" s="16"/>
      <c r="M3752" s="15"/>
      <c r="N3752" s="15"/>
      <c r="O3752" s="16"/>
      <c r="P3752" s="16"/>
      <c r="Q3752" s="16"/>
      <c r="R3752" s="16"/>
      <c r="S3752" s="37" t="str">
        <f>IFERROR(__xludf.DUMMYFUNCTION("if(not(iserror(index(split(C3752, "" ""),2))), index(split(C3752, "" ""),1),"""")"),"")</f>
        <v/>
      </c>
      <c r="T3752" s="315" t="str">
        <f>IFERROR(__xludf.DUMMYFUNCTION("if(S3752="""",C3752,if(not(iserror(index(split(C3752, "" ""),3))), index(split(C3752, "" ""),3),index(split(C3752, "" ""),2)))"),"")</f>
        <v/>
      </c>
      <c r="U3752" s="38" t="b">
        <f t="shared" si="423"/>
        <v>0</v>
      </c>
      <c r="V3752" s="38"/>
      <c r="W3752" s="40"/>
      <c r="X3752" s="40"/>
      <c r="Y3752" s="40"/>
      <c r="Z3752" s="38"/>
      <c r="AA3752" s="38"/>
      <c r="AB3752" s="38"/>
      <c r="AC3752" s="38"/>
      <c r="AD3752" s="38"/>
      <c r="AE3752" s="38"/>
      <c r="AF3752" s="38"/>
      <c r="AG3752" s="38"/>
      <c r="AH3752" s="38"/>
      <c r="AI3752" s="38"/>
      <c r="AJ3752" s="38"/>
      <c r="AK3752" s="38"/>
      <c r="AL3752" s="38"/>
      <c r="AM3752" s="38"/>
      <c r="AN3752" s="38"/>
      <c r="AO3752" s="38"/>
      <c r="AP3752" s="38"/>
      <c r="AQ3752" s="38"/>
      <c r="AR3752" s="38"/>
      <c r="AS3752" s="38"/>
      <c r="AT3752" s="38"/>
      <c r="AU3752" s="38"/>
      <c r="AV3752" s="38"/>
      <c r="AW3752" s="38"/>
      <c r="AX3752" s="38"/>
      <c r="AY3752" s="38"/>
      <c r="AZ3752" s="38"/>
      <c r="BA3752" s="38"/>
      <c r="BB3752" s="38"/>
      <c r="BC3752" s="38"/>
      <c r="BD3752" s="38"/>
      <c r="BE3752" s="38"/>
      <c r="BF3752" s="38"/>
      <c r="BG3752" s="38"/>
      <c r="BH3752" s="38"/>
      <c r="BI3752" s="38"/>
      <c r="BJ3752" s="38"/>
      <c r="BK3752" s="38"/>
      <c r="BL3752" s="38"/>
      <c r="BM3752" s="38"/>
      <c r="BN3752" s="38"/>
      <c r="BO3752" s="38"/>
      <c r="BP3752" s="38"/>
      <c r="BQ3752" s="38"/>
    </row>
    <row r="3753">
      <c r="A3753" s="16"/>
      <c r="B3753" s="145"/>
      <c r="C3753" s="146"/>
      <c r="D3753" s="146"/>
      <c r="E3753" s="16"/>
      <c r="F3753" s="91"/>
      <c r="G3753" s="16"/>
      <c r="H3753" s="320" t="str">
        <f t="shared" si="424"/>
        <v/>
      </c>
      <c r="I3753" s="16"/>
      <c r="J3753" s="16"/>
      <c r="K3753" s="16"/>
      <c r="L3753" s="16"/>
      <c r="M3753" s="15"/>
      <c r="N3753" s="15"/>
      <c r="O3753" s="16"/>
      <c r="P3753" s="16"/>
      <c r="Q3753" s="16"/>
      <c r="R3753" s="16"/>
      <c r="S3753" s="37" t="str">
        <f>IFERROR(__xludf.DUMMYFUNCTION("if(not(iserror(index(split(C3753, "" ""),2))), index(split(C3753, "" ""),1),"""")"),"")</f>
        <v/>
      </c>
      <c r="T3753" s="315" t="str">
        <f>IFERROR(__xludf.DUMMYFUNCTION("if(S3753="""",C3753,if(not(iserror(index(split(C3753, "" ""),3))), index(split(C3753, "" ""),3),index(split(C3753, "" ""),2)))"),"")</f>
        <v/>
      </c>
      <c r="U3753" s="38" t="b">
        <f t="shared" si="423"/>
        <v>0</v>
      </c>
      <c r="V3753" s="38"/>
      <c r="W3753" s="40"/>
      <c r="X3753" s="40"/>
      <c r="Y3753" s="40"/>
      <c r="Z3753" s="38"/>
      <c r="AA3753" s="38"/>
      <c r="AB3753" s="38"/>
      <c r="AC3753" s="38"/>
      <c r="AD3753" s="38"/>
      <c r="AE3753" s="38"/>
      <c r="AF3753" s="38"/>
      <c r="AG3753" s="38"/>
      <c r="AH3753" s="38"/>
      <c r="AI3753" s="38"/>
      <c r="AJ3753" s="38"/>
      <c r="AK3753" s="38"/>
      <c r="AL3753" s="38"/>
      <c r="AM3753" s="38"/>
      <c r="AN3753" s="38"/>
      <c r="AO3753" s="38"/>
      <c r="AP3753" s="38"/>
      <c r="AQ3753" s="38"/>
      <c r="AR3753" s="38"/>
      <c r="AS3753" s="38"/>
      <c r="AT3753" s="38"/>
      <c r="AU3753" s="38"/>
      <c r="AV3753" s="38"/>
      <c r="AW3753" s="38"/>
      <c r="AX3753" s="38"/>
      <c r="AY3753" s="38"/>
      <c r="AZ3753" s="38"/>
      <c r="BA3753" s="38"/>
      <c r="BB3753" s="38"/>
      <c r="BC3753" s="38"/>
      <c r="BD3753" s="38"/>
      <c r="BE3753" s="38"/>
      <c r="BF3753" s="38"/>
      <c r="BG3753" s="38"/>
      <c r="BH3753" s="38"/>
      <c r="BI3753" s="38"/>
      <c r="BJ3753" s="38"/>
      <c r="BK3753" s="38"/>
      <c r="BL3753" s="38"/>
      <c r="BM3753" s="38"/>
      <c r="BN3753" s="38"/>
      <c r="BO3753" s="38"/>
      <c r="BP3753" s="38"/>
      <c r="BQ3753" s="38"/>
    </row>
    <row r="3754">
      <c r="A3754" s="16"/>
      <c r="B3754" s="145"/>
      <c r="C3754" s="146"/>
      <c r="D3754" s="146"/>
      <c r="E3754" s="16"/>
      <c r="F3754" s="91"/>
      <c r="G3754" s="16"/>
      <c r="H3754" s="320" t="str">
        <f t="shared" si="424"/>
        <v/>
      </c>
      <c r="I3754" s="16"/>
      <c r="J3754" s="16"/>
      <c r="K3754" s="16"/>
      <c r="L3754" s="16"/>
      <c r="M3754" s="15"/>
      <c r="N3754" s="15"/>
      <c r="O3754" s="16"/>
      <c r="P3754" s="16"/>
      <c r="Q3754" s="16"/>
      <c r="R3754" s="16"/>
      <c r="S3754" s="37" t="str">
        <f>IFERROR(__xludf.DUMMYFUNCTION("if(not(iserror(index(split(C3754, "" ""),2))), index(split(C3754, "" ""),1),"""")"),"")</f>
        <v/>
      </c>
      <c r="T3754" s="315" t="str">
        <f>IFERROR(__xludf.DUMMYFUNCTION("if(S3754="""",C3754,if(not(iserror(index(split(C3754, "" ""),3))), index(split(C3754, "" ""),3),index(split(C3754, "" ""),2)))"),"")</f>
        <v/>
      </c>
      <c r="U3754" s="38" t="b">
        <f t="shared" si="423"/>
        <v>0</v>
      </c>
      <c r="V3754" s="38"/>
      <c r="W3754" s="40"/>
      <c r="X3754" s="40"/>
      <c r="Y3754" s="40"/>
      <c r="Z3754" s="38"/>
      <c r="AA3754" s="38"/>
      <c r="AB3754" s="38"/>
      <c r="AC3754" s="38"/>
      <c r="AD3754" s="38"/>
      <c r="AE3754" s="38"/>
      <c r="AF3754" s="38"/>
      <c r="AG3754" s="38"/>
      <c r="AH3754" s="38"/>
      <c r="AI3754" s="38"/>
      <c r="AJ3754" s="38"/>
      <c r="AK3754" s="38"/>
      <c r="AL3754" s="38"/>
      <c r="AM3754" s="38"/>
      <c r="AN3754" s="38"/>
      <c r="AO3754" s="38"/>
      <c r="AP3754" s="38"/>
      <c r="AQ3754" s="38"/>
      <c r="AR3754" s="38"/>
      <c r="AS3754" s="38"/>
      <c r="AT3754" s="38"/>
      <c r="AU3754" s="38"/>
      <c r="AV3754" s="38"/>
      <c r="AW3754" s="38"/>
      <c r="AX3754" s="38"/>
      <c r="AY3754" s="38"/>
      <c r="AZ3754" s="38"/>
      <c r="BA3754" s="38"/>
      <c r="BB3754" s="38"/>
      <c r="BC3754" s="38"/>
      <c r="BD3754" s="38"/>
      <c r="BE3754" s="38"/>
      <c r="BF3754" s="38"/>
      <c r="BG3754" s="38"/>
      <c r="BH3754" s="38"/>
      <c r="BI3754" s="38"/>
      <c r="BJ3754" s="38"/>
      <c r="BK3754" s="38"/>
      <c r="BL3754" s="38"/>
      <c r="BM3754" s="38"/>
      <c r="BN3754" s="38"/>
      <c r="BO3754" s="38"/>
      <c r="BP3754" s="38"/>
      <c r="BQ3754" s="38"/>
    </row>
    <row r="3755">
      <c r="A3755" s="16"/>
      <c r="B3755" s="145"/>
      <c r="C3755" s="146"/>
      <c r="D3755" s="146"/>
      <c r="E3755" s="16"/>
      <c r="F3755" s="91"/>
      <c r="G3755" s="16"/>
      <c r="H3755" s="320" t="str">
        <f t="shared" si="424"/>
        <v/>
      </c>
      <c r="I3755" s="16"/>
      <c r="J3755" s="16"/>
      <c r="K3755" s="16"/>
      <c r="L3755" s="16"/>
      <c r="M3755" s="15"/>
      <c r="N3755" s="15"/>
      <c r="O3755" s="16"/>
      <c r="P3755" s="16"/>
      <c r="Q3755" s="16"/>
      <c r="R3755" s="16"/>
      <c r="S3755" s="37" t="str">
        <f>IFERROR(__xludf.DUMMYFUNCTION("if(not(iserror(index(split(C3755, "" ""),2))), index(split(C3755, "" ""),1),"""")"),"")</f>
        <v/>
      </c>
      <c r="T3755" s="315" t="str">
        <f>IFERROR(__xludf.DUMMYFUNCTION("if(S3755="""",C3755,if(not(iserror(index(split(C3755, "" ""),3))), index(split(C3755, "" ""),3),index(split(C3755, "" ""),2)))"),"")</f>
        <v/>
      </c>
      <c r="U3755" s="38" t="b">
        <f t="shared" si="423"/>
        <v>0</v>
      </c>
      <c r="V3755" s="38"/>
      <c r="W3755" s="40"/>
      <c r="X3755" s="40"/>
      <c r="Y3755" s="40"/>
      <c r="Z3755" s="38"/>
      <c r="AA3755" s="38"/>
      <c r="AB3755" s="38"/>
      <c r="AC3755" s="38"/>
      <c r="AD3755" s="38"/>
      <c r="AE3755" s="38"/>
      <c r="AF3755" s="38"/>
      <c r="AG3755" s="38"/>
      <c r="AH3755" s="38"/>
      <c r="AI3755" s="38"/>
      <c r="AJ3755" s="38"/>
      <c r="AK3755" s="38"/>
      <c r="AL3755" s="38"/>
      <c r="AM3755" s="38"/>
      <c r="AN3755" s="38"/>
      <c r="AO3755" s="38"/>
      <c r="AP3755" s="38"/>
      <c r="AQ3755" s="38"/>
      <c r="AR3755" s="38"/>
      <c r="AS3755" s="38"/>
      <c r="AT3755" s="38"/>
      <c r="AU3755" s="38"/>
      <c r="AV3755" s="38"/>
      <c r="AW3755" s="38"/>
      <c r="AX3755" s="38"/>
      <c r="AY3755" s="38"/>
      <c r="AZ3755" s="38"/>
      <c r="BA3755" s="38"/>
      <c r="BB3755" s="38"/>
      <c r="BC3755" s="38"/>
      <c r="BD3755" s="38"/>
      <c r="BE3755" s="38"/>
      <c r="BF3755" s="38"/>
      <c r="BG3755" s="38"/>
      <c r="BH3755" s="38"/>
      <c r="BI3755" s="38"/>
      <c r="BJ3755" s="38"/>
      <c r="BK3755" s="38"/>
      <c r="BL3755" s="38"/>
      <c r="BM3755" s="38"/>
      <c r="BN3755" s="38"/>
      <c r="BO3755" s="38"/>
      <c r="BP3755" s="38"/>
      <c r="BQ3755" s="38"/>
    </row>
    <row r="3756">
      <c r="A3756" s="16"/>
      <c r="B3756" s="145"/>
      <c r="C3756" s="146"/>
      <c r="D3756" s="146"/>
      <c r="E3756" s="16"/>
      <c r="F3756" s="91"/>
      <c r="G3756" s="16"/>
      <c r="H3756" s="320" t="str">
        <f t="shared" si="424"/>
        <v/>
      </c>
      <c r="I3756" s="16"/>
      <c r="J3756" s="16"/>
      <c r="K3756" s="16"/>
      <c r="L3756" s="16"/>
      <c r="M3756" s="15"/>
      <c r="N3756" s="15"/>
      <c r="O3756" s="16"/>
      <c r="P3756" s="16"/>
      <c r="Q3756" s="16"/>
      <c r="R3756" s="16"/>
      <c r="S3756" s="37" t="str">
        <f>IFERROR(__xludf.DUMMYFUNCTION("if(not(iserror(index(split(C3756, "" ""),2))), index(split(C3756, "" ""),1),"""")"),"")</f>
        <v/>
      </c>
      <c r="T3756" s="315" t="str">
        <f>IFERROR(__xludf.DUMMYFUNCTION("if(S3756="""",C3756,if(not(iserror(index(split(C3756, "" ""),3))), index(split(C3756, "" ""),3),index(split(C3756, "" ""),2)))"),"")</f>
        <v/>
      </c>
      <c r="U3756" s="38" t="b">
        <f t="shared" si="423"/>
        <v>0</v>
      </c>
      <c r="V3756" s="38"/>
      <c r="W3756" s="40"/>
      <c r="X3756" s="40"/>
      <c r="Y3756" s="40"/>
      <c r="Z3756" s="38"/>
      <c r="AA3756" s="38"/>
      <c r="AB3756" s="38"/>
      <c r="AC3756" s="38"/>
      <c r="AD3756" s="38"/>
      <c r="AE3756" s="38"/>
      <c r="AF3756" s="38"/>
      <c r="AG3756" s="38"/>
      <c r="AH3756" s="38"/>
      <c r="AI3756" s="38"/>
      <c r="AJ3756" s="38"/>
      <c r="AK3756" s="38"/>
      <c r="AL3756" s="38"/>
      <c r="AM3756" s="38"/>
      <c r="AN3756" s="38"/>
      <c r="AO3756" s="38"/>
      <c r="AP3756" s="38"/>
      <c r="AQ3756" s="38"/>
      <c r="AR3756" s="38"/>
      <c r="AS3756" s="38"/>
      <c r="AT3756" s="38"/>
      <c r="AU3756" s="38"/>
      <c r="AV3756" s="38"/>
      <c r="AW3756" s="38"/>
      <c r="AX3756" s="38"/>
      <c r="AY3756" s="38"/>
      <c r="AZ3756" s="38"/>
      <c r="BA3756" s="38"/>
      <c r="BB3756" s="38"/>
      <c r="BC3756" s="38"/>
      <c r="BD3756" s="38"/>
      <c r="BE3756" s="38"/>
      <c r="BF3756" s="38"/>
      <c r="BG3756" s="38"/>
      <c r="BH3756" s="38"/>
      <c r="BI3756" s="38"/>
      <c r="BJ3756" s="38"/>
      <c r="BK3756" s="38"/>
      <c r="BL3756" s="38"/>
      <c r="BM3756" s="38"/>
      <c r="BN3756" s="38"/>
      <c r="BO3756" s="38"/>
      <c r="BP3756" s="38"/>
      <c r="BQ3756" s="38"/>
    </row>
    <row r="3757">
      <c r="A3757" s="16"/>
      <c r="B3757" s="145"/>
      <c r="C3757" s="146"/>
      <c r="D3757" s="146"/>
      <c r="E3757" s="16"/>
      <c r="F3757" s="91"/>
      <c r="G3757" s="16"/>
      <c r="H3757" s="320" t="str">
        <f t="shared" si="424"/>
        <v/>
      </c>
      <c r="I3757" s="16"/>
      <c r="J3757" s="16"/>
      <c r="K3757" s="16"/>
      <c r="L3757" s="16"/>
      <c r="M3757" s="15"/>
      <c r="N3757" s="15"/>
      <c r="O3757" s="16"/>
      <c r="P3757" s="16"/>
      <c r="Q3757" s="16"/>
      <c r="R3757" s="16"/>
      <c r="S3757" s="37" t="str">
        <f>IFERROR(__xludf.DUMMYFUNCTION("if(not(iserror(index(split(C3757, "" ""),2))), index(split(C3757, "" ""),1),"""")"),"")</f>
        <v/>
      </c>
      <c r="T3757" s="315" t="str">
        <f>IFERROR(__xludf.DUMMYFUNCTION("if(S3757="""",C3757,if(not(iserror(index(split(C3757, "" ""),3))), index(split(C3757, "" ""),3),index(split(C3757, "" ""),2)))"),"")</f>
        <v/>
      </c>
      <c r="U3757" s="38" t="b">
        <f t="shared" si="423"/>
        <v>0</v>
      </c>
      <c r="V3757" s="38"/>
      <c r="W3757" s="40"/>
      <c r="X3757" s="40"/>
      <c r="Y3757" s="40"/>
      <c r="Z3757" s="38"/>
      <c r="AA3757" s="38"/>
      <c r="AB3757" s="38"/>
      <c r="AC3757" s="38"/>
      <c r="AD3757" s="38"/>
      <c r="AE3757" s="38"/>
      <c r="AF3757" s="38"/>
      <c r="AG3757" s="38"/>
      <c r="AH3757" s="38"/>
      <c r="AI3757" s="38"/>
      <c r="AJ3757" s="38"/>
      <c r="AK3757" s="38"/>
      <c r="AL3757" s="38"/>
      <c r="AM3757" s="38"/>
      <c r="AN3757" s="38"/>
      <c r="AO3757" s="38"/>
      <c r="AP3757" s="38"/>
      <c r="AQ3757" s="38"/>
      <c r="AR3757" s="38"/>
      <c r="AS3757" s="38"/>
      <c r="AT3757" s="38"/>
      <c r="AU3757" s="38"/>
      <c r="AV3757" s="38"/>
      <c r="AW3757" s="38"/>
      <c r="AX3757" s="38"/>
      <c r="AY3757" s="38"/>
      <c r="AZ3757" s="38"/>
      <c r="BA3757" s="38"/>
      <c r="BB3757" s="38"/>
      <c r="BC3757" s="38"/>
      <c r="BD3757" s="38"/>
      <c r="BE3757" s="38"/>
      <c r="BF3757" s="38"/>
      <c r="BG3757" s="38"/>
      <c r="BH3757" s="38"/>
      <c r="BI3757" s="38"/>
      <c r="BJ3757" s="38"/>
      <c r="BK3757" s="38"/>
      <c r="BL3757" s="38"/>
      <c r="BM3757" s="38"/>
      <c r="BN3757" s="38"/>
      <c r="BO3757" s="38"/>
      <c r="BP3757" s="38"/>
      <c r="BQ3757" s="38"/>
    </row>
    <row r="3758">
      <c r="A3758" s="16"/>
      <c r="B3758" s="145"/>
      <c r="C3758" s="146"/>
      <c r="D3758" s="146"/>
      <c r="E3758" s="16"/>
      <c r="F3758" s="91"/>
      <c r="G3758" s="16"/>
      <c r="H3758" s="320" t="str">
        <f t="shared" si="424"/>
        <v/>
      </c>
      <c r="I3758" s="16"/>
      <c r="J3758" s="16"/>
      <c r="K3758" s="16"/>
      <c r="L3758" s="16"/>
      <c r="M3758" s="15"/>
      <c r="N3758" s="15"/>
      <c r="O3758" s="16"/>
      <c r="P3758" s="16"/>
      <c r="Q3758" s="16"/>
      <c r="R3758" s="16"/>
      <c r="S3758" s="37" t="str">
        <f>IFERROR(__xludf.DUMMYFUNCTION("if(not(iserror(index(split(C3758, "" ""),2))), index(split(C3758, "" ""),1),"""")"),"")</f>
        <v/>
      </c>
      <c r="T3758" s="315" t="str">
        <f>IFERROR(__xludf.DUMMYFUNCTION("if(S3758="""",C3758,if(not(iserror(index(split(C3758, "" ""),3))), index(split(C3758, "" ""),3),index(split(C3758, "" ""),2)))"),"")</f>
        <v/>
      </c>
      <c r="U3758" s="38" t="b">
        <f t="shared" si="423"/>
        <v>0</v>
      </c>
      <c r="V3758" s="38"/>
      <c r="W3758" s="40"/>
      <c r="X3758" s="40"/>
      <c r="Y3758" s="40"/>
      <c r="Z3758" s="38"/>
      <c r="AA3758" s="38"/>
      <c r="AB3758" s="38"/>
      <c r="AC3758" s="38"/>
      <c r="AD3758" s="38"/>
      <c r="AE3758" s="38"/>
      <c r="AF3758" s="38"/>
      <c r="AG3758" s="38"/>
      <c r="AH3758" s="38"/>
      <c r="AI3758" s="38"/>
      <c r="AJ3758" s="38"/>
      <c r="AK3758" s="38"/>
      <c r="AL3758" s="38"/>
      <c r="AM3758" s="38"/>
      <c r="AN3758" s="38"/>
      <c r="AO3758" s="38"/>
      <c r="AP3758" s="38"/>
      <c r="AQ3758" s="38"/>
      <c r="AR3758" s="38"/>
      <c r="AS3758" s="38"/>
      <c r="AT3758" s="38"/>
      <c r="AU3758" s="38"/>
      <c r="AV3758" s="38"/>
      <c r="AW3758" s="38"/>
      <c r="AX3758" s="38"/>
      <c r="AY3758" s="38"/>
      <c r="AZ3758" s="38"/>
      <c r="BA3758" s="38"/>
      <c r="BB3758" s="38"/>
      <c r="BC3758" s="38"/>
      <c r="BD3758" s="38"/>
      <c r="BE3758" s="38"/>
      <c r="BF3758" s="38"/>
      <c r="BG3758" s="38"/>
      <c r="BH3758" s="38"/>
      <c r="BI3758" s="38"/>
      <c r="BJ3758" s="38"/>
      <c r="BK3758" s="38"/>
      <c r="BL3758" s="38"/>
      <c r="BM3758" s="38"/>
      <c r="BN3758" s="38"/>
      <c r="BO3758" s="38"/>
      <c r="BP3758" s="38"/>
      <c r="BQ3758" s="38"/>
    </row>
    <row r="3759">
      <c r="A3759" s="16"/>
      <c r="B3759" s="145"/>
      <c r="C3759" s="146"/>
      <c r="D3759" s="146"/>
      <c r="E3759" s="16"/>
      <c r="F3759" s="91"/>
      <c r="G3759" s="16"/>
      <c r="H3759" s="320" t="str">
        <f t="shared" si="424"/>
        <v/>
      </c>
      <c r="I3759" s="16"/>
      <c r="J3759" s="16"/>
      <c r="K3759" s="16"/>
      <c r="L3759" s="16"/>
      <c r="M3759" s="15"/>
      <c r="N3759" s="15"/>
      <c r="O3759" s="16"/>
      <c r="P3759" s="16"/>
      <c r="Q3759" s="16"/>
      <c r="R3759" s="16"/>
      <c r="S3759" s="37" t="str">
        <f>IFERROR(__xludf.DUMMYFUNCTION("if(not(iserror(index(split(C3759, "" ""),2))), index(split(C3759, "" ""),1),"""")"),"")</f>
        <v/>
      </c>
      <c r="T3759" s="315" t="str">
        <f>IFERROR(__xludf.DUMMYFUNCTION("if(S3759="""",C3759,if(not(iserror(index(split(C3759, "" ""),3))), index(split(C3759, "" ""),3),index(split(C3759, "" ""),2)))"),"")</f>
        <v/>
      </c>
      <c r="U3759" s="38" t="b">
        <f t="shared" si="423"/>
        <v>0</v>
      </c>
      <c r="V3759" s="38"/>
      <c r="W3759" s="40"/>
      <c r="X3759" s="40"/>
      <c r="Y3759" s="40"/>
      <c r="Z3759" s="38"/>
      <c r="AA3759" s="38"/>
      <c r="AB3759" s="38"/>
      <c r="AC3759" s="38"/>
      <c r="AD3759" s="38"/>
      <c r="AE3759" s="38"/>
      <c r="AF3759" s="38"/>
      <c r="AG3759" s="38"/>
      <c r="AH3759" s="38"/>
      <c r="AI3759" s="38"/>
      <c r="AJ3759" s="38"/>
      <c r="AK3759" s="38"/>
      <c r="AL3759" s="38"/>
      <c r="AM3759" s="38"/>
      <c r="AN3759" s="38"/>
      <c r="AO3759" s="38"/>
      <c r="AP3759" s="38"/>
      <c r="AQ3759" s="38"/>
      <c r="AR3759" s="38"/>
      <c r="AS3759" s="38"/>
      <c r="AT3759" s="38"/>
      <c r="AU3759" s="38"/>
      <c r="AV3759" s="38"/>
      <c r="AW3759" s="38"/>
      <c r="AX3759" s="38"/>
      <c r="AY3759" s="38"/>
      <c r="AZ3759" s="38"/>
      <c r="BA3759" s="38"/>
      <c r="BB3759" s="38"/>
      <c r="BC3759" s="38"/>
      <c r="BD3759" s="38"/>
      <c r="BE3759" s="38"/>
      <c r="BF3759" s="38"/>
      <c r="BG3759" s="38"/>
      <c r="BH3759" s="38"/>
      <c r="BI3759" s="38"/>
      <c r="BJ3759" s="38"/>
      <c r="BK3759" s="38"/>
      <c r="BL3759" s="38"/>
      <c r="BM3759" s="38"/>
      <c r="BN3759" s="38"/>
      <c r="BO3759" s="38"/>
      <c r="BP3759" s="38"/>
      <c r="BQ3759" s="38"/>
    </row>
    <row r="3760">
      <c r="A3760" s="16"/>
      <c r="B3760" s="145"/>
      <c r="C3760" s="146"/>
      <c r="D3760" s="146"/>
      <c r="E3760" s="16"/>
      <c r="F3760" s="91"/>
      <c r="G3760" s="16"/>
      <c r="H3760" s="320" t="str">
        <f t="shared" si="424"/>
        <v/>
      </c>
      <c r="I3760" s="16"/>
      <c r="J3760" s="16"/>
      <c r="K3760" s="16"/>
      <c r="L3760" s="16"/>
      <c r="M3760" s="15"/>
      <c r="N3760" s="15"/>
      <c r="O3760" s="16"/>
      <c r="P3760" s="16"/>
      <c r="Q3760" s="16"/>
      <c r="R3760" s="16"/>
      <c r="S3760" s="37" t="str">
        <f>IFERROR(__xludf.DUMMYFUNCTION("if(not(iserror(index(split(C3760, "" ""),2))), index(split(C3760, "" ""),1),"""")"),"")</f>
        <v/>
      </c>
      <c r="T3760" s="315" t="str">
        <f>IFERROR(__xludf.DUMMYFUNCTION("if(S3760="""",C3760,if(not(iserror(index(split(C3760, "" ""),3))), index(split(C3760, "" ""),3),index(split(C3760, "" ""),2)))"),"")</f>
        <v/>
      </c>
      <c r="U3760" s="38" t="b">
        <f t="shared" si="423"/>
        <v>0</v>
      </c>
      <c r="V3760" s="38"/>
      <c r="W3760" s="40"/>
      <c r="X3760" s="40"/>
      <c r="Y3760" s="40"/>
      <c r="Z3760" s="38"/>
      <c r="AA3760" s="38"/>
      <c r="AB3760" s="38"/>
      <c r="AC3760" s="38"/>
      <c r="AD3760" s="38"/>
      <c r="AE3760" s="38"/>
      <c r="AF3760" s="38"/>
      <c r="AG3760" s="38"/>
      <c r="AH3760" s="38"/>
      <c r="AI3760" s="38"/>
      <c r="AJ3760" s="38"/>
      <c r="AK3760" s="38"/>
      <c r="AL3760" s="38"/>
      <c r="AM3760" s="38"/>
      <c r="AN3760" s="38"/>
      <c r="AO3760" s="38"/>
      <c r="AP3760" s="38"/>
      <c r="AQ3760" s="38"/>
      <c r="AR3760" s="38"/>
      <c r="AS3760" s="38"/>
      <c r="AT3760" s="38"/>
      <c r="AU3760" s="38"/>
      <c r="AV3760" s="38"/>
      <c r="AW3760" s="38"/>
      <c r="AX3760" s="38"/>
      <c r="AY3760" s="38"/>
      <c r="AZ3760" s="38"/>
      <c r="BA3760" s="38"/>
      <c r="BB3760" s="38"/>
      <c r="BC3760" s="38"/>
      <c r="BD3760" s="38"/>
      <c r="BE3760" s="38"/>
      <c r="BF3760" s="38"/>
      <c r="BG3760" s="38"/>
      <c r="BH3760" s="38"/>
      <c r="BI3760" s="38"/>
      <c r="BJ3760" s="38"/>
      <c r="BK3760" s="38"/>
      <c r="BL3760" s="38"/>
      <c r="BM3760" s="38"/>
      <c r="BN3760" s="38"/>
      <c r="BO3760" s="38"/>
      <c r="BP3760" s="38"/>
      <c r="BQ3760" s="38"/>
    </row>
    <row r="3761">
      <c r="A3761" s="16"/>
      <c r="B3761" s="145"/>
      <c r="C3761" s="146"/>
      <c r="D3761" s="146"/>
      <c r="E3761" s="16"/>
      <c r="F3761" s="91"/>
      <c r="G3761" s="16"/>
      <c r="H3761" s="320" t="str">
        <f t="shared" si="424"/>
        <v/>
      </c>
      <c r="I3761" s="16"/>
      <c r="J3761" s="16"/>
      <c r="K3761" s="16"/>
      <c r="L3761" s="16"/>
      <c r="M3761" s="15"/>
      <c r="N3761" s="15"/>
      <c r="O3761" s="16"/>
      <c r="P3761" s="16"/>
      <c r="Q3761" s="16"/>
      <c r="R3761" s="16"/>
      <c r="S3761" s="37" t="str">
        <f>IFERROR(__xludf.DUMMYFUNCTION("if(not(iserror(index(split(C3761, "" ""),2))), index(split(C3761, "" ""),1),"""")"),"")</f>
        <v/>
      </c>
      <c r="T3761" s="315" t="str">
        <f>IFERROR(__xludf.DUMMYFUNCTION("if(S3761="""",C3761,if(not(iserror(index(split(C3761, "" ""),3))), index(split(C3761, "" ""),3),index(split(C3761, "" ""),2)))"),"")</f>
        <v/>
      </c>
      <c r="U3761" s="38" t="b">
        <f t="shared" si="423"/>
        <v>0</v>
      </c>
      <c r="V3761" s="38"/>
      <c r="W3761" s="40"/>
      <c r="X3761" s="40"/>
      <c r="Y3761" s="40"/>
      <c r="Z3761" s="38"/>
      <c r="AA3761" s="38"/>
      <c r="AB3761" s="38"/>
      <c r="AC3761" s="38"/>
      <c r="AD3761" s="38"/>
      <c r="AE3761" s="38"/>
      <c r="AF3761" s="38"/>
      <c r="AG3761" s="38"/>
      <c r="AH3761" s="38"/>
      <c r="AI3761" s="38"/>
      <c r="AJ3761" s="38"/>
      <c r="AK3761" s="38"/>
      <c r="AL3761" s="38"/>
      <c r="AM3761" s="38"/>
      <c r="AN3761" s="38"/>
      <c r="AO3761" s="38"/>
      <c r="AP3761" s="38"/>
      <c r="AQ3761" s="38"/>
      <c r="AR3761" s="38"/>
      <c r="AS3761" s="38"/>
      <c r="AT3761" s="38"/>
      <c r="AU3761" s="38"/>
      <c r="AV3761" s="38"/>
      <c r="AW3761" s="38"/>
      <c r="AX3761" s="38"/>
      <c r="AY3761" s="38"/>
      <c r="AZ3761" s="38"/>
      <c r="BA3761" s="38"/>
      <c r="BB3761" s="38"/>
      <c r="BC3761" s="38"/>
      <c r="BD3761" s="38"/>
      <c r="BE3761" s="38"/>
      <c r="BF3761" s="38"/>
      <c r="BG3761" s="38"/>
      <c r="BH3761" s="38"/>
      <c r="BI3761" s="38"/>
      <c r="BJ3761" s="38"/>
      <c r="BK3761" s="38"/>
      <c r="BL3761" s="38"/>
      <c r="BM3761" s="38"/>
      <c r="BN3761" s="38"/>
      <c r="BO3761" s="38"/>
      <c r="BP3761" s="38"/>
      <c r="BQ3761" s="38"/>
    </row>
    <row r="3762">
      <c r="A3762" s="16"/>
      <c r="B3762" s="145"/>
      <c r="C3762" s="146"/>
      <c r="D3762" s="146"/>
      <c r="E3762" s="16"/>
      <c r="F3762" s="91"/>
      <c r="G3762" s="16"/>
      <c r="H3762" s="320" t="str">
        <f t="shared" si="424"/>
        <v/>
      </c>
      <c r="I3762" s="16"/>
      <c r="J3762" s="16"/>
      <c r="K3762" s="16"/>
      <c r="L3762" s="16"/>
      <c r="M3762" s="15"/>
      <c r="N3762" s="15"/>
      <c r="O3762" s="16"/>
      <c r="P3762" s="16"/>
      <c r="Q3762" s="16"/>
      <c r="R3762" s="16"/>
      <c r="S3762" s="37" t="str">
        <f>IFERROR(__xludf.DUMMYFUNCTION("if(not(iserror(index(split(C3762, "" ""),2))), index(split(C3762, "" ""),1),"""")"),"")</f>
        <v/>
      </c>
      <c r="T3762" s="315" t="str">
        <f>IFERROR(__xludf.DUMMYFUNCTION("if(S3762="""",C3762,if(not(iserror(index(split(C3762, "" ""),3))), index(split(C3762, "" ""),3),index(split(C3762, "" ""),2)))"),"")</f>
        <v/>
      </c>
      <c r="U3762" s="38" t="b">
        <f t="shared" si="423"/>
        <v>0</v>
      </c>
      <c r="V3762" s="38"/>
      <c r="W3762" s="40"/>
      <c r="X3762" s="40"/>
      <c r="Y3762" s="40"/>
      <c r="Z3762" s="38"/>
      <c r="AA3762" s="38"/>
      <c r="AB3762" s="38"/>
      <c r="AC3762" s="38"/>
      <c r="AD3762" s="38"/>
      <c r="AE3762" s="38"/>
      <c r="AF3762" s="38"/>
      <c r="AG3762" s="38"/>
      <c r="AH3762" s="38"/>
      <c r="AI3762" s="38"/>
      <c r="AJ3762" s="38"/>
      <c r="AK3762" s="38"/>
      <c r="AL3762" s="38"/>
      <c r="AM3762" s="38"/>
      <c r="AN3762" s="38"/>
      <c r="AO3762" s="38"/>
      <c r="AP3762" s="38"/>
      <c r="AQ3762" s="38"/>
      <c r="AR3762" s="38"/>
      <c r="AS3762" s="38"/>
      <c r="AT3762" s="38"/>
      <c r="AU3762" s="38"/>
      <c r="AV3762" s="38"/>
      <c r="AW3762" s="38"/>
      <c r="AX3762" s="38"/>
      <c r="AY3762" s="38"/>
      <c r="AZ3762" s="38"/>
      <c r="BA3762" s="38"/>
      <c r="BB3762" s="38"/>
      <c r="BC3762" s="38"/>
      <c r="BD3762" s="38"/>
      <c r="BE3762" s="38"/>
      <c r="BF3762" s="38"/>
      <c r="BG3762" s="38"/>
      <c r="BH3762" s="38"/>
      <c r="BI3762" s="38"/>
      <c r="BJ3762" s="38"/>
      <c r="BK3762" s="38"/>
      <c r="BL3762" s="38"/>
      <c r="BM3762" s="38"/>
      <c r="BN3762" s="38"/>
      <c r="BO3762" s="38"/>
      <c r="BP3762" s="38"/>
      <c r="BQ3762" s="38"/>
    </row>
    <row r="3763">
      <c r="A3763" s="16"/>
      <c r="B3763" s="145"/>
      <c r="C3763" s="146"/>
      <c r="D3763" s="146"/>
      <c r="E3763" s="16"/>
      <c r="F3763" s="91"/>
      <c r="G3763" s="16"/>
      <c r="H3763" s="320" t="str">
        <f t="shared" si="424"/>
        <v/>
      </c>
      <c r="I3763" s="16"/>
      <c r="J3763" s="16"/>
      <c r="K3763" s="16"/>
      <c r="L3763" s="16"/>
      <c r="M3763" s="15"/>
      <c r="N3763" s="15"/>
      <c r="O3763" s="16"/>
      <c r="P3763" s="16"/>
      <c r="Q3763" s="16"/>
      <c r="R3763" s="16"/>
      <c r="S3763" s="37" t="str">
        <f>IFERROR(__xludf.DUMMYFUNCTION("if(not(iserror(index(split(C3763, "" ""),2))), index(split(C3763, "" ""),1),"""")"),"")</f>
        <v/>
      </c>
      <c r="T3763" s="315" t="str">
        <f>IFERROR(__xludf.DUMMYFUNCTION("if(S3763="""",C3763,if(not(iserror(index(split(C3763, "" ""),3))), index(split(C3763, "" ""),3),index(split(C3763, "" ""),2)))"),"")</f>
        <v/>
      </c>
      <c r="U3763" s="38" t="b">
        <f t="shared" si="423"/>
        <v>0</v>
      </c>
      <c r="V3763" s="38"/>
      <c r="W3763" s="40"/>
      <c r="X3763" s="40"/>
      <c r="Y3763" s="40"/>
      <c r="Z3763" s="38"/>
      <c r="AA3763" s="38"/>
      <c r="AB3763" s="38"/>
      <c r="AC3763" s="38"/>
      <c r="AD3763" s="38"/>
      <c r="AE3763" s="38"/>
      <c r="AF3763" s="38"/>
      <c r="AG3763" s="38"/>
      <c r="AH3763" s="38"/>
      <c r="AI3763" s="38"/>
      <c r="AJ3763" s="38"/>
      <c r="AK3763" s="38"/>
      <c r="AL3763" s="38"/>
      <c r="AM3763" s="38"/>
      <c r="AN3763" s="38"/>
      <c r="AO3763" s="38"/>
      <c r="AP3763" s="38"/>
      <c r="AQ3763" s="38"/>
      <c r="AR3763" s="38"/>
      <c r="AS3763" s="38"/>
      <c r="AT3763" s="38"/>
      <c r="AU3763" s="38"/>
      <c r="AV3763" s="38"/>
      <c r="AW3763" s="38"/>
      <c r="AX3763" s="38"/>
      <c r="AY3763" s="38"/>
      <c r="AZ3763" s="38"/>
      <c r="BA3763" s="38"/>
      <c r="BB3763" s="38"/>
      <c r="BC3763" s="38"/>
      <c r="BD3763" s="38"/>
      <c r="BE3763" s="38"/>
      <c r="BF3763" s="38"/>
      <c r="BG3763" s="38"/>
      <c r="BH3763" s="38"/>
      <c r="BI3763" s="38"/>
      <c r="BJ3763" s="38"/>
      <c r="BK3763" s="38"/>
      <c r="BL3763" s="38"/>
      <c r="BM3763" s="38"/>
      <c r="BN3763" s="38"/>
      <c r="BO3763" s="38"/>
      <c r="BP3763" s="38"/>
      <c r="BQ3763" s="38"/>
    </row>
    <row r="3764">
      <c r="A3764" s="16"/>
      <c r="B3764" s="145"/>
      <c r="C3764" s="146"/>
      <c r="D3764" s="146"/>
      <c r="E3764" s="16"/>
      <c r="F3764" s="91"/>
      <c r="G3764" s="16"/>
      <c r="H3764" s="320" t="str">
        <f t="shared" si="424"/>
        <v/>
      </c>
      <c r="I3764" s="16"/>
      <c r="J3764" s="16"/>
      <c r="K3764" s="16"/>
      <c r="L3764" s="16"/>
      <c r="M3764" s="15"/>
      <c r="N3764" s="15"/>
      <c r="O3764" s="16"/>
      <c r="P3764" s="16"/>
      <c r="Q3764" s="16"/>
      <c r="R3764" s="16"/>
      <c r="S3764" s="37" t="str">
        <f>IFERROR(__xludf.DUMMYFUNCTION("if(not(iserror(index(split(C3764, "" ""),2))), index(split(C3764, "" ""),1),"""")"),"")</f>
        <v/>
      </c>
      <c r="T3764" s="315" t="str">
        <f>IFERROR(__xludf.DUMMYFUNCTION("if(S3764="""",C3764,if(not(iserror(index(split(C3764, "" ""),3))), index(split(C3764, "" ""),3),index(split(C3764, "" ""),2)))"),"")</f>
        <v/>
      </c>
      <c r="U3764" s="38" t="b">
        <f t="shared" si="423"/>
        <v>0</v>
      </c>
      <c r="V3764" s="38"/>
      <c r="W3764" s="40"/>
      <c r="X3764" s="40"/>
      <c r="Y3764" s="40"/>
      <c r="Z3764" s="38"/>
      <c r="AA3764" s="38"/>
      <c r="AB3764" s="38"/>
      <c r="AC3764" s="38"/>
      <c r="AD3764" s="38"/>
      <c r="AE3764" s="38"/>
      <c r="AF3764" s="38"/>
      <c r="AG3764" s="38"/>
      <c r="AH3764" s="38"/>
      <c r="AI3764" s="38"/>
      <c r="AJ3764" s="38"/>
      <c r="AK3764" s="38"/>
      <c r="AL3764" s="38"/>
      <c r="AM3764" s="38"/>
      <c r="AN3764" s="38"/>
      <c r="AO3764" s="38"/>
      <c r="AP3764" s="38"/>
      <c r="AQ3764" s="38"/>
      <c r="AR3764" s="38"/>
      <c r="AS3764" s="38"/>
      <c r="AT3764" s="38"/>
      <c r="AU3764" s="38"/>
      <c r="AV3764" s="38"/>
      <c r="AW3764" s="38"/>
      <c r="AX3764" s="38"/>
      <c r="AY3764" s="38"/>
      <c r="AZ3764" s="38"/>
      <c r="BA3764" s="38"/>
      <c r="BB3764" s="38"/>
      <c r="BC3764" s="38"/>
      <c r="BD3764" s="38"/>
      <c r="BE3764" s="38"/>
      <c r="BF3764" s="38"/>
      <c r="BG3764" s="38"/>
      <c r="BH3764" s="38"/>
      <c r="BI3764" s="38"/>
      <c r="BJ3764" s="38"/>
      <c r="BK3764" s="38"/>
      <c r="BL3764" s="38"/>
      <c r="BM3764" s="38"/>
      <c r="BN3764" s="38"/>
      <c r="BO3764" s="38"/>
      <c r="BP3764" s="38"/>
      <c r="BQ3764" s="38"/>
    </row>
    <row r="3765">
      <c r="A3765" s="16"/>
      <c r="B3765" s="145"/>
      <c r="C3765" s="146"/>
      <c r="D3765" s="146"/>
      <c r="E3765" s="16"/>
      <c r="F3765" s="91"/>
      <c r="G3765" s="16"/>
      <c r="H3765" s="320" t="str">
        <f t="shared" si="424"/>
        <v/>
      </c>
      <c r="I3765" s="16"/>
      <c r="J3765" s="16"/>
      <c r="K3765" s="16"/>
      <c r="L3765" s="16"/>
      <c r="M3765" s="15"/>
      <c r="N3765" s="15"/>
      <c r="O3765" s="16"/>
      <c r="P3765" s="16"/>
      <c r="Q3765" s="16"/>
      <c r="R3765" s="16"/>
      <c r="S3765" s="37" t="str">
        <f>IFERROR(__xludf.DUMMYFUNCTION("if(not(iserror(index(split(C3765, "" ""),2))), index(split(C3765, "" ""),1),"""")"),"")</f>
        <v/>
      </c>
      <c r="T3765" s="315" t="str">
        <f>IFERROR(__xludf.DUMMYFUNCTION("if(S3765="""",C3765,if(not(iserror(index(split(C3765, "" ""),3))), index(split(C3765, "" ""),3),index(split(C3765, "" ""),2)))"),"")</f>
        <v/>
      </c>
      <c r="U3765" s="38" t="b">
        <f t="shared" si="423"/>
        <v>0</v>
      </c>
      <c r="V3765" s="38"/>
      <c r="W3765" s="40"/>
      <c r="X3765" s="40"/>
      <c r="Y3765" s="40"/>
      <c r="Z3765" s="38"/>
      <c r="AA3765" s="38"/>
      <c r="AB3765" s="38"/>
      <c r="AC3765" s="38"/>
      <c r="AD3765" s="38"/>
      <c r="AE3765" s="38"/>
      <c r="AF3765" s="38"/>
      <c r="AG3765" s="38"/>
      <c r="AH3765" s="38"/>
      <c r="AI3765" s="38"/>
      <c r="AJ3765" s="38"/>
      <c r="AK3765" s="38"/>
      <c r="AL3765" s="38"/>
      <c r="AM3765" s="38"/>
      <c r="AN3765" s="38"/>
      <c r="AO3765" s="38"/>
      <c r="AP3765" s="38"/>
      <c r="AQ3765" s="38"/>
      <c r="AR3765" s="38"/>
      <c r="AS3765" s="38"/>
      <c r="AT3765" s="38"/>
      <c r="AU3765" s="38"/>
      <c r="AV3765" s="38"/>
      <c r="AW3765" s="38"/>
      <c r="AX3765" s="38"/>
      <c r="AY3765" s="38"/>
      <c r="AZ3765" s="38"/>
      <c r="BA3765" s="38"/>
      <c r="BB3765" s="38"/>
      <c r="BC3765" s="38"/>
      <c r="BD3765" s="38"/>
      <c r="BE3765" s="38"/>
      <c r="BF3765" s="38"/>
      <c r="BG3765" s="38"/>
      <c r="BH3765" s="38"/>
      <c r="BI3765" s="38"/>
      <c r="BJ3765" s="38"/>
      <c r="BK3765" s="38"/>
      <c r="BL3765" s="38"/>
      <c r="BM3765" s="38"/>
      <c r="BN3765" s="38"/>
      <c r="BO3765" s="38"/>
      <c r="BP3765" s="38"/>
      <c r="BQ3765" s="38"/>
    </row>
    <row r="3766">
      <c r="A3766" s="16"/>
      <c r="B3766" s="145"/>
      <c r="C3766" s="146"/>
      <c r="D3766" s="146"/>
      <c r="E3766" s="16"/>
      <c r="F3766" s="91"/>
      <c r="G3766" s="16"/>
      <c r="H3766" s="320" t="str">
        <f t="shared" si="424"/>
        <v/>
      </c>
      <c r="I3766" s="16"/>
      <c r="J3766" s="16"/>
      <c r="K3766" s="16"/>
      <c r="L3766" s="16"/>
      <c r="M3766" s="15"/>
      <c r="N3766" s="15"/>
      <c r="O3766" s="16"/>
      <c r="P3766" s="16"/>
      <c r="Q3766" s="16"/>
      <c r="R3766" s="16"/>
      <c r="S3766" s="37" t="str">
        <f>IFERROR(__xludf.DUMMYFUNCTION("if(not(iserror(index(split(C3766, "" ""),2))), index(split(C3766, "" ""),1),"""")"),"")</f>
        <v/>
      </c>
      <c r="T3766" s="315" t="str">
        <f>IFERROR(__xludf.DUMMYFUNCTION("if(S3766="""",C3766,if(not(iserror(index(split(C3766, "" ""),3))), index(split(C3766, "" ""),3),index(split(C3766, "" ""),2)))"),"")</f>
        <v/>
      </c>
      <c r="U3766" s="38" t="b">
        <f t="shared" si="423"/>
        <v>0</v>
      </c>
      <c r="V3766" s="38"/>
      <c r="W3766" s="40"/>
      <c r="X3766" s="40"/>
      <c r="Y3766" s="40"/>
      <c r="Z3766" s="38"/>
      <c r="AA3766" s="38"/>
      <c r="AB3766" s="38"/>
      <c r="AC3766" s="38"/>
      <c r="AD3766" s="38"/>
      <c r="AE3766" s="38"/>
      <c r="AF3766" s="38"/>
      <c r="AG3766" s="38"/>
      <c r="AH3766" s="38"/>
      <c r="AI3766" s="38"/>
      <c r="AJ3766" s="38"/>
      <c r="AK3766" s="38"/>
      <c r="AL3766" s="38"/>
      <c r="AM3766" s="38"/>
      <c r="AN3766" s="38"/>
      <c r="AO3766" s="38"/>
      <c r="AP3766" s="38"/>
      <c r="AQ3766" s="38"/>
      <c r="AR3766" s="38"/>
      <c r="AS3766" s="38"/>
      <c r="AT3766" s="38"/>
      <c r="AU3766" s="38"/>
      <c r="AV3766" s="38"/>
      <c r="AW3766" s="38"/>
      <c r="AX3766" s="38"/>
      <c r="AY3766" s="38"/>
      <c r="AZ3766" s="38"/>
      <c r="BA3766" s="38"/>
      <c r="BB3766" s="38"/>
      <c r="BC3766" s="38"/>
      <c r="BD3766" s="38"/>
      <c r="BE3766" s="38"/>
      <c r="BF3766" s="38"/>
      <c r="BG3766" s="38"/>
      <c r="BH3766" s="38"/>
      <c r="BI3766" s="38"/>
      <c r="BJ3766" s="38"/>
      <c r="BK3766" s="38"/>
      <c r="BL3766" s="38"/>
      <c r="BM3766" s="38"/>
      <c r="BN3766" s="38"/>
      <c r="BO3766" s="38"/>
      <c r="BP3766" s="38"/>
      <c r="BQ3766" s="38"/>
    </row>
    <row r="3767">
      <c r="A3767" s="16"/>
      <c r="B3767" s="145"/>
      <c r="C3767" s="146"/>
      <c r="D3767" s="146"/>
      <c r="E3767" s="16"/>
      <c r="F3767" s="91"/>
      <c r="G3767" s="16"/>
      <c r="H3767" s="320" t="str">
        <f t="shared" si="424"/>
        <v/>
      </c>
      <c r="I3767" s="16"/>
      <c r="J3767" s="16"/>
      <c r="K3767" s="16"/>
      <c r="L3767" s="16"/>
      <c r="M3767" s="15"/>
      <c r="N3767" s="15"/>
      <c r="O3767" s="16"/>
      <c r="P3767" s="16"/>
      <c r="Q3767" s="16"/>
      <c r="R3767" s="16"/>
      <c r="S3767" s="37" t="str">
        <f>IFERROR(__xludf.DUMMYFUNCTION("if(not(iserror(index(split(C3767, "" ""),2))), index(split(C3767, "" ""),1),"""")"),"")</f>
        <v/>
      </c>
      <c r="T3767" s="315" t="str">
        <f>IFERROR(__xludf.DUMMYFUNCTION("if(S3767="""",C3767,if(not(iserror(index(split(C3767, "" ""),3))), index(split(C3767, "" ""),3),index(split(C3767, "" ""),2)))"),"")</f>
        <v/>
      </c>
      <c r="U3767" s="38" t="b">
        <f t="shared" si="423"/>
        <v>0</v>
      </c>
      <c r="V3767" s="38"/>
      <c r="W3767" s="40"/>
      <c r="X3767" s="40"/>
      <c r="Y3767" s="40"/>
      <c r="Z3767" s="38"/>
      <c r="AA3767" s="38"/>
      <c r="AB3767" s="38"/>
      <c r="AC3767" s="38"/>
      <c r="AD3767" s="38"/>
      <c r="AE3767" s="38"/>
      <c r="AF3767" s="38"/>
      <c r="AG3767" s="38"/>
      <c r="AH3767" s="38"/>
      <c r="AI3767" s="38"/>
      <c r="AJ3767" s="38"/>
      <c r="AK3767" s="38"/>
      <c r="AL3767" s="38"/>
      <c r="AM3767" s="38"/>
      <c r="AN3767" s="38"/>
      <c r="AO3767" s="38"/>
      <c r="AP3767" s="38"/>
      <c r="AQ3767" s="38"/>
      <c r="AR3767" s="38"/>
      <c r="AS3767" s="38"/>
      <c r="AT3767" s="38"/>
      <c r="AU3767" s="38"/>
      <c r="AV3767" s="38"/>
      <c r="AW3767" s="38"/>
      <c r="AX3767" s="38"/>
      <c r="AY3767" s="38"/>
      <c r="AZ3767" s="38"/>
      <c r="BA3767" s="38"/>
      <c r="BB3767" s="38"/>
      <c r="BC3767" s="38"/>
      <c r="BD3767" s="38"/>
      <c r="BE3767" s="38"/>
      <c r="BF3767" s="38"/>
      <c r="BG3767" s="38"/>
      <c r="BH3767" s="38"/>
      <c r="BI3767" s="38"/>
      <c r="BJ3767" s="38"/>
      <c r="BK3767" s="38"/>
      <c r="BL3767" s="38"/>
      <c r="BM3767" s="38"/>
      <c r="BN3767" s="38"/>
      <c r="BO3767" s="38"/>
      <c r="BP3767" s="38"/>
      <c r="BQ3767" s="38"/>
    </row>
    <row r="3768">
      <c r="A3768" s="16"/>
      <c r="B3768" s="145"/>
      <c r="C3768" s="146"/>
      <c r="D3768" s="146"/>
      <c r="E3768" s="16"/>
      <c r="F3768" s="91"/>
      <c r="G3768" s="16"/>
      <c r="H3768" s="320" t="str">
        <f t="shared" si="424"/>
        <v/>
      </c>
      <c r="I3768" s="16"/>
      <c r="J3768" s="16"/>
      <c r="K3768" s="16"/>
      <c r="L3768" s="16"/>
      <c r="M3768" s="15"/>
      <c r="N3768" s="15"/>
      <c r="O3768" s="16"/>
      <c r="P3768" s="16"/>
      <c r="Q3768" s="16"/>
      <c r="R3768" s="16"/>
      <c r="S3768" s="37" t="str">
        <f>IFERROR(__xludf.DUMMYFUNCTION("if(not(iserror(index(split(C3768, "" ""),2))), index(split(C3768, "" ""),1),"""")"),"")</f>
        <v/>
      </c>
      <c r="T3768" s="315" t="str">
        <f>IFERROR(__xludf.DUMMYFUNCTION("if(S3768="""",C3768,if(not(iserror(index(split(C3768, "" ""),3))), index(split(C3768, "" ""),3),index(split(C3768, "" ""),2)))"),"")</f>
        <v/>
      </c>
      <c r="U3768" s="38" t="b">
        <f t="shared" si="423"/>
        <v>0</v>
      </c>
      <c r="V3768" s="38"/>
      <c r="W3768" s="40"/>
      <c r="X3768" s="40"/>
      <c r="Y3768" s="40"/>
      <c r="Z3768" s="38"/>
      <c r="AA3768" s="38"/>
      <c r="AB3768" s="38"/>
      <c r="AC3768" s="38"/>
      <c r="AD3768" s="38"/>
      <c r="AE3768" s="38"/>
      <c r="AF3768" s="38"/>
      <c r="AG3768" s="38"/>
      <c r="AH3768" s="38"/>
      <c r="AI3768" s="38"/>
      <c r="AJ3768" s="38"/>
      <c r="AK3768" s="38"/>
      <c r="AL3768" s="38"/>
      <c r="AM3768" s="38"/>
      <c r="AN3768" s="38"/>
      <c r="AO3768" s="38"/>
      <c r="AP3768" s="38"/>
      <c r="AQ3768" s="38"/>
      <c r="AR3768" s="38"/>
      <c r="AS3768" s="38"/>
      <c r="AT3768" s="38"/>
      <c r="AU3768" s="38"/>
      <c r="AV3768" s="38"/>
      <c r="AW3768" s="38"/>
      <c r="AX3768" s="38"/>
      <c r="AY3768" s="38"/>
      <c r="AZ3768" s="38"/>
      <c r="BA3768" s="38"/>
      <c r="BB3768" s="38"/>
      <c r="BC3768" s="38"/>
      <c r="BD3768" s="38"/>
      <c r="BE3768" s="38"/>
      <c r="BF3768" s="38"/>
      <c r="BG3768" s="38"/>
      <c r="BH3768" s="38"/>
      <c r="BI3768" s="38"/>
      <c r="BJ3768" s="38"/>
      <c r="BK3768" s="38"/>
      <c r="BL3768" s="38"/>
      <c r="BM3768" s="38"/>
      <c r="BN3768" s="38"/>
      <c r="BO3768" s="38"/>
      <c r="BP3768" s="38"/>
      <c r="BQ3768" s="38"/>
    </row>
    <row r="3769">
      <c r="A3769" s="16"/>
      <c r="B3769" s="145"/>
      <c r="C3769" s="146"/>
      <c r="D3769" s="146"/>
      <c r="E3769" s="16"/>
      <c r="F3769" s="91"/>
      <c r="G3769" s="16"/>
      <c r="H3769" s="320" t="str">
        <f t="shared" si="424"/>
        <v/>
      </c>
      <c r="I3769" s="16"/>
      <c r="J3769" s="16"/>
      <c r="K3769" s="16"/>
      <c r="L3769" s="16"/>
      <c r="M3769" s="15"/>
      <c r="N3769" s="15"/>
      <c r="O3769" s="16"/>
      <c r="P3769" s="16"/>
      <c r="Q3769" s="16"/>
      <c r="R3769" s="16"/>
      <c r="S3769" s="37" t="str">
        <f>IFERROR(__xludf.DUMMYFUNCTION("if(not(iserror(index(split(C3769, "" ""),2))), index(split(C3769, "" ""),1),"""")"),"")</f>
        <v/>
      </c>
      <c r="T3769" s="315" t="str">
        <f>IFERROR(__xludf.DUMMYFUNCTION("if(S3769="""",C3769,if(not(iserror(index(split(C3769, "" ""),3))), index(split(C3769, "" ""),3),index(split(C3769, "" ""),2)))"),"")</f>
        <v/>
      </c>
      <c r="U3769" s="38" t="b">
        <f t="shared" si="423"/>
        <v>0</v>
      </c>
      <c r="V3769" s="38"/>
      <c r="W3769" s="40"/>
      <c r="X3769" s="40"/>
      <c r="Y3769" s="40"/>
      <c r="Z3769" s="38"/>
      <c r="AA3769" s="38"/>
      <c r="AB3769" s="38"/>
      <c r="AC3769" s="38"/>
      <c r="AD3769" s="38"/>
      <c r="AE3769" s="38"/>
      <c r="AF3769" s="38"/>
      <c r="AG3769" s="38"/>
      <c r="AH3769" s="38"/>
      <c r="AI3769" s="38"/>
      <c r="AJ3769" s="38"/>
      <c r="AK3769" s="38"/>
      <c r="AL3769" s="38"/>
      <c r="AM3769" s="38"/>
      <c r="AN3769" s="38"/>
      <c r="AO3769" s="38"/>
      <c r="AP3769" s="38"/>
      <c r="AQ3769" s="38"/>
      <c r="AR3769" s="38"/>
      <c r="AS3769" s="38"/>
      <c r="AT3769" s="38"/>
      <c r="AU3769" s="38"/>
      <c r="AV3769" s="38"/>
      <c r="AW3769" s="38"/>
      <c r="AX3769" s="38"/>
      <c r="AY3769" s="38"/>
      <c r="AZ3769" s="38"/>
      <c r="BA3769" s="38"/>
      <c r="BB3769" s="38"/>
      <c r="BC3769" s="38"/>
      <c r="BD3769" s="38"/>
      <c r="BE3769" s="38"/>
      <c r="BF3769" s="38"/>
      <c r="BG3769" s="38"/>
      <c r="BH3769" s="38"/>
      <c r="BI3769" s="38"/>
      <c r="BJ3769" s="38"/>
      <c r="BK3769" s="38"/>
      <c r="BL3769" s="38"/>
      <c r="BM3769" s="38"/>
      <c r="BN3769" s="38"/>
      <c r="BO3769" s="38"/>
      <c r="BP3769" s="38"/>
      <c r="BQ3769" s="38"/>
    </row>
    <row r="3770">
      <c r="A3770" s="16"/>
      <c r="B3770" s="145"/>
      <c r="C3770" s="146"/>
      <c r="D3770" s="146"/>
      <c r="E3770" s="16"/>
      <c r="F3770" s="91"/>
      <c r="G3770" s="16"/>
      <c r="H3770" s="320" t="str">
        <f t="shared" si="424"/>
        <v/>
      </c>
      <c r="I3770" s="16"/>
      <c r="J3770" s="16"/>
      <c r="K3770" s="16"/>
      <c r="L3770" s="16"/>
      <c r="M3770" s="15"/>
      <c r="N3770" s="15"/>
      <c r="O3770" s="16"/>
      <c r="P3770" s="16"/>
      <c r="Q3770" s="16"/>
      <c r="R3770" s="16"/>
      <c r="S3770" s="37" t="str">
        <f>IFERROR(__xludf.DUMMYFUNCTION("if(not(iserror(index(split(C3770, "" ""),2))), index(split(C3770, "" ""),1),"""")"),"")</f>
        <v/>
      </c>
      <c r="T3770" s="315" t="str">
        <f>IFERROR(__xludf.DUMMYFUNCTION("if(S3770="""",C3770,if(not(iserror(index(split(C3770, "" ""),3))), index(split(C3770, "" ""),3),index(split(C3770, "" ""),2)))"),"")</f>
        <v/>
      </c>
      <c r="U3770" s="38" t="b">
        <f t="shared" si="423"/>
        <v>0</v>
      </c>
      <c r="V3770" s="38"/>
      <c r="W3770" s="40"/>
      <c r="X3770" s="40"/>
      <c r="Y3770" s="40"/>
      <c r="Z3770" s="38"/>
      <c r="AA3770" s="38"/>
      <c r="AB3770" s="38"/>
      <c r="AC3770" s="38"/>
      <c r="AD3770" s="38"/>
      <c r="AE3770" s="38"/>
      <c r="AF3770" s="38"/>
      <c r="AG3770" s="38"/>
      <c r="AH3770" s="38"/>
      <c r="AI3770" s="38"/>
      <c r="AJ3770" s="38"/>
      <c r="AK3770" s="38"/>
      <c r="AL3770" s="38"/>
      <c r="AM3770" s="38"/>
      <c r="AN3770" s="38"/>
      <c r="AO3770" s="38"/>
      <c r="AP3770" s="38"/>
      <c r="AQ3770" s="38"/>
      <c r="AR3770" s="38"/>
      <c r="AS3770" s="38"/>
      <c r="AT3770" s="38"/>
      <c r="AU3770" s="38"/>
      <c r="AV3770" s="38"/>
      <c r="AW3770" s="38"/>
      <c r="AX3770" s="38"/>
      <c r="AY3770" s="38"/>
      <c r="AZ3770" s="38"/>
      <c r="BA3770" s="38"/>
      <c r="BB3770" s="38"/>
      <c r="BC3770" s="38"/>
      <c r="BD3770" s="38"/>
      <c r="BE3770" s="38"/>
      <c r="BF3770" s="38"/>
      <c r="BG3770" s="38"/>
      <c r="BH3770" s="38"/>
      <c r="BI3770" s="38"/>
      <c r="BJ3770" s="38"/>
      <c r="BK3770" s="38"/>
      <c r="BL3770" s="38"/>
      <c r="BM3770" s="38"/>
      <c r="BN3770" s="38"/>
      <c r="BO3770" s="38"/>
      <c r="BP3770" s="38"/>
      <c r="BQ3770" s="38"/>
    </row>
    <row r="3771">
      <c r="A3771" s="16"/>
      <c r="B3771" s="145"/>
      <c r="C3771" s="146"/>
      <c r="D3771" s="146"/>
      <c r="E3771" s="16"/>
      <c r="F3771" s="91"/>
      <c r="G3771" s="16"/>
      <c r="H3771" s="320" t="str">
        <f t="shared" si="424"/>
        <v/>
      </c>
      <c r="I3771" s="16"/>
      <c r="J3771" s="16"/>
      <c r="K3771" s="16"/>
      <c r="L3771" s="16"/>
      <c r="M3771" s="15"/>
      <c r="N3771" s="15"/>
      <c r="O3771" s="16"/>
      <c r="P3771" s="16"/>
      <c r="Q3771" s="16"/>
      <c r="R3771" s="16"/>
      <c r="S3771" s="37" t="str">
        <f>IFERROR(__xludf.DUMMYFUNCTION("if(not(iserror(index(split(C3771, "" ""),2))), index(split(C3771, "" ""),1),"""")"),"")</f>
        <v/>
      </c>
      <c r="T3771" s="315" t="str">
        <f>IFERROR(__xludf.DUMMYFUNCTION("if(S3771="""",C3771,if(not(iserror(index(split(C3771, "" ""),3))), index(split(C3771, "" ""),3),index(split(C3771, "" ""),2)))"),"")</f>
        <v/>
      </c>
      <c r="U3771" s="38" t="b">
        <f t="shared" si="423"/>
        <v>0</v>
      </c>
      <c r="V3771" s="38"/>
      <c r="W3771" s="40"/>
      <c r="X3771" s="40"/>
      <c r="Y3771" s="40"/>
      <c r="Z3771" s="38"/>
      <c r="AA3771" s="38"/>
      <c r="AB3771" s="38"/>
      <c r="AC3771" s="38"/>
      <c r="AD3771" s="38"/>
      <c r="AE3771" s="38"/>
      <c r="AF3771" s="38"/>
      <c r="AG3771" s="38"/>
      <c r="AH3771" s="38"/>
      <c r="AI3771" s="38"/>
      <c r="AJ3771" s="38"/>
      <c r="AK3771" s="38"/>
      <c r="AL3771" s="38"/>
      <c r="AM3771" s="38"/>
      <c r="AN3771" s="38"/>
      <c r="AO3771" s="38"/>
      <c r="AP3771" s="38"/>
      <c r="AQ3771" s="38"/>
      <c r="AR3771" s="38"/>
      <c r="AS3771" s="38"/>
      <c r="AT3771" s="38"/>
      <c r="AU3771" s="38"/>
      <c r="AV3771" s="38"/>
      <c r="AW3771" s="38"/>
      <c r="AX3771" s="38"/>
      <c r="AY3771" s="38"/>
      <c r="AZ3771" s="38"/>
      <c r="BA3771" s="38"/>
      <c r="BB3771" s="38"/>
      <c r="BC3771" s="38"/>
      <c r="BD3771" s="38"/>
      <c r="BE3771" s="38"/>
      <c r="BF3771" s="38"/>
      <c r="BG3771" s="38"/>
      <c r="BH3771" s="38"/>
      <c r="BI3771" s="38"/>
      <c r="BJ3771" s="38"/>
      <c r="BK3771" s="38"/>
      <c r="BL3771" s="38"/>
      <c r="BM3771" s="38"/>
      <c r="BN3771" s="38"/>
      <c r="BO3771" s="38"/>
      <c r="BP3771" s="38"/>
      <c r="BQ3771" s="38"/>
    </row>
    <row r="3772">
      <c r="A3772" s="16"/>
      <c r="B3772" s="145"/>
      <c r="C3772" s="146"/>
      <c r="D3772" s="146"/>
      <c r="E3772" s="16"/>
      <c r="F3772" s="91"/>
      <c r="G3772" s="16"/>
      <c r="H3772" s="320" t="str">
        <f t="shared" si="424"/>
        <v/>
      </c>
      <c r="I3772" s="16"/>
      <c r="J3772" s="16"/>
      <c r="K3772" s="16"/>
      <c r="L3772" s="16"/>
      <c r="M3772" s="15"/>
      <c r="N3772" s="15"/>
      <c r="O3772" s="16"/>
      <c r="P3772" s="16"/>
      <c r="Q3772" s="16"/>
      <c r="R3772" s="16"/>
      <c r="S3772" s="37" t="str">
        <f>IFERROR(__xludf.DUMMYFUNCTION("if(not(iserror(index(split(C3772, "" ""),2))), index(split(C3772, "" ""),1),"""")"),"")</f>
        <v/>
      </c>
      <c r="T3772" s="315" t="str">
        <f>IFERROR(__xludf.DUMMYFUNCTION("if(S3772="""",C3772,if(not(iserror(index(split(C3772, "" ""),3))), index(split(C3772, "" ""),3),index(split(C3772, "" ""),2)))"),"")</f>
        <v/>
      </c>
      <c r="U3772" s="38" t="b">
        <f t="shared" si="423"/>
        <v>0</v>
      </c>
      <c r="V3772" s="38"/>
      <c r="W3772" s="40"/>
      <c r="X3772" s="40"/>
      <c r="Y3772" s="40"/>
      <c r="Z3772" s="38"/>
      <c r="AA3772" s="38"/>
      <c r="AB3772" s="38"/>
      <c r="AC3772" s="38"/>
      <c r="AD3772" s="38"/>
      <c r="AE3772" s="38"/>
      <c r="AF3772" s="38"/>
      <c r="AG3772" s="38"/>
      <c r="AH3772" s="38"/>
      <c r="AI3772" s="38"/>
      <c r="AJ3772" s="38"/>
      <c r="AK3772" s="38"/>
      <c r="AL3772" s="38"/>
      <c r="AM3772" s="38"/>
      <c r="AN3772" s="38"/>
      <c r="AO3772" s="38"/>
      <c r="AP3772" s="38"/>
      <c r="AQ3772" s="38"/>
      <c r="AR3772" s="38"/>
      <c r="AS3772" s="38"/>
      <c r="AT3772" s="38"/>
      <c r="AU3772" s="38"/>
      <c r="AV3772" s="38"/>
      <c r="AW3772" s="38"/>
      <c r="AX3772" s="38"/>
      <c r="AY3772" s="38"/>
      <c r="AZ3772" s="38"/>
      <c r="BA3772" s="38"/>
      <c r="BB3772" s="38"/>
      <c r="BC3772" s="38"/>
      <c r="BD3772" s="38"/>
      <c r="BE3772" s="38"/>
      <c r="BF3772" s="38"/>
      <c r="BG3772" s="38"/>
      <c r="BH3772" s="38"/>
      <c r="BI3772" s="38"/>
      <c r="BJ3772" s="38"/>
      <c r="BK3772" s="38"/>
      <c r="BL3772" s="38"/>
      <c r="BM3772" s="38"/>
      <c r="BN3772" s="38"/>
      <c r="BO3772" s="38"/>
      <c r="BP3772" s="38"/>
      <c r="BQ3772" s="38"/>
    </row>
    <row r="3773">
      <c r="A3773" s="16"/>
      <c r="B3773" s="145"/>
      <c r="C3773" s="146"/>
      <c r="D3773" s="146"/>
      <c r="E3773" s="16"/>
      <c r="F3773" s="91"/>
      <c r="G3773" s="16"/>
      <c r="H3773" s="320" t="str">
        <f t="shared" si="424"/>
        <v/>
      </c>
      <c r="I3773" s="16"/>
      <c r="J3773" s="16"/>
      <c r="K3773" s="16"/>
      <c r="L3773" s="16"/>
      <c r="M3773" s="15"/>
      <c r="N3773" s="15"/>
      <c r="O3773" s="16"/>
      <c r="P3773" s="16"/>
      <c r="Q3773" s="16"/>
      <c r="R3773" s="16"/>
      <c r="S3773" s="37" t="str">
        <f>IFERROR(__xludf.DUMMYFUNCTION("if(not(iserror(index(split(C3773, "" ""),2))), index(split(C3773, "" ""),1),"""")"),"")</f>
        <v/>
      </c>
      <c r="T3773" s="315" t="str">
        <f>IFERROR(__xludf.DUMMYFUNCTION("if(S3773="""",C3773,if(not(iserror(index(split(C3773, "" ""),3))), index(split(C3773, "" ""),3),index(split(C3773, "" ""),2)))"),"")</f>
        <v/>
      </c>
      <c r="U3773" s="38" t="b">
        <f t="shared" si="423"/>
        <v>0</v>
      </c>
      <c r="V3773" s="38"/>
      <c r="W3773" s="40"/>
      <c r="X3773" s="40"/>
      <c r="Y3773" s="40"/>
      <c r="Z3773" s="38"/>
      <c r="AA3773" s="38"/>
      <c r="AB3773" s="38"/>
      <c r="AC3773" s="38"/>
      <c r="AD3773" s="38"/>
      <c r="AE3773" s="38"/>
      <c r="AF3773" s="38"/>
      <c r="AG3773" s="38"/>
      <c r="AH3773" s="38"/>
      <c r="AI3773" s="38"/>
      <c r="AJ3773" s="38"/>
      <c r="AK3773" s="38"/>
      <c r="AL3773" s="38"/>
      <c r="AM3773" s="38"/>
      <c r="AN3773" s="38"/>
      <c r="AO3773" s="38"/>
      <c r="AP3773" s="38"/>
      <c r="AQ3773" s="38"/>
      <c r="AR3773" s="38"/>
      <c r="AS3773" s="38"/>
      <c r="AT3773" s="38"/>
      <c r="AU3773" s="38"/>
      <c r="AV3773" s="38"/>
      <c r="AW3773" s="38"/>
      <c r="AX3773" s="38"/>
      <c r="AY3773" s="38"/>
      <c r="AZ3773" s="38"/>
      <c r="BA3773" s="38"/>
      <c r="BB3773" s="38"/>
      <c r="BC3773" s="38"/>
      <c r="BD3773" s="38"/>
      <c r="BE3773" s="38"/>
      <c r="BF3773" s="38"/>
      <c r="BG3773" s="38"/>
      <c r="BH3773" s="38"/>
      <c r="BI3773" s="38"/>
      <c r="BJ3773" s="38"/>
      <c r="BK3773" s="38"/>
      <c r="BL3773" s="38"/>
      <c r="BM3773" s="38"/>
      <c r="BN3773" s="38"/>
      <c r="BO3773" s="38"/>
      <c r="BP3773" s="38"/>
      <c r="BQ3773" s="38"/>
    </row>
    <row r="3774">
      <c r="A3774" s="16"/>
      <c r="B3774" s="145"/>
      <c r="C3774" s="146"/>
      <c r="D3774" s="146"/>
      <c r="E3774" s="16"/>
      <c r="F3774" s="91"/>
      <c r="G3774" s="16"/>
      <c r="H3774" s="320" t="str">
        <f t="shared" si="424"/>
        <v/>
      </c>
      <c r="I3774" s="16"/>
      <c r="J3774" s="16"/>
      <c r="K3774" s="16"/>
      <c r="L3774" s="16"/>
      <c r="M3774" s="15"/>
      <c r="N3774" s="15"/>
      <c r="O3774" s="16"/>
      <c r="P3774" s="16"/>
      <c r="Q3774" s="16"/>
      <c r="R3774" s="16"/>
      <c r="S3774" s="37" t="str">
        <f>IFERROR(__xludf.DUMMYFUNCTION("if(not(iserror(index(split(C3774, "" ""),2))), index(split(C3774, "" ""),1),"""")"),"")</f>
        <v/>
      </c>
      <c r="T3774" s="315" t="str">
        <f>IFERROR(__xludf.DUMMYFUNCTION("if(S3774="""",C3774,if(not(iserror(index(split(C3774, "" ""),3))), index(split(C3774, "" ""),3),index(split(C3774, "" ""),2)))"),"")</f>
        <v/>
      </c>
      <c r="U3774" s="38" t="b">
        <f t="shared" si="423"/>
        <v>0</v>
      </c>
      <c r="V3774" s="38"/>
      <c r="W3774" s="40"/>
      <c r="X3774" s="40"/>
      <c r="Y3774" s="40"/>
      <c r="Z3774" s="38"/>
      <c r="AA3774" s="38"/>
      <c r="AB3774" s="38"/>
      <c r="AC3774" s="38"/>
      <c r="AD3774" s="38"/>
      <c r="AE3774" s="38"/>
      <c r="AF3774" s="38"/>
      <c r="AG3774" s="38"/>
      <c r="AH3774" s="38"/>
      <c r="AI3774" s="38"/>
      <c r="AJ3774" s="38"/>
      <c r="AK3774" s="38"/>
      <c r="AL3774" s="38"/>
      <c r="AM3774" s="38"/>
      <c r="AN3774" s="38"/>
      <c r="AO3774" s="38"/>
      <c r="AP3774" s="38"/>
      <c r="AQ3774" s="38"/>
      <c r="AR3774" s="38"/>
      <c r="AS3774" s="38"/>
      <c r="AT3774" s="38"/>
      <c r="AU3774" s="38"/>
      <c r="AV3774" s="38"/>
      <c r="AW3774" s="38"/>
      <c r="AX3774" s="38"/>
      <c r="AY3774" s="38"/>
      <c r="AZ3774" s="38"/>
      <c r="BA3774" s="38"/>
      <c r="BB3774" s="38"/>
      <c r="BC3774" s="38"/>
      <c r="BD3774" s="38"/>
      <c r="BE3774" s="38"/>
      <c r="BF3774" s="38"/>
      <c r="BG3774" s="38"/>
      <c r="BH3774" s="38"/>
      <c r="BI3774" s="38"/>
      <c r="BJ3774" s="38"/>
      <c r="BK3774" s="38"/>
      <c r="BL3774" s="38"/>
      <c r="BM3774" s="38"/>
      <c r="BN3774" s="38"/>
      <c r="BO3774" s="38"/>
      <c r="BP3774" s="38"/>
      <c r="BQ3774" s="38"/>
    </row>
    <row r="3775">
      <c r="A3775" s="16"/>
      <c r="B3775" s="145"/>
      <c r="C3775" s="146"/>
      <c r="D3775" s="146"/>
      <c r="E3775" s="16"/>
      <c r="F3775" s="91"/>
      <c r="G3775" s="16"/>
      <c r="H3775" s="320" t="str">
        <f t="shared" si="424"/>
        <v/>
      </c>
      <c r="I3775" s="16"/>
      <c r="J3775" s="16"/>
      <c r="K3775" s="16"/>
      <c r="L3775" s="16"/>
      <c r="M3775" s="15"/>
      <c r="N3775" s="15"/>
      <c r="O3775" s="16"/>
      <c r="P3775" s="16"/>
      <c r="Q3775" s="16"/>
      <c r="R3775" s="16"/>
      <c r="S3775" s="37" t="str">
        <f>IFERROR(__xludf.DUMMYFUNCTION("if(not(iserror(index(split(C3775, "" ""),2))), index(split(C3775, "" ""),1),"""")"),"")</f>
        <v/>
      </c>
      <c r="T3775" s="315" t="str">
        <f>IFERROR(__xludf.DUMMYFUNCTION("if(S3775="""",C3775,if(not(iserror(index(split(C3775, "" ""),3))), index(split(C3775, "" ""),3),index(split(C3775, "" ""),2)))"),"")</f>
        <v/>
      </c>
      <c r="U3775" s="38" t="b">
        <f t="shared" si="423"/>
        <v>0</v>
      </c>
      <c r="V3775" s="38"/>
      <c r="W3775" s="40"/>
      <c r="X3775" s="40"/>
      <c r="Y3775" s="40"/>
      <c r="Z3775" s="38"/>
      <c r="AA3775" s="38"/>
      <c r="AB3775" s="38"/>
      <c r="AC3775" s="38"/>
      <c r="AD3775" s="38"/>
      <c r="AE3775" s="38"/>
      <c r="AF3775" s="38"/>
      <c r="AG3775" s="38"/>
      <c r="AH3775" s="38"/>
      <c r="AI3775" s="38"/>
      <c r="AJ3775" s="38"/>
      <c r="AK3775" s="38"/>
      <c r="AL3775" s="38"/>
      <c r="AM3775" s="38"/>
      <c r="AN3775" s="38"/>
      <c r="AO3775" s="38"/>
      <c r="AP3775" s="38"/>
      <c r="AQ3775" s="38"/>
      <c r="AR3775" s="38"/>
      <c r="AS3775" s="38"/>
      <c r="AT3775" s="38"/>
      <c r="AU3775" s="38"/>
      <c r="AV3775" s="38"/>
      <c r="AW3775" s="38"/>
      <c r="AX3775" s="38"/>
      <c r="AY3775" s="38"/>
      <c r="AZ3775" s="38"/>
      <c r="BA3775" s="38"/>
      <c r="BB3775" s="38"/>
      <c r="BC3775" s="38"/>
      <c r="BD3775" s="38"/>
      <c r="BE3775" s="38"/>
      <c r="BF3775" s="38"/>
      <c r="BG3775" s="38"/>
      <c r="BH3775" s="38"/>
      <c r="BI3775" s="38"/>
      <c r="BJ3775" s="38"/>
      <c r="BK3775" s="38"/>
      <c r="BL3775" s="38"/>
      <c r="BM3775" s="38"/>
      <c r="BN3775" s="38"/>
      <c r="BO3775" s="38"/>
      <c r="BP3775" s="38"/>
      <c r="BQ3775" s="38"/>
    </row>
    <row r="3776">
      <c r="A3776" s="16"/>
      <c r="B3776" s="145"/>
      <c r="C3776" s="146"/>
      <c r="D3776" s="146"/>
      <c r="E3776" s="16"/>
      <c r="F3776" s="91"/>
      <c r="G3776" s="16"/>
      <c r="H3776" s="320" t="str">
        <f t="shared" si="424"/>
        <v/>
      </c>
      <c r="I3776" s="16"/>
      <c r="J3776" s="16"/>
      <c r="K3776" s="16"/>
      <c r="L3776" s="16"/>
      <c r="M3776" s="15"/>
      <c r="N3776" s="15"/>
      <c r="O3776" s="16"/>
      <c r="P3776" s="16"/>
      <c r="Q3776" s="16"/>
      <c r="R3776" s="16"/>
      <c r="S3776" s="37" t="str">
        <f>IFERROR(__xludf.DUMMYFUNCTION("if(not(iserror(index(split(C3776, "" ""),2))), index(split(C3776, "" ""),1),"""")"),"")</f>
        <v/>
      </c>
      <c r="T3776" s="315" t="str">
        <f>IFERROR(__xludf.DUMMYFUNCTION("if(S3776="""",C3776,if(not(iserror(index(split(C3776, "" ""),3))), index(split(C3776, "" ""),3),index(split(C3776, "" ""),2)))"),"")</f>
        <v/>
      </c>
      <c r="U3776" s="38" t="b">
        <f t="shared" si="423"/>
        <v>0</v>
      </c>
      <c r="V3776" s="38"/>
      <c r="W3776" s="40"/>
      <c r="X3776" s="40"/>
      <c r="Y3776" s="40"/>
      <c r="Z3776" s="38"/>
      <c r="AA3776" s="38"/>
      <c r="AB3776" s="38"/>
      <c r="AC3776" s="38"/>
      <c r="AD3776" s="38"/>
      <c r="AE3776" s="38"/>
      <c r="AF3776" s="38"/>
      <c r="AG3776" s="38"/>
      <c r="AH3776" s="38"/>
      <c r="AI3776" s="38"/>
      <c r="AJ3776" s="38"/>
      <c r="AK3776" s="38"/>
      <c r="AL3776" s="38"/>
      <c r="AM3776" s="38"/>
      <c r="AN3776" s="38"/>
      <c r="AO3776" s="38"/>
      <c r="AP3776" s="38"/>
      <c r="AQ3776" s="38"/>
      <c r="AR3776" s="38"/>
      <c r="AS3776" s="38"/>
      <c r="AT3776" s="38"/>
      <c r="AU3776" s="38"/>
      <c r="AV3776" s="38"/>
      <c r="AW3776" s="38"/>
      <c r="AX3776" s="38"/>
      <c r="AY3776" s="38"/>
      <c r="AZ3776" s="38"/>
      <c r="BA3776" s="38"/>
      <c r="BB3776" s="38"/>
      <c r="BC3776" s="38"/>
      <c r="BD3776" s="38"/>
      <c r="BE3776" s="38"/>
      <c r="BF3776" s="38"/>
      <c r="BG3776" s="38"/>
      <c r="BH3776" s="38"/>
      <c r="BI3776" s="38"/>
      <c r="BJ3776" s="38"/>
      <c r="BK3776" s="38"/>
      <c r="BL3776" s="38"/>
      <c r="BM3776" s="38"/>
      <c r="BN3776" s="38"/>
      <c r="BO3776" s="38"/>
      <c r="BP3776" s="38"/>
      <c r="BQ3776" s="38"/>
    </row>
    <row r="3777">
      <c r="A3777" s="16"/>
      <c r="B3777" s="145"/>
      <c r="C3777" s="146"/>
      <c r="D3777" s="146"/>
      <c r="E3777" s="16"/>
      <c r="F3777" s="91"/>
      <c r="G3777" s="16"/>
      <c r="H3777" s="320" t="str">
        <f t="shared" si="424"/>
        <v/>
      </c>
      <c r="I3777" s="16"/>
      <c r="J3777" s="16"/>
      <c r="K3777" s="16"/>
      <c r="L3777" s="16"/>
      <c r="M3777" s="15"/>
      <c r="N3777" s="15"/>
      <c r="O3777" s="16"/>
      <c r="P3777" s="16"/>
      <c r="Q3777" s="16"/>
      <c r="R3777" s="16"/>
      <c r="S3777" s="37" t="str">
        <f>IFERROR(__xludf.DUMMYFUNCTION("if(not(iserror(index(split(C3777, "" ""),2))), index(split(C3777, "" ""),1),"""")"),"")</f>
        <v/>
      </c>
      <c r="T3777" s="315" t="str">
        <f>IFERROR(__xludf.DUMMYFUNCTION("if(S3777="""",C3777,if(not(iserror(index(split(C3777, "" ""),3))), index(split(C3777, "" ""),3),index(split(C3777, "" ""),2)))"),"")</f>
        <v/>
      </c>
      <c r="U3777" s="38" t="b">
        <f t="shared" si="423"/>
        <v>0</v>
      </c>
      <c r="V3777" s="38"/>
      <c r="W3777" s="40"/>
      <c r="X3777" s="40"/>
      <c r="Y3777" s="40"/>
      <c r="Z3777" s="38"/>
      <c r="AA3777" s="38"/>
      <c r="AB3777" s="38"/>
      <c r="AC3777" s="38"/>
      <c r="AD3777" s="38"/>
      <c r="AE3777" s="38"/>
      <c r="AF3777" s="38"/>
      <c r="AG3777" s="38"/>
      <c r="AH3777" s="38"/>
      <c r="AI3777" s="38"/>
      <c r="AJ3777" s="38"/>
      <c r="AK3777" s="38"/>
      <c r="AL3777" s="38"/>
      <c r="AM3777" s="38"/>
      <c r="AN3777" s="38"/>
      <c r="AO3777" s="38"/>
      <c r="AP3777" s="38"/>
      <c r="AQ3777" s="38"/>
      <c r="AR3777" s="38"/>
      <c r="AS3777" s="38"/>
      <c r="AT3777" s="38"/>
      <c r="AU3777" s="38"/>
      <c r="AV3777" s="38"/>
      <c r="AW3777" s="38"/>
      <c r="AX3777" s="38"/>
      <c r="AY3777" s="38"/>
      <c r="AZ3777" s="38"/>
      <c r="BA3777" s="38"/>
      <c r="BB3777" s="38"/>
      <c r="BC3777" s="38"/>
      <c r="BD3777" s="38"/>
      <c r="BE3777" s="38"/>
      <c r="BF3777" s="38"/>
      <c r="BG3777" s="38"/>
      <c r="BH3777" s="38"/>
      <c r="BI3777" s="38"/>
      <c r="BJ3777" s="38"/>
      <c r="BK3777" s="38"/>
      <c r="BL3777" s="38"/>
      <c r="BM3777" s="38"/>
      <c r="BN3777" s="38"/>
      <c r="BO3777" s="38"/>
      <c r="BP3777" s="38"/>
      <c r="BQ3777" s="38"/>
    </row>
    <row r="3778">
      <c r="A3778" s="16"/>
      <c r="B3778" s="145"/>
      <c r="C3778" s="146"/>
      <c r="D3778" s="146"/>
      <c r="E3778" s="16"/>
      <c r="F3778" s="91"/>
      <c r="G3778" s="16"/>
      <c r="H3778" s="320" t="str">
        <f t="shared" si="424"/>
        <v/>
      </c>
      <c r="I3778" s="16"/>
      <c r="J3778" s="16"/>
      <c r="K3778" s="16"/>
      <c r="L3778" s="16"/>
      <c r="M3778" s="15"/>
      <c r="N3778" s="15"/>
      <c r="O3778" s="16"/>
      <c r="P3778" s="16"/>
      <c r="Q3778" s="16"/>
      <c r="R3778" s="16"/>
      <c r="S3778" s="37" t="str">
        <f>IFERROR(__xludf.DUMMYFUNCTION("if(not(iserror(index(split(C3778, "" ""),2))), index(split(C3778, "" ""),1),"""")"),"")</f>
        <v/>
      </c>
      <c r="T3778" s="315" t="str">
        <f>IFERROR(__xludf.DUMMYFUNCTION("if(S3778="""",C3778,if(not(iserror(index(split(C3778, "" ""),3))), index(split(C3778, "" ""),3),index(split(C3778, "" ""),2)))"),"")</f>
        <v/>
      </c>
      <c r="U3778" s="38" t="b">
        <f t="shared" si="423"/>
        <v>0</v>
      </c>
      <c r="V3778" s="38"/>
      <c r="W3778" s="40"/>
      <c r="X3778" s="40"/>
      <c r="Y3778" s="40"/>
      <c r="Z3778" s="38"/>
      <c r="AA3778" s="38"/>
      <c r="AB3778" s="38"/>
      <c r="AC3778" s="38"/>
      <c r="AD3778" s="38"/>
      <c r="AE3778" s="38"/>
      <c r="AF3778" s="38"/>
      <c r="AG3778" s="38"/>
      <c r="AH3778" s="38"/>
      <c r="AI3778" s="38"/>
      <c r="AJ3778" s="38"/>
      <c r="AK3778" s="38"/>
      <c r="AL3778" s="38"/>
      <c r="AM3778" s="38"/>
      <c r="AN3778" s="38"/>
      <c r="AO3778" s="38"/>
      <c r="AP3778" s="38"/>
      <c r="AQ3778" s="38"/>
      <c r="AR3778" s="38"/>
      <c r="AS3778" s="38"/>
      <c r="AT3778" s="38"/>
      <c r="AU3778" s="38"/>
      <c r="AV3778" s="38"/>
      <c r="AW3778" s="38"/>
      <c r="AX3778" s="38"/>
      <c r="AY3778" s="38"/>
      <c r="AZ3778" s="38"/>
      <c r="BA3778" s="38"/>
      <c r="BB3778" s="38"/>
      <c r="BC3778" s="38"/>
      <c r="BD3778" s="38"/>
      <c r="BE3778" s="38"/>
      <c r="BF3778" s="38"/>
      <c r="BG3778" s="38"/>
      <c r="BH3778" s="38"/>
      <c r="BI3778" s="38"/>
      <c r="BJ3778" s="38"/>
      <c r="BK3778" s="38"/>
      <c r="BL3778" s="38"/>
      <c r="BM3778" s="38"/>
      <c r="BN3778" s="38"/>
      <c r="BO3778" s="38"/>
      <c r="BP3778" s="38"/>
      <c r="BQ3778" s="38"/>
    </row>
    <row r="3779">
      <c r="A3779" s="16"/>
      <c r="B3779" s="145"/>
      <c r="C3779" s="146"/>
      <c r="D3779" s="146"/>
      <c r="E3779" s="16"/>
      <c r="F3779" s="91"/>
      <c r="G3779" s="16"/>
      <c r="H3779" s="320" t="str">
        <f t="shared" si="424"/>
        <v/>
      </c>
      <c r="I3779" s="16"/>
      <c r="J3779" s="16"/>
      <c r="K3779" s="16"/>
      <c r="L3779" s="16"/>
      <c r="M3779" s="15"/>
      <c r="N3779" s="15"/>
      <c r="O3779" s="16"/>
      <c r="P3779" s="16"/>
      <c r="Q3779" s="16"/>
      <c r="R3779" s="16"/>
      <c r="S3779" s="37" t="str">
        <f>IFERROR(__xludf.DUMMYFUNCTION("if(not(iserror(index(split(C3779, "" ""),2))), index(split(C3779, "" ""),1),"""")"),"")</f>
        <v/>
      </c>
      <c r="T3779" s="315" t="str">
        <f>IFERROR(__xludf.DUMMYFUNCTION("if(S3779="""",C3779,if(not(iserror(index(split(C3779, "" ""),3))), index(split(C3779, "" ""),3),index(split(C3779, "" ""),2)))"),"")</f>
        <v/>
      </c>
      <c r="U3779" s="38" t="b">
        <f t="shared" si="423"/>
        <v>0</v>
      </c>
      <c r="V3779" s="38"/>
      <c r="W3779" s="40"/>
      <c r="X3779" s="40"/>
      <c r="Y3779" s="40"/>
      <c r="Z3779" s="38"/>
      <c r="AA3779" s="38"/>
      <c r="AB3779" s="38"/>
      <c r="AC3779" s="38"/>
      <c r="AD3779" s="38"/>
      <c r="AE3779" s="38"/>
      <c r="AF3779" s="38"/>
      <c r="AG3779" s="38"/>
      <c r="AH3779" s="38"/>
      <c r="AI3779" s="38"/>
      <c r="AJ3779" s="38"/>
      <c r="AK3779" s="38"/>
      <c r="AL3779" s="38"/>
      <c r="AM3779" s="38"/>
      <c r="AN3779" s="38"/>
      <c r="AO3779" s="38"/>
      <c r="AP3779" s="38"/>
      <c r="AQ3779" s="38"/>
      <c r="AR3779" s="38"/>
      <c r="AS3779" s="38"/>
      <c r="AT3779" s="38"/>
      <c r="AU3779" s="38"/>
      <c r="AV3779" s="38"/>
      <c r="AW3779" s="38"/>
      <c r="AX3779" s="38"/>
      <c r="AY3779" s="38"/>
      <c r="AZ3779" s="38"/>
      <c r="BA3779" s="38"/>
      <c r="BB3779" s="38"/>
      <c r="BC3779" s="38"/>
      <c r="BD3779" s="38"/>
      <c r="BE3779" s="38"/>
      <c r="BF3779" s="38"/>
      <c r="BG3779" s="38"/>
      <c r="BH3779" s="38"/>
      <c r="BI3779" s="38"/>
      <c r="BJ3779" s="38"/>
      <c r="BK3779" s="38"/>
      <c r="BL3779" s="38"/>
      <c r="BM3779" s="38"/>
      <c r="BN3779" s="38"/>
      <c r="BO3779" s="38"/>
      <c r="BP3779" s="38"/>
      <c r="BQ3779" s="38"/>
    </row>
    <row r="3780">
      <c r="A3780" s="16"/>
      <c r="B3780" s="145"/>
      <c r="C3780" s="146"/>
      <c r="D3780" s="146"/>
      <c r="E3780" s="16"/>
      <c r="F3780" s="91"/>
      <c r="G3780" s="16"/>
      <c r="H3780" s="320" t="str">
        <f t="shared" si="424"/>
        <v/>
      </c>
      <c r="I3780" s="16"/>
      <c r="J3780" s="16"/>
      <c r="K3780" s="16"/>
      <c r="L3780" s="16"/>
      <c r="M3780" s="15"/>
      <c r="N3780" s="15"/>
      <c r="O3780" s="16"/>
      <c r="P3780" s="16"/>
      <c r="Q3780" s="16"/>
      <c r="R3780" s="16"/>
      <c r="S3780" s="37" t="str">
        <f>IFERROR(__xludf.DUMMYFUNCTION("if(not(iserror(index(split(C3780, "" ""),2))), index(split(C3780, "" ""),1),"""")"),"")</f>
        <v/>
      </c>
      <c r="T3780" s="315" t="str">
        <f>IFERROR(__xludf.DUMMYFUNCTION("if(S3780="""",C3780,if(not(iserror(index(split(C3780, "" ""),3))), index(split(C3780, "" ""),3),index(split(C3780, "" ""),2)))"),"")</f>
        <v/>
      </c>
      <c r="U3780" s="38" t="b">
        <f t="shared" si="423"/>
        <v>0</v>
      </c>
      <c r="V3780" s="38"/>
      <c r="W3780" s="40"/>
      <c r="X3780" s="40"/>
      <c r="Y3780" s="40"/>
      <c r="Z3780" s="38"/>
      <c r="AA3780" s="38"/>
      <c r="AB3780" s="38"/>
      <c r="AC3780" s="38"/>
      <c r="AD3780" s="38"/>
      <c r="AE3780" s="38"/>
      <c r="AF3780" s="38"/>
      <c r="AG3780" s="38"/>
      <c r="AH3780" s="38"/>
      <c r="AI3780" s="38"/>
      <c r="AJ3780" s="38"/>
      <c r="AK3780" s="38"/>
      <c r="AL3780" s="38"/>
      <c r="AM3780" s="38"/>
      <c r="AN3780" s="38"/>
      <c r="AO3780" s="38"/>
      <c r="AP3780" s="38"/>
      <c r="AQ3780" s="38"/>
      <c r="AR3780" s="38"/>
      <c r="AS3780" s="38"/>
      <c r="AT3780" s="38"/>
      <c r="AU3780" s="38"/>
      <c r="AV3780" s="38"/>
      <c r="AW3780" s="38"/>
      <c r="AX3780" s="38"/>
      <c r="AY3780" s="38"/>
      <c r="AZ3780" s="38"/>
      <c r="BA3780" s="38"/>
      <c r="BB3780" s="38"/>
      <c r="BC3780" s="38"/>
      <c r="BD3780" s="38"/>
      <c r="BE3780" s="38"/>
      <c r="BF3780" s="38"/>
      <c r="BG3780" s="38"/>
      <c r="BH3780" s="38"/>
      <c r="BI3780" s="38"/>
      <c r="BJ3780" s="38"/>
      <c r="BK3780" s="38"/>
      <c r="BL3780" s="38"/>
      <c r="BM3780" s="38"/>
      <c r="BN3780" s="38"/>
      <c r="BO3780" s="38"/>
      <c r="BP3780" s="38"/>
      <c r="BQ3780" s="38"/>
    </row>
    <row r="3781">
      <c r="A3781" s="16"/>
      <c r="B3781" s="145"/>
      <c r="C3781" s="146"/>
      <c r="D3781" s="146"/>
      <c r="E3781" s="16"/>
      <c r="F3781" s="91"/>
      <c r="G3781" s="16"/>
      <c r="H3781" s="320" t="str">
        <f t="shared" si="424"/>
        <v/>
      </c>
      <c r="I3781" s="16"/>
      <c r="J3781" s="16"/>
      <c r="K3781" s="16"/>
      <c r="L3781" s="16"/>
      <c r="M3781" s="15"/>
      <c r="N3781" s="15"/>
      <c r="O3781" s="16"/>
      <c r="P3781" s="16"/>
      <c r="Q3781" s="16"/>
      <c r="R3781" s="16"/>
      <c r="S3781" s="37" t="str">
        <f>IFERROR(__xludf.DUMMYFUNCTION("if(not(iserror(index(split(C3781, "" ""),2))), index(split(C3781, "" ""),1),"""")"),"")</f>
        <v/>
      </c>
      <c r="T3781" s="315" t="str">
        <f>IFERROR(__xludf.DUMMYFUNCTION("if(S3781="""",C3781,if(not(iserror(index(split(C3781, "" ""),3))), index(split(C3781, "" ""),3),index(split(C3781, "" ""),2)))"),"")</f>
        <v/>
      </c>
      <c r="U3781" s="38" t="b">
        <f t="shared" si="423"/>
        <v>0</v>
      </c>
      <c r="V3781" s="38"/>
      <c r="W3781" s="40"/>
      <c r="X3781" s="40"/>
      <c r="Y3781" s="40"/>
      <c r="Z3781" s="38"/>
      <c r="AA3781" s="38"/>
      <c r="AB3781" s="38"/>
      <c r="AC3781" s="38"/>
      <c r="AD3781" s="38"/>
      <c r="AE3781" s="38"/>
      <c r="AF3781" s="38"/>
      <c r="AG3781" s="38"/>
      <c r="AH3781" s="38"/>
      <c r="AI3781" s="38"/>
      <c r="AJ3781" s="38"/>
      <c r="AK3781" s="38"/>
      <c r="AL3781" s="38"/>
      <c r="AM3781" s="38"/>
      <c r="AN3781" s="38"/>
      <c r="AO3781" s="38"/>
      <c r="AP3781" s="38"/>
      <c r="AQ3781" s="38"/>
      <c r="AR3781" s="38"/>
      <c r="AS3781" s="38"/>
      <c r="AT3781" s="38"/>
      <c r="AU3781" s="38"/>
      <c r="AV3781" s="38"/>
      <c r="AW3781" s="38"/>
      <c r="AX3781" s="38"/>
      <c r="AY3781" s="38"/>
      <c r="AZ3781" s="38"/>
      <c r="BA3781" s="38"/>
      <c r="BB3781" s="38"/>
      <c r="BC3781" s="38"/>
      <c r="BD3781" s="38"/>
      <c r="BE3781" s="38"/>
      <c r="BF3781" s="38"/>
      <c r="BG3781" s="38"/>
      <c r="BH3781" s="38"/>
      <c r="BI3781" s="38"/>
      <c r="BJ3781" s="38"/>
      <c r="BK3781" s="38"/>
      <c r="BL3781" s="38"/>
      <c r="BM3781" s="38"/>
      <c r="BN3781" s="38"/>
      <c r="BO3781" s="38"/>
      <c r="BP3781" s="38"/>
      <c r="BQ3781" s="38"/>
    </row>
    <row r="3782">
      <c r="A3782" s="16"/>
      <c r="B3782" s="145"/>
      <c r="C3782" s="146"/>
      <c r="D3782" s="146"/>
      <c r="E3782" s="16"/>
      <c r="F3782" s="91"/>
      <c r="G3782" s="16"/>
      <c r="H3782" s="320" t="str">
        <f t="shared" si="424"/>
        <v/>
      </c>
      <c r="I3782" s="16"/>
      <c r="J3782" s="16"/>
      <c r="K3782" s="16"/>
      <c r="L3782" s="16"/>
      <c r="M3782" s="15"/>
      <c r="N3782" s="15"/>
      <c r="O3782" s="16"/>
      <c r="P3782" s="16"/>
      <c r="Q3782" s="16"/>
      <c r="R3782" s="16"/>
      <c r="S3782" s="37" t="str">
        <f>IFERROR(__xludf.DUMMYFUNCTION("if(not(iserror(index(split(C3782, "" ""),2))), index(split(C3782, "" ""),1),"""")"),"")</f>
        <v/>
      </c>
      <c r="T3782" s="315" t="str">
        <f>IFERROR(__xludf.DUMMYFUNCTION("if(S3782="""",C3782,if(not(iserror(index(split(C3782, "" ""),3))), index(split(C3782, "" ""),3),index(split(C3782, "" ""),2)))"),"")</f>
        <v/>
      </c>
      <c r="U3782" s="38" t="b">
        <f t="shared" si="423"/>
        <v>0</v>
      </c>
      <c r="V3782" s="38"/>
      <c r="W3782" s="40"/>
      <c r="X3782" s="40"/>
      <c r="Y3782" s="40"/>
      <c r="Z3782" s="38"/>
      <c r="AA3782" s="38"/>
      <c r="AB3782" s="38"/>
      <c r="AC3782" s="38"/>
      <c r="AD3782" s="38"/>
      <c r="AE3782" s="38"/>
      <c r="AF3782" s="38"/>
      <c r="AG3782" s="38"/>
      <c r="AH3782" s="38"/>
      <c r="AI3782" s="38"/>
      <c r="AJ3782" s="38"/>
      <c r="AK3782" s="38"/>
      <c r="AL3782" s="38"/>
      <c r="AM3782" s="38"/>
      <c r="AN3782" s="38"/>
      <c r="AO3782" s="38"/>
      <c r="AP3782" s="38"/>
      <c r="AQ3782" s="38"/>
      <c r="AR3782" s="38"/>
      <c r="AS3782" s="38"/>
      <c r="AT3782" s="38"/>
      <c r="AU3782" s="38"/>
      <c r="AV3782" s="38"/>
      <c r="AW3782" s="38"/>
      <c r="AX3782" s="38"/>
      <c r="AY3782" s="38"/>
      <c r="AZ3782" s="38"/>
      <c r="BA3782" s="38"/>
      <c r="BB3782" s="38"/>
      <c r="BC3782" s="38"/>
      <c r="BD3782" s="38"/>
      <c r="BE3782" s="38"/>
      <c r="BF3782" s="38"/>
      <c r="BG3782" s="38"/>
      <c r="BH3782" s="38"/>
      <c r="BI3782" s="38"/>
      <c r="BJ3782" s="38"/>
      <c r="BK3782" s="38"/>
      <c r="BL3782" s="38"/>
      <c r="BM3782" s="38"/>
      <c r="BN3782" s="38"/>
      <c r="BO3782" s="38"/>
      <c r="BP3782" s="38"/>
      <c r="BQ3782" s="38"/>
    </row>
    <row r="3783">
      <c r="A3783" s="16"/>
      <c r="B3783" s="145"/>
      <c r="C3783" s="146"/>
      <c r="D3783" s="146"/>
      <c r="E3783" s="16"/>
      <c r="F3783" s="91"/>
      <c r="G3783" s="16"/>
      <c r="H3783" s="320" t="str">
        <f t="shared" si="424"/>
        <v/>
      </c>
      <c r="I3783" s="16"/>
      <c r="J3783" s="16"/>
      <c r="K3783" s="16"/>
      <c r="L3783" s="16"/>
      <c r="M3783" s="15"/>
      <c r="N3783" s="15"/>
      <c r="O3783" s="16"/>
      <c r="P3783" s="16"/>
      <c r="Q3783" s="16"/>
      <c r="R3783" s="16"/>
      <c r="S3783" s="37" t="str">
        <f>IFERROR(__xludf.DUMMYFUNCTION("if(not(iserror(index(split(C3783, "" ""),2))), index(split(C3783, "" ""),1),"""")"),"")</f>
        <v/>
      </c>
      <c r="T3783" s="315" t="str">
        <f>IFERROR(__xludf.DUMMYFUNCTION("if(S3783="""",C3783,if(not(iserror(index(split(C3783, "" ""),3))), index(split(C3783, "" ""),3),index(split(C3783, "" ""),2)))"),"")</f>
        <v/>
      </c>
      <c r="U3783" s="38" t="b">
        <f t="shared" si="423"/>
        <v>0</v>
      </c>
      <c r="V3783" s="38"/>
      <c r="W3783" s="40"/>
      <c r="X3783" s="40"/>
      <c r="Y3783" s="40"/>
      <c r="Z3783" s="38"/>
      <c r="AA3783" s="38"/>
      <c r="AB3783" s="38"/>
      <c r="AC3783" s="38"/>
      <c r="AD3783" s="38"/>
      <c r="AE3783" s="38"/>
      <c r="AF3783" s="38"/>
      <c r="AG3783" s="38"/>
      <c r="AH3783" s="38"/>
      <c r="AI3783" s="38"/>
      <c r="AJ3783" s="38"/>
      <c r="AK3783" s="38"/>
      <c r="AL3783" s="38"/>
      <c r="AM3783" s="38"/>
      <c r="AN3783" s="38"/>
      <c r="AO3783" s="38"/>
      <c r="AP3783" s="38"/>
      <c r="AQ3783" s="38"/>
      <c r="AR3783" s="38"/>
      <c r="AS3783" s="38"/>
      <c r="AT3783" s="38"/>
      <c r="AU3783" s="38"/>
      <c r="AV3783" s="38"/>
      <c r="AW3783" s="38"/>
      <c r="AX3783" s="38"/>
      <c r="AY3783" s="38"/>
      <c r="AZ3783" s="38"/>
      <c r="BA3783" s="38"/>
      <c r="BB3783" s="38"/>
      <c r="BC3783" s="38"/>
      <c r="BD3783" s="38"/>
      <c r="BE3783" s="38"/>
      <c r="BF3783" s="38"/>
      <c r="BG3783" s="38"/>
      <c r="BH3783" s="38"/>
      <c r="BI3783" s="38"/>
      <c r="BJ3783" s="38"/>
      <c r="BK3783" s="38"/>
      <c r="BL3783" s="38"/>
      <c r="BM3783" s="38"/>
      <c r="BN3783" s="38"/>
      <c r="BO3783" s="38"/>
      <c r="BP3783" s="38"/>
      <c r="BQ3783" s="38"/>
    </row>
    <row r="3784">
      <c r="A3784" s="16"/>
      <c r="B3784" s="145"/>
      <c r="C3784" s="146"/>
      <c r="D3784" s="146"/>
      <c r="E3784" s="16"/>
      <c r="F3784" s="91"/>
      <c r="G3784" s="16"/>
      <c r="H3784" s="320" t="str">
        <f t="shared" si="424"/>
        <v/>
      </c>
      <c r="I3784" s="16"/>
      <c r="J3784" s="16"/>
      <c r="K3784" s="16"/>
      <c r="L3784" s="16"/>
      <c r="M3784" s="15"/>
      <c r="N3784" s="15"/>
      <c r="O3784" s="16"/>
      <c r="P3784" s="16"/>
      <c r="Q3784" s="16"/>
      <c r="R3784" s="16"/>
      <c r="S3784" s="37" t="str">
        <f>IFERROR(__xludf.DUMMYFUNCTION("if(not(iserror(index(split(C3784, "" ""),2))), index(split(C3784, "" ""),1),"""")"),"")</f>
        <v/>
      </c>
      <c r="T3784" s="315" t="str">
        <f>IFERROR(__xludf.DUMMYFUNCTION("if(S3784="""",C3784,if(not(iserror(index(split(C3784, "" ""),3))), index(split(C3784, "" ""),3),index(split(C3784, "" ""),2)))"),"")</f>
        <v/>
      </c>
      <c r="U3784" s="38" t="b">
        <f t="shared" si="423"/>
        <v>0</v>
      </c>
      <c r="V3784" s="38"/>
      <c r="W3784" s="40"/>
      <c r="X3784" s="40"/>
      <c r="Y3784" s="40"/>
      <c r="Z3784" s="38"/>
      <c r="AA3784" s="38"/>
      <c r="AB3784" s="38"/>
      <c r="AC3784" s="38"/>
      <c r="AD3784" s="38"/>
      <c r="AE3784" s="38"/>
      <c r="AF3784" s="38"/>
      <c r="AG3784" s="38"/>
      <c r="AH3784" s="38"/>
      <c r="AI3784" s="38"/>
      <c r="AJ3784" s="38"/>
      <c r="AK3784" s="38"/>
      <c r="AL3784" s="38"/>
      <c r="AM3784" s="38"/>
      <c r="AN3784" s="38"/>
      <c r="AO3784" s="38"/>
      <c r="AP3784" s="38"/>
      <c r="AQ3784" s="38"/>
      <c r="AR3784" s="38"/>
      <c r="AS3784" s="38"/>
      <c r="AT3784" s="38"/>
      <c r="AU3784" s="38"/>
      <c r="AV3784" s="38"/>
      <c r="AW3784" s="38"/>
      <c r="AX3784" s="38"/>
      <c r="AY3784" s="38"/>
      <c r="AZ3784" s="38"/>
      <c r="BA3784" s="38"/>
      <c r="BB3784" s="38"/>
      <c r="BC3784" s="38"/>
      <c r="BD3784" s="38"/>
      <c r="BE3784" s="38"/>
      <c r="BF3784" s="38"/>
      <c r="BG3784" s="38"/>
      <c r="BH3784" s="38"/>
      <c r="BI3784" s="38"/>
      <c r="BJ3784" s="38"/>
      <c r="BK3784" s="38"/>
      <c r="BL3784" s="38"/>
      <c r="BM3784" s="38"/>
      <c r="BN3784" s="38"/>
      <c r="BO3784" s="38"/>
      <c r="BP3784" s="38"/>
      <c r="BQ3784" s="38"/>
    </row>
    <row r="3785">
      <c r="A3785" s="16"/>
      <c r="B3785" s="145"/>
      <c r="C3785" s="146"/>
      <c r="D3785" s="146"/>
      <c r="E3785" s="16"/>
      <c r="F3785" s="91"/>
      <c r="G3785" s="16"/>
      <c r="H3785" s="320" t="str">
        <f t="shared" si="424"/>
        <v/>
      </c>
      <c r="I3785" s="16"/>
      <c r="J3785" s="16"/>
      <c r="K3785" s="16"/>
      <c r="L3785" s="16"/>
      <c r="M3785" s="15"/>
      <c r="N3785" s="15"/>
      <c r="O3785" s="16"/>
      <c r="P3785" s="16"/>
      <c r="Q3785" s="16"/>
      <c r="R3785" s="16"/>
      <c r="S3785" s="37" t="str">
        <f>IFERROR(__xludf.DUMMYFUNCTION("if(not(iserror(index(split(C3785, "" ""),2))), index(split(C3785, "" ""),1),"""")"),"")</f>
        <v/>
      </c>
      <c r="T3785" s="315" t="str">
        <f>IFERROR(__xludf.DUMMYFUNCTION("if(S3785="""",C3785,if(not(iserror(index(split(C3785, "" ""),3))), index(split(C3785, "" ""),3),index(split(C3785, "" ""),2)))"),"")</f>
        <v/>
      </c>
      <c r="U3785" s="38" t="b">
        <f t="shared" si="423"/>
        <v>0</v>
      </c>
      <c r="V3785" s="38"/>
      <c r="W3785" s="40"/>
      <c r="X3785" s="40"/>
      <c r="Y3785" s="40"/>
      <c r="Z3785" s="38"/>
      <c r="AA3785" s="38"/>
      <c r="AB3785" s="38"/>
      <c r="AC3785" s="38"/>
      <c r="AD3785" s="38"/>
      <c r="AE3785" s="38"/>
      <c r="AF3785" s="38"/>
      <c r="AG3785" s="38"/>
      <c r="AH3785" s="38"/>
      <c r="AI3785" s="38"/>
      <c r="AJ3785" s="38"/>
      <c r="AK3785" s="38"/>
      <c r="AL3785" s="38"/>
      <c r="AM3785" s="38"/>
      <c r="AN3785" s="38"/>
      <c r="AO3785" s="38"/>
      <c r="AP3785" s="38"/>
      <c r="AQ3785" s="38"/>
      <c r="AR3785" s="38"/>
      <c r="AS3785" s="38"/>
      <c r="AT3785" s="38"/>
      <c r="AU3785" s="38"/>
      <c r="AV3785" s="38"/>
      <c r="AW3785" s="38"/>
      <c r="AX3785" s="38"/>
      <c r="AY3785" s="38"/>
      <c r="AZ3785" s="38"/>
      <c r="BA3785" s="38"/>
      <c r="BB3785" s="38"/>
      <c r="BC3785" s="38"/>
      <c r="BD3785" s="38"/>
      <c r="BE3785" s="38"/>
      <c r="BF3785" s="38"/>
      <c r="BG3785" s="38"/>
      <c r="BH3785" s="38"/>
      <c r="BI3785" s="38"/>
      <c r="BJ3785" s="38"/>
      <c r="BK3785" s="38"/>
      <c r="BL3785" s="38"/>
      <c r="BM3785" s="38"/>
      <c r="BN3785" s="38"/>
      <c r="BO3785" s="38"/>
      <c r="BP3785" s="38"/>
      <c r="BQ3785" s="38"/>
    </row>
    <row r="3786">
      <c r="A3786" s="16"/>
      <c r="B3786" s="145"/>
      <c r="C3786" s="146"/>
      <c r="D3786" s="146"/>
      <c r="E3786" s="16"/>
      <c r="F3786" s="91"/>
      <c r="G3786" s="16"/>
      <c r="H3786" s="320" t="str">
        <f t="shared" si="424"/>
        <v/>
      </c>
      <c r="I3786" s="16"/>
      <c r="J3786" s="16"/>
      <c r="K3786" s="16"/>
      <c r="L3786" s="16"/>
      <c r="M3786" s="15"/>
      <c r="N3786" s="15"/>
      <c r="O3786" s="16"/>
      <c r="P3786" s="16"/>
      <c r="Q3786" s="16"/>
      <c r="R3786" s="16"/>
      <c r="S3786" s="37" t="str">
        <f>IFERROR(__xludf.DUMMYFUNCTION("if(not(iserror(index(split(C3786, "" ""),2))), index(split(C3786, "" ""),1),"""")"),"")</f>
        <v/>
      </c>
      <c r="T3786" s="315" t="str">
        <f>IFERROR(__xludf.DUMMYFUNCTION("if(S3786="""",C3786,if(not(iserror(index(split(C3786, "" ""),3))), index(split(C3786, "" ""),3),index(split(C3786, "" ""),2)))"),"")</f>
        <v/>
      </c>
      <c r="U3786" s="38" t="b">
        <f t="shared" si="423"/>
        <v>0</v>
      </c>
      <c r="V3786" s="38"/>
      <c r="W3786" s="40"/>
      <c r="X3786" s="40"/>
      <c r="Y3786" s="40"/>
      <c r="Z3786" s="38"/>
      <c r="AA3786" s="38"/>
      <c r="AB3786" s="38"/>
      <c r="AC3786" s="38"/>
      <c r="AD3786" s="38"/>
      <c r="AE3786" s="38"/>
      <c r="AF3786" s="38"/>
      <c r="AG3786" s="38"/>
      <c r="AH3786" s="38"/>
      <c r="AI3786" s="38"/>
      <c r="AJ3786" s="38"/>
      <c r="AK3786" s="38"/>
      <c r="AL3786" s="38"/>
      <c r="AM3786" s="38"/>
      <c r="AN3786" s="38"/>
      <c r="AO3786" s="38"/>
      <c r="AP3786" s="38"/>
      <c r="AQ3786" s="38"/>
      <c r="AR3786" s="38"/>
      <c r="AS3786" s="38"/>
      <c r="AT3786" s="38"/>
      <c r="AU3786" s="38"/>
      <c r="AV3786" s="38"/>
      <c r="AW3786" s="38"/>
      <c r="AX3786" s="38"/>
      <c r="AY3786" s="38"/>
      <c r="AZ3786" s="38"/>
      <c r="BA3786" s="38"/>
      <c r="BB3786" s="38"/>
      <c r="BC3786" s="38"/>
      <c r="BD3786" s="38"/>
      <c r="BE3786" s="38"/>
      <c r="BF3786" s="38"/>
      <c r="BG3786" s="38"/>
      <c r="BH3786" s="38"/>
      <c r="BI3786" s="38"/>
      <c r="BJ3786" s="38"/>
      <c r="BK3786" s="38"/>
      <c r="BL3786" s="38"/>
      <c r="BM3786" s="38"/>
      <c r="BN3786" s="38"/>
      <c r="BO3786" s="38"/>
      <c r="BP3786" s="38"/>
      <c r="BQ3786" s="38"/>
    </row>
    <row r="3787">
      <c r="A3787" s="16"/>
      <c r="B3787" s="145"/>
      <c r="C3787" s="146"/>
      <c r="D3787" s="146"/>
      <c r="E3787" s="16"/>
      <c r="F3787" s="91"/>
      <c r="G3787" s="16"/>
      <c r="H3787" s="320" t="str">
        <f t="shared" si="424"/>
        <v/>
      </c>
      <c r="I3787" s="16"/>
      <c r="J3787" s="16"/>
      <c r="K3787" s="16"/>
      <c r="L3787" s="16"/>
      <c r="M3787" s="15"/>
      <c r="N3787" s="15"/>
      <c r="O3787" s="16"/>
      <c r="P3787" s="16"/>
      <c r="Q3787" s="16"/>
      <c r="R3787" s="16"/>
      <c r="S3787" s="37" t="str">
        <f>IFERROR(__xludf.DUMMYFUNCTION("if(not(iserror(index(split(C3787, "" ""),2))), index(split(C3787, "" ""),1),"""")"),"")</f>
        <v/>
      </c>
      <c r="T3787" s="315" t="str">
        <f>IFERROR(__xludf.DUMMYFUNCTION("if(S3787="""",C3787,if(not(iserror(index(split(C3787, "" ""),3))), index(split(C3787, "" ""),3),index(split(C3787, "" ""),2)))"),"")</f>
        <v/>
      </c>
      <c r="U3787" s="38" t="b">
        <f t="shared" si="423"/>
        <v>0</v>
      </c>
      <c r="V3787" s="38"/>
      <c r="W3787" s="40"/>
      <c r="X3787" s="40"/>
      <c r="Y3787" s="40"/>
      <c r="Z3787" s="38"/>
      <c r="AA3787" s="38"/>
      <c r="AB3787" s="38"/>
      <c r="AC3787" s="38"/>
      <c r="AD3787" s="38"/>
      <c r="AE3787" s="38"/>
      <c r="AF3787" s="38"/>
      <c r="AG3787" s="38"/>
      <c r="AH3787" s="38"/>
      <c r="AI3787" s="38"/>
      <c r="AJ3787" s="38"/>
      <c r="AK3787" s="38"/>
      <c r="AL3787" s="38"/>
      <c r="AM3787" s="38"/>
      <c r="AN3787" s="38"/>
      <c r="AO3787" s="38"/>
      <c r="AP3787" s="38"/>
      <c r="AQ3787" s="38"/>
      <c r="AR3787" s="38"/>
      <c r="AS3787" s="38"/>
      <c r="AT3787" s="38"/>
      <c r="AU3787" s="38"/>
      <c r="AV3787" s="38"/>
      <c r="AW3787" s="38"/>
      <c r="AX3787" s="38"/>
      <c r="AY3787" s="38"/>
      <c r="AZ3787" s="38"/>
      <c r="BA3787" s="38"/>
      <c r="BB3787" s="38"/>
      <c r="BC3787" s="38"/>
      <c r="BD3787" s="38"/>
      <c r="BE3787" s="38"/>
      <c r="BF3787" s="38"/>
      <c r="BG3787" s="38"/>
      <c r="BH3787" s="38"/>
      <c r="BI3787" s="38"/>
      <c r="BJ3787" s="38"/>
      <c r="BK3787" s="38"/>
      <c r="BL3787" s="38"/>
      <c r="BM3787" s="38"/>
      <c r="BN3787" s="38"/>
      <c r="BO3787" s="38"/>
      <c r="BP3787" s="38"/>
      <c r="BQ3787" s="38"/>
    </row>
    <row r="3788">
      <c r="A3788" s="16"/>
      <c r="B3788" s="145"/>
      <c r="C3788" s="146"/>
      <c r="D3788" s="146"/>
      <c r="E3788" s="16"/>
      <c r="F3788" s="91"/>
      <c r="G3788" s="16"/>
      <c r="H3788" s="320" t="str">
        <f t="shared" si="424"/>
        <v/>
      </c>
      <c r="I3788" s="16"/>
      <c r="J3788" s="16"/>
      <c r="K3788" s="16"/>
      <c r="L3788" s="16"/>
      <c r="M3788" s="15"/>
      <c r="N3788" s="15"/>
      <c r="O3788" s="16"/>
      <c r="P3788" s="16"/>
      <c r="Q3788" s="16"/>
      <c r="R3788" s="16"/>
      <c r="S3788" s="37" t="str">
        <f>IFERROR(__xludf.DUMMYFUNCTION("if(not(iserror(index(split(C3788, "" ""),2))), index(split(C3788, "" ""),1),"""")"),"")</f>
        <v/>
      </c>
      <c r="T3788" s="315" t="str">
        <f>IFERROR(__xludf.DUMMYFUNCTION("if(S3788="""",C3788,if(not(iserror(index(split(C3788, "" ""),3))), index(split(C3788, "" ""),3),index(split(C3788, "" ""),2)))"),"")</f>
        <v/>
      </c>
      <c r="U3788" s="38" t="b">
        <f t="shared" si="423"/>
        <v>0</v>
      </c>
      <c r="V3788" s="38"/>
      <c r="W3788" s="40"/>
      <c r="X3788" s="40"/>
      <c r="Y3788" s="40"/>
      <c r="Z3788" s="38"/>
      <c r="AA3788" s="38"/>
      <c r="AB3788" s="38"/>
      <c r="AC3788" s="38"/>
      <c r="AD3788" s="38"/>
      <c r="AE3788" s="38"/>
      <c r="AF3788" s="38"/>
      <c r="AG3788" s="38"/>
      <c r="AH3788" s="38"/>
      <c r="AI3788" s="38"/>
      <c r="AJ3788" s="38"/>
      <c r="AK3788" s="38"/>
      <c r="AL3788" s="38"/>
      <c r="AM3788" s="38"/>
      <c r="AN3788" s="38"/>
      <c r="AO3788" s="38"/>
      <c r="AP3788" s="38"/>
      <c r="AQ3788" s="38"/>
      <c r="AR3788" s="38"/>
      <c r="AS3788" s="38"/>
      <c r="AT3788" s="38"/>
      <c r="AU3788" s="38"/>
      <c r="AV3788" s="38"/>
      <c r="AW3788" s="38"/>
      <c r="AX3788" s="38"/>
      <c r="AY3788" s="38"/>
      <c r="AZ3788" s="38"/>
      <c r="BA3788" s="38"/>
      <c r="BB3788" s="38"/>
      <c r="BC3788" s="38"/>
      <c r="BD3788" s="38"/>
      <c r="BE3788" s="38"/>
      <c r="BF3788" s="38"/>
      <c r="BG3788" s="38"/>
      <c r="BH3788" s="38"/>
      <c r="BI3788" s="38"/>
      <c r="BJ3788" s="38"/>
      <c r="BK3788" s="38"/>
      <c r="BL3788" s="38"/>
      <c r="BM3788" s="38"/>
      <c r="BN3788" s="38"/>
      <c r="BO3788" s="38"/>
      <c r="BP3788" s="38"/>
      <c r="BQ3788" s="38"/>
    </row>
    <row r="3789">
      <c r="A3789" s="16"/>
      <c r="B3789" s="145"/>
      <c r="C3789" s="146"/>
      <c r="D3789" s="146"/>
      <c r="E3789" s="16"/>
      <c r="F3789" s="91"/>
      <c r="G3789" s="16"/>
      <c r="H3789" s="320" t="str">
        <f t="shared" si="424"/>
        <v/>
      </c>
      <c r="I3789" s="16"/>
      <c r="J3789" s="16"/>
      <c r="K3789" s="16"/>
      <c r="L3789" s="16"/>
      <c r="M3789" s="15"/>
      <c r="N3789" s="15"/>
      <c r="O3789" s="16"/>
      <c r="P3789" s="16"/>
      <c r="Q3789" s="16"/>
      <c r="R3789" s="16"/>
      <c r="S3789" s="37" t="str">
        <f>IFERROR(__xludf.DUMMYFUNCTION("if(not(iserror(index(split(C3789, "" ""),2))), index(split(C3789, "" ""),1),"""")"),"")</f>
        <v/>
      </c>
      <c r="T3789" s="315" t="str">
        <f>IFERROR(__xludf.DUMMYFUNCTION("if(S3789="""",C3789,if(not(iserror(index(split(C3789, "" ""),3))), index(split(C3789, "" ""),3),index(split(C3789, "" ""),2)))"),"")</f>
        <v/>
      </c>
      <c r="U3789" s="38" t="b">
        <f t="shared" si="423"/>
        <v>0</v>
      </c>
      <c r="V3789" s="38"/>
      <c r="W3789" s="40"/>
      <c r="X3789" s="40"/>
      <c r="Y3789" s="40"/>
      <c r="Z3789" s="38"/>
      <c r="AA3789" s="38"/>
      <c r="AB3789" s="38"/>
      <c r="AC3789" s="38"/>
      <c r="AD3789" s="38"/>
      <c r="AE3789" s="38"/>
      <c r="AF3789" s="38"/>
      <c r="AG3789" s="38"/>
      <c r="AH3789" s="38"/>
      <c r="AI3789" s="38"/>
      <c r="AJ3789" s="38"/>
      <c r="AK3789" s="38"/>
      <c r="AL3789" s="38"/>
      <c r="AM3789" s="38"/>
      <c r="AN3789" s="38"/>
      <c r="AO3789" s="38"/>
      <c r="AP3789" s="38"/>
      <c r="AQ3789" s="38"/>
      <c r="AR3789" s="38"/>
      <c r="AS3789" s="38"/>
      <c r="AT3789" s="38"/>
      <c r="AU3789" s="38"/>
      <c r="AV3789" s="38"/>
      <c r="AW3789" s="38"/>
      <c r="AX3789" s="38"/>
      <c r="AY3789" s="38"/>
      <c r="AZ3789" s="38"/>
      <c r="BA3789" s="38"/>
      <c r="BB3789" s="38"/>
      <c r="BC3789" s="38"/>
      <c r="BD3789" s="38"/>
      <c r="BE3789" s="38"/>
      <c r="BF3789" s="38"/>
      <c r="BG3789" s="38"/>
      <c r="BH3789" s="38"/>
      <c r="BI3789" s="38"/>
      <c r="BJ3789" s="38"/>
      <c r="BK3789" s="38"/>
      <c r="BL3789" s="38"/>
      <c r="BM3789" s="38"/>
      <c r="BN3789" s="38"/>
      <c r="BO3789" s="38"/>
      <c r="BP3789" s="38"/>
      <c r="BQ3789" s="38"/>
    </row>
    <row r="3790">
      <c r="A3790" s="16"/>
      <c r="B3790" s="145"/>
      <c r="C3790" s="146"/>
      <c r="D3790" s="146"/>
      <c r="E3790" s="16"/>
      <c r="F3790" s="91"/>
      <c r="G3790" s="16"/>
      <c r="H3790" s="320" t="str">
        <f t="shared" si="424"/>
        <v/>
      </c>
      <c r="I3790" s="16"/>
      <c r="J3790" s="16"/>
      <c r="K3790" s="16"/>
      <c r="L3790" s="16"/>
      <c r="M3790" s="15"/>
      <c r="N3790" s="15"/>
      <c r="O3790" s="16"/>
      <c r="P3790" s="16"/>
      <c r="Q3790" s="16"/>
      <c r="R3790" s="16"/>
      <c r="S3790" s="37" t="str">
        <f>IFERROR(__xludf.DUMMYFUNCTION("if(not(iserror(index(split(C3790, "" ""),2))), index(split(C3790, "" ""),1),"""")"),"")</f>
        <v/>
      </c>
      <c r="T3790" s="315" t="str">
        <f>IFERROR(__xludf.DUMMYFUNCTION("if(S3790="""",C3790,if(not(iserror(index(split(C3790, "" ""),3))), index(split(C3790, "" ""),3),index(split(C3790, "" ""),2)))"),"")</f>
        <v/>
      </c>
      <c r="U3790" s="38" t="b">
        <f t="shared" si="423"/>
        <v>0</v>
      </c>
      <c r="V3790" s="38"/>
      <c r="W3790" s="40"/>
      <c r="X3790" s="40"/>
      <c r="Y3790" s="40"/>
      <c r="Z3790" s="38"/>
      <c r="AA3790" s="38"/>
      <c r="AB3790" s="38"/>
      <c r="AC3790" s="38"/>
      <c r="AD3790" s="38"/>
      <c r="AE3790" s="38"/>
      <c r="AF3790" s="38"/>
      <c r="AG3790" s="38"/>
      <c r="AH3790" s="38"/>
      <c r="AI3790" s="38"/>
      <c r="AJ3790" s="38"/>
      <c r="AK3790" s="38"/>
      <c r="AL3790" s="38"/>
      <c r="AM3790" s="38"/>
      <c r="AN3790" s="38"/>
      <c r="AO3790" s="38"/>
      <c r="AP3790" s="38"/>
      <c r="AQ3790" s="38"/>
      <c r="AR3790" s="38"/>
      <c r="AS3790" s="38"/>
      <c r="AT3790" s="38"/>
      <c r="AU3790" s="38"/>
      <c r="AV3790" s="38"/>
      <c r="AW3790" s="38"/>
      <c r="AX3790" s="38"/>
      <c r="AY3790" s="38"/>
      <c r="AZ3790" s="38"/>
      <c r="BA3790" s="38"/>
      <c r="BB3790" s="38"/>
      <c r="BC3790" s="38"/>
      <c r="BD3790" s="38"/>
      <c r="BE3790" s="38"/>
      <c r="BF3790" s="38"/>
      <c r="BG3790" s="38"/>
      <c r="BH3790" s="38"/>
      <c r="BI3790" s="38"/>
      <c r="BJ3790" s="38"/>
      <c r="BK3790" s="38"/>
      <c r="BL3790" s="38"/>
      <c r="BM3790" s="38"/>
      <c r="BN3790" s="38"/>
      <c r="BO3790" s="38"/>
      <c r="BP3790" s="38"/>
      <c r="BQ3790" s="38"/>
    </row>
    <row r="3791">
      <c r="A3791" s="16"/>
      <c r="B3791" s="145"/>
      <c r="C3791" s="146"/>
      <c r="D3791" s="146"/>
      <c r="E3791" s="16"/>
      <c r="F3791" s="91"/>
      <c r="G3791" s="16"/>
      <c r="H3791" s="320" t="str">
        <f t="shared" si="424"/>
        <v/>
      </c>
      <c r="I3791" s="16"/>
      <c r="J3791" s="16"/>
      <c r="K3791" s="16"/>
      <c r="L3791" s="16"/>
      <c r="M3791" s="15"/>
      <c r="N3791" s="15"/>
      <c r="O3791" s="16"/>
      <c r="P3791" s="16"/>
      <c r="Q3791" s="16"/>
      <c r="R3791" s="16"/>
      <c r="S3791" s="37" t="str">
        <f>IFERROR(__xludf.DUMMYFUNCTION("if(not(iserror(index(split(C3791, "" ""),2))), index(split(C3791, "" ""),1),"""")"),"")</f>
        <v/>
      </c>
      <c r="T3791" s="315" t="str">
        <f>IFERROR(__xludf.DUMMYFUNCTION("if(S3791="""",C3791,if(not(iserror(index(split(C3791, "" ""),3))), index(split(C3791, "" ""),3),index(split(C3791, "" ""),2)))"),"")</f>
        <v/>
      </c>
      <c r="U3791" s="38" t="b">
        <f t="shared" si="423"/>
        <v>0</v>
      </c>
      <c r="V3791" s="38"/>
      <c r="W3791" s="40"/>
      <c r="X3791" s="40"/>
      <c r="Y3791" s="40"/>
      <c r="Z3791" s="38"/>
      <c r="AA3791" s="38"/>
      <c r="AB3791" s="38"/>
      <c r="AC3791" s="38"/>
      <c r="AD3791" s="38"/>
      <c r="AE3791" s="38"/>
      <c r="AF3791" s="38"/>
      <c r="AG3791" s="38"/>
      <c r="AH3791" s="38"/>
      <c r="AI3791" s="38"/>
      <c r="AJ3791" s="38"/>
      <c r="AK3791" s="38"/>
      <c r="AL3791" s="38"/>
      <c r="AM3791" s="38"/>
      <c r="AN3791" s="38"/>
      <c r="AO3791" s="38"/>
      <c r="AP3791" s="38"/>
      <c r="AQ3791" s="38"/>
      <c r="AR3791" s="38"/>
      <c r="AS3791" s="38"/>
      <c r="AT3791" s="38"/>
      <c r="AU3791" s="38"/>
      <c r="AV3791" s="38"/>
      <c r="AW3791" s="38"/>
      <c r="AX3791" s="38"/>
      <c r="AY3791" s="38"/>
      <c r="AZ3791" s="38"/>
      <c r="BA3791" s="38"/>
      <c r="BB3791" s="38"/>
      <c r="BC3791" s="38"/>
      <c r="BD3791" s="38"/>
      <c r="BE3791" s="38"/>
      <c r="BF3791" s="38"/>
      <c r="BG3791" s="38"/>
      <c r="BH3791" s="38"/>
      <c r="BI3791" s="38"/>
      <c r="BJ3791" s="38"/>
      <c r="BK3791" s="38"/>
      <c r="BL3791" s="38"/>
      <c r="BM3791" s="38"/>
      <c r="BN3791" s="38"/>
      <c r="BO3791" s="38"/>
      <c r="BP3791" s="38"/>
      <c r="BQ3791" s="38"/>
    </row>
    <row r="3792">
      <c r="A3792" s="16"/>
      <c r="B3792" s="145"/>
      <c r="C3792" s="146"/>
      <c r="D3792" s="146"/>
      <c r="E3792" s="16"/>
      <c r="F3792" s="91"/>
      <c r="G3792" s="16"/>
      <c r="H3792" s="320" t="str">
        <f t="shared" si="424"/>
        <v/>
      </c>
      <c r="I3792" s="16"/>
      <c r="J3792" s="16"/>
      <c r="K3792" s="16"/>
      <c r="L3792" s="16"/>
      <c r="M3792" s="15"/>
      <c r="N3792" s="15"/>
      <c r="O3792" s="16"/>
      <c r="P3792" s="16"/>
      <c r="Q3792" s="16"/>
      <c r="R3792" s="16"/>
      <c r="S3792" s="37" t="str">
        <f>IFERROR(__xludf.DUMMYFUNCTION("if(not(iserror(index(split(C3792, "" ""),2))), index(split(C3792, "" ""),1),"""")"),"")</f>
        <v/>
      </c>
      <c r="T3792" s="315" t="str">
        <f>IFERROR(__xludf.DUMMYFUNCTION("if(S3792="""",C3792,if(not(iserror(index(split(C3792, "" ""),3))), index(split(C3792, "" ""),3),index(split(C3792, "" ""),2)))"),"")</f>
        <v/>
      </c>
      <c r="U3792" s="38" t="b">
        <f t="shared" si="423"/>
        <v>0</v>
      </c>
      <c r="V3792" s="38"/>
      <c r="W3792" s="40"/>
      <c r="X3792" s="40"/>
      <c r="Y3792" s="40"/>
      <c r="Z3792" s="38"/>
      <c r="AA3792" s="38"/>
      <c r="AB3792" s="38"/>
      <c r="AC3792" s="38"/>
      <c r="AD3792" s="38"/>
      <c r="AE3792" s="38"/>
      <c r="AF3792" s="38"/>
      <c r="AG3792" s="38"/>
      <c r="AH3792" s="38"/>
      <c r="AI3792" s="38"/>
      <c r="AJ3792" s="38"/>
      <c r="AK3792" s="38"/>
      <c r="AL3792" s="38"/>
      <c r="AM3792" s="38"/>
      <c r="AN3792" s="38"/>
      <c r="AO3792" s="38"/>
      <c r="AP3792" s="38"/>
      <c r="AQ3792" s="38"/>
      <c r="AR3792" s="38"/>
      <c r="AS3792" s="38"/>
      <c r="AT3792" s="38"/>
      <c r="AU3792" s="38"/>
      <c r="AV3792" s="38"/>
      <c r="AW3792" s="38"/>
      <c r="AX3792" s="38"/>
      <c r="AY3792" s="38"/>
      <c r="AZ3792" s="38"/>
      <c r="BA3792" s="38"/>
      <c r="BB3792" s="38"/>
      <c r="BC3792" s="38"/>
      <c r="BD3792" s="38"/>
      <c r="BE3792" s="38"/>
      <c r="BF3792" s="38"/>
      <c r="BG3792" s="38"/>
      <c r="BH3792" s="38"/>
      <c r="BI3792" s="38"/>
      <c r="BJ3792" s="38"/>
      <c r="BK3792" s="38"/>
      <c r="BL3792" s="38"/>
      <c r="BM3792" s="38"/>
      <c r="BN3792" s="38"/>
      <c r="BO3792" s="38"/>
      <c r="BP3792" s="38"/>
      <c r="BQ3792" s="38"/>
    </row>
    <row r="3793">
      <c r="A3793" s="16"/>
      <c r="B3793" s="145"/>
      <c r="C3793" s="146"/>
      <c r="D3793" s="146"/>
      <c r="E3793" s="16"/>
      <c r="F3793" s="91"/>
      <c r="G3793" s="16"/>
      <c r="H3793" s="320" t="str">
        <f t="shared" si="424"/>
        <v/>
      </c>
      <c r="I3793" s="16"/>
      <c r="J3793" s="16"/>
      <c r="K3793" s="16"/>
      <c r="L3793" s="16"/>
      <c r="M3793" s="15"/>
      <c r="N3793" s="15"/>
      <c r="O3793" s="16"/>
      <c r="P3793" s="16"/>
      <c r="Q3793" s="16"/>
      <c r="R3793" s="16"/>
      <c r="S3793" s="37" t="str">
        <f>IFERROR(__xludf.DUMMYFUNCTION("if(not(iserror(index(split(C3793, "" ""),2))), index(split(C3793, "" ""),1),"""")"),"")</f>
        <v/>
      </c>
      <c r="T3793" s="315" t="str">
        <f>IFERROR(__xludf.DUMMYFUNCTION("if(S3793="""",C3793,if(not(iserror(index(split(C3793, "" ""),3))), index(split(C3793, "" ""),3),index(split(C3793, "" ""),2)))"),"")</f>
        <v/>
      </c>
      <c r="U3793" s="38" t="b">
        <f t="shared" si="423"/>
        <v>0</v>
      </c>
      <c r="V3793" s="38"/>
      <c r="W3793" s="40"/>
      <c r="X3793" s="40"/>
      <c r="Y3793" s="40"/>
      <c r="Z3793" s="38"/>
      <c r="AA3793" s="38"/>
      <c r="AB3793" s="38"/>
      <c r="AC3793" s="38"/>
      <c r="AD3793" s="38"/>
      <c r="AE3793" s="38"/>
      <c r="AF3793" s="38"/>
      <c r="AG3793" s="38"/>
      <c r="AH3793" s="38"/>
      <c r="AI3793" s="38"/>
      <c r="AJ3793" s="38"/>
      <c r="AK3793" s="38"/>
      <c r="AL3793" s="38"/>
      <c r="AM3793" s="38"/>
      <c r="AN3793" s="38"/>
      <c r="AO3793" s="38"/>
      <c r="AP3793" s="38"/>
      <c r="AQ3793" s="38"/>
      <c r="AR3793" s="38"/>
      <c r="AS3793" s="38"/>
      <c r="AT3793" s="38"/>
      <c r="AU3793" s="38"/>
      <c r="AV3793" s="38"/>
      <c r="AW3793" s="38"/>
      <c r="AX3793" s="38"/>
      <c r="AY3793" s="38"/>
      <c r="AZ3793" s="38"/>
      <c r="BA3793" s="38"/>
      <c r="BB3793" s="38"/>
      <c r="BC3793" s="38"/>
      <c r="BD3793" s="38"/>
      <c r="BE3793" s="38"/>
      <c r="BF3793" s="38"/>
      <c r="BG3793" s="38"/>
      <c r="BH3793" s="38"/>
      <c r="BI3793" s="38"/>
      <c r="BJ3793" s="38"/>
      <c r="BK3793" s="38"/>
      <c r="BL3793" s="38"/>
      <c r="BM3793" s="38"/>
      <c r="BN3793" s="38"/>
      <c r="BO3793" s="38"/>
      <c r="BP3793" s="38"/>
      <c r="BQ3793" s="38"/>
    </row>
    <row r="3794">
      <c r="A3794" s="16"/>
      <c r="B3794" s="145"/>
      <c r="C3794" s="146"/>
      <c r="D3794" s="146"/>
      <c r="E3794" s="16"/>
      <c r="F3794" s="91"/>
      <c r="G3794" s="16"/>
      <c r="H3794" s="320" t="str">
        <f t="shared" si="424"/>
        <v/>
      </c>
      <c r="I3794" s="16"/>
      <c r="J3794" s="16"/>
      <c r="K3794" s="16"/>
      <c r="L3794" s="16"/>
      <c r="M3794" s="15"/>
      <c r="N3794" s="15"/>
      <c r="O3794" s="16"/>
      <c r="P3794" s="16"/>
      <c r="Q3794" s="16"/>
      <c r="R3794" s="16"/>
      <c r="S3794" s="37" t="str">
        <f>IFERROR(__xludf.DUMMYFUNCTION("if(not(iserror(index(split(C3794, "" ""),2))), index(split(C3794, "" ""),1),"""")"),"")</f>
        <v/>
      </c>
      <c r="T3794" s="315" t="str">
        <f>IFERROR(__xludf.DUMMYFUNCTION("if(S3794="""",C3794,if(not(iserror(index(split(C3794, "" ""),3))), index(split(C3794, "" ""),3),index(split(C3794, "" ""),2)))"),"")</f>
        <v/>
      </c>
      <c r="U3794" s="38" t="b">
        <f t="shared" si="423"/>
        <v>0</v>
      </c>
      <c r="V3794" s="38"/>
      <c r="W3794" s="40"/>
      <c r="X3794" s="40"/>
      <c r="Y3794" s="40"/>
      <c r="Z3794" s="38"/>
      <c r="AA3794" s="38"/>
      <c r="AB3794" s="38"/>
      <c r="AC3794" s="38"/>
      <c r="AD3794" s="38"/>
      <c r="AE3794" s="38"/>
      <c r="AF3794" s="38"/>
      <c r="AG3794" s="38"/>
      <c r="AH3794" s="38"/>
      <c r="AI3794" s="38"/>
      <c r="AJ3794" s="38"/>
      <c r="AK3794" s="38"/>
      <c r="AL3794" s="38"/>
      <c r="AM3794" s="38"/>
      <c r="AN3794" s="38"/>
      <c r="AO3794" s="38"/>
      <c r="AP3794" s="38"/>
      <c r="AQ3794" s="38"/>
      <c r="AR3794" s="38"/>
      <c r="AS3794" s="38"/>
      <c r="AT3794" s="38"/>
      <c r="AU3794" s="38"/>
      <c r="AV3794" s="38"/>
      <c r="AW3794" s="38"/>
      <c r="AX3794" s="38"/>
      <c r="AY3794" s="38"/>
      <c r="AZ3794" s="38"/>
      <c r="BA3794" s="38"/>
      <c r="BB3794" s="38"/>
      <c r="BC3794" s="38"/>
      <c r="BD3794" s="38"/>
      <c r="BE3794" s="38"/>
      <c r="BF3794" s="38"/>
      <c r="BG3794" s="38"/>
      <c r="BH3794" s="38"/>
      <c r="BI3794" s="38"/>
      <c r="BJ3794" s="38"/>
      <c r="BK3794" s="38"/>
      <c r="BL3794" s="38"/>
      <c r="BM3794" s="38"/>
      <c r="BN3794" s="38"/>
      <c r="BO3794" s="38"/>
      <c r="BP3794" s="38"/>
      <c r="BQ3794" s="38"/>
    </row>
    <row r="3795">
      <c r="A3795" s="16"/>
      <c r="B3795" s="145"/>
      <c r="C3795" s="146"/>
      <c r="D3795" s="146"/>
      <c r="E3795" s="16"/>
      <c r="F3795" s="91"/>
      <c r="G3795" s="16"/>
      <c r="H3795" s="320" t="str">
        <f t="shared" si="424"/>
        <v/>
      </c>
      <c r="I3795" s="16"/>
      <c r="J3795" s="16"/>
      <c r="K3795" s="16"/>
      <c r="L3795" s="16"/>
      <c r="M3795" s="15"/>
      <c r="N3795" s="15"/>
      <c r="O3795" s="16"/>
      <c r="P3795" s="16"/>
      <c r="Q3795" s="16"/>
      <c r="R3795" s="16"/>
      <c r="S3795" s="37" t="str">
        <f>IFERROR(__xludf.DUMMYFUNCTION("if(not(iserror(index(split(C3795, "" ""),2))), index(split(C3795, "" ""),1),"""")"),"")</f>
        <v/>
      </c>
      <c r="T3795" s="315" t="str">
        <f>IFERROR(__xludf.DUMMYFUNCTION("if(S3795="""",C3795,if(not(iserror(index(split(C3795, "" ""),3))), index(split(C3795, "" ""),3),index(split(C3795, "" ""),2)))"),"")</f>
        <v/>
      </c>
      <c r="U3795" s="38" t="b">
        <f t="shared" si="423"/>
        <v>0</v>
      </c>
      <c r="V3795" s="38"/>
      <c r="W3795" s="40"/>
      <c r="X3795" s="40"/>
      <c r="Y3795" s="40"/>
      <c r="Z3795" s="38"/>
      <c r="AA3795" s="38"/>
      <c r="AB3795" s="38"/>
      <c r="AC3795" s="38"/>
      <c r="AD3795" s="38"/>
      <c r="AE3795" s="38"/>
      <c r="AF3795" s="38"/>
      <c r="AG3795" s="38"/>
      <c r="AH3795" s="38"/>
      <c r="AI3795" s="38"/>
      <c r="AJ3795" s="38"/>
      <c r="AK3795" s="38"/>
      <c r="AL3795" s="38"/>
      <c r="AM3795" s="38"/>
      <c r="AN3795" s="38"/>
      <c r="AO3795" s="38"/>
      <c r="AP3795" s="38"/>
      <c r="AQ3795" s="38"/>
      <c r="AR3795" s="38"/>
      <c r="AS3795" s="38"/>
      <c r="AT3795" s="38"/>
      <c r="AU3795" s="38"/>
      <c r="AV3795" s="38"/>
      <c r="AW3795" s="38"/>
      <c r="AX3795" s="38"/>
      <c r="AY3795" s="38"/>
      <c r="AZ3795" s="38"/>
      <c r="BA3795" s="38"/>
      <c r="BB3795" s="38"/>
      <c r="BC3795" s="38"/>
      <c r="BD3795" s="38"/>
      <c r="BE3795" s="38"/>
      <c r="BF3795" s="38"/>
      <c r="BG3795" s="38"/>
      <c r="BH3795" s="38"/>
      <c r="BI3795" s="38"/>
      <c r="BJ3795" s="38"/>
      <c r="BK3795" s="38"/>
      <c r="BL3795" s="38"/>
      <c r="BM3795" s="38"/>
      <c r="BN3795" s="38"/>
      <c r="BO3795" s="38"/>
      <c r="BP3795" s="38"/>
      <c r="BQ3795" s="38"/>
    </row>
    <row r="3796">
      <c r="A3796" s="16"/>
      <c r="B3796" s="145"/>
      <c r="C3796" s="146"/>
      <c r="D3796" s="146"/>
      <c r="E3796" s="16"/>
      <c r="F3796" s="91"/>
      <c r="G3796" s="16"/>
      <c r="H3796" s="320" t="str">
        <f t="shared" si="424"/>
        <v/>
      </c>
      <c r="I3796" s="16"/>
      <c r="J3796" s="16"/>
      <c r="K3796" s="16"/>
      <c r="L3796" s="16"/>
      <c r="M3796" s="15"/>
      <c r="N3796" s="15"/>
      <c r="O3796" s="16"/>
      <c r="P3796" s="16"/>
      <c r="Q3796" s="16"/>
      <c r="R3796" s="16"/>
      <c r="S3796" s="37" t="str">
        <f>IFERROR(__xludf.DUMMYFUNCTION("if(not(iserror(index(split(C3796, "" ""),2))), index(split(C3796, "" ""),1),"""")"),"")</f>
        <v/>
      </c>
      <c r="T3796" s="315" t="str">
        <f>IFERROR(__xludf.DUMMYFUNCTION("if(S3796="""",C3796,if(not(iserror(index(split(C3796, "" ""),3))), index(split(C3796, "" ""),3),index(split(C3796, "" ""),2)))"),"")</f>
        <v/>
      </c>
      <c r="U3796" s="38" t="b">
        <f t="shared" si="423"/>
        <v>0</v>
      </c>
      <c r="V3796" s="38"/>
      <c r="W3796" s="40"/>
      <c r="X3796" s="40"/>
      <c r="Y3796" s="40"/>
      <c r="Z3796" s="38"/>
      <c r="AA3796" s="38"/>
      <c r="AB3796" s="38"/>
      <c r="AC3796" s="38"/>
      <c r="AD3796" s="38"/>
      <c r="AE3796" s="38"/>
      <c r="AF3796" s="38"/>
      <c r="AG3796" s="38"/>
      <c r="AH3796" s="38"/>
      <c r="AI3796" s="38"/>
      <c r="AJ3796" s="38"/>
      <c r="AK3796" s="38"/>
      <c r="AL3796" s="38"/>
      <c r="AM3796" s="38"/>
      <c r="AN3796" s="38"/>
      <c r="AO3796" s="38"/>
      <c r="AP3796" s="38"/>
      <c r="AQ3796" s="38"/>
      <c r="AR3796" s="38"/>
      <c r="AS3796" s="38"/>
      <c r="AT3796" s="38"/>
      <c r="AU3796" s="38"/>
      <c r="AV3796" s="38"/>
      <c r="AW3796" s="38"/>
      <c r="AX3796" s="38"/>
      <c r="AY3796" s="38"/>
      <c r="AZ3796" s="38"/>
      <c r="BA3796" s="38"/>
      <c r="BB3796" s="38"/>
      <c r="BC3796" s="38"/>
      <c r="BD3796" s="38"/>
      <c r="BE3796" s="38"/>
      <c r="BF3796" s="38"/>
      <c r="BG3796" s="38"/>
      <c r="BH3796" s="38"/>
      <c r="BI3796" s="38"/>
      <c r="BJ3796" s="38"/>
      <c r="BK3796" s="38"/>
      <c r="BL3796" s="38"/>
      <c r="BM3796" s="38"/>
      <c r="BN3796" s="38"/>
      <c r="BO3796" s="38"/>
      <c r="BP3796" s="38"/>
      <c r="BQ3796" s="38"/>
    </row>
    <row r="3797">
      <c r="A3797" s="16"/>
      <c r="B3797" s="145"/>
      <c r="C3797" s="146"/>
      <c r="D3797" s="146"/>
      <c r="E3797" s="16"/>
      <c r="F3797" s="91"/>
      <c r="G3797" s="16"/>
      <c r="H3797" s="320" t="str">
        <f t="shared" si="424"/>
        <v/>
      </c>
      <c r="I3797" s="16"/>
      <c r="J3797" s="16"/>
      <c r="K3797" s="16"/>
      <c r="L3797" s="16"/>
      <c r="M3797" s="15"/>
      <c r="N3797" s="15"/>
      <c r="O3797" s="16"/>
      <c r="P3797" s="16"/>
      <c r="Q3797" s="16"/>
      <c r="R3797" s="16"/>
      <c r="S3797" s="37" t="str">
        <f>IFERROR(__xludf.DUMMYFUNCTION("if(not(iserror(index(split(C3797, "" ""),2))), index(split(C3797, "" ""),1),"""")"),"")</f>
        <v/>
      </c>
      <c r="T3797" s="315" t="str">
        <f>IFERROR(__xludf.DUMMYFUNCTION("if(S3797="""",C3797,if(not(iserror(index(split(C3797, "" ""),3))), index(split(C3797, "" ""),3),index(split(C3797, "" ""),2)))"),"")</f>
        <v/>
      </c>
      <c r="U3797" s="38" t="b">
        <f t="shared" si="423"/>
        <v>0</v>
      </c>
      <c r="V3797" s="38"/>
      <c r="W3797" s="40"/>
      <c r="X3797" s="40"/>
      <c r="Y3797" s="40"/>
      <c r="Z3797" s="38"/>
      <c r="AA3797" s="38"/>
      <c r="AB3797" s="38"/>
      <c r="AC3797" s="38"/>
      <c r="AD3797" s="38"/>
      <c r="AE3797" s="38"/>
      <c r="AF3797" s="38"/>
      <c r="AG3797" s="38"/>
      <c r="AH3797" s="38"/>
      <c r="AI3797" s="38"/>
      <c r="AJ3797" s="38"/>
      <c r="AK3797" s="38"/>
      <c r="AL3797" s="38"/>
      <c r="AM3797" s="38"/>
      <c r="AN3797" s="38"/>
      <c r="AO3797" s="38"/>
      <c r="AP3797" s="38"/>
      <c r="AQ3797" s="38"/>
      <c r="AR3797" s="38"/>
      <c r="AS3797" s="38"/>
      <c r="AT3797" s="38"/>
      <c r="AU3797" s="38"/>
      <c r="AV3797" s="38"/>
      <c r="AW3797" s="38"/>
      <c r="AX3797" s="38"/>
      <c r="AY3797" s="38"/>
      <c r="AZ3797" s="38"/>
      <c r="BA3797" s="38"/>
      <c r="BB3797" s="38"/>
      <c r="BC3797" s="38"/>
      <c r="BD3797" s="38"/>
      <c r="BE3797" s="38"/>
      <c r="BF3797" s="38"/>
      <c r="BG3797" s="38"/>
      <c r="BH3797" s="38"/>
      <c r="BI3797" s="38"/>
      <c r="BJ3797" s="38"/>
      <c r="BK3797" s="38"/>
      <c r="BL3797" s="38"/>
      <c r="BM3797" s="38"/>
      <c r="BN3797" s="38"/>
      <c r="BO3797" s="38"/>
      <c r="BP3797" s="38"/>
      <c r="BQ3797" s="38"/>
    </row>
    <row r="3798">
      <c r="A3798" s="16"/>
      <c r="B3798" s="145"/>
      <c r="C3798" s="146"/>
      <c r="D3798" s="146"/>
      <c r="E3798" s="16"/>
      <c r="F3798" s="91"/>
      <c r="G3798" s="16"/>
      <c r="H3798" s="320" t="str">
        <f t="shared" si="424"/>
        <v/>
      </c>
      <c r="I3798" s="16"/>
      <c r="J3798" s="16"/>
      <c r="K3798" s="16"/>
      <c r="L3798" s="16"/>
      <c r="M3798" s="15"/>
      <c r="N3798" s="15"/>
      <c r="O3798" s="16"/>
      <c r="P3798" s="16"/>
      <c r="Q3798" s="16"/>
      <c r="R3798" s="16"/>
      <c r="S3798" s="37" t="str">
        <f>IFERROR(__xludf.DUMMYFUNCTION("if(not(iserror(index(split(C3798, "" ""),2))), index(split(C3798, "" ""),1),"""")"),"")</f>
        <v/>
      </c>
      <c r="T3798" s="315" t="str">
        <f>IFERROR(__xludf.DUMMYFUNCTION("if(S3798="""",C3798,if(not(iserror(index(split(C3798, "" ""),3))), index(split(C3798, "" ""),3),index(split(C3798, "" ""),2)))"),"")</f>
        <v/>
      </c>
      <c r="U3798" s="38" t="b">
        <f t="shared" si="423"/>
        <v>0</v>
      </c>
      <c r="V3798" s="38"/>
      <c r="W3798" s="40"/>
      <c r="X3798" s="40"/>
      <c r="Y3798" s="40"/>
      <c r="Z3798" s="38"/>
      <c r="AA3798" s="38"/>
      <c r="AB3798" s="38"/>
      <c r="AC3798" s="38"/>
      <c r="AD3798" s="38"/>
      <c r="AE3798" s="38"/>
      <c r="AF3798" s="38"/>
      <c r="AG3798" s="38"/>
      <c r="AH3798" s="38"/>
      <c r="AI3798" s="38"/>
      <c r="AJ3798" s="38"/>
      <c r="AK3798" s="38"/>
      <c r="AL3798" s="38"/>
      <c r="AM3798" s="38"/>
      <c r="AN3798" s="38"/>
      <c r="AO3798" s="38"/>
      <c r="AP3798" s="38"/>
      <c r="AQ3798" s="38"/>
      <c r="AR3798" s="38"/>
      <c r="AS3798" s="38"/>
      <c r="AT3798" s="38"/>
      <c r="AU3798" s="38"/>
      <c r="AV3798" s="38"/>
      <c r="AW3798" s="38"/>
      <c r="AX3798" s="38"/>
      <c r="AY3798" s="38"/>
      <c r="AZ3798" s="38"/>
      <c r="BA3798" s="38"/>
      <c r="BB3798" s="38"/>
      <c r="BC3798" s="38"/>
      <c r="BD3798" s="38"/>
      <c r="BE3798" s="38"/>
      <c r="BF3798" s="38"/>
      <c r="BG3798" s="38"/>
      <c r="BH3798" s="38"/>
      <c r="BI3798" s="38"/>
      <c r="BJ3798" s="38"/>
      <c r="BK3798" s="38"/>
      <c r="BL3798" s="38"/>
      <c r="BM3798" s="38"/>
      <c r="BN3798" s="38"/>
      <c r="BO3798" s="38"/>
      <c r="BP3798" s="38"/>
      <c r="BQ3798" s="38"/>
    </row>
    <row r="3799">
      <c r="A3799" s="16"/>
      <c r="B3799" s="145"/>
      <c r="C3799" s="146"/>
      <c r="D3799" s="146"/>
      <c r="E3799" s="16"/>
      <c r="F3799" s="91"/>
      <c r="G3799" s="16"/>
      <c r="H3799" s="320" t="str">
        <f t="shared" si="424"/>
        <v/>
      </c>
      <c r="I3799" s="16"/>
      <c r="J3799" s="16"/>
      <c r="K3799" s="16"/>
      <c r="L3799" s="16"/>
      <c r="M3799" s="15"/>
      <c r="N3799" s="15"/>
      <c r="O3799" s="16"/>
      <c r="P3799" s="16"/>
      <c r="Q3799" s="16"/>
      <c r="R3799" s="16"/>
      <c r="S3799" s="37" t="str">
        <f>IFERROR(__xludf.DUMMYFUNCTION("if(not(iserror(index(split(C3799, "" ""),2))), index(split(C3799, "" ""),1),"""")"),"")</f>
        <v/>
      </c>
      <c r="T3799" s="315" t="str">
        <f>IFERROR(__xludf.DUMMYFUNCTION("if(S3799="""",C3799,if(not(iserror(index(split(C3799, "" ""),3))), index(split(C3799, "" ""),3),index(split(C3799, "" ""),2)))"),"")</f>
        <v/>
      </c>
      <c r="U3799" s="38" t="b">
        <f t="shared" si="423"/>
        <v>0</v>
      </c>
      <c r="V3799" s="38"/>
      <c r="W3799" s="40"/>
      <c r="X3799" s="40"/>
      <c r="Y3799" s="40"/>
      <c r="Z3799" s="38"/>
      <c r="AA3799" s="38"/>
      <c r="AB3799" s="38"/>
      <c r="AC3799" s="38"/>
      <c r="AD3799" s="38"/>
      <c r="AE3799" s="38"/>
      <c r="AF3799" s="38"/>
      <c r="AG3799" s="38"/>
      <c r="AH3799" s="38"/>
      <c r="AI3799" s="38"/>
      <c r="AJ3799" s="38"/>
      <c r="AK3799" s="38"/>
      <c r="AL3799" s="38"/>
      <c r="AM3799" s="38"/>
      <c r="AN3799" s="38"/>
      <c r="AO3799" s="38"/>
      <c r="AP3799" s="38"/>
      <c r="AQ3799" s="38"/>
      <c r="AR3799" s="38"/>
      <c r="AS3799" s="38"/>
      <c r="AT3799" s="38"/>
      <c r="AU3799" s="38"/>
      <c r="AV3799" s="38"/>
      <c r="AW3799" s="38"/>
      <c r="AX3799" s="38"/>
      <c r="AY3799" s="38"/>
      <c r="AZ3799" s="38"/>
      <c r="BA3799" s="38"/>
      <c r="BB3799" s="38"/>
      <c r="BC3799" s="38"/>
      <c r="BD3799" s="38"/>
      <c r="BE3799" s="38"/>
      <c r="BF3799" s="38"/>
      <c r="BG3799" s="38"/>
      <c r="BH3799" s="38"/>
      <c r="BI3799" s="38"/>
      <c r="BJ3799" s="38"/>
      <c r="BK3799" s="38"/>
      <c r="BL3799" s="38"/>
      <c r="BM3799" s="38"/>
      <c r="BN3799" s="38"/>
      <c r="BO3799" s="38"/>
      <c r="BP3799" s="38"/>
      <c r="BQ3799" s="38"/>
    </row>
    <row r="3800">
      <c r="A3800" s="16"/>
      <c r="B3800" s="145"/>
      <c r="C3800" s="146"/>
      <c r="D3800" s="146"/>
      <c r="E3800" s="16"/>
      <c r="F3800" s="91"/>
      <c r="G3800" s="16"/>
      <c r="H3800" s="320" t="str">
        <f t="shared" si="424"/>
        <v/>
      </c>
      <c r="I3800" s="16"/>
      <c r="J3800" s="16"/>
      <c r="K3800" s="16"/>
      <c r="L3800" s="16"/>
      <c r="M3800" s="15"/>
      <c r="N3800" s="15"/>
      <c r="O3800" s="16"/>
      <c r="P3800" s="16"/>
      <c r="Q3800" s="16"/>
      <c r="R3800" s="16"/>
      <c r="S3800" s="37" t="str">
        <f>IFERROR(__xludf.DUMMYFUNCTION("if(not(iserror(index(split(C3800, "" ""),2))), index(split(C3800, "" ""),1),"""")"),"")</f>
        <v/>
      </c>
      <c r="T3800" s="315" t="str">
        <f>IFERROR(__xludf.DUMMYFUNCTION("if(S3800="""",C3800,if(not(iserror(index(split(C3800, "" ""),3))), index(split(C3800, "" ""),3),index(split(C3800, "" ""),2)))"),"")</f>
        <v/>
      </c>
      <c r="U3800" s="38" t="b">
        <f t="shared" si="423"/>
        <v>0</v>
      </c>
      <c r="V3800" s="38"/>
      <c r="W3800" s="40"/>
      <c r="X3800" s="40"/>
      <c r="Y3800" s="40"/>
      <c r="Z3800" s="38"/>
      <c r="AA3800" s="38"/>
      <c r="AB3800" s="38"/>
      <c r="AC3800" s="38"/>
      <c r="AD3800" s="38"/>
      <c r="AE3800" s="38"/>
      <c r="AF3800" s="38"/>
      <c r="AG3800" s="38"/>
      <c r="AH3800" s="38"/>
      <c r="AI3800" s="38"/>
      <c r="AJ3800" s="38"/>
      <c r="AK3800" s="38"/>
      <c r="AL3800" s="38"/>
      <c r="AM3800" s="38"/>
      <c r="AN3800" s="38"/>
      <c r="AO3800" s="38"/>
      <c r="AP3800" s="38"/>
      <c r="AQ3800" s="38"/>
      <c r="AR3800" s="38"/>
      <c r="AS3800" s="38"/>
      <c r="AT3800" s="38"/>
      <c r="AU3800" s="38"/>
      <c r="AV3800" s="38"/>
      <c r="AW3800" s="38"/>
      <c r="AX3800" s="38"/>
      <c r="AY3800" s="38"/>
      <c r="AZ3800" s="38"/>
      <c r="BA3800" s="38"/>
      <c r="BB3800" s="38"/>
      <c r="BC3800" s="38"/>
      <c r="BD3800" s="38"/>
      <c r="BE3800" s="38"/>
      <c r="BF3800" s="38"/>
      <c r="BG3800" s="38"/>
      <c r="BH3800" s="38"/>
      <c r="BI3800" s="38"/>
      <c r="BJ3800" s="38"/>
      <c r="BK3800" s="38"/>
      <c r="BL3800" s="38"/>
      <c r="BM3800" s="38"/>
      <c r="BN3800" s="38"/>
      <c r="BO3800" s="38"/>
      <c r="BP3800" s="38"/>
      <c r="BQ3800" s="38"/>
    </row>
    <row r="3801">
      <c r="A3801" s="16"/>
      <c r="B3801" s="145"/>
      <c r="C3801" s="146"/>
      <c r="D3801" s="146"/>
      <c r="E3801" s="16"/>
      <c r="F3801" s="91"/>
      <c r="G3801" s="16"/>
      <c r="H3801" s="320" t="str">
        <f t="shared" si="424"/>
        <v/>
      </c>
      <c r="I3801" s="16"/>
      <c r="J3801" s="16"/>
      <c r="K3801" s="16"/>
      <c r="L3801" s="16"/>
      <c r="M3801" s="15"/>
      <c r="N3801" s="15"/>
      <c r="O3801" s="16"/>
      <c r="P3801" s="16"/>
      <c r="Q3801" s="16"/>
      <c r="R3801" s="16"/>
      <c r="S3801" s="37" t="str">
        <f>IFERROR(__xludf.DUMMYFUNCTION("if(not(iserror(index(split(C3801, "" ""),2))), index(split(C3801, "" ""),1),"""")"),"")</f>
        <v/>
      </c>
      <c r="T3801" s="315" t="str">
        <f>IFERROR(__xludf.DUMMYFUNCTION("if(S3801="""",C3801,if(not(iserror(index(split(C3801, "" ""),3))), index(split(C3801, "" ""),3),index(split(C3801, "" ""),2)))"),"")</f>
        <v/>
      </c>
      <c r="U3801" s="38" t="b">
        <f t="shared" si="423"/>
        <v>0</v>
      </c>
      <c r="V3801" s="38"/>
      <c r="W3801" s="40"/>
      <c r="X3801" s="40"/>
      <c r="Y3801" s="40"/>
      <c r="Z3801" s="38"/>
      <c r="AA3801" s="38"/>
      <c r="AB3801" s="38"/>
      <c r="AC3801" s="38"/>
      <c r="AD3801" s="38"/>
      <c r="AE3801" s="38"/>
      <c r="AF3801" s="38"/>
      <c r="AG3801" s="38"/>
      <c r="AH3801" s="38"/>
      <c r="AI3801" s="38"/>
      <c r="AJ3801" s="38"/>
      <c r="AK3801" s="38"/>
      <c r="AL3801" s="38"/>
      <c r="AM3801" s="38"/>
      <c r="AN3801" s="38"/>
      <c r="AO3801" s="38"/>
      <c r="AP3801" s="38"/>
      <c r="AQ3801" s="38"/>
      <c r="AR3801" s="38"/>
      <c r="AS3801" s="38"/>
      <c r="AT3801" s="38"/>
      <c r="AU3801" s="38"/>
      <c r="AV3801" s="38"/>
      <c r="AW3801" s="38"/>
      <c r="AX3801" s="38"/>
      <c r="AY3801" s="38"/>
      <c r="AZ3801" s="38"/>
      <c r="BA3801" s="38"/>
      <c r="BB3801" s="38"/>
      <c r="BC3801" s="38"/>
      <c r="BD3801" s="38"/>
      <c r="BE3801" s="38"/>
      <c r="BF3801" s="38"/>
      <c r="BG3801" s="38"/>
      <c r="BH3801" s="38"/>
      <c r="BI3801" s="38"/>
      <c r="BJ3801" s="38"/>
      <c r="BK3801" s="38"/>
      <c r="BL3801" s="38"/>
      <c r="BM3801" s="38"/>
      <c r="BN3801" s="38"/>
      <c r="BO3801" s="38"/>
      <c r="BP3801" s="38"/>
      <c r="BQ3801" s="38"/>
    </row>
    <row r="3802">
      <c r="A3802" s="16"/>
      <c r="B3802" s="145"/>
      <c r="C3802" s="146"/>
      <c r="D3802" s="146"/>
      <c r="E3802" s="16"/>
      <c r="F3802" s="91"/>
      <c r="G3802" s="16"/>
      <c r="H3802" s="320" t="str">
        <f t="shared" si="424"/>
        <v/>
      </c>
      <c r="I3802" s="16"/>
      <c r="J3802" s="16"/>
      <c r="K3802" s="16"/>
      <c r="L3802" s="16"/>
      <c r="M3802" s="15"/>
      <c r="N3802" s="15"/>
      <c r="O3802" s="16"/>
      <c r="P3802" s="16"/>
      <c r="Q3802" s="16"/>
      <c r="R3802" s="16"/>
      <c r="S3802" s="37" t="str">
        <f>IFERROR(__xludf.DUMMYFUNCTION("if(not(iserror(index(split(C3802, "" ""),2))), index(split(C3802, "" ""),1),"""")"),"")</f>
        <v/>
      </c>
      <c r="T3802" s="315" t="str">
        <f>IFERROR(__xludf.DUMMYFUNCTION("if(S3802="""",C3802,if(not(iserror(index(split(C3802, "" ""),3))), index(split(C3802, "" ""),3),index(split(C3802, "" ""),2)))"),"")</f>
        <v/>
      </c>
      <c r="U3802" s="38" t="b">
        <f t="shared" si="423"/>
        <v>0</v>
      </c>
      <c r="V3802" s="38"/>
      <c r="W3802" s="40"/>
      <c r="X3802" s="40"/>
      <c r="Y3802" s="40"/>
      <c r="Z3802" s="38"/>
      <c r="AA3802" s="38"/>
      <c r="AB3802" s="38"/>
      <c r="AC3802" s="38"/>
      <c r="AD3802" s="38"/>
      <c r="AE3802" s="38"/>
      <c r="AF3802" s="38"/>
      <c r="AG3802" s="38"/>
      <c r="AH3802" s="38"/>
      <c r="AI3802" s="38"/>
      <c r="AJ3802" s="38"/>
      <c r="AK3802" s="38"/>
      <c r="AL3802" s="38"/>
      <c r="AM3802" s="38"/>
      <c r="AN3802" s="38"/>
      <c r="AO3802" s="38"/>
      <c r="AP3802" s="38"/>
      <c r="AQ3802" s="38"/>
      <c r="AR3802" s="38"/>
      <c r="AS3802" s="38"/>
      <c r="AT3802" s="38"/>
      <c r="AU3802" s="38"/>
      <c r="AV3802" s="38"/>
      <c r="AW3802" s="38"/>
      <c r="AX3802" s="38"/>
      <c r="AY3802" s="38"/>
      <c r="AZ3802" s="38"/>
      <c r="BA3802" s="38"/>
      <c r="BB3802" s="38"/>
      <c r="BC3802" s="38"/>
      <c r="BD3802" s="38"/>
      <c r="BE3802" s="38"/>
      <c r="BF3802" s="38"/>
      <c r="BG3802" s="38"/>
      <c r="BH3802" s="38"/>
      <c r="BI3802" s="38"/>
      <c r="BJ3802" s="38"/>
      <c r="BK3802" s="38"/>
      <c r="BL3802" s="38"/>
      <c r="BM3802" s="38"/>
      <c r="BN3802" s="38"/>
      <c r="BO3802" s="38"/>
      <c r="BP3802" s="38"/>
      <c r="BQ3802" s="38"/>
    </row>
    <row r="3803">
      <c r="A3803" s="16"/>
      <c r="B3803" s="145"/>
      <c r="C3803" s="146"/>
      <c r="D3803" s="146"/>
      <c r="E3803" s="16"/>
      <c r="F3803" s="91"/>
      <c r="G3803" s="16"/>
      <c r="H3803" s="320" t="str">
        <f t="shared" si="424"/>
        <v/>
      </c>
      <c r="I3803" s="16"/>
      <c r="J3803" s="16"/>
      <c r="K3803" s="16"/>
      <c r="L3803" s="16"/>
      <c r="M3803" s="15"/>
      <c r="N3803" s="15"/>
      <c r="O3803" s="16"/>
      <c r="P3803" s="16"/>
      <c r="Q3803" s="16"/>
      <c r="R3803" s="16"/>
      <c r="S3803" s="37" t="str">
        <f>IFERROR(__xludf.DUMMYFUNCTION("if(not(iserror(index(split(C3803, "" ""),2))), index(split(C3803, "" ""),1),"""")"),"")</f>
        <v/>
      </c>
      <c r="T3803" s="315" t="str">
        <f>IFERROR(__xludf.DUMMYFUNCTION("if(S3803="""",C3803,if(not(iserror(index(split(C3803, "" ""),3))), index(split(C3803, "" ""),3),index(split(C3803, "" ""),2)))"),"")</f>
        <v/>
      </c>
      <c r="U3803" s="38" t="b">
        <f t="shared" si="423"/>
        <v>0</v>
      </c>
      <c r="V3803" s="38"/>
      <c r="W3803" s="40"/>
      <c r="X3803" s="40"/>
      <c r="Y3803" s="40"/>
      <c r="Z3803" s="38"/>
      <c r="AA3803" s="38"/>
      <c r="AB3803" s="38"/>
      <c r="AC3803" s="38"/>
      <c r="AD3803" s="38"/>
      <c r="AE3803" s="38"/>
      <c r="AF3803" s="38"/>
      <c r="AG3803" s="38"/>
      <c r="AH3803" s="38"/>
      <c r="AI3803" s="38"/>
      <c r="AJ3803" s="38"/>
      <c r="AK3803" s="38"/>
      <c r="AL3803" s="38"/>
      <c r="AM3803" s="38"/>
      <c r="AN3803" s="38"/>
      <c r="AO3803" s="38"/>
      <c r="AP3803" s="38"/>
      <c r="AQ3803" s="38"/>
      <c r="AR3803" s="38"/>
      <c r="AS3803" s="38"/>
      <c r="AT3803" s="38"/>
      <c r="AU3803" s="38"/>
      <c r="AV3803" s="38"/>
      <c r="AW3803" s="38"/>
      <c r="AX3803" s="38"/>
      <c r="AY3803" s="38"/>
      <c r="AZ3803" s="38"/>
      <c r="BA3803" s="38"/>
      <c r="BB3803" s="38"/>
      <c r="BC3803" s="38"/>
      <c r="BD3803" s="38"/>
      <c r="BE3803" s="38"/>
      <c r="BF3803" s="38"/>
      <c r="BG3803" s="38"/>
      <c r="BH3803" s="38"/>
      <c r="BI3803" s="38"/>
      <c r="BJ3803" s="38"/>
      <c r="BK3803" s="38"/>
      <c r="BL3803" s="38"/>
      <c r="BM3803" s="38"/>
      <c r="BN3803" s="38"/>
      <c r="BO3803" s="38"/>
      <c r="BP3803" s="38"/>
      <c r="BQ3803" s="38"/>
    </row>
    <row r="3804">
      <c r="A3804" s="16"/>
      <c r="B3804" s="145"/>
      <c r="C3804" s="146"/>
      <c r="D3804" s="146"/>
      <c r="E3804" s="16"/>
      <c r="F3804" s="91"/>
      <c r="G3804" s="16"/>
      <c r="H3804" s="320" t="str">
        <f t="shared" si="424"/>
        <v/>
      </c>
      <c r="I3804" s="16"/>
      <c r="J3804" s="16"/>
      <c r="K3804" s="16"/>
      <c r="L3804" s="16"/>
      <c r="M3804" s="15"/>
      <c r="N3804" s="15"/>
      <c r="O3804" s="16"/>
      <c r="P3804" s="16"/>
      <c r="Q3804" s="16"/>
      <c r="R3804" s="16"/>
      <c r="S3804" s="37" t="str">
        <f>IFERROR(__xludf.DUMMYFUNCTION("if(not(iserror(index(split(C3804, "" ""),2))), index(split(C3804, "" ""),1),"""")"),"")</f>
        <v/>
      </c>
      <c r="T3804" s="315" t="str">
        <f>IFERROR(__xludf.DUMMYFUNCTION("if(S3804="""",C3804,if(not(iserror(index(split(C3804, "" ""),3))), index(split(C3804, "" ""),3),index(split(C3804, "" ""),2)))"),"")</f>
        <v/>
      </c>
      <c r="U3804" s="38" t="b">
        <f t="shared" si="423"/>
        <v>0</v>
      </c>
      <c r="V3804" s="38"/>
      <c r="W3804" s="40"/>
      <c r="X3804" s="40"/>
      <c r="Y3804" s="40"/>
      <c r="Z3804" s="38"/>
      <c r="AA3804" s="38"/>
      <c r="AB3804" s="38"/>
      <c r="AC3804" s="38"/>
      <c r="AD3804" s="38"/>
      <c r="AE3804" s="38"/>
      <c r="AF3804" s="38"/>
      <c r="AG3804" s="38"/>
      <c r="AH3804" s="38"/>
      <c r="AI3804" s="38"/>
      <c r="AJ3804" s="38"/>
      <c r="AK3804" s="38"/>
      <c r="AL3804" s="38"/>
      <c r="AM3804" s="38"/>
      <c r="AN3804" s="38"/>
      <c r="AO3804" s="38"/>
      <c r="AP3804" s="38"/>
      <c r="AQ3804" s="38"/>
      <c r="AR3804" s="38"/>
      <c r="AS3804" s="38"/>
      <c r="AT3804" s="38"/>
      <c r="AU3804" s="38"/>
      <c r="AV3804" s="38"/>
      <c r="AW3804" s="38"/>
      <c r="AX3804" s="38"/>
      <c r="AY3804" s="38"/>
      <c r="AZ3804" s="38"/>
      <c r="BA3804" s="38"/>
      <c r="BB3804" s="38"/>
      <c r="BC3804" s="38"/>
      <c r="BD3804" s="38"/>
      <c r="BE3804" s="38"/>
      <c r="BF3804" s="38"/>
      <c r="BG3804" s="38"/>
      <c r="BH3804" s="38"/>
      <c r="BI3804" s="38"/>
      <c r="BJ3804" s="38"/>
      <c r="BK3804" s="38"/>
      <c r="BL3804" s="38"/>
      <c r="BM3804" s="38"/>
      <c r="BN3804" s="38"/>
      <c r="BO3804" s="38"/>
      <c r="BP3804" s="38"/>
      <c r="BQ3804" s="38"/>
    </row>
    <row r="3805">
      <c r="A3805" s="16"/>
      <c r="B3805" s="145"/>
      <c r="C3805" s="146"/>
      <c r="D3805" s="146"/>
      <c r="E3805" s="16"/>
      <c r="F3805" s="91"/>
      <c r="G3805" s="16"/>
      <c r="H3805" s="320" t="str">
        <f t="shared" si="424"/>
        <v/>
      </c>
      <c r="I3805" s="16"/>
      <c r="J3805" s="16"/>
      <c r="K3805" s="16"/>
      <c r="L3805" s="16"/>
      <c r="M3805" s="15"/>
      <c r="N3805" s="15"/>
      <c r="O3805" s="16"/>
      <c r="P3805" s="16"/>
      <c r="Q3805" s="16"/>
      <c r="R3805" s="16"/>
      <c r="S3805" s="37" t="str">
        <f>IFERROR(__xludf.DUMMYFUNCTION("if(not(iserror(index(split(C3805, "" ""),2))), index(split(C3805, "" ""),1),"""")"),"")</f>
        <v/>
      </c>
      <c r="T3805" s="315" t="str">
        <f>IFERROR(__xludf.DUMMYFUNCTION("if(S3805="""",C3805,if(not(iserror(index(split(C3805, "" ""),3))), index(split(C3805, "" ""),3),index(split(C3805, "" ""),2)))"),"")</f>
        <v/>
      </c>
      <c r="U3805" s="38" t="b">
        <f t="shared" si="423"/>
        <v>0</v>
      </c>
      <c r="V3805" s="38"/>
      <c r="W3805" s="40"/>
      <c r="X3805" s="40"/>
      <c r="Y3805" s="40"/>
      <c r="Z3805" s="38"/>
      <c r="AA3805" s="38"/>
      <c r="AB3805" s="38"/>
      <c r="AC3805" s="38"/>
      <c r="AD3805" s="38"/>
      <c r="AE3805" s="38"/>
      <c r="AF3805" s="38"/>
      <c r="AG3805" s="38"/>
      <c r="AH3805" s="38"/>
      <c r="AI3805" s="38"/>
      <c r="AJ3805" s="38"/>
      <c r="AK3805" s="38"/>
      <c r="AL3805" s="38"/>
      <c r="AM3805" s="38"/>
      <c r="AN3805" s="38"/>
      <c r="AO3805" s="38"/>
      <c r="AP3805" s="38"/>
      <c r="AQ3805" s="38"/>
      <c r="AR3805" s="38"/>
      <c r="AS3805" s="38"/>
      <c r="AT3805" s="38"/>
      <c r="AU3805" s="38"/>
      <c r="AV3805" s="38"/>
      <c r="AW3805" s="38"/>
      <c r="AX3805" s="38"/>
      <c r="AY3805" s="38"/>
      <c r="AZ3805" s="38"/>
      <c r="BA3805" s="38"/>
      <c r="BB3805" s="38"/>
      <c r="BC3805" s="38"/>
      <c r="BD3805" s="38"/>
      <c r="BE3805" s="38"/>
      <c r="BF3805" s="38"/>
      <c r="BG3805" s="38"/>
      <c r="BH3805" s="38"/>
      <c r="BI3805" s="38"/>
      <c r="BJ3805" s="38"/>
      <c r="BK3805" s="38"/>
      <c r="BL3805" s="38"/>
      <c r="BM3805" s="38"/>
      <c r="BN3805" s="38"/>
      <c r="BO3805" s="38"/>
      <c r="BP3805" s="38"/>
      <c r="BQ3805" s="38"/>
    </row>
    <row r="3806">
      <c r="A3806" s="16"/>
      <c r="B3806" s="145"/>
      <c r="C3806" s="146"/>
      <c r="D3806" s="146"/>
      <c r="E3806" s="16"/>
      <c r="F3806" s="91"/>
      <c r="G3806" s="16"/>
      <c r="H3806" s="320" t="str">
        <f t="shared" si="424"/>
        <v/>
      </c>
      <c r="I3806" s="16"/>
      <c r="J3806" s="16"/>
      <c r="K3806" s="16"/>
      <c r="L3806" s="16"/>
      <c r="M3806" s="15"/>
      <c r="N3806" s="15"/>
      <c r="O3806" s="16"/>
      <c r="P3806" s="16"/>
      <c r="Q3806" s="16"/>
      <c r="R3806" s="16"/>
      <c r="S3806" s="37" t="str">
        <f>IFERROR(__xludf.DUMMYFUNCTION("if(not(iserror(index(split(C3806, "" ""),2))), index(split(C3806, "" ""),1),"""")"),"")</f>
        <v/>
      </c>
      <c r="T3806" s="315" t="str">
        <f>IFERROR(__xludf.DUMMYFUNCTION("if(S3806="""",C3806,if(not(iserror(index(split(C3806, "" ""),3))), index(split(C3806, "" ""),3),index(split(C3806, "" ""),2)))"),"")</f>
        <v/>
      </c>
      <c r="U3806" s="38" t="b">
        <f t="shared" si="423"/>
        <v>0</v>
      </c>
      <c r="V3806" s="38"/>
      <c r="W3806" s="40"/>
      <c r="X3806" s="40"/>
      <c r="Y3806" s="40"/>
      <c r="Z3806" s="38"/>
      <c r="AA3806" s="38"/>
      <c r="AB3806" s="38"/>
      <c r="AC3806" s="38"/>
      <c r="AD3806" s="38"/>
      <c r="AE3806" s="38"/>
      <c r="AF3806" s="38"/>
      <c r="AG3806" s="38"/>
      <c r="AH3806" s="38"/>
      <c r="AI3806" s="38"/>
      <c r="AJ3806" s="38"/>
      <c r="AK3806" s="38"/>
      <c r="AL3806" s="38"/>
      <c r="AM3806" s="38"/>
      <c r="AN3806" s="38"/>
      <c r="AO3806" s="38"/>
      <c r="AP3806" s="38"/>
      <c r="AQ3806" s="38"/>
      <c r="AR3806" s="38"/>
      <c r="AS3806" s="38"/>
      <c r="AT3806" s="38"/>
      <c r="AU3806" s="38"/>
      <c r="AV3806" s="38"/>
      <c r="AW3806" s="38"/>
      <c r="AX3806" s="38"/>
      <c r="AY3806" s="38"/>
      <c r="AZ3806" s="38"/>
      <c r="BA3806" s="38"/>
      <c r="BB3806" s="38"/>
      <c r="BC3806" s="38"/>
      <c r="BD3806" s="38"/>
      <c r="BE3806" s="38"/>
      <c r="BF3806" s="38"/>
      <c r="BG3806" s="38"/>
      <c r="BH3806" s="38"/>
      <c r="BI3806" s="38"/>
      <c r="BJ3806" s="38"/>
      <c r="BK3806" s="38"/>
      <c r="BL3806" s="38"/>
      <c r="BM3806" s="38"/>
      <c r="BN3806" s="38"/>
      <c r="BO3806" s="38"/>
      <c r="BP3806" s="38"/>
      <c r="BQ3806" s="38"/>
    </row>
    <row r="3807">
      <c r="A3807" s="16"/>
      <c r="B3807" s="145"/>
      <c r="C3807" s="146"/>
      <c r="D3807" s="146"/>
      <c r="E3807" s="16"/>
      <c r="F3807" s="91"/>
      <c r="G3807" s="16"/>
      <c r="H3807" s="320" t="str">
        <f t="shared" si="424"/>
        <v/>
      </c>
      <c r="I3807" s="16"/>
      <c r="J3807" s="16"/>
      <c r="K3807" s="16"/>
      <c r="L3807" s="16"/>
      <c r="M3807" s="15"/>
      <c r="N3807" s="15"/>
      <c r="O3807" s="16"/>
      <c r="P3807" s="16"/>
      <c r="Q3807" s="16"/>
      <c r="R3807" s="16"/>
      <c r="S3807" s="37" t="str">
        <f>IFERROR(__xludf.DUMMYFUNCTION("if(not(iserror(index(split(C3807, "" ""),2))), index(split(C3807, "" ""),1),"""")"),"")</f>
        <v/>
      </c>
      <c r="T3807" s="315" t="str">
        <f>IFERROR(__xludf.DUMMYFUNCTION("if(S3807="""",C3807,if(not(iserror(index(split(C3807, "" ""),3))), index(split(C3807, "" ""),3),index(split(C3807, "" ""),2)))"),"")</f>
        <v/>
      </c>
      <c r="U3807" s="38" t="b">
        <f t="shared" si="423"/>
        <v>0</v>
      </c>
      <c r="V3807" s="38"/>
      <c r="W3807" s="40"/>
      <c r="X3807" s="40"/>
      <c r="Y3807" s="40"/>
      <c r="Z3807" s="38"/>
      <c r="AA3807" s="38"/>
      <c r="AB3807" s="38"/>
      <c r="AC3807" s="38"/>
      <c r="AD3807" s="38"/>
      <c r="AE3807" s="38"/>
      <c r="AF3807" s="38"/>
      <c r="AG3807" s="38"/>
      <c r="AH3807" s="38"/>
      <c r="AI3807" s="38"/>
      <c r="AJ3807" s="38"/>
      <c r="AK3807" s="38"/>
      <c r="AL3807" s="38"/>
      <c r="AM3807" s="38"/>
      <c r="AN3807" s="38"/>
      <c r="AO3807" s="38"/>
      <c r="AP3807" s="38"/>
      <c r="AQ3807" s="38"/>
      <c r="AR3807" s="38"/>
      <c r="AS3807" s="38"/>
      <c r="AT3807" s="38"/>
      <c r="AU3807" s="38"/>
      <c r="AV3807" s="38"/>
      <c r="AW3807" s="38"/>
      <c r="AX3807" s="38"/>
      <c r="AY3807" s="38"/>
      <c r="AZ3807" s="38"/>
      <c r="BA3807" s="38"/>
      <c r="BB3807" s="38"/>
      <c r="BC3807" s="38"/>
      <c r="BD3807" s="38"/>
      <c r="BE3807" s="38"/>
      <c r="BF3807" s="38"/>
      <c r="BG3807" s="38"/>
      <c r="BH3807" s="38"/>
      <c r="BI3807" s="38"/>
      <c r="BJ3807" s="38"/>
      <c r="BK3807" s="38"/>
      <c r="BL3807" s="38"/>
      <c r="BM3807" s="38"/>
      <c r="BN3807" s="38"/>
      <c r="BO3807" s="38"/>
      <c r="BP3807" s="38"/>
      <c r="BQ3807" s="38"/>
    </row>
    <row r="3808">
      <c r="A3808" s="16"/>
      <c r="B3808" s="145"/>
      <c r="C3808" s="146"/>
      <c r="D3808" s="146"/>
      <c r="E3808" s="16"/>
      <c r="F3808" s="91"/>
      <c r="G3808" s="16"/>
      <c r="H3808" s="320" t="str">
        <f t="shared" si="424"/>
        <v/>
      </c>
      <c r="I3808" s="16"/>
      <c r="J3808" s="16"/>
      <c r="K3808" s="16"/>
      <c r="L3808" s="16"/>
      <c r="M3808" s="15"/>
      <c r="N3808" s="15"/>
      <c r="O3808" s="16"/>
      <c r="P3808" s="16"/>
      <c r="Q3808" s="16"/>
      <c r="R3808" s="16"/>
      <c r="S3808" s="37" t="str">
        <f>IFERROR(__xludf.DUMMYFUNCTION("if(not(iserror(index(split(C3808, "" ""),2))), index(split(C3808, "" ""),1),"""")"),"")</f>
        <v/>
      </c>
      <c r="T3808" s="315" t="str">
        <f>IFERROR(__xludf.DUMMYFUNCTION("if(S3808="""",C3808,if(not(iserror(index(split(C3808, "" ""),3))), index(split(C3808, "" ""),3),index(split(C3808, "" ""),2)))"),"")</f>
        <v/>
      </c>
      <c r="U3808" s="38" t="b">
        <f t="shared" si="423"/>
        <v>0</v>
      </c>
      <c r="V3808" s="38"/>
      <c r="W3808" s="40"/>
      <c r="X3808" s="40"/>
      <c r="Y3808" s="40"/>
      <c r="Z3808" s="38"/>
      <c r="AA3808" s="38"/>
      <c r="AB3808" s="38"/>
      <c r="AC3808" s="38"/>
      <c r="AD3808" s="38"/>
      <c r="AE3808" s="38"/>
      <c r="AF3808" s="38"/>
      <c r="AG3808" s="38"/>
      <c r="AH3808" s="38"/>
      <c r="AI3808" s="38"/>
      <c r="AJ3808" s="38"/>
      <c r="AK3808" s="38"/>
      <c r="AL3808" s="38"/>
      <c r="AM3808" s="38"/>
      <c r="AN3808" s="38"/>
      <c r="AO3808" s="38"/>
      <c r="AP3808" s="38"/>
      <c r="AQ3808" s="38"/>
      <c r="AR3808" s="38"/>
      <c r="AS3808" s="38"/>
      <c r="AT3808" s="38"/>
      <c r="AU3808" s="38"/>
      <c r="AV3808" s="38"/>
      <c r="AW3808" s="38"/>
      <c r="AX3808" s="38"/>
      <c r="AY3808" s="38"/>
      <c r="AZ3808" s="38"/>
      <c r="BA3808" s="38"/>
      <c r="BB3808" s="38"/>
      <c r="BC3808" s="38"/>
      <c r="BD3808" s="38"/>
      <c r="BE3808" s="38"/>
      <c r="BF3808" s="38"/>
      <c r="BG3808" s="38"/>
      <c r="BH3808" s="38"/>
      <c r="BI3808" s="38"/>
      <c r="BJ3808" s="38"/>
      <c r="BK3808" s="38"/>
      <c r="BL3808" s="38"/>
      <c r="BM3808" s="38"/>
      <c r="BN3808" s="38"/>
      <c r="BO3808" s="38"/>
      <c r="BP3808" s="38"/>
      <c r="BQ3808" s="38"/>
    </row>
    <row r="3809">
      <c r="A3809" s="16"/>
      <c r="B3809" s="145"/>
      <c r="C3809" s="146"/>
      <c r="D3809" s="146"/>
      <c r="E3809" s="16"/>
      <c r="F3809" s="91"/>
      <c r="G3809" s="16"/>
      <c r="H3809" s="320" t="str">
        <f t="shared" si="424"/>
        <v/>
      </c>
      <c r="I3809" s="16"/>
      <c r="J3809" s="16"/>
      <c r="K3809" s="16"/>
      <c r="L3809" s="16"/>
      <c r="M3809" s="15"/>
      <c r="N3809" s="15"/>
      <c r="O3809" s="16"/>
      <c r="P3809" s="16"/>
      <c r="Q3809" s="16"/>
      <c r="R3809" s="16"/>
      <c r="S3809" s="37" t="str">
        <f>IFERROR(__xludf.DUMMYFUNCTION("if(not(iserror(index(split(C3809, "" ""),2))), index(split(C3809, "" ""),1),"""")"),"")</f>
        <v/>
      </c>
      <c r="T3809" s="315" t="str">
        <f>IFERROR(__xludf.DUMMYFUNCTION("if(S3809="""",C3809,if(not(iserror(index(split(C3809, "" ""),3))), index(split(C3809, "" ""),3),index(split(C3809, "" ""),2)))"),"")</f>
        <v/>
      </c>
      <c r="U3809" s="38" t="b">
        <f t="shared" si="423"/>
        <v>0</v>
      </c>
      <c r="V3809" s="38"/>
      <c r="W3809" s="40"/>
      <c r="X3809" s="40"/>
      <c r="Y3809" s="40"/>
      <c r="Z3809" s="38"/>
      <c r="AA3809" s="38"/>
      <c r="AB3809" s="38"/>
      <c r="AC3809" s="38"/>
      <c r="AD3809" s="38"/>
      <c r="AE3809" s="38"/>
      <c r="AF3809" s="38"/>
      <c r="AG3809" s="38"/>
      <c r="AH3809" s="38"/>
      <c r="AI3809" s="38"/>
      <c r="AJ3809" s="38"/>
      <c r="AK3809" s="38"/>
      <c r="AL3809" s="38"/>
      <c r="AM3809" s="38"/>
      <c r="AN3809" s="38"/>
      <c r="AO3809" s="38"/>
      <c r="AP3809" s="38"/>
      <c r="AQ3809" s="38"/>
      <c r="AR3809" s="38"/>
      <c r="AS3809" s="38"/>
      <c r="AT3809" s="38"/>
      <c r="AU3809" s="38"/>
      <c r="AV3809" s="38"/>
      <c r="AW3809" s="38"/>
      <c r="AX3809" s="38"/>
      <c r="AY3809" s="38"/>
      <c r="AZ3809" s="38"/>
      <c r="BA3809" s="38"/>
      <c r="BB3809" s="38"/>
      <c r="BC3809" s="38"/>
      <c r="BD3809" s="38"/>
      <c r="BE3809" s="38"/>
      <c r="BF3809" s="38"/>
      <c r="BG3809" s="38"/>
      <c r="BH3809" s="38"/>
      <c r="BI3809" s="38"/>
      <c r="BJ3809" s="38"/>
      <c r="BK3809" s="38"/>
      <c r="BL3809" s="38"/>
      <c r="BM3809" s="38"/>
      <c r="BN3809" s="38"/>
      <c r="BO3809" s="38"/>
      <c r="BP3809" s="38"/>
      <c r="BQ3809" s="38"/>
    </row>
    <row r="3810">
      <c r="A3810" s="16"/>
      <c r="B3810" s="145"/>
      <c r="C3810" s="146"/>
      <c r="D3810" s="146"/>
      <c r="E3810" s="16"/>
      <c r="F3810" s="91"/>
      <c r="G3810" s="16"/>
      <c r="H3810" s="320" t="str">
        <f t="shared" si="424"/>
        <v/>
      </c>
      <c r="I3810" s="16"/>
      <c r="J3810" s="16"/>
      <c r="K3810" s="16"/>
      <c r="L3810" s="16"/>
      <c r="M3810" s="15"/>
      <c r="N3810" s="15"/>
      <c r="O3810" s="16"/>
      <c r="P3810" s="16"/>
      <c r="Q3810" s="16"/>
      <c r="R3810" s="16"/>
      <c r="S3810" s="37" t="str">
        <f>IFERROR(__xludf.DUMMYFUNCTION("if(not(iserror(index(split(C3810, "" ""),2))), index(split(C3810, "" ""),1),"""")"),"")</f>
        <v/>
      </c>
      <c r="T3810" s="315" t="str">
        <f>IFERROR(__xludf.DUMMYFUNCTION("if(S3810="""",C3810,if(not(iserror(index(split(C3810, "" ""),3))), index(split(C3810, "" ""),3),index(split(C3810, "" ""),2)))"),"")</f>
        <v/>
      </c>
      <c r="U3810" s="38" t="b">
        <f t="shared" si="423"/>
        <v>0</v>
      </c>
      <c r="V3810" s="38"/>
      <c r="W3810" s="40"/>
      <c r="X3810" s="40"/>
      <c r="Y3810" s="40"/>
      <c r="Z3810" s="38"/>
      <c r="AA3810" s="38"/>
      <c r="AB3810" s="38"/>
      <c r="AC3810" s="38"/>
      <c r="AD3810" s="38"/>
      <c r="AE3810" s="38"/>
      <c r="AF3810" s="38"/>
      <c r="AG3810" s="38"/>
      <c r="AH3810" s="38"/>
      <c r="AI3810" s="38"/>
      <c r="AJ3810" s="38"/>
      <c r="AK3810" s="38"/>
      <c r="AL3810" s="38"/>
      <c r="AM3810" s="38"/>
      <c r="AN3810" s="38"/>
      <c r="AO3810" s="38"/>
      <c r="AP3810" s="38"/>
      <c r="AQ3810" s="38"/>
      <c r="AR3810" s="38"/>
      <c r="AS3810" s="38"/>
      <c r="AT3810" s="38"/>
      <c r="AU3810" s="38"/>
      <c r="AV3810" s="38"/>
      <c r="AW3810" s="38"/>
      <c r="AX3810" s="38"/>
      <c r="AY3810" s="38"/>
      <c r="AZ3810" s="38"/>
      <c r="BA3810" s="38"/>
      <c r="BB3810" s="38"/>
      <c r="BC3810" s="38"/>
      <c r="BD3810" s="38"/>
      <c r="BE3810" s="38"/>
      <c r="BF3810" s="38"/>
      <c r="BG3810" s="38"/>
      <c r="BH3810" s="38"/>
      <c r="BI3810" s="38"/>
      <c r="BJ3810" s="38"/>
      <c r="BK3810" s="38"/>
      <c r="BL3810" s="38"/>
      <c r="BM3810" s="38"/>
      <c r="BN3810" s="38"/>
      <c r="BO3810" s="38"/>
      <c r="BP3810" s="38"/>
      <c r="BQ3810" s="38"/>
    </row>
    <row r="3811">
      <c r="A3811" s="16"/>
      <c r="B3811" s="145"/>
      <c r="C3811" s="146"/>
      <c r="D3811" s="146"/>
      <c r="E3811" s="16"/>
      <c r="F3811" s="91"/>
      <c r="G3811" s="16"/>
      <c r="H3811" s="320" t="str">
        <f t="shared" si="424"/>
        <v/>
      </c>
      <c r="I3811" s="16"/>
      <c r="J3811" s="16"/>
      <c r="K3811" s="16"/>
      <c r="L3811" s="16"/>
      <c r="M3811" s="15"/>
      <c r="N3811" s="15"/>
      <c r="O3811" s="16"/>
      <c r="P3811" s="16"/>
      <c r="Q3811" s="16"/>
      <c r="R3811" s="16"/>
      <c r="S3811" s="37" t="str">
        <f>IFERROR(__xludf.DUMMYFUNCTION("if(not(iserror(index(split(C3811, "" ""),2))), index(split(C3811, "" ""),1),"""")"),"")</f>
        <v/>
      </c>
      <c r="T3811" s="315" t="str">
        <f>IFERROR(__xludf.DUMMYFUNCTION("if(S3811="""",C3811,if(not(iserror(index(split(C3811, "" ""),3))), index(split(C3811, "" ""),3),index(split(C3811, "" ""),2)))"),"")</f>
        <v/>
      </c>
      <c r="U3811" s="38" t="b">
        <f t="shared" si="423"/>
        <v>0</v>
      </c>
      <c r="V3811" s="38"/>
      <c r="W3811" s="40"/>
      <c r="X3811" s="40"/>
      <c r="Y3811" s="40"/>
      <c r="Z3811" s="38"/>
      <c r="AA3811" s="38"/>
      <c r="AB3811" s="38"/>
      <c r="AC3811" s="38"/>
      <c r="AD3811" s="38"/>
      <c r="AE3811" s="38"/>
      <c r="AF3811" s="38"/>
      <c r="AG3811" s="38"/>
      <c r="AH3811" s="38"/>
      <c r="AI3811" s="38"/>
      <c r="AJ3811" s="38"/>
      <c r="AK3811" s="38"/>
      <c r="AL3811" s="38"/>
      <c r="AM3811" s="38"/>
      <c r="AN3811" s="38"/>
      <c r="AO3811" s="38"/>
      <c r="AP3811" s="38"/>
      <c r="AQ3811" s="38"/>
      <c r="AR3811" s="38"/>
      <c r="AS3811" s="38"/>
      <c r="AT3811" s="38"/>
      <c r="AU3811" s="38"/>
      <c r="AV3811" s="38"/>
      <c r="AW3811" s="38"/>
      <c r="AX3811" s="38"/>
      <c r="AY3811" s="38"/>
      <c r="AZ3811" s="38"/>
      <c r="BA3811" s="38"/>
      <c r="BB3811" s="38"/>
      <c r="BC3811" s="38"/>
      <c r="BD3811" s="38"/>
      <c r="BE3811" s="38"/>
      <c r="BF3811" s="38"/>
      <c r="BG3811" s="38"/>
      <c r="BH3811" s="38"/>
      <c r="BI3811" s="38"/>
      <c r="BJ3811" s="38"/>
      <c r="BK3811" s="38"/>
      <c r="BL3811" s="38"/>
      <c r="BM3811" s="38"/>
      <c r="BN3811" s="38"/>
      <c r="BO3811" s="38"/>
      <c r="BP3811" s="38"/>
      <c r="BQ3811" s="38"/>
    </row>
    <row r="3812">
      <c r="A3812" s="16"/>
      <c r="B3812" s="145"/>
      <c r="C3812" s="146"/>
      <c r="D3812" s="146"/>
      <c r="E3812" s="16"/>
      <c r="F3812" s="91"/>
      <c r="G3812" s="16"/>
      <c r="H3812" s="320" t="str">
        <f t="shared" si="424"/>
        <v/>
      </c>
      <c r="I3812" s="16"/>
      <c r="J3812" s="16"/>
      <c r="K3812" s="16"/>
      <c r="L3812" s="16"/>
      <c r="M3812" s="15"/>
      <c r="N3812" s="15"/>
      <c r="O3812" s="16"/>
      <c r="P3812" s="16"/>
      <c r="Q3812" s="16"/>
      <c r="R3812" s="16"/>
      <c r="S3812" s="37" t="str">
        <f>IFERROR(__xludf.DUMMYFUNCTION("if(not(iserror(index(split(C3812, "" ""),2))), index(split(C3812, "" ""),1),"""")"),"")</f>
        <v/>
      </c>
      <c r="T3812" s="315" t="str">
        <f>IFERROR(__xludf.DUMMYFUNCTION("if(S3812="""",C3812,if(not(iserror(index(split(C3812, "" ""),3))), index(split(C3812, "" ""),3),index(split(C3812, "" ""),2)))"),"")</f>
        <v/>
      </c>
      <c r="U3812" s="38" t="b">
        <f t="shared" si="423"/>
        <v>0</v>
      </c>
      <c r="V3812" s="38"/>
      <c r="W3812" s="40"/>
      <c r="X3812" s="40"/>
      <c r="Y3812" s="40"/>
      <c r="Z3812" s="38"/>
      <c r="AA3812" s="38"/>
      <c r="AB3812" s="38"/>
      <c r="AC3812" s="38"/>
      <c r="AD3812" s="38"/>
      <c r="AE3812" s="38"/>
      <c r="AF3812" s="38"/>
      <c r="AG3812" s="38"/>
      <c r="AH3812" s="38"/>
      <c r="AI3812" s="38"/>
      <c r="AJ3812" s="38"/>
      <c r="AK3812" s="38"/>
      <c r="AL3812" s="38"/>
      <c r="AM3812" s="38"/>
      <c r="AN3812" s="38"/>
      <c r="AO3812" s="38"/>
      <c r="AP3812" s="38"/>
      <c r="AQ3812" s="38"/>
      <c r="AR3812" s="38"/>
      <c r="AS3812" s="38"/>
      <c r="AT3812" s="38"/>
      <c r="AU3812" s="38"/>
      <c r="AV3812" s="38"/>
      <c r="AW3812" s="38"/>
      <c r="AX3812" s="38"/>
      <c r="AY3812" s="38"/>
      <c r="AZ3812" s="38"/>
      <c r="BA3812" s="38"/>
      <c r="BB3812" s="38"/>
      <c r="BC3812" s="38"/>
      <c r="BD3812" s="38"/>
      <c r="BE3812" s="38"/>
      <c r="BF3812" s="38"/>
      <c r="BG3812" s="38"/>
      <c r="BH3812" s="38"/>
      <c r="BI3812" s="38"/>
      <c r="BJ3812" s="38"/>
      <c r="BK3812" s="38"/>
      <c r="BL3812" s="38"/>
      <c r="BM3812" s="38"/>
      <c r="BN3812" s="38"/>
      <c r="BO3812" s="38"/>
      <c r="BP3812" s="38"/>
      <c r="BQ3812" s="38"/>
    </row>
    <row r="3813">
      <c r="A3813" s="16"/>
      <c r="B3813" s="145"/>
      <c r="C3813" s="146"/>
      <c r="D3813" s="146"/>
      <c r="E3813" s="16"/>
      <c r="F3813" s="91"/>
      <c r="G3813" s="16"/>
      <c r="H3813" s="320" t="str">
        <f t="shared" si="424"/>
        <v/>
      </c>
      <c r="I3813" s="16"/>
      <c r="J3813" s="16"/>
      <c r="K3813" s="16"/>
      <c r="L3813" s="16"/>
      <c r="M3813" s="15"/>
      <c r="N3813" s="15"/>
      <c r="O3813" s="16"/>
      <c r="P3813" s="16"/>
      <c r="Q3813" s="16"/>
      <c r="R3813" s="16"/>
      <c r="S3813" s="37" t="str">
        <f>IFERROR(__xludf.DUMMYFUNCTION("if(not(iserror(index(split(C3813, "" ""),2))), index(split(C3813, "" ""),1),"""")"),"")</f>
        <v/>
      </c>
      <c r="T3813" s="315" t="str">
        <f>IFERROR(__xludf.DUMMYFUNCTION("if(S3813="""",C3813,if(not(iserror(index(split(C3813, "" ""),3))), index(split(C3813, "" ""),3),index(split(C3813, "" ""),2)))"),"")</f>
        <v/>
      </c>
      <c r="U3813" s="38" t="b">
        <f t="shared" si="423"/>
        <v>0</v>
      </c>
      <c r="V3813" s="38"/>
      <c r="W3813" s="40"/>
      <c r="X3813" s="40"/>
      <c r="Y3813" s="40"/>
      <c r="Z3813" s="38"/>
      <c r="AA3813" s="38"/>
      <c r="AB3813" s="38"/>
      <c r="AC3813" s="38"/>
      <c r="AD3813" s="38"/>
      <c r="AE3813" s="38"/>
      <c r="AF3813" s="38"/>
      <c r="AG3813" s="38"/>
      <c r="AH3813" s="38"/>
      <c r="AI3813" s="38"/>
      <c r="AJ3813" s="38"/>
      <c r="AK3813" s="38"/>
      <c r="AL3813" s="38"/>
      <c r="AM3813" s="38"/>
      <c r="AN3813" s="38"/>
      <c r="AO3813" s="38"/>
      <c r="AP3813" s="38"/>
      <c r="AQ3813" s="38"/>
      <c r="AR3813" s="38"/>
      <c r="AS3813" s="38"/>
      <c r="AT3813" s="38"/>
      <c r="AU3813" s="38"/>
      <c r="AV3813" s="38"/>
      <c r="AW3813" s="38"/>
      <c r="AX3813" s="38"/>
      <c r="AY3813" s="38"/>
      <c r="AZ3813" s="38"/>
      <c r="BA3813" s="38"/>
      <c r="BB3813" s="38"/>
      <c r="BC3813" s="38"/>
      <c r="BD3813" s="38"/>
      <c r="BE3813" s="38"/>
      <c r="BF3813" s="38"/>
      <c r="BG3813" s="38"/>
      <c r="BH3813" s="38"/>
      <c r="BI3813" s="38"/>
      <c r="BJ3813" s="38"/>
      <c r="BK3813" s="38"/>
      <c r="BL3813" s="38"/>
      <c r="BM3813" s="38"/>
      <c r="BN3813" s="38"/>
      <c r="BO3813" s="38"/>
      <c r="BP3813" s="38"/>
      <c r="BQ3813" s="38"/>
    </row>
    <row r="3814">
      <c r="A3814" s="16"/>
      <c r="B3814" s="145"/>
      <c r="C3814" s="146"/>
      <c r="D3814" s="146"/>
      <c r="E3814" s="16"/>
      <c r="F3814" s="91"/>
      <c r="G3814" s="16"/>
      <c r="H3814" s="320" t="str">
        <f t="shared" si="424"/>
        <v/>
      </c>
      <c r="I3814" s="16"/>
      <c r="J3814" s="16"/>
      <c r="K3814" s="16"/>
      <c r="L3814" s="16"/>
      <c r="M3814" s="15"/>
      <c r="N3814" s="15"/>
      <c r="O3814" s="16"/>
      <c r="P3814" s="16"/>
      <c r="Q3814" s="16"/>
      <c r="R3814" s="16"/>
      <c r="S3814" s="37" t="str">
        <f>IFERROR(__xludf.DUMMYFUNCTION("if(not(iserror(index(split(C3814, "" ""),2))), index(split(C3814, "" ""),1),"""")"),"")</f>
        <v/>
      </c>
      <c r="T3814" s="315" t="str">
        <f>IFERROR(__xludf.DUMMYFUNCTION("if(S3814="""",C3814,if(not(iserror(index(split(C3814, "" ""),3))), index(split(C3814, "" ""),3),index(split(C3814, "" ""),2)))"),"")</f>
        <v/>
      </c>
      <c r="U3814" s="38" t="b">
        <f t="shared" si="423"/>
        <v>0</v>
      </c>
      <c r="V3814" s="38"/>
      <c r="W3814" s="40"/>
      <c r="X3814" s="40"/>
      <c r="Y3814" s="40"/>
      <c r="Z3814" s="38"/>
      <c r="AA3814" s="38"/>
      <c r="AB3814" s="38"/>
      <c r="AC3814" s="38"/>
      <c r="AD3814" s="38"/>
      <c r="AE3814" s="38"/>
      <c r="AF3814" s="38"/>
      <c r="AG3814" s="38"/>
      <c r="AH3814" s="38"/>
      <c r="AI3814" s="38"/>
      <c r="AJ3814" s="38"/>
      <c r="AK3814" s="38"/>
      <c r="AL3814" s="38"/>
      <c r="AM3814" s="38"/>
      <c r="AN3814" s="38"/>
      <c r="AO3814" s="38"/>
      <c r="AP3814" s="38"/>
      <c r="AQ3814" s="38"/>
      <c r="AR3814" s="38"/>
      <c r="AS3814" s="38"/>
      <c r="AT3814" s="38"/>
      <c r="AU3814" s="38"/>
      <c r="AV3814" s="38"/>
      <c r="AW3814" s="38"/>
      <c r="AX3814" s="38"/>
      <c r="AY3814" s="38"/>
      <c r="AZ3814" s="38"/>
      <c r="BA3814" s="38"/>
      <c r="BB3814" s="38"/>
      <c r="BC3814" s="38"/>
      <c r="BD3814" s="38"/>
      <c r="BE3814" s="38"/>
      <c r="BF3814" s="38"/>
      <c r="BG3814" s="38"/>
      <c r="BH3814" s="38"/>
      <c r="BI3814" s="38"/>
      <c r="BJ3814" s="38"/>
      <c r="BK3814" s="38"/>
      <c r="BL3814" s="38"/>
      <c r="BM3814" s="38"/>
      <c r="BN3814" s="38"/>
      <c r="BO3814" s="38"/>
      <c r="BP3814" s="38"/>
      <c r="BQ3814" s="38"/>
    </row>
    <row r="3815">
      <c r="A3815" s="16"/>
      <c r="B3815" s="145"/>
      <c r="C3815" s="146"/>
      <c r="D3815" s="146"/>
      <c r="E3815" s="16"/>
      <c r="F3815" s="91"/>
      <c r="G3815" s="16"/>
      <c r="H3815" s="320" t="str">
        <f t="shared" si="424"/>
        <v/>
      </c>
      <c r="I3815" s="16"/>
      <c r="J3815" s="16"/>
      <c r="K3815" s="16"/>
      <c r="L3815" s="16"/>
      <c r="M3815" s="15"/>
      <c r="N3815" s="15"/>
      <c r="O3815" s="16"/>
      <c r="P3815" s="16"/>
      <c r="Q3815" s="16"/>
      <c r="R3815" s="16"/>
      <c r="S3815" s="37" t="str">
        <f>IFERROR(__xludf.DUMMYFUNCTION("if(not(iserror(index(split(C3815, "" ""),2))), index(split(C3815, "" ""),1),"""")"),"")</f>
        <v/>
      </c>
      <c r="T3815" s="315" t="str">
        <f>IFERROR(__xludf.DUMMYFUNCTION("if(S3815="""",C3815,if(not(iserror(index(split(C3815, "" ""),3))), index(split(C3815, "" ""),3),index(split(C3815, "" ""),2)))"),"")</f>
        <v/>
      </c>
      <c r="U3815" s="38" t="b">
        <f t="shared" si="423"/>
        <v>0</v>
      </c>
      <c r="V3815" s="38"/>
      <c r="W3815" s="40"/>
      <c r="X3815" s="40"/>
      <c r="Y3815" s="40"/>
      <c r="Z3815" s="38"/>
      <c r="AA3815" s="38"/>
      <c r="AB3815" s="38"/>
      <c r="AC3815" s="38"/>
      <c r="AD3815" s="38"/>
      <c r="AE3815" s="38"/>
      <c r="AF3815" s="38"/>
      <c r="AG3815" s="38"/>
      <c r="AH3815" s="38"/>
      <c r="AI3815" s="38"/>
      <c r="AJ3815" s="38"/>
      <c r="AK3815" s="38"/>
      <c r="AL3815" s="38"/>
      <c r="AM3815" s="38"/>
      <c r="AN3815" s="38"/>
      <c r="AO3815" s="38"/>
      <c r="AP3815" s="38"/>
      <c r="AQ3815" s="38"/>
      <c r="AR3815" s="38"/>
      <c r="AS3815" s="38"/>
      <c r="AT3815" s="38"/>
      <c r="AU3815" s="38"/>
      <c r="AV3815" s="38"/>
      <c r="AW3815" s="38"/>
      <c r="AX3815" s="38"/>
      <c r="AY3815" s="38"/>
      <c r="AZ3815" s="38"/>
      <c r="BA3815" s="38"/>
      <c r="BB3815" s="38"/>
      <c r="BC3815" s="38"/>
      <c r="BD3815" s="38"/>
      <c r="BE3815" s="38"/>
      <c r="BF3815" s="38"/>
      <c r="BG3815" s="38"/>
      <c r="BH3815" s="38"/>
      <c r="BI3815" s="38"/>
      <c r="BJ3815" s="38"/>
      <c r="BK3815" s="38"/>
      <c r="BL3815" s="38"/>
      <c r="BM3815" s="38"/>
      <c r="BN3815" s="38"/>
      <c r="BO3815" s="38"/>
      <c r="BP3815" s="38"/>
      <c r="BQ3815" s="38"/>
    </row>
    <row r="3816">
      <c r="A3816" s="16"/>
      <c r="B3816" s="145"/>
      <c r="C3816" s="146"/>
      <c r="D3816" s="146"/>
      <c r="E3816" s="16"/>
      <c r="F3816" s="91"/>
      <c r="G3816" s="16"/>
      <c r="H3816" s="320" t="str">
        <f t="shared" si="424"/>
        <v/>
      </c>
      <c r="I3816" s="16"/>
      <c r="J3816" s="16"/>
      <c r="K3816" s="16"/>
      <c r="L3816" s="16"/>
      <c r="M3816" s="15"/>
      <c r="N3816" s="15"/>
      <c r="O3816" s="16"/>
      <c r="P3816" s="16"/>
      <c r="Q3816" s="16"/>
      <c r="R3816" s="16"/>
      <c r="S3816" s="37" t="str">
        <f>IFERROR(__xludf.DUMMYFUNCTION("if(not(iserror(index(split(C3816, "" ""),2))), index(split(C3816, "" ""),1),"""")"),"")</f>
        <v/>
      </c>
      <c r="T3816" s="315" t="str">
        <f>IFERROR(__xludf.DUMMYFUNCTION("if(S3816="""",C3816,if(not(iserror(index(split(C3816, "" ""),3))), index(split(C3816, "" ""),3),index(split(C3816, "" ""),2)))"),"")</f>
        <v/>
      </c>
      <c r="U3816" s="38" t="b">
        <f t="shared" si="423"/>
        <v>0</v>
      </c>
      <c r="V3816" s="38"/>
      <c r="W3816" s="40"/>
      <c r="X3816" s="40"/>
      <c r="Y3816" s="40"/>
      <c r="Z3816" s="38"/>
      <c r="AA3816" s="38"/>
      <c r="AB3816" s="38"/>
      <c r="AC3816" s="38"/>
      <c r="AD3816" s="38"/>
      <c r="AE3816" s="38"/>
      <c r="AF3816" s="38"/>
      <c r="AG3816" s="38"/>
      <c r="AH3816" s="38"/>
      <c r="AI3816" s="38"/>
      <c r="AJ3816" s="38"/>
      <c r="AK3816" s="38"/>
      <c r="AL3816" s="38"/>
      <c r="AM3816" s="38"/>
      <c r="AN3816" s="38"/>
      <c r="AO3816" s="38"/>
      <c r="AP3816" s="38"/>
      <c r="AQ3816" s="38"/>
      <c r="AR3816" s="38"/>
      <c r="AS3816" s="38"/>
      <c r="AT3816" s="38"/>
      <c r="AU3816" s="38"/>
      <c r="AV3816" s="38"/>
      <c r="AW3816" s="38"/>
      <c r="AX3816" s="38"/>
      <c r="AY3816" s="38"/>
      <c r="AZ3816" s="38"/>
      <c r="BA3816" s="38"/>
      <c r="BB3816" s="38"/>
      <c r="BC3816" s="38"/>
      <c r="BD3816" s="38"/>
      <c r="BE3816" s="38"/>
      <c r="BF3816" s="38"/>
      <c r="BG3816" s="38"/>
      <c r="BH3816" s="38"/>
      <c r="BI3816" s="38"/>
      <c r="BJ3816" s="38"/>
      <c r="BK3816" s="38"/>
      <c r="BL3816" s="38"/>
      <c r="BM3816" s="38"/>
      <c r="BN3816" s="38"/>
      <c r="BO3816" s="38"/>
      <c r="BP3816" s="38"/>
      <c r="BQ3816" s="38"/>
    </row>
    <row r="3817">
      <c r="A3817" s="16"/>
      <c r="B3817" s="145"/>
      <c r="C3817" s="146"/>
      <c r="D3817" s="146"/>
      <c r="E3817" s="16"/>
      <c r="F3817" s="91"/>
      <c r="G3817" s="16"/>
      <c r="H3817" s="320" t="str">
        <f t="shared" si="424"/>
        <v/>
      </c>
      <c r="I3817" s="16"/>
      <c r="J3817" s="16"/>
      <c r="K3817" s="16"/>
      <c r="L3817" s="16"/>
      <c r="M3817" s="15"/>
      <c r="N3817" s="15"/>
      <c r="O3817" s="16"/>
      <c r="P3817" s="16"/>
      <c r="Q3817" s="16"/>
      <c r="R3817" s="16"/>
      <c r="S3817" s="37" t="str">
        <f>IFERROR(__xludf.DUMMYFUNCTION("if(not(iserror(index(split(C3817, "" ""),2))), index(split(C3817, "" ""),1),"""")"),"")</f>
        <v/>
      </c>
      <c r="T3817" s="315" t="str">
        <f>IFERROR(__xludf.DUMMYFUNCTION("if(S3817="""",C3817,if(not(iserror(index(split(C3817, "" ""),3))), index(split(C3817, "" ""),3),index(split(C3817, "" ""),2)))"),"")</f>
        <v/>
      </c>
      <c r="U3817" s="38" t="b">
        <f t="shared" si="423"/>
        <v>0</v>
      </c>
      <c r="V3817" s="38"/>
      <c r="W3817" s="40"/>
      <c r="X3817" s="40"/>
      <c r="Y3817" s="40"/>
      <c r="Z3817" s="38"/>
      <c r="AA3817" s="38"/>
      <c r="AB3817" s="38"/>
      <c r="AC3817" s="38"/>
      <c r="AD3817" s="38"/>
      <c r="AE3817" s="38"/>
      <c r="AF3817" s="38"/>
      <c r="AG3817" s="38"/>
      <c r="AH3817" s="38"/>
      <c r="AI3817" s="38"/>
      <c r="AJ3817" s="38"/>
      <c r="AK3817" s="38"/>
      <c r="AL3817" s="38"/>
      <c r="AM3817" s="38"/>
      <c r="AN3817" s="38"/>
      <c r="AO3817" s="38"/>
      <c r="AP3817" s="38"/>
      <c r="AQ3817" s="38"/>
      <c r="AR3817" s="38"/>
      <c r="AS3817" s="38"/>
      <c r="AT3817" s="38"/>
      <c r="AU3817" s="38"/>
      <c r="AV3817" s="38"/>
      <c r="AW3817" s="38"/>
      <c r="AX3817" s="38"/>
      <c r="AY3817" s="38"/>
      <c r="AZ3817" s="38"/>
      <c r="BA3817" s="38"/>
      <c r="BB3817" s="38"/>
      <c r="BC3817" s="38"/>
      <c r="BD3817" s="38"/>
      <c r="BE3817" s="38"/>
      <c r="BF3817" s="38"/>
      <c r="BG3817" s="38"/>
      <c r="BH3817" s="38"/>
      <c r="BI3817" s="38"/>
      <c r="BJ3817" s="38"/>
      <c r="BK3817" s="38"/>
      <c r="BL3817" s="38"/>
      <c r="BM3817" s="38"/>
      <c r="BN3817" s="38"/>
      <c r="BO3817" s="38"/>
      <c r="BP3817" s="38"/>
      <c r="BQ3817" s="38"/>
    </row>
    <row r="3818">
      <c r="A3818" s="16"/>
      <c r="B3818" s="145"/>
      <c r="C3818" s="146"/>
      <c r="D3818" s="146"/>
      <c r="E3818" s="16"/>
      <c r="F3818" s="91"/>
      <c r="G3818" s="16"/>
      <c r="H3818" s="320" t="str">
        <f t="shared" si="424"/>
        <v/>
      </c>
      <c r="I3818" s="16"/>
      <c r="J3818" s="16"/>
      <c r="K3818" s="16"/>
      <c r="L3818" s="16"/>
      <c r="M3818" s="15"/>
      <c r="N3818" s="15"/>
      <c r="O3818" s="16"/>
      <c r="P3818" s="16"/>
      <c r="Q3818" s="16"/>
      <c r="R3818" s="16"/>
      <c r="S3818" s="37" t="str">
        <f>IFERROR(__xludf.DUMMYFUNCTION("if(not(iserror(index(split(C3818, "" ""),2))), index(split(C3818, "" ""),1),"""")"),"")</f>
        <v/>
      </c>
      <c r="T3818" s="315" t="str">
        <f>IFERROR(__xludf.DUMMYFUNCTION("if(S3818="""",C3818,if(not(iserror(index(split(C3818, "" ""),3))), index(split(C3818, "" ""),3),index(split(C3818, "" ""),2)))"),"")</f>
        <v/>
      </c>
      <c r="U3818" s="38" t="b">
        <f t="shared" si="423"/>
        <v>0</v>
      </c>
      <c r="V3818" s="38"/>
      <c r="W3818" s="40"/>
      <c r="X3818" s="40"/>
      <c r="Y3818" s="40"/>
      <c r="Z3818" s="38"/>
      <c r="AA3818" s="38"/>
      <c r="AB3818" s="38"/>
      <c r="AC3818" s="38"/>
      <c r="AD3818" s="38"/>
      <c r="AE3818" s="38"/>
      <c r="AF3818" s="38"/>
      <c r="AG3818" s="38"/>
      <c r="AH3818" s="38"/>
      <c r="AI3818" s="38"/>
      <c r="AJ3818" s="38"/>
      <c r="AK3818" s="38"/>
      <c r="AL3818" s="38"/>
      <c r="AM3818" s="38"/>
      <c r="AN3818" s="38"/>
      <c r="AO3818" s="38"/>
      <c r="AP3818" s="38"/>
      <c r="AQ3818" s="38"/>
      <c r="AR3818" s="38"/>
      <c r="AS3818" s="38"/>
      <c r="AT3818" s="38"/>
      <c r="AU3818" s="38"/>
      <c r="AV3818" s="38"/>
      <c r="AW3818" s="38"/>
      <c r="AX3818" s="38"/>
      <c r="AY3818" s="38"/>
      <c r="AZ3818" s="38"/>
      <c r="BA3818" s="38"/>
      <c r="BB3818" s="38"/>
      <c r="BC3818" s="38"/>
      <c r="BD3818" s="38"/>
      <c r="BE3818" s="38"/>
      <c r="BF3818" s="38"/>
      <c r="BG3818" s="38"/>
      <c r="BH3818" s="38"/>
      <c r="BI3818" s="38"/>
      <c r="BJ3818" s="38"/>
      <c r="BK3818" s="38"/>
      <c r="BL3818" s="38"/>
      <c r="BM3818" s="38"/>
      <c r="BN3818" s="38"/>
      <c r="BO3818" s="38"/>
      <c r="BP3818" s="38"/>
      <c r="BQ3818" s="38"/>
    </row>
    <row r="3819">
      <c r="A3819" s="16"/>
      <c r="B3819" s="145"/>
      <c r="C3819" s="146"/>
      <c r="D3819" s="146"/>
      <c r="E3819" s="16"/>
      <c r="F3819" s="91"/>
      <c r="G3819" s="16"/>
      <c r="H3819" s="320" t="str">
        <f t="shared" si="424"/>
        <v/>
      </c>
      <c r="I3819" s="16"/>
      <c r="J3819" s="16"/>
      <c r="K3819" s="16"/>
      <c r="L3819" s="16"/>
      <c r="M3819" s="15"/>
      <c r="N3819" s="15"/>
      <c r="O3819" s="16"/>
      <c r="P3819" s="16"/>
      <c r="Q3819" s="16"/>
      <c r="R3819" s="16"/>
      <c r="S3819" s="37" t="str">
        <f>IFERROR(__xludf.DUMMYFUNCTION("if(not(iserror(index(split(C3819, "" ""),2))), index(split(C3819, "" ""),1),"""")"),"")</f>
        <v/>
      </c>
      <c r="T3819" s="315" t="str">
        <f>IFERROR(__xludf.DUMMYFUNCTION("if(S3819="""",C3819,if(not(iserror(index(split(C3819, "" ""),3))), index(split(C3819, "" ""),3),index(split(C3819, "" ""),2)))"),"")</f>
        <v/>
      </c>
      <c r="U3819" s="38" t="b">
        <f t="shared" si="423"/>
        <v>0</v>
      </c>
      <c r="V3819" s="38"/>
      <c r="W3819" s="40"/>
      <c r="X3819" s="40"/>
      <c r="Y3819" s="40"/>
      <c r="Z3819" s="38"/>
      <c r="AA3819" s="38"/>
      <c r="AB3819" s="38"/>
      <c r="AC3819" s="38"/>
      <c r="AD3819" s="38"/>
      <c r="AE3819" s="38"/>
      <c r="AF3819" s="38"/>
      <c r="AG3819" s="38"/>
      <c r="AH3819" s="38"/>
      <c r="AI3819" s="38"/>
      <c r="AJ3819" s="38"/>
      <c r="AK3819" s="38"/>
      <c r="AL3819" s="38"/>
      <c r="AM3819" s="38"/>
      <c r="AN3819" s="38"/>
      <c r="AO3819" s="38"/>
      <c r="AP3819" s="38"/>
      <c r="AQ3819" s="38"/>
      <c r="AR3819" s="38"/>
      <c r="AS3819" s="38"/>
      <c r="AT3819" s="38"/>
      <c r="AU3819" s="38"/>
      <c r="AV3819" s="38"/>
      <c r="AW3819" s="38"/>
      <c r="AX3819" s="38"/>
      <c r="AY3819" s="38"/>
      <c r="AZ3819" s="38"/>
      <c r="BA3819" s="38"/>
      <c r="BB3819" s="38"/>
      <c r="BC3819" s="38"/>
      <c r="BD3819" s="38"/>
      <c r="BE3819" s="38"/>
      <c r="BF3819" s="38"/>
      <c r="BG3819" s="38"/>
      <c r="BH3819" s="38"/>
      <c r="BI3819" s="38"/>
      <c r="BJ3819" s="38"/>
      <c r="BK3819" s="38"/>
      <c r="BL3819" s="38"/>
      <c r="BM3819" s="38"/>
      <c r="BN3819" s="38"/>
      <c r="BO3819" s="38"/>
      <c r="BP3819" s="38"/>
      <c r="BQ3819" s="38"/>
    </row>
    <row r="3820">
      <c r="A3820" s="16"/>
      <c r="B3820" s="145"/>
      <c r="C3820" s="146"/>
      <c r="D3820" s="146"/>
      <c r="E3820" s="16"/>
      <c r="F3820" s="91"/>
      <c r="G3820" s="16"/>
      <c r="H3820" s="320" t="str">
        <f t="shared" si="424"/>
        <v/>
      </c>
      <c r="I3820" s="16"/>
      <c r="J3820" s="16"/>
      <c r="K3820" s="16"/>
      <c r="L3820" s="16"/>
      <c r="M3820" s="15"/>
      <c r="N3820" s="15"/>
      <c r="O3820" s="16"/>
      <c r="P3820" s="16"/>
      <c r="Q3820" s="16"/>
      <c r="R3820" s="16"/>
      <c r="S3820" s="37" t="str">
        <f>IFERROR(__xludf.DUMMYFUNCTION("if(not(iserror(index(split(C3820, "" ""),2))), index(split(C3820, "" ""),1),"""")"),"")</f>
        <v/>
      </c>
      <c r="T3820" s="315" t="str">
        <f>IFERROR(__xludf.DUMMYFUNCTION("if(S3820="""",C3820,if(not(iserror(index(split(C3820, "" ""),3))), index(split(C3820, "" ""),3),index(split(C3820, "" ""),2)))"),"")</f>
        <v/>
      </c>
      <c r="U3820" s="38" t="b">
        <f t="shared" si="423"/>
        <v>0</v>
      </c>
      <c r="V3820" s="38"/>
      <c r="W3820" s="40"/>
      <c r="X3820" s="40"/>
      <c r="Y3820" s="40"/>
      <c r="Z3820" s="38"/>
      <c r="AA3820" s="38"/>
      <c r="AB3820" s="38"/>
      <c r="AC3820" s="38"/>
      <c r="AD3820" s="38"/>
      <c r="AE3820" s="38"/>
      <c r="AF3820" s="38"/>
      <c r="AG3820" s="38"/>
      <c r="AH3820" s="38"/>
      <c r="AI3820" s="38"/>
      <c r="AJ3820" s="38"/>
      <c r="AK3820" s="38"/>
      <c r="AL3820" s="38"/>
      <c r="AM3820" s="38"/>
      <c r="AN3820" s="38"/>
      <c r="AO3820" s="38"/>
      <c r="AP3820" s="38"/>
      <c r="AQ3820" s="38"/>
      <c r="AR3820" s="38"/>
      <c r="AS3820" s="38"/>
      <c r="AT3820" s="38"/>
      <c r="AU3820" s="38"/>
      <c r="AV3820" s="38"/>
      <c r="AW3820" s="38"/>
      <c r="AX3820" s="38"/>
      <c r="AY3820" s="38"/>
      <c r="AZ3820" s="38"/>
      <c r="BA3820" s="38"/>
      <c r="BB3820" s="38"/>
      <c r="BC3820" s="38"/>
      <c r="BD3820" s="38"/>
      <c r="BE3820" s="38"/>
      <c r="BF3820" s="38"/>
      <c r="BG3820" s="38"/>
      <c r="BH3820" s="38"/>
      <c r="BI3820" s="38"/>
      <c r="BJ3820" s="38"/>
      <c r="BK3820" s="38"/>
      <c r="BL3820" s="38"/>
      <c r="BM3820" s="38"/>
      <c r="BN3820" s="38"/>
      <c r="BO3820" s="38"/>
      <c r="BP3820" s="38"/>
      <c r="BQ3820" s="38"/>
    </row>
    <row r="3821">
      <c r="A3821" s="16"/>
      <c r="B3821" s="145"/>
      <c r="C3821" s="146"/>
      <c r="D3821" s="146"/>
      <c r="E3821" s="16"/>
      <c r="F3821" s="91"/>
      <c r="G3821" s="16"/>
      <c r="H3821" s="320" t="str">
        <f t="shared" si="424"/>
        <v/>
      </c>
      <c r="I3821" s="16"/>
      <c r="J3821" s="16"/>
      <c r="K3821" s="16"/>
      <c r="L3821" s="16"/>
      <c r="M3821" s="15"/>
      <c r="N3821" s="15"/>
      <c r="O3821" s="16"/>
      <c r="P3821" s="16"/>
      <c r="Q3821" s="16"/>
      <c r="R3821" s="16"/>
      <c r="S3821" s="37" t="str">
        <f>IFERROR(__xludf.DUMMYFUNCTION("if(not(iserror(index(split(C3821, "" ""),2))), index(split(C3821, "" ""),1),"""")"),"")</f>
        <v/>
      </c>
      <c r="T3821" s="315" t="str">
        <f>IFERROR(__xludf.DUMMYFUNCTION("if(S3821="""",C3821,if(not(iserror(index(split(C3821, "" ""),3))), index(split(C3821, "" ""),3),index(split(C3821, "" ""),2)))"),"")</f>
        <v/>
      </c>
      <c r="U3821" s="38" t="b">
        <f t="shared" si="423"/>
        <v>0</v>
      </c>
      <c r="V3821" s="38"/>
      <c r="W3821" s="40"/>
      <c r="X3821" s="40"/>
      <c r="Y3821" s="40"/>
      <c r="Z3821" s="38"/>
      <c r="AA3821" s="38"/>
      <c r="AB3821" s="38"/>
      <c r="AC3821" s="38"/>
      <c r="AD3821" s="38"/>
      <c r="AE3821" s="38"/>
      <c r="AF3821" s="38"/>
      <c r="AG3821" s="38"/>
      <c r="AH3821" s="38"/>
      <c r="AI3821" s="38"/>
      <c r="AJ3821" s="38"/>
      <c r="AK3821" s="38"/>
      <c r="AL3821" s="38"/>
      <c r="AM3821" s="38"/>
      <c r="AN3821" s="38"/>
      <c r="AO3821" s="38"/>
      <c r="AP3821" s="38"/>
      <c r="AQ3821" s="38"/>
      <c r="AR3821" s="38"/>
      <c r="AS3821" s="38"/>
      <c r="AT3821" s="38"/>
      <c r="AU3821" s="38"/>
      <c r="AV3821" s="38"/>
      <c r="AW3821" s="38"/>
      <c r="AX3821" s="38"/>
      <c r="AY3821" s="38"/>
      <c r="AZ3821" s="38"/>
      <c r="BA3821" s="38"/>
      <c r="BB3821" s="38"/>
      <c r="BC3821" s="38"/>
      <c r="BD3821" s="38"/>
      <c r="BE3821" s="38"/>
      <c r="BF3821" s="38"/>
      <c r="BG3821" s="38"/>
      <c r="BH3821" s="38"/>
      <c r="BI3821" s="38"/>
      <c r="BJ3821" s="38"/>
      <c r="BK3821" s="38"/>
      <c r="BL3821" s="38"/>
      <c r="BM3821" s="38"/>
      <c r="BN3821" s="38"/>
      <c r="BO3821" s="38"/>
      <c r="BP3821" s="38"/>
      <c r="BQ3821" s="38"/>
    </row>
    <row r="3822">
      <c r="A3822" s="16"/>
      <c r="B3822" s="145"/>
      <c r="C3822" s="146"/>
      <c r="D3822" s="146"/>
      <c r="E3822" s="16"/>
      <c r="F3822" s="91"/>
      <c r="G3822" s="16"/>
      <c r="H3822" s="320" t="str">
        <f t="shared" si="424"/>
        <v/>
      </c>
      <c r="I3822" s="16"/>
      <c r="J3822" s="16"/>
      <c r="K3822" s="16"/>
      <c r="L3822" s="16"/>
      <c r="M3822" s="15"/>
      <c r="N3822" s="15"/>
      <c r="O3822" s="16"/>
      <c r="P3822" s="16"/>
      <c r="Q3822" s="16"/>
      <c r="R3822" s="16"/>
      <c r="S3822" s="37" t="str">
        <f>IFERROR(__xludf.DUMMYFUNCTION("if(not(iserror(index(split(C3822, "" ""),2))), index(split(C3822, "" ""),1),"""")"),"")</f>
        <v/>
      </c>
      <c r="T3822" s="315" t="str">
        <f>IFERROR(__xludf.DUMMYFUNCTION("if(S3822="""",C3822,if(not(iserror(index(split(C3822, "" ""),3))), index(split(C3822, "" ""),3),index(split(C3822, "" ""),2)))"),"")</f>
        <v/>
      </c>
      <c r="U3822" s="38" t="b">
        <f t="shared" si="423"/>
        <v>0</v>
      </c>
      <c r="V3822" s="38"/>
      <c r="W3822" s="40"/>
      <c r="X3822" s="40"/>
      <c r="Y3822" s="40"/>
      <c r="Z3822" s="38"/>
      <c r="AA3822" s="38"/>
      <c r="AB3822" s="38"/>
      <c r="AC3822" s="38"/>
      <c r="AD3822" s="38"/>
      <c r="AE3822" s="38"/>
      <c r="AF3822" s="38"/>
      <c r="AG3822" s="38"/>
      <c r="AH3822" s="38"/>
      <c r="AI3822" s="38"/>
      <c r="AJ3822" s="38"/>
      <c r="AK3822" s="38"/>
      <c r="AL3822" s="38"/>
      <c r="AM3822" s="38"/>
      <c r="AN3822" s="38"/>
      <c r="AO3822" s="38"/>
      <c r="AP3822" s="38"/>
      <c r="AQ3822" s="38"/>
      <c r="AR3822" s="38"/>
      <c r="AS3822" s="38"/>
      <c r="AT3822" s="38"/>
      <c r="AU3822" s="38"/>
      <c r="AV3822" s="38"/>
      <c r="AW3822" s="38"/>
      <c r="AX3822" s="38"/>
      <c r="AY3822" s="38"/>
      <c r="AZ3822" s="38"/>
      <c r="BA3822" s="38"/>
      <c r="BB3822" s="38"/>
      <c r="BC3822" s="38"/>
      <c r="BD3822" s="38"/>
      <c r="BE3822" s="38"/>
      <c r="BF3822" s="38"/>
      <c r="BG3822" s="38"/>
      <c r="BH3822" s="38"/>
      <c r="BI3822" s="38"/>
      <c r="BJ3822" s="38"/>
      <c r="BK3822" s="38"/>
      <c r="BL3822" s="38"/>
      <c r="BM3822" s="38"/>
      <c r="BN3822" s="38"/>
      <c r="BO3822" s="38"/>
      <c r="BP3822" s="38"/>
      <c r="BQ3822" s="38"/>
    </row>
    <row r="3823">
      <c r="A3823" s="16"/>
      <c r="B3823" s="145"/>
      <c r="C3823" s="146"/>
      <c r="D3823" s="146"/>
      <c r="E3823" s="16"/>
      <c r="F3823" s="91"/>
      <c r="G3823" s="16"/>
      <c r="H3823" s="320" t="str">
        <f t="shared" si="424"/>
        <v/>
      </c>
      <c r="I3823" s="16"/>
      <c r="J3823" s="16"/>
      <c r="K3823" s="16"/>
      <c r="L3823" s="16"/>
      <c r="M3823" s="15"/>
      <c r="N3823" s="15"/>
      <c r="O3823" s="16"/>
      <c r="P3823" s="16"/>
      <c r="Q3823" s="16"/>
      <c r="R3823" s="16"/>
      <c r="S3823" s="37" t="str">
        <f>IFERROR(__xludf.DUMMYFUNCTION("if(not(iserror(index(split(C3823, "" ""),2))), index(split(C3823, "" ""),1),"""")"),"")</f>
        <v/>
      </c>
      <c r="T3823" s="315" t="str">
        <f>IFERROR(__xludf.DUMMYFUNCTION("if(S3823="""",C3823,if(not(iserror(index(split(C3823, "" ""),3))), index(split(C3823, "" ""),3),index(split(C3823, "" ""),2)))"),"")</f>
        <v/>
      </c>
      <c r="U3823" s="38" t="b">
        <f t="shared" si="423"/>
        <v>0</v>
      </c>
      <c r="V3823" s="38"/>
      <c r="W3823" s="40"/>
      <c r="X3823" s="40"/>
      <c r="Y3823" s="40"/>
      <c r="Z3823" s="38"/>
      <c r="AA3823" s="38"/>
      <c r="AB3823" s="38"/>
      <c r="AC3823" s="38"/>
      <c r="AD3823" s="38"/>
      <c r="AE3823" s="38"/>
      <c r="AF3823" s="38"/>
      <c r="AG3823" s="38"/>
      <c r="AH3823" s="38"/>
      <c r="AI3823" s="38"/>
      <c r="AJ3823" s="38"/>
      <c r="AK3823" s="38"/>
      <c r="AL3823" s="38"/>
      <c r="AM3823" s="38"/>
      <c r="AN3823" s="38"/>
      <c r="AO3823" s="38"/>
      <c r="AP3823" s="38"/>
      <c r="AQ3823" s="38"/>
      <c r="AR3823" s="38"/>
      <c r="AS3823" s="38"/>
      <c r="AT3823" s="38"/>
      <c r="AU3823" s="38"/>
      <c r="AV3823" s="38"/>
      <c r="AW3823" s="38"/>
      <c r="AX3823" s="38"/>
      <c r="AY3823" s="38"/>
      <c r="AZ3823" s="38"/>
      <c r="BA3823" s="38"/>
      <c r="BB3823" s="38"/>
      <c r="BC3823" s="38"/>
      <c r="BD3823" s="38"/>
      <c r="BE3823" s="38"/>
      <c r="BF3823" s="38"/>
      <c r="BG3823" s="38"/>
      <c r="BH3823" s="38"/>
      <c r="BI3823" s="38"/>
      <c r="BJ3823" s="38"/>
      <c r="BK3823" s="38"/>
      <c r="BL3823" s="38"/>
      <c r="BM3823" s="38"/>
      <c r="BN3823" s="38"/>
      <c r="BO3823" s="38"/>
      <c r="BP3823" s="38"/>
      <c r="BQ3823" s="38"/>
    </row>
    <row r="3824">
      <c r="A3824" s="16"/>
      <c r="B3824" s="145"/>
      <c r="C3824" s="146"/>
      <c r="D3824" s="146"/>
      <c r="E3824" s="16"/>
      <c r="F3824" s="91"/>
      <c r="G3824" s="16"/>
      <c r="H3824" s="320" t="str">
        <f t="shared" si="424"/>
        <v/>
      </c>
      <c r="I3824" s="16"/>
      <c r="J3824" s="16"/>
      <c r="K3824" s="16"/>
      <c r="L3824" s="16"/>
      <c r="M3824" s="15"/>
      <c r="N3824" s="15"/>
      <c r="O3824" s="16"/>
      <c r="P3824" s="16"/>
      <c r="Q3824" s="16"/>
      <c r="R3824" s="16"/>
      <c r="S3824" s="37" t="str">
        <f>IFERROR(__xludf.DUMMYFUNCTION("if(not(iserror(index(split(C3824, "" ""),2))), index(split(C3824, "" ""),1),"""")"),"")</f>
        <v/>
      </c>
      <c r="T3824" s="315" t="str">
        <f>IFERROR(__xludf.DUMMYFUNCTION("if(S3824="""",C3824,if(not(iserror(index(split(C3824, "" ""),3))), index(split(C3824, "" ""),3),index(split(C3824, "" ""),2)))"),"")</f>
        <v/>
      </c>
      <c r="U3824" s="38" t="b">
        <f t="shared" si="423"/>
        <v>0</v>
      </c>
      <c r="V3824" s="38"/>
      <c r="W3824" s="40"/>
      <c r="X3824" s="40"/>
      <c r="Y3824" s="40"/>
      <c r="Z3824" s="38"/>
      <c r="AA3824" s="38"/>
      <c r="AB3824" s="38"/>
      <c r="AC3824" s="38"/>
      <c r="AD3824" s="38"/>
      <c r="AE3824" s="38"/>
      <c r="AF3824" s="38"/>
      <c r="AG3824" s="38"/>
      <c r="AH3824" s="38"/>
      <c r="AI3824" s="38"/>
      <c r="AJ3824" s="38"/>
      <c r="AK3824" s="38"/>
      <c r="AL3824" s="38"/>
      <c r="AM3824" s="38"/>
      <c r="AN3824" s="38"/>
      <c r="AO3824" s="38"/>
      <c r="AP3824" s="38"/>
      <c r="AQ3824" s="38"/>
      <c r="AR3824" s="38"/>
      <c r="AS3824" s="38"/>
      <c r="AT3824" s="38"/>
      <c r="AU3824" s="38"/>
      <c r="AV3824" s="38"/>
      <c r="AW3824" s="38"/>
      <c r="AX3824" s="38"/>
      <c r="AY3824" s="38"/>
      <c r="AZ3824" s="38"/>
      <c r="BA3824" s="38"/>
      <c r="BB3824" s="38"/>
      <c r="BC3824" s="38"/>
      <c r="BD3824" s="38"/>
      <c r="BE3824" s="38"/>
      <c r="BF3824" s="38"/>
      <c r="BG3824" s="38"/>
      <c r="BH3824" s="38"/>
      <c r="BI3824" s="38"/>
      <c r="BJ3824" s="38"/>
      <c r="BK3824" s="38"/>
      <c r="BL3824" s="38"/>
      <c r="BM3824" s="38"/>
      <c r="BN3824" s="38"/>
      <c r="BO3824" s="38"/>
      <c r="BP3824" s="38"/>
      <c r="BQ3824" s="38"/>
    </row>
    <row r="3825">
      <c r="A3825" s="16"/>
      <c r="B3825" s="145"/>
      <c r="C3825" s="146"/>
      <c r="D3825" s="146"/>
      <c r="E3825" s="16"/>
      <c r="F3825" s="91"/>
      <c r="G3825" s="16"/>
      <c r="H3825" s="320" t="str">
        <f t="shared" si="424"/>
        <v/>
      </c>
      <c r="I3825" s="16"/>
      <c r="J3825" s="16"/>
      <c r="K3825" s="16"/>
      <c r="L3825" s="16"/>
      <c r="M3825" s="15"/>
      <c r="N3825" s="15"/>
      <c r="O3825" s="16"/>
      <c r="P3825" s="16"/>
      <c r="Q3825" s="16"/>
      <c r="R3825" s="16"/>
      <c r="S3825" s="37" t="str">
        <f>IFERROR(__xludf.DUMMYFUNCTION("if(not(iserror(index(split(C3825, "" ""),2))), index(split(C3825, "" ""),1),"""")"),"")</f>
        <v/>
      </c>
      <c r="T3825" s="315" t="str">
        <f>IFERROR(__xludf.DUMMYFUNCTION("if(S3825="""",C3825,if(not(iserror(index(split(C3825, "" ""),3))), index(split(C3825, "" ""),3),index(split(C3825, "" ""),2)))"),"")</f>
        <v/>
      </c>
      <c r="U3825" s="38" t="b">
        <f t="shared" si="423"/>
        <v>0</v>
      </c>
      <c r="V3825" s="38"/>
      <c r="W3825" s="40"/>
      <c r="X3825" s="40"/>
      <c r="Y3825" s="40"/>
      <c r="Z3825" s="38"/>
      <c r="AA3825" s="38"/>
      <c r="AB3825" s="38"/>
      <c r="AC3825" s="38"/>
      <c r="AD3825" s="38"/>
      <c r="AE3825" s="38"/>
      <c r="AF3825" s="38"/>
      <c r="AG3825" s="38"/>
      <c r="AH3825" s="38"/>
      <c r="AI3825" s="38"/>
      <c r="AJ3825" s="38"/>
      <c r="AK3825" s="38"/>
      <c r="AL3825" s="38"/>
      <c r="AM3825" s="38"/>
      <c r="AN3825" s="38"/>
      <c r="AO3825" s="38"/>
      <c r="AP3825" s="38"/>
      <c r="AQ3825" s="38"/>
      <c r="AR3825" s="38"/>
      <c r="AS3825" s="38"/>
      <c r="AT3825" s="38"/>
      <c r="AU3825" s="38"/>
      <c r="AV3825" s="38"/>
      <c r="AW3825" s="38"/>
      <c r="AX3825" s="38"/>
      <c r="AY3825" s="38"/>
      <c r="AZ3825" s="38"/>
      <c r="BA3825" s="38"/>
      <c r="BB3825" s="38"/>
      <c r="BC3825" s="38"/>
      <c r="BD3825" s="38"/>
      <c r="BE3825" s="38"/>
      <c r="BF3825" s="38"/>
      <c r="BG3825" s="38"/>
      <c r="BH3825" s="38"/>
      <c r="BI3825" s="38"/>
      <c r="BJ3825" s="38"/>
      <c r="BK3825" s="38"/>
      <c r="BL3825" s="38"/>
      <c r="BM3825" s="38"/>
      <c r="BN3825" s="38"/>
      <c r="BO3825" s="38"/>
      <c r="BP3825" s="38"/>
      <c r="BQ3825" s="38"/>
    </row>
    <row r="3826">
      <c r="A3826" s="16"/>
      <c r="B3826" s="145"/>
      <c r="C3826" s="146"/>
      <c r="D3826" s="146"/>
      <c r="E3826" s="16"/>
      <c r="F3826" s="91"/>
      <c r="G3826" s="16"/>
      <c r="H3826" s="320" t="str">
        <f t="shared" si="424"/>
        <v/>
      </c>
      <c r="I3826" s="16"/>
      <c r="J3826" s="16"/>
      <c r="K3826" s="16"/>
      <c r="L3826" s="16"/>
      <c r="M3826" s="15"/>
      <c r="N3826" s="15"/>
      <c r="O3826" s="16"/>
      <c r="P3826" s="16"/>
      <c r="Q3826" s="16"/>
      <c r="R3826" s="16"/>
      <c r="S3826" s="37" t="str">
        <f>IFERROR(__xludf.DUMMYFUNCTION("if(not(iserror(index(split(C3826, "" ""),2))), index(split(C3826, "" ""),1),"""")"),"")</f>
        <v/>
      </c>
      <c r="T3826" s="315" t="str">
        <f>IFERROR(__xludf.DUMMYFUNCTION("if(S3826="""",C3826,if(not(iserror(index(split(C3826, "" ""),3))), index(split(C3826, "" ""),3),index(split(C3826, "" ""),2)))"),"")</f>
        <v/>
      </c>
      <c r="U3826" s="38" t="b">
        <f t="shared" si="423"/>
        <v>0</v>
      </c>
      <c r="V3826" s="38"/>
      <c r="W3826" s="40"/>
      <c r="X3826" s="40"/>
      <c r="Y3826" s="40"/>
      <c r="Z3826" s="38"/>
      <c r="AA3826" s="38"/>
      <c r="AB3826" s="38"/>
      <c r="AC3826" s="38"/>
      <c r="AD3826" s="38"/>
      <c r="AE3826" s="38"/>
      <c r="AF3826" s="38"/>
      <c r="AG3826" s="38"/>
      <c r="AH3826" s="38"/>
      <c r="AI3826" s="38"/>
      <c r="AJ3826" s="38"/>
      <c r="AK3826" s="38"/>
      <c r="AL3826" s="38"/>
      <c r="AM3826" s="38"/>
      <c r="AN3826" s="38"/>
      <c r="AO3826" s="38"/>
      <c r="AP3826" s="38"/>
      <c r="AQ3826" s="38"/>
      <c r="AR3826" s="38"/>
      <c r="AS3826" s="38"/>
      <c r="AT3826" s="38"/>
      <c r="AU3826" s="38"/>
      <c r="AV3826" s="38"/>
      <c r="AW3826" s="38"/>
      <c r="AX3826" s="38"/>
      <c r="AY3826" s="38"/>
      <c r="AZ3826" s="38"/>
      <c r="BA3826" s="38"/>
      <c r="BB3826" s="38"/>
      <c r="BC3826" s="38"/>
      <c r="BD3826" s="38"/>
      <c r="BE3826" s="38"/>
      <c r="BF3826" s="38"/>
      <c r="BG3826" s="38"/>
      <c r="BH3826" s="38"/>
      <c r="BI3826" s="38"/>
      <c r="BJ3826" s="38"/>
      <c r="BK3826" s="38"/>
      <c r="BL3826" s="38"/>
      <c r="BM3826" s="38"/>
      <c r="BN3826" s="38"/>
      <c r="BO3826" s="38"/>
      <c r="BP3826" s="38"/>
      <c r="BQ3826" s="38"/>
    </row>
    <row r="3827">
      <c r="A3827" s="16"/>
      <c r="B3827" s="145"/>
      <c r="C3827" s="146"/>
      <c r="D3827" s="146"/>
      <c r="E3827" s="16"/>
      <c r="F3827" s="91"/>
      <c r="G3827" s="16"/>
      <c r="H3827" s="320" t="str">
        <f t="shared" si="424"/>
        <v/>
      </c>
      <c r="I3827" s="16"/>
      <c r="J3827" s="16"/>
      <c r="K3827" s="16"/>
      <c r="L3827" s="16"/>
      <c r="M3827" s="15"/>
      <c r="N3827" s="15"/>
      <c r="O3827" s="16"/>
      <c r="P3827" s="16"/>
      <c r="Q3827" s="16"/>
      <c r="R3827" s="16"/>
      <c r="S3827" s="37" t="str">
        <f>IFERROR(__xludf.DUMMYFUNCTION("if(not(iserror(index(split(C3827, "" ""),2))), index(split(C3827, "" ""),1),"""")"),"")</f>
        <v/>
      </c>
      <c r="T3827" s="315" t="str">
        <f>IFERROR(__xludf.DUMMYFUNCTION("if(S3827="""",C3827,if(not(iserror(index(split(C3827, "" ""),3))), index(split(C3827, "" ""),3),index(split(C3827, "" ""),2)))"),"")</f>
        <v/>
      </c>
      <c r="U3827" s="38" t="b">
        <f t="shared" si="423"/>
        <v>0</v>
      </c>
      <c r="V3827" s="38"/>
      <c r="W3827" s="40"/>
      <c r="X3827" s="40"/>
      <c r="Y3827" s="40"/>
      <c r="Z3827" s="38"/>
      <c r="AA3827" s="38"/>
      <c r="AB3827" s="38"/>
      <c r="AC3827" s="38"/>
      <c r="AD3827" s="38"/>
      <c r="AE3827" s="38"/>
      <c r="AF3827" s="38"/>
      <c r="AG3827" s="38"/>
      <c r="AH3827" s="38"/>
      <c r="AI3827" s="38"/>
      <c r="AJ3827" s="38"/>
      <c r="AK3827" s="38"/>
      <c r="AL3827" s="38"/>
      <c r="AM3827" s="38"/>
      <c r="AN3827" s="38"/>
      <c r="AO3827" s="38"/>
      <c r="AP3827" s="38"/>
      <c r="AQ3827" s="38"/>
      <c r="AR3827" s="38"/>
      <c r="AS3827" s="38"/>
      <c r="AT3827" s="38"/>
      <c r="AU3827" s="38"/>
      <c r="AV3827" s="38"/>
      <c r="AW3827" s="38"/>
      <c r="AX3827" s="38"/>
      <c r="AY3827" s="38"/>
      <c r="AZ3827" s="38"/>
      <c r="BA3827" s="38"/>
      <c r="BB3827" s="38"/>
      <c r="BC3827" s="38"/>
      <c r="BD3827" s="38"/>
      <c r="BE3827" s="38"/>
      <c r="BF3827" s="38"/>
      <c r="BG3827" s="38"/>
      <c r="BH3827" s="38"/>
      <c r="BI3827" s="38"/>
      <c r="BJ3827" s="38"/>
      <c r="BK3827" s="38"/>
      <c r="BL3827" s="38"/>
      <c r="BM3827" s="38"/>
      <c r="BN3827" s="38"/>
      <c r="BO3827" s="38"/>
      <c r="BP3827" s="38"/>
      <c r="BQ3827" s="38"/>
    </row>
    <row r="3828">
      <c r="A3828" s="16"/>
      <c r="B3828" s="145"/>
      <c r="C3828" s="146"/>
      <c r="D3828" s="146"/>
      <c r="E3828" s="16"/>
      <c r="F3828" s="91"/>
      <c r="G3828" s="16"/>
      <c r="H3828" s="320" t="str">
        <f t="shared" si="424"/>
        <v/>
      </c>
      <c r="I3828" s="16"/>
      <c r="J3828" s="16"/>
      <c r="K3828" s="16"/>
      <c r="L3828" s="16"/>
      <c r="M3828" s="15"/>
      <c r="N3828" s="15"/>
      <c r="O3828" s="16"/>
      <c r="P3828" s="16"/>
      <c r="Q3828" s="16"/>
      <c r="R3828" s="16"/>
      <c r="S3828" s="37" t="str">
        <f>IFERROR(__xludf.DUMMYFUNCTION("if(not(iserror(index(split(C3828, "" ""),2))), index(split(C3828, "" ""),1),"""")"),"")</f>
        <v/>
      </c>
      <c r="T3828" s="315" t="str">
        <f>IFERROR(__xludf.DUMMYFUNCTION("if(S3828="""",C3828,if(not(iserror(index(split(C3828, "" ""),3))), index(split(C3828, "" ""),3),index(split(C3828, "" ""),2)))"),"")</f>
        <v/>
      </c>
      <c r="U3828" s="38" t="b">
        <f t="shared" si="423"/>
        <v>0</v>
      </c>
      <c r="V3828" s="38"/>
      <c r="W3828" s="40"/>
      <c r="X3828" s="40"/>
      <c r="Y3828" s="40"/>
      <c r="Z3828" s="38"/>
      <c r="AA3828" s="38"/>
      <c r="AB3828" s="38"/>
      <c r="AC3828" s="38"/>
      <c r="AD3828" s="38"/>
      <c r="AE3828" s="38"/>
      <c r="AF3828" s="38"/>
      <c r="AG3828" s="38"/>
      <c r="AH3828" s="38"/>
      <c r="AI3828" s="38"/>
      <c r="AJ3828" s="38"/>
      <c r="AK3828" s="38"/>
      <c r="AL3828" s="38"/>
      <c r="AM3828" s="38"/>
      <c r="AN3828" s="38"/>
      <c r="AO3828" s="38"/>
      <c r="AP3828" s="38"/>
      <c r="AQ3828" s="38"/>
      <c r="AR3828" s="38"/>
      <c r="AS3828" s="38"/>
      <c r="AT3828" s="38"/>
      <c r="AU3828" s="38"/>
      <c r="AV3828" s="38"/>
      <c r="AW3828" s="38"/>
      <c r="AX3828" s="38"/>
      <c r="AY3828" s="38"/>
      <c r="AZ3828" s="38"/>
      <c r="BA3828" s="38"/>
      <c r="BB3828" s="38"/>
      <c r="BC3828" s="38"/>
      <c r="BD3828" s="38"/>
      <c r="BE3828" s="38"/>
      <c r="BF3828" s="38"/>
      <c r="BG3828" s="38"/>
      <c r="BH3828" s="38"/>
      <c r="BI3828" s="38"/>
      <c r="BJ3828" s="38"/>
      <c r="BK3828" s="38"/>
      <c r="BL3828" s="38"/>
      <c r="BM3828" s="38"/>
      <c r="BN3828" s="38"/>
      <c r="BO3828" s="38"/>
      <c r="BP3828" s="38"/>
      <c r="BQ3828" s="38"/>
    </row>
    <row r="3829">
      <c r="A3829" s="16"/>
      <c r="B3829" s="145"/>
      <c r="C3829" s="146"/>
      <c r="D3829" s="146"/>
      <c r="E3829" s="16"/>
      <c r="F3829" s="91"/>
      <c r="G3829" s="16"/>
      <c r="H3829" s="320" t="str">
        <f t="shared" si="424"/>
        <v/>
      </c>
      <c r="I3829" s="16"/>
      <c r="J3829" s="16"/>
      <c r="K3829" s="16"/>
      <c r="L3829" s="16"/>
      <c r="M3829" s="15"/>
      <c r="N3829" s="15"/>
      <c r="O3829" s="16"/>
      <c r="P3829" s="16"/>
      <c r="Q3829" s="16"/>
      <c r="R3829" s="16"/>
      <c r="S3829" s="37" t="str">
        <f>IFERROR(__xludf.DUMMYFUNCTION("if(not(iserror(index(split(C3829, "" ""),2))), index(split(C3829, "" ""),1),"""")"),"")</f>
        <v/>
      </c>
      <c r="T3829" s="315" t="str">
        <f>IFERROR(__xludf.DUMMYFUNCTION("if(S3829="""",C3829,if(not(iserror(index(split(C3829, "" ""),3))), index(split(C3829, "" ""),3),index(split(C3829, "" ""),2)))"),"")</f>
        <v/>
      </c>
      <c r="U3829" s="38" t="b">
        <f t="shared" si="423"/>
        <v>0</v>
      </c>
      <c r="V3829" s="38"/>
      <c r="W3829" s="40"/>
      <c r="X3829" s="40"/>
      <c r="Y3829" s="40"/>
      <c r="Z3829" s="38"/>
      <c r="AA3829" s="38"/>
      <c r="AB3829" s="38"/>
      <c r="AC3829" s="38"/>
      <c r="AD3829" s="38"/>
      <c r="AE3829" s="38"/>
      <c r="AF3829" s="38"/>
      <c r="AG3829" s="38"/>
      <c r="AH3829" s="38"/>
      <c r="AI3829" s="38"/>
      <c r="AJ3829" s="38"/>
      <c r="AK3829" s="38"/>
      <c r="AL3829" s="38"/>
      <c r="AM3829" s="38"/>
      <c r="AN3829" s="38"/>
      <c r="AO3829" s="38"/>
      <c r="AP3829" s="38"/>
      <c r="AQ3829" s="38"/>
      <c r="AR3829" s="38"/>
      <c r="AS3829" s="38"/>
      <c r="AT3829" s="38"/>
      <c r="AU3829" s="38"/>
      <c r="AV3829" s="38"/>
      <c r="AW3829" s="38"/>
      <c r="AX3829" s="38"/>
      <c r="AY3829" s="38"/>
      <c r="AZ3829" s="38"/>
      <c r="BA3829" s="38"/>
      <c r="BB3829" s="38"/>
      <c r="BC3829" s="38"/>
      <c r="BD3829" s="38"/>
      <c r="BE3829" s="38"/>
      <c r="BF3829" s="38"/>
      <c r="BG3829" s="38"/>
      <c r="BH3829" s="38"/>
      <c r="BI3829" s="38"/>
      <c r="BJ3829" s="38"/>
      <c r="BK3829" s="38"/>
      <c r="BL3829" s="38"/>
      <c r="BM3829" s="38"/>
      <c r="BN3829" s="38"/>
      <c r="BO3829" s="38"/>
      <c r="BP3829" s="38"/>
      <c r="BQ3829" s="38"/>
    </row>
    <row r="3830">
      <c r="A3830" s="16"/>
      <c r="B3830" s="145"/>
      <c r="C3830" s="146"/>
      <c r="D3830" s="146"/>
      <c r="E3830" s="16"/>
      <c r="F3830" s="91"/>
      <c r="G3830" s="16"/>
      <c r="H3830" s="320" t="str">
        <f t="shared" si="424"/>
        <v/>
      </c>
      <c r="I3830" s="16"/>
      <c r="J3830" s="16"/>
      <c r="K3830" s="16"/>
      <c r="L3830" s="16"/>
      <c r="M3830" s="15"/>
      <c r="N3830" s="15"/>
      <c r="O3830" s="16"/>
      <c r="P3830" s="16"/>
      <c r="Q3830" s="16"/>
      <c r="R3830" s="16"/>
      <c r="S3830" s="37" t="str">
        <f>IFERROR(__xludf.DUMMYFUNCTION("if(not(iserror(index(split(C3830, "" ""),2))), index(split(C3830, "" ""),1),"""")"),"")</f>
        <v/>
      </c>
      <c r="T3830" s="315" t="str">
        <f>IFERROR(__xludf.DUMMYFUNCTION("if(S3830="""",C3830,if(not(iserror(index(split(C3830, "" ""),3))), index(split(C3830, "" ""),3),index(split(C3830, "" ""),2)))"),"")</f>
        <v/>
      </c>
      <c r="U3830" s="38" t="b">
        <f t="shared" si="423"/>
        <v>0</v>
      </c>
      <c r="V3830" s="38"/>
      <c r="W3830" s="40"/>
      <c r="X3830" s="40"/>
      <c r="Y3830" s="40"/>
      <c r="Z3830" s="38"/>
      <c r="AA3830" s="38"/>
      <c r="AB3830" s="38"/>
      <c r="AC3830" s="38"/>
      <c r="AD3830" s="38"/>
      <c r="AE3830" s="38"/>
      <c r="AF3830" s="38"/>
      <c r="AG3830" s="38"/>
      <c r="AH3830" s="38"/>
      <c r="AI3830" s="38"/>
      <c r="AJ3830" s="38"/>
      <c r="AK3830" s="38"/>
      <c r="AL3830" s="38"/>
      <c r="AM3830" s="38"/>
      <c r="AN3830" s="38"/>
      <c r="AO3830" s="38"/>
      <c r="AP3830" s="38"/>
      <c r="AQ3830" s="38"/>
      <c r="AR3830" s="38"/>
      <c r="AS3830" s="38"/>
      <c r="AT3830" s="38"/>
      <c r="AU3830" s="38"/>
      <c r="AV3830" s="38"/>
      <c r="AW3830" s="38"/>
      <c r="AX3830" s="38"/>
      <c r="AY3830" s="38"/>
      <c r="AZ3830" s="38"/>
      <c r="BA3830" s="38"/>
      <c r="BB3830" s="38"/>
      <c r="BC3830" s="38"/>
      <c r="BD3830" s="38"/>
      <c r="BE3830" s="38"/>
      <c r="BF3830" s="38"/>
      <c r="BG3830" s="38"/>
      <c r="BH3830" s="38"/>
      <c r="BI3830" s="38"/>
      <c r="BJ3830" s="38"/>
      <c r="BK3830" s="38"/>
      <c r="BL3830" s="38"/>
      <c r="BM3830" s="38"/>
      <c r="BN3830" s="38"/>
      <c r="BO3830" s="38"/>
      <c r="BP3830" s="38"/>
      <c r="BQ3830" s="38"/>
    </row>
    <row r="3831">
      <c r="A3831" s="16"/>
      <c r="B3831" s="145"/>
      <c r="C3831" s="146"/>
      <c r="D3831" s="146"/>
      <c r="E3831" s="16"/>
      <c r="F3831" s="91"/>
      <c r="G3831" s="16"/>
      <c r="H3831" s="320" t="str">
        <f t="shared" si="424"/>
        <v/>
      </c>
      <c r="I3831" s="16"/>
      <c r="J3831" s="16"/>
      <c r="K3831" s="16"/>
      <c r="L3831" s="16"/>
      <c r="M3831" s="15"/>
      <c r="N3831" s="15"/>
      <c r="O3831" s="16"/>
      <c r="P3831" s="16"/>
      <c r="Q3831" s="16"/>
      <c r="R3831" s="16"/>
      <c r="S3831" s="37" t="str">
        <f>IFERROR(__xludf.DUMMYFUNCTION("if(not(iserror(index(split(C3831, "" ""),2))), index(split(C3831, "" ""),1),"""")"),"")</f>
        <v/>
      </c>
      <c r="T3831" s="315" t="str">
        <f>IFERROR(__xludf.DUMMYFUNCTION("if(S3831="""",C3831,if(not(iserror(index(split(C3831, "" ""),3))), index(split(C3831, "" ""),3),index(split(C3831, "" ""),2)))"),"")</f>
        <v/>
      </c>
      <c r="U3831" s="38" t="b">
        <f t="shared" si="423"/>
        <v>0</v>
      </c>
      <c r="V3831" s="38"/>
      <c r="W3831" s="40"/>
      <c r="X3831" s="40"/>
      <c r="Y3831" s="40"/>
      <c r="Z3831" s="38"/>
      <c r="AA3831" s="38"/>
      <c r="AB3831" s="38"/>
      <c r="AC3831" s="38"/>
      <c r="AD3831" s="38"/>
      <c r="AE3831" s="38"/>
      <c r="AF3831" s="38"/>
      <c r="AG3831" s="38"/>
      <c r="AH3831" s="38"/>
      <c r="AI3831" s="38"/>
      <c r="AJ3831" s="38"/>
      <c r="AK3831" s="38"/>
      <c r="AL3831" s="38"/>
      <c r="AM3831" s="38"/>
      <c r="AN3831" s="38"/>
      <c r="AO3831" s="38"/>
      <c r="AP3831" s="38"/>
      <c r="AQ3831" s="38"/>
      <c r="AR3831" s="38"/>
      <c r="AS3831" s="38"/>
      <c r="AT3831" s="38"/>
      <c r="AU3831" s="38"/>
      <c r="AV3831" s="38"/>
      <c r="AW3831" s="38"/>
      <c r="AX3831" s="38"/>
      <c r="AY3831" s="38"/>
      <c r="AZ3831" s="38"/>
      <c r="BA3831" s="38"/>
      <c r="BB3831" s="38"/>
      <c r="BC3831" s="38"/>
      <c r="BD3831" s="38"/>
      <c r="BE3831" s="38"/>
      <c r="BF3831" s="38"/>
      <c r="BG3831" s="38"/>
      <c r="BH3831" s="38"/>
      <c r="BI3831" s="38"/>
      <c r="BJ3831" s="38"/>
      <c r="BK3831" s="38"/>
      <c r="BL3831" s="38"/>
      <c r="BM3831" s="38"/>
      <c r="BN3831" s="38"/>
      <c r="BO3831" s="38"/>
      <c r="BP3831" s="38"/>
      <c r="BQ3831" s="38"/>
    </row>
    <row r="3832">
      <c r="A3832" s="16"/>
      <c r="B3832" s="145"/>
      <c r="C3832" s="146"/>
      <c r="D3832" s="146"/>
      <c r="E3832" s="16"/>
      <c r="F3832" s="91"/>
      <c r="G3832" s="16"/>
      <c r="H3832" s="320" t="str">
        <f t="shared" si="424"/>
        <v/>
      </c>
      <c r="I3832" s="16"/>
      <c r="J3832" s="16"/>
      <c r="K3832" s="16"/>
      <c r="L3832" s="16"/>
      <c r="M3832" s="15"/>
      <c r="N3832" s="15"/>
      <c r="O3832" s="16"/>
      <c r="P3832" s="16"/>
      <c r="Q3832" s="16"/>
      <c r="R3832" s="16"/>
      <c r="S3832" s="37" t="str">
        <f>IFERROR(__xludf.DUMMYFUNCTION("if(not(iserror(index(split(C3832, "" ""),2))), index(split(C3832, "" ""),1),"""")"),"")</f>
        <v/>
      </c>
      <c r="T3832" s="315" t="str">
        <f>IFERROR(__xludf.DUMMYFUNCTION("if(S3832="""",C3832,if(not(iserror(index(split(C3832, "" ""),3))), index(split(C3832, "" ""),3),index(split(C3832, "" ""),2)))"),"")</f>
        <v/>
      </c>
      <c r="U3832" s="38" t="b">
        <f t="shared" si="423"/>
        <v>0</v>
      </c>
      <c r="V3832" s="38"/>
      <c r="W3832" s="40"/>
      <c r="X3832" s="40"/>
      <c r="Y3832" s="40"/>
      <c r="Z3832" s="38"/>
      <c r="AA3832" s="38"/>
      <c r="AB3832" s="38"/>
      <c r="AC3832" s="38"/>
      <c r="AD3832" s="38"/>
      <c r="AE3832" s="38"/>
      <c r="AF3832" s="38"/>
      <c r="AG3832" s="38"/>
      <c r="AH3832" s="38"/>
      <c r="AI3832" s="38"/>
      <c r="AJ3832" s="38"/>
      <c r="AK3832" s="38"/>
      <c r="AL3832" s="38"/>
      <c r="AM3832" s="38"/>
      <c r="AN3832" s="38"/>
      <c r="AO3832" s="38"/>
      <c r="AP3832" s="38"/>
      <c r="AQ3832" s="38"/>
      <c r="AR3832" s="38"/>
      <c r="AS3832" s="38"/>
      <c r="AT3832" s="38"/>
      <c r="AU3832" s="38"/>
      <c r="AV3832" s="38"/>
      <c r="AW3832" s="38"/>
      <c r="AX3832" s="38"/>
      <c r="AY3832" s="38"/>
      <c r="AZ3832" s="38"/>
      <c r="BA3832" s="38"/>
      <c r="BB3832" s="38"/>
      <c r="BC3832" s="38"/>
      <c r="BD3832" s="38"/>
      <c r="BE3832" s="38"/>
      <c r="BF3832" s="38"/>
      <c r="BG3832" s="38"/>
      <c r="BH3832" s="38"/>
      <c r="BI3832" s="38"/>
      <c r="BJ3832" s="38"/>
      <c r="BK3832" s="38"/>
      <c r="BL3832" s="38"/>
      <c r="BM3832" s="38"/>
      <c r="BN3832" s="38"/>
      <c r="BO3832" s="38"/>
      <c r="BP3832" s="38"/>
      <c r="BQ3832" s="38"/>
    </row>
    <row r="3833">
      <c r="A3833" s="16"/>
      <c r="B3833" s="145"/>
      <c r="C3833" s="146"/>
      <c r="D3833" s="146"/>
      <c r="E3833" s="16"/>
      <c r="F3833" s="91"/>
      <c r="G3833" s="16"/>
      <c r="H3833" s="320" t="str">
        <f t="shared" si="424"/>
        <v/>
      </c>
      <c r="I3833" s="16"/>
      <c r="J3833" s="16"/>
      <c r="K3833" s="16"/>
      <c r="L3833" s="16"/>
      <c r="M3833" s="15"/>
      <c r="N3833" s="15"/>
      <c r="O3833" s="16"/>
      <c r="P3833" s="16"/>
      <c r="Q3833" s="16"/>
      <c r="R3833" s="16"/>
      <c r="S3833" s="37" t="str">
        <f>IFERROR(__xludf.DUMMYFUNCTION("if(not(iserror(index(split(C3833, "" ""),2))), index(split(C3833, "" ""),1),"""")"),"")</f>
        <v/>
      </c>
      <c r="T3833" s="315" t="str">
        <f>IFERROR(__xludf.DUMMYFUNCTION("if(S3833="""",C3833,if(not(iserror(index(split(C3833, "" ""),3))), index(split(C3833, "" ""),3),index(split(C3833, "" ""),2)))"),"")</f>
        <v/>
      </c>
      <c r="U3833" s="38" t="b">
        <f t="shared" si="423"/>
        <v>0</v>
      </c>
      <c r="V3833" s="38"/>
      <c r="W3833" s="40"/>
      <c r="X3833" s="40"/>
      <c r="Y3833" s="40"/>
      <c r="Z3833" s="38"/>
      <c r="AA3833" s="38"/>
      <c r="AB3833" s="38"/>
      <c r="AC3833" s="38"/>
      <c r="AD3833" s="38"/>
      <c r="AE3833" s="38"/>
      <c r="AF3833" s="38"/>
      <c r="AG3833" s="38"/>
      <c r="AH3833" s="38"/>
      <c r="AI3833" s="38"/>
      <c r="AJ3833" s="38"/>
      <c r="AK3833" s="38"/>
      <c r="AL3833" s="38"/>
      <c r="AM3833" s="38"/>
      <c r="AN3833" s="38"/>
      <c r="AO3833" s="38"/>
      <c r="AP3833" s="38"/>
      <c r="AQ3833" s="38"/>
      <c r="AR3833" s="38"/>
      <c r="AS3833" s="38"/>
      <c r="AT3833" s="38"/>
      <c r="AU3833" s="38"/>
      <c r="AV3833" s="38"/>
      <c r="AW3833" s="38"/>
      <c r="AX3833" s="38"/>
      <c r="AY3833" s="38"/>
      <c r="AZ3833" s="38"/>
      <c r="BA3833" s="38"/>
      <c r="BB3833" s="38"/>
      <c r="BC3833" s="38"/>
      <c r="BD3833" s="38"/>
      <c r="BE3833" s="38"/>
      <c r="BF3833" s="38"/>
      <c r="BG3833" s="38"/>
      <c r="BH3833" s="38"/>
      <c r="BI3833" s="38"/>
      <c r="BJ3833" s="38"/>
      <c r="BK3833" s="38"/>
      <c r="BL3833" s="38"/>
      <c r="BM3833" s="38"/>
      <c r="BN3833" s="38"/>
      <c r="BO3833" s="38"/>
      <c r="BP3833" s="38"/>
      <c r="BQ3833" s="38"/>
    </row>
    <row r="3834">
      <c r="A3834" s="16"/>
      <c r="B3834" s="145"/>
      <c r="C3834" s="146"/>
      <c r="D3834" s="146"/>
      <c r="E3834" s="16"/>
      <c r="F3834" s="91"/>
      <c r="G3834" s="16"/>
      <c r="H3834" s="320" t="str">
        <f t="shared" si="424"/>
        <v/>
      </c>
      <c r="I3834" s="16"/>
      <c r="J3834" s="16"/>
      <c r="K3834" s="16"/>
      <c r="L3834" s="16"/>
      <c r="M3834" s="15"/>
      <c r="N3834" s="15"/>
      <c r="O3834" s="16"/>
      <c r="P3834" s="16"/>
      <c r="Q3834" s="16"/>
      <c r="R3834" s="16"/>
      <c r="S3834" s="37" t="str">
        <f>IFERROR(__xludf.DUMMYFUNCTION("if(not(iserror(index(split(C3834, "" ""),2))), index(split(C3834, "" ""),1),"""")"),"")</f>
        <v/>
      </c>
      <c r="T3834" s="315" t="str">
        <f>IFERROR(__xludf.DUMMYFUNCTION("if(S3834="""",C3834,if(not(iserror(index(split(C3834, "" ""),3))), index(split(C3834, "" ""),3),index(split(C3834, "" ""),2)))"),"")</f>
        <v/>
      </c>
      <c r="U3834" s="38" t="b">
        <f t="shared" si="423"/>
        <v>0</v>
      </c>
      <c r="V3834" s="38"/>
      <c r="W3834" s="40"/>
      <c r="X3834" s="40"/>
      <c r="Y3834" s="40"/>
      <c r="Z3834" s="38"/>
      <c r="AA3834" s="38"/>
      <c r="AB3834" s="38"/>
      <c r="AC3834" s="38"/>
      <c r="AD3834" s="38"/>
      <c r="AE3834" s="38"/>
      <c r="AF3834" s="38"/>
      <c r="AG3834" s="38"/>
      <c r="AH3834" s="38"/>
      <c r="AI3834" s="38"/>
      <c r="AJ3834" s="38"/>
      <c r="AK3834" s="38"/>
      <c r="AL3834" s="38"/>
      <c r="AM3834" s="38"/>
      <c r="AN3834" s="38"/>
      <c r="AO3834" s="38"/>
      <c r="AP3834" s="38"/>
      <c r="AQ3834" s="38"/>
      <c r="AR3834" s="38"/>
      <c r="AS3834" s="38"/>
      <c r="AT3834" s="38"/>
      <c r="AU3834" s="38"/>
      <c r="AV3834" s="38"/>
      <c r="AW3834" s="38"/>
      <c r="AX3834" s="38"/>
      <c r="AY3834" s="38"/>
      <c r="AZ3834" s="38"/>
      <c r="BA3834" s="38"/>
      <c r="BB3834" s="38"/>
      <c r="BC3834" s="38"/>
      <c r="BD3834" s="38"/>
      <c r="BE3834" s="38"/>
      <c r="BF3834" s="38"/>
      <c r="BG3834" s="38"/>
      <c r="BH3834" s="38"/>
      <c r="BI3834" s="38"/>
      <c r="BJ3834" s="38"/>
      <c r="BK3834" s="38"/>
      <c r="BL3834" s="38"/>
      <c r="BM3834" s="38"/>
      <c r="BN3834" s="38"/>
      <c r="BO3834" s="38"/>
      <c r="BP3834" s="38"/>
      <c r="BQ3834" s="38"/>
    </row>
    <row r="3835">
      <c r="A3835" s="16"/>
      <c r="B3835" s="145"/>
      <c r="C3835" s="146"/>
      <c r="D3835" s="146"/>
      <c r="E3835" s="16"/>
      <c r="F3835" s="91"/>
      <c r="G3835" s="16"/>
      <c r="H3835" s="320" t="str">
        <f t="shared" si="424"/>
        <v/>
      </c>
      <c r="I3835" s="16"/>
      <c r="J3835" s="16"/>
      <c r="K3835" s="16"/>
      <c r="L3835" s="16"/>
      <c r="M3835" s="15"/>
      <c r="N3835" s="15"/>
      <c r="O3835" s="16"/>
      <c r="P3835" s="16"/>
      <c r="Q3835" s="16"/>
      <c r="R3835" s="16"/>
      <c r="S3835" s="37" t="str">
        <f>IFERROR(__xludf.DUMMYFUNCTION("if(not(iserror(index(split(C3835, "" ""),2))), index(split(C3835, "" ""),1),"""")"),"")</f>
        <v/>
      </c>
      <c r="T3835" s="315" t="str">
        <f>IFERROR(__xludf.DUMMYFUNCTION("if(S3835="""",C3835,if(not(iserror(index(split(C3835, "" ""),3))), index(split(C3835, "" ""),3),index(split(C3835, "" ""),2)))"),"")</f>
        <v/>
      </c>
      <c r="U3835" s="38" t="b">
        <f t="shared" si="423"/>
        <v>0</v>
      </c>
      <c r="V3835" s="38"/>
      <c r="W3835" s="40"/>
      <c r="X3835" s="40"/>
      <c r="Y3835" s="40"/>
      <c r="Z3835" s="38"/>
      <c r="AA3835" s="38"/>
      <c r="AB3835" s="38"/>
      <c r="AC3835" s="38"/>
      <c r="AD3835" s="38"/>
      <c r="AE3835" s="38"/>
      <c r="AF3835" s="38"/>
      <c r="AG3835" s="38"/>
      <c r="AH3835" s="38"/>
      <c r="AI3835" s="38"/>
      <c r="AJ3835" s="38"/>
      <c r="AK3835" s="38"/>
      <c r="AL3835" s="38"/>
      <c r="AM3835" s="38"/>
      <c r="AN3835" s="38"/>
      <c r="AO3835" s="38"/>
      <c r="AP3835" s="38"/>
      <c r="AQ3835" s="38"/>
      <c r="AR3835" s="38"/>
      <c r="AS3835" s="38"/>
      <c r="AT3835" s="38"/>
      <c r="AU3835" s="38"/>
      <c r="AV3835" s="38"/>
      <c r="AW3835" s="38"/>
      <c r="AX3835" s="38"/>
      <c r="AY3835" s="38"/>
      <c r="AZ3835" s="38"/>
      <c r="BA3835" s="38"/>
      <c r="BB3835" s="38"/>
      <c r="BC3835" s="38"/>
      <c r="BD3835" s="38"/>
      <c r="BE3835" s="38"/>
      <c r="BF3835" s="38"/>
      <c r="BG3835" s="38"/>
      <c r="BH3835" s="38"/>
      <c r="BI3835" s="38"/>
      <c r="BJ3835" s="38"/>
      <c r="BK3835" s="38"/>
      <c r="BL3835" s="38"/>
      <c r="BM3835" s="38"/>
      <c r="BN3835" s="38"/>
      <c r="BO3835" s="38"/>
      <c r="BP3835" s="38"/>
      <c r="BQ3835" s="38"/>
    </row>
    <row r="3836">
      <c r="A3836" s="16"/>
      <c r="B3836" s="145"/>
      <c r="C3836" s="146"/>
      <c r="D3836" s="146"/>
      <c r="E3836" s="16"/>
      <c r="F3836" s="91"/>
      <c r="G3836" s="16"/>
      <c r="H3836" s="320" t="str">
        <f t="shared" si="424"/>
        <v/>
      </c>
      <c r="I3836" s="16"/>
      <c r="J3836" s="16"/>
      <c r="K3836" s="16"/>
      <c r="L3836" s="16"/>
      <c r="M3836" s="15"/>
      <c r="N3836" s="15"/>
      <c r="O3836" s="16"/>
      <c r="P3836" s="16"/>
      <c r="Q3836" s="16"/>
      <c r="R3836" s="16"/>
      <c r="S3836" s="37" t="str">
        <f>IFERROR(__xludf.DUMMYFUNCTION("if(not(iserror(index(split(C3836, "" ""),2))), index(split(C3836, "" ""),1),"""")"),"")</f>
        <v/>
      </c>
      <c r="T3836" s="315" t="str">
        <f>IFERROR(__xludf.DUMMYFUNCTION("if(S3836="""",C3836,if(not(iserror(index(split(C3836, "" ""),3))), index(split(C3836, "" ""),3),index(split(C3836, "" ""),2)))"),"")</f>
        <v/>
      </c>
      <c r="U3836" s="38" t="b">
        <f t="shared" si="423"/>
        <v>0</v>
      </c>
      <c r="V3836" s="38"/>
      <c r="W3836" s="40"/>
      <c r="X3836" s="40"/>
      <c r="Y3836" s="40"/>
      <c r="Z3836" s="38"/>
      <c r="AA3836" s="38"/>
      <c r="AB3836" s="38"/>
      <c r="AC3836" s="38"/>
      <c r="AD3836" s="38"/>
      <c r="AE3836" s="38"/>
      <c r="AF3836" s="38"/>
      <c r="AG3836" s="38"/>
      <c r="AH3836" s="38"/>
      <c r="AI3836" s="38"/>
      <c r="AJ3836" s="38"/>
      <c r="AK3836" s="38"/>
      <c r="AL3836" s="38"/>
      <c r="AM3836" s="38"/>
      <c r="AN3836" s="38"/>
      <c r="AO3836" s="38"/>
      <c r="AP3836" s="38"/>
      <c r="AQ3836" s="38"/>
      <c r="AR3836" s="38"/>
      <c r="AS3836" s="38"/>
      <c r="AT3836" s="38"/>
      <c r="AU3836" s="38"/>
      <c r="AV3836" s="38"/>
      <c r="AW3836" s="38"/>
      <c r="AX3836" s="38"/>
      <c r="AY3836" s="38"/>
      <c r="AZ3836" s="38"/>
      <c r="BA3836" s="38"/>
      <c r="BB3836" s="38"/>
      <c r="BC3836" s="38"/>
      <c r="BD3836" s="38"/>
      <c r="BE3836" s="38"/>
      <c r="BF3836" s="38"/>
      <c r="BG3836" s="38"/>
      <c r="BH3836" s="38"/>
      <c r="BI3836" s="38"/>
      <c r="BJ3836" s="38"/>
      <c r="BK3836" s="38"/>
      <c r="BL3836" s="38"/>
      <c r="BM3836" s="38"/>
      <c r="BN3836" s="38"/>
      <c r="BO3836" s="38"/>
      <c r="BP3836" s="38"/>
      <c r="BQ3836" s="38"/>
    </row>
    <row r="3837">
      <c r="A3837" s="16"/>
      <c r="B3837" s="145"/>
      <c r="C3837" s="146"/>
      <c r="D3837" s="146"/>
      <c r="E3837" s="16"/>
      <c r="F3837" s="91"/>
      <c r="G3837" s="16"/>
      <c r="H3837" s="320" t="str">
        <f t="shared" si="424"/>
        <v/>
      </c>
      <c r="I3837" s="16"/>
      <c r="J3837" s="16"/>
      <c r="K3837" s="16"/>
      <c r="L3837" s="16"/>
      <c r="M3837" s="15"/>
      <c r="N3837" s="15"/>
      <c r="O3837" s="16"/>
      <c r="P3837" s="16"/>
      <c r="Q3837" s="16"/>
      <c r="R3837" s="16"/>
      <c r="S3837" s="37" t="str">
        <f>IFERROR(__xludf.DUMMYFUNCTION("if(not(iserror(index(split(C3837, "" ""),2))), index(split(C3837, "" ""),1),"""")"),"")</f>
        <v/>
      </c>
      <c r="T3837" s="315" t="str">
        <f>IFERROR(__xludf.DUMMYFUNCTION("if(S3837="""",C3837,if(not(iserror(index(split(C3837, "" ""),3))), index(split(C3837, "" ""),3),index(split(C3837, "" ""),2)))"),"")</f>
        <v/>
      </c>
      <c r="U3837" s="38" t="b">
        <f t="shared" si="423"/>
        <v>0</v>
      </c>
      <c r="V3837" s="38"/>
      <c r="W3837" s="40"/>
      <c r="X3837" s="40"/>
      <c r="Y3837" s="40"/>
      <c r="Z3837" s="38"/>
      <c r="AA3837" s="38"/>
      <c r="AB3837" s="38"/>
      <c r="AC3837" s="38"/>
      <c r="AD3837" s="38"/>
      <c r="AE3837" s="38"/>
      <c r="AF3837" s="38"/>
      <c r="AG3837" s="38"/>
      <c r="AH3837" s="38"/>
      <c r="AI3837" s="38"/>
      <c r="AJ3837" s="38"/>
      <c r="AK3837" s="38"/>
      <c r="AL3837" s="38"/>
      <c r="AM3837" s="38"/>
      <c r="AN3837" s="38"/>
      <c r="AO3837" s="38"/>
      <c r="AP3837" s="38"/>
      <c r="AQ3837" s="38"/>
      <c r="AR3837" s="38"/>
      <c r="AS3837" s="38"/>
      <c r="AT3837" s="38"/>
      <c r="AU3837" s="38"/>
      <c r="AV3837" s="38"/>
      <c r="AW3837" s="38"/>
      <c r="AX3837" s="38"/>
      <c r="AY3837" s="38"/>
      <c r="AZ3837" s="38"/>
      <c r="BA3837" s="38"/>
      <c r="BB3837" s="38"/>
      <c r="BC3837" s="38"/>
      <c r="BD3837" s="38"/>
      <c r="BE3837" s="38"/>
      <c r="BF3837" s="38"/>
      <c r="BG3837" s="38"/>
      <c r="BH3837" s="38"/>
      <c r="BI3837" s="38"/>
      <c r="BJ3837" s="38"/>
      <c r="BK3837" s="38"/>
      <c r="BL3837" s="38"/>
      <c r="BM3837" s="38"/>
      <c r="BN3837" s="38"/>
      <c r="BO3837" s="38"/>
      <c r="BP3837" s="38"/>
      <c r="BQ3837" s="38"/>
    </row>
    <row r="3838">
      <c r="A3838" s="16"/>
      <c r="B3838" s="145"/>
      <c r="C3838" s="146"/>
      <c r="D3838" s="146"/>
      <c r="E3838" s="16"/>
      <c r="F3838" s="91"/>
      <c r="G3838" s="16"/>
      <c r="H3838" s="320" t="str">
        <f t="shared" si="424"/>
        <v/>
      </c>
      <c r="I3838" s="16"/>
      <c r="J3838" s="16"/>
      <c r="K3838" s="16"/>
      <c r="L3838" s="16"/>
      <c r="M3838" s="15"/>
      <c r="N3838" s="15"/>
      <c r="O3838" s="16"/>
      <c r="P3838" s="16"/>
      <c r="Q3838" s="16"/>
      <c r="R3838" s="16"/>
      <c r="S3838" s="37" t="str">
        <f>IFERROR(__xludf.DUMMYFUNCTION("if(not(iserror(index(split(C3838, "" ""),2))), index(split(C3838, "" ""),1),"""")"),"")</f>
        <v/>
      </c>
      <c r="T3838" s="315" t="str">
        <f>IFERROR(__xludf.DUMMYFUNCTION("if(S3838="""",C3838,if(not(iserror(index(split(C3838, "" ""),3))), index(split(C3838, "" ""),3),index(split(C3838, "" ""),2)))"),"")</f>
        <v/>
      </c>
      <c r="U3838" s="38" t="b">
        <f t="shared" si="423"/>
        <v>0</v>
      </c>
      <c r="V3838" s="38"/>
      <c r="W3838" s="40"/>
      <c r="X3838" s="40"/>
      <c r="Y3838" s="40"/>
      <c r="Z3838" s="38"/>
      <c r="AA3838" s="38"/>
      <c r="AB3838" s="38"/>
      <c r="AC3838" s="38"/>
      <c r="AD3838" s="38"/>
      <c r="AE3838" s="38"/>
      <c r="AF3838" s="38"/>
      <c r="AG3838" s="38"/>
      <c r="AH3838" s="38"/>
      <c r="AI3838" s="38"/>
      <c r="AJ3838" s="38"/>
      <c r="AK3838" s="38"/>
      <c r="AL3838" s="38"/>
      <c r="AM3838" s="38"/>
      <c r="AN3838" s="38"/>
      <c r="AO3838" s="38"/>
      <c r="AP3838" s="38"/>
      <c r="AQ3838" s="38"/>
      <c r="AR3838" s="38"/>
      <c r="AS3838" s="38"/>
      <c r="AT3838" s="38"/>
      <c r="AU3838" s="38"/>
      <c r="AV3838" s="38"/>
      <c r="AW3838" s="38"/>
      <c r="AX3838" s="38"/>
      <c r="AY3838" s="38"/>
      <c r="AZ3838" s="38"/>
      <c r="BA3838" s="38"/>
      <c r="BB3838" s="38"/>
      <c r="BC3838" s="38"/>
      <c r="BD3838" s="38"/>
      <c r="BE3838" s="38"/>
      <c r="BF3838" s="38"/>
      <c r="BG3838" s="38"/>
      <c r="BH3838" s="38"/>
      <c r="BI3838" s="38"/>
      <c r="BJ3838" s="38"/>
      <c r="BK3838" s="38"/>
      <c r="BL3838" s="38"/>
      <c r="BM3838" s="38"/>
      <c r="BN3838" s="38"/>
      <c r="BO3838" s="38"/>
      <c r="BP3838" s="38"/>
      <c r="BQ3838" s="38"/>
    </row>
    <row r="3839">
      <c r="A3839" s="16"/>
      <c r="B3839" s="145"/>
      <c r="C3839" s="146"/>
      <c r="D3839" s="146"/>
      <c r="E3839" s="16"/>
      <c r="F3839" s="91"/>
      <c r="G3839" s="16"/>
      <c r="H3839" s="320" t="str">
        <f t="shared" si="424"/>
        <v/>
      </c>
      <c r="I3839" s="16"/>
      <c r="J3839" s="16"/>
      <c r="K3839" s="16"/>
      <c r="L3839" s="16"/>
      <c r="M3839" s="15"/>
      <c r="N3839" s="15"/>
      <c r="O3839" s="16"/>
      <c r="P3839" s="16"/>
      <c r="Q3839" s="16"/>
      <c r="R3839" s="16"/>
      <c r="S3839" s="37" t="str">
        <f>IFERROR(__xludf.DUMMYFUNCTION("if(not(iserror(index(split(C3839, "" ""),2))), index(split(C3839, "" ""),1),"""")"),"")</f>
        <v/>
      </c>
      <c r="T3839" s="315" t="str">
        <f>IFERROR(__xludf.DUMMYFUNCTION("if(S3839="""",C3839,if(not(iserror(index(split(C3839, "" ""),3))), index(split(C3839, "" ""),3),index(split(C3839, "" ""),2)))"),"")</f>
        <v/>
      </c>
      <c r="U3839" s="38" t="b">
        <f t="shared" si="423"/>
        <v>0</v>
      </c>
      <c r="V3839" s="38"/>
      <c r="W3839" s="40"/>
      <c r="X3839" s="40"/>
      <c r="Y3839" s="40"/>
      <c r="Z3839" s="38"/>
      <c r="AA3839" s="38"/>
      <c r="AB3839" s="38"/>
      <c r="AC3839" s="38"/>
      <c r="AD3839" s="38"/>
      <c r="AE3839" s="38"/>
      <c r="AF3839" s="38"/>
      <c r="AG3839" s="38"/>
      <c r="AH3839" s="38"/>
      <c r="AI3839" s="38"/>
      <c r="AJ3839" s="38"/>
      <c r="AK3839" s="38"/>
      <c r="AL3839" s="38"/>
      <c r="AM3839" s="38"/>
      <c r="AN3839" s="38"/>
      <c r="AO3839" s="38"/>
      <c r="AP3839" s="38"/>
      <c r="AQ3839" s="38"/>
      <c r="AR3839" s="38"/>
      <c r="AS3839" s="38"/>
      <c r="AT3839" s="38"/>
      <c r="AU3839" s="38"/>
      <c r="AV3839" s="38"/>
      <c r="AW3839" s="38"/>
      <c r="AX3839" s="38"/>
      <c r="AY3839" s="38"/>
      <c r="AZ3839" s="38"/>
      <c r="BA3839" s="38"/>
      <c r="BB3839" s="38"/>
      <c r="BC3839" s="38"/>
      <c r="BD3839" s="38"/>
      <c r="BE3839" s="38"/>
      <c r="BF3839" s="38"/>
      <c r="BG3839" s="38"/>
      <c r="BH3839" s="38"/>
      <c r="BI3839" s="38"/>
      <c r="BJ3839" s="38"/>
      <c r="BK3839" s="38"/>
      <c r="BL3839" s="38"/>
      <c r="BM3839" s="38"/>
      <c r="BN3839" s="38"/>
      <c r="BO3839" s="38"/>
      <c r="BP3839" s="38"/>
      <c r="BQ3839" s="38"/>
    </row>
    <row r="3840">
      <c r="A3840" s="16"/>
      <c r="B3840" s="145"/>
      <c r="C3840" s="146"/>
      <c r="D3840" s="146"/>
      <c r="E3840" s="16"/>
      <c r="F3840" s="91"/>
      <c r="G3840" s="16"/>
      <c r="H3840" s="320" t="str">
        <f t="shared" si="424"/>
        <v/>
      </c>
      <c r="I3840" s="16"/>
      <c r="J3840" s="16"/>
      <c r="K3840" s="16"/>
      <c r="L3840" s="16"/>
      <c r="M3840" s="15"/>
      <c r="N3840" s="15"/>
      <c r="O3840" s="16"/>
      <c r="P3840" s="16"/>
      <c r="Q3840" s="16"/>
      <c r="R3840" s="16"/>
      <c r="S3840" s="37" t="str">
        <f>IFERROR(__xludf.DUMMYFUNCTION("if(not(iserror(index(split(C3840, "" ""),2))), index(split(C3840, "" ""),1),"""")"),"")</f>
        <v/>
      </c>
      <c r="T3840" s="315" t="str">
        <f>IFERROR(__xludf.DUMMYFUNCTION("if(S3840="""",C3840,if(not(iserror(index(split(C3840, "" ""),3))), index(split(C3840, "" ""),3),index(split(C3840, "" ""),2)))"),"")</f>
        <v/>
      </c>
      <c r="U3840" s="38" t="b">
        <f t="shared" si="423"/>
        <v>0</v>
      </c>
      <c r="V3840" s="38"/>
      <c r="W3840" s="40"/>
      <c r="X3840" s="40"/>
      <c r="Y3840" s="40"/>
      <c r="Z3840" s="38"/>
      <c r="AA3840" s="38"/>
      <c r="AB3840" s="38"/>
      <c r="AC3840" s="38"/>
      <c r="AD3840" s="38"/>
      <c r="AE3840" s="38"/>
      <c r="AF3840" s="38"/>
      <c r="AG3840" s="38"/>
      <c r="AH3840" s="38"/>
      <c r="AI3840" s="38"/>
      <c r="AJ3840" s="38"/>
      <c r="AK3840" s="38"/>
      <c r="AL3840" s="38"/>
      <c r="AM3840" s="38"/>
      <c r="AN3840" s="38"/>
      <c r="AO3840" s="38"/>
      <c r="AP3840" s="38"/>
      <c r="AQ3840" s="38"/>
      <c r="AR3840" s="38"/>
      <c r="AS3840" s="38"/>
      <c r="AT3840" s="38"/>
      <c r="AU3840" s="38"/>
      <c r="AV3840" s="38"/>
      <c r="AW3840" s="38"/>
      <c r="AX3840" s="38"/>
      <c r="AY3840" s="38"/>
      <c r="AZ3840" s="38"/>
      <c r="BA3840" s="38"/>
      <c r="BB3840" s="38"/>
      <c r="BC3840" s="38"/>
      <c r="BD3840" s="38"/>
      <c r="BE3840" s="38"/>
      <c r="BF3840" s="38"/>
      <c r="BG3840" s="38"/>
      <c r="BH3840" s="38"/>
      <c r="BI3840" s="38"/>
      <c r="BJ3840" s="38"/>
      <c r="BK3840" s="38"/>
      <c r="BL3840" s="38"/>
      <c r="BM3840" s="38"/>
      <c r="BN3840" s="38"/>
      <c r="BO3840" s="38"/>
      <c r="BP3840" s="38"/>
      <c r="BQ3840" s="38"/>
    </row>
    <row r="3841">
      <c r="A3841" s="16"/>
      <c r="B3841" s="145"/>
      <c r="C3841" s="146"/>
      <c r="D3841" s="146"/>
      <c r="E3841" s="16"/>
      <c r="F3841" s="91"/>
      <c r="G3841" s="16"/>
      <c r="H3841" s="320" t="str">
        <f t="shared" si="424"/>
        <v/>
      </c>
      <c r="I3841" s="16"/>
      <c r="J3841" s="16"/>
      <c r="K3841" s="16"/>
      <c r="L3841" s="16"/>
      <c r="M3841" s="15"/>
      <c r="N3841" s="15"/>
      <c r="O3841" s="16"/>
      <c r="P3841" s="16"/>
      <c r="Q3841" s="16"/>
      <c r="R3841" s="16"/>
      <c r="S3841" s="37" t="str">
        <f>IFERROR(__xludf.DUMMYFUNCTION("if(not(iserror(index(split(C3841, "" ""),2))), index(split(C3841, "" ""),1),"""")"),"")</f>
        <v/>
      </c>
      <c r="T3841" s="315" t="str">
        <f>IFERROR(__xludf.DUMMYFUNCTION("if(S3841="""",C3841,if(not(iserror(index(split(C3841, "" ""),3))), index(split(C3841, "" ""),3),index(split(C3841, "" ""),2)))"),"")</f>
        <v/>
      </c>
      <c r="U3841" s="38" t="b">
        <f t="shared" si="423"/>
        <v>0</v>
      </c>
      <c r="V3841" s="38"/>
      <c r="W3841" s="40"/>
      <c r="X3841" s="40"/>
      <c r="Y3841" s="40"/>
      <c r="Z3841" s="38"/>
      <c r="AA3841" s="38"/>
      <c r="AB3841" s="38"/>
      <c r="AC3841" s="38"/>
      <c r="AD3841" s="38"/>
      <c r="AE3841" s="38"/>
      <c r="AF3841" s="38"/>
      <c r="AG3841" s="38"/>
      <c r="AH3841" s="38"/>
      <c r="AI3841" s="38"/>
      <c r="AJ3841" s="38"/>
      <c r="AK3841" s="38"/>
      <c r="AL3841" s="38"/>
      <c r="AM3841" s="38"/>
      <c r="AN3841" s="38"/>
      <c r="AO3841" s="38"/>
      <c r="AP3841" s="38"/>
      <c r="AQ3841" s="38"/>
      <c r="AR3841" s="38"/>
      <c r="AS3841" s="38"/>
      <c r="AT3841" s="38"/>
      <c r="AU3841" s="38"/>
      <c r="AV3841" s="38"/>
      <c r="AW3841" s="38"/>
      <c r="AX3841" s="38"/>
      <c r="AY3841" s="38"/>
      <c r="AZ3841" s="38"/>
      <c r="BA3841" s="38"/>
      <c r="BB3841" s="38"/>
      <c r="BC3841" s="38"/>
      <c r="BD3841" s="38"/>
      <c r="BE3841" s="38"/>
      <c r="BF3841" s="38"/>
      <c r="BG3841" s="38"/>
      <c r="BH3841" s="38"/>
      <c r="BI3841" s="38"/>
      <c r="BJ3841" s="38"/>
      <c r="BK3841" s="38"/>
      <c r="BL3841" s="38"/>
      <c r="BM3841" s="38"/>
      <c r="BN3841" s="38"/>
      <c r="BO3841" s="38"/>
      <c r="BP3841" s="38"/>
      <c r="BQ3841" s="38"/>
    </row>
    <row r="3842">
      <c r="A3842" s="16"/>
      <c r="B3842" s="145"/>
      <c r="C3842" s="146"/>
      <c r="D3842" s="146"/>
      <c r="E3842" s="16"/>
      <c r="F3842" s="91"/>
      <c r="G3842" s="16"/>
      <c r="H3842" s="320" t="str">
        <f t="shared" si="424"/>
        <v/>
      </c>
      <c r="I3842" s="16"/>
      <c r="J3842" s="16"/>
      <c r="K3842" s="16"/>
      <c r="L3842" s="16"/>
      <c r="M3842" s="15"/>
      <c r="N3842" s="15"/>
      <c r="O3842" s="16"/>
      <c r="P3842" s="16"/>
      <c r="Q3842" s="16"/>
      <c r="R3842" s="16"/>
      <c r="S3842" s="37" t="str">
        <f>IFERROR(__xludf.DUMMYFUNCTION("if(not(iserror(index(split(C3842, "" ""),2))), index(split(C3842, "" ""),1),"""")"),"")</f>
        <v/>
      </c>
      <c r="T3842" s="315" t="str">
        <f>IFERROR(__xludf.DUMMYFUNCTION("if(S3842="""",C3842,if(not(iserror(index(split(C3842, "" ""),3))), index(split(C3842, "" ""),3),index(split(C3842, "" ""),2)))"),"")</f>
        <v/>
      </c>
      <c r="U3842" s="38" t="b">
        <f t="shared" si="423"/>
        <v>0</v>
      </c>
      <c r="V3842" s="38"/>
      <c r="W3842" s="40"/>
      <c r="X3842" s="40"/>
      <c r="Y3842" s="40"/>
      <c r="Z3842" s="38"/>
      <c r="AA3842" s="38"/>
      <c r="AB3842" s="38"/>
      <c r="AC3842" s="38"/>
      <c r="AD3842" s="38"/>
      <c r="AE3842" s="38"/>
      <c r="AF3842" s="38"/>
      <c r="AG3842" s="38"/>
      <c r="AH3842" s="38"/>
      <c r="AI3842" s="38"/>
      <c r="AJ3842" s="38"/>
      <c r="AK3842" s="38"/>
      <c r="AL3842" s="38"/>
      <c r="AM3842" s="38"/>
      <c r="AN3842" s="38"/>
      <c r="AO3842" s="38"/>
      <c r="AP3842" s="38"/>
      <c r="AQ3842" s="38"/>
      <c r="AR3842" s="38"/>
      <c r="AS3842" s="38"/>
      <c r="AT3842" s="38"/>
      <c r="AU3842" s="38"/>
      <c r="AV3842" s="38"/>
      <c r="AW3842" s="38"/>
      <c r="AX3842" s="38"/>
      <c r="AY3842" s="38"/>
      <c r="AZ3842" s="38"/>
      <c r="BA3842" s="38"/>
      <c r="BB3842" s="38"/>
      <c r="BC3842" s="38"/>
      <c r="BD3842" s="38"/>
      <c r="BE3842" s="38"/>
      <c r="BF3842" s="38"/>
      <c r="BG3842" s="38"/>
      <c r="BH3842" s="38"/>
      <c r="BI3842" s="38"/>
      <c r="BJ3842" s="38"/>
      <c r="BK3842" s="38"/>
      <c r="BL3842" s="38"/>
      <c r="BM3842" s="38"/>
      <c r="BN3842" s="38"/>
      <c r="BO3842" s="38"/>
      <c r="BP3842" s="38"/>
      <c r="BQ3842" s="38"/>
    </row>
    <row r="3843">
      <c r="A3843" s="16"/>
      <c r="B3843" s="145"/>
      <c r="C3843" s="146"/>
      <c r="D3843" s="146"/>
      <c r="E3843" s="16"/>
      <c r="F3843" s="91"/>
      <c r="G3843" s="16"/>
      <c r="H3843" s="320" t="str">
        <f t="shared" si="424"/>
        <v/>
      </c>
      <c r="I3843" s="16"/>
      <c r="J3843" s="16"/>
      <c r="K3843" s="16"/>
      <c r="L3843" s="16"/>
      <c r="M3843" s="15"/>
      <c r="N3843" s="15"/>
      <c r="O3843" s="16"/>
      <c r="P3843" s="16"/>
      <c r="Q3843" s="16"/>
      <c r="R3843" s="16"/>
      <c r="S3843" s="37" t="str">
        <f>IFERROR(__xludf.DUMMYFUNCTION("if(not(iserror(index(split(C3843, "" ""),2))), index(split(C3843, "" ""),1),"""")"),"")</f>
        <v/>
      </c>
      <c r="T3843" s="315" t="str">
        <f>IFERROR(__xludf.DUMMYFUNCTION("if(S3843="""",C3843,if(not(iserror(index(split(C3843, "" ""),3))), index(split(C3843, "" ""),3),index(split(C3843, "" ""),2)))"),"")</f>
        <v/>
      </c>
      <c r="U3843" s="38" t="b">
        <f t="shared" si="423"/>
        <v>0</v>
      </c>
      <c r="V3843" s="38"/>
      <c r="W3843" s="40"/>
      <c r="X3843" s="40"/>
      <c r="Y3843" s="40"/>
      <c r="Z3843" s="38"/>
      <c r="AA3843" s="38"/>
      <c r="AB3843" s="38"/>
      <c r="AC3843" s="38"/>
      <c r="AD3843" s="38"/>
      <c r="AE3843" s="38"/>
      <c r="AF3843" s="38"/>
      <c r="AG3843" s="38"/>
      <c r="AH3843" s="38"/>
      <c r="AI3843" s="38"/>
      <c r="AJ3843" s="38"/>
      <c r="AK3843" s="38"/>
      <c r="AL3843" s="38"/>
      <c r="AM3843" s="38"/>
      <c r="AN3843" s="38"/>
      <c r="AO3843" s="38"/>
      <c r="AP3843" s="38"/>
      <c r="AQ3843" s="38"/>
      <c r="AR3843" s="38"/>
      <c r="AS3843" s="38"/>
      <c r="AT3843" s="38"/>
      <c r="AU3843" s="38"/>
      <c r="AV3843" s="38"/>
      <c r="AW3843" s="38"/>
      <c r="AX3843" s="38"/>
      <c r="AY3843" s="38"/>
      <c r="AZ3843" s="38"/>
      <c r="BA3843" s="38"/>
      <c r="BB3843" s="38"/>
      <c r="BC3843" s="38"/>
      <c r="BD3843" s="38"/>
      <c r="BE3843" s="38"/>
      <c r="BF3843" s="38"/>
      <c r="BG3843" s="38"/>
      <c r="BH3843" s="38"/>
      <c r="BI3843" s="38"/>
      <c r="BJ3843" s="38"/>
      <c r="BK3843" s="38"/>
      <c r="BL3843" s="38"/>
      <c r="BM3843" s="38"/>
      <c r="BN3843" s="38"/>
      <c r="BO3843" s="38"/>
      <c r="BP3843" s="38"/>
      <c r="BQ3843" s="38"/>
    </row>
    <row r="3844">
      <c r="A3844" s="16"/>
      <c r="B3844" s="145"/>
      <c r="C3844" s="146"/>
      <c r="D3844" s="146"/>
      <c r="E3844" s="16"/>
      <c r="F3844" s="91"/>
      <c r="G3844" s="16"/>
      <c r="H3844" s="320" t="str">
        <f t="shared" si="424"/>
        <v/>
      </c>
      <c r="I3844" s="16"/>
      <c r="J3844" s="16"/>
      <c r="K3844" s="16"/>
      <c r="L3844" s="16"/>
      <c r="M3844" s="15"/>
      <c r="N3844" s="15"/>
      <c r="O3844" s="16"/>
      <c r="P3844" s="16"/>
      <c r="Q3844" s="16"/>
      <c r="R3844" s="16"/>
      <c r="S3844" s="37" t="str">
        <f>IFERROR(__xludf.DUMMYFUNCTION("if(not(iserror(index(split(C3844, "" ""),2))), index(split(C3844, "" ""),1),"""")"),"")</f>
        <v/>
      </c>
      <c r="T3844" s="315" t="str">
        <f>IFERROR(__xludf.DUMMYFUNCTION("if(S3844="""",C3844,if(not(iserror(index(split(C3844, "" ""),3))), index(split(C3844, "" ""),3),index(split(C3844, "" ""),2)))"),"")</f>
        <v/>
      </c>
      <c r="U3844" s="38" t="b">
        <f t="shared" si="423"/>
        <v>0</v>
      </c>
      <c r="V3844" s="38"/>
      <c r="W3844" s="40"/>
      <c r="X3844" s="40"/>
      <c r="Y3844" s="40"/>
      <c r="Z3844" s="38"/>
      <c r="AA3844" s="38"/>
      <c r="AB3844" s="38"/>
      <c r="AC3844" s="38"/>
      <c r="AD3844" s="38"/>
      <c r="AE3844" s="38"/>
      <c r="AF3844" s="38"/>
      <c r="AG3844" s="38"/>
      <c r="AH3844" s="38"/>
      <c r="AI3844" s="38"/>
      <c r="AJ3844" s="38"/>
      <c r="AK3844" s="38"/>
      <c r="AL3844" s="38"/>
      <c r="AM3844" s="38"/>
      <c r="AN3844" s="38"/>
      <c r="AO3844" s="38"/>
      <c r="AP3844" s="38"/>
      <c r="AQ3844" s="38"/>
      <c r="AR3844" s="38"/>
      <c r="AS3844" s="38"/>
      <c r="AT3844" s="38"/>
      <c r="AU3844" s="38"/>
      <c r="AV3844" s="38"/>
      <c r="AW3844" s="38"/>
      <c r="AX3844" s="38"/>
      <c r="AY3844" s="38"/>
      <c r="AZ3844" s="38"/>
      <c r="BA3844" s="38"/>
      <c r="BB3844" s="38"/>
      <c r="BC3844" s="38"/>
      <c r="BD3844" s="38"/>
      <c r="BE3844" s="38"/>
      <c r="BF3844" s="38"/>
      <c r="BG3844" s="38"/>
      <c r="BH3844" s="38"/>
      <c r="BI3844" s="38"/>
      <c r="BJ3844" s="38"/>
      <c r="BK3844" s="38"/>
      <c r="BL3844" s="38"/>
      <c r="BM3844" s="38"/>
      <c r="BN3844" s="38"/>
      <c r="BO3844" s="38"/>
      <c r="BP3844" s="38"/>
      <c r="BQ3844" s="38"/>
    </row>
    <row r="3845">
      <c r="A3845" s="16"/>
      <c r="B3845" s="145"/>
      <c r="C3845" s="146"/>
      <c r="D3845" s="146"/>
      <c r="E3845" s="16"/>
      <c r="F3845" s="91"/>
      <c r="G3845" s="16"/>
      <c r="H3845" s="320" t="str">
        <f t="shared" si="424"/>
        <v/>
      </c>
      <c r="I3845" s="16"/>
      <c r="J3845" s="16"/>
      <c r="K3845" s="16"/>
      <c r="L3845" s="16"/>
      <c r="M3845" s="15"/>
      <c r="N3845" s="15"/>
      <c r="O3845" s="16"/>
      <c r="P3845" s="16"/>
      <c r="Q3845" s="16"/>
      <c r="R3845" s="16"/>
      <c r="S3845" s="37" t="str">
        <f>IFERROR(__xludf.DUMMYFUNCTION("if(not(iserror(index(split(C3845, "" ""),2))), index(split(C3845, "" ""),1),"""")"),"")</f>
        <v/>
      </c>
      <c r="T3845" s="315" t="str">
        <f>IFERROR(__xludf.DUMMYFUNCTION("if(S3845="""",C3845,if(not(iserror(index(split(C3845, "" ""),3))), index(split(C3845, "" ""),3),index(split(C3845, "" ""),2)))"),"")</f>
        <v/>
      </c>
      <c r="U3845" s="38" t="b">
        <f t="shared" si="423"/>
        <v>0</v>
      </c>
      <c r="V3845" s="38"/>
      <c r="W3845" s="40"/>
      <c r="X3845" s="40"/>
      <c r="Y3845" s="40"/>
      <c r="Z3845" s="38"/>
      <c r="AA3845" s="38"/>
      <c r="AB3845" s="38"/>
      <c r="AC3845" s="38"/>
      <c r="AD3845" s="38"/>
      <c r="AE3845" s="38"/>
      <c r="AF3845" s="38"/>
      <c r="AG3845" s="38"/>
      <c r="AH3845" s="38"/>
      <c r="AI3845" s="38"/>
      <c r="AJ3845" s="38"/>
      <c r="AK3845" s="38"/>
      <c r="AL3845" s="38"/>
      <c r="AM3845" s="38"/>
      <c r="AN3845" s="38"/>
      <c r="AO3845" s="38"/>
      <c r="AP3845" s="38"/>
      <c r="AQ3845" s="38"/>
      <c r="AR3845" s="38"/>
      <c r="AS3845" s="38"/>
      <c r="AT3845" s="38"/>
      <c r="AU3845" s="38"/>
      <c r="AV3845" s="38"/>
      <c r="AW3845" s="38"/>
      <c r="AX3845" s="38"/>
      <c r="AY3845" s="38"/>
      <c r="AZ3845" s="38"/>
      <c r="BA3845" s="38"/>
      <c r="BB3845" s="38"/>
      <c r="BC3845" s="38"/>
      <c r="BD3845" s="38"/>
      <c r="BE3845" s="38"/>
      <c r="BF3845" s="38"/>
      <c r="BG3845" s="38"/>
      <c r="BH3845" s="38"/>
      <c r="BI3845" s="38"/>
      <c r="BJ3845" s="38"/>
      <c r="BK3845" s="38"/>
      <c r="BL3845" s="38"/>
      <c r="BM3845" s="38"/>
      <c r="BN3845" s="38"/>
      <c r="BO3845" s="38"/>
      <c r="BP3845" s="38"/>
      <c r="BQ3845" s="38"/>
    </row>
    <row r="3846">
      <c r="A3846" s="16"/>
      <c r="B3846" s="145"/>
      <c r="C3846" s="146"/>
      <c r="D3846" s="146"/>
      <c r="E3846" s="16"/>
      <c r="F3846" s="91"/>
      <c r="G3846" s="16"/>
      <c r="H3846" s="320" t="str">
        <f t="shared" si="424"/>
        <v/>
      </c>
      <c r="I3846" s="16"/>
      <c r="J3846" s="16"/>
      <c r="K3846" s="16"/>
      <c r="L3846" s="16"/>
      <c r="M3846" s="15"/>
      <c r="N3846" s="15"/>
      <c r="O3846" s="16"/>
      <c r="P3846" s="16"/>
      <c r="Q3846" s="16"/>
      <c r="R3846" s="16"/>
      <c r="S3846" s="37" t="str">
        <f>IFERROR(__xludf.DUMMYFUNCTION("if(not(iserror(index(split(C3846, "" ""),2))), index(split(C3846, "" ""),1),"""")"),"")</f>
        <v/>
      </c>
      <c r="T3846" s="315" t="str">
        <f>IFERROR(__xludf.DUMMYFUNCTION("if(S3846="""",C3846,if(not(iserror(index(split(C3846, "" ""),3))), index(split(C3846, "" ""),3),index(split(C3846, "" ""),2)))"),"")</f>
        <v/>
      </c>
      <c r="U3846" s="38" t="b">
        <f t="shared" si="423"/>
        <v>0</v>
      </c>
      <c r="V3846" s="38"/>
      <c r="W3846" s="40"/>
      <c r="X3846" s="40"/>
      <c r="Y3846" s="40"/>
      <c r="Z3846" s="38"/>
      <c r="AA3846" s="38"/>
      <c r="AB3846" s="38"/>
      <c r="AC3846" s="38"/>
      <c r="AD3846" s="38"/>
      <c r="AE3846" s="38"/>
      <c r="AF3846" s="38"/>
      <c r="AG3846" s="38"/>
      <c r="AH3846" s="38"/>
      <c r="AI3846" s="38"/>
      <c r="AJ3846" s="38"/>
      <c r="AK3846" s="38"/>
      <c r="AL3846" s="38"/>
      <c r="AM3846" s="38"/>
      <c r="AN3846" s="38"/>
      <c r="AO3846" s="38"/>
      <c r="AP3846" s="38"/>
      <c r="AQ3846" s="38"/>
      <c r="AR3846" s="38"/>
      <c r="AS3846" s="38"/>
      <c r="AT3846" s="38"/>
      <c r="AU3846" s="38"/>
      <c r="AV3846" s="38"/>
      <c r="AW3846" s="38"/>
      <c r="AX3846" s="38"/>
      <c r="AY3846" s="38"/>
      <c r="AZ3846" s="38"/>
      <c r="BA3846" s="38"/>
      <c r="BB3846" s="38"/>
      <c r="BC3846" s="38"/>
      <c r="BD3846" s="38"/>
      <c r="BE3846" s="38"/>
      <c r="BF3846" s="38"/>
      <c r="BG3846" s="38"/>
      <c r="BH3846" s="38"/>
      <c r="BI3846" s="38"/>
      <c r="BJ3846" s="38"/>
      <c r="BK3846" s="38"/>
      <c r="BL3846" s="38"/>
      <c r="BM3846" s="38"/>
      <c r="BN3846" s="38"/>
      <c r="BO3846" s="38"/>
      <c r="BP3846" s="38"/>
      <c r="BQ3846" s="38"/>
    </row>
    <row r="3847">
      <c r="A3847" s="16"/>
      <c r="B3847" s="145"/>
      <c r="C3847" s="146"/>
      <c r="D3847" s="146"/>
      <c r="E3847" s="16"/>
      <c r="F3847" s="91"/>
      <c r="G3847" s="16"/>
      <c r="H3847" s="320" t="str">
        <f t="shared" si="424"/>
        <v/>
      </c>
      <c r="I3847" s="16"/>
      <c r="J3847" s="16"/>
      <c r="K3847" s="16"/>
      <c r="L3847" s="16"/>
      <c r="M3847" s="15"/>
      <c r="N3847" s="15"/>
      <c r="O3847" s="16"/>
      <c r="P3847" s="16"/>
      <c r="Q3847" s="16"/>
      <c r="R3847" s="16"/>
      <c r="S3847" s="37" t="str">
        <f>IFERROR(__xludf.DUMMYFUNCTION("if(not(iserror(index(split(C3847, "" ""),2))), index(split(C3847, "" ""),1),"""")"),"")</f>
        <v/>
      </c>
      <c r="T3847" s="315" t="str">
        <f>IFERROR(__xludf.DUMMYFUNCTION("if(S3847="""",C3847,if(not(iserror(index(split(C3847, "" ""),3))), index(split(C3847, "" ""),3),index(split(C3847, "" ""),2)))"),"")</f>
        <v/>
      </c>
      <c r="U3847" s="38" t="b">
        <f t="shared" si="423"/>
        <v>0</v>
      </c>
      <c r="V3847" s="38"/>
      <c r="W3847" s="40"/>
      <c r="X3847" s="40"/>
      <c r="Y3847" s="40"/>
      <c r="Z3847" s="38"/>
      <c r="AA3847" s="38"/>
      <c r="AB3847" s="38"/>
      <c r="AC3847" s="38"/>
      <c r="AD3847" s="38"/>
      <c r="AE3847" s="38"/>
      <c r="AF3847" s="38"/>
      <c r="AG3847" s="38"/>
      <c r="AH3847" s="38"/>
      <c r="AI3847" s="38"/>
      <c r="AJ3847" s="38"/>
      <c r="AK3847" s="38"/>
      <c r="AL3847" s="38"/>
      <c r="AM3847" s="38"/>
      <c r="AN3847" s="38"/>
      <c r="AO3847" s="38"/>
      <c r="AP3847" s="38"/>
      <c r="AQ3847" s="38"/>
      <c r="AR3847" s="38"/>
      <c r="AS3847" s="38"/>
      <c r="AT3847" s="38"/>
      <c r="AU3847" s="38"/>
      <c r="AV3847" s="38"/>
      <c r="AW3847" s="38"/>
      <c r="AX3847" s="38"/>
      <c r="AY3847" s="38"/>
      <c r="AZ3847" s="38"/>
      <c r="BA3847" s="38"/>
      <c r="BB3847" s="38"/>
      <c r="BC3847" s="38"/>
      <c r="BD3847" s="38"/>
      <c r="BE3847" s="38"/>
      <c r="BF3847" s="38"/>
      <c r="BG3847" s="38"/>
      <c r="BH3847" s="38"/>
      <c r="BI3847" s="38"/>
      <c r="BJ3847" s="38"/>
      <c r="BK3847" s="38"/>
      <c r="BL3847" s="38"/>
      <c r="BM3847" s="38"/>
      <c r="BN3847" s="38"/>
      <c r="BO3847" s="38"/>
      <c r="BP3847" s="38"/>
      <c r="BQ3847" s="38"/>
    </row>
    <row r="3848">
      <c r="A3848" s="16"/>
      <c r="B3848" s="145"/>
      <c r="C3848" s="146"/>
      <c r="D3848" s="146"/>
      <c r="E3848" s="16"/>
      <c r="F3848" s="91"/>
      <c r="G3848" s="16"/>
      <c r="H3848" s="320" t="str">
        <f t="shared" si="424"/>
        <v/>
      </c>
      <c r="I3848" s="16"/>
      <c r="J3848" s="16"/>
      <c r="K3848" s="16"/>
      <c r="L3848" s="16"/>
      <c r="M3848" s="15"/>
      <c r="N3848" s="15"/>
      <c r="O3848" s="16"/>
      <c r="P3848" s="16"/>
      <c r="Q3848" s="16"/>
      <c r="R3848" s="16"/>
      <c r="S3848" s="37" t="str">
        <f>IFERROR(__xludf.DUMMYFUNCTION("if(not(iserror(index(split(C3848, "" ""),2))), index(split(C3848, "" ""),1),"""")"),"")</f>
        <v/>
      </c>
      <c r="T3848" s="315" t="str">
        <f>IFERROR(__xludf.DUMMYFUNCTION("if(S3848="""",C3848,if(not(iserror(index(split(C3848, "" ""),3))), index(split(C3848, "" ""),3),index(split(C3848, "" ""),2)))"),"")</f>
        <v/>
      </c>
      <c r="U3848" s="38" t="b">
        <f t="shared" si="423"/>
        <v>0</v>
      </c>
      <c r="V3848" s="38"/>
      <c r="W3848" s="40"/>
      <c r="X3848" s="40"/>
      <c r="Y3848" s="40"/>
      <c r="Z3848" s="38"/>
      <c r="AA3848" s="38"/>
      <c r="AB3848" s="38"/>
      <c r="AC3848" s="38"/>
      <c r="AD3848" s="38"/>
      <c r="AE3848" s="38"/>
      <c r="AF3848" s="38"/>
      <c r="AG3848" s="38"/>
      <c r="AH3848" s="38"/>
      <c r="AI3848" s="38"/>
      <c r="AJ3848" s="38"/>
      <c r="AK3848" s="38"/>
      <c r="AL3848" s="38"/>
      <c r="AM3848" s="38"/>
      <c r="AN3848" s="38"/>
      <c r="AO3848" s="38"/>
      <c r="AP3848" s="38"/>
      <c r="AQ3848" s="38"/>
      <c r="AR3848" s="38"/>
      <c r="AS3848" s="38"/>
      <c r="AT3848" s="38"/>
      <c r="AU3848" s="38"/>
      <c r="AV3848" s="38"/>
      <c r="AW3848" s="38"/>
      <c r="AX3848" s="38"/>
      <c r="AY3848" s="38"/>
      <c r="AZ3848" s="38"/>
      <c r="BA3848" s="38"/>
      <c r="BB3848" s="38"/>
      <c r="BC3848" s="38"/>
      <c r="BD3848" s="38"/>
      <c r="BE3848" s="38"/>
      <c r="BF3848" s="38"/>
      <c r="BG3848" s="38"/>
      <c r="BH3848" s="38"/>
      <c r="BI3848" s="38"/>
      <c r="BJ3848" s="38"/>
      <c r="BK3848" s="38"/>
      <c r="BL3848" s="38"/>
      <c r="BM3848" s="38"/>
      <c r="BN3848" s="38"/>
      <c r="BO3848" s="38"/>
      <c r="BP3848" s="38"/>
      <c r="BQ3848" s="38"/>
    </row>
    <row r="3849">
      <c r="A3849" s="16"/>
      <c r="B3849" s="145"/>
      <c r="C3849" s="146"/>
      <c r="D3849" s="146"/>
      <c r="E3849" s="16"/>
      <c r="F3849" s="91"/>
      <c r="G3849" s="16"/>
      <c r="H3849" s="320" t="str">
        <f t="shared" si="424"/>
        <v/>
      </c>
      <c r="I3849" s="16"/>
      <c r="J3849" s="16"/>
      <c r="K3849" s="16"/>
      <c r="L3849" s="16"/>
      <c r="M3849" s="15"/>
      <c r="N3849" s="15"/>
      <c r="O3849" s="16"/>
      <c r="P3849" s="16"/>
      <c r="Q3849" s="16"/>
      <c r="R3849" s="16"/>
      <c r="S3849" s="37" t="str">
        <f>IFERROR(__xludf.DUMMYFUNCTION("if(not(iserror(index(split(C3849, "" ""),2))), index(split(C3849, "" ""),1),"""")"),"")</f>
        <v/>
      </c>
      <c r="T3849" s="315" t="str">
        <f>IFERROR(__xludf.DUMMYFUNCTION("if(S3849="""",C3849,if(not(iserror(index(split(C3849, "" ""),3))), index(split(C3849, "" ""),3),index(split(C3849, "" ""),2)))"),"")</f>
        <v/>
      </c>
      <c r="U3849" s="38" t="b">
        <f t="shared" si="423"/>
        <v>0</v>
      </c>
      <c r="V3849" s="38"/>
      <c r="W3849" s="40"/>
      <c r="X3849" s="40"/>
      <c r="Y3849" s="40"/>
      <c r="Z3849" s="38"/>
      <c r="AA3849" s="38"/>
      <c r="AB3849" s="38"/>
      <c r="AC3849" s="38"/>
      <c r="AD3849" s="38"/>
      <c r="AE3849" s="38"/>
      <c r="AF3849" s="38"/>
      <c r="AG3849" s="38"/>
      <c r="AH3849" s="38"/>
      <c r="AI3849" s="38"/>
      <c r="AJ3849" s="38"/>
      <c r="AK3849" s="38"/>
      <c r="AL3849" s="38"/>
      <c r="AM3849" s="38"/>
      <c r="AN3849" s="38"/>
      <c r="AO3849" s="38"/>
      <c r="AP3849" s="38"/>
      <c r="AQ3849" s="38"/>
      <c r="AR3849" s="38"/>
      <c r="AS3849" s="38"/>
      <c r="AT3849" s="38"/>
      <c r="AU3849" s="38"/>
      <c r="AV3849" s="38"/>
      <c r="AW3849" s="38"/>
      <c r="AX3849" s="38"/>
      <c r="AY3849" s="38"/>
      <c r="AZ3849" s="38"/>
      <c r="BA3849" s="38"/>
      <c r="BB3849" s="38"/>
      <c r="BC3849" s="38"/>
      <c r="BD3849" s="38"/>
      <c r="BE3849" s="38"/>
      <c r="BF3849" s="38"/>
      <c r="BG3849" s="38"/>
      <c r="BH3849" s="38"/>
      <c r="BI3849" s="38"/>
      <c r="BJ3849" s="38"/>
      <c r="BK3849" s="38"/>
      <c r="BL3849" s="38"/>
      <c r="BM3849" s="38"/>
      <c r="BN3849" s="38"/>
      <c r="BO3849" s="38"/>
      <c r="BP3849" s="38"/>
      <c r="BQ3849" s="38"/>
    </row>
    <row r="3850">
      <c r="A3850" s="16"/>
      <c r="B3850" s="145"/>
      <c r="C3850" s="146"/>
      <c r="D3850" s="146"/>
      <c r="E3850" s="16"/>
      <c r="F3850" s="91"/>
      <c r="G3850" s="16"/>
      <c r="H3850" s="320" t="str">
        <f t="shared" si="424"/>
        <v/>
      </c>
      <c r="I3850" s="16"/>
      <c r="J3850" s="16"/>
      <c r="K3850" s="16"/>
      <c r="L3850" s="16"/>
      <c r="M3850" s="15"/>
      <c r="N3850" s="15"/>
      <c r="O3850" s="16"/>
      <c r="P3850" s="16"/>
      <c r="Q3850" s="16"/>
      <c r="R3850" s="16"/>
      <c r="S3850" s="37" t="str">
        <f>IFERROR(__xludf.DUMMYFUNCTION("if(not(iserror(index(split(C3850, "" ""),2))), index(split(C3850, "" ""),1),"""")"),"")</f>
        <v/>
      </c>
      <c r="T3850" s="315" t="str">
        <f>IFERROR(__xludf.DUMMYFUNCTION("if(S3850="""",C3850,if(not(iserror(index(split(C3850, "" ""),3))), index(split(C3850, "" ""),3),index(split(C3850, "" ""),2)))"),"")</f>
        <v/>
      </c>
      <c r="U3850" s="38" t="b">
        <f t="shared" si="423"/>
        <v>0</v>
      </c>
      <c r="V3850" s="38"/>
      <c r="W3850" s="40"/>
      <c r="X3850" s="40"/>
      <c r="Y3850" s="40"/>
      <c r="Z3850" s="38"/>
      <c r="AA3850" s="38"/>
      <c r="AB3850" s="38"/>
      <c r="AC3850" s="38"/>
      <c r="AD3850" s="38"/>
      <c r="AE3850" s="38"/>
      <c r="AF3850" s="38"/>
      <c r="AG3850" s="38"/>
      <c r="AH3850" s="38"/>
      <c r="AI3850" s="38"/>
      <c r="AJ3850" s="38"/>
      <c r="AK3850" s="38"/>
      <c r="AL3850" s="38"/>
      <c r="AM3850" s="38"/>
      <c r="AN3850" s="38"/>
      <c r="AO3850" s="38"/>
      <c r="AP3850" s="38"/>
      <c r="AQ3850" s="38"/>
      <c r="AR3850" s="38"/>
      <c r="AS3850" s="38"/>
      <c r="AT3850" s="38"/>
      <c r="AU3850" s="38"/>
      <c r="AV3850" s="38"/>
      <c r="AW3850" s="38"/>
      <c r="AX3850" s="38"/>
      <c r="AY3850" s="38"/>
      <c r="AZ3850" s="38"/>
      <c r="BA3850" s="38"/>
      <c r="BB3850" s="38"/>
      <c r="BC3850" s="38"/>
      <c r="BD3850" s="38"/>
      <c r="BE3850" s="38"/>
      <c r="BF3850" s="38"/>
      <c r="BG3850" s="38"/>
      <c r="BH3850" s="38"/>
      <c r="BI3850" s="38"/>
      <c r="BJ3850" s="38"/>
      <c r="BK3850" s="38"/>
      <c r="BL3850" s="38"/>
      <c r="BM3850" s="38"/>
      <c r="BN3850" s="38"/>
      <c r="BO3850" s="38"/>
      <c r="BP3850" s="38"/>
      <c r="BQ3850" s="38"/>
    </row>
    <row r="3851">
      <c r="A3851" s="16"/>
      <c r="B3851" s="145"/>
      <c r="C3851" s="146"/>
      <c r="D3851" s="146"/>
      <c r="E3851" s="16"/>
      <c r="F3851" s="91"/>
      <c r="G3851" s="16"/>
      <c r="H3851" s="320" t="str">
        <f t="shared" si="424"/>
        <v/>
      </c>
      <c r="I3851" s="16"/>
      <c r="J3851" s="16"/>
      <c r="K3851" s="16"/>
      <c r="L3851" s="16"/>
      <c r="M3851" s="15"/>
      <c r="N3851" s="15"/>
      <c r="O3851" s="16"/>
      <c r="P3851" s="16"/>
      <c r="Q3851" s="16"/>
      <c r="R3851" s="16"/>
      <c r="S3851" s="37" t="str">
        <f>IFERROR(__xludf.DUMMYFUNCTION("if(not(iserror(index(split(C3851, "" ""),2))), index(split(C3851, "" ""),1),"""")"),"")</f>
        <v/>
      </c>
      <c r="T3851" s="315" t="str">
        <f>IFERROR(__xludf.DUMMYFUNCTION("if(S3851="""",C3851,if(not(iserror(index(split(C3851, "" ""),3))), index(split(C3851, "" ""),3),index(split(C3851, "" ""),2)))"),"")</f>
        <v/>
      </c>
      <c r="U3851" s="38" t="b">
        <f t="shared" si="423"/>
        <v>0</v>
      </c>
      <c r="V3851" s="38"/>
      <c r="W3851" s="40"/>
      <c r="X3851" s="40"/>
      <c r="Y3851" s="40"/>
      <c r="Z3851" s="38"/>
      <c r="AA3851" s="38"/>
      <c r="AB3851" s="38"/>
      <c r="AC3851" s="38"/>
      <c r="AD3851" s="38"/>
      <c r="AE3851" s="38"/>
      <c r="AF3851" s="38"/>
      <c r="AG3851" s="38"/>
      <c r="AH3851" s="38"/>
      <c r="AI3851" s="38"/>
      <c r="AJ3851" s="38"/>
      <c r="AK3851" s="38"/>
      <c r="AL3851" s="38"/>
      <c r="AM3851" s="38"/>
      <c r="AN3851" s="38"/>
      <c r="AO3851" s="38"/>
      <c r="AP3851" s="38"/>
      <c r="AQ3851" s="38"/>
      <c r="AR3851" s="38"/>
      <c r="AS3851" s="38"/>
      <c r="AT3851" s="38"/>
      <c r="AU3851" s="38"/>
      <c r="AV3851" s="38"/>
      <c r="AW3851" s="38"/>
      <c r="AX3851" s="38"/>
      <c r="AY3851" s="38"/>
      <c r="AZ3851" s="38"/>
      <c r="BA3851" s="38"/>
      <c r="BB3851" s="38"/>
      <c r="BC3851" s="38"/>
      <c r="BD3851" s="38"/>
      <c r="BE3851" s="38"/>
      <c r="BF3851" s="38"/>
      <c r="BG3851" s="38"/>
      <c r="BH3851" s="38"/>
      <c r="BI3851" s="38"/>
      <c r="BJ3851" s="38"/>
      <c r="BK3851" s="38"/>
      <c r="BL3851" s="38"/>
      <c r="BM3851" s="38"/>
      <c r="BN3851" s="38"/>
      <c r="BO3851" s="38"/>
      <c r="BP3851" s="38"/>
      <c r="BQ3851" s="38"/>
    </row>
    <row r="3852">
      <c r="A3852" s="16"/>
      <c r="B3852" s="145"/>
      <c r="C3852" s="146"/>
      <c r="D3852" s="146"/>
      <c r="E3852" s="16"/>
      <c r="F3852" s="91"/>
      <c r="G3852" s="16"/>
      <c r="H3852" s="320" t="str">
        <f t="shared" si="424"/>
        <v/>
      </c>
      <c r="I3852" s="16"/>
      <c r="J3852" s="16"/>
      <c r="K3852" s="16"/>
      <c r="L3852" s="16"/>
      <c r="M3852" s="15"/>
      <c r="N3852" s="15"/>
      <c r="O3852" s="16"/>
      <c r="P3852" s="16"/>
      <c r="Q3852" s="16"/>
      <c r="R3852" s="16"/>
      <c r="S3852" s="37" t="str">
        <f>IFERROR(__xludf.DUMMYFUNCTION("if(not(iserror(index(split(C3852, "" ""),2))), index(split(C3852, "" ""),1),"""")"),"")</f>
        <v/>
      </c>
      <c r="T3852" s="315" t="str">
        <f>IFERROR(__xludf.DUMMYFUNCTION("if(S3852="""",C3852,if(not(iserror(index(split(C3852, "" ""),3))), index(split(C3852, "" ""),3),index(split(C3852, "" ""),2)))"),"")</f>
        <v/>
      </c>
      <c r="U3852" s="38" t="b">
        <f t="shared" si="423"/>
        <v>0</v>
      </c>
      <c r="V3852" s="38"/>
      <c r="W3852" s="40"/>
      <c r="X3852" s="40"/>
      <c r="Y3852" s="40"/>
      <c r="Z3852" s="38"/>
      <c r="AA3852" s="38"/>
      <c r="AB3852" s="38"/>
      <c r="AC3852" s="38"/>
      <c r="AD3852" s="38"/>
      <c r="AE3852" s="38"/>
      <c r="AF3852" s="38"/>
      <c r="AG3852" s="38"/>
      <c r="AH3852" s="38"/>
      <c r="AI3852" s="38"/>
      <c r="AJ3852" s="38"/>
      <c r="AK3852" s="38"/>
      <c r="AL3852" s="38"/>
      <c r="AM3852" s="38"/>
      <c r="AN3852" s="38"/>
      <c r="AO3852" s="38"/>
      <c r="AP3852" s="38"/>
      <c r="AQ3852" s="38"/>
      <c r="AR3852" s="38"/>
      <c r="AS3852" s="38"/>
      <c r="AT3852" s="38"/>
      <c r="AU3852" s="38"/>
      <c r="AV3852" s="38"/>
      <c r="AW3852" s="38"/>
      <c r="AX3852" s="38"/>
      <c r="AY3852" s="38"/>
      <c r="AZ3852" s="38"/>
      <c r="BA3852" s="38"/>
      <c r="BB3852" s="38"/>
      <c r="BC3852" s="38"/>
      <c r="BD3852" s="38"/>
      <c r="BE3852" s="38"/>
      <c r="BF3852" s="38"/>
      <c r="BG3852" s="38"/>
      <c r="BH3852" s="38"/>
      <c r="BI3852" s="38"/>
      <c r="BJ3852" s="38"/>
      <c r="BK3852" s="38"/>
      <c r="BL3852" s="38"/>
      <c r="BM3852" s="38"/>
      <c r="BN3852" s="38"/>
      <c r="BO3852" s="38"/>
      <c r="BP3852" s="38"/>
      <c r="BQ3852" s="38"/>
    </row>
    <row r="3853">
      <c r="A3853" s="16"/>
      <c r="B3853" s="145"/>
      <c r="C3853" s="146"/>
      <c r="D3853" s="146"/>
      <c r="E3853" s="16"/>
      <c r="F3853" s="91"/>
      <c r="G3853" s="16"/>
      <c r="H3853" s="320" t="str">
        <f t="shared" si="424"/>
        <v/>
      </c>
      <c r="I3853" s="16"/>
      <c r="J3853" s="16"/>
      <c r="K3853" s="16"/>
      <c r="L3853" s="16"/>
      <c r="M3853" s="15"/>
      <c r="N3853" s="15"/>
      <c r="O3853" s="16"/>
      <c r="P3853" s="16"/>
      <c r="Q3853" s="16"/>
      <c r="R3853" s="16"/>
      <c r="S3853" s="37" t="str">
        <f>IFERROR(__xludf.DUMMYFUNCTION("if(not(iserror(index(split(C3853, "" ""),2))), index(split(C3853, "" ""),1),"""")"),"")</f>
        <v/>
      </c>
      <c r="T3853" s="315" t="str">
        <f>IFERROR(__xludf.DUMMYFUNCTION("if(S3853="""",C3853,if(not(iserror(index(split(C3853, "" ""),3))), index(split(C3853, "" ""),3),index(split(C3853, "" ""),2)))"),"")</f>
        <v/>
      </c>
      <c r="U3853" s="38" t="b">
        <f t="shared" si="423"/>
        <v>0</v>
      </c>
      <c r="V3853" s="38"/>
      <c r="W3853" s="40"/>
      <c r="X3853" s="40"/>
      <c r="Y3853" s="40"/>
      <c r="Z3853" s="38"/>
      <c r="AA3853" s="38"/>
      <c r="AB3853" s="38"/>
      <c r="AC3853" s="38"/>
      <c r="AD3853" s="38"/>
      <c r="AE3853" s="38"/>
      <c r="AF3853" s="38"/>
      <c r="AG3853" s="38"/>
      <c r="AH3853" s="38"/>
      <c r="AI3853" s="38"/>
      <c r="AJ3853" s="38"/>
      <c r="AK3853" s="38"/>
      <c r="AL3853" s="38"/>
      <c r="AM3853" s="38"/>
      <c r="AN3853" s="38"/>
      <c r="AO3853" s="38"/>
      <c r="AP3853" s="38"/>
      <c r="AQ3853" s="38"/>
      <c r="AR3853" s="38"/>
      <c r="AS3853" s="38"/>
      <c r="AT3853" s="38"/>
      <c r="AU3853" s="38"/>
      <c r="AV3853" s="38"/>
      <c r="AW3853" s="38"/>
      <c r="AX3853" s="38"/>
      <c r="AY3853" s="38"/>
      <c r="AZ3853" s="38"/>
      <c r="BA3853" s="38"/>
      <c r="BB3853" s="38"/>
      <c r="BC3853" s="38"/>
      <c r="BD3853" s="38"/>
      <c r="BE3853" s="38"/>
      <c r="BF3853" s="38"/>
      <c r="BG3853" s="38"/>
      <c r="BH3853" s="38"/>
      <c r="BI3853" s="38"/>
      <c r="BJ3853" s="38"/>
      <c r="BK3853" s="38"/>
      <c r="BL3853" s="38"/>
      <c r="BM3853" s="38"/>
      <c r="BN3853" s="38"/>
      <c r="BO3853" s="38"/>
      <c r="BP3853" s="38"/>
      <c r="BQ3853" s="38"/>
    </row>
    <row r="3854">
      <c r="A3854" s="16"/>
      <c r="B3854" s="145"/>
      <c r="C3854" s="146"/>
      <c r="D3854" s="146"/>
      <c r="E3854" s="16"/>
      <c r="F3854" s="91"/>
      <c r="G3854" s="16"/>
      <c r="H3854" s="320" t="str">
        <f t="shared" si="424"/>
        <v/>
      </c>
      <c r="I3854" s="16"/>
      <c r="J3854" s="16"/>
      <c r="K3854" s="16"/>
      <c r="L3854" s="16"/>
      <c r="M3854" s="15"/>
      <c r="N3854" s="15"/>
      <c r="O3854" s="16"/>
      <c r="P3854" s="16"/>
      <c r="Q3854" s="16"/>
      <c r="R3854" s="16"/>
      <c r="S3854" s="37" t="str">
        <f>IFERROR(__xludf.DUMMYFUNCTION("if(not(iserror(index(split(C3854, "" ""),2))), index(split(C3854, "" ""),1),"""")"),"")</f>
        <v/>
      </c>
      <c r="T3854" s="315" t="str">
        <f>IFERROR(__xludf.DUMMYFUNCTION("if(S3854="""",C3854,if(not(iserror(index(split(C3854, "" ""),3))), index(split(C3854, "" ""),3),index(split(C3854, "" ""),2)))"),"")</f>
        <v/>
      </c>
      <c r="U3854" s="38" t="b">
        <f t="shared" si="423"/>
        <v>0</v>
      </c>
      <c r="V3854" s="38"/>
      <c r="W3854" s="40"/>
      <c r="X3854" s="40"/>
      <c r="Y3854" s="40"/>
      <c r="Z3854" s="38"/>
      <c r="AA3854" s="38"/>
      <c r="AB3854" s="38"/>
      <c r="AC3854" s="38"/>
      <c r="AD3854" s="38"/>
      <c r="AE3854" s="38"/>
      <c r="AF3854" s="38"/>
      <c r="AG3854" s="38"/>
      <c r="AH3854" s="38"/>
      <c r="AI3854" s="38"/>
      <c r="AJ3854" s="38"/>
      <c r="AK3854" s="38"/>
      <c r="AL3854" s="38"/>
      <c r="AM3854" s="38"/>
      <c r="AN3854" s="38"/>
      <c r="AO3854" s="38"/>
      <c r="AP3854" s="38"/>
      <c r="AQ3854" s="38"/>
      <c r="AR3854" s="38"/>
      <c r="AS3854" s="38"/>
      <c r="AT3854" s="38"/>
      <c r="AU3854" s="38"/>
      <c r="AV3854" s="38"/>
      <c r="AW3854" s="38"/>
      <c r="AX3854" s="38"/>
      <c r="AY3854" s="38"/>
      <c r="AZ3854" s="38"/>
      <c r="BA3854" s="38"/>
      <c r="BB3854" s="38"/>
      <c r="BC3854" s="38"/>
      <c r="BD3854" s="38"/>
      <c r="BE3854" s="38"/>
      <c r="BF3854" s="38"/>
      <c r="BG3854" s="38"/>
      <c r="BH3854" s="38"/>
      <c r="BI3854" s="38"/>
      <c r="BJ3854" s="38"/>
      <c r="BK3854" s="38"/>
      <c r="BL3854" s="38"/>
      <c r="BM3854" s="38"/>
      <c r="BN3854" s="38"/>
      <c r="BO3854" s="38"/>
      <c r="BP3854" s="38"/>
      <c r="BQ3854" s="38"/>
    </row>
    <row r="3855">
      <c r="A3855" s="16"/>
      <c r="B3855" s="145"/>
      <c r="C3855" s="146"/>
      <c r="D3855" s="146"/>
      <c r="E3855" s="16"/>
      <c r="F3855" s="91"/>
      <c r="G3855" s="16"/>
      <c r="H3855" s="320" t="str">
        <f t="shared" si="424"/>
        <v/>
      </c>
      <c r="I3855" s="16"/>
      <c r="J3855" s="16"/>
      <c r="K3855" s="16"/>
      <c r="L3855" s="16"/>
      <c r="M3855" s="15"/>
      <c r="N3855" s="15"/>
      <c r="O3855" s="16"/>
      <c r="P3855" s="16"/>
      <c r="Q3855" s="16"/>
      <c r="R3855" s="16"/>
      <c r="S3855" s="37" t="str">
        <f>IFERROR(__xludf.DUMMYFUNCTION("if(not(iserror(index(split(C3855, "" ""),2))), index(split(C3855, "" ""),1),"""")"),"")</f>
        <v/>
      </c>
      <c r="T3855" s="315" t="str">
        <f>IFERROR(__xludf.DUMMYFUNCTION("if(S3855="""",C3855,if(not(iserror(index(split(C3855, "" ""),3))), index(split(C3855, "" ""),3),index(split(C3855, "" ""),2)))"),"")</f>
        <v/>
      </c>
      <c r="U3855" s="38" t="b">
        <f t="shared" si="423"/>
        <v>0</v>
      </c>
      <c r="V3855" s="38"/>
      <c r="W3855" s="40"/>
      <c r="X3855" s="40"/>
      <c r="Y3855" s="40"/>
      <c r="Z3855" s="38"/>
      <c r="AA3855" s="38"/>
      <c r="AB3855" s="38"/>
      <c r="AC3855" s="38"/>
      <c r="AD3855" s="38"/>
      <c r="AE3855" s="38"/>
      <c r="AF3855" s="38"/>
      <c r="AG3855" s="38"/>
      <c r="AH3855" s="38"/>
      <c r="AI3855" s="38"/>
      <c r="AJ3855" s="38"/>
      <c r="AK3855" s="38"/>
      <c r="AL3855" s="38"/>
      <c r="AM3855" s="38"/>
      <c r="AN3855" s="38"/>
      <c r="AO3855" s="38"/>
      <c r="AP3855" s="38"/>
      <c r="AQ3855" s="38"/>
      <c r="AR3855" s="38"/>
      <c r="AS3855" s="38"/>
      <c r="AT3855" s="38"/>
      <c r="AU3855" s="38"/>
      <c r="AV3855" s="38"/>
      <c r="AW3855" s="38"/>
      <c r="AX3855" s="38"/>
      <c r="AY3855" s="38"/>
      <c r="AZ3855" s="38"/>
      <c r="BA3855" s="38"/>
      <c r="BB3855" s="38"/>
      <c r="BC3855" s="38"/>
      <c r="BD3855" s="38"/>
      <c r="BE3855" s="38"/>
      <c r="BF3855" s="38"/>
      <c r="BG3855" s="38"/>
      <c r="BH3855" s="38"/>
      <c r="BI3855" s="38"/>
      <c r="BJ3855" s="38"/>
      <c r="BK3855" s="38"/>
      <c r="BL3855" s="38"/>
      <c r="BM3855" s="38"/>
      <c r="BN3855" s="38"/>
      <c r="BO3855" s="38"/>
      <c r="BP3855" s="38"/>
      <c r="BQ3855" s="38"/>
    </row>
    <row r="3856">
      <c r="A3856" s="16"/>
      <c r="B3856" s="145"/>
      <c r="C3856" s="146"/>
      <c r="D3856" s="146"/>
      <c r="E3856" s="16"/>
      <c r="F3856" s="91"/>
      <c r="G3856" s="16"/>
      <c r="H3856" s="320" t="str">
        <f t="shared" si="424"/>
        <v/>
      </c>
      <c r="I3856" s="16"/>
      <c r="J3856" s="16"/>
      <c r="K3856" s="16"/>
      <c r="L3856" s="16"/>
      <c r="M3856" s="15"/>
      <c r="N3856" s="15"/>
      <c r="O3856" s="16"/>
      <c r="P3856" s="16"/>
      <c r="Q3856" s="16"/>
      <c r="R3856" s="16"/>
      <c r="S3856" s="37" t="str">
        <f>IFERROR(__xludf.DUMMYFUNCTION("if(not(iserror(index(split(C3856, "" ""),2))), index(split(C3856, "" ""),1),"""")"),"")</f>
        <v/>
      </c>
      <c r="T3856" s="315" t="str">
        <f>IFERROR(__xludf.DUMMYFUNCTION("if(S3856="""",C3856,if(not(iserror(index(split(C3856, "" ""),3))), index(split(C3856, "" ""),3),index(split(C3856, "" ""),2)))"),"")</f>
        <v/>
      </c>
      <c r="U3856" s="38" t="b">
        <f t="shared" si="423"/>
        <v>0</v>
      </c>
      <c r="V3856" s="38"/>
      <c r="W3856" s="40"/>
      <c r="X3856" s="40"/>
      <c r="Y3856" s="40"/>
      <c r="Z3856" s="38"/>
      <c r="AA3856" s="38"/>
      <c r="AB3856" s="38"/>
      <c r="AC3856" s="38"/>
      <c r="AD3856" s="38"/>
      <c r="AE3856" s="38"/>
      <c r="AF3856" s="38"/>
      <c r="AG3856" s="38"/>
      <c r="AH3856" s="38"/>
      <c r="AI3856" s="38"/>
      <c r="AJ3856" s="38"/>
      <c r="AK3856" s="38"/>
      <c r="AL3856" s="38"/>
      <c r="AM3856" s="38"/>
      <c r="AN3856" s="38"/>
      <c r="AO3856" s="38"/>
      <c r="AP3856" s="38"/>
      <c r="AQ3856" s="38"/>
      <c r="AR3856" s="38"/>
      <c r="AS3856" s="38"/>
      <c r="AT3856" s="38"/>
      <c r="AU3856" s="38"/>
      <c r="AV3856" s="38"/>
      <c r="AW3856" s="38"/>
      <c r="AX3856" s="38"/>
      <c r="AY3856" s="38"/>
      <c r="AZ3856" s="38"/>
      <c r="BA3856" s="38"/>
      <c r="BB3856" s="38"/>
      <c r="BC3856" s="38"/>
      <c r="BD3856" s="38"/>
      <c r="BE3856" s="38"/>
      <c r="BF3856" s="38"/>
      <c r="BG3856" s="38"/>
      <c r="BH3856" s="38"/>
      <c r="BI3856" s="38"/>
      <c r="BJ3856" s="38"/>
      <c r="BK3856" s="38"/>
      <c r="BL3856" s="38"/>
      <c r="BM3856" s="38"/>
      <c r="BN3856" s="38"/>
      <c r="BO3856" s="38"/>
      <c r="BP3856" s="38"/>
      <c r="BQ3856" s="38"/>
    </row>
    <row r="3857">
      <c r="A3857" s="16"/>
      <c r="B3857" s="145"/>
      <c r="C3857" s="146"/>
      <c r="D3857" s="146"/>
      <c r="E3857" s="16"/>
      <c r="F3857" s="91"/>
      <c r="G3857" s="16"/>
      <c r="H3857" s="320" t="str">
        <f t="shared" si="424"/>
        <v/>
      </c>
      <c r="I3857" s="16"/>
      <c r="J3857" s="16"/>
      <c r="K3857" s="16"/>
      <c r="L3857" s="16"/>
      <c r="M3857" s="15"/>
      <c r="N3857" s="15"/>
      <c r="O3857" s="16"/>
      <c r="P3857" s="16"/>
      <c r="Q3857" s="16"/>
      <c r="R3857" s="16"/>
      <c r="S3857" s="37" t="str">
        <f>IFERROR(__xludf.DUMMYFUNCTION("if(not(iserror(index(split(C3857, "" ""),2))), index(split(C3857, "" ""),1),"""")"),"")</f>
        <v/>
      </c>
      <c r="T3857" s="315" t="str">
        <f>IFERROR(__xludf.DUMMYFUNCTION("if(S3857="""",C3857,if(not(iserror(index(split(C3857, "" ""),3))), index(split(C3857, "" ""),3),index(split(C3857, "" ""),2)))"),"")</f>
        <v/>
      </c>
      <c r="U3857" s="38" t="b">
        <f t="shared" si="423"/>
        <v>0</v>
      </c>
      <c r="V3857" s="38"/>
      <c r="W3857" s="40"/>
      <c r="X3857" s="40"/>
      <c r="Y3857" s="40"/>
      <c r="Z3857" s="38"/>
      <c r="AA3857" s="38"/>
      <c r="AB3857" s="38"/>
      <c r="AC3857" s="38"/>
      <c r="AD3857" s="38"/>
      <c r="AE3857" s="38"/>
      <c r="AF3857" s="38"/>
      <c r="AG3857" s="38"/>
      <c r="AH3857" s="38"/>
      <c r="AI3857" s="38"/>
      <c r="AJ3857" s="38"/>
      <c r="AK3857" s="38"/>
      <c r="AL3857" s="38"/>
      <c r="AM3857" s="38"/>
      <c r="AN3857" s="38"/>
      <c r="AO3857" s="38"/>
      <c r="AP3857" s="38"/>
      <c r="AQ3857" s="38"/>
      <c r="AR3857" s="38"/>
      <c r="AS3857" s="38"/>
      <c r="AT3857" s="38"/>
      <c r="AU3857" s="38"/>
      <c r="AV3857" s="38"/>
      <c r="AW3857" s="38"/>
      <c r="AX3857" s="38"/>
      <c r="AY3857" s="38"/>
      <c r="AZ3857" s="38"/>
      <c r="BA3857" s="38"/>
      <c r="BB3857" s="38"/>
      <c r="BC3857" s="38"/>
      <c r="BD3857" s="38"/>
      <c r="BE3857" s="38"/>
      <c r="BF3857" s="38"/>
      <c r="BG3857" s="38"/>
      <c r="BH3857" s="38"/>
      <c r="BI3857" s="38"/>
      <c r="BJ3857" s="38"/>
      <c r="BK3857" s="38"/>
      <c r="BL3857" s="38"/>
      <c r="BM3857" s="38"/>
      <c r="BN3857" s="38"/>
      <c r="BO3857" s="38"/>
      <c r="BP3857" s="38"/>
      <c r="BQ3857" s="38"/>
    </row>
    <row r="3858">
      <c r="A3858" s="16"/>
      <c r="B3858" s="145"/>
      <c r="C3858" s="146"/>
      <c r="D3858" s="146"/>
      <c r="E3858" s="16"/>
      <c r="F3858" s="91"/>
      <c r="G3858" s="16"/>
      <c r="H3858" s="320" t="str">
        <f t="shared" si="424"/>
        <v/>
      </c>
      <c r="I3858" s="16"/>
      <c r="J3858" s="16"/>
      <c r="K3858" s="16"/>
      <c r="L3858" s="16"/>
      <c r="M3858" s="15"/>
      <c r="N3858" s="15"/>
      <c r="O3858" s="16"/>
      <c r="P3858" s="16"/>
      <c r="Q3858" s="16"/>
      <c r="R3858" s="16"/>
      <c r="S3858" s="37" t="str">
        <f>IFERROR(__xludf.DUMMYFUNCTION("if(not(iserror(index(split(C3858, "" ""),2))), index(split(C3858, "" ""),1),"""")"),"")</f>
        <v/>
      </c>
      <c r="T3858" s="315" t="str">
        <f>IFERROR(__xludf.DUMMYFUNCTION("if(S3858="""",C3858,if(not(iserror(index(split(C3858, "" ""),3))), index(split(C3858, "" ""),3),index(split(C3858, "" ""),2)))"),"")</f>
        <v/>
      </c>
      <c r="U3858" s="38" t="b">
        <f t="shared" si="423"/>
        <v>0</v>
      </c>
      <c r="V3858" s="38"/>
      <c r="W3858" s="40"/>
      <c r="X3858" s="40"/>
      <c r="Y3858" s="40"/>
      <c r="Z3858" s="38"/>
      <c r="AA3858" s="38"/>
      <c r="AB3858" s="38"/>
      <c r="AC3858" s="38"/>
      <c r="AD3858" s="38"/>
      <c r="AE3858" s="38"/>
      <c r="AF3858" s="38"/>
      <c r="AG3858" s="38"/>
      <c r="AH3858" s="38"/>
      <c r="AI3858" s="38"/>
      <c r="AJ3858" s="38"/>
      <c r="AK3858" s="38"/>
      <c r="AL3858" s="38"/>
      <c r="AM3858" s="38"/>
      <c r="AN3858" s="38"/>
      <c r="AO3858" s="38"/>
      <c r="AP3858" s="38"/>
      <c r="AQ3858" s="38"/>
      <c r="AR3858" s="38"/>
      <c r="AS3858" s="38"/>
      <c r="AT3858" s="38"/>
      <c r="AU3858" s="38"/>
      <c r="AV3858" s="38"/>
      <c r="AW3858" s="38"/>
      <c r="AX3858" s="38"/>
      <c r="AY3858" s="38"/>
      <c r="AZ3858" s="38"/>
      <c r="BA3858" s="38"/>
      <c r="BB3858" s="38"/>
      <c r="BC3858" s="38"/>
      <c r="BD3858" s="38"/>
      <c r="BE3858" s="38"/>
      <c r="BF3858" s="38"/>
      <c r="BG3858" s="38"/>
      <c r="BH3858" s="38"/>
      <c r="BI3858" s="38"/>
      <c r="BJ3858" s="38"/>
      <c r="BK3858" s="38"/>
      <c r="BL3858" s="38"/>
      <c r="BM3858" s="38"/>
      <c r="BN3858" s="38"/>
      <c r="BO3858" s="38"/>
      <c r="BP3858" s="38"/>
      <c r="BQ3858" s="38"/>
    </row>
    <row r="3859">
      <c r="A3859" s="16"/>
      <c r="B3859" s="145"/>
      <c r="C3859" s="146"/>
      <c r="D3859" s="146"/>
      <c r="E3859" s="16"/>
      <c r="F3859" s="91"/>
      <c r="G3859" s="16"/>
      <c r="H3859" s="320" t="str">
        <f t="shared" si="424"/>
        <v/>
      </c>
      <c r="I3859" s="16"/>
      <c r="J3859" s="16"/>
      <c r="K3859" s="16"/>
      <c r="L3859" s="16"/>
      <c r="M3859" s="15"/>
      <c r="N3859" s="15"/>
      <c r="O3859" s="16"/>
      <c r="P3859" s="16"/>
      <c r="Q3859" s="16"/>
      <c r="R3859" s="16"/>
      <c r="S3859" s="37" t="str">
        <f>IFERROR(__xludf.DUMMYFUNCTION("if(not(iserror(index(split(C3859, "" ""),2))), index(split(C3859, "" ""),1),"""")"),"")</f>
        <v/>
      </c>
      <c r="T3859" s="315" t="str">
        <f>IFERROR(__xludf.DUMMYFUNCTION("if(S3859="""",C3859,if(not(iserror(index(split(C3859, "" ""),3))), index(split(C3859, "" ""),3),index(split(C3859, "" ""),2)))"),"")</f>
        <v/>
      </c>
      <c r="U3859" s="38" t="b">
        <f t="shared" si="423"/>
        <v>0</v>
      </c>
      <c r="V3859" s="38"/>
      <c r="W3859" s="40"/>
      <c r="X3859" s="40"/>
      <c r="Y3859" s="40"/>
      <c r="Z3859" s="38"/>
      <c r="AA3859" s="38"/>
      <c r="AB3859" s="38"/>
      <c r="AC3859" s="38"/>
      <c r="AD3859" s="38"/>
      <c r="AE3859" s="38"/>
      <c r="AF3859" s="38"/>
      <c r="AG3859" s="38"/>
      <c r="AH3859" s="38"/>
      <c r="AI3859" s="38"/>
      <c r="AJ3859" s="38"/>
      <c r="AK3859" s="38"/>
      <c r="AL3859" s="38"/>
      <c r="AM3859" s="38"/>
      <c r="AN3859" s="38"/>
      <c r="AO3859" s="38"/>
      <c r="AP3859" s="38"/>
      <c r="AQ3859" s="38"/>
      <c r="AR3859" s="38"/>
      <c r="AS3859" s="38"/>
      <c r="AT3859" s="38"/>
      <c r="AU3859" s="38"/>
      <c r="AV3859" s="38"/>
      <c r="AW3859" s="38"/>
      <c r="AX3859" s="38"/>
      <c r="AY3859" s="38"/>
      <c r="AZ3859" s="38"/>
      <c r="BA3859" s="38"/>
      <c r="BB3859" s="38"/>
      <c r="BC3859" s="38"/>
      <c r="BD3859" s="38"/>
      <c r="BE3859" s="38"/>
      <c r="BF3859" s="38"/>
      <c r="BG3859" s="38"/>
      <c r="BH3859" s="38"/>
      <c r="BI3859" s="38"/>
      <c r="BJ3859" s="38"/>
      <c r="BK3859" s="38"/>
      <c r="BL3859" s="38"/>
      <c r="BM3859" s="38"/>
      <c r="BN3859" s="38"/>
      <c r="BO3859" s="38"/>
      <c r="BP3859" s="38"/>
      <c r="BQ3859" s="38"/>
    </row>
    <row r="3860">
      <c r="A3860" s="16"/>
      <c r="B3860" s="145"/>
      <c r="C3860" s="146"/>
      <c r="D3860" s="146"/>
      <c r="E3860" s="16"/>
      <c r="F3860" s="91"/>
      <c r="G3860" s="16"/>
      <c r="H3860" s="320" t="str">
        <f t="shared" si="424"/>
        <v/>
      </c>
      <c r="I3860" s="16"/>
      <c r="J3860" s="16"/>
      <c r="K3860" s="16"/>
      <c r="L3860" s="16"/>
      <c r="M3860" s="15"/>
      <c r="N3860" s="15"/>
      <c r="O3860" s="16"/>
      <c r="P3860" s="16"/>
      <c r="Q3860" s="16"/>
      <c r="R3860" s="16"/>
      <c r="S3860" s="37" t="str">
        <f>IFERROR(__xludf.DUMMYFUNCTION("if(not(iserror(index(split(C3860, "" ""),2))), index(split(C3860, "" ""),1),"""")"),"")</f>
        <v/>
      </c>
      <c r="T3860" s="315" t="str">
        <f>IFERROR(__xludf.DUMMYFUNCTION("if(S3860="""",C3860,if(not(iserror(index(split(C3860, "" ""),3))), index(split(C3860, "" ""),3),index(split(C3860, "" ""),2)))"),"")</f>
        <v/>
      </c>
      <c r="U3860" s="38" t="b">
        <f t="shared" si="423"/>
        <v>0</v>
      </c>
      <c r="V3860" s="38"/>
      <c r="W3860" s="40"/>
      <c r="X3860" s="40"/>
      <c r="Y3860" s="40"/>
      <c r="Z3860" s="38"/>
      <c r="AA3860" s="38"/>
      <c r="AB3860" s="38"/>
      <c r="AC3860" s="38"/>
      <c r="AD3860" s="38"/>
      <c r="AE3860" s="38"/>
      <c r="AF3860" s="38"/>
      <c r="AG3860" s="38"/>
      <c r="AH3860" s="38"/>
      <c r="AI3860" s="38"/>
      <c r="AJ3860" s="38"/>
      <c r="AK3860" s="38"/>
      <c r="AL3860" s="38"/>
      <c r="AM3860" s="38"/>
      <c r="AN3860" s="38"/>
      <c r="AO3860" s="38"/>
      <c r="AP3860" s="38"/>
      <c r="AQ3860" s="38"/>
      <c r="AR3860" s="38"/>
      <c r="AS3860" s="38"/>
      <c r="AT3860" s="38"/>
      <c r="AU3860" s="38"/>
      <c r="AV3860" s="38"/>
      <c r="AW3860" s="38"/>
      <c r="AX3860" s="38"/>
      <c r="AY3860" s="38"/>
      <c r="AZ3860" s="38"/>
      <c r="BA3860" s="38"/>
      <c r="BB3860" s="38"/>
      <c r="BC3860" s="38"/>
      <c r="BD3860" s="38"/>
      <c r="BE3860" s="38"/>
      <c r="BF3860" s="38"/>
      <c r="BG3860" s="38"/>
      <c r="BH3860" s="38"/>
      <c r="BI3860" s="38"/>
      <c r="BJ3860" s="38"/>
      <c r="BK3860" s="38"/>
      <c r="BL3860" s="38"/>
      <c r="BM3860" s="38"/>
      <c r="BN3860" s="38"/>
      <c r="BO3860" s="38"/>
      <c r="BP3860" s="38"/>
      <c r="BQ3860" s="38"/>
    </row>
    <row r="3861">
      <c r="A3861" s="16"/>
      <c r="B3861" s="145"/>
      <c r="C3861" s="146"/>
      <c r="D3861" s="146"/>
      <c r="E3861" s="16"/>
      <c r="F3861" s="91"/>
      <c r="G3861" s="16"/>
      <c r="H3861" s="320" t="str">
        <f t="shared" si="424"/>
        <v/>
      </c>
      <c r="I3861" s="16"/>
      <c r="J3861" s="16"/>
      <c r="K3861" s="16"/>
      <c r="L3861" s="16"/>
      <c r="M3861" s="15"/>
      <c r="N3861" s="15"/>
      <c r="O3861" s="16"/>
      <c r="P3861" s="16"/>
      <c r="Q3861" s="16"/>
      <c r="R3861" s="16"/>
      <c r="S3861" s="37" t="str">
        <f>IFERROR(__xludf.DUMMYFUNCTION("if(not(iserror(index(split(C3861, "" ""),2))), index(split(C3861, "" ""),1),"""")"),"")</f>
        <v/>
      </c>
      <c r="T3861" s="315" t="str">
        <f>IFERROR(__xludf.DUMMYFUNCTION("if(S3861="""",C3861,if(not(iserror(index(split(C3861, "" ""),3))), index(split(C3861, "" ""),3),index(split(C3861, "" ""),2)))"),"")</f>
        <v/>
      </c>
      <c r="U3861" s="38" t="b">
        <f t="shared" si="423"/>
        <v>0</v>
      </c>
      <c r="V3861" s="38"/>
      <c r="W3861" s="40"/>
      <c r="X3861" s="40"/>
      <c r="Y3861" s="40"/>
      <c r="Z3861" s="38"/>
      <c r="AA3861" s="38"/>
      <c r="AB3861" s="38"/>
      <c r="AC3861" s="38"/>
      <c r="AD3861" s="38"/>
      <c r="AE3861" s="38"/>
      <c r="AF3861" s="38"/>
      <c r="AG3861" s="38"/>
      <c r="AH3861" s="38"/>
      <c r="AI3861" s="38"/>
      <c r="AJ3861" s="38"/>
      <c r="AK3861" s="38"/>
      <c r="AL3861" s="38"/>
      <c r="AM3861" s="38"/>
      <c r="AN3861" s="38"/>
      <c r="AO3861" s="38"/>
      <c r="AP3861" s="38"/>
      <c r="AQ3861" s="38"/>
      <c r="AR3861" s="38"/>
      <c r="AS3861" s="38"/>
      <c r="AT3861" s="38"/>
      <c r="AU3861" s="38"/>
      <c r="AV3861" s="38"/>
      <c r="AW3861" s="38"/>
      <c r="AX3861" s="38"/>
      <c r="AY3861" s="38"/>
      <c r="AZ3861" s="38"/>
      <c r="BA3861" s="38"/>
      <c r="BB3861" s="38"/>
      <c r="BC3861" s="38"/>
      <c r="BD3861" s="38"/>
      <c r="BE3861" s="38"/>
      <c r="BF3861" s="38"/>
      <c r="BG3861" s="38"/>
      <c r="BH3861" s="38"/>
      <c r="BI3861" s="38"/>
      <c r="BJ3861" s="38"/>
      <c r="BK3861" s="38"/>
      <c r="BL3861" s="38"/>
      <c r="BM3861" s="38"/>
      <c r="BN3861" s="38"/>
      <c r="BO3861" s="38"/>
      <c r="BP3861" s="38"/>
      <c r="BQ3861" s="38"/>
    </row>
    <row r="3862">
      <c r="A3862" s="16"/>
      <c r="B3862" s="145"/>
      <c r="C3862" s="146"/>
      <c r="D3862" s="146"/>
      <c r="E3862" s="16"/>
      <c r="F3862" s="91"/>
      <c r="G3862" s="16"/>
      <c r="H3862" s="320" t="str">
        <f t="shared" si="424"/>
        <v/>
      </c>
      <c r="I3862" s="16"/>
      <c r="J3862" s="16"/>
      <c r="K3862" s="16"/>
      <c r="L3862" s="16"/>
      <c r="M3862" s="15"/>
      <c r="N3862" s="15"/>
      <c r="O3862" s="16"/>
      <c r="P3862" s="16"/>
      <c r="Q3862" s="16"/>
      <c r="R3862" s="16"/>
      <c r="S3862" s="37" t="str">
        <f>IFERROR(__xludf.DUMMYFUNCTION("if(not(iserror(index(split(C3862, "" ""),2))), index(split(C3862, "" ""),1),"""")"),"")</f>
        <v/>
      </c>
      <c r="T3862" s="315" t="str">
        <f>IFERROR(__xludf.DUMMYFUNCTION("if(S3862="""",C3862,if(not(iserror(index(split(C3862, "" ""),3))), index(split(C3862, "" ""),3),index(split(C3862, "" ""),2)))"),"")</f>
        <v/>
      </c>
      <c r="U3862" s="38" t="b">
        <f t="shared" si="423"/>
        <v>0</v>
      </c>
      <c r="V3862" s="38"/>
      <c r="W3862" s="40"/>
      <c r="X3862" s="40"/>
      <c r="Y3862" s="40"/>
      <c r="Z3862" s="38"/>
      <c r="AA3862" s="38"/>
      <c r="AB3862" s="38"/>
      <c r="AC3862" s="38"/>
      <c r="AD3862" s="38"/>
      <c r="AE3862" s="38"/>
      <c r="AF3862" s="38"/>
      <c r="AG3862" s="38"/>
      <c r="AH3862" s="38"/>
      <c r="AI3862" s="38"/>
      <c r="AJ3862" s="38"/>
      <c r="AK3862" s="38"/>
      <c r="AL3862" s="38"/>
      <c r="AM3862" s="38"/>
      <c r="AN3862" s="38"/>
      <c r="AO3862" s="38"/>
      <c r="AP3862" s="38"/>
      <c r="AQ3862" s="38"/>
      <c r="AR3862" s="38"/>
      <c r="AS3862" s="38"/>
      <c r="AT3862" s="38"/>
      <c r="AU3862" s="38"/>
      <c r="AV3862" s="38"/>
      <c r="AW3862" s="38"/>
      <c r="AX3862" s="38"/>
      <c r="AY3862" s="38"/>
      <c r="AZ3862" s="38"/>
      <c r="BA3862" s="38"/>
      <c r="BB3862" s="38"/>
      <c r="BC3862" s="38"/>
      <c r="BD3862" s="38"/>
      <c r="BE3862" s="38"/>
      <c r="BF3862" s="38"/>
      <c r="BG3862" s="38"/>
      <c r="BH3862" s="38"/>
      <c r="BI3862" s="38"/>
      <c r="BJ3862" s="38"/>
      <c r="BK3862" s="38"/>
      <c r="BL3862" s="38"/>
      <c r="BM3862" s="38"/>
      <c r="BN3862" s="38"/>
      <c r="BO3862" s="38"/>
      <c r="BP3862" s="38"/>
      <c r="BQ3862" s="38"/>
    </row>
    <row r="3863">
      <c r="A3863" s="16"/>
      <c r="B3863" s="145"/>
      <c r="C3863" s="146"/>
      <c r="D3863" s="146"/>
      <c r="E3863" s="16"/>
      <c r="F3863" s="91"/>
      <c r="G3863" s="16"/>
      <c r="H3863" s="320" t="str">
        <f t="shared" si="424"/>
        <v/>
      </c>
      <c r="I3863" s="16"/>
      <c r="J3863" s="16"/>
      <c r="K3863" s="16"/>
      <c r="L3863" s="16"/>
      <c r="M3863" s="15"/>
      <c r="N3863" s="15"/>
      <c r="O3863" s="16"/>
      <c r="P3863" s="16"/>
      <c r="Q3863" s="16"/>
      <c r="R3863" s="16"/>
      <c r="S3863" s="37" t="str">
        <f>IFERROR(__xludf.DUMMYFUNCTION("if(not(iserror(index(split(C3863, "" ""),2))), index(split(C3863, "" ""),1),"""")"),"")</f>
        <v/>
      </c>
      <c r="T3863" s="315" t="str">
        <f>IFERROR(__xludf.DUMMYFUNCTION("if(S3863="""",C3863,if(not(iserror(index(split(C3863, "" ""),3))), index(split(C3863, "" ""),3),index(split(C3863, "" ""),2)))"),"")</f>
        <v/>
      </c>
      <c r="U3863" s="38" t="b">
        <f t="shared" si="423"/>
        <v>0</v>
      </c>
      <c r="V3863" s="38"/>
      <c r="W3863" s="40"/>
      <c r="X3863" s="40"/>
      <c r="Y3863" s="40"/>
      <c r="Z3863" s="38"/>
      <c r="AA3863" s="38"/>
      <c r="AB3863" s="38"/>
      <c r="AC3863" s="38"/>
      <c r="AD3863" s="38"/>
      <c r="AE3863" s="38"/>
      <c r="AF3863" s="38"/>
      <c r="AG3863" s="38"/>
      <c r="AH3863" s="38"/>
      <c r="AI3863" s="38"/>
      <c r="AJ3863" s="38"/>
      <c r="AK3863" s="38"/>
      <c r="AL3863" s="38"/>
      <c r="AM3863" s="38"/>
      <c r="AN3863" s="38"/>
      <c r="AO3863" s="38"/>
      <c r="AP3863" s="38"/>
      <c r="AQ3863" s="38"/>
      <c r="AR3863" s="38"/>
      <c r="AS3863" s="38"/>
      <c r="AT3863" s="38"/>
      <c r="AU3863" s="38"/>
      <c r="AV3863" s="38"/>
      <c r="AW3863" s="38"/>
      <c r="AX3863" s="38"/>
      <c r="AY3863" s="38"/>
      <c r="AZ3863" s="38"/>
      <c r="BA3863" s="38"/>
      <c r="BB3863" s="38"/>
      <c r="BC3863" s="38"/>
      <c r="BD3863" s="38"/>
      <c r="BE3863" s="38"/>
      <c r="BF3863" s="38"/>
      <c r="BG3863" s="38"/>
      <c r="BH3863" s="38"/>
      <c r="BI3863" s="38"/>
      <c r="BJ3863" s="38"/>
      <c r="BK3863" s="38"/>
      <c r="BL3863" s="38"/>
      <c r="BM3863" s="38"/>
      <c r="BN3863" s="38"/>
      <c r="BO3863" s="38"/>
      <c r="BP3863" s="38"/>
      <c r="BQ3863" s="38"/>
    </row>
    <row r="3864">
      <c r="A3864" s="16"/>
      <c r="B3864" s="145"/>
      <c r="C3864" s="146"/>
      <c r="D3864" s="146"/>
      <c r="E3864" s="16"/>
      <c r="F3864" s="91"/>
      <c r="G3864" s="16"/>
      <c r="H3864" s="320" t="str">
        <f t="shared" si="424"/>
        <v/>
      </c>
      <c r="I3864" s="16"/>
      <c r="J3864" s="16"/>
      <c r="K3864" s="16"/>
      <c r="L3864" s="16"/>
      <c r="M3864" s="15"/>
      <c r="N3864" s="15"/>
      <c r="O3864" s="16"/>
      <c r="P3864" s="16"/>
      <c r="Q3864" s="16"/>
      <c r="R3864" s="16"/>
      <c r="S3864" s="37" t="str">
        <f>IFERROR(__xludf.DUMMYFUNCTION("if(not(iserror(index(split(C3864, "" ""),2))), index(split(C3864, "" ""),1),"""")"),"")</f>
        <v/>
      </c>
      <c r="T3864" s="315" t="str">
        <f>IFERROR(__xludf.DUMMYFUNCTION("if(S3864="""",C3864,if(not(iserror(index(split(C3864, "" ""),3))), index(split(C3864, "" ""),3),index(split(C3864, "" ""),2)))"),"")</f>
        <v/>
      </c>
      <c r="U3864" s="38" t="b">
        <f t="shared" si="423"/>
        <v>0</v>
      </c>
      <c r="V3864" s="38"/>
      <c r="W3864" s="40"/>
      <c r="X3864" s="40"/>
      <c r="Y3864" s="40"/>
      <c r="Z3864" s="38"/>
      <c r="AA3864" s="38"/>
      <c r="AB3864" s="38"/>
      <c r="AC3864" s="38"/>
      <c r="AD3864" s="38"/>
      <c r="AE3864" s="38"/>
      <c r="AF3864" s="38"/>
      <c r="AG3864" s="38"/>
      <c r="AH3864" s="38"/>
      <c r="AI3864" s="38"/>
      <c r="AJ3864" s="38"/>
      <c r="AK3864" s="38"/>
      <c r="AL3864" s="38"/>
      <c r="AM3864" s="38"/>
      <c r="AN3864" s="38"/>
      <c r="AO3864" s="38"/>
      <c r="AP3864" s="38"/>
      <c r="AQ3864" s="38"/>
      <c r="AR3864" s="38"/>
      <c r="AS3864" s="38"/>
      <c r="AT3864" s="38"/>
      <c r="AU3864" s="38"/>
      <c r="AV3864" s="38"/>
      <c r="AW3864" s="38"/>
      <c r="AX3864" s="38"/>
      <c r="AY3864" s="38"/>
      <c r="AZ3864" s="38"/>
      <c r="BA3864" s="38"/>
      <c r="BB3864" s="38"/>
      <c r="BC3864" s="38"/>
      <c r="BD3864" s="38"/>
      <c r="BE3864" s="38"/>
      <c r="BF3864" s="38"/>
      <c r="BG3864" s="38"/>
      <c r="BH3864" s="38"/>
      <c r="BI3864" s="38"/>
      <c r="BJ3864" s="38"/>
      <c r="BK3864" s="38"/>
      <c r="BL3864" s="38"/>
      <c r="BM3864" s="38"/>
      <c r="BN3864" s="38"/>
      <c r="BO3864" s="38"/>
      <c r="BP3864" s="38"/>
      <c r="BQ3864" s="38"/>
    </row>
    <row r="3865">
      <c r="A3865" s="16"/>
      <c r="B3865" s="145"/>
      <c r="C3865" s="146"/>
      <c r="D3865" s="146"/>
      <c r="E3865" s="16"/>
      <c r="F3865" s="91"/>
      <c r="G3865" s="16"/>
      <c r="H3865" s="320" t="str">
        <f t="shared" si="424"/>
        <v/>
      </c>
      <c r="I3865" s="16"/>
      <c r="J3865" s="16"/>
      <c r="K3865" s="16"/>
      <c r="L3865" s="16"/>
      <c r="M3865" s="15"/>
      <c r="N3865" s="15"/>
      <c r="O3865" s="16"/>
      <c r="P3865" s="16"/>
      <c r="Q3865" s="16"/>
      <c r="R3865" s="16"/>
      <c r="S3865" s="37" t="str">
        <f>IFERROR(__xludf.DUMMYFUNCTION("if(not(iserror(index(split(C3865, "" ""),2))), index(split(C3865, "" ""),1),"""")"),"")</f>
        <v/>
      </c>
      <c r="T3865" s="315" t="str">
        <f>IFERROR(__xludf.DUMMYFUNCTION("if(S3865="""",C3865,if(not(iserror(index(split(C3865, "" ""),3))), index(split(C3865, "" ""),3),index(split(C3865, "" ""),2)))"),"")</f>
        <v/>
      </c>
      <c r="U3865" s="38" t="b">
        <f t="shared" si="423"/>
        <v>0</v>
      </c>
      <c r="V3865" s="38"/>
      <c r="W3865" s="40"/>
      <c r="X3865" s="40"/>
      <c r="Y3865" s="40"/>
      <c r="Z3865" s="38"/>
      <c r="AA3865" s="38"/>
      <c r="AB3865" s="38"/>
      <c r="AC3865" s="38"/>
      <c r="AD3865" s="38"/>
      <c r="AE3865" s="38"/>
      <c r="AF3865" s="38"/>
      <c r="AG3865" s="38"/>
      <c r="AH3865" s="38"/>
      <c r="AI3865" s="38"/>
      <c r="AJ3865" s="38"/>
      <c r="AK3865" s="38"/>
      <c r="AL3865" s="38"/>
      <c r="AM3865" s="38"/>
      <c r="AN3865" s="38"/>
      <c r="AO3865" s="38"/>
      <c r="AP3865" s="38"/>
      <c r="AQ3865" s="38"/>
      <c r="AR3865" s="38"/>
      <c r="AS3865" s="38"/>
      <c r="AT3865" s="38"/>
      <c r="AU3865" s="38"/>
      <c r="AV3865" s="38"/>
      <c r="AW3865" s="38"/>
      <c r="AX3865" s="38"/>
      <c r="AY3865" s="38"/>
      <c r="AZ3865" s="38"/>
      <c r="BA3865" s="38"/>
      <c r="BB3865" s="38"/>
      <c r="BC3865" s="38"/>
      <c r="BD3865" s="38"/>
      <c r="BE3865" s="38"/>
      <c r="BF3865" s="38"/>
      <c r="BG3865" s="38"/>
      <c r="BH3865" s="38"/>
      <c r="BI3865" s="38"/>
      <c r="BJ3865" s="38"/>
      <c r="BK3865" s="38"/>
      <c r="BL3865" s="38"/>
      <c r="BM3865" s="38"/>
      <c r="BN3865" s="38"/>
      <c r="BO3865" s="38"/>
      <c r="BP3865" s="38"/>
      <c r="BQ3865" s="38"/>
    </row>
    <row r="3866">
      <c r="A3866" s="16"/>
      <c r="B3866" s="145"/>
      <c r="C3866" s="146"/>
      <c r="D3866" s="146"/>
      <c r="E3866" s="16"/>
      <c r="F3866" s="91"/>
      <c r="G3866" s="16"/>
      <c r="H3866" s="320" t="str">
        <f t="shared" si="424"/>
        <v/>
      </c>
      <c r="I3866" s="16"/>
      <c r="J3866" s="16"/>
      <c r="K3866" s="16"/>
      <c r="L3866" s="16"/>
      <c r="M3866" s="15"/>
      <c r="N3866" s="15"/>
      <c r="O3866" s="16"/>
      <c r="P3866" s="16"/>
      <c r="Q3866" s="16"/>
      <c r="R3866" s="16"/>
      <c r="S3866" s="37" t="str">
        <f>IFERROR(__xludf.DUMMYFUNCTION("if(not(iserror(index(split(C3866, "" ""),2))), index(split(C3866, "" ""),1),"""")"),"")</f>
        <v/>
      </c>
      <c r="T3866" s="315" t="str">
        <f>IFERROR(__xludf.DUMMYFUNCTION("if(S3866="""",C3866,if(not(iserror(index(split(C3866, "" ""),3))), index(split(C3866, "" ""),3),index(split(C3866, "" ""),2)))"),"")</f>
        <v/>
      </c>
      <c r="U3866" s="38" t="b">
        <f t="shared" si="423"/>
        <v>0</v>
      </c>
      <c r="V3866" s="38"/>
      <c r="W3866" s="40"/>
      <c r="X3866" s="40"/>
      <c r="Y3866" s="40"/>
      <c r="Z3866" s="38"/>
      <c r="AA3866" s="38"/>
      <c r="AB3866" s="38"/>
      <c r="AC3866" s="38"/>
      <c r="AD3866" s="38"/>
      <c r="AE3866" s="38"/>
      <c r="AF3866" s="38"/>
      <c r="AG3866" s="38"/>
      <c r="AH3866" s="38"/>
      <c r="AI3866" s="38"/>
      <c r="AJ3866" s="38"/>
      <c r="AK3866" s="38"/>
      <c r="AL3866" s="38"/>
      <c r="AM3866" s="38"/>
      <c r="AN3866" s="38"/>
      <c r="AO3866" s="38"/>
      <c r="AP3866" s="38"/>
      <c r="AQ3866" s="38"/>
      <c r="AR3866" s="38"/>
      <c r="AS3866" s="38"/>
      <c r="AT3866" s="38"/>
      <c r="AU3866" s="38"/>
      <c r="AV3866" s="38"/>
      <c r="AW3866" s="38"/>
      <c r="AX3866" s="38"/>
      <c r="AY3866" s="38"/>
      <c r="AZ3866" s="38"/>
      <c r="BA3866" s="38"/>
      <c r="BB3866" s="38"/>
      <c r="BC3866" s="38"/>
      <c r="BD3866" s="38"/>
      <c r="BE3866" s="38"/>
      <c r="BF3866" s="38"/>
      <c r="BG3866" s="38"/>
      <c r="BH3866" s="38"/>
      <c r="BI3866" s="38"/>
      <c r="BJ3866" s="38"/>
      <c r="BK3866" s="38"/>
      <c r="BL3866" s="38"/>
      <c r="BM3866" s="38"/>
      <c r="BN3866" s="38"/>
      <c r="BO3866" s="38"/>
      <c r="BP3866" s="38"/>
      <c r="BQ3866" s="38"/>
    </row>
    <row r="3867">
      <c r="A3867" s="16"/>
      <c r="B3867" s="145"/>
      <c r="C3867" s="146"/>
      <c r="D3867" s="146"/>
      <c r="E3867" s="16"/>
      <c r="F3867" s="91"/>
      <c r="G3867" s="16"/>
      <c r="H3867" s="320" t="str">
        <f t="shared" si="424"/>
        <v/>
      </c>
      <c r="I3867" s="16"/>
      <c r="J3867" s="16"/>
      <c r="K3867" s="16"/>
      <c r="L3867" s="16"/>
      <c r="M3867" s="15"/>
      <c r="N3867" s="15"/>
      <c r="O3867" s="16"/>
      <c r="P3867" s="16"/>
      <c r="Q3867" s="16"/>
      <c r="R3867" s="16"/>
      <c r="S3867" s="37" t="str">
        <f>IFERROR(__xludf.DUMMYFUNCTION("if(not(iserror(index(split(C3867, "" ""),2))), index(split(C3867, "" ""),1),"""")"),"")</f>
        <v/>
      </c>
      <c r="T3867" s="315" t="str">
        <f>IFERROR(__xludf.DUMMYFUNCTION("if(S3867="""",C3867,if(not(iserror(index(split(C3867, "" ""),3))), index(split(C3867, "" ""),3),index(split(C3867, "" ""),2)))"),"")</f>
        <v/>
      </c>
      <c r="U3867" s="38" t="b">
        <f t="shared" si="423"/>
        <v>0</v>
      </c>
      <c r="V3867" s="38"/>
      <c r="W3867" s="40"/>
      <c r="X3867" s="40"/>
      <c r="Y3867" s="40"/>
      <c r="Z3867" s="38"/>
      <c r="AA3867" s="38"/>
      <c r="AB3867" s="38"/>
      <c r="AC3867" s="38"/>
      <c r="AD3867" s="38"/>
      <c r="AE3867" s="38"/>
      <c r="AF3867" s="38"/>
      <c r="AG3867" s="38"/>
      <c r="AH3867" s="38"/>
      <c r="AI3867" s="38"/>
      <c r="AJ3867" s="38"/>
      <c r="AK3867" s="38"/>
      <c r="AL3867" s="38"/>
      <c r="AM3867" s="38"/>
      <c r="AN3867" s="38"/>
      <c r="AO3867" s="38"/>
      <c r="AP3867" s="38"/>
      <c r="AQ3867" s="38"/>
      <c r="AR3867" s="38"/>
      <c r="AS3867" s="38"/>
      <c r="AT3867" s="38"/>
      <c r="AU3867" s="38"/>
      <c r="AV3867" s="38"/>
      <c r="AW3867" s="38"/>
      <c r="AX3867" s="38"/>
      <c r="AY3867" s="38"/>
      <c r="AZ3867" s="38"/>
      <c r="BA3867" s="38"/>
      <c r="BB3867" s="38"/>
      <c r="BC3867" s="38"/>
      <c r="BD3867" s="38"/>
      <c r="BE3867" s="38"/>
      <c r="BF3867" s="38"/>
      <c r="BG3867" s="38"/>
      <c r="BH3867" s="38"/>
      <c r="BI3867" s="38"/>
      <c r="BJ3867" s="38"/>
      <c r="BK3867" s="38"/>
      <c r="BL3867" s="38"/>
      <c r="BM3867" s="38"/>
      <c r="BN3867" s="38"/>
      <c r="BO3867" s="38"/>
      <c r="BP3867" s="38"/>
      <c r="BQ3867" s="38"/>
    </row>
    <row r="3868">
      <c r="A3868" s="16"/>
      <c r="B3868" s="145"/>
      <c r="C3868" s="146"/>
      <c r="D3868" s="146"/>
      <c r="E3868" s="16"/>
      <c r="F3868" s="91"/>
      <c r="G3868" s="16"/>
      <c r="H3868" s="320" t="str">
        <f t="shared" si="424"/>
        <v/>
      </c>
      <c r="I3868" s="16"/>
      <c r="J3868" s="16"/>
      <c r="K3868" s="16"/>
      <c r="L3868" s="16"/>
      <c r="M3868" s="15"/>
      <c r="N3868" s="15"/>
      <c r="O3868" s="16"/>
      <c r="P3868" s="16"/>
      <c r="Q3868" s="16"/>
      <c r="R3868" s="16"/>
      <c r="S3868" s="37" t="str">
        <f>IFERROR(__xludf.DUMMYFUNCTION("if(not(iserror(index(split(C3868, "" ""),2))), index(split(C3868, "" ""),1),"""")"),"")</f>
        <v/>
      </c>
      <c r="T3868" s="315" t="str">
        <f>IFERROR(__xludf.DUMMYFUNCTION("if(S3868="""",C3868,if(not(iserror(index(split(C3868, "" ""),3))), index(split(C3868, "" ""),3),index(split(C3868, "" ""),2)))"),"")</f>
        <v/>
      </c>
      <c r="U3868" s="38" t="b">
        <f t="shared" si="423"/>
        <v>0</v>
      </c>
      <c r="V3868" s="38"/>
      <c r="W3868" s="40"/>
      <c r="X3868" s="40"/>
      <c r="Y3868" s="40"/>
      <c r="Z3868" s="38"/>
      <c r="AA3868" s="38"/>
      <c r="AB3868" s="38"/>
      <c r="AC3868" s="38"/>
      <c r="AD3868" s="38"/>
      <c r="AE3868" s="38"/>
      <c r="AF3868" s="38"/>
      <c r="AG3868" s="38"/>
      <c r="AH3868" s="38"/>
      <c r="AI3868" s="38"/>
      <c r="AJ3868" s="38"/>
      <c r="AK3868" s="38"/>
      <c r="AL3868" s="38"/>
      <c r="AM3868" s="38"/>
      <c r="AN3868" s="38"/>
      <c r="AO3868" s="38"/>
      <c r="AP3868" s="38"/>
      <c r="AQ3868" s="38"/>
      <c r="AR3868" s="38"/>
      <c r="AS3868" s="38"/>
      <c r="AT3868" s="38"/>
      <c r="AU3868" s="38"/>
      <c r="AV3868" s="38"/>
      <c r="AW3868" s="38"/>
      <c r="AX3868" s="38"/>
      <c r="AY3868" s="38"/>
      <c r="AZ3868" s="38"/>
      <c r="BA3868" s="38"/>
      <c r="BB3868" s="38"/>
      <c r="BC3868" s="38"/>
      <c r="BD3868" s="38"/>
      <c r="BE3868" s="38"/>
      <c r="BF3868" s="38"/>
      <c r="BG3868" s="38"/>
      <c r="BH3868" s="38"/>
      <c r="BI3868" s="38"/>
      <c r="BJ3868" s="38"/>
      <c r="BK3868" s="38"/>
      <c r="BL3868" s="38"/>
      <c r="BM3868" s="38"/>
      <c r="BN3868" s="38"/>
      <c r="BO3868" s="38"/>
      <c r="BP3868" s="38"/>
      <c r="BQ3868" s="38"/>
    </row>
    <row r="3869">
      <c r="A3869" s="16"/>
      <c r="B3869" s="145"/>
      <c r="C3869" s="146"/>
      <c r="D3869" s="146"/>
      <c r="E3869" s="16"/>
      <c r="F3869" s="91"/>
      <c r="G3869" s="16"/>
      <c r="H3869" s="320" t="str">
        <f t="shared" si="424"/>
        <v/>
      </c>
      <c r="I3869" s="16"/>
      <c r="J3869" s="16"/>
      <c r="K3869" s="16"/>
      <c r="L3869" s="16"/>
      <c r="M3869" s="15"/>
      <c r="N3869" s="15"/>
      <c r="O3869" s="16"/>
      <c r="P3869" s="16"/>
      <c r="Q3869" s="16"/>
      <c r="R3869" s="16"/>
      <c r="S3869" s="37" t="str">
        <f>IFERROR(__xludf.DUMMYFUNCTION("if(not(iserror(index(split(C3869, "" ""),2))), index(split(C3869, "" ""),1),"""")"),"")</f>
        <v/>
      </c>
      <c r="T3869" s="315" t="str">
        <f>IFERROR(__xludf.DUMMYFUNCTION("if(S3869="""",C3869,if(not(iserror(index(split(C3869, "" ""),3))), index(split(C3869, "" ""),3),index(split(C3869, "" ""),2)))"),"")</f>
        <v/>
      </c>
      <c r="U3869" s="38" t="b">
        <f t="shared" si="423"/>
        <v>0</v>
      </c>
      <c r="V3869" s="38"/>
      <c r="W3869" s="40"/>
      <c r="X3869" s="40"/>
      <c r="Y3869" s="40"/>
      <c r="Z3869" s="38"/>
      <c r="AA3869" s="38"/>
      <c r="AB3869" s="38"/>
      <c r="AC3869" s="38"/>
      <c r="AD3869" s="38"/>
      <c r="AE3869" s="38"/>
      <c r="AF3869" s="38"/>
      <c r="AG3869" s="38"/>
      <c r="AH3869" s="38"/>
      <c r="AI3869" s="38"/>
      <c r="AJ3869" s="38"/>
      <c r="AK3869" s="38"/>
      <c r="AL3869" s="38"/>
      <c r="AM3869" s="38"/>
      <c r="AN3869" s="38"/>
      <c r="AO3869" s="38"/>
      <c r="AP3869" s="38"/>
      <c r="AQ3869" s="38"/>
      <c r="AR3869" s="38"/>
      <c r="AS3869" s="38"/>
      <c r="AT3869" s="38"/>
      <c r="AU3869" s="38"/>
      <c r="AV3869" s="38"/>
      <c r="AW3869" s="38"/>
      <c r="AX3869" s="38"/>
      <c r="AY3869" s="38"/>
      <c r="AZ3869" s="38"/>
      <c r="BA3869" s="38"/>
      <c r="BB3869" s="38"/>
      <c r="BC3869" s="38"/>
      <c r="BD3869" s="38"/>
      <c r="BE3869" s="38"/>
      <c r="BF3869" s="38"/>
      <c r="BG3869" s="38"/>
      <c r="BH3869" s="38"/>
      <c r="BI3869" s="38"/>
      <c r="BJ3869" s="38"/>
      <c r="BK3869" s="38"/>
      <c r="BL3869" s="38"/>
      <c r="BM3869" s="38"/>
      <c r="BN3869" s="38"/>
      <c r="BO3869" s="38"/>
      <c r="BP3869" s="38"/>
      <c r="BQ3869" s="38"/>
    </row>
    <row r="3870">
      <c r="A3870" s="16"/>
      <c r="B3870" s="145"/>
      <c r="C3870" s="146"/>
      <c r="D3870" s="146"/>
      <c r="E3870" s="16"/>
      <c r="F3870" s="91"/>
      <c r="G3870" s="16"/>
      <c r="H3870" s="320" t="str">
        <f t="shared" si="424"/>
        <v/>
      </c>
      <c r="I3870" s="16"/>
      <c r="J3870" s="16"/>
      <c r="K3870" s="16"/>
      <c r="L3870" s="16"/>
      <c r="M3870" s="15"/>
      <c r="N3870" s="15"/>
      <c r="O3870" s="16"/>
      <c r="P3870" s="16"/>
      <c r="Q3870" s="16"/>
      <c r="R3870" s="16"/>
      <c r="S3870" s="37" t="str">
        <f>IFERROR(__xludf.DUMMYFUNCTION("if(not(iserror(index(split(C3870, "" ""),2))), index(split(C3870, "" ""),1),"""")"),"")</f>
        <v/>
      </c>
      <c r="T3870" s="315" t="str">
        <f>IFERROR(__xludf.DUMMYFUNCTION("if(S3870="""",C3870,if(not(iserror(index(split(C3870, "" ""),3))), index(split(C3870, "" ""),3),index(split(C3870, "" ""),2)))"),"")</f>
        <v/>
      </c>
      <c r="U3870" s="38" t="b">
        <f t="shared" si="423"/>
        <v>0</v>
      </c>
      <c r="V3870" s="38"/>
      <c r="W3870" s="40"/>
      <c r="X3870" s="40"/>
      <c r="Y3870" s="40"/>
      <c r="Z3870" s="38"/>
      <c r="AA3870" s="38"/>
      <c r="AB3870" s="38"/>
      <c r="AC3870" s="38"/>
      <c r="AD3870" s="38"/>
      <c r="AE3870" s="38"/>
      <c r="AF3870" s="38"/>
      <c r="AG3870" s="38"/>
      <c r="AH3870" s="38"/>
      <c r="AI3870" s="38"/>
      <c r="AJ3870" s="38"/>
      <c r="AK3870" s="38"/>
      <c r="AL3870" s="38"/>
      <c r="AM3870" s="38"/>
      <c r="AN3870" s="38"/>
      <c r="AO3870" s="38"/>
      <c r="AP3870" s="38"/>
      <c r="AQ3870" s="38"/>
      <c r="AR3870" s="38"/>
      <c r="AS3870" s="38"/>
      <c r="AT3870" s="38"/>
      <c r="AU3870" s="38"/>
      <c r="AV3870" s="38"/>
      <c r="AW3870" s="38"/>
      <c r="AX3870" s="38"/>
      <c r="AY3870" s="38"/>
      <c r="AZ3870" s="38"/>
      <c r="BA3870" s="38"/>
      <c r="BB3870" s="38"/>
      <c r="BC3870" s="38"/>
      <c r="BD3870" s="38"/>
      <c r="BE3870" s="38"/>
      <c r="BF3870" s="38"/>
      <c r="BG3870" s="38"/>
      <c r="BH3870" s="38"/>
      <c r="BI3870" s="38"/>
      <c r="BJ3870" s="38"/>
      <c r="BK3870" s="38"/>
      <c r="BL3870" s="38"/>
      <c r="BM3870" s="38"/>
      <c r="BN3870" s="38"/>
      <c r="BO3870" s="38"/>
      <c r="BP3870" s="38"/>
      <c r="BQ3870" s="38"/>
    </row>
    <row r="3871">
      <c r="A3871" s="16"/>
      <c r="B3871" s="145"/>
      <c r="C3871" s="146"/>
      <c r="D3871" s="146"/>
      <c r="E3871" s="16"/>
      <c r="F3871" s="91"/>
      <c r="G3871" s="16"/>
      <c r="H3871" s="320" t="str">
        <f t="shared" si="424"/>
        <v/>
      </c>
      <c r="I3871" s="16"/>
      <c r="J3871" s="16"/>
      <c r="K3871" s="16"/>
      <c r="L3871" s="16"/>
      <c r="M3871" s="15"/>
      <c r="N3871" s="15"/>
      <c r="O3871" s="16"/>
      <c r="P3871" s="16"/>
      <c r="Q3871" s="16"/>
      <c r="R3871" s="16"/>
      <c r="S3871" s="37" t="str">
        <f>IFERROR(__xludf.DUMMYFUNCTION("if(not(iserror(index(split(C3871, "" ""),2))), index(split(C3871, "" ""),1),"""")"),"")</f>
        <v/>
      </c>
      <c r="T3871" s="315" t="str">
        <f>IFERROR(__xludf.DUMMYFUNCTION("if(S3871="""",C3871,if(not(iserror(index(split(C3871, "" ""),3))), index(split(C3871, "" ""),3),index(split(C3871, "" ""),2)))"),"")</f>
        <v/>
      </c>
      <c r="U3871" s="38" t="b">
        <f t="shared" si="423"/>
        <v>0</v>
      </c>
      <c r="V3871" s="38"/>
      <c r="W3871" s="40"/>
      <c r="X3871" s="40"/>
      <c r="Y3871" s="40"/>
      <c r="Z3871" s="38"/>
      <c r="AA3871" s="38"/>
      <c r="AB3871" s="38"/>
      <c r="AC3871" s="38"/>
      <c r="AD3871" s="38"/>
      <c r="AE3871" s="38"/>
      <c r="AF3871" s="38"/>
      <c r="AG3871" s="38"/>
      <c r="AH3871" s="38"/>
      <c r="AI3871" s="38"/>
      <c r="AJ3871" s="38"/>
      <c r="AK3871" s="38"/>
      <c r="AL3871" s="38"/>
      <c r="AM3871" s="38"/>
      <c r="AN3871" s="38"/>
      <c r="AO3871" s="38"/>
      <c r="AP3871" s="38"/>
      <c r="AQ3871" s="38"/>
      <c r="AR3871" s="38"/>
      <c r="AS3871" s="38"/>
      <c r="AT3871" s="38"/>
      <c r="AU3871" s="38"/>
      <c r="AV3871" s="38"/>
      <c r="AW3871" s="38"/>
      <c r="AX3871" s="38"/>
      <c r="AY3871" s="38"/>
      <c r="AZ3871" s="38"/>
      <c r="BA3871" s="38"/>
      <c r="BB3871" s="38"/>
      <c r="BC3871" s="38"/>
      <c r="BD3871" s="38"/>
      <c r="BE3871" s="38"/>
      <c r="BF3871" s="38"/>
      <c r="BG3871" s="38"/>
      <c r="BH3871" s="38"/>
      <c r="BI3871" s="38"/>
      <c r="BJ3871" s="38"/>
      <c r="BK3871" s="38"/>
      <c r="BL3871" s="38"/>
      <c r="BM3871" s="38"/>
      <c r="BN3871" s="38"/>
      <c r="BO3871" s="38"/>
      <c r="BP3871" s="38"/>
      <c r="BQ3871" s="38"/>
    </row>
    <row r="3872">
      <c r="A3872" s="16"/>
      <c r="B3872" s="145"/>
      <c r="C3872" s="146"/>
      <c r="D3872" s="146"/>
      <c r="E3872" s="16"/>
      <c r="F3872" s="91"/>
      <c r="G3872" s="16"/>
      <c r="H3872" s="320" t="str">
        <f t="shared" si="424"/>
        <v/>
      </c>
      <c r="I3872" s="16"/>
      <c r="J3872" s="16"/>
      <c r="K3872" s="16"/>
      <c r="L3872" s="16"/>
      <c r="M3872" s="15"/>
      <c r="N3872" s="15"/>
      <c r="O3872" s="16"/>
      <c r="P3872" s="16"/>
      <c r="Q3872" s="16"/>
      <c r="R3872" s="16"/>
      <c r="S3872" s="37" t="str">
        <f>IFERROR(__xludf.DUMMYFUNCTION("if(not(iserror(index(split(C3872, "" ""),2))), index(split(C3872, "" ""),1),"""")"),"")</f>
        <v/>
      </c>
      <c r="T3872" s="315" t="str">
        <f>IFERROR(__xludf.DUMMYFUNCTION("if(S3872="""",C3872,if(not(iserror(index(split(C3872, "" ""),3))), index(split(C3872, "" ""),3),index(split(C3872, "" ""),2)))"),"")</f>
        <v/>
      </c>
      <c r="U3872" s="38" t="b">
        <f t="shared" si="423"/>
        <v>0</v>
      </c>
      <c r="V3872" s="38"/>
      <c r="W3872" s="40"/>
      <c r="X3872" s="40"/>
      <c r="Y3872" s="40"/>
      <c r="Z3872" s="38"/>
      <c r="AA3872" s="38"/>
      <c r="AB3872" s="38"/>
      <c r="AC3872" s="38"/>
      <c r="AD3872" s="38"/>
      <c r="AE3872" s="38"/>
      <c r="AF3872" s="38"/>
      <c r="AG3872" s="38"/>
      <c r="AH3872" s="38"/>
      <c r="AI3872" s="38"/>
      <c r="AJ3872" s="38"/>
      <c r="AK3872" s="38"/>
      <c r="AL3872" s="38"/>
      <c r="AM3872" s="38"/>
      <c r="AN3872" s="38"/>
      <c r="AO3872" s="38"/>
      <c r="AP3872" s="38"/>
      <c r="AQ3872" s="38"/>
      <c r="AR3872" s="38"/>
      <c r="AS3872" s="38"/>
      <c r="AT3872" s="38"/>
      <c r="AU3872" s="38"/>
      <c r="AV3872" s="38"/>
      <c r="AW3872" s="38"/>
      <c r="AX3872" s="38"/>
      <c r="AY3872" s="38"/>
      <c r="AZ3872" s="38"/>
      <c r="BA3872" s="38"/>
      <c r="BB3872" s="38"/>
      <c r="BC3872" s="38"/>
      <c r="BD3872" s="38"/>
      <c r="BE3872" s="38"/>
      <c r="BF3872" s="38"/>
      <c r="BG3872" s="38"/>
      <c r="BH3872" s="38"/>
      <c r="BI3872" s="38"/>
      <c r="BJ3872" s="38"/>
      <c r="BK3872" s="38"/>
      <c r="BL3872" s="38"/>
      <c r="BM3872" s="38"/>
      <c r="BN3872" s="38"/>
      <c r="BO3872" s="38"/>
      <c r="BP3872" s="38"/>
      <c r="BQ3872" s="38"/>
    </row>
    <row r="3873">
      <c r="A3873" s="16"/>
      <c r="B3873" s="145"/>
      <c r="C3873" s="146"/>
      <c r="D3873" s="146"/>
      <c r="E3873" s="16"/>
      <c r="F3873" s="91"/>
      <c r="G3873" s="16"/>
      <c r="H3873" s="320" t="str">
        <f t="shared" si="424"/>
        <v/>
      </c>
      <c r="I3873" s="16"/>
      <c r="J3873" s="16"/>
      <c r="K3873" s="16"/>
      <c r="L3873" s="16"/>
      <c r="M3873" s="15"/>
      <c r="N3873" s="15"/>
      <c r="O3873" s="16"/>
      <c r="P3873" s="16"/>
      <c r="Q3873" s="16"/>
      <c r="R3873" s="16"/>
      <c r="S3873" s="37" t="str">
        <f>IFERROR(__xludf.DUMMYFUNCTION("if(not(iserror(index(split(C3873, "" ""),2))), index(split(C3873, "" ""),1),"""")"),"")</f>
        <v/>
      </c>
      <c r="T3873" s="315" t="str">
        <f>IFERROR(__xludf.DUMMYFUNCTION("if(S3873="""",C3873,if(not(iserror(index(split(C3873, "" ""),3))), index(split(C3873, "" ""),3),index(split(C3873, "" ""),2)))"),"")</f>
        <v/>
      </c>
      <c r="U3873" s="38" t="b">
        <f t="shared" si="423"/>
        <v>0</v>
      </c>
      <c r="V3873" s="38"/>
      <c r="W3873" s="40"/>
      <c r="X3873" s="40"/>
      <c r="Y3873" s="40"/>
      <c r="Z3873" s="38"/>
      <c r="AA3873" s="38"/>
      <c r="AB3873" s="38"/>
      <c r="AC3873" s="38"/>
      <c r="AD3873" s="38"/>
      <c r="AE3873" s="38"/>
      <c r="AF3873" s="38"/>
      <c r="AG3873" s="38"/>
      <c r="AH3873" s="38"/>
      <c r="AI3873" s="38"/>
      <c r="AJ3873" s="38"/>
      <c r="AK3873" s="38"/>
      <c r="AL3873" s="38"/>
      <c r="AM3873" s="38"/>
      <c r="AN3873" s="38"/>
      <c r="AO3873" s="38"/>
      <c r="AP3873" s="38"/>
      <c r="AQ3873" s="38"/>
      <c r="AR3873" s="38"/>
      <c r="AS3873" s="38"/>
      <c r="AT3873" s="38"/>
      <c r="AU3873" s="38"/>
      <c r="AV3873" s="38"/>
      <c r="AW3873" s="38"/>
      <c r="AX3873" s="38"/>
      <c r="AY3873" s="38"/>
      <c r="AZ3873" s="38"/>
      <c r="BA3873" s="38"/>
      <c r="BB3873" s="38"/>
      <c r="BC3873" s="38"/>
      <c r="BD3873" s="38"/>
      <c r="BE3873" s="38"/>
      <c r="BF3873" s="38"/>
      <c r="BG3873" s="38"/>
      <c r="BH3873" s="38"/>
      <c r="BI3873" s="38"/>
      <c r="BJ3873" s="38"/>
      <c r="BK3873" s="38"/>
      <c r="BL3873" s="38"/>
      <c r="BM3873" s="38"/>
      <c r="BN3873" s="38"/>
      <c r="BO3873" s="38"/>
      <c r="BP3873" s="38"/>
      <c r="BQ3873" s="38"/>
    </row>
    <row r="3874">
      <c r="A3874" s="16"/>
      <c r="B3874" s="145"/>
      <c r="C3874" s="146"/>
      <c r="D3874" s="146"/>
      <c r="E3874" s="16"/>
      <c r="F3874" s="91"/>
      <c r="G3874" s="16"/>
      <c r="H3874" s="320" t="str">
        <f t="shared" si="424"/>
        <v/>
      </c>
      <c r="I3874" s="16"/>
      <c r="J3874" s="16"/>
      <c r="K3874" s="16"/>
      <c r="L3874" s="16"/>
      <c r="M3874" s="15"/>
      <c r="N3874" s="15"/>
      <c r="O3874" s="16"/>
      <c r="P3874" s="16"/>
      <c r="Q3874" s="16"/>
      <c r="R3874" s="16"/>
      <c r="S3874" s="37" t="str">
        <f>IFERROR(__xludf.DUMMYFUNCTION("if(not(iserror(index(split(C3874, "" ""),2))), index(split(C3874, "" ""),1),"""")"),"")</f>
        <v/>
      </c>
      <c r="T3874" s="315" t="str">
        <f>IFERROR(__xludf.DUMMYFUNCTION("if(S3874="""",C3874,if(not(iserror(index(split(C3874, "" ""),3))), index(split(C3874, "" ""),3),index(split(C3874, "" ""),2)))"),"")</f>
        <v/>
      </c>
      <c r="U3874" s="38" t="b">
        <f t="shared" si="423"/>
        <v>0</v>
      </c>
      <c r="V3874" s="38"/>
      <c r="W3874" s="40"/>
      <c r="X3874" s="40"/>
      <c r="Y3874" s="40"/>
      <c r="Z3874" s="38"/>
      <c r="AA3874" s="38"/>
      <c r="AB3874" s="38"/>
      <c r="AC3874" s="38"/>
      <c r="AD3874" s="38"/>
      <c r="AE3874" s="38"/>
      <c r="AF3874" s="38"/>
      <c r="AG3874" s="38"/>
      <c r="AH3874" s="38"/>
      <c r="AI3874" s="38"/>
      <c r="AJ3874" s="38"/>
      <c r="AK3874" s="38"/>
      <c r="AL3874" s="38"/>
      <c r="AM3874" s="38"/>
      <c r="AN3874" s="38"/>
      <c r="AO3874" s="38"/>
      <c r="AP3874" s="38"/>
      <c r="AQ3874" s="38"/>
      <c r="AR3874" s="38"/>
      <c r="AS3874" s="38"/>
      <c r="AT3874" s="38"/>
      <c r="AU3874" s="38"/>
      <c r="AV3874" s="38"/>
      <c r="AW3874" s="38"/>
      <c r="AX3874" s="38"/>
      <c r="AY3874" s="38"/>
      <c r="AZ3874" s="38"/>
      <c r="BA3874" s="38"/>
      <c r="BB3874" s="38"/>
      <c r="BC3874" s="38"/>
      <c r="BD3874" s="38"/>
      <c r="BE3874" s="38"/>
      <c r="BF3874" s="38"/>
      <c r="BG3874" s="38"/>
      <c r="BH3874" s="38"/>
      <c r="BI3874" s="38"/>
      <c r="BJ3874" s="38"/>
      <c r="BK3874" s="38"/>
      <c r="BL3874" s="38"/>
      <c r="BM3874" s="38"/>
      <c r="BN3874" s="38"/>
      <c r="BO3874" s="38"/>
      <c r="BP3874" s="38"/>
      <c r="BQ3874" s="38"/>
    </row>
    <row r="3875">
      <c r="A3875" s="16"/>
      <c r="B3875" s="145"/>
      <c r="C3875" s="146"/>
      <c r="D3875" s="146"/>
      <c r="E3875" s="16"/>
      <c r="F3875" s="91"/>
      <c r="G3875" s="16"/>
      <c r="H3875" s="320" t="str">
        <f t="shared" si="424"/>
        <v/>
      </c>
      <c r="I3875" s="16"/>
      <c r="J3875" s="16"/>
      <c r="K3875" s="16"/>
      <c r="L3875" s="16"/>
      <c r="M3875" s="15"/>
      <c r="N3875" s="15"/>
      <c r="O3875" s="16"/>
      <c r="P3875" s="16"/>
      <c r="Q3875" s="16"/>
      <c r="R3875" s="16"/>
      <c r="S3875" s="37" t="str">
        <f>IFERROR(__xludf.DUMMYFUNCTION("if(not(iserror(index(split(C3875, "" ""),2))), index(split(C3875, "" ""),1),"""")"),"")</f>
        <v/>
      </c>
      <c r="T3875" s="315" t="str">
        <f>IFERROR(__xludf.DUMMYFUNCTION("if(S3875="""",C3875,if(not(iserror(index(split(C3875, "" ""),3))), index(split(C3875, "" ""),3),index(split(C3875, "" ""),2)))"),"")</f>
        <v/>
      </c>
      <c r="U3875" s="38" t="b">
        <f t="shared" si="423"/>
        <v>0</v>
      </c>
      <c r="V3875" s="38"/>
      <c r="W3875" s="40"/>
      <c r="X3875" s="40"/>
      <c r="Y3875" s="40"/>
      <c r="Z3875" s="38"/>
      <c r="AA3875" s="38"/>
      <c r="AB3875" s="38"/>
      <c r="AC3875" s="38"/>
      <c r="AD3875" s="38"/>
      <c r="AE3875" s="38"/>
      <c r="AF3875" s="38"/>
      <c r="AG3875" s="38"/>
      <c r="AH3875" s="38"/>
      <c r="AI3875" s="38"/>
      <c r="AJ3875" s="38"/>
      <c r="AK3875" s="38"/>
      <c r="AL3875" s="38"/>
      <c r="AM3875" s="38"/>
      <c r="AN3875" s="38"/>
      <c r="AO3875" s="38"/>
      <c r="AP3875" s="38"/>
      <c r="AQ3875" s="38"/>
      <c r="AR3875" s="38"/>
      <c r="AS3875" s="38"/>
      <c r="AT3875" s="38"/>
      <c r="AU3875" s="38"/>
      <c r="AV3875" s="38"/>
      <c r="AW3875" s="38"/>
      <c r="AX3875" s="38"/>
      <c r="AY3875" s="38"/>
      <c r="AZ3875" s="38"/>
      <c r="BA3875" s="38"/>
      <c r="BB3875" s="38"/>
      <c r="BC3875" s="38"/>
      <c r="BD3875" s="38"/>
      <c r="BE3875" s="38"/>
      <c r="BF3875" s="38"/>
      <c r="BG3875" s="38"/>
      <c r="BH3875" s="38"/>
      <c r="BI3875" s="38"/>
      <c r="BJ3875" s="38"/>
      <c r="BK3875" s="38"/>
      <c r="BL3875" s="38"/>
      <c r="BM3875" s="38"/>
      <c r="BN3875" s="38"/>
      <c r="BO3875" s="38"/>
      <c r="BP3875" s="38"/>
      <c r="BQ3875" s="38"/>
    </row>
    <row r="3876">
      <c r="A3876" s="16"/>
      <c r="B3876" s="145"/>
      <c r="C3876" s="146"/>
      <c r="D3876" s="146"/>
      <c r="E3876" s="16"/>
      <c r="F3876" s="91"/>
      <c r="G3876" s="16"/>
      <c r="H3876" s="320" t="str">
        <f t="shared" si="424"/>
        <v/>
      </c>
      <c r="I3876" s="16"/>
      <c r="J3876" s="16"/>
      <c r="K3876" s="16"/>
      <c r="L3876" s="16"/>
      <c r="M3876" s="15"/>
      <c r="N3876" s="15"/>
      <c r="O3876" s="16"/>
      <c r="P3876" s="16"/>
      <c r="Q3876" s="16"/>
      <c r="R3876" s="16"/>
      <c r="S3876" s="37" t="str">
        <f>IFERROR(__xludf.DUMMYFUNCTION("if(not(iserror(index(split(C3876, "" ""),2))), index(split(C3876, "" ""),1),"""")"),"")</f>
        <v/>
      </c>
      <c r="T3876" s="315" t="str">
        <f>IFERROR(__xludf.DUMMYFUNCTION("if(S3876="""",C3876,if(not(iserror(index(split(C3876, "" ""),3))), index(split(C3876, "" ""),3),index(split(C3876, "" ""),2)))"),"")</f>
        <v/>
      </c>
      <c r="U3876" s="38" t="b">
        <f t="shared" si="423"/>
        <v>0</v>
      </c>
      <c r="V3876" s="38"/>
      <c r="W3876" s="40"/>
      <c r="X3876" s="40"/>
      <c r="Y3876" s="40"/>
      <c r="Z3876" s="38"/>
      <c r="AA3876" s="38"/>
      <c r="AB3876" s="38"/>
      <c r="AC3876" s="38"/>
      <c r="AD3876" s="38"/>
      <c r="AE3876" s="38"/>
      <c r="AF3876" s="38"/>
      <c r="AG3876" s="38"/>
      <c r="AH3876" s="38"/>
      <c r="AI3876" s="38"/>
      <c r="AJ3876" s="38"/>
      <c r="AK3876" s="38"/>
      <c r="AL3876" s="38"/>
      <c r="AM3876" s="38"/>
      <c r="AN3876" s="38"/>
      <c r="AO3876" s="38"/>
      <c r="AP3876" s="38"/>
      <c r="AQ3876" s="38"/>
      <c r="AR3876" s="38"/>
      <c r="AS3876" s="38"/>
      <c r="AT3876" s="38"/>
      <c r="AU3876" s="38"/>
      <c r="AV3876" s="38"/>
      <c r="AW3876" s="38"/>
      <c r="AX3876" s="38"/>
      <c r="AY3876" s="38"/>
      <c r="AZ3876" s="38"/>
      <c r="BA3876" s="38"/>
      <c r="BB3876" s="38"/>
      <c r="BC3876" s="38"/>
      <c r="BD3876" s="38"/>
      <c r="BE3876" s="38"/>
      <c r="BF3876" s="38"/>
      <c r="BG3876" s="38"/>
      <c r="BH3876" s="38"/>
      <c r="BI3876" s="38"/>
      <c r="BJ3876" s="38"/>
      <c r="BK3876" s="38"/>
      <c r="BL3876" s="38"/>
      <c r="BM3876" s="38"/>
      <c r="BN3876" s="38"/>
      <c r="BO3876" s="38"/>
      <c r="BP3876" s="38"/>
      <c r="BQ3876" s="38"/>
    </row>
    <row r="3877">
      <c r="A3877" s="16"/>
      <c r="B3877" s="145"/>
      <c r="C3877" s="146"/>
      <c r="D3877" s="146"/>
      <c r="E3877" s="16"/>
      <c r="F3877" s="91"/>
      <c r="G3877" s="16"/>
      <c r="H3877" s="320" t="str">
        <f t="shared" si="424"/>
        <v/>
      </c>
      <c r="I3877" s="16"/>
      <c r="J3877" s="16"/>
      <c r="K3877" s="16"/>
      <c r="L3877" s="16"/>
      <c r="M3877" s="15"/>
      <c r="N3877" s="15"/>
      <c r="O3877" s="16"/>
      <c r="P3877" s="16"/>
      <c r="Q3877" s="16"/>
      <c r="R3877" s="16"/>
      <c r="S3877" s="37" t="str">
        <f>IFERROR(__xludf.DUMMYFUNCTION("if(not(iserror(index(split(C3877, "" ""),2))), index(split(C3877, "" ""),1),"""")"),"")</f>
        <v/>
      </c>
      <c r="T3877" s="315" t="str">
        <f>IFERROR(__xludf.DUMMYFUNCTION("if(S3877="""",C3877,if(not(iserror(index(split(C3877, "" ""),3))), index(split(C3877, "" ""),3),index(split(C3877, "" ""),2)))"),"")</f>
        <v/>
      </c>
      <c r="U3877" s="38" t="b">
        <f t="shared" si="423"/>
        <v>0</v>
      </c>
      <c r="V3877" s="38"/>
      <c r="W3877" s="40"/>
      <c r="X3877" s="40"/>
      <c r="Y3877" s="40"/>
      <c r="Z3877" s="38"/>
      <c r="AA3877" s="38"/>
      <c r="AB3877" s="38"/>
      <c r="AC3877" s="38"/>
      <c r="AD3877" s="38"/>
      <c r="AE3877" s="38"/>
      <c r="AF3877" s="38"/>
      <c r="AG3877" s="38"/>
      <c r="AH3877" s="38"/>
      <c r="AI3877" s="38"/>
      <c r="AJ3877" s="38"/>
      <c r="AK3877" s="38"/>
      <c r="AL3877" s="38"/>
      <c r="AM3877" s="38"/>
      <c r="AN3877" s="38"/>
      <c r="AO3877" s="38"/>
      <c r="AP3877" s="38"/>
      <c r="AQ3877" s="38"/>
      <c r="AR3877" s="38"/>
      <c r="AS3877" s="38"/>
      <c r="AT3877" s="38"/>
      <c r="AU3877" s="38"/>
      <c r="AV3877" s="38"/>
      <c r="AW3877" s="38"/>
      <c r="AX3877" s="38"/>
      <c r="AY3877" s="38"/>
      <c r="AZ3877" s="38"/>
      <c r="BA3877" s="38"/>
      <c r="BB3877" s="38"/>
      <c r="BC3877" s="38"/>
      <c r="BD3877" s="38"/>
      <c r="BE3877" s="38"/>
      <c r="BF3877" s="38"/>
      <c r="BG3877" s="38"/>
      <c r="BH3877" s="38"/>
      <c r="BI3877" s="38"/>
      <c r="BJ3877" s="38"/>
      <c r="BK3877" s="38"/>
      <c r="BL3877" s="38"/>
      <c r="BM3877" s="38"/>
      <c r="BN3877" s="38"/>
      <c r="BO3877" s="38"/>
      <c r="BP3877" s="38"/>
      <c r="BQ3877" s="38"/>
    </row>
    <row r="3878">
      <c r="A3878" s="16"/>
      <c r="B3878" s="145"/>
      <c r="C3878" s="146"/>
      <c r="D3878" s="146"/>
      <c r="E3878" s="16"/>
      <c r="F3878" s="91"/>
      <c r="G3878" s="16"/>
      <c r="H3878" s="320" t="str">
        <f t="shared" si="424"/>
        <v/>
      </c>
      <c r="I3878" s="16"/>
      <c r="J3878" s="16"/>
      <c r="K3878" s="16"/>
      <c r="L3878" s="16"/>
      <c r="M3878" s="15"/>
      <c r="N3878" s="15"/>
      <c r="O3878" s="16"/>
      <c r="P3878" s="16"/>
      <c r="Q3878" s="16"/>
      <c r="R3878" s="16"/>
      <c r="S3878" s="37" t="str">
        <f>IFERROR(__xludf.DUMMYFUNCTION("if(not(iserror(index(split(C3878, "" ""),2))), index(split(C3878, "" ""),1),"""")"),"")</f>
        <v/>
      </c>
      <c r="T3878" s="315" t="str">
        <f>IFERROR(__xludf.DUMMYFUNCTION("if(S3878="""",C3878,if(not(iserror(index(split(C3878, "" ""),3))), index(split(C3878, "" ""),3),index(split(C3878, "" ""),2)))"),"")</f>
        <v/>
      </c>
      <c r="U3878" s="38" t="b">
        <f t="shared" si="423"/>
        <v>0</v>
      </c>
      <c r="V3878" s="38"/>
      <c r="W3878" s="40"/>
      <c r="X3878" s="40"/>
      <c r="Y3878" s="40"/>
      <c r="Z3878" s="38"/>
      <c r="AA3878" s="38"/>
      <c r="AB3878" s="38"/>
      <c r="AC3878" s="38"/>
      <c r="AD3878" s="38"/>
      <c r="AE3878" s="38"/>
      <c r="AF3878" s="38"/>
      <c r="AG3878" s="38"/>
      <c r="AH3878" s="38"/>
      <c r="AI3878" s="38"/>
      <c r="AJ3878" s="38"/>
      <c r="AK3878" s="38"/>
      <c r="AL3878" s="38"/>
      <c r="AM3878" s="38"/>
      <c r="AN3878" s="38"/>
      <c r="AO3878" s="38"/>
      <c r="AP3878" s="38"/>
      <c r="AQ3878" s="38"/>
      <c r="AR3878" s="38"/>
      <c r="AS3878" s="38"/>
      <c r="AT3878" s="38"/>
      <c r="AU3878" s="38"/>
      <c r="AV3878" s="38"/>
      <c r="AW3878" s="38"/>
      <c r="AX3878" s="38"/>
      <c r="AY3878" s="38"/>
      <c r="AZ3878" s="38"/>
      <c r="BA3878" s="38"/>
      <c r="BB3878" s="38"/>
      <c r="BC3878" s="38"/>
      <c r="BD3878" s="38"/>
      <c r="BE3878" s="38"/>
      <c r="BF3878" s="38"/>
      <c r="BG3878" s="38"/>
      <c r="BH3878" s="38"/>
      <c r="BI3878" s="38"/>
      <c r="BJ3878" s="38"/>
      <c r="BK3878" s="38"/>
      <c r="BL3878" s="38"/>
      <c r="BM3878" s="38"/>
      <c r="BN3878" s="38"/>
      <c r="BO3878" s="38"/>
      <c r="BP3878" s="38"/>
      <c r="BQ3878" s="38"/>
    </row>
    <row r="3879">
      <c r="A3879" s="16"/>
      <c r="B3879" s="145"/>
      <c r="C3879" s="146"/>
      <c r="D3879" s="146"/>
      <c r="E3879" s="16"/>
      <c r="F3879" s="91"/>
      <c r="G3879" s="16"/>
      <c r="H3879" s="320" t="str">
        <f t="shared" si="424"/>
        <v/>
      </c>
      <c r="I3879" s="16"/>
      <c r="J3879" s="16"/>
      <c r="K3879" s="16"/>
      <c r="L3879" s="16"/>
      <c r="M3879" s="15"/>
      <c r="N3879" s="15"/>
      <c r="O3879" s="16"/>
      <c r="P3879" s="16"/>
      <c r="Q3879" s="16"/>
      <c r="R3879" s="16"/>
      <c r="S3879" s="37" t="str">
        <f>IFERROR(__xludf.DUMMYFUNCTION("if(not(iserror(index(split(C3879, "" ""),2))), index(split(C3879, "" ""),1),"""")"),"")</f>
        <v/>
      </c>
      <c r="T3879" s="315" t="str">
        <f>IFERROR(__xludf.DUMMYFUNCTION("if(S3879="""",C3879,if(not(iserror(index(split(C3879, "" ""),3))), index(split(C3879, "" ""),3),index(split(C3879, "" ""),2)))"),"")</f>
        <v/>
      </c>
      <c r="U3879" s="38" t="b">
        <f t="shared" si="423"/>
        <v>0</v>
      </c>
      <c r="V3879" s="38"/>
      <c r="W3879" s="40"/>
      <c r="X3879" s="40"/>
      <c r="Y3879" s="40"/>
      <c r="Z3879" s="38"/>
      <c r="AA3879" s="38"/>
      <c r="AB3879" s="38"/>
      <c r="AC3879" s="38"/>
      <c r="AD3879" s="38"/>
      <c r="AE3879" s="38"/>
      <c r="AF3879" s="38"/>
      <c r="AG3879" s="38"/>
      <c r="AH3879" s="38"/>
      <c r="AI3879" s="38"/>
      <c r="AJ3879" s="38"/>
      <c r="AK3879" s="38"/>
      <c r="AL3879" s="38"/>
      <c r="AM3879" s="38"/>
      <c r="AN3879" s="38"/>
      <c r="AO3879" s="38"/>
      <c r="AP3879" s="38"/>
      <c r="AQ3879" s="38"/>
      <c r="AR3879" s="38"/>
      <c r="AS3879" s="38"/>
      <c r="AT3879" s="38"/>
      <c r="AU3879" s="38"/>
      <c r="AV3879" s="38"/>
      <c r="AW3879" s="38"/>
      <c r="AX3879" s="38"/>
      <c r="AY3879" s="38"/>
      <c r="AZ3879" s="38"/>
      <c r="BA3879" s="38"/>
      <c r="BB3879" s="38"/>
      <c r="BC3879" s="38"/>
      <c r="BD3879" s="38"/>
      <c r="BE3879" s="38"/>
      <c r="BF3879" s="38"/>
      <c r="BG3879" s="38"/>
      <c r="BH3879" s="38"/>
      <c r="BI3879" s="38"/>
      <c r="BJ3879" s="38"/>
      <c r="BK3879" s="38"/>
      <c r="BL3879" s="38"/>
      <c r="BM3879" s="38"/>
      <c r="BN3879" s="38"/>
      <c r="BO3879" s="38"/>
      <c r="BP3879" s="38"/>
      <c r="BQ3879" s="38"/>
    </row>
    <row r="3880">
      <c r="A3880" s="16"/>
      <c r="B3880" s="145"/>
      <c r="C3880" s="146"/>
      <c r="D3880" s="146"/>
      <c r="E3880" s="16"/>
      <c r="F3880" s="91"/>
      <c r="G3880" s="16"/>
      <c r="H3880" s="320" t="str">
        <f t="shared" si="424"/>
        <v/>
      </c>
      <c r="I3880" s="16"/>
      <c r="J3880" s="16"/>
      <c r="K3880" s="16"/>
      <c r="L3880" s="16"/>
      <c r="M3880" s="15"/>
      <c r="N3880" s="15"/>
      <c r="O3880" s="16"/>
      <c r="P3880" s="16"/>
      <c r="Q3880" s="16"/>
      <c r="R3880" s="16"/>
      <c r="S3880" s="37" t="str">
        <f>IFERROR(__xludf.DUMMYFUNCTION("if(not(iserror(index(split(C3880, "" ""),2))), index(split(C3880, "" ""),1),"""")"),"")</f>
        <v/>
      </c>
      <c r="T3880" s="315" t="str">
        <f>IFERROR(__xludf.DUMMYFUNCTION("if(S3880="""",C3880,if(not(iserror(index(split(C3880, "" ""),3))), index(split(C3880, "" ""),3),index(split(C3880, "" ""),2)))"),"")</f>
        <v/>
      </c>
      <c r="U3880" s="38" t="b">
        <f t="shared" si="423"/>
        <v>0</v>
      </c>
      <c r="V3880" s="38"/>
      <c r="W3880" s="40"/>
      <c r="X3880" s="40"/>
      <c r="Y3880" s="40"/>
      <c r="Z3880" s="38"/>
      <c r="AA3880" s="38"/>
      <c r="AB3880" s="38"/>
      <c r="AC3880" s="38"/>
      <c r="AD3880" s="38"/>
      <c r="AE3880" s="38"/>
      <c r="AF3880" s="38"/>
      <c r="AG3880" s="38"/>
      <c r="AH3880" s="38"/>
      <c r="AI3880" s="38"/>
      <c r="AJ3880" s="38"/>
      <c r="AK3880" s="38"/>
      <c r="AL3880" s="38"/>
      <c r="AM3880" s="38"/>
      <c r="AN3880" s="38"/>
      <c r="AO3880" s="38"/>
      <c r="AP3880" s="38"/>
      <c r="AQ3880" s="38"/>
      <c r="AR3880" s="38"/>
      <c r="AS3880" s="38"/>
      <c r="AT3880" s="38"/>
      <c r="AU3880" s="38"/>
      <c r="AV3880" s="38"/>
      <c r="AW3880" s="38"/>
      <c r="AX3880" s="38"/>
      <c r="AY3880" s="38"/>
      <c r="AZ3880" s="38"/>
      <c r="BA3880" s="38"/>
      <c r="BB3880" s="38"/>
      <c r="BC3880" s="38"/>
      <c r="BD3880" s="38"/>
      <c r="BE3880" s="38"/>
      <c r="BF3880" s="38"/>
      <c r="BG3880" s="38"/>
      <c r="BH3880" s="38"/>
      <c r="BI3880" s="38"/>
      <c r="BJ3880" s="38"/>
      <c r="BK3880" s="38"/>
      <c r="BL3880" s="38"/>
      <c r="BM3880" s="38"/>
      <c r="BN3880" s="38"/>
      <c r="BO3880" s="38"/>
      <c r="BP3880" s="38"/>
      <c r="BQ3880" s="38"/>
    </row>
    <row r="3881">
      <c r="A3881" s="16"/>
      <c r="B3881" s="145"/>
      <c r="C3881" s="146"/>
      <c r="D3881" s="146"/>
      <c r="E3881" s="16"/>
      <c r="F3881" s="91"/>
      <c r="G3881" s="16"/>
      <c r="H3881" s="320" t="str">
        <f t="shared" si="424"/>
        <v/>
      </c>
      <c r="I3881" s="16"/>
      <c r="J3881" s="16"/>
      <c r="K3881" s="16"/>
      <c r="L3881" s="16"/>
      <c r="M3881" s="15"/>
      <c r="N3881" s="15"/>
      <c r="O3881" s="16"/>
      <c r="P3881" s="16"/>
      <c r="Q3881" s="16"/>
      <c r="R3881" s="16"/>
      <c r="S3881" s="37" t="str">
        <f>IFERROR(__xludf.DUMMYFUNCTION("if(not(iserror(index(split(C3881, "" ""),2))), index(split(C3881, "" ""),1),"""")"),"")</f>
        <v/>
      </c>
      <c r="T3881" s="315" t="str">
        <f>IFERROR(__xludf.DUMMYFUNCTION("if(S3881="""",C3881,if(not(iserror(index(split(C3881, "" ""),3))), index(split(C3881, "" ""),3),index(split(C3881, "" ""),2)))"),"")</f>
        <v/>
      </c>
      <c r="U3881" s="38" t="b">
        <f t="shared" si="423"/>
        <v>0</v>
      </c>
      <c r="V3881" s="38"/>
      <c r="W3881" s="40"/>
      <c r="X3881" s="40"/>
      <c r="Y3881" s="40"/>
      <c r="Z3881" s="38"/>
      <c r="AA3881" s="38"/>
      <c r="AB3881" s="38"/>
      <c r="AC3881" s="38"/>
      <c r="AD3881" s="38"/>
      <c r="AE3881" s="38"/>
      <c r="AF3881" s="38"/>
      <c r="AG3881" s="38"/>
      <c r="AH3881" s="38"/>
      <c r="AI3881" s="38"/>
      <c r="AJ3881" s="38"/>
      <c r="AK3881" s="38"/>
      <c r="AL3881" s="38"/>
      <c r="AM3881" s="38"/>
      <c r="AN3881" s="38"/>
      <c r="AO3881" s="38"/>
      <c r="AP3881" s="38"/>
      <c r="AQ3881" s="38"/>
      <c r="AR3881" s="38"/>
      <c r="AS3881" s="38"/>
      <c r="AT3881" s="38"/>
      <c r="AU3881" s="38"/>
      <c r="AV3881" s="38"/>
      <c r="AW3881" s="38"/>
      <c r="AX3881" s="38"/>
      <c r="AY3881" s="38"/>
      <c r="AZ3881" s="38"/>
      <c r="BA3881" s="38"/>
      <c r="BB3881" s="38"/>
      <c r="BC3881" s="38"/>
      <c r="BD3881" s="38"/>
      <c r="BE3881" s="38"/>
      <c r="BF3881" s="38"/>
      <c r="BG3881" s="38"/>
      <c r="BH3881" s="38"/>
      <c r="BI3881" s="38"/>
      <c r="BJ3881" s="38"/>
      <c r="BK3881" s="38"/>
      <c r="BL3881" s="38"/>
      <c r="BM3881" s="38"/>
      <c r="BN3881" s="38"/>
      <c r="BO3881" s="38"/>
      <c r="BP3881" s="38"/>
      <c r="BQ3881" s="38"/>
    </row>
    <row r="3882">
      <c r="A3882" s="16"/>
      <c r="B3882" s="145"/>
      <c r="C3882" s="146"/>
      <c r="D3882" s="146"/>
      <c r="E3882" s="16"/>
      <c r="F3882" s="91"/>
      <c r="G3882" s="16"/>
      <c r="H3882" s="320" t="str">
        <f t="shared" si="424"/>
        <v/>
      </c>
      <c r="I3882" s="16"/>
      <c r="J3882" s="16"/>
      <c r="K3882" s="16"/>
      <c r="L3882" s="16"/>
      <c r="M3882" s="15"/>
      <c r="N3882" s="15"/>
      <c r="O3882" s="16"/>
      <c r="P3882" s="16"/>
      <c r="Q3882" s="16"/>
      <c r="R3882" s="16"/>
      <c r="S3882" s="37" t="str">
        <f>IFERROR(__xludf.DUMMYFUNCTION("if(not(iserror(index(split(C3882, "" ""),2))), index(split(C3882, "" ""),1),"""")"),"")</f>
        <v/>
      </c>
      <c r="T3882" s="315" t="str">
        <f>IFERROR(__xludf.DUMMYFUNCTION("if(S3882="""",C3882,if(not(iserror(index(split(C3882, "" ""),3))), index(split(C3882, "" ""),3),index(split(C3882, "" ""),2)))"),"")</f>
        <v/>
      </c>
      <c r="U3882" s="38" t="b">
        <f t="shared" si="423"/>
        <v>0</v>
      </c>
      <c r="V3882" s="38"/>
      <c r="W3882" s="40"/>
      <c r="X3882" s="40"/>
      <c r="Y3882" s="40"/>
      <c r="Z3882" s="38"/>
      <c r="AA3882" s="38"/>
      <c r="AB3882" s="38"/>
      <c r="AC3882" s="38"/>
      <c r="AD3882" s="38"/>
      <c r="AE3882" s="38"/>
      <c r="AF3882" s="38"/>
      <c r="AG3882" s="38"/>
      <c r="AH3882" s="38"/>
      <c r="AI3882" s="38"/>
      <c r="AJ3882" s="38"/>
      <c r="AK3882" s="38"/>
      <c r="AL3882" s="38"/>
      <c r="AM3882" s="38"/>
      <c r="AN3882" s="38"/>
      <c r="AO3882" s="38"/>
      <c r="AP3882" s="38"/>
      <c r="AQ3882" s="38"/>
      <c r="AR3882" s="38"/>
      <c r="AS3882" s="38"/>
      <c r="AT3882" s="38"/>
      <c r="AU3882" s="38"/>
      <c r="AV3882" s="38"/>
      <c r="AW3882" s="38"/>
      <c r="AX3882" s="38"/>
      <c r="AY3882" s="38"/>
      <c r="AZ3882" s="38"/>
      <c r="BA3882" s="38"/>
      <c r="BB3882" s="38"/>
      <c r="BC3882" s="38"/>
      <c r="BD3882" s="38"/>
      <c r="BE3882" s="38"/>
      <c r="BF3882" s="38"/>
      <c r="BG3882" s="38"/>
      <c r="BH3882" s="38"/>
      <c r="BI3882" s="38"/>
      <c r="BJ3882" s="38"/>
      <c r="BK3882" s="38"/>
      <c r="BL3882" s="38"/>
      <c r="BM3882" s="38"/>
      <c r="BN3882" s="38"/>
      <c r="BO3882" s="38"/>
      <c r="BP3882" s="38"/>
      <c r="BQ3882" s="38"/>
    </row>
    <row r="3883">
      <c r="A3883" s="16"/>
      <c r="B3883" s="145"/>
      <c r="C3883" s="146"/>
      <c r="D3883" s="146"/>
      <c r="E3883" s="16"/>
      <c r="F3883" s="91"/>
      <c r="G3883" s="16"/>
      <c r="H3883" s="320" t="str">
        <f t="shared" si="424"/>
        <v/>
      </c>
      <c r="I3883" s="16"/>
      <c r="J3883" s="16"/>
      <c r="K3883" s="16"/>
      <c r="L3883" s="16"/>
      <c r="M3883" s="15"/>
      <c r="N3883" s="15"/>
      <c r="O3883" s="16"/>
      <c r="P3883" s="16"/>
      <c r="Q3883" s="16"/>
      <c r="R3883" s="16"/>
      <c r="S3883" s="37" t="str">
        <f>IFERROR(__xludf.DUMMYFUNCTION("if(not(iserror(index(split(C3883, "" ""),2))), index(split(C3883, "" ""),1),"""")"),"")</f>
        <v/>
      </c>
      <c r="T3883" s="315" t="str">
        <f>IFERROR(__xludf.DUMMYFUNCTION("if(S3883="""",C3883,if(not(iserror(index(split(C3883, "" ""),3))), index(split(C3883, "" ""),3),index(split(C3883, "" ""),2)))"),"")</f>
        <v/>
      </c>
      <c r="U3883" s="38" t="b">
        <f t="shared" si="423"/>
        <v>0</v>
      </c>
      <c r="V3883" s="38"/>
      <c r="W3883" s="40"/>
      <c r="X3883" s="40"/>
      <c r="Y3883" s="40"/>
      <c r="Z3883" s="38"/>
      <c r="AA3883" s="38"/>
      <c r="AB3883" s="38"/>
      <c r="AC3883" s="38"/>
      <c r="AD3883" s="38"/>
      <c r="AE3883" s="38"/>
      <c r="AF3883" s="38"/>
      <c r="AG3883" s="38"/>
      <c r="AH3883" s="38"/>
      <c r="AI3883" s="38"/>
      <c r="AJ3883" s="38"/>
      <c r="AK3883" s="38"/>
      <c r="AL3883" s="38"/>
      <c r="AM3883" s="38"/>
      <c r="AN3883" s="38"/>
      <c r="AO3883" s="38"/>
      <c r="AP3883" s="38"/>
      <c r="AQ3883" s="38"/>
      <c r="AR3883" s="38"/>
      <c r="AS3883" s="38"/>
      <c r="AT3883" s="38"/>
      <c r="AU3883" s="38"/>
      <c r="AV3883" s="38"/>
      <c r="AW3883" s="38"/>
      <c r="AX3883" s="38"/>
      <c r="AY3883" s="38"/>
      <c r="AZ3883" s="38"/>
      <c r="BA3883" s="38"/>
      <c r="BB3883" s="38"/>
      <c r="BC3883" s="38"/>
      <c r="BD3883" s="38"/>
      <c r="BE3883" s="38"/>
      <c r="BF3883" s="38"/>
      <c r="BG3883" s="38"/>
      <c r="BH3883" s="38"/>
      <c r="BI3883" s="38"/>
      <c r="BJ3883" s="38"/>
      <c r="BK3883" s="38"/>
      <c r="BL3883" s="38"/>
      <c r="BM3883" s="38"/>
      <c r="BN3883" s="38"/>
      <c r="BO3883" s="38"/>
      <c r="BP3883" s="38"/>
      <c r="BQ3883" s="38"/>
    </row>
    <row r="3884">
      <c r="A3884" s="16"/>
      <c r="B3884" s="145"/>
      <c r="C3884" s="146"/>
      <c r="D3884" s="146"/>
      <c r="E3884" s="16"/>
      <c r="F3884" s="91"/>
      <c r="G3884" s="16"/>
      <c r="H3884" s="320" t="str">
        <f t="shared" si="424"/>
        <v/>
      </c>
      <c r="I3884" s="16"/>
      <c r="J3884" s="16"/>
      <c r="K3884" s="16"/>
      <c r="L3884" s="16"/>
      <c r="M3884" s="15"/>
      <c r="N3884" s="15"/>
      <c r="O3884" s="16"/>
      <c r="P3884" s="16"/>
      <c r="Q3884" s="16"/>
      <c r="R3884" s="16"/>
      <c r="S3884" s="37" t="str">
        <f>IFERROR(__xludf.DUMMYFUNCTION("if(not(iserror(index(split(C3884, "" ""),2))), index(split(C3884, "" ""),1),"""")"),"")</f>
        <v/>
      </c>
      <c r="T3884" s="315" t="str">
        <f>IFERROR(__xludf.DUMMYFUNCTION("if(S3884="""",C3884,if(not(iserror(index(split(C3884, "" ""),3))), index(split(C3884, "" ""),3),index(split(C3884, "" ""),2)))"),"")</f>
        <v/>
      </c>
      <c r="U3884" s="38" t="b">
        <f t="shared" si="423"/>
        <v>0</v>
      </c>
      <c r="V3884" s="38"/>
      <c r="W3884" s="40"/>
      <c r="X3884" s="40"/>
      <c r="Y3884" s="40"/>
      <c r="Z3884" s="38"/>
      <c r="AA3884" s="38"/>
      <c r="AB3884" s="38"/>
      <c r="AC3884" s="38"/>
      <c r="AD3884" s="38"/>
      <c r="AE3884" s="38"/>
      <c r="AF3884" s="38"/>
      <c r="AG3884" s="38"/>
      <c r="AH3884" s="38"/>
      <c r="AI3884" s="38"/>
      <c r="AJ3884" s="38"/>
      <c r="AK3884" s="38"/>
      <c r="AL3884" s="38"/>
      <c r="AM3884" s="38"/>
      <c r="AN3884" s="38"/>
      <c r="AO3884" s="38"/>
      <c r="AP3884" s="38"/>
      <c r="AQ3884" s="38"/>
      <c r="AR3884" s="38"/>
      <c r="AS3884" s="38"/>
      <c r="AT3884" s="38"/>
      <c r="AU3884" s="38"/>
      <c r="AV3884" s="38"/>
      <c r="AW3884" s="38"/>
      <c r="AX3884" s="38"/>
      <c r="AY3884" s="38"/>
      <c r="AZ3884" s="38"/>
      <c r="BA3884" s="38"/>
      <c r="BB3884" s="38"/>
      <c r="BC3884" s="38"/>
      <c r="BD3884" s="38"/>
      <c r="BE3884" s="38"/>
      <c r="BF3884" s="38"/>
      <c r="BG3884" s="38"/>
      <c r="BH3884" s="38"/>
      <c r="BI3884" s="38"/>
      <c r="BJ3884" s="38"/>
      <c r="BK3884" s="38"/>
      <c r="BL3884" s="38"/>
      <c r="BM3884" s="38"/>
      <c r="BN3884" s="38"/>
      <c r="BO3884" s="38"/>
      <c r="BP3884" s="38"/>
      <c r="BQ3884" s="38"/>
    </row>
    <row r="3885">
      <c r="A3885" s="16"/>
      <c r="B3885" s="145"/>
      <c r="C3885" s="146"/>
      <c r="D3885" s="146"/>
      <c r="E3885" s="16"/>
      <c r="F3885" s="91"/>
      <c r="G3885" s="16"/>
      <c r="H3885" s="320" t="str">
        <f t="shared" si="424"/>
        <v/>
      </c>
      <c r="I3885" s="16"/>
      <c r="J3885" s="16"/>
      <c r="K3885" s="16"/>
      <c r="L3885" s="16"/>
      <c r="M3885" s="15"/>
      <c r="N3885" s="15"/>
      <c r="O3885" s="16"/>
      <c r="P3885" s="16"/>
      <c r="Q3885" s="16"/>
      <c r="R3885" s="16"/>
      <c r="S3885" s="37" t="str">
        <f>IFERROR(__xludf.DUMMYFUNCTION("if(not(iserror(index(split(C3885, "" ""),2))), index(split(C3885, "" ""),1),"""")"),"")</f>
        <v/>
      </c>
      <c r="T3885" s="315" t="str">
        <f>IFERROR(__xludf.DUMMYFUNCTION("if(S3885="""",C3885,if(not(iserror(index(split(C3885, "" ""),3))), index(split(C3885, "" ""),3),index(split(C3885, "" ""),2)))"),"")</f>
        <v/>
      </c>
      <c r="U3885" s="38" t="b">
        <f t="shared" si="423"/>
        <v>0</v>
      </c>
      <c r="V3885" s="38"/>
      <c r="W3885" s="40"/>
      <c r="X3885" s="40"/>
      <c r="Y3885" s="40"/>
      <c r="Z3885" s="38"/>
      <c r="AA3885" s="38"/>
      <c r="AB3885" s="38"/>
      <c r="AC3885" s="38"/>
      <c r="AD3885" s="38"/>
      <c r="AE3885" s="38"/>
      <c r="AF3885" s="38"/>
      <c r="AG3885" s="38"/>
      <c r="AH3885" s="38"/>
      <c r="AI3885" s="38"/>
      <c r="AJ3885" s="38"/>
      <c r="AK3885" s="38"/>
      <c r="AL3885" s="38"/>
      <c r="AM3885" s="38"/>
      <c r="AN3885" s="38"/>
      <c r="AO3885" s="38"/>
      <c r="AP3885" s="38"/>
      <c r="AQ3885" s="38"/>
      <c r="AR3885" s="38"/>
      <c r="AS3885" s="38"/>
      <c r="AT3885" s="38"/>
      <c r="AU3885" s="38"/>
      <c r="AV3885" s="38"/>
      <c r="AW3885" s="38"/>
      <c r="AX3885" s="38"/>
      <c r="AY3885" s="38"/>
      <c r="AZ3885" s="38"/>
      <c r="BA3885" s="38"/>
      <c r="BB3885" s="38"/>
      <c r="BC3885" s="38"/>
      <c r="BD3885" s="38"/>
      <c r="BE3885" s="38"/>
      <c r="BF3885" s="38"/>
      <c r="BG3885" s="38"/>
      <c r="BH3885" s="38"/>
      <c r="BI3885" s="38"/>
      <c r="BJ3885" s="38"/>
      <c r="BK3885" s="38"/>
      <c r="BL3885" s="38"/>
      <c r="BM3885" s="38"/>
      <c r="BN3885" s="38"/>
      <c r="BO3885" s="38"/>
      <c r="BP3885" s="38"/>
      <c r="BQ3885" s="38"/>
    </row>
    <row r="3886">
      <c r="A3886" s="16"/>
      <c r="B3886" s="145"/>
      <c r="C3886" s="146"/>
      <c r="D3886" s="146"/>
      <c r="E3886" s="16"/>
      <c r="F3886" s="91"/>
      <c r="G3886" s="16"/>
      <c r="H3886" s="320" t="str">
        <f t="shared" si="424"/>
        <v/>
      </c>
      <c r="I3886" s="16"/>
      <c r="J3886" s="16"/>
      <c r="K3886" s="16"/>
      <c r="L3886" s="16"/>
      <c r="M3886" s="15"/>
      <c r="N3886" s="15"/>
      <c r="O3886" s="16"/>
      <c r="P3886" s="16"/>
      <c r="Q3886" s="16"/>
      <c r="R3886" s="16"/>
      <c r="S3886" s="37" t="str">
        <f>IFERROR(__xludf.DUMMYFUNCTION("if(not(iserror(index(split(C3886, "" ""),2))), index(split(C3886, "" ""),1),"""")"),"")</f>
        <v/>
      </c>
      <c r="T3886" s="315" t="str">
        <f>IFERROR(__xludf.DUMMYFUNCTION("if(S3886="""",C3886,if(not(iserror(index(split(C3886, "" ""),3))), index(split(C3886, "" ""),3),index(split(C3886, "" ""),2)))"),"")</f>
        <v/>
      </c>
      <c r="U3886" s="38" t="b">
        <f t="shared" si="423"/>
        <v>0</v>
      </c>
      <c r="V3886" s="38"/>
      <c r="W3886" s="40"/>
      <c r="X3886" s="40"/>
      <c r="Y3886" s="40"/>
      <c r="Z3886" s="38"/>
      <c r="AA3886" s="38"/>
      <c r="AB3886" s="38"/>
      <c r="AC3886" s="38"/>
      <c r="AD3886" s="38"/>
      <c r="AE3886" s="38"/>
      <c r="AF3886" s="38"/>
      <c r="AG3886" s="38"/>
      <c r="AH3886" s="38"/>
      <c r="AI3886" s="38"/>
      <c r="AJ3886" s="38"/>
      <c r="AK3886" s="38"/>
      <c r="AL3886" s="38"/>
      <c r="AM3886" s="38"/>
      <c r="AN3886" s="38"/>
      <c r="AO3886" s="38"/>
      <c r="AP3886" s="38"/>
      <c r="AQ3886" s="38"/>
      <c r="AR3886" s="38"/>
      <c r="AS3886" s="38"/>
      <c r="AT3886" s="38"/>
      <c r="AU3886" s="38"/>
      <c r="AV3886" s="38"/>
      <c r="AW3886" s="38"/>
      <c r="AX3886" s="38"/>
      <c r="AY3886" s="38"/>
      <c r="AZ3886" s="38"/>
      <c r="BA3886" s="38"/>
      <c r="BB3886" s="38"/>
      <c r="BC3886" s="38"/>
      <c r="BD3886" s="38"/>
      <c r="BE3886" s="38"/>
      <c r="BF3886" s="38"/>
      <c r="BG3886" s="38"/>
      <c r="BH3886" s="38"/>
      <c r="BI3886" s="38"/>
      <c r="BJ3886" s="38"/>
      <c r="BK3886" s="38"/>
      <c r="BL3886" s="38"/>
      <c r="BM3886" s="38"/>
      <c r="BN3886" s="38"/>
      <c r="BO3886" s="38"/>
      <c r="BP3886" s="38"/>
      <c r="BQ3886" s="38"/>
    </row>
    <row r="3887">
      <c r="A3887" s="16"/>
      <c r="B3887" s="145"/>
      <c r="C3887" s="146"/>
      <c r="D3887" s="146"/>
      <c r="E3887" s="16"/>
      <c r="F3887" s="91"/>
      <c r="G3887" s="16"/>
      <c r="H3887" s="320" t="str">
        <f t="shared" si="424"/>
        <v/>
      </c>
      <c r="I3887" s="16"/>
      <c r="J3887" s="16"/>
      <c r="K3887" s="16"/>
      <c r="L3887" s="16"/>
      <c r="M3887" s="15"/>
      <c r="N3887" s="15"/>
      <c r="O3887" s="16"/>
      <c r="P3887" s="16"/>
      <c r="Q3887" s="16"/>
      <c r="R3887" s="16"/>
      <c r="S3887" s="37" t="str">
        <f>IFERROR(__xludf.DUMMYFUNCTION("if(not(iserror(index(split(C3887, "" ""),2))), index(split(C3887, "" ""),1),"""")"),"")</f>
        <v/>
      </c>
      <c r="T3887" s="315" t="str">
        <f>IFERROR(__xludf.DUMMYFUNCTION("if(S3887="""",C3887,if(not(iserror(index(split(C3887, "" ""),3))), index(split(C3887, "" ""),3),index(split(C3887, "" ""),2)))"),"")</f>
        <v/>
      </c>
      <c r="U3887" s="38" t="b">
        <f t="shared" si="423"/>
        <v>0</v>
      </c>
      <c r="V3887" s="38"/>
      <c r="W3887" s="40"/>
      <c r="X3887" s="40"/>
      <c r="Y3887" s="40"/>
      <c r="Z3887" s="38"/>
      <c r="AA3887" s="38"/>
      <c r="AB3887" s="38"/>
      <c r="AC3887" s="38"/>
      <c r="AD3887" s="38"/>
      <c r="AE3887" s="38"/>
      <c r="AF3887" s="38"/>
      <c r="AG3887" s="38"/>
      <c r="AH3887" s="38"/>
      <c r="AI3887" s="38"/>
      <c r="AJ3887" s="38"/>
      <c r="AK3887" s="38"/>
      <c r="AL3887" s="38"/>
      <c r="AM3887" s="38"/>
      <c r="AN3887" s="38"/>
      <c r="AO3887" s="38"/>
      <c r="AP3887" s="38"/>
      <c r="AQ3887" s="38"/>
      <c r="AR3887" s="38"/>
      <c r="AS3887" s="38"/>
      <c r="AT3887" s="38"/>
      <c r="AU3887" s="38"/>
      <c r="AV3887" s="38"/>
      <c r="AW3887" s="38"/>
      <c r="AX3887" s="38"/>
      <c r="AY3887" s="38"/>
      <c r="AZ3887" s="38"/>
      <c r="BA3887" s="38"/>
      <c r="BB3887" s="38"/>
      <c r="BC3887" s="38"/>
      <c r="BD3887" s="38"/>
      <c r="BE3887" s="38"/>
      <c r="BF3887" s="38"/>
      <c r="BG3887" s="38"/>
      <c r="BH3887" s="38"/>
      <c r="BI3887" s="38"/>
      <c r="BJ3887" s="38"/>
      <c r="BK3887" s="38"/>
      <c r="BL3887" s="38"/>
      <c r="BM3887" s="38"/>
      <c r="BN3887" s="38"/>
      <c r="BO3887" s="38"/>
      <c r="BP3887" s="38"/>
      <c r="BQ3887" s="38"/>
    </row>
    <row r="3888">
      <c r="A3888" s="16"/>
      <c r="B3888" s="145"/>
      <c r="C3888" s="146"/>
      <c r="D3888" s="146"/>
      <c r="E3888" s="16"/>
      <c r="F3888" s="91"/>
      <c r="G3888" s="16"/>
      <c r="H3888" s="320" t="str">
        <f t="shared" si="424"/>
        <v/>
      </c>
      <c r="I3888" s="16"/>
      <c r="J3888" s="16"/>
      <c r="K3888" s="16"/>
      <c r="L3888" s="16"/>
      <c r="M3888" s="15"/>
      <c r="N3888" s="15"/>
      <c r="O3888" s="16"/>
      <c r="P3888" s="16"/>
      <c r="Q3888" s="16"/>
      <c r="R3888" s="16"/>
      <c r="S3888" s="37" t="str">
        <f>IFERROR(__xludf.DUMMYFUNCTION("if(not(iserror(index(split(C3888, "" ""),2))), index(split(C3888, "" ""),1),"""")"),"")</f>
        <v/>
      </c>
      <c r="T3888" s="315" t="str">
        <f>IFERROR(__xludf.DUMMYFUNCTION("if(S3888="""",C3888,if(not(iserror(index(split(C3888, "" ""),3))), index(split(C3888, "" ""),3),index(split(C3888, "" ""),2)))"),"")</f>
        <v/>
      </c>
      <c r="U3888" s="38" t="b">
        <f t="shared" si="423"/>
        <v>0</v>
      </c>
      <c r="V3888" s="38"/>
      <c r="W3888" s="40"/>
      <c r="X3888" s="40"/>
      <c r="Y3888" s="40"/>
      <c r="Z3888" s="38"/>
      <c r="AA3888" s="38"/>
      <c r="AB3888" s="38"/>
      <c r="AC3888" s="38"/>
      <c r="AD3888" s="38"/>
      <c r="AE3888" s="38"/>
      <c r="AF3888" s="38"/>
      <c r="AG3888" s="38"/>
      <c r="AH3888" s="38"/>
      <c r="AI3888" s="38"/>
      <c r="AJ3888" s="38"/>
      <c r="AK3888" s="38"/>
      <c r="AL3888" s="38"/>
      <c r="AM3888" s="38"/>
      <c r="AN3888" s="38"/>
      <c r="AO3888" s="38"/>
      <c r="AP3888" s="38"/>
      <c r="AQ3888" s="38"/>
      <c r="AR3888" s="38"/>
      <c r="AS3888" s="38"/>
      <c r="AT3888" s="38"/>
      <c r="AU3888" s="38"/>
      <c r="AV3888" s="38"/>
      <c r="AW3888" s="38"/>
      <c r="AX3888" s="38"/>
      <c r="AY3888" s="38"/>
      <c r="AZ3888" s="38"/>
      <c r="BA3888" s="38"/>
      <c r="BB3888" s="38"/>
      <c r="BC3888" s="38"/>
      <c r="BD3888" s="38"/>
      <c r="BE3888" s="38"/>
      <c r="BF3888" s="38"/>
      <c r="BG3888" s="38"/>
      <c r="BH3888" s="38"/>
      <c r="BI3888" s="38"/>
      <c r="BJ3888" s="38"/>
      <c r="BK3888" s="38"/>
      <c r="BL3888" s="38"/>
      <c r="BM3888" s="38"/>
      <c r="BN3888" s="38"/>
      <c r="BO3888" s="38"/>
      <c r="BP3888" s="38"/>
      <c r="BQ3888" s="38"/>
    </row>
    <row r="3889">
      <c r="A3889" s="16"/>
      <c r="B3889" s="145"/>
      <c r="C3889" s="146"/>
      <c r="D3889" s="146"/>
      <c r="E3889" s="16"/>
      <c r="F3889" s="91"/>
      <c r="G3889" s="16"/>
      <c r="H3889" s="320" t="str">
        <f t="shared" si="424"/>
        <v/>
      </c>
      <c r="I3889" s="16"/>
      <c r="J3889" s="16"/>
      <c r="K3889" s="16"/>
      <c r="L3889" s="16"/>
      <c r="M3889" s="15"/>
      <c r="N3889" s="15"/>
      <c r="O3889" s="16"/>
      <c r="P3889" s="16"/>
      <c r="Q3889" s="16"/>
      <c r="R3889" s="16"/>
      <c r="S3889" s="37" t="str">
        <f>IFERROR(__xludf.DUMMYFUNCTION("if(not(iserror(index(split(C3889, "" ""),2))), index(split(C3889, "" ""),1),"""")"),"")</f>
        <v/>
      </c>
      <c r="T3889" s="315" t="str">
        <f>IFERROR(__xludf.DUMMYFUNCTION("if(S3889="""",C3889,if(not(iserror(index(split(C3889, "" ""),3))), index(split(C3889, "" ""),3),index(split(C3889, "" ""),2)))"),"")</f>
        <v/>
      </c>
      <c r="U3889" s="38" t="b">
        <f t="shared" si="423"/>
        <v>0</v>
      </c>
      <c r="V3889" s="38"/>
      <c r="W3889" s="40"/>
      <c r="X3889" s="40"/>
      <c r="Y3889" s="40"/>
      <c r="Z3889" s="38"/>
      <c r="AA3889" s="38"/>
      <c r="AB3889" s="38"/>
      <c r="AC3889" s="38"/>
      <c r="AD3889" s="38"/>
      <c r="AE3889" s="38"/>
      <c r="AF3889" s="38"/>
      <c r="AG3889" s="38"/>
      <c r="AH3889" s="38"/>
      <c r="AI3889" s="38"/>
      <c r="AJ3889" s="38"/>
      <c r="AK3889" s="38"/>
      <c r="AL3889" s="38"/>
      <c r="AM3889" s="38"/>
      <c r="AN3889" s="38"/>
      <c r="AO3889" s="38"/>
      <c r="AP3889" s="38"/>
      <c r="AQ3889" s="38"/>
      <c r="AR3889" s="38"/>
      <c r="AS3889" s="38"/>
      <c r="AT3889" s="38"/>
      <c r="AU3889" s="38"/>
      <c r="AV3889" s="38"/>
      <c r="AW3889" s="38"/>
      <c r="AX3889" s="38"/>
      <c r="AY3889" s="38"/>
      <c r="AZ3889" s="38"/>
      <c r="BA3889" s="38"/>
      <c r="BB3889" s="38"/>
      <c r="BC3889" s="38"/>
      <c r="BD3889" s="38"/>
      <c r="BE3889" s="38"/>
      <c r="BF3889" s="38"/>
      <c r="BG3889" s="38"/>
      <c r="BH3889" s="38"/>
      <c r="BI3889" s="38"/>
      <c r="BJ3889" s="38"/>
      <c r="BK3889" s="38"/>
      <c r="BL3889" s="38"/>
      <c r="BM3889" s="38"/>
      <c r="BN3889" s="38"/>
      <c r="BO3889" s="38"/>
      <c r="BP3889" s="38"/>
      <c r="BQ3889" s="38"/>
    </row>
    <row r="3890">
      <c r="A3890" s="16"/>
      <c r="B3890" s="145"/>
      <c r="C3890" s="146"/>
      <c r="D3890" s="146"/>
      <c r="E3890" s="16"/>
      <c r="F3890" s="91"/>
      <c r="G3890" s="16"/>
      <c r="H3890" s="320" t="str">
        <f t="shared" si="424"/>
        <v/>
      </c>
      <c r="I3890" s="16"/>
      <c r="J3890" s="16"/>
      <c r="K3890" s="16"/>
      <c r="L3890" s="16"/>
      <c r="M3890" s="15"/>
      <c r="N3890" s="15"/>
      <c r="O3890" s="16"/>
      <c r="P3890" s="16"/>
      <c r="Q3890" s="16"/>
      <c r="R3890" s="16"/>
      <c r="S3890" s="37" t="str">
        <f>IFERROR(__xludf.DUMMYFUNCTION("if(not(iserror(index(split(C3890, "" ""),2))), index(split(C3890, "" ""),1),"""")"),"")</f>
        <v/>
      </c>
      <c r="T3890" s="315" t="str">
        <f>IFERROR(__xludf.DUMMYFUNCTION("if(S3890="""",C3890,if(not(iserror(index(split(C3890, "" ""),3))), index(split(C3890, "" ""),3),index(split(C3890, "" ""),2)))"),"")</f>
        <v/>
      </c>
      <c r="U3890" s="38" t="b">
        <f t="shared" si="423"/>
        <v>0</v>
      </c>
      <c r="V3890" s="38"/>
      <c r="W3890" s="40"/>
      <c r="X3890" s="40"/>
      <c r="Y3890" s="40"/>
      <c r="Z3890" s="38"/>
      <c r="AA3890" s="38"/>
      <c r="AB3890" s="38"/>
      <c r="AC3890" s="38"/>
      <c r="AD3890" s="38"/>
      <c r="AE3890" s="38"/>
      <c r="AF3890" s="38"/>
      <c r="AG3890" s="38"/>
      <c r="AH3890" s="38"/>
      <c r="AI3890" s="38"/>
      <c r="AJ3890" s="38"/>
      <c r="AK3890" s="38"/>
      <c r="AL3890" s="38"/>
      <c r="AM3890" s="38"/>
      <c r="AN3890" s="38"/>
      <c r="AO3890" s="38"/>
      <c r="AP3890" s="38"/>
      <c r="AQ3890" s="38"/>
      <c r="AR3890" s="38"/>
      <c r="AS3890" s="38"/>
      <c r="AT3890" s="38"/>
      <c r="AU3890" s="38"/>
      <c r="AV3890" s="38"/>
      <c r="AW3890" s="38"/>
      <c r="AX3890" s="38"/>
      <c r="AY3890" s="38"/>
      <c r="AZ3890" s="38"/>
      <c r="BA3890" s="38"/>
      <c r="BB3890" s="38"/>
      <c r="BC3890" s="38"/>
      <c r="BD3890" s="38"/>
      <c r="BE3890" s="38"/>
      <c r="BF3890" s="38"/>
      <c r="BG3890" s="38"/>
      <c r="BH3890" s="38"/>
      <c r="BI3890" s="38"/>
      <c r="BJ3890" s="38"/>
      <c r="BK3890" s="38"/>
      <c r="BL3890" s="38"/>
      <c r="BM3890" s="38"/>
      <c r="BN3890" s="38"/>
      <c r="BO3890" s="38"/>
      <c r="BP3890" s="38"/>
      <c r="BQ3890" s="38"/>
    </row>
    <row r="3891">
      <c r="A3891" s="16"/>
      <c r="B3891" s="145"/>
      <c r="C3891" s="146"/>
      <c r="D3891" s="146"/>
      <c r="E3891" s="16"/>
      <c r="F3891" s="91"/>
      <c r="G3891" s="16"/>
      <c r="H3891" s="320" t="str">
        <f t="shared" si="424"/>
        <v/>
      </c>
      <c r="I3891" s="16"/>
      <c r="J3891" s="16"/>
      <c r="K3891" s="16"/>
      <c r="L3891" s="16"/>
      <c r="M3891" s="15"/>
      <c r="N3891" s="15"/>
      <c r="O3891" s="16"/>
      <c r="P3891" s="16"/>
      <c r="Q3891" s="16"/>
      <c r="R3891" s="16"/>
      <c r="S3891" s="37" t="str">
        <f>IFERROR(__xludf.DUMMYFUNCTION("if(not(iserror(index(split(C3891, "" ""),2))), index(split(C3891, "" ""),1),"""")"),"")</f>
        <v/>
      </c>
      <c r="T3891" s="315" t="str">
        <f>IFERROR(__xludf.DUMMYFUNCTION("if(S3891="""",C3891,if(not(iserror(index(split(C3891, "" ""),3))), index(split(C3891, "" ""),3),index(split(C3891, "" ""),2)))"),"")</f>
        <v/>
      </c>
      <c r="U3891" s="38" t="b">
        <f t="shared" si="423"/>
        <v>0</v>
      </c>
      <c r="V3891" s="38"/>
      <c r="W3891" s="40"/>
      <c r="X3891" s="40"/>
      <c r="Y3891" s="40"/>
      <c r="Z3891" s="38"/>
      <c r="AA3891" s="38"/>
      <c r="AB3891" s="38"/>
      <c r="AC3891" s="38"/>
      <c r="AD3891" s="38"/>
      <c r="AE3891" s="38"/>
      <c r="AF3891" s="38"/>
      <c r="AG3891" s="38"/>
      <c r="AH3891" s="38"/>
      <c r="AI3891" s="38"/>
      <c r="AJ3891" s="38"/>
      <c r="AK3891" s="38"/>
      <c r="AL3891" s="38"/>
      <c r="AM3891" s="38"/>
      <c r="AN3891" s="38"/>
      <c r="AO3891" s="38"/>
      <c r="AP3891" s="38"/>
      <c r="AQ3891" s="38"/>
      <c r="AR3891" s="38"/>
      <c r="AS3891" s="38"/>
      <c r="AT3891" s="38"/>
      <c r="AU3891" s="38"/>
      <c r="AV3891" s="38"/>
      <c r="AW3891" s="38"/>
      <c r="AX3891" s="38"/>
      <c r="AY3891" s="38"/>
      <c r="AZ3891" s="38"/>
      <c r="BA3891" s="38"/>
      <c r="BB3891" s="38"/>
      <c r="BC3891" s="38"/>
      <c r="BD3891" s="38"/>
      <c r="BE3891" s="38"/>
      <c r="BF3891" s="38"/>
      <c r="BG3891" s="38"/>
      <c r="BH3891" s="38"/>
      <c r="BI3891" s="38"/>
      <c r="BJ3891" s="38"/>
      <c r="BK3891" s="38"/>
      <c r="BL3891" s="38"/>
      <c r="BM3891" s="38"/>
      <c r="BN3891" s="38"/>
      <c r="BO3891" s="38"/>
      <c r="BP3891" s="38"/>
      <c r="BQ3891" s="38"/>
    </row>
    <row r="3892">
      <c r="A3892" s="16"/>
      <c r="B3892" s="145"/>
      <c r="C3892" s="146"/>
      <c r="D3892" s="146"/>
      <c r="E3892" s="16"/>
      <c r="F3892" s="91"/>
      <c r="G3892" s="16"/>
      <c r="H3892" s="320" t="str">
        <f t="shared" si="424"/>
        <v/>
      </c>
      <c r="I3892" s="16"/>
      <c r="J3892" s="16"/>
      <c r="K3892" s="16"/>
      <c r="L3892" s="16"/>
      <c r="M3892" s="15"/>
      <c r="N3892" s="15"/>
      <c r="O3892" s="16"/>
      <c r="P3892" s="16"/>
      <c r="Q3892" s="16"/>
      <c r="R3892" s="16"/>
      <c r="S3892" s="37" t="str">
        <f>IFERROR(__xludf.DUMMYFUNCTION("if(not(iserror(index(split(C3892, "" ""),2))), index(split(C3892, "" ""),1),"""")"),"")</f>
        <v/>
      </c>
      <c r="T3892" s="315" t="str">
        <f>IFERROR(__xludf.DUMMYFUNCTION("if(S3892="""",C3892,if(not(iserror(index(split(C3892, "" ""),3))), index(split(C3892, "" ""),3),index(split(C3892, "" ""),2)))"),"")</f>
        <v/>
      </c>
      <c r="U3892" s="38" t="b">
        <f t="shared" si="423"/>
        <v>0</v>
      </c>
      <c r="V3892" s="38"/>
      <c r="W3892" s="40"/>
      <c r="X3892" s="40"/>
      <c r="Y3892" s="40"/>
      <c r="Z3892" s="38"/>
      <c r="AA3892" s="38"/>
      <c r="AB3892" s="38"/>
      <c r="AC3892" s="38"/>
      <c r="AD3892" s="38"/>
      <c r="AE3892" s="38"/>
      <c r="AF3892" s="38"/>
      <c r="AG3892" s="38"/>
      <c r="AH3892" s="38"/>
      <c r="AI3892" s="38"/>
      <c r="AJ3892" s="38"/>
      <c r="AK3892" s="38"/>
      <c r="AL3892" s="38"/>
      <c r="AM3892" s="38"/>
      <c r="AN3892" s="38"/>
      <c r="AO3892" s="38"/>
      <c r="AP3892" s="38"/>
      <c r="AQ3892" s="38"/>
      <c r="AR3892" s="38"/>
      <c r="AS3892" s="38"/>
      <c r="AT3892" s="38"/>
      <c r="AU3892" s="38"/>
      <c r="AV3892" s="38"/>
      <c r="AW3892" s="38"/>
      <c r="AX3892" s="38"/>
      <c r="AY3892" s="38"/>
      <c r="AZ3892" s="38"/>
      <c r="BA3892" s="38"/>
      <c r="BB3892" s="38"/>
      <c r="BC3892" s="38"/>
      <c r="BD3892" s="38"/>
      <c r="BE3892" s="38"/>
      <c r="BF3892" s="38"/>
      <c r="BG3892" s="38"/>
      <c r="BH3892" s="38"/>
      <c r="BI3892" s="38"/>
      <c r="BJ3892" s="38"/>
      <c r="BK3892" s="38"/>
      <c r="BL3892" s="38"/>
      <c r="BM3892" s="38"/>
      <c r="BN3892" s="38"/>
      <c r="BO3892" s="38"/>
      <c r="BP3892" s="38"/>
      <c r="BQ3892" s="38"/>
    </row>
    <row r="3893">
      <c r="A3893" s="16"/>
      <c r="B3893" s="145"/>
      <c r="C3893" s="146"/>
      <c r="D3893" s="146"/>
      <c r="E3893" s="16"/>
      <c r="F3893" s="91"/>
      <c r="G3893" s="16"/>
      <c r="H3893" s="320" t="str">
        <f t="shared" si="424"/>
        <v/>
      </c>
      <c r="I3893" s="16"/>
      <c r="J3893" s="16"/>
      <c r="K3893" s="16"/>
      <c r="L3893" s="16"/>
      <c r="M3893" s="15"/>
      <c r="N3893" s="15"/>
      <c r="O3893" s="16"/>
      <c r="P3893" s="16"/>
      <c r="Q3893" s="16"/>
      <c r="R3893" s="16"/>
      <c r="S3893" s="37" t="str">
        <f>IFERROR(__xludf.DUMMYFUNCTION("if(not(iserror(index(split(C3893, "" ""),2))), index(split(C3893, "" ""),1),"""")"),"")</f>
        <v/>
      </c>
      <c r="T3893" s="315" t="str">
        <f>IFERROR(__xludf.DUMMYFUNCTION("if(S3893="""",C3893,if(not(iserror(index(split(C3893, "" ""),3))), index(split(C3893, "" ""),3),index(split(C3893, "" ""),2)))"),"")</f>
        <v/>
      </c>
      <c r="U3893" s="38" t="b">
        <f t="shared" si="423"/>
        <v>0</v>
      </c>
      <c r="V3893" s="38"/>
      <c r="W3893" s="40"/>
      <c r="X3893" s="40"/>
      <c r="Y3893" s="40"/>
      <c r="Z3893" s="38"/>
      <c r="AA3893" s="38"/>
      <c r="AB3893" s="38"/>
      <c r="AC3893" s="38"/>
      <c r="AD3893" s="38"/>
      <c r="AE3893" s="38"/>
      <c r="AF3893" s="38"/>
      <c r="AG3893" s="38"/>
      <c r="AH3893" s="38"/>
      <c r="AI3893" s="38"/>
      <c r="AJ3893" s="38"/>
      <c r="AK3893" s="38"/>
      <c r="AL3893" s="38"/>
      <c r="AM3893" s="38"/>
      <c r="AN3893" s="38"/>
      <c r="AO3893" s="38"/>
      <c r="AP3893" s="38"/>
      <c r="AQ3893" s="38"/>
      <c r="AR3893" s="38"/>
      <c r="AS3893" s="38"/>
      <c r="AT3893" s="38"/>
      <c r="AU3893" s="38"/>
      <c r="AV3893" s="38"/>
      <c r="AW3893" s="38"/>
      <c r="AX3893" s="38"/>
      <c r="AY3893" s="38"/>
      <c r="AZ3893" s="38"/>
      <c r="BA3893" s="38"/>
      <c r="BB3893" s="38"/>
      <c r="BC3893" s="38"/>
      <c r="BD3893" s="38"/>
      <c r="BE3893" s="38"/>
      <c r="BF3893" s="38"/>
      <c r="BG3893" s="38"/>
      <c r="BH3893" s="38"/>
      <c r="BI3893" s="38"/>
      <c r="BJ3893" s="38"/>
      <c r="BK3893" s="38"/>
      <c r="BL3893" s="38"/>
      <c r="BM3893" s="38"/>
      <c r="BN3893" s="38"/>
      <c r="BO3893" s="38"/>
      <c r="BP3893" s="38"/>
      <c r="BQ3893" s="38"/>
    </row>
    <row r="3894">
      <c r="A3894" s="16"/>
      <c r="B3894" s="145"/>
      <c r="C3894" s="146"/>
      <c r="D3894" s="146"/>
      <c r="E3894" s="16"/>
      <c r="F3894" s="91"/>
      <c r="G3894" s="16"/>
      <c r="H3894" s="320" t="str">
        <f t="shared" si="424"/>
        <v/>
      </c>
      <c r="I3894" s="16"/>
      <c r="J3894" s="16"/>
      <c r="K3894" s="16"/>
      <c r="L3894" s="16"/>
      <c r="M3894" s="15"/>
      <c r="N3894" s="15"/>
      <c r="O3894" s="16"/>
      <c r="P3894" s="16"/>
      <c r="Q3894" s="16"/>
      <c r="R3894" s="16"/>
      <c r="S3894" s="37" t="str">
        <f>IFERROR(__xludf.DUMMYFUNCTION("if(not(iserror(index(split(C3894, "" ""),2))), index(split(C3894, "" ""),1),"""")"),"")</f>
        <v/>
      </c>
      <c r="T3894" s="315" t="str">
        <f>IFERROR(__xludf.DUMMYFUNCTION("if(S3894="""",C3894,if(not(iserror(index(split(C3894, "" ""),3))), index(split(C3894, "" ""),3),index(split(C3894, "" ""),2)))"),"")</f>
        <v/>
      </c>
      <c r="U3894" s="38" t="b">
        <f t="shared" si="423"/>
        <v>0</v>
      </c>
      <c r="V3894" s="38"/>
      <c r="W3894" s="40"/>
      <c r="X3894" s="40"/>
      <c r="Y3894" s="40"/>
      <c r="Z3894" s="38"/>
      <c r="AA3894" s="38"/>
      <c r="AB3894" s="38"/>
      <c r="AC3894" s="38"/>
      <c r="AD3894" s="38"/>
      <c r="AE3894" s="38"/>
      <c r="AF3894" s="38"/>
      <c r="AG3894" s="38"/>
      <c r="AH3894" s="38"/>
      <c r="AI3894" s="38"/>
      <c r="AJ3894" s="38"/>
      <c r="AK3894" s="38"/>
      <c r="AL3894" s="38"/>
      <c r="AM3894" s="38"/>
      <c r="AN3894" s="38"/>
      <c r="AO3894" s="38"/>
      <c r="AP3894" s="38"/>
      <c r="AQ3894" s="38"/>
      <c r="AR3894" s="38"/>
      <c r="AS3894" s="38"/>
      <c r="AT3894" s="38"/>
      <c r="AU3894" s="38"/>
      <c r="AV3894" s="38"/>
      <c r="AW3894" s="38"/>
      <c r="AX3894" s="38"/>
      <c r="AY3894" s="38"/>
      <c r="AZ3894" s="38"/>
      <c r="BA3894" s="38"/>
      <c r="BB3894" s="38"/>
      <c r="BC3894" s="38"/>
      <c r="BD3894" s="38"/>
      <c r="BE3894" s="38"/>
      <c r="BF3894" s="38"/>
      <c r="BG3894" s="38"/>
      <c r="BH3894" s="38"/>
      <c r="BI3894" s="38"/>
      <c r="BJ3894" s="38"/>
      <c r="BK3894" s="38"/>
      <c r="BL3894" s="38"/>
      <c r="BM3894" s="38"/>
      <c r="BN3894" s="38"/>
      <c r="BO3894" s="38"/>
      <c r="BP3894" s="38"/>
      <c r="BQ3894" s="38"/>
    </row>
    <row r="3895">
      <c r="A3895" s="16"/>
      <c r="B3895" s="145"/>
      <c r="C3895" s="146"/>
      <c r="D3895" s="146"/>
      <c r="E3895" s="16"/>
      <c r="F3895" s="91"/>
      <c r="G3895" s="16"/>
      <c r="H3895" s="320" t="str">
        <f t="shared" si="424"/>
        <v/>
      </c>
      <c r="I3895" s="16"/>
      <c r="J3895" s="16"/>
      <c r="K3895" s="16"/>
      <c r="L3895" s="16"/>
      <c r="M3895" s="15"/>
      <c r="N3895" s="15"/>
      <c r="O3895" s="16"/>
      <c r="P3895" s="16"/>
      <c r="Q3895" s="16"/>
      <c r="R3895" s="16"/>
      <c r="S3895" s="37" t="str">
        <f>IFERROR(__xludf.DUMMYFUNCTION("if(not(iserror(index(split(C3895, "" ""),2))), index(split(C3895, "" ""),1),"""")"),"")</f>
        <v/>
      </c>
      <c r="T3895" s="315" t="str">
        <f>IFERROR(__xludf.DUMMYFUNCTION("if(S3895="""",C3895,if(not(iserror(index(split(C3895, "" ""),3))), index(split(C3895, "" ""),3),index(split(C3895, "" ""),2)))"),"")</f>
        <v/>
      </c>
      <c r="U3895" s="38" t="b">
        <f t="shared" si="423"/>
        <v>0</v>
      </c>
      <c r="V3895" s="38"/>
      <c r="W3895" s="40"/>
      <c r="X3895" s="40"/>
      <c r="Y3895" s="40"/>
      <c r="Z3895" s="38"/>
      <c r="AA3895" s="38"/>
      <c r="AB3895" s="38"/>
      <c r="AC3895" s="38"/>
      <c r="AD3895" s="38"/>
      <c r="AE3895" s="38"/>
      <c r="AF3895" s="38"/>
      <c r="AG3895" s="38"/>
      <c r="AH3895" s="38"/>
      <c r="AI3895" s="38"/>
      <c r="AJ3895" s="38"/>
      <c r="AK3895" s="38"/>
      <c r="AL3895" s="38"/>
      <c r="AM3895" s="38"/>
      <c r="AN3895" s="38"/>
      <c r="AO3895" s="38"/>
      <c r="AP3895" s="38"/>
      <c r="AQ3895" s="38"/>
      <c r="AR3895" s="38"/>
      <c r="AS3895" s="38"/>
      <c r="AT3895" s="38"/>
      <c r="AU3895" s="38"/>
      <c r="AV3895" s="38"/>
      <c r="AW3895" s="38"/>
      <c r="AX3895" s="38"/>
      <c r="AY3895" s="38"/>
      <c r="AZ3895" s="38"/>
      <c r="BA3895" s="38"/>
      <c r="BB3895" s="38"/>
      <c r="BC3895" s="38"/>
      <c r="BD3895" s="38"/>
      <c r="BE3895" s="38"/>
      <c r="BF3895" s="38"/>
      <c r="BG3895" s="38"/>
      <c r="BH3895" s="38"/>
      <c r="BI3895" s="38"/>
      <c r="BJ3895" s="38"/>
      <c r="BK3895" s="38"/>
      <c r="BL3895" s="38"/>
      <c r="BM3895" s="38"/>
      <c r="BN3895" s="38"/>
      <c r="BO3895" s="38"/>
      <c r="BP3895" s="38"/>
      <c r="BQ3895" s="38"/>
    </row>
    <row r="3896">
      <c r="A3896" s="16"/>
      <c r="B3896" s="145"/>
      <c r="C3896" s="146"/>
      <c r="D3896" s="146"/>
      <c r="E3896" s="16"/>
      <c r="F3896" s="91"/>
      <c r="G3896" s="16"/>
      <c r="H3896" s="320" t="str">
        <f t="shared" si="424"/>
        <v/>
      </c>
      <c r="I3896" s="16"/>
      <c r="J3896" s="16"/>
      <c r="K3896" s="16"/>
      <c r="L3896" s="16"/>
      <c r="M3896" s="15"/>
      <c r="N3896" s="15"/>
      <c r="O3896" s="16"/>
      <c r="P3896" s="16"/>
      <c r="Q3896" s="16"/>
      <c r="R3896" s="16"/>
      <c r="S3896" s="37" t="str">
        <f>IFERROR(__xludf.DUMMYFUNCTION("if(not(iserror(index(split(C3896, "" ""),2))), index(split(C3896, "" ""),1),"""")"),"")</f>
        <v/>
      </c>
      <c r="T3896" s="315" t="str">
        <f>IFERROR(__xludf.DUMMYFUNCTION("if(S3896="""",C3896,if(not(iserror(index(split(C3896, "" ""),3))), index(split(C3896, "" ""),3),index(split(C3896, "" ""),2)))"),"")</f>
        <v/>
      </c>
      <c r="U3896" s="38" t="b">
        <f t="shared" si="423"/>
        <v>0</v>
      </c>
      <c r="V3896" s="38"/>
      <c r="W3896" s="40"/>
      <c r="X3896" s="40"/>
      <c r="Y3896" s="40"/>
      <c r="Z3896" s="38"/>
      <c r="AA3896" s="38"/>
      <c r="AB3896" s="38"/>
      <c r="AC3896" s="38"/>
      <c r="AD3896" s="38"/>
      <c r="AE3896" s="38"/>
      <c r="AF3896" s="38"/>
      <c r="AG3896" s="38"/>
      <c r="AH3896" s="38"/>
      <c r="AI3896" s="38"/>
      <c r="AJ3896" s="38"/>
      <c r="AK3896" s="38"/>
      <c r="AL3896" s="38"/>
      <c r="AM3896" s="38"/>
      <c r="AN3896" s="38"/>
      <c r="AO3896" s="38"/>
      <c r="AP3896" s="38"/>
      <c r="AQ3896" s="38"/>
      <c r="AR3896" s="38"/>
      <c r="AS3896" s="38"/>
      <c r="AT3896" s="38"/>
      <c r="AU3896" s="38"/>
      <c r="AV3896" s="38"/>
      <c r="AW3896" s="38"/>
      <c r="AX3896" s="38"/>
      <c r="AY3896" s="38"/>
      <c r="AZ3896" s="38"/>
      <c r="BA3896" s="38"/>
      <c r="BB3896" s="38"/>
      <c r="BC3896" s="38"/>
      <c r="BD3896" s="38"/>
      <c r="BE3896" s="38"/>
      <c r="BF3896" s="38"/>
      <c r="BG3896" s="38"/>
      <c r="BH3896" s="38"/>
      <c r="BI3896" s="38"/>
      <c r="BJ3896" s="38"/>
      <c r="BK3896" s="38"/>
      <c r="BL3896" s="38"/>
      <c r="BM3896" s="38"/>
      <c r="BN3896" s="38"/>
      <c r="BO3896" s="38"/>
      <c r="BP3896" s="38"/>
      <c r="BQ3896" s="38"/>
    </row>
    <row r="3897">
      <c r="A3897" s="16"/>
      <c r="B3897" s="145"/>
      <c r="C3897" s="146"/>
      <c r="D3897" s="146"/>
      <c r="E3897" s="16"/>
      <c r="F3897" s="91"/>
      <c r="G3897" s="16"/>
      <c r="H3897" s="320" t="str">
        <f t="shared" si="424"/>
        <v/>
      </c>
      <c r="I3897" s="16"/>
      <c r="J3897" s="16"/>
      <c r="K3897" s="16"/>
      <c r="L3897" s="16"/>
      <c r="M3897" s="15"/>
      <c r="N3897" s="15"/>
      <c r="O3897" s="16"/>
      <c r="P3897" s="16"/>
      <c r="Q3897" s="16"/>
      <c r="R3897" s="16"/>
      <c r="S3897" s="37" t="str">
        <f>IFERROR(__xludf.DUMMYFUNCTION("if(not(iserror(index(split(C3897, "" ""),2))), index(split(C3897, "" ""),1),"""")"),"")</f>
        <v/>
      </c>
      <c r="T3897" s="315" t="str">
        <f>IFERROR(__xludf.DUMMYFUNCTION("if(S3897="""",C3897,if(not(iserror(index(split(C3897, "" ""),3))), index(split(C3897, "" ""),3),index(split(C3897, "" ""),2)))"),"")</f>
        <v/>
      </c>
      <c r="U3897" s="38" t="b">
        <f t="shared" si="423"/>
        <v>0</v>
      </c>
      <c r="V3897" s="38"/>
      <c r="W3897" s="40"/>
      <c r="X3897" s="40"/>
      <c r="Y3897" s="40"/>
      <c r="Z3897" s="38"/>
      <c r="AA3897" s="38"/>
      <c r="AB3897" s="38"/>
      <c r="AC3897" s="38"/>
      <c r="AD3897" s="38"/>
      <c r="AE3897" s="38"/>
      <c r="AF3897" s="38"/>
      <c r="AG3897" s="38"/>
      <c r="AH3897" s="38"/>
      <c r="AI3897" s="38"/>
      <c r="AJ3897" s="38"/>
      <c r="AK3897" s="38"/>
      <c r="AL3897" s="38"/>
      <c r="AM3897" s="38"/>
      <c r="AN3897" s="38"/>
      <c r="AO3897" s="38"/>
      <c r="AP3897" s="38"/>
      <c r="AQ3897" s="38"/>
      <c r="AR3897" s="38"/>
      <c r="AS3897" s="38"/>
      <c r="AT3897" s="38"/>
      <c r="AU3897" s="38"/>
      <c r="AV3897" s="38"/>
      <c r="AW3897" s="38"/>
      <c r="AX3897" s="38"/>
      <c r="AY3897" s="38"/>
      <c r="AZ3897" s="38"/>
      <c r="BA3897" s="38"/>
      <c r="BB3897" s="38"/>
      <c r="BC3897" s="38"/>
      <c r="BD3897" s="38"/>
      <c r="BE3897" s="38"/>
      <c r="BF3897" s="38"/>
      <c r="BG3897" s="38"/>
      <c r="BH3897" s="38"/>
      <c r="BI3897" s="38"/>
      <c r="BJ3897" s="38"/>
      <c r="BK3897" s="38"/>
      <c r="BL3897" s="38"/>
      <c r="BM3897" s="38"/>
      <c r="BN3897" s="38"/>
      <c r="BO3897" s="38"/>
      <c r="BP3897" s="38"/>
      <c r="BQ3897" s="38"/>
    </row>
    <row r="3898">
      <c r="A3898" s="16"/>
      <c r="B3898" s="145"/>
      <c r="C3898" s="146"/>
      <c r="D3898" s="146"/>
      <c r="E3898" s="16"/>
      <c r="F3898" s="91"/>
      <c r="G3898" s="16"/>
      <c r="H3898" s="320" t="str">
        <f t="shared" si="424"/>
        <v/>
      </c>
      <c r="I3898" s="16"/>
      <c r="J3898" s="16"/>
      <c r="K3898" s="16"/>
      <c r="L3898" s="16"/>
      <c r="M3898" s="15"/>
      <c r="N3898" s="15"/>
      <c r="O3898" s="16"/>
      <c r="P3898" s="16"/>
      <c r="Q3898" s="16"/>
      <c r="R3898" s="16"/>
      <c r="S3898" s="37" t="str">
        <f>IFERROR(__xludf.DUMMYFUNCTION("if(not(iserror(index(split(C3898, "" ""),2))), index(split(C3898, "" ""),1),"""")"),"")</f>
        <v/>
      </c>
      <c r="T3898" s="315" t="str">
        <f>IFERROR(__xludf.DUMMYFUNCTION("if(S3898="""",C3898,if(not(iserror(index(split(C3898, "" ""),3))), index(split(C3898, "" ""),3),index(split(C3898, "" ""),2)))"),"")</f>
        <v/>
      </c>
      <c r="U3898" s="38" t="b">
        <f t="shared" si="423"/>
        <v>0</v>
      </c>
      <c r="V3898" s="38"/>
      <c r="W3898" s="40"/>
      <c r="X3898" s="40"/>
      <c r="Y3898" s="40"/>
      <c r="Z3898" s="38"/>
      <c r="AA3898" s="38"/>
      <c r="AB3898" s="38"/>
      <c r="AC3898" s="38"/>
      <c r="AD3898" s="38"/>
      <c r="AE3898" s="38"/>
      <c r="AF3898" s="38"/>
      <c r="AG3898" s="38"/>
      <c r="AH3898" s="38"/>
      <c r="AI3898" s="38"/>
      <c r="AJ3898" s="38"/>
      <c r="AK3898" s="38"/>
      <c r="AL3898" s="38"/>
      <c r="AM3898" s="38"/>
      <c r="AN3898" s="38"/>
      <c r="AO3898" s="38"/>
      <c r="AP3898" s="38"/>
      <c r="AQ3898" s="38"/>
      <c r="AR3898" s="38"/>
      <c r="AS3898" s="38"/>
      <c r="AT3898" s="38"/>
      <c r="AU3898" s="38"/>
      <c r="AV3898" s="38"/>
      <c r="AW3898" s="38"/>
      <c r="AX3898" s="38"/>
      <c r="AY3898" s="38"/>
      <c r="AZ3898" s="38"/>
      <c r="BA3898" s="38"/>
      <c r="BB3898" s="38"/>
      <c r="BC3898" s="38"/>
      <c r="BD3898" s="38"/>
      <c r="BE3898" s="38"/>
      <c r="BF3898" s="38"/>
      <c r="BG3898" s="38"/>
      <c r="BH3898" s="38"/>
      <c r="BI3898" s="38"/>
      <c r="BJ3898" s="38"/>
      <c r="BK3898" s="38"/>
      <c r="BL3898" s="38"/>
      <c r="BM3898" s="38"/>
      <c r="BN3898" s="38"/>
      <c r="BO3898" s="38"/>
      <c r="BP3898" s="38"/>
      <c r="BQ3898" s="38"/>
    </row>
    <row r="3899">
      <c r="A3899" s="16"/>
      <c r="B3899" s="145"/>
      <c r="C3899" s="146"/>
      <c r="D3899" s="146"/>
      <c r="E3899" s="16"/>
      <c r="F3899" s="91"/>
      <c r="G3899" s="16"/>
      <c r="H3899" s="320" t="str">
        <f t="shared" si="424"/>
        <v/>
      </c>
      <c r="I3899" s="16"/>
      <c r="J3899" s="16"/>
      <c r="K3899" s="16"/>
      <c r="L3899" s="16"/>
      <c r="M3899" s="15"/>
      <c r="N3899" s="15"/>
      <c r="O3899" s="16"/>
      <c r="P3899" s="16"/>
      <c r="Q3899" s="16"/>
      <c r="R3899" s="16"/>
      <c r="S3899" s="37" t="str">
        <f>IFERROR(__xludf.DUMMYFUNCTION("if(not(iserror(index(split(C3899, "" ""),2))), index(split(C3899, "" ""),1),"""")"),"")</f>
        <v/>
      </c>
      <c r="T3899" s="315" t="str">
        <f>IFERROR(__xludf.DUMMYFUNCTION("if(S3899="""",C3899,if(not(iserror(index(split(C3899, "" ""),3))), index(split(C3899, "" ""),3),index(split(C3899, "" ""),2)))"),"")</f>
        <v/>
      </c>
      <c r="U3899" s="38" t="b">
        <f t="shared" si="423"/>
        <v>0</v>
      </c>
      <c r="V3899" s="38"/>
      <c r="W3899" s="40"/>
      <c r="X3899" s="40"/>
      <c r="Y3899" s="40"/>
      <c r="Z3899" s="38"/>
      <c r="AA3899" s="38"/>
      <c r="AB3899" s="38"/>
      <c r="AC3899" s="38"/>
      <c r="AD3899" s="38"/>
      <c r="AE3899" s="38"/>
      <c r="AF3899" s="38"/>
      <c r="AG3899" s="38"/>
      <c r="AH3899" s="38"/>
      <c r="AI3899" s="38"/>
      <c r="AJ3899" s="38"/>
      <c r="AK3899" s="38"/>
      <c r="AL3899" s="38"/>
      <c r="AM3899" s="38"/>
      <c r="AN3899" s="38"/>
      <c r="AO3899" s="38"/>
      <c r="AP3899" s="38"/>
      <c r="AQ3899" s="38"/>
      <c r="AR3899" s="38"/>
      <c r="AS3899" s="38"/>
      <c r="AT3899" s="38"/>
      <c r="AU3899" s="38"/>
      <c r="AV3899" s="38"/>
      <c r="AW3899" s="38"/>
      <c r="AX3899" s="38"/>
      <c r="AY3899" s="38"/>
      <c r="AZ3899" s="38"/>
      <c r="BA3899" s="38"/>
      <c r="BB3899" s="38"/>
      <c r="BC3899" s="38"/>
      <c r="BD3899" s="38"/>
      <c r="BE3899" s="38"/>
      <c r="BF3899" s="38"/>
      <c r="BG3899" s="38"/>
      <c r="BH3899" s="38"/>
      <c r="BI3899" s="38"/>
      <c r="BJ3899" s="38"/>
      <c r="BK3899" s="38"/>
      <c r="BL3899" s="38"/>
      <c r="BM3899" s="38"/>
      <c r="BN3899" s="38"/>
      <c r="BO3899" s="38"/>
      <c r="BP3899" s="38"/>
      <c r="BQ3899" s="38"/>
    </row>
    <row r="3900">
      <c r="A3900" s="16"/>
      <c r="B3900" s="145"/>
      <c r="C3900" s="146"/>
      <c r="D3900" s="146"/>
      <c r="E3900" s="16"/>
      <c r="F3900" s="91"/>
      <c r="G3900" s="16"/>
      <c r="H3900" s="320" t="str">
        <f t="shared" si="424"/>
        <v/>
      </c>
      <c r="I3900" s="16"/>
      <c r="J3900" s="16"/>
      <c r="K3900" s="16"/>
      <c r="L3900" s="16"/>
      <c r="M3900" s="15"/>
      <c r="N3900" s="15"/>
      <c r="O3900" s="16"/>
      <c r="P3900" s="16"/>
      <c r="Q3900" s="16"/>
      <c r="R3900" s="16"/>
      <c r="S3900" s="37" t="str">
        <f>IFERROR(__xludf.DUMMYFUNCTION("if(not(iserror(index(split(C3900, "" ""),2))), index(split(C3900, "" ""),1),"""")"),"")</f>
        <v/>
      </c>
      <c r="T3900" s="315" t="str">
        <f>IFERROR(__xludf.DUMMYFUNCTION("if(S3900="""",C3900,if(not(iserror(index(split(C3900, "" ""),3))), index(split(C3900, "" ""),3),index(split(C3900, "" ""),2)))"),"")</f>
        <v/>
      </c>
      <c r="U3900" s="38" t="b">
        <f t="shared" si="423"/>
        <v>0</v>
      </c>
      <c r="V3900" s="38"/>
      <c r="W3900" s="40"/>
      <c r="X3900" s="40"/>
      <c r="Y3900" s="40"/>
      <c r="Z3900" s="38"/>
      <c r="AA3900" s="38"/>
      <c r="AB3900" s="38"/>
      <c r="AC3900" s="38"/>
      <c r="AD3900" s="38"/>
      <c r="AE3900" s="38"/>
      <c r="AF3900" s="38"/>
      <c r="AG3900" s="38"/>
      <c r="AH3900" s="38"/>
      <c r="AI3900" s="38"/>
      <c r="AJ3900" s="38"/>
      <c r="AK3900" s="38"/>
      <c r="AL3900" s="38"/>
      <c r="AM3900" s="38"/>
      <c r="AN3900" s="38"/>
      <c r="AO3900" s="38"/>
      <c r="AP3900" s="38"/>
      <c r="AQ3900" s="38"/>
      <c r="AR3900" s="38"/>
      <c r="AS3900" s="38"/>
      <c r="AT3900" s="38"/>
      <c r="AU3900" s="38"/>
      <c r="AV3900" s="38"/>
      <c r="AW3900" s="38"/>
      <c r="AX3900" s="38"/>
      <c r="AY3900" s="38"/>
      <c r="AZ3900" s="38"/>
      <c r="BA3900" s="38"/>
      <c r="BB3900" s="38"/>
      <c r="BC3900" s="38"/>
      <c r="BD3900" s="38"/>
      <c r="BE3900" s="38"/>
      <c r="BF3900" s="38"/>
      <c r="BG3900" s="38"/>
      <c r="BH3900" s="38"/>
      <c r="BI3900" s="38"/>
      <c r="BJ3900" s="38"/>
      <c r="BK3900" s="38"/>
      <c r="BL3900" s="38"/>
      <c r="BM3900" s="38"/>
      <c r="BN3900" s="38"/>
      <c r="BO3900" s="38"/>
      <c r="BP3900" s="38"/>
      <c r="BQ3900" s="38"/>
    </row>
    <row r="3901">
      <c r="A3901" s="16"/>
      <c r="B3901" s="145"/>
      <c r="C3901" s="146"/>
      <c r="D3901" s="146"/>
      <c r="E3901" s="16"/>
      <c r="F3901" s="91"/>
      <c r="G3901" s="16"/>
      <c r="H3901" s="320" t="str">
        <f t="shared" si="424"/>
        <v/>
      </c>
      <c r="I3901" s="16"/>
      <c r="J3901" s="16"/>
      <c r="K3901" s="16"/>
      <c r="L3901" s="16"/>
      <c r="M3901" s="15"/>
      <c r="N3901" s="15"/>
      <c r="O3901" s="16"/>
      <c r="P3901" s="16"/>
      <c r="Q3901" s="16"/>
      <c r="R3901" s="16"/>
      <c r="S3901" s="37" t="str">
        <f>IFERROR(__xludf.DUMMYFUNCTION("if(not(iserror(index(split(C3901, "" ""),2))), index(split(C3901, "" ""),1),"""")"),"")</f>
        <v/>
      </c>
      <c r="T3901" s="315" t="str">
        <f>IFERROR(__xludf.DUMMYFUNCTION("if(S3901="""",C3901,if(not(iserror(index(split(C3901, "" ""),3))), index(split(C3901, "" ""),3),index(split(C3901, "" ""),2)))"),"")</f>
        <v/>
      </c>
      <c r="U3901" s="38" t="b">
        <f t="shared" si="423"/>
        <v>0</v>
      </c>
      <c r="V3901" s="38"/>
      <c r="W3901" s="40"/>
      <c r="X3901" s="40"/>
      <c r="Y3901" s="40"/>
      <c r="Z3901" s="38"/>
      <c r="AA3901" s="38"/>
      <c r="AB3901" s="38"/>
      <c r="AC3901" s="38"/>
      <c r="AD3901" s="38"/>
      <c r="AE3901" s="38"/>
      <c r="AF3901" s="38"/>
      <c r="AG3901" s="38"/>
      <c r="AH3901" s="38"/>
      <c r="AI3901" s="38"/>
      <c r="AJ3901" s="38"/>
      <c r="AK3901" s="38"/>
      <c r="AL3901" s="38"/>
      <c r="AM3901" s="38"/>
      <c r="AN3901" s="38"/>
      <c r="AO3901" s="38"/>
      <c r="AP3901" s="38"/>
      <c r="AQ3901" s="38"/>
      <c r="AR3901" s="38"/>
      <c r="AS3901" s="38"/>
      <c r="AT3901" s="38"/>
      <c r="AU3901" s="38"/>
      <c r="AV3901" s="38"/>
      <c r="AW3901" s="38"/>
      <c r="AX3901" s="38"/>
      <c r="AY3901" s="38"/>
      <c r="AZ3901" s="38"/>
      <c r="BA3901" s="38"/>
      <c r="BB3901" s="38"/>
      <c r="BC3901" s="38"/>
      <c r="BD3901" s="38"/>
      <c r="BE3901" s="38"/>
      <c r="BF3901" s="38"/>
      <c r="BG3901" s="38"/>
      <c r="BH3901" s="38"/>
      <c r="BI3901" s="38"/>
      <c r="BJ3901" s="38"/>
      <c r="BK3901" s="38"/>
      <c r="BL3901" s="38"/>
      <c r="BM3901" s="38"/>
      <c r="BN3901" s="38"/>
      <c r="BO3901" s="38"/>
      <c r="BP3901" s="38"/>
      <c r="BQ3901" s="38"/>
    </row>
    <row r="3902">
      <c r="A3902" s="16"/>
      <c r="B3902" s="145"/>
      <c r="C3902" s="146"/>
      <c r="D3902" s="146"/>
      <c r="E3902" s="16"/>
      <c r="F3902" s="91"/>
      <c r="G3902" s="16"/>
      <c r="H3902" s="320" t="str">
        <f t="shared" si="424"/>
        <v/>
      </c>
      <c r="I3902" s="16"/>
      <c r="J3902" s="16"/>
      <c r="K3902" s="16"/>
      <c r="L3902" s="16"/>
      <c r="M3902" s="15"/>
      <c r="N3902" s="15"/>
      <c r="O3902" s="16"/>
      <c r="P3902" s="16"/>
      <c r="Q3902" s="16"/>
      <c r="R3902" s="16"/>
      <c r="S3902" s="37" t="str">
        <f>IFERROR(__xludf.DUMMYFUNCTION("if(not(iserror(index(split(C3902, "" ""),2))), index(split(C3902, "" ""),1),"""")"),"")</f>
        <v/>
      </c>
      <c r="T3902" s="315" t="str">
        <f>IFERROR(__xludf.DUMMYFUNCTION("if(S3902="""",C3902,if(not(iserror(index(split(C3902, "" ""),3))), index(split(C3902, "" ""),3),index(split(C3902, "" ""),2)))"),"")</f>
        <v/>
      </c>
      <c r="U3902" s="38" t="b">
        <f t="shared" si="423"/>
        <v>0</v>
      </c>
      <c r="V3902" s="38"/>
      <c r="W3902" s="40"/>
      <c r="X3902" s="40"/>
      <c r="Y3902" s="40"/>
      <c r="Z3902" s="38"/>
      <c r="AA3902" s="38"/>
      <c r="AB3902" s="38"/>
      <c r="AC3902" s="38"/>
      <c r="AD3902" s="38"/>
      <c r="AE3902" s="38"/>
      <c r="AF3902" s="38"/>
      <c r="AG3902" s="38"/>
      <c r="AH3902" s="38"/>
      <c r="AI3902" s="38"/>
      <c r="AJ3902" s="38"/>
      <c r="AK3902" s="38"/>
      <c r="AL3902" s="38"/>
      <c r="AM3902" s="38"/>
      <c r="AN3902" s="38"/>
      <c r="AO3902" s="38"/>
      <c r="AP3902" s="38"/>
      <c r="AQ3902" s="38"/>
      <c r="AR3902" s="38"/>
      <c r="AS3902" s="38"/>
      <c r="AT3902" s="38"/>
      <c r="AU3902" s="38"/>
      <c r="AV3902" s="38"/>
      <c r="AW3902" s="38"/>
      <c r="AX3902" s="38"/>
      <c r="AY3902" s="38"/>
      <c r="AZ3902" s="38"/>
      <c r="BA3902" s="38"/>
      <c r="BB3902" s="38"/>
      <c r="BC3902" s="38"/>
      <c r="BD3902" s="38"/>
      <c r="BE3902" s="38"/>
      <c r="BF3902" s="38"/>
      <c r="BG3902" s="38"/>
      <c r="BH3902" s="38"/>
      <c r="BI3902" s="38"/>
      <c r="BJ3902" s="38"/>
      <c r="BK3902" s="38"/>
      <c r="BL3902" s="38"/>
      <c r="BM3902" s="38"/>
      <c r="BN3902" s="38"/>
      <c r="BO3902" s="38"/>
      <c r="BP3902" s="38"/>
      <c r="BQ3902" s="38"/>
    </row>
    <row r="3903">
      <c r="A3903" s="16"/>
      <c r="B3903" s="145"/>
      <c r="C3903" s="146"/>
      <c r="D3903" s="146"/>
      <c r="E3903" s="16"/>
      <c r="F3903" s="91"/>
      <c r="G3903" s="16"/>
      <c r="H3903" s="320" t="str">
        <f t="shared" si="424"/>
        <v/>
      </c>
      <c r="I3903" s="16"/>
      <c r="J3903" s="16"/>
      <c r="K3903" s="16"/>
      <c r="L3903" s="16"/>
      <c r="M3903" s="15"/>
      <c r="N3903" s="15"/>
      <c r="O3903" s="16"/>
      <c r="P3903" s="16"/>
      <c r="Q3903" s="16"/>
      <c r="R3903" s="16"/>
      <c r="S3903" s="37" t="str">
        <f>IFERROR(__xludf.DUMMYFUNCTION("if(not(iserror(index(split(C3903, "" ""),2))), index(split(C3903, "" ""),1),"""")"),"")</f>
        <v/>
      </c>
      <c r="T3903" s="315" t="str">
        <f>IFERROR(__xludf.DUMMYFUNCTION("if(S3903="""",C3903,if(not(iserror(index(split(C3903, "" ""),3))), index(split(C3903, "" ""),3),index(split(C3903, "" ""),2)))"),"")</f>
        <v/>
      </c>
      <c r="U3903" s="38" t="b">
        <f t="shared" si="423"/>
        <v>0</v>
      </c>
      <c r="V3903" s="38"/>
      <c r="W3903" s="40"/>
      <c r="X3903" s="40"/>
      <c r="Y3903" s="40"/>
      <c r="Z3903" s="38"/>
      <c r="AA3903" s="38"/>
      <c r="AB3903" s="38"/>
      <c r="AC3903" s="38"/>
      <c r="AD3903" s="38"/>
      <c r="AE3903" s="38"/>
      <c r="AF3903" s="38"/>
      <c r="AG3903" s="38"/>
      <c r="AH3903" s="38"/>
      <c r="AI3903" s="38"/>
      <c r="AJ3903" s="38"/>
      <c r="AK3903" s="38"/>
      <c r="AL3903" s="38"/>
      <c r="AM3903" s="38"/>
      <c r="AN3903" s="38"/>
      <c r="AO3903" s="38"/>
      <c r="AP3903" s="38"/>
      <c r="AQ3903" s="38"/>
      <c r="AR3903" s="38"/>
      <c r="AS3903" s="38"/>
      <c r="AT3903" s="38"/>
      <c r="AU3903" s="38"/>
      <c r="AV3903" s="38"/>
      <c r="AW3903" s="38"/>
      <c r="AX3903" s="38"/>
      <c r="AY3903" s="38"/>
      <c r="AZ3903" s="38"/>
      <c r="BA3903" s="38"/>
      <c r="BB3903" s="38"/>
      <c r="BC3903" s="38"/>
      <c r="BD3903" s="38"/>
      <c r="BE3903" s="38"/>
      <c r="BF3903" s="38"/>
      <c r="BG3903" s="38"/>
      <c r="BH3903" s="38"/>
      <c r="BI3903" s="38"/>
      <c r="BJ3903" s="38"/>
      <c r="BK3903" s="38"/>
      <c r="BL3903" s="38"/>
      <c r="BM3903" s="38"/>
      <c r="BN3903" s="38"/>
      <c r="BO3903" s="38"/>
      <c r="BP3903" s="38"/>
      <c r="BQ3903" s="38"/>
    </row>
    <row r="3904">
      <c r="A3904" s="16"/>
      <c r="B3904" s="145"/>
      <c r="C3904" s="146"/>
      <c r="D3904" s="146"/>
      <c r="E3904" s="16"/>
      <c r="F3904" s="91"/>
      <c r="G3904" s="16"/>
      <c r="H3904" s="320" t="str">
        <f t="shared" si="424"/>
        <v/>
      </c>
      <c r="I3904" s="16"/>
      <c r="J3904" s="16"/>
      <c r="K3904" s="16"/>
      <c r="L3904" s="16"/>
      <c r="M3904" s="15"/>
      <c r="N3904" s="15"/>
      <c r="O3904" s="16"/>
      <c r="P3904" s="16"/>
      <c r="Q3904" s="16"/>
      <c r="R3904" s="16"/>
      <c r="S3904" s="37" t="str">
        <f>IFERROR(__xludf.DUMMYFUNCTION("if(not(iserror(index(split(C3904, "" ""),2))), index(split(C3904, "" ""),1),"""")"),"")</f>
        <v/>
      </c>
      <c r="T3904" s="315" t="str">
        <f>IFERROR(__xludf.DUMMYFUNCTION("if(S3904="""",C3904,if(not(iserror(index(split(C3904, "" ""),3))), index(split(C3904, "" ""),3),index(split(C3904, "" ""),2)))"),"")</f>
        <v/>
      </c>
      <c r="U3904" s="38" t="b">
        <f t="shared" si="423"/>
        <v>0</v>
      </c>
      <c r="V3904" s="38"/>
      <c r="W3904" s="40"/>
      <c r="X3904" s="40"/>
      <c r="Y3904" s="40"/>
      <c r="Z3904" s="38"/>
      <c r="AA3904" s="38"/>
      <c r="AB3904" s="38"/>
      <c r="AC3904" s="38"/>
      <c r="AD3904" s="38"/>
      <c r="AE3904" s="38"/>
      <c r="AF3904" s="38"/>
      <c r="AG3904" s="38"/>
      <c r="AH3904" s="38"/>
      <c r="AI3904" s="38"/>
      <c r="AJ3904" s="38"/>
      <c r="AK3904" s="38"/>
      <c r="AL3904" s="38"/>
      <c r="AM3904" s="38"/>
      <c r="AN3904" s="38"/>
      <c r="AO3904" s="38"/>
      <c r="AP3904" s="38"/>
      <c r="AQ3904" s="38"/>
      <c r="AR3904" s="38"/>
      <c r="AS3904" s="38"/>
      <c r="AT3904" s="38"/>
      <c r="AU3904" s="38"/>
      <c r="AV3904" s="38"/>
      <c r="AW3904" s="38"/>
      <c r="AX3904" s="38"/>
      <c r="AY3904" s="38"/>
      <c r="AZ3904" s="38"/>
      <c r="BA3904" s="38"/>
      <c r="BB3904" s="38"/>
      <c r="BC3904" s="38"/>
      <c r="BD3904" s="38"/>
      <c r="BE3904" s="38"/>
      <c r="BF3904" s="38"/>
      <c r="BG3904" s="38"/>
      <c r="BH3904" s="38"/>
      <c r="BI3904" s="38"/>
      <c r="BJ3904" s="38"/>
      <c r="BK3904" s="38"/>
      <c r="BL3904" s="38"/>
      <c r="BM3904" s="38"/>
      <c r="BN3904" s="38"/>
      <c r="BO3904" s="38"/>
      <c r="BP3904" s="38"/>
      <c r="BQ3904" s="38"/>
    </row>
    <row r="3905">
      <c r="A3905" s="16"/>
      <c r="B3905" s="145"/>
      <c r="C3905" s="146"/>
      <c r="D3905" s="146"/>
      <c r="E3905" s="16"/>
      <c r="F3905" s="91"/>
      <c r="G3905" s="16"/>
      <c r="H3905" s="320" t="str">
        <f t="shared" si="424"/>
        <v/>
      </c>
      <c r="I3905" s="16"/>
      <c r="J3905" s="16"/>
      <c r="K3905" s="16"/>
      <c r="L3905" s="16"/>
      <c r="M3905" s="15"/>
      <c r="N3905" s="15"/>
      <c r="O3905" s="16"/>
      <c r="P3905" s="16"/>
      <c r="Q3905" s="16"/>
      <c r="R3905" s="16"/>
      <c r="S3905" s="37" t="str">
        <f>IFERROR(__xludf.DUMMYFUNCTION("if(not(iserror(index(split(C3905, "" ""),2))), index(split(C3905, "" ""),1),"""")"),"")</f>
        <v/>
      </c>
      <c r="T3905" s="315" t="str">
        <f>IFERROR(__xludf.DUMMYFUNCTION("if(S3905="""",C3905,if(not(iserror(index(split(C3905, "" ""),3))), index(split(C3905, "" ""),3),index(split(C3905, "" ""),2)))"),"")</f>
        <v/>
      </c>
      <c r="U3905" s="38" t="b">
        <f t="shared" si="423"/>
        <v>0</v>
      </c>
      <c r="V3905" s="38"/>
      <c r="W3905" s="40"/>
      <c r="X3905" s="40"/>
      <c r="Y3905" s="40"/>
      <c r="Z3905" s="38"/>
      <c r="AA3905" s="38"/>
      <c r="AB3905" s="38"/>
      <c r="AC3905" s="38"/>
      <c r="AD3905" s="38"/>
      <c r="AE3905" s="38"/>
      <c r="AF3905" s="38"/>
      <c r="AG3905" s="38"/>
      <c r="AH3905" s="38"/>
      <c r="AI3905" s="38"/>
      <c r="AJ3905" s="38"/>
      <c r="AK3905" s="38"/>
      <c r="AL3905" s="38"/>
      <c r="AM3905" s="38"/>
      <c r="AN3905" s="38"/>
      <c r="AO3905" s="38"/>
      <c r="AP3905" s="38"/>
      <c r="AQ3905" s="38"/>
      <c r="AR3905" s="38"/>
      <c r="AS3905" s="38"/>
      <c r="AT3905" s="38"/>
      <c r="AU3905" s="38"/>
      <c r="AV3905" s="38"/>
      <c r="AW3905" s="38"/>
      <c r="AX3905" s="38"/>
      <c r="AY3905" s="38"/>
      <c r="AZ3905" s="38"/>
      <c r="BA3905" s="38"/>
      <c r="BB3905" s="38"/>
      <c r="BC3905" s="38"/>
      <c r="BD3905" s="38"/>
      <c r="BE3905" s="38"/>
      <c r="BF3905" s="38"/>
      <c r="BG3905" s="38"/>
      <c r="BH3905" s="38"/>
      <c r="BI3905" s="38"/>
      <c r="BJ3905" s="38"/>
      <c r="BK3905" s="38"/>
      <c r="BL3905" s="38"/>
      <c r="BM3905" s="38"/>
      <c r="BN3905" s="38"/>
      <c r="BO3905" s="38"/>
      <c r="BP3905" s="38"/>
      <c r="BQ3905" s="38"/>
    </row>
    <row r="3906">
      <c r="A3906" s="16"/>
      <c r="B3906" s="145"/>
      <c r="C3906" s="146"/>
      <c r="D3906" s="146"/>
      <c r="E3906" s="16"/>
      <c r="F3906" s="91"/>
      <c r="G3906" s="16"/>
      <c r="H3906" s="320" t="str">
        <f t="shared" si="424"/>
        <v/>
      </c>
      <c r="I3906" s="16"/>
      <c r="J3906" s="16"/>
      <c r="K3906" s="16"/>
      <c r="L3906" s="16"/>
      <c r="M3906" s="15"/>
      <c r="N3906" s="15"/>
      <c r="O3906" s="16"/>
      <c r="P3906" s="16"/>
      <c r="Q3906" s="16"/>
      <c r="R3906" s="16"/>
      <c r="S3906" s="37" t="str">
        <f>IFERROR(__xludf.DUMMYFUNCTION("if(not(iserror(index(split(C3906, "" ""),2))), index(split(C3906, "" ""),1),"""")"),"")</f>
        <v/>
      </c>
      <c r="T3906" s="315" t="str">
        <f>IFERROR(__xludf.DUMMYFUNCTION("if(S3906="""",C3906,if(not(iserror(index(split(C3906, "" ""),3))), index(split(C3906, "" ""),3),index(split(C3906, "" ""),2)))"),"")</f>
        <v/>
      </c>
      <c r="U3906" s="38" t="b">
        <f t="shared" si="423"/>
        <v>0</v>
      </c>
      <c r="V3906" s="38"/>
      <c r="W3906" s="40"/>
      <c r="X3906" s="40"/>
      <c r="Y3906" s="40"/>
      <c r="Z3906" s="38"/>
      <c r="AA3906" s="38"/>
      <c r="AB3906" s="38"/>
      <c r="AC3906" s="38"/>
      <c r="AD3906" s="38"/>
      <c r="AE3906" s="38"/>
      <c r="AF3906" s="38"/>
      <c r="AG3906" s="38"/>
      <c r="AH3906" s="38"/>
      <c r="AI3906" s="38"/>
      <c r="AJ3906" s="38"/>
      <c r="AK3906" s="38"/>
      <c r="AL3906" s="38"/>
      <c r="AM3906" s="38"/>
      <c r="AN3906" s="38"/>
      <c r="AO3906" s="38"/>
      <c r="AP3906" s="38"/>
      <c r="AQ3906" s="38"/>
      <c r="AR3906" s="38"/>
      <c r="AS3906" s="38"/>
      <c r="AT3906" s="38"/>
      <c r="AU3906" s="38"/>
      <c r="AV3906" s="38"/>
      <c r="AW3906" s="38"/>
      <c r="AX3906" s="38"/>
      <c r="AY3906" s="38"/>
      <c r="AZ3906" s="38"/>
      <c r="BA3906" s="38"/>
      <c r="BB3906" s="38"/>
      <c r="BC3906" s="38"/>
      <c r="BD3906" s="38"/>
      <c r="BE3906" s="38"/>
      <c r="BF3906" s="38"/>
      <c r="BG3906" s="38"/>
      <c r="BH3906" s="38"/>
      <c r="BI3906" s="38"/>
      <c r="BJ3906" s="38"/>
      <c r="BK3906" s="38"/>
      <c r="BL3906" s="38"/>
      <c r="BM3906" s="38"/>
      <c r="BN3906" s="38"/>
      <c r="BO3906" s="38"/>
      <c r="BP3906" s="38"/>
      <c r="BQ3906" s="38"/>
    </row>
    <row r="3907">
      <c r="A3907" s="16"/>
      <c r="B3907" s="145"/>
      <c r="C3907" s="146"/>
      <c r="D3907" s="146"/>
      <c r="E3907" s="16"/>
      <c r="F3907" s="91"/>
      <c r="G3907" s="16"/>
      <c r="H3907" s="320" t="str">
        <f t="shared" si="424"/>
        <v/>
      </c>
      <c r="I3907" s="16"/>
      <c r="J3907" s="16"/>
      <c r="K3907" s="16"/>
      <c r="L3907" s="16"/>
      <c r="M3907" s="15"/>
      <c r="N3907" s="15"/>
      <c r="O3907" s="16"/>
      <c r="P3907" s="16"/>
      <c r="Q3907" s="16"/>
      <c r="R3907" s="16"/>
      <c r="S3907" s="37" t="str">
        <f>IFERROR(__xludf.DUMMYFUNCTION("if(not(iserror(index(split(C3907, "" ""),2))), index(split(C3907, "" ""),1),"""")"),"")</f>
        <v/>
      </c>
      <c r="T3907" s="315" t="str">
        <f>IFERROR(__xludf.DUMMYFUNCTION("if(S3907="""",C3907,if(not(iserror(index(split(C3907, "" ""),3))), index(split(C3907, "" ""),3),index(split(C3907, "" ""),2)))"),"")</f>
        <v/>
      </c>
      <c r="U3907" s="38" t="b">
        <f t="shared" si="423"/>
        <v>0</v>
      </c>
      <c r="V3907" s="38"/>
      <c r="W3907" s="40"/>
      <c r="X3907" s="40"/>
      <c r="Y3907" s="40"/>
      <c r="Z3907" s="38"/>
      <c r="AA3907" s="38"/>
      <c r="AB3907" s="38"/>
      <c r="AC3907" s="38"/>
      <c r="AD3907" s="38"/>
      <c r="AE3907" s="38"/>
      <c r="AF3907" s="38"/>
      <c r="AG3907" s="38"/>
      <c r="AH3907" s="38"/>
      <c r="AI3907" s="38"/>
      <c r="AJ3907" s="38"/>
      <c r="AK3907" s="38"/>
      <c r="AL3907" s="38"/>
      <c r="AM3907" s="38"/>
      <c r="AN3907" s="38"/>
      <c r="AO3907" s="38"/>
      <c r="AP3907" s="38"/>
      <c r="AQ3907" s="38"/>
      <c r="AR3907" s="38"/>
      <c r="AS3907" s="38"/>
      <c r="AT3907" s="38"/>
      <c r="AU3907" s="38"/>
      <c r="AV3907" s="38"/>
      <c r="AW3907" s="38"/>
      <c r="AX3907" s="38"/>
      <c r="AY3907" s="38"/>
      <c r="AZ3907" s="38"/>
      <c r="BA3907" s="38"/>
      <c r="BB3907" s="38"/>
      <c r="BC3907" s="38"/>
      <c r="BD3907" s="38"/>
      <c r="BE3907" s="38"/>
      <c r="BF3907" s="38"/>
      <c r="BG3907" s="38"/>
      <c r="BH3907" s="38"/>
      <c r="BI3907" s="38"/>
      <c r="BJ3907" s="38"/>
      <c r="BK3907" s="38"/>
      <c r="BL3907" s="38"/>
      <c r="BM3907" s="38"/>
      <c r="BN3907" s="38"/>
      <c r="BO3907" s="38"/>
      <c r="BP3907" s="38"/>
      <c r="BQ3907" s="38"/>
    </row>
    <row r="3908">
      <c r="A3908" s="16"/>
      <c r="B3908" s="145"/>
      <c r="C3908" s="146"/>
      <c r="D3908" s="146"/>
      <c r="E3908" s="16"/>
      <c r="F3908" s="91"/>
      <c r="G3908" s="16"/>
      <c r="H3908" s="320" t="str">
        <f t="shared" si="424"/>
        <v/>
      </c>
      <c r="I3908" s="16"/>
      <c r="J3908" s="16"/>
      <c r="K3908" s="16"/>
      <c r="L3908" s="16"/>
      <c r="M3908" s="15"/>
      <c r="N3908" s="15"/>
      <c r="O3908" s="16"/>
      <c r="P3908" s="16"/>
      <c r="Q3908" s="16"/>
      <c r="R3908" s="16"/>
      <c r="S3908" s="37" t="str">
        <f>IFERROR(__xludf.DUMMYFUNCTION("if(not(iserror(index(split(C3908, "" ""),2))), index(split(C3908, "" ""),1),"""")"),"")</f>
        <v/>
      </c>
      <c r="T3908" s="315" t="str">
        <f>IFERROR(__xludf.DUMMYFUNCTION("if(S3908="""",C3908,if(not(iserror(index(split(C3908, "" ""),3))), index(split(C3908, "" ""),3),index(split(C3908, "" ""),2)))"),"")</f>
        <v/>
      </c>
      <c r="U3908" s="38" t="b">
        <f t="shared" si="423"/>
        <v>0</v>
      </c>
      <c r="V3908" s="38"/>
      <c r="W3908" s="40"/>
      <c r="X3908" s="40"/>
      <c r="Y3908" s="40"/>
      <c r="Z3908" s="38"/>
      <c r="AA3908" s="38"/>
      <c r="AB3908" s="38"/>
      <c r="AC3908" s="38"/>
      <c r="AD3908" s="38"/>
      <c r="AE3908" s="38"/>
      <c r="AF3908" s="38"/>
      <c r="AG3908" s="38"/>
      <c r="AH3908" s="38"/>
      <c r="AI3908" s="38"/>
      <c r="AJ3908" s="38"/>
      <c r="AK3908" s="38"/>
      <c r="AL3908" s="38"/>
      <c r="AM3908" s="38"/>
      <c r="AN3908" s="38"/>
      <c r="AO3908" s="38"/>
      <c r="AP3908" s="38"/>
      <c r="AQ3908" s="38"/>
      <c r="AR3908" s="38"/>
      <c r="AS3908" s="38"/>
      <c r="AT3908" s="38"/>
      <c r="AU3908" s="38"/>
      <c r="AV3908" s="38"/>
      <c r="AW3908" s="38"/>
      <c r="AX3908" s="38"/>
      <c r="AY3908" s="38"/>
      <c r="AZ3908" s="38"/>
      <c r="BA3908" s="38"/>
      <c r="BB3908" s="38"/>
      <c r="BC3908" s="38"/>
      <c r="BD3908" s="38"/>
      <c r="BE3908" s="38"/>
      <c r="BF3908" s="38"/>
      <c r="BG3908" s="38"/>
      <c r="BH3908" s="38"/>
      <c r="BI3908" s="38"/>
      <c r="BJ3908" s="38"/>
      <c r="BK3908" s="38"/>
      <c r="BL3908" s="38"/>
      <c r="BM3908" s="38"/>
      <c r="BN3908" s="38"/>
      <c r="BO3908" s="38"/>
      <c r="BP3908" s="38"/>
      <c r="BQ3908" s="38"/>
    </row>
    <row r="3909">
      <c r="A3909" s="16"/>
      <c r="B3909" s="145"/>
      <c r="C3909" s="146"/>
      <c r="D3909" s="146"/>
      <c r="E3909" s="16"/>
      <c r="F3909" s="91"/>
      <c r="G3909" s="16"/>
      <c r="H3909" s="320" t="str">
        <f t="shared" si="424"/>
        <v/>
      </c>
      <c r="I3909" s="16"/>
      <c r="J3909" s="16"/>
      <c r="K3909" s="16"/>
      <c r="L3909" s="16"/>
      <c r="M3909" s="15"/>
      <c r="N3909" s="15"/>
      <c r="O3909" s="16"/>
      <c r="P3909" s="16"/>
      <c r="Q3909" s="16"/>
      <c r="R3909" s="16"/>
      <c r="S3909" s="37" t="str">
        <f>IFERROR(__xludf.DUMMYFUNCTION("if(not(iserror(index(split(C3909, "" ""),2))), index(split(C3909, "" ""),1),"""")"),"")</f>
        <v/>
      </c>
      <c r="T3909" s="315" t="str">
        <f>IFERROR(__xludf.DUMMYFUNCTION("if(S3909="""",C3909,if(not(iserror(index(split(C3909, "" ""),3))), index(split(C3909, "" ""),3),index(split(C3909, "" ""),2)))"),"")</f>
        <v/>
      </c>
      <c r="U3909" s="38" t="b">
        <f t="shared" si="423"/>
        <v>0</v>
      </c>
      <c r="V3909" s="38"/>
      <c r="W3909" s="40"/>
      <c r="X3909" s="40"/>
      <c r="Y3909" s="40"/>
      <c r="Z3909" s="38"/>
      <c r="AA3909" s="38"/>
      <c r="AB3909" s="38"/>
      <c r="AC3909" s="38"/>
      <c r="AD3909" s="38"/>
      <c r="AE3909" s="38"/>
      <c r="AF3909" s="38"/>
      <c r="AG3909" s="38"/>
      <c r="AH3909" s="38"/>
      <c r="AI3909" s="38"/>
      <c r="AJ3909" s="38"/>
      <c r="AK3909" s="38"/>
      <c r="AL3909" s="38"/>
      <c r="AM3909" s="38"/>
      <c r="AN3909" s="38"/>
      <c r="AO3909" s="38"/>
      <c r="AP3909" s="38"/>
      <c r="AQ3909" s="38"/>
      <c r="AR3909" s="38"/>
      <c r="AS3909" s="38"/>
      <c r="AT3909" s="38"/>
      <c r="AU3909" s="38"/>
      <c r="AV3909" s="38"/>
      <c r="AW3909" s="38"/>
      <c r="AX3909" s="38"/>
      <c r="AY3909" s="38"/>
      <c r="AZ3909" s="38"/>
      <c r="BA3909" s="38"/>
      <c r="BB3909" s="38"/>
      <c r="BC3909" s="38"/>
      <c r="BD3909" s="38"/>
      <c r="BE3909" s="38"/>
      <c r="BF3909" s="38"/>
      <c r="BG3909" s="38"/>
      <c r="BH3909" s="38"/>
      <c r="BI3909" s="38"/>
      <c r="BJ3909" s="38"/>
      <c r="BK3909" s="38"/>
      <c r="BL3909" s="38"/>
      <c r="BM3909" s="38"/>
      <c r="BN3909" s="38"/>
      <c r="BO3909" s="38"/>
      <c r="BP3909" s="38"/>
      <c r="BQ3909" s="38"/>
    </row>
    <row r="3910">
      <c r="A3910" s="16"/>
      <c r="B3910" s="145"/>
      <c r="C3910" s="146"/>
      <c r="D3910" s="146"/>
      <c r="E3910" s="16"/>
      <c r="F3910" s="91"/>
      <c r="G3910" s="16"/>
      <c r="H3910" s="320" t="str">
        <f t="shared" si="424"/>
        <v/>
      </c>
      <c r="I3910" s="16"/>
      <c r="J3910" s="16"/>
      <c r="K3910" s="16"/>
      <c r="L3910" s="16"/>
      <c r="M3910" s="15"/>
      <c r="N3910" s="15"/>
      <c r="O3910" s="16"/>
      <c r="P3910" s="16"/>
      <c r="Q3910" s="16"/>
      <c r="R3910" s="16"/>
      <c r="S3910" s="37" t="str">
        <f>IFERROR(__xludf.DUMMYFUNCTION("if(not(iserror(index(split(C3910, "" ""),2))), index(split(C3910, "" ""),1),"""")"),"")</f>
        <v/>
      </c>
      <c r="T3910" s="315" t="str">
        <f>IFERROR(__xludf.DUMMYFUNCTION("if(S3910="""",C3910,if(not(iserror(index(split(C3910, "" ""),3))), index(split(C3910, "" ""),3),index(split(C3910, "" ""),2)))"),"")</f>
        <v/>
      </c>
      <c r="U3910" s="38" t="b">
        <f t="shared" si="423"/>
        <v>0</v>
      </c>
      <c r="V3910" s="38"/>
      <c r="W3910" s="40"/>
      <c r="X3910" s="40"/>
      <c r="Y3910" s="40"/>
      <c r="Z3910" s="38"/>
      <c r="AA3910" s="38"/>
      <c r="AB3910" s="38"/>
      <c r="AC3910" s="38"/>
      <c r="AD3910" s="38"/>
      <c r="AE3910" s="38"/>
      <c r="AF3910" s="38"/>
      <c r="AG3910" s="38"/>
      <c r="AH3910" s="38"/>
      <c r="AI3910" s="38"/>
      <c r="AJ3910" s="38"/>
      <c r="AK3910" s="38"/>
      <c r="AL3910" s="38"/>
      <c r="AM3910" s="38"/>
      <c r="AN3910" s="38"/>
      <c r="AO3910" s="38"/>
      <c r="AP3910" s="38"/>
      <c r="AQ3910" s="38"/>
      <c r="AR3910" s="38"/>
      <c r="AS3910" s="38"/>
      <c r="AT3910" s="38"/>
      <c r="AU3910" s="38"/>
      <c r="AV3910" s="38"/>
      <c r="AW3910" s="38"/>
      <c r="AX3910" s="38"/>
      <c r="AY3910" s="38"/>
      <c r="AZ3910" s="38"/>
      <c r="BA3910" s="38"/>
      <c r="BB3910" s="38"/>
      <c r="BC3910" s="38"/>
      <c r="BD3910" s="38"/>
      <c r="BE3910" s="38"/>
      <c r="BF3910" s="38"/>
      <c r="BG3910" s="38"/>
      <c r="BH3910" s="38"/>
      <c r="BI3910" s="38"/>
      <c r="BJ3910" s="38"/>
      <c r="BK3910" s="38"/>
      <c r="BL3910" s="38"/>
      <c r="BM3910" s="38"/>
      <c r="BN3910" s="38"/>
      <c r="BO3910" s="38"/>
      <c r="BP3910" s="38"/>
      <c r="BQ3910" s="38"/>
    </row>
    <row r="3911">
      <c r="A3911" s="16"/>
      <c r="B3911" s="145"/>
      <c r="C3911" s="146"/>
      <c r="D3911" s="146"/>
      <c r="E3911" s="16"/>
      <c r="F3911" s="91"/>
      <c r="G3911" s="16"/>
      <c r="H3911" s="320" t="str">
        <f t="shared" si="424"/>
        <v/>
      </c>
      <c r="I3911" s="16"/>
      <c r="J3911" s="16"/>
      <c r="K3911" s="16"/>
      <c r="L3911" s="16"/>
      <c r="M3911" s="15"/>
      <c r="N3911" s="15"/>
      <c r="O3911" s="16"/>
      <c r="P3911" s="16"/>
      <c r="Q3911" s="16"/>
      <c r="R3911" s="16"/>
      <c r="S3911" s="37" t="str">
        <f>IFERROR(__xludf.DUMMYFUNCTION("if(not(iserror(index(split(C3911, "" ""),2))), index(split(C3911, "" ""),1),"""")"),"")</f>
        <v/>
      </c>
      <c r="T3911" s="315" t="str">
        <f>IFERROR(__xludf.DUMMYFUNCTION("if(S3911="""",C3911,if(not(iserror(index(split(C3911, "" ""),3))), index(split(C3911, "" ""),3),index(split(C3911, "" ""),2)))"),"")</f>
        <v/>
      </c>
      <c r="U3911" s="38" t="b">
        <f t="shared" si="423"/>
        <v>0</v>
      </c>
      <c r="V3911" s="38"/>
      <c r="W3911" s="40"/>
      <c r="X3911" s="40"/>
      <c r="Y3911" s="40"/>
      <c r="Z3911" s="38"/>
      <c r="AA3911" s="38"/>
      <c r="AB3911" s="38"/>
      <c r="AC3911" s="38"/>
      <c r="AD3911" s="38"/>
      <c r="AE3911" s="38"/>
      <c r="AF3911" s="38"/>
      <c r="AG3911" s="38"/>
      <c r="AH3911" s="38"/>
      <c r="AI3911" s="38"/>
      <c r="AJ3911" s="38"/>
      <c r="AK3911" s="38"/>
      <c r="AL3911" s="38"/>
      <c r="AM3911" s="38"/>
      <c r="AN3911" s="38"/>
      <c r="AO3911" s="38"/>
      <c r="AP3911" s="38"/>
      <c r="AQ3911" s="38"/>
      <c r="AR3911" s="38"/>
      <c r="AS3911" s="38"/>
      <c r="AT3911" s="38"/>
      <c r="AU3911" s="38"/>
      <c r="AV3911" s="38"/>
      <c r="AW3911" s="38"/>
      <c r="AX3911" s="38"/>
      <c r="AY3911" s="38"/>
      <c r="AZ3911" s="38"/>
      <c r="BA3911" s="38"/>
      <c r="BB3911" s="38"/>
      <c r="BC3911" s="38"/>
      <c r="BD3911" s="38"/>
      <c r="BE3911" s="38"/>
      <c r="BF3911" s="38"/>
      <c r="BG3911" s="38"/>
      <c r="BH3911" s="38"/>
      <c r="BI3911" s="38"/>
      <c r="BJ3911" s="38"/>
      <c r="BK3911" s="38"/>
      <c r="BL3911" s="38"/>
      <c r="BM3911" s="38"/>
      <c r="BN3911" s="38"/>
      <c r="BO3911" s="38"/>
      <c r="BP3911" s="38"/>
      <c r="BQ3911" s="38"/>
    </row>
    <row r="3912">
      <c r="A3912" s="16"/>
      <c r="B3912" s="145"/>
      <c r="C3912" s="146"/>
      <c r="D3912" s="146"/>
      <c r="E3912" s="16"/>
      <c r="F3912" s="91"/>
      <c r="G3912" s="16"/>
      <c r="H3912" s="320" t="str">
        <f t="shared" si="424"/>
        <v/>
      </c>
      <c r="I3912" s="16"/>
      <c r="J3912" s="16"/>
      <c r="K3912" s="16"/>
      <c r="L3912" s="16"/>
      <c r="M3912" s="15"/>
      <c r="N3912" s="15"/>
      <c r="O3912" s="16"/>
      <c r="P3912" s="16"/>
      <c r="Q3912" s="16"/>
      <c r="R3912" s="16"/>
      <c r="S3912" s="37" t="str">
        <f>IFERROR(__xludf.DUMMYFUNCTION("if(not(iserror(index(split(C3912, "" ""),2))), index(split(C3912, "" ""),1),"""")"),"")</f>
        <v/>
      </c>
      <c r="T3912" s="315" t="str">
        <f>IFERROR(__xludf.DUMMYFUNCTION("if(S3912="""",C3912,if(not(iserror(index(split(C3912, "" ""),3))), index(split(C3912, "" ""),3),index(split(C3912, "" ""),2)))"),"")</f>
        <v/>
      </c>
      <c r="U3912" s="38" t="b">
        <f t="shared" si="423"/>
        <v>0</v>
      </c>
      <c r="V3912" s="38"/>
      <c r="W3912" s="40"/>
      <c r="X3912" s="40"/>
      <c r="Y3912" s="40"/>
      <c r="Z3912" s="38"/>
      <c r="AA3912" s="38"/>
      <c r="AB3912" s="38"/>
      <c r="AC3912" s="38"/>
      <c r="AD3912" s="38"/>
      <c r="AE3912" s="38"/>
      <c r="AF3912" s="38"/>
      <c r="AG3912" s="38"/>
      <c r="AH3912" s="38"/>
      <c r="AI3912" s="38"/>
      <c r="AJ3912" s="38"/>
      <c r="AK3912" s="38"/>
      <c r="AL3912" s="38"/>
      <c r="AM3912" s="38"/>
      <c r="AN3912" s="38"/>
      <c r="AO3912" s="38"/>
      <c r="AP3912" s="38"/>
      <c r="AQ3912" s="38"/>
      <c r="AR3912" s="38"/>
      <c r="AS3912" s="38"/>
      <c r="AT3912" s="38"/>
      <c r="AU3912" s="38"/>
      <c r="AV3912" s="38"/>
      <c r="AW3912" s="38"/>
      <c r="AX3912" s="38"/>
      <c r="AY3912" s="38"/>
      <c r="AZ3912" s="38"/>
      <c r="BA3912" s="38"/>
      <c r="BB3912" s="38"/>
      <c r="BC3912" s="38"/>
      <c r="BD3912" s="38"/>
      <c r="BE3912" s="38"/>
      <c r="BF3912" s="38"/>
      <c r="BG3912" s="38"/>
      <c r="BH3912" s="38"/>
      <c r="BI3912" s="38"/>
      <c r="BJ3912" s="38"/>
      <c r="BK3912" s="38"/>
      <c r="BL3912" s="38"/>
      <c r="BM3912" s="38"/>
      <c r="BN3912" s="38"/>
      <c r="BO3912" s="38"/>
      <c r="BP3912" s="38"/>
      <c r="BQ3912" s="38"/>
    </row>
    <row r="3913">
      <c r="A3913" s="16"/>
      <c r="B3913" s="145"/>
      <c r="C3913" s="146"/>
      <c r="D3913" s="146"/>
      <c r="E3913" s="16"/>
      <c r="F3913" s="91"/>
      <c r="G3913" s="16"/>
      <c r="H3913" s="320" t="str">
        <f t="shared" si="424"/>
        <v/>
      </c>
      <c r="I3913" s="16"/>
      <c r="J3913" s="16"/>
      <c r="K3913" s="16"/>
      <c r="L3913" s="16"/>
      <c r="M3913" s="15"/>
      <c r="N3913" s="15"/>
      <c r="O3913" s="16"/>
      <c r="P3913" s="16"/>
      <c r="Q3913" s="16"/>
      <c r="R3913" s="16"/>
      <c r="S3913" s="37" t="str">
        <f>IFERROR(__xludf.DUMMYFUNCTION("if(not(iserror(index(split(C3913, "" ""),2))), index(split(C3913, "" ""),1),"""")"),"")</f>
        <v/>
      </c>
      <c r="T3913" s="315" t="str">
        <f>IFERROR(__xludf.DUMMYFUNCTION("if(S3913="""",C3913,if(not(iserror(index(split(C3913, "" ""),3))), index(split(C3913, "" ""),3),index(split(C3913, "" ""),2)))"),"")</f>
        <v/>
      </c>
      <c r="U3913" s="38" t="b">
        <f t="shared" si="423"/>
        <v>0</v>
      </c>
      <c r="V3913" s="38"/>
      <c r="W3913" s="40"/>
      <c r="X3913" s="40"/>
      <c r="Y3913" s="40"/>
      <c r="Z3913" s="38"/>
      <c r="AA3913" s="38"/>
      <c r="AB3913" s="38"/>
      <c r="AC3913" s="38"/>
      <c r="AD3913" s="38"/>
      <c r="AE3913" s="38"/>
      <c r="AF3913" s="38"/>
      <c r="AG3913" s="38"/>
      <c r="AH3913" s="38"/>
      <c r="AI3913" s="38"/>
      <c r="AJ3913" s="38"/>
      <c r="AK3913" s="38"/>
      <c r="AL3913" s="38"/>
      <c r="AM3913" s="38"/>
      <c r="AN3913" s="38"/>
      <c r="AO3913" s="38"/>
      <c r="AP3913" s="38"/>
      <c r="AQ3913" s="38"/>
      <c r="AR3913" s="38"/>
      <c r="AS3913" s="38"/>
      <c r="AT3913" s="38"/>
      <c r="AU3913" s="38"/>
      <c r="AV3913" s="38"/>
      <c r="AW3913" s="38"/>
      <c r="AX3913" s="38"/>
      <c r="AY3913" s="38"/>
      <c r="AZ3913" s="38"/>
      <c r="BA3913" s="38"/>
      <c r="BB3913" s="38"/>
      <c r="BC3913" s="38"/>
      <c r="BD3913" s="38"/>
      <c r="BE3913" s="38"/>
      <c r="BF3913" s="38"/>
      <c r="BG3913" s="38"/>
      <c r="BH3913" s="38"/>
      <c r="BI3913" s="38"/>
      <c r="BJ3913" s="38"/>
      <c r="BK3913" s="38"/>
      <c r="BL3913" s="38"/>
      <c r="BM3913" s="38"/>
      <c r="BN3913" s="38"/>
      <c r="BO3913" s="38"/>
      <c r="BP3913" s="38"/>
      <c r="BQ3913" s="38"/>
    </row>
    <row r="3914">
      <c r="A3914" s="16"/>
      <c r="B3914" s="145"/>
      <c r="C3914" s="146"/>
      <c r="D3914" s="146"/>
      <c r="E3914" s="16"/>
      <c r="F3914" s="91"/>
      <c r="G3914" s="16"/>
      <c r="H3914" s="320" t="str">
        <f t="shared" si="424"/>
        <v/>
      </c>
      <c r="I3914" s="16"/>
      <c r="J3914" s="16"/>
      <c r="K3914" s="16"/>
      <c r="L3914" s="16"/>
      <c r="M3914" s="15"/>
      <c r="N3914" s="15"/>
      <c r="O3914" s="16"/>
      <c r="P3914" s="16"/>
      <c r="Q3914" s="16"/>
      <c r="R3914" s="16"/>
      <c r="S3914" s="37" t="str">
        <f>IFERROR(__xludf.DUMMYFUNCTION("if(not(iserror(index(split(C3914, "" ""),2))), index(split(C3914, "" ""),1),"""")"),"")</f>
        <v/>
      </c>
      <c r="T3914" s="315" t="str">
        <f>IFERROR(__xludf.DUMMYFUNCTION("if(S3914="""",C3914,if(not(iserror(index(split(C3914, "" ""),3))), index(split(C3914, "" ""),3),index(split(C3914, "" ""),2)))"),"")</f>
        <v/>
      </c>
      <c r="U3914" s="38" t="b">
        <f t="shared" si="423"/>
        <v>0</v>
      </c>
      <c r="V3914" s="38"/>
      <c r="W3914" s="40"/>
      <c r="X3914" s="40"/>
      <c r="Y3914" s="40"/>
      <c r="Z3914" s="38"/>
      <c r="AA3914" s="38"/>
      <c r="AB3914" s="38"/>
      <c r="AC3914" s="38"/>
      <c r="AD3914" s="38"/>
      <c r="AE3914" s="38"/>
      <c r="AF3914" s="38"/>
      <c r="AG3914" s="38"/>
      <c r="AH3914" s="38"/>
      <c r="AI3914" s="38"/>
      <c r="AJ3914" s="38"/>
      <c r="AK3914" s="38"/>
      <c r="AL3914" s="38"/>
      <c r="AM3914" s="38"/>
      <c r="AN3914" s="38"/>
      <c r="AO3914" s="38"/>
      <c r="AP3914" s="38"/>
      <c r="AQ3914" s="38"/>
      <c r="AR3914" s="38"/>
      <c r="AS3914" s="38"/>
      <c r="AT3914" s="38"/>
      <c r="AU3914" s="38"/>
      <c r="AV3914" s="38"/>
      <c r="AW3914" s="38"/>
      <c r="AX3914" s="38"/>
      <c r="AY3914" s="38"/>
      <c r="AZ3914" s="38"/>
      <c r="BA3914" s="38"/>
      <c r="BB3914" s="38"/>
      <c r="BC3914" s="38"/>
      <c r="BD3914" s="38"/>
      <c r="BE3914" s="38"/>
      <c r="BF3914" s="38"/>
      <c r="BG3914" s="38"/>
      <c r="BH3914" s="38"/>
      <c r="BI3914" s="38"/>
      <c r="BJ3914" s="38"/>
      <c r="BK3914" s="38"/>
      <c r="BL3914" s="38"/>
      <c r="BM3914" s="38"/>
      <c r="BN3914" s="38"/>
      <c r="BO3914" s="38"/>
      <c r="BP3914" s="38"/>
      <c r="BQ3914" s="38"/>
    </row>
    <row r="3915">
      <c r="A3915" s="16"/>
      <c r="B3915" s="145"/>
      <c r="C3915" s="146"/>
      <c r="D3915" s="146"/>
      <c r="E3915" s="16"/>
      <c r="F3915" s="91"/>
      <c r="G3915" s="16"/>
      <c r="H3915" s="320" t="str">
        <f t="shared" si="424"/>
        <v/>
      </c>
      <c r="I3915" s="16"/>
      <c r="J3915" s="16"/>
      <c r="K3915" s="16"/>
      <c r="L3915" s="16"/>
      <c r="M3915" s="15"/>
      <c r="N3915" s="15"/>
      <c r="O3915" s="16"/>
      <c r="P3915" s="16"/>
      <c r="Q3915" s="16"/>
      <c r="R3915" s="16"/>
      <c r="S3915" s="37" t="str">
        <f>IFERROR(__xludf.DUMMYFUNCTION("if(not(iserror(index(split(C3915, "" ""),2))), index(split(C3915, "" ""),1),"""")"),"")</f>
        <v/>
      </c>
      <c r="T3915" s="315" t="str">
        <f>IFERROR(__xludf.DUMMYFUNCTION("if(S3915="""",C3915,if(not(iserror(index(split(C3915, "" ""),3))), index(split(C3915, "" ""),3),index(split(C3915, "" ""),2)))"),"")</f>
        <v/>
      </c>
      <c r="U3915" s="38" t="b">
        <f t="shared" si="423"/>
        <v>0</v>
      </c>
      <c r="V3915" s="38"/>
      <c r="W3915" s="40"/>
      <c r="X3915" s="40"/>
      <c r="Y3915" s="40"/>
      <c r="Z3915" s="38"/>
      <c r="AA3915" s="38"/>
      <c r="AB3915" s="38"/>
      <c r="AC3915" s="38"/>
      <c r="AD3915" s="38"/>
      <c r="AE3915" s="38"/>
      <c r="AF3915" s="38"/>
      <c r="AG3915" s="38"/>
      <c r="AH3915" s="38"/>
      <c r="AI3915" s="38"/>
      <c r="AJ3915" s="38"/>
      <c r="AK3915" s="38"/>
      <c r="AL3915" s="38"/>
      <c r="AM3915" s="38"/>
      <c r="AN3915" s="38"/>
      <c r="AO3915" s="38"/>
      <c r="AP3915" s="38"/>
      <c r="AQ3915" s="38"/>
      <c r="AR3915" s="38"/>
      <c r="AS3915" s="38"/>
      <c r="AT3915" s="38"/>
      <c r="AU3915" s="38"/>
      <c r="AV3915" s="38"/>
      <c r="AW3915" s="38"/>
      <c r="AX3915" s="38"/>
      <c r="AY3915" s="38"/>
      <c r="AZ3915" s="38"/>
      <c r="BA3915" s="38"/>
      <c r="BB3915" s="38"/>
      <c r="BC3915" s="38"/>
      <c r="BD3915" s="38"/>
      <c r="BE3915" s="38"/>
      <c r="BF3915" s="38"/>
      <c r="BG3915" s="38"/>
      <c r="BH3915" s="38"/>
      <c r="BI3915" s="38"/>
      <c r="BJ3915" s="38"/>
      <c r="BK3915" s="38"/>
      <c r="BL3915" s="38"/>
      <c r="BM3915" s="38"/>
      <c r="BN3915" s="38"/>
      <c r="BO3915" s="38"/>
      <c r="BP3915" s="38"/>
      <c r="BQ3915" s="38"/>
    </row>
    <row r="3916">
      <c r="A3916" s="16"/>
      <c r="B3916" s="145"/>
      <c r="C3916" s="146"/>
      <c r="D3916" s="146"/>
      <c r="E3916" s="16"/>
      <c r="F3916" s="91"/>
      <c r="G3916" s="16"/>
      <c r="H3916" s="320" t="str">
        <f t="shared" si="424"/>
        <v/>
      </c>
      <c r="I3916" s="16"/>
      <c r="J3916" s="16"/>
      <c r="K3916" s="16"/>
      <c r="L3916" s="16"/>
      <c r="M3916" s="15"/>
      <c r="N3916" s="15"/>
      <c r="O3916" s="16"/>
      <c r="P3916" s="16"/>
      <c r="Q3916" s="16"/>
      <c r="R3916" s="16"/>
      <c r="S3916" s="37" t="str">
        <f>IFERROR(__xludf.DUMMYFUNCTION("if(not(iserror(index(split(C3916, "" ""),2))), index(split(C3916, "" ""),1),"""")"),"")</f>
        <v/>
      </c>
      <c r="T3916" s="315" t="str">
        <f>IFERROR(__xludf.DUMMYFUNCTION("if(S3916="""",C3916,if(not(iserror(index(split(C3916, "" ""),3))), index(split(C3916, "" ""),3),index(split(C3916, "" ""),2)))"),"")</f>
        <v/>
      </c>
      <c r="U3916" s="38" t="b">
        <f t="shared" si="423"/>
        <v>0</v>
      </c>
      <c r="V3916" s="38"/>
      <c r="W3916" s="40"/>
      <c r="X3916" s="40"/>
      <c r="Y3916" s="40"/>
      <c r="Z3916" s="38"/>
      <c r="AA3916" s="38"/>
      <c r="AB3916" s="38"/>
      <c r="AC3916" s="38"/>
      <c r="AD3916" s="38"/>
      <c r="AE3916" s="38"/>
      <c r="AF3916" s="38"/>
      <c r="AG3916" s="38"/>
      <c r="AH3916" s="38"/>
      <c r="AI3916" s="38"/>
      <c r="AJ3916" s="38"/>
      <c r="AK3916" s="38"/>
      <c r="AL3916" s="38"/>
      <c r="AM3916" s="38"/>
      <c r="AN3916" s="38"/>
      <c r="AO3916" s="38"/>
      <c r="AP3916" s="38"/>
      <c r="AQ3916" s="38"/>
      <c r="AR3916" s="38"/>
      <c r="AS3916" s="38"/>
      <c r="AT3916" s="38"/>
      <c r="AU3916" s="38"/>
      <c r="AV3916" s="38"/>
      <c r="AW3916" s="38"/>
      <c r="AX3916" s="38"/>
      <c r="AY3916" s="38"/>
      <c r="AZ3916" s="38"/>
      <c r="BA3916" s="38"/>
      <c r="BB3916" s="38"/>
      <c r="BC3916" s="38"/>
      <c r="BD3916" s="38"/>
      <c r="BE3916" s="38"/>
      <c r="BF3916" s="38"/>
      <c r="BG3916" s="38"/>
      <c r="BH3916" s="38"/>
      <c r="BI3916" s="38"/>
      <c r="BJ3916" s="38"/>
      <c r="BK3916" s="38"/>
      <c r="BL3916" s="38"/>
      <c r="BM3916" s="38"/>
      <c r="BN3916" s="38"/>
      <c r="BO3916" s="38"/>
      <c r="BP3916" s="38"/>
      <c r="BQ3916" s="38"/>
    </row>
    <row r="3917">
      <c r="A3917" s="16"/>
      <c r="B3917" s="145"/>
      <c r="C3917" s="146"/>
      <c r="D3917" s="146"/>
      <c r="E3917" s="16"/>
      <c r="F3917" s="91"/>
      <c r="G3917" s="16"/>
      <c r="H3917" s="320" t="str">
        <f t="shared" si="424"/>
        <v/>
      </c>
      <c r="I3917" s="16"/>
      <c r="J3917" s="16"/>
      <c r="K3917" s="16"/>
      <c r="L3917" s="16"/>
      <c r="M3917" s="15"/>
      <c r="N3917" s="15"/>
      <c r="O3917" s="16"/>
      <c r="P3917" s="16"/>
      <c r="Q3917" s="16"/>
      <c r="R3917" s="16"/>
      <c r="S3917" s="37" t="str">
        <f>IFERROR(__xludf.DUMMYFUNCTION("if(not(iserror(index(split(C3917, "" ""),2))), index(split(C3917, "" ""),1),"""")"),"")</f>
        <v/>
      </c>
      <c r="T3917" s="315" t="str">
        <f>IFERROR(__xludf.DUMMYFUNCTION("if(S3917="""",C3917,if(not(iserror(index(split(C3917, "" ""),3))), index(split(C3917, "" ""),3),index(split(C3917, "" ""),2)))"),"")</f>
        <v/>
      </c>
      <c r="U3917" s="38" t="b">
        <f t="shared" si="423"/>
        <v>0</v>
      </c>
      <c r="V3917" s="38"/>
      <c r="W3917" s="40"/>
      <c r="X3917" s="40"/>
      <c r="Y3917" s="40"/>
      <c r="Z3917" s="38"/>
      <c r="AA3917" s="38"/>
      <c r="AB3917" s="38"/>
      <c r="AC3917" s="38"/>
      <c r="AD3917" s="38"/>
      <c r="AE3917" s="38"/>
      <c r="AF3917" s="38"/>
      <c r="AG3917" s="38"/>
      <c r="AH3917" s="38"/>
      <c r="AI3917" s="38"/>
      <c r="AJ3917" s="38"/>
      <c r="AK3917" s="38"/>
      <c r="AL3917" s="38"/>
      <c r="AM3917" s="38"/>
      <c r="AN3917" s="38"/>
      <c r="AO3917" s="38"/>
      <c r="AP3917" s="38"/>
      <c r="AQ3917" s="38"/>
      <c r="AR3917" s="38"/>
      <c r="AS3917" s="38"/>
      <c r="AT3917" s="38"/>
      <c r="AU3917" s="38"/>
      <c r="AV3917" s="38"/>
      <c r="AW3917" s="38"/>
      <c r="AX3917" s="38"/>
      <c r="AY3917" s="38"/>
      <c r="AZ3917" s="38"/>
      <c r="BA3917" s="38"/>
      <c r="BB3917" s="38"/>
      <c r="BC3917" s="38"/>
      <c r="BD3917" s="38"/>
      <c r="BE3917" s="38"/>
      <c r="BF3917" s="38"/>
      <c r="BG3917" s="38"/>
      <c r="BH3917" s="38"/>
      <c r="BI3917" s="38"/>
      <c r="BJ3917" s="38"/>
      <c r="BK3917" s="38"/>
      <c r="BL3917" s="38"/>
      <c r="BM3917" s="38"/>
      <c r="BN3917" s="38"/>
      <c r="BO3917" s="38"/>
      <c r="BP3917" s="38"/>
      <c r="BQ3917" s="38"/>
    </row>
    <row r="3918">
      <c r="A3918" s="16"/>
      <c r="B3918" s="145"/>
      <c r="C3918" s="146"/>
      <c r="D3918" s="146"/>
      <c r="E3918" s="16"/>
      <c r="F3918" s="91"/>
      <c r="G3918" s="16"/>
      <c r="H3918" s="320" t="str">
        <f t="shared" si="424"/>
        <v/>
      </c>
      <c r="I3918" s="16"/>
      <c r="J3918" s="16"/>
      <c r="K3918" s="16"/>
      <c r="L3918" s="16"/>
      <c r="M3918" s="15"/>
      <c r="N3918" s="15"/>
      <c r="O3918" s="16"/>
      <c r="P3918" s="16"/>
      <c r="Q3918" s="16"/>
      <c r="R3918" s="16"/>
      <c r="S3918" s="37" t="str">
        <f>IFERROR(__xludf.DUMMYFUNCTION("if(not(iserror(index(split(C3918, "" ""),2))), index(split(C3918, "" ""),1),"""")"),"")</f>
        <v/>
      </c>
      <c r="T3918" s="315" t="str">
        <f>IFERROR(__xludf.DUMMYFUNCTION("if(S3918="""",C3918,if(not(iserror(index(split(C3918, "" ""),3))), index(split(C3918, "" ""),3),index(split(C3918, "" ""),2)))"),"")</f>
        <v/>
      </c>
      <c r="U3918" s="38" t="b">
        <f t="shared" si="423"/>
        <v>0</v>
      </c>
      <c r="V3918" s="38"/>
      <c r="W3918" s="40"/>
      <c r="X3918" s="40"/>
      <c r="Y3918" s="40"/>
      <c r="Z3918" s="38"/>
      <c r="AA3918" s="38"/>
      <c r="AB3918" s="38"/>
      <c r="AC3918" s="38"/>
      <c r="AD3918" s="38"/>
      <c r="AE3918" s="38"/>
      <c r="AF3918" s="38"/>
      <c r="AG3918" s="38"/>
      <c r="AH3918" s="38"/>
      <c r="AI3918" s="38"/>
      <c r="AJ3918" s="38"/>
      <c r="AK3918" s="38"/>
      <c r="AL3918" s="38"/>
      <c r="AM3918" s="38"/>
      <c r="AN3918" s="38"/>
      <c r="AO3918" s="38"/>
      <c r="AP3918" s="38"/>
      <c r="AQ3918" s="38"/>
      <c r="AR3918" s="38"/>
      <c r="AS3918" s="38"/>
      <c r="AT3918" s="38"/>
      <c r="AU3918" s="38"/>
      <c r="AV3918" s="38"/>
      <c r="AW3918" s="38"/>
      <c r="AX3918" s="38"/>
      <c r="AY3918" s="38"/>
      <c r="AZ3918" s="38"/>
      <c r="BA3918" s="38"/>
      <c r="BB3918" s="38"/>
      <c r="BC3918" s="38"/>
      <c r="BD3918" s="38"/>
      <c r="BE3918" s="38"/>
      <c r="BF3918" s="38"/>
      <c r="BG3918" s="38"/>
      <c r="BH3918" s="38"/>
      <c r="BI3918" s="38"/>
      <c r="BJ3918" s="38"/>
      <c r="BK3918" s="38"/>
      <c r="BL3918" s="38"/>
      <c r="BM3918" s="38"/>
      <c r="BN3918" s="38"/>
      <c r="BO3918" s="38"/>
      <c r="BP3918" s="38"/>
      <c r="BQ3918" s="38"/>
    </row>
    <row r="3919">
      <c r="A3919" s="16"/>
      <c r="B3919" s="145"/>
      <c r="C3919" s="146"/>
      <c r="D3919" s="146"/>
      <c r="E3919" s="16"/>
      <c r="F3919" s="91"/>
      <c r="G3919" s="16"/>
      <c r="H3919" s="320" t="str">
        <f t="shared" si="424"/>
        <v/>
      </c>
      <c r="I3919" s="16"/>
      <c r="J3919" s="16"/>
      <c r="K3919" s="16"/>
      <c r="L3919" s="16"/>
      <c r="M3919" s="15"/>
      <c r="N3919" s="15"/>
      <c r="O3919" s="16"/>
      <c r="P3919" s="16"/>
      <c r="Q3919" s="16"/>
      <c r="R3919" s="16"/>
      <c r="S3919" s="37" t="str">
        <f>IFERROR(__xludf.DUMMYFUNCTION("if(not(iserror(index(split(C3919, "" ""),2))), index(split(C3919, "" ""),1),"""")"),"")</f>
        <v/>
      </c>
      <c r="T3919" s="315" t="str">
        <f>IFERROR(__xludf.DUMMYFUNCTION("if(S3919="""",C3919,if(not(iserror(index(split(C3919, "" ""),3))), index(split(C3919, "" ""),3),index(split(C3919, "" ""),2)))"),"")</f>
        <v/>
      </c>
      <c r="U3919" s="38" t="b">
        <f t="shared" si="423"/>
        <v>0</v>
      </c>
      <c r="V3919" s="38"/>
      <c r="W3919" s="40"/>
      <c r="X3919" s="40"/>
      <c r="Y3919" s="40"/>
      <c r="Z3919" s="38"/>
      <c r="AA3919" s="38"/>
      <c r="AB3919" s="38"/>
      <c r="AC3919" s="38"/>
      <c r="AD3919" s="38"/>
      <c r="AE3919" s="38"/>
      <c r="AF3919" s="38"/>
      <c r="AG3919" s="38"/>
      <c r="AH3919" s="38"/>
      <c r="AI3919" s="38"/>
      <c r="AJ3919" s="38"/>
      <c r="AK3919" s="38"/>
      <c r="AL3919" s="38"/>
      <c r="AM3919" s="38"/>
      <c r="AN3919" s="38"/>
      <c r="AO3919" s="38"/>
      <c r="AP3919" s="38"/>
      <c r="AQ3919" s="38"/>
      <c r="AR3919" s="38"/>
      <c r="AS3919" s="38"/>
      <c r="AT3919" s="38"/>
      <c r="AU3919" s="38"/>
      <c r="AV3919" s="38"/>
      <c r="AW3919" s="38"/>
      <c r="AX3919" s="38"/>
      <c r="AY3919" s="38"/>
      <c r="AZ3919" s="38"/>
      <c r="BA3919" s="38"/>
      <c r="BB3919" s="38"/>
      <c r="BC3919" s="38"/>
      <c r="BD3919" s="38"/>
      <c r="BE3919" s="38"/>
      <c r="BF3919" s="38"/>
      <c r="BG3919" s="38"/>
      <c r="BH3919" s="38"/>
      <c r="BI3919" s="38"/>
      <c r="BJ3919" s="38"/>
      <c r="BK3919" s="38"/>
      <c r="BL3919" s="38"/>
      <c r="BM3919" s="38"/>
      <c r="BN3919" s="38"/>
      <c r="BO3919" s="38"/>
      <c r="BP3919" s="38"/>
      <c r="BQ3919" s="38"/>
    </row>
    <row r="3920">
      <c r="A3920" s="16"/>
      <c r="B3920" s="145"/>
      <c r="C3920" s="146"/>
      <c r="D3920" s="146"/>
      <c r="E3920" s="16"/>
      <c r="F3920" s="91"/>
      <c r="G3920" s="16"/>
      <c r="H3920" s="320" t="str">
        <f t="shared" si="424"/>
        <v/>
      </c>
      <c r="I3920" s="16"/>
      <c r="J3920" s="16"/>
      <c r="K3920" s="16"/>
      <c r="L3920" s="16"/>
      <c r="M3920" s="15"/>
      <c r="N3920" s="15"/>
      <c r="O3920" s="16"/>
      <c r="P3920" s="16"/>
      <c r="Q3920" s="16"/>
      <c r="R3920" s="16"/>
      <c r="S3920" s="37" t="str">
        <f>IFERROR(__xludf.DUMMYFUNCTION("if(not(iserror(index(split(C3920, "" ""),2))), index(split(C3920, "" ""),1),"""")"),"")</f>
        <v/>
      </c>
      <c r="T3920" s="315" t="str">
        <f>IFERROR(__xludf.DUMMYFUNCTION("if(S3920="""",C3920,if(not(iserror(index(split(C3920, "" ""),3))), index(split(C3920, "" ""),3),index(split(C3920, "" ""),2)))"),"")</f>
        <v/>
      </c>
      <c r="U3920" s="38" t="b">
        <f t="shared" si="423"/>
        <v>0</v>
      </c>
      <c r="V3920" s="38"/>
      <c r="W3920" s="40"/>
      <c r="X3920" s="40"/>
      <c r="Y3920" s="40"/>
      <c r="Z3920" s="38"/>
      <c r="AA3920" s="38"/>
      <c r="AB3920" s="38"/>
      <c r="AC3920" s="38"/>
      <c r="AD3920" s="38"/>
      <c r="AE3920" s="38"/>
      <c r="AF3920" s="38"/>
      <c r="AG3920" s="38"/>
      <c r="AH3920" s="38"/>
      <c r="AI3920" s="38"/>
      <c r="AJ3920" s="38"/>
      <c r="AK3920" s="38"/>
      <c r="AL3920" s="38"/>
      <c r="AM3920" s="38"/>
      <c r="AN3920" s="38"/>
      <c r="AO3920" s="38"/>
      <c r="AP3920" s="38"/>
      <c r="AQ3920" s="38"/>
      <c r="AR3920" s="38"/>
      <c r="AS3920" s="38"/>
      <c r="AT3920" s="38"/>
      <c r="AU3920" s="38"/>
      <c r="AV3920" s="38"/>
      <c r="AW3920" s="38"/>
      <c r="AX3920" s="38"/>
      <c r="AY3920" s="38"/>
      <c r="AZ3920" s="38"/>
      <c r="BA3920" s="38"/>
      <c r="BB3920" s="38"/>
      <c r="BC3920" s="38"/>
      <c r="BD3920" s="38"/>
      <c r="BE3920" s="38"/>
      <c r="BF3920" s="38"/>
      <c r="BG3920" s="38"/>
      <c r="BH3920" s="38"/>
      <c r="BI3920" s="38"/>
      <c r="BJ3920" s="38"/>
      <c r="BK3920" s="38"/>
      <c r="BL3920" s="38"/>
      <c r="BM3920" s="38"/>
      <c r="BN3920" s="38"/>
      <c r="BO3920" s="38"/>
      <c r="BP3920" s="38"/>
      <c r="BQ3920" s="38"/>
    </row>
    <row r="3921">
      <c r="A3921" s="16"/>
      <c r="B3921" s="145"/>
      <c r="C3921" s="146"/>
      <c r="D3921" s="146"/>
      <c r="E3921" s="16"/>
      <c r="F3921" s="91"/>
      <c r="G3921" s="16"/>
      <c r="H3921" s="320" t="str">
        <f t="shared" si="424"/>
        <v/>
      </c>
      <c r="I3921" s="16"/>
      <c r="J3921" s="16"/>
      <c r="K3921" s="16"/>
      <c r="L3921" s="16"/>
      <c r="M3921" s="15"/>
      <c r="N3921" s="15"/>
      <c r="O3921" s="16"/>
      <c r="P3921" s="16"/>
      <c r="Q3921" s="16"/>
      <c r="R3921" s="16"/>
      <c r="S3921" s="37" t="str">
        <f>IFERROR(__xludf.DUMMYFUNCTION("if(not(iserror(index(split(C3921, "" ""),2))), index(split(C3921, "" ""),1),"""")"),"")</f>
        <v/>
      </c>
      <c r="T3921" s="315" t="str">
        <f>IFERROR(__xludf.DUMMYFUNCTION("if(S3921="""",C3921,if(not(iserror(index(split(C3921, "" ""),3))), index(split(C3921, "" ""),3),index(split(C3921, "" ""),2)))"),"")</f>
        <v/>
      </c>
      <c r="U3921" s="38" t="b">
        <f t="shared" si="423"/>
        <v>0</v>
      </c>
      <c r="V3921" s="38"/>
      <c r="W3921" s="40"/>
      <c r="X3921" s="40"/>
      <c r="Y3921" s="40"/>
      <c r="Z3921" s="38"/>
      <c r="AA3921" s="38"/>
      <c r="AB3921" s="38"/>
      <c r="AC3921" s="38"/>
      <c r="AD3921" s="38"/>
      <c r="AE3921" s="38"/>
      <c r="AF3921" s="38"/>
      <c r="AG3921" s="38"/>
      <c r="AH3921" s="38"/>
      <c r="AI3921" s="38"/>
      <c r="AJ3921" s="38"/>
      <c r="AK3921" s="38"/>
      <c r="AL3921" s="38"/>
      <c r="AM3921" s="38"/>
      <c r="AN3921" s="38"/>
      <c r="AO3921" s="38"/>
      <c r="AP3921" s="38"/>
      <c r="AQ3921" s="38"/>
      <c r="AR3921" s="38"/>
      <c r="AS3921" s="38"/>
      <c r="AT3921" s="38"/>
      <c r="AU3921" s="38"/>
      <c r="AV3921" s="38"/>
      <c r="AW3921" s="38"/>
      <c r="AX3921" s="38"/>
      <c r="AY3921" s="38"/>
      <c r="AZ3921" s="38"/>
      <c r="BA3921" s="38"/>
      <c r="BB3921" s="38"/>
      <c r="BC3921" s="38"/>
      <c r="BD3921" s="38"/>
      <c r="BE3921" s="38"/>
      <c r="BF3921" s="38"/>
      <c r="BG3921" s="38"/>
      <c r="BH3921" s="38"/>
      <c r="BI3921" s="38"/>
      <c r="BJ3921" s="38"/>
      <c r="BK3921" s="38"/>
      <c r="BL3921" s="38"/>
      <c r="BM3921" s="38"/>
      <c r="BN3921" s="38"/>
      <c r="BO3921" s="38"/>
      <c r="BP3921" s="38"/>
      <c r="BQ3921" s="38"/>
    </row>
    <row r="3922">
      <c r="A3922" s="16"/>
      <c r="B3922" s="145"/>
      <c r="C3922" s="146"/>
      <c r="D3922" s="146"/>
      <c r="E3922" s="16"/>
      <c r="F3922" s="91"/>
      <c r="G3922" s="16"/>
      <c r="H3922" s="320" t="str">
        <f t="shared" si="424"/>
        <v/>
      </c>
      <c r="I3922" s="16"/>
      <c r="J3922" s="16"/>
      <c r="K3922" s="16"/>
      <c r="L3922" s="16"/>
      <c r="M3922" s="15"/>
      <c r="N3922" s="15"/>
      <c r="O3922" s="16"/>
      <c r="P3922" s="16"/>
      <c r="Q3922" s="16"/>
      <c r="R3922" s="16"/>
      <c r="S3922" s="37" t="str">
        <f>IFERROR(__xludf.DUMMYFUNCTION("if(not(iserror(index(split(C3922, "" ""),2))), index(split(C3922, "" ""),1),"""")"),"")</f>
        <v/>
      </c>
      <c r="T3922" s="315" t="str">
        <f>IFERROR(__xludf.DUMMYFUNCTION("if(S3922="""",C3922,if(not(iserror(index(split(C3922, "" ""),3))), index(split(C3922, "" ""),3),index(split(C3922, "" ""),2)))"),"")</f>
        <v/>
      </c>
      <c r="U3922" s="38" t="b">
        <f t="shared" si="423"/>
        <v>0</v>
      </c>
      <c r="V3922" s="38"/>
      <c r="W3922" s="40"/>
      <c r="X3922" s="40"/>
      <c r="Y3922" s="40"/>
      <c r="Z3922" s="38"/>
      <c r="AA3922" s="38"/>
      <c r="AB3922" s="38"/>
      <c r="AC3922" s="38"/>
      <c r="AD3922" s="38"/>
      <c r="AE3922" s="38"/>
      <c r="AF3922" s="38"/>
      <c r="AG3922" s="38"/>
      <c r="AH3922" s="38"/>
      <c r="AI3922" s="38"/>
      <c r="AJ3922" s="38"/>
      <c r="AK3922" s="38"/>
      <c r="AL3922" s="38"/>
      <c r="AM3922" s="38"/>
      <c r="AN3922" s="38"/>
      <c r="AO3922" s="38"/>
      <c r="AP3922" s="38"/>
      <c r="AQ3922" s="38"/>
      <c r="AR3922" s="38"/>
      <c r="AS3922" s="38"/>
      <c r="AT3922" s="38"/>
      <c r="AU3922" s="38"/>
      <c r="AV3922" s="38"/>
      <c r="AW3922" s="38"/>
      <c r="AX3922" s="38"/>
      <c r="AY3922" s="38"/>
      <c r="AZ3922" s="38"/>
      <c r="BA3922" s="38"/>
      <c r="BB3922" s="38"/>
      <c r="BC3922" s="38"/>
      <c r="BD3922" s="38"/>
      <c r="BE3922" s="38"/>
      <c r="BF3922" s="38"/>
      <c r="BG3922" s="38"/>
      <c r="BH3922" s="38"/>
      <c r="BI3922" s="38"/>
      <c r="BJ3922" s="38"/>
      <c r="BK3922" s="38"/>
      <c r="BL3922" s="38"/>
      <c r="BM3922" s="38"/>
      <c r="BN3922" s="38"/>
      <c r="BO3922" s="38"/>
      <c r="BP3922" s="38"/>
      <c r="BQ3922" s="38"/>
    </row>
    <row r="3923">
      <c r="A3923" s="16"/>
      <c r="B3923" s="145"/>
      <c r="C3923" s="146"/>
      <c r="D3923" s="146"/>
      <c r="E3923" s="16"/>
      <c r="F3923" s="91"/>
      <c r="G3923" s="16"/>
      <c r="H3923" s="320" t="str">
        <f t="shared" si="424"/>
        <v/>
      </c>
      <c r="I3923" s="16"/>
      <c r="J3923" s="16"/>
      <c r="K3923" s="16"/>
      <c r="L3923" s="16"/>
      <c r="M3923" s="15"/>
      <c r="N3923" s="15"/>
      <c r="O3923" s="16"/>
      <c r="P3923" s="16"/>
      <c r="Q3923" s="16"/>
      <c r="R3923" s="16"/>
      <c r="S3923" s="37" t="str">
        <f>IFERROR(__xludf.DUMMYFUNCTION("if(not(iserror(index(split(C3923, "" ""),2))), index(split(C3923, "" ""),1),"""")"),"")</f>
        <v/>
      </c>
      <c r="T3923" s="315" t="str">
        <f>IFERROR(__xludf.DUMMYFUNCTION("if(S3923="""",C3923,if(not(iserror(index(split(C3923, "" ""),3))), index(split(C3923, "" ""),3),index(split(C3923, "" ""),2)))"),"")</f>
        <v/>
      </c>
      <c r="U3923" s="38" t="b">
        <f t="shared" si="423"/>
        <v>0</v>
      </c>
      <c r="V3923" s="38"/>
      <c r="W3923" s="40"/>
      <c r="X3923" s="40"/>
      <c r="Y3923" s="40"/>
      <c r="Z3923" s="38"/>
      <c r="AA3923" s="38"/>
      <c r="AB3923" s="38"/>
      <c r="AC3923" s="38"/>
      <c r="AD3923" s="38"/>
      <c r="AE3923" s="38"/>
      <c r="AF3923" s="38"/>
      <c r="AG3923" s="38"/>
      <c r="AH3923" s="38"/>
      <c r="AI3923" s="38"/>
      <c r="AJ3923" s="38"/>
      <c r="AK3923" s="38"/>
      <c r="AL3923" s="38"/>
      <c r="AM3923" s="38"/>
      <c r="AN3923" s="38"/>
      <c r="AO3923" s="38"/>
      <c r="AP3923" s="38"/>
      <c r="AQ3923" s="38"/>
      <c r="AR3923" s="38"/>
      <c r="AS3923" s="38"/>
      <c r="AT3923" s="38"/>
      <c r="AU3923" s="38"/>
      <c r="AV3923" s="38"/>
      <c r="AW3923" s="38"/>
      <c r="AX3923" s="38"/>
      <c r="AY3923" s="38"/>
      <c r="AZ3923" s="38"/>
      <c r="BA3923" s="38"/>
      <c r="BB3923" s="38"/>
      <c r="BC3923" s="38"/>
      <c r="BD3923" s="38"/>
      <c r="BE3923" s="38"/>
      <c r="BF3923" s="38"/>
      <c r="BG3923" s="38"/>
      <c r="BH3923" s="38"/>
      <c r="BI3923" s="38"/>
      <c r="BJ3923" s="38"/>
      <c r="BK3923" s="38"/>
      <c r="BL3923" s="38"/>
      <c r="BM3923" s="38"/>
      <c r="BN3923" s="38"/>
      <c r="BO3923" s="38"/>
      <c r="BP3923" s="38"/>
      <c r="BQ3923" s="38"/>
    </row>
    <row r="3924">
      <c r="A3924" s="16"/>
      <c r="B3924" s="145"/>
      <c r="C3924" s="146"/>
      <c r="D3924" s="146"/>
      <c r="E3924" s="16"/>
      <c r="F3924" s="91"/>
      <c r="G3924" s="16"/>
      <c r="H3924" s="320" t="str">
        <f t="shared" si="424"/>
        <v/>
      </c>
      <c r="I3924" s="16"/>
      <c r="J3924" s="16"/>
      <c r="K3924" s="16"/>
      <c r="L3924" s="16"/>
      <c r="M3924" s="15"/>
      <c r="N3924" s="15"/>
      <c r="O3924" s="16"/>
      <c r="P3924" s="16"/>
      <c r="Q3924" s="16"/>
      <c r="R3924" s="16"/>
      <c r="S3924" s="37" t="str">
        <f>IFERROR(__xludf.DUMMYFUNCTION("if(not(iserror(index(split(C3924, "" ""),2))), index(split(C3924, "" ""),1),"""")"),"")</f>
        <v/>
      </c>
      <c r="T3924" s="315" t="str">
        <f>IFERROR(__xludf.DUMMYFUNCTION("if(S3924="""",C3924,if(not(iserror(index(split(C3924, "" ""),3))), index(split(C3924, "" ""),3),index(split(C3924, "" ""),2)))"),"")</f>
        <v/>
      </c>
      <c r="U3924" s="38" t="b">
        <f t="shared" si="423"/>
        <v>0</v>
      </c>
      <c r="V3924" s="38"/>
      <c r="W3924" s="40"/>
      <c r="X3924" s="40"/>
      <c r="Y3924" s="40"/>
      <c r="Z3924" s="38"/>
      <c r="AA3924" s="38"/>
      <c r="AB3924" s="38"/>
      <c r="AC3924" s="38"/>
      <c r="AD3924" s="38"/>
      <c r="AE3924" s="38"/>
      <c r="AF3924" s="38"/>
      <c r="AG3924" s="38"/>
      <c r="AH3924" s="38"/>
      <c r="AI3924" s="38"/>
      <c r="AJ3924" s="38"/>
      <c r="AK3924" s="38"/>
      <c r="AL3924" s="38"/>
      <c r="AM3924" s="38"/>
      <c r="AN3924" s="38"/>
      <c r="AO3924" s="38"/>
      <c r="AP3924" s="38"/>
      <c r="AQ3924" s="38"/>
      <c r="AR3924" s="38"/>
      <c r="AS3924" s="38"/>
      <c r="AT3924" s="38"/>
      <c r="AU3924" s="38"/>
      <c r="AV3924" s="38"/>
      <c r="AW3924" s="38"/>
      <c r="AX3924" s="38"/>
      <c r="AY3924" s="38"/>
      <c r="AZ3924" s="38"/>
      <c r="BA3924" s="38"/>
      <c r="BB3924" s="38"/>
      <c r="BC3924" s="38"/>
      <c r="BD3924" s="38"/>
      <c r="BE3924" s="38"/>
      <c r="BF3924" s="38"/>
      <c r="BG3924" s="38"/>
      <c r="BH3924" s="38"/>
      <c r="BI3924" s="38"/>
      <c r="BJ3924" s="38"/>
      <c r="BK3924" s="38"/>
      <c r="BL3924" s="38"/>
      <c r="BM3924" s="38"/>
      <c r="BN3924" s="38"/>
      <c r="BO3924" s="38"/>
      <c r="BP3924" s="38"/>
      <c r="BQ3924" s="38"/>
    </row>
    <row r="3925">
      <c r="A3925" s="16"/>
      <c r="B3925" s="145"/>
      <c r="C3925" s="146"/>
      <c r="D3925" s="146"/>
      <c r="E3925" s="16"/>
      <c r="F3925" s="91"/>
      <c r="G3925" s="16"/>
      <c r="H3925" s="320" t="str">
        <f t="shared" si="424"/>
        <v/>
      </c>
      <c r="I3925" s="16"/>
      <c r="J3925" s="16"/>
      <c r="K3925" s="16"/>
      <c r="L3925" s="16"/>
      <c r="M3925" s="15"/>
      <c r="N3925" s="15"/>
      <c r="O3925" s="16"/>
      <c r="P3925" s="16"/>
      <c r="Q3925" s="16"/>
      <c r="R3925" s="16"/>
      <c r="S3925" s="37" t="str">
        <f>IFERROR(__xludf.DUMMYFUNCTION("if(not(iserror(index(split(C3925, "" ""),2))), index(split(C3925, "" ""),1),"""")"),"")</f>
        <v/>
      </c>
      <c r="T3925" s="315" t="str">
        <f>IFERROR(__xludf.DUMMYFUNCTION("if(S3925="""",C3925,if(not(iserror(index(split(C3925, "" ""),3))), index(split(C3925, "" ""),3),index(split(C3925, "" ""),2)))"),"")</f>
        <v/>
      </c>
      <c r="U3925" s="38" t="b">
        <f t="shared" si="423"/>
        <v>0</v>
      </c>
      <c r="V3925" s="38"/>
      <c r="W3925" s="40"/>
      <c r="X3925" s="40"/>
      <c r="Y3925" s="40"/>
      <c r="Z3925" s="38"/>
      <c r="AA3925" s="38"/>
      <c r="AB3925" s="38"/>
      <c r="AC3925" s="38"/>
      <c r="AD3925" s="38"/>
      <c r="AE3925" s="38"/>
      <c r="AF3925" s="38"/>
      <c r="AG3925" s="38"/>
      <c r="AH3925" s="38"/>
      <c r="AI3925" s="38"/>
      <c r="AJ3925" s="38"/>
      <c r="AK3925" s="38"/>
      <c r="AL3925" s="38"/>
      <c r="AM3925" s="38"/>
      <c r="AN3925" s="38"/>
      <c r="AO3925" s="38"/>
      <c r="AP3925" s="38"/>
      <c r="AQ3925" s="38"/>
      <c r="AR3925" s="38"/>
      <c r="AS3925" s="38"/>
      <c r="AT3925" s="38"/>
      <c r="AU3925" s="38"/>
      <c r="AV3925" s="38"/>
      <c r="AW3925" s="38"/>
      <c r="AX3925" s="38"/>
      <c r="AY3925" s="38"/>
      <c r="AZ3925" s="38"/>
      <c r="BA3925" s="38"/>
      <c r="BB3925" s="38"/>
      <c r="BC3925" s="38"/>
      <c r="BD3925" s="38"/>
      <c r="BE3925" s="38"/>
      <c r="BF3925" s="38"/>
      <c r="BG3925" s="38"/>
      <c r="BH3925" s="38"/>
      <c r="BI3925" s="38"/>
      <c r="BJ3925" s="38"/>
      <c r="BK3925" s="38"/>
      <c r="BL3925" s="38"/>
      <c r="BM3925" s="38"/>
      <c r="BN3925" s="38"/>
      <c r="BO3925" s="38"/>
      <c r="BP3925" s="38"/>
      <c r="BQ3925" s="38"/>
    </row>
    <row r="3926">
      <c r="A3926" s="16"/>
      <c r="B3926" s="145"/>
      <c r="C3926" s="146"/>
      <c r="D3926" s="146"/>
      <c r="E3926" s="16"/>
      <c r="F3926" s="91"/>
      <c r="G3926" s="16"/>
      <c r="H3926" s="320" t="str">
        <f t="shared" si="424"/>
        <v/>
      </c>
      <c r="I3926" s="16"/>
      <c r="J3926" s="16"/>
      <c r="K3926" s="16"/>
      <c r="L3926" s="16"/>
      <c r="M3926" s="15"/>
      <c r="N3926" s="15"/>
      <c r="O3926" s="16"/>
      <c r="P3926" s="16"/>
      <c r="Q3926" s="16"/>
      <c r="R3926" s="16"/>
      <c r="S3926" s="37" t="str">
        <f>IFERROR(__xludf.DUMMYFUNCTION("if(not(iserror(index(split(C3926, "" ""),2))), index(split(C3926, "" ""),1),"""")"),"")</f>
        <v/>
      </c>
      <c r="T3926" s="315" t="str">
        <f>IFERROR(__xludf.DUMMYFUNCTION("if(S3926="""",C3926,if(not(iserror(index(split(C3926, "" ""),3))), index(split(C3926, "" ""),3),index(split(C3926, "" ""),2)))"),"")</f>
        <v/>
      </c>
      <c r="U3926" s="38" t="b">
        <f t="shared" si="423"/>
        <v>0</v>
      </c>
      <c r="V3926" s="38"/>
      <c r="W3926" s="40"/>
      <c r="X3926" s="40"/>
      <c r="Y3926" s="40"/>
      <c r="Z3926" s="38"/>
      <c r="AA3926" s="38"/>
      <c r="AB3926" s="38"/>
      <c r="AC3926" s="38"/>
      <c r="AD3926" s="38"/>
      <c r="AE3926" s="38"/>
      <c r="AF3926" s="38"/>
      <c r="AG3926" s="38"/>
      <c r="AH3926" s="38"/>
      <c r="AI3926" s="38"/>
      <c r="AJ3926" s="38"/>
      <c r="AK3926" s="38"/>
      <c r="AL3926" s="38"/>
      <c r="AM3926" s="38"/>
      <c r="AN3926" s="38"/>
      <c r="AO3926" s="38"/>
      <c r="AP3926" s="38"/>
      <c r="AQ3926" s="38"/>
      <c r="AR3926" s="38"/>
      <c r="AS3926" s="38"/>
      <c r="AT3926" s="38"/>
      <c r="AU3926" s="38"/>
      <c r="AV3926" s="38"/>
      <c r="AW3926" s="38"/>
      <c r="AX3926" s="38"/>
      <c r="AY3926" s="38"/>
      <c r="AZ3926" s="38"/>
      <c r="BA3926" s="38"/>
      <c r="BB3926" s="38"/>
      <c r="BC3926" s="38"/>
      <c r="BD3926" s="38"/>
      <c r="BE3926" s="38"/>
      <c r="BF3926" s="38"/>
      <c r="BG3926" s="38"/>
      <c r="BH3926" s="38"/>
      <c r="BI3926" s="38"/>
      <c r="BJ3926" s="38"/>
      <c r="BK3926" s="38"/>
      <c r="BL3926" s="38"/>
      <c r="BM3926" s="38"/>
      <c r="BN3926" s="38"/>
      <c r="BO3926" s="38"/>
      <c r="BP3926" s="38"/>
      <c r="BQ3926" s="38"/>
    </row>
    <row r="3927">
      <c r="A3927" s="16"/>
      <c r="B3927" s="145"/>
      <c r="C3927" s="146"/>
      <c r="D3927" s="146"/>
      <c r="E3927" s="16"/>
      <c r="F3927" s="91"/>
      <c r="G3927" s="16"/>
      <c r="H3927" s="320" t="str">
        <f t="shared" si="424"/>
        <v/>
      </c>
      <c r="I3927" s="16"/>
      <c r="J3927" s="16"/>
      <c r="K3927" s="16"/>
      <c r="L3927" s="16"/>
      <c r="M3927" s="15"/>
      <c r="N3927" s="15"/>
      <c r="O3927" s="16"/>
      <c r="P3927" s="16"/>
      <c r="Q3927" s="16"/>
      <c r="R3927" s="16"/>
      <c r="S3927" s="37" t="str">
        <f>IFERROR(__xludf.DUMMYFUNCTION("if(not(iserror(index(split(C3927, "" ""),2))), index(split(C3927, "" ""),1),"""")"),"")</f>
        <v/>
      </c>
      <c r="T3927" s="315" t="str">
        <f>IFERROR(__xludf.DUMMYFUNCTION("if(S3927="""",C3927,if(not(iserror(index(split(C3927, "" ""),3))), index(split(C3927, "" ""),3),index(split(C3927, "" ""),2)))"),"")</f>
        <v/>
      </c>
      <c r="U3927" s="38" t="b">
        <f t="shared" si="423"/>
        <v>0</v>
      </c>
      <c r="V3927" s="38"/>
      <c r="W3927" s="40"/>
      <c r="X3927" s="40"/>
      <c r="Y3927" s="40"/>
      <c r="Z3927" s="38"/>
      <c r="AA3927" s="38"/>
      <c r="AB3927" s="38"/>
      <c r="AC3927" s="38"/>
      <c r="AD3927" s="38"/>
      <c r="AE3927" s="38"/>
      <c r="AF3927" s="38"/>
      <c r="AG3927" s="38"/>
      <c r="AH3927" s="38"/>
      <c r="AI3927" s="38"/>
      <c r="AJ3927" s="38"/>
      <c r="AK3927" s="38"/>
      <c r="AL3927" s="38"/>
      <c r="AM3927" s="38"/>
      <c r="AN3927" s="38"/>
      <c r="AO3927" s="38"/>
      <c r="AP3927" s="38"/>
      <c r="AQ3927" s="38"/>
      <c r="AR3927" s="38"/>
      <c r="AS3927" s="38"/>
      <c r="AT3927" s="38"/>
      <c r="AU3927" s="38"/>
      <c r="AV3927" s="38"/>
      <c r="AW3927" s="38"/>
      <c r="AX3927" s="38"/>
      <c r="AY3927" s="38"/>
      <c r="AZ3927" s="38"/>
      <c r="BA3927" s="38"/>
      <c r="BB3927" s="38"/>
      <c r="BC3927" s="38"/>
      <c r="BD3927" s="38"/>
      <c r="BE3927" s="38"/>
      <c r="BF3927" s="38"/>
      <c r="BG3927" s="38"/>
      <c r="BH3927" s="38"/>
      <c r="BI3927" s="38"/>
      <c r="BJ3927" s="38"/>
      <c r="BK3927" s="38"/>
      <c r="BL3927" s="38"/>
      <c r="BM3927" s="38"/>
      <c r="BN3927" s="38"/>
      <c r="BO3927" s="38"/>
      <c r="BP3927" s="38"/>
      <c r="BQ3927" s="38"/>
    </row>
    <row r="3928">
      <c r="A3928" s="16"/>
      <c r="B3928" s="145"/>
      <c r="C3928" s="146"/>
      <c r="D3928" s="146"/>
      <c r="E3928" s="16"/>
      <c r="F3928" s="91"/>
      <c r="G3928" s="16"/>
      <c r="H3928" s="320" t="str">
        <f t="shared" si="424"/>
        <v/>
      </c>
      <c r="I3928" s="16"/>
      <c r="J3928" s="16"/>
      <c r="K3928" s="16"/>
      <c r="L3928" s="16"/>
      <c r="M3928" s="15"/>
      <c r="N3928" s="15"/>
      <c r="O3928" s="16"/>
      <c r="P3928" s="16"/>
      <c r="Q3928" s="16"/>
      <c r="R3928" s="16"/>
      <c r="S3928" s="37" t="str">
        <f>IFERROR(__xludf.DUMMYFUNCTION("if(not(iserror(index(split(C3928, "" ""),2))), index(split(C3928, "" ""),1),"""")"),"")</f>
        <v/>
      </c>
      <c r="T3928" s="315" t="str">
        <f>IFERROR(__xludf.DUMMYFUNCTION("if(S3928="""",C3928,if(not(iserror(index(split(C3928, "" ""),3))), index(split(C3928, "" ""),3),index(split(C3928, "" ""),2)))"),"")</f>
        <v/>
      </c>
      <c r="U3928" s="38" t="b">
        <f t="shared" si="423"/>
        <v>0</v>
      </c>
      <c r="V3928" s="38"/>
      <c r="W3928" s="40"/>
      <c r="X3928" s="40"/>
      <c r="Y3928" s="40"/>
      <c r="Z3928" s="38"/>
      <c r="AA3928" s="38"/>
      <c r="AB3928" s="38"/>
      <c r="AC3928" s="38"/>
      <c r="AD3928" s="38"/>
      <c r="AE3928" s="38"/>
      <c r="AF3928" s="38"/>
      <c r="AG3928" s="38"/>
      <c r="AH3928" s="38"/>
      <c r="AI3928" s="38"/>
      <c r="AJ3928" s="38"/>
      <c r="AK3928" s="38"/>
      <c r="AL3928" s="38"/>
      <c r="AM3928" s="38"/>
      <c r="AN3928" s="38"/>
      <c r="AO3928" s="38"/>
      <c r="AP3928" s="38"/>
      <c r="AQ3928" s="38"/>
      <c r="AR3928" s="38"/>
      <c r="AS3928" s="38"/>
      <c r="AT3928" s="38"/>
      <c r="AU3928" s="38"/>
      <c r="AV3928" s="38"/>
      <c r="AW3928" s="38"/>
      <c r="AX3928" s="38"/>
      <c r="AY3928" s="38"/>
      <c r="AZ3928" s="38"/>
      <c r="BA3928" s="38"/>
      <c r="BB3928" s="38"/>
      <c r="BC3928" s="38"/>
      <c r="BD3928" s="38"/>
      <c r="BE3928" s="38"/>
      <c r="BF3928" s="38"/>
      <c r="BG3928" s="38"/>
      <c r="BH3928" s="38"/>
      <c r="BI3928" s="38"/>
      <c r="BJ3928" s="38"/>
      <c r="BK3928" s="38"/>
      <c r="BL3928" s="38"/>
      <c r="BM3928" s="38"/>
      <c r="BN3928" s="38"/>
      <c r="BO3928" s="38"/>
      <c r="BP3928" s="38"/>
      <c r="BQ3928" s="38"/>
    </row>
    <row r="3929">
      <c r="A3929" s="16"/>
      <c r="B3929" s="145"/>
      <c r="C3929" s="146"/>
      <c r="D3929" s="146"/>
      <c r="E3929" s="16"/>
      <c r="F3929" s="91"/>
      <c r="G3929" s="16"/>
      <c r="H3929" s="320" t="str">
        <f t="shared" si="424"/>
        <v/>
      </c>
      <c r="I3929" s="16"/>
      <c r="J3929" s="16"/>
      <c r="K3929" s="16"/>
      <c r="L3929" s="16"/>
      <c r="M3929" s="15"/>
      <c r="N3929" s="15"/>
      <c r="O3929" s="16"/>
      <c r="P3929" s="16"/>
      <c r="Q3929" s="16"/>
      <c r="R3929" s="16"/>
      <c r="S3929" s="37" t="str">
        <f>IFERROR(__xludf.DUMMYFUNCTION("if(not(iserror(index(split(C3929, "" ""),2))), index(split(C3929, "" ""),1),"""")"),"")</f>
        <v/>
      </c>
      <c r="T3929" s="315" t="str">
        <f>IFERROR(__xludf.DUMMYFUNCTION("if(S3929="""",C3929,if(not(iserror(index(split(C3929, "" ""),3))), index(split(C3929, "" ""),3),index(split(C3929, "" ""),2)))"),"")</f>
        <v/>
      </c>
      <c r="U3929" s="38" t="b">
        <f t="shared" si="423"/>
        <v>0</v>
      </c>
      <c r="V3929" s="38"/>
      <c r="W3929" s="40"/>
      <c r="X3929" s="40"/>
      <c r="Y3929" s="40"/>
      <c r="Z3929" s="38"/>
      <c r="AA3929" s="38"/>
      <c r="AB3929" s="38"/>
      <c r="AC3929" s="38"/>
      <c r="AD3929" s="38"/>
      <c r="AE3929" s="38"/>
      <c r="AF3929" s="38"/>
      <c r="AG3929" s="38"/>
      <c r="AH3929" s="38"/>
      <c r="AI3929" s="38"/>
      <c r="AJ3929" s="38"/>
      <c r="AK3929" s="38"/>
      <c r="AL3929" s="38"/>
      <c r="AM3929" s="38"/>
      <c r="AN3929" s="38"/>
      <c r="AO3929" s="38"/>
      <c r="AP3929" s="38"/>
      <c r="AQ3929" s="38"/>
      <c r="AR3929" s="38"/>
      <c r="AS3929" s="38"/>
      <c r="AT3929" s="38"/>
      <c r="AU3929" s="38"/>
      <c r="AV3929" s="38"/>
      <c r="AW3929" s="38"/>
      <c r="AX3929" s="38"/>
      <c r="AY3929" s="38"/>
      <c r="AZ3929" s="38"/>
      <c r="BA3929" s="38"/>
      <c r="BB3929" s="38"/>
      <c r="BC3929" s="38"/>
      <c r="BD3929" s="38"/>
      <c r="BE3929" s="38"/>
      <c r="BF3929" s="38"/>
      <c r="BG3929" s="38"/>
      <c r="BH3929" s="38"/>
      <c r="BI3929" s="38"/>
      <c r="BJ3929" s="38"/>
      <c r="BK3929" s="38"/>
      <c r="BL3929" s="38"/>
      <c r="BM3929" s="38"/>
      <c r="BN3929" s="38"/>
      <c r="BO3929" s="38"/>
      <c r="BP3929" s="38"/>
      <c r="BQ3929" s="38"/>
    </row>
    <row r="3930">
      <c r="A3930" s="16"/>
      <c r="B3930" s="145"/>
      <c r="C3930" s="146"/>
      <c r="D3930" s="146"/>
      <c r="E3930" s="16"/>
      <c r="F3930" s="91"/>
      <c r="G3930" s="16"/>
      <c r="H3930" s="320" t="str">
        <f t="shared" si="424"/>
        <v/>
      </c>
      <c r="I3930" s="16"/>
      <c r="J3930" s="16"/>
      <c r="K3930" s="16"/>
      <c r="L3930" s="16"/>
      <c r="M3930" s="15"/>
      <c r="N3930" s="15"/>
      <c r="O3930" s="16"/>
      <c r="P3930" s="16"/>
      <c r="Q3930" s="16"/>
      <c r="R3930" s="16"/>
      <c r="S3930" s="37" t="str">
        <f>IFERROR(__xludf.DUMMYFUNCTION("if(not(iserror(index(split(C3930, "" ""),2))), index(split(C3930, "" ""),1),"""")"),"")</f>
        <v/>
      </c>
      <c r="T3930" s="315" t="str">
        <f>IFERROR(__xludf.DUMMYFUNCTION("if(S3930="""",C3930,if(not(iserror(index(split(C3930, "" ""),3))), index(split(C3930, "" ""),3),index(split(C3930, "" ""),2)))"),"")</f>
        <v/>
      </c>
      <c r="U3930" s="38" t="b">
        <f t="shared" si="423"/>
        <v>0</v>
      </c>
      <c r="V3930" s="38"/>
      <c r="W3930" s="40"/>
      <c r="X3930" s="40"/>
      <c r="Y3930" s="40"/>
      <c r="Z3930" s="38"/>
      <c r="AA3930" s="38"/>
      <c r="AB3930" s="38"/>
      <c r="AC3930" s="38"/>
      <c r="AD3930" s="38"/>
      <c r="AE3930" s="38"/>
      <c r="AF3930" s="38"/>
      <c r="AG3930" s="38"/>
      <c r="AH3930" s="38"/>
      <c r="AI3930" s="38"/>
      <c r="AJ3930" s="38"/>
      <c r="AK3930" s="38"/>
      <c r="AL3930" s="38"/>
      <c r="AM3930" s="38"/>
      <c r="AN3930" s="38"/>
      <c r="AO3930" s="38"/>
      <c r="AP3930" s="38"/>
      <c r="AQ3930" s="38"/>
      <c r="AR3930" s="38"/>
      <c r="AS3930" s="38"/>
      <c r="AT3930" s="38"/>
      <c r="AU3930" s="38"/>
      <c r="AV3930" s="38"/>
      <c r="AW3930" s="38"/>
      <c r="AX3930" s="38"/>
      <c r="AY3930" s="38"/>
      <c r="AZ3930" s="38"/>
      <c r="BA3930" s="38"/>
      <c r="BB3930" s="38"/>
      <c r="BC3930" s="38"/>
      <c r="BD3930" s="38"/>
      <c r="BE3930" s="38"/>
      <c r="BF3930" s="38"/>
      <c r="BG3930" s="38"/>
      <c r="BH3930" s="38"/>
      <c r="BI3930" s="38"/>
      <c r="BJ3930" s="38"/>
      <c r="BK3930" s="38"/>
      <c r="BL3930" s="38"/>
      <c r="BM3930" s="38"/>
      <c r="BN3930" s="38"/>
      <c r="BO3930" s="38"/>
      <c r="BP3930" s="38"/>
      <c r="BQ3930" s="38"/>
    </row>
    <row r="3931">
      <c r="A3931" s="16"/>
      <c r="B3931" s="145"/>
      <c r="C3931" s="146"/>
      <c r="D3931" s="146"/>
      <c r="E3931" s="16"/>
      <c r="F3931" s="91"/>
      <c r="G3931" s="16"/>
      <c r="H3931" s="320" t="str">
        <f t="shared" si="424"/>
        <v/>
      </c>
      <c r="I3931" s="16"/>
      <c r="J3931" s="16"/>
      <c r="K3931" s="16"/>
      <c r="L3931" s="16"/>
      <c r="M3931" s="15"/>
      <c r="N3931" s="15"/>
      <c r="O3931" s="16"/>
      <c r="P3931" s="16"/>
      <c r="Q3931" s="16"/>
      <c r="R3931" s="16"/>
      <c r="S3931" s="37" t="str">
        <f>IFERROR(__xludf.DUMMYFUNCTION("if(not(iserror(index(split(C3931, "" ""),2))), index(split(C3931, "" ""),1),"""")"),"")</f>
        <v/>
      </c>
      <c r="T3931" s="315" t="str">
        <f>IFERROR(__xludf.DUMMYFUNCTION("if(S3931="""",C3931,if(not(iserror(index(split(C3931, "" ""),3))), index(split(C3931, "" ""),3),index(split(C3931, "" ""),2)))"),"")</f>
        <v/>
      </c>
      <c r="U3931" s="38" t="b">
        <f t="shared" si="423"/>
        <v>0</v>
      </c>
      <c r="V3931" s="38"/>
      <c r="W3931" s="40"/>
      <c r="X3931" s="40"/>
      <c r="Y3931" s="40"/>
      <c r="Z3931" s="38"/>
      <c r="AA3931" s="38"/>
      <c r="AB3931" s="38"/>
      <c r="AC3931" s="38"/>
      <c r="AD3931" s="38"/>
      <c r="AE3931" s="38"/>
      <c r="AF3931" s="38"/>
      <c r="AG3931" s="38"/>
      <c r="AH3931" s="38"/>
      <c r="AI3931" s="38"/>
      <c r="AJ3931" s="38"/>
      <c r="AK3931" s="38"/>
      <c r="AL3931" s="38"/>
      <c r="AM3931" s="38"/>
      <c r="AN3931" s="38"/>
      <c r="AO3931" s="38"/>
      <c r="AP3931" s="38"/>
      <c r="AQ3931" s="38"/>
      <c r="AR3931" s="38"/>
      <c r="AS3931" s="38"/>
      <c r="AT3931" s="38"/>
      <c r="AU3931" s="38"/>
      <c r="AV3931" s="38"/>
      <c r="AW3931" s="38"/>
      <c r="AX3931" s="38"/>
      <c r="AY3931" s="38"/>
      <c r="AZ3931" s="38"/>
      <c r="BA3931" s="38"/>
      <c r="BB3931" s="38"/>
      <c r="BC3931" s="38"/>
      <c r="BD3931" s="38"/>
      <c r="BE3931" s="38"/>
      <c r="BF3931" s="38"/>
      <c r="BG3931" s="38"/>
      <c r="BH3931" s="38"/>
      <c r="BI3931" s="38"/>
      <c r="BJ3931" s="38"/>
      <c r="BK3931" s="38"/>
      <c r="BL3931" s="38"/>
      <c r="BM3931" s="38"/>
      <c r="BN3931" s="38"/>
      <c r="BO3931" s="38"/>
      <c r="BP3931" s="38"/>
      <c r="BQ3931" s="38"/>
    </row>
    <row r="3932">
      <c r="A3932" s="16"/>
      <c r="B3932" s="145"/>
      <c r="C3932" s="146"/>
      <c r="D3932" s="146"/>
      <c r="E3932" s="16"/>
      <c r="F3932" s="91"/>
      <c r="G3932" s="16"/>
      <c r="H3932" s="320" t="str">
        <f t="shared" si="424"/>
        <v/>
      </c>
      <c r="I3932" s="16"/>
      <c r="J3932" s="16"/>
      <c r="K3932" s="16"/>
      <c r="L3932" s="16"/>
      <c r="M3932" s="15"/>
      <c r="N3932" s="15"/>
      <c r="O3932" s="16"/>
      <c r="P3932" s="16"/>
      <c r="Q3932" s="16"/>
      <c r="R3932" s="16"/>
      <c r="S3932" s="37" t="str">
        <f>IFERROR(__xludf.DUMMYFUNCTION("if(not(iserror(index(split(C3932, "" ""),2))), index(split(C3932, "" ""),1),"""")"),"")</f>
        <v/>
      </c>
      <c r="T3932" s="315" t="str">
        <f>IFERROR(__xludf.DUMMYFUNCTION("if(S3932="""",C3932,if(not(iserror(index(split(C3932, "" ""),3))), index(split(C3932, "" ""),3),index(split(C3932, "" ""),2)))"),"")</f>
        <v/>
      </c>
      <c r="U3932" s="38" t="b">
        <f t="shared" si="423"/>
        <v>0</v>
      </c>
      <c r="V3932" s="38"/>
      <c r="W3932" s="40"/>
      <c r="X3932" s="40"/>
      <c r="Y3932" s="40"/>
      <c r="Z3932" s="38"/>
      <c r="AA3932" s="38"/>
      <c r="AB3932" s="38"/>
      <c r="AC3932" s="38"/>
      <c r="AD3932" s="38"/>
      <c r="AE3932" s="38"/>
      <c r="AF3932" s="38"/>
      <c r="AG3932" s="38"/>
      <c r="AH3932" s="38"/>
      <c r="AI3932" s="38"/>
      <c r="AJ3932" s="38"/>
      <c r="AK3932" s="38"/>
      <c r="AL3932" s="38"/>
      <c r="AM3932" s="38"/>
      <c r="AN3932" s="38"/>
      <c r="AO3932" s="38"/>
      <c r="AP3932" s="38"/>
      <c r="AQ3932" s="38"/>
      <c r="AR3932" s="38"/>
      <c r="AS3932" s="38"/>
      <c r="AT3932" s="38"/>
      <c r="AU3932" s="38"/>
      <c r="AV3932" s="38"/>
      <c r="AW3932" s="38"/>
      <c r="AX3932" s="38"/>
      <c r="AY3932" s="38"/>
      <c r="AZ3932" s="38"/>
      <c r="BA3932" s="38"/>
      <c r="BB3932" s="38"/>
      <c r="BC3932" s="38"/>
      <c r="BD3932" s="38"/>
      <c r="BE3932" s="38"/>
      <c r="BF3932" s="38"/>
      <c r="BG3932" s="38"/>
      <c r="BH3932" s="38"/>
      <c r="BI3932" s="38"/>
      <c r="BJ3932" s="38"/>
      <c r="BK3932" s="38"/>
      <c r="BL3932" s="38"/>
      <c r="BM3932" s="38"/>
      <c r="BN3932" s="38"/>
      <c r="BO3932" s="38"/>
      <c r="BP3932" s="38"/>
      <c r="BQ3932" s="38"/>
    </row>
    <row r="3933">
      <c r="A3933" s="16"/>
      <c r="B3933" s="145"/>
      <c r="C3933" s="146"/>
      <c r="D3933" s="146"/>
      <c r="E3933" s="16"/>
      <c r="F3933" s="91"/>
      <c r="G3933" s="16"/>
      <c r="H3933" s="320" t="str">
        <f t="shared" si="424"/>
        <v/>
      </c>
      <c r="I3933" s="16"/>
      <c r="J3933" s="16"/>
      <c r="K3933" s="16"/>
      <c r="L3933" s="16"/>
      <c r="M3933" s="15"/>
      <c r="N3933" s="15"/>
      <c r="O3933" s="16"/>
      <c r="P3933" s="16"/>
      <c r="Q3933" s="16"/>
      <c r="R3933" s="16"/>
      <c r="S3933" s="37" t="str">
        <f>IFERROR(__xludf.DUMMYFUNCTION("if(not(iserror(index(split(C3933, "" ""),2))), index(split(C3933, "" ""),1),"""")"),"")</f>
        <v/>
      </c>
      <c r="T3933" s="315" t="str">
        <f>IFERROR(__xludf.DUMMYFUNCTION("if(S3933="""",C3933,if(not(iserror(index(split(C3933, "" ""),3))), index(split(C3933, "" ""),3),index(split(C3933, "" ""),2)))"),"")</f>
        <v/>
      </c>
      <c r="U3933" s="38" t="b">
        <f t="shared" si="423"/>
        <v>0</v>
      </c>
      <c r="V3933" s="38"/>
      <c r="W3933" s="40"/>
      <c r="X3933" s="40"/>
      <c r="Y3933" s="40"/>
      <c r="Z3933" s="38"/>
      <c r="AA3933" s="38"/>
      <c r="AB3933" s="38"/>
      <c r="AC3933" s="38"/>
      <c r="AD3933" s="38"/>
      <c r="AE3933" s="38"/>
      <c r="AF3933" s="38"/>
      <c r="AG3933" s="38"/>
      <c r="AH3933" s="38"/>
      <c r="AI3933" s="38"/>
      <c r="AJ3933" s="38"/>
      <c r="AK3933" s="38"/>
      <c r="AL3933" s="38"/>
      <c r="AM3933" s="38"/>
      <c r="AN3933" s="38"/>
      <c r="AO3933" s="38"/>
      <c r="AP3933" s="38"/>
      <c r="AQ3933" s="38"/>
      <c r="AR3933" s="38"/>
      <c r="AS3933" s="38"/>
      <c r="AT3933" s="38"/>
      <c r="AU3933" s="38"/>
      <c r="AV3933" s="38"/>
      <c r="AW3933" s="38"/>
      <c r="AX3933" s="38"/>
      <c r="AY3933" s="38"/>
      <c r="AZ3933" s="38"/>
      <c r="BA3933" s="38"/>
      <c r="BB3933" s="38"/>
      <c r="BC3933" s="38"/>
      <c r="BD3933" s="38"/>
      <c r="BE3933" s="38"/>
      <c r="BF3933" s="38"/>
      <c r="BG3933" s="38"/>
      <c r="BH3933" s="38"/>
      <c r="BI3933" s="38"/>
      <c r="BJ3933" s="38"/>
      <c r="BK3933" s="38"/>
      <c r="BL3933" s="38"/>
      <c r="BM3933" s="38"/>
      <c r="BN3933" s="38"/>
      <c r="BO3933" s="38"/>
      <c r="BP3933" s="38"/>
      <c r="BQ3933" s="38"/>
    </row>
    <row r="3934">
      <c r="A3934" s="16"/>
      <c r="B3934" s="145"/>
      <c r="C3934" s="146"/>
      <c r="D3934" s="146"/>
      <c r="E3934" s="16"/>
      <c r="F3934" s="91"/>
      <c r="G3934" s="16"/>
      <c r="H3934" s="320" t="str">
        <f t="shared" si="424"/>
        <v/>
      </c>
      <c r="I3934" s="16"/>
      <c r="J3934" s="16"/>
      <c r="K3934" s="16"/>
      <c r="L3934" s="16"/>
      <c r="M3934" s="15"/>
      <c r="N3934" s="15"/>
      <c r="O3934" s="16"/>
      <c r="P3934" s="16"/>
      <c r="Q3934" s="16"/>
      <c r="R3934" s="16"/>
      <c r="S3934" s="37" t="str">
        <f>IFERROR(__xludf.DUMMYFUNCTION("if(not(iserror(index(split(C3934, "" ""),2))), index(split(C3934, "" ""),1),"""")"),"")</f>
        <v/>
      </c>
      <c r="T3934" s="315" t="str">
        <f>IFERROR(__xludf.DUMMYFUNCTION("if(S3934="""",C3934,if(not(iserror(index(split(C3934, "" ""),3))), index(split(C3934, "" ""),3),index(split(C3934, "" ""),2)))"),"")</f>
        <v/>
      </c>
      <c r="U3934" s="38" t="b">
        <f t="shared" si="423"/>
        <v>0</v>
      </c>
      <c r="V3934" s="38"/>
      <c r="W3934" s="40"/>
      <c r="X3934" s="40"/>
      <c r="Y3934" s="40"/>
      <c r="Z3934" s="38"/>
      <c r="AA3934" s="38"/>
      <c r="AB3934" s="38"/>
      <c r="AC3934" s="38"/>
      <c r="AD3934" s="38"/>
      <c r="AE3934" s="38"/>
      <c r="AF3934" s="38"/>
      <c r="AG3934" s="38"/>
      <c r="AH3934" s="38"/>
      <c r="AI3934" s="38"/>
      <c r="AJ3934" s="38"/>
      <c r="AK3934" s="38"/>
      <c r="AL3934" s="38"/>
      <c r="AM3934" s="38"/>
      <c r="AN3934" s="38"/>
      <c r="AO3934" s="38"/>
      <c r="AP3934" s="38"/>
      <c r="AQ3934" s="38"/>
      <c r="AR3934" s="38"/>
      <c r="AS3934" s="38"/>
      <c r="AT3934" s="38"/>
      <c r="AU3934" s="38"/>
      <c r="AV3934" s="38"/>
      <c r="AW3934" s="38"/>
      <c r="AX3934" s="38"/>
      <c r="AY3934" s="38"/>
      <c r="AZ3934" s="38"/>
      <c r="BA3934" s="38"/>
      <c r="BB3934" s="38"/>
      <c r="BC3934" s="38"/>
      <c r="BD3934" s="38"/>
      <c r="BE3934" s="38"/>
      <c r="BF3934" s="38"/>
      <c r="BG3934" s="38"/>
      <c r="BH3934" s="38"/>
      <c r="BI3934" s="38"/>
      <c r="BJ3934" s="38"/>
      <c r="BK3934" s="38"/>
      <c r="BL3934" s="38"/>
      <c r="BM3934" s="38"/>
      <c r="BN3934" s="38"/>
      <c r="BO3934" s="38"/>
      <c r="BP3934" s="38"/>
      <c r="BQ3934" s="38"/>
    </row>
    <row r="3935">
      <c r="A3935" s="16"/>
      <c r="B3935" s="145"/>
      <c r="C3935" s="146"/>
      <c r="D3935" s="146"/>
      <c r="E3935" s="16"/>
      <c r="F3935" s="91"/>
      <c r="G3935" s="16"/>
      <c r="H3935" s="320" t="str">
        <f t="shared" si="424"/>
        <v/>
      </c>
      <c r="I3935" s="16"/>
      <c r="J3935" s="16"/>
      <c r="K3935" s="16"/>
      <c r="L3935" s="16"/>
      <c r="M3935" s="15"/>
      <c r="N3935" s="15"/>
      <c r="O3935" s="16"/>
      <c r="P3935" s="16"/>
      <c r="Q3935" s="16"/>
      <c r="R3935" s="16"/>
      <c r="S3935" s="37" t="str">
        <f>IFERROR(__xludf.DUMMYFUNCTION("if(not(iserror(index(split(C3935, "" ""),2))), index(split(C3935, "" ""),1),"""")"),"")</f>
        <v/>
      </c>
      <c r="T3935" s="315" t="str">
        <f>IFERROR(__xludf.DUMMYFUNCTION("if(S3935="""",C3935,if(not(iserror(index(split(C3935, "" ""),3))), index(split(C3935, "" ""),3),index(split(C3935, "" ""),2)))"),"")</f>
        <v/>
      </c>
      <c r="U3935" s="38" t="b">
        <f t="shared" si="423"/>
        <v>0</v>
      </c>
      <c r="V3935" s="38"/>
      <c r="W3935" s="40"/>
      <c r="X3935" s="40"/>
      <c r="Y3935" s="40"/>
      <c r="Z3935" s="38"/>
      <c r="AA3935" s="38"/>
      <c r="AB3935" s="38"/>
      <c r="AC3935" s="38"/>
      <c r="AD3935" s="38"/>
      <c r="AE3935" s="38"/>
      <c r="AF3935" s="38"/>
      <c r="AG3935" s="38"/>
      <c r="AH3935" s="38"/>
      <c r="AI3935" s="38"/>
      <c r="AJ3935" s="38"/>
      <c r="AK3935" s="38"/>
      <c r="AL3935" s="38"/>
      <c r="AM3935" s="38"/>
      <c r="AN3935" s="38"/>
      <c r="AO3935" s="38"/>
      <c r="AP3935" s="38"/>
      <c r="AQ3935" s="38"/>
      <c r="AR3935" s="38"/>
      <c r="AS3935" s="38"/>
      <c r="AT3935" s="38"/>
      <c r="AU3935" s="38"/>
      <c r="AV3935" s="38"/>
      <c r="AW3935" s="38"/>
      <c r="AX3935" s="38"/>
      <c r="AY3935" s="38"/>
      <c r="AZ3935" s="38"/>
      <c r="BA3935" s="38"/>
      <c r="BB3935" s="38"/>
      <c r="BC3935" s="38"/>
      <c r="BD3935" s="38"/>
      <c r="BE3935" s="38"/>
      <c r="BF3935" s="38"/>
      <c r="BG3935" s="38"/>
      <c r="BH3935" s="38"/>
      <c r="BI3935" s="38"/>
      <c r="BJ3935" s="38"/>
      <c r="BK3935" s="38"/>
      <c r="BL3935" s="38"/>
      <c r="BM3935" s="38"/>
      <c r="BN3935" s="38"/>
      <c r="BO3935" s="38"/>
      <c r="BP3935" s="38"/>
      <c r="BQ3935" s="38"/>
    </row>
    <row r="3936">
      <c r="A3936" s="16"/>
      <c r="B3936" s="145"/>
      <c r="C3936" s="146"/>
      <c r="D3936" s="146"/>
      <c r="E3936" s="16"/>
      <c r="F3936" s="91"/>
      <c r="G3936" s="16"/>
      <c r="H3936" s="320" t="str">
        <f t="shared" si="424"/>
        <v/>
      </c>
      <c r="I3936" s="16"/>
      <c r="J3936" s="16"/>
      <c r="K3936" s="16"/>
      <c r="L3936" s="16"/>
      <c r="M3936" s="15"/>
      <c r="N3936" s="15"/>
      <c r="O3936" s="16"/>
      <c r="P3936" s="16"/>
      <c r="Q3936" s="16"/>
      <c r="R3936" s="16"/>
      <c r="S3936" s="37" t="str">
        <f>IFERROR(__xludf.DUMMYFUNCTION("if(not(iserror(index(split(C3936, "" ""),2))), index(split(C3936, "" ""),1),"""")"),"")</f>
        <v/>
      </c>
      <c r="T3936" s="315" t="str">
        <f>IFERROR(__xludf.DUMMYFUNCTION("if(S3936="""",C3936,if(not(iserror(index(split(C3936, "" ""),3))), index(split(C3936, "" ""),3),index(split(C3936, "" ""),2)))"),"")</f>
        <v/>
      </c>
      <c r="U3936" s="38" t="b">
        <f t="shared" si="423"/>
        <v>0</v>
      </c>
      <c r="V3936" s="38"/>
      <c r="W3936" s="40"/>
      <c r="X3936" s="40"/>
      <c r="Y3936" s="40"/>
      <c r="Z3936" s="38"/>
      <c r="AA3936" s="38"/>
      <c r="AB3936" s="38"/>
      <c r="AC3936" s="38"/>
      <c r="AD3936" s="38"/>
      <c r="AE3936" s="38"/>
      <c r="AF3936" s="38"/>
      <c r="AG3936" s="38"/>
      <c r="AH3936" s="38"/>
      <c r="AI3936" s="38"/>
      <c r="AJ3936" s="38"/>
      <c r="AK3936" s="38"/>
      <c r="AL3936" s="38"/>
      <c r="AM3936" s="38"/>
      <c r="AN3936" s="38"/>
      <c r="AO3936" s="38"/>
      <c r="AP3936" s="38"/>
      <c r="AQ3936" s="38"/>
      <c r="AR3936" s="38"/>
      <c r="AS3936" s="38"/>
      <c r="AT3936" s="38"/>
      <c r="AU3936" s="38"/>
      <c r="AV3936" s="38"/>
      <c r="AW3936" s="38"/>
      <c r="AX3936" s="38"/>
      <c r="AY3936" s="38"/>
      <c r="AZ3936" s="38"/>
      <c r="BA3936" s="38"/>
      <c r="BB3936" s="38"/>
      <c r="BC3936" s="38"/>
      <c r="BD3936" s="38"/>
      <c r="BE3936" s="38"/>
      <c r="BF3936" s="38"/>
      <c r="BG3936" s="38"/>
      <c r="BH3936" s="38"/>
      <c r="BI3936" s="38"/>
      <c r="BJ3936" s="38"/>
      <c r="BK3936" s="38"/>
      <c r="BL3936" s="38"/>
      <c r="BM3936" s="38"/>
      <c r="BN3936" s="38"/>
      <c r="BO3936" s="38"/>
      <c r="BP3936" s="38"/>
      <c r="BQ3936" s="38"/>
    </row>
    <row r="3937">
      <c r="A3937" s="16"/>
      <c r="B3937" s="145"/>
      <c r="C3937" s="146"/>
      <c r="D3937" s="146"/>
      <c r="E3937" s="16"/>
      <c r="F3937" s="91"/>
      <c r="G3937" s="16"/>
      <c r="H3937" s="320" t="str">
        <f t="shared" si="424"/>
        <v/>
      </c>
      <c r="I3937" s="16"/>
      <c r="J3937" s="16"/>
      <c r="K3937" s="16"/>
      <c r="L3937" s="16"/>
      <c r="M3937" s="15"/>
      <c r="N3937" s="15"/>
      <c r="O3937" s="16"/>
      <c r="P3937" s="16"/>
      <c r="Q3937" s="16"/>
      <c r="R3937" s="16"/>
      <c r="S3937" s="37" t="str">
        <f>IFERROR(__xludf.DUMMYFUNCTION("if(not(iserror(index(split(C3937, "" ""),2))), index(split(C3937, "" ""),1),"""")"),"")</f>
        <v/>
      </c>
      <c r="T3937" s="315" t="str">
        <f>IFERROR(__xludf.DUMMYFUNCTION("if(S3937="""",C3937,if(not(iserror(index(split(C3937, "" ""),3))), index(split(C3937, "" ""),3),index(split(C3937, "" ""),2)))"),"")</f>
        <v/>
      </c>
      <c r="U3937" s="38" t="b">
        <f t="shared" si="423"/>
        <v>0</v>
      </c>
      <c r="V3937" s="38"/>
      <c r="W3937" s="40"/>
      <c r="X3937" s="40"/>
      <c r="Y3937" s="40"/>
      <c r="Z3937" s="38"/>
      <c r="AA3937" s="38"/>
      <c r="AB3937" s="38"/>
      <c r="AC3937" s="38"/>
      <c r="AD3937" s="38"/>
      <c r="AE3937" s="38"/>
      <c r="AF3937" s="38"/>
      <c r="AG3937" s="38"/>
      <c r="AH3937" s="38"/>
      <c r="AI3937" s="38"/>
      <c r="AJ3937" s="38"/>
      <c r="AK3937" s="38"/>
      <c r="AL3937" s="38"/>
      <c r="AM3937" s="38"/>
      <c r="AN3937" s="38"/>
      <c r="AO3937" s="38"/>
      <c r="AP3937" s="38"/>
      <c r="AQ3937" s="38"/>
      <c r="AR3937" s="38"/>
      <c r="AS3937" s="38"/>
      <c r="AT3937" s="38"/>
      <c r="AU3937" s="38"/>
      <c r="AV3937" s="38"/>
      <c r="AW3937" s="38"/>
      <c r="AX3937" s="38"/>
      <c r="AY3937" s="38"/>
      <c r="AZ3937" s="38"/>
      <c r="BA3937" s="38"/>
      <c r="BB3937" s="38"/>
      <c r="BC3937" s="38"/>
      <c r="BD3937" s="38"/>
      <c r="BE3937" s="38"/>
      <c r="BF3937" s="38"/>
      <c r="BG3937" s="38"/>
      <c r="BH3937" s="38"/>
      <c r="BI3937" s="38"/>
      <c r="BJ3937" s="38"/>
      <c r="BK3937" s="38"/>
      <c r="BL3937" s="38"/>
      <c r="BM3937" s="38"/>
      <c r="BN3937" s="38"/>
      <c r="BO3937" s="38"/>
      <c r="BP3937" s="38"/>
      <c r="BQ3937" s="38"/>
    </row>
    <row r="3938">
      <c r="A3938" s="16"/>
      <c r="B3938" s="145"/>
      <c r="C3938" s="146"/>
      <c r="D3938" s="146"/>
      <c r="E3938" s="16"/>
      <c r="F3938" s="91"/>
      <c r="G3938" s="16"/>
      <c r="H3938" s="320" t="str">
        <f t="shared" si="424"/>
        <v/>
      </c>
      <c r="I3938" s="16"/>
      <c r="J3938" s="16"/>
      <c r="K3938" s="16"/>
      <c r="L3938" s="16"/>
      <c r="M3938" s="15"/>
      <c r="N3938" s="15"/>
      <c r="O3938" s="16"/>
      <c r="P3938" s="16"/>
      <c r="Q3938" s="16"/>
      <c r="R3938" s="16"/>
      <c r="S3938" s="37" t="str">
        <f>IFERROR(__xludf.DUMMYFUNCTION("if(not(iserror(index(split(C3938, "" ""),2))), index(split(C3938, "" ""),1),"""")"),"")</f>
        <v/>
      </c>
      <c r="T3938" s="315" t="str">
        <f>IFERROR(__xludf.DUMMYFUNCTION("if(S3938="""",C3938,if(not(iserror(index(split(C3938, "" ""),3))), index(split(C3938, "" ""),3),index(split(C3938, "" ""),2)))"),"")</f>
        <v/>
      </c>
      <c r="U3938" s="38" t="b">
        <f t="shared" si="423"/>
        <v>0</v>
      </c>
      <c r="V3938" s="38"/>
      <c r="W3938" s="40"/>
      <c r="X3938" s="40"/>
      <c r="Y3938" s="40"/>
      <c r="Z3938" s="38"/>
      <c r="AA3938" s="38"/>
      <c r="AB3938" s="38"/>
      <c r="AC3938" s="38"/>
      <c r="AD3938" s="38"/>
      <c r="AE3938" s="38"/>
      <c r="AF3938" s="38"/>
      <c r="AG3938" s="38"/>
      <c r="AH3938" s="38"/>
      <c r="AI3938" s="38"/>
      <c r="AJ3938" s="38"/>
      <c r="AK3938" s="38"/>
      <c r="AL3938" s="38"/>
      <c r="AM3938" s="38"/>
      <c r="AN3938" s="38"/>
      <c r="AO3938" s="38"/>
      <c r="AP3938" s="38"/>
      <c r="AQ3938" s="38"/>
      <c r="AR3938" s="38"/>
      <c r="AS3938" s="38"/>
      <c r="AT3938" s="38"/>
      <c r="AU3938" s="38"/>
      <c r="AV3938" s="38"/>
      <c r="AW3938" s="38"/>
      <c r="AX3938" s="38"/>
      <c r="AY3938" s="38"/>
      <c r="AZ3938" s="38"/>
      <c r="BA3938" s="38"/>
      <c r="BB3938" s="38"/>
      <c r="BC3938" s="38"/>
      <c r="BD3938" s="38"/>
      <c r="BE3938" s="38"/>
      <c r="BF3938" s="38"/>
      <c r="BG3938" s="38"/>
      <c r="BH3938" s="38"/>
      <c r="BI3938" s="38"/>
      <c r="BJ3938" s="38"/>
      <c r="BK3938" s="38"/>
      <c r="BL3938" s="38"/>
      <c r="BM3938" s="38"/>
      <c r="BN3938" s="38"/>
      <c r="BO3938" s="38"/>
      <c r="BP3938" s="38"/>
      <c r="BQ3938" s="38"/>
    </row>
    <row r="3939">
      <c r="A3939" s="16"/>
      <c r="B3939" s="145"/>
      <c r="C3939" s="146"/>
      <c r="D3939" s="146"/>
      <c r="E3939" s="16"/>
      <c r="F3939" s="91"/>
      <c r="G3939" s="16"/>
      <c r="H3939" s="320" t="str">
        <f t="shared" si="424"/>
        <v/>
      </c>
      <c r="I3939" s="16"/>
      <c r="J3939" s="16"/>
      <c r="K3939" s="16"/>
      <c r="L3939" s="16"/>
      <c r="M3939" s="15"/>
      <c r="N3939" s="15"/>
      <c r="O3939" s="16"/>
      <c r="P3939" s="16"/>
      <c r="Q3939" s="16"/>
      <c r="R3939" s="16"/>
      <c r="S3939" s="37" t="str">
        <f>IFERROR(__xludf.DUMMYFUNCTION("if(not(iserror(index(split(C3939, "" ""),2))), index(split(C3939, "" ""),1),"""")"),"")</f>
        <v/>
      </c>
      <c r="T3939" s="315" t="str">
        <f>IFERROR(__xludf.DUMMYFUNCTION("if(S3939="""",C3939,if(not(iserror(index(split(C3939, "" ""),3))), index(split(C3939, "" ""),3),index(split(C3939, "" ""),2)))"),"")</f>
        <v/>
      </c>
      <c r="U3939" s="38" t="b">
        <f t="shared" si="423"/>
        <v>0</v>
      </c>
      <c r="V3939" s="38"/>
      <c r="W3939" s="40"/>
      <c r="X3939" s="40"/>
      <c r="Y3939" s="40"/>
      <c r="Z3939" s="38"/>
      <c r="AA3939" s="38"/>
      <c r="AB3939" s="38"/>
      <c r="AC3939" s="38"/>
      <c r="AD3939" s="38"/>
      <c r="AE3939" s="38"/>
      <c r="AF3939" s="38"/>
      <c r="AG3939" s="38"/>
      <c r="AH3939" s="38"/>
      <c r="AI3939" s="38"/>
      <c r="AJ3939" s="38"/>
      <c r="AK3939" s="38"/>
      <c r="AL3939" s="38"/>
      <c r="AM3939" s="38"/>
      <c r="AN3939" s="38"/>
      <c r="AO3939" s="38"/>
      <c r="AP3939" s="38"/>
      <c r="AQ3939" s="38"/>
      <c r="AR3939" s="38"/>
      <c r="AS3939" s="38"/>
      <c r="AT3939" s="38"/>
      <c r="AU3939" s="38"/>
      <c r="AV3939" s="38"/>
      <c r="AW3939" s="38"/>
      <c r="AX3939" s="38"/>
      <c r="AY3939" s="38"/>
      <c r="AZ3939" s="38"/>
      <c r="BA3939" s="38"/>
      <c r="BB3939" s="38"/>
      <c r="BC3939" s="38"/>
      <c r="BD3939" s="38"/>
      <c r="BE3939" s="38"/>
      <c r="BF3939" s="38"/>
      <c r="BG3939" s="38"/>
      <c r="BH3939" s="38"/>
      <c r="BI3939" s="38"/>
      <c r="BJ3939" s="38"/>
      <c r="BK3939" s="38"/>
      <c r="BL3939" s="38"/>
      <c r="BM3939" s="38"/>
      <c r="BN3939" s="38"/>
      <c r="BO3939" s="38"/>
      <c r="BP3939" s="38"/>
      <c r="BQ3939" s="38"/>
    </row>
    <row r="3940">
      <c r="A3940" s="16"/>
      <c r="B3940" s="145"/>
      <c r="C3940" s="146"/>
      <c r="D3940" s="146"/>
      <c r="E3940" s="16"/>
      <c r="F3940" s="91"/>
      <c r="G3940" s="16"/>
      <c r="H3940" s="320" t="str">
        <f t="shared" si="424"/>
        <v/>
      </c>
      <c r="I3940" s="16"/>
      <c r="J3940" s="16"/>
      <c r="K3940" s="16"/>
      <c r="L3940" s="16"/>
      <c r="M3940" s="15"/>
      <c r="N3940" s="15"/>
      <c r="O3940" s="16"/>
      <c r="P3940" s="16"/>
      <c r="Q3940" s="16"/>
      <c r="R3940" s="16"/>
      <c r="S3940" s="37" t="str">
        <f>IFERROR(__xludf.DUMMYFUNCTION("if(not(iserror(index(split(C3940, "" ""),2))), index(split(C3940, "" ""),1),"""")"),"")</f>
        <v/>
      </c>
      <c r="T3940" s="315" t="str">
        <f>IFERROR(__xludf.DUMMYFUNCTION("if(S3940="""",C3940,if(not(iserror(index(split(C3940, "" ""),3))), index(split(C3940, "" ""),3),index(split(C3940, "" ""),2)))"),"")</f>
        <v/>
      </c>
      <c r="U3940" s="38" t="b">
        <f t="shared" si="423"/>
        <v>0</v>
      </c>
      <c r="V3940" s="38"/>
      <c r="W3940" s="40"/>
      <c r="X3940" s="40"/>
      <c r="Y3940" s="40"/>
      <c r="Z3940" s="38"/>
      <c r="AA3940" s="38"/>
      <c r="AB3940" s="38"/>
      <c r="AC3940" s="38"/>
      <c r="AD3940" s="38"/>
      <c r="AE3940" s="38"/>
      <c r="AF3940" s="38"/>
      <c r="AG3940" s="38"/>
      <c r="AH3940" s="38"/>
      <c r="AI3940" s="38"/>
      <c r="AJ3940" s="38"/>
      <c r="AK3940" s="38"/>
      <c r="AL3940" s="38"/>
      <c r="AM3940" s="38"/>
      <c r="AN3940" s="38"/>
      <c r="AO3940" s="38"/>
      <c r="AP3940" s="38"/>
      <c r="AQ3940" s="38"/>
      <c r="AR3940" s="38"/>
      <c r="AS3940" s="38"/>
      <c r="AT3940" s="38"/>
      <c r="AU3940" s="38"/>
      <c r="AV3940" s="38"/>
      <c r="AW3940" s="38"/>
      <c r="AX3940" s="38"/>
      <c r="AY3940" s="38"/>
      <c r="AZ3940" s="38"/>
      <c r="BA3940" s="38"/>
      <c r="BB3940" s="38"/>
      <c r="BC3940" s="38"/>
      <c r="BD3940" s="38"/>
      <c r="BE3940" s="38"/>
      <c r="BF3940" s="38"/>
      <c r="BG3940" s="38"/>
      <c r="BH3940" s="38"/>
      <c r="BI3940" s="38"/>
      <c r="BJ3940" s="38"/>
      <c r="BK3940" s="38"/>
      <c r="BL3940" s="38"/>
      <c r="BM3940" s="38"/>
      <c r="BN3940" s="38"/>
      <c r="BO3940" s="38"/>
      <c r="BP3940" s="38"/>
      <c r="BQ3940" s="38"/>
    </row>
    <row r="3941">
      <c r="A3941" s="16"/>
      <c r="B3941" s="145"/>
      <c r="C3941" s="146"/>
      <c r="D3941" s="146"/>
      <c r="E3941" s="16"/>
      <c r="F3941" s="91"/>
      <c r="G3941" s="16"/>
      <c r="H3941" s="320" t="str">
        <f t="shared" si="424"/>
        <v/>
      </c>
      <c r="I3941" s="16"/>
      <c r="J3941" s="16"/>
      <c r="K3941" s="16"/>
      <c r="L3941" s="16"/>
      <c r="M3941" s="15"/>
      <c r="N3941" s="15"/>
      <c r="O3941" s="16"/>
      <c r="P3941" s="16"/>
      <c r="Q3941" s="16"/>
      <c r="R3941" s="16"/>
      <c r="S3941" s="37" t="str">
        <f>IFERROR(__xludf.DUMMYFUNCTION("if(not(iserror(index(split(C3941, "" ""),2))), index(split(C3941, "" ""),1),"""")"),"")</f>
        <v/>
      </c>
      <c r="T3941" s="315" t="str">
        <f>IFERROR(__xludf.DUMMYFUNCTION("if(S3941="""",C3941,if(not(iserror(index(split(C3941, "" ""),3))), index(split(C3941, "" ""),3),index(split(C3941, "" ""),2)))"),"")</f>
        <v/>
      </c>
      <c r="U3941" s="38" t="b">
        <f t="shared" si="423"/>
        <v>0</v>
      </c>
      <c r="V3941" s="38"/>
      <c r="W3941" s="40"/>
      <c r="X3941" s="40"/>
      <c r="Y3941" s="40"/>
      <c r="Z3941" s="38"/>
      <c r="AA3941" s="38"/>
      <c r="AB3941" s="38"/>
      <c r="AC3941" s="38"/>
      <c r="AD3941" s="38"/>
      <c r="AE3941" s="38"/>
      <c r="AF3941" s="38"/>
      <c r="AG3941" s="38"/>
      <c r="AH3941" s="38"/>
      <c r="AI3941" s="38"/>
      <c r="AJ3941" s="38"/>
      <c r="AK3941" s="38"/>
      <c r="AL3941" s="38"/>
      <c r="AM3941" s="38"/>
      <c r="AN3941" s="38"/>
      <c r="AO3941" s="38"/>
      <c r="AP3941" s="38"/>
      <c r="AQ3941" s="38"/>
      <c r="AR3941" s="38"/>
      <c r="AS3941" s="38"/>
      <c r="AT3941" s="38"/>
      <c r="AU3941" s="38"/>
      <c r="AV3941" s="38"/>
      <c r="AW3941" s="38"/>
      <c r="AX3941" s="38"/>
      <c r="AY3941" s="38"/>
      <c r="AZ3941" s="38"/>
      <c r="BA3941" s="38"/>
      <c r="BB3941" s="38"/>
      <c r="BC3941" s="38"/>
      <c r="BD3941" s="38"/>
      <c r="BE3941" s="38"/>
      <c r="BF3941" s="38"/>
      <c r="BG3941" s="38"/>
      <c r="BH3941" s="38"/>
      <c r="BI3941" s="38"/>
      <c r="BJ3941" s="38"/>
      <c r="BK3941" s="38"/>
      <c r="BL3941" s="38"/>
      <c r="BM3941" s="38"/>
      <c r="BN3941" s="38"/>
      <c r="BO3941" s="38"/>
      <c r="BP3941" s="38"/>
      <c r="BQ3941" s="38"/>
    </row>
    <row r="3942">
      <c r="A3942" s="16"/>
      <c r="B3942" s="145"/>
      <c r="C3942" s="146"/>
      <c r="D3942" s="146"/>
      <c r="E3942" s="16"/>
      <c r="F3942" s="91"/>
      <c r="G3942" s="16"/>
      <c r="H3942" s="320" t="str">
        <f t="shared" si="424"/>
        <v/>
      </c>
      <c r="I3942" s="16"/>
      <c r="J3942" s="16"/>
      <c r="K3942" s="16"/>
      <c r="L3942" s="16"/>
      <c r="M3942" s="15"/>
      <c r="N3942" s="15"/>
      <c r="O3942" s="16"/>
      <c r="P3942" s="16"/>
      <c r="Q3942" s="16"/>
      <c r="R3942" s="16"/>
      <c r="S3942" s="37" t="str">
        <f>IFERROR(__xludf.DUMMYFUNCTION("if(not(iserror(index(split(C3942, "" ""),2))), index(split(C3942, "" ""),1),"""")"),"")</f>
        <v/>
      </c>
      <c r="T3942" s="315" t="str">
        <f>IFERROR(__xludf.DUMMYFUNCTION("if(S3942="""",C3942,if(not(iserror(index(split(C3942, "" ""),3))), index(split(C3942, "" ""),3),index(split(C3942, "" ""),2)))"),"")</f>
        <v/>
      </c>
      <c r="U3942" s="38" t="b">
        <f t="shared" si="423"/>
        <v>0</v>
      </c>
      <c r="V3942" s="38"/>
      <c r="W3942" s="40"/>
      <c r="X3942" s="40"/>
      <c r="Y3942" s="40"/>
      <c r="Z3942" s="38"/>
      <c r="AA3942" s="38"/>
      <c r="AB3942" s="38"/>
      <c r="AC3942" s="38"/>
      <c r="AD3942" s="38"/>
      <c r="AE3942" s="38"/>
      <c r="AF3942" s="38"/>
      <c r="AG3942" s="38"/>
      <c r="AH3942" s="38"/>
      <c r="AI3942" s="38"/>
      <c r="AJ3942" s="38"/>
      <c r="AK3942" s="38"/>
      <c r="AL3942" s="38"/>
      <c r="AM3942" s="38"/>
      <c r="AN3942" s="38"/>
      <c r="AO3942" s="38"/>
      <c r="AP3942" s="38"/>
      <c r="AQ3942" s="38"/>
      <c r="AR3942" s="38"/>
      <c r="AS3942" s="38"/>
      <c r="AT3942" s="38"/>
      <c r="AU3942" s="38"/>
      <c r="AV3942" s="38"/>
      <c r="AW3942" s="38"/>
      <c r="AX3942" s="38"/>
      <c r="AY3942" s="38"/>
      <c r="AZ3942" s="38"/>
      <c r="BA3942" s="38"/>
      <c r="BB3942" s="38"/>
      <c r="BC3942" s="38"/>
      <c r="BD3942" s="38"/>
      <c r="BE3942" s="38"/>
      <c r="BF3942" s="38"/>
      <c r="BG3942" s="38"/>
      <c r="BH3942" s="38"/>
      <c r="BI3942" s="38"/>
      <c r="BJ3942" s="38"/>
      <c r="BK3942" s="38"/>
      <c r="BL3942" s="38"/>
      <c r="BM3942" s="38"/>
      <c r="BN3942" s="38"/>
      <c r="BO3942" s="38"/>
      <c r="BP3942" s="38"/>
      <c r="BQ3942" s="38"/>
    </row>
    <row r="3943">
      <c r="A3943" s="16"/>
      <c r="B3943" s="145"/>
      <c r="C3943" s="146"/>
      <c r="D3943" s="146"/>
      <c r="E3943" s="16"/>
      <c r="F3943" s="91"/>
      <c r="G3943" s="16"/>
      <c r="H3943" s="320" t="str">
        <f t="shared" si="424"/>
        <v/>
      </c>
      <c r="I3943" s="16"/>
      <c r="J3943" s="16"/>
      <c r="K3943" s="16"/>
      <c r="L3943" s="16"/>
      <c r="M3943" s="15"/>
      <c r="N3943" s="15"/>
      <c r="O3943" s="16"/>
      <c r="P3943" s="16"/>
      <c r="Q3943" s="16"/>
      <c r="R3943" s="16"/>
      <c r="S3943" s="37" t="str">
        <f>IFERROR(__xludf.DUMMYFUNCTION("if(not(iserror(index(split(C3943, "" ""),2))), index(split(C3943, "" ""),1),"""")"),"")</f>
        <v/>
      </c>
      <c r="T3943" s="315" t="str">
        <f>IFERROR(__xludf.DUMMYFUNCTION("if(S3943="""",C3943,if(not(iserror(index(split(C3943, "" ""),3))), index(split(C3943, "" ""),3),index(split(C3943, "" ""),2)))"),"")</f>
        <v/>
      </c>
      <c r="U3943" s="38" t="b">
        <f t="shared" si="423"/>
        <v>0</v>
      </c>
      <c r="V3943" s="38"/>
      <c r="W3943" s="40"/>
      <c r="X3943" s="40"/>
      <c r="Y3943" s="40"/>
      <c r="Z3943" s="38"/>
      <c r="AA3943" s="38"/>
      <c r="AB3943" s="38"/>
      <c r="AC3943" s="38"/>
      <c r="AD3943" s="38"/>
      <c r="AE3943" s="38"/>
      <c r="AF3943" s="38"/>
      <c r="AG3943" s="38"/>
      <c r="AH3943" s="38"/>
      <c r="AI3943" s="38"/>
      <c r="AJ3943" s="38"/>
      <c r="AK3943" s="38"/>
      <c r="AL3943" s="38"/>
      <c r="AM3943" s="38"/>
      <c r="AN3943" s="38"/>
      <c r="AO3943" s="38"/>
      <c r="AP3943" s="38"/>
      <c r="AQ3943" s="38"/>
      <c r="AR3943" s="38"/>
      <c r="AS3943" s="38"/>
      <c r="AT3943" s="38"/>
      <c r="AU3943" s="38"/>
      <c r="AV3943" s="38"/>
      <c r="AW3943" s="38"/>
      <c r="AX3943" s="38"/>
      <c r="AY3943" s="38"/>
      <c r="AZ3943" s="38"/>
      <c r="BA3943" s="38"/>
      <c r="BB3943" s="38"/>
      <c r="BC3943" s="38"/>
      <c r="BD3943" s="38"/>
      <c r="BE3943" s="38"/>
      <c r="BF3943" s="38"/>
      <c r="BG3943" s="38"/>
      <c r="BH3943" s="38"/>
      <c r="BI3943" s="38"/>
      <c r="BJ3943" s="38"/>
      <c r="BK3943" s="38"/>
      <c r="BL3943" s="38"/>
      <c r="BM3943" s="38"/>
      <c r="BN3943" s="38"/>
      <c r="BO3943" s="38"/>
      <c r="BP3943" s="38"/>
      <c r="BQ3943" s="38"/>
    </row>
    <row r="3944">
      <c r="A3944" s="16"/>
      <c r="B3944" s="145"/>
      <c r="C3944" s="146"/>
      <c r="D3944" s="146"/>
      <c r="E3944" s="16"/>
      <c r="F3944" s="91"/>
      <c r="G3944" s="16"/>
      <c r="H3944" s="320" t="str">
        <f t="shared" si="424"/>
        <v/>
      </c>
      <c r="I3944" s="16"/>
      <c r="J3944" s="16"/>
      <c r="K3944" s="16"/>
      <c r="L3944" s="16"/>
      <c r="M3944" s="15"/>
      <c r="N3944" s="15"/>
      <c r="O3944" s="16"/>
      <c r="P3944" s="16"/>
      <c r="Q3944" s="16"/>
      <c r="R3944" s="16"/>
      <c r="S3944" s="37" t="str">
        <f>IFERROR(__xludf.DUMMYFUNCTION("if(not(iserror(index(split(C3944, "" ""),2))), index(split(C3944, "" ""),1),"""")"),"")</f>
        <v/>
      </c>
      <c r="T3944" s="315" t="str">
        <f>IFERROR(__xludf.DUMMYFUNCTION("if(S3944="""",C3944,if(not(iserror(index(split(C3944, "" ""),3))), index(split(C3944, "" ""),3),index(split(C3944, "" ""),2)))"),"")</f>
        <v/>
      </c>
      <c r="U3944" s="38" t="b">
        <f t="shared" si="423"/>
        <v>0</v>
      </c>
      <c r="V3944" s="38"/>
      <c r="W3944" s="40"/>
      <c r="X3944" s="40"/>
      <c r="Y3944" s="40"/>
      <c r="Z3944" s="38"/>
      <c r="AA3944" s="38"/>
      <c r="AB3944" s="38"/>
      <c r="AC3944" s="38"/>
      <c r="AD3944" s="38"/>
      <c r="AE3944" s="38"/>
      <c r="AF3944" s="38"/>
      <c r="AG3944" s="38"/>
      <c r="AH3944" s="38"/>
      <c r="AI3944" s="38"/>
      <c r="AJ3944" s="38"/>
      <c r="AK3944" s="38"/>
      <c r="AL3944" s="38"/>
      <c r="AM3944" s="38"/>
      <c r="AN3944" s="38"/>
      <c r="AO3944" s="38"/>
      <c r="AP3944" s="38"/>
      <c r="AQ3944" s="38"/>
      <c r="AR3944" s="38"/>
      <c r="AS3944" s="38"/>
      <c r="AT3944" s="38"/>
      <c r="AU3944" s="38"/>
      <c r="AV3944" s="38"/>
      <c r="AW3944" s="38"/>
      <c r="AX3944" s="38"/>
      <c r="AY3944" s="38"/>
      <c r="AZ3944" s="38"/>
      <c r="BA3944" s="38"/>
      <c r="BB3944" s="38"/>
      <c r="BC3944" s="38"/>
      <c r="BD3944" s="38"/>
      <c r="BE3944" s="38"/>
      <c r="BF3944" s="38"/>
      <c r="BG3944" s="38"/>
      <c r="BH3944" s="38"/>
      <c r="BI3944" s="38"/>
      <c r="BJ3944" s="38"/>
      <c r="BK3944" s="38"/>
      <c r="BL3944" s="38"/>
      <c r="BM3944" s="38"/>
      <c r="BN3944" s="38"/>
      <c r="BO3944" s="38"/>
      <c r="BP3944" s="38"/>
      <c r="BQ3944" s="38"/>
    </row>
    <row r="3945">
      <c r="A3945" s="16"/>
      <c r="B3945" s="145"/>
      <c r="C3945" s="146"/>
      <c r="D3945" s="146"/>
      <c r="E3945" s="16"/>
      <c r="F3945" s="91"/>
      <c r="G3945" s="16"/>
      <c r="H3945" s="320" t="str">
        <f t="shared" si="424"/>
        <v/>
      </c>
      <c r="I3945" s="16"/>
      <c r="J3945" s="16"/>
      <c r="K3945" s="16"/>
      <c r="L3945" s="16"/>
      <c r="M3945" s="15"/>
      <c r="N3945" s="15"/>
      <c r="O3945" s="16"/>
      <c r="P3945" s="16"/>
      <c r="Q3945" s="16"/>
      <c r="R3945" s="16"/>
      <c r="S3945" s="37" t="str">
        <f>IFERROR(__xludf.DUMMYFUNCTION("if(not(iserror(index(split(C3945, "" ""),2))), index(split(C3945, "" ""),1),"""")"),"")</f>
        <v/>
      </c>
      <c r="T3945" s="315" t="str">
        <f>IFERROR(__xludf.DUMMYFUNCTION("if(S3945="""",C3945,if(not(iserror(index(split(C3945, "" ""),3))), index(split(C3945, "" ""),3),index(split(C3945, "" ""),2)))"),"")</f>
        <v/>
      </c>
      <c r="U3945" s="38" t="b">
        <f t="shared" si="423"/>
        <v>0</v>
      </c>
      <c r="V3945" s="38"/>
      <c r="W3945" s="40"/>
      <c r="X3945" s="40"/>
      <c r="Y3945" s="40"/>
      <c r="Z3945" s="38"/>
      <c r="AA3945" s="38"/>
      <c r="AB3945" s="38"/>
      <c r="AC3945" s="38"/>
      <c r="AD3945" s="38"/>
      <c r="AE3945" s="38"/>
      <c r="AF3945" s="38"/>
      <c r="AG3945" s="38"/>
      <c r="AH3945" s="38"/>
      <c r="AI3945" s="38"/>
      <c r="AJ3945" s="38"/>
      <c r="AK3945" s="38"/>
      <c r="AL3945" s="38"/>
      <c r="AM3945" s="38"/>
      <c r="AN3945" s="38"/>
      <c r="AO3945" s="38"/>
      <c r="AP3945" s="38"/>
      <c r="AQ3945" s="38"/>
      <c r="AR3945" s="38"/>
      <c r="AS3945" s="38"/>
      <c r="AT3945" s="38"/>
      <c r="AU3945" s="38"/>
      <c r="AV3945" s="38"/>
      <c r="AW3945" s="38"/>
      <c r="AX3945" s="38"/>
      <c r="AY3945" s="38"/>
      <c r="AZ3945" s="38"/>
      <c r="BA3945" s="38"/>
      <c r="BB3945" s="38"/>
      <c r="BC3945" s="38"/>
      <c r="BD3945" s="38"/>
      <c r="BE3945" s="38"/>
      <c r="BF3945" s="38"/>
      <c r="BG3945" s="38"/>
      <c r="BH3945" s="38"/>
      <c r="BI3945" s="38"/>
      <c r="BJ3945" s="38"/>
      <c r="BK3945" s="38"/>
      <c r="BL3945" s="38"/>
      <c r="BM3945" s="38"/>
      <c r="BN3945" s="38"/>
      <c r="BO3945" s="38"/>
      <c r="BP3945" s="38"/>
      <c r="BQ3945" s="38"/>
    </row>
    <row r="3946">
      <c r="A3946" s="16"/>
      <c r="B3946" s="145"/>
      <c r="C3946" s="146"/>
      <c r="D3946" s="146"/>
      <c r="E3946" s="16"/>
      <c r="F3946" s="91"/>
      <c r="G3946" s="16"/>
      <c r="H3946" s="320" t="str">
        <f t="shared" si="424"/>
        <v/>
      </c>
      <c r="I3946" s="16"/>
      <c r="J3946" s="16"/>
      <c r="K3946" s="16"/>
      <c r="L3946" s="16"/>
      <c r="M3946" s="15"/>
      <c r="N3946" s="15"/>
      <c r="O3946" s="16"/>
      <c r="P3946" s="16"/>
      <c r="Q3946" s="16"/>
      <c r="R3946" s="16"/>
      <c r="S3946" s="37" t="str">
        <f>IFERROR(__xludf.DUMMYFUNCTION("if(not(iserror(index(split(C3946, "" ""),2))), index(split(C3946, "" ""),1),"""")"),"")</f>
        <v/>
      </c>
      <c r="T3946" s="315" t="str">
        <f>IFERROR(__xludf.DUMMYFUNCTION("if(S3946="""",C3946,if(not(iserror(index(split(C3946, "" ""),3))), index(split(C3946, "" ""),3),index(split(C3946, "" ""),2)))"),"")</f>
        <v/>
      </c>
      <c r="U3946" s="38" t="b">
        <f t="shared" si="423"/>
        <v>0</v>
      </c>
      <c r="V3946" s="38"/>
      <c r="W3946" s="40"/>
      <c r="X3946" s="40"/>
      <c r="Y3946" s="40"/>
      <c r="Z3946" s="38"/>
      <c r="AA3946" s="38"/>
      <c r="AB3946" s="38"/>
      <c r="AC3946" s="38"/>
      <c r="AD3946" s="38"/>
      <c r="AE3946" s="38"/>
      <c r="AF3946" s="38"/>
      <c r="AG3946" s="38"/>
      <c r="AH3946" s="38"/>
      <c r="AI3946" s="38"/>
      <c r="AJ3946" s="38"/>
      <c r="AK3946" s="38"/>
      <c r="AL3946" s="38"/>
      <c r="AM3946" s="38"/>
      <c r="AN3946" s="38"/>
      <c r="AO3946" s="38"/>
      <c r="AP3946" s="38"/>
      <c r="AQ3946" s="38"/>
      <c r="AR3946" s="38"/>
      <c r="AS3946" s="38"/>
      <c r="AT3946" s="38"/>
      <c r="AU3946" s="38"/>
      <c r="AV3946" s="38"/>
      <c r="AW3946" s="38"/>
      <c r="AX3946" s="38"/>
      <c r="AY3946" s="38"/>
      <c r="AZ3946" s="38"/>
      <c r="BA3946" s="38"/>
      <c r="BB3946" s="38"/>
      <c r="BC3946" s="38"/>
      <c r="BD3946" s="38"/>
      <c r="BE3946" s="38"/>
      <c r="BF3946" s="38"/>
      <c r="BG3946" s="38"/>
      <c r="BH3946" s="38"/>
      <c r="BI3946" s="38"/>
      <c r="BJ3946" s="38"/>
      <c r="BK3946" s="38"/>
      <c r="BL3946" s="38"/>
      <c r="BM3946" s="38"/>
      <c r="BN3946" s="38"/>
      <c r="BO3946" s="38"/>
      <c r="BP3946" s="38"/>
      <c r="BQ3946" s="38"/>
    </row>
    <row r="3947">
      <c r="A3947" s="16"/>
      <c r="B3947" s="145"/>
      <c r="C3947" s="146"/>
      <c r="D3947" s="146"/>
      <c r="E3947" s="16"/>
      <c r="F3947" s="91"/>
      <c r="G3947" s="16"/>
      <c r="H3947" s="320" t="str">
        <f t="shared" si="424"/>
        <v/>
      </c>
      <c r="I3947" s="16"/>
      <c r="J3947" s="16"/>
      <c r="K3947" s="16"/>
      <c r="L3947" s="16"/>
      <c r="M3947" s="15"/>
      <c r="N3947" s="15"/>
      <c r="O3947" s="16"/>
      <c r="P3947" s="16"/>
      <c r="Q3947" s="16"/>
      <c r="R3947" s="16"/>
      <c r="S3947" s="37" t="str">
        <f>IFERROR(__xludf.DUMMYFUNCTION("if(not(iserror(index(split(C3947, "" ""),2))), index(split(C3947, "" ""),1),"""")"),"")</f>
        <v/>
      </c>
      <c r="T3947" s="315" t="str">
        <f>IFERROR(__xludf.DUMMYFUNCTION("if(S3947="""",C3947,if(not(iserror(index(split(C3947, "" ""),3))), index(split(C3947, "" ""),3),index(split(C3947, "" ""),2)))"),"")</f>
        <v/>
      </c>
      <c r="U3947" s="38" t="b">
        <f t="shared" si="423"/>
        <v>0</v>
      </c>
      <c r="V3947" s="38"/>
      <c r="W3947" s="40"/>
      <c r="X3947" s="40"/>
      <c r="Y3947" s="40"/>
      <c r="Z3947" s="38"/>
      <c r="AA3947" s="38"/>
      <c r="AB3947" s="38"/>
      <c r="AC3947" s="38"/>
      <c r="AD3947" s="38"/>
      <c r="AE3947" s="38"/>
      <c r="AF3947" s="38"/>
      <c r="AG3947" s="38"/>
      <c r="AH3947" s="38"/>
      <c r="AI3947" s="38"/>
      <c r="AJ3947" s="38"/>
      <c r="AK3947" s="38"/>
      <c r="AL3947" s="38"/>
      <c r="AM3947" s="38"/>
      <c r="AN3947" s="38"/>
      <c r="AO3947" s="38"/>
      <c r="AP3947" s="38"/>
      <c r="AQ3947" s="38"/>
      <c r="AR3947" s="38"/>
      <c r="AS3947" s="38"/>
      <c r="AT3947" s="38"/>
      <c r="AU3947" s="38"/>
      <c r="AV3947" s="38"/>
      <c r="AW3947" s="38"/>
      <c r="AX3947" s="38"/>
      <c r="AY3947" s="38"/>
      <c r="AZ3947" s="38"/>
      <c r="BA3947" s="38"/>
      <c r="BB3947" s="38"/>
      <c r="BC3947" s="38"/>
      <c r="BD3947" s="38"/>
      <c r="BE3947" s="38"/>
      <c r="BF3947" s="38"/>
      <c r="BG3947" s="38"/>
      <c r="BH3947" s="38"/>
      <c r="BI3947" s="38"/>
      <c r="BJ3947" s="38"/>
      <c r="BK3947" s="38"/>
      <c r="BL3947" s="38"/>
      <c r="BM3947" s="38"/>
      <c r="BN3947" s="38"/>
      <c r="BO3947" s="38"/>
      <c r="BP3947" s="38"/>
      <c r="BQ3947" s="38"/>
    </row>
    <row r="3948">
      <c r="A3948" s="16"/>
      <c r="B3948" s="145"/>
      <c r="C3948" s="146"/>
      <c r="D3948" s="146"/>
      <c r="E3948" s="16"/>
      <c r="F3948" s="91"/>
      <c r="G3948" s="16"/>
      <c r="H3948" s="320" t="str">
        <f t="shared" si="424"/>
        <v/>
      </c>
      <c r="I3948" s="16"/>
      <c r="J3948" s="16"/>
      <c r="K3948" s="16"/>
      <c r="L3948" s="16"/>
      <c r="M3948" s="15"/>
      <c r="N3948" s="15"/>
      <c r="O3948" s="16"/>
      <c r="P3948" s="16"/>
      <c r="Q3948" s="16"/>
      <c r="R3948" s="16"/>
      <c r="S3948" s="37" t="str">
        <f>IFERROR(__xludf.DUMMYFUNCTION("if(not(iserror(index(split(C3948, "" ""),2))), index(split(C3948, "" ""),1),"""")"),"")</f>
        <v/>
      </c>
      <c r="T3948" s="315" t="str">
        <f>IFERROR(__xludf.DUMMYFUNCTION("if(S3948="""",C3948,if(not(iserror(index(split(C3948, "" ""),3))), index(split(C3948, "" ""),3),index(split(C3948, "" ""),2)))"),"")</f>
        <v/>
      </c>
      <c r="U3948" s="38" t="b">
        <f t="shared" si="423"/>
        <v>0</v>
      </c>
      <c r="V3948" s="38"/>
      <c r="W3948" s="40"/>
      <c r="X3948" s="40"/>
      <c r="Y3948" s="40"/>
      <c r="Z3948" s="38"/>
      <c r="AA3948" s="38"/>
      <c r="AB3948" s="38"/>
      <c r="AC3948" s="38"/>
      <c r="AD3948" s="38"/>
      <c r="AE3948" s="38"/>
      <c r="AF3948" s="38"/>
      <c r="AG3948" s="38"/>
      <c r="AH3948" s="38"/>
      <c r="AI3948" s="38"/>
      <c r="AJ3948" s="38"/>
      <c r="AK3948" s="38"/>
      <c r="AL3948" s="38"/>
      <c r="AM3948" s="38"/>
      <c r="AN3948" s="38"/>
      <c r="AO3948" s="38"/>
      <c r="AP3948" s="38"/>
      <c r="AQ3948" s="38"/>
      <c r="AR3948" s="38"/>
      <c r="AS3948" s="38"/>
      <c r="AT3948" s="38"/>
      <c r="AU3948" s="38"/>
      <c r="AV3948" s="38"/>
      <c r="AW3948" s="38"/>
      <c r="AX3948" s="38"/>
      <c r="AY3948" s="38"/>
      <c r="AZ3948" s="38"/>
      <c r="BA3948" s="38"/>
      <c r="BB3948" s="38"/>
      <c r="BC3948" s="38"/>
      <c r="BD3948" s="38"/>
      <c r="BE3948" s="38"/>
      <c r="BF3948" s="38"/>
      <c r="BG3948" s="38"/>
      <c r="BH3948" s="38"/>
      <c r="BI3948" s="38"/>
      <c r="BJ3948" s="38"/>
      <c r="BK3948" s="38"/>
      <c r="BL3948" s="38"/>
      <c r="BM3948" s="38"/>
      <c r="BN3948" s="38"/>
      <c r="BO3948" s="38"/>
      <c r="BP3948" s="38"/>
      <c r="BQ3948" s="38"/>
    </row>
    <row r="3949">
      <c r="A3949" s="16"/>
      <c r="B3949" s="145"/>
      <c r="C3949" s="146"/>
      <c r="D3949" s="146"/>
      <c r="E3949" s="16"/>
      <c r="F3949" s="91"/>
      <c r="G3949" s="16"/>
      <c r="H3949" s="320" t="str">
        <f t="shared" si="424"/>
        <v/>
      </c>
      <c r="I3949" s="16"/>
      <c r="J3949" s="16"/>
      <c r="K3949" s="16"/>
      <c r="L3949" s="16"/>
      <c r="M3949" s="15"/>
      <c r="N3949" s="15"/>
      <c r="O3949" s="16"/>
      <c r="P3949" s="16"/>
      <c r="Q3949" s="16"/>
      <c r="R3949" s="16"/>
      <c r="S3949" s="37" t="str">
        <f>IFERROR(__xludf.DUMMYFUNCTION("if(not(iserror(index(split(C3949, "" ""),2))), index(split(C3949, "" ""),1),"""")"),"")</f>
        <v/>
      </c>
      <c r="T3949" s="315" t="str">
        <f>IFERROR(__xludf.DUMMYFUNCTION("if(S3949="""",C3949,if(not(iserror(index(split(C3949, "" ""),3))), index(split(C3949, "" ""),3),index(split(C3949, "" ""),2)))"),"")</f>
        <v/>
      </c>
      <c r="U3949" s="38" t="b">
        <f t="shared" si="423"/>
        <v>0</v>
      </c>
      <c r="V3949" s="38"/>
      <c r="W3949" s="40"/>
      <c r="X3949" s="40"/>
      <c r="Y3949" s="40"/>
      <c r="Z3949" s="38"/>
      <c r="AA3949" s="38"/>
      <c r="AB3949" s="38"/>
      <c r="AC3949" s="38"/>
      <c r="AD3949" s="38"/>
      <c r="AE3949" s="38"/>
      <c r="AF3949" s="38"/>
      <c r="AG3949" s="38"/>
      <c r="AH3949" s="38"/>
      <c r="AI3949" s="38"/>
      <c r="AJ3949" s="38"/>
      <c r="AK3949" s="38"/>
      <c r="AL3949" s="38"/>
      <c r="AM3949" s="38"/>
      <c r="AN3949" s="38"/>
      <c r="AO3949" s="38"/>
      <c r="AP3949" s="38"/>
      <c r="AQ3949" s="38"/>
      <c r="AR3949" s="38"/>
      <c r="AS3949" s="38"/>
      <c r="AT3949" s="38"/>
      <c r="AU3949" s="38"/>
      <c r="AV3949" s="38"/>
      <c r="AW3949" s="38"/>
      <c r="AX3949" s="38"/>
      <c r="AY3949" s="38"/>
      <c r="AZ3949" s="38"/>
      <c r="BA3949" s="38"/>
      <c r="BB3949" s="38"/>
      <c r="BC3949" s="38"/>
      <c r="BD3949" s="38"/>
      <c r="BE3949" s="38"/>
      <c r="BF3949" s="38"/>
      <c r="BG3949" s="38"/>
      <c r="BH3949" s="38"/>
      <c r="BI3949" s="38"/>
      <c r="BJ3949" s="38"/>
      <c r="BK3949" s="38"/>
      <c r="BL3949" s="38"/>
      <c r="BM3949" s="38"/>
      <c r="BN3949" s="38"/>
      <c r="BO3949" s="38"/>
      <c r="BP3949" s="38"/>
      <c r="BQ3949" s="38"/>
    </row>
    <row r="3950">
      <c r="A3950" s="16"/>
      <c r="B3950" s="145"/>
      <c r="C3950" s="146"/>
      <c r="D3950" s="146"/>
      <c r="E3950" s="16"/>
      <c r="F3950" s="91"/>
      <c r="G3950" s="16"/>
      <c r="H3950" s="320" t="str">
        <f t="shared" si="424"/>
        <v/>
      </c>
      <c r="I3950" s="16"/>
      <c r="J3950" s="16"/>
      <c r="K3950" s="16"/>
      <c r="L3950" s="16"/>
      <c r="M3950" s="15"/>
      <c r="N3950" s="15"/>
      <c r="O3950" s="16"/>
      <c r="P3950" s="16"/>
      <c r="Q3950" s="16"/>
      <c r="R3950" s="16"/>
      <c r="S3950" s="37" t="str">
        <f>IFERROR(__xludf.DUMMYFUNCTION("if(not(iserror(index(split(C3950, "" ""),2))), index(split(C3950, "" ""),1),"""")"),"")</f>
        <v/>
      </c>
      <c r="T3950" s="315" t="str">
        <f>IFERROR(__xludf.DUMMYFUNCTION("if(S3950="""",C3950,if(not(iserror(index(split(C3950, "" ""),3))), index(split(C3950, "" ""),3),index(split(C3950, "" ""),2)))"),"")</f>
        <v/>
      </c>
      <c r="U3950" s="38" t="b">
        <f t="shared" si="423"/>
        <v>0</v>
      </c>
      <c r="V3950" s="38"/>
      <c r="W3950" s="40"/>
      <c r="X3950" s="40"/>
      <c r="Y3950" s="40"/>
      <c r="Z3950" s="38"/>
      <c r="AA3950" s="38"/>
      <c r="AB3950" s="38"/>
      <c r="AC3950" s="38"/>
      <c r="AD3950" s="38"/>
      <c r="AE3950" s="38"/>
      <c r="AF3950" s="38"/>
      <c r="AG3950" s="38"/>
      <c r="AH3950" s="38"/>
      <c r="AI3950" s="38"/>
      <c r="AJ3950" s="38"/>
      <c r="AK3950" s="38"/>
      <c r="AL3950" s="38"/>
      <c r="AM3950" s="38"/>
      <c r="AN3950" s="38"/>
      <c r="AO3950" s="38"/>
      <c r="AP3950" s="38"/>
      <c r="AQ3950" s="38"/>
      <c r="AR3950" s="38"/>
      <c r="AS3950" s="38"/>
      <c r="AT3950" s="38"/>
      <c r="AU3950" s="38"/>
      <c r="AV3950" s="38"/>
      <c r="AW3950" s="38"/>
      <c r="AX3950" s="38"/>
      <c r="AY3950" s="38"/>
      <c r="AZ3950" s="38"/>
      <c r="BA3950" s="38"/>
      <c r="BB3950" s="38"/>
      <c r="BC3950" s="38"/>
      <c r="BD3950" s="38"/>
      <c r="BE3950" s="38"/>
      <c r="BF3950" s="38"/>
      <c r="BG3950" s="38"/>
      <c r="BH3950" s="38"/>
      <c r="BI3950" s="38"/>
      <c r="BJ3950" s="38"/>
      <c r="BK3950" s="38"/>
      <c r="BL3950" s="38"/>
      <c r="BM3950" s="38"/>
      <c r="BN3950" s="38"/>
      <c r="BO3950" s="38"/>
      <c r="BP3950" s="38"/>
      <c r="BQ3950" s="38"/>
    </row>
    <row r="3951">
      <c r="A3951" s="16"/>
      <c r="B3951" s="145"/>
      <c r="C3951" s="146"/>
      <c r="D3951" s="146"/>
      <c r="E3951" s="16"/>
      <c r="F3951" s="91"/>
      <c r="G3951" s="16"/>
      <c r="H3951" s="320" t="str">
        <f t="shared" si="424"/>
        <v/>
      </c>
      <c r="I3951" s="16"/>
      <c r="J3951" s="16"/>
      <c r="K3951" s="16"/>
      <c r="L3951" s="16"/>
      <c r="M3951" s="15"/>
      <c r="N3951" s="15"/>
      <c r="O3951" s="16"/>
      <c r="P3951" s="16"/>
      <c r="Q3951" s="16"/>
      <c r="R3951" s="16"/>
      <c r="S3951" s="37" t="str">
        <f>IFERROR(__xludf.DUMMYFUNCTION("if(not(iserror(index(split(C3951, "" ""),2))), index(split(C3951, "" ""),1),"""")"),"")</f>
        <v/>
      </c>
      <c r="T3951" s="315" t="str">
        <f>IFERROR(__xludf.DUMMYFUNCTION("if(S3951="""",C3951,if(not(iserror(index(split(C3951, "" ""),3))), index(split(C3951, "" ""),3),index(split(C3951, "" ""),2)))"),"")</f>
        <v/>
      </c>
      <c r="U3951" s="38" t="b">
        <f t="shared" si="423"/>
        <v>0</v>
      </c>
      <c r="V3951" s="38"/>
      <c r="W3951" s="40"/>
      <c r="X3951" s="40"/>
      <c r="Y3951" s="40"/>
      <c r="Z3951" s="38"/>
      <c r="AA3951" s="38"/>
      <c r="AB3951" s="38"/>
      <c r="AC3951" s="38"/>
      <c r="AD3951" s="38"/>
      <c r="AE3951" s="38"/>
      <c r="AF3951" s="38"/>
      <c r="AG3951" s="38"/>
      <c r="AH3951" s="38"/>
      <c r="AI3951" s="38"/>
      <c r="AJ3951" s="38"/>
      <c r="AK3951" s="38"/>
      <c r="AL3951" s="38"/>
      <c r="AM3951" s="38"/>
      <c r="AN3951" s="38"/>
      <c r="AO3951" s="38"/>
      <c r="AP3951" s="38"/>
      <c r="AQ3951" s="38"/>
      <c r="AR3951" s="38"/>
      <c r="AS3951" s="38"/>
      <c r="AT3951" s="38"/>
      <c r="AU3951" s="38"/>
      <c r="AV3951" s="38"/>
      <c r="AW3951" s="38"/>
      <c r="AX3951" s="38"/>
      <c r="AY3951" s="38"/>
      <c r="AZ3951" s="38"/>
      <c r="BA3951" s="38"/>
      <c r="BB3951" s="38"/>
      <c r="BC3951" s="38"/>
      <c r="BD3951" s="38"/>
      <c r="BE3951" s="38"/>
      <c r="BF3951" s="38"/>
      <c r="BG3951" s="38"/>
      <c r="BH3951" s="38"/>
      <c r="BI3951" s="38"/>
      <c r="BJ3951" s="38"/>
      <c r="BK3951" s="38"/>
      <c r="BL3951" s="38"/>
      <c r="BM3951" s="38"/>
      <c r="BN3951" s="38"/>
      <c r="BO3951" s="38"/>
      <c r="BP3951" s="38"/>
      <c r="BQ3951" s="38"/>
    </row>
    <row r="3952">
      <c r="A3952" s="16"/>
      <c r="B3952" s="145"/>
      <c r="C3952" s="146"/>
      <c r="D3952" s="146"/>
      <c r="E3952" s="16"/>
      <c r="F3952" s="91"/>
      <c r="G3952" s="16"/>
      <c r="H3952" s="320" t="str">
        <f t="shared" si="424"/>
        <v/>
      </c>
      <c r="I3952" s="16"/>
      <c r="J3952" s="16"/>
      <c r="K3952" s="16"/>
      <c r="L3952" s="16"/>
      <c r="M3952" s="15"/>
      <c r="N3952" s="15"/>
      <c r="O3952" s="16"/>
      <c r="P3952" s="16"/>
      <c r="Q3952" s="16"/>
      <c r="R3952" s="16"/>
      <c r="S3952" s="37" t="str">
        <f>IFERROR(__xludf.DUMMYFUNCTION("if(not(iserror(index(split(C3952, "" ""),2))), index(split(C3952, "" ""),1),"""")"),"")</f>
        <v/>
      </c>
      <c r="T3952" s="315" t="str">
        <f>IFERROR(__xludf.DUMMYFUNCTION("if(S3952="""",C3952,if(not(iserror(index(split(C3952, "" ""),3))), index(split(C3952, "" ""),3),index(split(C3952, "" ""),2)))"),"")</f>
        <v/>
      </c>
      <c r="U3952" s="38" t="b">
        <f t="shared" si="423"/>
        <v>0</v>
      </c>
      <c r="V3952" s="38"/>
      <c r="W3952" s="40"/>
      <c r="X3952" s="40"/>
      <c r="Y3952" s="40"/>
      <c r="Z3952" s="38"/>
      <c r="AA3952" s="38"/>
      <c r="AB3952" s="38"/>
      <c r="AC3952" s="38"/>
      <c r="AD3952" s="38"/>
      <c r="AE3952" s="38"/>
      <c r="AF3952" s="38"/>
      <c r="AG3952" s="38"/>
      <c r="AH3952" s="38"/>
      <c r="AI3952" s="38"/>
      <c r="AJ3952" s="38"/>
      <c r="AK3952" s="38"/>
      <c r="AL3952" s="38"/>
      <c r="AM3952" s="38"/>
      <c r="AN3952" s="38"/>
      <c r="AO3952" s="38"/>
      <c r="AP3952" s="38"/>
      <c r="AQ3952" s="38"/>
      <c r="AR3952" s="38"/>
      <c r="AS3952" s="38"/>
      <c r="AT3952" s="38"/>
      <c r="AU3952" s="38"/>
      <c r="AV3952" s="38"/>
      <c r="AW3952" s="38"/>
      <c r="AX3952" s="38"/>
      <c r="AY3952" s="38"/>
      <c r="AZ3952" s="38"/>
      <c r="BA3952" s="38"/>
      <c r="BB3952" s="38"/>
      <c r="BC3952" s="38"/>
      <c r="BD3952" s="38"/>
      <c r="BE3952" s="38"/>
      <c r="BF3952" s="38"/>
      <c r="BG3952" s="38"/>
      <c r="BH3952" s="38"/>
      <c r="BI3952" s="38"/>
      <c r="BJ3952" s="38"/>
      <c r="BK3952" s="38"/>
      <c r="BL3952" s="38"/>
      <c r="BM3952" s="38"/>
      <c r="BN3952" s="38"/>
      <c r="BO3952" s="38"/>
      <c r="BP3952" s="38"/>
      <c r="BQ3952" s="38"/>
    </row>
    <row r="3953">
      <c r="A3953" s="16"/>
      <c r="B3953" s="145"/>
      <c r="C3953" s="146"/>
      <c r="D3953" s="146"/>
      <c r="E3953" s="16"/>
      <c r="F3953" s="91"/>
      <c r="G3953" s="16"/>
      <c r="H3953" s="320" t="str">
        <f t="shared" si="424"/>
        <v/>
      </c>
      <c r="I3953" s="16"/>
      <c r="J3953" s="16"/>
      <c r="K3953" s="16"/>
      <c r="L3953" s="16"/>
      <c r="M3953" s="15"/>
      <c r="N3953" s="15"/>
      <c r="O3953" s="16"/>
      <c r="P3953" s="16"/>
      <c r="Q3953" s="16"/>
      <c r="R3953" s="16"/>
      <c r="S3953" s="37" t="str">
        <f>IFERROR(__xludf.DUMMYFUNCTION("if(not(iserror(index(split(C3953, "" ""),2))), index(split(C3953, "" ""),1),"""")"),"")</f>
        <v/>
      </c>
      <c r="T3953" s="315" t="str">
        <f>IFERROR(__xludf.DUMMYFUNCTION("if(S3953="""",C3953,if(not(iserror(index(split(C3953, "" ""),3))), index(split(C3953, "" ""),3),index(split(C3953, "" ""),2)))"),"")</f>
        <v/>
      </c>
      <c r="U3953" s="38" t="b">
        <f t="shared" si="423"/>
        <v>0</v>
      </c>
      <c r="V3953" s="38"/>
      <c r="W3953" s="40"/>
      <c r="X3953" s="40"/>
      <c r="Y3953" s="40"/>
      <c r="Z3953" s="38"/>
      <c r="AA3953" s="38"/>
      <c r="AB3953" s="38"/>
      <c r="AC3953" s="38"/>
      <c r="AD3953" s="38"/>
      <c r="AE3953" s="38"/>
      <c r="AF3953" s="38"/>
      <c r="AG3953" s="38"/>
      <c r="AH3953" s="38"/>
      <c r="AI3953" s="38"/>
      <c r="AJ3953" s="38"/>
      <c r="AK3953" s="38"/>
      <c r="AL3953" s="38"/>
      <c r="AM3953" s="38"/>
      <c r="AN3953" s="38"/>
      <c r="AO3953" s="38"/>
      <c r="AP3953" s="38"/>
      <c r="AQ3953" s="38"/>
      <c r="AR3953" s="38"/>
      <c r="AS3953" s="38"/>
      <c r="AT3953" s="38"/>
      <c r="AU3953" s="38"/>
      <c r="AV3953" s="38"/>
      <c r="AW3953" s="38"/>
      <c r="AX3953" s="38"/>
      <c r="AY3953" s="38"/>
      <c r="AZ3953" s="38"/>
      <c r="BA3953" s="38"/>
      <c r="BB3953" s="38"/>
      <c r="BC3953" s="38"/>
      <c r="BD3953" s="38"/>
      <c r="BE3953" s="38"/>
      <c r="BF3953" s="38"/>
      <c r="BG3953" s="38"/>
      <c r="BH3953" s="38"/>
      <c r="BI3953" s="38"/>
      <c r="BJ3953" s="38"/>
      <c r="BK3953" s="38"/>
      <c r="BL3953" s="38"/>
      <c r="BM3953" s="38"/>
      <c r="BN3953" s="38"/>
      <c r="BO3953" s="38"/>
      <c r="BP3953" s="38"/>
      <c r="BQ3953" s="38"/>
    </row>
    <row r="3954">
      <c r="A3954" s="16"/>
      <c r="B3954" s="145"/>
      <c r="C3954" s="146"/>
      <c r="D3954" s="146"/>
      <c r="E3954" s="16"/>
      <c r="F3954" s="91"/>
      <c r="G3954" s="16"/>
      <c r="H3954" s="320" t="str">
        <f t="shared" si="424"/>
        <v/>
      </c>
      <c r="I3954" s="16"/>
      <c r="J3954" s="16"/>
      <c r="K3954" s="16"/>
      <c r="L3954" s="16"/>
      <c r="M3954" s="15"/>
      <c r="N3954" s="15"/>
      <c r="O3954" s="16"/>
      <c r="P3954" s="16"/>
      <c r="Q3954" s="16"/>
      <c r="R3954" s="16"/>
      <c r="S3954" s="37" t="str">
        <f>IFERROR(__xludf.DUMMYFUNCTION("if(not(iserror(index(split(C3954, "" ""),2))), index(split(C3954, "" ""),1),"""")"),"")</f>
        <v/>
      </c>
      <c r="T3954" s="315" t="str">
        <f>IFERROR(__xludf.DUMMYFUNCTION("if(S3954="""",C3954,if(not(iserror(index(split(C3954, "" ""),3))), index(split(C3954, "" ""),3),index(split(C3954, "" ""),2)))"),"")</f>
        <v/>
      </c>
      <c r="U3954" s="38" t="b">
        <f t="shared" si="423"/>
        <v>0</v>
      </c>
      <c r="V3954" s="38"/>
      <c r="W3954" s="40"/>
      <c r="X3954" s="40"/>
      <c r="Y3954" s="40"/>
      <c r="Z3954" s="38"/>
      <c r="AA3954" s="38"/>
      <c r="AB3954" s="38"/>
      <c r="AC3954" s="38"/>
      <c r="AD3954" s="38"/>
      <c r="AE3954" s="38"/>
      <c r="AF3954" s="38"/>
      <c r="AG3954" s="38"/>
      <c r="AH3954" s="38"/>
      <c r="AI3954" s="38"/>
      <c r="AJ3954" s="38"/>
      <c r="AK3954" s="38"/>
      <c r="AL3954" s="38"/>
      <c r="AM3954" s="38"/>
      <c r="AN3954" s="38"/>
      <c r="AO3954" s="38"/>
      <c r="AP3954" s="38"/>
      <c r="AQ3954" s="38"/>
      <c r="AR3954" s="38"/>
      <c r="AS3954" s="38"/>
      <c r="AT3954" s="38"/>
      <c r="AU3954" s="38"/>
      <c r="AV3954" s="38"/>
      <c r="AW3954" s="38"/>
      <c r="AX3954" s="38"/>
      <c r="AY3954" s="38"/>
      <c r="AZ3954" s="38"/>
      <c r="BA3954" s="38"/>
      <c r="BB3954" s="38"/>
      <c r="BC3954" s="38"/>
      <c r="BD3954" s="38"/>
      <c r="BE3954" s="38"/>
      <c r="BF3954" s="38"/>
      <c r="BG3954" s="38"/>
      <c r="BH3954" s="38"/>
      <c r="BI3954" s="38"/>
      <c r="BJ3954" s="38"/>
      <c r="BK3954" s="38"/>
      <c r="BL3954" s="38"/>
      <c r="BM3954" s="38"/>
      <c r="BN3954" s="38"/>
      <c r="BO3954" s="38"/>
      <c r="BP3954" s="38"/>
      <c r="BQ3954" s="38"/>
    </row>
    <row r="3955">
      <c r="A3955" s="16"/>
      <c r="B3955" s="145"/>
      <c r="C3955" s="146"/>
      <c r="D3955" s="146"/>
      <c r="E3955" s="16"/>
      <c r="F3955" s="91"/>
      <c r="G3955" s="16"/>
      <c r="H3955" s="320" t="str">
        <f t="shared" si="424"/>
        <v/>
      </c>
      <c r="I3955" s="16"/>
      <c r="J3955" s="16"/>
      <c r="K3955" s="16"/>
      <c r="L3955" s="16"/>
      <c r="M3955" s="15"/>
      <c r="N3955" s="15"/>
      <c r="O3955" s="16"/>
      <c r="P3955" s="16"/>
      <c r="Q3955" s="16"/>
      <c r="R3955" s="16"/>
      <c r="S3955" s="37" t="str">
        <f>IFERROR(__xludf.DUMMYFUNCTION("if(not(iserror(index(split(C3955, "" ""),2))), index(split(C3955, "" ""),1),"""")"),"")</f>
        <v/>
      </c>
      <c r="T3955" s="315" t="str">
        <f>IFERROR(__xludf.DUMMYFUNCTION("if(S3955="""",C3955,if(not(iserror(index(split(C3955, "" ""),3))), index(split(C3955, "" ""),3),index(split(C3955, "" ""),2)))"),"")</f>
        <v/>
      </c>
      <c r="U3955" s="38" t="b">
        <f t="shared" si="423"/>
        <v>0</v>
      </c>
      <c r="V3955" s="38"/>
      <c r="W3955" s="40"/>
      <c r="X3955" s="40"/>
      <c r="Y3955" s="40"/>
      <c r="Z3955" s="38"/>
      <c r="AA3955" s="38"/>
      <c r="AB3955" s="38"/>
      <c r="AC3955" s="38"/>
      <c r="AD3955" s="38"/>
      <c r="AE3955" s="38"/>
      <c r="AF3955" s="38"/>
      <c r="AG3955" s="38"/>
      <c r="AH3955" s="38"/>
      <c r="AI3955" s="38"/>
      <c r="AJ3955" s="38"/>
      <c r="AK3955" s="38"/>
      <c r="AL3955" s="38"/>
      <c r="AM3955" s="38"/>
      <c r="AN3955" s="38"/>
      <c r="AO3955" s="38"/>
      <c r="AP3955" s="38"/>
      <c r="AQ3955" s="38"/>
      <c r="AR3955" s="38"/>
      <c r="AS3955" s="38"/>
      <c r="AT3955" s="38"/>
      <c r="AU3955" s="38"/>
      <c r="AV3955" s="38"/>
      <c r="AW3955" s="38"/>
      <c r="AX3955" s="38"/>
      <c r="AY3955" s="38"/>
      <c r="AZ3955" s="38"/>
      <c r="BA3955" s="38"/>
      <c r="BB3955" s="38"/>
      <c r="BC3955" s="38"/>
      <c r="BD3955" s="38"/>
      <c r="BE3955" s="38"/>
      <c r="BF3955" s="38"/>
      <c r="BG3955" s="38"/>
      <c r="BH3955" s="38"/>
      <c r="BI3955" s="38"/>
      <c r="BJ3955" s="38"/>
      <c r="BK3955" s="38"/>
      <c r="BL3955" s="38"/>
      <c r="BM3955" s="38"/>
      <c r="BN3955" s="38"/>
      <c r="BO3955" s="38"/>
      <c r="BP3955" s="38"/>
      <c r="BQ3955" s="38"/>
    </row>
    <row r="3956">
      <c r="A3956" s="16"/>
      <c r="B3956" s="145"/>
      <c r="C3956" s="146"/>
      <c r="D3956" s="146"/>
      <c r="E3956" s="16"/>
      <c r="F3956" s="91"/>
      <c r="G3956" s="16"/>
      <c r="H3956" s="320" t="str">
        <f t="shared" si="424"/>
        <v/>
      </c>
      <c r="I3956" s="16"/>
      <c r="J3956" s="16"/>
      <c r="K3956" s="16"/>
      <c r="L3956" s="16"/>
      <c r="M3956" s="15"/>
      <c r="N3956" s="15"/>
      <c r="O3956" s="16"/>
      <c r="P3956" s="16"/>
      <c r="Q3956" s="16"/>
      <c r="R3956" s="16"/>
      <c r="S3956" s="37" t="str">
        <f>IFERROR(__xludf.DUMMYFUNCTION("if(not(iserror(index(split(C3956, "" ""),2))), index(split(C3956, "" ""),1),"""")"),"")</f>
        <v/>
      </c>
      <c r="T3956" s="315" t="str">
        <f>IFERROR(__xludf.DUMMYFUNCTION("if(S3956="""",C3956,if(not(iserror(index(split(C3956, "" ""),3))), index(split(C3956, "" ""),3),index(split(C3956, "" ""),2)))"),"")</f>
        <v/>
      </c>
      <c r="U3956" s="38" t="b">
        <f t="shared" si="423"/>
        <v>0</v>
      </c>
      <c r="V3956" s="38"/>
      <c r="W3956" s="40"/>
      <c r="X3956" s="40"/>
      <c r="Y3956" s="40"/>
      <c r="Z3956" s="38"/>
      <c r="AA3956" s="38"/>
      <c r="AB3956" s="38"/>
      <c r="AC3956" s="38"/>
      <c r="AD3956" s="38"/>
      <c r="AE3956" s="38"/>
      <c r="AF3956" s="38"/>
      <c r="AG3956" s="38"/>
      <c r="AH3956" s="38"/>
      <c r="AI3956" s="38"/>
      <c r="AJ3956" s="38"/>
      <c r="AK3956" s="38"/>
      <c r="AL3956" s="38"/>
      <c r="AM3956" s="38"/>
      <c r="AN3956" s="38"/>
      <c r="AO3956" s="38"/>
      <c r="AP3956" s="38"/>
      <c r="AQ3956" s="38"/>
      <c r="AR3956" s="38"/>
      <c r="AS3956" s="38"/>
      <c r="AT3956" s="38"/>
      <c r="AU3956" s="38"/>
      <c r="AV3956" s="38"/>
      <c r="AW3956" s="38"/>
      <c r="AX3956" s="38"/>
      <c r="AY3956" s="38"/>
      <c r="AZ3956" s="38"/>
      <c r="BA3956" s="38"/>
      <c r="BB3956" s="38"/>
      <c r="BC3956" s="38"/>
      <c r="BD3956" s="38"/>
      <c r="BE3956" s="38"/>
      <c r="BF3956" s="38"/>
      <c r="BG3956" s="38"/>
      <c r="BH3956" s="38"/>
      <c r="BI3956" s="38"/>
      <c r="BJ3956" s="38"/>
      <c r="BK3956" s="38"/>
      <c r="BL3956" s="38"/>
      <c r="BM3956" s="38"/>
      <c r="BN3956" s="38"/>
      <c r="BO3956" s="38"/>
      <c r="BP3956" s="38"/>
      <c r="BQ3956" s="38"/>
    </row>
    <row r="3957">
      <c r="A3957" s="16"/>
      <c r="B3957" s="145"/>
      <c r="C3957" s="146"/>
      <c r="D3957" s="146"/>
      <c r="E3957" s="16"/>
      <c r="F3957" s="91"/>
      <c r="G3957" s="16"/>
      <c r="H3957" s="320" t="str">
        <f t="shared" si="424"/>
        <v/>
      </c>
      <c r="I3957" s="16"/>
      <c r="J3957" s="16"/>
      <c r="K3957" s="16"/>
      <c r="L3957" s="16"/>
      <c r="M3957" s="15"/>
      <c r="N3957" s="15"/>
      <c r="O3957" s="16"/>
      <c r="P3957" s="16"/>
      <c r="Q3957" s="16"/>
      <c r="R3957" s="16"/>
      <c r="S3957" s="37" t="str">
        <f>IFERROR(__xludf.DUMMYFUNCTION("if(not(iserror(index(split(C3957, "" ""),2))), index(split(C3957, "" ""),1),"""")"),"")</f>
        <v/>
      </c>
      <c r="T3957" s="315" t="str">
        <f>IFERROR(__xludf.DUMMYFUNCTION("if(S3957="""",C3957,if(not(iserror(index(split(C3957, "" ""),3))), index(split(C3957, "" ""),3),index(split(C3957, "" ""),2)))"),"")</f>
        <v/>
      </c>
      <c r="U3957" s="38" t="b">
        <f t="shared" si="423"/>
        <v>0</v>
      </c>
      <c r="V3957" s="38"/>
      <c r="W3957" s="40"/>
      <c r="X3957" s="40"/>
      <c r="Y3957" s="40"/>
      <c r="Z3957" s="38"/>
      <c r="AA3957" s="38"/>
      <c r="AB3957" s="38"/>
      <c r="AC3957" s="38"/>
      <c r="AD3957" s="38"/>
      <c r="AE3957" s="38"/>
      <c r="AF3957" s="38"/>
      <c r="AG3957" s="38"/>
      <c r="AH3957" s="38"/>
      <c r="AI3957" s="38"/>
      <c r="AJ3957" s="38"/>
      <c r="AK3957" s="38"/>
      <c r="AL3957" s="38"/>
      <c r="AM3957" s="38"/>
      <c r="AN3957" s="38"/>
      <c r="AO3957" s="38"/>
      <c r="AP3957" s="38"/>
      <c r="AQ3957" s="38"/>
      <c r="AR3957" s="38"/>
      <c r="AS3957" s="38"/>
      <c r="AT3957" s="38"/>
      <c r="AU3957" s="38"/>
      <c r="AV3957" s="38"/>
      <c r="AW3957" s="38"/>
      <c r="AX3957" s="38"/>
      <c r="AY3957" s="38"/>
      <c r="AZ3957" s="38"/>
      <c r="BA3957" s="38"/>
      <c r="BB3957" s="38"/>
      <c r="BC3957" s="38"/>
      <c r="BD3957" s="38"/>
      <c r="BE3957" s="38"/>
      <c r="BF3957" s="38"/>
      <c r="BG3957" s="38"/>
      <c r="BH3957" s="38"/>
      <c r="BI3957" s="38"/>
      <c r="BJ3957" s="38"/>
      <c r="BK3957" s="38"/>
      <c r="BL3957" s="38"/>
      <c r="BM3957" s="38"/>
      <c r="BN3957" s="38"/>
      <c r="BO3957" s="38"/>
      <c r="BP3957" s="38"/>
      <c r="BQ3957" s="38"/>
    </row>
    <row r="3958">
      <c r="A3958" s="16"/>
      <c r="B3958" s="145"/>
      <c r="C3958" s="146"/>
      <c r="D3958" s="146"/>
      <c r="E3958" s="16"/>
      <c r="F3958" s="91"/>
      <c r="G3958" s="16"/>
      <c r="H3958" s="320" t="str">
        <f t="shared" si="424"/>
        <v/>
      </c>
      <c r="I3958" s="16"/>
      <c r="J3958" s="16"/>
      <c r="K3958" s="16"/>
      <c r="L3958" s="16"/>
      <c r="M3958" s="15"/>
      <c r="N3958" s="15"/>
      <c r="O3958" s="16"/>
      <c r="P3958" s="16"/>
      <c r="Q3958" s="16"/>
      <c r="R3958" s="16"/>
      <c r="S3958" s="37" t="str">
        <f>IFERROR(__xludf.DUMMYFUNCTION("if(not(iserror(index(split(C3958, "" ""),2))), index(split(C3958, "" ""),1),"""")"),"")</f>
        <v/>
      </c>
      <c r="T3958" s="315" t="str">
        <f>IFERROR(__xludf.DUMMYFUNCTION("if(S3958="""",C3958,if(not(iserror(index(split(C3958, "" ""),3))), index(split(C3958, "" ""),3),index(split(C3958, "" ""),2)))"),"")</f>
        <v/>
      </c>
      <c r="U3958" s="38" t="b">
        <f t="shared" si="423"/>
        <v>0</v>
      </c>
      <c r="V3958" s="38"/>
      <c r="W3958" s="40"/>
      <c r="X3958" s="40"/>
      <c r="Y3958" s="40"/>
      <c r="Z3958" s="38"/>
      <c r="AA3958" s="38"/>
      <c r="AB3958" s="38"/>
      <c r="AC3958" s="38"/>
      <c r="AD3958" s="38"/>
      <c r="AE3958" s="38"/>
      <c r="AF3958" s="38"/>
      <c r="AG3958" s="38"/>
      <c r="AH3958" s="38"/>
      <c r="AI3958" s="38"/>
      <c r="AJ3958" s="38"/>
      <c r="AK3958" s="38"/>
      <c r="AL3958" s="38"/>
      <c r="AM3958" s="38"/>
      <c r="AN3958" s="38"/>
      <c r="AO3958" s="38"/>
      <c r="AP3958" s="38"/>
      <c r="AQ3958" s="38"/>
      <c r="AR3958" s="38"/>
      <c r="AS3958" s="38"/>
      <c r="AT3958" s="38"/>
      <c r="AU3958" s="38"/>
      <c r="AV3958" s="38"/>
      <c r="AW3958" s="38"/>
      <c r="AX3958" s="38"/>
      <c r="AY3958" s="38"/>
      <c r="AZ3958" s="38"/>
      <c r="BA3958" s="38"/>
      <c r="BB3958" s="38"/>
      <c r="BC3958" s="38"/>
      <c r="BD3958" s="38"/>
      <c r="BE3958" s="38"/>
      <c r="BF3958" s="38"/>
      <c r="BG3958" s="38"/>
      <c r="BH3958" s="38"/>
      <c r="BI3958" s="38"/>
      <c r="BJ3958" s="38"/>
      <c r="BK3958" s="38"/>
      <c r="BL3958" s="38"/>
      <c r="BM3958" s="38"/>
      <c r="BN3958" s="38"/>
      <c r="BO3958" s="38"/>
      <c r="BP3958" s="38"/>
      <c r="BQ3958" s="38"/>
    </row>
    <row r="3959">
      <c r="A3959" s="16"/>
      <c r="B3959" s="145"/>
      <c r="C3959" s="146"/>
      <c r="D3959" s="146"/>
      <c r="E3959" s="16"/>
      <c r="F3959" s="91"/>
      <c r="G3959" s="16"/>
      <c r="H3959" s="320" t="str">
        <f t="shared" si="424"/>
        <v/>
      </c>
      <c r="I3959" s="16"/>
      <c r="J3959" s="16"/>
      <c r="K3959" s="16"/>
      <c r="L3959" s="16"/>
      <c r="M3959" s="15"/>
      <c r="N3959" s="15"/>
      <c r="O3959" s="16"/>
      <c r="P3959" s="16"/>
      <c r="Q3959" s="16"/>
      <c r="R3959" s="16"/>
      <c r="S3959" s="37" t="str">
        <f>IFERROR(__xludf.DUMMYFUNCTION("if(not(iserror(index(split(C3959, "" ""),2))), index(split(C3959, "" ""),1),"""")"),"")</f>
        <v/>
      </c>
      <c r="T3959" s="315" t="str">
        <f>IFERROR(__xludf.DUMMYFUNCTION("if(S3959="""",C3959,if(not(iserror(index(split(C3959, "" ""),3))), index(split(C3959, "" ""),3),index(split(C3959, "" ""),2)))"),"")</f>
        <v/>
      </c>
      <c r="U3959" s="38" t="b">
        <f t="shared" si="423"/>
        <v>0</v>
      </c>
      <c r="V3959" s="38"/>
      <c r="W3959" s="40"/>
      <c r="X3959" s="40"/>
      <c r="Y3959" s="40"/>
      <c r="Z3959" s="38"/>
      <c r="AA3959" s="38"/>
      <c r="AB3959" s="38"/>
      <c r="AC3959" s="38"/>
      <c r="AD3959" s="38"/>
      <c r="AE3959" s="38"/>
      <c r="AF3959" s="38"/>
      <c r="AG3959" s="38"/>
      <c r="AH3959" s="38"/>
      <c r="AI3959" s="38"/>
      <c r="AJ3959" s="38"/>
      <c r="AK3959" s="38"/>
      <c r="AL3959" s="38"/>
      <c r="AM3959" s="38"/>
      <c r="AN3959" s="38"/>
      <c r="AO3959" s="38"/>
      <c r="AP3959" s="38"/>
      <c r="AQ3959" s="38"/>
      <c r="AR3959" s="38"/>
      <c r="AS3959" s="38"/>
      <c r="AT3959" s="38"/>
      <c r="AU3959" s="38"/>
      <c r="AV3959" s="38"/>
      <c r="AW3959" s="38"/>
      <c r="AX3959" s="38"/>
      <c r="AY3959" s="38"/>
      <c r="AZ3959" s="38"/>
      <c r="BA3959" s="38"/>
      <c r="BB3959" s="38"/>
      <c r="BC3959" s="38"/>
      <c r="BD3959" s="38"/>
      <c r="BE3959" s="38"/>
      <c r="BF3959" s="38"/>
      <c r="BG3959" s="38"/>
      <c r="BH3959" s="38"/>
      <c r="BI3959" s="38"/>
      <c r="BJ3959" s="38"/>
      <c r="BK3959" s="38"/>
      <c r="BL3959" s="38"/>
      <c r="BM3959" s="38"/>
      <c r="BN3959" s="38"/>
      <c r="BO3959" s="38"/>
      <c r="BP3959" s="38"/>
      <c r="BQ3959" s="38"/>
    </row>
    <row r="3960">
      <c r="A3960" s="16"/>
      <c r="B3960" s="145"/>
      <c r="C3960" s="146"/>
      <c r="D3960" s="146"/>
      <c r="E3960" s="16"/>
      <c r="F3960" s="91"/>
      <c r="G3960" s="16"/>
      <c r="H3960" s="320" t="str">
        <f t="shared" si="424"/>
        <v/>
      </c>
      <c r="I3960" s="16"/>
      <c r="J3960" s="16"/>
      <c r="K3960" s="16"/>
      <c r="L3960" s="16"/>
      <c r="M3960" s="15"/>
      <c r="N3960" s="15"/>
      <c r="O3960" s="16"/>
      <c r="P3960" s="16"/>
      <c r="Q3960" s="16"/>
      <c r="R3960" s="16"/>
      <c r="S3960" s="37" t="str">
        <f>IFERROR(__xludf.DUMMYFUNCTION("if(not(iserror(index(split(C3960, "" ""),2))), index(split(C3960, "" ""),1),"""")"),"")</f>
        <v/>
      </c>
      <c r="T3960" s="315" t="str">
        <f>IFERROR(__xludf.DUMMYFUNCTION("if(S3960="""",C3960,if(not(iserror(index(split(C3960, "" ""),3))), index(split(C3960, "" ""),3),index(split(C3960, "" ""),2)))"),"")</f>
        <v/>
      </c>
      <c r="U3960" s="38" t="b">
        <f t="shared" si="423"/>
        <v>0</v>
      </c>
      <c r="V3960" s="38"/>
      <c r="W3960" s="40"/>
      <c r="X3960" s="40"/>
      <c r="Y3960" s="40"/>
      <c r="Z3960" s="38"/>
      <c r="AA3960" s="38"/>
      <c r="AB3960" s="38"/>
      <c r="AC3960" s="38"/>
      <c r="AD3960" s="38"/>
      <c r="AE3960" s="38"/>
      <c r="AF3960" s="38"/>
      <c r="AG3960" s="38"/>
      <c r="AH3960" s="38"/>
      <c r="AI3960" s="38"/>
      <c r="AJ3960" s="38"/>
      <c r="AK3960" s="38"/>
      <c r="AL3960" s="38"/>
      <c r="AM3960" s="38"/>
      <c r="AN3960" s="38"/>
      <c r="AO3960" s="38"/>
      <c r="AP3960" s="38"/>
      <c r="AQ3960" s="38"/>
      <c r="AR3960" s="38"/>
      <c r="AS3960" s="38"/>
      <c r="AT3960" s="38"/>
      <c r="AU3960" s="38"/>
      <c r="AV3960" s="38"/>
      <c r="AW3960" s="38"/>
      <c r="AX3960" s="38"/>
      <c r="AY3960" s="38"/>
      <c r="AZ3960" s="38"/>
      <c r="BA3960" s="38"/>
      <c r="BB3960" s="38"/>
      <c r="BC3960" s="38"/>
      <c r="BD3960" s="38"/>
      <c r="BE3960" s="38"/>
      <c r="BF3960" s="38"/>
      <c r="BG3960" s="38"/>
      <c r="BH3960" s="38"/>
      <c r="BI3960" s="38"/>
      <c r="BJ3960" s="38"/>
      <c r="BK3960" s="38"/>
      <c r="BL3960" s="38"/>
      <c r="BM3960" s="38"/>
      <c r="BN3960" s="38"/>
      <c r="BO3960" s="38"/>
      <c r="BP3960" s="38"/>
      <c r="BQ3960" s="38"/>
    </row>
    <row r="3961">
      <c r="A3961" s="16"/>
      <c r="B3961" s="145"/>
      <c r="C3961" s="146"/>
      <c r="D3961" s="146"/>
      <c r="E3961" s="16"/>
      <c r="F3961" s="91"/>
      <c r="G3961" s="16"/>
      <c r="H3961" s="320" t="str">
        <f t="shared" si="424"/>
        <v/>
      </c>
      <c r="I3961" s="16"/>
      <c r="J3961" s="16"/>
      <c r="K3961" s="16"/>
      <c r="L3961" s="16"/>
      <c r="M3961" s="15"/>
      <c r="N3961" s="15"/>
      <c r="O3961" s="16"/>
      <c r="P3961" s="16"/>
      <c r="Q3961" s="16"/>
      <c r="R3961" s="16"/>
      <c r="S3961" s="37" t="str">
        <f>IFERROR(__xludf.DUMMYFUNCTION("if(not(iserror(index(split(C3961, "" ""),2))), index(split(C3961, "" ""),1),"""")"),"")</f>
        <v/>
      </c>
      <c r="T3961" s="315" t="str">
        <f>IFERROR(__xludf.DUMMYFUNCTION("if(S3961="""",C3961,if(not(iserror(index(split(C3961, "" ""),3))), index(split(C3961, "" ""),3),index(split(C3961, "" ""),2)))"),"")</f>
        <v/>
      </c>
      <c r="U3961" s="38" t="b">
        <f t="shared" si="423"/>
        <v>0</v>
      </c>
      <c r="V3961" s="38"/>
      <c r="W3961" s="40"/>
      <c r="X3961" s="40"/>
      <c r="Y3961" s="40"/>
      <c r="Z3961" s="38"/>
      <c r="AA3961" s="38"/>
      <c r="AB3961" s="38"/>
      <c r="AC3961" s="38"/>
      <c r="AD3961" s="38"/>
      <c r="AE3961" s="38"/>
      <c r="AF3961" s="38"/>
      <c r="AG3961" s="38"/>
      <c r="AH3961" s="38"/>
      <c r="AI3961" s="38"/>
      <c r="AJ3961" s="38"/>
      <c r="AK3961" s="38"/>
      <c r="AL3961" s="38"/>
      <c r="AM3961" s="38"/>
      <c r="AN3961" s="38"/>
      <c r="AO3961" s="38"/>
      <c r="AP3961" s="38"/>
      <c r="AQ3961" s="38"/>
      <c r="AR3961" s="38"/>
      <c r="AS3961" s="38"/>
      <c r="AT3961" s="38"/>
      <c r="AU3961" s="38"/>
      <c r="AV3961" s="38"/>
      <c r="AW3961" s="38"/>
      <c r="AX3961" s="38"/>
      <c r="AY3961" s="38"/>
      <c r="AZ3961" s="38"/>
      <c r="BA3961" s="38"/>
      <c r="BB3961" s="38"/>
      <c r="BC3961" s="38"/>
      <c r="BD3961" s="38"/>
      <c r="BE3961" s="38"/>
      <c r="BF3961" s="38"/>
      <c r="BG3961" s="38"/>
      <c r="BH3961" s="38"/>
      <c r="BI3961" s="38"/>
      <c r="BJ3961" s="38"/>
      <c r="BK3961" s="38"/>
      <c r="BL3961" s="38"/>
      <c r="BM3961" s="38"/>
      <c r="BN3961" s="38"/>
      <c r="BO3961" s="38"/>
      <c r="BP3961" s="38"/>
      <c r="BQ3961" s="38"/>
    </row>
    <row r="3962">
      <c r="A3962" s="16"/>
      <c r="B3962" s="145"/>
      <c r="C3962" s="146"/>
      <c r="D3962" s="146"/>
      <c r="E3962" s="16"/>
      <c r="F3962" s="91"/>
      <c r="G3962" s="16"/>
      <c r="H3962" s="320" t="str">
        <f t="shared" si="424"/>
        <v/>
      </c>
      <c r="I3962" s="16"/>
      <c r="J3962" s="16"/>
      <c r="K3962" s="16"/>
      <c r="L3962" s="16"/>
      <c r="M3962" s="15"/>
      <c r="N3962" s="15"/>
      <c r="O3962" s="16"/>
      <c r="P3962" s="16"/>
      <c r="Q3962" s="16"/>
      <c r="R3962" s="16"/>
      <c r="S3962" s="37" t="str">
        <f>IFERROR(__xludf.DUMMYFUNCTION("if(not(iserror(index(split(C3962, "" ""),2))), index(split(C3962, "" ""),1),"""")"),"")</f>
        <v/>
      </c>
      <c r="T3962" s="315" t="str">
        <f>IFERROR(__xludf.DUMMYFUNCTION("if(S3962="""",C3962,if(not(iserror(index(split(C3962, "" ""),3))), index(split(C3962, "" ""),3),index(split(C3962, "" ""),2)))"),"")</f>
        <v/>
      </c>
      <c r="U3962" s="38" t="b">
        <f t="shared" si="423"/>
        <v>0</v>
      </c>
      <c r="V3962" s="38"/>
      <c r="W3962" s="40"/>
      <c r="X3962" s="40"/>
      <c r="Y3962" s="40"/>
      <c r="Z3962" s="38"/>
      <c r="AA3962" s="38"/>
      <c r="AB3962" s="38"/>
      <c r="AC3962" s="38"/>
      <c r="AD3962" s="38"/>
      <c r="AE3962" s="38"/>
      <c r="AF3962" s="38"/>
      <c r="AG3962" s="38"/>
      <c r="AH3962" s="38"/>
      <c r="AI3962" s="38"/>
      <c r="AJ3962" s="38"/>
      <c r="AK3962" s="38"/>
      <c r="AL3962" s="38"/>
      <c r="AM3962" s="38"/>
      <c r="AN3962" s="38"/>
      <c r="AO3962" s="38"/>
      <c r="AP3962" s="38"/>
      <c r="AQ3962" s="38"/>
      <c r="AR3962" s="38"/>
      <c r="AS3962" s="38"/>
      <c r="AT3962" s="38"/>
      <c r="AU3962" s="38"/>
      <c r="AV3962" s="38"/>
      <c r="AW3962" s="38"/>
      <c r="AX3962" s="38"/>
      <c r="AY3962" s="38"/>
      <c r="AZ3962" s="38"/>
      <c r="BA3962" s="38"/>
      <c r="BB3962" s="38"/>
      <c r="BC3962" s="38"/>
      <c r="BD3962" s="38"/>
      <c r="BE3962" s="38"/>
      <c r="BF3962" s="38"/>
      <c r="BG3962" s="38"/>
      <c r="BH3962" s="38"/>
      <c r="BI3962" s="38"/>
      <c r="BJ3962" s="38"/>
      <c r="BK3962" s="38"/>
      <c r="BL3962" s="38"/>
      <c r="BM3962" s="38"/>
      <c r="BN3962" s="38"/>
      <c r="BO3962" s="38"/>
      <c r="BP3962" s="38"/>
      <c r="BQ3962" s="38"/>
    </row>
    <row r="3963">
      <c r="A3963" s="16"/>
      <c r="B3963" s="145"/>
      <c r="C3963" s="146"/>
      <c r="D3963" s="146"/>
      <c r="E3963" s="16"/>
      <c r="F3963" s="91"/>
      <c r="G3963" s="16"/>
      <c r="H3963" s="320" t="str">
        <f t="shared" si="424"/>
        <v/>
      </c>
      <c r="I3963" s="16"/>
      <c r="J3963" s="16"/>
      <c r="K3963" s="16"/>
      <c r="L3963" s="16"/>
      <c r="M3963" s="15"/>
      <c r="N3963" s="15"/>
      <c r="O3963" s="16"/>
      <c r="P3963" s="16"/>
      <c r="Q3963" s="16"/>
      <c r="R3963" s="16"/>
      <c r="S3963" s="37" t="str">
        <f>IFERROR(__xludf.DUMMYFUNCTION("if(not(iserror(index(split(C3963, "" ""),2))), index(split(C3963, "" ""),1),"""")"),"")</f>
        <v/>
      </c>
      <c r="T3963" s="315" t="str">
        <f>IFERROR(__xludf.DUMMYFUNCTION("if(S3963="""",C3963,if(not(iserror(index(split(C3963, "" ""),3))), index(split(C3963, "" ""),3),index(split(C3963, "" ""),2)))"),"")</f>
        <v/>
      </c>
      <c r="U3963" s="38" t="b">
        <f t="shared" si="423"/>
        <v>0</v>
      </c>
      <c r="V3963" s="38"/>
      <c r="W3963" s="40"/>
      <c r="X3963" s="40"/>
      <c r="Y3963" s="40"/>
      <c r="Z3963" s="38"/>
      <c r="AA3963" s="38"/>
      <c r="AB3963" s="38"/>
      <c r="AC3963" s="38"/>
      <c r="AD3963" s="38"/>
      <c r="AE3963" s="38"/>
      <c r="AF3963" s="38"/>
      <c r="AG3963" s="38"/>
      <c r="AH3963" s="38"/>
      <c r="AI3963" s="38"/>
      <c r="AJ3963" s="38"/>
      <c r="AK3963" s="38"/>
      <c r="AL3963" s="38"/>
      <c r="AM3963" s="38"/>
      <c r="AN3963" s="38"/>
      <c r="AO3963" s="38"/>
      <c r="AP3963" s="38"/>
      <c r="AQ3963" s="38"/>
      <c r="AR3963" s="38"/>
      <c r="AS3963" s="38"/>
      <c r="AT3963" s="38"/>
      <c r="AU3963" s="38"/>
      <c r="AV3963" s="38"/>
      <c r="AW3963" s="38"/>
      <c r="AX3963" s="38"/>
      <c r="AY3963" s="38"/>
      <c r="AZ3963" s="38"/>
      <c r="BA3963" s="38"/>
      <c r="BB3963" s="38"/>
      <c r="BC3963" s="38"/>
      <c r="BD3963" s="38"/>
      <c r="BE3963" s="38"/>
      <c r="BF3963" s="38"/>
      <c r="BG3963" s="38"/>
      <c r="BH3963" s="38"/>
      <c r="BI3963" s="38"/>
      <c r="BJ3963" s="38"/>
      <c r="BK3963" s="38"/>
      <c r="BL3963" s="38"/>
      <c r="BM3963" s="38"/>
      <c r="BN3963" s="38"/>
      <c r="BO3963" s="38"/>
      <c r="BP3963" s="38"/>
      <c r="BQ3963" s="38"/>
    </row>
    <row r="3964">
      <c r="A3964" s="16"/>
      <c r="B3964" s="145"/>
      <c r="C3964" s="146"/>
      <c r="D3964" s="146"/>
      <c r="E3964" s="16"/>
      <c r="F3964" s="91"/>
      <c r="G3964" s="16"/>
      <c r="H3964" s="320" t="str">
        <f t="shared" si="424"/>
        <v/>
      </c>
      <c r="I3964" s="16"/>
      <c r="J3964" s="16"/>
      <c r="K3964" s="16"/>
      <c r="L3964" s="16"/>
      <c r="M3964" s="15"/>
      <c r="N3964" s="15"/>
      <c r="O3964" s="16"/>
      <c r="P3964" s="16"/>
      <c r="Q3964" s="16"/>
      <c r="R3964" s="16"/>
      <c r="S3964" s="37" t="str">
        <f>IFERROR(__xludf.DUMMYFUNCTION("if(not(iserror(index(split(C3964, "" ""),2))), index(split(C3964, "" ""),1),"""")"),"")</f>
        <v/>
      </c>
      <c r="T3964" s="315" t="str">
        <f>IFERROR(__xludf.DUMMYFUNCTION("if(S3964="""",C3964,if(not(iserror(index(split(C3964, "" ""),3))), index(split(C3964, "" ""),3),index(split(C3964, "" ""),2)))"),"")</f>
        <v/>
      </c>
      <c r="U3964" s="38" t="b">
        <f t="shared" si="423"/>
        <v>0</v>
      </c>
      <c r="V3964" s="38"/>
      <c r="W3964" s="40"/>
      <c r="X3964" s="40"/>
      <c r="Y3964" s="40"/>
      <c r="Z3964" s="38"/>
      <c r="AA3964" s="38"/>
      <c r="AB3964" s="38"/>
      <c r="AC3964" s="38"/>
      <c r="AD3964" s="38"/>
      <c r="AE3964" s="38"/>
      <c r="AF3964" s="38"/>
      <c r="AG3964" s="38"/>
      <c r="AH3964" s="38"/>
      <c r="AI3964" s="38"/>
      <c r="AJ3964" s="38"/>
      <c r="AK3964" s="38"/>
      <c r="AL3964" s="38"/>
      <c r="AM3964" s="38"/>
      <c r="AN3964" s="38"/>
      <c r="AO3964" s="38"/>
      <c r="AP3964" s="38"/>
      <c r="AQ3964" s="38"/>
      <c r="AR3964" s="38"/>
      <c r="AS3964" s="38"/>
      <c r="AT3964" s="38"/>
      <c r="AU3964" s="38"/>
      <c r="AV3964" s="38"/>
      <c r="AW3964" s="38"/>
      <c r="AX3964" s="38"/>
      <c r="AY3964" s="38"/>
      <c r="AZ3964" s="38"/>
      <c r="BA3964" s="38"/>
      <c r="BB3964" s="38"/>
      <c r="BC3964" s="38"/>
      <c r="BD3964" s="38"/>
      <c r="BE3964" s="38"/>
      <c r="BF3964" s="38"/>
      <c r="BG3964" s="38"/>
      <c r="BH3964" s="38"/>
      <c r="BI3964" s="38"/>
      <c r="BJ3964" s="38"/>
      <c r="BK3964" s="38"/>
      <c r="BL3964" s="38"/>
      <c r="BM3964" s="38"/>
      <c r="BN3964" s="38"/>
      <c r="BO3964" s="38"/>
      <c r="BP3964" s="38"/>
      <c r="BQ3964" s="38"/>
    </row>
    <row r="3965">
      <c r="A3965" s="16"/>
      <c r="B3965" s="145"/>
      <c r="C3965" s="146"/>
      <c r="D3965" s="146"/>
      <c r="E3965" s="16"/>
      <c r="F3965" s="91"/>
      <c r="G3965" s="16"/>
      <c r="H3965" s="320" t="str">
        <f t="shared" si="424"/>
        <v/>
      </c>
      <c r="I3965" s="16"/>
      <c r="J3965" s="16"/>
      <c r="K3965" s="16"/>
      <c r="L3965" s="16"/>
      <c r="M3965" s="15"/>
      <c r="N3965" s="15"/>
      <c r="O3965" s="16"/>
      <c r="P3965" s="16"/>
      <c r="Q3965" s="16"/>
      <c r="R3965" s="16"/>
      <c r="S3965" s="37" t="str">
        <f>IFERROR(__xludf.DUMMYFUNCTION("if(not(iserror(index(split(C3965, "" ""),2))), index(split(C3965, "" ""),1),"""")"),"")</f>
        <v/>
      </c>
      <c r="T3965" s="315" t="str">
        <f>IFERROR(__xludf.DUMMYFUNCTION("if(S3965="""",C3965,if(not(iserror(index(split(C3965, "" ""),3))), index(split(C3965, "" ""),3),index(split(C3965, "" ""),2)))"),"")</f>
        <v/>
      </c>
      <c r="U3965" s="38" t="b">
        <f t="shared" si="423"/>
        <v>0</v>
      </c>
      <c r="V3965" s="38"/>
      <c r="W3965" s="40"/>
      <c r="X3965" s="40"/>
      <c r="Y3965" s="40"/>
      <c r="Z3965" s="38"/>
      <c r="AA3965" s="38"/>
      <c r="AB3965" s="38"/>
      <c r="AC3965" s="38"/>
      <c r="AD3965" s="38"/>
      <c r="AE3965" s="38"/>
      <c r="AF3965" s="38"/>
      <c r="AG3965" s="38"/>
      <c r="AH3965" s="38"/>
      <c r="AI3965" s="38"/>
      <c r="AJ3965" s="38"/>
      <c r="AK3965" s="38"/>
      <c r="AL3965" s="38"/>
      <c r="AM3965" s="38"/>
      <c r="AN3965" s="38"/>
      <c r="AO3965" s="38"/>
      <c r="AP3965" s="38"/>
      <c r="AQ3965" s="38"/>
      <c r="AR3965" s="38"/>
      <c r="AS3965" s="38"/>
      <c r="AT3965" s="38"/>
      <c r="AU3965" s="38"/>
      <c r="AV3965" s="38"/>
      <c r="AW3965" s="38"/>
      <c r="AX3965" s="38"/>
      <c r="AY3965" s="38"/>
      <c r="AZ3965" s="38"/>
      <c r="BA3965" s="38"/>
      <c r="BB3965" s="38"/>
      <c r="BC3965" s="38"/>
      <c r="BD3965" s="38"/>
      <c r="BE3965" s="38"/>
      <c r="BF3965" s="38"/>
      <c r="BG3965" s="38"/>
      <c r="BH3965" s="38"/>
      <c r="BI3965" s="38"/>
      <c r="BJ3965" s="38"/>
      <c r="BK3965" s="38"/>
      <c r="BL3965" s="38"/>
      <c r="BM3965" s="38"/>
      <c r="BN3965" s="38"/>
      <c r="BO3965" s="38"/>
      <c r="BP3965" s="38"/>
      <c r="BQ3965" s="38"/>
    </row>
    <row r="3966">
      <c r="A3966" s="16"/>
      <c r="B3966" s="145"/>
      <c r="C3966" s="146"/>
      <c r="D3966" s="146"/>
      <c r="E3966" s="16"/>
      <c r="F3966" s="91"/>
      <c r="G3966" s="16"/>
      <c r="H3966" s="320" t="str">
        <f t="shared" si="424"/>
        <v/>
      </c>
      <c r="I3966" s="16"/>
      <c r="J3966" s="16"/>
      <c r="K3966" s="16"/>
      <c r="L3966" s="16"/>
      <c r="M3966" s="15"/>
      <c r="N3966" s="15"/>
      <c r="O3966" s="16"/>
      <c r="P3966" s="16"/>
      <c r="Q3966" s="16"/>
      <c r="R3966" s="16"/>
      <c r="S3966" s="37" t="str">
        <f>IFERROR(__xludf.DUMMYFUNCTION("if(not(iserror(index(split(C3966, "" ""),2))), index(split(C3966, "" ""),1),"""")"),"")</f>
        <v/>
      </c>
      <c r="T3966" s="315" t="str">
        <f>IFERROR(__xludf.DUMMYFUNCTION("if(S3966="""",C3966,if(not(iserror(index(split(C3966, "" ""),3))), index(split(C3966, "" ""),3),index(split(C3966, "" ""),2)))"),"")</f>
        <v/>
      </c>
      <c r="U3966" s="38" t="b">
        <f t="shared" si="423"/>
        <v>0</v>
      </c>
      <c r="V3966" s="38"/>
      <c r="W3966" s="40"/>
      <c r="X3966" s="40"/>
      <c r="Y3966" s="40"/>
      <c r="Z3966" s="38"/>
      <c r="AA3966" s="38"/>
      <c r="AB3966" s="38"/>
      <c r="AC3966" s="38"/>
      <c r="AD3966" s="38"/>
      <c r="AE3966" s="38"/>
      <c r="AF3966" s="38"/>
      <c r="AG3966" s="38"/>
      <c r="AH3966" s="38"/>
      <c r="AI3966" s="38"/>
      <c r="AJ3966" s="38"/>
      <c r="AK3966" s="38"/>
      <c r="AL3966" s="38"/>
      <c r="AM3966" s="38"/>
      <c r="AN3966" s="38"/>
      <c r="AO3966" s="38"/>
      <c r="AP3966" s="38"/>
      <c r="AQ3966" s="38"/>
      <c r="AR3966" s="38"/>
      <c r="AS3966" s="38"/>
      <c r="AT3966" s="38"/>
      <c r="AU3966" s="38"/>
      <c r="AV3966" s="38"/>
      <c r="AW3966" s="38"/>
      <c r="AX3966" s="38"/>
      <c r="AY3966" s="38"/>
      <c r="AZ3966" s="38"/>
      <c r="BA3966" s="38"/>
      <c r="BB3966" s="38"/>
      <c r="BC3966" s="38"/>
      <c r="BD3966" s="38"/>
      <c r="BE3966" s="38"/>
      <c r="BF3966" s="38"/>
      <c r="BG3966" s="38"/>
      <c r="BH3966" s="38"/>
      <c r="BI3966" s="38"/>
      <c r="BJ3966" s="38"/>
      <c r="BK3966" s="38"/>
      <c r="BL3966" s="38"/>
      <c r="BM3966" s="38"/>
      <c r="BN3966" s="38"/>
      <c r="BO3966" s="38"/>
      <c r="BP3966" s="38"/>
      <c r="BQ3966" s="38"/>
    </row>
    <row r="3967">
      <c r="A3967" s="16"/>
      <c r="B3967" s="145"/>
      <c r="C3967" s="146"/>
      <c r="D3967" s="146"/>
      <c r="E3967" s="16"/>
      <c r="F3967" s="91"/>
      <c r="G3967" s="16"/>
      <c r="H3967" s="320" t="str">
        <f t="shared" si="424"/>
        <v/>
      </c>
      <c r="I3967" s="16"/>
      <c r="J3967" s="16"/>
      <c r="K3967" s="16"/>
      <c r="L3967" s="16"/>
      <c r="M3967" s="15"/>
      <c r="N3967" s="15"/>
      <c r="O3967" s="16"/>
      <c r="P3967" s="16"/>
      <c r="Q3967" s="16"/>
      <c r="R3967" s="16"/>
      <c r="S3967" s="37" t="str">
        <f>IFERROR(__xludf.DUMMYFUNCTION("if(not(iserror(index(split(C3967, "" ""),2))), index(split(C3967, "" ""),1),"""")"),"")</f>
        <v/>
      </c>
      <c r="T3967" s="315" t="str">
        <f>IFERROR(__xludf.DUMMYFUNCTION("if(S3967="""",C3967,if(not(iserror(index(split(C3967, "" ""),3))), index(split(C3967, "" ""),3),index(split(C3967, "" ""),2)))"),"")</f>
        <v/>
      </c>
      <c r="U3967" s="38" t="b">
        <f t="shared" si="423"/>
        <v>0</v>
      </c>
      <c r="V3967" s="38"/>
      <c r="W3967" s="40"/>
      <c r="X3967" s="40"/>
      <c r="Y3967" s="40"/>
      <c r="Z3967" s="38"/>
      <c r="AA3967" s="38"/>
      <c r="AB3967" s="38"/>
      <c r="AC3967" s="38"/>
      <c r="AD3967" s="38"/>
      <c r="AE3967" s="38"/>
      <c r="AF3967" s="38"/>
      <c r="AG3967" s="38"/>
      <c r="AH3967" s="38"/>
      <c r="AI3967" s="38"/>
      <c r="AJ3967" s="38"/>
      <c r="AK3967" s="38"/>
      <c r="AL3967" s="38"/>
      <c r="AM3967" s="38"/>
      <c r="AN3967" s="38"/>
      <c r="AO3967" s="38"/>
      <c r="AP3967" s="38"/>
      <c r="AQ3967" s="38"/>
      <c r="AR3967" s="38"/>
      <c r="AS3967" s="38"/>
      <c r="AT3967" s="38"/>
      <c r="AU3967" s="38"/>
      <c r="AV3967" s="38"/>
      <c r="AW3967" s="38"/>
      <c r="AX3967" s="38"/>
      <c r="AY3967" s="38"/>
      <c r="AZ3967" s="38"/>
      <c r="BA3967" s="38"/>
      <c r="BB3967" s="38"/>
      <c r="BC3967" s="38"/>
      <c r="BD3967" s="38"/>
      <c r="BE3967" s="38"/>
      <c r="BF3967" s="38"/>
      <c r="BG3967" s="38"/>
      <c r="BH3967" s="38"/>
      <c r="BI3967" s="38"/>
      <c r="BJ3967" s="38"/>
      <c r="BK3967" s="38"/>
      <c r="BL3967" s="38"/>
      <c r="BM3967" s="38"/>
      <c r="BN3967" s="38"/>
      <c r="BO3967" s="38"/>
      <c r="BP3967" s="38"/>
      <c r="BQ3967" s="38"/>
    </row>
    <row r="3968">
      <c r="A3968" s="16"/>
      <c r="B3968" s="145"/>
      <c r="C3968" s="146"/>
      <c r="D3968" s="146"/>
      <c r="E3968" s="16"/>
      <c r="F3968" s="91"/>
      <c r="G3968" s="16"/>
      <c r="H3968" s="320" t="str">
        <f t="shared" si="424"/>
        <v/>
      </c>
      <c r="I3968" s="16"/>
      <c r="J3968" s="16"/>
      <c r="K3968" s="16"/>
      <c r="L3968" s="16"/>
      <c r="M3968" s="15"/>
      <c r="N3968" s="15"/>
      <c r="O3968" s="16"/>
      <c r="P3968" s="16"/>
      <c r="Q3968" s="16"/>
      <c r="R3968" s="16"/>
      <c r="S3968" s="37" t="str">
        <f>IFERROR(__xludf.DUMMYFUNCTION("if(not(iserror(index(split(C3968, "" ""),2))), index(split(C3968, "" ""),1),"""")"),"")</f>
        <v/>
      </c>
      <c r="T3968" s="315" t="str">
        <f>IFERROR(__xludf.DUMMYFUNCTION("if(S3968="""",C3968,if(not(iserror(index(split(C3968, "" ""),3))), index(split(C3968, "" ""),3),index(split(C3968, "" ""),2)))"),"")</f>
        <v/>
      </c>
      <c r="U3968" s="38" t="b">
        <f t="shared" si="423"/>
        <v>0</v>
      </c>
      <c r="V3968" s="38"/>
      <c r="W3968" s="40"/>
      <c r="X3968" s="40"/>
      <c r="Y3968" s="40"/>
      <c r="Z3968" s="38"/>
      <c r="AA3968" s="38"/>
      <c r="AB3968" s="38"/>
      <c r="AC3968" s="38"/>
      <c r="AD3968" s="38"/>
      <c r="AE3968" s="38"/>
      <c r="AF3968" s="38"/>
      <c r="AG3968" s="38"/>
      <c r="AH3968" s="38"/>
      <c r="AI3968" s="38"/>
      <c r="AJ3968" s="38"/>
      <c r="AK3968" s="38"/>
      <c r="AL3968" s="38"/>
      <c r="AM3968" s="38"/>
      <c r="AN3968" s="38"/>
      <c r="AO3968" s="38"/>
      <c r="AP3968" s="38"/>
      <c r="AQ3968" s="38"/>
      <c r="AR3968" s="38"/>
      <c r="AS3968" s="38"/>
      <c r="AT3968" s="38"/>
      <c r="AU3968" s="38"/>
      <c r="AV3968" s="38"/>
      <c r="AW3968" s="38"/>
      <c r="AX3968" s="38"/>
      <c r="AY3968" s="38"/>
      <c r="AZ3968" s="38"/>
      <c r="BA3968" s="38"/>
      <c r="BB3968" s="38"/>
      <c r="BC3968" s="38"/>
      <c r="BD3968" s="38"/>
      <c r="BE3968" s="38"/>
      <c r="BF3968" s="38"/>
      <c r="BG3968" s="38"/>
      <c r="BH3968" s="38"/>
      <c r="BI3968" s="38"/>
      <c r="BJ3968" s="38"/>
      <c r="BK3968" s="38"/>
      <c r="BL3968" s="38"/>
      <c r="BM3968" s="38"/>
      <c r="BN3968" s="38"/>
      <c r="BO3968" s="38"/>
      <c r="BP3968" s="38"/>
      <c r="BQ3968" s="38"/>
    </row>
    <row r="3969">
      <c r="A3969" s="16"/>
      <c r="B3969" s="145"/>
      <c r="C3969" s="146"/>
      <c r="D3969" s="146"/>
      <c r="E3969" s="16"/>
      <c r="F3969" s="91"/>
      <c r="G3969" s="16"/>
      <c r="H3969" s="320" t="str">
        <f t="shared" si="424"/>
        <v/>
      </c>
      <c r="I3969" s="16"/>
      <c r="J3969" s="16"/>
      <c r="K3969" s="16"/>
      <c r="L3969" s="16"/>
      <c r="M3969" s="15"/>
      <c r="N3969" s="15"/>
      <c r="O3969" s="16"/>
      <c r="P3969" s="16"/>
      <c r="Q3969" s="16"/>
      <c r="R3969" s="16"/>
      <c r="S3969" s="37" t="str">
        <f>IFERROR(__xludf.DUMMYFUNCTION("if(not(iserror(index(split(C3969, "" ""),2))), index(split(C3969, "" ""),1),"""")"),"")</f>
        <v/>
      </c>
      <c r="T3969" s="315" t="str">
        <f>IFERROR(__xludf.DUMMYFUNCTION("if(S3969="""",C3969,if(not(iserror(index(split(C3969, "" ""),3))), index(split(C3969, "" ""),3),index(split(C3969, "" ""),2)))"),"")</f>
        <v/>
      </c>
      <c r="U3969" s="38" t="b">
        <f t="shared" si="423"/>
        <v>0</v>
      </c>
      <c r="V3969" s="38"/>
      <c r="W3969" s="40"/>
      <c r="X3969" s="40"/>
      <c r="Y3969" s="40"/>
      <c r="Z3969" s="38"/>
      <c r="AA3969" s="38"/>
      <c r="AB3969" s="38"/>
      <c r="AC3969" s="38"/>
      <c r="AD3969" s="38"/>
      <c r="AE3969" s="38"/>
      <c r="AF3969" s="38"/>
      <c r="AG3969" s="38"/>
      <c r="AH3969" s="38"/>
      <c r="AI3969" s="38"/>
      <c r="AJ3969" s="38"/>
      <c r="AK3969" s="38"/>
      <c r="AL3969" s="38"/>
      <c r="AM3969" s="38"/>
      <c r="AN3969" s="38"/>
      <c r="AO3969" s="38"/>
      <c r="AP3969" s="38"/>
      <c r="AQ3969" s="38"/>
      <c r="AR3969" s="38"/>
      <c r="AS3969" s="38"/>
      <c r="AT3969" s="38"/>
      <c r="AU3969" s="38"/>
      <c r="AV3969" s="38"/>
      <c r="AW3969" s="38"/>
      <c r="AX3969" s="38"/>
      <c r="AY3969" s="38"/>
      <c r="AZ3969" s="38"/>
      <c r="BA3969" s="38"/>
      <c r="BB3969" s="38"/>
      <c r="BC3969" s="38"/>
      <c r="BD3969" s="38"/>
      <c r="BE3969" s="38"/>
      <c r="BF3969" s="38"/>
      <c r="BG3969" s="38"/>
      <c r="BH3969" s="38"/>
      <c r="BI3969" s="38"/>
      <c r="BJ3969" s="38"/>
      <c r="BK3969" s="38"/>
      <c r="BL3969" s="38"/>
      <c r="BM3969" s="38"/>
      <c r="BN3969" s="38"/>
      <c r="BO3969" s="38"/>
      <c r="BP3969" s="38"/>
      <c r="BQ3969" s="38"/>
    </row>
    <row r="3970">
      <c r="A3970" s="16"/>
      <c r="B3970" s="145"/>
      <c r="C3970" s="146"/>
      <c r="D3970" s="146"/>
      <c r="E3970" s="16"/>
      <c r="F3970" s="91"/>
      <c r="G3970" s="16"/>
      <c r="H3970" s="320" t="str">
        <f t="shared" si="424"/>
        <v/>
      </c>
      <c r="I3970" s="16"/>
      <c r="J3970" s="16"/>
      <c r="K3970" s="16"/>
      <c r="L3970" s="16"/>
      <c r="M3970" s="15"/>
      <c r="N3970" s="15"/>
      <c r="O3970" s="16"/>
      <c r="P3970" s="16"/>
      <c r="Q3970" s="16"/>
      <c r="R3970" s="16"/>
      <c r="S3970" s="37" t="str">
        <f>IFERROR(__xludf.DUMMYFUNCTION("if(not(iserror(index(split(C3970, "" ""),2))), index(split(C3970, "" ""),1),"""")"),"")</f>
        <v/>
      </c>
      <c r="T3970" s="315" t="str">
        <f>IFERROR(__xludf.DUMMYFUNCTION("if(S3970="""",C3970,if(not(iserror(index(split(C3970, "" ""),3))), index(split(C3970, "" ""),3),index(split(C3970, "" ""),2)))"),"")</f>
        <v/>
      </c>
      <c r="U3970" s="38" t="b">
        <f t="shared" si="423"/>
        <v>0</v>
      </c>
      <c r="V3970" s="38"/>
      <c r="W3970" s="40"/>
      <c r="X3970" s="40"/>
      <c r="Y3970" s="40"/>
      <c r="Z3970" s="38"/>
      <c r="AA3970" s="38"/>
      <c r="AB3970" s="38"/>
      <c r="AC3970" s="38"/>
      <c r="AD3970" s="38"/>
      <c r="AE3970" s="38"/>
      <c r="AF3970" s="38"/>
      <c r="AG3970" s="38"/>
      <c r="AH3970" s="38"/>
      <c r="AI3970" s="38"/>
      <c r="AJ3970" s="38"/>
      <c r="AK3970" s="38"/>
      <c r="AL3970" s="38"/>
      <c r="AM3970" s="38"/>
      <c r="AN3970" s="38"/>
      <c r="AO3970" s="38"/>
      <c r="AP3970" s="38"/>
      <c r="AQ3970" s="38"/>
      <c r="AR3970" s="38"/>
      <c r="AS3970" s="38"/>
      <c r="AT3970" s="38"/>
      <c r="AU3970" s="38"/>
      <c r="AV3970" s="38"/>
      <c r="AW3970" s="38"/>
      <c r="AX3970" s="38"/>
      <c r="AY3970" s="38"/>
      <c r="AZ3970" s="38"/>
      <c r="BA3970" s="38"/>
      <c r="BB3970" s="38"/>
      <c r="BC3970" s="38"/>
      <c r="BD3970" s="38"/>
      <c r="BE3970" s="38"/>
      <c r="BF3970" s="38"/>
      <c r="BG3970" s="38"/>
      <c r="BH3970" s="38"/>
      <c r="BI3970" s="38"/>
      <c r="BJ3970" s="38"/>
      <c r="BK3970" s="38"/>
      <c r="BL3970" s="38"/>
      <c r="BM3970" s="38"/>
      <c r="BN3970" s="38"/>
      <c r="BO3970" s="38"/>
      <c r="BP3970" s="38"/>
      <c r="BQ3970" s="38"/>
    </row>
    <row r="3971">
      <c r="A3971" s="16"/>
      <c r="B3971" s="145"/>
      <c r="C3971" s="146"/>
      <c r="D3971" s="146"/>
      <c r="E3971" s="16"/>
      <c r="F3971" s="91"/>
      <c r="G3971" s="16"/>
      <c r="H3971" s="320" t="str">
        <f t="shared" si="424"/>
        <v/>
      </c>
      <c r="I3971" s="16"/>
      <c r="J3971" s="16"/>
      <c r="K3971" s="16"/>
      <c r="L3971" s="16"/>
      <c r="M3971" s="15"/>
      <c r="N3971" s="15"/>
      <c r="O3971" s="16"/>
      <c r="P3971" s="16"/>
      <c r="Q3971" s="16"/>
      <c r="R3971" s="16"/>
      <c r="S3971" s="37" t="str">
        <f>IFERROR(__xludf.DUMMYFUNCTION("if(not(iserror(index(split(C3971, "" ""),2))), index(split(C3971, "" ""),1),"""")"),"")</f>
        <v/>
      </c>
      <c r="T3971" s="315" t="str">
        <f>IFERROR(__xludf.DUMMYFUNCTION("if(S3971="""",C3971,if(not(iserror(index(split(C3971, "" ""),3))), index(split(C3971, "" ""),3),index(split(C3971, "" ""),2)))"),"")</f>
        <v/>
      </c>
      <c r="U3971" s="38" t="b">
        <f t="shared" si="423"/>
        <v>0</v>
      </c>
      <c r="V3971" s="38"/>
      <c r="W3971" s="40"/>
      <c r="X3971" s="40"/>
      <c r="Y3971" s="40"/>
      <c r="Z3971" s="38"/>
      <c r="AA3971" s="38"/>
      <c r="AB3971" s="38"/>
      <c r="AC3971" s="38"/>
      <c r="AD3971" s="38"/>
      <c r="AE3971" s="38"/>
      <c r="AF3971" s="38"/>
      <c r="AG3971" s="38"/>
      <c r="AH3971" s="38"/>
      <c r="AI3971" s="38"/>
      <c r="AJ3971" s="38"/>
      <c r="AK3971" s="38"/>
      <c r="AL3971" s="38"/>
      <c r="AM3971" s="38"/>
      <c r="AN3971" s="38"/>
      <c r="AO3971" s="38"/>
      <c r="AP3971" s="38"/>
      <c r="AQ3971" s="38"/>
      <c r="AR3971" s="38"/>
      <c r="AS3971" s="38"/>
      <c r="AT3971" s="38"/>
      <c r="AU3971" s="38"/>
      <c r="AV3971" s="38"/>
      <c r="AW3971" s="38"/>
      <c r="AX3971" s="38"/>
      <c r="AY3971" s="38"/>
      <c r="AZ3971" s="38"/>
      <c r="BA3971" s="38"/>
      <c r="BB3971" s="38"/>
      <c r="BC3971" s="38"/>
      <c r="BD3971" s="38"/>
      <c r="BE3971" s="38"/>
      <c r="BF3971" s="38"/>
      <c r="BG3971" s="38"/>
      <c r="BH3971" s="38"/>
      <c r="BI3971" s="38"/>
      <c r="BJ3971" s="38"/>
      <c r="BK3971" s="38"/>
      <c r="BL3971" s="38"/>
      <c r="BM3971" s="38"/>
      <c r="BN3971" s="38"/>
      <c r="BO3971" s="38"/>
      <c r="BP3971" s="38"/>
      <c r="BQ3971" s="38"/>
    </row>
    <row r="3972">
      <c r="A3972" s="16"/>
      <c r="B3972" s="145"/>
      <c r="C3972" s="146"/>
      <c r="D3972" s="146"/>
      <c r="E3972" s="16"/>
      <c r="F3972" s="91"/>
      <c r="G3972" s="16"/>
      <c r="H3972" s="320" t="str">
        <f t="shared" si="424"/>
        <v/>
      </c>
      <c r="I3972" s="16"/>
      <c r="J3972" s="16"/>
      <c r="K3972" s="16"/>
      <c r="L3972" s="16"/>
      <c r="M3972" s="15"/>
      <c r="N3972" s="15"/>
      <c r="O3972" s="16"/>
      <c r="P3972" s="16"/>
      <c r="Q3972" s="16"/>
      <c r="R3972" s="16"/>
      <c r="S3972" s="37" t="str">
        <f>IFERROR(__xludf.DUMMYFUNCTION("if(not(iserror(index(split(C3972, "" ""),2))), index(split(C3972, "" ""),1),"""")"),"")</f>
        <v/>
      </c>
      <c r="T3972" s="315" t="str">
        <f>IFERROR(__xludf.DUMMYFUNCTION("if(S3972="""",C3972,if(not(iserror(index(split(C3972, "" ""),3))), index(split(C3972, "" ""),3),index(split(C3972, "" ""),2)))"),"")</f>
        <v/>
      </c>
      <c r="U3972" s="38" t="b">
        <f t="shared" si="423"/>
        <v>0</v>
      </c>
      <c r="V3972" s="38"/>
      <c r="W3972" s="40"/>
      <c r="X3972" s="40"/>
      <c r="Y3972" s="40"/>
      <c r="Z3972" s="38"/>
      <c r="AA3972" s="38"/>
      <c r="AB3972" s="38"/>
      <c r="AC3972" s="38"/>
      <c r="AD3972" s="38"/>
      <c r="AE3972" s="38"/>
      <c r="AF3972" s="38"/>
      <c r="AG3972" s="38"/>
      <c r="AH3972" s="38"/>
      <c r="AI3972" s="38"/>
      <c r="AJ3972" s="38"/>
      <c r="AK3972" s="38"/>
      <c r="AL3972" s="38"/>
      <c r="AM3972" s="38"/>
      <c r="AN3972" s="38"/>
      <c r="AO3972" s="38"/>
      <c r="AP3972" s="38"/>
      <c r="AQ3972" s="38"/>
      <c r="AR3972" s="38"/>
      <c r="AS3972" s="38"/>
      <c r="AT3972" s="38"/>
      <c r="AU3972" s="38"/>
      <c r="AV3972" s="38"/>
      <c r="AW3972" s="38"/>
      <c r="AX3972" s="38"/>
      <c r="AY3972" s="38"/>
      <c r="AZ3972" s="38"/>
      <c r="BA3972" s="38"/>
      <c r="BB3972" s="38"/>
      <c r="BC3972" s="38"/>
      <c r="BD3972" s="38"/>
      <c r="BE3972" s="38"/>
      <c r="BF3972" s="38"/>
      <c r="BG3972" s="38"/>
      <c r="BH3972" s="38"/>
      <c r="BI3972" s="38"/>
      <c r="BJ3972" s="38"/>
      <c r="BK3972" s="38"/>
      <c r="BL3972" s="38"/>
      <c r="BM3972" s="38"/>
      <c r="BN3972" s="38"/>
      <c r="BO3972" s="38"/>
      <c r="BP3972" s="38"/>
      <c r="BQ3972" s="38"/>
    </row>
    <row r="3973">
      <c r="A3973" s="16"/>
      <c r="B3973" s="145"/>
      <c r="C3973" s="146"/>
      <c r="D3973" s="146"/>
      <c r="E3973" s="16"/>
      <c r="F3973" s="91"/>
      <c r="G3973" s="16"/>
      <c r="H3973" s="320" t="str">
        <f t="shared" si="424"/>
        <v/>
      </c>
      <c r="I3973" s="16"/>
      <c r="J3973" s="16"/>
      <c r="K3973" s="16"/>
      <c r="L3973" s="16"/>
      <c r="M3973" s="15"/>
      <c r="N3973" s="15"/>
      <c r="O3973" s="16"/>
      <c r="P3973" s="16"/>
      <c r="Q3973" s="16"/>
      <c r="R3973" s="16"/>
      <c r="S3973" s="37" t="str">
        <f>IFERROR(__xludf.DUMMYFUNCTION("if(not(iserror(index(split(C3973, "" ""),2))), index(split(C3973, "" ""),1),"""")"),"")</f>
        <v/>
      </c>
      <c r="T3973" s="315" t="str">
        <f>IFERROR(__xludf.DUMMYFUNCTION("if(S3973="""",C3973,if(not(iserror(index(split(C3973, "" ""),3))), index(split(C3973, "" ""),3),index(split(C3973, "" ""),2)))"),"")</f>
        <v/>
      </c>
      <c r="U3973" s="38" t="b">
        <f t="shared" si="423"/>
        <v>0</v>
      </c>
      <c r="V3973" s="38"/>
      <c r="W3973" s="40"/>
      <c r="X3973" s="40"/>
      <c r="Y3973" s="40"/>
      <c r="Z3973" s="38"/>
      <c r="AA3973" s="38"/>
      <c r="AB3973" s="38"/>
      <c r="AC3973" s="38"/>
      <c r="AD3973" s="38"/>
      <c r="AE3973" s="38"/>
      <c r="AF3973" s="38"/>
      <c r="AG3973" s="38"/>
      <c r="AH3973" s="38"/>
      <c r="AI3973" s="38"/>
      <c r="AJ3973" s="38"/>
      <c r="AK3973" s="38"/>
      <c r="AL3973" s="38"/>
      <c r="AM3973" s="38"/>
      <c r="AN3973" s="38"/>
      <c r="AO3973" s="38"/>
      <c r="AP3973" s="38"/>
      <c r="AQ3973" s="38"/>
      <c r="AR3973" s="38"/>
      <c r="AS3973" s="38"/>
      <c r="AT3973" s="38"/>
      <c r="AU3973" s="38"/>
      <c r="AV3973" s="38"/>
      <c r="AW3973" s="38"/>
      <c r="AX3973" s="38"/>
      <c r="AY3973" s="38"/>
      <c r="AZ3973" s="38"/>
      <c r="BA3973" s="38"/>
      <c r="BB3973" s="38"/>
      <c r="BC3973" s="38"/>
      <c r="BD3973" s="38"/>
      <c r="BE3973" s="38"/>
      <c r="BF3973" s="38"/>
      <c r="BG3973" s="38"/>
      <c r="BH3973" s="38"/>
      <c r="BI3973" s="38"/>
      <c r="BJ3973" s="38"/>
      <c r="BK3973" s="38"/>
      <c r="BL3973" s="38"/>
      <c r="BM3973" s="38"/>
      <c r="BN3973" s="38"/>
      <c r="BO3973" s="38"/>
      <c r="BP3973" s="38"/>
      <c r="BQ3973" s="38"/>
    </row>
    <row r="3974">
      <c r="A3974" s="16"/>
      <c r="B3974" s="145"/>
      <c r="C3974" s="146"/>
      <c r="D3974" s="146"/>
      <c r="E3974" s="16"/>
      <c r="F3974" s="91"/>
      <c r="G3974" s="16"/>
      <c r="H3974" s="320" t="str">
        <f t="shared" si="424"/>
        <v/>
      </c>
      <c r="I3974" s="16"/>
      <c r="J3974" s="16"/>
      <c r="K3974" s="16"/>
      <c r="L3974" s="16"/>
      <c r="M3974" s="15"/>
      <c r="N3974" s="15"/>
      <c r="O3974" s="16"/>
      <c r="P3974" s="16"/>
      <c r="Q3974" s="16"/>
      <c r="R3974" s="16"/>
      <c r="S3974" s="37" t="str">
        <f>IFERROR(__xludf.DUMMYFUNCTION("if(not(iserror(index(split(C3974, "" ""),2))), index(split(C3974, "" ""),1),"""")"),"")</f>
        <v/>
      </c>
      <c r="T3974" s="315" t="str">
        <f>IFERROR(__xludf.DUMMYFUNCTION("if(S3974="""",C3974,if(not(iserror(index(split(C3974, "" ""),3))), index(split(C3974, "" ""),3),index(split(C3974, "" ""),2)))"),"")</f>
        <v/>
      </c>
      <c r="U3974" s="38" t="b">
        <f t="shared" si="423"/>
        <v>0</v>
      </c>
      <c r="V3974" s="38"/>
      <c r="W3974" s="40"/>
      <c r="X3974" s="40"/>
      <c r="Y3974" s="40"/>
      <c r="Z3974" s="38"/>
      <c r="AA3974" s="38"/>
      <c r="AB3974" s="38"/>
      <c r="AC3974" s="38"/>
      <c r="AD3974" s="38"/>
      <c r="AE3974" s="38"/>
      <c r="AF3974" s="38"/>
      <c r="AG3974" s="38"/>
      <c r="AH3974" s="38"/>
      <c r="AI3974" s="38"/>
      <c r="AJ3974" s="38"/>
      <c r="AK3974" s="38"/>
      <c r="AL3974" s="38"/>
      <c r="AM3974" s="38"/>
      <c r="AN3974" s="38"/>
      <c r="AO3974" s="38"/>
      <c r="AP3974" s="38"/>
      <c r="AQ3974" s="38"/>
      <c r="AR3974" s="38"/>
      <c r="AS3974" s="38"/>
      <c r="AT3974" s="38"/>
      <c r="AU3974" s="38"/>
      <c r="AV3974" s="38"/>
      <c r="AW3974" s="38"/>
      <c r="AX3974" s="38"/>
      <c r="AY3974" s="38"/>
      <c r="AZ3974" s="38"/>
      <c r="BA3974" s="38"/>
      <c r="BB3974" s="38"/>
      <c r="BC3974" s="38"/>
      <c r="BD3974" s="38"/>
      <c r="BE3974" s="38"/>
      <c r="BF3974" s="38"/>
      <c r="BG3974" s="38"/>
      <c r="BH3974" s="38"/>
      <c r="BI3974" s="38"/>
      <c r="BJ3974" s="38"/>
      <c r="BK3974" s="38"/>
      <c r="BL3974" s="38"/>
      <c r="BM3974" s="38"/>
      <c r="BN3974" s="38"/>
      <c r="BO3974" s="38"/>
      <c r="BP3974" s="38"/>
      <c r="BQ3974" s="38"/>
    </row>
    <row r="3975">
      <c r="A3975" s="16"/>
      <c r="B3975" s="145"/>
      <c r="C3975" s="146"/>
      <c r="D3975" s="146"/>
      <c r="E3975" s="16"/>
      <c r="F3975" s="91"/>
      <c r="G3975" s="16"/>
      <c r="H3975" s="320" t="str">
        <f t="shared" si="424"/>
        <v/>
      </c>
      <c r="I3975" s="16"/>
      <c r="J3975" s="16"/>
      <c r="K3975" s="16"/>
      <c r="L3975" s="16"/>
      <c r="M3975" s="15"/>
      <c r="N3975" s="15"/>
      <c r="O3975" s="16"/>
      <c r="P3975" s="16"/>
      <c r="Q3975" s="16"/>
      <c r="R3975" s="16"/>
      <c r="S3975" s="37" t="str">
        <f>IFERROR(__xludf.DUMMYFUNCTION("if(not(iserror(index(split(C3975, "" ""),2))), index(split(C3975, "" ""),1),"""")"),"")</f>
        <v/>
      </c>
      <c r="T3975" s="315" t="str">
        <f>IFERROR(__xludf.DUMMYFUNCTION("if(S3975="""",C3975,if(not(iserror(index(split(C3975, "" ""),3))), index(split(C3975, "" ""),3),index(split(C3975, "" ""),2)))"),"")</f>
        <v/>
      </c>
      <c r="U3975" s="38" t="b">
        <f t="shared" si="423"/>
        <v>0</v>
      </c>
      <c r="V3975" s="38"/>
      <c r="W3975" s="40"/>
      <c r="X3975" s="40"/>
      <c r="Y3975" s="40"/>
      <c r="Z3975" s="38"/>
      <c r="AA3975" s="38"/>
      <c r="AB3975" s="38"/>
      <c r="AC3975" s="38"/>
      <c r="AD3975" s="38"/>
      <c r="AE3975" s="38"/>
      <c r="AF3975" s="38"/>
      <c r="AG3975" s="38"/>
      <c r="AH3975" s="38"/>
      <c r="AI3975" s="38"/>
      <c r="AJ3975" s="38"/>
      <c r="AK3975" s="38"/>
      <c r="AL3975" s="38"/>
      <c r="AM3975" s="38"/>
      <c r="AN3975" s="38"/>
      <c r="AO3975" s="38"/>
      <c r="AP3975" s="38"/>
      <c r="AQ3975" s="38"/>
      <c r="AR3975" s="38"/>
      <c r="AS3975" s="38"/>
      <c r="AT3975" s="38"/>
      <c r="AU3975" s="38"/>
      <c r="AV3975" s="38"/>
      <c r="AW3975" s="38"/>
      <c r="AX3975" s="38"/>
      <c r="AY3975" s="38"/>
      <c r="AZ3975" s="38"/>
      <c r="BA3975" s="38"/>
      <c r="BB3975" s="38"/>
      <c r="BC3975" s="38"/>
      <c r="BD3975" s="38"/>
      <c r="BE3975" s="38"/>
      <c r="BF3975" s="38"/>
      <c r="BG3975" s="38"/>
      <c r="BH3975" s="38"/>
      <c r="BI3975" s="38"/>
      <c r="BJ3975" s="38"/>
      <c r="BK3975" s="38"/>
      <c r="BL3975" s="38"/>
      <c r="BM3975" s="38"/>
      <c r="BN3975" s="38"/>
      <c r="BO3975" s="38"/>
      <c r="BP3975" s="38"/>
      <c r="BQ3975" s="38"/>
    </row>
    <row r="3976">
      <c r="A3976" s="16"/>
      <c r="B3976" s="145"/>
      <c r="C3976" s="146"/>
      <c r="D3976" s="146"/>
      <c r="E3976" s="16"/>
      <c r="F3976" s="91"/>
      <c r="G3976" s="16"/>
      <c r="H3976" s="320" t="str">
        <f t="shared" si="424"/>
        <v/>
      </c>
      <c r="I3976" s="16"/>
      <c r="J3976" s="16"/>
      <c r="K3976" s="16"/>
      <c r="L3976" s="16"/>
      <c r="M3976" s="15"/>
      <c r="N3976" s="15"/>
      <c r="O3976" s="16"/>
      <c r="P3976" s="16"/>
      <c r="Q3976" s="16"/>
      <c r="R3976" s="16"/>
      <c r="S3976" s="37" t="str">
        <f>IFERROR(__xludf.DUMMYFUNCTION("if(not(iserror(index(split(C3976, "" ""),2))), index(split(C3976, "" ""),1),"""")"),"")</f>
        <v/>
      </c>
      <c r="T3976" s="315" t="str">
        <f>IFERROR(__xludf.DUMMYFUNCTION("if(S3976="""",C3976,if(not(iserror(index(split(C3976, "" ""),3))), index(split(C3976, "" ""),3),index(split(C3976, "" ""),2)))"),"")</f>
        <v/>
      </c>
      <c r="U3976" s="38" t="b">
        <f t="shared" si="423"/>
        <v>0</v>
      </c>
      <c r="V3976" s="38"/>
      <c r="W3976" s="40"/>
      <c r="X3976" s="40"/>
      <c r="Y3976" s="40"/>
      <c r="Z3976" s="38"/>
      <c r="AA3976" s="38"/>
      <c r="AB3976" s="38"/>
      <c r="AC3976" s="38"/>
      <c r="AD3976" s="38"/>
      <c r="AE3976" s="38"/>
      <c r="AF3976" s="38"/>
      <c r="AG3976" s="38"/>
      <c r="AH3976" s="38"/>
      <c r="AI3976" s="38"/>
      <c r="AJ3976" s="38"/>
      <c r="AK3976" s="38"/>
      <c r="AL3976" s="38"/>
      <c r="AM3976" s="38"/>
      <c r="AN3976" s="38"/>
      <c r="AO3976" s="38"/>
      <c r="AP3976" s="38"/>
      <c r="AQ3976" s="38"/>
      <c r="AR3976" s="38"/>
      <c r="AS3976" s="38"/>
      <c r="AT3976" s="38"/>
      <c r="AU3976" s="38"/>
      <c r="AV3976" s="38"/>
      <c r="AW3976" s="38"/>
      <c r="AX3976" s="38"/>
      <c r="AY3976" s="38"/>
      <c r="AZ3976" s="38"/>
      <c r="BA3976" s="38"/>
      <c r="BB3976" s="38"/>
      <c r="BC3976" s="38"/>
      <c r="BD3976" s="38"/>
      <c r="BE3976" s="38"/>
      <c r="BF3976" s="38"/>
      <c r="BG3976" s="38"/>
      <c r="BH3976" s="38"/>
      <c r="BI3976" s="38"/>
      <c r="BJ3976" s="38"/>
      <c r="BK3976" s="38"/>
      <c r="BL3976" s="38"/>
      <c r="BM3976" s="38"/>
      <c r="BN3976" s="38"/>
      <c r="BO3976" s="38"/>
      <c r="BP3976" s="38"/>
      <c r="BQ3976" s="38"/>
    </row>
    <row r="3977">
      <c r="A3977" s="16"/>
      <c r="B3977" s="145"/>
      <c r="C3977" s="146"/>
      <c r="D3977" s="146"/>
      <c r="E3977" s="16"/>
      <c r="F3977" s="91"/>
      <c r="G3977" s="16"/>
      <c r="H3977" s="320" t="str">
        <f t="shared" si="424"/>
        <v/>
      </c>
      <c r="I3977" s="16"/>
      <c r="J3977" s="16"/>
      <c r="K3977" s="16"/>
      <c r="L3977" s="16"/>
      <c r="M3977" s="15"/>
      <c r="N3977" s="15"/>
      <c r="O3977" s="16"/>
      <c r="P3977" s="16"/>
      <c r="Q3977" s="16"/>
      <c r="R3977" s="16"/>
      <c r="S3977" s="37" t="str">
        <f>IFERROR(__xludf.DUMMYFUNCTION("if(not(iserror(index(split(C3977, "" ""),2))), index(split(C3977, "" ""),1),"""")"),"")</f>
        <v/>
      </c>
      <c r="T3977" s="315" t="str">
        <f>IFERROR(__xludf.DUMMYFUNCTION("if(S3977="""",C3977,if(not(iserror(index(split(C3977, "" ""),3))), index(split(C3977, "" ""),3),index(split(C3977, "" ""),2)))"),"")</f>
        <v/>
      </c>
      <c r="U3977" s="38" t="b">
        <f t="shared" si="423"/>
        <v>0</v>
      </c>
      <c r="V3977" s="38"/>
      <c r="W3977" s="40"/>
      <c r="X3977" s="40"/>
      <c r="Y3977" s="40"/>
      <c r="Z3977" s="38"/>
      <c r="AA3977" s="38"/>
      <c r="AB3977" s="38"/>
      <c r="AC3977" s="38"/>
      <c r="AD3977" s="38"/>
      <c r="AE3977" s="38"/>
      <c r="AF3977" s="38"/>
      <c r="AG3977" s="38"/>
      <c r="AH3977" s="38"/>
      <c r="AI3977" s="38"/>
      <c r="AJ3977" s="38"/>
      <c r="AK3977" s="38"/>
      <c r="AL3977" s="38"/>
      <c r="AM3977" s="38"/>
      <c r="AN3977" s="38"/>
      <c r="AO3977" s="38"/>
      <c r="AP3977" s="38"/>
      <c r="AQ3977" s="38"/>
      <c r="AR3977" s="38"/>
      <c r="AS3977" s="38"/>
      <c r="AT3977" s="38"/>
      <c r="AU3977" s="38"/>
      <c r="AV3977" s="38"/>
      <c r="AW3977" s="38"/>
      <c r="AX3977" s="38"/>
      <c r="AY3977" s="38"/>
      <c r="AZ3977" s="38"/>
      <c r="BA3977" s="38"/>
      <c r="BB3977" s="38"/>
      <c r="BC3977" s="38"/>
      <c r="BD3977" s="38"/>
      <c r="BE3977" s="38"/>
      <c r="BF3977" s="38"/>
      <c r="BG3977" s="38"/>
      <c r="BH3977" s="38"/>
      <c r="BI3977" s="38"/>
      <c r="BJ3977" s="38"/>
      <c r="BK3977" s="38"/>
      <c r="BL3977" s="38"/>
      <c r="BM3977" s="38"/>
      <c r="BN3977" s="38"/>
      <c r="BO3977" s="38"/>
      <c r="BP3977" s="38"/>
      <c r="BQ3977" s="38"/>
    </row>
    <row r="3978">
      <c r="A3978" s="16"/>
      <c r="B3978" s="145"/>
      <c r="C3978" s="146"/>
      <c r="D3978" s="146"/>
      <c r="E3978" s="16"/>
      <c r="F3978" s="91"/>
      <c r="G3978" s="16"/>
      <c r="H3978" s="320" t="str">
        <f t="shared" si="424"/>
        <v/>
      </c>
      <c r="I3978" s="16"/>
      <c r="J3978" s="16"/>
      <c r="K3978" s="16"/>
      <c r="L3978" s="16"/>
      <c r="M3978" s="15"/>
      <c r="N3978" s="15"/>
      <c r="O3978" s="16"/>
      <c r="P3978" s="16"/>
      <c r="Q3978" s="16"/>
      <c r="R3978" s="16"/>
      <c r="S3978" s="37" t="str">
        <f>IFERROR(__xludf.DUMMYFUNCTION("if(not(iserror(index(split(C3978, "" ""),2))), index(split(C3978, "" ""),1),"""")"),"")</f>
        <v/>
      </c>
      <c r="T3978" s="315" t="str">
        <f>IFERROR(__xludf.DUMMYFUNCTION("if(S3978="""",C3978,if(not(iserror(index(split(C3978, "" ""),3))), index(split(C3978, "" ""),3),index(split(C3978, "" ""),2)))"),"")</f>
        <v/>
      </c>
      <c r="U3978" s="38" t="b">
        <f t="shared" si="423"/>
        <v>0</v>
      </c>
      <c r="V3978" s="38"/>
      <c r="W3978" s="40"/>
      <c r="X3978" s="40"/>
      <c r="Y3978" s="40"/>
      <c r="Z3978" s="38"/>
      <c r="AA3978" s="38"/>
      <c r="AB3978" s="38"/>
      <c r="AC3978" s="38"/>
      <c r="AD3978" s="38"/>
      <c r="AE3978" s="38"/>
      <c r="AF3978" s="38"/>
      <c r="AG3978" s="38"/>
      <c r="AH3978" s="38"/>
      <c r="AI3978" s="38"/>
      <c r="AJ3978" s="38"/>
      <c r="AK3978" s="38"/>
      <c r="AL3978" s="38"/>
      <c r="AM3978" s="38"/>
      <c r="AN3978" s="38"/>
      <c r="AO3978" s="38"/>
      <c r="AP3978" s="38"/>
      <c r="AQ3978" s="38"/>
      <c r="AR3978" s="38"/>
      <c r="AS3978" s="38"/>
      <c r="AT3978" s="38"/>
      <c r="AU3978" s="38"/>
      <c r="AV3978" s="38"/>
      <c r="AW3978" s="38"/>
      <c r="AX3978" s="38"/>
      <c r="AY3978" s="38"/>
      <c r="AZ3978" s="38"/>
      <c r="BA3978" s="38"/>
      <c r="BB3978" s="38"/>
      <c r="BC3978" s="38"/>
      <c r="BD3978" s="38"/>
      <c r="BE3978" s="38"/>
      <c r="BF3978" s="38"/>
      <c r="BG3978" s="38"/>
      <c r="BH3978" s="38"/>
      <c r="BI3978" s="38"/>
      <c r="BJ3978" s="38"/>
      <c r="BK3978" s="38"/>
      <c r="BL3978" s="38"/>
      <c r="BM3978" s="38"/>
      <c r="BN3978" s="38"/>
      <c r="BO3978" s="38"/>
      <c r="BP3978" s="38"/>
      <c r="BQ3978" s="38"/>
    </row>
    <row r="3979">
      <c r="A3979" s="16"/>
      <c r="B3979" s="145"/>
      <c r="C3979" s="146"/>
      <c r="D3979" s="146"/>
      <c r="E3979" s="16"/>
      <c r="F3979" s="91"/>
      <c r="G3979" s="16"/>
      <c r="H3979" s="320" t="str">
        <f t="shared" si="424"/>
        <v/>
      </c>
      <c r="I3979" s="16"/>
      <c r="J3979" s="16"/>
      <c r="K3979" s="16"/>
      <c r="L3979" s="16"/>
      <c r="M3979" s="15"/>
      <c r="N3979" s="15"/>
      <c r="O3979" s="16"/>
      <c r="P3979" s="16"/>
      <c r="Q3979" s="16"/>
      <c r="R3979" s="16"/>
      <c r="S3979" s="37" t="str">
        <f>IFERROR(__xludf.DUMMYFUNCTION("if(not(iserror(index(split(C3979, "" ""),2))), index(split(C3979, "" ""),1),"""")"),"")</f>
        <v/>
      </c>
      <c r="T3979" s="315" t="str">
        <f>IFERROR(__xludf.DUMMYFUNCTION("if(S3979="""",C3979,if(not(iserror(index(split(C3979, "" ""),3))), index(split(C3979, "" ""),3),index(split(C3979, "" ""),2)))"),"")</f>
        <v/>
      </c>
      <c r="U3979" s="38" t="b">
        <f t="shared" si="423"/>
        <v>0</v>
      </c>
      <c r="V3979" s="38"/>
      <c r="W3979" s="40"/>
      <c r="X3979" s="40"/>
      <c r="Y3979" s="40"/>
      <c r="Z3979" s="38"/>
      <c r="AA3979" s="38"/>
      <c r="AB3979" s="38"/>
      <c r="AC3979" s="38"/>
      <c r="AD3979" s="38"/>
      <c r="AE3979" s="38"/>
      <c r="AF3979" s="38"/>
      <c r="AG3979" s="38"/>
      <c r="AH3979" s="38"/>
      <c r="AI3979" s="38"/>
      <c r="AJ3979" s="38"/>
      <c r="AK3979" s="38"/>
      <c r="AL3979" s="38"/>
      <c r="AM3979" s="38"/>
      <c r="AN3979" s="38"/>
      <c r="AO3979" s="38"/>
      <c r="AP3979" s="38"/>
      <c r="AQ3979" s="38"/>
      <c r="AR3979" s="38"/>
      <c r="AS3979" s="38"/>
      <c r="AT3979" s="38"/>
      <c r="AU3979" s="38"/>
      <c r="AV3979" s="38"/>
      <c r="AW3979" s="38"/>
      <c r="AX3979" s="38"/>
      <c r="AY3979" s="38"/>
      <c r="AZ3979" s="38"/>
      <c r="BA3979" s="38"/>
      <c r="BB3979" s="38"/>
      <c r="BC3979" s="38"/>
      <c r="BD3979" s="38"/>
      <c r="BE3979" s="38"/>
      <c r="BF3979" s="38"/>
      <c r="BG3979" s="38"/>
      <c r="BH3979" s="38"/>
      <c r="BI3979" s="38"/>
      <c r="BJ3979" s="38"/>
      <c r="BK3979" s="38"/>
      <c r="BL3979" s="38"/>
      <c r="BM3979" s="38"/>
      <c r="BN3979" s="38"/>
      <c r="BO3979" s="38"/>
      <c r="BP3979" s="38"/>
      <c r="BQ3979" s="38"/>
    </row>
    <row r="3980">
      <c r="A3980" s="16"/>
      <c r="B3980" s="145"/>
      <c r="C3980" s="146"/>
      <c r="D3980" s="146"/>
      <c r="E3980" s="16"/>
      <c r="F3980" s="91"/>
      <c r="G3980" s="16"/>
      <c r="H3980" s="320" t="str">
        <f t="shared" si="424"/>
        <v/>
      </c>
      <c r="I3980" s="16"/>
      <c r="J3980" s="16"/>
      <c r="K3980" s="16"/>
      <c r="L3980" s="16"/>
      <c r="M3980" s="15"/>
      <c r="N3980" s="15"/>
      <c r="O3980" s="16"/>
      <c r="P3980" s="16"/>
      <c r="Q3980" s="16"/>
      <c r="R3980" s="16"/>
      <c r="S3980" s="37" t="str">
        <f>IFERROR(__xludf.DUMMYFUNCTION("if(not(iserror(index(split(C3980, "" ""),2))), index(split(C3980, "" ""),1),"""")"),"")</f>
        <v/>
      </c>
      <c r="T3980" s="315" t="str">
        <f>IFERROR(__xludf.DUMMYFUNCTION("if(S3980="""",C3980,if(not(iserror(index(split(C3980, "" ""),3))), index(split(C3980, "" ""),3),index(split(C3980, "" ""),2)))"),"")</f>
        <v/>
      </c>
      <c r="U3980" s="38" t="b">
        <f t="shared" si="423"/>
        <v>0</v>
      </c>
      <c r="V3980" s="38"/>
      <c r="W3980" s="40"/>
      <c r="X3980" s="40"/>
      <c r="Y3980" s="40"/>
      <c r="Z3980" s="38"/>
      <c r="AA3980" s="38"/>
      <c r="AB3980" s="38"/>
      <c r="AC3980" s="38"/>
      <c r="AD3980" s="38"/>
      <c r="AE3980" s="38"/>
      <c r="AF3980" s="38"/>
      <c r="AG3980" s="38"/>
      <c r="AH3980" s="38"/>
      <c r="AI3980" s="38"/>
      <c r="AJ3980" s="38"/>
      <c r="AK3980" s="38"/>
      <c r="AL3980" s="38"/>
      <c r="AM3980" s="38"/>
      <c r="AN3980" s="38"/>
      <c r="AO3980" s="38"/>
      <c r="AP3980" s="38"/>
      <c r="AQ3980" s="38"/>
      <c r="AR3980" s="38"/>
      <c r="AS3980" s="38"/>
      <c r="AT3980" s="38"/>
      <c r="AU3980" s="38"/>
      <c r="AV3980" s="38"/>
      <c r="AW3980" s="38"/>
      <c r="AX3980" s="38"/>
      <c r="AY3980" s="38"/>
      <c r="AZ3980" s="38"/>
      <c r="BA3980" s="38"/>
      <c r="BB3980" s="38"/>
      <c r="BC3980" s="38"/>
      <c r="BD3980" s="38"/>
      <c r="BE3980" s="38"/>
      <c r="BF3980" s="38"/>
      <c r="BG3980" s="38"/>
      <c r="BH3980" s="38"/>
      <c r="BI3980" s="38"/>
      <c r="BJ3980" s="38"/>
      <c r="BK3980" s="38"/>
      <c r="BL3980" s="38"/>
      <c r="BM3980" s="38"/>
      <c r="BN3980" s="38"/>
      <c r="BO3980" s="38"/>
      <c r="BP3980" s="38"/>
      <c r="BQ3980" s="38"/>
    </row>
    <row r="3981">
      <c r="A3981" s="16"/>
      <c r="B3981" s="145"/>
      <c r="C3981" s="146"/>
      <c r="D3981" s="146"/>
      <c r="E3981" s="16"/>
      <c r="F3981" s="91"/>
      <c r="G3981" s="16"/>
      <c r="H3981" s="320" t="str">
        <f t="shared" si="424"/>
        <v/>
      </c>
      <c r="I3981" s="16"/>
      <c r="J3981" s="16"/>
      <c r="K3981" s="16"/>
      <c r="L3981" s="16"/>
      <c r="M3981" s="15"/>
      <c r="N3981" s="15"/>
      <c r="O3981" s="16"/>
      <c r="P3981" s="16"/>
      <c r="Q3981" s="16"/>
      <c r="R3981" s="16"/>
      <c r="S3981" s="37" t="str">
        <f>IFERROR(__xludf.DUMMYFUNCTION("if(not(iserror(index(split(C3981, "" ""),2))), index(split(C3981, "" ""),1),"""")"),"")</f>
        <v/>
      </c>
      <c r="T3981" s="315" t="str">
        <f>IFERROR(__xludf.DUMMYFUNCTION("if(S3981="""",C3981,if(not(iserror(index(split(C3981, "" ""),3))), index(split(C3981, "" ""),3),index(split(C3981, "" ""),2)))"),"")</f>
        <v/>
      </c>
      <c r="U3981" s="38" t="b">
        <f t="shared" si="423"/>
        <v>0</v>
      </c>
      <c r="V3981" s="38"/>
      <c r="W3981" s="40"/>
      <c r="X3981" s="40"/>
      <c r="Y3981" s="40"/>
      <c r="Z3981" s="38"/>
      <c r="AA3981" s="38"/>
      <c r="AB3981" s="38"/>
      <c r="AC3981" s="38"/>
      <c r="AD3981" s="38"/>
      <c r="AE3981" s="38"/>
      <c r="AF3981" s="38"/>
      <c r="AG3981" s="38"/>
      <c r="AH3981" s="38"/>
      <c r="AI3981" s="38"/>
      <c r="AJ3981" s="38"/>
      <c r="AK3981" s="38"/>
      <c r="AL3981" s="38"/>
      <c r="AM3981" s="38"/>
      <c r="AN3981" s="38"/>
      <c r="AO3981" s="38"/>
      <c r="AP3981" s="38"/>
      <c r="AQ3981" s="38"/>
      <c r="AR3981" s="38"/>
      <c r="AS3981" s="38"/>
      <c r="AT3981" s="38"/>
      <c r="AU3981" s="38"/>
      <c r="AV3981" s="38"/>
      <c r="AW3981" s="38"/>
      <c r="AX3981" s="38"/>
      <c r="AY3981" s="38"/>
      <c r="AZ3981" s="38"/>
      <c r="BA3981" s="38"/>
      <c r="BB3981" s="38"/>
      <c r="BC3981" s="38"/>
      <c r="BD3981" s="38"/>
      <c r="BE3981" s="38"/>
      <c r="BF3981" s="38"/>
      <c r="BG3981" s="38"/>
      <c r="BH3981" s="38"/>
      <c r="BI3981" s="38"/>
      <c r="BJ3981" s="38"/>
      <c r="BK3981" s="38"/>
      <c r="BL3981" s="38"/>
      <c r="BM3981" s="38"/>
      <c r="BN3981" s="38"/>
      <c r="BO3981" s="38"/>
      <c r="BP3981" s="38"/>
      <c r="BQ3981" s="38"/>
    </row>
    <row r="3982">
      <c r="A3982" s="16"/>
      <c r="B3982" s="145"/>
      <c r="C3982" s="146"/>
      <c r="D3982" s="146"/>
      <c r="E3982" s="16"/>
      <c r="F3982" s="91"/>
      <c r="G3982" s="16"/>
      <c r="H3982" s="320" t="str">
        <f t="shared" si="424"/>
        <v/>
      </c>
      <c r="I3982" s="16"/>
      <c r="J3982" s="16"/>
      <c r="K3982" s="16"/>
      <c r="L3982" s="16"/>
      <c r="M3982" s="15"/>
      <c r="N3982" s="15"/>
      <c r="O3982" s="16"/>
      <c r="P3982" s="16"/>
      <c r="Q3982" s="16"/>
      <c r="R3982" s="16"/>
      <c r="S3982" s="37" t="str">
        <f>IFERROR(__xludf.DUMMYFUNCTION("if(not(iserror(index(split(C3982, "" ""),2))), index(split(C3982, "" ""),1),"""")"),"")</f>
        <v/>
      </c>
      <c r="T3982" s="315" t="str">
        <f>IFERROR(__xludf.DUMMYFUNCTION("if(S3982="""",C3982,if(not(iserror(index(split(C3982, "" ""),3))), index(split(C3982, "" ""),3),index(split(C3982, "" ""),2)))"),"")</f>
        <v/>
      </c>
      <c r="U3982" s="38" t="b">
        <f t="shared" si="423"/>
        <v>0</v>
      </c>
      <c r="V3982" s="38"/>
      <c r="W3982" s="40"/>
      <c r="X3982" s="40"/>
      <c r="Y3982" s="40"/>
      <c r="Z3982" s="38"/>
      <c r="AA3982" s="38"/>
      <c r="AB3982" s="38"/>
      <c r="AC3982" s="38"/>
      <c r="AD3982" s="38"/>
      <c r="AE3982" s="38"/>
      <c r="AF3982" s="38"/>
      <c r="AG3982" s="38"/>
      <c r="AH3982" s="38"/>
      <c r="AI3982" s="38"/>
      <c r="AJ3982" s="38"/>
      <c r="AK3982" s="38"/>
      <c r="AL3982" s="38"/>
      <c r="AM3982" s="38"/>
      <c r="AN3982" s="38"/>
      <c r="AO3982" s="38"/>
      <c r="AP3982" s="38"/>
      <c r="AQ3982" s="38"/>
      <c r="AR3982" s="38"/>
      <c r="AS3982" s="38"/>
      <c r="AT3982" s="38"/>
      <c r="AU3982" s="38"/>
      <c r="AV3982" s="38"/>
      <c r="AW3982" s="38"/>
      <c r="AX3982" s="38"/>
      <c r="AY3982" s="38"/>
      <c r="AZ3982" s="38"/>
      <c r="BA3982" s="38"/>
      <c r="BB3982" s="38"/>
      <c r="BC3982" s="38"/>
      <c r="BD3982" s="38"/>
      <c r="BE3982" s="38"/>
      <c r="BF3982" s="38"/>
      <c r="BG3982" s="38"/>
      <c r="BH3982" s="38"/>
      <c r="BI3982" s="38"/>
      <c r="BJ3982" s="38"/>
      <c r="BK3982" s="38"/>
      <c r="BL3982" s="38"/>
      <c r="BM3982" s="38"/>
      <c r="BN3982" s="38"/>
      <c r="BO3982" s="38"/>
      <c r="BP3982" s="38"/>
      <c r="BQ3982" s="38"/>
    </row>
    <row r="3983">
      <c r="A3983" s="16"/>
      <c r="B3983" s="145"/>
      <c r="C3983" s="146"/>
      <c r="D3983" s="146"/>
      <c r="E3983" s="16"/>
      <c r="F3983" s="91"/>
      <c r="G3983" s="16"/>
      <c r="H3983" s="320" t="str">
        <f t="shared" si="424"/>
        <v/>
      </c>
      <c r="I3983" s="16"/>
      <c r="J3983" s="16"/>
      <c r="K3983" s="16"/>
      <c r="L3983" s="16"/>
      <c r="M3983" s="15"/>
      <c r="N3983" s="15"/>
      <c r="O3983" s="16"/>
      <c r="P3983" s="16"/>
      <c r="Q3983" s="16"/>
      <c r="R3983" s="16"/>
      <c r="S3983" s="37" t="str">
        <f>IFERROR(__xludf.DUMMYFUNCTION("if(not(iserror(index(split(C3983, "" ""),2))), index(split(C3983, "" ""),1),"""")"),"")</f>
        <v/>
      </c>
      <c r="T3983" s="315" t="str">
        <f>IFERROR(__xludf.DUMMYFUNCTION("if(S3983="""",C3983,if(not(iserror(index(split(C3983, "" ""),3))), index(split(C3983, "" ""),3),index(split(C3983, "" ""),2)))"),"")</f>
        <v/>
      </c>
      <c r="U3983" s="38" t="b">
        <f t="shared" si="423"/>
        <v>0</v>
      </c>
      <c r="V3983" s="38"/>
      <c r="W3983" s="40"/>
      <c r="X3983" s="40"/>
      <c r="Y3983" s="40"/>
      <c r="Z3983" s="38"/>
      <c r="AA3983" s="38"/>
      <c r="AB3983" s="38"/>
      <c r="AC3983" s="38"/>
      <c r="AD3983" s="38"/>
      <c r="AE3983" s="38"/>
      <c r="AF3983" s="38"/>
      <c r="AG3983" s="38"/>
      <c r="AH3983" s="38"/>
      <c r="AI3983" s="38"/>
      <c r="AJ3983" s="38"/>
      <c r="AK3983" s="38"/>
      <c r="AL3983" s="38"/>
      <c r="AM3983" s="38"/>
      <c r="AN3983" s="38"/>
      <c r="AO3983" s="38"/>
      <c r="AP3983" s="38"/>
      <c r="AQ3983" s="38"/>
      <c r="AR3983" s="38"/>
      <c r="AS3983" s="38"/>
      <c r="AT3983" s="38"/>
      <c r="AU3983" s="38"/>
      <c r="AV3983" s="38"/>
      <c r="AW3983" s="38"/>
      <c r="AX3983" s="38"/>
      <c r="AY3983" s="38"/>
      <c r="AZ3983" s="38"/>
      <c r="BA3983" s="38"/>
      <c r="BB3983" s="38"/>
      <c r="BC3983" s="38"/>
      <c r="BD3983" s="38"/>
      <c r="BE3983" s="38"/>
      <c r="BF3983" s="38"/>
      <c r="BG3983" s="38"/>
      <c r="BH3983" s="38"/>
      <c r="BI3983" s="38"/>
      <c r="BJ3983" s="38"/>
      <c r="BK3983" s="38"/>
      <c r="BL3983" s="38"/>
      <c r="BM3983" s="38"/>
      <c r="BN3983" s="38"/>
      <c r="BO3983" s="38"/>
      <c r="BP3983" s="38"/>
      <c r="BQ3983" s="38"/>
    </row>
    <row r="3984">
      <c r="A3984" s="16"/>
      <c r="B3984" s="145"/>
      <c r="C3984" s="146"/>
      <c r="D3984" s="146"/>
      <c r="E3984" s="16"/>
      <c r="F3984" s="91"/>
      <c r="G3984" s="16"/>
      <c r="H3984" s="320" t="str">
        <f t="shared" si="424"/>
        <v/>
      </c>
      <c r="I3984" s="16"/>
      <c r="J3984" s="16"/>
      <c r="K3984" s="16"/>
      <c r="L3984" s="16"/>
      <c r="M3984" s="15"/>
      <c r="N3984" s="15"/>
      <c r="O3984" s="16"/>
      <c r="P3984" s="16"/>
      <c r="Q3984" s="16"/>
      <c r="R3984" s="16"/>
      <c r="S3984" s="37" t="str">
        <f>IFERROR(__xludf.DUMMYFUNCTION("if(not(iserror(index(split(C3984, "" ""),2))), index(split(C3984, "" ""),1),"""")"),"")</f>
        <v/>
      </c>
      <c r="T3984" s="315" t="str">
        <f>IFERROR(__xludf.DUMMYFUNCTION("if(S3984="""",C3984,if(not(iserror(index(split(C3984, "" ""),3))), index(split(C3984, "" ""),3),index(split(C3984, "" ""),2)))"),"")</f>
        <v/>
      </c>
      <c r="U3984" s="38" t="b">
        <f t="shared" si="423"/>
        <v>0</v>
      </c>
      <c r="V3984" s="38"/>
      <c r="W3984" s="40"/>
      <c r="X3984" s="40"/>
      <c r="Y3984" s="40"/>
      <c r="Z3984" s="38"/>
      <c r="AA3984" s="38"/>
      <c r="AB3984" s="38"/>
      <c r="AC3984" s="38"/>
      <c r="AD3984" s="38"/>
      <c r="AE3984" s="38"/>
      <c r="AF3984" s="38"/>
      <c r="AG3984" s="38"/>
      <c r="AH3984" s="38"/>
      <c r="AI3984" s="38"/>
      <c r="AJ3984" s="38"/>
      <c r="AK3984" s="38"/>
      <c r="AL3984" s="38"/>
      <c r="AM3984" s="38"/>
      <c r="AN3984" s="38"/>
      <c r="AO3984" s="38"/>
      <c r="AP3984" s="38"/>
      <c r="AQ3984" s="38"/>
      <c r="AR3984" s="38"/>
      <c r="AS3984" s="38"/>
      <c r="AT3984" s="38"/>
      <c r="AU3984" s="38"/>
      <c r="AV3984" s="38"/>
      <c r="AW3984" s="38"/>
      <c r="AX3984" s="38"/>
      <c r="AY3984" s="38"/>
      <c r="AZ3984" s="38"/>
      <c r="BA3984" s="38"/>
      <c r="BB3984" s="38"/>
      <c r="BC3984" s="38"/>
      <c r="BD3984" s="38"/>
      <c r="BE3984" s="38"/>
      <c r="BF3984" s="38"/>
      <c r="BG3984" s="38"/>
      <c r="BH3984" s="38"/>
      <c r="BI3984" s="38"/>
      <c r="BJ3984" s="38"/>
      <c r="BK3984" s="38"/>
      <c r="BL3984" s="38"/>
      <c r="BM3984" s="38"/>
      <c r="BN3984" s="38"/>
      <c r="BO3984" s="38"/>
      <c r="BP3984" s="38"/>
      <c r="BQ3984" s="38"/>
    </row>
    <row r="3985">
      <c r="A3985" s="16"/>
      <c r="B3985" s="145"/>
      <c r="C3985" s="146"/>
      <c r="D3985" s="146"/>
      <c r="E3985" s="16"/>
      <c r="F3985" s="91"/>
      <c r="G3985" s="16"/>
      <c r="H3985" s="320" t="str">
        <f t="shared" si="424"/>
        <v/>
      </c>
      <c r="I3985" s="16"/>
      <c r="J3985" s="16"/>
      <c r="K3985" s="16"/>
      <c r="L3985" s="16"/>
      <c r="M3985" s="15"/>
      <c r="N3985" s="15"/>
      <c r="O3985" s="16"/>
      <c r="P3985" s="16"/>
      <c r="Q3985" s="16"/>
      <c r="R3985" s="16"/>
      <c r="S3985" s="37" t="str">
        <f>IFERROR(__xludf.DUMMYFUNCTION("if(not(iserror(index(split(C3985, "" ""),2))), index(split(C3985, "" ""),1),"""")"),"")</f>
        <v/>
      </c>
      <c r="T3985" s="315" t="str">
        <f>IFERROR(__xludf.DUMMYFUNCTION("if(S3985="""",C3985,if(not(iserror(index(split(C3985, "" ""),3))), index(split(C3985, "" ""),3),index(split(C3985, "" ""),2)))"),"")</f>
        <v/>
      </c>
      <c r="U3985" s="38" t="b">
        <f t="shared" si="423"/>
        <v>0</v>
      </c>
      <c r="V3985" s="38"/>
      <c r="W3985" s="40"/>
      <c r="X3985" s="40"/>
      <c r="Y3985" s="40"/>
      <c r="Z3985" s="38"/>
      <c r="AA3985" s="38"/>
      <c r="AB3985" s="38"/>
      <c r="AC3985" s="38"/>
      <c r="AD3985" s="38"/>
      <c r="AE3985" s="38"/>
      <c r="AF3985" s="38"/>
      <c r="AG3985" s="38"/>
      <c r="AH3985" s="38"/>
      <c r="AI3985" s="38"/>
      <c r="AJ3985" s="38"/>
      <c r="AK3985" s="38"/>
      <c r="AL3985" s="38"/>
      <c r="AM3985" s="38"/>
      <c r="AN3985" s="38"/>
      <c r="AO3985" s="38"/>
      <c r="AP3985" s="38"/>
      <c r="AQ3985" s="38"/>
      <c r="AR3985" s="38"/>
      <c r="AS3985" s="38"/>
      <c r="AT3985" s="38"/>
      <c r="AU3985" s="38"/>
      <c r="AV3985" s="38"/>
      <c r="AW3985" s="38"/>
      <c r="AX3985" s="38"/>
      <c r="AY3985" s="38"/>
      <c r="AZ3985" s="38"/>
      <c r="BA3985" s="38"/>
      <c r="BB3985" s="38"/>
      <c r="BC3985" s="38"/>
      <c r="BD3985" s="38"/>
      <c r="BE3985" s="38"/>
      <c r="BF3985" s="38"/>
      <c r="BG3985" s="38"/>
      <c r="BH3985" s="38"/>
      <c r="BI3985" s="38"/>
      <c r="BJ3985" s="38"/>
      <c r="BK3985" s="38"/>
      <c r="BL3985" s="38"/>
      <c r="BM3985" s="38"/>
      <c r="BN3985" s="38"/>
      <c r="BO3985" s="38"/>
      <c r="BP3985" s="38"/>
      <c r="BQ3985" s="38"/>
    </row>
    <row r="3986">
      <c r="A3986" s="16"/>
      <c r="B3986" s="145"/>
      <c r="C3986" s="146"/>
      <c r="D3986" s="146"/>
      <c r="E3986" s="16"/>
      <c r="F3986" s="91"/>
      <c r="G3986" s="16"/>
      <c r="H3986" s="320" t="str">
        <f t="shared" si="424"/>
        <v/>
      </c>
      <c r="I3986" s="16"/>
      <c r="J3986" s="16"/>
      <c r="K3986" s="16"/>
      <c r="L3986" s="16"/>
      <c r="M3986" s="15"/>
      <c r="N3986" s="15"/>
      <c r="O3986" s="16"/>
      <c r="P3986" s="16"/>
      <c r="Q3986" s="16"/>
      <c r="R3986" s="16"/>
      <c r="S3986" s="37" t="str">
        <f>IFERROR(__xludf.DUMMYFUNCTION("if(not(iserror(index(split(C3986, "" ""),2))), index(split(C3986, "" ""),1),"""")"),"")</f>
        <v/>
      </c>
      <c r="T3986" s="315" t="str">
        <f>IFERROR(__xludf.DUMMYFUNCTION("if(S3986="""",C3986,if(not(iserror(index(split(C3986, "" ""),3))), index(split(C3986, "" ""),3),index(split(C3986, "" ""),2)))"),"")</f>
        <v/>
      </c>
      <c r="U3986" s="38" t="b">
        <f t="shared" si="423"/>
        <v>0</v>
      </c>
      <c r="V3986" s="38"/>
      <c r="W3986" s="40"/>
      <c r="X3986" s="40"/>
      <c r="Y3986" s="40"/>
      <c r="Z3986" s="38"/>
      <c r="AA3986" s="38"/>
      <c r="AB3986" s="38"/>
      <c r="AC3986" s="38"/>
      <c r="AD3986" s="38"/>
      <c r="AE3986" s="38"/>
      <c r="AF3986" s="38"/>
      <c r="AG3986" s="38"/>
      <c r="AH3986" s="38"/>
      <c r="AI3986" s="38"/>
      <c r="AJ3986" s="38"/>
      <c r="AK3986" s="38"/>
      <c r="AL3986" s="38"/>
      <c r="AM3986" s="38"/>
      <c r="AN3986" s="38"/>
      <c r="AO3986" s="38"/>
      <c r="AP3986" s="38"/>
      <c r="AQ3986" s="38"/>
      <c r="AR3986" s="38"/>
      <c r="AS3986" s="38"/>
      <c r="AT3986" s="38"/>
      <c r="AU3986" s="38"/>
      <c r="AV3986" s="38"/>
      <c r="AW3986" s="38"/>
      <c r="AX3986" s="38"/>
      <c r="AY3986" s="38"/>
      <c r="AZ3986" s="38"/>
      <c r="BA3986" s="38"/>
      <c r="BB3986" s="38"/>
      <c r="BC3986" s="38"/>
      <c r="BD3986" s="38"/>
      <c r="BE3986" s="38"/>
      <c r="BF3986" s="38"/>
      <c r="BG3986" s="38"/>
      <c r="BH3986" s="38"/>
      <c r="BI3986" s="38"/>
      <c r="BJ3986" s="38"/>
      <c r="BK3986" s="38"/>
      <c r="BL3986" s="38"/>
      <c r="BM3986" s="38"/>
      <c r="BN3986" s="38"/>
      <c r="BO3986" s="38"/>
      <c r="BP3986" s="38"/>
      <c r="BQ3986" s="38"/>
    </row>
    <row r="3987">
      <c r="A3987" s="16"/>
      <c r="B3987" s="145"/>
      <c r="C3987" s="146"/>
      <c r="D3987" s="146"/>
      <c r="E3987" s="16"/>
      <c r="F3987" s="91"/>
      <c r="G3987" s="16"/>
      <c r="H3987" s="320" t="str">
        <f t="shared" si="424"/>
        <v/>
      </c>
      <c r="I3987" s="16"/>
      <c r="J3987" s="16"/>
      <c r="K3987" s="16"/>
      <c r="L3987" s="16"/>
      <c r="M3987" s="15"/>
      <c r="N3987" s="15"/>
      <c r="O3987" s="16"/>
      <c r="P3987" s="16"/>
      <c r="Q3987" s="16"/>
      <c r="R3987" s="16"/>
      <c r="S3987" s="37" t="str">
        <f>IFERROR(__xludf.DUMMYFUNCTION("if(not(iserror(index(split(C3987, "" ""),2))), index(split(C3987, "" ""),1),"""")"),"")</f>
        <v/>
      </c>
      <c r="T3987" s="315" t="str">
        <f>IFERROR(__xludf.DUMMYFUNCTION("if(S3987="""",C3987,if(not(iserror(index(split(C3987, "" ""),3))), index(split(C3987, "" ""),3),index(split(C3987, "" ""),2)))"),"")</f>
        <v/>
      </c>
      <c r="U3987" s="38" t="b">
        <f t="shared" si="423"/>
        <v>0</v>
      </c>
      <c r="V3987" s="38"/>
      <c r="W3987" s="40"/>
      <c r="X3987" s="40"/>
      <c r="Y3987" s="40"/>
      <c r="Z3987" s="38"/>
      <c r="AA3987" s="38"/>
      <c r="AB3987" s="38"/>
      <c r="AC3987" s="38"/>
      <c r="AD3987" s="38"/>
      <c r="AE3987" s="38"/>
      <c r="AF3987" s="38"/>
      <c r="AG3987" s="38"/>
      <c r="AH3987" s="38"/>
      <c r="AI3987" s="38"/>
      <c r="AJ3987" s="38"/>
      <c r="AK3987" s="38"/>
      <c r="AL3987" s="38"/>
      <c r="AM3987" s="38"/>
      <c r="AN3987" s="38"/>
      <c r="AO3987" s="38"/>
      <c r="AP3987" s="38"/>
      <c r="AQ3987" s="38"/>
      <c r="AR3987" s="38"/>
      <c r="AS3987" s="38"/>
      <c r="AT3987" s="38"/>
      <c r="AU3987" s="38"/>
      <c r="AV3987" s="38"/>
      <c r="AW3987" s="38"/>
      <c r="AX3987" s="38"/>
      <c r="AY3987" s="38"/>
      <c r="AZ3987" s="38"/>
      <c r="BA3987" s="38"/>
      <c r="BB3987" s="38"/>
      <c r="BC3987" s="38"/>
      <c r="BD3987" s="38"/>
      <c r="BE3987" s="38"/>
      <c r="BF3987" s="38"/>
      <c r="BG3987" s="38"/>
      <c r="BH3987" s="38"/>
      <c r="BI3987" s="38"/>
      <c r="BJ3987" s="38"/>
      <c r="BK3987" s="38"/>
      <c r="BL3987" s="38"/>
      <c r="BM3987" s="38"/>
      <c r="BN3987" s="38"/>
      <c r="BO3987" s="38"/>
      <c r="BP3987" s="38"/>
      <c r="BQ3987" s="38"/>
    </row>
    <row r="3988">
      <c r="A3988" s="16"/>
      <c r="B3988" s="145"/>
      <c r="C3988" s="146"/>
      <c r="D3988" s="146"/>
      <c r="E3988" s="16"/>
      <c r="F3988" s="91"/>
      <c r="G3988" s="16"/>
      <c r="H3988" s="320" t="str">
        <f t="shared" si="424"/>
        <v/>
      </c>
      <c r="I3988" s="16"/>
      <c r="J3988" s="16"/>
      <c r="K3988" s="16"/>
      <c r="L3988" s="16"/>
      <c r="M3988" s="15"/>
      <c r="N3988" s="15"/>
      <c r="O3988" s="16"/>
      <c r="P3988" s="16"/>
      <c r="Q3988" s="16"/>
      <c r="R3988" s="16"/>
      <c r="S3988" s="37" t="str">
        <f>IFERROR(__xludf.DUMMYFUNCTION("if(not(iserror(index(split(C3988, "" ""),2))), index(split(C3988, "" ""),1),"""")"),"")</f>
        <v/>
      </c>
      <c r="T3988" s="315" t="str">
        <f>IFERROR(__xludf.DUMMYFUNCTION("if(S3988="""",C3988,if(not(iserror(index(split(C3988, "" ""),3))), index(split(C3988, "" ""),3),index(split(C3988, "" ""),2)))"),"")</f>
        <v/>
      </c>
      <c r="U3988" s="38" t="b">
        <f t="shared" si="423"/>
        <v>0</v>
      </c>
      <c r="V3988" s="38"/>
      <c r="W3988" s="40"/>
      <c r="X3988" s="40"/>
      <c r="Y3988" s="40"/>
      <c r="Z3988" s="38"/>
      <c r="AA3988" s="38"/>
      <c r="AB3988" s="38"/>
      <c r="AC3988" s="38"/>
      <c r="AD3988" s="38"/>
      <c r="AE3988" s="38"/>
      <c r="AF3988" s="38"/>
      <c r="AG3988" s="38"/>
      <c r="AH3988" s="38"/>
      <c r="AI3988" s="38"/>
      <c r="AJ3988" s="38"/>
      <c r="AK3988" s="38"/>
      <c r="AL3988" s="38"/>
      <c r="AM3988" s="38"/>
      <c r="AN3988" s="38"/>
      <c r="AO3988" s="38"/>
      <c r="AP3988" s="38"/>
      <c r="AQ3988" s="38"/>
      <c r="AR3988" s="38"/>
      <c r="AS3988" s="38"/>
      <c r="AT3988" s="38"/>
      <c r="AU3988" s="38"/>
      <c r="AV3988" s="38"/>
      <c r="AW3988" s="38"/>
      <c r="AX3988" s="38"/>
      <c r="AY3988" s="38"/>
      <c r="AZ3988" s="38"/>
      <c r="BA3988" s="38"/>
      <c r="BB3988" s="38"/>
      <c r="BC3988" s="38"/>
      <c r="BD3988" s="38"/>
      <c r="BE3988" s="38"/>
      <c r="BF3988" s="38"/>
      <c r="BG3988" s="38"/>
      <c r="BH3988" s="38"/>
      <c r="BI3988" s="38"/>
      <c r="BJ3988" s="38"/>
      <c r="BK3988" s="38"/>
      <c r="BL3988" s="38"/>
      <c r="BM3988" s="38"/>
      <c r="BN3988" s="38"/>
      <c r="BO3988" s="38"/>
      <c r="BP3988" s="38"/>
      <c r="BQ3988" s="38"/>
    </row>
    <row r="3989">
      <c r="A3989" s="16"/>
      <c r="B3989" s="145"/>
      <c r="C3989" s="146"/>
      <c r="D3989" s="146"/>
      <c r="E3989" s="16"/>
      <c r="F3989" s="91"/>
      <c r="G3989" s="16"/>
      <c r="H3989" s="320" t="str">
        <f t="shared" si="424"/>
        <v/>
      </c>
      <c r="I3989" s="16"/>
      <c r="J3989" s="16"/>
      <c r="K3989" s="16"/>
      <c r="L3989" s="16"/>
      <c r="M3989" s="15"/>
      <c r="N3989" s="15"/>
      <c r="O3989" s="16"/>
      <c r="P3989" s="16"/>
      <c r="Q3989" s="16"/>
      <c r="R3989" s="16"/>
      <c r="S3989" s="37" t="str">
        <f>IFERROR(__xludf.DUMMYFUNCTION("if(not(iserror(index(split(C3989, "" ""),2))), index(split(C3989, "" ""),1),"""")"),"")</f>
        <v/>
      </c>
      <c r="T3989" s="315" t="str">
        <f>IFERROR(__xludf.DUMMYFUNCTION("if(S3989="""",C3989,if(not(iserror(index(split(C3989, "" ""),3))), index(split(C3989, "" ""),3),index(split(C3989, "" ""),2)))"),"")</f>
        <v/>
      </c>
      <c r="U3989" s="38" t="b">
        <f t="shared" si="423"/>
        <v>0</v>
      </c>
      <c r="V3989" s="38"/>
      <c r="W3989" s="40"/>
      <c r="X3989" s="40"/>
      <c r="Y3989" s="40"/>
      <c r="Z3989" s="38"/>
      <c r="AA3989" s="38"/>
      <c r="AB3989" s="38"/>
      <c r="AC3989" s="38"/>
      <c r="AD3989" s="38"/>
      <c r="AE3989" s="38"/>
      <c r="AF3989" s="38"/>
      <c r="AG3989" s="38"/>
      <c r="AH3989" s="38"/>
      <c r="AI3989" s="38"/>
      <c r="AJ3989" s="38"/>
      <c r="AK3989" s="38"/>
      <c r="AL3989" s="38"/>
      <c r="AM3989" s="38"/>
      <c r="AN3989" s="38"/>
      <c r="AO3989" s="38"/>
      <c r="AP3989" s="38"/>
      <c r="AQ3989" s="38"/>
      <c r="AR3989" s="38"/>
      <c r="AS3989" s="38"/>
      <c r="AT3989" s="38"/>
      <c r="AU3989" s="38"/>
      <c r="AV3989" s="38"/>
      <c r="AW3989" s="38"/>
      <c r="AX3989" s="38"/>
      <c r="AY3989" s="38"/>
      <c r="AZ3989" s="38"/>
      <c r="BA3989" s="38"/>
      <c r="BB3989" s="38"/>
      <c r="BC3989" s="38"/>
      <c r="BD3989" s="38"/>
      <c r="BE3989" s="38"/>
      <c r="BF3989" s="38"/>
      <c r="BG3989" s="38"/>
      <c r="BH3989" s="38"/>
      <c r="BI3989" s="38"/>
      <c r="BJ3989" s="38"/>
      <c r="BK3989" s="38"/>
      <c r="BL3989" s="38"/>
      <c r="BM3989" s="38"/>
      <c r="BN3989" s="38"/>
      <c r="BO3989" s="38"/>
      <c r="BP3989" s="38"/>
      <c r="BQ3989" s="38"/>
    </row>
    <row r="3990">
      <c r="A3990" s="16"/>
      <c r="B3990" s="145"/>
      <c r="C3990" s="146"/>
      <c r="D3990" s="146"/>
      <c r="E3990" s="16"/>
      <c r="F3990" s="91"/>
      <c r="G3990" s="16"/>
      <c r="H3990" s="320" t="str">
        <f t="shared" si="424"/>
        <v/>
      </c>
      <c r="I3990" s="16"/>
      <c r="J3990" s="16"/>
      <c r="K3990" s="16"/>
      <c r="L3990" s="16"/>
      <c r="M3990" s="15"/>
      <c r="N3990" s="15"/>
      <c r="O3990" s="16"/>
      <c r="P3990" s="16"/>
      <c r="Q3990" s="16"/>
      <c r="R3990" s="16"/>
      <c r="S3990" s="37" t="str">
        <f>IFERROR(__xludf.DUMMYFUNCTION("if(not(iserror(index(split(C3990, "" ""),2))), index(split(C3990, "" ""),1),"""")"),"")</f>
        <v/>
      </c>
      <c r="T3990" s="315" t="str">
        <f>IFERROR(__xludf.DUMMYFUNCTION("if(S3990="""",C3990,if(not(iserror(index(split(C3990, "" ""),3))), index(split(C3990, "" ""),3),index(split(C3990, "" ""),2)))"),"")</f>
        <v/>
      </c>
      <c r="U3990" s="38" t="b">
        <f t="shared" si="423"/>
        <v>0</v>
      </c>
      <c r="V3990" s="38"/>
      <c r="W3990" s="40"/>
      <c r="X3990" s="40"/>
      <c r="Y3990" s="40"/>
      <c r="Z3990" s="38"/>
      <c r="AA3990" s="38"/>
      <c r="AB3990" s="38"/>
      <c r="AC3990" s="38"/>
      <c r="AD3990" s="38"/>
      <c r="AE3990" s="38"/>
      <c r="AF3990" s="38"/>
      <c r="AG3990" s="38"/>
      <c r="AH3990" s="38"/>
      <c r="AI3990" s="38"/>
      <c r="AJ3990" s="38"/>
      <c r="AK3990" s="38"/>
      <c r="AL3990" s="38"/>
      <c r="AM3990" s="38"/>
      <c r="AN3990" s="38"/>
      <c r="AO3990" s="38"/>
      <c r="AP3990" s="38"/>
      <c r="AQ3990" s="38"/>
      <c r="AR3990" s="38"/>
      <c r="AS3990" s="38"/>
      <c r="AT3990" s="38"/>
      <c r="AU3990" s="38"/>
      <c r="AV3990" s="38"/>
      <c r="AW3990" s="38"/>
      <c r="AX3990" s="38"/>
      <c r="AY3990" s="38"/>
      <c r="AZ3990" s="38"/>
      <c r="BA3990" s="38"/>
      <c r="BB3990" s="38"/>
      <c r="BC3990" s="38"/>
      <c r="BD3990" s="38"/>
      <c r="BE3990" s="38"/>
      <c r="BF3990" s="38"/>
      <c r="BG3990" s="38"/>
      <c r="BH3990" s="38"/>
      <c r="BI3990" s="38"/>
      <c r="BJ3990" s="38"/>
      <c r="BK3990" s="38"/>
      <c r="BL3990" s="38"/>
      <c r="BM3990" s="38"/>
      <c r="BN3990" s="38"/>
      <c r="BO3990" s="38"/>
      <c r="BP3990" s="38"/>
      <c r="BQ3990" s="38"/>
    </row>
    <row r="3991">
      <c r="A3991" s="16"/>
      <c r="B3991" s="145"/>
      <c r="C3991" s="146"/>
      <c r="D3991" s="146"/>
      <c r="E3991" s="16"/>
      <c r="F3991" s="91"/>
      <c r="G3991" s="16"/>
      <c r="H3991" s="320" t="str">
        <f t="shared" si="424"/>
        <v/>
      </c>
      <c r="I3991" s="16"/>
      <c r="J3991" s="16"/>
      <c r="K3991" s="16"/>
      <c r="L3991" s="16"/>
      <c r="M3991" s="15"/>
      <c r="N3991" s="15"/>
      <c r="O3991" s="16"/>
      <c r="P3991" s="16"/>
      <c r="Q3991" s="16"/>
      <c r="R3991" s="16"/>
      <c r="S3991" s="37" t="str">
        <f>IFERROR(__xludf.DUMMYFUNCTION("if(not(iserror(index(split(C3991, "" ""),2))), index(split(C3991, "" ""),1),"""")"),"")</f>
        <v/>
      </c>
      <c r="T3991" s="315" t="str">
        <f>IFERROR(__xludf.DUMMYFUNCTION("if(S3991="""",C3991,if(not(iserror(index(split(C3991, "" ""),3))), index(split(C3991, "" ""),3),index(split(C3991, "" ""),2)))"),"")</f>
        <v/>
      </c>
      <c r="U3991" s="38" t="b">
        <f t="shared" si="423"/>
        <v>0</v>
      </c>
      <c r="V3991" s="38"/>
      <c r="W3991" s="40"/>
      <c r="X3991" s="40"/>
      <c r="Y3991" s="40"/>
      <c r="Z3991" s="38"/>
      <c r="AA3991" s="38"/>
      <c r="AB3991" s="38"/>
      <c r="AC3991" s="38"/>
      <c r="AD3991" s="38"/>
      <c r="AE3991" s="38"/>
      <c r="AF3991" s="38"/>
      <c r="AG3991" s="38"/>
      <c r="AH3991" s="38"/>
      <c r="AI3991" s="38"/>
      <c r="AJ3991" s="38"/>
      <c r="AK3991" s="38"/>
      <c r="AL3991" s="38"/>
      <c r="AM3991" s="38"/>
      <c r="AN3991" s="38"/>
      <c r="AO3991" s="38"/>
      <c r="AP3991" s="38"/>
      <c r="AQ3991" s="38"/>
      <c r="AR3991" s="38"/>
      <c r="AS3991" s="38"/>
      <c r="AT3991" s="38"/>
      <c r="AU3991" s="38"/>
      <c r="AV3991" s="38"/>
      <c r="AW3991" s="38"/>
      <c r="AX3991" s="38"/>
      <c r="AY3991" s="38"/>
      <c r="AZ3991" s="38"/>
      <c r="BA3991" s="38"/>
      <c r="BB3991" s="38"/>
      <c r="BC3991" s="38"/>
      <c r="BD3991" s="38"/>
      <c r="BE3991" s="38"/>
      <c r="BF3991" s="38"/>
      <c r="BG3991" s="38"/>
      <c r="BH3991" s="38"/>
      <c r="BI3991" s="38"/>
      <c r="BJ3991" s="38"/>
      <c r="BK3991" s="38"/>
      <c r="BL3991" s="38"/>
      <c r="BM3991" s="38"/>
      <c r="BN3991" s="38"/>
      <c r="BO3991" s="38"/>
      <c r="BP3991" s="38"/>
      <c r="BQ3991" s="38"/>
    </row>
    <row r="3992">
      <c r="A3992" s="16"/>
      <c r="B3992" s="145"/>
      <c r="C3992" s="146"/>
      <c r="D3992" s="146"/>
      <c r="E3992" s="16"/>
      <c r="F3992" s="91"/>
      <c r="G3992" s="16"/>
      <c r="H3992" s="320" t="str">
        <f t="shared" si="424"/>
        <v/>
      </c>
      <c r="I3992" s="16"/>
      <c r="J3992" s="16"/>
      <c r="K3992" s="16"/>
      <c r="L3992" s="16"/>
      <c r="M3992" s="15"/>
      <c r="N3992" s="15"/>
      <c r="O3992" s="16"/>
      <c r="P3992" s="16"/>
      <c r="Q3992" s="16"/>
      <c r="R3992" s="16"/>
      <c r="S3992" s="37" t="str">
        <f>IFERROR(__xludf.DUMMYFUNCTION("if(not(iserror(index(split(C3992, "" ""),2))), index(split(C3992, "" ""),1),"""")"),"")</f>
        <v/>
      </c>
      <c r="T3992" s="315" t="str">
        <f>IFERROR(__xludf.DUMMYFUNCTION("if(S3992="""",C3992,if(not(iserror(index(split(C3992, "" ""),3))), index(split(C3992, "" ""),3),index(split(C3992, "" ""),2)))"),"")</f>
        <v/>
      </c>
      <c r="U3992" s="38" t="b">
        <f t="shared" si="423"/>
        <v>0</v>
      </c>
      <c r="V3992" s="38"/>
      <c r="W3992" s="40"/>
      <c r="X3992" s="40"/>
      <c r="Y3992" s="40"/>
      <c r="Z3992" s="38"/>
      <c r="AA3992" s="38"/>
      <c r="AB3992" s="38"/>
      <c r="AC3992" s="38"/>
      <c r="AD3992" s="38"/>
      <c r="AE3992" s="38"/>
      <c r="AF3992" s="38"/>
      <c r="AG3992" s="38"/>
      <c r="AH3992" s="38"/>
      <c r="AI3992" s="38"/>
      <c r="AJ3992" s="38"/>
      <c r="AK3992" s="38"/>
      <c r="AL3992" s="38"/>
      <c r="AM3992" s="38"/>
      <c r="AN3992" s="38"/>
      <c r="AO3992" s="38"/>
      <c r="AP3992" s="38"/>
      <c r="AQ3992" s="38"/>
      <c r="AR3992" s="38"/>
      <c r="AS3992" s="38"/>
      <c r="AT3992" s="38"/>
      <c r="AU3992" s="38"/>
      <c r="AV3992" s="38"/>
      <c r="AW3992" s="38"/>
      <c r="AX3992" s="38"/>
      <c r="AY3992" s="38"/>
      <c r="AZ3992" s="38"/>
      <c r="BA3992" s="38"/>
      <c r="BB3992" s="38"/>
      <c r="BC3992" s="38"/>
      <c r="BD3992" s="38"/>
      <c r="BE3992" s="38"/>
      <c r="BF3992" s="38"/>
      <c r="BG3992" s="38"/>
      <c r="BH3992" s="38"/>
      <c r="BI3992" s="38"/>
      <c r="BJ3992" s="38"/>
      <c r="BK3992" s="38"/>
      <c r="BL3992" s="38"/>
      <c r="BM3992" s="38"/>
      <c r="BN3992" s="38"/>
      <c r="BO3992" s="38"/>
      <c r="BP3992" s="38"/>
      <c r="BQ3992" s="38"/>
    </row>
    <row r="3993">
      <c r="A3993" s="16"/>
      <c r="B3993" s="145"/>
      <c r="C3993" s="146"/>
      <c r="D3993" s="146"/>
      <c r="E3993" s="16"/>
      <c r="F3993" s="91"/>
      <c r="G3993" s="16"/>
      <c r="H3993" s="320" t="str">
        <f t="shared" si="424"/>
        <v/>
      </c>
      <c r="I3993" s="16"/>
      <c r="J3993" s="16"/>
      <c r="K3993" s="16"/>
      <c r="L3993" s="16"/>
      <c r="M3993" s="15"/>
      <c r="N3993" s="15"/>
      <c r="O3993" s="16"/>
      <c r="P3993" s="16"/>
      <c r="Q3993" s="16"/>
      <c r="R3993" s="16"/>
      <c r="S3993" s="37" t="str">
        <f>IFERROR(__xludf.DUMMYFUNCTION("if(not(iserror(index(split(C3993, "" ""),2))), index(split(C3993, "" ""),1),"""")"),"")</f>
        <v/>
      </c>
      <c r="T3993" s="315" t="str">
        <f>IFERROR(__xludf.DUMMYFUNCTION("if(S3993="""",C3993,if(not(iserror(index(split(C3993, "" ""),3))), index(split(C3993, "" ""),3),index(split(C3993, "" ""),2)))"),"")</f>
        <v/>
      </c>
      <c r="U3993" s="38" t="b">
        <f t="shared" si="423"/>
        <v>0</v>
      </c>
      <c r="V3993" s="38"/>
      <c r="W3993" s="40"/>
      <c r="X3993" s="40"/>
      <c r="Y3993" s="40"/>
      <c r="Z3993" s="38"/>
      <c r="AA3993" s="38"/>
      <c r="AB3993" s="38"/>
      <c r="AC3993" s="38"/>
      <c r="AD3993" s="38"/>
      <c r="AE3993" s="38"/>
      <c r="AF3993" s="38"/>
      <c r="AG3993" s="38"/>
      <c r="AH3993" s="38"/>
      <c r="AI3993" s="38"/>
      <c r="AJ3993" s="38"/>
      <c r="AK3993" s="38"/>
      <c r="AL3993" s="38"/>
      <c r="AM3993" s="38"/>
      <c r="AN3993" s="38"/>
      <c r="AO3993" s="38"/>
      <c r="AP3993" s="38"/>
      <c r="AQ3993" s="38"/>
      <c r="AR3993" s="38"/>
      <c r="AS3993" s="38"/>
      <c r="AT3993" s="38"/>
      <c r="AU3993" s="38"/>
      <c r="AV3993" s="38"/>
      <c r="AW3993" s="38"/>
      <c r="AX3993" s="38"/>
      <c r="AY3993" s="38"/>
      <c r="AZ3993" s="38"/>
      <c r="BA3993" s="38"/>
      <c r="BB3993" s="38"/>
      <c r="BC3993" s="38"/>
      <c r="BD3993" s="38"/>
      <c r="BE3993" s="38"/>
      <c r="BF3993" s="38"/>
      <c r="BG3993" s="38"/>
      <c r="BH3993" s="38"/>
      <c r="BI3993" s="38"/>
      <c r="BJ3993" s="38"/>
      <c r="BK3993" s="38"/>
      <c r="BL3993" s="38"/>
      <c r="BM3993" s="38"/>
      <c r="BN3993" s="38"/>
      <c r="BO3993" s="38"/>
      <c r="BP3993" s="38"/>
      <c r="BQ3993" s="38"/>
    </row>
    <row r="3994">
      <c r="A3994" s="16"/>
      <c r="B3994" s="145"/>
      <c r="C3994" s="146"/>
      <c r="D3994" s="146"/>
      <c r="E3994" s="16"/>
      <c r="F3994" s="91"/>
      <c r="G3994" s="16"/>
      <c r="H3994" s="320" t="str">
        <f t="shared" si="424"/>
        <v/>
      </c>
      <c r="I3994" s="16"/>
      <c r="J3994" s="16"/>
      <c r="K3994" s="16"/>
      <c r="L3994" s="16"/>
      <c r="M3994" s="15"/>
      <c r="N3994" s="15"/>
      <c r="O3994" s="16"/>
      <c r="P3994" s="16"/>
      <c r="Q3994" s="16"/>
      <c r="R3994" s="16"/>
      <c r="S3994" s="37" t="str">
        <f>IFERROR(__xludf.DUMMYFUNCTION("if(not(iserror(index(split(C3994, "" ""),2))), index(split(C3994, "" ""),1),"""")"),"")</f>
        <v/>
      </c>
      <c r="T3994" s="315" t="str">
        <f>IFERROR(__xludf.DUMMYFUNCTION("if(S3994="""",C3994,if(not(iserror(index(split(C3994, "" ""),3))), index(split(C3994, "" ""),3),index(split(C3994, "" ""),2)))"),"")</f>
        <v/>
      </c>
      <c r="U3994" s="38" t="b">
        <f t="shared" si="423"/>
        <v>0</v>
      </c>
      <c r="V3994" s="38"/>
      <c r="W3994" s="40"/>
      <c r="X3994" s="40"/>
      <c r="Y3994" s="40"/>
      <c r="Z3994" s="38"/>
      <c r="AA3994" s="38"/>
      <c r="AB3994" s="38"/>
      <c r="AC3994" s="38"/>
      <c r="AD3994" s="38"/>
      <c r="AE3994" s="38"/>
      <c r="AF3994" s="38"/>
      <c r="AG3994" s="38"/>
      <c r="AH3994" s="38"/>
      <c r="AI3994" s="38"/>
      <c r="AJ3994" s="38"/>
      <c r="AK3994" s="38"/>
      <c r="AL3994" s="38"/>
      <c r="AM3994" s="38"/>
      <c r="AN3994" s="38"/>
      <c r="AO3994" s="38"/>
      <c r="AP3994" s="38"/>
      <c r="AQ3994" s="38"/>
      <c r="AR3994" s="38"/>
      <c r="AS3994" s="38"/>
      <c r="AT3994" s="38"/>
      <c r="AU3994" s="38"/>
      <c r="AV3994" s="38"/>
      <c r="AW3994" s="38"/>
      <c r="AX3994" s="38"/>
      <c r="AY3994" s="38"/>
      <c r="AZ3994" s="38"/>
      <c r="BA3994" s="38"/>
      <c r="BB3994" s="38"/>
      <c r="BC3994" s="38"/>
      <c r="BD3994" s="38"/>
      <c r="BE3994" s="38"/>
      <c r="BF3994" s="38"/>
      <c r="BG3994" s="38"/>
      <c r="BH3994" s="38"/>
      <c r="BI3994" s="38"/>
      <c r="BJ3994" s="38"/>
      <c r="BK3994" s="38"/>
      <c r="BL3994" s="38"/>
      <c r="BM3994" s="38"/>
      <c r="BN3994" s="38"/>
      <c r="BO3994" s="38"/>
      <c r="BP3994" s="38"/>
      <c r="BQ3994" s="38"/>
    </row>
    <row r="3995">
      <c r="A3995" s="16"/>
      <c r="B3995" s="145"/>
      <c r="C3995" s="146"/>
      <c r="D3995" s="146"/>
      <c r="E3995" s="16"/>
      <c r="F3995" s="91"/>
      <c r="G3995" s="16"/>
      <c r="H3995" s="320" t="str">
        <f t="shared" si="424"/>
        <v/>
      </c>
      <c r="I3995" s="16"/>
      <c r="J3995" s="16"/>
      <c r="K3995" s="16"/>
      <c r="L3995" s="16"/>
      <c r="M3995" s="15"/>
      <c r="N3995" s="15"/>
      <c r="O3995" s="16"/>
      <c r="P3995" s="16"/>
      <c r="Q3995" s="16"/>
      <c r="R3995" s="16"/>
      <c r="S3995" s="37" t="str">
        <f>IFERROR(__xludf.DUMMYFUNCTION("if(not(iserror(index(split(C3995, "" ""),2))), index(split(C3995, "" ""),1),"""")"),"")</f>
        <v/>
      </c>
      <c r="T3995" s="315" t="str">
        <f>IFERROR(__xludf.DUMMYFUNCTION("if(S3995="""",C3995,if(not(iserror(index(split(C3995, "" ""),3))), index(split(C3995, "" ""),3),index(split(C3995, "" ""),2)))"),"")</f>
        <v/>
      </c>
      <c r="U3995" s="38" t="b">
        <f t="shared" si="423"/>
        <v>0</v>
      </c>
      <c r="V3995" s="38"/>
      <c r="W3995" s="40"/>
      <c r="X3995" s="40"/>
      <c r="Y3995" s="40"/>
      <c r="Z3995" s="38"/>
      <c r="AA3995" s="38"/>
      <c r="AB3995" s="38"/>
      <c r="AC3995" s="38"/>
      <c r="AD3995" s="38"/>
      <c r="AE3995" s="38"/>
      <c r="AF3995" s="38"/>
      <c r="AG3995" s="38"/>
      <c r="AH3995" s="38"/>
      <c r="AI3995" s="38"/>
      <c r="AJ3995" s="38"/>
      <c r="AK3995" s="38"/>
      <c r="AL3995" s="38"/>
      <c r="AM3995" s="38"/>
      <c r="AN3995" s="38"/>
      <c r="AO3995" s="38"/>
      <c r="AP3995" s="38"/>
      <c r="AQ3995" s="38"/>
      <c r="AR3995" s="38"/>
      <c r="AS3995" s="38"/>
      <c r="AT3995" s="38"/>
      <c r="AU3995" s="38"/>
      <c r="AV3995" s="38"/>
      <c r="AW3995" s="38"/>
      <c r="AX3995" s="38"/>
      <c r="AY3995" s="38"/>
      <c r="AZ3995" s="38"/>
      <c r="BA3995" s="38"/>
      <c r="BB3995" s="38"/>
      <c r="BC3995" s="38"/>
      <c r="BD3995" s="38"/>
      <c r="BE3995" s="38"/>
      <c r="BF3995" s="38"/>
      <c r="BG3995" s="38"/>
      <c r="BH3995" s="38"/>
      <c r="BI3995" s="38"/>
      <c r="BJ3995" s="38"/>
      <c r="BK3995" s="38"/>
      <c r="BL3995" s="38"/>
      <c r="BM3995" s="38"/>
      <c r="BN3995" s="38"/>
      <c r="BO3995" s="38"/>
      <c r="BP3995" s="38"/>
      <c r="BQ3995" s="38"/>
    </row>
    <row r="3996">
      <c r="A3996" s="16"/>
      <c r="B3996" s="145"/>
      <c r="C3996" s="146"/>
      <c r="D3996" s="146"/>
      <c r="E3996" s="16"/>
      <c r="F3996" s="91"/>
      <c r="G3996" s="16"/>
      <c r="H3996" s="320" t="str">
        <f t="shared" si="424"/>
        <v/>
      </c>
      <c r="I3996" s="16"/>
      <c r="J3996" s="16"/>
      <c r="K3996" s="16"/>
      <c r="L3996" s="16"/>
      <c r="M3996" s="15"/>
      <c r="N3996" s="15"/>
      <c r="O3996" s="16"/>
      <c r="P3996" s="16"/>
      <c r="Q3996" s="16"/>
      <c r="R3996" s="16"/>
      <c r="S3996" s="37" t="str">
        <f>IFERROR(__xludf.DUMMYFUNCTION("if(not(iserror(index(split(C3996, "" ""),2))), index(split(C3996, "" ""),1),"""")"),"")</f>
        <v/>
      </c>
      <c r="T3996" s="315" t="str">
        <f>IFERROR(__xludf.DUMMYFUNCTION("if(S3996="""",C3996,if(not(iserror(index(split(C3996, "" ""),3))), index(split(C3996, "" ""),3),index(split(C3996, "" ""),2)))"),"")</f>
        <v/>
      </c>
      <c r="U3996" s="38" t="b">
        <f t="shared" si="423"/>
        <v>0</v>
      </c>
      <c r="V3996" s="38"/>
      <c r="W3996" s="40"/>
      <c r="X3996" s="40"/>
      <c r="Y3996" s="40"/>
      <c r="Z3996" s="38"/>
      <c r="AA3996" s="38"/>
      <c r="AB3996" s="38"/>
      <c r="AC3996" s="38"/>
      <c r="AD3996" s="38"/>
      <c r="AE3996" s="38"/>
      <c r="AF3996" s="38"/>
      <c r="AG3996" s="38"/>
      <c r="AH3996" s="38"/>
      <c r="AI3996" s="38"/>
      <c r="AJ3996" s="38"/>
      <c r="AK3996" s="38"/>
      <c r="AL3996" s="38"/>
      <c r="AM3996" s="38"/>
      <c r="AN3996" s="38"/>
      <c r="AO3996" s="38"/>
      <c r="AP3996" s="38"/>
      <c r="AQ3996" s="38"/>
      <c r="AR3996" s="38"/>
      <c r="AS3996" s="38"/>
      <c r="AT3996" s="38"/>
      <c r="AU3996" s="38"/>
      <c r="AV3996" s="38"/>
      <c r="AW3996" s="38"/>
      <c r="AX3996" s="38"/>
      <c r="AY3996" s="38"/>
      <c r="AZ3996" s="38"/>
      <c r="BA3996" s="38"/>
      <c r="BB3996" s="38"/>
      <c r="BC3996" s="38"/>
      <c r="BD3996" s="38"/>
      <c r="BE3996" s="38"/>
      <c r="BF3996" s="38"/>
      <c r="BG3996" s="38"/>
      <c r="BH3996" s="38"/>
      <c r="BI3996" s="38"/>
      <c r="BJ3996" s="38"/>
      <c r="BK3996" s="38"/>
      <c r="BL3996" s="38"/>
      <c r="BM3996" s="38"/>
      <c r="BN3996" s="38"/>
      <c r="BO3996" s="38"/>
      <c r="BP3996" s="38"/>
      <c r="BQ3996" s="38"/>
    </row>
    <row r="3997">
      <c r="A3997" s="16"/>
      <c r="B3997" s="145"/>
      <c r="C3997" s="146"/>
      <c r="D3997" s="146"/>
      <c r="E3997" s="16"/>
      <c r="F3997" s="91"/>
      <c r="G3997" s="16"/>
      <c r="H3997" s="320" t="str">
        <f t="shared" si="424"/>
        <v/>
      </c>
      <c r="I3997" s="16"/>
      <c r="J3997" s="16"/>
      <c r="K3997" s="16"/>
      <c r="L3997" s="16"/>
      <c r="M3997" s="15"/>
      <c r="N3997" s="15"/>
      <c r="O3997" s="16"/>
      <c r="P3997" s="16"/>
      <c r="Q3997" s="16"/>
      <c r="R3997" s="16"/>
      <c r="S3997" s="37" t="str">
        <f>IFERROR(__xludf.DUMMYFUNCTION("if(not(iserror(index(split(C3997, "" ""),2))), index(split(C3997, "" ""),1),"""")"),"")</f>
        <v/>
      </c>
      <c r="T3997" s="315" t="str">
        <f>IFERROR(__xludf.DUMMYFUNCTION("if(S3997="""",C3997,if(not(iserror(index(split(C3997, "" ""),3))), index(split(C3997, "" ""),3),index(split(C3997, "" ""),2)))"),"")</f>
        <v/>
      </c>
      <c r="U3997" s="38" t="b">
        <f t="shared" si="423"/>
        <v>0</v>
      </c>
      <c r="V3997" s="38"/>
      <c r="W3997" s="40"/>
      <c r="X3997" s="40"/>
      <c r="Y3997" s="40"/>
      <c r="Z3997" s="38"/>
      <c r="AA3997" s="38"/>
      <c r="AB3997" s="38"/>
      <c r="AC3997" s="38"/>
      <c r="AD3997" s="38"/>
      <c r="AE3997" s="38"/>
      <c r="AF3997" s="38"/>
      <c r="AG3997" s="38"/>
      <c r="AH3997" s="38"/>
      <c r="AI3997" s="38"/>
      <c r="AJ3997" s="38"/>
      <c r="AK3997" s="38"/>
      <c r="AL3997" s="38"/>
      <c r="AM3997" s="38"/>
      <c r="AN3997" s="38"/>
      <c r="AO3997" s="38"/>
      <c r="AP3997" s="38"/>
      <c r="AQ3997" s="38"/>
      <c r="AR3997" s="38"/>
      <c r="AS3997" s="38"/>
      <c r="AT3997" s="38"/>
      <c r="AU3997" s="38"/>
      <c r="AV3997" s="38"/>
      <c r="AW3997" s="38"/>
      <c r="AX3997" s="38"/>
      <c r="AY3997" s="38"/>
      <c r="AZ3997" s="38"/>
      <c r="BA3997" s="38"/>
      <c r="BB3997" s="38"/>
      <c r="BC3997" s="38"/>
      <c r="BD3997" s="38"/>
      <c r="BE3997" s="38"/>
      <c r="BF3997" s="38"/>
      <c r="BG3997" s="38"/>
      <c r="BH3997" s="38"/>
      <c r="BI3997" s="38"/>
      <c r="BJ3997" s="38"/>
      <c r="BK3997" s="38"/>
      <c r="BL3997" s="38"/>
      <c r="BM3997" s="38"/>
      <c r="BN3997" s="38"/>
      <c r="BO3997" s="38"/>
      <c r="BP3997" s="38"/>
      <c r="BQ3997" s="38"/>
    </row>
    <row r="3998">
      <c r="A3998" s="16"/>
      <c r="B3998" s="145"/>
      <c r="C3998" s="146"/>
      <c r="D3998" s="146"/>
      <c r="E3998" s="16"/>
      <c r="F3998" s="91"/>
      <c r="G3998" s="16"/>
      <c r="H3998" s="320" t="str">
        <f t="shared" si="424"/>
        <v/>
      </c>
      <c r="I3998" s="16"/>
      <c r="J3998" s="16"/>
      <c r="K3998" s="16"/>
      <c r="L3998" s="16"/>
      <c r="M3998" s="15"/>
      <c r="N3998" s="15"/>
      <c r="O3998" s="16"/>
      <c r="P3998" s="16"/>
      <c r="Q3998" s="16"/>
      <c r="R3998" s="16"/>
      <c r="S3998" s="37" t="str">
        <f>IFERROR(__xludf.DUMMYFUNCTION("if(not(iserror(index(split(C3998, "" ""),2))), index(split(C3998, "" ""),1),"""")"),"")</f>
        <v/>
      </c>
      <c r="T3998" s="315" t="str">
        <f>IFERROR(__xludf.DUMMYFUNCTION("if(S3998="""",C3998,if(not(iserror(index(split(C3998, "" ""),3))), index(split(C3998, "" ""),3),index(split(C3998, "" ""),2)))"),"")</f>
        <v/>
      </c>
      <c r="U3998" s="38" t="b">
        <f t="shared" si="423"/>
        <v>0</v>
      </c>
      <c r="V3998" s="38"/>
      <c r="W3998" s="40"/>
      <c r="X3998" s="40"/>
      <c r="Y3998" s="40"/>
      <c r="Z3998" s="38"/>
      <c r="AA3998" s="38"/>
      <c r="AB3998" s="38"/>
      <c r="AC3998" s="38"/>
      <c r="AD3998" s="38"/>
      <c r="AE3998" s="38"/>
      <c r="AF3998" s="38"/>
      <c r="AG3998" s="38"/>
      <c r="AH3998" s="38"/>
      <c r="AI3998" s="38"/>
      <c r="AJ3998" s="38"/>
      <c r="AK3998" s="38"/>
      <c r="AL3998" s="38"/>
      <c r="AM3998" s="38"/>
      <c r="AN3998" s="38"/>
      <c r="AO3998" s="38"/>
      <c r="AP3998" s="38"/>
      <c r="AQ3998" s="38"/>
      <c r="AR3998" s="38"/>
      <c r="AS3998" s="38"/>
      <c r="AT3998" s="38"/>
      <c r="AU3998" s="38"/>
      <c r="AV3998" s="38"/>
      <c r="AW3998" s="38"/>
      <c r="AX3998" s="38"/>
      <c r="AY3998" s="38"/>
      <c r="AZ3998" s="38"/>
      <c r="BA3998" s="38"/>
      <c r="BB3998" s="38"/>
      <c r="BC3998" s="38"/>
      <c r="BD3998" s="38"/>
      <c r="BE3998" s="38"/>
      <c r="BF3998" s="38"/>
      <c r="BG3998" s="38"/>
      <c r="BH3998" s="38"/>
      <c r="BI3998" s="38"/>
      <c r="BJ3998" s="38"/>
      <c r="BK3998" s="38"/>
      <c r="BL3998" s="38"/>
      <c r="BM3998" s="38"/>
      <c r="BN3998" s="38"/>
      <c r="BO3998" s="38"/>
      <c r="BP3998" s="38"/>
      <c r="BQ3998" s="38"/>
    </row>
    <row r="3999">
      <c r="A3999" s="16"/>
      <c r="B3999" s="145"/>
      <c r="C3999" s="146"/>
      <c r="D3999" s="146"/>
      <c r="E3999" s="16"/>
      <c r="F3999" s="91"/>
      <c r="G3999" s="16"/>
      <c r="H3999" s="320" t="str">
        <f t="shared" si="424"/>
        <v/>
      </c>
      <c r="I3999" s="16"/>
      <c r="J3999" s="16"/>
      <c r="K3999" s="16"/>
      <c r="L3999" s="16"/>
      <c r="M3999" s="15"/>
      <c r="N3999" s="15"/>
      <c r="O3999" s="16"/>
      <c r="P3999" s="16"/>
      <c r="Q3999" s="16"/>
      <c r="R3999" s="16"/>
      <c r="S3999" s="37" t="str">
        <f>IFERROR(__xludf.DUMMYFUNCTION("if(not(iserror(index(split(C3999, "" ""),2))), index(split(C3999, "" ""),1),"""")"),"")</f>
        <v/>
      </c>
      <c r="T3999" s="315" t="str">
        <f>IFERROR(__xludf.DUMMYFUNCTION("if(S3999="""",C3999,if(not(iserror(index(split(C3999, "" ""),3))), index(split(C3999, "" ""),3),index(split(C3999, "" ""),2)))"),"")</f>
        <v/>
      </c>
      <c r="U3999" s="38" t="b">
        <f t="shared" si="423"/>
        <v>0</v>
      </c>
      <c r="V3999" s="38"/>
      <c r="W3999" s="40"/>
      <c r="X3999" s="40"/>
      <c r="Y3999" s="40"/>
      <c r="Z3999" s="38"/>
      <c r="AA3999" s="38"/>
      <c r="AB3999" s="38"/>
      <c r="AC3999" s="38"/>
      <c r="AD3999" s="38"/>
      <c r="AE3999" s="38"/>
      <c r="AF3999" s="38"/>
      <c r="AG3999" s="38"/>
      <c r="AH3999" s="38"/>
      <c r="AI3999" s="38"/>
      <c r="AJ3999" s="38"/>
      <c r="AK3999" s="38"/>
      <c r="AL3999" s="38"/>
      <c r="AM3999" s="38"/>
      <c r="AN3999" s="38"/>
      <c r="AO3999" s="38"/>
      <c r="AP3999" s="38"/>
      <c r="AQ3999" s="38"/>
      <c r="AR3999" s="38"/>
      <c r="AS3999" s="38"/>
      <c r="AT3999" s="38"/>
      <c r="AU3999" s="38"/>
      <c r="AV3999" s="38"/>
      <c r="AW3999" s="38"/>
      <c r="AX3999" s="38"/>
      <c r="AY3999" s="38"/>
      <c r="AZ3999" s="38"/>
      <c r="BA3999" s="38"/>
      <c r="BB3999" s="38"/>
      <c r="BC3999" s="38"/>
      <c r="BD3999" s="38"/>
      <c r="BE3999" s="38"/>
      <c r="BF3999" s="38"/>
      <c r="BG3999" s="38"/>
      <c r="BH3999" s="38"/>
      <c r="BI3999" s="38"/>
      <c r="BJ3999" s="38"/>
      <c r="BK3999" s="38"/>
      <c r="BL3999" s="38"/>
      <c r="BM3999" s="38"/>
      <c r="BN3999" s="38"/>
      <c r="BO3999" s="38"/>
      <c r="BP3999" s="38"/>
      <c r="BQ3999" s="38"/>
    </row>
    <row r="4000">
      <c r="A4000" s="16"/>
      <c r="B4000" s="145"/>
      <c r="C4000" s="146"/>
      <c r="D4000" s="146"/>
      <c r="E4000" s="16"/>
      <c r="F4000" s="91"/>
      <c r="G4000" s="16"/>
      <c r="H4000" s="320" t="str">
        <f t="shared" si="424"/>
        <v/>
      </c>
      <c r="I4000" s="16"/>
      <c r="J4000" s="16"/>
      <c r="K4000" s="16"/>
      <c r="L4000" s="16"/>
      <c r="M4000" s="15"/>
      <c r="N4000" s="15"/>
      <c r="O4000" s="16"/>
      <c r="P4000" s="16"/>
      <c r="Q4000" s="16"/>
      <c r="R4000" s="16"/>
      <c r="S4000" s="37" t="str">
        <f>IFERROR(__xludf.DUMMYFUNCTION("if(not(iserror(index(split(C4000, "" ""),2))), index(split(C4000, "" ""),1),"""")"),"")</f>
        <v/>
      </c>
      <c r="T4000" s="315" t="str">
        <f>IFERROR(__xludf.DUMMYFUNCTION("if(S4000="""",C4000,if(not(iserror(index(split(C4000, "" ""),3))), index(split(C4000, "" ""),3),index(split(C4000, "" ""),2)))"),"")</f>
        <v/>
      </c>
      <c r="U4000" s="38" t="b">
        <f t="shared" si="423"/>
        <v>0</v>
      </c>
      <c r="V4000" s="38"/>
      <c r="W4000" s="40"/>
      <c r="X4000" s="40"/>
      <c r="Y4000" s="40"/>
      <c r="Z4000" s="38"/>
      <c r="AA4000" s="38"/>
      <c r="AB4000" s="38"/>
      <c r="AC4000" s="38"/>
      <c r="AD4000" s="38"/>
      <c r="AE4000" s="38"/>
      <c r="AF4000" s="38"/>
      <c r="AG4000" s="38"/>
      <c r="AH4000" s="38"/>
      <c r="AI4000" s="38"/>
      <c r="AJ4000" s="38"/>
      <c r="AK4000" s="38"/>
      <c r="AL4000" s="38"/>
      <c r="AM4000" s="38"/>
      <c r="AN4000" s="38"/>
      <c r="AO4000" s="38"/>
      <c r="AP4000" s="38"/>
      <c r="AQ4000" s="38"/>
      <c r="AR4000" s="38"/>
      <c r="AS4000" s="38"/>
      <c r="AT4000" s="38"/>
      <c r="AU4000" s="38"/>
      <c r="AV4000" s="38"/>
      <c r="AW4000" s="38"/>
      <c r="AX4000" s="38"/>
      <c r="AY4000" s="38"/>
      <c r="AZ4000" s="38"/>
      <c r="BA4000" s="38"/>
      <c r="BB4000" s="38"/>
      <c r="BC4000" s="38"/>
      <c r="BD4000" s="38"/>
      <c r="BE4000" s="38"/>
      <c r="BF4000" s="38"/>
      <c r="BG4000" s="38"/>
      <c r="BH4000" s="38"/>
      <c r="BI4000" s="38"/>
      <c r="BJ4000" s="38"/>
      <c r="BK4000" s="38"/>
      <c r="BL4000" s="38"/>
      <c r="BM4000" s="38"/>
      <c r="BN4000" s="38"/>
      <c r="BO4000" s="38"/>
      <c r="BP4000" s="38"/>
      <c r="BQ4000" s="38"/>
    </row>
    <row r="4001">
      <c r="A4001" s="16"/>
      <c r="B4001" s="145"/>
      <c r="C4001" s="146"/>
      <c r="D4001" s="146"/>
      <c r="E4001" s="16"/>
      <c r="F4001" s="91"/>
      <c r="G4001" s="16"/>
      <c r="H4001" s="320" t="str">
        <f t="shared" si="424"/>
        <v/>
      </c>
      <c r="I4001" s="16"/>
      <c r="J4001" s="16"/>
      <c r="K4001" s="16"/>
      <c r="L4001" s="16"/>
      <c r="M4001" s="15"/>
      <c r="N4001" s="15"/>
      <c r="O4001" s="16"/>
      <c r="P4001" s="16"/>
      <c r="Q4001" s="16"/>
      <c r="R4001" s="16"/>
      <c r="S4001" s="37" t="str">
        <f>IFERROR(__xludf.DUMMYFUNCTION("if(not(iserror(index(split(C4001, "" ""),2))), index(split(C4001, "" ""),1),"""")"),"")</f>
        <v/>
      </c>
      <c r="T4001" s="315" t="str">
        <f>IFERROR(__xludf.DUMMYFUNCTION("if(S4001="""",C4001,if(not(iserror(index(split(C4001, "" ""),3))), index(split(C4001, "" ""),3),index(split(C4001, "" ""),2)))"),"")</f>
        <v/>
      </c>
      <c r="U4001" s="38" t="b">
        <f t="shared" si="423"/>
        <v>0</v>
      </c>
      <c r="V4001" s="38"/>
      <c r="W4001" s="40"/>
      <c r="X4001" s="40"/>
      <c r="Y4001" s="40"/>
      <c r="Z4001" s="38"/>
      <c r="AA4001" s="38"/>
      <c r="AB4001" s="38"/>
      <c r="AC4001" s="38"/>
      <c r="AD4001" s="38"/>
      <c r="AE4001" s="38"/>
      <c r="AF4001" s="38"/>
      <c r="AG4001" s="38"/>
      <c r="AH4001" s="38"/>
      <c r="AI4001" s="38"/>
      <c r="AJ4001" s="38"/>
      <c r="AK4001" s="38"/>
      <c r="AL4001" s="38"/>
      <c r="AM4001" s="38"/>
      <c r="AN4001" s="38"/>
      <c r="AO4001" s="38"/>
      <c r="AP4001" s="38"/>
      <c r="AQ4001" s="38"/>
      <c r="AR4001" s="38"/>
      <c r="AS4001" s="38"/>
      <c r="AT4001" s="38"/>
      <c r="AU4001" s="38"/>
      <c r="AV4001" s="38"/>
      <c r="AW4001" s="38"/>
      <c r="AX4001" s="38"/>
      <c r="AY4001" s="38"/>
      <c r="AZ4001" s="38"/>
      <c r="BA4001" s="38"/>
      <c r="BB4001" s="38"/>
      <c r="BC4001" s="38"/>
      <c r="BD4001" s="38"/>
      <c r="BE4001" s="38"/>
      <c r="BF4001" s="38"/>
      <c r="BG4001" s="38"/>
      <c r="BH4001" s="38"/>
      <c r="BI4001" s="38"/>
      <c r="BJ4001" s="38"/>
      <c r="BK4001" s="38"/>
      <c r="BL4001" s="38"/>
      <c r="BM4001" s="38"/>
      <c r="BN4001" s="38"/>
      <c r="BO4001" s="38"/>
      <c r="BP4001" s="38"/>
      <c r="BQ4001" s="38"/>
    </row>
    <row r="4002">
      <c r="A4002" s="16"/>
      <c r="B4002" s="145"/>
      <c r="C4002" s="146"/>
      <c r="D4002" s="146"/>
      <c r="E4002" s="16"/>
      <c r="F4002" s="91"/>
      <c r="G4002" s="16"/>
      <c r="H4002" s="320" t="str">
        <f t="shared" si="424"/>
        <v/>
      </c>
      <c r="I4002" s="16"/>
      <c r="J4002" s="16"/>
      <c r="K4002" s="16"/>
      <c r="L4002" s="16"/>
      <c r="M4002" s="15"/>
      <c r="N4002" s="15"/>
      <c r="O4002" s="16"/>
      <c r="P4002" s="16"/>
      <c r="Q4002" s="16"/>
      <c r="R4002" s="16"/>
      <c r="S4002" s="37" t="str">
        <f>IFERROR(__xludf.DUMMYFUNCTION("if(not(iserror(index(split(C4002, "" ""),2))), index(split(C4002, "" ""),1),"""")"),"")</f>
        <v/>
      </c>
      <c r="T4002" s="315" t="str">
        <f>IFERROR(__xludf.DUMMYFUNCTION("if(S4002="""",C4002,if(not(iserror(index(split(C4002, "" ""),3))), index(split(C4002, "" ""),3),index(split(C4002, "" ""),2)))"),"")</f>
        <v/>
      </c>
      <c r="U4002" s="38" t="b">
        <f t="shared" si="423"/>
        <v>0</v>
      </c>
      <c r="V4002" s="38"/>
      <c r="W4002" s="40"/>
      <c r="X4002" s="40"/>
      <c r="Y4002" s="40"/>
      <c r="Z4002" s="38"/>
      <c r="AA4002" s="38"/>
      <c r="AB4002" s="38"/>
      <c r="AC4002" s="38"/>
      <c r="AD4002" s="38"/>
      <c r="AE4002" s="38"/>
      <c r="AF4002" s="38"/>
      <c r="AG4002" s="38"/>
      <c r="AH4002" s="38"/>
      <c r="AI4002" s="38"/>
      <c r="AJ4002" s="38"/>
      <c r="AK4002" s="38"/>
      <c r="AL4002" s="38"/>
      <c r="AM4002" s="38"/>
      <c r="AN4002" s="38"/>
      <c r="AO4002" s="38"/>
      <c r="AP4002" s="38"/>
      <c r="AQ4002" s="38"/>
      <c r="AR4002" s="38"/>
      <c r="AS4002" s="38"/>
      <c r="AT4002" s="38"/>
      <c r="AU4002" s="38"/>
      <c r="AV4002" s="38"/>
      <c r="AW4002" s="38"/>
      <c r="AX4002" s="38"/>
      <c r="AY4002" s="38"/>
      <c r="AZ4002" s="38"/>
      <c r="BA4002" s="38"/>
      <c r="BB4002" s="38"/>
      <c r="BC4002" s="38"/>
      <c r="BD4002" s="38"/>
      <c r="BE4002" s="38"/>
      <c r="BF4002" s="38"/>
      <c r="BG4002" s="38"/>
      <c r="BH4002" s="38"/>
      <c r="BI4002" s="38"/>
      <c r="BJ4002" s="38"/>
      <c r="BK4002" s="38"/>
      <c r="BL4002" s="38"/>
      <c r="BM4002" s="38"/>
      <c r="BN4002" s="38"/>
      <c r="BO4002" s="38"/>
      <c r="BP4002" s="38"/>
      <c r="BQ4002" s="38"/>
    </row>
    <row r="4003">
      <c r="A4003" s="16"/>
      <c r="B4003" s="145"/>
      <c r="C4003" s="146"/>
      <c r="D4003" s="146"/>
      <c r="E4003" s="16"/>
      <c r="F4003" s="91"/>
      <c r="G4003" s="16"/>
      <c r="H4003" s="320" t="str">
        <f t="shared" si="424"/>
        <v/>
      </c>
      <c r="I4003" s="16"/>
      <c r="J4003" s="16"/>
      <c r="K4003" s="16"/>
      <c r="L4003" s="16"/>
      <c r="M4003" s="15"/>
      <c r="N4003" s="15"/>
      <c r="O4003" s="16"/>
      <c r="P4003" s="16"/>
      <c r="Q4003" s="16"/>
      <c r="R4003" s="16"/>
      <c r="S4003" s="37" t="str">
        <f>IFERROR(__xludf.DUMMYFUNCTION("if(not(iserror(index(split(C4003, "" ""),2))), index(split(C4003, "" ""),1),"""")"),"")</f>
        <v/>
      </c>
      <c r="T4003" s="315" t="str">
        <f>IFERROR(__xludf.DUMMYFUNCTION("if(S4003="""",C4003,if(not(iserror(index(split(C4003, "" ""),3))), index(split(C4003, "" ""),3),index(split(C4003, "" ""),2)))"),"")</f>
        <v/>
      </c>
      <c r="U4003" s="38" t="b">
        <f t="shared" si="423"/>
        <v>0</v>
      </c>
      <c r="V4003" s="38"/>
      <c r="W4003" s="40"/>
      <c r="X4003" s="40"/>
      <c r="Y4003" s="40"/>
      <c r="Z4003" s="38"/>
      <c r="AA4003" s="38"/>
      <c r="AB4003" s="38"/>
      <c r="AC4003" s="38"/>
      <c r="AD4003" s="38"/>
      <c r="AE4003" s="38"/>
      <c r="AF4003" s="38"/>
      <c r="AG4003" s="38"/>
      <c r="AH4003" s="38"/>
      <c r="AI4003" s="38"/>
      <c r="AJ4003" s="38"/>
      <c r="AK4003" s="38"/>
      <c r="AL4003" s="38"/>
      <c r="AM4003" s="38"/>
      <c r="AN4003" s="38"/>
      <c r="AO4003" s="38"/>
      <c r="AP4003" s="38"/>
      <c r="AQ4003" s="38"/>
      <c r="AR4003" s="38"/>
      <c r="AS4003" s="38"/>
      <c r="AT4003" s="38"/>
      <c r="AU4003" s="38"/>
      <c r="AV4003" s="38"/>
      <c r="AW4003" s="38"/>
      <c r="AX4003" s="38"/>
      <c r="AY4003" s="38"/>
      <c r="AZ4003" s="38"/>
      <c r="BA4003" s="38"/>
      <c r="BB4003" s="38"/>
      <c r="BC4003" s="38"/>
      <c r="BD4003" s="38"/>
      <c r="BE4003" s="38"/>
      <c r="BF4003" s="38"/>
      <c r="BG4003" s="38"/>
      <c r="BH4003" s="38"/>
      <c r="BI4003" s="38"/>
      <c r="BJ4003" s="38"/>
      <c r="BK4003" s="38"/>
      <c r="BL4003" s="38"/>
      <c r="BM4003" s="38"/>
      <c r="BN4003" s="38"/>
      <c r="BO4003" s="38"/>
      <c r="BP4003" s="38"/>
      <c r="BQ4003" s="38"/>
    </row>
    <row r="4004">
      <c r="A4004" s="16"/>
      <c r="B4004" s="145"/>
      <c r="C4004" s="146"/>
      <c r="D4004" s="146"/>
      <c r="E4004" s="16"/>
      <c r="F4004" s="91"/>
      <c r="G4004" s="16"/>
      <c r="H4004" s="320" t="str">
        <f t="shared" si="424"/>
        <v/>
      </c>
      <c r="I4004" s="16"/>
      <c r="J4004" s="16"/>
      <c r="K4004" s="16"/>
      <c r="L4004" s="16"/>
      <c r="M4004" s="15"/>
      <c r="N4004" s="15"/>
      <c r="O4004" s="16"/>
      <c r="P4004" s="16"/>
      <c r="Q4004" s="16"/>
      <c r="R4004" s="16"/>
      <c r="S4004" s="37" t="str">
        <f>IFERROR(__xludf.DUMMYFUNCTION("if(not(iserror(index(split(C4004, "" ""),2))), index(split(C4004, "" ""),1),"""")"),"")</f>
        <v/>
      </c>
      <c r="T4004" s="315" t="str">
        <f>IFERROR(__xludf.DUMMYFUNCTION("if(S4004="""",C4004,if(not(iserror(index(split(C4004, "" ""),3))), index(split(C4004, "" ""),3),index(split(C4004, "" ""),2)))"),"")</f>
        <v/>
      </c>
      <c r="U4004" s="38" t="b">
        <f t="shared" si="423"/>
        <v>0</v>
      </c>
      <c r="V4004" s="38"/>
      <c r="W4004" s="40"/>
      <c r="X4004" s="40"/>
      <c r="Y4004" s="40"/>
      <c r="Z4004" s="38"/>
      <c r="AA4004" s="38"/>
      <c r="AB4004" s="38"/>
      <c r="AC4004" s="38"/>
      <c r="AD4004" s="38"/>
      <c r="AE4004" s="38"/>
      <c r="AF4004" s="38"/>
      <c r="AG4004" s="38"/>
      <c r="AH4004" s="38"/>
      <c r="AI4004" s="38"/>
      <c r="AJ4004" s="38"/>
      <c r="AK4004" s="38"/>
      <c r="AL4004" s="38"/>
      <c r="AM4004" s="38"/>
      <c r="AN4004" s="38"/>
      <c r="AO4004" s="38"/>
      <c r="AP4004" s="38"/>
      <c r="AQ4004" s="38"/>
      <c r="AR4004" s="38"/>
      <c r="AS4004" s="38"/>
      <c r="AT4004" s="38"/>
      <c r="AU4004" s="38"/>
      <c r="AV4004" s="38"/>
      <c r="AW4004" s="38"/>
      <c r="AX4004" s="38"/>
      <c r="AY4004" s="38"/>
      <c r="AZ4004" s="38"/>
      <c r="BA4004" s="38"/>
      <c r="BB4004" s="38"/>
      <c r="BC4004" s="38"/>
      <c r="BD4004" s="38"/>
      <c r="BE4004" s="38"/>
      <c r="BF4004" s="38"/>
      <c r="BG4004" s="38"/>
      <c r="BH4004" s="38"/>
      <c r="BI4004" s="38"/>
      <c r="BJ4004" s="38"/>
      <c r="BK4004" s="38"/>
      <c r="BL4004" s="38"/>
      <c r="BM4004" s="38"/>
      <c r="BN4004" s="38"/>
      <c r="BO4004" s="38"/>
      <c r="BP4004" s="38"/>
      <c r="BQ4004" s="38"/>
    </row>
    <row r="4005">
      <c r="A4005" s="16"/>
      <c r="B4005" s="145"/>
      <c r="C4005" s="146"/>
      <c r="D4005" s="146"/>
      <c r="E4005" s="16"/>
      <c r="F4005" s="91"/>
      <c r="G4005" s="16"/>
      <c r="H4005" s="320" t="str">
        <f t="shared" si="424"/>
        <v/>
      </c>
      <c r="I4005" s="16"/>
      <c r="J4005" s="16"/>
      <c r="K4005" s="16"/>
      <c r="L4005" s="16"/>
      <c r="M4005" s="15"/>
      <c r="N4005" s="15"/>
      <c r="O4005" s="16"/>
      <c r="P4005" s="16"/>
      <c r="Q4005" s="16"/>
      <c r="R4005" s="16"/>
      <c r="S4005" s="37" t="str">
        <f>IFERROR(__xludf.DUMMYFUNCTION("if(not(iserror(index(split(C4005, "" ""),2))), index(split(C4005, "" ""),1),"""")"),"")</f>
        <v/>
      </c>
      <c r="T4005" s="315" t="str">
        <f>IFERROR(__xludf.DUMMYFUNCTION("if(S4005="""",C4005,if(not(iserror(index(split(C4005, "" ""),3))), index(split(C4005, "" ""),3),index(split(C4005, "" ""),2)))"),"")</f>
        <v/>
      </c>
      <c r="U4005" s="38" t="b">
        <f t="shared" si="423"/>
        <v>0</v>
      </c>
      <c r="V4005" s="38"/>
      <c r="W4005" s="40"/>
      <c r="X4005" s="40"/>
      <c r="Y4005" s="40"/>
      <c r="Z4005" s="38"/>
      <c r="AA4005" s="38"/>
      <c r="AB4005" s="38"/>
      <c r="AC4005" s="38"/>
      <c r="AD4005" s="38"/>
      <c r="AE4005" s="38"/>
      <c r="AF4005" s="38"/>
      <c r="AG4005" s="38"/>
      <c r="AH4005" s="38"/>
      <c r="AI4005" s="38"/>
      <c r="AJ4005" s="38"/>
      <c r="AK4005" s="38"/>
      <c r="AL4005" s="38"/>
      <c r="AM4005" s="38"/>
      <c r="AN4005" s="38"/>
      <c r="AO4005" s="38"/>
      <c r="AP4005" s="38"/>
      <c r="AQ4005" s="38"/>
      <c r="AR4005" s="38"/>
      <c r="AS4005" s="38"/>
      <c r="AT4005" s="38"/>
      <c r="AU4005" s="38"/>
      <c r="AV4005" s="38"/>
      <c r="AW4005" s="38"/>
      <c r="AX4005" s="38"/>
      <c r="AY4005" s="38"/>
      <c r="AZ4005" s="38"/>
      <c r="BA4005" s="38"/>
      <c r="BB4005" s="38"/>
      <c r="BC4005" s="38"/>
      <c r="BD4005" s="38"/>
      <c r="BE4005" s="38"/>
      <c r="BF4005" s="38"/>
      <c r="BG4005" s="38"/>
      <c r="BH4005" s="38"/>
      <c r="BI4005" s="38"/>
      <c r="BJ4005" s="38"/>
      <c r="BK4005" s="38"/>
      <c r="BL4005" s="38"/>
      <c r="BM4005" s="38"/>
      <c r="BN4005" s="38"/>
      <c r="BO4005" s="38"/>
      <c r="BP4005" s="38"/>
      <c r="BQ4005" s="38"/>
    </row>
    <row r="4006">
      <c r="A4006" s="16"/>
      <c r="B4006" s="145"/>
      <c r="C4006" s="146"/>
      <c r="D4006" s="146"/>
      <c r="E4006" s="16"/>
      <c r="F4006" s="91"/>
      <c r="G4006" s="16"/>
      <c r="H4006" s="320" t="str">
        <f t="shared" si="424"/>
        <v/>
      </c>
      <c r="I4006" s="16"/>
      <c r="J4006" s="16"/>
      <c r="K4006" s="16"/>
      <c r="L4006" s="16"/>
      <c r="M4006" s="15"/>
      <c r="N4006" s="15"/>
      <c r="O4006" s="16"/>
      <c r="P4006" s="16"/>
      <c r="Q4006" s="16"/>
      <c r="R4006" s="16"/>
      <c r="S4006" s="37" t="str">
        <f>IFERROR(__xludf.DUMMYFUNCTION("if(not(iserror(index(split(C4006, "" ""),2))), index(split(C4006, "" ""),1),"""")"),"")</f>
        <v/>
      </c>
      <c r="T4006" s="315" t="str">
        <f>IFERROR(__xludf.DUMMYFUNCTION("if(S4006="""",C4006,if(not(iserror(index(split(C4006, "" ""),3))), index(split(C4006, "" ""),3),index(split(C4006, "" ""),2)))"),"")</f>
        <v/>
      </c>
      <c r="U4006" s="38" t="b">
        <f t="shared" si="423"/>
        <v>0</v>
      </c>
      <c r="V4006" s="38"/>
      <c r="W4006" s="40"/>
      <c r="X4006" s="40"/>
      <c r="Y4006" s="40"/>
      <c r="Z4006" s="38"/>
      <c r="AA4006" s="38"/>
      <c r="AB4006" s="38"/>
      <c r="AC4006" s="38"/>
      <c r="AD4006" s="38"/>
      <c r="AE4006" s="38"/>
      <c r="AF4006" s="38"/>
      <c r="AG4006" s="38"/>
      <c r="AH4006" s="38"/>
      <c r="AI4006" s="38"/>
      <c r="AJ4006" s="38"/>
      <c r="AK4006" s="38"/>
      <c r="AL4006" s="38"/>
      <c r="AM4006" s="38"/>
      <c r="AN4006" s="38"/>
      <c r="AO4006" s="38"/>
      <c r="AP4006" s="38"/>
      <c r="AQ4006" s="38"/>
      <c r="AR4006" s="38"/>
      <c r="AS4006" s="38"/>
      <c r="AT4006" s="38"/>
      <c r="AU4006" s="38"/>
      <c r="AV4006" s="38"/>
      <c r="AW4006" s="38"/>
      <c r="AX4006" s="38"/>
      <c r="AY4006" s="38"/>
      <c r="AZ4006" s="38"/>
      <c r="BA4006" s="38"/>
      <c r="BB4006" s="38"/>
      <c r="BC4006" s="38"/>
      <c r="BD4006" s="38"/>
      <c r="BE4006" s="38"/>
      <c r="BF4006" s="38"/>
      <c r="BG4006" s="38"/>
      <c r="BH4006" s="38"/>
      <c r="BI4006" s="38"/>
      <c r="BJ4006" s="38"/>
      <c r="BK4006" s="38"/>
      <c r="BL4006" s="38"/>
      <c r="BM4006" s="38"/>
      <c r="BN4006" s="38"/>
      <c r="BO4006" s="38"/>
      <c r="BP4006" s="38"/>
      <c r="BQ4006" s="38"/>
    </row>
    <row r="4007">
      <c r="A4007" s="16"/>
      <c r="B4007" s="145"/>
      <c r="C4007" s="146"/>
      <c r="D4007" s="146"/>
      <c r="E4007" s="16"/>
      <c r="F4007" s="91"/>
      <c r="G4007" s="16"/>
      <c r="H4007" s="320" t="str">
        <f t="shared" si="424"/>
        <v/>
      </c>
      <c r="I4007" s="16"/>
      <c r="J4007" s="16"/>
      <c r="K4007" s="16"/>
      <c r="L4007" s="16"/>
      <c r="M4007" s="15"/>
      <c r="N4007" s="15"/>
      <c r="O4007" s="16"/>
      <c r="P4007" s="16"/>
      <c r="Q4007" s="16"/>
      <c r="R4007" s="16"/>
      <c r="S4007" s="37" t="str">
        <f>IFERROR(__xludf.DUMMYFUNCTION("if(not(iserror(index(split(C4007, "" ""),2))), index(split(C4007, "" ""),1),"""")"),"")</f>
        <v/>
      </c>
      <c r="T4007" s="315" t="str">
        <f>IFERROR(__xludf.DUMMYFUNCTION("if(S4007="""",C4007,if(not(iserror(index(split(C4007, "" ""),3))), index(split(C4007, "" ""),3),index(split(C4007, "" ""),2)))"),"")</f>
        <v/>
      </c>
      <c r="U4007" s="38" t="b">
        <f t="shared" si="423"/>
        <v>0</v>
      </c>
      <c r="V4007" s="38"/>
      <c r="W4007" s="40"/>
      <c r="X4007" s="40"/>
      <c r="Y4007" s="40"/>
      <c r="Z4007" s="38"/>
      <c r="AA4007" s="38"/>
      <c r="AB4007" s="38"/>
      <c r="AC4007" s="38"/>
      <c r="AD4007" s="38"/>
      <c r="AE4007" s="38"/>
      <c r="AF4007" s="38"/>
      <c r="AG4007" s="38"/>
      <c r="AH4007" s="38"/>
      <c r="AI4007" s="38"/>
      <c r="AJ4007" s="38"/>
      <c r="AK4007" s="38"/>
      <c r="AL4007" s="38"/>
      <c r="AM4007" s="38"/>
      <c r="AN4007" s="38"/>
      <c r="AO4007" s="38"/>
      <c r="AP4007" s="38"/>
      <c r="AQ4007" s="38"/>
      <c r="AR4007" s="38"/>
      <c r="AS4007" s="38"/>
      <c r="AT4007" s="38"/>
      <c r="AU4007" s="38"/>
      <c r="AV4007" s="38"/>
      <c r="AW4007" s="38"/>
      <c r="AX4007" s="38"/>
      <c r="AY4007" s="38"/>
      <c r="AZ4007" s="38"/>
      <c r="BA4007" s="38"/>
      <c r="BB4007" s="38"/>
      <c r="BC4007" s="38"/>
      <c r="BD4007" s="38"/>
      <c r="BE4007" s="38"/>
      <c r="BF4007" s="38"/>
      <c r="BG4007" s="38"/>
      <c r="BH4007" s="38"/>
      <c r="BI4007" s="38"/>
      <c r="BJ4007" s="38"/>
      <c r="BK4007" s="38"/>
      <c r="BL4007" s="38"/>
      <c r="BM4007" s="38"/>
      <c r="BN4007" s="38"/>
      <c r="BO4007" s="38"/>
      <c r="BP4007" s="38"/>
      <c r="BQ4007" s="38"/>
    </row>
    <row r="4008">
      <c r="A4008" s="16"/>
      <c r="B4008" s="145"/>
      <c r="C4008" s="146"/>
      <c r="D4008" s="146"/>
      <c r="E4008" s="16"/>
      <c r="F4008" s="91"/>
      <c r="G4008" s="16"/>
      <c r="H4008" s="320" t="str">
        <f t="shared" si="424"/>
        <v/>
      </c>
      <c r="I4008" s="16"/>
      <c r="J4008" s="16"/>
      <c r="K4008" s="16"/>
      <c r="L4008" s="16"/>
      <c r="M4008" s="15"/>
      <c r="N4008" s="15"/>
      <c r="O4008" s="16"/>
      <c r="P4008" s="16"/>
      <c r="Q4008" s="16"/>
      <c r="R4008" s="16"/>
      <c r="S4008" s="37" t="str">
        <f>IFERROR(__xludf.DUMMYFUNCTION("if(not(iserror(index(split(C4008, "" ""),2))), index(split(C4008, "" ""),1),"""")"),"")</f>
        <v/>
      </c>
      <c r="T4008" s="315" t="str">
        <f>IFERROR(__xludf.DUMMYFUNCTION("if(S4008="""",C4008,if(not(iserror(index(split(C4008, "" ""),3))), index(split(C4008, "" ""),3),index(split(C4008, "" ""),2)))"),"")</f>
        <v/>
      </c>
      <c r="U4008" s="38" t="b">
        <f t="shared" si="423"/>
        <v>0</v>
      </c>
      <c r="V4008" s="38"/>
      <c r="W4008" s="40"/>
      <c r="X4008" s="40"/>
      <c r="Y4008" s="40"/>
      <c r="Z4008" s="38"/>
      <c r="AA4008" s="38"/>
      <c r="AB4008" s="38"/>
      <c r="AC4008" s="38"/>
      <c r="AD4008" s="38"/>
      <c r="AE4008" s="38"/>
      <c r="AF4008" s="38"/>
      <c r="AG4008" s="38"/>
      <c r="AH4008" s="38"/>
      <c r="AI4008" s="38"/>
      <c r="AJ4008" s="38"/>
      <c r="AK4008" s="38"/>
      <c r="AL4008" s="38"/>
      <c r="AM4008" s="38"/>
      <c r="AN4008" s="38"/>
      <c r="AO4008" s="38"/>
      <c r="AP4008" s="38"/>
      <c r="AQ4008" s="38"/>
      <c r="AR4008" s="38"/>
      <c r="AS4008" s="38"/>
      <c r="AT4008" s="38"/>
      <c r="AU4008" s="38"/>
      <c r="AV4008" s="38"/>
      <c r="AW4008" s="38"/>
      <c r="AX4008" s="38"/>
      <c r="AY4008" s="38"/>
      <c r="AZ4008" s="38"/>
      <c r="BA4008" s="38"/>
      <c r="BB4008" s="38"/>
      <c r="BC4008" s="38"/>
      <c r="BD4008" s="38"/>
      <c r="BE4008" s="38"/>
      <c r="BF4008" s="38"/>
      <c r="BG4008" s="38"/>
      <c r="BH4008" s="38"/>
      <c r="BI4008" s="38"/>
      <c r="BJ4008" s="38"/>
      <c r="BK4008" s="38"/>
      <c r="BL4008" s="38"/>
      <c r="BM4008" s="38"/>
      <c r="BN4008" s="38"/>
      <c r="BO4008" s="38"/>
      <c r="BP4008" s="38"/>
      <c r="BQ4008" s="38"/>
    </row>
    <row r="4009">
      <c r="A4009" s="16"/>
      <c r="B4009" s="145"/>
      <c r="C4009" s="146"/>
      <c r="D4009" s="146"/>
      <c r="E4009" s="16"/>
      <c r="F4009" s="91"/>
      <c r="G4009" s="16"/>
      <c r="H4009" s="320" t="str">
        <f t="shared" si="424"/>
        <v/>
      </c>
      <c r="I4009" s="16"/>
      <c r="J4009" s="16"/>
      <c r="K4009" s="16"/>
      <c r="L4009" s="16"/>
      <c r="M4009" s="15"/>
      <c r="N4009" s="15"/>
      <c r="O4009" s="16"/>
      <c r="P4009" s="16"/>
      <c r="Q4009" s="16"/>
      <c r="R4009" s="16"/>
      <c r="S4009" s="37" t="str">
        <f>IFERROR(__xludf.DUMMYFUNCTION("if(not(iserror(index(split(C4009, "" ""),2))), index(split(C4009, "" ""),1),"""")"),"")</f>
        <v/>
      </c>
      <c r="T4009" s="315" t="str">
        <f>IFERROR(__xludf.DUMMYFUNCTION("if(S4009="""",C4009,if(not(iserror(index(split(C4009, "" ""),3))), index(split(C4009, "" ""),3),index(split(C4009, "" ""),2)))"),"")</f>
        <v/>
      </c>
      <c r="U4009" s="38" t="b">
        <f t="shared" si="423"/>
        <v>0</v>
      </c>
      <c r="V4009" s="38"/>
      <c r="W4009" s="40"/>
      <c r="X4009" s="40"/>
      <c r="Y4009" s="40"/>
      <c r="Z4009" s="38"/>
      <c r="AA4009" s="38"/>
      <c r="AB4009" s="38"/>
      <c r="AC4009" s="38"/>
      <c r="AD4009" s="38"/>
      <c r="AE4009" s="38"/>
      <c r="AF4009" s="38"/>
      <c r="AG4009" s="38"/>
      <c r="AH4009" s="38"/>
      <c r="AI4009" s="38"/>
      <c r="AJ4009" s="38"/>
      <c r="AK4009" s="38"/>
      <c r="AL4009" s="38"/>
      <c r="AM4009" s="38"/>
      <c r="AN4009" s="38"/>
      <c r="AO4009" s="38"/>
      <c r="AP4009" s="38"/>
      <c r="AQ4009" s="38"/>
      <c r="AR4009" s="38"/>
      <c r="AS4009" s="38"/>
      <c r="AT4009" s="38"/>
      <c r="AU4009" s="38"/>
      <c r="AV4009" s="38"/>
      <c r="AW4009" s="38"/>
      <c r="AX4009" s="38"/>
      <c r="AY4009" s="38"/>
      <c r="AZ4009" s="38"/>
      <c r="BA4009" s="38"/>
      <c r="BB4009" s="38"/>
      <c r="BC4009" s="38"/>
      <c r="BD4009" s="38"/>
      <c r="BE4009" s="38"/>
      <c r="BF4009" s="38"/>
      <c r="BG4009" s="38"/>
      <c r="BH4009" s="38"/>
      <c r="BI4009" s="38"/>
      <c r="BJ4009" s="38"/>
      <c r="BK4009" s="38"/>
      <c r="BL4009" s="38"/>
      <c r="BM4009" s="38"/>
      <c r="BN4009" s="38"/>
      <c r="BO4009" s="38"/>
      <c r="BP4009" s="38"/>
      <c r="BQ4009" s="38"/>
    </row>
    <row r="4010">
      <c r="A4010" s="16"/>
      <c r="B4010" s="145"/>
      <c r="C4010" s="146"/>
      <c r="D4010" s="146"/>
      <c r="E4010" s="16"/>
      <c r="F4010" s="91"/>
      <c r="G4010" s="16"/>
      <c r="H4010" s="320" t="str">
        <f t="shared" si="424"/>
        <v/>
      </c>
      <c r="I4010" s="16"/>
      <c r="J4010" s="16"/>
      <c r="K4010" s="16"/>
      <c r="L4010" s="16"/>
      <c r="M4010" s="15"/>
      <c r="N4010" s="15"/>
      <c r="O4010" s="16"/>
      <c r="P4010" s="16"/>
      <c r="Q4010" s="16"/>
      <c r="R4010" s="16"/>
      <c r="S4010" s="37" t="str">
        <f>IFERROR(__xludf.DUMMYFUNCTION("if(not(iserror(index(split(C4010, "" ""),2))), index(split(C4010, "" ""),1),"""")"),"")</f>
        <v/>
      </c>
      <c r="T4010" s="315" t="str">
        <f>IFERROR(__xludf.DUMMYFUNCTION("if(S4010="""",C4010,if(not(iserror(index(split(C4010, "" ""),3))), index(split(C4010, "" ""),3),index(split(C4010, "" ""),2)))"),"")</f>
        <v/>
      </c>
      <c r="U4010" s="38" t="b">
        <f t="shared" si="423"/>
        <v>0</v>
      </c>
      <c r="V4010" s="38"/>
      <c r="W4010" s="40"/>
      <c r="X4010" s="40"/>
      <c r="Y4010" s="40"/>
      <c r="Z4010" s="38"/>
      <c r="AA4010" s="38"/>
      <c r="AB4010" s="38"/>
      <c r="AC4010" s="38"/>
      <c r="AD4010" s="38"/>
      <c r="AE4010" s="38"/>
      <c r="AF4010" s="38"/>
      <c r="AG4010" s="38"/>
      <c r="AH4010" s="38"/>
      <c r="AI4010" s="38"/>
      <c r="AJ4010" s="38"/>
      <c r="AK4010" s="38"/>
      <c r="AL4010" s="38"/>
      <c r="AM4010" s="38"/>
      <c r="AN4010" s="38"/>
      <c r="AO4010" s="38"/>
      <c r="AP4010" s="38"/>
      <c r="AQ4010" s="38"/>
      <c r="AR4010" s="38"/>
      <c r="AS4010" s="38"/>
      <c r="AT4010" s="38"/>
      <c r="AU4010" s="38"/>
      <c r="AV4010" s="38"/>
      <c r="AW4010" s="38"/>
      <c r="AX4010" s="38"/>
      <c r="AY4010" s="38"/>
      <c r="AZ4010" s="38"/>
      <c r="BA4010" s="38"/>
      <c r="BB4010" s="38"/>
      <c r="BC4010" s="38"/>
      <c r="BD4010" s="38"/>
      <c r="BE4010" s="38"/>
      <c r="BF4010" s="38"/>
      <c r="BG4010" s="38"/>
      <c r="BH4010" s="38"/>
      <c r="BI4010" s="38"/>
      <c r="BJ4010" s="38"/>
      <c r="BK4010" s="38"/>
      <c r="BL4010" s="38"/>
      <c r="BM4010" s="38"/>
      <c r="BN4010" s="38"/>
      <c r="BO4010" s="38"/>
      <c r="BP4010" s="38"/>
      <c r="BQ4010" s="38"/>
    </row>
    <row r="4011">
      <c r="A4011" s="16"/>
      <c r="B4011" s="145"/>
      <c r="C4011" s="146"/>
      <c r="D4011" s="146"/>
      <c r="E4011" s="16"/>
      <c r="F4011" s="91"/>
      <c r="G4011" s="16"/>
      <c r="H4011" s="320" t="str">
        <f t="shared" si="424"/>
        <v/>
      </c>
      <c r="I4011" s="16"/>
      <c r="J4011" s="16"/>
      <c r="K4011" s="16"/>
      <c r="L4011" s="16"/>
      <c r="M4011" s="15"/>
      <c r="N4011" s="15"/>
      <c r="O4011" s="16"/>
      <c r="P4011" s="16"/>
      <c r="Q4011" s="16"/>
      <c r="R4011" s="16"/>
      <c r="S4011" s="37" t="str">
        <f>IFERROR(__xludf.DUMMYFUNCTION("if(not(iserror(index(split(C4011, "" ""),2))), index(split(C4011, "" ""),1),"""")"),"")</f>
        <v/>
      </c>
      <c r="T4011" s="315" t="str">
        <f>IFERROR(__xludf.DUMMYFUNCTION("if(S4011="""",C4011,if(not(iserror(index(split(C4011, "" ""),3))), index(split(C4011, "" ""),3),index(split(C4011, "" ""),2)))"),"")</f>
        <v/>
      </c>
      <c r="U4011" s="38" t="b">
        <f t="shared" si="423"/>
        <v>0</v>
      </c>
      <c r="V4011" s="38"/>
      <c r="W4011" s="40"/>
      <c r="X4011" s="40"/>
      <c r="Y4011" s="40"/>
      <c r="Z4011" s="38"/>
      <c r="AA4011" s="38"/>
      <c r="AB4011" s="38"/>
      <c r="AC4011" s="38"/>
      <c r="AD4011" s="38"/>
      <c r="AE4011" s="38"/>
      <c r="AF4011" s="38"/>
      <c r="AG4011" s="38"/>
      <c r="AH4011" s="38"/>
      <c r="AI4011" s="38"/>
      <c r="AJ4011" s="38"/>
      <c r="AK4011" s="38"/>
      <c r="AL4011" s="38"/>
      <c r="AM4011" s="38"/>
      <c r="AN4011" s="38"/>
      <c r="AO4011" s="38"/>
      <c r="AP4011" s="38"/>
      <c r="AQ4011" s="38"/>
      <c r="AR4011" s="38"/>
      <c r="AS4011" s="38"/>
      <c r="AT4011" s="38"/>
      <c r="AU4011" s="38"/>
      <c r="AV4011" s="38"/>
      <c r="AW4011" s="38"/>
      <c r="AX4011" s="38"/>
      <c r="AY4011" s="38"/>
      <c r="AZ4011" s="38"/>
      <c r="BA4011" s="38"/>
      <c r="BB4011" s="38"/>
      <c r="BC4011" s="38"/>
      <c r="BD4011" s="38"/>
      <c r="BE4011" s="38"/>
      <c r="BF4011" s="38"/>
      <c r="BG4011" s="38"/>
      <c r="BH4011" s="38"/>
      <c r="BI4011" s="38"/>
      <c r="BJ4011" s="38"/>
      <c r="BK4011" s="38"/>
      <c r="BL4011" s="38"/>
      <c r="BM4011" s="38"/>
      <c r="BN4011" s="38"/>
      <c r="BO4011" s="38"/>
      <c r="BP4011" s="38"/>
      <c r="BQ4011" s="38"/>
    </row>
    <row r="4012">
      <c r="A4012" s="16"/>
      <c r="B4012" s="145"/>
      <c r="C4012" s="146"/>
      <c r="D4012" s="146"/>
      <c r="E4012" s="16"/>
      <c r="F4012" s="91"/>
      <c r="G4012" s="16"/>
      <c r="H4012" s="320" t="str">
        <f t="shared" si="424"/>
        <v/>
      </c>
      <c r="I4012" s="16"/>
      <c r="J4012" s="16"/>
      <c r="K4012" s="16"/>
      <c r="L4012" s="16"/>
      <c r="M4012" s="15"/>
      <c r="N4012" s="15"/>
      <c r="O4012" s="16"/>
      <c r="P4012" s="16"/>
      <c r="Q4012" s="16"/>
      <c r="R4012" s="16"/>
      <c r="S4012" s="37" t="str">
        <f>IFERROR(__xludf.DUMMYFUNCTION("if(not(iserror(index(split(C4012, "" ""),2))), index(split(C4012, "" ""),1),"""")"),"")</f>
        <v/>
      </c>
      <c r="T4012" s="315" t="str">
        <f>IFERROR(__xludf.DUMMYFUNCTION("if(S4012="""",C4012,if(not(iserror(index(split(C4012, "" ""),3))), index(split(C4012, "" ""),3),index(split(C4012, "" ""),2)))"),"")</f>
        <v/>
      </c>
      <c r="U4012" s="38" t="b">
        <f t="shared" si="423"/>
        <v>0</v>
      </c>
      <c r="V4012" s="38"/>
      <c r="W4012" s="40"/>
      <c r="X4012" s="40"/>
      <c r="Y4012" s="40"/>
      <c r="Z4012" s="38"/>
      <c r="AA4012" s="38"/>
      <c r="AB4012" s="38"/>
      <c r="AC4012" s="38"/>
      <c r="AD4012" s="38"/>
      <c r="AE4012" s="38"/>
      <c r="AF4012" s="38"/>
      <c r="AG4012" s="38"/>
      <c r="AH4012" s="38"/>
      <c r="AI4012" s="38"/>
      <c r="AJ4012" s="38"/>
      <c r="AK4012" s="38"/>
      <c r="AL4012" s="38"/>
      <c r="AM4012" s="38"/>
      <c r="AN4012" s="38"/>
      <c r="AO4012" s="38"/>
      <c r="AP4012" s="38"/>
      <c r="AQ4012" s="38"/>
      <c r="AR4012" s="38"/>
      <c r="AS4012" s="38"/>
      <c r="AT4012" s="38"/>
      <c r="AU4012" s="38"/>
      <c r="AV4012" s="38"/>
      <c r="AW4012" s="38"/>
      <c r="AX4012" s="38"/>
      <c r="AY4012" s="38"/>
      <c r="AZ4012" s="38"/>
      <c r="BA4012" s="38"/>
      <c r="BB4012" s="38"/>
      <c r="BC4012" s="38"/>
      <c r="BD4012" s="38"/>
      <c r="BE4012" s="38"/>
      <c r="BF4012" s="38"/>
      <c r="BG4012" s="38"/>
      <c r="BH4012" s="38"/>
      <c r="BI4012" s="38"/>
      <c r="BJ4012" s="38"/>
      <c r="BK4012" s="38"/>
      <c r="BL4012" s="38"/>
      <c r="BM4012" s="38"/>
      <c r="BN4012" s="38"/>
      <c r="BO4012" s="38"/>
      <c r="BP4012" s="38"/>
      <c r="BQ4012" s="38"/>
    </row>
    <row r="4013">
      <c r="A4013" s="16"/>
      <c r="B4013" s="145"/>
      <c r="C4013" s="146"/>
      <c r="D4013" s="146"/>
      <c r="E4013" s="16"/>
      <c r="F4013" s="91"/>
      <c r="G4013" s="16"/>
      <c r="H4013" s="320" t="str">
        <f t="shared" si="424"/>
        <v/>
      </c>
      <c r="I4013" s="16"/>
      <c r="J4013" s="16"/>
      <c r="K4013" s="16"/>
      <c r="L4013" s="16"/>
      <c r="M4013" s="15"/>
      <c r="N4013" s="15"/>
      <c r="O4013" s="16"/>
      <c r="P4013" s="16"/>
      <c r="Q4013" s="16"/>
      <c r="R4013" s="16"/>
      <c r="S4013" s="37" t="str">
        <f>IFERROR(__xludf.DUMMYFUNCTION("if(not(iserror(index(split(C4013, "" ""),2))), index(split(C4013, "" ""),1),"""")"),"")</f>
        <v/>
      </c>
      <c r="T4013" s="315" t="str">
        <f>IFERROR(__xludf.DUMMYFUNCTION("if(S4013="""",C4013,if(not(iserror(index(split(C4013, "" ""),3))), index(split(C4013, "" ""),3),index(split(C4013, "" ""),2)))"),"")</f>
        <v/>
      </c>
      <c r="U4013" s="38" t="b">
        <f t="shared" si="423"/>
        <v>0</v>
      </c>
      <c r="V4013" s="38"/>
      <c r="W4013" s="40"/>
      <c r="X4013" s="40"/>
      <c r="Y4013" s="40"/>
      <c r="Z4013" s="38"/>
      <c r="AA4013" s="38"/>
      <c r="AB4013" s="38"/>
      <c r="AC4013" s="38"/>
      <c r="AD4013" s="38"/>
      <c r="AE4013" s="38"/>
      <c r="AF4013" s="38"/>
      <c r="AG4013" s="38"/>
      <c r="AH4013" s="38"/>
      <c r="AI4013" s="38"/>
      <c r="AJ4013" s="38"/>
      <c r="AK4013" s="38"/>
      <c r="AL4013" s="38"/>
      <c r="AM4013" s="38"/>
      <c r="AN4013" s="38"/>
      <c r="AO4013" s="38"/>
      <c r="AP4013" s="38"/>
      <c r="AQ4013" s="38"/>
      <c r="AR4013" s="38"/>
      <c r="AS4013" s="38"/>
      <c r="AT4013" s="38"/>
      <c r="AU4013" s="38"/>
      <c r="AV4013" s="38"/>
      <c r="AW4013" s="38"/>
      <c r="AX4013" s="38"/>
      <c r="AY4013" s="38"/>
      <c r="AZ4013" s="38"/>
      <c r="BA4013" s="38"/>
      <c r="BB4013" s="38"/>
      <c r="BC4013" s="38"/>
      <c r="BD4013" s="38"/>
      <c r="BE4013" s="38"/>
      <c r="BF4013" s="38"/>
      <c r="BG4013" s="38"/>
      <c r="BH4013" s="38"/>
      <c r="BI4013" s="38"/>
      <c r="BJ4013" s="38"/>
      <c r="BK4013" s="38"/>
      <c r="BL4013" s="38"/>
      <c r="BM4013" s="38"/>
      <c r="BN4013" s="38"/>
      <c r="BO4013" s="38"/>
      <c r="BP4013" s="38"/>
      <c r="BQ4013" s="38"/>
    </row>
    <row r="4014">
      <c r="A4014" s="16"/>
      <c r="B4014" s="145"/>
      <c r="C4014" s="146"/>
      <c r="D4014" s="146"/>
      <c r="E4014" s="16"/>
      <c r="F4014" s="91"/>
      <c r="G4014" s="16"/>
      <c r="H4014" s="320" t="str">
        <f t="shared" si="424"/>
        <v/>
      </c>
      <c r="I4014" s="16"/>
      <c r="J4014" s="16"/>
      <c r="K4014" s="16"/>
      <c r="L4014" s="16"/>
      <c r="M4014" s="15"/>
      <c r="N4014" s="15"/>
      <c r="O4014" s="16"/>
      <c r="P4014" s="16"/>
      <c r="Q4014" s="16"/>
      <c r="R4014" s="16"/>
      <c r="S4014" s="37" t="str">
        <f>IFERROR(__xludf.DUMMYFUNCTION("if(not(iserror(index(split(C4014, "" ""),2))), index(split(C4014, "" ""),1),"""")"),"")</f>
        <v/>
      </c>
      <c r="T4014" s="315" t="str">
        <f>IFERROR(__xludf.DUMMYFUNCTION("if(S4014="""",C4014,if(not(iserror(index(split(C4014, "" ""),3))), index(split(C4014, "" ""),3),index(split(C4014, "" ""),2)))"),"")</f>
        <v/>
      </c>
      <c r="U4014" s="38" t="b">
        <f t="shared" si="423"/>
        <v>0</v>
      </c>
      <c r="V4014" s="38"/>
      <c r="W4014" s="40"/>
      <c r="X4014" s="40"/>
      <c r="Y4014" s="40"/>
      <c r="Z4014" s="38"/>
      <c r="AA4014" s="38"/>
      <c r="AB4014" s="38"/>
      <c r="AC4014" s="38"/>
      <c r="AD4014" s="38"/>
      <c r="AE4014" s="38"/>
      <c r="AF4014" s="38"/>
      <c r="AG4014" s="38"/>
      <c r="AH4014" s="38"/>
      <c r="AI4014" s="38"/>
      <c r="AJ4014" s="38"/>
      <c r="AK4014" s="38"/>
      <c r="AL4014" s="38"/>
      <c r="AM4014" s="38"/>
      <c r="AN4014" s="38"/>
      <c r="AO4014" s="38"/>
      <c r="AP4014" s="38"/>
      <c r="AQ4014" s="38"/>
      <c r="AR4014" s="38"/>
      <c r="AS4014" s="38"/>
      <c r="AT4014" s="38"/>
      <c r="AU4014" s="38"/>
      <c r="AV4014" s="38"/>
      <c r="AW4014" s="38"/>
      <c r="AX4014" s="38"/>
      <c r="AY4014" s="38"/>
      <c r="AZ4014" s="38"/>
      <c r="BA4014" s="38"/>
      <c r="BB4014" s="38"/>
      <c r="BC4014" s="38"/>
      <c r="BD4014" s="38"/>
      <c r="BE4014" s="38"/>
      <c r="BF4014" s="38"/>
      <c r="BG4014" s="38"/>
      <c r="BH4014" s="38"/>
      <c r="BI4014" s="38"/>
      <c r="BJ4014" s="38"/>
      <c r="BK4014" s="38"/>
      <c r="BL4014" s="38"/>
      <c r="BM4014" s="38"/>
      <c r="BN4014" s="38"/>
      <c r="BO4014" s="38"/>
      <c r="BP4014" s="38"/>
      <c r="BQ4014" s="38"/>
    </row>
    <row r="4015">
      <c r="A4015" s="16"/>
      <c r="B4015" s="145"/>
      <c r="C4015" s="146"/>
      <c r="D4015" s="146"/>
      <c r="E4015" s="16"/>
      <c r="F4015" s="91"/>
      <c r="G4015" s="16"/>
      <c r="H4015" s="320" t="str">
        <f t="shared" si="424"/>
        <v/>
      </c>
      <c r="I4015" s="16"/>
      <c r="J4015" s="16"/>
      <c r="K4015" s="16"/>
      <c r="L4015" s="16"/>
      <c r="M4015" s="15"/>
      <c r="N4015" s="15"/>
      <c r="O4015" s="16"/>
      <c r="P4015" s="16"/>
      <c r="Q4015" s="16"/>
      <c r="R4015" s="16"/>
      <c r="S4015" s="37" t="str">
        <f>IFERROR(__xludf.DUMMYFUNCTION("if(not(iserror(index(split(C4015, "" ""),2))), index(split(C4015, "" ""),1),"""")"),"")</f>
        <v/>
      </c>
      <c r="T4015" s="315" t="str">
        <f>IFERROR(__xludf.DUMMYFUNCTION("if(S4015="""",C4015,if(not(iserror(index(split(C4015, "" ""),3))), index(split(C4015, "" ""),3),index(split(C4015, "" ""),2)))"),"")</f>
        <v/>
      </c>
      <c r="U4015" s="38" t="b">
        <f t="shared" si="423"/>
        <v>0</v>
      </c>
      <c r="V4015" s="38"/>
      <c r="W4015" s="40"/>
      <c r="X4015" s="40"/>
      <c r="Y4015" s="40"/>
      <c r="Z4015" s="38"/>
      <c r="AA4015" s="38"/>
      <c r="AB4015" s="38"/>
      <c r="AC4015" s="38"/>
      <c r="AD4015" s="38"/>
      <c r="AE4015" s="38"/>
      <c r="AF4015" s="38"/>
      <c r="AG4015" s="38"/>
      <c r="AH4015" s="38"/>
      <c r="AI4015" s="38"/>
      <c r="AJ4015" s="38"/>
      <c r="AK4015" s="38"/>
      <c r="AL4015" s="38"/>
      <c r="AM4015" s="38"/>
      <c r="AN4015" s="38"/>
      <c r="AO4015" s="38"/>
      <c r="AP4015" s="38"/>
      <c r="AQ4015" s="38"/>
      <c r="AR4015" s="38"/>
      <c r="AS4015" s="38"/>
      <c r="AT4015" s="38"/>
      <c r="AU4015" s="38"/>
      <c r="AV4015" s="38"/>
      <c r="AW4015" s="38"/>
      <c r="AX4015" s="38"/>
      <c r="AY4015" s="38"/>
      <c r="AZ4015" s="38"/>
      <c r="BA4015" s="38"/>
      <c r="BB4015" s="38"/>
      <c r="BC4015" s="38"/>
      <c r="BD4015" s="38"/>
      <c r="BE4015" s="38"/>
      <c r="BF4015" s="38"/>
      <c r="BG4015" s="38"/>
      <c r="BH4015" s="38"/>
      <c r="BI4015" s="38"/>
      <c r="BJ4015" s="38"/>
      <c r="BK4015" s="38"/>
      <c r="BL4015" s="38"/>
      <c r="BM4015" s="38"/>
      <c r="BN4015" s="38"/>
      <c r="BO4015" s="38"/>
      <c r="BP4015" s="38"/>
      <c r="BQ4015" s="38"/>
    </row>
    <row r="4016">
      <c r="A4016" s="16"/>
      <c r="B4016" s="145"/>
      <c r="C4016" s="146"/>
      <c r="D4016" s="146"/>
      <c r="E4016" s="16"/>
      <c r="F4016" s="91"/>
      <c r="G4016" s="16"/>
      <c r="H4016" s="320" t="str">
        <f t="shared" si="424"/>
        <v/>
      </c>
      <c r="I4016" s="16"/>
      <c r="J4016" s="16"/>
      <c r="K4016" s="16"/>
      <c r="L4016" s="16"/>
      <c r="M4016" s="15"/>
      <c r="N4016" s="15"/>
      <c r="O4016" s="16"/>
      <c r="P4016" s="16"/>
      <c r="Q4016" s="16"/>
      <c r="R4016" s="16"/>
      <c r="S4016" s="37" t="str">
        <f>IFERROR(__xludf.DUMMYFUNCTION("if(not(iserror(index(split(C4016, "" ""),2))), index(split(C4016, "" ""),1),"""")"),"")</f>
        <v/>
      </c>
      <c r="T4016" s="315" t="str">
        <f>IFERROR(__xludf.DUMMYFUNCTION("if(S4016="""",C4016,if(not(iserror(index(split(C4016, "" ""),3))), index(split(C4016, "" ""),3),index(split(C4016, "" ""),2)))"),"")</f>
        <v/>
      </c>
      <c r="U4016" s="38" t="b">
        <f t="shared" si="423"/>
        <v>0</v>
      </c>
      <c r="V4016" s="38"/>
      <c r="W4016" s="40"/>
      <c r="X4016" s="40"/>
      <c r="Y4016" s="40"/>
      <c r="Z4016" s="38"/>
      <c r="AA4016" s="38"/>
      <c r="AB4016" s="38"/>
      <c r="AC4016" s="38"/>
      <c r="AD4016" s="38"/>
      <c r="AE4016" s="38"/>
      <c r="AF4016" s="38"/>
      <c r="AG4016" s="38"/>
      <c r="AH4016" s="38"/>
      <c r="AI4016" s="38"/>
      <c r="AJ4016" s="38"/>
      <c r="AK4016" s="38"/>
      <c r="AL4016" s="38"/>
      <c r="AM4016" s="38"/>
      <c r="AN4016" s="38"/>
      <c r="AO4016" s="38"/>
      <c r="AP4016" s="38"/>
      <c r="AQ4016" s="38"/>
      <c r="AR4016" s="38"/>
      <c r="AS4016" s="38"/>
      <c r="AT4016" s="38"/>
      <c r="AU4016" s="38"/>
      <c r="AV4016" s="38"/>
      <c r="AW4016" s="38"/>
      <c r="AX4016" s="38"/>
      <c r="AY4016" s="38"/>
      <c r="AZ4016" s="38"/>
      <c r="BA4016" s="38"/>
      <c r="BB4016" s="38"/>
      <c r="BC4016" s="38"/>
      <c r="BD4016" s="38"/>
      <c r="BE4016" s="38"/>
      <c r="BF4016" s="38"/>
      <c r="BG4016" s="38"/>
      <c r="BH4016" s="38"/>
      <c r="BI4016" s="38"/>
      <c r="BJ4016" s="38"/>
      <c r="BK4016" s="38"/>
      <c r="BL4016" s="38"/>
      <c r="BM4016" s="38"/>
      <c r="BN4016" s="38"/>
      <c r="BO4016" s="38"/>
      <c r="BP4016" s="38"/>
      <c r="BQ4016" s="38"/>
    </row>
    <row r="4017">
      <c r="A4017" s="16"/>
      <c r="B4017" s="145"/>
      <c r="C4017" s="146"/>
      <c r="D4017" s="146"/>
      <c r="E4017" s="16"/>
      <c r="F4017" s="91"/>
      <c r="G4017" s="16"/>
      <c r="H4017" s="320" t="str">
        <f t="shared" si="424"/>
        <v/>
      </c>
      <c r="I4017" s="16"/>
      <c r="J4017" s="16"/>
      <c r="K4017" s="16"/>
      <c r="L4017" s="16"/>
      <c r="M4017" s="15"/>
      <c r="N4017" s="15"/>
      <c r="O4017" s="16"/>
      <c r="P4017" s="16"/>
      <c r="Q4017" s="16"/>
      <c r="R4017" s="16"/>
      <c r="S4017" s="37" t="str">
        <f>IFERROR(__xludf.DUMMYFUNCTION("if(not(iserror(index(split(C4017, "" ""),2))), index(split(C4017, "" ""),1),"""")"),"")</f>
        <v/>
      </c>
      <c r="T4017" s="315" t="str">
        <f>IFERROR(__xludf.DUMMYFUNCTION("if(S4017="""",C4017,if(not(iserror(index(split(C4017, "" ""),3))), index(split(C4017, "" ""),3),index(split(C4017, "" ""),2)))"),"")</f>
        <v/>
      </c>
      <c r="U4017" s="38" t="b">
        <f t="shared" si="423"/>
        <v>0</v>
      </c>
      <c r="V4017" s="38"/>
      <c r="W4017" s="40"/>
      <c r="X4017" s="40"/>
      <c r="Y4017" s="40"/>
      <c r="Z4017" s="38"/>
      <c r="AA4017" s="38"/>
      <c r="AB4017" s="38"/>
      <c r="AC4017" s="38"/>
      <c r="AD4017" s="38"/>
      <c r="AE4017" s="38"/>
      <c r="AF4017" s="38"/>
      <c r="AG4017" s="38"/>
      <c r="AH4017" s="38"/>
      <c r="AI4017" s="38"/>
      <c r="AJ4017" s="38"/>
      <c r="AK4017" s="38"/>
      <c r="AL4017" s="38"/>
      <c r="AM4017" s="38"/>
      <c r="AN4017" s="38"/>
      <c r="AO4017" s="38"/>
      <c r="AP4017" s="38"/>
      <c r="AQ4017" s="38"/>
      <c r="AR4017" s="38"/>
      <c r="AS4017" s="38"/>
      <c r="AT4017" s="38"/>
      <c r="AU4017" s="38"/>
      <c r="AV4017" s="38"/>
      <c r="AW4017" s="38"/>
      <c r="AX4017" s="38"/>
      <c r="AY4017" s="38"/>
      <c r="AZ4017" s="38"/>
      <c r="BA4017" s="38"/>
      <c r="BB4017" s="38"/>
      <c r="BC4017" s="38"/>
      <c r="BD4017" s="38"/>
      <c r="BE4017" s="38"/>
      <c r="BF4017" s="38"/>
      <c r="BG4017" s="38"/>
      <c r="BH4017" s="38"/>
      <c r="BI4017" s="38"/>
      <c r="BJ4017" s="38"/>
      <c r="BK4017" s="38"/>
      <c r="BL4017" s="38"/>
      <c r="BM4017" s="38"/>
      <c r="BN4017" s="38"/>
      <c r="BO4017" s="38"/>
      <c r="BP4017" s="38"/>
      <c r="BQ4017" s="38"/>
    </row>
    <row r="4018">
      <c r="A4018" s="16"/>
      <c r="B4018" s="145"/>
      <c r="C4018" s="146"/>
      <c r="D4018" s="146"/>
      <c r="E4018" s="16"/>
      <c r="F4018" s="91"/>
      <c r="G4018" s="16"/>
      <c r="H4018" s="320" t="str">
        <f t="shared" si="424"/>
        <v/>
      </c>
      <c r="I4018" s="16"/>
      <c r="J4018" s="16"/>
      <c r="K4018" s="16"/>
      <c r="L4018" s="16"/>
      <c r="M4018" s="15"/>
      <c r="N4018" s="15"/>
      <c r="O4018" s="16"/>
      <c r="P4018" s="16"/>
      <c r="Q4018" s="16"/>
      <c r="R4018" s="16"/>
      <c r="S4018" s="37" t="str">
        <f>IFERROR(__xludf.DUMMYFUNCTION("if(not(iserror(index(split(C4018, "" ""),2))), index(split(C4018, "" ""),1),"""")"),"")</f>
        <v/>
      </c>
      <c r="T4018" s="315" t="str">
        <f>IFERROR(__xludf.DUMMYFUNCTION("if(S4018="""",C4018,if(not(iserror(index(split(C4018, "" ""),3))), index(split(C4018, "" ""),3),index(split(C4018, "" ""),2)))"),"")</f>
        <v/>
      </c>
      <c r="U4018" s="38" t="b">
        <f t="shared" si="423"/>
        <v>0</v>
      </c>
      <c r="V4018" s="38"/>
      <c r="W4018" s="40"/>
      <c r="X4018" s="40"/>
      <c r="Y4018" s="40"/>
      <c r="Z4018" s="38"/>
      <c r="AA4018" s="38"/>
      <c r="AB4018" s="38"/>
      <c r="AC4018" s="38"/>
      <c r="AD4018" s="38"/>
      <c r="AE4018" s="38"/>
      <c r="AF4018" s="38"/>
      <c r="AG4018" s="38"/>
      <c r="AH4018" s="38"/>
      <c r="AI4018" s="38"/>
      <c r="AJ4018" s="38"/>
      <c r="AK4018" s="38"/>
      <c r="AL4018" s="38"/>
      <c r="AM4018" s="38"/>
      <c r="AN4018" s="38"/>
      <c r="AO4018" s="38"/>
      <c r="AP4018" s="38"/>
      <c r="AQ4018" s="38"/>
      <c r="AR4018" s="38"/>
      <c r="AS4018" s="38"/>
      <c r="AT4018" s="38"/>
      <c r="AU4018" s="38"/>
      <c r="AV4018" s="38"/>
      <c r="AW4018" s="38"/>
      <c r="AX4018" s="38"/>
      <c r="AY4018" s="38"/>
      <c r="AZ4018" s="38"/>
      <c r="BA4018" s="38"/>
      <c r="BB4018" s="38"/>
      <c r="BC4018" s="38"/>
      <c r="BD4018" s="38"/>
      <c r="BE4018" s="38"/>
      <c r="BF4018" s="38"/>
      <c r="BG4018" s="38"/>
      <c r="BH4018" s="38"/>
      <c r="BI4018" s="38"/>
      <c r="BJ4018" s="38"/>
      <c r="BK4018" s="38"/>
      <c r="BL4018" s="38"/>
      <c r="BM4018" s="38"/>
      <c r="BN4018" s="38"/>
      <c r="BO4018" s="38"/>
      <c r="BP4018" s="38"/>
      <c r="BQ4018" s="38"/>
    </row>
    <row r="4019">
      <c r="A4019" s="16"/>
      <c r="B4019" s="145"/>
      <c r="C4019" s="146"/>
      <c r="D4019" s="146"/>
      <c r="E4019" s="16"/>
      <c r="F4019" s="91"/>
      <c r="G4019" s="16"/>
      <c r="H4019" s="320" t="str">
        <f t="shared" si="424"/>
        <v/>
      </c>
      <c r="I4019" s="16"/>
      <c r="J4019" s="16"/>
      <c r="K4019" s="16"/>
      <c r="L4019" s="16"/>
      <c r="M4019" s="15"/>
      <c r="N4019" s="15"/>
      <c r="O4019" s="16"/>
      <c r="P4019" s="16"/>
      <c r="Q4019" s="16"/>
      <c r="R4019" s="16"/>
      <c r="S4019" s="37" t="str">
        <f>IFERROR(__xludf.DUMMYFUNCTION("if(not(iserror(index(split(C4019, "" ""),2))), index(split(C4019, "" ""),1),"""")"),"")</f>
        <v/>
      </c>
      <c r="T4019" s="315" t="str">
        <f>IFERROR(__xludf.DUMMYFUNCTION("if(S4019="""",C4019,if(not(iserror(index(split(C4019, "" ""),3))), index(split(C4019, "" ""),3),index(split(C4019, "" ""),2)))"),"")</f>
        <v/>
      </c>
      <c r="U4019" s="38" t="b">
        <f t="shared" si="423"/>
        <v>0</v>
      </c>
      <c r="V4019" s="38"/>
      <c r="W4019" s="40"/>
      <c r="X4019" s="40"/>
      <c r="Y4019" s="40"/>
      <c r="Z4019" s="38"/>
      <c r="AA4019" s="38"/>
      <c r="AB4019" s="38"/>
      <c r="AC4019" s="38"/>
      <c r="AD4019" s="38"/>
      <c r="AE4019" s="38"/>
      <c r="AF4019" s="38"/>
      <c r="AG4019" s="38"/>
      <c r="AH4019" s="38"/>
      <c r="AI4019" s="38"/>
      <c r="AJ4019" s="38"/>
      <c r="AK4019" s="38"/>
      <c r="AL4019" s="38"/>
      <c r="AM4019" s="38"/>
      <c r="AN4019" s="38"/>
      <c r="AO4019" s="38"/>
      <c r="AP4019" s="38"/>
      <c r="AQ4019" s="38"/>
      <c r="AR4019" s="38"/>
      <c r="AS4019" s="38"/>
      <c r="AT4019" s="38"/>
      <c r="AU4019" s="38"/>
      <c r="AV4019" s="38"/>
      <c r="AW4019" s="38"/>
      <c r="AX4019" s="38"/>
      <c r="AY4019" s="38"/>
      <c r="AZ4019" s="38"/>
      <c r="BA4019" s="38"/>
      <c r="BB4019" s="38"/>
      <c r="BC4019" s="38"/>
      <c r="BD4019" s="38"/>
      <c r="BE4019" s="38"/>
      <c r="BF4019" s="38"/>
      <c r="BG4019" s="38"/>
      <c r="BH4019" s="38"/>
      <c r="BI4019" s="38"/>
      <c r="BJ4019" s="38"/>
      <c r="BK4019" s="38"/>
      <c r="BL4019" s="38"/>
      <c r="BM4019" s="38"/>
      <c r="BN4019" s="38"/>
      <c r="BO4019" s="38"/>
      <c r="BP4019" s="38"/>
      <c r="BQ4019" s="38"/>
    </row>
    <row r="4020">
      <c r="A4020" s="16"/>
      <c r="B4020" s="145"/>
      <c r="C4020" s="146"/>
      <c r="D4020" s="146"/>
      <c r="E4020" s="16"/>
      <c r="F4020" s="91"/>
      <c r="G4020" s="16"/>
      <c r="H4020" s="320" t="str">
        <f t="shared" si="424"/>
        <v/>
      </c>
      <c r="I4020" s="16"/>
      <c r="J4020" s="16"/>
      <c r="K4020" s="16"/>
      <c r="L4020" s="16"/>
      <c r="M4020" s="15"/>
      <c r="N4020" s="15"/>
      <c r="O4020" s="16"/>
      <c r="P4020" s="16"/>
      <c r="Q4020" s="16"/>
      <c r="R4020" s="16"/>
      <c r="S4020" s="37" t="str">
        <f>IFERROR(__xludf.DUMMYFUNCTION("if(not(iserror(index(split(C4020, "" ""),2))), index(split(C4020, "" ""),1),"""")"),"")</f>
        <v/>
      </c>
      <c r="T4020" s="315" t="str">
        <f>IFERROR(__xludf.DUMMYFUNCTION("if(S4020="""",C4020,if(not(iserror(index(split(C4020, "" ""),3))), index(split(C4020, "" ""),3),index(split(C4020, "" ""),2)))"),"")</f>
        <v/>
      </c>
      <c r="U4020" s="38" t="b">
        <f t="shared" si="423"/>
        <v>0</v>
      </c>
      <c r="V4020" s="38"/>
      <c r="W4020" s="40"/>
      <c r="X4020" s="40"/>
      <c r="Y4020" s="40"/>
      <c r="Z4020" s="38"/>
      <c r="AA4020" s="38"/>
      <c r="AB4020" s="38"/>
      <c r="AC4020" s="38"/>
      <c r="AD4020" s="38"/>
      <c r="AE4020" s="38"/>
      <c r="AF4020" s="38"/>
      <c r="AG4020" s="38"/>
      <c r="AH4020" s="38"/>
      <c r="AI4020" s="38"/>
      <c r="AJ4020" s="38"/>
      <c r="AK4020" s="38"/>
      <c r="AL4020" s="38"/>
      <c r="AM4020" s="38"/>
      <c r="AN4020" s="38"/>
      <c r="AO4020" s="38"/>
      <c r="AP4020" s="38"/>
      <c r="AQ4020" s="38"/>
      <c r="AR4020" s="38"/>
      <c r="AS4020" s="38"/>
      <c r="AT4020" s="38"/>
      <c r="AU4020" s="38"/>
      <c r="AV4020" s="38"/>
      <c r="AW4020" s="38"/>
      <c r="AX4020" s="38"/>
      <c r="AY4020" s="38"/>
      <c r="AZ4020" s="38"/>
      <c r="BA4020" s="38"/>
      <c r="BB4020" s="38"/>
      <c r="BC4020" s="38"/>
      <c r="BD4020" s="38"/>
      <c r="BE4020" s="38"/>
      <c r="BF4020" s="38"/>
      <c r="BG4020" s="38"/>
      <c r="BH4020" s="38"/>
      <c r="BI4020" s="38"/>
      <c r="BJ4020" s="38"/>
      <c r="BK4020" s="38"/>
      <c r="BL4020" s="38"/>
      <c r="BM4020" s="38"/>
      <c r="BN4020" s="38"/>
      <c r="BO4020" s="38"/>
      <c r="BP4020" s="38"/>
      <c r="BQ4020" s="38"/>
    </row>
    <row r="4021">
      <c r="A4021" s="16"/>
      <c r="B4021" s="145"/>
      <c r="C4021" s="146"/>
      <c r="D4021" s="146"/>
      <c r="E4021" s="16"/>
      <c r="F4021" s="91"/>
      <c r="G4021" s="16"/>
      <c r="H4021" s="320" t="str">
        <f t="shared" si="424"/>
        <v/>
      </c>
      <c r="I4021" s="16"/>
      <c r="J4021" s="16"/>
      <c r="K4021" s="16"/>
      <c r="L4021" s="16"/>
      <c r="M4021" s="15"/>
      <c r="N4021" s="15"/>
      <c r="O4021" s="16"/>
      <c r="P4021" s="16"/>
      <c r="Q4021" s="16"/>
      <c r="R4021" s="16"/>
      <c r="S4021" s="37" t="str">
        <f>IFERROR(__xludf.DUMMYFUNCTION("if(not(iserror(index(split(C4021, "" ""),2))), index(split(C4021, "" ""),1),"""")"),"")</f>
        <v/>
      </c>
      <c r="T4021" s="315" t="str">
        <f>IFERROR(__xludf.DUMMYFUNCTION("if(S4021="""",C4021,if(not(iserror(index(split(C4021, "" ""),3))), index(split(C4021, "" ""),3),index(split(C4021, "" ""),2)))"),"")</f>
        <v/>
      </c>
      <c r="U4021" s="38" t="b">
        <f t="shared" si="423"/>
        <v>0</v>
      </c>
      <c r="V4021" s="38"/>
      <c r="W4021" s="40"/>
      <c r="X4021" s="40"/>
      <c r="Y4021" s="40"/>
      <c r="Z4021" s="38"/>
      <c r="AA4021" s="38"/>
      <c r="AB4021" s="38"/>
      <c r="AC4021" s="38"/>
      <c r="AD4021" s="38"/>
      <c r="AE4021" s="38"/>
      <c r="AF4021" s="38"/>
      <c r="AG4021" s="38"/>
      <c r="AH4021" s="38"/>
      <c r="AI4021" s="38"/>
      <c r="AJ4021" s="38"/>
      <c r="AK4021" s="38"/>
      <c r="AL4021" s="38"/>
      <c r="AM4021" s="38"/>
      <c r="AN4021" s="38"/>
      <c r="AO4021" s="38"/>
      <c r="AP4021" s="38"/>
      <c r="AQ4021" s="38"/>
      <c r="AR4021" s="38"/>
      <c r="AS4021" s="38"/>
      <c r="AT4021" s="38"/>
      <c r="AU4021" s="38"/>
      <c r="AV4021" s="38"/>
      <c r="AW4021" s="38"/>
      <c r="AX4021" s="38"/>
      <c r="AY4021" s="38"/>
      <c r="AZ4021" s="38"/>
      <c r="BA4021" s="38"/>
      <c r="BB4021" s="38"/>
      <c r="BC4021" s="38"/>
      <c r="BD4021" s="38"/>
      <c r="BE4021" s="38"/>
      <c r="BF4021" s="38"/>
      <c r="BG4021" s="38"/>
      <c r="BH4021" s="38"/>
      <c r="BI4021" s="38"/>
      <c r="BJ4021" s="38"/>
      <c r="BK4021" s="38"/>
      <c r="BL4021" s="38"/>
      <c r="BM4021" s="38"/>
      <c r="BN4021" s="38"/>
      <c r="BO4021" s="38"/>
      <c r="BP4021" s="38"/>
      <c r="BQ4021" s="38"/>
    </row>
    <row r="4022">
      <c r="A4022" s="16"/>
      <c r="B4022" s="145"/>
      <c r="C4022" s="146"/>
      <c r="D4022" s="146"/>
      <c r="E4022" s="16"/>
      <c r="F4022" s="91"/>
      <c r="G4022" s="16"/>
      <c r="H4022" s="320" t="str">
        <f t="shared" si="424"/>
        <v/>
      </c>
      <c r="I4022" s="16"/>
      <c r="J4022" s="16"/>
      <c r="K4022" s="16"/>
      <c r="L4022" s="16"/>
      <c r="M4022" s="15"/>
      <c r="N4022" s="15"/>
      <c r="O4022" s="16"/>
      <c r="P4022" s="16"/>
      <c r="Q4022" s="16"/>
      <c r="R4022" s="16"/>
      <c r="S4022" s="37" t="str">
        <f>IFERROR(__xludf.DUMMYFUNCTION("if(not(iserror(index(split(C4022, "" ""),2))), index(split(C4022, "" ""),1),"""")"),"")</f>
        <v/>
      </c>
      <c r="T4022" s="315" t="str">
        <f>IFERROR(__xludf.DUMMYFUNCTION("if(S4022="""",C4022,if(not(iserror(index(split(C4022, "" ""),3))), index(split(C4022, "" ""),3),index(split(C4022, "" ""),2)))"),"")</f>
        <v/>
      </c>
      <c r="U4022" s="38" t="b">
        <f t="shared" si="423"/>
        <v>0</v>
      </c>
      <c r="V4022" s="38"/>
      <c r="W4022" s="40"/>
      <c r="X4022" s="40"/>
      <c r="Y4022" s="40"/>
      <c r="Z4022" s="38"/>
      <c r="AA4022" s="38"/>
      <c r="AB4022" s="38"/>
      <c r="AC4022" s="38"/>
      <c r="AD4022" s="38"/>
      <c r="AE4022" s="38"/>
      <c r="AF4022" s="38"/>
      <c r="AG4022" s="38"/>
      <c r="AH4022" s="38"/>
      <c r="AI4022" s="38"/>
      <c r="AJ4022" s="38"/>
      <c r="AK4022" s="38"/>
      <c r="AL4022" s="38"/>
      <c r="AM4022" s="38"/>
      <c r="AN4022" s="38"/>
      <c r="AO4022" s="38"/>
      <c r="AP4022" s="38"/>
      <c r="AQ4022" s="38"/>
      <c r="AR4022" s="38"/>
      <c r="AS4022" s="38"/>
      <c r="AT4022" s="38"/>
      <c r="AU4022" s="38"/>
      <c r="AV4022" s="38"/>
      <c r="AW4022" s="38"/>
      <c r="AX4022" s="38"/>
      <c r="AY4022" s="38"/>
      <c r="AZ4022" s="38"/>
      <c r="BA4022" s="38"/>
      <c r="BB4022" s="38"/>
      <c r="BC4022" s="38"/>
      <c r="BD4022" s="38"/>
      <c r="BE4022" s="38"/>
      <c r="BF4022" s="38"/>
      <c r="BG4022" s="38"/>
      <c r="BH4022" s="38"/>
      <c r="BI4022" s="38"/>
      <c r="BJ4022" s="38"/>
      <c r="BK4022" s="38"/>
      <c r="BL4022" s="38"/>
      <c r="BM4022" s="38"/>
      <c r="BN4022" s="38"/>
      <c r="BO4022" s="38"/>
      <c r="BP4022" s="38"/>
      <c r="BQ4022" s="38"/>
    </row>
    <row r="4023">
      <c r="A4023" s="16"/>
      <c r="B4023" s="145"/>
      <c r="C4023" s="146"/>
      <c r="D4023" s="146"/>
      <c r="E4023" s="16"/>
      <c r="F4023" s="91"/>
      <c r="G4023" s="16"/>
      <c r="H4023" s="320" t="str">
        <f t="shared" si="424"/>
        <v/>
      </c>
      <c r="I4023" s="16"/>
      <c r="J4023" s="16"/>
      <c r="K4023" s="16"/>
      <c r="L4023" s="16"/>
      <c r="M4023" s="15"/>
      <c r="N4023" s="15"/>
      <c r="O4023" s="16"/>
      <c r="P4023" s="16"/>
      <c r="Q4023" s="16"/>
      <c r="R4023" s="16"/>
      <c r="S4023" s="37" t="str">
        <f>IFERROR(__xludf.DUMMYFUNCTION("if(not(iserror(index(split(C4023, "" ""),2))), index(split(C4023, "" ""),1),"""")"),"")</f>
        <v/>
      </c>
      <c r="T4023" s="315" t="str">
        <f>IFERROR(__xludf.DUMMYFUNCTION("if(S4023="""",C4023,if(not(iserror(index(split(C4023, "" ""),3))), index(split(C4023, "" ""),3),index(split(C4023, "" ""),2)))"),"")</f>
        <v/>
      </c>
      <c r="U4023" s="38" t="b">
        <f t="shared" si="423"/>
        <v>0</v>
      </c>
      <c r="V4023" s="38"/>
      <c r="W4023" s="40"/>
      <c r="X4023" s="40"/>
      <c r="Y4023" s="40"/>
      <c r="Z4023" s="38"/>
      <c r="AA4023" s="38"/>
      <c r="AB4023" s="38"/>
      <c r="AC4023" s="38"/>
      <c r="AD4023" s="38"/>
      <c r="AE4023" s="38"/>
      <c r="AF4023" s="38"/>
      <c r="AG4023" s="38"/>
      <c r="AH4023" s="38"/>
      <c r="AI4023" s="38"/>
      <c r="AJ4023" s="38"/>
      <c r="AK4023" s="38"/>
      <c r="AL4023" s="38"/>
      <c r="AM4023" s="38"/>
      <c r="AN4023" s="38"/>
      <c r="AO4023" s="38"/>
      <c r="AP4023" s="38"/>
      <c r="AQ4023" s="38"/>
      <c r="AR4023" s="38"/>
      <c r="AS4023" s="38"/>
      <c r="AT4023" s="38"/>
      <c r="AU4023" s="38"/>
      <c r="AV4023" s="38"/>
      <c r="AW4023" s="38"/>
      <c r="AX4023" s="38"/>
      <c r="AY4023" s="38"/>
      <c r="AZ4023" s="38"/>
      <c r="BA4023" s="38"/>
      <c r="BB4023" s="38"/>
      <c r="BC4023" s="38"/>
      <c r="BD4023" s="38"/>
      <c r="BE4023" s="38"/>
      <c r="BF4023" s="38"/>
      <c r="BG4023" s="38"/>
      <c r="BH4023" s="38"/>
      <c r="BI4023" s="38"/>
      <c r="BJ4023" s="38"/>
      <c r="BK4023" s="38"/>
      <c r="BL4023" s="38"/>
      <c r="BM4023" s="38"/>
      <c r="BN4023" s="38"/>
      <c r="BO4023" s="38"/>
      <c r="BP4023" s="38"/>
      <c r="BQ4023" s="38"/>
    </row>
    <row r="4024">
      <c r="A4024" s="16"/>
      <c r="B4024" s="145"/>
      <c r="C4024" s="146"/>
      <c r="D4024" s="146"/>
      <c r="E4024" s="16"/>
      <c r="F4024" s="91"/>
      <c r="G4024" s="16"/>
      <c r="H4024" s="320" t="str">
        <f t="shared" si="424"/>
        <v/>
      </c>
      <c r="I4024" s="16"/>
      <c r="J4024" s="16"/>
      <c r="K4024" s="16"/>
      <c r="L4024" s="16"/>
      <c r="M4024" s="15"/>
      <c r="N4024" s="15"/>
      <c r="O4024" s="16"/>
      <c r="P4024" s="16"/>
      <c r="Q4024" s="16"/>
      <c r="R4024" s="16"/>
      <c r="S4024" s="37" t="str">
        <f>IFERROR(__xludf.DUMMYFUNCTION("if(not(iserror(index(split(C4024, "" ""),2))), index(split(C4024, "" ""),1),"""")"),"")</f>
        <v/>
      </c>
      <c r="T4024" s="315" t="str">
        <f>IFERROR(__xludf.DUMMYFUNCTION("if(S4024="""",C4024,if(not(iserror(index(split(C4024, "" ""),3))), index(split(C4024, "" ""),3),index(split(C4024, "" ""),2)))"),"")</f>
        <v/>
      </c>
      <c r="U4024" s="38" t="b">
        <f t="shared" si="423"/>
        <v>0</v>
      </c>
      <c r="V4024" s="38"/>
      <c r="W4024" s="40"/>
      <c r="X4024" s="40"/>
      <c r="Y4024" s="40"/>
      <c r="Z4024" s="38"/>
      <c r="AA4024" s="38"/>
      <c r="AB4024" s="38"/>
      <c r="AC4024" s="38"/>
      <c r="AD4024" s="38"/>
      <c r="AE4024" s="38"/>
      <c r="AF4024" s="38"/>
      <c r="AG4024" s="38"/>
      <c r="AH4024" s="38"/>
      <c r="AI4024" s="38"/>
      <c r="AJ4024" s="38"/>
      <c r="AK4024" s="38"/>
      <c r="AL4024" s="38"/>
      <c r="AM4024" s="38"/>
      <c r="AN4024" s="38"/>
      <c r="AO4024" s="38"/>
      <c r="AP4024" s="38"/>
      <c r="AQ4024" s="38"/>
      <c r="AR4024" s="38"/>
      <c r="AS4024" s="38"/>
      <c r="AT4024" s="38"/>
      <c r="AU4024" s="38"/>
      <c r="AV4024" s="38"/>
      <c r="AW4024" s="38"/>
      <c r="AX4024" s="38"/>
      <c r="AY4024" s="38"/>
      <c r="AZ4024" s="38"/>
      <c r="BA4024" s="38"/>
      <c r="BB4024" s="38"/>
      <c r="BC4024" s="38"/>
      <c r="BD4024" s="38"/>
      <c r="BE4024" s="38"/>
      <c r="BF4024" s="38"/>
      <c r="BG4024" s="38"/>
      <c r="BH4024" s="38"/>
      <c r="BI4024" s="38"/>
      <c r="BJ4024" s="38"/>
      <c r="BK4024" s="38"/>
      <c r="BL4024" s="38"/>
      <c r="BM4024" s="38"/>
      <c r="BN4024" s="38"/>
      <c r="BO4024" s="38"/>
      <c r="BP4024" s="38"/>
      <c r="BQ4024" s="38"/>
    </row>
    <row r="4025">
      <c r="A4025" s="16"/>
      <c r="B4025" s="145"/>
      <c r="C4025" s="146"/>
      <c r="D4025" s="146"/>
      <c r="E4025" s="16"/>
      <c r="F4025" s="91"/>
      <c r="G4025" s="16"/>
      <c r="H4025" s="320" t="str">
        <f t="shared" si="424"/>
        <v/>
      </c>
      <c r="I4025" s="16"/>
      <c r="J4025" s="16"/>
      <c r="K4025" s="16"/>
      <c r="L4025" s="16"/>
      <c r="M4025" s="15"/>
      <c r="N4025" s="15"/>
      <c r="O4025" s="16"/>
      <c r="P4025" s="16"/>
      <c r="Q4025" s="16"/>
      <c r="R4025" s="16"/>
      <c r="S4025" s="37" t="str">
        <f>IFERROR(__xludf.DUMMYFUNCTION("if(not(iserror(index(split(C4025, "" ""),2))), index(split(C4025, "" ""),1),"""")"),"")</f>
        <v/>
      </c>
      <c r="T4025" s="315" t="str">
        <f>IFERROR(__xludf.DUMMYFUNCTION("if(S4025="""",C4025,if(not(iserror(index(split(C4025, "" ""),3))), index(split(C4025, "" ""),3),index(split(C4025, "" ""),2)))"),"")</f>
        <v/>
      </c>
      <c r="U4025" s="38" t="b">
        <f t="shared" si="423"/>
        <v>0</v>
      </c>
      <c r="V4025" s="38"/>
      <c r="W4025" s="40"/>
      <c r="X4025" s="40"/>
      <c r="Y4025" s="40"/>
      <c r="Z4025" s="38"/>
      <c r="AA4025" s="38"/>
      <c r="AB4025" s="38"/>
      <c r="AC4025" s="38"/>
      <c r="AD4025" s="38"/>
      <c r="AE4025" s="38"/>
      <c r="AF4025" s="38"/>
      <c r="AG4025" s="38"/>
      <c r="AH4025" s="38"/>
      <c r="AI4025" s="38"/>
      <c r="AJ4025" s="38"/>
      <c r="AK4025" s="38"/>
      <c r="AL4025" s="38"/>
      <c r="AM4025" s="38"/>
      <c r="AN4025" s="38"/>
      <c r="AO4025" s="38"/>
      <c r="AP4025" s="38"/>
      <c r="AQ4025" s="38"/>
      <c r="AR4025" s="38"/>
      <c r="AS4025" s="38"/>
      <c r="AT4025" s="38"/>
      <c r="AU4025" s="38"/>
      <c r="AV4025" s="38"/>
      <c r="AW4025" s="38"/>
      <c r="AX4025" s="38"/>
      <c r="AY4025" s="38"/>
      <c r="AZ4025" s="38"/>
      <c r="BA4025" s="38"/>
      <c r="BB4025" s="38"/>
      <c r="BC4025" s="38"/>
      <c r="BD4025" s="38"/>
      <c r="BE4025" s="38"/>
      <c r="BF4025" s="38"/>
      <c r="BG4025" s="38"/>
      <c r="BH4025" s="38"/>
      <c r="BI4025" s="38"/>
      <c r="BJ4025" s="38"/>
      <c r="BK4025" s="38"/>
      <c r="BL4025" s="38"/>
      <c r="BM4025" s="38"/>
      <c r="BN4025" s="38"/>
      <c r="BO4025" s="38"/>
      <c r="BP4025" s="38"/>
      <c r="BQ4025" s="38"/>
    </row>
    <row r="4026">
      <c r="A4026" s="16"/>
      <c r="B4026" s="145"/>
      <c r="C4026" s="146"/>
      <c r="D4026" s="146"/>
      <c r="E4026" s="16"/>
      <c r="F4026" s="91"/>
      <c r="G4026" s="16"/>
      <c r="H4026" s="320" t="str">
        <f t="shared" si="424"/>
        <v/>
      </c>
      <c r="I4026" s="16"/>
      <c r="J4026" s="16"/>
      <c r="K4026" s="16"/>
      <c r="L4026" s="16"/>
      <c r="M4026" s="15"/>
      <c r="N4026" s="15"/>
      <c r="O4026" s="16"/>
      <c r="P4026" s="16"/>
      <c r="Q4026" s="16"/>
      <c r="R4026" s="16"/>
      <c r="S4026" s="37" t="str">
        <f>IFERROR(__xludf.DUMMYFUNCTION("if(not(iserror(index(split(C4026, "" ""),2))), index(split(C4026, "" ""),1),"""")"),"")</f>
        <v/>
      </c>
      <c r="T4026" s="315" t="str">
        <f>IFERROR(__xludf.DUMMYFUNCTION("if(S4026="""",C4026,if(not(iserror(index(split(C4026, "" ""),3))), index(split(C4026, "" ""),3),index(split(C4026, "" ""),2)))"),"")</f>
        <v/>
      </c>
      <c r="U4026" s="38" t="b">
        <f t="shared" si="423"/>
        <v>0</v>
      </c>
      <c r="V4026" s="38"/>
      <c r="W4026" s="40"/>
      <c r="X4026" s="40"/>
      <c r="Y4026" s="40"/>
      <c r="Z4026" s="38"/>
      <c r="AA4026" s="38"/>
      <c r="AB4026" s="38"/>
      <c r="AC4026" s="38"/>
      <c r="AD4026" s="38"/>
      <c r="AE4026" s="38"/>
      <c r="AF4026" s="38"/>
      <c r="AG4026" s="38"/>
      <c r="AH4026" s="38"/>
      <c r="AI4026" s="38"/>
      <c r="AJ4026" s="38"/>
      <c r="AK4026" s="38"/>
      <c r="AL4026" s="38"/>
      <c r="AM4026" s="38"/>
      <c r="AN4026" s="38"/>
      <c r="AO4026" s="38"/>
      <c r="AP4026" s="38"/>
      <c r="AQ4026" s="38"/>
      <c r="AR4026" s="38"/>
      <c r="AS4026" s="38"/>
      <c r="AT4026" s="38"/>
      <c r="AU4026" s="38"/>
      <c r="AV4026" s="38"/>
      <c r="AW4026" s="38"/>
      <c r="AX4026" s="38"/>
      <c r="AY4026" s="38"/>
      <c r="AZ4026" s="38"/>
      <c r="BA4026" s="38"/>
      <c r="BB4026" s="38"/>
      <c r="BC4026" s="38"/>
      <c r="BD4026" s="38"/>
      <c r="BE4026" s="38"/>
      <c r="BF4026" s="38"/>
      <c r="BG4026" s="38"/>
      <c r="BH4026" s="38"/>
      <c r="BI4026" s="38"/>
      <c r="BJ4026" s="38"/>
      <c r="BK4026" s="38"/>
      <c r="BL4026" s="38"/>
      <c r="BM4026" s="38"/>
      <c r="BN4026" s="38"/>
      <c r="BO4026" s="38"/>
      <c r="BP4026" s="38"/>
      <c r="BQ4026" s="38"/>
    </row>
    <row r="4027">
      <c r="A4027" s="16"/>
      <c r="B4027" s="145"/>
      <c r="C4027" s="146"/>
      <c r="D4027" s="146"/>
      <c r="E4027" s="16"/>
      <c r="F4027" s="91"/>
      <c r="G4027" s="16"/>
      <c r="H4027" s="320" t="str">
        <f t="shared" si="424"/>
        <v/>
      </c>
      <c r="I4027" s="16"/>
      <c r="J4027" s="16"/>
      <c r="K4027" s="16"/>
      <c r="L4027" s="16"/>
      <c r="M4027" s="15"/>
      <c r="N4027" s="15"/>
      <c r="O4027" s="16"/>
      <c r="P4027" s="16"/>
      <c r="Q4027" s="16"/>
      <c r="R4027" s="16"/>
      <c r="S4027" s="37" t="str">
        <f>IFERROR(__xludf.DUMMYFUNCTION("if(not(iserror(index(split(C4027, "" ""),2))), index(split(C4027, "" ""),1),"""")"),"")</f>
        <v/>
      </c>
      <c r="T4027" s="315" t="str">
        <f>IFERROR(__xludf.DUMMYFUNCTION("if(S4027="""",C4027,if(not(iserror(index(split(C4027, "" ""),3))), index(split(C4027, "" ""),3),index(split(C4027, "" ""),2)))"),"")</f>
        <v/>
      </c>
      <c r="U4027" s="38" t="b">
        <f t="shared" si="423"/>
        <v>0</v>
      </c>
      <c r="V4027" s="38"/>
      <c r="W4027" s="40"/>
      <c r="X4027" s="40"/>
      <c r="Y4027" s="40"/>
      <c r="Z4027" s="38"/>
      <c r="AA4027" s="38"/>
      <c r="AB4027" s="38"/>
      <c r="AC4027" s="38"/>
      <c r="AD4027" s="38"/>
      <c r="AE4027" s="38"/>
      <c r="AF4027" s="38"/>
      <c r="AG4027" s="38"/>
      <c r="AH4027" s="38"/>
      <c r="AI4027" s="38"/>
      <c r="AJ4027" s="38"/>
      <c r="AK4027" s="38"/>
      <c r="AL4027" s="38"/>
      <c r="AM4027" s="38"/>
      <c r="AN4027" s="38"/>
      <c r="AO4027" s="38"/>
      <c r="AP4027" s="38"/>
      <c r="AQ4027" s="38"/>
      <c r="AR4027" s="38"/>
      <c r="AS4027" s="38"/>
      <c r="AT4027" s="38"/>
      <c r="AU4027" s="38"/>
      <c r="AV4027" s="38"/>
      <c r="AW4027" s="38"/>
      <c r="AX4027" s="38"/>
      <c r="AY4027" s="38"/>
      <c r="AZ4027" s="38"/>
      <c r="BA4027" s="38"/>
      <c r="BB4027" s="38"/>
      <c r="BC4027" s="38"/>
      <c r="BD4027" s="38"/>
      <c r="BE4027" s="38"/>
      <c r="BF4027" s="38"/>
      <c r="BG4027" s="38"/>
      <c r="BH4027" s="38"/>
      <c r="BI4027" s="38"/>
      <c r="BJ4027" s="38"/>
      <c r="BK4027" s="38"/>
      <c r="BL4027" s="38"/>
      <c r="BM4027" s="38"/>
      <c r="BN4027" s="38"/>
      <c r="BO4027" s="38"/>
      <c r="BP4027" s="38"/>
      <c r="BQ4027" s="38"/>
    </row>
    <row r="4028">
      <c r="A4028" s="16"/>
      <c r="B4028" s="145"/>
      <c r="C4028" s="146"/>
      <c r="D4028" s="146"/>
      <c r="E4028" s="16"/>
      <c r="F4028" s="91"/>
      <c r="G4028" s="16"/>
      <c r="H4028" s="320" t="str">
        <f t="shared" si="424"/>
        <v/>
      </c>
      <c r="I4028" s="16"/>
      <c r="J4028" s="16"/>
      <c r="K4028" s="16"/>
      <c r="L4028" s="16"/>
      <c r="M4028" s="15"/>
      <c r="N4028" s="15"/>
      <c r="O4028" s="16"/>
      <c r="P4028" s="16"/>
      <c r="Q4028" s="16"/>
      <c r="R4028" s="16"/>
      <c r="S4028" s="37" t="str">
        <f>IFERROR(__xludf.DUMMYFUNCTION("if(not(iserror(index(split(C4028, "" ""),2))), index(split(C4028, "" ""),1),"""")"),"")</f>
        <v/>
      </c>
      <c r="T4028" s="315" t="str">
        <f>IFERROR(__xludf.DUMMYFUNCTION("if(S4028="""",C4028,if(not(iserror(index(split(C4028, "" ""),3))), index(split(C4028, "" ""),3),index(split(C4028, "" ""),2)))"),"")</f>
        <v/>
      </c>
      <c r="U4028" s="38" t="b">
        <f t="shared" si="423"/>
        <v>0</v>
      </c>
      <c r="V4028" s="38"/>
      <c r="W4028" s="40"/>
      <c r="X4028" s="40"/>
      <c r="Y4028" s="40"/>
      <c r="Z4028" s="38"/>
      <c r="AA4028" s="38"/>
      <c r="AB4028" s="38"/>
      <c r="AC4028" s="38"/>
      <c r="AD4028" s="38"/>
      <c r="AE4028" s="38"/>
      <c r="AF4028" s="38"/>
      <c r="AG4028" s="38"/>
      <c r="AH4028" s="38"/>
      <c r="AI4028" s="38"/>
      <c r="AJ4028" s="38"/>
      <c r="AK4028" s="38"/>
      <c r="AL4028" s="38"/>
      <c r="AM4028" s="38"/>
      <c r="AN4028" s="38"/>
      <c r="AO4028" s="38"/>
      <c r="AP4028" s="38"/>
      <c r="AQ4028" s="38"/>
      <c r="AR4028" s="38"/>
      <c r="AS4028" s="38"/>
      <c r="AT4028" s="38"/>
      <c r="AU4028" s="38"/>
      <c r="AV4028" s="38"/>
      <c r="AW4028" s="38"/>
      <c r="AX4028" s="38"/>
      <c r="AY4028" s="38"/>
      <c r="AZ4028" s="38"/>
      <c r="BA4028" s="38"/>
      <c r="BB4028" s="38"/>
      <c r="BC4028" s="38"/>
      <c r="BD4028" s="38"/>
      <c r="BE4028" s="38"/>
      <c r="BF4028" s="38"/>
      <c r="BG4028" s="38"/>
      <c r="BH4028" s="38"/>
      <c r="BI4028" s="38"/>
      <c r="BJ4028" s="38"/>
      <c r="BK4028" s="38"/>
      <c r="BL4028" s="38"/>
      <c r="BM4028" s="38"/>
      <c r="BN4028" s="38"/>
      <c r="BO4028" s="38"/>
      <c r="BP4028" s="38"/>
      <c r="BQ4028" s="38"/>
    </row>
    <row r="4029">
      <c r="A4029" s="16"/>
      <c r="B4029" s="145"/>
      <c r="C4029" s="146"/>
      <c r="D4029" s="146"/>
      <c r="E4029" s="16"/>
      <c r="F4029" s="91"/>
      <c r="G4029" s="16"/>
      <c r="H4029" s="320" t="str">
        <f t="shared" si="424"/>
        <v/>
      </c>
      <c r="I4029" s="16"/>
      <c r="J4029" s="16"/>
      <c r="K4029" s="16"/>
      <c r="L4029" s="16"/>
      <c r="M4029" s="15"/>
      <c r="N4029" s="15"/>
      <c r="O4029" s="16"/>
      <c r="P4029" s="16"/>
      <c r="Q4029" s="16"/>
      <c r="R4029" s="16"/>
      <c r="S4029" s="37" t="str">
        <f>IFERROR(__xludf.DUMMYFUNCTION("if(not(iserror(index(split(C4029, "" ""),2))), index(split(C4029, "" ""),1),"""")"),"")</f>
        <v/>
      </c>
      <c r="T4029" s="315" t="str">
        <f>IFERROR(__xludf.DUMMYFUNCTION("if(S4029="""",C4029,if(not(iserror(index(split(C4029, "" ""),3))), index(split(C4029, "" ""),3),index(split(C4029, "" ""),2)))"),"")</f>
        <v/>
      </c>
      <c r="U4029" s="38" t="b">
        <f t="shared" si="423"/>
        <v>0</v>
      </c>
      <c r="V4029" s="38"/>
      <c r="W4029" s="40"/>
      <c r="X4029" s="40"/>
      <c r="Y4029" s="40"/>
      <c r="Z4029" s="38"/>
      <c r="AA4029" s="38"/>
      <c r="AB4029" s="38"/>
      <c r="AC4029" s="38"/>
      <c r="AD4029" s="38"/>
      <c r="AE4029" s="38"/>
      <c r="AF4029" s="38"/>
      <c r="AG4029" s="38"/>
      <c r="AH4029" s="38"/>
      <c r="AI4029" s="38"/>
      <c r="AJ4029" s="38"/>
      <c r="AK4029" s="38"/>
      <c r="AL4029" s="38"/>
      <c r="AM4029" s="38"/>
      <c r="AN4029" s="38"/>
      <c r="AO4029" s="38"/>
      <c r="AP4029" s="38"/>
      <c r="AQ4029" s="38"/>
      <c r="AR4029" s="38"/>
      <c r="AS4029" s="38"/>
      <c r="AT4029" s="38"/>
      <c r="AU4029" s="38"/>
      <c r="AV4029" s="38"/>
      <c r="AW4029" s="38"/>
      <c r="AX4029" s="38"/>
      <c r="AY4029" s="38"/>
      <c r="AZ4029" s="38"/>
      <c r="BA4029" s="38"/>
      <c r="BB4029" s="38"/>
      <c r="BC4029" s="38"/>
      <c r="BD4029" s="38"/>
      <c r="BE4029" s="38"/>
      <c r="BF4029" s="38"/>
      <c r="BG4029" s="38"/>
      <c r="BH4029" s="38"/>
      <c r="BI4029" s="38"/>
      <c r="BJ4029" s="38"/>
      <c r="BK4029" s="38"/>
      <c r="BL4029" s="38"/>
      <c r="BM4029" s="38"/>
      <c r="BN4029" s="38"/>
      <c r="BO4029" s="38"/>
      <c r="BP4029" s="38"/>
      <c r="BQ4029" s="38"/>
    </row>
    <row r="4030">
      <c r="A4030" s="16"/>
      <c r="B4030" s="145"/>
      <c r="C4030" s="146"/>
      <c r="D4030" s="146"/>
      <c r="E4030" s="16"/>
      <c r="F4030" s="91"/>
      <c r="G4030" s="16"/>
      <c r="H4030" s="320" t="str">
        <f t="shared" si="424"/>
        <v/>
      </c>
      <c r="I4030" s="16"/>
      <c r="J4030" s="16"/>
      <c r="K4030" s="16"/>
      <c r="L4030" s="16"/>
      <c r="M4030" s="15"/>
      <c r="N4030" s="15"/>
      <c r="O4030" s="16"/>
      <c r="P4030" s="16"/>
      <c r="Q4030" s="16"/>
      <c r="R4030" s="16"/>
      <c r="S4030" s="37" t="str">
        <f>IFERROR(__xludf.DUMMYFUNCTION("if(not(iserror(index(split(C4030, "" ""),2))), index(split(C4030, "" ""),1),"""")"),"")</f>
        <v/>
      </c>
      <c r="T4030" s="315" t="str">
        <f>IFERROR(__xludf.DUMMYFUNCTION("if(S4030="""",C4030,if(not(iserror(index(split(C4030, "" ""),3))), index(split(C4030, "" ""),3),index(split(C4030, "" ""),2)))"),"")</f>
        <v/>
      </c>
      <c r="U4030" s="38" t="b">
        <f t="shared" si="423"/>
        <v>0</v>
      </c>
      <c r="V4030" s="38"/>
      <c r="W4030" s="40"/>
      <c r="X4030" s="40"/>
      <c r="Y4030" s="40"/>
      <c r="Z4030" s="38"/>
      <c r="AA4030" s="38"/>
      <c r="AB4030" s="38"/>
      <c r="AC4030" s="38"/>
      <c r="AD4030" s="38"/>
      <c r="AE4030" s="38"/>
      <c r="AF4030" s="38"/>
      <c r="AG4030" s="38"/>
      <c r="AH4030" s="38"/>
      <c r="AI4030" s="38"/>
      <c r="AJ4030" s="38"/>
      <c r="AK4030" s="38"/>
      <c r="AL4030" s="38"/>
      <c r="AM4030" s="38"/>
      <c r="AN4030" s="38"/>
      <c r="AO4030" s="38"/>
      <c r="AP4030" s="38"/>
      <c r="AQ4030" s="38"/>
      <c r="AR4030" s="38"/>
      <c r="AS4030" s="38"/>
      <c r="AT4030" s="38"/>
      <c r="AU4030" s="38"/>
      <c r="AV4030" s="38"/>
      <c r="AW4030" s="38"/>
      <c r="AX4030" s="38"/>
      <c r="AY4030" s="38"/>
      <c r="AZ4030" s="38"/>
      <c r="BA4030" s="38"/>
      <c r="BB4030" s="38"/>
      <c r="BC4030" s="38"/>
      <c r="BD4030" s="38"/>
      <c r="BE4030" s="38"/>
      <c r="BF4030" s="38"/>
      <c r="BG4030" s="38"/>
      <c r="BH4030" s="38"/>
      <c r="BI4030" s="38"/>
      <c r="BJ4030" s="38"/>
      <c r="BK4030" s="38"/>
      <c r="BL4030" s="38"/>
      <c r="BM4030" s="38"/>
      <c r="BN4030" s="38"/>
      <c r="BO4030" s="38"/>
      <c r="BP4030" s="38"/>
      <c r="BQ4030" s="38"/>
    </row>
    <row r="4031">
      <c r="A4031" s="16"/>
      <c r="B4031" s="145"/>
      <c r="C4031" s="146"/>
      <c r="D4031" s="146"/>
      <c r="E4031" s="16"/>
      <c r="F4031" s="91"/>
      <c r="G4031" s="16"/>
      <c r="H4031" s="320" t="str">
        <f t="shared" si="424"/>
        <v/>
      </c>
      <c r="I4031" s="16"/>
      <c r="J4031" s="16"/>
      <c r="K4031" s="16"/>
      <c r="L4031" s="16"/>
      <c r="M4031" s="15"/>
      <c r="N4031" s="15"/>
      <c r="O4031" s="16"/>
      <c r="P4031" s="16"/>
      <c r="Q4031" s="16"/>
      <c r="R4031" s="16"/>
      <c r="S4031" s="37" t="str">
        <f>IFERROR(__xludf.DUMMYFUNCTION("if(not(iserror(index(split(C4031, "" ""),2))), index(split(C4031, "" ""),1),"""")"),"")</f>
        <v/>
      </c>
      <c r="T4031" s="315" t="str">
        <f>IFERROR(__xludf.DUMMYFUNCTION("if(S4031="""",C4031,if(not(iserror(index(split(C4031, "" ""),3))), index(split(C4031, "" ""),3),index(split(C4031, "" ""),2)))"),"")</f>
        <v/>
      </c>
      <c r="U4031" s="38" t="b">
        <f t="shared" si="423"/>
        <v>0</v>
      </c>
      <c r="V4031" s="38"/>
      <c r="W4031" s="40"/>
      <c r="X4031" s="40"/>
      <c r="Y4031" s="40"/>
      <c r="Z4031" s="38"/>
      <c r="AA4031" s="38"/>
      <c r="AB4031" s="38"/>
      <c r="AC4031" s="38"/>
      <c r="AD4031" s="38"/>
      <c r="AE4031" s="38"/>
      <c r="AF4031" s="38"/>
      <c r="AG4031" s="38"/>
      <c r="AH4031" s="38"/>
      <c r="AI4031" s="38"/>
      <c r="AJ4031" s="38"/>
      <c r="AK4031" s="38"/>
      <c r="AL4031" s="38"/>
      <c r="AM4031" s="38"/>
      <c r="AN4031" s="38"/>
      <c r="AO4031" s="38"/>
      <c r="AP4031" s="38"/>
      <c r="AQ4031" s="38"/>
      <c r="AR4031" s="38"/>
      <c r="AS4031" s="38"/>
      <c r="AT4031" s="38"/>
      <c r="AU4031" s="38"/>
      <c r="AV4031" s="38"/>
      <c r="AW4031" s="38"/>
      <c r="AX4031" s="38"/>
      <c r="AY4031" s="38"/>
      <c r="AZ4031" s="38"/>
      <c r="BA4031" s="38"/>
      <c r="BB4031" s="38"/>
      <c r="BC4031" s="38"/>
      <c r="BD4031" s="38"/>
      <c r="BE4031" s="38"/>
      <c r="BF4031" s="38"/>
      <c r="BG4031" s="38"/>
      <c r="BH4031" s="38"/>
      <c r="BI4031" s="38"/>
      <c r="BJ4031" s="38"/>
      <c r="BK4031" s="38"/>
      <c r="BL4031" s="38"/>
      <c r="BM4031" s="38"/>
      <c r="BN4031" s="38"/>
      <c r="BO4031" s="38"/>
      <c r="BP4031" s="38"/>
      <c r="BQ4031" s="38"/>
    </row>
    <row r="4032">
      <c r="A4032" s="16"/>
      <c r="B4032" s="145"/>
      <c r="C4032" s="146"/>
      <c r="D4032" s="146"/>
      <c r="E4032" s="16"/>
      <c r="F4032" s="91"/>
      <c r="G4032" s="16"/>
      <c r="H4032" s="320" t="str">
        <f t="shared" si="424"/>
        <v/>
      </c>
      <c r="I4032" s="16"/>
      <c r="J4032" s="16"/>
      <c r="K4032" s="16"/>
      <c r="L4032" s="16"/>
      <c r="M4032" s="15"/>
      <c r="N4032" s="15"/>
      <c r="O4032" s="16"/>
      <c r="P4032" s="16"/>
      <c r="Q4032" s="16"/>
      <c r="R4032" s="16"/>
      <c r="S4032" s="37" t="str">
        <f>IFERROR(__xludf.DUMMYFUNCTION("if(not(iserror(index(split(C4032, "" ""),2))), index(split(C4032, "" ""),1),"""")"),"")</f>
        <v/>
      </c>
      <c r="T4032" s="315" t="str">
        <f>IFERROR(__xludf.DUMMYFUNCTION("if(S4032="""",C4032,if(not(iserror(index(split(C4032, "" ""),3))), index(split(C4032, "" ""),3),index(split(C4032, "" ""),2)))"),"")</f>
        <v/>
      </c>
      <c r="U4032" s="38" t="b">
        <f t="shared" si="423"/>
        <v>0</v>
      </c>
      <c r="V4032" s="38"/>
      <c r="W4032" s="40"/>
      <c r="X4032" s="40"/>
      <c r="Y4032" s="40"/>
      <c r="Z4032" s="38"/>
      <c r="AA4032" s="38"/>
      <c r="AB4032" s="38"/>
      <c r="AC4032" s="38"/>
      <c r="AD4032" s="38"/>
      <c r="AE4032" s="38"/>
      <c r="AF4032" s="38"/>
      <c r="AG4032" s="38"/>
      <c r="AH4032" s="38"/>
      <c r="AI4032" s="38"/>
      <c r="AJ4032" s="38"/>
      <c r="AK4032" s="38"/>
      <c r="AL4032" s="38"/>
      <c r="AM4032" s="38"/>
      <c r="AN4032" s="38"/>
      <c r="AO4032" s="38"/>
      <c r="AP4032" s="38"/>
      <c r="AQ4032" s="38"/>
      <c r="AR4032" s="38"/>
      <c r="AS4032" s="38"/>
      <c r="AT4032" s="38"/>
      <c r="AU4032" s="38"/>
      <c r="AV4032" s="38"/>
      <c r="AW4032" s="38"/>
      <c r="AX4032" s="38"/>
      <c r="AY4032" s="38"/>
      <c r="AZ4032" s="38"/>
      <c r="BA4032" s="38"/>
      <c r="BB4032" s="38"/>
      <c r="BC4032" s="38"/>
      <c r="BD4032" s="38"/>
      <c r="BE4032" s="38"/>
      <c r="BF4032" s="38"/>
      <c r="BG4032" s="38"/>
      <c r="BH4032" s="38"/>
      <c r="BI4032" s="38"/>
      <c r="BJ4032" s="38"/>
      <c r="BK4032" s="38"/>
      <c r="BL4032" s="38"/>
      <c r="BM4032" s="38"/>
      <c r="BN4032" s="38"/>
      <c r="BO4032" s="38"/>
      <c r="BP4032" s="38"/>
      <c r="BQ4032" s="38"/>
    </row>
    <row r="4033">
      <c r="A4033" s="16"/>
      <c r="B4033" s="145"/>
      <c r="C4033" s="146"/>
      <c r="D4033" s="146"/>
      <c r="E4033" s="16"/>
      <c r="F4033" s="91"/>
      <c r="G4033" s="16"/>
      <c r="H4033" s="320" t="str">
        <f t="shared" si="424"/>
        <v/>
      </c>
      <c r="I4033" s="16"/>
      <c r="J4033" s="16"/>
      <c r="K4033" s="16"/>
      <c r="L4033" s="16"/>
      <c r="M4033" s="15"/>
      <c r="N4033" s="15"/>
      <c r="O4033" s="16"/>
      <c r="P4033" s="16"/>
      <c r="Q4033" s="16"/>
      <c r="R4033" s="16"/>
      <c r="S4033" s="37" t="str">
        <f>IFERROR(__xludf.DUMMYFUNCTION("if(not(iserror(index(split(C4033, "" ""),2))), index(split(C4033, "" ""),1),"""")"),"")</f>
        <v/>
      </c>
      <c r="T4033" s="315" t="str">
        <f>IFERROR(__xludf.DUMMYFUNCTION("if(S4033="""",C4033,if(not(iserror(index(split(C4033, "" ""),3))), index(split(C4033, "" ""),3),index(split(C4033, "" ""),2)))"),"")</f>
        <v/>
      </c>
      <c r="U4033" s="38" t="b">
        <f t="shared" si="423"/>
        <v>0</v>
      </c>
      <c r="V4033" s="38"/>
      <c r="W4033" s="40"/>
      <c r="X4033" s="40"/>
      <c r="Y4033" s="40"/>
      <c r="Z4033" s="38"/>
      <c r="AA4033" s="38"/>
      <c r="AB4033" s="38"/>
      <c r="AC4033" s="38"/>
      <c r="AD4033" s="38"/>
      <c r="AE4033" s="38"/>
      <c r="AF4033" s="38"/>
      <c r="AG4033" s="38"/>
      <c r="AH4033" s="38"/>
      <c r="AI4033" s="38"/>
      <c r="AJ4033" s="38"/>
      <c r="AK4033" s="38"/>
      <c r="AL4033" s="38"/>
      <c r="AM4033" s="38"/>
      <c r="AN4033" s="38"/>
      <c r="AO4033" s="38"/>
      <c r="AP4033" s="38"/>
      <c r="AQ4033" s="38"/>
      <c r="AR4033" s="38"/>
      <c r="AS4033" s="38"/>
      <c r="AT4033" s="38"/>
      <c r="AU4033" s="38"/>
      <c r="AV4033" s="38"/>
      <c r="AW4033" s="38"/>
      <c r="AX4033" s="38"/>
      <c r="AY4033" s="38"/>
      <c r="AZ4033" s="38"/>
      <c r="BA4033" s="38"/>
      <c r="BB4033" s="38"/>
      <c r="BC4033" s="38"/>
      <c r="BD4033" s="38"/>
      <c r="BE4033" s="38"/>
      <c r="BF4033" s="38"/>
      <c r="BG4033" s="38"/>
      <c r="BH4033" s="38"/>
      <c r="BI4033" s="38"/>
      <c r="BJ4033" s="38"/>
      <c r="BK4033" s="38"/>
      <c r="BL4033" s="38"/>
      <c r="BM4033" s="38"/>
      <c r="BN4033" s="38"/>
      <c r="BO4033" s="38"/>
      <c r="BP4033" s="38"/>
      <c r="BQ4033" s="38"/>
    </row>
    <row r="4034">
      <c r="A4034" s="16"/>
      <c r="B4034" s="145"/>
      <c r="C4034" s="146"/>
      <c r="D4034" s="146"/>
      <c r="E4034" s="16"/>
      <c r="F4034" s="91"/>
      <c r="G4034" s="16"/>
      <c r="H4034" s="320" t="str">
        <f t="shared" si="424"/>
        <v/>
      </c>
      <c r="I4034" s="16"/>
      <c r="J4034" s="16"/>
      <c r="K4034" s="16"/>
      <c r="L4034" s="16"/>
      <c r="M4034" s="15"/>
      <c r="N4034" s="15"/>
      <c r="O4034" s="16"/>
      <c r="P4034" s="16"/>
      <c r="Q4034" s="16"/>
      <c r="R4034" s="16"/>
      <c r="S4034" s="37" t="str">
        <f>IFERROR(__xludf.DUMMYFUNCTION("if(not(iserror(index(split(C4034, "" ""),2))), index(split(C4034, "" ""),1),"""")"),"")</f>
        <v/>
      </c>
      <c r="T4034" s="315" t="str">
        <f>IFERROR(__xludf.DUMMYFUNCTION("if(S4034="""",C4034,if(not(iserror(index(split(C4034, "" ""),3))), index(split(C4034, "" ""),3),index(split(C4034, "" ""),2)))"),"")</f>
        <v/>
      </c>
      <c r="U4034" s="38" t="b">
        <f t="shared" si="423"/>
        <v>0</v>
      </c>
      <c r="V4034" s="38"/>
      <c r="W4034" s="40"/>
      <c r="X4034" s="40"/>
      <c r="Y4034" s="40"/>
      <c r="Z4034" s="38"/>
      <c r="AA4034" s="38"/>
      <c r="AB4034" s="38"/>
      <c r="AC4034" s="38"/>
      <c r="AD4034" s="38"/>
      <c r="AE4034" s="38"/>
      <c r="AF4034" s="38"/>
      <c r="AG4034" s="38"/>
      <c r="AH4034" s="38"/>
      <c r="AI4034" s="38"/>
      <c r="AJ4034" s="38"/>
      <c r="AK4034" s="38"/>
      <c r="AL4034" s="38"/>
      <c r="AM4034" s="38"/>
      <c r="AN4034" s="38"/>
      <c r="AO4034" s="38"/>
      <c r="AP4034" s="38"/>
      <c r="AQ4034" s="38"/>
      <c r="AR4034" s="38"/>
      <c r="AS4034" s="38"/>
      <c r="AT4034" s="38"/>
      <c r="AU4034" s="38"/>
      <c r="AV4034" s="38"/>
      <c r="AW4034" s="38"/>
      <c r="AX4034" s="38"/>
      <c r="AY4034" s="38"/>
      <c r="AZ4034" s="38"/>
      <c r="BA4034" s="38"/>
      <c r="BB4034" s="38"/>
      <c r="BC4034" s="38"/>
      <c r="BD4034" s="38"/>
      <c r="BE4034" s="38"/>
      <c r="BF4034" s="38"/>
      <c r="BG4034" s="38"/>
      <c r="BH4034" s="38"/>
      <c r="BI4034" s="38"/>
      <c r="BJ4034" s="38"/>
      <c r="BK4034" s="38"/>
      <c r="BL4034" s="38"/>
      <c r="BM4034" s="38"/>
      <c r="BN4034" s="38"/>
      <c r="BO4034" s="38"/>
      <c r="BP4034" s="38"/>
      <c r="BQ4034" s="38"/>
    </row>
    <row r="4035">
      <c r="A4035" s="16"/>
      <c r="B4035" s="145"/>
      <c r="C4035" s="146"/>
      <c r="D4035" s="146"/>
      <c r="E4035" s="16"/>
      <c r="F4035" s="91"/>
      <c r="G4035" s="16"/>
      <c r="H4035" s="320" t="str">
        <f t="shared" si="424"/>
        <v/>
      </c>
      <c r="I4035" s="16"/>
      <c r="J4035" s="16"/>
      <c r="K4035" s="16"/>
      <c r="L4035" s="16"/>
      <c r="M4035" s="15"/>
      <c r="N4035" s="15"/>
      <c r="O4035" s="16"/>
      <c r="P4035" s="16"/>
      <c r="Q4035" s="16"/>
      <c r="R4035" s="16"/>
      <c r="S4035" s="37" t="str">
        <f>IFERROR(__xludf.DUMMYFUNCTION("if(not(iserror(index(split(C4035, "" ""),2))), index(split(C4035, "" ""),1),"""")"),"")</f>
        <v/>
      </c>
      <c r="T4035" s="315" t="str">
        <f>IFERROR(__xludf.DUMMYFUNCTION("if(S4035="""",C4035,if(not(iserror(index(split(C4035, "" ""),3))), index(split(C4035, "" ""),3),index(split(C4035, "" ""),2)))"),"")</f>
        <v/>
      </c>
      <c r="U4035" s="38" t="b">
        <f t="shared" si="423"/>
        <v>0</v>
      </c>
      <c r="V4035" s="38"/>
      <c r="W4035" s="40"/>
      <c r="X4035" s="40"/>
      <c r="Y4035" s="40"/>
      <c r="Z4035" s="38"/>
      <c r="AA4035" s="38"/>
      <c r="AB4035" s="38"/>
      <c r="AC4035" s="38"/>
      <c r="AD4035" s="38"/>
      <c r="AE4035" s="38"/>
      <c r="AF4035" s="38"/>
      <c r="AG4035" s="38"/>
      <c r="AH4035" s="38"/>
      <c r="AI4035" s="38"/>
      <c r="AJ4035" s="38"/>
      <c r="AK4035" s="38"/>
      <c r="AL4035" s="38"/>
      <c r="AM4035" s="38"/>
      <c r="AN4035" s="38"/>
      <c r="AO4035" s="38"/>
      <c r="AP4035" s="38"/>
      <c r="AQ4035" s="38"/>
      <c r="AR4035" s="38"/>
      <c r="AS4035" s="38"/>
      <c r="AT4035" s="38"/>
      <c r="AU4035" s="38"/>
      <c r="AV4035" s="38"/>
      <c r="AW4035" s="38"/>
      <c r="AX4035" s="38"/>
      <c r="AY4035" s="38"/>
      <c r="AZ4035" s="38"/>
      <c r="BA4035" s="38"/>
      <c r="BB4035" s="38"/>
      <c r="BC4035" s="38"/>
      <c r="BD4035" s="38"/>
      <c r="BE4035" s="38"/>
      <c r="BF4035" s="38"/>
      <c r="BG4035" s="38"/>
      <c r="BH4035" s="38"/>
      <c r="BI4035" s="38"/>
      <c r="BJ4035" s="38"/>
      <c r="BK4035" s="38"/>
      <c r="BL4035" s="38"/>
      <c r="BM4035" s="38"/>
      <c r="BN4035" s="38"/>
      <c r="BO4035" s="38"/>
      <c r="BP4035" s="38"/>
      <c r="BQ4035" s="38"/>
    </row>
    <row r="4036">
      <c r="A4036" s="16"/>
      <c r="B4036" s="145"/>
      <c r="C4036" s="146"/>
      <c r="D4036" s="146"/>
      <c r="E4036" s="16"/>
      <c r="F4036" s="91"/>
      <c r="G4036" s="16"/>
      <c r="H4036" s="320" t="str">
        <f t="shared" si="424"/>
        <v/>
      </c>
      <c r="I4036" s="16"/>
      <c r="J4036" s="16"/>
      <c r="K4036" s="16"/>
      <c r="L4036" s="16"/>
      <c r="M4036" s="15"/>
      <c r="N4036" s="15"/>
      <c r="O4036" s="16"/>
      <c r="P4036" s="16"/>
      <c r="Q4036" s="16"/>
      <c r="R4036" s="16"/>
      <c r="S4036" s="37" t="str">
        <f>IFERROR(__xludf.DUMMYFUNCTION("if(not(iserror(index(split(C4036, "" ""),2))), index(split(C4036, "" ""),1),"""")"),"")</f>
        <v/>
      </c>
      <c r="T4036" s="315" t="str">
        <f>IFERROR(__xludf.DUMMYFUNCTION("if(S4036="""",C4036,if(not(iserror(index(split(C4036, "" ""),3))), index(split(C4036, "" ""),3),index(split(C4036, "" ""),2)))"),"")</f>
        <v/>
      </c>
      <c r="U4036" s="38" t="b">
        <f t="shared" si="423"/>
        <v>0</v>
      </c>
      <c r="V4036" s="38"/>
      <c r="W4036" s="40"/>
      <c r="X4036" s="40"/>
      <c r="Y4036" s="40"/>
      <c r="Z4036" s="38"/>
      <c r="AA4036" s="38"/>
      <c r="AB4036" s="38"/>
      <c r="AC4036" s="38"/>
      <c r="AD4036" s="38"/>
      <c r="AE4036" s="38"/>
      <c r="AF4036" s="38"/>
      <c r="AG4036" s="38"/>
      <c r="AH4036" s="38"/>
      <c r="AI4036" s="38"/>
      <c r="AJ4036" s="38"/>
      <c r="AK4036" s="38"/>
      <c r="AL4036" s="38"/>
      <c r="AM4036" s="38"/>
      <c r="AN4036" s="38"/>
      <c r="AO4036" s="38"/>
      <c r="AP4036" s="38"/>
      <c r="AQ4036" s="38"/>
      <c r="AR4036" s="38"/>
      <c r="AS4036" s="38"/>
      <c r="AT4036" s="38"/>
      <c r="AU4036" s="38"/>
      <c r="AV4036" s="38"/>
      <c r="AW4036" s="38"/>
      <c r="AX4036" s="38"/>
      <c r="AY4036" s="38"/>
      <c r="AZ4036" s="38"/>
      <c r="BA4036" s="38"/>
      <c r="BB4036" s="38"/>
      <c r="BC4036" s="38"/>
      <c r="BD4036" s="38"/>
      <c r="BE4036" s="38"/>
      <c r="BF4036" s="38"/>
      <c r="BG4036" s="38"/>
      <c r="BH4036" s="38"/>
      <c r="BI4036" s="38"/>
      <c r="BJ4036" s="38"/>
      <c r="BK4036" s="38"/>
      <c r="BL4036" s="38"/>
      <c r="BM4036" s="38"/>
      <c r="BN4036" s="38"/>
      <c r="BO4036" s="38"/>
      <c r="BP4036" s="38"/>
      <c r="BQ4036" s="38"/>
    </row>
    <row r="4037">
      <c r="A4037" s="16"/>
      <c r="B4037" s="145"/>
      <c r="C4037" s="146"/>
      <c r="D4037" s="146"/>
      <c r="E4037" s="16"/>
      <c r="F4037" s="91"/>
      <c r="G4037" s="16"/>
      <c r="H4037" s="320" t="str">
        <f t="shared" si="424"/>
        <v/>
      </c>
      <c r="I4037" s="16"/>
      <c r="J4037" s="16"/>
      <c r="K4037" s="16"/>
      <c r="L4037" s="16"/>
      <c r="M4037" s="15"/>
      <c r="N4037" s="15"/>
      <c r="O4037" s="16"/>
      <c r="P4037" s="16"/>
      <c r="Q4037" s="16"/>
      <c r="R4037" s="16"/>
      <c r="S4037" s="37" t="str">
        <f>IFERROR(__xludf.DUMMYFUNCTION("if(not(iserror(index(split(C4037, "" ""),2))), index(split(C4037, "" ""),1),"""")"),"")</f>
        <v/>
      </c>
      <c r="T4037" s="315" t="str">
        <f>IFERROR(__xludf.DUMMYFUNCTION("if(S4037="""",C4037,if(not(iserror(index(split(C4037, "" ""),3))), index(split(C4037, "" ""),3),index(split(C4037, "" ""),2)))"),"")</f>
        <v/>
      </c>
      <c r="U4037" s="38" t="b">
        <f t="shared" si="423"/>
        <v>0</v>
      </c>
      <c r="V4037" s="38"/>
      <c r="W4037" s="40"/>
      <c r="X4037" s="40"/>
      <c r="Y4037" s="40"/>
      <c r="Z4037" s="38"/>
      <c r="AA4037" s="38"/>
      <c r="AB4037" s="38"/>
      <c r="AC4037" s="38"/>
      <c r="AD4037" s="38"/>
      <c r="AE4037" s="38"/>
      <c r="AF4037" s="38"/>
      <c r="AG4037" s="38"/>
      <c r="AH4037" s="38"/>
      <c r="AI4037" s="38"/>
      <c r="AJ4037" s="38"/>
      <c r="AK4037" s="38"/>
      <c r="AL4037" s="38"/>
      <c r="AM4037" s="38"/>
      <c r="AN4037" s="38"/>
      <c r="AO4037" s="38"/>
      <c r="AP4037" s="38"/>
      <c r="AQ4037" s="38"/>
      <c r="AR4037" s="38"/>
      <c r="AS4037" s="38"/>
      <c r="AT4037" s="38"/>
      <c r="AU4037" s="38"/>
      <c r="AV4037" s="38"/>
      <c r="AW4037" s="38"/>
      <c r="AX4037" s="38"/>
      <c r="AY4037" s="38"/>
      <c r="AZ4037" s="38"/>
      <c r="BA4037" s="38"/>
      <c r="BB4037" s="38"/>
      <c r="BC4037" s="38"/>
      <c r="BD4037" s="38"/>
      <c r="BE4037" s="38"/>
      <c r="BF4037" s="38"/>
      <c r="BG4037" s="38"/>
      <c r="BH4037" s="38"/>
      <c r="BI4037" s="38"/>
      <c r="BJ4037" s="38"/>
      <c r="BK4037" s="38"/>
      <c r="BL4037" s="38"/>
      <c r="BM4037" s="38"/>
      <c r="BN4037" s="38"/>
      <c r="BO4037" s="38"/>
      <c r="BP4037" s="38"/>
      <c r="BQ4037" s="38"/>
    </row>
    <row r="4038">
      <c r="A4038" s="16"/>
      <c r="B4038" s="145"/>
      <c r="C4038" s="146"/>
      <c r="D4038" s="146"/>
      <c r="E4038" s="16"/>
      <c r="F4038" s="91"/>
      <c r="G4038" s="16"/>
      <c r="H4038" s="320" t="str">
        <f t="shared" si="424"/>
        <v/>
      </c>
      <c r="I4038" s="16"/>
      <c r="J4038" s="16"/>
      <c r="K4038" s="16"/>
      <c r="L4038" s="16"/>
      <c r="M4038" s="15"/>
      <c r="N4038" s="15"/>
      <c r="O4038" s="16"/>
      <c r="P4038" s="16"/>
      <c r="Q4038" s="16"/>
      <c r="R4038" s="16"/>
      <c r="S4038" s="37" t="str">
        <f>IFERROR(__xludf.DUMMYFUNCTION("if(not(iserror(index(split(C4038, "" ""),2))), index(split(C4038, "" ""),1),"""")"),"")</f>
        <v/>
      </c>
      <c r="T4038" s="315" t="str">
        <f>IFERROR(__xludf.DUMMYFUNCTION("if(S4038="""",C4038,if(not(iserror(index(split(C4038, "" ""),3))), index(split(C4038, "" ""),3),index(split(C4038, "" ""),2)))"),"")</f>
        <v/>
      </c>
      <c r="U4038" s="38" t="b">
        <f t="shared" si="423"/>
        <v>0</v>
      </c>
      <c r="V4038" s="38"/>
      <c r="W4038" s="40"/>
      <c r="X4038" s="40"/>
      <c r="Y4038" s="40"/>
      <c r="Z4038" s="38"/>
      <c r="AA4038" s="38"/>
      <c r="AB4038" s="38"/>
      <c r="AC4038" s="38"/>
      <c r="AD4038" s="38"/>
      <c r="AE4038" s="38"/>
      <c r="AF4038" s="38"/>
      <c r="AG4038" s="38"/>
      <c r="AH4038" s="38"/>
      <c r="AI4038" s="38"/>
      <c r="AJ4038" s="38"/>
      <c r="AK4038" s="38"/>
      <c r="AL4038" s="38"/>
      <c r="AM4038" s="38"/>
      <c r="AN4038" s="38"/>
      <c r="AO4038" s="38"/>
      <c r="AP4038" s="38"/>
      <c r="AQ4038" s="38"/>
      <c r="AR4038" s="38"/>
      <c r="AS4038" s="38"/>
      <c r="AT4038" s="38"/>
      <c r="AU4038" s="38"/>
      <c r="AV4038" s="38"/>
      <c r="AW4038" s="38"/>
      <c r="AX4038" s="38"/>
      <c r="AY4038" s="38"/>
      <c r="AZ4038" s="38"/>
      <c r="BA4038" s="38"/>
      <c r="BB4038" s="38"/>
      <c r="BC4038" s="38"/>
      <c r="BD4038" s="38"/>
      <c r="BE4038" s="38"/>
      <c r="BF4038" s="38"/>
      <c r="BG4038" s="38"/>
      <c r="BH4038" s="38"/>
      <c r="BI4038" s="38"/>
      <c r="BJ4038" s="38"/>
      <c r="BK4038" s="38"/>
      <c r="BL4038" s="38"/>
      <c r="BM4038" s="38"/>
      <c r="BN4038" s="38"/>
      <c r="BO4038" s="38"/>
      <c r="BP4038" s="38"/>
      <c r="BQ4038" s="38"/>
    </row>
    <row r="4039">
      <c r="A4039" s="16"/>
      <c r="B4039" s="145"/>
      <c r="C4039" s="146"/>
      <c r="D4039" s="146"/>
      <c r="E4039" s="16"/>
      <c r="F4039" s="91"/>
      <c r="G4039" s="16"/>
      <c r="H4039" s="320" t="str">
        <f t="shared" si="424"/>
        <v/>
      </c>
      <c r="I4039" s="16"/>
      <c r="J4039" s="16"/>
      <c r="K4039" s="16"/>
      <c r="L4039" s="16"/>
      <c r="M4039" s="15"/>
      <c r="N4039" s="15"/>
      <c r="O4039" s="16"/>
      <c r="P4039" s="16"/>
      <c r="Q4039" s="16"/>
      <c r="R4039" s="16"/>
      <c r="S4039" s="37" t="str">
        <f>IFERROR(__xludf.DUMMYFUNCTION("if(not(iserror(index(split(C4039, "" ""),2))), index(split(C4039, "" ""),1),"""")"),"")</f>
        <v/>
      </c>
      <c r="T4039" s="315" t="str">
        <f>IFERROR(__xludf.DUMMYFUNCTION("if(S4039="""",C4039,if(not(iserror(index(split(C4039, "" ""),3))), index(split(C4039, "" ""),3),index(split(C4039, "" ""),2)))"),"")</f>
        <v/>
      </c>
      <c r="U4039" s="38" t="b">
        <f t="shared" si="423"/>
        <v>0</v>
      </c>
      <c r="V4039" s="38"/>
      <c r="W4039" s="40"/>
      <c r="X4039" s="40"/>
      <c r="Y4039" s="40"/>
      <c r="Z4039" s="38"/>
      <c r="AA4039" s="38"/>
      <c r="AB4039" s="38"/>
      <c r="AC4039" s="38"/>
      <c r="AD4039" s="38"/>
      <c r="AE4039" s="38"/>
      <c r="AF4039" s="38"/>
      <c r="AG4039" s="38"/>
      <c r="AH4039" s="38"/>
      <c r="AI4039" s="38"/>
      <c r="AJ4039" s="38"/>
      <c r="AK4039" s="38"/>
      <c r="AL4039" s="38"/>
      <c r="AM4039" s="38"/>
      <c r="AN4039" s="38"/>
      <c r="AO4039" s="38"/>
      <c r="AP4039" s="38"/>
      <c r="AQ4039" s="38"/>
      <c r="AR4039" s="38"/>
      <c r="AS4039" s="38"/>
      <c r="AT4039" s="38"/>
      <c r="AU4039" s="38"/>
      <c r="AV4039" s="38"/>
      <c r="AW4039" s="38"/>
      <c r="AX4039" s="38"/>
      <c r="AY4039" s="38"/>
      <c r="AZ4039" s="38"/>
      <c r="BA4039" s="38"/>
      <c r="BB4039" s="38"/>
      <c r="BC4039" s="38"/>
      <c r="BD4039" s="38"/>
      <c r="BE4039" s="38"/>
      <c r="BF4039" s="38"/>
      <c r="BG4039" s="38"/>
      <c r="BH4039" s="38"/>
      <c r="BI4039" s="38"/>
      <c r="BJ4039" s="38"/>
      <c r="BK4039" s="38"/>
      <c r="BL4039" s="38"/>
      <c r="BM4039" s="38"/>
      <c r="BN4039" s="38"/>
      <c r="BO4039" s="38"/>
      <c r="BP4039" s="38"/>
      <c r="BQ4039" s="38"/>
    </row>
    <row r="4040">
      <c r="A4040" s="16"/>
      <c r="B4040" s="145"/>
      <c r="C4040" s="146"/>
      <c r="D4040" s="146"/>
      <c r="E4040" s="16"/>
      <c r="F4040" s="91"/>
      <c r="G4040" s="16"/>
      <c r="H4040" s="320" t="str">
        <f t="shared" si="424"/>
        <v/>
      </c>
      <c r="I4040" s="16"/>
      <c r="J4040" s="16"/>
      <c r="K4040" s="16"/>
      <c r="L4040" s="16"/>
      <c r="M4040" s="15"/>
      <c r="N4040" s="15"/>
      <c r="O4040" s="16"/>
      <c r="P4040" s="16"/>
      <c r="Q4040" s="16"/>
      <c r="R4040" s="16"/>
      <c r="S4040" s="37" t="str">
        <f>IFERROR(__xludf.DUMMYFUNCTION("if(not(iserror(index(split(C4040, "" ""),2))), index(split(C4040, "" ""),1),"""")"),"")</f>
        <v/>
      </c>
      <c r="T4040" s="315" t="str">
        <f>IFERROR(__xludf.DUMMYFUNCTION("if(S4040="""",C4040,if(not(iserror(index(split(C4040, "" ""),3))), index(split(C4040, "" ""),3),index(split(C4040, "" ""),2)))"),"")</f>
        <v/>
      </c>
      <c r="U4040" s="38" t="b">
        <f t="shared" si="423"/>
        <v>0</v>
      </c>
      <c r="V4040" s="38"/>
      <c r="W4040" s="40"/>
      <c r="X4040" s="40"/>
      <c r="Y4040" s="40"/>
      <c r="Z4040" s="38"/>
      <c r="AA4040" s="38"/>
      <c r="AB4040" s="38"/>
      <c r="AC4040" s="38"/>
      <c r="AD4040" s="38"/>
      <c r="AE4040" s="38"/>
      <c r="AF4040" s="38"/>
      <c r="AG4040" s="38"/>
      <c r="AH4040" s="38"/>
      <c r="AI4040" s="38"/>
      <c r="AJ4040" s="38"/>
      <c r="AK4040" s="38"/>
      <c r="AL4040" s="38"/>
      <c r="AM4040" s="38"/>
      <c r="AN4040" s="38"/>
      <c r="AO4040" s="38"/>
      <c r="AP4040" s="38"/>
      <c r="AQ4040" s="38"/>
      <c r="AR4040" s="38"/>
      <c r="AS4040" s="38"/>
      <c r="AT4040" s="38"/>
      <c r="AU4040" s="38"/>
      <c r="AV4040" s="38"/>
      <c r="AW4040" s="38"/>
      <c r="AX4040" s="38"/>
      <c r="AY4040" s="38"/>
      <c r="AZ4040" s="38"/>
      <c r="BA4040" s="38"/>
      <c r="BB4040" s="38"/>
      <c r="BC4040" s="38"/>
      <c r="BD4040" s="38"/>
      <c r="BE4040" s="38"/>
      <c r="BF4040" s="38"/>
      <c r="BG4040" s="38"/>
      <c r="BH4040" s="38"/>
      <c r="BI4040" s="38"/>
      <c r="BJ4040" s="38"/>
      <c r="BK4040" s="38"/>
      <c r="BL4040" s="38"/>
      <c r="BM4040" s="38"/>
      <c r="BN4040" s="38"/>
      <c r="BO4040" s="38"/>
      <c r="BP4040" s="38"/>
      <c r="BQ4040" s="38"/>
    </row>
    <row r="4041">
      <c r="A4041" s="16"/>
      <c r="B4041" s="145"/>
      <c r="C4041" s="146"/>
      <c r="D4041" s="146"/>
      <c r="E4041" s="16"/>
      <c r="F4041" s="91"/>
      <c r="G4041" s="16"/>
      <c r="H4041" s="320" t="str">
        <f t="shared" si="424"/>
        <v/>
      </c>
      <c r="I4041" s="16"/>
      <c r="J4041" s="16"/>
      <c r="K4041" s="16"/>
      <c r="L4041" s="16"/>
      <c r="M4041" s="15"/>
      <c r="N4041" s="15"/>
      <c r="O4041" s="16"/>
      <c r="P4041" s="16"/>
      <c r="Q4041" s="16"/>
      <c r="R4041" s="16"/>
      <c r="S4041" s="37" t="str">
        <f>IFERROR(__xludf.DUMMYFUNCTION("if(not(iserror(index(split(C4041, "" ""),2))), index(split(C4041, "" ""),1),"""")"),"")</f>
        <v/>
      </c>
      <c r="T4041" s="315" t="str">
        <f>IFERROR(__xludf.DUMMYFUNCTION("if(S4041="""",C4041,if(not(iserror(index(split(C4041, "" ""),3))), index(split(C4041, "" ""),3),index(split(C4041, "" ""),2)))"),"")</f>
        <v/>
      </c>
      <c r="U4041" s="38" t="b">
        <f t="shared" si="423"/>
        <v>0</v>
      </c>
      <c r="V4041" s="38"/>
      <c r="W4041" s="40"/>
      <c r="X4041" s="40"/>
      <c r="Y4041" s="40"/>
      <c r="Z4041" s="38"/>
      <c r="AA4041" s="38"/>
      <c r="AB4041" s="38"/>
      <c r="AC4041" s="38"/>
      <c r="AD4041" s="38"/>
      <c r="AE4041" s="38"/>
      <c r="AF4041" s="38"/>
      <c r="AG4041" s="38"/>
      <c r="AH4041" s="38"/>
      <c r="AI4041" s="38"/>
      <c r="AJ4041" s="38"/>
      <c r="AK4041" s="38"/>
      <c r="AL4041" s="38"/>
      <c r="AM4041" s="38"/>
      <c r="AN4041" s="38"/>
      <c r="AO4041" s="38"/>
      <c r="AP4041" s="38"/>
      <c r="AQ4041" s="38"/>
      <c r="AR4041" s="38"/>
      <c r="AS4041" s="38"/>
      <c r="AT4041" s="38"/>
      <c r="AU4041" s="38"/>
      <c r="AV4041" s="38"/>
      <c r="AW4041" s="38"/>
      <c r="AX4041" s="38"/>
      <c r="AY4041" s="38"/>
      <c r="AZ4041" s="38"/>
      <c r="BA4041" s="38"/>
      <c r="BB4041" s="38"/>
      <c r="BC4041" s="38"/>
      <c r="BD4041" s="38"/>
      <c r="BE4041" s="38"/>
      <c r="BF4041" s="38"/>
      <c r="BG4041" s="38"/>
      <c r="BH4041" s="38"/>
      <c r="BI4041" s="38"/>
      <c r="BJ4041" s="38"/>
      <c r="BK4041" s="38"/>
      <c r="BL4041" s="38"/>
      <c r="BM4041" s="38"/>
      <c r="BN4041" s="38"/>
      <c r="BO4041" s="38"/>
      <c r="BP4041" s="38"/>
      <c r="BQ4041" s="38"/>
    </row>
    <row r="4042">
      <c r="A4042" s="16"/>
      <c r="B4042" s="145"/>
      <c r="C4042" s="146"/>
      <c r="D4042" s="146"/>
      <c r="E4042" s="16"/>
      <c r="F4042" s="91"/>
      <c r="G4042" s="16"/>
      <c r="H4042" s="320" t="str">
        <f t="shared" si="424"/>
        <v/>
      </c>
      <c r="I4042" s="16"/>
      <c r="J4042" s="16"/>
      <c r="K4042" s="16"/>
      <c r="L4042" s="16"/>
      <c r="M4042" s="15"/>
      <c r="N4042" s="15"/>
      <c r="O4042" s="16"/>
      <c r="P4042" s="16"/>
      <c r="Q4042" s="16"/>
      <c r="R4042" s="16"/>
      <c r="S4042" s="37" t="str">
        <f>IFERROR(__xludf.DUMMYFUNCTION("if(not(iserror(index(split(C4042, "" ""),2))), index(split(C4042, "" ""),1),"""")"),"")</f>
        <v/>
      </c>
      <c r="T4042" s="315" t="str">
        <f>IFERROR(__xludf.DUMMYFUNCTION("if(S4042="""",C4042,if(not(iserror(index(split(C4042, "" ""),3))), index(split(C4042, "" ""),3),index(split(C4042, "" ""),2)))"),"")</f>
        <v/>
      </c>
      <c r="U4042" s="38" t="b">
        <f t="shared" si="423"/>
        <v>0</v>
      </c>
      <c r="V4042" s="38"/>
      <c r="W4042" s="40"/>
      <c r="X4042" s="40"/>
      <c r="Y4042" s="40"/>
      <c r="Z4042" s="38"/>
      <c r="AA4042" s="38"/>
      <c r="AB4042" s="38"/>
      <c r="AC4042" s="38"/>
      <c r="AD4042" s="38"/>
      <c r="AE4042" s="38"/>
      <c r="AF4042" s="38"/>
      <c r="AG4042" s="38"/>
      <c r="AH4042" s="38"/>
      <c r="AI4042" s="38"/>
      <c r="AJ4042" s="38"/>
      <c r="AK4042" s="38"/>
      <c r="AL4042" s="38"/>
      <c r="AM4042" s="38"/>
      <c r="AN4042" s="38"/>
      <c r="AO4042" s="38"/>
      <c r="AP4042" s="38"/>
      <c r="AQ4042" s="38"/>
      <c r="AR4042" s="38"/>
      <c r="AS4042" s="38"/>
      <c r="AT4042" s="38"/>
      <c r="AU4042" s="38"/>
      <c r="AV4042" s="38"/>
      <c r="AW4042" s="38"/>
      <c r="AX4042" s="38"/>
      <c r="AY4042" s="38"/>
      <c r="AZ4042" s="38"/>
      <c r="BA4042" s="38"/>
      <c r="BB4042" s="38"/>
      <c r="BC4042" s="38"/>
      <c r="BD4042" s="38"/>
      <c r="BE4042" s="38"/>
      <c r="BF4042" s="38"/>
      <c r="BG4042" s="38"/>
      <c r="BH4042" s="38"/>
      <c r="BI4042" s="38"/>
      <c r="BJ4042" s="38"/>
      <c r="BK4042" s="38"/>
      <c r="BL4042" s="38"/>
      <c r="BM4042" s="38"/>
      <c r="BN4042" s="38"/>
      <c r="BO4042" s="38"/>
      <c r="BP4042" s="38"/>
      <c r="BQ4042" s="38"/>
    </row>
    <row r="4043">
      <c r="A4043" s="16"/>
      <c r="B4043" s="145"/>
      <c r="C4043" s="146"/>
      <c r="D4043" s="146"/>
      <c r="E4043" s="16"/>
      <c r="F4043" s="91"/>
      <c r="G4043" s="16"/>
      <c r="H4043" s="320" t="str">
        <f t="shared" si="424"/>
        <v/>
      </c>
      <c r="I4043" s="16"/>
      <c r="J4043" s="16"/>
      <c r="K4043" s="16"/>
      <c r="L4043" s="16"/>
      <c r="M4043" s="15"/>
      <c r="N4043" s="15"/>
      <c r="O4043" s="16"/>
      <c r="P4043" s="16"/>
      <c r="Q4043" s="16"/>
      <c r="R4043" s="16"/>
      <c r="S4043" s="37" t="str">
        <f>IFERROR(__xludf.DUMMYFUNCTION("if(not(iserror(index(split(C4043, "" ""),2))), index(split(C4043, "" ""),1),"""")"),"")</f>
        <v/>
      </c>
      <c r="T4043" s="315" t="str">
        <f>IFERROR(__xludf.DUMMYFUNCTION("if(S4043="""",C4043,if(not(iserror(index(split(C4043, "" ""),3))), index(split(C4043, "" ""),3),index(split(C4043, "" ""),2)))"),"")</f>
        <v/>
      </c>
      <c r="U4043" s="38" t="b">
        <f t="shared" si="423"/>
        <v>0</v>
      </c>
      <c r="V4043" s="38"/>
      <c r="W4043" s="40"/>
      <c r="X4043" s="40"/>
      <c r="Y4043" s="40"/>
      <c r="Z4043" s="38"/>
      <c r="AA4043" s="38"/>
      <c r="AB4043" s="38"/>
      <c r="AC4043" s="38"/>
      <c r="AD4043" s="38"/>
      <c r="AE4043" s="38"/>
      <c r="AF4043" s="38"/>
      <c r="AG4043" s="38"/>
      <c r="AH4043" s="38"/>
      <c r="AI4043" s="38"/>
      <c r="AJ4043" s="38"/>
      <c r="AK4043" s="38"/>
      <c r="AL4043" s="38"/>
      <c r="AM4043" s="38"/>
      <c r="AN4043" s="38"/>
      <c r="AO4043" s="38"/>
      <c r="AP4043" s="38"/>
      <c r="AQ4043" s="38"/>
      <c r="AR4043" s="38"/>
      <c r="AS4043" s="38"/>
      <c r="AT4043" s="38"/>
      <c r="AU4043" s="38"/>
      <c r="AV4043" s="38"/>
      <c r="AW4043" s="38"/>
      <c r="AX4043" s="38"/>
      <c r="AY4043" s="38"/>
      <c r="AZ4043" s="38"/>
      <c r="BA4043" s="38"/>
      <c r="BB4043" s="38"/>
      <c r="BC4043" s="38"/>
      <c r="BD4043" s="38"/>
      <c r="BE4043" s="38"/>
      <c r="BF4043" s="38"/>
      <c r="BG4043" s="38"/>
      <c r="BH4043" s="38"/>
      <c r="BI4043" s="38"/>
      <c r="BJ4043" s="38"/>
      <c r="BK4043" s="38"/>
      <c r="BL4043" s="38"/>
      <c r="BM4043" s="38"/>
      <c r="BN4043" s="38"/>
      <c r="BO4043" s="38"/>
      <c r="BP4043" s="38"/>
      <c r="BQ4043" s="38"/>
    </row>
    <row r="4044">
      <c r="A4044" s="16"/>
      <c r="B4044" s="145"/>
      <c r="C4044" s="146"/>
      <c r="D4044" s="146"/>
      <c r="E4044" s="16"/>
      <c r="F4044" s="91"/>
      <c r="G4044" s="16"/>
      <c r="H4044" s="320" t="str">
        <f t="shared" si="424"/>
        <v/>
      </c>
      <c r="I4044" s="16"/>
      <c r="J4044" s="16"/>
      <c r="K4044" s="16"/>
      <c r="L4044" s="16"/>
      <c r="M4044" s="15"/>
      <c r="N4044" s="15"/>
      <c r="O4044" s="16"/>
      <c r="P4044" s="16"/>
      <c r="Q4044" s="16"/>
      <c r="R4044" s="16"/>
      <c r="S4044" s="37" t="str">
        <f>IFERROR(__xludf.DUMMYFUNCTION("if(not(iserror(index(split(C4044, "" ""),2))), index(split(C4044, "" ""),1),"""")"),"")</f>
        <v/>
      </c>
      <c r="T4044" s="315" t="str">
        <f>IFERROR(__xludf.DUMMYFUNCTION("if(S4044="""",C4044,if(not(iserror(index(split(C4044, "" ""),3))), index(split(C4044, "" ""),3),index(split(C4044, "" ""),2)))"),"")</f>
        <v/>
      </c>
      <c r="U4044" s="38" t="b">
        <f t="shared" si="423"/>
        <v>0</v>
      </c>
      <c r="V4044" s="38"/>
      <c r="W4044" s="40"/>
      <c r="X4044" s="40"/>
      <c r="Y4044" s="40"/>
      <c r="Z4044" s="38"/>
      <c r="AA4044" s="38"/>
      <c r="AB4044" s="38"/>
      <c r="AC4044" s="38"/>
      <c r="AD4044" s="38"/>
      <c r="AE4044" s="38"/>
      <c r="AF4044" s="38"/>
      <c r="AG4044" s="38"/>
      <c r="AH4044" s="38"/>
      <c r="AI4044" s="38"/>
      <c r="AJ4044" s="38"/>
      <c r="AK4044" s="38"/>
      <c r="AL4044" s="38"/>
      <c r="AM4044" s="38"/>
      <c r="AN4044" s="38"/>
      <c r="AO4044" s="38"/>
      <c r="AP4044" s="38"/>
      <c r="AQ4044" s="38"/>
      <c r="AR4044" s="38"/>
      <c r="AS4044" s="38"/>
      <c r="AT4044" s="38"/>
      <c r="AU4044" s="38"/>
      <c r="AV4044" s="38"/>
      <c r="AW4044" s="38"/>
      <c r="AX4044" s="38"/>
      <c r="AY4044" s="38"/>
      <c r="AZ4044" s="38"/>
      <c r="BA4044" s="38"/>
      <c r="BB4044" s="38"/>
      <c r="BC4044" s="38"/>
      <c r="BD4044" s="38"/>
      <c r="BE4044" s="38"/>
      <c r="BF4044" s="38"/>
      <c r="BG4044" s="38"/>
      <c r="BH4044" s="38"/>
      <c r="BI4044" s="38"/>
      <c r="BJ4044" s="38"/>
      <c r="BK4044" s="38"/>
      <c r="BL4044" s="38"/>
      <c r="BM4044" s="38"/>
      <c r="BN4044" s="38"/>
      <c r="BO4044" s="38"/>
      <c r="BP4044" s="38"/>
      <c r="BQ4044" s="38"/>
    </row>
    <row r="4045">
      <c r="A4045" s="16"/>
      <c r="B4045" s="145"/>
      <c r="C4045" s="146"/>
      <c r="D4045" s="146"/>
      <c r="E4045" s="16"/>
      <c r="F4045" s="91"/>
      <c r="G4045" s="16"/>
      <c r="H4045" s="320" t="str">
        <f t="shared" si="424"/>
        <v/>
      </c>
      <c r="I4045" s="16"/>
      <c r="J4045" s="16"/>
      <c r="K4045" s="16"/>
      <c r="L4045" s="16"/>
      <c r="M4045" s="15"/>
      <c r="N4045" s="15"/>
      <c r="O4045" s="16"/>
      <c r="P4045" s="16"/>
      <c r="Q4045" s="16"/>
      <c r="R4045" s="16"/>
      <c r="S4045" s="37" t="str">
        <f>IFERROR(__xludf.DUMMYFUNCTION("if(not(iserror(index(split(C4045, "" ""),2))), index(split(C4045, "" ""),1),"""")"),"")</f>
        <v/>
      </c>
      <c r="T4045" s="315" t="str">
        <f>IFERROR(__xludf.DUMMYFUNCTION("if(S4045="""",C4045,if(not(iserror(index(split(C4045, "" ""),3))), index(split(C4045, "" ""),3),index(split(C4045, "" ""),2)))"),"")</f>
        <v/>
      </c>
      <c r="U4045" s="38" t="b">
        <f t="shared" si="423"/>
        <v>0</v>
      </c>
      <c r="V4045" s="38"/>
      <c r="W4045" s="40"/>
      <c r="X4045" s="40"/>
      <c r="Y4045" s="40"/>
      <c r="Z4045" s="38"/>
      <c r="AA4045" s="38"/>
      <c r="AB4045" s="38"/>
      <c r="AC4045" s="38"/>
      <c r="AD4045" s="38"/>
      <c r="AE4045" s="38"/>
      <c r="AF4045" s="38"/>
      <c r="AG4045" s="38"/>
      <c r="AH4045" s="38"/>
      <c r="AI4045" s="38"/>
      <c r="AJ4045" s="38"/>
      <c r="AK4045" s="38"/>
      <c r="AL4045" s="38"/>
      <c r="AM4045" s="38"/>
      <c r="AN4045" s="38"/>
      <c r="AO4045" s="38"/>
      <c r="AP4045" s="38"/>
      <c r="AQ4045" s="38"/>
      <c r="AR4045" s="38"/>
      <c r="AS4045" s="38"/>
      <c r="AT4045" s="38"/>
      <c r="AU4045" s="38"/>
      <c r="AV4045" s="38"/>
      <c r="AW4045" s="38"/>
      <c r="AX4045" s="38"/>
      <c r="AY4045" s="38"/>
      <c r="AZ4045" s="38"/>
      <c r="BA4045" s="38"/>
      <c r="BB4045" s="38"/>
      <c r="BC4045" s="38"/>
      <c r="BD4045" s="38"/>
      <c r="BE4045" s="38"/>
      <c r="BF4045" s="38"/>
      <c r="BG4045" s="38"/>
      <c r="BH4045" s="38"/>
      <c r="BI4045" s="38"/>
      <c r="BJ4045" s="38"/>
      <c r="BK4045" s="38"/>
      <c r="BL4045" s="38"/>
      <c r="BM4045" s="38"/>
      <c r="BN4045" s="38"/>
      <c r="BO4045" s="38"/>
      <c r="BP4045" s="38"/>
      <c r="BQ4045" s="38"/>
    </row>
    <row r="4046">
      <c r="A4046" s="16"/>
      <c r="B4046" s="145"/>
      <c r="C4046" s="146"/>
      <c r="D4046" s="146"/>
      <c r="E4046" s="16"/>
      <c r="F4046" s="91"/>
      <c r="G4046" s="16"/>
      <c r="H4046" s="320" t="str">
        <f t="shared" si="424"/>
        <v/>
      </c>
      <c r="I4046" s="16"/>
      <c r="J4046" s="16"/>
      <c r="K4046" s="16"/>
      <c r="L4046" s="16"/>
      <c r="M4046" s="15"/>
      <c r="N4046" s="15"/>
      <c r="O4046" s="16"/>
      <c r="P4046" s="16"/>
      <c r="Q4046" s="16"/>
      <c r="R4046" s="16"/>
      <c r="S4046" s="37" t="str">
        <f>IFERROR(__xludf.DUMMYFUNCTION("if(not(iserror(index(split(C4046, "" ""),2))), index(split(C4046, "" ""),1),"""")"),"")</f>
        <v/>
      </c>
      <c r="T4046" s="315" t="str">
        <f>IFERROR(__xludf.DUMMYFUNCTION("if(S4046="""",C4046,if(not(iserror(index(split(C4046, "" ""),3))), index(split(C4046, "" ""),3),index(split(C4046, "" ""),2)))"),"")</f>
        <v/>
      </c>
      <c r="U4046" s="38" t="b">
        <f t="shared" si="423"/>
        <v>0</v>
      </c>
      <c r="V4046" s="38"/>
      <c r="W4046" s="40"/>
      <c r="X4046" s="40"/>
      <c r="Y4046" s="40"/>
      <c r="Z4046" s="38"/>
      <c r="AA4046" s="38"/>
      <c r="AB4046" s="38"/>
      <c r="AC4046" s="38"/>
      <c r="AD4046" s="38"/>
      <c r="AE4046" s="38"/>
      <c r="AF4046" s="38"/>
      <c r="AG4046" s="38"/>
      <c r="AH4046" s="38"/>
      <c r="AI4046" s="38"/>
      <c r="AJ4046" s="38"/>
      <c r="AK4046" s="38"/>
      <c r="AL4046" s="38"/>
      <c r="AM4046" s="38"/>
      <c r="AN4046" s="38"/>
      <c r="AO4046" s="38"/>
      <c r="AP4046" s="38"/>
      <c r="AQ4046" s="38"/>
      <c r="AR4046" s="38"/>
      <c r="AS4046" s="38"/>
      <c r="AT4046" s="38"/>
      <c r="AU4046" s="38"/>
      <c r="AV4046" s="38"/>
      <c r="AW4046" s="38"/>
      <c r="AX4046" s="38"/>
      <c r="AY4046" s="38"/>
      <c r="AZ4046" s="38"/>
      <c r="BA4046" s="38"/>
      <c r="BB4046" s="38"/>
      <c r="BC4046" s="38"/>
      <c r="BD4046" s="38"/>
      <c r="BE4046" s="38"/>
      <c r="BF4046" s="38"/>
      <c r="BG4046" s="38"/>
      <c r="BH4046" s="38"/>
      <c r="BI4046" s="38"/>
      <c r="BJ4046" s="38"/>
      <c r="BK4046" s="38"/>
      <c r="BL4046" s="38"/>
      <c r="BM4046" s="38"/>
      <c r="BN4046" s="38"/>
      <c r="BO4046" s="38"/>
      <c r="BP4046" s="38"/>
      <c r="BQ4046" s="38"/>
    </row>
    <row r="4047">
      <c r="A4047" s="16"/>
      <c r="B4047" s="145"/>
      <c r="C4047" s="146"/>
      <c r="D4047" s="146"/>
      <c r="E4047" s="16"/>
      <c r="F4047" s="91"/>
      <c r="G4047" s="16"/>
      <c r="H4047" s="320" t="str">
        <f t="shared" si="424"/>
        <v/>
      </c>
      <c r="I4047" s="16"/>
      <c r="J4047" s="16"/>
      <c r="K4047" s="16"/>
      <c r="L4047" s="16"/>
      <c r="M4047" s="15"/>
      <c r="N4047" s="15"/>
      <c r="O4047" s="16"/>
      <c r="P4047" s="16"/>
      <c r="Q4047" s="16"/>
      <c r="R4047" s="16"/>
      <c r="S4047" s="37" t="str">
        <f>IFERROR(__xludf.DUMMYFUNCTION("if(not(iserror(index(split(C4047, "" ""),2))), index(split(C4047, "" ""),1),"""")"),"")</f>
        <v/>
      </c>
      <c r="T4047" s="315" t="str">
        <f>IFERROR(__xludf.DUMMYFUNCTION("if(S4047="""",C4047,if(not(iserror(index(split(C4047, "" ""),3))), index(split(C4047, "" ""),3),index(split(C4047, "" ""),2)))"),"")</f>
        <v/>
      </c>
      <c r="U4047" s="38" t="b">
        <f t="shared" si="423"/>
        <v>0</v>
      </c>
      <c r="V4047" s="38"/>
      <c r="W4047" s="40"/>
      <c r="X4047" s="40"/>
      <c r="Y4047" s="40"/>
      <c r="Z4047" s="38"/>
      <c r="AA4047" s="38"/>
      <c r="AB4047" s="38"/>
      <c r="AC4047" s="38"/>
      <c r="AD4047" s="38"/>
      <c r="AE4047" s="38"/>
      <c r="AF4047" s="38"/>
      <c r="AG4047" s="38"/>
      <c r="AH4047" s="38"/>
      <c r="AI4047" s="38"/>
      <c r="AJ4047" s="38"/>
      <c r="AK4047" s="38"/>
      <c r="AL4047" s="38"/>
      <c r="AM4047" s="38"/>
      <c r="AN4047" s="38"/>
      <c r="AO4047" s="38"/>
      <c r="AP4047" s="38"/>
      <c r="AQ4047" s="38"/>
      <c r="AR4047" s="38"/>
      <c r="AS4047" s="38"/>
      <c r="AT4047" s="38"/>
      <c r="AU4047" s="38"/>
      <c r="AV4047" s="38"/>
      <c r="AW4047" s="38"/>
      <c r="AX4047" s="38"/>
      <c r="AY4047" s="38"/>
      <c r="AZ4047" s="38"/>
      <c r="BA4047" s="38"/>
      <c r="BB4047" s="38"/>
      <c r="BC4047" s="38"/>
      <c r="BD4047" s="38"/>
      <c r="BE4047" s="38"/>
      <c r="BF4047" s="38"/>
      <c r="BG4047" s="38"/>
      <c r="BH4047" s="38"/>
      <c r="BI4047" s="38"/>
      <c r="BJ4047" s="38"/>
      <c r="BK4047" s="38"/>
      <c r="BL4047" s="38"/>
      <c r="BM4047" s="38"/>
      <c r="BN4047" s="38"/>
      <c r="BO4047" s="38"/>
      <c r="BP4047" s="38"/>
      <c r="BQ4047" s="38"/>
    </row>
    <row r="4048">
      <c r="A4048" s="16"/>
      <c r="B4048" s="145"/>
      <c r="C4048" s="146"/>
      <c r="D4048" s="146"/>
      <c r="E4048" s="16"/>
      <c r="F4048" s="91"/>
      <c r="G4048" s="16"/>
      <c r="H4048" s="320" t="str">
        <f t="shared" si="424"/>
        <v/>
      </c>
      <c r="I4048" s="16"/>
      <c r="J4048" s="16"/>
      <c r="K4048" s="16"/>
      <c r="L4048" s="16"/>
      <c r="M4048" s="15"/>
      <c r="N4048" s="15"/>
      <c r="O4048" s="16"/>
      <c r="P4048" s="16"/>
      <c r="Q4048" s="16"/>
      <c r="R4048" s="16"/>
      <c r="S4048" s="37" t="str">
        <f>IFERROR(__xludf.DUMMYFUNCTION("if(not(iserror(index(split(C4048, "" ""),2))), index(split(C4048, "" ""),1),"""")"),"")</f>
        <v/>
      </c>
      <c r="T4048" s="315" t="str">
        <f>IFERROR(__xludf.DUMMYFUNCTION("if(S4048="""",C4048,if(not(iserror(index(split(C4048, "" ""),3))), index(split(C4048, "" ""),3),index(split(C4048, "" ""),2)))"),"")</f>
        <v/>
      </c>
      <c r="U4048" s="38" t="b">
        <f t="shared" si="423"/>
        <v>0</v>
      </c>
      <c r="V4048" s="38"/>
      <c r="W4048" s="40"/>
      <c r="X4048" s="40"/>
      <c r="Y4048" s="40"/>
      <c r="Z4048" s="38"/>
      <c r="AA4048" s="38"/>
      <c r="AB4048" s="38"/>
      <c r="AC4048" s="38"/>
      <c r="AD4048" s="38"/>
      <c r="AE4048" s="38"/>
      <c r="AF4048" s="38"/>
      <c r="AG4048" s="38"/>
      <c r="AH4048" s="38"/>
      <c r="AI4048" s="38"/>
      <c r="AJ4048" s="38"/>
      <c r="AK4048" s="38"/>
      <c r="AL4048" s="38"/>
      <c r="AM4048" s="38"/>
      <c r="AN4048" s="38"/>
      <c r="AO4048" s="38"/>
      <c r="AP4048" s="38"/>
      <c r="AQ4048" s="38"/>
      <c r="AR4048" s="38"/>
      <c r="AS4048" s="38"/>
      <c r="AT4048" s="38"/>
      <c r="AU4048" s="38"/>
      <c r="AV4048" s="38"/>
      <c r="AW4048" s="38"/>
      <c r="AX4048" s="38"/>
      <c r="AY4048" s="38"/>
      <c r="AZ4048" s="38"/>
      <c r="BA4048" s="38"/>
      <c r="BB4048" s="38"/>
      <c r="BC4048" s="38"/>
      <c r="BD4048" s="38"/>
      <c r="BE4048" s="38"/>
      <c r="BF4048" s="38"/>
      <c r="BG4048" s="38"/>
      <c r="BH4048" s="38"/>
      <c r="BI4048" s="38"/>
      <c r="BJ4048" s="38"/>
      <c r="BK4048" s="38"/>
      <c r="BL4048" s="38"/>
      <c r="BM4048" s="38"/>
      <c r="BN4048" s="38"/>
      <c r="BO4048" s="38"/>
      <c r="BP4048" s="38"/>
      <c r="BQ4048" s="38"/>
    </row>
    <row r="4049">
      <c r="A4049" s="16"/>
      <c r="B4049" s="145"/>
      <c r="C4049" s="146"/>
      <c r="D4049" s="146"/>
      <c r="E4049" s="16"/>
      <c r="F4049" s="91"/>
      <c r="G4049" s="16"/>
      <c r="H4049" s="320" t="str">
        <f t="shared" si="424"/>
        <v/>
      </c>
      <c r="I4049" s="16"/>
      <c r="J4049" s="16"/>
      <c r="K4049" s="16"/>
      <c r="L4049" s="16"/>
      <c r="M4049" s="15"/>
      <c r="N4049" s="15"/>
      <c r="O4049" s="16"/>
      <c r="P4049" s="16"/>
      <c r="Q4049" s="16"/>
      <c r="R4049" s="16"/>
      <c r="S4049" s="37" t="str">
        <f>IFERROR(__xludf.DUMMYFUNCTION("if(not(iserror(index(split(C4049, "" ""),2))), index(split(C4049, "" ""),1),"""")"),"")</f>
        <v/>
      </c>
      <c r="T4049" s="315" t="str">
        <f>IFERROR(__xludf.DUMMYFUNCTION("if(S4049="""",C4049,if(not(iserror(index(split(C4049, "" ""),3))), index(split(C4049, "" ""),3),index(split(C4049, "" ""),2)))"),"")</f>
        <v/>
      </c>
      <c r="U4049" s="38" t="b">
        <f t="shared" si="423"/>
        <v>0</v>
      </c>
      <c r="V4049" s="38"/>
      <c r="W4049" s="40"/>
      <c r="X4049" s="40"/>
      <c r="Y4049" s="40"/>
      <c r="Z4049" s="38"/>
      <c r="AA4049" s="38"/>
      <c r="AB4049" s="38"/>
      <c r="AC4049" s="38"/>
      <c r="AD4049" s="38"/>
      <c r="AE4049" s="38"/>
      <c r="AF4049" s="38"/>
      <c r="AG4049" s="38"/>
      <c r="AH4049" s="38"/>
      <c r="AI4049" s="38"/>
      <c r="AJ4049" s="38"/>
      <c r="AK4049" s="38"/>
      <c r="AL4049" s="38"/>
      <c r="AM4049" s="38"/>
      <c r="AN4049" s="38"/>
      <c r="AO4049" s="38"/>
      <c r="AP4049" s="38"/>
      <c r="AQ4049" s="38"/>
      <c r="AR4049" s="38"/>
      <c r="AS4049" s="38"/>
      <c r="AT4049" s="38"/>
      <c r="AU4049" s="38"/>
      <c r="AV4049" s="38"/>
      <c r="AW4049" s="38"/>
      <c r="AX4049" s="38"/>
      <c r="AY4049" s="38"/>
      <c r="AZ4049" s="38"/>
      <c r="BA4049" s="38"/>
      <c r="BB4049" s="38"/>
      <c r="BC4049" s="38"/>
      <c r="BD4049" s="38"/>
      <c r="BE4049" s="38"/>
      <c r="BF4049" s="38"/>
      <c r="BG4049" s="38"/>
      <c r="BH4049" s="38"/>
      <c r="BI4049" s="38"/>
      <c r="BJ4049" s="38"/>
      <c r="BK4049" s="38"/>
      <c r="BL4049" s="38"/>
      <c r="BM4049" s="38"/>
      <c r="BN4049" s="38"/>
      <c r="BO4049" s="38"/>
      <c r="BP4049" s="38"/>
      <c r="BQ4049" s="38"/>
    </row>
    <row r="4050">
      <c r="A4050" s="16"/>
      <c r="B4050" s="145"/>
      <c r="C4050" s="146"/>
      <c r="D4050" s="146"/>
      <c r="E4050" s="16"/>
      <c r="F4050" s="91"/>
      <c r="G4050" s="16"/>
      <c r="H4050" s="320" t="str">
        <f t="shared" si="424"/>
        <v/>
      </c>
      <c r="I4050" s="16"/>
      <c r="J4050" s="16"/>
      <c r="K4050" s="16"/>
      <c r="L4050" s="16"/>
      <c r="M4050" s="15"/>
      <c r="N4050" s="15"/>
      <c r="O4050" s="16"/>
      <c r="P4050" s="16"/>
      <c r="Q4050" s="16"/>
      <c r="R4050" s="16"/>
      <c r="S4050" s="37" t="str">
        <f>IFERROR(__xludf.DUMMYFUNCTION("if(not(iserror(index(split(C4050, "" ""),2))), index(split(C4050, "" ""),1),"""")"),"")</f>
        <v/>
      </c>
      <c r="T4050" s="315" t="str">
        <f>IFERROR(__xludf.DUMMYFUNCTION("if(S4050="""",C4050,if(not(iserror(index(split(C4050, "" ""),3))), index(split(C4050, "" ""),3),index(split(C4050, "" ""),2)))"),"")</f>
        <v/>
      </c>
      <c r="U4050" s="38" t="b">
        <f t="shared" si="423"/>
        <v>0</v>
      </c>
      <c r="V4050" s="38"/>
      <c r="W4050" s="40"/>
      <c r="X4050" s="40"/>
      <c r="Y4050" s="40"/>
      <c r="Z4050" s="38"/>
      <c r="AA4050" s="38"/>
      <c r="AB4050" s="38"/>
      <c r="AC4050" s="38"/>
      <c r="AD4050" s="38"/>
      <c r="AE4050" s="38"/>
      <c r="AF4050" s="38"/>
      <c r="AG4050" s="38"/>
      <c r="AH4050" s="38"/>
      <c r="AI4050" s="38"/>
      <c r="AJ4050" s="38"/>
      <c r="AK4050" s="38"/>
      <c r="AL4050" s="38"/>
      <c r="AM4050" s="38"/>
      <c r="AN4050" s="38"/>
      <c r="AO4050" s="38"/>
      <c r="AP4050" s="38"/>
      <c r="AQ4050" s="38"/>
      <c r="AR4050" s="38"/>
      <c r="AS4050" s="38"/>
      <c r="AT4050" s="38"/>
      <c r="AU4050" s="38"/>
      <c r="AV4050" s="38"/>
      <c r="AW4050" s="38"/>
      <c r="AX4050" s="38"/>
      <c r="AY4050" s="38"/>
      <c r="AZ4050" s="38"/>
      <c r="BA4050" s="38"/>
      <c r="BB4050" s="38"/>
      <c r="BC4050" s="38"/>
      <c r="BD4050" s="38"/>
      <c r="BE4050" s="38"/>
      <c r="BF4050" s="38"/>
      <c r="BG4050" s="38"/>
      <c r="BH4050" s="38"/>
      <c r="BI4050" s="38"/>
      <c r="BJ4050" s="38"/>
      <c r="BK4050" s="38"/>
      <c r="BL4050" s="38"/>
      <c r="BM4050" s="38"/>
      <c r="BN4050" s="38"/>
      <c r="BO4050" s="38"/>
      <c r="BP4050" s="38"/>
      <c r="BQ4050" s="38"/>
    </row>
    <row r="4051">
      <c r="A4051" s="16"/>
      <c r="B4051" s="145"/>
      <c r="C4051" s="146"/>
      <c r="D4051" s="146"/>
      <c r="E4051" s="16"/>
      <c r="F4051" s="91"/>
      <c r="G4051" s="16"/>
      <c r="H4051" s="320" t="str">
        <f t="shared" si="424"/>
        <v/>
      </c>
      <c r="I4051" s="16"/>
      <c r="J4051" s="16"/>
      <c r="K4051" s="16"/>
      <c r="L4051" s="16"/>
      <c r="M4051" s="15"/>
      <c r="N4051" s="15"/>
      <c r="O4051" s="16"/>
      <c r="P4051" s="16"/>
      <c r="Q4051" s="16"/>
      <c r="R4051" s="16"/>
      <c r="S4051" s="37" t="str">
        <f>IFERROR(__xludf.DUMMYFUNCTION("if(not(iserror(index(split(C4051, "" ""),2))), index(split(C4051, "" ""),1),"""")"),"")</f>
        <v/>
      </c>
      <c r="T4051" s="315" t="str">
        <f>IFERROR(__xludf.DUMMYFUNCTION("if(S4051="""",C4051,if(not(iserror(index(split(C4051, "" ""),3))), index(split(C4051, "" ""),3),index(split(C4051, "" ""),2)))"),"")</f>
        <v/>
      </c>
      <c r="U4051" s="38" t="b">
        <f t="shared" si="423"/>
        <v>0</v>
      </c>
      <c r="V4051" s="38"/>
      <c r="W4051" s="40"/>
      <c r="X4051" s="40"/>
      <c r="Y4051" s="40"/>
      <c r="Z4051" s="38"/>
      <c r="AA4051" s="38"/>
      <c r="AB4051" s="38"/>
      <c r="AC4051" s="38"/>
      <c r="AD4051" s="38"/>
      <c r="AE4051" s="38"/>
      <c r="AF4051" s="38"/>
      <c r="AG4051" s="38"/>
      <c r="AH4051" s="38"/>
      <c r="AI4051" s="38"/>
      <c r="AJ4051" s="38"/>
      <c r="AK4051" s="38"/>
      <c r="AL4051" s="38"/>
      <c r="AM4051" s="38"/>
      <c r="AN4051" s="38"/>
      <c r="AO4051" s="38"/>
      <c r="AP4051" s="38"/>
      <c r="AQ4051" s="38"/>
      <c r="AR4051" s="38"/>
      <c r="AS4051" s="38"/>
      <c r="AT4051" s="38"/>
      <c r="AU4051" s="38"/>
      <c r="AV4051" s="38"/>
      <c r="AW4051" s="38"/>
      <c r="AX4051" s="38"/>
      <c r="AY4051" s="38"/>
      <c r="AZ4051" s="38"/>
      <c r="BA4051" s="38"/>
      <c r="BB4051" s="38"/>
      <c r="BC4051" s="38"/>
      <c r="BD4051" s="38"/>
      <c r="BE4051" s="38"/>
      <c r="BF4051" s="38"/>
      <c r="BG4051" s="38"/>
      <c r="BH4051" s="38"/>
      <c r="BI4051" s="38"/>
      <c r="BJ4051" s="38"/>
      <c r="BK4051" s="38"/>
      <c r="BL4051" s="38"/>
      <c r="BM4051" s="38"/>
      <c r="BN4051" s="38"/>
      <c r="BO4051" s="38"/>
      <c r="BP4051" s="38"/>
      <c r="BQ4051" s="38"/>
    </row>
    <row r="4052">
      <c r="A4052" s="16"/>
      <c r="B4052" s="145"/>
      <c r="C4052" s="146"/>
      <c r="D4052" s="146"/>
      <c r="E4052" s="16"/>
      <c r="F4052" s="91"/>
      <c r="G4052" s="16"/>
      <c r="H4052" s="320" t="str">
        <f t="shared" si="424"/>
        <v/>
      </c>
      <c r="I4052" s="16"/>
      <c r="J4052" s="16"/>
      <c r="K4052" s="16"/>
      <c r="L4052" s="16"/>
      <c r="M4052" s="15"/>
      <c r="N4052" s="15"/>
      <c r="O4052" s="16"/>
      <c r="P4052" s="16"/>
      <c r="Q4052" s="16"/>
      <c r="R4052" s="16"/>
      <c r="S4052" s="37" t="str">
        <f>IFERROR(__xludf.DUMMYFUNCTION("if(not(iserror(index(split(C4052, "" ""),2))), index(split(C4052, "" ""),1),"""")"),"")</f>
        <v/>
      </c>
      <c r="T4052" s="315" t="str">
        <f>IFERROR(__xludf.DUMMYFUNCTION("if(S4052="""",C4052,if(not(iserror(index(split(C4052, "" ""),3))), index(split(C4052, "" ""),3),index(split(C4052, "" ""),2)))"),"")</f>
        <v/>
      </c>
      <c r="U4052" s="38" t="b">
        <f t="shared" si="423"/>
        <v>0</v>
      </c>
      <c r="V4052" s="38"/>
      <c r="W4052" s="40"/>
      <c r="X4052" s="40"/>
      <c r="Y4052" s="40"/>
      <c r="Z4052" s="38"/>
      <c r="AA4052" s="38"/>
      <c r="AB4052" s="38"/>
      <c r="AC4052" s="38"/>
      <c r="AD4052" s="38"/>
      <c r="AE4052" s="38"/>
      <c r="AF4052" s="38"/>
      <c r="AG4052" s="38"/>
      <c r="AH4052" s="38"/>
      <c r="AI4052" s="38"/>
      <c r="AJ4052" s="38"/>
      <c r="AK4052" s="38"/>
      <c r="AL4052" s="38"/>
      <c r="AM4052" s="38"/>
      <c r="AN4052" s="38"/>
      <c r="AO4052" s="38"/>
      <c r="AP4052" s="38"/>
      <c r="AQ4052" s="38"/>
      <c r="AR4052" s="38"/>
      <c r="AS4052" s="38"/>
      <c r="AT4052" s="38"/>
      <c r="AU4052" s="38"/>
      <c r="AV4052" s="38"/>
      <c r="AW4052" s="38"/>
      <c r="AX4052" s="38"/>
      <c r="AY4052" s="38"/>
      <c r="AZ4052" s="38"/>
      <c r="BA4052" s="38"/>
      <c r="BB4052" s="38"/>
      <c r="BC4052" s="38"/>
      <c r="BD4052" s="38"/>
      <c r="BE4052" s="38"/>
      <c r="BF4052" s="38"/>
      <c r="BG4052" s="38"/>
      <c r="BH4052" s="38"/>
      <c r="BI4052" s="38"/>
      <c r="BJ4052" s="38"/>
      <c r="BK4052" s="38"/>
      <c r="BL4052" s="38"/>
      <c r="BM4052" s="38"/>
      <c r="BN4052" s="38"/>
      <c r="BO4052" s="38"/>
      <c r="BP4052" s="38"/>
      <c r="BQ4052" s="38"/>
    </row>
    <row r="4053">
      <c r="A4053" s="16"/>
      <c r="B4053" s="145"/>
      <c r="C4053" s="146"/>
      <c r="D4053" s="146"/>
      <c r="E4053" s="16"/>
      <c r="F4053" s="91"/>
      <c r="G4053" s="16"/>
      <c r="H4053" s="320" t="str">
        <f t="shared" si="424"/>
        <v/>
      </c>
      <c r="I4053" s="16"/>
      <c r="J4053" s="16"/>
      <c r="K4053" s="16"/>
      <c r="L4053" s="16"/>
      <c r="M4053" s="15"/>
      <c r="N4053" s="15"/>
      <c r="O4053" s="16"/>
      <c r="P4053" s="16"/>
      <c r="Q4053" s="16"/>
      <c r="R4053" s="16"/>
      <c r="S4053" s="37" t="str">
        <f>IFERROR(__xludf.DUMMYFUNCTION("if(not(iserror(index(split(C4053, "" ""),2))), index(split(C4053, "" ""),1),"""")"),"")</f>
        <v/>
      </c>
      <c r="T4053" s="315" t="str">
        <f>IFERROR(__xludf.DUMMYFUNCTION("if(S4053="""",C4053,if(not(iserror(index(split(C4053, "" ""),3))), index(split(C4053, "" ""),3),index(split(C4053, "" ""),2)))"),"")</f>
        <v/>
      </c>
      <c r="U4053" s="38" t="b">
        <f t="shared" si="423"/>
        <v>0</v>
      </c>
      <c r="V4053" s="38"/>
      <c r="W4053" s="40"/>
      <c r="X4053" s="40"/>
      <c r="Y4053" s="40"/>
      <c r="Z4053" s="38"/>
      <c r="AA4053" s="38"/>
      <c r="AB4053" s="38"/>
      <c r="AC4053" s="38"/>
      <c r="AD4053" s="38"/>
      <c r="AE4053" s="38"/>
      <c r="AF4053" s="38"/>
      <c r="AG4053" s="38"/>
      <c r="AH4053" s="38"/>
      <c r="AI4053" s="38"/>
      <c r="AJ4053" s="38"/>
      <c r="AK4053" s="38"/>
      <c r="AL4053" s="38"/>
      <c r="AM4053" s="38"/>
      <c r="AN4053" s="38"/>
      <c r="AO4053" s="38"/>
      <c r="AP4053" s="38"/>
      <c r="AQ4053" s="38"/>
      <c r="AR4053" s="38"/>
      <c r="AS4053" s="38"/>
      <c r="AT4053" s="38"/>
      <c r="AU4053" s="38"/>
      <c r="AV4053" s="38"/>
      <c r="AW4053" s="38"/>
      <c r="AX4053" s="38"/>
      <c r="AY4053" s="38"/>
      <c r="AZ4053" s="38"/>
      <c r="BA4053" s="38"/>
      <c r="BB4053" s="38"/>
      <c r="BC4053" s="38"/>
      <c r="BD4053" s="38"/>
      <c r="BE4053" s="38"/>
      <c r="BF4053" s="38"/>
      <c r="BG4053" s="38"/>
      <c r="BH4053" s="38"/>
      <c r="BI4053" s="38"/>
      <c r="BJ4053" s="38"/>
      <c r="BK4053" s="38"/>
      <c r="BL4053" s="38"/>
      <c r="BM4053" s="38"/>
      <c r="BN4053" s="38"/>
      <c r="BO4053" s="38"/>
      <c r="BP4053" s="38"/>
      <c r="BQ4053" s="38"/>
    </row>
    <row r="4054">
      <c r="A4054" s="16"/>
      <c r="B4054" s="145"/>
      <c r="C4054" s="146"/>
      <c r="D4054" s="146"/>
      <c r="E4054" s="16"/>
      <c r="F4054" s="91"/>
      <c r="G4054" s="16"/>
      <c r="H4054" s="320" t="str">
        <f t="shared" si="424"/>
        <v/>
      </c>
      <c r="I4054" s="16"/>
      <c r="J4054" s="16"/>
      <c r="K4054" s="16"/>
      <c r="L4054" s="16"/>
      <c r="M4054" s="15"/>
      <c r="N4054" s="15"/>
      <c r="O4054" s="16"/>
      <c r="P4054" s="16"/>
      <c r="Q4054" s="16"/>
      <c r="R4054" s="16"/>
      <c r="S4054" s="37" t="str">
        <f>IFERROR(__xludf.DUMMYFUNCTION("if(not(iserror(index(split(C4054, "" ""),2))), index(split(C4054, "" ""),1),"""")"),"")</f>
        <v/>
      </c>
      <c r="T4054" s="315" t="str">
        <f>IFERROR(__xludf.DUMMYFUNCTION("if(S4054="""",C4054,if(not(iserror(index(split(C4054, "" ""),3))), index(split(C4054, "" ""),3),index(split(C4054, "" ""),2)))"),"")</f>
        <v/>
      </c>
      <c r="U4054" s="38" t="b">
        <f t="shared" si="423"/>
        <v>0</v>
      </c>
      <c r="V4054" s="38"/>
      <c r="W4054" s="40"/>
      <c r="X4054" s="40"/>
      <c r="Y4054" s="40"/>
      <c r="Z4054" s="38"/>
      <c r="AA4054" s="38"/>
      <c r="AB4054" s="38"/>
      <c r="AC4054" s="38"/>
      <c r="AD4054" s="38"/>
      <c r="AE4054" s="38"/>
      <c r="AF4054" s="38"/>
      <c r="AG4054" s="38"/>
      <c r="AH4054" s="38"/>
      <c r="AI4054" s="38"/>
      <c r="AJ4054" s="38"/>
      <c r="AK4054" s="38"/>
      <c r="AL4054" s="38"/>
      <c r="AM4054" s="38"/>
      <c r="AN4054" s="38"/>
      <c r="AO4054" s="38"/>
      <c r="AP4054" s="38"/>
      <c r="AQ4054" s="38"/>
      <c r="AR4054" s="38"/>
      <c r="AS4054" s="38"/>
      <c r="AT4054" s="38"/>
      <c r="AU4054" s="38"/>
      <c r="AV4054" s="38"/>
      <c r="AW4054" s="38"/>
      <c r="AX4054" s="38"/>
      <c r="AY4054" s="38"/>
      <c r="AZ4054" s="38"/>
      <c r="BA4054" s="38"/>
      <c r="BB4054" s="38"/>
      <c r="BC4054" s="38"/>
      <c r="BD4054" s="38"/>
      <c r="BE4054" s="38"/>
      <c r="BF4054" s="38"/>
      <c r="BG4054" s="38"/>
      <c r="BH4054" s="38"/>
      <c r="BI4054" s="38"/>
      <c r="BJ4054" s="38"/>
      <c r="BK4054" s="38"/>
      <c r="BL4054" s="38"/>
      <c r="BM4054" s="38"/>
      <c r="BN4054" s="38"/>
      <c r="BO4054" s="38"/>
      <c r="BP4054" s="38"/>
      <c r="BQ4054" s="38"/>
    </row>
    <row r="4055">
      <c r="A4055" s="16"/>
      <c r="B4055" s="145"/>
      <c r="C4055" s="146"/>
      <c r="D4055" s="146"/>
      <c r="E4055" s="16"/>
      <c r="F4055" s="91"/>
      <c r="G4055" s="16"/>
      <c r="H4055" s="320" t="str">
        <f t="shared" si="424"/>
        <v/>
      </c>
      <c r="I4055" s="16"/>
      <c r="J4055" s="16"/>
      <c r="K4055" s="16"/>
      <c r="L4055" s="16"/>
      <c r="M4055" s="15"/>
      <c r="N4055" s="15"/>
      <c r="O4055" s="16"/>
      <c r="P4055" s="16"/>
      <c r="Q4055" s="16"/>
      <c r="R4055" s="16"/>
      <c r="S4055" s="37" t="str">
        <f>IFERROR(__xludf.DUMMYFUNCTION("if(not(iserror(index(split(C4055, "" ""),2))), index(split(C4055, "" ""),1),"""")"),"")</f>
        <v/>
      </c>
      <c r="T4055" s="315" t="str">
        <f>IFERROR(__xludf.DUMMYFUNCTION("if(S4055="""",C4055,if(not(iserror(index(split(C4055, "" ""),3))), index(split(C4055, "" ""),3),index(split(C4055, "" ""),2)))"),"")</f>
        <v/>
      </c>
      <c r="U4055" s="38" t="b">
        <f t="shared" si="423"/>
        <v>0</v>
      </c>
      <c r="V4055" s="38"/>
      <c r="W4055" s="40"/>
      <c r="X4055" s="40"/>
      <c r="Y4055" s="40"/>
      <c r="Z4055" s="38"/>
      <c r="AA4055" s="38"/>
      <c r="AB4055" s="38"/>
      <c r="AC4055" s="38"/>
      <c r="AD4055" s="38"/>
      <c r="AE4055" s="38"/>
      <c r="AF4055" s="38"/>
      <c r="AG4055" s="38"/>
      <c r="AH4055" s="38"/>
      <c r="AI4055" s="38"/>
      <c r="AJ4055" s="38"/>
      <c r="AK4055" s="38"/>
      <c r="AL4055" s="38"/>
      <c r="AM4055" s="38"/>
      <c r="AN4055" s="38"/>
      <c r="AO4055" s="38"/>
      <c r="AP4055" s="38"/>
      <c r="AQ4055" s="38"/>
      <c r="AR4055" s="38"/>
      <c r="AS4055" s="38"/>
      <c r="AT4055" s="38"/>
      <c r="AU4055" s="38"/>
      <c r="AV4055" s="38"/>
      <c r="AW4055" s="38"/>
      <c r="AX4055" s="38"/>
      <c r="AY4055" s="38"/>
      <c r="AZ4055" s="38"/>
      <c r="BA4055" s="38"/>
      <c r="BB4055" s="38"/>
      <c r="BC4055" s="38"/>
      <c r="BD4055" s="38"/>
      <c r="BE4055" s="38"/>
      <c r="BF4055" s="38"/>
      <c r="BG4055" s="38"/>
      <c r="BH4055" s="38"/>
      <c r="BI4055" s="38"/>
      <c r="BJ4055" s="38"/>
      <c r="BK4055" s="38"/>
      <c r="BL4055" s="38"/>
      <c r="BM4055" s="38"/>
      <c r="BN4055" s="38"/>
      <c r="BO4055" s="38"/>
      <c r="BP4055" s="38"/>
      <c r="BQ4055" s="38"/>
    </row>
    <row r="4056">
      <c r="A4056" s="16"/>
      <c r="B4056" s="145"/>
      <c r="C4056" s="146"/>
      <c r="D4056" s="146"/>
      <c r="E4056" s="16"/>
      <c r="F4056" s="91"/>
      <c r="G4056" s="16"/>
      <c r="H4056" s="320" t="str">
        <f t="shared" si="424"/>
        <v/>
      </c>
      <c r="I4056" s="16"/>
      <c r="J4056" s="16"/>
      <c r="K4056" s="16"/>
      <c r="L4056" s="16"/>
      <c r="M4056" s="15"/>
      <c r="N4056" s="15"/>
      <c r="O4056" s="16"/>
      <c r="P4056" s="16"/>
      <c r="Q4056" s="16"/>
      <c r="R4056" s="16"/>
      <c r="S4056" s="37" t="str">
        <f>IFERROR(__xludf.DUMMYFUNCTION("if(not(iserror(index(split(C4056, "" ""),2))), index(split(C4056, "" ""),1),"""")"),"")</f>
        <v/>
      </c>
      <c r="T4056" s="315" t="str">
        <f>IFERROR(__xludf.DUMMYFUNCTION("if(S4056="""",C4056,if(not(iserror(index(split(C4056, "" ""),3))), index(split(C4056, "" ""),3),index(split(C4056, "" ""),2)))"),"")</f>
        <v/>
      </c>
      <c r="U4056" s="38" t="b">
        <f t="shared" si="423"/>
        <v>0</v>
      </c>
      <c r="V4056" s="38"/>
      <c r="W4056" s="40"/>
      <c r="X4056" s="40"/>
      <c r="Y4056" s="40"/>
      <c r="Z4056" s="38"/>
      <c r="AA4056" s="38"/>
      <c r="AB4056" s="38"/>
      <c r="AC4056" s="38"/>
      <c r="AD4056" s="38"/>
      <c r="AE4056" s="38"/>
      <c r="AF4056" s="38"/>
      <c r="AG4056" s="38"/>
      <c r="AH4056" s="38"/>
      <c r="AI4056" s="38"/>
      <c r="AJ4056" s="38"/>
      <c r="AK4056" s="38"/>
      <c r="AL4056" s="38"/>
      <c r="AM4056" s="38"/>
      <c r="AN4056" s="38"/>
      <c r="AO4056" s="38"/>
      <c r="AP4056" s="38"/>
      <c r="AQ4056" s="38"/>
      <c r="AR4056" s="38"/>
      <c r="AS4056" s="38"/>
      <c r="AT4056" s="38"/>
      <c r="AU4056" s="38"/>
      <c r="AV4056" s="38"/>
      <c r="AW4056" s="38"/>
      <c r="AX4056" s="38"/>
      <c r="AY4056" s="38"/>
      <c r="AZ4056" s="38"/>
      <c r="BA4056" s="38"/>
      <c r="BB4056" s="38"/>
      <c r="BC4056" s="38"/>
      <c r="BD4056" s="38"/>
      <c r="BE4056" s="38"/>
      <c r="BF4056" s="38"/>
      <c r="BG4056" s="38"/>
      <c r="BH4056" s="38"/>
      <c r="BI4056" s="38"/>
      <c r="BJ4056" s="38"/>
      <c r="BK4056" s="38"/>
      <c r="BL4056" s="38"/>
      <c r="BM4056" s="38"/>
      <c r="BN4056" s="38"/>
      <c r="BO4056" s="38"/>
      <c r="BP4056" s="38"/>
      <c r="BQ4056" s="38"/>
    </row>
    <row r="4057">
      <c r="A4057" s="16"/>
      <c r="B4057" s="145"/>
      <c r="C4057" s="146"/>
      <c r="D4057" s="146"/>
      <c r="E4057" s="16"/>
      <c r="F4057" s="91"/>
      <c r="G4057" s="16"/>
      <c r="H4057" s="320" t="str">
        <f t="shared" si="424"/>
        <v/>
      </c>
      <c r="I4057" s="16"/>
      <c r="J4057" s="16"/>
      <c r="K4057" s="16"/>
      <c r="L4057" s="16"/>
      <c r="M4057" s="15"/>
      <c r="N4057" s="15"/>
      <c r="O4057" s="16"/>
      <c r="P4057" s="16"/>
      <c r="Q4057" s="16"/>
      <c r="R4057" s="16"/>
      <c r="S4057" s="37" t="str">
        <f>IFERROR(__xludf.DUMMYFUNCTION("if(not(iserror(index(split(C4057, "" ""),2))), index(split(C4057, "" ""),1),"""")"),"")</f>
        <v/>
      </c>
      <c r="T4057" s="315" t="str">
        <f>IFERROR(__xludf.DUMMYFUNCTION("if(S4057="""",C4057,if(not(iserror(index(split(C4057, "" ""),3))), index(split(C4057, "" ""),3),index(split(C4057, "" ""),2)))"),"")</f>
        <v/>
      </c>
      <c r="U4057" s="38" t="b">
        <f t="shared" si="423"/>
        <v>0</v>
      </c>
      <c r="V4057" s="38"/>
      <c r="W4057" s="40"/>
      <c r="X4057" s="40"/>
      <c r="Y4057" s="40"/>
      <c r="Z4057" s="38"/>
      <c r="AA4057" s="38"/>
      <c r="AB4057" s="38"/>
      <c r="AC4057" s="38"/>
      <c r="AD4057" s="38"/>
      <c r="AE4057" s="38"/>
      <c r="AF4057" s="38"/>
      <c r="AG4057" s="38"/>
      <c r="AH4057" s="38"/>
      <c r="AI4057" s="38"/>
      <c r="AJ4057" s="38"/>
      <c r="AK4057" s="38"/>
      <c r="AL4057" s="38"/>
      <c r="AM4057" s="38"/>
      <c r="AN4057" s="38"/>
      <c r="AO4057" s="38"/>
      <c r="AP4057" s="38"/>
      <c r="AQ4057" s="38"/>
      <c r="AR4057" s="38"/>
      <c r="AS4057" s="38"/>
      <c r="AT4057" s="38"/>
      <c r="AU4057" s="38"/>
      <c r="AV4057" s="38"/>
      <c r="AW4057" s="38"/>
      <c r="AX4057" s="38"/>
      <c r="AY4057" s="38"/>
      <c r="AZ4057" s="38"/>
      <c r="BA4057" s="38"/>
      <c r="BB4057" s="38"/>
      <c r="BC4057" s="38"/>
      <c r="BD4057" s="38"/>
      <c r="BE4057" s="38"/>
      <c r="BF4057" s="38"/>
      <c r="BG4057" s="38"/>
      <c r="BH4057" s="38"/>
      <c r="BI4057" s="38"/>
      <c r="BJ4057" s="38"/>
      <c r="BK4057" s="38"/>
      <c r="BL4057" s="38"/>
      <c r="BM4057" s="38"/>
      <c r="BN4057" s="38"/>
      <c r="BO4057" s="38"/>
      <c r="BP4057" s="38"/>
      <c r="BQ4057" s="38"/>
    </row>
    <row r="4058">
      <c r="A4058" s="16"/>
      <c r="B4058" s="145"/>
      <c r="C4058" s="146"/>
      <c r="D4058" s="146"/>
      <c r="E4058" s="16"/>
      <c r="F4058" s="91"/>
      <c r="G4058" s="16"/>
      <c r="H4058" s="320" t="str">
        <f t="shared" si="424"/>
        <v/>
      </c>
      <c r="I4058" s="16"/>
      <c r="J4058" s="16"/>
      <c r="K4058" s="16"/>
      <c r="L4058" s="16"/>
      <c r="M4058" s="15"/>
      <c r="N4058" s="15"/>
      <c r="O4058" s="16"/>
      <c r="P4058" s="16"/>
      <c r="Q4058" s="16"/>
      <c r="R4058" s="16"/>
      <c r="S4058" s="37" t="str">
        <f>IFERROR(__xludf.DUMMYFUNCTION("if(not(iserror(index(split(C4058, "" ""),2))), index(split(C4058, "" ""),1),"""")"),"")</f>
        <v/>
      </c>
      <c r="T4058" s="315" t="str">
        <f>IFERROR(__xludf.DUMMYFUNCTION("if(S4058="""",C4058,if(not(iserror(index(split(C4058, "" ""),3))), index(split(C4058, "" ""),3),index(split(C4058, "" ""),2)))"),"")</f>
        <v/>
      </c>
      <c r="U4058" s="38" t="b">
        <f t="shared" si="423"/>
        <v>0</v>
      </c>
      <c r="V4058" s="38"/>
      <c r="W4058" s="40"/>
      <c r="X4058" s="40"/>
      <c r="Y4058" s="40"/>
      <c r="Z4058" s="38"/>
      <c r="AA4058" s="38"/>
      <c r="AB4058" s="38"/>
      <c r="AC4058" s="38"/>
      <c r="AD4058" s="38"/>
      <c r="AE4058" s="38"/>
      <c r="AF4058" s="38"/>
      <c r="AG4058" s="38"/>
      <c r="AH4058" s="38"/>
      <c r="AI4058" s="38"/>
      <c r="AJ4058" s="38"/>
      <c r="AK4058" s="38"/>
      <c r="AL4058" s="38"/>
      <c r="AM4058" s="38"/>
      <c r="AN4058" s="38"/>
      <c r="AO4058" s="38"/>
      <c r="AP4058" s="38"/>
      <c r="AQ4058" s="38"/>
      <c r="AR4058" s="38"/>
      <c r="AS4058" s="38"/>
      <c r="AT4058" s="38"/>
      <c r="AU4058" s="38"/>
      <c r="AV4058" s="38"/>
      <c r="AW4058" s="38"/>
      <c r="AX4058" s="38"/>
      <c r="AY4058" s="38"/>
      <c r="AZ4058" s="38"/>
      <c r="BA4058" s="38"/>
      <c r="BB4058" s="38"/>
      <c r="BC4058" s="38"/>
      <c r="BD4058" s="38"/>
      <c r="BE4058" s="38"/>
      <c r="BF4058" s="38"/>
      <c r="BG4058" s="38"/>
      <c r="BH4058" s="38"/>
      <c r="BI4058" s="38"/>
      <c r="BJ4058" s="38"/>
      <c r="BK4058" s="38"/>
      <c r="BL4058" s="38"/>
      <c r="BM4058" s="38"/>
      <c r="BN4058" s="38"/>
      <c r="BO4058" s="38"/>
      <c r="BP4058" s="38"/>
      <c r="BQ4058" s="38"/>
    </row>
    <row r="4059">
      <c r="A4059" s="16"/>
      <c r="B4059" s="145"/>
      <c r="C4059" s="146"/>
      <c r="D4059" s="146"/>
      <c r="E4059" s="16"/>
      <c r="F4059" s="91"/>
      <c r="G4059" s="16"/>
      <c r="H4059" s="320" t="str">
        <f t="shared" si="424"/>
        <v/>
      </c>
      <c r="I4059" s="16"/>
      <c r="J4059" s="16"/>
      <c r="K4059" s="16"/>
      <c r="L4059" s="16"/>
      <c r="M4059" s="15"/>
      <c r="N4059" s="15"/>
      <c r="O4059" s="16"/>
      <c r="P4059" s="16"/>
      <c r="Q4059" s="16"/>
      <c r="R4059" s="16"/>
      <c r="S4059" s="37" t="str">
        <f>IFERROR(__xludf.DUMMYFUNCTION("if(not(iserror(index(split(C4059, "" ""),2))), index(split(C4059, "" ""),1),"""")"),"")</f>
        <v/>
      </c>
      <c r="T4059" s="315" t="str">
        <f>IFERROR(__xludf.DUMMYFUNCTION("if(S4059="""",C4059,if(not(iserror(index(split(C4059, "" ""),3))), index(split(C4059, "" ""),3),index(split(C4059, "" ""),2)))"),"")</f>
        <v/>
      </c>
      <c r="U4059" s="38" t="b">
        <f t="shared" si="423"/>
        <v>0</v>
      </c>
      <c r="V4059" s="38"/>
      <c r="W4059" s="40"/>
      <c r="X4059" s="40"/>
      <c r="Y4059" s="40"/>
      <c r="Z4059" s="38"/>
      <c r="AA4059" s="38"/>
      <c r="AB4059" s="38"/>
      <c r="AC4059" s="38"/>
      <c r="AD4059" s="38"/>
      <c r="AE4059" s="38"/>
      <c r="AF4059" s="38"/>
      <c r="AG4059" s="38"/>
      <c r="AH4059" s="38"/>
      <c r="AI4059" s="38"/>
      <c r="AJ4059" s="38"/>
      <c r="AK4059" s="38"/>
      <c r="AL4059" s="38"/>
      <c r="AM4059" s="38"/>
      <c r="AN4059" s="38"/>
      <c r="AO4059" s="38"/>
      <c r="AP4059" s="38"/>
      <c r="AQ4059" s="38"/>
      <c r="AR4059" s="38"/>
      <c r="AS4059" s="38"/>
      <c r="AT4059" s="38"/>
      <c r="AU4059" s="38"/>
      <c r="AV4059" s="38"/>
      <c r="AW4059" s="38"/>
      <c r="AX4059" s="38"/>
      <c r="AY4059" s="38"/>
      <c r="AZ4059" s="38"/>
      <c r="BA4059" s="38"/>
      <c r="BB4059" s="38"/>
      <c r="BC4059" s="38"/>
      <c r="BD4059" s="38"/>
      <c r="BE4059" s="38"/>
      <c r="BF4059" s="38"/>
      <c r="BG4059" s="38"/>
      <c r="BH4059" s="38"/>
      <c r="BI4059" s="38"/>
      <c r="BJ4059" s="38"/>
      <c r="BK4059" s="38"/>
      <c r="BL4059" s="38"/>
      <c r="BM4059" s="38"/>
      <c r="BN4059" s="38"/>
      <c r="BO4059" s="38"/>
      <c r="BP4059" s="38"/>
      <c r="BQ4059" s="38"/>
    </row>
    <row r="4060">
      <c r="A4060" s="16"/>
      <c r="B4060" s="145"/>
      <c r="C4060" s="146"/>
      <c r="D4060" s="146"/>
      <c r="E4060" s="16"/>
      <c r="F4060" s="91"/>
      <c r="G4060" s="16"/>
      <c r="H4060" s="320" t="str">
        <f t="shared" si="424"/>
        <v/>
      </c>
      <c r="I4060" s="16"/>
      <c r="J4060" s="16"/>
      <c r="K4060" s="16"/>
      <c r="L4060" s="16"/>
      <c r="M4060" s="15"/>
      <c r="N4060" s="15"/>
      <c r="O4060" s="16"/>
      <c r="P4060" s="16"/>
      <c r="Q4060" s="16"/>
      <c r="R4060" s="16"/>
      <c r="S4060" s="37" t="str">
        <f>IFERROR(__xludf.DUMMYFUNCTION("if(not(iserror(index(split(C4060, "" ""),2))), index(split(C4060, "" ""),1),"""")"),"")</f>
        <v/>
      </c>
      <c r="T4060" s="315" t="str">
        <f>IFERROR(__xludf.DUMMYFUNCTION("if(S4060="""",C4060,if(not(iserror(index(split(C4060, "" ""),3))), index(split(C4060, "" ""),3),index(split(C4060, "" ""),2)))"),"")</f>
        <v/>
      </c>
      <c r="U4060" s="38" t="b">
        <f t="shared" si="423"/>
        <v>0</v>
      </c>
      <c r="V4060" s="38"/>
      <c r="W4060" s="40"/>
      <c r="X4060" s="40"/>
      <c r="Y4060" s="40"/>
      <c r="Z4060" s="38"/>
      <c r="AA4060" s="38"/>
      <c r="AB4060" s="38"/>
      <c r="AC4060" s="38"/>
      <c r="AD4060" s="38"/>
      <c r="AE4060" s="38"/>
      <c r="AF4060" s="38"/>
      <c r="AG4060" s="38"/>
      <c r="AH4060" s="38"/>
      <c r="AI4060" s="38"/>
      <c r="AJ4060" s="38"/>
      <c r="AK4060" s="38"/>
      <c r="AL4060" s="38"/>
      <c r="AM4060" s="38"/>
      <c r="AN4060" s="38"/>
      <c r="AO4060" s="38"/>
      <c r="AP4060" s="38"/>
      <c r="AQ4060" s="38"/>
      <c r="AR4060" s="38"/>
      <c r="AS4060" s="38"/>
      <c r="AT4060" s="38"/>
      <c r="AU4060" s="38"/>
      <c r="AV4060" s="38"/>
      <c r="AW4060" s="38"/>
      <c r="AX4060" s="38"/>
      <c r="AY4060" s="38"/>
      <c r="AZ4060" s="38"/>
      <c r="BA4060" s="38"/>
      <c r="BB4060" s="38"/>
      <c r="BC4060" s="38"/>
      <c r="BD4060" s="38"/>
      <c r="BE4060" s="38"/>
      <c r="BF4060" s="38"/>
      <c r="BG4060" s="38"/>
      <c r="BH4060" s="38"/>
      <c r="BI4060" s="38"/>
      <c r="BJ4060" s="38"/>
      <c r="BK4060" s="38"/>
      <c r="BL4060" s="38"/>
      <c r="BM4060" s="38"/>
      <c r="BN4060" s="38"/>
      <c r="BO4060" s="38"/>
      <c r="BP4060" s="38"/>
      <c r="BQ4060" s="38"/>
    </row>
    <row r="4061">
      <c r="A4061" s="16"/>
      <c r="B4061" s="145"/>
      <c r="C4061" s="146"/>
      <c r="D4061" s="146"/>
      <c r="E4061" s="16"/>
      <c r="F4061" s="91"/>
      <c r="G4061" s="16"/>
      <c r="H4061" s="320" t="str">
        <f t="shared" si="424"/>
        <v/>
      </c>
      <c r="I4061" s="16"/>
      <c r="J4061" s="16"/>
      <c r="K4061" s="16"/>
      <c r="L4061" s="16"/>
      <c r="M4061" s="15"/>
      <c r="N4061" s="15"/>
      <c r="O4061" s="16"/>
      <c r="P4061" s="16"/>
      <c r="Q4061" s="16"/>
      <c r="R4061" s="16"/>
      <c r="S4061" s="37" t="str">
        <f>IFERROR(__xludf.DUMMYFUNCTION("if(not(iserror(index(split(C4061, "" ""),2))), index(split(C4061, "" ""),1),"""")"),"")</f>
        <v/>
      </c>
      <c r="T4061" s="315" t="str">
        <f>IFERROR(__xludf.DUMMYFUNCTION("if(S4061="""",C4061,if(not(iserror(index(split(C4061, "" ""),3))), index(split(C4061, "" ""),3),index(split(C4061, "" ""),2)))"),"")</f>
        <v/>
      </c>
      <c r="U4061" s="38" t="b">
        <f t="shared" si="423"/>
        <v>0</v>
      </c>
      <c r="V4061" s="38"/>
      <c r="W4061" s="40"/>
      <c r="X4061" s="40"/>
      <c r="Y4061" s="40"/>
      <c r="Z4061" s="38"/>
      <c r="AA4061" s="38"/>
      <c r="AB4061" s="38"/>
      <c r="AC4061" s="38"/>
      <c r="AD4061" s="38"/>
      <c r="AE4061" s="38"/>
      <c r="AF4061" s="38"/>
      <c r="AG4061" s="38"/>
      <c r="AH4061" s="38"/>
      <c r="AI4061" s="38"/>
      <c r="AJ4061" s="38"/>
      <c r="AK4061" s="38"/>
      <c r="AL4061" s="38"/>
      <c r="AM4061" s="38"/>
      <c r="AN4061" s="38"/>
      <c r="AO4061" s="38"/>
      <c r="AP4061" s="38"/>
      <c r="AQ4061" s="38"/>
      <c r="AR4061" s="38"/>
      <c r="AS4061" s="38"/>
      <c r="AT4061" s="38"/>
      <c r="AU4061" s="38"/>
      <c r="AV4061" s="38"/>
      <c r="AW4061" s="38"/>
      <c r="AX4061" s="38"/>
      <c r="AY4061" s="38"/>
      <c r="AZ4061" s="38"/>
      <c r="BA4061" s="38"/>
      <c r="BB4061" s="38"/>
      <c r="BC4061" s="38"/>
      <c r="BD4061" s="38"/>
      <c r="BE4061" s="38"/>
      <c r="BF4061" s="38"/>
      <c r="BG4061" s="38"/>
      <c r="BH4061" s="38"/>
      <c r="BI4061" s="38"/>
      <c r="BJ4061" s="38"/>
      <c r="BK4061" s="38"/>
      <c r="BL4061" s="38"/>
      <c r="BM4061" s="38"/>
      <c r="BN4061" s="38"/>
      <c r="BO4061" s="38"/>
      <c r="BP4061" s="38"/>
      <c r="BQ4061" s="38"/>
    </row>
    <row r="4062">
      <c r="A4062" s="16"/>
      <c r="B4062" s="145"/>
      <c r="C4062" s="146"/>
      <c r="D4062" s="146"/>
      <c r="E4062" s="16"/>
      <c r="F4062" s="91"/>
      <c r="G4062" s="16"/>
      <c r="H4062" s="320" t="str">
        <f t="shared" si="424"/>
        <v/>
      </c>
      <c r="I4062" s="16"/>
      <c r="J4062" s="16"/>
      <c r="K4062" s="16"/>
      <c r="L4062" s="16"/>
      <c r="M4062" s="15"/>
      <c r="N4062" s="15"/>
      <c r="O4062" s="16"/>
      <c r="P4062" s="16"/>
      <c r="Q4062" s="16"/>
      <c r="R4062" s="16"/>
      <c r="S4062" s="37" t="str">
        <f>IFERROR(__xludf.DUMMYFUNCTION("if(not(iserror(index(split(C4062, "" ""),2))), index(split(C4062, "" ""),1),"""")"),"")</f>
        <v/>
      </c>
      <c r="T4062" s="315" t="str">
        <f>IFERROR(__xludf.DUMMYFUNCTION("if(S4062="""",C4062,if(not(iserror(index(split(C4062, "" ""),3))), index(split(C4062, "" ""),3),index(split(C4062, "" ""),2)))"),"")</f>
        <v/>
      </c>
      <c r="U4062" s="38" t="b">
        <f t="shared" si="423"/>
        <v>0</v>
      </c>
      <c r="V4062" s="38"/>
      <c r="W4062" s="40"/>
      <c r="X4062" s="40"/>
      <c r="Y4062" s="40"/>
      <c r="Z4062" s="38"/>
      <c r="AA4062" s="38"/>
      <c r="AB4062" s="38"/>
      <c r="AC4062" s="38"/>
      <c r="AD4062" s="38"/>
      <c r="AE4062" s="38"/>
      <c r="AF4062" s="38"/>
      <c r="AG4062" s="38"/>
      <c r="AH4062" s="38"/>
      <c r="AI4062" s="38"/>
      <c r="AJ4062" s="38"/>
      <c r="AK4062" s="38"/>
      <c r="AL4062" s="38"/>
      <c r="AM4062" s="38"/>
      <c r="AN4062" s="38"/>
      <c r="AO4062" s="38"/>
      <c r="AP4062" s="38"/>
      <c r="AQ4062" s="38"/>
      <c r="AR4062" s="38"/>
      <c r="AS4062" s="38"/>
      <c r="AT4062" s="38"/>
      <c r="AU4062" s="38"/>
      <c r="AV4062" s="38"/>
      <c r="AW4062" s="38"/>
      <c r="AX4062" s="38"/>
      <c r="AY4062" s="38"/>
      <c r="AZ4062" s="38"/>
      <c r="BA4062" s="38"/>
      <c r="BB4062" s="38"/>
      <c r="BC4062" s="38"/>
      <c r="BD4062" s="38"/>
      <c r="BE4062" s="38"/>
      <c r="BF4062" s="38"/>
      <c r="BG4062" s="38"/>
      <c r="BH4062" s="38"/>
      <c r="BI4062" s="38"/>
      <c r="BJ4062" s="38"/>
      <c r="BK4062" s="38"/>
      <c r="BL4062" s="38"/>
      <c r="BM4062" s="38"/>
      <c r="BN4062" s="38"/>
      <c r="BO4062" s="38"/>
      <c r="BP4062" s="38"/>
      <c r="BQ4062" s="38"/>
    </row>
    <row r="4063">
      <c r="A4063" s="16"/>
      <c r="B4063" s="145"/>
      <c r="C4063" s="146"/>
      <c r="D4063" s="146"/>
      <c r="E4063" s="16"/>
      <c r="F4063" s="91"/>
      <c r="G4063" s="16"/>
      <c r="H4063" s="320" t="str">
        <f t="shared" si="424"/>
        <v/>
      </c>
      <c r="I4063" s="16"/>
      <c r="J4063" s="16"/>
      <c r="K4063" s="16"/>
      <c r="L4063" s="16"/>
      <c r="M4063" s="15"/>
      <c r="N4063" s="15"/>
      <c r="O4063" s="16"/>
      <c r="P4063" s="16"/>
      <c r="Q4063" s="16"/>
      <c r="R4063" s="16"/>
      <c r="S4063" s="37" t="str">
        <f>IFERROR(__xludf.DUMMYFUNCTION("if(not(iserror(index(split(C4063, "" ""),2))), index(split(C4063, "" ""),1),"""")"),"")</f>
        <v/>
      </c>
      <c r="T4063" s="315" t="str">
        <f>IFERROR(__xludf.DUMMYFUNCTION("if(S4063="""",C4063,if(not(iserror(index(split(C4063, "" ""),3))), index(split(C4063, "" ""),3),index(split(C4063, "" ""),2)))"),"")</f>
        <v/>
      </c>
      <c r="U4063" s="38" t="b">
        <f t="shared" si="423"/>
        <v>0</v>
      </c>
      <c r="V4063" s="38"/>
      <c r="W4063" s="40"/>
      <c r="X4063" s="40"/>
      <c r="Y4063" s="40"/>
      <c r="Z4063" s="38"/>
      <c r="AA4063" s="38"/>
      <c r="AB4063" s="38"/>
      <c r="AC4063" s="38"/>
      <c r="AD4063" s="38"/>
      <c r="AE4063" s="38"/>
      <c r="AF4063" s="38"/>
      <c r="AG4063" s="38"/>
      <c r="AH4063" s="38"/>
      <c r="AI4063" s="38"/>
      <c r="AJ4063" s="38"/>
      <c r="AK4063" s="38"/>
      <c r="AL4063" s="38"/>
      <c r="AM4063" s="38"/>
      <c r="AN4063" s="38"/>
      <c r="AO4063" s="38"/>
      <c r="AP4063" s="38"/>
      <c r="AQ4063" s="38"/>
      <c r="AR4063" s="38"/>
      <c r="AS4063" s="38"/>
      <c r="AT4063" s="38"/>
      <c r="AU4063" s="38"/>
      <c r="AV4063" s="38"/>
      <c r="AW4063" s="38"/>
      <c r="AX4063" s="38"/>
      <c r="AY4063" s="38"/>
      <c r="AZ4063" s="38"/>
      <c r="BA4063" s="38"/>
      <c r="BB4063" s="38"/>
      <c r="BC4063" s="38"/>
      <c r="BD4063" s="38"/>
      <c r="BE4063" s="38"/>
      <c r="BF4063" s="38"/>
      <c r="BG4063" s="38"/>
      <c r="BH4063" s="38"/>
      <c r="BI4063" s="38"/>
      <c r="BJ4063" s="38"/>
      <c r="BK4063" s="38"/>
      <c r="BL4063" s="38"/>
      <c r="BM4063" s="38"/>
      <c r="BN4063" s="38"/>
      <c r="BO4063" s="38"/>
      <c r="BP4063" s="38"/>
      <c r="BQ4063" s="38"/>
    </row>
    <row r="4064">
      <c r="A4064" s="16"/>
      <c r="B4064" s="145"/>
      <c r="C4064" s="146"/>
      <c r="D4064" s="146"/>
      <c r="E4064" s="16"/>
      <c r="F4064" s="91"/>
      <c r="G4064" s="16"/>
      <c r="H4064" s="320" t="str">
        <f t="shared" si="424"/>
        <v/>
      </c>
      <c r="I4064" s="16"/>
      <c r="J4064" s="16"/>
      <c r="K4064" s="16"/>
      <c r="L4064" s="16"/>
      <c r="M4064" s="15"/>
      <c r="N4064" s="15"/>
      <c r="O4064" s="16"/>
      <c r="P4064" s="16"/>
      <c r="Q4064" s="16"/>
      <c r="R4064" s="16"/>
      <c r="S4064" s="37" t="str">
        <f>IFERROR(__xludf.DUMMYFUNCTION("if(not(iserror(index(split(C4064, "" ""),2))), index(split(C4064, "" ""),1),"""")"),"")</f>
        <v/>
      </c>
      <c r="T4064" s="315" t="str">
        <f>IFERROR(__xludf.DUMMYFUNCTION("if(S4064="""",C4064,if(not(iserror(index(split(C4064, "" ""),3))), index(split(C4064, "" ""),3),index(split(C4064, "" ""),2)))"),"")</f>
        <v/>
      </c>
      <c r="U4064" s="38" t="b">
        <f t="shared" si="423"/>
        <v>0</v>
      </c>
      <c r="V4064" s="38"/>
      <c r="W4064" s="40"/>
      <c r="X4064" s="40"/>
      <c r="Y4064" s="40"/>
      <c r="Z4064" s="38"/>
      <c r="AA4064" s="38"/>
      <c r="AB4064" s="38"/>
      <c r="AC4064" s="38"/>
      <c r="AD4064" s="38"/>
      <c r="AE4064" s="38"/>
      <c r="AF4064" s="38"/>
      <c r="AG4064" s="38"/>
      <c r="AH4064" s="38"/>
      <c r="AI4064" s="38"/>
      <c r="AJ4064" s="38"/>
      <c r="AK4064" s="38"/>
      <c r="AL4064" s="38"/>
      <c r="AM4064" s="38"/>
      <c r="AN4064" s="38"/>
      <c r="AO4064" s="38"/>
      <c r="AP4064" s="38"/>
      <c r="AQ4064" s="38"/>
      <c r="AR4064" s="38"/>
      <c r="AS4064" s="38"/>
      <c r="AT4064" s="38"/>
      <c r="AU4064" s="38"/>
      <c r="AV4064" s="38"/>
      <c r="AW4064" s="38"/>
      <c r="AX4064" s="38"/>
      <c r="AY4064" s="38"/>
      <c r="AZ4064" s="38"/>
      <c r="BA4064" s="38"/>
      <c r="BB4064" s="38"/>
      <c r="BC4064" s="38"/>
      <c r="BD4064" s="38"/>
      <c r="BE4064" s="38"/>
      <c r="BF4064" s="38"/>
      <c r="BG4064" s="38"/>
      <c r="BH4064" s="38"/>
      <c r="BI4064" s="38"/>
      <c r="BJ4064" s="38"/>
      <c r="BK4064" s="38"/>
      <c r="BL4064" s="38"/>
      <c r="BM4064" s="38"/>
      <c r="BN4064" s="38"/>
      <c r="BO4064" s="38"/>
      <c r="BP4064" s="38"/>
      <c r="BQ4064" s="38"/>
    </row>
    <row r="4065">
      <c r="A4065" s="16"/>
      <c r="B4065" s="145"/>
      <c r="C4065" s="146"/>
      <c r="D4065" s="146"/>
      <c r="E4065" s="16"/>
      <c r="F4065" s="91"/>
      <c r="G4065" s="16"/>
      <c r="H4065" s="320" t="str">
        <f t="shared" si="424"/>
        <v/>
      </c>
      <c r="I4065" s="16"/>
      <c r="J4065" s="16"/>
      <c r="K4065" s="16"/>
      <c r="L4065" s="16"/>
      <c r="M4065" s="15"/>
      <c r="N4065" s="15"/>
      <c r="O4065" s="16"/>
      <c r="P4065" s="16"/>
      <c r="Q4065" s="16"/>
      <c r="R4065" s="16"/>
      <c r="S4065" s="37" t="str">
        <f>IFERROR(__xludf.DUMMYFUNCTION("if(not(iserror(index(split(C4065, "" ""),2))), index(split(C4065, "" ""),1),"""")"),"")</f>
        <v/>
      </c>
      <c r="T4065" s="315" t="str">
        <f>IFERROR(__xludf.DUMMYFUNCTION("if(S4065="""",C4065,if(not(iserror(index(split(C4065, "" ""),3))), index(split(C4065, "" ""),3),index(split(C4065, "" ""),2)))"),"")</f>
        <v/>
      </c>
      <c r="U4065" s="38" t="b">
        <f t="shared" si="423"/>
        <v>0</v>
      </c>
      <c r="V4065" s="38"/>
      <c r="W4065" s="40"/>
      <c r="X4065" s="40"/>
      <c r="Y4065" s="40"/>
      <c r="Z4065" s="38"/>
      <c r="AA4065" s="38"/>
      <c r="AB4065" s="38"/>
      <c r="AC4065" s="38"/>
      <c r="AD4065" s="38"/>
      <c r="AE4065" s="38"/>
      <c r="AF4065" s="38"/>
      <c r="AG4065" s="38"/>
      <c r="AH4065" s="38"/>
      <c r="AI4065" s="38"/>
      <c r="AJ4065" s="38"/>
      <c r="AK4065" s="38"/>
      <c r="AL4065" s="38"/>
      <c r="AM4065" s="38"/>
      <c r="AN4065" s="38"/>
      <c r="AO4065" s="38"/>
      <c r="AP4065" s="38"/>
      <c r="AQ4065" s="38"/>
      <c r="AR4065" s="38"/>
      <c r="AS4065" s="38"/>
      <c r="AT4065" s="38"/>
      <c r="AU4065" s="38"/>
      <c r="AV4065" s="38"/>
      <c r="AW4065" s="38"/>
      <c r="AX4065" s="38"/>
      <c r="AY4065" s="38"/>
      <c r="AZ4065" s="38"/>
      <c r="BA4065" s="38"/>
      <c r="BB4065" s="38"/>
      <c r="BC4065" s="38"/>
      <c r="BD4065" s="38"/>
      <c r="BE4065" s="38"/>
      <c r="BF4065" s="38"/>
      <c r="BG4065" s="38"/>
      <c r="BH4065" s="38"/>
      <c r="BI4065" s="38"/>
      <c r="BJ4065" s="38"/>
      <c r="BK4065" s="38"/>
      <c r="BL4065" s="38"/>
      <c r="BM4065" s="38"/>
      <c r="BN4065" s="38"/>
      <c r="BO4065" s="38"/>
      <c r="BP4065" s="38"/>
      <c r="BQ4065" s="38"/>
    </row>
    <row r="4066">
      <c r="A4066" s="16"/>
      <c r="B4066" s="145"/>
      <c r="C4066" s="146"/>
      <c r="D4066" s="146"/>
      <c r="E4066" s="16"/>
      <c r="F4066" s="91"/>
      <c r="G4066" s="16"/>
      <c r="H4066" s="320" t="str">
        <f t="shared" si="424"/>
        <v/>
      </c>
      <c r="I4066" s="16"/>
      <c r="J4066" s="16"/>
      <c r="K4066" s="16"/>
      <c r="L4066" s="16"/>
      <c r="M4066" s="15"/>
      <c r="N4066" s="15"/>
      <c r="O4066" s="16"/>
      <c r="P4066" s="16"/>
      <c r="Q4066" s="16"/>
      <c r="R4066" s="16"/>
      <c r="S4066" s="37" t="str">
        <f>IFERROR(__xludf.DUMMYFUNCTION("if(not(iserror(index(split(C4066, "" ""),2))), index(split(C4066, "" ""),1),"""")"),"")</f>
        <v/>
      </c>
      <c r="T4066" s="315" t="str">
        <f>IFERROR(__xludf.DUMMYFUNCTION("if(S4066="""",C4066,if(not(iserror(index(split(C4066, "" ""),3))), index(split(C4066, "" ""),3),index(split(C4066, "" ""),2)))"),"")</f>
        <v/>
      </c>
      <c r="U4066" s="38" t="b">
        <f t="shared" si="423"/>
        <v>0</v>
      </c>
      <c r="V4066" s="38"/>
      <c r="W4066" s="40"/>
      <c r="X4066" s="40"/>
      <c r="Y4066" s="40"/>
      <c r="Z4066" s="38"/>
      <c r="AA4066" s="38"/>
      <c r="AB4066" s="38"/>
      <c r="AC4066" s="38"/>
      <c r="AD4066" s="38"/>
      <c r="AE4066" s="38"/>
      <c r="AF4066" s="38"/>
      <c r="AG4066" s="38"/>
      <c r="AH4066" s="38"/>
      <c r="AI4066" s="38"/>
      <c r="AJ4066" s="38"/>
      <c r="AK4066" s="38"/>
      <c r="AL4066" s="38"/>
      <c r="AM4066" s="38"/>
      <c r="AN4066" s="38"/>
      <c r="AO4066" s="38"/>
      <c r="AP4066" s="38"/>
      <c r="AQ4066" s="38"/>
      <c r="AR4066" s="38"/>
      <c r="AS4066" s="38"/>
      <c r="AT4066" s="38"/>
      <c r="AU4066" s="38"/>
      <c r="AV4066" s="38"/>
      <c r="AW4066" s="38"/>
      <c r="AX4066" s="38"/>
      <c r="AY4066" s="38"/>
      <c r="AZ4066" s="38"/>
      <c r="BA4066" s="38"/>
      <c r="BB4066" s="38"/>
      <c r="BC4066" s="38"/>
      <c r="BD4066" s="38"/>
      <c r="BE4066" s="38"/>
      <c r="BF4066" s="38"/>
      <c r="BG4066" s="38"/>
      <c r="BH4066" s="38"/>
      <c r="BI4066" s="38"/>
      <c r="BJ4066" s="38"/>
      <c r="BK4066" s="38"/>
      <c r="BL4066" s="38"/>
      <c r="BM4066" s="38"/>
      <c r="BN4066" s="38"/>
      <c r="BO4066" s="38"/>
      <c r="BP4066" s="38"/>
      <c r="BQ4066" s="38"/>
    </row>
    <row r="4067">
      <c r="A4067" s="16"/>
      <c r="B4067" s="145"/>
      <c r="C4067" s="146"/>
      <c r="D4067" s="146"/>
      <c r="E4067" s="16"/>
      <c r="F4067" s="91"/>
      <c r="G4067" s="16"/>
      <c r="H4067" s="320" t="str">
        <f t="shared" si="424"/>
        <v/>
      </c>
      <c r="I4067" s="16"/>
      <c r="J4067" s="16"/>
      <c r="K4067" s="16"/>
      <c r="L4067" s="16"/>
      <c r="M4067" s="15"/>
      <c r="N4067" s="15"/>
      <c r="O4067" s="16"/>
      <c r="P4067" s="16"/>
      <c r="Q4067" s="16"/>
      <c r="R4067" s="16"/>
      <c r="S4067" s="37" t="str">
        <f>IFERROR(__xludf.DUMMYFUNCTION("if(not(iserror(index(split(C4067, "" ""),2))), index(split(C4067, "" ""),1),"""")"),"")</f>
        <v/>
      </c>
      <c r="T4067" s="315" t="str">
        <f>IFERROR(__xludf.DUMMYFUNCTION("if(S4067="""",C4067,if(not(iserror(index(split(C4067, "" ""),3))), index(split(C4067, "" ""),3),index(split(C4067, "" ""),2)))"),"")</f>
        <v/>
      </c>
      <c r="U4067" s="38" t="b">
        <f t="shared" si="423"/>
        <v>0</v>
      </c>
      <c r="V4067" s="38"/>
      <c r="W4067" s="40"/>
      <c r="X4067" s="40"/>
      <c r="Y4067" s="40"/>
      <c r="Z4067" s="38"/>
      <c r="AA4067" s="38"/>
      <c r="AB4067" s="38"/>
      <c r="AC4067" s="38"/>
      <c r="AD4067" s="38"/>
      <c r="AE4067" s="38"/>
      <c r="AF4067" s="38"/>
      <c r="AG4067" s="38"/>
      <c r="AH4067" s="38"/>
      <c r="AI4067" s="38"/>
      <c r="AJ4067" s="38"/>
      <c r="AK4067" s="38"/>
      <c r="AL4067" s="38"/>
      <c r="AM4067" s="38"/>
      <c r="AN4067" s="38"/>
      <c r="AO4067" s="38"/>
      <c r="AP4067" s="38"/>
      <c r="AQ4067" s="38"/>
      <c r="AR4067" s="38"/>
      <c r="AS4067" s="38"/>
      <c r="AT4067" s="38"/>
      <c r="AU4067" s="38"/>
      <c r="AV4067" s="38"/>
      <c r="AW4067" s="38"/>
      <c r="AX4067" s="38"/>
      <c r="AY4067" s="38"/>
      <c r="AZ4067" s="38"/>
      <c r="BA4067" s="38"/>
      <c r="BB4067" s="38"/>
      <c r="BC4067" s="38"/>
      <c r="BD4067" s="38"/>
      <c r="BE4067" s="38"/>
      <c r="BF4067" s="38"/>
      <c r="BG4067" s="38"/>
      <c r="BH4067" s="38"/>
      <c r="BI4067" s="38"/>
      <c r="BJ4067" s="38"/>
      <c r="BK4067" s="38"/>
      <c r="BL4067" s="38"/>
      <c r="BM4067" s="38"/>
      <c r="BN4067" s="38"/>
      <c r="BO4067" s="38"/>
      <c r="BP4067" s="38"/>
      <c r="BQ4067" s="38"/>
    </row>
    <row r="4068">
      <c r="A4068" s="16"/>
      <c r="B4068" s="145"/>
      <c r="C4068" s="146"/>
      <c r="D4068" s="146"/>
      <c r="E4068" s="16"/>
      <c r="F4068" s="91"/>
      <c r="G4068" s="16"/>
      <c r="H4068" s="320" t="str">
        <f t="shared" si="424"/>
        <v/>
      </c>
      <c r="I4068" s="16"/>
      <c r="J4068" s="16"/>
      <c r="K4068" s="16"/>
      <c r="L4068" s="16"/>
      <c r="M4068" s="15"/>
      <c r="N4068" s="15"/>
      <c r="O4068" s="16"/>
      <c r="P4068" s="16"/>
      <c r="Q4068" s="16"/>
      <c r="R4068" s="16"/>
      <c r="S4068" s="37" t="str">
        <f>IFERROR(__xludf.DUMMYFUNCTION("if(not(iserror(index(split(C4068, "" ""),2))), index(split(C4068, "" ""),1),"""")"),"")</f>
        <v/>
      </c>
      <c r="T4068" s="315" t="str">
        <f>IFERROR(__xludf.DUMMYFUNCTION("if(S4068="""",C4068,if(not(iserror(index(split(C4068, "" ""),3))), index(split(C4068, "" ""),3),index(split(C4068, "" ""),2)))"),"")</f>
        <v/>
      </c>
      <c r="U4068" s="38" t="b">
        <f t="shared" si="423"/>
        <v>0</v>
      </c>
      <c r="V4068" s="38"/>
      <c r="W4068" s="40"/>
      <c r="X4068" s="40"/>
      <c r="Y4068" s="40"/>
      <c r="Z4068" s="38"/>
      <c r="AA4068" s="38"/>
      <c r="AB4068" s="38"/>
      <c r="AC4068" s="38"/>
      <c r="AD4068" s="38"/>
      <c r="AE4068" s="38"/>
      <c r="AF4068" s="38"/>
      <c r="AG4068" s="38"/>
      <c r="AH4068" s="38"/>
      <c r="AI4068" s="38"/>
      <c r="AJ4068" s="38"/>
      <c r="AK4068" s="38"/>
      <c r="AL4068" s="38"/>
      <c r="AM4068" s="38"/>
      <c r="AN4068" s="38"/>
      <c r="AO4068" s="38"/>
      <c r="AP4068" s="38"/>
      <c r="AQ4068" s="38"/>
      <c r="AR4068" s="38"/>
      <c r="AS4068" s="38"/>
      <c r="AT4068" s="38"/>
      <c r="AU4068" s="38"/>
      <c r="AV4068" s="38"/>
      <c r="AW4068" s="38"/>
      <c r="AX4068" s="38"/>
      <c r="AY4068" s="38"/>
      <c r="AZ4068" s="38"/>
      <c r="BA4068" s="38"/>
      <c r="BB4068" s="38"/>
      <c r="BC4068" s="38"/>
      <c r="BD4068" s="38"/>
      <c r="BE4068" s="38"/>
      <c r="BF4068" s="38"/>
      <c r="BG4068" s="38"/>
      <c r="BH4068" s="38"/>
      <c r="BI4068" s="38"/>
      <c r="BJ4068" s="38"/>
      <c r="BK4068" s="38"/>
      <c r="BL4068" s="38"/>
      <c r="BM4068" s="38"/>
      <c r="BN4068" s="38"/>
      <c r="BO4068" s="38"/>
      <c r="BP4068" s="38"/>
      <c r="BQ4068" s="38"/>
    </row>
    <row r="4069">
      <c r="A4069" s="16"/>
      <c r="B4069" s="145"/>
      <c r="C4069" s="146"/>
      <c r="D4069" s="146"/>
      <c r="E4069" s="16"/>
      <c r="F4069" s="91"/>
      <c r="G4069" s="16"/>
      <c r="H4069" s="320" t="str">
        <f t="shared" si="424"/>
        <v/>
      </c>
      <c r="I4069" s="16"/>
      <c r="J4069" s="16"/>
      <c r="K4069" s="16"/>
      <c r="L4069" s="16"/>
      <c r="M4069" s="15"/>
      <c r="N4069" s="15"/>
      <c r="O4069" s="16"/>
      <c r="P4069" s="16"/>
      <c r="Q4069" s="16"/>
      <c r="R4069" s="16"/>
      <c r="S4069" s="37" t="str">
        <f>IFERROR(__xludf.DUMMYFUNCTION("if(not(iserror(index(split(C4069, "" ""),2))), index(split(C4069, "" ""),1),"""")"),"")</f>
        <v/>
      </c>
      <c r="T4069" s="315" t="str">
        <f>IFERROR(__xludf.DUMMYFUNCTION("if(S4069="""",C4069,if(not(iserror(index(split(C4069, "" ""),3))), index(split(C4069, "" ""),3),index(split(C4069, "" ""),2)))"),"")</f>
        <v/>
      </c>
      <c r="U4069" s="38" t="b">
        <f t="shared" si="423"/>
        <v>0</v>
      </c>
      <c r="V4069" s="38"/>
      <c r="W4069" s="40"/>
      <c r="X4069" s="40"/>
      <c r="Y4069" s="40"/>
      <c r="Z4069" s="38"/>
      <c r="AA4069" s="38"/>
      <c r="AB4069" s="38"/>
      <c r="AC4069" s="38"/>
      <c r="AD4069" s="38"/>
      <c r="AE4069" s="38"/>
      <c r="AF4069" s="38"/>
      <c r="AG4069" s="38"/>
      <c r="AH4069" s="38"/>
      <c r="AI4069" s="38"/>
      <c r="AJ4069" s="38"/>
      <c r="AK4069" s="38"/>
      <c r="AL4069" s="38"/>
      <c r="AM4069" s="38"/>
      <c r="AN4069" s="38"/>
      <c r="AO4069" s="38"/>
      <c r="AP4069" s="38"/>
      <c r="AQ4069" s="38"/>
      <c r="AR4069" s="38"/>
      <c r="AS4069" s="38"/>
      <c r="AT4069" s="38"/>
      <c r="AU4069" s="38"/>
      <c r="AV4069" s="38"/>
      <c r="AW4069" s="38"/>
      <c r="AX4069" s="38"/>
      <c r="AY4069" s="38"/>
      <c r="AZ4069" s="38"/>
      <c r="BA4069" s="38"/>
      <c r="BB4069" s="38"/>
      <c r="BC4069" s="38"/>
      <c r="BD4069" s="38"/>
      <c r="BE4069" s="38"/>
      <c r="BF4069" s="38"/>
      <c r="BG4069" s="38"/>
      <c r="BH4069" s="38"/>
      <c r="BI4069" s="38"/>
      <c r="BJ4069" s="38"/>
      <c r="BK4069" s="38"/>
      <c r="BL4069" s="38"/>
      <c r="BM4069" s="38"/>
      <c r="BN4069" s="38"/>
      <c r="BO4069" s="38"/>
      <c r="BP4069" s="38"/>
      <c r="BQ4069" s="38"/>
    </row>
    <row r="4070">
      <c r="A4070" s="16"/>
      <c r="B4070" s="145"/>
      <c r="C4070" s="146"/>
      <c r="D4070" s="146"/>
      <c r="E4070" s="16"/>
      <c r="F4070" s="91"/>
      <c r="G4070" s="16"/>
      <c r="H4070" s="320" t="str">
        <f t="shared" si="424"/>
        <v/>
      </c>
      <c r="I4070" s="16"/>
      <c r="J4070" s="16"/>
      <c r="K4070" s="16"/>
      <c r="L4070" s="16"/>
      <c r="M4070" s="15"/>
      <c r="N4070" s="15"/>
      <c r="O4070" s="16"/>
      <c r="P4070" s="16"/>
      <c r="Q4070" s="16"/>
      <c r="R4070" s="16"/>
      <c r="S4070" s="37" t="str">
        <f>IFERROR(__xludf.DUMMYFUNCTION("if(not(iserror(index(split(C4070, "" ""),2))), index(split(C4070, "" ""),1),"""")"),"")</f>
        <v/>
      </c>
      <c r="T4070" s="315" t="str">
        <f>IFERROR(__xludf.DUMMYFUNCTION("if(S4070="""",C4070,if(not(iserror(index(split(C4070, "" ""),3))), index(split(C4070, "" ""),3),index(split(C4070, "" ""),2)))"),"")</f>
        <v/>
      </c>
      <c r="U4070" s="38" t="b">
        <f t="shared" si="423"/>
        <v>0</v>
      </c>
      <c r="V4070" s="38"/>
      <c r="W4070" s="40"/>
      <c r="X4070" s="40"/>
      <c r="Y4070" s="40"/>
      <c r="Z4070" s="38"/>
      <c r="AA4070" s="38"/>
      <c r="AB4070" s="38"/>
      <c r="AC4070" s="38"/>
      <c r="AD4070" s="38"/>
      <c r="AE4070" s="38"/>
      <c r="AF4070" s="38"/>
      <c r="AG4070" s="38"/>
      <c r="AH4070" s="38"/>
      <c r="AI4070" s="38"/>
      <c r="AJ4070" s="38"/>
      <c r="AK4070" s="38"/>
      <c r="AL4070" s="38"/>
      <c r="AM4070" s="38"/>
      <c r="AN4070" s="38"/>
      <c r="AO4070" s="38"/>
      <c r="AP4070" s="38"/>
      <c r="AQ4070" s="38"/>
      <c r="AR4070" s="38"/>
      <c r="AS4070" s="38"/>
      <c r="AT4070" s="38"/>
      <c r="AU4070" s="38"/>
      <c r="AV4070" s="38"/>
      <c r="AW4070" s="38"/>
      <c r="AX4070" s="38"/>
      <c r="AY4070" s="38"/>
      <c r="AZ4070" s="38"/>
      <c r="BA4070" s="38"/>
      <c r="BB4070" s="38"/>
      <c r="BC4070" s="38"/>
      <c r="BD4070" s="38"/>
      <c r="BE4070" s="38"/>
      <c r="BF4070" s="38"/>
      <c r="BG4070" s="38"/>
      <c r="BH4070" s="38"/>
      <c r="BI4070" s="38"/>
      <c r="BJ4070" s="38"/>
      <c r="BK4070" s="38"/>
      <c r="BL4070" s="38"/>
      <c r="BM4070" s="38"/>
      <c r="BN4070" s="38"/>
      <c r="BO4070" s="38"/>
      <c r="BP4070" s="38"/>
      <c r="BQ4070" s="38"/>
    </row>
    <row r="4071">
      <c r="A4071" s="16"/>
      <c r="B4071" s="145"/>
      <c r="C4071" s="146"/>
      <c r="D4071" s="146"/>
      <c r="E4071" s="16"/>
      <c r="F4071" s="91"/>
      <c r="G4071" s="16"/>
      <c r="H4071" s="320" t="str">
        <f t="shared" si="424"/>
        <v/>
      </c>
      <c r="I4071" s="16"/>
      <c r="J4071" s="16"/>
      <c r="K4071" s="16"/>
      <c r="L4071" s="16"/>
      <c r="M4071" s="15"/>
      <c r="N4071" s="15"/>
      <c r="O4071" s="16"/>
      <c r="P4071" s="16"/>
      <c r="Q4071" s="16"/>
      <c r="R4071" s="16"/>
      <c r="S4071" s="37" t="str">
        <f>IFERROR(__xludf.DUMMYFUNCTION("if(not(iserror(index(split(C4071, "" ""),2))), index(split(C4071, "" ""),1),"""")"),"")</f>
        <v/>
      </c>
      <c r="T4071" s="315" t="str">
        <f>IFERROR(__xludf.DUMMYFUNCTION("if(S4071="""",C4071,if(not(iserror(index(split(C4071, "" ""),3))), index(split(C4071, "" ""),3),index(split(C4071, "" ""),2)))"),"")</f>
        <v/>
      </c>
      <c r="U4071" s="38" t="b">
        <f t="shared" si="423"/>
        <v>0</v>
      </c>
      <c r="V4071" s="38"/>
      <c r="W4071" s="40"/>
      <c r="X4071" s="40"/>
      <c r="Y4071" s="40"/>
      <c r="Z4071" s="38"/>
      <c r="AA4071" s="38"/>
      <c r="AB4071" s="38"/>
      <c r="AC4071" s="38"/>
      <c r="AD4071" s="38"/>
      <c r="AE4071" s="38"/>
      <c r="AF4071" s="38"/>
      <c r="AG4071" s="38"/>
      <c r="AH4071" s="38"/>
      <c r="AI4071" s="38"/>
      <c r="AJ4071" s="38"/>
      <c r="AK4071" s="38"/>
      <c r="AL4071" s="38"/>
      <c r="AM4071" s="38"/>
      <c r="AN4071" s="38"/>
      <c r="AO4071" s="38"/>
      <c r="AP4071" s="38"/>
      <c r="AQ4071" s="38"/>
      <c r="AR4071" s="38"/>
      <c r="AS4071" s="38"/>
      <c r="AT4071" s="38"/>
      <c r="AU4071" s="38"/>
      <c r="AV4071" s="38"/>
      <c r="AW4071" s="38"/>
      <c r="AX4071" s="38"/>
      <c r="AY4071" s="38"/>
      <c r="AZ4071" s="38"/>
      <c r="BA4071" s="38"/>
      <c r="BB4071" s="38"/>
      <c r="BC4071" s="38"/>
      <c r="BD4071" s="38"/>
      <c r="BE4071" s="38"/>
      <c r="BF4071" s="38"/>
      <c r="BG4071" s="38"/>
      <c r="BH4071" s="38"/>
      <c r="BI4071" s="38"/>
      <c r="BJ4071" s="38"/>
      <c r="BK4071" s="38"/>
      <c r="BL4071" s="38"/>
      <c r="BM4071" s="38"/>
      <c r="BN4071" s="38"/>
      <c r="BO4071" s="38"/>
      <c r="BP4071" s="38"/>
      <c r="BQ4071" s="38"/>
    </row>
    <row r="4072">
      <c r="A4072" s="16"/>
      <c r="B4072" s="145"/>
      <c r="C4072" s="146"/>
      <c r="D4072" s="146"/>
      <c r="E4072" s="16"/>
      <c r="F4072" s="91"/>
      <c r="G4072" s="16"/>
      <c r="H4072" s="320" t="str">
        <f t="shared" si="424"/>
        <v/>
      </c>
      <c r="I4072" s="16"/>
      <c r="J4072" s="16"/>
      <c r="K4072" s="16"/>
      <c r="L4072" s="16"/>
      <c r="M4072" s="15"/>
      <c r="N4072" s="15"/>
      <c r="O4072" s="16"/>
      <c r="P4072" s="16"/>
      <c r="Q4072" s="16"/>
      <c r="R4072" s="16"/>
      <c r="S4072" s="37" t="str">
        <f>IFERROR(__xludf.DUMMYFUNCTION("if(not(iserror(index(split(C4072, "" ""),2))), index(split(C4072, "" ""),1),"""")"),"")</f>
        <v/>
      </c>
      <c r="T4072" s="315" t="str">
        <f>IFERROR(__xludf.DUMMYFUNCTION("if(S4072="""",C4072,if(not(iserror(index(split(C4072, "" ""),3))), index(split(C4072, "" ""),3),index(split(C4072, "" ""),2)))"),"")</f>
        <v/>
      </c>
      <c r="U4072" s="38" t="b">
        <f t="shared" si="423"/>
        <v>0</v>
      </c>
      <c r="V4072" s="38"/>
      <c r="W4072" s="40"/>
      <c r="X4072" s="40"/>
      <c r="Y4072" s="40"/>
      <c r="Z4072" s="38"/>
      <c r="AA4072" s="38"/>
      <c r="AB4072" s="38"/>
      <c r="AC4072" s="38"/>
      <c r="AD4072" s="38"/>
      <c r="AE4072" s="38"/>
      <c r="AF4072" s="38"/>
      <c r="AG4072" s="38"/>
      <c r="AH4072" s="38"/>
      <c r="AI4072" s="38"/>
      <c r="AJ4072" s="38"/>
      <c r="AK4072" s="38"/>
      <c r="AL4072" s="38"/>
      <c r="AM4072" s="38"/>
      <c r="AN4072" s="38"/>
      <c r="AO4072" s="38"/>
      <c r="AP4072" s="38"/>
      <c r="AQ4072" s="38"/>
      <c r="AR4072" s="38"/>
      <c r="AS4072" s="38"/>
      <c r="AT4072" s="38"/>
      <c r="AU4072" s="38"/>
      <c r="AV4072" s="38"/>
      <c r="AW4072" s="38"/>
      <c r="AX4072" s="38"/>
      <c r="AY4072" s="38"/>
      <c r="AZ4072" s="38"/>
      <c r="BA4072" s="38"/>
      <c r="BB4072" s="38"/>
      <c r="BC4072" s="38"/>
      <c r="BD4072" s="38"/>
      <c r="BE4072" s="38"/>
      <c r="BF4072" s="38"/>
      <c r="BG4072" s="38"/>
      <c r="BH4072" s="38"/>
      <c r="BI4072" s="38"/>
      <c r="BJ4072" s="38"/>
      <c r="BK4072" s="38"/>
      <c r="BL4072" s="38"/>
      <c r="BM4072" s="38"/>
      <c r="BN4072" s="38"/>
      <c r="BO4072" s="38"/>
      <c r="BP4072" s="38"/>
      <c r="BQ4072" s="38"/>
    </row>
    <row r="4073">
      <c r="A4073" s="16"/>
      <c r="B4073" s="145"/>
      <c r="C4073" s="146"/>
      <c r="D4073" s="146"/>
      <c r="E4073" s="16"/>
      <c r="F4073" s="91"/>
      <c r="G4073" s="16"/>
      <c r="H4073" s="320" t="str">
        <f t="shared" si="424"/>
        <v/>
      </c>
      <c r="I4073" s="16"/>
      <c r="J4073" s="16"/>
      <c r="K4073" s="16"/>
      <c r="L4073" s="16"/>
      <c r="M4073" s="15"/>
      <c r="N4073" s="15"/>
      <c r="O4073" s="16"/>
      <c r="P4073" s="16"/>
      <c r="Q4073" s="16"/>
      <c r="R4073" s="16"/>
      <c r="S4073" s="37" t="str">
        <f>IFERROR(__xludf.DUMMYFUNCTION("if(not(iserror(index(split(C4073, "" ""),2))), index(split(C4073, "" ""),1),"""")"),"")</f>
        <v/>
      </c>
      <c r="T4073" s="315" t="str">
        <f>IFERROR(__xludf.DUMMYFUNCTION("if(S4073="""",C4073,if(not(iserror(index(split(C4073, "" ""),3))), index(split(C4073, "" ""),3),index(split(C4073, "" ""),2)))"),"")</f>
        <v/>
      </c>
      <c r="U4073" s="38" t="b">
        <f t="shared" si="423"/>
        <v>0</v>
      </c>
      <c r="V4073" s="38"/>
      <c r="W4073" s="40"/>
      <c r="X4073" s="40"/>
      <c r="Y4073" s="40"/>
      <c r="Z4073" s="38"/>
      <c r="AA4073" s="38"/>
      <c r="AB4073" s="38"/>
      <c r="AC4073" s="38"/>
      <c r="AD4073" s="38"/>
      <c r="AE4073" s="38"/>
      <c r="AF4073" s="38"/>
      <c r="AG4073" s="38"/>
      <c r="AH4073" s="38"/>
      <c r="AI4073" s="38"/>
      <c r="AJ4073" s="38"/>
      <c r="AK4073" s="38"/>
      <c r="AL4073" s="38"/>
      <c r="AM4073" s="38"/>
      <c r="AN4073" s="38"/>
      <c r="AO4073" s="38"/>
      <c r="AP4073" s="38"/>
      <c r="AQ4073" s="38"/>
      <c r="AR4073" s="38"/>
      <c r="AS4073" s="38"/>
      <c r="AT4073" s="38"/>
      <c r="AU4073" s="38"/>
      <c r="AV4073" s="38"/>
      <c r="AW4073" s="38"/>
      <c r="AX4073" s="38"/>
      <c r="AY4073" s="38"/>
      <c r="AZ4073" s="38"/>
      <c r="BA4073" s="38"/>
      <c r="BB4073" s="38"/>
      <c r="BC4073" s="38"/>
      <c r="BD4073" s="38"/>
      <c r="BE4073" s="38"/>
      <c r="BF4073" s="38"/>
      <c r="BG4073" s="38"/>
      <c r="BH4073" s="38"/>
      <c r="BI4073" s="38"/>
      <c r="BJ4073" s="38"/>
      <c r="BK4073" s="38"/>
      <c r="BL4073" s="38"/>
      <c r="BM4073" s="38"/>
      <c r="BN4073" s="38"/>
      <c r="BO4073" s="38"/>
      <c r="BP4073" s="38"/>
      <c r="BQ4073" s="38"/>
    </row>
    <row r="4074">
      <c r="A4074" s="16"/>
      <c r="B4074" s="145"/>
      <c r="C4074" s="146"/>
      <c r="D4074" s="146"/>
      <c r="E4074" s="16"/>
      <c r="F4074" s="91"/>
      <c r="G4074" s="16"/>
      <c r="H4074" s="320" t="str">
        <f t="shared" si="424"/>
        <v/>
      </c>
      <c r="I4074" s="16"/>
      <c r="J4074" s="16"/>
      <c r="K4074" s="16"/>
      <c r="L4074" s="16"/>
      <c r="M4074" s="15"/>
      <c r="N4074" s="15"/>
      <c r="O4074" s="16"/>
      <c r="P4074" s="16"/>
      <c r="Q4074" s="16"/>
      <c r="R4074" s="16"/>
      <c r="S4074" s="37" t="str">
        <f>IFERROR(__xludf.DUMMYFUNCTION("if(not(iserror(index(split(C4074, "" ""),2))), index(split(C4074, "" ""),1),"""")"),"")</f>
        <v/>
      </c>
      <c r="T4074" s="315" t="str">
        <f>IFERROR(__xludf.DUMMYFUNCTION("if(S4074="""",C4074,if(not(iserror(index(split(C4074, "" ""),3))), index(split(C4074, "" ""),3),index(split(C4074, "" ""),2)))"),"")</f>
        <v/>
      </c>
      <c r="U4074" s="38" t="b">
        <f t="shared" si="423"/>
        <v>0</v>
      </c>
      <c r="V4074" s="38"/>
      <c r="W4074" s="40"/>
      <c r="X4074" s="40"/>
      <c r="Y4074" s="40"/>
      <c r="Z4074" s="38"/>
      <c r="AA4074" s="38"/>
      <c r="AB4074" s="38"/>
      <c r="AC4074" s="38"/>
      <c r="AD4074" s="38"/>
      <c r="AE4074" s="38"/>
      <c r="AF4074" s="38"/>
      <c r="AG4074" s="38"/>
      <c r="AH4074" s="38"/>
      <c r="AI4074" s="38"/>
      <c r="AJ4074" s="38"/>
      <c r="AK4074" s="38"/>
      <c r="AL4074" s="38"/>
      <c r="AM4074" s="38"/>
      <c r="AN4074" s="38"/>
      <c r="AO4074" s="38"/>
      <c r="AP4074" s="38"/>
      <c r="AQ4074" s="38"/>
      <c r="AR4074" s="38"/>
      <c r="AS4074" s="38"/>
      <c r="AT4074" s="38"/>
      <c r="AU4074" s="38"/>
      <c r="AV4074" s="38"/>
      <c r="AW4074" s="38"/>
      <c r="AX4074" s="38"/>
      <c r="AY4074" s="38"/>
      <c r="AZ4074" s="38"/>
      <c r="BA4074" s="38"/>
      <c r="BB4074" s="38"/>
      <c r="BC4074" s="38"/>
      <c r="BD4074" s="38"/>
      <c r="BE4074" s="38"/>
      <c r="BF4074" s="38"/>
      <c r="BG4074" s="38"/>
      <c r="BH4074" s="38"/>
      <c r="BI4074" s="38"/>
      <c r="BJ4074" s="38"/>
      <c r="BK4074" s="38"/>
      <c r="BL4074" s="38"/>
      <c r="BM4074" s="38"/>
      <c r="BN4074" s="38"/>
      <c r="BO4074" s="38"/>
      <c r="BP4074" s="38"/>
      <c r="BQ4074" s="38"/>
    </row>
    <row r="4075">
      <c r="A4075" s="16"/>
      <c r="B4075" s="145"/>
      <c r="C4075" s="146"/>
      <c r="D4075" s="146"/>
      <c r="E4075" s="16"/>
      <c r="F4075" s="91"/>
      <c r="G4075" s="16"/>
      <c r="H4075" s="320" t="str">
        <f t="shared" si="424"/>
        <v/>
      </c>
      <c r="I4075" s="16"/>
      <c r="J4075" s="16"/>
      <c r="K4075" s="16"/>
      <c r="L4075" s="16"/>
      <c r="M4075" s="15"/>
      <c r="N4075" s="15"/>
      <c r="O4075" s="16"/>
      <c r="P4075" s="16"/>
      <c r="Q4075" s="16"/>
      <c r="R4075" s="16"/>
      <c r="S4075" s="37" t="str">
        <f>IFERROR(__xludf.DUMMYFUNCTION("if(not(iserror(index(split(C4075, "" ""),2))), index(split(C4075, "" ""),1),"""")"),"")</f>
        <v/>
      </c>
      <c r="T4075" s="315" t="str">
        <f>IFERROR(__xludf.DUMMYFUNCTION("if(S4075="""",C4075,if(not(iserror(index(split(C4075, "" ""),3))), index(split(C4075, "" ""),3),index(split(C4075, "" ""),2)))"),"")</f>
        <v/>
      </c>
      <c r="U4075" s="38" t="b">
        <f t="shared" si="423"/>
        <v>0</v>
      </c>
      <c r="V4075" s="38"/>
      <c r="W4075" s="40"/>
      <c r="X4075" s="40"/>
      <c r="Y4075" s="40"/>
      <c r="Z4075" s="38"/>
      <c r="AA4075" s="38"/>
      <c r="AB4075" s="38"/>
      <c r="AC4075" s="38"/>
      <c r="AD4075" s="38"/>
      <c r="AE4075" s="38"/>
      <c r="AF4075" s="38"/>
      <c r="AG4075" s="38"/>
      <c r="AH4075" s="38"/>
      <c r="AI4075" s="38"/>
      <c r="AJ4075" s="38"/>
      <c r="AK4075" s="38"/>
      <c r="AL4075" s="38"/>
      <c r="AM4075" s="38"/>
      <c r="AN4075" s="38"/>
      <c r="AO4075" s="38"/>
      <c r="AP4075" s="38"/>
      <c r="AQ4075" s="38"/>
      <c r="AR4075" s="38"/>
      <c r="AS4075" s="38"/>
      <c r="AT4075" s="38"/>
      <c r="AU4075" s="38"/>
      <c r="AV4075" s="38"/>
      <c r="AW4075" s="38"/>
      <c r="AX4075" s="38"/>
      <c r="AY4075" s="38"/>
      <c r="AZ4075" s="38"/>
      <c r="BA4075" s="38"/>
      <c r="BB4075" s="38"/>
      <c r="BC4075" s="38"/>
      <c r="BD4075" s="38"/>
      <c r="BE4075" s="38"/>
      <c r="BF4075" s="38"/>
      <c r="BG4075" s="38"/>
      <c r="BH4075" s="38"/>
      <c r="BI4075" s="38"/>
      <c r="BJ4075" s="38"/>
      <c r="BK4075" s="38"/>
      <c r="BL4075" s="38"/>
      <c r="BM4075" s="38"/>
      <c r="BN4075" s="38"/>
      <c r="BO4075" s="38"/>
      <c r="BP4075" s="38"/>
      <c r="BQ4075" s="38"/>
    </row>
    <row r="4076">
      <c r="A4076" s="16"/>
      <c r="B4076" s="145"/>
      <c r="C4076" s="146"/>
      <c r="D4076" s="146"/>
      <c r="E4076" s="16"/>
      <c r="F4076" s="91"/>
      <c r="G4076" s="16"/>
      <c r="H4076" s="320" t="str">
        <f t="shared" si="424"/>
        <v/>
      </c>
      <c r="I4076" s="16"/>
      <c r="J4076" s="16"/>
      <c r="K4076" s="16"/>
      <c r="L4076" s="16"/>
      <c r="M4076" s="15"/>
      <c r="N4076" s="15"/>
      <c r="O4076" s="16"/>
      <c r="P4076" s="16"/>
      <c r="Q4076" s="16"/>
      <c r="R4076" s="16"/>
      <c r="S4076" s="37" t="str">
        <f>IFERROR(__xludf.DUMMYFUNCTION("if(not(iserror(index(split(C4076, "" ""),2))), index(split(C4076, "" ""),1),"""")"),"")</f>
        <v/>
      </c>
      <c r="T4076" s="315" t="str">
        <f>IFERROR(__xludf.DUMMYFUNCTION("if(S4076="""",C4076,if(not(iserror(index(split(C4076, "" ""),3))), index(split(C4076, "" ""),3),index(split(C4076, "" ""),2)))"),"")</f>
        <v/>
      </c>
      <c r="U4076" s="38" t="b">
        <f t="shared" si="423"/>
        <v>0</v>
      </c>
      <c r="V4076" s="38"/>
      <c r="W4076" s="40"/>
      <c r="X4076" s="40"/>
      <c r="Y4076" s="40"/>
      <c r="Z4076" s="38"/>
      <c r="AA4076" s="38"/>
      <c r="AB4076" s="38"/>
      <c r="AC4076" s="38"/>
      <c r="AD4076" s="38"/>
      <c r="AE4076" s="38"/>
      <c r="AF4076" s="38"/>
      <c r="AG4076" s="38"/>
      <c r="AH4076" s="38"/>
      <c r="AI4076" s="38"/>
      <c r="AJ4076" s="38"/>
      <c r="AK4076" s="38"/>
      <c r="AL4076" s="38"/>
      <c r="AM4076" s="38"/>
      <c r="AN4076" s="38"/>
      <c r="AO4076" s="38"/>
      <c r="AP4076" s="38"/>
      <c r="AQ4076" s="38"/>
      <c r="AR4076" s="38"/>
      <c r="AS4076" s="38"/>
      <c r="AT4076" s="38"/>
      <c r="AU4076" s="38"/>
      <c r="AV4076" s="38"/>
      <c r="AW4076" s="38"/>
      <c r="AX4076" s="38"/>
      <c r="AY4076" s="38"/>
      <c r="AZ4076" s="38"/>
      <c r="BA4076" s="38"/>
      <c r="BB4076" s="38"/>
      <c r="BC4076" s="38"/>
      <c r="BD4076" s="38"/>
      <c r="BE4076" s="38"/>
      <c r="BF4076" s="38"/>
      <c r="BG4076" s="38"/>
      <c r="BH4076" s="38"/>
      <c r="BI4076" s="38"/>
      <c r="BJ4076" s="38"/>
      <c r="BK4076" s="38"/>
      <c r="BL4076" s="38"/>
      <c r="BM4076" s="38"/>
      <c r="BN4076" s="38"/>
      <c r="BO4076" s="38"/>
      <c r="BP4076" s="38"/>
      <c r="BQ4076" s="38"/>
    </row>
    <row r="4077">
      <c r="A4077" s="16"/>
      <c r="B4077" s="145"/>
      <c r="C4077" s="146"/>
      <c r="D4077" s="146"/>
      <c r="E4077" s="16"/>
      <c r="F4077" s="91"/>
      <c r="G4077" s="16"/>
      <c r="H4077" s="320" t="str">
        <f t="shared" si="424"/>
        <v/>
      </c>
      <c r="I4077" s="16"/>
      <c r="J4077" s="16"/>
      <c r="K4077" s="16"/>
      <c r="L4077" s="16"/>
      <c r="M4077" s="15"/>
      <c r="N4077" s="15"/>
      <c r="O4077" s="16"/>
      <c r="P4077" s="16"/>
      <c r="Q4077" s="16"/>
      <c r="R4077" s="16"/>
      <c r="S4077" s="37" t="str">
        <f>IFERROR(__xludf.DUMMYFUNCTION("if(not(iserror(index(split(C4077, "" ""),2))), index(split(C4077, "" ""),1),"""")"),"")</f>
        <v/>
      </c>
      <c r="T4077" s="315" t="str">
        <f>IFERROR(__xludf.DUMMYFUNCTION("if(S4077="""",C4077,if(not(iserror(index(split(C4077, "" ""),3))), index(split(C4077, "" ""),3),index(split(C4077, "" ""),2)))"),"")</f>
        <v/>
      </c>
      <c r="U4077" s="38" t="b">
        <f t="shared" si="423"/>
        <v>0</v>
      </c>
      <c r="V4077" s="38"/>
      <c r="W4077" s="40"/>
      <c r="X4077" s="40"/>
      <c r="Y4077" s="40"/>
      <c r="Z4077" s="38"/>
      <c r="AA4077" s="38"/>
      <c r="AB4077" s="38"/>
      <c r="AC4077" s="38"/>
      <c r="AD4077" s="38"/>
      <c r="AE4077" s="38"/>
      <c r="AF4077" s="38"/>
      <c r="AG4077" s="38"/>
      <c r="AH4077" s="38"/>
      <c r="AI4077" s="38"/>
      <c r="AJ4077" s="38"/>
      <c r="AK4077" s="38"/>
      <c r="AL4077" s="38"/>
      <c r="AM4077" s="38"/>
      <c r="AN4077" s="38"/>
      <c r="AO4077" s="38"/>
      <c r="AP4077" s="38"/>
      <c r="AQ4077" s="38"/>
      <c r="AR4077" s="38"/>
      <c r="AS4077" s="38"/>
      <c r="AT4077" s="38"/>
      <c r="AU4077" s="38"/>
      <c r="AV4077" s="38"/>
      <c r="AW4077" s="38"/>
      <c r="AX4077" s="38"/>
      <c r="AY4077" s="38"/>
      <c r="AZ4077" s="38"/>
      <c r="BA4077" s="38"/>
      <c r="BB4077" s="38"/>
      <c r="BC4077" s="38"/>
      <c r="BD4077" s="38"/>
      <c r="BE4077" s="38"/>
      <c r="BF4077" s="38"/>
      <c r="BG4077" s="38"/>
      <c r="BH4077" s="38"/>
      <c r="BI4077" s="38"/>
      <c r="BJ4077" s="38"/>
      <c r="BK4077" s="38"/>
      <c r="BL4077" s="38"/>
      <c r="BM4077" s="38"/>
      <c r="BN4077" s="38"/>
      <c r="BO4077" s="38"/>
      <c r="BP4077" s="38"/>
      <c r="BQ4077" s="38"/>
    </row>
    <row r="4078">
      <c r="A4078" s="16"/>
      <c r="B4078" s="145"/>
      <c r="C4078" s="146"/>
      <c r="D4078" s="146"/>
      <c r="E4078" s="16"/>
      <c r="F4078" s="91"/>
      <c r="G4078" s="16"/>
      <c r="H4078" s="320" t="str">
        <f t="shared" si="424"/>
        <v/>
      </c>
      <c r="I4078" s="16"/>
      <c r="J4078" s="16"/>
      <c r="K4078" s="16"/>
      <c r="L4078" s="16"/>
      <c r="M4078" s="15"/>
      <c r="N4078" s="15"/>
      <c r="O4078" s="16"/>
      <c r="P4078" s="16"/>
      <c r="Q4078" s="16"/>
      <c r="R4078" s="16"/>
      <c r="S4078" s="37" t="str">
        <f>IFERROR(__xludf.DUMMYFUNCTION("if(not(iserror(index(split(C4078, "" ""),2))), index(split(C4078, "" ""),1),"""")"),"")</f>
        <v/>
      </c>
      <c r="T4078" s="315" t="str">
        <f>IFERROR(__xludf.DUMMYFUNCTION("if(S4078="""",C4078,if(not(iserror(index(split(C4078, "" ""),3))), index(split(C4078, "" ""),3),index(split(C4078, "" ""),2)))"),"")</f>
        <v/>
      </c>
      <c r="U4078" s="38" t="b">
        <f t="shared" si="423"/>
        <v>0</v>
      </c>
      <c r="V4078" s="38"/>
      <c r="W4078" s="40"/>
      <c r="X4078" s="40"/>
      <c r="Y4078" s="40"/>
      <c r="Z4078" s="38"/>
      <c r="AA4078" s="38"/>
      <c r="AB4078" s="38"/>
      <c r="AC4078" s="38"/>
      <c r="AD4078" s="38"/>
      <c r="AE4078" s="38"/>
      <c r="AF4078" s="38"/>
      <c r="AG4078" s="38"/>
      <c r="AH4078" s="38"/>
      <c r="AI4078" s="38"/>
      <c r="AJ4078" s="38"/>
      <c r="AK4078" s="38"/>
      <c r="AL4078" s="38"/>
      <c r="AM4078" s="38"/>
      <c r="AN4078" s="38"/>
      <c r="AO4078" s="38"/>
      <c r="AP4078" s="38"/>
      <c r="AQ4078" s="38"/>
      <c r="AR4078" s="38"/>
      <c r="AS4078" s="38"/>
      <c r="AT4078" s="38"/>
      <c r="AU4078" s="38"/>
      <c r="AV4078" s="38"/>
      <c r="AW4078" s="38"/>
      <c r="AX4078" s="38"/>
      <c r="AY4078" s="38"/>
      <c r="AZ4078" s="38"/>
      <c r="BA4078" s="38"/>
      <c r="BB4078" s="38"/>
      <c r="BC4078" s="38"/>
      <c r="BD4078" s="38"/>
      <c r="BE4078" s="38"/>
      <c r="BF4078" s="38"/>
      <c r="BG4078" s="38"/>
      <c r="BH4078" s="38"/>
      <c r="BI4078" s="38"/>
      <c r="BJ4078" s="38"/>
      <c r="BK4078" s="38"/>
      <c r="BL4078" s="38"/>
      <c r="BM4078" s="38"/>
      <c r="BN4078" s="38"/>
      <c r="BO4078" s="38"/>
      <c r="BP4078" s="38"/>
      <c r="BQ4078" s="38"/>
    </row>
    <row r="4079">
      <c r="A4079" s="16"/>
      <c r="B4079" s="145"/>
      <c r="C4079" s="146"/>
      <c r="D4079" s="146"/>
      <c r="E4079" s="16"/>
      <c r="F4079" s="91"/>
      <c r="G4079" s="16"/>
      <c r="H4079" s="320" t="str">
        <f t="shared" si="424"/>
        <v/>
      </c>
      <c r="I4079" s="16"/>
      <c r="J4079" s="16"/>
      <c r="K4079" s="16"/>
      <c r="L4079" s="16"/>
      <c r="M4079" s="15"/>
      <c r="N4079" s="15"/>
      <c r="O4079" s="16"/>
      <c r="P4079" s="16"/>
      <c r="Q4079" s="16"/>
      <c r="R4079" s="16"/>
      <c r="S4079" s="37" t="str">
        <f>IFERROR(__xludf.DUMMYFUNCTION("if(not(iserror(index(split(C4079, "" ""),2))), index(split(C4079, "" ""),1),"""")"),"")</f>
        <v/>
      </c>
      <c r="T4079" s="315" t="str">
        <f>IFERROR(__xludf.DUMMYFUNCTION("if(S4079="""",C4079,if(not(iserror(index(split(C4079, "" ""),3))), index(split(C4079, "" ""),3),index(split(C4079, "" ""),2)))"),"")</f>
        <v/>
      </c>
      <c r="U4079" s="38" t="b">
        <f t="shared" si="423"/>
        <v>0</v>
      </c>
      <c r="V4079" s="38"/>
      <c r="W4079" s="40"/>
      <c r="X4079" s="40"/>
      <c r="Y4079" s="40"/>
      <c r="Z4079" s="38"/>
      <c r="AA4079" s="38"/>
      <c r="AB4079" s="38"/>
      <c r="AC4079" s="38"/>
      <c r="AD4079" s="38"/>
      <c r="AE4079" s="38"/>
      <c r="AF4079" s="38"/>
      <c r="AG4079" s="38"/>
      <c r="AH4079" s="38"/>
      <c r="AI4079" s="38"/>
      <c r="AJ4079" s="38"/>
      <c r="AK4079" s="38"/>
      <c r="AL4079" s="38"/>
      <c r="AM4079" s="38"/>
      <c r="AN4079" s="38"/>
      <c r="AO4079" s="38"/>
      <c r="AP4079" s="38"/>
      <c r="AQ4079" s="38"/>
      <c r="AR4079" s="38"/>
      <c r="AS4079" s="38"/>
      <c r="AT4079" s="38"/>
      <c r="AU4079" s="38"/>
      <c r="AV4079" s="38"/>
      <c r="AW4079" s="38"/>
      <c r="AX4079" s="38"/>
      <c r="AY4079" s="38"/>
      <c r="AZ4079" s="38"/>
      <c r="BA4079" s="38"/>
      <c r="BB4079" s="38"/>
      <c r="BC4079" s="38"/>
      <c r="BD4079" s="38"/>
      <c r="BE4079" s="38"/>
      <c r="BF4079" s="38"/>
      <c r="BG4079" s="38"/>
      <c r="BH4079" s="38"/>
      <c r="BI4079" s="38"/>
      <c r="BJ4079" s="38"/>
      <c r="BK4079" s="38"/>
      <c r="BL4079" s="38"/>
      <c r="BM4079" s="38"/>
      <c r="BN4079" s="38"/>
      <c r="BO4079" s="38"/>
      <c r="BP4079" s="38"/>
      <c r="BQ4079" s="38"/>
    </row>
    <row r="4080">
      <c r="A4080" s="16"/>
      <c r="B4080" s="145"/>
      <c r="C4080" s="146"/>
      <c r="D4080" s="146"/>
      <c r="E4080" s="16"/>
      <c r="F4080" s="91"/>
      <c r="G4080" s="16"/>
      <c r="H4080" s="320" t="str">
        <f t="shared" si="424"/>
        <v/>
      </c>
      <c r="I4080" s="16"/>
      <c r="J4080" s="16"/>
      <c r="K4080" s="16"/>
      <c r="L4080" s="16"/>
      <c r="M4080" s="15"/>
      <c r="N4080" s="15"/>
      <c r="O4080" s="16"/>
      <c r="P4080" s="16"/>
      <c r="Q4080" s="16"/>
      <c r="R4080" s="16"/>
      <c r="S4080" s="37" t="str">
        <f>IFERROR(__xludf.DUMMYFUNCTION("if(not(iserror(index(split(C4080, "" ""),2))), index(split(C4080, "" ""),1),"""")"),"")</f>
        <v/>
      </c>
      <c r="T4080" s="315" t="str">
        <f>IFERROR(__xludf.DUMMYFUNCTION("if(S4080="""",C4080,if(not(iserror(index(split(C4080, "" ""),3))), index(split(C4080, "" ""),3),index(split(C4080, "" ""),2)))"),"")</f>
        <v/>
      </c>
      <c r="U4080" s="38" t="b">
        <f t="shared" si="423"/>
        <v>0</v>
      </c>
      <c r="V4080" s="38"/>
      <c r="W4080" s="40"/>
      <c r="X4080" s="40"/>
      <c r="Y4080" s="40"/>
      <c r="Z4080" s="38"/>
      <c r="AA4080" s="38"/>
      <c r="AB4080" s="38"/>
      <c r="AC4080" s="38"/>
      <c r="AD4080" s="38"/>
      <c r="AE4080" s="38"/>
      <c r="AF4080" s="38"/>
      <c r="AG4080" s="38"/>
      <c r="AH4080" s="38"/>
      <c r="AI4080" s="38"/>
      <c r="AJ4080" s="38"/>
      <c r="AK4080" s="38"/>
      <c r="AL4080" s="38"/>
      <c r="AM4080" s="38"/>
      <c r="AN4080" s="38"/>
      <c r="AO4080" s="38"/>
      <c r="AP4080" s="38"/>
      <c r="AQ4080" s="38"/>
      <c r="AR4080" s="38"/>
      <c r="AS4080" s="38"/>
      <c r="AT4080" s="38"/>
      <c r="AU4080" s="38"/>
      <c r="AV4080" s="38"/>
      <c r="AW4080" s="38"/>
      <c r="AX4080" s="38"/>
      <c r="AY4080" s="38"/>
      <c r="AZ4080" s="38"/>
      <c r="BA4080" s="38"/>
      <c r="BB4080" s="38"/>
      <c r="BC4080" s="38"/>
      <c r="BD4080" s="38"/>
      <c r="BE4080" s="38"/>
      <c r="BF4080" s="38"/>
      <c r="BG4080" s="38"/>
      <c r="BH4080" s="38"/>
      <c r="BI4080" s="38"/>
      <c r="BJ4080" s="38"/>
      <c r="BK4080" s="38"/>
      <c r="BL4080" s="38"/>
      <c r="BM4080" s="38"/>
      <c r="BN4080" s="38"/>
      <c r="BO4080" s="38"/>
      <c r="BP4080" s="38"/>
      <c r="BQ4080" s="38"/>
    </row>
    <row r="4081">
      <c r="A4081" s="16"/>
      <c r="B4081" s="145"/>
      <c r="C4081" s="146"/>
      <c r="D4081" s="146"/>
      <c r="E4081" s="16"/>
      <c r="F4081" s="91"/>
      <c r="G4081" s="16"/>
      <c r="H4081" s="320" t="str">
        <f t="shared" si="424"/>
        <v/>
      </c>
      <c r="I4081" s="16"/>
      <c r="J4081" s="16"/>
      <c r="K4081" s="16"/>
      <c r="L4081" s="16"/>
      <c r="M4081" s="15"/>
      <c r="N4081" s="15"/>
      <c r="O4081" s="16"/>
      <c r="P4081" s="16"/>
      <c r="Q4081" s="16"/>
      <c r="R4081" s="16"/>
      <c r="S4081" s="37" t="str">
        <f>IFERROR(__xludf.DUMMYFUNCTION("if(not(iserror(index(split(C4081, "" ""),2))), index(split(C4081, "" ""),1),"""")"),"")</f>
        <v/>
      </c>
      <c r="T4081" s="315" t="str">
        <f>IFERROR(__xludf.DUMMYFUNCTION("if(S4081="""",C4081,if(not(iserror(index(split(C4081, "" ""),3))), index(split(C4081, "" ""),3),index(split(C4081, "" ""),2)))"),"")</f>
        <v/>
      </c>
      <c r="U4081" s="38" t="b">
        <f t="shared" si="423"/>
        <v>0</v>
      </c>
      <c r="V4081" s="38"/>
      <c r="W4081" s="40"/>
      <c r="X4081" s="40"/>
      <c r="Y4081" s="40"/>
      <c r="Z4081" s="38"/>
      <c r="AA4081" s="38"/>
      <c r="AB4081" s="38"/>
      <c r="AC4081" s="38"/>
      <c r="AD4081" s="38"/>
      <c r="AE4081" s="38"/>
      <c r="AF4081" s="38"/>
      <c r="AG4081" s="38"/>
      <c r="AH4081" s="38"/>
      <c r="AI4081" s="38"/>
      <c r="AJ4081" s="38"/>
      <c r="AK4081" s="38"/>
      <c r="AL4081" s="38"/>
      <c r="AM4081" s="38"/>
      <c r="AN4081" s="38"/>
      <c r="AO4081" s="38"/>
      <c r="AP4081" s="38"/>
      <c r="AQ4081" s="38"/>
      <c r="AR4081" s="38"/>
      <c r="AS4081" s="38"/>
      <c r="AT4081" s="38"/>
      <c r="AU4081" s="38"/>
      <c r="AV4081" s="38"/>
      <c r="AW4081" s="38"/>
      <c r="AX4081" s="38"/>
      <c r="AY4081" s="38"/>
      <c r="AZ4081" s="38"/>
      <c r="BA4081" s="38"/>
      <c r="BB4081" s="38"/>
      <c r="BC4081" s="38"/>
      <c r="BD4081" s="38"/>
      <c r="BE4081" s="38"/>
      <c r="BF4081" s="38"/>
      <c r="BG4081" s="38"/>
      <c r="BH4081" s="38"/>
      <c r="BI4081" s="38"/>
      <c r="BJ4081" s="38"/>
      <c r="BK4081" s="38"/>
      <c r="BL4081" s="38"/>
      <c r="BM4081" s="38"/>
      <c r="BN4081" s="38"/>
      <c r="BO4081" s="38"/>
      <c r="BP4081" s="38"/>
      <c r="BQ4081" s="38"/>
    </row>
    <row r="4082">
      <c r="A4082" s="16"/>
      <c r="B4082" s="145"/>
      <c r="C4082" s="146"/>
      <c r="D4082" s="146"/>
      <c r="E4082" s="16"/>
      <c r="F4082" s="91"/>
      <c r="G4082" s="16"/>
      <c r="H4082" s="320" t="str">
        <f t="shared" si="424"/>
        <v/>
      </c>
      <c r="I4082" s="16"/>
      <c r="J4082" s="16"/>
      <c r="K4082" s="16"/>
      <c r="L4082" s="16"/>
      <c r="M4082" s="15"/>
      <c r="N4082" s="15"/>
      <c r="O4082" s="16"/>
      <c r="P4082" s="16"/>
      <c r="Q4082" s="16"/>
      <c r="R4082" s="16"/>
      <c r="S4082" s="37" t="str">
        <f>IFERROR(__xludf.DUMMYFUNCTION("if(not(iserror(index(split(C4082, "" ""),2))), index(split(C4082, "" ""),1),"""")"),"")</f>
        <v/>
      </c>
      <c r="T4082" s="315" t="str">
        <f>IFERROR(__xludf.DUMMYFUNCTION("if(S4082="""",C4082,if(not(iserror(index(split(C4082, "" ""),3))), index(split(C4082, "" ""),3),index(split(C4082, "" ""),2)))"),"")</f>
        <v/>
      </c>
      <c r="U4082" s="38" t="b">
        <f t="shared" si="423"/>
        <v>0</v>
      </c>
      <c r="V4082" s="38"/>
      <c r="W4082" s="40"/>
      <c r="X4082" s="40"/>
      <c r="Y4082" s="40"/>
      <c r="Z4082" s="38"/>
      <c r="AA4082" s="38"/>
      <c r="AB4082" s="38"/>
      <c r="AC4082" s="38"/>
      <c r="AD4082" s="38"/>
      <c r="AE4082" s="38"/>
      <c r="AF4082" s="38"/>
      <c r="AG4082" s="38"/>
      <c r="AH4082" s="38"/>
      <c r="AI4082" s="38"/>
      <c r="AJ4082" s="38"/>
      <c r="AK4082" s="38"/>
      <c r="AL4082" s="38"/>
      <c r="AM4082" s="38"/>
      <c r="AN4082" s="38"/>
      <c r="AO4082" s="38"/>
      <c r="AP4082" s="38"/>
      <c r="AQ4082" s="38"/>
      <c r="AR4082" s="38"/>
      <c r="AS4082" s="38"/>
      <c r="AT4082" s="38"/>
      <c r="AU4082" s="38"/>
      <c r="AV4082" s="38"/>
      <c r="AW4082" s="38"/>
      <c r="AX4082" s="38"/>
      <c r="AY4082" s="38"/>
      <c r="AZ4082" s="38"/>
      <c r="BA4082" s="38"/>
      <c r="BB4082" s="38"/>
      <c r="BC4082" s="38"/>
      <c r="BD4082" s="38"/>
      <c r="BE4082" s="38"/>
      <c r="BF4082" s="38"/>
      <c r="BG4082" s="38"/>
      <c r="BH4082" s="38"/>
      <c r="BI4082" s="38"/>
      <c r="BJ4082" s="38"/>
      <c r="BK4082" s="38"/>
      <c r="BL4082" s="38"/>
      <c r="BM4082" s="38"/>
      <c r="BN4082" s="38"/>
      <c r="BO4082" s="38"/>
      <c r="BP4082" s="38"/>
      <c r="BQ4082" s="38"/>
    </row>
    <row r="4083">
      <c r="A4083" s="16"/>
      <c r="B4083" s="145"/>
      <c r="C4083" s="146"/>
      <c r="D4083" s="146"/>
      <c r="E4083" s="16"/>
      <c r="F4083" s="91"/>
      <c r="G4083" s="16"/>
      <c r="H4083" s="320" t="str">
        <f t="shared" si="424"/>
        <v/>
      </c>
      <c r="I4083" s="16"/>
      <c r="J4083" s="16"/>
      <c r="K4083" s="16"/>
      <c r="L4083" s="16"/>
      <c r="M4083" s="15"/>
      <c r="N4083" s="15"/>
      <c r="O4083" s="16"/>
      <c r="P4083" s="16"/>
      <c r="Q4083" s="16"/>
      <c r="R4083" s="16"/>
      <c r="S4083" s="37" t="str">
        <f>IFERROR(__xludf.DUMMYFUNCTION("if(not(iserror(index(split(C4083, "" ""),2))), index(split(C4083, "" ""),1),"""")"),"")</f>
        <v/>
      </c>
      <c r="T4083" s="315" t="str">
        <f>IFERROR(__xludf.DUMMYFUNCTION("if(S4083="""",C4083,if(not(iserror(index(split(C4083, "" ""),3))), index(split(C4083, "" ""),3),index(split(C4083, "" ""),2)))"),"")</f>
        <v/>
      </c>
      <c r="U4083" s="38" t="b">
        <f t="shared" si="423"/>
        <v>0</v>
      </c>
      <c r="V4083" s="38"/>
      <c r="W4083" s="40"/>
      <c r="X4083" s="40"/>
      <c r="Y4083" s="40"/>
      <c r="Z4083" s="38"/>
      <c r="AA4083" s="38"/>
      <c r="AB4083" s="38"/>
      <c r="AC4083" s="38"/>
      <c r="AD4083" s="38"/>
      <c r="AE4083" s="38"/>
      <c r="AF4083" s="38"/>
      <c r="AG4083" s="38"/>
      <c r="AH4083" s="38"/>
      <c r="AI4083" s="38"/>
      <c r="AJ4083" s="38"/>
      <c r="AK4083" s="38"/>
      <c r="AL4083" s="38"/>
      <c r="AM4083" s="38"/>
      <c r="AN4083" s="38"/>
      <c r="AO4083" s="38"/>
      <c r="AP4083" s="38"/>
      <c r="AQ4083" s="38"/>
      <c r="AR4083" s="38"/>
      <c r="AS4083" s="38"/>
      <c r="AT4083" s="38"/>
      <c r="AU4083" s="38"/>
      <c r="AV4083" s="38"/>
      <c r="AW4083" s="38"/>
      <c r="AX4083" s="38"/>
      <c r="AY4083" s="38"/>
      <c r="AZ4083" s="38"/>
      <c r="BA4083" s="38"/>
      <c r="BB4083" s="38"/>
      <c r="BC4083" s="38"/>
      <c r="BD4083" s="38"/>
      <c r="BE4083" s="38"/>
      <c r="BF4083" s="38"/>
      <c r="BG4083" s="38"/>
      <c r="BH4083" s="38"/>
      <c r="BI4083" s="38"/>
      <c r="BJ4083" s="38"/>
      <c r="BK4083" s="38"/>
      <c r="BL4083" s="38"/>
      <c r="BM4083" s="38"/>
      <c r="BN4083" s="38"/>
      <c r="BO4083" s="38"/>
      <c r="BP4083" s="38"/>
      <c r="BQ4083" s="38"/>
    </row>
    <row r="4084">
      <c r="A4084" s="16"/>
      <c r="B4084" s="145"/>
      <c r="C4084" s="146"/>
      <c r="D4084" s="146"/>
      <c r="E4084" s="16"/>
      <c r="F4084" s="91"/>
      <c r="G4084" s="16"/>
      <c r="H4084" s="320" t="str">
        <f t="shared" si="424"/>
        <v/>
      </c>
      <c r="I4084" s="16"/>
      <c r="J4084" s="16"/>
      <c r="K4084" s="16"/>
      <c r="L4084" s="16"/>
      <c r="M4084" s="15"/>
      <c r="N4084" s="15"/>
      <c r="O4084" s="16"/>
      <c r="P4084" s="16"/>
      <c r="Q4084" s="16"/>
      <c r="R4084" s="16"/>
      <c r="S4084" s="37" t="str">
        <f>IFERROR(__xludf.DUMMYFUNCTION("if(not(iserror(index(split(C4084, "" ""),2))), index(split(C4084, "" ""),1),"""")"),"")</f>
        <v/>
      </c>
      <c r="T4084" s="315" t="str">
        <f>IFERROR(__xludf.DUMMYFUNCTION("if(S4084="""",C4084,if(not(iserror(index(split(C4084, "" ""),3))), index(split(C4084, "" ""),3),index(split(C4084, "" ""),2)))"),"")</f>
        <v/>
      </c>
      <c r="U4084" s="38" t="b">
        <f t="shared" si="423"/>
        <v>0</v>
      </c>
      <c r="V4084" s="38"/>
      <c r="W4084" s="40"/>
      <c r="X4084" s="40"/>
      <c r="Y4084" s="40"/>
      <c r="Z4084" s="38"/>
      <c r="AA4084" s="38"/>
      <c r="AB4084" s="38"/>
      <c r="AC4084" s="38"/>
      <c r="AD4084" s="38"/>
      <c r="AE4084" s="38"/>
      <c r="AF4084" s="38"/>
      <c r="AG4084" s="38"/>
      <c r="AH4084" s="38"/>
      <c r="AI4084" s="38"/>
      <c r="AJ4084" s="38"/>
      <c r="AK4084" s="38"/>
      <c r="AL4084" s="38"/>
      <c r="AM4084" s="38"/>
      <c r="AN4084" s="38"/>
      <c r="AO4084" s="38"/>
      <c r="AP4084" s="38"/>
      <c r="AQ4084" s="38"/>
      <c r="AR4084" s="38"/>
      <c r="AS4084" s="38"/>
      <c r="AT4084" s="38"/>
      <c r="AU4084" s="38"/>
      <c r="AV4084" s="38"/>
      <c r="AW4084" s="38"/>
      <c r="AX4084" s="38"/>
      <c r="AY4084" s="38"/>
      <c r="AZ4084" s="38"/>
      <c r="BA4084" s="38"/>
      <c r="BB4084" s="38"/>
      <c r="BC4084" s="38"/>
      <c r="BD4084" s="38"/>
      <c r="BE4084" s="38"/>
      <c r="BF4084" s="38"/>
      <c r="BG4084" s="38"/>
      <c r="BH4084" s="38"/>
      <c r="BI4084" s="38"/>
      <c r="BJ4084" s="38"/>
      <c r="BK4084" s="38"/>
      <c r="BL4084" s="38"/>
      <c r="BM4084" s="38"/>
      <c r="BN4084" s="38"/>
      <c r="BO4084" s="38"/>
      <c r="BP4084" s="38"/>
      <c r="BQ4084" s="38"/>
    </row>
    <row r="4085">
      <c r="A4085" s="16"/>
      <c r="B4085" s="145"/>
      <c r="C4085" s="146"/>
      <c r="D4085" s="146"/>
      <c r="E4085" s="16"/>
      <c r="F4085" s="91"/>
      <c r="G4085" s="16"/>
      <c r="H4085" s="320" t="str">
        <f t="shared" si="424"/>
        <v/>
      </c>
      <c r="I4085" s="16"/>
      <c r="J4085" s="16"/>
      <c r="K4085" s="16"/>
      <c r="L4085" s="16"/>
      <c r="M4085" s="15"/>
      <c r="N4085" s="15"/>
      <c r="O4085" s="16"/>
      <c r="P4085" s="16"/>
      <c r="Q4085" s="16"/>
      <c r="R4085" s="16"/>
      <c r="S4085" s="37" t="str">
        <f>IFERROR(__xludf.DUMMYFUNCTION("if(not(iserror(index(split(C4085, "" ""),2))), index(split(C4085, "" ""),1),"""")"),"")</f>
        <v/>
      </c>
      <c r="T4085" s="315" t="str">
        <f>IFERROR(__xludf.DUMMYFUNCTION("if(S4085="""",C4085,if(not(iserror(index(split(C4085, "" ""),3))), index(split(C4085, "" ""),3),index(split(C4085, "" ""),2)))"),"")</f>
        <v/>
      </c>
      <c r="U4085" s="38" t="b">
        <f t="shared" si="423"/>
        <v>0</v>
      </c>
      <c r="V4085" s="38"/>
      <c r="W4085" s="40"/>
      <c r="X4085" s="40"/>
      <c r="Y4085" s="40"/>
      <c r="Z4085" s="38"/>
      <c r="AA4085" s="38"/>
      <c r="AB4085" s="38"/>
      <c r="AC4085" s="38"/>
      <c r="AD4085" s="38"/>
      <c r="AE4085" s="38"/>
      <c r="AF4085" s="38"/>
      <c r="AG4085" s="38"/>
      <c r="AH4085" s="38"/>
      <c r="AI4085" s="38"/>
      <c r="AJ4085" s="38"/>
      <c r="AK4085" s="38"/>
      <c r="AL4085" s="38"/>
      <c r="AM4085" s="38"/>
      <c r="AN4085" s="38"/>
      <c r="AO4085" s="38"/>
      <c r="AP4085" s="38"/>
      <c r="AQ4085" s="38"/>
      <c r="AR4085" s="38"/>
      <c r="AS4085" s="38"/>
      <c r="AT4085" s="38"/>
      <c r="AU4085" s="38"/>
      <c r="AV4085" s="38"/>
      <c r="AW4085" s="38"/>
      <c r="AX4085" s="38"/>
      <c r="AY4085" s="38"/>
      <c r="AZ4085" s="38"/>
      <c r="BA4085" s="38"/>
      <c r="BB4085" s="38"/>
      <c r="BC4085" s="38"/>
      <c r="BD4085" s="38"/>
      <c r="BE4085" s="38"/>
      <c r="BF4085" s="38"/>
      <c r="BG4085" s="38"/>
      <c r="BH4085" s="38"/>
      <c r="BI4085" s="38"/>
      <c r="BJ4085" s="38"/>
      <c r="BK4085" s="38"/>
      <c r="BL4085" s="38"/>
      <c r="BM4085" s="38"/>
      <c r="BN4085" s="38"/>
      <c r="BO4085" s="38"/>
      <c r="BP4085" s="38"/>
      <c r="BQ4085" s="38"/>
    </row>
    <row r="4086">
      <c r="A4086" s="16"/>
      <c r="B4086" s="145"/>
      <c r="C4086" s="146"/>
      <c r="D4086" s="146"/>
      <c r="E4086" s="16"/>
      <c r="F4086" s="91"/>
      <c r="G4086" s="16"/>
      <c r="H4086" s="320" t="str">
        <f t="shared" si="424"/>
        <v/>
      </c>
      <c r="I4086" s="16"/>
      <c r="J4086" s="16"/>
      <c r="K4086" s="16"/>
      <c r="L4086" s="16"/>
      <c r="M4086" s="15"/>
      <c r="N4086" s="15"/>
      <c r="O4086" s="16"/>
      <c r="P4086" s="16"/>
      <c r="Q4086" s="16"/>
      <c r="R4086" s="16"/>
      <c r="S4086" s="37" t="str">
        <f>IFERROR(__xludf.DUMMYFUNCTION("if(not(iserror(index(split(C4086, "" ""),2))), index(split(C4086, "" ""),1),"""")"),"")</f>
        <v/>
      </c>
      <c r="T4086" s="315" t="str">
        <f>IFERROR(__xludf.DUMMYFUNCTION("if(S4086="""",C4086,if(not(iserror(index(split(C4086, "" ""),3))), index(split(C4086, "" ""),3),index(split(C4086, "" ""),2)))"),"")</f>
        <v/>
      </c>
      <c r="U4086" s="38" t="b">
        <f t="shared" si="423"/>
        <v>0</v>
      </c>
      <c r="V4086" s="38"/>
      <c r="W4086" s="40"/>
      <c r="X4086" s="40"/>
      <c r="Y4086" s="40"/>
      <c r="Z4086" s="38"/>
      <c r="AA4086" s="38"/>
      <c r="AB4086" s="38"/>
      <c r="AC4086" s="38"/>
      <c r="AD4086" s="38"/>
      <c r="AE4086" s="38"/>
      <c r="AF4086" s="38"/>
      <c r="AG4086" s="38"/>
      <c r="AH4086" s="38"/>
      <c r="AI4086" s="38"/>
      <c r="AJ4086" s="38"/>
      <c r="AK4086" s="38"/>
      <c r="AL4086" s="38"/>
      <c r="AM4086" s="38"/>
      <c r="AN4086" s="38"/>
      <c r="AO4086" s="38"/>
      <c r="AP4086" s="38"/>
      <c r="AQ4086" s="38"/>
      <c r="AR4086" s="38"/>
      <c r="AS4086" s="38"/>
      <c r="AT4086" s="38"/>
      <c r="AU4086" s="38"/>
      <c r="AV4086" s="38"/>
      <c r="AW4086" s="38"/>
      <c r="AX4086" s="38"/>
      <c r="AY4086" s="38"/>
      <c r="AZ4086" s="38"/>
      <c r="BA4086" s="38"/>
      <c r="BB4086" s="38"/>
      <c r="BC4086" s="38"/>
      <c r="BD4086" s="38"/>
      <c r="BE4086" s="38"/>
      <c r="BF4086" s="38"/>
      <c r="BG4086" s="38"/>
      <c r="BH4086" s="38"/>
      <c r="BI4086" s="38"/>
      <c r="BJ4086" s="38"/>
      <c r="BK4086" s="38"/>
      <c r="BL4086" s="38"/>
      <c r="BM4086" s="38"/>
      <c r="BN4086" s="38"/>
      <c r="BO4086" s="38"/>
      <c r="BP4086" s="38"/>
      <c r="BQ4086" s="38"/>
    </row>
    <row r="4087">
      <c r="A4087" s="16"/>
      <c r="B4087" s="145"/>
      <c r="C4087" s="146"/>
      <c r="D4087" s="146"/>
      <c r="E4087" s="16"/>
      <c r="F4087" s="91"/>
      <c r="G4087" s="16"/>
      <c r="H4087" s="320" t="str">
        <f t="shared" si="424"/>
        <v/>
      </c>
      <c r="I4087" s="16"/>
      <c r="J4087" s="16"/>
      <c r="K4087" s="16"/>
      <c r="L4087" s="16"/>
      <c r="M4087" s="15"/>
      <c r="N4087" s="15"/>
      <c r="O4087" s="16"/>
      <c r="P4087" s="16"/>
      <c r="Q4087" s="16"/>
      <c r="R4087" s="16"/>
      <c r="S4087" s="37" t="str">
        <f>IFERROR(__xludf.DUMMYFUNCTION("if(not(iserror(index(split(C4087, "" ""),2))), index(split(C4087, "" ""),1),"""")"),"")</f>
        <v/>
      </c>
      <c r="T4087" s="315" t="str">
        <f>IFERROR(__xludf.DUMMYFUNCTION("if(S4087="""",C4087,if(not(iserror(index(split(C4087, "" ""),3))), index(split(C4087, "" ""),3),index(split(C4087, "" ""),2)))"),"")</f>
        <v/>
      </c>
      <c r="U4087" s="38" t="b">
        <f t="shared" si="423"/>
        <v>0</v>
      </c>
      <c r="V4087" s="38"/>
      <c r="W4087" s="40"/>
      <c r="X4087" s="40"/>
      <c r="Y4087" s="40"/>
      <c r="Z4087" s="38"/>
      <c r="AA4087" s="38"/>
      <c r="AB4087" s="38"/>
      <c r="AC4087" s="38"/>
      <c r="AD4087" s="38"/>
      <c r="AE4087" s="38"/>
      <c r="AF4087" s="38"/>
      <c r="AG4087" s="38"/>
      <c r="AH4087" s="38"/>
      <c r="AI4087" s="38"/>
      <c r="AJ4087" s="38"/>
      <c r="AK4087" s="38"/>
      <c r="AL4087" s="38"/>
      <c r="AM4087" s="38"/>
      <c r="AN4087" s="38"/>
      <c r="AO4087" s="38"/>
      <c r="AP4087" s="38"/>
      <c r="AQ4087" s="38"/>
      <c r="AR4087" s="38"/>
      <c r="AS4087" s="38"/>
      <c r="AT4087" s="38"/>
      <c r="AU4087" s="38"/>
      <c r="AV4087" s="38"/>
      <c r="AW4087" s="38"/>
      <c r="AX4087" s="38"/>
      <c r="AY4087" s="38"/>
      <c r="AZ4087" s="38"/>
      <c r="BA4087" s="38"/>
      <c r="BB4087" s="38"/>
      <c r="BC4087" s="38"/>
      <c r="BD4087" s="38"/>
      <c r="BE4087" s="38"/>
      <c r="BF4087" s="38"/>
      <c r="BG4087" s="38"/>
      <c r="BH4087" s="38"/>
      <c r="BI4087" s="38"/>
      <c r="BJ4087" s="38"/>
      <c r="BK4087" s="38"/>
      <c r="BL4087" s="38"/>
      <c r="BM4087" s="38"/>
      <c r="BN4087" s="38"/>
      <c r="BO4087" s="38"/>
      <c r="BP4087" s="38"/>
      <c r="BQ4087" s="38"/>
    </row>
    <row r="4088">
      <c r="A4088" s="16"/>
      <c r="B4088" s="145"/>
      <c r="C4088" s="146"/>
      <c r="D4088" s="146"/>
      <c r="E4088" s="16"/>
      <c r="F4088" s="91"/>
      <c r="G4088" s="16"/>
      <c r="H4088" s="320" t="str">
        <f t="shared" si="424"/>
        <v/>
      </c>
      <c r="I4088" s="16"/>
      <c r="J4088" s="16"/>
      <c r="K4088" s="16"/>
      <c r="L4088" s="16"/>
      <c r="M4088" s="15"/>
      <c r="N4088" s="15"/>
      <c r="O4088" s="16"/>
      <c r="P4088" s="16"/>
      <c r="Q4088" s="16"/>
      <c r="R4088" s="16"/>
      <c r="S4088" s="37" t="str">
        <f>IFERROR(__xludf.DUMMYFUNCTION("if(not(iserror(index(split(C4088, "" ""),2))), index(split(C4088, "" ""),1),"""")"),"")</f>
        <v/>
      </c>
      <c r="T4088" s="315" t="str">
        <f>IFERROR(__xludf.DUMMYFUNCTION("if(S4088="""",C4088,if(not(iserror(index(split(C4088, "" ""),3))), index(split(C4088, "" ""),3),index(split(C4088, "" ""),2)))"),"")</f>
        <v/>
      </c>
      <c r="U4088" s="38" t="b">
        <f t="shared" si="423"/>
        <v>0</v>
      </c>
      <c r="V4088" s="38"/>
      <c r="W4088" s="40"/>
      <c r="X4088" s="40"/>
      <c r="Y4088" s="40"/>
      <c r="Z4088" s="38"/>
      <c r="AA4088" s="38"/>
      <c r="AB4088" s="38"/>
      <c r="AC4088" s="38"/>
      <c r="AD4088" s="38"/>
      <c r="AE4088" s="38"/>
      <c r="AF4088" s="38"/>
      <c r="AG4088" s="38"/>
      <c r="AH4088" s="38"/>
      <c r="AI4088" s="38"/>
      <c r="AJ4088" s="38"/>
      <c r="AK4088" s="38"/>
      <c r="AL4088" s="38"/>
      <c r="AM4088" s="38"/>
      <c r="AN4088" s="38"/>
      <c r="AO4088" s="38"/>
      <c r="AP4088" s="38"/>
      <c r="AQ4088" s="38"/>
      <c r="AR4088" s="38"/>
      <c r="AS4088" s="38"/>
      <c r="AT4088" s="38"/>
      <c r="AU4088" s="38"/>
      <c r="AV4088" s="38"/>
      <c r="AW4088" s="38"/>
      <c r="AX4088" s="38"/>
      <c r="AY4088" s="38"/>
      <c r="AZ4088" s="38"/>
      <c r="BA4088" s="38"/>
      <c r="BB4088" s="38"/>
      <c r="BC4088" s="38"/>
      <c r="BD4088" s="38"/>
      <c r="BE4088" s="38"/>
      <c r="BF4088" s="38"/>
      <c r="BG4088" s="38"/>
      <c r="BH4088" s="38"/>
      <c r="BI4088" s="38"/>
      <c r="BJ4088" s="38"/>
      <c r="BK4088" s="38"/>
      <c r="BL4088" s="38"/>
      <c r="BM4088" s="38"/>
      <c r="BN4088" s="38"/>
      <c r="BO4088" s="38"/>
      <c r="BP4088" s="38"/>
      <c r="BQ4088" s="38"/>
    </row>
    <row r="4089">
      <c r="A4089" s="16"/>
      <c r="B4089" s="145"/>
      <c r="C4089" s="146"/>
      <c r="D4089" s="146"/>
      <c r="E4089" s="16"/>
      <c r="F4089" s="91"/>
      <c r="G4089" s="16"/>
      <c r="H4089" s="320" t="str">
        <f t="shared" si="424"/>
        <v/>
      </c>
      <c r="I4089" s="16"/>
      <c r="J4089" s="16"/>
      <c r="K4089" s="16"/>
      <c r="L4089" s="16"/>
      <c r="M4089" s="15"/>
      <c r="N4089" s="15"/>
      <c r="O4089" s="16"/>
      <c r="P4089" s="16"/>
      <c r="Q4089" s="16"/>
      <c r="R4089" s="16"/>
      <c r="S4089" s="37" t="str">
        <f>IFERROR(__xludf.DUMMYFUNCTION("if(not(iserror(index(split(C4089, "" ""),2))), index(split(C4089, "" ""),1),"""")"),"")</f>
        <v/>
      </c>
      <c r="T4089" s="315" t="str">
        <f>IFERROR(__xludf.DUMMYFUNCTION("if(S4089="""",C4089,if(not(iserror(index(split(C4089, "" ""),3))), index(split(C4089, "" ""),3),index(split(C4089, "" ""),2)))"),"")</f>
        <v/>
      </c>
      <c r="U4089" s="38" t="b">
        <f t="shared" si="423"/>
        <v>0</v>
      </c>
      <c r="V4089" s="38"/>
      <c r="W4089" s="40"/>
      <c r="X4089" s="40"/>
      <c r="Y4089" s="40"/>
      <c r="Z4089" s="38"/>
      <c r="AA4089" s="38"/>
      <c r="AB4089" s="38"/>
      <c r="AC4089" s="38"/>
      <c r="AD4089" s="38"/>
      <c r="AE4089" s="38"/>
      <c r="AF4089" s="38"/>
      <c r="AG4089" s="38"/>
      <c r="AH4089" s="38"/>
      <c r="AI4089" s="38"/>
      <c r="AJ4089" s="38"/>
      <c r="AK4089" s="38"/>
      <c r="AL4089" s="38"/>
      <c r="AM4089" s="38"/>
      <c r="AN4089" s="38"/>
      <c r="AO4089" s="38"/>
      <c r="AP4089" s="38"/>
      <c r="AQ4089" s="38"/>
      <c r="AR4089" s="38"/>
      <c r="AS4089" s="38"/>
      <c r="AT4089" s="38"/>
      <c r="AU4089" s="38"/>
      <c r="AV4089" s="38"/>
      <c r="AW4089" s="38"/>
      <c r="AX4089" s="38"/>
      <c r="AY4089" s="38"/>
      <c r="AZ4089" s="38"/>
      <c r="BA4089" s="38"/>
      <c r="BB4089" s="38"/>
      <c r="BC4089" s="38"/>
      <c r="BD4089" s="38"/>
      <c r="BE4089" s="38"/>
      <c r="BF4089" s="38"/>
      <c r="BG4089" s="38"/>
      <c r="BH4089" s="38"/>
      <c r="BI4089" s="38"/>
      <c r="BJ4089" s="38"/>
      <c r="BK4089" s="38"/>
      <c r="BL4089" s="38"/>
      <c r="BM4089" s="38"/>
      <c r="BN4089" s="38"/>
      <c r="BO4089" s="38"/>
      <c r="BP4089" s="38"/>
      <c r="BQ4089" s="38"/>
    </row>
    <row r="4090">
      <c r="A4090" s="16"/>
      <c r="B4090" s="145"/>
      <c r="C4090" s="146"/>
      <c r="D4090" s="146"/>
      <c r="E4090" s="16"/>
      <c r="F4090" s="91"/>
      <c r="G4090" s="16"/>
      <c r="H4090" s="320" t="str">
        <f t="shared" si="424"/>
        <v/>
      </c>
      <c r="I4090" s="16"/>
      <c r="J4090" s="16"/>
      <c r="K4090" s="16"/>
      <c r="L4090" s="16"/>
      <c r="M4090" s="15"/>
      <c r="N4090" s="15"/>
      <c r="O4090" s="16"/>
      <c r="P4090" s="16"/>
      <c r="Q4090" s="16"/>
      <c r="R4090" s="16"/>
      <c r="S4090" s="37" t="str">
        <f>IFERROR(__xludf.DUMMYFUNCTION("if(not(iserror(index(split(C4090, "" ""),2))), index(split(C4090, "" ""),1),"""")"),"")</f>
        <v/>
      </c>
      <c r="T4090" s="315" t="str">
        <f>IFERROR(__xludf.DUMMYFUNCTION("if(S4090="""",C4090,if(not(iserror(index(split(C4090, "" ""),3))), index(split(C4090, "" ""),3),index(split(C4090, "" ""),2)))"),"")</f>
        <v/>
      </c>
      <c r="U4090" s="38" t="b">
        <f t="shared" si="423"/>
        <v>0</v>
      </c>
      <c r="V4090" s="38"/>
      <c r="W4090" s="40"/>
      <c r="X4090" s="40"/>
      <c r="Y4090" s="40"/>
      <c r="Z4090" s="38"/>
      <c r="AA4090" s="38"/>
      <c r="AB4090" s="38"/>
      <c r="AC4090" s="38"/>
      <c r="AD4090" s="38"/>
      <c r="AE4090" s="38"/>
      <c r="AF4090" s="38"/>
      <c r="AG4090" s="38"/>
      <c r="AH4090" s="38"/>
      <c r="AI4090" s="38"/>
      <c r="AJ4090" s="38"/>
      <c r="AK4090" s="38"/>
      <c r="AL4090" s="38"/>
      <c r="AM4090" s="38"/>
      <c r="AN4090" s="38"/>
      <c r="AO4090" s="38"/>
      <c r="AP4090" s="38"/>
      <c r="AQ4090" s="38"/>
      <c r="AR4090" s="38"/>
      <c r="AS4090" s="38"/>
      <c r="AT4090" s="38"/>
      <c r="AU4090" s="38"/>
      <c r="AV4090" s="38"/>
      <c r="AW4090" s="38"/>
      <c r="AX4090" s="38"/>
      <c r="AY4090" s="38"/>
      <c r="AZ4090" s="38"/>
      <c r="BA4090" s="38"/>
      <c r="BB4090" s="38"/>
      <c r="BC4090" s="38"/>
      <c r="BD4090" s="38"/>
      <c r="BE4090" s="38"/>
      <c r="BF4090" s="38"/>
      <c r="BG4090" s="38"/>
      <c r="BH4090" s="38"/>
      <c r="BI4090" s="38"/>
      <c r="BJ4090" s="38"/>
      <c r="BK4090" s="38"/>
      <c r="BL4090" s="38"/>
      <c r="BM4090" s="38"/>
      <c r="BN4090" s="38"/>
      <c r="BO4090" s="38"/>
      <c r="BP4090" s="38"/>
      <c r="BQ4090" s="38"/>
    </row>
    <row r="4091">
      <c r="A4091" s="16"/>
      <c r="B4091" s="145"/>
      <c r="C4091" s="146"/>
      <c r="D4091" s="146"/>
      <c r="E4091" s="16"/>
      <c r="F4091" s="91"/>
      <c r="G4091" s="16"/>
      <c r="H4091" s="320" t="str">
        <f t="shared" si="424"/>
        <v/>
      </c>
      <c r="I4091" s="16"/>
      <c r="J4091" s="16"/>
      <c r="K4091" s="16"/>
      <c r="L4091" s="16"/>
      <c r="M4091" s="15"/>
      <c r="N4091" s="15"/>
      <c r="O4091" s="16"/>
      <c r="P4091" s="16"/>
      <c r="Q4091" s="16"/>
      <c r="R4091" s="16"/>
      <c r="S4091" s="37" t="str">
        <f>IFERROR(__xludf.DUMMYFUNCTION("if(not(iserror(index(split(C4091, "" ""),2))), index(split(C4091, "" ""),1),"""")"),"")</f>
        <v/>
      </c>
      <c r="T4091" s="315" t="str">
        <f>IFERROR(__xludf.DUMMYFUNCTION("if(S4091="""",C4091,if(not(iserror(index(split(C4091, "" ""),3))), index(split(C4091, "" ""),3),index(split(C4091, "" ""),2)))"),"")</f>
        <v/>
      </c>
      <c r="U4091" s="38" t="b">
        <f t="shared" si="423"/>
        <v>0</v>
      </c>
      <c r="V4091" s="38"/>
      <c r="W4091" s="40"/>
      <c r="X4091" s="40"/>
      <c r="Y4091" s="40"/>
      <c r="Z4091" s="38"/>
      <c r="AA4091" s="38"/>
      <c r="AB4091" s="38"/>
      <c r="AC4091" s="38"/>
      <c r="AD4091" s="38"/>
      <c r="AE4091" s="38"/>
      <c r="AF4091" s="38"/>
      <c r="AG4091" s="38"/>
      <c r="AH4091" s="38"/>
      <c r="AI4091" s="38"/>
      <c r="AJ4091" s="38"/>
      <c r="AK4091" s="38"/>
      <c r="AL4091" s="38"/>
      <c r="AM4091" s="38"/>
      <c r="AN4091" s="38"/>
      <c r="AO4091" s="38"/>
      <c r="AP4091" s="38"/>
      <c r="AQ4091" s="38"/>
      <c r="AR4091" s="38"/>
      <c r="AS4091" s="38"/>
      <c r="AT4091" s="38"/>
      <c r="AU4091" s="38"/>
      <c r="AV4091" s="38"/>
      <c r="AW4091" s="38"/>
      <c r="AX4091" s="38"/>
      <c r="AY4091" s="38"/>
      <c r="AZ4091" s="38"/>
      <c r="BA4091" s="38"/>
      <c r="BB4091" s="38"/>
      <c r="BC4091" s="38"/>
      <c r="BD4091" s="38"/>
      <c r="BE4091" s="38"/>
      <c r="BF4091" s="38"/>
      <c r="BG4091" s="38"/>
      <c r="BH4091" s="38"/>
      <c r="BI4091" s="38"/>
      <c r="BJ4091" s="38"/>
      <c r="BK4091" s="38"/>
      <c r="BL4091" s="38"/>
      <c r="BM4091" s="38"/>
      <c r="BN4091" s="38"/>
      <c r="BO4091" s="38"/>
      <c r="BP4091" s="38"/>
      <c r="BQ4091" s="38"/>
    </row>
    <row r="4092">
      <c r="A4092" s="16"/>
      <c r="B4092" s="145"/>
      <c r="C4092" s="146"/>
      <c r="D4092" s="146"/>
      <c r="E4092" s="16"/>
      <c r="F4092" s="91"/>
      <c r="G4092" s="16"/>
      <c r="H4092" s="320" t="str">
        <f t="shared" si="424"/>
        <v/>
      </c>
      <c r="I4092" s="16"/>
      <c r="J4092" s="16"/>
      <c r="K4092" s="16"/>
      <c r="L4092" s="16"/>
      <c r="M4092" s="15"/>
      <c r="N4092" s="15"/>
      <c r="O4092" s="16"/>
      <c r="P4092" s="16"/>
      <c r="Q4092" s="16"/>
      <c r="R4092" s="16"/>
      <c r="S4092" s="37" t="str">
        <f>IFERROR(__xludf.DUMMYFUNCTION("if(not(iserror(index(split(C4092, "" ""),2))), index(split(C4092, "" ""),1),"""")"),"")</f>
        <v/>
      </c>
      <c r="T4092" s="315" t="str">
        <f>IFERROR(__xludf.DUMMYFUNCTION("if(S4092="""",C4092,if(not(iserror(index(split(C4092, "" ""),3))), index(split(C4092, "" ""),3),index(split(C4092, "" ""),2)))"),"")</f>
        <v/>
      </c>
      <c r="U4092" s="38" t="b">
        <f t="shared" si="423"/>
        <v>0</v>
      </c>
      <c r="V4092" s="38"/>
      <c r="W4092" s="40"/>
      <c r="X4092" s="40"/>
      <c r="Y4092" s="40"/>
      <c r="Z4092" s="38"/>
      <c r="AA4092" s="38"/>
      <c r="AB4092" s="38"/>
      <c r="AC4092" s="38"/>
      <c r="AD4092" s="38"/>
      <c r="AE4092" s="38"/>
      <c r="AF4092" s="38"/>
      <c r="AG4092" s="38"/>
      <c r="AH4092" s="38"/>
      <c r="AI4092" s="38"/>
      <c r="AJ4092" s="38"/>
      <c r="AK4092" s="38"/>
      <c r="AL4092" s="38"/>
      <c r="AM4092" s="38"/>
      <c r="AN4092" s="38"/>
      <c r="AO4092" s="38"/>
      <c r="AP4092" s="38"/>
      <c r="AQ4092" s="38"/>
      <c r="AR4092" s="38"/>
      <c r="AS4092" s="38"/>
      <c r="AT4092" s="38"/>
      <c r="AU4092" s="38"/>
      <c r="AV4092" s="38"/>
      <c r="AW4092" s="38"/>
      <c r="AX4092" s="38"/>
      <c r="AY4092" s="38"/>
      <c r="AZ4092" s="38"/>
      <c r="BA4092" s="38"/>
      <c r="BB4092" s="38"/>
      <c r="BC4092" s="38"/>
      <c r="BD4092" s="38"/>
      <c r="BE4092" s="38"/>
      <c r="BF4092" s="38"/>
      <c r="BG4092" s="38"/>
      <c r="BH4092" s="38"/>
      <c r="BI4092" s="38"/>
      <c r="BJ4092" s="38"/>
      <c r="BK4092" s="38"/>
      <c r="BL4092" s="38"/>
      <c r="BM4092" s="38"/>
      <c r="BN4092" s="38"/>
      <c r="BO4092" s="38"/>
      <c r="BP4092" s="38"/>
      <c r="BQ4092" s="38"/>
    </row>
    <row r="4093">
      <c r="A4093" s="16"/>
      <c r="B4093" s="145"/>
      <c r="C4093" s="146"/>
      <c r="D4093" s="146"/>
      <c r="E4093" s="16"/>
      <c r="F4093" s="91"/>
      <c r="G4093" s="16"/>
      <c r="H4093" s="320" t="str">
        <f t="shared" si="424"/>
        <v/>
      </c>
      <c r="I4093" s="16"/>
      <c r="J4093" s="16"/>
      <c r="K4093" s="16"/>
      <c r="L4093" s="16"/>
      <c r="M4093" s="15"/>
      <c r="N4093" s="15"/>
      <c r="O4093" s="16"/>
      <c r="P4093" s="16"/>
      <c r="Q4093" s="16"/>
      <c r="R4093" s="16"/>
      <c r="S4093" s="37" t="str">
        <f>IFERROR(__xludf.DUMMYFUNCTION("if(not(iserror(index(split(C4093, "" ""),2))), index(split(C4093, "" ""),1),"""")"),"")</f>
        <v/>
      </c>
      <c r="T4093" s="315" t="str">
        <f>IFERROR(__xludf.DUMMYFUNCTION("if(S4093="""",C4093,if(not(iserror(index(split(C4093, "" ""),3))), index(split(C4093, "" ""),3),index(split(C4093, "" ""),2)))"),"")</f>
        <v/>
      </c>
      <c r="U4093" s="38" t="b">
        <f t="shared" si="423"/>
        <v>0</v>
      </c>
      <c r="V4093" s="38"/>
      <c r="W4093" s="40"/>
      <c r="X4093" s="40"/>
      <c r="Y4093" s="40"/>
      <c r="Z4093" s="38"/>
      <c r="AA4093" s="38"/>
      <c r="AB4093" s="38"/>
      <c r="AC4093" s="38"/>
      <c r="AD4093" s="38"/>
      <c r="AE4093" s="38"/>
      <c r="AF4093" s="38"/>
      <c r="AG4093" s="38"/>
      <c r="AH4093" s="38"/>
      <c r="AI4093" s="38"/>
      <c r="AJ4093" s="38"/>
      <c r="AK4093" s="38"/>
      <c r="AL4093" s="38"/>
      <c r="AM4093" s="38"/>
      <c r="AN4093" s="38"/>
      <c r="AO4093" s="38"/>
      <c r="AP4093" s="38"/>
      <c r="AQ4093" s="38"/>
      <c r="AR4093" s="38"/>
      <c r="AS4093" s="38"/>
      <c r="AT4093" s="38"/>
      <c r="AU4093" s="38"/>
      <c r="AV4093" s="38"/>
      <c r="AW4093" s="38"/>
      <c r="AX4093" s="38"/>
      <c r="AY4093" s="38"/>
      <c r="AZ4093" s="38"/>
      <c r="BA4093" s="38"/>
      <c r="BB4093" s="38"/>
      <c r="BC4093" s="38"/>
      <c r="BD4093" s="38"/>
      <c r="BE4093" s="38"/>
      <c r="BF4093" s="38"/>
      <c r="BG4093" s="38"/>
      <c r="BH4093" s="38"/>
      <c r="BI4093" s="38"/>
      <c r="BJ4093" s="38"/>
      <c r="BK4093" s="38"/>
      <c r="BL4093" s="38"/>
      <c r="BM4093" s="38"/>
      <c r="BN4093" s="38"/>
      <c r="BO4093" s="38"/>
      <c r="BP4093" s="38"/>
      <c r="BQ4093" s="38"/>
    </row>
    <row r="4094">
      <c r="A4094" s="16"/>
      <c r="B4094" s="145"/>
      <c r="C4094" s="146"/>
      <c r="D4094" s="146"/>
      <c r="E4094" s="16"/>
      <c r="F4094" s="91"/>
      <c r="G4094" s="16"/>
      <c r="H4094" s="320" t="str">
        <f t="shared" si="424"/>
        <v/>
      </c>
      <c r="I4094" s="16"/>
      <c r="J4094" s="16"/>
      <c r="K4094" s="16"/>
      <c r="L4094" s="16"/>
      <c r="M4094" s="15"/>
      <c r="N4094" s="15"/>
      <c r="O4094" s="16"/>
      <c r="P4094" s="16"/>
      <c r="Q4094" s="16"/>
      <c r="R4094" s="16"/>
      <c r="S4094" s="37" t="str">
        <f>IFERROR(__xludf.DUMMYFUNCTION("if(not(iserror(index(split(C4094, "" ""),2))), index(split(C4094, "" ""),1),"""")"),"")</f>
        <v/>
      </c>
      <c r="T4094" s="315" t="str">
        <f>IFERROR(__xludf.DUMMYFUNCTION("if(S4094="""",C4094,if(not(iserror(index(split(C4094, "" ""),3))), index(split(C4094, "" ""),3),index(split(C4094, "" ""),2)))"),"")</f>
        <v/>
      </c>
      <c r="U4094" s="38" t="b">
        <f t="shared" si="423"/>
        <v>0</v>
      </c>
      <c r="V4094" s="38"/>
      <c r="W4094" s="40"/>
      <c r="X4094" s="40"/>
      <c r="Y4094" s="40"/>
      <c r="Z4094" s="38"/>
      <c r="AA4094" s="38"/>
      <c r="AB4094" s="38"/>
      <c r="AC4094" s="38"/>
      <c r="AD4094" s="38"/>
      <c r="AE4094" s="38"/>
      <c r="AF4094" s="38"/>
      <c r="AG4094" s="38"/>
      <c r="AH4094" s="38"/>
      <c r="AI4094" s="38"/>
      <c r="AJ4094" s="38"/>
      <c r="AK4094" s="38"/>
      <c r="AL4094" s="38"/>
      <c r="AM4094" s="38"/>
      <c r="AN4094" s="38"/>
      <c r="AO4094" s="38"/>
      <c r="AP4094" s="38"/>
      <c r="AQ4094" s="38"/>
      <c r="AR4094" s="38"/>
      <c r="AS4094" s="38"/>
      <c r="AT4094" s="38"/>
      <c r="AU4094" s="38"/>
      <c r="AV4094" s="38"/>
      <c r="AW4094" s="38"/>
      <c r="AX4094" s="38"/>
      <c r="AY4094" s="38"/>
      <c r="AZ4094" s="38"/>
      <c r="BA4094" s="38"/>
      <c r="BB4094" s="38"/>
      <c r="BC4094" s="38"/>
      <c r="BD4094" s="38"/>
      <c r="BE4094" s="38"/>
      <c r="BF4094" s="38"/>
      <c r="BG4094" s="38"/>
      <c r="BH4094" s="38"/>
      <c r="BI4094" s="38"/>
      <c r="BJ4094" s="38"/>
      <c r="BK4094" s="38"/>
      <c r="BL4094" s="38"/>
      <c r="BM4094" s="38"/>
      <c r="BN4094" s="38"/>
      <c r="BO4094" s="38"/>
      <c r="BP4094" s="38"/>
      <c r="BQ4094" s="38"/>
    </row>
    <row r="4095">
      <c r="A4095" s="16"/>
      <c r="B4095" s="145"/>
      <c r="C4095" s="146"/>
      <c r="D4095" s="146"/>
      <c r="E4095" s="16"/>
      <c r="F4095" s="91"/>
      <c r="G4095" s="16"/>
      <c r="H4095" s="320" t="str">
        <f t="shared" si="424"/>
        <v/>
      </c>
      <c r="I4095" s="16"/>
      <c r="J4095" s="16"/>
      <c r="K4095" s="16"/>
      <c r="L4095" s="16"/>
      <c r="M4095" s="15"/>
      <c r="N4095" s="15"/>
      <c r="O4095" s="16"/>
      <c r="P4095" s="16"/>
      <c r="Q4095" s="16"/>
      <c r="R4095" s="16"/>
      <c r="S4095" s="37" t="str">
        <f>IFERROR(__xludf.DUMMYFUNCTION("if(not(iserror(index(split(C4095, "" ""),2))), index(split(C4095, "" ""),1),"""")"),"")</f>
        <v/>
      </c>
      <c r="T4095" s="315" t="str">
        <f>IFERROR(__xludf.DUMMYFUNCTION("if(S4095="""",C4095,if(not(iserror(index(split(C4095, "" ""),3))), index(split(C4095, "" ""),3),index(split(C4095, "" ""),2)))"),"")</f>
        <v/>
      </c>
      <c r="U4095" s="38" t="b">
        <f t="shared" si="423"/>
        <v>0</v>
      </c>
      <c r="V4095" s="38"/>
      <c r="W4095" s="40"/>
      <c r="X4095" s="40"/>
      <c r="Y4095" s="40"/>
      <c r="Z4095" s="38"/>
      <c r="AA4095" s="38"/>
      <c r="AB4095" s="38"/>
      <c r="AC4095" s="38"/>
      <c r="AD4095" s="38"/>
      <c r="AE4095" s="38"/>
      <c r="AF4095" s="38"/>
      <c r="AG4095" s="38"/>
      <c r="AH4095" s="38"/>
      <c r="AI4095" s="38"/>
      <c r="AJ4095" s="38"/>
      <c r="AK4095" s="38"/>
      <c r="AL4095" s="38"/>
      <c r="AM4095" s="38"/>
      <c r="AN4095" s="38"/>
      <c r="AO4095" s="38"/>
      <c r="AP4095" s="38"/>
      <c r="AQ4095" s="38"/>
      <c r="AR4095" s="38"/>
      <c r="AS4095" s="38"/>
      <c r="AT4095" s="38"/>
      <c r="AU4095" s="38"/>
      <c r="AV4095" s="38"/>
      <c r="AW4095" s="38"/>
      <c r="AX4095" s="38"/>
      <c r="AY4095" s="38"/>
      <c r="AZ4095" s="38"/>
      <c r="BA4095" s="38"/>
      <c r="BB4095" s="38"/>
      <c r="BC4095" s="38"/>
      <c r="BD4095" s="38"/>
      <c r="BE4095" s="38"/>
      <c r="BF4095" s="38"/>
      <c r="BG4095" s="38"/>
      <c r="BH4095" s="38"/>
      <c r="BI4095" s="38"/>
      <c r="BJ4095" s="38"/>
      <c r="BK4095" s="38"/>
      <c r="BL4095" s="38"/>
      <c r="BM4095" s="38"/>
      <c r="BN4095" s="38"/>
      <c r="BO4095" s="38"/>
      <c r="BP4095" s="38"/>
      <c r="BQ4095" s="38"/>
    </row>
    <row r="4096">
      <c r="A4096" s="16"/>
      <c r="B4096" s="145"/>
      <c r="C4096" s="146"/>
      <c r="D4096" s="146"/>
      <c r="E4096" s="16"/>
      <c r="F4096" s="91"/>
      <c r="G4096" s="16"/>
      <c r="H4096" s="320" t="str">
        <f t="shared" si="424"/>
        <v/>
      </c>
      <c r="I4096" s="16"/>
      <c r="J4096" s="16"/>
      <c r="K4096" s="16"/>
      <c r="L4096" s="16"/>
      <c r="M4096" s="15"/>
      <c r="N4096" s="15"/>
      <c r="O4096" s="16"/>
      <c r="P4096" s="16"/>
      <c r="Q4096" s="16"/>
      <c r="R4096" s="16"/>
      <c r="S4096" s="37" t="str">
        <f>IFERROR(__xludf.DUMMYFUNCTION("if(not(iserror(index(split(C4096, "" ""),2))), index(split(C4096, "" ""),1),"""")"),"")</f>
        <v/>
      </c>
      <c r="T4096" s="315" t="str">
        <f>IFERROR(__xludf.DUMMYFUNCTION("if(S4096="""",C4096,if(not(iserror(index(split(C4096, "" ""),3))), index(split(C4096, "" ""),3),index(split(C4096, "" ""),2)))"),"")</f>
        <v/>
      </c>
      <c r="U4096" s="38" t="b">
        <f t="shared" si="423"/>
        <v>0</v>
      </c>
      <c r="V4096" s="38"/>
      <c r="W4096" s="40"/>
      <c r="X4096" s="40"/>
      <c r="Y4096" s="40"/>
      <c r="Z4096" s="38"/>
      <c r="AA4096" s="38"/>
      <c r="AB4096" s="38"/>
      <c r="AC4096" s="38"/>
      <c r="AD4096" s="38"/>
      <c r="AE4096" s="38"/>
      <c r="AF4096" s="38"/>
      <c r="AG4096" s="38"/>
      <c r="AH4096" s="38"/>
      <c r="AI4096" s="38"/>
      <c r="AJ4096" s="38"/>
      <c r="AK4096" s="38"/>
      <c r="AL4096" s="38"/>
      <c r="AM4096" s="38"/>
      <c r="AN4096" s="38"/>
      <c r="AO4096" s="38"/>
      <c r="AP4096" s="38"/>
      <c r="AQ4096" s="38"/>
      <c r="AR4096" s="38"/>
      <c r="AS4096" s="38"/>
      <c r="AT4096" s="38"/>
      <c r="AU4096" s="38"/>
      <c r="AV4096" s="38"/>
      <c r="AW4096" s="38"/>
      <c r="AX4096" s="38"/>
      <c r="AY4096" s="38"/>
      <c r="AZ4096" s="38"/>
      <c r="BA4096" s="38"/>
      <c r="BB4096" s="38"/>
      <c r="BC4096" s="38"/>
      <c r="BD4096" s="38"/>
      <c r="BE4096" s="38"/>
      <c r="BF4096" s="38"/>
      <c r="BG4096" s="38"/>
      <c r="BH4096" s="38"/>
      <c r="BI4096" s="38"/>
      <c r="BJ4096" s="38"/>
      <c r="BK4096" s="38"/>
      <c r="BL4096" s="38"/>
      <c r="BM4096" s="38"/>
      <c r="BN4096" s="38"/>
      <c r="BO4096" s="38"/>
      <c r="BP4096" s="38"/>
      <c r="BQ4096" s="38"/>
    </row>
    <row r="4097">
      <c r="A4097" s="16"/>
      <c r="B4097" s="145"/>
      <c r="C4097" s="146"/>
      <c r="D4097" s="146"/>
      <c r="E4097" s="16"/>
      <c r="F4097" s="91"/>
      <c r="G4097" s="16"/>
      <c r="H4097" s="320" t="str">
        <f t="shared" si="424"/>
        <v/>
      </c>
      <c r="I4097" s="16"/>
      <c r="J4097" s="16"/>
      <c r="K4097" s="16"/>
      <c r="L4097" s="16"/>
      <c r="M4097" s="15"/>
      <c r="N4097" s="15"/>
      <c r="O4097" s="16"/>
      <c r="P4097" s="16"/>
      <c r="Q4097" s="16"/>
      <c r="R4097" s="16"/>
      <c r="S4097" s="37" t="str">
        <f>IFERROR(__xludf.DUMMYFUNCTION("if(not(iserror(index(split(C4097, "" ""),2))), index(split(C4097, "" ""),1),"""")"),"")</f>
        <v/>
      </c>
      <c r="T4097" s="315" t="str">
        <f>IFERROR(__xludf.DUMMYFUNCTION("if(S4097="""",C4097,if(not(iserror(index(split(C4097, "" ""),3))), index(split(C4097, "" ""),3),index(split(C4097, "" ""),2)))"),"")</f>
        <v/>
      </c>
      <c r="U4097" s="38" t="b">
        <f t="shared" si="423"/>
        <v>0</v>
      </c>
      <c r="V4097" s="38"/>
      <c r="W4097" s="40"/>
      <c r="X4097" s="40"/>
      <c r="Y4097" s="40"/>
      <c r="Z4097" s="38"/>
      <c r="AA4097" s="38"/>
      <c r="AB4097" s="38"/>
      <c r="AC4097" s="38"/>
      <c r="AD4097" s="38"/>
      <c r="AE4097" s="38"/>
      <c r="AF4097" s="38"/>
      <c r="AG4097" s="38"/>
      <c r="AH4097" s="38"/>
      <c r="AI4097" s="38"/>
      <c r="AJ4097" s="38"/>
      <c r="AK4097" s="38"/>
      <c r="AL4097" s="38"/>
      <c r="AM4097" s="38"/>
      <c r="AN4097" s="38"/>
      <c r="AO4097" s="38"/>
      <c r="AP4097" s="38"/>
      <c r="AQ4097" s="38"/>
      <c r="AR4097" s="38"/>
      <c r="AS4097" s="38"/>
      <c r="AT4097" s="38"/>
      <c r="AU4097" s="38"/>
      <c r="AV4097" s="38"/>
      <c r="AW4097" s="38"/>
      <c r="AX4097" s="38"/>
      <c r="AY4097" s="38"/>
      <c r="AZ4097" s="38"/>
      <c r="BA4097" s="38"/>
      <c r="BB4097" s="38"/>
      <c r="BC4097" s="38"/>
      <c r="BD4097" s="38"/>
      <c r="BE4097" s="38"/>
      <c r="BF4097" s="38"/>
      <c r="BG4097" s="38"/>
      <c r="BH4097" s="38"/>
      <c r="BI4097" s="38"/>
      <c r="BJ4097" s="38"/>
      <c r="BK4097" s="38"/>
      <c r="BL4097" s="38"/>
      <c r="BM4097" s="38"/>
      <c r="BN4097" s="38"/>
      <c r="BO4097" s="38"/>
      <c r="BP4097" s="38"/>
      <c r="BQ4097" s="38"/>
    </row>
    <row r="4098">
      <c r="A4098" s="16"/>
      <c r="B4098" s="145"/>
      <c r="C4098" s="146"/>
      <c r="D4098" s="146"/>
      <c r="E4098" s="16"/>
      <c r="F4098" s="91"/>
      <c r="G4098" s="16"/>
      <c r="H4098" s="320" t="str">
        <f t="shared" si="424"/>
        <v/>
      </c>
      <c r="I4098" s="16"/>
      <c r="J4098" s="16"/>
      <c r="K4098" s="16"/>
      <c r="L4098" s="16"/>
      <c r="M4098" s="15"/>
      <c r="N4098" s="15"/>
      <c r="O4098" s="16"/>
      <c r="P4098" s="16"/>
      <c r="Q4098" s="16"/>
      <c r="R4098" s="16"/>
      <c r="S4098" s="37" t="str">
        <f>IFERROR(__xludf.DUMMYFUNCTION("if(not(iserror(index(split(C4098, "" ""),2))), index(split(C4098, "" ""),1),"""")"),"")</f>
        <v/>
      </c>
      <c r="T4098" s="315" t="str">
        <f>IFERROR(__xludf.DUMMYFUNCTION("if(S4098="""",C4098,if(not(iserror(index(split(C4098, "" ""),3))), index(split(C4098, "" ""),3),index(split(C4098, "" ""),2)))"),"")</f>
        <v/>
      </c>
      <c r="U4098" s="38" t="b">
        <f t="shared" si="423"/>
        <v>0</v>
      </c>
      <c r="V4098" s="38"/>
      <c r="W4098" s="40"/>
      <c r="X4098" s="40"/>
      <c r="Y4098" s="40"/>
      <c r="Z4098" s="38"/>
      <c r="AA4098" s="38"/>
      <c r="AB4098" s="38"/>
      <c r="AC4098" s="38"/>
      <c r="AD4098" s="38"/>
      <c r="AE4098" s="38"/>
      <c r="AF4098" s="38"/>
      <c r="AG4098" s="38"/>
      <c r="AH4098" s="38"/>
      <c r="AI4098" s="38"/>
      <c r="AJ4098" s="38"/>
      <c r="AK4098" s="38"/>
      <c r="AL4098" s="38"/>
      <c r="AM4098" s="38"/>
      <c r="AN4098" s="38"/>
      <c r="AO4098" s="38"/>
      <c r="AP4098" s="38"/>
      <c r="AQ4098" s="38"/>
      <c r="AR4098" s="38"/>
      <c r="AS4098" s="38"/>
      <c r="AT4098" s="38"/>
      <c r="AU4098" s="38"/>
      <c r="AV4098" s="38"/>
      <c r="AW4098" s="38"/>
      <c r="AX4098" s="38"/>
      <c r="AY4098" s="38"/>
      <c r="AZ4098" s="38"/>
      <c r="BA4098" s="38"/>
      <c r="BB4098" s="38"/>
      <c r="BC4098" s="38"/>
      <c r="BD4098" s="38"/>
      <c r="BE4098" s="38"/>
      <c r="BF4098" s="38"/>
      <c r="BG4098" s="38"/>
      <c r="BH4098" s="38"/>
      <c r="BI4098" s="38"/>
      <c r="BJ4098" s="38"/>
      <c r="BK4098" s="38"/>
      <c r="BL4098" s="38"/>
      <c r="BM4098" s="38"/>
      <c r="BN4098" s="38"/>
      <c r="BO4098" s="38"/>
      <c r="BP4098" s="38"/>
      <c r="BQ4098" s="38"/>
    </row>
    <row r="4099">
      <c r="A4099" s="16"/>
      <c r="B4099" s="145"/>
      <c r="C4099" s="146"/>
      <c r="D4099" s="146"/>
      <c r="E4099" s="16"/>
      <c r="F4099" s="91"/>
      <c r="G4099" s="16"/>
      <c r="H4099" s="320" t="str">
        <f t="shared" si="424"/>
        <v/>
      </c>
      <c r="I4099" s="16"/>
      <c r="J4099" s="16"/>
      <c r="K4099" s="16"/>
      <c r="L4099" s="16"/>
      <c r="M4099" s="15"/>
      <c r="N4099" s="15"/>
      <c r="O4099" s="16"/>
      <c r="P4099" s="16"/>
      <c r="Q4099" s="16"/>
      <c r="R4099" s="16"/>
      <c r="S4099" s="37" t="str">
        <f>IFERROR(__xludf.DUMMYFUNCTION("if(not(iserror(index(split(C4099, "" ""),2))), index(split(C4099, "" ""),1),"""")"),"")</f>
        <v/>
      </c>
      <c r="T4099" s="315" t="str">
        <f>IFERROR(__xludf.DUMMYFUNCTION("if(S4099="""",C4099,if(not(iserror(index(split(C4099, "" ""),3))), index(split(C4099, "" ""),3),index(split(C4099, "" ""),2)))"),"")</f>
        <v/>
      </c>
      <c r="U4099" s="38" t="b">
        <f t="shared" si="423"/>
        <v>0</v>
      </c>
      <c r="V4099" s="38"/>
      <c r="W4099" s="40"/>
      <c r="X4099" s="40"/>
      <c r="Y4099" s="40"/>
      <c r="Z4099" s="38"/>
      <c r="AA4099" s="38"/>
      <c r="AB4099" s="38"/>
      <c r="AC4099" s="38"/>
      <c r="AD4099" s="38"/>
      <c r="AE4099" s="38"/>
      <c r="AF4099" s="38"/>
      <c r="AG4099" s="38"/>
      <c r="AH4099" s="38"/>
      <c r="AI4099" s="38"/>
      <c r="AJ4099" s="38"/>
      <c r="AK4099" s="38"/>
      <c r="AL4099" s="38"/>
      <c r="AM4099" s="38"/>
      <c r="AN4099" s="38"/>
      <c r="AO4099" s="38"/>
      <c r="AP4099" s="38"/>
      <c r="AQ4099" s="38"/>
      <c r="AR4099" s="38"/>
      <c r="AS4099" s="38"/>
      <c r="AT4099" s="38"/>
      <c r="AU4099" s="38"/>
      <c r="AV4099" s="38"/>
      <c r="AW4099" s="38"/>
      <c r="AX4099" s="38"/>
      <c r="AY4099" s="38"/>
      <c r="AZ4099" s="38"/>
      <c r="BA4099" s="38"/>
      <c r="BB4099" s="38"/>
      <c r="BC4099" s="38"/>
      <c r="BD4099" s="38"/>
      <c r="BE4099" s="38"/>
      <c r="BF4099" s="38"/>
      <c r="BG4099" s="38"/>
      <c r="BH4099" s="38"/>
      <c r="BI4099" s="38"/>
      <c r="BJ4099" s="38"/>
      <c r="BK4099" s="38"/>
      <c r="BL4099" s="38"/>
      <c r="BM4099" s="38"/>
      <c r="BN4099" s="38"/>
      <c r="BO4099" s="38"/>
      <c r="BP4099" s="38"/>
      <c r="BQ4099" s="38"/>
    </row>
    <row r="4100">
      <c r="A4100" s="16"/>
      <c r="B4100" s="145"/>
      <c r="C4100" s="146"/>
      <c r="D4100" s="146"/>
      <c r="E4100" s="16"/>
      <c r="F4100" s="91"/>
      <c r="G4100" s="16"/>
      <c r="H4100" s="320" t="str">
        <f t="shared" si="424"/>
        <v/>
      </c>
      <c r="I4100" s="16"/>
      <c r="J4100" s="16"/>
      <c r="K4100" s="16"/>
      <c r="L4100" s="16"/>
      <c r="M4100" s="15"/>
      <c r="N4100" s="15"/>
      <c r="O4100" s="16"/>
      <c r="P4100" s="16"/>
      <c r="Q4100" s="16"/>
      <c r="R4100" s="16"/>
      <c r="S4100" s="37" t="str">
        <f>IFERROR(__xludf.DUMMYFUNCTION("if(not(iserror(index(split(C4100, "" ""),2))), index(split(C4100, "" ""),1),"""")"),"")</f>
        <v/>
      </c>
      <c r="T4100" s="315" t="str">
        <f>IFERROR(__xludf.DUMMYFUNCTION("if(S4100="""",C4100,if(not(iserror(index(split(C4100, "" ""),3))), index(split(C4100, "" ""),3),index(split(C4100, "" ""),2)))"),"")</f>
        <v/>
      </c>
      <c r="U4100" s="38" t="b">
        <f t="shared" si="423"/>
        <v>0</v>
      </c>
      <c r="V4100" s="38"/>
      <c r="W4100" s="40"/>
      <c r="X4100" s="40"/>
      <c r="Y4100" s="40"/>
      <c r="Z4100" s="38"/>
      <c r="AA4100" s="38"/>
      <c r="AB4100" s="38"/>
      <c r="AC4100" s="38"/>
      <c r="AD4100" s="38"/>
      <c r="AE4100" s="38"/>
      <c r="AF4100" s="38"/>
      <c r="AG4100" s="38"/>
      <c r="AH4100" s="38"/>
      <c r="AI4100" s="38"/>
      <c r="AJ4100" s="38"/>
      <c r="AK4100" s="38"/>
      <c r="AL4100" s="38"/>
      <c r="AM4100" s="38"/>
      <c r="AN4100" s="38"/>
      <c r="AO4100" s="38"/>
      <c r="AP4100" s="38"/>
      <c r="AQ4100" s="38"/>
      <c r="AR4100" s="38"/>
      <c r="AS4100" s="38"/>
      <c r="AT4100" s="38"/>
      <c r="AU4100" s="38"/>
      <c r="AV4100" s="38"/>
      <c r="AW4100" s="38"/>
      <c r="AX4100" s="38"/>
      <c r="AY4100" s="38"/>
      <c r="AZ4100" s="38"/>
      <c r="BA4100" s="38"/>
      <c r="BB4100" s="38"/>
      <c r="BC4100" s="38"/>
      <c r="BD4100" s="38"/>
      <c r="BE4100" s="38"/>
      <c r="BF4100" s="38"/>
      <c r="BG4100" s="38"/>
      <c r="BH4100" s="38"/>
      <c r="BI4100" s="38"/>
      <c r="BJ4100" s="38"/>
      <c r="BK4100" s="38"/>
      <c r="BL4100" s="38"/>
      <c r="BM4100" s="38"/>
      <c r="BN4100" s="38"/>
      <c r="BO4100" s="38"/>
      <c r="BP4100" s="38"/>
      <c r="BQ4100" s="38"/>
    </row>
    <row r="4101">
      <c r="A4101" s="16"/>
      <c r="B4101" s="145"/>
      <c r="C4101" s="146"/>
      <c r="D4101" s="146"/>
      <c r="E4101" s="16"/>
      <c r="F4101" s="91"/>
      <c r="G4101" s="16"/>
      <c r="H4101" s="320" t="str">
        <f t="shared" si="424"/>
        <v/>
      </c>
      <c r="I4101" s="16"/>
      <c r="J4101" s="16"/>
      <c r="K4101" s="16"/>
      <c r="L4101" s="16"/>
      <c r="M4101" s="15"/>
      <c r="N4101" s="15"/>
      <c r="O4101" s="16"/>
      <c r="P4101" s="16"/>
      <c r="Q4101" s="16"/>
      <c r="R4101" s="16"/>
      <c r="S4101" s="37" t="str">
        <f>IFERROR(__xludf.DUMMYFUNCTION("if(not(iserror(index(split(C4101, "" ""),2))), index(split(C4101, "" ""),1),"""")"),"")</f>
        <v/>
      </c>
      <c r="T4101" s="315" t="str">
        <f>IFERROR(__xludf.DUMMYFUNCTION("if(S4101="""",C4101,if(not(iserror(index(split(C4101, "" ""),3))), index(split(C4101, "" ""),3),index(split(C4101, "" ""),2)))"),"")</f>
        <v/>
      </c>
      <c r="U4101" s="38" t="b">
        <f t="shared" si="423"/>
        <v>0</v>
      </c>
      <c r="V4101" s="38"/>
      <c r="W4101" s="40"/>
      <c r="X4101" s="40"/>
      <c r="Y4101" s="40"/>
      <c r="Z4101" s="38"/>
      <c r="AA4101" s="38"/>
      <c r="AB4101" s="38"/>
      <c r="AC4101" s="38"/>
      <c r="AD4101" s="38"/>
      <c r="AE4101" s="38"/>
      <c r="AF4101" s="38"/>
      <c r="AG4101" s="38"/>
      <c r="AH4101" s="38"/>
      <c r="AI4101" s="38"/>
      <c r="AJ4101" s="38"/>
      <c r="AK4101" s="38"/>
      <c r="AL4101" s="38"/>
      <c r="AM4101" s="38"/>
      <c r="AN4101" s="38"/>
      <c r="AO4101" s="38"/>
      <c r="AP4101" s="38"/>
      <c r="AQ4101" s="38"/>
      <c r="AR4101" s="38"/>
      <c r="AS4101" s="38"/>
      <c r="AT4101" s="38"/>
      <c r="AU4101" s="38"/>
      <c r="AV4101" s="38"/>
      <c r="AW4101" s="38"/>
      <c r="AX4101" s="38"/>
      <c r="AY4101" s="38"/>
      <c r="AZ4101" s="38"/>
      <c r="BA4101" s="38"/>
      <c r="BB4101" s="38"/>
      <c r="BC4101" s="38"/>
      <c r="BD4101" s="38"/>
      <c r="BE4101" s="38"/>
      <c r="BF4101" s="38"/>
      <c r="BG4101" s="38"/>
      <c r="BH4101" s="38"/>
      <c r="BI4101" s="38"/>
      <c r="BJ4101" s="38"/>
      <c r="BK4101" s="38"/>
      <c r="BL4101" s="38"/>
      <c r="BM4101" s="38"/>
      <c r="BN4101" s="38"/>
      <c r="BO4101" s="38"/>
      <c r="BP4101" s="38"/>
      <c r="BQ4101" s="38"/>
    </row>
    <row r="4102">
      <c r="A4102" s="16"/>
      <c r="B4102" s="145"/>
      <c r="C4102" s="146"/>
      <c r="D4102" s="146"/>
      <c r="E4102" s="16"/>
      <c r="F4102" s="91"/>
      <c r="G4102" s="16"/>
      <c r="H4102" s="320" t="str">
        <f t="shared" si="424"/>
        <v/>
      </c>
      <c r="I4102" s="16"/>
      <c r="J4102" s="16"/>
      <c r="K4102" s="16"/>
      <c r="L4102" s="16"/>
      <c r="M4102" s="15"/>
      <c r="N4102" s="15"/>
      <c r="O4102" s="16"/>
      <c r="P4102" s="16"/>
      <c r="Q4102" s="16"/>
      <c r="R4102" s="16"/>
      <c r="S4102" s="37" t="str">
        <f>IFERROR(__xludf.DUMMYFUNCTION("if(not(iserror(index(split(C4102, "" ""),2))), index(split(C4102, "" ""),1),"""")"),"")</f>
        <v/>
      </c>
      <c r="T4102" s="315" t="str">
        <f>IFERROR(__xludf.DUMMYFUNCTION("if(S4102="""",C4102,if(not(iserror(index(split(C4102, "" ""),3))), index(split(C4102, "" ""),3),index(split(C4102, "" ""),2)))"),"")</f>
        <v/>
      </c>
      <c r="U4102" s="38" t="b">
        <f t="shared" si="423"/>
        <v>0</v>
      </c>
      <c r="V4102" s="38"/>
      <c r="W4102" s="40"/>
      <c r="X4102" s="40"/>
      <c r="Y4102" s="40"/>
      <c r="Z4102" s="38"/>
      <c r="AA4102" s="38"/>
      <c r="AB4102" s="38"/>
      <c r="AC4102" s="38"/>
      <c r="AD4102" s="38"/>
      <c r="AE4102" s="38"/>
      <c r="AF4102" s="38"/>
      <c r="AG4102" s="38"/>
      <c r="AH4102" s="38"/>
      <c r="AI4102" s="38"/>
      <c r="AJ4102" s="38"/>
      <c r="AK4102" s="38"/>
      <c r="AL4102" s="38"/>
      <c r="AM4102" s="38"/>
      <c r="AN4102" s="38"/>
      <c r="AO4102" s="38"/>
      <c r="AP4102" s="38"/>
      <c r="AQ4102" s="38"/>
      <c r="AR4102" s="38"/>
      <c r="AS4102" s="38"/>
      <c r="AT4102" s="38"/>
      <c r="AU4102" s="38"/>
      <c r="AV4102" s="38"/>
      <c r="AW4102" s="38"/>
      <c r="AX4102" s="38"/>
      <c r="AY4102" s="38"/>
      <c r="AZ4102" s="38"/>
      <c r="BA4102" s="38"/>
      <c r="BB4102" s="38"/>
      <c r="BC4102" s="38"/>
      <c r="BD4102" s="38"/>
      <c r="BE4102" s="38"/>
      <c r="BF4102" s="38"/>
      <c r="BG4102" s="38"/>
      <c r="BH4102" s="38"/>
      <c r="BI4102" s="38"/>
      <c r="BJ4102" s="38"/>
      <c r="BK4102" s="38"/>
      <c r="BL4102" s="38"/>
      <c r="BM4102" s="38"/>
      <c r="BN4102" s="38"/>
      <c r="BO4102" s="38"/>
      <c r="BP4102" s="38"/>
      <c r="BQ4102" s="38"/>
    </row>
    <row r="4103">
      <c r="A4103" s="16"/>
      <c r="B4103" s="145"/>
      <c r="C4103" s="146"/>
      <c r="D4103" s="146"/>
      <c r="E4103" s="16"/>
      <c r="F4103" s="91"/>
      <c r="G4103" s="16"/>
      <c r="H4103" s="320" t="str">
        <f t="shared" si="424"/>
        <v/>
      </c>
      <c r="I4103" s="16"/>
      <c r="J4103" s="16"/>
      <c r="K4103" s="16"/>
      <c r="L4103" s="16"/>
      <c r="M4103" s="15"/>
      <c r="N4103" s="15"/>
      <c r="O4103" s="16"/>
      <c r="P4103" s="16"/>
      <c r="Q4103" s="16"/>
      <c r="R4103" s="16"/>
      <c r="S4103" s="37" t="str">
        <f>IFERROR(__xludf.DUMMYFUNCTION("if(not(iserror(index(split(C4103, "" ""),2))), index(split(C4103, "" ""),1),"""")"),"")</f>
        <v/>
      </c>
      <c r="T4103" s="315" t="str">
        <f>IFERROR(__xludf.DUMMYFUNCTION("if(S4103="""",C4103,if(not(iserror(index(split(C4103, "" ""),3))), index(split(C4103, "" ""),3),index(split(C4103, "" ""),2)))"),"")</f>
        <v/>
      </c>
      <c r="U4103" s="38" t="b">
        <f t="shared" si="423"/>
        <v>0</v>
      </c>
      <c r="V4103" s="38"/>
      <c r="W4103" s="40"/>
      <c r="X4103" s="40"/>
      <c r="Y4103" s="40"/>
      <c r="Z4103" s="38"/>
      <c r="AA4103" s="38"/>
      <c r="AB4103" s="38"/>
      <c r="AC4103" s="38"/>
      <c r="AD4103" s="38"/>
      <c r="AE4103" s="38"/>
      <c r="AF4103" s="38"/>
      <c r="AG4103" s="38"/>
      <c r="AH4103" s="38"/>
      <c r="AI4103" s="38"/>
      <c r="AJ4103" s="38"/>
      <c r="AK4103" s="38"/>
      <c r="AL4103" s="38"/>
      <c r="AM4103" s="38"/>
      <c r="AN4103" s="38"/>
      <c r="AO4103" s="38"/>
      <c r="AP4103" s="38"/>
      <c r="AQ4103" s="38"/>
      <c r="AR4103" s="38"/>
      <c r="AS4103" s="38"/>
      <c r="AT4103" s="38"/>
      <c r="AU4103" s="38"/>
      <c r="AV4103" s="38"/>
      <c r="AW4103" s="38"/>
      <c r="AX4103" s="38"/>
      <c r="AY4103" s="38"/>
      <c r="AZ4103" s="38"/>
      <c r="BA4103" s="38"/>
      <c r="BB4103" s="38"/>
      <c r="BC4103" s="38"/>
      <c r="BD4103" s="38"/>
      <c r="BE4103" s="38"/>
      <c r="BF4103" s="38"/>
      <c r="BG4103" s="38"/>
      <c r="BH4103" s="38"/>
      <c r="BI4103" s="38"/>
      <c r="BJ4103" s="38"/>
      <c r="BK4103" s="38"/>
      <c r="BL4103" s="38"/>
      <c r="BM4103" s="38"/>
      <c r="BN4103" s="38"/>
      <c r="BO4103" s="38"/>
      <c r="BP4103" s="38"/>
      <c r="BQ4103" s="38"/>
    </row>
    <row r="4104">
      <c r="A4104" s="16"/>
      <c r="B4104" s="145"/>
      <c r="C4104" s="146"/>
      <c r="D4104" s="146"/>
      <c r="E4104" s="16"/>
      <c r="F4104" s="91"/>
      <c r="G4104" s="16"/>
      <c r="H4104" s="320" t="str">
        <f t="shared" si="424"/>
        <v/>
      </c>
      <c r="I4104" s="16"/>
      <c r="J4104" s="16"/>
      <c r="K4104" s="16"/>
      <c r="L4104" s="16"/>
      <c r="M4104" s="15"/>
      <c r="N4104" s="15"/>
      <c r="O4104" s="16"/>
      <c r="P4104" s="16"/>
      <c r="Q4104" s="16"/>
      <c r="R4104" s="16"/>
      <c r="S4104" s="37" t="str">
        <f>IFERROR(__xludf.DUMMYFUNCTION("if(not(iserror(index(split(C4104, "" ""),2))), index(split(C4104, "" ""),1),"""")"),"")</f>
        <v/>
      </c>
      <c r="T4104" s="315" t="str">
        <f>IFERROR(__xludf.DUMMYFUNCTION("if(S4104="""",C4104,if(not(iserror(index(split(C4104, "" ""),3))), index(split(C4104, "" ""),3),index(split(C4104, "" ""),2)))"),"")</f>
        <v/>
      </c>
      <c r="U4104" s="38" t="b">
        <f t="shared" si="423"/>
        <v>0</v>
      </c>
      <c r="V4104" s="38"/>
      <c r="W4104" s="40"/>
      <c r="X4104" s="40"/>
      <c r="Y4104" s="40"/>
      <c r="Z4104" s="38"/>
      <c r="AA4104" s="38"/>
      <c r="AB4104" s="38"/>
      <c r="AC4104" s="38"/>
      <c r="AD4104" s="38"/>
      <c r="AE4104" s="38"/>
      <c r="AF4104" s="38"/>
      <c r="AG4104" s="38"/>
      <c r="AH4104" s="38"/>
      <c r="AI4104" s="38"/>
      <c r="AJ4104" s="38"/>
      <c r="AK4104" s="38"/>
      <c r="AL4104" s="38"/>
      <c r="AM4104" s="38"/>
      <c r="AN4104" s="38"/>
      <c r="AO4104" s="38"/>
      <c r="AP4104" s="38"/>
      <c r="AQ4104" s="38"/>
      <c r="AR4104" s="38"/>
      <c r="AS4104" s="38"/>
      <c r="AT4104" s="38"/>
      <c r="AU4104" s="38"/>
      <c r="AV4104" s="38"/>
      <c r="AW4104" s="38"/>
      <c r="AX4104" s="38"/>
      <c r="AY4104" s="38"/>
      <c r="AZ4104" s="38"/>
      <c r="BA4104" s="38"/>
      <c r="BB4104" s="38"/>
      <c r="BC4104" s="38"/>
      <c r="BD4104" s="38"/>
      <c r="BE4104" s="38"/>
      <c r="BF4104" s="38"/>
      <c r="BG4104" s="38"/>
      <c r="BH4104" s="38"/>
      <c r="BI4104" s="38"/>
      <c r="BJ4104" s="38"/>
      <c r="BK4104" s="38"/>
      <c r="BL4104" s="38"/>
      <c r="BM4104" s="38"/>
      <c r="BN4104" s="38"/>
      <c r="BO4104" s="38"/>
      <c r="BP4104" s="38"/>
      <c r="BQ4104" s="38"/>
    </row>
    <row r="4105">
      <c r="A4105" s="16"/>
      <c r="B4105" s="145"/>
      <c r="C4105" s="146"/>
      <c r="D4105" s="146"/>
      <c r="E4105" s="16"/>
      <c r="F4105" s="91"/>
      <c r="G4105" s="16"/>
      <c r="H4105" s="320" t="str">
        <f t="shared" si="424"/>
        <v/>
      </c>
      <c r="I4105" s="16"/>
      <c r="J4105" s="16"/>
      <c r="K4105" s="16"/>
      <c r="L4105" s="16"/>
      <c r="M4105" s="15"/>
      <c r="N4105" s="15"/>
      <c r="O4105" s="16"/>
      <c r="P4105" s="16"/>
      <c r="Q4105" s="16"/>
      <c r="R4105" s="16"/>
      <c r="S4105" s="37" t="str">
        <f>IFERROR(__xludf.DUMMYFUNCTION("if(not(iserror(index(split(C4105, "" ""),2))), index(split(C4105, "" ""),1),"""")"),"")</f>
        <v/>
      </c>
      <c r="T4105" s="315" t="str">
        <f>IFERROR(__xludf.DUMMYFUNCTION("if(S4105="""",C4105,if(not(iserror(index(split(C4105, "" ""),3))), index(split(C4105, "" ""),3),index(split(C4105, "" ""),2)))"),"")</f>
        <v/>
      </c>
      <c r="U4105" s="38" t="b">
        <f t="shared" si="423"/>
        <v>0</v>
      </c>
      <c r="V4105" s="38"/>
      <c r="W4105" s="40"/>
      <c r="X4105" s="40"/>
      <c r="Y4105" s="40"/>
      <c r="Z4105" s="38"/>
      <c r="AA4105" s="38"/>
      <c r="AB4105" s="38"/>
      <c r="AC4105" s="38"/>
      <c r="AD4105" s="38"/>
      <c r="AE4105" s="38"/>
      <c r="AF4105" s="38"/>
      <c r="AG4105" s="38"/>
      <c r="AH4105" s="38"/>
      <c r="AI4105" s="38"/>
      <c r="AJ4105" s="38"/>
      <c r="AK4105" s="38"/>
      <c r="AL4105" s="38"/>
      <c r="AM4105" s="38"/>
      <c r="AN4105" s="38"/>
      <c r="AO4105" s="38"/>
      <c r="AP4105" s="38"/>
      <c r="AQ4105" s="38"/>
      <c r="AR4105" s="38"/>
      <c r="AS4105" s="38"/>
      <c r="AT4105" s="38"/>
      <c r="AU4105" s="38"/>
      <c r="AV4105" s="38"/>
      <c r="AW4105" s="38"/>
      <c r="AX4105" s="38"/>
      <c r="AY4105" s="38"/>
      <c r="AZ4105" s="38"/>
      <c r="BA4105" s="38"/>
      <c r="BB4105" s="38"/>
      <c r="BC4105" s="38"/>
      <c r="BD4105" s="38"/>
      <c r="BE4105" s="38"/>
      <c r="BF4105" s="38"/>
      <c r="BG4105" s="38"/>
      <c r="BH4105" s="38"/>
      <c r="BI4105" s="38"/>
      <c r="BJ4105" s="38"/>
      <c r="BK4105" s="38"/>
      <c r="BL4105" s="38"/>
      <c r="BM4105" s="38"/>
      <c r="BN4105" s="38"/>
      <c r="BO4105" s="38"/>
      <c r="BP4105" s="38"/>
      <c r="BQ4105" s="38"/>
    </row>
    <row r="4106">
      <c r="A4106" s="16"/>
      <c r="B4106" s="145"/>
      <c r="C4106" s="146"/>
      <c r="D4106" s="146"/>
      <c r="E4106" s="16"/>
      <c r="F4106" s="91"/>
      <c r="G4106" s="16"/>
      <c r="H4106" s="320" t="str">
        <f t="shared" si="424"/>
        <v/>
      </c>
      <c r="I4106" s="16"/>
      <c r="J4106" s="16"/>
      <c r="K4106" s="16"/>
      <c r="L4106" s="16"/>
      <c r="M4106" s="15"/>
      <c r="N4106" s="15"/>
      <c r="O4106" s="16"/>
      <c r="P4106" s="16"/>
      <c r="Q4106" s="16"/>
      <c r="R4106" s="16"/>
      <c r="S4106" s="37" t="str">
        <f>IFERROR(__xludf.DUMMYFUNCTION("if(not(iserror(index(split(C4106, "" ""),2))), index(split(C4106, "" ""),1),"""")"),"")</f>
        <v/>
      </c>
      <c r="T4106" s="315" t="str">
        <f>IFERROR(__xludf.DUMMYFUNCTION("if(S4106="""",C4106,if(not(iserror(index(split(C4106, "" ""),3))), index(split(C4106, "" ""),3),index(split(C4106, "" ""),2)))"),"")</f>
        <v/>
      </c>
      <c r="U4106" s="38" t="b">
        <f t="shared" si="423"/>
        <v>0</v>
      </c>
      <c r="V4106" s="38"/>
      <c r="W4106" s="40"/>
      <c r="X4106" s="40"/>
      <c r="Y4106" s="40"/>
      <c r="Z4106" s="38"/>
      <c r="AA4106" s="38"/>
      <c r="AB4106" s="38"/>
      <c r="AC4106" s="38"/>
      <c r="AD4106" s="38"/>
      <c r="AE4106" s="38"/>
      <c r="AF4106" s="38"/>
      <c r="AG4106" s="38"/>
      <c r="AH4106" s="38"/>
      <c r="AI4106" s="38"/>
      <c r="AJ4106" s="38"/>
      <c r="AK4106" s="38"/>
      <c r="AL4106" s="38"/>
      <c r="AM4106" s="38"/>
      <c r="AN4106" s="38"/>
      <c r="AO4106" s="38"/>
      <c r="AP4106" s="38"/>
      <c r="AQ4106" s="38"/>
      <c r="AR4106" s="38"/>
      <c r="AS4106" s="38"/>
      <c r="AT4106" s="38"/>
      <c r="AU4106" s="38"/>
      <c r="AV4106" s="38"/>
      <c r="AW4106" s="38"/>
      <c r="AX4106" s="38"/>
      <c r="AY4106" s="38"/>
      <c r="AZ4106" s="38"/>
      <c r="BA4106" s="38"/>
      <c r="BB4106" s="38"/>
      <c r="BC4106" s="38"/>
      <c r="BD4106" s="38"/>
      <c r="BE4106" s="38"/>
      <c r="BF4106" s="38"/>
      <c r="BG4106" s="38"/>
      <c r="BH4106" s="38"/>
      <c r="BI4106" s="38"/>
      <c r="BJ4106" s="38"/>
      <c r="BK4106" s="38"/>
      <c r="BL4106" s="38"/>
      <c r="BM4106" s="38"/>
      <c r="BN4106" s="38"/>
      <c r="BO4106" s="38"/>
      <c r="BP4106" s="38"/>
      <c r="BQ4106" s="38"/>
    </row>
    <row r="4107">
      <c r="A4107" s="16"/>
      <c r="B4107" s="145"/>
      <c r="C4107" s="146"/>
      <c r="D4107" s="146"/>
      <c r="E4107" s="16"/>
      <c r="F4107" s="91"/>
      <c r="G4107" s="16"/>
      <c r="H4107" s="320" t="str">
        <f t="shared" si="424"/>
        <v/>
      </c>
      <c r="I4107" s="16"/>
      <c r="J4107" s="16"/>
      <c r="K4107" s="16"/>
      <c r="L4107" s="16"/>
      <c r="M4107" s="15"/>
      <c r="N4107" s="15"/>
      <c r="O4107" s="16"/>
      <c r="P4107" s="16"/>
      <c r="Q4107" s="16"/>
      <c r="R4107" s="16"/>
      <c r="S4107" s="37" t="str">
        <f>IFERROR(__xludf.DUMMYFUNCTION("if(not(iserror(index(split(C4107, "" ""),2))), index(split(C4107, "" ""),1),"""")"),"")</f>
        <v/>
      </c>
      <c r="T4107" s="315" t="str">
        <f>IFERROR(__xludf.DUMMYFUNCTION("if(S4107="""",C4107,if(not(iserror(index(split(C4107, "" ""),3))), index(split(C4107, "" ""),3),index(split(C4107, "" ""),2)))"),"")</f>
        <v/>
      </c>
      <c r="U4107" s="38" t="b">
        <f t="shared" si="423"/>
        <v>0</v>
      </c>
      <c r="V4107" s="38"/>
      <c r="W4107" s="40"/>
      <c r="X4107" s="40"/>
      <c r="Y4107" s="40"/>
      <c r="Z4107" s="38"/>
      <c r="AA4107" s="38"/>
      <c r="AB4107" s="38"/>
      <c r="AC4107" s="38"/>
      <c r="AD4107" s="38"/>
      <c r="AE4107" s="38"/>
      <c r="AF4107" s="38"/>
      <c r="AG4107" s="38"/>
      <c r="AH4107" s="38"/>
      <c r="AI4107" s="38"/>
      <c r="AJ4107" s="38"/>
      <c r="AK4107" s="38"/>
      <c r="AL4107" s="38"/>
      <c r="AM4107" s="38"/>
      <c r="AN4107" s="38"/>
      <c r="AO4107" s="38"/>
      <c r="AP4107" s="38"/>
      <c r="AQ4107" s="38"/>
      <c r="AR4107" s="38"/>
      <c r="AS4107" s="38"/>
      <c r="AT4107" s="38"/>
      <c r="AU4107" s="38"/>
      <c r="AV4107" s="38"/>
      <c r="AW4107" s="38"/>
      <c r="AX4107" s="38"/>
      <c r="AY4107" s="38"/>
      <c r="AZ4107" s="38"/>
      <c r="BA4107" s="38"/>
      <c r="BB4107" s="38"/>
      <c r="BC4107" s="38"/>
      <c r="BD4107" s="38"/>
      <c r="BE4107" s="38"/>
      <c r="BF4107" s="38"/>
      <c r="BG4107" s="38"/>
      <c r="BH4107" s="38"/>
      <c r="BI4107" s="38"/>
      <c r="BJ4107" s="38"/>
      <c r="BK4107" s="38"/>
      <c r="BL4107" s="38"/>
      <c r="BM4107" s="38"/>
      <c r="BN4107" s="38"/>
      <c r="BO4107" s="38"/>
      <c r="BP4107" s="38"/>
      <c r="BQ4107" s="38"/>
    </row>
    <row r="4108">
      <c r="A4108" s="16"/>
      <c r="B4108" s="145"/>
      <c r="C4108" s="146"/>
      <c r="D4108" s="146"/>
      <c r="E4108" s="16"/>
      <c r="F4108" s="91"/>
      <c r="G4108" s="16"/>
      <c r="H4108" s="320" t="str">
        <f t="shared" si="424"/>
        <v/>
      </c>
      <c r="I4108" s="16"/>
      <c r="J4108" s="16"/>
      <c r="K4108" s="16"/>
      <c r="L4108" s="16"/>
      <c r="M4108" s="15"/>
      <c r="N4108" s="15"/>
      <c r="O4108" s="16"/>
      <c r="P4108" s="16"/>
      <c r="Q4108" s="16"/>
      <c r="R4108" s="16"/>
      <c r="S4108" s="37" t="str">
        <f>IFERROR(__xludf.DUMMYFUNCTION("if(not(iserror(index(split(C4108, "" ""),2))), index(split(C4108, "" ""),1),"""")"),"")</f>
        <v/>
      </c>
      <c r="T4108" s="315" t="str">
        <f>IFERROR(__xludf.DUMMYFUNCTION("if(S4108="""",C4108,if(not(iserror(index(split(C4108, "" ""),3))), index(split(C4108, "" ""),3),index(split(C4108, "" ""),2)))"),"")</f>
        <v/>
      </c>
      <c r="U4108" s="38" t="b">
        <f t="shared" si="423"/>
        <v>0</v>
      </c>
      <c r="V4108" s="38"/>
      <c r="W4108" s="40"/>
      <c r="X4108" s="40"/>
      <c r="Y4108" s="40"/>
      <c r="Z4108" s="38"/>
      <c r="AA4108" s="38"/>
      <c r="AB4108" s="38"/>
      <c r="AC4108" s="38"/>
      <c r="AD4108" s="38"/>
      <c r="AE4108" s="38"/>
      <c r="AF4108" s="38"/>
      <c r="AG4108" s="38"/>
      <c r="AH4108" s="38"/>
      <c r="AI4108" s="38"/>
      <c r="AJ4108" s="38"/>
      <c r="AK4108" s="38"/>
      <c r="AL4108" s="38"/>
      <c r="AM4108" s="38"/>
      <c r="AN4108" s="38"/>
      <c r="AO4108" s="38"/>
      <c r="AP4108" s="38"/>
      <c r="AQ4108" s="38"/>
      <c r="AR4108" s="38"/>
      <c r="AS4108" s="38"/>
      <c r="AT4108" s="38"/>
      <c r="AU4108" s="38"/>
      <c r="AV4108" s="38"/>
      <c r="AW4108" s="38"/>
      <c r="AX4108" s="38"/>
      <c r="AY4108" s="38"/>
      <c r="AZ4108" s="38"/>
      <c r="BA4108" s="38"/>
      <c r="BB4108" s="38"/>
      <c r="BC4108" s="38"/>
      <c r="BD4108" s="38"/>
      <c r="BE4108" s="38"/>
      <c r="BF4108" s="38"/>
      <c r="BG4108" s="38"/>
      <c r="BH4108" s="38"/>
      <c r="BI4108" s="38"/>
      <c r="BJ4108" s="38"/>
      <c r="BK4108" s="38"/>
      <c r="BL4108" s="38"/>
      <c r="BM4108" s="38"/>
      <c r="BN4108" s="38"/>
      <c r="BO4108" s="38"/>
      <c r="BP4108" s="38"/>
      <c r="BQ4108" s="38"/>
    </row>
    <row r="4109">
      <c r="A4109" s="16"/>
      <c r="B4109" s="145"/>
      <c r="C4109" s="146"/>
      <c r="D4109" s="146"/>
      <c r="E4109" s="16"/>
      <c r="F4109" s="91"/>
      <c r="G4109" s="16"/>
      <c r="H4109" s="320" t="str">
        <f t="shared" si="424"/>
        <v/>
      </c>
      <c r="I4109" s="16"/>
      <c r="J4109" s="16"/>
      <c r="K4109" s="16"/>
      <c r="L4109" s="16"/>
      <c r="M4109" s="15"/>
      <c r="N4109" s="15"/>
      <c r="O4109" s="16"/>
      <c r="P4109" s="16"/>
      <c r="Q4109" s="16"/>
      <c r="R4109" s="16"/>
      <c r="S4109" s="37" t="str">
        <f>IFERROR(__xludf.DUMMYFUNCTION("if(not(iserror(index(split(C4109, "" ""),2))), index(split(C4109, "" ""),1),"""")"),"")</f>
        <v/>
      </c>
      <c r="T4109" s="315" t="str">
        <f>IFERROR(__xludf.DUMMYFUNCTION("if(S4109="""",C4109,if(not(iserror(index(split(C4109, "" ""),3))), index(split(C4109, "" ""),3),index(split(C4109, "" ""),2)))"),"")</f>
        <v/>
      </c>
      <c r="U4109" s="38" t="b">
        <f t="shared" si="423"/>
        <v>0</v>
      </c>
      <c r="V4109" s="38"/>
      <c r="W4109" s="40"/>
      <c r="X4109" s="40"/>
      <c r="Y4109" s="40"/>
      <c r="Z4109" s="38"/>
      <c r="AA4109" s="38"/>
      <c r="AB4109" s="38"/>
      <c r="AC4109" s="38"/>
      <c r="AD4109" s="38"/>
      <c r="AE4109" s="38"/>
      <c r="AF4109" s="38"/>
      <c r="AG4109" s="38"/>
      <c r="AH4109" s="38"/>
      <c r="AI4109" s="38"/>
      <c r="AJ4109" s="38"/>
      <c r="AK4109" s="38"/>
      <c r="AL4109" s="38"/>
      <c r="AM4109" s="38"/>
      <c r="AN4109" s="38"/>
      <c r="AO4109" s="38"/>
      <c r="AP4109" s="38"/>
      <c r="AQ4109" s="38"/>
      <c r="AR4109" s="38"/>
      <c r="AS4109" s="38"/>
      <c r="AT4109" s="38"/>
      <c r="AU4109" s="38"/>
      <c r="AV4109" s="38"/>
      <c r="AW4109" s="38"/>
      <c r="AX4109" s="38"/>
      <c r="AY4109" s="38"/>
      <c r="AZ4109" s="38"/>
      <c r="BA4109" s="38"/>
      <c r="BB4109" s="38"/>
      <c r="BC4109" s="38"/>
      <c r="BD4109" s="38"/>
      <c r="BE4109" s="38"/>
      <c r="BF4109" s="38"/>
      <c r="BG4109" s="38"/>
      <c r="BH4109" s="38"/>
      <c r="BI4109" s="38"/>
      <c r="BJ4109" s="38"/>
      <c r="BK4109" s="38"/>
      <c r="BL4109" s="38"/>
      <c r="BM4109" s="38"/>
      <c r="BN4109" s="38"/>
      <c r="BO4109" s="38"/>
      <c r="BP4109" s="38"/>
      <c r="BQ4109" s="38"/>
    </row>
    <row r="4110">
      <c r="A4110" s="16"/>
      <c r="B4110" s="145"/>
      <c r="C4110" s="146"/>
      <c r="D4110" s="146"/>
      <c r="E4110" s="16"/>
      <c r="F4110" s="91"/>
      <c r="G4110" s="16"/>
      <c r="H4110" s="320" t="str">
        <f t="shared" si="424"/>
        <v/>
      </c>
      <c r="I4110" s="16"/>
      <c r="J4110" s="16"/>
      <c r="K4110" s="16"/>
      <c r="L4110" s="16"/>
      <c r="M4110" s="15"/>
      <c r="N4110" s="15"/>
      <c r="O4110" s="16"/>
      <c r="P4110" s="16"/>
      <c r="Q4110" s="16"/>
      <c r="R4110" s="16"/>
      <c r="S4110" s="37" t="str">
        <f>IFERROR(__xludf.DUMMYFUNCTION("if(not(iserror(index(split(C4110, "" ""),2))), index(split(C4110, "" ""),1),"""")"),"")</f>
        <v/>
      </c>
      <c r="T4110" s="315" t="str">
        <f>IFERROR(__xludf.DUMMYFUNCTION("if(S4110="""",C4110,if(not(iserror(index(split(C4110, "" ""),3))), index(split(C4110, "" ""),3),index(split(C4110, "" ""),2)))"),"")</f>
        <v/>
      </c>
      <c r="U4110" s="38" t="b">
        <f t="shared" si="423"/>
        <v>0</v>
      </c>
      <c r="V4110" s="38"/>
      <c r="W4110" s="40"/>
      <c r="X4110" s="40"/>
      <c r="Y4110" s="40"/>
      <c r="Z4110" s="38"/>
      <c r="AA4110" s="38"/>
      <c r="AB4110" s="38"/>
      <c r="AC4110" s="38"/>
      <c r="AD4110" s="38"/>
      <c r="AE4110" s="38"/>
      <c r="AF4110" s="38"/>
      <c r="AG4110" s="38"/>
      <c r="AH4110" s="38"/>
      <c r="AI4110" s="38"/>
      <c r="AJ4110" s="38"/>
      <c r="AK4110" s="38"/>
      <c r="AL4110" s="38"/>
      <c r="AM4110" s="38"/>
      <c r="AN4110" s="38"/>
      <c r="AO4110" s="38"/>
      <c r="AP4110" s="38"/>
      <c r="AQ4110" s="38"/>
      <c r="AR4110" s="38"/>
      <c r="AS4110" s="38"/>
      <c r="AT4110" s="38"/>
      <c r="AU4110" s="38"/>
      <c r="AV4110" s="38"/>
      <c r="AW4110" s="38"/>
      <c r="AX4110" s="38"/>
      <c r="AY4110" s="38"/>
      <c r="AZ4110" s="38"/>
      <c r="BA4110" s="38"/>
      <c r="BB4110" s="38"/>
      <c r="BC4110" s="38"/>
      <c r="BD4110" s="38"/>
      <c r="BE4110" s="38"/>
      <c r="BF4110" s="38"/>
      <c r="BG4110" s="38"/>
      <c r="BH4110" s="38"/>
      <c r="BI4110" s="38"/>
      <c r="BJ4110" s="38"/>
      <c r="BK4110" s="38"/>
      <c r="BL4110" s="38"/>
      <c r="BM4110" s="38"/>
      <c r="BN4110" s="38"/>
      <c r="BO4110" s="38"/>
      <c r="BP4110" s="38"/>
      <c r="BQ4110" s="38"/>
    </row>
    <row r="4111">
      <c r="A4111" s="16"/>
      <c r="B4111" s="145"/>
      <c r="C4111" s="146"/>
      <c r="D4111" s="146"/>
      <c r="E4111" s="16"/>
      <c r="F4111" s="91"/>
      <c r="G4111" s="16"/>
      <c r="H4111" s="320" t="str">
        <f t="shared" si="424"/>
        <v/>
      </c>
      <c r="I4111" s="16"/>
      <c r="J4111" s="16"/>
      <c r="K4111" s="16"/>
      <c r="L4111" s="16"/>
      <c r="M4111" s="15"/>
      <c r="N4111" s="15"/>
      <c r="O4111" s="16"/>
      <c r="P4111" s="16"/>
      <c r="Q4111" s="16"/>
      <c r="R4111" s="16"/>
      <c r="S4111" s="37" t="str">
        <f>IFERROR(__xludf.DUMMYFUNCTION("if(not(iserror(index(split(C4111, "" ""),2))), index(split(C4111, "" ""),1),"""")"),"")</f>
        <v/>
      </c>
      <c r="T4111" s="315" t="str">
        <f>IFERROR(__xludf.DUMMYFUNCTION("if(S4111="""",C4111,if(not(iserror(index(split(C4111, "" ""),3))), index(split(C4111, "" ""),3),index(split(C4111, "" ""),2)))"),"")</f>
        <v/>
      </c>
      <c r="U4111" s="38" t="b">
        <f t="shared" si="423"/>
        <v>0</v>
      </c>
      <c r="V4111" s="38"/>
      <c r="W4111" s="40"/>
      <c r="X4111" s="40"/>
      <c r="Y4111" s="40"/>
      <c r="Z4111" s="38"/>
      <c r="AA4111" s="38"/>
      <c r="AB4111" s="38"/>
      <c r="AC4111" s="38"/>
      <c r="AD4111" s="38"/>
      <c r="AE4111" s="38"/>
      <c r="AF4111" s="38"/>
      <c r="AG4111" s="38"/>
      <c r="AH4111" s="38"/>
      <c r="AI4111" s="38"/>
      <c r="AJ4111" s="38"/>
      <c r="AK4111" s="38"/>
      <c r="AL4111" s="38"/>
      <c r="AM4111" s="38"/>
      <c r="AN4111" s="38"/>
      <c r="AO4111" s="38"/>
      <c r="AP4111" s="38"/>
      <c r="AQ4111" s="38"/>
      <c r="AR4111" s="38"/>
      <c r="AS4111" s="38"/>
      <c r="AT4111" s="38"/>
      <c r="AU4111" s="38"/>
      <c r="AV4111" s="38"/>
      <c r="AW4111" s="38"/>
      <c r="AX4111" s="38"/>
      <c r="AY4111" s="38"/>
      <c r="AZ4111" s="38"/>
      <c r="BA4111" s="38"/>
      <c r="BB4111" s="38"/>
      <c r="BC4111" s="38"/>
      <c r="BD4111" s="38"/>
      <c r="BE4111" s="38"/>
      <c r="BF4111" s="38"/>
      <c r="BG4111" s="38"/>
      <c r="BH4111" s="38"/>
      <c r="BI4111" s="38"/>
      <c r="BJ4111" s="38"/>
      <c r="BK4111" s="38"/>
      <c r="BL4111" s="38"/>
      <c r="BM4111" s="38"/>
      <c r="BN4111" s="38"/>
      <c r="BO4111" s="38"/>
      <c r="BP4111" s="38"/>
      <c r="BQ4111" s="38"/>
    </row>
    <row r="4112">
      <c r="A4112" s="16"/>
      <c r="B4112" s="145"/>
      <c r="C4112" s="146"/>
      <c r="D4112" s="146"/>
      <c r="E4112" s="16"/>
      <c r="F4112" s="91"/>
      <c r="G4112" s="16"/>
      <c r="H4112" s="320" t="str">
        <f t="shared" si="424"/>
        <v/>
      </c>
      <c r="I4112" s="16"/>
      <c r="J4112" s="16"/>
      <c r="K4112" s="16"/>
      <c r="L4112" s="16"/>
      <c r="M4112" s="15"/>
      <c r="N4112" s="15"/>
      <c r="O4112" s="16"/>
      <c r="P4112" s="16"/>
      <c r="Q4112" s="16"/>
      <c r="R4112" s="16"/>
      <c r="S4112" s="37" t="str">
        <f>IFERROR(__xludf.DUMMYFUNCTION("if(not(iserror(index(split(C4112, "" ""),2))), index(split(C4112, "" ""),1),"""")"),"")</f>
        <v/>
      </c>
      <c r="T4112" s="315" t="str">
        <f>IFERROR(__xludf.DUMMYFUNCTION("if(S4112="""",C4112,if(not(iserror(index(split(C4112, "" ""),3))), index(split(C4112, "" ""),3),index(split(C4112, "" ""),2)))"),"")</f>
        <v/>
      </c>
      <c r="U4112" s="38" t="b">
        <f t="shared" si="423"/>
        <v>0</v>
      </c>
      <c r="V4112" s="38"/>
      <c r="W4112" s="40"/>
      <c r="X4112" s="40"/>
      <c r="Y4112" s="40"/>
      <c r="Z4112" s="38"/>
      <c r="AA4112" s="38"/>
      <c r="AB4112" s="38"/>
      <c r="AC4112" s="38"/>
      <c r="AD4112" s="38"/>
      <c r="AE4112" s="38"/>
      <c r="AF4112" s="38"/>
      <c r="AG4112" s="38"/>
      <c r="AH4112" s="38"/>
      <c r="AI4112" s="38"/>
      <c r="AJ4112" s="38"/>
      <c r="AK4112" s="38"/>
      <c r="AL4112" s="38"/>
      <c r="AM4112" s="38"/>
      <c r="AN4112" s="38"/>
      <c r="AO4112" s="38"/>
      <c r="AP4112" s="38"/>
      <c r="AQ4112" s="38"/>
      <c r="AR4112" s="38"/>
      <c r="AS4112" s="38"/>
      <c r="AT4112" s="38"/>
      <c r="AU4112" s="38"/>
      <c r="AV4112" s="38"/>
      <c r="AW4112" s="38"/>
      <c r="AX4112" s="38"/>
      <c r="AY4112" s="38"/>
      <c r="AZ4112" s="38"/>
      <c r="BA4112" s="38"/>
      <c r="BB4112" s="38"/>
      <c r="BC4112" s="38"/>
      <c r="BD4112" s="38"/>
      <c r="BE4112" s="38"/>
      <c r="BF4112" s="38"/>
      <c r="BG4112" s="38"/>
      <c r="BH4112" s="38"/>
      <c r="BI4112" s="38"/>
      <c r="BJ4112" s="38"/>
      <c r="BK4112" s="38"/>
      <c r="BL4112" s="38"/>
      <c r="BM4112" s="38"/>
      <c r="BN4112" s="38"/>
      <c r="BO4112" s="38"/>
      <c r="BP4112" s="38"/>
      <c r="BQ4112" s="38"/>
    </row>
    <row r="4113">
      <c r="A4113" s="16"/>
      <c r="B4113" s="145"/>
      <c r="C4113" s="146"/>
      <c r="D4113" s="146"/>
      <c r="E4113" s="16"/>
      <c r="F4113" s="91"/>
      <c r="G4113" s="16"/>
      <c r="H4113" s="320" t="str">
        <f t="shared" si="424"/>
        <v/>
      </c>
      <c r="I4113" s="16"/>
      <c r="J4113" s="16"/>
      <c r="K4113" s="16"/>
      <c r="L4113" s="16"/>
      <c r="M4113" s="15"/>
      <c r="N4113" s="15"/>
      <c r="O4113" s="16"/>
      <c r="P4113" s="16"/>
      <c r="Q4113" s="16"/>
      <c r="R4113" s="16"/>
      <c r="S4113" s="37" t="str">
        <f>IFERROR(__xludf.DUMMYFUNCTION("if(not(iserror(index(split(C4113, "" ""),2))), index(split(C4113, "" ""),1),"""")"),"")</f>
        <v/>
      </c>
      <c r="T4113" s="315" t="str">
        <f>IFERROR(__xludf.DUMMYFUNCTION("if(S4113="""",C4113,if(not(iserror(index(split(C4113, "" ""),3))), index(split(C4113, "" ""),3),index(split(C4113, "" ""),2)))"),"")</f>
        <v/>
      </c>
      <c r="U4113" s="38" t="b">
        <f t="shared" si="423"/>
        <v>0</v>
      </c>
      <c r="V4113" s="38"/>
      <c r="W4113" s="40"/>
      <c r="X4113" s="40"/>
      <c r="Y4113" s="40"/>
      <c r="Z4113" s="38"/>
      <c r="AA4113" s="38"/>
      <c r="AB4113" s="38"/>
      <c r="AC4113" s="38"/>
      <c r="AD4113" s="38"/>
      <c r="AE4113" s="38"/>
      <c r="AF4113" s="38"/>
      <c r="AG4113" s="38"/>
      <c r="AH4113" s="38"/>
      <c r="AI4113" s="38"/>
      <c r="AJ4113" s="38"/>
      <c r="AK4113" s="38"/>
      <c r="AL4113" s="38"/>
      <c r="AM4113" s="38"/>
      <c r="AN4113" s="38"/>
      <c r="AO4113" s="38"/>
      <c r="AP4113" s="38"/>
      <c r="AQ4113" s="38"/>
      <c r="AR4113" s="38"/>
      <c r="AS4113" s="38"/>
      <c r="AT4113" s="38"/>
      <c r="AU4113" s="38"/>
      <c r="AV4113" s="38"/>
      <c r="AW4113" s="38"/>
      <c r="AX4113" s="38"/>
      <c r="AY4113" s="38"/>
      <c r="AZ4113" s="38"/>
      <c r="BA4113" s="38"/>
      <c r="BB4113" s="38"/>
      <c r="BC4113" s="38"/>
      <c r="BD4113" s="38"/>
      <c r="BE4113" s="38"/>
      <c r="BF4113" s="38"/>
      <c r="BG4113" s="38"/>
      <c r="BH4113" s="38"/>
      <c r="BI4113" s="38"/>
      <c r="BJ4113" s="38"/>
      <c r="BK4113" s="38"/>
      <c r="BL4113" s="38"/>
      <c r="BM4113" s="38"/>
      <c r="BN4113" s="38"/>
      <c r="BO4113" s="38"/>
      <c r="BP4113" s="38"/>
      <c r="BQ4113" s="38"/>
    </row>
    <row r="4114">
      <c r="A4114" s="16"/>
      <c r="B4114" s="145"/>
      <c r="C4114" s="146"/>
      <c r="D4114" s="146"/>
      <c r="E4114" s="16"/>
      <c r="F4114" s="91"/>
      <c r="G4114" s="16"/>
      <c r="H4114" s="320" t="str">
        <f t="shared" si="424"/>
        <v/>
      </c>
      <c r="I4114" s="16"/>
      <c r="J4114" s="16"/>
      <c r="K4114" s="16"/>
      <c r="L4114" s="16"/>
      <c r="M4114" s="15"/>
      <c r="N4114" s="15"/>
      <c r="O4114" s="16"/>
      <c r="P4114" s="16"/>
      <c r="Q4114" s="16"/>
      <c r="R4114" s="16"/>
      <c r="S4114" s="37" t="str">
        <f>IFERROR(__xludf.DUMMYFUNCTION("if(not(iserror(index(split(C4114, "" ""),2))), index(split(C4114, "" ""),1),"""")"),"")</f>
        <v/>
      </c>
      <c r="T4114" s="315" t="str">
        <f>IFERROR(__xludf.DUMMYFUNCTION("if(S4114="""",C4114,if(not(iserror(index(split(C4114, "" ""),3))), index(split(C4114, "" ""),3),index(split(C4114, "" ""),2)))"),"")</f>
        <v/>
      </c>
      <c r="U4114" s="38" t="b">
        <f t="shared" si="423"/>
        <v>0</v>
      </c>
      <c r="V4114" s="38"/>
      <c r="W4114" s="40"/>
      <c r="X4114" s="40"/>
      <c r="Y4114" s="40"/>
      <c r="Z4114" s="38"/>
      <c r="AA4114" s="38"/>
      <c r="AB4114" s="38"/>
      <c r="AC4114" s="38"/>
      <c r="AD4114" s="38"/>
      <c r="AE4114" s="38"/>
      <c r="AF4114" s="38"/>
      <c r="AG4114" s="38"/>
      <c r="AH4114" s="38"/>
      <c r="AI4114" s="38"/>
      <c r="AJ4114" s="38"/>
      <c r="AK4114" s="38"/>
      <c r="AL4114" s="38"/>
      <c r="AM4114" s="38"/>
      <c r="AN4114" s="38"/>
      <c r="AO4114" s="38"/>
      <c r="AP4114" s="38"/>
      <c r="AQ4114" s="38"/>
      <c r="AR4114" s="38"/>
      <c r="AS4114" s="38"/>
      <c r="AT4114" s="38"/>
      <c r="AU4114" s="38"/>
      <c r="AV4114" s="38"/>
      <c r="AW4114" s="38"/>
      <c r="AX4114" s="38"/>
      <c r="AY4114" s="38"/>
      <c r="AZ4114" s="38"/>
      <c r="BA4114" s="38"/>
      <c r="BB4114" s="38"/>
      <c r="BC4114" s="38"/>
      <c r="BD4114" s="38"/>
      <c r="BE4114" s="38"/>
      <c r="BF4114" s="38"/>
      <c r="BG4114" s="38"/>
      <c r="BH4114" s="38"/>
      <c r="BI4114" s="38"/>
      <c r="BJ4114" s="38"/>
      <c r="BK4114" s="38"/>
      <c r="BL4114" s="38"/>
      <c r="BM4114" s="38"/>
      <c r="BN4114" s="38"/>
      <c r="BO4114" s="38"/>
      <c r="BP4114" s="38"/>
      <c r="BQ4114" s="38"/>
    </row>
    <row r="4115">
      <c r="A4115" s="16"/>
      <c r="B4115" s="145"/>
      <c r="C4115" s="146"/>
      <c r="D4115" s="146"/>
      <c r="E4115" s="16"/>
      <c r="F4115" s="91"/>
      <c r="G4115" s="16"/>
      <c r="H4115" s="320" t="str">
        <f t="shared" si="424"/>
        <v/>
      </c>
      <c r="I4115" s="16"/>
      <c r="J4115" s="16"/>
      <c r="K4115" s="16"/>
      <c r="L4115" s="16"/>
      <c r="M4115" s="15"/>
      <c r="N4115" s="15"/>
      <c r="O4115" s="16"/>
      <c r="P4115" s="16"/>
      <c r="Q4115" s="16"/>
      <c r="R4115" s="16"/>
      <c r="S4115" s="37" t="str">
        <f>IFERROR(__xludf.DUMMYFUNCTION("if(not(iserror(index(split(C4115, "" ""),2))), index(split(C4115, "" ""),1),"""")"),"")</f>
        <v/>
      </c>
      <c r="T4115" s="315" t="str">
        <f>IFERROR(__xludf.DUMMYFUNCTION("if(S4115="""",C4115,if(not(iserror(index(split(C4115, "" ""),3))), index(split(C4115, "" ""),3),index(split(C4115, "" ""),2)))"),"")</f>
        <v/>
      </c>
      <c r="U4115" s="38" t="b">
        <f t="shared" si="423"/>
        <v>0</v>
      </c>
      <c r="V4115" s="38"/>
      <c r="W4115" s="40"/>
      <c r="X4115" s="40"/>
      <c r="Y4115" s="40"/>
      <c r="Z4115" s="38"/>
      <c r="AA4115" s="38"/>
      <c r="AB4115" s="38"/>
      <c r="AC4115" s="38"/>
      <c r="AD4115" s="38"/>
      <c r="AE4115" s="38"/>
      <c r="AF4115" s="38"/>
      <c r="AG4115" s="38"/>
      <c r="AH4115" s="38"/>
      <c r="AI4115" s="38"/>
      <c r="AJ4115" s="38"/>
      <c r="AK4115" s="38"/>
      <c r="AL4115" s="38"/>
      <c r="AM4115" s="38"/>
      <c r="AN4115" s="38"/>
      <c r="AO4115" s="38"/>
      <c r="AP4115" s="38"/>
      <c r="AQ4115" s="38"/>
      <c r="AR4115" s="38"/>
      <c r="AS4115" s="38"/>
      <c r="AT4115" s="38"/>
      <c r="AU4115" s="38"/>
      <c r="AV4115" s="38"/>
      <c r="AW4115" s="38"/>
      <c r="AX4115" s="38"/>
      <c r="AY4115" s="38"/>
      <c r="AZ4115" s="38"/>
      <c r="BA4115" s="38"/>
      <c r="BB4115" s="38"/>
      <c r="BC4115" s="38"/>
      <c r="BD4115" s="38"/>
      <c r="BE4115" s="38"/>
      <c r="BF4115" s="38"/>
      <c r="BG4115" s="38"/>
      <c r="BH4115" s="38"/>
      <c r="BI4115" s="38"/>
      <c r="BJ4115" s="38"/>
      <c r="BK4115" s="38"/>
      <c r="BL4115" s="38"/>
      <c r="BM4115" s="38"/>
      <c r="BN4115" s="38"/>
      <c r="BO4115" s="38"/>
      <c r="BP4115" s="38"/>
      <c r="BQ4115" s="38"/>
    </row>
    <row r="4116">
      <c r="A4116" s="16"/>
      <c r="B4116" s="145"/>
      <c r="C4116" s="146"/>
      <c r="D4116" s="146"/>
      <c r="E4116" s="16"/>
      <c r="F4116" s="91"/>
      <c r="G4116" s="16"/>
      <c r="H4116" s="320" t="str">
        <f t="shared" si="424"/>
        <v/>
      </c>
      <c r="I4116" s="16"/>
      <c r="J4116" s="16"/>
      <c r="K4116" s="16"/>
      <c r="L4116" s="16"/>
      <c r="M4116" s="15"/>
      <c r="N4116" s="15"/>
      <c r="O4116" s="16"/>
      <c r="P4116" s="16"/>
      <c r="Q4116" s="16"/>
      <c r="R4116" s="16"/>
      <c r="S4116" s="37" t="str">
        <f>IFERROR(__xludf.DUMMYFUNCTION("if(not(iserror(index(split(C4116, "" ""),2))), index(split(C4116, "" ""),1),"""")"),"")</f>
        <v/>
      </c>
      <c r="T4116" s="315" t="str">
        <f>IFERROR(__xludf.DUMMYFUNCTION("if(S4116="""",C4116,if(not(iserror(index(split(C4116, "" ""),3))), index(split(C4116, "" ""),3),index(split(C4116, "" ""),2)))"),"")</f>
        <v/>
      </c>
      <c r="U4116" s="38" t="b">
        <f t="shared" si="423"/>
        <v>0</v>
      </c>
      <c r="V4116" s="38"/>
      <c r="W4116" s="40"/>
      <c r="X4116" s="40"/>
      <c r="Y4116" s="40"/>
      <c r="Z4116" s="38"/>
      <c r="AA4116" s="38"/>
      <c r="AB4116" s="38"/>
      <c r="AC4116" s="38"/>
      <c r="AD4116" s="38"/>
      <c r="AE4116" s="38"/>
      <c r="AF4116" s="38"/>
      <c r="AG4116" s="38"/>
      <c r="AH4116" s="38"/>
      <c r="AI4116" s="38"/>
      <c r="AJ4116" s="38"/>
      <c r="AK4116" s="38"/>
      <c r="AL4116" s="38"/>
      <c r="AM4116" s="38"/>
      <c r="AN4116" s="38"/>
      <c r="AO4116" s="38"/>
      <c r="AP4116" s="38"/>
      <c r="AQ4116" s="38"/>
      <c r="AR4116" s="38"/>
      <c r="AS4116" s="38"/>
      <c r="AT4116" s="38"/>
      <c r="AU4116" s="38"/>
      <c r="AV4116" s="38"/>
      <c r="AW4116" s="38"/>
      <c r="AX4116" s="38"/>
      <c r="AY4116" s="38"/>
      <c r="AZ4116" s="38"/>
      <c r="BA4116" s="38"/>
      <c r="BB4116" s="38"/>
      <c r="BC4116" s="38"/>
      <c r="BD4116" s="38"/>
      <c r="BE4116" s="38"/>
      <c r="BF4116" s="38"/>
      <c r="BG4116" s="38"/>
      <c r="BH4116" s="38"/>
      <c r="BI4116" s="38"/>
      <c r="BJ4116" s="38"/>
      <c r="BK4116" s="38"/>
      <c r="BL4116" s="38"/>
      <c r="BM4116" s="38"/>
      <c r="BN4116" s="38"/>
      <c r="BO4116" s="38"/>
      <c r="BP4116" s="38"/>
      <c r="BQ4116" s="38"/>
    </row>
    <row r="4117">
      <c r="A4117" s="16"/>
      <c r="B4117" s="145"/>
      <c r="C4117" s="146"/>
      <c r="D4117" s="146"/>
      <c r="E4117" s="16"/>
      <c r="F4117" s="91"/>
      <c r="G4117" s="16"/>
      <c r="H4117" s="320" t="str">
        <f t="shared" si="424"/>
        <v/>
      </c>
      <c r="I4117" s="16"/>
      <c r="J4117" s="16"/>
      <c r="K4117" s="16"/>
      <c r="L4117" s="16"/>
      <c r="M4117" s="15"/>
      <c r="N4117" s="15"/>
      <c r="O4117" s="16"/>
      <c r="P4117" s="16"/>
      <c r="Q4117" s="16"/>
      <c r="R4117" s="16"/>
      <c r="S4117" s="37" t="str">
        <f>IFERROR(__xludf.DUMMYFUNCTION("if(not(iserror(index(split(C4117, "" ""),2))), index(split(C4117, "" ""),1),"""")"),"")</f>
        <v/>
      </c>
      <c r="T4117" s="315" t="str">
        <f>IFERROR(__xludf.DUMMYFUNCTION("if(S4117="""",C4117,if(not(iserror(index(split(C4117, "" ""),3))), index(split(C4117, "" ""),3),index(split(C4117, "" ""),2)))"),"")</f>
        <v/>
      </c>
      <c r="U4117" s="38" t="b">
        <f t="shared" si="423"/>
        <v>0</v>
      </c>
      <c r="V4117" s="38"/>
      <c r="W4117" s="40"/>
      <c r="X4117" s="40"/>
      <c r="Y4117" s="40"/>
      <c r="Z4117" s="38"/>
      <c r="AA4117" s="38"/>
      <c r="AB4117" s="38"/>
      <c r="AC4117" s="38"/>
      <c r="AD4117" s="38"/>
      <c r="AE4117" s="38"/>
      <c r="AF4117" s="38"/>
      <c r="AG4117" s="38"/>
      <c r="AH4117" s="38"/>
      <c r="AI4117" s="38"/>
      <c r="AJ4117" s="38"/>
      <c r="AK4117" s="38"/>
      <c r="AL4117" s="38"/>
      <c r="AM4117" s="38"/>
      <c r="AN4117" s="38"/>
      <c r="AO4117" s="38"/>
      <c r="AP4117" s="38"/>
      <c r="AQ4117" s="38"/>
      <c r="AR4117" s="38"/>
      <c r="AS4117" s="38"/>
      <c r="AT4117" s="38"/>
      <c r="AU4117" s="38"/>
      <c r="AV4117" s="38"/>
      <c r="AW4117" s="38"/>
      <c r="AX4117" s="38"/>
      <c r="AY4117" s="38"/>
      <c r="AZ4117" s="38"/>
      <c r="BA4117" s="38"/>
      <c r="BB4117" s="38"/>
      <c r="BC4117" s="38"/>
      <c r="BD4117" s="38"/>
      <c r="BE4117" s="38"/>
      <c r="BF4117" s="38"/>
      <c r="BG4117" s="38"/>
      <c r="BH4117" s="38"/>
      <c r="BI4117" s="38"/>
      <c r="BJ4117" s="38"/>
      <c r="BK4117" s="38"/>
      <c r="BL4117" s="38"/>
      <c r="BM4117" s="38"/>
      <c r="BN4117" s="38"/>
      <c r="BO4117" s="38"/>
      <c r="BP4117" s="38"/>
      <c r="BQ4117" s="38"/>
    </row>
    <row r="4118">
      <c r="A4118" s="16"/>
      <c r="B4118" s="145"/>
      <c r="C4118" s="146"/>
      <c r="D4118" s="146"/>
      <c r="E4118" s="16"/>
      <c r="F4118" s="91"/>
      <c r="G4118" s="16"/>
      <c r="H4118" s="320" t="str">
        <f t="shared" si="424"/>
        <v/>
      </c>
      <c r="I4118" s="16"/>
      <c r="J4118" s="16"/>
      <c r="K4118" s="16"/>
      <c r="L4118" s="16"/>
      <c r="M4118" s="15"/>
      <c r="N4118" s="15"/>
      <c r="O4118" s="16"/>
      <c r="P4118" s="16"/>
      <c r="Q4118" s="16"/>
      <c r="R4118" s="16"/>
      <c r="S4118" s="37" t="str">
        <f>IFERROR(__xludf.DUMMYFUNCTION("if(not(iserror(index(split(C4118, "" ""),2))), index(split(C4118, "" ""),1),"""")"),"")</f>
        <v/>
      </c>
      <c r="T4118" s="315" t="str">
        <f>IFERROR(__xludf.DUMMYFUNCTION("if(S4118="""",C4118,if(not(iserror(index(split(C4118, "" ""),3))), index(split(C4118, "" ""),3),index(split(C4118, "" ""),2)))"),"")</f>
        <v/>
      </c>
      <c r="U4118" s="38" t="b">
        <f t="shared" si="423"/>
        <v>0</v>
      </c>
      <c r="V4118" s="38"/>
      <c r="W4118" s="40"/>
      <c r="X4118" s="40"/>
      <c r="Y4118" s="40"/>
      <c r="Z4118" s="38"/>
      <c r="AA4118" s="38"/>
      <c r="AB4118" s="38"/>
      <c r="AC4118" s="38"/>
      <c r="AD4118" s="38"/>
      <c r="AE4118" s="38"/>
      <c r="AF4118" s="38"/>
      <c r="AG4118" s="38"/>
      <c r="AH4118" s="38"/>
      <c r="AI4118" s="38"/>
      <c r="AJ4118" s="38"/>
      <c r="AK4118" s="38"/>
      <c r="AL4118" s="38"/>
      <c r="AM4118" s="38"/>
      <c r="AN4118" s="38"/>
      <c r="AO4118" s="38"/>
      <c r="AP4118" s="38"/>
      <c r="AQ4118" s="38"/>
      <c r="AR4118" s="38"/>
      <c r="AS4118" s="38"/>
      <c r="AT4118" s="38"/>
      <c r="AU4118" s="38"/>
      <c r="AV4118" s="38"/>
      <c r="AW4118" s="38"/>
      <c r="AX4118" s="38"/>
      <c r="AY4118" s="38"/>
      <c r="AZ4118" s="38"/>
      <c r="BA4118" s="38"/>
      <c r="BB4118" s="38"/>
      <c r="BC4118" s="38"/>
      <c r="BD4118" s="38"/>
      <c r="BE4118" s="38"/>
      <c r="BF4118" s="38"/>
      <c r="BG4118" s="38"/>
      <c r="BH4118" s="38"/>
      <c r="BI4118" s="38"/>
      <c r="BJ4118" s="38"/>
      <c r="BK4118" s="38"/>
      <c r="BL4118" s="38"/>
      <c r="BM4118" s="38"/>
      <c r="BN4118" s="38"/>
      <c r="BO4118" s="38"/>
      <c r="BP4118" s="38"/>
      <c r="BQ4118" s="38"/>
    </row>
    <row r="4119">
      <c r="A4119" s="16"/>
      <c r="B4119" s="145"/>
      <c r="C4119" s="146"/>
      <c r="D4119" s="146"/>
      <c r="E4119" s="16"/>
      <c r="F4119" s="91"/>
      <c r="G4119" s="16"/>
      <c r="H4119" s="320" t="str">
        <f t="shared" si="424"/>
        <v/>
      </c>
      <c r="I4119" s="16"/>
      <c r="J4119" s="16"/>
      <c r="K4119" s="16"/>
      <c r="L4119" s="16"/>
      <c r="M4119" s="15"/>
      <c r="N4119" s="15"/>
      <c r="O4119" s="16"/>
      <c r="P4119" s="16"/>
      <c r="Q4119" s="16"/>
      <c r="R4119" s="16"/>
      <c r="S4119" s="37" t="str">
        <f>IFERROR(__xludf.DUMMYFUNCTION("if(not(iserror(index(split(C4119, "" ""),2))), index(split(C4119, "" ""),1),"""")"),"")</f>
        <v/>
      </c>
      <c r="T4119" s="315" t="str">
        <f>IFERROR(__xludf.DUMMYFUNCTION("if(S4119="""",C4119,if(not(iserror(index(split(C4119, "" ""),3))), index(split(C4119, "" ""),3),index(split(C4119, "" ""),2)))"),"")</f>
        <v/>
      </c>
      <c r="U4119" s="38" t="b">
        <f t="shared" si="423"/>
        <v>0</v>
      </c>
      <c r="V4119" s="38"/>
      <c r="W4119" s="40"/>
      <c r="X4119" s="40"/>
      <c r="Y4119" s="40"/>
      <c r="Z4119" s="38"/>
      <c r="AA4119" s="38"/>
      <c r="AB4119" s="38"/>
      <c r="AC4119" s="38"/>
      <c r="AD4119" s="38"/>
      <c r="AE4119" s="38"/>
      <c r="AF4119" s="38"/>
      <c r="AG4119" s="38"/>
      <c r="AH4119" s="38"/>
      <c r="AI4119" s="38"/>
      <c r="AJ4119" s="38"/>
      <c r="AK4119" s="38"/>
      <c r="AL4119" s="38"/>
      <c r="AM4119" s="38"/>
      <c r="AN4119" s="38"/>
      <c r="AO4119" s="38"/>
      <c r="AP4119" s="38"/>
      <c r="AQ4119" s="38"/>
      <c r="AR4119" s="38"/>
      <c r="AS4119" s="38"/>
      <c r="AT4119" s="38"/>
      <c r="AU4119" s="38"/>
      <c r="AV4119" s="38"/>
      <c r="AW4119" s="38"/>
      <c r="AX4119" s="38"/>
      <c r="AY4119" s="38"/>
      <c r="AZ4119" s="38"/>
      <c r="BA4119" s="38"/>
      <c r="BB4119" s="38"/>
      <c r="BC4119" s="38"/>
      <c r="BD4119" s="38"/>
      <c r="BE4119" s="38"/>
      <c r="BF4119" s="38"/>
      <c r="BG4119" s="38"/>
      <c r="BH4119" s="38"/>
      <c r="BI4119" s="38"/>
      <c r="BJ4119" s="38"/>
      <c r="BK4119" s="38"/>
      <c r="BL4119" s="38"/>
      <c r="BM4119" s="38"/>
      <c r="BN4119" s="38"/>
      <c r="BO4119" s="38"/>
      <c r="BP4119" s="38"/>
      <c r="BQ4119" s="38"/>
    </row>
    <row r="4120">
      <c r="A4120" s="16"/>
      <c r="B4120" s="145"/>
      <c r="C4120" s="146"/>
      <c r="D4120" s="146"/>
      <c r="E4120" s="16"/>
      <c r="F4120" s="91"/>
      <c r="G4120" s="16"/>
      <c r="H4120" s="320" t="str">
        <f t="shared" si="424"/>
        <v/>
      </c>
      <c r="I4120" s="16"/>
      <c r="J4120" s="16"/>
      <c r="K4120" s="16"/>
      <c r="L4120" s="16"/>
      <c r="M4120" s="15"/>
      <c r="N4120" s="15"/>
      <c r="O4120" s="16"/>
      <c r="P4120" s="16"/>
      <c r="Q4120" s="16"/>
      <c r="R4120" s="16"/>
      <c r="S4120" s="37" t="str">
        <f>IFERROR(__xludf.DUMMYFUNCTION("if(not(iserror(index(split(C4120, "" ""),2))), index(split(C4120, "" ""),1),"""")"),"")</f>
        <v/>
      </c>
      <c r="T4120" s="315" t="str">
        <f>IFERROR(__xludf.DUMMYFUNCTION("if(S4120="""",C4120,if(not(iserror(index(split(C4120, "" ""),3))), index(split(C4120, "" ""),3),index(split(C4120, "" ""),2)))"),"")</f>
        <v/>
      </c>
      <c r="U4120" s="38" t="b">
        <f t="shared" si="423"/>
        <v>0</v>
      </c>
      <c r="V4120" s="38"/>
      <c r="W4120" s="40"/>
      <c r="X4120" s="40"/>
      <c r="Y4120" s="40"/>
      <c r="Z4120" s="38"/>
      <c r="AA4120" s="38"/>
      <c r="AB4120" s="38"/>
      <c r="AC4120" s="38"/>
      <c r="AD4120" s="38"/>
      <c r="AE4120" s="38"/>
      <c r="AF4120" s="38"/>
      <c r="AG4120" s="38"/>
      <c r="AH4120" s="38"/>
      <c r="AI4120" s="38"/>
      <c r="AJ4120" s="38"/>
      <c r="AK4120" s="38"/>
      <c r="AL4120" s="38"/>
      <c r="AM4120" s="38"/>
      <c r="AN4120" s="38"/>
      <c r="AO4120" s="38"/>
      <c r="AP4120" s="38"/>
      <c r="AQ4120" s="38"/>
      <c r="AR4120" s="38"/>
      <c r="AS4120" s="38"/>
      <c r="AT4120" s="38"/>
      <c r="AU4120" s="38"/>
      <c r="AV4120" s="38"/>
      <c r="AW4120" s="38"/>
      <c r="AX4120" s="38"/>
      <c r="AY4120" s="38"/>
      <c r="AZ4120" s="38"/>
      <c r="BA4120" s="38"/>
      <c r="BB4120" s="38"/>
      <c r="BC4120" s="38"/>
      <c r="BD4120" s="38"/>
      <c r="BE4120" s="38"/>
      <c r="BF4120" s="38"/>
      <c r="BG4120" s="38"/>
      <c r="BH4120" s="38"/>
      <c r="BI4120" s="38"/>
      <c r="BJ4120" s="38"/>
      <c r="BK4120" s="38"/>
      <c r="BL4120" s="38"/>
      <c r="BM4120" s="38"/>
      <c r="BN4120" s="38"/>
      <c r="BO4120" s="38"/>
      <c r="BP4120" s="38"/>
      <c r="BQ4120" s="38"/>
    </row>
    <row r="4121">
      <c r="A4121" s="16"/>
      <c r="B4121" s="145"/>
      <c r="C4121" s="146"/>
      <c r="D4121" s="146"/>
      <c r="E4121" s="16"/>
      <c r="F4121" s="91"/>
      <c r="G4121" s="16"/>
      <c r="H4121" s="320" t="str">
        <f t="shared" si="424"/>
        <v/>
      </c>
      <c r="I4121" s="16"/>
      <c r="J4121" s="16"/>
      <c r="K4121" s="16"/>
      <c r="L4121" s="16"/>
      <c r="M4121" s="15"/>
      <c r="N4121" s="15"/>
      <c r="O4121" s="16"/>
      <c r="P4121" s="16"/>
      <c r="Q4121" s="16"/>
      <c r="R4121" s="16"/>
      <c r="S4121" s="37" t="str">
        <f>IFERROR(__xludf.DUMMYFUNCTION("if(not(iserror(index(split(C4121, "" ""),2))), index(split(C4121, "" ""),1),"""")"),"")</f>
        <v/>
      </c>
      <c r="T4121" s="315" t="str">
        <f>IFERROR(__xludf.DUMMYFUNCTION("if(S4121="""",C4121,if(not(iserror(index(split(C4121, "" ""),3))), index(split(C4121, "" ""),3),index(split(C4121, "" ""),2)))"),"")</f>
        <v/>
      </c>
      <c r="U4121" s="38" t="b">
        <f t="shared" si="423"/>
        <v>0</v>
      </c>
      <c r="V4121" s="38"/>
      <c r="W4121" s="40"/>
      <c r="X4121" s="40"/>
      <c r="Y4121" s="40"/>
      <c r="Z4121" s="38"/>
      <c r="AA4121" s="38"/>
      <c r="AB4121" s="38"/>
      <c r="AC4121" s="38"/>
      <c r="AD4121" s="38"/>
      <c r="AE4121" s="38"/>
      <c r="AF4121" s="38"/>
      <c r="AG4121" s="38"/>
      <c r="AH4121" s="38"/>
      <c r="AI4121" s="38"/>
      <c r="AJ4121" s="38"/>
      <c r="AK4121" s="38"/>
      <c r="AL4121" s="38"/>
      <c r="AM4121" s="38"/>
      <c r="AN4121" s="38"/>
      <c r="AO4121" s="38"/>
      <c r="AP4121" s="38"/>
      <c r="AQ4121" s="38"/>
      <c r="AR4121" s="38"/>
      <c r="AS4121" s="38"/>
      <c r="AT4121" s="38"/>
      <c r="AU4121" s="38"/>
      <c r="AV4121" s="38"/>
      <c r="AW4121" s="38"/>
      <c r="AX4121" s="38"/>
      <c r="AY4121" s="38"/>
      <c r="AZ4121" s="38"/>
      <c r="BA4121" s="38"/>
      <c r="BB4121" s="38"/>
      <c r="BC4121" s="38"/>
      <c r="BD4121" s="38"/>
      <c r="BE4121" s="38"/>
      <c r="BF4121" s="38"/>
      <c r="BG4121" s="38"/>
      <c r="BH4121" s="38"/>
      <c r="BI4121" s="38"/>
      <c r="BJ4121" s="38"/>
      <c r="BK4121" s="38"/>
      <c r="BL4121" s="38"/>
      <c r="BM4121" s="38"/>
      <c r="BN4121" s="38"/>
      <c r="BO4121" s="38"/>
      <c r="BP4121" s="38"/>
      <c r="BQ4121" s="38"/>
    </row>
    <row r="4122">
      <c r="A4122" s="16"/>
      <c r="B4122" s="145"/>
      <c r="C4122" s="146"/>
      <c r="D4122" s="146"/>
      <c r="E4122" s="16"/>
      <c r="F4122" s="91"/>
      <c r="G4122" s="16"/>
      <c r="H4122" s="320" t="str">
        <f t="shared" si="424"/>
        <v/>
      </c>
      <c r="I4122" s="16"/>
      <c r="J4122" s="16"/>
      <c r="K4122" s="16"/>
      <c r="L4122" s="16"/>
      <c r="M4122" s="15"/>
      <c r="N4122" s="15"/>
      <c r="O4122" s="16"/>
      <c r="P4122" s="16"/>
      <c r="Q4122" s="16"/>
      <c r="R4122" s="16"/>
      <c r="S4122" s="37" t="str">
        <f>IFERROR(__xludf.DUMMYFUNCTION("if(not(iserror(index(split(C4122, "" ""),2))), index(split(C4122, "" ""),1),"""")"),"")</f>
        <v/>
      </c>
      <c r="T4122" s="315" t="str">
        <f>IFERROR(__xludf.DUMMYFUNCTION("if(S4122="""",C4122,if(not(iserror(index(split(C4122, "" ""),3))), index(split(C4122, "" ""),3),index(split(C4122, "" ""),2)))"),"")</f>
        <v/>
      </c>
      <c r="U4122" s="38" t="b">
        <f t="shared" si="423"/>
        <v>0</v>
      </c>
      <c r="V4122" s="38"/>
      <c r="W4122" s="40"/>
      <c r="X4122" s="40"/>
      <c r="Y4122" s="40"/>
      <c r="Z4122" s="38"/>
      <c r="AA4122" s="38"/>
      <c r="AB4122" s="38"/>
      <c r="AC4122" s="38"/>
      <c r="AD4122" s="38"/>
      <c r="AE4122" s="38"/>
      <c r="AF4122" s="38"/>
      <c r="AG4122" s="38"/>
      <c r="AH4122" s="38"/>
      <c r="AI4122" s="38"/>
      <c r="AJ4122" s="38"/>
      <c r="AK4122" s="38"/>
      <c r="AL4122" s="38"/>
      <c r="AM4122" s="38"/>
      <c r="AN4122" s="38"/>
      <c r="AO4122" s="38"/>
      <c r="AP4122" s="38"/>
      <c r="AQ4122" s="38"/>
      <c r="AR4122" s="38"/>
      <c r="AS4122" s="38"/>
      <c r="AT4122" s="38"/>
      <c r="AU4122" s="38"/>
      <c r="AV4122" s="38"/>
      <c r="AW4122" s="38"/>
      <c r="AX4122" s="38"/>
      <c r="AY4122" s="38"/>
      <c r="AZ4122" s="38"/>
      <c r="BA4122" s="38"/>
      <c r="BB4122" s="38"/>
      <c r="BC4122" s="38"/>
      <c r="BD4122" s="38"/>
      <c r="BE4122" s="38"/>
      <c r="BF4122" s="38"/>
      <c r="BG4122" s="38"/>
      <c r="BH4122" s="38"/>
      <c r="BI4122" s="38"/>
      <c r="BJ4122" s="38"/>
      <c r="BK4122" s="38"/>
      <c r="BL4122" s="38"/>
      <c r="BM4122" s="38"/>
      <c r="BN4122" s="38"/>
      <c r="BO4122" s="38"/>
      <c r="BP4122" s="38"/>
      <c r="BQ4122" s="38"/>
    </row>
    <row r="4123">
      <c r="A4123" s="16"/>
      <c r="B4123" s="145"/>
      <c r="C4123" s="146"/>
      <c r="D4123" s="146"/>
      <c r="E4123" s="16"/>
      <c r="F4123" s="91"/>
      <c r="G4123" s="16"/>
      <c r="H4123" s="320" t="str">
        <f t="shared" si="424"/>
        <v/>
      </c>
      <c r="I4123" s="16"/>
      <c r="J4123" s="16"/>
      <c r="K4123" s="16"/>
      <c r="L4123" s="16"/>
      <c r="M4123" s="15"/>
      <c r="N4123" s="15"/>
      <c r="O4123" s="16"/>
      <c r="P4123" s="16"/>
      <c r="Q4123" s="16"/>
      <c r="R4123" s="16"/>
      <c r="S4123" s="37" t="str">
        <f>IFERROR(__xludf.DUMMYFUNCTION("if(not(iserror(index(split(C4123, "" ""),2))), index(split(C4123, "" ""),1),"""")"),"")</f>
        <v/>
      </c>
      <c r="T4123" s="315" t="str">
        <f>IFERROR(__xludf.DUMMYFUNCTION("if(S4123="""",C4123,if(not(iserror(index(split(C4123, "" ""),3))), index(split(C4123, "" ""),3),index(split(C4123, "" ""),2)))"),"")</f>
        <v/>
      </c>
      <c r="U4123" s="38" t="b">
        <f t="shared" si="423"/>
        <v>0</v>
      </c>
      <c r="V4123" s="38"/>
      <c r="W4123" s="40"/>
      <c r="X4123" s="40"/>
      <c r="Y4123" s="40"/>
      <c r="Z4123" s="38"/>
      <c r="AA4123" s="38"/>
      <c r="AB4123" s="38"/>
      <c r="AC4123" s="38"/>
      <c r="AD4123" s="38"/>
      <c r="AE4123" s="38"/>
      <c r="AF4123" s="38"/>
      <c r="AG4123" s="38"/>
      <c r="AH4123" s="38"/>
      <c r="AI4123" s="38"/>
      <c r="AJ4123" s="38"/>
      <c r="AK4123" s="38"/>
      <c r="AL4123" s="38"/>
      <c r="AM4123" s="38"/>
      <c r="AN4123" s="38"/>
      <c r="AO4123" s="38"/>
      <c r="AP4123" s="38"/>
      <c r="AQ4123" s="38"/>
      <c r="AR4123" s="38"/>
      <c r="AS4123" s="38"/>
      <c r="AT4123" s="38"/>
      <c r="AU4123" s="38"/>
      <c r="AV4123" s="38"/>
      <c r="AW4123" s="38"/>
      <c r="AX4123" s="38"/>
      <c r="AY4123" s="38"/>
      <c r="AZ4123" s="38"/>
      <c r="BA4123" s="38"/>
      <c r="BB4123" s="38"/>
      <c r="BC4123" s="38"/>
      <c r="BD4123" s="38"/>
      <c r="BE4123" s="38"/>
      <c r="BF4123" s="38"/>
      <c r="BG4123" s="38"/>
      <c r="BH4123" s="38"/>
      <c r="BI4123" s="38"/>
      <c r="BJ4123" s="38"/>
      <c r="BK4123" s="38"/>
      <c r="BL4123" s="38"/>
      <c r="BM4123" s="38"/>
      <c r="BN4123" s="38"/>
      <c r="BO4123" s="38"/>
      <c r="BP4123" s="38"/>
      <c r="BQ4123" s="38"/>
    </row>
    <row r="4124">
      <c r="A4124" s="16"/>
      <c r="B4124" s="145"/>
      <c r="C4124" s="146"/>
      <c r="D4124" s="146"/>
      <c r="E4124" s="16"/>
      <c r="F4124" s="91"/>
      <c r="G4124" s="16"/>
      <c r="H4124" s="320" t="str">
        <f t="shared" si="424"/>
        <v/>
      </c>
      <c r="I4124" s="16"/>
      <c r="J4124" s="16"/>
      <c r="K4124" s="16"/>
      <c r="L4124" s="16"/>
      <c r="M4124" s="15"/>
      <c r="N4124" s="15"/>
      <c r="O4124" s="16"/>
      <c r="P4124" s="16"/>
      <c r="Q4124" s="16"/>
      <c r="R4124" s="16"/>
      <c r="S4124" s="37" t="str">
        <f>IFERROR(__xludf.DUMMYFUNCTION("if(not(iserror(index(split(C4124, "" ""),2))), index(split(C4124, "" ""),1),"""")"),"")</f>
        <v/>
      </c>
      <c r="T4124" s="315" t="str">
        <f>IFERROR(__xludf.DUMMYFUNCTION("if(S4124="""",C4124,if(not(iserror(index(split(C4124, "" ""),3))), index(split(C4124, "" ""),3),index(split(C4124, "" ""),2)))"),"")</f>
        <v/>
      </c>
      <c r="U4124" s="38" t="b">
        <f t="shared" si="423"/>
        <v>0</v>
      </c>
      <c r="V4124" s="38"/>
      <c r="W4124" s="40"/>
      <c r="X4124" s="40"/>
      <c r="Y4124" s="40"/>
      <c r="Z4124" s="38"/>
      <c r="AA4124" s="38"/>
      <c r="AB4124" s="38"/>
      <c r="AC4124" s="38"/>
      <c r="AD4124" s="38"/>
      <c r="AE4124" s="38"/>
      <c r="AF4124" s="38"/>
      <c r="AG4124" s="38"/>
      <c r="AH4124" s="38"/>
      <c r="AI4124" s="38"/>
      <c r="AJ4124" s="38"/>
      <c r="AK4124" s="38"/>
      <c r="AL4124" s="38"/>
      <c r="AM4124" s="38"/>
      <c r="AN4124" s="38"/>
      <c r="AO4124" s="38"/>
      <c r="AP4124" s="38"/>
      <c r="AQ4124" s="38"/>
      <c r="AR4124" s="38"/>
      <c r="AS4124" s="38"/>
      <c r="AT4124" s="38"/>
      <c r="AU4124" s="38"/>
      <c r="AV4124" s="38"/>
      <c r="AW4124" s="38"/>
      <c r="AX4124" s="38"/>
      <c r="AY4124" s="38"/>
      <c r="AZ4124" s="38"/>
      <c r="BA4124" s="38"/>
      <c r="BB4124" s="38"/>
      <c r="BC4124" s="38"/>
      <c r="BD4124" s="38"/>
      <c r="BE4124" s="38"/>
      <c r="BF4124" s="38"/>
      <c r="BG4124" s="38"/>
      <c r="BH4124" s="38"/>
      <c r="BI4124" s="38"/>
      <c r="BJ4124" s="38"/>
      <c r="BK4124" s="38"/>
      <c r="BL4124" s="38"/>
      <c r="BM4124" s="38"/>
      <c r="BN4124" s="38"/>
      <c r="BO4124" s="38"/>
      <c r="BP4124" s="38"/>
      <c r="BQ4124" s="38"/>
    </row>
    <row r="4125">
      <c r="A4125" s="16"/>
      <c r="B4125" s="145"/>
      <c r="C4125" s="146"/>
      <c r="D4125" s="146"/>
      <c r="E4125" s="16"/>
      <c r="F4125" s="91"/>
      <c r="G4125" s="16"/>
      <c r="H4125" s="320" t="str">
        <f t="shared" si="424"/>
        <v/>
      </c>
      <c r="I4125" s="16"/>
      <c r="J4125" s="16"/>
      <c r="K4125" s="16"/>
      <c r="L4125" s="16"/>
      <c r="M4125" s="15"/>
      <c r="N4125" s="15"/>
      <c r="O4125" s="16"/>
      <c r="P4125" s="16"/>
      <c r="Q4125" s="16"/>
      <c r="R4125" s="16"/>
      <c r="S4125" s="37" t="str">
        <f>IFERROR(__xludf.DUMMYFUNCTION("if(not(iserror(index(split(C4125, "" ""),2))), index(split(C4125, "" ""),1),"""")"),"")</f>
        <v/>
      </c>
      <c r="T4125" s="315" t="str">
        <f>IFERROR(__xludf.DUMMYFUNCTION("if(S4125="""",C4125,if(not(iserror(index(split(C4125, "" ""),3))), index(split(C4125, "" ""),3),index(split(C4125, "" ""),2)))"),"")</f>
        <v/>
      </c>
      <c r="U4125" s="38" t="b">
        <f t="shared" si="423"/>
        <v>0</v>
      </c>
      <c r="V4125" s="38"/>
      <c r="W4125" s="40"/>
      <c r="X4125" s="40"/>
      <c r="Y4125" s="40"/>
      <c r="Z4125" s="38"/>
      <c r="AA4125" s="38"/>
      <c r="AB4125" s="38"/>
      <c r="AC4125" s="38"/>
      <c r="AD4125" s="38"/>
      <c r="AE4125" s="38"/>
      <c r="AF4125" s="38"/>
      <c r="AG4125" s="38"/>
      <c r="AH4125" s="38"/>
      <c r="AI4125" s="38"/>
      <c r="AJ4125" s="38"/>
      <c r="AK4125" s="38"/>
      <c r="AL4125" s="38"/>
      <c r="AM4125" s="38"/>
      <c r="AN4125" s="38"/>
      <c r="AO4125" s="38"/>
      <c r="AP4125" s="38"/>
      <c r="AQ4125" s="38"/>
      <c r="AR4125" s="38"/>
      <c r="AS4125" s="38"/>
      <c r="AT4125" s="38"/>
      <c r="AU4125" s="38"/>
      <c r="AV4125" s="38"/>
      <c r="AW4125" s="38"/>
      <c r="AX4125" s="38"/>
      <c r="AY4125" s="38"/>
      <c r="AZ4125" s="38"/>
      <c r="BA4125" s="38"/>
      <c r="BB4125" s="38"/>
      <c r="BC4125" s="38"/>
      <c r="BD4125" s="38"/>
      <c r="BE4125" s="38"/>
      <c r="BF4125" s="38"/>
      <c r="BG4125" s="38"/>
      <c r="BH4125" s="38"/>
      <c r="BI4125" s="38"/>
      <c r="BJ4125" s="38"/>
      <c r="BK4125" s="38"/>
      <c r="BL4125" s="38"/>
      <c r="BM4125" s="38"/>
      <c r="BN4125" s="38"/>
      <c r="BO4125" s="38"/>
      <c r="BP4125" s="38"/>
      <c r="BQ4125" s="38"/>
    </row>
    <row r="4126">
      <c r="A4126" s="16"/>
      <c r="B4126" s="145"/>
      <c r="C4126" s="146"/>
      <c r="D4126" s="146"/>
      <c r="E4126" s="16"/>
      <c r="F4126" s="91"/>
      <c r="G4126" s="16"/>
      <c r="H4126" s="320" t="str">
        <f t="shared" si="424"/>
        <v/>
      </c>
      <c r="I4126" s="16"/>
      <c r="J4126" s="16"/>
      <c r="K4126" s="16"/>
      <c r="L4126" s="16"/>
      <c r="M4126" s="15"/>
      <c r="N4126" s="15"/>
      <c r="O4126" s="16"/>
      <c r="P4126" s="16"/>
      <c r="Q4126" s="16"/>
      <c r="R4126" s="16"/>
      <c r="S4126" s="37" t="str">
        <f>IFERROR(__xludf.DUMMYFUNCTION("if(not(iserror(index(split(C4126, "" ""),2))), index(split(C4126, "" ""),1),"""")"),"")</f>
        <v/>
      </c>
      <c r="T4126" s="315" t="str">
        <f>IFERROR(__xludf.DUMMYFUNCTION("if(S4126="""",C4126,if(not(iserror(index(split(C4126, "" ""),3))), index(split(C4126, "" ""),3),index(split(C4126, "" ""),2)))"),"")</f>
        <v/>
      </c>
      <c r="U4126" s="38" t="b">
        <f t="shared" si="423"/>
        <v>0</v>
      </c>
      <c r="V4126" s="38"/>
      <c r="W4126" s="40"/>
      <c r="X4126" s="40"/>
      <c r="Y4126" s="40"/>
      <c r="Z4126" s="38"/>
      <c r="AA4126" s="38"/>
      <c r="AB4126" s="38"/>
      <c r="AC4126" s="38"/>
      <c r="AD4126" s="38"/>
      <c r="AE4126" s="38"/>
      <c r="AF4126" s="38"/>
      <c r="AG4126" s="38"/>
      <c r="AH4126" s="38"/>
      <c r="AI4126" s="38"/>
      <c r="AJ4126" s="38"/>
      <c r="AK4126" s="38"/>
      <c r="AL4126" s="38"/>
      <c r="AM4126" s="38"/>
      <c r="AN4126" s="38"/>
      <c r="AO4126" s="38"/>
      <c r="AP4126" s="38"/>
      <c r="AQ4126" s="38"/>
      <c r="AR4126" s="38"/>
      <c r="AS4126" s="38"/>
      <c r="AT4126" s="38"/>
      <c r="AU4126" s="38"/>
      <c r="AV4126" s="38"/>
      <c r="AW4126" s="38"/>
      <c r="AX4126" s="38"/>
      <c r="AY4126" s="38"/>
      <c r="AZ4126" s="38"/>
      <c r="BA4126" s="38"/>
      <c r="BB4126" s="38"/>
      <c r="BC4126" s="38"/>
      <c r="BD4126" s="38"/>
      <c r="BE4126" s="38"/>
      <c r="BF4126" s="38"/>
      <c r="BG4126" s="38"/>
      <c r="BH4126" s="38"/>
      <c r="BI4126" s="38"/>
      <c r="BJ4126" s="38"/>
      <c r="BK4126" s="38"/>
      <c r="BL4126" s="38"/>
      <c r="BM4126" s="38"/>
      <c r="BN4126" s="38"/>
      <c r="BO4126" s="38"/>
      <c r="BP4126" s="38"/>
      <c r="BQ4126" s="38"/>
    </row>
    <row r="4127">
      <c r="A4127" s="16"/>
      <c r="B4127" s="145"/>
      <c r="C4127" s="146"/>
      <c r="D4127" s="146"/>
      <c r="E4127" s="16"/>
      <c r="F4127" s="91"/>
      <c r="G4127" s="16"/>
      <c r="H4127" s="320" t="str">
        <f t="shared" si="424"/>
        <v/>
      </c>
      <c r="I4127" s="16"/>
      <c r="J4127" s="16"/>
      <c r="K4127" s="16"/>
      <c r="L4127" s="16"/>
      <c r="M4127" s="15"/>
      <c r="N4127" s="15"/>
      <c r="O4127" s="16"/>
      <c r="P4127" s="16"/>
      <c r="Q4127" s="16"/>
      <c r="R4127" s="16"/>
      <c r="S4127" s="37" t="str">
        <f>IFERROR(__xludf.DUMMYFUNCTION("if(not(iserror(index(split(C4127, "" ""),2))), index(split(C4127, "" ""),1),"""")"),"")</f>
        <v/>
      </c>
      <c r="T4127" s="315" t="str">
        <f>IFERROR(__xludf.DUMMYFUNCTION("if(S4127="""",C4127,if(not(iserror(index(split(C4127, "" ""),3))), index(split(C4127, "" ""),3),index(split(C4127, "" ""),2)))"),"")</f>
        <v/>
      </c>
      <c r="U4127" s="38" t="b">
        <f t="shared" si="423"/>
        <v>0</v>
      </c>
      <c r="V4127" s="38"/>
      <c r="W4127" s="40"/>
      <c r="X4127" s="40"/>
      <c r="Y4127" s="40"/>
      <c r="Z4127" s="38"/>
      <c r="AA4127" s="38"/>
      <c r="AB4127" s="38"/>
      <c r="AC4127" s="38"/>
      <c r="AD4127" s="38"/>
      <c r="AE4127" s="38"/>
      <c r="AF4127" s="38"/>
      <c r="AG4127" s="38"/>
      <c r="AH4127" s="38"/>
      <c r="AI4127" s="38"/>
      <c r="AJ4127" s="38"/>
      <c r="AK4127" s="38"/>
      <c r="AL4127" s="38"/>
      <c r="AM4127" s="38"/>
      <c r="AN4127" s="38"/>
      <c r="AO4127" s="38"/>
      <c r="AP4127" s="38"/>
      <c r="AQ4127" s="38"/>
      <c r="AR4127" s="38"/>
      <c r="AS4127" s="38"/>
      <c r="AT4127" s="38"/>
      <c r="AU4127" s="38"/>
      <c r="AV4127" s="38"/>
      <c r="AW4127" s="38"/>
      <c r="AX4127" s="38"/>
      <c r="AY4127" s="38"/>
      <c r="AZ4127" s="38"/>
      <c r="BA4127" s="38"/>
      <c r="BB4127" s="38"/>
      <c r="BC4127" s="38"/>
      <c r="BD4127" s="38"/>
      <c r="BE4127" s="38"/>
      <c r="BF4127" s="38"/>
      <c r="BG4127" s="38"/>
      <c r="BH4127" s="38"/>
      <c r="BI4127" s="38"/>
      <c r="BJ4127" s="38"/>
      <c r="BK4127" s="38"/>
      <c r="BL4127" s="38"/>
      <c r="BM4127" s="38"/>
      <c r="BN4127" s="38"/>
      <c r="BO4127" s="38"/>
      <c r="BP4127" s="38"/>
      <c r="BQ4127" s="38"/>
    </row>
    <row r="4128">
      <c r="A4128" s="16"/>
      <c r="B4128" s="145"/>
      <c r="C4128" s="146"/>
      <c r="D4128" s="146"/>
      <c r="E4128" s="16"/>
      <c r="F4128" s="91"/>
      <c r="G4128" s="16"/>
      <c r="H4128" s="320" t="str">
        <f t="shared" si="424"/>
        <v/>
      </c>
      <c r="I4128" s="16"/>
      <c r="J4128" s="16"/>
      <c r="K4128" s="16"/>
      <c r="L4128" s="16"/>
      <c r="M4128" s="15"/>
      <c r="N4128" s="15"/>
      <c r="O4128" s="16"/>
      <c r="P4128" s="16"/>
      <c r="Q4128" s="16"/>
      <c r="R4128" s="16"/>
      <c r="S4128" s="37" t="str">
        <f>IFERROR(__xludf.DUMMYFUNCTION("if(not(iserror(index(split(C4128, "" ""),2))), index(split(C4128, "" ""),1),"""")"),"")</f>
        <v/>
      </c>
      <c r="T4128" s="315" t="str">
        <f>IFERROR(__xludf.DUMMYFUNCTION("if(S4128="""",C4128,if(not(iserror(index(split(C4128, "" ""),3))), index(split(C4128, "" ""),3),index(split(C4128, "" ""),2)))"),"")</f>
        <v/>
      </c>
      <c r="U4128" s="38" t="b">
        <f t="shared" si="423"/>
        <v>0</v>
      </c>
      <c r="V4128" s="38"/>
      <c r="W4128" s="40"/>
      <c r="X4128" s="40"/>
      <c r="Y4128" s="40"/>
      <c r="Z4128" s="38"/>
      <c r="AA4128" s="38"/>
      <c r="AB4128" s="38"/>
      <c r="AC4128" s="38"/>
      <c r="AD4128" s="38"/>
      <c r="AE4128" s="38"/>
      <c r="AF4128" s="38"/>
      <c r="AG4128" s="38"/>
      <c r="AH4128" s="38"/>
      <c r="AI4128" s="38"/>
      <c r="AJ4128" s="38"/>
      <c r="AK4128" s="38"/>
      <c r="AL4128" s="38"/>
      <c r="AM4128" s="38"/>
      <c r="AN4128" s="38"/>
      <c r="AO4128" s="38"/>
      <c r="AP4128" s="38"/>
      <c r="AQ4128" s="38"/>
      <c r="AR4128" s="38"/>
      <c r="AS4128" s="38"/>
      <c r="AT4128" s="38"/>
      <c r="AU4128" s="38"/>
      <c r="AV4128" s="38"/>
      <c r="AW4128" s="38"/>
      <c r="AX4128" s="38"/>
      <c r="AY4128" s="38"/>
      <c r="AZ4128" s="38"/>
      <c r="BA4128" s="38"/>
      <c r="BB4128" s="38"/>
      <c r="BC4128" s="38"/>
      <c r="BD4128" s="38"/>
      <c r="BE4128" s="38"/>
      <c r="BF4128" s="38"/>
      <c r="BG4128" s="38"/>
      <c r="BH4128" s="38"/>
      <c r="BI4128" s="38"/>
      <c r="BJ4128" s="38"/>
      <c r="BK4128" s="38"/>
      <c r="BL4128" s="38"/>
      <c r="BM4128" s="38"/>
      <c r="BN4128" s="38"/>
      <c r="BO4128" s="38"/>
      <c r="BP4128" s="38"/>
      <c r="BQ4128" s="38"/>
    </row>
    <row r="4129">
      <c r="A4129" s="16"/>
      <c r="B4129" s="145"/>
      <c r="C4129" s="146"/>
      <c r="D4129" s="146"/>
      <c r="E4129" s="16"/>
      <c r="F4129" s="91"/>
      <c r="G4129" s="16"/>
      <c r="H4129" s="320" t="str">
        <f t="shared" si="424"/>
        <v/>
      </c>
      <c r="I4129" s="16"/>
      <c r="J4129" s="16"/>
      <c r="K4129" s="16"/>
      <c r="L4129" s="16"/>
      <c r="M4129" s="15"/>
      <c r="N4129" s="15"/>
      <c r="O4129" s="16"/>
      <c r="P4129" s="16"/>
      <c r="Q4129" s="16"/>
      <c r="R4129" s="16"/>
      <c r="S4129" s="37" t="str">
        <f>IFERROR(__xludf.DUMMYFUNCTION("if(not(iserror(index(split(C4129, "" ""),2))), index(split(C4129, "" ""),1),"""")"),"")</f>
        <v/>
      </c>
      <c r="T4129" s="315" t="str">
        <f>IFERROR(__xludf.DUMMYFUNCTION("if(S4129="""",C4129,if(not(iserror(index(split(C4129, "" ""),3))), index(split(C4129, "" ""),3),index(split(C4129, "" ""),2)))"),"")</f>
        <v/>
      </c>
      <c r="U4129" s="38" t="b">
        <f t="shared" si="423"/>
        <v>0</v>
      </c>
      <c r="V4129" s="38"/>
      <c r="W4129" s="40"/>
      <c r="X4129" s="40"/>
      <c r="Y4129" s="40"/>
      <c r="Z4129" s="38"/>
      <c r="AA4129" s="38"/>
      <c r="AB4129" s="38"/>
      <c r="AC4129" s="38"/>
      <c r="AD4129" s="38"/>
      <c r="AE4129" s="38"/>
      <c r="AF4129" s="38"/>
      <c r="AG4129" s="38"/>
      <c r="AH4129" s="38"/>
      <c r="AI4129" s="38"/>
      <c r="AJ4129" s="38"/>
      <c r="AK4129" s="38"/>
      <c r="AL4129" s="38"/>
      <c r="AM4129" s="38"/>
      <c r="AN4129" s="38"/>
      <c r="AO4129" s="38"/>
      <c r="AP4129" s="38"/>
      <c r="AQ4129" s="38"/>
      <c r="AR4129" s="38"/>
      <c r="AS4129" s="38"/>
      <c r="AT4129" s="38"/>
      <c r="AU4129" s="38"/>
      <c r="AV4129" s="38"/>
      <c r="AW4129" s="38"/>
      <c r="AX4129" s="38"/>
      <c r="AY4129" s="38"/>
      <c r="AZ4129" s="38"/>
      <c r="BA4129" s="38"/>
      <c r="BB4129" s="38"/>
      <c r="BC4129" s="38"/>
      <c r="BD4129" s="38"/>
      <c r="BE4129" s="38"/>
      <c r="BF4129" s="38"/>
      <c r="BG4129" s="38"/>
      <c r="BH4129" s="38"/>
      <c r="BI4129" s="38"/>
      <c r="BJ4129" s="38"/>
      <c r="BK4129" s="38"/>
      <c r="BL4129" s="38"/>
      <c r="BM4129" s="38"/>
      <c r="BN4129" s="38"/>
      <c r="BO4129" s="38"/>
      <c r="BP4129" s="38"/>
      <c r="BQ4129" s="38"/>
    </row>
    <row r="4130">
      <c r="A4130" s="16"/>
      <c r="B4130" s="145"/>
      <c r="C4130" s="146"/>
      <c r="D4130" s="146"/>
      <c r="E4130" s="16"/>
      <c r="F4130" s="91"/>
      <c r="G4130" s="16"/>
      <c r="H4130" s="320" t="str">
        <f t="shared" si="424"/>
        <v/>
      </c>
      <c r="I4130" s="16"/>
      <c r="J4130" s="16"/>
      <c r="K4130" s="16"/>
      <c r="L4130" s="16"/>
      <c r="M4130" s="15"/>
      <c r="N4130" s="15"/>
      <c r="O4130" s="16"/>
      <c r="P4130" s="16"/>
      <c r="Q4130" s="16"/>
      <c r="R4130" s="16"/>
      <c r="S4130" s="37" t="str">
        <f>IFERROR(__xludf.DUMMYFUNCTION("if(not(iserror(index(split(C4130, "" ""),2))), index(split(C4130, "" ""),1),"""")"),"")</f>
        <v/>
      </c>
      <c r="T4130" s="315" t="str">
        <f>IFERROR(__xludf.DUMMYFUNCTION("if(S4130="""",C4130,if(not(iserror(index(split(C4130, "" ""),3))), index(split(C4130, "" ""),3),index(split(C4130, "" ""),2)))"),"")</f>
        <v/>
      </c>
      <c r="U4130" s="38" t="b">
        <f t="shared" si="423"/>
        <v>0</v>
      </c>
      <c r="V4130" s="38"/>
      <c r="W4130" s="40"/>
      <c r="X4130" s="40"/>
      <c r="Y4130" s="40"/>
      <c r="Z4130" s="38"/>
      <c r="AA4130" s="38"/>
      <c r="AB4130" s="38"/>
      <c r="AC4130" s="38"/>
      <c r="AD4130" s="38"/>
      <c r="AE4130" s="38"/>
      <c r="AF4130" s="38"/>
      <c r="AG4130" s="38"/>
      <c r="AH4130" s="38"/>
      <c r="AI4130" s="38"/>
      <c r="AJ4130" s="38"/>
      <c r="AK4130" s="38"/>
      <c r="AL4130" s="38"/>
      <c r="AM4130" s="38"/>
      <c r="AN4130" s="38"/>
      <c r="AO4130" s="38"/>
      <c r="AP4130" s="38"/>
      <c r="AQ4130" s="38"/>
      <c r="AR4130" s="38"/>
      <c r="AS4130" s="38"/>
      <c r="AT4130" s="38"/>
      <c r="AU4130" s="38"/>
      <c r="AV4130" s="38"/>
      <c r="AW4130" s="38"/>
      <c r="AX4130" s="38"/>
      <c r="AY4130" s="38"/>
      <c r="AZ4130" s="38"/>
      <c r="BA4130" s="38"/>
      <c r="BB4130" s="38"/>
      <c r="BC4130" s="38"/>
      <c r="BD4130" s="38"/>
      <c r="BE4130" s="38"/>
      <c r="BF4130" s="38"/>
      <c r="BG4130" s="38"/>
      <c r="BH4130" s="38"/>
      <c r="BI4130" s="38"/>
      <c r="BJ4130" s="38"/>
      <c r="BK4130" s="38"/>
      <c r="BL4130" s="38"/>
      <c r="BM4130" s="38"/>
      <c r="BN4130" s="38"/>
      <c r="BO4130" s="38"/>
      <c r="BP4130" s="38"/>
      <c r="BQ4130" s="38"/>
    </row>
    <row r="4131">
      <c r="A4131" s="16"/>
      <c r="B4131" s="145"/>
      <c r="C4131" s="146"/>
      <c r="D4131" s="146"/>
      <c r="E4131" s="16"/>
      <c r="F4131" s="91"/>
      <c r="G4131" s="16"/>
      <c r="H4131" s="320" t="str">
        <f t="shared" si="424"/>
        <v/>
      </c>
      <c r="I4131" s="16"/>
      <c r="J4131" s="16"/>
      <c r="K4131" s="16"/>
      <c r="L4131" s="16"/>
      <c r="M4131" s="15"/>
      <c r="N4131" s="15"/>
      <c r="O4131" s="16"/>
      <c r="P4131" s="16"/>
      <c r="Q4131" s="16"/>
      <c r="R4131" s="16"/>
      <c r="S4131" s="37" t="str">
        <f>IFERROR(__xludf.DUMMYFUNCTION("if(not(iserror(index(split(C4131, "" ""),2))), index(split(C4131, "" ""),1),"""")"),"")</f>
        <v/>
      </c>
      <c r="T4131" s="315" t="str">
        <f>IFERROR(__xludf.DUMMYFUNCTION("if(S4131="""",C4131,if(not(iserror(index(split(C4131, "" ""),3))), index(split(C4131, "" ""),3),index(split(C4131, "" ""),2)))"),"")</f>
        <v/>
      </c>
      <c r="U4131" s="38" t="b">
        <f t="shared" si="423"/>
        <v>0</v>
      </c>
      <c r="V4131" s="38"/>
      <c r="W4131" s="40"/>
      <c r="X4131" s="40"/>
      <c r="Y4131" s="40"/>
      <c r="Z4131" s="38"/>
      <c r="AA4131" s="38"/>
      <c r="AB4131" s="38"/>
      <c r="AC4131" s="38"/>
      <c r="AD4131" s="38"/>
      <c r="AE4131" s="38"/>
      <c r="AF4131" s="38"/>
      <c r="AG4131" s="38"/>
      <c r="AH4131" s="38"/>
      <c r="AI4131" s="38"/>
      <c r="AJ4131" s="38"/>
      <c r="AK4131" s="38"/>
      <c r="AL4131" s="38"/>
      <c r="AM4131" s="38"/>
      <c r="AN4131" s="38"/>
      <c r="AO4131" s="38"/>
      <c r="AP4131" s="38"/>
      <c r="AQ4131" s="38"/>
      <c r="AR4131" s="38"/>
      <c r="AS4131" s="38"/>
      <c r="AT4131" s="38"/>
      <c r="AU4131" s="38"/>
      <c r="AV4131" s="38"/>
      <c r="AW4131" s="38"/>
      <c r="AX4131" s="38"/>
      <c r="AY4131" s="38"/>
      <c r="AZ4131" s="38"/>
      <c r="BA4131" s="38"/>
      <c r="BB4131" s="38"/>
      <c r="BC4131" s="38"/>
      <c r="BD4131" s="38"/>
      <c r="BE4131" s="38"/>
      <c r="BF4131" s="38"/>
      <c r="BG4131" s="38"/>
      <c r="BH4131" s="38"/>
      <c r="BI4131" s="38"/>
      <c r="BJ4131" s="38"/>
      <c r="BK4131" s="38"/>
      <c r="BL4131" s="38"/>
      <c r="BM4131" s="38"/>
      <c r="BN4131" s="38"/>
      <c r="BO4131" s="38"/>
      <c r="BP4131" s="38"/>
      <c r="BQ4131" s="38"/>
    </row>
    <row r="4132">
      <c r="A4132" s="16"/>
      <c r="B4132" s="145"/>
      <c r="C4132" s="146"/>
      <c r="D4132" s="146"/>
      <c r="E4132" s="16"/>
      <c r="F4132" s="91"/>
      <c r="G4132" s="16"/>
      <c r="H4132" s="320" t="str">
        <f t="shared" si="424"/>
        <v/>
      </c>
      <c r="I4132" s="16"/>
      <c r="J4132" s="16"/>
      <c r="K4132" s="16"/>
      <c r="L4132" s="16"/>
      <c r="M4132" s="15"/>
      <c r="N4132" s="15"/>
      <c r="O4132" s="16"/>
      <c r="P4132" s="16"/>
      <c r="Q4132" s="16"/>
      <c r="R4132" s="16"/>
      <c r="S4132" s="37" t="str">
        <f>IFERROR(__xludf.DUMMYFUNCTION("if(not(iserror(index(split(C4132, "" ""),2))), index(split(C4132, "" ""),1),"""")"),"")</f>
        <v/>
      </c>
      <c r="T4132" s="315" t="str">
        <f>IFERROR(__xludf.DUMMYFUNCTION("if(S4132="""",C4132,if(not(iserror(index(split(C4132, "" ""),3))), index(split(C4132, "" ""),3),index(split(C4132, "" ""),2)))"),"")</f>
        <v/>
      </c>
      <c r="U4132" s="38" t="b">
        <f t="shared" si="423"/>
        <v>0</v>
      </c>
      <c r="V4132" s="38"/>
      <c r="W4132" s="40"/>
      <c r="X4132" s="40"/>
      <c r="Y4132" s="40"/>
      <c r="Z4132" s="38"/>
      <c r="AA4132" s="38"/>
      <c r="AB4132" s="38"/>
      <c r="AC4132" s="38"/>
      <c r="AD4132" s="38"/>
      <c r="AE4132" s="38"/>
      <c r="AF4132" s="38"/>
      <c r="AG4132" s="38"/>
      <c r="AH4132" s="38"/>
      <c r="AI4132" s="38"/>
      <c r="AJ4132" s="38"/>
      <c r="AK4132" s="38"/>
      <c r="AL4132" s="38"/>
      <c r="AM4132" s="38"/>
      <c r="AN4132" s="38"/>
      <c r="AO4132" s="38"/>
      <c r="AP4132" s="38"/>
      <c r="AQ4132" s="38"/>
      <c r="AR4132" s="38"/>
      <c r="AS4132" s="38"/>
      <c r="AT4132" s="38"/>
      <c r="AU4132" s="38"/>
      <c r="AV4132" s="38"/>
      <c r="AW4132" s="38"/>
      <c r="AX4132" s="38"/>
      <c r="AY4132" s="38"/>
      <c r="AZ4132" s="38"/>
      <c r="BA4132" s="38"/>
      <c r="BB4132" s="38"/>
      <c r="BC4132" s="38"/>
      <c r="BD4132" s="38"/>
      <c r="BE4132" s="38"/>
      <c r="BF4132" s="38"/>
      <c r="BG4132" s="38"/>
      <c r="BH4132" s="38"/>
      <c r="BI4132" s="38"/>
      <c r="BJ4132" s="38"/>
      <c r="BK4132" s="38"/>
      <c r="BL4132" s="38"/>
      <c r="BM4132" s="38"/>
      <c r="BN4132" s="38"/>
      <c r="BO4132" s="38"/>
      <c r="BP4132" s="38"/>
      <c r="BQ4132" s="38"/>
    </row>
    <row r="4133">
      <c r="A4133" s="16"/>
      <c r="B4133" s="145"/>
      <c r="C4133" s="146"/>
      <c r="D4133" s="146"/>
      <c r="E4133" s="16"/>
      <c r="F4133" s="91"/>
      <c r="G4133" s="16"/>
      <c r="H4133" s="320" t="str">
        <f t="shared" si="424"/>
        <v/>
      </c>
      <c r="I4133" s="16"/>
      <c r="J4133" s="16"/>
      <c r="K4133" s="16"/>
      <c r="L4133" s="16"/>
      <c r="M4133" s="15"/>
      <c r="N4133" s="15"/>
      <c r="O4133" s="16"/>
      <c r="P4133" s="16"/>
      <c r="Q4133" s="16"/>
      <c r="R4133" s="16"/>
      <c r="S4133" s="37" t="str">
        <f>IFERROR(__xludf.DUMMYFUNCTION("if(not(iserror(index(split(C4133, "" ""),2))), index(split(C4133, "" ""),1),"""")"),"")</f>
        <v/>
      </c>
      <c r="T4133" s="315" t="str">
        <f>IFERROR(__xludf.DUMMYFUNCTION("if(S4133="""",C4133,if(not(iserror(index(split(C4133, "" ""),3))), index(split(C4133, "" ""),3),index(split(C4133, "" ""),2)))"),"")</f>
        <v/>
      </c>
      <c r="U4133" s="38" t="b">
        <f t="shared" si="423"/>
        <v>0</v>
      </c>
      <c r="V4133" s="38"/>
      <c r="W4133" s="40"/>
      <c r="X4133" s="40"/>
      <c r="Y4133" s="40"/>
      <c r="Z4133" s="38"/>
      <c r="AA4133" s="38"/>
      <c r="AB4133" s="38"/>
      <c r="AC4133" s="38"/>
      <c r="AD4133" s="38"/>
      <c r="AE4133" s="38"/>
      <c r="AF4133" s="38"/>
      <c r="AG4133" s="38"/>
      <c r="AH4133" s="38"/>
      <c r="AI4133" s="38"/>
      <c r="AJ4133" s="38"/>
      <c r="AK4133" s="38"/>
      <c r="AL4133" s="38"/>
      <c r="AM4133" s="38"/>
      <c r="AN4133" s="38"/>
      <c r="AO4133" s="38"/>
      <c r="AP4133" s="38"/>
      <c r="AQ4133" s="38"/>
      <c r="AR4133" s="38"/>
      <c r="AS4133" s="38"/>
      <c r="AT4133" s="38"/>
      <c r="AU4133" s="38"/>
      <c r="AV4133" s="38"/>
      <c r="AW4133" s="38"/>
      <c r="AX4133" s="38"/>
      <c r="AY4133" s="38"/>
      <c r="AZ4133" s="38"/>
      <c r="BA4133" s="38"/>
      <c r="BB4133" s="38"/>
      <c r="BC4133" s="38"/>
      <c r="BD4133" s="38"/>
      <c r="BE4133" s="38"/>
      <c r="BF4133" s="38"/>
      <c r="BG4133" s="38"/>
      <c r="BH4133" s="38"/>
      <c r="BI4133" s="38"/>
      <c r="BJ4133" s="38"/>
      <c r="BK4133" s="38"/>
      <c r="BL4133" s="38"/>
      <c r="BM4133" s="38"/>
      <c r="BN4133" s="38"/>
      <c r="BO4133" s="38"/>
      <c r="BP4133" s="38"/>
      <c r="BQ4133" s="38"/>
    </row>
    <row r="4134">
      <c r="A4134" s="16"/>
      <c r="B4134" s="145"/>
      <c r="C4134" s="146"/>
      <c r="D4134" s="146"/>
      <c r="E4134" s="16"/>
      <c r="F4134" s="91"/>
      <c r="G4134" s="16"/>
      <c r="H4134" s="320" t="str">
        <f t="shared" si="424"/>
        <v/>
      </c>
      <c r="I4134" s="16"/>
      <c r="J4134" s="16"/>
      <c r="K4134" s="16"/>
      <c r="L4134" s="16"/>
      <c r="M4134" s="15"/>
      <c r="N4134" s="15"/>
      <c r="O4134" s="16"/>
      <c r="P4134" s="16"/>
      <c r="Q4134" s="16"/>
      <c r="R4134" s="16"/>
      <c r="S4134" s="37" t="str">
        <f>IFERROR(__xludf.DUMMYFUNCTION("if(not(iserror(index(split(C4134, "" ""),2))), index(split(C4134, "" ""),1),"""")"),"")</f>
        <v/>
      </c>
      <c r="T4134" s="315" t="str">
        <f>IFERROR(__xludf.DUMMYFUNCTION("if(S4134="""",C4134,if(not(iserror(index(split(C4134, "" ""),3))), index(split(C4134, "" ""),3),index(split(C4134, "" ""),2)))"),"")</f>
        <v/>
      </c>
      <c r="U4134" s="38" t="b">
        <f t="shared" si="423"/>
        <v>0</v>
      </c>
      <c r="V4134" s="38"/>
      <c r="W4134" s="40"/>
      <c r="X4134" s="40"/>
      <c r="Y4134" s="40"/>
      <c r="Z4134" s="38"/>
      <c r="AA4134" s="38"/>
      <c r="AB4134" s="38"/>
      <c r="AC4134" s="38"/>
      <c r="AD4134" s="38"/>
      <c r="AE4134" s="38"/>
      <c r="AF4134" s="38"/>
      <c r="AG4134" s="38"/>
      <c r="AH4134" s="38"/>
      <c r="AI4134" s="38"/>
      <c r="AJ4134" s="38"/>
      <c r="AK4134" s="38"/>
      <c r="AL4134" s="38"/>
      <c r="AM4134" s="38"/>
      <c r="AN4134" s="38"/>
      <c r="AO4134" s="38"/>
      <c r="AP4134" s="38"/>
      <c r="AQ4134" s="38"/>
      <c r="AR4134" s="38"/>
      <c r="AS4134" s="38"/>
      <c r="AT4134" s="38"/>
      <c r="AU4134" s="38"/>
      <c r="AV4134" s="38"/>
      <c r="AW4134" s="38"/>
      <c r="AX4134" s="38"/>
      <c r="AY4134" s="38"/>
      <c r="AZ4134" s="38"/>
      <c r="BA4134" s="38"/>
      <c r="BB4134" s="38"/>
      <c r="BC4134" s="38"/>
      <c r="BD4134" s="38"/>
      <c r="BE4134" s="38"/>
      <c r="BF4134" s="38"/>
      <c r="BG4134" s="38"/>
      <c r="BH4134" s="38"/>
      <c r="BI4134" s="38"/>
      <c r="BJ4134" s="38"/>
      <c r="BK4134" s="38"/>
      <c r="BL4134" s="38"/>
      <c r="BM4134" s="38"/>
      <c r="BN4134" s="38"/>
      <c r="BO4134" s="38"/>
      <c r="BP4134" s="38"/>
      <c r="BQ4134" s="38"/>
    </row>
    <row r="4135">
      <c r="A4135" s="16"/>
      <c r="B4135" s="145"/>
      <c r="C4135" s="146"/>
      <c r="D4135" s="146"/>
      <c r="E4135" s="16"/>
      <c r="F4135" s="91"/>
      <c r="G4135" s="16"/>
      <c r="H4135" s="320" t="str">
        <f t="shared" si="424"/>
        <v/>
      </c>
      <c r="I4135" s="16"/>
      <c r="J4135" s="16"/>
      <c r="K4135" s="16"/>
      <c r="L4135" s="16"/>
      <c r="M4135" s="15"/>
      <c r="N4135" s="15"/>
      <c r="O4135" s="16"/>
      <c r="P4135" s="16"/>
      <c r="Q4135" s="16"/>
      <c r="R4135" s="16"/>
      <c r="S4135" s="37" t="str">
        <f>IFERROR(__xludf.DUMMYFUNCTION("if(not(iserror(index(split(C4135, "" ""),2))), index(split(C4135, "" ""),1),"""")"),"")</f>
        <v/>
      </c>
      <c r="T4135" s="315" t="str">
        <f>IFERROR(__xludf.DUMMYFUNCTION("if(S4135="""",C4135,if(not(iserror(index(split(C4135, "" ""),3))), index(split(C4135, "" ""),3),index(split(C4135, "" ""),2)))"),"")</f>
        <v/>
      </c>
      <c r="U4135" s="38" t="b">
        <f t="shared" si="423"/>
        <v>0</v>
      </c>
      <c r="V4135" s="38"/>
      <c r="W4135" s="40"/>
      <c r="X4135" s="40"/>
      <c r="Y4135" s="40"/>
      <c r="Z4135" s="38"/>
      <c r="AA4135" s="38"/>
      <c r="AB4135" s="38"/>
      <c r="AC4135" s="38"/>
      <c r="AD4135" s="38"/>
      <c r="AE4135" s="38"/>
      <c r="AF4135" s="38"/>
      <c r="AG4135" s="38"/>
      <c r="AH4135" s="38"/>
      <c r="AI4135" s="38"/>
      <c r="AJ4135" s="38"/>
      <c r="AK4135" s="38"/>
      <c r="AL4135" s="38"/>
      <c r="AM4135" s="38"/>
      <c r="AN4135" s="38"/>
      <c r="AO4135" s="38"/>
      <c r="AP4135" s="38"/>
      <c r="AQ4135" s="38"/>
      <c r="AR4135" s="38"/>
      <c r="AS4135" s="38"/>
      <c r="AT4135" s="38"/>
      <c r="AU4135" s="38"/>
      <c r="AV4135" s="38"/>
      <c r="AW4135" s="38"/>
      <c r="AX4135" s="38"/>
      <c r="AY4135" s="38"/>
      <c r="AZ4135" s="38"/>
      <c r="BA4135" s="38"/>
      <c r="BB4135" s="38"/>
      <c r="BC4135" s="38"/>
      <c r="BD4135" s="38"/>
      <c r="BE4135" s="38"/>
      <c r="BF4135" s="38"/>
      <c r="BG4135" s="38"/>
      <c r="BH4135" s="38"/>
      <c r="BI4135" s="38"/>
      <c r="BJ4135" s="38"/>
      <c r="BK4135" s="38"/>
      <c r="BL4135" s="38"/>
      <c r="BM4135" s="38"/>
      <c r="BN4135" s="38"/>
      <c r="BO4135" s="38"/>
      <c r="BP4135" s="38"/>
      <c r="BQ4135" s="38"/>
    </row>
    <row r="4136">
      <c r="A4136" s="16"/>
      <c r="B4136" s="145"/>
      <c r="C4136" s="146"/>
      <c r="D4136" s="146"/>
      <c r="E4136" s="16"/>
      <c r="F4136" s="91"/>
      <c r="G4136" s="16"/>
      <c r="H4136" s="320" t="str">
        <f t="shared" si="424"/>
        <v/>
      </c>
      <c r="I4136" s="16"/>
      <c r="J4136" s="16"/>
      <c r="K4136" s="16"/>
      <c r="L4136" s="16"/>
      <c r="M4136" s="15"/>
      <c r="N4136" s="15"/>
      <c r="O4136" s="16"/>
      <c r="P4136" s="16"/>
      <c r="Q4136" s="16"/>
      <c r="R4136" s="16"/>
      <c r="S4136" s="37" t="str">
        <f>IFERROR(__xludf.DUMMYFUNCTION("if(not(iserror(index(split(C4136, "" ""),2))), index(split(C4136, "" ""),1),"""")"),"")</f>
        <v/>
      </c>
      <c r="T4136" s="315" t="str">
        <f>IFERROR(__xludf.DUMMYFUNCTION("if(S4136="""",C4136,if(not(iserror(index(split(C4136, "" ""),3))), index(split(C4136, "" ""),3),index(split(C4136, "" ""),2)))"),"")</f>
        <v/>
      </c>
      <c r="U4136" s="38" t="b">
        <f t="shared" si="423"/>
        <v>0</v>
      </c>
      <c r="V4136" s="38"/>
      <c r="W4136" s="40"/>
      <c r="X4136" s="40"/>
      <c r="Y4136" s="40"/>
      <c r="Z4136" s="38"/>
      <c r="AA4136" s="38"/>
      <c r="AB4136" s="38"/>
      <c r="AC4136" s="38"/>
      <c r="AD4136" s="38"/>
      <c r="AE4136" s="38"/>
      <c r="AF4136" s="38"/>
      <c r="AG4136" s="38"/>
      <c r="AH4136" s="38"/>
      <c r="AI4136" s="38"/>
      <c r="AJ4136" s="38"/>
      <c r="AK4136" s="38"/>
      <c r="AL4136" s="38"/>
      <c r="AM4136" s="38"/>
      <c r="AN4136" s="38"/>
      <c r="AO4136" s="38"/>
      <c r="AP4136" s="38"/>
      <c r="AQ4136" s="38"/>
      <c r="AR4136" s="38"/>
      <c r="AS4136" s="38"/>
      <c r="AT4136" s="38"/>
      <c r="AU4136" s="38"/>
      <c r="AV4136" s="38"/>
      <c r="AW4136" s="38"/>
      <c r="AX4136" s="38"/>
      <c r="AY4136" s="38"/>
      <c r="AZ4136" s="38"/>
      <c r="BA4136" s="38"/>
      <c r="BB4136" s="38"/>
      <c r="BC4136" s="38"/>
      <c r="BD4136" s="38"/>
      <c r="BE4136" s="38"/>
      <c r="BF4136" s="38"/>
      <c r="BG4136" s="38"/>
      <c r="BH4136" s="38"/>
      <c r="BI4136" s="38"/>
      <c r="BJ4136" s="38"/>
      <c r="BK4136" s="38"/>
      <c r="BL4136" s="38"/>
      <c r="BM4136" s="38"/>
      <c r="BN4136" s="38"/>
      <c r="BO4136" s="38"/>
      <c r="BP4136" s="38"/>
      <c r="BQ4136" s="38"/>
    </row>
    <row r="4137">
      <c r="A4137" s="16"/>
      <c r="B4137" s="145"/>
      <c r="C4137" s="146"/>
      <c r="D4137" s="146"/>
      <c r="E4137" s="16"/>
      <c r="F4137" s="91"/>
      <c r="G4137" s="16"/>
      <c r="H4137" s="320" t="str">
        <f t="shared" si="424"/>
        <v/>
      </c>
      <c r="I4137" s="16"/>
      <c r="J4137" s="16"/>
      <c r="K4137" s="16"/>
      <c r="L4137" s="16"/>
      <c r="M4137" s="15"/>
      <c r="N4137" s="15"/>
      <c r="O4137" s="16"/>
      <c r="P4137" s="16"/>
      <c r="Q4137" s="16"/>
      <c r="R4137" s="16"/>
      <c r="S4137" s="37" t="str">
        <f>IFERROR(__xludf.DUMMYFUNCTION("if(not(iserror(index(split(C4137, "" ""),2))), index(split(C4137, "" ""),1),"""")"),"")</f>
        <v/>
      </c>
      <c r="T4137" s="315" t="str">
        <f>IFERROR(__xludf.DUMMYFUNCTION("if(S4137="""",C4137,if(not(iserror(index(split(C4137, "" ""),3))), index(split(C4137, "" ""),3),index(split(C4137, "" ""),2)))"),"")</f>
        <v/>
      </c>
      <c r="U4137" s="38" t="b">
        <f t="shared" si="423"/>
        <v>0</v>
      </c>
      <c r="V4137" s="38"/>
      <c r="W4137" s="40"/>
      <c r="X4137" s="40"/>
      <c r="Y4137" s="40"/>
      <c r="Z4137" s="38"/>
      <c r="AA4137" s="38"/>
      <c r="AB4137" s="38"/>
      <c r="AC4137" s="38"/>
      <c r="AD4137" s="38"/>
      <c r="AE4137" s="38"/>
      <c r="AF4137" s="38"/>
      <c r="AG4137" s="38"/>
      <c r="AH4137" s="38"/>
      <c r="AI4137" s="38"/>
      <c r="AJ4137" s="38"/>
      <c r="AK4137" s="38"/>
      <c r="AL4137" s="38"/>
      <c r="AM4137" s="38"/>
      <c r="AN4137" s="38"/>
      <c r="AO4137" s="38"/>
      <c r="AP4137" s="38"/>
      <c r="AQ4137" s="38"/>
      <c r="AR4137" s="38"/>
      <c r="AS4137" s="38"/>
      <c r="AT4137" s="38"/>
      <c r="AU4137" s="38"/>
      <c r="AV4137" s="38"/>
      <c r="AW4137" s="38"/>
      <c r="AX4137" s="38"/>
      <c r="AY4137" s="38"/>
      <c r="AZ4137" s="38"/>
      <c r="BA4137" s="38"/>
      <c r="BB4137" s="38"/>
      <c r="BC4137" s="38"/>
      <c r="BD4137" s="38"/>
      <c r="BE4137" s="38"/>
      <c r="BF4137" s="38"/>
      <c r="BG4137" s="38"/>
      <c r="BH4137" s="38"/>
      <c r="BI4137" s="38"/>
      <c r="BJ4137" s="38"/>
      <c r="BK4137" s="38"/>
      <c r="BL4137" s="38"/>
      <c r="BM4137" s="38"/>
      <c r="BN4137" s="38"/>
      <c r="BO4137" s="38"/>
      <c r="BP4137" s="38"/>
      <c r="BQ4137" s="38"/>
    </row>
    <row r="4138">
      <c r="A4138" s="16"/>
      <c r="B4138" s="145"/>
      <c r="C4138" s="146"/>
      <c r="D4138" s="146"/>
      <c r="E4138" s="16"/>
      <c r="F4138" s="91"/>
      <c r="G4138" s="16"/>
      <c r="H4138" s="320" t="str">
        <f t="shared" si="424"/>
        <v/>
      </c>
      <c r="I4138" s="16"/>
      <c r="J4138" s="16"/>
      <c r="K4138" s="16"/>
      <c r="L4138" s="16"/>
      <c r="M4138" s="15"/>
      <c r="N4138" s="15"/>
      <c r="O4138" s="16"/>
      <c r="P4138" s="16"/>
      <c r="Q4138" s="16"/>
      <c r="R4138" s="16"/>
      <c r="S4138" s="37" t="str">
        <f>IFERROR(__xludf.DUMMYFUNCTION("if(not(iserror(index(split(C4138, "" ""),2))), index(split(C4138, "" ""),1),"""")"),"")</f>
        <v/>
      </c>
      <c r="T4138" s="315" t="str">
        <f>IFERROR(__xludf.DUMMYFUNCTION("if(S4138="""",C4138,if(not(iserror(index(split(C4138, "" ""),3))), index(split(C4138, "" ""),3),index(split(C4138, "" ""),2)))"),"")</f>
        <v/>
      </c>
      <c r="U4138" s="38" t="b">
        <f t="shared" si="423"/>
        <v>0</v>
      </c>
      <c r="V4138" s="38"/>
      <c r="W4138" s="40"/>
      <c r="X4138" s="40"/>
      <c r="Y4138" s="40"/>
      <c r="Z4138" s="38"/>
      <c r="AA4138" s="38"/>
      <c r="AB4138" s="38"/>
      <c r="AC4138" s="38"/>
      <c r="AD4138" s="38"/>
      <c r="AE4138" s="38"/>
      <c r="AF4138" s="38"/>
      <c r="AG4138" s="38"/>
      <c r="AH4138" s="38"/>
      <c r="AI4138" s="38"/>
      <c r="AJ4138" s="38"/>
      <c r="AK4138" s="38"/>
      <c r="AL4138" s="38"/>
      <c r="AM4138" s="38"/>
      <c r="AN4138" s="38"/>
      <c r="AO4138" s="38"/>
      <c r="AP4138" s="38"/>
      <c r="AQ4138" s="38"/>
      <c r="AR4138" s="38"/>
      <c r="AS4138" s="38"/>
      <c r="AT4138" s="38"/>
      <c r="AU4138" s="38"/>
      <c r="AV4138" s="38"/>
      <c r="AW4138" s="38"/>
      <c r="AX4138" s="38"/>
      <c r="AY4138" s="38"/>
      <c r="AZ4138" s="38"/>
      <c r="BA4138" s="38"/>
      <c r="BB4138" s="38"/>
      <c r="BC4138" s="38"/>
      <c r="BD4138" s="38"/>
      <c r="BE4138" s="38"/>
      <c r="BF4138" s="38"/>
      <c r="BG4138" s="38"/>
      <c r="BH4138" s="38"/>
      <c r="BI4138" s="38"/>
      <c r="BJ4138" s="38"/>
      <c r="BK4138" s="38"/>
      <c r="BL4138" s="38"/>
      <c r="BM4138" s="38"/>
      <c r="BN4138" s="38"/>
      <c r="BO4138" s="38"/>
      <c r="BP4138" s="38"/>
      <c r="BQ4138" s="38"/>
    </row>
    <row r="4139">
      <c r="A4139" s="16"/>
      <c r="B4139" s="145"/>
      <c r="C4139" s="146"/>
      <c r="D4139" s="146"/>
      <c r="E4139" s="16"/>
      <c r="F4139" s="91"/>
      <c r="G4139" s="16"/>
      <c r="H4139" s="320" t="str">
        <f t="shared" si="424"/>
        <v/>
      </c>
      <c r="I4139" s="16"/>
      <c r="J4139" s="16"/>
      <c r="K4139" s="16"/>
      <c r="L4139" s="16"/>
      <c r="M4139" s="15"/>
      <c r="N4139" s="15"/>
      <c r="O4139" s="16"/>
      <c r="P4139" s="16"/>
      <c r="Q4139" s="16"/>
      <c r="R4139" s="16"/>
      <c r="S4139" s="37" t="str">
        <f>IFERROR(__xludf.DUMMYFUNCTION("if(not(iserror(index(split(C4139, "" ""),2))), index(split(C4139, "" ""),1),"""")"),"")</f>
        <v/>
      </c>
      <c r="T4139" s="315" t="str">
        <f>IFERROR(__xludf.DUMMYFUNCTION("if(S4139="""",C4139,if(not(iserror(index(split(C4139, "" ""),3))), index(split(C4139, "" ""),3),index(split(C4139, "" ""),2)))"),"")</f>
        <v/>
      </c>
      <c r="U4139" s="38" t="b">
        <f t="shared" si="423"/>
        <v>0</v>
      </c>
      <c r="V4139" s="38"/>
      <c r="W4139" s="40"/>
      <c r="X4139" s="40"/>
      <c r="Y4139" s="40"/>
      <c r="Z4139" s="38"/>
      <c r="AA4139" s="38"/>
      <c r="AB4139" s="38"/>
      <c r="AC4139" s="38"/>
      <c r="AD4139" s="38"/>
      <c r="AE4139" s="38"/>
      <c r="AF4139" s="38"/>
      <c r="AG4139" s="38"/>
      <c r="AH4139" s="38"/>
      <c r="AI4139" s="38"/>
      <c r="AJ4139" s="38"/>
      <c r="AK4139" s="38"/>
      <c r="AL4139" s="38"/>
      <c r="AM4139" s="38"/>
      <c r="AN4139" s="38"/>
      <c r="AO4139" s="38"/>
      <c r="AP4139" s="38"/>
      <c r="AQ4139" s="38"/>
      <c r="AR4139" s="38"/>
      <c r="AS4139" s="38"/>
      <c r="AT4139" s="38"/>
      <c r="AU4139" s="38"/>
      <c r="AV4139" s="38"/>
      <c r="AW4139" s="38"/>
      <c r="AX4139" s="38"/>
      <c r="AY4139" s="38"/>
      <c r="AZ4139" s="38"/>
      <c r="BA4139" s="38"/>
      <c r="BB4139" s="38"/>
      <c r="BC4139" s="38"/>
      <c r="BD4139" s="38"/>
      <c r="BE4139" s="38"/>
      <c r="BF4139" s="38"/>
      <c r="BG4139" s="38"/>
      <c r="BH4139" s="38"/>
      <c r="BI4139" s="38"/>
      <c r="BJ4139" s="38"/>
      <c r="BK4139" s="38"/>
      <c r="BL4139" s="38"/>
      <c r="BM4139" s="38"/>
      <c r="BN4139" s="38"/>
      <c r="BO4139" s="38"/>
      <c r="BP4139" s="38"/>
      <c r="BQ4139" s="38"/>
    </row>
    <row r="4140">
      <c r="A4140" s="16"/>
      <c r="B4140" s="145"/>
      <c r="C4140" s="146"/>
      <c r="D4140" s="146"/>
      <c r="E4140" s="16"/>
      <c r="F4140" s="91"/>
      <c r="G4140" s="16"/>
      <c r="H4140" s="320" t="str">
        <f t="shared" si="424"/>
        <v/>
      </c>
      <c r="I4140" s="16"/>
      <c r="J4140" s="16"/>
      <c r="K4140" s="16"/>
      <c r="L4140" s="16"/>
      <c r="M4140" s="15"/>
      <c r="N4140" s="15"/>
      <c r="O4140" s="16"/>
      <c r="P4140" s="16"/>
      <c r="Q4140" s="16"/>
      <c r="R4140" s="16"/>
      <c r="S4140" s="37" t="str">
        <f>IFERROR(__xludf.DUMMYFUNCTION("if(not(iserror(index(split(C4140, "" ""),2))), index(split(C4140, "" ""),1),"""")"),"")</f>
        <v/>
      </c>
      <c r="T4140" s="315" t="str">
        <f>IFERROR(__xludf.DUMMYFUNCTION("if(S4140="""",C4140,if(not(iserror(index(split(C4140, "" ""),3))), index(split(C4140, "" ""),3),index(split(C4140, "" ""),2)))"),"")</f>
        <v/>
      </c>
      <c r="U4140" s="38" t="b">
        <f t="shared" si="423"/>
        <v>0</v>
      </c>
      <c r="V4140" s="38"/>
      <c r="W4140" s="40"/>
      <c r="X4140" s="40"/>
      <c r="Y4140" s="40"/>
      <c r="Z4140" s="38"/>
      <c r="AA4140" s="38"/>
      <c r="AB4140" s="38"/>
      <c r="AC4140" s="38"/>
      <c r="AD4140" s="38"/>
      <c r="AE4140" s="38"/>
      <c r="AF4140" s="38"/>
      <c r="AG4140" s="38"/>
      <c r="AH4140" s="38"/>
      <c r="AI4140" s="38"/>
      <c r="AJ4140" s="38"/>
      <c r="AK4140" s="38"/>
      <c r="AL4140" s="38"/>
      <c r="AM4140" s="38"/>
      <c r="AN4140" s="38"/>
      <c r="AO4140" s="38"/>
      <c r="AP4140" s="38"/>
      <c r="AQ4140" s="38"/>
      <c r="AR4140" s="38"/>
      <c r="AS4140" s="38"/>
      <c r="AT4140" s="38"/>
      <c r="AU4140" s="38"/>
      <c r="AV4140" s="38"/>
      <c r="AW4140" s="38"/>
      <c r="AX4140" s="38"/>
      <c r="AY4140" s="38"/>
      <c r="AZ4140" s="38"/>
      <c r="BA4140" s="38"/>
      <c r="BB4140" s="38"/>
      <c r="BC4140" s="38"/>
      <c r="BD4140" s="38"/>
      <c r="BE4140" s="38"/>
      <c r="BF4140" s="38"/>
      <c r="BG4140" s="38"/>
      <c r="BH4140" s="38"/>
      <c r="BI4140" s="38"/>
      <c r="BJ4140" s="38"/>
      <c r="BK4140" s="38"/>
      <c r="BL4140" s="38"/>
      <c r="BM4140" s="38"/>
      <c r="BN4140" s="38"/>
      <c r="BO4140" s="38"/>
      <c r="BP4140" s="38"/>
      <c r="BQ4140" s="38"/>
    </row>
    <row r="4141">
      <c r="A4141" s="16"/>
      <c r="B4141" s="145"/>
      <c r="C4141" s="146"/>
      <c r="D4141" s="146"/>
      <c r="E4141" s="16"/>
      <c r="F4141" s="91"/>
      <c r="G4141" s="16"/>
      <c r="H4141" s="320" t="str">
        <f t="shared" si="424"/>
        <v/>
      </c>
      <c r="I4141" s="16"/>
      <c r="J4141" s="16"/>
      <c r="K4141" s="16"/>
      <c r="L4141" s="16"/>
      <c r="M4141" s="15"/>
      <c r="N4141" s="15"/>
      <c r="O4141" s="16"/>
      <c r="P4141" s="16"/>
      <c r="Q4141" s="16"/>
      <c r="R4141" s="16"/>
      <c r="S4141" s="37" t="str">
        <f>IFERROR(__xludf.DUMMYFUNCTION("if(not(iserror(index(split(C4141, "" ""),2))), index(split(C4141, "" ""),1),"""")"),"")</f>
        <v/>
      </c>
      <c r="T4141" s="315" t="str">
        <f>IFERROR(__xludf.DUMMYFUNCTION("if(S4141="""",C4141,if(not(iserror(index(split(C4141, "" ""),3))), index(split(C4141, "" ""),3),index(split(C4141, "" ""),2)))"),"")</f>
        <v/>
      </c>
      <c r="U4141" s="38" t="b">
        <f t="shared" si="423"/>
        <v>0</v>
      </c>
      <c r="V4141" s="38"/>
      <c r="W4141" s="40"/>
      <c r="X4141" s="40"/>
      <c r="Y4141" s="40"/>
      <c r="Z4141" s="38"/>
      <c r="AA4141" s="38"/>
      <c r="AB4141" s="38"/>
      <c r="AC4141" s="38"/>
      <c r="AD4141" s="38"/>
      <c r="AE4141" s="38"/>
      <c r="AF4141" s="38"/>
      <c r="AG4141" s="38"/>
      <c r="AH4141" s="38"/>
      <c r="AI4141" s="38"/>
      <c r="AJ4141" s="38"/>
      <c r="AK4141" s="38"/>
      <c r="AL4141" s="38"/>
      <c r="AM4141" s="38"/>
      <c r="AN4141" s="38"/>
      <c r="AO4141" s="38"/>
      <c r="AP4141" s="38"/>
      <c r="AQ4141" s="38"/>
      <c r="AR4141" s="38"/>
      <c r="AS4141" s="38"/>
      <c r="AT4141" s="38"/>
      <c r="AU4141" s="38"/>
      <c r="AV4141" s="38"/>
      <c r="AW4141" s="38"/>
      <c r="AX4141" s="38"/>
      <c r="AY4141" s="38"/>
      <c r="AZ4141" s="38"/>
      <c r="BA4141" s="38"/>
      <c r="BB4141" s="38"/>
      <c r="BC4141" s="38"/>
      <c r="BD4141" s="38"/>
      <c r="BE4141" s="38"/>
      <c r="BF4141" s="38"/>
      <c r="BG4141" s="38"/>
      <c r="BH4141" s="38"/>
      <c r="BI4141" s="38"/>
      <c r="BJ4141" s="38"/>
      <c r="BK4141" s="38"/>
      <c r="BL4141" s="38"/>
      <c r="BM4141" s="38"/>
      <c r="BN4141" s="38"/>
      <c r="BO4141" s="38"/>
      <c r="BP4141" s="38"/>
      <c r="BQ4141" s="38"/>
    </row>
    <row r="4142">
      <c r="A4142" s="16"/>
      <c r="B4142" s="145"/>
      <c r="C4142" s="146"/>
      <c r="D4142" s="146"/>
      <c r="E4142" s="16"/>
      <c r="F4142" s="91"/>
      <c r="G4142" s="16"/>
      <c r="H4142" s="320" t="str">
        <f t="shared" si="424"/>
        <v/>
      </c>
      <c r="I4142" s="16"/>
      <c r="J4142" s="16"/>
      <c r="K4142" s="16"/>
      <c r="L4142" s="16"/>
      <c r="M4142" s="15"/>
      <c r="N4142" s="15"/>
      <c r="O4142" s="16"/>
      <c r="P4142" s="16"/>
      <c r="Q4142" s="16"/>
      <c r="R4142" s="16"/>
      <c r="S4142" s="37" t="str">
        <f>IFERROR(__xludf.DUMMYFUNCTION("if(not(iserror(index(split(C4142, "" ""),2))), index(split(C4142, "" ""),1),"""")"),"")</f>
        <v/>
      </c>
      <c r="T4142" s="315" t="str">
        <f>IFERROR(__xludf.DUMMYFUNCTION("if(S4142="""",C4142,if(not(iserror(index(split(C4142, "" ""),3))), index(split(C4142, "" ""),3),index(split(C4142, "" ""),2)))"),"")</f>
        <v/>
      </c>
      <c r="U4142" s="38" t="b">
        <f t="shared" si="423"/>
        <v>0</v>
      </c>
      <c r="V4142" s="38"/>
      <c r="W4142" s="40"/>
      <c r="X4142" s="40"/>
      <c r="Y4142" s="40"/>
      <c r="Z4142" s="38"/>
      <c r="AA4142" s="38"/>
      <c r="AB4142" s="38"/>
      <c r="AC4142" s="38"/>
      <c r="AD4142" s="38"/>
      <c r="AE4142" s="38"/>
      <c r="AF4142" s="38"/>
      <c r="AG4142" s="38"/>
      <c r="AH4142" s="38"/>
      <c r="AI4142" s="38"/>
      <c r="AJ4142" s="38"/>
      <c r="AK4142" s="38"/>
      <c r="AL4142" s="38"/>
      <c r="AM4142" s="38"/>
      <c r="AN4142" s="38"/>
      <c r="AO4142" s="38"/>
      <c r="AP4142" s="38"/>
      <c r="AQ4142" s="38"/>
      <c r="AR4142" s="38"/>
      <c r="AS4142" s="38"/>
      <c r="AT4142" s="38"/>
      <c r="AU4142" s="38"/>
      <c r="AV4142" s="38"/>
      <c r="AW4142" s="38"/>
      <c r="AX4142" s="38"/>
      <c r="AY4142" s="38"/>
      <c r="AZ4142" s="38"/>
      <c r="BA4142" s="38"/>
      <c r="BB4142" s="38"/>
      <c r="BC4142" s="38"/>
      <c r="BD4142" s="38"/>
      <c r="BE4142" s="38"/>
      <c r="BF4142" s="38"/>
      <c r="BG4142" s="38"/>
      <c r="BH4142" s="38"/>
      <c r="BI4142" s="38"/>
      <c r="BJ4142" s="38"/>
      <c r="BK4142" s="38"/>
      <c r="BL4142" s="38"/>
      <c r="BM4142" s="38"/>
      <c r="BN4142" s="38"/>
      <c r="BO4142" s="38"/>
      <c r="BP4142" s="38"/>
      <c r="BQ4142" s="38"/>
    </row>
    <row r="4143">
      <c r="A4143" s="16"/>
      <c r="B4143" s="145"/>
      <c r="C4143" s="146"/>
      <c r="D4143" s="146"/>
      <c r="E4143" s="16"/>
      <c r="F4143" s="91"/>
      <c r="G4143" s="16"/>
      <c r="H4143" s="320" t="str">
        <f t="shared" si="424"/>
        <v/>
      </c>
      <c r="I4143" s="16"/>
      <c r="J4143" s="16"/>
      <c r="K4143" s="16"/>
      <c r="L4143" s="16"/>
      <c r="M4143" s="15"/>
      <c r="N4143" s="15"/>
      <c r="O4143" s="16"/>
      <c r="P4143" s="16"/>
      <c r="Q4143" s="16"/>
      <c r="R4143" s="16"/>
      <c r="S4143" s="37" t="str">
        <f>IFERROR(__xludf.DUMMYFUNCTION("if(not(iserror(index(split(C4143, "" ""),2))), index(split(C4143, "" ""),1),"""")"),"")</f>
        <v/>
      </c>
      <c r="T4143" s="315" t="str">
        <f>IFERROR(__xludf.DUMMYFUNCTION("if(S4143="""",C4143,if(not(iserror(index(split(C4143, "" ""),3))), index(split(C4143, "" ""),3),index(split(C4143, "" ""),2)))"),"")</f>
        <v/>
      </c>
      <c r="U4143" s="38" t="b">
        <f t="shared" si="423"/>
        <v>0</v>
      </c>
      <c r="V4143" s="38"/>
      <c r="W4143" s="40"/>
      <c r="X4143" s="40"/>
      <c r="Y4143" s="40"/>
      <c r="Z4143" s="38"/>
      <c r="AA4143" s="38"/>
      <c r="AB4143" s="38"/>
      <c r="AC4143" s="38"/>
      <c r="AD4143" s="38"/>
      <c r="AE4143" s="38"/>
      <c r="AF4143" s="38"/>
      <c r="AG4143" s="38"/>
      <c r="AH4143" s="38"/>
      <c r="AI4143" s="38"/>
      <c r="AJ4143" s="38"/>
      <c r="AK4143" s="38"/>
      <c r="AL4143" s="38"/>
      <c r="AM4143" s="38"/>
      <c r="AN4143" s="38"/>
      <c r="AO4143" s="38"/>
      <c r="AP4143" s="38"/>
      <c r="AQ4143" s="38"/>
      <c r="AR4143" s="38"/>
      <c r="AS4143" s="38"/>
      <c r="AT4143" s="38"/>
      <c r="AU4143" s="38"/>
      <c r="AV4143" s="38"/>
      <c r="AW4143" s="38"/>
      <c r="AX4143" s="38"/>
      <c r="AY4143" s="38"/>
      <c r="AZ4143" s="38"/>
      <c r="BA4143" s="38"/>
      <c r="BB4143" s="38"/>
      <c r="BC4143" s="38"/>
      <c r="BD4143" s="38"/>
      <c r="BE4143" s="38"/>
      <c r="BF4143" s="38"/>
      <c r="BG4143" s="38"/>
      <c r="BH4143" s="38"/>
      <c r="BI4143" s="38"/>
      <c r="BJ4143" s="38"/>
      <c r="BK4143" s="38"/>
      <c r="BL4143" s="38"/>
      <c r="BM4143" s="38"/>
      <c r="BN4143" s="38"/>
      <c r="BO4143" s="38"/>
      <c r="BP4143" s="38"/>
      <c r="BQ4143" s="38"/>
    </row>
    <row r="4144">
      <c r="A4144" s="16"/>
      <c r="B4144" s="145"/>
      <c r="C4144" s="146"/>
      <c r="D4144" s="146"/>
      <c r="E4144" s="16"/>
      <c r="F4144" s="91"/>
      <c r="G4144" s="16"/>
      <c r="H4144" s="320" t="str">
        <f t="shared" si="424"/>
        <v/>
      </c>
      <c r="I4144" s="16"/>
      <c r="J4144" s="16"/>
      <c r="K4144" s="16"/>
      <c r="L4144" s="16"/>
      <c r="M4144" s="15"/>
      <c r="N4144" s="15"/>
      <c r="O4144" s="16"/>
      <c r="P4144" s="16"/>
      <c r="Q4144" s="16"/>
      <c r="R4144" s="16"/>
      <c r="S4144" s="37" t="str">
        <f>IFERROR(__xludf.DUMMYFUNCTION("if(not(iserror(index(split(C4144, "" ""),2))), index(split(C4144, "" ""),1),"""")"),"")</f>
        <v/>
      </c>
      <c r="T4144" s="315" t="str">
        <f>IFERROR(__xludf.DUMMYFUNCTION("if(S4144="""",C4144,if(not(iserror(index(split(C4144, "" ""),3))), index(split(C4144, "" ""),3),index(split(C4144, "" ""),2)))"),"")</f>
        <v/>
      </c>
      <c r="U4144" s="38" t="b">
        <f t="shared" si="423"/>
        <v>0</v>
      </c>
      <c r="V4144" s="38"/>
      <c r="W4144" s="40"/>
      <c r="X4144" s="40"/>
      <c r="Y4144" s="40"/>
      <c r="Z4144" s="38"/>
      <c r="AA4144" s="38"/>
      <c r="AB4144" s="38"/>
      <c r="AC4144" s="38"/>
      <c r="AD4144" s="38"/>
      <c r="AE4144" s="38"/>
      <c r="AF4144" s="38"/>
      <c r="AG4144" s="38"/>
      <c r="AH4144" s="38"/>
      <c r="AI4144" s="38"/>
      <c r="AJ4144" s="38"/>
      <c r="AK4144" s="38"/>
      <c r="AL4144" s="38"/>
      <c r="AM4144" s="38"/>
      <c r="AN4144" s="38"/>
      <c r="AO4144" s="38"/>
      <c r="AP4144" s="38"/>
      <c r="AQ4144" s="38"/>
      <c r="AR4144" s="38"/>
      <c r="AS4144" s="38"/>
      <c r="AT4144" s="38"/>
      <c r="AU4144" s="38"/>
      <c r="AV4144" s="38"/>
      <c r="AW4144" s="38"/>
      <c r="AX4144" s="38"/>
      <c r="AY4144" s="38"/>
      <c r="AZ4144" s="38"/>
      <c r="BA4144" s="38"/>
      <c r="BB4144" s="38"/>
      <c r="BC4144" s="38"/>
      <c r="BD4144" s="38"/>
      <c r="BE4144" s="38"/>
      <c r="BF4144" s="38"/>
      <c r="BG4144" s="38"/>
      <c r="BH4144" s="38"/>
      <c r="BI4144" s="38"/>
      <c r="BJ4144" s="38"/>
      <c r="BK4144" s="38"/>
      <c r="BL4144" s="38"/>
      <c r="BM4144" s="38"/>
      <c r="BN4144" s="38"/>
      <c r="BO4144" s="38"/>
      <c r="BP4144" s="38"/>
      <c r="BQ4144" s="38"/>
    </row>
    <row r="4145">
      <c r="A4145" s="16"/>
      <c r="B4145" s="145"/>
      <c r="C4145" s="146"/>
      <c r="D4145" s="146"/>
      <c r="E4145" s="16"/>
      <c r="F4145" s="91"/>
      <c r="G4145" s="16"/>
      <c r="H4145" s="320" t="str">
        <f t="shared" si="424"/>
        <v/>
      </c>
      <c r="I4145" s="16"/>
      <c r="J4145" s="16"/>
      <c r="K4145" s="16"/>
      <c r="L4145" s="16"/>
      <c r="M4145" s="15"/>
      <c r="N4145" s="15"/>
      <c r="O4145" s="16"/>
      <c r="P4145" s="16"/>
      <c r="Q4145" s="16"/>
      <c r="R4145" s="16"/>
      <c r="S4145" s="37" t="str">
        <f>IFERROR(__xludf.DUMMYFUNCTION("if(not(iserror(index(split(C4145, "" ""),2))), index(split(C4145, "" ""),1),"""")"),"")</f>
        <v/>
      </c>
      <c r="T4145" s="315" t="str">
        <f>IFERROR(__xludf.DUMMYFUNCTION("if(S4145="""",C4145,if(not(iserror(index(split(C4145, "" ""),3))), index(split(C4145, "" ""),3),index(split(C4145, "" ""),2)))"),"")</f>
        <v/>
      </c>
      <c r="U4145" s="38" t="b">
        <f t="shared" si="423"/>
        <v>0</v>
      </c>
      <c r="V4145" s="38"/>
      <c r="W4145" s="40"/>
      <c r="X4145" s="40"/>
      <c r="Y4145" s="40"/>
      <c r="Z4145" s="38"/>
      <c r="AA4145" s="38"/>
      <c r="AB4145" s="38"/>
      <c r="AC4145" s="38"/>
      <c r="AD4145" s="38"/>
      <c r="AE4145" s="38"/>
      <c r="AF4145" s="38"/>
      <c r="AG4145" s="38"/>
      <c r="AH4145" s="38"/>
      <c r="AI4145" s="38"/>
      <c r="AJ4145" s="38"/>
      <c r="AK4145" s="38"/>
      <c r="AL4145" s="38"/>
      <c r="AM4145" s="38"/>
      <c r="AN4145" s="38"/>
      <c r="AO4145" s="38"/>
      <c r="AP4145" s="38"/>
      <c r="AQ4145" s="38"/>
      <c r="AR4145" s="38"/>
      <c r="AS4145" s="38"/>
      <c r="AT4145" s="38"/>
      <c r="AU4145" s="38"/>
      <c r="AV4145" s="38"/>
      <c r="AW4145" s="38"/>
      <c r="AX4145" s="38"/>
      <c r="AY4145" s="38"/>
      <c r="AZ4145" s="38"/>
      <c r="BA4145" s="38"/>
      <c r="BB4145" s="38"/>
      <c r="BC4145" s="38"/>
      <c r="BD4145" s="38"/>
      <c r="BE4145" s="38"/>
      <c r="BF4145" s="38"/>
      <c r="BG4145" s="38"/>
      <c r="BH4145" s="38"/>
      <c r="BI4145" s="38"/>
      <c r="BJ4145" s="38"/>
      <c r="BK4145" s="38"/>
      <c r="BL4145" s="38"/>
      <c r="BM4145" s="38"/>
      <c r="BN4145" s="38"/>
      <c r="BO4145" s="38"/>
      <c r="BP4145" s="38"/>
      <c r="BQ4145" s="38"/>
    </row>
    <row r="4146">
      <c r="A4146" s="16"/>
      <c r="B4146" s="145"/>
      <c r="C4146" s="146"/>
      <c r="D4146" s="146"/>
      <c r="E4146" s="16"/>
      <c r="F4146" s="91"/>
      <c r="G4146" s="16"/>
      <c r="H4146" s="320" t="str">
        <f t="shared" si="424"/>
        <v/>
      </c>
      <c r="I4146" s="16"/>
      <c r="J4146" s="16"/>
      <c r="K4146" s="16"/>
      <c r="L4146" s="16"/>
      <c r="M4146" s="15"/>
      <c r="N4146" s="15"/>
      <c r="O4146" s="16"/>
      <c r="P4146" s="16"/>
      <c r="Q4146" s="16"/>
      <c r="R4146" s="16"/>
      <c r="S4146" s="37" t="str">
        <f>IFERROR(__xludf.DUMMYFUNCTION("if(not(iserror(index(split(C4146, "" ""),2))), index(split(C4146, "" ""),1),"""")"),"")</f>
        <v/>
      </c>
      <c r="T4146" s="315" t="str">
        <f>IFERROR(__xludf.DUMMYFUNCTION("if(S4146="""",C4146,if(not(iserror(index(split(C4146, "" ""),3))), index(split(C4146, "" ""),3),index(split(C4146, "" ""),2)))"),"")</f>
        <v/>
      </c>
      <c r="U4146" s="38" t="b">
        <f t="shared" si="423"/>
        <v>0</v>
      </c>
      <c r="V4146" s="38"/>
      <c r="W4146" s="40"/>
      <c r="X4146" s="40"/>
      <c r="Y4146" s="40"/>
      <c r="Z4146" s="38"/>
      <c r="AA4146" s="38"/>
      <c r="AB4146" s="38"/>
      <c r="AC4146" s="38"/>
      <c r="AD4146" s="38"/>
      <c r="AE4146" s="38"/>
      <c r="AF4146" s="38"/>
      <c r="AG4146" s="38"/>
      <c r="AH4146" s="38"/>
      <c r="AI4146" s="38"/>
      <c r="AJ4146" s="38"/>
      <c r="AK4146" s="38"/>
      <c r="AL4146" s="38"/>
      <c r="AM4146" s="38"/>
      <c r="AN4146" s="38"/>
      <c r="AO4146" s="38"/>
      <c r="AP4146" s="38"/>
      <c r="AQ4146" s="38"/>
      <c r="AR4146" s="38"/>
      <c r="AS4146" s="38"/>
      <c r="AT4146" s="38"/>
      <c r="AU4146" s="38"/>
      <c r="AV4146" s="38"/>
      <c r="AW4146" s="38"/>
      <c r="AX4146" s="38"/>
      <c r="AY4146" s="38"/>
      <c r="AZ4146" s="38"/>
      <c r="BA4146" s="38"/>
      <c r="BB4146" s="38"/>
      <c r="BC4146" s="38"/>
      <c r="BD4146" s="38"/>
      <c r="BE4146" s="38"/>
      <c r="BF4146" s="38"/>
      <c r="BG4146" s="38"/>
      <c r="BH4146" s="38"/>
      <c r="BI4146" s="38"/>
      <c r="BJ4146" s="38"/>
      <c r="BK4146" s="38"/>
      <c r="BL4146" s="38"/>
      <c r="BM4146" s="38"/>
      <c r="BN4146" s="38"/>
      <c r="BO4146" s="38"/>
      <c r="BP4146" s="38"/>
      <c r="BQ4146" s="38"/>
    </row>
    <row r="4147">
      <c r="A4147" s="16"/>
      <c r="B4147" s="145"/>
      <c r="C4147" s="146"/>
      <c r="D4147" s="146"/>
      <c r="E4147" s="16"/>
      <c r="F4147" s="91"/>
      <c r="G4147" s="16"/>
      <c r="H4147" s="320" t="str">
        <f t="shared" si="424"/>
        <v/>
      </c>
      <c r="I4147" s="16"/>
      <c r="J4147" s="16"/>
      <c r="K4147" s="16"/>
      <c r="L4147" s="16"/>
      <c r="M4147" s="15"/>
      <c r="N4147" s="15"/>
      <c r="O4147" s="16"/>
      <c r="P4147" s="16"/>
      <c r="Q4147" s="16"/>
      <c r="R4147" s="16"/>
      <c r="S4147" s="37" t="str">
        <f>IFERROR(__xludf.DUMMYFUNCTION("if(not(iserror(index(split(C4147, "" ""),2))), index(split(C4147, "" ""),1),"""")"),"")</f>
        <v/>
      </c>
      <c r="T4147" s="315" t="str">
        <f>IFERROR(__xludf.DUMMYFUNCTION("if(S4147="""",C4147,if(not(iserror(index(split(C4147, "" ""),3))), index(split(C4147, "" ""),3),index(split(C4147, "" ""),2)))"),"")</f>
        <v/>
      </c>
      <c r="U4147" s="38" t="b">
        <f t="shared" si="423"/>
        <v>0</v>
      </c>
      <c r="V4147" s="38"/>
      <c r="W4147" s="40"/>
      <c r="X4147" s="40"/>
      <c r="Y4147" s="40"/>
      <c r="Z4147" s="38"/>
      <c r="AA4147" s="38"/>
      <c r="AB4147" s="38"/>
      <c r="AC4147" s="38"/>
      <c r="AD4147" s="38"/>
      <c r="AE4147" s="38"/>
      <c r="AF4147" s="38"/>
      <c r="AG4147" s="38"/>
      <c r="AH4147" s="38"/>
      <c r="AI4147" s="38"/>
      <c r="AJ4147" s="38"/>
      <c r="AK4147" s="38"/>
      <c r="AL4147" s="38"/>
      <c r="AM4147" s="38"/>
      <c r="AN4147" s="38"/>
      <c r="AO4147" s="38"/>
      <c r="AP4147" s="38"/>
      <c r="AQ4147" s="38"/>
      <c r="AR4147" s="38"/>
      <c r="AS4147" s="38"/>
      <c r="AT4147" s="38"/>
      <c r="AU4147" s="38"/>
      <c r="AV4147" s="38"/>
      <c r="AW4147" s="38"/>
      <c r="AX4147" s="38"/>
      <c r="AY4147" s="38"/>
      <c r="AZ4147" s="38"/>
      <c r="BA4147" s="38"/>
      <c r="BB4147" s="38"/>
      <c r="BC4147" s="38"/>
      <c r="BD4147" s="38"/>
      <c r="BE4147" s="38"/>
      <c r="BF4147" s="38"/>
      <c r="BG4147" s="38"/>
      <c r="BH4147" s="38"/>
      <c r="BI4147" s="38"/>
      <c r="BJ4147" s="38"/>
      <c r="BK4147" s="38"/>
      <c r="BL4147" s="38"/>
      <c r="BM4147" s="38"/>
      <c r="BN4147" s="38"/>
      <c r="BO4147" s="38"/>
      <c r="BP4147" s="38"/>
      <c r="BQ4147" s="38"/>
    </row>
    <row r="4148">
      <c r="A4148" s="16"/>
      <c r="B4148" s="145"/>
      <c r="C4148" s="146"/>
      <c r="D4148" s="146"/>
      <c r="E4148" s="16"/>
      <c r="F4148" s="91"/>
      <c r="G4148" s="16"/>
      <c r="H4148" s="320" t="str">
        <f t="shared" si="424"/>
        <v/>
      </c>
      <c r="I4148" s="16"/>
      <c r="J4148" s="16"/>
      <c r="K4148" s="16"/>
      <c r="L4148" s="16"/>
      <c r="M4148" s="15"/>
      <c r="N4148" s="15"/>
      <c r="O4148" s="16"/>
      <c r="P4148" s="16"/>
      <c r="Q4148" s="16"/>
      <c r="R4148" s="16"/>
      <c r="S4148" s="37" t="str">
        <f>IFERROR(__xludf.DUMMYFUNCTION("if(not(iserror(index(split(C4148, "" ""),2))), index(split(C4148, "" ""),1),"""")"),"")</f>
        <v/>
      </c>
      <c r="T4148" s="315" t="str">
        <f>IFERROR(__xludf.DUMMYFUNCTION("if(S4148="""",C4148,if(not(iserror(index(split(C4148, "" ""),3))), index(split(C4148, "" ""),3),index(split(C4148, "" ""),2)))"),"")</f>
        <v/>
      </c>
      <c r="U4148" s="38" t="b">
        <f t="shared" si="423"/>
        <v>0</v>
      </c>
      <c r="V4148" s="38"/>
      <c r="W4148" s="40"/>
      <c r="X4148" s="40"/>
      <c r="Y4148" s="40"/>
      <c r="Z4148" s="38"/>
      <c r="AA4148" s="38"/>
      <c r="AB4148" s="38"/>
      <c r="AC4148" s="38"/>
      <c r="AD4148" s="38"/>
      <c r="AE4148" s="38"/>
      <c r="AF4148" s="38"/>
      <c r="AG4148" s="38"/>
      <c r="AH4148" s="38"/>
      <c r="AI4148" s="38"/>
      <c r="AJ4148" s="38"/>
      <c r="AK4148" s="38"/>
      <c r="AL4148" s="38"/>
      <c r="AM4148" s="38"/>
      <c r="AN4148" s="38"/>
      <c r="AO4148" s="38"/>
      <c r="AP4148" s="38"/>
      <c r="AQ4148" s="38"/>
      <c r="AR4148" s="38"/>
      <c r="AS4148" s="38"/>
      <c r="AT4148" s="38"/>
      <c r="AU4148" s="38"/>
      <c r="AV4148" s="38"/>
      <c r="AW4148" s="38"/>
      <c r="AX4148" s="38"/>
      <c r="AY4148" s="38"/>
      <c r="AZ4148" s="38"/>
      <c r="BA4148" s="38"/>
      <c r="BB4148" s="38"/>
      <c r="BC4148" s="38"/>
      <c r="BD4148" s="38"/>
      <c r="BE4148" s="38"/>
      <c r="BF4148" s="38"/>
      <c r="BG4148" s="38"/>
      <c r="BH4148" s="38"/>
      <c r="BI4148" s="38"/>
      <c r="BJ4148" s="38"/>
      <c r="BK4148" s="38"/>
      <c r="BL4148" s="38"/>
      <c r="BM4148" s="38"/>
      <c r="BN4148" s="38"/>
      <c r="BO4148" s="38"/>
      <c r="BP4148" s="38"/>
      <c r="BQ4148" s="38"/>
    </row>
    <row r="4149">
      <c r="A4149" s="16"/>
      <c r="B4149" s="145"/>
      <c r="C4149" s="146"/>
      <c r="D4149" s="146"/>
      <c r="E4149" s="16"/>
      <c r="F4149" s="91"/>
      <c r="G4149" s="16"/>
      <c r="H4149" s="320" t="str">
        <f t="shared" si="424"/>
        <v/>
      </c>
      <c r="I4149" s="16"/>
      <c r="J4149" s="16"/>
      <c r="K4149" s="16"/>
      <c r="L4149" s="16"/>
      <c r="M4149" s="15"/>
      <c r="N4149" s="15"/>
      <c r="O4149" s="16"/>
      <c r="P4149" s="16"/>
      <c r="Q4149" s="16"/>
      <c r="R4149" s="16"/>
      <c r="S4149" s="37" t="str">
        <f>IFERROR(__xludf.DUMMYFUNCTION("if(not(iserror(index(split(C4149, "" ""),2))), index(split(C4149, "" ""),1),"""")"),"")</f>
        <v/>
      </c>
      <c r="T4149" s="315" t="str">
        <f>IFERROR(__xludf.DUMMYFUNCTION("if(S4149="""",C4149,if(not(iserror(index(split(C4149, "" ""),3))), index(split(C4149, "" ""),3),index(split(C4149, "" ""),2)))"),"")</f>
        <v/>
      </c>
      <c r="U4149" s="38" t="b">
        <f t="shared" si="423"/>
        <v>0</v>
      </c>
      <c r="V4149" s="38"/>
      <c r="W4149" s="40"/>
      <c r="X4149" s="40"/>
      <c r="Y4149" s="40"/>
      <c r="Z4149" s="38"/>
      <c r="AA4149" s="38"/>
      <c r="AB4149" s="38"/>
      <c r="AC4149" s="38"/>
      <c r="AD4149" s="38"/>
      <c r="AE4149" s="38"/>
      <c r="AF4149" s="38"/>
      <c r="AG4149" s="38"/>
      <c r="AH4149" s="38"/>
      <c r="AI4149" s="38"/>
      <c r="AJ4149" s="38"/>
      <c r="AK4149" s="38"/>
      <c r="AL4149" s="38"/>
      <c r="AM4149" s="38"/>
      <c r="AN4149" s="38"/>
      <c r="AO4149" s="38"/>
      <c r="AP4149" s="38"/>
      <c r="AQ4149" s="38"/>
      <c r="AR4149" s="38"/>
      <c r="AS4149" s="38"/>
      <c r="AT4149" s="38"/>
      <c r="AU4149" s="38"/>
      <c r="AV4149" s="38"/>
      <c r="AW4149" s="38"/>
      <c r="AX4149" s="38"/>
      <c r="AY4149" s="38"/>
      <c r="AZ4149" s="38"/>
      <c r="BA4149" s="38"/>
      <c r="BB4149" s="38"/>
      <c r="BC4149" s="38"/>
      <c r="BD4149" s="38"/>
      <c r="BE4149" s="38"/>
      <c r="BF4149" s="38"/>
      <c r="BG4149" s="38"/>
      <c r="BH4149" s="38"/>
      <c r="BI4149" s="38"/>
      <c r="BJ4149" s="38"/>
      <c r="BK4149" s="38"/>
      <c r="BL4149" s="38"/>
      <c r="BM4149" s="38"/>
      <c r="BN4149" s="38"/>
      <c r="BO4149" s="38"/>
      <c r="BP4149" s="38"/>
      <c r="BQ4149" s="38"/>
    </row>
    <row r="4150">
      <c r="A4150" s="16"/>
      <c r="B4150" s="145"/>
      <c r="C4150" s="146"/>
      <c r="D4150" s="146"/>
      <c r="E4150" s="16"/>
      <c r="F4150" s="91"/>
      <c r="G4150" s="16"/>
      <c r="H4150" s="320" t="str">
        <f t="shared" si="424"/>
        <v/>
      </c>
      <c r="I4150" s="16"/>
      <c r="J4150" s="16"/>
      <c r="K4150" s="16"/>
      <c r="L4150" s="16"/>
      <c r="M4150" s="15"/>
      <c r="N4150" s="15"/>
      <c r="O4150" s="16"/>
      <c r="P4150" s="16"/>
      <c r="Q4150" s="16"/>
      <c r="R4150" s="16"/>
      <c r="S4150" s="37" t="str">
        <f>IFERROR(__xludf.DUMMYFUNCTION("if(not(iserror(index(split(C4150, "" ""),2))), index(split(C4150, "" ""),1),"""")"),"")</f>
        <v/>
      </c>
      <c r="T4150" s="315" t="str">
        <f>IFERROR(__xludf.DUMMYFUNCTION("if(S4150="""",C4150,if(not(iserror(index(split(C4150, "" ""),3))), index(split(C4150, "" ""),3),index(split(C4150, "" ""),2)))"),"")</f>
        <v/>
      </c>
      <c r="U4150" s="38" t="b">
        <f t="shared" si="423"/>
        <v>0</v>
      </c>
      <c r="V4150" s="38"/>
      <c r="W4150" s="40"/>
      <c r="X4150" s="40"/>
      <c r="Y4150" s="40"/>
      <c r="Z4150" s="38"/>
      <c r="AA4150" s="38"/>
      <c r="AB4150" s="38"/>
      <c r="AC4150" s="38"/>
      <c r="AD4150" s="38"/>
      <c r="AE4150" s="38"/>
      <c r="AF4150" s="38"/>
      <c r="AG4150" s="38"/>
      <c r="AH4150" s="38"/>
      <c r="AI4150" s="38"/>
      <c r="AJ4150" s="38"/>
      <c r="AK4150" s="38"/>
      <c r="AL4150" s="38"/>
      <c r="AM4150" s="38"/>
      <c r="AN4150" s="38"/>
      <c r="AO4150" s="38"/>
      <c r="AP4150" s="38"/>
      <c r="AQ4150" s="38"/>
      <c r="AR4150" s="38"/>
      <c r="AS4150" s="38"/>
      <c r="AT4150" s="38"/>
      <c r="AU4150" s="38"/>
      <c r="AV4150" s="38"/>
      <c r="AW4150" s="38"/>
      <c r="AX4150" s="38"/>
      <c r="AY4150" s="38"/>
      <c r="AZ4150" s="38"/>
      <c r="BA4150" s="38"/>
      <c r="BB4150" s="38"/>
      <c r="BC4150" s="38"/>
      <c r="BD4150" s="38"/>
      <c r="BE4150" s="38"/>
      <c r="BF4150" s="38"/>
      <c r="BG4150" s="38"/>
      <c r="BH4150" s="38"/>
      <c r="BI4150" s="38"/>
      <c r="BJ4150" s="38"/>
      <c r="BK4150" s="38"/>
      <c r="BL4150" s="38"/>
      <c r="BM4150" s="38"/>
      <c r="BN4150" s="38"/>
      <c r="BO4150" s="38"/>
      <c r="BP4150" s="38"/>
      <c r="BQ4150" s="38"/>
    </row>
    <row r="4151">
      <c r="A4151" s="16"/>
      <c r="B4151" s="145"/>
      <c r="C4151" s="146"/>
      <c r="D4151" s="146"/>
      <c r="E4151" s="16"/>
      <c r="F4151" s="91"/>
      <c r="G4151" s="16"/>
      <c r="H4151" s="320" t="str">
        <f t="shared" si="424"/>
        <v/>
      </c>
      <c r="I4151" s="16"/>
      <c r="J4151" s="16"/>
      <c r="K4151" s="16"/>
      <c r="L4151" s="16"/>
      <c r="M4151" s="15"/>
      <c r="N4151" s="15"/>
      <c r="O4151" s="16"/>
      <c r="P4151" s="16"/>
      <c r="Q4151" s="16"/>
      <c r="R4151" s="16"/>
      <c r="S4151" s="37" t="str">
        <f>IFERROR(__xludf.DUMMYFUNCTION("if(not(iserror(index(split(C4151, "" ""),2))), index(split(C4151, "" ""),1),"""")"),"")</f>
        <v/>
      </c>
      <c r="T4151" s="315" t="str">
        <f>IFERROR(__xludf.DUMMYFUNCTION("if(S4151="""",C4151,if(not(iserror(index(split(C4151, "" ""),3))), index(split(C4151, "" ""),3),index(split(C4151, "" ""),2)))"),"")</f>
        <v/>
      </c>
      <c r="U4151" s="38" t="b">
        <f t="shared" si="423"/>
        <v>0</v>
      </c>
      <c r="V4151" s="38"/>
      <c r="W4151" s="40"/>
      <c r="X4151" s="40"/>
      <c r="Y4151" s="40"/>
      <c r="Z4151" s="38"/>
      <c r="AA4151" s="38"/>
      <c r="AB4151" s="38"/>
      <c r="AC4151" s="38"/>
      <c r="AD4151" s="38"/>
      <c r="AE4151" s="38"/>
      <c r="AF4151" s="38"/>
      <c r="AG4151" s="38"/>
      <c r="AH4151" s="38"/>
      <c r="AI4151" s="38"/>
      <c r="AJ4151" s="38"/>
      <c r="AK4151" s="38"/>
      <c r="AL4151" s="38"/>
      <c r="AM4151" s="38"/>
      <c r="AN4151" s="38"/>
      <c r="AO4151" s="38"/>
      <c r="AP4151" s="38"/>
      <c r="AQ4151" s="38"/>
      <c r="AR4151" s="38"/>
      <c r="AS4151" s="38"/>
      <c r="AT4151" s="38"/>
      <c r="AU4151" s="38"/>
      <c r="AV4151" s="38"/>
      <c r="AW4151" s="38"/>
      <c r="AX4151" s="38"/>
      <c r="AY4151" s="38"/>
      <c r="AZ4151" s="38"/>
      <c r="BA4151" s="38"/>
      <c r="BB4151" s="38"/>
      <c r="BC4151" s="38"/>
      <c r="BD4151" s="38"/>
      <c r="BE4151" s="38"/>
      <c r="BF4151" s="38"/>
      <c r="BG4151" s="38"/>
      <c r="BH4151" s="38"/>
      <c r="BI4151" s="38"/>
      <c r="BJ4151" s="38"/>
      <c r="BK4151" s="38"/>
      <c r="BL4151" s="38"/>
      <c r="BM4151" s="38"/>
      <c r="BN4151" s="38"/>
      <c r="BO4151" s="38"/>
      <c r="BP4151" s="38"/>
      <c r="BQ4151" s="38"/>
    </row>
    <row r="4152">
      <c r="A4152" s="16"/>
      <c r="B4152" s="145"/>
      <c r="C4152" s="146"/>
      <c r="D4152" s="146"/>
      <c r="E4152" s="16"/>
      <c r="F4152" s="91"/>
      <c r="G4152" s="16"/>
      <c r="H4152" s="320" t="str">
        <f t="shared" si="424"/>
        <v/>
      </c>
      <c r="I4152" s="16"/>
      <c r="J4152" s="16"/>
      <c r="K4152" s="16"/>
      <c r="L4152" s="16"/>
      <c r="M4152" s="15"/>
      <c r="N4152" s="15"/>
      <c r="O4152" s="16"/>
      <c r="P4152" s="16"/>
      <c r="Q4152" s="16"/>
      <c r="R4152" s="16"/>
      <c r="S4152" s="37" t="str">
        <f>IFERROR(__xludf.DUMMYFUNCTION("if(not(iserror(index(split(C4152, "" ""),2))), index(split(C4152, "" ""),1),"""")"),"")</f>
        <v/>
      </c>
      <c r="T4152" s="315" t="str">
        <f>IFERROR(__xludf.DUMMYFUNCTION("if(S4152="""",C4152,if(not(iserror(index(split(C4152, "" ""),3))), index(split(C4152, "" ""),3),index(split(C4152, "" ""),2)))"),"")</f>
        <v/>
      </c>
      <c r="U4152" s="38" t="b">
        <f t="shared" si="423"/>
        <v>0</v>
      </c>
      <c r="V4152" s="38"/>
      <c r="W4152" s="40"/>
      <c r="X4152" s="40"/>
      <c r="Y4152" s="40"/>
      <c r="Z4152" s="38"/>
      <c r="AA4152" s="38"/>
      <c r="AB4152" s="38"/>
      <c r="AC4152" s="38"/>
      <c r="AD4152" s="38"/>
      <c r="AE4152" s="38"/>
      <c r="AF4152" s="38"/>
      <c r="AG4152" s="38"/>
      <c r="AH4152" s="38"/>
      <c r="AI4152" s="38"/>
      <c r="AJ4152" s="38"/>
      <c r="AK4152" s="38"/>
      <c r="AL4152" s="38"/>
      <c r="AM4152" s="38"/>
      <c r="AN4152" s="38"/>
      <c r="AO4152" s="38"/>
      <c r="AP4152" s="38"/>
      <c r="AQ4152" s="38"/>
      <c r="AR4152" s="38"/>
      <c r="AS4152" s="38"/>
      <c r="AT4152" s="38"/>
      <c r="AU4152" s="38"/>
      <c r="AV4152" s="38"/>
      <c r="AW4152" s="38"/>
      <c r="AX4152" s="38"/>
      <c r="AY4152" s="38"/>
      <c r="AZ4152" s="38"/>
      <c r="BA4152" s="38"/>
      <c r="BB4152" s="38"/>
      <c r="BC4152" s="38"/>
      <c r="BD4152" s="38"/>
      <c r="BE4152" s="38"/>
      <c r="BF4152" s="38"/>
      <c r="BG4152" s="38"/>
      <c r="BH4152" s="38"/>
      <c r="BI4152" s="38"/>
      <c r="BJ4152" s="38"/>
      <c r="BK4152" s="38"/>
      <c r="BL4152" s="38"/>
      <c r="BM4152" s="38"/>
      <c r="BN4152" s="38"/>
      <c r="BO4152" s="38"/>
      <c r="BP4152" s="38"/>
      <c r="BQ4152" s="38"/>
    </row>
    <row r="4153">
      <c r="A4153" s="16"/>
      <c r="B4153" s="145"/>
      <c r="C4153" s="146"/>
      <c r="D4153" s="146"/>
      <c r="E4153" s="16"/>
      <c r="F4153" s="91"/>
      <c r="G4153" s="16"/>
      <c r="H4153" s="320" t="str">
        <f t="shared" si="424"/>
        <v/>
      </c>
      <c r="I4153" s="16"/>
      <c r="J4153" s="16"/>
      <c r="K4153" s="16"/>
      <c r="L4153" s="16"/>
      <c r="M4153" s="15"/>
      <c r="N4153" s="15"/>
      <c r="O4153" s="16"/>
      <c r="P4153" s="16"/>
      <c r="Q4153" s="16"/>
      <c r="R4153" s="16"/>
      <c r="S4153" s="37" t="str">
        <f>IFERROR(__xludf.DUMMYFUNCTION("if(not(iserror(index(split(C4153, "" ""),2))), index(split(C4153, "" ""),1),"""")"),"")</f>
        <v/>
      </c>
      <c r="T4153" s="315" t="str">
        <f>IFERROR(__xludf.DUMMYFUNCTION("if(S4153="""",C4153,if(not(iserror(index(split(C4153, "" ""),3))), index(split(C4153, "" ""),3),index(split(C4153, "" ""),2)))"),"")</f>
        <v/>
      </c>
      <c r="U4153" s="38" t="b">
        <f t="shared" si="423"/>
        <v>0</v>
      </c>
      <c r="V4153" s="38"/>
      <c r="W4153" s="40"/>
      <c r="X4153" s="40"/>
      <c r="Y4153" s="40"/>
      <c r="Z4153" s="38"/>
      <c r="AA4153" s="38"/>
      <c r="AB4153" s="38"/>
      <c r="AC4153" s="38"/>
      <c r="AD4153" s="38"/>
      <c r="AE4153" s="38"/>
      <c r="AF4153" s="38"/>
      <c r="AG4153" s="38"/>
      <c r="AH4153" s="38"/>
      <c r="AI4153" s="38"/>
      <c r="AJ4153" s="38"/>
      <c r="AK4153" s="38"/>
      <c r="AL4153" s="38"/>
      <c r="AM4153" s="38"/>
      <c r="AN4153" s="38"/>
      <c r="AO4153" s="38"/>
      <c r="AP4153" s="38"/>
      <c r="AQ4153" s="38"/>
      <c r="AR4153" s="38"/>
      <c r="AS4153" s="38"/>
      <c r="AT4153" s="38"/>
      <c r="AU4153" s="38"/>
      <c r="AV4153" s="38"/>
      <c r="AW4153" s="38"/>
      <c r="AX4153" s="38"/>
      <c r="AY4153" s="38"/>
      <c r="AZ4153" s="38"/>
      <c r="BA4153" s="38"/>
      <c r="BB4153" s="38"/>
      <c r="BC4153" s="38"/>
      <c r="BD4153" s="38"/>
      <c r="BE4153" s="38"/>
      <c r="BF4153" s="38"/>
      <c r="BG4153" s="38"/>
      <c r="BH4153" s="38"/>
      <c r="BI4153" s="38"/>
      <c r="BJ4153" s="38"/>
      <c r="BK4153" s="38"/>
      <c r="BL4153" s="38"/>
      <c r="BM4153" s="38"/>
      <c r="BN4153" s="38"/>
      <c r="BO4153" s="38"/>
      <c r="BP4153" s="38"/>
      <c r="BQ4153" s="38"/>
    </row>
    <row r="4154">
      <c r="A4154" s="16"/>
      <c r="B4154" s="145"/>
      <c r="C4154" s="146"/>
      <c r="D4154" s="146"/>
      <c r="E4154" s="16"/>
      <c r="F4154" s="91"/>
      <c r="G4154" s="16"/>
      <c r="H4154" s="320" t="str">
        <f t="shared" si="424"/>
        <v/>
      </c>
      <c r="I4154" s="16"/>
      <c r="J4154" s="16"/>
      <c r="K4154" s="16"/>
      <c r="L4154" s="16"/>
      <c r="M4154" s="15"/>
      <c r="N4154" s="15"/>
      <c r="O4154" s="16"/>
      <c r="P4154" s="16"/>
      <c r="Q4154" s="16"/>
      <c r="R4154" s="16"/>
      <c r="S4154" s="37" t="str">
        <f>IFERROR(__xludf.DUMMYFUNCTION("if(not(iserror(index(split(C4154, "" ""),2))), index(split(C4154, "" ""),1),"""")"),"")</f>
        <v/>
      </c>
      <c r="T4154" s="315" t="str">
        <f>IFERROR(__xludf.DUMMYFUNCTION("if(S4154="""",C4154,if(not(iserror(index(split(C4154, "" ""),3))), index(split(C4154, "" ""),3),index(split(C4154, "" ""),2)))"),"")</f>
        <v/>
      </c>
      <c r="U4154" s="38" t="b">
        <f t="shared" si="423"/>
        <v>0</v>
      </c>
      <c r="V4154" s="38"/>
      <c r="W4154" s="40"/>
      <c r="X4154" s="40"/>
      <c r="Y4154" s="40"/>
      <c r="Z4154" s="38"/>
      <c r="AA4154" s="38"/>
      <c r="AB4154" s="38"/>
      <c r="AC4154" s="38"/>
      <c r="AD4154" s="38"/>
      <c r="AE4154" s="38"/>
      <c r="AF4154" s="38"/>
      <c r="AG4154" s="38"/>
      <c r="AH4154" s="38"/>
      <c r="AI4154" s="38"/>
      <c r="AJ4154" s="38"/>
      <c r="AK4154" s="38"/>
      <c r="AL4154" s="38"/>
      <c r="AM4154" s="38"/>
      <c r="AN4154" s="38"/>
      <c r="AO4154" s="38"/>
      <c r="AP4154" s="38"/>
      <c r="AQ4154" s="38"/>
      <c r="AR4154" s="38"/>
      <c r="AS4154" s="38"/>
      <c r="AT4154" s="38"/>
      <c r="AU4154" s="38"/>
      <c r="AV4154" s="38"/>
      <c r="AW4154" s="38"/>
      <c r="AX4154" s="38"/>
      <c r="AY4154" s="38"/>
      <c r="AZ4154" s="38"/>
      <c r="BA4154" s="38"/>
      <c r="BB4154" s="38"/>
      <c r="BC4154" s="38"/>
      <c r="BD4154" s="38"/>
      <c r="BE4154" s="38"/>
      <c r="BF4154" s="38"/>
      <c r="BG4154" s="38"/>
      <c r="BH4154" s="38"/>
      <c r="BI4154" s="38"/>
      <c r="BJ4154" s="38"/>
      <c r="BK4154" s="38"/>
      <c r="BL4154" s="38"/>
      <c r="BM4154" s="38"/>
      <c r="BN4154" s="38"/>
      <c r="BO4154" s="38"/>
      <c r="BP4154" s="38"/>
      <c r="BQ4154" s="38"/>
    </row>
    <row r="4155">
      <c r="A4155" s="16"/>
      <c r="B4155" s="145"/>
      <c r="C4155" s="146"/>
      <c r="D4155" s="146"/>
      <c r="E4155" s="16"/>
      <c r="F4155" s="91"/>
      <c r="G4155" s="16"/>
      <c r="H4155" s="320" t="str">
        <f t="shared" si="424"/>
        <v/>
      </c>
      <c r="I4155" s="16"/>
      <c r="J4155" s="16"/>
      <c r="K4155" s="16"/>
      <c r="L4155" s="16"/>
      <c r="M4155" s="15"/>
      <c r="N4155" s="15"/>
      <c r="O4155" s="16"/>
      <c r="P4155" s="16"/>
      <c r="Q4155" s="16"/>
      <c r="R4155" s="16"/>
      <c r="S4155" s="37" t="str">
        <f>IFERROR(__xludf.DUMMYFUNCTION("if(not(iserror(index(split(C4155, "" ""),2))), index(split(C4155, "" ""),1),"""")"),"")</f>
        <v/>
      </c>
      <c r="T4155" s="315" t="str">
        <f>IFERROR(__xludf.DUMMYFUNCTION("if(S4155="""",C4155,if(not(iserror(index(split(C4155, "" ""),3))), index(split(C4155, "" ""),3),index(split(C4155, "" ""),2)))"),"")</f>
        <v/>
      </c>
      <c r="U4155" s="38" t="b">
        <f t="shared" si="423"/>
        <v>0</v>
      </c>
      <c r="V4155" s="38"/>
      <c r="W4155" s="40"/>
      <c r="X4155" s="40"/>
      <c r="Y4155" s="40"/>
      <c r="Z4155" s="38"/>
      <c r="AA4155" s="38"/>
      <c r="AB4155" s="38"/>
      <c r="AC4155" s="38"/>
      <c r="AD4155" s="38"/>
      <c r="AE4155" s="38"/>
      <c r="AF4155" s="38"/>
      <c r="AG4155" s="38"/>
      <c r="AH4155" s="38"/>
      <c r="AI4155" s="38"/>
      <c r="AJ4155" s="38"/>
      <c r="AK4155" s="38"/>
      <c r="AL4155" s="38"/>
      <c r="AM4155" s="38"/>
      <c r="AN4155" s="38"/>
      <c r="AO4155" s="38"/>
      <c r="AP4155" s="38"/>
      <c r="AQ4155" s="38"/>
      <c r="AR4155" s="38"/>
      <c r="AS4155" s="38"/>
      <c r="AT4155" s="38"/>
      <c r="AU4155" s="38"/>
      <c r="AV4155" s="38"/>
      <c r="AW4155" s="38"/>
      <c r="AX4155" s="38"/>
      <c r="AY4155" s="38"/>
      <c r="AZ4155" s="38"/>
      <c r="BA4155" s="38"/>
      <c r="BB4155" s="38"/>
      <c r="BC4155" s="38"/>
      <c r="BD4155" s="38"/>
      <c r="BE4155" s="38"/>
      <c r="BF4155" s="38"/>
      <c r="BG4155" s="38"/>
      <c r="BH4155" s="38"/>
      <c r="BI4155" s="38"/>
      <c r="BJ4155" s="38"/>
      <c r="BK4155" s="38"/>
      <c r="BL4155" s="38"/>
      <c r="BM4155" s="38"/>
      <c r="BN4155" s="38"/>
      <c r="BO4155" s="38"/>
      <c r="BP4155" s="38"/>
      <c r="BQ4155" s="38"/>
    </row>
    <row r="4156">
      <c r="A4156" s="16"/>
      <c r="B4156" s="145"/>
      <c r="C4156" s="146"/>
      <c r="D4156" s="146"/>
      <c r="E4156" s="16"/>
      <c r="F4156" s="91"/>
      <c r="G4156" s="16"/>
      <c r="H4156" s="320" t="str">
        <f t="shared" si="424"/>
        <v/>
      </c>
      <c r="I4156" s="16"/>
      <c r="J4156" s="16"/>
      <c r="K4156" s="16"/>
      <c r="L4156" s="16"/>
      <c r="M4156" s="15"/>
      <c r="N4156" s="15"/>
      <c r="O4156" s="16"/>
      <c r="P4156" s="16"/>
      <c r="Q4156" s="16"/>
      <c r="R4156" s="16"/>
      <c r="S4156" s="37" t="str">
        <f>IFERROR(__xludf.DUMMYFUNCTION("if(not(iserror(index(split(C4156, "" ""),2))), index(split(C4156, "" ""),1),"""")"),"")</f>
        <v/>
      </c>
      <c r="T4156" s="315" t="str">
        <f>IFERROR(__xludf.DUMMYFUNCTION("if(S4156="""",C4156,if(not(iserror(index(split(C4156, "" ""),3))), index(split(C4156, "" ""),3),index(split(C4156, "" ""),2)))"),"")</f>
        <v/>
      </c>
      <c r="U4156" s="38" t="b">
        <f t="shared" si="423"/>
        <v>0</v>
      </c>
      <c r="V4156" s="38"/>
      <c r="W4156" s="40"/>
      <c r="X4156" s="40"/>
      <c r="Y4156" s="40"/>
      <c r="Z4156" s="38"/>
      <c r="AA4156" s="38"/>
      <c r="AB4156" s="38"/>
      <c r="AC4156" s="38"/>
      <c r="AD4156" s="38"/>
      <c r="AE4156" s="38"/>
      <c r="AF4156" s="38"/>
      <c r="AG4156" s="38"/>
      <c r="AH4156" s="38"/>
      <c r="AI4156" s="38"/>
      <c r="AJ4156" s="38"/>
      <c r="AK4156" s="38"/>
      <c r="AL4156" s="38"/>
      <c r="AM4156" s="38"/>
      <c r="AN4156" s="38"/>
      <c r="AO4156" s="38"/>
      <c r="AP4156" s="38"/>
      <c r="AQ4156" s="38"/>
      <c r="AR4156" s="38"/>
      <c r="AS4156" s="38"/>
      <c r="AT4156" s="38"/>
      <c r="AU4156" s="38"/>
      <c r="AV4156" s="38"/>
      <c r="AW4156" s="38"/>
      <c r="AX4156" s="38"/>
      <c r="AY4156" s="38"/>
      <c r="AZ4156" s="38"/>
      <c r="BA4156" s="38"/>
      <c r="BB4156" s="38"/>
      <c r="BC4156" s="38"/>
      <c r="BD4156" s="38"/>
      <c r="BE4156" s="38"/>
      <c r="BF4156" s="38"/>
      <c r="BG4156" s="38"/>
      <c r="BH4156" s="38"/>
      <c r="BI4156" s="38"/>
      <c r="BJ4156" s="38"/>
      <c r="BK4156" s="38"/>
      <c r="BL4156" s="38"/>
      <c r="BM4156" s="38"/>
      <c r="BN4156" s="38"/>
      <c r="BO4156" s="38"/>
      <c r="BP4156" s="38"/>
      <c r="BQ4156" s="38"/>
    </row>
    <row r="4157">
      <c r="A4157" s="16"/>
      <c r="B4157" s="145"/>
      <c r="C4157" s="146"/>
      <c r="D4157" s="146"/>
      <c r="E4157" s="16"/>
      <c r="F4157" s="91"/>
      <c r="G4157" s="16"/>
      <c r="H4157" s="320" t="str">
        <f t="shared" si="424"/>
        <v/>
      </c>
      <c r="I4157" s="16"/>
      <c r="J4157" s="16"/>
      <c r="K4157" s="16"/>
      <c r="L4157" s="16"/>
      <c r="M4157" s="15"/>
      <c r="N4157" s="15"/>
      <c r="O4157" s="16"/>
      <c r="P4157" s="16"/>
      <c r="Q4157" s="16"/>
      <c r="R4157" s="16"/>
      <c r="S4157" s="37" t="str">
        <f>IFERROR(__xludf.DUMMYFUNCTION("if(not(iserror(index(split(C4157, "" ""),2))), index(split(C4157, "" ""),1),"""")"),"")</f>
        <v/>
      </c>
      <c r="T4157" s="315" t="str">
        <f>IFERROR(__xludf.DUMMYFUNCTION("if(S4157="""",C4157,if(not(iserror(index(split(C4157, "" ""),3))), index(split(C4157, "" ""),3),index(split(C4157, "" ""),2)))"),"")</f>
        <v/>
      </c>
      <c r="U4157" s="38" t="b">
        <f t="shared" si="423"/>
        <v>0</v>
      </c>
      <c r="V4157" s="38"/>
      <c r="W4157" s="40"/>
      <c r="X4157" s="40"/>
      <c r="Y4157" s="40"/>
      <c r="Z4157" s="38"/>
      <c r="AA4157" s="38"/>
      <c r="AB4157" s="38"/>
      <c r="AC4157" s="38"/>
      <c r="AD4157" s="38"/>
      <c r="AE4157" s="38"/>
      <c r="AF4157" s="38"/>
      <c r="AG4157" s="38"/>
      <c r="AH4157" s="38"/>
      <c r="AI4157" s="38"/>
      <c r="AJ4157" s="38"/>
      <c r="AK4157" s="38"/>
      <c r="AL4157" s="38"/>
      <c r="AM4157" s="38"/>
      <c r="AN4157" s="38"/>
      <c r="AO4157" s="38"/>
      <c r="AP4157" s="38"/>
      <c r="AQ4157" s="38"/>
      <c r="AR4157" s="38"/>
      <c r="AS4157" s="38"/>
      <c r="AT4157" s="38"/>
      <c r="AU4157" s="38"/>
      <c r="AV4157" s="38"/>
      <c r="AW4157" s="38"/>
      <c r="AX4157" s="38"/>
      <c r="AY4157" s="38"/>
      <c r="AZ4157" s="38"/>
      <c r="BA4157" s="38"/>
      <c r="BB4157" s="38"/>
      <c r="BC4157" s="38"/>
      <c r="BD4157" s="38"/>
      <c r="BE4157" s="38"/>
      <c r="BF4157" s="38"/>
      <c r="BG4157" s="38"/>
      <c r="BH4157" s="38"/>
      <c r="BI4157" s="38"/>
      <c r="BJ4157" s="38"/>
      <c r="BK4157" s="38"/>
      <c r="BL4157" s="38"/>
      <c r="BM4157" s="38"/>
      <c r="BN4157" s="38"/>
      <c r="BO4157" s="38"/>
      <c r="BP4157" s="38"/>
      <c r="BQ4157" s="38"/>
    </row>
    <row r="4158">
      <c r="A4158" s="16"/>
      <c r="B4158" s="145"/>
      <c r="C4158" s="146"/>
      <c r="D4158" s="146"/>
      <c r="E4158" s="16"/>
      <c r="F4158" s="91"/>
      <c r="G4158" s="16"/>
      <c r="H4158" s="320" t="str">
        <f t="shared" si="424"/>
        <v/>
      </c>
      <c r="I4158" s="16"/>
      <c r="J4158" s="16"/>
      <c r="K4158" s="16"/>
      <c r="L4158" s="16"/>
      <c r="M4158" s="15"/>
      <c r="N4158" s="15"/>
      <c r="O4158" s="16"/>
      <c r="P4158" s="16"/>
      <c r="Q4158" s="16"/>
      <c r="R4158" s="16"/>
      <c r="S4158" s="37" t="str">
        <f>IFERROR(__xludf.DUMMYFUNCTION("if(not(iserror(index(split(C4158, "" ""),2))), index(split(C4158, "" ""),1),"""")"),"")</f>
        <v/>
      </c>
      <c r="T4158" s="315" t="str">
        <f>IFERROR(__xludf.DUMMYFUNCTION("if(S4158="""",C4158,if(not(iserror(index(split(C4158, "" ""),3))), index(split(C4158, "" ""),3),index(split(C4158, "" ""),2)))"),"")</f>
        <v/>
      </c>
      <c r="U4158" s="38" t="b">
        <f t="shared" si="423"/>
        <v>0</v>
      </c>
      <c r="V4158" s="38"/>
      <c r="W4158" s="40"/>
      <c r="X4158" s="40"/>
      <c r="Y4158" s="40"/>
      <c r="Z4158" s="38"/>
      <c r="AA4158" s="38"/>
      <c r="AB4158" s="38"/>
      <c r="AC4158" s="38"/>
      <c r="AD4158" s="38"/>
      <c r="AE4158" s="38"/>
      <c r="AF4158" s="38"/>
      <c r="AG4158" s="38"/>
      <c r="AH4158" s="38"/>
      <c r="AI4158" s="38"/>
      <c r="AJ4158" s="38"/>
      <c r="AK4158" s="38"/>
      <c r="AL4158" s="38"/>
      <c r="AM4158" s="38"/>
      <c r="AN4158" s="38"/>
      <c r="AO4158" s="38"/>
      <c r="AP4158" s="38"/>
      <c r="AQ4158" s="38"/>
      <c r="AR4158" s="38"/>
      <c r="AS4158" s="38"/>
      <c r="AT4158" s="38"/>
      <c r="AU4158" s="38"/>
      <c r="AV4158" s="38"/>
      <c r="AW4158" s="38"/>
      <c r="AX4158" s="38"/>
      <c r="AY4158" s="38"/>
      <c r="AZ4158" s="38"/>
      <c r="BA4158" s="38"/>
      <c r="BB4158" s="38"/>
      <c r="BC4158" s="38"/>
      <c r="BD4158" s="38"/>
      <c r="BE4158" s="38"/>
      <c r="BF4158" s="38"/>
      <c r="BG4158" s="38"/>
      <c r="BH4158" s="38"/>
      <c r="BI4158" s="38"/>
      <c r="BJ4158" s="38"/>
      <c r="BK4158" s="38"/>
      <c r="BL4158" s="38"/>
      <c r="BM4158" s="38"/>
      <c r="BN4158" s="38"/>
      <c r="BO4158" s="38"/>
      <c r="BP4158" s="38"/>
      <c r="BQ4158" s="38"/>
    </row>
    <row r="4159">
      <c r="A4159" s="16"/>
      <c r="B4159" s="145"/>
      <c r="C4159" s="146"/>
      <c r="D4159" s="146"/>
      <c r="E4159" s="16"/>
      <c r="F4159" s="91"/>
      <c r="G4159" s="16"/>
      <c r="H4159" s="320" t="str">
        <f t="shared" si="424"/>
        <v/>
      </c>
      <c r="I4159" s="16"/>
      <c r="J4159" s="16"/>
      <c r="K4159" s="16"/>
      <c r="L4159" s="16"/>
      <c r="M4159" s="15"/>
      <c r="N4159" s="15"/>
      <c r="O4159" s="16"/>
      <c r="P4159" s="16"/>
      <c r="Q4159" s="16"/>
      <c r="R4159" s="16"/>
      <c r="S4159" s="37" t="str">
        <f>IFERROR(__xludf.DUMMYFUNCTION("if(not(iserror(index(split(C4159, "" ""),2))), index(split(C4159, "" ""),1),"""")"),"")</f>
        <v/>
      </c>
      <c r="T4159" s="315" t="str">
        <f>IFERROR(__xludf.DUMMYFUNCTION("if(S4159="""",C4159,if(not(iserror(index(split(C4159, "" ""),3))), index(split(C4159, "" ""),3),index(split(C4159, "" ""),2)))"),"")</f>
        <v/>
      </c>
      <c r="U4159" s="38" t="b">
        <f t="shared" si="423"/>
        <v>0</v>
      </c>
      <c r="V4159" s="38"/>
      <c r="W4159" s="40"/>
      <c r="X4159" s="40"/>
      <c r="Y4159" s="40"/>
      <c r="Z4159" s="38"/>
      <c r="AA4159" s="38"/>
      <c r="AB4159" s="38"/>
      <c r="AC4159" s="38"/>
      <c r="AD4159" s="38"/>
      <c r="AE4159" s="38"/>
      <c r="AF4159" s="38"/>
      <c r="AG4159" s="38"/>
      <c r="AH4159" s="38"/>
      <c r="AI4159" s="38"/>
      <c r="AJ4159" s="38"/>
      <c r="AK4159" s="38"/>
      <c r="AL4159" s="38"/>
      <c r="AM4159" s="38"/>
      <c r="AN4159" s="38"/>
      <c r="AO4159" s="38"/>
      <c r="AP4159" s="38"/>
      <c r="AQ4159" s="38"/>
      <c r="AR4159" s="38"/>
      <c r="AS4159" s="38"/>
      <c r="AT4159" s="38"/>
      <c r="AU4159" s="38"/>
      <c r="AV4159" s="38"/>
      <c r="AW4159" s="38"/>
      <c r="AX4159" s="38"/>
      <c r="AY4159" s="38"/>
      <c r="AZ4159" s="38"/>
      <c r="BA4159" s="38"/>
      <c r="BB4159" s="38"/>
      <c r="BC4159" s="38"/>
      <c r="BD4159" s="38"/>
      <c r="BE4159" s="38"/>
      <c r="BF4159" s="38"/>
      <c r="BG4159" s="38"/>
      <c r="BH4159" s="38"/>
      <c r="BI4159" s="38"/>
      <c r="BJ4159" s="38"/>
      <c r="BK4159" s="38"/>
      <c r="BL4159" s="38"/>
      <c r="BM4159" s="38"/>
      <c r="BN4159" s="38"/>
      <c r="BO4159" s="38"/>
      <c r="BP4159" s="38"/>
      <c r="BQ4159" s="38"/>
    </row>
    <row r="4160">
      <c r="A4160" s="16"/>
      <c r="B4160" s="145"/>
      <c r="C4160" s="146"/>
      <c r="D4160" s="146"/>
      <c r="E4160" s="16"/>
      <c r="F4160" s="91"/>
      <c r="G4160" s="16"/>
      <c r="H4160" s="320" t="str">
        <f t="shared" si="424"/>
        <v/>
      </c>
      <c r="I4160" s="16"/>
      <c r="J4160" s="16"/>
      <c r="K4160" s="16"/>
      <c r="L4160" s="16"/>
      <c r="M4160" s="15"/>
      <c r="N4160" s="15"/>
      <c r="O4160" s="16"/>
      <c r="P4160" s="16"/>
      <c r="Q4160" s="16"/>
      <c r="R4160" s="16"/>
      <c r="S4160" s="37" t="str">
        <f>IFERROR(__xludf.DUMMYFUNCTION("if(not(iserror(index(split(C4160, "" ""),2))), index(split(C4160, "" ""),1),"""")"),"")</f>
        <v/>
      </c>
      <c r="T4160" s="315" t="str">
        <f>IFERROR(__xludf.DUMMYFUNCTION("if(S4160="""",C4160,if(not(iserror(index(split(C4160, "" ""),3))), index(split(C4160, "" ""),3),index(split(C4160, "" ""),2)))"),"")</f>
        <v/>
      </c>
      <c r="U4160" s="38" t="b">
        <f t="shared" si="423"/>
        <v>0</v>
      </c>
      <c r="V4160" s="38"/>
      <c r="W4160" s="40"/>
      <c r="X4160" s="40"/>
      <c r="Y4160" s="40"/>
      <c r="Z4160" s="38"/>
      <c r="AA4160" s="38"/>
      <c r="AB4160" s="38"/>
      <c r="AC4160" s="38"/>
      <c r="AD4160" s="38"/>
      <c r="AE4160" s="38"/>
      <c r="AF4160" s="38"/>
      <c r="AG4160" s="38"/>
      <c r="AH4160" s="38"/>
      <c r="AI4160" s="38"/>
      <c r="AJ4160" s="38"/>
      <c r="AK4160" s="38"/>
      <c r="AL4160" s="38"/>
      <c r="AM4160" s="38"/>
      <c r="AN4160" s="38"/>
      <c r="AO4160" s="38"/>
      <c r="AP4160" s="38"/>
      <c r="AQ4160" s="38"/>
      <c r="AR4160" s="38"/>
      <c r="AS4160" s="38"/>
      <c r="AT4160" s="38"/>
      <c r="AU4160" s="38"/>
      <c r="AV4160" s="38"/>
      <c r="AW4160" s="38"/>
      <c r="AX4160" s="38"/>
      <c r="AY4160" s="38"/>
      <c r="AZ4160" s="38"/>
      <c r="BA4160" s="38"/>
      <c r="BB4160" s="38"/>
      <c r="BC4160" s="38"/>
      <c r="BD4160" s="38"/>
      <c r="BE4160" s="38"/>
      <c r="BF4160" s="38"/>
      <c r="BG4160" s="38"/>
      <c r="BH4160" s="38"/>
      <c r="BI4160" s="38"/>
      <c r="BJ4160" s="38"/>
      <c r="BK4160" s="38"/>
      <c r="BL4160" s="38"/>
      <c r="BM4160" s="38"/>
      <c r="BN4160" s="38"/>
      <c r="BO4160" s="38"/>
      <c r="BP4160" s="38"/>
      <c r="BQ4160" s="38"/>
    </row>
    <row r="4161">
      <c r="A4161" s="16"/>
      <c r="B4161" s="145"/>
      <c r="C4161" s="146"/>
      <c r="D4161" s="146"/>
      <c r="E4161" s="16"/>
      <c r="F4161" s="91"/>
      <c r="G4161" s="16"/>
      <c r="H4161" s="320" t="str">
        <f t="shared" si="424"/>
        <v/>
      </c>
      <c r="I4161" s="16"/>
      <c r="J4161" s="16"/>
      <c r="K4161" s="16"/>
      <c r="L4161" s="16"/>
      <c r="M4161" s="15"/>
      <c r="N4161" s="15"/>
      <c r="O4161" s="16"/>
      <c r="P4161" s="16"/>
      <c r="Q4161" s="16"/>
      <c r="R4161" s="16"/>
      <c r="S4161" s="37" t="str">
        <f>IFERROR(__xludf.DUMMYFUNCTION("if(not(iserror(index(split(C4161, "" ""),2))), index(split(C4161, "" ""),1),"""")"),"")</f>
        <v/>
      </c>
      <c r="T4161" s="315" t="str">
        <f>IFERROR(__xludf.DUMMYFUNCTION("if(S4161="""",C4161,if(not(iserror(index(split(C4161, "" ""),3))), index(split(C4161, "" ""),3),index(split(C4161, "" ""),2)))"),"")</f>
        <v/>
      </c>
      <c r="U4161" s="38" t="b">
        <f t="shared" si="423"/>
        <v>0</v>
      </c>
      <c r="V4161" s="38"/>
      <c r="W4161" s="40"/>
      <c r="X4161" s="40"/>
      <c r="Y4161" s="40"/>
      <c r="Z4161" s="38"/>
      <c r="AA4161" s="38"/>
      <c r="AB4161" s="38"/>
      <c r="AC4161" s="38"/>
      <c r="AD4161" s="38"/>
      <c r="AE4161" s="38"/>
      <c r="AF4161" s="38"/>
      <c r="AG4161" s="38"/>
      <c r="AH4161" s="38"/>
      <c r="AI4161" s="38"/>
      <c r="AJ4161" s="38"/>
      <c r="AK4161" s="38"/>
      <c r="AL4161" s="38"/>
      <c r="AM4161" s="38"/>
      <c r="AN4161" s="38"/>
      <c r="AO4161" s="38"/>
      <c r="AP4161" s="38"/>
      <c r="AQ4161" s="38"/>
      <c r="AR4161" s="38"/>
      <c r="AS4161" s="38"/>
      <c r="AT4161" s="38"/>
      <c r="AU4161" s="38"/>
      <c r="AV4161" s="38"/>
      <c r="AW4161" s="38"/>
      <c r="AX4161" s="38"/>
      <c r="AY4161" s="38"/>
      <c r="AZ4161" s="38"/>
      <c r="BA4161" s="38"/>
      <c r="BB4161" s="38"/>
      <c r="BC4161" s="38"/>
      <c r="BD4161" s="38"/>
      <c r="BE4161" s="38"/>
      <c r="BF4161" s="38"/>
      <c r="BG4161" s="38"/>
      <c r="BH4161" s="38"/>
      <c r="BI4161" s="38"/>
      <c r="BJ4161" s="38"/>
      <c r="BK4161" s="38"/>
      <c r="BL4161" s="38"/>
      <c r="BM4161" s="38"/>
      <c r="BN4161" s="38"/>
      <c r="BO4161" s="38"/>
      <c r="BP4161" s="38"/>
      <c r="BQ4161" s="38"/>
    </row>
    <row r="4162">
      <c r="A4162" s="16"/>
      <c r="B4162" s="145"/>
      <c r="C4162" s="146"/>
      <c r="D4162" s="146"/>
      <c r="E4162" s="16"/>
      <c r="F4162" s="91"/>
      <c r="G4162" s="16"/>
      <c r="H4162" s="320" t="str">
        <f t="shared" si="424"/>
        <v/>
      </c>
      <c r="I4162" s="16"/>
      <c r="J4162" s="16"/>
      <c r="K4162" s="16"/>
      <c r="L4162" s="16"/>
      <c r="M4162" s="15"/>
      <c r="N4162" s="15"/>
      <c r="O4162" s="16"/>
      <c r="P4162" s="16"/>
      <c r="Q4162" s="16"/>
      <c r="R4162" s="16"/>
      <c r="S4162" s="37" t="str">
        <f>IFERROR(__xludf.DUMMYFUNCTION("if(not(iserror(index(split(C4162, "" ""),2))), index(split(C4162, "" ""),1),"""")"),"")</f>
        <v/>
      </c>
      <c r="T4162" s="315" t="str">
        <f>IFERROR(__xludf.DUMMYFUNCTION("if(S4162="""",C4162,if(not(iserror(index(split(C4162, "" ""),3))), index(split(C4162, "" ""),3),index(split(C4162, "" ""),2)))"),"")</f>
        <v/>
      </c>
      <c r="U4162" s="38" t="b">
        <f t="shared" si="423"/>
        <v>0</v>
      </c>
      <c r="V4162" s="38"/>
      <c r="W4162" s="40"/>
      <c r="X4162" s="40"/>
      <c r="Y4162" s="40"/>
      <c r="Z4162" s="38"/>
      <c r="AA4162" s="38"/>
      <c r="AB4162" s="38"/>
      <c r="AC4162" s="38"/>
      <c r="AD4162" s="38"/>
      <c r="AE4162" s="38"/>
      <c r="AF4162" s="38"/>
      <c r="AG4162" s="38"/>
      <c r="AH4162" s="38"/>
      <c r="AI4162" s="38"/>
      <c r="AJ4162" s="38"/>
      <c r="AK4162" s="38"/>
      <c r="AL4162" s="38"/>
      <c r="AM4162" s="38"/>
      <c r="AN4162" s="38"/>
      <c r="AO4162" s="38"/>
      <c r="AP4162" s="38"/>
      <c r="AQ4162" s="38"/>
      <c r="AR4162" s="38"/>
      <c r="AS4162" s="38"/>
      <c r="AT4162" s="38"/>
      <c r="AU4162" s="38"/>
      <c r="AV4162" s="38"/>
      <c r="AW4162" s="38"/>
      <c r="AX4162" s="38"/>
      <c r="AY4162" s="38"/>
      <c r="AZ4162" s="38"/>
      <c r="BA4162" s="38"/>
      <c r="BB4162" s="38"/>
      <c r="BC4162" s="38"/>
      <c r="BD4162" s="38"/>
      <c r="BE4162" s="38"/>
      <c r="BF4162" s="38"/>
      <c r="BG4162" s="38"/>
      <c r="BH4162" s="38"/>
      <c r="BI4162" s="38"/>
      <c r="BJ4162" s="38"/>
      <c r="BK4162" s="38"/>
      <c r="BL4162" s="38"/>
      <c r="BM4162" s="38"/>
      <c r="BN4162" s="38"/>
      <c r="BO4162" s="38"/>
      <c r="BP4162" s="38"/>
      <c r="BQ4162" s="38"/>
    </row>
    <row r="4163">
      <c r="A4163" s="16"/>
      <c r="B4163" s="145"/>
      <c r="C4163" s="146"/>
      <c r="D4163" s="146"/>
      <c r="E4163" s="16"/>
      <c r="F4163" s="91"/>
      <c r="G4163" s="16"/>
      <c r="H4163" s="320" t="str">
        <f t="shared" si="424"/>
        <v/>
      </c>
      <c r="I4163" s="16"/>
      <c r="J4163" s="16"/>
      <c r="K4163" s="16"/>
      <c r="L4163" s="16"/>
      <c r="M4163" s="15"/>
      <c r="N4163" s="15"/>
      <c r="O4163" s="16"/>
      <c r="P4163" s="16"/>
      <c r="Q4163" s="16"/>
      <c r="R4163" s="16"/>
      <c r="S4163" s="37" t="str">
        <f>IFERROR(__xludf.DUMMYFUNCTION("if(not(iserror(index(split(C4163, "" ""),2))), index(split(C4163, "" ""),1),"""")"),"")</f>
        <v/>
      </c>
      <c r="T4163" s="315" t="str">
        <f>IFERROR(__xludf.DUMMYFUNCTION("if(S4163="""",C4163,if(not(iserror(index(split(C4163, "" ""),3))), index(split(C4163, "" ""),3),index(split(C4163, "" ""),2)))"),"")</f>
        <v/>
      </c>
      <c r="U4163" s="38" t="b">
        <f t="shared" si="423"/>
        <v>0</v>
      </c>
      <c r="V4163" s="38"/>
      <c r="W4163" s="40"/>
      <c r="X4163" s="40"/>
      <c r="Y4163" s="40"/>
      <c r="Z4163" s="38"/>
      <c r="AA4163" s="38"/>
      <c r="AB4163" s="38"/>
      <c r="AC4163" s="38"/>
      <c r="AD4163" s="38"/>
      <c r="AE4163" s="38"/>
      <c r="AF4163" s="38"/>
      <c r="AG4163" s="38"/>
      <c r="AH4163" s="38"/>
      <c r="AI4163" s="38"/>
      <c r="AJ4163" s="38"/>
      <c r="AK4163" s="38"/>
      <c r="AL4163" s="38"/>
      <c r="AM4163" s="38"/>
      <c r="AN4163" s="38"/>
      <c r="AO4163" s="38"/>
      <c r="AP4163" s="38"/>
      <c r="AQ4163" s="38"/>
      <c r="AR4163" s="38"/>
      <c r="AS4163" s="38"/>
      <c r="AT4163" s="38"/>
      <c r="AU4163" s="38"/>
      <c r="AV4163" s="38"/>
      <c r="AW4163" s="38"/>
      <c r="AX4163" s="38"/>
      <c r="AY4163" s="38"/>
      <c r="AZ4163" s="38"/>
      <c r="BA4163" s="38"/>
      <c r="BB4163" s="38"/>
      <c r="BC4163" s="38"/>
      <c r="BD4163" s="38"/>
      <c r="BE4163" s="38"/>
      <c r="BF4163" s="38"/>
      <c r="BG4163" s="38"/>
      <c r="BH4163" s="38"/>
      <c r="BI4163" s="38"/>
      <c r="BJ4163" s="38"/>
      <c r="BK4163" s="38"/>
      <c r="BL4163" s="38"/>
      <c r="BM4163" s="38"/>
      <c r="BN4163" s="38"/>
      <c r="BO4163" s="38"/>
      <c r="BP4163" s="38"/>
      <c r="BQ4163" s="38"/>
    </row>
    <row r="4164">
      <c r="A4164" s="16"/>
      <c r="B4164" s="145"/>
      <c r="C4164" s="146"/>
      <c r="D4164" s="146"/>
      <c r="E4164" s="16"/>
      <c r="F4164" s="91"/>
      <c r="G4164" s="16"/>
      <c r="H4164" s="320" t="str">
        <f t="shared" si="424"/>
        <v/>
      </c>
      <c r="I4164" s="16"/>
      <c r="J4164" s="16"/>
      <c r="K4164" s="16"/>
      <c r="L4164" s="16"/>
      <c r="M4164" s="15"/>
      <c r="N4164" s="15"/>
      <c r="O4164" s="16"/>
      <c r="P4164" s="16"/>
      <c r="Q4164" s="16"/>
      <c r="R4164" s="16"/>
      <c r="S4164" s="37" t="str">
        <f>IFERROR(__xludf.DUMMYFUNCTION("if(not(iserror(index(split(C4164, "" ""),2))), index(split(C4164, "" ""),1),"""")"),"")</f>
        <v/>
      </c>
      <c r="T4164" s="315" t="str">
        <f>IFERROR(__xludf.DUMMYFUNCTION("if(S4164="""",C4164,if(not(iserror(index(split(C4164, "" ""),3))), index(split(C4164, "" ""),3),index(split(C4164, "" ""),2)))"),"")</f>
        <v/>
      </c>
      <c r="U4164" s="38" t="b">
        <f t="shared" si="423"/>
        <v>0</v>
      </c>
      <c r="V4164" s="38"/>
      <c r="W4164" s="40"/>
      <c r="X4164" s="40"/>
      <c r="Y4164" s="40"/>
      <c r="Z4164" s="38"/>
      <c r="AA4164" s="38"/>
      <c r="AB4164" s="38"/>
      <c r="AC4164" s="38"/>
      <c r="AD4164" s="38"/>
      <c r="AE4164" s="38"/>
      <c r="AF4164" s="38"/>
      <c r="AG4164" s="38"/>
      <c r="AH4164" s="38"/>
      <c r="AI4164" s="38"/>
      <c r="AJ4164" s="38"/>
      <c r="AK4164" s="38"/>
      <c r="AL4164" s="38"/>
      <c r="AM4164" s="38"/>
      <c r="AN4164" s="38"/>
      <c r="AO4164" s="38"/>
      <c r="AP4164" s="38"/>
      <c r="AQ4164" s="38"/>
      <c r="AR4164" s="38"/>
      <c r="AS4164" s="38"/>
      <c r="AT4164" s="38"/>
      <c r="AU4164" s="38"/>
      <c r="AV4164" s="38"/>
      <c r="AW4164" s="38"/>
      <c r="AX4164" s="38"/>
      <c r="AY4164" s="38"/>
      <c r="AZ4164" s="38"/>
      <c r="BA4164" s="38"/>
      <c r="BB4164" s="38"/>
      <c r="BC4164" s="38"/>
      <c r="BD4164" s="38"/>
      <c r="BE4164" s="38"/>
      <c r="BF4164" s="38"/>
      <c r="BG4164" s="38"/>
      <c r="BH4164" s="38"/>
      <c r="BI4164" s="38"/>
      <c r="BJ4164" s="38"/>
      <c r="BK4164" s="38"/>
      <c r="BL4164" s="38"/>
      <c r="BM4164" s="38"/>
      <c r="BN4164" s="38"/>
      <c r="BO4164" s="38"/>
      <c r="BP4164" s="38"/>
      <c r="BQ4164" s="38"/>
    </row>
    <row r="4165">
      <c r="A4165" s="16"/>
      <c r="B4165" s="145"/>
      <c r="C4165" s="146"/>
      <c r="D4165" s="146"/>
      <c r="E4165" s="16"/>
      <c r="F4165" s="91"/>
      <c r="G4165" s="16"/>
      <c r="H4165" s="320" t="str">
        <f t="shared" si="424"/>
        <v/>
      </c>
      <c r="I4165" s="16"/>
      <c r="J4165" s="16"/>
      <c r="K4165" s="16"/>
      <c r="L4165" s="16"/>
      <c r="M4165" s="15"/>
      <c r="N4165" s="15"/>
      <c r="O4165" s="16"/>
      <c r="P4165" s="16"/>
      <c r="Q4165" s="16"/>
      <c r="R4165" s="16"/>
      <c r="S4165" s="37" t="str">
        <f>IFERROR(__xludf.DUMMYFUNCTION("if(not(iserror(index(split(C4165, "" ""),2))), index(split(C4165, "" ""),1),"""")"),"")</f>
        <v/>
      </c>
      <c r="T4165" s="315" t="str">
        <f>IFERROR(__xludf.DUMMYFUNCTION("if(S4165="""",C4165,if(not(iserror(index(split(C4165, "" ""),3))), index(split(C4165, "" ""),3),index(split(C4165, "" ""),2)))"),"")</f>
        <v/>
      </c>
      <c r="U4165" s="38" t="b">
        <f t="shared" si="423"/>
        <v>0</v>
      </c>
      <c r="V4165" s="38"/>
      <c r="W4165" s="40"/>
      <c r="X4165" s="40"/>
      <c r="Y4165" s="40"/>
      <c r="Z4165" s="38"/>
      <c r="AA4165" s="38"/>
      <c r="AB4165" s="38"/>
      <c r="AC4165" s="38"/>
      <c r="AD4165" s="38"/>
      <c r="AE4165" s="38"/>
      <c r="AF4165" s="38"/>
      <c r="AG4165" s="38"/>
      <c r="AH4165" s="38"/>
      <c r="AI4165" s="38"/>
      <c r="AJ4165" s="38"/>
      <c r="AK4165" s="38"/>
      <c r="AL4165" s="38"/>
      <c r="AM4165" s="38"/>
      <c r="AN4165" s="38"/>
      <c r="AO4165" s="38"/>
      <c r="AP4165" s="38"/>
      <c r="AQ4165" s="38"/>
      <c r="AR4165" s="38"/>
      <c r="AS4165" s="38"/>
      <c r="AT4165" s="38"/>
      <c r="AU4165" s="38"/>
      <c r="AV4165" s="38"/>
      <c r="AW4165" s="38"/>
      <c r="AX4165" s="38"/>
      <c r="AY4165" s="38"/>
      <c r="AZ4165" s="38"/>
      <c r="BA4165" s="38"/>
      <c r="BB4165" s="38"/>
      <c r="BC4165" s="38"/>
      <c r="BD4165" s="38"/>
      <c r="BE4165" s="38"/>
      <c r="BF4165" s="38"/>
      <c r="BG4165" s="38"/>
      <c r="BH4165" s="38"/>
      <c r="BI4165" s="38"/>
      <c r="BJ4165" s="38"/>
      <c r="BK4165" s="38"/>
      <c r="BL4165" s="38"/>
      <c r="BM4165" s="38"/>
      <c r="BN4165" s="38"/>
      <c r="BO4165" s="38"/>
      <c r="BP4165" s="38"/>
      <c r="BQ4165" s="38"/>
    </row>
    <row r="4166">
      <c r="A4166" s="16"/>
      <c r="B4166" s="145"/>
      <c r="C4166" s="146"/>
      <c r="D4166" s="146"/>
      <c r="E4166" s="16"/>
      <c r="F4166" s="91"/>
      <c r="G4166" s="16"/>
      <c r="H4166" s="320" t="str">
        <f t="shared" si="424"/>
        <v/>
      </c>
      <c r="I4166" s="16"/>
      <c r="J4166" s="16"/>
      <c r="K4166" s="16"/>
      <c r="L4166" s="16"/>
      <c r="M4166" s="15"/>
      <c r="N4166" s="15"/>
      <c r="O4166" s="16"/>
      <c r="P4166" s="16"/>
      <c r="Q4166" s="16"/>
      <c r="R4166" s="16"/>
      <c r="S4166" s="37" t="str">
        <f>IFERROR(__xludf.DUMMYFUNCTION("if(not(iserror(index(split(C4166, "" ""),2))), index(split(C4166, "" ""),1),"""")"),"")</f>
        <v/>
      </c>
      <c r="T4166" s="315" t="str">
        <f>IFERROR(__xludf.DUMMYFUNCTION("if(S4166="""",C4166,if(not(iserror(index(split(C4166, "" ""),3))), index(split(C4166, "" ""),3),index(split(C4166, "" ""),2)))"),"")</f>
        <v/>
      </c>
      <c r="U4166" s="38" t="b">
        <f t="shared" si="423"/>
        <v>0</v>
      </c>
      <c r="V4166" s="38"/>
      <c r="W4166" s="40"/>
      <c r="X4166" s="40"/>
      <c r="Y4166" s="40"/>
      <c r="Z4166" s="38"/>
      <c r="AA4166" s="38"/>
      <c r="AB4166" s="38"/>
      <c r="AC4166" s="38"/>
      <c r="AD4166" s="38"/>
      <c r="AE4166" s="38"/>
      <c r="AF4166" s="38"/>
      <c r="AG4166" s="38"/>
      <c r="AH4166" s="38"/>
      <c r="AI4166" s="38"/>
      <c r="AJ4166" s="38"/>
      <c r="AK4166" s="38"/>
      <c r="AL4166" s="38"/>
      <c r="AM4166" s="38"/>
      <c r="AN4166" s="38"/>
      <c r="AO4166" s="38"/>
      <c r="AP4166" s="38"/>
      <c r="AQ4166" s="38"/>
      <c r="AR4166" s="38"/>
      <c r="AS4166" s="38"/>
      <c r="AT4166" s="38"/>
      <c r="AU4166" s="38"/>
      <c r="AV4166" s="38"/>
      <c r="AW4166" s="38"/>
      <c r="AX4166" s="38"/>
      <c r="AY4166" s="38"/>
      <c r="AZ4166" s="38"/>
      <c r="BA4166" s="38"/>
      <c r="BB4166" s="38"/>
      <c r="BC4166" s="38"/>
      <c r="BD4166" s="38"/>
      <c r="BE4166" s="38"/>
      <c r="BF4166" s="38"/>
      <c r="BG4166" s="38"/>
      <c r="BH4166" s="38"/>
      <c r="BI4166" s="38"/>
      <c r="BJ4166" s="38"/>
      <c r="BK4166" s="38"/>
      <c r="BL4166" s="38"/>
      <c r="BM4166" s="38"/>
      <c r="BN4166" s="38"/>
      <c r="BO4166" s="38"/>
      <c r="BP4166" s="38"/>
      <c r="BQ4166" s="38"/>
    </row>
    <row r="4167">
      <c r="A4167" s="16"/>
      <c r="B4167" s="145"/>
      <c r="C4167" s="146"/>
      <c r="D4167" s="146"/>
      <c r="E4167" s="16"/>
      <c r="F4167" s="91"/>
      <c r="G4167" s="16"/>
      <c r="H4167" s="320" t="str">
        <f t="shared" si="424"/>
        <v/>
      </c>
      <c r="I4167" s="16"/>
      <c r="J4167" s="16"/>
      <c r="K4167" s="16"/>
      <c r="L4167" s="16"/>
      <c r="M4167" s="15"/>
      <c r="N4167" s="15"/>
      <c r="O4167" s="16"/>
      <c r="P4167" s="16"/>
      <c r="Q4167" s="16"/>
      <c r="R4167" s="16"/>
      <c r="S4167" s="37" t="str">
        <f>IFERROR(__xludf.DUMMYFUNCTION("if(not(iserror(index(split(C4167, "" ""),2))), index(split(C4167, "" ""),1),"""")"),"")</f>
        <v/>
      </c>
      <c r="T4167" s="315" t="str">
        <f>IFERROR(__xludf.DUMMYFUNCTION("if(S4167="""",C4167,if(not(iserror(index(split(C4167, "" ""),3))), index(split(C4167, "" ""),3),index(split(C4167, "" ""),2)))"),"")</f>
        <v/>
      </c>
      <c r="U4167" s="38" t="b">
        <f t="shared" si="423"/>
        <v>0</v>
      </c>
      <c r="V4167" s="38"/>
      <c r="W4167" s="40"/>
      <c r="X4167" s="40"/>
      <c r="Y4167" s="40"/>
      <c r="Z4167" s="38"/>
      <c r="AA4167" s="38"/>
      <c r="AB4167" s="38"/>
      <c r="AC4167" s="38"/>
      <c r="AD4167" s="38"/>
      <c r="AE4167" s="38"/>
      <c r="AF4167" s="38"/>
      <c r="AG4167" s="38"/>
      <c r="AH4167" s="38"/>
      <c r="AI4167" s="38"/>
      <c r="AJ4167" s="38"/>
      <c r="AK4167" s="38"/>
      <c r="AL4167" s="38"/>
      <c r="AM4167" s="38"/>
      <c r="AN4167" s="38"/>
      <c r="AO4167" s="38"/>
      <c r="AP4167" s="38"/>
      <c r="AQ4167" s="38"/>
      <c r="AR4167" s="38"/>
      <c r="AS4167" s="38"/>
      <c r="AT4167" s="38"/>
      <c r="AU4167" s="38"/>
      <c r="AV4167" s="38"/>
      <c r="AW4167" s="38"/>
      <c r="AX4167" s="38"/>
      <c r="AY4167" s="38"/>
      <c r="AZ4167" s="38"/>
      <c r="BA4167" s="38"/>
      <c r="BB4167" s="38"/>
      <c r="BC4167" s="38"/>
      <c r="BD4167" s="38"/>
      <c r="BE4167" s="38"/>
      <c r="BF4167" s="38"/>
      <c r="BG4167" s="38"/>
      <c r="BH4167" s="38"/>
      <c r="BI4167" s="38"/>
      <c r="BJ4167" s="38"/>
      <c r="BK4167" s="38"/>
      <c r="BL4167" s="38"/>
      <c r="BM4167" s="38"/>
      <c r="BN4167" s="38"/>
      <c r="BO4167" s="38"/>
      <c r="BP4167" s="38"/>
      <c r="BQ4167" s="38"/>
    </row>
    <row r="4168">
      <c r="A4168" s="16"/>
      <c r="B4168" s="145"/>
      <c r="C4168" s="146"/>
      <c r="D4168" s="146"/>
      <c r="E4168" s="16"/>
      <c r="F4168" s="91"/>
      <c r="G4168" s="16"/>
      <c r="H4168" s="320" t="str">
        <f t="shared" si="424"/>
        <v/>
      </c>
      <c r="I4168" s="16"/>
      <c r="J4168" s="16"/>
      <c r="K4168" s="16"/>
      <c r="L4168" s="16"/>
      <c r="M4168" s="15"/>
      <c r="N4168" s="15"/>
      <c r="O4168" s="16"/>
      <c r="P4168" s="16"/>
      <c r="Q4168" s="16"/>
      <c r="R4168" s="16"/>
      <c r="S4168" s="37" t="str">
        <f>IFERROR(__xludf.DUMMYFUNCTION("if(not(iserror(index(split(C4168, "" ""),2))), index(split(C4168, "" ""),1),"""")"),"")</f>
        <v/>
      </c>
      <c r="T4168" s="315" t="str">
        <f>IFERROR(__xludf.DUMMYFUNCTION("if(S4168="""",C4168,if(not(iserror(index(split(C4168, "" ""),3))), index(split(C4168, "" ""),3),index(split(C4168, "" ""),2)))"),"")</f>
        <v/>
      </c>
      <c r="U4168" s="38" t="b">
        <f t="shared" si="423"/>
        <v>0</v>
      </c>
      <c r="V4168" s="38"/>
      <c r="W4168" s="40"/>
      <c r="X4168" s="40"/>
      <c r="Y4168" s="40"/>
      <c r="Z4168" s="38"/>
      <c r="AA4168" s="38"/>
      <c r="AB4168" s="38"/>
      <c r="AC4168" s="38"/>
      <c r="AD4168" s="38"/>
      <c r="AE4168" s="38"/>
      <c r="AF4168" s="38"/>
      <c r="AG4168" s="38"/>
      <c r="AH4168" s="38"/>
      <c r="AI4168" s="38"/>
      <c r="AJ4168" s="38"/>
      <c r="AK4168" s="38"/>
      <c r="AL4168" s="38"/>
      <c r="AM4168" s="38"/>
      <c r="AN4168" s="38"/>
      <c r="AO4168" s="38"/>
      <c r="AP4168" s="38"/>
      <c r="AQ4168" s="38"/>
      <c r="AR4168" s="38"/>
      <c r="AS4168" s="38"/>
      <c r="AT4168" s="38"/>
      <c r="AU4168" s="38"/>
      <c r="AV4168" s="38"/>
      <c r="AW4168" s="38"/>
      <c r="AX4168" s="38"/>
      <c r="AY4168" s="38"/>
      <c r="AZ4168" s="38"/>
      <c r="BA4168" s="38"/>
      <c r="BB4168" s="38"/>
      <c r="BC4168" s="38"/>
      <c r="BD4168" s="38"/>
      <c r="BE4168" s="38"/>
      <c r="BF4168" s="38"/>
      <c r="BG4168" s="38"/>
      <c r="BH4168" s="38"/>
      <c r="BI4168" s="38"/>
      <c r="BJ4168" s="38"/>
      <c r="BK4168" s="38"/>
      <c r="BL4168" s="38"/>
      <c r="BM4168" s="38"/>
      <c r="BN4168" s="38"/>
      <c r="BO4168" s="38"/>
      <c r="BP4168" s="38"/>
      <c r="BQ4168" s="38"/>
    </row>
    <row r="4169">
      <c r="A4169" s="16"/>
      <c r="B4169" s="145"/>
      <c r="C4169" s="146"/>
      <c r="D4169" s="146"/>
      <c r="E4169" s="16"/>
      <c r="F4169" s="91"/>
      <c r="G4169" s="16"/>
      <c r="H4169" s="320" t="str">
        <f t="shared" si="424"/>
        <v/>
      </c>
      <c r="I4169" s="16"/>
      <c r="J4169" s="16"/>
      <c r="K4169" s="16"/>
      <c r="L4169" s="16"/>
      <c r="M4169" s="15"/>
      <c r="N4169" s="15"/>
      <c r="O4169" s="16"/>
      <c r="P4169" s="16"/>
      <c r="Q4169" s="16"/>
      <c r="R4169" s="16"/>
      <c r="S4169" s="37" t="str">
        <f>IFERROR(__xludf.DUMMYFUNCTION("if(not(iserror(index(split(C4169, "" ""),2))), index(split(C4169, "" ""),1),"""")"),"")</f>
        <v/>
      </c>
      <c r="T4169" s="315" t="str">
        <f>IFERROR(__xludf.DUMMYFUNCTION("if(S4169="""",C4169,if(not(iserror(index(split(C4169, "" ""),3))), index(split(C4169, "" ""),3),index(split(C4169, "" ""),2)))"),"")</f>
        <v/>
      </c>
      <c r="U4169" s="38" t="b">
        <f t="shared" si="423"/>
        <v>0</v>
      </c>
      <c r="V4169" s="38"/>
      <c r="W4169" s="40"/>
      <c r="X4169" s="40"/>
      <c r="Y4169" s="40"/>
      <c r="Z4169" s="38"/>
      <c r="AA4169" s="38"/>
      <c r="AB4169" s="38"/>
      <c r="AC4169" s="38"/>
      <c r="AD4169" s="38"/>
      <c r="AE4169" s="38"/>
      <c r="AF4169" s="38"/>
      <c r="AG4169" s="38"/>
      <c r="AH4169" s="38"/>
      <c r="AI4169" s="38"/>
      <c r="AJ4169" s="38"/>
      <c r="AK4169" s="38"/>
      <c r="AL4169" s="38"/>
      <c r="AM4169" s="38"/>
      <c r="AN4169" s="38"/>
      <c r="AO4169" s="38"/>
      <c r="AP4169" s="38"/>
      <c r="AQ4169" s="38"/>
      <c r="AR4169" s="38"/>
      <c r="AS4169" s="38"/>
      <c r="AT4169" s="38"/>
      <c r="AU4169" s="38"/>
      <c r="AV4169" s="38"/>
      <c r="AW4169" s="38"/>
      <c r="AX4169" s="38"/>
      <c r="AY4169" s="38"/>
      <c r="AZ4169" s="38"/>
      <c r="BA4169" s="38"/>
      <c r="BB4169" s="38"/>
      <c r="BC4169" s="38"/>
      <c r="BD4169" s="38"/>
      <c r="BE4169" s="38"/>
      <c r="BF4169" s="38"/>
      <c r="BG4169" s="38"/>
      <c r="BH4169" s="38"/>
      <c r="BI4169" s="38"/>
      <c r="BJ4169" s="38"/>
      <c r="BK4169" s="38"/>
      <c r="BL4169" s="38"/>
      <c r="BM4169" s="38"/>
      <c r="BN4169" s="38"/>
      <c r="BO4169" s="38"/>
      <c r="BP4169" s="38"/>
      <c r="BQ4169" s="38"/>
    </row>
    <row r="4170">
      <c r="A4170" s="16"/>
      <c r="B4170" s="145"/>
      <c r="C4170" s="146"/>
      <c r="D4170" s="146"/>
      <c r="E4170" s="16"/>
      <c r="F4170" s="91"/>
      <c r="G4170" s="16"/>
      <c r="H4170" s="320" t="str">
        <f t="shared" si="424"/>
        <v/>
      </c>
      <c r="I4170" s="16"/>
      <c r="J4170" s="16"/>
      <c r="K4170" s="16"/>
      <c r="L4170" s="16"/>
      <c r="M4170" s="15"/>
      <c r="N4170" s="15"/>
      <c r="O4170" s="16"/>
      <c r="P4170" s="16"/>
      <c r="Q4170" s="16"/>
      <c r="R4170" s="16"/>
      <c r="S4170" s="37" t="str">
        <f>IFERROR(__xludf.DUMMYFUNCTION("if(not(iserror(index(split(C4170, "" ""),2))), index(split(C4170, "" ""),1),"""")"),"")</f>
        <v/>
      </c>
      <c r="T4170" s="315" t="str">
        <f>IFERROR(__xludf.DUMMYFUNCTION("if(S4170="""",C4170,if(not(iserror(index(split(C4170, "" ""),3))), index(split(C4170, "" ""),3),index(split(C4170, "" ""),2)))"),"")</f>
        <v/>
      </c>
      <c r="U4170" s="38" t="b">
        <f t="shared" si="423"/>
        <v>0</v>
      </c>
      <c r="V4170" s="38"/>
      <c r="W4170" s="40"/>
      <c r="X4170" s="40"/>
      <c r="Y4170" s="40"/>
      <c r="Z4170" s="38"/>
      <c r="AA4170" s="38"/>
      <c r="AB4170" s="38"/>
      <c r="AC4170" s="38"/>
      <c r="AD4170" s="38"/>
      <c r="AE4170" s="38"/>
      <c r="AF4170" s="38"/>
      <c r="AG4170" s="38"/>
      <c r="AH4170" s="38"/>
      <c r="AI4170" s="38"/>
      <c r="AJ4170" s="38"/>
      <c r="AK4170" s="38"/>
      <c r="AL4170" s="38"/>
      <c r="AM4170" s="38"/>
      <c r="AN4170" s="38"/>
      <c r="AO4170" s="38"/>
      <c r="AP4170" s="38"/>
      <c r="AQ4170" s="38"/>
      <c r="AR4170" s="38"/>
      <c r="AS4170" s="38"/>
      <c r="AT4170" s="38"/>
      <c r="AU4170" s="38"/>
      <c r="AV4170" s="38"/>
      <c r="AW4170" s="38"/>
      <c r="AX4170" s="38"/>
      <c r="AY4170" s="38"/>
      <c r="AZ4170" s="38"/>
      <c r="BA4170" s="38"/>
      <c r="BB4170" s="38"/>
      <c r="BC4170" s="38"/>
      <c r="BD4170" s="38"/>
      <c r="BE4170" s="38"/>
      <c r="BF4170" s="38"/>
      <c r="BG4170" s="38"/>
      <c r="BH4170" s="38"/>
      <c r="BI4170" s="38"/>
      <c r="BJ4170" s="38"/>
      <c r="BK4170" s="38"/>
      <c r="BL4170" s="38"/>
      <c r="BM4170" s="38"/>
      <c r="BN4170" s="38"/>
      <c r="BO4170" s="38"/>
      <c r="BP4170" s="38"/>
      <c r="BQ4170" s="38"/>
    </row>
    <row r="4171">
      <c r="A4171" s="16"/>
      <c r="B4171" s="145"/>
      <c r="C4171" s="146"/>
      <c r="D4171" s="146"/>
      <c r="E4171" s="16"/>
      <c r="F4171" s="91"/>
      <c r="G4171" s="16"/>
      <c r="H4171" s="320" t="str">
        <f t="shared" si="424"/>
        <v/>
      </c>
      <c r="I4171" s="16"/>
      <c r="J4171" s="16"/>
      <c r="K4171" s="16"/>
      <c r="L4171" s="16"/>
      <c r="M4171" s="15"/>
      <c r="N4171" s="15"/>
      <c r="O4171" s="16"/>
      <c r="P4171" s="16"/>
      <c r="Q4171" s="16"/>
      <c r="R4171" s="16"/>
      <c r="S4171" s="37" t="str">
        <f>IFERROR(__xludf.DUMMYFUNCTION("if(not(iserror(index(split(C4171, "" ""),2))), index(split(C4171, "" ""),1),"""")"),"")</f>
        <v/>
      </c>
      <c r="T4171" s="315" t="str">
        <f>IFERROR(__xludf.DUMMYFUNCTION("if(S4171="""",C4171,if(not(iserror(index(split(C4171, "" ""),3))), index(split(C4171, "" ""),3),index(split(C4171, "" ""),2)))"),"")</f>
        <v/>
      </c>
      <c r="U4171" s="38" t="b">
        <f t="shared" si="423"/>
        <v>0</v>
      </c>
      <c r="V4171" s="38"/>
      <c r="W4171" s="40"/>
      <c r="X4171" s="40"/>
      <c r="Y4171" s="40"/>
      <c r="Z4171" s="38"/>
      <c r="AA4171" s="38"/>
      <c r="AB4171" s="38"/>
      <c r="AC4171" s="38"/>
      <c r="AD4171" s="38"/>
      <c r="AE4171" s="38"/>
      <c r="AF4171" s="38"/>
      <c r="AG4171" s="38"/>
      <c r="AH4171" s="38"/>
      <c r="AI4171" s="38"/>
      <c r="AJ4171" s="38"/>
      <c r="AK4171" s="38"/>
      <c r="AL4171" s="38"/>
      <c r="AM4171" s="38"/>
      <c r="AN4171" s="38"/>
      <c r="AO4171" s="38"/>
      <c r="AP4171" s="38"/>
      <c r="AQ4171" s="38"/>
      <c r="AR4171" s="38"/>
      <c r="AS4171" s="38"/>
      <c r="AT4171" s="38"/>
      <c r="AU4171" s="38"/>
      <c r="AV4171" s="38"/>
      <c r="AW4171" s="38"/>
      <c r="AX4171" s="38"/>
      <c r="AY4171" s="38"/>
      <c r="AZ4171" s="38"/>
      <c r="BA4171" s="38"/>
      <c r="BB4171" s="38"/>
      <c r="BC4171" s="38"/>
      <c r="BD4171" s="38"/>
      <c r="BE4171" s="38"/>
      <c r="BF4171" s="38"/>
      <c r="BG4171" s="38"/>
      <c r="BH4171" s="38"/>
      <c r="BI4171" s="38"/>
      <c r="BJ4171" s="38"/>
      <c r="BK4171" s="38"/>
      <c r="BL4171" s="38"/>
      <c r="BM4171" s="38"/>
      <c r="BN4171" s="38"/>
      <c r="BO4171" s="38"/>
      <c r="BP4171" s="38"/>
      <c r="BQ4171" s="38"/>
    </row>
    <row r="4172">
      <c r="A4172" s="16"/>
      <c r="B4172" s="145"/>
      <c r="C4172" s="146"/>
      <c r="D4172" s="146"/>
      <c r="E4172" s="16"/>
      <c r="F4172" s="91"/>
      <c r="G4172" s="16"/>
      <c r="H4172" s="320" t="str">
        <f t="shared" si="424"/>
        <v/>
      </c>
      <c r="I4172" s="16"/>
      <c r="J4172" s="16"/>
      <c r="K4172" s="16"/>
      <c r="L4172" s="16"/>
      <c r="M4172" s="15"/>
      <c r="N4172" s="15"/>
      <c r="O4172" s="16"/>
      <c r="P4172" s="16"/>
      <c r="Q4172" s="16"/>
      <c r="R4172" s="16"/>
      <c r="S4172" s="37" t="str">
        <f>IFERROR(__xludf.DUMMYFUNCTION("if(not(iserror(index(split(C4172, "" ""),2))), index(split(C4172, "" ""),1),"""")"),"")</f>
        <v/>
      </c>
      <c r="T4172" s="315" t="str">
        <f>IFERROR(__xludf.DUMMYFUNCTION("if(S4172="""",C4172,if(not(iserror(index(split(C4172, "" ""),3))), index(split(C4172, "" ""),3),index(split(C4172, "" ""),2)))"),"")</f>
        <v/>
      </c>
      <c r="U4172" s="38" t="b">
        <f t="shared" si="423"/>
        <v>0</v>
      </c>
      <c r="V4172" s="38"/>
      <c r="W4172" s="40"/>
      <c r="X4172" s="40"/>
      <c r="Y4172" s="40"/>
      <c r="Z4172" s="38"/>
      <c r="AA4172" s="38"/>
      <c r="AB4172" s="38"/>
      <c r="AC4172" s="38"/>
      <c r="AD4172" s="38"/>
      <c r="AE4172" s="38"/>
      <c r="AF4172" s="38"/>
      <c r="AG4172" s="38"/>
      <c r="AH4172" s="38"/>
      <c r="AI4172" s="38"/>
      <c r="AJ4172" s="38"/>
      <c r="AK4172" s="38"/>
      <c r="AL4172" s="38"/>
      <c r="AM4172" s="38"/>
      <c r="AN4172" s="38"/>
      <c r="AO4172" s="38"/>
      <c r="AP4172" s="38"/>
      <c r="AQ4172" s="38"/>
      <c r="AR4172" s="38"/>
      <c r="AS4172" s="38"/>
      <c r="AT4172" s="38"/>
      <c r="AU4172" s="38"/>
      <c r="AV4172" s="38"/>
      <c r="AW4172" s="38"/>
      <c r="AX4172" s="38"/>
      <c r="AY4172" s="38"/>
      <c r="AZ4172" s="38"/>
      <c r="BA4172" s="38"/>
      <c r="BB4172" s="38"/>
      <c r="BC4172" s="38"/>
      <c r="BD4172" s="38"/>
      <c r="BE4172" s="38"/>
      <c r="BF4172" s="38"/>
      <c r="BG4172" s="38"/>
      <c r="BH4172" s="38"/>
      <c r="BI4172" s="38"/>
      <c r="BJ4172" s="38"/>
      <c r="BK4172" s="38"/>
      <c r="BL4172" s="38"/>
      <c r="BM4172" s="38"/>
      <c r="BN4172" s="38"/>
      <c r="BO4172" s="38"/>
      <c r="BP4172" s="38"/>
      <c r="BQ4172" s="38"/>
    </row>
    <row r="4173">
      <c r="A4173" s="16"/>
      <c r="B4173" s="145"/>
      <c r="C4173" s="146"/>
      <c r="D4173" s="146"/>
      <c r="E4173" s="16"/>
      <c r="F4173" s="91"/>
      <c r="G4173" s="16"/>
      <c r="H4173" s="320" t="str">
        <f t="shared" si="424"/>
        <v/>
      </c>
      <c r="I4173" s="16"/>
      <c r="J4173" s="16"/>
      <c r="K4173" s="16"/>
      <c r="L4173" s="16"/>
      <c r="M4173" s="15"/>
      <c r="N4173" s="15"/>
      <c r="O4173" s="16"/>
      <c r="P4173" s="16"/>
      <c r="Q4173" s="16"/>
      <c r="R4173" s="16"/>
      <c r="S4173" s="37" t="str">
        <f>IFERROR(__xludf.DUMMYFUNCTION("if(not(iserror(index(split(C4173, "" ""),2))), index(split(C4173, "" ""),1),"""")"),"")</f>
        <v/>
      </c>
      <c r="T4173" s="315" t="str">
        <f>IFERROR(__xludf.DUMMYFUNCTION("if(S4173="""",C4173,if(not(iserror(index(split(C4173, "" ""),3))), index(split(C4173, "" ""),3),index(split(C4173, "" ""),2)))"),"")</f>
        <v/>
      </c>
      <c r="U4173" s="38" t="b">
        <f t="shared" si="423"/>
        <v>0</v>
      </c>
      <c r="V4173" s="38"/>
      <c r="W4173" s="40"/>
      <c r="X4173" s="40"/>
      <c r="Y4173" s="40"/>
      <c r="Z4173" s="38"/>
      <c r="AA4173" s="38"/>
      <c r="AB4173" s="38"/>
      <c r="AC4173" s="38"/>
      <c r="AD4173" s="38"/>
      <c r="AE4173" s="38"/>
      <c r="AF4173" s="38"/>
      <c r="AG4173" s="38"/>
      <c r="AH4173" s="38"/>
      <c r="AI4173" s="38"/>
      <c r="AJ4173" s="38"/>
      <c r="AK4173" s="38"/>
      <c r="AL4173" s="38"/>
      <c r="AM4173" s="38"/>
      <c r="AN4173" s="38"/>
      <c r="AO4173" s="38"/>
      <c r="AP4173" s="38"/>
      <c r="AQ4173" s="38"/>
      <c r="AR4173" s="38"/>
      <c r="AS4173" s="38"/>
      <c r="AT4173" s="38"/>
      <c r="AU4173" s="38"/>
      <c r="AV4173" s="38"/>
      <c r="AW4173" s="38"/>
      <c r="AX4173" s="38"/>
      <c r="AY4173" s="38"/>
      <c r="AZ4173" s="38"/>
      <c r="BA4173" s="38"/>
      <c r="BB4173" s="38"/>
      <c r="BC4173" s="38"/>
      <c r="BD4173" s="38"/>
      <c r="BE4173" s="38"/>
      <c r="BF4173" s="38"/>
      <c r="BG4173" s="38"/>
      <c r="BH4173" s="38"/>
      <c r="BI4173" s="38"/>
      <c r="BJ4173" s="38"/>
      <c r="BK4173" s="38"/>
      <c r="BL4173" s="38"/>
      <c r="BM4173" s="38"/>
      <c r="BN4173" s="38"/>
      <c r="BO4173" s="38"/>
      <c r="BP4173" s="38"/>
      <c r="BQ4173" s="38"/>
    </row>
    <row r="4174">
      <c r="A4174" s="16"/>
      <c r="B4174" s="145"/>
      <c r="C4174" s="146"/>
      <c r="D4174" s="146"/>
      <c r="E4174" s="16"/>
      <c r="F4174" s="91"/>
      <c r="G4174" s="16"/>
      <c r="H4174" s="320" t="str">
        <f t="shared" si="424"/>
        <v/>
      </c>
      <c r="I4174" s="16"/>
      <c r="J4174" s="16"/>
      <c r="K4174" s="16"/>
      <c r="L4174" s="16"/>
      <c r="M4174" s="15"/>
      <c r="N4174" s="15"/>
      <c r="O4174" s="16"/>
      <c r="P4174" s="16"/>
      <c r="Q4174" s="16"/>
      <c r="R4174" s="16"/>
      <c r="S4174" s="37" t="str">
        <f>IFERROR(__xludf.DUMMYFUNCTION("if(not(iserror(index(split(C4174, "" ""),2))), index(split(C4174, "" ""),1),"""")"),"")</f>
        <v/>
      </c>
      <c r="T4174" s="315" t="str">
        <f>IFERROR(__xludf.DUMMYFUNCTION("if(S4174="""",C4174,if(not(iserror(index(split(C4174, "" ""),3))), index(split(C4174, "" ""),3),index(split(C4174, "" ""),2)))"),"")</f>
        <v/>
      </c>
      <c r="U4174" s="38" t="b">
        <f t="shared" si="423"/>
        <v>0</v>
      </c>
      <c r="V4174" s="38"/>
      <c r="W4174" s="40"/>
      <c r="X4174" s="40"/>
      <c r="Y4174" s="40"/>
      <c r="Z4174" s="38"/>
      <c r="AA4174" s="38"/>
      <c r="AB4174" s="38"/>
      <c r="AC4174" s="38"/>
      <c r="AD4174" s="38"/>
      <c r="AE4174" s="38"/>
      <c r="AF4174" s="38"/>
      <c r="AG4174" s="38"/>
      <c r="AH4174" s="38"/>
      <c r="AI4174" s="38"/>
      <c r="AJ4174" s="38"/>
      <c r="AK4174" s="38"/>
      <c r="AL4174" s="38"/>
      <c r="AM4174" s="38"/>
      <c r="AN4174" s="38"/>
      <c r="AO4174" s="38"/>
      <c r="AP4174" s="38"/>
      <c r="AQ4174" s="38"/>
      <c r="AR4174" s="38"/>
      <c r="AS4174" s="38"/>
      <c r="AT4174" s="38"/>
      <c r="AU4174" s="38"/>
      <c r="AV4174" s="38"/>
      <c r="AW4174" s="38"/>
      <c r="AX4174" s="38"/>
      <c r="AY4174" s="38"/>
      <c r="AZ4174" s="38"/>
      <c r="BA4174" s="38"/>
      <c r="BB4174" s="38"/>
      <c r="BC4174" s="38"/>
      <c r="BD4174" s="38"/>
      <c r="BE4174" s="38"/>
      <c r="BF4174" s="38"/>
      <c r="BG4174" s="38"/>
      <c r="BH4174" s="38"/>
      <c r="BI4174" s="38"/>
      <c r="BJ4174" s="38"/>
      <c r="BK4174" s="38"/>
      <c r="BL4174" s="38"/>
      <c r="BM4174" s="38"/>
      <c r="BN4174" s="38"/>
      <c r="BO4174" s="38"/>
      <c r="BP4174" s="38"/>
      <c r="BQ4174" s="38"/>
    </row>
    <row r="4175">
      <c r="A4175" s="16"/>
      <c r="B4175" s="145"/>
      <c r="C4175" s="146"/>
      <c r="D4175" s="146"/>
      <c r="E4175" s="16"/>
      <c r="F4175" s="91"/>
      <c r="G4175" s="16"/>
      <c r="H4175" s="320" t="str">
        <f t="shared" si="424"/>
        <v/>
      </c>
      <c r="I4175" s="16"/>
      <c r="J4175" s="16"/>
      <c r="K4175" s="16"/>
      <c r="L4175" s="16"/>
      <c r="M4175" s="15"/>
      <c r="N4175" s="15"/>
      <c r="O4175" s="16"/>
      <c r="P4175" s="16"/>
      <c r="Q4175" s="16"/>
      <c r="R4175" s="16"/>
      <c r="S4175" s="37" t="str">
        <f>IFERROR(__xludf.DUMMYFUNCTION("if(not(iserror(index(split(C4175, "" ""),2))), index(split(C4175, "" ""),1),"""")"),"")</f>
        <v/>
      </c>
      <c r="T4175" s="315" t="str">
        <f>IFERROR(__xludf.DUMMYFUNCTION("if(S4175="""",C4175,if(not(iserror(index(split(C4175, "" ""),3))), index(split(C4175, "" ""),3),index(split(C4175, "" ""),2)))"),"")</f>
        <v/>
      </c>
      <c r="U4175" s="38" t="b">
        <f t="shared" si="423"/>
        <v>0</v>
      </c>
      <c r="V4175" s="38"/>
      <c r="W4175" s="40"/>
      <c r="X4175" s="40"/>
      <c r="Y4175" s="40"/>
      <c r="Z4175" s="38"/>
      <c r="AA4175" s="38"/>
      <c r="AB4175" s="38"/>
      <c r="AC4175" s="38"/>
      <c r="AD4175" s="38"/>
      <c r="AE4175" s="38"/>
      <c r="AF4175" s="38"/>
      <c r="AG4175" s="38"/>
      <c r="AH4175" s="38"/>
      <c r="AI4175" s="38"/>
      <c r="AJ4175" s="38"/>
      <c r="AK4175" s="38"/>
      <c r="AL4175" s="38"/>
      <c r="AM4175" s="38"/>
      <c r="AN4175" s="38"/>
      <c r="AO4175" s="38"/>
      <c r="AP4175" s="38"/>
      <c r="AQ4175" s="38"/>
      <c r="AR4175" s="38"/>
      <c r="AS4175" s="38"/>
      <c r="AT4175" s="38"/>
      <c r="AU4175" s="38"/>
      <c r="AV4175" s="38"/>
      <c r="AW4175" s="38"/>
      <c r="AX4175" s="38"/>
      <c r="AY4175" s="38"/>
      <c r="AZ4175" s="38"/>
      <c r="BA4175" s="38"/>
      <c r="BB4175" s="38"/>
      <c r="BC4175" s="38"/>
      <c r="BD4175" s="38"/>
      <c r="BE4175" s="38"/>
      <c r="BF4175" s="38"/>
      <c r="BG4175" s="38"/>
      <c r="BH4175" s="38"/>
      <c r="BI4175" s="38"/>
      <c r="BJ4175" s="38"/>
      <c r="BK4175" s="38"/>
      <c r="BL4175" s="38"/>
      <c r="BM4175" s="38"/>
      <c r="BN4175" s="38"/>
      <c r="BO4175" s="38"/>
      <c r="BP4175" s="38"/>
      <c r="BQ4175" s="38"/>
    </row>
    <row r="4176">
      <c r="A4176" s="16"/>
      <c r="B4176" s="145"/>
      <c r="C4176" s="146"/>
      <c r="D4176" s="146"/>
      <c r="E4176" s="16"/>
      <c r="F4176" s="91"/>
      <c r="G4176" s="16"/>
      <c r="H4176" s="320" t="str">
        <f t="shared" si="424"/>
        <v/>
      </c>
      <c r="I4176" s="16"/>
      <c r="J4176" s="16"/>
      <c r="K4176" s="16"/>
      <c r="L4176" s="16"/>
      <c r="M4176" s="15"/>
      <c r="N4176" s="15"/>
      <c r="O4176" s="16"/>
      <c r="P4176" s="16"/>
      <c r="Q4176" s="16"/>
      <c r="R4176" s="16"/>
      <c r="S4176" s="37" t="str">
        <f>IFERROR(__xludf.DUMMYFUNCTION("if(not(iserror(index(split(C4176, "" ""),2))), index(split(C4176, "" ""),1),"""")"),"")</f>
        <v/>
      </c>
      <c r="T4176" s="315" t="str">
        <f>IFERROR(__xludf.DUMMYFUNCTION("if(S4176="""",C4176,if(not(iserror(index(split(C4176, "" ""),3))), index(split(C4176, "" ""),3),index(split(C4176, "" ""),2)))"),"")</f>
        <v/>
      </c>
      <c r="U4176" s="38" t="b">
        <f t="shared" si="423"/>
        <v>0</v>
      </c>
      <c r="V4176" s="38"/>
      <c r="W4176" s="40"/>
      <c r="X4176" s="40"/>
      <c r="Y4176" s="40"/>
      <c r="Z4176" s="38"/>
      <c r="AA4176" s="38"/>
      <c r="AB4176" s="38"/>
      <c r="AC4176" s="38"/>
      <c r="AD4176" s="38"/>
      <c r="AE4176" s="38"/>
      <c r="AF4176" s="38"/>
      <c r="AG4176" s="38"/>
      <c r="AH4176" s="38"/>
      <c r="AI4176" s="38"/>
      <c r="AJ4176" s="38"/>
      <c r="AK4176" s="38"/>
      <c r="AL4176" s="38"/>
      <c r="AM4176" s="38"/>
      <c r="AN4176" s="38"/>
      <c r="AO4176" s="38"/>
      <c r="AP4176" s="38"/>
      <c r="AQ4176" s="38"/>
      <c r="AR4176" s="38"/>
      <c r="AS4176" s="38"/>
      <c r="AT4176" s="38"/>
      <c r="AU4176" s="38"/>
      <c r="AV4176" s="38"/>
      <c r="AW4176" s="38"/>
      <c r="AX4176" s="38"/>
      <c r="AY4176" s="38"/>
      <c r="AZ4176" s="38"/>
      <c r="BA4176" s="38"/>
      <c r="BB4176" s="38"/>
      <c r="BC4176" s="38"/>
      <c r="BD4176" s="38"/>
      <c r="BE4176" s="38"/>
      <c r="BF4176" s="38"/>
      <c r="BG4176" s="38"/>
      <c r="BH4176" s="38"/>
      <c r="BI4176" s="38"/>
      <c r="BJ4176" s="38"/>
      <c r="BK4176" s="38"/>
      <c r="BL4176" s="38"/>
      <c r="BM4176" s="38"/>
      <c r="BN4176" s="38"/>
      <c r="BO4176" s="38"/>
      <c r="BP4176" s="38"/>
      <c r="BQ4176" s="38"/>
    </row>
    <row r="4177">
      <c r="A4177" s="16"/>
      <c r="B4177" s="145"/>
      <c r="C4177" s="146"/>
      <c r="D4177" s="146"/>
      <c r="E4177" s="16"/>
      <c r="F4177" s="91"/>
      <c r="G4177" s="16"/>
      <c r="H4177" s="320" t="str">
        <f t="shared" si="424"/>
        <v/>
      </c>
      <c r="I4177" s="16"/>
      <c r="J4177" s="16"/>
      <c r="K4177" s="16"/>
      <c r="L4177" s="16"/>
      <c r="M4177" s="15"/>
      <c r="N4177" s="15"/>
      <c r="O4177" s="16"/>
      <c r="P4177" s="16"/>
      <c r="Q4177" s="16"/>
      <c r="R4177" s="16"/>
      <c r="S4177" s="37" t="str">
        <f>IFERROR(__xludf.DUMMYFUNCTION("if(not(iserror(index(split(C4177, "" ""),2))), index(split(C4177, "" ""),1),"""")"),"")</f>
        <v/>
      </c>
      <c r="T4177" s="315" t="str">
        <f>IFERROR(__xludf.DUMMYFUNCTION("if(S4177="""",C4177,if(not(iserror(index(split(C4177, "" ""),3))), index(split(C4177, "" ""),3),index(split(C4177, "" ""),2)))"),"")</f>
        <v/>
      </c>
      <c r="U4177" s="38" t="b">
        <f t="shared" si="423"/>
        <v>0</v>
      </c>
      <c r="V4177" s="38"/>
      <c r="W4177" s="40"/>
      <c r="X4177" s="40"/>
      <c r="Y4177" s="40"/>
      <c r="Z4177" s="38"/>
      <c r="AA4177" s="38"/>
      <c r="AB4177" s="38"/>
      <c r="AC4177" s="38"/>
      <c r="AD4177" s="38"/>
      <c r="AE4177" s="38"/>
      <c r="AF4177" s="38"/>
      <c r="AG4177" s="38"/>
      <c r="AH4177" s="38"/>
      <c r="AI4177" s="38"/>
      <c r="AJ4177" s="38"/>
      <c r="AK4177" s="38"/>
      <c r="AL4177" s="38"/>
      <c r="AM4177" s="38"/>
      <c r="AN4177" s="38"/>
      <c r="AO4177" s="38"/>
      <c r="AP4177" s="38"/>
      <c r="AQ4177" s="38"/>
      <c r="AR4177" s="38"/>
      <c r="AS4177" s="38"/>
      <c r="AT4177" s="38"/>
      <c r="AU4177" s="38"/>
      <c r="AV4177" s="38"/>
      <c r="AW4177" s="38"/>
      <c r="AX4177" s="38"/>
      <c r="AY4177" s="38"/>
      <c r="AZ4177" s="38"/>
      <c r="BA4177" s="38"/>
      <c r="BB4177" s="38"/>
      <c r="BC4177" s="38"/>
      <c r="BD4177" s="38"/>
      <c r="BE4177" s="38"/>
      <c r="BF4177" s="38"/>
      <c r="BG4177" s="38"/>
      <c r="BH4177" s="38"/>
      <c r="BI4177" s="38"/>
      <c r="BJ4177" s="38"/>
      <c r="BK4177" s="38"/>
      <c r="BL4177" s="38"/>
      <c r="BM4177" s="38"/>
      <c r="BN4177" s="38"/>
      <c r="BO4177" s="38"/>
      <c r="BP4177" s="38"/>
      <c r="BQ4177" s="38"/>
    </row>
    <row r="4178">
      <c r="A4178" s="16"/>
      <c r="B4178" s="145"/>
      <c r="C4178" s="146"/>
      <c r="D4178" s="146"/>
      <c r="E4178" s="16"/>
      <c r="F4178" s="91"/>
      <c r="G4178" s="16"/>
      <c r="H4178" s="320" t="str">
        <f t="shared" si="424"/>
        <v/>
      </c>
      <c r="I4178" s="16"/>
      <c r="J4178" s="16"/>
      <c r="K4178" s="16"/>
      <c r="L4178" s="16"/>
      <c r="M4178" s="15"/>
      <c r="N4178" s="15"/>
      <c r="O4178" s="16"/>
      <c r="P4178" s="16"/>
      <c r="Q4178" s="16"/>
      <c r="R4178" s="16"/>
      <c r="S4178" s="37" t="str">
        <f>IFERROR(__xludf.DUMMYFUNCTION("if(not(iserror(index(split(C4178, "" ""),2))), index(split(C4178, "" ""),1),"""")"),"")</f>
        <v/>
      </c>
      <c r="T4178" s="315" t="str">
        <f>IFERROR(__xludf.DUMMYFUNCTION("if(S4178="""",C4178,if(not(iserror(index(split(C4178, "" ""),3))), index(split(C4178, "" ""),3),index(split(C4178, "" ""),2)))"),"")</f>
        <v/>
      </c>
      <c r="U4178" s="38" t="b">
        <f t="shared" si="423"/>
        <v>0</v>
      </c>
      <c r="V4178" s="38"/>
      <c r="W4178" s="40"/>
      <c r="X4178" s="40"/>
      <c r="Y4178" s="40"/>
      <c r="Z4178" s="38"/>
      <c r="AA4178" s="38"/>
      <c r="AB4178" s="38"/>
      <c r="AC4178" s="38"/>
      <c r="AD4178" s="38"/>
      <c r="AE4178" s="38"/>
      <c r="AF4178" s="38"/>
      <c r="AG4178" s="38"/>
      <c r="AH4178" s="38"/>
      <c r="AI4178" s="38"/>
      <c r="AJ4178" s="38"/>
      <c r="AK4178" s="38"/>
      <c r="AL4178" s="38"/>
      <c r="AM4178" s="38"/>
      <c r="AN4178" s="38"/>
      <c r="AO4178" s="38"/>
      <c r="AP4178" s="38"/>
      <c r="AQ4178" s="38"/>
      <c r="AR4178" s="38"/>
      <c r="AS4178" s="38"/>
      <c r="AT4178" s="38"/>
      <c r="AU4178" s="38"/>
      <c r="AV4178" s="38"/>
      <c r="AW4178" s="38"/>
      <c r="AX4178" s="38"/>
      <c r="AY4178" s="38"/>
      <c r="AZ4178" s="38"/>
      <c r="BA4178" s="38"/>
      <c r="BB4178" s="38"/>
      <c r="BC4178" s="38"/>
      <c r="BD4178" s="38"/>
      <c r="BE4178" s="38"/>
      <c r="BF4178" s="38"/>
      <c r="BG4178" s="38"/>
      <c r="BH4178" s="38"/>
      <c r="BI4178" s="38"/>
      <c r="BJ4178" s="38"/>
      <c r="BK4178" s="38"/>
      <c r="BL4178" s="38"/>
      <c r="BM4178" s="38"/>
      <c r="BN4178" s="38"/>
      <c r="BO4178" s="38"/>
      <c r="BP4178" s="38"/>
      <c r="BQ4178" s="38"/>
    </row>
    <row r="4179">
      <c r="A4179" s="16"/>
      <c r="B4179" s="145"/>
      <c r="C4179" s="146"/>
      <c r="D4179" s="146"/>
      <c r="E4179" s="16"/>
      <c r="F4179" s="91"/>
      <c r="G4179" s="16"/>
      <c r="H4179" s="320" t="str">
        <f t="shared" si="424"/>
        <v/>
      </c>
      <c r="I4179" s="16"/>
      <c r="J4179" s="16"/>
      <c r="K4179" s="16"/>
      <c r="L4179" s="16"/>
      <c r="M4179" s="15"/>
      <c r="N4179" s="15"/>
      <c r="O4179" s="16"/>
      <c r="P4179" s="16"/>
      <c r="Q4179" s="16"/>
      <c r="R4179" s="16"/>
      <c r="S4179" s="37" t="str">
        <f>IFERROR(__xludf.DUMMYFUNCTION("if(not(iserror(index(split(C4179, "" ""),2))), index(split(C4179, "" ""),1),"""")"),"")</f>
        <v/>
      </c>
      <c r="T4179" s="315" t="str">
        <f>IFERROR(__xludf.DUMMYFUNCTION("if(S4179="""",C4179,if(not(iserror(index(split(C4179, "" ""),3))), index(split(C4179, "" ""),3),index(split(C4179, "" ""),2)))"),"")</f>
        <v/>
      </c>
      <c r="U4179" s="38" t="b">
        <f t="shared" si="423"/>
        <v>0</v>
      </c>
      <c r="V4179" s="38"/>
      <c r="W4179" s="40"/>
      <c r="X4179" s="40"/>
      <c r="Y4179" s="40"/>
      <c r="Z4179" s="38"/>
      <c r="AA4179" s="38"/>
      <c r="AB4179" s="38"/>
      <c r="AC4179" s="38"/>
      <c r="AD4179" s="38"/>
      <c r="AE4179" s="38"/>
      <c r="AF4179" s="38"/>
      <c r="AG4179" s="38"/>
      <c r="AH4179" s="38"/>
      <c r="AI4179" s="38"/>
      <c r="AJ4179" s="38"/>
      <c r="AK4179" s="38"/>
      <c r="AL4179" s="38"/>
      <c r="AM4179" s="38"/>
      <c r="AN4179" s="38"/>
      <c r="AO4179" s="38"/>
      <c r="AP4179" s="38"/>
      <c r="AQ4179" s="38"/>
      <c r="AR4179" s="38"/>
      <c r="AS4179" s="38"/>
      <c r="AT4179" s="38"/>
      <c r="AU4179" s="38"/>
      <c r="AV4179" s="38"/>
      <c r="AW4179" s="38"/>
      <c r="AX4179" s="38"/>
      <c r="AY4179" s="38"/>
      <c r="AZ4179" s="38"/>
      <c r="BA4179" s="38"/>
      <c r="BB4179" s="38"/>
      <c r="BC4179" s="38"/>
      <c r="BD4179" s="38"/>
      <c r="BE4179" s="38"/>
      <c r="BF4179" s="38"/>
      <c r="BG4179" s="38"/>
      <c r="BH4179" s="38"/>
      <c r="BI4179" s="38"/>
      <c r="BJ4179" s="38"/>
      <c r="BK4179" s="38"/>
      <c r="BL4179" s="38"/>
      <c r="BM4179" s="38"/>
      <c r="BN4179" s="38"/>
      <c r="BO4179" s="38"/>
      <c r="BP4179" s="38"/>
      <c r="BQ4179" s="38"/>
    </row>
    <row r="4180">
      <c r="A4180" s="16"/>
      <c r="B4180" s="145"/>
      <c r="C4180" s="146"/>
      <c r="D4180" s="146"/>
      <c r="E4180" s="16"/>
      <c r="F4180" s="91"/>
      <c r="G4180" s="16"/>
      <c r="H4180" s="320" t="str">
        <f t="shared" si="424"/>
        <v/>
      </c>
      <c r="I4180" s="16"/>
      <c r="J4180" s="16"/>
      <c r="K4180" s="16"/>
      <c r="L4180" s="16"/>
      <c r="M4180" s="15"/>
      <c r="N4180" s="15"/>
      <c r="O4180" s="16"/>
      <c r="P4180" s="16"/>
      <c r="Q4180" s="16"/>
      <c r="R4180" s="16"/>
      <c r="S4180" s="37" t="str">
        <f>IFERROR(__xludf.DUMMYFUNCTION("if(not(iserror(index(split(C4180, "" ""),2))), index(split(C4180, "" ""),1),"""")"),"")</f>
        <v/>
      </c>
      <c r="T4180" s="315" t="str">
        <f>IFERROR(__xludf.DUMMYFUNCTION("if(S4180="""",C4180,if(not(iserror(index(split(C4180, "" ""),3))), index(split(C4180, "" ""),3),index(split(C4180, "" ""),2)))"),"")</f>
        <v/>
      </c>
      <c r="U4180" s="38" t="b">
        <f t="shared" si="423"/>
        <v>0</v>
      </c>
      <c r="V4180" s="38"/>
      <c r="W4180" s="40"/>
      <c r="X4180" s="40"/>
      <c r="Y4180" s="40"/>
      <c r="Z4180" s="38"/>
      <c r="AA4180" s="38"/>
      <c r="AB4180" s="38"/>
      <c r="AC4180" s="38"/>
      <c r="AD4180" s="38"/>
      <c r="AE4180" s="38"/>
      <c r="AF4180" s="38"/>
      <c r="AG4180" s="38"/>
      <c r="AH4180" s="38"/>
      <c r="AI4180" s="38"/>
      <c r="AJ4180" s="38"/>
      <c r="AK4180" s="38"/>
      <c r="AL4180" s="38"/>
      <c r="AM4180" s="38"/>
      <c r="AN4180" s="38"/>
      <c r="AO4180" s="38"/>
      <c r="AP4180" s="38"/>
      <c r="AQ4180" s="38"/>
      <c r="AR4180" s="38"/>
      <c r="AS4180" s="38"/>
      <c r="AT4180" s="38"/>
      <c r="AU4180" s="38"/>
      <c r="AV4180" s="38"/>
      <c r="AW4180" s="38"/>
      <c r="AX4180" s="38"/>
      <c r="AY4180" s="38"/>
      <c r="AZ4180" s="38"/>
      <c r="BA4180" s="38"/>
      <c r="BB4180" s="38"/>
      <c r="BC4180" s="38"/>
      <c r="BD4180" s="38"/>
      <c r="BE4180" s="38"/>
      <c r="BF4180" s="38"/>
      <c r="BG4180" s="38"/>
      <c r="BH4180" s="38"/>
      <c r="BI4180" s="38"/>
      <c r="BJ4180" s="38"/>
      <c r="BK4180" s="38"/>
      <c r="BL4180" s="38"/>
      <c r="BM4180" s="38"/>
      <c r="BN4180" s="38"/>
      <c r="BO4180" s="38"/>
      <c r="BP4180" s="38"/>
      <c r="BQ4180" s="38"/>
    </row>
    <row r="4181">
      <c r="A4181" s="16"/>
      <c r="B4181" s="145"/>
      <c r="C4181" s="146"/>
      <c r="D4181" s="146"/>
      <c r="E4181" s="16"/>
      <c r="F4181" s="91"/>
      <c r="G4181" s="16"/>
      <c r="H4181" s="320" t="str">
        <f t="shared" si="424"/>
        <v/>
      </c>
      <c r="I4181" s="16"/>
      <c r="J4181" s="16"/>
      <c r="K4181" s="16"/>
      <c r="L4181" s="16"/>
      <c r="M4181" s="15"/>
      <c r="N4181" s="15"/>
      <c r="O4181" s="16"/>
      <c r="P4181" s="16"/>
      <c r="Q4181" s="16"/>
      <c r="R4181" s="16"/>
      <c r="S4181" s="37" t="str">
        <f>IFERROR(__xludf.DUMMYFUNCTION("if(not(iserror(index(split(C4181, "" ""),2))), index(split(C4181, "" ""),1),"""")"),"")</f>
        <v/>
      </c>
      <c r="T4181" s="315" t="str">
        <f>IFERROR(__xludf.DUMMYFUNCTION("if(S4181="""",C4181,if(not(iserror(index(split(C4181, "" ""),3))), index(split(C4181, "" ""),3),index(split(C4181, "" ""),2)))"),"")</f>
        <v/>
      </c>
      <c r="U4181" s="38" t="b">
        <f t="shared" si="423"/>
        <v>0</v>
      </c>
      <c r="V4181" s="38"/>
      <c r="W4181" s="40"/>
      <c r="X4181" s="40"/>
      <c r="Y4181" s="40"/>
      <c r="Z4181" s="38"/>
      <c r="AA4181" s="38"/>
      <c r="AB4181" s="38"/>
      <c r="AC4181" s="38"/>
      <c r="AD4181" s="38"/>
      <c r="AE4181" s="38"/>
      <c r="AF4181" s="38"/>
      <c r="AG4181" s="38"/>
      <c r="AH4181" s="38"/>
      <c r="AI4181" s="38"/>
      <c r="AJ4181" s="38"/>
      <c r="AK4181" s="38"/>
      <c r="AL4181" s="38"/>
      <c r="AM4181" s="38"/>
      <c r="AN4181" s="38"/>
      <c r="AO4181" s="38"/>
      <c r="AP4181" s="38"/>
      <c r="AQ4181" s="38"/>
      <c r="AR4181" s="38"/>
      <c r="AS4181" s="38"/>
      <c r="AT4181" s="38"/>
      <c r="AU4181" s="38"/>
      <c r="AV4181" s="38"/>
      <c r="AW4181" s="38"/>
      <c r="AX4181" s="38"/>
      <c r="AY4181" s="38"/>
      <c r="AZ4181" s="38"/>
      <c r="BA4181" s="38"/>
      <c r="BB4181" s="38"/>
      <c r="BC4181" s="38"/>
      <c r="BD4181" s="38"/>
      <c r="BE4181" s="38"/>
      <c r="BF4181" s="38"/>
      <c r="BG4181" s="38"/>
      <c r="BH4181" s="38"/>
      <c r="BI4181" s="38"/>
      <c r="BJ4181" s="38"/>
      <c r="BK4181" s="38"/>
      <c r="BL4181" s="38"/>
      <c r="BM4181" s="38"/>
      <c r="BN4181" s="38"/>
      <c r="BO4181" s="38"/>
      <c r="BP4181" s="38"/>
      <c r="BQ4181" s="38"/>
    </row>
    <row r="4182">
      <c r="A4182" s="16"/>
      <c r="B4182" s="145"/>
      <c r="C4182" s="146"/>
      <c r="D4182" s="146"/>
      <c r="E4182" s="16"/>
      <c r="F4182" s="91"/>
      <c r="G4182" s="16"/>
      <c r="H4182" s="320" t="str">
        <f t="shared" si="424"/>
        <v/>
      </c>
      <c r="I4182" s="16"/>
      <c r="J4182" s="16"/>
      <c r="K4182" s="16"/>
      <c r="L4182" s="16"/>
      <c r="M4182" s="15"/>
      <c r="N4182" s="15"/>
      <c r="O4182" s="16"/>
      <c r="P4182" s="16"/>
      <c r="Q4182" s="16"/>
      <c r="R4182" s="16"/>
      <c r="S4182" s="37" t="str">
        <f>IFERROR(__xludf.DUMMYFUNCTION("if(not(iserror(index(split(C4182, "" ""),2))), index(split(C4182, "" ""),1),"""")"),"")</f>
        <v/>
      </c>
      <c r="T4182" s="315" t="str">
        <f>IFERROR(__xludf.DUMMYFUNCTION("if(S4182="""",C4182,if(not(iserror(index(split(C4182, "" ""),3))), index(split(C4182, "" ""),3),index(split(C4182, "" ""),2)))"),"")</f>
        <v/>
      </c>
      <c r="U4182" s="38" t="b">
        <f t="shared" si="423"/>
        <v>0</v>
      </c>
      <c r="V4182" s="38"/>
      <c r="W4182" s="40"/>
      <c r="X4182" s="40"/>
      <c r="Y4182" s="40"/>
      <c r="Z4182" s="38"/>
      <c r="AA4182" s="38"/>
      <c r="AB4182" s="38"/>
      <c r="AC4182" s="38"/>
      <c r="AD4182" s="38"/>
      <c r="AE4182" s="38"/>
      <c r="AF4182" s="38"/>
      <c r="AG4182" s="38"/>
      <c r="AH4182" s="38"/>
      <c r="AI4182" s="38"/>
      <c r="AJ4182" s="38"/>
      <c r="AK4182" s="38"/>
      <c r="AL4182" s="38"/>
      <c r="AM4182" s="38"/>
      <c r="AN4182" s="38"/>
      <c r="AO4182" s="38"/>
      <c r="AP4182" s="38"/>
      <c r="AQ4182" s="38"/>
      <c r="AR4182" s="38"/>
      <c r="AS4182" s="38"/>
      <c r="AT4182" s="38"/>
      <c r="AU4182" s="38"/>
      <c r="AV4182" s="38"/>
      <c r="AW4182" s="38"/>
      <c r="AX4182" s="38"/>
      <c r="AY4182" s="38"/>
      <c r="AZ4182" s="38"/>
      <c r="BA4182" s="38"/>
      <c r="BB4182" s="38"/>
      <c r="BC4182" s="38"/>
      <c r="BD4182" s="38"/>
      <c r="BE4182" s="38"/>
      <c r="BF4182" s="38"/>
      <c r="BG4182" s="38"/>
      <c r="BH4182" s="38"/>
      <c r="BI4182" s="38"/>
      <c r="BJ4182" s="38"/>
      <c r="BK4182" s="38"/>
      <c r="BL4182" s="38"/>
      <c r="BM4182" s="38"/>
      <c r="BN4182" s="38"/>
      <c r="BO4182" s="38"/>
      <c r="BP4182" s="38"/>
      <c r="BQ4182" s="38"/>
    </row>
    <row r="4183">
      <c r="A4183" s="16"/>
      <c r="B4183" s="145"/>
      <c r="C4183" s="146"/>
      <c r="D4183" s="146"/>
      <c r="E4183" s="16"/>
      <c r="F4183" s="91"/>
      <c r="G4183" s="16"/>
      <c r="H4183" s="320" t="str">
        <f t="shared" si="424"/>
        <v/>
      </c>
      <c r="I4183" s="16"/>
      <c r="J4183" s="16"/>
      <c r="K4183" s="16"/>
      <c r="L4183" s="16"/>
      <c r="M4183" s="15"/>
      <c r="N4183" s="15"/>
      <c r="O4183" s="16"/>
      <c r="P4183" s="16"/>
      <c r="Q4183" s="16"/>
      <c r="R4183" s="16"/>
      <c r="S4183" s="37" t="str">
        <f>IFERROR(__xludf.DUMMYFUNCTION("if(not(iserror(index(split(C4183, "" ""),2))), index(split(C4183, "" ""),1),"""")"),"")</f>
        <v/>
      </c>
      <c r="T4183" s="315" t="str">
        <f>IFERROR(__xludf.DUMMYFUNCTION("if(S4183="""",C4183,if(not(iserror(index(split(C4183, "" ""),3))), index(split(C4183, "" ""),3),index(split(C4183, "" ""),2)))"),"")</f>
        <v/>
      </c>
      <c r="U4183" s="38" t="b">
        <f t="shared" si="423"/>
        <v>0</v>
      </c>
      <c r="V4183" s="38"/>
      <c r="W4183" s="40"/>
      <c r="X4183" s="40"/>
      <c r="Y4183" s="40"/>
      <c r="Z4183" s="38"/>
      <c r="AA4183" s="38"/>
      <c r="AB4183" s="38"/>
      <c r="AC4183" s="38"/>
      <c r="AD4183" s="38"/>
      <c r="AE4183" s="38"/>
      <c r="AF4183" s="38"/>
      <c r="AG4183" s="38"/>
      <c r="AH4183" s="38"/>
      <c r="AI4183" s="38"/>
      <c r="AJ4183" s="38"/>
      <c r="AK4183" s="38"/>
      <c r="AL4183" s="38"/>
      <c r="AM4183" s="38"/>
      <c r="AN4183" s="38"/>
      <c r="AO4183" s="38"/>
      <c r="AP4183" s="38"/>
      <c r="AQ4183" s="38"/>
      <c r="AR4183" s="38"/>
      <c r="AS4183" s="38"/>
      <c r="AT4183" s="38"/>
      <c r="AU4183" s="38"/>
      <c r="AV4183" s="38"/>
      <c r="AW4183" s="38"/>
      <c r="AX4183" s="38"/>
      <c r="AY4183" s="38"/>
      <c r="AZ4183" s="38"/>
      <c r="BA4183" s="38"/>
      <c r="BB4183" s="38"/>
      <c r="BC4183" s="38"/>
      <c r="BD4183" s="38"/>
      <c r="BE4183" s="38"/>
      <c r="BF4183" s="38"/>
      <c r="BG4183" s="38"/>
      <c r="BH4183" s="38"/>
      <c r="BI4183" s="38"/>
      <c r="BJ4183" s="38"/>
      <c r="BK4183" s="38"/>
      <c r="BL4183" s="38"/>
      <c r="BM4183" s="38"/>
      <c r="BN4183" s="38"/>
      <c r="BO4183" s="38"/>
      <c r="BP4183" s="38"/>
      <c r="BQ4183" s="38"/>
    </row>
    <row r="4184">
      <c r="A4184" s="16"/>
      <c r="B4184" s="145"/>
      <c r="C4184" s="146"/>
      <c r="D4184" s="146"/>
      <c r="E4184" s="16"/>
      <c r="F4184" s="91"/>
      <c r="G4184" s="16"/>
      <c r="H4184" s="320" t="str">
        <f t="shared" si="424"/>
        <v/>
      </c>
      <c r="I4184" s="16"/>
      <c r="J4184" s="16"/>
      <c r="K4184" s="16"/>
      <c r="L4184" s="16"/>
      <c r="M4184" s="15"/>
      <c r="N4184" s="15"/>
      <c r="O4184" s="16"/>
      <c r="P4184" s="16"/>
      <c r="Q4184" s="16"/>
      <c r="R4184" s="16"/>
      <c r="S4184" s="37" t="str">
        <f>IFERROR(__xludf.DUMMYFUNCTION("if(not(iserror(index(split(C4184, "" ""),2))), index(split(C4184, "" ""),1),"""")"),"")</f>
        <v/>
      </c>
      <c r="T4184" s="315" t="str">
        <f>IFERROR(__xludf.DUMMYFUNCTION("if(S4184="""",C4184,if(not(iserror(index(split(C4184, "" ""),3))), index(split(C4184, "" ""),3),index(split(C4184, "" ""),2)))"),"")</f>
        <v/>
      </c>
      <c r="U4184" s="38" t="b">
        <f t="shared" si="423"/>
        <v>0</v>
      </c>
      <c r="V4184" s="38"/>
      <c r="W4184" s="40"/>
      <c r="X4184" s="40"/>
      <c r="Y4184" s="40"/>
      <c r="Z4184" s="38"/>
      <c r="AA4184" s="38"/>
      <c r="AB4184" s="38"/>
      <c r="AC4184" s="38"/>
      <c r="AD4184" s="38"/>
      <c r="AE4184" s="38"/>
      <c r="AF4184" s="38"/>
      <c r="AG4184" s="38"/>
      <c r="AH4184" s="38"/>
      <c r="AI4184" s="38"/>
      <c r="AJ4184" s="38"/>
      <c r="AK4184" s="38"/>
      <c r="AL4184" s="38"/>
      <c r="AM4184" s="38"/>
      <c r="AN4184" s="38"/>
      <c r="AO4184" s="38"/>
      <c r="AP4184" s="38"/>
      <c r="AQ4184" s="38"/>
      <c r="AR4184" s="38"/>
      <c r="AS4184" s="38"/>
      <c r="AT4184" s="38"/>
      <c r="AU4184" s="38"/>
      <c r="AV4184" s="38"/>
      <c r="AW4184" s="38"/>
      <c r="AX4184" s="38"/>
      <c r="AY4184" s="38"/>
      <c r="AZ4184" s="38"/>
      <c r="BA4184" s="38"/>
      <c r="BB4184" s="38"/>
      <c r="BC4184" s="38"/>
      <c r="BD4184" s="38"/>
      <c r="BE4184" s="38"/>
      <c r="BF4184" s="38"/>
      <c r="BG4184" s="38"/>
      <c r="BH4184" s="38"/>
      <c r="BI4184" s="38"/>
      <c r="BJ4184" s="38"/>
      <c r="BK4184" s="38"/>
      <c r="BL4184" s="38"/>
      <c r="BM4184" s="38"/>
      <c r="BN4184" s="38"/>
      <c r="BO4184" s="38"/>
      <c r="BP4184" s="38"/>
      <c r="BQ4184" s="38"/>
    </row>
    <row r="4185">
      <c r="A4185" s="16"/>
      <c r="B4185" s="145"/>
      <c r="C4185" s="146"/>
      <c r="D4185" s="146"/>
      <c r="E4185" s="16"/>
      <c r="F4185" s="91"/>
      <c r="G4185" s="16"/>
      <c r="H4185" s="320" t="str">
        <f t="shared" si="424"/>
        <v/>
      </c>
      <c r="I4185" s="16"/>
      <c r="J4185" s="16"/>
      <c r="K4185" s="16"/>
      <c r="L4185" s="16"/>
      <c r="M4185" s="15"/>
      <c r="N4185" s="15"/>
      <c r="O4185" s="16"/>
      <c r="P4185" s="16"/>
      <c r="Q4185" s="16"/>
      <c r="R4185" s="16"/>
      <c r="S4185" s="37" t="str">
        <f>IFERROR(__xludf.DUMMYFUNCTION("if(not(iserror(index(split(C4185, "" ""),2))), index(split(C4185, "" ""),1),"""")"),"")</f>
        <v/>
      </c>
      <c r="T4185" s="315" t="str">
        <f>IFERROR(__xludf.DUMMYFUNCTION("if(S4185="""",C4185,if(not(iserror(index(split(C4185, "" ""),3))), index(split(C4185, "" ""),3),index(split(C4185, "" ""),2)))"),"")</f>
        <v/>
      </c>
      <c r="U4185" s="38" t="b">
        <f t="shared" si="423"/>
        <v>0</v>
      </c>
      <c r="V4185" s="38"/>
      <c r="W4185" s="40"/>
      <c r="X4185" s="40"/>
      <c r="Y4185" s="40"/>
      <c r="Z4185" s="38"/>
      <c r="AA4185" s="38"/>
      <c r="AB4185" s="38"/>
      <c r="AC4185" s="38"/>
      <c r="AD4185" s="38"/>
      <c r="AE4185" s="38"/>
      <c r="AF4185" s="38"/>
      <c r="AG4185" s="38"/>
      <c r="AH4185" s="38"/>
      <c r="AI4185" s="38"/>
      <c r="AJ4185" s="38"/>
      <c r="AK4185" s="38"/>
      <c r="AL4185" s="38"/>
      <c r="AM4185" s="38"/>
      <c r="AN4185" s="38"/>
      <c r="AO4185" s="38"/>
      <c r="AP4185" s="38"/>
      <c r="AQ4185" s="38"/>
      <c r="AR4185" s="38"/>
      <c r="AS4185" s="38"/>
      <c r="AT4185" s="38"/>
      <c r="AU4185" s="38"/>
      <c r="AV4185" s="38"/>
      <c r="AW4185" s="38"/>
      <c r="AX4185" s="38"/>
      <c r="AY4185" s="38"/>
      <c r="AZ4185" s="38"/>
      <c r="BA4185" s="38"/>
      <c r="BB4185" s="38"/>
      <c r="BC4185" s="38"/>
      <c r="BD4185" s="38"/>
      <c r="BE4185" s="38"/>
      <c r="BF4185" s="38"/>
      <c r="BG4185" s="38"/>
      <c r="BH4185" s="38"/>
      <c r="BI4185" s="38"/>
      <c r="BJ4185" s="38"/>
      <c r="BK4185" s="38"/>
      <c r="BL4185" s="38"/>
      <c r="BM4185" s="38"/>
      <c r="BN4185" s="38"/>
      <c r="BO4185" s="38"/>
      <c r="BP4185" s="38"/>
      <c r="BQ4185" s="38"/>
    </row>
    <row r="4186">
      <c r="A4186" s="16"/>
      <c r="B4186" s="145"/>
      <c r="C4186" s="146"/>
      <c r="D4186" s="146"/>
      <c r="E4186" s="16"/>
      <c r="F4186" s="91"/>
      <c r="G4186" s="16"/>
      <c r="H4186" s="320" t="str">
        <f t="shared" si="424"/>
        <v/>
      </c>
      <c r="I4186" s="16"/>
      <c r="J4186" s="16"/>
      <c r="K4186" s="16"/>
      <c r="L4186" s="16"/>
      <c r="M4186" s="15"/>
      <c r="N4186" s="15"/>
      <c r="O4186" s="16"/>
      <c r="P4186" s="16"/>
      <c r="Q4186" s="16"/>
      <c r="R4186" s="16"/>
      <c r="S4186" s="37" t="str">
        <f>IFERROR(__xludf.DUMMYFUNCTION("if(not(iserror(index(split(C4186, "" ""),2))), index(split(C4186, "" ""),1),"""")"),"")</f>
        <v/>
      </c>
      <c r="T4186" s="315" t="str">
        <f>IFERROR(__xludf.DUMMYFUNCTION("if(S4186="""",C4186,if(not(iserror(index(split(C4186, "" ""),3))), index(split(C4186, "" ""),3),index(split(C4186, "" ""),2)))"),"")</f>
        <v/>
      </c>
      <c r="U4186" s="38" t="b">
        <f t="shared" si="423"/>
        <v>0</v>
      </c>
      <c r="V4186" s="38"/>
      <c r="W4186" s="40"/>
      <c r="X4186" s="40"/>
      <c r="Y4186" s="40"/>
      <c r="Z4186" s="38"/>
      <c r="AA4186" s="38"/>
      <c r="AB4186" s="38"/>
      <c r="AC4186" s="38"/>
      <c r="AD4186" s="38"/>
      <c r="AE4186" s="38"/>
      <c r="AF4186" s="38"/>
      <c r="AG4186" s="38"/>
      <c r="AH4186" s="38"/>
      <c r="AI4186" s="38"/>
      <c r="AJ4186" s="38"/>
      <c r="AK4186" s="38"/>
      <c r="AL4186" s="38"/>
      <c r="AM4186" s="38"/>
      <c r="AN4186" s="38"/>
      <c r="AO4186" s="38"/>
      <c r="AP4186" s="38"/>
      <c r="AQ4186" s="38"/>
      <c r="AR4186" s="38"/>
      <c r="AS4186" s="38"/>
      <c r="AT4186" s="38"/>
      <c r="AU4186" s="38"/>
      <c r="AV4186" s="38"/>
      <c r="AW4186" s="38"/>
      <c r="AX4186" s="38"/>
      <c r="AY4186" s="38"/>
      <c r="AZ4186" s="38"/>
      <c r="BA4186" s="38"/>
      <c r="BB4186" s="38"/>
      <c r="BC4186" s="38"/>
      <c r="BD4186" s="38"/>
      <c r="BE4186" s="38"/>
      <c r="BF4186" s="38"/>
      <c r="BG4186" s="38"/>
      <c r="BH4186" s="38"/>
      <c r="BI4186" s="38"/>
      <c r="BJ4186" s="38"/>
      <c r="BK4186" s="38"/>
      <c r="BL4186" s="38"/>
      <c r="BM4186" s="38"/>
      <c r="BN4186" s="38"/>
      <c r="BO4186" s="38"/>
      <c r="BP4186" s="38"/>
      <c r="BQ4186" s="38"/>
    </row>
    <row r="4187">
      <c r="A4187" s="16"/>
      <c r="B4187" s="145"/>
      <c r="C4187" s="146"/>
      <c r="D4187" s="146"/>
      <c r="E4187" s="16"/>
      <c r="F4187" s="91"/>
      <c r="G4187" s="16"/>
      <c r="H4187" s="320" t="str">
        <f t="shared" si="424"/>
        <v/>
      </c>
      <c r="I4187" s="16"/>
      <c r="J4187" s="16"/>
      <c r="K4187" s="16"/>
      <c r="L4187" s="16"/>
      <c r="M4187" s="15"/>
      <c r="N4187" s="15"/>
      <c r="O4187" s="16"/>
      <c r="P4187" s="16"/>
      <c r="Q4187" s="16"/>
      <c r="R4187" s="16"/>
      <c r="S4187" s="37" t="str">
        <f>IFERROR(__xludf.DUMMYFUNCTION("if(not(iserror(index(split(C4187, "" ""),2))), index(split(C4187, "" ""),1),"""")"),"")</f>
        <v/>
      </c>
      <c r="T4187" s="315" t="str">
        <f>IFERROR(__xludf.DUMMYFUNCTION("if(S4187="""",C4187,if(not(iserror(index(split(C4187, "" ""),3))), index(split(C4187, "" ""),3),index(split(C4187, "" ""),2)))"),"")</f>
        <v/>
      </c>
      <c r="U4187" s="38" t="b">
        <f t="shared" si="423"/>
        <v>0</v>
      </c>
      <c r="V4187" s="38"/>
      <c r="W4187" s="40"/>
      <c r="X4187" s="40"/>
      <c r="Y4187" s="40"/>
      <c r="Z4187" s="38"/>
      <c r="AA4187" s="38"/>
      <c r="AB4187" s="38"/>
      <c r="AC4187" s="38"/>
      <c r="AD4187" s="38"/>
      <c r="AE4187" s="38"/>
      <c r="AF4187" s="38"/>
      <c r="AG4187" s="38"/>
      <c r="AH4187" s="38"/>
      <c r="AI4187" s="38"/>
      <c r="AJ4187" s="38"/>
      <c r="AK4187" s="38"/>
      <c r="AL4187" s="38"/>
      <c r="AM4187" s="38"/>
      <c r="AN4187" s="38"/>
      <c r="AO4187" s="38"/>
      <c r="AP4187" s="38"/>
      <c r="AQ4187" s="38"/>
      <c r="AR4187" s="38"/>
      <c r="AS4187" s="38"/>
      <c r="AT4187" s="38"/>
      <c r="AU4187" s="38"/>
      <c r="AV4187" s="38"/>
      <c r="AW4187" s="38"/>
      <c r="AX4187" s="38"/>
      <c r="AY4187" s="38"/>
      <c r="AZ4187" s="38"/>
      <c r="BA4187" s="38"/>
      <c r="BB4187" s="38"/>
      <c r="BC4187" s="38"/>
      <c r="BD4187" s="38"/>
      <c r="BE4187" s="38"/>
      <c r="BF4187" s="38"/>
      <c r="BG4187" s="38"/>
      <c r="BH4187" s="38"/>
      <c r="BI4187" s="38"/>
      <c r="BJ4187" s="38"/>
      <c r="BK4187" s="38"/>
      <c r="BL4187" s="38"/>
      <c r="BM4187" s="38"/>
      <c r="BN4187" s="38"/>
      <c r="BO4187" s="38"/>
      <c r="BP4187" s="38"/>
      <c r="BQ4187" s="38"/>
    </row>
    <row r="4188">
      <c r="A4188" s="16"/>
      <c r="B4188" s="145"/>
      <c r="C4188" s="146"/>
      <c r="D4188" s="146"/>
      <c r="E4188" s="16"/>
      <c r="F4188" s="91"/>
      <c r="G4188" s="16"/>
      <c r="H4188" s="320" t="str">
        <f t="shared" si="424"/>
        <v/>
      </c>
      <c r="I4188" s="16"/>
      <c r="J4188" s="16"/>
      <c r="K4188" s="16"/>
      <c r="L4188" s="16"/>
      <c r="M4188" s="15"/>
      <c r="N4188" s="15"/>
      <c r="O4188" s="16"/>
      <c r="P4188" s="16"/>
      <c r="Q4188" s="16"/>
      <c r="R4188" s="16"/>
      <c r="S4188" s="37" t="str">
        <f>IFERROR(__xludf.DUMMYFUNCTION("if(not(iserror(index(split(C4188, "" ""),2))), index(split(C4188, "" ""),1),"""")"),"")</f>
        <v/>
      </c>
      <c r="T4188" s="315" t="str">
        <f>IFERROR(__xludf.DUMMYFUNCTION("if(S4188="""",C4188,if(not(iserror(index(split(C4188, "" ""),3))), index(split(C4188, "" ""),3),index(split(C4188, "" ""),2)))"),"")</f>
        <v/>
      </c>
      <c r="U4188" s="38" t="b">
        <f t="shared" si="423"/>
        <v>0</v>
      </c>
      <c r="V4188" s="38"/>
      <c r="W4188" s="40"/>
      <c r="X4188" s="40"/>
      <c r="Y4188" s="40"/>
      <c r="Z4188" s="38"/>
      <c r="AA4188" s="38"/>
      <c r="AB4188" s="38"/>
      <c r="AC4188" s="38"/>
      <c r="AD4188" s="38"/>
      <c r="AE4188" s="38"/>
      <c r="AF4188" s="38"/>
      <c r="AG4188" s="38"/>
      <c r="AH4188" s="38"/>
      <c r="AI4188" s="38"/>
      <c r="AJ4188" s="38"/>
      <c r="AK4188" s="38"/>
      <c r="AL4188" s="38"/>
      <c r="AM4188" s="38"/>
      <c r="AN4188" s="38"/>
      <c r="AO4188" s="38"/>
      <c r="AP4188" s="38"/>
      <c r="AQ4188" s="38"/>
      <c r="AR4188" s="38"/>
      <c r="AS4188" s="38"/>
      <c r="AT4188" s="38"/>
      <c r="AU4188" s="38"/>
      <c r="AV4188" s="38"/>
      <c r="AW4188" s="38"/>
      <c r="AX4188" s="38"/>
      <c r="AY4188" s="38"/>
      <c r="AZ4188" s="38"/>
      <c r="BA4188" s="38"/>
      <c r="BB4188" s="38"/>
      <c r="BC4188" s="38"/>
      <c r="BD4188" s="38"/>
      <c r="BE4188" s="38"/>
      <c r="BF4188" s="38"/>
      <c r="BG4188" s="38"/>
      <c r="BH4188" s="38"/>
      <c r="BI4188" s="38"/>
      <c r="BJ4188" s="38"/>
      <c r="BK4188" s="38"/>
      <c r="BL4188" s="38"/>
      <c r="BM4188" s="38"/>
      <c r="BN4188" s="38"/>
      <c r="BO4188" s="38"/>
      <c r="BP4188" s="38"/>
      <c r="BQ4188" s="38"/>
    </row>
    <row r="4189">
      <c r="A4189" s="16"/>
      <c r="B4189" s="145"/>
      <c r="C4189" s="146"/>
      <c r="D4189" s="146"/>
      <c r="E4189" s="16"/>
      <c r="F4189" s="91"/>
      <c r="G4189" s="16"/>
      <c r="H4189" s="320" t="str">
        <f t="shared" si="424"/>
        <v/>
      </c>
      <c r="I4189" s="16"/>
      <c r="J4189" s="16"/>
      <c r="K4189" s="16"/>
      <c r="L4189" s="16"/>
      <c r="M4189" s="15"/>
      <c r="N4189" s="15"/>
      <c r="O4189" s="16"/>
      <c r="P4189" s="16"/>
      <c r="Q4189" s="16"/>
      <c r="R4189" s="16"/>
      <c r="S4189" s="37" t="str">
        <f>IFERROR(__xludf.DUMMYFUNCTION("if(not(iserror(index(split(C4189, "" ""),2))), index(split(C4189, "" ""),1),"""")"),"")</f>
        <v/>
      </c>
      <c r="T4189" s="315" t="str">
        <f>IFERROR(__xludf.DUMMYFUNCTION("if(S4189="""",C4189,if(not(iserror(index(split(C4189, "" ""),3))), index(split(C4189, "" ""),3),index(split(C4189, "" ""),2)))"),"")</f>
        <v/>
      </c>
      <c r="U4189" s="38" t="b">
        <f t="shared" si="423"/>
        <v>0</v>
      </c>
      <c r="V4189" s="38"/>
      <c r="W4189" s="40"/>
      <c r="X4189" s="40"/>
      <c r="Y4189" s="40"/>
      <c r="Z4189" s="38"/>
      <c r="AA4189" s="38"/>
      <c r="AB4189" s="38"/>
      <c r="AC4189" s="38"/>
      <c r="AD4189" s="38"/>
      <c r="AE4189" s="38"/>
      <c r="AF4189" s="38"/>
      <c r="AG4189" s="38"/>
      <c r="AH4189" s="38"/>
      <c r="AI4189" s="38"/>
      <c r="AJ4189" s="38"/>
      <c r="AK4189" s="38"/>
      <c r="AL4189" s="38"/>
      <c r="AM4189" s="38"/>
      <c r="AN4189" s="38"/>
      <c r="AO4189" s="38"/>
      <c r="AP4189" s="38"/>
      <c r="AQ4189" s="38"/>
      <c r="AR4189" s="38"/>
      <c r="AS4189" s="38"/>
      <c r="AT4189" s="38"/>
      <c r="AU4189" s="38"/>
      <c r="AV4189" s="38"/>
      <c r="AW4189" s="38"/>
      <c r="AX4189" s="38"/>
      <c r="AY4189" s="38"/>
      <c r="AZ4189" s="38"/>
      <c r="BA4189" s="38"/>
      <c r="BB4189" s="38"/>
      <c r="BC4189" s="38"/>
      <c r="BD4189" s="38"/>
      <c r="BE4189" s="38"/>
      <c r="BF4189" s="38"/>
      <c r="BG4189" s="38"/>
      <c r="BH4189" s="38"/>
      <c r="BI4189" s="38"/>
      <c r="BJ4189" s="38"/>
      <c r="BK4189" s="38"/>
      <c r="BL4189" s="38"/>
      <c r="BM4189" s="38"/>
      <c r="BN4189" s="38"/>
      <c r="BO4189" s="38"/>
      <c r="BP4189" s="38"/>
      <c r="BQ4189" s="38"/>
    </row>
    <row r="4190">
      <c r="A4190" s="16"/>
      <c r="B4190" s="145"/>
      <c r="C4190" s="146"/>
      <c r="D4190" s="146"/>
      <c r="E4190" s="16"/>
      <c r="F4190" s="91"/>
      <c r="G4190" s="16"/>
      <c r="H4190" s="320" t="str">
        <f t="shared" si="424"/>
        <v/>
      </c>
      <c r="I4190" s="16"/>
      <c r="J4190" s="16"/>
      <c r="K4190" s="16"/>
      <c r="L4190" s="16"/>
      <c r="M4190" s="15"/>
      <c r="N4190" s="15"/>
      <c r="O4190" s="16"/>
      <c r="P4190" s="16"/>
      <c r="Q4190" s="16"/>
      <c r="R4190" s="16"/>
      <c r="S4190" s="37" t="str">
        <f>IFERROR(__xludf.DUMMYFUNCTION("if(not(iserror(index(split(C4190, "" ""),2))), index(split(C4190, "" ""),1),"""")"),"")</f>
        <v/>
      </c>
      <c r="T4190" s="315" t="str">
        <f>IFERROR(__xludf.DUMMYFUNCTION("if(S4190="""",C4190,if(not(iserror(index(split(C4190, "" ""),3))), index(split(C4190, "" ""),3),index(split(C4190, "" ""),2)))"),"")</f>
        <v/>
      </c>
      <c r="U4190" s="38" t="b">
        <f t="shared" si="423"/>
        <v>0</v>
      </c>
      <c r="V4190" s="38"/>
      <c r="W4190" s="40"/>
      <c r="X4190" s="40"/>
      <c r="Y4190" s="40"/>
      <c r="Z4190" s="38"/>
      <c r="AA4190" s="38"/>
      <c r="AB4190" s="38"/>
      <c r="AC4190" s="38"/>
      <c r="AD4190" s="38"/>
      <c r="AE4190" s="38"/>
      <c r="AF4190" s="38"/>
      <c r="AG4190" s="38"/>
      <c r="AH4190" s="38"/>
      <c r="AI4190" s="38"/>
      <c r="AJ4190" s="38"/>
      <c r="AK4190" s="38"/>
      <c r="AL4190" s="38"/>
      <c r="AM4190" s="38"/>
      <c r="AN4190" s="38"/>
      <c r="AO4190" s="38"/>
      <c r="AP4190" s="38"/>
      <c r="AQ4190" s="38"/>
      <c r="AR4190" s="38"/>
      <c r="AS4190" s="38"/>
      <c r="AT4190" s="38"/>
      <c r="AU4190" s="38"/>
      <c r="AV4190" s="38"/>
      <c r="AW4190" s="38"/>
      <c r="AX4190" s="38"/>
      <c r="AY4190" s="38"/>
      <c r="AZ4190" s="38"/>
      <c r="BA4190" s="38"/>
      <c r="BB4190" s="38"/>
      <c r="BC4190" s="38"/>
      <c r="BD4190" s="38"/>
      <c r="BE4190" s="38"/>
      <c r="BF4190" s="38"/>
      <c r="BG4190" s="38"/>
      <c r="BH4190" s="38"/>
      <c r="BI4190" s="38"/>
      <c r="BJ4190" s="38"/>
      <c r="BK4190" s="38"/>
      <c r="BL4190" s="38"/>
      <c r="BM4190" s="38"/>
      <c r="BN4190" s="38"/>
      <c r="BO4190" s="38"/>
      <c r="BP4190" s="38"/>
      <c r="BQ4190" s="38"/>
    </row>
    <row r="4191">
      <c r="A4191" s="16"/>
      <c r="B4191" s="145"/>
      <c r="C4191" s="146"/>
      <c r="D4191" s="146"/>
      <c r="E4191" s="16"/>
      <c r="F4191" s="91"/>
      <c r="G4191" s="16"/>
      <c r="H4191" s="320" t="str">
        <f t="shared" si="424"/>
        <v/>
      </c>
      <c r="I4191" s="16"/>
      <c r="J4191" s="16"/>
      <c r="K4191" s="16"/>
      <c r="L4191" s="16"/>
      <c r="M4191" s="15"/>
      <c r="N4191" s="15"/>
      <c r="O4191" s="16"/>
      <c r="P4191" s="16"/>
      <c r="Q4191" s="16"/>
      <c r="R4191" s="16"/>
      <c r="S4191" s="37" t="str">
        <f>IFERROR(__xludf.DUMMYFUNCTION("if(not(iserror(index(split(C4191, "" ""),2))), index(split(C4191, "" ""),1),"""")"),"")</f>
        <v/>
      </c>
      <c r="T4191" s="315" t="str">
        <f>IFERROR(__xludf.DUMMYFUNCTION("if(S4191="""",C4191,if(not(iserror(index(split(C4191, "" ""),3))), index(split(C4191, "" ""),3),index(split(C4191, "" ""),2)))"),"")</f>
        <v/>
      </c>
      <c r="U4191" s="38" t="b">
        <f t="shared" si="423"/>
        <v>0</v>
      </c>
      <c r="V4191" s="38"/>
      <c r="W4191" s="40"/>
      <c r="X4191" s="40"/>
      <c r="Y4191" s="40"/>
      <c r="Z4191" s="38"/>
      <c r="AA4191" s="38"/>
      <c r="AB4191" s="38"/>
      <c r="AC4191" s="38"/>
      <c r="AD4191" s="38"/>
      <c r="AE4191" s="38"/>
      <c r="AF4191" s="38"/>
      <c r="AG4191" s="38"/>
      <c r="AH4191" s="38"/>
      <c r="AI4191" s="38"/>
      <c r="AJ4191" s="38"/>
      <c r="AK4191" s="38"/>
      <c r="AL4191" s="38"/>
      <c r="AM4191" s="38"/>
      <c r="AN4191" s="38"/>
      <c r="AO4191" s="38"/>
      <c r="AP4191" s="38"/>
      <c r="AQ4191" s="38"/>
      <c r="AR4191" s="38"/>
      <c r="AS4191" s="38"/>
      <c r="AT4191" s="38"/>
      <c r="AU4191" s="38"/>
      <c r="AV4191" s="38"/>
      <c r="AW4191" s="38"/>
      <c r="AX4191" s="38"/>
      <c r="AY4191" s="38"/>
      <c r="AZ4191" s="38"/>
      <c r="BA4191" s="38"/>
      <c r="BB4191" s="38"/>
      <c r="BC4191" s="38"/>
      <c r="BD4191" s="38"/>
      <c r="BE4191" s="38"/>
      <c r="BF4191" s="38"/>
      <c r="BG4191" s="38"/>
      <c r="BH4191" s="38"/>
      <c r="BI4191" s="38"/>
      <c r="BJ4191" s="38"/>
      <c r="BK4191" s="38"/>
      <c r="BL4191" s="38"/>
      <c r="BM4191" s="38"/>
      <c r="BN4191" s="38"/>
      <c r="BO4191" s="38"/>
      <c r="BP4191" s="38"/>
      <c r="BQ4191" s="38"/>
    </row>
    <row r="4192">
      <c r="A4192" s="16"/>
      <c r="B4192" s="145"/>
      <c r="C4192" s="146"/>
      <c r="D4192" s="146"/>
      <c r="E4192" s="16"/>
      <c r="F4192" s="91"/>
      <c r="G4192" s="16"/>
      <c r="H4192" s="320" t="str">
        <f t="shared" si="424"/>
        <v/>
      </c>
      <c r="I4192" s="16"/>
      <c r="J4192" s="16"/>
      <c r="K4192" s="16"/>
      <c r="L4192" s="16"/>
      <c r="M4192" s="15"/>
      <c r="N4192" s="15"/>
      <c r="O4192" s="16"/>
      <c r="P4192" s="16"/>
      <c r="Q4192" s="16"/>
      <c r="R4192" s="16"/>
      <c r="S4192" s="37" t="str">
        <f>IFERROR(__xludf.DUMMYFUNCTION("if(not(iserror(index(split(C4192, "" ""),2))), index(split(C4192, "" ""),1),"""")"),"")</f>
        <v/>
      </c>
      <c r="T4192" s="315" t="str">
        <f>IFERROR(__xludf.DUMMYFUNCTION("if(S4192="""",C4192,if(not(iserror(index(split(C4192, "" ""),3))), index(split(C4192, "" ""),3),index(split(C4192, "" ""),2)))"),"")</f>
        <v/>
      </c>
      <c r="U4192" s="38" t="b">
        <f t="shared" si="423"/>
        <v>0</v>
      </c>
      <c r="V4192" s="38"/>
      <c r="W4192" s="40"/>
      <c r="X4192" s="40"/>
      <c r="Y4192" s="40"/>
      <c r="Z4192" s="38"/>
      <c r="AA4192" s="38"/>
      <c r="AB4192" s="38"/>
      <c r="AC4192" s="38"/>
      <c r="AD4192" s="38"/>
      <c r="AE4192" s="38"/>
      <c r="AF4192" s="38"/>
      <c r="AG4192" s="38"/>
      <c r="AH4192" s="38"/>
      <c r="AI4192" s="38"/>
      <c r="AJ4192" s="38"/>
      <c r="AK4192" s="38"/>
      <c r="AL4192" s="38"/>
      <c r="AM4192" s="38"/>
      <c r="AN4192" s="38"/>
      <c r="AO4192" s="38"/>
      <c r="AP4192" s="38"/>
      <c r="AQ4192" s="38"/>
      <c r="AR4192" s="38"/>
      <c r="AS4192" s="38"/>
      <c r="AT4192" s="38"/>
      <c r="AU4192" s="38"/>
      <c r="AV4192" s="38"/>
      <c r="AW4192" s="38"/>
      <c r="AX4192" s="38"/>
      <c r="AY4192" s="38"/>
      <c r="AZ4192" s="38"/>
      <c r="BA4192" s="38"/>
      <c r="BB4192" s="38"/>
      <c r="BC4192" s="38"/>
      <c r="BD4192" s="38"/>
      <c r="BE4192" s="38"/>
      <c r="BF4192" s="38"/>
      <c r="BG4192" s="38"/>
      <c r="BH4192" s="38"/>
      <c r="BI4192" s="38"/>
      <c r="BJ4192" s="38"/>
      <c r="BK4192" s="38"/>
      <c r="BL4192" s="38"/>
      <c r="BM4192" s="38"/>
      <c r="BN4192" s="38"/>
      <c r="BO4192" s="38"/>
      <c r="BP4192" s="38"/>
      <c r="BQ4192" s="38"/>
    </row>
    <row r="4193">
      <c r="A4193" s="16"/>
      <c r="B4193" s="145"/>
      <c r="C4193" s="146"/>
      <c r="D4193" s="146"/>
      <c r="E4193" s="16"/>
      <c r="F4193" s="91"/>
      <c r="G4193" s="16"/>
      <c r="H4193" s="320" t="str">
        <f t="shared" si="424"/>
        <v/>
      </c>
      <c r="I4193" s="16"/>
      <c r="J4193" s="16"/>
      <c r="K4193" s="16"/>
      <c r="L4193" s="16"/>
      <c r="M4193" s="15"/>
      <c r="N4193" s="15"/>
      <c r="O4193" s="16"/>
      <c r="P4193" s="16"/>
      <c r="Q4193" s="16"/>
      <c r="R4193" s="16"/>
      <c r="S4193" s="37" t="str">
        <f>IFERROR(__xludf.DUMMYFUNCTION("if(not(iserror(index(split(C4193, "" ""),2))), index(split(C4193, "" ""),1),"""")"),"")</f>
        <v/>
      </c>
      <c r="T4193" s="315" t="str">
        <f>IFERROR(__xludf.DUMMYFUNCTION("if(S4193="""",C4193,if(not(iserror(index(split(C4193, "" ""),3))), index(split(C4193, "" ""),3),index(split(C4193, "" ""),2)))"),"")</f>
        <v/>
      </c>
      <c r="U4193" s="38" t="b">
        <f t="shared" si="423"/>
        <v>0</v>
      </c>
      <c r="V4193" s="38"/>
      <c r="W4193" s="40"/>
      <c r="X4193" s="40"/>
      <c r="Y4193" s="40"/>
      <c r="Z4193" s="38"/>
      <c r="AA4193" s="38"/>
      <c r="AB4193" s="38"/>
      <c r="AC4193" s="38"/>
      <c r="AD4193" s="38"/>
      <c r="AE4193" s="38"/>
      <c r="AF4193" s="38"/>
      <c r="AG4193" s="38"/>
      <c r="AH4193" s="38"/>
      <c r="AI4193" s="38"/>
      <c r="AJ4193" s="38"/>
      <c r="AK4193" s="38"/>
      <c r="AL4193" s="38"/>
      <c r="AM4193" s="38"/>
      <c r="AN4193" s="38"/>
      <c r="AO4193" s="38"/>
      <c r="AP4193" s="38"/>
      <c r="AQ4193" s="38"/>
      <c r="AR4193" s="38"/>
      <c r="AS4193" s="38"/>
      <c r="AT4193" s="38"/>
      <c r="AU4193" s="38"/>
      <c r="AV4193" s="38"/>
      <c r="AW4193" s="38"/>
      <c r="AX4193" s="38"/>
      <c r="AY4193" s="38"/>
      <c r="AZ4193" s="38"/>
      <c r="BA4193" s="38"/>
      <c r="BB4193" s="38"/>
      <c r="BC4193" s="38"/>
      <c r="BD4193" s="38"/>
      <c r="BE4193" s="38"/>
      <c r="BF4193" s="38"/>
      <c r="BG4193" s="38"/>
      <c r="BH4193" s="38"/>
      <c r="BI4193" s="38"/>
      <c r="BJ4193" s="38"/>
      <c r="BK4193" s="38"/>
      <c r="BL4193" s="38"/>
      <c r="BM4193" s="38"/>
      <c r="BN4193" s="38"/>
      <c r="BO4193" s="38"/>
      <c r="BP4193" s="38"/>
      <c r="BQ4193" s="38"/>
    </row>
    <row r="4194">
      <c r="A4194" s="16"/>
      <c r="B4194" s="145"/>
      <c r="C4194" s="146"/>
      <c r="D4194" s="146"/>
      <c r="E4194" s="16"/>
      <c r="F4194" s="91"/>
      <c r="G4194" s="16"/>
      <c r="H4194" s="320" t="str">
        <f t="shared" si="424"/>
        <v/>
      </c>
      <c r="I4194" s="16"/>
      <c r="J4194" s="16"/>
      <c r="K4194" s="16"/>
      <c r="L4194" s="16"/>
      <c r="M4194" s="15"/>
      <c r="N4194" s="15"/>
      <c r="O4194" s="16"/>
      <c r="P4194" s="16"/>
      <c r="Q4194" s="16"/>
      <c r="R4194" s="16"/>
      <c r="S4194" s="37" t="str">
        <f>IFERROR(__xludf.DUMMYFUNCTION("if(not(iserror(index(split(C4194, "" ""),2))), index(split(C4194, "" ""),1),"""")"),"")</f>
        <v/>
      </c>
      <c r="T4194" s="315" t="str">
        <f>IFERROR(__xludf.DUMMYFUNCTION("if(S4194="""",C4194,if(not(iserror(index(split(C4194, "" ""),3))), index(split(C4194, "" ""),3),index(split(C4194, "" ""),2)))"),"")</f>
        <v/>
      </c>
      <c r="U4194" s="38" t="b">
        <f t="shared" si="423"/>
        <v>0</v>
      </c>
      <c r="V4194" s="38"/>
      <c r="W4194" s="40"/>
      <c r="X4194" s="40"/>
      <c r="Y4194" s="40"/>
      <c r="Z4194" s="38"/>
      <c r="AA4194" s="38"/>
      <c r="AB4194" s="38"/>
      <c r="AC4194" s="38"/>
      <c r="AD4194" s="38"/>
      <c r="AE4194" s="38"/>
      <c r="AF4194" s="38"/>
      <c r="AG4194" s="38"/>
      <c r="AH4194" s="38"/>
      <c r="AI4194" s="38"/>
      <c r="AJ4194" s="38"/>
      <c r="AK4194" s="38"/>
      <c r="AL4194" s="38"/>
      <c r="AM4194" s="38"/>
      <c r="AN4194" s="38"/>
      <c r="AO4194" s="38"/>
      <c r="AP4194" s="38"/>
      <c r="AQ4194" s="38"/>
      <c r="AR4194" s="38"/>
      <c r="AS4194" s="38"/>
      <c r="AT4194" s="38"/>
      <c r="AU4194" s="38"/>
      <c r="AV4194" s="38"/>
      <c r="AW4194" s="38"/>
      <c r="AX4194" s="38"/>
      <c r="AY4194" s="38"/>
      <c r="AZ4194" s="38"/>
      <c r="BA4194" s="38"/>
      <c r="BB4194" s="38"/>
      <c r="BC4194" s="38"/>
      <c r="BD4194" s="38"/>
      <c r="BE4194" s="38"/>
      <c r="BF4194" s="38"/>
      <c r="BG4194" s="38"/>
      <c r="BH4194" s="38"/>
      <c r="BI4194" s="38"/>
      <c r="BJ4194" s="38"/>
      <c r="BK4194" s="38"/>
      <c r="BL4194" s="38"/>
      <c r="BM4194" s="38"/>
      <c r="BN4194" s="38"/>
      <c r="BO4194" s="38"/>
      <c r="BP4194" s="38"/>
      <c r="BQ4194" s="38"/>
    </row>
    <row r="4195">
      <c r="A4195" s="16"/>
      <c r="B4195" s="145"/>
      <c r="C4195" s="146"/>
      <c r="D4195" s="146"/>
      <c r="E4195" s="16"/>
      <c r="F4195" s="91"/>
      <c r="G4195" s="16"/>
      <c r="H4195" s="320" t="str">
        <f t="shared" si="424"/>
        <v/>
      </c>
      <c r="I4195" s="16"/>
      <c r="J4195" s="16"/>
      <c r="K4195" s="16"/>
      <c r="L4195" s="16"/>
      <c r="M4195" s="15"/>
      <c r="N4195" s="15"/>
      <c r="O4195" s="16"/>
      <c r="P4195" s="16"/>
      <c r="Q4195" s="16"/>
      <c r="R4195" s="16"/>
      <c r="S4195" s="37" t="str">
        <f>IFERROR(__xludf.DUMMYFUNCTION("if(not(iserror(index(split(C4195, "" ""),2))), index(split(C4195, "" ""),1),"""")"),"")</f>
        <v/>
      </c>
      <c r="T4195" s="315" t="str">
        <f>IFERROR(__xludf.DUMMYFUNCTION("if(S4195="""",C4195,if(not(iserror(index(split(C4195, "" ""),3))), index(split(C4195, "" ""),3),index(split(C4195, "" ""),2)))"),"")</f>
        <v/>
      </c>
      <c r="U4195" s="38" t="b">
        <f t="shared" si="423"/>
        <v>0</v>
      </c>
      <c r="V4195" s="38"/>
      <c r="W4195" s="40"/>
      <c r="X4195" s="40"/>
      <c r="Y4195" s="40"/>
      <c r="Z4195" s="38"/>
      <c r="AA4195" s="38"/>
      <c r="AB4195" s="38"/>
      <c r="AC4195" s="38"/>
      <c r="AD4195" s="38"/>
      <c r="AE4195" s="38"/>
      <c r="AF4195" s="38"/>
      <c r="AG4195" s="38"/>
      <c r="AH4195" s="38"/>
      <c r="AI4195" s="38"/>
      <c r="AJ4195" s="38"/>
      <c r="AK4195" s="38"/>
      <c r="AL4195" s="38"/>
      <c r="AM4195" s="38"/>
      <c r="AN4195" s="38"/>
      <c r="AO4195" s="38"/>
      <c r="AP4195" s="38"/>
      <c r="AQ4195" s="38"/>
      <c r="AR4195" s="38"/>
      <c r="AS4195" s="38"/>
      <c r="AT4195" s="38"/>
      <c r="AU4195" s="38"/>
      <c r="AV4195" s="38"/>
      <c r="AW4195" s="38"/>
      <c r="AX4195" s="38"/>
      <c r="AY4195" s="38"/>
      <c r="AZ4195" s="38"/>
      <c r="BA4195" s="38"/>
      <c r="BB4195" s="38"/>
      <c r="BC4195" s="38"/>
      <c r="BD4195" s="38"/>
      <c r="BE4195" s="38"/>
      <c r="BF4195" s="38"/>
      <c r="BG4195" s="38"/>
      <c r="BH4195" s="38"/>
      <c r="BI4195" s="38"/>
      <c r="BJ4195" s="38"/>
      <c r="BK4195" s="38"/>
      <c r="BL4195" s="38"/>
      <c r="BM4195" s="38"/>
      <c r="BN4195" s="38"/>
      <c r="BO4195" s="38"/>
      <c r="BP4195" s="38"/>
      <c r="BQ4195" s="38"/>
    </row>
    <row r="4196">
      <c r="A4196" s="16"/>
      <c r="B4196" s="145"/>
      <c r="C4196" s="146"/>
      <c r="D4196" s="146"/>
      <c r="E4196" s="16"/>
      <c r="F4196" s="91"/>
      <c r="G4196" s="16"/>
      <c r="H4196" s="320" t="str">
        <f t="shared" si="424"/>
        <v/>
      </c>
      <c r="I4196" s="16"/>
      <c r="J4196" s="16"/>
      <c r="K4196" s="16"/>
      <c r="L4196" s="16"/>
      <c r="M4196" s="15"/>
      <c r="N4196" s="15"/>
      <c r="O4196" s="16"/>
      <c r="P4196" s="16"/>
      <c r="Q4196" s="16"/>
      <c r="R4196" s="16"/>
      <c r="S4196" s="37" t="str">
        <f>IFERROR(__xludf.DUMMYFUNCTION("if(not(iserror(index(split(C4196, "" ""),2))), index(split(C4196, "" ""),1),"""")"),"")</f>
        <v/>
      </c>
      <c r="T4196" s="315" t="str">
        <f>IFERROR(__xludf.DUMMYFUNCTION("if(S4196="""",C4196,if(not(iserror(index(split(C4196, "" ""),3))), index(split(C4196, "" ""),3),index(split(C4196, "" ""),2)))"),"")</f>
        <v/>
      </c>
      <c r="U4196" s="38" t="b">
        <f t="shared" si="423"/>
        <v>0</v>
      </c>
      <c r="V4196" s="38"/>
      <c r="W4196" s="40"/>
      <c r="X4196" s="40"/>
      <c r="Y4196" s="40"/>
      <c r="Z4196" s="38"/>
      <c r="AA4196" s="38"/>
      <c r="AB4196" s="38"/>
      <c r="AC4196" s="38"/>
      <c r="AD4196" s="38"/>
      <c r="AE4196" s="38"/>
      <c r="AF4196" s="38"/>
      <c r="AG4196" s="38"/>
      <c r="AH4196" s="38"/>
      <c r="AI4196" s="38"/>
      <c r="AJ4196" s="38"/>
      <c r="AK4196" s="38"/>
      <c r="AL4196" s="38"/>
      <c r="AM4196" s="38"/>
      <c r="AN4196" s="38"/>
      <c r="AO4196" s="38"/>
      <c r="AP4196" s="38"/>
      <c r="AQ4196" s="38"/>
      <c r="AR4196" s="38"/>
      <c r="AS4196" s="38"/>
      <c r="AT4196" s="38"/>
      <c r="AU4196" s="38"/>
      <c r="AV4196" s="38"/>
      <c r="AW4196" s="38"/>
      <c r="AX4196" s="38"/>
      <c r="AY4196" s="38"/>
      <c r="AZ4196" s="38"/>
      <c r="BA4196" s="38"/>
      <c r="BB4196" s="38"/>
      <c r="BC4196" s="38"/>
      <c r="BD4196" s="38"/>
      <c r="BE4196" s="38"/>
      <c r="BF4196" s="38"/>
      <c r="BG4196" s="38"/>
      <c r="BH4196" s="38"/>
      <c r="BI4196" s="38"/>
      <c r="BJ4196" s="38"/>
      <c r="BK4196" s="38"/>
      <c r="BL4196" s="38"/>
      <c r="BM4196" s="38"/>
      <c r="BN4196" s="38"/>
      <c r="BO4196" s="38"/>
      <c r="BP4196" s="38"/>
      <c r="BQ4196" s="38"/>
    </row>
    <row r="4197">
      <c r="A4197" s="16"/>
      <c r="B4197" s="145"/>
      <c r="C4197" s="146"/>
      <c r="D4197" s="146"/>
      <c r="E4197" s="16"/>
      <c r="F4197" s="91"/>
      <c r="G4197" s="16"/>
      <c r="H4197" s="320" t="str">
        <f t="shared" si="424"/>
        <v/>
      </c>
      <c r="I4197" s="16"/>
      <c r="J4197" s="16"/>
      <c r="K4197" s="16"/>
      <c r="L4197" s="16"/>
      <c r="M4197" s="15"/>
      <c r="N4197" s="15"/>
      <c r="O4197" s="16"/>
      <c r="P4197" s="16"/>
      <c r="Q4197" s="16"/>
      <c r="R4197" s="16"/>
      <c r="S4197" s="37" t="str">
        <f>IFERROR(__xludf.DUMMYFUNCTION("if(not(iserror(index(split(C4197, "" ""),2))), index(split(C4197, "" ""),1),"""")"),"")</f>
        <v/>
      </c>
      <c r="T4197" s="315" t="str">
        <f>IFERROR(__xludf.DUMMYFUNCTION("if(S4197="""",C4197,if(not(iserror(index(split(C4197, "" ""),3))), index(split(C4197, "" ""),3),index(split(C4197, "" ""),2)))"),"")</f>
        <v/>
      </c>
      <c r="U4197" s="38" t="b">
        <f t="shared" si="423"/>
        <v>0</v>
      </c>
      <c r="V4197" s="38"/>
      <c r="W4197" s="40"/>
      <c r="X4197" s="40"/>
      <c r="Y4197" s="40"/>
      <c r="Z4197" s="38"/>
      <c r="AA4197" s="38"/>
      <c r="AB4197" s="38"/>
      <c r="AC4197" s="38"/>
      <c r="AD4197" s="38"/>
      <c r="AE4197" s="38"/>
      <c r="AF4197" s="38"/>
      <c r="AG4197" s="38"/>
      <c r="AH4197" s="38"/>
      <c r="AI4197" s="38"/>
      <c r="AJ4197" s="38"/>
      <c r="AK4197" s="38"/>
      <c r="AL4197" s="38"/>
      <c r="AM4197" s="38"/>
      <c r="AN4197" s="38"/>
      <c r="AO4197" s="38"/>
      <c r="AP4197" s="38"/>
      <c r="AQ4197" s="38"/>
      <c r="AR4197" s="38"/>
      <c r="AS4197" s="38"/>
      <c r="AT4197" s="38"/>
      <c r="AU4197" s="38"/>
      <c r="AV4197" s="38"/>
      <c r="AW4197" s="38"/>
      <c r="AX4197" s="38"/>
      <c r="AY4197" s="38"/>
      <c r="AZ4197" s="38"/>
      <c r="BA4197" s="38"/>
      <c r="BB4197" s="38"/>
      <c r="BC4197" s="38"/>
      <c r="BD4197" s="38"/>
      <c r="BE4197" s="38"/>
      <c r="BF4197" s="38"/>
      <c r="BG4197" s="38"/>
      <c r="BH4197" s="38"/>
      <c r="BI4197" s="38"/>
      <c r="BJ4197" s="38"/>
      <c r="BK4197" s="38"/>
      <c r="BL4197" s="38"/>
      <c r="BM4197" s="38"/>
      <c r="BN4197" s="38"/>
      <c r="BO4197" s="38"/>
      <c r="BP4197" s="38"/>
      <c r="BQ4197" s="38"/>
    </row>
    <row r="4198">
      <c r="A4198" s="16"/>
      <c r="B4198" s="145"/>
      <c r="C4198" s="146"/>
      <c r="D4198" s="146"/>
      <c r="E4198" s="16"/>
      <c r="F4198" s="91"/>
      <c r="G4198" s="16"/>
      <c r="H4198" s="320" t="str">
        <f t="shared" si="424"/>
        <v/>
      </c>
      <c r="I4198" s="16"/>
      <c r="J4198" s="16"/>
      <c r="K4198" s="16"/>
      <c r="L4198" s="16"/>
      <c r="M4198" s="15"/>
      <c r="N4198" s="15"/>
      <c r="O4198" s="16"/>
      <c r="P4198" s="16"/>
      <c r="Q4198" s="16"/>
      <c r="R4198" s="16"/>
      <c r="S4198" s="37" t="str">
        <f>IFERROR(__xludf.DUMMYFUNCTION("if(not(iserror(index(split(C4198, "" ""),2))), index(split(C4198, "" ""),1),"""")"),"")</f>
        <v/>
      </c>
      <c r="T4198" s="315" t="str">
        <f>IFERROR(__xludf.DUMMYFUNCTION("if(S4198="""",C4198,if(not(iserror(index(split(C4198, "" ""),3))), index(split(C4198, "" ""),3),index(split(C4198, "" ""),2)))"),"")</f>
        <v/>
      </c>
      <c r="U4198" s="38" t="b">
        <f t="shared" si="423"/>
        <v>0</v>
      </c>
      <c r="V4198" s="38"/>
      <c r="W4198" s="40"/>
      <c r="X4198" s="40"/>
      <c r="Y4198" s="40"/>
      <c r="Z4198" s="38"/>
      <c r="AA4198" s="38"/>
      <c r="AB4198" s="38"/>
      <c r="AC4198" s="38"/>
      <c r="AD4198" s="38"/>
      <c r="AE4198" s="38"/>
      <c r="AF4198" s="38"/>
      <c r="AG4198" s="38"/>
      <c r="AH4198" s="38"/>
      <c r="AI4198" s="38"/>
      <c r="AJ4198" s="38"/>
      <c r="AK4198" s="38"/>
      <c r="AL4198" s="38"/>
      <c r="AM4198" s="38"/>
      <c r="AN4198" s="38"/>
      <c r="AO4198" s="38"/>
      <c r="AP4198" s="38"/>
      <c r="AQ4198" s="38"/>
      <c r="AR4198" s="38"/>
      <c r="AS4198" s="38"/>
      <c r="AT4198" s="38"/>
      <c r="AU4198" s="38"/>
      <c r="AV4198" s="38"/>
      <c r="AW4198" s="38"/>
      <c r="AX4198" s="38"/>
      <c r="AY4198" s="38"/>
      <c r="AZ4198" s="38"/>
      <c r="BA4198" s="38"/>
      <c r="BB4198" s="38"/>
      <c r="BC4198" s="38"/>
      <c r="BD4198" s="38"/>
      <c r="BE4198" s="38"/>
      <c r="BF4198" s="38"/>
      <c r="BG4198" s="38"/>
      <c r="BH4198" s="38"/>
      <c r="BI4198" s="38"/>
      <c r="BJ4198" s="38"/>
      <c r="BK4198" s="38"/>
      <c r="BL4198" s="38"/>
      <c r="BM4198" s="38"/>
      <c r="BN4198" s="38"/>
      <c r="BO4198" s="38"/>
      <c r="BP4198" s="38"/>
      <c r="BQ4198" s="38"/>
    </row>
    <row r="4199">
      <c r="A4199" s="16"/>
      <c r="B4199" s="145"/>
      <c r="C4199" s="146"/>
      <c r="D4199" s="146"/>
      <c r="E4199" s="16"/>
      <c r="F4199" s="91"/>
      <c r="G4199" s="16"/>
      <c r="H4199" s="320" t="str">
        <f t="shared" si="424"/>
        <v/>
      </c>
      <c r="I4199" s="16"/>
      <c r="J4199" s="16"/>
      <c r="K4199" s="16"/>
      <c r="L4199" s="16"/>
      <c r="M4199" s="15"/>
      <c r="N4199" s="15"/>
      <c r="O4199" s="16"/>
      <c r="P4199" s="16"/>
      <c r="Q4199" s="16"/>
      <c r="R4199" s="16"/>
      <c r="S4199" s="37" t="str">
        <f>IFERROR(__xludf.DUMMYFUNCTION("if(not(iserror(index(split(C4199, "" ""),2))), index(split(C4199, "" ""),1),"""")"),"")</f>
        <v/>
      </c>
      <c r="T4199" s="315" t="str">
        <f>IFERROR(__xludf.DUMMYFUNCTION("if(S4199="""",C4199,if(not(iserror(index(split(C4199, "" ""),3))), index(split(C4199, "" ""),3),index(split(C4199, "" ""),2)))"),"")</f>
        <v/>
      </c>
      <c r="U4199" s="38" t="b">
        <f t="shared" si="423"/>
        <v>0</v>
      </c>
      <c r="V4199" s="38"/>
      <c r="W4199" s="40"/>
      <c r="X4199" s="40"/>
      <c r="Y4199" s="40"/>
      <c r="Z4199" s="38"/>
      <c r="AA4199" s="38"/>
      <c r="AB4199" s="38"/>
      <c r="AC4199" s="38"/>
      <c r="AD4199" s="38"/>
      <c r="AE4199" s="38"/>
      <c r="AF4199" s="38"/>
      <c r="AG4199" s="38"/>
      <c r="AH4199" s="38"/>
      <c r="AI4199" s="38"/>
      <c r="AJ4199" s="38"/>
      <c r="AK4199" s="38"/>
      <c r="AL4199" s="38"/>
      <c r="AM4199" s="38"/>
      <c r="AN4199" s="38"/>
      <c r="AO4199" s="38"/>
      <c r="AP4199" s="38"/>
      <c r="AQ4199" s="38"/>
      <c r="AR4199" s="38"/>
      <c r="AS4199" s="38"/>
      <c r="AT4199" s="38"/>
      <c r="AU4199" s="38"/>
      <c r="AV4199" s="38"/>
      <c r="AW4199" s="38"/>
      <c r="AX4199" s="38"/>
      <c r="AY4199" s="38"/>
      <c r="AZ4199" s="38"/>
      <c r="BA4199" s="38"/>
      <c r="BB4199" s="38"/>
      <c r="BC4199" s="38"/>
      <c r="BD4199" s="38"/>
      <c r="BE4199" s="38"/>
      <c r="BF4199" s="38"/>
      <c r="BG4199" s="38"/>
      <c r="BH4199" s="38"/>
      <c r="BI4199" s="38"/>
      <c r="BJ4199" s="38"/>
      <c r="BK4199" s="38"/>
      <c r="BL4199" s="38"/>
      <c r="BM4199" s="38"/>
      <c r="BN4199" s="38"/>
      <c r="BO4199" s="38"/>
      <c r="BP4199" s="38"/>
      <c r="BQ4199" s="38"/>
    </row>
    <row r="4200">
      <c r="A4200" s="16"/>
      <c r="B4200" s="145"/>
      <c r="C4200" s="146"/>
      <c r="D4200" s="146"/>
      <c r="E4200" s="16"/>
      <c r="F4200" s="91"/>
      <c r="G4200" s="16"/>
      <c r="H4200" s="320" t="str">
        <f t="shared" si="424"/>
        <v/>
      </c>
      <c r="I4200" s="16"/>
      <c r="J4200" s="16"/>
      <c r="K4200" s="16"/>
      <c r="L4200" s="16"/>
      <c r="M4200" s="15"/>
      <c r="N4200" s="15"/>
      <c r="O4200" s="16"/>
      <c r="P4200" s="16"/>
      <c r="Q4200" s="16"/>
      <c r="R4200" s="16"/>
      <c r="S4200" s="37" t="str">
        <f>IFERROR(__xludf.DUMMYFUNCTION("if(not(iserror(index(split(C4200, "" ""),2))), index(split(C4200, "" ""),1),"""")"),"")</f>
        <v/>
      </c>
      <c r="T4200" s="315" t="str">
        <f>IFERROR(__xludf.DUMMYFUNCTION("if(S4200="""",C4200,if(not(iserror(index(split(C4200, "" ""),3))), index(split(C4200, "" ""),3),index(split(C4200, "" ""),2)))"),"")</f>
        <v/>
      </c>
      <c r="U4200" s="38" t="b">
        <f t="shared" si="423"/>
        <v>0</v>
      </c>
      <c r="V4200" s="38"/>
      <c r="W4200" s="40"/>
      <c r="X4200" s="40"/>
      <c r="Y4200" s="40"/>
      <c r="Z4200" s="38"/>
      <c r="AA4200" s="38"/>
      <c r="AB4200" s="38"/>
      <c r="AC4200" s="38"/>
      <c r="AD4200" s="38"/>
      <c r="AE4200" s="38"/>
      <c r="AF4200" s="38"/>
      <c r="AG4200" s="38"/>
      <c r="AH4200" s="38"/>
      <c r="AI4200" s="38"/>
      <c r="AJ4200" s="38"/>
      <c r="AK4200" s="38"/>
      <c r="AL4200" s="38"/>
      <c r="AM4200" s="38"/>
      <c r="AN4200" s="38"/>
      <c r="AO4200" s="38"/>
      <c r="AP4200" s="38"/>
      <c r="AQ4200" s="38"/>
      <c r="AR4200" s="38"/>
      <c r="AS4200" s="38"/>
      <c r="AT4200" s="38"/>
      <c r="AU4200" s="38"/>
      <c r="AV4200" s="38"/>
      <c r="AW4200" s="38"/>
      <c r="AX4200" s="38"/>
      <c r="AY4200" s="38"/>
      <c r="AZ4200" s="38"/>
      <c r="BA4200" s="38"/>
      <c r="BB4200" s="38"/>
      <c r="BC4200" s="38"/>
      <c r="BD4200" s="38"/>
      <c r="BE4200" s="38"/>
      <c r="BF4200" s="38"/>
      <c r="BG4200" s="38"/>
      <c r="BH4200" s="38"/>
      <c r="BI4200" s="38"/>
      <c r="BJ4200" s="38"/>
      <c r="BK4200" s="38"/>
      <c r="BL4200" s="38"/>
      <c r="BM4200" s="38"/>
      <c r="BN4200" s="38"/>
      <c r="BO4200" s="38"/>
      <c r="BP4200" s="38"/>
      <c r="BQ4200" s="38"/>
    </row>
    <row r="4201">
      <c r="A4201" s="16"/>
      <c r="B4201" s="145"/>
      <c r="C4201" s="146"/>
      <c r="D4201" s="146"/>
      <c r="E4201" s="16"/>
      <c r="F4201" s="91"/>
      <c r="G4201" s="16"/>
      <c r="H4201" s="320" t="str">
        <f t="shared" si="424"/>
        <v/>
      </c>
      <c r="I4201" s="16"/>
      <c r="J4201" s="16"/>
      <c r="K4201" s="16"/>
      <c r="L4201" s="16"/>
      <c r="M4201" s="15"/>
      <c r="N4201" s="15"/>
      <c r="O4201" s="16"/>
      <c r="P4201" s="16"/>
      <c r="Q4201" s="16"/>
      <c r="R4201" s="16"/>
      <c r="S4201" s="37" t="str">
        <f>IFERROR(__xludf.DUMMYFUNCTION("if(not(iserror(index(split(C4201, "" ""),2))), index(split(C4201, "" ""),1),"""")"),"")</f>
        <v/>
      </c>
      <c r="T4201" s="315" t="str">
        <f>IFERROR(__xludf.DUMMYFUNCTION("if(S4201="""",C4201,if(not(iserror(index(split(C4201, "" ""),3))), index(split(C4201, "" ""),3),index(split(C4201, "" ""),2)))"),"")</f>
        <v/>
      </c>
      <c r="U4201" s="38" t="b">
        <f t="shared" si="423"/>
        <v>0</v>
      </c>
      <c r="V4201" s="38"/>
      <c r="W4201" s="40"/>
      <c r="X4201" s="40"/>
      <c r="Y4201" s="40"/>
      <c r="Z4201" s="38"/>
      <c r="AA4201" s="38"/>
      <c r="AB4201" s="38"/>
      <c r="AC4201" s="38"/>
      <c r="AD4201" s="38"/>
      <c r="AE4201" s="38"/>
      <c r="AF4201" s="38"/>
      <c r="AG4201" s="38"/>
      <c r="AH4201" s="38"/>
      <c r="AI4201" s="38"/>
      <c r="AJ4201" s="38"/>
      <c r="AK4201" s="38"/>
      <c r="AL4201" s="38"/>
      <c r="AM4201" s="38"/>
      <c r="AN4201" s="38"/>
      <c r="AO4201" s="38"/>
      <c r="AP4201" s="38"/>
      <c r="AQ4201" s="38"/>
      <c r="AR4201" s="38"/>
      <c r="AS4201" s="38"/>
      <c r="AT4201" s="38"/>
      <c r="AU4201" s="38"/>
      <c r="AV4201" s="38"/>
      <c r="AW4201" s="38"/>
      <c r="AX4201" s="38"/>
      <c r="AY4201" s="38"/>
      <c r="AZ4201" s="38"/>
      <c r="BA4201" s="38"/>
      <c r="BB4201" s="38"/>
      <c r="BC4201" s="38"/>
      <c r="BD4201" s="38"/>
      <c r="BE4201" s="38"/>
      <c r="BF4201" s="38"/>
      <c r="BG4201" s="38"/>
      <c r="BH4201" s="38"/>
      <c r="BI4201" s="38"/>
      <c r="BJ4201" s="38"/>
      <c r="BK4201" s="38"/>
      <c r="BL4201" s="38"/>
      <c r="BM4201" s="38"/>
      <c r="BN4201" s="38"/>
      <c r="BO4201" s="38"/>
      <c r="BP4201" s="38"/>
      <c r="BQ4201" s="38"/>
    </row>
    <row r="4202">
      <c r="A4202" s="16"/>
      <c r="B4202" s="145"/>
      <c r="C4202" s="146"/>
      <c r="D4202" s="146"/>
      <c r="E4202" s="16"/>
      <c r="F4202" s="91"/>
      <c r="G4202" s="16"/>
      <c r="H4202" s="320" t="str">
        <f t="shared" si="424"/>
        <v/>
      </c>
      <c r="I4202" s="16"/>
      <c r="J4202" s="16"/>
      <c r="K4202" s="16"/>
      <c r="L4202" s="16"/>
      <c r="M4202" s="15"/>
      <c r="N4202" s="15"/>
      <c r="O4202" s="16"/>
      <c r="P4202" s="16"/>
      <c r="Q4202" s="16"/>
      <c r="R4202" s="16"/>
      <c r="S4202" s="37" t="str">
        <f>IFERROR(__xludf.DUMMYFUNCTION("if(not(iserror(index(split(C4202, "" ""),2))), index(split(C4202, "" ""),1),"""")"),"")</f>
        <v/>
      </c>
      <c r="T4202" s="315" t="str">
        <f>IFERROR(__xludf.DUMMYFUNCTION("if(S4202="""",C4202,if(not(iserror(index(split(C4202, "" ""),3))), index(split(C4202, "" ""),3),index(split(C4202, "" ""),2)))"),"")</f>
        <v/>
      </c>
      <c r="U4202" s="38" t="b">
        <f t="shared" si="423"/>
        <v>0</v>
      </c>
      <c r="V4202" s="38"/>
      <c r="W4202" s="40"/>
      <c r="X4202" s="40"/>
      <c r="Y4202" s="40"/>
      <c r="Z4202" s="38"/>
      <c r="AA4202" s="38"/>
      <c r="AB4202" s="38"/>
      <c r="AC4202" s="38"/>
      <c r="AD4202" s="38"/>
      <c r="AE4202" s="38"/>
      <c r="AF4202" s="38"/>
      <c r="AG4202" s="38"/>
      <c r="AH4202" s="38"/>
      <c r="AI4202" s="38"/>
      <c r="AJ4202" s="38"/>
      <c r="AK4202" s="38"/>
      <c r="AL4202" s="38"/>
      <c r="AM4202" s="38"/>
      <c r="AN4202" s="38"/>
      <c r="AO4202" s="38"/>
      <c r="AP4202" s="38"/>
      <c r="AQ4202" s="38"/>
      <c r="AR4202" s="38"/>
      <c r="AS4202" s="38"/>
      <c r="AT4202" s="38"/>
      <c r="AU4202" s="38"/>
      <c r="AV4202" s="38"/>
      <c r="AW4202" s="38"/>
      <c r="AX4202" s="38"/>
      <c r="AY4202" s="38"/>
      <c r="AZ4202" s="38"/>
      <c r="BA4202" s="38"/>
      <c r="BB4202" s="38"/>
      <c r="BC4202" s="38"/>
      <c r="BD4202" s="38"/>
      <c r="BE4202" s="38"/>
      <c r="BF4202" s="38"/>
      <c r="BG4202" s="38"/>
      <c r="BH4202" s="38"/>
      <c r="BI4202" s="38"/>
      <c r="BJ4202" s="38"/>
      <c r="BK4202" s="38"/>
      <c r="BL4202" s="38"/>
      <c r="BM4202" s="38"/>
      <c r="BN4202" s="38"/>
      <c r="BO4202" s="38"/>
      <c r="BP4202" s="38"/>
      <c r="BQ4202" s="38"/>
    </row>
    <row r="4203">
      <c r="A4203" s="16"/>
      <c r="B4203" s="145"/>
      <c r="C4203" s="146"/>
      <c r="D4203" s="146"/>
      <c r="E4203" s="16"/>
      <c r="F4203" s="91"/>
      <c r="G4203" s="16"/>
      <c r="H4203" s="320" t="str">
        <f t="shared" si="424"/>
        <v/>
      </c>
      <c r="I4203" s="16"/>
      <c r="J4203" s="16"/>
      <c r="K4203" s="16"/>
      <c r="L4203" s="16"/>
      <c r="M4203" s="15"/>
      <c r="N4203" s="15"/>
      <c r="O4203" s="16"/>
      <c r="P4203" s="16"/>
      <c r="Q4203" s="16"/>
      <c r="R4203" s="16"/>
      <c r="S4203" s="37" t="str">
        <f>IFERROR(__xludf.DUMMYFUNCTION("if(not(iserror(index(split(C4203, "" ""),2))), index(split(C4203, "" ""),1),"""")"),"")</f>
        <v/>
      </c>
      <c r="T4203" s="315" t="str">
        <f>IFERROR(__xludf.DUMMYFUNCTION("if(S4203="""",C4203,if(not(iserror(index(split(C4203, "" ""),3))), index(split(C4203, "" ""),3),index(split(C4203, "" ""),2)))"),"")</f>
        <v/>
      </c>
      <c r="U4203" s="38" t="b">
        <f t="shared" si="423"/>
        <v>0</v>
      </c>
      <c r="V4203" s="38"/>
      <c r="W4203" s="40"/>
      <c r="X4203" s="40"/>
      <c r="Y4203" s="40"/>
      <c r="Z4203" s="38"/>
      <c r="AA4203" s="38"/>
      <c r="AB4203" s="38"/>
      <c r="AC4203" s="38"/>
      <c r="AD4203" s="38"/>
      <c r="AE4203" s="38"/>
      <c r="AF4203" s="38"/>
      <c r="AG4203" s="38"/>
      <c r="AH4203" s="38"/>
      <c r="AI4203" s="38"/>
      <c r="AJ4203" s="38"/>
      <c r="AK4203" s="38"/>
      <c r="AL4203" s="38"/>
      <c r="AM4203" s="38"/>
      <c r="AN4203" s="38"/>
      <c r="AO4203" s="38"/>
      <c r="AP4203" s="38"/>
      <c r="AQ4203" s="38"/>
      <c r="AR4203" s="38"/>
      <c r="AS4203" s="38"/>
      <c r="AT4203" s="38"/>
      <c r="AU4203" s="38"/>
      <c r="AV4203" s="38"/>
      <c r="AW4203" s="38"/>
      <c r="AX4203" s="38"/>
      <c r="AY4203" s="38"/>
      <c r="AZ4203" s="38"/>
      <c r="BA4203" s="38"/>
      <c r="BB4203" s="38"/>
      <c r="BC4203" s="38"/>
      <c r="BD4203" s="38"/>
      <c r="BE4203" s="38"/>
      <c r="BF4203" s="38"/>
      <c r="BG4203" s="38"/>
      <c r="BH4203" s="38"/>
      <c r="BI4203" s="38"/>
      <c r="BJ4203" s="38"/>
      <c r="BK4203" s="38"/>
      <c r="BL4203" s="38"/>
      <c r="BM4203" s="38"/>
      <c r="BN4203" s="38"/>
      <c r="BO4203" s="38"/>
      <c r="BP4203" s="38"/>
      <c r="BQ4203" s="38"/>
    </row>
    <row r="4204">
      <c r="A4204" s="16"/>
      <c r="B4204" s="145"/>
      <c r="C4204" s="146"/>
      <c r="D4204" s="146"/>
      <c r="E4204" s="16"/>
      <c r="F4204" s="91"/>
      <c r="G4204" s="16"/>
      <c r="H4204" s="320" t="str">
        <f t="shared" si="424"/>
        <v/>
      </c>
      <c r="I4204" s="16"/>
      <c r="J4204" s="16"/>
      <c r="K4204" s="16"/>
      <c r="L4204" s="16"/>
      <c r="M4204" s="15"/>
      <c r="N4204" s="15"/>
      <c r="O4204" s="16"/>
      <c r="P4204" s="16"/>
      <c r="Q4204" s="16"/>
      <c r="R4204" s="16"/>
      <c r="S4204" s="37" t="str">
        <f>IFERROR(__xludf.DUMMYFUNCTION("if(not(iserror(index(split(C4204, "" ""),2))), index(split(C4204, "" ""),1),"""")"),"")</f>
        <v/>
      </c>
      <c r="T4204" s="315" t="str">
        <f>IFERROR(__xludf.DUMMYFUNCTION("if(S4204="""",C4204,if(not(iserror(index(split(C4204, "" ""),3))), index(split(C4204, "" ""),3),index(split(C4204, "" ""),2)))"),"")</f>
        <v/>
      </c>
      <c r="U4204" s="38" t="b">
        <f t="shared" si="423"/>
        <v>0</v>
      </c>
      <c r="V4204" s="38"/>
      <c r="W4204" s="40"/>
      <c r="X4204" s="40"/>
      <c r="Y4204" s="40"/>
      <c r="Z4204" s="38"/>
      <c r="AA4204" s="38"/>
      <c r="AB4204" s="38"/>
      <c r="AC4204" s="38"/>
      <c r="AD4204" s="38"/>
      <c r="AE4204" s="38"/>
      <c r="AF4204" s="38"/>
      <c r="AG4204" s="38"/>
      <c r="AH4204" s="38"/>
      <c r="AI4204" s="38"/>
      <c r="AJ4204" s="38"/>
      <c r="AK4204" s="38"/>
      <c r="AL4204" s="38"/>
      <c r="AM4204" s="38"/>
      <c r="AN4204" s="38"/>
      <c r="AO4204" s="38"/>
      <c r="AP4204" s="38"/>
      <c r="AQ4204" s="38"/>
      <c r="AR4204" s="38"/>
      <c r="AS4204" s="38"/>
      <c r="AT4204" s="38"/>
      <c r="AU4204" s="38"/>
      <c r="AV4204" s="38"/>
      <c r="AW4204" s="38"/>
      <c r="AX4204" s="38"/>
      <c r="AY4204" s="38"/>
      <c r="AZ4204" s="38"/>
      <c r="BA4204" s="38"/>
      <c r="BB4204" s="38"/>
      <c r="BC4204" s="38"/>
      <c r="BD4204" s="38"/>
      <c r="BE4204" s="38"/>
      <c r="BF4204" s="38"/>
      <c r="BG4204" s="38"/>
      <c r="BH4204" s="38"/>
      <c r="BI4204" s="38"/>
      <c r="BJ4204" s="38"/>
      <c r="BK4204" s="38"/>
      <c r="BL4204" s="38"/>
      <c r="BM4204" s="38"/>
      <c r="BN4204" s="38"/>
      <c r="BO4204" s="38"/>
      <c r="BP4204" s="38"/>
      <c r="BQ4204" s="38"/>
    </row>
    <row r="4205">
      <c r="A4205" s="16"/>
      <c r="B4205" s="145"/>
      <c r="C4205" s="146"/>
      <c r="D4205" s="146"/>
      <c r="E4205" s="16"/>
      <c r="F4205" s="91"/>
      <c r="G4205" s="16"/>
      <c r="H4205" s="320" t="str">
        <f t="shared" si="424"/>
        <v/>
      </c>
      <c r="I4205" s="16"/>
      <c r="J4205" s="16"/>
      <c r="K4205" s="16"/>
      <c r="L4205" s="16"/>
      <c r="M4205" s="15"/>
      <c r="N4205" s="15"/>
      <c r="O4205" s="16"/>
      <c r="P4205" s="16"/>
      <c r="Q4205" s="16"/>
      <c r="R4205" s="16"/>
      <c r="S4205" s="37" t="str">
        <f>IFERROR(__xludf.DUMMYFUNCTION("if(not(iserror(index(split(C4205, "" ""),2))), index(split(C4205, "" ""),1),"""")"),"")</f>
        <v/>
      </c>
      <c r="T4205" s="315" t="str">
        <f>IFERROR(__xludf.DUMMYFUNCTION("if(S4205="""",C4205,if(not(iserror(index(split(C4205, "" ""),3))), index(split(C4205, "" ""),3),index(split(C4205, "" ""),2)))"),"")</f>
        <v/>
      </c>
      <c r="U4205" s="38" t="b">
        <f t="shared" si="423"/>
        <v>0</v>
      </c>
      <c r="V4205" s="38"/>
      <c r="W4205" s="40"/>
      <c r="X4205" s="40"/>
      <c r="Y4205" s="40"/>
      <c r="Z4205" s="38"/>
      <c r="AA4205" s="38"/>
      <c r="AB4205" s="38"/>
      <c r="AC4205" s="38"/>
      <c r="AD4205" s="38"/>
      <c r="AE4205" s="38"/>
      <c r="AF4205" s="38"/>
      <c r="AG4205" s="38"/>
      <c r="AH4205" s="38"/>
      <c r="AI4205" s="38"/>
      <c r="AJ4205" s="38"/>
      <c r="AK4205" s="38"/>
      <c r="AL4205" s="38"/>
      <c r="AM4205" s="38"/>
      <c r="AN4205" s="38"/>
      <c r="AO4205" s="38"/>
      <c r="AP4205" s="38"/>
      <c r="AQ4205" s="38"/>
      <c r="AR4205" s="38"/>
      <c r="AS4205" s="38"/>
      <c r="AT4205" s="38"/>
      <c r="AU4205" s="38"/>
      <c r="AV4205" s="38"/>
      <c r="AW4205" s="38"/>
      <c r="AX4205" s="38"/>
      <c r="AY4205" s="38"/>
      <c r="AZ4205" s="38"/>
      <c r="BA4205" s="38"/>
      <c r="BB4205" s="38"/>
      <c r="BC4205" s="38"/>
      <c r="BD4205" s="38"/>
      <c r="BE4205" s="38"/>
      <c r="BF4205" s="38"/>
      <c r="BG4205" s="38"/>
      <c r="BH4205" s="38"/>
      <c r="BI4205" s="38"/>
      <c r="BJ4205" s="38"/>
      <c r="BK4205" s="38"/>
      <c r="BL4205" s="38"/>
      <c r="BM4205" s="38"/>
      <c r="BN4205" s="38"/>
      <c r="BO4205" s="38"/>
      <c r="BP4205" s="38"/>
      <c r="BQ4205" s="38"/>
    </row>
    <row r="4206">
      <c r="A4206" s="16"/>
      <c r="B4206" s="145"/>
      <c r="C4206" s="146"/>
      <c r="D4206" s="146"/>
      <c r="E4206" s="16"/>
      <c r="F4206" s="91"/>
      <c r="G4206" s="16"/>
      <c r="H4206" s="320" t="str">
        <f t="shared" si="424"/>
        <v/>
      </c>
      <c r="I4206" s="16"/>
      <c r="J4206" s="16"/>
      <c r="K4206" s="16"/>
      <c r="L4206" s="16"/>
      <c r="M4206" s="15"/>
      <c r="N4206" s="15"/>
      <c r="O4206" s="16"/>
      <c r="P4206" s="16"/>
      <c r="Q4206" s="16"/>
      <c r="R4206" s="16"/>
      <c r="S4206" s="37" t="str">
        <f>IFERROR(__xludf.DUMMYFUNCTION("if(not(iserror(index(split(C4206, "" ""),2))), index(split(C4206, "" ""),1),"""")"),"")</f>
        <v/>
      </c>
      <c r="T4206" s="315" t="str">
        <f>IFERROR(__xludf.DUMMYFUNCTION("if(S4206="""",C4206,if(not(iserror(index(split(C4206, "" ""),3))), index(split(C4206, "" ""),3),index(split(C4206, "" ""),2)))"),"")</f>
        <v/>
      </c>
      <c r="U4206" s="38" t="b">
        <f t="shared" si="423"/>
        <v>0</v>
      </c>
      <c r="V4206" s="38"/>
      <c r="W4206" s="40"/>
      <c r="X4206" s="40"/>
      <c r="Y4206" s="40"/>
      <c r="Z4206" s="38"/>
      <c r="AA4206" s="38"/>
      <c r="AB4206" s="38"/>
      <c r="AC4206" s="38"/>
      <c r="AD4206" s="38"/>
      <c r="AE4206" s="38"/>
      <c r="AF4206" s="38"/>
      <c r="AG4206" s="38"/>
      <c r="AH4206" s="38"/>
      <c r="AI4206" s="38"/>
      <c r="AJ4206" s="38"/>
      <c r="AK4206" s="38"/>
      <c r="AL4206" s="38"/>
      <c r="AM4206" s="38"/>
      <c r="AN4206" s="38"/>
      <c r="AO4206" s="38"/>
      <c r="AP4206" s="38"/>
      <c r="AQ4206" s="38"/>
      <c r="AR4206" s="38"/>
      <c r="AS4206" s="38"/>
      <c r="AT4206" s="38"/>
      <c r="AU4206" s="38"/>
      <c r="AV4206" s="38"/>
      <c r="AW4206" s="38"/>
      <c r="AX4206" s="38"/>
      <c r="AY4206" s="38"/>
      <c r="AZ4206" s="38"/>
      <c r="BA4206" s="38"/>
      <c r="BB4206" s="38"/>
      <c r="BC4206" s="38"/>
      <c r="BD4206" s="38"/>
      <c r="BE4206" s="38"/>
      <c r="BF4206" s="38"/>
      <c r="BG4206" s="38"/>
      <c r="BH4206" s="38"/>
      <c r="BI4206" s="38"/>
      <c r="BJ4206" s="38"/>
      <c r="BK4206" s="38"/>
      <c r="BL4206" s="38"/>
      <c r="BM4206" s="38"/>
      <c r="BN4206" s="38"/>
      <c r="BO4206" s="38"/>
      <c r="BP4206" s="38"/>
      <c r="BQ4206" s="38"/>
    </row>
    <row r="4207">
      <c r="A4207" s="16"/>
      <c r="B4207" s="145"/>
      <c r="C4207" s="146"/>
      <c r="D4207" s="146"/>
      <c r="E4207" s="16"/>
      <c r="F4207" s="91"/>
      <c r="G4207" s="16"/>
      <c r="H4207" s="320" t="str">
        <f t="shared" si="424"/>
        <v/>
      </c>
      <c r="I4207" s="16"/>
      <c r="J4207" s="16"/>
      <c r="K4207" s="16"/>
      <c r="L4207" s="16"/>
      <c r="M4207" s="15"/>
      <c r="N4207" s="15"/>
      <c r="O4207" s="16"/>
      <c r="P4207" s="16"/>
      <c r="Q4207" s="16"/>
      <c r="R4207" s="16"/>
      <c r="S4207" s="37" t="str">
        <f>IFERROR(__xludf.DUMMYFUNCTION("if(not(iserror(index(split(C4207, "" ""),2))), index(split(C4207, "" ""),1),"""")"),"")</f>
        <v/>
      </c>
      <c r="T4207" s="315" t="str">
        <f>IFERROR(__xludf.DUMMYFUNCTION("if(S4207="""",C4207,if(not(iserror(index(split(C4207, "" ""),3))), index(split(C4207, "" ""),3),index(split(C4207, "" ""),2)))"),"")</f>
        <v/>
      </c>
      <c r="U4207" s="38" t="b">
        <f t="shared" si="423"/>
        <v>0</v>
      </c>
      <c r="V4207" s="38"/>
      <c r="W4207" s="40"/>
      <c r="X4207" s="40"/>
      <c r="Y4207" s="40"/>
      <c r="Z4207" s="38"/>
      <c r="AA4207" s="38"/>
      <c r="AB4207" s="38"/>
      <c r="AC4207" s="38"/>
      <c r="AD4207" s="38"/>
      <c r="AE4207" s="38"/>
      <c r="AF4207" s="38"/>
      <c r="AG4207" s="38"/>
      <c r="AH4207" s="38"/>
      <c r="AI4207" s="38"/>
      <c r="AJ4207" s="38"/>
      <c r="AK4207" s="38"/>
      <c r="AL4207" s="38"/>
      <c r="AM4207" s="38"/>
      <c r="AN4207" s="38"/>
      <c r="AO4207" s="38"/>
      <c r="AP4207" s="38"/>
      <c r="AQ4207" s="38"/>
      <c r="AR4207" s="38"/>
      <c r="AS4207" s="38"/>
      <c r="AT4207" s="38"/>
      <c r="AU4207" s="38"/>
      <c r="AV4207" s="38"/>
      <c r="AW4207" s="38"/>
      <c r="AX4207" s="38"/>
      <c r="AY4207" s="38"/>
      <c r="AZ4207" s="38"/>
      <c r="BA4207" s="38"/>
      <c r="BB4207" s="38"/>
      <c r="BC4207" s="38"/>
      <c r="BD4207" s="38"/>
      <c r="BE4207" s="38"/>
      <c r="BF4207" s="38"/>
      <c r="BG4207" s="38"/>
      <c r="BH4207" s="38"/>
      <c r="BI4207" s="38"/>
      <c r="BJ4207" s="38"/>
      <c r="BK4207" s="38"/>
      <c r="BL4207" s="38"/>
      <c r="BM4207" s="38"/>
      <c r="BN4207" s="38"/>
      <c r="BO4207" s="38"/>
      <c r="BP4207" s="38"/>
      <c r="BQ4207" s="38"/>
    </row>
    <row r="4208">
      <c r="A4208" s="16"/>
      <c r="B4208" s="145"/>
      <c r="C4208" s="146"/>
      <c r="D4208" s="146"/>
      <c r="E4208" s="16"/>
      <c r="F4208" s="91"/>
      <c r="G4208" s="16"/>
      <c r="H4208" s="320" t="str">
        <f t="shared" si="424"/>
        <v/>
      </c>
      <c r="I4208" s="16"/>
      <c r="J4208" s="16"/>
      <c r="K4208" s="16"/>
      <c r="L4208" s="16"/>
      <c r="M4208" s="15"/>
      <c r="N4208" s="15"/>
      <c r="O4208" s="16"/>
      <c r="P4208" s="16"/>
      <c r="Q4208" s="16"/>
      <c r="R4208" s="16"/>
      <c r="S4208" s="37" t="str">
        <f>IFERROR(__xludf.DUMMYFUNCTION("if(not(iserror(index(split(C4208, "" ""),2))), index(split(C4208, "" ""),1),"""")"),"")</f>
        <v/>
      </c>
      <c r="T4208" s="315" t="str">
        <f>IFERROR(__xludf.DUMMYFUNCTION("if(S4208="""",C4208,if(not(iserror(index(split(C4208, "" ""),3))), index(split(C4208, "" ""),3),index(split(C4208, "" ""),2)))"),"")</f>
        <v/>
      </c>
      <c r="U4208" s="38" t="b">
        <f t="shared" si="423"/>
        <v>0</v>
      </c>
      <c r="V4208" s="38"/>
      <c r="W4208" s="40"/>
      <c r="X4208" s="40"/>
      <c r="Y4208" s="40"/>
      <c r="Z4208" s="38"/>
      <c r="AA4208" s="38"/>
      <c r="AB4208" s="38"/>
      <c r="AC4208" s="38"/>
      <c r="AD4208" s="38"/>
      <c r="AE4208" s="38"/>
      <c r="AF4208" s="38"/>
      <c r="AG4208" s="38"/>
      <c r="AH4208" s="38"/>
      <c r="AI4208" s="38"/>
      <c r="AJ4208" s="38"/>
      <c r="AK4208" s="38"/>
      <c r="AL4208" s="38"/>
      <c r="AM4208" s="38"/>
      <c r="AN4208" s="38"/>
      <c r="AO4208" s="38"/>
      <c r="AP4208" s="38"/>
      <c r="AQ4208" s="38"/>
      <c r="AR4208" s="38"/>
      <c r="AS4208" s="38"/>
      <c r="AT4208" s="38"/>
      <c r="AU4208" s="38"/>
      <c r="AV4208" s="38"/>
      <c r="AW4208" s="38"/>
      <c r="AX4208" s="38"/>
      <c r="AY4208" s="38"/>
      <c r="AZ4208" s="38"/>
      <c r="BA4208" s="38"/>
      <c r="BB4208" s="38"/>
      <c r="BC4208" s="38"/>
      <c r="BD4208" s="38"/>
      <c r="BE4208" s="38"/>
      <c r="BF4208" s="38"/>
      <c r="BG4208" s="38"/>
      <c r="BH4208" s="38"/>
      <c r="BI4208" s="38"/>
      <c r="BJ4208" s="38"/>
      <c r="BK4208" s="38"/>
      <c r="BL4208" s="38"/>
      <c r="BM4208" s="38"/>
      <c r="BN4208" s="38"/>
      <c r="BO4208" s="38"/>
      <c r="BP4208" s="38"/>
      <c r="BQ4208" s="38"/>
    </row>
    <row r="4209">
      <c r="A4209" s="16"/>
      <c r="B4209" s="145"/>
      <c r="C4209" s="146"/>
      <c r="D4209" s="146"/>
      <c r="E4209" s="16"/>
      <c r="F4209" s="91"/>
      <c r="G4209" s="16"/>
      <c r="H4209" s="320" t="str">
        <f t="shared" si="424"/>
        <v/>
      </c>
      <c r="I4209" s="16"/>
      <c r="J4209" s="16"/>
      <c r="K4209" s="16"/>
      <c r="L4209" s="16"/>
      <c r="M4209" s="15"/>
      <c r="N4209" s="15"/>
      <c r="O4209" s="16"/>
      <c r="P4209" s="16"/>
      <c r="Q4209" s="16"/>
      <c r="R4209" s="16"/>
      <c r="S4209" s="37" t="str">
        <f>IFERROR(__xludf.DUMMYFUNCTION("if(not(iserror(index(split(C4209, "" ""),2))), index(split(C4209, "" ""),1),"""")"),"")</f>
        <v/>
      </c>
      <c r="T4209" s="315" t="str">
        <f>IFERROR(__xludf.DUMMYFUNCTION("if(S4209="""",C4209,if(not(iserror(index(split(C4209, "" ""),3))), index(split(C4209, "" ""),3),index(split(C4209, "" ""),2)))"),"")</f>
        <v/>
      </c>
      <c r="U4209" s="38" t="b">
        <f t="shared" si="423"/>
        <v>0</v>
      </c>
      <c r="V4209" s="38"/>
      <c r="W4209" s="40"/>
      <c r="X4209" s="40"/>
      <c r="Y4209" s="40"/>
      <c r="Z4209" s="38"/>
      <c r="AA4209" s="38"/>
      <c r="AB4209" s="38"/>
      <c r="AC4209" s="38"/>
      <c r="AD4209" s="38"/>
      <c r="AE4209" s="38"/>
      <c r="AF4209" s="38"/>
      <c r="AG4209" s="38"/>
      <c r="AH4209" s="38"/>
      <c r="AI4209" s="38"/>
      <c r="AJ4209" s="38"/>
      <c r="AK4209" s="38"/>
      <c r="AL4209" s="38"/>
      <c r="AM4209" s="38"/>
      <c r="AN4209" s="38"/>
      <c r="AO4209" s="38"/>
      <c r="AP4209" s="38"/>
      <c r="AQ4209" s="38"/>
      <c r="AR4209" s="38"/>
      <c r="AS4209" s="38"/>
      <c r="AT4209" s="38"/>
      <c r="AU4209" s="38"/>
      <c r="AV4209" s="38"/>
      <c r="AW4209" s="38"/>
      <c r="AX4209" s="38"/>
      <c r="AY4209" s="38"/>
      <c r="AZ4209" s="38"/>
      <c r="BA4209" s="38"/>
      <c r="BB4209" s="38"/>
      <c r="BC4209" s="38"/>
      <c r="BD4209" s="38"/>
      <c r="BE4209" s="38"/>
      <c r="BF4209" s="38"/>
      <c r="BG4209" s="38"/>
      <c r="BH4209" s="38"/>
      <c r="BI4209" s="38"/>
      <c r="BJ4209" s="38"/>
      <c r="BK4209" s="38"/>
      <c r="BL4209" s="38"/>
      <c r="BM4209" s="38"/>
      <c r="BN4209" s="38"/>
      <c r="BO4209" s="38"/>
      <c r="BP4209" s="38"/>
      <c r="BQ4209" s="38"/>
    </row>
    <row r="4210">
      <c r="A4210" s="16"/>
      <c r="B4210" s="145"/>
      <c r="C4210" s="146"/>
      <c r="D4210" s="146"/>
      <c r="E4210" s="16"/>
      <c r="F4210" s="91"/>
      <c r="G4210" s="16"/>
      <c r="H4210" s="320" t="str">
        <f t="shared" si="424"/>
        <v/>
      </c>
      <c r="I4210" s="16"/>
      <c r="J4210" s="16"/>
      <c r="K4210" s="16"/>
      <c r="L4210" s="16"/>
      <c r="M4210" s="15"/>
      <c r="N4210" s="15"/>
      <c r="O4210" s="16"/>
      <c r="P4210" s="16"/>
      <c r="Q4210" s="16"/>
      <c r="R4210" s="16"/>
      <c r="S4210" s="37" t="str">
        <f>IFERROR(__xludf.DUMMYFUNCTION("if(not(iserror(index(split(C4210, "" ""),2))), index(split(C4210, "" ""),1),"""")"),"")</f>
        <v/>
      </c>
      <c r="T4210" s="315" t="str">
        <f>IFERROR(__xludf.DUMMYFUNCTION("if(S4210="""",C4210,if(not(iserror(index(split(C4210, "" ""),3))), index(split(C4210, "" ""),3),index(split(C4210, "" ""),2)))"),"")</f>
        <v/>
      </c>
      <c r="U4210" s="38" t="b">
        <f t="shared" si="423"/>
        <v>0</v>
      </c>
      <c r="V4210" s="38"/>
      <c r="W4210" s="40"/>
      <c r="X4210" s="40"/>
      <c r="Y4210" s="40"/>
      <c r="Z4210" s="38"/>
      <c r="AA4210" s="38"/>
      <c r="AB4210" s="38"/>
      <c r="AC4210" s="38"/>
      <c r="AD4210" s="38"/>
      <c r="AE4210" s="38"/>
      <c r="AF4210" s="38"/>
      <c r="AG4210" s="38"/>
      <c r="AH4210" s="38"/>
      <c r="AI4210" s="38"/>
      <c r="AJ4210" s="38"/>
      <c r="AK4210" s="38"/>
      <c r="AL4210" s="38"/>
      <c r="AM4210" s="38"/>
      <c r="AN4210" s="38"/>
      <c r="AO4210" s="38"/>
      <c r="AP4210" s="38"/>
      <c r="AQ4210" s="38"/>
      <c r="AR4210" s="38"/>
      <c r="AS4210" s="38"/>
      <c r="AT4210" s="38"/>
      <c r="AU4210" s="38"/>
      <c r="AV4210" s="38"/>
      <c r="AW4210" s="38"/>
      <c r="AX4210" s="38"/>
      <c r="AY4210" s="38"/>
      <c r="AZ4210" s="38"/>
      <c r="BA4210" s="38"/>
      <c r="BB4210" s="38"/>
      <c r="BC4210" s="38"/>
      <c r="BD4210" s="38"/>
      <c r="BE4210" s="38"/>
      <c r="BF4210" s="38"/>
      <c r="BG4210" s="38"/>
      <c r="BH4210" s="38"/>
      <c r="BI4210" s="38"/>
      <c r="BJ4210" s="38"/>
      <c r="BK4210" s="38"/>
      <c r="BL4210" s="38"/>
      <c r="BM4210" s="38"/>
      <c r="BN4210" s="38"/>
      <c r="BO4210" s="38"/>
      <c r="BP4210" s="38"/>
      <c r="BQ4210" s="38"/>
    </row>
    <row r="4211">
      <c r="A4211" s="16"/>
      <c r="B4211" s="145"/>
      <c r="C4211" s="146"/>
      <c r="D4211" s="146"/>
      <c r="E4211" s="16"/>
      <c r="F4211" s="91"/>
      <c r="G4211" s="16"/>
      <c r="H4211" s="320" t="str">
        <f t="shared" si="424"/>
        <v/>
      </c>
      <c r="I4211" s="16"/>
      <c r="J4211" s="16"/>
      <c r="K4211" s="16"/>
      <c r="L4211" s="16"/>
      <c r="M4211" s="15"/>
      <c r="N4211" s="15"/>
      <c r="O4211" s="16"/>
      <c r="P4211" s="16"/>
      <c r="Q4211" s="16"/>
      <c r="R4211" s="16"/>
      <c r="S4211" s="37" t="str">
        <f>IFERROR(__xludf.DUMMYFUNCTION("if(not(iserror(index(split(C4211, "" ""),2))), index(split(C4211, "" ""),1),"""")"),"")</f>
        <v/>
      </c>
      <c r="T4211" s="315" t="str">
        <f>IFERROR(__xludf.DUMMYFUNCTION("if(S4211="""",C4211,if(not(iserror(index(split(C4211, "" ""),3))), index(split(C4211, "" ""),3),index(split(C4211, "" ""),2)))"),"")</f>
        <v/>
      </c>
      <c r="U4211" s="38" t="b">
        <f t="shared" si="423"/>
        <v>0</v>
      </c>
      <c r="V4211" s="38"/>
      <c r="W4211" s="40"/>
      <c r="X4211" s="40"/>
      <c r="Y4211" s="40"/>
      <c r="Z4211" s="38"/>
      <c r="AA4211" s="38"/>
      <c r="AB4211" s="38"/>
      <c r="AC4211" s="38"/>
      <c r="AD4211" s="38"/>
      <c r="AE4211" s="38"/>
      <c r="AF4211" s="38"/>
      <c r="AG4211" s="38"/>
      <c r="AH4211" s="38"/>
      <c r="AI4211" s="38"/>
      <c r="AJ4211" s="38"/>
      <c r="AK4211" s="38"/>
      <c r="AL4211" s="38"/>
      <c r="AM4211" s="38"/>
      <c r="AN4211" s="38"/>
      <c r="AO4211" s="38"/>
      <c r="AP4211" s="38"/>
      <c r="AQ4211" s="38"/>
      <c r="AR4211" s="38"/>
      <c r="AS4211" s="38"/>
      <c r="AT4211" s="38"/>
      <c r="AU4211" s="38"/>
      <c r="AV4211" s="38"/>
      <c r="AW4211" s="38"/>
      <c r="AX4211" s="38"/>
      <c r="AY4211" s="38"/>
      <c r="AZ4211" s="38"/>
      <c r="BA4211" s="38"/>
      <c r="BB4211" s="38"/>
      <c r="BC4211" s="38"/>
      <c r="BD4211" s="38"/>
      <c r="BE4211" s="38"/>
      <c r="BF4211" s="38"/>
      <c r="BG4211" s="38"/>
      <c r="BH4211" s="38"/>
      <c r="BI4211" s="38"/>
      <c r="BJ4211" s="38"/>
      <c r="BK4211" s="38"/>
      <c r="BL4211" s="38"/>
      <c r="BM4211" s="38"/>
      <c r="BN4211" s="38"/>
      <c r="BO4211" s="38"/>
      <c r="BP4211" s="38"/>
      <c r="BQ4211" s="38"/>
    </row>
    <row r="4212">
      <c r="A4212" s="16"/>
      <c r="B4212" s="145"/>
      <c r="C4212" s="146"/>
      <c r="D4212" s="146"/>
      <c r="E4212" s="16"/>
      <c r="F4212" s="91"/>
      <c r="G4212" s="16"/>
      <c r="H4212" s="320" t="str">
        <f t="shared" si="424"/>
        <v/>
      </c>
      <c r="I4212" s="16"/>
      <c r="J4212" s="16"/>
      <c r="K4212" s="16"/>
      <c r="L4212" s="16"/>
      <c r="M4212" s="15"/>
      <c r="N4212" s="15"/>
      <c r="O4212" s="16"/>
      <c r="P4212" s="16"/>
      <c r="Q4212" s="16"/>
      <c r="R4212" s="16"/>
      <c r="S4212" s="37" t="str">
        <f>IFERROR(__xludf.DUMMYFUNCTION("if(not(iserror(index(split(C4212, "" ""),2))), index(split(C4212, "" ""),1),"""")"),"")</f>
        <v/>
      </c>
      <c r="T4212" s="315" t="str">
        <f>IFERROR(__xludf.DUMMYFUNCTION("if(S4212="""",C4212,if(not(iserror(index(split(C4212, "" ""),3))), index(split(C4212, "" ""),3),index(split(C4212, "" ""),2)))"),"")</f>
        <v/>
      </c>
      <c r="U4212" s="38" t="b">
        <f t="shared" si="423"/>
        <v>0</v>
      </c>
      <c r="V4212" s="38"/>
      <c r="W4212" s="40"/>
      <c r="X4212" s="40"/>
      <c r="Y4212" s="40"/>
      <c r="Z4212" s="38"/>
      <c r="AA4212" s="38"/>
      <c r="AB4212" s="38"/>
      <c r="AC4212" s="38"/>
      <c r="AD4212" s="38"/>
      <c r="AE4212" s="38"/>
      <c r="AF4212" s="38"/>
      <c r="AG4212" s="38"/>
      <c r="AH4212" s="38"/>
      <c r="AI4212" s="38"/>
      <c r="AJ4212" s="38"/>
      <c r="AK4212" s="38"/>
      <c r="AL4212" s="38"/>
      <c r="AM4212" s="38"/>
      <c r="AN4212" s="38"/>
      <c r="AO4212" s="38"/>
      <c r="AP4212" s="38"/>
      <c r="AQ4212" s="38"/>
      <c r="AR4212" s="38"/>
      <c r="AS4212" s="38"/>
      <c r="AT4212" s="38"/>
      <c r="AU4212" s="38"/>
      <c r="AV4212" s="38"/>
      <c r="AW4212" s="38"/>
      <c r="AX4212" s="38"/>
      <c r="AY4212" s="38"/>
      <c r="AZ4212" s="38"/>
      <c r="BA4212" s="38"/>
      <c r="BB4212" s="38"/>
      <c r="BC4212" s="38"/>
      <c r="BD4212" s="38"/>
      <c r="BE4212" s="38"/>
      <c r="BF4212" s="38"/>
      <c r="BG4212" s="38"/>
      <c r="BH4212" s="38"/>
      <c r="BI4212" s="38"/>
      <c r="BJ4212" s="38"/>
      <c r="BK4212" s="38"/>
      <c r="BL4212" s="38"/>
      <c r="BM4212" s="38"/>
      <c r="BN4212" s="38"/>
      <c r="BO4212" s="38"/>
      <c r="BP4212" s="38"/>
      <c r="BQ4212" s="38"/>
    </row>
    <row r="4213">
      <c r="A4213" s="16"/>
      <c r="B4213" s="145"/>
      <c r="C4213" s="146"/>
      <c r="D4213" s="146"/>
      <c r="E4213" s="16"/>
      <c r="F4213" s="91"/>
      <c r="G4213" s="16"/>
      <c r="H4213" s="320" t="str">
        <f t="shared" si="424"/>
        <v/>
      </c>
      <c r="I4213" s="16"/>
      <c r="J4213" s="16"/>
      <c r="K4213" s="16"/>
      <c r="L4213" s="16"/>
      <c r="M4213" s="15"/>
      <c r="N4213" s="15"/>
      <c r="O4213" s="16"/>
      <c r="P4213" s="16"/>
      <c r="Q4213" s="16"/>
      <c r="R4213" s="16"/>
      <c r="S4213" s="37" t="str">
        <f>IFERROR(__xludf.DUMMYFUNCTION("if(not(iserror(index(split(C4213, "" ""),2))), index(split(C4213, "" ""),1),"""")"),"")</f>
        <v/>
      </c>
      <c r="T4213" s="315" t="str">
        <f>IFERROR(__xludf.DUMMYFUNCTION("if(S4213="""",C4213,if(not(iserror(index(split(C4213, "" ""),3))), index(split(C4213, "" ""),3),index(split(C4213, "" ""),2)))"),"")</f>
        <v/>
      </c>
      <c r="U4213" s="38" t="b">
        <f t="shared" si="423"/>
        <v>0</v>
      </c>
      <c r="V4213" s="38"/>
      <c r="W4213" s="40"/>
      <c r="X4213" s="40"/>
      <c r="Y4213" s="40"/>
      <c r="Z4213" s="38"/>
      <c r="AA4213" s="38"/>
      <c r="AB4213" s="38"/>
      <c r="AC4213" s="38"/>
      <c r="AD4213" s="38"/>
      <c r="AE4213" s="38"/>
      <c r="AF4213" s="38"/>
      <c r="AG4213" s="38"/>
      <c r="AH4213" s="38"/>
      <c r="AI4213" s="38"/>
      <c r="AJ4213" s="38"/>
      <c r="AK4213" s="38"/>
      <c r="AL4213" s="38"/>
      <c r="AM4213" s="38"/>
      <c r="AN4213" s="38"/>
      <c r="AO4213" s="38"/>
      <c r="AP4213" s="38"/>
      <c r="AQ4213" s="38"/>
      <c r="AR4213" s="38"/>
      <c r="AS4213" s="38"/>
      <c r="AT4213" s="38"/>
      <c r="AU4213" s="38"/>
      <c r="AV4213" s="38"/>
      <c r="AW4213" s="38"/>
      <c r="AX4213" s="38"/>
      <c r="AY4213" s="38"/>
      <c r="AZ4213" s="38"/>
      <c r="BA4213" s="38"/>
      <c r="BB4213" s="38"/>
      <c r="BC4213" s="38"/>
      <c r="BD4213" s="38"/>
      <c r="BE4213" s="38"/>
      <c r="BF4213" s="38"/>
      <c r="BG4213" s="38"/>
      <c r="BH4213" s="38"/>
      <c r="BI4213" s="38"/>
      <c r="BJ4213" s="38"/>
      <c r="BK4213" s="38"/>
      <c r="BL4213" s="38"/>
      <c r="BM4213" s="38"/>
      <c r="BN4213" s="38"/>
      <c r="BO4213" s="38"/>
      <c r="BP4213" s="38"/>
      <c r="BQ4213" s="38"/>
    </row>
    <row r="4214">
      <c r="A4214" s="16"/>
      <c r="B4214" s="145"/>
      <c r="C4214" s="146"/>
      <c r="D4214" s="146"/>
      <c r="E4214" s="16"/>
      <c r="F4214" s="91"/>
      <c r="G4214" s="16"/>
      <c r="H4214" s="320" t="str">
        <f t="shared" si="424"/>
        <v/>
      </c>
      <c r="I4214" s="16"/>
      <c r="J4214" s="16"/>
      <c r="K4214" s="16"/>
      <c r="L4214" s="16"/>
      <c r="M4214" s="15"/>
      <c r="N4214" s="15"/>
      <c r="O4214" s="16"/>
      <c r="P4214" s="16"/>
      <c r="Q4214" s="16"/>
      <c r="R4214" s="16"/>
      <c r="S4214" s="37" t="str">
        <f>IFERROR(__xludf.DUMMYFUNCTION("if(not(iserror(index(split(C4214, "" ""),2))), index(split(C4214, "" ""),1),"""")"),"")</f>
        <v/>
      </c>
      <c r="T4214" s="315" t="str">
        <f>IFERROR(__xludf.DUMMYFUNCTION("if(S4214="""",C4214,if(not(iserror(index(split(C4214, "" ""),3))), index(split(C4214, "" ""),3),index(split(C4214, "" ""),2)))"),"")</f>
        <v/>
      </c>
      <c r="U4214" s="38" t="b">
        <f t="shared" si="423"/>
        <v>0</v>
      </c>
      <c r="V4214" s="38"/>
      <c r="W4214" s="40"/>
      <c r="X4214" s="40"/>
      <c r="Y4214" s="40"/>
      <c r="Z4214" s="38"/>
      <c r="AA4214" s="38"/>
      <c r="AB4214" s="38"/>
      <c r="AC4214" s="38"/>
      <c r="AD4214" s="38"/>
      <c r="AE4214" s="38"/>
      <c r="AF4214" s="38"/>
      <c r="AG4214" s="38"/>
      <c r="AH4214" s="38"/>
      <c r="AI4214" s="38"/>
      <c r="AJ4214" s="38"/>
      <c r="AK4214" s="38"/>
      <c r="AL4214" s="38"/>
      <c r="AM4214" s="38"/>
      <c r="AN4214" s="38"/>
      <c r="AO4214" s="38"/>
      <c r="AP4214" s="38"/>
      <c r="AQ4214" s="38"/>
      <c r="AR4214" s="38"/>
      <c r="AS4214" s="38"/>
      <c r="AT4214" s="38"/>
      <c r="AU4214" s="38"/>
      <c r="AV4214" s="38"/>
      <c r="AW4214" s="38"/>
      <c r="AX4214" s="38"/>
      <c r="AY4214" s="38"/>
      <c r="AZ4214" s="38"/>
      <c r="BA4214" s="38"/>
      <c r="BB4214" s="38"/>
      <c r="BC4214" s="38"/>
      <c r="BD4214" s="38"/>
      <c r="BE4214" s="38"/>
      <c r="BF4214" s="38"/>
      <c r="BG4214" s="38"/>
      <c r="BH4214" s="38"/>
      <c r="BI4214" s="38"/>
      <c r="BJ4214" s="38"/>
      <c r="BK4214" s="38"/>
      <c r="BL4214" s="38"/>
      <c r="BM4214" s="38"/>
      <c r="BN4214" s="38"/>
      <c r="BO4214" s="38"/>
      <c r="BP4214" s="38"/>
      <c r="BQ4214" s="38"/>
    </row>
    <row r="4215">
      <c r="A4215" s="16"/>
      <c r="B4215" s="145"/>
      <c r="C4215" s="146"/>
      <c r="D4215" s="146"/>
      <c r="E4215" s="16"/>
      <c r="F4215" s="91"/>
      <c r="G4215" s="16"/>
      <c r="H4215" s="320" t="str">
        <f t="shared" si="424"/>
        <v/>
      </c>
      <c r="I4215" s="16"/>
      <c r="J4215" s="16"/>
      <c r="K4215" s="16"/>
      <c r="L4215" s="16"/>
      <c r="M4215" s="15"/>
      <c r="N4215" s="15"/>
      <c r="O4215" s="16"/>
      <c r="P4215" s="16"/>
      <c r="Q4215" s="16"/>
      <c r="R4215" s="16"/>
      <c r="S4215" s="37" t="str">
        <f>IFERROR(__xludf.DUMMYFUNCTION("if(not(iserror(index(split(C4215, "" ""),2))), index(split(C4215, "" ""),1),"""")"),"")</f>
        <v/>
      </c>
      <c r="T4215" s="315" t="str">
        <f>IFERROR(__xludf.DUMMYFUNCTION("if(S4215="""",C4215,if(not(iserror(index(split(C4215, "" ""),3))), index(split(C4215, "" ""),3),index(split(C4215, "" ""),2)))"),"")</f>
        <v/>
      </c>
      <c r="U4215" s="38" t="b">
        <f t="shared" si="423"/>
        <v>0</v>
      </c>
      <c r="V4215" s="38"/>
      <c r="W4215" s="40"/>
      <c r="X4215" s="40"/>
      <c r="Y4215" s="40"/>
      <c r="Z4215" s="38"/>
      <c r="AA4215" s="38"/>
      <c r="AB4215" s="38"/>
      <c r="AC4215" s="38"/>
      <c r="AD4215" s="38"/>
      <c r="AE4215" s="38"/>
      <c r="AF4215" s="38"/>
      <c r="AG4215" s="38"/>
      <c r="AH4215" s="38"/>
      <c r="AI4215" s="38"/>
      <c r="AJ4215" s="38"/>
      <c r="AK4215" s="38"/>
      <c r="AL4215" s="38"/>
      <c r="AM4215" s="38"/>
      <c r="AN4215" s="38"/>
      <c r="AO4215" s="38"/>
      <c r="AP4215" s="38"/>
      <c r="AQ4215" s="38"/>
      <c r="AR4215" s="38"/>
      <c r="AS4215" s="38"/>
      <c r="AT4215" s="38"/>
      <c r="AU4215" s="38"/>
      <c r="AV4215" s="38"/>
      <c r="AW4215" s="38"/>
      <c r="AX4215" s="38"/>
      <c r="AY4215" s="38"/>
      <c r="AZ4215" s="38"/>
      <c r="BA4215" s="38"/>
      <c r="BB4215" s="38"/>
      <c r="BC4215" s="38"/>
      <c r="BD4215" s="38"/>
      <c r="BE4215" s="38"/>
      <c r="BF4215" s="38"/>
      <c r="BG4215" s="38"/>
      <c r="BH4215" s="38"/>
      <c r="BI4215" s="38"/>
      <c r="BJ4215" s="38"/>
      <c r="BK4215" s="38"/>
      <c r="BL4215" s="38"/>
      <c r="BM4215" s="38"/>
      <c r="BN4215" s="38"/>
      <c r="BO4215" s="38"/>
      <c r="BP4215" s="38"/>
      <c r="BQ4215" s="38"/>
    </row>
    <row r="4216">
      <c r="A4216" s="16"/>
      <c r="B4216" s="145"/>
      <c r="C4216" s="146"/>
      <c r="D4216" s="146"/>
      <c r="E4216" s="16"/>
      <c r="F4216" s="91"/>
      <c r="G4216" s="16"/>
      <c r="H4216" s="320" t="str">
        <f t="shared" si="424"/>
        <v/>
      </c>
      <c r="I4216" s="16"/>
      <c r="J4216" s="16"/>
      <c r="K4216" s="16"/>
      <c r="L4216" s="16"/>
      <c r="M4216" s="15"/>
      <c r="N4216" s="15"/>
      <c r="O4216" s="16"/>
      <c r="P4216" s="16"/>
      <c r="Q4216" s="16"/>
      <c r="R4216" s="16"/>
      <c r="S4216" s="37" t="str">
        <f>IFERROR(__xludf.DUMMYFUNCTION("if(not(iserror(index(split(C4216, "" ""),2))), index(split(C4216, "" ""),1),"""")"),"")</f>
        <v/>
      </c>
      <c r="T4216" s="315" t="str">
        <f>IFERROR(__xludf.DUMMYFUNCTION("if(S4216="""",C4216,if(not(iserror(index(split(C4216, "" ""),3))), index(split(C4216, "" ""),3),index(split(C4216, "" ""),2)))"),"")</f>
        <v/>
      </c>
      <c r="U4216" s="38" t="b">
        <f t="shared" si="423"/>
        <v>0</v>
      </c>
      <c r="V4216" s="38"/>
      <c r="W4216" s="40"/>
      <c r="X4216" s="40"/>
      <c r="Y4216" s="40"/>
      <c r="Z4216" s="38"/>
      <c r="AA4216" s="38"/>
      <c r="AB4216" s="38"/>
      <c r="AC4216" s="38"/>
      <c r="AD4216" s="38"/>
      <c r="AE4216" s="38"/>
      <c r="AF4216" s="38"/>
      <c r="AG4216" s="38"/>
      <c r="AH4216" s="38"/>
      <c r="AI4216" s="38"/>
      <c r="AJ4216" s="38"/>
      <c r="AK4216" s="38"/>
      <c r="AL4216" s="38"/>
      <c r="AM4216" s="38"/>
      <c r="AN4216" s="38"/>
      <c r="AO4216" s="38"/>
      <c r="AP4216" s="38"/>
      <c r="AQ4216" s="38"/>
      <c r="AR4216" s="38"/>
      <c r="AS4216" s="38"/>
      <c r="AT4216" s="38"/>
      <c r="AU4216" s="38"/>
      <c r="AV4216" s="38"/>
      <c r="AW4216" s="38"/>
      <c r="AX4216" s="38"/>
      <c r="AY4216" s="38"/>
      <c r="AZ4216" s="38"/>
      <c r="BA4216" s="38"/>
      <c r="BB4216" s="38"/>
      <c r="BC4216" s="38"/>
      <c r="BD4216" s="38"/>
      <c r="BE4216" s="38"/>
      <c r="BF4216" s="38"/>
      <c r="BG4216" s="38"/>
      <c r="BH4216" s="38"/>
      <c r="BI4216" s="38"/>
      <c r="BJ4216" s="38"/>
      <c r="BK4216" s="38"/>
      <c r="BL4216" s="38"/>
      <c r="BM4216" s="38"/>
      <c r="BN4216" s="38"/>
      <c r="BO4216" s="38"/>
      <c r="BP4216" s="38"/>
      <c r="BQ4216" s="38"/>
    </row>
    <row r="4217">
      <c r="A4217" s="16"/>
      <c r="B4217" s="145"/>
      <c r="C4217" s="146"/>
      <c r="D4217" s="146"/>
      <c r="E4217" s="16"/>
      <c r="F4217" s="91"/>
      <c r="G4217" s="16"/>
      <c r="H4217" s="320" t="str">
        <f t="shared" si="424"/>
        <v/>
      </c>
      <c r="I4217" s="16"/>
      <c r="J4217" s="16"/>
      <c r="K4217" s="16"/>
      <c r="L4217" s="16"/>
      <c r="M4217" s="15"/>
      <c r="N4217" s="15"/>
      <c r="O4217" s="16"/>
      <c r="P4217" s="16"/>
      <c r="Q4217" s="16"/>
      <c r="R4217" s="16"/>
      <c r="S4217" s="37" t="str">
        <f>IFERROR(__xludf.DUMMYFUNCTION("if(not(iserror(index(split(C4217, "" ""),2))), index(split(C4217, "" ""),1),"""")"),"")</f>
        <v/>
      </c>
      <c r="T4217" s="315" t="str">
        <f>IFERROR(__xludf.DUMMYFUNCTION("if(S4217="""",C4217,if(not(iserror(index(split(C4217, "" ""),3))), index(split(C4217, "" ""),3),index(split(C4217, "" ""),2)))"),"")</f>
        <v/>
      </c>
      <c r="U4217" s="38" t="b">
        <f t="shared" si="423"/>
        <v>0</v>
      </c>
      <c r="V4217" s="38"/>
      <c r="W4217" s="40"/>
      <c r="X4217" s="40"/>
      <c r="Y4217" s="40"/>
      <c r="Z4217" s="38"/>
      <c r="AA4217" s="38"/>
      <c r="AB4217" s="38"/>
      <c r="AC4217" s="38"/>
      <c r="AD4217" s="38"/>
      <c r="AE4217" s="38"/>
      <c r="AF4217" s="38"/>
      <c r="AG4217" s="38"/>
      <c r="AH4217" s="38"/>
      <c r="AI4217" s="38"/>
      <c r="AJ4217" s="38"/>
      <c r="AK4217" s="38"/>
      <c r="AL4217" s="38"/>
      <c r="AM4217" s="38"/>
      <c r="AN4217" s="38"/>
      <c r="AO4217" s="38"/>
      <c r="AP4217" s="38"/>
      <c r="AQ4217" s="38"/>
      <c r="AR4217" s="38"/>
      <c r="AS4217" s="38"/>
      <c r="AT4217" s="38"/>
      <c r="AU4217" s="38"/>
      <c r="AV4217" s="38"/>
      <c r="AW4217" s="38"/>
      <c r="AX4217" s="38"/>
      <c r="AY4217" s="38"/>
      <c r="AZ4217" s="38"/>
      <c r="BA4217" s="38"/>
      <c r="BB4217" s="38"/>
      <c r="BC4217" s="38"/>
      <c r="BD4217" s="38"/>
      <c r="BE4217" s="38"/>
      <c r="BF4217" s="38"/>
      <c r="BG4217" s="38"/>
      <c r="BH4217" s="38"/>
      <c r="BI4217" s="38"/>
      <c r="BJ4217" s="38"/>
      <c r="BK4217" s="38"/>
      <c r="BL4217" s="38"/>
      <c r="BM4217" s="38"/>
      <c r="BN4217" s="38"/>
      <c r="BO4217" s="38"/>
      <c r="BP4217" s="38"/>
      <c r="BQ4217" s="38"/>
    </row>
    <row r="4218">
      <c r="A4218" s="16"/>
      <c r="B4218" s="145"/>
      <c r="C4218" s="146"/>
      <c r="D4218" s="146"/>
      <c r="E4218" s="16"/>
      <c r="F4218" s="91"/>
      <c r="G4218" s="16"/>
      <c r="H4218" s="320" t="str">
        <f t="shared" si="424"/>
        <v/>
      </c>
      <c r="I4218" s="16"/>
      <c r="J4218" s="16"/>
      <c r="K4218" s="16"/>
      <c r="L4218" s="16"/>
      <c r="M4218" s="15"/>
      <c r="N4218" s="15"/>
      <c r="O4218" s="16"/>
      <c r="P4218" s="16"/>
      <c r="Q4218" s="16"/>
      <c r="R4218" s="16"/>
      <c r="S4218" s="37" t="str">
        <f>IFERROR(__xludf.DUMMYFUNCTION("if(not(iserror(index(split(C4218, "" ""),2))), index(split(C4218, "" ""),1),"""")"),"")</f>
        <v/>
      </c>
      <c r="T4218" s="315" t="str">
        <f>IFERROR(__xludf.DUMMYFUNCTION("if(S4218="""",C4218,if(not(iserror(index(split(C4218, "" ""),3))), index(split(C4218, "" ""),3),index(split(C4218, "" ""),2)))"),"")</f>
        <v/>
      </c>
      <c r="U4218" s="38" t="b">
        <f t="shared" si="423"/>
        <v>0</v>
      </c>
      <c r="V4218" s="38"/>
      <c r="W4218" s="40"/>
      <c r="X4218" s="40"/>
      <c r="Y4218" s="40"/>
      <c r="Z4218" s="38"/>
      <c r="AA4218" s="38"/>
      <c r="AB4218" s="38"/>
      <c r="AC4218" s="38"/>
      <c r="AD4218" s="38"/>
      <c r="AE4218" s="38"/>
      <c r="AF4218" s="38"/>
      <c r="AG4218" s="38"/>
      <c r="AH4218" s="38"/>
      <c r="AI4218" s="38"/>
      <c r="AJ4218" s="38"/>
      <c r="AK4218" s="38"/>
      <c r="AL4218" s="38"/>
      <c r="AM4218" s="38"/>
      <c r="AN4218" s="38"/>
      <c r="AO4218" s="38"/>
      <c r="AP4218" s="38"/>
      <c r="AQ4218" s="38"/>
      <c r="AR4218" s="38"/>
      <c r="AS4218" s="38"/>
      <c r="AT4218" s="38"/>
      <c r="AU4218" s="38"/>
      <c r="AV4218" s="38"/>
      <c r="AW4218" s="38"/>
      <c r="AX4218" s="38"/>
      <c r="AY4218" s="38"/>
      <c r="AZ4218" s="38"/>
      <c r="BA4218" s="38"/>
      <c r="BB4218" s="38"/>
      <c r="BC4218" s="38"/>
      <c r="BD4218" s="38"/>
      <c r="BE4218" s="38"/>
      <c r="BF4218" s="38"/>
      <c r="BG4218" s="38"/>
      <c r="BH4218" s="38"/>
      <c r="BI4218" s="38"/>
      <c r="BJ4218" s="38"/>
      <c r="BK4218" s="38"/>
      <c r="BL4218" s="38"/>
      <c r="BM4218" s="38"/>
      <c r="BN4218" s="38"/>
      <c r="BO4218" s="38"/>
      <c r="BP4218" s="38"/>
      <c r="BQ4218" s="38"/>
    </row>
    <row r="4219">
      <c r="A4219" s="16"/>
      <c r="B4219" s="145"/>
      <c r="C4219" s="146"/>
      <c r="D4219" s="146"/>
      <c r="E4219" s="16"/>
      <c r="F4219" s="91"/>
      <c r="G4219" s="16"/>
      <c r="H4219" s="320" t="str">
        <f t="shared" si="424"/>
        <v/>
      </c>
      <c r="I4219" s="16"/>
      <c r="J4219" s="16"/>
      <c r="K4219" s="16"/>
      <c r="L4219" s="16"/>
      <c r="M4219" s="15"/>
      <c r="N4219" s="15"/>
      <c r="O4219" s="16"/>
      <c r="P4219" s="16"/>
      <c r="Q4219" s="16"/>
      <c r="R4219" s="16"/>
      <c r="S4219" s="37" t="str">
        <f>IFERROR(__xludf.DUMMYFUNCTION("if(not(iserror(index(split(C4219, "" ""),2))), index(split(C4219, "" ""),1),"""")"),"")</f>
        <v/>
      </c>
      <c r="T4219" s="315" t="str">
        <f>IFERROR(__xludf.DUMMYFUNCTION("if(S4219="""",C4219,if(not(iserror(index(split(C4219, "" ""),3))), index(split(C4219, "" ""),3),index(split(C4219, "" ""),2)))"),"")</f>
        <v/>
      </c>
      <c r="U4219" s="38" t="b">
        <f t="shared" si="423"/>
        <v>0</v>
      </c>
      <c r="V4219" s="38"/>
      <c r="W4219" s="40"/>
      <c r="X4219" s="40"/>
      <c r="Y4219" s="40"/>
      <c r="Z4219" s="38"/>
      <c r="AA4219" s="38"/>
      <c r="AB4219" s="38"/>
      <c r="AC4219" s="38"/>
      <c r="AD4219" s="38"/>
      <c r="AE4219" s="38"/>
      <c r="AF4219" s="38"/>
      <c r="AG4219" s="38"/>
      <c r="AH4219" s="38"/>
      <c r="AI4219" s="38"/>
      <c r="AJ4219" s="38"/>
      <c r="AK4219" s="38"/>
      <c r="AL4219" s="38"/>
      <c r="AM4219" s="38"/>
      <c r="AN4219" s="38"/>
      <c r="AO4219" s="38"/>
      <c r="AP4219" s="38"/>
      <c r="AQ4219" s="38"/>
      <c r="AR4219" s="38"/>
      <c r="AS4219" s="38"/>
      <c r="AT4219" s="38"/>
      <c r="AU4219" s="38"/>
      <c r="AV4219" s="38"/>
      <c r="AW4219" s="38"/>
      <c r="AX4219" s="38"/>
      <c r="AY4219" s="38"/>
      <c r="AZ4219" s="38"/>
      <c r="BA4219" s="38"/>
      <c r="BB4219" s="38"/>
      <c r="BC4219" s="38"/>
      <c r="BD4219" s="38"/>
      <c r="BE4219" s="38"/>
      <c r="BF4219" s="38"/>
      <c r="BG4219" s="38"/>
      <c r="BH4219" s="38"/>
      <c r="BI4219" s="38"/>
      <c r="BJ4219" s="38"/>
      <c r="BK4219" s="38"/>
      <c r="BL4219" s="38"/>
      <c r="BM4219" s="38"/>
      <c r="BN4219" s="38"/>
      <c r="BO4219" s="38"/>
      <c r="BP4219" s="38"/>
      <c r="BQ4219" s="38"/>
    </row>
    <row r="4220">
      <c r="A4220" s="16"/>
      <c r="B4220" s="145"/>
      <c r="C4220" s="146"/>
      <c r="D4220" s="146"/>
      <c r="E4220" s="16"/>
      <c r="F4220" s="91"/>
      <c r="G4220" s="16"/>
      <c r="H4220" s="320" t="str">
        <f t="shared" si="424"/>
        <v/>
      </c>
      <c r="I4220" s="16"/>
      <c r="J4220" s="16"/>
      <c r="K4220" s="16"/>
      <c r="L4220" s="16"/>
      <c r="M4220" s="15"/>
      <c r="N4220" s="15"/>
      <c r="O4220" s="16"/>
      <c r="P4220" s="16"/>
      <c r="Q4220" s="16"/>
      <c r="R4220" s="16"/>
      <c r="S4220" s="37" t="str">
        <f>IFERROR(__xludf.DUMMYFUNCTION("if(not(iserror(index(split(C4220, "" ""),2))), index(split(C4220, "" ""),1),"""")"),"")</f>
        <v/>
      </c>
      <c r="T4220" s="315" t="str">
        <f>IFERROR(__xludf.DUMMYFUNCTION("if(S4220="""",C4220,if(not(iserror(index(split(C4220, "" ""),3))), index(split(C4220, "" ""),3),index(split(C4220, "" ""),2)))"),"")</f>
        <v/>
      </c>
      <c r="U4220" s="38" t="b">
        <f t="shared" si="423"/>
        <v>0</v>
      </c>
      <c r="V4220" s="38"/>
      <c r="W4220" s="40"/>
      <c r="X4220" s="40"/>
      <c r="Y4220" s="40"/>
      <c r="Z4220" s="38"/>
      <c r="AA4220" s="38"/>
      <c r="AB4220" s="38"/>
      <c r="AC4220" s="38"/>
      <c r="AD4220" s="38"/>
      <c r="AE4220" s="38"/>
      <c r="AF4220" s="38"/>
      <c r="AG4220" s="38"/>
      <c r="AH4220" s="38"/>
      <c r="AI4220" s="38"/>
      <c r="AJ4220" s="38"/>
      <c r="AK4220" s="38"/>
      <c r="AL4220" s="38"/>
      <c r="AM4220" s="38"/>
      <c r="AN4220" s="38"/>
      <c r="AO4220" s="38"/>
      <c r="AP4220" s="38"/>
      <c r="AQ4220" s="38"/>
      <c r="AR4220" s="38"/>
      <c r="AS4220" s="38"/>
      <c r="AT4220" s="38"/>
      <c r="AU4220" s="38"/>
      <c r="AV4220" s="38"/>
      <c r="AW4220" s="38"/>
      <c r="AX4220" s="38"/>
      <c r="AY4220" s="38"/>
      <c r="AZ4220" s="38"/>
      <c r="BA4220" s="38"/>
      <c r="BB4220" s="38"/>
      <c r="BC4220" s="38"/>
      <c r="BD4220" s="38"/>
      <c r="BE4220" s="38"/>
      <c r="BF4220" s="38"/>
      <c r="BG4220" s="38"/>
      <c r="BH4220" s="38"/>
      <c r="BI4220" s="38"/>
      <c r="BJ4220" s="38"/>
      <c r="BK4220" s="38"/>
      <c r="BL4220" s="38"/>
      <c r="BM4220" s="38"/>
      <c r="BN4220" s="38"/>
      <c r="BO4220" s="38"/>
      <c r="BP4220" s="38"/>
      <c r="BQ4220" s="38"/>
    </row>
    <row r="4221">
      <c r="A4221" s="16"/>
      <c r="B4221" s="145"/>
      <c r="C4221" s="146"/>
      <c r="D4221" s="146"/>
      <c r="E4221" s="16"/>
      <c r="F4221" s="91"/>
      <c r="G4221" s="16"/>
      <c r="H4221" s="320" t="str">
        <f t="shared" si="424"/>
        <v/>
      </c>
      <c r="I4221" s="16"/>
      <c r="J4221" s="16"/>
      <c r="K4221" s="16"/>
      <c r="L4221" s="16"/>
      <c r="M4221" s="15"/>
      <c r="N4221" s="15"/>
      <c r="O4221" s="16"/>
      <c r="P4221" s="16"/>
      <c r="Q4221" s="16"/>
      <c r="R4221" s="16"/>
      <c r="S4221" s="37" t="str">
        <f>IFERROR(__xludf.DUMMYFUNCTION("if(not(iserror(index(split(C4221, "" ""),2))), index(split(C4221, "" ""),1),"""")"),"")</f>
        <v/>
      </c>
      <c r="T4221" s="315" t="str">
        <f>IFERROR(__xludf.DUMMYFUNCTION("if(S4221="""",C4221,if(not(iserror(index(split(C4221, "" ""),3))), index(split(C4221, "" ""),3),index(split(C4221, "" ""),2)))"),"")</f>
        <v/>
      </c>
      <c r="U4221" s="38" t="b">
        <f t="shared" si="423"/>
        <v>0</v>
      </c>
      <c r="V4221" s="38"/>
      <c r="W4221" s="40"/>
      <c r="X4221" s="40"/>
      <c r="Y4221" s="40"/>
      <c r="Z4221" s="38"/>
      <c r="AA4221" s="38"/>
      <c r="AB4221" s="38"/>
      <c r="AC4221" s="38"/>
      <c r="AD4221" s="38"/>
      <c r="AE4221" s="38"/>
      <c r="AF4221" s="38"/>
      <c r="AG4221" s="38"/>
      <c r="AH4221" s="38"/>
      <c r="AI4221" s="38"/>
      <c r="AJ4221" s="38"/>
      <c r="AK4221" s="38"/>
      <c r="AL4221" s="38"/>
      <c r="AM4221" s="38"/>
      <c r="AN4221" s="38"/>
      <c r="AO4221" s="38"/>
      <c r="AP4221" s="38"/>
      <c r="AQ4221" s="38"/>
      <c r="AR4221" s="38"/>
      <c r="AS4221" s="38"/>
      <c r="AT4221" s="38"/>
      <c r="AU4221" s="38"/>
      <c r="AV4221" s="38"/>
      <c r="AW4221" s="38"/>
      <c r="AX4221" s="38"/>
      <c r="AY4221" s="38"/>
      <c r="AZ4221" s="38"/>
      <c r="BA4221" s="38"/>
      <c r="BB4221" s="38"/>
      <c r="BC4221" s="38"/>
      <c r="BD4221" s="38"/>
      <c r="BE4221" s="38"/>
      <c r="BF4221" s="38"/>
      <c r="BG4221" s="38"/>
      <c r="BH4221" s="38"/>
      <c r="BI4221" s="38"/>
      <c r="BJ4221" s="38"/>
      <c r="BK4221" s="38"/>
      <c r="BL4221" s="38"/>
      <c r="BM4221" s="38"/>
      <c r="BN4221" s="38"/>
      <c r="BO4221" s="38"/>
      <c r="BP4221" s="38"/>
      <c r="BQ4221" s="38"/>
    </row>
    <row r="4222">
      <c r="A4222" s="16"/>
      <c r="B4222" s="145"/>
      <c r="C4222" s="146"/>
      <c r="D4222" s="146"/>
      <c r="E4222" s="16"/>
      <c r="F4222" s="91"/>
      <c r="G4222" s="16"/>
      <c r="H4222" s="320" t="str">
        <f t="shared" si="424"/>
        <v/>
      </c>
      <c r="I4222" s="16"/>
      <c r="J4222" s="16"/>
      <c r="K4222" s="16"/>
      <c r="L4222" s="16"/>
      <c r="M4222" s="15"/>
      <c r="N4222" s="15"/>
      <c r="O4222" s="16"/>
      <c r="P4222" s="16"/>
      <c r="Q4222" s="16"/>
      <c r="R4222" s="16"/>
      <c r="S4222" s="37" t="str">
        <f>IFERROR(__xludf.DUMMYFUNCTION("if(not(iserror(index(split(C4222, "" ""),2))), index(split(C4222, "" ""),1),"""")"),"")</f>
        <v/>
      </c>
      <c r="T4222" s="315" t="str">
        <f>IFERROR(__xludf.DUMMYFUNCTION("if(S4222="""",C4222,if(not(iserror(index(split(C4222, "" ""),3))), index(split(C4222, "" ""),3),index(split(C4222, "" ""),2)))"),"")</f>
        <v/>
      </c>
      <c r="U4222" s="38" t="b">
        <f t="shared" si="423"/>
        <v>0</v>
      </c>
      <c r="V4222" s="38"/>
      <c r="W4222" s="40"/>
      <c r="X4222" s="40"/>
      <c r="Y4222" s="40"/>
      <c r="Z4222" s="38"/>
      <c r="AA4222" s="38"/>
      <c r="AB4222" s="38"/>
      <c r="AC4222" s="38"/>
      <c r="AD4222" s="38"/>
      <c r="AE4222" s="38"/>
      <c r="AF4222" s="38"/>
      <c r="AG4222" s="38"/>
      <c r="AH4222" s="38"/>
      <c r="AI4222" s="38"/>
      <c r="AJ4222" s="38"/>
      <c r="AK4222" s="38"/>
      <c r="AL4222" s="38"/>
      <c r="AM4222" s="38"/>
      <c r="AN4222" s="38"/>
      <c r="AO4222" s="38"/>
      <c r="AP4222" s="38"/>
      <c r="AQ4222" s="38"/>
      <c r="AR4222" s="38"/>
      <c r="AS4222" s="38"/>
      <c r="AT4222" s="38"/>
      <c r="AU4222" s="38"/>
      <c r="AV4222" s="38"/>
      <c r="AW4222" s="38"/>
      <c r="AX4222" s="38"/>
      <c r="AY4222" s="38"/>
      <c r="AZ4222" s="38"/>
      <c r="BA4222" s="38"/>
      <c r="BB4222" s="38"/>
      <c r="BC4222" s="38"/>
      <c r="BD4222" s="38"/>
      <c r="BE4222" s="38"/>
      <c r="BF4222" s="38"/>
      <c r="BG4222" s="38"/>
      <c r="BH4222" s="38"/>
      <c r="BI4222" s="38"/>
      <c r="BJ4222" s="38"/>
      <c r="BK4222" s="38"/>
      <c r="BL4222" s="38"/>
      <c r="BM4222" s="38"/>
      <c r="BN4222" s="38"/>
      <c r="BO4222" s="38"/>
      <c r="BP4222" s="38"/>
      <c r="BQ4222" s="38"/>
    </row>
    <row r="4223">
      <c r="A4223" s="16"/>
      <c r="B4223" s="145"/>
      <c r="C4223" s="146"/>
      <c r="D4223" s="146"/>
      <c r="E4223" s="16"/>
      <c r="F4223" s="91"/>
      <c r="G4223" s="16"/>
      <c r="H4223" s="320" t="str">
        <f t="shared" si="424"/>
        <v/>
      </c>
      <c r="I4223" s="16"/>
      <c r="J4223" s="16"/>
      <c r="K4223" s="16"/>
      <c r="L4223" s="16"/>
      <c r="M4223" s="15"/>
      <c r="N4223" s="15"/>
      <c r="O4223" s="16"/>
      <c r="P4223" s="16"/>
      <c r="Q4223" s="16"/>
      <c r="R4223" s="16"/>
      <c r="S4223" s="37" t="str">
        <f>IFERROR(__xludf.DUMMYFUNCTION("if(not(iserror(index(split(C4223, "" ""),2))), index(split(C4223, "" ""),1),"""")"),"")</f>
        <v/>
      </c>
      <c r="T4223" s="315" t="str">
        <f>IFERROR(__xludf.DUMMYFUNCTION("if(S4223="""",C4223,if(not(iserror(index(split(C4223, "" ""),3))), index(split(C4223, "" ""),3),index(split(C4223, "" ""),2)))"),"")</f>
        <v/>
      </c>
      <c r="U4223" s="38" t="b">
        <f t="shared" si="423"/>
        <v>0</v>
      </c>
      <c r="V4223" s="38"/>
      <c r="W4223" s="40"/>
      <c r="X4223" s="40"/>
      <c r="Y4223" s="40"/>
      <c r="Z4223" s="38"/>
      <c r="AA4223" s="38"/>
      <c r="AB4223" s="38"/>
      <c r="AC4223" s="38"/>
      <c r="AD4223" s="38"/>
      <c r="AE4223" s="38"/>
      <c r="AF4223" s="38"/>
      <c r="AG4223" s="38"/>
      <c r="AH4223" s="38"/>
      <c r="AI4223" s="38"/>
      <c r="AJ4223" s="38"/>
      <c r="AK4223" s="38"/>
      <c r="AL4223" s="38"/>
      <c r="AM4223" s="38"/>
      <c r="AN4223" s="38"/>
      <c r="AO4223" s="38"/>
      <c r="AP4223" s="38"/>
      <c r="AQ4223" s="38"/>
      <c r="AR4223" s="38"/>
      <c r="AS4223" s="38"/>
      <c r="AT4223" s="38"/>
      <c r="AU4223" s="38"/>
      <c r="AV4223" s="38"/>
      <c r="AW4223" s="38"/>
      <c r="AX4223" s="38"/>
      <c r="AY4223" s="38"/>
      <c r="AZ4223" s="38"/>
      <c r="BA4223" s="38"/>
      <c r="BB4223" s="38"/>
      <c r="BC4223" s="38"/>
      <c r="BD4223" s="38"/>
      <c r="BE4223" s="38"/>
      <c r="BF4223" s="38"/>
      <c r="BG4223" s="38"/>
      <c r="BH4223" s="38"/>
      <c r="BI4223" s="38"/>
      <c r="BJ4223" s="38"/>
      <c r="BK4223" s="38"/>
      <c r="BL4223" s="38"/>
      <c r="BM4223" s="38"/>
      <c r="BN4223" s="38"/>
      <c r="BO4223" s="38"/>
      <c r="BP4223" s="38"/>
      <c r="BQ4223" s="38"/>
    </row>
    <row r="4224">
      <c r="A4224" s="16"/>
      <c r="B4224" s="145"/>
      <c r="C4224" s="146"/>
      <c r="D4224" s="146"/>
      <c r="E4224" s="16"/>
      <c r="F4224" s="91"/>
      <c r="G4224" s="16"/>
      <c r="H4224" s="320" t="str">
        <f t="shared" si="424"/>
        <v/>
      </c>
      <c r="I4224" s="16"/>
      <c r="J4224" s="16"/>
      <c r="K4224" s="16"/>
      <c r="L4224" s="16"/>
      <c r="M4224" s="15"/>
      <c r="N4224" s="15"/>
      <c r="O4224" s="16"/>
      <c r="P4224" s="16"/>
      <c r="Q4224" s="16"/>
      <c r="R4224" s="16"/>
      <c r="S4224" s="37" t="str">
        <f>IFERROR(__xludf.DUMMYFUNCTION("if(not(iserror(index(split(C4224, "" ""),2))), index(split(C4224, "" ""),1),"""")"),"")</f>
        <v/>
      </c>
      <c r="T4224" s="315" t="str">
        <f>IFERROR(__xludf.DUMMYFUNCTION("if(S4224="""",C4224,if(not(iserror(index(split(C4224, "" ""),3))), index(split(C4224, "" ""),3),index(split(C4224, "" ""),2)))"),"")</f>
        <v/>
      </c>
      <c r="U4224" s="38" t="b">
        <f t="shared" si="423"/>
        <v>0</v>
      </c>
      <c r="V4224" s="38"/>
      <c r="W4224" s="40"/>
      <c r="X4224" s="40"/>
      <c r="Y4224" s="40"/>
      <c r="Z4224" s="38"/>
      <c r="AA4224" s="38"/>
      <c r="AB4224" s="38"/>
      <c r="AC4224" s="38"/>
      <c r="AD4224" s="38"/>
      <c r="AE4224" s="38"/>
      <c r="AF4224" s="38"/>
      <c r="AG4224" s="38"/>
      <c r="AH4224" s="38"/>
      <c r="AI4224" s="38"/>
      <c r="AJ4224" s="38"/>
      <c r="AK4224" s="38"/>
      <c r="AL4224" s="38"/>
      <c r="AM4224" s="38"/>
      <c r="AN4224" s="38"/>
      <c r="AO4224" s="38"/>
      <c r="AP4224" s="38"/>
      <c r="AQ4224" s="38"/>
      <c r="AR4224" s="38"/>
      <c r="AS4224" s="38"/>
      <c r="AT4224" s="38"/>
      <c r="AU4224" s="38"/>
      <c r="AV4224" s="38"/>
      <c r="AW4224" s="38"/>
      <c r="AX4224" s="38"/>
      <c r="AY4224" s="38"/>
      <c r="AZ4224" s="38"/>
      <c r="BA4224" s="38"/>
      <c r="BB4224" s="38"/>
      <c r="BC4224" s="38"/>
      <c r="BD4224" s="38"/>
      <c r="BE4224" s="38"/>
      <c r="BF4224" s="38"/>
      <c r="BG4224" s="38"/>
      <c r="BH4224" s="38"/>
      <c r="BI4224" s="38"/>
      <c r="BJ4224" s="38"/>
      <c r="BK4224" s="38"/>
      <c r="BL4224" s="38"/>
      <c r="BM4224" s="38"/>
      <c r="BN4224" s="38"/>
      <c r="BO4224" s="38"/>
      <c r="BP4224" s="38"/>
      <c r="BQ4224" s="38"/>
    </row>
    <row r="4225">
      <c r="A4225" s="16"/>
      <c r="B4225" s="145"/>
      <c r="C4225" s="146"/>
      <c r="D4225" s="146"/>
      <c r="E4225" s="16"/>
      <c r="F4225" s="91"/>
      <c r="G4225" s="16"/>
      <c r="H4225" s="320" t="str">
        <f t="shared" si="424"/>
        <v/>
      </c>
      <c r="I4225" s="16"/>
      <c r="J4225" s="16"/>
      <c r="K4225" s="16"/>
      <c r="L4225" s="16"/>
      <c r="M4225" s="15"/>
      <c r="N4225" s="15"/>
      <c r="O4225" s="16"/>
      <c r="P4225" s="16"/>
      <c r="Q4225" s="16"/>
      <c r="R4225" s="16"/>
      <c r="S4225" s="37" t="str">
        <f>IFERROR(__xludf.DUMMYFUNCTION("if(not(iserror(index(split(C4225, "" ""),2))), index(split(C4225, "" ""),1),"""")"),"")</f>
        <v/>
      </c>
      <c r="T4225" s="315" t="str">
        <f>IFERROR(__xludf.DUMMYFUNCTION("if(S4225="""",C4225,if(not(iserror(index(split(C4225, "" ""),3))), index(split(C4225, "" ""),3),index(split(C4225, "" ""),2)))"),"")</f>
        <v/>
      </c>
      <c r="U4225" s="38" t="b">
        <f t="shared" si="423"/>
        <v>0</v>
      </c>
      <c r="V4225" s="38"/>
      <c r="W4225" s="40"/>
      <c r="X4225" s="40"/>
      <c r="Y4225" s="40"/>
      <c r="Z4225" s="38"/>
      <c r="AA4225" s="38"/>
      <c r="AB4225" s="38"/>
      <c r="AC4225" s="38"/>
      <c r="AD4225" s="38"/>
      <c r="AE4225" s="38"/>
      <c r="AF4225" s="38"/>
      <c r="AG4225" s="38"/>
      <c r="AH4225" s="38"/>
      <c r="AI4225" s="38"/>
      <c r="AJ4225" s="38"/>
      <c r="AK4225" s="38"/>
      <c r="AL4225" s="38"/>
      <c r="AM4225" s="38"/>
      <c r="AN4225" s="38"/>
      <c r="AO4225" s="38"/>
      <c r="AP4225" s="38"/>
      <c r="AQ4225" s="38"/>
      <c r="AR4225" s="38"/>
      <c r="AS4225" s="38"/>
      <c r="AT4225" s="38"/>
      <c r="AU4225" s="38"/>
      <c r="AV4225" s="38"/>
      <c r="AW4225" s="38"/>
      <c r="AX4225" s="38"/>
      <c r="AY4225" s="38"/>
      <c r="AZ4225" s="38"/>
      <c r="BA4225" s="38"/>
      <c r="BB4225" s="38"/>
      <c r="BC4225" s="38"/>
      <c r="BD4225" s="38"/>
      <c r="BE4225" s="38"/>
      <c r="BF4225" s="38"/>
      <c r="BG4225" s="38"/>
      <c r="BH4225" s="38"/>
      <c r="BI4225" s="38"/>
      <c r="BJ4225" s="38"/>
      <c r="BK4225" s="38"/>
      <c r="BL4225" s="38"/>
      <c r="BM4225" s="38"/>
      <c r="BN4225" s="38"/>
      <c r="BO4225" s="38"/>
      <c r="BP4225" s="38"/>
      <c r="BQ4225" s="38"/>
    </row>
    <row r="4226">
      <c r="A4226" s="16"/>
      <c r="B4226" s="145"/>
      <c r="C4226" s="146"/>
      <c r="D4226" s="146"/>
      <c r="E4226" s="16"/>
      <c r="F4226" s="91"/>
      <c r="G4226" s="16"/>
      <c r="H4226" s="320" t="str">
        <f t="shared" si="424"/>
        <v/>
      </c>
      <c r="I4226" s="16"/>
      <c r="J4226" s="16"/>
      <c r="K4226" s="16"/>
      <c r="L4226" s="16"/>
      <c r="M4226" s="15"/>
      <c r="N4226" s="15"/>
      <c r="O4226" s="16"/>
      <c r="P4226" s="16"/>
      <c r="Q4226" s="16"/>
      <c r="R4226" s="16"/>
      <c r="S4226" s="37" t="str">
        <f>IFERROR(__xludf.DUMMYFUNCTION("if(not(iserror(index(split(C4226, "" ""),2))), index(split(C4226, "" ""),1),"""")"),"")</f>
        <v/>
      </c>
      <c r="T4226" s="315" t="str">
        <f>IFERROR(__xludf.DUMMYFUNCTION("if(S4226="""",C4226,if(not(iserror(index(split(C4226, "" ""),3))), index(split(C4226, "" ""),3),index(split(C4226, "" ""),2)))"),"")</f>
        <v/>
      </c>
      <c r="U4226" s="38" t="b">
        <f t="shared" si="423"/>
        <v>0</v>
      </c>
      <c r="V4226" s="38"/>
      <c r="W4226" s="40"/>
      <c r="X4226" s="40"/>
      <c r="Y4226" s="40"/>
      <c r="Z4226" s="38"/>
      <c r="AA4226" s="38"/>
      <c r="AB4226" s="38"/>
      <c r="AC4226" s="38"/>
      <c r="AD4226" s="38"/>
      <c r="AE4226" s="38"/>
      <c r="AF4226" s="38"/>
      <c r="AG4226" s="38"/>
      <c r="AH4226" s="38"/>
      <c r="AI4226" s="38"/>
      <c r="AJ4226" s="38"/>
      <c r="AK4226" s="38"/>
      <c r="AL4226" s="38"/>
      <c r="AM4226" s="38"/>
      <c r="AN4226" s="38"/>
      <c r="AO4226" s="38"/>
      <c r="AP4226" s="38"/>
      <c r="AQ4226" s="38"/>
      <c r="AR4226" s="38"/>
      <c r="AS4226" s="38"/>
      <c r="AT4226" s="38"/>
      <c r="AU4226" s="38"/>
      <c r="AV4226" s="38"/>
      <c r="AW4226" s="38"/>
      <c r="AX4226" s="38"/>
      <c r="AY4226" s="38"/>
      <c r="AZ4226" s="38"/>
      <c r="BA4226" s="38"/>
      <c r="BB4226" s="38"/>
      <c r="BC4226" s="38"/>
      <c r="BD4226" s="38"/>
      <c r="BE4226" s="38"/>
      <c r="BF4226" s="38"/>
      <c r="BG4226" s="38"/>
      <c r="BH4226" s="38"/>
      <c r="BI4226" s="38"/>
      <c r="BJ4226" s="38"/>
      <c r="BK4226" s="38"/>
      <c r="BL4226" s="38"/>
      <c r="BM4226" s="38"/>
      <c r="BN4226" s="38"/>
      <c r="BO4226" s="38"/>
      <c r="BP4226" s="38"/>
      <c r="BQ4226" s="38"/>
    </row>
    <row r="4227">
      <c r="A4227" s="16"/>
      <c r="B4227" s="145"/>
      <c r="C4227" s="146"/>
      <c r="D4227" s="146"/>
      <c r="E4227" s="16"/>
      <c r="F4227" s="91"/>
      <c r="G4227" s="16"/>
      <c r="H4227" s="320" t="str">
        <f t="shared" si="424"/>
        <v/>
      </c>
      <c r="I4227" s="16"/>
      <c r="J4227" s="16"/>
      <c r="K4227" s="16"/>
      <c r="L4227" s="16"/>
      <c r="M4227" s="15"/>
      <c r="N4227" s="15"/>
      <c r="O4227" s="16"/>
      <c r="P4227" s="16"/>
      <c r="Q4227" s="16"/>
      <c r="R4227" s="16"/>
      <c r="S4227" s="37" t="str">
        <f>IFERROR(__xludf.DUMMYFUNCTION("if(not(iserror(index(split(C4227, "" ""),2))), index(split(C4227, "" ""),1),"""")"),"")</f>
        <v/>
      </c>
      <c r="T4227" s="315" t="str">
        <f>IFERROR(__xludf.DUMMYFUNCTION("if(S4227="""",C4227,if(not(iserror(index(split(C4227, "" ""),3))), index(split(C4227, "" ""),3),index(split(C4227, "" ""),2)))"),"")</f>
        <v/>
      </c>
      <c r="U4227" s="38" t="b">
        <f t="shared" si="423"/>
        <v>0</v>
      </c>
      <c r="V4227" s="38"/>
      <c r="W4227" s="40"/>
      <c r="X4227" s="40"/>
      <c r="Y4227" s="40"/>
      <c r="Z4227" s="38"/>
      <c r="AA4227" s="38"/>
      <c r="AB4227" s="38"/>
      <c r="AC4227" s="38"/>
      <c r="AD4227" s="38"/>
      <c r="AE4227" s="38"/>
      <c r="AF4227" s="38"/>
      <c r="AG4227" s="38"/>
      <c r="AH4227" s="38"/>
      <c r="AI4227" s="38"/>
      <c r="AJ4227" s="38"/>
      <c r="AK4227" s="38"/>
      <c r="AL4227" s="38"/>
      <c r="AM4227" s="38"/>
      <c r="AN4227" s="38"/>
      <c r="AO4227" s="38"/>
      <c r="AP4227" s="38"/>
      <c r="AQ4227" s="38"/>
      <c r="AR4227" s="38"/>
      <c r="AS4227" s="38"/>
      <c r="AT4227" s="38"/>
      <c r="AU4227" s="38"/>
      <c r="AV4227" s="38"/>
      <c r="AW4227" s="38"/>
      <c r="AX4227" s="38"/>
      <c r="AY4227" s="38"/>
      <c r="AZ4227" s="38"/>
      <c r="BA4227" s="38"/>
      <c r="BB4227" s="38"/>
      <c r="BC4227" s="38"/>
      <c r="BD4227" s="38"/>
      <c r="BE4227" s="38"/>
      <c r="BF4227" s="38"/>
      <c r="BG4227" s="38"/>
      <c r="BH4227" s="38"/>
      <c r="BI4227" s="38"/>
      <c r="BJ4227" s="38"/>
      <c r="BK4227" s="38"/>
      <c r="BL4227" s="38"/>
      <c r="BM4227" s="38"/>
      <c r="BN4227" s="38"/>
      <c r="BO4227" s="38"/>
      <c r="BP4227" s="38"/>
      <c r="BQ4227" s="38"/>
    </row>
    <row r="4228">
      <c r="A4228" s="16"/>
      <c r="B4228" s="145"/>
      <c r="C4228" s="146"/>
      <c r="D4228" s="146"/>
      <c r="E4228" s="16"/>
      <c r="F4228" s="91"/>
      <c r="G4228" s="16"/>
      <c r="H4228" s="320" t="str">
        <f t="shared" si="424"/>
        <v/>
      </c>
      <c r="I4228" s="16"/>
      <c r="J4228" s="16"/>
      <c r="K4228" s="16"/>
      <c r="L4228" s="16"/>
      <c r="M4228" s="15"/>
      <c r="N4228" s="15"/>
      <c r="O4228" s="16"/>
      <c r="P4228" s="16"/>
      <c r="Q4228" s="16"/>
      <c r="R4228" s="16"/>
      <c r="S4228" s="37" t="str">
        <f>IFERROR(__xludf.DUMMYFUNCTION("if(not(iserror(index(split(C4228, "" ""),2))), index(split(C4228, "" ""),1),"""")"),"")</f>
        <v/>
      </c>
      <c r="T4228" s="315" t="str">
        <f>IFERROR(__xludf.DUMMYFUNCTION("if(S4228="""",C4228,if(not(iserror(index(split(C4228, "" ""),3))), index(split(C4228, "" ""),3),index(split(C4228, "" ""),2)))"),"")</f>
        <v/>
      </c>
      <c r="U4228" s="38" t="b">
        <f t="shared" si="423"/>
        <v>0</v>
      </c>
      <c r="V4228" s="38"/>
      <c r="W4228" s="40"/>
      <c r="X4228" s="40"/>
      <c r="Y4228" s="40"/>
      <c r="Z4228" s="38"/>
      <c r="AA4228" s="38"/>
      <c r="AB4228" s="38"/>
      <c r="AC4228" s="38"/>
      <c r="AD4228" s="38"/>
      <c r="AE4228" s="38"/>
      <c r="AF4228" s="38"/>
      <c r="AG4228" s="38"/>
      <c r="AH4228" s="38"/>
      <c r="AI4228" s="38"/>
      <c r="AJ4228" s="38"/>
      <c r="AK4228" s="38"/>
      <c r="AL4228" s="38"/>
      <c r="AM4228" s="38"/>
      <c r="AN4228" s="38"/>
      <c r="AO4228" s="38"/>
      <c r="AP4228" s="38"/>
      <c r="AQ4228" s="38"/>
      <c r="AR4228" s="38"/>
      <c r="AS4228" s="38"/>
      <c r="AT4228" s="38"/>
      <c r="AU4228" s="38"/>
      <c r="AV4228" s="38"/>
      <c r="AW4228" s="38"/>
      <c r="AX4228" s="38"/>
      <c r="AY4228" s="38"/>
      <c r="AZ4228" s="38"/>
      <c r="BA4228" s="38"/>
      <c r="BB4228" s="38"/>
      <c r="BC4228" s="38"/>
      <c r="BD4228" s="38"/>
      <c r="BE4228" s="38"/>
      <c r="BF4228" s="38"/>
      <c r="BG4228" s="38"/>
      <c r="BH4228" s="38"/>
      <c r="BI4228" s="38"/>
      <c r="BJ4228" s="38"/>
      <c r="BK4228" s="38"/>
      <c r="BL4228" s="38"/>
      <c r="BM4228" s="38"/>
      <c r="BN4228" s="38"/>
      <c r="BO4228" s="38"/>
      <c r="BP4228" s="38"/>
      <c r="BQ4228" s="38"/>
    </row>
    <row r="4229">
      <c r="A4229" s="16"/>
      <c r="B4229" s="145"/>
      <c r="C4229" s="146"/>
      <c r="D4229" s="146"/>
      <c r="E4229" s="16"/>
      <c r="F4229" s="91"/>
      <c r="G4229" s="16"/>
      <c r="H4229" s="320" t="str">
        <f t="shared" si="424"/>
        <v/>
      </c>
      <c r="I4229" s="16"/>
      <c r="J4229" s="16"/>
      <c r="K4229" s="16"/>
      <c r="L4229" s="16"/>
      <c r="M4229" s="15"/>
      <c r="N4229" s="15"/>
      <c r="O4229" s="16"/>
      <c r="P4229" s="16"/>
      <c r="Q4229" s="16"/>
      <c r="R4229" s="16"/>
      <c r="S4229" s="37" t="str">
        <f>IFERROR(__xludf.DUMMYFUNCTION("if(not(iserror(index(split(C4229, "" ""),2))), index(split(C4229, "" ""),1),"""")"),"")</f>
        <v/>
      </c>
      <c r="T4229" s="315" t="str">
        <f>IFERROR(__xludf.DUMMYFUNCTION("if(S4229="""",C4229,if(not(iserror(index(split(C4229, "" ""),3))), index(split(C4229, "" ""),3),index(split(C4229, "" ""),2)))"),"")</f>
        <v/>
      </c>
      <c r="U4229" s="38" t="b">
        <f t="shared" si="423"/>
        <v>0</v>
      </c>
      <c r="V4229" s="38"/>
      <c r="W4229" s="40"/>
      <c r="X4229" s="40"/>
      <c r="Y4229" s="40"/>
      <c r="Z4229" s="38"/>
      <c r="AA4229" s="38"/>
      <c r="AB4229" s="38"/>
      <c r="AC4229" s="38"/>
      <c r="AD4229" s="38"/>
      <c r="AE4229" s="38"/>
      <c r="AF4229" s="38"/>
      <c r="AG4229" s="38"/>
      <c r="AH4229" s="38"/>
      <c r="AI4229" s="38"/>
      <c r="AJ4229" s="38"/>
      <c r="AK4229" s="38"/>
      <c r="AL4229" s="38"/>
      <c r="AM4229" s="38"/>
      <c r="AN4229" s="38"/>
      <c r="AO4229" s="38"/>
      <c r="AP4229" s="38"/>
      <c r="AQ4229" s="38"/>
      <c r="AR4229" s="38"/>
      <c r="AS4229" s="38"/>
      <c r="AT4229" s="38"/>
      <c r="AU4229" s="38"/>
      <c r="AV4229" s="38"/>
      <c r="AW4229" s="38"/>
      <c r="AX4229" s="38"/>
      <c r="AY4229" s="38"/>
      <c r="AZ4229" s="38"/>
      <c r="BA4229" s="38"/>
      <c r="BB4229" s="38"/>
      <c r="BC4229" s="38"/>
      <c r="BD4229" s="38"/>
      <c r="BE4229" s="38"/>
      <c r="BF4229" s="38"/>
      <c r="BG4229" s="38"/>
      <c r="BH4229" s="38"/>
      <c r="BI4229" s="38"/>
      <c r="BJ4229" s="38"/>
      <c r="BK4229" s="38"/>
      <c r="BL4229" s="38"/>
      <c r="BM4229" s="38"/>
      <c r="BN4229" s="38"/>
      <c r="BO4229" s="38"/>
      <c r="BP4229" s="38"/>
      <c r="BQ4229" s="38"/>
    </row>
    <row r="4230">
      <c r="A4230" s="16"/>
      <c r="B4230" s="145"/>
      <c r="C4230" s="146"/>
      <c r="D4230" s="146"/>
      <c r="E4230" s="16"/>
      <c r="F4230" s="91"/>
      <c r="G4230" s="16"/>
      <c r="H4230" s="320" t="str">
        <f t="shared" si="424"/>
        <v/>
      </c>
      <c r="I4230" s="16"/>
      <c r="J4230" s="16"/>
      <c r="K4230" s="16"/>
      <c r="L4230" s="16"/>
      <c r="M4230" s="15"/>
      <c r="N4230" s="15"/>
      <c r="O4230" s="16"/>
      <c r="P4230" s="16"/>
      <c r="Q4230" s="16"/>
      <c r="R4230" s="16"/>
      <c r="S4230" s="37" t="str">
        <f>IFERROR(__xludf.DUMMYFUNCTION("if(not(iserror(index(split(C4230, "" ""),2))), index(split(C4230, "" ""),1),"""")"),"")</f>
        <v/>
      </c>
      <c r="T4230" s="315" t="str">
        <f>IFERROR(__xludf.DUMMYFUNCTION("if(S4230="""",C4230,if(not(iserror(index(split(C4230, "" ""),3))), index(split(C4230, "" ""),3),index(split(C4230, "" ""),2)))"),"")</f>
        <v/>
      </c>
      <c r="U4230" s="38" t="b">
        <f t="shared" si="423"/>
        <v>0</v>
      </c>
      <c r="V4230" s="38"/>
      <c r="W4230" s="40"/>
      <c r="X4230" s="40"/>
      <c r="Y4230" s="40"/>
      <c r="Z4230" s="38"/>
      <c r="AA4230" s="38"/>
      <c r="AB4230" s="38"/>
      <c r="AC4230" s="38"/>
      <c r="AD4230" s="38"/>
      <c r="AE4230" s="38"/>
      <c r="AF4230" s="38"/>
      <c r="AG4230" s="38"/>
      <c r="AH4230" s="38"/>
      <c r="AI4230" s="38"/>
      <c r="AJ4230" s="38"/>
      <c r="AK4230" s="38"/>
      <c r="AL4230" s="38"/>
      <c r="AM4230" s="38"/>
      <c r="AN4230" s="38"/>
      <c r="AO4230" s="38"/>
      <c r="AP4230" s="38"/>
      <c r="AQ4230" s="38"/>
      <c r="AR4230" s="38"/>
      <c r="AS4230" s="38"/>
      <c r="AT4230" s="38"/>
      <c r="AU4230" s="38"/>
      <c r="AV4230" s="38"/>
      <c r="AW4230" s="38"/>
      <c r="AX4230" s="38"/>
      <c r="AY4230" s="38"/>
      <c r="AZ4230" s="38"/>
      <c r="BA4230" s="38"/>
      <c r="BB4230" s="38"/>
      <c r="BC4230" s="38"/>
      <c r="BD4230" s="38"/>
      <c r="BE4230" s="38"/>
      <c r="BF4230" s="38"/>
      <c r="BG4230" s="38"/>
      <c r="BH4230" s="38"/>
      <c r="BI4230" s="38"/>
      <c r="BJ4230" s="38"/>
      <c r="BK4230" s="38"/>
      <c r="BL4230" s="38"/>
      <c r="BM4230" s="38"/>
      <c r="BN4230" s="38"/>
      <c r="BO4230" s="38"/>
      <c r="BP4230" s="38"/>
      <c r="BQ4230" s="38"/>
    </row>
    <row r="4231">
      <c r="A4231" s="16"/>
      <c r="B4231" s="145"/>
      <c r="C4231" s="146"/>
      <c r="D4231" s="146"/>
      <c r="E4231" s="16"/>
      <c r="F4231" s="91"/>
      <c r="G4231" s="16"/>
      <c r="H4231" s="320" t="str">
        <f t="shared" si="424"/>
        <v/>
      </c>
      <c r="I4231" s="16"/>
      <c r="J4231" s="16"/>
      <c r="K4231" s="16"/>
      <c r="L4231" s="16"/>
      <c r="M4231" s="15"/>
      <c r="N4231" s="15"/>
      <c r="O4231" s="16"/>
      <c r="P4231" s="16"/>
      <c r="Q4231" s="16"/>
      <c r="R4231" s="16"/>
      <c r="S4231" s="37" t="str">
        <f>IFERROR(__xludf.DUMMYFUNCTION("if(not(iserror(index(split(C4231, "" ""),2))), index(split(C4231, "" ""),1),"""")"),"")</f>
        <v/>
      </c>
      <c r="T4231" s="315" t="str">
        <f>IFERROR(__xludf.DUMMYFUNCTION("if(S4231="""",C4231,if(not(iserror(index(split(C4231, "" ""),3))), index(split(C4231, "" ""),3),index(split(C4231, "" ""),2)))"),"")</f>
        <v/>
      </c>
      <c r="U4231" s="38" t="b">
        <f t="shared" si="423"/>
        <v>0</v>
      </c>
      <c r="V4231" s="38"/>
      <c r="W4231" s="40"/>
      <c r="X4231" s="40"/>
      <c r="Y4231" s="40"/>
      <c r="Z4231" s="38"/>
      <c r="AA4231" s="38"/>
      <c r="AB4231" s="38"/>
      <c r="AC4231" s="38"/>
      <c r="AD4231" s="38"/>
      <c r="AE4231" s="38"/>
      <c r="AF4231" s="38"/>
      <c r="AG4231" s="38"/>
      <c r="AH4231" s="38"/>
      <c r="AI4231" s="38"/>
      <c r="AJ4231" s="38"/>
      <c r="AK4231" s="38"/>
      <c r="AL4231" s="38"/>
      <c r="AM4231" s="38"/>
      <c r="AN4231" s="38"/>
      <c r="AO4231" s="38"/>
      <c r="AP4231" s="38"/>
      <c r="AQ4231" s="38"/>
      <c r="AR4231" s="38"/>
      <c r="AS4231" s="38"/>
      <c r="AT4231" s="38"/>
      <c r="AU4231" s="38"/>
      <c r="AV4231" s="38"/>
      <c r="AW4231" s="38"/>
      <c r="AX4231" s="38"/>
      <c r="AY4231" s="38"/>
      <c r="AZ4231" s="38"/>
      <c r="BA4231" s="38"/>
      <c r="BB4231" s="38"/>
      <c r="BC4231" s="38"/>
      <c r="BD4231" s="38"/>
      <c r="BE4231" s="38"/>
      <c r="BF4231" s="38"/>
      <c r="BG4231" s="38"/>
      <c r="BH4231" s="38"/>
      <c r="BI4231" s="38"/>
      <c r="BJ4231" s="38"/>
      <c r="BK4231" s="38"/>
      <c r="BL4231" s="38"/>
      <c r="BM4231" s="38"/>
      <c r="BN4231" s="38"/>
      <c r="BO4231" s="38"/>
      <c r="BP4231" s="38"/>
      <c r="BQ4231" s="38"/>
    </row>
    <row r="4232">
      <c r="A4232" s="16"/>
      <c r="B4232" s="145"/>
      <c r="C4232" s="146"/>
      <c r="D4232" s="146"/>
      <c r="E4232" s="16"/>
      <c r="F4232" s="91"/>
      <c r="G4232" s="16"/>
      <c r="H4232" s="320" t="str">
        <f t="shared" si="424"/>
        <v/>
      </c>
      <c r="I4232" s="16"/>
      <c r="J4232" s="16"/>
      <c r="K4232" s="16"/>
      <c r="L4232" s="16"/>
      <c r="M4232" s="15"/>
      <c r="N4232" s="15"/>
      <c r="O4232" s="16"/>
      <c r="P4232" s="16"/>
      <c r="Q4232" s="16"/>
      <c r="R4232" s="16"/>
      <c r="S4232" s="37" t="str">
        <f>IFERROR(__xludf.DUMMYFUNCTION("if(not(iserror(index(split(C4232, "" ""),2))), index(split(C4232, "" ""),1),"""")"),"")</f>
        <v/>
      </c>
      <c r="T4232" s="315" t="str">
        <f>IFERROR(__xludf.DUMMYFUNCTION("if(S4232="""",C4232,if(not(iserror(index(split(C4232, "" ""),3))), index(split(C4232, "" ""),3),index(split(C4232, "" ""),2)))"),"")</f>
        <v/>
      </c>
      <c r="U4232" s="38" t="b">
        <f t="shared" si="423"/>
        <v>0</v>
      </c>
      <c r="V4232" s="38"/>
      <c r="W4232" s="40"/>
      <c r="X4232" s="40"/>
      <c r="Y4232" s="40"/>
      <c r="Z4232" s="38"/>
      <c r="AA4232" s="38"/>
      <c r="AB4232" s="38"/>
      <c r="AC4232" s="38"/>
      <c r="AD4232" s="38"/>
      <c r="AE4232" s="38"/>
      <c r="AF4232" s="38"/>
      <c r="AG4232" s="38"/>
      <c r="AH4232" s="38"/>
      <c r="AI4232" s="38"/>
      <c r="AJ4232" s="38"/>
      <c r="AK4232" s="38"/>
      <c r="AL4232" s="38"/>
      <c r="AM4232" s="38"/>
      <c r="AN4232" s="38"/>
      <c r="AO4232" s="38"/>
      <c r="AP4232" s="38"/>
      <c r="AQ4232" s="38"/>
      <c r="AR4232" s="38"/>
      <c r="AS4232" s="38"/>
      <c r="AT4232" s="38"/>
      <c r="AU4232" s="38"/>
      <c r="AV4232" s="38"/>
      <c r="AW4232" s="38"/>
      <c r="AX4232" s="38"/>
      <c r="AY4232" s="38"/>
      <c r="AZ4232" s="38"/>
      <c r="BA4232" s="38"/>
      <c r="BB4232" s="38"/>
      <c r="BC4232" s="38"/>
      <c r="BD4232" s="38"/>
      <c r="BE4232" s="38"/>
      <c r="BF4232" s="38"/>
      <c r="BG4232" s="38"/>
      <c r="BH4232" s="38"/>
      <c r="BI4232" s="38"/>
      <c r="BJ4232" s="38"/>
      <c r="BK4232" s="38"/>
      <c r="BL4232" s="38"/>
      <c r="BM4232" s="38"/>
      <c r="BN4232" s="38"/>
      <c r="BO4232" s="38"/>
      <c r="BP4232" s="38"/>
      <c r="BQ4232" s="38"/>
    </row>
    <row r="4233">
      <c r="A4233" s="16"/>
      <c r="B4233" s="145"/>
      <c r="C4233" s="146"/>
      <c r="D4233" s="146"/>
      <c r="E4233" s="16"/>
      <c r="F4233" s="91"/>
      <c r="G4233" s="16"/>
      <c r="H4233" s="320" t="str">
        <f t="shared" si="424"/>
        <v/>
      </c>
      <c r="I4233" s="16"/>
      <c r="J4233" s="16"/>
      <c r="K4233" s="16"/>
      <c r="L4233" s="16"/>
      <c r="M4233" s="15"/>
      <c r="N4233" s="15"/>
      <c r="O4233" s="16"/>
      <c r="P4233" s="16"/>
      <c r="Q4233" s="16"/>
      <c r="R4233" s="16"/>
      <c r="S4233" s="37" t="str">
        <f>IFERROR(__xludf.DUMMYFUNCTION("if(not(iserror(index(split(C4233, "" ""),2))), index(split(C4233, "" ""),1),"""")"),"")</f>
        <v/>
      </c>
      <c r="T4233" s="315" t="str">
        <f>IFERROR(__xludf.DUMMYFUNCTION("if(S4233="""",C4233,if(not(iserror(index(split(C4233, "" ""),3))), index(split(C4233, "" ""),3),index(split(C4233, "" ""),2)))"),"")</f>
        <v/>
      </c>
      <c r="U4233" s="38" t="b">
        <f t="shared" si="423"/>
        <v>0</v>
      </c>
      <c r="V4233" s="38"/>
      <c r="W4233" s="40"/>
      <c r="X4233" s="40"/>
      <c r="Y4233" s="40"/>
      <c r="Z4233" s="38"/>
      <c r="AA4233" s="38"/>
      <c r="AB4233" s="38"/>
      <c r="AC4233" s="38"/>
      <c r="AD4233" s="38"/>
      <c r="AE4233" s="38"/>
      <c r="AF4233" s="38"/>
      <c r="AG4233" s="38"/>
      <c r="AH4233" s="38"/>
      <c r="AI4233" s="38"/>
      <c r="AJ4233" s="38"/>
      <c r="AK4233" s="38"/>
      <c r="AL4233" s="38"/>
      <c r="AM4233" s="38"/>
      <c r="AN4233" s="38"/>
      <c r="AO4233" s="38"/>
      <c r="AP4233" s="38"/>
      <c r="AQ4233" s="38"/>
      <c r="AR4233" s="38"/>
      <c r="AS4233" s="38"/>
      <c r="AT4233" s="38"/>
      <c r="AU4233" s="38"/>
      <c r="AV4233" s="38"/>
      <c r="AW4233" s="38"/>
      <c r="AX4233" s="38"/>
      <c r="AY4233" s="38"/>
      <c r="AZ4233" s="38"/>
      <c r="BA4233" s="38"/>
      <c r="BB4233" s="38"/>
      <c r="BC4233" s="38"/>
      <c r="BD4233" s="38"/>
      <c r="BE4233" s="38"/>
      <c r="BF4233" s="38"/>
      <c r="BG4233" s="38"/>
      <c r="BH4233" s="38"/>
      <c r="BI4233" s="38"/>
      <c r="BJ4233" s="38"/>
      <c r="BK4233" s="38"/>
      <c r="BL4233" s="38"/>
      <c r="BM4233" s="38"/>
      <c r="BN4233" s="38"/>
      <c r="BO4233" s="38"/>
      <c r="BP4233" s="38"/>
      <c r="BQ4233" s="38"/>
    </row>
    <row r="4234">
      <c r="A4234" s="16"/>
      <c r="B4234" s="145"/>
      <c r="C4234" s="146"/>
      <c r="D4234" s="146"/>
      <c r="E4234" s="16"/>
      <c r="F4234" s="91"/>
      <c r="G4234" s="16"/>
      <c r="H4234" s="320" t="str">
        <f t="shared" si="424"/>
        <v/>
      </c>
      <c r="I4234" s="16"/>
      <c r="J4234" s="16"/>
      <c r="K4234" s="16"/>
      <c r="L4234" s="16"/>
      <c r="M4234" s="15"/>
      <c r="N4234" s="15"/>
      <c r="O4234" s="16"/>
      <c r="P4234" s="16"/>
      <c r="Q4234" s="16"/>
      <c r="R4234" s="16"/>
      <c r="S4234" s="37" t="str">
        <f>IFERROR(__xludf.DUMMYFUNCTION("if(not(iserror(index(split(C4234, "" ""),2))), index(split(C4234, "" ""),1),"""")"),"")</f>
        <v/>
      </c>
      <c r="T4234" s="315" t="str">
        <f>IFERROR(__xludf.DUMMYFUNCTION("if(S4234="""",C4234,if(not(iserror(index(split(C4234, "" ""),3))), index(split(C4234, "" ""),3),index(split(C4234, "" ""),2)))"),"")</f>
        <v/>
      </c>
      <c r="U4234" s="38" t="b">
        <f t="shared" si="423"/>
        <v>0</v>
      </c>
      <c r="V4234" s="38"/>
      <c r="W4234" s="40"/>
      <c r="X4234" s="40"/>
      <c r="Y4234" s="40"/>
      <c r="Z4234" s="38"/>
      <c r="AA4234" s="38"/>
      <c r="AB4234" s="38"/>
      <c r="AC4234" s="38"/>
      <c r="AD4234" s="38"/>
      <c r="AE4234" s="38"/>
      <c r="AF4234" s="38"/>
      <c r="AG4234" s="38"/>
      <c r="AH4234" s="38"/>
      <c r="AI4234" s="38"/>
      <c r="AJ4234" s="38"/>
      <c r="AK4234" s="38"/>
      <c r="AL4234" s="38"/>
      <c r="AM4234" s="38"/>
      <c r="AN4234" s="38"/>
      <c r="AO4234" s="38"/>
      <c r="AP4234" s="38"/>
      <c r="AQ4234" s="38"/>
      <c r="AR4234" s="38"/>
      <c r="AS4234" s="38"/>
      <c r="AT4234" s="38"/>
      <c r="AU4234" s="38"/>
      <c r="AV4234" s="38"/>
      <c r="AW4234" s="38"/>
      <c r="AX4234" s="38"/>
      <c r="AY4234" s="38"/>
      <c r="AZ4234" s="38"/>
      <c r="BA4234" s="38"/>
      <c r="BB4234" s="38"/>
      <c r="BC4234" s="38"/>
      <c r="BD4234" s="38"/>
      <c r="BE4234" s="38"/>
      <c r="BF4234" s="38"/>
      <c r="BG4234" s="38"/>
      <c r="BH4234" s="38"/>
      <c r="BI4234" s="38"/>
      <c r="BJ4234" s="38"/>
      <c r="BK4234" s="38"/>
      <c r="BL4234" s="38"/>
      <c r="BM4234" s="38"/>
      <c r="BN4234" s="38"/>
      <c r="BO4234" s="38"/>
      <c r="BP4234" s="38"/>
      <c r="BQ4234" s="38"/>
    </row>
    <row r="4235">
      <c r="A4235" s="16"/>
      <c r="B4235" s="145"/>
      <c r="C4235" s="146"/>
      <c r="D4235" s="146"/>
      <c r="E4235" s="16"/>
      <c r="F4235" s="91"/>
      <c r="G4235" s="16"/>
      <c r="H4235" s="320" t="str">
        <f t="shared" si="424"/>
        <v/>
      </c>
      <c r="I4235" s="16"/>
      <c r="J4235" s="16"/>
      <c r="K4235" s="16"/>
      <c r="L4235" s="16"/>
      <c r="M4235" s="15"/>
      <c r="N4235" s="15"/>
      <c r="O4235" s="16"/>
      <c r="P4235" s="16"/>
      <c r="Q4235" s="16"/>
      <c r="R4235" s="16"/>
      <c r="S4235" s="37" t="str">
        <f>IFERROR(__xludf.DUMMYFUNCTION("if(not(iserror(index(split(C4235, "" ""),2))), index(split(C4235, "" ""),1),"""")"),"")</f>
        <v/>
      </c>
      <c r="T4235" s="315" t="str">
        <f>IFERROR(__xludf.DUMMYFUNCTION("if(S4235="""",C4235,if(not(iserror(index(split(C4235, "" ""),3))), index(split(C4235, "" ""),3),index(split(C4235, "" ""),2)))"),"")</f>
        <v/>
      </c>
      <c r="U4235" s="38" t="b">
        <f t="shared" si="423"/>
        <v>0</v>
      </c>
      <c r="V4235" s="38"/>
      <c r="W4235" s="40"/>
      <c r="X4235" s="40"/>
      <c r="Y4235" s="40"/>
      <c r="Z4235" s="38"/>
      <c r="AA4235" s="38"/>
      <c r="AB4235" s="38"/>
      <c r="AC4235" s="38"/>
      <c r="AD4235" s="38"/>
      <c r="AE4235" s="38"/>
      <c r="AF4235" s="38"/>
      <c r="AG4235" s="38"/>
      <c r="AH4235" s="38"/>
      <c r="AI4235" s="38"/>
      <c r="AJ4235" s="38"/>
      <c r="AK4235" s="38"/>
      <c r="AL4235" s="38"/>
      <c r="AM4235" s="38"/>
      <c r="AN4235" s="38"/>
      <c r="AO4235" s="38"/>
      <c r="AP4235" s="38"/>
      <c r="AQ4235" s="38"/>
      <c r="AR4235" s="38"/>
      <c r="AS4235" s="38"/>
      <c r="AT4235" s="38"/>
      <c r="AU4235" s="38"/>
      <c r="AV4235" s="38"/>
      <c r="AW4235" s="38"/>
      <c r="AX4235" s="38"/>
      <c r="AY4235" s="38"/>
      <c r="AZ4235" s="38"/>
      <c r="BA4235" s="38"/>
      <c r="BB4235" s="38"/>
      <c r="BC4235" s="38"/>
      <c r="BD4235" s="38"/>
      <c r="BE4235" s="38"/>
      <c r="BF4235" s="38"/>
      <c r="BG4235" s="38"/>
      <c r="BH4235" s="38"/>
      <c r="BI4235" s="38"/>
      <c r="BJ4235" s="38"/>
      <c r="BK4235" s="38"/>
      <c r="BL4235" s="38"/>
      <c r="BM4235" s="38"/>
      <c r="BN4235" s="38"/>
      <c r="BO4235" s="38"/>
      <c r="BP4235" s="38"/>
      <c r="BQ4235" s="38"/>
    </row>
    <row r="4236">
      <c r="A4236" s="16"/>
      <c r="B4236" s="145"/>
      <c r="C4236" s="146"/>
      <c r="D4236" s="146"/>
      <c r="E4236" s="16"/>
      <c r="F4236" s="91"/>
      <c r="G4236" s="16"/>
      <c r="H4236" s="320" t="str">
        <f t="shared" si="424"/>
        <v/>
      </c>
      <c r="I4236" s="16"/>
      <c r="J4236" s="16"/>
      <c r="K4236" s="16"/>
      <c r="L4236" s="16"/>
      <c r="M4236" s="15"/>
      <c r="N4236" s="15"/>
      <c r="O4236" s="16"/>
      <c r="P4236" s="16"/>
      <c r="Q4236" s="16"/>
      <c r="R4236" s="16"/>
      <c r="S4236" s="37" t="str">
        <f>IFERROR(__xludf.DUMMYFUNCTION("if(not(iserror(index(split(C4236, "" ""),2))), index(split(C4236, "" ""),1),"""")"),"")</f>
        <v/>
      </c>
      <c r="T4236" s="315" t="str">
        <f>IFERROR(__xludf.DUMMYFUNCTION("if(S4236="""",C4236,if(not(iserror(index(split(C4236, "" ""),3))), index(split(C4236, "" ""),3),index(split(C4236, "" ""),2)))"),"")</f>
        <v/>
      </c>
      <c r="U4236" s="38" t="b">
        <f t="shared" si="423"/>
        <v>0</v>
      </c>
      <c r="V4236" s="38"/>
      <c r="W4236" s="40"/>
      <c r="X4236" s="40"/>
      <c r="Y4236" s="40"/>
      <c r="Z4236" s="38"/>
      <c r="AA4236" s="38"/>
      <c r="AB4236" s="38"/>
      <c r="AC4236" s="38"/>
      <c r="AD4236" s="38"/>
      <c r="AE4236" s="38"/>
      <c r="AF4236" s="38"/>
      <c r="AG4236" s="38"/>
      <c r="AH4236" s="38"/>
      <c r="AI4236" s="38"/>
      <c r="AJ4236" s="38"/>
      <c r="AK4236" s="38"/>
      <c r="AL4236" s="38"/>
      <c r="AM4236" s="38"/>
      <c r="AN4236" s="38"/>
      <c r="AO4236" s="38"/>
      <c r="AP4236" s="38"/>
      <c r="AQ4236" s="38"/>
      <c r="AR4236" s="38"/>
      <c r="AS4236" s="38"/>
      <c r="AT4236" s="38"/>
      <c r="AU4236" s="38"/>
      <c r="AV4236" s="38"/>
      <c r="AW4236" s="38"/>
      <c r="AX4236" s="38"/>
      <c r="AY4236" s="38"/>
      <c r="AZ4236" s="38"/>
      <c r="BA4236" s="38"/>
      <c r="BB4236" s="38"/>
      <c r="BC4236" s="38"/>
      <c r="BD4236" s="38"/>
      <c r="BE4236" s="38"/>
      <c r="BF4236" s="38"/>
      <c r="BG4236" s="38"/>
      <c r="BH4236" s="38"/>
      <c r="BI4236" s="38"/>
      <c r="BJ4236" s="38"/>
      <c r="BK4236" s="38"/>
      <c r="BL4236" s="38"/>
      <c r="BM4236" s="38"/>
      <c r="BN4236" s="38"/>
      <c r="BO4236" s="38"/>
      <c r="BP4236" s="38"/>
      <c r="BQ4236" s="38"/>
    </row>
    <row r="4237">
      <c r="A4237" s="16"/>
      <c r="B4237" s="145"/>
      <c r="C4237" s="146"/>
      <c r="D4237" s="146"/>
      <c r="E4237" s="16"/>
      <c r="F4237" s="91"/>
      <c r="G4237" s="16"/>
      <c r="H4237" s="320" t="str">
        <f t="shared" si="424"/>
        <v/>
      </c>
      <c r="I4237" s="16"/>
      <c r="J4237" s="16"/>
      <c r="K4237" s="16"/>
      <c r="L4237" s="16"/>
      <c r="M4237" s="15"/>
      <c r="N4237" s="15"/>
      <c r="O4237" s="16"/>
      <c r="P4237" s="16"/>
      <c r="Q4237" s="16"/>
      <c r="R4237" s="16"/>
      <c r="S4237" s="37" t="str">
        <f>IFERROR(__xludf.DUMMYFUNCTION("if(not(iserror(index(split(C4237, "" ""),2))), index(split(C4237, "" ""),1),"""")"),"")</f>
        <v/>
      </c>
      <c r="T4237" s="315" t="str">
        <f>IFERROR(__xludf.DUMMYFUNCTION("if(S4237="""",C4237,if(not(iserror(index(split(C4237, "" ""),3))), index(split(C4237, "" ""),3),index(split(C4237, "" ""),2)))"),"")</f>
        <v/>
      </c>
      <c r="U4237" s="38" t="b">
        <f t="shared" si="423"/>
        <v>0</v>
      </c>
      <c r="V4237" s="38"/>
      <c r="W4237" s="40"/>
      <c r="X4237" s="40"/>
      <c r="Y4237" s="40"/>
      <c r="Z4237" s="38"/>
      <c r="AA4237" s="38"/>
      <c r="AB4237" s="38"/>
      <c r="AC4237" s="38"/>
      <c r="AD4237" s="38"/>
      <c r="AE4237" s="38"/>
      <c r="AF4237" s="38"/>
      <c r="AG4237" s="38"/>
      <c r="AH4237" s="38"/>
      <c r="AI4237" s="38"/>
      <c r="AJ4237" s="38"/>
      <c r="AK4237" s="38"/>
      <c r="AL4237" s="38"/>
      <c r="AM4237" s="38"/>
      <c r="AN4237" s="38"/>
      <c r="AO4237" s="38"/>
      <c r="AP4237" s="38"/>
      <c r="AQ4237" s="38"/>
      <c r="AR4237" s="38"/>
      <c r="AS4237" s="38"/>
      <c r="AT4237" s="38"/>
      <c r="AU4237" s="38"/>
      <c r="AV4237" s="38"/>
      <c r="AW4237" s="38"/>
      <c r="AX4237" s="38"/>
      <c r="AY4237" s="38"/>
      <c r="AZ4237" s="38"/>
      <c r="BA4237" s="38"/>
      <c r="BB4237" s="38"/>
      <c r="BC4237" s="38"/>
      <c r="BD4237" s="38"/>
      <c r="BE4237" s="38"/>
      <c r="BF4237" s="38"/>
      <c r="BG4237" s="38"/>
      <c r="BH4237" s="38"/>
      <c r="BI4237" s="38"/>
      <c r="BJ4237" s="38"/>
      <c r="BK4237" s="38"/>
      <c r="BL4237" s="38"/>
      <c r="BM4237" s="38"/>
      <c r="BN4237" s="38"/>
      <c r="BO4237" s="38"/>
      <c r="BP4237" s="38"/>
      <c r="BQ4237" s="38"/>
    </row>
    <row r="4238">
      <c r="A4238" s="16"/>
      <c r="B4238" s="145"/>
      <c r="C4238" s="146"/>
      <c r="D4238" s="146"/>
      <c r="E4238" s="16"/>
      <c r="F4238" s="91"/>
      <c r="G4238" s="16"/>
      <c r="H4238" s="320" t="str">
        <f t="shared" si="424"/>
        <v/>
      </c>
      <c r="I4238" s="16"/>
      <c r="J4238" s="16"/>
      <c r="K4238" s="16"/>
      <c r="L4238" s="16"/>
      <c r="M4238" s="15"/>
      <c r="N4238" s="15"/>
      <c r="O4238" s="16"/>
      <c r="P4238" s="16"/>
      <c r="Q4238" s="16"/>
      <c r="R4238" s="16"/>
      <c r="S4238" s="37" t="str">
        <f>IFERROR(__xludf.DUMMYFUNCTION("if(not(iserror(index(split(C4238, "" ""),2))), index(split(C4238, "" ""),1),"""")"),"")</f>
        <v/>
      </c>
      <c r="T4238" s="315" t="str">
        <f>IFERROR(__xludf.DUMMYFUNCTION("if(S4238="""",C4238,if(not(iserror(index(split(C4238, "" ""),3))), index(split(C4238, "" ""),3),index(split(C4238, "" ""),2)))"),"")</f>
        <v/>
      </c>
      <c r="U4238" s="38" t="b">
        <f t="shared" si="423"/>
        <v>0</v>
      </c>
      <c r="V4238" s="38"/>
      <c r="W4238" s="40"/>
      <c r="X4238" s="40"/>
      <c r="Y4238" s="40"/>
      <c r="Z4238" s="38"/>
      <c r="AA4238" s="38"/>
      <c r="AB4238" s="38"/>
      <c r="AC4238" s="38"/>
      <c r="AD4238" s="38"/>
      <c r="AE4238" s="38"/>
      <c r="AF4238" s="38"/>
      <c r="AG4238" s="38"/>
      <c r="AH4238" s="38"/>
      <c r="AI4238" s="38"/>
      <c r="AJ4238" s="38"/>
      <c r="AK4238" s="38"/>
      <c r="AL4238" s="38"/>
      <c r="AM4238" s="38"/>
      <c r="AN4238" s="38"/>
      <c r="AO4238" s="38"/>
      <c r="AP4238" s="38"/>
      <c r="AQ4238" s="38"/>
      <c r="AR4238" s="38"/>
      <c r="AS4238" s="38"/>
      <c r="AT4238" s="38"/>
      <c r="AU4238" s="38"/>
      <c r="AV4238" s="38"/>
      <c r="AW4238" s="38"/>
      <c r="AX4238" s="38"/>
      <c r="AY4238" s="38"/>
      <c r="AZ4238" s="38"/>
      <c r="BA4238" s="38"/>
      <c r="BB4238" s="38"/>
      <c r="BC4238" s="38"/>
      <c r="BD4238" s="38"/>
      <c r="BE4238" s="38"/>
      <c r="BF4238" s="38"/>
      <c r="BG4238" s="38"/>
      <c r="BH4238" s="38"/>
      <c r="BI4238" s="38"/>
      <c r="BJ4238" s="38"/>
      <c r="BK4238" s="38"/>
      <c r="BL4238" s="38"/>
      <c r="BM4238" s="38"/>
      <c r="BN4238" s="38"/>
      <c r="BO4238" s="38"/>
      <c r="BP4238" s="38"/>
      <c r="BQ4238" s="38"/>
    </row>
    <row r="4239">
      <c r="A4239" s="16"/>
      <c r="B4239" s="145"/>
      <c r="C4239" s="146"/>
      <c r="D4239" s="146"/>
      <c r="E4239" s="16"/>
      <c r="F4239" s="91"/>
      <c r="G4239" s="16"/>
      <c r="H4239" s="320" t="str">
        <f t="shared" si="424"/>
        <v/>
      </c>
      <c r="I4239" s="16"/>
      <c r="J4239" s="16"/>
      <c r="K4239" s="16"/>
      <c r="L4239" s="16"/>
      <c r="M4239" s="15"/>
      <c r="N4239" s="15"/>
      <c r="O4239" s="16"/>
      <c r="P4239" s="16"/>
      <c r="Q4239" s="16"/>
      <c r="R4239" s="16"/>
      <c r="S4239" s="37" t="str">
        <f>IFERROR(__xludf.DUMMYFUNCTION("if(not(iserror(index(split(C4239, "" ""),2))), index(split(C4239, "" ""),1),"""")"),"")</f>
        <v/>
      </c>
      <c r="T4239" s="315" t="str">
        <f>IFERROR(__xludf.DUMMYFUNCTION("if(S4239="""",C4239,if(not(iserror(index(split(C4239, "" ""),3))), index(split(C4239, "" ""),3),index(split(C4239, "" ""),2)))"),"")</f>
        <v/>
      </c>
      <c r="U4239" s="38" t="b">
        <f t="shared" si="423"/>
        <v>0</v>
      </c>
      <c r="V4239" s="38"/>
      <c r="W4239" s="40"/>
      <c r="X4239" s="40"/>
      <c r="Y4239" s="40"/>
      <c r="Z4239" s="38"/>
      <c r="AA4239" s="38"/>
      <c r="AB4239" s="38"/>
      <c r="AC4239" s="38"/>
      <c r="AD4239" s="38"/>
      <c r="AE4239" s="38"/>
      <c r="AF4239" s="38"/>
      <c r="AG4239" s="38"/>
      <c r="AH4239" s="38"/>
      <c r="AI4239" s="38"/>
      <c r="AJ4239" s="38"/>
      <c r="AK4239" s="38"/>
      <c r="AL4239" s="38"/>
      <c r="AM4239" s="38"/>
      <c r="AN4239" s="38"/>
      <c r="AO4239" s="38"/>
      <c r="AP4239" s="38"/>
      <c r="AQ4239" s="38"/>
      <c r="AR4239" s="38"/>
      <c r="AS4239" s="38"/>
      <c r="AT4239" s="38"/>
      <c r="AU4239" s="38"/>
      <c r="AV4239" s="38"/>
      <c r="AW4239" s="38"/>
      <c r="AX4239" s="38"/>
      <c r="AY4239" s="38"/>
      <c r="AZ4239" s="38"/>
      <c r="BA4239" s="38"/>
      <c r="BB4239" s="38"/>
      <c r="BC4239" s="38"/>
      <c r="BD4239" s="38"/>
      <c r="BE4239" s="38"/>
      <c r="BF4239" s="38"/>
      <c r="BG4239" s="38"/>
      <c r="BH4239" s="38"/>
      <c r="BI4239" s="38"/>
      <c r="BJ4239" s="38"/>
      <c r="BK4239" s="38"/>
      <c r="BL4239" s="38"/>
      <c r="BM4239" s="38"/>
      <c r="BN4239" s="38"/>
      <c r="BO4239" s="38"/>
      <c r="BP4239" s="38"/>
      <c r="BQ4239" s="38"/>
    </row>
    <row r="4240">
      <c r="A4240" s="16"/>
      <c r="B4240" s="145"/>
      <c r="C4240" s="146"/>
      <c r="D4240" s="146"/>
      <c r="E4240" s="16"/>
      <c r="F4240" s="91"/>
      <c r="G4240" s="16"/>
      <c r="H4240" s="320" t="str">
        <f t="shared" si="424"/>
        <v/>
      </c>
      <c r="I4240" s="16"/>
      <c r="J4240" s="16"/>
      <c r="K4240" s="16"/>
      <c r="L4240" s="16"/>
      <c r="M4240" s="15"/>
      <c r="N4240" s="15"/>
      <c r="O4240" s="16"/>
      <c r="P4240" s="16"/>
      <c r="Q4240" s="16"/>
      <c r="R4240" s="16"/>
      <c r="S4240" s="37" t="str">
        <f>IFERROR(__xludf.DUMMYFUNCTION("if(not(iserror(index(split(C4240, "" ""),2))), index(split(C4240, "" ""),1),"""")"),"")</f>
        <v/>
      </c>
      <c r="T4240" s="315" t="str">
        <f>IFERROR(__xludf.DUMMYFUNCTION("if(S4240="""",C4240,if(not(iserror(index(split(C4240, "" ""),3))), index(split(C4240, "" ""),3),index(split(C4240, "" ""),2)))"),"")</f>
        <v/>
      </c>
      <c r="U4240" s="38" t="b">
        <f t="shared" si="423"/>
        <v>0</v>
      </c>
      <c r="V4240" s="38"/>
      <c r="W4240" s="40"/>
      <c r="X4240" s="40"/>
      <c r="Y4240" s="40"/>
      <c r="Z4240" s="38"/>
      <c r="AA4240" s="38"/>
      <c r="AB4240" s="38"/>
      <c r="AC4240" s="38"/>
      <c r="AD4240" s="38"/>
      <c r="AE4240" s="38"/>
      <c r="AF4240" s="38"/>
      <c r="AG4240" s="38"/>
      <c r="AH4240" s="38"/>
      <c r="AI4240" s="38"/>
      <c r="AJ4240" s="38"/>
      <c r="AK4240" s="38"/>
      <c r="AL4240" s="38"/>
      <c r="AM4240" s="38"/>
      <c r="AN4240" s="38"/>
      <c r="AO4240" s="38"/>
      <c r="AP4240" s="38"/>
      <c r="AQ4240" s="38"/>
      <c r="AR4240" s="38"/>
      <c r="AS4240" s="38"/>
      <c r="AT4240" s="38"/>
      <c r="AU4240" s="38"/>
      <c r="AV4240" s="38"/>
      <c r="AW4240" s="38"/>
      <c r="AX4240" s="38"/>
      <c r="AY4240" s="38"/>
      <c r="AZ4240" s="38"/>
      <c r="BA4240" s="38"/>
      <c r="BB4240" s="38"/>
      <c r="BC4240" s="38"/>
      <c r="BD4240" s="38"/>
      <c r="BE4240" s="38"/>
      <c r="BF4240" s="38"/>
      <c r="BG4240" s="38"/>
      <c r="BH4240" s="38"/>
      <c r="BI4240" s="38"/>
      <c r="BJ4240" s="38"/>
      <c r="BK4240" s="38"/>
      <c r="BL4240" s="38"/>
      <c r="BM4240" s="38"/>
      <c r="BN4240" s="38"/>
      <c r="BO4240" s="38"/>
      <c r="BP4240" s="38"/>
      <c r="BQ4240" s="38"/>
    </row>
    <row r="4241">
      <c r="A4241" s="16"/>
      <c r="B4241" s="145"/>
      <c r="C4241" s="146"/>
      <c r="D4241" s="146"/>
      <c r="E4241" s="16"/>
      <c r="F4241" s="91"/>
      <c r="G4241" s="16"/>
      <c r="H4241" s="320" t="str">
        <f t="shared" si="424"/>
        <v/>
      </c>
      <c r="I4241" s="16"/>
      <c r="J4241" s="16"/>
      <c r="K4241" s="16"/>
      <c r="L4241" s="16"/>
      <c r="M4241" s="15"/>
      <c r="N4241" s="15"/>
      <c r="O4241" s="16"/>
      <c r="P4241" s="16"/>
      <c r="Q4241" s="16"/>
      <c r="R4241" s="16"/>
      <c r="S4241" s="37" t="str">
        <f>IFERROR(__xludf.DUMMYFUNCTION("if(not(iserror(index(split(C4241, "" ""),2))), index(split(C4241, "" ""),1),"""")"),"")</f>
        <v/>
      </c>
      <c r="T4241" s="315" t="str">
        <f>IFERROR(__xludf.DUMMYFUNCTION("if(S4241="""",C4241,if(not(iserror(index(split(C4241, "" ""),3))), index(split(C4241, "" ""),3),index(split(C4241, "" ""),2)))"),"")</f>
        <v/>
      </c>
      <c r="U4241" s="38" t="b">
        <f t="shared" si="423"/>
        <v>0</v>
      </c>
      <c r="V4241" s="38"/>
      <c r="W4241" s="40"/>
      <c r="X4241" s="40"/>
      <c r="Y4241" s="40"/>
      <c r="Z4241" s="38"/>
      <c r="AA4241" s="38"/>
      <c r="AB4241" s="38"/>
      <c r="AC4241" s="38"/>
      <c r="AD4241" s="38"/>
      <c r="AE4241" s="38"/>
      <c r="AF4241" s="38"/>
      <c r="AG4241" s="38"/>
      <c r="AH4241" s="38"/>
      <c r="AI4241" s="38"/>
      <c r="AJ4241" s="38"/>
      <c r="AK4241" s="38"/>
      <c r="AL4241" s="38"/>
      <c r="AM4241" s="38"/>
      <c r="AN4241" s="38"/>
      <c r="AO4241" s="38"/>
      <c r="AP4241" s="38"/>
      <c r="AQ4241" s="38"/>
      <c r="AR4241" s="38"/>
      <c r="AS4241" s="38"/>
      <c r="AT4241" s="38"/>
      <c r="AU4241" s="38"/>
      <c r="AV4241" s="38"/>
      <c r="AW4241" s="38"/>
      <c r="AX4241" s="38"/>
      <c r="AY4241" s="38"/>
      <c r="AZ4241" s="38"/>
      <c r="BA4241" s="38"/>
      <c r="BB4241" s="38"/>
      <c r="BC4241" s="38"/>
      <c r="BD4241" s="38"/>
      <c r="BE4241" s="38"/>
      <c r="BF4241" s="38"/>
      <c r="BG4241" s="38"/>
      <c r="BH4241" s="38"/>
      <c r="BI4241" s="38"/>
      <c r="BJ4241" s="38"/>
      <c r="BK4241" s="38"/>
      <c r="BL4241" s="38"/>
      <c r="BM4241" s="38"/>
      <c r="BN4241" s="38"/>
      <c r="BO4241" s="38"/>
      <c r="BP4241" s="38"/>
      <c r="BQ4241" s="38"/>
    </row>
    <row r="4242">
      <c r="A4242" s="16"/>
      <c r="B4242" s="145"/>
      <c r="C4242" s="146"/>
      <c r="D4242" s="146"/>
      <c r="E4242" s="16"/>
      <c r="F4242" s="91"/>
      <c r="G4242" s="16"/>
      <c r="H4242" s="320" t="str">
        <f t="shared" si="424"/>
        <v/>
      </c>
      <c r="I4242" s="16"/>
      <c r="J4242" s="16"/>
      <c r="K4242" s="16"/>
      <c r="L4242" s="16"/>
      <c r="M4242" s="15"/>
      <c r="N4242" s="15"/>
      <c r="O4242" s="16"/>
      <c r="P4242" s="16"/>
      <c r="Q4242" s="16"/>
      <c r="R4242" s="16"/>
      <c r="S4242" s="37" t="str">
        <f>IFERROR(__xludf.DUMMYFUNCTION("if(not(iserror(index(split(C4242, "" ""),2))), index(split(C4242, "" ""),1),"""")"),"")</f>
        <v/>
      </c>
      <c r="T4242" s="315" t="str">
        <f>IFERROR(__xludf.DUMMYFUNCTION("if(S4242="""",C4242,if(not(iserror(index(split(C4242, "" ""),3))), index(split(C4242, "" ""),3),index(split(C4242, "" ""),2)))"),"")</f>
        <v/>
      </c>
      <c r="U4242" s="38" t="b">
        <f t="shared" si="423"/>
        <v>0</v>
      </c>
      <c r="V4242" s="38"/>
      <c r="W4242" s="40"/>
      <c r="X4242" s="40"/>
      <c r="Y4242" s="40"/>
      <c r="Z4242" s="38"/>
      <c r="AA4242" s="38"/>
      <c r="AB4242" s="38"/>
      <c r="AC4242" s="38"/>
      <c r="AD4242" s="38"/>
      <c r="AE4242" s="38"/>
      <c r="AF4242" s="38"/>
      <c r="AG4242" s="38"/>
      <c r="AH4242" s="38"/>
      <c r="AI4242" s="38"/>
      <c r="AJ4242" s="38"/>
      <c r="AK4242" s="38"/>
      <c r="AL4242" s="38"/>
      <c r="AM4242" s="38"/>
      <c r="AN4242" s="38"/>
      <c r="AO4242" s="38"/>
      <c r="AP4242" s="38"/>
      <c r="AQ4242" s="38"/>
      <c r="AR4242" s="38"/>
      <c r="AS4242" s="38"/>
      <c r="AT4242" s="38"/>
      <c r="AU4242" s="38"/>
      <c r="AV4242" s="38"/>
      <c r="AW4242" s="38"/>
      <c r="AX4242" s="38"/>
      <c r="AY4242" s="38"/>
      <c r="AZ4242" s="38"/>
      <c r="BA4242" s="38"/>
      <c r="BB4242" s="38"/>
      <c r="BC4242" s="38"/>
      <c r="BD4242" s="38"/>
      <c r="BE4242" s="38"/>
      <c r="BF4242" s="38"/>
      <c r="BG4242" s="38"/>
      <c r="BH4242" s="38"/>
      <c r="BI4242" s="38"/>
      <c r="BJ4242" s="38"/>
      <c r="BK4242" s="38"/>
      <c r="BL4242" s="38"/>
      <c r="BM4242" s="38"/>
      <c r="BN4242" s="38"/>
      <c r="BO4242" s="38"/>
      <c r="BP4242" s="38"/>
      <c r="BQ4242" s="38"/>
    </row>
    <row r="4243">
      <c r="A4243" s="16"/>
      <c r="B4243" s="145"/>
      <c r="C4243" s="146"/>
      <c r="D4243" s="146"/>
      <c r="E4243" s="16"/>
      <c r="F4243" s="91"/>
      <c r="G4243" s="16"/>
      <c r="H4243" s="320" t="str">
        <f t="shared" si="424"/>
        <v/>
      </c>
      <c r="I4243" s="16"/>
      <c r="J4243" s="16"/>
      <c r="K4243" s="16"/>
      <c r="L4243" s="16"/>
      <c r="M4243" s="15"/>
      <c r="N4243" s="15"/>
      <c r="O4243" s="16"/>
      <c r="P4243" s="16"/>
      <c r="Q4243" s="16"/>
      <c r="R4243" s="16"/>
      <c r="S4243" s="37" t="str">
        <f>IFERROR(__xludf.DUMMYFUNCTION("if(not(iserror(index(split(C4243, "" ""),2))), index(split(C4243, "" ""),1),"""")"),"")</f>
        <v/>
      </c>
      <c r="T4243" s="315" t="str">
        <f>IFERROR(__xludf.DUMMYFUNCTION("if(S4243="""",C4243,if(not(iserror(index(split(C4243, "" ""),3))), index(split(C4243, "" ""),3),index(split(C4243, "" ""),2)))"),"")</f>
        <v/>
      </c>
      <c r="U4243" s="38" t="b">
        <f t="shared" si="423"/>
        <v>0</v>
      </c>
      <c r="V4243" s="38"/>
      <c r="W4243" s="40"/>
      <c r="X4243" s="40"/>
      <c r="Y4243" s="40"/>
      <c r="Z4243" s="38"/>
      <c r="AA4243" s="38"/>
      <c r="AB4243" s="38"/>
      <c r="AC4243" s="38"/>
      <c r="AD4243" s="38"/>
      <c r="AE4243" s="38"/>
      <c r="AF4243" s="38"/>
      <c r="AG4243" s="38"/>
      <c r="AH4243" s="38"/>
      <c r="AI4243" s="38"/>
      <c r="AJ4243" s="38"/>
      <c r="AK4243" s="38"/>
      <c r="AL4243" s="38"/>
      <c r="AM4243" s="38"/>
      <c r="AN4243" s="38"/>
      <c r="AO4243" s="38"/>
      <c r="AP4243" s="38"/>
      <c r="AQ4243" s="38"/>
      <c r="AR4243" s="38"/>
      <c r="AS4243" s="38"/>
      <c r="AT4243" s="38"/>
      <c r="AU4243" s="38"/>
      <c r="AV4243" s="38"/>
      <c r="AW4243" s="38"/>
      <c r="AX4243" s="38"/>
      <c r="AY4243" s="38"/>
      <c r="AZ4243" s="38"/>
      <c r="BA4243" s="38"/>
      <c r="BB4243" s="38"/>
      <c r="BC4243" s="38"/>
      <c r="BD4243" s="38"/>
      <c r="BE4243" s="38"/>
      <c r="BF4243" s="38"/>
      <c r="BG4243" s="38"/>
      <c r="BH4243" s="38"/>
      <c r="BI4243" s="38"/>
      <c r="BJ4243" s="38"/>
      <c r="BK4243" s="38"/>
      <c r="BL4243" s="38"/>
      <c r="BM4243" s="38"/>
      <c r="BN4243" s="38"/>
      <c r="BO4243" s="38"/>
      <c r="BP4243" s="38"/>
      <c r="BQ4243" s="38"/>
    </row>
    <row r="4244">
      <c r="A4244" s="16"/>
      <c r="B4244" s="145"/>
      <c r="C4244" s="146"/>
      <c r="D4244" s="146"/>
      <c r="E4244" s="16"/>
      <c r="F4244" s="91"/>
      <c r="G4244" s="16"/>
      <c r="H4244" s="320" t="str">
        <f t="shared" si="424"/>
        <v/>
      </c>
      <c r="I4244" s="16"/>
      <c r="J4244" s="16"/>
      <c r="K4244" s="16"/>
      <c r="L4244" s="16"/>
      <c r="M4244" s="15"/>
      <c r="N4244" s="15"/>
      <c r="O4244" s="16"/>
      <c r="P4244" s="16"/>
      <c r="Q4244" s="16"/>
      <c r="R4244" s="16"/>
      <c r="S4244" s="37" t="str">
        <f>IFERROR(__xludf.DUMMYFUNCTION("if(not(iserror(index(split(C4244, "" ""),2))), index(split(C4244, "" ""),1),"""")"),"")</f>
        <v/>
      </c>
      <c r="T4244" s="315" t="str">
        <f>IFERROR(__xludf.DUMMYFUNCTION("if(S4244="""",C4244,if(not(iserror(index(split(C4244, "" ""),3))), index(split(C4244, "" ""),3),index(split(C4244, "" ""),2)))"),"")</f>
        <v/>
      </c>
      <c r="U4244" s="38" t="b">
        <f t="shared" si="423"/>
        <v>0</v>
      </c>
      <c r="V4244" s="38"/>
      <c r="W4244" s="40"/>
      <c r="X4244" s="40"/>
      <c r="Y4244" s="40"/>
      <c r="Z4244" s="38"/>
      <c r="AA4244" s="38"/>
      <c r="AB4244" s="38"/>
      <c r="AC4244" s="38"/>
      <c r="AD4244" s="38"/>
      <c r="AE4244" s="38"/>
      <c r="AF4244" s="38"/>
      <c r="AG4244" s="38"/>
      <c r="AH4244" s="38"/>
      <c r="AI4244" s="38"/>
      <c r="AJ4244" s="38"/>
      <c r="AK4244" s="38"/>
      <c r="AL4244" s="38"/>
      <c r="AM4244" s="38"/>
      <c r="AN4244" s="38"/>
      <c r="AO4244" s="38"/>
      <c r="AP4244" s="38"/>
      <c r="AQ4244" s="38"/>
      <c r="AR4244" s="38"/>
      <c r="AS4244" s="38"/>
      <c r="AT4244" s="38"/>
      <c r="AU4244" s="38"/>
      <c r="AV4244" s="38"/>
      <c r="AW4244" s="38"/>
      <c r="AX4244" s="38"/>
      <c r="AY4244" s="38"/>
      <c r="AZ4244" s="38"/>
      <c r="BA4244" s="38"/>
      <c r="BB4244" s="38"/>
      <c r="BC4244" s="38"/>
      <c r="BD4244" s="38"/>
      <c r="BE4244" s="38"/>
      <c r="BF4244" s="38"/>
      <c r="BG4244" s="38"/>
      <c r="BH4244" s="38"/>
      <c r="BI4244" s="38"/>
      <c r="BJ4244" s="38"/>
      <c r="BK4244" s="38"/>
      <c r="BL4244" s="38"/>
      <c r="BM4244" s="38"/>
      <c r="BN4244" s="38"/>
      <c r="BO4244" s="38"/>
      <c r="BP4244" s="38"/>
      <c r="BQ4244" s="38"/>
    </row>
    <row r="4245">
      <c r="A4245" s="16"/>
      <c r="B4245" s="145"/>
      <c r="C4245" s="146"/>
      <c r="D4245" s="146"/>
      <c r="E4245" s="16"/>
      <c r="F4245" s="91"/>
      <c r="G4245" s="16"/>
      <c r="H4245" s="320" t="str">
        <f t="shared" si="424"/>
        <v/>
      </c>
      <c r="I4245" s="16"/>
      <c r="J4245" s="16"/>
      <c r="K4245" s="16"/>
      <c r="L4245" s="16"/>
      <c r="M4245" s="15"/>
      <c r="N4245" s="15"/>
      <c r="O4245" s="16"/>
      <c r="P4245" s="16"/>
      <c r="Q4245" s="16"/>
      <c r="R4245" s="16"/>
      <c r="S4245" s="37" t="str">
        <f>IFERROR(__xludf.DUMMYFUNCTION("if(not(iserror(index(split(C4245, "" ""),2))), index(split(C4245, "" ""),1),"""")"),"")</f>
        <v/>
      </c>
      <c r="T4245" s="315" t="str">
        <f>IFERROR(__xludf.DUMMYFUNCTION("if(S4245="""",C4245,if(not(iserror(index(split(C4245, "" ""),3))), index(split(C4245, "" ""),3),index(split(C4245, "" ""),2)))"),"")</f>
        <v/>
      </c>
      <c r="U4245" s="38" t="b">
        <f t="shared" si="423"/>
        <v>0</v>
      </c>
      <c r="V4245" s="38"/>
      <c r="W4245" s="40"/>
      <c r="X4245" s="40"/>
      <c r="Y4245" s="40"/>
      <c r="Z4245" s="38"/>
      <c r="AA4245" s="38"/>
      <c r="AB4245" s="38"/>
      <c r="AC4245" s="38"/>
      <c r="AD4245" s="38"/>
      <c r="AE4245" s="38"/>
      <c r="AF4245" s="38"/>
      <c r="AG4245" s="38"/>
      <c r="AH4245" s="38"/>
      <c r="AI4245" s="38"/>
      <c r="AJ4245" s="38"/>
      <c r="AK4245" s="38"/>
      <c r="AL4245" s="38"/>
      <c r="AM4245" s="38"/>
      <c r="AN4245" s="38"/>
      <c r="AO4245" s="38"/>
      <c r="AP4245" s="38"/>
      <c r="AQ4245" s="38"/>
      <c r="AR4245" s="38"/>
      <c r="AS4245" s="38"/>
      <c r="AT4245" s="38"/>
      <c r="AU4245" s="38"/>
      <c r="AV4245" s="38"/>
      <c r="AW4245" s="38"/>
      <c r="AX4245" s="38"/>
      <c r="AY4245" s="38"/>
      <c r="AZ4245" s="38"/>
      <c r="BA4245" s="38"/>
      <c r="BB4245" s="38"/>
      <c r="BC4245" s="38"/>
      <c r="BD4245" s="38"/>
      <c r="BE4245" s="38"/>
      <c r="BF4245" s="38"/>
      <c r="BG4245" s="38"/>
      <c r="BH4245" s="38"/>
      <c r="BI4245" s="38"/>
      <c r="BJ4245" s="38"/>
      <c r="BK4245" s="38"/>
      <c r="BL4245" s="38"/>
      <c r="BM4245" s="38"/>
      <c r="BN4245" s="38"/>
      <c r="BO4245" s="38"/>
      <c r="BP4245" s="38"/>
      <c r="BQ4245" s="38"/>
    </row>
    <row r="4246">
      <c r="A4246" s="16"/>
      <c r="B4246" s="145"/>
      <c r="C4246" s="146"/>
      <c r="D4246" s="146"/>
      <c r="E4246" s="16"/>
      <c r="F4246" s="91"/>
      <c r="G4246" s="16"/>
      <c r="H4246" s="320" t="str">
        <f t="shared" si="424"/>
        <v/>
      </c>
      <c r="I4246" s="16"/>
      <c r="J4246" s="16"/>
      <c r="K4246" s="16"/>
      <c r="L4246" s="16"/>
      <c r="M4246" s="15"/>
      <c r="N4246" s="15"/>
      <c r="O4246" s="16"/>
      <c r="P4246" s="16"/>
      <c r="Q4246" s="16"/>
      <c r="R4246" s="16"/>
      <c r="S4246" s="37" t="str">
        <f>IFERROR(__xludf.DUMMYFUNCTION("if(not(iserror(index(split(C4246, "" ""),2))), index(split(C4246, "" ""),1),"""")"),"")</f>
        <v/>
      </c>
      <c r="T4246" s="315" t="str">
        <f>IFERROR(__xludf.DUMMYFUNCTION("if(S4246="""",C4246,if(not(iserror(index(split(C4246, "" ""),3))), index(split(C4246, "" ""),3),index(split(C4246, "" ""),2)))"),"")</f>
        <v/>
      </c>
      <c r="U4246" s="38" t="b">
        <f t="shared" si="423"/>
        <v>0</v>
      </c>
      <c r="V4246" s="38"/>
      <c r="W4246" s="40"/>
      <c r="X4246" s="40"/>
      <c r="Y4246" s="40"/>
      <c r="Z4246" s="38"/>
      <c r="AA4246" s="38"/>
      <c r="AB4246" s="38"/>
      <c r="AC4246" s="38"/>
      <c r="AD4246" s="38"/>
      <c r="AE4246" s="38"/>
      <c r="AF4246" s="38"/>
      <c r="AG4246" s="38"/>
      <c r="AH4246" s="38"/>
      <c r="AI4246" s="38"/>
      <c r="AJ4246" s="38"/>
      <c r="AK4246" s="38"/>
      <c r="AL4246" s="38"/>
      <c r="AM4246" s="38"/>
      <c r="AN4246" s="38"/>
      <c r="AO4246" s="38"/>
      <c r="AP4246" s="38"/>
      <c r="AQ4246" s="38"/>
      <c r="AR4246" s="38"/>
      <c r="AS4246" s="38"/>
      <c r="AT4246" s="38"/>
      <c r="AU4246" s="38"/>
      <c r="AV4246" s="38"/>
      <c r="AW4246" s="38"/>
      <c r="AX4246" s="38"/>
      <c r="AY4246" s="38"/>
      <c r="AZ4246" s="38"/>
      <c r="BA4246" s="38"/>
      <c r="BB4246" s="38"/>
      <c r="BC4246" s="38"/>
      <c r="BD4246" s="38"/>
      <c r="BE4246" s="38"/>
      <c r="BF4246" s="38"/>
      <c r="BG4246" s="38"/>
      <c r="BH4246" s="38"/>
      <c r="BI4246" s="38"/>
      <c r="BJ4246" s="38"/>
      <c r="BK4246" s="38"/>
      <c r="BL4246" s="38"/>
      <c r="BM4246" s="38"/>
      <c r="BN4246" s="38"/>
      <c r="BO4246" s="38"/>
      <c r="BP4246" s="38"/>
      <c r="BQ4246" s="38"/>
    </row>
    <row r="4247">
      <c r="A4247" s="16"/>
      <c r="B4247" s="145"/>
      <c r="C4247" s="146"/>
      <c r="D4247" s="146"/>
      <c r="E4247" s="16"/>
      <c r="F4247" s="91"/>
      <c r="G4247" s="16"/>
      <c r="H4247" s="320" t="str">
        <f t="shared" si="424"/>
        <v/>
      </c>
      <c r="I4247" s="16"/>
      <c r="J4247" s="16"/>
      <c r="K4247" s="16"/>
      <c r="L4247" s="16"/>
      <c r="M4247" s="15"/>
      <c r="N4247" s="15"/>
      <c r="O4247" s="16"/>
      <c r="P4247" s="16"/>
      <c r="Q4247" s="16"/>
      <c r="R4247" s="16"/>
      <c r="S4247" s="37" t="str">
        <f>IFERROR(__xludf.DUMMYFUNCTION("if(not(iserror(index(split(C4247, "" ""),2))), index(split(C4247, "" ""),1),"""")"),"")</f>
        <v/>
      </c>
      <c r="T4247" s="315" t="str">
        <f>IFERROR(__xludf.DUMMYFUNCTION("if(S4247="""",C4247,if(not(iserror(index(split(C4247, "" ""),3))), index(split(C4247, "" ""),3),index(split(C4247, "" ""),2)))"),"")</f>
        <v/>
      </c>
      <c r="U4247" s="38" t="b">
        <f t="shared" si="423"/>
        <v>0</v>
      </c>
      <c r="V4247" s="38"/>
      <c r="W4247" s="40"/>
      <c r="X4247" s="40"/>
      <c r="Y4247" s="40"/>
      <c r="Z4247" s="38"/>
      <c r="AA4247" s="38"/>
      <c r="AB4247" s="38"/>
      <c r="AC4247" s="38"/>
      <c r="AD4247" s="38"/>
      <c r="AE4247" s="38"/>
      <c r="AF4247" s="38"/>
      <c r="AG4247" s="38"/>
      <c r="AH4247" s="38"/>
      <c r="AI4247" s="38"/>
      <c r="AJ4247" s="38"/>
      <c r="AK4247" s="38"/>
      <c r="AL4247" s="38"/>
      <c r="AM4247" s="38"/>
      <c r="AN4247" s="38"/>
      <c r="AO4247" s="38"/>
      <c r="AP4247" s="38"/>
      <c r="AQ4247" s="38"/>
      <c r="AR4247" s="38"/>
      <c r="AS4247" s="38"/>
      <c r="AT4247" s="38"/>
      <c r="AU4247" s="38"/>
      <c r="AV4247" s="38"/>
      <c r="AW4247" s="38"/>
      <c r="AX4247" s="38"/>
      <c r="AY4247" s="38"/>
      <c r="AZ4247" s="38"/>
      <c r="BA4247" s="38"/>
      <c r="BB4247" s="38"/>
      <c r="BC4247" s="38"/>
      <c r="BD4247" s="38"/>
      <c r="BE4247" s="38"/>
      <c r="BF4247" s="38"/>
      <c r="BG4247" s="38"/>
      <c r="BH4247" s="38"/>
      <c r="BI4247" s="38"/>
      <c r="BJ4247" s="38"/>
      <c r="BK4247" s="38"/>
      <c r="BL4247" s="38"/>
      <c r="BM4247" s="38"/>
      <c r="BN4247" s="38"/>
      <c r="BO4247" s="38"/>
      <c r="BP4247" s="38"/>
      <c r="BQ4247" s="38"/>
    </row>
    <row r="4248">
      <c r="A4248" s="16"/>
      <c r="B4248" s="145"/>
      <c r="C4248" s="146"/>
      <c r="D4248" s="146"/>
      <c r="E4248" s="16"/>
      <c r="F4248" s="91"/>
      <c r="G4248" s="16"/>
      <c r="H4248" s="320" t="str">
        <f t="shared" si="424"/>
        <v/>
      </c>
      <c r="I4248" s="16"/>
      <c r="J4248" s="16"/>
      <c r="K4248" s="16"/>
      <c r="L4248" s="16"/>
      <c r="M4248" s="15"/>
      <c r="N4248" s="15"/>
      <c r="O4248" s="16"/>
      <c r="P4248" s="16"/>
      <c r="Q4248" s="16"/>
      <c r="R4248" s="16"/>
      <c r="S4248" s="37" t="str">
        <f>IFERROR(__xludf.DUMMYFUNCTION("if(not(iserror(index(split(C4248, "" ""),2))), index(split(C4248, "" ""),1),"""")"),"")</f>
        <v/>
      </c>
      <c r="T4248" s="315" t="str">
        <f>IFERROR(__xludf.DUMMYFUNCTION("if(S4248="""",C4248,if(not(iserror(index(split(C4248, "" ""),3))), index(split(C4248, "" ""),3),index(split(C4248, "" ""),2)))"),"")</f>
        <v/>
      </c>
      <c r="U4248" s="38" t="b">
        <f t="shared" si="423"/>
        <v>0</v>
      </c>
      <c r="V4248" s="38"/>
      <c r="W4248" s="40"/>
      <c r="X4248" s="40"/>
      <c r="Y4248" s="40"/>
      <c r="Z4248" s="38"/>
      <c r="AA4248" s="38"/>
      <c r="AB4248" s="38"/>
      <c r="AC4248" s="38"/>
      <c r="AD4248" s="38"/>
      <c r="AE4248" s="38"/>
      <c r="AF4248" s="38"/>
      <c r="AG4248" s="38"/>
      <c r="AH4248" s="38"/>
      <c r="AI4248" s="38"/>
      <c r="AJ4248" s="38"/>
      <c r="AK4248" s="38"/>
      <c r="AL4248" s="38"/>
      <c r="AM4248" s="38"/>
      <c r="AN4248" s="38"/>
      <c r="AO4248" s="38"/>
      <c r="AP4248" s="38"/>
      <c r="AQ4248" s="38"/>
      <c r="AR4248" s="38"/>
      <c r="AS4248" s="38"/>
      <c r="AT4248" s="38"/>
      <c r="AU4248" s="38"/>
      <c r="AV4248" s="38"/>
      <c r="AW4248" s="38"/>
      <c r="AX4248" s="38"/>
      <c r="AY4248" s="38"/>
      <c r="AZ4248" s="38"/>
      <c r="BA4248" s="38"/>
      <c r="BB4248" s="38"/>
      <c r="BC4248" s="38"/>
      <c r="BD4248" s="38"/>
      <c r="BE4248" s="38"/>
      <c r="BF4248" s="38"/>
      <c r="BG4248" s="38"/>
      <c r="BH4248" s="38"/>
      <c r="BI4248" s="38"/>
      <c r="BJ4248" s="38"/>
      <c r="BK4248" s="38"/>
      <c r="BL4248" s="38"/>
      <c r="BM4248" s="38"/>
      <c r="BN4248" s="38"/>
      <c r="BO4248" s="38"/>
      <c r="BP4248" s="38"/>
      <c r="BQ4248" s="38"/>
    </row>
    <row r="4249">
      <c r="A4249" s="16"/>
      <c r="B4249" s="145"/>
      <c r="C4249" s="146"/>
      <c r="D4249" s="146"/>
      <c r="E4249" s="16"/>
      <c r="F4249" s="91"/>
      <c r="G4249" s="16"/>
      <c r="H4249" s="320" t="str">
        <f t="shared" si="424"/>
        <v/>
      </c>
      <c r="I4249" s="16"/>
      <c r="J4249" s="16"/>
      <c r="K4249" s="16"/>
      <c r="L4249" s="16"/>
      <c r="M4249" s="15"/>
      <c r="N4249" s="15"/>
      <c r="O4249" s="16"/>
      <c r="P4249" s="16"/>
      <c r="Q4249" s="16"/>
      <c r="R4249" s="16"/>
      <c r="S4249" s="37" t="str">
        <f>IFERROR(__xludf.DUMMYFUNCTION("if(not(iserror(index(split(C4249, "" ""),2))), index(split(C4249, "" ""),1),"""")"),"")</f>
        <v/>
      </c>
      <c r="T4249" s="315" t="str">
        <f>IFERROR(__xludf.DUMMYFUNCTION("if(S4249="""",C4249,if(not(iserror(index(split(C4249, "" ""),3))), index(split(C4249, "" ""),3),index(split(C4249, "" ""),2)))"),"")</f>
        <v/>
      </c>
      <c r="U4249" s="38" t="b">
        <f t="shared" si="423"/>
        <v>0</v>
      </c>
      <c r="V4249" s="38"/>
      <c r="W4249" s="40"/>
      <c r="X4249" s="40"/>
      <c r="Y4249" s="40"/>
      <c r="Z4249" s="38"/>
      <c r="AA4249" s="38"/>
      <c r="AB4249" s="38"/>
      <c r="AC4249" s="38"/>
      <c r="AD4249" s="38"/>
      <c r="AE4249" s="38"/>
      <c r="AF4249" s="38"/>
      <c r="AG4249" s="38"/>
      <c r="AH4249" s="38"/>
      <c r="AI4249" s="38"/>
      <c r="AJ4249" s="38"/>
      <c r="AK4249" s="38"/>
      <c r="AL4249" s="38"/>
      <c r="AM4249" s="38"/>
      <c r="AN4249" s="38"/>
      <c r="AO4249" s="38"/>
      <c r="AP4249" s="38"/>
      <c r="AQ4249" s="38"/>
      <c r="AR4249" s="38"/>
      <c r="AS4249" s="38"/>
      <c r="AT4249" s="38"/>
      <c r="AU4249" s="38"/>
      <c r="AV4249" s="38"/>
      <c r="AW4249" s="38"/>
      <c r="AX4249" s="38"/>
      <c r="AY4249" s="38"/>
      <c r="AZ4249" s="38"/>
      <c r="BA4249" s="38"/>
      <c r="BB4249" s="38"/>
      <c r="BC4249" s="38"/>
      <c r="BD4249" s="38"/>
      <c r="BE4249" s="38"/>
      <c r="BF4249" s="38"/>
      <c r="BG4249" s="38"/>
      <c r="BH4249" s="38"/>
      <c r="BI4249" s="38"/>
      <c r="BJ4249" s="38"/>
      <c r="BK4249" s="38"/>
      <c r="BL4249" s="38"/>
      <c r="BM4249" s="38"/>
      <c r="BN4249" s="38"/>
      <c r="BO4249" s="38"/>
      <c r="BP4249" s="38"/>
      <c r="BQ4249" s="38"/>
    </row>
    <row r="4250">
      <c r="A4250" s="16"/>
      <c r="B4250" s="145"/>
      <c r="C4250" s="146"/>
      <c r="D4250" s="146"/>
      <c r="E4250" s="16"/>
      <c r="F4250" s="91"/>
      <c r="G4250" s="16"/>
      <c r="H4250" s="320" t="str">
        <f t="shared" si="424"/>
        <v/>
      </c>
      <c r="I4250" s="16"/>
      <c r="J4250" s="16"/>
      <c r="K4250" s="16"/>
      <c r="L4250" s="16"/>
      <c r="M4250" s="15"/>
      <c r="N4250" s="15"/>
      <c r="O4250" s="16"/>
      <c r="P4250" s="16"/>
      <c r="Q4250" s="16"/>
      <c r="R4250" s="16"/>
      <c r="S4250" s="37" t="str">
        <f>IFERROR(__xludf.DUMMYFUNCTION("if(not(iserror(index(split(C4250, "" ""),2))), index(split(C4250, "" ""),1),"""")"),"")</f>
        <v/>
      </c>
      <c r="T4250" s="315" t="str">
        <f>IFERROR(__xludf.DUMMYFUNCTION("if(S4250="""",C4250,if(not(iserror(index(split(C4250, "" ""),3))), index(split(C4250, "" ""),3),index(split(C4250, "" ""),2)))"),"")</f>
        <v/>
      </c>
      <c r="U4250" s="38" t="b">
        <f t="shared" si="423"/>
        <v>0</v>
      </c>
      <c r="V4250" s="38"/>
      <c r="W4250" s="40"/>
      <c r="X4250" s="40"/>
      <c r="Y4250" s="40"/>
      <c r="Z4250" s="38"/>
      <c r="AA4250" s="38"/>
      <c r="AB4250" s="38"/>
      <c r="AC4250" s="38"/>
      <c r="AD4250" s="38"/>
      <c r="AE4250" s="38"/>
      <c r="AF4250" s="38"/>
      <c r="AG4250" s="38"/>
      <c r="AH4250" s="38"/>
      <c r="AI4250" s="38"/>
      <c r="AJ4250" s="38"/>
      <c r="AK4250" s="38"/>
      <c r="AL4250" s="38"/>
      <c r="AM4250" s="38"/>
      <c r="AN4250" s="38"/>
      <c r="AO4250" s="38"/>
      <c r="AP4250" s="38"/>
      <c r="AQ4250" s="38"/>
      <c r="AR4250" s="38"/>
      <c r="AS4250" s="38"/>
      <c r="AT4250" s="38"/>
      <c r="AU4250" s="38"/>
      <c r="AV4250" s="38"/>
      <c r="AW4250" s="38"/>
      <c r="AX4250" s="38"/>
      <c r="AY4250" s="38"/>
      <c r="AZ4250" s="38"/>
      <c r="BA4250" s="38"/>
      <c r="BB4250" s="38"/>
      <c r="BC4250" s="38"/>
      <c r="BD4250" s="38"/>
      <c r="BE4250" s="38"/>
      <c r="BF4250" s="38"/>
      <c r="BG4250" s="38"/>
      <c r="BH4250" s="38"/>
      <c r="BI4250" s="38"/>
      <c r="BJ4250" s="38"/>
      <c r="BK4250" s="38"/>
      <c r="BL4250" s="38"/>
      <c r="BM4250" s="38"/>
      <c r="BN4250" s="38"/>
      <c r="BO4250" s="38"/>
      <c r="BP4250" s="38"/>
      <c r="BQ4250" s="38"/>
    </row>
    <row r="4251">
      <c r="A4251" s="16"/>
      <c r="B4251" s="145"/>
      <c r="C4251" s="146"/>
      <c r="D4251" s="146"/>
      <c r="E4251" s="16"/>
      <c r="F4251" s="91"/>
      <c r="G4251" s="16"/>
      <c r="H4251" s="320" t="str">
        <f t="shared" si="424"/>
        <v/>
      </c>
      <c r="I4251" s="16"/>
      <c r="J4251" s="16"/>
      <c r="K4251" s="16"/>
      <c r="L4251" s="16"/>
      <c r="M4251" s="15"/>
      <c r="N4251" s="15"/>
      <c r="O4251" s="16"/>
      <c r="P4251" s="16"/>
      <c r="Q4251" s="16"/>
      <c r="R4251" s="16"/>
      <c r="S4251" s="37" t="str">
        <f>IFERROR(__xludf.DUMMYFUNCTION("if(not(iserror(index(split(C4251, "" ""),2))), index(split(C4251, "" ""),1),"""")"),"")</f>
        <v/>
      </c>
      <c r="T4251" s="315" t="str">
        <f>IFERROR(__xludf.DUMMYFUNCTION("if(S4251="""",C4251,if(not(iserror(index(split(C4251, "" ""),3))), index(split(C4251, "" ""),3),index(split(C4251, "" ""),2)))"),"")</f>
        <v/>
      </c>
      <c r="U4251" s="38" t="b">
        <f t="shared" si="423"/>
        <v>0</v>
      </c>
      <c r="V4251" s="38"/>
      <c r="W4251" s="40"/>
      <c r="X4251" s="40"/>
      <c r="Y4251" s="40"/>
      <c r="Z4251" s="38"/>
      <c r="AA4251" s="38"/>
      <c r="AB4251" s="38"/>
      <c r="AC4251" s="38"/>
      <c r="AD4251" s="38"/>
      <c r="AE4251" s="38"/>
      <c r="AF4251" s="38"/>
      <c r="AG4251" s="38"/>
      <c r="AH4251" s="38"/>
      <c r="AI4251" s="38"/>
      <c r="AJ4251" s="38"/>
      <c r="AK4251" s="38"/>
      <c r="AL4251" s="38"/>
      <c r="AM4251" s="38"/>
      <c r="AN4251" s="38"/>
      <c r="AO4251" s="38"/>
      <c r="AP4251" s="38"/>
      <c r="AQ4251" s="38"/>
      <c r="AR4251" s="38"/>
      <c r="AS4251" s="38"/>
      <c r="AT4251" s="38"/>
      <c r="AU4251" s="38"/>
      <c r="AV4251" s="38"/>
      <c r="AW4251" s="38"/>
      <c r="AX4251" s="38"/>
      <c r="AY4251" s="38"/>
      <c r="AZ4251" s="38"/>
      <c r="BA4251" s="38"/>
      <c r="BB4251" s="38"/>
      <c r="BC4251" s="38"/>
      <c r="BD4251" s="38"/>
      <c r="BE4251" s="38"/>
      <c r="BF4251" s="38"/>
      <c r="BG4251" s="38"/>
      <c r="BH4251" s="38"/>
      <c r="BI4251" s="38"/>
      <c r="BJ4251" s="38"/>
      <c r="BK4251" s="38"/>
      <c r="BL4251" s="38"/>
      <c r="BM4251" s="38"/>
      <c r="BN4251" s="38"/>
      <c r="BO4251" s="38"/>
      <c r="BP4251" s="38"/>
      <c r="BQ4251" s="38"/>
    </row>
    <row r="4252">
      <c r="A4252" s="16"/>
      <c r="B4252" s="145"/>
      <c r="C4252" s="146"/>
      <c r="D4252" s="146"/>
      <c r="E4252" s="16"/>
      <c r="F4252" s="91"/>
      <c r="G4252" s="16"/>
      <c r="H4252" s="320" t="str">
        <f t="shared" si="424"/>
        <v/>
      </c>
      <c r="I4252" s="16"/>
      <c r="J4252" s="16"/>
      <c r="K4252" s="16"/>
      <c r="L4252" s="16"/>
      <c r="M4252" s="15"/>
      <c r="N4252" s="15"/>
      <c r="O4252" s="16"/>
      <c r="P4252" s="16"/>
      <c r="Q4252" s="16"/>
      <c r="R4252" s="16"/>
      <c r="S4252" s="37" t="str">
        <f>IFERROR(__xludf.DUMMYFUNCTION("if(not(iserror(index(split(C4252, "" ""),2))), index(split(C4252, "" ""),1),"""")"),"")</f>
        <v/>
      </c>
      <c r="T4252" s="315" t="str">
        <f>IFERROR(__xludf.DUMMYFUNCTION("if(S4252="""",C4252,if(not(iserror(index(split(C4252, "" ""),3))), index(split(C4252, "" ""),3),index(split(C4252, "" ""),2)))"),"")</f>
        <v/>
      </c>
      <c r="U4252" s="38" t="b">
        <f t="shared" si="423"/>
        <v>0</v>
      </c>
      <c r="V4252" s="38"/>
      <c r="W4252" s="40"/>
      <c r="X4252" s="40"/>
      <c r="Y4252" s="40"/>
      <c r="Z4252" s="38"/>
      <c r="AA4252" s="38"/>
      <c r="AB4252" s="38"/>
      <c r="AC4252" s="38"/>
      <c r="AD4252" s="38"/>
      <c r="AE4252" s="38"/>
      <c r="AF4252" s="38"/>
      <c r="AG4252" s="38"/>
      <c r="AH4252" s="38"/>
      <c r="AI4252" s="38"/>
      <c r="AJ4252" s="38"/>
      <c r="AK4252" s="38"/>
      <c r="AL4252" s="38"/>
      <c r="AM4252" s="38"/>
      <c r="AN4252" s="38"/>
      <c r="AO4252" s="38"/>
      <c r="AP4252" s="38"/>
      <c r="AQ4252" s="38"/>
      <c r="AR4252" s="38"/>
      <c r="AS4252" s="38"/>
      <c r="AT4252" s="38"/>
      <c r="AU4252" s="38"/>
      <c r="AV4252" s="38"/>
      <c r="AW4252" s="38"/>
      <c r="AX4252" s="38"/>
      <c r="AY4252" s="38"/>
      <c r="AZ4252" s="38"/>
      <c r="BA4252" s="38"/>
      <c r="BB4252" s="38"/>
      <c r="BC4252" s="38"/>
      <c r="BD4252" s="38"/>
      <c r="BE4252" s="38"/>
      <c r="BF4252" s="38"/>
      <c r="BG4252" s="38"/>
      <c r="BH4252" s="38"/>
      <c r="BI4252" s="38"/>
      <c r="BJ4252" s="38"/>
      <c r="BK4252" s="38"/>
      <c r="BL4252" s="38"/>
      <c r="BM4252" s="38"/>
      <c r="BN4252" s="38"/>
      <c r="BO4252" s="38"/>
      <c r="BP4252" s="38"/>
      <c r="BQ4252" s="38"/>
    </row>
    <row r="4253">
      <c r="A4253" s="16"/>
      <c r="B4253" s="145"/>
      <c r="C4253" s="146"/>
      <c r="D4253" s="146"/>
      <c r="E4253" s="16"/>
      <c r="F4253" s="91"/>
      <c r="G4253" s="16"/>
      <c r="H4253" s="320" t="str">
        <f t="shared" si="424"/>
        <v/>
      </c>
      <c r="I4253" s="16"/>
      <c r="J4253" s="16"/>
      <c r="K4253" s="16"/>
      <c r="L4253" s="16"/>
      <c r="M4253" s="15"/>
      <c r="N4253" s="15"/>
      <c r="O4253" s="16"/>
      <c r="P4253" s="16"/>
      <c r="Q4253" s="16"/>
      <c r="R4253" s="16"/>
      <c r="S4253" s="37" t="str">
        <f>IFERROR(__xludf.DUMMYFUNCTION("if(not(iserror(index(split(C4253, "" ""),2))), index(split(C4253, "" ""),1),"""")"),"")</f>
        <v/>
      </c>
      <c r="T4253" s="315" t="str">
        <f>IFERROR(__xludf.DUMMYFUNCTION("if(S4253="""",C4253,if(not(iserror(index(split(C4253, "" ""),3))), index(split(C4253, "" ""),3),index(split(C4253, "" ""),2)))"),"")</f>
        <v/>
      </c>
      <c r="U4253" s="38" t="b">
        <f t="shared" si="423"/>
        <v>0</v>
      </c>
      <c r="V4253" s="38"/>
      <c r="W4253" s="40"/>
      <c r="X4253" s="40"/>
      <c r="Y4253" s="40"/>
      <c r="Z4253" s="38"/>
      <c r="AA4253" s="38"/>
      <c r="AB4253" s="38"/>
      <c r="AC4253" s="38"/>
      <c r="AD4253" s="38"/>
      <c r="AE4253" s="38"/>
      <c r="AF4253" s="38"/>
      <c r="AG4253" s="38"/>
      <c r="AH4253" s="38"/>
      <c r="AI4253" s="38"/>
      <c r="AJ4253" s="38"/>
      <c r="AK4253" s="38"/>
      <c r="AL4253" s="38"/>
      <c r="AM4253" s="38"/>
      <c r="AN4253" s="38"/>
      <c r="AO4253" s="38"/>
      <c r="AP4253" s="38"/>
      <c r="AQ4253" s="38"/>
      <c r="AR4253" s="38"/>
      <c r="AS4253" s="38"/>
      <c r="AT4253" s="38"/>
      <c r="AU4253" s="38"/>
      <c r="AV4253" s="38"/>
      <c r="AW4253" s="38"/>
      <c r="AX4253" s="38"/>
      <c r="AY4253" s="38"/>
      <c r="AZ4253" s="38"/>
      <c r="BA4253" s="38"/>
      <c r="BB4253" s="38"/>
      <c r="BC4253" s="38"/>
      <c r="BD4253" s="38"/>
      <c r="BE4253" s="38"/>
      <c r="BF4253" s="38"/>
      <c r="BG4253" s="38"/>
      <c r="BH4253" s="38"/>
      <c r="BI4253" s="38"/>
      <c r="BJ4253" s="38"/>
      <c r="BK4253" s="38"/>
      <c r="BL4253" s="38"/>
      <c r="BM4253" s="38"/>
      <c r="BN4253" s="38"/>
      <c r="BO4253" s="38"/>
      <c r="BP4253" s="38"/>
      <c r="BQ4253" s="38"/>
    </row>
    <row r="4254">
      <c r="A4254" s="16"/>
      <c r="B4254" s="145"/>
      <c r="C4254" s="146"/>
      <c r="D4254" s="146"/>
      <c r="E4254" s="16"/>
      <c r="F4254" s="91"/>
      <c r="G4254" s="16"/>
      <c r="H4254" s="320" t="str">
        <f t="shared" si="424"/>
        <v/>
      </c>
      <c r="I4254" s="16"/>
      <c r="J4254" s="16"/>
      <c r="K4254" s="16"/>
      <c r="L4254" s="16"/>
      <c r="M4254" s="15"/>
      <c r="N4254" s="15"/>
      <c r="O4254" s="16"/>
      <c r="P4254" s="16"/>
      <c r="Q4254" s="16"/>
      <c r="R4254" s="16"/>
      <c r="S4254" s="37" t="str">
        <f>IFERROR(__xludf.DUMMYFUNCTION("if(not(iserror(index(split(C4254, "" ""),2))), index(split(C4254, "" ""),1),"""")"),"")</f>
        <v/>
      </c>
      <c r="T4254" s="315" t="str">
        <f>IFERROR(__xludf.DUMMYFUNCTION("if(S4254="""",C4254,if(not(iserror(index(split(C4254, "" ""),3))), index(split(C4254, "" ""),3),index(split(C4254, "" ""),2)))"),"")</f>
        <v/>
      </c>
      <c r="U4254" s="38" t="b">
        <f t="shared" si="423"/>
        <v>0</v>
      </c>
      <c r="V4254" s="38"/>
      <c r="W4254" s="40"/>
      <c r="X4254" s="40"/>
      <c r="Y4254" s="40"/>
      <c r="Z4254" s="38"/>
      <c r="AA4254" s="38"/>
      <c r="AB4254" s="38"/>
      <c r="AC4254" s="38"/>
      <c r="AD4254" s="38"/>
      <c r="AE4254" s="38"/>
      <c r="AF4254" s="38"/>
      <c r="AG4254" s="38"/>
      <c r="AH4254" s="38"/>
      <c r="AI4254" s="38"/>
      <c r="AJ4254" s="38"/>
      <c r="AK4254" s="38"/>
      <c r="AL4254" s="38"/>
      <c r="AM4254" s="38"/>
      <c r="AN4254" s="38"/>
      <c r="AO4254" s="38"/>
      <c r="AP4254" s="38"/>
      <c r="AQ4254" s="38"/>
      <c r="AR4254" s="38"/>
      <c r="AS4254" s="38"/>
      <c r="AT4254" s="38"/>
      <c r="AU4254" s="38"/>
      <c r="AV4254" s="38"/>
      <c r="AW4254" s="38"/>
      <c r="AX4254" s="38"/>
      <c r="AY4254" s="38"/>
      <c r="AZ4254" s="38"/>
      <c r="BA4254" s="38"/>
      <c r="BB4254" s="38"/>
      <c r="BC4254" s="38"/>
      <c r="BD4254" s="38"/>
      <c r="BE4254" s="38"/>
      <c r="BF4254" s="38"/>
      <c r="BG4254" s="38"/>
      <c r="BH4254" s="38"/>
      <c r="BI4254" s="38"/>
      <c r="BJ4254" s="38"/>
      <c r="BK4254" s="38"/>
      <c r="BL4254" s="38"/>
      <c r="BM4254" s="38"/>
      <c r="BN4254" s="38"/>
      <c r="BO4254" s="38"/>
      <c r="BP4254" s="38"/>
      <c r="BQ4254" s="38"/>
    </row>
    <row r="4255">
      <c r="A4255" s="16"/>
      <c r="B4255" s="145"/>
      <c r="C4255" s="146"/>
      <c r="D4255" s="146"/>
      <c r="E4255" s="16"/>
      <c r="F4255" s="91"/>
      <c r="G4255" s="16"/>
      <c r="H4255" s="320" t="str">
        <f t="shared" si="424"/>
        <v/>
      </c>
      <c r="I4255" s="16"/>
      <c r="J4255" s="16"/>
      <c r="K4255" s="16"/>
      <c r="L4255" s="16"/>
      <c r="M4255" s="15"/>
      <c r="N4255" s="15"/>
      <c r="O4255" s="16"/>
      <c r="P4255" s="16"/>
      <c r="Q4255" s="16"/>
      <c r="R4255" s="16"/>
      <c r="S4255" s="37" t="str">
        <f>IFERROR(__xludf.DUMMYFUNCTION("if(not(iserror(index(split(C4255, "" ""),2))), index(split(C4255, "" ""),1),"""")"),"")</f>
        <v/>
      </c>
      <c r="T4255" s="315" t="str">
        <f>IFERROR(__xludf.DUMMYFUNCTION("if(S4255="""",C4255,if(not(iserror(index(split(C4255, "" ""),3))), index(split(C4255, "" ""),3),index(split(C4255, "" ""),2)))"),"")</f>
        <v/>
      </c>
      <c r="U4255" s="38" t="b">
        <f t="shared" si="423"/>
        <v>0</v>
      </c>
      <c r="V4255" s="38"/>
      <c r="W4255" s="40"/>
      <c r="X4255" s="40"/>
      <c r="Y4255" s="40"/>
      <c r="Z4255" s="38"/>
      <c r="AA4255" s="38"/>
      <c r="AB4255" s="38"/>
      <c r="AC4255" s="38"/>
      <c r="AD4255" s="38"/>
      <c r="AE4255" s="38"/>
      <c r="AF4255" s="38"/>
      <c r="AG4255" s="38"/>
      <c r="AH4255" s="38"/>
      <c r="AI4255" s="38"/>
      <c r="AJ4255" s="38"/>
      <c r="AK4255" s="38"/>
      <c r="AL4255" s="38"/>
      <c r="AM4255" s="38"/>
      <c r="AN4255" s="38"/>
      <c r="AO4255" s="38"/>
      <c r="AP4255" s="38"/>
      <c r="AQ4255" s="38"/>
      <c r="AR4255" s="38"/>
      <c r="AS4255" s="38"/>
      <c r="AT4255" s="38"/>
      <c r="AU4255" s="38"/>
      <c r="AV4255" s="38"/>
      <c r="AW4255" s="38"/>
      <c r="AX4255" s="38"/>
      <c r="AY4255" s="38"/>
      <c r="AZ4255" s="38"/>
      <c r="BA4255" s="38"/>
      <c r="BB4255" s="38"/>
      <c r="BC4255" s="38"/>
      <c r="BD4255" s="38"/>
      <c r="BE4255" s="38"/>
      <c r="BF4255" s="38"/>
      <c r="BG4255" s="38"/>
      <c r="BH4255" s="38"/>
      <c r="BI4255" s="38"/>
      <c r="BJ4255" s="38"/>
      <c r="BK4255" s="38"/>
      <c r="BL4255" s="38"/>
      <c r="BM4255" s="38"/>
      <c r="BN4255" s="38"/>
      <c r="BO4255" s="38"/>
      <c r="BP4255" s="38"/>
      <c r="BQ4255" s="38"/>
    </row>
    <row r="4256">
      <c r="A4256" s="16"/>
      <c r="B4256" s="145"/>
      <c r="C4256" s="146"/>
      <c r="D4256" s="146"/>
      <c r="E4256" s="16"/>
      <c r="F4256" s="91"/>
      <c r="G4256" s="16"/>
      <c r="H4256" s="320" t="str">
        <f t="shared" si="424"/>
        <v/>
      </c>
      <c r="I4256" s="16"/>
      <c r="J4256" s="16"/>
      <c r="K4256" s="16"/>
      <c r="L4256" s="16"/>
      <c r="M4256" s="15"/>
      <c r="N4256" s="15"/>
      <c r="O4256" s="16"/>
      <c r="P4256" s="16"/>
      <c r="Q4256" s="16"/>
      <c r="R4256" s="16"/>
      <c r="S4256" s="37" t="str">
        <f>IFERROR(__xludf.DUMMYFUNCTION("if(not(iserror(index(split(C4256, "" ""),2))), index(split(C4256, "" ""),1),"""")"),"")</f>
        <v/>
      </c>
      <c r="T4256" s="315" t="str">
        <f>IFERROR(__xludf.DUMMYFUNCTION("if(S4256="""",C4256,if(not(iserror(index(split(C4256, "" ""),3))), index(split(C4256, "" ""),3),index(split(C4256, "" ""),2)))"),"")</f>
        <v/>
      </c>
      <c r="U4256" s="38" t="b">
        <f t="shared" si="423"/>
        <v>0</v>
      </c>
      <c r="V4256" s="38"/>
      <c r="W4256" s="40"/>
      <c r="X4256" s="40"/>
      <c r="Y4256" s="40"/>
      <c r="Z4256" s="38"/>
      <c r="AA4256" s="38"/>
      <c r="AB4256" s="38"/>
      <c r="AC4256" s="38"/>
      <c r="AD4256" s="38"/>
      <c r="AE4256" s="38"/>
      <c r="AF4256" s="38"/>
      <c r="AG4256" s="38"/>
      <c r="AH4256" s="38"/>
      <c r="AI4256" s="38"/>
      <c r="AJ4256" s="38"/>
      <c r="AK4256" s="38"/>
      <c r="AL4256" s="38"/>
      <c r="AM4256" s="38"/>
      <c r="AN4256" s="38"/>
      <c r="AO4256" s="38"/>
      <c r="AP4256" s="38"/>
      <c r="AQ4256" s="38"/>
      <c r="AR4256" s="38"/>
      <c r="AS4256" s="38"/>
      <c r="AT4256" s="38"/>
      <c r="AU4256" s="38"/>
      <c r="AV4256" s="38"/>
      <c r="AW4256" s="38"/>
      <c r="AX4256" s="38"/>
      <c r="AY4256" s="38"/>
      <c r="AZ4256" s="38"/>
      <c r="BA4256" s="38"/>
      <c r="BB4256" s="38"/>
      <c r="BC4256" s="38"/>
      <c r="BD4256" s="38"/>
      <c r="BE4256" s="38"/>
      <c r="BF4256" s="38"/>
      <c r="BG4256" s="38"/>
      <c r="BH4256" s="38"/>
      <c r="BI4256" s="38"/>
      <c r="BJ4256" s="38"/>
      <c r="BK4256" s="38"/>
      <c r="BL4256" s="38"/>
      <c r="BM4256" s="38"/>
      <c r="BN4256" s="38"/>
      <c r="BO4256" s="38"/>
      <c r="BP4256" s="38"/>
      <c r="BQ4256" s="38"/>
    </row>
    <row r="4257">
      <c r="A4257" s="16"/>
      <c r="B4257" s="145"/>
      <c r="C4257" s="146"/>
      <c r="D4257" s="146"/>
      <c r="E4257" s="16"/>
      <c r="F4257" s="91"/>
      <c r="G4257" s="16"/>
      <c r="H4257" s="320" t="str">
        <f t="shared" si="424"/>
        <v/>
      </c>
      <c r="I4257" s="16"/>
      <c r="J4257" s="16"/>
      <c r="K4257" s="16"/>
      <c r="L4257" s="16"/>
      <c r="M4257" s="15"/>
      <c r="N4257" s="15"/>
      <c r="O4257" s="16"/>
      <c r="P4257" s="16"/>
      <c r="Q4257" s="16"/>
      <c r="R4257" s="16"/>
      <c r="S4257" s="37" t="str">
        <f>IFERROR(__xludf.DUMMYFUNCTION("if(not(iserror(index(split(C4257, "" ""),2))), index(split(C4257, "" ""),1),"""")"),"")</f>
        <v/>
      </c>
      <c r="T4257" s="315" t="str">
        <f>IFERROR(__xludf.DUMMYFUNCTION("if(S4257="""",C4257,if(not(iserror(index(split(C4257, "" ""),3))), index(split(C4257, "" ""),3),index(split(C4257, "" ""),2)))"),"")</f>
        <v/>
      </c>
      <c r="U4257" s="38" t="b">
        <f t="shared" si="423"/>
        <v>0</v>
      </c>
      <c r="V4257" s="38"/>
      <c r="W4257" s="40"/>
      <c r="X4257" s="40"/>
      <c r="Y4257" s="40"/>
      <c r="Z4257" s="38"/>
      <c r="AA4257" s="38"/>
      <c r="AB4257" s="38"/>
      <c r="AC4257" s="38"/>
      <c r="AD4257" s="38"/>
      <c r="AE4257" s="38"/>
      <c r="AF4257" s="38"/>
      <c r="AG4257" s="38"/>
      <c r="AH4257" s="38"/>
      <c r="AI4257" s="38"/>
      <c r="AJ4257" s="38"/>
      <c r="AK4257" s="38"/>
      <c r="AL4257" s="38"/>
      <c r="AM4257" s="38"/>
      <c r="AN4257" s="38"/>
      <c r="AO4257" s="38"/>
      <c r="AP4257" s="38"/>
      <c r="AQ4257" s="38"/>
      <c r="AR4257" s="38"/>
      <c r="AS4257" s="38"/>
      <c r="AT4257" s="38"/>
      <c r="AU4257" s="38"/>
      <c r="AV4257" s="38"/>
      <c r="AW4257" s="38"/>
      <c r="AX4257" s="38"/>
      <c r="AY4257" s="38"/>
      <c r="AZ4257" s="38"/>
      <c r="BA4257" s="38"/>
      <c r="BB4257" s="38"/>
      <c r="BC4257" s="38"/>
      <c r="BD4257" s="38"/>
      <c r="BE4257" s="38"/>
      <c r="BF4257" s="38"/>
      <c r="BG4257" s="38"/>
      <c r="BH4257" s="38"/>
      <c r="BI4257" s="38"/>
      <c r="BJ4257" s="38"/>
      <c r="BK4257" s="38"/>
      <c r="BL4257" s="38"/>
      <c r="BM4257" s="38"/>
      <c r="BN4257" s="38"/>
      <c r="BO4257" s="38"/>
      <c r="BP4257" s="38"/>
      <c r="BQ4257" s="38"/>
    </row>
    <row r="4258">
      <c r="A4258" s="16"/>
      <c r="B4258" s="145"/>
      <c r="C4258" s="146"/>
      <c r="D4258" s="146"/>
      <c r="E4258" s="16"/>
      <c r="F4258" s="91"/>
      <c r="G4258" s="16"/>
      <c r="H4258" s="320" t="str">
        <f t="shared" si="424"/>
        <v/>
      </c>
      <c r="I4258" s="16"/>
      <c r="J4258" s="16"/>
      <c r="K4258" s="16"/>
      <c r="L4258" s="16"/>
      <c r="M4258" s="15"/>
      <c r="N4258" s="15"/>
      <c r="O4258" s="16"/>
      <c r="P4258" s="16"/>
      <c r="Q4258" s="16"/>
      <c r="R4258" s="16"/>
      <c r="S4258" s="37" t="str">
        <f>IFERROR(__xludf.DUMMYFUNCTION("if(not(iserror(index(split(C4258, "" ""),2))), index(split(C4258, "" ""),1),"""")"),"")</f>
        <v/>
      </c>
      <c r="T4258" s="315" t="str">
        <f>IFERROR(__xludf.DUMMYFUNCTION("if(S4258="""",C4258,if(not(iserror(index(split(C4258, "" ""),3))), index(split(C4258, "" ""),3),index(split(C4258, "" ""),2)))"),"")</f>
        <v/>
      </c>
      <c r="U4258" s="38" t="b">
        <f t="shared" si="423"/>
        <v>0</v>
      </c>
      <c r="V4258" s="38"/>
      <c r="W4258" s="40"/>
      <c r="X4258" s="40"/>
      <c r="Y4258" s="40"/>
      <c r="Z4258" s="38"/>
      <c r="AA4258" s="38"/>
      <c r="AB4258" s="38"/>
      <c r="AC4258" s="38"/>
      <c r="AD4258" s="38"/>
      <c r="AE4258" s="38"/>
      <c r="AF4258" s="38"/>
      <c r="AG4258" s="38"/>
      <c r="AH4258" s="38"/>
      <c r="AI4258" s="38"/>
      <c r="AJ4258" s="38"/>
      <c r="AK4258" s="38"/>
      <c r="AL4258" s="38"/>
      <c r="AM4258" s="38"/>
      <c r="AN4258" s="38"/>
      <c r="AO4258" s="38"/>
      <c r="AP4258" s="38"/>
      <c r="AQ4258" s="38"/>
      <c r="AR4258" s="38"/>
      <c r="AS4258" s="38"/>
      <c r="AT4258" s="38"/>
      <c r="AU4258" s="38"/>
      <c r="AV4258" s="38"/>
      <c r="AW4258" s="38"/>
      <c r="AX4258" s="38"/>
      <c r="AY4258" s="38"/>
      <c r="AZ4258" s="38"/>
      <c r="BA4258" s="38"/>
      <c r="BB4258" s="38"/>
      <c r="BC4258" s="38"/>
      <c r="BD4258" s="38"/>
      <c r="BE4258" s="38"/>
      <c r="BF4258" s="38"/>
      <c r="BG4258" s="38"/>
      <c r="BH4258" s="38"/>
      <c r="BI4258" s="38"/>
      <c r="BJ4258" s="38"/>
      <c r="BK4258" s="38"/>
      <c r="BL4258" s="38"/>
      <c r="BM4258" s="38"/>
      <c r="BN4258" s="38"/>
      <c r="BO4258" s="38"/>
      <c r="BP4258" s="38"/>
      <c r="BQ4258" s="38"/>
    </row>
    <row r="4259">
      <c r="A4259" s="16"/>
      <c r="B4259" s="145"/>
      <c r="C4259" s="146"/>
      <c r="D4259" s="146"/>
      <c r="E4259" s="16"/>
      <c r="F4259" s="91"/>
      <c r="G4259" s="16"/>
      <c r="H4259" s="320" t="str">
        <f t="shared" si="424"/>
        <v/>
      </c>
      <c r="I4259" s="16"/>
      <c r="J4259" s="16"/>
      <c r="K4259" s="16"/>
      <c r="L4259" s="16"/>
      <c r="M4259" s="15"/>
      <c r="N4259" s="15"/>
      <c r="O4259" s="16"/>
      <c r="P4259" s="16"/>
      <c r="Q4259" s="16"/>
      <c r="R4259" s="16"/>
      <c r="S4259" s="37" t="str">
        <f>IFERROR(__xludf.DUMMYFUNCTION("if(not(iserror(index(split(C4259, "" ""),2))), index(split(C4259, "" ""),1),"""")"),"")</f>
        <v/>
      </c>
      <c r="T4259" s="315" t="str">
        <f>IFERROR(__xludf.DUMMYFUNCTION("if(S4259="""",C4259,if(not(iserror(index(split(C4259, "" ""),3))), index(split(C4259, "" ""),3),index(split(C4259, "" ""),2)))"),"")</f>
        <v/>
      </c>
      <c r="U4259" s="38" t="b">
        <f t="shared" si="423"/>
        <v>0</v>
      </c>
      <c r="V4259" s="38"/>
      <c r="W4259" s="40"/>
      <c r="X4259" s="40"/>
      <c r="Y4259" s="40"/>
      <c r="Z4259" s="38"/>
      <c r="AA4259" s="38"/>
      <c r="AB4259" s="38"/>
      <c r="AC4259" s="38"/>
      <c r="AD4259" s="38"/>
      <c r="AE4259" s="38"/>
      <c r="AF4259" s="38"/>
      <c r="AG4259" s="38"/>
      <c r="AH4259" s="38"/>
      <c r="AI4259" s="38"/>
      <c r="AJ4259" s="38"/>
      <c r="AK4259" s="38"/>
      <c r="AL4259" s="38"/>
      <c r="AM4259" s="38"/>
      <c r="AN4259" s="38"/>
      <c r="AO4259" s="38"/>
      <c r="AP4259" s="38"/>
      <c r="AQ4259" s="38"/>
      <c r="AR4259" s="38"/>
      <c r="AS4259" s="38"/>
      <c r="AT4259" s="38"/>
      <c r="AU4259" s="38"/>
      <c r="AV4259" s="38"/>
      <c r="AW4259" s="38"/>
      <c r="AX4259" s="38"/>
      <c r="AY4259" s="38"/>
      <c r="AZ4259" s="38"/>
      <c r="BA4259" s="38"/>
      <c r="BB4259" s="38"/>
      <c r="BC4259" s="38"/>
      <c r="BD4259" s="38"/>
      <c r="BE4259" s="38"/>
      <c r="BF4259" s="38"/>
      <c r="BG4259" s="38"/>
      <c r="BH4259" s="38"/>
      <c r="BI4259" s="38"/>
      <c r="BJ4259" s="38"/>
      <c r="BK4259" s="38"/>
      <c r="BL4259" s="38"/>
      <c r="BM4259" s="38"/>
      <c r="BN4259" s="38"/>
      <c r="BO4259" s="38"/>
      <c r="BP4259" s="38"/>
      <c r="BQ4259" s="38"/>
    </row>
    <row r="4260">
      <c r="A4260" s="16"/>
      <c r="B4260" s="145"/>
      <c r="C4260" s="146"/>
      <c r="D4260" s="146"/>
      <c r="E4260" s="16"/>
      <c r="F4260" s="91"/>
      <c r="G4260" s="16"/>
      <c r="H4260" s="320" t="str">
        <f t="shared" si="424"/>
        <v/>
      </c>
      <c r="I4260" s="16"/>
      <c r="J4260" s="16"/>
      <c r="K4260" s="16"/>
      <c r="L4260" s="16"/>
      <c r="M4260" s="15"/>
      <c r="N4260" s="15"/>
      <c r="O4260" s="16"/>
      <c r="P4260" s="16"/>
      <c r="Q4260" s="16"/>
      <c r="R4260" s="16"/>
      <c r="S4260" s="37" t="str">
        <f>IFERROR(__xludf.DUMMYFUNCTION("if(not(iserror(index(split(C4260, "" ""),2))), index(split(C4260, "" ""),1),"""")"),"")</f>
        <v/>
      </c>
      <c r="T4260" s="315" t="str">
        <f>IFERROR(__xludf.DUMMYFUNCTION("if(S4260="""",C4260,if(not(iserror(index(split(C4260, "" ""),3))), index(split(C4260, "" ""),3),index(split(C4260, "" ""),2)))"),"")</f>
        <v/>
      </c>
      <c r="U4260" s="38" t="b">
        <f t="shared" si="423"/>
        <v>0</v>
      </c>
      <c r="V4260" s="38"/>
      <c r="W4260" s="40"/>
      <c r="X4260" s="40"/>
      <c r="Y4260" s="40"/>
      <c r="Z4260" s="38"/>
      <c r="AA4260" s="38"/>
      <c r="AB4260" s="38"/>
      <c r="AC4260" s="38"/>
      <c r="AD4260" s="38"/>
      <c r="AE4260" s="38"/>
      <c r="AF4260" s="38"/>
      <c r="AG4260" s="38"/>
      <c r="AH4260" s="38"/>
      <c r="AI4260" s="38"/>
      <c r="AJ4260" s="38"/>
      <c r="AK4260" s="38"/>
      <c r="AL4260" s="38"/>
      <c r="AM4260" s="38"/>
      <c r="AN4260" s="38"/>
      <c r="AO4260" s="38"/>
      <c r="AP4260" s="38"/>
      <c r="AQ4260" s="38"/>
      <c r="AR4260" s="38"/>
      <c r="AS4260" s="38"/>
      <c r="AT4260" s="38"/>
      <c r="AU4260" s="38"/>
      <c r="AV4260" s="38"/>
      <c r="AW4260" s="38"/>
      <c r="AX4260" s="38"/>
      <c r="AY4260" s="38"/>
      <c r="AZ4260" s="38"/>
      <c r="BA4260" s="38"/>
      <c r="BB4260" s="38"/>
      <c r="BC4260" s="38"/>
      <c r="BD4260" s="38"/>
      <c r="BE4260" s="38"/>
      <c r="BF4260" s="38"/>
      <c r="BG4260" s="38"/>
      <c r="BH4260" s="38"/>
      <c r="BI4260" s="38"/>
      <c r="BJ4260" s="38"/>
      <c r="BK4260" s="38"/>
      <c r="BL4260" s="38"/>
      <c r="BM4260" s="38"/>
      <c r="BN4260" s="38"/>
      <c r="BO4260" s="38"/>
      <c r="BP4260" s="38"/>
      <c r="BQ4260" s="38"/>
    </row>
    <row r="4261">
      <c r="A4261" s="16"/>
      <c r="B4261" s="145"/>
      <c r="C4261" s="146"/>
      <c r="D4261" s="146"/>
      <c r="E4261" s="16"/>
      <c r="F4261" s="91"/>
      <c r="G4261" s="16"/>
      <c r="H4261" s="320" t="str">
        <f t="shared" si="424"/>
        <v/>
      </c>
      <c r="I4261" s="16"/>
      <c r="J4261" s="16"/>
      <c r="K4261" s="16"/>
      <c r="L4261" s="16"/>
      <c r="M4261" s="15"/>
      <c r="N4261" s="15"/>
      <c r="O4261" s="16"/>
      <c r="P4261" s="16"/>
      <c r="Q4261" s="16"/>
      <c r="R4261" s="16"/>
      <c r="S4261" s="37" t="str">
        <f>IFERROR(__xludf.DUMMYFUNCTION("if(not(iserror(index(split(C4261, "" ""),2))), index(split(C4261, "" ""),1),"""")"),"")</f>
        <v/>
      </c>
      <c r="T4261" s="315" t="str">
        <f>IFERROR(__xludf.DUMMYFUNCTION("if(S4261="""",C4261,if(not(iserror(index(split(C4261, "" ""),3))), index(split(C4261, "" ""),3),index(split(C4261, "" ""),2)))"),"")</f>
        <v/>
      </c>
      <c r="U4261" s="38" t="b">
        <f t="shared" si="423"/>
        <v>0</v>
      </c>
      <c r="V4261" s="38"/>
      <c r="W4261" s="40"/>
      <c r="X4261" s="40"/>
      <c r="Y4261" s="40"/>
      <c r="Z4261" s="38"/>
      <c r="AA4261" s="38"/>
      <c r="AB4261" s="38"/>
      <c r="AC4261" s="38"/>
      <c r="AD4261" s="38"/>
      <c r="AE4261" s="38"/>
      <c r="AF4261" s="38"/>
      <c r="AG4261" s="38"/>
      <c r="AH4261" s="38"/>
      <c r="AI4261" s="38"/>
      <c r="AJ4261" s="38"/>
      <c r="AK4261" s="38"/>
      <c r="AL4261" s="38"/>
      <c r="AM4261" s="38"/>
      <c r="AN4261" s="38"/>
      <c r="AO4261" s="38"/>
      <c r="AP4261" s="38"/>
      <c r="AQ4261" s="38"/>
      <c r="AR4261" s="38"/>
      <c r="AS4261" s="38"/>
      <c r="AT4261" s="38"/>
      <c r="AU4261" s="38"/>
      <c r="AV4261" s="38"/>
      <c r="AW4261" s="38"/>
      <c r="AX4261" s="38"/>
      <c r="AY4261" s="38"/>
      <c r="AZ4261" s="38"/>
      <c r="BA4261" s="38"/>
      <c r="BB4261" s="38"/>
      <c r="BC4261" s="38"/>
      <c r="BD4261" s="38"/>
      <c r="BE4261" s="38"/>
      <c r="BF4261" s="38"/>
      <c r="BG4261" s="38"/>
      <c r="BH4261" s="38"/>
      <c r="BI4261" s="38"/>
      <c r="BJ4261" s="38"/>
      <c r="BK4261" s="38"/>
      <c r="BL4261" s="38"/>
      <c r="BM4261" s="38"/>
      <c r="BN4261" s="38"/>
      <c r="BO4261" s="38"/>
      <c r="BP4261" s="38"/>
      <c r="BQ4261" s="38"/>
    </row>
    <row r="4262">
      <c r="A4262" s="16"/>
      <c r="B4262" s="145"/>
      <c r="C4262" s="146"/>
      <c r="D4262" s="146"/>
      <c r="E4262" s="16"/>
      <c r="F4262" s="91"/>
      <c r="G4262" s="16"/>
      <c r="H4262" s="320" t="str">
        <f t="shared" si="424"/>
        <v/>
      </c>
      <c r="I4262" s="16"/>
      <c r="J4262" s="16"/>
      <c r="K4262" s="16"/>
      <c r="L4262" s="16"/>
      <c r="M4262" s="15"/>
      <c r="N4262" s="15"/>
      <c r="O4262" s="16"/>
      <c r="P4262" s="16"/>
      <c r="Q4262" s="16"/>
      <c r="R4262" s="16"/>
      <c r="S4262" s="37" t="str">
        <f>IFERROR(__xludf.DUMMYFUNCTION("if(not(iserror(index(split(C4262, "" ""),2))), index(split(C4262, "" ""),1),"""")"),"")</f>
        <v/>
      </c>
      <c r="T4262" s="315" t="str">
        <f>IFERROR(__xludf.DUMMYFUNCTION("if(S4262="""",C4262,if(not(iserror(index(split(C4262, "" ""),3))), index(split(C4262, "" ""),3),index(split(C4262, "" ""),2)))"),"")</f>
        <v/>
      </c>
      <c r="U4262" s="38" t="b">
        <f t="shared" si="423"/>
        <v>0</v>
      </c>
      <c r="V4262" s="38"/>
      <c r="W4262" s="40"/>
      <c r="X4262" s="40"/>
      <c r="Y4262" s="40"/>
      <c r="Z4262" s="38"/>
      <c r="AA4262" s="38"/>
      <c r="AB4262" s="38"/>
      <c r="AC4262" s="38"/>
      <c r="AD4262" s="38"/>
      <c r="AE4262" s="38"/>
      <c r="AF4262" s="38"/>
      <c r="AG4262" s="38"/>
      <c r="AH4262" s="38"/>
      <c r="AI4262" s="38"/>
      <c r="AJ4262" s="38"/>
      <c r="AK4262" s="38"/>
      <c r="AL4262" s="38"/>
      <c r="AM4262" s="38"/>
      <c r="AN4262" s="38"/>
      <c r="AO4262" s="38"/>
      <c r="AP4262" s="38"/>
      <c r="AQ4262" s="38"/>
      <c r="AR4262" s="38"/>
      <c r="AS4262" s="38"/>
      <c r="AT4262" s="38"/>
      <c r="AU4262" s="38"/>
      <c r="AV4262" s="38"/>
      <c r="AW4262" s="38"/>
      <c r="AX4262" s="38"/>
      <c r="AY4262" s="38"/>
      <c r="AZ4262" s="38"/>
      <c r="BA4262" s="38"/>
      <c r="BB4262" s="38"/>
      <c r="BC4262" s="38"/>
      <c r="BD4262" s="38"/>
      <c r="BE4262" s="38"/>
      <c r="BF4262" s="38"/>
      <c r="BG4262" s="38"/>
      <c r="BH4262" s="38"/>
      <c r="BI4262" s="38"/>
      <c r="BJ4262" s="38"/>
      <c r="BK4262" s="38"/>
      <c r="BL4262" s="38"/>
      <c r="BM4262" s="38"/>
      <c r="BN4262" s="38"/>
      <c r="BO4262" s="38"/>
      <c r="BP4262" s="38"/>
      <c r="BQ4262" s="38"/>
    </row>
    <row r="4263">
      <c r="A4263" s="16"/>
      <c r="B4263" s="145"/>
      <c r="C4263" s="146"/>
      <c r="D4263" s="146"/>
      <c r="E4263" s="16"/>
      <c r="F4263" s="91"/>
      <c r="G4263" s="16"/>
      <c r="H4263" s="320" t="str">
        <f t="shared" si="424"/>
        <v/>
      </c>
      <c r="I4263" s="16"/>
      <c r="J4263" s="16"/>
      <c r="K4263" s="16"/>
      <c r="L4263" s="16"/>
      <c r="M4263" s="15"/>
      <c r="N4263" s="15"/>
      <c r="O4263" s="16"/>
      <c r="P4263" s="16"/>
      <c r="Q4263" s="16"/>
      <c r="R4263" s="16"/>
      <c r="S4263" s="37" t="str">
        <f>IFERROR(__xludf.DUMMYFUNCTION("if(not(iserror(index(split(C4263, "" ""),2))), index(split(C4263, "" ""),1),"""")"),"")</f>
        <v/>
      </c>
      <c r="T4263" s="315" t="str">
        <f>IFERROR(__xludf.DUMMYFUNCTION("if(S4263="""",C4263,if(not(iserror(index(split(C4263, "" ""),3))), index(split(C4263, "" ""),3),index(split(C4263, "" ""),2)))"),"")</f>
        <v/>
      </c>
      <c r="U4263" s="38" t="b">
        <f t="shared" si="423"/>
        <v>0</v>
      </c>
      <c r="V4263" s="38"/>
      <c r="W4263" s="40"/>
      <c r="X4263" s="40"/>
      <c r="Y4263" s="40"/>
      <c r="Z4263" s="38"/>
      <c r="AA4263" s="38"/>
      <c r="AB4263" s="38"/>
      <c r="AC4263" s="38"/>
      <c r="AD4263" s="38"/>
      <c r="AE4263" s="38"/>
      <c r="AF4263" s="38"/>
      <c r="AG4263" s="38"/>
      <c r="AH4263" s="38"/>
      <c r="AI4263" s="38"/>
      <c r="AJ4263" s="38"/>
      <c r="AK4263" s="38"/>
      <c r="AL4263" s="38"/>
      <c r="AM4263" s="38"/>
      <c r="AN4263" s="38"/>
      <c r="AO4263" s="38"/>
      <c r="AP4263" s="38"/>
      <c r="AQ4263" s="38"/>
      <c r="AR4263" s="38"/>
      <c r="AS4263" s="38"/>
      <c r="AT4263" s="38"/>
      <c r="AU4263" s="38"/>
      <c r="AV4263" s="38"/>
      <c r="AW4263" s="38"/>
      <c r="AX4263" s="38"/>
      <c r="AY4263" s="38"/>
      <c r="AZ4263" s="38"/>
      <c r="BA4263" s="38"/>
      <c r="BB4263" s="38"/>
      <c r="BC4263" s="38"/>
      <c r="BD4263" s="38"/>
      <c r="BE4263" s="38"/>
      <c r="BF4263" s="38"/>
      <c r="BG4263" s="38"/>
      <c r="BH4263" s="38"/>
      <c r="BI4263" s="38"/>
      <c r="BJ4263" s="38"/>
      <c r="BK4263" s="38"/>
      <c r="BL4263" s="38"/>
      <c r="BM4263" s="38"/>
      <c r="BN4263" s="38"/>
      <c r="BO4263" s="38"/>
      <c r="BP4263" s="38"/>
      <c r="BQ4263" s="38"/>
    </row>
    <row r="4264">
      <c r="A4264" s="16"/>
      <c r="B4264" s="145"/>
      <c r="C4264" s="146"/>
      <c r="D4264" s="146"/>
      <c r="E4264" s="16"/>
      <c r="F4264" s="91"/>
      <c r="G4264" s="16"/>
      <c r="H4264" s="320" t="str">
        <f t="shared" si="424"/>
        <v/>
      </c>
      <c r="I4264" s="16"/>
      <c r="J4264" s="16"/>
      <c r="K4264" s="16"/>
      <c r="L4264" s="16"/>
      <c r="M4264" s="15"/>
      <c r="N4264" s="15"/>
      <c r="O4264" s="16"/>
      <c r="P4264" s="16"/>
      <c r="Q4264" s="16"/>
      <c r="R4264" s="16"/>
      <c r="S4264" s="37" t="str">
        <f>IFERROR(__xludf.DUMMYFUNCTION("if(not(iserror(index(split(C4264, "" ""),2))), index(split(C4264, "" ""),1),"""")"),"")</f>
        <v/>
      </c>
      <c r="T4264" s="315" t="str">
        <f>IFERROR(__xludf.DUMMYFUNCTION("if(S4264="""",C4264,if(not(iserror(index(split(C4264, "" ""),3))), index(split(C4264, "" ""),3),index(split(C4264, "" ""),2)))"),"")</f>
        <v/>
      </c>
      <c r="U4264" s="38" t="b">
        <f t="shared" si="423"/>
        <v>0</v>
      </c>
      <c r="V4264" s="38"/>
      <c r="W4264" s="40"/>
      <c r="X4264" s="40"/>
      <c r="Y4264" s="40"/>
      <c r="Z4264" s="38"/>
      <c r="AA4264" s="38"/>
      <c r="AB4264" s="38"/>
      <c r="AC4264" s="38"/>
      <c r="AD4264" s="38"/>
      <c r="AE4264" s="38"/>
      <c r="AF4264" s="38"/>
      <c r="AG4264" s="38"/>
      <c r="AH4264" s="38"/>
      <c r="AI4264" s="38"/>
      <c r="AJ4264" s="38"/>
      <c r="AK4264" s="38"/>
      <c r="AL4264" s="38"/>
      <c r="AM4264" s="38"/>
      <c r="AN4264" s="38"/>
      <c r="AO4264" s="38"/>
      <c r="AP4264" s="38"/>
      <c r="AQ4264" s="38"/>
      <c r="AR4264" s="38"/>
      <c r="AS4264" s="38"/>
      <c r="AT4264" s="38"/>
      <c r="AU4264" s="38"/>
      <c r="AV4264" s="38"/>
      <c r="AW4264" s="38"/>
      <c r="AX4264" s="38"/>
      <c r="AY4264" s="38"/>
      <c r="AZ4264" s="38"/>
      <c r="BA4264" s="38"/>
      <c r="BB4264" s="38"/>
      <c r="BC4264" s="38"/>
      <c r="BD4264" s="38"/>
      <c r="BE4264" s="38"/>
      <c r="BF4264" s="38"/>
      <c r="BG4264" s="38"/>
      <c r="BH4264" s="38"/>
      <c r="BI4264" s="38"/>
      <c r="BJ4264" s="38"/>
      <c r="BK4264" s="38"/>
      <c r="BL4264" s="38"/>
      <c r="BM4264" s="38"/>
      <c r="BN4264" s="38"/>
      <c r="BO4264" s="38"/>
      <c r="BP4264" s="38"/>
      <c r="BQ4264" s="38"/>
    </row>
    <row r="4265">
      <c r="A4265" s="16"/>
      <c r="B4265" s="145"/>
      <c r="C4265" s="146"/>
      <c r="D4265" s="146"/>
      <c r="E4265" s="16"/>
      <c r="F4265" s="91"/>
      <c r="G4265" s="16"/>
      <c r="H4265" s="320" t="str">
        <f t="shared" si="424"/>
        <v/>
      </c>
      <c r="I4265" s="16"/>
      <c r="J4265" s="16"/>
      <c r="K4265" s="16"/>
      <c r="L4265" s="16"/>
      <c r="M4265" s="15"/>
      <c r="N4265" s="15"/>
      <c r="O4265" s="16"/>
      <c r="P4265" s="16"/>
      <c r="Q4265" s="16"/>
      <c r="R4265" s="16"/>
      <c r="S4265" s="37" t="str">
        <f>IFERROR(__xludf.DUMMYFUNCTION("if(not(iserror(index(split(C4265, "" ""),2))), index(split(C4265, "" ""),1),"""")"),"")</f>
        <v/>
      </c>
      <c r="T4265" s="315" t="str">
        <f>IFERROR(__xludf.DUMMYFUNCTION("if(S4265="""",C4265,if(not(iserror(index(split(C4265, "" ""),3))), index(split(C4265, "" ""),3),index(split(C4265, "" ""),2)))"),"")</f>
        <v/>
      </c>
      <c r="U4265" s="38" t="b">
        <f t="shared" si="423"/>
        <v>0</v>
      </c>
      <c r="V4265" s="38"/>
      <c r="W4265" s="40"/>
      <c r="X4265" s="40"/>
      <c r="Y4265" s="40"/>
      <c r="Z4265" s="38"/>
      <c r="AA4265" s="38"/>
      <c r="AB4265" s="38"/>
      <c r="AC4265" s="38"/>
      <c r="AD4265" s="38"/>
      <c r="AE4265" s="38"/>
      <c r="AF4265" s="38"/>
      <c r="AG4265" s="38"/>
      <c r="AH4265" s="38"/>
      <c r="AI4265" s="38"/>
      <c r="AJ4265" s="38"/>
      <c r="AK4265" s="38"/>
      <c r="AL4265" s="38"/>
      <c r="AM4265" s="38"/>
      <c r="AN4265" s="38"/>
      <c r="AO4265" s="38"/>
      <c r="AP4265" s="38"/>
      <c r="AQ4265" s="38"/>
      <c r="AR4265" s="38"/>
      <c r="AS4265" s="38"/>
      <c r="AT4265" s="38"/>
      <c r="AU4265" s="38"/>
      <c r="AV4265" s="38"/>
      <c r="AW4265" s="38"/>
      <c r="AX4265" s="38"/>
      <c r="AY4265" s="38"/>
      <c r="AZ4265" s="38"/>
      <c r="BA4265" s="38"/>
      <c r="BB4265" s="38"/>
      <c r="BC4265" s="38"/>
      <c r="BD4265" s="38"/>
      <c r="BE4265" s="38"/>
      <c r="BF4265" s="38"/>
      <c r="BG4265" s="38"/>
      <c r="BH4265" s="38"/>
      <c r="BI4265" s="38"/>
      <c r="BJ4265" s="38"/>
      <c r="BK4265" s="38"/>
      <c r="BL4265" s="38"/>
      <c r="BM4265" s="38"/>
      <c r="BN4265" s="38"/>
      <c r="BO4265" s="38"/>
      <c r="BP4265" s="38"/>
      <c r="BQ4265" s="38"/>
    </row>
    <row r="4266">
      <c r="A4266" s="16"/>
      <c r="B4266" s="145"/>
      <c r="C4266" s="146"/>
      <c r="D4266" s="146"/>
      <c r="E4266" s="16"/>
      <c r="F4266" s="91"/>
      <c r="G4266" s="16"/>
      <c r="H4266" s="320" t="str">
        <f t="shared" si="424"/>
        <v/>
      </c>
      <c r="I4266" s="16"/>
      <c r="J4266" s="16"/>
      <c r="K4266" s="16"/>
      <c r="L4266" s="16"/>
      <c r="M4266" s="15"/>
      <c r="N4266" s="15"/>
      <c r="O4266" s="16"/>
      <c r="P4266" s="16"/>
      <c r="Q4266" s="16"/>
      <c r="R4266" s="16"/>
      <c r="S4266" s="37" t="str">
        <f>IFERROR(__xludf.DUMMYFUNCTION("if(not(iserror(index(split(C4266, "" ""),2))), index(split(C4266, "" ""),1),"""")"),"")</f>
        <v/>
      </c>
      <c r="T4266" s="315" t="str">
        <f>IFERROR(__xludf.DUMMYFUNCTION("if(S4266="""",C4266,if(not(iserror(index(split(C4266, "" ""),3))), index(split(C4266, "" ""),3),index(split(C4266, "" ""),2)))"),"")</f>
        <v/>
      </c>
      <c r="U4266" s="38" t="b">
        <f t="shared" si="423"/>
        <v>0</v>
      </c>
      <c r="V4266" s="38"/>
      <c r="W4266" s="40"/>
      <c r="X4266" s="40"/>
      <c r="Y4266" s="40"/>
      <c r="Z4266" s="38"/>
      <c r="AA4266" s="38"/>
      <c r="AB4266" s="38"/>
      <c r="AC4266" s="38"/>
      <c r="AD4266" s="38"/>
      <c r="AE4266" s="38"/>
      <c r="AF4266" s="38"/>
      <c r="AG4266" s="38"/>
      <c r="AH4266" s="38"/>
      <c r="AI4266" s="38"/>
      <c r="AJ4266" s="38"/>
      <c r="AK4266" s="38"/>
      <c r="AL4266" s="38"/>
      <c r="AM4266" s="38"/>
      <c r="AN4266" s="38"/>
      <c r="AO4266" s="38"/>
      <c r="AP4266" s="38"/>
      <c r="AQ4266" s="38"/>
      <c r="AR4266" s="38"/>
      <c r="AS4266" s="38"/>
      <c r="AT4266" s="38"/>
      <c r="AU4266" s="38"/>
      <c r="AV4266" s="38"/>
      <c r="AW4266" s="38"/>
      <c r="AX4266" s="38"/>
      <c r="AY4266" s="38"/>
      <c r="AZ4266" s="38"/>
      <c r="BA4266" s="38"/>
      <c r="BB4266" s="38"/>
      <c r="BC4266" s="38"/>
      <c r="BD4266" s="38"/>
      <c r="BE4266" s="38"/>
      <c r="BF4266" s="38"/>
      <c r="BG4266" s="38"/>
      <c r="BH4266" s="38"/>
      <c r="BI4266" s="38"/>
      <c r="BJ4266" s="38"/>
      <c r="BK4266" s="38"/>
      <c r="BL4266" s="38"/>
      <c r="BM4266" s="38"/>
      <c r="BN4266" s="38"/>
      <c r="BO4266" s="38"/>
      <c r="BP4266" s="38"/>
      <c r="BQ4266" s="38"/>
    </row>
    <row r="4267">
      <c r="A4267" s="16"/>
      <c r="B4267" s="145"/>
      <c r="C4267" s="146"/>
      <c r="D4267" s="146"/>
      <c r="E4267" s="16"/>
      <c r="F4267" s="91"/>
      <c r="G4267" s="16"/>
      <c r="H4267" s="320" t="str">
        <f t="shared" si="424"/>
        <v/>
      </c>
      <c r="I4267" s="16"/>
      <c r="J4267" s="16"/>
      <c r="K4267" s="16"/>
      <c r="L4267" s="16"/>
      <c r="M4267" s="15"/>
      <c r="N4267" s="15"/>
      <c r="O4267" s="16"/>
      <c r="P4267" s="16"/>
      <c r="Q4267" s="16"/>
      <c r="R4267" s="16"/>
      <c r="S4267" s="37" t="str">
        <f>IFERROR(__xludf.DUMMYFUNCTION("if(not(iserror(index(split(C4267, "" ""),2))), index(split(C4267, "" ""),1),"""")"),"")</f>
        <v/>
      </c>
      <c r="T4267" s="315" t="str">
        <f>IFERROR(__xludf.DUMMYFUNCTION("if(S4267="""",C4267,if(not(iserror(index(split(C4267, "" ""),3))), index(split(C4267, "" ""),3),index(split(C4267, "" ""),2)))"),"")</f>
        <v/>
      </c>
      <c r="U4267" s="38" t="b">
        <f t="shared" si="423"/>
        <v>0</v>
      </c>
      <c r="V4267" s="38"/>
      <c r="W4267" s="40"/>
      <c r="X4267" s="40"/>
      <c r="Y4267" s="40"/>
      <c r="Z4267" s="38"/>
      <c r="AA4267" s="38"/>
      <c r="AB4267" s="38"/>
      <c r="AC4267" s="38"/>
      <c r="AD4267" s="38"/>
      <c r="AE4267" s="38"/>
      <c r="AF4267" s="38"/>
      <c r="AG4267" s="38"/>
      <c r="AH4267" s="38"/>
      <c r="AI4267" s="38"/>
      <c r="AJ4267" s="38"/>
      <c r="AK4267" s="38"/>
      <c r="AL4267" s="38"/>
      <c r="AM4267" s="38"/>
      <c r="AN4267" s="38"/>
      <c r="AO4267" s="38"/>
      <c r="AP4267" s="38"/>
      <c r="AQ4267" s="38"/>
      <c r="AR4267" s="38"/>
      <c r="AS4267" s="38"/>
      <c r="AT4267" s="38"/>
      <c r="AU4267" s="38"/>
      <c r="AV4267" s="38"/>
      <c r="AW4267" s="38"/>
      <c r="AX4267" s="38"/>
      <c r="AY4267" s="38"/>
      <c r="AZ4267" s="38"/>
      <c r="BA4267" s="38"/>
      <c r="BB4267" s="38"/>
      <c r="BC4267" s="38"/>
      <c r="BD4267" s="38"/>
      <c r="BE4267" s="38"/>
      <c r="BF4267" s="38"/>
      <c r="BG4267" s="38"/>
      <c r="BH4267" s="38"/>
      <c r="BI4267" s="38"/>
      <c r="BJ4267" s="38"/>
      <c r="BK4267" s="38"/>
      <c r="BL4267" s="38"/>
      <c r="BM4267" s="38"/>
      <c r="BN4267" s="38"/>
      <c r="BO4267" s="38"/>
      <c r="BP4267" s="38"/>
      <c r="BQ4267" s="38"/>
    </row>
    <row r="4268">
      <c r="A4268" s="16"/>
      <c r="B4268" s="145"/>
      <c r="C4268" s="146"/>
      <c r="D4268" s="146"/>
      <c r="E4268" s="16"/>
      <c r="F4268" s="91"/>
      <c r="G4268" s="16"/>
      <c r="H4268" s="320" t="str">
        <f t="shared" si="424"/>
        <v/>
      </c>
      <c r="I4268" s="16"/>
      <c r="J4268" s="16"/>
      <c r="K4268" s="16"/>
      <c r="L4268" s="16"/>
      <c r="M4268" s="15"/>
      <c r="N4268" s="15"/>
      <c r="O4268" s="16"/>
      <c r="P4268" s="16"/>
      <c r="Q4268" s="16"/>
      <c r="R4268" s="16"/>
      <c r="S4268" s="37" t="str">
        <f>IFERROR(__xludf.DUMMYFUNCTION("if(not(iserror(index(split(C4268, "" ""),2))), index(split(C4268, "" ""),1),"""")"),"")</f>
        <v/>
      </c>
      <c r="T4268" s="315" t="str">
        <f>IFERROR(__xludf.DUMMYFUNCTION("if(S4268="""",C4268,if(not(iserror(index(split(C4268, "" ""),3))), index(split(C4268, "" ""),3),index(split(C4268, "" ""),2)))"),"")</f>
        <v/>
      </c>
      <c r="U4268" s="38" t="b">
        <f t="shared" si="423"/>
        <v>0</v>
      </c>
      <c r="V4268" s="38"/>
      <c r="W4268" s="40"/>
      <c r="X4268" s="40"/>
      <c r="Y4268" s="40"/>
      <c r="Z4268" s="38"/>
      <c r="AA4268" s="38"/>
      <c r="AB4268" s="38"/>
      <c r="AC4268" s="38"/>
      <c r="AD4268" s="38"/>
      <c r="AE4268" s="38"/>
      <c r="AF4268" s="38"/>
      <c r="AG4268" s="38"/>
      <c r="AH4268" s="38"/>
      <c r="AI4268" s="38"/>
      <c r="AJ4268" s="38"/>
      <c r="AK4268" s="38"/>
      <c r="AL4268" s="38"/>
      <c r="AM4268" s="38"/>
      <c r="AN4268" s="38"/>
      <c r="AO4268" s="38"/>
      <c r="AP4268" s="38"/>
      <c r="AQ4268" s="38"/>
      <c r="AR4268" s="38"/>
      <c r="AS4268" s="38"/>
      <c r="AT4268" s="38"/>
      <c r="AU4268" s="38"/>
      <c r="AV4268" s="38"/>
      <c r="AW4268" s="38"/>
      <c r="AX4268" s="38"/>
      <c r="AY4268" s="38"/>
      <c r="AZ4268" s="38"/>
      <c r="BA4268" s="38"/>
      <c r="BB4268" s="38"/>
      <c r="BC4268" s="38"/>
      <c r="BD4268" s="38"/>
      <c r="BE4268" s="38"/>
      <c r="BF4268" s="38"/>
      <c r="BG4268" s="38"/>
      <c r="BH4268" s="38"/>
      <c r="BI4268" s="38"/>
      <c r="BJ4268" s="38"/>
      <c r="BK4268" s="38"/>
      <c r="BL4268" s="38"/>
      <c r="BM4268" s="38"/>
      <c r="BN4268" s="38"/>
      <c r="BO4268" s="38"/>
      <c r="BP4268" s="38"/>
      <c r="BQ4268" s="38"/>
    </row>
    <row r="4269">
      <c r="A4269" s="16"/>
      <c r="B4269" s="145"/>
      <c r="C4269" s="146"/>
      <c r="D4269" s="146"/>
      <c r="E4269" s="16"/>
      <c r="F4269" s="91"/>
      <c r="G4269" s="16"/>
      <c r="H4269" s="320" t="str">
        <f t="shared" si="424"/>
        <v/>
      </c>
      <c r="I4269" s="16"/>
      <c r="J4269" s="16"/>
      <c r="K4269" s="16"/>
      <c r="L4269" s="16"/>
      <c r="M4269" s="15"/>
      <c r="N4269" s="15"/>
      <c r="O4269" s="16"/>
      <c r="P4269" s="16"/>
      <c r="Q4269" s="16"/>
      <c r="R4269" s="16"/>
      <c r="S4269" s="37" t="str">
        <f>IFERROR(__xludf.DUMMYFUNCTION("if(not(iserror(index(split(C4269, "" ""),2))), index(split(C4269, "" ""),1),"""")"),"")</f>
        <v/>
      </c>
      <c r="T4269" s="315" t="str">
        <f>IFERROR(__xludf.DUMMYFUNCTION("if(S4269="""",C4269,if(not(iserror(index(split(C4269, "" ""),3))), index(split(C4269, "" ""),3),index(split(C4269, "" ""),2)))"),"")</f>
        <v/>
      </c>
      <c r="U4269" s="38" t="b">
        <f t="shared" si="423"/>
        <v>0</v>
      </c>
      <c r="V4269" s="38"/>
      <c r="W4269" s="40"/>
      <c r="X4269" s="40"/>
      <c r="Y4269" s="40"/>
      <c r="Z4269" s="38"/>
      <c r="AA4269" s="38"/>
      <c r="AB4269" s="38"/>
      <c r="AC4269" s="38"/>
      <c r="AD4269" s="38"/>
      <c r="AE4269" s="38"/>
      <c r="AF4269" s="38"/>
      <c r="AG4269" s="38"/>
      <c r="AH4269" s="38"/>
      <c r="AI4269" s="38"/>
      <c r="AJ4269" s="38"/>
      <c r="AK4269" s="38"/>
      <c r="AL4269" s="38"/>
      <c r="AM4269" s="38"/>
      <c r="AN4269" s="38"/>
      <c r="AO4269" s="38"/>
      <c r="AP4269" s="38"/>
      <c r="AQ4269" s="38"/>
      <c r="AR4269" s="38"/>
      <c r="AS4269" s="38"/>
      <c r="AT4269" s="38"/>
      <c r="AU4269" s="38"/>
      <c r="AV4269" s="38"/>
      <c r="AW4269" s="38"/>
      <c r="AX4269" s="38"/>
      <c r="AY4269" s="38"/>
      <c r="AZ4269" s="38"/>
      <c r="BA4269" s="38"/>
      <c r="BB4269" s="38"/>
      <c r="BC4269" s="38"/>
      <c r="BD4269" s="38"/>
      <c r="BE4269" s="38"/>
      <c r="BF4269" s="38"/>
      <c r="BG4269" s="38"/>
      <c r="BH4269" s="38"/>
      <c r="BI4269" s="38"/>
      <c r="BJ4269" s="38"/>
      <c r="BK4269" s="38"/>
      <c r="BL4269" s="38"/>
      <c r="BM4269" s="38"/>
      <c r="BN4269" s="38"/>
      <c r="BO4269" s="38"/>
      <c r="BP4269" s="38"/>
      <c r="BQ4269" s="38"/>
    </row>
    <row r="4270">
      <c r="A4270" s="16"/>
      <c r="B4270" s="145"/>
      <c r="C4270" s="146"/>
      <c r="D4270" s="146"/>
      <c r="E4270" s="16"/>
      <c r="F4270" s="91"/>
      <c r="G4270" s="16"/>
      <c r="H4270" s="320" t="str">
        <f t="shared" si="424"/>
        <v/>
      </c>
      <c r="I4270" s="16"/>
      <c r="J4270" s="16"/>
      <c r="K4270" s="16"/>
      <c r="L4270" s="16"/>
      <c r="M4270" s="15"/>
      <c r="N4270" s="15"/>
      <c r="O4270" s="16"/>
      <c r="P4270" s="16"/>
      <c r="Q4270" s="16"/>
      <c r="R4270" s="16"/>
      <c r="S4270" s="37" t="str">
        <f>IFERROR(__xludf.DUMMYFUNCTION("if(not(iserror(index(split(C4270, "" ""),2))), index(split(C4270, "" ""),1),"""")"),"")</f>
        <v/>
      </c>
      <c r="T4270" s="315" t="str">
        <f>IFERROR(__xludf.DUMMYFUNCTION("if(S4270="""",C4270,if(not(iserror(index(split(C4270, "" ""),3))), index(split(C4270, "" ""),3),index(split(C4270, "" ""),2)))"),"")</f>
        <v/>
      </c>
      <c r="U4270" s="38" t="b">
        <f t="shared" si="423"/>
        <v>0</v>
      </c>
      <c r="V4270" s="38"/>
      <c r="W4270" s="40"/>
      <c r="X4270" s="40"/>
      <c r="Y4270" s="40"/>
      <c r="Z4270" s="38"/>
      <c r="AA4270" s="38"/>
      <c r="AB4270" s="38"/>
      <c r="AC4270" s="38"/>
      <c r="AD4270" s="38"/>
      <c r="AE4270" s="38"/>
      <c r="AF4270" s="38"/>
      <c r="AG4270" s="38"/>
      <c r="AH4270" s="38"/>
      <c r="AI4270" s="38"/>
      <c r="AJ4270" s="38"/>
      <c r="AK4270" s="38"/>
      <c r="AL4270" s="38"/>
      <c r="AM4270" s="38"/>
      <c r="AN4270" s="38"/>
      <c r="AO4270" s="38"/>
      <c r="AP4270" s="38"/>
      <c r="AQ4270" s="38"/>
      <c r="AR4270" s="38"/>
      <c r="AS4270" s="38"/>
      <c r="AT4270" s="38"/>
      <c r="AU4270" s="38"/>
      <c r="AV4270" s="38"/>
      <c r="AW4270" s="38"/>
      <c r="AX4270" s="38"/>
      <c r="AY4270" s="38"/>
      <c r="AZ4270" s="38"/>
      <c r="BA4270" s="38"/>
      <c r="BB4270" s="38"/>
      <c r="BC4270" s="38"/>
      <c r="BD4270" s="38"/>
      <c r="BE4270" s="38"/>
      <c r="BF4270" s="38"/>
      <c r="BG4270" s="38"/>
      <c r="BH4270" s="38"/>
      <c r="BI4270" s="38"/>
      <c r="BJ4270" s="38"/>
      <c r="BK4270" s="38"/>
      <c r="BL4270" s="38"/>
      <c r="BM4270" s="38"/>
      <c r="BN4270" s="38"/>
      <c r="BO4270" s="38"/>
      <c r="BP4270" s="38"/>
      <c r="BQ4270" s="38"/>
    </row>
    <row r="4271">
      <c r="A4271" s="16"/>
      <c r="B4271" s="145"/>
      <c r="C4271" s="146"/>
      <c r="D4271" s="146"/>
      <c r="E4271" s="16"/>
      <c r="F4271" s="91"/>
      <c r="G4271" s="16"/>
      <c r="H4271" s="320" t="str">
        <f t="shared" si="424"/>
        <v/>
      </c>
      <c r="I4271" s="16"/>
      <c r="J4271" s="16"/>
      <c r="K4271" s="16"/>
      <c r="L4271" s="16"/>
      <c r="M4271" s="15"/>
      <c r="N4271" s="15"/>
      <c r="O4271" s="16"/>
      <c r="P4271" s="16"/>
      <c r="Q4271" s="16"/>
      <c r="R4271" s="16"/>
      <c r="S4271" s="37" t="str">
        <f>IFERROR(__xludf.DUMMYFUNCTION("if(not(iserror(index(split(C4271, "" ""),2))), index(split(C4271, "" ""),1),"""")"),"")</f>
        <v/>
      </c>
      <c r="T4271" s="315" t="str">
        <f>IFERROR(__xludf.DUMMYFUNCTION("if(S4271="""",C4271,if(not(iserror(index(split(C4271, "" ""),3))), index(split(C4271, "" ""),3),index(split(C4271, "" ""),2)))"),"")</f>
        <v/>
      </c>
      <c r="U4271" s="38" t="b">
        <f t="shared" si="423"/>
        <v>0</v>
      </c>
      <c r="V4271" s="38"/>
      <c r="W4271" s="40"/>
      <c r="X4271" s="40"/>
      <c r="Y4271" s="40"/>
      <c r="Z4271" s="38"/>
      <c r="AA4271" s="38"/>
      <c r="AB4271" s="38"/>
      <c r="AC4271" s="38"/>
      <c r="AD4271" s="38"/>
      <c r="AE4271" s="38"/>
      <c r="AF4271" s="38"/>
      <c r="AG4271" s="38"/>
      <c r="AH4271" s="38"/>
      <c r="AI4271" s="38"/>
      <c r="AJ4271" s="38"/>
      <c r="AK4271" s="38"/>
      <c r="AL4271" s="38"/>
      <c r="AM4271" s="38"/>
      <c r="AN4271" s="38"/>
      <c r="AO4271" s="38"/>
      <c r="AP4271" s="38"/>
      <c r="AQ4271" s="38"/>
      <c r="AR4271" s="38"/>
      <c r="AS4271" s="38"/>
      <c r="AT4271" s="38"/>
      <c r="AU4271" s="38"/>
      <c r="AV4271" s="38"/>
      <c r="AW4271" s="38"/>
      <c r="AX4271" s="38"/>
      <c r="AY4271" s="38"/>
      <c r="AZ4271" s="38"/>
      <c r="BA4271" s="38"/>
      <c r="BB4271" s="38"/>
      <c r="BC4271" s="38"/>
      <c r="BD4271" s="38"/>
      <c r="BE4271" s="38"/>
      <c r="BF4271" s="38"/>
      <c r="BG4271" s="38"/>
      <c r="BH4271" s="38"/>
      <c r="BI4271" s="38"/>
      <c r="BJ4271" s="38"/>
      <c r="BK4271" s="38"/>
      <c r="BL4271" s="38"/>
      <c r="BM4271" s="38"/>
      <c r="BN4271" s="38"/>
      <c r="BO4271" s="38"/>
      <c r="BP4271" s="38"/>
      <c r="BQ4271" s="38"/>
    </row>
    <row r="4272">
      <c r="A4272" s="16"/>
      <c r="B4272" s="145"/>
      <c r="C4272" s="146"/>
      <c r="D4272" s="146"/>
      <c r="E4272" s="16"/>
      <c r="F4272" s="91"/>
      <c r="G4272" s="16"/>
      <c r="H4272" s="320" t="str">
        <f t="shared" si="424"/>
        <v/>
      </c>
      <c r="I4272" s="16"/>
      <c r="J4272" s="16"/>
      <c r="K4272" s="16"/>
      <c r="L4272" s="16"/>
      <c r="M4272" s="15"/>
      <c r="N4272" s="15"/>
      <c r="O4272" s="16"/>
      <c r="P4272" s="16"/>
      <c r="Q4272" s="16"/>
      <c r="R4272" s="16"/>
      <c r="S4272" s="37" t="str">
        <f>IFERROR(__xludf.DUMMYFUNCTION("if(not(iserror(index(split(C4272, "" ""),2))), index(split(C4272, "" ""),1),"""")"),"")</f>
        <v/>
      </c>
      <c r="T4272" s="315" t="str">
        <f>IFERROR(__xludf.DUMMYFUNCTION("if(S4272="""",C4272,if(not(iserror(index(split(C4272, "" ""),3))), index(split(C4272, "" ""),3),index(split(C4272, "" ""),2)))"),"")</f>
        <v/>
      </c>
      <c r="U4272" s="38" t="b">
        <f t="shared" si="423"/>
        <v>0</v>
      </c>
      <c r="V4272" s="38"/>
      <c r="W4272" s="40"/>
      <c r="X4272" s="40"/>
      <c r="Y4272" s="40"/>
      <c r="Z4272" s="38"/>
      <c r="AA4272" s="38"/>
      <c r="AB4272" s="38"/>
      <c r="AC4272" s="38"/>
      <c r="AD4272" s="38"/>
      <c r="AE4272" s="38"/>
      <c r="AF4272" s="38"/>
      <c r="AG4272" s="38"/>
      <c r="AH4272" s="38"/>
      <c r="AI4272" s="38"/>
      <c r="AJ4272" s="38"/>
      <c r="AK4272" s="38"/>
      <c r="AL4272" s="38"/>
      <c r="AM4272" s="38"/>
      <c r="AN4272" s="38"/>
      <c r="AO4272" s="38"/>
      <c r="AP4272" s="38"/>
      <c r="AQ4272" s="38"/>
      <c r="AR4272" s="38"/>
      <c r="AS4272" s="38"/>
      <c r="AT4272" s="38"/>
      <c r="AU4272" s="38"/>
      <c r="AV4272" s="38"/>
      <c r="AW4272" s="38"/>
      <c r="AX4272" s="38"/>
      <c r="AY4272" s="38"/>
      <c r="AZ4272" s="38"/>
      <c r="BA4272" s="38"/>
      <c r="BB4272" s="38"/>
      <c r="BC4272" s="38"/>
      <c r="BD4272" s="38"/>
      <c r="BE4272" s="38"/>
      <c r="BF4272" s="38"/>
      <c r="BG4272" s="38"/>
      <c r="BH4272" s="38"/>
      <c r="BI4272" s="38"/>
      <c r="BJ4272" s="38"/>
      <c r="BK4272" s="38"/>
      <c r="BL4272" s="38"/>
      <c r="BM4272" s="38"/>
      <c r="BN4272" s="38"/>
      <c r="BO4272" s="38"/>
      <c r="BP4272" s="38"/>
      <c r="BQ4272" s="38"/>
    </row>
    <row r="4273">
      <c r="A4273" s="16"/>
      <c r="B4273" s="145"/>
      <c r="C4273" s="146"/>
      <c r="D4273" s="146"/>
      <c r="E4273" s="16"/>
      <c r="F4273" s="91"/>
      <c r="G4273" s="16"/>
      <c r="H4273" s="320" t="str">
        <f t="shared" si="424"/>
        <v/>
      </c>
      <c r="I4273" s="16"/>
      <c r="J4273" s="16"/>
      <c r="K4273" s="16"/>
      <c r="L4273" s="16"/>
      <c r="M4273" s="15"/>
      <c r="N4273" s="15"/>
      <c r="O4273" s="16"/>
      <c r="P4273" s="16"/>
      <c r="Q4273" s="16"/>
      <c r="R4273" s="16"/>
      <c r="S4273" s="37" t="str">
        <f>IFERROR(__xludf.DUMMYFUNCTION("if(not(iserror(index(split(C4273, "" ""),2))), index(split(C4273, "" ""),1),"""")"),"")</f>
        <v/>
      </c>
      <c r="T4273" s="315" t="str">
        <f>IFERROR(__xludf.DUMMYFUNCTION("if(S4273="""",C4273,if(not(iserror(index(split(C4273, "" ""),3))), index(split(C4273, "" ""),3),index(split(C4273, "" ""),2)))"),"")</f>
        <v/>
      </c>
      <c r="U4273" s="38" t="b">
        <f t="shared" si="423"/>
        <v>0</v>
      </c>
      <c r="V4273" s="38"/>
      <c r="W4273" s="40"/>
      <c r="X4273" s="40"/>
      <c r="Y4273" s="40"/>
      <c r="Z4273" s="38"/>
      <c r="AA4273" s="38"/>
      <c r="AB4273" s="38"/>
      <c r="AC4273" s="38"/>
      <c r="AD4273" s="38"/>
      <c r="AE4273" s="38"/>
      <c r="AF4273" s="38"/>
      <c r="AG4273" s="38"/>
      <c r="AH4273" s="38"/>
      <c r="AI4273" s="38"/>
      <c r="AJ4273" s="38"/>
      <c r="AK4273" s="38"/>
      <c r="AL4273" s="38"/>
      <c r="AM4273" s="38"/>
      <c r="AN4273" s="38"/>
      <c r="AO4273" s="38"/>
      <c r="AP4273" s="38"/>
      <c r="AQ4273" s="38"/>
      <c r="AR4273" s="38"/>
      <c r="AS4273" s="38"/>
      <c r="AT4273" s="38"/>
      <c r="AU4273" s="38"/>
      <c r="AV4273" s="38"/>
      <c r="AW4273" s="38"/>
      <c r="AX4273" s="38"/>
      <c r="AY4273" s="38"/>
      <c r="AZ4273" s="38"/>
      <c r="BA4273" s="38"/>
      <c r="BB4273" s="38"/>
      <c r="BC4273" s="38"/>
      <c r="BD4273" s="38"/>
      <c r="BE4273" s="38"/>
      <c r="BF4273" s="38"/>
      <c r="BG4273" s="38"/>
      <c r="BH4273" s="38"/>
      <c r="BI4273" s="38"/>
      <c r="BJ4273" s="38"/>
      <c r="BK4273" s="38"/>
      <c r="BL4273" s="38"/>
      <c r="BM4273" s="38"/>
      <c r="BN4273" s="38"/>
      <c r="BO4273" s="38"/>
      <c r="BP4273" s="38"/>
      <c r="BQ4273" s="38"/>
    </row>
    <row r="4274">
      <c r="A4274" s="16"/>
      <c r="B4274" s="145"/>
      <c r="C4274" s="146"/>
      <c r="D4274" s="146"/>
      <c r="E4274" s="16"/>
      <c r="F4274" s="91"/>
      <c r="G4274" s="16"/>
      <c r="H4274" s="320" t="str">
        <f t="shared" si="424"/>
        <v/>
      </c>
      <c r="I4274" s="16"/>
      <c r="J4274" s="16"/>
      <c r="K4274" s="16"/>
      <c r="L4274" s="16"/>
      <c r="M4274" s="15"/>
      <c r="N4274" s="15"/>
      <c r="O4274" s="16"/>
      <c r="P4274" s="16"/>
      <c r="Q4274" s="16"/>
      <c r="R4274" s="16"/>
      <c r="S4274" s="37" t="str">
        <f>IFERROR(__xludf.DUMMYFUNCTION("if(not(iserror(index(split(C4274, "" ""),2))), index(split(C4274, "" ""),1),"""")"),"")</f>
        <v/>
      </c>
      <c r="T4274" s="315" t="str">
        <f>IFERROR(__xludf.DUMMYFUNCTION("if(S4274="""",C4274,if(not(iserror(index(split(C4274, "" ""),3))), index(split(C4274, "" ""),3),index(split(C4274, "" ""),2)))"),"")</f>
        <v/>
      </c>
      <c r="U4274" s="38" t="b">
        <f t="shared" si="423"/>
        <v>0</v>
      </c>
      <c r="V4274" s="38"/>
      <c r="W4274" s="40"/>
      <c r="X4274" s="40"/>
      <c r="Y4274" s="40"/>
      <c r="Z4274" s="38"/>
      <c r="AA4274" s="38"/>
      <c r="AB4274" s="38"/>
      <c r="AC4274" s="38"/>
      <c r="AD4274" s="38"/>
      <c r="AE4274" s="38"/>
      <c r="AF4274" s="38"/>
      <c r="AG4274" s="38"/>
      <c r="AH4274" s="38"/>
      <c r="AI4274" s="38"/>
      <c r="AJ4274" s="38"/>
      <c r="AK4274" s="38"/>
      <c r="AL4274" s="38"/>
      <c r="AM4274" s="38"/>
      <c r="AN4274" s="38"/>
      <c r="AO4274" s="38"/>
      <c r="AP4274" s="38"/>
      <c r="AQ4274" s="38"/>
      <c r="AR4274" s="38"/>
      <c r="AS4274" s="38"/>
      <c r="AT4274" s="38"/>
      <c r="AU4274" s="38"/>
      <c r="AV4274" s="38"/>
      <c r="AW4274" s="38"/>
      <c r="AX4274" s="38"/>
      <c r="AY4274" s="38"/>
      <c r="AZ4274" s="38"/>
      <c r="BA4274" s="38"/>
      <c r="BB4274" s="38"/>
      <c r="BC4274" s="38"/>
      <c r="BD4274" s="38"/>
      <c r="BE4274" s="38"/>
      <c r="BF4274" s="38"/>
      <c r="BG4274" s="38"/>
      <c r="BH4274" s="38"/>
      <c r="BI4274" s="38"/>
      <c r="BJ4274" s="38"/>
      <c r="BK4274" s="38"/>
      <c r="BL4274" s="38"/>
      <c r="BM4274" s="38"/>
      <c r="BN4274" s="38"/>
      <c r="BO4274" s="38"/>
      <c r="BP4274" s="38"/>
      <c r="BQ4274" s="38"/>
    </row>
    <row r="4275">
      <c r="A4275" s="16"/>
      <c r="B4275" s="145"/>
      <c r="C4275" s="146"/>
      <c r="D4275" s="146"/>
      <c r="E4275" s="16"/>
      <c r="F4275" s="91"/>
      <c r="G4275" s="16"/>
      <c r="H4275" s="320" t="str">
        <f t="shared" si="424"/>
        <v/>
      </c>
      <c r="I4275" s="16"/>
      <c r="J4275" s="16"/>
      <c r="K4275" s="16"/>
      <c r="L4275" s="16"/>
      <c r="M4275" s="15"/>
      <c r="N4275" s="15"/>
      <c r="O4275" s="16"/>
      <c r="P4275" s="16"/>
      <c r="Q4275" s="16"/>
      <c r="R4275" s="16"/>
      <c r="S4275" s="37" t="str">
        <f>IFERROR(__xludf.DUMMYFUNCTION("if(not(iserror(index(split(C4275, "" ""),2))), index(split(C4275, "" ""),1),"""")"),"")</f>
        <v/>
      </c>
      <c r="T4275" s="315" t="str">
        <f>IFERROR(__xludf.DUMMYFUNCTION("if(S4275="""",C4275,if(not(iserror(index(split(C4275, "" ""),3))), index(split(C4275, "" ""),3),index(split(C4275, "" ""),2)))"),"")</f>
        <v/>
      </c>
      <c r="U4275" s="38" t="b">
        <f t="shared" si="423"/>
        <v>0</v>
      </c>
      <c r="V4275" s="38"/>
      <c r="W4275" s="40"/>
      <c r="X4275" s="40"/>
      <c r="Y4275" s="40"/>
      <c r="Z4275" s="38"/>
      <c r="AA4275" s="38"/>
      <c r="AB4275" s="38"/>
      <c r="AC4275" s="38"/>
      <c r="AD4275" s="38"/>
      <c r="AE4275" s="38"/>
      <c r="AF4275" s="38"/>
      <c r="AG4275" s="38"/>
      <c r="AH4275" s="38"/>
      <c r="AI4275" s="38"/>
      <c r="AJ4275" s="38"/>
      <c r="AK4275" s="38"/>
      <c r="AL4275" s="38"/>
      <c r="AM4275" s="38"/>
      <c r="AN4275" s="38"/>
      <c r="AO4275" s="38"/>
      <c r="AP4275" s="38"/>
      <c r="AQ4275" s="38"/>
      <c r="AR4275" s="38"/>
      <c r="AS4275" s="38"/>
      <c r="AT4275" s="38"/>
      <c r="AU4275" s="38"/>
      <c r="AV4275" s="38"/>
      <c r="AW4275" s="38"/>
      <c r="AX4275" s="38"/>
      <c r="AY4275" s="38"/>
      <c r="AZ4275" s="38"/>
      <c r="BA4275" s="38"/>
      <c r="BB4275" s="38"/>
      <c r="BC4275" s="38"/>
      <c r="BD4275" s="38"/>
      <c r="BE4275" s="38"/>
      <c r="BF4275" s="38"/>
      <c r="BG4275" s="38"/>
      <c r="BH4275" s="38"/>
      <c r="BI4275" s="38"/>
      <c r="BJ4275" s="38"/>
      <c r="BK4275" s="38"/>
      <c r="BL4275" s="38"/>
      <c r="BM4275" s="38"/>
      <c r="BN4275" s="38"/>
      <c r="BO4275" s="38"/>
      <c r="BP4275" s="38"/>
      <c r="BQ4275" s="38"/>
    </row>
    <row r="4276">
      <c r="A4276" s="16"/>
      <c r="B4276" s="145"/>
      <c r="C4276" s="146"/>
      <c r="D4276" s="146"/>
      <c r="E4276" s="16"/>
      <c r="F4276" s="91"/>
      <c r="G4276" s="16"/>
      <c r="H4276" s="320" t="str">
        <f t="shared" si="424"/>
        <v/>
      </c>
      <c r="I4276" s="16"/>
      <c r="J4276" s="16"/>
      <c r="K4276" s="16"/>
      <c r="L4276" s="16"/>
      <c r="M4276" s="15"/>
      <c r="N4276" s="15"/>
      <c r="O4276" s="16"/>
      <c r="P4276" s="16"/>
      <c r="Q4276" s="16"/>
      <c r="R4276" s="16"/>
      <c r="S4276" s="37" t="str">
        <f>IFERROR(__xludf.DUMMYFUNCTION("if(not(iserror(index(split(C4276, "" ""),2))), index(split(C4276, "" ""),1),"""")"),"")</f>
        <v/>
      </c>
      <c r="T4276" s="315" t="str">
        <f>IFERROR(__xludf.DUMMYFUNCTION("if(S4276="""",C4276,if(not(iserror(index(split(C4276, "" ""),3))), index(split(C4276, "" ""),3),index(split(C4276, "" ""),2)))"),"")</f>
        <v/>
      </c>
      <c r="U4276" s="38" t="b">
        <f t="shared" si="423"/>
        <v>0</v>
      </c>
      <c r="V4276" s="38"/>
      <c r="W4276" s="40"/>
      <c r="X4276" s="40"/>
      <c r="Y4276" s="40"/>
      <c r="Z4276" s="38"/>
      <c r="AA4276" s="38"/>
      <c r="AB4276" s="38"/>
      <c r="AC4276" s="38"/>
      <c r="AD4276" s="38"/>
      <c r="AE4276" s="38"/>
      <c r="AF4276" s="38"/>
      <c r="AG4276" s="38"/>
      <c r="AH4276" s="38"/>
      <c r="AI4276" s="38"/>
      <c r="AJ4276" s="38"/>
      <c r="AK4276" s="38"/>
      <c r="AL4276" s="38"/>
      <c r="AM4276" s="38"/>
      <c r="AN4276" s="38"/>
      <c r="AO4276" s="38"/>
      <c r="AP4276" s="38"/>
      <c r="AQ4276" s="38"/>
      <c r="AR4276" s="38"/>
      <c r="AS4276" s="38"/>
      <c r="AT4276" s="38"/>
      <c r="AU4276" s="38"/>
      <c r="AV4276" s="38"/>
      <c r="AW4276" s="38"/>
      <c r="AX4276" s="38"/>
      <c r="AY4276" s="38"/>
      <c r="AZ4276" s="38"/>
      <c r="BA4276" s="38"/>
      <c r="BB4276" s="38"/>
      <c r="BC4276" s="38"/>
      <c r="BD4276" s="38"/>
      <c r="BE4276" s="38"/>
      <c r="BF4276" s="38"/>
      <c r="BG4276" s="38"/>
      <c r="BH4276" s="38"/>
      <c r="BI4276" s="38"/>
      <c r="BJ4276" s="38"/>
      <c r="BK4276" s="38"/>
      <c r="BL4276" s="38"/>
      <c r="BM4276" s="38"/>
      <c r="BN4276" s="38"/>
      <c r="BO4276" s="38"/>
      <c r="BP4276" s="38"/>
      <c r="BQ4276" s="38"/>
    </row>
    <row r="4277">
      <c r="A4277" s="16"/>
      <c r="B4277" s="145"/>
      <c r="C4277" s="146"/>
      <c r="D4277" s="146"/>
      <c r="E4277" s="16"/>
      <c r="F4277" s="91"/>
      <c r="G4277" s="16"/>
      <c r="H4277" s="320" t="str">
        <f t="shared" si="424"/>
        <v/>
      </c>
      <c r="I4277" s="16"/>
      <c r="J4277" s="16"/>
      <c r="K4277" s="16"/>
      <c r="L4277" s="16"/>
      <c r="M4277" s="15"/>
      <c r="N4277" s="15"/>
      <c r="O4277" s="16"/>
      <c r="P4277" s="16"/>
      <c r="Q4277" s="16"/>
      <c r="R4277" s="16"/>
      <c r="S4277" s="37" t="str">
        <f>IFERROR(__xludf.DUMMYFUNCTION("if(not(iserror(index(split(C4277, "" ""),2))), index(split(C4277, "" ""),1),"""")"),"")</f>
        <v/>
      </c>
      <c r="T4277" s="315" t="str">
        <f>IFERROR(__xludf.DUMMYFUNCTION("if(S4277="""",C4277,if(not(iserror(index(split(C4277, "" ""),3))), index(split(C4277, "" ""),3),index(split(C4277, "" ""),2)))"),"")</f>
        <v/>
      </c>
      <c r="U4277" s="38" t="b">
        <f t="shared" si="423"/>
        <v>0</v>
      </c>
      <c r="V4277" s="38"/>
      <c r="W4277" s="40"/>
      <c r="X4277" s="40"/>
      <c r="Y4277" s="40"/>
      <c r="Z4277" s="38"/>
      <c r="AA4277" s="38"/>
      <c r="AB4277" s="38"/>
      <c r="AC4277" s="38"/>
      <c r="AD4277" s="38"/>
      <c r="AE4277" s="38"/>
      <c r="AF4277" s="38"/>
      <c r="AG4277" s="38"/>
      <c r="AH4277" s="38"/>
      <c r="AI4277" s="38"/>
      <c r="AJ4277" s="38"/>
      <c r="AK4277" s="38"/>
      <c r="AL4277" s="38"/>
      <c r="AM4277" s="38"/>
      <c r="AN4277" s="38"/>
      <c r="AO4277" s="38"/>
      <c r="AP4277" s="38"/>
      <c r="AQ4277" s="38"/>
      <c r="AR4277" s="38"/>
      <c r="AS4277" s="38"/>
      <c r="AT4277" s="38"/>
      <c r="AU4277" s="38"/>
      <c r="AV4277" s="38"/>
      <c r="AW4277" s="38"/>
      <c r="AX4277" s="38"/>
      <c r="AY4277" s="38"/>
      <c r="AZ4277" s="38"/>
      <c r="BA4277" s="38"/>
      <c r="BB4277" s="38"/>
      <c r="BC4277" s="38"/>
      <c r="BD4277" s="38"/>
      <c r="BE4277" s="38"/>
      <c r="BF4277" s="38"/>
      <c r="BG4277" s="38"/>
      <c r="BH4277" s="38"/>
      <c r="BI4277" s="38"/>
      <c r="BJ4277" s="38"/>
      <c r="BK4277" s="38"/>
      <c r="BL4277" s="38"/>
      <c r="BM4277" s="38"/>
      <c r="BN4277" s="38"/>
      <c r="BO4277" s="38"/>
      <c r="BP4277" s="38"/>
      <c r="BQ4277" s="38"/>
    </row>
    <row r="4278">
      <c r="A4278" s="16"/>
      <c r="B4278" s="145"/>
      <c r="C4278" s="146"/>
      <c r="D4278" s="146"/>
      <c r="E4278" s="16"/>
      <c r="F4278" s="91"/>
      <c r="G4278" s="16"/>
      <c r="H4278" s="320" t="str">
        <f t="shared" si="424"/>
        <v/>
      </c>
      <c r="I4278" s="16"/>
      <c r="J4278" s="16"/>
      <c r="K4278" s="16"/>
      <c r="L4278" s="16"/>
      <c r="M4278" s="15"/>
      <c r="N4278" s="15"/>
      <c r="O4278" s="16"/>
      <c r="P4278" s="16"/>
      <c r="Q4278" s="16"/>
      <c r="R4278" s="16"/>
      <c r="S4278" s="37" t="str">
        <f>IFERROR(__xludf.DUMMYFUNCTION("if(not(iserror(index(split(C4278, "" ""),2))), index(split(C4278, "" ""),1),"""")"),"")</f>
        <v/>
      </c>
      <c r="T4278" s="315" t="str">
        <f>IFERROR(__xludf.DUMMYFUNCTION("if(S4278="""",C4278,if(not(iserror(index(split(C4278, "" ""),3))), index(split(C4278, "" ""),3),index(split(C4278, "" ""),2)))"),"")</f>
        <v/>
      </c>
      <c r="U4278" s="38" t="b">
        <f t="shared" si="423"/>
        <v>0</v>
      </c>
      <c r="V4278" s="38"/>
      <c r="W4278" s="40"/>
      <c r="X4278" s="40"/>
      <c r="Y4278" s="40"/>
      <c r="Z4278" s="38"/>
      <c r="AA4278" s="38"/>
      <c r="AB4278" s="38"/>
      <c r="AC4278" s="38"/>
      <c r="AD4278" s="38"/>
      <c r="AE4278" s="38"/>
      <c r="AF4278" s="38"/>
      <c r="AG4278" s="38"/>
      <c r="AH4278" s="38"/>
      <c r="AI4278" s="38"/>
      <c r="AJ4278" s="38"/>
      <c r="AK4278" s="38"/>
      <c r="AL4278" s="38"/>
      <c r="AM4278" s="38"/>
      <c r="AN4278" s="38"/>
      <c r="AO4278" s="38"/>
      <c r="AP4278" s="38"/>
      <c r="AQ4278" s="38"/>
      <c r="AR4278" s="38"/>
      <c r="AS4278" s="38"/>
      <c r="AT4278" s="38"/>
      <c r="AU4278" s="38"/>
      <c r="AV4278" s="38"/>
      <c r="AW4278" s="38"/>
      <c r="AX4278" s="38"/>
      <c r="AY4278" s="38"/>
      <c r="AZ4278" s="38"/>
      <c r="BA4278" s="38"/>
      <c r="BB4278" s="38"/>
      <c r="BC4278" s="38"/>
      <c r="BD4278" s="38"/>
      <c r="BE4278" s="38"/>
      <c r="BF4278" s="38"/>
      <c r="BG4278" s="38"/>
      <c r="BH4278" s="38"/>
      <c r="BI4278" s="38"/>
      <c r="BJ4278" s="38"/>
      <c r="BK4278" s="38"/>
      <c r="BL4278" s="38"/>
      <c r="BM4278" s="38"/>
      <c r="BN4278" s="38"/>
      <c r="BO4278" s="38"/>
      <c r="BP4278" s="38"/>
      <c r="BQ4278" s="38"/>
    </row>
    <row r="4279">
      <c r="A4279" s="16"/>
      <c r="B4279" s="145"/>
      <c r="C4279" s="146"/>
      <c r="D4279" s="146"/>
      <c r="E4279" s="16"/>
      <c r="F4279" s="91"/>
      <c r="G4279" s="16"/>
      <c r="H4279" s="320" t="str">
        <f t="shared" si="424"/>
        <v/>
      </c>
      <c r="I4279" s="16"/>
      <c r="J4279" s="16"/>
      <c r="K4279" s="16"/>
      <c r="L4279" s="16"/>
      <c r="M4279" s="15"/>
      <c r="N4279" s="15"/>
      <c r="O4279" s="16"/>
      <c r="P4279" s="16"/>
      <c r="Q4279" s="16"/>
      <c r="R4279" s="16"/>
      <c r="S4279" s="37" t="str">
        <f>IFERROR(__xludf.DUMMYFUNCTION("if(not(iserror(index(split(C4279, "" ""),2))), index(split(C4279, "" ""),1),"""")"),"")</f>
        <v/>
      </c>
      <c r="T4279" s="315" t="str">
        <f>IFERROR(__xludf.DUMMYFUNCTION("if(S4279="""",C4279,if(not(iserror(index(split(C4279, "" ""),3))), index(split(C4279, "" ""),3),index(split(C4279, "" ""),2)))"),"")</f>
        <v/>
      </c>
      <c r="U4279" s="38" t="b">
        <f t="shared" si="423"/>
        <v>0</v>
      </c>
      <c r="V4279" s="38"/>
      <c r="W4279" s="40"/>
      <c r="X4279" s="40"/>
      <c r="Y4279" s="40"/>
      <c r="Z4279" s="38"/>
      <c r="AA4279" s="38"/>
      <c r="AB4279" s="38"/>
      <c r="AC4279" s="38"/>
      <c r="AD4279" s="38"/>
      <c r="AE4279" s="38"/>
      <c r="AF4279" s="38"/>
      <c r="AG4279" s="38"/>
      <c r="AH4279" s="38"/>
      <c r="AI4279" s="38"/>
      <c r="AJ4279" s="38"/>
      <c r="AK4279" s="38"/>
      <c r="AL4279" s="38"/>
      <c r="AM4279" s="38"/>
      <c r="AN4279" s="38"/>
      <c r="AO4279" s="38"/>
      <c r="AP4279" s="38"/>
      <c r="AQ4279" s="38"/>
      <c r="AR4279" s="38"/>
      <c r="AS4279" s="38"/>
      <c r="AT4279" s="38"/>
      <c r="AU4279" s="38"/>
      <c r="AV4279" s="38"/>
      <c r="AW4279" s="38"/>
      <c r="AX4279" s="38"/>
      <c r="AY4279" s="38"/>
      <c r="AZ4279" s="38"/>
      <c r="BA4279" s="38"/>
      <c r="BB4279" s="38"/>
      <c r="BC4279" s="38"/>
      <c r="BD4279" s="38"/>
      <c r="BE4279" s="38"/>
      <c r="BF4279" s="38"/>
      <c r="BG4279" s="38"/>
      <c r="BH4279" s="38"/>
      <c r="BI4279" s="38"/>
      <c r="BJ4279" s="38"/>
      <c r="BK4279" s="38"/>
      <c r="BL4279" s="38"/>
      <c r="BM4279" s="38"/>
      <c r="BN4279" s="38"/>
      <c r="BO4279" s="38"/>
      <c r="BP4279" s="38"/>
      <c r="BQ4279" s="38"/>
    </row>
    <row r="4280">
      <c r="A4280" s="16"/>
      <c r="B4280" s="145"/>
      <c r="C4280" s="146"/>
      <c r="D4280" s="146"/>
      <c r="E4280" s="16"/>
      <c r="F4280" s="91"/>
      <c r="G4280" s="16"/>
      <c r="H4280" s="320" t="str">
        <f t="shared" si="424"/>
        <v/>
      </c>
      <c r="I4280" s="16"/>
      <c r="J4280" s="16"/>
      <c r="K4280" s="16"/>
      <c r="L4280" s="16"/>
      <c r="M4280" s="15"/>
      <c r="N4280" s="15"/>
      <c r="O4280" s="16"/>
      <c r="P4280" s="16"/>
      <c r="Q4280" s="16"/>
      <c r="R4280" s="16"/>
      <c r="S4280" s="37" t="str">
        <f>IFERROR(__xludf.DUMMYFUNCTION("if(not(iserror(index(split(C4280, "" ""),2))), index(split(C4280, "" ""),1),"""")"),"")</f>
        <v/>
      </c>
      <c r="T4280" s="315" t="str">
        <f>IFERROR(__xludf.DUMMYFUNCTION("if(S4280="""",C4280,if(not(iserror(index(split(C4280, "" ""),3))), index(split(C4280, "" ""),3),index(split(C4280, "" ""),2)))"),"")</f>
        <v/>
      </c>
      <c r="U4280" s="38" t="b">
        <f t="shared" si="423"/>
        <v>0</v>
      </c>
      <c r="V4280" s="38"/>
      <c r="W4280" s="40"/>
      <c r="X4280" s="40"/>
      <c r="Y4280" s="40"/>
      <c r="Z4280" s="38"/>
      <c r="AA4280" s="38"/>
      <c r="AB4280" s="38"/>
      <c r="AC4280" s="38"/>
      <c r="AD4280" s="38"/>
      <c r="AE4280" s="38"/>
      <c r="AF4280" s="38"/>
      <c r="AG4280" s="38"/>
      <c r="AH4280" s="38"/>
      <c r="AI4280" s="38"/>
      <c r="AJ4280" s="38"/>
      <c r="AK4280" s="38"/>
      <c r="AL4280" s="38"/>
      <c r="AM4280" s="38"/>
      <c r="AN4280" s="38"/>
      <c r="AO4280" s="38"/>
      <c r="AP4280" s="38"/>
      <c r="AQ4280" s="38"/>
      <c r="AR4280" s="38"/>
      <c r="AS4280" s="38"/>
      <c r="AT4280" s="38"/>
      <c r="AU4280" s="38"/>
      <c r="AV4280" s="38"/>
      <c r="AW4280" s="38"/>
      <c r="AX4280" s="38"/>
      <c r="AY4280" s="38"/>
      <c r="AZ4280" s="38"/>
      <c r="BA4280" s="38"/>
      <c r="BB4280" s="38"/>
      <c r="BC4280" s="38"/>
      <c r="BD4280" s="38"/>
      <c r="BE4280" s="38"/>
      <c r="BF4280" s="38"/>
      <c r="BG4280" s="38"/>
      <c r="BH4280" s="38"/>
      <c r="BI4280" s="38"/>
      <c r="BJ4280" s="38"/>
      <c r="BK4280" s="38"/>
      <c r="BL4280" s="38"/>
      <c r="BM4280" s="38"/>
      <c r="BN4280" s="38"/>
      <c r="BO4280" s="38"/>
      <c r="BP4280" s="38"/>
      <c r="BQ4280" s="38"/>
    </row>
    <row r="4281">
      <c r="A4281" s="16"/>
      <c r="B4281" s="145"/>
      <c r="C4281" s="146"/>
      <c r="D4281" s="146"/>
      <c r="E4281" s="16"/>
      <c r="F4281" s="91"/>
      <c r="G4281" s="16"/>
      <c r="H4281" s="320" t="str">
        <f t="shared" si="424"/>
        <v/>
      </c>
      <c r="I4281" s="16"/>
      <c r="J4281" s="16"/>
      <c r="K4281" s="16"/>
      <c r="L4281" s="16"/>
      <c r="M4281" s="15"/>
      <c r="N4281" s="15"/>
      <c r="O4281" s="16"/>
      <c r="P4281" s="16"/>
      <c r="Q4281" s="16"/>
      <c r="R4281" s="16"/>
      <c r="S4281" s="37" t="str">
        <f>IFERROR(__xludf.DUMMYFUNCTION("if(not(iserror(index(split(C4281, "" ""),2))), index(split(C4281, "" ""),1),"""")"),"")</f>
        <v/>
      </c>
      <c r="T4281" s="315" t="str">
        <f>IFERROR(__xludf.DUMMYFUNCTION("if(S4281="""",C4281,if(not(iserror(index(split(C4281, "" ""),3))), index(split(C4281, "" ""),3),index(split(C4281, "" ""),2)))"),"")</f>
        <v/>
      </c>
      <c r="U4281" s="38" t="b">
        <f t="shared" si="423"/>
        <v>0</v>
      </c>
      <c r="V4281" s="38"/>
      <c r="W4281" s="40"/>
      <c r="X4281" s="40"/>
      <c r="Y4281" s="40"/>
      <c r="Z4281" s="38"/>
      <c r="AA4281" s="38"/>
      <c r="AB4281" s="38"/>
      <c r="AC4281" s="38"/>
      <c r="AD4281" s="38"/>
      <c r="AE4281" s="38"/>
      <c r="AF4281" s="38"/>
      <c r="AG4281" s="38"/>
      <c r="AH4281" s="38"/>
      <c r="AI4281" s="38"/>
      <c r="AJ4281" s="38"/>
      <c r="AK4281" s="38"/>
      <c r="AL4281" s="38"/>
      <c r="AM4281" s="38"/>
      <c r="AN4281" s="38"/>
      <c r="AO4281" s="38"/>
      <c r="AP4281" s="38"/>
      <c r="AQ4281" s="38"/>
      <c r="AR4281" s="38"/>
      <c r="AS4281" s="38"/>
      <c r="AT4281" s="38"/>
      <c r="AU4281" s="38"/>
      <c r="AV4281" s="38"/>
      <c r="AW4281" s="38"/>
      <c r="AX4281" s="38"/>
      <c r="AY4281" s="38"/>
      <c r="AZ4281" s="38"/>
      <c r="BA4281" s="38"/>
      <c r="BB4281" s="38"/>
      <c r="BC4281" s="38"/>
      <c r="BD4281" s="38"/>
      <c r="BE4281" s="38"/>
      <c r="BF4281" s="38"/>
      <c r="BG4281" s="38"/>
      <c r="BH4281" s="38"/>
      <c r="BI4281" s="38"/>
      <c r="BJ4281" s="38"/>
      <c r="BK4281" s="38"/>
      <c r="BL4281" s="38"/>
      <c r="BM4281" s="38"/>
      <c r="BN4281" s="38"/>
      <c r="BO4281" s="38"/>
      <c r="BP4281" s="38"/>
      <c r="BQ4281" s="38"/>
    </row>
    <row r="4282">
      <c r="A4282" s="16"/>
      <c r="B4282" s="145"/>
      <c r="C4282" s="146"/>
      <c r="D4282" s="146"/>
      <c r="E4282" s="16"/>
      <c r="F4282" s="91"/>
      <c r="G4282" s="16"/>
      <c r="H4282" s="320" t="str">
        <f t="shared" si="424"/>
        <v/>
      </c>
      <c r="I4282" s="16"/>
      <c r="J4282" s="16"/>
      <c r="K4282" s="16"/>
      <c r="L4282" s="16"/>
      <c r="M4282" s="15"/>
      <c r="N4282" s="15"/>
      <c r="O4282" s="16"/>
      <c r="P4282" s="16"/>
      <c r="Q4282" s="16"/>
      <c r="R4282" s="16"/>
      <c r="S4282" s="37" t="str">
        <f>IFERROR(__xludf.DUMMYFUNCTION("if(not(iserror(index(split(C4282, "" ""),2))), index(split(C4282, "" ""),1),"""")"),"")</f>
        <v/>
      </c>
      <c r="T4282" s="315" t="str">
        <f>IFERROR(__xludf.DUMMYFUNCTION("if(S4282="""",C4282,if(not(iserror(index(split(C4282, "" ""),3))), index(split(C4282, "" ""),3),index(split(C4282, "" ""),2)))"),"")</f>
        <v/>
      </c>
      <c r="U4282" s="38" t="b">
        <f t="shared" si="423"/>
        <v>0</v>
      </c>
      <c r="V4282" s="38"/>
      <c r="W4282" s="40"/>
      <c r="X4282" s="40"/>
      <c r="Y4282" s="40"/>
      <c r="Z4282" s="38"/>
      <c r="AA4282" s="38"/>
      <c r="AB4282" s="38"/>
      <c r="AC4282" s="38"/>
      <c r="AD4282" s="38"/>
      <c r="AE4282" s="38"/>
      <c r="AF4282" s="38"/>
      <c r="AG4282" s="38"/>
      <c r="AH4282" s="38"/>
      <c r="AI4282" s="38"/>
      <c r="AJ4282" s="38"/>
      <c r="AK4282" s="38"/>
      <c r="AL4282" s="38"/>
      <c r="AM4282" s="38"/>
      <c r="AN4282" s="38"/>
      <c r="AO4282" s="38"/>
      <c r="AP4282" s="38"/>
      <c r="AQ4282" s="38"/>
      <c r="AR4282" s="38"/>
      <c r="AS4282" s="38"/>
      <c r="AT4282" s="38"/>
      <c r="AU4282" s="38"/>
      <c r="AV4282" s="38"/>
      <c r="AW4282" s="38"/>
      <c r="AX4282" s="38"/>
      <c r="AY4282" s="38"/>
      <c r="AZ4282" s="38"/>
      <c r="BA4282" s="38"/>
      <c r="BB4282" s="38"/>
      <c r="BC4282" s="38"/>
      <c r="BD4282" s="38"/>
      <c r="BE4282" s="38"/>
      <c r="BF4282" s="38"/>
      <c r="BG4282" s="38"/>
      <c r="BH4282" s="38"/>
      <c r="BI4282" s="38"/>
      <c r="BJ4282" s="38"/>
      <c r="BK4282" s="38"/>
      <c r="BL4282" s="38"/>
      <c r="BM4282" s="38"/>
      <c r="BN4282" s="38"/>
      <c r="BO4282" s="38"/>
      <c r="BP4282" s="38"/>
      <c r="BQ4282" s="38"/>
    </row>
    <row r="4283">
      <c r="A4283" s="16"/>
      <c r="B4283" s="145"/>
      <c r="C4283" s="146"/>
      <c r="D4283" s="146"/>
      <c r="E4283" s="16"/>
      <c r="F4283" s="91"/>
      <c r="G4283" s="16"/>
      <c r="H4283" s="320" t="str">
        <f t="shared" si="424"/>
        <v/>
      </c>
      <c r="I4283" s="16"/>
      <c r="J4283" s="16"/>
      <c r="K4283" s="16"/>
      <c r="L4283" s="16"/>
      <c r="M4283" s="15"/>
      <c r="N4283" s="15"/>
      <c r="O4283" s="16"/>
      <c r="P4283" s="16"/>
      <c r="Q4283" s="16"/>
      <c r="R4283" s="16"/>
      <c r="S4283" s="37" t="str">
        <f>IFERROR(__xludf.DUMMYFUNCTION("if(not(iserror(index(split(C4283, "" ""),2))), index(split(C4283, "" ""),1),"""")"),"")</f>
        <v/>
      </c>
      <c r="T4283" s="315" t="str">
        <f>IFERROR(__xludf.DUMMYFUNCTION("if(S4283="""",C4283,if(not(iserror(index(split(C4283, "" ""),3))), index(split(C4283, "" ""),3),index(split(C4283, "" ""),2)))"),"")</f>
        <v/>
      </c>
      <c r="U4283" s="38" t="b">
        <f t="shared" si="423"/>
        <v>0</v>
      </c>
      <c r="V4283" s="38"/>
      <c r="W4283" s="40"/>
      <c r="X4283" s="40"/>
      <c r="Y4283" s="40"/>
      <c r="Z4283" s="38"/>
      <c r="AA4283" s="38"/>
      <c r="AB4283" s="38"/>
      <c r="AC4283" s="38"/>
      <c r="AD4283" s="38"/>
      <c r="AE4283" s="38"/>
      <c r="AF4283" s="38"/>
      <c r="AG4283" s="38"/>
      <c r="AH4283" s="38"/>
      <c r="AI4283" s="38"/>
      <c r="AJ4283" s="38"/>
      <c r="AK4283" s="38"/>
      <c r="AL4283" s="38"/>
      <c r="AM4283" s="38"/>
      <c r="AN4283" s="38"/>
      <c r="AO4283" s="38"/>
      <c r="AP4283" s="38"/>
      <c r="AQ4283" s="38"/>
      <c r="AR4283" s="38"/>
      <c r="AS4283" s="38"/>
      <c r="AT4283" s="38"/>
      <c r="AU4283" s="38"/>
      <c r="AV4283" s="38"/>
      <c r="AW4283" s="38"/>
      <c r="AX4283" s="38"/>
      <c r="AY4283" s="38"/>
      <c r="AZ4283" s="38"/>
      <c r="BA4283" s="38"/>
      <c r="BB4283" s="38"/>
      <c r="BC4283" s="38"/>
      <c r="BD4283" s="38"/>
      <c r="BE4283" s="38"/>
      <c r="BF4283" s="38"/>
      <c r="BG4283" s="38"/>
      <c r="BH4283" s="38"/>
      <c r="BI4283" s="38"/>
      <c r="BJ4283" s="38"/>
      <c r="BK4283" s="38"/>
      <c r="BL4283" s="38"/>
      <c r="BM4283" s="38"/>
      <c r="BN4283" s="38"/>
      <c r="BO4283" s="38"/>
      <c r="BP4283" s="38"/>
      <c r="BQ4283" s="38"/>
    </row>
    <row r="4284">
      <c r="A4284" s="16"/>
      <c r="B4284" s="145"/>
      <c r="C4284" s="146"/>
      <c r="D4284" s="146"/>
      <c r="E4284" s="16"/>
      <c r="F4284" s="91"/>
      <c r="G4284" s="16"/>
      <c r="H4284" s="320" t="str">
        <f t="shared" si="424"/>
        <v/>
      </c>
      <c r="I4284" s="16"/>
      <c r="J4284" s="16"/>
      <c r="K4284" s="16"/>
      <c r="L4284" s="16"/>
      <c r="M4284" s="15"/>
      <c r="N4284" s="15"/>
      <c r="O4284" s="16"/>
      <c r="P4284" s="16"/>
      <c r="Q4284" s="16"/>
      <c r="R4284" s="16"/>
      <c r="S4284" s="37" t="str">
        <f>IFERROR(__xludf.DUMMYFUNCTION("if(not(iserror(index(split(C4284, "" ""),2))), index(split(C4284, "" ""),1),"""")"),"")</f>
        <v/>
      </c>
      <c r="T4284" s="315" t="str">
        <f>IFERROR(__xludf.DUMMYFUNCTION("if(S4284="""",C4284,if(not(iserror(index(split(C4284, "" ""),3))), index(split(C4284, "" ""),3),index(split(C4284, "" ""),2)))"),"")</f>
        <v/>
      </c>
      <c r="U4284" s="38" t="b">
        <f t="shared" si="423"/>
        <v>0</v>
      </c>
      <c r="V4284" s="38"/>
      <c r="W4284" s="40"/>
      <c r="X4284" s="40"/>
      <c r="Y4284" s="40"/>
      <c r="Z4284" s="38"/>
      <c r="AA4284" s="38"/>
      <c r="AB4284" s="38"/>
      <c r="AC4284" s="38"/>
      <c r="AD4284" s="38"/>
      <c r="AE4284" s="38"/>
      <c r="AF4284" s="38"/>
      <c r="AG4284" s="38"/>
      <c r="AH4284" s="38"/>
      <c r="AI4284" s="38"/>
      <c r="AJ4284" s="38"/>
      <c r="AK4284" s="38"/>
      <c r="AL4284" s="38"/>
      <c r="AM4284" s="38"/>
      <c r="AN4284" s="38"/>
      <c r="AO4284" s="38"/>
      <c r="AP4284" s="38"/>
      <c r="AQ4284" s="38"/>
      <c r="AR4284" s="38"/>
      <c r="AS4284" s="38"/>
      <c r="AT4284" s="38"/>
      <c r="AU4284" s="38"/>
      <c r="AV4284" s="38"/>
      <c r="AW4284" s="38"/>
      <c r="AX4284" s="38"/>
      <c r="AY4284" s="38"/>
      <c r="AZ4284" s="38"/>
      <c r="BA4284" s="38"/>
      <c r="BB4284" s="38"/>
      <c r="BC4284" s="38"/>
      <c r="BD4284" s="38"/>
      <c r="BE4284" s="38"/>
      <c r="BF4284" s="38"/>
      <c r="BG4284" s="38"/>
      <c r="BH4284" s="38"/>
      <c r="BI4284" s="38"/>
      <c r="BJ4284" s="38"/>
      <c r="BK4284" s="38"/>
      <c r="BL4284" s="38"/>
      <c r="BM4284" s="38"/>
      <c r="BN4284" s="38"/>
      <c r="BO4284" s="38"/>
      <c r="BP4284" s="38"/>
      <c r="BQ4284" s="38"/>
    </row>
    <row r="4285">
      <c r="A4285" s="16"/>
      <c r="B4285" s="145"/>
      <c r="C4285" s="146"/>
      <c r="D4285" s="146"/>
      <c r="E4285" s="16"/>
      <c r="F4285" s="91"/>
      <c r="G4285" s="16"/>
      <c r="H4285" s="320" t="str">
        <f t="shared" si="424"/>
        <v/>
      </c>
      <c r="I4285" s="16"/>
      <c r="J4285" s="16"/>
      <c r="K4285" s="16"/>
      <c r="L4285" s="16"/>
      <c r="M4285" s="15"/>
      <c r="N4285" s="15"/>
      <c r="O4285" s="16"/>
      <c r="P4285" s="16"/>
      <c r="Q4285" s="16"/>
      <c r="R4285" s="16"/>
      <c r="S4285" s="37" t="str">
        <f>IFERROR(__xludf.DUMMYFUNCTION("if(not(iserror(index(split(C4285, "" ""),2))), index(split(C4285, "" ""),1),"""")"),"")</f>
        <v/>
      </c>
      <c r="T4285" s="315" t="str">
        <f>IFERROR(__xludf.DUMMYFUNCTION("if(S4285="""",C4285,if(not(iserror(index(split(C4285, "" ""),3))), index(split(C4285, "" ""),3),index(split(C4285, "" ""),2)))"),"")</f>
        <v/>
      </c>
      <c r="U4285" s="38" t="b">
        <f t="shared" si="423"/>
        <v>0</v>
      </c>
      <c r="V4285" s="38"/>
      <c r="W4285" s="40"/>
      <c r="X4285" s="40"/>
      <c r="Y4285" s="40"/>
      <c r="Z4285" s="38"/>
      <c r="AA4285" s="38"/>
      <c r="AB4285" s="38"/>
      <c r="AC4285" s="38"/>
      <c r="AD4285" s="38"/>
      <c r="AE4285" s="38"/>
      <c r="AF4285" s="38"/>
      <c r="AG4285" s="38"/>
      <c r="AH4285" s="38"/>
      <c r="AI4285" s="38"/>
      <c r="AJ4285" s="38"/>
      <c r="AK4285" s="38"/>
      <c r="AL4285" s="38"/>
      <c r="AM4285" s="38"/>
      <c r="AN4285" s="38"/>
      <c r="AO4285" s="38"/>
      <c r="AP4285" s="38"/>
      <c r="AQ4285" s="38"/>
      <c r="AR4285" s="38"/>
      <c r="AS4285" s="38"/>
      <c r="AT4285" s="38"/>
      <c r="AU4285" s="38"/>
      <c r="AV4285" s="38"/>
      <c r="AW4285" s="38"/>
      <c r="AX4285" s="38"/>
      <c r="AY4285" s="38"/>
      <c r="AZ4285" s="38"/>
      <c r="BA4285" s="38"/>
      <c r="BB4285" s="38"/>
      <c r="BC4285" s="38"/>
      <c r="BD4285" s="38"/>
      <c r="BE4285" s="38"/>
      <c r="BF4285" s="38"/>
      <c r="BG4285" s="38"/>
      <c r="BH4285" s="38"/>
      <c r="BI4285" s="38"/>
      <c r="BJ4285" s="38"/>
      <c r="BK4285" s="38"/>
      <c r="BL4285" s="38"/>
      <c r="BM4285" s="38"/>
      <c r="BN4285" s="38"/>
      <c r="BO4285" s="38"/>
      <c r="BP4285" s="38"/>
      <c r="BQ4285" s="38"/>
    </row>
    <row r="4286">
      <c r="A4286" s="16"/>
      <c r="B4286" s="145"/>
      <c r="C4286" s="146"/>
      <c r="D4286" s="146"/>
      <c r="E4286" s="16"/>
      <c r="F4286" s="91"/>
      <c r="G4286" s="16"/>
      <c r="H4286" s="320" t="str">
        <f t="shared" si="424"/>
        <v/>
      </c>
      <c r="I4286" s="16"/>
      <c r="J4286" s="16"/>
      <c r="K4286" s="16"/>
      <c r="L4286" s="16"/>
      <c r="M4286" s="15"/>
      <c r="N4286" s="15"/>
      <c r="O4286" s="16"/>
      <c r="P4286" s="16"/>
      <c r="Q4286" s="16"/>
      <c r="R4286" s="16"/>
      <c r="S4286" s="37" t="str">
        <f>IFERROR(__xludf.DUMMYFUNCTION("if(not(iserror(index(split(C4286, "" ""),2))), index(split(C4286, "" ""),1),"""")"),"")</f>
        <v/>
      </c>
      <c r="T4286" s="315" t="str">
        <f>IFERROR(__xludf.DUMMYFUNCTION("if(S4286="""",C4286,if(not(iserror(index(split(C4286, "" ""),3))), index(split(C4286, "" ""),3),index(split(C4286, "" ""),2)))"),"")</f>
        <v/>
      </c>
      <c r="U4286" s="38" t="b">
        <f t="shared" si="423"/>
        <v>0</v>
      </c>
      <c r="V4286" s="38"/>
      <c r="W4286" s="40"/>
      <c r="X4286" s="40"/>
      <c r="Y4286" s="40"/>
      <c r="Z4286" s="38"/>
      <c r="AA4286" s="38"/>
      <c r="AB4286" s="38"/>
      <c r="AC4286" s="38"/>
      <c r="AD4286" s="38"/>
      <c r="AE4286" s="38"/>
      <c r="AF4286" s="38"/>
      <c r="AG4286" s="38"/>
      <c r="AH4286" s="38"/>
      <c r="AI4286" s="38"/>
      <c r="AJ4286" s="38"/>
      <c r="AK4286" s="38"/>
      <c r="AL4286" s="38"/>
      <c r="AM4286" s="38"/>
      <c r="AN4286" s="38"/>
      <c r="AO4286" s="38"/>
      <c r="AP4286" s="38"/>
      <c r="AQ4286" s="38"/>
      <c r="AR4286" s="38"/>
      <c r="AS4286" s="38"/>
      <c r="AT4286" s="38"/>
      <c r="AU4286" s="38"/>
      <c r="AV4286" s="38"/>
      <c r="AW4286" s="38"/>
      <c r="AX4286" s="38"/>
      <c r="AY4286" s="38"/>
      <c r="AZ4286" s="38"/>
      <c r="BA4286" s="38"/>
      <c r="BB4286" s="38"/>
      <c r="BC4286" s="38"/>
      <c r="BD4286" s="38"/>
      <c r="BE4286" s="38"/>
      <c r="BF4286" s="38"/>
      <c r="BG4286" s="38"/>
      <c r="BH4286" s="38"/>
      <c r="BI4286" s="38"/>
      <c r="BJ4286" s="38"/>
      <c r="BK4286" s="38"/>
      <c r="BL4286" s="38"/>
      <c r="BM4286" s="38"/>
      <c r="BN4286" s="38"/>
      <c r="BO4286" s="38"/>
      <c r="BP4286" s="38"/>
      <c r="BQ4286" s="38"/>
    </row>
    <row r="4287">
      <c r="A4287" s="16"/>
      <c r="B4287" s="145"/>
      <c r="C4287" s="146"/>
      <c r="D4287" s="146"/>
      <c r="E4287" s="16"/>
      <c r="F4287" s="91"/>
      <c r="G4287" s="16"/>
      <c r="H4287" s="320" t="str">
        <f t="shared" si="424"/>
        <v/>
      </c>
      <c r="I4287" s="16"/>
      <c r="J4287" s="16"/>
      <c r="K4287" s="16"/>
      <c r="L4287" s="16"/>
      <c r="M4287" s="15"/>
      <c r="N4287" s="15"/>
      <c r="O4287" s="16"/>
      <c r="P4287" s="16"/>
      <c r="Q4287" s="16"/>
      <c r="R4287" s="16"/>
      <c r="S4287" s="37" t="str">
        <f>IFERROR(__xludf.DUMMYFUNCTION("if(not(iserror(index(split(C4287, "" ""),2))), index(split(C4287, "" ""),1),"""")"),"")</f>
        <v/>
      </c>
      <c r="T4287" s="315" t="str">
        <f>IFERROR(__xludf.DUMMYFUNCTION("if(S4287="""",C4287,if(not(iserror(index(split(C4287, "" ""),3))), index(split(C4287, "" ""),3),index(split(C4287, "" ""),2)))"),"")</f>
        <v/>
      </c>
      <c r="U4287" s="38" t="b">
        <f t="shared" si="423"/>
        <v>0</v>
      </c>
      <c r="V4287" s="38"/>
      <c r="W4287" s="40"/>
      <c r="X4287" s="40"/>
      <c r="Y4287" s="40"/>
      <c r="Z4287" s="38"/>
      <c r="AA4287" s="38"/>
      <c r="AB4287" s="38"/>
      <c r="AC4287" s="38"/>
      <c r="AD4287" s="38"/>
      <c r="AE4287" s="38"/>
      <c r="AF4287" s="38"/>
      <c r="AG4287" s="38"/>
      <c r="AH4287" s="38"/>
      <c r="AI4287" s="38"/>
      <c r="AJ4287" s="38"/>
      <c r="AK4287" s="38"/>
      <c r="AL4287" s="38"/>
      <c r="AM4287" s="38"/>
      <c r="AN4287" s="38"/>
      <c r="AO4287" s="38"/>
      <c r="AP4287" s="38"/>
      <c r="AQ4287" s="38"/>
      <c r="AR4287" s="38"/>
      <c r="AS4287" s="38"/>
      <c r="AT4287" s="38"/>
      <c r="AU4287" s="38"/>
      <c r="AV4287" s="38"/>
      <c r="AW4287" s="38"/>
      <c r="AX4287" s="38"/>
      <c r="AY4287" s="38"/>
      <c r="AZ4287" s="38"/>
      <c r="BA4287" s="38"/>
      <c r="BB4287" s="38"/>
      <c r="BC4287" s="38"/>
      <c r="BD4287" s="38"/>
      <c r="BE4287" s="38"/>
      <c r="BF4287" s="38"/>
      <c r="BG4287" s="38"/>
      <c r="BH4287" s="38"/>
      <c r="BI4287" s="38"/>
      <c r="BJ4287" s="38"/>
      <c r="BK4287" s="38"/>
      <c r="BL4287" s="38"/>
      <c r="BM4287" s="38"/>
      <c r="BN4287" s="38"/>
      <c r="BO4287" s="38"/>
      <c r="BP4287" s="38"/>
      <c r="BQ4287" s="38"/>
    </row>
    <row r="4288">
      <c r="A4288" s="16"/>
      <c r="B4288" s="145"/>
      <c r="C4288" s="146"/>
      <c r="D4288" s="146"/>
      <c r="E4288" s="16"/>
      <c r="F4288" s="91"/>
      <c r="G4288" s="16"/>
      <c r="H4288" s="320" t="str">
        <f t="shared" si="424"/>
        <v/>
      </c>
      <c r="I4288" s="16"/>
      <c r="J4288" s="16"/>
      <c r="K4288" s="16"/>
      <c r="L4288" s="16"/>
      <c r="M4288" s="15"/>
      <c r="N4288" s="15"/>
      <c r="O4288" s="16"/>
      <c r="P4288" s="16"/>
      <c r="Q4288" s="16"/>
      <c r="R4288" s="16"/>
      <c r="S4288" s="37" t="str">
        <f>IFERROR(__xludf.DUMMYFUNCTION("if(not(iserror(index(split(C4288, "" ""),2))), index(split(C4288, "" ""),1),"""")"),"")</f>
        <v/>
      </c>
      <c r="T4288" s="315" t="str">
        <f>IFERROR(__xludf.DUMMYFUNCTION("if(S4288="""",C4288,if(not(iserror(index(split(C4288, "" ""),3))), index(split(C4288, "" ""),3),index(split(C4288, "" ""),2)))"),"")</f>
        <v/>
      </c>
      <c r="U4288" s="38" t="b">
        <f t="shared" si="423"/>
        <v>0</v>
      </c>
      <c r="V4288" s="38"/>
      <c r="W4288" s="40"/>
      <c r="X4288" s="40"/>
      <c r="Y4288" s="40"/>
      <c r="Z4288" s="38"/>
      <c r="AA4288" s="38"/>
      <c r="AB4288" s="38"/>
      <c r="AC4288" s="38"/>
      <c r="AD4288" s="38"/>
      <c r="AE4288" s="38"/>
      <c r="AF4288" s="38"/>
      <c r="AG4288" s="38"/>
      <c r="AH4288" s="38"/>
      <c r="AI4288" s="38"/>
      <c r="AJ4288" s="38"/>
      <c r="AK4288" s="38"/>
      <c r="AL4288" s="38"/>
      <c r="AM4288" s="38"/>
      <c r="AN4288" s="38"/>
      <c r="AO4288" s="38"/>
      <c r="AP4288" s="38"/>
      <c r="AQ4288" s="38"/>
      <c r="AR4288" s="38"/>
      <c r="AS4288" s="38"/>
      <c r="AT4288" s="38"/>
      <c r="AU4288" s="38"/>
      <c r="AV4288" s="38"/>
      <c r="AW4288" s="38"/>
      <c r="AX4288" s="38"/>
      <c r="AY4288" s="38"/>
      <c r="AZ4288" s="38"/>
      <c r="BA4288" s="38"/>
      <c r="BB4288" s="38"/>
      <c r="BC4288" s="38"/>
      <c r="BD4288" s="38"/>
      <c r="BE4288" s="38"/>
      <c r="BF4288" s="38"/>
      <c r="BG4288" s="38"/>
      <c r="BH4288" s="38"/>
      <c r="BI4288" s="38"/>
      <c r="BJ4288" s="38"/>
      <c r="BK4288" s="38"/>
      <c r="BL4288" s="38"/>
      <c r="BM4288" s="38"/>
      <c r="BN4288" s="38"/>
      <c r="BO4288" s="38"/>
      <c r="BP4288" s="38"/>
      <c r="BQ4288" s="38"/>
    </row>
    <row r="4289">
      <c r="A4289" s="16"/>
      <c r="B4289" s="145"/>
      <c r="C4289" s="146"/>
      <c r="D4289" s="146"/>
      <c r="E4289" s="16"/>
      <c r="F4289" s="91"/>
      <c r="G4289" s="16"/>
      <c r="H4289" s="320" t="str">
        <f t="shared" si="424"/>
        <v/>
      </c>
      <c r="I4289" s="16"/>
      <c r="J4289" s="16"/>
      <c r="K4289" s="16"/>
      <c r="L4289" s="16"/>
      <c r="M4289" s="15"/>
      <c r="N4289" s="15"/>
      <c r="O4289" s="16"/>
      <c r="P4289" s="16"/>
      <c r="Q4289" s="16"/>
      <c r="R4289" s="16"/>
      <c r="S4289" s="37" t="str">
        <f>IFERROR(__xludf.DUMMYFUNCTION("if(not(iserror(index(split(C4289, "" ""),2))), index(split(C4289, "" ""),1),"""")"),"")</f>
        <v/>
      </c>
      <c r="T4289" s="315" t="str">
        <f>IFERROR(__xludf.DUMMYFUNCTION("if(S4289="""",C4289,if(not(iserror(index(split(C4289, "" ""),3))), index(split(C4289, "" ""),3),index(split(C4289, "" ""),2)))"),"")</f>
        <v/>
      </c>
      <c r="U4289" s="38" t="b">
        <f t="shared" si="423"/>
        <v>0</v>
      </c>
      <c r="V4289" s="38"/>
      <c r="W4289" s="40"/>
      <c r="X4289" s="40"/>
      <c r="Y4289" s="40"/>
      <c r="Z4289" s="38"/>
      <c r="AA4289" s="38"/>
      <c r="AB4289" s="38"/>
      <c r="AC4289" s="38"/>
      <c r="AD4289" s="38"/>
      <c r="AE4289" s="38"/>
      <c r="AF4289" s="38"/>
      <c r="AG4289" s="38"/>
      <c r="AH4289" s="38"/>
      <c r="AI4289" s="38"/>
      <c r="AJ4289" s="38"/>
      <c r="AK4289" s="38"/>
      <c r="AL4289" s="38"/>
      <c r="AM4289" s="38"/>
      <c r="AN4289" s="38"/>
      <c r="AO4289" s="38"/>
      <c r="AP4289" s="38"/>
      <c r="AQ4289" s="38"/>
      <c r="AR4289" s="38"/>
      <c r="AS4289" s="38"/>
      <c r="AT4289" s="38"/>
      <c r="AU4289" s="38"/>
      <c r="AV4289" s="38"/>
      <c r="AW4289" s="38"/>
      <c r="AX4289" s="38"/>
      <c r="AY4289" s="38"/>
      <c r="AZ4289" s="38"/>
      <c r="BA4289" s="38"/>
      <c r="BB4289" s="38"/>
      <c r="BC4289" s="38"/>
      <c r="BD4289" s="38"/>
      <c r="BE4289" s="38"/>
      <c r="BF4289" s="38"/>
      <c r="BG4289" s="38"/>
      <c r="BH4289" s="38"/>
      <c r="BI4289" s="38"/>
      <c r="BJ4289" s="38"/>
      <c r="BK4289" s="38"/>
      <c r="BL4289" s="38"/>
      <c r="BM4289" s="38"/>
      <c r="BN4289" s="38"/>
      <c r="BO4289" s="38"/>
      <c r="BP4289" s="38"/>
      <c r="BQ4289" s="38"/>
    </row>
    <row r="4290">
      <c r="A4290" s="16"/>
      <c r="B4290" s="145"/>
      <c r="C4290" s="146"/>
      <c r="D4290" s="146"/>
      <c r="E4290" s="16"/>
      <c r="F4290" s="91"/>
      <c r="G4290" s="16"/>
      <c r="H4290" s="320" t="str">
        <f t="shared" si="424"/>
        <v/>
      </c>
      <c r="I4290" s="16"/>
      <c r="J4290" s="16"/>
      <c r="K4290" s="16"/>
      <c r="L4290" s="16"/>
      <c r="M4290" s="15"/>
      <c r="N4290" s="15"/>
      <c r="O4290" s="16"/>
      <c r="P4290" s="16"/>
      <c r="Q4290" s="16"/>
      <c r="R4290" s="16"/>
      <c r="S4290" s="37" t="str">
        <f>IFERROR(__xludf.DUMMYFUNCTION("if(not(iserror(index(split(C4290, "" ""),2))), index(split(C4290, "" ""),1),"""")"),"")</f>
        <v/>
      </c>
      <c r="T4290" s="315" t="str">
        <f>IFERROR(__xludf.DUMMYFUNCTION("if(S4290="""",C4290,if(not(iserror(index(split(C4290, "" ""),3))), index(split(C4290, "" ""),3),index(split(C4290, "" ""),2)))"),"")</f>
        <v/>
      </c>
      <c r="U4290" s="38" t="b">
        <f t="shared" si="423"/>
        <v>0</v>
      </c>
      <c r="V4290" s="38"/>
      <c r="W4290" s="40"/>
      <c r="X4290" s="40"/>
      <c r="Y4290" s="40"/>
      <c r="Z4290" s="38"/>
      <c r="AA4290" s="38"/>
      <c r="AB4290" s="38"/>
      <c r="AC4290" s="38"/>
      <c r="AD4290" s="38"/>
      <c r="AE4290" s="38"/>
      <c r="AF4290" s="38"/>
      <c r="AG4290" s="38"/>
      <c r="AH4290" s="38"/>
      <c r="AI4290" s="38"/>
      <c r="AJ4290" s="38"/>
      <c r="AK4290" s="38"/>
      <c r="AL4290" s="38"/>
      <c r="AM4290" s="38"/>
      <c r="AN4290" s="38"/>
      <c r="AO4290" s="38"/>
      <c r="AP4290" s="38"/>
      <c r="AQ4290" s="38"/>
      <c r="AR4290" s="38"/>
      <c r="AS4290" s="38"/>
      <c r="AT4290" s="38"/>
      <c r="AU4290" s="38"/>
      <c r="AV4290" s="38"/>
      <c r="AW4290" s="38"/>
      <c r="AX4290" s="38"/>
      <c r="AY4290" s="38"/>
      <c r="AZ4290" s="38"/>
      <c r="BA4290" s="38"/>
      <c r="BB4290" s="38"/>
      <c r="BC4290" s="38"/>
      <c r="BD4290" s="38"/>
      <c r="BE4290" s="38"/>
      <c r="BF4290" s="38"/>
      <c r="BG4290" s="38"/>
      <c r="BH4290" s="38"/>
      <c r="BI4290" s="38"/>
      <c r="BJ4290" s="38"/>
      <c r="BK4290" s="38"/>
      <c r="BL4290" s="38"/>
      <c r="BM4290" s="38"/>
      <c r="BN4290" s="38"/>
      <c r="BO4290" s="38"/>
      <c r="BP4290" s="38"/>
      <c r="BQ4290" s="38"/>
    </row>
    <row r="4291">
      <c r="A4291" s="16"/>
      <c r="B4291" s="145"/>
      <c r="C4291" s="146"/>
      <c r="D4291" s="146"/>
      <c r="E4291" s="16"/>
      <c r="F4291" s="91"/>
      <c r="G4291" s="16"/>
      <c r="H4291" s="320" t="str">
        <f t="shared" si="424"/>
        <v/>
      </c>
      <c r="I4291" s="16"/>
      <c r="J4291" s="16"/>
      <c r="K4291" s="16"/>
      <c r="L4291" s="16"/>
      <c r="M4291" s="15"/>
      <c r="N4291" s="15"/>
      <c r="O4291" s="16"/>
      <c r="P4291" s="16"/>
      <c r="Q4291" s="16"/>
      <c r="R4291" s="16"/>
      <c r="S4291" s="37" t="str">
        <f>IFERROR(__xludf.DUMMYFUNCTION("if(not(iserror(index(split(C4291, "" ""),2))), index(split(C4291, "" ""),1),"""")"),"")</f>
        <v/>
      </c>
      <c r="T4291" s="315" t="str">
        <f>IFERROR(__xludf.DUMMYFUNCTION("if(S4291="""",C4291,if(not(iserror(index(split(C4291, "" ""),3))), index(split(C4291, "" ""),3),index(split(C4291, "" ""),2)))"),"")</f>
        <v/>
      </c>
      <c r="U4291" s="38" t="b">
        <f t="shared" si="423"/>
        <v>0</v>
      </c>
      <c r="V4291" s="38"/>
      <c r="W4291" s="40"/>
      <c r="X4291" s="40"/>
      <c r="Y4291" s="40"/>
      <c r="Z4291" s="38"/>
      <c r="AA4291" s="38"/>
      <c r="AB4291" s="38"/>
      <c r="AC4291" s="38"/>
      <c r="AD4291" s="38"/>
      <c r="AE4291" s="38"/>
      <c r="AF4291" s="38"/>
      <c r="AG4291" s="38"/>
      <c r="AH4291" s="38"/>
      <c r="AI4291" s="38"/>
      <c r="AJ4291" s="38"/>
      <c r="AK4291" s="38"/>
      <c r="AL4291" s="38"/>
      <c r="AM4291" s="38"/>
      <c r="AN4291" s="38"/>
      <c r="AO4291" s="38"/>
      <c r="AP4291" s="38"/>
      <c r="AQ4291" s="38"/>
      <c r="AR4291" s="38"/>
      <c r="AS4291" s="38"/>
      <c r="AT4291" s="38"/>
      <c r="AU4291" s="38"/>
      <c r="AV4291" s="38"/>
      <c r="AW4291" s="38"/>
      <c r="AX4291" s="38"/>
      <c r="AY4291" s="38"/>
      <c r="AZ4291" s="38"/>
      <c r="BA4291" s="38"/>
      <c r="BB4291" s="38"/>
      <c r="BC4291" s="38"/>
      <c r="BD4291" s="38"/>
      <c r="BE4291" s="38"/>
      <c r="BF4291" s="38"/>
      <c r="BG4291" s="38"/>
      <c r="BH4291" s="38"/>
      <c r="BI4291" s="38"/>
      <c r="BJ4291" s="38"/>
      <c r="BK4291" s="38"/>
      <c r="BL4291" s="38"/>
      <c r="BM4291" s="38"/>
      <c r="BN4291" s="38"/>
      <c r="BO4291" s="38"/>
      <c r="BP4291" s="38"/>
      <c r="BQ4291" s="38"/>
    </row>
    <row r="4292">
      <c r="A4292" s="16"/>
      <c r="B4292" s="145"/>
      <c r="C4292" s="146"/>
      <c r="D4292" s="146"/>
      <c r="E4292" s="16"/>
      <c r="F4292" s="91"/>
      <c r="G4292" s="16"/>
      <c r="H4292" s="320" t="str">
        <f t="shared" si="424"/>
        <v/>
      </c>
      <c r="I4292" s="16"/>
      <c r="J4292" s="16"/>
      <c r="K4292" s="16"/>
      <c r="L4292" s="16"/>
      <c r="M4292" s="15"/>
      <c r="N4292" s="15"/>
      <c r="O4292" s="16"/>
      <c r="P4292" s="16"/>
      <c r="Q4292" s="16"/>
      <c r="R4292" s="16"/>
      <c r="S4292" s="37" t="str">
        <f>IFERROR(__xludf.DUMMYFUNCTION("if(not(iserror(index(split(C4292, "" ""),2))), index(split(C4292, "" ""),1),"""")"),"")</f>
        <v/>
      </c>
      <c r="T4292" s="315" t="str">
        <f>IFERROR(__xludf.DUMMYFUNCTION("if(S4292="""",C4292,if(not(iserror(index(split(C4292, "" ""),3))), index(split(C4292, "" ""),3),index(split(C4292, "" ""),2)))"),"")</f>
        <v/>
      </c>
      <c r="U4292" s="38" t="b">
        <f t="shared" si="423"/>
        <v>0</v>
      </c>
      <c r="V4292" s="38"/>
      <c r="W4292" s="40"/>
      <c r="X4292" s="40"/>
      <c r="Y4292" s="40"/>
      <c r="Z4292" s="38"/>
      <c r="AA4292" s="38"/>
      <c r="AB4292" s="38"/>
      <c r="AC4292" s="38"/>
      <c r="AD4292" s="38"/>
      <c r="AE4292" s="38"/>
      <c r="AF4292" s="38"/>
      <c r="AG4292" s="38"/>
      <c r="AH4292" s="38"/>
      <c r="AI4292" s="38"/>
      <c r="AJ4292" s="38"/>
      <c r="AK4292" s="38"/>
      <c r="AL4292" s="38"/>
      <c r="AM4292" s="38"/>
      <c r="AN4292" s="38"/>
      <c r="AO4292" s="38"/>
      <c r="AP4292" s="38"/>
      <c r="AQ4292" s="38"/>
      <c r="AR4292" s="38"/>
      <c r="AS4292" s="38"/>
      <c r="AT4292" s="38"/>
      <c r="AU4292" s="38"/>
      <c r="AV4292" s="38"/>
      <c r="AW4292" s="38"/>
      <c r="AX4292" s="38"/>
      <c r="AY4292" s="38"/>
      <c r="AZ4292" s="38"/>
      <c r="BA4292" s="38"/>
      <c r="BB4292" s="38"/>
      <c r="BC4292" s="38"/>
      <c r="BD4292" s="38"/>
      <c r="BE4292" s="38"/>
      <c r="BF4292" s="38"/>
      <c r="BG4292" s="38"/>
      <c r="BH4292" s="38"/>
      <c r="BI4292" s="38"/>
      <c r="BJ4292" s="38"/>
      <c r="BK4292" s="38"/>
      <c r="BL4292" s="38"/>
      <c r="BM4292" s="38"/>
      <c r="BN4292" s="38"/>
      <c r="BO4292" s="38"/>
      <c r="BP4292" s="38"/>
      <c r="BQ4292" s="38"/>
    </row>
    <row r="4293">
      <c r="A4293" s="16"/>
      <c r="B4293" s="145"/>
      <c r="C4293" s="146"/>
      <c r="D4293" s="146"/>
      <c r="E4293" s="16"/>
      <c r="F4293" s="91"/>
      <c r="G4293" s="16"/>
      <c r="H4293" s="320" t="str">
        <f t="shared" si="424"/>
        <v/>
      </c>
      <c r="I4293" s="16"/>
      <c r="J4293" s="16"/>
      <c r="K4293" s="16"/>
      <c r="L4293" s="16"/>
      <c r="M4293" s="15"/>
      <c r="N4293" s="15"/>
      <c r="O4293" s="16"/>
      <c r="P4293" s="16"/>
      <c r="Q4293" s="16"/>
      <c r="R4293" s="16"/>
      <c r="S4293" s="37" t="str">
        <f>IFERROR(__xludf.DUMMYFUNCTION("if(not(iserror(index(split(C4293, "" ""),2))), index(split(C4293, "" ""),1),"""")"),"")</f>
        <v/>
      </c>
      <c r="T4293" s="315" t="str">
        <f>IFERROR(__xludf.DUMMYFUNCTION("if(S4293="""",C4293,if(not(iserror(index(split(C4293, "" ""),3))), index(split(C4293, "" ""),3),index(split(C4293, "" ""),2)))"),"")</f>
        <v/>
      </c>
      <c r="U4293" s="38" t="b">
        <f t="shared" si="423"/>
        <v>0</v>
      </c>
      <c r="V4293" s="38"/>
      <c r="W4293" s="40"/>
      <c r="X4293" s="40"/>
      <c r="Y4293" s="40"/>
      <c r="Z4293" s="38"/>
      <c r="AA4293" s="38"/>
      <c r="AB4293" s="38"/>
      <c r="AC4293" s="38"/>
      <c r="AD4293" s="38"/>
      <c r="AE4293" s="38"/>
      <c r="AF4293" s="38"/>
      <c r="AG4293" s="38"/>
      <c r="AH4293" s="38"/>
      <c r="AI4293" s="38"/>
      <c r="AJ4293" s="38"/>
      <c r="AK4293" s="38"/>
      <c r="AL4293" s="38"/>
      <c r="AM4293" s="38"/>
      <c r="AN4293" s="38"/>
      <c r="AO4293" s="38"/>
      <c r="AP4293" s="38"/>
      <c r="AQ4293" s="38"/>
      <c r="AR4293" s="38"/>
      <c r="AS4293" s="38"/>
      <c r="AT4293" s="38"/>
      <c r="AU4293" s="38"/>
      <c r="AV4293" s="38"/>
      <c r="AW4293" s="38"/>
      <c r="AX4293" s="38"/>
      <c r="AY4293" s="38"/>
      <c r="AZ4293" s="38"/>
      <c r="BA4293" s="38"/>
      <c r="BB4293" s="38"/>
      <c r="BC4293" s="38"/>
      <c r="BD4293" s="38"/>
      <c r="BE4293" s="38"/>
      <c r="BF4293" s="38"/>
      <c r="BG4293" s="38"/>
      <c r="BH4293" s="38"/>
      <c r="BI4293" s="38"/>
      <c r="BJ4293" s="38"/>
      <c r="BK4293" s="38"/>
      <c r="BL4293" s="38"/>
      <c r="BM4293" s="38"/>
      <c r="BN4293" s="38"/>
      <c r="BO4293" s="38"/>
      <c r="BP4293" s="38"/>
      <c r="BQ4293" s="38"/>
    </row>
    <row r="4294">
      <c r="A4294" s="16"/>
      <c r="B4294" s="145"/>
      <c r="C4294" s="146"/>
      <c r="D4294" s="146"/>
      <c r="E4294" s="16"/>
      <c r="F4294" s="91"/>
      <c r="G4294" s="16"/>
      <c r="H4294" s="320" t="str">
        <f t="shared" si="424"/>
        <v/>
      </c>
      <c r="I4294" s="16"/>
      <c r="J4294" s="16"/>
      <c r="K4294" s="16"/>
      <c r="L4294" s="16"/>
      <c r="M4294" s="15"/>
      <c r="N4294" s="15"/>
      <c r="O4294" s="16"/>
      <c r="P4294" s="16"/>
      <c r="Q4294" s="16"/>
      <c r="R4294" s="16"/>
      <c r="S4294" s="37" t="str">
        <f>IFERROR(__xludf.DUMMYFUNCTION("if(not(iserror(index(split(C4294, "" ""),2))), index(split(C4294, "" ""),1),"""")"),"")</f>
        <v/>
      </c>
      <c r="T4294" s="315" t="str">
        <f>IFERROR(__xludf.DUMMYFUNCTION("if(S4294="""",C4294,if(not(iserror(index(split(C4294, "" ""),3))), index(split(C4294, "" ""),3),index(split(C4294, "" ""),2)))"),"")</f>
        <v/>
      </c>
      <c r="U4294" s="38" t="b">
        <f t="shared" si="423"/>
        <v>0</v>
      </c>
      <c r="V4294" s="38"/>
      <c r="W4294" s="40"/>
      <c r="X4294" s="40"/>
      <c r="Y4294" s="40"/>
      <c r="Z4294" s="38"/>
      <c r="AA4294" s="38"/>
      <c r="AB4294" s="38"/>
      <c r="AC4294" s="38"/>
      <c r="AD4294" s="38"/>
      <c r="AE4294" s="38"/>
      <c r="AF4294" s="38"/>
      <c r="AG4294" s="38"/>
      <c r="AH4294" s="38"/>
      <c r="AI4294" s="38"/>
      <c r="AJ4294" s="38"/>
      <c r="AK4294" s="38"/>
      <c r="AL4294" s="38"/>
      <c r="AM4294" s="38"/>
      <c r="AN4294" s="38"/>
      <c r="AO4294" s="38"/>
      <c r="AP4294" s="38"/>
      <c r="AQ4294" s="38"/>
      <c r="AR4294" s="38"/>
      <c r="AS4294" s="38"/>
      <c r="AT4294" s="38"/>
      <c r="AU4294" s="38"/>
      <c r="AV4294" s="38"/>
      <c r="AW4294" s="38"/>
      <c r="AX4294" s="38"/>
      <c r="AY4294" s="38"/>
      <c r="AZ4294" s="38"/>
      <c r="BA4294" s="38"/>
      <c r="BB4294" s="38"/>
      <c r="BC4294" s="38"/>
      <c r="BD4294" s="38"/>
      <c r="BE4294" s="38"/>
      <c r="BF4294" s="38"/>
      <c r="BG4294" s="38"/>
      <c r="BH4294" s="38"/>
      <c r="BI4294" s="38"/>
      <c r="BJ4294" s="38"/>
      <c r="BK4294" s="38"/>
      <c r="BL4294" s="38"/>
      <c r="BM4294" s="38"/>
      <c r="BN4294" s="38"/>
      <c r="BO4294" s="38"/>
      <c r="BP4294" s="38"/>
      <c r="BQ4294" s="38"/>
    </row>
    <row r="4295">
      <c r="A4295" s="16"/>
      <c r="B4295" s="145"/>
      <c r="C4295" s="146"/>
      <c r="D4295" s="146"/>
      <c r="E4295" s="16"/>
      <c r="F4295" s="91"/>
      <c r="G4295" s="16"/>
      <c r="H4295" s="320" t="str">
        <f t="shared" si="424"/>
        <v/>
      </c>
      <c r="I4295" s="16"/>
      <c r="J4295" s="16"/>
      <c r="K4295" s="16"/>
      <c r="L4295" s="16"/>
      <c r="M4295" s="15"/>
      <c r="N4295" s="15"/>
      <c r="O4295" s="16"/>
      <c r="P4295" s="16"/>
      <c r="Q4295" s="16"/>
      <c r="R4295" s="16"/>
      <c r="S4295" s="37" t="str">
        <f>IFERROR(__xludf.DUMMYFUNCTION("if(not(iserror(index(split(C4295, "" ""),2))), index(split(C4295, "" ""),1),"""")"),"")</f>
        <v/>
      </c>
      <c r="T4295" s="315" t="str">
        <f>IFERROR(__xludf.DUMMYFUNCTION("if(S4295="""",C4295,if(not(iserror(index(split(C4295, "" ""),3))), index(split(C4295, "" ""),3),index(split(C4295, "" ""),2)))"),"")</f>
        <v/>
      </c>
      <c r="U4295" s="38" t="b">
        <f t="shared" si="423"/>
        <v>0</v>
      </c>
      <c r="V4295" s="38"/>
      <c r="W4295" s="40"/>
      <c r="X4295" s="40"/>
      <c r="Y4295" s="40"/>
      <c r="Z4295" s="38"/>
      <c r="AA4295" s="38"/>
      <c r="AB4295" s="38"/>
      <c r="AC4295" s="38"/>
      <c r="AD4295" s="38"/>
      <c r="AE4295" s="38"/>
      <c r="AF4295" s="38"/>
      <c r="AG4295" s="38"/>
      <c r="AH4295" s="38"/>
      <c r="AI4295" s="38"/>
      <c r="AJ4295" s="38"/>
      <c r="AK4295" s="38"/>
      <c r="AL4295" s="38"/>
      <c r="AM4295" s="38"/>
      <c r="AN4295" s="38"/>
      <c r="AO4295" s="38"/>
      <c r="AP4295" s="38"/>
      <c r="AQ4295" s="38"/>
      <c r="AR4295" s="38"/>
      <c r="AS4295" s="38"/>
      <c r="AT4295" s="38"/>
      <c r="AU4295" s="38"/>
      <c r="AV4295" s="38"/>
      <c r="AW4295" s="38"/>
      <c r="AX4295" s="38"/>
      <c r="AY4295" s="38"/>
      <c r="AZ4295" s="38"/>
      <c r="BA4295" s="38"/>
      <c r="BB4295" s="38"/>
      <c r="BC4295" s="38"/>
      <c r="BD4295" s="38"/>
      <c r="BE4295" s="38"/>
      <c r="BF4295" s="38"/>
      <c r="BG4295" s="38"/>
      <c r="BH4295" s="38"/>
      <c r="BI4295" s="38"/>
      <c r="BJ4295" s="38"/>
      <c r="BK4295" s="38"/>
      <c r="BL4295" s="38"/>
      <c r="BM4295" s="38"/>
      <c r="BN4295" s="38"/>
      <c r="BO4295" s="38"/>
      <c r="BP4295" s="38"/>
      <c r="BQ4295" s="38"/>
    </row>
    <row r="4296">
      <c r="A4296" s="16"/>
      <c r="B4296" s="145"/>
      <c r="C4296" s="146"/>
      <c r="D4296" s="146"/>
      <c r="E4296" s="16"/>
      <c r="F4296" s="91"/>
      <c r="G4296" s="16"/>
      <c r="H4296" s="320" t="str">
        <f t="shared" si="424"/>
        <v/>
      </c>
      <c r="I4296" s="16"/>
      <c r="J4296" s="16"/>
      <c r="K4296" s="16"/>
      <c r="L4296" s="16"/>
      <c r="M4296" s="15"/>
      <c r="N4296" s="15"/>
      <c r="O4296" s="16"/>
      <c r="P4296" s="16"/>
      <c r="Q4296" s="16"/>
      <c r="R4296" s="16"/>
      <c r="S4296" s="37" t="str">
        <f>IFERROR(__xludf.DUMMYFUNCTION("if(not(iserror(index(split(C4296, "" ""),2))), index(split(C4296, "" ""),1),"""")"),"")</f>
        <v/>
      </c>
      <c r="T4296" s="315" t="str">
        <f>IFERROR(__xludf.DUMMYFUNCTION("if(S4296="""",C4296,if(not(iserror(index(split(C4296, "" ""),3))), index(split(C4296, "" ""),3),index(split(C4296, "" ""),2)))"),"")</f>
        <v/>
      </c>
      <c r="U4296" s="38" t="b">
        <f t="shared" si="423"/>
        <v>0</v>
      </c>
      <c r="V4296" s="38"/>
      <c r="W4296" s="40"/>
      <c r="X4296" s="40"/>
      <c r="Y4296" s="40"/>
      <c r="Z4296" s="38"/>
      <c r="AA4296" s="38"/>
      <c r="AB4296" s="38"/>
      <c r="AC4296" s="38"/>
      <c r="AD4296" s="38"/>
      <c r="AE4296" s="38"/>
      <c r="AF4296" s="38"/>
      <c r="AG4296" s="38"/>
      <c r="AH4296" s="38"/>
      <c r="AI4296" s="38"/>
      <c r="AJ4296" s="38"/>
      <c r="AK4296" s="38"/>
      <c r="AL4296" s="38"/>
      <c r="AM4296" s="38"/>
      <c r="AN4296" s="38"/>
      <c r="AO4296" s="38"/>
      <c r="AP4296" s="38"/>
      <c r="AQ4296" s="38"/>
      <c r="AR4296" s="38"/>
      <c r="AS4296" s="38"/>
      <c r="AT4296" s="38"/>
      <c r="AU4296" s="38"/>
      <c r="AV4296" s="38"/>
      <c r="AW4296" s="38"/>
      <c r="AX4296" s="38"/>
      <c r="AY4296" s="38"/>
      <c r="AZ4296" s="38"/>
      <c r="BA4296" s="38"/>
      <c r="BB4296" s="38"/>
      <c r="BC4296" s="38"/>
      <c r="BD4296" s="38"/>
      <c r="BE4296" s="38"/>
      <c r="BF4296" s="38"/>
      <c r="BG4296" s="38"/>
      <c r="BH4296" s="38"/>
      <c r="BI4296" s="38"/>
      <c r="BJ4296" s="38"/>
      <c r="BK4296" s="38"/>
      <c r="BL4296" s="38"/>
      <c r="BM4296" s="38"/>
      <c r="BN4296" s="38"/>
      <c r="BO4296" s="38"/>
      <c r="BP4296" s="38"/>
      <c r="BQ4296" s="38"/>
    </row>
    <row r="4297">
      <c r="A4297" s="16"/>
      <c r="B4297" s="145"/>
      <c r="C4297" s="146"/>
      <c r="D4297" s="146"/>
      <c r="E4297" s="16"/>
      <c r="F4297" s="91"/>
      <c r="G4297" s="16"/>
      <c r="H4297" s="320" t="str">
        <f t="shared" si="424"/>
        <v/>
      </c>
      <c r="I4297" s="16"/>
      <c r="J4297" s="16"/>
      <c r="K4297" s="16"/>
      <c r="L4297" s="16"/>
      <c r="M4297" s="15"/>
      <c r="N4297" s="15"/>
      <c r="O4297" s="16"/>
      <c r="P4297" s="16"/>
      <c r="Q4297" s="16"/>
      <c r="R4297" s="16"/>
      <c r="S4297" s="37" t="str">
        <f>IFERROR(__xludf.DUMMYFUNCTION("if(not(iserror(index(split(C4297, "" ""),2))), index(split(C4297, "" ""),1),"""")"),"")</f>
        <v/>
      </c>
      <c r="T4297" s="315" t="str">
        <f>IFERROR(__xludf.DUMMYFUNCTION("if(S4297="""",C4297,if(not(iserror(index(split(C4297, "" ""),3))), index(split(C4297, "" ""),3),index(split(C4297, "" ""),2)))"),"")</f>
        <v/>
      </c>
      <c r="U4297" s="38" t="b">
        <f t="shared" si="423"/>
        <v>0</v>
      </c>
      <c r="V4297" s="38"/>
      <c r="W4297" s="40"/>
      <c r="X4297" s="40"/>
      <c r="Y4297" s="40"/>
      <c r="Z4297" s="38"/>
      <c r="AA4297" s="38"/>
      <c r="AB4297" s="38"/>
      <c r="AC4297" s="38"/>
      <c r="AD4297" s="38"/>
      <c r="AE4297" s="38"/>
      <c r="AF4297" s="38"/>
      <c r="AG4297" s="38"/>
      <c r="AH4297" s="38"/>
      <c r="AI4297" s="38"/>
      <c r="AJ4297" s="38"/>
      <c r="AK4297" s="38"/>
      <c r="AL4297" s="38"/>
      <c r="AM4297" s="38"/>
      <c r="AN4297" s="38"/>
      <c r="AO4297" s="38"/>
      <c r="AP4297" s="38"/>
      <c r="AQ4297" s="38"/>
      <c r="AR4297" s="38"/>
      <c r="AS4297" s="38"/>
      <c r="AT4297" s="38"/>
      <c r="AU4297" s="38"/>
      <c r="AV4297" s="38"/>
      <c r="AW4297" s="38"/>
      <c r="AX4297" s="38"/>
      <c r="AY4297" s="38"/>
      <c r="AZ4297" s="38"/>
      <c r="BA4297" s="38"/>
      <c r="BB4297" s="38"/>
      <c r="BC4297" s="38"/>
      <c r="BD4297" s="38"/>
      <c r="BE4297" s="38"/>
      <c r="BF4297" s="38"/>
      <c r="BG4297" s="38"/>
      <c r="BH4297" s="38"/>
      <c r="BI4297" s="38"/>
      <c r="BJ4297" s="38"/>
      <c r="BK4297" s="38"/>
      <c r="BL4297" s="38"/>
      <c r="BM4297" s="38"/>
      <c r="BN4297" s="38"/>
      <c r="BO4297" s="38"/>
      <c r="BP4297" s="38"/>
      <c r="BQ4297" s="38"/>
    </row>
    <row r="4298">
      <c r="A4298" s="16"/>
      <c r="B4298" s="145"/>
      <c r="C4298" s="146"/>
      <c r="D4298" s="146"/>
      <c r="E4298" s="16"/>
      <c r="F4298" s="91"/>
      <c r="G4298" s="16"/>
      <c r="H4298" s="320" t="str">
        <f t="shared" si="424"/>
        <v/>
      </c>
      <c r="I4298" s="16"/>
      <c r="J4298" s="16"/>
      <c r="K4298" s="16"/>
      <c r="L4298" s="16"/>
      <c r="M4298" s="15"/>
      <c r="N4298" s="15"/>
      <c r="O4298" s="16"/>
      <c r="P4298" s="16"/>
      <c r="Q4298" s="16"/>
      <c r="R4298" s="16"/>
      <c r="S4298" s="37" t="str">
        <f>IFERROR(__xludf.DUMMYFUNCTION("if(not(iserror(index(split(C4298, "" ""),2))), index(split(C4298, "" ""),1),"""")"),"")</f>
        <v/>
      </c>
      <c r="T4298" s="315" t="str">
        <f>IFERROR(__xludf.DUMMYFUNCTION("if(S4298="""",C4298,if(not(iserror(index(split(C4298, "" ""),3))), index(split(C4298, "" ""),3),index(split(C4298, "" ""),2)))"),"")</f>
        <v/>
      </c>
      <c r="U4298" s="38" t="b">
        <f t="shared" si="423"/>
        <v>0</v>
      </c>
      <c r="V4298" s="38"/>
      <c r="W4298" s="40"/>
      <c r="X4298" s="40"/>
      <c r="Y4298" s="40"/>
      <c r="Z4298" s="38"/>
      <c r="AA4298" s="38"/>
      <c r="AB4298" s="38"/>
      <c r="AC4298" s="38"/>
      <c r="AD4298" s="38"/>
      <c r="AE4298" s="38"/>
      <c r="AF4298" s="38"/>
      <c r="AG4298" s="38"/>
      <c r="AH4298" s="38"/>
      <c r="AI4298" s="38"/>
      <c r="AJ4298" s="38"/>
      <c r="AK4298" s="38"/>
      <c r="AL4298" s="38"/>
      <c r="AM4298" s="38"/>
      <c r="AN4298" s="38"/>
      <c r="AO4298" s="38"/>
      <c r="AP4298" s="38"/>
      <c r="AQ4298" s="38"/>
      <c r="AR4298" s="38"/>
      <c r="AS4298" s="38"/>
      <c r="AT4298" s="38"/>
      <c r="AU4298" s="38"/>
      <c r="AV4298" s="38"/>
      <c r="AW4298" s="38"/>
      <c r="AX4298" s="38"/>
      <c r="AY4298" s="38"/>
      <c r="AZ4298" s="38"/>
      <c r="BA4298" s="38"/>
      <c r="BB4298" s="38"/>
      <c r="BC4298" s="38"/>
      <c r="BD4298" s="38"/>
      <c r="BE4298" s="38"/>
      <c r="BF4298" s="38"/>
      <c r="BG4298" s="38"/>
      <c r="BH4298" s="38"/>
      <c r="BI4298" s="38"/>
      <c r="BJ4298" s="38"/>
      <c r="BK4298" s="38"/>
      <c r="BL4298" s="38"/>
      <c r="BM4298" s="38"/>
      <c r="BN4298" s="38"/>
      <c r="BO4298" s="38"/>
      <c r="BP4298" s="38"/>
      <c r="BQ4298" s="38"/>
    </row>
    <row r="4299">
      <c r="A4299" s="16"/>
      <c r="B4299" s="145"/>
      <c r="C4299" s="146"/>
      <c r="D4299" s="146"/>
      <c r="E4299" s="16"/>
      <c r="F4299" s="91"/>
      <c r="G4299" s="16"/>
      <c r="H4299" s="320" t="str">
        <f t="shared" si="424"/>
        <v/>
      </c>
      <c r="I4299" s="16"/>
      <c r="J4299" s="16"/>
      <c r="K4299" s="16"/>
      <c r="L4299" s="16"/>
      <c r="M4299" s="15"/>
      <c r="N4299" s="15"/>
      <c r="O4299" s="16"/>
      <c r="P4299" s="16"/>
      <c r="Q4299" s="16"/>
      <c r="R4299" s="16"/>
      <c r="S4299" s="37" t="str">
        <f>IFERROR(__xludf.DUMMYFUNCTION("if(not(iserror(index(split(C4299, "" ""),2))), index(split(C4299, "" ""),1),"""")"),"")</f>
        <v/>
      </c>
      <c r="T4299" s="315" t="str">
        <f>IFERROR(__xludf.DUMMYFUNCTION("if(S4299="""",C4299,if(not(iserror(index(split(C4299, "" ""),3))), index(split(C4299, "" ""),3),index(split(C4299, "" ""),2)))"),"")</f>
        <v/>
      </c>
      <c r="U4299" s="38" t="b">
        <f t="shared" si="423"/>
        <v>0</v>
      </c>
      <c r="V4299" s="38"/>
      <c r="W4299" s="40"/>
      <c r="X4299" s="40"/>
      <c r="Y4299" s="40"/>
      <c r="Z4299" s="38"/>
      <c r="AA4299" s="38"/>
      <c r="AB4299" s="38"/>
      <c r="AC4299" s="38"/>
      <c r="AD4299" s="38"/>
      <c r="AE4299" s="38"/>
      <c r="AF4299" s="38"/>
      <c r="AG4299" s="38"/>
      <c r="AH4299" s="38"/>
      <c r="AI4299" s="38"/>
      <c r="AJ4299" s="38"/>
      <c r="AK4299" s="38"/>
      <c r="AL4299" s="38"/>
      <c r="AM4299" s="38"/>
      <c r="AN4299" s="38"/>
      <c r="AO4299" s="38"/>
      <c r="AP4299" s="38"/>
      <c r="AQ4299" s="38"/>
      <c r="AR4299" s="38"/>
      <c r="AS4299" s="38"/>
      <c r="AT4299" s="38"/>
      <c r="AU4299" s="38"/>
      <c r="AV4299" s="38"/>
      <c r="AW4299" s="38"/>
      <c r="AX4299" s="38"/>
      <c r="AY4299" s="38"/>
      <c r="AZ4299" s="38"/>
      <c r="BA4299" s="38"/>
      <c r="BB4299" s="38"/>
      <c r="BC4299" s="38"/>
      <c r="BD4299" s="38"/>
      <c r="BE4299" s="38"/>
      <c r="BF4299" s="38"/>
      <c r="BG4299" s="38"/>
      <c r="BH4299" s="38"/>
      <c r="BI4299" s="38"/>
      <c r="BJ4299" s="38"/>
      <c r="BK4299" s="38"/>
      <c r="BL4299" s="38"/>
      <c r="BM4299" s="38"/>
      <c r="BN4299" s="38"/>
      <c r="BO4299" s="38"/>
      <c r="BP4299" s="38"/>
      <c r="BQ4299" s="38"/>
    </row>
    <row r="4300">
      <c r="A4300" s="16"/>
      <c r="B4300" s="145"/>
      <c r="C4300" s="146"/>
      <c r="D4300" s="146"/>
      <c r="E4300" s="16"/>
      <c r="F4300" s="91"/>
      <c r="G4300" s="16"/>
      <c r="H4300" s="320" t="str">
        <f t="shared" si="424"/>
        <v/>
      </c>
      <c r="I4300" s="16"/>
      <c r="J4300" s="16"/>
      <c r="K4300" s="16"/>
      <c r="L4300" s="16"/>
      <c r="M4300" s="15"/>
      <c r="N4300" s="15"/>
      <c r="O4300" s="16"/>
      <c r="P4300" s="16"/>
      <c r="Q4300" s="16"/>
      <c r="R4300" s="16"/>
      <c r="S4300" s="37" t="str">
        <f>IFERROR(__xludf.DUMMYFUNCTION("if(not(iserror(index(split(C4300, "" ""),2))), index(split(C4300, "" ""),1),"""")"),"")</f>
        <v/>
      </c>
      <c r="T4300" s="315" t="str">
        <f>IFERROR(__xludf.DUMMYFUNCTION("if(S4300="""",C4300,if(not(iserror(index(split(C4300, "" ""),3))), index(split(C4300, "" ""),3),index(split(C4300, "" ""),2)))"),"")</f>
        <v/>
      </c>
      <c r="U4300" s="38" t="b">
        <f t="shared" si="423"/>
        <v>0</v>
      </c>
      <c r="V4300" s="38"/>
      <c r="W4300" s="40"/>
      <c r="X4300" s="40"/>
      <c r="Y4300" s="40"/>
      <c r="Z4300" s="38"/>
      <c r="AA4300" s="38"/>
      <c r="AB4300" s="38"/>
      <c r="AC4300" s="38"/>
      <c r="AD4300" s="38"/>
      <c r="AE4300" s="38"/>
      <c r="AF4300" s="38"/>
      <c r="AG4300" s="38"/>
      <c r="AH4300" s="38"/>
      <c r="AI4300" s="38"/>
      <c r="AJ4300" s="38"/>
      <c r="AK4300" s="38"/>
      <c r="AL4300" s="38"/>
      <c r="AM4300" s="38"/>
      <c r="AN4300" s="38"/>
      <c r="AO4300" s="38"/>
      <c r="AP4300" s="38"/>
      <c r="AQ4300" s="38"/>
      <c r="AR4300" s="38"/>
      <c r="AS4300" s="38"/>
      <c r="AT4300" s="38"/>
      <c r="AU4300" s="38"/>
      <c r="AV4300" s="38"/>
      <c r="AW4300" s="38"/>
      <c r="AX4300" s="38"/>
      <c r="AY4300" s="38"/>
      <c r="AZ4300" s="38"/>
      <c r="BA4300" s="38"/>
      <c r="BB4300" s="38"/>
      <c r="BC4300" s="38"/>
      <c r="BD4300" s="38"/>
      <c r="BE4300" s="38"/>
      <c r="BF4300" s="38"/>
      <c r="BG4300" s="38"/>
      <c r="BH4300" s="38"/>
      <c r="BI4300" s="38"/>
      <c r="BJ4300" s="38"/>
      <c r="BK4300" s="38"/>
      <c r="BL4300" s="38"/>
      <c r="BM4300" s="38"/>
      <c r="BN4300" s="38"/>
      <c r="BO4300" s="38"/>
      <c r="BP4300" s="38"/>
      <c r="BQ4300" s="38"/>
    </row>
    <row r="4301">
      <c r="A4301" s="16"/>
      <c r="B4301" s="145"/>
      <c r="C4301" s="146"/>
      <c r="D4301" s="146"/>
      <c r="E4301" s="16"/>
      <c r="F4301" s="91"/>
      <c r="G4301" s="16"/>
      <c r="H4301" s="320" t="str">
        <f t="shared" si="424"/>
        <v/>
      </c>
      <c r="I4301" s="16"/>
      <c r="J4301" s="16"/>
      <c r="K4301" s="16"/>
      <c r="L4301" s="16"/>
      <c r="M4301" s="15"/>
      <c r="N4301" s="15"/>
      <c r="O4301" s="16"/>
      <c r="P4301" s="16"/>
      <c r="Q4301" s="16"/>
      <c r="R4301" s="16"/>
      <c r="S4301" s="37" t="str">
        <f>IFERROR(__xludf.DUMMYFUNCTION("if(not(iserror(index(split(C4301, "" ""),2))), index(split(C4301, "" ""),1),"""")"),"")</f>
        <v/>
      </c>
      <c r="T4301" s="315" t="str">
        <f>IFERROR(__xludf.DUMMYFUNCTION("if(S4301="""",C4301,if(not(iserror(index(split(C4301, "" ""),3))), index(split(C4301, "" ""),3),index(split(C4301, "" ""),2)))"),"")</f>
        <v/>
      </c>
      <c r="U4301" s="38" t="b">
        <f t="shared" si="423"/>
        <v>0</v>
      </c>
      <c r="V4301" s="38"/>
      <c r="W4301" s="40"/>
      <c r="X4301" s="40"/>
      <c r="Y4301" s="40"/>
      <c r="Z4301" s="38"/>
      <c r="AA4301" s="38"/>
      <c r="AB4301" s="38"/>
      <c r="AC4301" s="38"/>
      <c r="AD4301" s="38"/>
      <c r="AE4301" s="38"/>
      <c r="AF4301" s="38"/>
      <c r="AG4301" s="38"/>
      <c r="AH4301" s="38"/>
      <c r="AI4301" s="38"/>
      <c r="AJ4301" s="38"/>
      <c r="AK4301" s="38"/>
      <c r="AL4301" s="38"/>
      <c r="AM4301" s="38"/>
      <c r="AN4301" s="38"/>
      <c r="AO4301" s="38"/>
      <c r="AP4301" s="38"/>
      <c r="AQ4301" s="38"/>
      <c r="AR4301" s="38"/>
      <c r="AS4301" s="38"/>
      <c r="AT4301" s="38"/>
      <c r="AU4301" s="38"/>
      <c r="AV4301" s="38"/>
      <c r="AW4301" s="38"/>
      <c r="AX4301" s="38"/>
      <c r="AY4301" s="38"/>
      <c r="AZ4301" s="38"/>
      <c r="BA4301" s="38"/>
      <c r="BB4301" s="38"/>
      <c r="BC4301" s="38"/>
      <c r="BD4301" s="38"/>
      <c r="BE4301" s="38"/>
      <c r="BF4301" s="38"/>
      <c r="BG4301" s="38"/>
      <c r="BH4301" s="38"/>
      <c r="BI4301" s="38"/>
      <c r="BJ4301" s="38"/>
      <c r="BK4301" s="38"/>
      <c r="BL4301" s="38"/>
      <c r="BM4301" s="38"/>
      <c r="BN4301" s="38"/>
      <c r="BO4301" s="38"/>
      <c r="BP4301" s="38"/>
      <c r="BQ4301" s="38"/>
    </row>
    <row r="4302">
      <c r="A4302" s="16"/>
      <c r="B4302" s="145"/>
      <c r="C4302" s="146"/>
      <c r="D4302" s="146"/>
      <c r="E4302" s="16"/>
      <c r="F4302" s="91"/>
      <c r="G4302" s="16"/>
      <c r="H4302" s="320" t="str">
        <f t="shared" si="424"/>
        <v/>
      </c>
      <c r="I4302" s="16"/>
      <c r="J4302" s="16"/>
      <c r="K4302" s="16"/>
      <c r="L4302" s="16"/>
      <c r="M4302" s="15"/>
      <c r="N4302" s="15"/>
      <c r="O4302" s="16"/>
      <c r="P4302" s="16"/>
      <c r="Q4302" s="16"/>
      <c r="R4302" s="16"/>
      <c r="S4302" s="37" t="str">
        <f>IFERROR(__xludf.DUMMYFUNCTION("if(not(iserror(index(split(C4302, "" ""),2))), index(split(C4302, "" ""),1),"""")"),"")</f>
        <v/>
      </c>
      <c r="T4302" s="315" t="str">
        <f>IFERROR(__xludf.DUMMYFUNCTION("if(S4302="""",C4302,if(not(iserror(index(split(C4302, "" ""),3))), index(split(C4302, "" ""),3),index(split(C4302, "" ""),2)))"),"")</f>
        <v/>
      </c>
      <c r="U4302" s="38" t="b">
        <f t="shared" si="423"/>
        <v>0</v>
      </c>
      <c r="V4302" s="38"/>
      <c r="W4302" s="40"/>
      <c r="X4302" s="40"/>
      <c r="Y4302" s="40"/>
      <c r="Z4302" s="38"/>
      <c r="AA4302" s="38"/>
      <c r="AB4302" s="38"/>
      <c r="AC4302" s="38"/>
      <c r="AD4302" s="38"/>
      <c r="AE4302" s="38"/>
      <c r="AF4302" s="38"/>
      <c r="AG4302" s="38"/>
      <c r="AH4302" s="38"/>
      <c r="AI4302" s="38"/>
      <c r="AJ4302" s="38"/>
      <c r="AK4302" s="38"/>
      <c r="AL4302" s="38"/>
      <c r="AM4302" s="38"/>
      <c r="AN4302" s="38"/>
      <c r="AO4302" s="38"/>
      <c r="AP4302" s="38"/>
      <c r="AQ4302" s="38"/>
      <c r="AR4302" s="38"/>
      <c r="AS4302" s="38"/>
      <c r="AT4302" s="38"/>
      <c r="AU4302" s="38"/>
      <c r="AV4302" s="38"/>
      <c r="AW4302" s="38"/>
      <c r="AX4302" s="38"/>
      <c r="AY4302" s="38"/>
      <c r="AZ4302" s="38"/>
      <c r="BA4302" s="38"/>
      <c r="BB4302" s="38"/>
      <c r="BC4302" s="38"/>
      <c r="BD4302" s="38"/>
      <c r="BE4302" s="38"/>
      <c r="BF4302" s="38"/>
      <c r="BG4302" s="38"/>
      <c r="BH4302" s="38"/>
      <c r="BI4302" s="38"/>
      <c r="BJ4302" s="38"/>
      <c r="BK4302" s="38"/>
      <c r="BL4302" s="38"/>
      <c r="BM4302" s="38"/>
      <c r="BN4302" s="38"/>
      <c r="BO4302" s="38"/>
      <c r="BP4302" s="38"/>
      <c r="BQ4302" s="38"/>
    </row>
    <row r="4303">
      <c r="A4303" s="16"/>
      <c r="B4303" s="145"/>
      <c r="C4303" s="146"/>
      <c r="D4303" s="146"/>
      <c r="E4303" s="16"/>
      <c r="F4303" s="91"/>
      <c r="G4303" s="16"/>
      <c r="H4303" s="320" t="str">
        <f t="shared" si="424"/>
        <v/>
      </c>
      <c r="I4303" s="16"/>
      <c r="J4303" s="16"/>
      <c r="K4303" s="16"/>
      <c r="L4303" s="16"/>
      <c r="M4303" s="15"/>
      <c r="N4303" s="15"/>
      <c r="O4303" s="16"/>
      <c r="P4303" s="16"/>
      <c r="Q4303" s="16"/>
      <c r="R4303" s="16"/>
      <c r="S4303" s="37" t="str">
        <f>IFERROR(__xludf.DUMMYFUNCTION("if(not(iserror(index(split(C4303, "" ""),2))), index(split(C4303, "" ""),1),"""")"),"")</f>
        <v/>
      </c>
      <c r="T4303" s="315" t="str">
        <f>IFERROR(__xludf.DUMMYFUNCTION("if(S4303="""",C4303,if(not(iserror(index(split(C4303, "" ""),3))), index(split(C4303, "" ""),3),index(split(C4303, "" ""),2)))"),"")</f>
        <v/>
      </c>
      <c r="U4303" s="38" t="b">
        <f t="shared" si="423"/>
        <v>0</v>
      </c>
      <c r="V4303" s="38"/>
      <c r="W4303" s="40"/>
      <c r="X4303" s="40"/>
      <c r="Y4303" s="40"/>
      <c r="Z4303" s="38"/>
      <c r="AA4303" s="38"/>
      <c r="AB4303" s="38"/>
      <c r="AC4303" s="38"/>
      <c r="AD4303" s="38"/>
      <c r="AE4303" s="38"/>
      <c r="AF4303" s="38"/>
      <c r="AG4303" s="38"/>
      <c r="AH4303" s="38"/>
      <c r="AI4303" s="38"/>
      <c r="AJ4303" s="38"/>
      <c r="AK4303" s="38"/>
      <c r="AL4303" s="38"/>
      <c r="AM4303" s="38"/>
      <c r="AN4303" s="38"/>
      <c r="AO4303" s="38"/>
      <c r="AP4303" s="38"/>
      <c r="AQ4303" s="38"/>
      <c r="AR4303" s="38"/>
      <c r="AS4303" s="38"/>
      <c r="AT4303" s="38"/>
      <c r="AU4303" s="38"/>
      <c r="AV4303" s="38"/>
      <c r="AW4303" s="38"/>
      <c r="AX4303" s="38"/>
      <c r="AY4303" s="38"/>
      <c r="AZ4303" s="38"/>
      <c r="BA4303" s="38"/>
      <c r="BB4303" s="38"/>
      <c r="BC4303" s="38"/>
      <c r="BD4303" s="38"/>
      <c r="BE4303" s="38"/>
      <c r="BF4303" s="38"/>
      <c r="BG4303" s="38"/>
      <c r="BH4303" s="38"/>
      <c r="BI4303" s="38"/>
      <c r="BJ4303" s="38"/>
      <c r="BK4303" s="38"/>
      <c r="BL4303" s="38"/>
      <c r="BM4303" s="38"/>
      <c r="BN4303" s="38"/>
      <c r="BO4303" s="38"/>
      <c r="BP4303" s="38"/>
      <c r="BQ4303" s="38"/>
    </row>
    <row r="4304">
      <c r="A4304" s="16"/>
      <c r="B4304" s="145"/>
      <c r="C4304" s="146"/>
      <c r="D4304" s="146"/>
      <c r="E4304" s="16"/>
      <c r="F4304" s="91"/>
      <c r="G4304" s="16"/>
      <c r="H4304" s="320" t="str">
        <f t="shared" si="424"/>
        <v/>
      </c>
      <c r="I4304" s="16"/>
      <c r="J4304" s="16"/>
      <c r="K4304" s="16"/>
      <c r="L4304" s="16"/>
      <c r="M4304" s="15"/>
      <c r="N4304" s="15"/>
      <c r="O4304" s="16"/>
      <c r="P4304" s="16"/>
      <c r="Q4304" s="16"/>
      <c r="R4304" s="16"/>
      <c r="S4304" s="37" t="str">
        <f>IFERROR(__xludf.DUMMYFUNCTION("if(not(iserror(index(split(C4304, "" ""),2))), index(split(C4304, "" ""),1),"""")"),"")</f>
        <v/>
      </c>
      <c r="T4304" s="315" t="str">
        <f>IFERROR(__xludf.DUMMYFUNCTION("if(S4304="""",C4304,if(not(iserror(index(split(C4304, "" ""),3))), index(split(C4304, "" ""),3),index(split(C4304, "" ""),2)))"),"")</f>
        <v/>
      </c>
      <c r="U4304" s="38" t="b">
        <f t="shared" si="423"/>
        <v>0</v>
      </c>
      <c r="V4304" s="38"/>
      <c r="W4304" s="40"/>
      <c r="X4304" s="40"/>
      <c r="Y4304" s="40"/>
      <c r="Z4304" s="38"/>
      <c r="AA4304" s="38"/>
      <c r="AB4304" s="38"/>
      <c r="AC4304" s="38"/>
      <c r="AD4304" s="38"/>
      <c r="AE4304" s="38"/>
      <c r="AF4304" s="38"/>
      <c r="AG4304" s="38"/>
      <c r="AH4304" s="38"/>
      <c r="AI4304" s="38"/>
      <c r="AJ4304" s="38"/>
      <c r="AK4304" s="38"/>
      <c r="AL4304" s="38"/>
      <c r="AM4304" s="38"/>
      <c r="AN4304" s="38"/>
      <c r="AO4304" s="38"/>
      <c r="AP4304" s="38"/>
      <c r="AQ4304" s="38"/>
      <c r="AR4304" s="38"/>
      <c r="AS4304" s="38"/>
      <c r="AT4304" s="38"/>
      <c r="AU4304" s="38"/>
      <c r="AV4304" s="38"/>
      <c r="AW4304" s="38"/>
      <c r="AX4304" s="38"/>
      <c r="AY4304" s="38"/>
      <c r="AZ4304" s="38"/>
      <c r="BA4304" s="38"/>
      <c r="BB4304" s="38"/>
      <c r="BC4304" s="38"/>
      <c r="BD4304" s="38"/>
      <c r="BE4304" s="38"/>
      <c r="BF4304" s="38"/>
      <c r="BG4304" s="38"/>
      <c r="BH4304" s="38"/>
      <c r="BI4304" s="38"/>
      <c r="BJ4304" s="38"/>
      <c r="BK4304" s="38"/>
      <c r="BL4304" s="38"/>
      <c r="BM4304" s="38"/>
      <c r="BN4304" s="38"/>
      <c r="BO4304" s="38"/>
      <c r="BP4304" s="38"/>
      <c r="BQ4304" s="38"/>
    </row>
    <row r="4305">
      <c r="A4305" s="16"/>
      <c r="B4305" s="145"/>
      <c r="C4305" s="146"/>
      <c r="D4305" s="146"/>
      <c r="E4305" s="16"/>
      <c r="F4305" s="91"/>
      <c r="G4305" s="16"/>
      <c r="H4305" s="320" t="str">
        <f t="shared" si="424"/>
        <v/>
      </c>
      <c r="I4305" s="16"/>
      <c r="J4305" s="16"/>
      <c r="K4305" s="16"/>
      <c r="L4305" s="16"/>
      <c r="M4305" s="15"/>
      <c r="N4305" s="15"/>
      <c r="O4305" s="16"/>
      <c r="P4305" s="16"/>
      <c r="Q4305" s="16"/>
      <c r="R4305" s="16"/>
      <c r="S4305" s="37" t="str">
        <f>IFERROR(__xludf.DUMMYFUNCTION("if(not(iserror(index(split(C4305, "" ""),2))), index(split(C4305, "" ""),1),"""")"),"")</f>
        <v/>
      </c>
      <c r="T4305" s="315" t="str">
        <f>IFERROR(__xludf.DUMMYFUNCTION("if(S4305="""",C4305,if(not(iserror(index(split(C4305, "" ""),3))), index(split(C4305, "" ""),3),index(split(C4305, "" ""),2)))"),"")</f>
        <v/>
      </c>
      <c r="U4305" s="38" t="b">
        <f t="shared" si="423"/>
        <v>0</v>
      </c>
      <c r="V4305" s="38"/>
      <c r="W4305" s="40"/>
      <c r="X4305" s="40"/>
      <c r="Y4305" s="40"/>
      <c r="Z4305" s="38"/>
      <c r="AA4305" s="38"/>
      <c r="AB4305" s="38"/>
      <c r="AC4305" s="38"/>
      <c r="AD4305" s="38"/>
      <c r="AE4305" s="38"/>
      <c r="AF4305" s="38"/>
      <c r="AG4305" s="38"/>
      <c r="AH4305" s="38"/>
      <c r="AI4305" s="38"/>
      <c r="AJ4305" s="38"/>
      <c r="AK4305" s="38"/>
      <c r="AL4305" s="38"/>
      <c r="AM4305" s="38"/>
      <c r="AN4305" s="38"/>
      <c r="AO4305" s="38"/>
      <c r="AP4305" s="38"/>
      <c r="AQ4305" s="38"/>
      <c r="AR4305" s="38"/>
      <c r="AS4305" s="38"/>
      <c r="AT4305" s="38"/>
      <c r="AU4305" s="38"/>
      <c r="AV4305" s="38"/>
      <c r="AW4305" s="38"/>
      <c r="AX4305" s="38"/>
      <c r="AY4305" s="38"/>
      <c r="AZ4305" s="38"/>
      <c r="BA4305" s="38"/>
      <c r="BB4305" s="38"/>
      <c r="BC4305" s="38"/>
      <c r="BD4305" s="38"/>
      <c r="BE4305" s="38"/>
      <c r="BF4305" s="38"/>
      <c r="BG4305" s="38"/>
      <c r="BH4305" s="38"/>
      <c r="BI4305" s="38"/>
      <c r="BJ4305" s="38"/>
      <c r="BK4305" s="38"/>
      <c r="BL4305" s="38"/>
      <c r="BM4305" s="38"/>
      <c r="BN4305" s="38"/>
      <c r="BO4305" s="38"/>
      <c r="BP4305" s="38"/>
      <c r="BQ4305" s="38"/>
    </row>
    <row r="4306">
      <c r="A4306" s="16"/>
      <c r="B4306" s="145"/>
      <c r="C4306" s="146"/>
      <c r="D4306" s="146"/>
      <c r="E4306" s="16"/>
      <c r="F4306" s="91"/>
      <c r="G4306" s="16"/>
      <c r="H4306" s="320" t="str">
        <f t="shared" si="424"/>
        <v/>
      </c>
      <c r="I4306" s="16"/>
      <c r="J4306" s="16"/>
      <c r="K4306" s="16"/>
      <c r="L4306" s="16"/>
      <c r="M4306" s="15"/>
      <c r="N4306" s="15"/>
      <c r="O4306" s="16"/>
      <c r="P4306" s="16"/>
      <c r="Q4306" s="16"/>
      <c r="R4306" s="16"/>
      <c r="S4306" s="37" t="str">
        <f>IFERROR(__xludf.DUMMYFUNCTION("if(not(iserror(index(split(C4306, "" ""),2))), index(split(C4306, "" ""),1),"""")"),"")</f>
        <v/>
      </c>
      <c r="T4306" s="315" t="str">
        <f>IFERROR(__xludf.DUMMYFUNCTION("if(S4306="""",C4306,if(not(iserror(index(split(C4306, "" ""),3))), index(split(C4306, "" ""),3),index(split(C4306, "" ""),2)))"),"")</f>
        <v/>
      </c>
      <c r="U4306" s="38" t="b">
        <f t="shared" si="423"/>
        <v>0</v>
      </c>
      <c r="V4306" s="38"/>
      <c r="W4306" s="40"/>
      <c r="X4306" s="40"/>
      <c r="Y4306" s="40"/>
      <c r="Z4306" s="38"/>
      <c r="AA4306" s="38"/>
      <c r="AB4306" s="38"/>
      <c r="AC4306" s="38"/>
      <c r="AD4306" s="38"/>
      <c r="AE4306" s="38"/>
      <c r="AF4306" s="38"/>
      <c r="AG4306" s="38"/>
      <c r="AH4306" s="38"/>
      <c r="AI4306" s="38"/>
      <c r="AJ4306" s="38"/>
      <c r="AK4306" s="38"/>
      <c r="AL4306" s="38"/>
      <c r="AM4306" s="38"/>
      <c r="AN4306" s="38"/>
      <c r="AO4306" s="38"/>
      <c r="AP4306" s="38"/>
      <c r="AQ4306" s="38"/>
      <c r="AR4306" s="38"/>
      <c r="AS4306" s="38"/>
      <c r="AT4306" s="38"/>
      <c r="AU4306" s="38"/>
      <c r="AV4306" s="38"/>
      <c r="AW4306" s="38"/>
      <c r="AX4306" s="38"/>
      <c r="AY4306" s="38"/>
      <c r="AZ4306" s="38"/>
      <c r="BA4306" s="38"/>
      <c r="BB4306" s="38"/>
      <c r="BC4306" s="38"/>
      <c r="BD4306" s="38"/>
      <c r="BE4306" s="38"/>
      <c r="BF4306" s="38"/>
      <c r="BG4306" s="38"/>
      <c r="BH4306" s="38"/>
      <c r="BI4306" s="38"/>
      <c r="BJ4306" s="38"/>
      <c r="BK4306" s="38"/>
      <c r="BL4306" s="38"/>
      <c r="BM4306" s="38"/>
      <c r="BN4306" s="38"/>
      <c r="BO4306" s="38"/>
      <c r="BP4306" s="38"/>
      <c r="BQ4306" s="38"/>
    </row>
    <row r="4307">
      <c r="A4307" s="16"/>
      <c r="B4307" s="145"/>
      <c r="C4307" s="146"/>
      <c r="D4307" s="146"/>
      <c r="E4307" s="16"/>
      <c r="F4307" s="91"/>
      <c r="G4307" s="16"/>
      <c r="H4307" s="320" t="str">
        <f t="shared" si="424"/>
        <v/>
      </c>
      <c r="I4307" s="16"/>
      <c r="J4307" s="16"/>
      <c r="K4307" s="16"/>
      <c r="L4307" s="16"/>
      <c r="M4307" s="15"/>
      <c r="N4307" s="15"/>
      <c r="O4307" s="16"/>
      <c r="P4307" s="16"/>
      <c r="Q4307" s="16"/>
      <c r="R4307" s="16"/>
      <c r="S4307" s="37" t="str">
        <f>IFERROR(__xludf.DUMMYFUNCTION("if(not(iserror(index(split(C4307, "" ""),2))), index(split(C4307, "" ""),1),"""")"),"")</f>
        <v/>
      </c>
      <c r="T4307" s="315" t="str">
        <f>IFERROR(__xludf.DUMMYFUNCTION("if(S4307="""",C4307,if(not(iserror(index(split(C4307, "" ""),3))), index(split(C4307, "" ""),3),index(split(C4307, "" ""),2)))"),"")</f>
        <v/>
      </c>
      <c r="U4307" s="38" t="b">
        <f t="shared" si="423"/>
        <v>0</v>
      </c>
      <c r="V4307" s="38"/>
      <c r="W4307" s="40"/>
      <c r="X4307" s="40"/>
      <c r="Y4307" s="40"/>
      <c r="Z4307" s="38"/>
      <c r="AA4307" s="38"/>
      <c r="AB4307" s="38"/>
      <c r="AC4307" s="38"/>
      <c r="AD4307" s="38"/>
      <c r="AE4307" s="38"/>
      <c r="AF4307" s="38"/>
      <c r="AG4307" s="38"/>
      <c r="AH4307" s="38"/>
      <c r="AI4307" s="38"/>
      <c r="AJ4307" s="38"/>
      <c r="AK4307" s="38"/>
      <c r="AL4307" s="38"/>
      <c r="AM4307" s="38"/>
      <c r="AN4307" s="38"/>
      <c r="AO4307" s="38"/>
      <c r="AP4307" s="38"/>
      <c r="AQ4307" s="38"/>
      <c r="AR4307" s="38"/>
      <c r="AS4307" s="38"/>
      <c r="AT4307" s="38"/>
      <c r="AU4307" s="38"/>
      <c r="AV4307" s="38"/>
      <c r="AW4307" s="38"/>
      <c r="AX4307" s="38"/>
      <c r="AY4307" s="38"/>
      <c r="AZ4307" s="38"/>
      <c r="BA4307" s="38"/>
      <c r="BB4307" s="38"/>
      <c r="BC4307" s="38"/>
      <c r="BD4307" s="38"/>
      <c r="BE4307" s="38"/>
      <c r="BF4307" s="38"/>
      <c r="BG4307" s="38"/>
      <c r="BH4307" s="38"/>
      <c r="BI4307" s="38"/>
      <c r="BJ4307" s="38"/>
      <c r="BK4307" s="38"/>
      <c r="BL4307" s="38"/>
      <c r="BM4307" s="38"/>
      <c r="BN4307" s="38"/>
      <c r="BO4307" s="38"/>
      <c r="BP4307" s="38"/>
      <c r="BQ4307" s="38"/>
    </row>
    <row r="4308">
      <c r="A4308" s="16"/>
      <c r="B4308" s="145"/>
      <c r="C4308" s="146"/>
      <c r="D4308" s="146"/>
      <c r="E4308" s="16"/>
      <c r="F4308" s="91"/>
      <c r="G4308" s="16"/>
      <c r="H4308" s="320" t="str">
        <f t="shared" si="424"/>
        <v/>
      </c>
      <c r="I4308" s="16"/>
      <c r="J4308" s="16"/>
      <c r="K4308" s="16"/>
      <c r="L4308" s="16"/>
      <c r="M4308" s="15"/>
      <c r="N4308" s="15"/>
      <c r="O4308" s="16"/>
      <c r="P4308" s="16"/>
      <c r="Q4308" s="16"/>
      <c r="R4308" s="16"/>
      <c r="S4308" s="37" t="str">
        <f>IFERROR(__xludf.DUMMYFUNCTION("if(not(iserror(index(split(C4308, "" ""),2))), index(split(C4308, "" ""),1),"""")"),"")</f>
        <v/>
      </c>
      <c r="T4308" s="315" t="str">
        <f>IFERROR(__xludf.DUMMYFUNCTION("if(S4308="""",C4308,if(not(iserror(index(split(C4308, "" ""),3))), index(split(C4308, "" ""),3),index(split(C4308, "" ""),2)))"),"")</f>
        <v/>
      </c>
      <c r="U4308" s="38" t="b">
        <f t="shared" si="423"/>
        <v>0</v>
      </c>
      <c r="V4308" s="38"/>
      <c r="W4308" s="40"/>
      <c r="X4308" s="40"/>
      <c r="Y4308" s="40"/>
      <c r="Z4308" s="38"/>
      <c r="AA4308" s="38"/>
      <c r="AB4308" s="38"/>
      <c r="AC4308" s="38"/>
      <c r="AD4308" s="38"/>
      <c r="AE4308" s="38"/>
      <c r="AF4308" s="38"/>
      <c r="AG4308" s="38"/>
      <c r="AH4308" s="38"/>
      <c r="AI4308" s="38"/>
      <c r="AJ4308" s="38"/>
      <c r="AK4308" s="38"/>
      <c r="AL4308" s="38"/>
      <c r="AM4308" s="38"/>
      <c r="AN4308" s="38"/>
      <c r="AO4308" s="38"/>
      <c r="AP4308" s="38"/>
      <c r="AQ4308" s="38"/>
      <c r="AR4308" s="38"/>
      <c r="AS4308" s="38"/>
      <c r="AT4308" s="38"/>
      <c r="AU4308" s="38"/>
      <c r="AV4308" s="38"/>
      <c r="AW4308" s="38"/>
      <c r="AX4308" s="38"/>
      <c r="AY4308" s="38"/>
      <c r="AZ4308" s="38"/>
      <c r="BA4308" s="38"/>
      <c r="BB4308" s="38"/>
      <c r="BC4308" s="38"/>
      <c r="BD4308" s="38"/>
      <c r="BE4308" s="38"/>
      <c r="BF4308" s="38"/>
      <c r="BG4308" s="38"/>
      <c r="BH4308" s="38"/>
      <c r="BI4308" s="38"/>
      <c r="BJ4308" s="38"/>
      <c r="BK4308" s="38"/>
      <c r="BL4308" s="38"/>
      <c r="BM4308" s="38"/>
      <c r="BN4308" s="38"/>
      <c r="BO4308" s="38"/>
      <c r="BP4308" s="38"/>
      <c r="BQ4308" s="38"/>
    </row>
    <row r="4309">
      <c r="A4309" s="16"/>
      <c r="B4309" s="145"/>
      <c r="C4309" s="146"/>
      <c r="D4309" s="146"/>
      <c r="E4309" s="16"/>
      <c r="F4309" s="91"/>
      <c r="G4309" s="16"/>
      <c r="H4309" s="320" t="str">
        <f t="shared" si="424"/>
        <v/>
      </c>
      <c r="I4309" s="16"/>
      <c r="J4309" s="16"/>
      <c r="K4309" s="16"/>
      <c r="L4309" s="16"/>
      <c r="M4309" s="15"/>
      <c r="N4309" s="15"/>
      <c r="O4309" s="16"/>
      <c r="P4309" s="16"/>
      <c r="Q4309" s="16"/>
      <c r="R4309" s="16"/>
      <c r="S4309" s="37" t="str">
        <f>IFERROR(__xludf.DUMMYFUNCTION("if(not(iserror(index(split(C4309, "" ""),2))), index(split(C4309, "" ""),1),"""")"),"")</f>
        <v/>
      </c>
      <c r="T4309" s="315" t="str">
        <f>IFERROR(__xludf.DUMMYFUNCTION("if(S4309="""",C4309,if(not(iserror(index(split(C4309, "" ""),3))), index(split(C4309, "" ""),3),index(split(C4309, "" ""),2)))"),"")</f>
        <v/>
      </c>
      <c r="U4309" s="38" t="b">
        <f t="shared" si="423"/>
        <v>0</v>
      </c>
      <c r="V4309" s="38"/>
      <c r="W4309" s="40"/>
      <c r="X4309" s="40"/>
      <c r="Y4309" s="40"/>
      <c r="Z4309" s="38"/>
      <c r="AA4309" s="38"/>
      <c r="AB4309" s="38"/>
      <c r="AC4309" s="38"/>
      <c r="AD4309" s="38"/>
      <c r="AE4309" s="38"/>
      <c r="AF4309" s="38"/>
      <c r="AG4309" s="38"/>
      <c r="AH4309" s="38"/>
      <c r="AI4309" s="38"/>
      <c r="AJ4309" s="38"/>
      <c r="AK4309" s="38"/>
      <c r="AL4309" s="38"/>
      <c r="AM4309" s="38"/>
      <c r="AN4309" s="38"/>
      <c r="AO4309" s="38"/>
      <c r="AP4309" s="38"/>
      <c r="AQ4309" s="38"/>
      <c r="AR4309" s="38"/>
      <c r="AS4309" s="38"/>
      <c r="AT4309" s="38"/>
      <c r="AU4309" s="38"/>
      <c r="AV4309" s="38"/>
      <c r="AW4309" s="38"/>
      <c r="AX4309" s="38"/>
      <c r="AY4309" s="38"/>
      <c r="AZ4309" s="38"/>
      <c r="BA4309" s="38"/>
      <c r="BB4309" s="38"/>
      <c r="BC4309" s="38"/>
      <c r="BD4309" s="38"/>
      <c r="BE4309" s="38"/>
      <c r="BF4309" s="38"/>
      <c r="BG4309" s="38"/>
      <c r="BH4309" s="38"/>
      <c r="BI4309" s="38"/>
      <c r="BJ4309" s="38"/>
      <c r="BK4309" s="38"/>
      <c r="BL4309" s="38"/>
      <c r="BM4309" s="38"/>
      <c r="BN4309" s="38"/>
      <c r="BO4309" s="38"/>
      <c r="BP4309" s="38"/>
      <c r="BQ4309" s="38"/>
    </row>
    <row r="4310">
      <c r="A4310" s="16"/>
      <c r="B4310" s="145"/>
      <c r="C4310" s="146"/>
      <c r="D4310" s="146"/>
      <c r="E4310" s="16"/>
      <c r="F4310" s="91"/>
      <c r="G4310" s="16"/>
      <c r="H4310" s="320" t="str">
        <f t="shared" si="424"/>
        <v/>
      </c>
      <c r="I4310" s="16"/>
      <c r="J4310" s="16"/>
      <c r="K4310" s="16"/>
      <c r="L4310" s="16"/>
      <c r="M4310" s="15"/>
      <c r="N4310" s="15"/>
      <c r="O4310" s="16"/>
      <c r="P4310" s="16"/>
      <c r="Q4310" s="16"/>
      <c r="R4310" s="16"/>
      <c r="S4310" s="37" t="str">
        <f>IFERROR(__xludf.DUMMYFUNCTION("if(not(iserror(index(split(C4310, "" ""),2))), index(split(C4310, "" ""),1),"""")"),"")</f>
        <v/>
      </c>
      <c r="T4310" s="315" t="str">
        <f>IFERROR(__xludf.DUMMYFUNCTION("if(S4310="""",C4310,if(not(iserror(index(split(C4310, "" ""),3))), index(split(C4310, "" ""),3),index(split(C4310, "" ""),2)))"),"")</f>
        <v/>
      </c>
      <c r="U4310" s="38" t="b">
        <f t="shared" si="423"/>
        <v>0</v>
      </c>
      <c r="V4310" s="38"/>
      <c r="W4310" s="40"/>
      <c r="X4310" s="40"/>
      <c r="Y4310" s="40"/>
      <c r="Z4310" s="38"/>
      <c r="AA4310" s="38"/>
      <c r="AB4310" s="38"/>
      <c r="AC4310" s="38"/>
      <c r="AD4310" s="38"/>
      <c r="AE4310" s="38"/>
      <c r="AF4310" s="38"/>
      <c r="AG4310" s="38"/>
      <c r="AH4310" s="38"/>
      <c r="AI4310" s="38"/>
      <c r="AJ4310" s="38"/>
      <c r="AK4310" s="38"/>
      <c r="AL4310" s="38"/>
      <c r="AM4310" s="38"/>
      <c r="AN4310" s="38"/>
      <c r="AO4310" s="38"/>
      <c r="AP4310" s="38"/>
      <c r="AQ4310" s="38"/>
      <c r="AR4310" s="38"/>
      <c r="AS4310" s="38"/>
      <c r="AT4310" s="38"/>
      <c r="AU4310" s="38"/>
      <c r="AV4310" s="38"/>
      <c r="AW4310" s="38"/>
      <c r="AX4310" s="38"/>
      <c r="AY4310" s="38"/>
      <c r="AZ4310" s="38"/>
      <c r="BA4310" s="38"/>
      <c r="BB4310" s="38"/>
      <c r="BC4310" s="38"/>
      <c r="BD4310" s="38"/>
      <c r="BE4310" s="38"/>
      <c r="BF4310" s="38"/>
      <c r="BG4310" s="38"/>
      <c r="BH4310" s="38"/>
      <c r="BI4310" s="38"/>
      <c r="BJ4310" s="38"/>
      <c r="BK4310" s="38"/>
      <c r="BL4310" s="38"/>
      <c r="BM4310" s="38"/>
      <c r="BN4310" s="38"/>
      <c r="BO4310" s="38"/>
      <c r="BP4310" s="38"/>
      <c r="BQ4310" s="38"/>
    </row>
    <row r="4311">
      <c r="A4311" s="16"/>
      <c r="B4311" s="145"/>
      <c r="C4311" s="146"/>
      <c r="D4311" s="146"/>
      <c r="E4311" s="16"/>
      <c r="F4311" s="91"/>
      <c r="G4311" s="16"/>
      <c r="H4311" s="320" t="str">
        <f t="shared" si="424"/>
        <v/>
      </c>
      <c r="I4311" s="16"/>
      <c r="J4311" s="16"/>
      <c r="K4311" s="16"/>
      <c r="L4311" s="16"/>
      <c r="M4311" s="15"/>
      <c r="N4311" s="15"/>
      <c r="O4311" s="16"/>
      <c r="P4311" s="16"/>
      <c r="Q4311" s="16"/>
      <c r="R4311" s="16"/>
      <c r="S4311" s="37" t="str">
        <f>IFERROR(__xludf.DUMMYFUNCTION("if(not(iserror(index(split(C4311, "" ""),2))), index(split(C4311, "" ""),1),"""")"),"")</f>
        <v/>
      </c>
      <c r="T4311" s="315" t="str">
        <f>IFERROR(__xludf.DUMMYFUNCTION("if(S4311="""",C4311,if(not(iserror(index(split(C4311, "" ""),3))), index(split(C4311, "" ""),3),index(split(C4311, "" ""),2)))"),"")</f>
        <v/>
      </c>
      <c r="U4311" s="38" t="b">
        <f t="shared" si="423"/>
        <v>0</v>
      </c>
      <c r="V4311" s="38"/>
      <c r="W4311" s="40"/>
      <c r="X4311" s="40"/>
      <c r="Y4311" s="40"/>
      <c r="Z4311" s="38"/>
      <c r="AA4311" s="38"/>
      <c r="AB4311" s="38"/>
      <c r="AC4311" s="38"/>
      <c r="AD4311" s="38"/>
      <c r="AE4311" s="38"/>
      <c r="AF4311" s="38"/>
      <c r="AG4311" s="38"/>
      <c r="AH4311" s="38"/>
      <c r="AI4311" s="38"/>
      <c r="AJ4311" s="38"/>
      <c r="AK4311" s="38"/>
      <c r="AL4311" s="38"/>
      <c r="AM4311" s="38"/>
      <c r="AN4311" s="38"/>
      <c r="AO4311" s="38"/>
      <c r="AP4311" s="38"/>
      <c r="AQ4311" s="38"/>
      <c r="AR4311" s="38"/>
      <c r="AS4311" s="38"/>
      <c r="AT4311" s="38"/>
      <c r="AU4311" s="38"/>
      <c r="AV4311" s="38"/>
      <c r="AW4311" s="38"/>
      <c r="AX4311" s="38"/>
      <c r="AY4311" s="38"/>
      <c r="AZ4311" s="38"/>
      <c r="BA4311" s="38"/>
      <c r="BB4311" s="38"/>
      <c r="BC4311" s="38"/>
      <c r="BD4311" s="38"/>
      <c r="BE4311" s="38"/>
      <c r="BF4311" s="38"/>
      <c r="BG4311" s="38"/>
      <c r="BH4311" s="38"/>
      <c r="BI4311" s="38"/>
      <c r="BJ4311" s="38"/>
      <c r="BK4311" s="38"/>
      <c r="BL4311" s="38"/>
      <c r="BM4311" s="38"/>
      <c r="BN4311" s="38"/>
      <c r="BO4311" s="38"/>
      <c r="BP4311" s="38"/>
      <c r="BQ4311" s="38"/>
    </row>
    <row r="4312">
      <c r="A4312" s="16"/>
      <c r="B4312" s="145"/>
      <c r="C4312" s="146"/>
      <c r="D4312" s="146"/>
      <c r="E4312" s="16"/>
      <c r="F4312" s="91"/>
      <c r="G4312" s="16"/>
      <c r="H4312" s="320" t="str">
        <f t="shared" si="424"/>
        <v/>
      </c>
      <c r="I4312" s="16"/>
      <c r="J4312" s="16"/>
      <c r="K4312" s="16"/>
      <c r="L4312" s="16"/>
      <c r="M4312" s="15"/>
      <c r="N4312" s="15"/>
      <c r="O4312" s="16"/>
      <c r="P4312" s="16"/>
      <c r="Q4312" s="16"/>
      <c r="R4312" s="16"/>
      <c r="S4312" s="37" t="str">
        <f>IFERROR(__xludf.DUMMYFUNCTION("if(not(iserror(index(split(C4312, "" ""),2))), index(split(C4312, "" ""),1),"""")"),"")</f>
        <v/>
      </c>
      <c r="T4312" s="315" t="str">
        <f>IFERROR(__xludf.DUMMYFUNCTION("if(S4312="""",C4312,if(not(iserror(index(split(C4312, "" ""),3))), index(split(C4312, "" ""),3),index(split(C4312, "" ""),2)))"),"")</f>
        <v/>
      </c>
      <c r="U4312" s="38" t="b">
        <f t="shared" si="423"/>
        <v>0</v>
      </c>
      <c r="V4312" s="38"/>
      <c r="W4312" s="40"/>
      <c r="X4312" s="40"/>
      <c r="Y4312" s="40"/>
      <c r="Z4312" s="38"/>
      <c r="AA4312" s="38"/>
      <c r="AB4312" s="38"/>
      <c r="AC4312" s="38"/>
      <c r="AD4312" s="38"/>
      <c r="AE4312" s="38"/>
      <c r="AF4312" s="38"/>
      <c r="AG4312" s="38"/>
      <c r="AH4312" s="38"/>
      <c r="AI4312" s="38"/>
      <c r="AJ4312" s="38"/>
      <c r="AK4312" s="38"/>
      <c r="AL4312" s="38"/>
      <c r="AM4312" s="38"/>
      <c r="AN4312" s="38"/>
      <c r="AO4312" s="38"/>
      <c r="AP4312" s="38"/>
      <c r="AQ4312" s="38"/>
      <c r="AR4312" s="38"/>
      <c r="AS4312" s="38"/>
      <c r="AT4312" s="38"/>
      <c r="AU4312" s="38"/>
      <c r="AV4312" s="38"/>
      <c r="AW4312" s="38"/>
      <c r="AX4312" s="38"/>
      <c r="AY4312" s="38"/>
      <c r="AZ4312" s="38"/>
      <c r="BA4312" s="38"/>
      <c r="BB4312" s="38"/>
      <c r="BC4312" s="38"/>
      <c r="BD4312" s="38"/>
      <c r="BE4312" s="38"/>
      <c r="BF4312" s="38"/>
      <c r="BG4312" s="38"/>
      <c r="BH4312" s="38"/>
      <c r="BI4312" s="38"/>
      <c r="BJ4312" s="38"/>
      <c r="BK4312" s="38"/>
      <c r="BL4312" s="38"/>
      <c r="BM4312" s="38"/>
      <c r="BN4312" s="38"/>
      <c r="BO4312" s="38"/>
      <c r="BP4312" s="38"/>
      <c r="BQ4312" s="38"/>
    </row>
    <row r="4313">
      <c r="A4313" s="16"/>
      <c r="B4313" s="145"/>
      <c r="C4313" s="146"/>
      <c r="D4313" s="146"/>
      <c r="E4313" s="16"/>
      <c r="F4313" s="91"/>
      <c r="G4313" s="16"/>
      <c r="H4313" s="320" t="str">
        <f t="shared" si="424"/>
        <v/>
      </c>
      <c r="I4313" s="16"/>
      <c r="J4313" s="16"/>
      <c r="K4313" s="16"/>
      <c r="L4313" s="16"/>
      <c r="M4313" s="15"/>
      <c r="N4313" s="15"/>
      <c r="O4313" s="16"/>
      <c r="P4313" s="16"/>
      <c r="Q4313" s="16"/>
      <c r="R4313" s="16"/>
      <c r="S4313" s="37" t="str">
        <f>IFERROR(__xludf.DUMMYFUNCTION("if(not(iserror(index(split(C4313, "" ""),2))), index(split(C4313, "" ""),1),"""")"),"")</f>
        <v/>
      </c>
      <c r="T4313" s="315" t="str">
        <f>IFERROR(__xludf.DUMMYFUNCTION("if(S4313="""",C4313,if(not(iserror(index(split(C4313, "" ""),3))), index(split(C4313, "" ""),3),index(split(C4313, "" ""),2)))"),"")</f>
        <v/>
      </c>
      <c r="U4313" s="38" t="b">
        <f t="shared" si="423"/>
        <v>0</v>
      </c>
      <c r="V4313" s="38"/>
      <c r="W4313" s="40"/>
      <c r="X4313" s="40"/>
      <c r="Y4313" s="40"/>
      <c r="Z4313" s="38"/>
      <c r="AA4313" s="38"/>
      <c r="AB4313" s="38"/>
      <c r="AC4313" s="38"/>
      <c r="AD4313" s="38"/>
      <c r="AE4313" s="38"/>
      <c r="AF4313" s="38"/>
      <c r="AG4313" s="38"/>
      <c r="AH4313" s="38"/>
      <c r="AI4313" s="38"/>
      <c r="AJ4313" s="38"/>
      <c r="AK4313" s="38"/>
      <c r="AL4313" s="38"/>
      <c r="AM4313" s="38"/>
      <c r="AN4313" s="38"/>
      <c r="AO4313" s="38"/>
      <c r="AP4313" s="38"/>
      <c r="AQ4313" s="38"/>
      <c r="AR4313" s="38"/>
      <c r="AS4313" s="38"/>
      <c r="AT4313" s="38"/>
      <c r="AU4313" s="38"/>
      <c r="AV4313" s="38"/>
      <c r="AW4313" s="38"/>
      <c r="AX4313" s="38"/>
      <c r="AY4313" s="38"/>
      <c r="AZ4313" s="38"/>
      <c r="BA4313" s="38"/>
      <c r="BB4313" s="38"/>
      <c r="BC4313" s="38"/>
      <c r="BD4313" s="38"/>
      <c r="BE4313" s="38"/>
      <c r="BF4313" s="38"/>
      <c r="BG4313" s="38"/>
      <c r="BH4313" s="38"/>
      <c r="BI4313" s="38"/>
      <c r="BJ4313" s="38"/>
      <c r="BK4313" s="38"/>
      <c r="BL4313" s="38"/>
      <c r="BM4313" s="38"/>
      <c r="BN4313" s="38"/>
      <c r="BO4313" s="38"/>
      <c r="BP4313" s="38"/>
      <c r="BQ4313" s="38"/>
    </row>
    <row r="4314">
      <c r="A4314" s="16"/>
      <c r="B4314" s="145"/>
      <c r="C4314" s="146"/>
      <c r="D4314" s="146"/>
      <c r="E4314" s="16"/>
      <c r="F4314" s="91"/>
      <c r="G4314" s="16"/>
      <c r="H4314" s="320" t="str">
        <f t="shared" si="424"/>
        <v/>
      </c>
      <c r="I4314" s="16"/>
      <c r="J4314" s="16"/>
      <c r="K4314" s="16"/>
      <c r="L4314" s="16"/>
      <c r="M4314" s="15"/>
      <c r="N4314" s="15"/>
      <c r="O4314" s="16"/>
      <c r="P4314" s="16"/>
      <c r="Q4314" s="16"/>
      <c r="R4314" s="16"/>
      <c r="S4314" s="37" t="str">
        <f>IFERROR(__xludf.DUMMYFUNCTION("if(not(iserror(index(split(C4314, "" ""),2))), index(split(C4314, "" ""),1),"""")"),"")</f>
        <v/>
      </c>
      <c r="T4314" s="315" t="str">
        <f>IFERROR(__xludf.DUMMYFUNCTION("if(S4314="""",C4314,if(not(iserror(index(split(C4314, "" ""),3))), index(split(C4314, "" ""),3),index(split(C4314, "" ""),2)))"),"")</f>
        <v/>
      </c>
      <c r="U4314" s="38" t="b">
        <f t="shared" si="423"/>
        <v>0</v>
      </c>
      <c r="V4314" s="38"/>
      <c r="W4314" s="40"/>
      <c r="X4314" s="40"/>
      <c r="Y4314" s="40"/>
      <c r="Z4314" s="38"/>
      <c r="AA4314" s="38"/>
      <c r="AB4314" s="38"/>
      <c r="AC4314" s="38"/>
      <c r="AD4314" s="38"/>
      <c r="AE4314" s="38"/>
      <c r="AF4314" s="38"/>
      <c r="AG4314" s="38"/>
      <c r="AH4314" s="38"/>
      <c r="AI4314" s="38"/>
      <c r="AJ4314" s="38"/>
      <c r="AK4314" s="38"/>
      <c r="AL4314" s="38"/>
      <c r="AM4314" s="38"/>
      <c r="AN4314" s="38"/>
      <c r="AO4314" s="38"/>
      <c r="AP4314" s="38"/>
      <c r="AQ4314" s="38"/>
      <c r="AR4314" s="38"/>
      <c r="AS4314" s="38"/>
      <c r="AT4314" s="38"/>
      <c r="AU4314" s="38"/>
      <c r="AV4314" s="38"/>
      <c r="AW4314" s="38"/>
      <c r="AX4314" s="38"/>
      <c r="AY4314" s="38"/>
      <c r="AZ4314" s="38"/>
      <c r="BA4314" s="38"/>
      <c r="BB4314" s="38"/>
      <c r="BC4314" s="38"/>
      <c r="BD4314" s="38"/>
      <c r="BE4314" s="38"/>
      <c r="BF4314" s="38"/>
      <c r="BG4314" s="38"/>
      <c r="BH4314" s="38"/>
      <c r="BI4314" s="38"/>
      <c r="BJ4314" s="38"/>
      <c r="BK4314" s="38"/>
      <c r="BL4314" s="38"/>
      <c r="BM4314" s="38"/>
      <c r="BN4314" s="38"/>
      <c r="BO4314" s="38"/>
      <c r="BP4314" s="38"/>
      <c r="BQ4314" s="38"/>
    </row>
    <row r="4315">
      <c r="A4315" s="16"/>
      <c r="B4315" s="145"/>
      <c r="C4315" s="146"/>
      <c r="D4315" s="146"/>
      <c r="E4315" s="16"/>
      <c r="F4315" s="91"/>
      <c r="G4315" s="16"/>
      <c r="H4315" s="320" t="str">
        <f t="shared" si="424"/>
        <v/>
      </c>
      <c r="I4315" s="16"/>
      <c r="J4315" s="16"/>
      <c r="K4315" s="16"/>
      <c r="L4315" s="16"/>
      <c r="M4315" s="15"/>
      <c r="N4315" s="15"/>
      <c r="O4315" s="16"/>
      <c r="P4315" s="16"/>
      <c r="Q4315" s="16"/>
      <c r="R4315" s="16"/>
      <c r="S4315" s="37" t="str">
        <f>IFERROR(__xludf.DUMMYFUNCTION("if(not(iserror(index(split(C4315, "" ""),2))), index(split(C4315, "" ""),1),"""")"),"")</f>
        <v/>
      </c>
      <c r="T4315" s="315" t="str">
        <f>IFERROR(__xludf.DUMMYFUNCTION("if(S4315="""",C4315,if(not(iserror(index(split(C4315, "" ""),3))), index(split(C4315, "" ""),3),index(split(C4315, "" ""),2)))"),"")</f>
        <v/>
      </c>
      <c r="U4315" s="38" t="b">
        <f t="shared" si="423"/>
        <v>0</v>
      </c>
      <c r="V4315" s="38"/>
      <c r="W4315" s="40"/>
      <c r="X4315" s="40"/>
      <c r="Y4315" s="40"/>
      <c r="Z4315" s="38"/>
      <c r="AA4315" s="38"/>
      <c r="AB4315" s="38"/>
      <c r="AC4315" s="38"/>
      <c r="AD4315" s="38"/>
      <c r="AE4315" s="38"/>
      <c r="AF4315" s="38"/>
      <c r="AG4315" s="38"/>
      <c r="AH4315" s="38"/>
      <c r="AI4315" s="38"/>
      <c r="AJ4315" s="38"/>
      <c r="AK4315" s="38"/>
      <c r="AL4315" s="38"/>
      <c r="AM4315" s="38"/>
      <c r="AN4315" s="38"/>
      <c r="AO4315" s="38"/>
      <c r="AP4315" s="38"/>
      <c r="AQ4315" s="38"/>
      <c r="AR4315" s="38"/>
      <c r="AS4315" s="38"/>
      <c r="AT4315" s="38"/>
      <c r="AU4315" s="38"/>
      <c r="AV4315" s="38"/>
      <c r="AW4315" s="38"/>
      <c r="AX4315" s="38"/>
      <c r="AY4315" s="38"/>
      <c r="AZ4315" s="38"/>
      <c r="BA4315" s="38"/>
      <c r="BB4315" s="38"/>
      <c r="BC4315" s="38"/>
      <c r="BD4315" s="38"/>
      <c r="BE4315" s="38"/>
      <c r="BF4315" s="38"/>
      <c r="BG4315" s="38"/>
      <c r="BH4315" s="38"/>
      <c r="BI4315" s="38"/>
      <c r="BJ4315" s="38"/>
      <c r="BK4315" s="38"/>
      <c r="BL4315" s="38"/>
      <c r="BM4315" s="38"/>
      <c r="BN4315" s="38"/>
      <c r="BO4315" s="38"/>
      <c r="BP4315" s="38"/>
      <c r="BQ4315" s="38"/>
    </row>
    <row r="4316">
      <c r="A4316" s="16"/>
      <c r="B4316" s="145"/>
      <c r="C4316" s="146"/>
      <c r="D4316" s="146"/>
      <c r="E4316" s="16"/>
      <c r="F4316" s="91"/>
      <c r="G4316" s="16"/>
      <c r="H4316" s="320" t="str">
        <f t="shared" si="424"/>
        <v/>
      </c>
      <c r="I4316" s="16"/>
      <c r="J4316" s="16"/>
      <c r="K4316" s="16"/>
      <c r="L4316" s="16"/>
      <c r="M4316" s="15"/>
      <c r="N4316" s="15"/>
      <c r="O4316" s="16"/>
      <c r="P4316" s="16"/>
      <c r="Q4316" s="16"/>
      <c r="R4316" s="16"/>
      <c r="S4316" s="37" t="str">
        <f>IFERROR(__xludf.DUMMYFUNCTION("if(not(iserror(index(split(C4316, "" ""),2))), index(split(C4316, "" ""),1),"""")"),"")</f>
        <v/>
      </c>
      <c r="T4316" s="315" t="str">
        <f>IFERROR(__xludf.DUMMYFUNCTION("if(S4316="""",C4316,if(not(iserror(index(split(C4316, "" ""),3))), index(split(C4316, "" ""),3),index(split(C4316, "" ""),2)))"),"")</f>
        <v/>
      </c>
      <c r="U4316" s="38" t="b">
        <f t="shared" si="423"/>
        <v>0</v>
      </c>
      <c r="V4316" s="38"/>
      <c r="W4316" s="40"/>
      <c r="X4316" s="40"/>
      <c r="Y4316" s="40"/>
      <c r="Z4316" s="38"/>
      <c r="AA4316" s="38"/>
      <c r="AB4316" s="38"/>
      <c r="AC4316" s="38"/>
      <c r="AD4316" s="38"/>
      <c r="AE4316" s="38"/>
      <c r="AF4316" s="38"/>
      <c r="AG4316" s="38"/>
      <c r="AH4316" s="38"/>
      <c r="AI4316" s="38"/>
      <c r="AJ4316" s="38"/>
      <c r="AK4316" s="38"/>
      <c r="AL4316" s="38"/>
      <c r="AM4316" s="38"/>
      <c r="AN4316" s="38"/>
      <c r="AO4316" s="38"/>
      <c r="AP4316" s="38"/>
      <c r="AQ4316" s="38"/>
      <c r="AR4316" s="38"/>
      <c r="AS4316" s="38"/>
      <c r="AT4316" s="38"/>
      <c r="AU4316" s="38"/>
      <c r="AV4316" s="38"/>
      <c r="AW4316" s="38"/>
      <c r="AX4316" s="38"/>
      <c r="AY4316" s="38"/>
      <c r="AZ4316" s="38"/>
      <c r="BA4316" s="38"/>
      <c r="BB4316" s="38"/>
      <c r="BC4316" s="38"/>
      <c r="BD4316" s="38"/>
      <c r="BE4316" s="38"/>
      <c r="BF4316" s="38"/>
      <c r="BG4316" s="38"/>
      <c r="BH4316" s="38"/>
      <c r="BI4316" s="38"/>
      <c r="BJ4316" s="38"/>
      <c r="BK4316" s="38"/>
      <c r="BL4316" s="38"/>
      <c r="BM4316" s="38"/>
      <c r="BN4316" s="38"/>
      <c r="BO4316" s="38"/>
      <c r="BP4316" s="38"/>
      <c r="BQ4316" s="38"/>
    </row>
    <row r="4317">
      <c r="A4317" s="16"/>
      <c r="B4317" s="145"/>
      <c r="C4317" s="146"/>
      <c r="D4317" s="146"/>
      <c r="E4317" s="16"/>
      <c r="F4317" s="91"/>
      <c r="G4317" s="16"/>
      <c r="H4317" s="320" t="str">
        <f t="shared" si="424"/>
        <v/>
      </c>
      <c r="I4317" s="16"/>
      <c r="J4317" s="16"/>
      <c r="K4317" s="16"/>
      <c r="L4317" s="16"/>
      <c r="M4317" s="15"/>
      <c r="N4317" s="15"/>
      <c r="O4317" s="16"/>
      <c r="P4317" s="16"/>
      <c r="Q4317" s="16"/>
      <c r="R4317" s="16"/>
      <c r="S4317" s="37" t="str">
        <f>IFERROR(__xludf.DUMMYFUNCTION("if(not(iserror(index(split(C4317, "" ""),2))), index(split(C4317, "" ""),1),"""")"),"")</f>
        <v/>
      </c>
      <c r="T4317" s="315" t="str">
        <f>IFERROR(__xludf.DUMMYFUNCTION("if(S4317="""",C4317,if(not(iserror(index(split(C4317, "" ""),3))), index(split(C4317, "" ""),3),index(split(C4317, "" ""),2)))"),"")</f>
        <v/>
      </c>
      <c r="U4317" s="38" t="b">
        <f t="shared" si="423"/>
        <v>0</v>
      </c>
      <c r="V4317" s="38"/>
      <c r="W4317" s="40"/>
      <c r="X4317" s="40"/>
      <c r="Y4317" s="40"/>
      <c r="Z4317" s="38"/>
      <c r="AA4317" s="38"/>
      <c r="AB4317" s="38"/>
      <c r="AC4317" s="38"/>
      <c r="AD4317" s="38"/>
      <c r="AE4317" s="38"/>
      <c r="AF4317" s="38"/>
      <c r="AG4317" s="38"/>
      <c r="AH4317" s="38"/>
      <c r="AI4317" s="38"/>
      <c r="AJ4317" s="38"/>
      <c r="AK4317" s="38"/>
      <c r="AL4317" s="38"/>
      <c r="AM4317" s="38"/>
      <c r="AN4317" s="38"/>
      <c r="AO4317" s="38"/>
      <c r="AP4317" s="38"/>
      <c r="AQ4317" s="38"/>
      <c r="AR4317" s="38"/>
      <c r="AS4317" s="38"/>
      <c r="AT4317" s="38"/>
      <c r="AU4317" s="38"/>
      <c r="AV4317" s="38"/>
      <c r="AW4317" s="38"/>
      <c r="AX4317" s="38"/>
      <c r="AY4317" s="38"/>
      <c r="AZ4317" s="38"/>
      <c r="BA4317" s="38"/>
      <c r="BB4317" s="38"/>
      <c r="BC4317" s="38"/>
      <c r="BD4317" s="38"/>
      <c r="BE4317" s="38"/>
      <c r="BF4317" s="38"/>
      <c r="BG4317" s="38"/>
      <c r="BH4317" s="38"/>
      <c r="BI4317" s="38"/>
      <c r="BJ4317" s="38"/>
      <c r="BK4317" s="38"/>
      <c r="BL4317" s="38"/>
      <c r="BM4317" s="38"/>
      <c r="BN4317" s="38"/>
      <c r="BO4317" s="38"/>
      <c r="BP4317" s="38"/>
      <c r="BQ4317" s="38"/>
    </row>
    <row r="4318">
      <c r="A4318" s="16"/>
      <c r="B4318" s="145"/>
      <c r="C4318" s="146"/>
      <c r="D4318" s="146"/>
      <c r="E4318" s="16"/>
      <c r="F4318" s="91"/>
      <c r="G4318" s="16"/>
      <c r="H4318" s="320" t="str">
        <f t="shared" si="424"/>
        <v/>
      </c>
      <c r="I4318" s="16"/>
      <c r="J4318" s="16"/>
      <c r="K4318" s="16"/>
      <c r="L4318" s="16"/>
      <c r="M4318" s="15"/>
      <c r="N4318" s="15"/>
      <c r="O4318" s="16"/>
      <c r="P4318" s="16"/>
      <c r="Q4318" s="16"/>
      <c r="R4318" s="16"/>
      <c r="S4318" s="37" t="str">
        <f>IFERROR(__xludf.DUMMYFUNCTION("if(not(iserror(index(split(C4318, "" ""),2))), index(split(C4318, "" ""),1),"""")"),"")</f>
        <v/>
      </c>
      <c r="T4318" s="315" t="str">
        <f>IFERROR(__xludf.DUMMYFUNCTION("if(S4318="""",C4318,if(not(iserror(index(split(C4318, "" ""),3))), index(split(C4318, "" ""),3),index(split(C4318, "" ""),2)))"),"")</f>
        <v/>
      </c>
      <c r="U4318" s="38" t="b">
        <f t="shared" si="423"/>
        <v>0</v>
      </c>
      <c r="V4318" s="38"/>
      <c r="W4318" s="40"/>
      <c r="X4318" s="40"/>
      <c r="Y4318" s="40"/>
      <c r="Z4318" s="38"/>
      <c r="AA4318" s="38"/>
      <c r="AB4318" s="38"/>
      <c r="AC4318" s="38"/>
      <c r="AD4318" s="38"/>
      <c r="AE4318" s="38"/>
      <c r="AF4318" s="38"/>
      <c r="AG4318" s="38"/>
      <c r="AH4318" s="38"/>
      <c r="AI4318" s="38"/>
      <c r="AJ4318" s="38"/>
      <c r="AK4318" s="38"/>
      <c r="AL4318" s="38"/>
      <c r="AM4318" s="38"/>
      <c r="AN4318" s="38"/>
      <c r="AO4318" s="38"/>
      <c r="AP4318" s="38"/>
      <c r="AQ4318" s="38"/>
      <c r="AR4318" s="38"/>
      <c r="AS4318" s="38"/>
      <c r="AT4318" s="38"/>
      <c r="AU4318" s="38"/>
      <c r="AV4318" s="38"/>
      <c r="AW4318" s="38"/>
      <c r="AX4318" s="38"/>
      <c r="AY4318" s="38"/>
      <c r="AZ4318" s="38"/>
      <c r="BA4318" s="38"/>
      <c r="BB4318" s="38"/>
      <c r="BC4318" s="38"/>
      <c r="BD4318" s="38"/>
      <c r="BE4318" s="38"/>
      <c r="BF4318" s="38"/>
      <c r="BG4318" s="38"/>
      <c r="BH4318" s="38"/>
      <c r="BI4318" s="38"/>
      <c r="BJ4318" s="38"/>
      <c r="BK4318" s="38"/>
      <c r="BL4318" s="38"/>
      <c r="BM4318" s="38"/>
      <c r="BN4318" s="38"/>
      <c r="BO4318" s="38"/>
      <c r="BP4318" s="38"/>
      <c r="BQ4318" s="38"/>
    </row>
    <row r="4319">
      <c r="A4319" s="16"/>
      <c r="B4319" s="145"/>
      <c r="C4319" s="146"/>
      <c r="D4319" s="146"/>
      <c r="E4319" s="16"/>
      <c r="F4319" s="91"/>
      <c r="G4319" s="16"/>
      <c r="H4319" s="320" t="str">
        <f t="shared" si="424"/>
        <v/>
      </c>
      <c r="I4319" s="16"/>
      <c r="J4319" s="16"/>
      <c r="K4319" s="16"/>
      <c r="L4319" s="16"/>
      <c r="M4319" s="15"/>
      <c r="N4319" s="15"/>
      <c r="O4319" s="16"/>
      <c r="P4319" s="16"/>
      <c r="Q4319" s="16"/>
      <c r="R4319" s="16"/>
      <c r="S4319" s="37" t="str">
        <f>IFERROR(__xludf.DUMMYFUNCTION("if(not(iserror(index(split(C4319, "" ""),2))), index(split(C4319, "" ""),1),"""")"),"")</f>
        <v/>
      </c>
      <c r="T4319" s="315" t="str">
        <f>IFERROR(__xludf.DUMMYFUNCTION("if(S4319="""",C4319,if(not(iserror(index(split(C4319, "" ""),3))), index(split(C4319, "" ""),3),index(split(C4319, "" ""),2)))"),"")</f>
        <v/>
      </c>
      <c r="U4319" s="38" t="b">
        <f t="shared" si="423"/>
        <v>0</v>
      </c>
      <c r="V4319" s="38"/>
      <c r="W4319" s="40"/>
      <c r="X4319" s="40"/>
      <c r="Y4319" s="40"/>
      <c r="Z4319" s="38"/>
      <c r="AA4319" s="38"/>
      <c r="AB4319" s="38"/>
      <c r="AC4319" s="38"/>
      <c r="AD4319" s="38"/>
      <c r="AE4319" s="38"/>
      <c r="AF4319" s="38"/>
      <c r="AG4319" s="38"/>
      <c r="AH4319" s="38"/>
      <c r="AI4319" s="38"/>
      <c r="AJ4319" s="38"/>
      <c r="AK4319" s="38"/>
      <c r="AL4319" s="38"/>
      <c r="AM4319" s="38"/>
      <c r="AN4319" s="38"/>
      <c r="AO4319" s="38"/>
      <c r="AP4319" s="38"/>
      <c r="AQ4319" s="38"/>
      <c r="AR4319" s="38"/>
      <c r="AS4319" s="38"/>
      <c r="AT4319" s="38"/>
      <c r="AU4319" s="38"/>
      <c r="AV4319" s="38"/>
      <c r="AW4319" s="38"/>
      <c r="AX4319" s="38"/>
      <c r="AY4319" s="38"/>
      <c r="AZ4319" s="38"/>
      <c r="BA4319" s="38"/>
      <c r="BB4319" s="38"/>
      <c r="BC4319" s="38"/>
      <c r="BD4319" s="38"/>
      <c r="BE4319" s="38"/>
      <c r="BF4319" s="38"/>
      <c r="BG4319" s="38"/>
      <c r="BH4319" s="38"/>
      <c r="BI4319" s="38"/>
      <c r="BJ4319" s="38"/>
      <c r="BK4319" s="38"/>
      <c r="BL4319" s="38"/>
      <c r="BM4319" s="38"/>
      <c r="BN4319" s="38"/>
      <c r="BO4319" s="38"/>
      <c r="BP4319" s="38"/>
      <c r="BQ4319" s="38"/>
    </row>
    <row r="4320">
      <c r="A4320" s="16"/>
      <c r="B4320" s="145"/>
      <c r="C4320" s="146"/>
      <c r="D4320" s="146"/>
      <c r="E4320" s="16"/>
      <c r="F4320" s="91"/>
      <c r="G4320" s="16"/>
      <c r="H4320" s="320" t="str">
        <f t="shared" si="424"/>
        <v/>
      </c>
      <c r="I4320" s="16"/>
      <c r="J4320" s="16"/>
      <c r="K4320" s="16"/>
      <c r="L4320" s="16"/>
      <c r="M4320" s="15"/>
      <c r="N4320" s="15"/>
      <c r="O4320" s="16"/>
      <c r="P4320" s="16"/>
      <c r="Q4320" s="16"/>
      <c r="R4320" s="16"/>
      <c r="S4320" s="37" t="str">
        <f>IFERROR(__xludf.DUMMYFUNCTION("if(not(iserror(index(split(C4320, "" ""),2))), index(split(C4320, "" ""),1),"""")"),"")</f>
        <v/>
      </c>
      <c r="T4320" s="315" t="str">
        <f>IFERROR(__xludf.DUMMYFUNCTION("if(S4320="""",C4320,if(not(iserror(index(split(C4320, "" ""),3))), index(split(C4320, "" ""),3),index(split(C4320, "" ""),2)))"),"")</f>
        <v/>
      </c>
      <c r="U4320" s="38" t="b">
        <f t="shared" si="423"/>
        <v>0</v>
      </c>
      <c r="V4320" s="38"/>
      <c r="W4320" s="40"/>
      <c r="X4320" s="40"/>
      <c r="Y4320" s="40"/>
      <c r="Z4320" s="38"/>
      <c r="AA4320" s="38"/>
      <c r="AB4320" s="38"/>
      <c r="AC4320" s="38"/>
      <c r="AD4320" s="38"/>
      <c r="AE4320" s="38"/>
      <c r="AF4320" s="38"/>
      <c r="AG4320" s="38"/>
      <c r="AH4320" s="38"/>
      <c r="AI4320" s="38"/>
      <c r="AJ4320" s="38"/>
      <c r="AK4320" s="38"/>
      <c r="AL4320" s="38"/>
      <c r="AM4320" s="38"/>
      <c r="AN4320" s="38"/>
      <c r="AO4320" s="38"/>
      <c r="AP4320" s="38"/>
      <c r="AQ4320" s="38"/>
      <c r="AR4320" s="38"/>
      <c r="AS4320" s="38"/>
      <c r="AT4320" s="38"/>
      <c r="AU4320" s="38"/>
      <c r="AV4320" s="38"/>
      <c r="AW4320" s="38"/>
      <c r="AX4320" s="38"/>
      <c r="AY4320" s="38"/>
      <c r="AZ4320" s="38"/>
      <c r="BA4320" s="38"/>
      <c r="BB4320" s="38"/>
      <c r="BC4320" s="38"/>
      <c r="BD4320" s="38"/>
      <c r="BE4320" s="38"/>
      <c r="BF4320" s="38"/>
      <c r="BG4320" s="38"/>
      <c r="BH4320" s="38"/>
      <c r="BI4320" s="38"/>
      <c r="BJ4320" s="38"/>
      <c r="BK4320" s="38"/>
      <c r="BL4320" s="38"/>
      <c r="BM4320" s="38"/>
      <c r="BN4320" s="38"/>
      <c r="BO4320" s="38"/>
      <c r="BP4320" s="38"/>
      <c r="BQ4320" s="38"/>
    </row>
    <row r="4321">
      <c r="A4321" s="16"/>
      <c r="B4321" s="145"/>
      <c r="C4321" s="146"/>
      <c r="D4321" s="146"/>
      <c r="E4321" s="16"/>
      <c r="F4321" s="91"/>
      <c r="G4321" s="16"/>
      <c r="H4321" s="320" t="str">
        <f t="shared" si="424"/>
        <v/>
      </c>
      <c r="I4321" s="16"/>
      <c r="J4321" s="16"/>
      <c r="K4321" s="16"/>
      <c r="L4321" s="16"/>
      <c r="M4321" s="15"/>
      <c r="N4321" s="15"/>
      <c r="O4321" s="16"/>
      <c r="P4321" s="16"/>
      <c r="Q4321" s="16"/>
      <c r="R4321" s="16"/>
      <c r="S4321" s="37" t="str">
        <f>IFERROR(__xludf.DUMMYFUNCTION("if(not(iserror(index(split(C4321, "" ""),2))), index(split(C4321, "" ""),1),"""")"),"")</f>
        <v/>
      </c>
      <c r="T4321" s="315" t="str">
        <f>IFERROR(__xludf.DUMMYFUNCTION("if(S4321="""",C4321,if(not(iserror(index(split(C4321, "" ""),3))), index(split(C4321, "" ""),3),index(split(C4321, "" ""),2)))"),"")</f>
        <v/>
      </c>
      <c r="U4321" s="38" t="b">
        <f t="shared" si="423"/>
        <v>0</v>
      </c>
      <c r="V4321" s="38"/>
      <c r="W4321" s="40"/>
      <c r="X4321" s="40"/>
      <c r="Y4321" s="40"/>
      <c r="Z4321" s="38"/>
      <c r="AA4321" s="38"/>
      <c r="AB4321" s="38"/>
      <c r="AC4321" s="38"/>
      <c r="AD4321" s="38"/>
      <c r="AE4321" s="38"/>
      <c r="AF4321" s="38"/>
      <c r="AG4321" s="38"/>
      <c r="AH4321" s="38"/>
      <c r="AI4321" s="38"/>
      <c r="AJ4321" s="38"/>
      <c r="AK4321" s="38"/>
      <c r="AL4321" s="38"/>
      <c r="AM4321" s="38"/>
      <c r="AN4321" s="38"/>
      <c r="AO4321" s="38"/>
      <c r="AP4321" s="38"/>
      <c r="AQ4321" s="38"/>
      <c r="AR4321" s="38"/>
      <c r="AS4321" s="38"/>
      <c r="AT4321" s="38"/>
      <c r="AU4321" s="38"/>
      <c r="AV4321" s="38"/>
      <c r="AW4321" s="38"/>
      <c r="AX4321" s="38"/>
      <c r="AY4321" s="38"/>
      <c r="AZ4321" s="38"/>
      <c r="BA4321" s="38"/>
      <c r="BB4321" s="38"/>
      <c r="BC4321" s="38"/>
      <c r="BD4321" s="38"/>
      <c r="BE4321" s="38"/>
      <c r="BF4321" s="38"/>
      <c r="BG4321" s="38"/>
      <c r="BH4321" s="38"/>
      <c r="BI4321" s="38"/>
      <c r="BJ4321" s="38"/>
      <c r="BK4321" s="38"/>
      <c r="BL4321" s="38"/>
      <c r="BM4321" s="38"/>
      <c r="BN4321" s="38"/>
      <c r="BO4321" s="38"/>
      <c r="BP4321" s="38"/>
      <c r="BQ4321" s="38"/>
    </row>
    <row r="4322">
      <c r="A4322" s="16"/>
      <c r="B4322" s="145"/>
      <c r="C4322" s="146"/>
      <c r="D4322" s="146"/>
      <c r="E4322" s="16"/>
      <c r="F4322" s="91"/>
      <c r="G4322" s="16"/>
      <c r="H4322" s="320" t="str">
        <f t="shared" si="424"/>
        <v/>
      </c>
      <c r="I4322" s="16"/>
      <c r="J4322" s="16"/>
      <c r="K4322" s="16"/>
      <c r="L4322" s="16"/>
      <c r="M4322" s="15"/>
      <c r="N4322" s="15"/>
      <c r="O4322" s="16"/>
      <c r="P4322" s="16"/>
      <c r="Q4322" s="16"/>
      <c r="R4322" s="16"/>
      <c r="S4322" s="37" t="str">
        <f>IFERROR(__xludf.DUMMYFUNCTION("if(not(iserror(index(split(C4322, "" ""),2))), index(split(C4322, "" ""),1),"""")"),"")</f>
        <v/>
      </c>
      <c r="T4322" s="315" t="str">
        <f>IFERROR(__xludf.DUMMYFUNCTION("if(S4322="""",C4322,if(not(iserror(index(split(C4322, "" ""),3))), index(split(C4322, "" ""),3),index(split(C4322, "" ""),2)))"),"")</f>
        <v/>
      </c>
      <c r="U4322" s="38" t="b">
        <f t="shared" si="423"/>
        <v>0</v>
      </c>
      <c r="V4322" s="38"/>
      <c r="W4322" s="40"/>
      <c r="X4322" s="40"/>
      <c r="Y4322" s="40"/>
      <c r="Z4322" s="38"/>
      <c r="AA4322" s="38"/>
      <c r="AB4322" s="38"/>
      <c r="AC4322" s="38"/>
      <c r="AD4322" s="38"/>
      <c r="AE4322" s="38"/>
      <c r="AF4322" s="38"/>
      <c r="AG4322" s="38"/>
      <c r="AH4322" s="38"/>
      <c r="AI4322" s="38"/>
      <c r="AJ4322" s="38"/>
      <c r="AK4322" s="38"/>
      <c r="AL4322" s="38"/>
      <c r="AM4322" s="38"/>
      <c r="AN4322" s="38"/>
      <c r="AO4322" s="38"/>
      <c r="AP4322" s="38"/>
      <c r="AQ4322" s="38"/>
      <c r="AR4322" s="38"/>
      <c r="AS4322" s="38"/>
      <c r="AT4322" s="38"/>
      <c r="AU4322" s="38"/>
      <c r="AV4322" s="38"/>
      <c r="AW4322" s="38"/>
      <c r="AX4322" s="38"/>
      <c r="AY4322" s="38"/>
      <c r="AZ4322" s="38"/>
      <c r="BA4322" s="38"/>
      <c r="BB4322" s="38"/>
      <c r="BC4322" s="38"/>
      <c r="BD4322" s="38"/>
      <c r="BE4322" s="38"/>
      <c r="BF4322" s="38"/>
      <c r="BG4322" s="38"/>
      <c r="BH4322" s="38"/>
      <c r="BI4322" s="38"/>
      <c r="BJ4322" s="38"/>
      <c r="BK4322" s="38"/>
      <c r="BL4322" s="38"/>
      <c r="BM4322" s="38"/>
      <c r="BN4322" s="38"/>
      <c r="BO4322" s="38"/>
      <c r="BP4322" s="38"/>
      <c r="BQ4322" s="38"/>
    </row>
    <row r="4323">
      <c r="A4323" s="16"/>
      <c r="B4323" s="145"/>
      <c r="C4323" s="146"/>
      <c r="D4323" s="146"/>
      <c r="E4323" s="16"/>
      <c r="F4323" s="91"/>
      <c r="G4323" s="16"/>
      <c r="H4323" s="320" t="str">
        <f t="shared" si="424"/>
        <v/>
      </c>
      <c r="I4323" s="16"/>
      <c r="J4323" s="16"/>
      <c r="K4323" s="16"/>
      <c r="L4323" s="16"/>
      <c r="M4323" s="15"/>
      <c r="N4323" s="15"/>
      <c r="O4323" s="16"/>
      <c r="P4323" s="16"/>
      <c r="Q4323" s="16"/>
      <c r="R4323" s="16"/>
      <c r="S4323" s="37" t="str">
        <f>IFERROR(__xludf.DUMMYFUNCTION("if(not(iserror(index(split(C4323, "" ""),2))), index(split(C4323, "" ""),1),"""")"),"")</f>
        <v/>
      </c>
      <c r="T4323" s="315" t="str">
        <f>IFERROR(__xludf.DUMMYFUNCTION("if(S4323="""",C4323,if(not(iserror(index(split(C4323, "" ""),3))), index(split(C4323, "" ""),3),index(split(C4323, "" ""),2)))"),"")</f>
        <v/>
      </c>
      <c r="U4323" s="38" t="b">
        <f t="shared" si="423"/>
        <v>0</v>
      </c>
      <c r="V4323" s="38"/>
      <c r="W4323" s="40"/>
      <c r="X4323" s="40"/>
      <c r="Y4323" s="40"/>
      <c r="Z4323" s="38"/>
      <c r="AA4323" s="38"/>
      <c r="AB4323" s="38"/>
      <c r="AC4323" s="38"/>
      <c r="AD4323" s="38"/>
      <c r="AE4323" s="38"/>
      <c r="AF4323" s="38"/>
      <c r="AG4323" s="38"/>
      <c r="AH4323" s="38"/>
      <c r="AI4323" s="38"/>
      <c r="AJ4323" s="38"/>
      <c r="AK4323" s="38"/>
      <c r="AL4323" s="38"/>
      <c r="AM4323" s="38"/>
      <c r="AN4323" s="38"/>
      <c r="AO4323" s="38"/>
      <c r="AP4323" s="38"/>
      <c r="AQ4323" s="38"/>
      <c r="AR4323" s="38"/>
      <c r="AS4323" s="38"/>
      <c r="AT4323" s="38"/>
      <c r="AU4323" s="38"/>
      <c r="AV4323" s="38"/>
      <c r="AW4323" s="38"/>
      <c r="AX4323" s="38"/>
      <c r="AY4323" s="38"/>
      <c r="AZ4323" s="38"/>
      <c r="BA4323" s="38"/>
      <c r="BB4323" s="38"/>
      <c r="BC4323" s="38"/>
      <c r="BD4323" s="38"/>
      <c r="BE4323" s="38"/>
      <c r="BF4323" s="38"/>
      <c r="BG4323" s="38"/>
      <c r="BH4323" s="38"/>
      <c r="BI4323" s="38"/>
      <c r="BJ4323" s="38"/>
      <c r="BK4323" s="38"/>
      <c r="BL4323" s="38"/>
      <c r="BM4323" s="38"/>
      <c r="BN4323" s="38"/>
      <c r="BO4323" s="38"/>
      <c r="BP4323" s="38"/>
      <c r="BQ4323" s="38"/>
    </row>
    <row r="4324">
      <c r="A4324" s="16"/>
      <c r="B4324" s="145"/>
      <c r="C4324" s="146"/>
      <c r="D4324" s="146"/>
      <c r="E4324" s="16"/>
      <c r="F4324" s="91"/>
      <c r="G4324" s="16"/>
      <c r="H4324" s="320" t="str">
        <f t="shared" si="424"/>
        <v/>
      </c>
      <c r="I4324" s="16"/>
      <c r="J4324" s="16"/>
      <c r="K4324" s="16"/>
      <c r="L4324" s="16"/>
      <c r="M4324" s="15"/>
      <c r="N4324" s="15"/>
      <c r="O4324" s="16"/>
      <c r="P4324" s="16"/>
      <c r="Q4324" s="16"/>
      <c r="R4324" s="16"/>
      <c r="S4324" s="37" t="str">
        <f>IFERROR(__xludf.DUMMYFUNCTION("if(not(iserror(index(split(C4324, "" ""),2))), index(split(C4324, "" ""),1),"""")"),"")</f>
        <v/>
      </c>
      <c r="T4324" s="315" t="str">
        <f>IFERROR(__xludf.DUMMYFUNCTION("if(S4324="""",C4324,if(not(iserror(index(split(C4324, "" ""),3))), index(split(C4324, "" ""),3),index(split(C4324, "" ""),2)))"),"")</f>
        <v/>
      </c>
      <c r="U4324" s="38" t="b">
        <f t="shared" si="423"/>
        <v>0</v>
      </c>
      <c r="V4324" s="38"/>
      <c r="W4324" s="40"/>
      <c r="X4324" s="40"/>
      <c r="Y4324" s="40"/>
      <c r="Z4324" s="38"/>
      <c r="AA4324" s="38"/>
      <c r="AB4324" s="38"/>
      <c r="AC4324" s="38"/>
      <c r="AD4324" s="38"/>
      <c r="AE4324" s="38"/>
      <c r="AF4324" s="38"/>
      <c r="AG4324" s="38"/>
      <c r="AH4324" s="38"/>
      <c r="AI4324" s="38"/>
      <c r="AJ4324" s="38"/>
      <c r="AK4324" s="38"/>
      <c r="AL4324" s="38"/>
      <c r="AM4324" s="38"/>
      <c r="AN4324" s="38"/>
      <c r="AO4324" s="38"/>
      <c r="AP4324" s="38"/>
      <c r="AQ4324" s="38"/>
      <c r="AR4324" s="38"/>
      <c r="AS4324" s="38"/>
      <c r="AT4324" s="38"/>
      <c r="AU4324" s="38"/>
      <c r="AV4324" s="38"/>
      <c r="AW4324" s="38"/>
      <c r="AX4324" s="38"/>
      <c r="AY4324" s="38"/>
      <c r="AZ4324" s="38"/>
      <c r="BA4324" s="38"/>
      <c r="BB4324" s="38"/>
      <c r="BC4324" s="38"/>
      <c r="BD4324" s="38"/>
      <c r="BE4324" s="38"/>
      <c r="BF4324" s="38"/>
      <c r="BG4324" s="38"/>
      <c r="BH4324" s="38"/>
      <c r="BI4324" s="38"/>
      <c r="BJ4324" s="38"/>
      <c r="BK4324" s="38"/>
      <c r="BL4324" s="38"/>
      <c r="BM4324" s="38"/>
      <c r="BN4324" s="38"/>
      <c r="BO4324" s="38"/>
      <c r="BP4324" s="38"/>
      <c r="BQ4324" s="38"/>
    </row>
    <row r="4325">
      <c r="A4325" s="16"/>
      <c r="B4325" s="145"/>
      <c r="C4325" s="146"/>
      <c r="D4325" s="146"/>
      <c r="E4325" s="16"/>
      <c r="F4325" s="91"/>
      <c r="G4325" s="16"/>
      <c r="H4325" s="320" t="str">
        <f t="shared" si="424"/>
        <v/>
      </c>
      <c r="I4325" s="16"/>
      <c r="J4325" s="16"/>
      <c r="K4325" s="16"/>
      <c r="L4325" s="16"/>
      <c r="M4325" s="15"/>
      <c r="N4325" s="15"/>
      <c r="O4325" s="16"/>
      <c r="P4325" s="16"/>
      <c r="Q4325" s="16"/>
      <c r="R4325" s="16"/>
      <c r="S4325" s="37" t="str">
        <f>IFERROR(__xludf.DUMMYFUNCTION("if(not(iserror(index(split(C4325, "" ""),2))), index(split(C4325, "" ""),1),"""")"),"")</f>
        <v/>
      </c>
      <c r="T4325" s="315" t="str">
        <f>IFERROR(__xludf.DUMMYFUNCTION("if(S4325="""",C4325,if(not(iserror(index(split(C4325, "" ""),3))), index(split(C4325, "" ""),3),index(split(C4325, "" ""),2)))"),"")</f>
        <v/>
      </c>
      <c r="U4325" s="38" t="b">
        <f t="shared" si="423"/>
        <v>0</v>
      </c>
      <c r="V4325" s="38"/>
      <c r="W4325" s="40"/>
      <c r="X4325" s="40"/>
      <c r="Y4325" s="40"/>
      <c r="Z4325" s="38"/>
      <c r="AA4325" s="38"/>
      <c r="AB4325" s="38"/>
      <c r="AC4325" s="38"/>
      <c r="AD4325" s="38"/>
      <c r="AE4325" s="38"/>
      <c r="AF4325" s="38"/>
      <c r="AG4325" s="38"/>
      <c r="AH4325" s="38"/>
      <c r="AI4325" s="38"/>
      <c r="AJ4325" s="38"/>
      <c r="AK4325" s="38"/>
      <c r="AL4325" s="38"/>
      <c r="AM4325" s="38"/>
      <c r="AN4325" s="38"/>
      <c r="AO4325" s="38"/>
      <c r="AP4325" s="38"/>
      <c r="AQ4325" s="38"/>
      <c r="AR4325" s="38"/>
      <c r="AS4325" s="38"/>
      <c r="AT4325" s="38"/>
      <c r="AU4325" s="38"/>
      <c r="AV4325" s="38"/>
      <c r="AW4325" s="38"/>
      <c r="AX4325" s="38"/>
      <c r="AY4325" s="38"/>
      <c r="AZ4325" s="38"/>
      <c r="BA4325" s="38"/>
      <c r="BB4325" s="38"/>
      <c r="BC4325" s="38"/>
      <c r="BD4325" s="38"/>
      <c r="BE4325" s="38"/>
      <c r="BF4325" s="38"/>
      <c r="BG4325" s="38"/>
      <c r="BH4325" s="38"/>
      <c r="BI4325" s="38"/>
      <c r="BJ4325" s="38"/>
      <c r="BK4325" s="38"/>
      <c r="BL4325" s="38"/>
      <c r="BM4325" s="38"/>
      <c r="BN4325" s="38"/>
      <c r="BO4325" s="38"/>
      <c r="BP4325" s="38"/>
      <c r="BQ4325" s="38"/>
    </row>
    <row r="4326">
      <c r="A4326" s="16"/>
      <c r="B4326" s="145"/>
      <c r="C4326" s="146"/>
      <c r="D4326" s="146"/>
      <c r="E4326" s="16"/>
      <c r="F4326" s="91"/>
      <c r="G4326" s="16"/>
      <c r="H4326" s="320" t="str">
        <f t="shared" si="424"/>
        <v/>
      </c>
      <c r="I4326" s="16"/>
      <c r="J4326" s="16"/>
      <c r="K4326" s="16"/>
      <c r="L4326" s="16"/>
      <c r="M4326" s="15"/>
      <c r="N4326" s="15"/>
      <c r="O4326" s="16"/>
      <c r="P4326" s="16"/>
      <c r="Q4326" s="16"/>
      <c r="R4326" s="16"/>
      <c r="S4326" s="37" t="str">
        <f>IFERROR(__xludf.DUMMYFUNCTION("if(not(iserror(index(split(C4326, "" ""),2))), index(split(C4326, "" ""),1),"""")"),"")</f>
        <v/>
      </c>
      <c r="T4326" s="315" t="str">
        <f>IFERROR(__xludf.DUMMYFUNCTION("if(S4326="""",C4326,if(not(iserror(index(split(C4326, "" ""),3))), index(split(C4326, "" ""),3),index(split(C4326, "" ""),2)))"),"")</f>
        <v/>
      </c>
      <c r="U4326" s="38" t="b">
        <f t="shared" si="423"/>
        <v>0</v>
      </c>
      <c r="V4326" s="38"/>
      <c r="W4326" s="40"/>
      <c r="X4326" s="40"/>
      <c r="Y4326" s="40"/>
      <c r="Z4326" s="38"/>
      <c r="AA4326" s="38"/>
      <c r="AB4326" s="38"/>
      <c r="AC4326" s="38"/>
      <c r="AD4326" s="38"/>
      <c r="AE4326" s="38"/>
      <c r="AF4326" s="38"/>
      <c r="AG4326" s="38"/>
      <c r="AH4326" s="38"/>
      <c r="AI4326" s="38"/>
      <c r="AJ4326" s="38"/>
      <c r="AK4326" s="38"/>
      <c r="AL4326" s="38"/>
      <c r="AM4326" s="38"/>
      <c r="AN4326" s="38"/>
      <c r="AO4326" s="38"/>
      <c r="AP4326" s="38"/>
      <c r="AQ4326" s="38"/>
      <c r="AR4326" s="38"/>
      <c r="AS4326" s="38"/>
      <c r="AT4326" s="38"/>
      <c r="AU4326" s="38"/>
      <c r="AV4326" s="38"/>
      <c r="AW4326" s="38"/>
      <c r="AX4326" s="38"/>
      <c r="AY4326" s="38"/>
      <c r="AZ4326" s="38"/>
      <c r="BA4326" s="38"/>
      <c r="BB4326" s="38"/>
      <c r="BC4326" s="38"/>
      <c r="BD4326" s="38"/>
      <c r="BE4326" s="38"/>
      <c r="BF4326" s="38"/>
      <c r="BG4326" s="38"/>
      <c r="BH4326" s="38"/>
      <c r="BI4326" s="38"/>
      <c r="BJ4326" s="38"/>
      <c r="BK4326" s="38"/>
      <c r="BL4326" s="38"/>
      <c r="BM4326" s="38"/>
      <c r="BN4326" s="38"/>
      <c r="BO4326" s="38"/>
      <c r="BP4326" s="38"/>
      <c r="BQ4326" s="38"/>
    </row>
    <row r="4327">
      <c r="A4327" s="16"/>
      <c r="B4327" s="145"/>
      <c r="C4327" s="146"/>
      <c r="D4327" s="146"/>
      <c r="E4327" s="16"/>
      <c r="F4327" s="91"/>
      <c r="G4327" s="16"/>
      <c r="H4327" s="320" t="str">
        <f t="shared" si="424"/>
        <v/>
      </c>
      <c r="I4327" s="16"/>
      <c r="J4327" s="16"/>
      <c r="K4327" s="16"/>
      <c r="L4327" s="16"/>
      <c r="M4327" s="15"/>
      <c r="N4327" s="15"/>
      <c r="O4327" s="16"/>
      <c r="P4327" s="16"/>
      <c r="Q4327" s="16"/>
      <c r="R4327" s="16"/>
      <c r="S4327" s="37" t="str">
        <f>IFERROR(__xludf.DUMMYFUNCTION("if(not(iserror(index(split(C4327, "" ""),2))), index(split(C4327, "" ""),1),"""")"),"")</f>
        <v/>
      </c>
      <c r="T4327" s="315" t="str">
        <f>IFERROR(__xludf.DUMMYFUNCTION("if(S4327="""",C4327,if(not(iserror(index(split(C4327, "" ""),3))), index(split(C4327, "" ""),3),index(split(C4327, "" ""),2)))"),"")</f>
        <v/>
      </c>
      <c r="U4327" s="38" t="b">
        <f t="shared" si="423"/>
        <v>0</v>
      </c>
      <c r="V4327" s="38"/>
      <c r="W4327" s="40"/>
      <c r="X4327" s="40"/>
      <c r="Y4327" s="40"/>
      <c r="Z4327" s="38"/>
      <c r="AA4327" s="38"/>
      <c r="AB4327" s="38"/>
      <c r="AC4327" s="38"/>
      <c r="AD4327" s="38"/>
      <c r="AE4327" s="38"/>
      <c r="AF4327" s="38"/>
      <c r="AG4327" s="38"/>
      <c r="AH4327" s="38"/>
      <c r="AI4327" s="38"/>
      <c r="AJ4327" s="38"/>
      <c r="AK4327" s="38"/>
      <c r="AL4327" s="38"/>
      <c r="AM4327" s="38"/>
      <c r="AN4327" s="38"/>
      <c r="AO4327" s="38"/>
      <c r="AP4327" s="38"/>
      <c r="AQ4327" s="38"/>
      <c r="AR4327" s="38"/>
      <c r="AS4327" s="38"/>
      <c r="AT4327" s="38"/>
      <c r="AU4327" s="38"/>
      <c r="AV4327" s="38"/>
      <c r="AW4327" s="38"/>
      <c r="AX4327" s="38"/>
      <c r="AY4327" s="38"/>
      <c r="AZ4327" s="38"/>
      <c r="BA4327" s="38"/>
      <c r="BB4327" s="38"/>
      <c r="BC4327" s="38"/>
      <c r="BD4327" s="38"/>
      <c r="BE4327" s="38"/>
      <c r="BF4327" s="38"/>
      <c r="BG4327" s="38"/>
      <c r="BH4327" s="38"/>
      <c r="BI4327" s="38"/>
      <c r="BJ4327" s="38"/>
      <c r="BK4327" s="38"/>
      <c r="BL4327" s="38"/>
      <c r="BM4327" s="38"/>
      <c r="BN4327" s="38"/>
      <c r="BO4327" s="38"/>
      <c r="BP4327" s="38"/>
      <c r="BQ4327" s="38"/>
    </row>
    <row r="4328">
      <c r="A4328" s="16"/>
      <c r="B4328" s="145"/>
      <c r="C4328" s="146"/>
      <c r="D4328" s="146"/>
      <c r="E4328" s="16"/>
      <c r="F4328" s="91"/>
      <c r="G4328" s="16"/>
      <c r="H4328" s="320" t="str">
        <f t="shared" si="424"/>
        <v/>
      </c>
      <c r="I4328" s="16"/>
      <c r="J4328" s="16"/>
      <c r="K4328" s="16"/>
      <c r="L4328" s="16"/>
      <c r="M4328" s="15"/>
      <c r="N4328" s="15"/>
      <c r="O4328" s="16"/>
      <c r="P4328" s="16"/>
      <c r="Q4328" s="16"/>
      <c r="R4328" s="16"/>
      <c r="S4328" s="37" t="str">
        <f>IFERROR(__xludf.DUMMYFUNCTION("if(not(iserror(index(split(C4328, "" ""),2))), index(split(C4328, "" ""),1),"""")"),"")</f>
        <v/>
      </c>
      <c r="T4328" s="315" t="str">
        <f>IFERROR(__xludf.DUMMYFUNCTION("if(S4328="""",C4328,if(not(iserror(index(split(C4328, "" ""),3))), index(split(C4328, "" ""),3),index(split(C4328, "" ""),2)))"),"")</f>
        <v/>
      </c>
      <c r="U4328" s="38" t="b">
        <f t="shared" si="423"/>
        <v>0</v>
      </c>
      <c r="V4328" s="38"/>
      <c r="W4328" s="40"/>
      <c r="X4328" s="40"/>
      <c r="Y4328" s="40"/>
      <c r="Z4328" s="38"/>
      <c r="AA4328" s="38"/>
      <c r="AB4328" s="38"/>
      <c r="AC4328" s="38"/>
      <c r="AD4328" s="38"/>
      <c r="AE4328" s="38"/>
      <c r="AF4328" s="38"/>
      <c r="AG4328" s="38"/>
      <c r="AH4328" s="38"/>
      <c r="AI4328" s="38"/>
      <c r="AJ4328" s="38"/>
      <c r="AK4328" s="38"/>
      <c r="AL4328" s="38"/>
      <c r="AM4328" s="38"/>
      <c r="AN4328" s="38"/>
      <c r="AO4328" s="38"/>
      <c r="AP4328" s="38"/>
      <c r="AQ4328" s="38"/>
      <c r="AR4328" s="38"/>
      <c r="AS4328" s="38"/>
      <c r="AT4328" s="38"/>
      <c r="AU4328" s="38"/>
      <c r="AV4328" s="38"/>
      <c r="AW4328" s="38"/>
      <c r="AX4328" s="38"/>
      <c r="AY4328" s="38"/>
      <c r="AZ4328" s="38"/>
      <c r="BA4328" s="38"/>
      <c r="BB4328" s="38"/>
      <c r="BC4328" s="38"/>
      <c r="BD4328" s="38"/>
      <c r="BE4328" s="38"/>
      <c r="BF4328" s="38"/>
      <c r="BG4328" s="38"/>
      <c r="BH4328" s="38"/>
      <c r="BI4328" s="38"/>
      <c r="BJ4328" s="38"/>
      <c r="BK4328" s="38"/>
      <c r="BL4328" s="38"/>
      <c r="BM4328" s="38"/>
      <c r="BN4328" s="38"/>
      <c r="BO4328" s="38"/>
      <c r="BP4328" s="38"/>
      <c r="BQ4328" s="38"/>
    </row>
    <row r="4329">
      <c r="A4329" s="16"/>
      <c r="B4329" s="145"/>
      <c r="C4329" s="146"/>
      <c r="D4329" s="146"/>
      <c r="E4329" s="16"/>
      <c r="F4329" s="91"/>
      <c r="G4329" s="16"/>
      <c r="H4329" s="320" t="str">
        <f t="shared" si="424"/>
        <v/>
      </c>
      <c r="I4329" s="16"/>
      <c r="J4329" s="16"/>
      <c r="K4329" s="16"/>
      <c r="L4329" s="16"/>
      <c r="M4329" s="15"/>
      <c r="N4329" s="15"/>
      <c r="O4329" s="16"/>
      <c r="P4329" s="16"/>
      <c r="Q4329" s="16"/>
      <c r="R4329" s="16"/>
      <c r="S4329" s="37" t="str">
        <f>IFERROR(__xludf.DUMMYFUNCTION("if(not(iserror(index(split(C4329, "" ""),2))), index(split(C4329, "" ""),1),"""")"),"")</f>
        <v/>
      </c>
      <c r="T4329" s="315" t="str">
        <f>IFERROR(__xludf.DUMMYFUNCTION("if(S4329="""",C4329,if(not(iserror(index(split(C4329, "" ""),3))), index(split(C4329, "" ""),3),index(split(C4329, "" ""),2)))"),"")</f>
        <v/>
      </c>
      <c r="U4329" s="38" t="b">
        <f t="shared" si="423"/>
        <v>0</v>
      </c>
      <c r="V4329" s="38"/>
      <c r="W4329" s="40"/>
      <c r="X4329" s="40"/>
      <c r="Y4329" s="40"/>
      <c r="Z4329" s="38"/>
      <c r="AA4329" s="38"/>
      <c r="AB4329" s="38"/>
      <c r="AC4329" s="38"/>
      <c r="AD4329" s="38"/>
      <c r="AE4329" s="38"/>
      <c r="AF4329" s="38"/>
      <c r="AG4329" s="38"/>
      <c r="AH4329" s="38"/>
      <c r="AI4329" s="38"/>
      <c r="AJ4329" s="38"/>
      <c r="AK4329" s="38"/>
      <c r="AL4329" s="38"/>
      <c r="AM4329" s="38"/>
      <c r="AN4329" s="38"/>
      <c r="AO4329" s="38"/>
      <c r="AP4329" s="38"/>
      <c r="AQ4329" s="38"/>
      <c r="AR4329" s="38"/>
      <c r="AS4329" s="38"/>
      <c r="AT4329" s="38"/>
      <c r="AU4329" s="38"/>
      <c r="AV4329" s="38"/>
      <c r="AW4329" s="38"/>
      <c r="AX4329" s="38"/>
      <c r="AY4329" s="38"/>
      <c r="AZ4329" s="38"/>
      <c r="BA4329" s="38"/>
      <c r="BB4329" s="38"/>
      <c r="BC4329" s="38"/>
      <c r="BD4329" s="38"/>
      <c r="BE4329" s="38"/>
      <c r="BF4329" s="38"/>
      <c r="BG4329" s="38"/>
      <c r="BH4329" s="38"/>
      <c r="BI4329" s="38"/>
      <c r="BJ4329" s="38"/>
      <c r="BK4329" s="38"/>
      <c r="BL4329" s="38"/>
      <c r="BM4329" s="38"/>
      <c r="BN4329" s="38"/>
      <c r="BO4329" s="38"/>
      <c r="BP4329" s="38"/>
      <c r="BQ4329" s="38"/>
    </row>
    <row r="4330">
      <c r="A4330" s="16"/>
      <c r="B4330" s="145"/>
      <c r="C4330" s="146"/>
      <c r="D4330" s="146"/>
      <c r="E4330" s="16"/>
      <c r="F4330" s="91"/>
      <c r="G4330" s="16"/>
      <c r="H4330" s="320" t="str">
        <f t="shared" si="424"/>
        <v/>
      </c>
      <c r="I4330" s="16"/>
      <c r="J4330" s="16"/>
      <c r="K4330" s="16"/>
      <c r="L4330" s="16"/>
      <c r="M4330" s="15"/>
      <c r="N4330" s="15"/>
      <c r="O4330" s="16"/>
      <c r="P4330" s="16"/>
      <c r="Q4330" s="16"/>
      <c r="R4330" s="16"/>
      <c r="S4330" s="37" t="str">
        <f>IFERROR(__xludf.DUMMYFUNCTION("if(not(iserror(index(split(C4330, "" ""),2))), index(split(C4330, "" ""),1),"""")"),"")</f>
        <v/>
      </c>
      <c r="T4330" s="315" t="str">
        <f>IFERROR(__xludf.DUMMYFUNCTION("if(S4330="""",C4330,if(not(iserror(index(split(C4330, "" ""),3))), index(split(C4330, "" ""),3),index(split(C4330, "" ""),2)))"),"")</f>
        <v/>
      </c>
      <c r="U4330" s="38" t="b">
        <f t="shared" si="423"/>
        <v>0</v>
      </c>
      <c r="V4330" s="38"/>
      <c r="W4330" s="40"/>
      <c r="X4330" s="40"/>
      <c r="Y4330" s="40"/>
      <c r="Z4330" s="38"/>
      <c r="AA4330" s="38"/>
      <c r="AB4330" s="38"/>
      <c r="AC4330" s="38"/>
      <c r="AD4330" s="38"/>
      <c r="AE4330" s="38"/>
      <c r="AF4330" s="38"/>
      <c r="AG4330" s="38"/>
      <c r="AH4330" s="38"/>
      <c r="AI4330" s="38"/>
      <c r="AJ4330" s="38"/>
      <c r="AK4330" s="38"/>
      <c r="AL4330" s="38"/>
      <c r="AM4330" s="38"/>
      <c r="AN4330" s="38"/>
      <c r="AO4330" s="38"/>
      <c r="AP4330" s="38"/>
      <c r="AQ4330" s="38"/>
      <c r="AR4330" s="38"/>
      <c r="AS4330" s="38"/>
      <c r="AT4330" s="38"/>
      <c r="AU4330" s="38"/>
      <c r="AV4330" s="38"/>
      <c r="AW4330" s="38"/>
      <c r="AX4330" s="38"/>
      <c r="AY4330" s="38"/>
      <c r="AZ4330" s="38"/>
      <c r="BA4330" s="38"/>
      <c r="BB4330" s="38"/>
      <c r="BC4330" s="38"/>
      <c r="BD4330" s="38"/>
      <c r="BE4330" s="38"/>
      <c r="BF4330" s="38"/>
      <c r="BG4330" s="38"/>
      <c r="BH4330" s="38"/>
      <c r="BI4330" s="38"/>
      <c r="BJ4330" s="38"/>
      <c r="BK4330" s="38"/>
      <c r="BL4330" s="38"/>
      <c r="BM4330" s="38"/>
      <c r="BN4330" s="38"/>
      <c r="BO4330" s="38"/>
      <c r="BP4330" s="38"/>
      <c r="BQ4330" s="38"/>
    </row>
    <row r="4331">
      <c r="A4331" s="16"/>
      <c r="B4331" s="145"/>
      <c r="C4331" s="146"/>
      <c r="D4331" s="146"/>
      <c r="E4331" s="16"/>
      <c r="F4331" s="91"/>
      <c r="G4331" s="16"/>
      <c r="H4331" s="320" t="str">
        <f t="shared" si="424"/>
        <v/>
      </c>
      <c r="I4331" s="16"/>
      <c r="J4331" s="16"/>
      <c r="K4331" s="16"/>
      <c r="L4331" s="16"/>
      <c r="M4331" s="15"/>
      <c r="N4331" s="15"/>
      <c r="O4331" s="16"/>
      <c r="P4331" s="16"/>
      <c r="Q4331" s="16"/>
      <c r="R4331" s="16"/>
      <c r="S4331" s="37" t="str">
        <f>IFERROR(__xludf.DUMMYFUNCTION("if(not(iserror(index(split(C4331, "" ""),2))), index(split(C4331, "" ""),1),"""")"),"")</f>
        <v/>
      </c>
      <c r="T4331" s="315" t="str">
        <f>IFERROR(__xludf.DUMMYFUNCTION("if(S4331="""",C4331,if(not(iserror(index(split(C4331, "" ""),3))), index(split(C4331, "" ""),3),index(split(C4331, "" ""),2)))"),"")</f>
        <v/>
      </c>
      <c r="U4331" s="38" t="b">
        <f t="shared" si="423"/>
        <v>0</v>
      </c>
      <c r="V4331" s="38"/>
      <c r="W4331" s="40"/>
      <c r="X4331" s="40"/>
      <c r="Y4331" s="40"/>
      <c r="Z4331" s="38"/>
      <c r="AA4331" s="38"/>
      <c r="AB4331" s="38"/>
      <c r="AC4331" s="38"/>
      <c r="AD4331" s="38"/>
      <c r="AE4331" s="38"/>
      <c r="AF4331" s="38"/>
      <c r="AG4331" s="38"/>
      <c r="AH4331" s="38"/>
      <c r="AI4331" s="38"/>
      <c r="AJ4331" s="38"/>
      <c r="AK4331" s="38"/>
      <c r="AL4331" s="38"/>
      <c r="AM4331" s="38"/>
      <c r="AN4331" s="38"/>
      <c r="AO4331" s="38"/>
      <c r="AP4331" s="38"/>
      <c r="AQ4331" s="38"/>
      <c r="AR4331" s="38"/>
      <c r="AS4331" s="38"/>
      <c r="AT4331" s="38"/>
      <c r="AU4331" s="38"/>
      <c r="AV4331" s="38"/>
      <c r="AW4331" s="38"/>
      <c r="AX4331" s="38"/>
      <c r="AY4331" s="38"/>
      <c r="AZ4331" s="38"/>
      <c r="BA4331" s="38"/>
      <c r="BB4331" s="38"/>
      <c r="BC4331" s="38"/>
      <c r="BD4331" s="38"/>
      <c r="BE4331" s="38"/>
      <c r="BF4331" s="38"/>
      <c r="BG4331" s="38"/>
      <c r="BH4331" s="38"/>
      <c r="BI4331" s="38"/>
      <c r="BJ4331" s="38"/>
      <c r="BK4331" s="38"/>
      <c r="BL4331" s="38"/>
      <c r="BM4331" s="38"/>
      <c r="BN4331" s="38"/>
      <c r="BO4331" s="38"/>
      <c r="BP4331" s="38"/>
      <c r="BQ4331" s="38"/>
    </row>
    <row r="4332">
      <c r="A4332" s="16"/>
      <c r="B4332" s="145"/>
      <c r="C4332" s="146"/>
      <c r="D4332" s="146"/>
      <c r="E4332" s="16"/>
      <c r="F4332" s="91"/>
      <c r="G4332" s="16"/>
      <c r="H4332" s="320" t="str">
        <f t="shared" si="424"/>
        <v/>
      </c>
      <c r="I4332" s="16"/>
      <c r="J4332" s="16"/>
      <c r="K4332" s="16"/>
      <c r="L4332" s="16"/>
      <c r="M4332" s="15"/>
      <c r="N4332" s="15"/>
      <c r="O4332" s="16"/>
      <c r="P4332" s="16"/>
      <c r="Q4332" s="16"/>
      <c r="R4332" s="16"/>
      <c r="S4332" s="37" t="str">
        <f>IFERROR(__xludf.DUMMYFUNCTION("if(not(iserror(index(split(C4332, "" ""),2))), index(split(C4332, "" ""),1),"""")"),"")</f>
        <v/>
      </c>
      <c r="T4332" s="315" t="str">
        <f>IFERROR(__xludf.DUMMYFUNCTION("if(S4332="""",C4332,if(not(iserror(index(split(C4332, "" ""),3))), index(split(C4332, "" ""),3),index(split(C4332, "" ""),2)))"),"")</f>
        <v/>
      </c>
      <c r="U4332" s="38" t="b">
        <f t="shared" si="423"/>
        <v>0</v>
      </c>
      <c r="V4332" s="38"/>
      <c r="W4332" s="40"/>
      <c r="X4332" s="40"/>
      <c r="Y4332" s="40"/>
      <c r="Z4332" s="38"/>
      <c r="AA4332" s="38"/>
      <c r="AB4332" s="38"/>
      <c r="AC4332" s="38"/>
      <c r="AD4332" s="38"/>
      <c r="AE4332" s="38"/>
      <c r="AF4332" s="38"/>
      <c r="AG4332" s="38"/>
      <c r="AH4332" s="38"/>
      <c r="AI4332" s="38"/>
      <c r="AJ4332" s="38"/>
      <c r="AK4332" s="38"/>
      <c r="AL4332" s="38"/>
      <c r="AM4332" s="38"/>
      <c r="AN4332" s="38"/>
      <c r="AO4332" s="38"/>
      <c r="AP4332" s="38"/>
      <c r="AQ4332" s="38"/>
      <c r="AR4332" s="38"/>
      <c r="AS4332" s="38"/>
      <c r="AT4332" s="38"/>
      <c r="AU4332" s="38"/>
      <c r="AV4332" s="38"/>
      <c r="AW4332" s="38"/>
      <c r="AX4332" s="38"/>
      <c r="AY4332" s="38"/>
      <c r="AZ4332" s="38"/>
      <c r="BA4332" s="38"/>
      <c r="BB4332" s="38"/>
      <c r="BC4332" s="38"/>
      <c r="BD4332" s="38"/>
      <c r="BE4332" s="38"/>
      <c r="BF4332" s="38"/>
      <c r="BG4332" s="38"/>
      <c r="BH4332" s="38"/>
      <c r="BI4332" s="38"/>
      <c r="BJ4332" s="38"/>
      <c r="BK4332" s="38"/>
      <c r="BL4332" s="38"/>
      <c r="BM4332" s="38"/>
      <c r="BN4332" s="38"/>
      <c r="BO4332" s="38"/>
      <c r="BP4332" s="38"/>
      <c r="BQ4332" s="38"/>
    </row>
    <row r="4333">
      <c r="A4333" s="16"/>
      <c r="B4333" s="145"/>
      <c r="C4333" s="146"/>
      <c r="D4333" s="146"/>
      <c r="E4333" s="16"/>
      <c r="F4333" s="91"/>
      <c r="G4333" s="16"/>
      <c r="H4333" s="320" t="str">
        <f t="shared" si="424"/>
        <v/>
      </c>
      <c r="I4333" s="16"/>
      <c r="J4333" s="16"/>
      <c r="K4333" s="16"/>
      <c r="L4333" s="16"/>
      <c r="M4333" s="15"/>
      <c r="N4333" s="15"/>
      <c r="O4333" s="16"/>
      <c r="P4333" s="16"/>
      <c r="Q4333" s="16"/>
      <c r="R4333" s="16"/>
      <c r="S4333" s="37" t="str">
        <f>IFERROR(__xludf.DUMMYFUNCTION("if(not(iserror(index(split(C4333, "" ""),2))), index(split(C4333, "" ""),1),"""")"),"")</f>
        <v/>
      </c>
      <c r="T4333" s="315" t="str">
        <f>IFERROR(__xludf.DUMMYFUNCTION("if(S4333="""",C4333,if(not(iserror(index(split(C4333, "" ""),3))), index(split(C4333, "" ""),3),index(split(C4333, "" ""),2)))"),"")</f>
        <v/>
      </c>
      <c r="U4333" s="38" t="b">
        <f t="shared" si="423"/>
        <v>0</v>
      </c>
      <c r="V4333" s="38"/>
      <c r="W4333" s="40"/>
      <c r="X4333" s="40"/>
      <c r="Y4333" s="40"/>
      <c r="Z4333" s="38"/>
      <c r="AA4333" s="38"/>
      <c r="AB4333" s="38"/>
      <c r="AC4333" s="38"/>
      <c r="AD4333" s="38"/>
      <c r="AE4333" s="38"/>
      <c r="AF4333" s="38"/>
      <c r="AG4333" s="38"/>
      <c r="AH4333" s="38"/>
      <c r="AI4333" s="38"/>
      <c r="AJ4333" s="38"/>
      <c r="AK4333" s="38"/>
      <c r="AL4333" s="38"/>
      <c r="AM4333" s="38"/>
      <c r="AN4333" s="38"/>
      <c r="AO4333" s="38"/>
      <c r="AP4333" s="38"/>
      <c r="AQ4333" s="38"/>
      <c r="AR4333" s="38"/>
      <c r="AS4333" s="38"/>
      <c r="AT4333" s="38"/>
      <c r="AU4333" s="38"/>
      <c r="AV4333" s="38"/>
      <c r="AW4333" s="38"/>
      <c r="AX4333" s="38"/>
      <c r="AY4333" s="38"/>
      <c r="AZ4333" s="38"/>
      <c r="BA4333" s="38"/>
      <c r="BB4333" s="38"/>
      <c r="BC4333" s="38"/>
      <c r="BD4333" s="38"/>
      <c r="BE4333" s="38"/>
      <c r="BF4333" s="38"/>
      <c r="BG4333" s="38"/>
      <c r="BH4333" s="38"/>
      <c r="BI4333" s="38"/>
      <c r="BJ4333" s="38"/>
      <c r="BK4333" s="38"/>
      <c r="BL4333" s="38"/>
      <c r="BM4333" s="38"/>
      <c r="BN4333" s="38"/>
      <c r="BO4333" s="38"/>
      <c r="BP4333" s="38"/>
      <c r="BQ4333" s="38"/>
    </row>
    <row r="4334">
      <c r="A4334" s="16"/>
      <c r="B4334" s="145"/>
      <c r="C4334" s="146"/>
      <c r="D4334" s="146"/>
      <c r="E4334" s="16"/>
      <c r="F4334" s="91"/>
      <c r="G4334" s="16"/>
      <c r="H4334" s="320" t="str">
        <f t="shared" si="424"/>
        <v/>
      </c>
      <c r="I4334" s="16"/>
      <c r="J4334" s="16"/>
      <c r="K4334" s="16"/>
      <c r="L4334" s="16"/>
      <c r="M4334" s="15"/>
      <c r="N4334" s="15"/>
      <c r="O4334" s="16"/>
      <c r="P4334" s="16"/>
      <c r="Q4334" s="16"/>
      <c r="R4334" s="16"/>
      <c r="S4334" s="37" t="str">
        <f>IFERROR(__xludf.DUMMYFUNCTION("if(not(iserror(index(split(C4334, "" ""),2))), index(split(C4334, "" ""),1),"""")"),"")</f>
        <v/>
      </c>
      <c r="T4334" s="315" t="str">
        <f>IFERROR(__xludf.DUMMYFUNCTION("if(S4334="""",C4334,if(not(iserror(index(split(C4334, "" ""),3))), index(split(C4334, "" ""),3),index(split(C4334, "" ""),2)))"),"")</f>
        <v/>
      </c>
      <c r="U4334" s="38" t="b">
        <f t="shared" si="423"/>
        <v>0</v>
      </c>
      <c r="V4334" s="38"/>
      <c r="W4334" s="40"/>
      <c r="X4334" s="40"/>
      <c r="Y4334" s="40"/>
      <c r="Z4334" s="38"/>
      <c r="AA4334" s="38"/>
      <c r="AB4334" s="38"/>
      <c r="AC4334" s="38"/>
      <c r="AD4334" s="38"/>
      <c r="AE4334" s="38"/>
      <c r="AF4334" s="38"/>
      <c r="AG4334" s="38"/>
      <c r="AH4334" s="38"/>
      <c r="AI4334" s="38"/>
      <c r="AJ4334" s="38"/>
      <c r="AK4334" s="38"/>
      <c r="AL4334" s="38"/>
      <c r="AM4334" s="38"/>
      <c r="AN4334" s="38"/>
      <c r="AO4334" s="38"/>
      <c r="AP4334" s="38"/>
      <c r="AQ4334" s="38"/>
      <c r="AR4334" s="38"/>
      <c r="AS4334" s="38"/>
      <c r="AT4334" s="38"/>
      <c r="AU4334" s="38"/>
      <c r="AV4334" s="38"/>
      <c r="AW4334" s="38"/>
      <c r="AX4334" s="38"/>
      <c r="AY4334" s="38"/>
      <c r="AZ4334" s="38"/>
      <c r="BA4334" s="38"/>
      <c r="BB4334" s="38"/>
      <c r="BC4334" s="38"/>
      <c r="BD4334" s="38"/>
      <c r="BE4334" s="38"/>
      <c r="BF4334" s="38"/>
      <c r="BG4334" s="38"/>
      <c r="BH4334" s="38"/>
      <c r="BI4334" s="38"/>
      <c r="BJ4334" s="38"/>
      <c r="BK4334" s="38"/>
      <c r="BL4334" s="38"/>
      <c r="BM4334" s="38"/>
      <c r="BN4334" s="38"/>
      <c r="BO4334" s="38"/>
      <c r="BP4334" s="38"/>
      <c r="BQ4334" s="38"/>
    </row>
    <row r="4335">
      <c r="A4335" s="16"/>
      <c r="B4335" s="145"/>
      <c r="C4335" s="146"/>
      <c r="D4335" s="146"/>
      <c r="E4335" s="16"/>
      <c r="F4335" s="91"/>
      <c r="G4335" s="16"/>
      <c r="H4335" s="320" t="str">
        <f t="shared" si="424"/>
        <v/>
      </c>
      <c r="I4335" s="16"/>
      <c r="J4335" s="16"/>
      <c r="K4335" s="16"/>
      <c r="L4335" s="16"/>
      <c r="M4335" s="15"/>
      <c r="N4335" s="15"/>
      <c r="O4335" s="16"/>
      <c r="P4335" s="16"/>
      <c r="Q4335" s="16"/>
      <c r="R4335" s="16"/>
      <c r="S4335" s="37" t="str">
        <f>IFERROR(__xludf.DUMMYFUNCTION("if(not(iserror(index(split(C4335, "" ""),2))), index(split(C4335, "" ""),1),"""")"),"")</f>
        <v/>
      </c>
      <c r="T4335" s="315" t="str">
        <f>IFERROR(__xludf.DUMMYFUNCTION("if(S4335="""",C4335,if(not(iserror(index(split(C4335, "" ""),3))), index(split(C4335, "" ""),3),index(split(C4335, "" ""),2)))"),"")</f>
        <v/>
      </c>
      <c r="U4335" s="38" t="b">
        <f t="shared" si="423"/>
        <v>0</v>
      </c>
      <c r="V4335" s="38"/>
      <c r="W4335" s="40"/>
      <c r="X4335" s="40"/>
      <c r="Y4335" s="40"/>
      <c r="Z4335" s="38"/>
      <c r="AA4335" s="38"/>
      <c r="AB4335" s="38"/>
      <c r="AC4335" s="38"/>
      <c r="AD4335" s="38"/>
      <c r="AE4335" s="38"/>
      <c r="AF4335" s="38"/>
      <c r="AG4335" s="38"/>
      <c r="AH4335" s="38"/>
      <c r="AI4335" s="38"/>
      <c r="AJ4335" s="38"/>
      <c r="AK4335" s="38"/>
      <c r="AL4335" s="38"/>
      <c r="AM4335" s="38"/>
      <c r="AN4335" s="38"/>
      <c r="AO4335" s="38"/>
      <c r="AP4335" s="38"/>
      <c r="AQ4335" s="38"/>
      <c r="AR4335" s="38"/>
      <c r="AS4335" s="38"/>
      <c r="AT4335" s="38"/>
      <c r="AU4335" s="38"/>
      <c r="AV4335" s="38"/>
      <c r="AW4335" s="38"/>
      <c r="AX4335" s="38"/>
      <c r="AY4335" s="38"/>
      <c r="AZ4335" s="38"/>
      <c r="BA4335" s="38"/>
      <c r="BB4335" s="38"/>
      <c r="BC4335" s="38"/>
      <c r="BD4335" s="38"/>
      <c r="BE4335" s="38"/>
      <c r="BF4335" s="38"/>
      <c r="BG4335" s="38"/>
      <c r="BH4335" s="38"/>
      <c r="BI4335" s="38"/>
      <c r="BJ4335" s="38"/>
      <c r="BK4335" s="38"/>
      <c r="BL4335" s="38"/>
      <c r="BM4335" s="38"/>
      <c r="BN4335" s="38"/>
      <c r="BO4335" s="38"/>
      <c r="BP4335" s="38"/>
      <c r="BQ4335" s="38"/>
    </row>
    <row r="4336">
      <c r="A4336" s="16"/>
      <c r="B4336" s="145"/>
      <c r="C4336" s="146"/>
      <c r="D4336" s="146"/>
      <c r="E4336" s="16"/>
      <c r="F4336" s="91"/>
      <c r="G4336" s="16"/>
      <c r="H4336" s="320" t="str">
        <f t="shared" si="424"/>
        <v/>
      </c>
      <c r="I4336" s="16"/>
      <c r="J4336" s="16"/>
      <c r="K4336" s="16"/>
      <c r="L4336" s="16"/>
      <c r="M4336" s="15"/>
      <c r="N4336" s="15"/>
      <c r="O4336" s="16"/>
      <c r="P4336" s="16"/>
      <c r="Q4336" s="16"/>
      <c r="R4336" s="16"/>
      <c r="S4336" s="37" t="str">
        <f>IFERROR(__xludf.DUMMYFUNCTION("if(not(iserror(index(split(C4336, "" ""),2))), index(split(C4336, "" ""),1),"""")"),"")</f>
        <v/>
      </c>
      <c r="T4336" s="315" t="str">
        <f>IFERROR(__xludf.DUMMYFUNCTION("if(S4336="""",C4336,if(not(iserror(index(split(C4336, "" ""),3))), index(split(C4336, "" ""),3),index(split(C4336, "" ""),2)))"),"")</f>
        <v/>
      </c>
      <c r="U4336" s="38" t="b">
        <f t="shared" si="423"/>
        <v>0</v>
      </c>
      <c r="V4336" s="38"/>
      <c r="W4336" s="40"/>
      <c r="X4336" s="40"/>
      <c r="Y4336" s="40"/>
      <c r="Z4336" s="38"/>
      <c r="AA4336" s="38"/>
      <c r="AB4336" s="38"/>
      <c r="AC4336" s="38"/>
      <c r="AD4336" s="38"/>
      <c r="AE4336" s="38"/>
      <c r="AF4336" s="38"/>
      <c r="AG4336" s="38"/>
      <c r="AH4336" s="38"/>
      <c r="AI4336" s="38"/>
      <c r="AJ4336" s="38"/>
      <c r="AK4336" s="38"/>
      <c r="AL4336" s="38"/>
      <c r="AM4336" s="38"/>
      <c r="AN4336" s="38"/>
      <c r="AO4336" s="38"/>
      <c r="AP4336" s="38"/>
      <c r="AQ4336" s="38"/>
      <c r="AR4336" s="38"/>
      <c r="AS4336" s="38"/>
      <c r="AT4336" s="38"/>
      <c r="AU4336" s="38"/>
      <c r="AV4336" s="38"/>
      <c r="AW4336" s="38"/>
      <c r="AX4336" s="38"/>
      <c r="AY4336" s="38"/>
      <c r="AZ4336" s="38"/>
      <c r="BA4336" s="38"/>
      <c r="BB4336" s="38"/>
      <c r="BC4336" s="38"/>
      <c r="BD4336" s="38"/>
      <c r="BE4336" s="38"/>
      <c r="BF4336" s="38"/>
      <c r="BG4336" s="38"/>
      <c r="BH4336" s="38"/>
      <c r="BI4336" s="38"/>
      <c r="BJ4336" s="38"/>
      <c r="BK4336" s="38"/>
      <c r="BL4336" s="38"/>
      <c r="BM4336" s="38"/>
      <c r="BN4336" s="38"/>
      <c r="BO4336" s="38"/>
      <c r="BP4336" s="38"/>
      <c r="BQ4336" s="38"/>
    </row>
    <row r="4337">
      <c r="A4337" s="16"/>
      <c r="B4337" s="145"/>
      <c r="C4337" s="146"/>
      <c r="D4337" s="146"/>
      <c r="E4337" s="16"/>
      <c r="F4337" s="91"/>
      <c r="G4337" s="16"/>
      <c r="H4337" s="320" t="str">
        <f t="shared" si="424"/>
        <v/>
      </c>
      <c r="I4337" s="16"/>
      <c r="J4337" s="16"/>
      <c r="K4337" s="16"/>
      <c r="L4337" s="16"/>
      <c r="M4337" s="15"/>
      <c r="N4337" s="15"/>
      <c r="O4337" s="16"/>
      <c r="P4337" s="16"/>
      <c r="Q4337" s="16"/>
      <c r="R4337" s="16"/>
      <c r="S4337" s="37" t="str">
        <f>IFERROR(__xludf.DUMMYFUNCTION("if(not(iserror(index(split(C4337, "" ""),2))), index(split(C4337, "" ""),1),"""")"),"")</f>
        <v/>
      </c>
      <c r="T4337" s="315" t="str">
        <f>IFERROR(__xludf.DUMMYFUNCTION("if(S4337="""",C4337,if(not(iserror(index(split(C4337, "" ""),3))), index(split(C4337, "" ""),3),index(split(C4337, "" ""),2)))"),"")</f>
        <v/>
      </c>
      <c r="U4337" s="38" t="b">
        <f t="shared" si="423"/>
        <v>0</v>
      </c>
      <c r="V4337" s="38"/>
      <c r="W4337" s="40"/>
      <c r="X4337" s="40"/>
      <c r="Y4337" s="40"/>
      <c r="Z4337" s="38"/>
      <c r="AA4337" s="38"/>
      <c r="AB4337" s="38"/>
      <c r="AC4337" s="38"/>
      <c r="AD4337" s="38"/>
      <c r="AE4337" s="38"/>
      <c r="AF4337" s="38"/>
      <c r="AG4337" s="38"/>
      <c r="AH4337" s="38"/>
      <c r="AI4337" s="38"/>
      <c r="AJ4337" s="38"/>
      <c r="AK4337" s="38"/>
      <c r="AL4337" s="38"/>
      <c r="AM4337" s="38"/>
      <c r="AN4337" s="38"/>
      <c r="AO4337" s="38"/>
      <c r="AP4337" s="38"/>
      <c r="AQ4337" s="38"/>
      <c r="AR4337" s="38"/>
      <c r="AS4337" s="38"/>
      <c r="AT4337" s="38"/>
      <c r="AU4337" s="38"/>
      <c r="AV4337" s="38"/>
      <c r="AW4337" s="38"/>
      <c r="AX4337" s="38"/>
      <c r="AY4337" s="38"/>
      <c r="AZ4337" s="38"/>
      <c r="BA4337" s="38"/>
      <c r="BB4337" s="38"/>
      <c r="BC4337" s="38"/>
      <c r="BD4337" s="38"/>
      <c r="BE4337" s="38"/>
      <c r="BF4337" s="38"/>
      <c r="BG4337" s="38"/>
      <c r="BH4337" s="38"/>
      <c r="BI4337" s="38"/>
      <c r="BJ4337" s="38"/>
      <c r="BK4337" s="38"/>
      <c r="BL4337" s="38"/>
      <c r="BM4337" s="38"/>
      <c r="BN4337" s="38"/>
      <c r="BO4337" s="38"/>
      <c r="BP4337" s="38"/>
      <c r="BQ4337" s="38"/>
    </row>
    <row r="4338">
      <c r="A4338" s="16"/>
      <c r="B4338" s="145"/>
      <c r="C4338" s="146"/>
      <c r="D4338" s="146"/>
      <c r="E4338" s="16"/>
      <c r="F4338" s="91"/>
      <c r="G4338" s="16"/>
      <c r="H4338" s="320" t="str">
        <f t="shared" si="424"/>
        <v/>
      </c>
      <c r="I4338" s="16"/>
      <c r="J4338" s="16"/>
      <c r="K4338" s="16"/>
      <c r="L4338" s="16"/>
      <c r="M4338" s="15"/>
      <c r="N4338" s="15"/>
      <c r="O4338" s="16"/>
      <c r="P4338" s="16"/>
      <c r="Q4338" s="16"/>
      <c r="R4338" s="16"/>
      <c r="S4338" s="37" t="str">
        <f>IFERROR(__xludf.DUMMYFUNCTION("if(not(iserror(index(split(C4338, "" ""),2))), index(split(C4338, "" ""),1),"""")"),"")</f>
        <v/>
      </c>
      <c r="T4338" s="315" t="str">
        <f>IFERROR(__xludf.DUMMYFUNCTION("if(S4338="""",C4338,if(not(iserror(index(split(C4338, "" ""),3))), index(split(C4338, "" ""),3),index(split(C4338, "" ""),2)))"),"")</f>
        <v/>
      </c>
      <c r="U4338" s="38" t="b">
        <f t="shared" si="423"/>
        <v>0</v>
      </c>
      <c r="V4338" s="38"/>
      <c r="W4338" s="40"/>
      <c r="X4338" s="40"/>
      <c r="Y4338" s="40"/>
      <c r="Z4338" s="38"/>
      <c r="AA4338" s="38"/>
      <c r="AB4338" s="38"/>
      <c r="AC4338" s="38"/>
      <c r="AD4338" s="38"/>
      <c r="AE4338" s="38"/>
      <c r="AF4338" s="38"/>
      <c r="AG4338" s="38"/>
      <c r="AH4338" s="38"/>
      <c r="AI4338" s="38"/>
      <c r="AJ4338" s="38"/>
      <c r="AK4338" s="38"/>
      <c r="AL4338" s="38"/>
      <c r="AM4338" s="38"/>
      <c r="AN4338" s="38"/>
      <c r="AO4338" s="38"/>
      <c r="AP4338" s="38"/>
      <c r="AQ4338" s="38"/>
      <c r="AR4338" s="38"/>
      <c r="AS4338" s="38"/>
      <c r="AT4338" s="38"/>
      <c r="AU4338" s="38"/>
      <c r="AV4338" s="38"/>
      <c r="AW4338" s="38"/>
      <c r="AX4338" s="38"/>
      <c r="AY4338" s="38"/>
      <c r="AZ4338" s="38"/>
      <c r="BA4338" s="38"/>
      <c r="BB4338" s="38"/>
      <c r="BC4338" s="38"/>
      <c r="BD4338" s="38"/>
      <c r="BE4338" s="38"/>
      <c r="BF4338" s="38"/>
      <c r="BG4338" s="38"/>
      <c r="BH4338" s="38"/>
      <c r="BI4338" s="38"/>
      <c r="BJ4338" s="38"/>
      <c r="BK4338" s="38"/>
      <c r="BL4338" s="38"/>
      <c r="BM4338" s="38"/>
      <c r="BN4338" s="38"/>
      <c r="BO4338" s="38"/>
      <c r="BP4338" s="38"/>
      <c r="BQ4338" s="38"/>
    </row>
    <row r="4339">
      <c r="A4339" s="16"/>
      <c r="B4339" s="145"/>
      <c r="C4339" s="146"/>
      <c r="D4339" s="146"/>
      <c r="E4339" s="16"/>
      <c r="F4339" s="91"/>
      <c r="G4339" s="16"/>
      <c r="H4339" s="320" t="str">
        <f t="shared" si="424"/>
        <v/>
      </c>
      <c r="I4339" s="16"/>
      <c r="J4339" s="16"/>
      <c r="K4339" s="16"/>
      <c r="L4339" s="16"/>
      <c r="M4339" s="15"/>
      <c r="N4339" s="15"/>
      <c r="O4339" s="16"/>
      <c r="P4339" s="16"/>
      <c r="Q4339" s="16"/>
      <c r="R4339" s="16"/>
      <c r="S4339" s="37" t="str">
        <f>IFERROR(__xludf.DUMMYFUNCTION("if(not(iserror(index(split(C4339, "" ""),2))), index(split(C4339, "" ""),1),"""")"),"")</f>
        <v/>
      </c>
      <c r="T4339" s="315" t="str">
        <f>IFERROR(__xludf.DUMMYFUNCTION("if(S4339="""",C4339,if(not(iserror(index(split(C4339, "" ""),3))), index(split(C4339, "" ""),3),index(split(C4339, "" ""),2)))"),"")</f>
        <v/>
      </c>
      <c r="U4339" s="38" t="b">
        <f t="shared" si="423"/>
        <v>0</v>
      </c>
      <c r="V4339" s="38"/>
      <c r="W4339" s="40"/>
      <c r="X4339" s="40"/>
      <c r="Y4339" s="40"/>
      <c r="Z4339" s="38"/>
      <c r="AA4339" s="38"/>
      <c r="AB4339" s="38"/>
      <c r="AC4339" s="38"/>
      <c r="AD4339" s="38"/>
      <c r="AE4339" s="38"/>
      <c r="AF4339" s="38"/>
      <c r="AG4339" s="38"/>
      <c r="AH4339" s="38"/>
      <c r="AI4339" s="38"/>
      <c r="AJ4339" s="38"/>
      <c r="AK4339" s="38"/>
      <c r="AL4339" s="38"/>
      <c r="AM4339" s="38"/>
      <c r="AN4339" s="38"/>
      <c r="AO4339" s="38"/>
      <c r="AP4339" s="38"/>
      <c r="AQ4339" s="38"/>
      <c r="AR4339" s="38"/>
      <c r="AS4339" s="38"/>
      <c r="AT4339" s="38"/>
      <c r="AU4339" s="38"/>
      <c r="AV4339" s="38"/>
      <c r="AW4339" s="38"/>
      <c r="AX4339" s="38"/>
      <c r="AY4339" s="38"/>
      <c r="AZ4339" s="38"/>
      <c r="BA4339" s="38"/>
      <c r="BB4339" s="38"/>
      <c r="BC4339" s="38"/>
      <c r="BD4339" s="38"/>
      <c r="BE4339" s="38"/>
      <c r="BF4339" s="38"/>
      <c r="BG4339" s="38"/>
      <c r="BH4339" s="38"/>
      <c r="BI4339" s="38"/>
      <c r="BJ4339" s="38"/>
      <c r="BK4339" s="38"/>
      <c r="BL4339" s="38"/>
      <c r="BM4339" s="38"/>
      <c r="BN4339" s="38"/>
      <c r="BO4339" s="38"/>
      <c r="BP4339" s="38"/>
      <c r="BQ4339" s="38"/>
    </row>
    <row r="4340">
      <c r="A4340" s="16"/>
      <c r="B4340" s="145"/>
      <c r="C4340" s="146"/>
      <c r="D4340" s="146"/>
      <c r="E4340" s="16"/>
      <c r="F4340" s="91"/>
      <c r="G4340" s="16"/>
      <c r="H4340" s="320" t="str">
        <f t="shared" si="424"/>
        <v/>
      </c>
      <c r="I4340" s="16"/>
      <c r="J4340" s="16"/>
      <c r="K4340" s="16"/>
      <c r="L4340" s="16"/>
      <c r="M4340" s="15"/>
      <c r="N4340" s="15"/>
      <c r="O4340" s="16"/>
      <c r="P4340" s="16"/>
      <c r="Q4340" s="16"/>
      <c r="R4340" s="16"/>
      <c r="S4340" s="37" t="str">
        <f>IFERROR(__xludf.DUMMYFUNCTION("if(not(iserror(index(split(C4340, "" ""),2))), index(split(C4340, "" ""),1),"""")"),"")</f>
        <v/>
      </c>
      <c r="T4340" s="315" t="str">
        <f>IFERROR(__xludf.DUMMYFUNCTION("if(S4340="""",C4340,if(not(iserror(index(split(C4340, "" ""),3))), index(split(C4340, "" ""),3),index(split(C4340, "" ""),2)))"),"")</f>
        <v/>
      </c>
      <c r="U4340" s="38" t="b">
        <f t="shared" si="423"/>
        <v>0</v>
      </c>
      <c r="V4340" s="38"/>
      <c r="W4340" s="40"/>
      <c r="X4340" s="40"/>
      <c r="Y4340" s="40"/>
      <c r="Z4340" s="38"/>
      <c r="AA4340" s="38"/>
      <c r="AB4340" s="38"/>
      <c r="AC4340" s="38"/>
      <c r="AD4340" s="38"/>
      <c r="AE4340" s="38"/>
      <c r="AF4340" s="38"/>
      <c r="AG4340" s="38"/>
      <c r="AH4340" s="38"/>
      <c r="AI4340" s="38"/>
      <c r="AJ4340" s="38"/>
      <c r="AK4340" s="38"/>
      <c r="AL4340" s="38"/>
      <c r="AM4340" s="38"/>
      <c r="AN4340" s="38"/>
      <c r="AO4340" s="38"/>
      <c r="AP4340" s="38"/>
      <c r="AQ4340" s="38"/>
      <c r="AR4340" s="38"/>
      <c r="AS4340" s="38"/>
      <c r="AT4340" s="38"/>
      <c r="AU4340" s="38"/>
      <c r="AV4340" s="38"/>
      <c r="AW4340" s="38"/>
      <c r="AX4340" s="38"/>
      <c r="AY4340" s="38"/>
      <c r="AZ4340" s="38"/>
      <c r="BA4340" s="38"/>
      <c r="BB4340" s="38"/>
      <c r="BC4340" s="38"/>
      <c r="BD4340" s="38"/>
      <c r="BE4340" s="38"/>
      <c r="BF4340" s="38"/>
      <c r="BG4340" s="38"/>
      <c r="BH4340" s="38"/>
      <c r="BI4340" s="38"/>
      <c r="BJ4340" s="38"/>
      <c r="BK4340" s="38"/>
      <c r="BL4340" s="38"/>
      <c r="BM4340" s="38"/>
      <c r="BN4340" s="38"/>
      <c r="BO4340" s="38"/>
      <c r="BP4340" s="38"/>
      <c r="BQ4340" s="38"/>
    </row>
    <row r="4341">
      <c r="A4341" s="16"/>
      <c r="B4341" s="145"/>
      <c r="C4341" s="146"/>
      <c r="D4341" s="146"/>
      <c r="E4341" s="16"/>
      <c r="F4341" s="91"/>
      <c r="G4341" s="16"/>
      <c r="H4341" s="320" t="str">
        <f t="shared" si="424"/>
        <v/>
      </c>
      <c r="I4341" s="16"/>
      <c r="J4341" s="16"/>
      <c r="K4341" s="16"/>
      <c r="L4341" s="16"/>
      <c r="M4341" s="15"/>
      <c r="N4341" s="15"/>
      <c r="O4341" s="16"/>
      <c r="P4341" s="16"/>
      <c r="Q4341" s="16"/>
      <c r="R4341" s="16"/>
      <c r="S4341" s="37" t="str">
        <f>IFERROR(__xludf.DUMMYFUNCTION("if(not(iserror(index(split(C4341, "" ""),2))), index(split(C4341, "" ""),1),"""")"),"")</f>
        <v/>
      </c>
      <c r="T4341" s="315" t="str">
        <f>IFERROR(__xludf.DUMMYFUNCTION("if(S4341="""",C4341,if(not(iserror(index(split(C4341, "" ""),3))), index(split(C4341, "" ""),3),index(split(C4341, "" ""),2)))"),"")</f>
        <v/>
      </c>
      <c r="U4341" s="38" t="b">
        <f t="shared" si="423"/>
        <v>0</v>
      </c>
      <c r="V4341" s="38"/>
      <c r="W4341" s="40"/>
      <c r="X4341" s="40"/>
      <c r="Y4341" s="40"/>
      <c r="Z4341" s="38"/>
      <c r="AA4341" s="38"/>
      <c r="AB4341" s="38"/>
      <c r="AC4341" s="38"/>
      <c r="AD4341" s="38"/>
      <c r="AE4341" s="38"/>
      <c r="AF4341" s="38"/>
      <c r="AG4341" s="38"/>
      <c r="AH4341" s="38"/>
      <c r="AI4341" s="38"/>
      <c r="AJ4341" s="38"/>
      <c r="AK4341" s="38"/>
      <c r="AL4341" s="38"/>
      <c r="AM4341" s="38"/>
      <c r="AN4341" s="38"/>
      <c r="AO4341" s="38"/>
      <c r="AP4341" s="38"/>
      <c r="AQ4341" s="38"/>
      <c r="AR4341" s="38"/>
      <c r="AS4341" s="38"/>
      <c r="AT4341" s="38"/>
      <c r="AU4341" s="38"/>
      <c r="AV4341" s="38"/>
      <c r="AW4341" s="38"/>
      <c r="AX4341" s="38"/>
      <c r="AY4341" s="38"/>
      <c r="AZ4341" s="38"/>
      <c r="BA4341" s="38"/>
      <c r="BB4341" s="38"/>
      <c r="BC4341" s="38"/>
      <c r="BD4341" s="38"/>
      <c r="BE4341" s="38"/>
      <c r="BF4341" s="38"/>
      <c r="BG4341" s="38"/>
      <c r="BH4341" s="38"/>
      <c r="BI4341" s="38"/>
      <c r="BJ4341" s="38"/>
      <c r="BK4341" s="38"/>
      <c r="BL4341" s="38"/>
      <c r="BM4341" s="38"/>
      <c r="BN4341" s="38"/>
      <c r="BO4341" s="38"/>
      <c r="BP4341" s="38"/>
      <c r="BQ4341" s="38"/>
    </row>
    <row r="4342">
      <c r="A4342" s="16"/>
      <c r="B4342" s="145"/>
      <c r="C4342" s="146"/>
      <c r="D4342" s="146"/>
      <c r="E4342" s="16"/>
      <c r="F4342" s="91"/>
      <c r="G4342" s="16"/>
      <c r="H4342" s="320" t="str">
        <f t="shared" si="424"/>
        <v/>
      </c>
      <c r="I4342" s="16"/>
      <c r="J4342" s="16"/>
      <c r="K4342" s="16"/>
      <c r="L4342" s="16"/>
      <c r="M4342" s="15"/>
      <c r="N4342" s="15"/>
      <c r="O4342" s="16"/>
      <c r="P4342" s="16"/>
      <c r="Q4342" s="16"/>
      <c r="R4342" s="16"/>
      <c r="S4342" s="37" t="str">
        <f>IFERROR(__xludf.DUMMYFUNCTION("if(not(iserror(index(split(C4342, "" ""),2))), index(split(C4342, "" ""),1),"""")"),"")</f>
        <v/>
      </c>
      <c r="T4342" s="315" t="str">
        <f>IFERROR(__xludf.DUMMYFUNCTION("if(S4342="""",C4342,if(not(iserror(index(split(C4342, "" ""),3))), index(split(C4342, "" ""),3),index(split(C4342, "" ""),2)))"),"")</f>
        <v/>
      </c>
      <c r="U4342" s="38" t="b">
        <f t="shared" si="423"/>
        <v>0</v>
      </c>
      <c r="V4342" s="38"/>
      <c r="W4342" s="40"/>
      <c r="X4342" s="40"/>
      <c r="Y4342" s="40"/>
      <c r="Z4342" s="38"/>
      <c r="AA4342" s="38"/>
      <c r="AB4342" s="38"/>
      <c r="AC4342" s="38"/>
      <c r="AD4342" s="38"/>
      <c r="AE4342" s="38"/>
      <c r="AF4342" s="38"/>
      <c r="AG4342" s="38"/>
      <c r="AH4342" s="38"/>
      <c r="AI4342" s="38"/>
      <c r="AJ4342" s="38"/>
      <c r="AK4342" s="38"/>
      <c r="AL4342" s="38"/>
      <c r="AM4342" s="38"/>
      <c r="AN4342" s="38"/>
      <c r="AO4342" s="38"/>
      <c r="AP4342" s="38"/>
      <c r="AQ4342" s="38"/>
      <c r="AR4342" s="38"/>
      <c r="AS4342" s="38"/>
      <c r="AT4342" s="38"/>
      <c r="AU4342" s="38"/>
      <c r="AV4342" s="38"/>
      <c r="AW4342" s="38"/>
      <c r="AX4342" s="38"/>
      <c r="AY4342" s="38"/>
      <c r="AZ4342" s="38"/>
      <c r="BA4342" s="38"/>
      <c r="BB4342" s="38"/>
      <c r="BC4342" s="38"/>
      <c r="BD4342" s="38"/>
      <c r="BE4342" s="38"/>
      <c r="BF4342" s="38"/>
      <c r="BG4342" s="38"/>
      <c r="BH4342" s="38"/>
      <c r="BI4342" s="38"/>
      <c r="BJ4342" s="38"/>
      <c r="BK4342" s="38"/>
      <c r="BL4342" s="38"/>
      <c r="BM4342" s="38"/>
      <c r="BN4342" s="38"/>
      <c r="BO4342" s="38"/>
      <c r="BP4342" s="38"/>
      <c r="BQ4342" s="38"/>
    </row>
    <row r="4343">
      <c r="A4343" s="16"/>
      <c r="B4343" s="145"/>
      <c r="C4343" s="146"/>
      <c r="D4343" s="146"/>
      <c r="E4343" s="16"/>
      <c r="F4343" s="91"/>
      <c r="G4343" s="16"/>
      <c r="H4343" s="320" t="str">
        <f t="shared" si="424"/>
        <v/>
      </c>
      <c r="I4343" s="16"/>
      <c r="J4343" s="16"/>
      <c r="K4343" s="16"/>
      <c r="L4343" s="16"/>
      <c r="M4343" s="15"/>
      <c r="N4343" s="15"/>
      <c r="O4343" s="16"/>
      <c r="P4343" s="16"/>
      <c r="Q4343" s="16"/>
      <c r="R4343" s="16"/>
      <c r="S4343" s="37" t="str">
        <f>IFERROR(__xludf.DUMMYFUNCTION("if(not(iserror(index(split(C4343, "" ""),2))), index(split(C4343, "" ""),1),"""")"),"")</f>
        <v/>
      </c>
      <c r="T4343" s="315" t="str">
        <f>IFERROR(__xludf.DUMMYFUNCTION("if(S4343="""",C4343,if(not(iserror(index(split(C4343, "" ""),3))), index(split(C4343, "" ""),3),index(split(C4343, "" ""),2)))"),"")</f>
        <v/>
      </c>
      <c r="U4343" s="38" t="b">
        <f t="shared" si="423"/>
        <v>0</v>
      </c>
      <c r="V4343" s="38"/>
      <c r="W4343" s="40"/>
      <c r="X4343" s="40"/>
      <c r="Y4343" s="40"/>
      <c r="Z4343" s="38"/>
      <c r="AA4343" s="38"/>
      <c r="AB4343" s="38"/>
      <c r="AC4343" s="38"/>
      <c r="AD4343" s="38"/>
      <c r="AE4343" s="38"/>
      <c r="AF4343" s="38"/>
      <c r="AG4343" s="38"/>
      <c r="AH4343" s="38"/>
      <c r="AI4343" s="38"/>
      <c r="AJ4343" s="38"/>
      <c r="AK4343" s="38"/>
      <c r="AL4343" s="38"/>
      <c r="AM4343" s="38"/>
      <c r="AN4343" s="38"/>
      <c r="AO4343" s="38"/>
      <c r="AP4343" s="38"/>
      <c r="AQ4343" s="38"/>
      <c r="AR4343" s="38"/>
      <c r="AS4343" s="38"/>
      <c r="AT4343" s="38"/>
      <c r="AU4343" s="38"/>
      <c r="AV4343" s="38"/>
      <c r="AW4343" s="38"/>
      <c r="AX4343" s="38"/>
      <c r="AY4343" s="38"/>
      <c r="AZ4343" s="38"/>
      <c r="BA4343" s="38"/>
      <c r="BB4343" s="38"/>
      <c r="BC4343" s="38"/>
      <c r="BD4343" s="38"/>
      <c r="BE4343" s="38"/>
      <c r="BF4343" s="38"/>
      <c r="BG4343" s="38"/>
      <c r="BH4343" s="38"/>
      <c r="BI4343" s="38"/>
      <c r="BJ4343" s="38"/>
      <c r="BK4343" s="38"/>
      <c r="BL4343" s="38"/>
      <c r="BM4343" s="38"/>
      <c r="BN4343" s="38"/>
      <c r="BO4343" s="38"/>
      <c r="BP4343" s="38"/>
      <c r="BQ4343" s="38"/>
    </row>
    <row r="4344">
      <c r="A4344" s="16"/>
      <c r="B4344" s="145"/>
      <c r="C4344" s="146"/>
      <c r="D4344" s="146"/>
      <c r="E4344" s="16"/>
      <c r="F4344" s="91"/>
      <c r="G4344" s="16"/>
      <c r="H4344" s="320" t="str">
        <f t="shared" si="424"/>
        <v/>
      </c>
      <c r="I4344" s="16"/>
      <c r="J4344" s="16"/>
      <c r="K4344" s="16"/>
      <c r="L4344" s="16"/>
      <c r="M4344" s="15"/>
      <c r="N4344" s="15"/>
      <c r="O4344" s="16"/>
      <c r="P4344" s="16"/>
      <c r="Q4344" s="16"/>
      <c r="R4344" s="16"/>
      <c r="S4344" s="37" t="str">
        <f>IFERROR(__xludf.DUMMYFUNCTION("if(not(iserror(index(split(C4344, "" ""),2))), index(split(C4344, "" ""),1),"""")"),"")</f>
        <v/>
      </c>
      <c r="T4344" s="315" t="str">
        <f>IFERROR(__xludf.DUMMYFUNCTION("if(S4344="""",C4344,if(not(iserror(index(split(C4344, "" ""),3))), index(split(C4344, "" ""),3),index(split(C4344, "" ""),2)))"),"")</f>
        <v/>
      </c>
      <c r="U4344" s="38" t="b">
        <f t="shared" si="423"/>
        <v>0</v>
      </c>
      <c r="V4344" s="38"/>
      <c r="W4344" s="40"/>
      <c r="X4344" s="40"/>
      <c r="Y4344" s="40"/>
      <c r="Z4344" s="38"/>
      <c r="AA4344" s="38"/>
      <c r="AB4344" s="38"/>
      <c r="AC4344" s="38"/>
      <c r="AD4344" s="38"/>
      <c r="AE4344" s="38"/>
      <c r="AF4344" s="38"/>
      <c r="AG4344" s="38"/>
      <c r="AH4344" s="38"/>
      <c r="AI4344" s="38"/>
      <c r="AJ4344" s="38"/>
      <c r="AK4344" s="38"/>
      <c r="AL4344" s="38"/>
      <c r="AM4344" s="38"/>
      <c r="AN4344" s="38"/>
      <c r="AO4344" s="38"/>
      <c r="AP4344" s="38"/>
      <c r="AQ4344" s="38"/>
      <c r="AR4344" s="38"/>
      <c r="AS4344" s="38"/>
      <c r="AT4344" s="38"/>
      <c r="AU4344" s="38"/>
      <c r="AV4344" s="38"/>
      <c r="AW4344" s="38"/>
      <c r="AX4344" s="38"/>
      <c r="AY4344" s="38"/>
      <c r="AZ4344" s="38"/>
      <c r="BA4344" s="38"/>
      <c r="BB4344" s="38"/>
      <c r="BC4344" s="38"/>
      <c r="BD4344" s="38"/>
      <c r="BE4344" s="38"/>
      <c r="BF4344" s="38"/>
      <c r="BG4344" s="38"/>
      <c r="BH4344" s="38"/>
      <c r="BI4344" s="38"/>
      <c r="BJ4344" s="38"/>
      <c r="BK4344" s="38"/>
      <c r="BL4344" s="38"/>
      <c r="BM4344" s="38"/>
      <c r="BN4344" s="38"/>
      <c r="BO4344" s="38"/>
      <c r="BP4344" s="38"/>
      <c r="BQ4344" s="38"/>
    </row>
    <row r="4345">
      <c r="A4345" s="16"/>
      <c r="B4345" s="145"/>
      <c r="C4345" s="146"/>
      <c r="D4345" s="146"/>
      <c r="E4345" s="16"/>
      <c r="F4345" s="91"/>
      <c r="G4345" s="16"/>
      <c r="H4345" s="320" t="str">
        <f t="shared" si="424"/>
        <v/>
      </c>
      <c r="I4345" s="16"/>
      <c r="J4345" s="16"/>
      <c r="K4345" s="16"/>
      <c r="L4345" s="16"/>
      <c r="M4345" s="15"/>
      <c r="N4345" s="15"/>
      <c r="O4345" s="16"/>
      <c r="P4345" s="16"/>
      <c r="Q4345" s="16"/>
      <c r="R4345" s="16"/>
      <c r="S4345" s="37" t="str">
        <f>IFERROR(__xludf.DUMMYFUNCTION("if(not(iserror(index(split(C4345, "" ""),2))), index(split(C4345, "" ""),1),"""")"),"")</f>
        <v/>
      </c>
      <c r="T4345" s="315" t="str">
        <f>IFERROR(__xludf.DUMMYFUNCTION("if(S4345="""",C4345,if(not(iserror(index(split(C4345, "" ""),3))), index(split(C4345, "" ""),3),index(split(C4345, "" ""),2)))"),"")</f>
        <v/>
      </c>
      <c r="U4345" s="38" t="b">
        <f t="shared" si="423"/>
        <v>0</v>
      </c>
      <c r="V4345" s="38"/>
      <c r="W4345" s="40"/>
      <c r="X4345" s="40"/>
      <c r="Y4345" s="40"/>
      <c r="Z4345" s="38"/>
      <c r="AA4345" s="38"/>
      <c r="AB4345" s="38"/>
      <c r="AC4345" s="38"/>
      <c r="AD4345" s="38"/>
      <c r="AE4345" s="38"/>
      <c r="AF4345" s="38"/>
      <c r="AG4345" s="38"/>
      <c r="AH4345" s="38"/>
      <c r="AI4345" s="38"/>
      <c r="AJ4345" s="38"/>
      <c r="AK4345" s="38"/>
      <c r="AL4345" s="38"/>
      <c r="AM4345" s="38"/>
      <c r="AN4345" s="38"/>
      <c r="AO4345" s="38"/>
      <c r="AP4345" s="38"/>
      <c r="AQ4345" s="38"/>
      <c r="AR4345" s="38"/>
      <c r="AS4345" s="38"/>
      <c r="AT4345" s="38"/>
      <c r="AU4345" s="38"/>
      <c r="AV4345" s="38"/>
      <c r="AW4345" s="38"/>
      <c r="AX4345" s="38"/>
      <c r="AY4345" s="38"/>
      <c r="AZ4345" s="38"/>
      <c r="BA4345" s="38"/>
      <c r="BB4345" s="38"/>
      <c r="BC4345" s="38"/>
      <c r="BD4345" s="38"/>
      <c r="BE4345" s="38"/>
      <c r="BF4345" s="38"/>
      <c r="BG4345" s="38"/>
      <c r="BH4345" s="38"/>
      <c r="BI4345" s="38"/>
      <c r="BJ4345" s="38"/>
      <c r="BK4345" s="38"/>
      <c r="BL4345" s="38"/>
      <c r="BM4345" s="38"/>
      <c r="BN4345" s="38"/>
      <c r="BO4345" s="38"/>
      <c r="BP4345" s="38"/>
      <c r="BQ4345" s="38"/>
    </row>
    <row r="4346">
      <c r="A4346" s="16"/>
      <c r="B4346" s="145"/>
      <c r="C4346" s="146"/>
      <c r="D4346" s="146"/>
      <c r="E4346" s="16"/>
      <c r="F4346" s="91"/>
      <c r="G4346" s="16"/>
      <c r="H4346" s="320" t="str">
        <f t="shared" si="424"/>
        <v/>
      </c>
      <c r="I4346" s="16"/>
      <c r="J4346" s="16"/>
      <c r="K4346" s="16"/>
      <c r="L4346" s="16"/>
      <c r="M4346" s="15"/>
      <c r="N4346" s="15"/>
      <c r="O4346" s="16"/>
      <c r="P4346" s="16"/>
      <c r="Q4346" s="16"/>
      <c r="R4346" s="16"/>
      <c r="S4346" s="37" t="str">
        <f>IFERROR(__xludf.DUMMYFUNCTION("if(not(iserror(index(split(C4346, "" ""),2))), index(split(C4346, "" ""),1),"""")"),"")</f>
        <v/>
      </c>
      <c r="T4346" s="315" t="str">
        <f>IFERROR(__xludf.DUMMYFUNCTION("if(S4346="""",C4346,if(not(iserror(index(split(C4346, "" ""),3))), index(split(C4346, "" ""),3),index(split(C4346, "" ""),2)))"),"")</f>
        <v/>
      </c>
      <c r="U4346" s="38" t="b">
        <f t="shared" si="423"/>
        <v>0</v>
      </c>
      <c r="V4346" s="38"/>
      <c r="W4346" s="40"/>
      <c r="X4346" s="40"/>
      <c r="Y4346" s="40"/>
      <c r="Z4346" s="38"/>
      <c r="AA4346" s="38"/>
      <c r="AB4346" s="38"/>
      <c r="AC4346" s="38"/>
      <c r="AD4346" s="38"/>
      <c r="AE4346" s="38"/>
      <c r="AF4346" s="38"/>
      <c r="AG4346" s="38"/>
      <c r="AH4346" s="38"/>
      <c r="AI4346" s="38"/>
      <c r="AJ4346" s="38"/>
      <c r="AK4346" s="38"/>
      <c r="AL4346" s="38"/>
      <c r="AM4346" s="38"/>
      <c r="AN4346" s="38"/>
      <c r="AO4346" s="38"/>
      <c r="AP4346" s="38"/>
      <c r="AQ4346" s="38"/>
      <c r="AR4346" s="38"/>
      <c r="AS4346" s="38"/>
      <c r="AT4346" s="38"/>
      <c r="AU4346" s="38"/>
      <c r="AV4346" s="38"/>
      <c r="AW4346" s="38"/>
      <c r="AX4346" s="38"/>
      <c r="AY4346" s="38"/>
      <c r="AZ4346" s="38"/>
      <c r="BA4346" s="38"/>
      <c r="BB4346" s="38"/>
      <c r="BC4346" s="38"/>
      <c r="BD4346" s="38"/>
      <c r="BE4346" s="38"/>
      <c r="BF4346" s="38"/>
      <c r="BG4346" s="38"/>
      <c r="BH4346" s="38"/>
      <c r="BI4346" s="38"/>
      <c r="BJ4346" s="38"/>
      <c r="BK4346" s="38"/>
      <c r="BL4346" s="38"/>
      <c r="BM4346" s="38"/>
      <c r="BN4346" s="38"/>
      <c r="BO4346" s="38"/>
      <c r="BP4346" s="38"/>
      <c r="BQ4346" s="38"/>
    </row>
    <row r="4347">
      <c r="A4347" s="16"/>
      <c r="B4347" s="145"/>
      <c r="C4347" s="146"/>
      <c r="D4347" s="146"/>
      <c r="E4347" s="16"/>
      <c r="F4347" s="91"/>
      <c r="G4347" s="16"/>
      <c r="H4347" s="320" t="str">
        <f t="shared" si="424"/>
        <v/>
      </c>
      <c r="I4347" s="16"/>
      <c r="J4347" s="16"/>
      <c r="K4347" s="16"/>
      <c r="L4347" s="16"/>
      <c r="M4347" s="15"/>
      <c r="N4347" s="15"/>
      <c r="O4347" s="16"/>
      <c r="P4347" s="16"/>
      <c r="Q4347" s="16"/>
      <c r="R4347" s="16"/>
      <c r="S4347" s="37" t="str">
        <f>IFERROR(__xludf.DUMMYFUNCTION("if(not(iserror(index(split(C4347, "" ""),2))), index(split(C4347, "" ""),1),"""")"),"")</f>
        <v/>
      </c>
      <c r="T4347" s="315" t="str">
        <f>IFERROR(__xludf.DUMMYFUNCTION("if(S4347="""",C4347,if(not(iserror(index(split(C4347, "" ""),3))), index(split(C4347, "" ""),3),index(split(C4347, "" ""),2)))"),"")</f>
        <v/>
      </c>
      <c r="U4347" s="38" t="b">
        <f t="shared" si="423"/>
        <v>0</v>
      </c>
      <c r="V4347" s="38"/>
      <c r="W4347" s="40"/>
      <c r="X4347" s="40"/>
      <c r="Y4347" s="40"/>
      <c r="Z4347" s="38"/>
      <c r="AA4347" s="38"/>
      <c r="AB4347" s="38"/>
      <c r="AC4347" s="38"/>
      <c r="AD4347" s="38"/>
      <c r="AE4347" s="38"/>
      <c r="AF4347" s="38"/>
      <c r="AG4347" s="38"/>
      <c r="AH4347" s="38"/>
      <c r="AI4347" s="38"/>
      <c r="AJ4347" s="38"/>
      <c r="AK4347" s="38"/>
      <c r="AL4347" s="38"/>
      <c r="AM4347" s="38"/>
      <c r="AN4347" s="38"/>
      <c r="AO4347" s="38"/>
      <c r="AP4347" s="38"/>
      <c r="AQ4347" s="38"/>
      <c r="AR4347" s="38"/>
      <c r="AS4347" s="38"/>
      <c r="AT4347" s="38"/>
      <c r="AU4347" s="38"/>
      <c r="AV4347" s="38"/>
      <c r="AW4347" s="38"/>
      <c r="AX4347" s="38"/>
      <c r="AY4347" s="38"/>
      <c r="AZ4347" s="38"/>
      <c r="BA4347" s="38"/>
      <c r="BB4347" s="38"/>
      <c r="BC4347" s="38"/>
      <c r="BD4347" s="38"/>
      <c r="BE4347" s="38"/>
      <c r="BF4347" s="38"/>
      <c r="BG4347" s="38"/>
      <c r="BH4347" s="38"/>
      <c r="BI4347" s="38"/>
      <c r="BJ4347" s="38"/>
      <c r="BK4347" s="38"/>
      <c r="BL4347" s="38"/>
      <c r="BM4347" s="38"/>
      <c r="BN4347" s="38"/>
      <c r="BO4347" s="38"/>
      <c r="BP4347" s="38"/>
      <c r="BQ4347" s="38"/>
    </row>
    <row r="4348">
      <c r="A4348" s="16"/>
      <c r="B4348" s="145"/>
      <c r="C4348" s="146"/>
      <c r="D4348" s="146"/>
      <c r="E4348" s="16"/>
      <c r="F4348" s="91"/>
      <c r="G4348" s="16"/>
      <c r="H4348" s="320" t="str">
        <f t="shared" si="424"/>
        <v/>
      </c>
      <c r="I4348" s="16"/>
      <c r="J4348" s="16"/>
      <c r="K4348" s="16"/>
      <c r="L4348" s="16"/>
      <c r="M4348" s="15"/>
      <c r="N4348" s="15"/>
      <c r="O4348" s="16"/>
      <c r="P4348" s="16"/>
      <c r="Q4348" s="16"/>
      <c r="R4348" s="16"/>
      <c r="S4348" s="37" t="str">
        <f>IFERROR(__xludf.DUMMYFUNCTION("if(not(iserror(index(split(C4348, "" ""),2))), index(split(C4348, "" ""),1),"""")"),"")</f>
        <v/>
      </c>
      <c r="T4348" s="315" t="str">
        <f>IFERROR(__xludf.DUMMYFUNCTION("if(S4348="""",C4348,if(not(iserror(index(split(C4348, "" ""),3))), index(split(C4348, "" ""),3),index(split(C4348, "" ""),2)))"),"")</f>
        <v/>
      </c>
      <c r="U4348" s="38" t="b">
        <f t="shared" si="423"/>
        <v>0</v>
      </c>
      <c r="V4348" s="38"/>
      <c r="W4348" s="40"/>
      <c r="X4348" s="40"/>
      <c r="Y4348" s="40"/>
      <c r="Z4348" s="38"/>
      <c r="AA4348" s="38"/>
      <c r="AB4348" s="38"/>
      <c r="AC4348" s="38"/>
      <c r="AD4348" s="38"/>
      <c r="AE4348" s="38"/>
      <c r="AF4348" s="38"/>
      <c r="AG4348" s="38"/>
      <c r="AH4348" s="38"/>
      <c r="AI4348" s="38"/>
      <c r="AJ4348" s="38"/>
      <c r="AK4348" s="38"/>
      <c r="AL4348" s="38"/>
      <c r="AM4348" s="38"/>
      <c r="AN4348" s="38"/>
      <c r="AO4348" s="38"/>
      <c r="AP4348" s="38"/>
      <c r="AQ4348" s="38"/>
      <c r="AR4348" s="38"/>
      <c r="AS4348" s="38"/>
      <c r="AT4348" s="38"/>
      <c r="AU4348" s="38"/>
      <c r="AV4348" s="38"/>
      <c r="AW4348" s="38"/>
      <c r="AX4348" s="38"/>
      <c r="AY4348" s="38"/>
      <c r="AZ4348" s="38"/>
      <c r="BA4348" s="38"/>
      <c r="BB4348" s="38"/>
      <c r="BC4348" s="38"/>
      <c r="BD4348" s="38"/>
      <c r="BE4348" s="38"/>
      <c r="BF4348" s="38"/>
      <c r="BG4348" s="38"/>
      <c r="BH4348" s="38"/>
      <c r="BI4348" s="38"/>
      <c r="BJ4348" s="38"/>
      <c r="BK4348" s="38"/>
      <c r="BL4348" s="38"/>
      <c r="BM4348" s="38"/>
      <c r="BN4348" s="38"/>
      <c r="BO4348" s="38"/>
      <c r="BP4348" s="38"/>
      <c r="BQ4348" s="38"/>
    </row>
    <row r="4349">
      <c r="A4349" s="16"/>
      <c r="B4349" s="145"/>
      <c r="C4349" s="146"/>
      <c r="D4349" s="146"/>
      <c r="E4349" s="16"/>
      <c r="F4349" s="91"/>
      <c r="G4349" s="16"/>
      <c r="H4349" s="320" t="str">
        <f t="shared" si="424"/>
        <v/>
      </c>
      <c r="I4349" s="16"/>
      <c r="J4349" s="16"/>
      <c r="K4349" s="16"/>
      <c r="L4349" s="16"/>
      <c r="M4349" s="15"/>
      <c r="N4349" s="15"/>
      <c r="O4349" s="16"/>
      <c r="P4349" s="16"/>
      <c r="Q4349" s="16"/>
      <c r="R4349" s="16"/>
      <c r="S4349" s="37" t="str">
        <f>IFERROR(__xludf.DUMMYFUNCTION("if(not(iserror(index(split(C4349, "" ""),2))), index(split(C4349, "" ""),1),"""")"),"")</f>
        <v/>
      </c>
      <c r="T4349" s="315" t="str">
        <f>IFERROR(__xludf.DUMMYFUNCTION("if(S4349="""",C4349,if(not(iserror(index(split(C4349, "" ""),3))), index(split(C4349, "" ""),3),index(split(C4349, "" ""),2)))"),"")</f>
        <v/>
      </c>
      <c r="U4349" s="38" t="b">
        <f t="shared" si="423"/>
        <v>0</v>
      </c>
      <c r="V4349" s="38"/>
      <c r="W4349" s="40"/>
      <c r="X4349" s="40"/>
      <c r="Y4349" s="40"/>
      <c r="Z4349" s="38"/>
      <c r="AA4349" s="38"/>
      <c r="AB4349" s="38"/>
      <c r="AC4349" s="38"/>
      <c r="AD4349" s="38"/>
      <c r="AE4349" s="38"/>
      <c r="AF4349" s="38"/>
      <c r="AG4349" s="38"/>
      <c r="AH4349" s="38"/>
      <c r="AI4349" s="38"/>
      <c r="AJ4349" s="38"/>
      <c r="AK4349" s="38"/>
      <c r="AL4349" s="38"/>
      <c r="AM4349" s="38"/>
      <c r="AN4349" s="38"/>
      <c r="AO4349" s="38"/>
      <c r="AP4349" s="38"/>
      <c r="AQ4349" s="38"/>
      <c r="AR4349" s="38"/>
      <c r="AS4349" s="38"/>
      <c r="AT4349" s="38"/>
      <c r="AU4349" s="38"/>
      <c r="AV4349" s="38"/>
      <c r="AW4349" s="38"/>
      <c r="AX4349" s="38"/>
      <c r="AY4349" s="38"/>
      <c r="AZ4349" s="38"/>
      <c r="BA4349" s="38"/>
      <c r="BB4349" s="38"/>
      <c r="BC4349" s="38"/>
      <c r="BD4349" s="38"/>
      <c r="BE4349" s="38"/>
      <c r="BF4349" s="38"/>
      <c r="BG4349" s="38"/>
      <c r="BH4349" s="38"/>
      <c r="BI4349" s="38"/>
      <c r="BJ4349" s="38"/>
      <c r="BK4349" s="38"/>
      <c r="BL4349" s="38"/>
      <c r="BM4349" s="38"/>
      <c r="BN4349" s="38"/>
      <c r="BO4349" s="38"/>
      <c r="BP4349" s="38"/>
      <c r="BQ4349" s="38"/>
    </row>
    <row r="4350">
      <c r="A4350" s="16"/>
      <c r="B4350" s="145"/>
      <c r="C4350" s="146"/>
      <c r="D4350" s="146"/>
      <c r="E4350" s="16"/>
      <c r="F4350" s="91"/>
      <c r="G4350" s="16"/>
      <c r="H4350" s="320" t="str">
        <f t="shared" si="424"/>
        <v/>
      </c>
      <c r="I4350" s="16"/>
      <c r="J4350" s="16"/>
      <c r="K4350" s="16"/>
      <c r="L4350" s="16"/>
      <c r="M4350" s="15"/>
      <c r="N4350" s="15"/>
      <c r="O4350" s="16"/>
      <c r="P4350" s="16"/>
      <c r="Q4350" s="16"/>
      <c r="R4350" s="16"/>
      <c r="S4350" s="37" t="str">
        <f>IFERROR(__xludf.DUMMYFUNCTION("if(not(iserror(index(split(C4350, "" ""),2))), index(split(C4350, "" ""),1),"""")"),"")</f>
        <v/>
      </c>
      <c r="T4350" s="315" t="str">
        <f>IFERROR(__xludf.DUMMYFUNCTION("if(S4350="""",C4350,if(not(iserror(index(split(C4350, "" ""),3))), index(split(C4350, "" ""),3),index(split(C4350, "" ""),2)))"),"")</f>
        <v/>
      </c>
      <c r="U4350" s="38" t="b">
        <f t="shared" si="423"/>
        <v>0</v>
      </c>
      <c r="V4350" s="38"/>
      <c r="W4350" s="40"/>
      <c r="X4350" s="40"/>
      <c r="Y4350" s="40"/>
      <c r="Z4350" s="38"/>
      <c r="AA4350" s="38"/>
      <c r="AB4350" s="38"/>
      <c r="AC4350" s="38"/>
      <c r="AD4350" s="38"/>
      <c r="AE4350" s="38"/>
      <c r="AF4350" s="38"/>
      <c r="AG4350" s="38"/>
      <c r="AH4350" s="38"/>
      <c r="AI4350" s="38"/>
      <c r="AJ4350" s="38"/>
      <c r="AK4350" s="38"/>
      <c r="AL4350" s="38"/>
      <c r="AM4350" s="38"/>
      <c r="AN4350" s="38"/>
      <c r="AO4350" s="38"/>
      <c r="AP4350" s="38"/>
      <c r="AQ4350" s="38"/>
      <c r="AR4350" s="38"/>
      <c r="AS4350" s="38"/>
      <c r="AT4350" s="38"/>
      <c r="AU4350" s="38"/>
      <c r="AV4350" s="38"/>
      <c r="AW4350" s="38"/>
      <c r="AX4350" s="38"/>
      <c r="AY4350" s="38"/>
      <c r="AZ4350" s="38"/>
      <c r="BA4350" s="38"/>
      <c r="BB4350" s="38"/>
      <c r="BC4350" s="38"/>
      <c r="BD4350" s="38"/>
      <c r="BE4350" s="38"/>
      <c r="BF4350" s="38"/>
      <c r="BG4350" s="38"/>
      <c r="BH4350" s="38"/>
      <c r="BI4350" s="38"/>
      <c r="BJ4350" s="38"/>
      <c r="BK4350" s="38"/>
      <c r="BL4350" s="38"/>
      <c r="BM4350" s="38"/>
      <c r="BN4350" s="38"/>
      <c r="BO4350" s="38"/>
      <c r="BP4350" s="38"/>
      <c r="BQ4350" s="38"/>
    </row>
    <row r="4351">
      <c r="A4351" s="16"/>
      <c r="B4351" s="145"/>
      <c r="C4351" s="146"/>
      <c r="D4351" s="146"/>
      <c r="E4351" s="16"/>
      <c r="F4351" s="91"/>
      <c r="G4351" s="16"/>
      <c r="H4351" s="320" t="str">
        <f t="shared" si="424"/>
        <v/>
      </c>
      <c r="I4351" s="16"/>
      <c r="J4351" s="16"/>
      <c r="K4351" s="16"/>
      <c r="L4351" s="16"/>
      <c r="M4351" s="15"/>
      <c r="N4351" s="15"/>
      <c r="O4351" s="16"/>
      <c r="P4351" s="16"/>
      <c r="Q4351" s="16"/>
      <c r="R4351" s="16"/>
      <c r="S4351" s="37" t="str">
        <f>IFERROR(__xludf.DUMMYFUNCTION("if(not(iserror(index(split(C4351, "" ""),2))), index(split(C4351, "" ""),1),"""")"),"")</f>
        <v/>
      </c>
      <c r="T4351" s="315" t="str">
        <f>IFERROR(__xludf.DUMMYFUNCTION("if(S4351="""",C4351,if(not(iserror(index(split(C4351, "" ""),3))), index(split(C4351, "" ""),3),index(split(C4351, "" ""),2)))"),"")</f>
        <v/>
      </c>
      <c r="U4351" s="38" t="b">
        <f t="shared" si="423"/>
        <v>0</v>
      </c>
      <c r="V4351" s="38"/>
      <c r="W4351" s="40"/>
      <c r="X4351" s="40"/>
      <c r="Y4351" s="40"/>
      <c r="Z4351" s="38"/>
      <c r="AA4351" s="38"/>
      <c r="AB4351" s="38"/>
      <c r="AC4351" s="38"/>
      <c r="AD4351" s="38"/>
      <c r="AE4351" s="38"/>
      <c r="AF4351" s="38"/>
      <c r="AG4351" s="38"/>
      <c r="AH4351" s="38"/>
      <c r="AI4351" s="38"/>
      <c r="AJ4351" s="38"/>
      <c r="AK4351" s="38"/>
      <c r="AL4351" s="38"/>
      <c r="AM4351" s="38"/>
      <c r="AN4351" s="38"/>
      <c r="AO4351" s="38"/>
      <c r="AP4351" s="38"/>
      <c r="AQ4351" s="38"/>
      <c r="AR4351" s="38"/>
      <c r="AS4351" s="38"/>
      <c r="AT4351" s="38"/>
      <c r="AU4351" s="38"/>
      <c r="AV4351" s="38"/>
      <c r="AW4351" s="38"/>
      <c r="AX4351" s="38"/>
      <c r="AY4351" s="38"/>
      <c r="AZ4351" s="38"/>
      <c r="BA4351" s="38"/>
      <c r="BB4351" s="38"/>
      <c r="BC4351" s="38"/>
      <c r="BD4351" s="38"/>
      <c r="BE4351" s="38"/>
      <c r="BF4351" s="38"/>
      <c r="BG4351" s="38"/>
      <c r="BH4351" s="38"/>
      <c r="BI4351" s="38"/>
      <c r="BJ4351" s="38"/>
      <c r="BK4351" s="38"/>
      <c r="BL4351" s="38"/>
      <c r="BM4351" s="38"/>
      <c r="BN4351" s="38"/>
      <c r="BO4351" s="38"/>
      <c r="BP4351" s="38"/>
      <c r="BQ4351" s="38"/>
    </row>
    <row r="4352">
      <c r="A4352" s="16"/>
      <c r="B4352" s="145"/>
      <c r="C4352" s="146"/>
      <c r="D4352" s="146"/>
      <c r="E4352" s="16"/>
      <c r="F4352" s="91"/>
      <c r="G4352" s="16"/>
      <c r="H4352" s="320" t="str">
        <f t="shared" si="424"/>
        <v/>
      </c>
      <c r="I4352" s="16"/>
      <c r="J4352" s="16"/>
      <c r="K4352" s="16"/>
      <c r="L4352" s="16"/>
      <c r="M4352" s="15"/>
      <c r="N4352" s="15"/>
      <c r="O4352" s="16"/>
      <c r="P4352" s="16"/>
      <c r="Q4352" s="16"/>
      <c r="R4352" s="16"/>
      <c r="S4352" s="37" t="str">
        <f>IFERROR(__xludf.DUMMYFUNCTION("if(not(iserror(index(split(C4352, "" ""),2))), index(split(C4352, "" ""),1),"""")"),"")</f>
        <v/>
      </c>
      <c r="T4352" s="315" t="str">
        <f>IFERROR(__xludf.DUMMYFUNCTION("if(S4352="""",C4352,if(not(iserror(index(split(C4352, "" ""),3))), index(split(C4352, "" ""),3),index(split(C4352, "" ""),2)))"),"")</f>
        <v/>
      </c>
      <c r="U4352" s="38" t="b">
        <f t="shared" si="423"/>
        <v>0</v>
      </c>
      <c r="V4352" s="38"/>
      <c r="W4352" s="40"/>
      <c r="X4352" s="40"/>
      <c r="Y4352" s="40"/>
      <c r="Z4352" s="38"/>
      <c r="AA4352" s="38"/>
      <c r="AB4352" s="38"/>
      <c r="AC4352" s="38"/>
      <c r="AD4352" s="38"/>
      <c r="AE4352" s="38"/>
      <c r="AF4352" s="38"/>
      <c r="AG4352" s="38"/>
      <c r="AH4352" s="38"/>
      <c r="AI4352" s="38"/>
      <c r="AJ4352" s="38"/>
      <c r="AK4352" s="38"/>
      <c r="AL4352" s="38"/>
      <c r="AM4352" s="38"/>
      <c r="AN4352" s="38"/>
      <c r="AO4352" s="38"/>
      <c r="AP4352" s="38"/>
      <c r="AQ4352" s="38"/>
      <c r="AR4352" s="38"/>
      <c r="AS4352" s="38"/>
      <c r="AT4352" s="38"/>
      <c r="AU4352" s="38"/>
      <c r="AV4352" s="38"/>
      <c r="AW4352" s="38"/>
      <c r="AX4352" s="38"/>
      <c r="AY4352" s="38"/>
      <c r="AZ4352" s="38"/>
      <c r="BA4352" s="38"/>
      <c r="BB4352" s="38"/>
      <c r="BC4352" s="38"/>
      <c r="BD4352" s="38"/>
      <c r="BE4352" s="38"/>
      <c r="BF4352" s="38"/>
      <c r="BG4352" s="38"/>
      <c r="BH4352" s="38"/>
      <c r="BI4352" s="38"/>
      <c r="BJ4352" s="38"/>
      <c r="BK4352" s="38"/>
      <c r="BL4352" s="38"/>
      <c r="BM4352" s="38"/>
      <c r="BN4352" s="38"/>
      <c r="BO4352" s="38"/>
      <c r="BP4352" s="38"/>
      <c r="BQ4352" s="38"/>
    </row>
    <row r="4353">
      <c r="A4353" s="16"/>
      <c r="B4353" s="145"/>
      <c r="C4353" s="146"/>
      <c r="D4353" s="146"/>
      <c r="E4353" s="16"/>
      <c r="F4353" s="91"/>
      <c r="G4353" s="16"/>
      <c r="H4353" s="320" t="str">
        <f t="shared" si="424"/>
        <v/>
      </c>
      <c r="I4353" s="16"/>
      <c r="J4353" s="16"/>
      <c r="K4353" s="16"/>
      <c r="L4353" s="16"/>
      <c r="M4353" s="15"/>
      <c r="N4353" s="15"/>
      <c r="O4353" s="16"/>
      <c r="P4353" s="16"/>
      <c r="Q4353" s="16"/>
      <c r="R4353" s="16"/>
      <c r="S4353" s="37" t="str">
        <f>IFERROR(__xludf.DUMMYFUNCTION("if(not(iserror(index(split(C4353, "" ""),2))), index(split(C4353, "" ""),1),"""")"),"")</f>
        <v/>
      </c>
      <c r="T4353" s="315" t="str">
        <f>IFERROR(__xludf.DUMMYFUNCTION("if(S4353="""",C4353,if(not(iserror(index(split(C4353, "" ""),3))), index(split(C4353, "" ""),3),index(split(C4353, "" ""),2)))"),"")</f>
        <v/>
      </c>
      <c r="U4353" s="38" t="b">
        <f t="shared" si="423"/>
        <v>0</v>
      </c>
      <c r="V4353" s="38"/>
      <c r="W4353" s="40"/>
      <c r="X4353" s="40"/>
      <c r="Y4353" s="40"/>
      <c r="Z4353" s="38"/>
      <c r="AA4353" s="38"/>
      <c r="AB4353" s="38"/>
      <c r="AC4353" s="38"/>
      <c r="AD4353" s="38"/>
      <c r="AE4353" s="38"/>
      <c r="AF4353" s="38"/>
      <c r="AG4353" s="38"/>
      <c r="AH4353" s="38"/>
      <c r="AI4353" s="38"/>
      <c r="AJ4353" s="38"/>
      <c r="AK4353" s="38"/>
      <c r="AL4353" s="38"/>
      <c r="AM4353" s="38"/>
      <c r="AN4353" s="38"/>
      <c r="AO4353" s="38"/>
      <c r="AP4353" s="38"/>
      <c r="AQ4353" s="38"/>
      <c r="AR4353" s="38"/>
      <c r="AS4353" s="38"/>
      <c r="AT4353" s="38"/>
      <c r="AU4353" s="38"/>
      <c r="AV4353" s="38"/>
      <c r="AW4353" s="38"/>
      <c r="AX4353" s="38"/>
      <c r="AY4353" s="38"/>
      <c r="AZ4353" s="38"/>
      <c r="BA4353" s="38"/>
      <c r="BB4353" s="38"/>
      <c r="BC4353" s="38"/>
      <c r="BD4353" s="38"/>
      <c r="BE4353" s="38"/>
      <c r="BF4353" s="38"/>
      <c r="BG4353" s="38"/>
      <c r="BH4353" s="38"/>
      <c r="BI4353" s="38"/>
      <c r="BJ4353" s="38"/>
      <c r="BK4353" s="38"/>
      <c r="BL4353" s="38"/>
      <c r="BM4353" s="38"/>
      <c r="BN4353" s="38"/>
      <c r="BO4353" s="38"/>
      <c r="BP4353" s="38"/>
      <c r="BQ4353" s="38"/>
    </row>
    <row r="4354">
      <c r="A4354" s="16"/>
      <c r="B4354" s="145"/>
      <c r="C4354" s="146"/>
      <c r="D4354" s="146"/>
      <c r="E4354" s="16"/>
      <c r="F4354" s="91"/>
      <c r="G4354" s="16"/>
      <c r="H4354" s="320" t="str">
        <f t="shared" si="424"/>
        <v/>
      </c>
      <c r="I4354" s="16"/>
      <c r="J4354" s="16"/>
      <c r="K4354" s="16"/>
      <c r="L4354" s="16"/>
      <c r="M4354" s="15"/>
      <c r="N4354" s="15"/>
      <c r="O4354" s="16"/>
      <c r="P4354" s="16"/>
      <c r="Q4354" s="16"/>
      <c r="R4354" s="16"/>
      <c r="S4354" s="37" t="str">
        <f>IFERROR(__xludf.DUMMYFUNCTION("if(not(iserror(index(split(C4354, "" ""),2))), index(split(C4354, "" ""),1),"""")"),"")</f>
        <v/>
      </c>
      <c r="T4354" s="315" t="str">
        <f>IFERROR(__xludf.DUMMYFUNCTION("if(S4354="""",C4354,if(not(iserror(index(split(C4354, "" ""),3))), index(split(C4354, "" ""),3),index(split(C4354, "" ""),2)))"),"")</f>
        <v/>
      </c>
      <c r="U4354" s="38" t="b">
        <f t="shared" si="423"/>
        <v>0</v>
      </c>
      <c r="V4354" s="38"/>
      <c r="W4354" s="40"/>
      <c r="X4354" s="40"/>
      <c r="Y4354" s="40"/>
      <c r="Z4354" s="38"/>
      <c r="AA4354" s="38"/>
      <c r="AB4354" s="38"/>
      <c r="AC4354" s="38"/>
      <c r="AD4354" s="38"/>
      <c r="AE4354" s="38"/>
      <c r="AF4354" s="38"/>
      <c r="AG4354" s="38"/>
      <c r="AH4354" s="38"/>
      <c r="AI4354" s="38"/>
      <c r="AJ4354" s="38"/>
      <c r="AK4354" s="38"/>
      <c r="AL4354" s="38"/>
      <c r="AM4354" s="38"/>
      <c r="AN4354" s="38"/>
      <c r="AO4354" s="38"/>
      <c r="AP4354" s="38"/>
      <c r="AQ4354" s="38"/>
      <c r="AR4354" s="38"/>
      <c r="AS4354" s="38"/>
      <c r="AT4354" s="38"/>
      <c r="AU4354" s="38"/>
      <c r="AV4354" s="38"/>
      <c r="AW4354" s="38"/>
      <c r="AX4354" s="38"/>
      <c r="AY4354" s="38"/>
      <c r="AZ4354" s="38"/>
      <c r="BA4354" s="38"/>
      <c r="BB4354" s="38"/>
      <c r="BC4354" s="38"/>
      <c r="BD4354" s="38"/>
      <c r="BE4354" s="38"/>
      <c r="BF4354" s="38"/>
      <c r="BG4354" s="38"/>
      <c r="BH4354" s="38"/>
      <c r="BI4354" s="38"/>
      <c r="BJ4354" s="38"/>
      <c r="BK4354" s="38"/>
      <c r="BL4354" s="38"/>
      <c r="BM4354" s="38"/>
      <c r="BN4354" s="38"/>
      <c r="BO4354" s="38"/>
      <c r="BP4354" s="38"/>
      <c r="BQ4354" s="38"/>
    </row>
    <row r="4355">
      <c r="A4355" s="16"/>
      <c r="B4355" s="145"/>
      <c r="C4355" s="146"/>
      <c r="D4355" s="146"/>
      <c r="E4355" s="16"/>
      <c r="F4355" s="91"/>
      <c r="G4355" s="16"/>
      <c r="H4355" s="320" t="str">
        <f t="shared" si="424"/>
        <v/>
      </c>
      <c r="I4355" s="16"/>
      <c r="J4355" s="16"/>
      <c r="K4355" s="16"/>
      <c r="L4355" s="16"/>
      <c r="M4355" s="15"/>
      <c r="N4355" s="15"/>
      <c r="O4355" s="16"/>
      <c r="P4355" s="16"/>
      <c r="Q4355" s="16"/>
      <c r="R4355" s="16"/>
      <c r="S4355" s="37" t="str">
        <f>IFERROR(__xludf.DUMMYFUNCTION("if(not(iserror(index(split(C4355, "" ""),2))), index(split(C4355, "" ""),1),"""")"),"")</f>
        <v/>
      </c>
      <c r="T4355" s="315" t="str">
        <f>IFERROR(__xludf.DUMMYFUNCTION("if(S4355="""",C4355,if(not(iserror(index(split(C4355, "" ""),3))), index(split(C4355, "" ""),3),index(split(C4355, "" ""),2)))"),"")</f>
        <v/>
      </c>
      <c r="U4355" s="38" t="b">
        <f t="shared" si="423"/>
        <v>0</v>
      </c>
      <c r="V4355" s="38"/>
      <c r="W4355" s="40"/>
      <c r="X4355" s="40"/>
      <c r="Y4355" s="40"/>
      <c r="Z4355" s="38"/>
      <c r="AA4355" s="38"/>
      <c r="AB4355" s="38"/>
      <c r="AC4355" s="38"/>
      <c r="AD4355" s="38"/>
      <c r="AE4355" s="38"/>
      <c r="AF4355" s="38"/>
      <c r="AG4355" s="38"/>
      <c r="AH4355" s="38"/>
      <c r="AI4355" s="38"/>
      <c r="AJ4355" s="38"/>
      <c r="AK4355" s="38"/>
      <c r="AL4355" s="38"/>
      <c r="AM4355" s="38"/>
      <c r="AN4355" s="38"/>
      <c r="AO4355" s="38"/>
      <c r="AP4355" s="38"/>
      <c r="AQ4355" s="38"/>
      <c r="AR4355" s="38"/>
      <c r="AS4355" s="38"/>
      <c r="AT4355" s="38"/>
      <c r="AU4355" s="38"/>
      <c r="AV4355" s="38"/>
      <c r="AW4355" s="38"/>
      <c r="AX4355" s="38"/>
      <c r="AY4355" s="38"/>
      <c r="AZ4355" s="38"/>
      <c r="BA4355" s="38"/>
      <c r="BB4355" s="38"/>
      <c r="BC4355" s="38"/>
      <c r="BD4355" s="38"/>
      <c r="BE4355" s="38"/>
      <c r="BF4355" s="38"/>
      <c r="BG4355" s="38"/>
      <c r="BH4355" s="38"/>
      <c r="BI4355" s="38"/>
      <c r="BJ4355" s="38"/>
      <c r="BK4355" s="38"/>
      <c r="BL4355" s="38"/>
      <c r="BM4355" s="38"/>
      <c r="BN4355" s="38"/>
      <c r="BO4355" s="38"/>
      <c r="BP4355" s="38"/>
      <c r="BQ4355" s="38"/>
    </row>
    <row r="4356">
      <c r="A4356" s="16"/>
      <c r="B4356" s="145"/>
      <c r="C4356" s="146"/>
      <c r="D4356" s="146"/>
      <c r="E4356" s="16"/>
      <c r="F4356" s="91"/>
      <c r="G4356" s="16"/>
      <c r="H4356" s="320" t="str">
        <f t="shared" si="424"/>
        <v/>
      </c>
      <c r="I4356" s="16"/>
      <c r="J4356" s="16"/>
      <c r="K4356" s="16"/>
      <c r="L4356" s="16"/>
      <c r="M4356" s="15"/>
      <c r="N4356" s="15"/>
      <c r="O4356" s="16"/>
      <c r="P4356" s="16"/>
      <c r="Q4356" s="16"/>
      <c r="R4356" s="16"/>
      <c r="S4356" s="37" t="str">
        <f>IFERROR(__xludf.DUMMYFUNCTION("if(not(iserror(index(split(C4356, "" ""),2))), index(split(C4356, "" ""),1),"""")"),"")</f>
        <v/>
      </c>
      <c r="T4356" s="315" t="str">
        <f>IFERROR(__xludf.DUMMYFUNCTION("if(S4356="""",C4356,if(not(iserror(index(split(C4356, "" ""),3))), index(split(C4356, "" ""),3),index(split(C4356, "" ""),2)))"),"")</f>
        <v/>
      </c>
      <c r="U4356" s="38" t="b">
        <f t="shared" si="423"/>
        <v>0</v>
      </c>
      <c r="V4356" s="38"/>
      <c r="W4356" s="40"/>
      <c r="X4356" s="40"/>
      <c r="Y4356" s="40"/>
      <c r="Z4356" s="38"/>
      <c r="AA4356" s="38"/>
      <c r="AB4356" s="38"/>
      <c r="AC4356" s="38"/>
      <c r="AD4356" s="38"/>
      <c r="AE4356" s="38"/>
      <c r="AF4356" s="38"/>
      <c r="AG4356" s="38"/>
      <c r="AH4356" s="38"/>
      <c r="AI4356" s="38"/>
      <c r="AJ4356" s="38"/>
      <c r="AK4356" s="38"/>
      <c r="AL4356" s="38"/>
      <c r="AM4356" s="38"/>
      <c r="AN4356" s="38"/>
      <c r="AO4356" s="38"/>
      <c r="AP4356" s="38"/>
      <c r="AQ4356" s="38"/>
      <c r="AR4356" s="38"/>
      <c r="AS4356" s="38"/>
      <c r="AT4356" s="38"/>
      <c r="AU4356" s="38"/>
      <c r="AV4356" s="38"/>
      <c r="AW4356" s="38"/>
      <c r="AX4356" s="38"/>
      <c r="AY4356" s="38"/>
      <c r="AZ4356" s="38"/>
      <c r="BA4356" s="38"/>
      <c r="BB4356" s="38"/>
      <c r="BC4356" s="38"/>
      <c r="BD4356" s="38"/>
      <c r="BE4356" s="38"/>
      <c r="BF4356" s="38"/>
      <c r="BG4356" s="38"/>
      <c r="BH4356" s="38"/>
      <c r="BI4356" s="38"/>
      <c r="BJ4356" s="38"/>
      <c r="BK4356" s="38"/>
      <c r="BL4356" s="38"/>
      <c r="BM4356" s="38"/>
      <c r="BN4356" s="38"/>
      <c r="BO4356" s="38"/>
      <c r="BP4356" s="38"/>
      <c r="BQ4356" s="38"/>
    </row>
    <row r="4357">
      <c r="A4357" s="16"/>
      <c r="B4357" s="145"/>
      <c r="C4357" s="146"/>
      <c r="D4357" s="146"/>
      <c r="E4357" s="16"/>
      <c r="F4357" s="91"/>
      <c r="G4357" s="16"/>
      <c r="H4357" s="320" t="str">
        <f t="shared" si="424"/>
        <v/>
      </c>
      <c r="I4357" s="16"/>
      <c r="J4357" s="16"/>
      <c r="K4357" s="16"/>
      <c r="L4357" s="16"/>
      <c r="M4357" s="15"/>
      <c r="N4357" s="15"/>
      <c r="O4357" s="16"/>
      <c r="P4357" s="16"/>
      <c r="Q4357" s="16"/>
      <c r="R4357" s="16"/>
      <c r="S4357" s="37" t="str">
        <f>IFERROR(__xludf.DUMMYFUNCTION("if(not(iserror(index(split(C4357, "" ""),2))), index(split(C4357, "" ""),1),"""")"),"")</f>
        <v/>
      </c>
      <c r="T4357" s="315" t="str">
        <f>IFERROR(__xludf.DUMMYFUNCTION("if(S4357="""",C4357,if(not(iserror(index(split(C4357, "" ""),3))), index(split(C4357, "" ""),3),index(split(C4357, "" ""),2)))"),"")</f>
        <v/>
      </c>
      <c r="U4357" s="38" t="b">
        <f t="shared" si="423"/>
        <v>0</v>
      </c>
      <c r="V4357" s="38"/>
      <c r="W4357" s="40"/>
      <c r="X4357" s="40"/>
      <c r="Y4357" s="40"/>
      <c r="Z4357" s="38"/>
      <c r="AA4357" s="38"/>
      <c r="AB4357" s="38"/>
      <c r="AC4357" s="38"/>
      <c r="AD4357" s="38"/>
      <c r="AE4357" s="38"/>
      <c r="AF4357" s="38"/>
      <c r="AG4357" s="38"/>
      <c r="AH4357" s="38"/>
      <c r="AI4357" s="38"/>
      <c r="AJ4357" s="38"/>
      <c r="AK4357" s="38"/>
      <c r="AL4357" s="38"/>
      <c r="AM4357" s="38"/>
      <c r="AN4357" s="38"/>
      <c r="AO4357" s="38"/>
      <c r="AP4357" s="38"/>
      <c r="AQ4357" s="38"/>
      <c r="AR4357" s="38"/>
      <c r="AS4357" s="38"/>
      <c r="AT4357" s="38"/>
      <c r="AU4357" s="38"/>
      <c r="AV4357" s="38"/>
      <c r="AW4357" s="38"/>
      <c r="AX4357" s="38"/>
      <c r="AY4357" s="38"/>
      <c r="AZ4357" s="38"/>
      <c r="BA4357" s="38"/>
      <c r="BB4357" s="38"/>
      <c r="BC4357" s="38"/>
      <c r="BD4357" s="38"/>
      <c r="BE4357" s="38"/>
      <c r="BF4357" s="38"/>
      <c r="BG4357" s="38"/>
      <c r="BH4357" s="38"/>
      <c r="BI4357" s="38"/>
      <c r="BJ4357" s="38"/>
      <c r="BK4357" s="38"/>
      <c r="BL4357" s="38"/>
      <c r="BM4357" s="38"/>
      <c r="BN4357" s="38"/>
      <c r="BO4357" s="38"/>
      <c r="BP4357" s="38"/>
      <c r="BQ4357" s="38"/>
    </row>
    <row r="4358">
      <c r="A4358" s="16"/>
      <c r="B4358" s="145"/>
      <c r="C4358" s="146"/>
      <c r="D4358" s="146"/>
      <c r="E4358" s="16"/>
      <c r="F4358" s="91"/>
      <c r="G4358" s="16"/>
      <c r="H4358" s="320" t="str">
        <f t="shared" si="424"/>
        <v/>
      </c>
      <c r="I4358" s="16"/>
      <c r="J4358" s="16"/>
      <c r="K4358" s="16"/>
      <c r="L4358" s="16"/>
      <c r="M4358" s="15"/>
      <c r="N4358" s="15"/>
      <c r="O4358" s="16"/>
      <c r="P4358" s="16"/>
      <c r="Q4358" s="16"/>
      <c r="R4358" s="16"/>
      <c r="S4358" s="37" t="str">
        <f>IFERROR(__xludf.DUMMYFUNCTION("if(not(iserror(index(split(C4358, "" ""),2))), index(split(C4358, "" ""),1),"""")"),"")</f>
        <v/>
      </c>
      <c r="T4358" s="315" t="str">
        <f>IFERROR(__xludf.DUMMYFUNCTION("if(S4358="""",C4358,if(not(iserror(index(split(C4358, "" ""),3))), index(split(C4358, "" ""),3),index(split(C4358, "" ""),2)))"),"")</f>
        <v/>
      </c>
      <c r="U4358" s="38" t="b">
        <f t="shared" si="423"/>
        <v>0</v>
      </c>
      <c r="V4358" s="38"/>
      <c r="W4358" s="40"/>
      <c r="X4358" s="40"/>
      <c r="Y4358" s="40"/>
      <c r="Z4358" s="38"/>
      <c r="AA4358" s="38"/>
      <c r="AB4358" s="38"/>
      <c r="AC4358" s="38"/>
      <c r="AD4358" s="38"/>
      <c r="AE4358" s="38"/>
      <c r="AF4358" s="38"/>
      <c r="AG4358" s="38"/>
      <c r="AH4358" s="38"/>
      <c r="AI4358" s="38"/>
      <c r="AJ4358" s="38"/>
      <c r="AK4358" s="38"/>
      <c r="AL4358" s="38"/>
      <c r="AM4358" s="38"/>
      <c r="AN4358" s="38"/>
      <c r="AO4358" s="38"/>
      <c r="AP4358" s="38"/>
      <c r="AQ4358" s="38"/>
      <c r="AR4358" s="38"/>
      <c r="AS4358" s="38"/>
      <c r="AT4358" s="38"/>
      <c r="AU4358" s="38"/>
      <c r="AV4358" s="38"/>
      <c r="AW4358" s="38"/>
      <c r="AX4358" s="38"/>
      <c r="AY4358" s="38"/>
      <c r="AZ4358" s="38"/>
      <c r="BA4358" s="38"/>
      <c r="BB4358" s="38"/>
      <c r="BC4358" s="38"/>
      <c r="BD4358" s="38"/>
      <c r="BE4358" s="38"/>
      <c r="BF4358" s="38"/>
      <c r="BG4358" s="38"/>
      <c r="BH4358" s="38"/>
      <c r="BI4358" s="38"/>
      <c r="BJ4358" s="38"/>
      <c r="BK4358" s="38"/>
      <c r="BL4358" s="38"/>
      <c r="BM4358" s="38"/>
      <c r="BN4358" s="38"/>
      <c r="BO4358" s="38"/>
      <c r="BP4358" s="38"/>
      <c r="BQ4358" s="38"/>
    </row>
    <row r="4359">
      <c r="A4359" s="16"/>
      <c r="B4359" s="145"/>
      <c r="C4359" s="146"/>
      <c r="D4359" s="146"/>
      <c r="E4359" s="16"/>
      <c r="F4359" s="91"/>
      <c r="G4359" s="16"/>
      <c r="H4359" s="320" t="str">
        <f t="shared" si="424"/>
        <v/>
      </c>
      <c r="I4359" s="16"/>
      <c r="J4359" s="16"/>
      <c r="K4359" s="16"/>
      <c r="L4359" s="16"/>
      <c r="M4359" s="15"/>
      <c r="N4359" s="15"/>
      <c r="O4359" s="16"/>
      <c r="P4359" s="16"/>
      <c r="Q4359" s="16"/>
      <c r="R4359" s="16"/>
      <c r="S4359" s="37" t="str">
        <f>IFERROR(__xludf.DUMMYFUNCTION("if(not(iserror(index(split(C4359, "" ""),2))), index(split(C4359, "" ""),1),"""")"),"")</f>
        <v/>
      </c>
      <c r="T4359" s="315" t="str">
        <f>IFERROR(__xludf.DUMMYFUNCTION("if(S4359="""",C4359,if(not(iserror(index(split(C4359, "" ""),3))), index(split(C4359, "" ""),3),index(split(C4359, "" ""),2)))"),"")</f>
        <v/>
      </c>
      <c r="U4359" s="38" t="b">
        <f t="shared" si="423"/>
        <v>0</v>
      </c>
      <c r="V4359" s="38"/>
      <c r="W4359" s="40"/>
      <c r="X4359" s="40"/>
      <c r="Y4359" s="40"/>
      <c r="Z4359" s="38"/>
      <c r="AA4359" s="38"/>
      <c r="AB4359" s="38"/>
      <c r="AC4359" s="38"/>
      <c r="AD4359" s="38"/>
      <c r="AE4359" s="38"/>
      <c r="AF4359" s="38"/>
      <c r="AG4359" s="38"/>
      <c r="AH4359" s="38"/>
      <c r="AI4359" s="38"/>
      <c r="AJ4359" s="38"/>
      <c r="AK4359" s="38"/>
      <c r="AL4359" s="38"/>
      <c r="AM4359" s="38"/>
      <c r="AN4359" s="38"/>
      <c r="AO4359" s="38"/>
      <c r="AP4359" s="38"/>
      <c r="AQ4359" s="38"/>
      <c r="AR4359" s="38"/>
      <c r="AS4359" s="38"/>
      <c r="AT4359" s="38"/>
      <c r="AU4359" s="38"/>
      <c r="AV4359" s="38"/>
      <c r="AW4359" s="38"/>
      <c r="AX4359" s="38"/>
      <c r="AY4359" s="38"/>
      <c r="AZ4359" s="38"/>
      <c r="BA4359" s="38"/>
      <c r="BB4359" s="38"/>
      <c r="BC4359" s="38"/>
      <c r="BD4359" s="38"/>
      <c r="BE4359" s="38"/>
      <c r="BF4359" s="38"/>
      <c r="BG4359" s="38"/>
      <c r="BH4359" s="38"/>
      <c r="BI4359" s="38"/>
      <c r="BJ4359" s="38"/>
      <c r="BK4359" s="38"/>
      <c r="BL4359" s="38"/>
      <c r="BM4359" s="38"/>
      <c r="BN4359" s="38"/>
      <c r="BO4359" s="38"/>
      <c r="BP4359" s="38"/>
      <c r="BQ4359" s="38"/>
    </row>
    <row r="4360">
      <c r="A4360" s="16"/>
      <c r="B4360" s="145"/>
      <c r="C4360" s="146"/>
      <c r="D4360" s="146"/>
      <c r="E4360" s="16"/>
      <c r="F4360" s="91"/>
      <c r="G4360" s="16"/>
      <c r="H4360" s="320" t="str">
        <f t="shared" si="424"/>
        <v/>
      </c>
      <c r="I4360" s="16"/>
      <c r="J4360" s="16"/>
      <c r="K4360" s="16"/>
      <c r="L4360" s="16"/>
      <c r="M4360" s="15"/>
      <c r="N4360" s="15"/>
      <c r="O4360" s="16"/>
      <c r="P4360" s="16"/>
      <c r="Q4360" s="16"/>
      <c r="R4360" s="16"/>
      <c r="S4360" s="37" t="str">
        <f>IFERROR(__xludf.DUMMYFUNCTION("if(not(iserror(index(split(C4360, "" ""),2))), index(split(C4360, "" ""),1),"""")"),"")</f>
        <v/>
      </c>
      <c r="T4360" s="315" t="str">
        <f>IFERROR(__xludf.DUMMYFUNCTION("if(S4360="""",C4360,if(not(iserror(index(split(C4360, "" ""),3))), index(split(C4360, "" ""),3),index(split(C4360, "" ""),2)))"),"")</f>
        <v/>
      </c>
      <c r="U4360" s="38" t="b">
        <f t="shared" si="423"/>
        <v>0</v>
      </c>
      <c r="V4360" s="38"/>
      <c r="W4360" s="40"/>
      <c r="X4360" s="40"/>
      <c r="Y4360" s="40"/>
      <c r="Z4360" s="38"/>
      <c r="AA4360" s="38"/>
      <c r="AB4360" s="38"/>
      <c r="AC4360" s="38"/>
      <c r="AD4360" s="38"/>
      <c r="AE4360" s="38"/>
      <c r="AF4360" s="38"/>
      <c r="AG4360" s="38"/>
      <c r="AH4360" s="38"/>
      <c r="AI4360" s="38"/>
      <c r="AJ4360" s="38"/>
      <c r="AK4360" s="38"/>
      <c r="AL4360" s="38"/>
      <c r="AM4360" s="38"/>
      <c r="AN4360" s="38"/>
      <c r="AO4360" s="38"/>
      <c r="AP4360" s="38"/>
      <c r="AQ4360" s="38"/>
      <c r="AR4360" s="38"/>
      <c r="AS4360" s="38"/>
      <c r="AT4360" s="38"/>
      <c r="AU4360" s="38"/>
      <c r="AV4360" s="38"/>
      <c r="AW4360" s="38"/>
      <c r="AX4360" s="38"/>
      <c r="AY4360" s="38"/>
      <c r="AZ4360" s="38"/>
      <c r="BA4360" s="38"/>
      <c r="BB4360" s="38"/>
      <c r="BC4360" s="38"/>
      <c r="BD4360" s="38"/>
      <c r="BE4360" s="38"/>
      <c r="BF4360" s="38"/>
      <c r="BG4360" s="38"/>
      <c r="BH4360" s="38"/>
      <c r="BI4360" s="38"/>
      <c r="BJ4360" s="38"/>
      <c r="BK4360" s="38"/>
      <c r="BL4360" s="38"/>
      <c r="BM4360" s="38"/>
      <c r="BN4360" s="38"/>
      <c r="BO4360" s="38"/>
      <c r="BP4360" s="38"/>
      <c r="BQ4360" s="38"/>
    </row>
    <row r="4361">
      <c r="A4361" s="16"/>
      <c r="B4361" s="145"/>
      <c r="C4361" s="146"/>
      <c r="D4361" s="146"/>
      <c r="E4361" s="16"/>
      <c r="F4361" s="91"/>
      <c r="G4361" s="16"/>
      <c r="H4361" s="320" t="str">
        <f t="shared" si="424"/>
        <v/>
      </c>
      <c r="I4361" s="16"/>
      <c r="J4361" s="16"/>
      <c r="K4361" s="16"/>
      <c r="L4361" s="16"/>
      <c r="M4361" s="15"/>
      <c r="N4361" s="15"/>
      <c r="O4361" s="16"/>
      <c r="P4361" s="16"/>
      <c r="Q4361" s="16"/>
      <c r="R4361" s="16"/>
      <c r="S4361" s="37" t="str">
        <f>IFERROR(__xludf.DUMMYFUNCTION("if(not(iserror(index(split(C4361, "" ""),2))), index(split(C4361, "" ""),1),"""")"),"")</f>
        <v/>
      </c>
      <c r="T4361" s="315" t="str">
        <f>IFERROR(__xludf.DUMMYFUNCTION("if(S4361="""",C4361,if(not(iserror(index(split(C4361, "" ""),3))), index(split(C4361, "" ""),3),index(split(C4361, "" ""),2)))"),"")</f>
        <v/>
      </c>
      <c r="U4361" s="38" t="b">
        <f t="shared" si="423"/>
        <v>0</v>
      </c>
      <c r="V4361" s="38"/>
      <c r="W4361" s="40"/>
      <c r="X4361" s="40"/>
      <c r="Y4361" s="40"/>
      <c r="Z4361" s="38"/>
      <c r="AA4361" s="38"/>
      <c r="AB4361" s="38"/>
      <c r="AC4361" s="38"/>
      <c r="AD4361" s="38"/>
      <c r="AE4361" s="38"/>
      <c r="AF4361" s="38"/>
      <c r="AG4361" s="38"/>
      <c r="AH4361" s="38"/>
      <c r="AI4361" s="38"/>
      <c r="AJ4361" s="38"/>
      <c r="AK4361" s="38"/>
      <c r="AL4361" s="38"/>
      <c r="AM4361" s="38"/>
      <c r="AN4361" s="38"/>
      <c r="AO4361" s="38"/>
      <c r="AP4361" s="38"/>
      <c r="AQ4361" s="38"/>
      <c r="AR4361" s="38"/>
      <c r="AS4361" s="38"/>
      <c r="AT4361" s="38"/>
      <c r="AU4361" s="38"/>
      <c r="AV4361" s="38"/>
      <c r="AW4361" s="38"/>
      <c r="AX4361" s="38"/>
      <c r="AY4361" s="38"/>
      <c r="AZ4361" s="38"/>
      <c r="BA4361" s="38"/>
      <c r="BB4361" s="38"/>
      <c r="BC4361" s="38"/>
      <c r="BD4361" s="38"/>
      <c r="BE4361" s="38"/>
      <c r="BF4361" s="38"/>
      <c r="BG4361" s="38"/>
      <c r="BH4361" s="38"/>
      <c r="BI4361" s="38"/>
      <c r="BJ4361" s="38"/>
      <c r="BK4361" s="38"/>
      <c r="BL4361" s="38"/>
      <c r="BM4361" s="38"/>
      <c r="BN4361" s="38"/>
      <c r="BO4361" s="38"/>
      <c r="BP4361" s="38"/>
      <c r="BQ4361" s="38"/>
    </row>
    <row r="4362">
      <c r="A4362" s="16"/>
      <c r="B4362" s="145"/>
      <c r="C4362" s="146"/>
      <c r="D4362" s="146"/>
      <c r="E4362" s="16"/>
      <c r="F4362" s="91"/>
      <c r="G4362" s="16"/>
      <c r="H4362" s="320" t="str">
        <f t="shared" si="424"/>
        <v/>
      </c>
      <c r="I4362" s="16"/>
      <c r="J4362" s="16"/>
      <c r="K4362" s="16"/>
      <c r="L4362" s="16"/>
      <c r="M4362" s="15"/>
      <c r="N4362" s="15"/>
      <c r="O4362" s="16"/>
      <c r="P4362" s="16"/>
      <c r="Q4362" s="16"/>
      <c r="R4362" s="16"/>
      <c r="S4362" s="37" t="str">
        <f>IFERROR(__xludf.DUMMYFUNCTION("if(not(iserror(index(split(C4362, "" ""),2))), index(split(C4362, "" ""),1),"""")"),"")</f>
        <v/>
      </c>
      <c r="T4362" s="315" t="str">
        <f>IFERROR(__xludf.DUMMYFUNCTION("if(S4362="""",C4362,if(not(iserror(index(split(C4362, "" ""),3))), index(split(C4362, "" ""),3),index(split(C4362, "" ""),2)))"),"")</f>
        <v/>
      </c>
      <c r="U4362" s="38" t="b">
        <f t="shared" si="423"/>
        <v>0</v>
      </c>
      <c r="V4362" s="38"/>
      <c r="W4362" s="40"/>
      <c r="X4362" s="40"/>
      <c r="Y4362" s="40"/>
      <c r="Z4362" s="38"/>
      <c r="AA4362" s="38"/>
      <c r="AB4362" s="38"/>
      <c r="AC4362" s="38"/>
      <c r="AD4362" s="38"/>
      <c r="AE4362" s="38"/>
      <c r="AF4362" s="38"/>
      <c r="AG4362" s="38"/>
      <c r="AH4362" s="38"/>
      <c r="AI4362" s="38"/>
      <c r="AJ4362" s="38"/>
      <c r="AK4362" s="38"/>
      <c r="AL4362" s="38"/>
      <c r="AM4362" s="38"/>
      <c r="AN4362" s="38"/>
      <c r="AO4362" s="38"/>
      <c r="AP4362" s="38"/>
      <c r="AQ4362" s="38"/>
      <c r="AR4362" s="38"/>
      <c r="AS4362" s="38"/>
      <c r="AT4362" s="38"/>
      <c r="AU4362" s="38"/>
      <c r="AV4362" s="38"/>
      <c r="AW4362" s="38"/>
      <c r="AX4362" s="38"/>
      <c r="AY4362" s="38"/>
      <c r="AZ4362" s="38"/>
      <c r="BA4362" s="38"/>
      <c r="BB4362" s="38"/>
      <c r="BC4362" s="38"/>
      <c r="BD4362" s="38"/>
      <c r="BE4362" s="38"/>
      <c r="BF4362" s="38"/>
      <c r="BG4362" s="38"/>
      <c r="BH4362" s="38"/>
      <c r="BI4362" s="38"/>
      <c r="BJ4362" s="38"/>
      <c r="BK4362" s="38"/>
      <c r="BL4362" s="38"/>
      <c r="BM4362" s="38"/>
      <c r="BN4362" s="38"/>
      <c r="BO4362" s="38"/>
      <c r="BP4362" s="38"/>
      <c r="BQ4362" s="38"/>
    </row>
    <row r="4363">
      <c r="A4363" s="16"/>
      <c r="B4363" s="145"/>
      <c r="C4363" s="146"/>
      <c r="D4363" s="146"/>
      <c r="E4363" s="16"/>
      <c r="F4363" s="91"/>
      <c r="G4363" s="16"/>
      <c r="H4363" s="320" t="str">
        <f t="shared" si="424"/>
        <v/>
      </c>
      <c r="I4363" s="16"/>
      <c r="J4363" s="16"/>
      <c r="K4363" s="16"/>
      <c r="L4363" s="16"/>
      <c r="M4363" s="15"/>
      <c r="N4363" s="15"/>
      <c r="O4363" s="16"/>
      <c r="P4363" s="16"/>
      <c r="Q4363" s="16"/>
      <c r="R4363" s="16"/>
      <c r="S4363" s="37" t="str">
        <f>IFERROR(__xludf.DUMMYFUNCTION("if(not(iserror(index(split(C4363, "" ""),2))), index(split(C4363, "" ""),1),"""")"),"")</f>
        <v/>
      </c>
      <c r="T4363" s="315" t="str">
        <f>IFERROR(__xludf.DUMMYFUNCTION("if(S4363="""",C4363,if(not(iserror(index(split(C4363, "" ""),3))), index(split(C4363, "" ""),3),index(split(C4363, "" ""),2)))"),"")</f>
        <v/>
      </c>
      <c r="U4363" s="38" t="b">
        <f t="shared" si="423"/>
        <v>0</v>
      </c>
      <c r="V4363" s="38"/>
      <c r="W4363" s="40"/>
      <c r="X4363" s="40"/>
      <c r="Y4363" s="40"/>
      <c r="Z4363" s="38"/>
      <c r="AA4363" s="38"/>
      <c r="AB4363" s="38"/>
      <c r="AC4363" s="38"/>
      <c r="AD4363" s="38"/>
      <c r="AE4363" s="38"/>
      <c r="AF4363" s="38"/>
      <c r="AG4363" s="38"/>
      <c r="AH4363" s="38"/>
      <c r="AI4363" s="38"/>
      <c r="AJ4363" s="38"/>
      <c r="AK4363" s="38"/>
      <c r="AL4363" s="38"/>
      <c r="AM4363" s="38"/>
      <c r="AN4363" s="38"/>
      <c r="AO4363" s="38"/>
      <c r="AP4363" s="38"/>
      <c r="AQ4363" s="38"/>
      <c r="AR4363" s="38"/>
      <c r="AS4363" s="38"/>
      <c r="AT4363" s="38"/>
      <c r="AU4363" s="38"/>
      <c r="AV4363" s="38"/>
      <c r="AW4363" s="38"/>
      <c r="AX4363" s="38"/>
      <c r="AY4363" s="38"/>
      <c r="AZ4363" s="38"/>
      <c r="BA4363" s="38"/>
      <c r="BB4363" s="38"/>
      <c r="BC4363" s="38"/>
      <c r="BD4363" s="38"/>
      <c r="BE4363" s="38"/>
      <c r="BF4363" s="38"/>
      <c r="BG4363" s="38"/>
      <c r="BH4363" s="38"/>
      <c r="BI4363" s="38"/>
      <c r="BJ4363" s="38"/>
      <c r="BK4363" s="38"/>
      <c r="BL4363" s="38"/>
      <c r="BM4363" s="38"/>
      <c r="BN4363" s="38"/>
      <c r="BO4363" s="38"/>
      <c r="BP4363" s="38"/>
      <c r="BQ4363" s="38"/>
    </row>
    <row r="4364">
      <c r="A4364" s="16"/>
      <c r="B4364" s="145"/>
      <c r="C4364" s="146"/>
      <c r="D4364" s="146"/>
      <c r="E4364" s="16"/>
      <c r="F4364" s="91"/>
      <c r="G4364" s="16"/>
      <c r="H4364" s="320" t="str">
        <f t="shared" si="424"/>
        <v/>
      </c>
      <c r="I4364" s="16"/>
      <c r="J4364" s="16"/>
      <c r="K4364" s="16"/>
      <c r="L4364" s="16"/>
      <c r="M4364" s="15"/>
      <c r="N4364" s="15"/>
      <c r="O4364" s="16"/>
      <c r="P4364" s="16"/>
      <c r="Q4364" s="16"/>
      <c r="R4364" s="16"/>
      <c r="S4364" s="37" t="str">
        <f>IFERROR(__xludf.DUMMYFUNCTION("if(not(iserror(index(split(C4364, "" ""),2))), index(split(C4364, "" ""),1),"""")"),"")</f>
        <v/>
      </c>
      <c r="T4364" s="315" t="str">
        <f>IFERROR(__xludf.DUMMYFUNCTION("if(S4364="""",C4364,if(not(iserror(index(split(C4364, "" ""),3))), index(split(C4364, "" ""),3),index(split(C4364, "" ""),2)))"),"")</f>
        <v/>
      </c>
      <c r="U4364" s="38" t="b">
        <f t="shared" si="423"/>
        <v>0</v>
      </c>
      <c r="V4364" s="38"/>
      <c r="W4364" s="40"/>
      <c r="X4364" s="40"/>
      <c r="Y4364" s="40"/>
      <c r="Z4364" s="38"/>
      <c r="AA4364" s="38"/>
      <c r="AB4364" s="38"/>
      <c r="AC4364" s="38"/>
      <c r="AD4364" s="38"/>
      <c r="AE4364" s="38"/>
      <c r="AF4364" s="38"/>
      <c r="AG4364" s="38"/>
      <c r="AH4364" s="38"/>
      <c r="AI4364" s="38"/>
      <c r="AJ4364" s="38"/>
      <c r="AK4364" s="38"/>
      <c r="AL4364" s="38"/>
      <c r="AM4364" s="38"/>
      <c r="AN4364" s="38"/>
      <c r="AO4364" s="38"/>
      <c r="AP4364" s="38"/>
      <c r="AQ4364" s="38"/>
      <c r="AR4364" s="38"/>
      <c r="AS4364" s="38"/>
      <c r="AT4364" s="38"/>
      <c r="AU4364" s="38"/>
      <c r="AV4364" s="38"/>
      <c r="AW4364" s="38"/>
      <c r="AX4364" s="38"/>
      <c r="AY4364" s="38"/>
      <c r="AZ4364" s="38"/>
      <c r="BA4364" s="38"/>
      <c r="BB4364" s="38"/>
      <c r="BC4364" s="38"/>
      <c r="BD4364" s="38"/>
      <c r="BE4364" s="38"/>
      <c r="BF4364" s="38"/>
      <c r="BG4364" s="38"/>
      <c r="BH4364" s="38"/>
      <c r="BI4364" s="38"/>
      <c r="BJ4364" s="38"/>
      <c r="BK4364" s="38"/>
      <c r="BL4364" s="38"/>
      <c r="BM4364" s="38"/>
      <c r="BN4364" s="38"/>
      <c r="BO4364" s="38"/>
      <c r="BP4364" s="38"/>
      <c r="BQ4364" s="38"/>
    </row>
    <row r="4365">
      <c r="A4365" s="16"/>
      <c r="B4365" s="145"/>
      <c r="C4365" s="146"/>
      <c r="D4365" s="146"/>
      <c r="E4365" s="16"/>
      <c r="F4365" s="91"/>
      <c r="G4365" s="16"/>
      <c r="H4365" s="320" t="str">
        <f t="shared" si="424"/>
        <v/>
      </c>
      <c r="I4365" s="16"/>
      <c r="J4365" s="16"/>
      <c r="K4365" s="16"/>
      <c r="L4365" s="16"/>
      <c r="M4365" s="15"/>
      <c r="N4365" s="15"/>
      <c r="O4365" s="16"/>
      <c r="P4365" s="16"/>
      <c r="Q4365" s="16"/>
      <c r="R4365" s="16"/>
      <c r="S4365" s="37" t="str">
        <f>IFERROR(__xludf.DUMMYFUNCTION("if(not(iserror(index(split(C4365, "" ""),2))), index(split(C4365, "" ""),1),"""")"),"")</f>
        <v/>
      </c>
      <c r="T4365" s="315" t="str">
        <f>IFERROR(__xludf.DUMMYFUNCTION("if(S4365="""",C4365,if(not(iserror(index(split(C4365, "" ""),3))), index(split(C4365, "" ""),3),index(split(C4365, "" ""),2)))"),"")</f>
        <v/>
      </c>
      <c r="U4365" s="38" t="b">
        <f t="shared" si="423"/>
        <v>0</v>
      </c>
      <c r="V4365" s="38"/>
      <c r="W4365" s="40"/>
      <c r="X4365" s="40"/>
      <c r="Y4365" s="40"/>
      <c r="Z4365" s="38"/>
      <c r="AA4365" s="38"/>
      <c r="AB4365" s="38"/>
      <c r="AC4365" s="38"/>
      <c r="AD4365" s="38"/>
      <c r="AE4365" s="38"/>
      <c r="AF4365" s="38"/>
      <c r="AG4365" s="38"/>
      <c r="AH4365" s="38"/>
      <c r="AI4365" s="38"/>
      <c r="AJ4365" s="38"/>
      <c r="AK4365" s="38"/>
      <c r="AL4365" s="38"/>
      <c r="AM4365" s="38"/>
      <c r="AN4365" s="38"/>
      <c r="AO4365" s="38"/>
      <c r="AP4365" s="38"/>
      <c r="AQ4365" s="38"/>
      <c r="AR4365" s="38"/>
      <c r="AS4365" s="38"/>
      <c r="AT4365" s="38"/>
      <c r="AU4365" s="38"/>
      <c r="AV4365" s="38"/>
      <c r="AW4365" s="38"/>
      <c r="AX4365" s="38"/>
      <c r="AY4365" s="38"/>
      <c r="AZ4365" s="38"/>
      <c r="BA4365" s="38"/>
      <c r="BB4365" s="38"/>
      <c r="BC4365" s="38"/>
      <c r="BD4365" s="38"/>
      <c r="BE4365" s="38"/>
      <c r="BF4365" s="38"/>
      <c r="BG4365" s="38"/>
      <c r="BH4365" s="38"/>
      <c r="BI4365" s="38"/>
      <c r="BJ4365" s="38"/>
      <c r="BK4365" s="38"/>
      <c r="BL4365" s="38"/>
      <c r="BM4365" s="38"/>
      <c r="BN4365" s="38"/>
      <c r="BO4365" s="38"/>
      <c r="BP4365" s="38"/>
      <c r="BQ4365" s="38"/>
    </row>
    <row r="4366">
      <c r="A4366" s="16"/>
      <c r="B4366" s="145"/>
      <c r="C4366" s="146"/>
      <c r="D4366" s="146"/>
      <c r="E4366" s="16"/>
      <c r="F4366" s="91"/>
      <c r="G4366" s="16"/>
      <c r="H4366" s="320" t="str">
        <f t="shared" si="424"/>
        <v/>
      </c>
      <c r="I4366" s="16"/>
      <c r="J4366" s="16"/>
      <c r="K4366" s="16"/>
      <c r="L4366" s="16"/>
      <c r="M4366" s="15"/>
      <c r="N4366" s="15"/>
      <c r="O4366" s="16"/>
      <c r="P4366" s="16"/>
      <c r="Q4366" s="16"/>
      <c r="R4366" s="16"/>
      <c r="S4366" s="37" t="str">
        <f>IFERROR(__xludf.DUMMYFUNCTION("if(not(iserror(index(split(C4366, "" ""),2))), index(split(C4366, "" ""),1),"""")"),"")</f>
        <v/>
      </c>
      <c r="T4366" s="315" t="str">
        <f>IFERROR(__xludf.DUMMYFUNCTION("if(S4366="""",C4366,if(not(iserror(index(split(C4366, "" ""),3))), index(split(C4366, "" ""),3),index(split(C4366, "" ""),2)))"),"")</f>
        <v/>
      </c>
      <c r="U4366" s="38" t="b">
        <f t="shared" si="423"/>
        <v>0</v>
      </c>
      <c r="V4366" s="38"/>
      <c r="W4366" s="40"/>
      <c r="X4366" s="40"/>
      <c r="Y4366" s="40"/>
      <c r="Z4366" s="38"/>
      <c r="AA4366" s="38"/>
      <c r="AB4366" s="38"/>
      <c r="AC4366" s="38"/>
      <c r="AD4366" s="38"/>
      <c r="AE4366" s="38"/>
      <c r="AF4366" s="38"/>
      <c r="AG4366" s="38"/>
      <c r="AH4366" s="38"/>
      <c r="AI4366" s="38"/>
      <c r="AJ4366" s="38"/>
      <c r="AK4366" s="38"/>
      <c r="AL4366" s="38"/>
      <c r="AM4366" s="38"/>
      <c r="AN4366" s="38"/>
      <c r="AO4366" s="38"/>
      <c r="AP4366" s="38"/>
      <c r="AQ4366" s="38"/>
      <c r="AR4366" s="38"/>
      <c r="AS4366" s="38"/>
      <c r="AT4366" s="38"/>
      <c r="AU4366" s="38"/>
      <c r="AV4366" s="38"/>
      <c r="AW4366" s="38"/>
      <c r="AX4366" s="38"/>
      <c r="AY4366" s="38"/>
      <c r="AZ4366" s="38"/>
      <c r="BA4366" s="38"/>
      <c r="BB4366" s="38"/>
      <c r="BC4366" s="38"/>
      <c r="BD4366" s="38"/>
      <c r="BE4366" s="38"/>
      <c r="BF4366" s="38"/>
      <c r="BG4366" s="38"/>
      <c r="BH4366" s="38"/>
      <c r="BI4366" s="38"/>
      <c r="BJ4366" s="38"/>
      <c r="BK4366" s="38"/>
      <c r="BL4366" s="38"/>
      <c r="BM4366" s="38"/>
      <c r="BN4366" s="38"/>
      <c r="BO4366" s="38"/>
      <c r="BP4366" s="38"/>
      <c r="BQ4366" s="38"/>
    </row>
    <row r="4367">
      <c r="A4367" s="16"/>
      <c r="B4367" s="145"/>
      <c r="C4367" s="146"/>
      <c r="D4367" s="146"/>
      <c r="E4367" s="16"/>
      <c r="F4367" s="91"/>
      <c r="G4367" s="16"/>
      <c r="H4367" s="320" t="str">
        <f t="shared" si="424"/>
        <v/>
      </c>
      <c r="I4367" s="16"/>
      <c r="J4367" s="16"/>
      <c r="K4367" s="16"/>
      <c r="L4367" s="16"/>
      <c r="M4367" s="15"/>
      <c r="N4367" s="15"/>
      <c r="O4367" s="16"/>
      <c r="P4367" s="16"/>
      <c r="Q4367" s="16"/>
      <c r="R4367" s="16"/>
      <c r="S4367" s="37" t="str">
        <f>IFERROR(__xludf.DUMMYFUNCTION("if(not(iserror(index(split(C4367, "" ""),2))), index(split(C4367, "" ""),1),"""")"),"")</f>
        <v/>
      </c>
      <c r="T4367" s="315" t="str">
        <f>IFERROR(__xludf.DUMMYFUNCTION("if(S4367="""",C4367,if(not(iserror(index(split(C4367, "" ""),3))), index(split(C4367, "" ""),3),index(split(C4367, "" ""),2)))"),"")</f>
        <v/>
      </c>
      <c r="U4367" s="38" t="b">
        <f t="shared" si="423"/>
        <v>0</v>
      </c>
      <c r="V4367" s="38"/>
      <c r="W4367" s="40"/>
      <c r="X4367" s="40"/>
      <c r="Y4367" s="40"/>
      <c r="Z4367" s="38"/>
      <c r="AA4367" s="38"/>
      <c r="AB4367" s="38"/>
      <c r="AC4367" s="38"/>
      <c r="AD4367" s="38"/>
      <c r="AE4367" s="38"/>
      <c r="AF4367" s="38"/>
      <c r="AG4367" s="38"/>
      <c r="AH4367" s="38"/>
      <c r="AI4367" s="38"/>
      <c r="AJ4367" s="38"/>
      <c r="AK4367" s="38"/>
      <c r="AL4367" s="38"/>
      <c r="AM4367" s="38"/>
      <c r="AN4367" s="38"/>
      <c r="AO4367" s="38"/>
      <c r="AP4367" s="38"/>
      <c r="AQ4367" s="38"/>
      <c r="AR4367" s="38"/>
      <c r="AS4367" s="38"/>
      <c r="AT4367" s="38"/>
      <c r="AU4367" s="38"/>
      <c r="AV4367" s="38"/>
      <c r="AW4367" s="38"/>
      <c r="AX4367" s="38"/>
      <c r="AY4367" s="38"/>
      <c r="AZ4367" s="38"/>
      <c r="BA4367" s="38"/>
      <c r="BB4367" s="38"/>
      <c r="BC4367" s="38"/>
      <c r="BD4367" s="38"/>
      <c r="BE4367" s="38"/>
      <c r="BF4367" s="38"/>
      <c r="BG4367" s="38"/>
      <c r="BH4367" s="38"/>
      <c r="BI4367" s="38"/>
      <c r="BJ4367" s="38"/>
      <c r="BK4367" s="38"/>
      <c r="BL4367" s="38"/>
      <c r="BM4367" s="38"/>
      <c r="BN4367" s="38"/>
      <c r="BO4367" s="38"/>
      <c r="BP4367" s="38"/>
      <c r="BQ4367" s="38"/>
    </row>
    <row r="4368">
      <c r="A4368" s="16"/>
      <c r="B4368" s="145"/>
      <c r="C4368" s="146"/>
      <c r="D4368" s="146"/>
      <c r="E4368" s="16"/>
      <c r="F4368" s="91"/>
      <c r="G4368" s="16"/>
      <c r="H4368" s="320" t="str">
        <f t="shared" si="424"/>
        <v/>
      </c>
      <c r="I4368" s="16"/>
      <c r="J4368" s="16"/>
      <c r="K4368" s="16"/>
      <c r="L4368" s="16"/>
      <c r="M4368" s="15"/>
      <c r="N4368" s="15"/>
      <c r="O4368" s="16"/>
      <c r="P4368" s="16"/>
      <c r="Q4368" s="16"/>
      <c r="R4368" s="16"/>
      <c r="S4368" s="37" t="str">
        <f>IFERROR(__xludf.DUMMYFUNCTION("if(not(iserror(index(split(C4368, "" ""),2))), index(split(C4368, "" ""),1),"""")"),"")</f>
        <v/>
      </c>
      <c r="T4368" s="315" t="str">
        <f>IFERROR(__xludf.DUMMYFUNCTION("if(S4368="""",C4368,if(not(iserror(index(split(C4368, "" ""),3))), index(split(C4368, "" ""),3),index(split(C4368, "" ""),2)))"),"")</f>
        <v/>
      </c>
      <c r="U4368" s="38" t="b">
        <f t="shared" si="423"/>
        <v>0</v>
      </c>
      <c r="V4368" s="38"/>
      <c r="W4368" s="40"/>
      <c r="X4368" s="40"/>
      <c r="Y4368" s="40"/>
      <c r="Z4368" s="38"/>
      <c r="AA4368" s="38"/>
      <c r="AB4368" s="38"/>
      <c r="AC4368" s="38"/>
      <c r="AD4368" s="38"/>
      <c r="AE4368" s="38"/>
      <c r="AF4368" s="38"/>
      <c r="AG4368" s="38"/>
      <c r="AH4368" s="38"/>
      <c r="AI4368" s="38"/>
      <c r="AJ4368" s="38"/>
      <c r="AK4368" s="38"/>
      <c r="AL4368" s="38"/>
      <c r="AM4368" s="38"/>
      <c r="AN4368" s="38"/>
      <c r="AO4368" s="38"/>
      <c r="AP4368" s="38"/>
      <c r="AQ4368" s="38"/>
      <c r="AR4368" s="38"/>
      <c r="AS4368" s="38"/>
      <c r="AT4368" s="38"/>
      <c r="AU4368" s="38"/>
      <c r="AV4368" s="38"/>
      <c r="AW4368" s="38"/>
      <c r="AX4368" s="38"/>
      <c r="AY4368" s="38"/>
      <c r="AZ4368" s="38"/>
      <c r="BA4368" s="38"/>
      <c r="BB4368" s="38"/>
      <c r="BC4368" s="38"/>
      <c r="BD4368" s="38"/>
      <c r="BE4368" s="38"/>
      <c r="BF4368" s="38"/>
      <c r="BG4368" s="38"/>
      <c r="BH4368" s="38"/>
      <c r="BI4368" s="38"/>
      <c r="BJ4368" s="38"/>
      <c r="BK4368" s="38"/>
      <c r="BL4368" s="38"/>
      <c r="BM4368" s="38"/>
      <c r="BN4368" s="38"/>
      <c r="BO4368" s="38"/>
      <c r="BP4368" s="38"/>
      <c r="BQ4368" s="38"/>
    </row>
    <row r="4369">
      <c r="A4369" s="16"/>
      <c r="B4369" s="145"/>
      <c r="C4369" s="146"/>
      <c r="D4369" s="146"/>
      <c r="E4369" s="16"/>
      <c r="F4369" s="91"/>
      <c r="G4369" s="16"/>
      <c r="H4369" s="320" t="str">
        <f t="shared" si="424"/>
        <v/>
      </c>
      <c r="I4369" s="16"/>
      <c r="J4369" s="16"/>
      <c r="K4369" s="16"/>
      <c r="L4369" s="16"/>
      <c r="M4369" s="15"/>
      <c r="N4369" s="15"/>
      <c r="O4369" s="16"/>
      <c r="P4369" s="16"/>
      <c r="Q4369" s="16"/>
      <c r="R4369" s="16"/>
      <c r="S4369" s="37" t="str">
        <f>IFERROR(__xludf.DUMMYFUNCTION("if(not(iserror(index(split(C4369, "" ""),2))), index(split(C4369, "" ""),1),"""")"),"")</f>
        <v/>
      </c>
      <c r="T4369" s="315" t="str">
        <f>IFERROR(__xludf.DUMMYFUNCTION("if(S4369="""",C4369,if(not(iserror(index(split(C4369, "" ""),3))), index(split(C4369, "" ""),3),index(split(C4369, "" ""),2)))"),"")</f>
        <v/>
      </c>
      <c r="U4369" s="38" t="b">
        <f t="shared" si="423"/>
        <v>0</v>
      </c>
      <c r="V4369" s="38"/>
      <c r="W4369" s="40"/>
      <c r="X4369" s="40"/>
      <c r="Y4369" s="40"/>
      <c r="Z4369" s="38"/>
      <c r="AA4369" s="38"/>
      <c r="AB4369" s="38"/>
      <c r="AC4369" s="38"/>
      <c r="AD4369" s="38"/>
      <c r="AE4369" s="38"/>
      <c r="AF4369" s="38"/>
      <c r="AG4369" s="38"/>
      <c r="AH4369" s="38"/>
      <c r="AI4369" s="38"/>
      <c r="AJ4369" s="38"/>
      <c r="AK4369" s="38"/>
      <c r="AL4369" s="38"/>
      <c r="AM4369" s="38"/>
      <c r="AN4369" s="38"/>
      <c r="AO4369" s="38"/>
      <c r="AP4369" s="38"/>
      <c r="AQ4369" s="38"/>
      <c r="AR4369" s="38"/>
      <c r="AS4369" s="38"/>
      <c r="AT4369" s="38"/>
      <c r="AU4369" s="38"/>
      <c r="AV4369" s="38"/>
      <c r="AW4369" s="38"/>
      <c r="AX4369" s="38"/>
      <c r="AY4369" s="38"/>
      <c r="AZ4369" s="38"/>
      <c r="BA4369" s="38"/>
      <c r="BB4369" s="38"/>
      <c r="BC4369" s="38"/>
      <c r="BD4369" s="38"/>
      <c r="BE4369" s="38"/>
      <c r="BF4369" s="38"/>
      <c r="BG4369" s="38"/>
      <c r="BH4369" s="38"/>
      <c r="BI4369" s="38"/>
      <c r="BJ4369" s="38"/>
      <c r="BK4369" s="38"/>
      <c r="BL4369" s="38"/>
      <c r="BM4369" s="38"/>
      <c r="BN4369" s="38"/>
      <c r="BO4369" s="38"/>
      <c r="BP4369" s="38"/>
      <c r="BQ4369" s="38"/>
    </row>
    <row r="4370">
      <c r="A4370" s="16"/>
      <c r="B4370" s="145"/>
      <c r="C4370" s="146"/>
      <c r="D4370" s="146"/>
      <c r="E4370" s="16"/>
      <c r="F4370" s="91"/>
      <c r="G4370" s="16"/>
      <c r="H4370" s="320" t="str">
        <f t="shared" si="424"/>
        <v/>
      </c>
      <c r="I4370" s="16"/>
      <c r="J4370" s="16"/>
      <c r="K4370" s="16"/>
      <c r="L4370" s="16"/>
      <c r="M4370" s="15"/>
      <c r="N4370" s="15"/>
      <c r="O4370" s="16"/>
      <c r="P4370" s="16"/>
      <c r="Q4370" s="16"/>
      <c r="R4370" s="16"/>
      <c r="S4370" s="37" t="str">
        <f>IFERROR(__xludf.DUMMYFUNCTION("if(not(iserror(index(split(C4370, "" ""),2))), index(split(C4370, "" ""),1),"""")"),"")</f>
        <v/>
      </c>
      <c r="T4370" s="315" t="str">
        <f>IFERROR(__xludf.DUMMYFUNCTION("if(S4370="""",C4370,if(not(iserror(index(split(C4370, "" ""),3))), index(split(C4370, "" ""),3),index(split(C4370, "" ""),2)))"),"")</f>
        <v/>
      </c>
      <c r="U4370" s="38" t="b">
        <f t="shared" si="423"/>
        <v>0</v>
      </c>
      <c r="V4370" s="38"/>
      <c r="W4370" s="40"/>
      <c r="X4370" s="40"/>
      <c r="Y4370" s="40"/>
      <c r="Z4370" s="38"/>
      <c r="AA4370" s="38"/>
      <c r="AB4370" s="38"/>
      <c r="AC4370" s="38"/>
      <c r="AD4370" s="38"/>
      <c r="AE4370" s="38"/>
      <c r="AF4370" s="38"/>
      <c r="AG4370" s="38"/>
      <c r="AH4370" s="38"/>
      <c r="AI4370" s="38"/>
      <c r="AJ4370" s="38"/>
      <c r="AK4370" s="38"/>
      <c r="AL4370" s="38"/>
      <c r="AM4370" s="38"/>
      <c r="AN4370" s="38"/>
      <c r="AO4370" s="38"/>
      <c r="AP4370" s="38"/>
      <c r="AQ4370" s="38"/>
      <c r="AR4370" s="38"/>
      <c r="AS4370" s="38"/>
      <c r="AT4370" s="38"/>
      <c r="AU4370" s="38"/>
      <c r="AV4370" s="38"/>
      <c r="AW4370" s="38"/>
      <c r="AX4370" s="38"/>
      <c r="AY4370" s="38"/>
      <c r="AZ4370" s="38"/>
      <c r="BA4370" s="38"/>
      <c r="BB4370" s="38"/>
      <c r="BC4370" s="38"/>
      <c r="BD4370" s="38"/>
      <c r="BE4370" s="38"/>
      <c r="BF4370" s="38"/>
      <c r="BG4370" s="38"/>
      <c r="BH4370" s="38"/>
      <c r="BI4370" s="38"/>
      <c r="BJ4370" s="38"/>
      <c r="BK4370" s="38"/>
      <c r="BL4370" s="38"/>
      <c r="BM4370" s="38"/>
      <c r="BN4370" s="38"/>
      <c r="BO4370" s="38"/>
      <c r="BP4370" s="38"/>
      <c r="BQ4370" s="38"/>
    </row>
    <row r="4371">
      <c r="A4371" s="16"/>
      <c r="B4371" s="145"/>
      <c r="C4371" s="146"/>
      <c r="D4371" s="146"/>
      <c r="E4371" s="16"/>
      <c r="F4371" s="91"/>
      <c r="G4371" s="16"/>
      <c r="H4371" s="320" t="str">
        <f t="shared" si="424"/>
        <v/>
      </c>
      <c r="I4371" s="16"/>
      <c r="J4371" s="16"/>
      <c r="K4371" s="16"/>
      <c r="L4371" s="16"/>
      <c r="M4371" s="15"/>
      <c r="N4371" s="15"/>
      <c r="O4371" s="16"/>
      <c r="P4371" s="16"/>
      <c r="Q4371" s="16"/>
      <c r="R4371" s="16"/>
      <c r="S4371" s="37" t="str">
        <f>IFERROR(__xludf.DUMMYFUNCTION("if(not(iserror(index(split(C4371, "" ""),2))), index(split(C4371, "" ""),1),"""")"),"")</f>
        <v/>
      </c>
      <c r="T4371" s="315" t="str">
        <f>IFERROR(__xludf.DUMMYFUNCTION("if(S4371="""",C4371,if(not(iserror(index(split(C4371, "" ""),3))), index(split(C4371, "" ""),3),index(split(C4371, "" ""),2)))"),"")</f>
        <v/>
      </c>
      <c r="U4371" s="38" t="b">
        <f t="shared" si="423"/>
        <v>0</v>
      </c>
      <c r="V4371" s="38"/>
      <c r="W4371" s="40"/>
      <c r="X4371" s="40"/>
      <c r="Y4371" s="40"/>
      <c r="Z4371" s="38"/>
      <c r="AA4371" s="38"/>
      <c r="AB4371" s="38"/>
      <c r="AC4371" s="38"/>
      <c r="AD4371" s="38"/>
      <c r="AE4371" s="38"/>
      <c r="AF4371" s="38"/>
      <c r="AG4371" s="38"/>
      <c r="AH4371" s="38"/>
      <c r="AI4371" s="38"/>
      <c r="AJ4371" s="38"/>
      <c r="AK4371" s="38"/>
      <c r="AL4371" s="38"/>
      <c r="AM4371" s="38"/>
      <c r="AN4371" s="38"/>
      <c r="AO4371" s="38"/>
      <c r="AP4371" s="38"/>
      <c r="AQ4371" s="38"/>
      <c r="AR4371" s="38"/>
      <c r="AS4371" s="38"/>
      <c r="AT4371" s="38"/>
      <c r="AU4371" s="38"/>
      <c r="AV4371" s="38"/>
      <c r="AW4371" s="38"/>
      <c r="AX4371" s="38"/>
      <c r="AY4371" s="38"/>
      <c r="AZ4371" s="38"/>
      <c r="BA4371" s="38"/>
      <c r="BB4371" s="38"/>
      <c r="BC4371" s="38"/>
      <c r="BD4371" s="38"/>
      <c r="BE4371" s="38"/>
      <c r="BF4371" s="38"/>
      <c r="BG4371" s="38"/>
      <c r="BH4371" s="38"/>
      <c r="BI4371" s="38"/>
      <c r="BJ4371" s="38"/>
      <c r="BK4371" s="38"/>
      <c r="BL4371" s="38"/>
      <c r="BM4371" s="38"/>
      <c r="BN4371" s="38"/>
      <c r="BO4371" s="38"/>
      <c r="BP4371" s="38"/>
      <c r="BQ4371" s="38"/>
    </row>
    <row r="4372">
      <c r="A4372" s="16"/>
      <c r="B4372" s="145"/>
      <c r="C4372" s="146"/>
      <c r="D4372" s="146"/>
      <c r="E4372" s="16"/>
      <c r="F4372" s="91"/>
      <c r="G4372" s="16"/>
      <c r="H4372" s="320" t="str">
        <f t="shared" si="424"/>
        <v/>
      </c>
      <c r="I4372" s="16"/>
      <c r="J4372" s="16"/>
      <c r="K4372" s="16"/>
      <c r="L4372" s="16"/>
      <c r="M4372" s="15"/>
      <c r="N4372" s="15"/>
      <c r="O4372" s="16"/>
      <c r="P4372" s="16"/>
      <c r="Q4372" s="16"/>
      <c r="R4372" s="16"/>
      <c r="S4372" s="37" t="str">
        <f>IFERROR(__xludf.DUMMYFUNCTION("if(not(iserror(index(split(C4372, "" ""),2))), index(split(C4372, "" ""),1),"""")"),"")</f>
        <v/>
      </c>
      <c r="T4372" s="315" t="str">
        <f>IFERROR(__xludf.DUMMYFUNCTION("if(S4372="""",C4372,if(not(iserror(index(split(C4372, "" ""),3))), index(split(C4372, "" ""),3),index(split(C4372, "" ""),2)))"),"")</f>
        <v/>
      </c>
      <c r="U4372" s="38" t="b">
        <f t="shared" si="423"/>
        <v>0</v>
      </c>
      <c r="V4372" s="38"/>
      <c r="W4372" s="40"/>
      <c r="X4372" s="40"/>
      <c r="Y4372" s="40"/>
      <c r="Z4372" s="38"/>
      <c r="AA4372" s="38"/>
      <c r="AB4372" s="38"/>
      <c r="AC4372" s="38"/>
      <c r="AD4372" s="38"/>
      <c r="AE4372" s="38"/>
      <c r="AF4372" s="38"/>
      <c r="AG4372" s="38"/>
      <c r="AH4372" s="38"/>
      <c r="AI4372" s="38"/>
      <c r="AJ4372" s="38"/>
      <c r="AK4372" s="38"/>
      <c r="AL4372" s="38"/>
      <c r="AM4372" s="38"/>
      <c r="AN4372" s="38"/>
      <c r="AO4372" s="38"/>
      <c r="AP4372" s="38"/>
      <c r="AQ4372" s="38"/>
      <c r="AR4372" s="38"/>
      <c r="AS4372" s="38"/>
      <c r="AT4372" s="38"/>
      <c r="AU4372" s="38"/>
      <c r="AV4372" s="38"/>
      <c r="AW4372" s="38"/>
      <c r="AX4372" s="38"/>
      <c r="AY4372" s="38"/>
      <c r="AZ4372" s="38"/>
      <c r="BA4372" s="38"/>
      <c r="BB4372" s="38"/>
      <c r="BC4372" s="38"/>
      <c r="BD4372" s="38"/>
      <c r="BE4372" s="38"/>
      <c r="BF4372" s="38"/>
      <c r="BG4372" s="38"/>
      <c r="BH4372" s="38"/>
      <c r="BI4372" s="38"/>
      <c r="BJ4372" s="38"/>
      <c r="BK4372" s="38"/>
      <c r="BL4372" s="38"/>
      <c r="BM4372" s="38"/>
      <c r="BN4372" s="38"/>
      <c r="BO4372" s="38"/>
      <c r="BP4372" s="38"/>
      <c r="BQ4372" s="38"/>
    </row>
    <row r="4373">
      <c r="A4373" s="16"/>
      <c r="B4373" s="145"/>
      <c r="C4373" s="146"/>
      <c r="D4373" s="146"/>
      <c r="E4373" s="16"/>
      <c r="F4373" s="91"/>
      <c r="G4373" s="16"/>
      <c r="H4373" s="320" t="str">
        <f t="shared" si="424"/>
        <v/>
      </c>
      <c r="I4373" s="16"/>
      <c r="J4373" s="16"/>
      <c r="K4373" s="16"/>
      <c r="L4373" s="16"/>
      <c r="M4373" s="15"/>
      <c r="N4373" s="15"/>
      <c r="O4373" s="16"/>
      <c r="P4373" s="16"/>
      <c r="Q4373" s="16"/>
      <c r="R4373" s="16"/>
      <c r="S4373" s="37" t="str">
        <f>IFERROR(__xludf.DUMMYFUNCTION("if(not(iserror(index(split(C4373, "" ""),2))), index(split(C4373, "" ""),1),"""")"),"")</f>
        <v/>
      </c>
      <c r="T4373" s="315" t="str">
        <f>IFERROR(__xludf.DUMMYFUNCTION("if(S4373="""",C4373,if(not(iserror(index(split(C4373, "" ""),3))), index(split(C4373, "" ""),3),index(split(C4373, "" ""),2)))"),"")</f>
        <v/>
      </c>
      <c r="U4373" s="38" t="b">
        <f t="shared" si="423"/>
        <v>0</v>
      </c>
      <c r="V4373" s="38"/>
      <c r="W4373" s="40"/>
      <c r="X4373" s="40"/>
      <c r="Y4373" s="40"/>
      <c r="Z4373" s="38"/>
      <c r="AA4373" s="38"/>
      <c r="AB4373" s="38"/>
      <c r="AC4373" s="38"/>
      <c r="AD4373" s="38"/>
      <c r="AE4373" s="38"/>
      <c r="AF4373" s="38"/>
      <c r="AG4373" s="38"/>
      <c r="AH4373" s="38"/>
      <c r="AI4373" s="38"/>
      <c r="AJ4373" s="38"/>
      <c r="AK4373" s="38"/>
      <c r="AL4373" s="38"/>
      <c r="AM4373" s="38"/>
      <c r="AN4373" s="38"/>
      <c r="AO4373" s="38"/>
      <c r="AP4373" s="38"/>
      <c r="AQ4373" s="38"/>
      <c r="AR4373" s="38"/>
      <c r="AS4373" s="38"/>
      <c r="AT4373" s="38"/>
      <c r="AU4373" s="38"/>
      <c r="AV4373" s="38"/>
      <c r="AW4373" s="38"/>
      <c r="AX4373" s="38"/>
      <c r="AY4373" s="38"/>
      <c r="AZ4373" s="38"/>
      <c r="BA4373" s="38"/>
      <c r="BB4373" s="38"/>
      <c r="BC4373" s="38"/>
      <c r="BD4373" s="38"/>
      <c r="BE4373" s="38"/>
      <c r="BF4373" s="38"/>
      <c r="BG4373" s="38"/>
      <c r="BH4373" s="38"/>
      <c r="BI4373" s="38"/>
      <c r="BJ4373" s="38"/>
      <c r="BK4373" s="38"/>
      <c r="BL4373" s="38"/>
      <c r="BM4373" s="38"/>
      <c r="BN4373" s="38"/>
      <c r="BO4373" s="38"/>
      <c r="BP4373" s="38"/>
      <c r="BQ4373" s="38"/>
    </row>
    <row r="4374">
      <c r="A4374" s="16"/>
      <c r="B4374" s="145"/>
      <c r="C4374" s="146"/>
      <c r="D4374" s="146"/>
      <c r="E4374" s="16"/>
      <c r="F4374" s="91"/>
      <c r="G4374" s="16"/>
      <c r="H4374" s="320" t="str">
        <f t="shared" si="424"/>
        <v/>
      </c>
      <c r="I4374" s="16"/>
      <c r="J4374" s="16"/>
      <c r="K4374" s="16"/>
      <c r="L4374" s="16"/>
      <c r="M4374" s="15"/>
      <c r="N4374" s="15"/>
      <c r="O4374" s="16"/>
      <c r="P4374" s="16"/>
      <c r="Q4374" s="16"/>
      <c r="R4374" s="16"/>
      <c r="S4374" s="37" t="str">
        <f>IFERROR(__xludf.DUMMYFUNCTION("if(not(iserror(index(split(C4374, "" ""),2))), index(split(C4374, "" ""),1),"""")"),"")</f>
        <v/>
      </c>
      <c r="T4374" s="315" t="str">
        <f>IFERROR(__xludf.DUMMYFUNCTION("if(S4374="""",C4374,if(not(iserror(index(split(C4374, "" ""),3))), index(split(C4374, "" ""),3),index(split(C4374, "" ""),2)))"),"")</f>
        <v/>
      </c>
      <c r="U4374" s="38" t="b">
        <f t="shared" si="423"/>
        <v>0</v>
      </c>
      <c r="V4374" s="38"/>
      <c r="W4374" s="40"/>
      <c r="X4374" s="40"/>
      <c r="Y4374" s="40"/>
      <c r="Z4374" s="38"/>
      <c r="AA4374" s="38"/>
      <c r="AB4374" s="38"/>
      <c r="AC4374" s="38"/>
      <c r="AD4374" s="38"/>
      <c r="AE4374" s="38"/>
      <c r="AF4374" s="38"/>
      <c r="AG4374" s="38"/>
      <c r="AH4374" s="38"/>
      <c r="AI4374" s="38"/>
      <c r="AJ4374" s="38"/>
      <c r="AK4374" s="38"/>
      <c r="AL4374" s="38"/>
      <c r="AM4374" s="38"/>
      <c r="AN4374" s="38"/>
      <c r="AO4374" s="38"/>
      <c r="AP4374" s="38"/>
      <c r="AQ4374" s="38"/>
      <c r="AR4374" s="38"/>
      <c r="AS4374" s="38"/>
      <c r="AT4374" s="38"/>
      <c r="AU4374" s="38"/>
      <c r="AV4374" s="38"/>
      <c r="AW4374" s="38"/>
      <c r="AX4374" s="38"/>
      <c r="AY4374" s="38"/>
      <c r="AZ4374" s="38"/>
      <c r="BA4374" s="38"/>
      <c r="BB4374" s="38"/>
      <c r="BC4374" s="38"/>
      <c r="BD4374" s="38"/>
      <c r="BE4374" s="38"/>
      <c r="BF4374" s="38"/>
      <c r="BG4374" s="38"/>
      <c r="BH4374" s="38"/>
      <c r="BI4374" s="38"/>
      <c r="BJ4374" s="38"/>
      <c r="BK4374" s="38"/>
      <c r="BL4374" s="38"/>
      <c r="BM4374" s="38"/>
      <c r="BN4374" s="38"/>
      <c r="BO4374" s="38"/>
      <c r="BP4374" s="38"/>
      <c r="BQ4374" s="38"/>
    </row>
    <row r="4375">
      <c r="A4375" s="16"/>
      <c r="B4375" s="145"/>
      <c r="C4375" s="146"/>
      <c r="D4375" s="146"/>
      <c r="E4375" s="16"/>
      <c r="F4375" s="91"/>
      <c r="G4375" s="16"/>
      <c r="H4375" s="320" t="str">
        <f t="shared" si="424"/>
        <v/>
      </c>
      <c r="I4375" s="16"/>
      <c r="J4375" s="16"/>
      <c r="K4375" s="16"/>
      <c r="L4375" s="16"/>
      <c r="M4375" s="15"/>
      <c r="N4375" s="15"/>
      <c r="O4375" s="16"/>
      <c r="P4375" s="16"/>
      <c r="Q4375" s="16"/>
      <c r="R4375" s="16"/>
      <c r="S4375" s="37" t="str">
        <f>IFERROR(__xludf.DUMMYFUNCTION("if(not(iserror(index(split(C4375, "" ""),2))), index(split(C4375, "" ""),1),"""")"),"")</f>
        <v/>
      </c>
      <c r="T4375" s="315" t="str">
        <f>IFERROR(__xludf.DUMMYFUNCTION("if(S4375="""",C4375,if(not(iserror(index(split(C4375, "" ""),3))), index(split(C4375, "" ""),3),index(split(C4375, "" ""),2)))"),"")</f>
        <v/>
      </c>
      <c r="U4375" s="38" t="b">
        <f t="shared" si="423"/>
        <v>0</v>
      </c>
      <c r="V4375" s="38"/>
      <c r="W4375" s="40"/>
      <c r="X4375" s="40"/>
      <c r="Y4375" s="40"/>
      <c r="Z4375" s="38"/>
      <c r="AA4375" s="38"/>
      <c r="AB4375" s="38"/>
      <c r="AC4375" s="38"/>
      <c r="AD4375" s="38"/>
      <c r="AE4375" s="38"/>
      <c r="AF4375" s="38"/>
      <c r="AG4375" s="38"/>
      <c r="AH4375" s="38"/>
      <c r="AI4375" s="38"/>
      <c r="AJ4375" s="38"/>
      <c r="AK4375" s="38"/>
      <c r="AL4375" s="38"/>
      <c r="AM4375" s="38"/>
      <c r="AN4375" s="38"/>
      <c r="AO4375" s="38"/>
      <c r="AP4375" s="38"/>
      <c r="AQ4375" s="38"/>
      <c r="AR4375" s="38"/>
      <c r="AS4375" s="38"/>
      <c r="AT4375" s="38"/>
      <c r="AU4375" s="38"/>
      <c r="AV4375" s="38"/>
      <c r="AW4375" s="38"/>
      <c r="AX4375" s="38"/>
      <c r="AY4375" s="38"/>
      <c r="AZ4375" s="38"/>
      <c r="BA4375" s="38"/>
      <c r="BB4375" s="38"/>
      <c r="BC4375" s="38"/>
      <c r="BD4375" s="38"/>
      <c r="BE4375" s="38"/>
      <c r="BF4375" s="38"/>
      <c r="BG4375" s="38"/>
      <c r="BH4375" s="38"/>
      <c r="BI4375" s="38"/>
      <c r="BJ4375" s="38"/>
      <c r="BK4375" s="38"/>
      <c r="BL4375" s="38"/>
      <c r="BM4375" s="38"/>
      <c r="BN4375" s="38"/>
      <c r="BO4375" s="38"/>
      <c r="BP4375" s="38"/>
      <c r="BQ4375" s="38"/>
    </row>
    <row r="4376">
      <c r="A4376" s="16"/>
      <c r="B4376" s="145"/>
      <c r="C4376" s="146"/>
      <c r="D4376" s="146"/>
      <c r="E4376" s="16"/>
      <c r="F4376" s="91"/>
      <c r="G4376" s="16"/>
      <c r="H4376" s="320" t="str">
        <f t="shared" si="424"/>
        <v/>
      </c>
      <c r="I4376" s="16"/>
      <c r="J4376" s="16"/>
      <c r="K4376" s="16"/>
      <c r="L4376" s="16"/>
      <c r="M4376" s="15"/>
      <c r="N4376" s="15"/>
      <c r="O4376" s="16"/>
      <c r="P4376" s="16"/>
      <c r="Q4376" s="16"/>
      <c r="R4376" s="16"/>
      <c r="S4376" s="37" t="str">
        <f>IFERROR(__xludf.DUMMYFUNCTION("if(not(iserror(index(split(C4376, "" ""),2))), index(split(C4376, "" ""),1),"""")"),"")</f>
        <v/>
      </c>
      <c r="T4376" s="315" t="str">
        <f>IFERROR(__xludf.DUMMYFUNCTION("if(S4376="""",C4376,if(not(iserror(index(split(C4376, "" ""),3))), index(split(C4376, "" ""),3),index(split(C4376, "" ""),2)))"),"")</f>
        <v/>
      </c>
      <c r="U4376" s="38" t="b">
        <f t="shared" si="423"/>
        <v>0</v>
      </c>
      <c r="V4376" s="38"/>
      <c r="W4376" s="40"/>
      <c r="X4376" s="40"/>
      <c r="Y4376" s="40"/>
      <c r="Z4376" s="38"/>
      <c r="AA4376" s="38"/>
      <c r="AB4376" s="38"/>
      <c r="AC4376" s="38"/>
      <c r="AD4376" s="38"/>
      <c r="AE4376" s="38"/>
      <c r="AF4376" s="38"/>
      <c r="AG4376" s="38"/>
      <c r="AH4376" s="38"/>
      <c r="AI4376" s="38"/>
      <c r="AJ4376" s="38"/>
      <c r="AK4376" s="38"/>
      <c r="AL4376" s="38"/>
      <c r="AM4376" s="38"/>
      <c r="AN4376" s="38"/>
      <c r="AO4376" s="38"/>
      <c r="AP4376" s="38"/>
      <c r="AQ4376" s="38"/>
      <c r="AR4376" s="38"/>
      <c r="AS4376" s="38"/>
      <c r="AT4376" s="38"/>
      <c r="AU4376" s="38"/>
      <c r="AV4376" s="38"/>
      <c r="AW4376" s="38"/>
      <c r="AX4376" s="38"/>
      <c r="AY4376" s="38"/>
      <c r="AZ4376" s="38"/>
      <c r="BA4376" s="38"/>
      <c r="BB4376" s="38"/>
      <c r="BC4376" s="38"/>
      <c r="BD4376" s="38"/>
      <c r="BE4376" s="38"/>
      <c r="BF4376" s="38"/>
      <c r="BG4376" s="38"/>
      <c r="BH4376" s="38"/>
      <c r="BI4376" s="38"/>
      <c r="BJ4376" s="38"/>
      <c r="BK4376" s="38"/>
      <c r="BL4376" s="38"/>
      <c r="BM4376" s="38"/>
      <c r="BN4376" s="38"/>
      <c r="BO4376" s="38"/>
      <c r="BP4376" s="38"/>
      <c r="BQ4376" s="38"/>
    </row>
    <row r="4377">
      <c r="A4377" s="16"/>
      <c r="B4377" s="145"/>
      <c r="C4377" s="146"/>
      <c r="D4377" s="146"/>
      <c r="E4377" s="16"/>
      <c r="F4377" s="91"/>
      <c r="G4377" s="16"/>
      <c r="H4377" s="320" t="str">
        <f t="shared" si="424"/>
        <v/>
      </c>
      <c r="I4377" s="16"/>
      <c r="J4377" s="16"/>
      <c r="K4377" s="16"/>
      <c r="L4377" s="16"/>
      <c r="M4377" s="15"/>
      <c r="N4377" s="15"/>
      <c r="O4377" s="16"/>
      <c r="P4377" s="16"/>
      <c r="Q4377" s="16"/>
      <c r="R4377" s="16"/>
      <c r="S4377" s="37" t="str">
        <f>IFERROR(__xludf.DUMMYFUNCTION("if(not(iserror(index(split(C4377, "" ""),2))), index(split(C4377, "" ""),1),"""")"),"")</f>
        <v/>
      </c>
      <c r="T4377" s="315" t="str">
        <f>IFERROR(__xludf.DUMMYFUNCTION("if(S4377="""",C4377,if(not(iserror(index(split(C4377, "" ""),3))), index(split(C4377, "" ""),3),index(split(C4377, "" ""),2)))"),"")</f>
        <v/>
      </c>
      <c r="U4377" s="38" t="b">
        <f t="shared" si="423"/>
        <v>0</v>
      </c>
      <c r="V4377" s="38"/>
      <c r="W4377" s="40"/>
      <c r="X4377" s="40"/>
      <c r="Y4377" s="40"/>
      <c r="Z4377" s="38"/>
      <c r="AA4377" s="38"/>
      <c r="AB4377" s="38"/>
      <c r="AC4377" s="38"/>
      <c r="AD4377" s="38"/>
      <c r="AE4377" s="38"/>
      <c r="AF4377" s="38"/>
      <c r="AG4377" s="38"/>
      <c r="AH4377" s="38"/>
      <c r="AI4377" s="38"/>
      <c r="AJ4377" s="38"/>
      <c r="AK4377" s="38"/>
      <c r="AL4377" s="38"/>
      <c r="AM4377" s="38"/>
      <c r="AN4377" s="38"/>
      <c r="AO4377" s="38"/>
      <c r="AP4377" s="38"/>
      <c r="AQ4377" s="38"/>
      <c r="AR4377" s="38"/>
      <c r="AS4377" s="38"/>
      <c r="AT4377" s="38"/>
      <c r="AU4377" s="38"/>
      <c r="AV4377" s="38"/>
      <c r="AW4377" s="38"/>
      <c r="AX4377" s="38"/>
      <c r="AY4377" s="38"/>
      <c r="AZ4377" s="38"/>
      <c r="BA4377" s="38"/>
      <c r="BB4377" s="38"/>
      <c r="BC4377" s="38"/>
      <c r="BD4377" s="38"/>
      <c r="BE4377" s="38"/>
      <c r="BF4377" s="38"/>
      <c r="BG4377" s="38"/>
      <c r="BH4377" s="38"/>
      <c r="BI4377" s="38"/>
      <c r="BJ4377" s="38"/>
      <c r="BK4377" s="38"/>
      <c r="BL4377" s="38"/>
      <c r="BM4377" s="38"/>
      <c r="BN4377" s="38"/>
      <c r="BO4377" s="38"/>
      <c r="BP4377" s="38"/>
      <c r="BQ4377" s="38"/>
    </row>
    <row r="4378">
      <c r="A4378" s="16"/>
      <c r="B4378" s="145"/>
      <c r="C4378" s="146"/>
      <c r="D4378" s="146"/>
      <c r="E4378" s="16"/>
      <c r="F4378" s="91"/>
      <c r="G4378" s="16"/>
      <c r="H4378" s="320" t="str">
        <f t="shared" si="424"/>
        <v/>
      </c>
      <c r="I4378" s="16"/>
      <c r="J4378" s="16"/>
      <c r="K4378" s="16"/>
      <c r="L4378" s="16"/>
      <c r="M4378" s="15"/>
      <c r="N4378" s="15"/>
      <c r="O4378" s="16"/>
      <c r="P4378" s="16"/>
      <c r="Q4378" s="16"/>
      <c r="R4378" s="16"/>
      <c r="S4378" s="37" t="str">
        <f>IFERROR(__xludf.DUMMYFUNCTION("if(not(iserror(index(split(C4378, "" ""),2))), index(split(C4378, "" ""),1),"""")"),"")</f>
        <v/>
      </c>
      <c r="T4378" s="315" t="str">
        <f>IFERROR(__xludf.DUMMYFUNCTION("if(S4378="""",C4378,if(not(iserror(index(split(C4378, "" ""),3))), index(split(C4378, "" ""),3),index(split(C4378, "" ""),2)))"),"")</f>
        <v/>
      </c>
      <c r="U4378" s="38" t="b">
        <f t="shared" si="423"/>
        <v>0</v>
      </c>
      <c r="V4378" s="38"/>
      <c r="W4378" s="40"/>
      <c r="X4378" s="40"/>
      <c r="Y4378" s="40"/>
      <c r="Z4378" s="38"/>
      <c r="AA4378" s="38"/>
      <c r="AB4378" s="38"/>
      <c r="AC4378" s="38"/>
      <c r="AD4378" s="38"/>
      <c r="AE4378" s="38"/>
      <c r="AF4378" s="38"/>
      <c r="AG4378" s="38"/>
      <c r="AH4378" s="38"/>
      <c r="AI4378" s="38"/>
      <c r="AJ4378" s="38"/>
      <c r="AK4378" s="38"/>
      <c r="AL4378" s="38"/>
      <c r="AM4378" s="38"/>
      <c r="AN4378" s="38"/>
      <c r="AO4378" s="38"/>
      <c r="AP4378" s="38"/>
      <c r="AQ4378" s="38"/>
      <c r="AR4378" s="38"/>
      <c r="AS4378" s="38"/>
      <c r="AT4378" s="38"/>
      <c r="AU4378" s="38"/>
      <c r="AV4378" s="38"/>
      <c r="AW4378" s="38"/>
      <c r="AX4378" s="38"/>
      <c r="AY4378" s="38"/>
      <c r="AZ4378" s="38"/>
      <c r="BA4378" s="38"/>
      <c r="BB4378" s="38"/>
      <c r="BC4378" s="38"/>
      <c r="BD4378" s="38"/>
      <c r="BE4378" s="38"/>
      <c r="BF4378" s="38"/>
      <c r="BG4378" s="38"/>
      <c r="BH4378" s="38"/>
      <c r="BI4378" s="38"/>
      <c r="BJ4378" s="38"/>
      <c r="BK4378" s="38"/>
      <c r="BL4378" s="38"/>
      <c r="BM4378" s="38"/>
      <c r="BN4378" s="38"/>
      <c r="BO4378" s="38"/>
      <c r="BP4378" s="38"/>
      <c r="BQ4378" s="38"/>
    </row>
    <row r="4379">
      <c r="A4379" s="16"/>
      <c r="B4379" s="145"/>
      <c r="C4379" s="146"/>
      <c r="D4379" s="146"/>
      <c r="E4379" s="16"/>
      <c r="F4379" s="91"/>
      <c r="G4379" s="16"/>
      <c r="H4379" s="320" t="str">
        <f t="shared" si="424"/>
        <v/>
      </c>
      <c r="I4379" s="16"/>
      <c r="J4379" s="16"/>
      <c r="K4379" s="16"/>
      <c r="L4379" s="16"/>
      <c r="M4379" s="15"/>
      <c r="N4379" s="15"/>
      <c r="O4379" s="16"/>
      <c r="P4379" s="16"/>
      <c r="Q4379" s="16"/>
      <c r="R4379" s="16"/>
      <c r="S4379" s="37" t="str">
        <f>IFERROR(__xludf.DUMMYFUNCTION("if(not(iserror(index(split(C4379, "" ""),2))), index(split(C4379, "" ""),1),"""")"),"")</f>
        <v/>
      </c>
      <c r="T4379" s="315" t="str">
        <f>IFERROR(__xludf.DUMMYFUNCTION("if(S4379="""",C4379,if(not(iserror(index(split(C4379, "" ""),3))), index(split(C4379, "" ""),3),index(split(C4379, "" ""),2)))"),"")</f>
        <v/>
      </c>
      <c r="U4379" s="38" t="b">
        <f t="shared" si="423"/>
        <v>0</v>
      </c>
      <c r="V4379" s="38"/>
      <c r="W4379" s="40"/>
      <c r="X4379" s="40"/>
      <c r="Y4379" s="40"/>
      <c r="Z4379" s="38"/>
      <c r="AA4379" s="38"/>
      <c r="AB4379" s="38"/>
      <c r="AC4379" s="38"/>
      <c r="AD4379" s="38"/>
      <c r="AE4379" s="38"/>
      <c r="AF4379" s="38"/>
      <c r="AG4379" s="38"/>
      <c r="AH4379" s="38"/>
      <c r="AI4379" s="38"/>
      <c r="AJ4379" s="38"/>
      <c r="AK4379" s="38"/>
      <c r="AL4379" s="38"/>
      <c r="AM4379" s="38"/>
      <c r="AN4379" s="38"/>
      <c r="AO4379" s="38"/>
      <c r="AP4379" s="38"/>
      <c r="AQ4379" s="38"/>
      <c r="AR4379" s="38"/>
      <c r="AS4379" s="38"/>
      <c r="AT4379" s="38"/>
      <c r="AU4379" s="38"/>
      <c r="AV4379" s="38"/>
      <c r="AW4379" s="38"/>
      <c r="AX4379" s="38"/>
      <c r="AY4379" s="38"/>
      <c r="AZ4379" s="38"/>
      <c r="BA4379" s="38"/>
      <c r="BB4379" s="38"/>
      <c r="BC4379" s="38"/>
      <c r="BD4379" s="38"/>
      <c r="BE4379" s="38"/>
      <c r="BF4379" s="38"/>
      <c r="BG4379" s="38"/>
      <c r="BH4379" s="38"/>
      <c r="BI4379" s="38"/>
      <c r="BJ4379" s="38"/>
      <c r="BK4379" s="38"/>
      <c r="BL4379" s="38"/>
      <c r="BM4379" s="38"/>
      <c r="BN4379" s="38"/>
      <c r="BO4379" s="38"/>
      <c r="BP4379" s="38"/>
      <c r="BQ4379" s="38"/>
    </row>
    <row r="4380">
      <c r="A4380" s="16"/>
      <c r="B4380" s="145"/>
      <c r="C4380" s="146"/>
      <c r="D4380" s="146"/>
      <c r="E4380" s="16"/>
      <c r="F4380" s="91"/>
      <c r="G4380" s="16"/>
      <c r="H4380" s="320" t="str">
        <f t="shared" si="424"/>
        <v/>
      </c>
      <c r="I4380" s="16"/>
      <c r="J4380" s="16"/>
      <c r="K4380" s="16"/>
      <c r="L4380" s="16"/>
      <c r="M4380" s="15"/>
      <c r="N4380" s="15"/>
      <c r="O4380" s="16"/>
      <c r="P4380" s="16"/>
      <c r="Q4380" s="16"/>
      <c r="R4380" s="16"/>
      <c r="S4380" s="37" t="str">
        <f>IFERROR(__xludf.DUMMYFUNCTION("if(not(iserror(index(split(C4380, "" ""),2))), index(split(C4380, "" ""),1),"""")"),"")</f>
        <v/>
      </c>
      <c r="T4380" s="315" t="str">
        <f>IFERROR(__xludf.DUMMYFUNCTION("if(S4380="""",C4380,if(not(iserror(index(split(C4380, "" ""),3))), index(split(C4380, "" ""),3),index(split(C4380, "" ""),2)))"),"")</f>
        <v/>
      </c>
      <c r="U4380" s="38" t="b">
        <f t="shared" si="423"/>
        <v>0</v>
      </c>
      <c r="V4380" s="38"/>
      <c r="W4380" s="40"/>
      <c r="X4380" s="40"/>
      <c r="Y4380" s="40"/>
      <c r="Z4380" s="38"/>
      <c r="AA4380" s="38"/>
      <c r="AB4380" s="38"/>
      <c r="AC4380" s="38"/>
      <c r="AD4380" s="38"/>
      <c r="AE4380" s="38"/>
      <c r="AF4380" s="38"/>
      <c r="AG4380" s="38"/>
      <c r="AH4380" s="38"/>
      <c r="AI4380" s="38"/>
      <c r="AJ4380" s="38"/>
      <c r="AK4380" s="38"/>
      <c r="AL4380" s="38"/>
      <c r="AM4380" s="38"/>
      <c r="AN4380" s="38"/>
      <c r="AO4380" s="38"/>
      <c r="AP4380" s="38"/>
      <c r="AQ4380" s="38"/>
      <c r="AR4380" s="38"/>
      <c r="AS4380" s="38"/>
      <c r="AT4380" s="38"/>
      <c r="AU4380" s="38"/>
      <c r="AV4380" s="38"/>
      <c r="AW4380" s="38"/>
      <c r="AX4380" s="38"/>
      <c r="AY4380" s="38"/>
      <c r="AZ4380" s="38"/>
      <c r="BA4380" s="38"/>
      <c r="BB4380" s="38"/>
      <c r="BC4380" s="38"/>
      <c r="BD4380" s="38"/>
      <c r="BE4380" s="38"/>
      <c r="BF4380" s="38"/>
      <c r="BG4380" s="38"/>
      <c r="BH4380" s="38"/>
      <c r="BI4380" s="38"/>
      <c r="BJ4380" s="38"/>
      <c r="BK4380" s="38"/>
      <c r="BL4380" s="38"/>
      <c r="BM4380" s="38"/>
      <c r="BN4380" s="38"/>
      <c r="BO4380" s="38"/>
      <c r="BP4380" s="38"/>
      <c r="BQ4380" s="38"/>
    </row>
    <row r="4381">
      <c r="A4381" s="16"/>
      <c r="B4381" s="145"/>
      <c r="C4381" s="146"/>
      <c r="D4381" s="146"/>
      <c r="E4381" s="16"/>
      <c r="F4381" s="91"/>
      <c r="G4381" s="16"/>
      <c r="H4381" s="320" t="str">
        <f t="shared" si="424"/>
        <v/>
      </c>
      <c r="I4381" s="16"/>
      <c r="J4381" s="16"/>
      <c r="K4381" s="16"/>
      <c r="L4381" s="16"/>
      <c r="M4381" s="15"/>
      <c r="N4381" s="15"/>
      <c r="O4381" s="16"/>
      <c r="P4381" s="16"/>
      <c r="Q4381" s="16"/>
      <c r="R4381" s="16"/>
      <c r="S4381" s="37" t="str">
        <f>IFERROR(__xludf.DUMMYFUNCTION("if(not(iserror(index(split(C4381, "" ""),2))), index(split(C4381, "" ""),1),"""")"),"")</f>
        <v/>
      </c>
      <c r="T4381" s="315" t="str">
        <f>IFERROR(__xludf.DUMMYFUNCTION("if(S4381="""",C4381,if(not(iserror(index(split(C4381, "" ""),3))), index(split(C4381, "" ""),3),index(split(C4381, "" ""),2)))"),"")</f>
        <v/>
      </c>
      <c r="U4381" s="38" t="b">
        <f t="shared" si="423"/>
        <v>0</v>
      </c>
      <c r="V4381" s="38"/>
      <c r="W4381" s="40"/>
      <c r="X4381" s="40"/>
      <c r="Y4381" s="40"/>
      <c r="Z4381" s="38"/>
      <c r="AA4381" s="38"/>
      <c r="AB4381" s="38"/>
      <c r="AC4381" s="38"/>
      <c r="AD4381" s="38"/>
      <c r="AE4381" s="38"/>
      <c r="AF4381" s="38"/>
      <c r="AG4381" s="38"/>
      <c r="AH4381" s="38"/>
      <c r="AI4381" s="38"/>
      <c r="AJ4381" s="38"/>
      <c r="AK4381" s="38"/>
      <c r="AL4381" s="38"/>
      <c r="AM4381" s="38"/>
      <c r="AN4381" s="38"/>
      <c r="AO4381" s="38"/>
      <c r="AP4381" s="38"/>
      <c r="AQ4381" s="38"/>
      <c r="AR4381" s="38"/>
      <c r="AS4381" s="38"/>
      <c r="AT4381" s="38"/>
      <c r="AU4381" s="38"/>
      <c r="AV4381" s="38"/>
      <c r="AW4381" s="38"/>
      <c r="AX4381" s="38"/>
      <c r="AY4381" s="38"/>
      <c r="AZ4381" s="38"/>
      <c r="BA4381" s="38"/>
      <c r="BB4381" s="38"/>
      <c r="BC4381" s="38"/>
      <c r="BD4381" s="38"/>
      <c r="BE4381" s="38"/>
      <c r="BF4381" s="38"/>
      <c r="BG4381" s="38"/>
      <c r="BH4381" s="38"/>
      <c r="BI4381" s="38"/>
      <c r="BJ4381" s="38"/>
      <c r="BK4381" s="38"/>
      <c r="BL4381" s="38"/>
      <c r="BM4381" s="38"/>
      <c r="BN4381" s="38"/>
      <c r="BO4381" s="38"/>
      <c r="BP4381" s="38"/>
      <c r="BQ4381" s="38"/>
    </row>
    <row r="4382">
      <c r="A4382" s="16"/>
      <c r="B4382" s="145"/>
      <c r="C4382" s="146"/>
      <c r="D4382" s="146"/>
      <c r="E4382" s="16"/>
      <c r="F4382" s="91"/>
      <c r="G4382" s="16"/>
      <c r="H4382" s="320" t="str">
        <f t="shared" si="424"/>
        <v/>
      </c>
      <c r="I4382" s="16"/>
      <c r="J4382" s="16"/>
      <c r="K4382" s="16"/>
      <c r="L4382" s="16"/>
      <c r="M4382" s="15"/>
      <c r="N4382" s="15"/>
      <c r="O4382" s="16"/>
      <c r="P4382" s="16"/>
      <c r="Q4382" s="16"/>
      <c r="R4382" s="16"/>
      <c r="S4382" s="37" t="str">
        <f>IFERROR(__xludf.DUMMYFUNCTION("if(not(iserror(index(split(C4382, "" ""),2))), index(split(C4382, "" ""),1),"""")"),"")</f>
        <v/>
      </c>
      <c r="T4382" s="315" t="str">
        <f>IFERROR(__xludf.DUMMYFUNCTION("if(S4382="""",C4382,if(not(iserror(index(split(C4382, "" ""),3))), index(split(C4382, "" ""),3),index(split(C4382, "" ""),2)))"),"")</f>
        <v/>
      </c>
      <c r="U4382" s="38" t="b">
        <f t="shared" si="423"/>
        <v>0</v>
      </c>
      <c r="V4382" s="38"/>
      <c r="W4382" s="40"/>
      <c r="X4382" s="40"/>
      <c r="Y4382" s="40"/>
      <c r="Z4382" s="38"/>
      <c r="AA4382" s="38"/>
      <c r="AB4382" s="38"/>
      <c r="AC4382" s="38"/>
      <c r="AD4382" s="38"/>
      <c r="AE4382" s="38"/>
      <c r="AF4382" s="38"/>
      <c r="AG4382" s="38"/>
      <c r="AH4382" s="38"/>
      <c r="AI4382" s="38"/>
      <c r="AJ4382" s="38"/>
      <c r="AK4382" s="38"/>
      <c r="AL4382" s="38"/>
      <c r="AM4382" s="38"/>
      <c r="AN4382" s="38"/>
      <c r="AO4382" s="38"/>
      <c r="AP4382" s="38"/>
      <c r="AQ4382" s="38"/>
      <c r="AR4382" s="38"/>
      <c r="AS4382" s="38"/>
      <c r="AT4382" s="38"/>
      <c r="AU4382" s="38"/>
      <c r="AV4382" s="38"/>
      <c r="AW4382" s="38"/>
      <c r="AX4382" s="38"/>
      <c r="AY4382" s="38"/>
      <c r="AZ4382" s="38"/>
      <c r="BA4382" s="38"/>
      <c r="BB4382" s="38"/>
      <c r="BC4382" s="38"/>
      <c r="BD4382" s="38"/>
      <c r="BE4382" s="38"/>
      <c r="BF4382" s="38"/>
      <c r="BG4382" s="38"/>
      <c r="BH4382" s="38"/>
      <c r="BI4382" s="38"/>
      <c r="BJ4382" s="38"/>
      <c r="BK4382" s="38"/>
      <c r="BL4382" s="38"/>
      <c r="BM4382" s="38"/>
      <c r="BN4382" s="38"/>
      <c r="BO4382" s="38"/>
      <c r="BP4382" s="38"/>
      <c r="BQ4382" s="38"/>
    </row>
    <row r="4383">
      <c r="A4383" s="16"/>
      <c r="B4383" s="145"/>
      <c r="C4383" s="146"/>
      <c r="D4383" s="146"/>
      <c r="E4383" s="16"/>
      <c r="F4383" s="91"/>
      <c r="G4383" s="16"/>
      <c r="H4383" s="320" t="str">
        <f t="shared" si="424"/>
        <v/>
      </c>
      <c r="I4383" s="16"/>
      <c r="J4383" s="16"/>
      <c r="K4383" s="16"/>
      <c r="L4383" s="16"/>
      <c r="M4383" s="15"/>
      <c r="N4383" s="15"/>
      <c r="O4383" s="16"/>
      <c r="P4383" s="16"/>
      <c r="Q4383" s="16"/>
      <c r="R4383" s="16"/>
      <c r="S4383" s="37" t="str">
        <f>IFERROR(__xludf.DUMMYFUNCTION("if(not(iserror(index(split(C4383, "" ""),2))), index(split(C4383, "" ""),1),"""")"),"")</f>
        <v/>
      </c>
      <c r="T4383" s="315" t="str">
        <f>IFERROR(__xludf.DUMMYFUNCTION("if(S4383="""",C4383,if(not(iserror(index(split(C4383, "" ""),3))), index(split(C4383, "" ""),3),index(split(C4383, "" ""),2)))"),"")</f>
        <v/>
      </c>
      <c r="U4383" s="38" t="b">
        <f t="shared" si="423"/>
        <v>0</v>
      </c>
      <c r="V4383" s="38"/>
      <c r="W4383" s="40"/>
      <c r="X4383" s="40"/>
      <c r="Y4383" s="40"/>
      <c r="Z4383" s="38"/>
      <c r="AA4383" s="38"/>
      <c r="AB4383" s="38"/>
      <c r="AC4383" s="38"/>
      <c r="AD4383" s="38"/>
      <c r="AE4383" s="38"/>
      <c r="AF4383" s="38"/>
      <c r="AG4383" s="38"/>
      <c r="AH4383" s="38"/>
      <c r="AI4383" s="38"/>
      <c r="AJ4383" s="38"/>
      <c r="AK4383" s="38"/>
      <c r="AL4383" s="38"/>
      <c r="AM4383" s="38"/>
      <c r="AN4383" s="38"/>
      <c r="AO4383" s="38"/>
      <c r="AP4383" s="38"/>
      <c r="AQ4383" s="38"/>
      <c r="AR4383" s="38"/>
      <c r="AS4383" s="38"/>
      <c r="AT4383" s="38"/>
      <c r="AU4383" s="38"/>
      <c r="AV4383" s="38"/>
      <c r="AW4383" s="38"/>
      <c r="AX4383" s="38"/>
      <c r="AY4383" s="38"/>
      <c r="AZ4383" s="38"/>
      <c r="BA4383" s="38"/>
      <c r="BB4383" s="38"/>
      <c r="BC4383" s="38"/>
      <c r="BD4383" s="38"/>
      <c r="BE4383" s="38"/>
      <c r="BF4383" s="38"/>
      <c r="BG4383" s="38"/>
      <c r="BH4383" s="38"/>
      <c r="BI4383" s="38"/>
      <c r="BJ4383" s="38"/>
      <c r="BK4383" s="38"/>
      <c r="BL4383" s="38"/>
      <c r="BM4383" s="38"/>
      <c r="BN4383" s="38"/>
      <c r="BO4383" s="38"/>
      <c r="BP4383" s="38"/>
      <c r="BQ4383" s="38"/>
    </row>
    <row r="4384">
      <c r="A4384" s="16"/>
      <c r="B4384" s="145"/>
      <c r="C4384" s="146"/>
      <c r="D4384" s="146"/>
      <c r="E4384" s="16"/>
      <c r="F4384" s="91"/>
      <c r="G4384" s="16"/>
      <c r="H4384" s="320" t="str">
        <f t="shared" si="424"/>
        <v/>
      </c>
      <c r="I4384" s="16"/>
      <c r="J4384" s="16"/>
      <c r="K4384" s="16"/>
      <c r="L4384" s="16"/>
      <c r="M4384" s="15"/>
      <c r="N4384" s="15"/>
      <c r="O4384" s="16"/>
      <c r="P4384" s="16"/>
      <c r="Q4384" s="16"/>
      <c r="R4384" s="16"/>
      <c r="S4384" s="37" t="str">
        <f>IFERROR(__xludf.DUMMYFUNCTION("if(not(iserror(index(split(C4384, "" ""),2))), index(split(C4384, "" ""),1),"""")"),"")</f>
        <v/>
      </c>
      <c r="T4384" s="315" t="str">
        <f>IFERROR(__xludf.DUMMYFUNCTION("if(S4384="""",C4384,if(not(iserror(index(split(C4384, "" ""),3))), index(split(C4384, "" ""),3),index(split(C4384, "" ""),2)))"),"")</f>
        <v/>
      </c>
      <c r="U4384" s="38" t="b">
        <f t="shared" si="423"/>
        <v>0</v>
      </c>
      <c r="V4384" s="38"/>
      <c r="W4384" s="40"/>
      <c r="X4384" s="40"/>
      <c r="Y4384" s="40"/>
      <c r="Z4384" s="38"/>
      <c r="AA4384" s="38"/>
      <c r="AB4384" s="38"/>
      <c r="AC4384" s="38"/>
      <c r="AD4384" s="38"/>
      <c r="AE4384" s="38"/>
      <c r="AF4384" s="38"/>
      <c r="AG4384" s="38"/>
      <c r="AH4384" s="38"/>
      <c r="AI4384" s="38"/>
      <c r="AJ4384" s="38"/>
      <c r="AK4384" s="38"/>
      <c r="AL4384" s="38"/>
      <c r="AM4384" s="38"/>
      <c r="AN4384" s="38"/>
      <c r="AO4384" s="38"/>
      <c r="AP4384" s="38"/>
      <c r="AQ4384" s="38"/>
      <c r="AR4384" s="38"/>
      <c r="AS4384" s="38"/>
      <c r="AT4384" s="38"/>
      <c r="AU4384" s="38"/>
      <c r="AV4384" s="38"/>
      <c r="AW4384" s="38"/>
      <c r="AX4384" s="38"/>
      <c r="AY4384" s="38"/>
      <c r="AZ4384" s="38"/>
      <c r="BA4384" s="38"/>
      <c r="BB4384" s="38"/>
      <c r="BC4384" s="38"/>
      <c r="BD4384" s="38"/>
      <c r="BE4384" s="38"/>
      <c r="BF4384" s="38"/>
      <c r="BG4384" s="38"/>
      <c r="BH4384" s="38"/>
      <c r="BI4384" s="38"/>
      <c r="BJ4384" s="38"/>
      <c r="BK4384" s="38"/>
      <c r="BL4384" s="38"/>
      <c r="BM4384" s="38"/>
      <c r="BN4384" s="38"/>
      <c r="BO4384" s="38"/>
      <c r="BP4384" s="38"/>
      <c r="BQ4384" s="38"/>
    </row>
    <row r="4385">
      <c r="A4385" s="16"/>
      <c r="B4385" s="145"/>
      <c r="C4385" s="146"/>
      <c r="D4385" s="146"/>
      <c r="E4385" s="16"/>
      <c r="F4385" s="91"/>
      <c r="G4385" s="16"/>
      <c r="H4385" s="320" t="str">
        <f t="shared" si="424"/>
        <v/>
      </c>
      <c r="I4385" s="16"/>
      <c r="J4385" s="16"/>
      <c r="K4385" s="16"/>
      <c r="L4385" s="16"/>
      <c r="M4385" s="15"/>
      <c r="N4385" s="15"/>
      <c r="O4385" s="16"/>
      <c r="P4385" s="16"/>
      <c r="Q4385" s="16"/>
      <c r="R4385" s="16"/>
      <c r="S4385" s="37" t="str">
        <f>IFERROR(__xludf.DUMMYFUNCTION("if(not(iserror(index(split(C4385, "" ""),2))), index(split(C4385, "" ""),1),"""")"),"")</f>
        <v/>
      </c>
      <c r="T4385" s="315" t="str">
        <f>IFERROR(__xludf.DUMMYFUNCTION("if(S4385="""",C4385,if(not(iserror(index(split(C4385, "" ""),3))), index(split(C4385, "" ""),3),index(split(C4385, "" ""),2)))"),"")</f>
        <v/>
      </c>
      <c r="U4385" s="38" t="b">
        <f t="shared" si="423"/>
        <v>0</v>
      </c>
      <c r="V4385" s="38"/>
      <c r="W4385" s="40"/>
      <c r="X4385" s="40"/>
      <c r="Y4385" s="40"/>
      <c r="Z4385" s="38"/>
      <c r="AA4385" s="38"/>
      <c r="AB4385" s="38"/>
      <c r="AC4385" s="38"/>
      <c r="AD4385" s="38"/>
      <c r="AE4385" s="38"/>
      <c r="AF4385" s="38"/>
      <c r="AG4385" s="38"/>
      <c r="AH4385" s="38"/>
      <c r="AI4385" s="38"/>
      <c r="AJ4385" s="38"/>
      <c r="AK4385" s="38"/>
      <c r="AL4385" s="38"/>
      <c r="AM4385" s="38"/>
      <c r="AN4385" s="38"/>
      <c r="AO4385" s="38"/>
      <c r="AP4385" s="38"/>
      <c r="AQ4385" s="38"/>
      <c r="AR4385" s="38"/>
      <c r="AS4385" s="38"/>
      <c r="AT4385" s="38"/>
      <c r="AU4385" s="38"/>
      <c r="AV4385" s="38"/>
      <c r="AW4385" s="38"/>
      <c r="AX4385" s="38"/>
      <c r="AY4385" s="38"/>
      <c r="AZ4385" s="38"/>
      <c r="BA4385" s="38"/>
      <c r="BB4385" s="38"/>
      <c r="BC4385" s="38"/>
      <c r="BD4385" s="38"/>
      <c r="BE4385" s="38"/>
      <c r="BF4385" s="38"/>
      <c r="BG4385" s="38"/>
      <c r="BH4385" s="38"/>
      <c r="BI4385" s="38"/>
      <c r="BJ4385" s="38"/>
      <c r="BK4385" s="38"/>
      <c r="BL4385" s="38"/>
      <c r="BM4385" s="38"/>
      <c r="BN4385" s="38"/>
      <c r="BO4385" s="38"/>
      <c r="BP4385" s="38"/>
      <c r="BQ4385" s="38"/>
    </row>
    <row r="4386">
      <c r="A4386" s="16"/>
      <c r="B4386" s="145"/>
      <c r="C4386" s="146"/>
      <c r="D4386" s="146"/>
      <c r="E4386" s="16"/>
      <c r="F4386" s="91"/>
      <c r="G4386" s="16"/>
      <c r="H4386" s="320" t="str">
        <f t="shared" si="424"/>
        <v/>
      </c>
      <c r="I4386" s="16"/>
      <c r="J4386" s="16"/>
      <c r="K4386" s="16"/>
      <c r="L4386" s="16"/>
      <c r="M4386" s="15"/>
      <c r="N4386" s="15"/>
      <c r="O4386" s="16"/>
      <c r="P4386" s="16"/>
      <c r="Q4386" s="16"/>
      <c r="R4386" s="16"/>
      <c r="S4386" s="37" t="str">
        <f>IFERROR(__xludf.DUMMYFUNCTION("if(not(iserror(index(split(C4386, "" ""),2))), index(split(C4386, "" ""),1),"""")"),"")</f>
        <v/>
      </c>
      <c r="T4386" s="315" t="str">
        <f>IFERROR(__xludf.DUMMYFUNCTION("if(S4386="""",C4386,if(not(iserror(index(split(C4386, "" ""),3))), index(split(C4386, "" ""),3),index(split(C4386, "" ""),2)))"),"")</f>
        <v/>
      </c>
      <c r="U4386" s="38" t="b">
        <f t="shared" si="423"/>
        <v>0</v>
      </c>
      <c r="V4386" s="38"/>
      <c r="W4386" s="40"/>
      <c r="X4386" s="40"/>
      <c r="Y4386" s="40"/>
      <c r="Z4386" s="38"/>
      <c r="AA4386" s="38"/>
      <c r="AB4386" s="38"/>
      <c r="AC4386" s="38"/>
      <c r="AD4386" s="38"/>
      <c r="AE4386" s="38"/>
      <c r="AF4386" s="38"/>
      <c r="AG4386" s="38"/>
      <c r="AH4386" s="38"/>
      <c r="AI4386" s="38"/>
      <c r="AJ4386" s="38"/>
      <c r="AK4386" s="38"/>
      <c r="AL4386" s="38"/>
      <c r="AM4386" s="38"/>
      <c r="AN4386" s="38"/>
      <c r="AO4386" s="38"/>
      <c r="AP4386" s="38"/>
      <c r="AQ4386" s="38"/>
      <c r="AR4386" s="38"/>
      <c r="AS4386" s="38"/>
      <c r="AT4386" s="38"/>
      <c r="AU4386" s="38"/>
      <c r="AV4386" s="38"/>
      <c r="AW4386" s="38"/>
      <c r="AX4386" s="38"/>
      <c r="AY4386" s="38"/>
      <c r="AZ4386" s="38"/>
      <c r="BA4386" s="38"/>
      <c r="BB4386" s="38"/>
      <c r="BC4386" s="38"/>
      <c r="BD4386" s="38"/>
      <c r="BE4386" s="38"/>
      <c r="BF4386" s="38"/>
      <c r="BG4386" s="38"/>
      <c r="BH4386" s="38"/>
      <c r="BI4386" s="38"/>
      <c r="BJ4386" s="38"/>
      <c r="BK4386" s="38"/>
      <c r="BL4386" s="38"/>
      <c r="BM4386" s="38"/>
      <c r="BN4386" s="38"/>
      <c r="BO4386" s="38"/>
      <c r="BP4386" s="38"/>
      <c r="BQ4386" s="38"/>
    </row>
    <row r="4387">
      <c r="A4387" s="16"/>
      <c r="B4387" s="145"/>
      <c r="C4387" s="146"/>
      <c r="D4387" s="146"/>
      <c r="E4387" s="16"/>
      <c r="F4387" s="91"/>
      <c r="G4387" s="16"/>
      <c r="H4387" s="320" t="str">
        <f t="shared" si="424"/>
        <v/>
      </c>
      <c r="I4387" s="16"/>
      <c r="J4387" s="16"/>
      <c r="K4387" s="16"/>
      <c r="L4387" s="16"/>
      <c r="M4387" s="15"/>
      <c r="N4387" s="15"/>
      <c r="O4387" s="16"/>
      <c r="P4387" s="16"/>
      <c r="Q4387" s="16"/>
      <c r="R4387" s="16"/>
      <c r="S4387" s="37" t="str">
        <f>IFERROR(__xludf.DUMMYFUNCTION("if(not(iserror(index(split(C4387, "" ""),2))), index(split(C4387, "" ""),1),"""")"),"")</f>
        <v/>
      </c>
      <c r="T4387" s="315" t="str">
        <f>IFERROR(__xludf.DUMMYFUNCTION("if(S4387="""",C4387,if(not(iserror(index(split(C4387, "" ""),3))), index(split(C4387, "" ""),3),index(split(C4387, "" ""),2)))"),"")</f>
        <v/>
      </c>
      <c r="U4387" s="38" t="b">
        <f t="shared" si="423"/>
        <v>0</v>
      </c>
      <c r="V4387" s="38"/>
      <c r="W4387" s="40"/>
      <c r="X4387" s="40"/>
      <c r="Y4387" s="40"/>
      <c r="Z4387" s="38"/>
      <c r="AA4387" s="38"/>
      <c r="AB4387" s="38"/>
      <c r="AC4387" s="38"/>
      <c r="AD4387" s="38"/>
      <c r="AE4387" s="38"/>
      <c r="AF4387" s="38"/>
      <c r="AG4387" s="38"/>
      <c r="AH4387" s="38"/>
      <c r="AI4387" s="38"/>
      <c r="AJ4387" s="38"/>
      <c r="AK4387" s="38"/>
      <c r="AL4387" s="38"/>
      <c r="AM4387" s="38"/>
      <c r="AN4387" s="38"/>
      <c r="AO4387" s="38"/>
      <c r="AP4387" s="38"/>
      <c r="AQ4387" s="38"/>
      <c r="AR4387" s="38"/>
      <c r="AS4387" s="38"/>
      <c r="AT4387" s="38"/>
      <c r="AU4387" s="38"/>
      <c r="AV4387" s="38"/>
      <c r="AW4387" s="38"/>
      <c r="AX4387" s="38"/>
      <c r="AY4387" s="38"/>
      <c r="AZ4387" s="38"/>
      <c r="BA4387" s="38"/>
      <c r="BB4387" s="38"/>
      <c r="BC4387" s="38"/>
      <c r="BD4387" s="38"/>
      <c r="BE4387" s="38"/>
      <c r="BF4387" s="38"/>
      <c r="BG4387" s="38"/>
      <c r="BH4387" s="38"/>
      <c r="BI4387" s="38"/>
      <c r="BJ4387" s="38"/>
      <c r="BK4387" s="38"/>
      <c r="BL4387" s="38"/>
      <c r="BM4387" s="38"/>
      <c r="BN4387" s="38"/>
      <c r="BO4387" s="38"/>
      <c r="BP4387" s="38"/>
      <c r="BQ4387" s="38"/>
    </row>
    <row r="4388">
      <c r="A4388" s="16"/>
      <c r="B4388" s="145"/>
      <c r="C4388" s="146"/>
      <c r="D4388" s="146"/>
      <c r="E4388" s="16"/>
      <c r="F4388" s="91"/>
      <c r="G4388" s="16"/>
      <c r="H4388" s="320" t="str">
        <f t="shared" si="424"/>
        <v/>
      </c>
      <c r="I4388" s="16"/>
      <c r="J4388" s="16"/>
      <c r="K4388" s="16"/>
      <c r="L4388" s="16"/>
      <c r="M4388" s="15"/>
      <c r="N4388" s="15"/>
      <c r="O4388" s="16"/>
      <c r="P4388" s="16"/>
      <c r="Q4388" s="16"/>
      <c r="R4388" s="16"/>
      <c r="S4388" s="37" t="str">
        <f>IFERROR(__xludf.DUMMYFUNCTION("if(not(iserror(index(split(C4388, "" ""),2))), index(split(C4388, "" ""),1),"""")"),"")</f>
        <v/>
      </c>
      <c r="T4388" s="315" t="str">
        <f>IFERROR(__xludf.DUMMYFUNCTION("if(S4388="""",C4388,if(not(iserror(index(split(C4388, "" ""),3))), index(split(C4388, "" ""),3),index(split(C4388, "" ""),2)))"),"")</f>
        <v/>
      </c>
      <c r="U4388" s="38" t="b">
        <f t="shared" si="423"/>
        <v>0</v>
      </c>
      <c r="V4388" s="38"/>
      <c r="W4388" s="40"/>
      <c r="X4388" s="40"/>
      <c r="Y4388" s="40"/>
      <c r="Z4388" s="38"/>
      <c r="AA4388" s="38"/>
      <c r="AB4388" s="38"/>
      <c r="AC4388" s="38"/>
      <c r="AD4388" s="38"/>
      <c r="AE4388" s="38"/>
      <c r="AF4388" s="38"/>
      <c r="AG4388" s="38"/>
      <c r="AH4388" s="38"/>
      <c r="AI4388" s="38"/>
      <c r="AJ4388" s="38"/>
      <c r="AK4388" s="38"/>
      <c r="AL4388" s="38"/>
      <c r="AM4388" s="38"/>
      <c r="AN4388" s="38"/>
      <c r="AO4388" s="38"/>
      <c r="AP4388" s="38"/>
      <c r="AQ4388" s="38"/>
      <c r="AR4388" s="38"/>
      <c r="AS4388" s="38"/>
      <c r="AT4388" s="38"/>
      <c r="AU4388" s="38"/>
      <c r="AV4388" s="38"/>
      <c r="AW4388" s="38"/>
      <c r="AX4388" s="38"/>
      <c r="AY4388" s="38"/>
      <c r="AZ4388" s="38"/>
      <c r="BA4388" s="38"/>
      <c r="BB4388" s="38"/>
      <c r="BC4388" s="38"/>
      <c r="BD4388" s="38"/>
      <c r="BE4388" s="38"/>
      <c r="BF4388" s="38"/>
      <c r="BG4388" s="38"/>
      <c r="BH4388" s="38"/>
      <c r="BI4388" s="38"/>
      <c r="BJ4388" s="38"/>
      <c r="BK4388" s="38"/>
      <c r="BL4388" s="38"/>
      <c r="BM4388" s="38"/>
      <c r="BN4388" s="38"/>
      <c r="BO4388" s="38"/>
      <c r="BP4388" s="38"/>
      <c r="BQ4388" s="38"/>
    </row>
    <row r="4389">
      <c r="A4389" s="16"/>
      <c r="B4389" s="145"/>
      <c r="C4389" s="146"/>
      <c r="D4389" s="146"/>
      <c r="E4389" s="16"/>
      <c r="F4389" s="91"/>
      <c r="G4389" s="16"/>
      <c r="H4389" s="320" t="str">
        <f t="shared" si="424"/>
        <v/>
      </c>
      <c r="I4389" s="16"/>
      <c r="J4389" s="16"/>
      <c r="K4389" s="16"/>
      <c r="L4389" s="16"/>
      <c r="M4389" s="15"/>
      <c r="N4389" s="15"/>
      <c r="O4389" s="16"/>
      <c r="P4389" s="16"/>
      <c r="Q4389" s="16"/>
      <c r="R4389" s="16"/>
      <c r="S4389" s="37" t="str">
        <f>IFERROR(__xludf.DUMMYFUNCTION("if(not(iserror(index(split(C4389, "" ""),2))), index(split(C4389, "" ""),1),"""")"),"")</f>
        <v/>
      </c>
      <c r="T4389" s="315" t="str">
        <f>IFERROR(__xludf.DUMMYFUNCTION("if(S4389="""",C4389,if(not(iserror(index(split(C4389, "" ""),3))), index(split(C4389, "" ""),3),index(split(C4389, "" ""),2)))"),"")</f>
        <v/>
      </c>
      <c r="U4389" s="38" t="b">
        <f t="shared" si="423"/>
        <v>0</v>
      </c>
      <c r="V4389" s="38"/>
      <c r="W4389" s="40"/>
      <c r="X4389" s="40"/>
      <c r="Y4389" s="40"/>
      <c r="Z4389" s="38"/>
      <c r="AA4389" s="38"/>
      <c r="AB4389" s="38"/>
      <c r="AC4389" s="38"/>
      <c r="AD4389" s="38"/>
      <c r="AE4389" s="38"/>
      <c r="AF4389" s="38"/>
      <c r="AG4389" s="38"/>
      <c r="AH4389" s="38"/>
      <c r="AI4389" s="38"/>
      <c r="AJ4389" s="38"/>
      <c r="AK4389" s="38"/>
      <c r="AL4389" s="38"/>
      <c r="AM4389" s="38"/>
      <c r="AN4389" s="38"/>
      <c r="AO4389" s="38"/>
      <c r="AP4389" s="38"/>
      <c r="AQ4389" s="38"/>
      <c r="AR4389" s="38"/>
      <c r="AS4389" s="38"/>
      <c r="AT4389" s="38"/>
      <c r="AU4389" s="38"/>
      <c r="AV4389" s="38"/>
      <c r="AW4389" s="38"/>
      <c r="AX4389" s="38"/>
      <c r="AY4389" s="38"/>
      <c r="AZ4389" s="38"/>
      <c r="BA4389" s="38"/>
      <c r="BB4389" s="38"/>
      <c r="BC4389" s="38"/>
      <c r="BD4389" s="38"/>
      <c r="BE4389" s="38"/>
      <c r="BF4389" s="38"/>
      <c r="BG4389" s="38"/>
      <c r="BH4389" s="38"/>
      <c r="BI4389" s="38"/>
      <c r="BJ4389" s="38"/>
      <c r="BK4389" s="38"/>
      <c r="BL4389" s="38"/>
      <c r="BM4389" s="38"/>
      <c r="BN4389" s="38"/>
      <c r="BO4389" s="38"/>
      <c r="BP4389" s="38"/>
      <c r="BQ4389" s="38"/>
    </row>
    <row r="4390">
      <c r="A4390" s="16"/>
      <c r="B4390" s="145"/>
      <c r="C4390" s="146"/>
      <c r="D4390" s="146"/>
      <c r="E4390" s="16"/>
      <c r="F4390" s="91"/>
      <c r="G4390" s="16"/>
      <c r="H4390" s="320" t="str">
        <f t="shared" si="424"/>
        <v/>
      </c>
      <c r="I4390" s="16"/>
      <c r="J4390" s="16"/>
      <c r="K4390" s="16"/>
      <c r="L4390" s="16"/>
      <c r="M4390" s="15"/>
      <c r="N4390" s="15"/>
      <c r="O4390" s="16"/>
      <c r="P4390" s="16"/>
      <c r="Q4390" s="16"/>
      <c r="R4390" s="16"/>
      <c r="S4390" s="37" t="str">
        <f>IFERROR(__xludf.DUMMYFUNCTION("if(not(iserror(index(split(C4390, "" ""),2))), index(split(C4390, "" ""),1),"""")"),"")</f>
        <v/>
      </c>
      <c r="T4390" s="315" t="str">
        <f>IFERROR(__xludf.DUMMYFUNCTION("if(S4390="""",C4390,if(not(iserror(index(split(C4390, "" ""),3))), index(split(C4390, "" ""),3),index(split(C4390, "" ""),2)))"),"")</f>
        <v/>
      </c>
      <c r="U4390" s="38" t="b">
        <f t="shared" si="423"/>
        <v>0</v>
      </c>
      <c r="V4390" s="38"/>
      <c r="W4390" s="40"/>
      <c r="X4390" s="40"/>
      <c r="Y4390" s="40"/>
      <c r="Z4390" s="38"/>
      <c r="AA4390" s="38"/>
      <c r="AB4390" s="38"/>
      <c r="AC4390" s="38"/>
      <c r="AD4390" s="38"/>
      <c r="AE4390" s="38"/>
      <c r="AF4390" s="38"/>
      <c r="AG4390" s="38"/>
      <c r="AH4390" s="38"/>
      <c r="AI4390" s="38"/>
      <c r="AJ4390" s="38"/>
      <c r="AK4390" s="38"/>
      <c r="AL4390" s="38"/>
      <c r="AM4390" s="38"/>
      <c r="AN4390" s="38"/>
      <c r="AO4390" s="38"/>
      <c r="AP4390" s="38"/>
      <c r="AQ4390" s="38"/>
      <c r="AR4390" s="38"/>
      <c r="AS4390" s="38"/>
      <c r="AT4390" s="38"/>
      <c r="AU4390" s="38"/>
      <c r="AV4390" s="38"/>
      <c r="AW4390" s="38"/>
      <c r="AX4390" s="38"/>
      <c r="AY4390" s="38"/>
      <c r="AZ4390" s="38"/>
      <c r="BA4390" s="38"/>
      <c r="BB4390" s="38"/>
      <c r="BC4390" s="38"/>
      <c r="BD4390" s="38"/>
      <c r="BE4390" s="38"/>
      <c r="BF4390" s="38"/>
      <c r="BG4390" s="38"/>
      <c r="BH4390" s="38"/>
      <c r="BI4390" s="38"/>
      <c r="BJ4390" s="38"/>
      <c r="BK4390" s="38"/>
      <c r="BL4390" s="38"/>
      <c r="BM4390" s="38"/>
      <c r="BN4390" s="38"/>
      <c r="BO4390" s="38"/>
      <c r="BP4390" s="38"/>
      <c r="BQ4390" s="38"/>
    </row>
    <row r="4391">
      <c r="A4391" s="16"/>
      <c r="B4391" s="145"/>
      <c r="C4391" s="146"/>
      <c r="D4391" s="146"/>
      <c r="E4391" s="16"/>
      <c r="F4391" s="91"/>
      <c r="G4391" s="16"/>
      <c r="H4391" s="320" t="str">
        <f t="shared" si="424"/>
        <v/>
      </c>
      <c r="I4391" s="16"/>
      <c r="J4391" s="16"/>
      <c r="K4391" s="16"/>
      <c r="L4391" s="16"/>
      <c r="M4391" s="15"/>
      <c r="N4391" s="15"/>
      <c r="O4391" s="16"/>
      <c r="P4391" s="16"/>
      <c r="Q4391" s="16"/>
      <c r="R4391" s="16"/>
      <c r="S4391" s="37" t="str">
        <f>IFERROR(__xludf.DUMMYFUNCTION("if(not(iserror(index(split(C4391, "" ""),2))), index(split(C4391, "" ""),1),"""")"),"")</f>
        <v/>
      </c>
      <c r="T4391" s="315" t="str">
        <f>IFERROR(__xludf.DUMMYFUNCTION("if(S4391="""",C4391,if(not(iserror(index(split(C4391, "" ""),3))), index(split(C4391, "" ""),3),index(split(C4391, "" ""),2)))"),"")</f>
        <v/>
      </c>
      <c r="U4391" s="38" t="b">
        <f t="shared" si="423"/>
        <v>0</v>
      </c>
      <c r="V4391" s="38"/>
      <c r="W4391" s="40"/>
      <c r="X4391" s="40"/>
      <c r="Y4391" s="40"/>
      <c r="Z4391" s="38"/>
      <c r="AA4391" s="38"/>
      <c r="AB4391" s="38"/>
      <c r="AC4391" s="38"/>
      <c r="AD4391" s="38"/>
      <c r="AE4391" s="38"/>
      <c r="AF4391" s="38"/>
      <c r="AG4391" s="38"/>
      <c r="AH4391" s="38"/>
      <c r="AI4391" s="38"/>
      <c r="AJ4391" s="38"/>
      <c r="AK4391" s="38"/>
      <c r="AL4391" s="38"/>
      <c r="AM4391" s="38"/>
      <c r="AN4391" s="38"/>
      <c r="AO4391" s="38"/>
      <c r="AP4391" s="38"/>
      <c r="AQ4391" s="38"/>
      <c r="AR4391" s="38"/>
      <c r="AS4391" s="38"/>
      <c r="AT4391" s="38"/>
      <c r="AU4391" s="38"/>
      <c r="AV4391" s="38"/>
      <c r="AW4391" s="38"/>
      <c r="AX4391" s="38"/>
      <c r="AY4391" s="38"/>
      <c r="AZ4391" s="38"/>
      <c r="BA4391" s="38"/>
      <c r="BB4391" s="38"/>
      <c r="BC4391" s="38"/>
      <c r="BD4391" s="38"/>
      <c r="BE4391" s="38"/>
      <c r="BF4391" s="38"/>
      <c r="BG4391" s="38"/>
      <c r="BH4391" s="38"/>
      <c r="BI4391" s="38"/>
      <c r="BJ4391" s="38"/>
      <c r="BK4391" s="38"/>
      <c r="BL4391" s="38"/>
      <c r="BM4391" s="38"/>
      <c r="BN4391" s="38"/>
      <c r="BO4391" s="38"/>
      <c r="BP4391" s="38"/>
      <c r="BQ4391" s="38"/>
    </row>
    <row r="4392">
      <c r="A4392" s="16"/>
      <c r="B4392" s="145"/>
      <c r="C4392" s="146"/>
      <c r="D4392" s="146"/>
      <c r="E4392" s="16"/>
      <c r="F4392" s="91"/>
      <c r="G4392" s="16"/>
      <c r="H4392" s="320" t="str">
        <f t="shared" si="424"/>
        <v/>
      </c>
      <c r="I4392" s="16"/>
      <c r="J4392" s="16"/>
      <c r="K4392" s="16"/>
      <c r="L4392" s="16"/>
      <c r="M4392" s="15"/>
      <c r="N4392" s="15"/>
      <c r="O4392" s="16"/>
      <c r="P4392" s="16"/>
      <c r="Q4392" s="16"/>
      <c r="R4392" s="16"/>
      <c r="S4392" s="37" t="str">
        <f>IFERROR(__xludf.DUMMYFUNCTION("if(not(iserror(index(split(C4392, "" ""),2))), index(split(C4392, "" ""),1),"""")"),"")</f>
        <v/>
      </c>
      <c r="T4392" s="315" t="str">
        <f>IFERROR(__xludf.DUMMYFUNCTION("if(S4392="""",C4392,if(not(iserror(index(split(C4392, "" ""),3))), index(split(C4392, "" ""),3),index(split(C4392, "" ""),2)))"),"")</f>
        <v/>
      </c>
      <c r="U4392" s="38" t="b">
        <f t="shared" si="423"/>
        <v>0</v>
      </c>
      <c r="V4392" s="38"/>
      <c r="W4392" s="40"/>
      <c r="X4392" s="40"/>
      <c r="Y4392" s="40"/>
      <c r="Z4392" s="38"/>
      <c r="AA4392" s="38"/>
      <c r="AB4392" s="38"/>
      <c r="AC4392" s="38"/>
      <c r="AD4392" s="38"/>
      <c r="AE4392" s="38"/>
      <c r="AF4392" s="38"/>
      <c r="AG4392" s="38"/>
      <c r="AH4392" s="38"/>
      <c r="AI4392" s="38"/>
      <c r="AJ4392" s="38"/>
      <c r="AK4392" s="38"/>
      <c r="AL4392" s="38"/>
      <c r="AM4392" s="38"/>
      <c r="AN4392" s="38"/>
      <c r="AO4392" s="38"/>
      <c r="AP4392" s="38"/>
      <c r="AQ4392" s="38"/>
      <c r="AR4392" s="38"/>
      <c r="AS4392" s="38"/>
      <c r="AT4392" s="38"/>
      <c r="AU4392" s="38"/>
      <c r="AV4392" s="38"/>
      <c r="AW4392" s="38"/>
      <c r="AX4392" s="38"/>
      <c r="AY4392" s="38"/>
      <c r="AZ4392" s="38"/>
      <c r="BA4392" s="38"/>
      <c r="BB4392" s="38"/>
      <c r="BC4392" s="38"/>
      <c r="BD4392" s="38"/>
      <c r="BE4392" s="38"/>
      <c r="BF4392" s="38"/>
      <c r="BG4392" s="38"/>
      <c r="BH4392" s="38"/>
      <c r="BI4392" s="38"/>
      <c r="BJ4392" s="38"/>
      <c r="BK4392" s="38"/>
      <c r="BL4392" s="38"/>
      <c r="BM4392" s="38"/>
      <c r="BN4392" s="38"/>
      <c r="BO4392" s="38"/>
      <c r="BP4392" s="38"/>
      <c r="BQ4392" s="38"/>
    </row>
    <row r="4393">
      <c r="A4393" s="16"/>
      <c r="B4393" s="145"/>
      <c r="C4393" s="146"/>
      <c r="D4393" s="146"/>
      <c r="E4393" s="16"/>
      <c r="F4393" s="91"/>
      <c r="G4393" s="16"/>
      <c r="H4393" s="320" t="str">
        <f t="shared" si="424"/>
        <v/>
      </c>
      <c r="I4393" s="16"/>
      <c r="J4393" s="16"/>
      <c r="K4393" s="16"/>
      <c r="L4393" s="16"/>
      <c r="M4393" s="15"/>
      <c r="N4393" s="15"/>
      <c r="O4393" s="16"/>
      <c r="P4393" s="16"/>
      <c r="Q4393" s="16"/>
      <c r="R4393" s="16"/>
      <c r="S4393" s="37" t="str">
        <f>IFERROR(__xludf.DUMMYFUNCTION("if(not(iserror(index(split(C4393, "" ""),2))), index(split(C4393, "" ""),1),"""")"),"")</f>
        <v/>
      </c>
      <c r="T4393" s="315" t="str">
        <f>IFERROR(__xludf.DUMMYFUNCTION("if(S4393="""",C4393,if(not(iserror(index(split(C4393, "" ""),3))), index(split(C4393, "" ""),3),index(split(C4393, "" ""),2)))"),"")</f>
        <v/>
      </c>
      <c r="U4393" s="38" t="b">
        <f t="shared" si="423"/>
        <v>0</v>
      </c>
      <c r="V4393" s="38"/>
      <c r="W4393" s="40"/>
      <c r="X4393" s="40"/>
      <c r="Y4393" s="40"/>
      <c r="Z4393" s="38"/>
      <c r="AA4393" s="38"/>
      <c r="AB4393" s="38"/>
      <c r="AC4393" s="38"/>
      <c r="AD4393" s="38"/>
      <c r="AE4393" s="38"/>
      <c r="AF4393" s="38"/>
      <c r="AG4393" s="38"/>
      <c r="AH4393" s="38"/>
      <c r="AI4393" s="38"/>
      <c r="AJ4393" s="38"/>
      <c r="AK4393" s="38"/>
      <c r="AL4393" s="38"/>
      <c r="AM4393" s="38"/>
      <c r="AN4393" s="38"/>
      <c r="AO4393" s="38"/>
      <c r="AP4393" s="38"/>
      <c r="AQ4393" s="38"/>
      <c r="AR4393" s="38"/>
      <c r="AS4393" s="38"/>
      <c r="AT4393" s="38"/>
      <c r="AU4393" s="38"/>
      <c r="AV4393" s="38"/>
      <c r="AW4393" s="38"/>
      <c r="AX4393" s="38"/>
      <c r="AY4393" s="38"/>
      <c r="AZ4393" s="38"/>
      <c r="BA4393" s="38"/>
      <c r="BB4393" s="38"/>
      <c r="BC4393" s="38"/>
      <c r="BD4393" s="38"/>
      <c r="BE4393" s="38"/>
      <c r="BF4393" s="38"/>
      <c r="BG4393" s="38"/>
      <c r="BH4393" s="38"/>
      <c r="BI4393" s="38"/>
      <c r="BJ4393" s="38"/>
      <c r="BK4393" s="38"/>
      <c r="BL4393" s="38"/>
      <c r="BM4393" s="38"/>
      <c r="BN4393" s="38"/>
      <c r="BO4393" s="38"/>
      <c r="BP4393" s="38"/>
      <c r="BQ4393" s="38"/>
    </row>
    <row r="4394">
      <c r="A4394" s="16"/>
      <c r="B4394" s="145"/>
      <c r="C4394" s="146"/>
      <c r="D4394" s="146"/>
      <c r="E4394" s="16"/>
      <c r="F4394" s="91"/>
      <c r="G4394" s="16"/>
      <c r="H4394" s="320" t="str">
        <f t="shared" si="424"/>
        <v/>
      </c>
      <c r="I4394" s="16"/>
      <c r="J4394" s="16"/>
      <c r="K4394" s="16"/>
      <c r="L4394" s="16"/>
      <c r="M4394" s="15"/>
      <c r="N4394" s="15"/>
      <c r="O4394" s="16"/>
      <c r="P4394" s="16"/>
      <c r="Q4394" s="16"/>
      <c r="R4394" s="16"/>
      <c r="S4394" s="37" t="str">
        <f>IFERROR(__xludf.DUMMYFUNCTION("if(not(iserror(index(split(C4394, "" ""),2))), index(split(C4394, "" ""),1),"""")"),"")</f>
        <v/>
      </c>
      <c r="T4394" s="315" t="str">
        <f>IFERROR(__xludf.DUMMYFUNCTION("if(S4394="""",C4394,if(not(iserror(index(split(C4394, "" ""),3))), index(split(C4394, "" ""),3),index(split(C4394, "" ""),2)))"),"")</f>
        <v/>
      </c>
      <c r="U4394" s="38" t="b">
        <f t="shared" si="423"/>
        <v>0</v>
      </c>
      <c r="V4394" s="38"/>
      <c r="W4394" s="40"/>
      <c r="X4394" s="40"/>
      <c r="Y4394" s="40"/>
      <c r="Z4394" s="38"/>
      <c r="AA4394" s="38"/>
      <c r="AB4394" s="38"/>
      <c r="AC4394" s="38"/>
      <c r="AD4394" s="38"/>
      <c r="AE4394" s="38"/>
      <c r="AF4394" s="38"/>
      <c r="AG4394" s="38"/>
      <c r="AH4394" s="38"/>
      <c r="AI4394" s="38"/>
      <c r="AJ4394" s="38"/>
      <c r="AK4394" s="38"/>
      <c r="AL4394" s="38"/>
      <c r="AM4394" s="38"/>
      <c r="AN4394" s="38"/>
      <c r="AO4394" s="38"/>
      <c r="AP4394" s="38"/>
      <c r="AQ4394" s="38"/>
      <c r="AR4394" s="38"/>
      <c r="AS4394" s="38"/>
      <c r="AT4394" s="38"/>
      <c r="AU4394" s="38"/>
      <c r="AV4394" s="38"/>
      <c r="AW4394" s="38"/>
      <c r="AX4394" s="38"/>
      <c r="AY4394" s="38"/>
      <c r="AZ4394" s="38"/>
      <c r="BA4394" s="38"/>
      <c r="BB4394" s="38"/>
      <c r="BC4394" s="38"/>
      <c r="BD4394" s="38"/>
      <c r="BE4394" s="38"/>
      <c r="BF4394" s="38"/>
      <c r="BG4394" s="38"/>
      <c r="BH4394" s="38"/>
      <c r="BI4394" s="38"/>
      <c r="BJ4394" s="38"/>
      <c r="BK4394" s="38"/>
      <c r="BL4394" s="38"/>
      <c r="BM4394" s="38"/>
      <c r="BN4394" s="38"/>
      <c r="BO4394" s="38"/>
      <c r="BP4394" s="38"/>
      <c r="BQ4394" s="38"/>
    </row>
    <row r="4395">
      <c r="A4395" s="16"/>
      <c r="B4395" s="145"/>
      <c r="C4395" s="146"/>
      <c r="D4395" s="146"/>
      <c r="E4395" s="16"/>
      <c r="F4395" s="91"/>
      <c r="G4395" s="16"/>
      <c r="H4395" s="320" t="str">
        <f t="shared" si="424"/>
        <v/>
      </c>
      <c r="I4395" s="16"/>
      <c r="J4395" s="16"/>
      <c r="K4395" s="16"/>
      <c r="L4395" s="16"/>
      <c r="M4395" s="15"/>
      <c r="N4395" s="15"/>
      <c r="O4395" s="16"/>
      <c r="P4395" s="16"/>
      <c r="Q4395" s="16"/>
      <c r="R4395" s="16"/>
      <c r="S4395" s="37" t="str">
        <f>IFERROR(__xludf.DUMMYFUNCTION("if(not(iserror(index(split(C4395, "" ""),2))), index(split(C4395, "" ""),1),"""")"),"")</f>
        <v/>
      </c>
      <c r="T4395" s="315" t="str">
        <f>IFERROR(__xludf.DUMMYFUNCTION("if(S4395="""",C4395,if(not(iserror(index(split(C4395, "" ""),3))), index(split(C4395, "" ""),3),index(split(C4395, "" ""),2)))"),"")</f>
        <v/>
      </c>
      <c r="U4395" s="38" t="b">
        <f t="shared" si="423"/>
        <v>0</v>
      </c>
      <c r="V4395" s="38"/>
      <c r="W4395" s="40"/>
      <c r="X4395" s="40"/>
      <c r="Y4395" s="40"/>
      <c r="Z4395" s="38"/>
      <c r="AA4395" s="38"/>
      <c r="AB4395" s="38"/>
      <c r="AC4395" s="38"/>
      <c r="AD4395" s="38"/>
      <c r="AE4395" s="38"/>
      <c r="AF4395" s="38"/>
      <c r="AG4395" s="38"/>
      <c r="AH4395" s="38"/>
      <c r="AI4395" s="38"/>
      <c r="AJ4395" s="38"/>
      <c r="AK4395" s="38"/>
      <c r="AL4395" s="38"/>
      <c r="AM4395" s="38"/>
      <c r="AN4395" s="38"/>
      <c r="AO4395" s="38"/>
      <c r="AP4395" s="38"/>
      <c r="AQ4395" s="38"/>
      <c r="AR4395" s="38"/>
      <c r="AS4395" s="38"/>
      <c r="AT4395" s="38"/>
      <c r="AU4395" s="38"/>
      <c r="AV4395" s="38"/>
      <c r="AW4395" s="38"/>
      <c r="AX4395" s="38"/>
      <c r="AY4395" s="38"/>
      <c r="AZ4395" s="38"/>
      <c r="BA4395" s="38"/>
      <c r="BB4395" s="38"/>
      <c r="BC4395" s="38"/>
      <c r="BD4395" s="38"/>
      <c r="BE4395" s="38"/>
      <c r="BF4395" s="38"/>
      <c r="BG4395" s="38"/>
      <c r="BH4395" s="38"/>
      <c r="BI4395" s="38"/>
      <c r="BJ4395" s="38"/>
      <c r="BK4395" s="38"/>
      <c r="BL4395" s="38"/>
      <c r="BM4395" s="38"/>
      <c r="BN4395" s="38"/>
      <c r="BO4395" s="38"/>
      <c r="BP4395" s="38"/>
      <c r="BQ4395" s="38"/>
    </row>
    <row r="4396">
      <c r="A4396" s="16"/>
      <c r="B4396" s="145"/>
      <c r="C4396" s="146"/>
      <c r="D4396" s="146"/>
      <c r="E4396" s="16"/>
      <c r="F4396" s="91"/>
      <c r="G4396" s="16"/>
      <c r="H4396" s="320" t="str">
        <f t="shared" si="424"/>
        <v/>
      </c>
      <c r="I4396" s="16"/>
      <c r="J4396" s="16"/>
      <c r="K4396" s="16"/>
      <c r="L4396" s="16"/>
      <c r="M4396" s="15"/>
      <c r="N4396" s="15"/>
      <c r="O4396" s="16"/>
      <c r="P4396" s="16"/>
      <c r="Q4396" s="16"/>
      <c r="R4396" s="16"/>
      <c r="S4396" s="37" t="str">
        <f>IFERROR(__xludf.DUMMYFUNCTION("if(not(iserror(index(split(C4396, "" ""),2))), index(split(C4396, "" ""),1),"""")"),"")</f>
        <v/>
      </c>
      <c r="T4396" s="315" t="str">
        <f>IFERROR(__xludf.DUMMYFUNCTION("if(S4396="""",C4396,if(not(iserror(index(split(C4396, "" ""),3))), index(split(C4396, "" ""),3),index(split(C4396, "" ""),2)))"),"")</f>
        <v/>
      </c>
      <c r="U4396" s="38" t="b">
        <f t="shared" si="423"/>
        <v>0</v>
      </c>
      <c r="V4396" s="38"/>
      <c r="W4396" s="40"/>
      <c r="X4396" s="40"/>
      <c r="Y4396" s="40"/>
      <c r="Z4396" s="38"/>
      <c r="AA4396" s="38"/>
      <c r="AB4396" s="38"/>
      <c r="AC4396" s="38"/>
      <c r="AD4396" s="38"/>
      <c r="AE4396" s="38"/>
      <c r="AF4396" s="38"/>
      <c r="AG4396" s="38"/>
      <c r="AH4396" s="38"/>
      <c r="AI4396" s="38"/>
      <c r="AJ4396" s="38"/>
      <c r="AK4396" s="38"/>
      <c r="AL4396" s="38"/>
      <c r="AM4396" s="38"/>
      <c r="AN4396" s="38"/>
      <c r="AO4396" s="38"/>
      <c r="AP4396" s="38"/>
      <c r="AQ4396" s="38"/>
      <c r="AR4396" s="38"/>
      <c r="AS4396" s="38"/>
      <c r="AT4396" s="38"/>
      <c r="AU4396" s="38"/>
      <c r="AV4396" s="38"/>
      <c r="AW4396" s="38"/>
      <c r="AX4396" s="38"/>
      <c r="AY4396" s="38"/>
      <c r="AZ4396" s="38"/>
      <c r="BA4396" s="38"/>
      <c r="BB4396" s="38"/>
      <c r="BC4396" s="38"/>
      <c r="BD4396" s="38"/>
      <c r="BE4396" s="38"/>
      <c r="BF4396" s="38"/>
      <c r="BG4396" s="38"/>
      <c r="BH4396" s="38"/>
      <c r="BI4396" s="38"/>
      <c r="BJ4396" s="38"/>
      <c r="BK4396" s="38"/>
      <c r="BL4396" s="38"/>
      <c r="BM4396" s="38"/>
      <c r="BN4396" s="38"/>
      <c r="BO4396" s="38"/>
      <c r="BP4396" s="38"/>
      <c r="BQ4396" s="38"/>
    </row>
    <row r="4397">
      <c r="A4397" s="16"/>
      <c r="B4397" s="145"/>
      <c r="C4397" s="146"/>
      <c r="D4397" s="146"/>
      <c r="E4397" s="16"/>
      <c r="F4397" s="91"/>
      <c r="G4397" s="16"/>
      <c r="H4397" s="320" t="str">
        <f t="shared" si="424"/>
        <v/>
      </c>
      <c r="I4397" s="16"/>
      <c r="J4397" s="16"/>
      <c r="K4397" s="16"/>
      <c r="L4397" s="16"/>
      <c r="M4397" s="15"/>
      <c r="N4397" s="15"/>
      <c r="O4397" s="16"/>
      <c r="P4397" s="16"/>
      <c r="Q4397" s="16"/>
      <c r="R4397" s="16"/>
      <c r="S4397" s="37" t="str">
        <f>IFERROR(__xludf.DUMMYFUNCTION("if(not(iserror(index(split(C4397, "" ""),2))), index(split(C4397, "" ""),1),"""")"),"")</f>
        <v/>
      </c>
      <c r="T4397" s="315" t="str">
        <f>IFERROR(__xludf.DUMMYFUNCTION("if(S4397="""",C4397,if(not(iserror(index(split(C4397, "" ""),3))), index(split(C4397, "" ""),3),index(split(C4397, "" ""),2)))"),"")</f>
        <v/>
      </c>
      <c r="U4397" s="38" t="b">
        <f t="shared" si="423"/>
        <v>0</v>
      </c>
      <c r="V4397" s="38"/>
      <c r="W4397" s="40"/>
      <c r="X4397" s="40"/>
      <c r="Y4397" s="40"/>
      <c r="Z4397" s="38"/>
      <c r="AA4397" s="38"/>
      <c r="AB4397" s="38"/>
      <c r="AC4397" s="38"/>
      <c r="AD4397" s="38"/>
      <c r="AE4397" s="38"/>
      <c r="AF4397" s="38"/>
      <c r="AG4397" s="38"/>
      <c r="AH4397" s="38"/>
      <c r="AI4397" s="38"/>
      <c r="AJ4397" s="38"/>
      <c r="AK4397" s="38"/>
      <c r="AL4397" s="38"/>
      <c r="AM4397" s="38"/>
      <c r="AN4397" s="38"/>
      <c r="AO4397" s="38"/>
      <c r="AP4397" s="38"/>
      <c r="AQ4397" s="38"/>
      <c r="AR4397" s="38"/>
      <c r="AS4397" s="38"/>
      <c r="AT4397" s="38"/>
      <c r="AU4397" s="38"/>
      <c r="AV4397" s="38"/>
      <c r="AW4397" s="38"/>
      <c r="AX4397" s="38"/>
      <c r="AY4397" s="38"/>
      <c r="AZ4397" s="38"/>
      <c r="BA4397" s="38"/>
      <c r="BB4397" s="38"/>
      <c r="BC4397" s="38"/>
      <c r="BD4397" s="38"/>
      <c r="BE4397" s="38"/>
      <c r="BF4397" s="38"/>
      <c r="BG4397" s="38"/>
      <c r="BH4397" s="38"/>
      <c r="BI4397" s="38"/>
      <c r="BJ4397" s="38"/>
      <c r="BK4397" s="38"/>
      <c r="BL4397" s="38"/>
      <c r="BM4397" s="38"/>
      <c r="BN4397" s="38"/>
      <c r="BO4397" s="38"/>
      <c r="BP4397" s="38"/>
      <c r="BQ4397" s="38"/>
    </row>
    <row r="4398">
      <c r="A4398" s="16"/>
      <c r="B4398" s="145"/>
      <c r="C4398" s="146"/>
      <c r="D4398" s="146"/>
      <c r="E4398" s="16"/>
      <c r="F4398" s="91"/>
      <c r="G4398" s="16"/>
      <c r="H4398" s="320" t="str">
        <f t="shared" si="424"/>
        <v/>
      </c>
      <c r="I4398" s="16"/>
      <c r="J4398" s="16"/>
      <c r="K4398" s="16"/>
      <c r="L4398" s="16"/>
      <c r="M4398" s="15"/>
      <c r="N4398" s="15"/>
      <c r="O4398" s="16"/>
      <c r="P4398" s="16"/>
      <c r="Q4398" s="16"/>
      <c r="R4398" s="16"/>
      <c r="S4398" s="37" t="str">
        <f>IFERROR(__xludf.DUMMYFUNCTION("if(not(iserror(index(split(C4398, "" ""),2))), index(split(C4398, "" ""),1),"""")"),"")</f>
        <v/>
      </c>
      <c r="T4398" s="315" t="str">
        <f>IFERROR(__xludf.DUMMYFUNCTION("if(S4398="""",C4398,if(not(iserror(index(split(C4398, "" ""),3))), index(split(C4398, "" ""),3),index(split(C4398, "" ""),2)))"),"")</f>
        <v/>
      </c>
      <c r="U4398" s="38" t="b">
        <f t="shared" si="423"/>
        <v>0</v>
      </c>
      <c r="V4398" s="38"/>
      <c r="W4398" s="40"/>
      <c r="X4398" s="40"/>
      <c r="Y4398" s="40"/>
      <c r="Z4398" s="38"/>
      <c r="AA4398" s="38"/>
      <c r="AB4398" s="38"/>
      <c r="AC4398" s="38"/>
      <c r="AD4398" s="38"/>
      <c r="AE4398" s="38"/>
      <c r="AF4398" s="38"/>
      <c r="AG4398" s="38"/>
      <c r="AH4398" s="38"/>
      <c r="AI4398" s="38"/>
      <c r="AJ4398" s="38"/>
      <c r="AK4398" s="38"/>
      <c r="AL4398" s="38"/>
      <c r="AM4398" s="38"/>
      <c r="AN4398" s="38"/>
      <c r="AO4398" s="38"/>
      <c r="AP4398" s="38"/>
      <c r="AQ4398" s="38"/>
      <c r="AR4398" s="38"/>
      <c r="AS4398" s="38"/>
      <c r="AT4398" s="38"/>
      <c r="AU4398" s="38"/>
      <c r="AV4398" s="38"/>
      <c r="AW4398" s="38"/>
      <c r="AX4398" s="38"/>
      <c r="AY4398" s="38"/>
      <c r="AZ4398" s="38"/>
      <c r="BA4398" s="38"/>
      <c r="BB4398" s="38"/>
      <c r="BC4398" s="38"/>
      <c r="BD4398" s="38"/>
      <c r="BE4398" s="38"/>
      <c r="BF4398" s="38"/>
      <c r="BG4398" s="38"/>
      <c r="BH4398" s="38"/>
      <c r="BI4398" s="38"/>
      <c r="BJ4398" s="38"/>
      <c r="BK4398" s="38"/>
      <c r="BL4398" s="38"/>
      <c r="BM4398" s="38"/>
      <c r="BN4398" s="38"/>
      <c r="BO4398" s="38"/>
      <c r="BP4398" s="38"/>
      <c r="BQ4398" s="38"/>
    </row>
    <row r="4399">
      <c r="A4399" s="16"/>
      <c r="B4399" s="145"/>
      <c r="C4399" s="146"/>
      <c r="D4399" s="146"/>
      <c r="E4399" s="16"/>
      <c r="F4399" s="91"/>
      <c r="G4399" s="16"/>
      <c r="H4399" s="320" t="str">
        <f t="shared" si="424"/>
        <v/>
      </c>
      <c r="I4399" s="16"/>
      <c r="J4399" s="16"/>
      <c r="K4399" s="16"/>
      <c r="L4399" s="16"/>
      <c r="M4399" s="15"/>
      <c r="N4399" s="15"/>
      <c r="O4399" s="16"/>
      <c r="P4399" s="16"/>
      <c r="Q4399" s="16"/>
      <c r="R4399" s="16"/>
      <c r="S4399" s="37" t="str">
        <f>IFERROR(__xludf.DUMMYFUNCTION("if(not(iserror(index(split(C4399, "" ""),2))), index(split(C4399, "" ""),1),"""")"),"")</f>
        <v/>
      </c>
      <c r="T4399" s="315" t="str">
        <f>IFERROR(__xludf.DUMMYFUNCTION("if(S4399="""",C4399,if(not(iserror(index(split(C4399, "" ""),3))), index(split(C4399, "" ""),3),index(split(C4399, "" ""),2)))"),"")</f>
        <v/>
      </c>
      <c r="U4399" s="38" t="b">
        <f t="shared" si="423"/>
        <v>0</v>
      </c>
      <c r="V4399" s="38"/>
      <c r="W4399" s="40"/>
      <c r="X4399" s="40"/>
      <c r="Y4399" s="40"/>
      <c r="Z4399" s="38"/>
      <c r="AA4399" s="38"/>
      <c r="AB4399" s="38"/>
      <c r="AC4399" s="38"/>
      <c r="AD4399" s="38"/>
      <c r="AE4399" s="38"/>
      <c r="AF4399" s="38"/>
      <c r="AG4399" s="38"/>
      <c r="AH4399" s="38"/>
      <c r="AI4399" s="38"/>
      <c r="AJ4399" s="38"/>
      <c r="AK4399" s="38"/>
      <c r="AL4399" s="38"/>
      <c r="AM4399" s="38"/>
      <c r="AN4399" s="38"/>
      <c r="AO4399" s="38"/>
      <c r="AP4399" s="38"/>
      <c r="AQ4399" s="38"/>
      <c r="AR4399" s="38"/>
      <c r="AS4399" s="38"/>
      <c r="AT4399" s="38"/>
      <c r="AU4399" s="38"/>
      <c r="AV4399" s="38"/>
      <c r="AW4399" s="38"/>
      <c r="AX4399" s="38"/>
      <c r="AY4399" s="38"/>
      <c r="AZ4399" s="38"/>
      <c r="BA4399" s="38"/>
      <c r="BB4399" s="38"/>
      <c r="BC4399" s="38"/>
      <c r="BD4399" s="38"/>
      <c r="BE4399" s="38"/>
      <c r="BF4399" s="38"/>
      <c r="BG4399" s="38"/>
      <c r="BH4399" s="38"/>
      <c r="BI4399" s="38"/>
      <c r="BJ4399" s="38"/>
      <c r="BK4399" s="38"/>
      <c r="BL4399" s="38"/>
      <c r="BM4399" s="38"/>
      <c r="BN4399" s="38"/>
      <c r="BO4399" s="38"/>
      <c r="BP4399" s="38"/>
      <c r="BQ4399" s="38"/>
    </row>
    <row r="4400">
      <c r="A4400" s="16"/>
      <c r="B4400" s="145"/>
      <c r="C4400" s="146"/>
      <c r="D4400" s="146"/>
      <c r="E4400" s="16"/>
      <c r="F4400" s="91"/>
      <c r="G4400" s="16"/>
      <c r="H4400" s="320" t="str">
        <f t="shared" si="424"/>
        <v/>
      </c>
      <c r="I4400" s="16"/>
      <c r="J4400" s="16"/>
      <c r="K4400" s="16"/>
      <c r="L4400" s="16"/>
      <c r="M4400" s="15"/>
      <c r="N4400" s="15"/>
      <c r="O4400" s="16"/>
      <c r="P4400" s="16"/>
      <c r="Q4400" s="16"/>
      <c r="R4400" s="16"/>
      <c r="S4400" s="37" t="str">
        <f>IFERROR(__xludf.DUMMYFUNCTION("if(not(iserror(index(split(C4400, "" ""),2))), index(split(C4400, "" ""),1),"""")"),"")</f>
        <v/>
      </c>
      <c r="T4400" s="315" t="str">
        <f>IFERROR(__xludf.DUMMYFUNCTION("if(S4400="""",C4400,if(not(iserror(index(split(C4400, "" ""),3))), index(split(C4400, "" ""),3),index(split(C4400, "" ""),2)))"),"")</f>
        <v/>
      </c>
      <c r="U4400" s="38" t="b">
        <f t="shared" si="423"/>
        <v>0</v>
      </c>
      <c r="V4400" s="38"/>
      <c r="W4400" s="40"/>
      <c r="X4400" s="40"/>
      <c r="Y4400" s="40"/>
      <c r="Z4400" s="38"/>
      <c r="AA4400" s="38"/>
      <c r="AB4400" s="38"/>
      <c r="AC4400" s="38"/>
      <c r="AD4400" s="38"/>
      <c r="AE4400" s="38"/>
      <c r="AF4400" s="38"/>
      <c r="AG4400" s="38"/>
      <c r="AH4400" s="38"/>
      <c r="AI4400" s="38"/>
      <c r="AJ4400" s="38"/>
      <c r="AK4400" s="38"/>
      <c r="AL4400" s="38"/>
      <c r="AM4400" s="38"/>
      <c r="AN4400" s="38"/>
      <c r="AO4400" s="38"/>
      <c r="AP4400" s="38"/>
      <c r="AQ4400" s="38"/>
      <c r="AR4400" s="38"/>
      <c r="AS4400" s="38"/>
      <c r="AT4400" s="38"/>
      <c r="AU4400" s="38"/>
      <c r="AV4400" s="38"/>
      <c r="AW4400" s="38"/>
      <c r="AX4400" s="38"/>
      <c r="AY4400" s="38"/>
      <c r="AZ4400" s="38"/>
      <c r="BA4400" s="38"/>
      <c r="BB4400" s="38"/>
      <c r="BC4400" s="38"/>
      <c r="BD4400" s="38"/>
      <c r="BE4400" s="38"/>
      <c r="BF4400" s="38"/>
      <c r="BG4400" s="38"/>
      <c r="BH4400" s="38"/>
      <c r="BI4400" s="38"/>
      <c r="BJ4400" s="38"/>
      <c r="BK4400" s="38"/>
      <c r="BL4400" s="38"/>
      <c r="BM4400" s="38"/>
      <c r="BN4400" s="38"/>
      <c r="BO4400" s="38"/>
      <c r="BP4400" s="38"/>
      <c r="BQ4400" s="38"/>
    </row>
    <row r="4401">
      <c r="A4401" s="16"/>
      <c r="B4401" s="145"/>
      <c r="C4401" s="146"/>
      <c r="D4401" s="146"/>
      <c r="E4401" s="16"/>
      <c r="F4401" s="91"/>
      <c r="G4401" s="16"/>
      <c r="H4401" s="320" t="str">
        <f t="shared" si="424"/>
        <v/>
      </c>
      <c r="I4401" s="16"/>
      <c r="J4401" s="16"/>
      <c r="K4401" s="16"/>
      <c r="L4401" s="16"/>
      <c r="M4401" s="15"/>
      <c r="N4401" s="15"/>
      <c r="O4401" s="16"/>
      <c r="P4401" s="16"/>
      <c r="Q4401" s="16"/>
      <c r="R4401" s="16"/>
      <c r="S4401" s="37" t="str">
        <f>IFERROR(__xludf.DUMMYFUNCTION("if(not(iserror(index(split(C4401, "" ""),2))), index(split(C4401, "" ""),1),"""")"),"")</f>
        <v/>
      </c>
      <c r="T4401" s="315" t="str">
        <f>IFERROR(__xludf.DUMMYFUNCTION("if(S4401="""",C4401,if(not(iserror(index(split(C4401, "" ""),3))), index(split(C4401, "" ""),3),index(split(C4401, "" ""),2)))"),"")</f>
        <v/>
      </c>
      <c r="U4401" s="38" t="b">
        <f t="shared" si="423"/>
        <v>0</v>
      </c>
      <c r="V4401" s="38"/>
      <c r="W4401" s="40"/>
      <c r="X4401" s="40"/>
      <c r="Y4401" s="40"/>
      <c r="Z4401" s="38"/>
      <c r="AA4401" s="38"/>
      <c r="AB4401" s="38"/>
      <c r="AC4401" s="38"/>
      <c r="AD4401" s="38"/>
      <c r="AE4401" s="38"/>
      <c r="AF4401" s="38"/>
      <c r="AG4401" s="38"/>
      <c r="AH4401" s="38"/>
      <c r="AI4401" s="38"/>
      <c r="AJ4401" s="38"/>
      <c r="AK4401" s="38"/>
      <c r="AL4401" s="38"/>
      <c r="AM4401" s="38"/>
      <c r="AN4401" s="38"/>
      <c r="AO4401" s="38"/>
      <c r="AP4401" s="38"/>
      <c r="AQ4401" s="38"/>
      <c r="AR4401" s="38"/>
      <c r="AS4401" s="38"/>
      <c r="AT4401" s="38"/>
      <c r="AU4401" s="38"/>
      <c r="AV4401" s="38"/>
      <c r="AW4401" s="38"/>
      <c r="AX4401" s="38"/>
      <c r="AY4401" s="38"/>
      <c r="AZ4401" s="38"/>
      <c r="BA4401" s="38"/>
      <c r="BB4401" s="38"/>
      <c r="BC4401" s="38"/>
      <c r="BD4401" s="38"/>
      <c r="BE4401" s="38"/>
      <c r="BF4401" s="38"/>
      <c r="BG4401" s="38"/>
      <c r="BH4401" s="38"/>
      <c r="BI4401" s="38"/>
      <c r="BJ4401" s="38"/>
      <c r="BK4401" s="38"/>
      <c r="BL4401" s="38"/>
      <c r="BM4401" s="38"/>
      <c r="BN4401" s="38"/>
      <c r="BO4401" s="38"/>
      <c r="BP4401" s="38"/>
      <c r="BQ4401" s="38"/>
    </row>
    <row r="4402">
      <c r="A4402" s="16"/>
      <c r="B4402" s="145"/>
      <c r="C4402" s="146"/>
      <c r="D4402" s="146"/>
      <c r="E4402" s="16"/>
      <c r="F4402" s="91"/>
      <c r="G4402" s="16"/>
      <c r="H4402" s="320" t="str">
        <f t="shared" si="424"/>
        <v/>
      </c>
      <c r="I4402" s="16"/>
      <c r="J4402" s="16"/>
      <c r="K4402" s="16"/>
      <c r="L4402" s="16"/>
      <c r="M4402" s="15"/>
      <c r="N4402" s="15"/>
      <c r="O4402" s="16"/>
      <c r="P4402" s="16"/>
      <c r="Q4402" s="16"/>
      <c r="R4402" s="16"/>
      <c r="S4402" s="37" t="str">
        <f>IFERROR(__xludf.DUMMYFUNCTION("if(not(iserror(index(split(C4402, "" ""),2))), index(split(C4402, "" ""),1),"""")"),"")</f>
        <v/>
      </c>
      <c r="T4402" s="315" t="str">
        <f>IFERROR(__xludf.DUMMYFUNCTION("if(S4402="""",C4402,if(not(iserror(index(split(C4402, "" ""),3))), index(split(C4402, "" ""),3),index(split(C4402, "" ""),2)))"),"")</f>
        <v/>
      </c>
      <c r="U4402" s="38" t="b">
        <f t="shared" si="423"/>
        <v>0</v>
      </c>
      <c r="V4402" s="38"/>
      <c r="W4402" s="40"/>
      <c r="X4402" s="40"/>
      <c r="Y4402" s="40"/>
      <c r="Z4402" s="38"/>
      <c r="AA4402" s="38"/>
      <c r="AB4402" s="38"/>
      <c r="AC4402" s="38"/>
      <c r="AD4402" s="38"/>
      <c r="AE4402" s="38"/>
      <c r="AF4402" s="38"/>
      <c r="AG4402" s="38"/>
      <c r="AH4402" s="38"/>
      <c r="AI4402" s="38"/>
      <c r="AJ4402" s="38"/>
      <c r="AK4402" s="38"/>
      <c r="AL4402" s="38"/>
      <c r="AM4402" s="38"/>
      <c r="AN4402" s="38"/>
      <c r="AO4402" s="38"/>
      <c r="AP4402" s="38"/>
      <c r="AQ4402" s="38"/>
      <c r="AR4402" s="38"/>
      <c r="AS4402" s="38"/>
      <c r="AT4402" s="38"/>
      <c r="AU4402" s="38"/>
      <c r="AV4402" s="38"/>
      <c r="AW4402" s="38"/>
      <c r="AX4402" s="38"/>
      <c r="AY4402" s="38"/>
      <c r="AZ4402" s="38"/>
      <c r="BA4402" s="38"/>
      <c r="BB4402" s="38"/>
      <c r="BC4402" s="38"/>
      <c r="BD4402" s="38"/>
      <c r="BE4402" s="38"/>
      <c r="BF4402" s="38"/>
      <c r="BG4402" s="38"/>
      <c r="BH4402" s="38"/>
      <c r="BI4402" s="38"/>
      <c r="BJ4402" s="38"/>
      <c r="BK4402" s="38"/>
      <c r="BL4402" s="38"/>
      <c r="BM4402" s="38"/>
      <c r="BN4402" s="38"/>
      <c r="BO4402" s="38"/>
      <c r="BP4402" s="38"/>
      <c r="BQ4402" s="38"/>
    </row>
    <row r="4403">
      <c r="A4403" s="16"/>
      <c r="B4403" s="145"/>
      <c r="C4403" s="146"/>
      <c r="D4403" s="146"/>
      <c r="E4403" s="16"/>
      <c r="F4403" s="91"/>
      <c r="G4403" s="16"/>
      <c r="H4403" s="320" t="str">
        <f t="shared" si="424"/>
        <v/>
      </c>
      <c r="I4403" s="16"/>
      <c r="J4403" s="16"/>
      <c r="K4403" s="16"/>
      <c r="L4403" s="16"/>
      <c r="M4403" s="15"/>
      <c r="N4403" s="15"/>
      <c r="O4403" s="16"/>
      <c r="P4403" s="16"/>
      <c r="Q4403" s="16"/>
      <c r="R4403" s="16"/>
      <c r="S4403" s="37" t="str">
        <f>IFERROR(__xludf.DUMMYFUNCTION("if(not(iserror(index(split(C4403, "" ""),2))), index(split(C4403, "" ""),1),"""")"),"")</f>
        <v/>
      </c>
      <c r="T4403" s="315" t="str">
        <f>IFERROR(__xludf.DUMMYFUNCTION("if(S4403="""",C4403,if(not(iserror(index(split(C4403, "" ""),3))), index(split(C4403, "" ""),3),index(split(C4403, "" ""),2)))"),"")</f>
        <v/>
      </c>
      <c r="U4403" s="38" t="b">
        <f t="shared" si="423"/>
        <v>0</v>
      </c>
      <c r="V4403" s="38"/>
      <c r="W4403" s="40"/>
      <c r="X4403" s="40"/>
      <c r="Y4403" s="40"/>
      <c r="Z4403" s="38"/>
      <c r="AA4403" s="38"/>
      <c r="AB4403" s="38"/>
      <c r="AC4403" s="38"/>
      <c r="AD4403" s="38"/>
      <c r="AE4403" s="38"/>
      <c r="AF4403" s="38"/>
      <c r="AG4403" s="38"/>
      <c r="AH4403" s="38"/>
      <c r="AI4403" s="38"/>
      <c r="AJ4403" s="38"/>
      <c r="AK4403" s="38"/>
      <c r="AL4403" s="38"/>
      <c r="AM4403" s="38"/>
      <c r="AN4403" s="38"/>
      <c r="AO4403" s="38"/>
      <c r="AP4403" s="38"/>
      <c r="AQ4403" s="38"/>
      <c r="AR4403" s="38"/>
      <c r="AS4403" s="38"/>
      <c r="AT4403" s="38"/>
      <c r="AU4403" s="38"/>
      <c r="AV4403" s="38"/>
      <c r="AW4403" s="38"/>
      <c r="AX4403" s="38"/>
      <c r="AY4403" s="38"/>
      <c r="AZ4403" s="38"/>
      <c r="BA4403" s="38"/>
      <c r="BB4403" s="38"/>
      <c r="BC4403" s="38"/>
      <c r="BD4403" s="38"/>
      <c r="BE4403" s="38"/>
      <c r="BF4403" s="38"/>
      <c r="BG4403" s="38"/>
      <c r="BH4403" s="38"/>
      <c r="BI4403" s="38"/>
      <c r="BJ4403" s="38"/>
      <c r="BK4403" s="38"/>
      <c r="BL4403" s="38"/>
      <c r="BM4403" s="38"/>
      <c r="BN4403" s="38"/>
      <c r="BO4403" s="38"/>
      <c r="BP4403" s="38"/>
      <c r="BQ4403" s="38"/>
    </row>
    <row r="4404">
      <c r="A4404" s="16"/>
      <c r="B4404" s="145"/>
      <c r="C4404" s="146"/>
      <c r="D4404" s="146"/>
      <c r="E4404" s="16"/>
      <c r="F4404" s="91"/>
      <c r="G4404" s="16"/>
      <c r="H4404" s="320" t="str">
        <f t="shared" si="424"/>
        <v/>
      </c>
      <c r="I4404" s="16"/>
      <c r="J4404" s="16"/>
      <c r="K4404" s="16"/>
      <c r="L4404" s="16"/>
      <c r="M4404" s="15"/>
      <c r="N4404" s="15"/>
      <c r="O4404" s="16"/>
      <c r="P4404" s="16"/>
      <c r="Q4404" s="16"/>
      <c r="R4404" s="16"/>
      <c r="S4404" s="37" t="str">
        <f>IFERROR(__xludf.DUMMYFUNCTION("if(not(iserror(index(split(C4404, "" ""),2))), index(split(C4404, "" ""),1),"""")"),"")</f>
        <v/>
      </c>
      <c r="T4404" s="315" t="str">
        <f>IFERROR(__xludf.DUMMYFUNCTION("if(S4404="""",C4404,if(not(iserror(index(split(C4404, "" ""),3))), index(split(C4404, "" ""),3),index(split(C4404, "" ""),2)))"),"")</f>
        <v/>
      </c>
      <c r="U4404" s="38" t="b">
        <f t="shared" si="423"/>
        <v>0</v>
      </c>
      <c r="V4404" s="38"/>
      <c r="W4404" s="40"/>
      <c r="X4404" s="40"/>
      <c r="Y4404" s="40"/>
      <c r="Z4404" s="38"/>
      <c r="AA4404" s="38"/>
      <c r="AB4404" s="38"/>
      <c r="AC4404" s="38"/>
      <c r="AD4404" s="38"/>
      <c r="AE4404" s="38"/>
      <c r="AF4404" s="38"/>
      <c r="AG4404" s="38"/>
      <c r="AH4404" s="38"/>
      <c r="AI4404" s="38"/>
      <c r="AJ4404" s="38"/>
      <c r="AK4404" s="38"/>
      <c r="AL4404" s="38"/>
      <c r="AM4404" s="38"/>
      <c r="AN4404" s="38"/>
      <c r="AO4404" s="38"/>
      <c r="AP4404" s="38"/>
      <c r="AQ4404" s="38"/>
      <c r="AR4404" s="38"/>
      <c r="AS4404" s="38"/>
      <c r="AT4404" s="38"/>
      <c r="AU4404" s="38"/>
      <c r="AV4404" s="38"/>
      <c r="AW4404" s="38"/>
      <c r="AX4404" s="38"/>
      <c r="AY4404" s="38"/>
      <c r="AZ4404" s="38"/>
      <c r="BA4404" s="38"/>
      <c r="BB4404" s="38"/>
      <c r="BC4404" s="38"/>
      <c r="BD4404" s="38"/>
      <c r="BE4404" s="38"/>
      <c r="BF4404" s="38"/>
      <c r="BG4404" s="38"/>
      <c r="BH4404" s="38"/>
      <c r="BI4404" s="38"/>
      <c r="BJ4404" s="38"/>
      <c r="BK4404" s="38"/>
      <c r="BL4404" s="38"/>
      <c r="BM4404" s="38"/>
      <c r="BN4404" s="38"/>
      <c r="BO4404" s="38"/>
      <c r="BP4404" s="38"/>
      <c r="BQ4404" s="38"/>
    </row>
    <row r="4405">
      <c r="A4405" s="16"/>
      <c r="B4405" s="145"/>
      <c r="C4405" s="146"/>
      <c r="D4405" s="146"/>
      <c r="E4405" s="16"/>
      <c r="F4405" s="91"/>
      <c r="G4405" s="16"/>
      <c r="H4405" s="320" t="str">
        <f t="shared" si="424"/>
        <v/>
      </c>
      <c r="I4405" s="16"/>
      <c r="J4405" s="16"/>
      <c r="K4405" s="16"/>
      <c r="L4405" s="16"/>
      <c r="M4405" s="15"/>
      <c r="N4405" s="15"/>
      <c r="O4405" s="16"/>
      <c r="P4405" s="16"/>
      <c r="Q4405" s="16"/>
      <c r="R4405" s="16"/>
      <c r="S4405" s="37" t="str">
        <f>IFERROR(__xludf.DUMMYFUNCTION("if(not(iserror(index(split(C4405, "" ""),2))), index(split(C4405, "" ""),1),"""")"),"")</f>
        <v/>
      </c>
      <c r="T4405" s="315" t="str">
        <f>IFERROR(__xludf.DUMMYFUNCTION("if(S4405="""",C4405,if(not(iserror(index(split(C4405, "" ""),3))), index(split(C4405, "" ""),3),index(split(C4405, "" ""),2)))"),"")</f>
        <v/>
      </c>
      <c r="U4405" s="38" t="b">
        <f t="shared" si="423"/>
        <v>0</v>
      </c>
      <c r="V4405" s="38"/>
      <c r="W4405" s="40"/>
      <c r="X4405" s="40"/>
      <c r="Y4405" s="40"/>
      <c r="Z4405" s="38"/>
      <c r="AA4405" s="38"/>
      <c r="AB4405" s="38"/>
      <c r="AC4405" s="38"/>
      <c r="AD4405" s="38"/>
      <c r="AE4405" s="38"/>
      <c r="AF4405" s="38"/>
      <c r="AG4405" s="38"/>
      <c r="AH4405" s="38"/>
      <c r="AI4405" s="38"/>
      <c r="AJ4405" s="38"/>
      <c r="AK4405" s="38"/>
      <c r="AL4405" s="38"/>
      <c r="AM4405" s="38"/>
      <c r="AN4405" s="38"/>
      <c r="AO4405" s="38"/>
      <c r="AP4405" s="38"/>
      <c r="AQ4405" s="38"/>
      <c r="AR4405" s="38"/>
      <c r="AS4405" s="38"/>
      <c r="AT4405" s="38"/>
      <c r="AU4405" s="38"/>
      <c r="AV4405" s="38"/>
      <c r="AW4405" s="38"/>
      <c r="AX4405" s="38"/>
      <c r="AY4405" s="38"/>
      <c r="AZ4405" s="38"/>
      <c r="BA4405" s="38"/>
      <c r="BB4405" s="38"/>
      <c r="BC4405" s="38"/>
      <c r="BD4405" s="38"/>
      <c r="BE4405" s="38"/>
      <c r="BF4405" s="38"/>
      <c r="BG4405" s="38"/>
      <c r="BH4405" s="38"/>
      <c r="BI4405" s="38"/>
      <c r="BJ4405" s="38"/>
      <c r="BK4405" s="38"/>
      <c r="BL4405" s="38"/>
      <c r="BM4405" s="38"/>
      <c r="BN4405" s="38"/>
      <c r="BO4405" s="38"/>
      <c r="BP4405" s="38"/>
      <c r="BQ4405" s="38"/>
    </row>
    <row r="4406">
      <c r="A4406" s="16"/>
      <c r="B4406" s="145"/>
      <c r="C4406" s="146"/>
      <c r="D4406" s="146"/>
      <c r="E4406" s="16"/>
      <c r="F4406" s="91"/>
      <c r="G4406" s="16"/>
      <c r="H4406" s="320" t="str">
        <f t="shared" si="424"/>
        <v/>
      </c>
      <c r="I4406" s="16"/>
      <c r="J4406" s="16"/>
      <c r="K4406" s="16"/>
      <c r="L4406" s="16"/>
      <c r="M4406" s="15"/>
      <c r="N4406" s="15"/>
      <c r="O4406" s="16"/>
      <c r="P4406" s="16"/>
      <c r="Q4406" s="16"/>
      <c r="R4406" s="16"/>
      <c r="S4406" s="37" t="str">
        <f>IFERROR(__xludf.DUMMYFUNCTION("if(not(iserror(index(split(C4406, "" ""),2))), index(split(C4406, "" ""),1),"""")"),"")</f>
        <v/>
      </c>
      <c r="T4406" s="315" t="str">
        <f>IFERROR(__xludf.DUMMYFUNCTION("if(S4406="""",C4406,if(not(iserror(index(split(C4406, "" ""),3))), index(split(C4406, "" ""),3),index(split(C4406, "" ""),2)))"),"")</f>
        <v/>
      </c>
      <c r="U4406" s="38" t="b">
        <f t="shared" si="423"/>
        <v>0</v>
      </c>
      <c r="V4406" s="38"/>
      <c r="W4406" s="40"/>
      <c r="X4406" s="40"/>
      <c r="Y4406" s="40"/>
      <c r="Z4406" s="38"/>
      <c r="AA4406" s="38"/>
      <c r="AB4406" s="38"/>
      <c r="AC4406" s="38"/>
      <c r="AD4406" s="38"/>
      <c r="AE4406" s="38"/>
      <c r="AF4406" s="38"/>
      <c r="AG4406" s="38"/>
      <c r="AH4406" s="38"/>
      <c r="AI4406" s="38"/>
      <c r="AJ4406" s="38"/>
      <c r="AK4406" s="38"/>
      <c r="AL4406" s="38"/>
      <c r="AM4406" s="38"/>
      <c r="AN4406" s="38"/>
      <c r="AO4406" s="38"/>
      <c r="AP4406" s="38"/>
      <c r="AQ4406" s="38"/>
      <c r="AR4406" s="38"/>
      <c r="AS4406" s="38"/>
      <c r="AT4406" s="38"/>
      <c r="AU4406" s="38"/>
      <c r="AV4406" s="38"/>
      <c r="AW4406" s="38"/>
      <c r="AX4406" s="38"/>
      <c r="AY4406" s="38"/>
      <c r="AZ4406" s="38"/>
      <c r="BA4406" s="38"/>
      <c r="BB4406" s="38"/>
      <c r="BC4406" s="38"/>
      <c r="BD4406" s="38"/>
      <c r="BE4406" s="38"/>
      <c r="BF4406" s="38"/>
      <c r="BG4406" s="38"/>
      <c r="BH4406" s="38"/>
      <c r="BI4406" s="38"/>
      <c r="BJ4406" s="38"/>
      <c r="BK4406" s="38"/>
      <c r="BL4406" s="38"/>
      <c r="BM4406" s="38"/>
      <c r="BN4406" s="38"/>
      <c r="BO4406" s="38"/>
      <c r="BP4406" s="38"/>
      <c r="BQ4406" s="38"/>
    </row>
    <row r="4407">
      <c r="A4407" s="16"/>
      <c r="B4407" s="145"/>
      <c r="C4407" s="146"/>
      <c r="D4407" s="146"/>
      <c r="E4407" s="16"/>
      <c r="F4407" s="91"/>
      <c r="G4407" s="16"/>
      <c r="H4407" s="320" t="str">
        <f t="shared" si="424"/>
        <v/>
      </c>
      <c r="I4407" s="16"/>
      <c r="J4407" s="16"/>
      <c r="K4407" s="16"/>
      <c r="L4407" s="16"/>
      <c r="M4407" s="15"/>
      <c r="N4407" s="15"/>
      <c r="O4407" s="16"/>
      <c r="P4407" s="16"/>
      <c r="Q4407" s="16"/>
      <c r="R4407" s="16"/>
      <c r="S4407" s="37" t="str">
        <f>IFERROR(__xludf.DUMMYFUNCTION("if(not(iserror(index(split(C4407, "" ""),2))), index(split(C4407, "" ""),1),"""")"),"")</f>
        <v/>
      </c>
      <c r="T4407" s="315" t="str">
        <f>IFERROR(__xludf.DUMMYFUNCTION("if(S4407="""",C4407,if(not(iserror(index(split(C4407, "" ""),3))), index(split(C4407, "" ""),3),index(split(C4407, "" ""),2)))"),"")</f>
        <v/>
      </c>
      <c r="U4407" s="38" t="b">
        <f t="shared" si="423"/>
        <v>0</v>
      </c>
      <c r="V4407" s="38"/>
      <c r="W4407" s="40"/>
      <c r="X4407" s="40"/>
      <c r="Y4407" s="40"/>
      <c r="Z4407" s="38"/>
      <c r="AA4407" s="38"/>
      <c r="AB4407" s="38"/>
      <c r="AC4407" s="38"/>
      <c r="AD4407" s="38"/>
      <c r="AE4407" s="38"/>
      <c r="AF4407" s="38"/>
      <c r="AG4407" s="38"/>
      <c r="AH4407" s="38"/>
      <c r="AI4407" s="38"/>
      <c r="AJ4407" s="38"/>
      <c r="AK4407" s="38"/>
      <c r="AL4407" s="38"/>
      <c r="AM4407" s="38"/>
      <c r="AN4407" s="38"/>
      <c r="AO4407" s="38"/>
      <c r="AP4407" s="38"/>
      <c r="AQ4407" s="38"/>
      <c r="AR4407" s="38"/>
      <c r="AS4407" s="38"/>
      <c r="AT4407" s="38"/>
      <c r="AU4407" s="38"/>
      <c r="AV4407" s="38"/>
      <c r="AW4407" s="38"/>
      <c r="AX4407" s="38"/>
      <c r="AY4407" s="38"/>
      <c r="AZ4407" s="38"/>
      <c r="BA4407" s="38"/>
      <c r="BB4407" s="38"/>
      <c r="BC4407" s="38"/>
      <c r="BD4407" s="38"/>
      <c r="BE4407" s="38"/>
      <c r="BF4407" s="38"/>
      <c r="BG4407" s="38"/>
      <c r="BH4407" s="38"/>
      <c r="BI4407" s="38"/>
      <c r="BJ4407" s="38"/>
      <c r="BK4407" s="38"/>
      <c r="BL4407" s="38"/>
      <c r="BM4407" s="38"/>
      <c r="BN4407" s="38"/>
      <c r="BO4407" s="38"/>
      <c r="BP4407" s="38"/>
      <c r="BQ4407" s="38"/>
    </row>
    <row r="4408">
      <c r="A4408" s="16"/>
      <c r="B4408" s="145"/>
      <c r="C4408" s="146"/>
      <c r="D4408" s="146"/>
      <c r="E4408" s="16"/>
      <c r="F4408" s="91"/>
      <c r="G4408" s="16"/>
      <c r="H4408" s="320" t="str">
        <f t="shared" si="424"/>
        <v/>
      </c>
      <c r="I4408" s="16"/>
      <c r="J4408" s="16"/>
      <c r="K4408" s="16"/>
      <c r="L4408" s="16"/>
      <c r="M4408" s="15"/>
      <c r="N4408" s="15"/>
      <c r="O4408" s="16"/>
      <c r="P4408" s="16"/>
      <c r="Q4408" s="16"/>
      <c r="R4408" s="16"/>
      <c r="S4408" s="37" t="str">
        <f>IFERROR(__xludf.DUMMYFUNCTION("if(not(iserror(index(split(C4408, "" ""),2))), index(split(C4408, "" ""),1),"""")"),"")</f>
        <v/>
      </c>
      <c r="T4408" s="315" t="str">
        <f>IFERROR(__xludf.DUMMYFUNCTION("if(S4408="""",C4408,if(not(iserror(index(split(C4408, "" ""),3))), index(split(C4408, "" ""),3),index(split(C4408, "" ""),2)))"),"")</f>
        <v/>
      </c>
      <c r="U4408" s="38" t="b">
        <f t="shared" si="423"/>
        <v>0</v>
      </c>
      <c r="V4408" s="38"/>
      <c r="W4408" s="40"/>
      <c r="X4408" s="40"/>
      <c r="Y4408" s="40"/>
      <c r="Z4408" s="38"/>
      <c r="AA4408" s="38"/>
      <c r="AB4408" s="38"/>
      <c r="AC4408" s="38"/>
      <c r="AD4408" s="38"/>
      <c r="AE4408" s="38"/>
      <c r="AF4408" s="38"/>
      <c r="AG4408" s="38"/>
      <c r="AH4408" s="38"/>
      <c r="AI4408" s="38"/>
      <c r="AJ4408" s="38"/>
      <c r="AK4408" s="38"/>
      <c r="AL4408" s="38"/>
      <c r="AM4408" s="38"/>
      <c r="AN4408" s="38"/>
      <c r="AO4408" s="38"/>
      <c r="AP4408" s="38"/>
      <c r="AQ4408" s="38"/>
      <c r="AR4408" s="38"/>
      <c r="AS4408" s="38"/>
      <c r="AT4408" s="38"/>
      <c r="AU4408" s="38"/>
      <c r="AV4408" s="38"/>
      <c r="AW4408" s="38"/>
      <c r="AX4408" s="38"/>
      <c r="AY4408" s="38"/>
      <c r="AZ4408" s="38"/>
      <c r="BA4408" s="38"/>
      <c r="BB4408" s="38"/>
      <c r="BC4408" s="38"/>
      <c r="BD4408" s="38"/>
      <c r="BE4408" s="38"/>
      <c r="BF4408" s="38"/>
      <c r="BG4408" s="38"/>
      <c r="BH4408" s="38"/>
      <c r="BI4408" s="38"/>
      <c r="BJ4408" s="38"/>
      <c r="BK4408" s="38"/>
      <c r="BL4408" s="38"/>
      <c r="BM4408" s="38"/>
      <c r="BN4408" s="38"/>
      <c r="BO4408" s="38"/>
      <c r="BP4408" s="38"/>
      <c r="BQ4408" s="38"/>
    </row>
    <row r="4409">
      <c r="A4409" s="16"/>
      <c r="B4409" s="145"/>
      <c r="C4409" s="146"/>
      <c r="D4409" s="146"/>
      <c r="E4409" s="16"/>
      <c r="F4409" s="91"/>
      <c r="G4409" s="16"/>
      <c r="H4409" s="320" t="str">
        <f t="shared" si="424"/>
        <v/>
      </c>
      <c r="I4409" s="16"/>
      <c r="J4409" s="16"/>
      <c r="K4409" s="16"/>
      <c r="L4409" s="16"/>
      <c r="M4409" s="15"/>
      <c r="N4409" s="15"/>
      <c r="O4409" s="16"/>
      <c r="P4409" s="16"/>
      <c r="Q4409" s="16"/>
      <c r="R4409" s="16"/>
      <c r="S4409" s="37" t="str">
        <f>IFERROR(__xludf.DUMMYFUNCTION("if(not(iserror(index(split(C4409, "" ""),2))), index(split(C4409, "" ""),1),"""")"),"")</f>
        <v/>
      </c>
      <c r="T4409" s="315" t="str">
        <f>IFERROR(__xludf.DUMMYFUNCTION("if(S4409="""",C4409,if(not(iserror(index(split(C4409, "" ""),3))), index(split(C4409, "" ""),3),index(split(C4409, "" ""),2)))"),"")</f>
        <v/>
      </c>
      <c r="U4409" s="38" t="b">
        <f t="shared" si="423"/>
        <v>0</v>
      </c>
      <c r="V4409" s="38"/>
      <c r="W4409" s="40"/>
      <c r="X4409" s="40"/>
      <c r="Y4409" s="40"/>
      <c r="Z4409" s="38"/>
      <c r="AA4409" s="38"/>
      <c r="AB4409" s="38"/>
      <c r="AC4409" s="38"/>
      <c r="AD4409" s="38"/>
      <c r="AE4409" s="38"/>
      <c r="AF4409" s="38"/>
      <c r="AG4409" s="38"/>
      <c r="AH4409" s="38"/>
      <c r="AI4409" s="38"/>
      <c r="AJ4409" s="38"/>
      <c r="AK4409" s="38"/>
      <c r="AL4409" s="38"/>
      <c r="AM4409" s="38"/>
      <c r="AN4409" s="38"/>
      <c r="AO4409" s="38"/>
      <c r="AP4409" s="38"/>
      <c r="AQ4409" s="38"/>
      <c r="AR4409" s="38"/>
      <c r="AS4409" s="38"/>
      <c r="AT4409" s="38"/>
      <c r="AU4409" s="38"/>
      <c r="AV4409" s="38"/>
      <c r="AW4409" s="38"/>
      <c r="AX4409" s="38"/>
      <c r="AY4409" s="38"/>
      <c r="AZ4409" s="38"/>
      <c r="BA4409" s="38"/>
      <c r="BB4409" s="38"/>
      <c r="BC4409" s="38"/>
      <c r="BD4409" s="38"/>
      <c r="BE4409" s="38"/>
      <c r="BF4409" s="38"/>
      <c r="BG4409" s="38"/>
      <c r="BH4409" s="38"/>
      <c r="BI4409" s="38"/>
      <c r="BJ4409" s="38"/>
      <c r="BK4409" s="38"/>
      <c r="BL4409" s="38"/>
      <c r="BM4409" s="38"/>
      <c r="BN4409" s="38"/>
      <c r="BO4409" s="38"/>
      <c r="BP4409" s="38"/>
      <c r="BQ4409" s="38"/>
    </row>
    <row r="4410">
      <c r="A4410" s="16"/>
      <c r="B4410" s="145"/>
      <c r="C4410" s="146"/>
      <c r="D4410" s="146"/>
      <c r="E4410" s="16"/>
      <c r="F4410" s="91"/>
      <c r="G4410" s="16"/>
      <c r="H4410" s="320" t="str">
        <f t="shared" si="424"/>
        <v/>
      </c>
      <c r="I4410" s="16"/>
      <c r="J4410" s="16"/>
      <c r="K4410" s="16"/>
      <c r="L4410" s="16"/>
      <c r="M4410" s="15"/>
      <c r="N4410" s="15"/>
      <c r="O4410" s="16"/>
      <c r="P4410" s="16"/>
      <c r="Q4410" s="16"/>
      <c r="R4410" s="16"/>
      <c r="S4410" s="37" t="str">
        <f>IFERROR(__xludf.DUMMYFUNCTION("if(not(iserror(index(split(C4410, "" ""),2))), index(split(C4410, "" ""),1),"""")"),"")</f>
        <v/>
      </c>
      <c r="T4410" s="315" t="str">
        <f>IFERROR(__xludf.DUMMYFUNCTION("if(S4410="""",C4410,if(not(iserror(index(split(C4410, "" ""),3))), index(split(C4410, "" ""),3),index(split(C4410, "" ""),2)))"),"")</f>
        <v/>
      </c>
      <c r="U4410" s="38" t="b">
        <f t="shared" si="423"/>
        <v>0</v>
      </c>
      <c r="V4410" s="38"/>
      <c r="W4410" s="40"/>
      <c r="X4410" s="40"/>
      <c r="Y4410" s="40"/>
      <c r="Z4410" s="38"/>
      <c r="AA4410" s="38"/>
      <c r="AB4410" s="38"/>
      <c r="AC4410" s="38"/>
      <c r="AD4410" s="38"/>
      <c r="AE4410" s="38"/>
      <c r="AF4410" s="38"/>
      <c r="AG4410" s="38"/>
      <c r="AH4410" s="38"/>
      <c r="AI4410" s="38"/>
      <c r="AJ4410" s="38"/>
      <c r="AK4410" s="38"/>
      <c r="AL4410" s="38"/>
      <c r="AM4410" s="38"/>
      <c r="AN4410" s="38"/>
      <c r="AO4410" s="38"/>
      <c r="AP4410" s="38"/>
      <c r="AQ4410" s="38"/>
      <c r="AR4410" s="38"/>
      <c r="AS4410" s="38"/>
      <c r="AT4410" s="38"/>
      <c r="AU4410" s="38"/>
      <c r="AV4410" s="38"/>
      <c r="AW4410" s="38"/>
      <c r="AX4410" s="38"/>
      <c r="AY4410" s="38"/>
      <c r="AZ4410" s="38"/>
      <c r="BA4410" s="38"/>
      <c r="BB4410" s="38"/>
      <c r="BC4410" s="38"/>
      <c r="BD4410" s="38"/>
      <c r="BE4410" s="38"/>
      <c r="BF4410" s="38"/>
      <c r="BG4410" s="38"/>
      <c r="BH4410" s="38"/>
      <c r="BI4410" s="38"/>
      <c r="BJ4410" s="38"/>
      <c r="BK4410" s="38"/>
      <c r="BL4410" s="38"/>
      <c r="BM4410" s="38"/>
      <c r="BN4410" s="38"/>
      <c r="BO4410" s="38"/>
      <c r="BP4410" s="38"/>
      <c r="BQ4410" s="38"/>
    </row>
    <row r="4411">
      <c r="A4411" s="16"/>
      <c r="B4411" s="145"/>
      <c r="C4411" s="146"/>
      <c r="D4411" s="146"/>
      <c r="E4411" s="16"/>
      <c r="F4411" s="91"/>
      <c r="G4411" s="16"/>
      <c r="H4411" s="320" t="str">
        <f t="shared" si="424"/>
        <v/>
      </c>
      <c r="I4411" s="16"/>
      <c r="J4411" s="16"/>
      <c r="K4411" s="16"/>
      <c r="L4411" s="16"/>
      <c r="M4411" s="15"/>
      <c r="N4411" s="15"/>
      <c r="O4411" s="16"/>
      <c r="P4411" s="16"/>
      <c r="Q4411" s="16"/>
      <c r="R4411" s="16"/>
      <c r="S4411" s="37" t="str">
        <f>IFERROR(__xludf.DUMMYFUNCTION("if(not(iserror(index(split(C4411, "" ""),2))), index(split(C4411, "" ""),1),"""")"),"")</f>
        <v/>
      </c>
      <c r="T4411" s="315" t="str">
        <f>IFERROR(__xludf.DUMMYFUNCTION("if(S4411="""",C4411,if(not(iserror(index(split(C4411, "" ""),3))), index(split(C4411, "" ""),3),index(split(C4411, "" ""),2)))"),"")</f>
        <v/>
      </c>
      <c r="U4411" s="38" t="b">
        <f t="shared" si="423"/>
        <v>0</v>
      </c>
      <c r="V4411" s="38"/>
      <c r="W4411" s="40"/>
      <c r="X4411" s="40"/>
      <c r="Y4411" s="40"/>
      <c r="Z4411" s="38"/>
      <c r="AA4411" s="38"/>
      <c r="AB4411" s="38"/>
      <c r="AC4411" s="38"/>
      <c r="AD4411" s="38"/>
      <c r="AE4411" s="38"/>
      <c r="AF4411" s="38"/>
      <c r="AG4411" s="38"/>
      <c r="AH4411" s="38"/>
      <c r="AI4411" s="38"/>
      <c r="AJ4411" s="38"/>
      <c r="AK4411" s="38"/>
      <c r="AL4411" s="38"/>
      <c r="AM4411" s="38"/>
      <c r="AN4411" s="38"/>
      <c r="AO4411" s="38"/>
      <c r="AP4411" s="38"/>
      <c r="AQ4411" s="38"/>
      <c r="AR4411" s="38"/>
      <c r="AS4411" s="38"/>
      <c r="AT4411" s="38"/>
      <c r="AU4411" s="38"/>
      <c r="AV4411" s="38"/>
      <c r="AW4411" s="38"/>
      <c r="AX4411" s="38"/>
      <c r="AY4411" s="38"/>
      <c r="AZ4411" s="38"/>
      <c r="BA4411" s="38"/>
      <c r="BB4411" s="38"/>
      <c r="BC4411" s="38"/>
      <c r="BD4411" s="38"/>
      <c r="BE4411" s="38"/>
      <c r="BF4411" s="38"/>
      <c r="BG4411" s="38"/>
      <c r="BH4411" s="38"/>
      <c r="BI4411" s="38"/>
      <c r="BJ4411" s="38"/>
      <c r="BK4411" s="38"/>
      <c r="BL4411" s="38"/>
      <c r="BM4411" s="38"/>
      <c r="BN4411" s="38"/>
      <c r="BO4411" s="38"/>
      <c r="BP4411" s="38"/>
      <c r="BQ4411" s="38"/>
    </row>
    <row r="4412">
      <c r="A4412" s="16"/>
      <c r="B4412" s="145"/>
      <c r="C4412" s="146"/>
      <c r="D4412" s="146"/>
      <c r="E4412" s="16"/>
      <c r="F4412" s="91"/>
      <c r="G4412" s="16"/>
      <c r="H4412" s="320" t="str">
        <f t="shared" si="424"/>
        <v/>
      </c>
      <c r="I4412" s="16"/>
      <c r="J4412" s="16"/>
      <c r="K4412" s="16"/>
      <c r="L4412" s="16"/>
      <c r="M4412" s="15"/>
      <c r="N4412" s="15"/>
      <c r="O4412" s="16"/>
      <c r="P4412" s="16"/>
      <c r="Q4412" s="16"/>
      <c r="R4412" s="16"/>
      <c r="S4412" s="37" t="str">
        <f>IFERROR(__xludf.DUMMYFUNCTION("if(not(iserror(index(split(C4412, "" ""),2))), index(split(C4412, "" ""),1),"""")"),"")</f>
        <v/>
      </c>
      <c r="T4412" s="315" t="str">
        <f>IFERROR(__xludf.DUMMYFUNCTION("if(S4412="""",C4412,if(not(iserror(index(split(C4412, "" ""),3))), index(split(C4412, "" ""),3),index(split(C4412, "" ""),2)))"),"")</f>
        <v/>
      </c>
      <c r="U4412" s="38" t="b">
        <f t="shared" si="423"/>
        <v>0</v>
      </c>
      <c r="V4412" s="38"/>
      <c r="W4412" s="40"/>
      <c r="X4412" s="40"/>
      <c r="Y4412" s="40"/>
      <c r="Z4412" s="38"/>
      <c r="AA4412" s="38"/>
      <c r="AB4412" s="38"/>
      <c r="AC4412" s="38"/>
      <c r="AD4412" s="38"/>
      <c r="AE4412" s="38"/>
      <c r="AF4412" s="38"/>
      <c r="AG4412" s="38"/>
      <c r="AH4412" s="38"/>
      <c r="AI4412" s="38"/>
      <c r="AJ4412" s="38"/>
      <c r="AK4412" s="38"/>
      <c r="AL4412" s="38"/>
      <c r="AM4412" s="38"/>
      <c r="AN4412" s="38"/>
      <c r="AO4412" s="38"/>
      <c r="AP4412" s="38"/>
      <c r="AQ4412" s="38"/>
      <c r="AR4412" s="38"/>
      <c r="AS4412" s="38"/>
      <c r="AT4412" s="38"/>
      <c r="AU4412" s="38"/>
      <c r="AV4412" s="38"/>
      <c r="AW4412" s="38"/>
      <c r="AX4412" s="38"/>
      <c r="AY4412" s="38"/>
      <c r="AZ4412" s="38"/>
      <c r="BA4412" s="38"/>
      <c r="BB4412" s="38"/>
      <c r="BC4412" s="38"/>
      <c r="BD4412" s="38"/>
      <c r="BE4412" s="38"/>
      <c r="BF4412" s="38"/>
      <c r="BG4412" s="38"/>
      <c r="BH4412" s="38"/>
      <c r="BI4412" s="38"/>
      <c r="BJ4412" s="38"/>
      <c r="BK4412" s="38"/>
      <c r="BL4412" s="38"/>
      <c r="BM4412" s="38"/>
      <c r="BN4412" s="38"/>
      <c r="BO4412" s="38"/>
      <c r="BP4412" s="38"/>
      <c r="BQ4412" s="38"/>
    </row>
    <row r="4413">
      <c r="A4413" s="16"/>
      <c r="B4413" s="145"/>
      <c r="C4413" s="146"/>
      <c r="D4413" s="146"/>
      <c r="E4413" s="16"/>
      <c r="F4413" s="91"/>
      <c r="G4413" s="16"/>
      <c r="H4413" s="320" t="str">
        <f t="shared" si="424"/>
        <v/>
      </c>
      <c r="I4413" s="16"/>
      <c r="J4413" s="16"/>
      <c r="K4413" s="16"/>
      <c r="L4413" s="16"/>
      <c r="M4413" s="15"/>
      <c r="N4413" s="15"/>
      <c r="O4413" s="16"/>
      <c r="P4413" s="16"/>
      <c r="Q4413" s="16"/>
      <c r="R4413" s="16"/>
      <c r="S4413" s="37" t="str">
        <f>IFERROR(__xludf.DUMMYFUNCTION("if(not(iserror(index(split(C4413, "" ""),2))), index(split(C4413, "" ""),1),"""")"),"")</f>
        <v/>
      </c>
      <c r="T4413" s="315" t="str">
        <f>IFERROR(__xludf.DUMMYFUNCTION("if(S4413="""",C4413,if(not(iserror(index(split(C4413, "" ""),3))), index(split(C4413, "" ""),3),index(split(C4413, "" ""),2)))"),"")</f>
        <v/>
      </c>
      <c r="U4413" s="38" t="b">
        <f t="shared" si="423"/>
        <v>0</v>
      </c>
      <c r="V4413" s="38"/>
      <c r="W4413" s="40"/>
      <c r="X4413" s="40"/>
      <c r="Y4413" s="40"/>
      <c r="Z4413" s="38"/>
      <c r="AA4413" s="38"/>
      <c r="AB4413" s="38"/>
      <c r="AC4413" s="38"/>
      <c r="AD4413" s="38"/>
      <c r="AE4413" s="38"/>
      <c r="AF4413" s="38"/>
      <c r="AG4413" s="38"/>
      <c r="AH4413" s="38"/>
      <c r="AI4413" s="38"/>
      <c r="AJ4413" s="38"/>
      <c r="AK4413" s="38"/>
      <c r="AL4413" s="38"/>
      <c r="AM4413" s="38"/>
      <c r="AN4413" s="38"/>
      <c r="AO4413" s="38"/>
      <c r="AP4413" s="38"/>
      <c r="AQ4413" s="38"/>
      <c r="AR4413" s="38"/>
      <c r="AS4413" s="38"/>
      <c r="AT4413" s="38"/>
      <c r="AU4413" s="38"/>
      <c r="AV4413" s="38"/>
      <c r="AW4413" s="38"/>
      <c r="AX4413" s="38"/>
      <c r="AY4413" s="38"/>
      <c r="AZ4413" s="38"/>
      <c r="BA4413" s="38"/>
      <c r="BB4413" s="38"/>
      <c r="BC4413" s="38"/>
      <c r="BD4413" s="38"/>
      <c r="BE4413" s="38"/>
      <c r="BF4413" s="38"/>
      <c r="BG4413" s="38"/>
      <c r="BH4413" s="38"/>
      <c r="BI4413" s="38"/>
      <c r="BJ4413" s="38"/>
      <c r="BK4413" s="38"/>
      <c r="BL4413" s="38"/>
      <c r="BM4413" s="38"/>
      <c r="BN4413" s="38"/>
      <c r="BO4413" s="38"/>
      <c r="BP4413" s="38"/>
      <c r="BQ4413" s="38"/>
    </row>
    <row r="4414">
      <c r="A4414" s="16"/>
      <c r="B4414" s="145"/>
      <c r="C4414" s="146"/>
      <c r="D4414" s="146"/>
      <c r="E4414" s="16"/>
      <c r="F4414" s="91"/>
      <c r="G4414" s="16"/>
      <c r="H4414" s="320" t="str">
        <f t="shared" si="424"/>
        <v/>
      </c>
      <c r="I4414" s="16"/>
      <c r="J4414" s="16"/>
      <c r="K4414" s="16"/>
      <c r="L4414" s="16"/>
      <c r="M4414" s="15"/>
      <c r="N4414" s="15"/>
      <c r="O4414" s="16"/>
      <c r="P4414" s="16"/>
      <c r="Q4414" s="16"/>
      <c r="R4414" s="16"/>
      <c r="S4414" s="37" t="str">
        <f>IFERROR(__xludf.DUMMYFUNCTION("if(not(iserror(index(split(C4414, "" ""),2))), index(split(C4414, "" ""),1),"""")"),"")</f>
        <v/>
      </c>
      <c r="T4414" s="315" t="str">
        <f>IFERROR(__xludf.DUMMYFUNCTION("if(S4414="""",C4414,if(not(iserror(index(split(C4414, "" ""),3))), index(split(C4414, "" ""),3),index(split(C4414, "" ""),2)))"),"")</f>
        <v/>
      </c>
      <c r="U4414" s="38" t="b">
        <f t="shared" si="423"/>
        <v>0</v>
      </c>
      <c r="V4414" s="38"/>
      <c r="W4414" s="40"/>
      <c r="X4414" s="40"/>
      <c r="Y4414" s="40"/>
      <c r="Z4414" s="38"/>
      <c r="AA4414" s="38"/>
      <c r="AB4414" s="38"/>
      <c r="AC4414" s="38"/>
      <c r="AD4414" s="38"/>
      <c r="AE4414" s="38"/>
      <c r="AF4414" s="38"/>
      <c r="AG4414" s="38"/>
      <c r="AH4414" s="38"/>
      <c r="AI4414" s="38"/>
      <c r="AJ4414" s="38"/>
      <c r="AK4414" s="38"/>
      <c r="AL4414" s="38"/>
      <c r="AM4414" s="38"/>
      <c r="AN4414" s="38"/>
      <c r="AO4414" s="38"/>
      <c r="AP4414" s="38"/>
      <c r="AQ4414" s="38"/>
      <c r="AR4414" s="38"/>
      <c r="AS4414" s="38"/>
      <c r="AT4414" s="38"/>
      <c r="AU4414" s="38"/>
      <c r="AV4414" s="38"/>
      <c r="AW4414" s="38"/>
      <c r="AX4414" s="38"/>
      <c r="AY4414" s="38"/>
      <c r="AZ4414" s="38"/>
      <c r="BA4414" s="38"/>
      <c r="BB4414" s="38"/>
      <c r="BC4414" s="38"/>
      <c r="BD4414" s="38"/>
      <c r="BE4414" s="38"/>
      <c r="BF4414" s="38"/>
      <c r="BG4414" s="38"/>
      <c r="BH4414" s="38"/>
      <c r="BI4414" s="38"/>
      <c r="BJ4414" s="38"/>
      <c r="BK4414" s="38"/>
      <c r="BL4414" s="38"/>
      <c r="BM4414" s="38"/>
      <c r="BN4414" s="38"/>
      <c r="BO4414" s="38"/>
      <c r="BP4414" s="38"/>
      <c r="BQ4414" s="38"/>
    </row>
    <row r="4415">
      <c r="A4415" s="16"/>
      <c r="B4415" s="145"/>
      <c r="C4415" s="146"/>
      <c r="D4415" s="146"/>
      <c r="E4415" s="16"/>
      <c r="F4415" s="91"/>
      <c r="G4415" s="16"/>
      <c r="H4415" s="320" t="str">
        <f t="shared" si="424"/>
        <v/>
      </c>
      <c r="I4415" s="16"/>
      <c r="J4415" s="16"/>
      <c r="K4415" s="16"/>
      <c r="L4415" s="16"/>
      <c r="M4415" s="15"/>
      <c r="N4415" s="15"/>
      <c r="O4415" s="16"/>
      <c r="P4415" s="16"/>
      <c r="Q4415" s="16"/>
      <c r="R4415" s="16"/>
      <c r="S4415" s="37" t="str">
        <f>IFERROR(__xludf.DUMMYFUNCTION("if(not(iserror(index(split(C4415, "" ""),2))), index(split(C4415, "" ""),1),"""")"),"")</f>
        <v/>
      </c>
      <c r="T4415" s="315" t="str">
        <f>IFERROR(__xludf.DUMMYFUNCTION("if(S4415="""",C4415,if(not(iserror(index(split(C4415, "" ""),3))), index(split(C4415, "" ""),3),index(split(C4415, "" ""),2)))"),"")</f>
        <v/>
      </c>
      <c r="U4415" s="38" t="b">
        <f t="shared" si="423"/>
        <v>0</v>
      </c>
      <c r="V4415" s="38"/>
      <c r="W4415" s="40"/>
      <c r="X4415" s="40"/>
      <c r="Y4415" s="40"/>
      <c r="Z4415" s="38"/>
      <c r="AA4415" s="38"/>
      <c r="AB4415" s="38"/>
      <c r="AC4415" s="38"/>
      <c r="AD4415" s="38"/>
      <c r="AE4415" s="38"/>
      <c r="AF4415" s="38"/>
      <c r="AG4415" s="38"/>
      <c r="AH4415" s="38"/>
      <c r="AI4415" s="38"/>
      <c r="AJ4415" s="38"/>
      <c r="AK4415" s="38"/>
      <c r="AL4415" s="38"/>
      <c r="AM4415" s="38"/>
      <c r="AN4415" s="38"/>
      <c r="AO4415" s="38"/>
      <c r="AP4415" s="38"/>
      <c r="AQ4415" s="38"/>
      <c r="AR4415" s="38"/>
      <c r="AS4415" s="38"/>
      <c r="AT4415" s="38"/>
      <c r="AU4415" s="38"/>
      <c r="AV4415" s="38"/>
      <c r="AW4415" s="38"/>
      <c r="AX4415" s="38"/>
      <c r="AY4415" s="38"/>
      <c r="AZ4415" s="38"/>
      <c r="BA4415" s="38"/>
      <c r="BB4415" s="38"/>
      <c r="BC4415" s="38"/>
      <c r="BD4415" s="38"/>
      <c r="BE4415" s="38"/>
      <c r="BF4415" s="38"/>
      <c r="BG4415" s="38"/>
      <c r="BH4415" s="38"/>
      <c r="BI4415" s="38"/>
      <c r="BJ4415" s="38"/>
      <c r="BK4415" s="38"/>
      <c r="BL4415" s="38"/>
      <c r="BM4415" s="38"/>
      <c r="BN4415" s="38"/>
      <c r="BO4415" s="38"/>
      <c r="BP4415" s="38"/>
      <c r="BQ4415" s="38"/>
    </row>
    <row r="4416">
      <c r="A4416" s="16"/>
      <c r="B4416" s="145"/>
      <c r="C4416" s="146"/>
      <c r="D4416" s="146"/>
      <c r="E4416" s="16"/>
      <c r="F4416" s="91"/>
      <c r="G4416" s="16"/>
      <c r="H4416" s="320" t="str">
        <f t="shared" si="424"/>
        <v/>
      </c>
      <c r="I4416" s="16"/>
      <c r="J4416" s="16"/>
      <c r="K4416" s="16"/>
      <c r="L4416" s="16"/>
      <c r="M4416" s="15"/>
      <c r="N4416" s="15"/>
      <c r="O4416" s="16"/>
      <c r="P4416" s="16"/>
      <c r="Q4416" s="16"/>
      <c r="R4416" s="16"/>
      <c r="S4416" s="37" t="str">
        <f>IFERROR(__xludf.DUMMYFUNCTION("if(not(iserror(index(split(C4416, "" ""),2))), index(split(C4416, "" ""),1),"""")"),"")</f>
        <v/>
      </c>
      <c r="T4416" s="315" t="str">
        <f>IFERROR(__xludf.DUMMYFUNCTION("if(S4416="""",C4416,if(not(iserror(index(split(C4416, "" ""),3))), index(split(C4416, "" ""),3),index(split(C4416, "" ""),2)))"),"")</f>
        <v/>
      </c>
      <c r="U4416" s="38" t="b">
        <f t="shared" si="423"/>
        <v>0</v>
      </c>
      <c r="V4416" s="38"/>
      <c r="W4416" s="40"/>
      <c r="X4416" s="40"/>
      <c r="Y4416" s="40"/>
      <c r="Z4416" s="38"/>
      <c r="AA4416" s="38"/>
      <c r="AB4416" s="38"/>
      <c r="AC4416" s="38"/>
      <c r="AD4416" s="38"/>
      <c r="AE4416" s="38"/>
      <c r="AF4416" s="38"/>
      <c r="AG4416" s="38"/>
      <c r="AH4416" s="38"/>
      <c r="AI4416" s="38"/>
      <c r="AJ4416" s="38"/>
      <c r="AK4416" s="38"/>
      <c r="AL4416" s="38"/>
      <c r="AM4416" s="38"/>
      <c r="AN4416" s="38"/>
      <c r="AO4416" s="38"/>
      <c r="AP4416" s="38"/>
      <c r="AQ4416" s="38"/>
      <c r="AR4416" s="38"/>
      <c r="AS4416" s="38"/>
      <c r="AT4416" s="38"/>
      <c r="AU4416" s="38"/>
      <c r="AV4416" s="38"/>
      <c r="AW4416" s="38"/>
      <c r="AX4416" s="38"/>
      <c r="AY4416" s="38"/>
      <c r="AZ4416" s="38"/>
      <c r="BA4416" s="38"/>
      <c r="BB4416" s="38"/>
      <c r="BC4416" s="38"/>
      <c r="BD4416" s="38"/>
      <c r="BE4416" s="38"/>
      <c r="BF4416" s="38"/>
      <c r="BG4416" s="38"/>
      <c r="BH4416" s="38"/>
      <c r="BI4416" s="38"/>
      <c r="BJ4416" s="38"/>
      <c r="BK4416" s="38"/>
      <c r="BL4416" s="38"/>
      <c r="BM4416" s="38"/>
      <c r="BN4416" s="38"/>
      <c r="BO4416" s="38"/>
      <c r="BP4416" s="38"/>
      <c r="BQ4416" s="38"/>
    </row>
    <row r="4417">
      <c r="A4417" s="16"/>
      <c r="B4417" s="145"/>
      <c r="C4417" s="146"/>
      <c r="D4417" s="146"/>
      <c r="E4417" s="16"/>
      <c r="F4417" s="91"/>
      <c r="G4417" s="16"/>
      <c r="H4417" s="320" t="str">
        <f t="shared" si="424"/>
        <v/>
      </c>
      <c r="I4417" s="16"/>
      <c r="J4417" s="16"/>
      <c r="K4417" s="16"/>
      <c r="L4417" s="16"/>
      <c r="M4417" s="15"/>
      <c r="N4417" s="15"/>
      <c r="O4417" s="16"/>
      <c r="P4417" s="16"/>
      <c r="Q4417" s="16"/>
      <c r="R4417" s="16"/>
      <c r="S4417" s="37" t="str">
        <f>IFERROR(__xludf.DUMMYFUNCTION("if(not(iserror(index(split(C4417, "" ""),2))), index(split(C4417, "" ""),1),"""")"),"")</f>
        <v/>
      </c>
      <c r="T4417" s="315" t="str">
        <f>IFERROR(__xludf.DUMMYFUNCTION("if(S4417="""",C4417,if(not(iserror(index(split(C4417, "" ""),3))), index(split(C4417, "" ""),3),index(split(C4417, "" ""),2)))"),"")</f>
        <v/>
      </c>
      <c r="U4417" s="38" t="b">
        <f t="shared" si="423"/>
        <v>0</v>
      </c>
      <c r="V4417" s="38"/>
      <c r="W4417" s="40"/>
      <c r="X4417" s="40"/>
      <c r="Y4417" s="40"/>
      <c r="Z4417" s="38"/>
      <c r="AA4417" s="38"/>
      <c r="AB4417" s="38"/>
      <c r="AC4417" s="38"/>
      <c r="AD4417" s="38"/>
      <c r="AE4417" s="38"/>
      <c r="AF4417" s="38"/>
      <c r="AG4417" s="38"/>
      <c r="AH4417" s="38"/>
      <c r="AI4417" s="38"/>
      <c r="AJ4417" s="38"/>
      <c r="AK4417" s="38"/>
      <c r="AL4417" s="38"/>
      <c r="AM4417" s="38"/>
      <c r="AN4417" s="38"/>
      <c r="AO4417" s="38"/>
      <c r="AP4417" s="38"/>
      <c r="AQ4417" s="38"/>
      <c r="AR4417" s="38"/>
      <c r="AS4417" s="38"/>
      <c r="AT4417" s="38"/>
      <c r="AU4417" s="38"/>
      <c r="AV4417" s="38"/>
      <c r="AW4417" s="38"/>
      <c r="AX4417" s="38"/>
      <c r="AY4417" s="38"/>
      <c r="AZ4417" s="38"/>
      <c r="BA4417" s="38"/>
      <c r="BB4417" s="38"/>
      <c r="BC4417" s="38"/>
      <c r="BD4417" s="38"/>
      <c r="BE4417" s="38"/>
      <c r="BF4417" s="38"/>
      <c r="BG4417" s="38"/>
      <c r="BH4417" s="38"/>
      <c r="BI4417" s="38"/>
      <c r="BJ4417" s="38"/>
      <c r="BK4417" s="38"/>
      <c r="BL4417" s="38"/>
      <c r="BM4417" s="38"/>
      <c r="BN4417" s="38"/>
      <c r="BO4417" s="38"/>
      <c r="BP4417" s="38"/>
      <c r="BQ4417" s="38"/>
    </row>
    <row r="4418">
      <c r="A4418" s="16"/>
      <c r="B4418" s="145"/>
      <c r="C4418" s="146"/>
      <c r="D4418" s="146"/>
      <c r="E4418" s="16"/>
      <c r="F4418" s="91"/>
      <c r="G4418" s="16"/>
      <c r="H4418" s="320" t="str">
        <f t="shared" si="424"/>
        <v/>
      </c>
      <c r="I4418" s="16"/>
      <c r="J4418" s="16"/>
      <c r="K4418" s="16"/>
      <c r="L4418" s="16"/>
      <c r="M4418" s="15"/>
      <c r="N4418" s="15"/>
      <c r="O4418" s="16"/>
      <c r="P4418" s="16"/>
      <c r="Q4418" s="16"/>
      <c r="R4418" s="16"/>
      <c r="S4418" s="37" t="str">
        <f>IFERROR(__xludf.DUMMYFUNCTION("if(not(iserror(index(split(C4418, "" ""),2))), index(split(C4418, "" ""),1),"""")"),"")</f>
        <v/>
      </c>
      <c r="T4418" s="315" t="str">
        <f>IFERROR(__xludf.DUMMYFUNCTION("if(S4418="""",C4418,if(not(iserror(index(split(C4418, "" ""),3))), index(split(C4418, "" ""),3),index(split(C4418, "" ""),2)))"),"")</f>
        <v/>
      </c>
      <c r="U4418" s="38" t="b">
        <f t="shared" si="423"/>
        <v>0</v>
      </c>
      <c r="V4418" s="38"/>
      <c r="W4418" s="40"/>
      <c r="X4418" s="40"/>
      <c r="Y4418" s="40"/>
      <c r="Z4418" s="38"/>
      <c r="AA4418" s="38"/>
      <c r="AB4418" s="38"/>
      <c r="AC4418" s="38"/>
      <c r="AD4418" s="38"/>
      <c r="AE4418" s="38"/>
      <c r="AF4418" s="38"/>
      <c r="AG4418" s="38"/>
      <c r="AH4418" s="38"/>
      <c r="AI4418" s="38"/>
      <c r="AJ4418" s="38"/>
      <c r="AK4418" s="38"/>
      <c r="AL4418" s="38"/>
      <c r="AM4418" s="38"/>
      <c r="AN4418" s="38"/>
      <c r="AO4418" s="38"/>
      <c r="AP4418" s="38"/>
      <c r="AQ4418" s="38"/>
      <c r="AR4418" s="38"/>
      <c r="AS4418" s="38"/>
      <c r="AT4418" s="38"/>
      <c r="AU4418" s="38"/>
      <c r="AV4418" s="38"/>
      <c r="AW4418" s="38"/>
      <c r="AX4418" s="38"/>
      <c r="AY4418" s="38"/>
      <c r="AZ4418" s="38"/>
      <c r="BA4418" s="38"/>
      <c r="BB4418" s="38"/>
      <c r="BC4418" s="38"/>
      <c r="BD4418" s="38"/>
      <c r="BE4418" s="38"/>
      <c r="BF4418" s="38"/>
      <c r="BG4418" s="38"/>
      <c r="BH4418" s="38"/>
      <c r="BI4418" s="38"/>
      <c r="BJ4418" s="38"/>
      <c r="BK4418" s="38"/>
      <c r="BL4418" s="38"/>
      <c r="BM4418" s="38"/>
      <c r="BN4418" s="38"/>
      <c r="BO4418" s="38"/>
      <c r="BP4418" s="38"/>
      <c r="BQ4418" s="38"/>
    </row>
    <row r="4419">
      <c r="A4419" s="16"/>
      <c r="B4419" s="145"/>
      <c r="C4419" s="146"/>
      <c r="D4419" s="146"/>
      <c r="E4419" s="16"/>
      <c r="F4419" s="91"/>
      <c r="G4419" s="16"/>
      <c r="H4419" s="320" t="str">
        <f t="shared" si="424"/>
        <v/>
      </c>
      <c r="I4419" s="16"/>
      <c r="J4419" s="16"/>
      <c r="K4419" s="16"/>
      <c r="L4419" s="16"/>
      <c r="M4419" s="15"/>
      <c r="N4419" s="15"/>
      <c r="O4419" s="16"/>
      <c r="P4419" s="16"/>
      <c r="Q4419" s="16"/>
      <c r="R4419" s="16"/>
      <c r="S4419" s="37" t="str">
        <f>IFERROR(__xludf.DUMMYFUNCTION("if(not(iserror(index(split(C4419, "" ""),2))), index(split(C4419, "" ""),1),"""")"),"")</f>
        <v/>
      </c>
      <c r="T4419" s="315" t="str">
        <f>IFERROR(__xludf.DUMMYFUNCTION("if(S4419="""",C4419,if(not(iserror(index(split(C4419, "" ""),3))), index(split(C4419, "" ""),3),index(split(C4419, "" ""),2)))"),"")</f>
        <v/>
      </c>
      <c r="U4419" s="38" t="b">
        <f t="shared" si="423"/>
        <v>0</v>
      </c>
      <c r="V4419" s="38"/>
      <c r="W4419" s="40"/>
      <c r="X4419" s="40"/>
      <c r="Y4419" s="40"/>
      <c r="Z4419" s="38"/>
      <c r="AA4419" s="38"/>
      <c r="AB4419" s="38"/>
      <c r="AC4419" s="38"/>
      <c r="AD4419" s="38"/>
      <c r="AE4419" s="38"/>
      <c r="AF4419" s="38"/>
      <c r="AG4419" s="38"/>
      <c r="AH4419" s="38"/>
      <c r="AI4419" s="38"/>
      <c r="AJ4419" s="38"/>
      <c r="AK4419" s="38"/>
      <c r="AL4419" s="38"/>
      <c r="AM4419" s="38"/>
      <c r="AN4419" s="38"/>
      <c r="AO4419" s="38"/>
      <c r="AP4419" s="38"/>
      <c r="AQ4419" s="38"/>
      <c r="AR4419" s="38"/>
      <c r="AS4419" s="38"/>
      <c r="AT4419" s="38"/>
      <c r="AU4419" s="38"/>
      <c r="AV4419" s="38"/>
      <c r="AW4419" s="38"/>
      <c r="AX4419" s="38"/>
      <c r="AY4419" s="38"/>
      <c r="AZ4419" s="38"/>
      <c r="BA4419" s="38"/>
      <c r="BB4419" s="38"/>
      <c r="BC4419" s="38"/>
      <c r="BD4419" s="38"/>
      <c r="BE4419" s="38"/>
      <c r="BF4419" s="38"/>
      <c r="BG4419" s="38"/>
      <c r="BH4419" s="38"/>
      <c r="BI4419" s="38"/>
      <c r="BJ4419" s="38"/>
      <c r="BK4419" s="38"/>
      <c r="BL4419" s="38"/>
      <c r="BM4419" s="38"/>
      <c r="BN4419" s="38"/>
      <c r="BO4419" s="38"/>
      <c r="BP4419" s="38"/>
      <c r="BQ4419" s="38"/>
    </row>
    <row r="4420">
      <c r="A4420" s="16"/>
      <c r="B4420" s="145"/>
      <c r="C4420" s="146"/>
      <c r="D4420" s="146"/>
      <c r="E4420" s="16"/>
      <c r="F4420" s="91"/>
      <c r="G4420" s="16"/>
      <c r="H4420" s="320" t="str">
        <f t="shared" si="424"/>
        <v/>
      </c>
      <c r="I4420" s="16"/>
      <c r="J4420" s="16"/>
      <c r="K4420" s="16"/>
      <c r="L4420" s="16"/>
      <c r="M4420" s="15"/>
      <c r="N4420" s="15"/>
      <c r="O4420" s="16"/>
      <c r="P4420" s="16"/>
      <c r="Q4420" s="16"/>
      <c r="R4420" s="16"/>
      <c r="S4420" s="37" t="str">
        <f>IFERROR(__xludf.DUMMYFUNCTION("if(not(iserror(index(split(C4420, "" ""),2))), index(split(C4420, "" ""),1),"""")"),"")</f>
        <v/>
      </c>
      <c r="T4420" s="315" t="str">
        <f>IFERROR(__xludf.DUMMYFUNCTION("if(S4420="""",C4420,if(not(iserror(index(split(C4420, "" ""),3))), index(split(C4420, "" ""),3),index(split(C4420, "" ""),2)))"),"")</f>
        <v/>
      </c>
      <c r="U4420" s="38" t="b">
        <f t="shared" si="423"/>
        <v>0</v>
      </c>
      <c r="V4420" s="38"/>
      <c r="W4420" s="40"/>
      <c r="X4420" s="40"/>
      <c r="Y4420" s="40"/>
      <c r="Z4420" s="38"/>
      <c r="AA4420" s="38"/>
      <c r="AB4420" s="38"/>
      <c r="AC4420" s="38"/>
      <c r="AD4420" s="38"/>
      <c r="AE4420" s="38"/>
      <c r="AF4420" s="38"/>
      <c r="AG4420" s="38"/>
      <c r="AH4420" s="38"/>
      <c r="AI4420" s="38"/>
      <c r="AJ4420" s="38"/>
      <c r="AK4420" s="38"/>
      <c r="AL4420" s="38"/>
      <c r="AM4420" s="38"/>
      <c r="AN4420" s="38"/>
      <c r="AO4420" s="38"/>
      <c r="AP4420" s="38"/>
      <c r="AQ4420" s="38"/>
      <c r="AR4420" s="38"/>
      <c r="AS4420" s="38"/>
      <c r="AT4420" s="38"/>
      <c r="AU4420" s="38"/>
      <c r="AV4420" s="38"/>
      <c r="AW4420" s="38"/>
      <c r="AX4420" s="38"/>
      <c r="AY4420" s="38"/>
      <c r="AZ4420" s="38"/>
      <c r="BA4420" s="38"/>
      <c r="BB4420" s="38"/>
      <c r="BC4420" s="38"/>
      <c r="BD4420" s="38"/>
      <c r="BE4420" s="38"/>
      <c r="BF4420" s="38"/>
      <c r="BG4420" s="38"/>
      <c r="BH4420" s="38"/>
      <c r="BI4420" s="38"/>
      <c r="BJ4420" s="38"/>
      <c r="BK4420" s="38"/>
      <c r="BL4420" s="38"/>
      <c r="BM4420" s="38"/>
      <c r="BN4420" s="38"/>
      <c r="BO4420" s="38"/>
      <c r="BP4420" s="38"/>
      <c r="BQ4420" s="38"/>
    </row>
    <row r="4421">
      <c r="A4421" s="16"/>
      <c r="B4421" s="145"/>
      <c r="C4421" s="146"/>
      <c r="D4421" s="146"/>
      <c r="E4421" s="16"/>
      <c r="F4421" s="91"/>
      <c r="G4421" s="16"/>
      <c r="H4421" s="320" t="str">
        <f t="shared" si="424"/>
        <v/>
      </c>
      <c r="I4421" s="16"/>
      <c r="J4421" s="16"/>
      <c r="K4421" s="16"/>
      <c r="L4421" s="16"/>
      <c r="M4421" s="15"/>
      <c r="N4421" s="15"/>
      <c r="O4421" s="16"/>
      <c r="P4421" s="16"/>
      <c r="Q4421" s="16"/>
      <c r="R4421" s="16"/>
      <c r="S4421" s="37" t="str">
        <f>IFERROR(__xludf.DUMMYFUNCTION("if(not(iserror(index(split(C4421, "" ""),2))), index(split(C4421, "" ""),1),"""")"),"")</f>
        <v/>
      </c>
      <c r="T4421" s="315" t="str">
        <f>IFERROR(__xludf.DUMMYFUNCTION("if(S4421="""",C4421,if(not(iserror(index(split(C4421, "" ""),3))), index(split(C4421, "" ""),3),index(split(C4421, "" ""),2)))"),"")</f>
        <v/>
      </c>
      <c r="U4421" s="38" t="b">
        <f t="shared" si="423"/>
        <v>0</v>
      </c>
      <c r="V4421" s="38"/>
      <c r="W4421" s="40"/>
      <c r="X4421" s="40"/>
      <c r="Y4421" s="40"/>
      <c r="Z4421" s="38"/>
      <c r="AA4421" s="38"/>
      <c r="AB4421" s="38"/>
      <c r="AC4421" s="38"/>
      <c r="AD4421" s="38"/>
      <c r="AE4421" s="38"/>
      <c r="AF4421" s="38"/>
      <c r="AG4421" s="38"/>
      <c r="AH4421" s="38"/>
      <c r="AI4421" s="38"/>
      <c r="AJ4421" s="38"/>
      <c r="AK4421" s="38"/>
      <c r="AL4421" s="38"/>
      <c r="AM4421" s="38"/>
      <c r="AN4421" s="38"/>
      <c r="AO4421" s="38"/>
      <c r="AP4421" s="38"/>
      <c r="AQ4421" s="38"/>
      <c r="AR4421" s="38"/>
      <c r="AS4421" s="38"/>
      <c r="AT4421" s="38"/>
      <c r="AU4421" s="38"/>
      <c r="AV4421" s="38"/>
      <c r="AW4421" s="38"/>
      <c r="AX4421" s="38"/>
      <c r="AY4421" s="38"/>
      <c r="AZ4421" s="38"/>
      <c r="BA4421" s="38"/>
      <c r="BB4421" s="38"/>
      <c r="BC4421" s="38"/>
      <c r="BD4421" s="38"/>
      <c r="BE4421" s="38"/>
      <c r="BF4421" s="38"/>
      <c r="BG4421" s="38"/>
      <c r="BH4421" s="38"/>
      <c r="BI4421" s="38"/>
      <c r="BJ4421" s="38"/>
      <c r="BK4421" s="38"/>
      <c r="BL4421" s="38"/>
      <c r="BM4421" s="38"/>
      <c r="BN4421" s="38"/>
      <c r="BO4421" s="38"/>
      <c r="BP4421" s="38"/>
      <c r="BQ4421" s="38"/>
    </row>
    <row r="4422">
      <c r="A4422" s="16"/>
      <c r="B4422" s="145"/>
      <c r="C4422" s="146"/>
      <c r="D4422" s="146"/>
      <c r="E4422" s="16"/>
      <c r="F4422" s="91"/>
      <c r="G4422" s="16"/>
      <c r="H4422" s="320" t="str">
        <f t="shared" si="424"/>
        <v/>
      </c>
      <c r="I4422" s="16"/>
      <c r="J4422" s="16"/>
      <c r="K4422" s="16"/>
      <c r="L4422" s="16"/>
      <c r="M4422" s="15"/>
      <c r="N4422" s="15"/>
      <c r="O4422" s="16"/>
      <c r="P4422" s="16"/>
      <c r="Q4422" s="16"/>
      <c r="R4422" s="16"/>
      <c r="S4422" s="37" t="str">
        <f>IFERROR(__xludf.DUMMYFUNCTION("if(not(iserror(index(split(C4422, "" ""),2))), index(split(C4422, "" ""),1),"""")"),"")</f>
        <v/>
      </c>
      <c r="T4422" s="315" t="str">
        <f>IFERROR(__xludf.DUMMYFUNCTION("if(S4422="""",C4422,if(not(iserror(index(split(C4422, "" ""),3))), index(split(C4422, "" ""),3),index(split(C4422, "" ""),2)))"),"")</f>
        <v/>
      </c>
      <c r="U4422" s="38" t="b">
        <f t="shared" si="423"/>
        <v>0</v>
      </c>
      <c r="V4422" s="38"/>
      <c r="W4422" s="40"/>
      <c r="X4422" s="40"/>
      <c r="Y4422" s="40"/>
      <c r="Z4422" s="38"/>
      <c r="AA4422" s="38"/>
      <c r="AB4422" s="38"/>
      <c r="AC4422" s="38"/>
      <c r="AD4422" s="38"/>
      <c r="AE4422" s="38"/>
      <c r="AF4422" s="38"/>
      <c r="AG4422" s="38"/>
      <c r="AH4422" s="38"/>
      <c r="AI4422" s="38"/>
      <c r="AJ4422" s="38"/>
      <c r="AK4422" s="38"/>
      <c r="AL4422" s="38"/>
      <c r="AM4422" s="38"/>
      <c r="AN4422" s="38"/>
      <c r="AO4422" s="38"/>
      <c r="AP4422" s="38"/>
      <c r="AQ4422" s="38"/>
      <c r="AR4422" s="38"/>
      <c r="AS4422" s="38"/>
      <c r="AT4422" s="38"/>
      <c r="AU4422" s="38"/>
      <c r="AV4422" s="38"/>
      <c r="AW4422" s="38"/>
      <c r="AX4422" s="38"/>
      <c r="AY4422" s="38"/>
      <c r="AZ4422" s="38"/>
      <c r="BA4422" s="38"/>
      <c r="BB4422" s="38"/>
      <c r="BC4422" s="38"/>
      <c r="BD4422" s="38"/>
      <c r="BE4422" s="38"/>
      <c r="BF4422" s="38"/>
      <c r="BG4422" s="38"/>
      <c r="BH4422" s="38"/>
      <c r="BI4422" s="38"/>
      <c r="BJ4422" s="38"/>
      <c r="BK4422" s="38"/>
      <c r="BL4422" s="38"/>
      <c r="BM4422" s="38"/>
      <c r="BN4422" s="38"/>
      <c r="BO4422" s="38"/>
      <c r="BP4422" s="38"/>
      <c r="BQ4422" s="38"/>
    </row>
    <row r="4423">
      <c r="A4423" s="16"/>
      <c r="B4423" s="145"/>
      <c r="C4423" s="146"/>
      <c r="D4423" s="146"/>
      <c r="E4423" s="16"/>
      <c r="F4423" s="91"/>
      <c r="G4423" s="16"/>
      <c r="H4423" s="320" t="str">
        <f t="shared" si="424"/>
        <v/>
      </c>
      <c r="I4423" s="16"/>
      <c r="J4423" s="16"/>
      <c r="K4423" s="16"/>
      <c r="L4423" s="16"/>
      <c r="M4423" s="15"/>
      <c r="N4423" s="15"/>
      <c r="O4423" s="16"/>
      <c r="P4423" s="16"/>
      <c r="Q4423" s="16"/>
      <c r="R4423" s="16"/>
      <c r="S4423" s="37" t="str">
        <f>IFERROR(__xludf.DUMMYFUNCTION("if(not(iserror(index(split(C4423, "" ""),2))), index(split(C4423, "" ""),1),"""")"),"")</f>
        <v/>
      </c>
      <c r="T4423" s="315" t="str">
        <f>IFERROR(__xludf.DUMMYFUNCTION("if(S4423="""",C4423,if(not(iserror(index(split(C4423, "" ""),3))), index(split(C4423, "" ""),3),index(split(C4423, "" ""),2)))"),"")</f>
        <v/>
      </c>
      <c r="U4423" s="38" t="b">
        <f t="shared" si="423"/>
        <v>0</v>
      </c>
      <c r="V4423" s="38"/>
      <c r="W4423" s="40"/>
      <c r="X4423" s="40"/>
      <c r="Y4423" s="40"/>
      <c r="Z4423" s="38"/>
      <c r="AA4423" s="38"/>
      <c r="AB4423" s="38"/>
      <c r="AC4423" s="38"/>
      <c r="AD4423" s="38"/>
      <c r="AE4423" s="38"/>
      <c r="AF4423" s="38"/>
      <c r="AG4423" s="38"/>
      <c r="AH4423" s="38"/>
      <c r="AI4423" s="38"/>
      <c r="AJ4423" s="38"/>
      <c r="AK4423" s="38"/>
      <c r="AL4423" s="38"/>
      <c r="AM4423" s="38"/>
      <c r="AN4423" s="38"/>
      <c r="AO4423" s="38"/>
      <c r="AP4423" s="38"/>
      <c r="AQ4423" s="38"/>
      <c r="AR4423" s="38"/>
      <c r="AS4423" s="38"/>
      <c r="AT4423" s="38"/>
      <c r="AU4423" s="38"/>
      <c r="AV4423" s="38"/>
      <c r="AW4423" s="38"/>
      <c r="AX4423" s="38"/>
      <c r="AY4423" s="38"/>
      <c r="AZ4423" s="38"/>
      <c r="BA4423" s="38"/>
      <c r="BB4423" s="38"/>
      <c r="BC4423" s="38"/>
      <c r="BD4423" s="38"/>
      <c r="BE4423" s="38"/>
      <c r="BF4423" s="38"/>
      <c r="BG4423" s="38"/>
      <c r="BH4423" s="38"/>
      <c r="BI4423" s="38"/>
      <c r="BJ4423" s="38"/>
      <c r="BK4423" s="38"/>
      <c r="BL4423" s="38"/>
      <c r="BM4423" s="38"/>
      <c r="BN4423" s="38"/>
      <c r="BO4423" s="38"/>
      <c r="BP4423" s="38"/>
      <c r="BQ4423" s="38"/>
    </row>
    <row r="4424">
      <c r="A4424" s="16"/>
      <c r="B4424" s="145"/>
      <c r="C4424" s="146"/>
      <c r="D4424" s="146"/>
      <c r="E4424" s="16"/>
      <c r="F4424" s="91"/>
      <c r="G4424" s="16"/>
      <c r="H4424" s="320" t="str">
        <f t="shared" si="424"/>
        <v/>
      </c>
      <c r="I4424" s="16"/>
      <c r="J4424" s="16"/>
      <c r="K4424" s="16"/>
      <c r="L4424" s="16"/>
      <c r="M4424" s="15"/>
      <c r="N4424" s="15"/>
      <c r="O4424" s="16"/>
      <c r="P4424" s="16"/>
      <c r="Q4424" s="16"/>
      <c r="R4424" s="16"/>
      <c r="S4424" s="37" t="str">
        <f>IFERROR(__xludf.DUMMYFUNCTION("if(not(iserror(index(split(C4424, "" ""),2))), index(split(C4424, "" ""),1),"""")"),"")</f>
        <v/>
      </c>
      <c r="T4424" s="315" t="str">
        <f>IFERROR(__xludf.DUMMYFUNCTION("if(S4424="""",C4424,if(not(iserror(index(split(C4424, "" ""),3))), index(split(C4424, "" ""),3),index(split(C4424, "" ""),2)))"),"")</f>
        <v/>
      </c>
      <c r="U4424" s="38" t="b">
        <f t="shared" si="423"/>
        <v>0</v>
      </c>
      <c r="V4424" s="38"/>
      <c r="W4424" s="40"/>
      <c r="X4424" s="40"/>
      <c r="Y4424" s="40"/>
      <c r="Z4424" s="38"/>
      <c r="AA4424" s="38"/>
      <c r="AB4424" s="38"/>
      <c r="AC4424" s="38"/>
      <c r="AD4424" s="38"/>
      <c r="AE4424" s="38"/>
      <c r="AF4424" s="38"/>
      <c r="AG4424" s="38"/>
      <c r="AH4424" s="38"/>
      <c r="AI4424" s="38"/>
      <c r="AJ4424" s="38"/>
      <c r="AK4424" s="38"/>
      <c r="AL4424" s="38"/>
      <c r="AM4424" s="38"/>
      <c r="AN4424" s="38"/>
      <c r="AO4424" s="38"/>
      <c r="AP4424" s="38"/>
      <c r="AQ4424" s="38"/>
      <c r="AR4424" s="38"/>
      <c r="AS4424" s="38"/>
      <c r="AT4424" s="38"/>
      <c r="AU4424" s="38"/>
      <c r="AV4424" s="38"/>
      <c r="AW4424" s="38"/>
      <c r="AX4424" s="38"/>
      <c r="AY4424" s="38"/>
      <c r="AZ4424" s="38"/>
      <c r="BA4424" s="38"/>
      <c r="BB4424" s="38"/>
      <c r="BC4424" s="38"/>
      <c r="BD4424" s="38"/>
      <c r="BE4424" s="38"/>
      <c r="BF4424" s="38"/>
      <c r="BG4424" s="38"/>
      <c r="BH4424" s="38"/>
      <c r="BI4424" s="38"/>
      <c r="BJ4424" s="38"/>
      <c r="BK4424" s="38"/>
      <c r="BL4424" s="38"/>
      <c r="BM4424" s="38"/>
      <c r="BN4424" s="38"/>
      <c r="BO4424" s="38"/>
      <c r="BP4424" s="38"/>
      <c r="BQ4424" s="38"/>
    </row>
    <row r="4425">
      <c r="A4425" s="16"/>
      <c r="B4425" s="145"/>
      <c r="C4425" s="146"/>
      <c r="D4425" s="146"/>
      <c r="E4425" s="16"/>
      <c r="F4425" s="91"/>
      <c r="G4425" s="16"/>
      <c r="H4425" s="320" t="str">
        <f t="shared" si="424"/>
        <v/>
      </c>
      <c r="I4425" s="16"/>
      <c r="J4425" s="16"/>
      <c r="K4425" s="16"/>
      <c r="L4425" s="16"/>
      <c r="M4425" s="15"/>
      <c r="N4425" s="15"/>
      <c r="O4425" s="16"/>
      <c r="P4425" s="16"/>
      <c r="Q4425" s="16"/>
      <c r="R4425" s="16"/>
      <c r="S4425" s="37" t="str">
        <f>IFERROR(__xludf.DUMMYFUNCTION("if(not(iserror(index(split(C4425, "" ""),2))), index(split(C4425, "" ""),1),"""")"),"")</f>
        <v/>
      </c>
      <c r="T4425" s="315" t="str">
        <f>IFERROR(__xludf.DUMMYFUNCTION("if(S4425="""",C4425,if(not(iserror(index(split(C4425, "" ""),3))), index(split(C4425, "" ""),3),index(split(C4425, "" ""),2)))"),"")</f>
        <v/>
      </c>
      <c r="U4425" s="38" t="b">
        <f t="shared" si="423"/>
        <v>0</v>
      </c>
      <c r="V4425" s="38"/>
      <c r="W4425" s="40"/>
      <c r="X4425" s="40"/>
      <c r="Y4425" s="40"/>
      <c r="Z4425" s="38"/>
      <c r="AA4425" s="38"/>
      <c r="AB4425" s="38"/>
      <c r="AC4425" s="38"/>
      <c r="AD4425" s="38"/>
      <c r="AE4425" s="38"/>
      <c r="AF4425" s="38"/>
      <c r="AG4425" s="38"/>
      <c r="AH4425" s="38"/>
      <c r="AI4425" s="38"/>
      <c r="AJ4425" s="38"/>
      <c r="AK4425" s="38"/>
      <c r="AL4425" s="38"/>
      <c r="AM4425" s="38"/>
      <c r="AN4425" s="38"/>
      <c r="AO4425" s="38"/>
      <c r="AP4425" s="38"/>
      <c r="AQ4425" s="38"/>
      <c r="AR4425" s="38"/>
      <c r="AS4425" s="38"/>
      <c r="AT4425" s="38"/>
      <c r="AU4425" s="38"/>
      <c r="AV4425" s="38"/>
      <c r="AW4425" s="38"/>
      <c r="AX4425" s="38"/>
      <c r="AY4425" s="38"/>
      <c r="AZ4425" s="38"/>
      <c r="BA4425" s="38"/>
      <c r="BB4425" s="38"/>
      <c r="BC4425" s="38"/>
      <c r="BD4425" s="38"/>
      <c r="BE4425" s="38"/>
      <c r="BF4425" s="38"/>
      <c r="BG4425" s="38"/>
      <c r="BH4425" s="38"/>
      <c r="BI4425" s="38"/>
      <c r="BJ4425" s="38"/>
      <c r="BK4425" s="38"/>
      <c r="BL4425" s="38"/>
      <c r="BM4425" s="38"/>
      <c r="BN4425" s="38"/>
      <c r="BO4425" s="38"/>
      <c r="BP4425" s="38"/>
      <c r="BQ4425" s="38"/>
    </row>
    <row r="4426">
      <c r="A4426" s="16"/>
      <c r="B4426" s="145"/>
      <c r="C4426" s="146"/>
      <c r="D4426" s="146"/>
      <c r="E4426" s="16"/>
      <c r="F4426" s="91"/>
      <c r="G4426" s="16"/>
      <c r="H4426" s="320" t="str">
        <f t="shared" si="424"/>
        <v/>
      </c>
      <c r="I4426" s="16"/>
      <c r="J4426" s="16"/>
      <c r="K4426" s="16"/>
      <c r="L4426" s="16"/>
      <c r="M4426" s="15"/>
      <c r="N4426" s="15"/>
      <c r="O4426" s="16"/>
      <c r="P4426" s="16"/>
      <c r="Q4426" s="16"/>
      <c r="R4426" s="16"/>
      <c r="S4426" s="37" t="str">
        <f>IFERROR(__xludf.DUMMYFUNCTION("if(not(iserror(index(split(C4426, "" ""),2))), index(split(C4426, "" ""),1),"""")"),"")</f>
        <v/>
      </c>
      <c r="T4426" s="315" t="str">
        <f>IFERROR(__xludf.DUMMYFUNCTION("if(S4426="""",C4426,if(not(iserror(index(split(C4426, "" ""),3))), index(split(C4426, "" ""),3),index(split(C4426, "" ""),2)))"),"")</f>
        <v/>
      </c>
      <c r="U4426" s="38" t="b">
        <f t="shared" si="423"/>
        <v>0</v>
      </c>
      <c r="V4426" s="38"/>
      <c r="W4426" s="40"/>
      <c r="X4426" s="40"/>
      <c r="Y4426" s="40"/>
      <c r="Z4426" s="38"/>
      <c r="AA4426" s="38"/>
      <c r="AB4426" s="38"/>
      <c r="AC4426" s="38"/>
      <c r="AD4426" s="38"/>
      <c r="AE4426" s="38"/>
      <c r="AF4426" s="38"/>
      <c r="AG4426" s="38"/>
      <c r="AH4426" s="38"/>
      <c r="AI4426" s="38"/>
      <c r="AJ4426" s="38"/>
      <c r="AK4426" s="38"/>
      <c r="AL4426" s="38"/>
      <c r="AM4426" s="38"/>
      <c r="AN4426" s="38"/>
      <c r="AO4426" s="38"/>
      <c r="AP4426" s="38"/>
      <c r="AQ4426" s="38"/>
      <c r="AR4426" s="38"/>
      <c r="AS4426" s="38"/>
      <c r="AT4426" s="38"/>
      <c r="AU4426" s="38"/>
      <c r="AV4426" s="38"/>
      <c r="AW4426" s="38"/>
      <c r="AX4426" s="38"/>
      <c r="AY4426" s="38"/>
      <c r="AZ4426" s="38"/>
      <c r="BA4426" s="38"/>
      <c r="BB4426" s="38"/>
      <c r="BC4426" s="38"/>
      <c r="BD4426" s="38"/>
      <c r="BE4426" s="38"/>
      <c r="BF4426" s="38"/>
      <c r="BG4426" s="38"/>
      <c r="BH4426" s="38"/>
      <c r="BI4426" s="38"/>
      <c r="BJ4426" s="38"/>
      <c r="BK4426" s="38"/>
      <c r="BL4426" s="38"/>
      <c r="BM4426" s="38"/>
      <c r="BN4426" s="38"/>
      <c r="BO4426" s="38"/>
      <c r="BP4426" s="38"/>
      <c r="BQ4426" s="38"/>
    </row>
    <row r="4427">
      <c r="A4427" s="16"/>
      <c r="B4427" s="145"/>
      <c r="C4427" s="146"/>
      <c r="D4427" s="146"/>
      <c r="E4427" s="16"/>
      <c r="F4427" s="91"/>
      <c r="G4427" s="16"/>
      <c r="H4427" s="320" t="str">
        <f t="shared" si="424"/>
        <v/>
      </c>
      <c r="I4427" s="16"/>
      <c r="J4427" s="16"/>
      <c r="K4427" s="16"/>
      <c r="L4427" s="16"/>
      <c r="M4427" s="15"/>
      <c r="N4427" s="15"/>
      <c r="O4427" s="16"/>
      <c r="P4427" s="16"/>
      <c r="Q4427" s="16"/>
      <c r="R4427" s="16"/>
      <c r="S4427" s="37" t="str">
        <f>IFERROR(__xludf.DUMMYFUNCTION("if(not(iserror(index(split(C4427, "" ""),2))), index(split(C4427, "" ""),1),"""")"),"")</f>
        <v/>
      </c>
      <c r="T4427" s="315" t="str">
        <f>IFERROR(__xludf.DUMMYFUNCTION("if(S4427="""",C4427,if(not(iserror(index(split(C4427, "" ""),3))), index(split(C4427, "" ""),3),index(split(C4427, "" ""),2)))"),"")</f>
        <v/>
      </c>
      <c r="U4427" s="38" t="b">
        <f t="shared" si="423"/>
        <v>0</v>
      </c>
      <c r="V4427" s="38"/>
      <c r="W4427" s="40"/>
      <c r="X4427" s="40"/>
      <c r="Y4427" s="40"/>
      <c r="Z4427" s="38"/>
      <c r="AA4427" s="38"/>
      <c r="AB4427" s="38"/>
      <c r="AC4427" s="38"/>
      <c r="AD4427" s="38"/>
      <c r="AE4427" s="38"/>
      <c r="AF4427" s="38"/>
      <c r="AG4427" s="38"/>
      <c r="AH4427" s="38"/>
      <c r="AI4427" s="38"/>
      <c r="AJ4427" s="38"/>
      <c r="AK4427" s="38"/>
      <c r="AL4427" s="38"/>
      <c r="AM4427" s="38"/>
      <c r="AN4427" s="38"/>
      <c r="AO4427" s="38"/>
      <c r="AP4427" s="38"/>
      <c r="AQ4427" s="38"/>
      <c r="AR4427" s="38"/>
      <c r="AS4427" s="38"/>
      <c r="AT4427" s="38"/>
      <c r="AU4427" s="38"/>
      <c r="AV4427" s="38"/>
      <c r="AW4427" s="38"/>
      <c r="AX4427" s="38"/>
      <c r="AY4427" s="38"/>
      <c r="AZ4427" s="38"/>
      <c r="BA4427" s="38"/>
      <c r="BB4427" s="38"/>
      <c r="BC4427" s="38"/>
      <c r="BD4427" s="38"/>
      <c r="BE4427" s="38"/>
      <c r="BF4427" s="38"/>
      <c r="BG4427" s="38"/>
      <c r="BH4427" s="38"/>
      <c r="BI4427" s="38"/>
      <c r="BJ4427" s="38"/>
      <c r="BK4427" s="38"/>
      <c r="BL4427" s="38"/>
      <c r="BM4427" s="38"/>
      <c r="BN4427" s="38"/>
      <c r="BO4427" s="38"/>
      <c r="BP4427" s="38"/>
      <c r="BQ4427" s="38"/>
    </row>
    <row r="4428">
      <c r="A4428" s="16"/>
      <c r="B4428" s="145"/>
      <c r="C4428" s="146"/>
      <c r="D4428" s="146"/>
      <c r="E4428" s="16"/>
      <c r="F4428" s="91"/>
      <c r="G4428" s="16"/>
      <c r="H4428" s="320" t="str">
        <f t="shared" si="424"/>
        <v/>
      </c>
      <c r="I4428" s="16"/>
      <c r="J4428" s="16"/>
      <c r="K4428" s="16"/>
      <c r="L4428" s="16"/>
      <c r="M4428" s="15"/>
      <c r="N4428" s="15"/>
      <c r="O4428" s="16"/>
      <c r="P4428" s="16"/>
      <c r="Q4428" s="16"/>
      <c r="R4428" s="16"/>
      <c r="S4428" s="37" t="str">
        <f>IFERROR(__xludf.DUMMYFUNCTION("if(not(iserror(index(split(C4428, "" ""),2))), index(split(C4428, "" ""),1),"""")"),"")</f>
        <v/>
      </c>
      <c r="T4428" s="315" t="str">
        <f>IFERROR(__xludf.DUMMYFUNCTION("if(S4428="""",C4428,if(not(iserror(index(split(C4428, "" ""),3))), index(split(C4428, "" ""),3),index(split(C4428, "" ""),2)))"),"")</f>
        <v/>
      </c>
      <c r="U4428" s="38" t="b">
        <f t="shared" si="423"/>
        <v>0</v>
      </c>
      <c r="V4428" s="38"/>
      <c r="W4428" s="40"/>
      <c r="X4428" s="40"/>
      <c r="Y4428" s="40"/>
      <c r="Z4428" s="38"/>
      <c r="AA4428" s="38"/>
      <c r="AB4428" s="38"/>
      <c r="AC4428" s="38"/>
      <c r="AD4428" s="38"/>
      <c r="AE4428" s="38"/>
      <c r="AF4428" s="38"/>
      <c r="AG4428" s="38"/>
      <c r="AH4428" s="38"/>
      <c r="AI4428" s="38"/>
      <c r="AJ4428" s="38"/>
      <c r="AK4428" s="38"/>
      <c r="AL4428" s="38"/>
      <c r="AM4428" s="38"/>
      <c r="AN4428" s="38"/>
      <c r="AO4428" s="38"/>
      <c r="AP4428" s="38"/>
      <c r="AQ4428" s="38"/>
      <c r="AR4428" s="38"/>
      <c r="AS4428" s="38"/>
      <c r="AT4428" s="38"/>
      <c r="AU4428" s="38"/>
      <c r="AV4428" s="38"/>
      <c r="AW4428" s="38"/>
      <c r="AX4428" s="38"/>
      <c r="AY4428" s="38"/>
      <c r="AZ4428" s="38"/>
      <c r="BA4428" s="38"/>
      <c r="BB4428" s="38"/>
      <c r="BC4428" s="38"/>
      <c r="BD4428" s="38"/>
      <c r="BE4428" s="38"/>
      <c r="BF4428" s="38"/>
      <c r="BG4428" s="38"/>
      <c r="BH4428" s="38"/>
      <c r="BI4428" s="38"/>
      <c r="BJ4428" s="38"/>
      <c r="BK4428" s="38"/>
      <c r="BL4428" s="38"/>
      <c r="BM4428" s="38"/>
      <c r="BN4428" s="38"/>
      <c r="BO4428" s="38"/>
      <c r="BP4428" s="38"/>
      <c r="BQ4428" s="38"/>
    </row>
    <row r="4429">
      <c r="A4429" s="16"/>
      <c r="B4429" s="145"/>
      <c r="C4429" s="146"/>
      <c r="D4429" s="146"/>
      <c r="E4429" s="16"/>
      <c r="F4429" s="91"/>
      <c r="G4429" s="16"/>
      <c r="H4429" s="320" t="str">
        <f t="shared" si="424"/>
        <v/>
      </c>
      <c r="I4429" s="16"/>
      <c r="J4429" s="16"/>
      <c r="K4429" s="16"/>
      <c r="L4429" s="16"/>
      <c r="M4429" s="15"/>
      <c r="N4429" s="15"/>
      <c r="O4429" s="16"/>
      <c r="P4429" s="16"/>
      <c r="Q4429" s="16"/>
      <c r="R4429" s="16"/>
      <c r="S4429" s="37" t="str">
        <f>IFERROR(__xludf.DUMMYFUNCTION("if(not(iserror(index(split(C4429, "" ""),2))), index(split(C4429, "" ""),1),"""")"),"")</f>
        <v/>
      </c>
      <c r="T4429" s="315" t="str">
        <f>IFERROR(__xludf.DUMMYFUNCTION("if(S4429="""",C4429,if(not(iserror(index(split(C4429, "" ""),3))), index(split(C4429, "" ""),3),index(split(C4429, "" ""),2)))"),"")</f>
        <v/>
      </c>
      <c r="U4429" s="38" t="b">
        <f t="shared" si="423"/>
        <v>0</v>
      </c>
      <c r="V4429" s="38"/>
      <c r="W4429" s="40"/>
      <c r="X4429" s="40"/>
      <c r="Y4429" s="40"/>
      <c r="Z4429" s="38"/>
      <c r="AA4429" s="38"/>
      <c r="AB4429" s="38"/>
      <c r="AC4429" s="38"/>
      <c r="AD4429" s="38"/>
      <c r="AE4429" s="38"/>
      <c r="AF4429" s="38"/>
      <c r="AG4429" s="38"/>
      <c r="AH4429" s="38"/>
      <c r="AI4429" s="38"/>
      <c r="AJ4429" s="38"/>
      <c r="AK4429" s="38"/>
      <c r="AL4429" s="38"/>
      <c r="AM4429" s="38"/>
      <c r="AN4429" s="38"/>
      <c r="AO4429" s="38"/>
      <c r="AP4429" s="38"/>
      <c r="AQ4429" s="38"/>
      <c r="AR4429" s="38"/>
      <c r="AS4429" s="38"/>
      <c r="AT4429" s="38"/>
      <c r="AU4429" s="38"/>
      <c r="AV4429" s="38"/>
      <c r="AW4429" s="38"/>
      <c r="AX4429" s="38"/>
      <c r="AY4429" s="38"/>
      <c r="AZ4429" s="38"/>
      <c r="BA4429" s="38"/>
      <c r="BB4429" s="38"/>
      <c r="BC4429" s="38"/>
      <c r="BD4429" s="38"/>
      <c r="BE4429" s="38"/>
      <c r="BF4429" s="38"/>
      <c r="BG4429" s="38"/>
      <c r="BH4429" s="38"/>
      <c r="BI4429" s="38"/>
      <c r="BJ4429" s="38"/>
      <c r="BK4429" s="38"/>
      <c r="BL4429" s="38"/>
      <c r="BM4429" s="38"/>
      <c r="BN4429" s="38"/>
      <c r="BO4429" s="38"/>
      <c r="BP4429" s="38"/>
      <c r="BQ4429" s="38"/>
    </row>
    <row r="4430">
      <c r="A4430" s="16"/>
      <c r="B4430" s="145"/>
      <c r="C4430" s="146"/>
      <c r="D4430" s="146"/>
      <c r="E4430" s="16"/>
      <c r="F4430" s="91"/>
      <c r="G4430" s="16"/>
      <c r="H4430" s="320" t="str">
        <f t="shared" si="424"/>
        <v/>
      </c>
      <c r="I4430" s="16"/>
      <c r="J4430" s="16"/>
      <c r="K4430" s="16"/>
      <c r="L4430" s="16"/>
      <c r="M4430" s="15"/>
      <c r="N4430" s="15"/>
      <c r="O4430" s="16"/>
      <c r="P4430" s="16"/>
      <c r="Q4430" s="16"/>
      <c r="R4430" s="16"/>
      <c r="S4430" s="37" t="str">
        <f>IFERROR(__xludf.DUMMYFUNCTION("if(not(iserror(index(split(C4430, "" ""),2))), index(split(C4430, "" ""),1),"""")"),"")</f>
        <v/>
      </c>
      <c r="T4430" s="315" t="str">
        <f>IFERROR(__xludf.DUMMYFUNCTION("if(S4430="""",C4430,if(not(iserror(index(split(C4430, "" ""),3))), index(split(C4430, "" ""),3),index(split(C4430, "" ""),2)))"),"")</f>
        <v/>
      </c>
      <c r="U4430" s="38" t="b">
        <f t="shared" si="423"/>
        <v>0</v>
      </c>
      <c r="V4430" s="38"/>
      <c r="W4430" s="40"/>
      <c r="X4430" s="40"/>
      <c r="Y4430" s="40"/>
      <c r="Z4430" s="38"/>
      <c r="AA4430" s="38"/>
      <c r="AB4430" s="38"/>
      <c r="AC4430" s="38"/>
      <c r="AD4430" s="38"/>
      <c r="AE4430" s="38"/>
      <c r="AF4430" s="38"/>
      <c r="AG4430" s="38"/>
      <c r="AH4430" s="38"/>
      <c r="AI4430" s="38"/>
      <c r="AJ4430" s="38"/>
      <c r="AK4430" s="38"/>
      <c r="AL4430" s="38"/>
      <c r="AM4430" s="38"/>
      <c r="AN4430" s="38"/>
      <c r="AO4430" s="38"/>
      <c r="AP4430" s="38"/>
      <c r="AQ4430" s="38"/>
      <c r="AR4430" s="38"/>
      <c r="AS4430" s="38"/>
      <c r="AT4430" s="38"/>
      <c r="AU4430" s="38"/>
      <c r="AV4430" s="38"/>
      <c r="AW4430" s="38"/>
      <c r="AX4430" s="38"/>
      <c r="AY4430" s="38"/>
      <c r="AZ4430" s="38"/>
      <c r="BA4430" s="38"/>
      <c r="BB4430" s="38"/>
      <c r="BC4430" s="38"/>
      <c r="BD4430" s="38"/>
      <c r="BE4430" s="38"/>
      <c r="BF4430" s="38"/>
      <c r="BG4430" s="38"/>
      <c r="BH4430" s="38"/>
      <c r="BI4430" s="38"/>
      <c r="BJ4430" s="38"/>
      <c r="BK4430" s="38"/>
      <c r="BL4430" s="38"/>
      <c r="BM4430" s="38"/>
      <c r="BN4430" s="38"/>
      <c r="BO4430" s="38"/>
      <c r="BP4430" s="38"/>
      <c r="BQ4430" s="38"/>
    </row>
    <row r="4431">
      <c r="A4431" s="16"/>
      <c r="B4431" s="145"/>
      <c r="C4431" s="146"/>
      <c r="D4431" s="146"/>
      <c r="E4431" s="16"/>
      <c r="F4431" s="91"/>
      <c r="G4431" s="16"/>
      <c r="H4431" s="320" t="str">
        <f t="shared" si="424"/>
        <v/>
      </c>
      <c r="I4431" s="16"/>
      <c r="J4431" s="16"/>
      <c r="K4431" s="16"/>
      <c r="L4431" s="16"/>
      <c r="M4431" s="15"/>
      <c r="N4431" s="15"/>
      <c r="O4431" s="16"/>
      <c r="P4431" s="16"/>
      <c r="Q4431" s="16"/>
      <c r="R4431" s="16"/>
      <c r="S4431" s="37" t="str">
        <f>IFERROR(__xludf.DUMMYFUNCTION("if(not(iserror(index(split(C4431, "" ""),2))), index(split(C4431, "" ""),1),"""")"),"")</f>
        <v/>
      </c>
      <c r="T4431" s="315" t="str">
        <f>IFERROR(__xludf.DUMMYFUNCTION("if(S4431="""",C4431,if(not(iserror(index(split(C4431, "" ""),3))), index(split(C4431, "" ""),3),index(split(C4431, "" ""),2)))"),"")</f>
        <v/>
      </c>
      <c r="U4431" s="38" t="b">
        <f t="shared" si="423"/>
        <v>0</v>
      </c>
      <c r="V4431" s="38"/>
      <c r="W4431" s="40"/>
      <c r="X4431" s="40"/>
      <c r="Y4431" s="40"/>
      <c r="Z4431" s="38"/>
      <c r="AA4431" s="38"/>
      <c r="AB4431" s="38"/>
      <c r="AC4431" s="38"/>
      <c r="AD4431" s="38"/>
      <c r="AE4431" s="38"/>
      <c r="AF4431" s="38"/>
      <c r="AG4431" s="38"/>
      <c r="AH4431" s="38"/>
      <c r="AI4431" s="38"/>
      <c r="AJ4431" s="38"/>
      <c r="AK4431" s="38"/>
      <c r="AL4431" s="38"/>
      <c r="AM4431" s="38"/>
      <c r="AN4431" s="38"/>
      <c r="AO4431" s="38"/>
      <c r="AP4431" s="38"/>
      <c r="AQ4431" s="38"/>
      <c r="AR4431" s="38"/>
      <c r="AS4431" s="38"/>
      <c r="AT4431" s="38"/>
      <c r="AU4431" s="38"/>
      <c r="AV4431" s="38"/>
      <c r="AW4431" s="38"/>
      <c r="AX4431" s="38"/>
      <c r="AY4431" s="38"/>
      <c r="AZ4431" s="38"/>
      <c r="BA4431" s="38"/>
      <c r="BB4431" s="38"/>
      <c r="BC4431" s="38"/>
      <c r="BD4431" s="38"/>
      <c r="BE4431" s="38"/>
      <c r="BF4431" s="38"/>
      <c r="BG4431" s="38"/>
      <c r="BH4431" s="38"/>
      <c r="BI4431" s="38"/>
      <c r="BJ4431" s="38"/>
      <c r="BK4431" s="38"/>
      <c r="BL4431" s="38"/>
      <c r="BM4431" s="38"/>
      <c r="BN4431" s="38"/>
      <c r="BO4431" s="38"/>
      <c r="BP4431" s="38"/>
      <c r="BQ4431" s="38"/>
    </row>
    <row r="4432">
      <c r="A4432" s="16"/>
      <c r="B4432" s="145"/>
      <c r="C4432" s="146"/>
      <c r="D4432" s="146"/>
      <c r="E4432" s="16"/>
      <c r="F4432" s="91"/>
      <c r="G4432" s="16"/>
      <c r="H4432" s="320" t="str">
        <f t="shared" si="424"/>
        <v/>
      </c>
      <c r="I4432" s="16"/>
      <c r="J4432" s="16"/>
      <c r="K4432" s="16"/>
      <c r="L4432" s="16"/>
      <c r="M4432" s="15"/>
      <c r="N4432" s="15"/>
      <c r="O4432" s="16"/>
      <c r="P4432" s="16"/>
      <c r="Q4432" s="16"/>
      <c r="R4432" s="16"/>
      <c r="S4432" s="37" t="str">
        <f>IFERROR(__xludf.DUMMYFUNCTION("if(not(iserror(index(split(C4432, "" ""),2))), index(split(C4432, "" ""),1),"""")"),"")</f>
        <v/>
      </c>
      <c r="T4432" s="315" t="str">
        <f>IFERROR(__xludf.DUMMYFUNCTION("if(S4432="""",C4432,if(not(iserror(index(split(C4432, "" ""),3))), index(split(C4432, "" ""),3),index(split(C4432, "" ""),2)))"),"")</f>
        <v/>
      </c>
      <c r="U4432" s="38" t="b">
        <f t="shared" si="423"/>
        <v>0</v>
      </c>
      <c r="V4432" s="38"/>
      <c r="W4432" s="40"/>
      <c r="X4432" s="40"/>
      <c r="Y4432" s="40"/>
      <c r="Z4432" s="38"/>
      <c r="AA4432" s="38"/>
      <c r="AB4432" s="38"/>
      <c r="AC4432" s="38"/>
      <c r="AD4432" s="38"/>
      <c r="AE4432" s="38"/>
      <c r="AF4432" s="38"/>
      <c r="AG4432" s="38"/>
      <c r="AH4432" s="38"/>
      <c r="AI4432" s="38"/>
      <c r="AJ4432" s="38"/>
      <c r="AK4432" s="38"/>
      <c r="AL4432" s="38"/>
      <c r="AM4432" s="38"/>
      <c r="AN4432" s="38"/>
      <c r="AO4432" s="38"/>
      <c r="AP4432" s="38"/>
      <c r="AQ4432" s="38"/>
      <c r="AR4432" s="38"/>
      <c r="AS4432" s="38"/>
      <c r="AT4432" s="38"/>
      <c r="AU4432" s="38"/>
      <c r="AV4432" s="38"/>
      <c r="AW4432" s="38"/>
      <c r="AX4432" s="38"/>
      <c r="AY4432" s="38"/>
      <c r="AZ4432" s="38"/>
      <c r="BA4432" s="38"/>
      <c r="BB4432" s="38"/>
      <c r="BC4432" s="38"/>
      <c r="BD4432" s="38"/>
      <c r="BE4432" s="38"/>
      <c r="BF4432" s="38"/>
      <c r="BG4432" s="38"/>
      <c r="BH4432" s="38"/>
      <c r="BI4432" s="38"/>
      <c r="BJ4432" s="38"/>
      <c r="BK4432" s="38"/>
      <c r="BL4432" s="38"/>
      <c r="BM4432" s="38"/>
      <c r="BN4432" s="38"/>
      <c r="BO4432" s="38"/>
      <c r="BP4432" s="38"/>
      <c r="BQ4432" s="38"/>
    </row>
    <row r="4433">
      <c r="A4433" s="16"/>
      <c r="B4433" s="145"/>
      <c r="C4433" s="146"/>
      <c r="D4433" s="146"/>
      <c r="E4433" s="16"/>
      <c r="F4433" s="91"/>
      <c r="G4433" s="16"/>
      <c r="H4433" s="320" t="str">
        <f t="shared" si="424"/>
        <v/>
      </c>
      <c r="I4433" s="16"/>
      <c r="J4433" s="16"/>
      <c r="K4433" s="16"/>
      <c r="L4433" s="16"/>
      <c r="M4433" s="15"/>
      <c r="N4433" s="15"/>
      <c r="O4433" s="16"/>
      <c r="P4433" s="16"/>
      <c r="Q4433" s="16"/>
      <c r="R4433" s="16"/>
      <c r="S4433" s="37" t="str">
        <f>IFERROR(__xludf.DUMMYFUNCTION("if(not(iserror(index(split(C4433, "" ""),2))), index(split(C4433, "" ""),1),"""")"),"")</f>
        <v/>
      </c>
      <c r="T4433" s="315" t="str">
        <f>IFERROR(__xludf.DUMMYFUNCTION("if(S4433="""",C4433,if(not(iserror(index(split(C4433, "" ""),3))), index(split(C4433, "" ""),3),index(split(C4433, "" ""),2)))"),"")</f>
        <v/>
      </c>
      <c r="U4433" s="38" t="b">
        <f t="shared" si="423"/>
        <v>0</v>
      </c>
      <c r="V4433" s="38"/>
      <c r="W4433" s="40"/>
      <c r="X4433" s="40"/>
      <c r="Y4433" s="40"/>
      <c r="Z4433" s="38"/>
      <c r="AA4433" s="38"/>
      <c r="AB4433" s="38"/>
      <c r="AC4433" s="38"/>
      <c r="AD4433" s="38"/>
      <c r="AE4433" s="38"/>
      <c r="AF4433" s="38"/>
      <c r="AG4433" s="38"/>
      <c r="AH4433" s="38"/>
      <c r="AI4433" s="38"/>
      <c r="AJ4433" s="38"/>
      <c r="AK4433" s="38"/>
      <c r="AL4433" s="38"/>
      <c r="AM4433" s="38"/>
      <c r="AN4433" s="38"/>
      <c r="AO4433" s="38"/>
      <c r="AP4433" s="38"/>
      <c r="AQ4433" s="38"/>
      <c r="AR4433" s="38"/>
      <c r="AS4433" s="38"/>
      <c r="AT4433" s="38"/>
      <c r="AU4433" s="38"/>
      <c r="AV4433" s="38"/>
      <c r="AW4433" s="38"/>
      <c r="AX4433" s="38"/>
      <c r="AY4433" s="38"/>
      <c r="AZ4433" s="38"/>
      <c r="BA4433" s="38"/>
      <c r="BB4433" s="38"/>
      <c r="BC4433" s="38"/>
      <c r="BD4433" s="38"/>
      <c r="BE4433" s="38"/>
      <c r="BF4433" s="38"/>
      <c r="BG4433" s="38"/>
      <c r="BH4433" s="38"/>
      <c r="BI4433" s="38"/>
      <c r="BJ4433" s="38"/>
      <c r="BK4433" s="38"/>
      <c r="BL4433" s="38"/>
      <c r="BM4433" s="38"/>
      <c r="BN4433" s="38"/>
      <c r="BO4433" s="38"/>
      <c r="BP4433" s="38"/>
      <c r="BQ4433" s="38"/>
    </row>
    <row r="4434">
      <c r="A4434" s="16"/>
      <c r="B4434" s="145"/>
      <c r="C4434" s="146"/>
      <c r="D4434" s="146"/>
      <c r="E4434" s="16"/>
      <c r="F4434" s="91"/>
      <c r="G4434" s="16"/>
      <c r="H4434" s="320" t="str">
        <f t="shared" si="424"/>
        <v/>
      </c>
      <c r="I4434" s="16"/>
      <c r="J4434" s="16"/>
      <c r="K4434" s="16"/>
      <c r="L4434" s="16"/>
      <c r="M4434" s="15"/>
      <c r="N4434" s="15"/>
      <c r="O4434" s="16"/>
      <c r="P4434" s="16"/>
      <c r="Q4434" s="16"/>
      <c r="R4434" s="16"/>
      <c r="S4434" s="37" t="str">
        <f>IFERROR(__xludf.DUMMYFUNCTION("if(not(iserror(index(split(C4434, "" ""),2))), index(split(C4434, "" ""),1),"""")"),"")</f>
        <v/>
      </c>
      <c r="T4434" s="315" t="str">
        <f>IFERROR(__xludf.DUMMYFUNCTION("if(S4434="""",C4434,if(not(iserror(index(split(C4434, "" ""),3))), index(split(C4434, "" ""),3),index(split(C4434, "" ""),2)))"),"")</f>
        <v/>
      </c>
      <c r="U4434" s="38" t="b">
        <f t="shared" si="423"/>
        <v>0</v>
      </c>
      <c r="V4434" s="38"/>
      <c r="W4434" s="40"/>
      <c r="X4434" s="40"/>
      <c r="Y4434" s="40"/>
      <c r="Z4434" s="38"/>
      <c r="AA4434" s="38"/>
      <c r="AB4434" s="38"/>
      <c r="AC4434" s="38"/>
      <c r="AD4434" s="38"/>
      <c r="AE4434" s="38"/>
      <c r="AF4434" s="38"/>
      <c r="AG4434" s="38"/>
      <c r="AH4434" s="38"/>
      <c r="AI4434" s="38"/>
      <c r="AJ4434" s="38"/>
      <c r="AK4434" s="38"/>
      <c r="AL4434" s="38"/>
      <c r="AM4434" s="38"/>
      <c r="AN4434" s="38"/>
      <c r="AO4434" s="38"/>
      <c r="AP4434" s="38"/>
      <c r="AQ4434" s="38"/>
      <c r="AR4434" s="38"/>
      <c r="AS4434" s="38"/>
      <c r="AT4434" s="38"/>
      <c r="AU4434" s="38"/>
      <c r="AV4434" s="38"/>
      <c r="AW4434" s="38"/>
      <c r="AX4434" s="38"/>
      <c r="AY4434" s="38"/>
      <c r="AZ4434" s="38"/>
      <c r="BA4434" s="38"/>
      <c r="BB4434" s="38"/>
      <c r="BC4434" s="38"/>
      <c r="BD4434" s="38"/>
      <c r="BE4434" s="38"/>
      <c r="BF4434" s="38"/>
      <c r="BG4434" s="38"/>
      <c r="BH4434" s="38"/>
      <c r="BI4434" s="38"/>
      <c r="BJ4434" s="38"/>
      <c r="BK4434" s="38"/>
      <c r="BL4434" s="38"/>
      <c r="BM4434" s="38"/>
      <c r="BN4434" s="38"/>
      <c r="BO4434" s="38"/>
      <c r="BP4434" s="38"/>
      <c r="BQ4434" s="38"/>
    </row>
    <row r="4435">
      <c r="A4435" s="16"/>
      <c r="B4435" s="145"/>
      <c r="C4435" s="146"/>
      <c r="D4435" s="146"/>
      <c r="E4435" s="16"/>
      <c r="F4435" s="91"/>
      <c r="G4435" s="16"/>
      <c r="H4435" s="320" t="str">
        <f t="shared" si="424"/>
        <v/>
      </c>
      <c r="I4435" s="16"/>
      <c r="J4435" s="16"/>
      <c r="K4435" s="16"/>
      <c r="L4435" s="16"/>
      <c r="M4435" s="15"/>
      <c r="N4435" s="15"/>
      <c r="O4435" s="16"/>
      <c r="P4435" s="16"/>
      <c r="Q4435" s="16"/>
      <c r="R4435" s="16"/>
      <c r="S4435" s="37" t="str">
        <f>IFERROR(__xludf.DUMMYFUNCTION("if(not(iserror(index(split(C4435, "" ""),2))), index(split(C4435, "" ""),1),"""")"),"")</f>
        <v/>
      </c>
      <c r="T4435" s="315" t="str">
        <f>IFERROR(__xludf.DUMMYFUNCTION("if(S4435="""",C4435,if(not(iserror(index(split(C4435, "" ""),3))), index(split(C4435, "" ""),3),index(split(C4435, "" ""),2)))"),"")</f>
        <v/>
      </c>
      <c r="U4435" s="38" t="b">
        <f t="shared" si="423"/>
        <v>0</v>
      </c>
      <c r="V4435" s="38"/>
      <c r="W4435" s="40"/>
      <c r="X4435" s="40"/>
      <c r="Y4435" s="40"/>
      <c r="Z4435" s="38"/>
      <c r="AA4435" s="38"/>
      <c r="AB4435" s="38"/>
      <c r="AC4435" s="38"/>
      <c r="AD4435" s="38"/>
      <c r="AE4435" s="38"/>
      <c r="AF4435" s="38"/>
      <c r="AG4435" s="38"/>
      <c r="AH4435" s="38"/>
      <c r="AI4435" s="38"/>
      <c r="AJ4435" s="38"/>
      <c r="AK4435" s="38"/>
      <c r="AL4435" s="38"/>
      <c r="AM4435" s="38"/>
      <c r="AN4435" s="38"/>
      <c r="AO4435" s="38"/>
      <c r="AP4435" s="38"/>
      <c r="AQ4435" s="38"/>
      <c r="AR4435" s="38"/>
      <c r="AS4435" s="38"/>
      <c r="AT4435" s="38"/>
      <c r="AU4435" s="38"/>
      <c r="AV4435" s="38"/>
      <c r="AW4435" s="38"/>
      <c r="AX4435" s="38"/>
      <c r="AY4435" s="38"/>
      <c r="AZ4435" s="38"/>
      <c r="BA4435" s="38"/>
      <c r="BB4435" s="38"/>
      <c r="BC4435" s="38"/>
      <c r="BD4435" s="38"/>
      <c r="BE4435" s="38"/>
      <c r="BF4435" s="38"/>
      <c r="BG4435" s="38"/>
      <c r="BH4435" s="38"/>
      <c r="BI4435" s="38"/>
      <c r="BJ4435" s="38"/>
      <c r="BK4435" s="38"/>
      <c r="BL4435" s="38"/>
      <c r="BM4435" s="38"/>
      <c r="BN4435" s="38"/>
      <c r="BO4435" s="38"/>
      <c r="BP4435" s="38"/>
      <c r="BQ4435" s="38"/>
    </row>
    <row r="4436">
      <c r="A4436" s="16"/>
      <c r="B4436" s="145"/>
      <c r="C4436" s="146"/>
      <c r="D4436" s="146"/>
      <c r="E4436" s="16"/>
      <c r="F4436" s="91"/>
      <c r="G4436" s="16"/>
      <c r="H4436" s="320" t="str">
        <f t="shared" si="424"/>
        <v/>
      </c>
      <c r="I4436" s="16"/>
      <c r="J4436" s="16"/>
      <c r="K4436" s="16"/>
      <c r="L4436" s="16"/>
      <c r="M4436" s="15"/>
      <c r="N4436" s="15"/>
      <c r="O4436" s="16"/>
      <c r="P4436" s="16"/>
      <c r="Q4436" s="16"/>
      <c r="R4436" s="16"/>
      <c r="S4436" s="37" t="str">
        <f>IFERROR(__xludf.DUMMYFUNCTION("if(not(iserror(index(split(C4436, "" ""),2))), index(split(C4436, "" ""),1),"""")"),"")</f>
        <v/>
      </c>
      <c r="T4436" s="315" t="str">
        <f>IFERROR(__xludf.DUMMYFUNCTION("if(S4436="""",C4436,if(not(iserror(index(split(C4436, "" ""),3))), index(split(C4436, "" ""),3),index(split(C4436, "" ""),2)))"),"")</f>
        <v/>
      </c>
      <c r="U4436" s="38" t="b">
        <f t="shared" si="423"/>
        <v>0</v>
      </c>
      <c r="V4436" s="38"/>
      <c r="W4436" s="40"/>
      <c r="X4436" s="40"/>
      <c r="Y4436" s="40"/>
      <c r="Z4436" s="38"/>
      <c r="AA4436" s="38"/>
      <c r="AB4436" s="38"/>
      <c r="AC4436" s="38"/>
      <c r="AD4436" s="38"/>
      <c r="AE4436" s="38"/>
      <c r="AF4436" s="38"/>
      <c r="AG4436" s="38"/>
      <c r="AH4436" s="38"/>
      <c r="AI4436" s="38"/>
      <c r="AJ4436" s="38"/>
      <c r="AK4436" s="38"/>
      <c r="AL4436" s="38"/>
      <c r="AM4436" s="38"/>
      <c r="AN4436" s="38"/>
      <c r="AO4436" s="38"/>
      <c r="AP4436" s="38"/>
      <c r="AQ4436" s="38"/>
      <c r="AR4436" s="38"/>
      <c r="AS4436" s="38"/>
      <c r="AT4436" s="38"/>
      <c r="AU4436" s="38"/>
      <c r="AV4436" s="38"/>
      <c r="AW4436" s="38"/>
      <c r="AX4436" s="38"/>
      <c r="AY4436" s="38"/>
      <c r="AZ4436" s="38"/>
      <c r="BA4436" s="38"/>
      <c r="BB4436" s="38"/>
      <c r="BC4436" s="38"/>
      <c r="BD4436" s="38"/>
      <c r="BE4436" s="38"/>
      <c r="BF4436" s="38"/>
      <c r="BG4436" s="38"/>
      <c r="BH4436" s="38"/>
      <c r="BI4436" s="38"/>
      <c r="BJ4436" s="38"/>
      <c r="BK4436" s="38"/>
      <c r="BL4436" s="38"/>
      <c r="BM4436" s="38"/>
      <c r="BN4436" s="38"/>
      <c r="BO4436" s="38"/>
      <c r="BP4436" s="38"/>
      <c r="BQ4436" s="38"/>
    </row>
    <row r="4437">
      <c r="A4437" s="16"/>
      <c r="B4437" s="145"/>
      <c r="C4437" s="146"/>
      <c r="D4437" s="146"/>
      <c r="E4437" s="16"/>
      <c r="F4437" s="91"/>
      <c r="G4437" s="16"/>
      <c r="H4437" s="320" t="str">
        <f t="shared" si="424"/>
        <v/>
      </c>
      <c r="I4437" s="16"/>
      <c r="J4437" s="16"/>
      <c r="K4437" s="16"/>
      <c r="L4437" s="16"/>
      <c r="M4437" s="15"/>
      <c r="N4437" s="15"/>
      <c r="O4437" s="16"/>
      <c r="P4437" s="16"/>
      <c r="Q4437" s="16"/>
      <c r="R4437" s="16"/>
      <c r="S4437" s="37" t="str">
        <f>IFERROR(__xludf.DUMMYFUNCTION("if(not(iserror(index(split(C4437, "" ""),2))), index(split(C4437, "" ""),1),"""")"),"")</f>
        <v/>
      </c>
      <c r="T4437" s="315" t="str">
        <f>IFERROR(__xludf.DUMMYFUNCTION("if(S4437="""",C4437,if(not(iserror(index(split(C4437, "" ""),3))), index(split(C4437, "" ""),3),index(split(C4437, "" ""),2)))"),"")</f>
        <v/>
      </c>
      <c r="U4437" s="38" t="b">
        <f t="shared" si="423"/>
        <v>0</v>
      </c>
      <c r="V4437" s="38"/>
      <c r="W4437" s="40"/>
      <c r="X4437" s="40"/>
      <c r="Y4437" s="40"/>
      <c r="Z4437" s="38"/>
      <c r="AA4437" s="38"/>
      <c r="AB4437" s="38"/>
      <c r="AC4437" s="38"/>
      <c r="AD4437" s="38"/>
      <c r="AE4437" s="38"/>
      <c r="AF4437" s="38"/>
      <c r="AG4437" s="38"/>
      <c r="AH4437" s="38"/>
      <c r="AI4437" s="38"/>
      <c r="AJ4437" s="38"/>
      <c r="AK4437" s="38"/>
      <c r="AL4437" s="38"/>
      <c r="AM4437" s="38"/>
      <c r="AN4437" s="38"/>
      <c r="AO4437" s="38"/>
      <c r="AP4437" s="38"/>
      <c r="AQ4437" s="38"/>
      <c r="AR4437" s="38"/>
      <c r="AS4437" s="38"/>
      <c r="AT4437" s="38"/>
      <c r="AU4437" s="38"/>
      <c r="AV4437" s="38"/>
      <c r="AW4437" s="38"/>
      <c r="AX4437" s="38"/>
      <c r="AY4437" s="38"/>
      <c r="AZ4437" s="38"/>
      <c r="BA4437" s="38"/>
      <c r="BB4437" s="38"/>
      <c r="BC4437" s="38"/>
      <c r="BD4437" s="38"/>
      <c r="BE4437" s="38"/>
      <c r="BF4437" s="38"/>
      <c r="BG4437" s="38"/>
      <c r="BH4437" s="38"/>
      <c r="BI4437" s="38"/>
      <c r="BJ4437" s="38"/>
      <c r="BK4437" s="38"/>
      <c r="BL4437" s="38"/>
      <c r="BM4437" s="38"/>
      <c r="BN4437" s="38"/>
      <c r="BO4437" s="38"/>
      <c r="BP4437" s="38"/>
      <c r="BQ4437" s="38"/>
    </row>
    <row r="4438">
      <c r="A4438" s="16"/>
      <c r="B4438" s="145"/>
      <c r="C4438" s="146"/>
      <c r="D4438" s="146"/>
      <c r="E4438" s="16"/>
      <c r="F4438" s="91"/>
      <c r="G4438" s="16"/>
      <c r="H4438" s="320" t="str">
        <f t="shared" si="424"/>
        <v/>
      </c>
      <c r="I4438" s="16"/>
      <c r="J4438" s="16"/>
      <c r="K4438" s="16"/>
      <c r="L4438" s="16"/>
      <c r="M4438" s="15"/>
      <c r="N4438" s="15"/>
      <c r="O4438" s="16"/>
      <c r="P4438" s="16"/>
      <c r="Q4438" s="16"/>
      <c r="R4438" s="16"/>
      <c r="S4438" s="37" t="str">
        <f>IFERROR(__xludf.DUMMYFUNCTION("if(not(iserror(index(split(C4438, "" ""),2))), index(split(C4438, "" ""),1),"""")"),"")</f>
        <v/>
      </c>
      <c r="T4438" s="315" t="str">
        <f>IFERROR(__xludf.DUMMYFUNCTION("if(S4438="""",C4438,if(not(iserror(index(split(C4438, "" ""),3))), index(split(C4438, "" ""),3),index(split(C4438, "" ""),2)))"),"")</f>
        <v/>
      </c>
      <c r="U4438" s="38" t="b">
        <f t="shared" si="423"/>
        <v>0</v>
      </c>
      <c r="V4438" s="38"/>
      <c r="W4438" s="40"/>
      <c r="X4438" s="40"/>
      <c r="Y4438" s="40"/>
      <c r="Z4438" s="38"/>
      <c r="AA4438" s="38"/>
      <c r="AB4438" s="38"/>
      <c r="AC4438" s="38"/>
      <c r="AD4438" s="38"/>
      <c r="AE4438" s="38"/>
      <c r="AF4438" s="38"/>
      <c r="AG4438" s="38"/>
      <c r="AH4438" s="38"/>
      <c r="AI4438" s="38"/>
      <c r="AJ4438" s="38"/>
      <c r="AK4438" s="38"/>
      <c r="AL4438" s="38"/>
      <c r="AM4438" s="38"/>
      <c r="AN4438" s="38"/>
      <c r="AO4438" s="38"/>
      <c r="AP4438" s="38"/>
      <c r="AQ4438" s="38"/>
      <c r="AR4438" s="38"/>
      <c r="AS4438" s="38"/>
      <c r="AT4438" s="38"/>
      <c r="AU4438" s="38"/>
      <c r="AV4438" s="38"/>
      <c r="AW4438" s="38"/>
      <c r="AX4438" s="38"/>
      <c r="AY4438" s="38"/>
      <c r="AZ4438" s="38"/>
      <c r="BA4438" s="38"/>
      <c r="BB4438" s="38"/>
      <c r="BC4438" s="38"/>
      <c r="BD4438" s="38"/>
      <c r="BE4438" s="38"/>
      <c r="BF4438" s="38"/>
      <c r="BG4438" s="38"/>
      <c r="BH4438" s="38"/>
      <c r="BI4438" s="38"/>
      <c r="BJ4438" s="38"/>
      <c r="BK4438" s="38"/>
      <c r="BL4438" s="38"/>
      <c r="BM4438" s="38"/>
      <c r="BN4438" s="38"/>
      <c r="BO4438" s="38"/>
      <c r="BP4438" s="38"/>
      <c r="BQ4438" s="38"/>
    </row>
    <row r="4439">
      <c r="A4439" s="16"/>
      <c r="B4439" s="145"/>
      <c r="C4439" s="146"/>
      <c r="D4439" s="146"/>
      <c r="E4439" s="16"/>
      <c r="F4439" s="91"/>
      <c r="G4439" s="16"/>
      <c r="H4439" s="320" t="str">
        <f t="shared" si="424"/>
        <v/>
      </c>
      <c r="I4439" s="16"/>
      <c r="J4439" s="16"/>
      <c r="K4439" s="16"/>
      <c r="L4439" s="16"/>
      <c r="M4439" s="15"/>
      <c r="N4439" s="15"/>
      <c r="O4439" s="16"/>
      <c r="P4439" s="16"/>
      <c r="Q4439" s="16"/>
      <c r="R4439" s="16"/>
      <c r="S4439" s="37" t="str">
        <f>IFERROR(__xludf.DUMMYFUNCTION("if(not(iserror(index(split(C4439, "" ""),2))), index(split(C4439, "" ""),1),"""")"),"")</f>
        <v/>
      </c>
      <c r="T4439" s="315" t="str">
        <f>IFERROR(__xludf.DUMMYFUNCTION("if(S4439="""",C4439,if(not(iserror(index(split(C4439, "" ""),3))), index(split(C4439, "" ""),3),index(split(C4439, "" ""),2)))"),"")</f>
        <v/>
      </c>
      <c r="U4439" s="38" t="b">
        <f t="shared" si="423"/>
        <v>0</v>
      </c>
      <c r="V4439" s="38"/>
      <c r="W4439" s="40"/>
      <c r="X4439" s="40"/>
      <c r="Y4439" s="40"/>
      <c r="Z4439" s="38"/>
      <c r="AA4439" s="38"/>
      <c r="AB4439" s="38"/>
      <c r="AC4439" s="38"/>
      <c r="AD4439" s="38"/>
      <c r="AE4439" s="38"/>
      <c r="AF4439" s="38"/>
      <c r="AG4439" s="38"/>
      <c r="AH4439" s="38"/>
      <c r="AI4439" s="38"/>
      <c r="AJ4439" s="38"/>
      <c r="AK4439" s="38"/>
      <c r="AL4439" s="38"/>
      <c r="AM4439" s="38"/>
      <c r="AN4439" s="38"/>
      <c r="AO4439" s="38"/>
      <c r="AP4439" s="38"/>
      <c r="AQ4439" s="38"/>
      <c r="AR4439" s="38"/>
      <c r="AS4439" s="38"/>
      <c r="AT4439" s="38"/>
      <c r="AU4439" s="38"/>
      <c r="AV4439" s="38"/>
      <c r="AW4439" s="38"/>
      <c r="AX4439" s="38"/>
      <c r="AY4439" s="38"/>
      <c r="AZ4439" s="38"/>
      <c r="BA4439" s="38"/>
      <c r="BB4439" s="38"/>
      <c r="BC4439" s="38"/>
      <c r="BD4439" s="38"/>
      <c r="BE4439" s="38"/>
      <c r="BF4439" s="38"/>
      <c r="BG4439" s="38"/>
      <c r="BH4439" s="38"/>
      <c r="BI4439" s="38"/>
      <c r="BJ4439" s="38"/>
      <c r="BK4439" s="38"/>
      <c r="BL4439" s="38"/>
      <c r="BM4439" s="38"/>
      <c r="BN4439" s="38"/>
      <c r="BO4439" s="38"/>
      <c r="BP4439" s="38"/>
      <c r="BQ4439" s="38"/>
    </row>
    <row r="4440">
      <c r="A4440" s="16"/>
      <c r="B4440" s="145"/>
      <c r="C4440" s="146"/>
      <c r="D4440" s="146"/>
      <c r="E4440" s="16"/>
      <c r="F4440" s="91"/>
      <c r="G4440" s="16"/>
      <c r="H4440" s="320" t="str">
        <f t="shared" si="424"/>
        <v/>
      </c>
      <c r="I4440" s="16"/>
      <c r="J4440" s="16"/>
      <c r="K4440" s="16"/>
      <c r="L4440" s="16"/>
      <c r="M4440" s="15"/>
      <c r="N4440" s="15"/>
      <c r="O4440" s="16"/>
      <c r="P4440" s="16"/>
      <c r="Q4440" s="16"/>
      <c r="R4440" s="16"/>
      <c r="S4440" s="37" t="str">
        <f>IFERROR(__xludf.DUMMYFUNCTION("if(not(iserror(index(split(C4440, "" ""),2))), index(split(C4440, "" ""),1),"""")"),"")</f>
        <v/>
      </c>
      <c r="T4440" s="315" t="str">
        <f>IFERROR(__xludf.DUMMYFUNCTION("if(S4440="""",C4440,if(not(iserror(index(split(C4440, "" ""),3))), index(split(C4440, "" ""),3),index(split(C4440, "" ""),2)))"),"")</f>
        <v/>
      </c>
      <c r="U4440" s="38" t="b">
        <f t="shared" si="423"/>
        <v>0</v>
      </c>
      <c r="V4440" s="38"/>
      <c r="W4440" s="40"/>
      <c r="X4440" s="40"/>
      <c r="Y4440" s="40"/>
      <c r="Z4440" s="38"/>
      <c r="AA4440" s="38"/>
      <c r="AB4440" s="38"/>
      <c r="AC4440" s="38"/>
      <c r="AD4440" s="38"/>
      <c r="AE4440" s="38"/>
      <c r="AF4440" s="38"/>
      <c r="AG4440" s="38"/>
      <c r="AH4440" s="38"/>
      <c r="AI4440" s="38"/>
      <c r="AJ4440" s="38"/>
      <c r="AK4440" s="38"/>
      <c r="AL4440" s="38"/>
      <c r="AM4440" s="38"/>
      <c r="AN4440" s="38"/>
      <c r="AO4440" s="38"/>
      <c r="AP4440" s="38"/>
      <c r="AQ4440" s="38"/>
      <c r="AR4440" s="38"/>
      <c r="AS4440" s="38"/>
      <c r="AT4440" s="38"/>
      <c r="AU4440" s="38"/>
      <c r="AV4440" s="38"/>
      <c r="AW4440" s="38"/>
      <c r="AX4440" s="38"/>
      <c r="AY4440" s="38"/>
      <c r="AZ4440" s="38"/>
      <c r="BA4440" s="38"/>
      <c r="BB4440" s="38"/>
      <c r="BC4440" s="38"/>
      <c r="BD4440" s="38"/>
      <c r="BE4440" s="38"/>
      <c r="BF4440" s="38"/>
      <c r="BG4440" s="38"/>
      <c r="BH4440" s="38"/>
      <c r="BI4440" s="38"/>
      <c r="BJ4440" s="38"/>
      <c r="BK4440" s="38"/>
      <c r="BL4440" s="38"/>
      <c r="BM4440" s="38"/>
      <c r="BN4440" s="38"/>
      <c r="BO4440" s="38"/>
      <c r="BP4440" s="38"/>
      <c r="BQ4440" s="38"/>
    </row>
    <row r="4441">
      <c r="A4441" s="16"/>
      <c r="B4441" s="145"/>
      <c r="C4441" s="146"/>
      <c r="D4441" s="146"/>
      <c r="E4441" s="16"/>
      <c r="F4441" s="91"/>
      <c r="G4441" s="16"/>
      <c r="H4441" s="320" t="str">
        <f t="shared" si="424"/>
        <v/>
      </c>
      <c r="I4441" s="16"/>
      <c r="J4441" s="16"/>
      <c r="K4441" s="16"/>
      <c r="L4441" s="16"/>
      <c r="M4441" s="15"/>
      <c r="N4441" s="15"/>
      <c r="O4441" s="16"/>
      <c r="P4441" s="16"/>
      <c r="Q4441" s="16"/>
      <c r="R4441" s="16"/>
      <c r="S4441" s="37" t="str">
        <f>IFERROR(__xludf.DUMMYFUNCTION("if(not(iserror(index(split(C4441, "" ""),2))), index(split(C4441, "" ""),1),"""")"),"")</f>
        <v/>
      </c>
      <c r="T4441" s="315" t="str">
        <f>IFERROR(__xludf.DUMMYFUNCTION("if(S4441="""",C4441,if(not(iserror(index(split(C4441, "" ""),3))), index(split(C4441, "" ""),3),index(split(C4441, "" ""),2)))"),"")</f>
        <v/>
      </c>
      <c r="U4441" s="38" t="b">
        <f t="shared" si="423"/>
        <v>0</v>
      </c>
      <c r="V4441" s="38"/>
      <c r="W4441" s="40"/>
      <c r="X4441" s="40"/>
      <c r="Y4441" s="40"/>
      <c r="Z4441" s="38"/>
      <c r="AA4441" s="38"/>
      <c r="AB4441" s="38"/>
      <c r="AC4441" s="38"/>
      <c r="AD4441" s="38"/>
      <c r="AE4441" s="38"/>
      <c r="AF4441" s="38"/>
      <c r="AG4441" s="38"/>
      <c r="AH4441" s="38"/>
      <c r="AI4441" s="38"/>
      <c r="AJ4441" s="38"/>
      <c r="AK4441" s="38"/>
      <c r="AL4441" s="38"/>
      <c r="AM4441" s="38"/>
      <c r="AN4441" s="38"/>
      <c r="AO4441" s="38"/>
      <c r="AP4441" s="38"/>
      <c r="AQ4441" s="38"/>
      <c r="AR4441" s="38"/>
      <c r="AS4441" s="38"/>
      <c r="AT4441" s="38"/>
      <c r="AU4441" s="38"/>
      <c r="AV4441" s="38"/>
      <c r="AW4441" s="38"/>
      <c r="AX4441" s="38"/>
      <c r="AY4441" s="38"/>
      <c r="AZ4441" s="38"/>
      <c r="BA4441" s="38"/>
      <c r="BB4441" s="38"/>
      <c r="BC4441" s="38"/>
      <c r="BD4441" s="38"/>
      <c r="BE4441" s="38"/>
      <c r="BF4441" s="38"/>
      <c r="BG4441" s="38"/>
      <c r="BH4441" s="38"/>
      <c r="BI4441" s="38"/>
      <c r="BJ4441" s="38"/>
      <c r="BK4441" s="38"/>
      <c r="BL4441" s="38"/>
      <c r="BM4441" s="38"/>
      <c r="BN4441" s="38"/>
      <c r="BO4441" s="38"/>
      <c r="BP4441" s="38"/>
      <c r="BQ4441" s="38"/>
    </row>
    <row r="4442">
      <c r="A4442" s="16"/>
      <c r="B4442" s="145"/>
      <c r="C4442" s="146"/>
      <c r="D4442" s="146"/>
      <c r="E4442" s="16"/>
      <c r="F4442" s="91"/>
      <c r="G4442" s="16"/>
      <c r="H4442" s="320" t="str">
        <f t="shared" si="424"/>
        <v/>
      </c>
      <c r="I4442" s="16"/>
      <c r="J4442" s="16"/>
      <c r="K4442" s="16"/>
      <c r="L4442" s="16"/>
      <c r="M4442" s="15"/>
      <c r="N4442" s="15"/>
      <c r="O4442" s="16"/>
      <c r="P4442" s="16"/>
      <c r="Q4442" s="16"/>
      <c r="R4442" s="16"/>
      <c r="S4442" s="37" t="str">
        <f>IFERROR(__xludf.DUMMYFUNCTION("if(not(iserror(index(split(C4442, "" ""),2))), index(split(C4442, "" ""),1),"""")"),"")</f>
        <v/>
      </c>
      <c r="T4442" s="315" t="str">
        <f>IFERROR(__xludf.DUMMYFUNCTION("if(S4442="""",C4442,if(not(iserror(index(split(C4442, "" ""),3))), index(split(C4442, "" ""),3),index(split(C4442, "" ""),2)))"),"")</f>
        <v/>
      </c>
      <c r="U4442" s="38" t="b">
        <f t="shared" si="423"/>
        <v>0</v>
      </c>
      <c r="V4442" s="38"/>
      <c r="W4442" s="40"/>
      <c r="X4442" s="40"/>
      <c r="Y4442" s="40"/>
      <c r="Z4442" s="38"/>
      <c r="AA4442" s="38"/>
      <c r="AB4442" s="38"/>
      <c r="AC4442" s="38"/>
      <c r="AD4442" s="38"/>
      <c r="AE4442" s="38"/>
      <c r="AF4442" s="38"/>
      <c r="AG4442" s="38"/>
      <c r="AH4442" s="38"/>
      <c r="AI4442" s="38"/>
      <c r="AJ4442" s="38"/>
      <c r="AK4442" s="38"/>
      <c r="AL4442" s="38"/>
      <c r="AM4442" s="38"/>
      <c r="AN4442" s="38"/>
      <c r="AO4442" s="38"/>
      <c r="AP4442" s="38"/>
      <c r="AQ4442" s="38"/>
      <c r="AR4442" s="38"/>
      <c r="AS4442" s="38"/>
      <c r="AT4442" s="38"/>
      <c r="AU4442" s="38"/>
      <c r="AV4442" s="38"/>
      <c r="AW4442" s="38"/>
      <c r="AX4442" s="38"/>
      <c r="AY4442" s="38"/>
      <c r="AZ4442" s="38"/>
      <c r="BA4442" s="38"/>
      <c r="BB4442" s="38"/>
      <c r="BC4442" s="38"/>
      <c r="BD4442" s="38"/>
      <c r="BE4442" s="38"/>
      <c r="BF4442" s="38"/>
      <c r="BG4442" s="38"/>
      <c r="BH4442" s="38"/>
      <c r="BI4442" s="38"/>
      <c r="BJ4442" s="38"/>
      <c r="BK4442" s="38"/>
      <c r="BL4442" s="38"/>
      <c r="BM4442" s="38"/>
      <c r="BN4442" s="38"/>
      <c r="BO4442" s="38"/>
      <c r="BP4442" s="38"/>
      <c r="BQ4442" s="38"/>
    </row>
    <row r="4443">
      <c r="A4443" s="16"/>
      <c r="B4443" s="145"/>
      <c r="C4443" s="146"/>
      <c r="D4443" s="146"/>
      <c r="E4443" s="16"/>
      <c r="F4443" s="91"/>
      <c r="G4443" s="16"/>
      <c r="H4443" s="320" t="str">
        <f t="shared" si="424"/>
        <v/>
      </c>
      <c r="I4443" s="16"/>
      <c r="J4443" s="16"/>
      <c r="K4443" s="16"/>
      <c r="L4443" s="16"/>
      <c r="M4443" s="15"/>
      <c r="N4443" s="15"/>
      <c r="O4443" s="16"/>
      <c r="P4443" s="16"/>
      <c r="Q4443" s="16"/>
      <c r="R4443" s="16"/>
      <c r="S4443" s="37" t="str">
        <f>IFERROR(__xludf.DUMMYFUNCTION("if(not(iserror(index(split(C4443, "" ""),2))), index(split(C4443, "" ""),1),"""")"),"")</f>
        <v/>
      </c>
      <c r="T4443" s="315" t="str">
        <f>IFERROR(__xludf.DUMMYFUNCTION("if(S4443="""",C4443,if(not(iserror(index(split(C4443, "" ""),3))), index(split(C4443, "" ""),3),index(split(C4443, "" ""),2)))"),"")</f>
        <v/>
      </c>
      <c r="U4443" s="38" t="b">
        <f t="shared" si="423"/>
        <v>0</v>
      </c>
      <c r="V4443" s="38"/>
      <c r="W4443" s="40"/>
      <c r="X4443" s="40"/>
      <c r="Y4443" s="40"/>
      <c r="Z4443" s="38"/>
      <c r="AA4443" s="38"/>
      <c r="AB4443" s="38"/>
      <c r="AC4443" s="38"/>
      <c r="AD4443" s="38"/>
      <c r="AE4443" s="38"/>
      <c r="AF4443" s="38"/>
      <c r="AG4443" s="38"/>
      <c r="AH4443" s="38"/>
      <c r="AI4443" s="38"/>
      <c r="AJ4443" s="38"/>
      <c r="AK4443" s="38"/>
      <c r="AL4443" s="38"/>
      <c r="AM4443" s="38"/>
      <c r="AN4443" s="38"/>
      <c r="AO4443" s="38"/>
      <c r="AP4443" s="38"/>
      <c r="AQ4443" s="38"/>
      <c r="AR4443" s="38"/>
      <c r="AS4443" s="38"/>
      <c r="AT4443" s="38"/>
      <c r="AU4443" s="38"/>
      <c r="AV4443" s="38"/>
      <c r="AW4443" s="38"/>
      <c r="AX4443" s="38"/>
      <c r="AY4443" s="38"/>
      <c r="AZ4443" s="38"/>
      <c r="BA4443" s="38"/>
      <c r="BB4443" s="38"/>
      <c r="BC4443" s="38"/>
      <c r="BD4443" s="38"/>
      <c r="BE4443" s="38"/>
      <c r="BF4443" s="38"/>
      <c r="BG4443" s="38"/>
      <c r="BH4443" s="38"/>
      <c r="BI4443" s="38"/>
      <c r="BJ4443" s="38"/>
      <c r="BK4443" s="38"/>
      <c r="BL4443" s="38"/>
      <c r="BM4443" s="38"/>
      <c r="BN4443" s="38"/>
      <c r="BO4443" s="38"/>
      <c r="BP4443" s="38"/>
      <c r="BQ4443" s="38"/>
    </row>
    <row r="4444">
      <c r="A4444" s="16"/>
      <c r="B4444" s="145"/>
      <c r="C4444" s="146"/>
      <c r="D4444" s="146"/>
      <c r="E4444" s="16"/>
      <c r="F4444" s="91"/>
      <c r="G4444" s="16"/>
      <c r="H4444" s="320" t="str">
        <f t="shared" si="424"/>
        <v/>
      </c>
      <c r="I4444" s="16"/>
      <c r="J4444" s="16"/>
      <c r="K4444" s="16"/>
      <c r="L4444" s="16"/>
      <c r="M4444" s="15"/>
      <c r="N4444" s="15"/>
      <c r="O4444" s="16"/>
      <c r="P4444" s="16"/>
      <c r="Q4444" s="16"/>
      <c r="R4444" s="16"/>
      <c r="S4444" s="37" t="str">
        <f>IFERROR(__xludf.DUMMYFUNCTION("if(not(iserror(index(split(C4444, "" ""),2))), index(split(C4444, "" ""),1),"""")"),"")</f>
        <v/>
      </c>
      <c r="T4444" s="315" t="str">
        <f>IFERROR(__xludf.DUMMYFUNCTION("if(S4444="""",C4444,if(not(iserror(index(split(C4444, "" ""),3))), index(split(C4444, "" ""),3),index(split(C4444, "" ""),2)))"),"")</f>
        <v/>
      </c>
      <c r="U4444" s="38" t="b">
        <f t="shared" si="423"/>
        <v>0</v>
      </c>
      <c r="V4444" s="38"/>
      <c r="W4444" s="40"/>
      <c r="X4444" s="40"/>
      <c r="Y4444" s="40"/>
      <c r="Z4444" s="38"/>
      <c r="AA4444" s="38"/>
      <c r="AB4444" s="38"/>
      <c r="AC4444" s="38"/>
      <c r="AD4444" s="38"/>
      <c r="AE4444" s="38"/>
      <c r="AF4444" s="38"/>
      <c r="AG4444" s="38"/>
      <c r="AH4444" s="38"/>
      <c r="AI4444" s="38"/>
      <c r="AJ4444" s="38"/>
      <c r="AK4444" s="38"/>
      <c r="AL4444" s="38"/>
      <c r="AM4444" s="38"/>
      <c r="AN4444" s="38"/>
      <c r="AO4444" s="38"/>
      <c r="AP4444" s="38"/>
      <c r="AQ4444" s="38"/>
      <c r="AR4444" s="38"/>
      <c r="AS4444" s="38"/>
      <c r="AT4444" s="38"/>
      <c r="AU4444" s="38"/>
      <c r="AV4444" s="38"/>
      <c r="AW4444" s="38"/>
      <c r="AX4444" s="38"/>
      <c r="AY4444" s="38"/>
      <c r="AZ4444" s="38"/>
      <c r="BA4444" s="38"/>
      <c r="BB4444" s="38"/>
      <c r="BC4444" s="38"/>
      <c r="BD4444" s="38"/>
      <c r="BE4444" s="38"/>
      <c r="BF4444" s="38"/>
      <c r="BG4444" s="38"/>
      <c r="BH4444" s="38"/>
      <c r="BI4444" s="38"/>
      <c r="BJ4444" s="38"/>
      <c r="BK4444" s="38"/>
      <c r="BL4444" s="38"/>
      <c r="BM4444" s="38"/>
      <c r="BN4444" s="38"/>
      <c r="BO4444" s="38"/>
      <c r="BP4444" s="38"/>
      <c r="BQ4444" s="38"/>
    </row>
    <row r="4445">
      <c r="A4445" s="16"/>
      <c r="B4445" s="145"/>
      <c r="C4445" s="146"/>
      <c r="D4445" s="146"/>
      <c r="E4445" s="16"/>
      <c r="F4445" s="91"/>
      <c r="G4445" s="16"/>
      <c r="H4445" s="320" t="str">
        <f t="shared" si="424"/>
        <v/>
      </c>
      <c r="I4445" s="16"/>
      <c r="J4445" s="16"/>
      <c r="K4445" s="16"/>
      <c r="L4445" s="16"/>
      <c r="M4445" s="15"/>
      <c r="N4445" s="15"/>
      <c r="O4445" s="16"/>
      <c r="P4445" s="16"/>
      <c r="Q4445" s="16"/>
      <c r="R4445" s="16"/>
      <c r="S4445" s="37" t="str">
        <f>IFERROR(__xludf.DUMMYFUNCTION("if(not(iserror(index(split(C4445, "" ""),2))), index(split(C4445, "" ""),1),"""")"),"")</f>
        <v/>
      </c>
      <c r="T4445" s="315" t="str">
        <f>IFERROR(__xludf.DUMMYFUNCTION("if(S4445="""",C4445,if(not(iserror(index(split(C4445, "" ""),3))), index(split(C4445, "" ""),3),index(split(C4445, "" ""),2)))"),"")</f>
        <v/>
      </c>
      <c r="U4445" s="38" t="b">
        <f t="shared" si="423"/>
        <v>0</v>
      </c>
      <c r="V4445" s="38"/>
      <c r="W4445" s="40"/>
      <c r="X4445" s="40"/>
      <c r="Y4445" s="40"/>
      <c r="Z4445" s="38"/>
      <c r="AA4445" s="38"/>
      <c r="AB4445" s="38"/>
      <c r="AC4445" s="38"/>
      <c r="AD4445" s="38"/>
      <c r="AE4445" s="38"/>
      <c r="AF4445" s="38"/>
      <c r="AG4445" s="38"/>
      <c r="AH4445" s="38"/>
      <c r="AI4445" s="38"/>
      <c r="AJ4445" s="38"/>
      <c r="AK4445" s="38"/>
      <c r="AL4445" s="38"/>
      <c r="AM4445" s="38"/>
      <c r="AN4445" s="38"/>
      <c r="AO4445" s="38"/>
      <c r="AP4445" s="38"/>
      <c r="AQ4445" s="38"/>
      <c r="AR4445" s="38"/>
      <c r="AS4445" s="38"/>
      <c r="AT4445" s="38"/>
      <c r="AU4445" s="38"/>
      <c r="AV4445" s="38"/>
      <c r="AW4445" s="38"/>
      <c r="AX4445" s="38"/>
      <c r="AY4445" s="38"/>
      <c r="AZ4445" s="38"/>
      <c r="BA4445" s="38"/>
      <c r="BB4445" s="38"/>
      <c r="BC4445" s="38"/>
      <c r="BD4445" s="38"/>
      <c r="BE4445" s="38"/>
      <c r="BF4445" s="38"/>
      <c r="BG4445" s="38"/>
      <c r="BH4445" s="38"/>
      <c r="BI4445" s="38"/>
      <c r="BJ4445" s="38"/>
      <c r="BK4445" s="38"/>
      <c r="BL4445" s="38"/>
      <c r="BM4445" s="38"/>
      <c r="BN4445" s="38"/>
      <c r="BO4445" s="38"/>
      <c r="BP4445" s="38"/>
      <c r="BQ4445" s="38"/>
    </row>
    <row r="4446">
      <c r="A4446" s="16"/>
      <c r="B4446" s="145"/>
      <c r="C4446" s="146"/>
      <c r="D4446" s="146"/>
      <c r="E4446" s="16"/>
      <c r="F4446" s="91"/>
      <c r="G4446" s="16"/>
      <c r="H4446" s="320" t="str">
        <f t="shared" si="424"/>
        <v/>
      </c>
      <c r="I4446" s="16"/>
      <c r="J4446" s="16"/>
      <c r="K4446" s="16"/>
      <c r="L4446" s="16"/>
      <c r="M4446" s="15"/>
      <c r="N4446" s="15"/>
      <c r="O4446" s="16"/>
      <c r="P4446" s="16"/>
      <c r="Q4446" s="16"/>
      <c r="R4446" s="16"/>
      <c r="S4446" s="37" t="str">
        <f>IFERROR(__xludf.DUMMYFUNCTION("if(not(iserror(index(split(C4446, "" ""),2))), index(split(C4446, "" ""),1),"""")"),"")</f>
        <v/>
      </c>
      <c r="T4446" s="315" t="str">
        <f>IFERROR(__xludf.DUMMYFUNCTION("if(S4446="""",C4446,if(not(iserror(index(split(C4446, "" ""),3))), index(split(C4446, "" ""),3),index(split(C4446, "" ""),2)))"),"")</f>
        <v/>
      </c>
      <c r="U4446" s="38" t="b">
        <f t="shared" si="423"/>
        <v>0</v>
      </c>
      <c r="V4446" s="38"/>
      <c r="W4446" s="40"/>
      <c r="X4446" s="40"/>
      <c r="Y4446" s="40"/>
      <c r="Z4446" s="38"/>
      <c r="AA4446" s="38"/>
      <c r="AB4446" s="38"/>
      <c r="AC4446" s="38"/>
      <c r="AD4446" s="38"/>
      <c r="AE4446" s="38"/>
      <c r="AF4446" s="38"/>
      <c r="AG4446" s="38"/>
      <c r="AH4446" s="38"/>
      <c r="AI4446" s="38"/>
      <c r="AJ4446" s="38"/>
      <c r="AK4446" s="38"/>
      <c r="AL4446" s="38"/>
      <c r="AM4446" s="38"/>
      <c r="AN4446" s="38"/>
      <c r="AO4446" s="38"/>
      <c r="AP4446" s="38"/>
      <c r="AQ4446" s="38"/>
      <c r="AR4446" s="38"/>
      <c r="AS4446" s="38"/>
      <c r="AT4446" s="38"/>
      <c r="AU4446" s="38"/>
      <c r="AV4446" s="38"/>
      <c r="AW4446" s="38"/>
      <c r="AX4446" s="38"/>
      <c r="AY4446" s="38"/>
      <c r="AZ4446" s="38"/>
      <c r="BA4446" s="38"/>
      <c r="BB4446" s="38"/>
      <c r="BC4446" s="38"/>
      <c r="BD4446" s="38"/>
      <c r="BE4446" s="38"/>
      <c r="BF4446" s="38"/>
      <c r="BG4446" s="38"/>
      <c r="BH4446" s="38"/>
      <c r="BI4446" s="38"/>
      <c r="BJ4446" s="38"/>
      <c r="BK4446" s="38"/>
      <c r="BL4446" s="38"/>
      <c r="BM4446" s="38"/>
      <c r="BN4446" s="38"/>
      <c r="BO4446" s="38"/>
      <c r="BP4446" s="38"/>
      <c r="BQ4446" s="38"/>
    </row>
    <row r="4447">
      <c r="A4447" s="16"/>
      <c r="B4447" s="145"/>
      <c r="C4447" s="146"/>
      <c r="D4447" s="146"/>
      <c r="E4447" s="16"/>
      <c r="F4447" s="91"/>
      <c r="G4447" s="16"/>
      <c r="H4447" s="320" t="str">
        <f t="shared" si="424"/>
        <v/>
      </c>
      <c r="I4447" s="16"/>
      <c r="J4447" s="16"/>
      <c r="K4447" s="16"/>
      <c r="L4447" s="16"/>
      <c r="M4447" s="15"/>
      <c r="N4447" s="15"/>
      <c r="O4447" s="16"/>
      <c r="P4447" s="16"/>
      <c r="Q4447" s="16"/>
      <c r="R4447" s="16"/>
      <c r="S4447" s="37" t="str">
        <f>IFERROR(__xludf.DUMMYFUNCTION("if(not(iserror(index(split(C4447, "" ""),2))), index(split(C4447, "" ""),1),"""")"),"")</f>
        <v/>
      </c>
      <c r="T4447" s="315" t="str">
        <f>IFERROR(__xludf.DUMMYFUNCTION("if(S4447="""",C4447,if(not(iserror(index(split(C4447, "" ""),3))), index(split(C4447, "" ""),3),index(split(C4447, "" ""),2)))"),"")</f>
        <v/>
      </c>
      <c r="U4447" s="38" t="b">
        <f t="shared" si="423"/>
        <v>0</v>
      </c>
      <c r="V4447" s="38"/>
      <c r="W4447" s="40"/>
      <c r="X4447" s="40"/>
      <c r="Y4447" s="40"/>
      <c r="Z4447" s="38"/>
      <c r="AA4447" s="38"/>
      <c r="AB4447" s="38"/>
      <c r="AC4447" s="38"/>
      <c r="AD4447" s="38"/>
      <c r="AE4447" s="38"/>
      <c r="AF4447" s="38"/>
      <c r="AG4447" s="38"/>
      <c r="AH4447" s="38"/>
      <c r="AI4447" s="38"/>
      <c r="AJ4447" s="38"/>
      <c r="AK4447" s="38"/>
      <c r="AL4447" s="38"/>
      <c r="AM4447" s="38"/>
      <c r="AN4447" s="38"/>
      <c r="AO4447" s="38"/>
      <c r="AP4447" s="38"/>
      <c r="AQ4447" s="38"/>
      <c r="AR4447" s="38"/>
      <c r="AS4447" s="38"/>
      <c r="AT4447" s="38"/>
      <c r="AU4447" s="38"/>
      <c r="AV4447" s="38"/>
      <c r="AW4447" s="38"/>
      <c r="AX4447" s="38"/>
      <c r="AY4447" s="38"/>
      <c r="AZ4447" s="38"/>
      <c r="BA4447" s="38"/>
      <c r="BB4447" s="38"/>
      <c r="BC4447" s="38"/>
      <c r="BD4447" s="38"/>
      <c r="BE4447" s="38"/>
      <c r="BF4447" s="38"/>
      <c r="BG4447" s="38"/>
      <c r="BH4447" s="38"/>
      <c r="BI4447" s="38"/>
      <c r="BJ4447" s="38"/>
      <c r="BK4447" s="38"/>
      <c r="BL4447" s="38"/>
      <c r="BM4447" s="38"/>
      <c r="BN4447" s="38"/>
      <c r="BO4447" s="38"/>
      <c r="BP4447" s="38"/>
      <c r="BQ4447" s="38"/>
    </row>
    <row r="4448">
      <c r="A4448" s="16"/>
      <c r="B4448" s="145"/>
      <c r="C4448" s="146"/>
      <c r="D4448" s="146"/>
      <c r="E4448" s="16"/>
      <c r="F4448" s="91"/>
      <c r="G4448" s="16"/>
      <c r="H4448" s="320" t="str">
        <f t="shared" si="424"/>
        <v/>
      </c>
      <c r="I4448" s="16"/>
      <c r="J4448" s="16"/>
      <c r="K4448" s="16"/>
      <c r="L4448" s="16"/>
      <c r="M4448" s="15"/>
      <c r="N4448" s="15"/>
      <c r="O4448" s="16"/>
      <c r="P4448" s="16"/>
      <c r="Q4448" s="16"/>
      <c r="R4448" s="16"/>
      <c r="S4448" s="37" t="str">
        <f>IFERROR(__xludf.DUMMYFUNCTION("if(not(iserror(index(split(C4448, "" ""),2))), index(split(C4448, "" ""),1),"""")"),"")</f>
        <v/>
      </c>
      <c r="T4448" s="315" t="str">
        <f>IFERROR(__xludf.DUMMYFUNCTION("if(S4448="""",C4448,if(not(iserror(index(split(C4448, "" ""),3))), index(split(C4448, "" ""),3),index(split(C4448, "" ""),2)))"),"")</f>
        <v/>
      </c>
      <c r="U4448" s="38" t="b">
        <f t="shared" si="423"/>
        <v>0</v>
      </c>
      <c r="V4448" s="38"/>
      <c r="W4448" s="40"/>
      <c r="X4448" s="40"/>
      <c r="Y4448" s="40"/>
      <c r="Z4448" s="38"/>
      <c r="AA4448" s="38"/>
      <c r="AB4448" s="38"/>
      <c r="AC4448" s="38"/>
      <c r="AD4448" s="38"/>
      <c r="AE4448" s="38"/>
      <c r="AF4448" s="38"/>
      <c r="AG4448" s="38"/>
      <c r="AH4448" s="38"/>
      <c r="AI4448" s="38"/>
      <c r="AJ4448" s="38"/>
      <c r="AK4448" s="38"/>
      <c r="AL4448" s="38"/>
      <c r="AM4448" s="38"/>
      <c r="AN4448" s="38"/>
      <c r="AO4448" s="38"/>
      <c r="AP4448" s="38"/>
      <c r="AQ4448" s="38"/>
      <c r="AR4448" s="38"/>
      <c r="AS4448" s="38"/>
      <c r="AT4448" s="38"/>
      <c r="AU4448" s="38"/>
      <c r="AV4448" s="38"/>
      <c r="AW4448" s="38"/>
      <c r="AX4448" s="38"/>
      <c r="AY4448" s="38"/>
      <c r="AZ4448" s="38"/>
      <c r="BA4448" s="38"/>
      <c r="BB4448" s="38"/>
      <c r="BC4448" s="38"/>
      <c r="BD4448" s="38"/>
      <c r="BE4448" s="38"/>
      <c r="BF4448" s="38"/>
      <c r="BG4448" s="38"/>
      <c r="BH4448" s="38"/>
      <c r="BI4448" s="38"/>
      <c r="BJ4448" s="38"/>
      <c r="BK4448" s="38"/>
      <c r="BL4448" s="38"/>
      <c r="BM4448" s="38"/>
      <c r="BN4448" s="38"/>
      <c r="BO4448" s="38"/>
      <c r="BP4448" s="38"/>
      <c r="BQ4448" s="38"/>
    </row>
    <row r="4449">
      <c r="A4449" s="16"/>
      <c r="B4449" s="145"/>
      <c r="C4449" s="146"/>
      <c r="D4449" s="146"/>
      <c r="E4449" s="16"/>
      <c r="F4449" s="91"/>
      <c r="G4449" s="16"/>
      <c r="H4449" s="320" t="str">
        <f t="shared" si="424"/>
        <v/>
      </c>
      <c r="I4449" s="16"/>
      <c r="J4449" s="16"/>
      <c r="K4449" s="16"/>
      <c r="L4449" s="16"/>
      <c r="M4449" s="15"/>
      <c r="N4449" s="15"/>
      <c r="O4449" s="16"/>
      <c r="P4449" s="16"/>
      <c r="Q4449" s="16"/>
      <c r="R4449" s="16"/>
      <c r="S4449" s="37" t="str">
        <f>IFERROR(__xludf.DUMMYFUNCTION("if(not(iserror(index(split(C4449, "" ""),2))), index(split(C4449, "" ""),1),"""")"),"")</f>
        <v/>
      </c>
      <c r="T4449" s="315" t="str">
        <f>IFERROR(__xludf.DUMMYFUNCTION("if(S4449="""",C4449,if(not(iserror(index(split(C4449, "" ""),3))), index(split(C4449, "" ""),3),index(split(C4449, "" ""),2)))"),"")</f>
        <v/>
      </c>
      <c r="U4449" s="38" t="b">
        <f t="shared" si="423"/>
        <v>0</v>
      </c>
      <c r="V4449" s="38"/>
      <c r="W4449" s="40"/>
      <c r="X4449" s="40"/>
      <c r="Y4449" s="40"/>
      <c r="Z4449" s="38"/>
      <c r="AA4449" s="38"/>
      <c r="AB4449" s="38"/>
      <c r="AC4449" s="38"/>
      <c r="AD4449" s="38"/>
      <c r="AE4449" s="38"/>
      <c r="AF4449" s="38"/>
      <c r="AG4449" s="38"/>
      <c r="AH4449" s="38"/>
      <c r="AI4449" s="38"/>
      <c r="AJ4449" s="38"/>
      <c r="AK4449" s="38"/>
      <c r="AL4449" s="38"/>
      <c r="AM4449" s="38"/>
      <c r="AN4449" s="38"/>
      <c r="AO4449" s="38"/>
      <c r="AP4449" s="38"/>
      <c r="AQ4449" s="38"/>
      <c r="AR4449" s="38"/>
      <c r="AS4449" s="38"/>
      <c r="AT4449" s="38"/>
      <c r="AU4449" s="38"/>
      <c r="AV4449" s="38"/>
      <c r="AW4449" s="38"/>
      <c r="AX4449" s="38"/>
      <c r="AY4449" s="38"/>
      <c r="AZ4449" s="38"/>
      <c r="BA4449" s="38"/>
      <c r="BB4449" s="38"/>
      <c r="BC4449" s="38"/>
      <c r="BD4449" s="38"/>
      <c r="BE4449" s="38"/>
      <c r="BF4449" s="38"/>
      <c r="BG4449" s="38"/>
      <c r="BH4449" s="38"/>
      <c r="BI4449" s="38"/>
      <c r="BJ4449" s="38"/>
      <c r="BK4449" s="38"/>
      <c r="BL4449" s="38"/>
      <c r="BM4449" s="38"/>
      <c r="BN4449" s="38"/>
      <c r="BO4449" s="38"/>
      <c r="BP4449" s="38"/>
      <c r="BQ4449" s="38"/>
    </row>
    <row r="4450">
      <c r="A4450" s="16"/>
      <c r="B4450" s="145"/>
      <c r="C4450" s="146"/>
      <c r="D4450" s="146"/>
      <c r="E4450" s="16"/>
      <c r="F4450" s="91"/>
      <c r="G4450" s="16"/>
      <c r="H4450" s="320" t="str">
        <f t="shared" si="424"/>
        <v/>
      </c>
      <c r="I4450" s="16"/>
      <c r="J4450" s="16"/>
      <c r="K4450" s="16"/>
      <c r="L4450" s="16"/>
      <c r="M4450" s="15"/>
      <c r="N4450" s="15"/>
      <c r="O4450" s="16"/>
      <c r="P4450" s="16"/>
      <c r="Q4450" s="16"/>
      <c r="R4450" s="16"/>
      <c r="S4450" s="37" t="str">
        <f>IFERROR(__xludf.DUMMYFUNCTION("if(not(iserror(index(split(C4450, "" ""),2))), index(split(C4450, "" ""),1),"""")"),"")</f>
        <v/>
      </c>
      <c r="T4450" s="315" t="str">
        <f>IFERROR(__xludf.DUMMYFUNCTION("if(S4450="""",C4450,if(not(iserror(index(split(C4450, "" ""),3))), index(split(C4450, "" ""),3),index(split(C4450, "" ""),2)))"),"")</f>
        <v/>
      </c>
      <c r="U4450" s="38" t="b">
        <f t="shared" si="423"/>
        <v>0</v>
      </c>
      <c r="V4450" s="38"/>
      <c r="W4450" s="40"/>
      <c r="X4450" s="40"/>
      <c r="Y4450" s="40"/>
      <c r="Z4450" s="38"/>
      <c r="AA4450" s="38"/>
      <c r="AB4450" s="38"/>
      <c r="AC4450" s="38"/>
      <c r="AD4450" s="38"/>
      <c r="AE4450" s="38"/>
      <c r="AF4450" s="38"/>
      <c r="AG4450" s="38"/>
      <c r="AH4450" s="38"/>
      <c r="AI4450" s="38"/>
      <c r="AJ4450" s="38"/>
      <c r="AK4450" s="38"/>
      <c r="AL4450" s="38"/>
      <c r="AM4450" s="38"/>
      <c r="AN4450" s="38"/>
      <c r="AO4450" s="38"/>
      <c r="AP4450" s="38"/>
      <c r="AQ4450" s="38"/>
      <c r="AR4450" s="38"/>
      <c r="AS4450" s="38"/>
      <c r="AT4450" s="38"/>
      <c r="AU4450" s="38"/>
      <c r="AV4450" s="38"/>
      <c r="AW4450" s="38"/>
      <c r="AX4450" s="38"/>
      <c r="AY4450" s="38"/>
      <c r="AZ4450" s="38"/>
      <c r="BA4450" s="38"/>
      <c r="BB4450" s="38"/>
      <c r="BC4450" s="38"/>
      <c r="BD4450" s="38"/>
      <c r="BE4450" s="38"/>
      <c r="BF4450" s="38"/>
      <c r="BG4450" s="38"/>
      <c r="BH4450" s="38"/>
      <c r="BI4450" s="38"/>
      <c r="BJ4450" s="38"/>
      <c r="BK4450" s="38"/>
      <c r="BL4450" s="38"/>
      <c r="BM4450" s="38"/>
      <c r="BN4450" s="38"/>
      <c r="BO4450" s="38"/>
      <c r="BP4450" s="38"/>
      <c r="BQ4450" s="38"/>
    </row>
    <row r="4451">
      <c r="A4451" s="16"/>
      <c r="B4451" s="145"/>
      <c r="C4451" s="146"/>
      <c r="D4451" s="146"/>
      <c r="E4451" s="16"/>
      <c r="F4451" s="91"/>
      <c r="G4451" s="16"/>
      <c r="H4451" s="320" t="str">
        <f t="shared" si="424"/>
        <v/>
      </c>
      <c r="I4451" s="16"/>
      <c r="J4451" s="16"/>
      <c r="K4451" s="16"/>
      <c r="L4451" s="16"/>
      <c r="M4451" s="15"/>
      <c r="N4451" s="15"/>
      <c r="O4451" s="16"/>
      <c r="P4451" s="16"/>
      <c r="Q4451" s="16"/>
      <c r="R4451" s="16"/>
      <c r="S4451" s="37" t="str">
        <f>IFERROR(__xludf.DUMMYFUNCTION("if(not(iserror(index(split(C4451, "" ""),2))), index(split(C4451, "" ""),1),"""")"),"")</f>
        <v/>
      </c>
      <c r="T4451" s="315" t="str">
        <f>IFERROR(__xludf.DUMMYFUNCTION("if(S4451="""",C4451,if(not(iserror(index(split(C4451, "" ""),3))), index(split(C4451, "" ""),3),index(split(C4451, "" ""),2)))"),"")</f>
        <v/>
      </c>
      <c r="U4451" s="38" t="b">
        <f t="shared" si="423"/>
        <v>0</v>
      </c>
      <c r="V4451" s="38"/>
      <c r="W4451" s="40"/>
      <c r="X4451" s="40"/>
      <c r="Y4451" s="40"/>
      <c r="Z4451" s="38"/>
      <c r="AA4451" s="38"/>
      <c r="AB4451" s="38"/>
      <c r="AC4451" s="38"/>
      <c r="AD4451" s="38"/>
      <c r="AE4451" s="38"/>
      <c r="AF4451" s="38"/>
      <c r="AG4451" s="38"/>
      <c r="AH4451" s="38"/>
      <c r="AI4451" s="38"/>
      <c r="AJ4451" s="38"/>
      <c r="AK4451" s="38"/>
      <c r="AL4451" s="38"/>
      <c r="AM4451" s="38"/>
      <c r="AN4451" s="38"/>
      <c r="AO4451" s="38"/>
      <c r="AP4451" s="38"/>
      <c r="AQ4451" s="38"/>
      <c r="AR4451" s="38"/>
      <c r="AS4451" s="38"/>
      <c r="AT4451" s="38"/>
      <c r="AU4451" s="38"/>
      <c r="AV4451" s="38"/>
      <c r="AW4451" s="38"/>
      <c r="AX4451" s="38"/>
      <c r="AY4451" s="38"/>
      <c r="AZ4451" s="38"/>
      <c r="BA4451" s="38"/>
      <c r="BB4451" s="38"/>
      <c r="BC4451" s="38"/>
      <c r="BD4451" s="38"/>
      <c r="BE4451" s="38"/>
      <c r="BF4451" s="38"/>
      <c r="BG4451" s="38"/>
      <c r="BH4451" s="38"/>
      <c r="BI4451" s="38"/>
      <c r="BJ4451" s="38"/>
      <c r="BK4451" s="38"/>
      <c r="BL4451" s="38"/>
      <c r="BM4451" s="38"/>
      <c r="BN4451" s="38"/>
      <c r="BO4451" s="38"/>
      <c r="BP4451" s="38"/>
      <c r="BQ4451" s="38"/>
    </row>
    <row r="4452">
      <c r="A4452" s="16"/>
      <c r="B4452" s="145"/>
      <c r="C4452" s="146"/>
      <c r="D4452" s="146"/>
      <c r="E4452" s="16"/>
      <c r="F4452" s="91"/>
      <c r="G4452" s="16"/>
      <c r="H4452" s="320" t="str">
        <f t="shared" si="424"/>
        <v/>
      </c>
      <c r="I4452" s="16"/>
      <c r="J4452" s="16"/>
      <c r="K4452" s="16"/>
      <c r="L4452" s="16"/>
      <c r="M4452" s="15"/>
      <c r="N4452" s="15"/>
      <c r="O4452" s="16"/>
      <c r="P4452" s="16"/>
      <c r="Q4452" s="16"/>
      <c r="R4452" s="16"/>
      <c r="S4452" s="37" t="str">
        <f>IFERROR(__xludf.DUMMYFUNCTION("if(not(iserror(index(split(C4452, "" ""),2))), index(split(C4452, "" ""),1),"""")"),"")</f>
        <v/>
      </c>
      <c r="T4452" s="315" t="str">
        <f>IFERROR(__xludf.DUMMYFUNCTION("if(S4452="""",C4452,if(not(iserror(index(split(C4452, "" ""),3))), index(split(C4452, "" ""),3),index(split(C4452, "" ""),2)))"),"")</f>
        <v/>
      </c>
      <c r="U4452" s="38" t="b">
        <f t="shared" si="423"/>
        <v>0</v>
      </c>
      <c r="V4452" s="38"/>
      <c r="W4452" s="40"/>
      <c r="X4452" s="40"/>
      <c r="Y4452" s="40"/>
      <c r="Z4452" s="38"/>
      <c r="AA4452" s="38"/>
      <c r="AB4452" s="38"/>
      <c r="AC4452" s="38"/>
      <c r="AD4452" s="38"/>
      <c r="AE4452" s="38"/>
      <c r="AF4452" s="38"/>
      <c r="AG4452" s="38"/>
      <c r="AH4452" s="38"/>
      <c r="AI4452" s="38"/>
      <c r="AJ4452" s="38"/>
      <c r="AK4452" s="38"/>
      <c r="AL4452" s="38"/>
      <c r="AM4452" s="38"/>
      <c r="AN4452" s="38"/>
      <c r="AO4452" s="38"/>
      <c r="AP4452" s="38"/>
      <c r="AQ4452" s="38"/>
      <c r="AR4452" s="38"/>
      <c r="AS4452" s="38"/>
      <c r="AT4452" s="38"/>
      <c r="AU4452" s="38"/>
      <c r="AV4452" s="38"/>
      <c r="AW4452" s="38"/>
      <c r="AX4452" s="38"/>
      <c r="AY4452" s="38"/>
      <c r="AZ4452" s="38"/>
      <c r="BA4452" s="38"/>
      <c r="BB4452" s="38"/>
      <c r="BC4452" s="38"/>
      <c r="BD4452" s="38"/>
      <c r="BE4452" s="38"/>
      <c r="BF4452" s="38"/>
      <c r="BG4452" s="38"/>
      <c r="BH4452" s="38"/>
      <c r="BI4452" s="38"/>
      <c r="BJ4452" s="38"/>
      <c r="BK4452" s="38"/>
      <c r="BL4452" s="38"/>
      <c r="BM4452" s="38"/>
      <c r="BN4452" s="38"/>
      <c r="BO4452" s="38"/>
      <c r="BP4452" s="38"/>
      <c r="BQ4452" s="38"/>
    </row>
    <row r="4453">
      <c r="A4453" s="16"/>
      <c r="B4453" s="145"/>
      <c r="C4453" s="146"/>
      <c r="D4453" s="146"/>
      <c r="E4453" s="16"/>
      <c r="F4453" s="91"/>
      <c r="G4453" s="16"/>
      <c r="H4453" s="320" t="str">
        <f t="shared" si="424"/>
        <v/>
      </c>
      <c r="I4453" s="16"/>
      <c r="J4453" s="16"/>
      <c r="K4453" s="16"/>
      <c r="L4453" s="16"/>
      <c r="M4453" s="15"/>
      <c r="N4453" s="15"/>
      <c r="O4453" s="16"/>
      <c r="P4453" s="16"/>
      <c r="Q4453" s="16"/>
      <c r="R4453" s="16"/>
      <c r="S4453" s="37" t="str">
        <f>IFERROR(__xludf.DUMMYFUNCTION("if(not(iserror(index(split(C4453, "" ""),2))), index(split(C4453, "" ""),1),"""")"),"")</f>
        <v/>
      </c>
      <c r="T4453" s="315" t="str">
        <f>IFERROR(__xludf.DUMMYFUNCTION("if(S4453="""",C4453,if(not(iserror(index(split(C4453, "" ""),3))), index(split(C4453, "" ""),3),index(split(C4453, "" ""),2)))"),"")</f>
        <v/>
      </c>
      <c r="U4453" s="38" t="b">
        <f t="shared" si="423"/>
        <v>0</v>
      </c>
      <c r="V4453" s="38"/>
      <c r="W4453" s="40"/>
      <c r="X4453" s="40"/>
      <c r="Y4453" s="40"/>
      <c r="Z4453" s="38"/>
      <c r="AA4453" s="38"/>
      <c r="AB4453" s="38"/>
      <c r="AC4453" s="38"/>
      <c r="AD4453" s="38"/>
      <c r="AE4453" s="38"/>
      <c r="AF4453" s="38"/>
      <c r="AG4453" s="38"/>
      <c r="AH4453" s="38"/>
      <c r="AI4453" s="38"/>
      <c r="AJ4453" s="38"/>
      <c r="AK4453" s="38"/>
      <c r="AL4453" s="38"/>
      <c r="AM4453" s="38"/>
      <c r="AN4453" s="38"/>
      <c r="AO4453" s="38"/>
      <c r="AP4453" s="38"/>
      <c r="AQ4453" s="38"/>
      <c r="AR4453" s="38"/>
      <c r="AS4453" s="38"/>
      <c r="AT4453" s="38"/>
      <c r="AU4453" s="38"/>
      <c r="AV4453" s="38"/>
      <c r="AW4453" s="38"/>
      <c r="AX4453" s="38"/>
      <c r="AY4453" s="38"/>
      <c r="AZ4453" s="38"/>
      <c r="BA4453" s="38"/>
      <c r="BB4453" s="38"/>
      <c r="BC4453" s="38"/>
      <c r="BD4453" s="38"/>
      <c r="BE4453" s="38"/>
      <c r="BF4453" s="38"/>
      <c r="BG4453" s="38"/>
      <c r="BH4453" s="38"/>
      <c r="BI4453" s="38"/>
      <c r="BJ4453" s="38"/>
      <c r="BK4453" s="38"/>
      <c r="BL4453" s="38"/>
      <c r="BM4453" s="38"/>
      <c r="BN4453" s="38"/>
      <c r="BO4453" s="38"/>
      <c r="BP4453" s="38"/>
      <c r="BQ4453" s="38"/>
    </row>
    <row r="4454">
      <c r="A4454" s="16"/>
      <c r="B4454" s="145"/>
      <c r="C4454" s="146"/>
      <c r="D4454" s="146"/>
      <c r="E4454" s="16"/>
      <c r="F4454" s="91"/>
      <c r="G4454" s="16"/>
      <c r="H4454" s="320" t="str">
        <f t="shared" si="424"/>
        <v/>
      </c>
      <c r="I4454" s="16"/>
      <c r="J4454" s="16"/>
      <c r="K4454" s="16"/>
      <c r="L4454" s="16"/>
      <c r="M4454" s="15"/>
      <c r="N4454" s="15"/>
      <c r="O4454" s="16"/>
      <c r="P4454" s="16"/>
      <c r="Q4454" s="16"/>
      <c r="R4454" s="16"/>
      <c r="S4454" s="37" t="str">
        <f>IFERROR(__xludf.DUMMYFUNCTION("if(not(iserror(index(split(C4454, "" ""),2))), index(split(C4454, "" ""),1),"""")"),"")</f>
        <v/>
      </c>
      <c r="T4454" s="315" t="str">
        <f>IFERROR(__xludf.DUMMYFUNCTION("if(S4454="""",C4454,if(not(iserror(index(split(C4454, "" ""),3))), index(split(C4454, "" ""),3),index(split(C4454, "" ""),2)))"),"")</f>
        <v/>
      </c>
      <c r="U4454" s="38" t="b">
        <f t="shared" si="423"/>
        <v>0</v>
      </c>
      <c r="V4454" s="38"/>
      <c r="W4454" s="40"/>
      <c r="X4454" s="40"/>
      <c r="Y4454" s="40"/>
      <c r="Z4454" s="38"/>
      <c r="AA4454" s="38"/>
      <c r="AB4454" s="38"/>
      <c r="AC4454" s="38"/>
      <c r="AD4454" s="38"/>
      <c r="AE4454" s="38"/>
      <c r="AF4454" s="38"/>
      <c r="AG4454" s="38"/>
      <c r="AH4454" s="38"/>
      <c r="AI4454" s="38"/>
      <c r="AJ4454" s="38"/>
      <c r="AK4454" s="38"/>
      <c r="AL4454" s="38"/>
      <c r="AM4454" s="38"/>
      <c r="AN4454" s="38"/>
      <c r="AO4454" s="38"/>
      <c r="AP4454" s="38"/>
      <c r="AQ4454" s="38"/>
      <c r="AR4454" s="38"/>
      <c r="AS4454" s="38"/>
      <c r="AT4454" s="38"/>
      <c r="AU4454" s="38"/>
      <c r="AV4454" s="38"/>
      <c r="AW4454" s="38"/>
      <c r="AX4454" s="38"/>
      <c r="AY4454" s="38"/>
      <c r="AZ4454" s="38"/>
      <c r="BA4454" s="38"/>
      <c r="BB4454" s="38"/>
      <c r="BC4454" s="38"/>
      <c r="BD4454" s="38"/>
      <c r="BE4454" s="38"/>
      <c r="BF4454" s="38"/>
      <c r="BG4454" s="38"/>
      <c r="BH4454" s="38"/>
      <c r="BI4454" s="38"/>
      <c r="BJ4454" s="38"/>
      <c r="BK4454" s="38"/>
      <c r="BL4454" s="38"/>
      <c r="BM4454" s="38"/>
      <c r="BN4454" s="38"/>
      <c r="BO4454" s="38"/>
      <c r="BP4454" s="38"/>
      <c r="BQ4454" s="38"/>
    </row>
    <row r="4455">
      <c r="A4455" s="16"/>
      <c r="B4455" s="145"/>
      <c r="C4455" s="146"/>
      <c r="D4455" s="146"/>
      <c r="E4455" s="16"/>
      <c r="F4455" s="91"/>
      <c r="G4455" s="16"/>
      <c r="H4455" s="320" t="str">
        <f t="shared" si="424"/>
        <v/>
      </c>
      <c r="I4455" s="16"/>
      <c r="J4455" s="16"/>
      <c r="K4455" s="16"/>
      <c r="L4455" s="16"/>
      <c r="M4455" s="15"/>
      <c r="N4455" s="15"/>
      <c r="O4455" s="16"/>
      <c r="P4455" s="16"/>
      <c r="Q4455" s="16"/>
      <c r="R4455" s="16"/>
      <c r="S4455" s="37" t="str">
        <f>IFERROR(__xludf.DUMMYFUNCTION("if(not(iserror(index(split(C4455, "" ""),2))), index(split(C4455, "" ""),1),"""")"),"")</f>
        <v/>
      </c>
      <c r="T4455" s="315" t="str">
        <f>IFERROR(__xludf.DUMMYFUNCTION("if(S4455="""",C4455,if(not(iserror(index(split(C4455, "" ""),3))), index(split(C4455, "" ""),3),index(split(C4455, "" ""),2)))"),"")</f>
        <v/>
      </c>
      <c r="U4455" s="38" t="b">
        <f t="shared" si="423"/>
        <v>0</v>
      </c>
      <c r="V4455" s="38"/>
      <c r="W4455" s="40"/>
      <c r="X4455" s="40"/>
      <c r="Y4455" s="40"/>
      <c r="Z4455" s="38"/>
      <c r="AA4455" s="38"/>
      <c r="AB4455" s="38"/>
      <c r="AC4455" s="38"/>
      <c r="AD4455" s="38"/>
      <c r="AE4455" s="38"/>
      <c r="AF4455" s="38"/>
      <c r="AG4455" s="38"/>
      <c r="AH4455" s="38"/>
      <c r="AI4455" s="38"/>
      <c r="AJ4455" s="38"/>
      <c r="AK4455" s="38"/>
      <c r="AL4455" s="38"/>
      <c r="AM4455" s="38"/>
      <c r="AN4455" s="38"/>
      <c r="AO4455" s="38"/>
      <c r="AP4455" s="38"/>
      <c r="AQ4455" s="38"/>
      <c r="AR4455" s="38"/>
      <c r="AS4455" s="38"/>
      <c r="AT4455" s="38"/>
      <c r="AU4455" s="38"/>
      <c r="AV4455" s="38"/>
      <c r="AW4455" s="38"/>
      <c r="AX4455" s="38"/>
      <c r="AY4455" s="38"/>
      <c r="AZ4455" s="38"/>
      <c r="BA4455" s="38"/>
      <c r="BB4455" s="38"/>
      <c r="BC4455" s="38"/>
      <c r="BD4455" s="38"/>
      <c r="BE4455" s="38"/>
      <c r="BF4455" s="38"/>
      <c r="BG4455" s="38"/>
      <c r="BH4455" s="38"/>
      <c r="BI4455" s="38"/>
      <c r="BJ4455" s="38"/>
      <c r="BK4455" s="38"/>
      <c r="BL4455" s="38"/>
      <c r="BM4455" s="38"/>
      <c r="BN4455" s="38"/>
      <c r="BO4455" s="38"/>
      <c r="BP4455" s="38"/>
      <c r="BQ4455" s="38"/>
    </row>
    <row r="4456">
      <c r="A4456" s="16"/>
      <c r="B4456" s="145"/>
      <c r="C4456" s="146"/>
      <c r="D4456" s="146"/>
      <c r="E4456" s="16"/>
      <c r="F4456" s="91"/>
      <c r="G4456" s="16"/>
      <c r="H4456" s="320" t="str">
        <f t="shared" si="424"/>
        <v/>
      </c>
      <c r="I4456" s="16"/>
      <c r="J4456" s="16"/>
      <c r="K4456" s="16"/>
      <c r="L4456" s="16"/>
      <c r="M4456" s="15"/>
      <c r="N4456" s="15"/>
      <c r="O4456" s="16"/>
      <c r="P4456" s="16"/>
      <c r="Q4456" s="16"/>
      <c r="R4456" s="16"/>
      <c r="S4456" s="37" t="str">
        <f>IFERROR(__xludf.DUMMYFUNCTION("if(not(iserror(index(split(C4456, "" ""),2))), index(split(C4456, "" ""),1),"""")"),"")</f>
        <v/>
      </c>
      <c r="T4456" s="315" t="str">
        <f>IFERROR(__xludf.DUMMYFUNCTION("if(S4456="""",C4456,if(not(iserror(index(split(C4456, "" ""),3))), index(split(C4456, "" ""),3),index(split(C4456, "" ""),2)))"),"")</f>
        <v/>
      </c>
      <c r="U4456" s="38" t="b">
        <f t="shared" si="423"/>
        <v>0</v>
      </c>
      <c r="V4456" s="38"/>
      <c r="W4456" s="40"/>
      <c r="X4456" s="40"/>
      <c r="Y4456" s="40"/>
      <c r="Z4456" s="38"/>
      <c r="AA4456" s="38"/>
      <c r="AB4456" s="38"/>
      <c r="AC4456" s="38"/>
      <c r="AD4456" s="38"/>
      <c r="AE4456" s="38"/>
      <c r="AF4456" s="38"/>
      <c r="AG4456" s="38"/>
      <c r="AH4456" s="38"/>
      <c r="AI4456" s="38"/>
      <c r="AJ4456" s="38"/>
      <c r="AK4456" s="38"/>
      <c r="AL4456" s="38"/>
      <c r="AM4456" s="38"/>
      <c r="AN4456" s="38"/>
      <c r="AO4456" s="38"/>
      <c r="AP4456" s="38"/>
      <c r="AQ4456" s="38"/>
      <c r="AR4456" s="38"/>
      <c r="AS4456" s="38"/>
      <c r="AT4456" s="38"/>
      <c r="AU4456" s="38"/>
      <c r="AV4456" s="38"/>
      <c r="AW4456" s="38"/>
      <c r="AX4456" s="38"/>
      <c r="AY4456" s="38"/>
      <c r="AZ4456" s="38"/>
      <c r="BA4456" s="38"/>
      <c r="BB4456" s="38"/>
      <c r="BC4456" s="38"/>
      <c r="BD4456" s="38"/>
      <c r="BE4456" s="38"/>
      <c r="BF4456" s="38"/>
      <c r="BG4456" s="38"/>
      <c r="BH4456" s="38"/>
      <c r="BI4456" s="38"/>
      <c r="BJ4456" s="38"/>
      <c r="BK4456" s="38"/>
      <c r="BL4456" s="38"/>
      <c r="BM4456" s="38"/>
      <c r="BN4456" s="38"/>
      <c r="BO4456" s="38"/>
      <c r="BP4456" s="38"/>
      <c r="BQ4456" s="38"/>
    </row>
    <row r="4457">
      <c r="A4457" s="16"/>
      <c r="B4457" s="145"/>
      <c r="C4457" s="146"/>
      <c r="D4457" s="146"/>
      <c r="E4457" s="16"/>
      <c r="F4457" s="91"/>
      <c r="G4457" s="16"/>
      <c r="H4457" s="320" t="str">
        <f t="shared" si="424"/>
        <v/>
      </c>
      <c r="I4457" s="16"/>
      <c r="J4457" s="16"/>
      <c r="K4457" s="16"/>
      <c r="L4457" s="16"/>
      <c r="M4457" s="15"/>
      <c r="N4457" s="15"/>
      <c r="O4457" s="16"/>
      <c r="P4457" s="16"/>
      <c r="Q4457" s="16"/>
      <c r="R4457" s="16"/>
      <c r="S4457" s="37" t="str">
        <f>IFERROR(__xludf.DUMMYFUNCTION("if(not(iserror(index(split(C4457, "" ""),2))), index(split(C4457, "" ""),1),"""")"),"")</f>
        <v/>
      </c>
      <c r="T4457" s="315" t="str">
        <f>IFERROR(__xludf.DUMMYFUNCTION("if(S4457="""",C4457,if(not(iserror(index(split(C4457, "" ""),3))), index(split(C4457, "" ""),3),index(split(C4457, "" ""),2)))"),"")</f>
        <v/>
      </c>
      <c r="U4457" s="38" t="b">
        <f t="shared" si="423"/>
        <v>0</v>
      </c>
      <c r="V4457" s="38"/>
      <c r="W4457" s="40"/>
      <c r="X4457" s="40"/>
      <c r="Y4457" s="40"/>
      <c r="Z4457" s="38"/>
      <c r="AA4457" s="38"/>
      <c r="AB4457" s="38"/>
      <c r="AC4457" s="38"/>
      <c r="AD4457" s="38"/>
      <c r="AE4457" s="38"/>
      <c r="AF4457" s="38"/>
      <c r="AG4457" s="38"/>
      <c r="AH4457" s="38"/>
      <c r="AI4457" s="38"/>
      <c r="AJ4457" s="38"/>
      <c r="AK4457" s="38"/>
      <c r="AL4457" s="38"/>
      <c r="AM4457" s="38"/>
      <c r="AN4457" s="38"/>
      <c r="AO4457" s="38"/>
      <c r="AP4457" s="38"/>
      <c r="AQ4457" s="38"/>
      <c r="AR4457" s="38"/>
      <c r="AS4457" s="38"/>
      <c r="AT4457" s="38"/>
      <c r="AU4457" s="38"/>
      <c r="AV4457" s="38"/>
      <c r="AW4457" s="38"/>
      <c r="AX4457" s="38"/>
      <c r="AY4457" s="38"/>
      <c r="AZ4457" s="38"/>
      <c r="BA4457" s="38"/>
      <c r="BB4457" s="38"/>
      <c r="BC4457" s="38"/>
      <c r="BD4457" s="38"/>
      <c r="BE4457" s="38"/>
      <c r="BF4457" s="38"/>
      <c r="BG4457" s="38"/>
      <c r="BH4457" s="38"/>
      <c r="BI4457" s="38"/>
      <c r="BJ4457" s="38"/>
      <c r="BK4457" s="38"/>
      <c r="BL4457" s="38"/>
      <c r="BM4457" s="38"/>
      <c r="BN4457" s="38"/>
      <c r="BO4457" s="38"/>
      <c r="BP4457" s="38"/>
      <c r="BQ4457" s="38"/>
    </row>
    <row r="4458">
      <c r="A4458" s="16"/>
      <c r="B4458" s="145"/>
      <c r="C4458" s="146"/>
      <c r="D4458" s="146"/>
      <c r="E4458" s="16"/>
      <c r="F4458" s="91"/>
      <c r="G4458" s="16"/>
      <c r="H4458" s="320" t="str">
        <f t="shared" si="424"/>
        <v/>
      </c>
      <c r="I4458" s="16"/>
      <c r="J4458" s="16"/>
      <c r="K4458" s="16"/>
      <c r="L4458" s="16"/>
      <c r="M4458" s="15"/>
      <c r="N4458" s="15"/>
      <c r="O4458" s="16"/>
      <c r="P4458" s="16"/>
      <c r="Q4458" s="16"/>
      <c r="R4458" s="16"/>
      <c r="S4458" s="37" t="str">
        <f>IFERROR(__xludf.DUMMYFUNCTION("if(not(iserror(index(split(C4458, "" ""),2))), index(split(C4458, "" ""),1),"""")"),"")</f>
        <v/>
      </c>
      <c r="T4458" s="315" t="str">
        <f>IFERROR(__xludf.DUMMYFUNCTION("if(S4458="""",C4458,if(not(iserror(index(split(C4458, "" ""),3))), index(split(C4458, "" ""),3),index(split(C4458, "" ""),2)))"),"")</f>
        <v/>
      </c>
      <c r="U4458" s="38" t="b">
        <f t="shared" si="423"/>
        <v>0</v>
      </c>
      <c r="V4458" s="38"/>
      <c r="W4458" s="40"/>
      <c r="X4458" s="40"/>
      <c r="Y4458" s="40"/>
      <c r="Z4458" s="38"/>
      <c r="AA4458" s="38"/>
      <c r="AB4458" s="38"/>
      <c r="AC4458" s="38"/>
      <c r="AD4458" s="38"/>
      <c r="AE4458" s="38"/>
      <c r="AF4458" s="38"/>
      <c r="AG4458" s="38"/>
      <c r="AH4458" s="38"/>
      <c r="AI4458" s="38"/>
      <c r="AJ4458" s="38"/>
      <c r="AK4458" s="38"/>
      <c r="AL4458" s="38"/>
      <c r="AM4458" s="38"/>
      <c r="AN4458" s="38"/>
      <c r="AO4458" s="38"/>
      <c r="AP4458" s="38"/>
      <c r="AQ4458" s="38"/>
      <c r="AR4458" s="38"/>
      <c r="AS4458" s="38"/>
      <c r="AT4458" s="38"/>
      <c r="AU4458" s="38"/>
      <c r="AV4458" s="38"/>
      <c r="AW4458" s="38"/>
      <c r="AX4458" s="38"/>
      <c r="AY4458" s="38"/>
      <c r="AZ4458" s="38"/>
      <c r="BA4458" s="38"/>
      <c r="BB4458" s="38"/>
      <c r="BC4458" s="38"/>
      <c r="BD4458" s="38"/>
      <c r="BE4458" s="38"/>
      <c r="BF4458" s="38"/>
      <c r="BG4458" s="38"/>
      <c r="BH4458" s="38"/>
      <c r="BI4458" s="38"/>
      <c r="BJ4458" s="38"/>
      <c r="BK4458" s="38"/>
      <c r="BL4458" s="38"/>
      <c r="BM4458" s="38"/>
      <c r="BN4458" s="38"/>
      <c r="BO4458" s="38"/>
      <c r="BP4458" s="38"/>
      <c r="BQ4458" s="38"/>
    </row>
    <row r="4459">
      <c r="A4459" s="16"/>
      <c r="B4459" s="145"/>
      <c r="C4459" s="146"/>
      <c r="D4459" s="146"/>
      <c r="E4459" s="16"/>
      <c r="F4459" s="91"/>
      <c r="G4459" s="16"/>
      <c r="H4459" s="320" t="str">
        <f t="shared" si="424"/>
        <v/>
      </c>
      <c r="I4459" s="16"/>
      <c r="J4459" s="16"/>
      <c r="K4459" s="16"/>
      <c r="L4459" s="16"/>
      <c r="M4459" s="15"/>
      <c r="N4459" s="15"/>
      <c r="O4459" s="16"/>
      <c r="P4459" s="16"/>
      <c r="Q4459" s="16"/>
      <c r="R4459" s="16"/>
      <c r="S4459" s="37" t="str">
        <f>IFERROR(__xludf.DUMMYFUNCTION("if(not(iserror(index(split(C4459, "" ""),2))), index(split(C4459, "" ""),1),"""")"),"")</f>
        <v/>
      </c>
      <c r="T4459" s="315" t="str">
        <f>IFERROR(__xludf.DUMMYFUNCTION("if(S4459="""",C4459,if(not(iserror(index(split(C4459, "" ""),3))), index(split(C4459, "" ""),3),index(split(C4459, "" ""),2)))"),"")</f>
        <v/>
      </c>
      <c r="U4459" s="38" t="b">
        <f t="shared" si="423"/>
        <v>0</v>
      </c>
      <c r="V4459" s="38"/>
      <c r="W4459" s="40"/>
      <c r="X4459" s="40"/>
      <c r="Y4459" s="40"/>
      <c r="Z4459" s="38"/>
      <c r="AA4459" s="38"/>
      <c r="AB4459" s="38"/>
      <c r="AC4459" s="38"/>
      <c r="AD4459" s="38"/>
      <c r="AE4459" s="38"/>
      <c r="AF4459" s="38"/>
      <c r="AG4459" s="38"/>
      <c r="AH4459" s="38"/>
      <c r="AI4459" s="38"/>
      <c r="AJ4459" s="38"/>
      <c r="AK4459" s="38"/>
      <c r="AL4459" s="38"/>
      <c r="AM4459" s="38"/>
      <c r="AN4459" s="38"/>
      <c r="AO4459" s="38"/>
      <c r="AP4459" s="38"/>
      <c r="AQ4459" s="38"/>
      <c r="AR4459" s="38"/>
      <c r="AS4459" s="38"/>
      <c r="AT4459" s="38"/>
      <c r="AU4459" s="38"/>
      <c r="AV4459" s="38"/>
      <c r="AW4459" s="38"/>
      <c r="AX4459" s="38"/>
      <c r="AY4459" s="38"/>
      <c r="AZ4459" s="38"/>
      <c r="BA4459" s="38"/>
      <c r="BB4459" s="38"/>
      <c r="BC4459" s="38"/>
      <c r="BD4459" s="38"/>
      <c r="BE4459" s="38"/>
      <c r="BF4459" s="38"/>
      <c r="BG4459" s="38"/>
      <c r="BH4459" s="38"/>
      <c r="BI4459" s="38"/>
      <c r="BJ4459" s="38"/>
      <c r="BK4459" s="38"/>
      <c r="BL4459" s="38"/>
      <c r="BM4459" s="38"/>
      <c r="BN4459" s="38"/>
      <c r="BO4459" s="38"/>
      <c r="BP4459" s="38"/>
      <c r="BQ4459" s="38"/>
    </row>
    <row r="4460">
      <c r="A4460" s="16"/>
      <c r="B4460" s="145"/>
      <c r="C4460" s="146"/>
      <c r="D4460" s="146"/>
      <c r="E4460" s="16"/>
      <c r="F4460" s="91"/>
      <c r="G4460" s="16"/>
      <c r="H4460" s="320" t="str">
        <f t="shared" si="424"/>
        <v/>
      </c>
      <c r="I4460" s="16"/>
      <c r="J4460" s="16"/>
      <c r="K4460" s="16"/>
      <c r="L4460" s="16"/>
      <c r="M4460" s="15"/>
      <c r="N4460" s="15"/>
      <c r="O4460" s="16"/>
      <c r="P4460" s="16"/>
      <c r="Q4460" s="16"/>
      <c r="R4460" s="16"/>
      <c r="S4460" s="37" t="str">
        <f>IFERROR(__xludf.DUMMYFUNCTION("if(not(iserror(index(split(C4460, "" ""),2))), index(split(C4460, "" ""),1),"""")"),"")</f>
        <v/>
      </c>
      <c r="T4460" s="315" t="str">
        <f>IFERROR(__xludf.DUMMYFUNCTION("if(S4460="""",C4460,if(not(iserror(index(split(C4460, "" ""),3))), index(split(C4460, "" ""),3),index(split(C4460, "" ""),2)))"),"")</f>
        <v/>
      </c>
      <c r="U4460" s="38" t="b">
        <f t="shared" si="423"/>
        <v>0</v>
      </c>
      <c r="V4460" s="38"/>
      <c r="W4460" s="40"/>
      <c r="X4460" s="40"/>
      <c r="Y4460" s="40"/>
      <c r="Z4460" s="38"/>
      <c r="AA4460" s="38"/>
      <c r="AB4460" s="38"/>
      <c r="AC4460" s="38"/>
      <c r="AD4460" s="38"/>
      <c r="AE4460" s="38"/>
      <c r="AF4460" s="38"/>
      <c r="AG4460" s="38"/>
      <c r="AH4460" s="38"/>
      <c r="AI4460" s="38"/>
      <c r="AJ4460" s="38"/>
      <c r="AK4460" s="38"/>
      <c r="AL4460" s="38"/>
      <c r="AM4460" s="38"/>
      <c r="AN4460" s="38"/>
      <c r="AO4460" s="38"/>
      <c r="AP4460" s="38"/>
      <c r="AQ4460" s="38"/>
      <c r="AR4460" s="38"/>
      <c r="AS4460" s="38"/>
      <c r="AT4460" s="38"/>
      <c r="AU4460" s="38"/>
      <c r="AV4460" s="38"/>
      <c r="AW4460" s="38"/>
      <c r="AX4460" s="38"/>
      <c r="AY4460" s="38"/>
      <c r="AZ4460" s="38"/>
      <c r="BA4460" s="38"/>
      <c r="BB4460" s="38"/>
      <c r="BC4460" s="38"/>
      <c r="BD4460" s="38"/>
      <c r="BE4460" s="38"/>
      <c r="BF4460" s="38"/>
      <c r="BG4460" s="38"/>
      <c r="BH4460" s="38"/>
      <c r="BI4460" s="38"/>
      <c r="BJ4460" s="38"/>
      <c r="BK4460" s="38"/>
      <c r="BL4460" s="38"/>
      <c r="BM4460" s="38"/>
      <c r="BN4460" s="38"/>
      <c r="BO4460" s="38"/>
      <c r="BP4460" s="38"/>
      <c r="BQ4460" s="38"/>
    </row>
    <row r="4461">
      <c r="A4461" s="16"/>
      <c r="B4461" s="145"/>
      <c r="C4461" s="146"/>
      <c r="D4461" s="146"/>
      <c r="E4461" s="16"/>
      <c r="F4461" s="91"/>
      <c r="G4461" s="16"/>
      <c r="H4461" s="320" t="str">
        <f t="shared" si="424"/>
        <v/>
      </c>
      <c r="I4461" s="16"/>
      <c r="J4461" s="16"/>
      <c r="K4461" s="16"/>
      <c r="L4461" s="16"/>
      <c r="M4461" s="15"/>
      <c r="N4461" s="15"/>
      <c r="O4461" s="16"/>
      <c r="P4461" s="16"/>
      <c r="Q4461" s="16"/>
      <c r="R4461" s="16"/>
      <c r="S4461" s="37" t="str">
        <f>IFERROR(__xludf.DUMMYFUNCTION("if(not(iserror(index(split(C4461, "" ""),2))), index(split(C4461, "" ""),1),"""")"),"")</f>
        <v/>
      </c>
      <c r="T4461" s="315" t="str">
        <f>IFERROR(__xludf.DUMMYFUNCTION("if(S4461="""",C4461,if(not(iserror(index(split(C4461, "" ""),3))), index(split(C4461, "" ""),3),index(split(C4461, "" ""),2)))"),"")</f>
        <v/>
      </c>
      <c r="U4461" s="38" t="b">
        <f t="shared" si="423"/>
        <v>0</v>
      </c>
      <c r="V4461" s="38"/>
      <c r="W4461" s="40"/>
      <c r="X4461" s="40"/>
      <c r="Y4461" s="40"/>
      <c r="Z4461" s="38"/>
      <c r="AA4461" s="38"/>
      <c r="AB4461" s="38"/>
      <c r="AC4461" s="38"/>
      <c r="AD4461" s="38"/>
      <c r="AE4461" s="38"/>
      <c r="AF4461" s="38"/>
      <c r="AG4461" s="38"/>
      <c r="AH4461" s="38"/>
      <c r="AI4461" s="38"/>
      <c r="AJ4461" s="38"/>
      <c r="AK4461" s="38"/>
      <c r="AL4461" s="38"/>
      <c r="AM4461" s="38"/>
      <c r="AN4461" s="38"/>
      <c r="AO4461" s="38"/>
      <c r="AP4461" s="38"/>
      <c r="AQ4461" s="38"/>
      <c r="AR4461" s="38"/>
      <c r="AS4461" s="38"/>
      <c r="AT4461" s="38"/>
      <c r="AU4461" s="38"/>
      <c r="AV4461" s="38"/>
      <c r="AW4461" s="38"/>
      <c r="AX4461" s="38"/>
      <c r="AY4461" s="38"/>
      <c r="AZ4461" s="38"/>
      <c r="BA4461" s="38"/>
      <c r="BB4461" s="38"/>
      <c r="BC4461" s="38"/>
      <c r="BD4461" s="38"/>
      <c r="BE4461" s="38"/>
      <c r="BF4461" s="38"/>
      <c r="BG4461" s="38"/>
      <c r="BH4461" s="38"/>
      <c r="BI4461" s="38"/>
      <c r="BJ4461" s="38"/>
      <c r="BK4461" s="38"/>
      <c r="BL4461" s="38"/>
      <c r="BM4461" s="38"/>
      <c r="BN4461" s="38"/>
      <c r="BO4461" s="38"/>
      <c r="BP4461" s="38"/>
      <c r="BQ4461" s="38"/>
    </row>
    <row r="4462">
      <c r="A4462" s="16"/>
      <c r="B4462" s="145"/>
      <c r="C4462" s="146"/>
      <c r="D4462" s="146"/>
      <c r="E4462" s="16"/>
      <c r="F4462" s="91"/>
      <c r="G4462" s="16"/>
      <c r="H4462" s="320" t="str">
        <f t="shared" si="424"/>
        <v/>
      </c>
      <c r="I4462" s="16"/>
      <c r="J4462" s="16"/>
      <c r="K4462" s="16"/>
      <c r="L4462" s="16"/>
      <c r="M4462" s="15"/>
      <c r="N4462" s="15"/>
      <c r="O4462" s="16"/>
      <c r="P4462" s="16"/>
      <c r="Q4462" s="16"/>
      <c r="R4462" s="16"/>
      <c r="S4462" s="37" t="str">
        <f>IFERROR(__xludf.DUMMYFUNCTION("if(not(iserror(index(split(C4462, "" ""),2))), index(split(C4462, "" ""),1),"""")"),"")</f>
        <v/>
      </c>
      <c r="T4462" s="315" t="str">
        <f>IFERROR(__xludf.DUMMYFUNCTION("if(S4462="""",C4462,if(not(iserror(index(split(C4462, "" ""),3))), index(split(C4462, "" ""),3),index(split(C4462, "" ""),2)))"),"")</f>
        <v/>
      </c>
      <c r="U4462" s="38" t="b">
        <f t="shared" si="423"/>
        <v>0</v>
      </c>
      <c r="V4462" s="38"/>
      <c r="W4462" s="40"/>
      <c r="X4462" s="40"/>
      <c r="Y4462" s="40"/>
      <c r="Z4462" s="38"/>
      <c r="AA4462" s="38"/>
      <c r="AB4462" s="38"/>
      <c r="AC4462" s="38"/>
      <c r="AD4462" s="38"/>
      <c r="AE4462" s="38"/>
      <c r="AF4462" s="38"/>
      <c r="AG4462" s="38"/>
      <c r="AH4462" s="38"/>
      <c r="AI4462" s="38"/>
      <c r="AJ4462" s="38"/>
      <c r="AK4462" s="38"/>
      <c r="AL4462" s="38"/>
      <c r="AM4462" s="38"/>
      <c r="AN4462" s="38"/>
      <c r="AO4462" s="38"/>
      <c r="AP4462" s="38"/>
      <c r="AQ4462" s="38"/>
      <c r="AR4462" s="38"/>
      <c r="AS4462" s="38"/>
      <c r="AT4462" s="38"/>
      <c r="AU4462" s="38"/>
      <c r="AV4462" s="38"/>
      <c r="AW4462" s="38"/>
      <c r="AX4462" s="38"/>
      <c r="AY4462" s="38"/>
      <c r="AZ4462" s="38"/>
      <c r="BA4462" s="38"/>
      <c r="BB4462" s="38"/>
      <c r="BC4462" s="38"/>
      <c r="BD4462" s="38"/>
      <c r="BE4462" s="38"/>
      <c r="BF4462" s="38"/>
      <c r="BG4462" s="38"/>
      <c r="BH4462" s="38"/>
      <c r="BI4462" s="38"/>
      <c r="BJ4462" s="38"/>
      <c r="BK4462" s="38"/>
      <c r="BL4462" s="38"/>
      <c r="BM4462" s="38"/>
      <c r="BN4462" s="38"/>
      <c r="BO4462" s="38"/>
      <c r="BP4462" s="38"/>
      <c r="BQ4462" s="38"/>
    </row>
    <row r="4463">
      <c r="A4463" s="16"/>
      <c r="B4463" s="145"/>
      <c r="C4463" s="146"/>
      <c r="D4463" s="146"/>
      <c r="E4463" s="16"/>
      <c r="F4463" s="91"/>
      <c r="G4463" s="16"/>
      <c r="H4463" s="320" t="str">
        <f t="shared" si="424"/>
        <v/>
      </c>
      <c r="I4463" s="16"/>
      <c r="J4463" s="16"/>
      <c r="K4463" s="16"/>
      <c r="L4463" s="16"/>
      <c r="M4463" s="15"/>
      <c r="N4463" s="15"/>
      <c r="O4463" s="16"/>
      <c r="P4463" s="16"/>
      <c r="Q4463" s="16"/>
      <c r="R4463" s="16"/>
      <c r="S4463" s="37" t="str">
        <f>IFERROR(__xludf.DUMMYFUNCTION("if(not(iserror(index(split(C4463, "" ""),2))), index(split(C4463, "" ""),1),"""")"),"")</f>
        <v/>
      </c>
      <c r="T4463" s="315" t="str">
        <f>IFERROR(__xludf.DUMMYFUNCTION("if(S4463="""",C4463,if(not(iserror(index(split(C4463, "" ""),3))), index(split(C4463, "" ""),3),index(split(C4463, "" ""),2)))"),"")</f>
        <v/>
      </c>
      <c r="U4463" s="38" t="b">
        <f t="shared" si="423"/>
        <v>0</v>
      </c>
      <c r="V4463" s="38"/>
      <c r="W4463" s="40"/>
      <c r="X4463" s="40"/>
      <c r="Y4463" s="40"/>
      <c r="Z4463" s="38"/>
      <c r="AA4463" s="38"/>
      <c r="AB4463" s="38"/>
      <c r="AC4463" s="38"/>
      <c r="AD4463" s="38"/>
      <c r="AE4463" s="38"/>
      <c r="AF4463" s="38"/>
      <c r="AG4463" s="38"/>
      <c r="AH4463" s="38"/>
      <c r="AI4463" s="38"/>
      <c r="AJ4463" s="38"/>
      <c r="AK4463" s="38"/>
      <c r="AL4463" s="38"/>
      <c r="AM4463" s="38"/>
      <c r="AN4463" s="38"/>
      <c r="AO4463" s="38"/>
      <c r="AP4463" s="38"/>
      <c r="AQ4463" s="38"/>
      <c r="AR4463" s="38"/>
      <c r="AS4463" s="38"/>
      <c r="AT4463" s="38"/>
      <c r="AU4463" s="38"/>
      <c r="AV4463" s="38"/>
      <c r="AW4463" s="38"/>
      <c r="AX4463" s="38"/>
      <c r="AY4463" s="38"/>
      <c r="AZ4463" s="38"/>
      <c r="BA4463" s="38"/>
      <c r="BB4463" s="38"/>
      <c r="BC4463" s="38"/>
      <c r="BD4463" s="38"/>
      <c r="BE4463" s="38"/>
      <c r="BF4463" s="38"/>
      <c r="BG4463" s="38"/>
      <c r="BH4463" s="38"/>
      <c r="BI4463" s="38"/>
      <c r="BJ4463" s="38"/>
      <c r="BK4463" s="38"/>
      <c r="BL4463" s="38"/>
      <c r="BM4463" s="38"/>
      <c r="BN4463" s="38"/>
      <c r="BO4463" s="38"/>
      <c r="BP4463" s="38"/>
      <c r="BQ4463" s="38"/>
    </row>
    <row r="4464">
      <c r="A4464" s="16"/>
      <c r="B4464" s="145"/>
      <c r="C4464" s="146"/>
      <c r="D4464" s="146"/>
      <c r="E4464" s="16"/>
      <c r="F4464" s="91"/>
      <c r="G4464" s="16"/>
      <c r="H4464" s="320" t="str">
        <f t="shared" si="424"/>
        <v/>
      </c>
      <c r="I4464" s="16"/>
      <c r="J4464" s="16"/>
      <c r="K4464" s="16"/>
      <c r="L4464" s="16"/>
      <c r="M4464" s="15"/>
      <c r="N4464" s="15"/>
      <c r="O4464" s="16"/>
      <c r="P4464" s="16"/>
      <c r="Q4464" s="16"/>
      <c r="R4464" s="16"/>
      <c r="S4464" s="37" t="str">
        <f>IFERROR(__xludf.DUMMYFUNCTION("if(not(iserror(index(split(C4464, "" ""),2))), index(split(C4464, "" ""),1),"""")"),"")</f>
        <v/>
      </c>
      <c r="T4464" s="315" t="str">
        <f>IFERROR(__xludf.DUMMYFUNCTION("if(S4464="""",C4464,if(not(iserror(index(split(C4464, "" ""),3))), index(split(C4464, "" ""),3),index(split(C4464, "" ""),2)))"),"")</f>
        <v/>
      </c>
      <c r="U4464" s="38" t="b">
        <f t="shared" si="423"/>
        <v>0</v>
      </c>
      <c r="V4464" s="38"/>
      <c r="W4464" s="40"/>
      <c r="X4464" s="40"/>
      <c r="Y4464" s="40"/>
      <c r="Z4464" s="38"/>
      <c r="AA4464" s="38"/>
      <c r="AB4464" s="38"/>
      <c r="AC4464" s="38"/>
      <c r="AD4464" s="38"/>
      <c r="AE4464" s="38"/>
      <c r="AF4464" s="38"/>
      <c r="AG4464" s="38"/>
      <c r="AH4464" s="38"/>
      <c r="AI4464" s="38"/>
      <c r="AJ4464" s="38"/>
      <c r="AK4464" s="38"/>
      <c r="AL4464" s="38"/>
      <c r="AM4464" s="38"/>
      <c r="AN4464" s="38"/>
      <c r="AO4464" s="38"/>
      <c r="AP4464" s="38"/>
      <c r="AQ4464" s="38"/>
      <c r="AR4464" s="38"/>
      <c r="AS4464" s="38"/>
      <c r="AT4464" s="38"/>
      <c r="AU4464" s="38"/>
      <c r="AV4464" s="38"/>
      <c r="AW4464" s="38"/>
      <c r="AX4464" s="38"/>
      <c r="AY4464" s="38"/>
      <c r="AZ4464" s="38"/>
      <c r="BA4464" s="38"/>
      <c r="BB4464" s="38"/>
      <c r="BC4464" s="38"/>
      <c r="BD4464" s="38"/>
      <c r="BE4464" s="38"/>
      <c r="BF4464" s="38"/>
      <c r="BG4464" s="38"/>
      <c r="BH4464" s="38"/>
      <c r="BI4464" s="38"/>
      <c r="BJ4464" s="38"/>
      <c r="BK4464" s="38"/>
      <c r="BL4464" s="38"/>
      <c r="BM4464" s="38"/>
      <c r="BN4464" s="38"/>
      <c r="BO4464" s="38"/>
      <c r="BP4464" s="38"/>
      <c r="BQ4464" s="38"/>
    </row>
    <row r="4465">
      <c r="A4465" s="16"/>
      <c r="B4465" s="145"/>
      <c r="C4465" s="146"/>
      <c r="D4465" s="146"/>
      <c r="E4465" s="16"/>
      <c r="F4465" s="91"/>
      <c r="G4465" s="16"/>
      <c r="H4465" s="320" t="str">
        <f t="shared" si="424"/>
        <v/>
      </c>
      <c r="I4465" s="16"/>
      <c r="J4465" s="16"/>
      <c r="K4465" s="16"/>
      <c r="L4465" s="16"/>
      <c r="M4465" s="15"/>
      <c r="N4465" s="15"/>
      <c r="O4465" s="16"/>
      <c r="P4465" s="16"/>
      <c r="Q4465" s="16"/>
      <c r="R4465" s="16"/>
      <c r="S4465" s="37" t="str">
        <f>IFERROR(__xludf.DUMMYFUNCTION("if(not(iserror(index(split(C4465, "" ""),2))), index(split(C4465, "" ""),1),"""")"),"")</f>
        <v/>
      </c>
      <c r="T4465" s="315" t="str">
        <f>IFERROR(__xludf.DUMMYFUNCTION("if(S4465="""",C4465,if(not(iserror(index(split(C4465, "" ""),3))), index(split(C4465, "" ""),3),index(split(C4465, "" ""),2)))"),"")</f>
        <v/>
      </c>
      <c r="U4465" s="38" t="b">
        <f t="shared" si="423"/>
        <v>0</v>
      </c>
      <c r="V4465" s="38"/>
      <c r="W4465" s="40"/>
      <c r="X4465" s="40"/>
      <c r="Y4465" s="40"/>
      <c r="Z4465" s="38"/>
      <c r="AA4465" s="38"/>
      <c r="AB4465" s="38"/>
      <c r="AC4465" s="38"/>
      <c r="AD4465" s="38"/>
      <c r="AE4465" s="38"/>
      <c r="AF4465" s="38"/>
      <c r="AG4465" s="38"/>
      <c r="AH4465" s="38"/>
      <c r="AI4465" s="38"/>
      <c r="AJ4465" s="38"/>
      <c r="AK4465" s="38"/>
      <c r="AL4465" s="38"/>
      <c r="AM4465" s="38"/>
      <c r="AN4465" s="38"/>
      <c r="AO4465" s="38"/>
      <c r="AP4465" s="38"/>
      <c r="AQ4465" s="38"/>
      <c r="AR4465" s="38"/>
      <c r="AS4465" s="38"/>
      <c r="AT4465" s="38"/>
      <c r="AU4465" s="38"/>
      <c r="AV4465" s="38"/>
      <c r="AW4465" s="38"/>
      <c r="AX4465" s="38"/>
      <c r="AY4465" s="38"/>
      <c r="AZ4465" s="38"/>
      <c r="BA4465" s="38"/>
      <c r="BB4465" s="38"/>
      <c r="BC4465" s="38"/>
      <c r="BD4465" s="38"/>
      <c r="BE4465" s="38"/>
      <c r="BF4465" s="38"/>
      <c r="BG4465" s="38"/>
      <c r="BH4465" s="38"/>
      <c r="BI4465" s="38"/>
      <c r="BJ4465" s="38"/>
      <c r="BK4465" s="38"/>
      <c r="BL4465" s="38"/>
      <c r="BM4465" s="38"/>
      <c r="BN4465" s="38"/>
      <c r="BO4465" s="38"/>
      <c r="BP4465" s="38"/>
      <c r="BQ4465" s="38"/>
    </row>
    <row r="4466">
      <c r="A4466" s="16"/>
      <c r="B4466" s="145"/>
      <c r="C4466" s="146"/>
      <c r="D4466" s="146"/>
      <c r="E4466" s="16"/>
      <c r="F4466" s="91"/>
      <c r="G4466" s="16"/>
      <c r="H4466" s="320" t="str">
        <f t="shared" si="424"/>
        <v/>
      </c>
      <c r="I4466" s="16"/>
      <c r="J4466" s="16"/>
      <c r="K4466" s="16"/>
      <c r="L4466" s="16"/>
      <c r="M4466" s="15"/>
      <c r="N4466" s="15"/>
      <c r="O4466" s="16"/>
      <c r="P4466" s="16"/>
      <c r="Q4466" s="16"/>
      <c r="R4466" s="16"/>
      <c r="S4466" s="37" t="str">
        <f>IFERROR(__xludf.DUMMYFUNCTION("if(not(iserror(index(split(C4466, "" ""),2))), index(split(C4466, "" ""),1),"""")"),"")</f>
        <v/>
      </c>
      <c r="T4466" s="315" t="str">
        <f>IFERROR(__xludf.DUMMYFUNCTION("if(S4466="""",C4466,if(not(iserror(index(split(C4466, "" ""),3))), index(split(C4466, "" ""),3),index(split(C4466, "" ""),2)))"),"")</f>
        <v/>
      </c>
      <c r="U4466" s="38" t="b">
        <f t="shared" si="423"/>
        <v>0</v>
      </c>
      <c r="V4466" s="38"/>
      <c r="W4466" s="40"/>
      <c r="X4466" s="40"/>
      <c r="Y4466" s="40"/>
      <c r="Z4466" s="38"/>
      <c r="AA4466" s="38"/>
      <c r="AB4466" s="38"/>
      <c r="AC4466" s="38"/>
      <c r="AD4466" s="38"/>
      <c r="AE4466" s="38"/>
      <c r="AF4466" s="38"/>
      <c r="AG4466" s="38"/>
      <c r="AH4466" s="38"/>
      <c r="AI4466" s="38"/>
      <c r="AJ4466" s="38"/>
      <c r="AK4466" s="38"/>
      <c r="AL4466" s="38"/>
      <c r="AM4466" s="38"/>
      <c r="AN4466" s="38"/>
      <c r="AO4466" s="38"/>
      <c r="AP4466" s="38"/>
      <c r="AQ4466" s="38"/>
      <c r="AR4466" s="38"/>
      <c r="AS4466" s="38"/>
      <c r="AT4466" s="38"/>
      <c r="AU4466" s="38"/>
      <c r="AV4466" s="38"/>
      <c r="AW4466" s="38"/>
      <c r="AX4466" s="38"/>
      <c r="AY4466" s="38"/>
      <c r="AZ4466" s="38"/>
      <c r="BA4466" s="38"/>
      <c r="BB4466" s="38"/>
      <c r="BC4466" s="38"/>
      <c r="BD4466" s="38"/>
      <c r="BE4466" s="38"/>
      <c r="BF4466" s="38"/>
      <c r="BG4466" s="38"/>
      <c r="BH4466" s="38"/>
      <c r="BI4466" s="38"/>
      <c r="BJ4466" s="38"/>
      <c r="BK4466" s="38"/>
      <c r="BL4466" s="38"/>
      <c r="BM4466" s="38"/>
      <c r="BN4466" s="38"/>
      <c r="BO4466" s="38"/>
      <c r="BP4466" s="38"/>
      <c r="BQ4466" s="38"/>
    </row>
    <row r="4467">
      <c r="A4467" s="16"/>
      <c r="B4467" s="145"/>
      <c r="C4467" s="146"/>
      <c r="D4467" s="146"/>
      <c r="E4467" s="16"/>
      <c r="F4467" s="91"/>
      <c r="G4467" s="16"/>
      <c r="H4467" s="320" t="str">
        <f t="shared" si="424"/>
        <v/>
      </c>
      <c r="I4467" s="16"/>
      <c r="J4467" s="16"/>
      <c r="K4467" s="16"/>
      <c r="L4467" s="16"/>
      <c r="M4467" s="15"/>
      <c r="N4467" s="15"/>
      <c r="O4467" s="16"/>
      <c r="P4467" s="16"/>
      <c r="Q4467" s="16"/>
      <c r="R4467" s="16"/>
      <c r="S4467" s="37" t="str">
        <f>IFERROR(__xludf.DUMMYFUNCTION("if(not(iserror(index(split(C4467, "" ""),2))), index(split(C4467, "" ""),1),"""")"),"")</f>
        <v/>
      </c>
      <c r="T4467" s="315" t="str">
        <f>IFERROR(__xludf.DUMMYFUNCTION("if(S4467="""",C4467,if(not(iserror(index(split(C4467, "" ""),3))), index(split(C4467, "" ""),3),index(split(C4467, "" ""),2)))"),"")</f>
        <v/>
      </c>
      <c r="U4467" s="38" t="b">
        <f t="shared" si="423"/>
        <v>0</v>
      </c>
      <c r="V4467" s="38"/>
      <c r="W4467" s="40"/>
      <c r="X4467" s="40"/>
      <c r="Y4467" s="40"/>
      <c r="Z4467" s="38"/>
      <c r="AA4467" s="38"/>
      <c r="AB4467" s="38"/>
      <c r="AC4467" s="38"/>
      <c r="AD4467" s="38"/>
      <c r="AE4467" s="38"/>
      <c r="AF4467" s="38"/>
      <c r="AG4467" s="38"/>
      <c r="AH4467" s="38"/>
      <c r="AI4467" s="38"/>
      <c r="AJ4467" s="38"/>
      <c r="AK4467" s="38"/>
      <c r="AL4467" s="38"/>
      <c r="AM4467" s="38"/>
      <c r="AN4467" s="38"/>
      <c r="AO4467" s="38"/>
      <c r="AP4467" s="38"/>
      <c r="AQ4467" s="38"/>
      <c r="AR4467" s="38"/>
      <c r="AS4467" s="38"/>
      <c r="AT4467" s="38"/>
      <c r="AU4467" s="38"/>
      <c r="AV4467" s="38"/>
      <c r="AW4467" s="38"/>
      <c r="AX4467" s="38"/>
      <c r="AY4467" s="38"/>
      <c r="AZ4467" s="38"/>
      <c r="BA4467" s="38"/>
      <c r="BB4467" s="38"/>
      <c r="BC4467" s="38"/>
      <c r="BD4467" s="38"/>
      <c r="BE4467" s="38"/>
      <c r="BF4467" s="38"/>
      <c r="BG4467" s="38"/>
      <c r="BH4467" s="38"/>
      <c r="BI4467" s="38"/>
      <c r="BJ4467" s="38"/>
      <c r="BK4467" s="38"/>
      <c r="BL4467" s="38"/>
      <c r="BM4467" s="38"/>
      <c r="BN4467" s="38"/>
      <c r="BO4467" s="38"/>
      <c r="BP4467" s="38"/>
      <c r="BQ4467" s="38"/>
    </row>
    <row r="4468">
      <c r="A4468" s="16"/>
      <c r="B4468" s="145"/>
      <c r="C4468" s="146"/>
      <c r="D4468" s="146"/>
      <c r="E4468" s="16"/>
      <c r="F4468" s="91"/>
      <c r="G4468" s="16"/>
      <c r="H4468" s="320" t="str">
        <f t="shared" si="424"/>
        <v/>
      </c>
      <c r="I4468" s="16"/>
      <c r="J4468" s="16"/>
      <c r="K4468" s="16"/>
      <c r="L4468" s="16"/>
      <c r="M4468" s="15"/>
      <c r="N4468" s="15"/>
      <c r="O4468" s="16"/>
      <c r="P4468" s="16"/>
      <c r="Q4468" s="16"/>
      <c r="R4468" s="16"/>
      <c r="S4468" s="37" t="str">
        <f>IFERROR(__xludf.DUMMYFUNCTION("if(not(iserror(index(split(C4468, "" ""),2))), index(split(C4468, "" ""),1),"""")"),"")</f>
        <v/>
      </c>
      <c r="T4468" s="315" t="str">
        <f>IFERROR(__xludf.DUMMYFUNCTION("if(S4468="""",C4468,if(not(iserror(index(split(C4468, "" ""),3))), index(split(C4468, "" ""),3),index(split(C4468, "" ""),2)))"),"")</f>
        <v/>
      </c>
      <c r="U4468" s="38" t="b">
        <f t="shared" si="423"/>
        <v>0</v>
      </c>
      <c r="V4468" s="38"/>
      <c r="W4468" s="40"/>
      <c r="X4468" s="40"/>
      <c r="Y4468" s="40"/>
      <c r="Z4468" s="38"/>
      <c r="AA4468" s="38"/>
      <c r="AB4468" s="38"/>
      <c r="AC4468" s="38"/>
      <c r="AD4468" s="38"/>
      <c r="AE4468" s="38"/>
      <c r="AF4468" s="38"/>
      <c r="AG4468" s="38"/>
      <c r="AH4468" s="38"/>
      <c r="AI4468" s="38"/>
      <c r="AJ4468" s="38"/>
      <c r="AK4468" s="38"/>
      <c r="AL4468" s="38"/>
      <c r="AM4468" s="38"/>
      <c r="AN4468" s="38"/>
      <c r="AO4468" s="38"/>
      <c r="AP4468" s="38"/>
      <c r="AQ4468" s="38"/>
      <c r="AR4468" s="38"/>
      <c r="AS4468" s="38"/>
      <c r="AT4468" s="38"/>
      <c r="AU4468" s="38"/>
      <c r="AV4468" s="38"/>
      <c r="AW4468" s="38"/>
      <c r="AX4468" s="38"/>
      <c r="AY4468" s="38"/>
      <c r="AZ4468" s="38"/>
      <c r="BA4468" s="38"/>
      <c r="BB4468" s="38"/>
      <c r="BC4468" s="38"/>
      <c r="BD4468" s="38"/>
      <c r="BE4468" s="38"/>
      <c r="BF4468" s="38"/>
      <c r="BG4468" s="38"/>
      <c r="BH4468" s="38"/>
      <c r="BI4468" s="38"/>
      <c r="BJ4468" s="38"/>
      <c r="BK4468" s="38"/>
      <c r="BL4468" s="38"/>
      <c r="BM4468" s="38"/>
      <c r="BN4468" s="38"/>
      <c r="BO4468" s="38"/>
      <c r="BP4468" s="38"/>
      <c r="BQ4468" s="38"/>
    </row>
    <row r="4469">
      <c r="A4469" s="16"/>
      <c r="B4469" s="145"/>
      <c r="C4469" s="146"/>
      <c r="D4469" s="146"/>
      <c r="E4469" s="16"/>
      <c r="F4469" s="91"/>
      <c r="G4469" s="16"/>
      <c r="H4469" s="320" t="str">
        <f t="shared" si="424"/>
        <v/>
      </c>
      <c r="I4469" s="16"/>
      <c r="J4469" s="16"/>
      <c r="K4469" s="16"/>
      <c r="L4469" s="16"/>
      <c r="M4469" s="15"/>
      <c r="N4469" s="15"/>
      <c r="O4469" s="16"/>
      <c r="P4469" s="16"/>
      <c r="Q4469" s="16"/>
      <c r="R4469" s="16"/>
      <c r="S4469" s="37" t="str">
        <f>IFERROR(__xludf.DUMMYFUNCTION("if(not(iserror(index(split(C4469, "" ""),2))), index(split(C4469, "" ""),1),"""")"),"")</f>
        <v/>
      </c>
      <c r="T4469" s="315" t="str">
        <f>IFERROR(__xludf.DUMMYFUNCTION("if(S4469="""",C4469,if(not(iserror(index(split(C4469, "" ""),3))), index(split(C4469, "" ""),3),index(split(C4469, "" ""),2)))"),"")</f>
        <v/>
      </c>
      <c r="U4469" s="38" t="b">
        <f t="shared" si="423"/>
        <v>0</v>
      </c>
      <c r="V4469" s="38"/>
      <c r="W4469" s="40"/>
      <c r="X4469" s="40"/>
      <c r="Y4469" s="40"/>
      <c r="Z4469" s="38"/>
      <c r="AA4469" s="38"/>
      <c r="AB4469" s="38"/>
      <c r="AC4469" s="38"/>
      <c r="AD4469" s="38"/>
      <c r="AE4469" s="38"/>
      <c r="AF4469" s="38"/>
      <c r="AG4469" s="38"/>
      <c r="AH4469" s="38"/>
      <c r="AI4469" s="38"/>
      <c r="AJ4469" s="38"/>
      <c r="AK4469" s="38"/>
      <c r="AL4469" s="38"/>
      <c r="AM4469" s="38"/>
      <c r="AN4469" s="38"/>
      <c r="AO4469" s="38"/>
      <c r="AP4469" s="38"/>
      <c r="AQ4469" s="38"/>
      <c r="AR4469" s="38"/>
      <c r="AS4469" s="38"/>
      <c r="AT4469" s="38"/>
      <c r="AU4469" s="38"/>
      <c r="AV4469" s="38"/>
      <c r="AW4469" s="38"/>
      <c r="AX4469" s="38"/>
      <c r="AY4469" s="38"/>
      <c r="AZ4469" s="38"/>
      <c r="BA4469" s="38"/>
      <c r="BB4469" s="38"/>
      <c r="BC4469" s="38"/>
      <c r="BD4469" s="38"/>
      <c r="BE4469" s="38"/>
      <c r="BF4469" s="38"/>
      <c r="BG4469" s="38"/>
      <c r="BH4469" s="38"/>
      <c r="BI4469" s="38"/>
      <c r="BJ4469" s="38"/>
      <c r="BK4469" s="38"/>
      <c r="BL4469" s="38"/>
      <c r="BM4469" s="38"/>
      <c r="BN4469" s="38"/>
      <c r="BO4469" s="38"/>
      <c r="BP4469" s="38"/>
      <c r="BQ4469" s="38"/>
    </row>
    <row r="4470">
      <c r="A4470" s="16"/>
      <c r="B4470" s="145"/>
      <c r="C4470" s="146"/>
      <c r="D4470" s="146"/>
      <c r="E4470" s="16"/>
      <c r="F4470" s="91"/>
      <c r="G4470" s="16"/>
      <c r="H4470" s="320" t="str">
        <f t="shared" si="424"/>
        <v/>
      </c>
      <c r="I4470" s="16"/>
      <c r="J4470" s="16"/>
      <c r="K4470" s="16"/>
      <c r="L4470" s="16"/>
      <c r="M4470" s="15"/>
      <c r="N4470" s="15"/>
      <c r="O4470" s="16"/>
      <c r="P4470" s="16"/>
      <c r="Q4470" s="16"/>
      <c r="R4470" s="16"/>
      <c r="S4470" s="37" t="str">
        <f>IFERROR(__xludf.DUMMYFUNCTION("if(not(iserror(index(split(C4470, "" ""),2))), index(split(C4470, "" ""),1),"""")"),"")</f>
        <v/>
      </c>
      <c r="T4470" s="315" t="str">
        <f>IFERROR(__xludf.DUMMYFUNCTION("if(S4470="""",C4470,if(not(iserror(index(split(C4470, "" ""),3))), index(split(C4470, "" ""),3),index(split(C4470, "" ""),2)))"),"")</f>
        <v/>
      </c>
      <c r="U4470" s="38" t="b">
        <f t="shared" si="423"/>
        <v>0</v>
      </c>
      <c r="V4470" s="38"/>
      <c r="W4470" s="40"/>
      <c r="X4470" s="40"/>
      <c r="Y4470" s="40"/>
      <c r="Z4470" s="38"/>
      <c r="AA4470" s="38"/>
      <c r="AB4470" s="38"/>
      <c r="AC4470" s="38"/>
      <c r="AD4470" s="38"/>
      <c r="AE4470" s="38"/>
      <c r="AF4470" s="38"/>
      <c r="AG4470" s="38"/>
      <c r="AH4470" s="38"/>
      <c r="AI4470" s="38"/>
      <c r="AJ4470" s="38"/>
      <c r="AK4470" s="38"/>
      <c r="AL4470" s="38"/>
      <c r="AM4470" s="38"/>
      <c r="AN4470" s="38"/>
      <c r="AO4470" s="38"/>
      <c r="AP4470" s="38"/>
      <c r="AQ4470" s="38"/>
      <c r="AR4470" s="38"/>
      <c r="AS4470" s="38"/>
      <c r="AT4470" s="38"/>
      <c r="AU4470" s="38"/>
      <c r="AV4470" s="38"/>
      <c r="AW4470" s="38"/>
      <c r="AX4470" s="38"/>
      <c r="AY4470" s="38"/>
      <c r="AZ4470" s="38"/>
      <c r="BA4470" s="38"/>
      <c r="BB4470" s="38"/>
      <c r="BC4470" s="38"/>
      <c r="BD4470" s="38"/>
      <c r="BE4470" s="38"/>
      <c r="BF4470" s="38"/>
      <c r="BG4470" s="38"/>
      <c r="BH4470" s="38"/>
      <c r="BI4470" s="38"/>
      <c r="BJ4470" s="38"/>
      <c r="BK4470" s="38"/>
      <c r="BL4470" s="38"/>
      <c r="BM4470" s="38"/>
      <c r="BN4470" s="38"/>
      <c r="BO4470" s="38"/>
      <c r="BP4470" s="38"/>
      <c r="BQ4470" s="38"/>
    </row>
    <row r="4471">
      <c r="A4471" s="16"/>
      <c r="B4471" s="145"/>
      <c r="C4471" s="146"/>
      <c r="D4471" s="146"/>
      <c r="E4471" s="16"/>
      <c r="F4471" s="91"/>
      <c r="G4471" s="16"/>
      <c r="H4471" s="320" t="str">
        <f t="shared" si="424"/>
        <v/>
      </c>
      <c r="I4471" s="16"/>
      <c r="J4471" s="16"/>
      <c r="K4471" s="16"/>
      <c r="L4471" s="16"/>
      <c r="M4471" s="15"/>
      <c r="N4471" s="15"/>
      <c r="O4471" s="16"/>
      <c r="P4471" s="16"/>
      <c r="Q4471" s="16"/>
      <c r="R4471" s="16"/>
      <c r="S4471" s="37" t="str">
        <f>IFERROR(__xludf.DUMMYFUNCTION("if(not(iserror(index(split(C4471, "" ""),2))), index(split(C4471, "" ""),1),"""")"),"")</f>
        <v/>
      </c>
      <c r="T4471" s="315" t="str">
        <f>IFERROR(__xludf.DUMMYFUNCTION("if(S4471="""",C4471,if(not(iserror(index(split(C4471, "" ""),3))), index(split(C4471, "" ""),3),index(split(C4471, "" ""),2)))"),"")</f>
        <v/>
      </c>
      <c r="U4471" s="38" t="b">
        <f t="shared" si="423"/>
        <v>0</v>
      </c>
      <c r="V4471" s="38"/>
      <c r="W4471" s="40"/>
      <c r="X4471" s="40"/>
      <c r="Y4471" s="40"/>
      <c r="Z4471" s="38"/>
      <c r="AA4471" s="38"/>
      <c r="AB4471" s="38"/>
      <c r="AC4471" s="38"/>
      <c r="AD4471" s="38"/>
      <c r="AE4471" s="38"/>
      <c r="AF4471" s="38"/>
      <c r="AG4471" s="38"/>
      <c r="AH4471" s="38"/>
      <c r="AI4471" s="38"/>
      <c r="AJ4471" s="38"/>
      <c r="AK4471" s="38"/>
      <c r="AL4471" s="38"/>
      <c r="AM4471" s="38"/>
      <c r="AN4471" s="38"/>
      <c r="AO4471" s="38"/>
      <c r="AP4471" s="38"/>
      <c r="AQ4471" s="38"/>
      <c r="AR4471" s="38"/>
      <c r="AS4471" s="38"/>
      <c r="AT4471" s="38"/>
      <c r="AU4471" s="38"/>
      <c r="AV4471" s="38"/>
      <c r="AW4471" s="38"/>
      <c r="AX4471" s="38"/>
      <c r="AY4471" s="38"/>
      <c r="AZ4471" s="38"/>
      <c r="BA4471" s="38"/>
      <c r="BB4471" s="38"/>
      <c r="BC4471" s="38"/>
      <c r="BD4471" s="38"/>
      <c r="BE4471" s="38"/>
      <c r="BF4471" s="38"/>
      <c r="BG4471" s="38"/>
      <c r="BH4471" s="38"/>
      <c r="BI4471" s="38"/>
      <c r="BJ4471" s="38"/>
      <c r="BK4471" s="38"/>
      <c r="BL4471" s="38"/>
      <c r="BM4471" s="38"/>
      <c r="BN4471" s="38"/>
      <c r="BO4471" s="38"/>
      <c r="BP4471" s="38"/>
      <c r="BQ4471" s="38"/>
    </row>
    <row r="4472">
      <c r="A4472" s="16"/>
      <c r="B4472" s="145"/>
      <c r="C4472" s="146"/>
      <c r="D4472" s="146"/>
      <c r="E4472" s="16"/>
      <c r="F4472" s="91"/>
      <c r="G4472" s="16"/>
      <c r="H4472" s="320" t="str">
        <f t="shared" si="424"/>
        <v/>
      </c>
      <c r="I4472" s="16"/>
      <c r="J4472" s="16"/>
      <c r="K4472" s="16"/>
      <c r="L4472" s="16"/>
      <c r="M4472" s="15"/>
      <c r="N4472" s="15"/>
      <c r="O4472" s="16"/>
      <c r="P4472" s="16"/>
      <c r="Q4472" s="16"/>
      <c r="R4472" s="16"/>
      <c r="S4472" s="37" t="str">
        <f>IFERROR(__xludf.DUMMYFUNCTION("if(not(iserror(index(split(C4472, "" ""),2))), index(split(C4472, "" ""),1),"""")"),"")</f>
        <v/>
      </c>
      <c r="T4472" s="315" t="str">
        <f>IFERROR(__xludf.DUMMYFUNCTION("if(S4472="""",C4472,if(not(iserror(index(split(C4472, "" ""),3))), index(split(C4472, "" ""),3),index(split(C4472, "" ""),2)))"),"")</f>
        <v/>
      </c>
      <c r="U4472" s="38" t="b">
        <f t="shared" si="423"/>
        <v>0</v>
      </c>
      <c r="V4472" s="38"/>
      <c r="W4472" s="40"/>
      <c r="X4472" s="40"/>
      <c r="Y4472" s="40"/>
      <c r="Z4472" s="38"/>
      <c r="AA4472" s="38"/>
      <c r="AB4472" s="38"/>
      <c r="AC4472" s="38"/>
      <c r="AD4472" s="38"/>
      <c r="AE4472" s="38"/>
      <c r="AF4472" s="38"/>
      <c r="AG4472" s="38"/>
      <c r="AH4472" s="38"/>
      <c r="AI4472" s="38"/>
      <c r="AJ4472" s="38"/>
      <c r="AK4472" s="38"/>
      <c r="AL4472" s="38"/>
      <c r="AM4472" s="38"/>
      <c r="AN4472" s="38"/>
      <c r="AO4472" s="38"/>
      <c r="AP4472" s="38"/>
      <c r="AQ4472" s="38"/>
      <c r="AR4472" s="38"/>
      <c r="AS4472" s="38"/>
      <c r="AT4472" s="38"/>
      <c r="AU4472" s="38"/>
      <c r="AV4472" s="38"/>
      <c r="AW4472" s="38"/>
      <c r="AX4472" s="38"/>
      <c r="AY4472" s="38"/>
      <c r="AZ4472" s="38"/>
      <c r="BA4472" s="38"/>
      <c r="BB4472" s="38"/>
      <c r="BC4472" s="38"/>
      <c r="BD4472" s="38"/>
      <c r="BE4472" s="38"/>
      <c r="BF4472" s="38"/>
      <c r="BG4472" s="38"/>
      <c r="BH4472" s="38"/>
      <c r="BI4472" s="38"/>
      <c r="BJ4472" s="38"/>
      <c r="BK4472" s="38"/>
      <c r="BL4472" s="38"/>
      <c r="BM4472" s="38"/>
      <c r="BN4472" s="38"/>
      <c r="BO4472" s="38"/>
      <c r="BP4472" s="38"/>
      <c r="BQ4472" s="38"/>
    </row>
    <row r="4473">
      <c r="A4473" s="16"/>
      <c r="B4473" s="145"/>
      <c r="C4473" s="146"/>
      <c r="D4473" s="146"/>
      <c r="E4473" s="16"/>
      <c r="F4473" s="91"/>
      <c r="G4473" s="16"/>
      <c r="H4473" s="320" t="str">
        <f t="shared" si="424"/>
        <v/>
      </c>
      <c r="I4473" s="16"/>
      <c r="J4473" s="16"/>
      <c r="K4473" s="16"/>
      <c r="L4473" s="16"/>
      <c r="M4473" s="15"/>
      <c r="N4473" s="15"/>
      <c r="O4473" s="16"/>
      <c r="P4473" s="16"/>
      <c r="Q4473" s="16"/>
      <c r="R4473" s="16"/>
      <c r="S4473" s="37" t="str">
        <f>IFERROR(__xludf.DUMMYFUNCTION("if(not(iserror(index(split(C4473, "" ""),2))), index(split(C4473, "" ""),1),"""")"),"")</f>
        <v/>
      </c>
      <c r="T4473" s="315" t="str">
        <f>IFERROR(__xludf.DUMMYFUNCTION("if(S4473="""",C4473,if(not(iserror(index(split(C4473, "" ""),3))), index(split(C4473, "" ""),3),index(split(C4473, "" ""),2)))"),"")</f>
        <v/>
      </c>
      <c r="U4473" s="38" t="b">
        <f t="shared" si="423"/>
        <v>0</v>
      </c>
      <c r="V4473" s="38"/>
      <c r="W4473" s="40"/>
      <c r="X4473" s="40"/>
      <c r="Y4473" s="40"/>
      <c r="Z4473" s="38"/>
      <c r="AA4473" s="38"/>
      <c r="AB4473" s="38"/>
      <c r="AC4473" s="38"/>
      <c r="AD4473" s="38"/>
      <c r="AE4473" s="38"/>
      <c r="AF4473" s="38"/>
      <c r="AG4473" s="38"/>
      <c r="AH4473" s="38"/>
      <c r="AI4473" s="38"/>
      <c r="AJ4473" s="38"/>
      <c r="AK4473" s="38"/>
      <c r="AL4473" s="38"/>
      <c r="AM4473" s="38"/>
      <c r="AN4473" s="38"/>
      <c r="AO4473" s="38"/>
      <c r="AP4473" s="38"/>
      <c r="AQ4473" s="38"/>
      <c r="AR4473" s="38"/>
      <c r="AS4473" s="38"/>
      <c r="AT4473" s="38"/>
      <c r="AU4473" s="38"/>
      <c r="AV4473" s="38"/>
      <c r="AW4473" s="38"/>
      <c r="AX4473" s="38"/>
      <c r="AY4473" s="38"/>
      <c r="AZ4473" s="38"/>
      <c r="BA4473" s="38"/>
      <c r="BB4473" s="38"/>
      <c r="BC4473" s="38"/>
      <c r="BD4473" s="38"/>
      <c r="BE4473" s="38"/>
      <c r="BF4473" s="38"/>
      <c r="BG4473" s="38"/>
      <c r="BH4473" s="38"/>
      <c r="BI4473" s="38"/>
      <c r="BJ4473" s="38"/>
      <c r="BK4473" s="38"/>
      <c r="BL4473" s="38"/>
      <c r="BM4473" s="38"/>
      <c r="BN4473" s="38"/>
      <c r="BO4473" s="38"/>
      <c r="BP4473" s="38"/>
      <c r="BQ4473" s="38"/>
    </row>
    <row r="4474">
      <c r="A4474" s="16"/>
      <c r="B4474" s="145"/>
      <c r="C4474" s="146"/>
      <c r="D4474" s="146"/>
      <c r="E4474" s="16"/>
      <c r="F4474" s="91"/>
      <c r="G4474" s="16"/>
      <c r="H4474" s="320" t="str">
        <f t="shared" si="424"/>
        <v/>
      </c>
      <c r="I4474" s="16"/>
      <c r="J4474" s="16"/>
      <c r="K4474" s="16"/>
      <c r="L4474" s="16"/>
      <c r="M4474" s="15"/>
      <c r="N4474" s="15"/>
      <c r="O4474" s="16"/>
      <c r="P4474" s="16"/>
      <c r="Q4474" s="16"/>
      <c r="R4474" s="16"/>
      <c r="S4474" s="37" t="str">
        <f>IFERROR(__xludf.DUMMYFUNCTION("if(not(iserror(index(split(C4474, "" ""),2))), index(split(C4474, "" ""),1),"""")"),"")</f>
        <v/>
      </c>
      <c r="T4474" s="315" t="str">
        <f>IFERROR(__xludf.DUMMYFUNCTION("if(S4474="""",C4474,if(not(iserror(index(split(C4474, "" ""),3))), index(split(C4474, "" ""),3),index(split(C4474, "" ""),2)))"),"")</f>
        <v/>
      </c>
      <c r="U4474" s="38" t="b">
        <f t="shared" si="423"/>
        <v>0</v>
      </c>
      <c r="V4474" s="38"/>
      <c r="W4474" s="40"/>
      <c r="X4474" s="40"/>
      <c r="Y4474" s="40"/>
      <c r="Z4474" s="38"/>
      <c r="AA4474" s="38"/>
      <c r="AB4474" s="38"/>
      <c r="AC4474" s="38"/>
      <c r="AD4474" s="38"/>
      <c r="AE4474" s="38"/>
      <c r="AF4474" s="38"/>
      <c r="AG4474" s="38"/>
      <c r="AH4474" s="38"/>
      <c r="AI4474" s="38"/>
      <c r="AJ4474" s="38"/>
      <c r="AK4474" s="38"/>
      <c r="AL4474" s="38"/>
      <c r="AM4474" s="38"/>
      <c r="AN4474" s="38"/>
      <c r="AO4474" s="38"/>
      <c r="AP4474" s="38"/>
      <c r="AQ4474" s="38"/>
      <c r="AR4474" s="38"/>
      <c r="AS4474" s="38"/>
      <c r="AT4474" s="38"/>
      <c r="AU4474" s="38"/>
      <c r="AV4474" s="38"/>
      <c r="AW4474" s="38"/>
      <c r="AX4474" s="38"/>
      <c r="AY4474" s="38"/>
      <c r="AZ4474" s="38"/>
      <c r="BA4474" s="38"/>
      <c r="BB4474" s="38"/>
      <c r="BC4474" s="38"/>
      <c r="BD4474" s="38"/>
      <c r="BE4474" s="38"/>
      <c r="BF4474" s="38"/>
      <c r="BG4474" s="38"/>
      <c r="BH4474" s="38"/>
      <c r="BI4474" s="38"/>
      <c r="BJ4474" s="38"/>
      <c r="BK4474" s="38"/>
      <c r="BL4474" s="38"/>
      <c r="BM4474" s="38"/>
      <c r="BN4474" s="38"/>
      <c r="BO4474" s="38"/>
      <c r="BP4474" s="38"/>
      <c r="BQ4474" s="38"/>
    </row>
    <row r="4475">
      <c r="A4475" s="16"/>
      <c r="B4475" s="145"/>
      <c r="C4475" s="146"/>
      <c r="D4475" s="146"/>
      <c r="E4475" s="16"/>
      <c r="F4475" s="91"/>
      <c r="G4475" s="16"/>
      <c r="H4475" s="320" t="str">
        <f t="shared" si="424"/>
        <v/>
      </c>
      <c r="I4475" s="16"/>
      <c r="J4475" s="16"/>
      <c r="K4475" s="16"/>
      <c r="L4475" s="16"/>
      <c r="M4475" s="15"/>
      <c r="N4475" s="15"/>
      <c r="O4475" s="16"/>
      <c r="P4475" s="16"/>
      <c r="Q4475" s="16"/>
      <c r="R4475" s="16"/>
      <c r="S4475" s="37" t="str">
        <f>IFERROR(__xludf.DUMMYFUNCTION("if(not(iserror(index(split(C4475, "" ""),2))), index(split(C4475, "" ""),1),"""")"),"")</f>
        <v/>
      </c>
      <c r="T4475" s="315" t="str">
        <f>IFERROR(__xludf.DUMMYFUNCTION("if(S4475="""",C4475,if(not(iserror(index(split(C4475, "" ""),3))), index(split(C4475, "" ""),3),index(split(C4475, "" ""),2)))"),"")</f>
        <v/>
      </c>
      <c r="U4475" s="38" t="b">
        <f t="shared" si="423"/>
        <v>0</v>
      </c>
      <c r="V4475" s="38"/>
      <c r="W4475" s="40"/>
      <c r="X4475" s="40"/>
      <c r="Y4475" s="40"/>
      <c r="Z4475" s="38"/>
      <c r="AA4475" s="38"/>
      <c r="AB4475" s="38"/>
      <c r="AC4475" s="38"/>
      <c r="AD4475" s="38"/>
      <c r="AE4475" s="38"/>
      <c r="AF4475" s="38"/>
      <c r="AG4475" s="38"/>
      <c r="AH4475" s="38"/>
      <c r="AI4475" s="38"/>
      <c r="AJ4475" s="38"/>
      <c r="AK4475" s="38"/>
      <c r="AL4475" s="38"/>
      <c r="AM4475" s="38"/>
      <c r="AN4475" s="38"/>
      <c r="AO4475" s="38"/>
      <c r="AP4475" s="38"/>
      <c r="AQ4475" s="38"/>
      <c r="AR4475" s="38"/>
      <c r="AS4475" s="38"/>
      <c r="AT4475" s="38"/>
      <c r="AU4475" s="38"/>
      <c r="AV4475" s="38"/>
      <c r="AW4475" s="38"/>
      <c r="AX4475" s="38"/>
      <c r="AY4475" s="38"/>
      <c r="AZ4475" s="38"/>
      <c r="BA4475" s="38"/>
      <c r="BB4475" s="38"/>
      <c r="BC4475" s="38"/>
      <c r="BD4475" s="38"/>
      <c r="BE4475" s="38"/>
      <c r="BF4475" s="38"/>
      <c r="BG4475" s="38"/>
      <c r="BH4475" s="38"/>
      <c r="BI4475" s="38"/>
      <c r="BJ4475" s="38"/>
      <c r="BK4475" s="38"/>
      <c r="BL4475" s="38"/>
      <c r="BM4475" s="38"/>
      <c r="BN4475" s="38"/>
      <c r="BO4475" s="38"/>
      <c r="BP4475" s="38"/>
      <c r="BQ4475" s="38"/>
    </row>
    <row r="4476">
      <c r="A4476" s="16"/>
      <c r="B4476" s="145"/>
      <c r="C4476" s="146"/>
      <c r="D4476" s="146"/>
      <c r="E4476" s="16"/>
      <c r="F4476" s="91"/>
      <c r="G4476" s="16"/>
      <c r="H4476" s="320" t="str">
        <f t="shared" si="424"/>
        <v/>
      </c>
      <c r="I4476" s="16"/>
      <c r="J4476" s="16"/>
      <c r="K4476" s="16"/>
      <c r="L4476" s="16"/>
      <c r="M4476" s="15"/>
      <c r="N4476" s="15"/>
      <c r="O4476" s="16"/>
      <c r="P4476" s="16"/>
      <c r="Q4476" s="16"/>
      <c r="R4476" s="16"/>
      <c r="S4476" s="37" t="str">
        <f>IFERROR(__xludf.DUMMYFUNCTION("if(not(iserror(index(split(C4476, "" ""),2))), index(split(C4476, "" ""),1),"""")"),"")</f>
        <v/>
      </c>
      <c r="T4476" s="315" t="str">
        <f>IFERROR(__xludf.DUMMYFUNCTION("if(S4476="""",C4476,if(not(iserror(index(split(C4476, "" ""),3))), index(split(C4476, "" ""),3),index(split(C4476, "" ""),2)))"),"")</f>
        <v/>
      </c>
      <c r="U4476" s="38" t="b">
        <f t="shared" si="423"/>
        <v>0</v>
      </c>
      <c r="V4476" s="38"/>
      <c r="W4476" s="40"/>
      <c r="X4476" s="40"/>
      <c r="Y4476" s="40"/>
      <c r="Z4476" s="38"/>
      <c r="AA4476" s="38"/>
      <c r="AB4476" s="38"/>
      <c r="AC4476" s="38"/>
      <c r="AD4476" s="38"/>
      <c r="AE4476" s="38"/>
      <c r="AF4476" s="38"/>
      <c r="AG4476" s="38"/>
      <c r="AH4476" s="38"/>
      <c r="AI4476" s="38"/>
      <c r="AJ4476" s="38"/>
      <c r="AK4476" s="38"/>
      <c r="AL4476" s="38"/>
      <c r="AM4476" s="38"/>
      <c r="AN4476" s="38"/>
      <c r="AO4476" s="38"/>
      <c r="AP4476" s="38"/>
      <c r="AQ4476" s="38"/>
      <c r="AR4476" s="38"/>
      <c r="AS4476" s="38"/>
      <c r="AT4476" s="38"/>
      <c r="AU4476" s="38"/>
      <c r="AV4476" s="38"/>
      <c r="AW4476" s="38"/>
      <c r="AX4476" s="38"/>
      <c r="AY4476" s="38"/>
      <c r="AZ4476" s="38"/>
      <c r="BA4476" s="38"/>
      <c r="BB4476" s="38"/>
      <c r="BC4476" s="38"/>
      <c r="BD4476" s="38"/>
      <c r="BE4476" s="38"/>
      <c r="BF4476" s="38"/>
      <c r="BG4476" s="38"/>
      <c r="BH4476" s="38"/>
      <c r="BI4476" s="38"/>
      <c r="BJ4476" s="38"/>
      <c r="BK4476" s="38"/>
      <c r="BL4476" s="38"/>
      <c r="BM4476" s="38"/>
      <c r="BN4476" s="38"/>
      <c r="BO4476" s="38"/>
      <c r="BP4476" s="38"/>
      <c r="BQ4476" s="38"/>
    </row>
    <row r="4477">
      <c r="A4477" s="16"/>
      <c r="B4477" s="145"/>
      <c r="C4477" s="146"/>
      <c r="D4477" s="146"/>
      <c r="E4477" s="16"/>
      <c r="F4477" s="91"/>
      <c r="G4477" s="16"/>
      <c r="H4477" s="320" t="str">
        <f t="shared" si="424"/>
        <v/>
      </c>
      <c r="I4477" s="16"/>
      <c r="J4477" s="16"/>
      <c r="K4477" s="16"/>
      <c r="L4477" s="16"/>
      <c r="M4477" s="15"/>
      <c r="N4477" s="15"/>
      <c r="O4477" s="16"/>
      <c r="P4477" s="16"/>
      <c r="Q4477" s="16"/>
      <c r="R4477" s="16"/>
      <c r="S4477" s="37" t="str">
        <f>IFERROR(__xludf.DUMMYFUNCTION("if(not(iserror(index(split(C4477, "" ""),2))), index(split(C4477, "" ""),1),"""")"),"")</f>
        <v/>
      </c>
      <c r="T4477" s="315" t="str">
        <f>IFERROR(__xludf.DUMMYFUNCTION("if(S4477="""",C4477,if(not(iserror(index(split(C4477, "" ""),3))), index(split(C4477, "" ""),3),index(split(C4477, "" ""),2)))"),"")</f>
        <v/>
      </c>
      <c r="U4477" s="38" t="b">
        <f t="shared" si="423"/>
        <v>0</v>
      </c>
      <c r="V4477" s="38"/>
      <c r="W4477" s="40"/>
      <c r="X4477" s="40"/>
      <c r="Y4477" s="40"/>
      <c r="Z4477" s="38"/>
      <c r="AA4477" s="38"/>
      <c r="AB4477" s="38"/>
      <c r="AC4477" s="38"/>
      <c r="AD4477" s="38"/>
      <c r="AE4477" s="38"/>
      <c r="AF4477" s="38"/>
      <c r="AG4477" s="38"/>
      <c r="AH4477" s="38"/>
      <c r="AI4477" s="38"/>
      <c r="AJ4477" s="38"/>
      <c r="AK4477" s="38"/>
      <c r="AL4477" s="38"/>
      <c r="AM4477" s="38"/>
      <c r="AN4477" s="38"/>
      <c r="AO4477" s="38"/>
      <c r="AP4477" s="38"/>
      <c r="AQ4477" s="38"/>
      <c r="AR4477" s="38"/>
      <c r="AS4477" s="38"/>
      <c r="AT4477" s="38"/>
      <c r="AU4477" s="38"/>
      <c r="AV4477" s="38"/>
      <c r="AW4477" s="38"/>
      <c r="AX4477" s="38"/>
      <c r="AY4477" s="38"/>
      <c r="AZ4477" s="38"/>
      <c r="BA4477" s="38"/>
      <c r="BB4477" s="38"/>
      <c r="BC4477" s="38"/>
      <c r="BD4477" s="38"/>
      <c r="BE4477" s="38"/>
      <c r="BF4477" s="38"/>
      <c r="BG4477" s="38"/>
      <c r="BH4477" s="38"/>
      <c r="BI4477" s="38"/>
      <c r="BJ4477" s="38"/>
      <c r="BK4477" s="38"/>
      <c r="BL4477" s="38"/>
      <c r="BM4477" s="38"/>
      <c r="BN4477" s="38"/>
      <c r="BO4477" s="38"/>
      <c r="BP4477" s="38"/>
      <c r="BQ4477" s="38"/>
    </row>
    <row r="4478">
      <c r="A4478" s="16"/>
      <c r="B4478" s="145"/>
      <c r="C4478" s="146"/>
      <c r="D4478" s="146"/>
      <c r="E4478" s="16"/>
      <c r="F4478" s="91"/>
      <c r="G4478" s="16"/>
      <c r="H4478" s="320" t="str">
        <f t="shared" si="424"/>
        <v/>
      </c>
      <c r="I4478" s="16"/>
      <c r="J4478" s="16"/>
      <c r="K4478" s="16"/>
      <c r="L4478" s="16"/>
      <c r="M4478" s="15"/>
      <c r="N4478" s="15"/>
      <c r="O4478" s="16"/>
      <c r="P4478" s="16"/>
      <c r="Q4478" s="16"/>
      <c r="R4478" s="16"/>
      <c r="S4478" s="37" t="str">
        <f>IFERROR(__xludf.DUMMYFUNCTION("if(not(iserror(index(split(C4478, "" ""),2))), index(split(C4478, "" ""),1),"""")"),"")</f>
        <v/>
      </c>
      <c r="T4478" s="315" t="str">
        <f>IFERROR(__xludf.DUMMYFUNCTION("if(S4478="""",C4478,if(not(iserror(index(split(C4478, "" ""),3))), index(split(C4478, "" ""),3),index(split(C4478, "" ""),2)))"),"")</f>
        <v/>
      </c>
      <c r="U4478" s="38" t="b">
        <f t="shared" si="423"/>
        <v>0</v>
      </c>
      <c r="V4478" s="38"/>
      <c r="W4478" s="40"/>
      <c r="X4478" s="40"/>
      <c r="Y4478" s="40"/>
      <c r="Z4478" s="38"/>
      <c r="AA4478" s="38"/>
      <c r="AB4478" s="38"/>
      <c r="AC4478" s="38"/>
      <c r="AD4478" s="38"/>
      <c r="AE4478" s="38"/>
      <c r="AF4478" s="38"/>
      <c r="AG4478" s="38"/>
      <c r="AH4478" s="38"/>
      <c r="AI4478" s="38"/>
      <c r="AJ4478" s="38"/>
      <c r="AK4478" s="38"/>
      <c r="AL4478" s="38"/>
      <c r="AM4478" s="38"/>
      <c r="AN4478" s="38"/>
      <c r="AO4478" s="38"/>
      <c r="AP4478" s="38"/>
      <c r="AQ4478" s="38"/>
      <c r="AR4478" s="38"/>
      <c r="AS4478" s="38"/>
      <c r="AT4478" s="38"/>
      <c r="AU4478" s="38"/>
      <c r="AV4478" s="38"/>
      <c r="AW4478" s="38"/>
      <c r="AX4478" s="38"/>
      <c r="AY4478" s="38"/>
      <c r="AZ4478" s="38"/>
      <c r="BA4478" s="38"/>
      <c r="BB4478" s="38"/>
      <c r="BC4478" s="38"/>
      <c r="BD4478" s="38"/>
      <c r="BE4478" s="38"/>
      <c r="BF4478" s="38"/>
      <c r="BG4478" s="38"/>
      <c r="BH4478" s="38"/>
      <c r="BI4478" s="38"/>
      <c r="BJ4478" s="38"/>
      <c r="BK4478" s="38"/>
      <c r="BL4478" s="38"/>
      <c r="BM4478" s="38"/>
      <c r="BN4478" s="38"/>
      <c r="BO4478" s="38"/>
      <c r="BP4478" s="38"/>
      <c r="BQ4478" s="38"/>
    </row>
    <row r="4479">
      <c r="A4479" s="16"/>
      <c r="B4479" s="145"/>
      <c r="C4479" s="146"/>
      <c r="D4479" s="146"/>
      <c r="E4479" s="16"/>
      <c r="F4479" s="91"/>
      <c r="G4479" s="16"/>
      <c r="H4479" s="320" t="str">
        <f t="shared" si="424"/>
        <v/>
      </c>
      <c r="I4479" s="16"/>
      <c r="J4479" s="16"/>
      <c r="K4479" s="16"/>
      <c r="L4479" s="16"/>
      <c r="M4479" s="15"/>
      <c r="N4479" s="15"/>
      <c r="O4479" s="16"/>
      <c r="P4479" s="16"/>
      <c r="Q4479" s="16"/>
      <c r="R4479" s="16"/>
      <c r="S4479" s="37" t="str">
        <f>IFERROR(__xludf.DUMMYFUNCTION("if(not(iserror(index(split(C4479, "" ""),2))), index(split(C4479, "" ""),1),"""")"),"")</f>
        <v/>
      </c>
      <c r="T4479" s="315" t="str">
        <f>IFERROR(__xludf.DUMMYFUNCTION("if(S4479="""",C4479,if(not(iserror(index(split(C4479, "" ""),3))), index(split(C4479, "" ""),3),index(split(C4479, "" ""),2)))"),"")</f>
        <v/>
      </c>
      <c r="U4479" s="38" t="b">
        <f t="shared" si="423"/>
        <v>0</v>
      </c>
      <c r="V4479" s="38"/>
      <c r="W4479" s="40"/>
      <c r="X4479" s="40"/>
      <c r="Y4479" s="40"/>
      <c r="Z4479" s="38"/>
      <c r="AA4479" s="38"/>
      <c r="AB4479" s="38"/>
      <c r="AC4479" s="38"/>
      <c r="AD4479" s="38"/>
      <c r="AE4479" s="38"/>
      <c r="AF4479" s="38"/>
      <c r="AG4479" s="38"/>
      <c r="AH4479" s="38"/>
      <c r="AI4479" s="38"/>
      <c r="AJ4479" s="38"/>
      <c r="AK4479" s="38"/>
      <c r="AL4479" s="38"/>
      <c r="AM4479" s="38"/>
      <c r="AN4479" s="38"/>
      <c r="AO4479" s="38"/>
      <c r="AP4479" s="38"/>
      <c r="AQ4479" s="38"/>
      <c r="AR4479" s="38"/>
      <c r="AS4479" s="38"/>
      <c r="AT4479" s="38"/>
      <c r="AU4479" s="38"/>
      <c r="AV4479" s="38"/>
      <c r="AW4479" s="38"/>
      <c r="AX4479" s="38"/>
      <c r="AY4479" s="38"/>
      <c r="AZ4479" s="38"/>
      <c r="BA4479" s="38"/>
      <c r="BB4479" s="38"/>
      <c r="BC4479" s="38"/>
      <c r="BD4479" s="38"/>
      <c r="BE4479" s="38"/>
      <c r="BF4479" s="38"/>
      <c r="BG4479" s="38"/>
      <c r="BH4479" s="38"/>
      <c r="BI4479" s="38"/>
      <c r="BJ4479" s="38"/>
      <c r="BK4479" s="38"/>
      <c r="BL4479" s="38"/>
      <c r="BM4479" s="38"/>
      <c r="BN4479" s="38"/>
      <c r="BO4479" s="38"/>
      <c r="BP4479" s="38"/>
      <c r="BQ4479" s="38"/>
    </row>
    <row r="4480">
      <c r="A4480" s="16"/>
      <c r="B4480" s="145"/>
      <c r="C4480" s="146"/>
      <c r="D4480" s="146"/>
      <c r="E4480" s="16"/>
      <c r="F4480" s="91"/>
      <c r="G4480" s="16"/>
      <c r="H4480" s="320" t="str">
        <f t="shared" si="424"/>
        <v/>
      </c>
      <c r="I4480" s="16"/>
      <c r="J4480" s="16"/>
      <c r="K4480" s="16"/>
      <c r="L4480" s="16"/>
      <c r="M4480" s="15"/>
      <c r="N4480" s="15"/>
      <c r="O4480" s="16"/>
      <c r="P4480" s="16"/>
      <c r="Q4480" s="16"/>
      <c r="R4480" s="16"/>
      <c r="S4480" s="37" t="str">
        <f>IFERROR(__xludf.DUMMYFUNCTION("if(not(iserror(index(split(C4480, "" ""),2))), index(split(C4480, "" ""),1),"""")"),"")</f>
        <v/>
      </c>
      <c r="T4480" s="315" t="str">
        <f>IFERROR(__xludf.DUMMYFUNCTION("if(S4480="""",C4480,if(not(iserror(index(split(C4480, "" ""),3))), index(split(C4480, "" ""),3),index(split(C4480, "" ""),2)))"),"")</f>
        <v/>
      </c>
      <c r="U4480" s="38" t="b">
        <f t="shared" si="423"/>
        <v>0</v>
      </c>
      <c r="V4480" s="38"/>
      <c r="W4480" s="40"/>
      <c r="X4480" s="40"/>
      <c r="Y4480" s="40"/>
      <c r="Z4480" s="38"/>
      <c r="AA4480" s="38"/>
      <c r="AB4480" s="38"/>
      <c r="AC4480" s="38"/>
      <c r="AD4480" s="38"/>
      <c r="AE4480" s="38"/>
      <c r="AF4480" s="38"/>
      <c r="AG4480" s="38"/>
      <c r="AH4480" s="38"/>
      <c r="AI4480" s="38"/>
      <c r="AJ4480" s="38"/>
      <c r="AK4480" s="38"/>
      <c r="AL4480" s="38"/>
      <c r="AM4480" s="38"/>
      <c r="AN4480" s="38"/>
      <c r="AO4480" s="38"/>
      <c r="AP4480" s="38"/>
      <c r="AQ4480" s="38"/>
      <c r="AR4480" s="38"/>
      <c r="AS4480" s="38"/>
      <c r="AT4480" s="38"/>
      <c r="AU4480" s="38"/>
      <c r="AV4480" s="38"/>
      <c r="AW4480" s="38"/>
      <c r="AX4480" s="38"/>
      <c r="AY4480" s="38"/>
      <c r="AZ4480" s="38"/>
      <c r="BA4480" s="38"/>
      <c r="BB4480" s="38"/>
      <c r="BC4480" s="38"/>
      <c r="BD4480" s="38"/>
      <c r="BE4480" s="38"/>
      <c r="BF4480" s="38"/>
      <c r="BG4480" s="38"/>
      <c r="BH4480" s="38"/>
      <c r="BI4480" s="38"/>
      <c r="BJ4480" s="38"/>
      <c r="BK4480" s="38"/>
      <c r="BL4480" s="38"/>
      <c r="BM4480" s="38"/>
      <c r="BN4480" s="38"/>
      <c r="BO4480" s="38"/>
      <c r="BP4480" s="38"/>
      <c r="BQ4480" s="38"/>
    </row>
    <row r="4481">
      <c r="A4481" s="16"/>
      <c r="B4481" s="145"/>
      <c r="C4481" s="146"/>
      <c r="D4481" s="146"/>
      <c r="E4481" s="16"/>
      <c r="F4481" s="91"/>
      <c r="G4481" s="16"/>
      <c r="H4481" s="320" t="str">
        <f t="shared" si="424"/>
        <v/>
      </c>
      <c r="I4481" s="16"/>
      <c r="J4481" s="16"/>
      <c r="K4481" s="16"/>
      <c r="L4481" s="16"/>
      <c r="M4481" s="15"/>
      <c r="N4481" s="15"/>
      <c r="O4481" s="16"/>
      <c r="P4481" s="16"/>
      <c r="Q4481" s="16"/>
      <c r="R4481" s="16"/>
      <c r="S4481" s="37" t="str">
        <f>IFERROR(__xludf.DUMMYFUNCTION("if(not(iserror(index(split(C4481, "" ""),2))), index(split(C4481, "" ""),1),"""")"),"")</f>
        <v/>
      </c>
      <c r="T4481" s="315" t="str">
        <f>IFERROR(__xludf.DUMMYFUNCTION("if(S4481="""",C4481,if(not(iserror(index(split(C4481, "" ""),3))), index(split(C4481, "" ""),3),index(split(C4481, "" ""),2)))"),"")</f>
        <v/>
      </c>
      <c r="U4481" s="38" t="b">
        <f t="shared" si="423"/>
        <v>0</v>
      </c>
      <c r="V4481" s="38"/>
      <c r="W4481" s="40"/>
      <c r="X4481" s="40"/>
      <c r="Y4481" s="40"/>
      <c r="Z4481" s="38"/>
      <c r="AA4481" s="38"/>
      <c r="AB4481" s="38"/>
      <c r="AC4481" s="38"/>
      <c r="AD4481" s="38"/>
      <c r="AE4481" s="38"/>
      <c r="AF4481" s="38"/>
      <c r="AG4481" s="38"/>
      <c r="AH4481" s="38"/>
      <c r="AI4481" s="38"/>
      <c r="AJ4481" s="38"/>
      <c r="AK4481" s="38"/>
      <c r="AL4481" s="38"/>
      <c r="AM4481" s="38"/>
      <c r="AN4481" s="38"/>
      <c r="AO4481" s="38"/>
      <c r="AP4481" s="38"/>
      <c r="AQ4481" s="38"/>
      <c r="AR4481" s="38"/>
      <c r="AS4481" s="38"/>
      <c r="AT4481" s="38"/>
      <c r="AU4481" s="38"/>
      <c r="AV4481" s="38"/>
      <c r="AW4481" s="38"/>
      <c r="AX4481" s="38"/>
      <c r="AY4481" s="38"/>
      <c r="AZ4481" s="38"/>
      <c r="BA4481" s="38"/>
      <c r="BB4481" s="38"/>
      <c r="BC4481" s="38"/>
      <c r="BD4481" s="38"/>
      <c r="BE4481" s="38"/>
      <c r="BF4481" s="38"/>
      <c r="BG4481" s="38"/>
      <c r="BH4481" s="38"/>
      <c r="BI4481" s="38"/>
      <c r="BJ4481" s="38"/>
      <c r="BK4481" s="38"/>
      <c r="BL4481" s="38"/>
      <c r="BM4481" s="38"/>
      <c r="BN4481" s="38"/>
      <c r="BO4481" s="38"/>
      <c r="BP4481" s="38"/>
      <c r="BQ4481" s="38"/>
    </row>
    <row r="4482">
      <c r="A4482" s="16"/>
      <c r="B4482" s="145"/>
      <c r="C4482" s="146"/>
      <c r="D4482" s="146"/>
      <c r="E4482" s="16"/>
      <c r="F4482" s="91"/>
      <c r="G4482" s="16"/>
      <c r="H4482" s="320" t="str">
        <f t="shared" si="424"/>
        <v/>
      </c>
      <c r="I4482" s="16"/>
      <c r="J4482" s="16"/>
      <c r="K4482" s="16"/>
      <c r="L4482" s="16"/>
      <c r="M4482" s="15"/>
      <c r="N4482" s="15"/>
      <c r="O4482" s="16"/>
      <c r="P4482" s="16"/>
      <c r="Q4482" s="16"/>
      <c r="R4482" s="16"/>
      <c r="S4482" s="37" t="str">
        <f>IFERROR(__xludf.DUMMYFUNCTION("if(not(iserror(index(split(C4482, "" ""),2))), index(split(C4482, "" ""),1),"""")"),"")</f>
        <v/>
      </c>
      <c r="T4482" s="315" t="str">
        <f>IFERROR(__xludf.DUMMYFUNCTION("if(S4482="""",C4482,if(not(iserror(index(split(C4482, "" ""),3))), index(split(C4482, "" ""),3),index(split(C4482, "" ""),2)))"),"")</f>
        <v/>
      </c>
      <c r="U4482" s="38" t="b">
        <f t="shared" si="423"/>
        <v>0</v>
      </c>
      <c r="V4482" s="38"/>
      <c r="W4482" s="40"/>
      <c r="X4482" s="40"/>
      <c r="Y4482" s="40"/>
      <c r="Z4482" s="38"/>
      <c r="AA4482" s="38"/>
      <c r="AB4482" s="38"/>
      <c r="AC4482" s="38"/>
      <c r="AD4482" s="38"/>
      <c r="AE4482" s="38"/>
      <c r="AF4482" s="38"/>
      <c r="AG4482" s="38"/>
      <c r="AH4482" s="38"/>
      <c r="AI4482" s="38"/>
      <c r="AJ4482" s="38"/>
      <c r="AK4482" s="38"/>
      <c r="AL4482" s="38"/>
      <c r="AM4482" s="38"/>
      <c r="AN4482" s="38"/>
      <c r="AO4482" s="38"/>
      <c r="AP4482" s="38"/>
      <c r="AQ4482" s="38"/>
      <c r="AR4482" s="38"/>
      <c r="AS4482" s="38"/>
      <c r="AT4482" s="38"/>
      <c r="AU4482" s="38"/>
      <c r="AV4482" s="38"/>
      <c r="AW4482" s="38"/>
      <c r="AX4482" s="38"/>
      <c r="AY4482" s="38"/>
      <c r="AZ4482" s="38"/>
      <c r="BA4482" s="38"/>
      <c r="BB4482" s="38"/>
      <c r="BC4482" s="38"/>
      <c r="BD4482" s="38"/>
      <c r="BE4482" s="38"/>
      <c r="BF4482" s="38"/>
      <c r="BG4482" s="38"/>
      <c r="BH4482" s="38"/>
      <c r="BI4482" s="38"/>
      <c r="BJ4482" s="38"/>
      <c r="BK4482" s="38"/>
      <c r="BL4482" s="38"/>
      <c r="BM4482" s="38"/>
      <c r="BN4482" s="38"/>
      <c r="BO4482" s="38"/>
      <c r="BP4482" s="38"/>
      <c r="BQ4482" s="38"/>
    </row>
    <row r="4483">
      <c r="A4483" s="16"/>
      <c r="B4483" s="145"/>
      <c r="C4483" s="146"/>
      <c r="D4483" s="146"/>
      <c r="E4483" s="16"/>
      <c r="F4483" s="91"/>
      <c r="G4483" s="16"/>
      <c r="H4483" s="320" t="str">
        <f t="shared" si="424"/>
        <v/>
      </c>
      <c r="I4483" s="16"/>
      <c r="J4483" s="16"/>
      <c r="K4483" s="16"/>
      <c r="L4483" s="16"/>
      <c r="M4483" s="15"/>
      <c r="N4483" s="15"/>
      <c r="O4483" s="16"/>
      <c r="P4483" s="16"/>
      <c r="Q4483" s="16"/>
      <c r="R4483" s="16"/>
      <c r="S4483" s="37" t="str">
        <f>IFERROR(__xludf.DUMMYFUNCTION("if(not(iserror(index(split(C4483, "" ""),2))), index(split(C4483, "" ""),1),"""")"),"")</f>
        <v/>
      </c>
      <c r="T4483" s="315" t="str">
        <f>IFERROR(__xludf.DUMMYFUNCTION("if(S4483="""",C4483,if(not(iserror(index(split(C4483, "" ""),3))), index(split(C4483, "" ""),3),index(split(C4483, "" ""),2)))"),"")</f>
        <v/>
      </c>
      <c r="U4483" s="38" t="b">
        <f t="shared" si="423"/>
        <v>0</v>
      </c>
      <c r="V4483" s="38"/>
      <c r="W4483" s="40"/>
      <c r="X4483" s="40"/>
      <c r="Y4483" s="40"/>
      <c r="Z4483" s="38"/>
      <c r="AA4483" s="38"/>
      <c r="AB4483" s="38"/>
      <c r="AC4483" s="38"/>
      <c r="AD4483" s="38"/>
      <c r="AE4483" s="38"/>
      <c r="AF4483" s="38"/>
      <c r="AG4483" s="38"/>
      <c r="AH4483" s="38"/>
      <c r="AI4483" s="38"/>
      <c r="AJ4483" s="38"/>
      <c r="AK4483" s="38"/>
      <c r="AL4483" s="38"/>
      <c r="AM4483" s="38"/>
      <c r="AN4483" s="38"/>
      <c r="AO4483" s="38"/>
      <c r="AP4483" s="38"/>
      <c r="AQ4483" s="38"/>
      <c r="AR4483" s="38"/>
      <c r="AS4483" s="38"/>
      <c r="AT4483" s="38"/>
      <c r="AU4483" s="38"/>
      <c r="AV4483" s="38"/>
      <c r="AW4483" s="38"/>
      <c r="AX4483" s="38"/>
      <c r="AY4483" s="38"/>
      <c r="AZ4483" s="38"/>
      <c r="BA4483" s="38"/>
      <c r="BB4483" s="38"/>
      <c r="BC4483" s="38"/>
      <c r="BD4483" s="38"/>
      <c r="BE4483" s="38"/>
      <c r="BF4483" s="38"/>
      <c r="BG4483" s="38"/>
      <c r="BH4483" s="38"/>
      <c r="BI4483" s="38"/>
      <c r="BJ4483" s="38"/>
      <c r="BK4483" s="38"/>
      <c r="BL4483" s="38"/>
      <c r="BM4483" s="38"/>
      <c r="BN4483" s="38"/>
      <c r="BO4483" s="38"/>
      <c r="BP4483" s="38"/>
      <c r="BQ4483" s="38"/>
    </row>
    <row r="4484">
      <c r="A4484" s="16"/>
      <c r="B4484" s="145"/>
      <c r="C4484" s="146"/>
      <c r="D4484" s="146"/>
      <c r="E4484" s="16"/>
      <c r="F4484" s="91"/>
      <c r="G4484" s="16"/>
      <c r="H4484" s="320" t="str">
        <f t="shared" si="424"/>
        <v/>
      </c>
      <c r="I4484" s="16"/>
      <c r="J4484" s="16"/>
      <c r="K4484" s="16"/>
      <c r="L4484" s="16"/>
      <c r="M4484" s="15"/>
      <c r="N4484" s="15"/>
      <c r="O4484" s="16"/>
      <c r="P4484" s="16"/>
      <c r="Q4484" s="16"/>
      <c r="R4484" s="16"/>
      <c r="S4484" s="37" t="str">
        <f>IFERROR(__xludf.DUMMYFUNCTION("if(not(iserror(index(split(C4484, "" ""),2))), index(split(C4484, "" ""),1),"""")"),"")</f>
        <v/>
      </c>
      <c r="T4484" s="315" t="str">
        <f>IFERROR(__xludf.DUMMYFUNCTION("if(S4484="""",C4484,if(not(iserror(index(split(C4484, "" ""),3))), index(split(C4484, "" ""),3),index(split(C4484, "" ""),2)))"),"")</f>
        <v/>
      </c>
      <c r="U4484" s="38" t="b">
        <f t="shared" si="423"/>
        <v>0</v>
      </c>
      <c r="V4484" s="38"/>
      <c r="W4484" s="40"/>
      <c r="X4484" s="40"/>
      <c r="Y4484" s="40"/>
      <c r="Z4484" s="38"/>
      <c r="AA4484" s="38"/>
      <c r="AB4484" s="38"/>
      <c r="AC4484" s="38"/>
      <c r="AD4484" s="38"/>
      <c r="AE4484" s="38"/>
      <c r="AF4484" s="38"/>
      <c r="AG4484" s="38"/>
      <c r="AH4484" s="38"/>
      <c r="AI4484" s="38"/>
      <c r="AJ4484" s="38"/>
      <c r="AK4484" s="38"/>
      <c r="AL4484" s="38"/>
      <c r="AM4484" s="38"/>
      <c r="AN4484" s="38"/>
      <c r="AO4484" s="38"/>
      <c r="AP4484" s="38"/>
      <c r="AQ4484" s="38"/>
      <c r="AR4484" s="38"/>
      <c r="AS4484" s="38"/>
      <c r="AT4484" s="38"/>
      <c r="AU4484" s="38"/>
      <c r="AV4484" s="38"/>
      <c r="AW4484" s="38"/>
      <c r="AX4484" s="38"/>
      <c r="AY4484" s="38"/>
      <c r="AZ4484" s="38"/>
      <c r="BA4484" s="38"/>
      <c r="BB4484" s="38"/>
      <c r="BC4484" s="38"/>
      <c r="BD4484" s="38"/>
      <c r="BE4484" s="38"/>
      <c r="BF4484" s="38"/>
      <c r="BG4484" s="38"/>
      <c r="BH4484" s="38"/>
      <c r="BI4484" s="38"/>
      <c r="BJ4484" s="38"/>
      <c r="BK4484" s="38"/>
      <c r="BL4484" s="38"/>
      <c r="BM4484" s="38"/>
      <c r="BN4484" s="38"/>
      <c r="BO4484" s="38"/>
      <c r="BP4484" s="38"/>
      <c r="BQ4484" s="38"/>
    </row>
    <row r="4485">
      <c r="A4485" s="16"/>
      <c r="B4485" s="145"/>
      <c r="C4485" s="146"/>
      <c r="D4485" s="146"/>
      <c r="E4485" s="16"/>
      <c r="F4485" s="91"/>
      <c r="G4485" s="16"/>
      <c r="H4485" s="320" t="str">
        <f t="shared" si="424"/>
        <v/>
      </c>
      <c r="I4485" s="16"/>
      <c r="J4485" s="16"/>
      <c r="K4485" s="16"/>
      <c r="L4485" s="16"/>
      <c r="M4485" s="15"/>
      <c r="N4485" s="15"/>
      <c r="O4485" s="16"/>
      <c r="P4485" s="16"/>
      <c r="Q4485" s="16"/>
      <c r="R4485" s="16"/>
      <c r="S4485" s="37" t="str">
        <f>IFERROR(__xludf.DUMMYFUNCTION("if(not(iserror(index(split(C4485, "" ""),2))), index(split(C4485, "" ""),1),"""")"),"")</f>
        <v/>
      </c>
      <c r="T4485" s="315" t="str">
        <f>IFERROR(__xludf.DUMMYFUNCTION("if(S4485="""",C4485,if(not(iserror(index(split(C4485, "" ""),3))), index(split(C4485, "" ""),3),index(split(C4485, "" ""),2)))"),"")</f>
        <v/>
      </c>
      <c r="U4485" s="38" t="b">
        <f t="shared" si="423"/>
        <v>0</v>
      </c>
      <c r="V4485" s="38"/>
      <c r="W4485" s="40"/>
      <c r="X4485" s="40"/>
      <c r="Y4485" s="40"/>
      <c r="Z4485" s="38"/>
      <c r="AA4485" s="38"/>
      <c r="AB4485" s="38"/>
      <c r="AC4485" s="38"/>
      <c r="AD4485" s="38"/>
      <c r="AE4485" s="38"/>
      <c r="AF4485" s="38"/>
      <c r="AG4485" s="38"/>
      <c r="AH4485" s="38"/>
      <c r="AI4485" s="38"/>
      <c r="AJ4485" s="38"/>
      <c r="AK4485" s="38"/>
      <c r="AL4485" s="38"/>
      <c r="AM4485" s="38"/>
      <c r="AN4485" s="38"/>
      <c r="AO4485" s="38"/>
      <c r="AP4485" s="38"/>
      <c r="AQ4485" s="38"/>
      <c r="AR4485" s="38"/>
      <c r="AS4485" s="38"/>
      <c r="AT4485" s="38"/>
      <c r="AU4485" s="38"/>
      <c r="AV4485" s="38"/>
      <c r="AW4485" s="38"/>
      <c r="AX4485" s="38"/>
      <c r="AY4485" s="38"/>
      <c r="AZ4485" s="38"/>
      <c r="BA4485" s="38"/>
      <c r="BB4485" s="38"/>
      <c r="BC4485" s="38"/>
      <c r="BD4485" s="38"/>
      <c r="BE4485" s="38"/>
      <c r="BF4485" s="38"/>
      <c r="BG4485" s="38"/>
      <c r="BH4485" s="38"/>
      <c r="BI4485" s="38"/>
      <c r="BJ4485" s="38"/>
      <c r="BK4485" s="38"/>
      <c r="BL4485" s="38"/>
      <c r="BM4485" s="38"/>
      <c r="BN4485" s="38"/>
      <c r="BO4485" s="38"/>
      <c r="BP4485" s="38"/>
      <c r="BQ4485" s="38"/>
    </row>
    <row r="4486">
      <c r="A4486" s="16"/>
      <c r="B4486" s="145"/>
      <c r="C4486" s="146"/>
      <c r="D4486" s="146"/>
      <c r="E4486" s="16"/>
      <c r="F4486" s="91"/>
      <c r="G4486" s="16"/>
      <c r="H4486" s="320" t="str">
        <f t="shared" si="424"/>
        <v/>
      </c>
      <c r="I4486" s="16"/>
      <c r="J4486" s="16"/>
      <c r="K4486" s="16"/>
      <c r="L4486" s="16"/>
      <c r="M4486" s="15"/>
      <c r="N4486" s="15"/>
      <c r="O4486" s="16"/>
      <c r="P4486" s="16"/>
      <c r="Q4486" s="16"/>
      <c r="R4486" s="16"/>
      <c r="S4486" s="37" t="str">
        <f>IFERROR(__xludf.DUMMYFUNCTION("if(not(iserror(index(split(C4486, "" ""),2))), index(split(C4486, "" ""),1),"""")"),"")</f>
        <v/>
      </c>
      <c r="T4486" s="315" t="str">
        <f>IFERROR(__xludf.DUMMYFUNCTION("if(S4486="""",C4486,if(not(iserror(index(split(C4486, "" ""),3))), index(split(C4486, "" ""),3),index(split(C4486, "" ""),2)))"),"")</f>
        <v/>
      </c>
      <c r="U4486" s="38" t="b">
        <f t="shared" si="423"/>
        <v>0</v>
      </c>
      <c r="V4486" s="38"/>
      <c r="W4486" s="40"/>
      <c r="X4486" s="40"/>
      <c r="Y4486" s="40"/>
      <c r="Z4486" s="38"/>
      <c r="AA4486" s="38"/>
      <c r="AB4486" s="38"/>
      <c r="AC4486" s="38"/>
      <c r="AD4486" s="38"/>
      <c r="AE4486" s="38"/>
      <c r="AF4486" s="38"/>
      <c r="AG4486" s="38"/>
      <c r="AH4486" s="38"/>
      <c r="AI4486" s="38"/>
      <c r="AJ4486" s="38"/>
      <c r="AK4486" s="38"/>
      <c r="AL4486" s="38"/>
      <c r="AM4486" s="38"/>
      <c r="AN4486" s="38"/>
      <c r="AO4486" s="38"/>
      <c r="AP4486" s="38"/>
      <c r="AQ4486" s="38"/>
      <c r="AR4486" s="38"/>
      <c r="AS4486" s="38"/>
      <c r="AT4486" s="38"/>
      <c r="AU4486" s="38"/>
      <c r="AV4486" s="38"/>
      <c r="AW4486" s="38"/>
      <c r="AX4486" s="38"/>
      <c r="AY4486" s="38"/>
      <c r="AZ4486" s="38"/>
      <c r="BA4486" s="38"/>
      <c r="BB4486" s="38"/>
      <c r="BC4486" s="38"/>
      <c r="BD4486" s="38"/>
      <c r="BE4486" s="38"/>
      <c r="BF4486" s="38"/>
      <c r="BG4486" s="38"/>
      <c r="BH4486" s="38"/>
      <c r="BI4486" s="38"/>
      <c r="BJ4486" s="38"/>
      <c r="BK4486" s="38"/>
      <c r="BL4486" s="38"/>
      <c r="BM4486" s="38"/>
      <c r="BN4486" s="38"/>
      <c r="BO4486" s="38"/>
      <c r="BP4486" s="38"/>
      <c r="BQ4486" s="38"/>
    </row>
    <row r="4487">
      <c r="A4487" s="16"/>
      <c r="B4487" s="145"/>
      <c r="C4487" s="146"/>
      <c r="D4487" s="146"/>
      <c r="E4487" s="16"/>
      <c r="F4487" s="91"/>
      <c r="G4487" s="16"/>
      <c r="H4487" s="320" t="str">
        <f t="shared" si="424"/>
        <v/>
      </c>
      <c r="I4487" s="16"/>
      <c r="J4487" s="16"/>
      <c r="K4487" s="16"/>
      <c r="L4487" s="16"/>
      <c r="M4487" s="15"/>
      <c r="N4487" s="15"/>
      <c r="O4487" s="16"/>
      <c r="P4487" s="16"/>
      <c r="Q4487" s="16"/>
      <c r="R4487" s="16"/>
      <c r="S4487" s="37" t="str">
        <f>IFERROR(__xludf.DUMMYFUNCTION("if(not(iserror(index(split(C4487, "" ""),2))), index(split(C4487, "" ""),1),"""")"),"")</f>
        <v/>
      </c>
      <c r="T4487" s="315" t="str">
        <f>IFERROR(__xludf.DUMMYFUNCTION("if(S4487="""",C4487,if(not(iserror(index(split(C4487, "" ""),3))), index(split(C4487, "" ""),3),index(split(C4487, "" ""),2)))"),"")</f>
        <v/>
      </c>
      <c r="U4487" s="38" t="b">
        <f t="shared" si="423"/>
        <v>0</v>
      </c>
      <c r="V4487" s="38"/>
      <c r="W4487" s="40"/>
      <c r="X4487" s="40"/>
      <c r="Y4487" s="40"/>
      <c r="Z4487" s="38"/>
      <c r="AA4487" s="38"/>
      <c r="AB4487" s="38"/>
      <c r="AC4487" s="38"/>
      <c r="AD4487" s="38"/>
      <c r="AE4487" s="38"/>
      <c r="AF4487" s="38"/>
      <c r="AG4487" s="38"/>
      <c r="AH4487" s="38"/>
      <c r="AI4487" s="38"/>
      <c r="AJ4487" s="38"/>
      <c r="AK4487" s="38"/>
      <c r="AL4487" s="38"/>
      <c r="AM4487" s="38"/>
      <c r="AN4487" s="38"/>
      <c r="AO4487" s="38"/>
      <c r="AP4487" s="38"/>
      <c r="AQ4487" s="38"/>
      <c r="AR4487" s="38"/>
      <c r="AS4487" s="38"/>
      <c r="AT4487" s="38"/>
      <c r="AU4487" s="38"/>
      <c r="AV4487" s="38"/>
      <c r="AW4487" s="38"/>
      <c r="AX4487" s="38"/>
      <c r="AY4487" s="38"/>
      <c r="AZ4487" s="38"/>
      <c r="BA4487" s="38"/>
      <c r="BB4487" s="38"/>
      <c r="BC4487" s="38"/>
      <c r="BD4487" s="38"/>
      <c r="BE4487" s="38"/>
      <c r="BF4487" s="38"/>
      <c r="BG4487" s="38"/>
      <c r="BH4487" s="38"/>
      <c r="BI4487" s="38"/>
      <c r="BJ4487" s="38"/>
      <c r="BK4487" s="38"/>
      <c r="BL4487" s="38"/>
      <c r="BM4487" s="38"/>
      <c r="BN4487" s="38"/>
      <c r="BO4487" s="38"/>
      <c r="BP4487" s="38"/>
      <c r="BQ4487" s="38"/>
    </row>
    <row r="4488">
      <c r="A4488" s="16"/>
      <c r="B4488" s="145"/>
      <c r="C4488" s="146"/>
      <c r="D4488" s="146"/>
      <c r="E4488" s="16"/>
      <c r="F4488" s="91"/>
      <c r="G4488" s="16"/>
      <c r="H4488" s="320" t="str">
        <f t="shared" si="424"/>
        <v/>
      </c>
      <c r="I4488" s="16"/>
      <c r="J4488" s="16"/>
      <c r="K4488" s="16"/>
      <c r="L4488" s="16"/>
      <c r="M4488" s="15"/>
      <c r="N4488" s="15"/>
      <c r="O4488" s="16"/>
      <c r="P4488" s="16"/>
      <c r="Q4488" s="16"/>
      <c r="R4488" s="16"/>
      <c r="S4488" s="37" t="str">
        <f>IFERROR(__xludf.DUMMYFUNCTION("if(not(iserror(index(split(C4488, "" ""),2))), index(split(C4488, "" ""),1),"""")"),"")</f>
        <v/>
      </c>
      <c r="T4488" s="315" t="str">
        <f>IFERROR(__xludf.DUMMYFUNCTION("if(S4488="""",C4488,if(not(iserror(index(split(C4488, "" ""),3))), index(split(C4488, "" ""),3),index(split(C4488, "" ""),2)))"),"")</f>
        <v/>
      </c>
      <c r="U4488" s="38" t="b">
        <f t="shared" si="423"/>
        <v>0</v>
      </c>
      <c r="V4488" s="38"/>
      <c r="W4488" s="40"/>
      <c r="X4488" s="40"/>
      <c r="Y4488" s="40"/>
      <c r="Z4488" s="38"/>
      <c r="AA4488" s="38"/>
      <c r="AB4488" s="38"/>
      <c r="AC4488" s="38"/>
      <c r="AD4488" s="38"/>
      <c r="AE4488" s="38"/>
      <c r="AF4488" s="38"/>
      <c r="AG4488" s="38"/>
      <c r="AH4488" s="38"/>
      <c r="AI4488" s="38"/>
      <c r="AJ4488" s="38"/>
      <c r="AK4488" s="38"/>
      <c r="AL4488" s="38"/>
      <c r="AM4488" s="38"/>
      <c r="AN4488" s="38"/>
      <c r="AO4488" s="38"/>
      <c r="AP4488" s="38"/>
      <c r="AQ4488" s="38"/>
      <c r="AR4488" s="38"/>
      <c r="AS4488" s="38"/>
      <c r="AT4488" s="38"/>
      <c r="AU4488" s="38"/>
      <c r="AV4488" s="38"/>
      <c r="AW4488" s="38"/>
      <c r="AX4488" s="38"/>
      <c r="AY4488" s="38"/>
      <c r="AZ4488" s="38"/>
      <c r="BA4488" s="38"/>
      <c r="BB4488" s="38"/>
      <c r="BC4488" s="38"/>
      <c r="BD4488" s="38"/>
      <c r="BE4488" s="38"/>
      <c r="BF4488" s="38"/>
      <c r="BG4488" s="38"/>
      <c r="BH4488" s="38"/>
      <c r="BI4488" s="38"/>
      <c r="BJ4488" s="38"/>
      <c r="BK4488" s="38"/>
      <c r="BL4488" s="38"/>
      <c r="BM4488" s="38"/>
      <c r="BN4488" s="38"/>
      <c r="BO4488" s="38"/>
      <c r="BP4488" s="38"/>
      <c r="BQ4488" s="38"/>
    </row>
    <row r="4489">
      <c r="A4489" s="16"/>
      <c r="B4489" s="145"/>
      <c r="C4489" s="146"/>
      <c r="D4489" s="146"/>
      <c r="E4489" s="16"/>
      <c r="F4489" s="91"/>
      <c r="G4489" s="16"/>
      <c r="H4489" s="320" t="str">
        <f t="shared" si="424"/>
        <v/>
      </c>
      <c r="I4489" s="16"/>
      <c r="J4489" s="16"/>
      <c r="K4489" s="16"/>
      <c r="L4489" s="16"/>
      <c r="M4489" s="15"/>
      <c r="N4489" s="15"/>
      <c r="O4489" s="16"/>
      <c r="P4489" s="16"/>
      <c r="Q4489" s="16"/>
      <c r="R4489" s="16"/>
      <c r="S4489" s="37" t="str">
        <f>IFERROR(__xludf.DUMMYFUNCTION("if(not(iserror(index(split(C4489, "" ""),2))), index(split(C4489, "" ""),1),"""")"),"")</f>
        <v/>
      </c>
      <c r="T4489" s="315" t="str">
        <f>IFERROR(__xludf.DUMMYFUNCTION("if(S4489="""",C4489,if(not(iserror(index(split(C4489, "" ""),3))), index(split(C4489, "" ""),3),index(split(C4489, "" ""),2)))"),"")</f>
        <v/>
      </c>
      <c r="U4489" s="38" t="b">
        <f t="shared" si="423"/>
        <v>0</v>
      </c>
      <c r="V4489" s="38"/>
      <c r="W4489" s="40"/>
      <c r="X4489" s="40"/>
      <c r="Y4489" s="40"/>
      <c r="Z4489" s="38"/>
      <c r="AA4489" s="38"/>
      <c r="AB4489" s="38"/>
      <c r="AC4489" s="38"/>
      <c r="AD4489" s="38"/>
      <c r="AE4489" s="38"/>
      <c r="AF4489" s="38"/>
      <c r="AG4489" s="38"/>
      <c r="AH4489" s="38"/>
      <c r="AI4489" s="38"/>
      <c r="AJ4489" s="38"/>
      <c r="AK4489" s="38"/>
      <c r="AL4489" s="38"/>
      <c r="AM4489" s="38"/>
      <c r="AN4489" s="38"/>
      <c r="AO4489" s="38"/>
      <c r="AP4489" s="38"/>
      <c r="AQ4489" s="38"/>
      <c r="AR4489" s="38"/>
      <c r="AS4489" s="38"/>
      <c r="AT4489" s="38"/>
      <c r="AU4489" s="38"/>
      <c r="AV4489" s="38"/>
      <c r="AW4489" s="38"/>
      <c r="AX4489" s="38"/>
      <c r="AY4489" s="38"/>
      <c r="AZ4489" s="38"/>
      <c r="BA4489" s="38"/>
      <c r="BB4489" s="38"/>
      <c r="BC4489" s="38"/>
      <c r="BD4489" s="38"/>
      <c r="BE4489" s="38"/>
      <c r="BF4489" s="38"/>
      <c r="BG4489" s="38"/>
      <c r="BH4489" s="38"/>
      <c r="BI4489" s="38"/>
      <c r="BJ4489" s="38"/>
      <c r="BK4489" s="38"/>
      <c r="BL4489" s="38"/>
      <c r="BM4489" s="38"/>
      <c r="BN4489" s="38"/>
      <c r="BO4489" s="38"/>
      <c r="BP4489" s="38"/>
      <c r="BQ4489" s="38"/>
    </row>
    <row r="4490">
      <c r="A4490" s="16"/>
      <c r="B4490" s="145"/>
      <c r="C4490" s="146"/>
      <c r="D4490" s="146"/>
      <c r="E4490" s="16"/>
      <c r="F4490" s="91"/>
      <c r="G4490" s="16"/>
      <c r="H4490" s="320" t="str">
        <f t="shared" si="424"/>
        <v/>
      </c>
      <c r="I4490" s="16"/>
      <c r="J4490" s="16"/>
      <c r="K4490" s="16"/>
      <c r="L4490" s="16"/>
      <c r="M4490" s="15"/>
      <c r="N4490" s="15"/>
      <c r="O4490" s="16"/>
      <c r="P4490" s="16"/>
      <c r="Q4490" s="16"/>
      <c r="R4490" s="16"/>
      <c r="S4490" s="37" t="str">
        <f>IFERROR(__xludf.DUMMYFUNCTION("if(not(iserror(index(split(C4490, "" ""),2))), index(split(C4490, "" ""),1),"""")"),"")</f>
        <v/>
      </c>
      <c r="T4490" s="315" t="str">
        <f>IFERROR(__xludf.DUMMYFUNCTION("if(S4490="""",C4490,if(not(iserror(index(split(C4490, "" ""),3))), index(split(C4490, "" ""),3),index(split(C4490, "" ""),2)))"),"")</f>
        <v/>
      </c>
      <c r="U4490" s="38" t="b">
        <f t="shared" si="423"/>
        <v>0</v>
      </c>
      <c r="V4490" s="38"/>
      <c r="W4490" s="40"/>
      <c r="X4490" s="40"/>
      <c r="Y4490" s="40"/>
      <c r="Z4490" s="38"/>
      <c r="AA4490" s="38"/>
      <c r="AB4490" s="38"/>
      <c r="AC4490" s="38"/>
      <c r="AD4490" s="38"/>
      <c r="AE4490" s="38"/>
      <c r="AF4490" s="38"/>
      <c r="AG4490" s="38"/>
      <c r="AH4490" s="38"/>
      <c r="AI4490" s="38"/>
      <c r="AJ4490" s="38"/>
      <c r="AK4490" s="38"/>
      <c r="AL4490" s="38"/>
      <c r="AM4490" s="38"/>
      <c r="AN4490" s="38"/>
      <c r="AO4490" s="38"/>
      <c r="AP4490" s="38"/>
      <c r="AQ4490" s="38"/>
      <c r="AR4490" s="38"/>
      <c r="AS4490" s="38"/>
      <c r="AT4490" s="38"/>
      <c r="AU4490" s="38"/>
      <c r="AV4490" s="38"/>
      <c r="AW4490" s="38"/>
      <c r="AX4490" s="38"/>
      <c r="AY4490" s="38"/>
      <c r="AZ4490" s="38"/>
      <c r="BA4490" s="38"/>
      <c r="BB4490" s="38"/>
      <c r="BC4490" s="38"/>
      <c r="BD4490" s="38"/>
      <c r="BE4490" s="38"/>
      <c r="BF4490" s="38"/>
      <c r="BG4490" s="38"/>
      <c r="BH4490" s="38"/>
      <c r="BI4490" s="38"/>
      <c r="BJ4490" s="38"/>
      <c r="BK4490" s="38"/>
      <c r="BL4490" s="38"/>
      <c r="BM4490" s="38"/>
      <c r="BN4490" s="38"/>
      <c r="BO4490" s="38"/>
      <c r="BP4490" s="38"/>
      <c r="BQ4490" s="38"/>
    </row>
    <row r="4491">
      <c r="A4491" s="16"/>
      <c r="B4491" s="145"/>
      <c r="C4491" s="146"/>
      <c r="D4491" s="146"/>
      <c r="E4491" s="16"/>
      <c r="F4491" s="91"/>
      <c r="G4491" s="16"/>
      <c r="H4491" s="320" t="str">
        <f t="shared" si="424"/>
        <v/>
      </c>
      <c r="I4491" s="16"/>
      <c r="J4491" s="16"/>
      <c r="K4491" s="16"/>
      <c r="L4491" s="16"/>
      <c r="M4491" s="15"/>
      <c r="N4491" s="15"/>
      <c r="O4491" s="16"/>
      <c r="P4491" s="16"/>
      <c r="Q4491" s="16"/>
      <c r="R4491" s="16"/>
      <c r="S4491" s="37" t="str">
        <f>IFERROR(__xludf.DUMMYFUNCTION("if(not(iserror(index(split(C4491, "" ""),2))), index(split(C4491, "" ""),1),"""")"),"")</f>
        <v/>
      </c>
      <c r="T4491" s="315" t="str">
        <f>IFERROR(__xludf.DUMMYFUNCTION("if(S4491="""",C4491,if(not(iserror(index(split(C4491, "" ""),3))), index(split(C4491, "" ""),3),index(split(C4491, "" ""),2)))"),"")</f>
        <v/>
      </c>
      <c r="U4491" s="38" t="b">
        <f t="shared" si="423"/>
        <v>0</v>
      </c>
      <c r="V4491" s="38"/>
      <c r="W4491" s="40"/>
      <c r="X4491" s="40"/>
      <c r="Y4491" s="40"/>
      <c r="Z4491" s="38"/>
      <c r="AA4491" s="38"/>
      <c r="AB4491" s="38"/>
      <c r="AC4491" s="38"/>
      <c r="AD4491" s="38"/>
      <c r="AE4491" s="38"/>
      <c r="AF4491" s="38"/>
      <c r="AG4491" s="38"/>
      <c r="AH4491" s="38"/>
      <c r="AI4491" s="38"/>
      <c r="AJ4491" s="38"/>
      <c r="AK4491" s="38"/>
      <c r="AL4491" s="38"/>
      <c r="AM4491" s="38"/>
      <c r="AN4491" s="38"/>
      <c r="AO4491" s="38"/>
      <c r="AP4491" s="38"/>
      <c r="AQ4491" s="38"/>
      <c r="AR4491" s="38"/>
      <c r="AS4491" s="38"/>
      <c r="AT4491" s="38"/>
      <c r="AU4491" s="38"/>
      <c r="AV4491" s="38"/>
      <c r="AW4491" s="38"/>
      <c r="AX4491" s="38"/>
      <c r="AY4491" s="38"/>
      <c r="AZ4491" s="38"/>
      <c r="BA4491" s="38"/>
      <c r="BB4491" s="38"/>
      <c r="BC4491" s="38"/>
      <c r="BD4491" s="38"/>
      <c r="BE4491" s="38"/>
      <c r="BF4491" s="38"/>
      <c r="BG4491" s="38"/>
      <c r="BH4491" s="38"/>
      <c r="BI4491" s="38"/>
      <c r="BJ4491" s="38"/>
      <c r="BK4491" s="38"/>
      <c r="BL4491" s="38"/>
      <c r="BM4491" s="38"/>
      <c r="BN4491" s="38"/>
      <c r="BO4491" s="38"/>
      <c r="BP4491" s="38"/>
      <c r="BQ4491" s="38"/>
    </row>
    <row r="4492">
      <c r="A4492" s="16"/>
      <c r="B4492" s="145"/>
      <c r="C4492" s="146"/>
      <c r="D4492" s="146"/>
      <c r="E4492" s="16"/>
      <c r="F4492" s="91"/>
      <c r="G4492" s="16"/>
      <c r="H4492" s="320" t="str">
        <f t="shared" si="424"/>
        <v/>
      </c>
      <c r="I4492" s="16"/>
      <c r="J4492" s="16"/>
      <c r="K4492" s="16"/>
      <c r="L4492" s="16"/>
      <c r="M4492" s="15"/>
      <c r="N4492" s="15"/>
      <c r="O4492" s="16"/>
      <c r="P4492" s="16"/>
      <c r="Q4492" s="16"/>
      <c r="R4492" s="16"/>
      <c r="S4492" s="37" t="str">
        <f>IFERROR(__xludf.DUMMYFUNCTION("if(not(iserror(index(split(C4492, "" ""),2))), index(split(C4492, "" ""),1),"""")"),"")</f>
        <v/>
      </c>
      <c r="T4492" s="315" t="str">
        <f>IFERROR(__xludf.DUMMYFUNCTION("if(S4492="""",C4492,if(not(iserror(index(split(C4492, "" ""),3))), index(split(C4492, "" ""),3),index(split(C4492, "" ""),2)))"),"")</f>
        <v/>
      </c>
      <c r="U4492" s="38" t="b">
        <f t="shared" si="423"/>
        <v>0</v>
      </c>
      <c r="V4492" s="38"/>
      <c r="W4492" s="40"/>
      <c r="X4492" s="40"/>
      <c r="Y4492" s="40"/>
      <c r="Z4492" s="38"/>
      <c r="AA4492" s="38"/>
      <c r="AB4492" s="38"/>
      <c r="AC4492" s="38"/>
      <c r="AD4492" s="38"/>
      <c r="AE4492" s="38"/>
      <c r="AF4492" s="38"/>
      <c r="AG4492" s="38"/>
      <c r="AH4492" s="38"/>
      <c r="AI4492" s="38"/>
      <c r="AJ4492" s="38"/>
      <c r="AK4492" s="38"/>
      <c r="AL4492" s="38"/>
      <c r="AM4492" s="38"/>
      <c r="AN4492" s="38"/>
      <c r="AO4492" s="38"/>
      <c r="AP4492" s="38"/>
      <c r="AQ4492" s="38"/>
      <c r="AR4492" s="38"/>
      <c r="AS4492" s="38"/>
      <c r="AT4492" s="38"/>
      <c r="AU4492" s="38"/>
      <c r="AV4492" s="38"/>
      <c r="AW4492" s="38"/>
      <c r="AX4492" s="38"/>
      <c r="AY4492" s="38"/>
      <c r="AZ4492" s="38"/>
      <c r="BA4492" s="38"/>
      <c r="BB4492" s="38"/>
      <c r="BC4492" s="38"/>
      <c r="BD4492" s="38"/>
      <c r="BE4492" s="38"/>
      <c r="BF4492" s="38"/>
      <c r="BG4492" s="38"/>
      <c r="BH4492" s="38"/>
      <c r="BI4492" s="38"/>
      <c r="BJ4492" s="38"/>
      <c r="BK4492" s="38"/>
      <c r="BL4492" s="38"/>
      <c r="BM4492" s="38"/>
      <c r="BN4492" s="38"/>
      <c r="BO4492" s="38"/>
      <c r="BP4492" s="38"/>
      <c r="BQ4492" s="38"/>
    </row>
    <row r="4493">
      <c r="A4493" s="16"/>
      <c r="B4493" s="145"/>
      <c r="C4493" s="146"/>
      <c r="D4493" s="146"/>
      <c r="E4493" s="16"/>
      <c r="F4493" s="91"/>
      <c r="G4493" s="16"/>
      <c r="H4493" s="320" t="str">
        <f t="shared" si="424"/>
        <v/>
      </c>
      <c r="I4493" s="16"/>
      <c r="J4493" s="16"/>
      <c r="K4493" s="16"/>
      <c r="L4493" s="16"/>
      <c r="M4493" s="15"/>
      <c r="N4493" s="15"/>
      <c r="O4493" s="16"/>
      <c r="P4493" s="16"/>
      <c r="Q4493" s="16"/>
      <c r="R4493" s="16"/>
      <c r="S4493" s="37" t="str">
        <f>IFERROR(__xludf.DUMMYFUNCTION("if(not(iserror(index(split(C4493, "" ""),2))), index(split(C4493, "" ""),1),"""")"),"")</f>
        <v/>
      </c>
      <c r="T4493" s="315" t="str">
        <f>IFERROR(__xludf.DUMMYFUNCTION("if(S4493="""",C4493,if(not(iserror(index(split(C4493, "" ""),3))), index(split(C4493, "" ""),3),index(split(C4493, "" ""),2)))"),"")</f>
        <v/>
      </c>
      <c r="U4493" s="38" t="b">
        <f t="shared" si="423"/>
        <v>0</v>
      </c>
      <c r="V4493" s="38"/>
      <c r="W4493" s="40"/>
      <c r="X4493" s="40"/>
      <c r="Y4493" s="40"/>
      <c r="Z4493" s="38"/>
      <c r="AA4493" s="38"/>
      <c r="AB4493" s="38"/>
      <c r="AC4493" s="38"/>
      <c r="AD4493" s="38"/>
      <c r="AE4493" s="38"/>
      <c r="AF4493" s="38"/>
      <c r="AG4493" s="38"/>
      <c r="AH4493" s="38"/>
      <c r="AI4493" s="38"/>
      <c r="AJ4493" s="38"/>
      <c r="AK4493" s="38"/>
      <c r="AL4493" s="38"/>
      <c r="AM4493" s="38"/>
      <c r="AN4493" s="38"/>
      <c r="AO4493" s="38"/>
      <c r="AP4493" s="38"/>
      <c r="AQ4493" s="38"/>
      <c r="AR4493" s="38"/>
      <c r="AS4493" s="38"/>
      <c r="AT4493" s="38"/>
      <c r="AU4493" s="38"/>
      <c r="AV4493" s="38"/>
      <c r="AW4493" s="38"/>
      <c r="AX4493" s="38"/>
      <c r="AY4493" s="38"/>
      <c r="AZ4493" s="38"/>
      <c r="BA4493" s="38"/>
      <c r="BB4493" s="38"/>
      <c r="BC4493" s="38"/>
      <c r="BD4493" s="38"/>
      <c r="BE4493" s="38"/>
      <c r="BF4493" s="38"/>
      <c r="BG4493" s="38"/>
      <c r="BH4493" s="38"/>
      <c r="BI4493" s="38"/>
      <c r="BJ4493" s="38"/>
      <c r="BK4493" s="38"/>
      <c r="BL4493" s="38"/>
      <c r="BM4493" s="38"/>
      <c r="BN4493" s="38"/>
      <c r="BO4493" s="38"/>
      <c r="BP4493" s="38"/>
      <c r="BQ4493" s="38"/>
    </row>
    <row r="4494">
      <c r="A4494" s="16"/>
      <c r="B4494" s="145"/>
      <c r="C4494" s="146"/>
      <c r="D4494" s="146"/>
      <c r="E4494" s="16"/>
      <c r="F4494" s="91"/>
      <c r="G4494" s="16"/>
      <c r="H4494" s="320" t="str">
        <f t="shared" si="424"/>
        <v/>
      </c>
      <c r="I4494" s="16"/>
      <c r="J4494" s="16"/>
      <c r="K4494" s="16"/>
      <c r="L4494" s="16"/>
      <c r="M4494" s="15"/>
      <c r="N4494" s="15"/>
      <c r="O4494" s="16"/>
      <c r="P4494" s="16"/>
      <c r="Q4494" s="16"/>
      <c r="R4494" s="16"/>
      <c r="S4494" s="37" t="str">
        <f>IFERROR(__xludf.DUMMYFUNCTION("if(not(iserror(index(split(C4494, "" ""),2))), index(split(C4494, "" ""),1),"""")"),"")</f>
        <v/>
      </c>
      <c r="T4494" s="315" t="str">
        <f>IFERROR(__xludf.DUMMYFUNCTION("if(S4494="""",C4494,if(not(iserror(index(split(C4494, "" ""),3))), index(split(C4494, "" ""),3),index(split(C4494, "" ""),2)))"),"")</f>
        <v/>
      </c>
      <c r="U4494" s="38" t="b">
        <f t="shared" si="423"/>
        <v>0</v>
      </c>
      <c r="V4494" s="38"/>
      <c r="W4494" s="40"/>
      <c r="X4494" s="40"/>
      <c r="Y4494" s="40"/>
      <c r="Z4494" s="38"/>
      <c r="AA4494" s="38"/>
      <c r="AB4494" s="38"/>
      <c r="AC4494" s="38"/>
      <c r="AD4494" s="38"/>
      <c r="AE4494" s="38"/>
      <c r="AF4494" s="38"/>
      <c r="AG4494" s="38"/>
      <c r="AH4494" s="38"/>
      <c r="AI4494" s="38"/>
      <c r="AJ4494" s="38"/>
      <c r="AK4494" s="38"/>
      <c r="AL4494" s="38"/>
      <c r="AM4494" s="38"/>
      <c r="AN4494" s="38"/>
      <c r="AO4494" s="38"/>
      <c r="AP4494" s="38"/>
      <c r="AQ4494" s="38"/>
      <c r="AR4494" s="38"/>
      <c r="AS4494" s="38"/>
      <c r="AT4494" s="38"/>
      <c r="AU4494" s="38"/>
      <c r="AV4494" s="38"/>
      <c r="AW4494" s="38"/>
      <c r="AX4494" s="38"/>
      <c r="AY4494" s="38"/>
      <c r="AZ4494" s="38"/>
      <c r="BA4494" s="38"/>
      <c r="BB4494" s="38"/>
      <c r="BC4494" s="38"/>
      <c r="BD4494" s="38"/>
      <c r="BE4494" s="38"/>
      <c r="BF4494" s="38"/>
      <c r="BG4494" s="38"/>
      <c r="BH4494" s="38"/>
      <c r="BI4494" s="38"/>
      <c r="BJ4494" s="38"/>
      <c r="BK4494" s="38"/>
      <c r="BL4494" s="38"/>
      <c r="BM4494" s="38"/>
      <c r="BN4494" s="38"/>
      <c r="BO4494" s="38"/>
      <c r="BP4494" s="38"/>
      <c r="BQ4494" s="38"/>
    </row>
    <row r="4495">
      <c r="A4495" s="16"/>
      <c r="B4495" s="145"/>
      <c r="C4495" s="146"/>
      <c r="D4495" s="146"/>
      <c r="E4495" s="16"/>
      <c r="F4495" s="91"/>
      <c r="G4495" s="16"/>
      <c r="H4495" s="320" t="str">
        <f t="shared" si="424"/>
        <v/>
      </c>
      <c r="I4495" s="16"/>
      <c r="J4495" s="16"/>
      <c r="K4495" s="16"/>
      <c r="L4495" s="16"/>
      <c r="M4495" s="15"/>
      <c r="N4495" s="15"/>
      <c r="O4495" s="16"/>
      <c r="P4495" s="16"/>
      <c r="Q4495" s="16"/>
      <c r="R4495" s="16"/>
      <c r="S4495" s="37" t="str">
        <f>IFERROR(__xludf.DUMMYFUNCTION("if(not(iserror(index(split(C4495, "" ""),2))), index(split(C4495, "" ""),1),"""")"),"")</f>
        <v/>
      </c>
      <c r="T4495" s="315" t="str">
        <f>IFERROR(__xludf.DUMMYFUNCTION("if(S4495="""",C4495,if(not(iserror(index(split(C4495, "" ""),3))), index(split(C4495, "" ""),3),index(split(C4495, "" ""),2)))"),"")</f>
        <v/>
      </c>
      <c r="U4495" s="38" t="b">
        <f t="shared" si="423"/>
        <v>0</v>
      </c>
      <c r="V4495" s="38"/>
      <c r="W4495" s="40"/>
      <c r="X4495" s="40"/>
      <c r="Y4495" s="40"/>
      <c r="Z4495" s="38"/>
      <c r="AA4495" s="38"/>
      <c r="AB4495" s="38"/>
      <c r="AC4495" s="38"/>
      <c r="AD4495" s="38"/>
      <c r="AE4495" s="38"/>
      <c r="AF4495" s="38"/>
      <c r="AG4495" s="38"/>
      <c r="AH4495" s="38"/>
      <c r="AI4495" s="38"/>
      <c r="AJ4495" s="38"/>
      <c r="AK4495" s="38"/>
      <c r="AL4495" s="38"/>
      <c r="AM4495" s="38"/>
      <c r="AN4495" s="38"/>
      <c r="AO4495" s="38"/>
      <c r="AP4495" s="38"/>
      <c r="AQ4495" s="38"/>
      <c r="AR4495" s="38"/>
      <c r="AS4495" s="38"/>
      <c r="AT4495" s="38"/>
      <c r="AU4495" s="38"/>
      <c r="AV4495" s="38"/>
      <c r="AW4495" s="38"/>
      <c r="AX4495" s="38"/>
      <c r="AY4495" s="38"/>
      <c r="AZ4495" s="38"/>
      <c r="BA4495" s="38"/>
      <c r="BB4495" s="38"/>
      <c r="BC4495" s="38"/>
      <c r="BD4495" s="38"/>
      <c r="BE4495" s="38"/>
      <c r="BF4495" s="38"/>
      <c r="BG4495" s="38"/>
      <c r="BH4495" s="38"/>
      <c r="BI4495" s="38"/>
      <c r="BJ4495" s="38"/>
      <c r="BK4495" s="38"/>
      <c r="BL4495" s="38"/>
      <c r="BM4495" s="38"/>
      <c r="BN4495" s="38"/>
      <c r="BO4495" s="38"/>
      <c r="BP4495" s="38"/>
      <c r="BQ4495" s="38"/>
    </row>
    <row r="4496">
      <c r="A4496" s="16"/>
      <c r="B4496" s="145"/>
      <c r="C4496" s="146"/>
      <c r="D4496" s="146"/>
      <c r="E4496" s="16"/>
      <c r="F4496" s="91"/>
      <c r="G4496" s="16"/>
      <c r="H4496" s="320" t="str">
        <f t="shared" si="424"/>
        <v/>
      </c>
      <c r="I4496" s="16"/>
      <c r="J4496" s="16"/>
      <c r="K4496" s="16"/>
      <c r="L4496" s="16"/>
      <c r="M4496" s="15"/>
      <c r="N4496" s="15"/>
      <c r="O4496" s="16"/>
      <c r="P4496" s="16"/>
      <c r="Q4496" s="16"/>
      <c r="R4496" s="16"/>
      <c r="S4496" s="37" t="str">
        <f>IFERROR(__xludf.DUMMYFUNCTION("if(not(iserror(index(split(C4496, "" ""),2))), index(split(C4496, "" ""),1),"""")"),"")</f>
        <v/>
      </c>
      <c r="T4496" s="315" t="str">
        <f>IFERROR(__xludf.DUMMYFUNCTION("if(S4496="""",C4496,if(not(iserror(index(split(C4496, "" ""),3))), index(split(C4496, "" ""),3),index(split(C4496, "" ""),2)))"),"")</f>
        <v/>
      </c>
      <c r="U4496" s="38" t="b">
        <f t="shared" si="423"/>
        <v>0</v>
      </c>
      <c r="V4496" s="38"/>
      <c r="W4496" s="40"/>
      <c r="X4496" s="40"/>
      <c r="Y4496" s="40"/>
      <c r="Z4496" s="38"/>
      <c r="AA4496" s="38"/>
      <c r="AB4496" s="38"/>
      <c r="AC4496" s="38"/>
      <c r="AD4496" s="38"/>
      <c r="AE4496" s="38"/>
      <c r="AF4496" s="38"/>
      <c r="AG4496" s="38"/>
      <c r="AH4496" s="38"/>
      <c r="AI4496" s="38"/>
      <c r="AJ4496" s="38"/>
      <c r="AK4496" s="38"/>
      <c r="AL4496" s="38"/>
      <c r="AM4496" s="38"/>
      <c r="AN4496" s="38"/>
      <c r="AO4496" s="38"/>
      <c r="AP4496" s="38"/>
      <c r="AQ4496" s="38"/>
      <c r="AR4496" s="38"/>
      <c r="AS4496" s="38"/>
      <c r="AT4496" s="38"/>
      <c r="AU4496" s="38"/>
      <c r="AV4496" s="38"/>
      <c r="AW4496" s="38"/>
      <c r="AX4496" s="38"/>
      <c r="AY4496" s="38"/>
      <c r="AZ4496" s="38"/>
      <c r="BA4496" s="38"/>
      <c r="BB4496" s="38"/>
      <c r="BC4496" s="38"/>
      <c r="BD4496" s="38"/>
      <c r="BE4496" s="38"/>
      <c r="BF4496" s="38"/>
      <c r="BG4496" s="38"/>
      <c r="BH4496" s="38"/>
      <c r="BI4496" s="38"/>
      <c r="BJ4496" s="38"/>
      <c r="BK4496" s="38"/>
      <c r="BL4496" s="38"/>
      <c r="BM4496" s="38"/>
      <c r="BN4496" s="38"/>
      <c r="BO4496" s="38"/>
      <c r="BP4496" s="38"/>
      <c r="BQ4496" s="38"/>
    </row>
    <row r="4497">
      <c r="A4497" s="16"/>
      <c r="B4497" s="145"/>
      <c r="C4497" s="146"/>
      <c r="D4497" s="146"/>
      <c r="E4497" s="16"/>
      <c r="F4497" s="91"/>
      <c r="G4497" s="16"/>
      <c r="H4497" s="320" t="str">
        <f t="shared" si="424"/>
        <v/>
      </c>
      <c r="I4497" s="16"/>
      <c r="J4497" s="16"/>
      <c r="K4497" s="16"/>
      <c r="L4497" s="16"/>
      <c r="M4497" s="15"/>
      <c r="N4497" s="15"/>
      <c r="O4497" s="16"/>
      <c r="P4497" s="16"/>
      <c r="Q4497" s="16"/>
      <c r="R4497" s="16"/>
      <c r="S4497" s="37" t="str">
        <f>IFERROR(__xludf.DUMMYFUNCTION("if(not(iserror(index(split(C4497, "" ""),2))), index(split(C4497, "" ""),1),"""")"),"")</f>
        <v/>
      </c>
      <c r="T4497" s="315" t="str">
        <f>IFERROR(__xludf.DUMMYFUNCTION("if(S4497="""",C4497,if(not(iserror(index(split(C4497, "" ""),3))), index(split(C4497, "" ""),3),index(split(C4497, "" ""),2)))"),"")</f>
        <v/>
      </c>
      <c r="U4497" s="38" t="b">
        <f t="shared" si="423"/>
        <v>0</v>
      </c>
      <c r="V4497" s="38"/>
      <c r="W4497" s="40"/>
      <c r="X4497" s="40"/>
      <c r="Y4497" s="40"/>
      <c r="Z4497" s="38"/>
      <c r="AA4497" s="38"/>
      <c r="AB4497" s="38"/>
      <c r="AC4497" s="38"/>
      <c r="AD4497" s="38"/>
      <c r="AE4497" s="38"/>
      <c r="AF4497" s="38"/>
      <c r="AG4497" s="38"/>
      <c r="AH4497" s="38"/>
      <c r="AI4497" s="38"/>
      <c r="AJ4497" s="38"/>
      <c r="AK4497" s="38"/>
      <c r="AL4497" s="38"/>
      <c r="AM4497" s="38"/>
      <c r="AN4497" s="38"/>
      <c r="AO4497" s="38"/>
      <c r="AP4497" s="38"/>
      <c r="AQ4497" s="38"/>
      <c r="AR4497" s="38"/>
      <c r="AS4497" s="38"/>
      <c r="AT4497" s="38"/>
      <c r="AU4497" s="38"/>
      <c r="AV4497" s="38"/>
      <c r="AW4497" s="38"/>
      <c r="AX4497" s="38"/>
      <c r="AY4497" s="38"/>
      <c r="AZ4497" s="38"/>
      <c r="BA4497" s="38"/>
      <c r="BB4497" s="38"/>
      <c r="BC4497" s="38"/>
      <c r="BD4497" s="38"/>
      <c r="BE4497" s="38"/>
      <c r="BF4497" s="38"/>
      <c r="BG4497" s="38"/>
      <c r="BH4497" s="38"/>
      <c r="BI4497" s="38"/>
      <c r="BJ4497" s="38"/>
      <c r="BK4497" s="38"/>
      <c r="BL4497" s="38"/>
      <c r="BM4497" s="38"/>
      <c r="BN4497" s="38"/>
      <c r="BO4497" s="38"/>
      <c r="BP4497" s="38"/>
      <c r="BQ4497" s="38"/>
    </row>
    <row r="4498">
      <c r="A4498" s="16"/>
      <c r="B4498" s="145"/>
      <c r="C4498" s="146"/>
      <c r="D4498" s="146"/>
      <c r="E4498" s="16"/>
      <c r="F4498" s="91"/>
      <c r="G4498" s="16"/>
      <c r="H4498" s="320" t="str">
        <f t="shared" si="424"/>
        <v/>
      </c>
      <c r="I4498" s="16"/>
      <c r="J4498" s="16"/>
      <c r="K4498" s="16"/>
      <c r="L4498" s="16"/>
      <c r="M4498" s="15"/>
      <c r="N4498" s="15"/>
      <c r="O4498" s="16"/>
      <c r="P4498" s="16"/>
      <c r="Q4498" s="16"/>
      <c r="R4498" s="16"/>
      <c r="S4498" s="37" t="str">
        <f>IFERROR(__xludf.DUMMYFUNCTION("if(not(iserror(index(split(C4498, "" ""),2))), index(split(C4498, "" ""),1),"""")"),"")</f>
        <v/>
      </c>
      <c r="T4498" s="315" t="str">
        <f>IFERROR(__xludf.DUMMYFUNCTION("if(S4498="""",C4498,if(not(iserror(index(split(C4498, "" ""),3))), index(split(C4498, "" ""),3),index(split(C4498, "" ""),2)))"),"")</f>
        <v/>
      </c>
      <c r="U4498" s="38" t="b">
        <f t="shared" si="423"/>
        <v>0</v>
      </c>
      <c r="V4498" s="38"/>
      <c r="W4498" s="40"/>
      <c r="X4498" s="40"/>
      <c r="Y4498" s="40"/>
      <c r="Z4498" s="38"/>
      <c r="AA4498" s="38"/>
      <c r="AB4498" s="38"/>
      <c r="AC4498" s="38"/>
      <c r="AD4498" s="38"/>
      <c r="AE4498" s="38"/>
      <c r="AF4498" s="38"/>
      <c r="AG4498" s="38"/>
      <c r="AH4498" s="38"/>
      <c r="AI4498" s="38"/>
      <c r="AJ4498" s="38"/>
      <c r="AK4498" s="38"/>
      <c r="AL4498" s="38"/>
      <c r="AM4498" s="38"/>
      <c r="AN4498" s="38"/>
      <c r="AO4498" s="38"/>
      <c r="AP4498" s="38"/>
      <c r="AQ4498" s="38"/>
      <c r="AR4498" s="38"/>
      <c r="AS4498" s="38"/>
      <c r="AT4498" s="38"/>
      <c r="AU4498" s="38"/>
      <c r="AV4498" s="38"/>
      <c r="AW4498" s="38"/>
      <c r="AX4498" s="38"/>
      <c r="AY4498" s="38"/>
      <c r="AZ4498" s="38"/>
      <c r="BA4498" s="38"/>
      <c r="BB4498" s="38"/>
      <c r="BC4498" s="38"/>
      <c r="BD4498" s="38"/>
      <c r="BE4498" s="38"/>
      <c r="BF4498" s="38"/>
      <c r="BG4498" s="38"/>
      <c r="BH4498" s="38"/>
      <c r="BI4498" s="38"/>
      <c r="BJ4498" s="38"/>
      <c r="BK4498" s="38"/>
      <c r="BL4498" s="38"/>
      <c r="BM4498" s="38"/>
      <c r="BN4498" s="38"/>
      <c r="BO4498" s="38"/>
      <c r="BP4498" s="38"/>
      <c r="BQ4498" s="38"/>
    </row>
    <row r="4499">
      <c r="A4499" s="16"/>
      <c r="B4499" s="145"/>
      <c r="C4499" s="146"/>
      <c r="D4499" s="146"/>
      <c r="E4499" s="16"/>
      <c r="F4499" s="91"/>
      <c r="G4499" s="16"/>
      <c r="H4499" s="320" t="str">
        <f t="shared" si="424"/>
        <v/>
      </c>
      <c r="I4499" s="16"/>
      <c r="J4499" s="16"/>
      <c r="K4499" s="16"/>
      <c r="L4499" s="16"/>
      <c r="M4499" s="15"/>
      <c r="N4499" s="15"/>
      <c r="O4499" s="16"/>
      <c r="P4499" s="16"/>
      <c r="Q4499" s="16"/>
      <c r="R4499" s="16"/>
      <c r="S4499" s="37" t="str">
        <f>IFERROR(__xludf.DUMMYFUNCTION("if(not(iserror(index(split(C4499, "" ""),2))), index(split(C4499, "" ""),1),"""")"),"")</f>
        <v/>
      </c>
      <c r="T4499" s="315" t="str">
        <f>IFERROR(__xludf.DUMMYFUNCTION("if(S4499="""",C4499,if(not(iserror(index(split(C4499, "" ""),3))), index(split(C4499, "" ""),3),index(split(C4499, "" ""),2)))"),"")</f>
        <v/>
      </c>
      <c r="U4499" s="38" t="b">
        <f t="shared" si="423"/>
        <v>0</v>
      </c>
      <c r="V4499" s="38"/>
      <c r="W4499" s="40"/>
      <c r="X4499" s="40"/>
      <c r="Y4499" s="40"/>
      <c r="Z4499" s="38"/>
      <c r="AA4499" s="38"/>
      <c r="AB4499" s="38"/>
      <c r="AC4499" s="38"/>
      <c r="AD4499" s="38"/>
      <c r="AE4499" s="38"/>
      <c r="AF4499" s="38"/>
      <c r="AG4499" s="38"/>
      <c r="AH4499" s="38"/>
      <c r="AI4499" s="38"/>
      <c r="AJ4499" s="38"/>
      <c r="AK4499" s="38"/>
      <c r="AL4499" s="38"/>
      <c r="AM4499" s="38"/>
      <c r="AN4499" s="38"/>
      <c r="AO4499" s="38"/>
      <c r="AP4499" s="38"/>
      <c r="AQ4499" s="38"/>
      <c r="AR4499" s="38"/>
      <c r="AS4499" s="38"/>
      <c r="AT4499" s="38"/>
      <c r="AU4499" s="38"/>
      <c r="AV4499" s="38"/>
      <c r="AW4499" s="38"/>
      <c r="AX4499" s="38"/>
      <c r="AY4499" s="38"/>
      <c r="AZ4499" s="38"/>
      <c r="BA4499" s="38"/>
      <c r="BB4499" s="38"/>
      <c r="BC4499" s="38"/>
      <c r="BD4499" s="38"/>
      <c r="BE4499" s="38"/>
      <c r="BF4499" s="38"/>
      <c r="BG4499" s="38"/>
      <c r="BH4499" s="38"/>
      <c r="BI4499" s="38"/>
      <c r="BJ4499" s="38"/>
      <c r="BK4499" s="38"/>
      <c r="BL4499" s="38"/>
      <c r="BM4499" s="38"/>
      <c r="BN4499" s="38"/>
      <c r="BO4499" s="38"/>
      <c r="BP4499" s="38"/>
      <c r="BQ4499" s="38"/>
    </row>
    <row r="4500">
      <c r="A4500" s="16"/>
      <c r="B4500" s="145"/>
      <c r="C4500" s="146"/>
      <c r="D4500" s="146"/>
      <c r="E4500" s="16"/>
      <c r="F4500" s="91"/>
      <c r="G4500" s="16"/>
      <c r="H4500" s="320" t="str">
        <f t="shared" si="424"/>
        <v/>
      </c>
      <c r="I4500" s="16"/>
      <c r="J4500" s="16"/>
      <c r="K4500" s="16"/>
      <c r="L4500" s="16"/>
      <c r="M4500" s="15"/>
      <c r="N4500" s="15"/>
      <c r="O4500" s="16"/>
      <c r="P4500" s="16"/>
      <c r="Q4500" s="16"/>
      <c r="R4500" s="16"/>
      <c r="S4500" s="37" t="str">
        <f>IFERROR(__xludf.DUMMYFUNCTION("if(not(iserror(index(split(C4500, "" ""),2))), index(split(C4500, "" ""),1),"""")"),"")</f>
        <v/>
      </c>
      <c r="T4500" s="315" t="str">
        <f>IFERROR(__xludf.DUMMYFUNCTION("if(S4500="""",C4500,if(not(iserror(index(split(C4500, "" ""),3))), index(split(C4500, "" ""),3),index(split(C4500, "" ""),2)))"),"")</f>
        <v/>
      </c>
      <c r="U4500" s="38" t="b">
        <f t="shared" si="423"/>
        <v>0</v>
      </c>
      <c r="V4500" s="38"/>
      <c r="W4500" s="40"/>
      <c r="X4500" s="40"/>
      <c r="Y4500" s="40"/>
      <c r="Z4500" s="38"/>
      <c r="AA4500" s="38"/>
      <c r="AB4500" s="38"/>
      <c r="AC4500" s="38"/>
      <c r="AD4500" s="38"/>
      <c r="AE4500" s="38"/>
      <c r="AF4500" s="38"/>
      <c r="AG4500" s="38"/>
      <c r="AH4500" s="38"/>
      <c r="AI4500" s="38"/>
      <c r="AJ4500" s="38"/>
      <c r="AK4500" s="38"/>
      <c r="AL4500" s="38"/>
      <c r="AM4500" s="38"/>
      <c r="AN4500" s="38"/>
      <c r="AO4500" s="38"/>
      <c r="AP4500" s="38"/>
      <c r="AQ4500" s="38"/>
      <c r="AR4500" s="38"/>
      <c r="AS4500" s="38"/>
      <c r="AT4500" s="38"/>
      <c r="AU4500" s="38"/>
      <c r="AV4500" s="38"/>
      <c r="AW4500" s="38"/>
      <c r="AX4500" s="38"/>
      <c r="AY4500" s="38"/>
      <c r="AZ4500" s="38"/>
      <c r="BA4500" s="38"/>
      <c r="BB4500" s="38"/>
      <c r="BC4500" s="38"/>
      <c r="BD4500" s="38"/>
      <c r="BE4500" s="38"/>
      <c r="BF4500" s="38"/>
      <c r="BG4500" s="38"/>
      <c r="BH4500" s="38"/>
      <c r="BI4500" s="38"/>
      <c r="BJ4500" s="38"/>
      <c r="BK4500" s="38"/>
      <c r="BL4500" s="38"/>
      <c r="BM4500" s="38"/>
      <c r="BN4500" s="38"/>
      <c r="BO4500" s="38"/>
      <c r="BP4500" s="38"/>
      <c r="BQ4500" s="38"/>
    </row>
    <row r="4501">
      <c r="A4501" s="16"/>
      <c r="B4501" s="145"/>
      <c r="C4501" s="146"/>
      <c r="D4501" s="146"/>
      <c r="E4501" s="16"/>
      <c r="F4501" s="91"/>
      <c r="G4501" s="16"/>
      <c r="H4501" s="320" t="str">
        <f t="shared" si="424"/>
        <v/>
      </c>
      <c r="I4501" s="16"/>
      <c r="J4501" s="16"/>
      <c r="K4501" s="16"/>
      <c r="L4501" s="16"/>
      <c r="M4501" s="15"/>
      <c r="N4501" s="15"/>
      <c r="O4501" s="16"/>
      <c r="P4501" s="16"/>
      <c r="Q4501" s="16"/>
      <c r="R4501" s="16"/>
      <c r="S4501" s="37" t="str">
        <f>IFERROR(__xludf.DUMMYFUNCTION("if(not(iserror(index(split(C4501, "" ""),2))), index(split(C4501, "" ""),1),"""")"),"")</f>
        <v/>
      </c>
      <c r="T4501" s="315" t="str">
        <f>IFERROR(__xludf.DUMMYFUNCTION("if(S4501="""",C4501,if(not(iserror(index(split(C4501, "" ""),3))), index(split(C4501, "" ""),3),index(split(C4501, "" ""),2)))"),"")</f>
        <v/>
      </c>
      <c r="U4501" s="38" t="b">
        <f t="shared" si="423"/>
        <v>0</v>
      </c>
      <c r="V4501" s="38"/>
      <c r="W4501" s="40"/>
      <c r="X4501" s="40"/>
      <c r="Y4501" s="40"/>
      <c r="Z4501" s="38"/>
      <c r="AA4501" s="38"/>
      <c r="AB4501" s="38"/>
      <c r="AC4501" s="38"/>
      <c r="AD4501" s="38"/>
      <c r="AE4501" s="38"/>
      <c r="AF4501" s="38"/>
      <c r="AG4501" s="38"/>
      <c r="AH4501" s="38"/>
      <c r="AI4501" s="38"/>
      <c r="AJ4501" s="38"/>
      <c r="AK4501" s="38"/>
      <c r="AL4501" s="38"/>
      <c r="AM4501" s="38"/>
      <c r="AN4501" s="38"/>
      <c r="AO4501" s="38"/>
      <c r="AP4501" s="38"/>
      <c r="AQ4501" s="38"/>
      <c r="AR4501" s="38"/>
      <c r="AS4501" s="38"/>
      <c r="AT4501" s="38"/>
      <c r="AU4501" s="38"/>
      <c r="AV4501" s="38"/>
      <c r="AW4501" s="38"/>
      <c r="AX4501" s="38"/>
      <c r="AY4501" s="38"/>
      <c r="AZ4501" s="38"/>
      <c r="BA4501" s="38"/>
      <c r="BB4501" s="38"/>
      <c r="BC4501" s="38"/>
      <c r="BD4501" s="38"/>
      <c r="BE4501" s="38"/>
      <c r="BF4501" s="38"/>
      <c r="BG4501" s="38"/>
      <c r="BH4501" s="38"/>
      <c r="BI4501" s="38"/>
      <c r="BJ4501" s="38"/>
      <c r="BK4501" s="38"/>
      <c r="BL4501" s="38"/>
      <c r="BM4501" s="38"/>
      <c r="BN4501" s="38"/>
      <c r="BO4501" s="38"/>
      <c r="BP4501" s="38"/>
      <c r="BQ4501" s="38"/>
    </row>
    <row r="4502">
      <c r="A4502" s="16"/>
      <c r="B4502" s="145"/>
      <c r="C4502" s="146"/>
      <c r="D4502" s="146"/>
      <c r="E4502" s="16"/>
      <c r="F4502" s="91"/>
      <c r="G4502" s="16"/>
      <c r="H4502" s="320" t="str">
        <f t="shared" si="424"/>
        <v/>
      </c>
      <c r="I4502" s="16"/>
      <c r="J4502" s="16"/>
      <c r="K4502" s="16"/>
      <c r="L4502" s="16"/>
      <c r="M4502" s="15"/>
      <c r="N4502" s="15"/>
      <c r="O4502" s="16"/>
      <c r="P4502" s="16"/>
      <c r="Q4502" s="16"/>
      <c r="R4502" s="16"/>
      <c r="S4502" s="37" t="str">
        <f>IFERROR(__xludf.DUMMYFUNCTION("if(not(iserror(index(split(C4502, "" ""),2))), index(split(C4502, "" ""),1),"""")"),"")</f>
        <v/>
      </c>
      <c r="T4502" s="315" t="str">
        <f>IFERROR(__xludf.DUMMYFUNCTION("if(S4502="""",C4502,if(not(iserror(index(split(C4502, "" ""),3))), index(split(C4502, "" ""),3),index(split(C4502, "" ""),2)))"),"")</f>
        <v/>
      </c>
      <c r="U4502" s="38" t="b">
        <f t="shared" si="423"/>
        <v>0</v>
      </c>
      <c r="V4502" s="38"/>
      <c r="W4502" s="40"/>
      <c r="X4502" s="40"/>
      <c r="Y4502" s="40"/>
      <c r="Z4502" s="38"/>
      <c r="AA4502" s="38"/>
      <c r="AB4502" s="38"/>
      <c r="AC4502" s="38"/>
      <c r="AD4502" s="38"/>
      <c r="AE4502" s="38"/>
      <c r="AF4502" s="38"/>
      <c r="AG4502" s="38"/>
      <c r="AH4502" s="38"/>
      <c r="AI4502" s="38"/>
      <c r="AJ4502" s="38"/>
      <c r="AK4502" s="38"/>
      <c r="AL4502" s="38"/>
      <c r="AM4502" s="38"/>
      <c r="AN4502" s="38"/>
      <c r="AO4502" s="38"/>
      <c r="AP4502" s="38"/>
      <c r="AQ4502" s="38"/>
      <c r="AR4502" s="38"/>
      <c r="AS4502" s="38"/>
      <c r="AT4502" s="38"/>
      <c r="AU4502" s="38"/>
      <c r="AV4502" s="38"/>
      <c r="AW4502" s="38"/>
      <c r="AX4502" s="38"/>
      <c r="AY4502" s="38"/>
      <c r="AZ4502" s="38"/>
      <c r="BA4502" s="38"/>
      <c r="BB4502" s="38"/>
      <c r="BC4502" s="38"/>
      <c r="BD4502" s="38"/>
      <c r="BE4502" s="38"/>
      <c r="BF4502" s="38"/>
      <c r="BG4502" s="38"/>
      <c r="BH4502" s="38"/>
      <c r="BI4502" s="38"/>
      <c r="BJ4502" s="38"/>
      <c r="BK4502" s="38"/>
      <c r="BL4502" s="38"/>
      <c r="BM4502" s="38"/>
      <c r="BN4502" s="38"/>
      <c r="BO4502" s="38"/>
      <c r="BP4502" s="38"/>
      <c r="BQ4502" s="38"/>
    </row>
    <row r="4503">
      <c r="A4503" s="16"/>
      <c r="B4503" s="145"/>
      <c r="C4503" s="146"/>
      <c r="D4503" s="146"/>
      <c r="E4503" s="16"/>
      <c r="F4503" s="91"/>
      <c r="G4503" s="16"/>
      <c r="H4503" s="320" t="str">
        <f t="shared" si="424"/>
        <v/>
      </c>
      <c r="I4503" s="16"/>
      <c r="J4503" s="16"/>
      <c r="K4503" s="16"/>
      <c r="L4503" s="16"/>
      <c r="M4503" s="15"/>
      <c r="N4503" s="15"/>
      <c r="O4503" s="16"/>
      <c r="P4503" s="16"/>
      <c r="Q4503" s="16"/>
      <c r="R4503" s="16"/>
      <c r="S4503" s="37" t="str">
        <f>IFERROR(__xludf.DUMMYFUNCTION("if(not(iserror(index(split(C4503, "" ""),2))), index(split(C4503, "" ""),1),"""")"),"")</f>
        <v/>
      </c>
      <c r="T4503" s="315" t="str">
        <f>IFERROR(__xludf.DUMMYFUNCTION("if(S4503="""",C4503,if(not(iserror(index(split(C4503, "" ""),3))), index(split(C4503, "" ""),3),index(split(C4503, "" ""),2)))"),"")</f>
        <v/>
      </c>
      <c r="U4503" s="38" t="b">
        <f t="shared" si="423"/>
        <v>0</v>
      </c>
      <c r="V4503" s="38"/>
      <c r="W4503" s="40"/>
      <c r="X4503" s="40"/>
      <c r="Y4503" s="40"/>
      <c r="Z4503" s="38"/>
      <c r="AA4503" s="38"/>
      <c r="AB4503" s="38"/>
      <c r="AC4503" s="38"/>
      <c r="AD4503" s="38"/>
      <c r="AE4503" s="38"/>
      <c r="AF4503" s="38"/>
      <c r="AG4503" s="38"/>
      <c r="AH4503" s="38"/>
      <c r="AI4503" s="38"/>
      <c r="AJ4503" s="38"/>
      <c r="AK4503" s="38"/>
      <c r="AL4503" s="38"/>
      <c r="AM4503" s="38"/>
      <c r="AN4503" s="38"/>
      <c r="AO4503" s="38"/>
      <c r="AP4503" s="38"/>
      <c r="AQ4503" s="38"/>
      <c r="AR4503" s="38"/>
      <c r="AS4503" s="38"/>
      <c r="AT4503" s="38"/>
      <c r="AU4503" s="38"/>
      <c r="AV4503" s="38"/>
      <c r="AW4503" s="38"/>
      <c r="AX4503" s="38"/>
      <c r="AY4503" s="38"/>
      <c r="AZ4503" s="38"/>
      <c r="BA4503" s="38"/>
      <c r="BB4503" s="38"/>
      <c r="BC4503" s="38"/>
      <c r="BD4503" s="38"/>
      <c r="BE4503" s="38"/>
      <c r="BF4503" s="38"/>
      <c r="BG4503" s="38"/>
      <c r="BH4503" s="38"/>
      <c r="BI4503" s="38"/>
      <c r="BJ4503" s="38"/>
      <c r="BK4503" s="38"/>
      <c r="BL4503" s="38"/>
      <c r="BM4503" s="38"/>
      <c r="BN4503" s="38"/>
      <c r="BO4503" s="38"/>
      <c r="BP4503" s="38"/>
      <c r="BQ4503" s="38"/>
    </row>
    <row r="4504">
      <c r="A4504" s="16"/>
      <c r="B4504" s="145"/>
      <c r="C4504" s="146"/>
      <c r="D4504" s="146"/>
      <c r="E4504" s="16"/>
      <c r="F4504" s="91"/>
      <c r="G4504" s="16"/>
      <c r="H4504" s="320" t="str">
        <f t="shared" si="424"/>
        <v/>
      </c>
      <c r="I4504" s="16"/>
      <c r="J4504" s="16"/>
      <c r="K4504" s="16"/>
      <c r="L4504" s="16"/>
      <c r="M4504" s="15"/>
      <c r="N4504" s="15"/>
      <c r="O4504" s="16"/>
      <c r="P4504" s="16"/>
      <c r="Q4504" s="16"/>
      <c r="R4504" s="16"/>
      <c r="S4504" s="37" t="str">
        <f>IFERROR(__xludf.DUMMYFUNCTION("if(not(iserror(index(split(C4504, "" ""),2))), index(split(C4504, "" ""),1),"""")"),"")</f>
        <v/>
      </c>
      <c r="T4504" s="315" t="str">
        <f>IFERROR(__xludf.DUMMYFUNCTION("if(S4504="""",C4504,if(not(iserror(index(split(C4504, "" ""),3))), index(split(C4504, "" ""),3),index(split(C4504, "" ""),2)))"),"")</f>
        <v/>
      </c>
      <c r="U4504" s="38" t="b">
        <f t="shared" si="423"/>
        <v>0</v>
      </c>
      <c r="V4504" s="38"/>
      <c r="W4504" s="40"/>
      <c r="X4504" s="40"/>
      <c r="Y4504" s="40"/>
      <c r="Z4504" s="38"/>
      <c r="AA4504" s="38"/>
      <c r="AB4504" s="38"/>
      <c r="AC4504" s="38"/>
      <c r="AD4504" s="38"/>
      <c r="AE4504" s="38"/>
      <c r="AF4504" s="38"/>
      <c r="AG4504" s="38"/>
      <c r="AH4504" s="38"/>
      <c r="AI4504" s="38"/>
      <c r="AJ4504" s="38"/>
      <c r="AK4504" s="38"/>
      <c r="AL4504" s="38"/>
      <c r="AM4504" s="38"/>
      <c r="AN4504" s="38"/>
      <c r="AO4504" s="38"/>
      <c r="AP4504" s="38"/>
      <c r="AQ4504" s="38"/>
      <c r="AR4504" s="38"/>
      <c r="AS4504" s="38"/>
      <c r="AT4504" s="38"/>
      <c r="AU4504" s="38"/>
      <c r="AV4504" s="38"/>
      <c r="AW4504" s="38"/>
      <c r="AX4504" s="38"/>
      <c r="AY4504" s="38"/>
      <c r="AZ4504" s="38"/>
      <c r="BA4504" s="38"/>
      <c r="BB4504" s="38"/>
      <c r="BC4504" s="38"/>
      <c r="BD4504" s="38"/>
      <c r="BE4504" s="38"/>
      <c r="BF4504" s="38"/>
      <c r="BG4504" s="38"/>
      <c r="BH4504" s="38"/>
      <c r="BI4504" s="38"/>
      <c r="BJ4504" s="38"/>
      <c r="BK4504" s="38"/>
      <c r="BL4504" s="38"/>
      <c r="BM4504" s="38"/>
      <c r="BN4504" s="38"/>
      <c r="BO4504" s="38"/>
      <c r="BP4504" s="38"/>
      <c r="BQ4504" s="38"/>
    </row>
    <row r="4505">
      <c r="A4505" s="16"/>
      <c r="B4505" s="145"/>
      <c r="C4505" s="146"/>
      <c r="D4505" s="146"/>
      <c r="E4505" s="16"/>
      <c r="F4505" s="91"/>
      <c r="G4505" s="16"/>
      <c r="H4505" s="320" t="str">
        <f t="shared" si="424"/>
        <v/>
      </c>
      <c r="I4505" s="16"/>
      <c r="J4505" s="16"/>
      <c r="K4505" s="16"/>
      <c r="L4505" s="16"/>
      <c r="M4505" s="15"/>
      <c r="N4505" s="15"/>
      <c r="O4505" s="16"/>
      <c r="P4505" s="16"/>
      <c r="Q4505" s="16"/>
      <c r="R4505" s="16"/>
      <c r="S4505" s="37" t="str">
        <f>IFERROR(__xludf.DUMMYFUNCTION("if(not(iserror(index(split(C4505, "" ""),2))), index(split(C4505, "" ""),1),"""")"),"")</f>
        <v/>
      </c>
      <c r="T4505" s="315" t="str">
        <f>IFERROR(__xludf.DUMMYFUNCTION("if(S4505="""",C4505,if(not(iserror(index(split(C4505, "" ""),3))), index(split(C4505, "" ""),3),index(split(C4505, "" ""),2)))"),"")</f>
        <v/>
      </c>
      <c r="U4505" s="38" t="b">
        <f t="shared" si="423"/>
        <v>0</v>
      </c>
      <c r="V4505" s="38"/>
      <c r="W4505" s="40"/>
      <c r="X4505" s="40"/>
      <c r="Y4505" s="40"/>
      <c r="Z4505" s="38"/>
      <c r="AA4505" s="38"/>
      <c r="AB4505" s="38"/>
      <c r="AC4505" s="38"/>
      <c r="AD4505" s="38"/>
      <c r="AE4505" s="38"/>
      <c r="AF4505" s="38"/>
      <c r="AG4505" s="38"/>
      <c r="AH4505" s="38"/>
      <c r="AI4505" s="38"/>
      <c r="AJ4505" s="38"/>
      <c r="AK4505" s="38"/>
      <c r="AL4505" s="38"/>
      <c r="AM4505" s="38"/>
      <c r="AN4505" s="38"/>
      <c r="AO4505" s="38"/>
      <c r="AP4505" s="38"/>
      <c r="AQ4505" s="38"/>
      <c r="AR4505" s="38"/>
      <c r="AS4505" s="38"/>
      <c r="AT4505" s="38"/>
      <c r="AU4505" s="38"/>
      <c r="AV4505" s="38"/>
      <c r="AW4505" s="38"/>
      <c r="AX4505" s="38"/>
      <c r="AY4505" s="38"/>
      <c r="AZ4505" s="38"/>
      <c r="BA4505" s="38"/>
      <c r="BB4505" s="38"/>
      <c r="BC4505" s="38"/>
      <c r="BD4505" s="38"/>
      <c r="BE4505" s="38"/>
      <c r="BF4505" s="38"/>
      <c r="BG4505" s="38"/>
      <c r="BH4505" s="38"/>
      <c r="BI4505" s="38"/>
      <c r="BJ4505" s="38"/>
      <c r="BK4505" s="38"/>
      <c r="BL4505" s="38"/>
      <c r="BM4505" s="38"/>
      <c r="BN4505" s="38"/>
      <c r="BO4505" s="38"/>
      <c r="BP4505" s="38"/>
      <c r="BQ4505" s="38"/>
    </row>
    <row r="4506">
      <c r="A4506" s="16"/>
      <c r="B4506" s="145"/>
      <c r="C4506" s="146"/>
      <c r="D4506" s="146"/>
      <c r="E4506" s="16"/>
      <c r="F4506" s="91"/>
      <c r="G4506" s="16"/>
      <c r="H4506" s="320" t="str">
        <f t="shared" si="424"/>
        <v/>
      </c>
      <c r="I4506" s="16"/>
      <c r="J4506" s="16"/>
      <c r="K4506" s="16"/>
      <c r="L4506" s="16"/>
      <c r="M4506" s="15"/>
      <c r="N4506" s="15"/>
      <c r="O4506" s="16"/>
      <c r="P4506" s="16"/>
      <c r="Q4506" s="16"/>
      <c r="R4506" s="16"/>
      <c r="S4506" s="37" t="str">
        <f>IFERROR(__xludf.DUMMYFUNCTION("if(not(iserror(index(split(C4506, "" ""),2))), index(split(C4506, "" ""),1),"""")"),"")</f>
        <v/>
      </c>
      <c r="T4506" s="315" t="str">
        <f>IFERROR(__xludf.DUMMYFUNCTION("if(S4506="""",C4506,if(not(iserror(index(split(C4506, "" ""),3))), index(split(C4506, "" ""),3),index(split(C4506, "" ""),2)))"),"")</f>
        <v/>
      </c>
      <c r="U4506" s="38" t="b">
        <f t="shared" si="423"/>
        <v>0</v>
      </c>
      <c r="V4506" s="38"/>
      <c r="W4506" s="40"/>
      <c r="X4506" s="40"/>
      <c r="Y4506" s="40"/>
      <c r="Z4506" s="38"/>
      <c r="AA4506" s="38"/>
      <c r="AB4506" s="38"/>
      <c r="AC4506" s="38"/>
      <c r="AD4506" s="38"/>
      <c r="AE4506" s="38"/>
      <c r="AF4506" s="38"/>
      <c r="AG4506" s="38"/>
      <c r="AH4506" s="38"/>
      <c r="AI4506" s="38"/>
      <c r="AJ4506" s="38"/>
      <c r="AK4506" s="38"/>
      <c r="AL4506" s="38"/>
      <c r="AM4506" s="38"/>
      <c r="AN4506" s="38"/>
      <c r="AO4506" s="38"/>
      <c r="AP4506" s="38"/>
      <c r="AQ4506" s="38"/>
      <c r="AR4506" s="38"/>
      <c r="AS4506" s="38"/>
      <c r="AT4506" s="38"/>
      <c r="AU4506" s="38"/>
      <c r="AV4506" s="38"/>
      <c r="AW4506" s="38"/>
      <c r="AX4506" s="38"/>
      <c r="AY4506" s="38"/>
      <c r="AZ4506" s="38"/>
      <c r="BA4506" s="38"/>
      <c r="BB4506" s="38"/>
      <c r="BC4506" s="38"/>
      <c r="BD4506" s="38"/>
      <c r="BE4506" s="38"/>
      <c r="BF4506" s="38"/>
      <c r="BG4506" s="38"/>
      <c r="BH4506" s="38"/>
      <c r="BI4506" s="38"/>
      <c r="BJ4506" s="38"/>
      <c r="BK4506" s="38"/>
      <c r="BL4506" s="38"/>
      <c r="BM4506" s="38"/>
      <c r="BN4506" s="38"/>
      <c r="BO4506" s="38"/>
      <c r="BP4506" s="38"/>
      <c r="BQ4506" s="38"/>
    </row>
    <row r="4507">
      <c r="A4507" s="16"/>
      <c r="B4507" s="145"/>
      <c r="C4507" s="146"/>
      <c r="D4507" s="146"/>
      <c r="E4507" s="16"/>
      <c r="F4507" s="91"/>
      <c r="G4507" s="16"/>
      <c r="H4507" s="320" t="str">
        <f t="shared" si="424"/>
        <v/>
      </c>
      <c r="I4507" s="16"/>
      <c r="J4507" s="16"/>
      <c r="K4507" s="16"/>
      <c r="L4507" s="16"/>
      <c r="M4507" s="15"/>
      <c r="N4507" s="15"/>
      <c r="O4507" s="16"/>
      <c r="P4507" s="16"/>
      <c r="Q4507" s="16"/>
      <c r="R4507" s="16"/>
      <c r="S4507" s="37" t="str">
        <f>IFERROR(__xludf.DUMMYFUNCTION("if(not(iserror(index(split(C4507, "" ""),2))), index(split(C4507, "" ""),1),"""")"),"")</f>
        <v/>
      </c>
      <c r="T4507" s="315" t="str">
        <f>IFERROR(__xludf.DUMMYFUNCTION("if(S4507="""",C4507,if(not(iserror(index(split(C4507, "" ""),3))), index(split(C4507, "" ""),3),index(split(C4507, "" ""),2)))"),"")</f>
        <v/>
      </c>
      <c r="U4507" s="38" t="b">
        <f t="shared" si="423"/>
        <v>0</v>
      </c>
      <c r="V4507" s="38"/>
      <c r="W4507" s="40"/>
      <c r="X4507" s="40"/>
      <c r="Y4507" s="40"/>
      <c r="Z4507" s="38"/>
      <c r="AA4507" s="38"/>
      <c r="AB4507" s="38"/>
      <c r="AC4507" s="38"/>
      <c r="AD4507" s="38"/>
      <c r="AE4507" s="38"/>
      <c r="AF4507" s="38"/>
      <c r="AG4507" s="38"/>
      <c r="AH4507" s="38"/>
      <c r="AI4507" s="38"/>
      <c r="AJ4507" s="38"/>
      <c r="AK4507" s="38"/>
      <c r="AL4507" s="38"/>
      <c r="AM4507" s="38"/>
      <c r="AN4507" s="38"/>
      <c r="AO4507" s="38"/>
      <c r="AP4507" s="38"/>
      <c r="AQ4507" s="38"/>
      <c r="AR4507" s="38"/>
      <c r="AS4507" s="38"/>
      <c r="AT4507" s="38"/>
      <c r="AU4507" s="38"/>
      <c r="AV4507" s="38"/>
      <c r="AW4507" s="38"/>
      <c r="AX4507" s="38"/>
      <c r="AY4507" s="38"/>
      <c r="AZ4507" s="38"/>
      <c r="BA4507" s="38"/>
      <c r="BB4507" s="38"/>
      <c r="BC4507" s="38"/>
      <c r="BD4507" s="38"/>
      <c r="BE4507" s="38"/>
      <c r="BF4507" s="38"/>
      <c r="BG4507" s="38"/>
      <c r="BH4507" s="38"/>
      <c r="BI4507" s="38"/>
      <c r="BJ4507" s="38"/>
      <c r="BK4507" s="38"/>
      <c r="BL4507" s="38"/>
      <c r="BM4507" s="38"/>
      <c r="BN4507" s="38"/>
      <c r="BO4507" s="38"/>
      <c r="BP4507" s="38"/>
      <c r="BQ4507" s="38"/>
    </row>
    <row r="4508">
      <c r="A4508" s="16"/>
      <c r="B4508" s="145"/>
      <c r="C4508" s="146"/>
      <c r="D4508" s="146"/>
      <c r="E4508" s="16"/>
      <c r="F4508" s="91"/>
      <c r="G4508" s="16"/>
      <c r="H4508" s="320" t="str">
        <f t="shared" si="424"/>
        <v/>
      </c>
      <c r="I4508" s="16"/>
      <c r="J4508" s="16"/>
      <c r="K4508" s="16"/>
      <c r="L4508" s="16"/>
      <c r="M4508" s="15"/>
      <c r="N4508" s="15"/>
      <c r="O4508" s="16"/>
      <c r="P4508" s="16"/>
      <c r="Q4508" s="16"/>
      <c r="R4508" s="16"/>
      <c r="S4508" s="37" t="str">
        <f>IFERROR(__xludf.DUMMYFUNCTION("if(not(iserror(index(split(C4508, "" ""),2))), index(split(C4508, "" ""),1),"""")"),"")</f>
        <v/>
      </c>
      <c r="T4508" s="315" t="str">
        <f>IFERROR(__xludf.DUMMYFUNCTION("if(S4508="""",C4508,if(not(iserror(index(split(C4508, "" ""),3))), index(split(C4508, "" ""),3),index(split(C4508, "" ""),2)))"),"")</f>
        <v/>
      </c>
      <c r="U4508" s="38" t="b">
        <f t="shared" si="423"/>
        <v>0</v>
      </c>
      <c r="V4508" s="38"/>
      <c r="W4508" s="40"/>
      <c r="X4508" s="40"/>
      <c r="Y4508" s="40"/>
      <c r="Z4508" s="38"/>
      <c r="AA4508" s="38"/>
      <c r="AB4508" s="38"/>
      <c r="AC4508" s="38"/>
      <c r="AD4508" s="38"/>
      <c r="AE4508" s="38"/>
      <c r="AF4508" s="38"/>
      <c r="AG4508" s="38"/>
      <c r="AH4508" s="38"/>
      <c r="AI4508" s="38"/>
      <c r="AJ4508" s="38"/>
      <c r="AK4508" s="38"/>
      <c r="AL4508" s="38"/>
      <c r="AM4508" s="38"/>
      <c r="AN4508" s="38"/>
      <c r="AO4508" s="38"/>
      <c r="AP4508" s="38"/>
      <c r="AQ4508" s="38"/>
      <c r="AR4508" s="38"/>
      <c r="AS4508" s="38"/>
      <c r="AT4508" s="38"/>
      <c r="AU4508" s="38"/>
      <c r="AV4508" s="38"/>
      <c r="AW4508" s="38"/>
      <c r="AX4508" s="38"/>
      <c r="AY4508" s="38"/>
      <c r="AZ4508" s="38"/>
      <c r="BA4508" s="38"/>
      <c r="BB4508" s="38"/>
      <c r="BC4508" s="38"/>
      <c r="BD4508" s="38"/>
      <c r="BE4508" s="38"/>
      <c r="BF4508" s="38"/>
      <c r="BG4508" s="38"/>
      <c r="BH4508" s="38"/>
      <c r="BI4508" s="38"/>
      <c r="BJ4508" s="38"/>
      <c r="BK4508" s="38"/>
      <c r="BL4508" s="38"/>
      <c r="BM4508" s="38"/>
      <c r="BN4508" s="38"/>
      <c r="BO4508" s="38"/>
      <c r="BP4508" s="38"/>
      <c r="BQ4508" s="38"/>
    </row>
    <row r="4509">
      <c r="A4509" s="16"/>
      <c r="B4509" s="145"/>
      <c r="C4509" s="146"/>
      <c r="D4509" s="146"/>
      <c r="E4509" s="16"/>
      <c r="F4509" s="91"/>
      <c r="G4509" s="16"/>
      <c r="H4509" s="320" t="str">
        <f t="shared" si="424"/>
        <v/>
      </c>
      <c r="I4509" s="16"/>
      <c r="J4509" s="16"/>
      <c r="K4509" s="16"/>
      <c r="L4509" s="16"/>
      <c r="M4509" s="15"/>
      <c r="N4509" s="15"/>
      <c r="O4509" s="16"/>
      <c r="P4509" s="16"/>
      <c r="Q4509" s="16"/>
      <c r="R4509" s="16"/>
      <c r="S4509" s="37" t="str">
        <f>IFERROR(__xludf.DUMMYFUNCTION("if(not(iserror(index(split(C4509, "" ""),2))), index(split(C4509, "" ""),1),"""")"),"")</f>
        <v/>
      </c>
      <c r="T4509" s="315" t="str">
        <f>IFERROR(__xludf.DUMMYFUNCTION("if(S4509="""",C4509,if(not(iserror(index(split(C4509, "" ""),3))), index(split(C4509, "" ""),3),index(split(C4509, "" ""),2)))"),"")</f>
        <v/>
      </c>
      <c r="U4509" s="38" t="b">
        <f t="shared" si="423"/>
        <v>0</v>
      </c>
      <c r="V4509" s="38"/>
      <c r="W4509" s="40"/>
      <c r="X4509" s="40"/>
      <c r="Y4509" s="40"/>
      <c r="Z4509" s="38"/>
      <c r="AA4509" s="38"/>
      <c r="AB4509" s="38"/>
      <c r="AC4509" s="38"/>
      <c r="AD4509" s="38"/>
      <c r="AE4509" s="38"/>
      <c r="AF4509" s="38"/>
      <c r="AG4509" s="38"/>
      <c r="AH4509" s="38"/>
      <c r="AI4509" s="38"/>
      <c r="AJ4509" s="38"/>
      <c r="AK4509" s="38"/>
      <c r="AL4509" s="38"/>
      <c r="AM4509" s="38"/>
      <c r="AN4509" s="38"/>
      <c r="AO4509" s="38"/>
      <c r="AP4509" s="38"/>
      <c r="AQ4509" s="38"/>
      <c r="AR4509" s="38"/>
      <c r="AS4509" s="38"/>
      <c r="AT4509" s="38"/>
      <c r="AU4509" s="38"/>
      <c r="AV4509" s="38"/>
      <c r="AW4509" s="38"/>
      <c r="AX4509" s="38"/>
      <c r="AY4509" s="38"/>
      <c r="AZ4509" s="38"/>
      <c r="BA4509" s="38"/>
      <c r="BB4509" s="38"/>
      <c r="BC4509" s="38"/>
      <c r="BD4509" s="38"/>
      <c r="BE4509" s="38"/>
      <c r="BF4509" s="38"/>
      <c r="BG4509" s="38"/>
      <c r="BH4509" s="38"/>
      <c r="BI4509" s="38"/>
      <c r="BJ4509" s="38"/>
      <c r="BK4509" s="38"/>
      <c r="BL4509" s="38"/>
      <c r="BM4509" s="38"/>
      <c r="BN4509" s="38"/>
      <c r="BO4509" s="38"/>
      <c r="BP4509" s="38"/>
      <c r="BQ4509" s="38"/>
    </row>
    <row r="4510">
      <c r="A4510" s="16"/>
      <c r="B4510" s="145"/>
      <c r="C4510" s="146"/>
      <c r="D4510" s="146"/>
      <c r="E4510" s="16"/>
      <c r="F4510" s="91"/>
      <c r="G4510" s="16"/>
      <c r="H4510" s="320" t="str">
        <f t="shared" si="424"/>
        <v/>
      </c>
      <c r="I4510" s="16"/>
      <c r="J4510" s="16"/>
      <c r="K4510" s="16"/>
      <c r="L4510" s="16"/>
      <c r="M4510" s="15"/>
      <c r="N4510" s="15"/>
      <c r="O4510" s="16"/>
      <c r="P4510" s="16"/>
      <c r="Q4510" s="16"/>
      <c r="R4510" s="16"/>
      <c r="S4510" s="37" t="str">
        <f>IFERROR(__xludf.DUMMYFUNCTION("if(not(iserror(index(split(C4510, "" ""),2))), index(split(C4510, "" ""),1),"""")"),"")</f>
        <v/>
      </c>
      <c r="T4510" s="315" t="str">
        <f>IFERROR(__xludf.DUMMYFUNCTION("if(S4510="""",C4510,if(not(iserror(index(split(C4510, "" ""),3))), index(split(C4510, "" ""),3),index(split(C4510, "" ""),2)))"),"")</f>
        <v/>
      </c>
      <c r="U4510" s="38" t="b">
        <f t="shared" si="423"/>
        <v>0</v>
      </c>
      <c r="V4510" s="38"/>
      <c r="W4510" s="40"/>
      <c r="X4510" s="40"/>
      <c r="Y4510" s="40"/>
      <c r="Z4510" s="38"/>
      <c r="AA4510" s="38"/>
      <c r="AB4510" s="38"/>
      <c r="AC4510" s="38"/>
      <c r="AD4510" s="38"/>
      <c r="AE4510" s="38"/>
      <c r="AF4510" s="38"/>
      <c r="AG4510" s="38"/>
      <c r="AH4510" s="38"/>
      <c r="AI4510" s="38"/>
      <c r="AJ4510" s="38"/>
      <c r="AK4510" s="38"/>
      <c r="AL4510" s="38"/>
      <c r="AM4510" s="38"/>
      <c r="AN4510" s="38"/>
      <c r="AO4510" s="38"/>
      <c r="AP4510" s="38"/>
      <c r="AQ4510" s="38"/>
      <c r="AR4510" s="38"/>
      <c r="AS4510" s="38"/>
      <c r="AT4510" s="38"/>
      <c r="AU4510" s="38"/>
      <c r="AV4510" s="38"/>
      <c r="AW4510" s="38"/>
      <c r="AX4510" s="38"/>
      <c r="AY4510" s="38"/>
      <c r="AZ4510" s="38"/>
      <c r="BA4510" s="38"/>
      <c r="BB4510" s="38"/>
      <c r="BC4510" s="38"/>
      <c r="BD4510" s="38"/>
      <c r="BE4510" s="38"/>
      <c r="BF4510" s="38"/>
      <c r="BG4510" s="38"/>
      <c r="BH4510" s="38"/>
      <c r="BI4510" s="38"/>
      <c r="BJ4510" s="38"/>
      <c r="BK4510" s="38"/>
      <c r="BL4510" s="38"/>
      <c r="BM4510" s="38"/>
      <c r="BN4510" s="38"/>
      <c r="BO4510" s="38"/>
      <c r="BP4510" s="38"/>
      <c r="BQ4510" s="38"/>
    </row>
    <row r="4511">
      <c r="A4511" s="16"/>
      <c r="B4511" s="145"/>
      <c r="C4511" s="146"/>
      <c r="D4511" s="146"/>
      <c r="E4511" s="16"/>
      <c r="F4511" s="91"/>
      <c r="G4511" s="16"/>
      <c r="H4511" s="320" t="str">
        <f t="shared" si="424"/>
        <v/>
      </c>
      <c r="I4511" s="16"/>
      <c r="J4511" s="16"/>
      <c r="K4511" s="16"/>
      <c r="L4511" s="16"/>
      <c r="M4511" s="15"/>
      <c r="N4511" s="15"/>
      <c r="O4511" s="16"/>
      <c r="P4511" s="16"/>
      <c r="Q4511" s="16"/>
      <c r="R4511" s="16"/>
      <c r="S4511" s="37" t="str">
        <f>IFERROR(__xludf.DUMMYFUNCTION("if(not(iserror(index(split(C4511, "" ""),2))), index(split(C4511, "" ""),1),"""")"),"")</f>
        <v/>
      </c>
      <c r="T4511" s="315" t="str">
        <f>IFERROR(__xludf.DUMMYFUNCTION("if(S4511="""",C4511,if(not(iserror(index(split(C4511, "" ""),3))), index(split(C4511, "" ""),3),index(split(C4511, "" ""),2)))"),"")</f>
        <v/>
      </c>
      <c r="U4511" s="38" t="b">
        <f t="shared" si="423"/>
        <v>0</v>
      </c>
      <c r="V4511" s="38"/>
      <c r="W4511" s="40"/>
      <c r="X4511" s="40"/>
      <c r="Y4511" s="40"/>
      <c r="Z4511" s="38"/>
      <c r="AA4511" s="38"/>
      <c r="AB4511" s="38"/>
      <c r="AC4511" s="38"/>
      <c r="AD4511" s="38"/>
      <c r="AE4511" s="38"/>
      <c r="AF4511" s="38"/>
      <c r="AG4511" s="38"/>
      <c r="AH4511" s="38"/>
      <c r="AI4511" s="38"/>
      <c r="AJ4511" s="38"/>
      <c r="AK4511" s="38"/>
      <c r="AL4511" s="38"/>
      <c r="AM4511" s="38"/>
      <c r="AN4511" s="38"/>
      <c r="AO4511" s="38"/>
      <c r="AP4511" s="38"/>
      <c r="AQ4511" s="38"/>
      <c r="AR4511" s="38"/>
      <c r="AS4511" s="38"/>
      <c r="AT4511" s="38"/>
      <c r="AU4511" s="38"/>
      <c r="AV4511" s="38"/>
      <c r="AW4511" s="38"/>
      <c r="AX4511" s="38"/>
      <c r="AY4511" s="38"/>
      <c r="AZ4511" s="38"/>
      <c r="BA4511" s="38"/>
      <c r="BB4511" s="38"/>
      <c r="BC4511" s="38"/>
      <c r="BD4511" s="38"/>
      <c r="BE4511" s="38"/>
      <c r="BF4511" s="38"/>
      <c r="BG4511" s="38"/>
      <c r="BH4511" s="38"/>
      <c r="BI4511" s="38"/>
      <c r="BJ4511" s="38"/>
      <c r="BK4511" s="38"/>
      <c r="BL4511" s="38"/>
      <c r="BM4511" s="38"/>
      <c r="BN4511" s="38"/>
      <c r="BO4511" s="38"/>
      <c r="BP4511" s="38"/>
      <c r="BQ4511" s="38"/>
    </row>
    <row r="4512">
      <c r="A4512" s="16"/>
      <c r="B4512" s="145"/>
      <c r="C4512" s="146"/>
      <c r="D4512" s="146"/>
      <c r="E4512" s="16"/>
      <c r="F4512" s="91"/>
      <c r="G4512" s="16"/>
      <c r="H4512" s="320" t="str">
        <f t="shared" si="424"/>
        <v/>
      </c>
      <c r="I4512" s="16"/>
      <c r="J4512" s="16"/>
      <c r="K4512" s="16"/>
      <c r="L4512" s="16"/>
      <c r="M4512" s="15"/>
      <c r="N4512" s="15"/>
      <c r="O4512" s="16"/>
      <c r="P4512" s="16"/>
      <c r="Q4512" s="16"/>
      <c r="R4512" s="16"/>
      <c r="S4512" s="37" t="str">
        <f>IFERROR(__xludf.DUMMYFUNCTION("if(not(iserror(index(split(C4512, "" ""),2))), index(split(C4512, "" ""),1),"""")"),"")</f>
        <v/>
      </c>
      <c r="T4512" s="315" t="str">
        <f>IFERROR(__xludf.DUMMYFUNCTION("if(S4512="""",C4512,if(not(iserror(index(split(C4512, "" ""),3))), index(split(C4512, "" ""),3),index(split(C4512, "" ""),2)))"),"")</f>
        <v/>
      </c>
      <c r="U4512" s="38" t="b">
        <f t="shared" si="423"/>
        <v>0</v>
      </c>
      <c r="V4512" s="38"/>
      <c r="W4512" s="40"/>
      <c r="X4512" s="40"/>
      <c r="Y4512" s="40"/>
      <c r="Z4512" s="38"/>
      <c r="AA4512" s="38"/>
      <c r="AB4512" s="38"/>
      <c r="AC4512" s="38"/>
      <c r="AD4512" s="38"/>
      <c r="AE4512" s="38"/>
      <c r="AF4512" s="38"/>
      <c r="AG4512" s="38"/>
      <c r="AH4512" s="38"/>
      <c r="AI4512" s="38"/>
      <c r="AJ4512" s="38"/>
      <c r="AK4512" s="38"/>
      <c r="AL4512" s="38"/>
      <c r="AM4512" s="38"/>
      <c r="AN4512" s="38"/>
      <c r="AO4512" s="38"/>
      <c r="AP4512" s="38"/>
      <c r="AQ4512" s="38"/>
      <c r="AR4512" s="38"/>
      <c r="AS4512" s="38"/>
      <c r="AT4512" s="38"/>
      <c r="AU4512" s="38"/>
      <c r="AV4512" s="38"/>
      <c r="AW4512" s="38"/>
      <c r="AX4512" s="38"/>
      <c r="AY4512" s="38"/>
      <c r="AZ4512" s="38"/>
      <c r="BA4512" s="38"/>
      <c r="BB4512" s="38"/>
      <c r="BC4512" s="38"/>
      <c r="BD4512" s="38"/>
      <c r="BE4512" s="38"/>
      <c r="BF4512" s="38"/>
      <c r="BG4512" s="38"/>
      <c r="BH4512" s="38"/>
      <c r="BI4512" s="38"/>
      <c r="BJ4512" s="38"/>
      <c r="BK4512" s="38"/>
      <c r="BL4512" s="38"/>
      <c r="BM4512" s="38"/>
      <c r="BN4512" s="38"/>
      <c r="BO4512" s="38"/>
      <c r="BP4512" s="38"/>
      <c r="BQ4512" s="38"/>
    </row>
    <row r="4513">
      <c r="A4513" s="16"/>
      <c r="B4513" s="145"/>
      <c r="C4513" s="146"/>
      <c r="D4513" s="146"/>
      <c r="E4513" s="16"/>
      <c r="F4513" s="91"/>
      <c r="G4513" s="16"/>
      <c r="H4513" s="320" t="str">
        <f t="shared" si="424"/>
        <v/>
      </c>
      <c r="I4513" s="16"/>
      <c r="J4513" s="16"/>
      <c r="K4513" s="16"/>
      <c r="L4513" s="16"/>
      <c r="M4513" s="15"/>
      <c r="N4513" s="15"/>
      <c r="O4513" s="16"/>
      <c r="P4513" s="16"/>
      <c r="Q4513" s="16"/>
      <c r="R4513" s="16"/>
      <c r="S4513" s="37" t="str">
        <f>IFERROR(__xludf.DUMMYFUNCTION("if(not(iserror(index(split(C4513, "" ""),2))), index(split(C4513, "" ""),1),"""")"),"")</f>
        <v/>
      </c>
      <c r="T4513" s="315" t="str">
        <f>IFERROR(__xludf.DUMMYFUNCTION("if(S4513="""",C4513,if(not(iserror(index(split(C4513, "" ""),3))), index(split(C4513, "" ""),3),index(split(C4513, "" ""),2)))"),"")</f>
        <v/>
      </c>
      <c r="U4513" s="38" t="b">
        <f t="shared" si="423"/>
        <v>0</v>
      </c>
      <c r="V4513" s="38"/>
      <c r="W4513" s="40"/>
      <c r="X4513" s="40"/>
      <c r="Y4513" s="40"/>
      <c r="Z4513" s="38"/>
      <c r="AA4513" s="38"/>
      <c r="AB4513" s="38"/>
      <c r="AC4513" s="38"/>
      <c r="AD4513" s="38"/>
      <c r="AE4513" s="38"/>
      <c r="AF4513" s="38"/>
      <c r="AG4513" s="38"/>
      <c r="AH4513" s="38"/>
      <c r="AI4513" s="38"/>
      <c r="AJ4513" s="38"/>
      <c r="AK4513" s="38"/>
      <c r="AL4513" s="38"/>
      <c r="AM4513" s="38"/>
      <c r="AN4513" s="38"/>
      <c r="AO4513" s="38"/>
      <c r="AP4513" s="38"/>
      <c r="AQ4513" s="38"/>
      <c r="AR4513" s="38"/>
      <c r="AS4513" s="38"/>
      <c r="AT4513" s="38"/>
      <c r="AU4513" s="38"/>
      <c r="AV4513" s="38"/>
      <c r="AW4513" s="38"/>
      <c r="AX4513" s="38"/>
      <c r="AY4513" s="38"/>
      <c r="AZ4513" s="38"/>
      <c r="BA4513" s="38"/>
      <c r="BB4513" s="38"/>
      <c r="BC4513" s="38"/>
      <c r="BD4513" s="38"/>
      <c r="BE4513" s="38"/>
      <c r="BF4513" s="38"/>
      <c r="BG4513" s="38"/>
      <c r="BH4513" s="38"/>
      <c r="BI4513" s="38"/>
      <c r="BJ4513" s="38"/>
      <c r="BK4513" s="38"/>
      <c r="BL4513" s="38"/>
      <c r="BM4513" s="38"/>
      <c r="BN4513" s="38"/>
      <c r="BO4513" s="38"/>
      <c r="BP4513" s="38"/>
      <c r="BQ4513" s="38"/>
    </row>
    <row r="4514">
      <c r="A4514" s="16"/>
      <c r="B4514" s="145"/>
      <c r="C4514" s="146"/>
      <c r="D4514" s="146"/>
      <c r="E4514" s="16"/>
      <c r="F4514" s="91"/>
      <c r="G4514" s="16"/>
      <c r="H4514" s="320" t="str">
        <f t="shared" si="424"/>
        <v/>
      </c>
      <c r="I4514" s="16"/>
      <c r="J4514" s="16"/>
      <c r="K4514" s="16"/>
      <c r="L4514" s="16"/>
      <c r="M4514" s="15"/>
      <c r="N4514" s="15"/>
      <c r="O4514" s="16"/>
      <c r="P4514" s="16"/>
      <c r="Q4514" s="16"/>
      <c r="R4514" s="16"/>
      <c r="S4514" s="37" t="str">
        <f>IFERROR(__xludf.DUMMYFUNCTION("if(not(iserror(index(split(C4514, "" ""),2))), index(split(C4514, "" ""),1),"""")"),"")</f>
        <v/>
      </c>
      <c r="T4514" s="315" t="str">
        <f>IFERROR(__xludf.DUMMYFUNCTION("if(S4514="""",C4514,if(not(iserror(index(split(C4514, "" ""),3))), index(split(C4514, "" ""),3),index(split(C4514, "" ""),2)))"),"")</f>
        <v/>
      </c>
      <c r="U4514" s="38" t="b">
        <f t="shared" si="423"/>
        <v>0</v>
      </c>
      <c r="V4514" s="38"/>
      <c r="W4514" s="40"/>
      <c r="X4514" s="40"/>
      <c r="Y4514" s="40"/>
      <c r="Z4514" s="38"/>
      <c r="AA4514" s="38"/>
      <c r="AB4514" s="38"/>
      <c r="AC4514" s="38"/>
      <c r="AD4514" s="38"/>
      <c r="AE4514" s="38"/>
      <c r="AF4514" s="38"/>
      <c r="AG4514" s="38"/>
      <c r="AH4514" s="38"/>
      <c r="AI4514" s="38"/>
      <c r="AJ4514" s="38"/>
      <c r="AK4514" s="38"/>
      <c r="AL4514" s="38"/>
      <c r="AM4514" s="38"/>
      <c r="AN4514" s="38"/>
      <c r="AO4514" s="38"/>
      <c r="AP4514" s="38"/>
      <c r="AQ4514" s="38"/>
      <c r="AR4514" s="38"/>
      <c r="AS4514" s="38"/>
      <c r="AT4514" s="38"/>
      <c r="AU4514" s="38"/>
      <c r="AV4514" s="38"/>
      <c r="AW4514" s="38"/>
      <c r="AX4514" s="38"/>
      <c r="AY4514" s="38"/>
      <c r="AZ4514" s="38"/>
      <c r="BA4514" s="38"/>
      <c r="BB4514" s="38"/>
      <c r="BC4514" s="38"/>
      <c r="BD4514" s="38"/>
      <c r="BE4514" s="38"/>
      <c r="BF4514" s="38"/>
      <c r="BG4514" s="38"/>
      <c r="BH4514" s="38"/>
      <c r="BI4514" s="38"/>
      <c r="BJ4514" s="38"/>
      <c r="BK4514" s="38"/>
      <c r="BL4514" s="38"/>
      <c r="BM4514" s="38"/>
      <c r="BN4514" s="38"/>
      <c r="BO4514" s="38"/>
      <c r="BP4514" s="38"/>
      <c r="BQ4514" s="38"/>
    </row>
    <row r="4515">
      <c r="A4515" s="16"/>
      <c r="B4515" s="145"/>
      <c r="C4515" s="146"/>
      <c r="D4515" s="146"/>
      <c r="E4515" s="16"/>
      <c r="F4515" s="91"/>
      <c r="G4515" s="16"/>
      <c r="H4515" s="320" t="str">
        <f t="shared" si="424"/>
        <v/>
      </c>
      <c r="I4515" s="16"/>
      <c r="J4515" s="16"/>
      <c r="K4515" s="16"/>
      <c r="L4515" s="16"/>
      <c r="M4515" s="15"/>
      <c r="N4515" s="15"/>
      <c r="O4515" s="16"/>
      <c r="P4515" s="16"/>
      <c r="Q4515" s="16"/>
      <c r="R4515" s="16"/>
      <c r="S4515" s="37" t="str">
        <f>IFERROR(__xludf.DUMMYFUNCTION("if(not(iserror(index(split(C4515, "" ""),2))), index(split(C4515, "" ""),1),"""")"),"")</f>
        <v/>
      </c>
      <c r="T4515" s="315" t="str">
        <f>IFERROR(__xludf.DUMMYFUNCTION("if(S4515="""",C4515,if(not(iserror(index(split(C4515, "" ""),3))), index(split(C4515, "" ""),3),index(split(C4515, "" ""),2)))"),"")</f>
        <v/>
      </c>
      <c r="U4515" s="38" t="b">
        <f t="shared" si="423"/>
        <v>0</v>
      </c>
      <c r="V4515" s="38"/>
      <c r="W4515" s="40"/>
      <c r="X4515" s="40"/>
      <c r="Y4515" s="40"/>
      <c r="Z4515" s="38"/>
      <c r="AA4515" s="38"/>
      <c r="AB4515" s="38"/>
      <c r="AC4515" s="38"/>
      <c r="AD4515" s="38"/>
      <c r="AE4515" s="38"/>
      <c r="AF4515" s="38"/>
      <c r="AG4515" s="38"/>
      <c r="AH4515" s="38"/>
      <c r="AI4515" s="38"/>
      <c r="AJ4515" s="38"/>
      <c r="AK4515" s="38"/>
      <c r="AL4515" s="38"/>
      <c r="AM4515" s="38"/>
      <c r="AN4515" s="38"/>
      <c r="AO4515" s="38"/>
      <c r="AP4515" s="38"/>
      <c r="AQ4515" s="38"/>
      <c r="AR4515" s="38"/>
      <c r="AS4515" s="38"/>
      <c r="AT4515" s="38"/>
      <c r="AU4515" s="38"/>
      <c r="AV4515" s="38"/>
      <c r="AW4515" s="38"/>
      <c r="AX4515" s="38"/>
      <c r="AY4515" s="38"/>
      <c r="AZ4515" s="38"/>
      <c r="BA4515" s="38"/>
      <c r="BB4515" s="38"/>
      <c r="BC4515" s="38"/>
      <c r="BD4515" s="38"/>
      <c r="BE4515" s="38"/>
      <c r="BF4515" s="38"/>
      <c r="BG4515" s="38"/>
      <c r="BH4515" s="38"/>
      <c r="BI4515" s="38"/>
      <c r="BJ4515" s="38"/>
      <c r="BK4515" s="38"/>
      <c r="BL4515" s="38"/>
      <c r="BM4515" s="38"/>
      <c r="BN4515" s="38"/>
      <c r="BO4515" s="38"/>
      <c r="BP4515" s="38"/>
      <c r="BQ4515" s="38"/>
    </row>
    <row r="4516">
      <c r="A4516" s="16"/>
      <c r="B4516" s="145"/>
      <c r="C4516" s="146"/>
      <c r="D4516" s="146"/>
      <c r="E4516" s="16"/>
      <c r="F4516" s="91"/>
      <c r="G4516" s="16"/>
      <c r="H4516" s="320" t="str">
        <f t="shared" si="424"/>
        <v/>
      </c>
      <c r="I4516" s="16"/>
      <c r="J4516" s="16"/>
      <c r="K4516" s="16"/>
      <c r="L4516" s="16"/>
      <c r="M4516" s="15"/>
      <c r="N4516" s="15"/>
      <c r="O4516" s="16"/>
      <c r="P4516" s="16"/>
      <c r="Q4516" s="16"/>
      <c r="R4516" s="16"/>
      <c r="S4516" s="37" t="str">
        <f>IFERROR(__xludf.DUMMYFUNCTION("if(not(iserror(index(split(C4516, "" ""),2))), index(split(C4516, "" ""),1),"""")"),"")</f>
        <v/>
      </c>
      <c r="T4516" s="315" t="str">
        <f>IFERROR(__xludf.DUMMYFUNCTION("if(S4516="""",C4516,if(not(iserror(index(split(C4516, "" ""),3))), index(split(C4516, "" ""),3),index(split(C4516, "" ""),2)))"),"")</f>
        <v/>
      </c>
      <c r="U4516" s="38" t="b">
        <f t="shared" si="423"/>
        <v>0</v>
      </c>
      <c r="V4516" s="38"/>
      <c r="W4516" s="40"/>
      <c r="X4516" s="40"/>
      <c r="Y4516" s="40"/>
      <c r="Z4516" s="38"/>
      <c r="AA4516" s="38"/>
      <c r="AB4516" s="38"/>
      <c r="AC4516" s="38"/>
      <c r="AD4516" s="38"/>
      <c r="AE4516" s="38"/>
      <c r="AF4516" s="38"/>
      <c r="AG4516" s="38"/>
      <c r="AH4516" s="38"/>
      <c r="AI4516" s="38"/>
      <c r="AJ4516" s="38"/>
      <c r="AK4516" s="38"/>
      <c r="AL4516" s="38"/>
      <c r="AM4516" s="38"/>
      <c r="AN4516" s="38"/>
      <c r="AO4516" s="38"/>
      <c r="AP4516" s="38"/>
      <c r="AQ4516" s="38"/>
      <c r="AR4516" s="38"/>
      <c r="AS4516" s="38"/>
      <c r="AT4516" s="38"/>
      <c r="AU4516" s="38"/>
      <c r="AV4516" s="38"/>
      <c r="AW4516" s="38"/>
      <c r="AX4516" s="38"/>
      <c r="AY4516" s="38"/>
      <c r="AZ4516" s="38"/>
      <c r="BA4516" s="38"/>
      <c r="BB4516" s="38"/>
      <c r="BC4516" s="38"/>
      <c r="BD4516" s="38"/>
      <c r="BE4516" s="38"/>
      <c r="BF4516" s="38"/>
      <c r="BG4516" s="38"/>
      <c r="BH4516" s="38"/>
      <c r="BI4516" s="38"/>
      <c r="BJ4516" s="38"/>
      <c r="BK4516" s="38"/>
      <c r="BL4516" s="38"/>
      <c r="BM4516" s="38"/>
      <c r="BN4516" s="38"/>
      <c r="BO4516" s="38"/>
      <c r="BP4516" s="38"/>
      <c r="BQ4516" s="38"/>
    </row>
    <row r="4517">
      <c r="A4517" s="16"/>
      <c r="B4517" s="145"/>
      <c r="C4517" s="146"/>
      <c r="D4517" s="146"/>
      <c r="E4517" s="16"/>
      <c r="F4517" s="91"/>
      <c r="G4517" s="16"/>
      <c r="H4517" s="320" t="str">
        <f t="shared" si="424"/>
        <v/>
      </c>
      <c r="I4517" s="16"/>
      <c r="J4517" s="16"/>
      <c r="K4517" s="16"/>
      <c r="L4517" s="16"/>
      <c r="M4517" s="15"/>
      <c r="N4517" s="15"/>
      <c r="O4517" s="16"/>
      <c r="P4517" s="16"/>
      <c r="Q4517" s="16"/>
      <c r="R4517" s="16"/>
      <c r="S4517" s="37" t="str">
        <f>IFERROR(__xludf.DUMMYFUNCTION("if(not(iserror(index(split(C4517, "" ""),2))), index(split(C4517, "" ""),1),"""")"),"")</f>
        <v/>
      </c>
      <c r="T4517" s="315" t="str">
        <f>IFERROR(__xludf.DUMMYFUNCTION("if(S4517="""",C4517,if(not(iserror(index(split(C4517, "" ""),3))), index(split(C4517, "" ""),3),index(split(C4517, "" ""),2)))"),"")</f>
        <v/>
      </c>
      <c r="U4517" s="38" t="b">
        <f t="shared" si="423"/>
        <v>0</v>
      </c>
      <c r="V4517" s="38"/>
      <c r="W4517" s="40"/>
      <c r="X4517" s="40"/>
      <c r="Y4517" s="40"/>
      <c r="Z4517" s="38"/>
      <c r="AA4517" s="38"/>
      <c r="AB4517" s="38"/>
      <c r="AC4517" s="38"/>
      <c r="AD4517" s="38"/>
      <c r="AE4517" s="38"/>
      <c r="AF4517" s="38"/>
      <c r="AG4517" s="38"/>
      <c r="AH4517" s="38"/>
      <c r="AI4517" s="38"/>
      <c r="AJ4517" s="38"/>
      <c r="AK4517" s="38"/>
      <c r="AL4517" s="38"/>
      <c r="AM4517" s="38"/>
      <c r="AN4517" s="38"/>
      <c r="AO4517" s="38"/>
      <c r="AP4517" s="38"/>
      <c r="AQ4517" s="38"/>
      <c r="AR4517" s="38"/>
      <c r="AS4517" s="38"/>
      <c r="AT4517" s="38"/>
      <c r="AU4517" s="38"/>
      <c r="AV4517" s="38"/>
      <c r="AW4517" s="38"/>
      <c r="AX4517" s="38"/>
      <c r="AY4517" s="38"/>
      <c r="AZ4517" s="38"/>
      <c r="BA4517" s="38"/>
      <c r="BB4517" s="38"/>
      <c r="BC4517" s="38"/>
      <c r="BD4517" s="38"/>
      <c r="BE4517" s="38"/>
      <c r="BF4517" s="38"/>
      <c r="BG4517" s="38"/>
      <c r="BH4517" s="38"/>
      <c r="BI4517" s="38"/>
      <c r="BJ4517" s="38"/>
      <c r="BK4517" s="38"/>
      <c r="BL4517" s="38"/>
      <c r="BM4517" s="38"/>
      <c r="BN4517" s="38"/>
      <c r="BO4517" s="38"/>
      <c r="BP4517" s="38"/>
      <c r="BQ4517" s="38"/>
    </row>
    <row r="4518">
      <c r="A4518" s="16"/>
      <c r="B4518" s="145"/>
      <c r="C4518" s="146"/>
      <c r="D4518" s="146"/>
      <c r="E4518" s="16"/>
      <c r="F4518" s="91"/>
      <c r="G4518" s="16"/>
      <c r="H4518" s="320" t="str">
        <f t="shared" si="424"/>
        <v/>
      </c>
      <c r="I4518" s="16"/>
      <c r="J4518" s="16"/>
      <c r="K4518" s="16"/>
      <c r="L4518" s="16"/>
      <c r="M4518" s="15"/>
      <c r="N4518" s="15"/>
      <c r="O4518" s="16"/>
      <c r="P4518" s="16"/>
      <c r="Q4518" s="16"/>
      <c r="R4518" s="16"/>
      <c r="S4518" s="37" t="str">
        <f>IFERROR(__xludf.DUMMYFUNCTION("if(not(iserror(index(split(C4518, "" ""),2))), index(split(C4518, "" ""),1),"""")"),"")</f>
        <v/>
      </c>
      <c r="T4518" s="315" t="str">
        <f>IFERROR(__xludf.DUMMYFUNCTION("if(S4518="""",C4518,if(not(iserror(index(split(C4518, "" ""),3))), index(split(C4518, "" ""),3),index(split(C4518, "" ""),2)))"),"")</f>
        <v/>
      </c>
      <c r="U4518" s="38" t="b">
        <f t="shared" si="423"/>
        <v>0</v>
      </c>
      <c r="V4518" s="38"/>
      <c r="W4518" s="40"/>
      <c r="X4518" s="40"/>
      <c r="Y4518" s="40"/>
      <c r="Z4518" s="38"/>
      <c r="AA4518" s="38"/>
      <c r="AB4518" s="38"/>
      <c r="AC4518" s="38"/>
      <c r="AD4518" s="38"/>
      <c r="AE4518" s="38"/>
      <c r="AF4518" s="38"/>
      <c r="AG4518" s="38"/>
      <c r="AH4518" s="38"/>
      <c r="AI4518" s="38"/>
      <c r="AJ4518" s="38"/>
      <c r="AK4518" s="38"/>
      <c r="AL4518" s="38"/>
      <c r="AM4518" s="38"/>
      <c r="AN4518" s="38"/>
      <c r="AO4518" s="38"/>
      <c r="AP4518" s="38"/>
      <c r="AQ4518" s="38"/>
      <c r="AR4518" s="38"/>
      <c r="AS4518" s="38"/>
      <c r="AT4518" s="38"/>
      <c r="AU4518" s="38"/>
      <c r="AV4518" s="38"/>
      <c r="AW4518" s="38"/>
      <c r="AX4518" s="38"/>
      <c r="AY4518" s="38"/>
      <c r="AZ4518" s="38"/>
      <c r="BA4518" s="38"/>
      <c r="BB4518" s="38"/>
      <c r="BC4518" s="38"/>
      <c r="BD4518" s="38"/>
      <c r="BE4518" s="38"/>
      <c r="BF4518" s="38"/>
      <c r="BG4518" s="38"/>
      <c r="BH4518" s="38"/>
      <c r="BI4518" s="38"/>
      <c r="BJ4518" s="38"/>
      <c r="BK4518" s="38"/>
      <c r="BL4518" s="38"/>
      <c r="BM4518" s="38"/>
      <c r="BN4518" s="38"/>
      <c r="BO4518" s="38"/>
      <c r="BP4518" s="38"/>
      <c r="BQ4518" s="38"/>
    </row>
    <row r="4519">
      <c r="A4519" s="16"/>
      <c r="B4519" s="145"/>
      <c r="C4519" s="146"/>
      <c r="D4519" s="146"/>
      <c r="E4519" s="16"/>
      <c r="F4519" s="91"/>
      <c r="G4519" s="16"/>
      <c r="H4519" s="320" t="str">
        <f t="shared" si="424"/>
        <v/>
      </c>
      <c r="I4519" s="16"/>
      <c r="J4519" s="16"/>
      <c r="K4519" s="16"/>
      <c r="L4519" s="16"/>
      <c r="M4519" s="15"/>
      <c r="N4519" s="15"/>
      <c r="O4519" s="16"/>
      <c r="P4519" s="16"/>
      <c r="Q4519" s="16"/>
      <c r="R4519" s="16"/>
      <c r="S4519" s="37" t="str">
        <f>IFERROR(__xludf.DUMMYFUNCTION("if(not(iserror(index(split(C4519, "" ""),2))), index(split(C4519, "" ""),1),"""")"),"")</f>
        <v/>
      </c>
      <c r="T4519" s="315" t="str">
        <f>IFERROR(__xludf.DUMMYFUNCTION("if(S4519="""",C4519,if(not(iserror(index(split(C4519, "" ""),3))), index(split(C4519, "" ""),3),index(split(C4519, "" ""),2)))"),"")</f>
        <v/>
      </c>
      <c r="U4519" s="38" t="b">
        <f t="shared" si="423"/>
        <v>0</v>
      </c>
      <c r="V4519" s="38"/>
      <c r="W4519" s="40"/>
      <c r="X4519" s="40"/>
      <c r="Y4519" s="40"/>
      <c r="Z4519" s="38"/>
      <c r="AA4519" s="38"/>
      <c r="AB4519" s="38"/>
      <c r="AC4519" s="38"/>
      <c r="AD4519" s="38"/>
      <c r="AE4519" s="38"/>
      <c r="AF4519" s="38"/>
      <c r="AG4519" s="38"/>
      <c r="AH4519" s="38"/>
      <c r="AI4519" s="38"/>
      <c r="AJ4519" s="38"/>
      <c r="AK4519" s="38"/>
      <c r="AL4519" s="38"/>
      <c r="AM4519" s="38"/>
      <c r="AN4519" s="38"/>
      <c r="AO4519" s="38"/>
      <c r="AP4519" s="38"/>
      <c r="AQ4519" s="38"/>
      <c r="AR4519" s="38"/>
      <c r="AS4519" s="38"/>
      <c r="AT4519" s="38"/>
      <c r="AU4519" s="38"/>
      <c r="AV4519" s="38"/>
      <c r="AW4519" s="38"/>
      <c r="AX4519" s="38"/>
      <c r="AY4519" s="38"/>
      <c r="AZ4519" s="38"/>
      <c r="BA4519" s="38"/>
      <c r="BB4519" s="38"/>
      <c r="BC4519" s="38"/>
      <c r="BD4519" s="38"/>
      <c r="BE4519" s="38"/>
      <c r="BF4519" s="38"/>
      <c r="BG4519" s="38"/>
      <c r="BH4519" s="38"/>
      <c r="BI4519" s="38"/>
      <c r="BJ4519" s="38"/>
      <c r="BK4519" s="38"/>
      <c r="BL4519" s="38"/>
      <c r="BM4519" s="38"/>
      <c r="BN4519" s="38"/>
      <c r="BO4519" s="38"/>
      <c r="BP4519" s="38"/>
      <c r="BQ4519" s="38"/>
    </row>
    <row r="4520">
      <c r="A4520" s="16"/>
      <c r="B4520" s="145"/>
      <c r="C4520" s="146"/>
      <c r="D4520" s="146"/>
      <c r="E4520" s="16"/>
      <c r="F4520" s="91"/>
      <c r="G4520" s="16"/>
      <c r="H4520" s="320" t="str">
        <f t="shared" si="424"/>
        <v/>
      </c>
      <c r="I4520" s="16"/>
      <c r="J4520" s="16"/>
      <c r="K4520" s="16"/>
      <c r="L4520" s="16"/>
      <c r="M4520" s="15"/>
      <c r="N4520" s="15"/>
      <c r="O4520" s="16"/>
      <c r="P4520" s="16"/>
      <c r="Q4520" s="16"/>
      <c r="R4520" s="16"/>
      <c r="S4520" s="37" t="str">
        <f>IFERROR(__xludf.DUMMYFUNCTION("if(not(iserror(index(split(C4520, "" ""),2))), index(split(C4520, "" ""),1),"""")"),"")</f>
        <v/>
      </c>
      <c r="T4520" s="315" t="str">
        <f>IFERROR(__xludf.DUMMYFUNCTION("if(S4520="""",C4520,if(not(iserror(index(split(C4520, "" ""),3))), index(split(C4520, "" ""),3),index(split(C4520, "" ""),2)))"),"")</f>
        <v/>
      </c>
      <c r="U4520" s="38" t="b">
        <f t="shared" si="423"/>
        <v>0</v>
      </c>
      <c r="V4520" s="38"/>
      <c r="W4520" s="40"/>
      <c r="X4520" s="40"/>
      <c r="Y4520" s="40"/>
      <c r="Z4520" s="38"/>
      <c r="AA4520" s="38"/>
      <c r="AB4520" s="38"/>
      <c r="AC4520" s="38"/>
      <c r="AD4520" s="38"/>
      <c r="AE4520" s="38"/>
      <c r="AF4520" s="38"/>
      <c r="AG4520" s="38"/>
      <c r="AH4520" s="38"/>
      <c r="AI4520" s="38"/>
      <c r="AJ4520" s="38"/>
      <c r="AK4520" s="38"/>
      <c r="AL4520" s="38"/>
      <c r="AM4520" s="38"/>
      <c r="AN4520" s="38"/>
      <c r="AO4520" s="38"/>
      <c r="AP4520" s="38"/>
      <c r="AQ4520" s="38"/>
      <c r="AR4520" s="38"/>
      <c r="AS4520" s="38"/>
      <c r="AT4520" s="38"/>
      <c r="AU4520" s="38"/>
      <c r="AV4520" s="38"/>
      <c r="AW4520" s="38"/>
      <c r="AX4520" s="38"/>
      <c r="AY4520" s="38"/>
      <c r="AZ4520" s="38"/>
      <c r="BA4520" s="38"/>
      <c r="BB4520" s="38"/>
      <c r="BC4520" s="38"/>
      <c r="BD4520" s="38"/>
      <c r="BE4520" s="38"/>
      <c r="BF4520" s="38"/>
      <c r="BG4520" s="38"/>
      <c r="BH4520" s="38"/>
      <c r="BI4520" s="38"/>
      <c r="BJ4520" s="38"/>
      <c r="BK4520" s="38"/>
      <c r="BL4520" s="38"/>
      <c r="BM4520" s="38"/>
      <c r="BN4520" s="38"/>
      <c r="BO4520" s="38"/>
      <c r="BP4520" s="38"/>
      <c r="BQ4520" s="38"/>
    </row>
    <row r="4521">
      <c r="A4521" s="16"/>
      <c r="B4521" s="145"/>
      <c r="C4521" s="146"/>
      <c r="D4521" s="146"/>
      <c r="E4521" s="16"/>
      <c r="F4521" s="91"/>
      <c r="G4521" s="16"/>
      <c r="H4521" s="320" t="str">
        <f t="shared" si="424"/>
        <v/>
      </c>
      <c r="I4521" s="16"/>
      <c r="J4521" s="16"/>
      <c r="K4521" s="16"/>
      <c r="L4521" s="16"/>
      <c r="M4521" s="15"/>
      <c r="N4521" s="15"/>
      <c r="O4521" s="16"/>
      <c r="P4521" s="16"/>
      <c r="Q4521" s="16"/>
      <c r="R4521" s="16"/>
      <c r="S4521" s="37" t="str">
        <f>IFERROR(__xludf.DUMMYFUNCTION("if(not(iserror(index(split(C4521, "" ""),2))), index(split(C4521, "" ""),1),"""")"),"")</f>
        <v/>
      </c>
      <c r="T4521" s="315" t="str">
        <f>IFERROR(__xludf.DUMMYFUNCTION("if(S4521="""",C4521,if(not(iserror(index(split(C4521, "" ""),3))), index(split(C4521, "" ""),3),index(split(C4521, "" ""),2)))"),"")</f>
        <v/>
      </c>
      <c r="U4521" s="38" t="b">
        <f t="shared" si="423"/>
        <v>0</v>
      </c>
      <c r="V4521" s="38"/>
      <c r="W4521" s="40"/>
      <c r="X4521" s="40"/>
      <c r="Y4521" s="40"/>
      <c r="Z4521" s="38"/>
      <c r="AA4521" s="38"/>
      <c r="AB4521" s="38"/>
      <c r="AC4521" s="38"/>
      <c r="AD4521" s="38"/>
      <c r="AE4521" s="38"/>
      <c r="AF4521" s="38"/>
      <c r="AG4521" s="38"/>
      <c r="AH4521" s="38"/>
      <c r="AI4521" s="38"/>
      <c r="AJ4521" s="38"/>
      <c r="AK4521" s="38"/>
      <c r="AL4521" s="38"/>
      <c r="AM4521" s="38"/>
      <c r="AN4521" s="38"/>
      <c r="AO4521" s="38"/>
      <c r="AP4521" s="38"/>
      <c r="AQ4521" s="38"/>
      <c r="AR4521" s="38"/>
      <c r="AS4521" s="38"/>
      <c r="AT4521" s="38"/>
      <c r="AU4521" s="38"/>
      <c r="AV4521" s="38"/>
      <c r="AW4521" s="38"/>
      <c r="AX4521" s="38"/>
      <c r="AY4521" s="38"/>
      <c r="AZ4521" s="38"/>
      <c r="BA4521" s="38"/>
      <c r="BB4521" s="38"/>
      <c r="BC4521" s="38"/>
      <c r="BD4521" s="38"/>
      <c r="BE4521" s="38"/>
      <c r="BF4521" s="38"/>
      <c r="BG4521" s="38"/>
      <c r="BH4521" s="38"/>
      <c r="BI4521" s="38"/>
      <c r="BJ4521" s="38"/>
      <c r="BK4521" s="38"/>
      <c r="BL4521" s="38"/>
      <c r="BM4521" s="38"/>
      <c r="BN4521" s="38"/>
      <c r="BO4521" s="38"/>
      <c r="BP4521" s="38"/>
      <c r="BQ4521" s="38"/>
    </row>
    <row r="4522">
      <c r="A4522" s="16"/>
      <c r="B4522" s="145"/>
      <c r="C4522" s="146"/>
      <c r="D4522" s="146"/>
      <c r="E4522" s="16"/>
      <c r="F4522" s="91"/>
      <c r="G4522" s="16"/>
      <c r="H4522" s="320" t="str">
        <f t="shared" si="424"/>
        <v/>
      </c>
      <c r="I4522" s="16"/>
      <c r="J4522" s="16"/>
      <c r="K4522" s="16"/>
      <c r="L4522" s="16"/>
      <c r="M4522" s="15"/>
      <c r="N4522" s="15"/>
      <c r="O4522" s="16"/>
      <c r="P4522" s="16"/>
      <c r="Q4522" s="16"/>
      <c r="R4522" s="16"/>
      <c r="S4522" s="37" t="str">
        <f>IFERROR(__xludf.DUMMYFUNCTION("if(not(iserror(index(split(C4522, "" ""),2))), index(split(C4522, "" ""),1),"""")"),"")</f>
        <v/>
      </c>
      <c r="T4522" s="315" t="str">
        <f>IFERROR(__xludf.DUMMYFUNCTION("if(S4522="""",C4522,if(not(iserror(index(split(C4522, "" ""),3))), index(split(C4522, "" ""),3),index(split(C4522, "" ""),2)))"),"")</f>
        <v/>
      </c>
      <c r="U4522" s="38" t="b">
        <f t="shared" si="423"/>
        <v>0</v>
      </c>
      <c r="V4522" s="38"/>
      <c r="W4522" s="40"/>
      <c r="X4522" s="40"/>
      <c r="Y4522" s="40"/>
      <c r="Z4522" s="38"/>
      <c r="AA4522" s="38"/>
      <c r="AB4522" s="38"/>
      <c r="AC4522" s="38"/>
      <c r="AD4522" s="38"/>
      <c r="AE4522" s="38"/>
      <c r="AF4522" s="38"/>
      <c r="AG4522" s="38"/>
      <c r="AH4522" s="38"/>
      <c r="AI4522" s="38"/>
      <c r="AJ4522" s="38"/>
      <c r="AK4522" s="38"/>
      <c r="AL4522" s="38"/>
      <c r="AM4522" s="38"/>
      <c r="AN4522" s="38"/>
      <c r="AO4522" s="38"/>
      <c r="AP4522" s="38"/>
      <c r="AQ4522" s="38"/>
      <c r="AR4522" s="38"/>
      <c r="AS4522" s="38"/>
      <c r="AT4522" s="38"/>
      <c r="AU4522" s="38"/>
      <c r="AV4522" s="38"/>
      <c r="AW4522" s="38"/>
      <c r="AX4522" s="38"/>
      <c r="AY4522" s="38"/>
      <c r="AZ4522" s="38"/>
      <c r="BA4522" s="38"/>
      <c r="BB4522" s="38"/>
      <c r="BC4522" s="38"/>
      <c r="BD4522" s="38"/>
      <c r="BE4522" s="38"/>
      <c r="BF4522" s="38"/>
      <c r="BG4522" s="38"/>
      <c r="BH4522" s="38"/>
      <c r="BI4522" s="38"/>
      <c r="BJ4522" s="38"/>
      <c r="BK4522" s="38"/>
      <c r="BL4522" s="38"/>
      <c r="BM4522" s="38"/>
      <c r="BN4522" s="38"/>
      <c r="BO4522" s="38"/>
      <c r="BP4522" s="38"/>
      <c r="BQ4522" s="38"/>
    </row>
    <row r="4523">
      <c r="A4523" s="16"/>
      <c r="B4523" s="145"/>
      <c r="C4523" s="146"/>
      <c r="D4523" s="146"/>
      <c r="E4523" s="16"/>
      <c r="F4523" s="91"/>
      <c r="G4523" s="16"/>
      <c r="H4523" s="320" t="str">
        <f t="shared" si="424"/>
        <v/>
      </c>
      <c r="I4523" s="16"/>
      <c r="J4523" s="16"/>
      <c r="K4523" s="16"/>
      <c r="L4523" s="16"/>
      <c r="M4523" s="15"/>
      <c r="N4523" s="15"/>
      <c r="O4523" s="16"/>
      <c r="P4523" s="16"/>
      <c r="Q4523" s="16"/>
      <c r="R4523" s="16"/>
      <c r="S4523" s="37" t="str">
        <f>IFERROR(__xludf.DUMMYFUNCTION("if(not(iserror(index(split(C4523, "" ""),2))), index(split(C4523, "" ""),1),"""")"),"")</f>
        <v/>
      </c>
      <c r="T4523" s="315" t="str">
        <f>IFERROR(__xludf.DUMMYFUNCTION("if(S4523="""",C4523,if(not(iserror(index(split(C4523, "" ""),3))), index(split(C4523, "" ""),3),index(split(C4523, "" ""),2)))"),"")</f>
        <v/>
      </c>
      <c r="U4523" s="38" t="b">
        <f t="shared" si="423"/>
        <v>0</v>
      </c>
      <c r="V4523" s="38"/>
      <c r="W4523" s="40"/>
      <c r="X4523" s="40"/>
      <c r="Y4523" s="40"/>
      <c r="Z4523" s="38"/>
      <c r="AA4523" s="38"/>
      <c r="AB4523" s="38"/>
      <c r="AC4523" s="38"/>
      <c r="AD4523" s="38"/>
      <c r="AE4523" s="38"/>
      <c r="AF4523" s="38"/>
      <c r="AG4523" s="38"/>
      <c r="AH4523" s="38"/>
      <c r="AI4523" s="38"/>
      <c r="AJ4523" s="38"/>
      <c r="AK4523" s="38"/>
      <c r="AL4523" s="38"/>
      <c r="AM4523" s="38"/>
      <c r="AN4523" s="38"/>
      <c r="AO4523" s="38"/>
      <c r="AP4523" s="38"/>
      <c r="AQ4523" s="38"/>
      <c r="AR4523" s="38"/>
      <c r="AS4523" s="38"/>
      <c r="AT4523" s="38"/>
      <c r="AU4523" s="38"/>
      <c r="AV4523" s="38"/>
      <c r="AW4523" s="38"/>
      <c r="AX4523" s="38"/>
      <c r="AY4523" s="38"/>
      <c r="AZ4523" s="38"/>
      <c r="BA4523" s="38"/>
      <c r="BB4523" s="38"/>
      <c r="BC4523" s="38"/>
      <c r="BD4523" s="38"/>
      <c r="BE4523" s="38"/>
      <c r="BF4523" s="38"/>
      <c r="BG4523" s="38"/>
      <c r="BH4523" s="38"/>
      <c r="BI4523" s="38"/>
      <c r="BJ4523" s="38"/>
      <c r="BK4523" s="38"/>
      <c r="BL4523" s="38"/>
      <c r="BM4523" s="38"/>
      <c r="BN4523" s="38"/>
      <c r="BO4523" s="38"/>
      <c r="BP4523" s="38"/>
      <c r="BQ4523" s="38"/>
    </row>
    <row r="4524">
      <c r="A4524" s="16"/>
      <c r="B4524" s="145"/>
      <c r="C4524" s="146"/>
      <c r="D4524" s="146"/>
      <c r="E4524" s="16"/>
      <c r="F4524" s="91"/>
      <c r="G4524" s="16"/>
      <c r="H4524" s="320" t="str">
        <f t="shared" si="424"/>
        <v/>
      </c>
      <c r="I4524" s="16"/>
      <c r="J4524" s="16"/>
      <c r="K4524" s="16"/>
      <c r="L4524" s="16"/>
      <c r="M4524" s="15"/>
      <c r="N4524" s="15"/>
      <c r="O4524" s="16"/>
      <c r="P4524" s="16"/>
      <c r="Q4524" s="16"/>
      <c r="R4524" s="16"/>
      <c r="S4524" s="37" t="str">
        <f>IFERROR(__xludf.DUMMYFUNCTION("if(not(iserror(index(split(C4524, "" ""),2))), index(split(C4524, "" ""),1),"""")"),"")</f>
        <v/>
      </c>
      <c r="T4524" s="315" t="str">
        <f>IFERROR(__xludf.DUMMYFUNCTION("if(S4524="""",C4524,if(not(iserror(index(split(C4524, "" ""),3))), index(split(C4524, "" ""),3),index(split(C4524, "" ""),2)))"),"")</f>
        <v/>
      </c>
      <c r="U4524" s="38" t="b">
        <f t="shared" si="423"/>
        <v>0</v>
      </c>
      <c r="V4524" s="38"/>
      <c r="W4524" s="40"/>
      <c r="X4524" s="40"/>
      <c r="Y4524" s="40"/>
      <c r="Z4524" s="38"/>
      <c r="AA4524" s="38"/>
      <c r="AB4524" s="38"/>
      <c r="AC4524" s="38"/>
      <c r="AD4524" s="38"/>
      <c r="AE4524" s="38"/>
      <c r="AF4524" s="38"/>
      <c r="AG4524" s="38"/>
      <c r="AH4524" s="38"/>
      <c r="AI4524" s="38"/>
      <c r="AJ4524" s="38"/>
      <c r="AK4524" s="38"/>
      <c r="AL4524" s="38"/>
      <c r="AM4524" s="38"/>
      <c r="AN4524" s="38"/>
      <c r="AO4524" s="38"/>
      <c r="AP4524" s="38"/>
      <c r="AQ4524" s="38"/>
      <c r="AR4524" s="38"/>
      <c r="AS4524" s="38"/>
      <c r="AT4524" s="38"/>
      <c r="AU4524" s="38"/>
      <c r="AV4524" s="38"/>
      <c r="AW4524" s="38"/>
      <c r="AX4524" s="38"/>
      <c r="AY4524" s="38"/>
      <c r="AZ4524" s="38"/>
      <c r="BA4524" s="38"/>
      <c r="BB4524" s="38"/>
      <c r="BC4524" s="38"/>
      <c r="BD4524" s="38"/>
      <c r="BE4524" s="38"/>
      <c r="BF4524" s="38"/>
      <c r="BG4524" s="38"/>
      <c r="BH4524" s="38"/>
      <c r="BI4524" s="38"/>
      <c r="BJ4524" s="38"/>
      <c r="BK4524" s="38"/>
      <c r="BL4524" s="38"/>
      <c r="BM4524" s="38"/>
      <c r="BN4524" s="38"/>
      <c r="BO4524" s="38"/>
      <c r="BP4524" s="38"/>
      <c r="BQ4524" s="38"/>
    </row>
    <row r="4525">
      <c r="A4525" s="16"/>
      <c r="B4525" s="145"/>
      <c r="C4525" s="146"/>
      <c r="D4525" s="146"/>
      <c r="E4525" s="16"/>
      <c r="F4525" s="91"/>
      <c r="G4525" s="16"/>
      <c r="H4525" s="320" t="str">
        <f t="shared" si="424"/>
        <v/>
      </c>
      <c r="I4525" s="16"/>
      <c r="J4525" s="16"/>
      <c r="K4525" s="16"/>
      <c r="L4525" s="16"/>
      <c r="M4525" s="15"/>
      <c r="N4525" s="15"/>
      <c r="O4525" s="16"/>
      <c r="P4525" s="16"/>
      <c r="Q4525" s="16"/>
      <c r="R4525" s="16"/>
      <c r="S4525" s="37" t="str">
        <f>IFERROR(__xludf.DUMMYFUNCTION("if(not(iserror(index(split(C4525, "" ""),2))), index(split(C4525, "" ""),1),"""")"),"")</f>
        <v/>
      </c>
      <c r="T4525" s="315" t="str">
        <f>IFERROR(__xludf.DUMMYFUNCTION("if(S4525="""",C4525,if(not(iserror(index(split(C4525, "" ""),3))), index(split(C4525, "" ""),3),index(split(C4525, "" ""),2)))"),"")</f>
        <v/>
      </c>
      <c r="U4525" s="38" t="b">
        <f t="shared" si="423"/>
        <v>0</v>
      </c>
      <c r="V4525" s="38"/>
      <c r="W4525" s="40"/>
      <c r="X4525" s="40"/>
      <c r="Y4525" s="40"/>
      <c r="Z4525" s="38"/>
      <c r="AA4525" s="38"/>
      <c r="AB4525" s="38"/>
      <c r="AC4525" s="38"/>
      <c r="AD4525" s="38"/>
      <c r="AE4525" s="38"/>
      <c r="AF4525" s="38"/>
      <c r="AG4525" s="38"/>
      <c r="AH4525" s="38"/>
      <c r="AI4525" s="38"/>
      <c r="AJ4525" s="38"/>
      <c r="AK4525" s="38"/>
      <c r="AL4525" s="38"/>
      <c r="AM4525" s="38"/>
      <c r="AN4525" s="38"/>
      <c r="AO4525" s="38"/>
      <c r="AP4525" s="38"/>
      <c r="AQ4525" s="38"/>
      <c r="AR4525" s="38"/>
      <c r="AS4525" s="38"/>
      <c r="AT4525" s="38"/>
      <c r="AU4525" s="38"/>
      <c r="AV4525" s="38"/>
      <c r="AW4525" s="38"/>
      <c r="AX4525" s="38"/>
      <c r="AY4525" s="38"/>
      <c r="AZ4525" s="38"/>
      <c r="BA4525" s="38"/>
      <c r="BB4525" s="38"/>
      <c r="BC4525" s="38"/>
      <c r="BD4525" s="38"/>
      <c r="BE4525" s="38"/>
      <c r="BF4525" s="38"/>
      <c r="BG4525" s="38"/>
      <c r="BH4525" s="38"/>
      <c r="BI4525" s="38"/>
      <c r="BJ4525" s="38"/>
      <c r="BK4525" s="38"/>
      <c r="BL4525" s="38"/>
      <c r="BM4525" s="38"/>
      <c r="BN4525" s="38"/>
      <c r="BO4525" s="38"/>
      <c r="BP4525" s="38"/>
      <c r="BQ4525" s="38"/>
    </row>
    <row r="4526">
      <c r="A4526" s="16"/>
      <c r="B4526" s="145"/>
      <c r="C4526" s="146"/>
      <c r="D4526" s="146"/>
      <c r="E4526" s="16"/>
      <c r="F4526" s="91"/>
      <c r="G4526" s="16"/>
      <c r="H4526" s="320" t="str">
        <f t="shared" si="424"/>
        <v/>
      </c>
      <c r="I4526" s="16"/>
      <c r="J4526" s="16"/>
      <c r="K4526" s="16"/>
      <c r="L4526" s="16"/>
      <c r="M4526" s="15"/>
      <c r="N4526" s="15"/>
      <c r="O4526" s="16"/>
      <c r="P4526" s="16"/>
      <c r="Q4526" s="16"/>
      <c r="R4526" s="16"/>
      <c r="S4526" s="37" t="str">
        <f>IFERROR(__xludf.DUMMYFUNCTION("if(not(iserror(index(split(C4526, "" ""),2))), index(split(C4526, "" ""),1),"""")"),"")</f>
        <v/>
      </c>
      <c r="T4526" s="315" t="str">
        <f>IFERROR(__xludf.DUMMYFUNCTION("if(S4526="""",C4526,if(not(iserror(index(split(C4526, "" ""),3))), index(split(C4526, "" ""),3),index(split(C4526, "" ""),2)))"),"")</f>
        <v/>
      </c>
      <c r="U4526" s="38" t="b">
        <f t="shared" si="423"/>
        <v>0</v>
      </c>
      <c r="V4526" s="38"/>
      <c r="W4526" s="40"/>
      <c r="X4526" s="40"/>
      <c r="Y4526" s="40"/>
      <c r="Z4526" s="38"/>
      <c r="AA4526" s="38"/>
      <c r="AB4526" s="38"/>
      <c r="AC4526" s="38"/>
      <c r="AD4526" s="38"/>
      <c r="AE4526" s="38"/>
      <c r="AF4526" s="38"/>
      <c r="AG4526" s="38"/>
      <c r="AH4526" s="38"/>
      <c r="AI4526" s="38"/>
      <c r="AJ4526" s="38"/>
      <c r="AK4526" s="38"/>
      <c r="AL4526" s="38"/>
      <c r="AM4526" s="38"/>
      <c r="AN4526" s="38"/>
      <c r="AO4526" s="38"/>
      <c r="AP4526" s="38"/>
      <c r="AQ4526" s="38"/>
      <c r="AR4526" s="38"/>
      <c r="AS4526" s="38"/>
      <c r="AT4526" s="38"/>
      <c r="AU4526" s="38"/>
      <c r="AV4526" s="38"/>
      <c r="AW4526" s="38"/>
      <c r="AX4526" s="38"/>
      <c r="AY4526" s="38"/>
      <c r="AZ4526" s="38"/>
      <c r="BA4526" s="38"/>
      <c r="BB4526" s="38"/>
      <c r="BC4526" s="38"/>
      <c r="BD4526" s="38"/>
      <c r="BE4526" s="38"/>
      <c r="BF4526" s="38"/>
      <c r="BG4526" s="38"/>
      <c r="BH4526" s="38"/>
      <c r="BI4526" s="38"/>
      <c r="BJ4526" s="38"/>
      <c r="BK4526" s="38"/>
      <c r="BL4526" s="38"/>
      <c r="BM4526" s="38"/>
      <c r="BN4526" s="38"/>
      <c r="BO4526" s="38"/>
      <c r="BP4526" s="38"/>
      <c r="BQ4526" s="38"/>
    </row>
    <row r="4527">
      <c r="A4527" s="16"/>
      <c r="B4527" s="145"/>
      <c r="C4527" s="146"/>
      <c r="D4527" s="146"/>
      <c r="E4527" s="16"/>
      <c r="F4527" s="91"/>
      <c r="G4527" s="16"/>
      <c r="H4527" s="320" t="str">
        <f t="shared" si="424"/>
        <v/>
      </c>
      <c r="I4527" s="16"/>
      <c r="J4527" s="16"/>
      <c r="K4527" s="16"/>
      <c r="L4527" s="16"/>
      <c r="M4527" s="15"/>
      <c r="N4527" s="15"/>
      <c r="O4527" s="16"/>
      <c r="P4527" s="16"/>
      <c r="Q4527" s="16"/>
      <c r="R4527" s="16"/>
      <c r="S4527" s="37" t="str">
        <f>IFERROR(__xludf.DUMMYFUNCTION("if(not(iserror(index(split(C4527, "" ""),2))), index(split(C4527, "" ""),1),"""")"),"")</f>
        <v/>
      </c>
      <c r="T4527" s="315" t="str">
        <f>IFERROR(__xludf.DUMMYFUNCTION("if(S4527="""",C4527,if(not(iserror(index(split(C4527, "" ""),3))), index(split(C4527, "" ""),3),index(split(C4527, "" ""),2)))"),"")</f>
        <v/>
      </c>
      <c r="U4527" s="38" t="b">
        <f t="shared" si="423"/>
        <v>0</v>
      </c>
      <c r="V4527" s="38"/>
      <c r="W4527" s="40"/>
      <c r="X4527" s="40"/>
      <c r="Y4527" s="40"/>
      <c r="Z4527" s="38"/>
      <c r="AA4527" s="38"/>
      <c r="AB4527" s="38"/>
      <c r="AC4527" s="38"/>
      <c r="AD4527" s="38"/>
      <c r="AE4527" s="38"/>
      <c r="AF4527" s="38"/>
      <c r="AG4527" s="38"/>
      <c r="AH4527" s="38"/>
      <c r="AI4527" s="38"/>
      <c r="AJ4527" s="38"/>
      <c r="AK4527" s="38"/>
      <c r="AL4527" s="38"/>
      <c r="AM4527" s="38"/>
      <c r="AN4527" s="38"/>
      <c r="AO4527" s="38"/>
      <c r="AP4527" s="38"/>
      <c r="AQ4527" s="38"/>
      <c r="AR4527" s="38"/>
      <c r="AS4527" s="38"/>
      <c r="AT4527" s="38"/>
      <c r="AU4527" s="38"/>
      <c r="AV4527" s="38"/>
      <c r="AW4527" s="38"/>
      <c r="AX4527" s="38"/>
      <c r="AY4527" s="38"/>
      <c r="AZ4527" s="38"/>
      <c r="BA4527" s="38"/>
      <c r="BB4527" s="38"/>
      <c r="BC4527" s="38"/>
      <c r="BD4527" s="38"/>
      <c r="BE4527" s="38"/>
      <c r="BF4527" s="38"/>
      <c r="BG4527" s="38"/>
      <c r="BH4527" s="38"/>
      <c r="BI4527" s="38"/>
      <c r="BJ4527" s="38"/>
      <c r="BK4527" s="38"/>
      <c r="BL4527" s="38"/>
      <c r="BM4527" s="38"/>
      <c r="BN4527" s="38"/>
      <c r="BO4527" s="38"/>
      <c r="BP4527" s="38"/>
      <c r="BQ4527" s="38"/>
    </row>
    <row r="4528">
      <c r="A4528" s="16"/>
      <c r="B4528" s="145"/>
      <c r="C4528" s="146"/>
      <c r="D4528" s="146"/>
      <c r="E4528" s="16"/>
      <c r="F4528" s="91"/>
      <c r="G4528" s="16"/>
      <c r="H4528" s="320" t="str">
        <f t="shared" si="424"/>
        <v/>
      </c>
      <c r="I4528" s="16"/>
      <c r="J4528" s="16"/>
      <c r="K4528" s="16"/>
      <c r="L4528" s="16"/>
      <c r="M4528" s="15"/>
      <c r="N4528" s="15"/>
      <c r="O4528" s="16"/>
      <c r="P4528" s="16"/>
      <c r="Q4528" s="16"/>
      <c r="R4528" s="16"/>
      <c r="S4528" s="37" t="str">
        <f>IFERROR(__xludf.DUMMYFUNCTION("if(not(iserror(index(split(C4528, "" ""),2))), index(split(C4528, "" ""),1),"""")"),"")</f>
        <v/>
      </c>
      <c r="T4528" s="315" t="str">
        <f>IFERROR(__xludf.DUMMYFUNCTION("if(S4528="""",C4528,if(not(iserror(index(split(C4528, "" ""),3))), index(split(C4528, "" ""),3),index(split(C4528, "" ""),2)))"),"")</f>
        <v/>
      </c>
      <c r="U4528" s="38" t="b">
        <f t="shared" si="423"/>
        <v>0</v>
      </c>
      <c r="V4528" s="38"/>
      <c r="W4528" s="40"/>
      <c r="X4528" s="40"/>
      <c r="Y4528" s="40"/>
      <c r="Z4528" s="38"/>
      <c r="AA4528" s="38"/>
      <c r="AB4528" s="38"/>
      <c r="AC4528" s="38"/>
      <c r="AD4528" s="38"/>
      <c r="AE4528" s="38"/>
      <c r="AF4528" s="38"/>
      <c r="AG4528" s="38"/>
      <c r="AH4528" s="38"/>
      <c r="AI4528" s="38"/>
      <c r="AJ4528" s="38"/>
      <c r="AK4528" s="38"/>
      <c r="AL4528" s="38"/>
      <c r="AM4528" s="38"/>
      <c r="AN4528" s="38"/>
      <c r="AO4528" s="38"/>
      <c r="AP4528" s="38"/>
      <c r="AQ4528" s="38"/>
      <c r="AR4528" s="38"/>
      <c r="AS4528" s="38"/>
      <c r="AT4528" s="38"/>
      <c r="AU4528" s="38"/>
      <c r="AV4528" s="38"/>
      <c r="AW4528" s="38"/>
      <c r="AX4528" s="38"/>
      <c r="AY4528" s="38"/>
      <c r="AZ4528" s="38"/>
      <c r="BA4528" s="38"/>
      <c r="BB4528" s="38"/>
      <c r="BC4528" s="38"/>
      <c r="BD4528" s="38"/>
      <c r="BE4528" s="38"/>
      <c r="BF4528" s="38"/>
      <c r="BG4528" s="38"/>
      <c r="BH4528" s="38"/>
      <c r="BI4528" s="38"/>
      <c r="BJ4528" s="38"/>
      <c r="BK4528" s="38"/>
      <c r="BL4528" s="38"/>
      <c r="BM4528" s="38"/>
      <c r="BN4528" s="38"/>
      <c r="BO4528" s="38"/>
      <c r="BP4528" s="38"/>
      <c r="BQ4528" s="38"/>
    </row>
    <row r="4529">
      <c r="A4529" s="16"/>
      <c r="B4529" s="145"/>
      <c r="C4529" s="146"/>
      <c r="D4529" s="146"/>
      <c r="E4529" s="16"/>
      <c r="F4529" s="91"/>
      <c r="G4529" s="16"/>
      <c r="H4529" s="320" t="str">
        <f t="shared" si="424"/>
        <v/>
      </c>
      <c r="I4529" s="16"/>
      <c r="J4529" s="16"/>
      <c r="K4529" s="16"/>
      <c r="L4529" s="16"/>
      <c r="M4529" s="15"/>
      <c r="N4529" s="15"/>
      <c r="O4529" s="16"/>
      <c r="P4529" s="16"/>
      <c r="Q4529" s="16"/>
      <c r="R4529" s="16"/>
      <c r="S4529" s="37" t="str">
        <f>IFERROR(__xludf.DUMMYFUNCTION("if(not(iserror(index(split(C4529, "" ""),2))), index(split(C4529, "" ""),1),"""")"),"")</f>
        <v/>
      </c>
      <c r="T4529" s="315" t="str">
        <f>IFERROR(__xludf.DUMMYFUNCTION("if(S4529="""",C4529,if(not(iserror(index(split(C4529, "" ""),3))), index(split(C4529, "" ""),3),index(split(C4529, "" ""),2)))"),"")</f>
        <v/>
      </c>
      <c r="U4529" s="38" t="b">
        <f t="shared" si="423"/>
        <v>0</v>
      </c>
      <c r="V4529" s="38"/>
      <c r="W4529" s="40"/>
      <c r="X4529" s="40"/>
      <c r="Y4529" s="40"/>
      <c r="Z4529" s="38"/>
      <c r="AA4529" s="38"/>
      <c r="AB4529" s="38"/>
      <c r="AC4529" s="38"/>
      <c r="AD4529" s="38"/>
      <c r="AE4529" s="38"/>
      <c r="AF4529" s="38"/>
      <c r="AG4529" s="38"/>
      <c r="AH4529" s="38"/>
      <c r="AI4529" s="38"/>
      <c r="AJ4529" s="38"/>
      <c r="AK4529" s="38"/>
      <c r="AL4529" s="38"/>
      <c r="AM4529" s="38"/>
      <c r="AN4529" s="38"/>
      <c r="AO4529" s="38"/>
      <c r="AP4529" s="38"/>
      <c r="AQ4529" s="38"/>
      <c r="AR4529" s="38"/>
      <c r="AS4529" s="38"/>
      <c r="AT4529" s="38"/>
      <c r="AU4529" s="38"/>
      <c r="AV4529" s="38"/>
      <c r="AW4529" s="38"/>
      <c r="AX4529" s="38"/>
      <c r="AY4529" s="38"/>
      <c r="AZ4529" s="38"/>
      <c r="BA4529" s="38"/>
      <c r="BB4529" s="38"/>
      <c r="BC4529" s="38"/>
      <c r="BD4529" s="38"/>
      <c r="BE4529" s="38"/>
      <c r="BF4529" s="38"/>
      <c r="BG4529" s="38"/>
      <c r="BH4529" s="38"/>
      <c r="BI4529" s="38"/>
      <c r="BJ4529" s="38"/>
      <c r="BK4529" s="38"/>
      <c r="BL4529" s="38"/>
      <c r="BM4529" s="38"/>
      <c r="BN4529" s="38"/>
      <c r="BO4529" s="38"/>
      <c r="BP4529" s="38"/>
      <c r="BQ4529" s="38"/>
    </row>
    <row r="4530">
      <c r="A4530" s="16"/>
      <c r="B4530" s="145"/>
      <c r="C4530" s="146"/>
      <c r="D4530" s="146"/>
      <c r="E4530" s="16"/>
      <c r="F4530" s="91"/>
      <c r="G4530" s="16"/>
      <c r="H4530" s="320" t="str">
        <f t="shared" si="424"/>
        <v/>
      </c>
      <c r="I4530" s="16"/>
      <c r="J4530" s="16"/>
      <c r="K4530" s="16"/>
      <c r="L4530" s="16"/>
      <c r="M4530" s="15"/>
      <c r="N4530" s="15"/>
      <c r="O4530" s="16"/>
      <c r="P4530" s="16"/>
      <c r="Q4530" s="16"/>
      <c r="R4530" s="16"/>
      <c r="S4530" s="37" t="str">
        <f>IFERROR(__xludf.DUMMYFUNCTION("if(not(iserror(index(split(C4530, "" ""),2))), index(split(C4530, "" ""),1),"""")"),"")</f>
        <v/>
      </c>
      <c r="T4530" s="315" t="str">
        <f>IFERROR(__xludf.DUMMYFUNCTION("if(S4530="""",C4530,if(not(iserror(index(split(C4530, "" ""),3))), index(split(C4530, "" ""),3),index(split(C4530, "" ""),2)))"),"")</f>
        <v/>
      </c>
      <c r="U4530" s="38" t="b">
        <f t="shared" si="423"/>
        <v>0</v>
      </c>
      <c r="V4530" s="38"/>
      <c r="W4530" s="40"/>
      <c r="X4530" s="40"/>
      <c r="Y4530" s="40"/>
      <c r="Z4530" s="38"/>
      <c r="AA4530" s="38"/>
      <c r="AB4530" s="38"/>
      <c r="AC4530" s="38"/>
      <c r="AD4530" s="38"/>
      <c r="AE4530" s="38"/>
      <c r="AF4530" s="38"/>
      <c r="AG4530" s="38"/>
      <c r="AH4530" s="38"/>
      <c r="AI4530" s="38"/>
      <c r="AJ4530" s="38"/>
      <c r="AK4530" s="38"/>
      <c r="AL4530" s="38"/>
      <c r="AM4530" s="38"/>
      <c r="AN4530" s="38"/>
      <c r="AO4530" s="38"/>
      <c r="AP4530" s="38"/>
      <c r="AQ4530" s="38"/>
      <c r="AR4530" s="38"/>
      <c r="AS4530" s="38"/>
      <c r="AT4530" s="38"/>
      <c r="AU4530" s="38"/>
      <c r="AV4530" s="38"/>
      <c r="AW4530" s="38"/>
      <c r="AX4530" s="38"/>
      <c r="AY4530" s="38"/>
      <c r="AZ4530" s="38"/>
      <c r="BA4530" s="38"/>
      <c r="BB4530" s="38"/>
      <c r="BC4530" s="38"/>
      <c r="BD4530" s="38"/>
      <c r="BE4530" s="38"/>
      <c r="BF4530" s="38"/>
      <c r="BG4530" s="38"/>
      <c r="BH4530" s="38"/>
      <c r="BI4530" s="38"/>
      <c r="BJ4530" s="38"/>
      <c r="BK4530" s="38"/>
      <c r="BL4530" s="38"/>
      <c r="BM4530" s="38"/>
      <c r="BN4530" s="38"/>
      <c r="BO4530" s="38"/>
      <c r="BP4530" s="38"/>
      <c r="BQ4530" s="38"/>
    </row>
    <row r="4531">
      <c r="A4531" s="16"/>
      <c r="B4531" s="145"/>
      <c r="C4531" s="146"/>
      <c r="D4531" s="146"/>
      <c r="E4531" s="16"/>
      <c r="F4531" s="91"/>
      <c r="G4531" s="16"/>
      <c r="H4531" s="320" t="str">
        <f t="shared" si="424"/>
        <v/>
      </c>
      <c r="I4531" s="16"/>
      <c r="J4531" s="16"/>
      <c r="K4531" s="16"/>
      <c r="L4531" s="16"/>
      <c r="M4531" s="15"/>
      <c r="N4531" s="15"/>
      <c r="O4531" s="16"/>
      <c r="P4531" s="16"/>
      <c r="Q4531" s="16"/>
      <c r="R4531" s="16"/>
      <c r="S4531" s="37" t="str">
        <f>IFERROR(__xludf.DUMMYFUNCTION("if(not(iserror(index(split(C4531, "" ""),2))), index(split(C4531, "" ""),1),"""")"),"")</f>
        <v/>
      </c>
      <c r="T4531" s="315" t="str">
        <f>IFERROR(__xludf.DUMMYFUNCTION("if(S4531="""",C4531,if(not(iserror(index(split(C4531, "" ""),3))), index(split(C4531, "" ""),3),index(split(C4531, "" ""),2)))"),"")</f>
        <v/>
      </c>
      <c r="U4531" s="38" t="b">
        <f t="shared" si="423"/>
        <v>0</v>
      </c>
      <c r="V4531" s="38"/>
      <c r="W4531" s="40"/>
      <c r="X4531" s="40"/>
      <c r="Y4531" s="40"/>
      <c r="Z4531" s="38"/>
      <c r="AA4531" s="38"/>
      <c r="AB4531" s="38"/>
      <c r="AC4531" s="38"/>
      <c r="AD4531" s="38"/>
      <c r="AE4531" s="38"/>
      <c r="AF4531" s="38"/>
      <c r="AG4531" s="38"/>
      <c r="AH4531" s="38"/>
      <c r="AI4531" s="38"/>
      <c r="AJ4531" s="38"/>
      <c r="AK4531" s="38"/>
      <c r="AL4531" s="38"/>
      <c r="AM4531" s="38"/>
      <c r="AN4531" s="38"/>
      <c r="AO4531" s="38"/>
      <c r="AP4531" s="38"/>
      <c r="AQ4531" s="38"/>
      <c r="AR4531" s="38"/>
      <c r="AS4531" s="38"/>
      <c r="AT4531" s="38"/>
      <c r="AU4531" s="38"/>
      <c r="AV4531" s="38"/>
      <c r="AW4531" s="38"/>
      <c r="AX4531" s="38"/>
      <c r="AY4531" s="38"/>
      <c r="AZ4531" s="38"/>
      <c r="BA4531" s="38"/>
      <c r="BB4531" s="38"/>
      <c r="BC4531" s="38"/>
      <c r="BD4531" s="38"/>
      <c r="BE4531" s="38"/>
      <c r="BF4531" s="38"/>
      <c r="BG4531" s="38"/>
      <c r="BH4531" s="38"/>
      <c r="BI4531" s="38"/>
      <c r="BJ4531" s="38"/>
      <c r="BK4531" s="38"/>
      <c r="BL4531" s="38"/>
      <c r="BM4531" s="38"/>
      <c r="BN4531" s="38"/>
      <c r="BO4531" s="38"/>
      <c r="BP4531" s="38"/>
      <c r="BQ4531" s="38"/>
    </row>
    <row r="4532">
      <c r="A4532" s="16"/>
      <c r="B4532" s="145"/>
      <c r="C4532" s="146"/>
      <c r="D4532" s="146"/>
      <c r="E4532" s="16"/>
      <c r="F4532" s="91"/>
      <c r="G4532" s="16"/>
      <c r="H4532" s="320" t="str">
        <f t="shared" si="424"/>
        <v/>
      </c>
      <c r="I4532" s="16"/>
      <c r="J4532" s="16"/>
      <c r="K4532" s="16"/>
      <c r="L4532" s="16"/>
      <c r="M4532" s="15"/>
      <c r="N4532" s="15"/>
      <c r="O4532" s="16"/>
      <c r="P4532" s="16"/>
      <c r="Q4532" s="16"/>
      <c r="R4532" s="16"/>
      <c r="S4532" s="37" t="str">
        <f>IFERROR(__xludf.DUMMYFUNCTION("if(not(iserror(index(split(C4532, "" ""),2))), index(split(C4532, "" ""),1),"""")"),"")</f>
        <v/>
      </c>
      <c r="T4532" s="315" t="str">
        <f>IFERROR(__xludf.DUMMYFUNCTION("if(S4532="""",C4532,if(not(iserror(index(split(C4532, "" ""),3))), index(split(C4532, "" ""),3),index(split(C4532, "" ""),2)))"),"")</f>
        <v/>
      </c>
      <c r="U4532" s="38" t="b">
        <f t="shared" si="423"/>
        <v>0</v>
      </c>
      <c r="V4532" s="38"/>
      <c r="W4532" s="40"/>
      <c r="X4532" s="40"/>
      <c r="Y4532" s="40"/>
      <c r="Z4532" s="38"/>
      <c r="AA4532" s="38"/>
      <c r="AB4532" s="38"/>
      <c r="AC4532" s="38"/>
      <c r="AD4532" s="38"/>
      <c r="AE4532" s="38"/>
      <c r="AF4532" s="38"/>
      <c r="AG4532" s="38"/>
      <c r="AH4532" s="38"/>
      <c r="AI4532" s="38"/>
      <c r="AJ4532" s="38"/>
      <c r="AK4532" s="38"/>
      <c r="AL4532" s="38"/>
      <c r="AM4532" s="38"/>
      <c r="AN4532" s="38"/>
      <c r="AO4532" s="38"/>
      <c r="AP4532" s="38"/>
      <c r="AQ4532" s="38"/>
      <c r="AR4532" s="38"/>
      <c r="AS4532" s="38"/>
      <c r="AT4532" s="38"/>
      <c r="AU4532" s="38"/>
      <c r="AV4532" s="38"/>
      <c r="AW4532" s="38"/>
      <c r="AX4532" s="38"/>
      <c r="AY4532" s="38"/>
      <c r="AZ4532" s="38"/>
      <c r="BA4532" s="38"/>
      <c r="BB4532" s="38"/>
      <c r="BC4532" s="38"/>
      <c r="BD4532" s="38"/>
      <c r="BE4532" s="38"/>
      <c r="BF4532" s="38"/>
      <c r="BG4532" s="38"/>
      <c r="BH4532" s="38"/>
      <c r="BI4532" s="38"/>
      <c r="BJ4532" s="38"/>
      <c r="BK4532" s="38"/>
      <c r="BL4532" s="38"/>
      <c r="BM4532" s="38"/>
      <c r="BN4532" s="38"/>
      <c r="BO4532" s="38"/>
      <c r="BP4532" s="38"/>
      <c r="BQ4532" s="38"/>
    </row>
    <row r="4533">
      <c r="A4533" s="16"/>
      <c r="B4533" s="145"/>
      <c r="C4533" s="146"/>
      <c r="D4533" s="146"/>
      <c r="E4533" s="16"/>
      <c r="F4533" s="91"/>
      <c r="G4533" s="16"/>
      <c r="H4533" s="320" t="str">
        <f t="shared" si="424"/>
        <v/>
      </c>
      <c r="I4533" s="16"/>
      <c r="J4533" s="16"/>
      <c r="K4533" s="16"/>
      <c r="L4533" s="16"/>
      <c r="M4533" s="15"/>
      <c r="N4533" s="15"/>
      <c r="O4533" s="16"/>
      <c r="P4533" s="16"/>
      <c r="Q4533" s="16"/>
      <c r="R4533" s="16"/>
      <c r="S4533" s="37" t="str">
        <f>IFERROR(__xludf.DUMMYFUNCTION("if(not(iserror(index(split(C4533, "" ""),2))), index(split(C4533, "" ""),1),"""")"),"")</f>
        <v/>
      </c>
      <c r="T4533" s="315" t="str">
        <f>IFERROR(__xludf.DUMMYFUNCTION("if(S4533="""",C4533,if(not(iserror(index(split(C4533, "" ""),3))), index(split(C4533, "" ""),3),index(split(C4533, "" ""),2)))"),"")</f>
        <v/>
      </c>
      <c r="U4533" s="38" t="b">
        <f t="shared" si="423"/>
        <v>0</v>
      </c>
      <c r="V4533" s="38"/>
      <c r="W4533" s="40"/>
      <c r="X4533" s="40"/>
      <c r="Y4533" s="40"/>
      <c r="Z4533" s="38"/>
      <c r="AA4533" s="38"/>
      <c r="AB4533" s="38"/>
      <c r="AC4533" s="38"/>
      <c r="AD4533" s="38"/>
      <c r="AE4533" s="38"/>
      <c r="AF4533" s="38"/>
      <c r="AG4533" s="38"/>
      <c r="AH4533" s="38"/>
      <c r="AI4533" s="38"/>
      <c r="AJ4533" s="38"/>
      <c r="AK4533" s="38"/>
      <c r="AL4533" s="38"/>
      <c r="AM4533" s="38"/>
      <c r="AN4533" s="38"/>
      <c r="AO4533" s="38"/>
      <c r="AP4533" s="38"/>
      <c r="AQ4533" s="38"/>
      <c r="AR4533" s="38"/>
      <c r="AS4533" s="38"/>
      <c r="AT4533" s="38"/>
      <c r="AU4533" s="38"/>
      <c r="AV4533" s="38"/>
      <c r="AW4533" s="38"/>
      <c r="AX4533" s="38"/>
      <c r="AY4533" s="38"/>
      <c r="AZ4533" s="38"/>
      <c r="BA4533" s="38"/>
      <c r="BB4533" s="38"/>
      <c r="BC4533" s="38"/>
      <c r="BD4533" s="38"/>
      <c r="BE4533" s="38"/>
      <c r="BF4533" s="38"/>
      <c r="BG4533" s="38"/>
      <c r="BH4533" s="38"/>
      <c r="BI4533" s="38"/>
      <c r="BJ4533" s="38"/>
      <c r="BK4533" s="38"/>
      <c r="BL4533" s="38"/>
      <c r="BM4533" s="38"/>
      <c r="BN4533" s="38"/>
      <c r="BO4533" s="38"/>
      <c r="BP4533" s="38"/>
      <c r="BQ4533" s="38"/>
    </row>
    <row r="4534">
      <c r="A4534" s="16"/>
      <c r="B4534" s="145"/>
      <c r="C4534" s="146"/>
      <c r="D4534" s="146"/>
      <c r="E4534" s="16"/>
      <c r="F4534" s="91"/>
      <c r="G4534" s="16"/>
      <c r="H4534" s="320" t="str">
        <f t="shared" si="424"/>
        <v/>
      </c>
      <c r="I4534" s="16"/>
      <c r="J4534" s="16"/>
      <c r="K4534" s="16"/>
      <c r="L4534" s="16"/>
      <c r="M4534" s="15"/>
      <c r="N4534" s="15"/>
      <c r="O4534" s="16"/>
      <c r="P4534" s="16"/>
      <c r="Q4534" s="16"/>
      <c r="R4534" s="16"/>
      <c r="S4534" s="37" t="str">
        <f>IFERROR(__xludf.DUMMYFUNCTION("if(not(iserror(index(split(C4534, "" ""),2))), index(split(C4534, "" ""),1),"""")"),"")</f>
        <v/>
      </c>
      <c r="T4534" s="315" t="str">
        <f>IFERROR(__xludf.DUMMYFUNCTION("if(S4534="""",C4534,if(not(iserror(index(split(C4534, "" ""),3))), index(split(C4534, "" ""),3),index(split(C4534, "" ""),2)))"),"")</f>
        <v/>
      </c>
      <c r="U4534" s="38" t="b">
        <f t="shared" si="423"/>
        <v>0</v>
      </c>
      <c r="V4534" s="38"/>
      <c r="W4534" s="40"/>
      <c r="X4534" s="40"/>
      <c r="Y4534" s="40"/>
      <c r="Z4534" s="38"/>
      <c r="AA4534" s="38"/>
      <c r="AB4534" s="38"/>
      <c r="AC4534" s="38"/>
      <c r="AD4534" s="38"/>
      <c r="AE4534" s="38"/>
      <c r="AF4534" s="38"/>
      <c r="AG4534" s="38"/>
      <c r="AH4534" s="38"/>
      <c r="AI4534" s="38"/>
      <c r="AJ4534" s="38"/>
      <c r="AK4534" s="38"/>
      <c r="AL4534" s="38"/>
      <c r="AM4534" s="38"/>
      <c r="AN4534" s="38"/>
      <c r="AO4534" s="38"/>
      <c r="AP4534" s="38"/>
      <c r="AQ4534" s="38"/>
      <c r="AR4534" s="38"/>
      <c r="AS4534" s="38"/>
      <c r="AT4534" s="38"/>
      <c r="AU4534" s="38"/>
      <c r="AV4534" s="38"/>
      <c r="AW4534" s="38"/>
      <c r="AX4534" s="38"/>
      <c r="AY4534" s="38"/>
      <c r="AZ4534" s="38"/>
      <c r="BA4534" s="38"/>
      <c r="BB4534" s="38"/>
      <c r="BC4534" s="38"/>
      <c r="BD4534" s="38"/>
      <c r="BE4534" s="38"/>
      <c r="BF4534" s="38"/>
      <c r="BG4534" s="38"/>
      <c r="BH4534" s="38"/>
      <c r="BI4534" s="38"/>
      <c r="BJ4534" s="38"/>
      <c r="BK4534" s="38"/>
      <c r="BL4534" s="38"/>
      <c r="BM4534" s="38"/>
      <c r="BN4534" s="38"/>
      <c r="BO4534" s="38"/>
      <c r="BP4534" s="38"/>
      <c r="BQ4534" s="38"/>
    </row>
    <row r="4535">
      <c r="A4535" s="16"/>
      <c r="B4535" s="145"/>
      <c r="C4535" s="146"/>
      <c r="D4535" s="146"/>
      <c r="E4535" s="16"/>
      <c r="F4535" s="91"/>
      <c r="G4535" s="16"/>
      <c r="H4535" s="320" t="str">
        <f t="shared" si="424"/>
        <v/>
      </c>
      <c r="I4535" s="16"/>
      <c r="J4535" s="16"/>
      <c r="K4535" s="16"/>
      <c r="L4535" s="16"/>
      <c r="M4535" s="15"/>
      <c r="N4535" s="15"/>
      <c r="O4535" s="16"/>
      <c r="P4535" s="16"/>
      <c r="Q4535" s="16"/>
      <c r="R4535" s="16"/>
      <c r="S4535" s="37" t="str">
        <f>IFERROR(__xludf.DUMMYFUNCTION("if(not(iserror(index(split(C4535, "" ""),2))), index(split(C4535, "" ""),1),"""")"),"")</f>
        <v/>
      </c>
      <c r="T4535" s="315" t="str">
        <f>IFERROR(__xludf.DUMMYFUNCTION("if(S4535="""",C4535,if(not(iserror(index(split(C4535, "" ""),3))), index(split(C4535, "" ""),3),index(split(C4535, "" ""),2)))"),"")</f>
        <v/>
      </c>
      <c r="U4535" s="38" t="b">
        <f t="shared" si="423"/>
        <v>0</v>
      </c>
      <c r="V4535" s="38"/>
      <c r="W4535" s="40"/>
      <c r="X4535" s="40"/>
      <c r="Y4535" s="40"/>
      <c r="Z4535" s="38"/>
      <c r="AA4535" s="38"/>
      <c r="AB4535" s="38"/>
      <c r="AC4535" s="38"/>
      <c r="AD4535" s="38"/>
      <c r="AE4535" s="38"/>
      <c r="AF4535" s="38"/>
      <c r="AG4535" s="38"/>
      <c r="AH4535" s="38"/>
      <c r="AI4535" s="38"/>
      <c r="AJ4535" s="38"/>
      <c r="AK4535" s="38"/>
      <c r="AL4535" s="38"/>
      <c r="AM4535" s="38"/>
      <c r="AN4535" s="38"/>
      <c r="AO4535" s="38"/>
      <c r="AP4535" s="38"/>
      <c r="AQ4535" s="38"/>
      <c r="AR4535" s="38"/>
      <c r="AS4535" s="38"/>
      <c r="AT4535" s="38"/>
      <c r="AU4535" s="38"/>
      <c r="AV4535" s="38"/>
      <c r="AW4535" s="38"/>
      <c r="AX4535" s="38"/>
      <c r="AY4535" s="38"/>
      <c r="AZ4535" s="38"/>
      <c r="BA4535" s="38"/>
      <c r="BB4535" s="38"/>
      <c r="BC4535" s="38"/>
      <c r="BD4535" s="38"/>
      <c r="BE4535" s="38"/>
      <c r="BF4535" s="38"/>
      <c r="BG4535" s="38"/>
      <c r="BH4535" s="38"/>
      <c r="BI4535" s="38"/>
      <c r="BJ4535" s="38"/>
      <c r="BK4535" s="38"/>
      <c r="BL4535" s="38"/>
      <c r="BM4535" s="38"/>
      <c r="BN4535" s="38"/>
      <c r="BO4535" s="38"/>
      <c r="BP4535" s="38"/>
      <c r="BQ4535" s="38"/>
    </row>
    <row r="4536">
      <c r="A4536" s="16"/>
      <c r="B4536" s="145"/>
      <c r="C4536" s="146"/>
      <c r="D4536" s="146"/>
      <c r="E4536" s="16"/>
      <c r="F4536" s="91"/>
      <c r="G4536" s="16"/>
      <c r="H4536" s="320" t="str">
        <f t="shared" si="424"/>
        <v/>
      </c>
      <c r="I4536" s="16"/>
      <c r="J4536" s="16"/>
      <c r="K4536" s="16"/>
      <c r="L4536" s="16"/>
      <c r="M4536" s="15"/>
      <c r="N4536" s="15"/>
      <c r="O4536" s="16"/>
      <c r="P4536" s="16"/>
      <c r="Q4536" s="16"/>
      <c r="R4536" s="16"/>
      <c r="S4536" s="37" t="str">
        <f>IFERROR(__xludf.DUMMYFUNCTION("if(not(iserror(index(split(C4536, "" ""),2))), index(split(C4536, "" ""),1),"""")"),"")</f>
        <v/>
      </c>
      <c r="T4536" s="315" t="str">
        <f>IFERROR(__xludf.DUMMYFUNCTION("if(S4536="""",C4536,if(not(iserror(index(split(C4536, "" ""),3))), index(split(C4536, "" ""),3),index(split(C4536, "" ""),2)))"),"")</f>
        <v/>
      </c>
      <c r="U4536" s="38" t="b">
        <f t="shared" si="423"/>
        <v>0</v>
      </c>
      <c r="V4536" s="38"/>
      <c r="W4536" s="40"/>
      <c r="X4536" s="40"/>
      <c r="Y4536" s="40"/>
      <c r="Z4536" s="38"/>
      <c r="AA4536" s="38"/>
      <c r="AB4536" s="38"/>
      <c r="AC4536" s="38"/>
      <c r="AD4536" s="38"/>
      <c r="AE4536" s="38"/>
      <c r="AF4536" s="38"/>
      <c r="AG4536" s="38"/>
      <c r="AH4536" s="38"/>
      <c r="AI4536" s="38"/>
      <c r="AJ4536" s="38"/>
      <c r="AK4536" s="38"/>
      <c r="AL4536" s="38"/>
      <c r="AM4536" s="38"/>
      <c r="AN4536" s="38"/>
      <c r="AO4536" s="38"/>
      <c r="AP4536" s="38"/>
      <c r="AQ4536" s="38"/>
      <c r="AR4536" s="38"/>
      <c r="AS4536" s="38"/>
      <c r="AT4536" s="38"/>
      <c r="AU4536" s="38"/>
      <c r="AV4536" s="38"/>
      <c r="AW4536" s="38"/>
      <c r="AX4536" s="38"/>
      <c r="AY4536" s="38"/>
      <c r="AZ4536" s="38"/>
      <c r="BA4536" s="38"/>
      <c r="BB4536" s="38"/>
      <c r="BC4536" s="38"/>
      <c r="BD4536" s="38"/>
      <c r="BE4536" s="38"/>
      <c r="BF4536" s="38"/>
      <c r="BG4536" s="38"/>
      <c r="BH4536" s="38"/>
      <c r="BI4536" s="38"/>
      <c r="BJ4536" s="38"/>
      <c r="BK4536" s="38"/>
      <c r="BL4536" s="38"/>
      <c r="BM4536" s="38"/>
      <c r="BN4536" s="38"/>
      <c r="BO4536" s="38"/>
      <c r="BP4536" s="38"/>
      <c r="BQ4536" s="38"/>
    </row>
    <row r="4537">
      <c r="A4537" s="16"/>
      <c r="B4537" s="145"/>
      <c r="C4537" s="146"/>
      <c r="D4537" s="146"/>
      <c r="E4537" s="16"/>
      <c r="F4537" s="91"/>
      <c r="G4537" s="16"/>
      <c r="H4537" s="320" t="str">
        <f t="shared" si="424"/>
        <v/>
      </c>
      <c r="I4537" s="16"/>
      <c r="J4537" s="16"/>
      <c r="K4537" s="16"/>
      <c r="L4537" s="16"/>
      <c r="M4537" s="15"/>
      <c r="N4537" s="15"/>
      <c r="O4537" s="16"/>
      <c r="P4537" s="16"/>
      <c r="Q4537" s="16"/>
      <c r="R4537" s="16"/>
      <c r="S4537" s="37" t="str">
        <f>IFERROR(__xludf.DUMMYFUNCTION("if(not(iserror(index(split(C4537, "" ""),2))), index(split(C4537, "" ""),1),"""")"),"")</f>
        <v/>
      </c>
      <c r="T4537" s="315" t="str">
        <f>IFERROR(__xludf.DUMMYFUNCTION("if(S4537="""",C4537,if(not(iserror(index(split(C4537, "" ""),3))), index(split(C4537, "" ""),3),index(split(C4537, "" ""),2)))"),"")</f>
        <v/>
      </c>
      <c r="U4537" s="38" t="b">
        <f t="shared" si="423"/>
        <v>0</v>
      </c>
      <c r="V4537" s="38"/>
      <c r="W4537" s="40"/>
      <c r="X4537" s="40"/>
      <c r="Y4537" s="40"/>
      <c r="Z4537" s="38"/>
      <c r="AA4537" s="38"/>
      <c r="AB4537" s="38"/>
      <c r="AC4537" s="38"/>
      <c r="AD4537" s="38"/>
      <c r="AE4537" s="38"/>
      <c r="AF4537" s="38"/>
      <c r="AG4537" s="38"/>
      <c r="AH4537" s="38"/>
      <c r="AI4537" s="38"/>
      <c r="AJ4537" s="38"/>
      <c r="AK4537" s="38"/>
      <c r="AL4537" s="38"/>
      <c r="AM4537" s="38"/>
      <c r="AN4537" s="38"/>
      <c r="AO4537" s="38"/>
      <c r="AP4537" s="38"/>
      <c r="AQ4537" s="38"/>
      <c r="AR4537" s="38"/>
      <c r="AS4537" s="38"/>
      <c r="AT4537" s="38"/>
      <c r="AU4537" s="38"/>
      <c r="AV4537" s="38"/>
      <c r="AW4537" s="38"/>
      <c r="AX4537" s="38"/>
      <c r="AY4537" s="38"/>
      <c r="AZ4537" s="38"/>
      <c r="BA4537" s="38"/>
      <c r="BB4537" s="38"/>
      <c r="BC4537" s="38"/>
      <c r="BD4537" s="38"/>
      <c r="BE4537" s="38"/>
      <c r="BF4537" s="38"/>
      <c r="BG4537" s="38"/>
      <c r="BH4537" s="38"/>
      <c r="BI4537" s="38"/>
      <c r="BJ4537" s="38"/>
      <c r="BK4537" s="38"/>
      <c r="BL4537" s="38"/>
      <c r="BM4537" s="38"/>
      <c r="BN4537" s="38"/>
      <c r="BO4537" s="38"/>
      <c r="BP4537" s="38"/>
      <c r="BQ4537" s="38"/>
    </row>
    <row r="4538">
      <c r="A4538" s="16"/>
      <c r="B4538" s="145"/>
      <c r="C4538" s="146"/>
      <c r="D4538" s="146"/>
      <c r="E4538" s="16"/>
      <c r="F4538" s="91"/>
      <c r="G4538" s="16"/>
      <c r="H4538" s="320" t="str">
        <f t="shared" si="424"/>
        <v/>
      </c>
      <c r="I4538" s="16"/>
      <c r="J4538" s="16"/>
      <c r="K4538" s="16"/>
      <c r="L4538" s="16"/>
      <c r="M4538" s="15"/>
      <c r="N4538" s="15"/>
      <c r="O4538" s="16"/>
      <c r="P4538" s="16"/>
      <c r="Q4538" s="16"/>
      <c r="R4538" s="16"/>
      <c r="S4538" s="37" t="str">
        <f>IFERROR(__xludf.DUMMYFUNCTION("if(not(iserror(index(split(C4538, "" ""),2))), index(split(C4538, "" ""),1),"""")"),"")</f>
        <v/>
      </c>
      <c r="T4538" s="315" t="str">
        <f>IFERROR(__xludf.DUMMYFUNCTION("if(S4538="""",C4538,if(not(iserror(index(split(C4538, "" ""),3))), index(split(C4538, "" ""),3),index(split(C4538, "" ""),2)))"),"")</f>
        <v/>
      </c>
      <c r="U4538" s="38" t="b">
        <f t="shared" si="423"/>
        <v>0</v>
      </c>
      <c r="V4538" s="38"/>
      <c r="W4538" s="40"/>
      <c r="X4538" s="40"/>
      <c r="Y4538" s="40"/>
      <c r="Z4538" s="38"/>
      <c r="AA4538" s="38"/>
      <c r="AB4538" s="38"/>
      <c r="AC4538" s="38"/>
      <c r="AD4538" s="38"/>
      <c r="AE4538" s="38"/>
      <c r="AF4538" s="38"/>
      <c r="AG4538" s="38"/>
      <c r="AH4538" s="38"/>
      <c r="AI4538" s="38"/>
      <c r="AJ4538" s="38"/>
      <c r="AK4538" s="38"/>
      <c r="AL4538" s="38"/>
      <c r="AM4538" s="38"/>
      <c r="AN4538" s="38"/>
      <c r="AO4538" s="38"/>
      <c r="AP4538" s="38"/>
      <c r="AQ4538" s="38"/>
      <c r="AR4538" s="38"/>
      <c r="AS4538" s="38"/>
      <c r="AT4538" s="38"/>
      <c r="AU4538" s="38"/>
      <c r="AV4538" s="38"/>
      <c r="AW4538" s="38"/>
      <c r="AX4538" s="38"/>
      <c r="AY4538" s="38"/>
      <c r="AZ4538" s="38"/>
      <c r="BA4538" s="38"/>
      <c r="BB4538" s="38"/>
      <c r="BC4538" s="38"/>
      <c r="BD4538" s="38"/>
      <c r="BE4538" s="38"/>
      <c r="BF4538" s="38"/>
      <c r="BG4538" s="38"/>
      <c r="BH4538" s="38"/>
      <c r="BI4538" s="38"/>
      <c r="BJ4538" s="38"/>
      <c r="BK4538" s="38"/>
      <c r="BL4538" s="38"/>
      <c r="BM4538" s="38"/>
      <c r="BN4538" s="38"/>
      <c r="BO4538" s="38"/>
      <c r="BP4538" s="38"/>
      <c r="BQ4538" s="38"/>
    </row>
    <row r="4539">
      <c r="A4539" s="16"/>
      <c r="B4539" s="145"/>
      <c r="C4539" s="146"/>
      <c r="D4539" s="146"/>
      <c r="E4539" s="16"/>
      <c r="F4539" s="91"/>
      <c r="G4539" s="16"/>
      <c r="H4539" s="320" t="str">
        <f t="shared" si="424"/>
        <v/>
      </c>
      <c r="I4539" s="16"/>
      <c r="J4539" s="16"/>
      <c r="K4539" s="16"/>
      <c r="L4539" s="16"/>
      <c r="M4539" s="15"/>
      <c r="N4539" s="15"/>
      <c r="O4539" s="16"/>
      <c r="P4539" s="16"/>
      <c r="Q4539" s="16"/>
      <c r="R4539" s="16"/>
      <c r="S4539" s="37" t="str">
        <f>IFERROR(__xludf.DUMMYFUNCTION("if(not(iserror(index(split(C4539, "" ""),2))), index(split(C4539, "" ""),1),"""")"),"")</f>
        <v/>
      </c>
      <c r="T4539" s="315" t="str">
        <f>IFERROR(__xludf.DUMMYFUNCTION("if(S4539="""",C4539,if(not(iserror(index(split(C4539, "" ""),3))), index(split(C4539, "" ""),3),index(split(C4539, "" ""),2)))"),"")</f>
        <v/>
      </c>
      <c r="U4539" s="38" t="b">
        <f t="shared" si="423"/>
        <v>0</v>
      </c>
      <c r="V4539" s="38"/>
      <c r="W4539" s="40"/>
      <c r="X4539" s="40"/>
      <c r="Y4539" s="40"/>
      <c r="Z4539" s="38"/>
      <c r="AA4539" s="38"/>
      <c r="AB4539" s="38"/>
      <c r="AC4539" s="38"/>
      <c r="AD4539" s="38"/>
      <c r="AE4539" s="38"/>
      <c r="AF4539" s="38"/>
      <c r="AG4539" s="38"/>
      <c r="AH4539" s="38"/>
      <c r="AI4539" s="38"/>
      <c r="AJ4539" s="38"/>
      <c r="AK4539" s="38"/>
      <c r="AL4539" s="38"/>
      <c r="AM4539" s="38"/>
      <c r="AN4539" s="38"/>
      <c r="AO4539" s="38"/>
      <c r="AP4539" s="38"/>
      <c r="AQ4539" s="38"/>
      <c r="AR4539" s="38"/>
      <c r="AS4539" s="38"/>
      <c r="AT4539" s="38"/>
      <c r="AU4539" s="38"/>
      <c r="AV4539" s="38"/>
      <c r="AW4539" s="38"/>
      <c r="AX4539" s="38"/>
      <c r="AY4539" s="38"/>
      <c r="AZ4539" s="38"/>
      <c r="BA4539" s="38"/>
      <c r="BB4539" s="38"/>
      <c r="BC4539" s="38"/>
      <c r="BD4539" s="38"/>
      <c r="BE4539" s="38"/>
      <c r="BF4539" s="38"/>
      <c r="BG4539" s="38"/>
      <c r="BH4539" s="38"/>
      <c r="BI4539" s="38"/>
      <c r="BJ4539" s="38"/>
      <c r="BK4539" s="38"/>
      <c r="BL4539" s="38"/>
      <c r="BM4539" s="38"/>
      <c r="BN4539" s="38"/>
      <c r="BO4539" s="38"/>
      <c r="BP4539" s="38"/>
      <c r="BQ4539" s="38"/>
    </row>
    <row r="4540">
      <c r="A4540" s="16"/>
      <c r="B4540" s="145"/>
      <c r="C4540" s="146"/>
      <c r="D4540" s="146"/>
      <c r="E4540" s="16"/>
      <c r="F4540" s="91"/>
      <c r="G4540" s="16"/>
      <c r="H4540" s="320" t="str">
        <f t="shared" si="424"/>
        <v/>
      </c>
      <c r="I4540" s="16"/>
      <c r="J4540" s="16"/>
      <c r="K4540" s="16"/>
      <c r="L4540" s="16"/>
      <c r="M4540" s="15"/>
      <c r="N4540" s="15"/>
      <c r="O4540" s="16"/>
      <c r="P4540" s="16"/>
      <c r="Q4540" s="16"/>
      <c r="R4540" s="16"/>
      <c r="S4540" s="37" t="str">
        <f>IFERROR(__xludf.DUMMYFUNCTION("if(not(iserror(index(split(C4540, "" ""),2))), index(split(C4540, "" ""),1),"""")"),"")</f>
        <v/>
      </c>
      <c r="T4540" s="315" t="str">
        <f>IFERROR(__xludf.DUMMYFUNCTION("if(S4540="""",C4540,if(not(iserror(index(split(C4540, "" ""),3))), index(split(C4540, "" ""),3),index(split(C4540, "" ""),2)))"),"")</f>
        <v/>
      </c>
      <c r="U4540" s="38" t="b">
        <f t="shared" si="423"/>
        <v>0</v>
      </c>
      <c r="V4540" s="38"/>
      <c r="W4540" s="40"/>
      <c r="X4540" s="40"/>
      <c r="Y4540" s="40"/>
      <c r="Z4540" s="38"/>
      <c r="AA4540" s="38"/>
      <c r="AB4540" s="38"/>
      <c r="AC4540" s="38"/>
      <c r="AD4540" s="38"/>
      <c r="AE4540" s="38"/>
      <c r="AF4540" s="38"/>
      <c r="AG4540" s="38"/>
      <c r="AH4540" s="38"/>
      <c r="AI4540" s="38"/>
      <c r="AJ4540" s="38"/>
      <c r="AK4540" s="38"/>
      <c r="AL4540" s="38"/>
      <c r="AM4540" s="38"/>
      <c r="AN4540" s="38"/>
      <c r="AO4540" s="38"/>
      <c r="AP4540" s="38"/>
      <c r="AQ4540" s="38"/>
      <c r="AR4540" s="38"/>
      <c r="AS4540" s="38"/>
      <c r="AT4540" s="38"/>
      <c r="AU4540" s="38"/>
      <c r="AV4540" s="38"/>
      <c r="AW4540" s="38"/>
      <c r="AX4540" s="38"/>
      <c r="AY4540" s="38"/>
      <c r="AZ4540" s="38"/>
      <c r="BA4540" s="38"/>
      <c r="BB4540" s="38"/>
      <c r="BC4540" s="38"/>
      <c r="BD4540" s="38"/>
      <c r="BE4540" s="38"/>
      <c r="BF4540" s="38"/>
      <c r="BG4540" s="38"/>
      <c r="BH4540" s="38"/>
      <c r="BI4540" s="38"/>
      <c r="BJ4540" s="38"/>
      <c r="BK4540" s="38"/>
      <c r="BL4540" s="38"/>
      <c r="BM4540" s="38"/>
      <c r="BN4540" s="38"/>
      <c r="BO4540" s="38"/>
      <c r="BP4540" s="38"/>
      <c r="BQ4540" s="38"/>
    </row>
    <row r="4541">
      <c r="A4541" s="16"/>
      <c r="B4541" s="145"/>
      <c r="C4541" s="146"/>
      <c r="D4541" s="146"/>
      <c r="E4541" s="16"/>
      <c r="F4541" s="91"/>
      <c r="G4541" s="16"/>
      <c r="H4541" s="320" t="str">
        <f t="shared" si="424"/>
        <v/>
      </c>
      <c r="I4541" s="16"/>
      <c r="J4541" s="16"/>
      <c r="K4541" s="16"/>
      <c r="L4541" s="16"/>
      <c r="M4541" s="15"/>
      <c r="N4541" s="15"/>
      <c r="O4541" s="16"/>
      <c r="P4541" s="16"/>
      <c r="Q4541" s="16"/>
      <c r="R4541" s="16"/>
      <c r="S4541" s="37" t="str">
        <f>IFERROR(__xludf.DUMMYFUNCTION("if(not(iserror(index(split(C4541, "" ""),2))), index(split(C4541, "" ""),1),"""")"),"")</f>
        <v/>
      </c>
      <c r="T4541" s="315" t="str">
        <f>IFERROR(__xludf.DUMMYFUNCTION("if(S4541="""",C4541,if(not(iserror(index(split(C4541, "" ""),3))), index(split(C4541, "" ""),3),index(split(C4541, "" ""),2)))"),"")</f>
        <v/>
      </c>
      <c r="U4541" s="38" t="b">
        <f t="shared" si="423"/>
        <v>0</v>
      </c>
      <c r="V4541" s="38"/>
      <c r="W4541" s="40"/>
      <c r="X4541" s="40"/>
      <c r="Y4541" s="40"/>
      <c r="Z4541" s="38"/>
      <c r="AA4541" s="38"/>
      <c r="AB4541" s="38"/>
      <c r="AC4541" s="38"/>
      <c r="AD4541" s="38"/>
      <c r="AE4541" s="38"/>
      <c r="AF4541" s="38"/>
      <c r="AG4541" s="38"/>
      <c r="AH4541" s="38"/>
      <c r="AI4541" s="38"/>
      <c r="AJ4541" s="38"/>
      <c r="AK4541" s="38"/>
      <c r="AL4541" s="38"/>
      <c r="AM4541" s="38"/>
      <c r="AN4541" s="38"/>
      <c r="AO4541" s="38"/>
      <c r="AP4541" s="38"/>
      <c r="AQ4541" s="38"/>
      <c r="AR4541" s="38"/>
      <c r="AS4541" s="38"/>
      <c r="AT4541" s="38"/>
      <c r="AU4541" s="38"/>
      <c r="AV4541" s="38"/>
      <c r="AW4541" s="38"/>
      <c r="AX4541" s="38"/>
      <c r="AY4541" s="38"/>
      <c r="AZ4541" s="38"/>
      <c r="BA4541" s="38"/>
      <c r="BB4541" s="38"/>
      <c r="BC4541" s="38"/>
      <c r="BD4541" s="38"/>
      <c r="BE4541" s="38"/>
      <c r="BF4541" s="38"/>
      <c r="BG4541" s="38"/>
      <c r="BH4541" s="38"/>
      <c r="BI4541" s="38"/>
      <c r="BJ4541" s="38"/>
      <c r="BK4541" s="38"/>
      <c r="BL4541" s="38"/>
      <c r="BM4541" s="38"/>
      <c r="BN4541" s="38"/>
      <c r="BO4541" s="38"/>
      <c r="BP4541" s="38"/>
      <c r="BQ4541" s="38"/>
    </row>
    <row r="4542">
      <c r="A4542" s="16"/>
      <c r="B4542" s="145"/>
      <c r="C4542" s="146"/>
      <c r="D4542" s="146"/>
      <c r="E4542" s="16"/>
      <c r="F4542" s="91"/>
      <c r="G4542" s="16"/>
      <c r="H4542" s="320" t="str">
        <f t="shared" si="424"/>
        <v/>
      </c>
      <c r="I4542" s="16"/>
      <c r="J4542" s="16"/>
      <c r="K4542" s="16"/>
      <c r="L4542" s="16"/>
      <c r="M4542" s="15"/>
      <c r="N4542" s="15"/>
      <c r="O4542" s="16"/>
      <c r="P4542" s="16"/>
      <c r="Q4542" s="16"/>
      <c r="R4542" s="16"/>
      <c r="S4542" s="37" t="str">
        <f>IFERROR(__xludf.DUMMYFUNCTION("if(not(iserror(index(split(C4542, "" ""),2))), index(split(C4542, "" ""),1),"""")"),"")</f>
        <v/>
      </c>
      <c r="T4542" s="315" t="str">
        <f>IFERROR(__xludf.DUMMYFUNCTION("if(S4542="""",C4542,if(not(iserror(index(split(C4542, "" ""),3))), index(split(C4542, "" ""),3),index(split(C4542, "" ""),2)))"),"")</f>
        <v/>
      </c>
      <c r="U4542" s="38" t="b">
        <f t="shared" si="423"/>
        <v>0</v>
      </c>
      <c r="V4542" s="38"/>
      <c r="W4542" s="40"/>
      <c r="X4542" s="40"/>
      <c r="Y4542" s="40"/>
      <c r="Z4542" s="38"/>
      <c r="AA4542" s="38"/>
      <c r="AB4542" s="38"/>
      <c r="AC4542" s="38"/>
      <c r="AD4542" s="38"/>
      <c r="AE4542" s="38"/>
      <c r="AF4542" s="38"/>
      <c r="AG4542" s="38"/>
      <c r="AH4542" s="38"/>
      <c r="AI4542" s="38"/>
      <c r="AJ4542" s="38"/>
      <c r="AK4542" s="38"/>
      <c r="AL4542" s="38"/>
      <c r="AM4542" s="38"/>
      <c r="AN4542" s="38"/>
      <c r="AO4542" s="38"/>
      <c r="AP4542" s="38"/>
      <c r="AQ4542" s="38"/>
      <c r="AR4542" s="38"/>
      <c r="AS4542" s="38"/>
      <c r="AT4542" s="38"/>
      <c r="AU4542" s="38"/>
      <c r="AV4542" s="38"/>
      <c r="AW4542" s="38"/>
      <c r="AX4542" s="38"/>
      <c r="AY4542" s="38"/>
      <c r="AZ4542" s="38"/>
      <c r="BA4542" s="38"/>
      <c r="BB4542" s="38"/>
      <c r="BC4542" s="38"/>
      <c r="BD4542" s="38"/>
      <c r="BE4542" s="38"/>
      <c r="BF4542" s="38"/>
      <c r="BG4542" s="38"/>
      <c r="BH4542" s="38"/>
      <c r="BI4542" s="38"/>
      <c r="BJ4542" s="38"/>
      <c r="BK4542" s="38"/>
      <c r="BL4542" s="38"/>
      <c r="BM4542" s="38"/>
      <c r="BN4542" s="38"/>
      <c r="BO4542" s="38"/>
      <c r="BP4542" s="38"/>
      <c r="BQ4542" s="38"/>
    </row>
    <row r="4543">
      <c r="A4543" s="16"/>
      <c r="B4543" s="145"/>
      <c r="C4543" s="146"/>
      <c r="D4543" s="146"/>
      <c r="E4543" s="16"/>
      <c r="F4543" s="91"/>
      <c r="G4543" s="16"/>
      <c r="H4543" s="320" t="str">
        <f t="shared" si="424"/>
        <v/>
      </c>
      <c r="I4543" s="16"/>
      <c r="J4543" s="16"/>
      <c r="K4543" s="16"/>
      <c r="L4543" s="16"/>
      <c r="M4543" s="15"/>
      <c r="N4543" s="15"/>
      <c r="O4543" s="16"/>
      <c r="P4543" s="16"/>
      <c r="Q4543" s="16"/>
      <c r="R4543" s="16"/>
      <c r="S4543" s="37" t="str">
        <f>IFERROR(__xludf.DUMMYFUNCTION("if(not(iserror(index(split(C4543, "" ""),2))), index(split(C4543, "" ""),1),"""")"),"")</f>
        <v/>
      </c>
      <c r="T4543" s="315" t="str">
        <f>IFERROR(__xludf.DUMMYFUNCTION("if(S4543="""",C4543,if(not(iserror(index(split(C4543, "" ""),3))), index(split(C4543, "" ""),3),index(split(C4543, "" ""),2)))"),"")</f>
        <v/>
      </c>
      <c r="U4543" s="38" t="b">
        <f t="shared" si="423"/>
        <v>0</v>
      </c>
      <c r="V4543" s="38"/>
      <c r="W4543" s="40"/>
      <c r="X4543" s="40"/>
      <c r="Y4543" s="40"/>
      <c r="Z4543" s="38"/>
      <c r="AA4543" s="38"/>
      <c r="AB4543" s="38"/>
      <c r="AC4543" s="38"/>
      <c r="AD4543" s="38"/>
      <c r="AE4543" s="38"/>
      <c r="AF4543" s="38"/>
      <c r="AG4543" s="38"/>
      <c r="AH4543" s="38"/>
      <c r="AI4543" s="38"/>
      <c r="AJ4543" s="38"/>
      <c r="AK4543" s="38"/>
      <c r="AL4543" s="38"/>
      <c r="AM4543" s="38"/>
      <c r="AN4543" s="38"/>
      <c r="AO4543" s="38"/>
      <c r="AP4543" s="38"/>
      <c r="AQ4543" s="38"/>
      <c r="AR4543" s="38"/>
      <c r="AS4543" s="38"/>
      <c r="AT4543" s="38"/>
      <c r="AU4543" s="38"/>
      <c r="AV4543" s="38"/>
      <c r="AW4543" s="38"/>
      <c r="AX4543" s="38"/>
      <c r="AY4543" s="38"/>
      <c r="AZ4543" s="38"/>
      <c r="BA4543" s="38"/>
      <c r="BB4543" s="38"/>
      <c r="BC4543" s="38"/>
      <c r="BD4543" s="38"/>
      <c r="BE4543" s="38"/>
      <c r="BF4543" s="38"/>
      <c r="BG4543" s="38"/>
      <c r="BH4543" s="38"/>
      <c r="BI4543" s="38"/>
      <c r="BJ4543" s="38"/>
      <c r="BK4543" s="38"/>
      <c r="BL4543" s="38"/>
      <c r="BM4543" s="38"/>
      <c r="BN4543" s="38"/>
      <c r="BO4543" s="38"/>
      <c r="BP4543" s="38"/>
      <c r="BQ4543" s="38"/>
    </row>
    <row r="4544">
      <c r="A4544" s="16"/>
      <c r="B4544" s="145"/>
      <c r="C4544" s="146"/>
      <c r="D4544" s="146"/>
      <c r="E4544" s="16"/>
      <c r="F4544" s="91"/>
      <c r="G4544" s="16"/>
      <c r="H4544" s="320" t="str">
        <f t="shared" si="424"/>
        <v/>
      </c>
      <c r="I4544" s="16"/>
      <c r="J4544" s="16"/>
      <c r="K4544" s="16"/>
      <c r="L4544" s="16"/>
      <c r="M4544" s="15"/>
      <c r="N4544" s="15"/>
      <c r="O4544" s="16"/>
      <c r="P4544" s="16"/>
      <c r="Q4544" s="16"/>
      <c r="R4544" s="16"/>
      <c r="S4544" s="37" t="str">
        <f>IFERROR(__xludf.DUMMYFUNCTION("if(not(iserror(index(split(C4544, "" ""),2))), index(split(C4544, "" ""),1),"""")"),"")</f>
        <v/>
      </c>
      <c r="T4544" s="315" t="str">
        <f>IFERROR(__xludf.DUMMYFUNCTION("if(S4544="""",C4544,if(not(iserror(index(split(C4544, "" ""),3))), index(split(C4544, "" ""),3),index(split(C4544, "" ""),2)))"),"")</f>
        <v/>
      </c>
      <c r="U4544" s="38" t="b">
        <f t="shared" si="423"/>
        <v>0</v>
      </c>
      <c r="V4544" s="38"/>
      <c r="W4544" s="40"/>
      <c r="X4544" s="40"/>
      <c r="Y4544" s="40"/>
      <c r="Z4544" s="38"/>
      <c r="AA4544" s="38"/>
      <c r="AB4544" s="38"/>
      <c r="AC4544" s="38"/>
      <c r="AD4544" s="38"/>
      <c r="AE4544" s="38"/>
      <c r="AF4544" s="38"/>
      <c r="AG4544" s="38"/>
      <c r="AH4544" s="38"/>
      <c r="AI4544" s="38"/>
      <c r="AJ4544" s="38"/>
      <c r="AK4544" s="38"/>
      <c r="AL4544" s="38"/>
      <c r="AM4544" s="38"/>
      <c r="AN4544" s="38"/>
      <c r="AO4544" s="38"/>
      <c r="AP4544" s="38"/>
      <c r="AQ4544" s="38"/>
      <c r="AR4544" s="38"/>
      <c r="AS4544" s="38"/>
      <c r="AT4544" s="38"/>
      <c r="AU4544" s="38"/>
      <c r="AV4544" s="38"/>
      <c r="AW4544" s="38"/>
      <c r="AX4544" s="38"/>
      <c r="AY4544" s="38"/>
      <c r="AZ4544" s="38"/>
      <c r="BA4544" s="38"/>
      <c r="BB4544" s="38"/>
      <c r="BC4544" s="38"/>
      <c r="BD4544" s="38"/>
      <c r="BE4544" s="38"/>
      <c r="BF4544" s="38"/>
      <c r="BG4544" s="38"/>
      <c r="BH4544" s="38"/>
      <c r="BI4544" s="38"/>
      <c r="BJ4544" s="38"/>
      <c r="BK4544" s="38"/>
      <c r="BL4544" s="38"/>
      <c r="BM4544" s="38"/>
      <c r="BN4544" s="38"/>
      <c r="BO4544" s="38"/>
      <c r="BP4544" s="38"/>
      <c r="BQ4544" s="38"/>
    </row>
    <row r="4545">
      <c r="A4545" s="16"/>
      <c r="B4545" s="145"/>
      <c r="C4545" s="146"/>
      <c r="D4545" s="146"/>
      <c r="E4545" s="16"/>
      <c r="F4545" s="91"/>
      <c r="G4545" s="16"/>
      <c r="H4545" s="320" t="str">
        <f t="shared" si="424"/>
        <v/>
      </c>
      <c r="I4545" s="16"/>
      <c r="J4545" s="16"/>
      <c r="K4545" s="16"/>
      <c r="L4545" s="16"/>
      <c r="M4545" s="15"/>
      <c r="N4545" s="15"/>
      <c r="O4545" s="16"/>
      <c r="P4545" s="16"/>
      <c r="Q4545" s="16"/>
      <c r="R4545" s="16"/>
      <c r="S4545" s="37" t="str">
        <f>IFERROR(__xludf.DUMMYFUNCTION("if(not(iserror(index(split(C4545, "" ""),2))), index(split(C4545, "" ""),1),"""")"),"")</f>
        <v/>
      </c>
      <c r="T4545" s="315" t="str">
        <f>IFERROR(__xludf.DUMMYFUNCTION("if(S4545="""",C4545,if(not(iserror(index(split(C4545, "" ""),3))), index(split(C4545, "" ""),3),index(split(C4545, "" ""),2)))"),"")</f>
        <v/>
      </c>
      <c r="U4545" s="38" t="b">
        <f t="shared" si="423"/>
        <v>0</v>
      </c>
      <c r="V4545" s="38"/>
      <c r="W4545" s="40"/>
      <c r="X4545" s="40"/>
      <c r="Y4545" s="40"/>
      <c r="Z4545" s="38"/>
      <c r="AA4545" s="38"/>
      <c r="AB4545" s="38"/>
      <c r="AC4545" s="38"/>
      <c r="AD4545" s="38"/>
      <c r="AE4545" s="38"/>
      <c r="AF4545" s="38"/>
      <c r="AG4545" s="38"/>
      <c r="AH4545" s="38"/>
      <c r="AI4545" s="38"/>
      <c r="AJ4545" s="38"/>
      <c r="AK4545" s="38"/>
      <c r="AL4545" s="38"/>
      <c r="AM4545" s="38"/>
      <c r="AN4545" s="38"/>
      <c r="AO4545" s="38"/>
      <c r="AP4545" s="38"/>
      <c r="AQ4545" s="38"/>
      <c r="AR4545" s="38"/>
      <c r="AS4545" s="38"/>
      <c r="AT4545" s="38"/>
      <c r="AU4545" s="38"/>
      <c r="AV4545" s="38"/>
      <c r="AW4545" s="38"/>
      <c r="AX4545" s="38"/>
      <c r="AY4545" s="38"/>
      <c r="AZ4545" s="38"/>
      <c r="BA4545" s="38"/>
      <c r="BB4545" s="38"/>
      <c r="BC4545" s="38"/>
      <c r="BD4545" s="38"/>
      <c r="BE4545" s="38"/>
      <c r="BF4545" s="38"/>
      <c r="BG4545" s="38"/>
      <c r="BH4545" s="38"/>
      <c r="BI4545" s="38"/>
      <c r="BJ4545" s="38"/>
      <c r="BK4545" s="38"/>
      <c r="BL4545" s="38"/>
      <c r="BM4545" s="38"/>
      <c r="BN4545" s="38"/>
      <c r="BO4545" s="38"/>
      <c r="BP4545" s="38"/>
      <c r="BQ4545" s="38"/>
    </row>
    <row r="4546">
      <c r="A4546" s="16"/>
      <c r="B4546" s="145"/>
      <c r="C4546" s="146"/>
      <c r="D4546" s="146"/>
      <c r="E4546" s="16"/>
      <c r="F4546" s="91"/>
      <c r="G4546" s="16"/>
      <c r="H4546" s="320" t="str">
        <f t="shared" si="424"/>
        <v/>
      </c>
      <c r="I4546" s="16"/>
      <c r="J4546" s="16"/>
      <c r="K4546" s="16"/>
      <c r="L4546" s="16"/>
      <c r="M4546" s="15"/>
      <c r="N4546" s="15"/>
      <c r="O4546" s="16"/>
      <c r="P4546" s="16"/>
      <c r="Q4546" s="16"/>
      <c r="R4546" s="16"/>
      <c r="S4546" s="37" t="str">
        <f>IFERROR(__xludf.DUMMYFUNCTION("if(not(iserror(index(split(C4546, "" ""),2))), index(split(C4546, "" ""),1),"""")"),"")</f>
        <v/>
      </c>
      <c r="T4546" s="315" t="str">
        <f>IFERROR(__xludf.DUMMYFUNCTION("if(S4546="""",C4546,if(not(iserror(index(split(C4546, "" ""),3))), index(split(C4546, "" ""),3),index(split(C4546, "" ""),2)))"),"")</f>
        <v/>
      </c>
      <c r="U4546" s="38" t="b">
        <f t="shared" si="423"/>
        <v>0</v>
      </c>
      <c r="V4546" s="38"/>
      <c r="W4546" s="40"/>
      <c r="X4546" s="40"/>
      <c r="Y4546" s="40"/>
      <c r="Z4546" s="38"/>
      <c r="AA4546" s="38"/>
      <c r="AB4546" s="38"/>
      <c r="AC4546" s="38"/>
      <c r="AD4546" s="38"/>
      <c r="AE4546" s="38"/>
      <c r="AF4546" s="38"/>
      <c r="AG4546" s="38"/>
      <c r="AH4546" s="38"/>
      <c r="AI4546" s="38"/>
      <c r="AJ4546" s="38"/>
      <c r="AK4546" s="38"/>
      <c r="AL4546" s="38"/>
      <c r="AM4546" s="38"/>
      <c r="AN4546" s="38"/>
      <c r="AO4546" s="38"/>
      <c r="AP4546" s="38"/>
      <c r="AQ4546" s="38"/>
      <c r="AR4546" s="38"/>
      <c r="AS4546" s="38"/>
      <c r="AT4546" s="38"/>
      <c r="AU4546" s="38"/>
      <c r="AV4546" s="38"/>
      <c r="AW4546" s="38"/>
      <c r="AX4546" s="38"/>
      <c r="AY4546" s="38"/>
      <c r="AZ4546" s="38"/>
      <c r="BA4546" s="38"/>
      <c r="BB4546" s="38"/>
      <c r="BC4546" s="38"/>
      <c r="BD4546" s="38"/>
      <c r="BE4546" s="38"/>
      <c r="BF4546" s="38"/>
      <c r="BG4546" s="38"/>
      <c r="BH4546" s="38"/>
      <c r="BI4546" s="38"/>
      <c r="BJ4546" s="38"/>
      <c r="BK4546" s="38"/>
      <c r="BL4546" s="38"/>
      <c r="BM4546" s="38"/>
      <c r="BN4546" s="38"/>
      <c r="BO4546" s="38"/>
      <c r="BP4546" s="38"/>
      <c r="BQ4546" s="38"/>
    </row>
    <row r="4547">
      <c r="A4547" s="16"/>
      <c r="B4547" s="145"/>
      <c r="C4547" s="146"/>
      <c r="D4547" s="146"/>
      <c r="E4547" s="16"/>
      <c r="F4547" s="91"/>
      <c r="G4547" s="16"/>
      <c r="H4547" s="320" t="str">
        <f t="shared" si="424"/>
        <v/>
      </c>
      <c r="I4547" s="16"/>
      <c r="J4547" s="16"/>
      <c r="K4547" s="16"/>
      <c r="L4547" s="16"/>
      <c r="M4547" s="15"/>
      <c r="N4547" s="15"/>
      <c r="O4547" s="16"/>
      <c r="P4547" s="16"/>
      <c r="Q4547" s="16"/>
      <c r="R4547" s="16"/>
      <c r="S4547" s="37" t="str">
        <f>IFERROR(__xludf.DUMMYFUNCTION("if(not(iserror(index(split(C4547, "" ""),2))), index(split(C4547, "" ""),1),"""")"),"")</f>
        <v/>
      </c>
      <c r="T4547" s="315" t="str">
        <f>IFERROR(__xludf.DUMMYFUNCTION("if(S4547="""",C4547,if(not(iserror(index(split(C4547, "" ""),3))), index(split(C4547, "" ""),3),index(split(C4547, "" ""),2)))"),"")</f>
        <v/>
      </c>
      <c r="U4547" s="38" t="b">
        <f t="shared" si="423"/>
        <v>0</v>
      </c>
      <c r="V4547" s="38"/>
      <c r="W4547" s="40"/>
      <c r="X4547" s="40"/>
      <c r="Y4547" s="40"/>
      <c r="Z4547" s="38"/>
      <c r="AA4547" s="38"/>
      <c r="AB4547" s="38"/>
      <c r="AC4547" s="38"/>
      <c r="AD4547" s="38"/>
      <c r="AE4547" s="38"/>
      <c r="AF4547" s="38"/>
      <c r="AG4547" s="38"/>
      <c r="AH4547" s="38"/>
      <c r="AI4547" s="38"/>
      <c r="AJ4547" s="38"/>
      <c r="AK4547" s="38"/>
      <c r="AL4547" s="38"/>
      <c r="AM4547" s="38"/>
      <c r="AN4547" s="38"/>
      <c r="AO4547" s="38"/>
      <c r="AP4547" s="38"/>
      <c r="AQ4547" s="38"/>
      <c r="AR4547" s="38"/>
      <c r="AS4547" s="38"/>
      <c r="AT4547" s="38"/>
      <c r="AU4547" s="38"/>
      <c r="AV4547" s="38"/>
      <c r="AW4547" s="38"/>
      <c r="AX4547" s="38"/>
      <c r="AY4547" s="38"/>
      <c r="AZ4547" s="38"/>
      <c r="BA4547" s="38"/>
      <c r="BB4547" s="38"/>
      <c r="BC4547" s="38"/>
      <c r="BD4547" s="38"/>
      <c r="BE4547" s="38"/>
      <c r="BF4547" s="38"/>
      <c r="BG4547" s="38"/>
      <c r="BH4547" s="38"/>
      <c r="BI4547" s="38"/>
      <c r="BJ4547" s="38"/>
      <c r="BK4547" s="38"/>
      <c r="BL4547" s="38"/>
      <c r="BM4547" s="38"/>
      <c r="BN4547" s="38"/>
      <c r="BO4547" s="38"/>
      <c r="BP4547" s="38"/>
      <c r="BQ4547" s="38"/>
    </row>
    <row r="4548">
      <c r="A4548" s="16"/>
      <c r="B4548" s="145"/>
      <c r="C4548" s="146"/>
      <c r="D4548" s="146"/>
      <c r="E4548" s="16"/>
      <c r="F4548" s="91"/>
      <c r="G4548" s="16"/>
      <c r="H4548" s="320" t="str">
        <f t="shared" si="424"/>
        <v/>
      </c>
      <c r="I4548" s="16"/>
      <c r="J4548" s="16"/>
      <c r="K4548" s="16"/>
      <c r="L4548" s="16"/>
      <c r="M4548" s="15"/>
      <c r="N4548" s="15"/>
      <c r="O4548" s="16"/>
      <c r="P4548" s="16"/>
      <c r="Q4548" s="16"/>
      <c r="R4548" s="16"/>
      <c r="S4548" s="37" t="str">
        <f>IFERROR(__xludf.DUMMYFUNCTION("if(not(iserror(index(split(C4548, "" ""),2))), index(split(C4548, "" ""),1),"""")"),"")</f>
        <v/>
      </c>
      <c r="T4548" s="315" t="str">
        <f>IFERROR(__xludf.DUMMYFUNCTION("if(S4548="""",C4548,if(not(iserror(index(split(C4548, "" ""),3))), index(split(C4548, "" ""),3),index(split(C4548, "" ""),2)))"),"")</f>
        <v/>
      </c>
      <c r="U4548" s="38" t="b">
        <f t="shared" si="423"/>
        <v>0</v>
      </c>
      <c r="V4548" s="38"/>
      <c r="W4548" s="40"/>
      <c r="X4548" s="40"/>
      <c r="Y4548" s="40"/>
      <c r="Z4548" s="38"/>
      <c r="AA4548" s="38"/>
      <c r="AB4548" s="38"/>
      <c r="AC4548" s="38"/>
      <c r="AD4548" s="38"/>
      <c r="AE4548" s="38"/>
      <c r="AF4548" s="38"/>
      <c r="AG4548" s="38"/>
      <c r="AH4548" s="38"/>
      <c r="AI4548" s="38"/>
      <c r="AJ4548" s="38"/>
      <c r="AK4548" s="38"/>
      <c r="AL4548" s="38"/>
      <c r="AM4548" s="38"/>
      <c r="AN4548" s="38"/>
      <c r="AO4548" s="38"/>
      <c r="AP4548" s="38"/>
      <c r="AQ4548" s="38"/>
      <c r="AR4548" s="38"/>
      <c r="AS4548" s="38"/>
      <c r="AT4548" s="38"/>
      <c r="AU4548" s="38"/>
      <c r="AV4548" s="38"/>
      <c r="AW4548" s="38"/>
      <c r="AX4548" s="38"/>
      <c r="AY4548" s="38"/>
      <c r="AZ4548" s="38"/>
      <c r="BA4548" s="38"/>
      <c r="BB4548" s="38"/>
      <c r="BC4548" s="38"/>
      <c r="BD4548" s="38"/>
      <c r="BE4548" s="38"/>
      <c r="BF4548" s="38"/>
      <c r="BG4548" s="38"/>
      <c r="BH4548" s="38"/>
      <c r="BI4548" s="38"/>
      <c r="BJ4548" s="38"/>
      <c r="BK4548" s="38"/>
      <c r="BL4548" s="38"/>
      <c r="BM4548" s="38"/>
      <c r="BN4548" s="38"/>
      <c r="BO4548" s="38"/>
      <c r="BP4548" s="38"/>
      <c r="BQ4548" s="38"/>
    </row>
    <row r="4549">
      <c r="A4549" s="16"/>
      <c r="B4549" s="145"/>
      <c r="C4549" s="146"/>
      <c r="D4549" s="146"/>
      <c r="E4549" s="16"/>
      <c r="F4549" s="91"/>
      <c r="G4549" s="16"/>
      <c r="H4549" s="320" t="str">
        <f t="shared" si="424"/>
        <v/>
      </c>
      <c r="I4549" s="16"/>
      <c r="J4549" s="16"/>
      <c r="K4549" s="16"/>
      <c r="L4549" s="16"/>
      <c r="M4549" s="15"/>
      <c r="N4549" s="15"/>
      <c r="O4549" s="16"/>
      <c r="P4549" s="16"/>
      <c r="Q4549" s="16"/>
      <c r="R4549" s="16"/>
      <c r="S4549" s="37" t="str">
        <f>IFERROR(__xludf.DUMMYFUNCTION("if(not(iserror(index(split(C4549, "" ""),2))), index(split(C4549, "" ""),1),"""")"),"")</f>
        <v/>
      </c>
      <c r="T4549" s="315" t="str">
        <f>IFERROR(__xludf.DUMMYFUNCTION("if(S4549="""",C4549,if(not(iserror(index(split(C4549, "" ""),3))), index(split(C4549, "" ""),3),index(split(C4549, "" ""),2)))"),"")</f>
        <v/>
      </c>
      <c r="U4549" s="38" t="b">
        <f t="shared" si="423"/>
        <v>0</v>
      </c>
      <c r="V4549" s="38"/>
      <c r="W4549" s="40"/>
      <c r="X4549" s="40"/>
      <c r="Y4549" s="40"/>
      <c r="Z4549" s="38"/>
      <c r="AA4549" s="38"/>
      <c r="AB4549" s="38"/>
      <c r="AC4549" s="38"/>
      <c r="AD4549" s="38"/>
      <c r="AE4549" s="38"/>
      <c r="AF4549" s="38"/>
      <c r="AG4549" s="38"/>
      <c r="AH4549" s="38"/>
      <c r="AI4549" s="38"/>
      <c r="AJ4549" s="38"/>
      <c r="AK4549" s="38"/>
      <c r="AL4549" s="38"/>
      <c r="AM4549" s="38"/>
      <c r="AN4549" s="38"/>
      <c r="AO4549" s="38"/>
      <c r="AP4549" s="38"/>
      <c r="AQ4549" s="38"/>
      <c r="AR4549" s="38"/>
      <c r="AS4549" s="38"/>
      <c r="AT4549" s="38"/>
      <c r="AU4549" s="38"/>
      <c r="AV4549" s="38"/>
      <c r="AW4549" s="38"/>
      <c r="AX4549" s="38"/>
      <c r="AY4549" s="38"/>
      <c r="AZ4549" s="38"/>
      <c r="BA4549" s="38"/>
      <c r="BB4549" s="38"/>
      <c r="BC4549" s="38"/>
      <c r="BD4549" s="38"/>
      <c r="BE4549" s="38"/>
      <c r="BF4549" s="38"/>
      <c r="BG4549" s="38"/>
      <c r="BH4549" s="38"/>
      <c r="BI4549" s="38"/>
      <c r="BJ4549" s="38"/>
      <c r="BK4549" s="38"/>
      <c r="BL4549" s="38"/>
      <c r="BM4549" s="38"/>
      <c r="BN4549" s="38"/>
      <c r="BO4549" s="38"/>
      <c r="BP4549" s="38"/>
      <c r="BQ4549" s="38"/>
    </row>
    <row r="4550">
      <c r="A4550" s="16"/>
      <c r="B4550" s="145"/>
      <c r="C4550" s="146"/>
      <c r="D4550" s="146"/>
      <c r="E4550" s="16"/>
      <c r="F4550" s="91"/>
      <c r="G4550" s="16"/>
      <c r="H4550" s="320" t="str">
        <f t="shared" si="424"/>
        <v/>
      </c>
      <c r="I4550" s="16"/>
      <c r="J4550" s="16"/>
      <c r="K4550" s="16"/>
      <c r="L4550" s="16"/>
      <c r="M4550" s="15"/>
      <c r="N4550" s="15"/>
      <c r="O4550" s="16"/>
      <c r="P4550" s="16"/>
      <c r="Q4550" s="16"/>
      <c r="R4550" s="16"/>
      <c r="S4550" s="37" t="str">
        <f>IFERROR(__xludf.DUMMYFUNCTION("if(not(iserror(index(split(C4550, "" ""),2))), index(split(C4550, "" ""),1),"""")"),"")</f>
        <v/>
      </c>
      <c r="T4550" s="315" t="str">
        <f>IFERROR(__xludf.DUMMYFUNCTION("if(S4550="""",C4550,if(not(iserror(index(split(C4550, "" ""),3))), index(split(C4550, "" ""),3),index(split(C4550, "" ""),2)))"),"")</f>
        <v/>
      </c>
      <c r="U4550" s="38" t="b">
        <f t="shared" si="423"/>
        <v>0</v>
      </c>
      <c r="V4550" s="38"/>
      <c r="W4550" s="40"/>
      <c r="X4550" s="40"/>
      <c r="Y4550" s="40"/>
      <c r="Z4550" s="38"/>
      <c r="AA4550" s="38"/>
      <c r="AB4550" s="38"/>
      <c r="AC4550" s="38"/>
      <c r="AD4550" s="38"/>
      <c r="AE4550" s="38"/>
      <c r="AF4550" s="38"/>
      <c r="AG4550" s="38"/>
      <c r="AH4550" s="38"/>
      <c r="AI4550" s="38"/>
      <c r="AJ4550" s="38"/>
      <c r="AK4550" s="38"/>
      <c r="AL4550" s="38"/>
      <c r="AM4550" s="38"/>
      <c r="AN4550" s="38"/>
      <c r="AO4550" s="38"/>
      <c r="AP4550" s="38"/>
      <c r="AQ4550" s="38"/>
      <c r="AR4550" s="38"/>
      <c r="AS4550" s="38"/>
      <c r="AT4550" s="38"/>
      <c r="AU4550" s="38"/>
      <c r="AV4550" s="38"/>
      <c r="AW4550" s="38"/>
      <c r="AX4550" s="38"/>
      <c r="AY4550" s="38"/>
      <c r="AZ4550" s="38"/>
      <c r="BA4550" s="38"/>
      <c r="BB4550" s="38"/>
      <c r="BC4550" s="38"/>
      <c r="BD4550" s="38"/>
      <c r="BE4550" s="38"/>
      <c r="BF4550" s="38"/>
      <c r="BG4550" s="38"/>
      <c r="BH4550" s="38"/>
      <c r="BI4550" s="38"/>
      <c r="BJ4550" s="38"/>
      <c r="BK4550" s="38"/>
      <c r="BL4550" s="38"/>
      <c r="BM4550" s="38"/>
      <c r="BN4550" s="38"/>
      <c r="BO4550" s="38"/>
      <c r="BP4550" s="38"/>
      <c r="BQ4550" s="38"/>
    </row>
    <row r="4551">
      <c r="A4551" s="16"/>
      <c r="B4551" s="145"/>
      <c r="C4551" s="146"/>
      <c r="D4551" s="146"/>
      <c r="E4551" s="16"/>
      <c r="F4551" s="91"/>
      <c r="G4551" s="16"/>
      <c r="H4551" s="320" t="str">
        <f t="shared" si="424"/>
        <v/>
      </c>
      <c r="I4551" s="16"/>
      <c r="J4551" s="16"/>
      <c r="K4551" s="16"/>
      <c r="L4551" s="16"/>
      <c r="M4551" s="15"/>
      <c r="N4551" s="15"/>
      <c r="O4551" s="16"/>
      <c r="P4551" s="16"/>
      <c r="Q4551" s="16"/>
      <c r="R4551" s="16"/>
      <c r="S4551" s="37" t="str">
        <f>IFERROR(__xludf.DUMMYFUNCTION("if(not(iserror(index(split(C4551, "" ""),2))), index(split(C4551, "" ""),1),"""")"),"")</f>
        <v/>
      </c>
      <c r="T4551" s="315" t="str">
        <f>IFERROR(__xludf.DUMMYFUNCTION("if(S4551="""",C4551,if(not(iserror(index(split(C4551, "" ""),3))), index(split(C4551, "" ""),3),index(split(C4551, "" ""),2)))"),"")</f>
        <v/>
      </c>
      <c r="U4551" s="38" t="b">
        <f t="shared" si="423"/>
        <v>0</v>
      </c>
      <c r="V4551" s="38"/>
      <c r="W4551" s="40"/>
      <c r="X4551" s="40"/>
      <c r="Y4551" s="40"/>
      <c r="Z4551" s="38"/>
      <c r="AA4551" s="38"/>
      <c r="AB4551" s="38"/>
      <c r="AC4551" s="38"/>
      <c r="AD4551" s="38"/>
      <c r="AE4551" s="38"/>
      <c r="AF4551" s="38"/>
      <c r="AG4551" s="38"/>
      <c r="AH4551" s="38"/>
      <c r="AI4551" s="38"/>
      <c r="AJ4551" s="38"/>
      <c r="AK4551" s="38"/>
      <c r="AL4551" s="38"/>
      <c r="AM4551" s="38"/>
      <c r="AN4551" s="38"/>
      <c r="AO4551" s="38"/>
      <c r="AP4551" s="38"/>
      <c r="AQ4551" s="38"/>
      <c r="AR4551" s="38"/>
      <c r="AS4551" s="38"/>
      <c r="AT4551" s="38"/>
      <c r="AU4551" s="38"/>
      <c r="AV4551" s="38"/>
      <c r="AW4551" s="38"/>
      <c r="AX4551" s="38"/>
      <c r="AY4551" s="38"/>
      <c r="AZ4551" s="38"/>
      <c r="BA4551" s="38"/>
      <c r="BB4551" s="38"/>
      <c r="BC4551" s="38"/>
      <c r="BD4551" s="38"/>
      <c r="BE4551" s="38"/>
      <c r="BF4551" s="38"/>
      <c r="BG4551" s="38"/>
      <c r="BH4551" s="38"/>
      <c r="BI4551" s="38"/>
      <c r="BJ4551" s="38"/>
      <c r="BK4551" s="38"/>
      <c r="BL4551" s="38"/>
      <c r="BM4551" s="38"/>
      <c r="BN4551" s="38"/>
      <c r="BO4551" s="38"/>
      <c r="BP4551" s="38"/>
      <c r="BQ4551" s="38"/>
    </row>
    <row r="4552">
      <c r="A4552" s="16"/>
      <c r="B4552" s="145"/>
      <c r="C4552" s="146"/>
      <c r="D4552" s="146"/>
      <c r="E4552" s="16"/>
      <c r="F4552" s="91"/>
      <c r="G4552" s="16"/>
      <c r="H4552" s="320" t="str">
        <f t="shared" si="424"/>
        <v/>
      </c>
      <c r="I4552" s="16"/>
      <c r="J4552" s="16"/>
      <c r="K4552" s="16"/>
      <c r="L4552" s="16"/>
      <c r="M4552" s="15"/>
      <c r="N4552" s="15"/>
      <c r="O4552" s="16"/>
      <c r="P4552" s="16"/>
      <c r="Q4552" s="16"/>
      <c r="R4552" s="16"/>
      <c r="S4552" s="37" t="str">
        <f>IFERROR(__xludf.DUMMYFUNCTION("if(not(iserror(index(split(C4552, "" ""),2))), index(split(C4552, "" ""),1),"""")"),"")</f>
        <v/>
      </c>
      <c r="T4552" s="315" t="str">
        <f>IFERROR(__xludf.DUMMYFUNCTION("if(S4552="""",C4552,if(not(iserror(index(split(C4552, "" ""),3))), index(split(C4552, "" ""),3),index(split(C4552, "" ""),2)))"),"")</f>
        <v/>
      </c>
      <c r="U4552" s="38" t="b">
        <f t="shared" si="423"/>
        <v>0</v>
      </c>
      <c r="V4552" s="38"/>
      <c r="W4552" s="40"/>
      <c r="X4552" s="40"/>
      <c r="Y4552" s="40"/>
      <c r="Z4552" s="38"/>
      <c r="AA4552" s="38"/>
      <c r="AB4552" s="38"/>
      <c r="AC4552" s="38"/>
      <c r="AD4552" s="38"/>
      <c r="AE4552" s="38"/>
      <c r="AF4552" s="38"/>
      <c r="AG4552" s="38"/>
      <c r="AH4552" s="38"/>
      <c r="AI4552" s="38"/>
      <c r="AJ4552" s="38"/>
      <c r="AK4552" s="38"/>
      <c r="AL4552" s="38"/>
      <c r="AM4552" s="38"/>
      <c r="AN4552" s="38"/>
      <c r="AO4552" s="38"/>
      <c r="AP4552" s="38"/>
      <c r="AQ4552" s="38"/>
      <c r="AR4552" s="38"/>
      <c r="AS4552" s="38"/>
      <c r="AT4552" s="38"/>
      <c r="AU4552" s="38"/>
      <c r="AV4552" s="38"/>
      <c r="AW4552" s="38"/>
      <c r="AX4552" s="38"/>
      <c r="AY4552" s="38"/>
      <c r="AZ4552" s="38"/>
      <c r="BA4552" s="38"/>
      <c r="BB4552" s="38"/>
      <c r="BC4552" s="38"/>
      <c r="BD4552" s="38"/>
      <c r="BE4552" s="38"/>
      <c r="BF4552" s="38"/>
      <c r="BG4552" s="38"/>
      <c r="BH4552" s="38"/>
      <c r="BI4552" s="38"/>
      <c r="BJ4552" s="38"/>
      <c r="BK4552" s="38"/>
      <c r="BL4552" s="38"/>
      <c r="BM4552" s="38"/>
      <c r="BN4552" s="38"/>
      <c r="BO4552" s="38"/>
      <c r="BP4552" s="38"/>
      <c r="BQ4552" s="38"/>
    </row>
    <row r="4553">
      <c r="A4553" s="16"/>
      <c r="B4553" s="145"/>
      <c r="C4553" s="146"/>
      <c r="D4553" s="146"/>
      <c r="E4553" s="16"/>
      <c r="F4553" s="91"/>
      <c r="G4553" s="16"/>
      <c r="H4553" s="320" t="str">
        <f t="shared" si="424"/>
        <v/>
      </c>
      <c r="I4553" s="16"/>
      <c r="J4553" s="16"/>
      <c r="K4553" s="16"/>
      <c r="L4553" s="16"/>
      <c r="M4553" s="15"/>
      <c r="N4553" s="15"/>
      <c r="O4553" s="16"/>
      <c r="P4553" s="16"/>
      <c r="Q4553" s="16"/>
      <c r="R4553" s="16"/>
      <c r="S4553" s="37" t="str">
        <f>IFERROR(__xludf.DUMMYFUNCTION("if(not(iserror(index(split(C4553, "" ""),2))), index(split(C4553, "" ""),1),"""")"),"")</f>
        <v/>
      </c>
      <c r="T4553" s="315" t="str">
        <f>IFERROR(__xludf.DUMMYFUNCTION("if(S4553="""",C4553,if(not(iserror(index(split(C4553, "" ""),3))), index(split(C4553, "" ""),3),index(split(C4553, "" ""),2)))"),"")</f>
        <v/>
      </c>
      <c r="U4553" s="38" t="b">
        <f t="shared" si="423"/>
        <v>0</v>
      </c>
      <c r="V4553" s="38"/>
      <c r="W4553" s="40"/>
      <c r="X4553" s="40"/>
      <c r="Y4553" s="40"/>
      <c r="Z4553" s="38"/>
      <c r="AA4553" s="38"/>
      <c r="AB4553" s="38"/>
      <c r="AC4553" s="38"/>
      <c r="AD4553" s="38"/>
      <c r="AE4553" s="38"/>
      <c r="AF4553" s="38"/>
      <c r="AG4553" s="38"/>
      <c r="AH4553" s="38"/>
      <c r="AI4553" s="38"/>
      <c r="AJ4553" s="38"/>
      <c r="AK4553" s="38"/>
      <c r="AL4553" s="38"/>
      <c r="AM4553" s="38"/>
      <c r="AN4553" s="38"/>
      <c r="AO4553" s="38"/>
      <c r="AP4553" s="38"/>
      <c r="AQ4553" s="38"/>
      <c r="AR4553" s="38"/>
      <c r="AS4553" s="38"/>
      <c r="AT4553" s="38"/>
      <c r="AU4553" s="38"/>
      <c r="AV4553" s="38"/>
      <c r="AW4553" s="38"/>
      <c r="AX4553" s="38"/>
      <c r="AY4553" s="38"/>
      <c r="AZ4553" s="38"/>
      <c r="BA4553" s="38"/>
      <c r="BB4553" s="38"/>
      <c r="BC4553" s="38"/>
      <c r="BD4553" s="38"/>
      <c r="BE4553" s="38"/>
      <c r="BF4553" s="38"/>
      <c r="BG4553" s="38"/>
      <c r="BH4553" s="38"/>
      <c r="BI4553" s="38"/>
      <c r="BJ4553" s="38"/>
      <c r="BK4553" s="38"/>
      <c r="BL4553" s="38"/>
      <c r="BM4553" s="38"/>
      <c r="BN4553" s="38"/>
      <c r="BO4553" s="38"/>
      <c r="BP4553" s="38"/>
      <c r="BQ4553" s="38"/>
    </row>
    <row r="4554">
      <c r="A4554" s="16"/>
      <c r="B4554" s="145"/>
      <c r="C4554" s="146"/>
      <c r="D4554" s="146"/>
      <c r="E4554" s="16"/>
      <c r="F4554" s="91"/>
      <c r="G4554" s="16"/>
      <c r="H4554" s="320" t="str">
        <f t="shared" si="424"/>
        <v/>
      </c>
      <c r="I4554" s="16"/>
      <c r="J4554" s="16"/>
      <c r="K4554" s="16"/>
      <c r="L4554" s="16"/>
      <c r="M4554" s="15"/>
      <c r="N4554" s="15"/>
      <c r="O4554" s="16"/>
      <c r="P4554" s="16"/>
      <c r="Q4554" s="16"/>
      <c r="R4554" s="16"/>
      <c r="S4554" s="37" t="str">
        <f>IFERROR(__xludf.DUMMYFUNCTION("if(not(iserror(index(split(C4554, "" ""),2))), index(split(C4554, "" ""),1),"""")"),"")</f>
        <v/>
      </c>
      <c r="T4554" s="315" t="str">
        <f>IFERROR(__xludf.DUMMYFUNCTION("if(S4554="""",C4554,if(not(iserror(index(split(C4554, "" ""),3))), index(split(C4554, "" ""),3),index(split(C4554, "" ""),2)))"),"")</f>
        <v/>
      </c>
      <c r="U4554" s="38" t="b">
        <f t="shared" si="423"/>
        <v>0</v>
      </c>
      <c r="V4554" s="38"/>
      <c r="W4554" s="40"/>
      <c r="X4554" s="40"/>
      <c r="Y4554" s="40"/>
      <c r="Z4554" s="38"/>
      <c r="AA4554" s="38"/>
      <c r="AB4554" s="38"/>
      <c r="AC4554" s="38"/>
      <c r="AD4554" s="38"/>
      <c r="AE4554" s="38"/>
      <c r="AF4554" s="38"/>
      <c r="AG4554" s="38"/>
      <c r="AH4554" s="38"/>
      <c r="AI4554" s="38"/>
      <c r="AJ4554" s="38"/>
      <c r="AK4554" s="38"/>
      <c r="AL4554" s="38"/>
      <c r="AM4554" s="38"/>
      <c r="AN4554" s="38"/>
      <c r="AO4554" s="38"/>
      <c r="AP4554" s="38"/>
      <c r="AQ4554" s="38"/>
      <c r="AR4554" s="38"/>
      <c r="AS4554" s="38"/>
      <c r="AT4554" s="38"/>
      <c r="AU4554" s="38"/>
      <c r="AV4554" s="38"/>
      <c r="AW4554" s="38"/>
      <c r="AX4554" s="38"/>
      <c r="AY4554" s="38"/>
      <c r="AZ4554" s="38"/>
      <c r="BA4554" s="38"/>
      <c r="BB4554" s="38"/>
      <c r="BC4554" s="38"/>
      <c r="BD4554" s="38"/>
      <c r="BE4554" s="38"/>
      <c r="BF4554" s="38"/>
      <c r="BG4554" s="38"/>
      <c r="BH4554" s="38"/>
      <c r="BI4554" s="38"/>
      <c r="BJ4554" s="38"/>
      <c r="BK4554" s="38"/>
      <c r="BL4554" s="38"/>
      <c r="BM4554" s="38"/>
      <c r="BN4554" s="38"/>
      <c r="BO4554" s="38"/>
      <c r="BP4554" s="38"/>
      <c r="BQ4554" s="38"/>
    </row>
    <row r="4555">
      <c r="A4555" s="16"/>
      <c r="B4555" s="145"/>
      <c r="C4555" s="146"/>
      <c r="D4555" s="146"/>
      <c r="E4555" s="16"/>
      <c r="F4555" s="91"/>
      <c r="G4555" s="16"/>
      <c r="H4555" s="320" t="str">
        <f t="shared" si="424"/>
        <v/>
      </c>
      <c r="I4555" s="16"/>
      <c r="J4555" s="16"/>
      <c r="K4555" s="16"/>
      <c r="L4555" s="16"/>
      <c r="M4555" s="15"/>
      <c r="N4555" s="15"/>
      <c r="O4555" s="16"/>
      <c r="P4555" s="16"/>
      <c r="Q4555" s="16"/>
      <c r="R4555" s="16"/>
      <c r="S4555" s="37" t="str">
        <f>IFERROR(__xludf.DUMMYFUNCTION("if(not(iserror(index(split(C4555, "" ""),2))), index(split(C4555, "" ""),1),"""")"),"")</f>
        <v/>
      </c>
      <c r="T4555" s="315" t="str">
        <f>IFERROR(__xludf.DUMMYFUNCTION("if(S4555="""",C4555,if(not(iserror(index(split(C4555, "" ""),3))), index(split(C4555, "" ""),3),index(split(C4555, "" ""),2)))"),"")</f>
        <v/>
      </c>
      <c r="U4555" s="38" t="b">
        <f t="shared" si="423"/>
        <v>0</v>
      </c>
      <c r="V4555" s="38"/>
      <c r="W4555" s="40"/>
      <c r="X4555" s="40"/>
      <c r="Y4555" s="40"/>
      <c r="Z4555" s="38"/>
      <c r="AA4555" s="38"/>
      <c r="AB4555" s="38"/>
      <c r="AC4555" s="38"/>
      <c r="AD4555" s="38"/>
      <c r="AE4555" s="38"/>
      <c r="AF4555" s="38"/>
      <c r="AG4555" s="38"/>
      <c r="AH4555" s="38"/>
      <c r="AI4555" s="38"/>
      <c r="AJ4555" s="38"/>
      <c r="AK4555" s="38"/>
      <c r="AL4555" s="38"/>
      <c r="AM4555" s="38"/>
      <c r="AN4555" s="38"/>
      <c r="AO4555" s="38"/>
      <c r="AP4555" s="38"/>
      <c r="AQ4555" s="38"/>
      <c r="AR4555" s="38"/>
      <c r="AS4555" s="38"/>
      <c r="AT4555" s="38"/>
      <c r="AU4555" s="38"/>
      <c r="AV4555" s="38"/>
      <c r="AW4555" s="38"/>
      <c r="AX4555" s="38"/>
      <c r="AY4555" s="38"/>
      <c r="AZ4555" s="38"/>
      <c r="BA4555" s="38"/>
      <c r="BB4555" s="38"/>
      <c r="BC4555" s="38"/>
      <c r="BD4555" s="38"/>
      <c r="BE4555" s="38"/>
      <c r="BF4555" s="38"/>
      <c r="BG4555" s="38"/>
      <c r="BH4555" s="38"/>
      <c r="BI4555" s="38"/>
      <c r="BJ4555" s="38"/>
      <c r="BK4555" s="38"/>
      <c r="BL4555" s="38"/>
      <c r="BM4555" s="38"/>
      <c r="BN4555" s="38"/>
      <c r="BO4555" s="38"/>
      <c r="BP4555" s="38"/>
      <c r="BQ4555" s="38"/>
    </row>
    <row r="4556">
      <c r="A4556" s="16"/>
      <c r="B4556" s="145"/>
      <c r="C4556" s="146"/>
      <c r="D4556" s="146"/>
      <c r="E4556" s="16"/>
      <c r="F4556" s="91"/>
      <c r="G4556" s="16"/>
      <c r="H4556" s="320" t="str">
        <f t="shared" si="424"/>
        <v/>
      </c>
      <c r="I4556" s="16"/>
      <c r="J4556" s="16"/>
      <c r="K4556" s="16"/>
      <c r="L4556" s="16"/>
      <c r="M4556" s="15"/>
      <c r="N4556" s="15"/>
      <c r="O4556" s="16"/>
      <c r="P4556" s="16"/>
      <c r="Q4556" s="16"/>
      <c r="R4556" s="16"/>
      <c r="S4556" s="37" t="str">
        <f>IFERROR(__xludf.DUMMYFUNCTION("if(not(iserror(index(split(C4556, "" ""),2))), index(split(C4556, "" ""),1),"""")"),"")</f>
        <v/>
      </c>
      <c r="T4556" s="315" t="str">
        <f>IFERROR(__xludf.DUMMYFUNCTION("if(S4556="""",C4556,if(not(iserror(index(split(C4556, "" ""),3))), index(split(C4556, "" ""),3),index(split(C4556, "" ""),2)))"),"")</f>
        <v/>
      </c>
      <c r="U4556" s="38" t="b">
        <f t="shared" si="423"/>
        <v>0</v>
      </c>
      <c r="V4556" s="38"/>
      <c r="W4556" s="40"/>
      <c r="X4556" s="40"/>
      <c r="Y4556" s="40"/>
      <c r="Z4556" s="38"/>
      <c r="AA4556" s="38"/>
      <c r="AB4556" s="38"/>
      <c r="AC4556" s="38"/>
      <c r="AD4556" s="38"/>
      <c r="AE4556" s="38"/>
      <c r="AF4556" s="38"/>
      <c r="AG4556" s="38"/>
      <c r="AH4556" s="38"/>
      <c r="AI4556" s="38"/>
      <c r="AJ4556" s="38"/>
      <c r="AK4556" s="38"/>
      <c r="AL4556" s="38"/>
      <c r="AM4556" s="38"/>
      <c r="AN4556" s="38"/>
      <c r="AO4556" s="38"/>
      <c r="AP4556" s="38"/>
      <c r="AQ4556" s="38"/>
      <c r="AR4556" s="38"/>
      <c r="AS4556" s="38"/>
      <c r="AT4556" s="38"/>
      <c r="AU4556" s="38"/>
      <c r="AV4556" s="38"/>
      <c r="AW4556" s="38"/>
      <c r="AX4556" s="38"/>
      <c r="AY4556" s="38"/>
      <c r="AZ4556" s="38"/>
      <c r="BA4556" s="38"/>
      <c r="BB4556" s="38"/>
      <c r="BC4556" s="38"/>
      <c r="BD4556" s="38"/>
      <c r="BE4556" s="38"/>
      <c r="BF4556" s="38"/>
      <c r="BG4556" s="38"/>
      <c r="BH4556" s="38"/>
      <c r="BI4556" s="38"/>
      <c r="BJ4556" s="38"/>
      <c r="BK4556" s="38"/>
      <c r="BL4556" s="38"/>
      <c r="BM4556" s="38"/>
      <c r="BN4556" s="38"/>
      <c r="BO4556" s="38"/>
      <c r="BP4556" s="38"/>
      <c r="BQ4556" s="38"/>
    </row>
    <row r="4557">
      <c r="A4557" s="16"/>
      <c r="B4557" s="145"/>
      <c r="C4557" s="146"/>
      <c r="D4557" s="146"/>
      <c r="E4557" s="16"/>
      <c r="F4557" s="91"/>
      <c r="G4557" s="16"/>
      <c r="H4557" s="320" t="str">
        <f t="shared" si="424"/>
        <v/>
      </c>
      <c r="I4557" s="16"/>
      <c r="J4557" s="16"/>
      <c r="K4557" s="16"/>
      <c r="L4557" s="16"/>
      <c r="M4557" s="15"/>
      <c r="N4557" s="15"/>
      <c r="O4557" s="16"/>
      <c r="P4557" s="16"/>
      <c r="Q4557" s="16"/>
      <c r="R4557" s="16"/>
      <c r="S4557" s="37" t="str">
        <f>IFERROR(__xludf.DUMMYFUNCTION("if(not(iserror(index(split(C4557, "" ""),2))), index(split(C4557, "" ""),1),"""")"),"")</f>
        <v/>
      </c>
      <c r="T4557" s="315" t="str">
        <f>IFERROR(__xludf.DUMMYFUNCTION("if(S4557="""",C4557,if(not(iserror(index(split(C4557, "" ""),3))), index(split(C4557, "" ""),3),index(split(C4557, "" ""),2)))"),"")</f>
        <v/>
      </c>
      <c r="U4557" s="38" t="b">
        <f t="shared" si="423"/>
        <v>0</v>
      </c>
      <c r="V4557" s="38"/>
      <c r="W4557" s="40"/>
      <c r="X4557" s="40"/>
      <c r="Y4557" s="40"/>
      <c r="Z4557" s="38"/>
      <c r="AA4557" s="38"/>
      <c r="AB4557" s="38"/>
      <c r="AC4557" s="38"/>
      <c r="AD4557" s="38"/>
      <c r="AE4557" s="38"/>
      <c r="AF4557" s="38"/>
      <c r="AG4557" s="38"/>
      <c r="AH4557" s="38"/>
      <c r="AI4557" s="38"/>
      <c r="AJ4557" s="38"/>
      <c r="AK4557" s="38"/>
      <c r="AL4557" s="38"/>
      <c r="AM4557" s="38"/>
      <c r="AN4557" s="38"/>
      <c r="AO4557" s="38"/>
      <c r="AP4557" s="38"/>
      <c r="AQ4557" s="38"/>
      <c r="AR4557" s="38"/>
      <c r="AS4557" s="38"/>
      <c r="AT4557" s="38"/>
      <c r="AU4557" s="38"/>
      <c r="AV4557" s="38"/>
      <c r="AW4557" s="38"/>
      <c r="AX4557" s="38"/>
      <c r="AY4557" s="38"/>
      <c r="AZ4557" s="38"/>
      <c r="BA4557" s="38"/>
      <c r="BB4557" s="38"/>
      <c r="BC4557" s="38"/>
      <c r="BD4557" s="38"/>
      <c r="BE4557" s="38"/>
      <c r="BF4557" s="38"/>
      <c r="BG4557" s="38"/>
      <c r="BH4557" s="38"/>
      <c r="BI4557" s="38"/>
      <c r="BJ4557" s="38"/>
      <c r="BK4557" s="38"/>
      <c r="BL4557" s="38"/>
      <c r="BM4557" s="38"/>
      <c r="BN4557" s="38"/>
      <c r="BO4557" s="38"/>
      <c r="BP4557" s="38"/>
      <c r="BQ4557" s="38"/>
    </row>
    <row r="4558">
      <c r="A4558" s="16"/>
      <c r="B4558" s="145"/>
      <c r="C4558" s="146"/>
      <c r="D4558" s="146"/>
      <c r="E4558" s="16"/>
      <c r="F4558" s="91"/>
      <c r="G4558" s="16"/>
      <c r="H4558" s="320" t="str">
        <f t="shared" si="424"/>
        <v/>
      </c>
      <c r="I4558" s="16"/>
      <c r="J4558" s="16"/>
      <c r="K4558" s="16"/>
      <c r="L4558" s="16"/>
      <c r="M4558" s="15"/>
      <c r="N4558" s="15"/>
      <c r="O4558" s="16"/>
      <c r="P4558" s="16"/>
      <c r="Q4558" s="16"/>
      <c r="R4558" s="16"/>
      <c r="S4558" s="37" t="str">
        <f>IFERROR(__xludf.DUMMYFUNCTION("if(not(iserror(index(split(C4558, "" ""),2))), index(split(C4558, "" ""),1),"""")"),"")</f>
        <v/>
      </c>
      <c r="T4558" s="315" t="str">
        <f>IFERROR(__xludf.DUMMYFUNCTION("if(S4558="""",C4558,if(not(iserror(index(split(C4558, "" ""),3))), index(split(C4558, "" ""),3),index(split(C4558, "" ""),2)))"),"")</f>
        <v/>
      </c>
      <c r="U4558" s="38" t="b">
        <f t="shared" si="423"/>
        <v>0</v>
      </c>
      <c r="V4558" s="38"/>
      <c r="W4558" s="40"/>
      <c r="X4558" s="40"/>
      <c r="Y4558" s="40"/>
      <c r="Z4558" s="38"/>
      <c r="AA4558" s="38"/>
      <c r="AB4558" s="38"/>
      <c r="AC4558" s="38"/>
      <c r="AD4558" s="38"/>
      <c r="AE4558" s="38"/>
      <c r="AF4558" s="38"/>
      <c r="AG4558" s="38"/>
      <c r="AH4558" s="38"/>
      <c r="AI4558" s="38"/>
      <c r="AJ4558" s="38"/>
      <c r="AK4558" s="38"/>
      <c r="AL4558" s="38"/>
      <c r="AM4558" s="38"/>
      <c r="AN4558" s="38"/>
      <c r="AO4558" s="38"/>
      <c r="AP4558" s="38"/>
      <c r="AQ4558" s="38"/>
      <c r="AR4558" s="38"/>
      <c r="AS4558" s="38"/>
      <c r="AT4558" s="38"/>
      <c r="AU4558" s="38"/>
      <c r="AV4558" s="38"/>
      <c r="AW4558" s="38"/>
      <c r="AX4558" s="38"/>
      <c r="AY4558" s="38"/>
      <c r="AZ4558" s="38"/>
      <c r="BA4558" s="38"/>
      <c r="BB4558" s="38"/>
      <c r="BC4558" s="38"/>
      <c r="BD4558" s="38"/>
      <c r="BE4558" s="38"/>
      <c r="BF4558" s="38"/>
      <c r="BG4558" s="38"/>
      <c r="BH4558" s="38"/>
      <c r="BI4558" s="38"/>
      <c r="BJ4558" s="38"/>
      <c r="BK4558" s="38"/>
      <c r="BL4558" s="38"/>
      <c r="BM4558" s="38"/>
      <c r="BN4558" s="38"/>
      <c r="BO4558" s="38"/>
      <c r="BP4558" s="38"/>
      <c r="BQ4558" s="38"/>
    </row>
    <row r="4559">
      <c r="A4559" s="16"/>
      <c r="B4559" s="145"/>
      <c r="C4559" s="146"/>
      <c r="D4559" s="146"/>
      <c r="E4559" s="16"/>
      <c r="F4559" s="91"/>
      <c r="G4559" s="16"/>
      <c r="H4559" s="320" t="str">
        <f t="shared" si="424"/>
        <v/>
      </c>
      <c r="I4559" s="16"/>
      <c r="J4559" s="16"/>
      <c r="K4559" s="16"/>
      <c r="L4559" s="16"/>
      <c r="M4559" s="15"/>
      <c r="N4559" s="15"/>
      <c r="O4559" s="16"/>
      <c r="P4559" s="16"/>
      <c r="Q4559" s="16"/>
      <c r="R4559" s="16"/>
      <c r="S4559" s="37" t="str">
        <f>IFERROR(__xludf.DUMMYFUNCTION("if(not(iserror(index(split(C4559, "" ""),2))), index(split(C4559, "" ""),1),"""")"),"")</f>
        <v/>
      </c>
      <c r="T4559" s="315" t="str">
        <f>IFERROR(__xludf.DUMMYFUNCTION("if(S4559="""",C4559,if(not(iserror(index(split(C4559, "" ""),3))), index(split(C4559, "" ""),3),index(split(C4559, "" ""),2)))"),"")</f>
        <v/>
      </c>
      <c r="U4559" s="38" t="b">
        <f t="shared" si="423"/>
        <v>0</v>
      </c>
      <c r="V4559" s="38"/>
      <c r="W4559" s="40"/>
      <c r="X4559" s="40"/>
      <c r="Y4559" s="40"/>
      <c r="Z4559" s="38"/>
      <c r="AA4559" s="38"/>
      <c r="AB4559" s="38"/>
      <c r="AC4559" s="38"/>
      <c r="AD4559" s="38"/>
      <c r="AE4559" s="38"/>
      <c r="AF4559" s="38"/>
      <c r="AG4559" s="38"/>
      <c r="AH4559" s="38"/>
      <c r="AI4559" s="38"/>
      <c r="AJ4559" s="38"/>
      <c r="AK4559" s="38"/>
      <c r="AL4559" s="38"/>
      <c r="AM4559" s="38"/>
      <c r="AN4559" s="38"/>
      <c r="AO4559" s="38"/>
      <c r="AP4559" s="38"/>
      <c r="AQ4559" s="38"/>
      <c r="AR4559" s="38"/>
      <c r="AS4559" s="38"/>
      <c r="AT4559" s="38"/>
      <c r="AU4559" s="38"/>
      <c r="AV4559" s="38"/>
      <c r="AW4559" s="38"/>
      <c r="AX4559" s="38"/>
      <c r="AY4559" s="38"/>
      <c r="AZ4559" s="38"/>
      <c r="BA4559" s="38"/>
      <c r="BB4559" s="38"/>
      <c r="BC4559" s="38"/>
      <c r="BD4559" s="38"/>
      <c r="BE4559" s="38"/>
      <c r="BF4559" s="38"/>
      <c r="BG4559" s="38"/>
      <c r="BH4559" s="38"/>
      <c r="BI4559" s="38"/>
      <c r="BJ4559" s="38"/>
      <c r="BK4559" s="38"/>
      <c r="BL4559" s="38"/>
      <c r="BM4559" s="38"/>
      <c r="BN4559" s="38"/>
      <c r="BO4559" s="38"/>
      <c r="BP4559" s="38"/>
      <c r="BQ4559" s="38"/>
    </row>
    <row r="4560">
      <c r="A4560" s="16"/>
      <c r="B4560" s="145"/>
      <c r="C4560" s="146"/>
      <c r="D4560" s="146"/>
      <c r="E4560" s="16"/>
      <c r="F4560" s="91"/>
      <c r="G4560" s="16"/>
      <c r="H4560" s="320" t="str">
        <f t="shared" si="424"/>
        <v/>
      </c>
      <c r="I4560" s="16"/>
      <c r="J4560" s="16"/>
      <c r="K4560" s="16"/>
      <c r="L4560" s="16"/>
      <c r="M4560" s="15"/>
      <c r="N4560" s="15"/>
      <c r="O4560" s="16"/>
      <c r="P4560" s="16"/>
      <c r="Q4560" s="16"/>
      <c r="R4560" s="16"/>
      <c r="S4560" s="37" t="str">
        <f>IFERROR(__xludf.DUMMYFUNCTION("if(not(iserror(index(split(C4560, "" ""),2))), index(split(C4560, "" ""),1),"""")"),"")</f>
        <v/>
      </c>
      <c r="T4560" s="315" t="str">
        <f>IFERROR(__xludf.DUMMYFUNCTION("if(S4560="""",C4560,if(not(iserror(index(split(C4560, "" ""),3))), index(split(C4560, "" ""),3),index(split(C4560, "" ""),2)))"),"")</f>
        <v/>
      </c>
      <c r="U4560" s="38" t="b">
        <f t="shared" si="423"/>
        <v>0</v>
      </c>
      <c r="V4560" s="38"/>
      <c r="W4560" s="40"/>
      <c r="X4560" s="40"/>
      <c r="Y4560" s="40"/>
      <c r="Z4560" s="38"/>
      <c r="AA4560" s="38"/>
      <c r="AB4560" s="38"/>
      <c r="AC4560" s="38"/>
      <c r="AD4560" s="38"/>
      <c r="AE4560" s="38"/>
      <c r="AF4560" s="38"/>
      <c r="AG4560" s="38"/>
      <c r="AH4560" s="38"/>
      <c r="AI4560" s="38"/>
      <c r="AJ4560" s="38"/>
      <c r="AK4560" s="38"/>
      <c r="AL4560" s="38"/>
      <c r="AM4560" s="38"/>
      <c r="AN4560" s="38"/>
      <c r="AO4560" s="38"/>
      <c r="AP4560" s="38"/>
      <c r="AQ4560" s="38"/>
      <c r="AR4560" s="38"/>
      <c r="AS4560" s="38"/>
      <c r="AT4560" s="38"/>
      <c r="AU4560" s="38"/>
      <c r="AV4560" s="38"/>
      <c r="AW4560" s="38"/>
      <c r="AX4560" s="38"/>
      <c r="AY4560" s="38"/>
      <c r="AZ4560" s="38"/>
      <c r="BA4560" s="38"/>
      <c r="BB4560" s="38"/>
      <c r="BC4560" s="38"/>
      <c r="BD4560" s="38"/>
      <c r="BE4560" s="38"/>
      <c r="BF4560" s="38"/>
      <c r="BG4560" s="38"/>
      <c r="BH4560" s="38"/>
      <c r="BI4560" s="38"/>
      <c r="BJ4560" s="38"/>
      <c r="BK4560" s="38"/>
      <c r="BL4560" s="38"/>
      <c r="BM4560" s="38"/>
      <c r="BN4560" s="38"/>
      <c r="BO4560" s="38"/>
      <c r="BP4560" s="38"/>
      <c r="BQ4560" s="38"/>
    </row>
    <row r="4561">
      <c r="A4561" s="16"/>
      <c r="B4561" s="145"/>
      <c r="C4561" s="146"/>
      <c r="D4561" s="146"/>
      <c r="E4561" s="16"/>
      <c r="F4561" s="91"/>
      <c r="G4561" s="16"/>
      <c r="H4561" s="320" t="str">
        <f t="shared" si="424"/>
        <v/>
      </c>
      <c r="I4561" s="16"/>
      <c r="J4561" s="16"/>
      <c r="K4561" s="16"/>
      <c r="L4561" s="16"/>
      <c r="M4561" s="15"/>
      <c r="N4561" s="15"/>
      <c r="O4561" s="16"/>
      <c r="P4561" s="16"/>
      <c r="Q4561" s="16"/>
      <c r="R4561" s="16"/>
      <c r="S4561" s="37" t="str">
        <f>IFERROR(__xludf.DUMMYFUNCTION("if(not(iserror(index(split(C4561, "" ""),2))), index(split(C4561, "" ""),1),"""")"),"")</f>
        <v/>
      </c>
      <c r="T4561" s="315" t="str">
        <f>IFERROR(__xludf.DUMMYFUNCTION("if(S4561="""",C4561,if(not(iserror(index(split(C4561, "" ""),3))), index(split(C4561, "" ""),3),index(split(C4561, "" ""),2)))"),"")</f>
        <v/>
      </c>
      <c r="U4561" s="38" t="b">
        <f t="shared" si="423"/>
        <v>0</v>
      </c>
      <c r="V4561" s="38"/>
      <c r="W4561" s="40"/>
      <c r="X4561" s="40"/>
      <c r="Y4561" s="40"/>
      <c r="Z4561" s="38"/>
      <c r="AA4561" s="38"/>
      <c r="AB4561" s="38"/>
      <c r="AC4561" s="38"/>
      <c r="AD4561" s="38"/>
      <c r="AE4561" s="38"/>
      <c r="AF4561" s="38"/>
      <c r="AG4561" s="38"/>
      <c r="AH4561" s="38"/>
      <c r="AI4561" s="38"/>
      <c r="AJ4561" s="38"/>
      <c r="AK4561" s="38"/>
      <c r="AL4561" s="38"/>
      <c r="AM4561" s="38"/>
      <c r="AN4561" s="38"/>
      <c r="AO4561" s="38"/>
      <c r="AP4561" s="38"/>
      <c r="AQ4561" s="38"/>
      <c r="AR4561" s="38"/>
      <c r="AS4561" s="38"/>
      <c r="AT4561" s="38"/>
      <c r="AU4561" s="38"/>
      <c r="AV4561" s="38"/>
      <c r="AW4561" s="38"/>
      <c r="AX4561" s="38"/>
      <c r="AY4561" s="38"/>
      <c r="AZ4561" s="38"/>
      <c r="BA4561" s="38"/>
      <c r="BB4561" s="38"/>
      <c r="BC4561" s="38"/>
      <c r="BD4561" s="38"/>
      <c r="BE4561" s="38"/>
      <c r="BF4561" s="38"/>
      <c r="BG4561" s="38"/>
      <c r="BH4561" s="38"/>
      <c r="BI4561" s="38"/>
      <c r="BJ4561" s="38"/>
      <c r="BK4561" s="38"/>
      <c r="BL4561" s="38"/>
      <c r="BM4561" s="38"/>
      <c r="BN4561" s="38"/>
      <c r="BO4561" s="38"/>
      <c r="BP4561" s="38"/>
      <c r="BQ4561" s="38"/>
    </row>
    <row r="4562">
      <c r="A4562" s="16"/>
      <c r="B4562" s="145"/>
      <c r="C4562" s="146"/>
      <c r="D4562" s="146"/>
      <c r="E4562" s="16"/>
      <c r="F4562" s="91"/>
      <c r="G4562" s="16"/>
      <c r="H4562" s="320" t="str">
        <f t="shared" si="424"/>
        <v/>
      </c>
      <c r="I4562" s="16"/>
      <c r="J4562" s="16"/>
      <c r="K4562" s="16"/>
      <c r="L4562" s="16"/>
      <c r="M4562" s="15"/>
      <c r="N4562" s="15"/>
      <c r="O4562" s="16"/>
      <c r="P4562" s="16"/>
      <c r="Q4562" s="16"/>
      <c r="R4562" s="16"/>
      <c r="S4562" s="37" t="str">
        <f>IFERROR(__xludf.DUMMYFUNCTION("if(not(iserror(index(split(C4562, "" ""),2))), index(split(C4562, "" ""),1),"""")"),"")</f>
        <v/>
      </c>
      <c r="T4562" s="315" t="str">
        <f>IFERROR(__xludf.DUMMYFUNCTION("if(S4562="""",C4562,if(not(iserror(index(split(C4562, "" ""),3))), index(split(C4562, "" ""),3),index(split(C4562, "" ""),2)))"),"")</f>
        <v/>
      </c>
      <c r="U4562" s="38" t="b">
        <f t="shared" si="423"/>
        <v>0</v>
      </c>
      <c r="V4562" s="38"/>
      <c r="W4562" s="40"/>
      <c r="X4562" s="40"/>
      <c r="Y4562" s="40"/>
      <c r="Z4562" s="38"/>
      <c r="AA4562" s="38"/>
      <c r="AB4562" s="38"/>
      <c r="AC4562" s="38"/>
      <c r="AD4562" s="38"/>
      <c r="AE4562" s="38"/>
      <c r="AF4562" s="38"/>
      <c r="AG4562" s="38"/>
      <c r="AH4562" s="38"/>
      <c r="AI4562" s="38"/>
      <c r="AJ4562" s="38"/>
      <c r="AK4562" s="38"/>
      <c r="AL4562" s="38"/>
      <c r="AM4562" s="38"/>
      <c r="AN4562" s="38"/>
      <c r="AO4562" s="38"/>
      <c r="AP4562" s="38"/>
      <c r="AQ4562" s="38"/>
      <c r="AR4562" s="38"/>
      <c r="AS4562" s="38"/>
      <c r="AT4562" s="38"/>
      <c r="AU4562" s="38"/>
      <c r="AV4562" s="38"/>
      <c r="AW4562" s="38"/>
      <c r="AX4562" s="38"/>
      <c r="AY4562" s="38"/>
      <c r="AZ4562" s="38"/>
      <c r="BA4562" s="38"/>
      <c r="BB4562" s="38"/>
      <c r="BC4562" s="38"/>
      <c r="BD4562" s="38"/>
      <c r="BE4562" s="38"/>
      <c r="BF4562" s="38"/>
      <c r="BG4562" s="38"/>
      <c r="BH4562" s="38"/>
      <c r="BI4562" s="38"/>
      <c r="BJ4562" s="38"/>
      <c r="BK4562" s="38"/>
      <c r="BL4562" s="38"/>
      <c r="BM4562" s="38"/>
      <c r="BN4562" s="38"/>
      <c r="BO4562" s="38"/>
      <c r="BP4562" s="38"/>
      <c r="BQ4562" s="38"/>
    </row>
    <row r="4563">
      <c r="A4563" s="16"/>
      <c r="B4563" s="145"/>
      <c r="C4563" s="146"/>
      <c r="D4563" s="146"/>
      <c r="E4563" s="16"/>
      <c r="F4563" s="91"/>
      <c r="G4563" s="16"/>
      <c r="H4563" s="320" t="str">
        <f t="shared" si="424"/>
        <v/>
      </c>
      <c r="I4563" s="16"/>
      <c r="J4563" s="16"/>
      <c r="K4563" s="16"/>
      <c r="L4563" s="16"/>
      <c r="M4563" s="15"/>
      <c r="N4563" s="15"/>
      <c r="O4563" s="16"/>
      <c r="P4563" s="16"/>
      <c r="Q4563" s="16"/>
      <c r="R4563" s="16"/>
      <c r="S4563" s="37" t="str">
        <f>IFERROR(__xludf.DUMMYFUNCTION("if(not(iserror(index(split(C4563, "" ""),2))), index(split(C4563, "" ""),1),"""")"),"")</f>
        <v/>
      </c>
      <c r="T4563" s="315" t="str">
        <f>IFERROR(__xludf.DUMMYFUNCTION("if(S4563="""",C4563,if(not(iserror(index(split(C4563, "" ""),3))), index(split(C4563, "" ""),3),index(split(C4563, "" ""),2)))"),"")</f>
        <v/>
      </c>
      <c r="U4563" s="38" t="b">
        <f t="shared" si="423"/>
        <v>0</v>
      </c>
      <c r="V4563" s="38"/>
      <c r="W4563" s="40"/>
      <c r="X4563" s="40"/>
      <c r="Y4563" s="40"/>
      <c r="Z4563" s="38"/>
      <c r="AA4563" s="38"/>
      <c r="AB4563" s="38"/>
      <c r="AC4563" s="38"/>
      <c r="AD4563" s="38"/>
      <c r="AE4563" s="38"/>
      <c r="AF4563" s="38"/>
      <c r="AG4563" s="38"/>
      <c r="AH4563" s="38"/>
      <c r="AI4563" s="38"/>
      <c r="AJ4563" s="38"/>
      <c r="AK4563" s="38"/>
      <c r="AL4563" s="38"/>
      <c r="AM4563" s="38"/>
      <c r="AN4563" s="38"/>
      <c r="AO4563" s="38"/>
      <c r="AP4563" s="38"/>
      <c r="AQ4563" s="38"/>
      <c r="AR4563" s="38"/>
      <c r="AS4563" s="38"/>
      <c r="AT4563" s="38"/>
      <c r="AU4563" s="38"/>
      <c r="AV4563" s="38"/>
      <c r="AW4563" s="38"/>
      <c r="AX4563" s="38"/>
      <c r="AY4563" s="38"/>
      <c r="AZ4563" s="38"/>
      <c r="BA4563" s="38"/>
      <c r="BB4563" s="38"/>
      <c r="BC4563" s="38"/>
      <c r="BD4563" s="38"/>
      <c r="BE4563" s="38"/>
      <c r="BF4563" s="38"/>
      <c r="BG4563" s="38"/>
      <c r="BH4563" s="38"/>
      <c r="BI4563" s="38"/>
      <c r="BJ4563" s="38"/>
      <c r="BK4563" s="38"/>
      <c r="BL4563" s="38"/>
      <c r="BM4563" s="38"/>
      <c r="BN4563" s="38"/>
      <c r="BO4563" s="38"/>
      <c r="BP4563" s="38"/>
      <c r="BQ4563" s="38"/>
    </row>
    <row r="4564">
      <c r="A4564" s="16"/>
      <c r="B4564" s="145"/>
      <c r="C4564" s="146"/>
      <c r="D4564" s="146"/>
      <c r="E4564" s="16"/>
      <c r="F4564" s="91"/>
      <c r="G4564" s="16"/>
      <c r="H4564" s="320" t="str">
        <f t="shared" si="424"/>
        <v/>
      </c>
      <c r="I4564" s="16"/>
      <c r="J4564" s="16"/>
      <c r="K4564" s="16"/>
      <c r="L4564" s="16"/>
      <c r="M4564" s="15"/>
      <c r="N4564" s="15"/>
      <c r="O4564" s="16"/>
      <c r="P4564" s="16"/>
      <c r="Q4564" s="16"/>
      <c r="R4564" s="16"/>
      <c r="S4564" s="37" t="str">
        <f>IFERROR(__xludf.DUMMYFUNCTION("if(not(iserror(index(split(C4564, "" ""),2))), index(split(C4564, "" ""),1),"""")"),"")</f>
        <v/>
      </c>
      <c r="T4564" s="315" t="str">
        <f>IFERROR(__xludf.DUMMYFUNCTION("if(S4564="""",C4564,if(not(iserror(index(split(C4564, "" ""),3))), index(split(C4564, "" ""),3),index(split(C4564, "" ""),2)))"),"")</f>
        <v/>
      </c>
      <c r="U4564" s="38" t="b">
        <f t="shared" si="423"/>
        <v>0</v>
      </c>
      <c r="V4564" s="38"/>
      <c r="W4564" s="40"/>
      <c r="X4564" s="40"/>
      <c r="Y4564" s="40"/>
      <c r="Z4564" s="38"/>
      <c r="AA4564" s="38"/>
      <c r="AB4564" s="38"/>
      <c r="AC4564" s="38"/>
      <c r="AD4564" s="38"/>
      <c r="AE4564" s="38"/>
      <c r="AF4564" s="38"/>
      <c r="AG4564" s="38"/>
      <c r="AH4564" s="38"/>
      <c r="AI4564" s="38"/>
      <c r="AJ4564" s="38"/>
      <c r="AK4564" s="38"/>
      <c r="AL4564" s="38"/>
      <c r="AM4564" s="38"/>
      <c r="AN4564" s="38"/>
      <c r="AO4564" s="38"/>
      <c r="AP4564" s="38"/>
      <c r="AQ4564" s="38"/>
      <c r="AR4564" s="38"/>
      <c r="AS4564" s="38"/>
      <c r="AT4564" s="38"/>
      <c r="AU4564" s="38"/>
      <c r="AV4564" s="38"/>
      <c r="AW4564" s="38"/>
      <c r="AX4564" s="38"/>
      <c r="AY4564" s="38"/>
      <c r="AZ4564" s="38"/>
      <c r="BA4564" s="38"/>
      <c r="BB4564" s="38"/>
      <c r="BC4564" s="38"/>
      <c r="BD4564" s="38"/>
      <c r="BE4564" s="38"/>
      <c r="BF4564" s="38"/>
      <c r="BG4564" s="38"/>
      <c r="BH4564" s="38"/>
      <c r="BI4564" s="38"/>
      <c r="BJ4564" s="38"/>
      <c r="BK4564" s="38"/>
      <c r="BL4564" s="38"/>
      <c r="BM4564" s="38"/>
      <c r="BN4564" s="38"/>
      <c r="BO4564" s="38"/>
      <c r="BP4564" s="38"/>
      <c r="BQ4564" s="38"/>
    </row>
    <row r="4565">
      <c r="A4565" s="16"/>
      <c r="B4565" s="145"/>
      <c r="C4565" s="146"/>
      <c r="D4565" s="146"/>
      <c r="E4565" s="16"/>
      <c r="F4565" s="91"/>
      <c r="G4565" s="16"/>
      <c r="H4565" s="320" t="str">
        <f t="shared" si="424"/>
        <v/>
      </c>
      <c r="I4565" s="16"/>
      <c r="J4565" s="16"/>
      <c r="K4565" s="16"/>
      <c r="L4565" s="16"/>
      <c r="M4565" s="15"/>
      <c r="N4565" s="15"/>
      <c r="O4565" s="16"/>
      <c r="P4565" s="16"/>
      <c r="Q4565" s="16"/>
      <c r="R4565" s="16"/>
      <c r="S4565" s="37" t="str">
        <f>IFERROR(__xludf.DUMMYFUNCTION("if(not(iserror(index(split(C4565, "" ""),2))), index(split(C4565, "" ""),1),"""")"),"")</f>
        <v/>
      </c>
      <c r="T4565" s="315" t="str">
        <f>IFERROR(__xludf.DUMMYFUNCTION("if(S4565="""",C4565,if(not(iserror(index(split(C4565, "" ""),3))), index(split(C4565, "" ""),3),index(split(C4565, "" ""),2)))"),"")</f>
        <v/>
      </c>
      <c r="U4565" s="38" t="b">
        <f t="shared" si="423"/>
        <v>0</v>
      </c>
      <c r="V4565" s="38"/>
      <c r="W4565" s="40"/>
      <c r="X4565" s="40"/>
      <c r="Y4565" s="40"/>
      <c r="Z4565" s="38"/>
      <c r="AA4565" s="38"/>
      <c r="AB4565" s="38"/>
      <c r="AC4565" s="38"/>
      <c r="AD4565" s="38"/>
      <c r="AE4565" s="38"/>
      <c r="AF4565" s="38"/>
      <c r="AG4565" s="38"/>
      <c r="AH4565" s="38"/>
      <c r="AI4565" s="38"/>
      <c r="AJ4565" s="38"/>
      <c r="AK4565" s="38"/>
      <c r="AL4565" s="38"/>
      <c r="AM4565" s="38"/>
      <c r="AN4565" s="38"/>
      <c r="AO4565" s="38"/>
      <c r="AP4565" s="38"/>
      <c r="AQ4565" s="38"/>
      <c r="AR4565" s="38"/>
      <c r="AS4565" s="38"/>
      <c r="AT4565" s="38"/>
      <c r="AU4565" s="38"/>
      <c r="AV4565" s="38"/>
      <c r="AW4565" s="38"/>
      <c r="AX4565" s="38"/>
      <c r="AY4565" s="38"/>
      <c r="AZ4565" s="38"/>
      <c r="BA4565" s="38"/>
      <c r="BB4565" s="38"/>
      <c r="BC4565" s="38"/>
      <c r="BD4565" s="38"/>
      <c r="BE4565" s="38"/>
      <c r="BF4565" s="38"/>
      <c r="BG4565" s="38"/>
      <c r="BH4565" s="38"/>
      <c r="BI4565" s="38"/>
      <c r="BJ4565" s="38"/>
      <c r="BK4565" s="38"/>
      <c r="BL4565" s="38"/>
      <c r="BM4565" s="38"/>
      <c r="BN4565" s="38"/>
      <c r="BO4565" s="38"/>
      <c r="BP4565" s="38"/>
      <c r="BQ4565" s="38"/>
    </row>
    <row r="4566">
      <c r="A4566" s="16"/>
      <c r="B4566" s="145"/>
      <c r="C4566" s="146"/>
      <c r="D4566" s="146"/>
      <c r="E4566" s="16"/>
      <c r="F4566" s="91"/>
      <c r="G4566" s="16"/>
      <c r="H4566" s="320" t="str">
        <f t="shared" si="424"/>
        <v/>
      </c>
      <c r="I4566" s="16"/>
      <c r="J4566" s="16"/>
      <c r="K4566" s="16"/>
      <c r="L4566" s="16"/>
      <c r="M4566" s="15"/>
      <c r="N4566" s="15"/>
      <c r="O4566" s="16"/>
      <c r="P4566" s="16"/>
      <c r="Q4566" s="16"/>
      <c r="R4566" s="16"/>
      <c r="S4566" s="37" t="str">
        <f>IFERROR(__xludf.DUMMYFUNCTION("if(not(iserror(index(split(C4566, "" ""),2))), index(split(C4566, "" ""),1),"""")"),"")</f>
        <v/>
      </c>
      <c r="T4566" s="315" t="str">
        <f>IFERROR(__xludf.DUMMYFUNCTION("if(S4566="""",C4566,if(not(iserror(index(split(C4566, "" ""),3))), index(split(C4566, "" ""),3),index(split(C4566, "" ""),2)))"),"")</f>
        <v/>
      </c>
      <c r="U4566" s="38" t="b">
        <f t="shared" si="423"/>
        <v>0</v>
      </c>
      <c r="V4566" s="38"/>
      <c r="W4566" s="40"/>
      <c r="X4566" s="40"/>
      <c r="Y4566" s="40"/>
      <c r="Z4566" s="38"/>
      <c r="AA4566" s="38"/>
      <c r="AB4566" s="38"/>
      <c r="AC4566" s="38"/>
      <c r="AD4566" s="38"/>
      <c r="AE4566" s="38"/>
      <c r="AF4566" s="38"/>
      <c r="AG4566" s="38"/>
      <c r="AH4566" s="38"/>
      <c r="AI4566" s="38"/>
      <c r="AJ4566" s="38"/>
      <c r="AK4566" s="38"/>
      <c r="AL4566" s="38"/>
      <c r="AM4566" s="38"/>
      <c r="AN4566" s="38"/>
      <c r="AO4566" s="38"/>
      <c r="AP4566" s="38"/>
      <c r="AQ4566" s="38"/>
      <c r="AR4566" s="38"/>
      <c r="AS4566" s="38"/>
      <c r="AT4566" s="38"/>
      <c r="AU4566" s="38"/>
      <c r="AV4566" s="38"/>
      <c r="AW4566" s="38"/>
      <c r="AX4566" s="38"/>
      <c r="AY4566" s="38"/>
      <c r="AZ4566" s="38"/>
      <c r="BA4566" s="38"/>
      <c r="BB4566" s="38"/>
      <c r="BC4566" s="38"/>
      <c r="BD4566" s="38"/>
      <c r="BE4566" s="38"/>
      <c r="BF4566" s="38"/>
      <c r="BG4566" s="38"/>
      <c r="BH4566" s="38"/>
      <c r="BI4566" s="38"/>
      <c r="BJ4566" s="38"/>
      <c r="BK4566" s="38"/>
      <c r="BL4566" s="38"/>
      <c r="BM4566" s="38"/>
      <c r="BN4566" s="38"/>
      <c r="BO4566" s="38"/>
      <c r="BP4566" s="38"/>
      <c r="BQ4566" s="38"/>
    </row>
    <row r="4567">
      <c r="A4567" s="16"/>
      <c r="B4567" s="145"/>
      <c r="C4567" s="146"/>
      <c r="D4567" s="146"/>
      <c r="E4567" s="16"/>
      <c r="F4567" s="91"/>
      <c r="G4567" s="16"/>
      <c r="H4567" s="320" t="str">
        <f t="shared" si="424"/>
        <v/>
      </c>
      <c r="I4567" s="16"/>
      <c r="J4567" s="16"/>
      <c r="K4567" s="16"/>
      <c r="L4567" s="16"/>
      <c r="M4567" s="15"/>
      <c r="N4567" s="15"/>
      <c r="O4567" s="16"/>
      <c r="P4567" s="16"/>
      <c r="Q4567" s="16"/>
      <c r="R4567" s="16"/>
      <c r="S4567" s="37" t="str">
        <f>IFERROR(__xludf.DUMMYFUNCTION("if(not(iserror(index(split(C4567, "" ""),2))), index(split(C4567, "" ""),1),"""")"),"")</f>
        <v/>
      </c>
      <c r="T4567" s="315" t="str">
        <f>IFERROR(__xludf.DUMMYFUNCTION("if(S4567="""",C4567,if(not(iserror(index(split(C4567, "" ""),3))), index(split(C4567, "" ""),3),index(split(C4567, "" ""),2)))"),"")</f>
        <v/>
      </c>
      <c r="U4567" s="38" t="b">
        <f t="shared" si="423"/>
        <v>0</v>
      </c>
      <c r="V4567" s="38"/>
      <c r="W4567" s="40"/>
      <c r="X4567" s="40"/>
      <c r="Y4567" s="40"/>
      <c r="Z4567" s="38"/>
      <c r="AA4567" s="38"/>
      <c r="AB4567" s="38"/>
      <c r="AC4567" s="38"/>
      <c r="AD4567" s="38"/>
      <c r="AE4567" s="38"/>
      <c r="AF4567" s="38"/>
      <c r="AG4567" s="38"/>
      <c r="AH4567" s="38"/>
      <c r="AI4567" s="38"/>
      <c r="AJ4567" s="38"/>
      <c r="AK4567" s="38"/>
      <c r="AL4567" s="38"/>
      <c r="AM4567" s="38"/>
      <c r="AN4567" s="38"/>
      <c r="AO4567" s="38"/>
      <c r="AP4567" s="38"/>
      <c r="AQ4567" s="38"/>
      <c r="AR4567" s="38"/>
      <c r="AS4567" s="38"/>
      <c r="AT4567" s="38"/>
      <c r="AU4567" s="38"/>
      <c r="AV4567" s="38"/>
      <c r="AW4567" s="38"/>
      <c r="AX4567" s="38"/>
      <c r="AY4567" s="38"/>
      <c r="AZ4567" s="38"/>
      <c r="BA4567" s="38"/>
      <c r="BB4567" s="38"/>
      <c r="BC4567" s="38"/>
      <c r="BD4567" s="38"/>
      <c r="BE4567" s="38"/>
      <c r="BF4567" s="38"/>
      <c r="BG4567" s="38"/>
      <c r="BH4567" s="38"/>
      <c r="BI4567" s="38"/>
      <c r="BJ4567" s="38"/>
      <c r="BK4567" s="38"/>
      <c r="BL4567" s="38"/>
      <c r="BM4567" s="38"/>
      <c r="BN4567" s="38"/>
      <c r="BO4567" s="38"/>
      <c r="BP4567" s="38"/>
      <c r="BQ4567" s="38"/>
    </row>
    <row r="4568">
      <c r="A4568" s="16"/>
      <c r="B4568" s="145"/>
      <c r="C4568" s="146"/>
      <c r="D4568" s="146"/>
      <c r="E4568" s="16"/>
      <c r="F4568" s="91"/>
      <c r="G4568" s="16"/>
      <c r="H4568" s="320" t="str">
        <f t="shared" si="424"/>
        <v/>
      </c>
      <c r="I4568" s="16"/>
      <c r="J4568" s="16"/>
      <c r="K4568" s="16"/>
      <c r="L4568" s="16"/>
      <c r="M4568" s="15"/>
      <c r="N4568" s="15"/>
      <c r="O4568" s="16"/>
      <c r="P4568" s="16"/>
      <c r="Q4568" s="16"/>
      <c r="R4568" s="16"/>
      <c r="S4568" s="37" t="str">
        <f>IFERROR(__xludf.DUMMYFUNCTION("if(not(iserror(index(split(C4568, "" ""),2))), index(split(C4568, "" ""),1),"""")"),"")</f>
        <v/>
      </c>
      <c r="T4568" s="315" t="str">
        <f>IFERROR(__xludf.DUMMYFUNCTION("if(S4568="""",C4568,if(not(iserror(index(split(C4568, "" ""),3))), index(split(C4568, "" ""),3),index(split(C4568, "" ""),2)))"),"")</f>
        <v/>
      </c>
      <c r="U4568" s="38" t="b">
        <f t="shared" si="423"/>
        <v>0</v>
      </c>
      <c r="V4568" s="38"/>
      <c r="W4568" s="40"/>
      <c r="X4568" s="40"/>
      <c r="Y4568" s="40"/>
      <c r="Z4568" s="38"/>
      <c r="AA4568" s="38"/>
      <c r="AB4568" s="38"/>
      <c r="AC4568" s="38"/>
      <c r="AD4568" s="38"/>
      <c r="AE4568" s="38"/>
      <c r="AF4568" s="38"/>
      <c r="AG4568" s="38"/>
      <c r="AH4568" s="38"/>
      <c r="AI4568" s="38"/>
      <c r="AJ4568" s="38"/>
      <c r="AK4568" s="38"/>
      <c r="AL4568" s="38"/>
      <c r="AM4568" s="38"/>
      <c r="AN4568" s="38"/>
      <c r="AO4568" s="38"/>
      <c r="AP4568" s="38"/>
      <c r="AQ4568" s="38"/>
      <c r="AR4568" s="38"/>
      <c r="AS4568" s="38"/>
      <c r="AT4568" s="38"/>
      <c r="AU4568" s="38"/>
      <c r="AV4568" s="38"/>
      <c r="AW4568" s="38"/>
      <c r="AX4568" s="38"/>
      <c r="AY4568" s="38"/>
      <c r="AZ4568" s="38"/>
      <c r="BA4568" s="38"/>
      <c r="BB4568" s="38"/>
      <c r="BC4568" s="38"/>
      <c r="BD4568" s="38"/>
      <c r="BE4568" s="38"/>
      <c r="BF4568" s="38"/>
      <c r="BG4568" s="38"/>
      <c r="BH4568" s="38"/>
      <c r="BI4568" s="38"/>
      <c r="BJ4568" s="38"/>
      <c r="BK4568" s="38"/>
      <c r="BL4568" s="38"/>
      <c r="BM4568" s="38"/>
      <c r="BN4568" s="38"/>
      <c r="BO4568" s="38"/>
      <c r="BP4568" s="38"/>
      <c r="BQ4568" s="38"/>
    </row>
    <row r="4569">
      <c r="A4569" s="16"/>
      <c r="B4569" s="145"/>
      <c r="C4569" s="146"/>
      <c r="D4569" s="146"/>
      <c r="E4569" s="16"/>
      <c r="F4569" s="91"/>
      <c r="G4569" s="16"/>
      <c r="H4569" s="320" t="str">
        <f t="shared" si="424"/>
        <v/>
      </c>
      <c r="I4569" s="16"/>
      <c r="J4569" s="16"/>
      <c r="K4569" s="16"/>
      <c r="L4569" s="16"/>
      <c r="M4569" s="15"/>
      <c r="N4569" s="15"/>
      <c r="O4569" s="16"/>
      <c r="P4569" s="16"/>
      <c r="Q4569" s="16"/>
      <c r="R4569" s="16"/>
      <c r="S4569" s="37" t="str">
        <f>IFERROR(__xludf.DUMMYFUNCTION("if(not(iserror(index(split(C4569, "" ""),2))), index(split(C4569, "" ""),1),"""")"),"")</f>
        <v/>
      </c>
      <c r="T4569" s="315" t="str">
        <f>IFERROR(__xludf.DUMMYFUNCTION("if(S4569="""",C4569,if(not(iserror(index(split(C4569, "" ""),3))), index(split(C4569, "" ""),3),index(split(C4569, "" ""),2)))"),"")</f>
        <v/>
      </c>
      <c r="U4569" s="38" t="b">
        <f t="shared" si="423"/>
        <v>0</v>
      </c>
      <c r="V4569" s="38"/>
      <c r="W4569" s="40"/>
      <c r="X4569" s="40"/>
      <c r="Y4569" s="40"/>
      <c r="Z4569" s="38"/>
      <c r="AA4569" s="38"/>
      <c r="AB4569" s="38"/>
      <c r="AC4569" s="38"/>
      <c r="AD4569" s="38"/>
      <c r="AE4569" s="38"/>
      <c r="AF4569" s="38"/>
      <c r="AG4569" s="38"/>
      <c r="AH4569" s="38"/>
      <c r="AI4569" s="38"/>
      <c r="AJ4569" s="38"/>
      <c r="AK4569" s="38"/>
      <c r="AL4569" s="38"/>
      <c r="AM4569" s="38"/>
      <c r="AN4569" s="38"/>
      <c r="AO4569" s="38"/>
      <c r="AP4569" s="38"/>
      <c r="AQ4569" s="38"/>
      <c r="AR4569" s="38"/>
      <c r="AS4569" s="38"/>
      <c r="AT4569" s="38"/>
      <c r="AU4569" s="38"/>
      <c r="AV4569" s="38"/>
      <c r="AW4569" s="38"/>
      <c r="AX4569" s="38"/>
      <c r="AY4569" s="38"/>
      <c r="AZ4569" s="38"/>
      <c r="BA4569" s="38"/>
      <c r="BB4569" s="38"/>
      <c r="BC4569" s="38"/>
      <c r="BD4569" s="38"/>
      <c r="BE4569" s="38"/>
      <c r="BF4569" s="38"/>
      <c r="BG4569" s="38"/>
      <c r="BH4569" s="38"/>
      <c r="BI4569" s="38"/>
      <c r="BJ4569" s="38"/>
      <c r="BK4569" s="38"/>
      <c r="BL4569" s="38"/>
      <c r="BM4569" s="38"/>
      <c r="BN4569" s="38"/>
      <c r="BO4569" s="38"/>
      <c r="BP4569" s="38"/>
      <c r="BQ4569" s="38"/>
    </row>
    <row r="4570">
      <c r="A4570" s="16"/>
      <c r="B4570" s="145"/>
      <c r="C4570" s="146"/>
      <c r="D4570" s="146"/>
      <c r="E4570" s="16"/>
      <c r="F4570" s="91"/>
      <c r="G4570" s="16"/>
      <c r="H4570" s="320" t="str">
        <f t="shared" si="424"/>
        <v/>
      </c>
      <c r="I4570" s="16"/>
      <c r="J4570" s="16"/>
      <c r="K4570" s="16"/>
      <c r="L4570" s="16"/>
      <c r="M4570" s="15"/>
      <c r="N4570" s="15"/>
      <c r="O4570" s="16"/>
      <c r="P4570" s="16"/>
      <c r="Q4570" s="16"/>
      <c r="R4570" s="16"/>
      <c r="S4570" s="37" t="str">
        <f>IFERROR(__xludf.DUMMYFUNCTION("if(not(iserror(index(split(C4570, "" ""),2))), index(split(C4570, "" ""),1),"""")"),"")</f>
        <v/>
      </c>
      <c r="T4570" s="315" t="str">
        <f>IFERROR(__xludf.DUMMYFUNCTION("if(S4570="""",C4570,if(not(iserror(index(split(C4570, "" ""),3))), index(split(C4570, "" ""),3),index(split(C4570, "" ""),2)))"),"")</f>
        <v/>
      </c>
      <c r="U4570" s="38" t="b">
        <f t="shared" si="423"/>
        <v>0</v>
      </c>
      <c r="V4570" s="38"/>
      <c r="W4570" s="40"/>
      <c r="X4570" s="40"/>
      <c r="Y4570" s="40"/>
      <c r="Z4570" s="38"/>
      <c r="AA4570" s="38"/>
      <c r="AB4570" s="38"/>
      <c r="AC4570" s="38"/>
      <c r="AD4570" s="38"/>
      <c r="AE4570" s="38"/>
      <c r="AF4570" s="38"/>
      <c r="AG4570" s="38"/>
      <c r="AH4570" s="38"/>
      <c r="AI4570" s="38"/>
      <c r="AJ4570" s="38"/>
      <c r="AK4570" s="38"/>
      <c r="AL4570" s="38"/>
      <c r="AM4570" s="38"/>
      <c r="AN4570" s="38"/>
      <c r="AO4570" s="38"/>
      <c r="AP4570" s="38"/>
      <c r="AQ4570" s="38"/>
      <c r="AR4570" s="38"/>
      <c r="AS4570" s="38"/>
      <c r="AT4570" s="38"/>
      <c r="AU4570" s="38"/>
      <c r="AV4570" s="38"/>
      <c r="AW4570" s="38"/>
      <c r="AX4570" s="38"/>
      <c r="AY4570" s="38"/>
      <c r="AZ4570" s="38"/>
      <c r="BA4570" s="38"/>
      <c r="BB4570" s="38"/>
      <c r="BC4570" s="38"/>
      <c r="BD4570" s="38"/>
      <c r="BE4570" s="38"/>
      <c r="BF4570" s="38"/>
      <c r="BG4570" s="38"/>
      <c r="BH4570" s="38"/>
      <c r="BI4570" s="38"/>
      <c r="BJ4570" s="38"/>
      <c r="BK4570" s="38"/>
      <c r="BL4570" s="38"/>
      <c r="BM4570" s="38"/>
      <c r="BN4570" s="38"/>
      <c r="BO4570" s="38"/>
      <c r="BP4570" s="38"/>
      <c r="BQ4570" s="38"/>
    </row>
    <row r="4571">
      <c r="A4571" s="16"/>
      <c r="B4571" s="145"/>
      <c r="C4571" s="146"/>
      <c r="D4571" s="146"/>
      <c r="E4571" s="16"/>
      <c r="F4571" s="91"/>
      <c r="G4571" s="16"/>
      <c r="H4571" s="320" t="str">
        <f t="shared" si="424"/>
        <v/>
      </c>
      <c r="I4571" s="16"/>
      <c r="J4571" s="16"/>
      <c r="K4571" s="16"/>
      <c r="L4571" s="16"/>
      <c r="M4571" s="15"/>
      <c r="N4571" s="15"/>
      <c r="O4571" s="16"/>
      <c r="P4571" s="16"/>
      <c r="Q4571" s="16"/>
      <c r="R4571" s="16"/>
      <c r="S4571" s="37" t="str">
        <f>IFERROR(__xludf.DUMMYFUNCTION("if(not(iserror(index(split(C4571, "" ""),2))), index(split(C4571, "" ""),1),"""")"),"")</f>
        <v/>
      </c>
      <c r="T4571" s="315" t="str">
        <f>IFERROR(__xludf.DUMMYFUNCTION("if(S4571="""",C4571,if(not(iserror(index(split(C4571, "" ""),3))), index(split(C4571, "" ""),3),index(split(C4571, "" ""),2)))"),"")</f>
        <v/>
      </c>
      <c r="U4571" s="38" t="b">
        <f t="shared" si="423"/>
        <v>0</v>
      </c>
      <c r="V4571" s="38"/>
      <c r="W4571" s="40"/>
      <c r="X4571" s="40"/>
      <c r="Y4571" s="40"/>
      <c r="Z4571" s="38"/>
      <c r="AA4571" s="38"/>
      <c r="AB4571" s="38"/>
      <c r="AC4571" s="38"/>
      <c r="AD4571" s="38"/>
      <c r="AE4571" s="38"/>
      <c r="AF4571" s="38"/>
      <c r="AG4571" s="38"/>
      <c r="AH4571" s="38"/>
      <c r="AI4571" s="38"/>
      <c r="AJ4571" s="38"/>
      <c r="AK4571" s="38"/>
      <c r="AL4571" s="38"/>
      <c r="AM4571" s="38"/>
      <c r="AN4571" s="38"/>
      <c r="AO4571" s="38"/>
      <c r="AP4571" s="38"/>
      <c r="AQ4571" s="38"/>
      <c r="AR4571" s="38"/>
      <c r="AS4571" s="38"/>
      <c r="AT4571" s="38"/>
      <c r="AU4571" s="38"/>
      <c r="AV4571" s="38"/>
      <c r="AW4571" s="38"/>
      <c r="AX4571" s="38"/>
      <c r="AY4571" s="38"/>
      <c r="AZ4571" s="38"/>
      <c r="BA4571" s="38"/>
      <c r="BB4571" s="38"/>
      <c r="BC4571" s="38"/>
      <c r="BD4571" s="38"/>
      <c r="BE4571" s="38"/>
      <c r="BF4571" s="38"/>
      <c r="BG4571" s="38"/>
      <c r="BH4571" s="38"/>
      <c r="BI4571" s="38"/>
      <c r="BJ4571" s="38"/>
      <c r="BK4571" s="38"/>
      <c r="BL4571" s="38"/>
      <c r="BM4571" s="38"/>
      <c r="BN4571" s="38"/>
      <c r="BO4571" s="38"/>
      <c r="BP4571" s="38"/>
      <c r="BQ4571" s="38"/>
    </row>
    <row r="4572">
      <c r="A4572" s="16"/>
      <c r="B4572" s="145"/>
      <c r="C4572" s="146"/>
      <c r="D4572" s="146"/>
      <c r="E4572" s="16"/>
      <c r="F4572" s="91"/>
      <c r="G4572" s="16"/>
      <c r="H4572" s="320" t="str">
        <f t="shared" si="424"/>
        <v/>
      </c>
      <c r="I4572" s="16"/>
      <c r="J4572" s="16"/>
      <c r="K4572" s="16"/>
      <c r="L4572" s="16"/>
      <c r="M4572" s="15"/>
      <c r="N4572" s="15"/>
      <c r="O4572" s="16"/>
      <c r="P4572" s="16"/>
      <c r="Q4572" s="16"/>
      <c r="R4572" s="16"/>
      <c r="S4572" s="37" t="str">
        <f>IFERROR(__xludf.DUMMYFUNCTION("if(not(iserror(index(split(C4572, "" ""),2))), index(split(C4572, "" ""),1),"""")"),"")</f>
        <v/>
      </c>
      <c r="T4572" s="315" t="str">
        <f>IFERROR(__xludf.DUMMYFUNCTION("if(S4572="""",C4572,if(not(iserror(index(split(C4572, "" ""),3))), index(split(C4572, "" ""),3),index(split(C4572, "" ""),2)))"),"")</f>
        <v/>
      </c>
      <c r="U4572" s="38" t="b">
        <f t="shared" si="423"/>
        <v>0</v>
      </c>
      <c r="V4572" s="38"/>
      <c r="W4572" s="40"/>
      <c r="X4572" s="40"/>
      <c r="Y4572" s="40"/>
      <c r="Z4572" s="38"/>
      <c r="AA4572" s="38"/>
      <c r="AB4572" s="38"/>
      <c r="AC4572" s="38"/>
      <c r="AD4572" s="38"/>
      <c r="AE4572" s="38"/>
      <c r="AF4572" s="38"/>
      <c r="AG4572" s="38"/>
      <c r="AH4572" s="38"/>
      <c r="AI4572" s="38"/>
      <c r="AJ4572" s="38"/>
      <c r="AK4572" s="38"/>
      <c r="AL4572" s="38"/>
      <c r="AM4572" s="38"/>
      <c r="AN4572" s="38"/>
      <c r="AO4572" s="38"/>
      <c r="AP4572" s="38"/>
      <c r="AQ4572" s="38"/>
      <c r="AR4572" s="38"/>
      <c r="AS4572" s="38"/>
      <c r="AT4572" s="38"/>
      <c r="AU4572" s="38"/>
      <c r="AV4572" s="38"/>
      <c r="AW4572" s="38"/>
      <c r="AX4572" s="38"/>
      <c r="AY4572" s="38"/>
      <c r="AZ4572" s="38"/>
      <c r="BA4572" s="38"/>
      <c r="BB4572" s="38"/>
      <c r="BC4572" s="38"/>
      <c r="BD4572" s="38"/>
      <c r="BE4572" s="38"/>
      <c r="BF4572" s="38"/>
      <c r="BG4572" s="38"/>
      <c r="BH4572" s="38"/>
      <c r="BI4572" s="38"/>
      <c r="BJ4572" s="38"/>
      <c r="BK4572" s="38"/>
      <c r="BL4572" s="38"/>
      <c r="BM4572" s="38"/>
      <c r="BN4572" s="38"/>
      <c r="BO4572" s="38"/>
      <c r="BP4572" s="38"/>
      <c r="BQ4572" s="38"/>
    </row>
    <row r="4573">
      <c r="A4573" s="16"/>
      <c r="B4573" s="145"/>
      <c r="C4573" s="146"/>
      <c r="D4573" s="146"/>
      <c r="E4573" s="16"/>
      <c r="F4573" s="91"/>
      <c r="G4573" s="16"/>
      <c r="H4573" s="320" t="str">
        <f t="shared" si="424"/>
        <v/>
      </c>
      <c r="I4573" s="16"/>
      <c r="J4573" s="16"/>
      <c r="K4573" s="16"/>
      <c r="L4573" s="16"/>
      <c r="M4573" s="15"/>
      <c r="N4573" s="15"/>
      <c r="O4573" s="16"/>
      <c r="P4573" s="16"/>
      <c r="Q4573" s="16"/>
      <c r="R4573" s="16"/>
      <c r="S4573" s="37" t="str">
        <f>IFERROR(__xludf.DUMMYFUNCTION("if(not(iserror(index(split(C4573, "" ""),2))), index(split(C4573, "" ""),1),"""")"),"")</f>
        <v/>
      </c>
      <c r="T4573" s="315" t="str">
        <f>IFERROR(__xludf.DUMMYFUNCTION("if(S4573="""",C4573,if(not(iserror(index(split(C4573, "" ""),3))), index(split(C4573, "" ""),3),index(split(C4573, "" ""),2)))"),"")</f>
        <v/>
      </c>
      <c r="U4573" s="38" t="b">
        <f t="shared" si="423"/>
        <v>0</v>
      </c>
      <c r="V4573" s="38"/>
      <c r="W4573" s="40"/>
      <c r="X4573" s="40"/>
      <c r="Y4573" s="40"/>
      <c r="Z4573" s="38"/>
      <c r="AA4573" s="38"/>
      <c r="AB4573" s="38"/>
      <c r="AC4573" s="38"/>
      <c r="AD4573" s="38"/>
      <c r="AE4573" s="38"/>
      <c r="AF4573" s="38"/>
      <c r="AG4573" s="38"/>
      <c r="AH4573" s="38"/>
      <c r="AI4573" s="38"/>
      <c r="AJ4573" s="38"/>
      <c r="AK4573" s="38"/>
      <c r="AL4573" s="38"/>
      <c r="AM4573" s="38"/>
      <c r="AN4573" s="38"/>
      <c r="AO4573" s="38"/>
      <c r="AP4573" s="38"/>
      <c r="AQ4573" s="38"/>
      <c r="AR4573" s="38"/>
      <c r="AS4573" s="38"/>
      <c r="AT4573" s="38"/>
      <c r="AU4573" s="38"/>
      <c r="AV4573" s="38"/>
      <c r="AW4573" s="38"/>
      <c r="AX4573" s="38"/>
      <c r="AY4573" s="38"/>
      <c r="AZ4573" s="38"/>
      <c r="BA4573" s="38"/>
      <c r="BB4573" s="38"/>
      <c r="BC4573" s="38"/>
      <c r="BD4573" s="38"/>
      <c r="BE4573" s="38"/>
      <c r="BF4573" s="38"/>
      <c r="BG4573" s="38"/>
      <c r="BH4573" s="38"/>
      <c r="BI4573" s="38"/>
      <c r="BJ4573" s="38"/>
      <c r="BK4573" s="38"/>
      <c r="BL4573" s="38"/>
      <c r="BM4573" s="38"/>
      <c r="BN4573" s="38"/>
      <c r="BO4573" s="38"/>
      <c r="BP4573" s="38"/>
      <c r="BQ4573" s="38"/>
    </row>
    <row r="4574">
      <c r="A4574" s="16"/>
      <c r="B4574" s="145"/>
      <c r="C4574" s="146"/>
      <c r="D4574" s="146"/>
      <c r="E4574" s="16"/>
      <c r="F4574" s="91"/>
      <c r="G4574" s="16"/>
      <c r="H4574" s="320" t="str">
        <f t="shared" si="424"/>
        <v/>
      </c>
      <c r="I4574" s="16"/>
      <c r="J4574" s="16"/>
      <c r="K4574" s="16"/>
      <c r="L4574" s="16"/>
      <c r="M4574" s="15"/>
      <c r="N4574" s="15"/>
      <c r="O4574" s="16"/>
      <c r="P4574" s="16"/>
      <c r="Q4574" s="16"/>
      <c r="R4574" s="16"/>
      <c r="S4574" s="37" t="str">
        <f>IFERROR(__xludf.DUMMYFUNCTION("if(not(iserror(index(split(C4574, "" ""),2))), index(split(C4574, "" ""),1),"""")"),"")</f>
        <v/>
      </c>
      <c r="T4574" s="315" t="str">
        <f>IFERROR(__xludf.DUMMYFUNCTION("if(S4574="""",C4574,if(not(iserror(index(split(C4574, "" ""),3))), index(split(C4574, "" ""),3),index(split(C4574, "" ""),2)))"),"")</f>
        <v/>
      </c>
      <c r="U4574" s="38" t="b">
        <f t="shared" si="423"/>
        <v>0</v>
      </c>
      <c r="V4574" s="38"/>
      <c r="W4574" s="40"/>
      <c r="X4574" s="40"/>
      <c r="Y4574" s="40"/>
      <c r="Z4574" s="38"/>
      <c r="AA4574" s="38"/>
      <c r="AB4574" s="38"/>
      <c r="AC4574" s="38"/>
      <c r="AD4574" s="38"/>
      <c r="AE4574" s="38"/>
      <c r="AF4574" s="38"/>
      <c r="AG4574" s="38"/>
      <c r="AH4574" s="38"/>
      <c r="AI4574" s="38"/>
      <c r="AJ4574" s="38"/>
      <c r="AK4574" s="38"/>
      <c r="AL4574" s="38"/>
      <c r="AM4574" s="38"/>
      <c r="AN4574" s="38"/>
      <c r="AO4574" s="38"/>
      <c r="AP4574" s="38"/>
      <c r="AQ4574" s="38"/>
      <c r="AR4574" s="38"/>
      <c r="AS4574" s="38"/>
      <c r="AT4574" s="38"/>
      <c r="AU4574" s="38"/>
      <c r="AV4574" s="38"/>
      <c r="AW4574" s="38"/>
      <c r="AX4574" s="38"/>
      <c r="AY4574" s="38"/>
      <c r="AZ4574" s="38"/>
      <c r="BA4574" s="38"/>
      <c r="BB4574" s="38"/>
      <c r="BC4574" s="38"/>
      <c r="BD4574" s="38"/>
      <c r="BE4574" s="38"/>
      <c r="BF4574" s="38"/>
      <c r="BG4574" s="38"/>
      <c r="BH4574" s="38"/>
      <c r="BI4574" s="38"/>
      <c r="BJ4574" s="38"/>
      <c r="BK4574" s="38"/>
      <c r="BL4574" s="38"/>
      <c r="BM4574" s="38"/>
      <c r="BN4574" s="38"/>
      <c r="BO4574" s="38"/>
      <c r="BP4574" s="38"/>
      <c r="BQ4574" s="38"/>
    </row>
    <row r="4575">
      <c r="A4575" s="16"/>
      <c r="B4575" s="145"/>
      <c r="C4575" s="146"/>
      <c r="D4575" s="146"/>
      <c r="E4575" s="16"/>
      <c r="F4575" s="91"/>
      <c r="G4575" s="16"/>
      <c r="H4575" s="320" t="str">
        <f t="shared" si="424"/>
        <v/>
      </c>
      <c r="I4575" s="16"/>
      <c r="J4575" s="16"/>
      <c r="K4575" s="16"/>
      <c r="L4575" s="16"/>
      <c r="M4575" s="15"/>
      <c r="N4575" s="15"/>
      <c r="O4575" s="16"/>
      <c r="P4575" s="16"/>
      <c r="Q4575" s="16"/>
      <c r="R4575" s="16"/>
      <c r="S4575" s="37" t="str">
        <f>IFERROR(__xludf.DUMMYFUNCTION("if(not(iserror(index(split(C4575, "" ""),2))), index(split(C4575, "" ""),1),"""")"),"")</f>
        <v/>
      </c>
      <c r="T4575" s="315" t="str">
        <f>IFERROR(__xludf.DUMMYFUNCTION("if(S4575="""",C4575,if(not(iserror(index(split(C4575, "" ""),3))), index(split(C4575, "" ""),3),index(split(C4575, "" ""),2)))"),"")</f>
        <v/>
      </c>
      <c r="U4575" s="38" t="b">
        <f t="shared" si="423"/>
        <v>0</v>
      </c>
      <c r="V4575" s="38"/>
      <c r="W4575" s="40"/>
      <c r="X4575" s="40"/>
      <c r="Y4575" s="40"/>
      <c r="Z4575" s="38"/>
      <c r="AA4575" s="38"/>
      <c r="AB4575" s="38"/>
      <c r="AC4575" s="38"/>
      <c r="AD4575" s="38"/>
      <c r="AE4575" s="38"/>
      <c r="AF4575" s="38"/>
      <c r="AG4575" s="38"/>
      <c r="AH4575" s="38"/>
      <c r="AI4575" s="38"/>
      <c r="AJ4575" s="38"/>
      <c r="AK4575" s="38"/>
      <c r="AL4575" s="38"/>
      <c r="AM4575" s="38"/>
      <c r="AN4575" s="38"/>
      <c r="AO4575" s="38"/>
      <c r="AP4575" s="38"/>
      <c r="AQ4575" s="38"/>
      <c r="AR4575" s="38"/>
      <c r="AS4575" s="38"/>
      <c r="AT4575" s="38"/>
      <c r="AU4575" s="38"/>
      <c r="AV4575" s="38"/>
      <c r="AW4575" s="38"/>
      <c r="AX4575" s="38"/>
      <c r="AY4575" s="38"/>
      <c r="AZ4575" s="38"/>
      <c r="BA4575" s="38"/>
      <c r="BB4575" s="38"/>
      <c r="BC4575" s="38"/>
      <c r="BD4575" s="38"/>
      <c r="BE4575" s="38"/>
      <c r="BF4575" s="38"/>
      <c r="BG4575" s="38"/>
      <c r="BH4575" s="38"/>
      <c r="BI4575" s="38"/>
      <c r="BJ4575" s="38"/>
      <c r="BK4575" s="38"/>
      <c r="BL4575" s="38"/>
      <c r="BM4575" s="38"/>
      <c r="BN4575" s="38"/>
      <c r="BO4575" s="38"/>
      <c r="BP4575" s="38"/>
      <c r="BQ4575" s="38"/>
    </row>
    <row r="4576">
      <c r="A4576" s="16"/>
      <c r="B4576" s="145"/>
      <c r="C4576" s="146"/>
      <c r="D4576" s="146"/>
      <c r="E4576" s="16"/>
      <c r="F4576" s="91"/>
      <c r="G4576" s="16"/>
      <c r="H4576" s="320" t="str">
        <f t="shared" si="424"/>
        <v/>
      </c>
      <c r="I4576" s="16"/>
      <c r="J4576" s="16"/>
      <c r="K4576" s="16"/>
      <c r="L4576" s="16"/>
      <c r="M4576" s="15"/>
      <c r="N4576" s="15"/>
      <c r="O4576" s="16"/>
      <c r="P4576" s="16"/>
      <c r="Q4576" s="16"/>
      <c r="R4576" s="16"/>
      <c r="S4576" s="37" t="str">
        <f>IFERROR(__xludf.DUMMYFUNCTION("if(not(iserror(index(split(C4576, "" ""),2))), index(split(C4576, "" ""),1),"""")"),"")</f>
        <v/>
      </c>
      <c r="T4576" s="315" t="str">
        <f>IFERROR(__xludf.DUMMYFUNCTION("if(S4576="""",C4576,if(not(iserror(index(split(C4576, "" ""),3))), index(split(C4576, "" ""),3),index(split(C4576, "" ""),2)))"),"")</f>
        <v/>
      </c>
      <c r="U4576" s="38" t="b">
        <f t="shared" si="423"/>
        <v>0</v>
      </c>
      <c r="V4576" s="38"/>
      <c r="W4576" s="40"/>
      <c r="X4576" s="40"/>
      <c r="Y4576" s="40"/>
      <c r="Z4576" s="38"/>
      <c r="AA4576" s="38"/>
      <c r="AB4576" s="38"/>
      <c r="AC4576" s="38"/>
      <c r="AD4576" s="38"/>
      <c r="AE4576" s="38"/>
      <c r="AF4576" s="38"/>
      <c r="AG4576" s="38"/>
      <c r="AH4576" s="38"/>
      <c r="AI4576" s="38"/>
      <c r="AJ4576" s="38"/>
      <c r="AK4576" s="38"/>
      <c r="AL4576" s="38"/>
      <c r="AM4576" s="38"/>
      <c r="AN4576" s="38"/>
      <c r="AO4576" s="38"/>
      <c r="AP4576" s="38"/>
      <c r="AQ4576" s="38"/>
      <c r="AR4576" s="38"/>
      <c r="AS4576" s="38"/>
      <c r="AT4576" s="38"/>
      <c r="AU4576" s="38"/>
      <c r="AV4576" s="38"/>
      <c r="AW4576" s="38"/>
      <c r="AX4576" s="38"/>
      <c r="AY4576" s="38"/>
      <c r="AZ4576" s="38"/>
      <c r="BA4576" s="38"/>
      <c r="BB4576" s="38"/>
      <c r="BC4576" s="38"/>
      <c r="BD4576" s="38"/>
      <c r="BE4576" s="38"/>
      <c r="BF4576" s="38"/>
      <c r="BG4576" s="38"/>
      <c r="BH4576" s="38"/>
      <c r="BI4576" s="38"/>
      <c r="BJ4576" s="38"/>
      <c r="BK4576" s="38"/>
      <c r="BL4576" s="38"/>
      <c r="BM4576" s="38"/>
      <c r="BN4576" s="38"/>
      <c r="BO4576" s="38"/>
      <c r="BP4576" s="38"/>
      <c r="BQ4576" s="38"/>
    </row>
    <row r="4577">
      <c r="A4577" s="16"/>
      <c r="B4577" s="145"/>
      <c r="C4577" s="146"/>
      <c r="D4577" s="146"/>
      <c r="E4577" s="16"/>
      <c r="F4577" s="91"/>
      <c r="G4577" s="16"/>
      <c r="H4577" s="320" t="str">
        <f t="shared" si="424"/>
        <v/>
      </c>
      <c r="I4577" s="16"/>
      <c r="J4577" s="16"/>
      <c r="K4577" s="16"/>
      <c r="L4577" s="16"/>
      <c r="M4577" s="15"/>
      <c r="N4577" s="15"/>
      <c r="O4577" s="16"/>
      <c r="P4577" s="16"/>
      <c r="Q4577" s="16"/>
      <c r="R4577" s="16"/>
      <c r="S4577" s="37" t="str">
        <f>IFERROR(__xludf.DUMMYFUNCTION("if(not(iserror(index(split(C4577, "" ""),2))), index(split(C4577, "" ""),1),"""")"),"")</f>
        <v/>
      </c>
      <c r="T4577" s="315" t="str">
        <f>IFERROR(__xludf.DUMMYFUNCTION("if(S4577="""",C4577,if(not(iserror(index(split(C4577, "" ""),3))), index(split(C4577, "" ""),3),index(split(C4577, "" ""),2)))"),"")</f>
        <v/>
      </c>
      <c r="U4577" s="38" t="b">
        <f t="shared" si="423"/>
        <v>0</v>
      </c>
      <c r="V4577" s="38"/>
      <c r="W4577" s="40"/>
      <c r="X4577" s="40"/>
      <c r="Y4577" s="40"/>
      <c r="Z4577" s="38"/>
      <c r="AA4577" s="38"/>
      <c r="AB4577" s="38"/>
      <c r="AC4577" s="38"/>
      <c r="AD4577" s="38"/>
      <c r="AE4577" s="38"/>
      <c r="AF4577" s="38"/>
      <c r="AG4577" s="38"/>
      <c r="AH4577" s="38"/>
      <c r="AI4577" s="38"/>
      <c r="AJ4577" s="38"/>
      <c r="AK4577" s="38"/>
      <c r="AL4577" s="38"/>
      <c r="AM4577" s="38"/>
      <c r="AN4577" s="38"/>
      <c r="AO4577" s="38"/>
      <c r="AP4577" s="38"/>
      <c r="AQ4577" s="38"/>
      <c r="AR4577" s="38"/>
      <c r="AS4577" s="38"/>
      <c r="AT4577" s="38"/>
      <c r="AU4577" s="38"/>
      <c r="AV4577" s="38"/>
      <c r="AW4577" s="38"/>
      <c r="AX4577" s="38"/>
      <c r="AY4577" s="38"/>
      <c r="AZ4577" s="38"/>
      <c r="BA4577" s="38"/>
      <c r="BB4577" s="38"/>
      <c r="BC4577" s="38"/>
      <c r="BD4577" s="38"/>
      <c r="BE4577" s="38"/>
      <c r="BF4577" s="38"/>
      <c r="BG4577" s="38"/>
      <c r="BH4577" s="38"/>
      <c r="BI4577" s="38"/>
      <c r="BJ4577" s="38"/>
      <c r="BK4577" s="38"/>
      <c r="BL4577" s="38"/>
      <c r="BM4577" s="38"/>
      <c r="BN4577" s="38"/>
      <c r="BO4577" s="38"/>
      <c r="BP4577" s="38"/>
      <c r="BQ4577" s="38"/>
    </row>
    <row r="4578">
      <c r="A4578" s="16"/>
      <c r="B4578" s="145"/>
      <c r="C4578" s="146"/>
      <c r="D4578" s="146"/>
      <c r="E4578" s="16"/>
      <c r="F4578" s="91"/>
      <c r="G4578" s="16"/>
      <c r="H4578" s="320" t="str">
        <f t="shared" si="424"/>
        <v/>
      </c>
      <c r="I4578" s="16"/>
      <c r="J4578" s="16"/>
      <c r="K4578" s="16"/>
      <c r="L4578" s="16"/>
      <c r="M4578" s="15"/>
      <c r="N4578" s="15"/>
      <c r="O4578" s="16"/>
      <c r="P4578" s="16"/>
      <c r="Q4578" s="16"/>
      <c r="R4578" s="16"/>
      <c r="S4578" s="37" t="str">
        <f>IFERROR(__xludf.DUMMYFUNCTION("if(not(iserror(index(split(C4578, "" ""),2))), index(split(C4578, "" ""),1),"""")"),"")</f>
        <v/>
      </c>
      <c r="T4578" s="315" t="str">
        <f>IFERROR(__xludf.DUMMYFUNCTION("if(S4578="""",C4578,if(not(iserror(index(split(C4578, "" ""),3))), index(split(C4578, "" ""),3),index(split(C4578, "" ""),2)))"),"")</f>
        <v/>
      </c>
      <c r="U4578" s="38" t="b">
        <f t="shared" si="423"/>
        <v>0</v>
      </c>
      <c r="V4578" s="38"/>
      <c r="W4578" s="40"/>
      <c r="X4578" s="40"/>
      <c r="Y4578" s="40"/>
      <c r="Z4578" s="38"/>
      <c r="AA4578" s="38"/>
      <c r="AB4578" s="38"/>
      <c r="AC4578" s="38"/>
      <c r="AD4578" s="38"/>
      <c r="AE4578" s="38"/>
      <c r="AF4578" s="38"/>
      <c r="AG4578" s="38"/>
      <c r="AH4578" s="38"/>
      <c r="AI4578" s="38"/>
      <c r="AJ4578" s="38"/>
      <c r="AK4578" s="38"/>
      <c r="AL4578" s="38"/>
      <c r="AM4578" s="38"/>
      <c r="AN4578" s="38"/>
      <c r="AO4578" s="38"/>
      <c r="AP4578" s="38"/>
      <c r="AQ4578" s="38"/>
      <c r="AR4578" s="38"/>
      <c r="AS4578" s="38"/>
      <c r="AT4578" s="38"/>
      <c r="AU4578" s="38"/>
      <c r="AV4578" s="38"/>
      <c r="AW4578" s="38"/>
      <c r="AX4578" s="38"/>
      <c r="AY4578" s="38"/>
      <c r="AZ4578" s="38"/>
      <c r="BA4578" s="38"/>
      <c r="BB4578" s="38"/>
      <c r="BC4578" s="38"/>
      <c r="BD4578" s="38"/>
      <c r="BE4578" s="38"/>
      <c r="BF4578" s="38"/>
      <c r="BG4578" s="38"/>
      <c r="BH4578" s="38"/>
      <c r="BI4578" s="38"/>
      <c r="BJ4578" s="38"/>
      <c r="BK4578" s="38"/>
      <c r="BL4578" s="38"/>
      <c r="BM4578" s="38"/>
      <c r="BN4578" s="38"/>
      <c r="BO4578" s="38"/>
      <c r="BP4578" s="38"/>
      <c r="BQ4578" s="38"/>
    </row>
    <row r="4579">
      <c r="A4579" s="16"/>
      <c r="B4579" s="145"/>
      <c r="C4579" s="146"/>
      <c r="D4579" s="146"/>
      <c r="E4579" s="16"/>
      <c r="F4579" s="91"/>
      <c r="G4579" s="16"/>
      <c r="H4579" s="320" t="str">
        <f t="shared" si="424"/>
        <v/>
      </c>
      <c r="I4579" s="16"/>
      <c r="J4579" s="16"/>
      <c r="K4579" s="16"/>
      <c r="L4579" s="16"/>
      <c r="M4579" s="15"/>
      <c r="N4579" s="15"/>
      <c r="O4579" s="16"/>
      <c r="P4579" s="16"/>
      <c r="Q4579" s="16"/>
      <c r="R4579" s="16"/>
      <c r="S4579" s="37" t="str">
        <f>IFERROR(__xludf.DUMMYFUNCTION("if(not(iserror(index(split(C4579, "" ""),2))), index(split(C4579, "" ""),1),"""")"),"")</f>
        <v/>
      </c>
      <c r="T4579" s="315" t="str">
        <f>IFERROR(__xludf.DUMMYFUNCTION("if(S4579="""",C4579,if(not(iserror(index(split(C4579, "" ""),3))), index(split(C4579, "" ""),3),index(split(C4579, "" ""),2)))"),"")</f>
        <v/>
      </c>
      <c r="U4579" s="38" t="b">
        <f t="shared" si="423"/>
        <v>0</v>
      </c>
      <c r="V4579" s="38"/>
      <c r="W4579" s="40"/>
      <c r="X4579" s="40"/>
      <c r="Y4579" s="40"/>
      <c r="Z4579" s="38"/>
      <c r="AA4579" s="38"/>
      <c r="AB4579" s="38"/>
      <c r="AC4579" s="38"/>
      <c r="AD4579" s="38"/>
      <c r="AE4579" s="38"/>
      <c r="AF4579" s="38"/>
      <c r="AG4579" s="38"/>
      <c r="AH4579" s="38"/>
      <c r="AI4579" s="38"/>
      <c r="AJ4579" s="38"/>
      <c r="AK4579" s="38"/>
      <c r="AL4579" s="38"/>
      <c r="AM4579" s="38"/>
      <c r="AN4579" s="38"/>
      <c r="AO4579" s="38"/>
      <c r="AP4579" s="38"/>
      <c r="AQ4579" s="38"/>
      <c r="AR4579" s="38"/>
      <c r="AS4579" s="38"/>
      <c r="AT4579" s="38"/>
      <c r="AU4579" s="38"/>
      <c r="AV4579" s="38"/>
      <c r="AW4579" s="38"/>
      <c r="AX4579" s="38"/>
      <c r="AY4579" s="38"/>
      <c r="AZ4579" s="38"/>
      <c r="BA4579" s="38"/>
      <c r="BB4579" s="38"/>
      <c r="BC4579" s="38"/>
      <c r="BD4579" s="38"/>
      <c r="BE4579" s="38"/>
      <c r="BF4579" s="38"/>
      <c r="BG4579" s="38"/>
      <c r="BH4579" s="38"/>
      <c r="BI4579" s="38"/>
      <c r="BJ4579" s="38"/>
      <c r="BK4579" s="38"/>
      <c r="BL4579" s="38"/>
      <c r="BM4579" s="38"/>
      <c r="BN4579" s="38"/>
      <c r="BO4579" s="38"/>
      <c r="BP4579" s="38"/>
      <c r="BQ4579" s="38"/>
    </row>
    <row r="4580">
      <c r="A4580" s="16"/>
      <c r="B4580" s="145"/>
      <c r="C4580" s="146"/>
      <c r="D4580" s="146"/>
      <c r="E4580" s="16"/>
      <c r="F4580" s="91"/>
      <c r="G4580" s="16"/>
      <c r="H4580" s="320" t="str">
        <f t="shared" si="424"/>
        <v/>
      </c>
      <c r="I4580" s="16"/>
      <c r="J4580" s="16"/>
      <c r="K4580" s="16"/>
      <c r="L4580" s="16"/>
      <c r="M4580" s="15"/>
      <c r="N4580" s="15"/>
      <c r="O4580" s="16"/>
      <c r="P4580" s="16"/>
      <c r="Q4580" s="16"/>
      <c r="R4580" s="16"/>
      <c r="S4580" s="37" t="str">
        <f>IFERROR(__xludf.DUMMYFUNCTION("if(not(iserror(index(split(C4580, "" ""),2))), index(split(C4580, "" ""),1),"""")"),"")</f>
        <v/>
      </c>
      <c r="T4580" s="315" t="str">
        <f>IFERROR(__xludf.DUMMYFUNCTION("if(S4580="""",C4580,if(not(iserror(index(split(C4580, "" ""),3))), index(split(C4580, "" ""),3),index(split(C4580, "" ""),2)))"),"")</f>
        <v/>
      </c>
      <c r="U4580" s="38" t="b">
        <f t="shared" si="423"/>
        <v>0</v>
      </c>
      <c r="V4580" s="38"/>
      <c r="W4580" s="40"/>
      <c r="X4580" s="40"/>
      <c r="Y4580" s="40"/>
      <c r="Z4580" s="38"/>
      <c r="AA4580" s="38"/>
      <c r="AB4580" s="38"/>
      <c r="AC4580" s="38"/>
      <c r="AD4580" s="38"/>
      <c r="AE4580" s="38"/>
      <c r="AF4580" s="38"/>
      <c r="AG4580" s="38"/>
      <c r="AH4580" s="38"/>
      <c r="AI4580" s="38"/>
      <c r="AJ4580" s="38"/>
      <c r="AK4580" s="38"/>
      <c r="AL4580" s="38"/>
      <c r="AM4580" s="38"/>
      <c r="AN4580" s="38"/>
      <c r="AO4580" s="38"/>
      <c r="AP4580" s="38"/>
      <c r="AQ4580" s="38"/>
      <c r="AR4580" s="38"/>
      <c r="AS4580" s="38"/>
      <c r="AT4580" s="38"/>
      <c r="AU4580" s="38"/>
      <c r="AV4580" s="38"/>
      <c r="AW4580" s="38"/>
      <c r="AX4580" s="38"/>
      <c r="AY4580" s="38"/>
      <c r="AZ4580" s="38"/>
      <c r="BA4580" s="38"/>
      <c r="BB4580" s="38"/>
      <c r="BC4580" s="38"/>
      <c r="BD4580" s="38"/>
      <c r="BE4580" s="38"/>
      <c r="BF4580" s="38"/>
      <c r="BG4580" s="38"/>
      <c r="BH4580" s="38"/>
      <c r="BI4580" s="38"/>
      <c r="BJ4580" s="38"/>
      <c r="BK4580" s="38"/>
      <c r="BL4580" s="38"/>
      <c r="BM4580" s="38"/>
      <c r="BN4580" s="38"/>
      <c r="BO4580" s="38"/>
      <c r="BP4580" s="38"/>
      <c r="BQ4580" s="38"/>
    </row>
    <row r="4581">
      <c r="A4581" s="16"/>
      <c r="B4581" s="145"/>
      <c r="C4581" s="146"/>
      <c r="D4581" s="146"/>
      <c r="E4581" s="16"/>
      <c r="F4581" s="91"/>
      <c r="G4581" s="16"/>
      <c r="H4581" s="320" t="str">
        <f t="shared" si="424"/>
        <v/>
      </c>
      <c r="I4581" s="16"/>
      <c r="J4581" s="16"/>
      <c r="K4581" s="16"/>
      <c r="L4581" s="16"/>
      <c r="M4581" s="15"/>
      <c r="N4581" s="15"/>
      <c r="O4581" s="16"/>
      <c r="P4581" s="16"/>
      <c r="Q4581" s="16"/>
      <c r="R4581" s="16"/>
      <c r="S4581" s="37" t="str">
        <f>IFERROR(__xludf.DUMMYFUNCTION("if(not(iserror(index(split(C4581, "" ""),2))), index(split(C4581, "" ""),1),"""")"),"")</f>
        <v/>
      </c>
      <c r="T4581" s="315" t="str">
        <f>IFERROR(__xludf.DUMMYFUNCTION("if(S4581="""",C4581,if(not(iserror(index(split(C4581, "" ""),3))), index(split(C4581, "" ""),3),index(split(C4581, "" ""),2)))"),"")</f>
        <v/>
      </c>
      <c r="U4581" s="38" t="b">
        <f t="shared" si="423"/>
        <v>0</v>
      </c>
      <c r="V4581" s="38"/>
      <c r="W4581" s="40"/>
      <c r="X4581" s="40"/>
      <c r="Y4581" s="40"/>
      <c r="Z4581" s="38"/>
      <c r="AA4581" s="38"/>
      <c r="AB4581" s="38"/>
      <c r="AC4581" s="38"/>
      <c r="AD4581" s="38"/>
      <c r="AE4581" s="38"/>
      <c r="AF4581" s="38"/>
      <c r="AG4581" s="38"/>
      <c r="AH4581" s="38"/>
      <c r="AI4581" s="38"/>
      <c r="AJ4581" s="38"/>
      <c r="AK4581" s="38"/>
      <c r="AL4581" s="38"/>
      <c r="AM4581" s="38"/>
      <c r="AN4581" s="38"/>
      <c r="AO4581" s="38"/>
      <c r="AP4581" s="38"/>
      <c r="AQ4581" s="38"/>
      <c r="AR4581" s="38"/>
      <c r="AS4581" s="38"/>
      <c r="AT4581" s="38"/>
      <c r="AU4581" s="38"/>
      <c r="AV4581" s="38"/>
      <c r="AW4581" s="38"/>
      <c r="AX4581" s="38"/>
      <c r="AY4581" s="38"/>
      <c r="AZ4581" s="38"/>
      <c r="BA4581" s="38"/>
      <c r="BB4581" s="38"/>
      <c r="BC4581" s="38"/>
      <c r="BD4581" s="38"/>
      <c r="BE4581" s="38"/>
      <c r="BF4581" s="38"/>
      <c r="BG4581" s="38"/>
      <c r="BH4581" s="38"/>
      <c r="BI4581" s="38"/>
      <c r="BJ4581" s="38"/>
      <c r="BK4581" s="38"/>
      <c r="BL4581" s="38"/>
      <c r="BM4581" s="38"/>
      <c r="BN4581" s="38"/>
      <c r="BO4581" s="38"/>
      <c r="BP4581" s="38"/>
      <c r="BQ4581" s="38"/>
    </row>
    <row r="4582">
      <c r="A4582" s="16"/>
      <c r="B4582" s="145"/>
      <c r="C4582" s="146"/>
      <c r="D4582" s="146"/>
      <c r="E4582" s="16"/>
      <c r="F4582" s="91"/>
      <c r="G4582" s="16"/>
      <c r="H4582" s="320" t="str">
        <f t="shared" si="424"/>
        <v/>
      </c>
      <c r="I4582" s="16"/>
      <c r="J4582" s="16"/>
      <c r="K4582" s="16"/>
      <c r="L4582" s="16"/>
      <c r="M4582" s="15"/>
      <c r="N4582" s="15"/>
      <c r="O4582" s="16"/>
      <c r="P4582" s="16"/>
      <c r="Q4582" s="16"/>
      <c r="R4582" s="16"/>
      <c r="S4582" s="37" t="str">
        <f>IFERROR(__xludf.DUMMYFUNCTION("if(not(iserror(index(split(C4582, "" ""),2))), index(split(C4582, "" ""),1),"""")"),"")</f>
        <v/>
      </c>
      <c r="T4582" s="315" t="str">
        <f>IFERROR(__xludf.DUMMYFUNCTION("if(S4582="""",C4582,if(not(iserror(index(split(C4582, "" ""),3))), index(split(C4582, "" ""),3),index(split(C4582, "" ""),2)))"),"")</f>
        <v/>
      </c>
      <c r="U4582" s="38" t="b">
        <f t="shared" si="423"/>
        <v>0</v>
      </c>
      <c r="V4582" s="38"/>
      <c r="W4582" s="40"/>
      <c r="X4582" s="40"/>
      <c r="Y4582" s="40"/>
      <c r="Z4582" s="38"/>
      <c r="AA4582" s="38"/>
      <c r="AB4582" s="38"/>
      <c r="AC4582" s="38"/>
      <c r="AD4582" s="38"/>
      <c r="AE4582" s="38"/>
      <c r="AF4582" s="38"/>
      <c r="AG4582" s="38"/>
      <c r="AH4582" s="38"/>
      <c r="AI4582" s="38"/>
      <c r="AJ4582" s="38"/>
      <c r="AK4582" s="38"/>
      <c r="AL4582" s="38"/>
      <c r="AM4582" s="38"/>
      <c r="AN4582" s="38"/>
      <c r="AO4582" s="38"/>
      <c r="AP4582" s="38"/>
      <c r="AQ4582" s="38"/>
      <c r="AR4582" s="38"/>
      <c r="AS4582" s="38"/>
      <c r="AT4582" s="38"/>
      <c r="AU4582" s="38"/>
      <c r="AV4582" s="38"/>
      <c r="AW4582" s="38"/>
      <c r="AX4582" s="38"/>
      <c r="AY4582" s="38"/>
      <c r="AZ4582" s="38"/>
      <c r="BA4582" s="38"/>
      <c r="BB4582" s="38"/>
      <c r="BC4582" s="38"/>
      <c r="BD4582" s="38"/>
      <c r="BE4582" s="38"/>
      <c r="BF4582" s="38"/>
      <c r="BG4582" s="38"/>
      <c r="BH4582" s="38"/>
      <c r="BI4582" s="38"/>
      <c r="BJ4582" s="38"/>
      <c r="BK4582" s="38"/>
      <c r="BL4582" s="38"/>
      <c r="BM4582" s="38"/>
      <c r="BN4582" s="38"/>
      <c r="BO4582" s="38"/>
      <c r="BP4582" s="38"/>
      <c r="BQ4582" s="38"/>
    </row>
    <row r="4583">
      <c r="A4583" s="16"/>
      <c r="B4583" s="145"/>
      <c r="C4583" s="146"/>
      <c r="D4583" s="146"/>
      <c r="E4583" s="16"/>
      <c r="F4583" s="91"/>
      <c r="G4583" s="16"/>
      <c r="H4583" s="320" t="str">
        <f t="shared" si="424"/>
        <v/>
      </c>
      <c r="I4583" s="16"/>
      <c r="J4583" s="16"/>
      <c r="K4583" s="16"/>
      <c r="L4583" s="16"/>
      <c r="M4583" s="15"/>
      <c r="N4583" s="15"/>
      <c r="O4583" s="16"/>
      <c r="P4583" s="16"/>
      <c r="Q4583" s="16"/>
      <c r="R4583" s="16"/>
      <c r="S4583" s="37" t="str">
        <f>IFERROR(__xludf.DUMMYFUNCTION("if(not(iserror(index(split(C4583, "" ""),2))), index(split(C4583, "" ""),1),"""")"),"")</f>
        <v/>
      </c>
      <c r="T4583" s="315" t="str">
        <f>IFERROR(__xludf.DUMMYFUNCTION("if(S4583="""",C4583,if(not(iserror(index(split(C4583, "" ""),3))), index(split(C4583, "" ""),3),index(split(C4583, "" ""),2)))"),"")</f>
        <v/>
      </c>
      <c r="U4583" s="38" t="b">
        <f t="shared" si="423"/>
        <v>0</v>
      </c>
      <c r="V4583" s="38"/>
      <c r="W4583" s="40"/>
      <c r="X4583" s="40"/>
      <c r="Y4583" s="40"/>
      <c r="Z4583" s="38"/>
      <c r="AA4583" s="38"/>
      <c r="AB4583" s="38"/>
      <c r="AC4583" s="38"/>
      <c r="AD4583" s="38"/>
      <c r="AE4583" s="38"/>
      <c r="AF4583" s="38"/>
      <c r="AG4583" s="38"/>
      <c r="AH4583" s="38"/>
      <c r="AI4583" s="38"/>
      <c r="AJ4583" s="38"/>
      <c r="AK4583" s="38"/>
      <c r="AL4583" s="38"/>
      <c r="AM4583" s="38"/>
      <c r="AN4583" s="38"/>
      <c r="AO4583" s="38"/>
      <c r="AP4583" s="38"/>
      <c r="AQ4583" s="38"/>
      <c r="AR4583" s="38"/>
      <c r="AS4583" s="38"/>
      <c r="AT4583" s="38"/>
      <c r="AU4583" s="38"/>
      <c r="AV4583" s="38"/>
      <c r="AW4583" s="38"/>
      <c r="AX4583" s="38"/>
      <c r="AY4583" s="38"/>
      <c r="AZ4583" s="38"/>
      <c r="BA4583" s="38"/>
      <c r="BB4583" s="38"/>
      <c r="BC4583" s="38"/>
      <c r="BD4583" s="38"/>
      <c r="BE4583" s="38"/>
      <c r="BF4583" s="38"/>
      <c r="BG4583" s="38"/>
      <c r="BH4583" s="38"/>
      <c r="BI4583" s="38"/>
      <c r="BJ4583" s="38"/>
      <c r="BK4583" s="38"/>
      <c r="BL4583" s="38"/>
      <c r="BM4583" s="38"/>
      <c r="BN4583" s="38"/>
      <c r="BO4583" s="38"/>
      <c r="BP4583" s="38"/>
      <c r="BQ4583" s="38"/>
    </row>
    <row r="4584">
      <c r="A4584" s="16"/>
      <c r="B4584" s="145"/>
      <c r="C4584" s="146"/>
      <c r="D4584" s="146"/>
      <c r="E4584" s="16"/>
      <c r="F4584" s="91"/>
      <c r="G4584" s="16"/>
      <c r="H4584" s="320" t="str">
        <f t="shared" si="424"/>
        <v/>
      </c>
      <c r="I4584" s="16"/>
      <c r="J4584" s="16"/>
      <c r="K4584" s="16"/>
      <c r="L4584" s="16"/>
      <c r="M4584" s="15"/>
      <c r="N4584" s="15"/>
      <c r="O4584" s="16"/>
      <c r="P4584" s="16"/>
      <c r="Q4584" s="16"/>
      <c r="R4584" s="16"/>
      <c r="S4584" s="37" t="str">
        <f>IFERROR(__xludf.DUMMYFUNCTION("if(not(iserror(index(split(C4584, "" ""),2))), index(split(C4584, "" ""),1),"""")"),"")</f>
        <v/>
      </c>
      <c r="T4584" s="315" t="str">
        <f>IFERROR(__xludf.DUMMYFUNCTION("if(S4584="""",C4584,if(not(iserror(index(split(C4584, "" ""),3))), index(split(C4584, "" ""),3),index(split(C4584, "" ""),2)))"),"")</f>
        <v/>
      </c>
      <c r="U4584" s="38" t="b">
        <f t="shared" si="423"/>
        <v>0</v>
      </c>
      <c r="V4584" s="38"/>
      <c r="W4584" s="40"/>
      <c r="X4584" s="40"/>
      <c r="Y4584" s="40"/>
      <c r="Z4584" s="38"/>
      <c r="AA4584" s="38"/>
      <c r="AB4584" s="38"/>
      <c r="AC4584" s="38"/>
      <c r="AD4584" s="38"/>
      <c r="AE4584" s="38"/>
      <c r="AF4584" s="38"/>
      <c r="AG4584" s="38"/>
      <c r="AH4584" s="38"/>
      <c r="AI4584" s="38"/>
      <c r="AJ4584" s="38"/>
      <c r="AK4584" s="38"/>
      <c r="AL4584" s="38"/>
      <c r="AM4584" s="38"/>
      <c r="AN4584" s="38"/>
      <c r="AO4584" s="38"/>
      <c r="AP4584" s="38"/>
      <c r="AQ4584" s="38"/>
      <c r="AR4584" s="38"/>
      <c r="AS4584" s="38"/>
      <c r="AT4584" s="38"/>
      <c r="AU4584" s="38"/>
      <c r="AV4584" s="38"/>
      <c r="AW4584" s="38"/>
      <c r="AX4584" s="38"/>
      <c r="AY4584" s="38"/>
      <c r="AZ4584" s="38"/>
      <c r="BA4584" s="38"/>
      <c r="BB4584" s="38"/>
      <c r="BC4584" s="38"/>
      <c r="BD4584" s="38"/>
      <c r="BE4584" s="38"/>
      <c r="BF4584" s="38"/>
      <c r="BG4584" s="38"/>
      <c r="BH4584" s="38"/>
      <c r="BI4584" s="38"/>
      <c r="BJ4584" s="38"/>
      <c r="BK4584" s="38"/>
      <c r="BL4584" s="38"/>
      <c r="BM4584" s="38"/>
      <c r="BN4584" s="38"/>
      <c r="BO4584" s="38"/>
      <c r="BP4584" s="38"/>
      <c r="BQ4584" s="38"/>
    </row>
    <row r="4585">
      <c r="A4585" s="16"/>
      <c r="B4585" s="145"/>
      <c r="C4585" s="146"/>
      <c r="D4585" s="146"/>
      <c r="E4585" s="16"/>
      <c r="F4585" s="91"/>
      <c r="G4585" s="16"/>
      <c r="H4585" s="320" t="str">
        <f t="shared" si="424"/>
        <v/>
      </c>
      <c r="I4585" s="16"/>
      <c r="J4585" s="16"/>
      <c r="K4585" s="16"/>
      <c r="L4585" s="16"/>
      <c r="M4585" s="15"/>
      <c r="N4585" s="15"/>
      <c r="O4585" s="16"/>
      <c r="P4585" s="16"/>
      <c r="Q4585" s="16"/>
      <c r="R4585" s="16"/>
      <c r="S4585" s="37" t="str">
        <f>IFERROR(__xludf.DUMMYFUNCTION("if(not(iserror(index(split(C4585, "" ""),2))), index(split(C4585, "" ""),1),"""")"),"")</f>
        <v/>
      </c>
      <c r="T4585" s="315" t="str">
        <f>IFERROR(__xludf.DUMMYFUNCTION("if(S4585="""",C4585,if(not(iserror(index(split(C4585, "" ""),3))), index(split(C4585, "" ""),3),index(split(C4585, "" ""),2)))"),"")</f>
        <v/>
      </c>
      <c r="U4585" s="38" t="b">
        <f t="shared" si="423"/>
        <v>0</v>
      </c>
      <c r="V4585" s="38"/>
      <c r="W4585" s="40"/>
      <c r="X4585" s="40"/>
      <c r="Y4585" s="40"/>
      <c r="Z4585" s="38"/>
      <c r="AA4585" s="38"/>
      <c r="AB4585" s="38"/>
      <c r="AC4585" s="38"/>
      <c r="AD4585" s="38"/>
      <c r="AE4585" s="38"/>
      <c r="AF4585" s="38"/>
      <c r="AG4585" s="38"/>
      <c r="AH4585" s="38"/>
      <c r="AI4585" s="38"/>
      <c r="AJ4585" s="38"/>
      <c r="AK4585" s="38"/>
      <c r="AL4585" s="38"/>
      <c r="AM4585" s="38"/>
      <c r="AN4585" s="38"/>
      <c r="AO4585" s="38"/>
      <c r="AP4585" s="38"/>
      <c r="AQ4585" s="38"/>
      <c r="AR4585" s="38"/>
      <c r="AS4585" s="38"/>
      <c r="AT4585" s="38"/>
      <c r="AU4585" s="38"/>
      <c r="AV4585" s="38"/>
      <c r="AW4585" s="38"/>
      <c r="AX4585" s="38"/>
      <c r="AY4585" s="38"/>
      <c r="AZ4585" s="38"/>
      <c r="BA4585" s="38"/>
      <c r="BB4585" s="38"/>
      <c r="BC4585" s="38"/>
      <c r="BD4585" s="38"/>
      <c r="BE4585" s="38"/>
      <c r="BF4585" s="38"/>
      <c r="BG4585" s="38"/>
      <c r="BH4585" s="38"/>
      <c r="BI4585" s="38"/>
      <c r="BJ4585" s="38"/>
      <c r="BK4585" s="38"/>
      <c r="BL4585" s="38"/>
      <c r="BM4585" s="38"/>
      <c r="BN4585" s="38"/>
      <c r="BO4585" s="38"/>
      <c r="BP4585" s="38"/>
      <c r="BQ4585" s="38"/>
    </row>
    <row r="4586">
      <c r="A4586" s="16"/>
      <c r="B4586" s="145"/>
      <c r="C4586" s="146"/>
      <c r="D4586" s="146"/>
      <c r="E4586" s="16"/>
      <c r="F4586" s="91"/>
      <c r="G4586" s="16"/>
      <c r="H4586" s="320" t="str">
        <f t="shared" si="424"/>
        <v/>
      </c>
      <c r="I4586" s="16"/>
      <c r="J4586" s="16"/>
      <c r="K4586" s="16"/>
      <c r="L4586" s="16"/>
      <c r="M4586" s="15"/>
      <c r="N4586" s="15"/>
      <c r="O4586" s="16"/>
      <c r="P4586" s="16"/>
      <c r="Q4586" s="16"/>
      <c r="R4586" s="16"/>
      <c r="S4586" s="37" t="str">
        <f>IFERROR(__xludf.DUMMYFUNCTION("if(not(iserror(index(split(C4586, "" ""),2))), index(split(C4586, "" ""),1),"""")"),"")</f>
        <v/>
      </c>
      <c r="T4586" s="315" t="str">
        <f>IFERROR(__xludf.DUMMYFUNCTION("if(S4586="""",C4586,if(not(iserror(index(split(C4586, "" ""),3))), index(split(C4586, "" ""),3),index(split(C4586, "" ""),2)))"),"")</f>
        <v/>
      </c>
      <c r="U4586" s="38" t="b">
        <f t="shared" si="423"/>
        <v>0</v>
      </c>
      <c r="V4586" s="38"/>
      <c r="W4586" s="40"/>
      <c r="X4586" s="40"/>
      <c r="Y4586" s="40"/>
      <c r="Z4586" s="38"/>
      <c r="AA4586" s="38"/>
      <c r="AB4586" s="38"/>
      <c r="AC4586" s="38"/>
      <c r="AD4586" s="38"/>
      <c r="AE4586" s="38"/>
      <c r="AF4586" s="38"/>
      <c r="AG4586" s="38"/>
      <c r="AH4586" s="38"/>
      <c r="AI4586" s="38"/>
      <c r="AJ4586" s="38"/>
      <c r="AK4586" s="38"/>
      <c r="AL4586" s="38"/>
      <c r="AM4586" s="38"/>
      <c r="AN4586" s="38"/>
      <c r="AO4586" s="38"/>
      <c r="AP4586" s="38"/>
      <c r="AQ4586" s="38"/>
      <c r="AR4586" s="38"/>
      <c r="AS4586" s="38"/>
      <c r="AT4586" s="38"/>
      <c r="AU4586" s="38"/>
      <c r="AV4586" s="38"/>
      <c r="AW4586" s="38"/>
      <c r="AX4586" s="38"/>
      <c r="AY4586" s="38"/>
      <c r="AZ4586" s="38"/>
      <c r="BA4586" s="38"/>
      <c r="BB4586" s="38"/>
      <c r="BC4586" s="38"/>
      <c r="BD4586" s="38"/>
      <c r="BE4586" s="38"/>
      <c r="BF4586" s="38"/>
      <c r="BG4586" s="38"/>
      <c r="BH4586" s="38"/>
      <c r="BI4586" s="38"/>
      <c r="BJ4586" s="38"/>
      <c r="BK4586" s="38"/>
      <c r="BL4586" s="38"/>
      <c r="BM4586" s="38"/>
      <c r="BN4586" s="38"/>
      <c r="BO4586" s="38"/>
      <c r="BP4586" s="38"/>
      <c r="BQ4586" s="38"/>
    </row>
    <row r="4587">
      <c r="A4587" s="16"/>
      <c r="B4587" s="145"/>
      <c r="C4587" s="146"/>
      <c r="D4587" s="146"/>
      <c r="E4587" s="16"/>
      <c r="F4587" s="91"/>
      <c r="G4587" s="16"/>
      <c r="H4587" s="320" t="str">
        <f t="shared" si="424"/>
        <v/>
      </c>
      <c r="I4587" s="16"/>
      <c r="J4587" s="16"/>
      <c r="K4587" s="16"/>
      <c r="L4587" s="16"/>
      <c r="M4587" s="15"/>
      <c r="N4587" s="15"/>
      <c r="O4587" s="16"/>
      <c r="P4587" s="16"/>
      <c r="Q4587" s="16"/>
      <c r="R4587" s="16"/>
      <c r="S4587" s="37" t="str">
        <f>IFERROR(__xludf.DUMMYFUNCTION("if(not(iserror(index(split(C4587, "" ""),2))), index(split(C4587, "" ""),1),"""")"),"")</f>
        <v/>
      </c>
      <c r="T4587" s="315" t="str">
        <f>IFERROR(__xludf.DUMMYFUNCTION("if(S4587="""",C4587,if(not(iserror(index(split(C4587, "" ""),3))), index(split(C4587, "" ""),3),index(split(C4587, "" ""),2)))"),"")</f>
        <v/>
      </c>
      <c r="U4587" s="38" t="b">
        <f t="shared" si="423"/>
        <v>0</v>
      </c>
      <c r="V4587" s="38"/>
      <c r="W4587" s="40"/>
      <c r="X4587" s="40"/>
      <c r="Y4587" s="40"/>
      <c r="Z4587" s="38"/>
      <c r="AA4587" s="38"/>
      <c r="AB4587" s="38"/>
      <c r="AC4587" s="38"/>
      <c r="AD4587" s="38"/>
      <c r="AE4587" s="38"/>
      <c r="AF4587" s="38"/>
      <c r="AG4587" s="38"/>
      <c r="AH4587" s="38"/>
      <c r="AI4587" s="38"/>
      <c r="AJ4587" s="38"/>
      <c r="AK4587" s="38"/>
      <c r="AL4587" s="38"/>
      <c r="AM4587" s="38"/>
      <c r="AN4587" s="38"/>
      <c r="AO4587" s="38"/>
      <c r="AP4587" s="38"/>
      <c r="AQ4587" s="38"/>
      <c r="AR4587" s="38"/>
      <c r="AS4587" s="38"/>
      <c r="AT4587" s="38"/>
      <c r="AU4587" s="38"/>
      <c r="AV4587" s="38"/>
      <c r="AW4587" s="38"/>
      <c r="AX4587" s="38"/>
      <c r="AY4587" s="38"/>
      <c r="AZ4587" s="38"/>
      <c r="BA4587" s="38"/>
      <c r="BB4587" s="38"/>
      <c r="BC4587" s="38"/>
      <c r="BD4587" s="38"/>
      <c r="BE4587" s="38"/>
      <c r="BF4587" s="38"/>
      <c r="BG4587" s="38"/>
      <c r="BH4587" s="38"/>
      <c r="BI4587" s="38"/>
      <c r="BJ4587" s="38"/>
      <c r="BK4587" s="38"/>
      <c r="BL4587" s="38"/>
      <c r="BM4587" s="38"/>
      <c r="BN4587" s="38"/>
      <c r="BO4587" s="38"/>
      <c r="BP4587" s="38"/>
      <c r="BQ4587" s="38"/>
    </row>
    <row r="4588">
      <c r="A4588" s="16"/>
      <c r="B4588" s="145"/>
      <c r="C4588" s="146"/>
      <c r="D4588" s="146"/>
      <c r="E4588" s="16"/>
      <c r="F4588" s="91"/>
      <c r="G4588" s="16"/>
      <c r="H4588" s="320" t="str">
        <f t="shared" si="424"/>
        <v/>
      </c>
      <c r="I4588" s="16"/>
      <c r="J4588" s="16"/>
      <c r="K4588" s="16"/>
      <c r="L4588" s="16"/>
      <c r="M4588" s="15"/>
      <c r="N4588" s="15"/>
      <c r="O4588" s="16"/>
      <c r="P4588" s="16"/>
      <c r="Q4588" s="16"/>
      <c r="R4588" s="16"/>
      <c r="S4588" s="37" t="str">
        <f>IFERROR(__xludf.DUMMYFUNCTION("if(not(iserror(index(split(C4588, "" ""),2))), index(split(C4588, "" ""),1),"""")"),"")</f>
        <v/>
      </c>
      <c r="T4588" s="315" t="str">
        <f>IFERROR(__xludf.DUMMYFUNCTION("if(S4588="""",C4588,if(not(iserror(index(split(C4588, "" ""),3))), index(split(C4588, "" ""),3),index(split(C4588, "" ""),2)))"),"")</f>
        <v/>
      </c>
      <c r="U4588" s="38" t="b">
        <f t="shared" si="423"/>
        <v>0</v>
      </c>
      <c r="V4588" s="38"/>
      <c r="W4588" s="40"/>
      <c r="X4588" s="40"/>
      <c r="Y4588" s="40"/>
      <c r="Z4588" s="38"/>
      <c r="AA4588" s="38"/>
      <c r="AB4588" s="38"/>
      <c r="AC4588" s="38"/>
      <c r="AD4588" s="38"/>
      <c r="AE4588" s="38"/>
      <c r="AF4588" s="38"/>
      <c r="AG4588" s="38"/>
      <c r="AH4588" s="38"/>
      <c r="AI4588" s="38"/>
      <c r="AJ4588" s="38"/>
      <c r="AK4588" s="38"/>
      <c r="AL4588" s="38"/>
      <c r="AM4588" s="38"/>
      <c r="AN4588" s="38"/>
      <c r="AO4588" s="38"/>
      <c r="AP4588" s="38"/>
      <c r="AQ4588" s="38"/>
      <c r="AR4588" s="38"/>
      <c r="AS4588" s="38"/>
      <c r="AT4588" s="38"/>
      <c r="AU4588" s="38"/>
      <c r="AV4588" s="38"/>
      <c r="AW4588" s="38"/>
      <c r="AX4588" s="38"/>
      <c r="AY4588" s="38"/>
      <c r="AZ4588" s="38"/>
      <c r="BA4588" s="38"/>
      <c r="BB4588" s="38"/>
      <c r="BC4588" s="38"/>
      <c r="BD4588" s="38"/>
      <c r="BE4588" s="38"/>
      <c r="BF4588" s="38"/>
      <c r="BG4588" s="38"/>
      <c r="BH4588" s="38"/>
      <c r="BI4588" s="38"/>
      <c r="BJ4588" s="38"/>
      <c r="BK4588" s="38"/>
      <c r="BL4588" s="38"/>
      <c r="BM4588" s="38"/>
      <c r="BN4588" s="38"/>
      <c r="BO4588" s="38"/>
      <c r="BP4588" s="38"/>
      <c r="BQ4588" s="38"/>
    </row>
    <row r="4589">
      <c r="A4589" s="16"/>
      <c r="B4589" s="145"/>
      <c r="C4589" s="146"/>
      <c r="D4589" s="146"/>
      <c r="E4589" s="16"/>
      <c r="F4589" s="91"/>
      <c r="G4589" s="16"/>
      <c r="H4589" s="320" t="str">
        <f t="shared" si="424"/>
        <v/>
      </c>
      <c r="I4589" s="16"/>
      <c r="J4589" s="16"/>
      <c r="K4589" s="16"/>
      <c r="L4589" s="16"/>
      <c r="M4589" s="15"/>
      <c r="N4589" s="15"/>
      <c r="O4589" s="16"/>
      <c r="P4589" s="16"/>
      <c r="Q4589" s="16"/>
      <c r="R4589" s="16"/>
      <c r="S4589" s="37" t="str">
        <f>IFERROR(__xludf.DUMMYFUNCTION("if(not(iserror(index(split(C4589, "" ""),2))), index(split(C4589, "" ""),1),"""")"),"")</f>
        <v/>
      </c>
      <c r="T4589" s="315" t="str">
        <f>IFERROR(__xludf.DUMMYFUNCTION("if(S4589="""",C4589,if(not(iserror(index(split(C4589, "" ""),3))), index(split(C4589, "" ""),3),index(split(C4589, "" ""),2)))"),"")</f>
        <v/>
      </c>
      <c r="U4589" s="38" t="b">
        <f t="shared" si="423"/>
        <v>0</v>
      </c>
      <c r="V4589" s="38"/>
      <c r="W4589" s="40"/>
      <c r="X4589" s="40"/>
      <c r="Y4589" s="40"/>
      <c r="Z4589" s="38"/>
      <c r="AA4589" s="38"/>
      <c r="AB4589" s="38"/>
      <c r="AC4589" s="38"/>
      <c r="AD4589" s="38"/>
      <c r="AE4589" s="38"/>
      <c r="AF4589" s="38"/>
      <c r="AG4589" s="38"/>
      <c r="AH4589" s="38"/>
      <c r="AI4589" s="38"/>
      <c r="AJ4589" s="38"/>
      <c r="AK4589" s="38"/>
      <c r="AL4589" s="38"/>
      <c r="AM4589" s="38"/>
      <c r="AN4589" s="38"/>
      <c r="AO4589" s="38"/>
      <c r="AP4589" s="38"/>
      <c r="AQ4589" s="38"/>
      <c r="AR4589" s="38"/>
      <c r="AS4589" s="38"/>
      <c r="AT4589" s="38"/>
      <c r="AU4589" s="38"/>
      <c r="AV4589" s="38"/>
      <c r="AW4589" s="38"/>
      <c r="AX4589" s="38"/>
      <c r="AY4589" s="38"/>
      <c r="AZ4589" s="38"/>
      <c r="BA4589" s="38"/>
      <c r="BB4589" s="38"/>
      <c r="BC4589" s="38"/>
      <c r="BD4589" s="38"/>
      <c r="BE4589" s="38"/>
      <c r="BF4589" s="38"/>
      <c r="BG4589" s="38"/>
      <c r="BH4589" s="38"/>
      <c r="BI4589" s="38"/>
      <c r="BJ4589" s="38"/>
      <c r="BK4589" s="38"/>
      <c r="BL4589" s="38"/>
      <c r="BM4589" s="38"/>
      <c r="BN4589" s="38"/>
      <c r="BO4589" s="38"/>
      <c r="BP4589" s="38"/>
      <c r="BQ4589" s="38"/>
    </row>
    <row r="4590">
      <c r="A4590" s="16"/>
      <c r="B4590" s="145"/>
      <c r="C4590" s="146"/>
      <c r="D4590" s="146"/>
      <c r="E4590" s="16"/>
      <c r="F4590" s="91"/>
      <c r="G4590" s="16"/>
      <c r="H4590" s="320" t="str">
        <f t="shared" si="424"/>
        <v/>
      </c>
      <c r="I4590" s="16"/>
      <c r="J4590" s="16"/>
      <c r="K4590" s="16"/>
      <c r="L4590" s="16"/>
      <c r="M4590" s="15"/>
      <c r="N4590" s="15"/>
      <c r="O4590" s="16"/>
      <c r="P4590" s="16"/>
      <c r="Q4590" s="16"/>
      <c r="R4590" s="16"/>
      <c r="S4590" s="37" t="str">
        <f>IFERROR(__xludf.DUMMYFUNCTION("if(not(iserror(index(split(C4590, "" ""),2))), index(split(C4590, "" ""),1),"""")"),"")</f>
        <v/>
      </c>
      <c r="T4590" s="315" t="str">
        <f>IFERROR(__xludf.DUMMYFUNCTION("if(S4590="""",C4590,if(not(iserror(index(split(C4590, "" ""),3))), index(split(C4590, "" ""),3),index(split(C4590, "" ""),2)))"),"")</f>
        <v/>
      </c>
      <c r="U4590" s="38" t="b">
        <f t="shared" si="423"/>
        <v>0</v>
      </c>
      <c r="V4590" s="38"/>
      <c r="W4590" s="40"/>
      <c r="X4590" s="40"/>
      <c r="Y4590" s="40"/>
      <c r="Z4590" s="38"/>
      <c r="AA4590" s="38"/>
      <c r="AB4590" s="38"/>
      <c r="AC4590" s="38"/>
      <c r="AD4590" s="38"/>
      <c r="AE4590" s="38"/>
      <c r="AF4590" s="38"/>
      <c r="AG4590" s="38"/>
      <c r="AH4590" s="38"/>
      <c r="AI4590" s="38"/>
      <c r="AJ4590" s="38"/>
      <c r="AK4590" s="38"/>
      <c r="AL4590" s="38"/>
      <c r="AM4590" s="38"/>
      <c r="AN4590" s="38"/>
      <c r="AO4590" s="38"/>
      <c r="AP4590" s="38"/>
      <c r="AQ4590" s="38"/>
      <c r="AR4590" s="38"/>
      <c r="AS4590" s="38"/>
      <c r="AT4590" s="38"/>
      <c r="AU4590" s="38"/>
      <c r="AV4590" s="38"/>
      <c r="AW4590" s="38"/>
      <c r="AX4590" s="38"/>
      <c r="AY4590" s="38"/>
      <c r="AZ4590" s="38"/>
      <c r="BA4590" s="38"/>
      <c r="BB4590" s="38"/>
      <c r="BC4590" s="38"/>
      <c r="BD4590" s="38"/>
      <c r="BE4590" s="38"/>
      <c r="BF4590" s="38"/>
      <c r="BG4590" s="38"/>
      <c r="BH4590" s="38"/>
      <c r="BI4590" s="38"/>
      <c r="BJ4590" s="38"/>
      <c r="BK4590" s="38"/>
      <c r="BL4590" s="38"/>
      <c r="BM4590" s="38"/>
      <c r="BN4590" s="38"/>
      <c r="BO4590" s="38"/>
      <c r="BP4590" s="38"/>
      <c r="BQ4590" s="38"/>
    </row>
    <row r="4591">
      <c r="A4591" s="16"/>
      <c r="B4591" s="145"/>
      <c r="C4591" s="146"/>
      <c r="D4591" s="146"/>
      <c r="E4591" s="16"/>
      <c r="F4591" s="91"/>
      <c r="G4591" s="16"/>
      <c r="H4591" s="320" t="str">
        <f t="shared" si="424"/>
        <v/>
      </c>
      <c r="I4591" s="16"/>
      <c r="J4591" s="16"/>
      <c r="K4591" s="16"/>
      <c r="L4591" s="16"/>
      <c r="M4591" s="15"/>
      <c r="N4591" s="15"/>
      <c r="O4591" s="16"/>
      <c r="P4591" s="16"/>
      <c r="Q4591" s="16"/>
      <c r="R4591" s="16"/>
      <c r="S4591" s="37" t="str">
        <f>IFERROR(__xludf.DUMMYFUNCTION("if(not(iserror(index(split(C4591, "" ""),2))), index(split(C4591, "" ""),1),"""")"),"")</f>
        <v/>
      </c>
      <c r="T4591" s="315" t="str">
        <f>IFERROR(__xludf.DUMMYFUNCTION("if(S4591="""",C4591,if(not(iserror(index(split(C4591, "" ""),3))), index(split(C4591, "" ""),3),index(split(C4591, "" ""),2)))"),"")</f>
        <v/>
      </c>
      <c r="U4591" s="38" t="b">
        <f t="shared" si="423"/>
        <v>0</v>
      </c>
      <c r="V4591" s="38"/>
      <c r="W4591" s="40"/>
      <c r="X4591" s="40"/>
      <c r="Y4591" s="40"/>
      <c r="Z4591" s="38"/>
      <c r="AA4591" s="38"/>
      <c r="AB4591" s="38"/>
      <c r="AC4591" s="38"/>
      <c r="AD4591" s="38"/>
      <c r="AE4591" s="38"/>
      <c r="AF4591" s="38"/>
      <c r="AG4591" s="38"/>
      <c r="AH4591" s="38"/>
      <c r="AI4591" s="38"/>
      <c r="AJ4591" s="38"/>
      <c r="AK4591" s="38"/>
      <c r="AL4591" s="38"/>
      <c r="AM4591" s="38"/>
      <c r="AN4591" s="38"/>
      <c r="AO4591" s="38"/>
      <c r="AP4591" s="38"/>
      <c r="AQ4591" s="38"/>
      <c r="AR4591" s="38"/>
      <c r="AS4591" s="38"/>
      <c r="AT4591" s="38"/>
      <c r="AU4591" s="38"/>
      <c r="AV4591" s="38"/>
      <c r="AW4591" s="38"/>
      <c r="AX4591" s="38"/>
      <c r="AY4591" s="38"/>
      <c r="AZ4591" s="38"/>
      <c r="BA4591" s="38"/>
      <c r="BB4591" s="38"/>
      <c r="BC4591" s="38"/>
      <c r="BD4591" s="38"/>
      <c r="BE4591" s="38"/>
      <c r="BF4591" s="38"/>
      <c r="BG4591" s="38"/>
      <c r="BH4591" s="38"/>
      <c r="BI4591" s="38"/>
      <c r="BJ4591" s="38"/>
      <c r="BK4591" s="38"/>
      <c r="BL4591" s="38"/>
      <c r="BM4591" s="38"/>
      <c r="BN4591" s="38"/>
      <c r="BO4591" s="38"/>
      <c r="BP4591" s="38"/>
      <c r="BQ4591" s="38"/>
    </row>
    <row r="4592">
      <c r="A4592" s="16"/>
      <c r="B4592" s="145"/>
      <c r="C4592" s="146"/>
      <c r="D4592" s="146"/>
      <c r="E4592" s="16"/>
      <c r="F4592" s="91"/>
      <c r="G4592" s="16"/>
      <c r="H4592" s="320" t="str">
        <f t="shared" si="424"/>
        <v/>
      </c>
      <c r="I4592" s="16"/>
      <c r="J4592" s="16"/>
      <c r="K4592" s="16"/>
      <c r="L4592" s="16"/>
      <c r="M4592" s="15"/>
      <c r="N4592" s="15"/>
      <c r="O4592" s="16"/>
      <c r="P4592" s="16"/>
      <c r="Q4592" s="16"/>
      <c r="R4592" s="16"/>
      <c r="S4592" s="37" t="str">
        <f>IFERROR(__xludf.DUMMYFUNCTION("if(not(iserror(index(split(C4592, "" ""),2))), index(split(C4592, "" ""),1),"""")"),"")</f>
        <v/>
      </c>
      <c r="T4592" s="315" t="str">
        <f>IFERROR(__xludf.DUMMYFUNCTION("if(S4592="""",C4592,if(not(iserror(index(split(C4592, "" ""),3))), index(split(C4592, "" ""),3),index(split(C4592, "" ""),2)))"),"")</f>
        <v/>
      </c>
      <c r="U4592" s="38" t="b">
        <f t="shared" si="423"/>
        <v>0</v>
      </c>
      <c r="V4592" s="38"/>
      <c r="W4592" s="40"/>
      <c r="X4592" s="40"/>
      <c r="Y4592" s="40"/>
      <c r="Z4592" s="38"/>
      <c r="AA4592" s="38"/>
      <c r="AB4592" s="38"/>
      <c r="AC4592" s="38"/>
      <c r="AD4592" s="38"/>
      <c r="AE4592" s="38"/>
      <c r="AF4592" s="38"/>
      <c r="AG4592" s="38"/>
      <c r="AH4592" s="38"/>
      <c r="AI4592" s="38"/>
      <c r="AJ4592" s="38"/>
      <c r="AK4592" s="38"/>
      <c r="AL4592" s="38"/>
      <c r="AM4592" s="38"/>
      <c r="AN4592" s="38"/>
      <c r="AO4592" s="38"/>
      <c r="AP4592" s="38"/>
      <c r="AQ4592" s="38"/>
      <c r="AR4592" s="38"/>
      <c r="AS4592" s="38"/>
      <c r="AT4592" s="38"/>
      <c r="AU4592" s="38"/>
      <c r="AV4592" s="38"/>
      <c r="AW4592" s="38"/>
      <c r="AX4592" s="38"/>
      <c r="AY4592" s="38"/>
      <c r="AZ4592" s="38"/>
      <c r="BA4592" s="38"/>
      <c r="BB4592" s="38"/>
      <c r="BC4592" s="38"/>
      <c r="BD4592" s="38"/>
      <c r="BE4592" s="38"/>
      <c r="BF4592" s="38"/>
      <c r="BG4592" s="38"/>
      <c r="BH4592" s="38"/>
      <c r="BI4592" s="38"/>
      <c r="BJ4592" s="38"/>
      <c r="BK4592" s="38"/>
      <c r="BL4592" s="38"/>
      <c r="BM4592" s="38"/>
      <c r="BN4592" s="38"/>
      <c r="BO4592" s="38"/>
      <c r="BP4592" s="38"/>
      <c r="BQ4592" s="38"/>
    </row>
    <row r="4593">
      <c r="A4593" s="16"/>
      <c r="B4593" s="145"/>
      <c r="C4593" s="146"/>
      <c r="D4593" s="146"/>
      <c r="E4593" s="16"/>
      <c r="F4593" s="91"/>
      <c r="G4593" s="16"/>
      <c r="H4593" s="320" t="str">
        <f t="shared" si="424"/>
        <v/>
      </c>
      <c r="I4593" s="16"/>
      <c r="J4593" s="16"/>
      <c r="K4593" s="16"/>
      <c r="L4593" s="16"/>
      <c r="M4593" s="15"/>
      <c r="N4593" s="15"/>
      <c r="O4593" s="16"/>
      <c r="P4593" s="16"/>
      <c r="Q4593" s="16"/>
      <c r="R4593" s="16"/>
      <c r="S4593" s="37" t="str">
        <f>IFERROR(__xludf.DUMMYFUNCTION("if(not(iserror(index(split(C4593, "" ""),2))), index(split(C4593, "" ""),1),"""")"),"")</f>
        <v/>
      </c>
      <c r="T4593" s="315" t="str">
        <f>IFERROR(__xludf.DUMMYFUNCTION("if(S4593="""",C4593,if(not(iserror(index(split(C4593, "" ""),3))), index(split(C4593, "" ""),3),index(split(C4593, "" ""),2)))"),"")</f>
        <v/>
      </c>
      <c r="U4593" s="38" t="b">
        <f t="shared" si="423"/>
        <v>0</v>
      </c>
      <c r="V4593" s="38"/>
      <c r="W4593" s="40"/>
      <c r="X4593" s="40"/>
      <c r="Y4593" s="40"/>
      <c r="Z4593" s="38"/>
      <c r="AA4593" s="38"/>
      <c r="AB4593" s="38"/>
      <c r="AC4593" s="38"/>
      <c r="AD4593" s="38"/>
      <c r="AE4593" s="38"/>
      <c r="AF4593" s="38"/>
      <c r="AG4593" s="38"/>
      <c r="AH4593" s="38"/>
      <c r="AI4593" s="38"/>
      <c r="AJ4593" s="38"/>
      <c r="AK4593" s="38"/>
      <c r="AL4593" s="38"/>
      <c r="AM4593" s="38"/>
      <c r="AN4593" s="38"/>
      <c r="AO4593" s="38"/>
      <c r="AP4593" s="38"/>
      <c r="AQ4593" s="38"/>
      <c r="AR4593" s="38"/>
      <c r="AS4593" s="38"/>
      <c r="AT4593" s="38"/>
      <c r="AU4593" s="38"/>
      <c r="AV4593" s="38"/>
      <c r="AW4593" s="38"/>
      <c r="AX4593" s="38"/>
      <c r="AY4593" s="38"/>
      <c r="AZ4593" s="38"/>
      <c r="BA4593" s="38"/>
      <c r="BB4593" s="38"/>
      <c r="BC4593" s="38"/>
      <c r="BD4593" s="38"/>
      <c r="BE4593" s="38"/>
      <c r="BF4593" s="38"/>
      <c r="BG4593" s="38"/>
      <c r="BH4593" s="38"/>
      <c r="BI4593" s="38"/>
      <c r="BJ4593" s="38"/>
      <c r="BK4593" s="38"/>
      <c r="BL4593" s="38"/>
      <c r="BM4593" s="38"/>
      <c r="BN4593" s="38"/>
      <c r="BO4593" s="38"/>
      <c r="BP4593" s="38"/>
      <c r="BQ4593" s="38"/>
    </row>
    <row r="4594">
      <c r="A4594" s="16"/>
      <c r="B4594" s="145"/>
      <c r="C4594" s="146"/>
      <c r="D4594" s="146"/>
      <c r="E4594" s="16"/>
      <c r="F4594" s="91"/>
      <c r="G4594" s="16"/>
      <c r="H4594" s="320" t="str">
        <f t="shared" si="424"/>
        <v/>
      </c>
      <c r="I4594" s="16"/>
      <c r="J4594" s="16"/>
      <c r="K4594" s="16"/>
      <c r="L4594" s="16"/>
      <c r="M4594" s="15"/>
      <c r="N4594" s="15"/>
      <c r="O4594" s="16"/>
      <c r="P4594" s="16"/>
      <c r="Q4594" s="16"/>
      <c r="R4594" s="16"/>
      <c r="S4594" s="37" t="str">
        <f>IFERROR(__xludf.DUMMYFUNCTION("if(not(iserror(index(split(C4594, "" ""),2))), index(split(C4594, "" ""),1),"""")"),"")</f>
        <v/>
      </c>
      <c r="T4594" s="315" t="str">
        <f>IFERROR(__xludf.DUMMYFUNCTION("if(S4594="""",C4594,if(not(iserror(index(split(C4594, "" ""),3))), index(split(C4594, "" ""),3),index(split(C4594, "" ""),2)))"),"")</f>
        <v/>
      </c>
      <c r="U4594" s="38" t="b">
        <f t="shared" si="423"/>
        <v>0</v>
      </c>
      <c r="V4594" s="38"/>
      <c r="W4594" s="40"/>
      <c r="X4594" s="40"/>
      <c r="Y4594" s="40"/>
      <c r="Z4594" s="38"/>
      <c r="AA4594" s="38"/>
      <c r="AB4594" s="38"/>
      <c r="AC4594" s="38"/>
      <c r="AD4594" s="38"/>
      <c r="AE4594" s="38"/>
      <c r="AF4594" s="38"/>
      <c r="AG4594" s="38"/>
      <c r="AH4594" s="38"/>
      <c r="AI4594" s="38"/>
      <c r="AJ4594" s="38"/>
      <c r="AK4594" s="38"/>
      <c r="AL4594" s="38"/>
      <c r="AM4594" s="38"/>
      <c r="AN4594" s="38"/>
      <c r="AO4594" s="38"/>
      <c r="AP4594" s="38"/>
      <c r="AQ4594" s="38"/>
      <c r="AR4594" s="38"/>
      <c r="AS4594" s="38"/>
      <c r="AT4594" s="38"/>
      <c r="AU4594" s="38"/>
      <c r="AV4594" s="38"/>
      <c r="AW4594" s="38"/>
      <c r="AX4594" s="38"/>
      <c r="AY4594" s="38"/>
      <c r="AZ4594" s="38"/>
      <c r="BA4594" s="38"/>
      <c r="BB4594" s="38"/>
      <c r="BC4594" s="38"/>
      <c r="BD4594" s="38"/>
      <c r="BE4594" s="38"/>
      <c r="BF4594" s="38"/>
      <c r="BG4594" s="38"/>
      <c r="BH4594" s="38"/>
      <c r="BI4594" s="38"/>
      <c r="BJ4594" s="38"/>
      <c r="BK4594" s="38"/>
      <c r="BL4594" s="38"/>
      <c r="BM4594" s="38"/>
      <c r="BN4594" s="38"/>
      <c r="BO4594" s="38"/>
      <c r="BP4594" s="38"/>
      <c r="BQ4594" s="38"/>
    </row>
    <row r="4595">
      <c r="A4595" s="16"/>
      <c r="B4595" s="145"/>
      <c r="C4595" s="146"/>
      <c r="D4595" s="146"/>
      <c r="E4595" s="16"/>
      <c r="F4595" s="91"/>
      <c r="G4595" s="16"/>
      <c r="H4595" s="320" t="str">
        <f t="shared" si="424"/>
        <v/>
      </c>
      <c r="I4595" s="16"/>
      <c r="J4595" s="16"/>
      <c r="K4595" s="16"/>
      <c r="L4595" s="16"/>
      <c r="M4595" s="15"/>
      <c r="N4595" s="15"/>
      <c r="O4595" s="16"/>
      <c r="P4595" s="16"/>
      <c r="Q4595" s="16"/>
      <c r="R4595" s="16"/>
      <c r="S4595" s="37" t="str">
        <f>IFERROR(__xludf.DUMMYFUNCTION("if(not(iserror(index(split(C4595, "" ""),2))), index(split(C4595, "" ""),1),"""")"),"")</f>
        <v/>
      </c>
      <c r="T4595" s="315" t="str">
        <f>IFERROR(__xludf.DUMMYFUNCTION("if(S4595="""",C4595,if(not(iserror(index(split(C4595, "" ""),3))), index(split(C4595, "" ""),3),index(split(C4595, "" ""),2)))"),"")</f>
        <v/>
      </c>
      <c r="U4595" s="38" t="b">
        <f t="shared" si="423"/>
        <v>0</v>
      </c>
      <c r="V4595" s="38"/>
      <c r="W4595" s="40"/>
      <c r="X4595" s="40"/>
      <c r="Y4595" s="40"/>
      <c r="Z4595" s="38"/>
      <c r="AA4595" s="38"/>
      <c r="AB4595" s="38"/>
      <c r="AC4595" s="38"/>
      <c r="AD4595" s="38"/>
      <c r="AE4595" s="38"/>
      <c r="AF4595" s="38"/>
      <c r="AG4595" s="38"/>
      <c r="AH4595" s="38"/>
      <c r="AI4595" s="38"/>
      <c r="AJ4595" s="38"/>
      <c r="AK4595" s="38"/>
      <c r="AL4595" s="38"/>
      <c r="AM4595" s="38"/>
      <c r="AN4595" s="38"/>
      <c r="AO4595" s="38"/>
      <c r="AP4595" s="38"/>
      <c r="AQ4595" s="38"/>
      <c r="AR4595" s="38"/>
      <c r="AS4595" s="38"/>
      <c r="AT4595" s="38"/>
      <c r="AU4595" s="38"/>
      <c r="AV4595" s="38"/>
      <c r="AW4595" s="38"/>
      <c r="AX4595" s="38"/>
      <c r="AY4595" s="38"/>
      <c r="AZ4595" s="38"/>
      <c r="BA4595" s="38"/>
      <c r="BB4595" s="38"/>
      <c r="BC4595" s="38"/>
      <c r="BD4595" s="38"/>
      <c r="BE4595" s="38"/>
      <c r="BF4595" s="38"/>
      <c r="BG4595" s="38"/>
      <c r="BH4595" s="38"/>
      <c r="BI4595" s="38"/>
      <c r="BJ4595" s="38"/>
      <c r="BK4595" s="38"/>
      <c r="BL4595" s="38"/>
      <c r="BM4595" s="38"/>
      <c r="BN4595" s="38"/>
      <c r="BO4595" s="38"/>
      <c r="BP4595" s="38"/>
      <c r="BQ4595" s="38"/>
    </row>
    <row r="4596">
      <c r="A4596" s="16"/>
      <c r="B4596" s="145"/>
      <c r="C4596" s="146"/>
      <c r="D4596" s="146"/>
      <c r="E4596" s="16"/>
      <c r="F4596" s="91"/>
      <c r="G4596" s="16"/>
      <c r="H4596" s="320" t="str">
        <f t="shared" si="424"/>
        <v/>
      </c>
      <c r="I4596" s="16"/>
      <c r="J4596" s="16"/>
      <c r="K4596" s="16"/>
      <c r="L4596" s="16"/>
      <c r="M4596" s="15"/>
      <c r="N4596" s="15"/>
      <c r="O4596" s="16"/>
      <c r="P4596" s="16"/>
      <c r="Q4596" s="16"/>
      <c r="R4596" s="16"/>
      <c r="S4596" s="37" t="str">
        <f>IFERROR(__xludf.DUMMYFUNCTION("if(not(iserror(index(split(C4596, "" ""),2))), index(split(C4596, "" ""),1),"""")"),"")</f>
        <v/>
      </c>
      <c r="T4596" s="315" t="str">
        <f>IFERROR(__xludf.DUMMYFUNCTION("if(S4596="""",C4596,if(not(iserror(index(split(C4596, "" ""),3))), index(split(C4596, "" ""),3),index(split(C4596, "" ""),2)))"),"")</f>
        <v/>
      </c>
      <c r="U4596" s="38" t="b">
        <f t="shared" si="423"/>
        <v>0</v>
      </c>
      <c r="V4596" s="38"/>
      <c r="W4596" s="40"/>
      <c r="X4596" s="40"/>
      <c r="Y4596" s="40"/>
      <c r="Z4596" s="38"/>
      <c r="AA4596" s="38"/>
      <c r="AB4596" s="38"/>
      <c r="AC4596" s="38"/>
      <c r="AD4596" s="38"/>
      <c r="AE4596" s="38"/>
      <c r="AF4596" s="38"/>
      <c r="AG4596" s="38"/>
      <c r="AH4596" s="38"/>
      <c r="AI4596" s="38"/>
      <c r="AJ4596" s="38"/>
      <c r="AK4596" s="38"/>
      <c r="AL4596" s="38"/>
      <c r="AM4596" s="38"/>
      <c r="AN4596" s="38"/>
      <c r="AO4596" s="38"/>
      <c r="AP4596" s="38"/>
      <c r="AQ4596" s="38"/>
      <c r="AR4596" s="38"/>
      <c r="AS4596" s="38"/>
      <c r="AT4596" s="38"/>
      <c r="AU4596" s="38"/>
      <c r="AV4596" s="38"/>
      <c r="AW4596" s="38"/>
      <c r="AX4596" s="38"/>
      <c r="AY4596" s="38"/>
      <c r="AZ4596" s="38"/>
      <c r="BA4596" s="38"/>
      <c r="BB4596" s="38"/>
      <c r="BC4596" s="38"/>
      <c r="BD4596" s="38"/>
      <c r="BE4596" s="38"/>
      <c r="BF4596" s="38"/>
      <c r="BG4596" s="38"/>
      <c r="BH4596" s="38"/>
      <c r="BI4596" s="38"/>
      <c r="BJ4596" s="38"/>
      <c r="BK4596" s="38"/>
      <c r="BL4596" s="38"/>
      <c r="BM4596" s="38"/>
      <c r="BN4596" s="38"/>
      <c r="BO4596" s="38"/>
      <c r="BP4596" s="38"/>
      <c r="BQ4596" s="38"/>
    </row>
    <row r="4597">
      <c r="A4597" s="16"/>
      <c r="B4597" s="145"/>
      <c r="C4597" s="146"/>
      <c r="D4597" s="146"/>
      <c r="E4597" s="16"/>
      <c r="F4597" s="91"/>
      <c r="G4597" s="16"/>
      <c r="H4597" s="320" t="str">
        <f t="shared" si="424"/>
        <v/>
      </c>
      <c r="I4597" s="16"/>
      <c r="J4597" s="16"/>
      <c r="K4597" s="16"/>
      <c r="L4597" s="16"/>
      <c r="M4597" s="15"/>
      <c r="N4597" s="15"/>
      <c r="O4597" s="16"/>
      <c r="P4597" s="16"/>
      <c r="Q4597" s="16"/>
      <c r="R4597" s="16"/>
      <c r="S4597" s="37" t="str">
        <f>IFERROR(__xludf.DUMMYFUNCTION("if(not(iserror(index(split(C4597, "" ""),2))), index(split(C4597, "" ""),1),"""")"),"")</f>
        <v/>
      </c>
      <c r="T4597" s="315" t="str">
        <f>IFERROR(__xludf.DUMMYFUNCTION("if(S4597="""",C4597,if(not(iserror(index(split(C4597, "" ""),3))), index(split(C4597, "" ""),3),index(split(C4597, "" ""),2)))"),"")</f>
        <v/>
      </c>
      <c r="U4597" s="38" t="b">
        <f t="shared" si="423"/>
        <v>0</v>
      </c>
      <c r="V4597" s="38"/>
      <c r="W4597" s="40"/>
      <c r="X4597" s="40"/>
      <c r="Y4597" s="40"/>
      <c r="Z4597" s="38"/>
      <c r="AA4597" s="38"/>
      <c r="AB4597" s="38"/>
      <c r="AC4597" s="38"/>
      <c r="AD4597" s="38"/>
      <c r="AE4597" s="38"/>
      <c r="AF4597" s="38"/>
      <c r="AG4597" s="38"/>
      <c r="AH4597" s="38"/>
      <c r="AI4597" s="38"/>
      <c r="AJ4597" s="38"/>
      <c r="AK4597" s="38"/>
      <c r="AL4597" s="38"/>
      <c r="AM4597" s="38"/>
      <c r="AN4597" s="38"/>
      <c r="AO4597" s="38"/>
      <c r="AP4597" s="38"/>
      <c r="AQ4597" s="38"/>
      <c r="AR4597" s="38"/>
      <c r="AS4597" s="38"/>
      <c r="AT4597" s="38"/>
      <c r="AU4597" s="38"/>
      <c r="AV4597" s="38"/>
      <c r="AW4597" s="38"/>
      <c r="AX4597" s="38"/>
      <c r="AY4597" s="38"/>
      <c r="AZ4597" s="38"/>
      <c r="BA4597" s="38"/>
      <c r="BB4597" s="38"/>
      <c r="BC4597" s="38"/>
      <c r="BD4597" s="38"/>
      <c r="BE4597" s="38"/>
      <c r="BF4597" s="38"/>
      <c r="BG4597" s="38"/>
      <c r="BH4597" s="38"/>
      <c r="BI4597" s="38"/>
      <c r="BJ4597" s="38"/>
      <c r="BK4597" s="38"/>
      <c r="BL4597" s="38"/>
      <c r="BM4597" s="38"/>
      <c r="BN4597" s="38"/>
      <c r="BO4597" s="38"/>
      <c r="BP4597" s="38"/>
      <c r="BQ4597" s="38"/>
    </row>
    <row r="4598">
      <c r="A4598" s="16"/>
      <c r="B4598" s="145"/>
      <c r="C4598" s="146"/>
      <c r="D4598" s="146"/>
      <c r="E4598" s="16"/>
      <c r="F4598" s="91"/>
      <c r="G4598" s="16"/>
      <c r="H4598" s="320" t="str">
        <f t="shared" si="424"/>
        <v/>
      </c>
      <c r="I4598" s="16"/>
      <c r="J4598" s="16"/>
      <c r="K4598" s="16"/>
      <c r="L4598" s="16"/>
      <c r="M4598" s="15"/>
      <c r="N4598" s="15"/>
      <c r="O4598" s="16"/>
      <c r="P4598" s="16"/>
      <c r="Q4598" s="16"/>
      <c r="R4598" s="16"/>
      <c r="S4598" s="37" t="str">
        <f>IFERROR(__xludf.DUMMYFUNCTION("if(not(iserror(index(split(C4598, "" ""),2))), index(split(C4598, "" ""),1),"""")"),"")</f>
        <v/>
      </c>
      <c r="T4598" s="315" t="str">
        <f>IFERROR(__xludf.DUMMYFUNCTION("if(S4598="""",C4598,if(not(iserror(index(split(C4598, "" ""),3))), index(split(C4598, "" ""),3),index(split(C4598, "" ""),2)))"),"")</f>
        <v/>
      </c>
      <c r="U4598" s="38" t="b">
        <f t="shared" si="423"/>
        <v>0</v>
      </c>
      <c r="V4598" s="38"/>
      <c r="W4598" s="40"/>
      <c r="X4598" s="40"/>
      <c r="Y4598" s="40"/>
      <c r="Z4598" s="38"/>
      <c r="AA4598" s="38"/>
      <c r="AB4598" s="38"/>
      <c r="AC4598" s="38"/>
      <c r="AD4598" s="38"/>
      <c r="AE4598" s="38"/>
      <c r="AF4598" s="38"/>
      <c r="AG4598" s="38"/>
      <c r="AH4598" s="38"/>
      <c r="AI4598" s="38"/>
      <c r="AJ4598" s="38"/>
      <c r="AK4598" s="38"/>
      <c r="AL4598" s="38"/>
      <c r="AM4598" s="38"/>
      <c r="AN4598" s="38"/>
      <c r="AO4598" s="38"/>
      <c r="AP4598" s="38"/>
      <c r="AQ4598" s="38"/>
      <c r="AR4598" s="38"/>
      <c r="AS4598" s="38"/>
      <c r="AT4598" s="38"/>
      <c r="AU4598" s="38"/>
      <c r="AV4598" s="38"/>
      <c r="AW4598" s="38"/>
      <c r="AX4598" s="38"/>
      <c r="AY4598" s="38"/>
      <c r="AZ4598" s="38"/>
      <c r="BA4598" s="38"/>
      <c r="BB4598" s="38"/>
      <c r="BC4598" s="38"/>
      <c r="BD4598" s="38"/>
      <c r="BE4598" s="38"/>
      <c r="BF4598" s="38"/>
      <c r="BG4598" s="38"/>
      <c r="BH4598" s="38"/>
      <c r="BI4598" s="38"/>
      <c r="BJ4598" s="38"/>
      <c r="BK4598" s="38"/>
      <c r="BL4598" s="38"/>
      <c r="BM4598" s="38"/>
      <c r="BN4598" s="38"/>
      <c r="BO4598" s="38"/>
      <c r="BP4598" s="38"/>
      <c r="BQ4598" s="38"/>
    </row>
    <row r="4599">
      <c r="A4599" s="16"/>
      <c r="B4599" s="145"/>
      <c r="C4599" s="146"/>
      <c r="D4599" s="146"/>
      <c r="E4599" s="16"/>
      <c r="F4599" s="91"/>
      <c r="G4599" s="16"/>
      <c r="H4599" s="320" t="str">
        <f t="shared" si="424"/>
        <v/>
      </c>
      <c r="I4599" s="16"/>
      <c r="J4599" s="16"/>
      <c r="K4599" s="16"/>
      <c r="L4599" s="16"/>
      <c r="M4599" s="15"/>
      <c r="N4599" s="15"/>
      <c r="O4599" s="16"/>
      <c r="P4599" s="16"/>
      <c r="Q4599" s="16"/>
      <c r="R4599" s="16"/>
      <c r="S4599" s="37" t="str">
        <f>IFERROR(__xludf.DUMMYFUNCTION("if(not(iserror(index(split(C4599, "" ""),2))), index(split(C4599, "" ""),1),"""")"),"")</f>
        <v/>
      </c>
      <c r="T4599" s="315" t="str">
        <f>IFERROR(__xludf.DUMMYFUNCTION("if(S4599="""",C4599,if(not(iserror(index(split(C4599, "" ""),3))), index(split(C4599, "" ""),3),index(split(C4599, "" ""),2)))"),"")</f>
        <v/>
      </c>
      <c r="U4599" s="38" t="b">
        <f t="shared" si="423"/>
        <v>0</v>
      </c>
      <c r="V4599" s="38"/>
      <c r="W4599" s="40"/>
      <c r="X4599" s="40"/>
      <c r="Y4599" s="40"/>
      <c r="Z4599" s="38"/>
      <c r="AA4599" s="38"/>
      <c r="AB4599" s="38"/>
      <c r="AC4599" s="38"/>
      <c r="AD4599" s="38"/>
      <c r="AE4599" s="38"/>
      <c r="AF4599" s="38"/>
      <c r="AG4599" s="38"/>
      <c r="AH4599" s="38"/>
      <c r="AI4599" s="38"/>
      <c r="AJ4599" s="38"/>
      <c r="AK4599" s="38"/>
      <c r="AL4599" s="38"/>
      <c r="AM4599" s="38"/>
      <c r="AN4599" s="38"/>
      <c r="AO4599" s="38"/>
      <c r="AP4599" s="38"/>
      <c r="AQ4599" s="38"/>
      <c r="AR4599" s="38"/>
      <c r="AS4599" s="38"/>
      <c r="AT4599" s="38"/>
      <c r="AU4599" s="38"/>
      <c r="AV4599" s="38"/>
      <c r="AW4599" s="38"/>
      <c r="AX4599" s="38"/>
      <c r="AY4599" s="38"/>
      <c r="AZ4599" s="38"/>
      <c r="BA4599" s="38"/>
      <c r="BB4599" s="38"/>
      <c r="BC4599" s="38"/>
      <c r="BD4599" s="38"/>
      <c r="BE4599" s="38"/>
      <c r="BF4599" s="38"/>
      <c r="BG4599" s="38"/>
      <c r="BH4599" s="38"/>
      <c r="BI4599" s="38"/>
      <c r="BJ4599" s="38"/>
      <c r="BK4599" s="38"/>
      <c r="BL4599" s="38"/>
      <c r="BM4599" s="38"/>
      <c r="BN4599" s="38"/>
      <c r="BO4599" s="38"/>
      <c r="BP4599" s="38"/>
      <c r="BQ4599" s="38"/>
    </row>
    <row r="4600">
      <c r="A4600" s="16"/>
      <c r="B4600" s="145"/>
      <c r="C4600" s="146"/>
      <c r="D4600" s="146"/>
      <c r="E4600" s="16"/>
      <c r="F4600" s="91"/>
      <c r="G4600" s="16"/>
      <c r="H4600" s="320" t="str">
        <f t="shared" si="424"/>
        <v/>
      </c>
      <c r="I4600" s="16"/>
      <c r="J4600" s="16"/>
      <c r="K4600" s="16"/>
      <c r="L4600" s="16"/>
      <c r="M4600" s="15"/>
      <c r="N4600" s="15"/>
      <c r="O4600" s="16"/>
      <c r="P4600" s="16"/>
      <c r="Q4600" s="16"/>
      <c r="R4600" s="16"/>
      <c r="S4600" s="37" t="str">
        <f>IFERROR(__xludf.DUMMYFUNCTION("if(not(iserror(index(split(C4600, "" ""),2))), index(split(C4600, "" ""),1),"""")"),"")</f>
        <v/>
      </c>
      <c r="T4600" s="315" t="str">
        <f>IFERROR(__xludf.DUMMYFUNCTION("if(S4600="""",C4600,if(not(iserror(index(split(C4600, "" ""),3))), index(split(C4600, "" ""),3),index(split(C4600, "" ""),2)))"),"")</f>
        <v/>
      </c>
      <c r="U4600" s="38" t="b">
        <f t="shared" si="423"/>
        <v>0</v>
      </c>
      <c r="V4600" s="38"/>
      <c r="W4600" s="40"/>
      <c r="X4600" s="40"/>
      <c r="Y4600" s="40"/>
      <c r="Z4600" s="38"/>
      <c r="AA4600" s="38"/>
      <c r="AB4600" s="38"/>
      <c r="AC4600" s="38"/>
      <c r="AD4600" s="38"/>
      <c r="AE4600" s="38"/>
      <c r="AF4600" s="38"/>
      <c r="AG4600" s="38"/>
      <c r="AH4600" s="38"/>
      <c r="AI4600" s="38"/>
      <c r="AJ4600" s="38"/>
      <c r="AK4600" s="38"/>
      <c r="AL4600" s="38"/>
      <c r="AM4600" s="38"/>
      <c r="AN4600" s="38"/>
      <c r="AO4600" s="38"/>
      <c r="AP4600" s="38"/>
      <c r="AQ4600" s="38"/>
      <c r="AR4600" s="38"/>
      <c r="AS4600" s="38"/>
      <c r="AT4600" s="38"/>
      <c r="AU4600" s="38"/>
      <c r="AV4600" s="38"/>
      <c r="AW4600" s="38"/>
      <c r="AX4600" s="38"/>
      <c r="AY4600" s="38"/>
      <c r="AZ4600" s="38"/>
      <c r="BA4600" s="38"/>
      <c r="BB4600" s="38"/>
      <c r="BC4600" s="38"/>
      <c r="BD4600" s="38"/>
      <c r="BE4600" s="38"/>
      <c r="BF4600" s="38"/>
      <c r="BG4600" s="38"/>
      <c r="BH4600" s="38"/>
      <c r="BI4600" s="38"/>
      <c r="BJ4600" s="38"/>
      <c r="BK4600" s="38"/>
      <c r="BL4600" s="38"/>
      <c r="BM4600" s="38"/>
      <c r="BN4600" s="38"/>
      <c r="BO4600" s="38"/>
      <c r="BP4600" s="38"/>
      <c r="BQ4600" s="38"/>
    </row>
    <row r="4601">
      <c r="A4601" s="16"/>
      <c r="B4601" s="145"/>
      <c r="C4601" s="146"/>
      <c r="D4601" s="146"/>
      <c r="E4601" s="16"/>
      <c r="F4601" s="91"/>
      <c r="G4601" s="16"/>
      <c r="H4601" s="320" t="str">
        <f t="shared" si="424"/>
        <v/>
      </c>
      <c r="I4601" s="16"/>
      <c r="J4601" s="16"/>
      <c r="K4601" s="16"/>
      <c r="L4601" s="16"/>
      <c r="M4601" s="15"/>
      <c r="N4601" s="15"/>
      <c r="O4601" s="16"/>
      <c r="P4601" s="16"/>
      <c r="Q4601" s="16"/>
      <c r="R4601" s="16"/>
      <c r="S4601" s="37" t="str">
        <f>IFERROR(__xludf.DUMMYFUNCTION("if(not(iserror(index(split(C4601, "" ""),2))), index(split(C4601, "" ""),1),"""")"),"")</f>
        <v/>
      </c>
      <c r="T4601" s="315" t="str">
        <f>IFERROR(__xludf.DUMMYFUNCTION("if(S4601="""",C4601,if(not(iserror(index(split(C4601, "" ""),3))), index(split(C4601, "" ""),3),index(split(C4601, "" ""),2)))"),"")</f>
        <v/>
      </c>
      <c r="U4601" s="38" t="b">
        <f t="shared" si="423"/>
        <v>0</v>
      </c>
      <c r="V4601" s="38"/>
      <c r="W4601" s="40"/>
      <c r="X4601" s="40"/>
      <c r="Y4601" s="40"/>
      <c r="Z4601" s="38"/>
      <c r="AA4601" s="38"/>
      <c r="AB4601" s="38"/>
      <c r="AC4601" s="38"/>
      <c r="AD4601" s="38"/>
      <c r="AE4601" s="38"/>
      <c r="AF4601" s="38"/>
      <c r="AG4601" s="38"/>
      <c r="AH4601" s="38"/>
      <c r="AI4601" s="38"/>
      <c r="AJ4601" s="38"/>
      <c r="AK4601" s="38"/>
      <c r="AL4601" s="38"/>
      <c r="AM4601" s="38"/>
      <c r="AN4601" s="38"/>
      <c r="AO4601" s="38"/>
      <c r="AP4601" s="38"/>
      <c r="AQ4601" s="38"/>
      <c r="AR4601" s="38"/>
      <c r="AS4601" s="38"/>
      <c r="AT4601" s="38"/>
      <c r="AU4601" s="38"/>
      <c r="AV4601" s="38"/>
      <c r="AW4601" s="38"/>
      <c r="AX4601" s="38"/>
      <c r="AY4601" s="38"/>
      <c r="AZ4601" s="38"/>
      <c r="BA4601" s="38"/>
      <c r="BB4601" s="38"/>
      <c r="BC4601" s="38"/>
      <c r="BD4601" s="38"/>
      <c r="BE4601" s="38"/>
      <c r="BF4601" s="38"/>
      <c r="BG4601" s="38"/>
      <c r="BH4601" s="38"/>
      <c r="BI4601" s="38"/>
      <c r="BJ4601" s="38"/>
      <c r="BK4601" s="38"/>
      <c r="BL4601" s="38"/>
      <c r="BM4601" s="38"/>
      <c r="BN4601" s="38"/>
      <c r="BO4601" s="38"/>
      <c r="BP4601" s="38"/>
      <c r="BQ4601" s="38"/>
    </row>
    <row r="4602">
      <c r="A4602" s="16"/>
      <c r="B4602" s="145"/>
      <c r="C4602" s="146"/>
      <c r="D4602" s="146"/>
      <c r="E4602" s="16"/>
      <c r="F4602" s="91"/>
      <c r="G4602" s="16"/>
      <c r="H4602" s="320" t="str">
        <f t="shared" si="424"/>
        <v/>
      </c>
      <c r="I4602" s="16"/>
      <c r="J4602" s="16"/>
      <c r="K4602" s="16"/>
      <c r="L4602" s="16"/>
      <c r="M4602" s="15"/>
      <c r="N4602" s="15"/>
      <c r="O4602" s="16"/>
      <c r="P4602" s="16"/>
      <c r="Q4602" s="16"/>
      <c r="R4602" s="16"/>
      <c r="S4602" s="37" t="str">
        <f>IFERROR(__xludf.DUMMYFUNCTION("if(not(iserror(index(split(C4602, "" ""),2))), index(split(C4602, "" ""),1),"""")"),"")</f>
        <v/>
      </c>
      <c r="T4602" s="315" t="str">
        <f>IFERROR(__xludf.DUMMYFUNCTION("if(S4602="""",C4602,if(not(iserror(index(split(C4602, "" ""),3))), index(split(C4602, "" ""),3),index(split(C4602, "" ""),2)))"),"")</f>
        <v/>
      </c>
      <c r="U4602" s="38" t="b">
        <f t="shared" si="423"/>
        <v>0</v>
      </c>
      <c r="V4602" s="38"/>
      <c r="W4602" s="40"/>
      <c r="X4602" s="40"/>
      <c r="Y4602" s="40"/>
      <c r="Z4602" s="38"/>
      <c r="AA4602" s="38"/>
      <c r="AB4602" s="38"/>
      <c r="AC4602" s="38"/>
      <c r="AD4602" s="38"/>
      <c r="AE4602" s="38"/>
      <c r="AF4602" s="38"/>
      <c r="AG4602" s="38"/>
      <c r="AH4602" s="38"/>
      <c r="AI4602" s="38"/>
      <c r="AJ4602" s="38"/>
      <c r="AK4602" s="38"/>
      <c r="AL4602" s="38"/>
      <c r="AM4602" s="38"/>
      <c r="AN4602" s="38"/>
      <c r="AO4602" s="38"/>
      <c r="AP4602" s="38"/>
      <c r="AQ4602" s="38"/>
      <c r="AR4602" s="38"/>
      <c r="AS4602" s="38"/>
      <c r="AT4602" s="38"/>
      <c r="AU4602" s="38"/>
      <c r="AV4602" s="38"/>
      <c r="AW4602" s="38"/>
      <c r="AX4602" s="38"/>
      <c r="AY4602" s="38"/>
      <c r="AZ4602" s="38"/>
      <c r="BA4602" s="38"/>
      <c r="BB4602" s="38"/>
      <c r="BC4602" s="38"/>
      <c r="BD4602" s="38"/>
      <c r="BE4602" s="38"/>
      <c r="BF4602" s="38"/>
      <c r="BG4602" s="38"/>
      <c r="BH4602" s="38"/>
      <c r="BI4602" s="38"/>
      <c r="BJ4602" s="38"/>
      <c r="BK4602" s="38"/>
      <c r="BL4602" s="38"/>
      <c r="BM4602" s="38"/>
      <c r="BN4602" s="38"/>
      <c r="BO4602" s="38"/>
      <c r="BP4602" s="38"/>
      <c r="BQ4602" s="38"/>
    </row>
    <row r="4603">
      <c r="A4603" s="16"/>
      <c r="B4603" s="145"/>
      <c r="C4603" s="146"/>
      <c r="D4603" s="146"/>
      <c r="E4603" s="16"/>
      <c r="F4603" s="91"/>
      <c r="G4603" s="16"/>
      <c r="H4603" s="320" t="str">
        <f t="shared" si="424"/>
        <v/>
      </c>
      <c r="I4603" s="16"/>
      <c r="J4603" s="16"/>
      <c r="K4603" s="16"/>
      <c r="L4603" s="16"/>
      <c r="M4603" s="15"/>
      <c r="N4603" s="15"/>
      <c r="O4603" s="16"/>
      <c r="P4603" s="16"/>
      <c r="Q4603" s="16"/>
      <c r="R4603" s="16"/>
      <c r="S4603" s="37" t="str">
        <f>IFERROR(__xludf.DUMMYFUNCTION("if(not(iserror(index(split(C4603, "" ""),2))), index(split(C4603, "" ""),1),"""")"),"")</f>
        <v/>
      </c>
      <c r="T4603" s="315" t="str">
        <f>IFERROR(__xludf.DUMMYFUNCTION("if(S4603="""",C4603,if(not(iserror(index(split(C4603, "" ""),3))), index(split(C4603, "" ""),3),index(split(C4603, "" ""),2)))"),"")</f>
        <v/>
      </c>
      <c r="U4603" s="38" t="b">
        <f t="shared" si="423"/>
        <v>0</v>
      </c>
      <c r="V4603" s="38"/>
      <c r="W4603" s="40"/>
      <c r="X4603" s="40"/>
      <c r="Y4603" s="40"/>
      <c r="Z4603" s="38"/>
      <c r="AA4603" s="38"/>
      <c r="AB4603" s="38"/>
      <c r="AC4603" s="38"/>
      <c r="AD4603" s="38"/>
      <c r="AE4603" s="38"/>
      <c r="AF4603" s="38"/>
      <c r="AG4603" s="38"/>
      <c r="AH4603" s="38"/>
      <c r="AI4603" s="38"/>
      <c r="AJ4603" s="38"/>
      <c r="AK4603" s="38"/>
      <c r="AL4603" s="38"/>
      <c r="AM4603" s="38"/>
      <c r="AN4603" s="38"/>
      <c r="AO4603" s="38"/>
      <c r="AP4603" s="38"/>
      <c r="AQ4603" s="38"/>
      <c r="AR4603" s="38"/>
      <c r="AS4603" s="38"/>
      <c r="AT4603" s="38"/>
      <c r="AU4603" s="38"/>
      <c r="AV4603" s="38"/>
      <c r="AW4603" s="38"/>
      <c r="AX4603" s="38"/>
      <c r="AY4603" s="38"/>
      <c r="AZ4603" s="38"/>
      <c r="BA4603" s="38"/>
      <c r="BB4603" s="38"/>
      <c r="BC4603" s="38"/>
      <c r="BD4603" s="38"/>
      <c r="BE4603" s="38"/>
      <c r="BF4603" s="38"/>
      <c r="BG4603" s="38"/>
      <c r="BH4603" s="38"/>
      <c r="BI4603" s="38"/>
      <c r="BJ4603" s="38"/>
      <c r="BK4603" s="38"/>
      <c r="BL4603" s="38"/>
      <c r="BM4603" s="38"/>
      <c r="BN4603" s="38"/>
      <c r="BO4603" s="38"/>
      <c r="BP4603" s="38"/>
      <c r="BQ4603" s="38"/>
    </row>
    <row r="4604">
      <c r="A4604" s="16"/>
      <c r="B4604" s="145"/>
      <c r="C4604" s="146"/>
      <c r="D4604" s="146"/>
      <c r="E4604" s="16"/>
      <c r="F4604" s="91"/>
      <c r="G4604" s="16"/>
      <c r="H4604" s="320" t="str">
        <f t="shared" si="424"/>
        <v/>
      </c>
      <c r="I4604" s="16"/>
      <c r="J4604" s="16"/>
      <c r="K4604" s="16"/>
      <c r="L4604" s="16"/>
      <c r="M4604" s="15"/>
      <c r="N4604" s="15"/>
      <c r="O4604" s="16"/>
      <c r="P4604" s="16"/>
      <c r="Q4604" s="16"/>
      <c r="R4604" s="16"/>
      <c r="S4604" s="37" t="str">
        <f>IFERROR(__xludf.DUMMYFUNCTION("if(not(iserror(index(split(C4604, "" ""),2))), index(split(C4604, "" ""),1),"""")"),"")</f>
        <v/>
      </c>
      <c r="T4604" s="315" t="str">
        <f>IFERROR(__xludf.DUMMYFUNCTION("if(S4604="""",C4604,if(not(iserror(index(split(C4604, "" ""),3))), index(split(C4604, "" ""),3),index(split(C4604, "" ""),2)))"),"")</f>
        <v/>
      </c>
      <c r="U4604" s="38" t="b">
        <f t="shared" si="423"/>
        <v>0</v>
      </c>
      <c r="V4604" s="38"/>
      <c r="W4604" s="40"/>
      <c r="X4604" s="40"/>
      <c r="Y4604" s="40"/>
      <c r="Z4604" s="38"/>
      <c r="AA4604" s="38"/>
      <c r="AB4604" s="38"/>
      <c r="AC4604" s="38"/>
      <c r="AD4604" s="38"/>
      <c r="AE4604" s="38"/>
      <c r="AF4604" s="38"/>
      <c r="AG4604" s="38"/>
      <c r="AH4604" s="38"/>
      <c r="AI4604" s="38"/>
      <c r="AJ4604" s="38"/>
      <c r="AK4604" s="38"/>
      <c r="AL4604" s="38"/>
      <c r="AM4604" s="38"/>
      <c r="AN4604" s="38"/>
      <c r="AO4604" s="38"/>
      <c r="AP4604" s="38"/>
      <c r="AQ4604" s="38"/>
      <c r="AR4604" s="38"/>
      <c r="AS4604" s="38"/>
      <c r="AT4604" s="38"/>
      <c r="AU4604" s="38"/>
      <c r="AV4604" s="38"/>
      <c r="AW4604" s="38"/>
      <c r="AX4604" s="38"/>
      <c r="AY4604" s="38"/>
      <c r="AZ4604" s="38"/>
      <c r="BA4604" s="38"/>
      <c r="BB4604" s="38"/>
      <c r="BC4604" s="38"/>
      <c r="BD4604" s="38"/>
      <c r="BE4604" s="38"/>
      <c r="BF4604" s="38"/>
      <c r="BG4604" s="38"/>
      <c r="BH4604" s="38"/>
      <c r="BI4604" s="38"/>
      <c r="BJ4604" s="38"/>
      <c r="BK4604" s="38"/>
      <c r="BL4604" s="38"/>
      <c r="BM4604" s="38"/>
      <c r="BN4604" s="38"/>
      <c r="BO4604" s="38"/>
      <c r="BP4604" s="38"/>
      <c r="BQ4604" s="38"/>
    </row>
    <row r="4605">
      <c r="A4605" s="16"/>
      <c r="B4605" s="145"/>
      <c r="C4605" s="146"/>
      <c r="D4605" s="146"/>
      <c r="E4605" s="16"/>
      <c r="F4605" s="91"/>
      <c r="G4605" s="16"/>
      <c r="H4605" s="320" t="str">
        <f t="shared" si="424"/>
        <v/>
      </c>
      <c r="I4605" s="16"/>
      <c r="J4605" s="16"/>
      <c r="K4605" s="16"/>
      <c r="L4605" s="16"/>
      <c r="M4605" s="15"/>
      <c r="N4605" s="15"/>
      <c r="O4605" s="16"/>
      <c r="P4605" s="16"/>
      <c r="Q4605" s="16"/>
      <c r="R4605" s="16"/>
      <c r="S4605" s="37" t="str">
        <f>IFERROR(__xludf.DUMMYFUNCTION("if(not(iserror(index(split(C4605, "" ""),2))), index(split(C4605, "" ""),1),"""")"),"")</f>
        <v/>
      </c>
      <c r="T4605" s="315" t="str">
        <f>IFERROR(__xludf.DUMMYFUNCTION("if(S4605="""",C4605,if(not(iserror(index(split(C4605, "" ""),3))), index(split(C4605, "" ""),3),index(split(C4605, "" ""),2)))"),"")</f>
        <v/>
      </c>
      <c r="U4605" s="38" t="b">
        <f t="shared" si="423"/>
        <v>0</v>
      </c>
      <c r="V4605" s="38"/>
      <c r="W4605" s="40"/>
      <c r="X4605" s="40"/>
      <c r="Y4605" s="40"/>
      <c r="Z4605" s="38"/>
      <c r="AA4605" s="38"/>
      <c r="AB4605" s="38"/>
      <c r="AC4605" s="38"/>
      <c r="AD4605" s="38"/>
      <c r="AE4605" s="38"/>
      <c r="AF4605" s="38"/>
      <c r="AG4605" s="38"/>
      <c r="AH4605" s="38"/>
      <c r="AI4605" s="38"/>
      <c r="AJ4605" s="38"/>
      <c r="AK4605" s="38"/>
      <c r="AL4605" s="38"/>
      <c r="AM4605" s="38"/>
      <c r="AN4605" s="38"/>
      <c r="AO4605" s="38"/>
      <c r="AP4605" s="38"/>
      <c r="AQ4605" s="38"/>
      <c r="AR4605" s="38"/>
      <c r="AS4605" s="38"/>
      <c r="AT4605" s="38"/>
      <c r="AU4605" s="38"/>
      <c r="AV4605" s="38"/>
      <c r="AW4605" s="38"/>
      <c r="AX4605" s="38"/>
      <c r="AY4605" s="38"/>
      <c r="AZ4605" s="38"/>
      <c r="BA4605" s="38"/>
      <c r="BB4605" s="38"/>
      <c r="BC4605" s="38"/>
      <c r="BD4605" s="38"/>
      <c r="BE4605" s="38"/>
      <c r="BF4605" s="38"/>
      <c r="BG4605" s="38"/>
      <c r="BH4605" s="38"/>
      <c r="BI4605" s="38"/>
      <c r="BJ4605" s="38"/>
      <c r="BK4605" s="38"/>
      <c r="BL4605" s="38"/>
      <c r="BM4605" s="38"/>
      <c r="BN4605" s="38"/>
      <c r="BO4605" s="38"/>
      <c r="BP4605" s="38"/>
      <c r="BQ4605" s="38"/>
    </row>
    <row r="4606">
      <c r="A4606" s="16"/>
      <c r="B4606" s="145"/>
      <c r="C4606" s="146"/>
      <c r="D4606" s="146"/>
      <c r="E4606" s="16"/>
      <c r="F4606" s="91"/>
      <c r="G4606" s="16"/>
      <c r="H4606" s="320" t="str">
        <f t="shared" si="424"/>
        <v/>
      </c>
      <c r="I4606" s="16"/>
      <c r="J4606" s="16"/>
      <c r="K4606" s="16"/>
      <c r="L4606" s="16"/>
      <c r="M4606" s="15"/>
      <c r="N4606" s="15"/>
      <c r="O4606" s="16"/>
      <c r="P4606" s="16"/>
      <c r="Q4606" s="16"/>
      <c r="R4606" s="16"/>
      <c r="S4606" s="37" t="str">
        <f>IFERROR(__xludf.DUMMYFUNCTION("if(not(iserror(index(split(C4606, "" ""),2))), index(split(C4606, "" ""),1),"""")"),"")</f>
        <v/>
      </c>
      <c r="T4606" s="315" t="str">
        <f>IFERROR(__xludf.DUMMYFUNCTION("if(S4606="""",C4606,if(not(iserror(index(split(C4606, "" ""),3))), index(split(C4606, "" ""),3),index(split(C4606, "" ""),2)))"),"")</f>
        <v/>
      </c>
      <c r="U4606" s="38" t="b">
        <f t="shared" si="423"/>
        <v>0</v>
      </c>
      <c r="V4606" s="38"/>
      <c r="W4606" s="40"/>
      <c r="X4606" s="40"/>
      <c r="Y4606" s="40"/>
      <c r="Z4606" s="38"/>
      <c r="AA4606" s="38"/>
      <c r="AB4606" s="38"/>
      <c r="AC4606" s="38"/>
      <c r="AD4606" s="38"/>
      <c r="AE4606" s="38"/>
      <c r="AF4606" s="38"/>
      <c r="AG4606" s="38"/>
      <c r="AH4606" s="38"/>
      <c r="AI4606" s="38"/>
      <c r="AJ4606" s="38"/>
      <c r="AK4606" s="38"/>
      <c r="AL4606" s="38"/>
      <c r="AM4606" s="38"/>
      <c r="AN4606" s="38"/>
      <c r="AO4606" s="38"/>
      <c r="AP4606" s="38"/>
      <c r="AQ4606" s="38"/>
      <c r="AR4606" s="38"/>
      <c r="AS4606" s="38"/>
      <c r="AT4606" s="38"/>
      <c r="AU4606" s="38"/>
      <c r="AV4606" s="38"/>
      <c r="AW4606" s="38"/>
      <c r="AX4606" s="38"/>
      <c r="AY4606" s="38"/>
      <c r="AZ4606" s="38"/>
      <c r="BA4606" s="38"/>
      <c r="BB4606" s="38"/>
      <c r="BC4606" s="38"/>
      <c r="BD4606" s="38"/>
      <c r="BE4606" s="38"/>
      <c r="BF4606" s="38"/>
      <c r="BG4606" s="38"/>
      <c r="BH4606" s="38"/>
      <c r="BI4606" s="38"/>
      <c r="BJ4606" s="38"/>
      <c r="BK4606" s="38"/>
      <c r="BL4606" s="38"/>
      <c r="BM4606" s="38"/>
      <c r="BN4606" s="38"/>
      <c r="BO4606" s="38"/>
      <c r="BP4606" s="38"/>
      <c r="BQ4606" s="38"/>
    </row>
    <row r="4607">
      <c r="A4607" s="16"/>
      <c r="B4607" s="145"/>
      <c r="C4607" s="146"/>
      <c r="D4607" s="146"/>
      <c r="E4607" s="16"/>
      <c r="F4607" s="91"/>
      <c r="G4607" s="16"/>
      <c r="H4607" s="320" t="str">
        <f t="shared" si="424"/>
        <v/>
      </c>
      <c r="I4607" s="16"/>
      <c r="J4607" s="16"/>
      <c r="K4607" s="16"/>
      <c r="L4607" s="16"/>
      <c r="M4607" s="15"/>
      <c r="N4607" s="15"/>
      <c r="O4607" s="16"/>
      <c r="P4607" s="16"/>
      <c r="Q4607" s="16"/>
      <c r="R4607" s="16"/>
      <c r="S4607" s="37" t="str">
        <f>IFERROR(__xludf.DUMMYFUNCTION("if(not(iserror(index(split(C4607, "" ""),2))), index(split(C4607, "" ""),1),"""")"),"")</f>
        <v/>
      </c>
      <c r="T4607" s="315" t="str">
        <f>IFERROR(__xludf.DUMMYFUNCTION("if(S4607="""",C4607,if(not(iserror(index(split(C4607, "" ""),3))), index(split(C4607, "" ""),3),index(split(C4607, "" ""),2)))"),"")</f>
        <v/>
      </c>
      <c r="U4607" s="38" t="b">
        <f t="shared" si="423"/>
        <v>0</v>
      </c>
      <c r="V4607" s="38"/>
      <c r="W4607" s="40"/>
      <c r="X4607" s="40"/>
      <c r="Y4607" s="40"/>
      <c r="Z4607" s="38"/>
      <c r="AA4607" s="38"/>
      <c r="AB4607" s="38"/>
      <c r="AC4607" s="38"/>
      <c r="AD4607" s="38"/>
      <c r="AE4607" s="38"/>
      <c r="AF4607" s="38"/>
      <c r="AG4607" s="38"/>
      <c r="AH4607" s="38"/>
      <c r="AI4607" s="38"/>
      <c r="AJ4607" s="38"/>
      <c r="AK4607" s="38"/>
      <c r="AL4607" s="38"/>
      <c r="AM4607" s="38"/>
      <c r="AN4607" s="38"/>
      <c r="AO4607" s="38"/>
      <c r="AP4607" s="38"/>
      <c r="AQ4607" s="38"/>
      <c r="AR4607" s="38"/>
      <c r="AS4607" s="38"/>
      <c r="AT4607" s="38"/>
      <c r="AU4607" s="38"/>
      <c r="AV4607" s="38"/>
      <c r="AW4607" s="38"/>
      <c r="AX4607" s="38"/>
      <c r="AY4607" s="38"/>
      <c r="AZ4607" s="38"/>
      <c r="BA4607" s="38"/>
      <c r="BB4607" s="38"/>
      <c r="BC4607" s="38"/>
      <c r="BD4607" s="38"/>
      <c r="BE4607" s="38"/>
      <c r="BF4607" s="38"/>
      <c r="BG4607" s="38"/>
      <c r="BH4607" s="38"/>
      <c r="BI4607" s="38"/>
      <c r="BJ4607" s="38"/>
      <c r="BK4607" s="38"/>
      <c r="BL4607" s="38"/>
      <c r="BM4607" s="38"/>
      <c r="BN4607" s="38"/>
      <c r="BO4607" s="38"/>
      <c r="BP4607" s="38"/>
      <c r="BQ4607" s="38"/>
    </row>
    <row r="4608">
      <c r="A4608" s="16"/>
      <c r="B4608" s="145"/>
      <c r="C4608" s="146"/>
      <c r="D4608" s="146"/>
      <c r="E4608" s="16"/>
      <c r="F4608" s="91"/>
      <c r="G4608" s="16"/>
      <c r="H4608" s="320" t="str">
        <f t="shared" si="424"/>
        <v/>
      </c>
      <c r="I4608" s="16"/>
      <c r="J4608" s="16"/>
      <c r="K4608" s="16"/>
      <c r="L4608" s="16"/>
      <c r="M4608" s="15"/>
      <c r="N4608" s="15"/>
      <c r="O4608" s="16"/>
      <c r="P4608" s="16"/>
      <c r="Q4608" s="16"/>
      <c r="R4608" s="16"/>
      <c r="S4608" s="37" t="str">
        <f>IFERROR(__xludf.DUMMYFUNCTION("if(not(iserror(index(split(C4608, "" ""),2))), index(split(C4608, "" ""),1),"""")"),"")</f>
        <v/>
      </c>
      <c r="T4608" s="315" t="str">
        <f>IFERROR(__xludf.DUMMYFUNCTION("if(S4608="""",C4608,if(not(iserror(index(split(C4608, "" ""),3))), index(split(C4608, "" ""),3),index(split(C4608, "" ""),2)))"),"")</f>
        <v/>
      </c>
      <c r="U4608" s="38" t="b">
        <f t="shared" si="423"/>
        <v>0</v>
      </c>
      <c r="V4608" s="38"/>
      <c r="W4608" s="40"/>
      <c r="X4608" s="40"/>
      <c r="Y4608" s="40"/>
      <c r="Z4608" s="38"/>
      <c r="AA4608" s="38"/>
      <c r="AB4608" s="38"/>
      <c r="AC4608" s="38"/>
      <c r="AD4608" s="38"/>
      <c r="AE4608" s="38"/>
      <c r="AF4608" s="38"/>
      <c r="AG4608" s="38"/>
      <c r="AH4608" s="38"/>
      <c r="AI4608" s="38"/>
      <c r="AJ4608" s="38"/>
      <c r="AK4608" s="38"/>
      <c r="AL4608" s="38"/>
      <c r="AM4608" s="38"/>
      <c r="AN4608" s="38"/>
      <c r="AO4608" s="38"/>
      <c r="AP4608" s="38"/>
      <c r="AQ4608" s="38"/>
      <c r="AR4608" s="38"/>
      <c r="AS4608" s="38"/>
      <c r="AT4608" s="38"/>
      <c r="AU4608" s="38"/>
      <c r="AV4608" s="38"/>
      <c r="AW4608" s="38"/>
      <c r="AX4608" s="38"/>
      <c r="AY4608" s="38"/>
      <c r="AZ4608" s="38"/>
      <c r="BA4608" s="38"/>
      <c r="BB4608" s="38"/>
      <c r="BC4608" s="38"/>
      <c r="BD4608" s="38"/>
      <c r="BE4608" s="38"/>
      <c r="BF4608" s="38"/>
      <c r="BG4608" s="38"/>
      <c r="BH4608" s="38"/>
      <c r="BI4608" s="38"/>
      <c r="BJ4608" s="38"/>
      <c r="BK4608" s="38"/>
      <c r="BL4608" s="38"/>
      <c r="BM4608" s="38"/>
      <c r="BN4608" s="38"/>
      <c r="BO4608" s="38"/>
      <c r="BP4608" s="38"/>
      <c r="BQ4608" s="38"/>
    </row>
    <row r="4609">
      <c r="A4609" s="16"/>
      <c r="B4609" s="145"/>
      <c r="C4609" s="146"/>
      <c r="D4609" s="146"/>
      <c r="E4609" s="16"/>
      <c r="F4609" s="91"/>
      <c r="G4609" s="16"/>
      <c r="H4609" s="320" t="str">
        <f t="shared" si="424"/>
        <v/>
      </c>
      <c r="I4609" s="16"/>
      <c r="J4609" s="16"/>
      <c r="K4609" s="16"/>
      <c r="L4609" s="16"/>
      <c r="M4609" s="15"/>
      <c r="N4609" s="15"/>
      <c r="O4609" s="16"/>
      <c r="P4609" s="16"/>
      <c r="Q4609" s="16"/>
      <c r="R4609" s="16"/>
      <c r="S4609" s="37" t="str">
        <f>IFERROR(__xludf.DUMMYFUNCTION("if(not(iserror(index(split(C4609, "" ""),2))), index(split(C4609, "" ""),1),"""")"),"")</f>
        <v/>
      </c>
      <c r="T4609" s="315" t="str">
        <f>IFERROR(__xludf.DUMMYFUNCTION("if(S4609="""",C4609,if(not(iserror(index(split(C4609, "" ""),3))), index(split(C4609, "" ""),3),index(split(C4609, "" ""),2)))"),"")</f>
        <v/>
      </c>
      <c r="U4609" s="38" t="b">
        <f t="shared" si="423"/>
        <v>0</v>
      </c>
      <c r="V4609" s="38"/>
      <c r="W4609" s="40"/>
      <c r="X4609" s="40"/>
      <c r="Y4609" s="40"/>
      <c r="Z4609" s="38"/>
      <c r="AA4609" s="38"/>
      <c r="AB4609" s="38"/>
      <c r="AC4609" s="38"/>
      <c r="AD4609" s="38"/>
      <c r="AE4609" s="38"/>
      <c r="AF4609" s="38"/>
      <c r="AG4609" s="38"/>
      <c r="AH4609" s="38"/>
      <c r="AI4609" s="38"/>
      <c r="AJ4609" s="38"/>
      <c r="AK4609" s="38"/>
      <c r="AL4609" s="38"/>
      <c r="AM4609" s="38"/>
      <c r="AN4609" s="38"/>
      <c r="AO4609" s="38"/>
      <c r="AP4609" s="38"/>
      <c r="AQ4609" s="38"/>
      <c r="AR4609" s="38"/>
      <c r="AS4609" s="38"/>
      <c r="AT4609" s="38"/>
      <c r="AU4609" s="38"/>
      <c r="AV4609" s="38"/>
      <c r="AW4609" s="38"/>
      <c r="AX4609" s="38"/>
      <c r="AY4609" s="38"/>
      <c r="AZ4609" s="38"/>
      <c r="BA4609" s="38"/>
      <c r="BB4609" s="38"/>
      <c r="BC4609" s="38"/>
      <c r="BD4609" s="38"/>
      <c r="BE4609" s="38"/>
      <c r="BF4609" s="38"/>
      <c r="BG4609" s="38"/>
      <c r="BH4609" s="38"/>
      <c r="BI4609" s="38"/>
      <c r="BJ4609" s="38"/>
      <c r="BK4609" s="38"/>
      <c r="BL4609" s="38"/>
      <c r="BM4609" s="38"/>
      <c r="BN4609" s="38"/>
      <c r="BO4609" s="38"/>
      <c r="BP4609" s="38"/>
      <c r="BQ4609" s="38"/>
    </row>
    <row r="4610">
      <c r="A4610" s="16"/>
      <c r="B4610" s="145"/>
      <c r="C4610" s="146"/>
      <c r="D4610" s="146"/>
      <c r="E4610" s="16"/>
      <c r="F4610" s="91"/>
      <c r="G4610" s="16"/>
      <c r="H4610" s="320" t="str">
        <f t="shared" si="424"/>
        <v/>
      </c>
      <c r="I4610" s="16"/>
      <c r="J4610" s="16"/>
      <c r="K4610" s="16"/>
      <c r="L4610" s="16"/>
      <c r="M4610" s="15"/>
      <c r="N4610" s="15"/>
      <c r="O4610" s="16"/>
      <c r="P4610" s="16"/>
      <c r="Q4610" s="16"/>
      <c r="R4610" s="16"/>
      <c r="S4610" s="37" t="str">
        <f>IFERROR(__xludf.DUMMYFUNCTION("if(not(iserror(index(split(C4610, "" ""),2))), index(split(C4610, "" ""),1),"""")"),"")</f>
        <v/>
      </c>
      <c r="T4610" s="315" t="str">
        <f>IFERROR(__xludf.DUMMYFUNCTION("if(S4610="""",C4610,if(not(iserror(index(split(C4610, "" ""),3))), index(split(C4610, "" ""),3),index(split(C4610, "" ""),2)))"),"")</f>
        <v/>
      </c>
      <c r="U4610" s="38" t="b">
        <f t="shared" si="423"/>
        <v>0</v>
      </c>
      <c r="V4610" s="38"/>
      <c r="W4610" s="40"/>
      <c r="X4610" s="40"/>
      <c r="Y4610" s="40"/>
      <c r="Z4610" s="38"/>
      <c r="AA4610" s="38"/>
      <c r="AB4610" s="38"/>
      <c r="AC4610" s="38"/>
      <c r="AD4610" s="38"/>
      <c r="AE4610" s="38"/>
      <c r="AF4610" s="38"/>
      <c r="AG4610" s="38"/>
      <c r="AH4610" s="38"/>
      <c r="AI4610" s="38"/>
      <c r="AJ4610" s="38"/>
      <c r="AK4610" s="38"/>
      <c r="AL4610" s="38"/>
      <c r="AM4610" s="38"/>
      <c r="AN4610" s="38"/>
      <c r="AO4610" s="38"/>
      <c r="AP4610" s="38"/>
      <c r="AQ4610" s="38"/>
      <c r="AR4610" s="38"/>
      <c r="AS4610" s="38"/>
      <c r="AT4610" s="38"/>
      <c r="AU4610" s="38"/>
      <c r="AV4610" s="38"/>
      <c r="AW4610" s="38"/>
      <c r="AX4610" s="38"/>
      <c r="AY4610" s="38"/>
      <c r="AZ4610" s="38"/>
      <c r="BA4610" s="38"/>
      <c r="BB4610" s="38"/>
      <c r="BC4610" s="38"/>
      <c r="BD4610" s="38"/>
      <c r="BE4610" s="38"/>
      <c r="BF4610" s="38"/>
      <c r="BG4610" s="38"/>
      <c r="BH4610" s="38"/>
      <c r="BI4610" s="38"/>
      <c r="BJ4610" s="38"/>
      <c r="BK4610" s="38"/>
      <c r="BL4610" s="38"/>
      <c r="BM4610" s="38"/>
      <c r="BN4610" s="38"/>
      <c r="BO4610" s="38"/>
      <c r="BP4610" s="38"/>
      <c r="BQ4610" s="38"/>
    </row>
    <row r="4611">
      <c r="A4611" s="16"/>
      <c r="B4611" s="145"/>
      <c r="C4611" s="146"/>
      <c r="D4611" s="146"/>
      <c r="E4611" s="16"/>
      <c r="F4611" s="91"/>
      <c r="G4611" s="16"/>
      <c r="H4611" s="320" t="str">
        <f t="shared" si="424"/>
        <v/>
      </c>
      <c r="I4611" s="16"/>
      <c r="J4611" s="16"/>
      <c r="K4611" s="16"/>
      <c r="L4611" s="16"/>
      <c r="M4611" s="15"/>
      <c r="N4611" s="15"/>
      <c r="O4611" s="16"/>
      <c r="P4611" s="16"/>
      <c r="Q4611" s="16"/>
      <c r="R4611" s="16"/>
      <c r="S4611" s="37" t="str">
        <f>IFERROR(__xludf.DUMMYFUNCTION("if(not(iserror(index(split(C4611, "" ""),2))), index(split(C4611, "" ""),1),"""")"),"")</f>
        <v/>
      </c>
      <c r="T4611" s="315" t="str">
        <f>IFERROR(__xludf.DUMMYFUNCTION("if(S4611="""",C4611,if(not(iserror(index(split(C4611, "" ""),3))), index(split(C4611, "" ""),3),index(split(C4611, "" ""),2)))"),"")</f>
        <v/>
      </c>
      <c r="U4611" s="38" t="b">
        <f t="shared" si="423"/>
        <v>0</v>
      </c>
      <c r="V4611" s="38"/>
      <c r="W4611" s="40"/>
      <c r="X4611" s="40"/>
      <c r="Y4611" s="40"/>
      <c r="Z4611" s="38"/>
      <c r="AA4611" s="38"/>
      <c r="AB4611" s="38"/>
      <c r="AC4611" s="38"/>
      <c r="AD4611" s="38"/>
      <c r="AE4611" s="38"/>
      <c r="AF4611" s="38"/>
      <c r="AG4611" s="38"/>
      <c r="AH4611" s="38"/>
      <c r="AI4611" s="38"/>
      <c r="AJ4611" s="38"/>
      <c r="AK4611" s="38"/>
      <c r="AL4611" s="38"/>
      <c r="AM4611" s="38"/>
      <c r="AN4611" s="38"/>
      <c r="AO4611" s="38"/>
      <c r="AP4611" s="38"/>
      <c r="AQ4611" s="38"/>
      <c r="AR4611" s="38"/>
      <c r="AS4611" s="38"/>
      <c r="AT4611" s="38"/>
      <c r="AU4611" s="38"/>
      <c r="AV4611" s="38"/>
      <c r="AW4611" s="38"/>
      <c r="AX4611" s="38"/>
      <c r="AY4611" s="38"/>
      <c r="AZ4611" s="38"/>
      <c r="BA4611" s="38"/>
      <c r="BB4611" s="38"/>
      <c r="BC4611" s="38"/>
      <c r="BD4611" s="38"/>
      <c r="BE4611" s="38"/>
      <c r="BF4611" s="38"/>
      <c r="BG4611" s="38"/>
      <c r="BH4611" s="38"/>
      <c r="BI4611" s="38"/>
      <c r="BJ4611" s="38"/>
      <c r="BK4611" s="38"/>
      <c r="BL4611" s="38"/>
      <c r="BM4611" s="38"/>
      <c r="BN4611" s="38"/>
      <c r="BO4611" s="38"/>
      <c r="BP4611" s="38"/>
      <c r="BQ4611" s="38"/>
    </row>
    <row r="4612">
      <c r="A4612" s="16"/>
      <c r="B4612" s="145"/>
      <c r="C4612" s="146"/>
      <c r="D4612" s="146"/>
      <c r="E4612" s="16"/>
      <c r="F4612" s="91"/>
      <c r="G4612" s="16"/>
      <c r="H4612" s="320" t="str">
        <f t="shared" si="424"/>
        <v/>
      </c>
      <c r="I4612" s="16"/>
      <c r="J4612" s="16"/>
      <c r="K4612" s="16"/>
      <c r="L4612" s="16"/>
      <c r="M4612" s="15"/>
      <c r="N4612" s="15"/>
      <c r="O4612" s="16"/>
      <c r="P4612" s="16"/>
      <c r="Q4612" s="16"/>
      <c r="R4612" s="16"/>
      <c r="S4612" s="37" t="str">
        <f>IFERROR(__xludf.DUMMYFUNCTION("if(not(iserror(index(split(C4612, "" ""),2))), index(split(C4612, "" ""),1),"""")"),"")</f>
        <v/>
      </c>
      <c r="T4612" s="315" t="str">
        <f>IFERROR(__xludf.DUMMYFUNCTION("if(S4612="""",C4612,if(not(iserror(index(split(C4612, "" ""),3))), index(split(C4612, "" ""),3),index(split(C4612, "" ""),2)))"),"")</f>
        <v/>
      </c>
      <c r="U4612" s="38" t="b">
        <f t="shared" si="423"/>
        <v>0</v>
      </c>
      <c r="V4612" s="38"/>
      <c r="W4612" s="40"/>
      <c r="X4612" s="40"/>
      <c r="Y4612" s="40"/>
      <c r="Z4612" s="38"/>
      <c r="AA4612" s="38"/>
      <c r="AB4612" s="38"/>
      <c r="AC4612" s="38"/>
      <c r="AD4612" s="38"/>
      <c r="AE4612" s="38"/>
      <c r="AF4612" s="38"/>
      <c r="AG4612" s="38"/>
      <c r="AH4612" s="38"/>
      <c r="AI4612" s="38"/>
      <c r="AJ4612" s="38"/>
      <c r="AK4612" s="38"/>
      <c r="AL4612" s="38"/>
      <c r="AM4612" s="38"/>
      <c r="AN4612" s="38"/>
      <c r="AO4612" s="38"/>
      <c r="AP4612" s="38"/>
      <c r="AQ4612" s="38"/>
      <c r="AR4612" s="38"/>
      <c r="AS4612" s="38"/>
      <c r="AT4612" s="38"/>
      <c r="AU4612" s="38"/>
      <c r="AV4612" s="38"/>
      <c r="AW4612" s="38"/>
      <c r="AX4612" s="38"/>
      <c r="AY4612" s="38"/>
      <c r="AZ4612" s="38"/>
      <c r="BA4612" s="38"/>
      <c r="BB4612" s="38"/>
      <c r="BC4612" s="38"/>
      <c r="BD4612" s="38"/>
      <c r="BE4612" s="38"/>
      <c r="BF4612" s="38"/>
      <c r="BG4612" s="38"/>
      <c r="BH4612" s="38"/>
      <c r="BI4612" s="38"/>
      <c r="BJ4612" s="38"/>
      <c r="BK4612" s="38"/>
      <c r="BL4612" s="38"/>
      <c r="BM4612" s="38"/>
      <c r="BN4612" s="38"/>
      <c r="BO4612" s="38"/>
      <c r="BP4612" s="38"/>
      <c r="BQ4612" s="38"/>
    </row>
    <row r="4613">
      <c r="A4613" s="16"/>
      <c r="B4613" s="145"/>
      <c r="C4613" s="146"/>
      <c r="D4613" s="146"/>
      <c r="E4613" s="16"/>
      <c r="F4613" s="91"/>
      <c r="G4613" s="16"/>
      <c r="H4613" s="320" t="str">
        <f t="shared" si="424"/>
        <v/>
      </c>
      <c r="I4613" s="16"/>
      <c r="J4613" s="16"/>
      <c r="K4613" s="16"/>
      <c r="L4613" s="16"/>
      <c r="M4613" s="15"/>
      <c r="N4613" s="15"/>
      <c r="O4613" s="16"/>
      <c r="P4613" s="16"/>
      <c r="Q4613" s="16"/>
      <c r="R4613" s="16"/>
      <c r="S4613" s="37" t="str">
        <f>IFERROR(__xludf.DUMMYFUNCTION("if(not(iserror(index(split(C4613, "" ""),2))), index(split(C4613, "" ""),1),"""")"),"")</f>
        <v/>
      </c>
      <c r="T4613" s="315" t="str">
        <f>IFERROR(__xludf.DUMMYFUNCTION("if(S4613="""",C4613,if(not(iserror(index(split(C4613, "" ""),3))), index(split(C4613, "" ""),3),index(split(C4613, "" ""),2)))"),"")</f>
        <v/>
      </c>
      <c r="U4613" s="38" t="b">
        <f t="shared" si="423"/>
        <v>0</v>
      </c>
      <c r="V4613" s="38"/>
      <c r="W4613" s="40"/>
      <c r="X4613" s="40"/>
      <c r="Y4613" s="40"/>
      <c r="Z4613" s="38"/>
      <c r="AA4613" s="38"/>
      <c r="AB4613" s="38"/>
      <c r="AC4613" s="38"/>
      <c r="AD4613" s="38"/>
      <c r="AE4613" s="38"/>
      <c r="AF4613" s="38"/>
      <c r="AG4613" s="38"/>
      <c r="AH4613" s="38"/>
      <c r="AI4613" s="38"/>
      <c r="AJ4613" s="38"/>
      <c r="AK4613" s="38"/>
      <c r="AL4613" s="38"/>
      <c r="AM4613" s="38"/>
      <c r="AN4613" s="38"/>
      <c r="AO4613" s="38"/>
      <c r="AP4613" s="38"/>
      <c r="AQ4613" s="38"/>
      <c r="AR4613" s="38"/>
      <c r="AS4613" s="38"/>
      <c r="AT4613" s="38"/>
      <c r="AU4613" s="38"/>
      <c r="AV4613" s="38"/>
      <c r="AW4613" s="38"/>
      <c r="AX4613" s="38"/>
      <c r="AY4613" s="38"/>
      <c r="AZ4613" s="38"/>
      <c r="BA4613" s="38"/>
      <c r="BB4613" s="38"/>
      <c r="BC4613" s="38"/>
      <c r="BD4613" s="38"/>
      <c r="BE4613" s="38"/>
      <c r="BF4613" s="38"/>
      <c r="BG4613" s="38"/>
      <c r="BH4613" s="38"/>
      <c r="BI4613" s="38"/>
      <c r="BJ4613" s="38"/>
      <c r="BK4613" s="38"/>
      <c r="BL4613" s="38"/>
      <c r="BM4613" s="38"/>
      <c r="BN4613" s="38"/>
      <c r="BO4613" s="38"/>
      <c r="BP4613" s="38"/>
      <c r="BQ4613" s="38"/>
    </row>
    <row r="4614">
      <c r="A4614" s="16"/>
      <c r="B4614" s="145"/>
      <c r="C4614" s="146"/>
      <c r="D4614" s="146"/>
      <c r="E4614" s="16"/>
      <c r="F4614" s="91"/>
      <c r="G4614" s="16"/>
      <c r="H4614" s="320" t="str">
        <f t="shared" si="424"/>
        <v/>
      </c>
      <c r="I4614" s="16"/>
      <c r="J4614" s="16"/>
      <c r="K4614" s="16"/>
      <c r="L4614" s="16"/>
      <c r="M4614" s="15"/>
      <c r="N4614" s="15"/>
      <c r="O4614" s="16"/>
      <c r="P4614" s="16"/>
      <c r="Q4614" s="16"/>
      <c r="R4614" s="16"/>
      <c r="S4614" s="37" t="str">
        <f>IFERROR(__xludf.DUMMYFUNCTION("if(not(iserror(index(split(C4614, "" ""),2))), index(split(C4614, "" ""),1),"""")"),"")</f>
        <v/>
      </c>
      <c r="T4614" s="315" t="str">
        <f>IFERROR(__xludf.DUMMYFUNCTION("if(S4614="""",C4614,if(not(iserror(index(split(C4614, "" ""),3))), index(split(C4614, "" ""),3),index(split(C4614, "" ""),2)))"),"")</f>
        <v/>
      </c>
      <c r="U4614" s="38" t="b">
        <f t="shared" si="423"/>
        <v>0</v>
      </c>
      <c r="V4614" s="38"/>
      <c r="W4614" s="40"/>
      <c r="X4614" s="40"/>
      <c r="Y4614" s="40"/>
      <c r="Z4614" s="38"/>
      <c r="AA4614" s="38"/>
      <c r="AB4614" s="38"/>
      <c r="AC4614" s="38"/>
      <c r="AD4614" s="38"/>
      <c r="AE4614" s="38"/>
      <c r="AF4614" s="38"/>
      <c r="AG4614" s="38"/>
      <c r="AH4614" s="38"/>
      <c r="AI4614" s="38"/>
      <c r="AJ4614" s="38"/>
      <c r="AK4614" s="38"/>
      <c r="AL4614" s="38"/>
      <c r="AM4614" s="38"/>
      <c r="AN4614" s="38"/>
      <c r="AO4614" s="38"/>
      <c r="AP4614" s="38"/>
      <c r="AQ4614" s="38"/>
      <c r="AR4614" s="38"/>
      <c r="AS4614" s="38"/>
      <c r="AT4614" s="38"/>
      <c r="AU4614" s="38"/>
      <c r="AV4614" s="38"/>
      <c r="AW4614" s="38"/>
      <c r="AX4614" s="38"/>
      <c r="AY4614" s="38"/>
      <c r="AZ4614" s="38"/>
      <c r="BA4614" s="38"/>
      <c r="BB4614" s="38"/>
      <c r="BC4614" s="38"/>
      <c r="BD4614" s="38"/>
      <c r="BE4614" s="38"/>
      <c r="BF4614" s="38"/>
      <c r="BG4614" s="38"/>
      <c r="BH4614" s="38"/>
      <c r="BI4614" s="38"/>
      <c r="BJ4614" s="38"/>
      <c r="BK4614" s="38"/>
      <c r="BL4614" s="38"/>
      <c r="BM4614" s="38"/>
      <c r="BN4614" s="38"/>
      <c r="BO4614" s="38"/>
      <c r="BP4614" s="38"/>
      <c r="BQ4614" s="38"/>
    </row>
    <row r="4615">
      <c r="A4615" s="16"/>
      <c r="B4615" s="145"/>
      <c r="C4615" s="146"/>
      <c r="D4615" s="146"/>
      <c r="E4615" s="16"/>
      <c r="F4615" s="91"/>
      <c r="G4615" s="16"/>
      <c r="H4615" s="320" t="str">
        <f t="shared" si="424"/>
        <v/>
      </c>
      <c r="I4615" s="16"/>
      <c r="J4615" s="16"/>
      <c r="K4615" s="16"/>
      <c r="L4615" s="16"/>
      <c r="M4615" s="15"/>
      <c r="N4615" s="15"/>
      <c r="O4615" s="16"/>
      <c r="P4615" s="16"/>
      <c r="Q4615" s="16"/>
      <c r="R4615" s="16"/>
      <c r="S4615" s="37" t="str">
        <f>IFERROR(__xludf.DUMMYFUNCTION("if(not(iserror(index(split(C4615, "" ""),2))), index(split(C4615, "" ""),1),"""")"),"")</f>
        <v/>
      </c>
      <c r="T4615" s="315" t="str">
        <f>IFERROR(__xludf.DUMMYFUNCTION("if(S4615="""",C4615,if(not(iserror(index(split(C4615, "" ""),3))), index(split(C4615, "" ""),3),index(split(C4615, "" ""),2)))"),"")</f>
        <v/>
      </c>
      <c r="U4615" s="38" t="b">
        <f t="shared" si="423"/>
        <v>0</v>
      </c>
      <c r="V4615" s="38"/>
      <c r="W4615" s="40"/>
      <c r="X4615" s="40"/>
      <c r="Y4615" s="40"/>
      <c r="Z4615" s="38"/>
      <c r="AA4615" s="38"/>
      <c r="AB4615" s="38"/>
      <c r="AC4615" s="38"/>
      <c r="AD4615" s="38"/>
      <c r="AE4615" s="38"/>
      <c r="AF4615" s="38"/>
      <c r="AG4615" s="38"/>
      <c r="AH4615" s="38"/>
      <c r="AI4615" s="38"/>
      <c r="AJ4615" s="38"/>
      <c r="AK4615" s="38"/>
      <c r="AL4615" s="38"/>
      <c r="AM4615" s="38"/>
      <c r="AN4615" s="38"/>
      <c r="AO4615" s="38"/>
      <c r="AP4615" s="38"/>
      <c r="AQ4615" s="38"/>
      <c r="AR4615" s="38"/>
      <c r="AS4615" s="38"/>
      <c r="AT4615" s="38"/>
      <c r="AU4615" s="38"/>
      <c r="AV4615" s="38"/>
      <c r="AW4615" s="38"/>
      <c r="AX4615" s="38"/>
      <c r="AY4615" s="38"/>
      <c r="AZ4615" s="38"/>
      <c r="BA4615" s="38"/>
      <c r="BB4615" s="38"/>
      <c r="BC4615" s="38"/>
      <c r="BD4615" s="38"/>
      <c r="BE4615" s="38"/>
      <c r="BF4615" s="38"/>
      <c r="BG4615" s="38"/>
      <c r="BH4615" s="38"/>
      <c r="BI4615" s="38"/>
      <c r="BJ4615" s="38"/>
      <c r="BK4615" s="38"/>
      <c r="BL4615" s="38"/>
      <c r="BM4615" s="38"/>
      <c r="BN4615" s="38"/>
      <c r="BO4615" s="38"/>
      <c r="BP4615" s="38"/>
      <c r="BQ4615" s="38"/>
    </row>
    <row r="4616">
      <c r="A4616" s="16"/>
      <c r="B4616" s="145"/>
      <c r="C4616" s="146"/>
      <c r="D4616" s="146"/>
      <c r="E4616" s="16"/>
      <c r="F4616" s="91"/>
      <c r="G4616" s="16"/>
      <c r="H4616" s="320" t="str">
        <f t="shared" si="424"/>
        <v/>
      </c>
      <c r="I4616" s="16"/>
      <c r="J4616" s="16"/>
      <c r="K4616" s="16"/>
      <c r="L4616" s="16"/>
      <c r="M4616" s="15"/>
      <c r="N4616" s="15"/>
      <c r="O4616" s="16"/>
      <c r="P4616" s="16"/>
      <c r="Q4616" s="16"/>
      <c r="R4616" s="16"/>
      <c r="S4616" s="37" t="str">
        <f>IFERROR(__xludf.DUMMYFUNCTION("if(not(iserror(index(split(C4616, "" ""),2))), index(split(C4616, "" ""),1),"""")"),"")</f>
        <v/>
      </c>
      <c r="T4616" s="315" t="str">
        <f>IFERROR(__xludf.DUMMYFUNCTION("if(S4616="""",C4616,if(not(iserror(index(split(C4616, "" ""),3))), index(split(C4616, "" ""),3),index(split(C4616, "" ""),2)))"),"")</f>
        <v/>
      </c>
      <c r="U4616" s="38" t="b">
        <f t="shared" si="423"/>
        <v>0</v>
      </c>
      <c r="V4616" s="38"/>
      <c r="W4616" s="40"/>
      <c r="X4616" s="40"/>
      <c r="Y4616" s="40"/>
      <c r="Z4616" s="38"/>
      <c r="AA4616" s="38"/>
      <c r="AB4616" s="38"/>
      <c r="AC4616" s="38"/>
      <c r="AD4616" s="38"/>
      <c r="AE4616" s="38"/>
      <c r="AF4616" s="38"/>
      <c r="AG4616" s="38"/>
      <c r="AH4616" s="38"/>
      <c r="AI4616" s="38"/>
      <c r="AJ4616" s="38"/>
      <c r="AK4616" s="38"/>
      <c r="AL4616" s="38"/>
      <c r="AM4616" s="38"/>
      <c r="AN4616" s="38"/>
      <c r="AO4616" s="38"/>
      <c r="AP4616" s="38"/>
      <c r="AQ4616" s="38"/>
      <c r="AR4616" s="38"/>
      <c r="AS4616" s="38"/>
      <c r="AT4616" s="38"/>
      <c r="AU4616" s="38"/>
      <c r="AV4616" s="38"/>
      <c r="AW4616" s="38"/>
      <c r="AX4616" s="38"/>
      <c r="AY4616" s="38"/>
      <c r="AZ4616" s="38"/>
      <c r="BA4616" s="38"/>
      <c r="BB4616" s="38"/>
      <c r="BC4616" s="38"/>
      <c r="BD4616" s="38"/>
      <c r="BE4616" s="38"/>
      <c r="BF4616" s="38"/>
      <c r="BG4616" s="38"/>
      <c r="BH4616" s="38"/>
      <c r="BI4616" s="38"/>
      <c r="BJ4616" s="38"/>
      <c r="BK4616" s="38"/>
      <c r="BL4616" s="38"/>
      <c r="BM4616" s="38"/>
      <c r="BN4616" s="38"/>
      <c r="BO4616" s="38"/>
      <c r="BP4616" s="38"/>
      <c r="BQ4616" s="38"/>
    </row>
    <row r="4617">
      <c r="A4617" s="16"/>
      <c r="B4617" s="145"/>
      <c r="C4617" s="146"/>
      <c r="D4617" s="146"/>
      <c r="E4617" s="16"/>
      <c r="F4617" s="91"/>
      <c r="G4617" s="16"/>
      <c r="H4617" s="320" t="str">
        <f t="shared" si="424"/>
        <v/>
      </c>
      <c r="I4617" s="16"/>
      <c r="J4617" s="16"/>
      <c r="K4617" s="16"/>
      <c r="L4617" s="16"/>
      <c r="M4617" s="15"/>
      <c r="N4617" s="15"/>
      <c r="O4617" s="16"/>
      <c r="P4617" s="16"/>
      <c r="Q4617" s="16"/>
      <c r="R4617" s="16"/>
      <c r="S4617" s="37" t="str">
        <f>IFERROR(__xludf.DUMMYFUNCTION("if(not(iserror(index(split(C4617, "" ""),2))), index(split(C4617, "" ""),1),"""")"),"")</f>
        <v/>
      </c>
      <c r="T4617" s="315" t="str">
        <f>IFERROR(__xludf.DUMMYFUNCTION("if(S4617="""",C4617,if(not(iserror(index(split(C4617, "" ""),3))), index(split(C4617, "" ""),3),index(split(C4617, "" ""),2)))"),"")</f>
        <v/>
      </c>
      <c r="U4617" s="38" t="b">
        <f t="shared" si="423"/>
        <v>0</v>
      </c>
      <c r="V4617" s="38"/>
      <c r="W4617" s="40"/>
      <c r="X4617" s="40"/>
      <c r="Y4617" s="40"/>
      <c r="Z4617" s="38"/>
      <c r="AA4617" s="38"/>
      <c r="AB4617" s="38"/>
      <c r="AC4617" s="38"/>
      <c r="AD4617" s="38"/>
      <c r="AE4617" s="38"/>
      <c r="AF4617" s="38"/>
      <c r="AG4617" s="38"/>
      <c r="AH4617" s="38"/>
      <c r="AI4617" s="38"/>
      <c r="AJ4617" s="38"/>
      <c r="AK4617" s="38"/>
      <c r="AL4617" s="38"/>
      <c r="AM4617" s="38"/>
      <c r="AN4617" s="38"/>
      <c r="AO4617" s="38"/>
      <c r="AP4617" s="38"/>
      <c r="AQ4617" s="38"/>
      <c r="AR4617" s="38"/>
      <c r="AS4617" s="38"/>
      <c r="AT4617" s="38"/>
      <c r="AU4617" s="38"/>
      <c r="AV4617" s="38"/>
      <c r="AW4617" s="38"/>
      <c r="AX4617" s="38"/>
      <c r="AY4617" s="38"/>
      <c r="AZ4617" s="38"/>
      <c r="BA4617" s="38"/>
      <c r="BB4617" s="38"/>
      <c r="BC4617" s="38"/>
      <c r="BD4617" s="38"/>
      <c r="BE4617" s="38"/>
      <c r="BF4617" s="38"/>
      <c r="BG4617" s="38"/>
      <c r="BH4617" s="38"/>
      <c r="BI4617" s="38"/>
      <c r="BJ4617" s="38"/>
      <c r="BK4617" s="38"/>
      <c r="BL4617" s="38"/>
      <c r="BM4617" s="38"/>
      <c r="BN4617" s="38"/>
      <c r="BO4617" s="38"/>
      <c r="BP4617" s="38"/>
      <c r="BQ4617" s="38"/>
    </row>
    <row r="4618">
      <c r="A4618" s="16"/>
      <c r="B4618" s="145"/>
      <c r="C4618" s="146"/>
      <c r="D4618" s="146"/>
      <c r="E4618" s="16"/>
      <c r="F4618" s="91"/>
      <c r="G4618" s="16"/>
      <c r="H4618" s="320" t="str">
        <f t="shared" si="424"/>
        <v/>
      </c>
      <c r="I4618" s="16"/>
      <c r="J4618" s="16"/>
      <c r="K4618" s="16"/>
      <c r="L4618" s="16"/>
      <c r="M4618" s="15"/>
      <c r="N4618" s="15"/>
      <c r="O4618" s="16"/>
      <c r="P4618" s="16"/>
      <c r="Q4618" s="16"/>
      <c r="R4618" s="16"/>
      <c r="S4618" s="37" t="str">
        <f>IFERROR(__xludf.DUMMYFUNCTION("if(not(iserror(index(split(C4618, "" ""),2))), index(split(C4618, "" ""),1),"""")"),"")</f>
        <v/>
      </c>
      <c r="T4618" s="315" t="str">
        <f>IFERROR(__xludf.DUMMYFUNCTION("if(S4618="""",C4618,if(not(iserror(index(split(C4618, "" ""),3))), index(split(C4618, "" ""),3),index(split(C4618, "" ""),2)))"),"")</f>
        <v/>
      </c>
      <c r="U4618" s="38" t="b">
        <f t="shared" si="423"/>
        <v>0</v>
      </c>
      <c r="V4618" s="38"/>
      <c r="W4618" s="40"/>
      <c r="X4618" s="40"/>
      <c r="Y4618" s="40"/>
      <c r="Z4618" s="38"/>
      <c r="AA4618" s="38"/>
      <c r="AB4618" s="38"/>
      <c r="AC4618" s="38"/>
      <c r="AD4618" s="38"/>
      <c r="AE4618" s="38"/>
      <c r="AF4618" s="38"/>
      <c r="AG4618" s="38"/>
      <c r="AH4618" s="38"/>
      <c r="AI4618" s="38"/>
      <c r="AJ4618" s="38"/>
      <c r="AK4618" s="38"/>
      <c r="AL4618" s="38"/>
      <c r="AM4618" s="38"/>
      <c r="AN4618" s="38"/>
      <c r="AO4618" s="38"/>
      <c r="AP4618" s="38"/>
      <c r="AQ4618" s="38"/>
      <c r="AR4618" s="38"/>
      <c r="AS4618" s="38"/>
      <c r="AT4618" s="38"/>
      <c r="AU4618" s="38"/>
      <c r="AV4618" s="38"/>
      <c r="AW4618" s="38"/>
      <c r="AX4618" s="38"/>
      <c r="AY4618" s="38"/>
      <c r="AZ4618" s="38"/>
      <c r="BA4618" s="38"/>
      <c r="BB4618" s="38"/>
      <c r="BC4618" s="38"/>
      <c r="BD4618" s="38"/>
      <c r="BE4618" s="38"/>
      <c r="BF4618" s="38"/>
      <c r="BG4618" s="38"/>
      <c r="BH4618" s="38"/>
      <c r="BI4618" s="38"/>
      <c r="BJ4618" s="38"/>
      <c r="BK4618" s="38"/>
      <c r="BL4618" s="38"/>
      <c r="BM4618" s="38"/>
      <c r="BN4618" s="38"/>
      <c r="BO4618" s="38"/>
      <c r="BP4618" s="38"/>
      <c r="BQ4618" s="38"/>
    </row>
    <row r="4619">
      <c r="A4619" s="16"/>
      <c r="B4619" s="145"/>
      <c r="C4619" s="146"/>
      <c r="D4619" s="146"/>
      <c r="E4619" s="16"/>
      <c r="F4619" s="91"/>
      <c r="G4619" s="16"/>
      <c r="H4619" s="320" t="str">
        <f t="shared" si="424"/>
        <v/>
      </c>
      <c r="I4619" s="16"/>
      <c r="J4619" s="16"/>
      <c r="K4619" s="16"/>
      <c r="L4619" s="16"/>
      <c r="M4619" s="15"/>
      <c r="N4619" s="15"/>
      <c r="O4619" s="16"/>
      <c r="P4619" s="16"/>
      <c r="Q4619" s="16"/>
      <c r="R4619" s="16"/>
      <c r="S4619" s="37" t="str">
        <f>IFERROR(__xludf.DUMMYFUNCTION("if(not(iserror(index(split(C4619, "" ""),2))), index(split(C4619, "" ""),1),"""")"),"")</f>
        <v/>
      </c>
      <c r="T4619" s="315" t="str">
        <f>IFERROR(__xludf.DUMMYFUNCTION("if(S4619="""",C4619,if(not(iserror(index(split(C4619, "" ""),3))), index(split(C4619, "" ""),3),index(split(C4619, "" ""),2)))"),"")</f>
        <v/>
      </c>
      <c r="U4619" s="38" t="b">
        <f t="shared" si="423"/>
        <v>0</v>
      </c>
      <c r="V4619" s="38"/>
      <c r="W4619" s="40"/>
      <c r="X4619" s="40"/>
      <c r="Y4619" s="40"/>
      <c r="Z4619" s="38"/>
      <c r="AA4619" s="38"/>
      <c r="AB4619" s="38"/>
      <c r="AC4619" s="38"/>
      <c r="AD4619" s="38"/>
      <c r="AE4619" s="38"/>
      <c r="AF4619" s="38"/>
      <c r="AG4619" s="38"/>
      <c r="AH4619" s="38"/>
      <c r="AI4619" s="38"/>
      <c r="AJ4619" s="38"/>
      <c r="AK4619" s="38"/>
      <c r="AL4619" s="38"/>
      <c r="AM4619" s="38"/>
      <c r="AN4619" s="38"/>
      <c r="AO4619" s="38"/>
      <c r="AP4619" s="38"/>
      <c r="AQ4619" s="38"/>
      <c r="AR4619" s="38"/>
      <c r="AS4619" s="38"/>
      <c r="AT4619" s="38"/>
      <c r="AU4619" s="38"/>
      <c r="AV4619" s="38"/>
      <c r="AW4619" s="38"/>
      <c r="AX4619" s="38"/>
      <c r="AY4619" s="38"/>
      <c r="AZ4619" s="38"/>
      <c r="BA4619" s="38"/>
      <c r="BB4619" s="38"/>
      <c r="BC4619" s="38"/>
      <c r="BD4619" s="38"/>
      <c r="BE4619" s="38"/>
      <c r="BF4619" s="38"/>
      <c r="BG4619" s="38"/>
      <c r="BH4619" s="38"/>
      <c r="BI4619" s="38"/>
      <c r="BJ4619" s="38"/>
      <c r="BK4619" s="38"/>
      <c r="BL4619" s="38"/>
      <c r="BM4619" s="38"/>
      <c r="BN4619" s="38"/>
      <c r="BO4619" s="38"/>
      <c r="BP4619" s="38"/>
      <c r="BQ4619" s="38"/>
    </row>
    <row r="4620">
      <c r="A4620" s="16"/>
      <c r="B4620" s="145"/>
      <c r="C4620" s="146"/>
      <c r="D4620" s="146"/>
      <c r="E4620" s="16"/>
      <c r="F4620" s="91"/>
      <c r="G4620" s="16"/>
      <c r="H4620" s="320" t="str">
        <f t="shared" si="424"/>
        <v/>
      </c>
      <c r="I4620" s="16"/>
      <c r="J4620" s="16"/>
      <c r="K4620" s="16"/>
      <c r="L4620" s="16"/>
      <c r="M4620" s="15"/>
      <c r="N4620" s="15"/>
      <c r="O4620" s="16"/>
      <c r="P4620" s="16"/>
      <c r="Q4620" s="16"/>
      <c r="R4620" s="16"/>
      <c r="S4620" s="37" t="str">
        <f>IFERROR(__xludf.DUMMYFUNCTION("if(not(iserror(index(split(C4620, "" ""),2))), index(split(C4620, "" ""),1),"""")"),"")</f>
        <v/>
      </c>
      <c r="T4620" s="315" t="str">
        <f>IFERROR(__xludf.DUMMYFUNCTION("if(S4620="""",C4620,if(not(iserror(index(split(C4620, "" ""),3))), index(split(C4620, "" ""),3),index(split(C4620, "" ""),2)))"),"")</f>
        <v/>
      </c>
      <c r="U4620" s="38" t="b">
        <f t="shared" si="423"/>
        <v>0</v>
      </c>
      <c r="V4620" s="38"/>
      <c r="W4620" s="40"/>
      <c r="X4620" s="40"/>
      <c r="Y4620" s="40"/>
      <c r="Z4620" s="38"/>
      <c r="AA4620" s="38"/>
      <c r="AB4620" s="38"/>
      <c r="AC4620" s="38"/>
      <c r="AD4620" s="38"/>
      <c r="AE4620" s="38"/>
      <c r="AF4620" s="38"/>
      <c r="AG4620" s="38"/>
      <c r="AH4620" s="38"/>
      <c r="AI4620" s="38"/>
      <c r="AJ4620" s="38"/>
      <c r="AK4620" s="38"/>
      <c r="AL4620" s="38"/>
      <c r="AM4620" s="38"/>
      <c r="AN4620" s="38"/>
      <c r="AO4620" s="38"/>
      <c r="AP4620" s="38"/>
      <c r="AQ4620" s="38"/>
      <c r="AR4620" s="38"/>
      <c r="AS4620" s="38"/>
      <c r="AT4620" s="38"/>
      <c r="AU4620" s="38"/>
      <c r="AV4620" s="38"/>
      <c r="AW4620" s="38"/>
      <c r="AX4620" s="38"/>
      <c r="AY4620" s="38"/>
      <c r="AZ4620" s="38"/>
      <c r="BA4620" s="38"/>
      <c r="BB4620" s="38"/>
      <c r="BC4620" s="38"/>
      <c r="BD4620" s="38"/>
      <c r="BE4620" s="38"/>
      <c r="BF4620" s="38"/>
      <c r="BG4620" s="38"/>
      <c r="BH4620" s="38"/>
      <c r="BI4620" s="38"/>
      <c r="BJ4620" s="38"/>
      <c r="BK4620" s="38"/>
      <c r="BL4620" s="38"/>
      <c r="BM4620" s="38"/>
      <c r="BN4620" s="38"/>
      <c r="BO4620" s="38"/>
      <c r="BP4620" s="38"/>
      <c r="BQ4620" s="38"/>
    </row>
    <row r="4621">
      <c r="A4621" s="16"/>
      <c r="B4621" s="145"/>
      <c r="C4621" s="146"/>
      <c r="D4621" s="146"/>
      <c r="E4621" s="16"/>
      <c r="F4621" s="91"/>
      <c r="G4621" s="16"/>
      <c r="H4621" s="320" t="str">
        <f t="shared" si="424"/>
        <v/>
      </c>
      <c r="I4621" s="16"/>
      <c r="J4621" s="16"/>
      <c r="K4621" s="16"/>
      <c r="L4621" s="16"/>
      <c r="M4621" s="15"/>
      <c r="N4621" s="15"/>
      <c r="O4621" s="16"/>
      <c r="P4621" s="16"/>
      <c r="Q4621" s="16"/>
      <c r="R4621" s="16"/>
      <c r="S4621" s="37" t="str">
        <f>IFERROR(__xludf.DUMMYFUNCTION("if(not(iserror(index(split(C4621, "" ""),2))), index(split(C4621, "" ""),1),"""")"),"")</f>
        <v/>
      </c>
      <c r="T4621" s="315" t="str">
        <f>IFERROR(__xludf.DUMMYFUNCTION("if(S4621="""",C4621,if(not(iserror(index(split(C4621, "" ""),3))), index(split(C4621, "" ""),3),index(split(C4621, "" ""),2)))"),"")</f>
        <v/>
      </c>
      <c r="U4621" s="38" t="b">
        <f t="shared" si="423"/>
        <v>0</v>
      </c>
      <c r="V4621" s="38"/>
      <c r="W4621" s="40"/>
      <c r="X4621" s="40"/>
      <c r="Y4621" s="40"/>
      <c r="Z4621" s="38"/>
      <c r="AA4621" s="38"/>
      <c r="AB4621" s="38"/>
      <c r="AC4621" s="38"/>
      <c r="AD4621" s="38"/>
      <c r="AE4621" s="38"/>
      <c r="AF4621" s="38"/>
      <c r="AG4621" s="38"/>
      <c r="AH4621" s="38"/>
      <c r="AI4621" s="38"/>
      <c r="AJ4621" s="38"/>
      <c r="AK4621" s="38"/>
      <c r="AL4621" s="38"/>
      <c r="AM4621" s="38"/>
      <c r="AN4621" s="38"/>
      <c r="AO4621" s="38"/>
      <c r="AP4621" s="38"/>
      <c r="AQ4621" s="38"/>
      <c r="AR4621" s="38"/>
      <c r="AS4621" s="38"/>
      <c r="AT4621" s="38"/>
      <c r="AU4621" s="38"/>
      <c r="AV4621" s="38"/>
      <c r="AW4621" s="38"/>
      <c r="AX4621" s="38"/>
      <c r="AY4621" s="38"/>
      <c r="AZ4621" s="38"/>
      <c r="BA4621" s="38"/>
      <c r="BB4621" s="38"/>
      <c r="BC4621" s="38"/>
      <c r="BD4621" s="38"/>
      <c r="BE4621" s="38"/>
      <c r="BF4621" s="38"/>
      <c r="BG4621" s="38"/>
      <c r="BH4621" s="38"/>
      <c r="BI4621" s="38"/>
      <c r="BJ4621" s="38"/>
      <c r="BK4621" s="38"/>
      <c r="BL4621" s="38"/>
      <c r="BM4621" s="38"/>
      <c r="BN4621" s="38"/>
      <c r="BO4621" s="38"/>
      <c r="BP4621" s="38"/>
      <c r="BQ4621" s="38"/>
    </row>
    <row r="4622">
      <c r="A4622" s="16"/>
      <c r="B4622" s="145"/>
      <c r="C4622" s="146"/>
      <c r="D4622" s="146"/>
      <c r="E4622" s="16"/>
      <c r="F4622" s="91"/>
      <c r="G4622" s="16"/>
      <c r="H4622" s="320" t="str">
        <f t="shared" si="424"/>
        <v/>
      </c>
      <c r="I4622" s="16"/>
      <c r="J4622" s="16"/>
      <c r="K4622" s="16"/>
      <c r="L4622" s="16"/>
      <c r="M4622" s="15"/>
      <c r="N4622" s="15"/>
      <c r="O4622" s="16"/>
      <c r="P4622" s="16"/>
      <c r="Q4622" s="16"/>
      <c r="R4622" s="16"/>
      <c r="S4622" s="37" t="str">
        <f>IFERROR(__xludf.DUMMYFUNCTION("if(not(iserror(index(split(C4622, "" ""),2))), index(split(C4622, "" ""),1),"""")"),"")</f>
        <v/>
      </c>
      <c r="T4622" s="315" t="str">
        <f>IFERROR(__xludf.DUMMYFUNCTION("if(S4622="""",C4622,if(not(iserror(index(split(C4622, "" ""),3))), index(split(C4622, "" ""),3),index(split(C4622, "" ""),2)))"),"")</f>
        <v/>
      </c>
      <c r="U4622" s="38" t="b">
        <f t="shared" si="423"/>
        <v>0</v>
      </c>
      <c r="V4622" s="38"/>
      <c r="W4622" s="40"/>
      <c r="X4622" s="40"/>
      <c r="Y4622" s="40"/>
      <c r="Z4622" s="38"/>
      <c r="AA4622" s="38"/>
      <c r="AB4622" s="38"/>
      <c r="AC4622" s="38"/>
      <c r="AD4622" s="38"/>
      <c r="AE4622" s="38"/>
      <c r="AF4622" s="38"/>
      <c r="AG4622" s="38"/>
      <c r="AH4622" s="38"/>
      <c r="AI4622" s="38"/>
      <c r="AJ4622" s="38"/>
      <c r="AK4622" s="38"/>
      <c r="AL4622" s="38"/>
      <c r="AM4622" s="38"/>
      <c r="AN4622" s="38"/>
      <c r="AO4622" s="38"/>
      <c r="AP4622" s="38"/>
      <c r="AQ4622" s="38"/>
      <c r="AR4622" s="38"/>
      <c r="AS4622" s="38"/>
      <c r="AT4622" s="38"/>
      <c r="AU4622" s="38"/>
      <c r="AV4622" s="38"/>
      <c r="AW4622" s="38"/>
      <c r="AX4622" s="38"/>
      <c r="AY4622" s="38"/>
      <c r="AZ4622" s="38"/>
      <c r="BA4622" s="38"/>
      <c r="BB4622" s="38"/>
      <c r="BC4622" s="38"/>
      <c r="BD4622" s="38"/>
      <c r="BE4622" s="38"/>
      <c r="BF4622" s="38"/>
      <c r="BG4622" s="38"/>
      <c r="BH4622" s="38"/>
      <c r="BI4622" s="38"/>
      <c r="BJ4622" s="38"/>
      <c r="BK4622" s="38"/>
      <c r="BL4622" s="38"/>
      <c r="BM4622" s="38"/>
      <c r="BN4622" s="38"/>
      <c r="BO4622" s="38"/>
      <c r="BP4622" s="38"/>
      <c r="BQ4622" s="38"/>
    </row>
    <row r="4623">
      <c r="A4623" s="16"/>
      <c r="B4623" s="145"/>
      <c r="C4623" s="146"/>
      <c r="D4623" s="146"/>
      <c r="E4623" s="16"/>
      <c r="F4623" s="91"/>
      <c r="G4623" s="16"/>
      <c r="H4623" s="320" t="str">
        <f t="shared" si="424"/>
        <v/>
      </c>
      <c r="I4623" s="16"/>
      <c r="J4623" s="16"/>
      <c r="K4623" s="16"/>
      <c r="L4623" s="16"/>
      <c r="M4623" s="15"/>
      <c r="N4623" s="15"/>
      <c r="O4623" s="16"/>
      <c r="P4623" s="16"/>
      <c r="Q4623" s="16"/>
      <c r="R4623" s="16"/>
      <c r="S4623" s="37" t="str">
        <f>IFERROR(__xludf.DUMMYFUNCTION("if(not(iserror(index(split(C4623, "" ""),2))), index(split(C4623, "" ""),1),"""")"),"")</f>
        <v/>
      </c>
      <c r="T4623" s="315" t="str">
        <f>IFERROR(__xludf.DUMMYFUNCTION("if(S4623="""",C4623,if(not(iserror(index(split(C4623, "" ""),3))), index(split(C4623, "" ""),3),index(split(C4623, "" ""),2)))"),"")</f>
        <v/>
      </c>
      <c r="U4623" s="38" t="b">
        <f t="shared" si="423"/>
        <v>0</v>
      </c>
      <c r="V4623" s="38"/>
      <c r="W4623" s="40"/>
      <c r="X4623" s="40"/>
      <c r="Y4623" s="40"/>
      <c r="Z4623" s="38"/>
      <c r="AA4623" s="38"/>
      <c r="AB4623" s="38"/>
      <c r="AC4623" s="38"/>
      <c r="AD4623" s="38"/>
      <c r="AE4623" s="38"/>
      <c r="AF4623" s="38"/>
      <c r="AG4623" s="38"/>
      <c r="AH4623" s="38"/>
      <c r="AI4623" s="38"/>
      <c r="AJ4623" s="38"/>
      <c r="AK4623" s="38"/>
      <c r="AL4623" s="38"/>
      <c r="AM4623" s="38"/>
      <c r="AN4623" s="38"/>
      <c r="AO4623" s="38"/>
      <c r="AP4623" s="38"/>
      <c r="AQ4623" s="38"/>
      <c r="AR4623" s="38"/>
      <c r="AS4623" s="38"/>
      <c r="AT4623" s="38"/>
      <c r="AU4623" s="38"/>
      <c r="AV4623" s="38"/>
      <c r="AW4623" s="38"/>
      <c r="AX4623" s="38"/>
      <c r="AY4623" s="38"/>
      <c r="AZ4623" s="38"/>
      <c r="BA4623" s="38"/>
      <c r="BB4623" s="38"/>
      <c r="BC4623" s="38"/>
      <c r="BD4623" s="38"/>
      <c r="BE4623" s="38"/>
      <c r="BF4623" s="38"/>
      <c r="BG4623" s="38"/>
      <c r="BH4623" s="38"/>
      <c r="BI4623" s="38"/>
      <c r="BJ4623" s="38"/>
      <c r="BK4623" s="38"/>
      <c r="BL4623" s="38"/>
      <c r="BM4623" s="38"/>
      <c r="BN4623" s="38"/>
      <c r="BO4623" s="38"/>
      <c r="BP4623" s="38"/>
      <c r="BQ4623" s="38"/>
    </row>
    <row r="4624">
      <c r="A4624" s="16"/>
      <c r="B4624" s="145"/>
      <c r="C4624" s="146"/>
      <c r="D4624" s="146"/>
      <c r="E4624" s="16"/>
      <c r="F4624" s="91"/>
      <c r="G4624" s="16"/>
      <c r="H4624" s="320" t="str">
        <f t="shared" si="424"/>
        <v/>
      </c>
      <c r="I4624" s="16"/>
      <c r="J4624" s="16"/>
      <c r="K4624" s="16"/>
      <c r="L4624" s="16"/>
      <c r="M4624" s="15"/>
      <c r="N4624" s="15"/>
      <c r="O4624" s="16"/>
      <c r="P4624" s="16"/>
      <c r="Q4624" s="16"/>
      <c r="R4624" s="16"/>
      <c r="S4624" s="37" t="str">
        <f>IFERROR(__xludf.DUMMYFUNCTION("if(not(iserror(index(split(C4624, "" ""),2))), index(split(C4624, "" ""),1),"""")"),"")</f>
        <v/>
      </c>
      <c r="T4624" s="315" t="str">
        <f>IFERROR(__xludf.DUMMYFUNCTION("if(S4624="""",C4624,if(not(iserror(index(split(C4624, "" ""),3))), index(split(C4624, "" ""),3),index(split(C4624, "" ""),2)))"),"")</f>
        <v/>
      </c>
      <c r="U4624" s="38" t="b">
        <f t="shared" si="423"/>
        <v>0</v>
      </c>
      <c r="V4624" s="38"/>
      <c r="W4624" s="40"/>
      <c r="X4624" s="40"/>
      <c r="Y4624" s="40"/>
      <c r="Z4624" s="38"/>
      <c r="AA4624" s="38"/>
      <c r="AB4624" s="38"/>
      <c r="AC4624" s="38"/>
      <c r="AD4624" s="38"/>
      <c r="AE4624" s="38"/>
      <c r="AF4624" s="38"/>
      <c r="AG4624" s="38"/>
      <c r="AH4624" s="38"/>
      <c r="AI4624" s="38"/>
      <c r="AJ4624" s="38"/>
      <c r="AK4624" s="38"/>
      <c r="AL4624" s="38"/>
      <c r="AM4624" s="38"/>
      <c r="AN4624" s="38"/>
      <c r="AO4624" s="38"/>
      <c r="AP4624" s="38"/>
      <c r="AQ4624" s="38"/>
      <c r="AR4624" s="38"/>
      <c r="AS4624" s="38"/>
      <c r="AT4624" s="38"/>
      <c r="AU4624" s="38"/>
      <c r="AV4624" s="38"/>
      <c r="AW4624" s="38"/>
      <c r="AX4624" s="38"/>
      <c r="AY4624" s="38"/>
      <c r="AZ4624" s="38"/>
      <c r="BA4624" s="38"/>
      <c r="BB4624" s="38"/>
      <c r="BC4624" s="38"/>
      <c r="BD4624" s="38"/>
      <c r="BE4624" s="38"/>
      <c r="BF4624" s="38"/>
      <c r="BG4624" s="38"/>
      <c r="BH4624" s="38"/>
      <c r="BI4624" s="38"/>
      <c r="BJ4624" s="38"/>
      <c r="BK4624" s="38"/>
      <c r="BL4624" s="38"/>
      <c r="BM4624" s="38"/>
      <c r="BN4624" s="38"/>
      <c r="BO4624" s="38"/>
      <c r="BP4624" s="38"/>
      <c r="BQ4624" s="38"/>
    </row>
    <row r="4625">
      <c r="A4625" s="16"/>
      <c r="B4625" s="145"/>
      <c r="C4625" s="146"/>
      <c r="D4625" s="146"/>
      <c r="E4625" s="16"/>
      <c r="F4625" s="91"/>
      <c r="G4625" s="16"/>
      <c r="H4625" s="320" t="str">
        <f t="shared" si="424"/>
        <v/>
      </c>
      <c r="I4625" s="16"/>
      <c r="J4625" s="16"/>
      <c r="K4625" s="16"/>
      <c r="L4625" s="16"/>
      <c r="M4625" s="15"/>
      <c r="N4625" s="15"/>
      <c r="O4625" s="16"/>
      <c r="P4625" s="16"/>
      <c r="Q4625" s="16"/>
      <c r="R4625" s="16"/>
      <c r="S4625" s="37" t="str">
        <f>IFERROR(__xludf.DUMMYFUNCTION("if(not(iserror(index(split(C4625, "" ""),2))), index(split(C4625, "" ""),1),"""")"),"")</f>
        <v/>
      </c>
      <c r="T4625" s="315" t="str">
        <f>IFERROR(__xludf.DUMMYFUNCTION("if(S4625="""",C4625,if(not(iserror(index(split(C4625, "" ""),3))), index(split(C4625, "" ""),3),index(split(C4625, "" ""),2)))"),"")</f>
        <v/>
      </c>
      <c r="U4625" s="38" t="b">
        <f t="shared" si="423"/>
        <v>0</v>
      </c>
      <c r="V4625" s="38"/>
      <c r="W4625" s="40"/>
      <c r="X4625" s="40"/>
      <c r="Y4625" s="40"/>
      <c r="Z4625" s="38"/>
      <c r="AA4625" s="38"/>
      <c r="AB4625" s="38"/>
      <c r="AC4625" s="38"/>
      <c r="AD4625" s="38"/>
      <c r="AE4625" s="38"/>
      <c r="AF4625" s="38"/>
      <c r="AG4625" s="38"/>
      <c r="AH4625" s="38"/>
      <c r="AI4625" s="38"/>
      <c r="AJ4625" s="38"/>
      <c r="AK4625" s="38"/>
      <c r="AL4625" s="38"/>
      <c r="AM4625" s="38"/>
      <c r="AN4625" s="38"/>
      <c r="AO4625" s="38"/>
      <c r="AP4625" s="38"/>
      <c r="AQ4625" s="38"/>
      <c r="AR4625" s="38"/>
      <c r="AS4625" s="38"/>
      <c r="AT4625" s="38"/>
      <c r="AU4625" s="38"/>
      <c r="AV4625" s="38"/>
      <c r="AW4625" s="38"/>
      <c r="AX4625" s="38"/>
      <c r="AY4625" s="38"/>
      <c r="AZ4625" s="38"/>
      <c r="BA4625" s="38"/>
      <c r="BB4625" s="38"/>
      <c r="BC4625" s="38"/>
      <c r="BD4625" s="38"/>
      <c r="BE4625" s="38"/>
      <c r="BF4625" s="38"/>
      <c r="BG4625" s="38"/>
      <c r="BH4625" s="38"/>
      <c r="BI4625" s="38"/>
      <c r="BJ4625" s="38"/>
      <c r="BK4625" s="38"/>
      <c r="BL4625" s="38"/>
      <c r="BM4625" s="38"/>
      <c r="BN4625" s="38"/>
      <c r="BO4625" s="38"/>
      <c r="BP4625" s="38"/>
      <c r="BQ4625" s="38"/>
    </row>
    <row r="4626">
      <c r="A4626" s="16"/>
      <c r="B4626" s="145"/>
      <c r="C4626" s="146"/>
      <c r="D4626" s="146"/>
      <c r="E4626" s="16"/>
      <c r="F4626" s="91"/>
      <c r="G4626" s="16"/>
      <c r="H4626" s="320" t="str">
        <f t="shared" si="424"/>
        <v/>
      </c>
      <c r="I4626" s="16"/>
      <c r="J4626" s="16"/>
      <c r="K4626" s="16"/>
      <c r="L4626" s="16"/>
      <c r="M4626" s="15"/>
      <c r="N4626" s="15"/>
      <c r="O4626" s="16"/>
      <c r="P4626" s="16"/>
      <c r="Q4626" s="16"/>
      <c r="R4626" s="16"/>
      <c r="S4626" s="37" t="str">
        <f>IFERROR(__xludf.DUMMYFUNCTION("if(not(iserror(index(split(C4626, "" ""),2))), index(split(C4626, "" ""),1),"""")"),"")</f>
        <v/>
      </c>
      <c r="T4626" s="315" t="str">
        <f>IFERROR(__xludf.DUMMYFUNCTION("if(S4626="""",C4626,if(not(iserror(index(split(C4626, "" ""),3))), index(split(C4626, "" ""),3),index(split(C4626, "" ""),2)))"),"")</f>
        <v/>
      </c>
      <c r="U4626" s="38" t="b">
        <f t="shared" si="423"/>
        <v>0</v>
      </c>
      <c r="V4626" s="38"/>
      <c r="W4626" s="40"/>
      <c r="X4626" s="40"/>
      <c r="Y4626" s="40"/>
      <c r="Z4626" s="38"/>
      <c r="AA4626" s="38"/>
      <c r="AB4626" s="38"/>
      <c r="AC4626" s="38"/>
      <c r="AD4626" s="38"/>
      <c r="AE4626" s="38"/>
      <c r="AF4626" s="38"/>
      <c r="AG4626" s="38"/>
      <c r="AH4626" s="38"/>
      <c r="AI4626" s="38"/>
      <c r="AJ4626" s="38"/>
      <c r="AK4626" s="38"/>
      <c r="AL4626" s="38"/>
      <c r="AM4626" s="38"/>
      <c r="AN4626" s="38"/>
      <c r="AO4626" s="38"/>
      <c r="AP4626" s="38"/>
      <c r="AQ4626" s="38"/>
      <c r="AR4626" s="38"/>
      <c r="AS4626" s="38"/>
      <c r="AT4626" s="38"/>
      <c r="AU4626" s="38"/>
      <c r="AV4626" s="38"/>
      <c r="AW4626" s="38"/>
      <c r="AX4626" s="38"/>
      <c r="AY4626" s="38"/>
      <c r="AZ4626" s="38"/>
      <c r="BA4626" s="38"/>
      <c r="BB4626" s="38"/>
      <c r="BC4626" s="38"/>
      <c r="BD4626" s="38"/>
      <c r="BE4626" s="38"/>
      <c r="BF4626" s="38"/>
      <c r="BG4626" s="38"/>
      <c r="BH4626" s="38"/>
      <c r="BI4626" s="38"/>
      <c r="BJ4626" s="38"/>
      <c r="BK4626" s="38"/>
      <c r="BL4626" s="38"/>
      <c r="BM4626" s="38"/>
      <c r="BN4626" s="38"/>
      <c r="BO4626" s="38"/>
      <c r="BP4626" s="38"/>
      <c r="BQ4626" s="38"/>
    </row>
    <row r="4627">
      <c r="A4627" s="16"/>
      <c r="B4627" s="145"/>
      <c r="C4627" s="146"/>
      <c r="D4627" s="146"/>
      <c r="E4627" s="16"/>
      <c r="F4627" s="91"/>
      <c r="G4627" s="16"/>
      <c r="H4627" s="320" t="str">
        <f t="shared" si="424"/>
        <v/>
      </c>
      <c r="I4627" s="16"/>
      <c r="J4627" s="16"/>
      <c r="K4627" s="16"/>
      <c r="L4627" s="16"/>
      <c r="M4627" s="15"/>
      <c r="N4627" s="15"/>
      <c r="O4627" s="16"/>
      <c r="P4627" s="16"/>
      <c r="Q4627" s="16"/>
      <c r="R4627" s="16"/>
      <c r="S4627" s="37" t="str">
        <f>IFERROR(__xludf.DUMMYFUNCTION("if(not(iserror(index(split(C4627, "" ""),2))), index(split(C4627, "" ""),1),"""")"),"")</f>
        <v/>
      </c>
      <c r="T4627" s="315" t="str">
        <f>IFERROR(__xludf.DUMMYFUNCTION("if(S4627="""",C4627,if(not(iserror(index(split(C4627, "" ""),3))), index(split(C4627, "" ""),3),index(split(C4627, "" ""),2)))"),"")</f>
        <v/>
      </c>
      <c r="U4627" s="38" t="b">
        <f t="shared" si="423"/>
        <v>0</v>
      </c>
      <c r="V4627" s="38"/>
      <c r="W4627" s="40"/>
      <c r="X4627" s="40"/>
      <c r="Y4627" s="40"/>
      <c r="Z4627" s="38"/>
      <c r="AA4627" s="38"/>
      <c r="AB4627" s="38"/>
      <c r="AC4627" s="38"/>
      <c r="AD4627" s="38"/>
      <c r="AE4627" s="38"/>
      <c r="AF4627" s="38"/>
      <c r="AG4627" s="38"/>
      <c r="AH4627" s="38"/>
      <c r="AI4627" s="38"/>
      <c r="AJ4627" s="38"/>
      <c r="AK4627" s="38"/>
      <c r="AL4627" s="38"/>
      <c r="AM4627" s="38"/>
      <c r="AN4627" s="38"/>
      <c r="AO4627" s="38"/>
      <c r="AP4627" s="38"/>
      <c r="AQ4627" s="38"/>
      <c r="AR4627" s="38"/>
      <c r="AS4627" s="38"/>
      <c r="AT4627" s="38"/>
      <c r="AU4627" s="38"/>
      <c r="AV4627" s="38"/>
      <c r="AW4627" s="38"/>
      <c r="AX4627" s="38"/>
      <c r="AY4627" s="38"/>
      <c r="AZ4627" s="38"/>
      <c r="BA4627" s="38"/>
      <c r="BB4627" s="38"/>
      <c r="BC4627" s="38"/>
      <c r="BD4627" s="38"/>
      <c r="BE4627" s="38"/>
      <c r="BF4627" s="38"/>
      <c r="BG4627" s="38"/>
      <c r="BH4627" s="38"/>
      <c r="BI4627" s="38"/>
      <c r="BJ4627" s="38"/>
      <c r="BK4627" s="38"/>
      <c r="BL4627" s="38"/>
      <c r="BM4627" s="38"/>
      <c r="BN4627" s="38"/>
      <c r="BO4627" s="38"/>
      <c r="BP4627" s="38"/>
      <c r="BQ4627" s="38"/>
    </row>
    <row r="4628">
      <c r="A4628" s="16"/>
      <c r="B4628" s="145"/>
      <c r="C4628" s="146"/>
      <c r="D4628" s="146"/>
      <c r="E4628" s="16"/>
      <c r="F4628" s="91"/>
      <c r="G4628" s="16"/>
      <c r="H4628" s="320" t="str">
        <f t="shared" si="424"/>
        <v/>
      </c>
      <c r="I4628" s="16"/>
      <c r="J4628" s="16"/>
      <c r="K4628" s="16"/>
      <c r="L4628" s="16"/>
      <c r="M4628" s="15"/>
      <c r="N4628" s="15"/>
      <c r="O4628" s="16"/>
      <c r="P4628" s="16"/>
      <c r="Q4628" s="16"/>
      <c r="R4628" s="16"/>
      <c r="S4628" s="37" t="str">
        <f>IFERROR(__xludf.DUMMYFUNCTION("if(not(iserror(index(split(C4628, "" ""),2))), index(split(C4628, "" ""),1),"""")"),"")</f>
        <v/>
      </c>
      <c r="T4628" s="315" t="str">
        <f>IFERROR(__xludf.DUMMYFUNCTION("if(S4628="""",C4628,if(not(iserror(index(split(C4628, "" ""),3))), index(split(C4628, "" ""),3),index(split(C4628, "" ""),2)))"),"")</f>
        <v/>
      </c>
      <c r="U4628" s="38" t="b">
        <f t="shared" si="423"/>
        <v>0</v>
      </c>
      <c r="V4628" s="38"/>
      <c r="W4628" s="40"/>
      <c r="X4628" s="40"/>
      <c r="Y4628" s="40"/>
      <c r="Z4628" s="38"/>
      <c r="AA4628" s="38"/>
      <c r="AB4628" s="38"/>
      <c r="AC4628" s="38"/>
      <c r="AD4628" s="38"/>
      <c r="AE4628" s="38"/>
      <c r="AF4628" s="38"/>
      <c r="AG4628" s="38"/>
      <c r="AH4628" s="38"/>
      <c r="AI4628" s="38"/>
      <c r="AJ4628" s="38"/>
      <c r="AK4628" s="38"/>
      <c r="AL4628" s="38"/>
      <c r="AM4628" s="38"/>
      <c r="AN4628" s="38"/>
      <c r="AO4628" s="38"/>
      <c r="AP4628" s="38"/>
      <c r="AQ4628" s="38"/>
      <c r="AR4628" s="38"/>
      <c r="AS4628" s="38"/>
      <c r="AT4628" s="38"/>
      <c r="AU4628" s="38"/>
      <c r="AV4628" s="38"/>
      <c r="AW4628" s="38"/>
      <c r="AX4628" s="38"/>
      <c r="AY4628" s="38"/>
      <c r="AZ4628" s="38"/>
      <c r="BA4628" s="38"/>
      <c r="BB4628" s="38"/>
      <c r="BC4628" s="38"/>
      <c r="BD4628" s="38"/>
      <c r="BE4628" s="38"/>
      <c r="BF4628" s="38"/>
      <c r="BG4628" s="38"/>
      <c r="BH4628" s="38"/>
      <c r="BI4628" s="38"/>
      <c r="BJ4628" s="38"/>
      <c r="BK4628" s="38"/>
      <c r="BL4628" s="38"/>
      <c r="BM4628" s="38"/>
      <c r="BN4628" s="38"/>
      <c r="BO4628" s="38"/>
      <c r="BP4628" s="38"/>
      <c r="BQ4628" s="38"/>
    </row>
    <row r="4629">
      <c r="A4629" s="16"/>
      <c r="B4629" s="145"/>
      <c r="C4629" s="146"/>
      <c r="D4629" s="146"/>
      <c r="E4629" s="16"/>
      <c r="F4629" s="91"/>
      <c r="G4629" s="16"/>
      <c r="H4629" s="320" t="str">
        <f t="shared" si="424"/>
        <v/>
      </c>
      <c r="I4629" s="16"/>
      <c r="J4629" s="16"/>
      <c r="K4629" s="16"/>
      <c r="L4629" s="16"/>
      <c r="M4629" s="15"/>
      <c r="N4629" s="15"/>
      <c r="O4629" s="16"/>
      <c r="P4629" s="16"/>
      <c r="Q4629" s="16"/>
      <c r="R4629" s="16"/>
      <c r="S4629" s="37" t="str">
        <f>IFERROR(__xludf.DUMMYFUNCTION("if(not(iserror(index(split(C4629, "" ""),2))), index(split(C4629, "" ""),1),"""")"),"")</f>
        <v/>
      </c>
      <c r="T4629" s="315" t="str">
        <f>IFERROR(__xludf.DUMMYFUNCTION("if(S4629="""",C4629,if(not(iserror(index(split(C4629, "" ""),3))), index(split(C4629, "" ""),3),index(split(C4629, "" ""),2)))"),"")</f>
        <v/>
      </c>
      <c r="U4629" s="38" t="b">
        <f t="shared" si="423"/>
        <v>0</v>
      </c>
      <c r="V4629" s="38"/>
      <c r="W4629" s="40"/>
      <c r="X4629" s="40"/>
      <c r="Y4629" s="40"/>
      <c r="Z4629" s="38"/>
      <c r="AA4629" s="38"/>
      <c r="AB4629" s="38"/>
      <c r="AC4629" s="38"/>
      <c r="AD4629" s="38"/>
      <c r="AE4629" s="38"/>
      <c r="AF4629" s="38"/>
      <c r="AG4629" s="38"/>
      <c r="AH4629" s="38"/>
      <c r="AI4629" s="38"/>
      <c r="AJ4629" s="38"/>
      <c r="AK4629" s="38"/>
      <c r="AL4629" s="38"/>
      <c r="AM4629" s="38"/>
      <c r="AN4629" s="38"/>
      <c r="AO4629" s="38"/>
      <c r="AP4629" s="38"/>
      <c r="AQ4629" s="38"/>
      <c r="AR4629" s="38"/>
      <c r="AS4629" s="38"/>
      <c r="AT4629" s="38"/>
      <c r="AU4629" s="38"/>
      <c r="AV4629" s="38"/>
      <c r="AW4629" s="38"/>
      <c r="AX4629" s="38"/>
      <c r="AY4629" s="38"/>
      <c r="AZ4629" s="38"/>
      <c r="BA4629" s="38"/>
      <c r="BB4629" s="38"/>
      <c r="BC4629" s="38"/>
      <c r="BD4629" s="38"/>
      <c r="BE4629" s="38"/>
      <c r="BF4629" s="38"/>
      <c r="BG4629" s="38"/>
      <c r="BH4629" s="38"/>
      <c r="BI4629" s="38"/>
      <c r="BJ4629" s="38"/>
      <c r="BK4629" s="38"/>
      <c r="BL4629" s="38"/>
      <c r="BM4629" s="38"/>
      <c r="BN4629" s="38"/>
      <c r="BO4629" s="38"/>
      <c r="BP4629" s="38"/>
      <c r="BQ4629" s="38"/>
    </row>
    <row r="4630">
      <c r="A4630" s="16"/>
      <c r="B4630" s="145"/>
      <c r="C4630" s="146"/>
      <c r="D4630" s="146"/>
      <c r="E4630" s="16"/>
      <c r="F4630" s="91"/>
      <c r="G4630" s="16"/>
      <c r="H4630" s="320" t="str">
        <f t="shared" si="424"/>
        <v/>
      </c>
      <c r="I4630" s="16"/>
      <c r="J4630" s="16"/>
      <c r="K4630" s="16"/>
      <c r="L4630" s="16"/>
      <c r="M4630" s="15"/>
      <c r="N4630" s="15"/>
      <c r="O4630" s="16"/>
      <c r="P4630" s="16"/>
      <c r="Q4630" s="16"/>
      <c r="R4630" s="16"/>
      <c r="S4630" s="37" t="str">
        <f>IFERROR(__xludf.DUMMYFUNCTION("if(not(iserror(index(split(C4630, "" ""),2))), index(split(C4630, "" ""),1),"""")"),"")</f>
        <v/>
      </c>
      <c r="T4630" s="315" t="str">
        <f>IFERROR(__xludf.DUMMYFUNCTION("if(S4630="""",C4630,if(not(iserror(index(split(C4630, "" ""),3))), index(split(C4630, "" ""),3),index(split(C4630, "" ""),2)))"),"")</f>
        <v/>
      </c>
      <c r="U4630" s="38" t="b">
        <f t="shared" si="423"/>
        <v>0</v>
      </c>
      <c r="V4630" s="38"/>
      <c r="W4630" s="40"/>
      <c r="X4630" s="40"/>
      <c r="Y4630" s="40"/>
      <c r="Z4630" s="38"/>
      <c r="AA4630" s="38"/>
      <c r="AB4630" s="38"/>
      <c r="AC4630" s="38"/>
      <c r="AD4630" s="38"/>
      <c r="AE4630" s="38"/>
      <c r="AF4630" s="38"/>
      <c r="AG4630" s="38"/>
      <c r="AH4630" s="38"/>
      <c r="AI4630" s="38"/>
      <c r="AJ4630" s="38"/>
      <c r="AK4630" s="38"/>
      <c r="AL4630" s="38"/>
      <c r="AM4630" s="38"/>
      <c r="AN4630" s="38"/>
      <c r="AO4630" s="38"/>
      <c r="AP4630" s="38"/>
      <c r="AQ4630" s="38"/>
      <c r="AR4630" s="38"/>
      <c r="AS4630" s="38"/>
      <c r="AT4630" s="38"/>
      <c r="AU4630" s="38"/>
      <c r="AV4630" s="38"/>
      <c r="AW4630" s="38"/>
      <c r="AX4630" s="38"/>
      <c r="AY4630" s="38"/>
      <c r="AZ4630" s="38"/>
      <c r="BA4630" s="38"/>
      <c r="BB4630" s="38"/>
      <c r="BC4630" s="38"/>
      <c r="BD4630" s="38"/>
      <c r="BE4630" s="38"/>
      <c r="BF4630" s="38"/>
      <c r="BG4630" s="38"/>
      <c r="BH4630" s="38"/>
      <c r="BI4630" s="38"/>
      <c r="BJ4630" s="38"/>
      <c r="BK4630" s="38"/>
      <c r="BL4630" s="38"/>
      <c r="BM4630" s="38"/>
      <c r="BN4630" s="38"/>
      <c r="BO4630" s="38"/>
      <c r="BP4630" s="38"/>
      <c r="BQ4630" s="38"/>
    </row>
    <row r="4631">
      <c r="A4631" s="16"/>
      <c r="B4631" s="145"/>
      <c r="C4631" s="146"/>
      <c r="D4631" s="146"/>
      <c r="E4631" s="16"/>
      <c r="F4631" s="91"/>
      <c r="G4631" s="16"/>
      <c r="H4631" s="320" t="str">
        <f t="shared" si="424"/>
        <v/>
      </c>
      <c r="I4631" s="16"/>
      <c r="J4631" s="16"/>
      <c r="K4631" s="16"/>
      <c r="L4631" s="16"/>
      <c r="M4631" s="15"/>
      <c r="N4631" s="15"/>
      <c r="O4631" s="16"/>
      <c r="P4631" s="16"/>
      <c r="Q4631" s="16"/>
      <c r="R4631" s="16"/>
      <c r="S4631" s="37" t="str">
        <f>IFERROR(__xludf.DUMMYFUNCTION("if(not(iserror(index(split(C4631, "" ""),2))), index(split(C4631, "" ""),1),"""")"),"")</f>
        <v/>
      </c>
      <c r="T4631" s="315" t="str">
        <f>IFERROR(__xludf.DUMMYFUNCTION("if(S4631="""",C4631,if(not(iserror(index(split(C4631, "" ""),3))), index(split(C4631, "" ""),3),index(split(C4631, "" ""),2)))"),"")</f>
        <v/>
      </c>
      <c r="U4631" s="38" t="b">
        <f t="shared" si="423"/>
        <v>0</v>
      </c>
      <c r="V4631" s="38"/>
      <c r="W4631" s="40"/>
      <c r="X4631" s="40"/>
      <c r="Y4631" s="40"/>
      <c r="Z4631" s="38"/>
      <c r="AA4631" s="38"/>
      <c r="AB4631" s="38"/>
      <c r="AC4631" s="38"/>
      <c r="AD4631" s="38"/>
      <c r="AE4631" s="38"/>
      <c r="AF4631" s="38"/>
      <c r="AG4631" s="38"/>
      <c r="AH4631" s="38"/>
      <c r="AI4631" s="38"/>
      <c r="AJ4631" s="38"/>
      <c r="AK4631" s="38"/>
      <c r="AL4631" s="38"/>
      <c r="AM4631" s="38"/>
      <c r="AN4631" s="38"/>
      <c r="AO4631" s="38"/>
      <c r="AP4631" s="38"/>
      <c r="AQ4631" s="38"/>
      <c r="AR4631" s="38"/>
      <c r="AS4631" s="38"/>
      <c r="AT4631" s="38"/>
      <c r="AU4631" s="38"/>
      <c r="AV4631" s="38"/>
      <c r="AW4631" s="38"/>
      <c r="AX4631" s="38"/>
      <c r="AY4631" s="38"/>
      <c r="AZ4631" s="38"/>
      <c r="BA4631" s="38"/>
      <c r="BB4631" s="38"/>
      <c r="BC4631" s="38"/>
      <c r="BD4631" s="38"/>
      <c r="BE4631" s="38"/>
      <c r="BF4631" s="38"/>
      <c r="BG4631" s="38"/>
      <c r="BH4631" s="38"/>
      <c r="BI4631" s="38"/>
      <c r="BJ4631" s="38"/>
      <c r="BK4631" s="38"/>
      <c r="BL4631" s="38"/>
      <c r="BM4631" s="38"/>
      <c r="BN4631" s="38"/>
      <c r="BO4631" s="38"/>
      <c r="BP4631" s="38"/>
      <c r="BQ4631" s="38"/>
    </row>
    <row r="4632">
      <c r="A4632" s="16"/>
      <c r="B4632" s="145"/>
      <c r="C4632" s="146"/>
      <c r="D4632" s="146"/>
      <c r="E4632" s="16"/>
      <c r="F4632" s="91"/>
      <c r="G4632" s="16"/>
      <c r="H4632" s="320" t="str">
        <f t="shared" si="424"/>
        <v/>
      </c>
      <c r="I4632" s="16"/>
      <c r="J4632" s="16"/>
      <c r="K4632" s="16"/>
      <c r="L4632" s="16"/>
      <c r="M4632" s="15"/>
      <c r="N4632" s="15"/>
      <c r="O4632" s="16"/>
      <c r="P4632" s="16"/>
      <c r="Q4632" s="16"/>
      <c r="R4632" s="16"/>
      <c r="S4632" s="37" t="str">
        <f>IFERROR(__xludf.DUMMYFUNCTION("if(not(iserror(index(split(C4632, "" ""),2))), index(split(C4632, "" ""),1),"""")"),"")</f>
        <v/>
      </c>
      <c r="T4632" s="315" t="str">
        <f>IFERROR(__xludf.DUMMYFUNCTION("if(S4632="""",C4632,if(not(iserror(index(split(C4632, "" ""),3))), index(split(C4632, "" ""),3),index(split(C4632, "" ""),2)))"),"")</f>
        <v/>
      </c>
      <c r="U4632" s="38" t="b">
        <f t="shared" si="423"/>
        <v>0</v>
      </c>
      <c r="V4632" s="38"/>
      <c r="W4632" s="40"/>
      <c r="X4632" s="40"/>
      <c r="Y4632" s="40"/>
      <c r="Z4632" s="38"/>
      <c r="AA4632" s="38"/>
      <c r="AB4632" s="38"/>
      <c r="AC4632" s="38"/>
      <c r="AD4632" s="38"/>
      <c r="AE4632" s="38"/>
      <c r="AF4632" s="38"/>
      <c r="AG4632" s="38"/>
      <c r="AH4632" s="38"/>
      <c r="AI4632" s="38"/>
      <c r="AJ4632" s="38"/>
      <c r="AK4632" s="38"/>
      <c r="AL4632" s="38"/>
      <c r="AM4632" s="38"/>
      <c r="AN4632" s="38"/>
      <c r="AO4632" s="38"/>
      <c r="AP4632" s="38"/>
      <c r="AQ4632" s="38"/>
      <c r="AR4632" s="38"/>
      <c r="AS4632" s="38"/>
      <c r="AT4632" s="38"/>
      <c r="AU4632" s="38"/>
      <c r="AV4632" s="38"/>
      <c r="AW4632" s="38"/>
      <c r="AX4632" s="38"/>
      <c r="AY4632" s="38"/>
      <c r="AZ4632" s="38"/>
      <c r="BA4632" s="38"/>
      <c r="BB4632" s="38"/>
      <c r="BC4632" s="38"/>
      <c r="BD4632" s="38"/>
      <c r="BE4632" s="38"/>
      <c r="BF4632" s="38"/>
      <c r="BG4632" s="38"/>
      <c r="BH4632" s="38"/>
      <c r="BI4632" s="38"/>
      <c r="BJ4632" s="38"/>
      <c r="BK4632" s="38"/>
      <c r="BL4632" s="38"/>
      <c r="BM4632" s="38"/>
      <c r="BN4632" s="38"/>
      <c r="BO4632" s="38"/>
      <c r="BP4632" s="38"/>
      <c r="BQ4632" s="38"/>
    </row>
    <row r="4633">
      <c r="A4633" s="16"/>
      <c r="B4633" s="145"/>
      <c r="C4633" s="146"/>
      <c r="D4633" s="146"/>
      <c r="E4633" s="16"/>
      <c r="F4633" s="91"/>
      <c r="G4633" s="16"/>
      <c r="H4633" s="320" t="str">
        <f t="shared" si="424"/>
        <v/>
      </c>
      <c r="I4633" s="16"/>
      <c r="J4633" s="16"/>
      <c r="K4633" s="16"/>
      <c r="L4633" s="16"/>
      <c r="M4633" s="15"/>
      <c r="N4633" s="15"/>
      <c r="O4633" s="16"/>
      <c r="P4633" s="16"/>
      <c r="Q4633" s="16"/>
      <c r="R4633" s="16"/>
      <c r="S4633" s="37" t="str">
        <f>IFERROR(__xludf.DUMMYFUNCTION("if(not(iserror(index(split(C4633, "" ""),2))), index(split(C4633, "" ""),1),"""")"),"")</f>
        <v/>
      </c>
      <c r="T4633" s="315" t="str">
        <f>IFERROR(__xludf.DUMMYFUNCTION("if(S4633="""",C4633,if(not(iserror(index(split(C4633, "" ""),3))), index(split(C4633, "" ""),3),index(split(C4633, "" ""),2)))"),"")</f>
        <v/>
      </c>
      <c r="U4633" s="38" t="b">
        <f t="shared" si="423"/>
        <v>0</v>
      </c>
      <c r="V4633" s="38"/>
      <c r="W4633" s="40"/>
      <c r="X4633" s="40"/>
      <c r="Y4633" s="40"/>
      <c r="Z4633" s="38"/>
      <c r="AA4633" s="38"/>
      <c r="AB4633" s="38"/>
      <c r="AC4633" s="38"/>
      <c r="AD4633" s="38"/>
      <c r="AE4633" s="38"/>
      <c r="AF4633" s="38"/>
      <c r="AG4633" s="38"/>
      <c r="AH4633" s="38"/>
      <c r="AI4633" s="38"/>
      <c r="AJ4633" s="38"/>
      <c r="AK4633" s="38"/>
      <c r="AL4633" s="38"/>
      <c r="AM4633" s="38"/>
      <c r="AN4633" s="38"/>
      <c r="AO4633" s="38"/>
      <c r="AP4633" s="38"/>
      <c r="AQ4633" s="38"/>
      <c r="AR4633" s="38"/>
      <c r="AS4633" s="38"/>
      <c r="AT4633" s="38"/>
      <c r="AU4633" s="38"/>
      <c r="AV4633" s="38"/>
      <c r="AW4633" s="38"/>
      <c r="AX4633" s="38"/>
      <c r="AY4633" s="38"/>
      <c r="AZ4633" s="38"/>
      <c r="BA4633" s="38"/>
      <c r="BB4633" s="38"/>
      <c r="BC4633" s="38"/>
      <c r="BD4633" s="38"/>
      <c r="BE4633" s="38"/>
      <c r="BF4633" s="38"/>
      <c r="BG4633" s="38"/>
      <c r="BH4633" s="38"/>
      <c r="BI4633" s="38"/>
      <c r="BJ4633" s="38"/>
      <c r="BK4633" s="38"/>
      <c r="BL4633" s="38"/>
      <c r="BM4633" s="38"/>
      <c r="BN4633" s="38"/>
      <c r="BO4633" s="38"/>
      <c r="BP4633" s="38"/>
      <c r="BQ4633" s="38"/>
    </row>
    <row r="4634">
      <c r="A4634" s="16"/>
      <c r="B4634" s="145"/>
      <c r="C4634" s="146"/>
      <c r="D4634" s="146"/>
      <c r="E4634" s="16"/>
      <c r="F4634" s="91"/>
      <c r="G4634" s="16"/>
      <c r="H4634" s="320" t="str">
        <f t="shared" si="424"/>
        <v/>
      </c>
      <c r="I4634" s="16"/>
      <c r="J4634" s="16"/>
      <c r="K4634" s="16"/>
      <c r="L4634" s="16"/>
      <c r="M4634" s="15"/>
      <c r="N4634" s="15"/>
      <c r="O4634" s="16"/>
      <c r="P4634" s="16"/>
      <c r="Q4634" s="16"/>
      <c r="R4634" s="16"/>
      <c r="S4634" s="37" t="str">
        <f>IFERROR(__xludf.DUMMYFUNCTION("if(not(iserror(index(split(C4634, "" ""),2))), index(split(C4634, "" ""),1),"""")"),"")</f>
        <v/>
      </c>
      <c r="T4634" s="315" t="str">
        <f>IFERROR(__xludf.DUMMYFUNCTION("if(S4634="""",C4634,if(not(iserror(index(split(C4634, "" ""),3))), index(split(C4634, "" ""),3),index(split(C4634, "" ""),2)))"),"")</f>
        <v/>
      </c>
      <c r="U4634" s="38" t="b">
        <f t="shared" si="423"/>
        <v>0</v>
      </c>
      <c r="V4634" s="38"/>
      <c r="W4634" s="40"/>
      <c r="X4634" s="40"/>
      <c r="Y4634" s="40"/>
      <c r="Z4634" s="38"/>
      <c r="AA4634" s="38"/>
      <c r="AB4634" s="38"/>
      <c r="AC4634" s="38"/>
      <c r="AD4634" s="38"/>
      <c r="AE4634" s="38"/>
      <c r="AF4634" s="38"/>
      <c r="AG4634" s="38"/>
      <c r="AH4634" s="38"/>
      <c r="AI4634" s="38"/>
      <c r="AJ4634" s="38"/>
      <c r="AK4634" s="38"/>
      <c r="AL4634" s="38"/>
      <c r="AM4634" s="38"/>
      <c r="AN4634" s="38"/>
      <c r="AO4634" s="38"/>
      <c r="AP4634" s="38"/>
      <c r="AQ4634" s="38"/>
      <c r="AR4634" s="38"/>
      <c r="AS4634" s="38"/>
      <c r="AT4634" s="38"/>
      <c r="AU4634" s="38"/>
      <c r="AV4634" s="38"/>
      <c r="AW4634" s="38"/>
      <c r="AX4634" s="38"/>
      <c r="AY4634" s="38"/>
      <c r="AZ4634" s="38"/>
      <c r="BA4634" s="38"/>
      <c r="BB4634" s="38"/>
      <c r="BC4634" s="38"/>
      <c r="BD4634" s="38"/>
      <c r="BE4634" s="38"/>
      <c r="BF4634" s="38"/>
      <c r="BG4634" s="38"/>
      <c r="BH4634" s="38"/>
      <c r="BI4634" s="38"/>
      <c r="BJ4634" s="38"/>
      <c r="BK4634" s="38"/>
      <c r="BL4634" s="38"/>
      <c r="BM4634" s="38"/>
      <c r="BN4634" s="38"/>
      <c r="BO4634" s="38"/>
      <c r="BP4634" s="38"/>
      <c r="BQ4634" s="38"/>
    </row>
    <row r="4635">
      <c r="A4635" s="16"/>
      <c r="B4635" s="145"/>
      <c r="C4635" s="146"/>
      <c r="D4635" s="146"/>
      <c r="E4635" s="16"/>
      <c r="F4635" s="91"/>
      <c r="G4635" s="16"/>
      <c r="H4635" s="320" t="str">
        <f t="shared" si="424"/>
        <v/>
      </c>
      <c r="I4635" s="16"/>
      <c r="J4635" s="16"/>
      <c r="K4635" s="16"/>
      <c r="L4635" s="16"/>
      <c r="M4635" s="15"/>
      <c r="N4635" s="15"/>
      <c r="O4635" s="16"/>
      <c r="P4635" s="16"/>
      <c r="Q4635" s="16"/>
      <c r="R4635" s="16"/>
      <c r="S4635" s="37" t="str">
        <f>IFERROR(__xludf.DUMMYFUNCTION("if(not(iserror(index(split(C4635, "" ""),2))), index(split(C4635, "" ""),1),"""")"),"")</f>
        <v/>
      </c>
      <c r="T4635" s="315" t="str">
        <f>IFERROR(__xludf.DUMMYFUNCTION("if(S4635="""",C4635,if(not(iserror(index(split(C4635, "" ""),3))), index(split(C4635, "" ""),3),index(split(C4635, "" ""),2)))"),"")</f>
        <v/>
      </c>
      <c r="U4635" s="38" t="b">
        <f t="shared" si="423"/>
        <v>0</v>
      </c>
      <c r="V4635" s="38"/>
      <c r="W4635" s="40"/>
      <c r="X4635" s="40"/>
      <c r="Y4635" s="40"/>
      <c r="Z4635" s="38"/>
      <c r="AA4635" s="38"/>
      <c r="AB4635" s="38"/>
      <c r="AC4635" s="38"/>
      <c r="AD4635" s="38"/>
      <c r="AE4635" s="38"/>
      <c r="AF4635" s="38"/>
      <c r="AG4635" s="38"/>
      <c r="AH4635" s="38"/>
      <c r="AI4635" s="38"/>
      <c r="AJ4635" s="38"/>
      <c r="AK4635" s="38"/>
      <c r="AL4635" s="38"/>
      <c r="AM4635" s="38"/>
      <c r="AN4635" s="38"/>
      <c r="AO4635" s="38"/>
      <c r="AP4635" s="38"/>
      <c r="AQ4635" s="38"/>
      <c r="AR4635" s="38"/>
      <c r="AS4635" s="38"/>
      <c r="AT4635" s="38"/>
      <c r="AU4635" s="38"/>
      <c r="AV4635" s="38"/>
      <c r="AW4635" s="38"/>
      <c r="AX4635" s="38"/>
      <c r="AY4635" s="38"/>
      <c r="AZ4635" s="38"/>
      <c r="BA4635" s="38"/>
      <c r="BB4635" s="38"/>
      <c r="BC4635" s="38"/>
      <c r="BD4635" s="38"/>
      <c r="BE4635" s="38"/>
      <c r="BF4635" s="38"/>
      <c r="BG4635" s="38"/>
      <c r="BH4635" s="38"/>
      <c r="BI4635" s="38"/>
      <c r="BJ4635" s="38"/>
      <c r="BK4635" s="38"/>
      <c r="BL4635" s="38"/>
      <c r="BM4635" s="38"/>
      <c r="BN4635" s="38"/>
      <c r="BO4635" s="38"/>
      <c r="BP4635" s="38"/>
      <c r="BQ4635" s="38"/>
    </row>
    <row r="4636">
      <c r="A4636" s="16"/>
      <c r="B4636" s="145"/>
      <c r="C4636" s="146"/>
      <c r="D4636" s="146"/>
      <c r="E4636" s="16"/>
      <c r="F4636" s="91"/>
      <c r="G4636" s="16"/>
      <c r="H4636" s="320" t="str">
        <f t="shared" si="424"/>
        <v/>
      </c>
      <c r="I4636" s="16"/>
      <c r="J4636" s="16"/>
      <c r="K4636" s="16"/>
      <c r="L4636" s="16"/>
      <c r="M4636" s="15"/>
      <c r="N4636" s="15"/>
      <c r="O4636" s="16"/>
      <c r="P4636" s="16"/>
      <c r="Q4636" s="16"/>
      <c r="R4636" s="16"/>
      <c r="S4636" s="37" t="str">
        <f>IFERROR(__xludf.DUMMYFUNCTION("if(not(iserror(index(split(C4636, "" ""),2))), index(split(C4636, "" ""),1),"""")"),"")</f>
        <v/>
      </c>
      <c r="T4636" s="315" t="str">
        <f>IFERROR(__xludf.DUMMYFUNCTION("if(S4636="""",C4636,if(not(iserror(index(split(C4636, "" ""),3))), index(split(C4636, "" ""),3),index(split(C4636, "" ""),2)))"),"")</f>
        <v/>
      </c>
      <c r="U4636" s="38" t="b">
        <f t="shared" si="423"/>
        <v>0</v>
      </c>
      <c r="V4636" s="38"/>
      <c r="W4636" s="40"/>
      <c r="X4636" s="40"/>
      <c r="Y4636" s="40"/>
      <c r="Z4636" s="38"/>
      <c r="AA4636" s="38"/>
      <c r="AB4636" s="38"/>
      <c r="AC4636" s="38"/>
      <c r="AD4636" s="38"/>
      <c r="AE4636" s="38"/>
      <c r="AF4636" s="38"/>
      <c r="AG4636" s="38"/>
      <c r="AH4636" s="38"/>
      <c r="AI4636" s="38"/>
      <c r="AJ4636" s="38"/>
      <c r="AK4636" s="38"/>
      <c r="AL4636" s="38"/>
      <c r="AM4636" s="38"/>
      <c r="AN4636" s="38"/>
      <c r="AO4636" s="38"/>
      <c r="AP4636" s="38"/>
      <c r="AQ4636" s="38"/>
      <c r="AR4636" s="38"/>
      <c r="AS4636" s="38"/>
      <c r="AT4636" s="38"/>
      <c r="AU4636" s="38"/>
      <c r="AV4636" s="38"/>
      <c r="AW4636" s="38"/>
      <c r="AX4636" s="38"/>
      <c r="AY4636" s="38"/>
      <c r="AZ4636" s="38"/>
      <c r="BA4636" s="38"/>
      <c r="BB4636" s="38"/>
      <c r="BC4636" s="38"/>
      <c r="BD4636" s="38"/>
      <c r="BE4636" s="38"/>
      <c r="BF4636" s="38"/>
      <c r="BG4636" s="38"/>
      <c r="BH4636" s="38"/>
      <c r="BI4636" s="38"/>
      <c r="BJ4636" s="38"/>
      <c r="BK4636" s="38"/>
      <c r="BL4636" s="38"/>
      <c r="BM4636" s="38"/>
      <c r="BN4636" s="38"/>
      <c r="BO4636" s="38"/>
      <c r="BP4636" s="38"/>
      <c r="BQ4636" s="38"/>
    </row>
    <row r="4637">
      <c r="A4637" s="16"/>
      <c r="B4637" s="145"/>
      <c r="C4637" s="146"/>
      <c r="D4637" s="146"/>
      <c r="E4637" s="16"/>
      <c r="F4637" s="91"/>
      <c r="G4637" s="16"/>
      <c r="H4637" s="320" t="str">
        <f t="shared" si="424"/>
        <v/>
      </c>
      <c r="I4637" s="16"/>
      <c r="J4637" s="16"/>
      <c r="K4637" s="16"/>
      <c r="L4637" s="16"/>
      <c r="M4637" s="15"/>
      <c r="N4637" s="15"/>
      <c r="O4637" s="16"/>
      <c r="P4637" s="16"/>
      <c r="Q4637" s="16"/>
      <c r="R4637" s="16"/>
      <c r="S4637" s="37" t="str">
        <f>IFERROR(__xludf.DUMMYFUNCTION("if(not(iserror(index(split(C4637, "" ""),2))), index(split(C4637, "" ""),1),"""")"),"")</f>
        <v/>
      </c>
      <c r="T4637" s="315" t="str">
        <f>IFERROR(__xludf.DUMMYFUNCTION("if(S4637="""",C4637,if(not(iserror(index(split(C4637, "" ""),3))), index(split(C4637, "" ""),3),index(split(C4637, "" ""),2)))"),"")</f>
        <v/>
      </c>
      <c r="U4637" s="38" t="b">
        <f t="shared" si="423"/>
        <v>0</v>
      </c>
      <c r="V4637" s="38"/>
      <c r="W4637" s="40"/>
      <c r="X4637" s="40"/>
      <c r="Y4637" s="40"/>
      <c r="Z4637" s="38"/>
      <c r="AA4637" s="38"/>
      <c r="AB4637" s="38"/>
      <c r="AC4637" s="38"/>
      <c r="AD4637" s="38"/>
      <c r="AE4637" s="38"/>
      <c r="AF4637" s="38"/>
      <c r="AG4637" s="38"/>
      <c r="AH4637" s="38"/>
      <c r="AI4637" s="38"/>
      <c r="AJ4637" s="38"/>
      <c r="AK4637" s="38"/>
      <c r="AL4637" s="38"/>
      <c r="AM4637" s="38"/>
      <c r="AN4637" s="38"/>
      <c r="AO4637" s="38"/>
      <c r="AP4637" s="38"/>
      <c r="AQ4637" s="38"/>
      <c r="AR4637" s="38"/>
      <c r="AS4637" s="38"/>
      <c r="AT4637" s="38"/>
      <c r="AU4637" s="38"/>
      <c r="AV4637" s="38"/>
      <c r="AW4637" s="38"/>
      <c r="AX4637" s="38"/>
      <c r="AY4637" s="38"/>
      <c r="AZ4637" s="38"/>
      <c r="BA4637" s="38"/>
      <c r="BB4637" s="38"/>
      <c r="BC4637" s="38"/>
      <c r="BD4637" s="38"/>
      <c r="BE4637" s="38"/>
      <c r="BF4637" s="38"/>
      <c r="BG4637" s="38"/>
      <c r="BH4637" s="38"/>
      <c r="BI4637" s="38"/>
      <c r="BJ4637" s="38"/>
      <c r="BK4637" s="38"/>
      <c r="BL4637" s="38"/>
      <c r="BM4637" s="38"/>
      <c r="BN4637" s="38"/>
      <c r="BO4637" s="38"/>
      <c r="BP4637" s="38"/>
      <c r="BQ4637" s="38"/>
    </row>
    <row r="4638">
      <c r="A4638" s="16"/>
      <c r="B4638" s="145"/>
      <c r="C4638" s="146"/>
      <c r="D4638" s="146"/>
      <c r="E4638" s="16"/>
      <c r="F4638" s="91"/>
      <c r="G4638" s="16"/>
      <c r="H4638" s="320" t="str">
        <f t="shared" si="424"/>
        <v/>
      </c>
      <c r="I4638" s="16"/>
      <c r="J4638" s="16"/>
      <c r="K4638" s="16"/>
      <c r="L4638" s="16"/>
      <c r="M4638" s="15"/>
      <c r="N4638" s="15"/>
      <c r="O4638" s="16"/>
      <c r="P4638" s="16"/>
      <c r="Q4638" s="16"/>
      <c r="R4638" s="16"/>
      <c r="S4638" s="37" t="str">
        <f>IFERROR(__xludf.DUMMYFUNCTION("if(not(iserror(index(split(C4638, "" ""),2))), index(split(C4638, "" ""),1),"""")"),"")</f>
        <v/>
      </c>
      <c r="T4638" s="315" t="str">
        <f>IFERROR(__xludf.DUMMYFUNCTION("if(S4638="""",C4638,if(not(iserror(index(split(C4638, "" ""),3))), index(split(C4638, "" ""),3),index(split(C4638, "" ""),2)))"),"")</f>
        <v/>
      </c>
      <c r="U4638" s="38" t="b">
        <f t="shared" si="423"/>
        <v>0</v>
      </c>
      <c r="V4638" s="38"/>
      <c r="W4638" s="40"/>
      <c r="X4638" s="40"/>
      <c r="Y4638" s="40"/>
      <c r="Z4638" s="38"/>
      <c r="AA4638" s="38"/>
      <c r="AB4638" s="38"/>
      <c r="AC4638" s="38"/>
      <c r="AD4638" s="38"/>
      <c r="AE4638" s="38"/>
      <c r="AF4638" s="38"/>
      <c r="AG4638" s="38"/>
      <c r="AH4638" s="38"/>
      <c r="AI4638" s="38"/>
      <c r="AJ4638" s="38"/>
      <c r="AK4638" s="38"/>
      <c r="AL4638" s="38"/>
      <c r="AM4638" s="38"/>
      <c r="AN4638" s="38"/>
      <c r="AO4638" s="38"/>
      <c r="AP4638" s="38"/>
      <c r="AQ4638" s="38"/>
      <c r="AR4638" s="38"/>
      <c r="AS4638" s="38"/>
      <c r="AT4638" s="38"/>
      <c r="AU4638" s="38"/>
      <c r="AV4638" s="38"/>
      <c r="AW4638" s="38"/>
      <c r="AX4638" s="38"/>
      <c r="AY4638" s="38"/>
      <c r="AZ4638" s="38"/>
      <c r="BA4638" s="38"/>
      <c r="BB4638" s="38"/>
      <c r="BC4638" s="38"/>
      <c r="BD4638" s="38"/>
      <c r="BE4638" s="38"/>
      <c r="BF4638" s="38"/>
      <c r="BG4638" s="38"/>
      <c r="BH4638" s="38"/>
      <c r="BI4638" s="38"/>
      <c r="BJ4638" s="38"/>
      <c r="BK4638" s="38"/>
      <c r="BL4638" s="38"/>
      <c r="BM4638" s="38"/>
      <c r="BN4638" s="38"/>
      <c r="BO4638" s="38"/>
      <c r="BP4638" s="38"/>
      <c r="BQ4638" s="38"/>
    </row>
    <row r="4639">
      <c r="A4639" s="16"/>
      <c r="B4639" s="145"/>
      <c r="C4639" s="146"/>
      <c r="D4639" s="146"/>
      <c r="E4639" s="16"/>
      <c r="F4639" s="91"/>
      <c r="G4639" s="16"/>
      <c r="H4639" s="320" t="str">
        <f t="shared" si="424"/>
        <v/>
      </c>
      <c r="I4639" s="16"/>
      <c r="J4639" s="16"/>
      <c r="K4639" s="16"/>
      <c r="L4639" s="16"/>
      <c r="M4639" s="15"/>
      <c r="N4639" s="15"/>
      <c r="O4639" s="16"/>
      <c r="P4639" s="16"/>
      <c r="Q4639" s="16"/>
      <c r="R4639" s="16"/>
      <c r="S4639" s="37" t="str">
        <f>IFERROR(__xludf.DUMMYFUNCTION("if(not(iserror(index(split(C4639, "" ""),2))), index(split(C4639, "" ""),1),"""")"),"")</f>
        <v/>
      </c>
      <c r="T4639" s="315" t="str">
        <f>IFERROR(__xludf.DUMMYFUNCTION("if(S4639="""",C4639,if(not(iserror(index(split(C4639, "" ""),3))), index(split(C4639, "" ""),3),index(split(C4639, "" ""),2)))"),"")</f>
        <v/>
      </c>
      <c r="U4639" s="38" t="b">
        <f t="shared" si="423"/>
        <v>0</v>
      </c>
      <c r="V4639" s="38"/>
      <c r="W4639" s="40"/>
      <c r="X4639" s="40"/>
      <c r="Y4639" s="40"/>
      <c r="Z4639" s="38"/>
      <c r="AA4639" s="38"/>
      <c r="AB4639" s="38"/>
      <c r="AC4639" s="38"/>
      <c r="AD4639" s="38"/>
      <c r="AE4639" s="38"/>
      <c r="AF4639" s="38"/>
      <c r="AG4639" s="38"/>
      <c r="AH4639" s="38"/>
      <c r="AI4639" s="38"/>
      <c r="AJ4639" s="38"/>
      <c r="AK4639" s="38"/>
      <c r="AL4639" s="38"/>
      <c r="AM4639" s="38"/>
      <c r="AN4639" s="38"/>
      <c r="AO4639" s="38"/>
      <c r="AP4639" s="38"/>
      <c r="AQ4639" s="38"/>
      <c r="AR4639" s="38"/>
      <c r="AS4639" s="38"/>
      <c r="AT4639" s="38"/>
      <c r="AU4639" s="38"/>
      <c r="AV4639" s="38"/>
      <c r="AW4639" s="38"/>
      <c r="AX4639" s="38"/>
      <c r="AY4639" s="38"/>
      <c r="AZ4639" s="38"/>
      <c r="BA4639" s="38"/>
      <c r="BB4639" s="38"/>
      <c r="BC4639" s="38"/>
      <c r="BD4639" s="38"/>
      <c r="BE4639" s="38"/>
      <c r="BF4639" s="38"/>
      <c r="BG4639" s="38"/>
      <c r="BH4639" s="38"/>
      <c r="BI4639" s="38"/>
      <c r="BJ4639" s="38"/>
      <c r="BK4639" s="38"/>
      <c r="BL4639" s="38"/>
      <c r="BM4639" s="38"/>
      <c r="BN4639" s="38"/>
      <c r="BO4639" s="38"/>
      <c r="BP4639" s="38"/>
      <c r="BQ4639" s="38"/>
    </row>
    <row r="4640">
      <c r="A4640" s="16"/>
      <c r="B4640" s="145"/>
      <c r="C4640" s="146"/>
      <c r="D4640" s="146"/>
      <c r="E4640" s="16"/>
      <c r="F4640" s="91"/>
      <c r="G4640" s="16"/>
      <c r="H4640" s="320" t="str">
        <f t="shared" si="424"/>
        <v/>
      </c>
      <c r="I4640" s="16"/>
      <c r="J4640" s="16"/>
      <c r="K4640" s="16"/>
      <c r="L4640" s="16"/>
      <c r="M4640" s="15"/>
      <c r="N4640" s="15"/>
      <c r="O4640" s="16"/>
      <c r="P4640" s="16"/>
      <c r="Q4640" s="16"/>
      <c r="R4640" s="16"/>
      <c r="S4640" s="37" t="str">
        <f>IFERROR(__xludf.DUMMYFUNCTION("if(not(iserror(index(split(C4640, "" ""),2))), index(split(C4640, "" ""),1),"""")"),"")</f>
        <v/>
      </c>
      <c r="T4640" s="315" t="str">
        <f>IFERROR(__xludf.DUMMYFUNCTION("if(S4640="""",C4640,if(not(iserror(index(split(C4640, "" ""),3))), index(split(C4640, "" ""),3),index(split(C4640, "" ""),2)))"),"")</f>
        <v/>
      </c>
      <c r="U4640" s="38" t="b">
        <f t="shared" si="423"/>
        <v>0</v>
      </c>
      <c r="V4640" s="38"/>
      <c r="W4640" s="40"/>
      <c r="X4640" s="40"/>
      <c r="Y4640" s="40"/>
      <c r="Z4640" s="38"/>
      <c r="AA4640" s="38"/>
      <c r="AB4640" s="38"/>
      <c r="AC4640" s="38"/>
      <c r="AD4640" s="38"/>
      <c r="AE4640" s="38"/>
      <c r="AF4640" s="38"/>
      <c r="AG4640" s="38"/>
      <c r="AH4640" s="38"/>
      <c r="AI4640" s="38"/>
      <c r="AJ4640" s="38"/>
      <c r="AK4640" s="38"/>
      <c r="AL4640" s="38"/>
      <c r="AM4640" s="38"/>
      <c r="AN4640" s="38"/>
      <c r="AO4640" s="38"/>
      <c r="AP4640" s="38"/>
      <c r="AQ4640" s="38"/>
      <c r="AR4640" s="38"/>
      <c r="AS4640" s="38"/>
      <c r="AT4640" s="38"/>
      <c r="AU4640" s="38"/>
      <c r="AV4640" s="38"/>
      <c r="AW4640" s="38"/>
      <c r="AX4640" s="38"/>
      <c r="AY4640" s="38"/>
      <c r="AZ4640" s="38"/>
      <c r="BA4640" s="38"/>
      <c r="BB4640" s="38"/>
      <c r="BC4640" s="38"/>
      <c r="BD4640" s="38"/>
      <c r="BE4640" s="38"/>
      <c r="BF4640" s="38"/>
      <c r="BG4640" s="38"/>
      <c r="BH4640" s="38"/>
      <c r="BI4640" s="38"/>
      <c r="BJ4640" s="38"/>
      <c r="BK4640" s="38"/>
      <c r="BL4640" s="38"/>
      <c r="BM4640" s="38"/>
      <c r="BN4640" s="38"/>
      <c r="BO4640" s="38"/>
      <c r="BP4640" s="38"/>
      <c r="BQ4640" s="38"/>
    </row>
    <row r="4641">
      <c r="A4641" s="16"/>
      <c r="B4641" s="145"/>
      <c r="C4641" s="146"/>
      <c r="D4641" s="146"/>
      <c r="E4641" s="16"/>
      <c r="F4641" s="91"/>
      <c r="G4641" s="16"/>
      <c r="H4641" s="320" t="str">
        <f t="shared" si="424"/>
        <v/>
      </c>
      <c r="I4641" s="16"/>
      <c r="J4641" s="16"/>
      <c r="K4641" s="16"/>
      <c r="L4641" s="16"/>
      <c r="M4641" s="15"/>
      <c r="N4641" s="15"/>
      <c r="O4641" s="16"/>
      <c r="P4641" s="16"/>
      <c r="Q4641" s="16"/>
      <c r="R4641" s="16"/>
      <c r="S4641" s="37" t="str">
        <f>IFERROR(__xludf.DUMMYFUNCTION("if(not(iserror(index(split(C4641, "" ""),2))), index(split(C4641, "" ""),1),"""")"),"")</f>
        <v/>
      </c>
      <c r="T4641" s="315" t="str">
        <f>IFERROR(__xludf.DUMMYFUNCTION("if(S4641="""",C4641,if(not(iserror(index(split(C4641, "" ""),3))), index(split(C4641, "" ""),3),index(split(C4641, "" ""),2)))"),"")</f>
        <v/>
      </c>
      <c r="U4641" s="38" t="b">
        <f t="shared" si="423"/>
        <v>0</v>
      </c>
      <c r="V4641" s="38"/>
      <c r="W4641" s="40"/>
      <c r="X4641" s="40"/>
      <c r="Y4641" s="40"/>
      <c r="Z4641" s="38"/>
      <c r="AA4641" s="38"/>
      <c r="AB4641" s="38"/>
      <c r="AC4641" s="38"/>
      <c r="AD4641" s="38"/>
      <c r="AE4641" s="38"/>
      <c r="AF4641" s="38"/>
      <c r="AG4641" s="38"/>
      <c r="AH4641" s="38"/>
      <c r="AI4641" s="38"/>
      <c r="AJ4641" s="38"/>
      <c r="AK4641" s="38"/>
      <c r="AL4641" s="38"/>
      <c r="AM4641" s="38"/>
      <c r="AN4641" s="38"/>
      <c r="AO4641" s="38"/>
      <c r="AP4641" s="38"/>
      <c r="AQ4641" s="38"/>
      <c r="AR4641" s="38"/>
      <c r="AS4641" s="38"/>
      <c r="AT4641" s="38"/>
      <c r="AU4641" s="38"/>
      <c r="AV4641" s="38"/>
      <c r="AW4641" s="38"/>
      <c r="AX4641" s="38"/>
      <c r="AY4641" s="38"/>
      <c r="AZ4641" s="38"/>
      <c r="BA4641" s="38"/>
      <c r="BB4641" s="38"/>
      <c r="BC4641" s="38"/>
      <c r="BD4641" s="38"/>
      <c r="BE4641" s="38"/>
      <c r="BF4641" s="38"/>
      <c r="BG4641" s="38"/>
      <c r="BH4641" s="38"/>
      <c r="BI4641" s="38"/>
      <c r="BJ4641" s="38"/>
      <c r="BK4641" s="38"/>
      <c r="BL4641" s="38"/>
      <c r="BM4641" s="38"/>
      <c r="BN4641" s="38"/>
      <c r="BO4641" s="38"/>
      <c r="BP4641" s="38"/>
      <c r="BQ4641" s="38"/>
    </row>
    <row r="4642">
      <c r="A4642" s="16"/>
      <c r="B4642" s="145"/>
      <c r="C4642" s="146"/>
      <c r="D4642" s="146"/>
      <c r="E4642" s="16"/>
      <c r="F4642" s="91"/>
      <c r="G4642" s="16"/>
      <c r="H4642" s="320" t="str">
        <f t="shared" si="424"/>
        <v/>
      </c>
      <c r="I4642" s="16"/>
      <c r="J4642" s="16"/>
      <c r="K4642" s="16"/>
      <c r="L4642" s="16"/>
      <c r="M4642" s="15"/>
      <c r="N4642" s="15"/>
      <c r="O4642" s="16"/>
      <c r="P4642" s="16"/>
      <c r="Q4642" s="16"/>
      <c r="R4642" s="16"/>
      <c r="S4642" s="37" t="str">
        <f>IFERROR(__xludf.DUMMYFUNCTION("if(not(iserror(index(split(C4642, "" ""),2))), index(split(C4642, "" ""),1),"""")"),"")</f>
        <v/>
      </c>
      <c r="T4642" s="315" t="str">
        <f>IFERROR(__xludf.DUMMYFUNCTION("if(S4642="""",C4642,if(not(iserror(index(split(C4642, "" ""),3))), index(split(C4642, "" ""),3),index(split(C4642, "" ""),2)))"),"")</f>
        <v/>
      </c>
      <c r="U4642" s="38" t="b">
        <f t="shared" si="423"/>
        <v>0</v>
      </c>
      <c r="V4642" s="38"/>
      <c r="W4642" s="40"/>
      <c r="X4642" s="40"/>
      <c r="Y4642" s="40"/>
      <c r="Z4642" s="38"/>
      <c r="AA4642" s="38"/>
      <c r="AB4642" s="38"/>
      <c r="AC4642" s="38"/>
      <c r="AD4642" s="38"/>
      <c r="AE4642" s="38"/>
      <c r="AF4642" s="38"/>
      <c r="AG4642" s="38"/>
      <c r="AH4642" s="38"/>
      <c r="AI4642" s="38"/>
      <c r="AJ4642" s="38"/>
      <c r="AK4642" s="38"/>
      <c r="AL4642" s="38"/>
      <c r="AM4642" s="38"/>
      <c r="AN4642" s="38"/>
      <c r="AO4642" s="38"/>
      <c r="AP4642" s="38"/>
      <c r="AQ4642" s="38"/>
      <c r="AR4642" s="38"/>
      <c r="AS4642" s="38"/>
      <c r="AT4642" s="38"/>
      <c r="AU4642" s="38"/>
      <c r="AV4642" s="38"/>
      <c r="AW4642" s="38"/>
      <c r="AX4642" s="38"/>
      <c r="AY4642" s="38"/>
      <c r="AZ4642" s="38"/>
      <c r="BA4642" s="38"/>
      <c r="BB4642" s="38"/>
      <c r="BC4642" s="38"/>
      <c r="BD4642" s="38"/>
      <c r="BE4642" s="38"/>
      <c r="BF4642" s="38"/>
      <c r="BG4642" s="38"/>
      <c r="BH4642" s="38"/>
      <c r="BI4642" s="38"/>
      <c r="BJ4642" s="38"/>
      <c r="BK4642" s="38"/>
      <c r="BL4642" s="38"/>
      <c r="BM4642" s="38"/>
      <c r="BN4642" s="38"/>
      <c r="BO4642" s="38"/>
      <c r="BP4642" s="38"/>
      <c r="BQ4642" s="38"/>
    </row>
    <row r="4643">
      <c r="A4643" s="16"/>
      <c r="B4643" s="145"/>
      <c r="C4643" s="146"/>
      <c r="D4643" s="146"/>
      <c r="E4643" s="16"/>
      <c r="F4643" s="91"/>
      <c r="G4643" s="16"/>
      <c r="H4643" s="320" t="str">
        <f t="shared" si="424"/>
        <v/>
      </c>
      <c r="I4643" s="16"/>
      <c r="J4643" s="16"/>
      <c r="K4643" s="16"/>
      <c r="L4643" s="16"/>
      <c r="M4643" s="15"/>
      <c r="N4643" s="15"/>
      <c r="O4643" s="16"/>
      <c r="P4643" s="16"/>
      <c r="Q4643" s="16"/>
      <c r="R4643" s="16"/>
      <c r="S4643" s="37" t="str">
        <f>IFERROR(__xludf.DUMMYFUNCTION("if(not(iserror(index(split(C4643, "" ""),2))), index(split(C4643, "" ""),1),"""")"),"")</f>
        <v/>
      </c>
      <c r="T4643" s="315" t="str">
        <f>IFERROR(__xludf.DUMMYFUNCTION("if(S4643="""",C4643,if(not(iserror(index(split(C4643, "" ""),3))), index(split(C4643, "" ""),3),index(split(C4643, "" ""),2)))"),"")</f>
        <v/>
      </c>
      <c r="U4643" s="38" t="b">
        <f t="shared" si="423"/>
        <v>0</v>
      </c>
      <c r="V4643" s="38"/>
      <c r="W4643" s="40"/>
      <c r="X4643" s="40"/>
      <c r="Y4643" s="40"/>
      <c r="Z4643" s="38"/>
      <c r="AA4643" s="38"/>
      <c r="AB4643" s="38"/>
      <c r="AC4643" s="38"/>
      <c r="AD4643" s="38"/>
      <c r="AE4643" s="38"/>
      <c r="AF4643" s="38"/>
      <c r="AG4643" s="38"/>
      <c r="AH4643" s="38"/>
      <c r="AI4643" s="38"/>
      <c r="AJ4643" s="38"/>
      <c r="AK4643" s="38"/>
      <c r="AL4643" s="38"/>
      <c r="AM4643" s="38"/>
      <c r="AN4643" s="38"/>
      <c r="AO4643" s="38"/>
      <c r="AP4643" s="38"/>
      <c r="AQ4643" s="38"/>
      <c r="AR4643" s="38"/>
      <c r="AS4643" s="38"/>
      <c r="AT4643" s="38"/>
      <c r="AU4643" s="38"/>
      <c r="AV4643" s="38"/>
      <c r="AW4643" s="38"/>
      <c r="AX4643" s="38"/>
      <c r="AY4643" s="38"/>
      <c r="AZ4643" s="38"/>
      <c r="BA4643" s="38"/>
      <c r="BB4643" s="38"/>
      <c r="BC4643" s="38"/>
      <c r="BD4643" s="38"/>
      <c r="BE4643" s="38"/>
      <c r="BF4643" s="38"/>
      <c r="BG4643" s="38"/>
      <c r="BH4643" s="38"/>
      <c r="BI4643" s="38"/>
      <c r="BJ4643" s="38"/>
      <c r="BK4643" s="38"/>
      <c r="BL4643" s="38"/>
      <c r="BM4643" s="38"/>
      <c r="BN4643" s="38"/>
      <c r="BO4643" s="38"/>
      <c r="BP4643" s="38"/>
      <c r="BQ4643" s="38"/>
    </row>
    <row r="4644">
      <c r="A4644" s="16"/>
      <c r="B4644" s="145"/>
      <c r="C4644" s="146"/>
      <c r="D4644" s="146"/>
      <c r="E4644" s="16"/>
      <c r="F4644" s="91"/>
      <c r="G4644" s="16"/>
      <c r="H4644" s="320" t="str">
        <f t="shared" si="424"/>
        <v/>
      </c>
      <c r="I4644" s="16"/>
      <c r="J4644" s="16"/>
      <c r="K4644" s="16"/>
      <c r="L4644" s="16"/>
      <c r="M4644" s="15"/>
      <c r="N4644" s="15"/>
      <c r="O4644" s="16"/>
      <c r="P4644" s="16"/>
      <c r="Q4644" s="16"/>
      <c r="R4644" s="16"/>
      <c r="S4644" s="37" t="str">
        <f>IFERROR(__xludf.DUMMYFUNCTION("if(not(iserror(index(split(C4644, "" ""),2))), index(split(C4644, "" ""),1),"""")"),"")</f>
        <v/>
      </c>
      <c r="T4644" s="315" t="str">
        <f>IFERROR(__xludf.DUMMYFUNCTION("if(S4644="""",C4644,if(not(iserror(index(split(C4644, "" ""),3))), index(split(C4644, "" ""),3),index(split(C4644, "" ""),2)))"),"")</f>
        <v/>
      </c>
      <c r="U4644" s="38" t="b">
        <f t="shared" si="423"/>
        <v>0</v>
      </c>
      <c r="V4644" s="38"/>
      <c r="W4644" s="40"/>
      <c r="X4644" s="40"/>
      <c r="Y4644" s="40"/>
      <c r="Z4644" s="38"/>
      <c r="AA4644" s="38"/>
      <c r="AB4644" s="38"/>
      <c r="AC4644" s="38"/>
      <c r="AD4644" s="38"/>
      <c r="AE4644" s="38"/>
      <c r="AF4644" s="38"/>
      <c r="AG4644" s="38"/>
      <c r="AH4644" s="38"/>
      <c r="AI4644" s="38"/>
      <c r="AJ4644" s="38"/>
      <c r="AK4644" s="38"/>
      <c r="AL4644" s="38"/>
      <c r="AM4644" s="38"/>
      <c r="AN4644" s="38"/>
      <c r="AO4644" s="38"/>
      <c r="AP4644" s="38"/>
      <c r="AQ4644" s="38"/>
      <c r="AR4644" s="38"/>
      <c r="AS4644" s="38"/>
      <c r="AT4644" s="38"/>
      <c r="AU4644" s="38"/>
      <c r="AV4644" s="38"/>
      <c r="AW4644" s="38"/>
      <c r="AX4644" s="38"/>
      <c r="AY4644" s="38"/>
      <c r="AZ4644" s="38"/>
      <c r="BA4644" s="38"/>
      <c r="BB4644" s="38"/>
      <c r="BC4644" s="38"/>
      <c r="BD4644" s="38"/>
      <c r="BE4644" s="38"/>
      <c r="BF4644" s="38"/>
      <c r="BG4644" s="38"/>
      <c r="BH4644" s="38"/>
      <c r="BI4644" s="38"/>
      <c r="BJ4644" s="38"/>
      <c r="BK4644" s="38"/>
      <c r="BL4644" s="38"/>
      <c r="BM4644" s="38"/>
      <c r="BN4644" s="38"/>
      <c r="BO4644" s="38"/>
      <c r="BP4644" s="38"/>
      <c r="BQ4644" s="38"/>
    </row>
    <row r="4645">
      <c r="A4645" s="16"/>
      <c r="B4645" s="145"/>
      <c r="C4645" s="146"/>
      <c r="D4645" s="146"/>
      <c r="E4645" s="16"/>
      <c r="F4645" s="91"/>
      <c r="G4645" s="16"/>
      <c r="H4645" s="320" t="str">
        <f t="shared" si="424"/>
        <v/>
      </c>
      <c r="I4645" s="16"/>
      <c r="J4645" s="16"/>
      <c r="K4645" s="16"/>
      <c r="L4645" s="16"/>
      <c r="M4645" s="15"/>
      <c r="N4645" s="15"/>
      <c r="O4645" s="16"/>
      <c r="P4645" s="16"/>
      <c r="Q4645" s="16"/>
      <c r="R4645" s="16"/>
      <c r="S4645" s="37" t="str">
        <f>IFERROR(__xludf.DUMMYFUNCTION("if(not(iserror(index(split(C4645, "" ""),2))), index(split(C4645, "" ""),1),"""")"),"")</f>
        <v/>
      </c>
      <c r="T4645" s="315" t="str">
        <f>IFERROR(__xludf.DUMMYFUNCTION("if(S4645="""",C4645,if(not(iserror(index(split(C4645, "" ""),3))), index(split(C4645, "" ""),3),index(split(C4645, "" ""),2)))"),"")</f>
        <v/>
      </c>
      <c r="U4645" s="38" t="b">
        <f t="shared" si="423"/>
        <v>0</v>
      </c>
      <c r="V4645" s="38"/>
      <c r="W4645" s="40"/>
      <c r="X4645" s="40"/>
      <c r="Y4645" s="40"/>
      <c r="Z4645" s="38"/>
      <c r="AA4645" s="38"/>
      <c r="AB4645" s="38"/>
      <c r="AC4645" s="38"/>
      <c r="AD4645" s="38"/>
      <c r="AE4645" s="38"/>
      <c r="AF4645" s="38"/>
      <c r="AG4645" s="38"/>
      <c r="AH4645" s="38"/>
      <c r="AI4645" s="38"/>
      <c r="AJ4645" s="38"/>
      <c r="AK4645" s="38"/>
      <c r="AL4645" s="38"/>
      <c r="AM4645" s="38"/>
      <c r="AN4645" s="38"/>
      <c r="AO4645" s="38"/>
      <c r="AP4645" s="38"/>
      <c r="AQ4645" s="38"/>
      <c r="AR4645" s="38"/>
      <c r="AS4645" s="38"/>
      <c r="AT4645" s="38"/>
      <c r="AU4645" s="38"/>
      <c r="AV4645" s="38"/>
      <c r="AW4645" s="38"/>
      <c r="AX4645" s="38"/>
      <c r="AY4645" s="38"/>
      <c r="AZ4645" s="38"/>
      <c r="BA4645" s="38"/>
      <c r="BB4645" s="38"/>
      <c r="BC4645" s="38"/>
      <c r="BD4645" s="38"/>
      <c r="BE4645" s="38"/>
      <c r="BF4645" s="38"/>
      <c r="BG4645" s="38"/>
      <c r="BH4645" s="38"/>
      <c r="BI4645" s="38"/>
      <c r="BJ4645" s="38"/>
      <c r="BK4645" s="38"/>
      <c r="BL4645" s="38"/>
      <c r="BM4645" s="38"/>
      <c r="BN4645" s="38"/>
      <c r="BO4645" s="38"/>
      <c r="BP4645" s="38"/>
      <c r="BQ4645" s="38"/>
    </row>
    <row r="4646">
      <c r="A4646" s="16"/>
      <c r="B4646" s="145"/>
      <c r="C4646" s="146"/>
      <c r="D4646" s="146"/>
      <c r="E4646" s="16"/>
      <c r="F4646" s="91"/>
      <c r="G4646" s="16"/>
      <c r="H4646" s="320" t="str">
        <f t="shared" si="424"/>
        <v/>
      </c>
      <c r="I4646" s="16"/>
      <c r="J4646" s="16"/>
      <c r="K4646" s="16"/>
      <c r="L4646" s="16"/>
      <c r="M4646" s="15"/>
      <c r="N4646" s="15"/>
      <c r="O4646" s="16"/>
      <c r="P4646" s="16"/>
      <c r="Q4646" s="16"/>
      <c r="R4646" s="16"/>
      <c r="S4646" s="37" t="str">
        <f>IFERROR(__xludf.DUMMYFUNCTION("if(not(iserror(index(split(C4646, "" ""),2))), index(split(C4646, "" ""),1),"""")"),"")</f>
        <v/>
      </c>
      <c r="T4646" s="315" t="str">
        <f>IFERROR(__xludf.DUMMYFUNCTION("if(S4646="""",C4646,if(not(iserror(index(split(C4646, "" ""),3))), index(split(C4646, "" ""),3),index(split(C4646, "" ""),2)))"),"")</f>
        <v/>
      </c>
      <c r="U4646" s="38" t="b">
        <f t="shared" si="423"/>
        <v>0</v>
      </c>
      <c r="V4646" s="38"/>
      <c r="W4646" s="40"/>
      <c r="X4646" s="40"/>
      <c r="Y4646" s="40"/>
      <c r="Z4646" s="38"/>
      <c r="AA4646" s="38"/>
      <c r="AB4646" s="38"/>
      <c r="AC4646" s="38"/>
      <c r="AD4646" s="38"/>
      <c r="AE4646" s="38"/>
      <c r="AF4646" s="38"/>
      <c r="AG4646" s="38"/>
      <c r="AH4646" s="38"/>
      <c r="AI4646" s="38"/>
      <c r="AJ4646" s="38"/>
      <c r="AK4646" s="38"/>
      <c r="AL4646" s="38"/>
      <c r="AM4646" s="38"/>
      <c r="AN4646" s="38"/>
      <c r="AO4646" s="38"/>
      <c r="AP4646" s="38"/>
      <c r="AQ4646" s="38"/>
      <c r="AR4646" s="38"/>
      <c r="AS4646" s="38"/>
      <c r="AT4646" s="38"/>
      <c r="AU4646" s="38"/>
      <c r="AV4646" s="38"/>
      <c r="AW4646" s="38"/>
      <c r="AX4646" s="38"/>
      <c r="AY4646" s="38"/>
      <c r="AZ4646" s="38"/>
      <c r="BA4646" s="38"/>
      <c r="BB4646" s="38"/>
      <c r="BC4646" s="38"/>
      <c r="BD4646" s="38"/>
      <c r="BE4646" s="38"/>
      <c r="BF4646" s="38"/>
      <c r="BG4646" s="38"/>
      <c r="BH4646" s="38"/>
      <c r="BI4646" s="38"/>
      <c r="BJ4646" s="38"/>
      <c r="BK4646" s="38"/>
      <c r="BL4646" s="38"/>
      <c r="BM4646" s="38"/>
      <c r="BN4646" s="38"/>
      <c r="BO4646" s="38"/>
      <c r="BP4646" s="38"/>
      <c r="BQ4646" s="38"/>
    </row>
    <row r="4647">
      <c r="A4647" s="16"/>
      <c r="B4647" s="145"/>
      <c r="C4647" s="146"/>
      <c r="D4647" s="146"/>
      <c r="E4647" s="16"/>
      <c r="F4647" s="91"/>
      <c r="G4647" s="16"/>
      <c r="H4647" s="320" t="str">
        <f t="shared" si="424"/>
        <v/>
      </c>
      <c r="I4647" s="16"/>
      <c r="J4647" s="16"/>
      <c r="K4647" s="16"/>
      <c r="L4647" s="16"/>
      <c r="M4647" s="15"/>
      <c r="N4647" s="15"/>
      <c r="O4647" s="16"/>
      <c r="P4647" s="16"/>
      <c r="Q4647" s="16"/>
      <c r="R4647" s="16"/>
      <c r="S4647" s="37" t="str">
        <f>IFERROR(__xludf.DUMMYFUNCTION("if(not(iserror(index(split(C4647, "" ""),2))), index(split(C4647, "" ""),1),"""")"),"")</f>
        <v/>
      </c>
      <c r="T4647" s="315" t="str">
        <f>IFERROR(__xludf.DUMMYFUNCTION("if(S4647="""",C4647,if(not(iserror(index(split(C4647, "" ""),3))), index(split(C4647, "" ""),3),index(split(C4647, "" ""),2)))"),"")</f>
        <v/>
      </c>
      <c r="U4647" s="38" t="b">
        <f t="shared" si="423"/>
        <v>0</v>
      </c>
      <c r="V4647" s="38"/>
      <c r="W4647" s="40"/>
      <c r="X4647" s="40"/>
      <c r="Y4647" s="40"/>
      <c r="Z4647" s="38"/>
      <c r="AA4647" s="38"/>
      <c r="AB4647" s="38"/>
      <c r="AC4647" s="38"/>
      <c r="AD4647" s="38"/>
      <c r="AE4647" s="38"/>
      <c r="AF4647" s="38"/>
      <c r="AG4647" s="38"/>
      <c r="AH4647" s="38"/>
      <c r="AI4647" s="38"/>
      <c r="AJ4647" s="38"/>
      <c r="AK4647" s="38"/>
      <c r="AL4647" s="38"/>
      <c r="AM4647" s="38"/>
      <c r="AN4647" s="38"/>
      <c r="AO4647" s="38"/>
      <c r="AP4647" s="38"/>
      <c r="AQ4647" s="38"/>
      <c r="AR4647" s="38"/>
      <c r="AS4647" s="38"/>
      <c r="AT4647" s="38"/>
      <c r="AU4647" s="38"/>
      <c r="AV4647" s="38"/>
      <c r="AW4647" s="38"/>
      <c r="AX4647" s="38"/>
      <c r="AY4647" s="38"/>
      <c r="AZ4647" s="38"/>
      <c r="BA4647" s="38"/>
      <c r="BB4647" s="38"/>
      <c r="BC4647" s="38"/>
      <c r="BD4647" s="38"/>
      <c r="BE4647" s="38"/>
      <c r="BF4647" s="38"/>
      <c r="BG4647" s="38"/>
      <c r="BH4647" s="38"/>
      <c r="BI4647" s="38"/>
      <c r="BJ4647" s="38"/>
      <c r="BK4647" s="38"/>
      <c r="BL4647" s="38"/>
      <c r="BM4647" s="38"/>
      <c r="BN4647" s="38"/>
      <c r="BO4647" s="38"/>
      <c r="BP4647" s="38"/>
      <c r="BQ4647" s="38"/>
    </row>
    <row r="4648">
      <c r="A4648" s="16"/>
      <c r="B4648" s="145"/>
      <c r="C4648" s="146"/>
      <c r="D4648" s="146"/>
      <c r="E4648" s="16"/>
      <c r="F4648" s="91"/>
      <c r="G4648" s="16"/>
      <c r="H4648" s="320" t="str">
        <f t="shared" si="424"/>
        <v/>
      </c>
      <c r="I4648" s="16"/>
      <c r="J4648" s="16"/>
      <c r="K4648" s="16"/>
      <c r="L4648" s="16"/>
      <c r="M4648" s="15"/>
      <c r="N4648" s="15"/>
      <c r="O4648" s="16"/>
      <c r="P4648" s="16"/>
      <c r="Q4648" s="16"/>
      <c r="R4648" s="16"/>
      <c r="S4648" s="37" t="str">
        <f>IFERROR(__xludf.DUMMYFUNCTION("if(not(iserror(index(split(C4648, "" ""),2))), index(split(C4648, "" ""),1),"""")"),"")</f>
        <v/>
      </c>
      <c r="T4648" s="315" t="str">
        <f>IFERROR(__xludf.DUMMYFUNCTION("if(S4648="""",C4648,if(not(iserror(index(split(C4648, "" ""),3))), index(split(C4648, "" ""),3),index(split(C4648, "" ""),2)))"),"")</f>
        <v/>
      </c>
      <c r="U4648" s="38" t="b">
        <f t="shared" si="423"/>
        <v>0</v>
      </c>
      <c r="V4648" s="38"/>
      <c r="W4648" s="40"/>
      <c r="X4648" s="40"/>
      <c r="Y4648" s="40"/>
      <c r="Z4648" s="38"/>
      <c r="AA4648" s="38"/>
      <c r="AB4648" s="38"/>
      <c r="AC4648" s="38"/>
      <c r="AD4648" s="38"/>
      <c r="AE4648" s="38"/>
      <c r="AF4648" s="38"/>
      <c r="AG4648" s="38"/>
      <c r="AH4648" s="38"/>
      <c r="AI4648" s="38"/>
      <c r="AJ4648" s="38"/>
      <c r="AK4648" s="38"/>
      <c r="AL4648" s="38"/>
      <c r="AM4648" s="38"/>
      <c r="AN4648" s="38"/>
      <c r="AO4648" s="38"/>
      <c r="AP4648" s="38"/>
      <c r="AQ4648" s="38"/>
      <c r="AR4648" s="38"/>
      <c r="AS4648" s="38"/>
      <c r="AT4648" s="38"/>
      <c r="AU4648" s="38"/>
      <c r="AV4648" s="38"/>
      <c r="AW4648" s="38"/>
      <c r="AX4648" s="38"/>
      <c r="AY4648" s="38"/>
      <c r="AZ4648" s="38"/>
      <c r="BA4648" s="38"/>
      <c r="BB4648" s="38"/>
      <c r="BC4648" s="38"/>
      <c r="BD4648" s="38"/>
      <c r="BE4648" s="38"/>
      <c r="BF4648" s="38"/>
      <c r="BG4648" s="38"/>
      <c r="BH4648" s="38"/>
      <c r="BI4648" s="38"/>
      <c r="BJ4648" s="38"/>
      <c r="BK4648" s="38"/>
      <c r="BL4648" s="38"/>
      <c r="BM4648" s="38"/>
      <c r="BN4648" s="38"/>
      <c r="BO4648" s="38"/>
      <c r="BP4648" s="38"/>
      <c r="BQ4648" s="38"/>
    </row>
    <row r="4649">
      <c r="A4649" s="16"/>
      <c r="B4649" s="145"/>
      <c r="C4649" s="146"/>
      <c r="D4649" s="146"/>
      <c r="E4649" s="16"/>
      <c r="F4649" s="91"/>
      <c r="G4649" s="16"/>
      <c r="H4649" s="320" t="str">
        <f t="shared" si="424"/>
        <v/>
      </c>
      <c r="I4649" s="16"/>
      <c r="J4649" s="16"/>
      <c r="K4649" s="16"/>
      <c r="L4649" s="16"/>
      <c r="M4649" s="15"/>
      <c r="N4649" s="15"/>
      <c r="O4649" s="16"/>
      <c r="P4649" s="16"/>
      <c r="Q4649" s="16"/>
      <c r="R4649" s="16"/>
      <c r="S4649" s="37" t="str">
        <f>IFERROR(__xludf.DUMMYFUNCTION("if(not(iserror(index(split(C4649, "" ""),2))), index(split(C4649, "" ""),1),"""")"),"")</f>
        <v/>
      </c>
      <c r="T4649" s="315" t="str">
        <f>IFERROR(__xludf.DUMMYFUNCTION("if(S4649="""",C4649,if(not(iserror(index(split(C4649, "" ""),3))), index(split(C4649, "" ""),3),index(split(C4649, "" ""),2)))"),"")</f>
        <v/>
      </c>
      <c r="U4649" s="38" t="b">
        <f t="shared" si="423"/>
        <v>0</v>
      </c>
      <c r="V4649" s="38"/>
      <c r="W4649" s="40"/>
      <c r="X4649" s="40"/>
      <c r="Y4649" s="40"/>
      <c r="Z4649" s="38"/>
      <c r="AA4649" s="38"/>
      <c r="AB4649" s="38"/>
      <c r="AC4649" s="38"/>
      <c r="AD4649" s="38"/>
      <c r="AE4649" s="38"/>
      <c r="AF4649" s="38"/>
      <c r="AG4649" s="38"/>
      <c r="AH4649" s="38"/>
      <c r="AI4649" s="38"/>
      <c r="AJ4649" s="38"/>
      <c r="AK4649" s="38"/>
      <c r="AL4649" s="38"/>
      <c r="AM4649" s="38"/>
      <c r="AN4649" s="38"/>
      <c r="AO4649" s="38"/>
      <c r="AP4649" s="38"/>
      <c r="AQ4649" s="38"/>
      <c r="AR4649" s="38"/>
      <c r="AS4649" s="38"/>
      <c r="AT4649" s="38"/>
      <c r="AU4649" s="38"/>
      <c r="AV4649" s="38"/>
      <c r="AW4649" s="38"/>
      <c r="AX4649" s="38"/>
      <c r="AY4649" s="38"/>
      <c r="AZ4649" s="38"/>
      <c r="BA4649" s="38"/>
      <c r="BB4649" s="38"/>
      <c r="BC4649" s="38"/>
      <c r="BD4649" s="38"/>
      <c r="BE4649" s="38"/>
      <c r="BF4649" s="38"/>
      <c r="BG4649" s="38"/>
      <c r="BH4649" s="38"/>
      <c r="BI4649" s="38"/>
      <c r="BJ4649" s="38"/>
      <c r="BK4649" s="38"/>
      <c r="BL4649" s="38"/>
      <c r="BM4649" s="38"/>
      <c r="BN4649" s="38"/>
      <c r="BO4649" s="38"/>
      <c r="BP4649" s="38"/>
      <c r="BQ4649" s="38"/>
    </row>
    <row r="4650">
      <c r="A4650" s="16"/>
      <c r="B4650" s="145"/>
      <c r="C4650" s="146"/>
      <c r="D4650" s="146"/>
      <c r="E4650" s="16"/>
      <c r="F4650" s="91"/>
      <c r="G4650" s="16"/>
      <c r="H4650" s="320" t="str">
        <f t="shared" si="424"/>
        <v/>
      </c>
      <c r="I4650" s="16"/>
      <c r="J4650" s="16"/>
      <c r="K4650" s="16"/>
      <c r="L4650" s="16"/>
      <c r="M4650" s="15"/>
      <c r="N4650" s="15"/>
      <c r="O4650" s="16"/>
      <c r="P4650" s="16"/>
      <c r="Q4650" s="16"/>
      <c r="R4650" s="16"/>
      <c r="S4650" s="37" t="str">
        <f>IFERROR(__xludf.DUMMYFUNCTION("if(not(iserror(index(split(C4650, "" ""),2))), index(split(C4650, "" ""),1),"""")"),"")</f>
        <v/>
      </c>
      <c r="T4650" s="315" t="str">
        <f>IFERROR(__xludf.DUMMYFUNCTION("if(S4650="""",C4650,if(not(iserror(index(split(C4650, "" ""),3))), index(split(C4650, "" ""),3),index(split(C4650, "" ""),2)))"),"")</f>
        <v/>
      </c>
      <c r="U4650" s="38" t="b">
        <f t="shared" si="423"/>
        <v>0</v>
      </c>
      <c r="V4650" s="38"/>
      <c r="W4650" s="40"/>
      <c r="X4650" s="40"/>
      <c r="Y4650" s="40"/>
      <c r="Z4650" s="38"/>
      <c r="AA4650" s="38"/>
      <c r="AB4650" s="38"/>
      <c r="AC4650" s="38"/>
      <c r="AD4650" s="38"/>
      <c r="AE4650" s="38"/>
      <c r="AF4650" s="38"/>
      <c r="AG4650" s="38"/>
      <c r="AH4650" s="38"/>
      <c r="AI4650" s="38"/>
      <c r="AJ4650" s="38"/>
      <c r="AK4650" s="38"/>
      <c r="AL4650" s="38"/>
      <c r="AM4650" s="38"/>
      <c r="AN4650" s="38"/>
      <c r="AO4650" s="38"/>
      <c r="AP4650" s="38"/>
      <c r="AQ4650" s="38"/>
      <c r="AR4650" s="38"/>
      <c r="AS4650" s="38"/>
      <c r="AT4650" s="38"/>
      <c r="AU4650" s="38"/>
      <c r="AV4650" s="38"/>
      <c r="AW4650" s="38"/>
      <c r="AX4650" s="38"/>
      <c r="AY4650" s="38"/>
      <c r="AZ4650" s="38"/>
      <c r="BA4650" s="38"/>
      <c r="BB4650" s="38"/>
      <c r="BC4650" s="38"/>
      <c r="BD4650" s="38"/>
      <c r="BE4650" s="38"/>
      <c r="BF4650" s="38"/>
      <c r="BG4650" s="38"/>
      <c r="BH4650" s="38"/>
      <c r="BI4650" s="38"/>
      <c r="BJ4650" s="38"/>
      <c r="BK4650" s="38"/>
      <c r="BL4650" s="38"/>
      <c r="BM4650" s="38"/>
      <c r="BN4650" s="38"/>
      <c r="BO4650" s="38"/>
      <c r="BP4650" s="38"/>
      <c r="BQ4650" s="38"/>
    </row>
    <row r="4651">
      <c r="A4651" s="16"/>
      <c r="B4651" s="145"/>
      <c r="C4651" s="146"/>
      <c r="D4651" s="146"/>
      <c r="E4651" s="16"/>
      <c r="F4651" s="91"/>
      <c r="G4651" s="16"/>
      <c r="H4651" s="320" t="str">
        <f t="shared" si="424"/>
        <v/>
      </c>
      <c r="I4651" s="16"/>
      <c r="J4651" s="16"/>
      <c r="K4651" s="16"/>
      <c r="L4651" s="16"/>
      <c r="M4651" s="15"/>
      <c r="N4651" s="15"/>
      <c r="O4651" s="16"/>
      <c r="P4651" s="16"/>
      <c r="Q4651" s="16"/>
      <c r="R4651" s="16"/>
      <c r="S4651" s="37" t="str">
        <f>IFERROR(__xludf.DUMMYFUNCTION("if(not(iserror(index(split(C4651, "" ""),2))), index(split(C4651, "" ""),1),"""")"),"")</f>
        <v/>
      </c>
      <c r="T4651" s="315" t="str">
        <f>IFERROR(__xludf.DUMMYFUNCTION("if(S4651="""",C4651,if(not(iserror(index(split(C4651, "" ""),3))), index(split(C4651, "" ""),3),index(split(C4651, "" ""),2)))"),"")</f>
        <v/>
      </c>
      <c r="U4651" s="38" t="b">
        <f t="shared" si="423"/>
        <v>0</v>
      </c>
      <c r="V4651" s="38"/>
      <c r="W4651" s="40"/>
      <c r="X4651" s="40"/>
      <c r="Y4651" s="40"/>
      <c r="Z4651" s="38"/>
      <c r="AA4651" s="38"/>
      <c r="AB4651" s="38"/>
      <c r="AC4651" s="38"/>
      <c r="AD4651" s="38"/>
      <c r="AE4651" s="38"/>
      <c r="AF4651" s="38"/>
      <c r="AG4651" s="38"/>
      <c r="AH4651" s="38"/>
      <c r="AI4651" s="38"/>
      <c r="AJ4651" s="38"/>
      <c r="AK4651" s="38"/>
      <c r="AL4651" s="38"/>
      <c r="AM4651" s="38"/>
      <c r="AN4651" s="38"/>
      <c r="AO4651" s="38"/>
      <c r="AP4651" s="38"/>
      <c r="AQ4651" s="38"/>
      <c r="AR4651" s="38"/>
      <c r="AS4651" s="38"/>
      <c r="AT4651" s="38"/>
      <c r="AU4651" s="38"/>
      <c r="AV4651" s="38"/>
      <c r="AW4651" s="38"/>
      <c r="AX4651" s="38"/>
      <c r="AY4651" s="38"/>
      <c r="AZ4651" s="38"/>
      <c r="BA4651" s="38"/>
      <c r="BB4651" s="38"/>
      <c r="BC4651" s="38"/>
      <c r="BD4651" s="38"/>
      <c r="BE4651" s="38"/>
      <c r="BF4651" s="38"/>
      <c r="BG4651" s="38"/>
      <c r="BH4651" s="38"/>
      <c r="BI4651" s="38"/>
      <c r="BJ4651" s="38"/>
      <c r="BK4651" s="38"/>
      <c r="BL4651" s="38"/>
      <c r="BM4651" s="38"/>
      <c r="BN4651" s="38"/>
      <c r="BO4651" s="38"/>
      <c r="BP4651" s="38"/>
      <c r="BQ4651" s="38"/>
    </row>
    <row r="4652">
      <c r="A4652" s="16"/>
      <c r="B4652" s="145"/>
      <c r="C4652" s="146"/>
      <c r="D4652" s="146"/>
      <c r="E4652" s="16"/>
      <c r="F4652" s="91"/>
      <c r="G4652" s="16"/>
      <c r="H4652" s="320" t="str">
        <f t="shared" si="424"/>
        <v/>
      </c>
      <c r="I4652" s="16"/>
      <c r="J4652" s="16"/>
      <c r="K4652" s="16"/>
      <c r="L4652" s="16"/>
      <c r="M4652" s="15"/>
      <c r="N4652" s="15"/>
      <c r="O4652" s="16"/>
      <c r="P4652" s="16"/>
      <c r="Q4652" s="16"/>
      <c r="R4652" s="16"/>
      <c r="S4652" s="37" t="str">
        <f>IFERROR(__xludf.DUMMYFUNCTION("if(not(iserror(index(split(C4652, "" ""),2))), index(split(C4652, "" ""),1),"""")"),"")</f>
        <v/>
      </c>
      <c r="T4652" s="315" t="str">
        <f>IFERROR(__xludf.DUMMYFUNCTION("if(S4652="""",C4652,if(not(iserror(index(split(C4652, "" ""),3))), index(split(C4652, "" ""),3),index(split(C4652, "" ""),2)))"),"")</f>
        <v/>
      </c>
      <c r="U4652" s="38" t="b">
        <f t="shared" si="423"/>
        <v>0</v>
      </c>
      <c r="V4652" s="38"/>
      <c r="W4652" s="40"/>
      <c r="X4652" s="40"/>
      <c r="Y4652" s="40"/>
      <c r="Z4652" s="38"/>
      <c r="AA4652" s="38"/>
      <c r="AB4652" s="38"/>
      <c r="AC4652" s="38"/>
      <c r="AD4652" s="38"/>
      <c r="AE4652" s="38"/>
      <c r="AF4652" s="38"/>
      <c r="AG4652" s="38"/>
      <c r="AH4652" s="38"/>
      <c r="AI4652" s="38"/>
      <c r="AJ4652" s="38"/>
      <c r="AK4652" s="38"/>
      <c r="AL4652" s="38"/>
      <c r="AM4652" s="38"/>
      <c r="AN4652" s="38"/>
      <c r="AO4652" s="38"/>
      <c r="AP4652" s="38"/>
      <c r="AQ4652" s="38"/>
      <c r="AR4652" s="38"/>
      <c r="AS4652" s="38"/>
      <c r="AT4652" s="38"/>
      <c r="AU4652" s="38"/>
      <c r="AV4652" s="38"/>
      <c r="AW4652" s="38"/>
      <c r="AX4652" s="38"/>
      <c r="AY4652" s="38"/>
      <c r="AZ4652" s="38"/>
      <c r="BA4652" s="38"/>
      <c r="BB4652" s="38"/>
      <c r="BC4652" s="38"/>
      <c r="BD4652" s="38"/>
      <c r="BE4652" s="38"/>
      <c r="BF4652" s="38"/>
      <c r="BG4652" s="38"/>
      <c r="BH4652" s="38"/>
      <c r="BI4652" s="38"/>
      <c r="BJ4652" s="38"/>
      <c r="BK4652" s="38"/>
      <c r="BL4652" s="38"/>
      <c r="BM4652" s="38"/>
      <c r="BN4652" s="38"/>
      <c r="BO4652" s="38"/>
      <c r="BP4652" s="38"/>
      <c r="BQ4652" s="38"/>
    </row>
    <row r="4653">
      <c r="A4653" s="16"/>
      <c r="B4653" s="145"/>
      <c r="C4653" s="146"/>
      <c r="D4653" s="146"/>
      <c r="E4653" s="16"/>
      <c r="F4653" s="91"/>
      <c r="G4653" s="16"/>
      <c r="H4653" s="320" t="str">
        <f t="shared" si="424"/>
        <v/>
      </c>
      <c r="I4653" s="16"/>
      <c r="J4653" s="16"/>
      <c r="K4653" s="16"/>
      <c r="L4653" s="16"/>
      <c r="M4653" s="15"/>
      <c r="N4653" s="15"/>
      <c r="O4653" s="16"/>
      <c r="P4653" s="16"/>
      <c r="Q4653" s="16"/>
      <c r="R4653" s="16"/>
      <c r="S4653" s="37" t="str">
        <f>IFERROR(__xludf.DUMMYFUNCTION("if(not(iserror(index(split(C4653, "" ""),2))), index(split(C4653, "" ""),1),"""")"),"")</f>
        <v/>
      </c>
      <c r="T4653" s="315" t="str">
        <f>IFERROR(__xludf.DUMMYFUNCTION("if(S4653="""",C4653,if(not(iserror(index(split(C4653, "" ""),3))), index(split(C4653, "" ""),3),index(split(C4653, "" ""),2)))"),"")</f>
        <v/>
      </c>
      <c r="U4653" s="38" t="b">
        <f t="shared" si="423"/>
        <v>0</v>
      </c>
      <c r="V4653" s="38"/>
      <c r="W4653" s="40"/>
      <c r="X4653" s="40"/>
      <c r="Y4653" s="40"/>
      <c r="Z4653" s="38"/>
      <c r="AA4653" s="38"/>
      <c r="AB4653" s="38"/>
      <c r="AC4653" s="38"/>
      <c r="AD4653" s="38"/>
      <c r="AE4653" s="38"/>
      <c r="AF4653" s="38"/>
      <c r="AG4653" s="38"/>
      <c r="AH4653" s="38"/>
      <c r="AI4653" s="38"/>
      <c r="AJ4653" s="38"/>
      <c r="AK4653" s="38"/>
      <c r="AL4653" s="38"/>
      <c r="AM4653" s="38"/>
      <c r="AN4653" s="38"/>
      <c r="AO4653" s="38"/>
      <c r="AP4653" s="38"/>
      <c r="AQ4653" s="38"/>
      <c r="AR4653" s="38"/>
      <c r="AS4653" s="38"/>
      <c r="AT4653" s="38"/>
      <c r="AU4653" s="38"/>
      <c r="AV4653" s="38"/>
      <c r="AW4653" s="38"/>
      <c r="AX4653" s="38"/>
      <c r="AY4653" s="38"/>
      <c r="AZ4653" s="38"/>
      <c r="BA4653" s="38"/>
      <c r="BB4653" s="38"/>
      <c r="BC4653" s="38"/>
      <c r="BD4653" s="38"/>
      <c r="BE4653" s="38"/>
      <c r="BF4653" s="38"/>
      <c r="BG4653" s="38"/>
      <c r="BH4653" s="38"/>
      <c r="BI4653" s="38"/>
      <c r="BJ4653" s="38"/>
      <c r="BK4653" s="38"/>
      <c r="BL4653" s="38"/>
      <c r="BM4653" s="38"/>
      <c r="BN4653" s="38"/>
      <c r="BO4653" s="38"/>
      <c r="BP4653" s="38"/>
      <c r="BQ4653" s="38"/>
    </row>
    <row r="4654">
      <c r="A4654" s="16"/>
      <c r="B4654" s="145"/>
      <c r="C4654" s="146"/>
      <c r="D4654" s="146"/>
      <c r="E4654" s="16"/>
      <c r="F4654" s="91"/>
      <c r="G4654" s="16"/>
      <c r="H4654" s="320" t="str">
        <f t="shared" si="424"/>
        <v/>
      </c>
      <c r="I4654" s="16"/>
      <c r="J4654" s="16"/>
      <c r="K4654" s="16"/>
      <c r="L4654" s="16"/>
      <c r="M4654" s="15"/>
      <c r="N4654" s="15"/>
      <c r="O4654" s="16"/>
      <c r="P4654" s="16"/>
      <c r="Q4654" s="16"/>
      <c r="R4654" s="16"/>
      <c r="S4654" s="37" t="str">
        <f>IFERROR(__xludf.DUMMYFUNCTION("if(not(iserror(index(split(C4654, "" ""),2))), index(split(C4654, "" ""),1),"""")"),"")</f>
        <v/>
      </c>
      <c r="T4654" s="315" t="str">
        <f>IFERROR(__xludf.DUMMYFUNCTION("if(S4654="""",C4654,if(not(iserror(index(split(C4654, "" ""),3))), index(split(C4654, "" ""),3),index(split(C4654, "" ""),2)))"),"")</f>
        <v/>
      </c>
      <c r="U4654" s="38" t="b">
        <f t="shared" si="423"/>
        <v>0</v>
      </c>
      <c r="V4654" s="38"/>
      <c r="W4654" s="40"/>
      <c r="X4654" s="40"/>
      <c r="Y4654" s="40"/>
      <c r="Z4654" s="38"/>
      <c r="AA4654" s="38"/>
      <c r="AB4654" s="38"/>
      <c r="AC4654" s="38"/>
      <c r="AD4654" s="38"/>
      <c r="AE4654" s="38"/>
      <c r="AF4654" s="38"/>
      <c r="AG4654" s="38"/>
      <c r="AH4654" s="38"/>
      <c r="AI4654" s="38"/>
      <c r="AJ4654" s="38"/>
      <c r="AK4654" s="38"/>
      <c r="AL4654" s="38"/>
      <c r="AM4654" s="38"/>
      <c r="AN4654" s="38"/>
      <c r="AO4654" s="38"/>
      <c r="AP4654" s="38"/>
      <c r="AQ4654" s="38"/>
      <c r="AR4654" s="38"/>
      <c r="AS4654" s="38"/>
      <c r="AT4654" s="38"/>
      <c r="AU4654" s="38"/>
      <c r="AV4654" s="38"/>
      <c r="AW4654" s="38"/>
      <c r="AX4654" s="38"/>
      <c r="AY4654" s="38"/>
      <c r="AZ4654" s="38"/>
      <c r="BA4654" s="38"/>
      <c r="BB4654" s="38"/>
      <c r="BC4654" s="38"/>
      <c r="BD4654" s="38"/>
      <c r="BE4654" s="38"/>
      <c r="BF4654" s="38"/>
      <c r="BG4654" s="38"/>
      <c r="BH4654" s="38"/>
      <c r="BI4654" s="38"/>
      <c r="BJ4654" s="38"/>
      <c r="BK4654" s="38"/>
      <c r="BL4654" s="38"/>
      <c r="BM4654" s="38"/>
      <c r="BN4654" s="38"/>
      <c r="BO4654" s="38"/>
      <c r="BP4654" s="38"/>
      <c r="BQ4654" s="38"/>
    </row>
    <row r="4655">
      <c r="A4655" s="16"/>
      <c r="B4655" s="145"/>
      <c r="C4655" s="146"/>
      <c r="D4655" s="146"/>
      <c r="E4655" s="16"/>
      <c r="F4655" s="91"/>
      <c r="G4655" s="16"/>
      <c r="H4655" s="320" t="str">
        <f t="shared" si="424"/>
        <v/>
      </c>
      <c r="I4655" s="16"/>
      <c r="J4655" s="16"/>
      <c r="K4655" s="16"/>
      <c r="L4655" s="16"/>
      <c r="M4655" s="15"/>
      <c r="N4655" s="15"/>
      <c r="O4655" s="16"/>
      <c r="P4655" s="16"/>
      <c r="Q4655" s="16"/>
      <c r="R4655" s="16"/>
      <c r="S4655" s="37" t="str">
        <f>IFERROR(__xludf.DUMMYFUNCTION("if(not(iserror(index(split(C4655, "" ""),2))), index(split(C4655, "" ""),1),"""")"),"")</f>
        <v/>
      </c>
      <c r="T4655" s="315" t="str">
        <f>IFERROR(__xludf.DUMMYFUNCTION("if(S4655="""",C4655,if(not(iserror(index(split(C4655, "" ""),3))), index(split(C4655, "" ""),3),index(split(C4655, "" ""),2)))"),"")</f>
        <v/>
      </c>
      <c r="U4655" s="38" t="b">
        <f t="shared" si="423"/>
        <v>0</v>
      </c>
      <c r="V4655" s="38"/>
      <c r="W4655" s="40"/>
      <c r="X4655" s="40"/>
      <c r="Y4655" s="40"/>
      <c r="Z4655" s="38"/>
      <c r="AA4655" s="38"/>
      <c r="AB4655" s="38"/>
      <c r="AC4655" s="38"/>
      <c r="AD4655" s="38"/>
      <c r="AE4655" s="38"/>
      <c r="AF4655" s="38"/>
      <c r="AG4655" s="38"/>
      <c r="AH4655" s="38"/>
      <c r="AI4655" s="38"/>
      <c r="AJ4655" s="38"/>
      <c r="AK4655" s="38"/>
      <c r="AL4655" s="38"/>
      <c r="AM4655" s="38"/>
      <c r="AN4655" s="38"/>
      <c r="AO4655" s="38"/>
      <c r="AP4655" s="38"/>
      <c r="AQ4655" s="38"/>
      <c r="AR4655" s="38"/>
      <c r="AS4655" s="38"/>
      <c r="AT4655" s="38"/>
      <c r="AU4655" s="38"/>
      <c r="AV4655" s="38"/>
      <c r="AW4655" s="38"/>
      <c r="AX4655" s="38"/>
      <c r="AY4655" s="38"/>
      <c r="AZ4655" s="38"/>
      <c r="BA4655" s="38"/>
      <c r="BB4655" s="38"/>
      <c r="BC4655" s="38"/>
      <c r="BD4655" s="38"/>
      <c r="BE4655" s="38"/>
      <c r="BF4655" s="38"/>
      <c r="BG4655" s="38"/>
      <c r="BH4655" s="38"/>
      <c r="BI4655" s="38"/>
      <c r="BJ4655" s="38"/>
      <c r="BK4655" s="38"/>
      <c r="BL4655" s="38"/>
      <c r="BM4655" s="38"/>
      <c r="BN4655" s="38"/>
      <c r="BO4655" s="38"/>
      <c r="BP4655" s="38"/>
      <c r="BQ4655" s="38"/>
    </row>
    <row r="4656">
      <c r="A4656" s="16"/>
      <c r="B4656" s="145"/>
      <c r="C4656" s="146"/>
      <c r="D4656" s="146"/>
      <c r="E4656" s="16"/>
      <c r="F4656" s="91"/>
      <c r="G4656" s="16"/>
      <c r="H4656" s="320" t="str">
        <f t="shared" si="424"/>
        <v/>
      </c>
      <c r="I4656" s="16"/>
      <c r="J4656" s="16"/>
      <c r="K4656" s="16"/>
      <c r="L4656" s="16"/>
      <c r="M4656" s="15"/>
      <c r="N4656" s="15"/>
      <c r="O4656" s="16"/>
      <c r="P4656" s="16"/>
      <c r="Q4656" s="16"/>
      <c r="R4656" s="16"/>
      <c r="S4656" s="37" t="str">
        <f>IFERROR(__xludf.DUMMYFUNCTION("if(not(iserror(index(split(C4656, "" ""),2))), index(split(C4656, "" ""),1),"""")"),"")</f>
        <v/>
      </c>
      <c r="T4656" s="315" t="str">
        <f>IFERROR(__xludf.DUMMYFUNCTION("if(S4656="""",C4656,if(not(iserror(index(split(C4656, "" ""),3))), index(split(C4656, "" ""),3),index(split(C4656, "" ""),2)))"),"")</f>
        <v/>
      </c>
      <c r="U4656" s="38" t="b">
        <f t="shared" si="423"/>
        <v>0</v>
      </c>
      <c r="V4656" s="38"/>
      <c r="W4656" s="40"/>
      <c r="X4656" s="40"/>
      <c r="Y4656" s="40"/>
      <c r="Z4656" s="38"/>
      <c r="AA4656" s="38"/>
      <c r="AB4656" s="38"/>
      <c r="AC4656" s="38"/>
      <c r="AD4656" s="38"/>
      <c r="AE4656" s="38"/>
      <c r="AF4656" s="38"/>
      <c r="AG4656" s="38"/>
      <c r="AH4656" s="38"/>
      <c r="AI4656" s="38"/>
      <c r="AJ4656" s="38"/>
      <c r="AK4656" s="38"/>
      <c r="AL4656" s="38"/>
      <c r="AM4656" s="38"/>
      <c r="AN4656" s="38"/>
      <c r="AO4656" s="38"/>
      <c r="AP4656" s="38"/>
      <c r="AQ4656" s="38"/>
      <c r="AR4656" s="38"/>
      <c r="AS4656" s="38"/>
      <c r="AT4656" s="38"/>
      <c r="AU4656" s="38"/>
      <c r="AV4656" s="38"/>
      <c r="AW4656" s="38"/>
      <c r="AX4656" s="38"/>
      <c r="AY4656" s="38"/>
      <c r="AZ4656" s="38"/>
      <c r="BA4656" s="38"/>
      <c r="BB4656" s="38"/>
      <c r="BC4656" s="38"/>
      <c r="BD4656" s="38"/>
      <c r="BE4656" s="38"/>
      <c r="BF4656" s="38"/>
      <c r="BG4656" s="38"/>
      <c r="BH4656" s="38"/>
      <c r="BI4656" s="38"/>
      <c r="BJ4656" s="38"/>
      <c r="BK4656" s="38"/>
      <c r="BL4656" s="38"/>
      <c r="BM4656" s="38"/>
      <c r="BN4656" s="38"/>
      <c r="BO4656" s="38"/>
      <c r="BP4656" s="38"/>
      <c r="BQ4656" s="38"/>
    </row>
    <row r="4657">
      <c r="A4657" s="16"/>
      <c r="B4657" s="145"/>
      <c r="C4657" s="146"/>
      <c r="D4657" s="146"/>
      <c r="E4657" s="16"/>
      <c r="F4657" s="91"/>
      <c r="G4657" s="16"/>
      <c r="H4657" s="320" t="str">
        <f t="shared" si="424"/>
        <v/>
      </c>
      <c r="I4657" s="16"/>
      <c r="J4657" s="16"/>
      <c r="K4657" s="16"/>
      <c r="L4657" s="16"/>
      <c r="M4657" s="15"/>
      <c r="N4657" s="15"/>
      <c r="O4657" s="16"/>
      <c r="P4657" s="16"/>
      <c r="Q4657" s="16"/>
      <c r="R4657" s="16"/>
      <c r="S4657" s="37" t="str">
        <f>IFERROR(__xludf.DUMMYFUNCTION("if(not(iserror(index(split(C4657, "" ""),2))), index(split(C4657, "" ""),1),"""")"),"")</f>
        <v/>
      </c>
      <c r="T4657" s="315" t="str">
        <f>IFERROR(__xludf.DUMMYFUNCTION("if(S4657="""",C4657,if(not(iserror(index(split(C4657, "" ""),3))), index(split(C4657, "" ""),3),index(split(C4657, "" ""),2)))"),"")</f>
        <v/>
      </c>
      <c r="U4657" s="38" t="b">
        <f t="shared" si="423"/>
        <v>0</v>
      </c>
      <c r="V4657" s="38"/>
      <c r="W4657" s="40"/>
      <c r="X4657" s="40"/>
      <c r="Y4657" s="40"/>
      <c r="Z4657" s="38"/>
      <c r="AA4657" s="38"/>
      <c r="AB4657" s="38"/>
      <c r="AC4657" s="38"/>
      <c r="AD4657" s="38"/>
      <c r="AE4657" s="38"/>
      <c r="AF4657" s="38"/>
      <c r="AG4657" s="38"/>
      <c r="AH4657" s="38"/>
      <c r="AI4657" s="38"/>
      <c r="AJ4657" s="38"/>
      <c r="AK4657" s="38"/>
      <c r="AL4657" s="38"/>
      <c r="AM4657" s="38"/>
      <c r="AN4657" s="38"/>
      <c r="AO4657" s="38"/>
      <c r="AP4657" s="38"/>
      <c r="AQ4657" s="38"/>
      <c r="AR4657" s="38"/>
      <c r="AS4657" s="38"/>
      <c r="AT4657" s="38"/>
      <c r="AU4657" s="38"/>
      <c r="AV4657" s="38"/>
      <c r="AW4657" s="38"/>
      <c r="AX4657" s="38"/>
      <c r="AY4657" s="38"/>
      <c r="AZ4657" s="38"/>
      <c r="BA4657" s="38"/>
      <c r="BB4657" s="38"/>
      <c r="BC4657" s="38"/>
      <c r="BD4657" s="38"/>
      <c r="BE4657" s="38"/>
      <c r="BF4657" s="38"/>
      <c r="BG4657" s="38"/>
      <c r="BH4657" s="38"/>
      <c r="BI4657" s="38"/>
      <c r="BJ4657" s="38"/>
      <c r="BK4657" s="38"/>
      <c r="BL4657" s="38"/>
      <c r="BM4657" s="38"/>
      <c r="BN4657" s="38"/>
      <c r="BO4657" s="38"/>
      <c r="BP4657" s="38"/>
      <c r="BQ4657" s="38"/>
    </row>
    <row r="4658">
      <c r="A4658" s="16"/>
      <c r="B4658" s="145"/>
      <c r="C4658" s="146"/>
      <c r="D4658" s="146"/>
      <c r="E4658" s="16"/>
      <c r="F4658" s="91"/>
      <c r="G4658" s="16"/>
      <c r="H4658" s="320"/>
      <c r="I4658" s="16"/>
      <c r="J4658" s="16"/>
      <c r="K4658" s="16"/>
      <c r="L4658" s="16"/>
      <c r="M4658" s="15"/>
      <c r="N4658" s="15"/>
      <c r="O4658" s="16"/>
      <c r="P4658" s="16"/>
      <c r="Q4658" s="16"/>
      <c r="R4658" s="16"/>
      <c r="S4658" s="37" t="str">
        <f>IFERROR(__xludf.DUMMYFUNCTION("if(not(iserror(index(split(C4658, "" ""),2))), index(split(C4658, "" ""),1),"""")"),"")</f>
        <v/>
      </c>
      <c r="T4658" s="315" t="str">
        <f>IFERROR(__xludf.DUMMYFUNCTION("if(S4658="""",C4658,if(not(iserror(index(split(C4658, "" ""),3))), index(split(C4658, "" ""),3),index(split(C4658, "" ""),2)))"),"")</f>
        <v/>
      </c>
      <c r="U4658" s="38" t="b">
        <f t="shared" si="423"/>
        <v>0</v>
      </c>
      <c r="V4658" s="38"/>
      <c r="W4658" s="40"/>
      <c r="X4658" s="40"/>
      <c r="Y4658" s="40"/>
      <c r="Z4658" s="38"/>
      <c r="AA4658" s="38"/>
      <c r="AB4658" s="38"/>
      <c r="AC4658" s="38"/>
      <c r="AD4658" s="38"/>
      <c r="AE4658" s="38"/>
      <c r="AF4658" s="38"/>
      <c r="AG4658" s="38"/>
      <c r="AH4658" s="38"/>
      <c r="AI4658" s="38"/>
      <c r="AJ4658" s="38"/>
      <c r="AK4658" s="38"/>
      <c r="AL4658" s="38"/>
      <c r="AM4658" s="38"/>
      <c r="AN4658" s="38"/>
      <c r="AO4658" s="38"/>
      <c r="AP4658" s="38"/>
      <c r="AQ4658" s="38"/>
      <c r="AR4658" s="38"/>
      <c r="AS4658" s="38"/>
      <c r="AT4658" s="38"/>
      <c r="AU4658" s="38"/>
      <c r="AV4658" s="38"/>
      <c r="AW4658" s="38"/>
      <c r="AX4658" s="38"/>
      <c r="AY4658" s="38"/>
      <c r="AZ4658" s="38"/>
      <c r="BA4658" s="38"/>
      <c r="BB4658" s="38"/>
      <c r="BC4658" s="38"/>
      <c r="BD4658" s="38"/>
      <c r="BE4658" s="38"/>
      <c r="BF4658" s="38"/>
      <c r="BG4658" s="38"/>
      <c r="BH4658" s="38"/>
      <c r="BI4658" s="38"/>
      <c r="BJ4658" s="38"/>
      <c r="BK4658" s="38"/>
      <c r="BL4658" s="38"/>
      <c r="BM4658" s="38"/>
      <c r="BN4658" s="38"/>
      <c r="BO4658" s="38"/>
      <c r="BP4658" s="38"/>
      <c r="BQ4658" s="38"/>
    </row>
  </sheetData>
  <customSheetViews>
    <customSheetView guid="{6F77D639-6DBE-4A73-82B8-76ACDC53E60F}" filter="1" showAutoFilter="1">
      <autoFilter ref="$A$3:$U$2113">
        <filterColumn colId="0">
          <filters>
            <filter val="Heather McDorman"/>
            <filter val="John Hunt"/>
            <filter val="Jaala Joye Vaught (Lacey)"/>
            <filter val="Barbara Jean Hutchinson"/>
            <filter val="Michael Zeug / Unnamed"/>
            <filter val="Taylor Haynes"/>
            <filter val="Markell Quashan Sweargin"/>
            <filter val="Richard Kraemer"/>
            <filter val="William Richard Hilliard, Jr.,"/>
            <filter val="Michael J Mann"/>
            <filter val="Harlon David Prater"/>
            <filter val="Brian Northup"/>
            <filter val="Joshua Bemis"/>
            <filter val="Alex They Maya-Dimas"/>
            <filter val="Karey Michael Goolsby"/>
            <filter val="David Williams"/>
            <filter val="Benjamin Jakes-Johnson"/>
            <filter val="Sean Timothy O’Neill"/>
            <filter val="Duane Allen"/>
            <filter val="Rafael Poynter"/>
            <filter val="Stephen Joseph Everhardt"/>
            <filter val="Pierce Morrow"/>
            <filter val="Zachary Benoit"/>
            <filter val="Richard Rodriguez Gray"/>
            <filter val="Arturo Rodriquez Salazar"/>
            <filter val="Christopher Martinelli"/>
            <filter val="Reginald Smith (Sanders et al)"/>
            <filter val="Troy George Skinner"/>
            <filter val="Douglas Hersey"/>
            <filter val="Randall Ray Ward"/>
            <filter val="Cameron Fox"/>
            <filter val="Taylor Vanderploeg"/>
            <filter val="Anupam Biswas"/>
            <filter val="Abdul Jaleel Dar"/>
            <filter val="Brandon Hileman"/>
            <filter val="Simon Walker"/>
            <filter val="Daniel P Diaz"/>
            <filter val="Ivan Madrigal Zamora"/>
            <filter val="Stephen P Lynch"/>
            <filter val="Nicholas Stengel"/>
            <filter val="Dennis Weston"/>
            <filter val="Joseph Marchesini"/>
            <filter val="Asiyadeth Jimenez Castellon"/>
            <filter val="Mario Collins / Paulette Clayton"/>
            <filter val="Evelio Balcazar-Correa"/>
            <filter val="Angela Meadows / Joshua Dickson"/>
            <filter val="Corey Barraclough"/>
            <filter val="David R Parker"/>
            <filter val="Clay Aaron Rasp"/>
            <filter val="Nicholas James Stacy"/>
            <filter val="Robert MacGregor"/>
            <filter val="Gabriel Dominguez"/>
            <filter val="Luis de Jesus Rodriguez"/>
            <filter val="John Michael Fowler"/>
            <filter val="Nicholas Snyder"/>
            <filter val="Nestor Ramirez"/>
            <filter val="Christian Moylan"/>
            <filter val="Amanda Yamauchi &amp; Unnamed"/>
            <filter val="Saul Aguilar-Andres"/>
            <filter val="Stephen Cobb (Coleman et al)"/>
            <filter val="Bradley Richmond"/>
            <filter val="Adam Williams"/>
            <filter val="Patrick McManus"/>
            <filter val="Sgt Ron Mitchell Dunbar (Mitchell-Chavez et al)"/>
            <filter val="Reginald Desean Love"/>
            <filter val="Cody Patterson"/>
            <filter val="Kathy Russell (Raniere [et al])"/>
            <filter val="Gordon Bagnesch"/>
            <filter val="William Francis Walsh IV"/>
            <filter val="Gary K Pinkowski"/>
            <filter val="David Bailey/Matthew Toole/Talia Furman/Jayme LaPointe"/>
            <filter val="Scott Pieritz"/>
            <filter val="Maria Navarrete-De Grubich"/>
            <filter val="Robert Rose"/>
            <filter val="Richard Lee Dixon"/>
            <filter val="George R Jeffery"/>
            <filter val="Michael Carlos Mitchell"/>
            <filter val="Joshua Davis"/>
            <filter val="Zhixin Lai / Qin Liang"/>
            <filter val="Zachary S Gauthier"/>
            <filter val="David Maclean"/>
            <filter val="Nathan Kelley"/>
            <filter val="Anthony Weber"/>
            <filter val="Helen Leon Mesa (Rodriguez et al)"/>
            <filter val="Randy Rance"/>
            <filter val="Jordan James"/>
            <filter val="Samuel Mendez-Garcia"/>
            <filter val="Jerrica Ann Renee Teehee Lackey"/>
            <filter val="Larry Lewis Hudson"/>
            <filter val="Donald A Delateur"/>
            <filter val="David Shalam"/>
            <filter val="Kelby Fowler"/>
            <filter val="Trevor Crawford"/>
            <filter val="Stephen Michael Truax Jr"/>
            <filter val="Marvin L Bishop, II"/>
            <filter val="Micah Vickery"/>
            <filter val="Eliazar Duran-Mota"/>
            <filter val="Joseph Lavern Harris"/>
            <filter val="Claire Poole"/>
            <filter val="Willie Dishon Matthew Obadiah"/>
            <filter val="Esmeralda Garza"/>
            <filter val="Andrew David Phillips"/>
            <filter val="Andrew J Stone"/>
            <filter val="Darrell Freeze"/>
            <filter val="Jay Walter Sall"/>
            <filter val="Joseph Patrick Mosher"/>
            <filter val="James Clay Russell"/>
            <filter val="Dwayne Stinson"/>
            <filter val="Lonnie Lawrence Mercer"/>
            <filter val="Justin Haynes"/>
            <filter val="Warren Anderson"/>
            <filter val="Clinton Campbell"/>
            <filter val="Mark Hoeltzel"/>
            <filter val="Keith Cannon Keller"/>
            <filter val="Richard Silvestri"/>
            <filter val="Chase Christopher Kent /Chloe Elizabeth Kent"/>
            <filter val="Roland Chick Akum"/>
            <filter val="Johnnie Gresham"/>
            <filter val="William I Isaac"/>
            <filter val="Yerdinson Rodriguez-Tavarez"/>
            <filter val="Xzaivier McGee / Dasha Smith"/>
            <filter val="David Rodriguez Sr"/>
            <filter val="Shane Ragsdale"/>
            <filter val="Edward William Weekley"/>
            <filter val="Mark Barnwell"/>
            <filter val="Dao Thi Holley"/>
            <filter val="William F Haynes"/>
            <filter val="Paul Doucet"/>
            <filter val="Raymorris Asencio / Briana Sparkman"/>
            <filter val="Yali Cai"/>
            <filter val="Nathan Mark Williams"/>
            <filter val="Nicholas Garowski"/>
            <filter val="Glenwood Brown"/>
            <filter val="Ronald Roscoe"/>
            <filter val="Michael David Mitchell"/>
            <filter val="Sean R Evansen"/>
            <filter val="Sonam Tsering / Zhaxi Taxing"/>
            <filter val="Christopher Kruse"/>
            <filter val="Brian Folks"/>
            <filter val="Christopher Howerton"/>
            <filter val="Harry E Rivers (Williams et al)"/>
            <filter val="Adam Myosky"/>
            <filter val="Donald Rowley"/>
            <filter val="Dustan Setner"/>
            <filter val="Sarah Jayne Garland (Weathers)"/>
            <filter val="Joseph Farris / Felicia Mulkey"/>
            <filter val="Marvin Perry, Jr (Henderson et al)"/>
            <filter val="Johne Lee Owens II"/>
            <filter val="Gabriel Valencia"/>
            <filter val="Jerimeah Bessolo-Marsh"/>
            <filter val="Jason Keiser"/>
            <filter val="Brandon Perkins"/>
            <filter val="Blake Steckel"/>
            <filter val="Kevin D Jenkins"/>
            <filter val="Sean Michael Fryer"/>
            <filter val="Hernandez &amp; Alvarez Acosta / Jaimie Riano"/>
            <filter val="Charles Gann"/>
            <filter val="Sean Lillibridge"/>
            <filter val="John H. Dickerson"/>
            <filter val="James H Huffman"/>
            <filter val="Gregg Donshik"/>
            <filter val="Anthony Deordio"/>
            <filter val="Thomas James Burke"/>
            <filter val="Kenneth Butler"/>
            <filter val="Willie Lampley"/>
            <filter val="Richard John Massey"/>
            <filter val="Thomas Edward Abney"/>
            <filter val="Eric Birkedahl"/>
            <filter val="D. Southern/R. Witcher / B. Koepnick"/>
            <filter val="Justin Giesey"/>
            <filter val="David B Lang"/>
            <filter val="Rowell Flora"/>
            <filter val="Rick Crawford"/>
            <filter val="James Russell Green, Jr"/>
            <filter val="Earl T. Cook, Jr"/>
            <filter val="Aaron Marxsen"/>
            <filter val="Marcus Henry Benjamin"/>
            <filter val="Luis Herman Idarraga"/>
            <filter val="Naeem Lateef Odums"/>
            <filter val="Andrew Paul Schmidt"/>
            <filter val="Uriel Gonzalez-Perez"/>
            <filter val="Justin &amp; Jessica Crandall"/>
            <filter val="Michael Rushmer"/>
            <filter val="Jerry Matthew Berry"/>
            <filter val="Gerald Dawayne Marshall (Dean et al)"/>
            <filter val="Michael Gullinese"/>
            <filter val="Alma Hernandez Moreno"/>
            <filter val="Trevor Palladino"/>
            <filter val="Christopher &amp; Sarah Almaguer"/>
            <filter val="Melvin &amp; Melaney Pully"/>
            <filter val="John William Hall"/>
            <filter val="Aaron Lester / Antonio King Jr"/>
            <filter val="Brian Kaelble"/>
            <filter val="Shawna Baxter"/>
            <filter val="Roam Savage Chandler"/>
            <filter val="Ric Crossfield (Masters et al)"/>
            <filter val="Michael Gutierrez"/>
            <filter val="Joseph A Heath Jr"/>
            <filter val="Eric P. Laube"/>
            <filter val="Jaime Garcia Cota"/>
            <filter val="Comothial Harper"/>
            <filter val="Kenneth Fischer"/>
            <filter val="Teroderrick Watts (Sanders et al)"/>
            <filter val="Kevin Hutchinson"/>
            <filter val="Kishan and Chanra Modugumudi"/>
            <filter val="Seth Elred Perricone"/>
            <filter val="Daren W. Phillips"/>
            <filter val="Brendan Eiler"/>
            <filter val="Ronald Gobenciong"/>
            <filter val="Justin Carl Wong"/>
            <filter val="Steven Nowell"/>
            <filter val="Calvin Dugan"/>
            <filter val="Randy Hames"/>
            <filter val="Jennifer Coviello"/>
            <filter val="Justin Stephen Martinez"/>
            <filter val="Leon Harrison"/>
            <filter val="Henry Alvarez Flores"/>
            <filter val="Gary McKinney"/>
            <filter val="Corey Nolden / Tayanna Johnson"/>
            <filter val="Timothy Nolan"/>
            <filter val="Anthony Vega-Lobato"/>
            <filter val="Andrew Padilla (Lacey)"/>
            <filter val="Ashley Goodrich"/>
            <filter val="Erik M Smith"/>
            <filter val="Eric Zevely (Weekley et al)"/>
            <filter val="Yevgen Rizanov / Ksenia Khodukina"/>
            <filter val="Noah Ray Evans"/>
            <filter val="Leon Leavell"/>
            <filter val="Ryan Michael Spencer / Bryan Petersen"/>
            <filter val="Logan Ray McCauley"/>
            <filter val="Daniel Arlie Nash"/>
            <filter val="Joseph Broderick"/>
            <filter val="Gregory Lee"/>
            <filter val="Jose Osvaldo Melendez-Rojas / Rosalio Melendez-Rojas"/>
            <filter val="Ronald Craig Lowman"/>
            <filter val="Anthony Quin Hodges"/>
            <filter val="Mark Brueggemann"/>
            <filter val="Zayne Kent Barbre"/>
            <filter val="Edward Lee Daughenbaugh"/>
            <filter val="Robert Joe Hennings"/>
            <filter val="Erik Deemer"/>
            <filter val="Michael Berenson"/>
            <filter val="Joshua A O'Brian"/>
            <filter val="William Trefzger / Bruce Bemer / Robert King"/>
            <filter val="Steven Moffis"/>
            <filter val="Nader Ahmed"/>
            <filter val="Robert Dean Caesar"/>
            <filter val="Ishi Woney"/>
            <filter val="Dkyle Jamal Bridges"/>
            <filter val="Nikolas Carroll Watkins"/>
            <filter val="Ronald E Taylor / Kimberly A Sanford"/>
            <filter val="Matthew A Switzer"/>
            <filter val="Jeremy Scott Clark"/>
            <filter val="Jonathan Derek Riley"/>
            <filter val="Nikko Adolfo Perez"/>
            <filter val="Michael Walpole"/>
            <filter val="Miguel Wheeler"/>
            <filter val="John William McMahon"/>
            <filter val="Nick Hochmouth"/>
            <filter val="Emanuel Mois"/>
            <filter val="Thomas Morgan"/>
            <filter val="Lancelot Paul Litchman"/>
            <filter val="Taroy Lakeith Ireland / Leshea Lucetia Pearl Marie"/>
            <filter val="Eugene Edwin Sherbondy"/>
            <filter val="Harshinder Bhatia"/>
            <filter val="Rosa Maria Alvarado-Munoz (Magallanes et al)"/>
            <filter val="Edward Paul Cragg"/>
            <filter val="Charles, Thomas, Edwin Emery"/>
            <filter val="Alexander Greaux-Gomez"/>
            <filter val="Keith E Hook"/>
            <filter val="Magdalena Castro Benitez"/>
            <filter val="David Edward De Vere"/>
            <filter val="Roy Allen Nichols"/>
            <filter val="Barry Paul Manthe / Ronald James Clark"/>
            <filter val="Kevin Gorbsky"/>
            <filter val="John O'Donnell"/>
            <filter val="Tyler Hargrave"/>
            <filter val="Abdul Basier Hashimi"/>
            <filter val="Michael Reynolds"/>
            <filter val="Scott Stephen Howard"/>
            <filter val="Philip Popa Jr"/>
            <filter val="Anthony W Hornbaker"/>
            <filter val="Celeste Chambers / Kevin Wyatt"/>
            <filter val="Michael Dziatkowicz"/>
            <filter val="Richard Celestino"/>
            <filter val="Charles A. Hewitt"/>
            <filter val="Dalian Washington / Akeem Beazer"/>
            <filter val="Leedente Darrell Brown"/>
            <filter val="Jeffrey Bernecky"/>
            <filter val="Christopher M. Arguelles"/>
            <filter val="Mark Rohrer"/>
            <filter val="Roy David Melancon"/>
            <filter val="Genhua Zhou / Baoping Wu"/>
            <filter val="Rev. Andrzej Pawel Skrzypiec"/>
            <filter val="Rene Flores-Calderon"/>
            <filter val="Samuel Lasala"/>
            <filter val="Dennis Michael Hogan"/>
            <filter val="Kevin J Newell"/>
            <filter val="Russell Young"/>
            <filter val="Paul Heib"/>
            <filter val="Joshua Box"/>
            <filter val="I. Williams, D. Davis, C.Canterbury"/>
            <filter val="Crystal Lilly/ Dekenndrick Lekeith Ross"/>
            <filter val="Donald Loyd Birdsong"/>
            <filter val="David Hughes"/>
            <filter val="Keneon Fitzroy Isaac"/>
            <filter val="Harry D Dawson"/>
            <filter val="Stephen D French"/>
            <filter val="Cameron Fairley"/>
            <filter val="William Michael Fields, Jr"/>
            <filter val="Jason Christopher Davis"/>
            <filter val="Cody Nathan Patterson"/>
            <filter val="Thomas Andrew Malotte"/>
            <filter val="Aracely Heredia Martinez"/>
            <filter val="Robert Ray Richmond"/>
            <filter val="Gary F Beals"/>
            <filter val="Lauren Salzman (Raniere [et al])"/>
            <filter val="Steven G. Peterson"/>
            <filter val="Daniel Medina-Acosta /Arturo Rocha-Guajardo"/>
            <filter val="Richard Russo"/>
            <filter val="Gerald Dewayne Jennings"/>
            <filter val="Ryan Andrew Chambers"/>
            <filter val="Marquez Domingo Lopez"/>
            <filter val="Logan Roy McCauley"/>
            <filter val="Eugene Joseph Martinez"/>
            <filter val="Gabriel Thomas Shaffer"/>
            <filter val="William Gauvin"/>
            <filter val="Derrick Joseph Rady"/>
            <filter val="Ray Davis (Brown et al)"/>
            <filter val="Anthony Lozowski"/>
            <filter val="Alderman Thomas Katsiantonis"/>
            <filter val="Michael Barrett Cason"/>
            <filter val="Shawn Whitaker"/>
            <filter val="Michael Mills (Li et al)"/>
            <filter val="Eric Canchola"/>
            <filter val="Clifford Mecham Jr"/>
            <filter val="Brianna Wright"/>
            <filter val="Charles Bertsch"/>
            <filter val="Artavius Horne"/>
            <filter val="Wyatt Max Snavely"/>
            <filter val="Juan Carlos Ramon"/>
            <filter val="Justin Shayne Robinson / Markus Jakeem Plummer"/>
            <filter val="Jeffrey S Baunach"/>
            <filter val="Christian Brennan"/>
            <filter val="Christopher Raciti"/>
            <filter val="Miguel Pagan"/>
            <filter val="Bruce A Harvey"/>
            <filter val="Amanda Ford / Jason D Norman"/>
            <filter val="Anthony Haynes"/>
            <filter val="Derek Carlson"/>
            <filter val="Christopher Thurlow"/>
            <filter val="Jace Faugno"/>
            <filter val="Arthur Perrault"/>
            <filter val="Dustin Clark"/>
            <filter val="Denton Jerome"/>
            <filter val="John Glidden"/>
            <filter val="Kevin Safford"/>
            <filter val="Breanna Brown (Coleman et al)"/>
            <filter val="Freddrick Johnson"/>
            <filter val="Michael  J Collier"/>
            <filter val="Donald H Hobbs"/>
            <filter val="Christopher Robert Woods"/>
            <filter val="Jon T Wilkins"/>
            <filter val="Chester Devin Leban"/>
            <filter val="Mark A Richards"/>
            <filter val="Randy Sheltra"/>
            <filter val="Donald Jeffrey Beasley"/>
            <filter val="Robert Franke III"/>
            <filter val="William McFadden"/>
            <filter val="Johnathan Bowman/Larry L Donaldson/Aurthur W Valentine,"/>
            <filter val="Roy Breedlove"/>
            <filter val="Richard Wolfe"/>
            <filter val="Angela Marks"/>
            <filter val="Adam Robert Miller"/>
            <filter val="Edward Bonek"/>
            <filter val="Norris Moon"/>
            <filter val="Suni Sarahi Sanchez Delgado"/>
            <filter val="Stuart Ravn"/>
            <filter val="Clare Bronfman (Raniere [et al])"/>
            <filter val="Phillip R. Durachinsky"/>
            <filter val="Nathan R Kosmatine"/>
            <filter val="Gilbert Davila Jr"/>
            <filter val="Robert Elmer Kerr"/>
            <filter val="Rashad Russell"/>
            <filter val="David Wayne McDaniel"/>
            <filter val="Jeremy Batey"/>
            <filter val="Derek Indivero"/>
            <filter val="David Lehman"/>
            <filter val="Irving Marquez"/>
            <filter val="Jonathan Oldale"/>
            <filter val="Kenneth Viggo Albertsen"/>
            <filter val="Todd Walsh"/>
            <filter val="Laura Olguin Mercado"/>
            <filter val="David Bills"/>
            <filter val="Shenandoah West Moneypenny / Shawn Dale Sanders"/>
            <filter val="Jay B Rosman"/>
            <filter val="Kriz Mike Nunez"/>
            <filter val="Robert Roseberry (Sanders et al)"/>
            <filter val="Jason Ford"/>
            <filter val="Jeffrey Litteral"/>
            <filter val="Eric W. Beard"/>
            <filter val="Kevin Herring"/>
            <filter val="Matthew R. Osuba"/>
            <filter val="Zachary Hamby"/>
            <filter val="Spencer E. Steckman"/>
            <filter val="Michael Lowe/Joshua Rose"/>
            <filter val="James Robert Bonnette"/>
            <filter val="Ben J Hilkemeyer"/>
            <filter val="Randi Brooke Creef"/>
            <filter val="Jordan Frederic Schemmel"/>
            <filter val="Richard Rood"/>
            <filter val="Shawn Bunnell"/>
            <filter val="David Johnson"/>
            <filter val="Rusty Quirk / Megan McCoy"/>
            <filter val="Kristopher Pylant"/>
            <filter val="Corena Marie Mountain Chief"/>
            <filter val="Jared Adam Britt /Michelle Lynn McGinnis-Camut"/>
            <filter val="Rodney Grant Sullivan"/>
            <filter val="Luther Floyd"/>
            <filter val="Joshua Clutter"/>
            <filter val="Kenneth Christian Javi Garcia"/>
            <filter val="Andre Alan Thorpe"/>
            <filter val="Kyle Wallace"/>
            <filter val="Justin Beard"/>
            <filter val="Jimmy Orlando Varela-Reyes"/>
            <filter val="Cole Ryan Marshall"/>
            <filter val="Joshua Adam Schulte"/>
            <filter val="Tommy Ray Garcia"/>
            <filter val="Byron Richards"/>
            <filter val="Allen Bernhardt"/>
            <filter val="Dalton Wayne Woods"/>
            <filter val="Bertha Alicia Magallanes (Magallanes et al)"/>
            <filter val="James Jaster / Lori Jackson / Elaine Hellman"/>
            <filter val="Robert William Surdel"/>
            <filter val="Monica Howard/Dylan Madkins/Donald Handlin Jr"/>
            <filter val="Michelle M Syler"/>
            <filter val="David Nelson"/>
            <filter val="Matthew Slaughter"/>
            <filter val="Keron Eugene Lucious"/>
            <filter val="Riley Thomas Griffin"/>
            <filter val="Matthew Urquhart"/>
            <filter val="Wade Clifton Pfarr"/>
            <filter val="John W Hudson"/>
            <filter val="Dominic Roach"/>
            <filter val="Mark J Bretz"/>
            <filter val="Robert Allen Beck"/>
            <filter val="Paul Fabrizio Solis"/>
            <filter val="Travis Howard White"/>
            <filter val="Venus Rhodes"/>
            <filter val="William Lawrence Taylor"/>
            <filter val="Juan Branch"/>
            <filter val="Scott Pierson"/>
            <filter val="Buddy Young"/>
            <filter val="Raymond Larry Edward Kennedy"/>
            <filter val="Bryan Duncan"/>
            <filter val="Fetahe Makonnen"/>
            <filter val="Nicolas Tamayo / Francisco Santos-Luna"/>
            <filter val="Jeremy Kelley"/>
            <filter val="Keith Perry"/>
            <filter val="Betty Jo &amp; James David Eckenberger"/>
            <filter val="Domingo Diaz"/>
            <filter val="Douglas Dane Jones"/>
            <filter val="Ogleva C Mowell"/>
            <filter val="David Medina"/>
            <filter val="Benjamin Parker Childs"/>
            <filter val="Daniel M. Passero, Jr"/>
            <filter val="Tori Brothers-Helton /Anthony John Miller"/>
            <filter val="Logan Gienger"/>
            <filter val="Joel Davis"/>
            <filter val="William C Read"/>
            <filter val="Erik Nielsen (Li et al)"/>
            <filter val="Daniel Santana / Sandra Santana-Soto"/>
            <filter val="Fernando Vazquez Garcia"/>
            <filter val="Steven E. Ritter"/>
            <filter val="Benjamin Grace"/>
            <filter val="Daniel Justin Mahan"/>
            <filter val="Tyler Ulm"/>
            <filter val="William Shenette"/>
            <filter val="Daniel I Miller"/>
            <filter val="Christopher Arguelles"/>
            <filter val="Joshua Landry"/>
            <filter val="Danny Ray Lowe"/>
            <filter val="Loren G Warner"/>
            <filter val="Damian Barbarito Romero"/>
            <filter val="James Earl Roberson"/>
            <filter val="Joshua, Noel,Gerlen,and Carlina Gamos"/>
            <filter val="Hakeem James Hughes"/>
            <filter val="Donnie Lee Jackson"/>
            <filter val="T. Blakemore / D. Gonzales / P. Hurtado"/>
            <filter val="Ibrahim Dirweesh"/>
            <filter val="Timothy Yates"/>
            <filter val="Kenneth Minnick"/>
            <filter val="Oscar Sepulveda"/>
            <filter val="Gui You Wu"/>
            <filter val="Daniel Hyer (Lacey)"/>
            <filter val="Roland Kyzer"/>
            <filter val="Jimmy Carter Kim"/>
            <filter val="Johnell Carter / Christian Dixon / Jazmin Manuel"/>
            <filter val="Jerry Wilkinson"/>
            <filter val="Jonathan Paul Holden"/>
            <filter val="Juan Pablo Sanchez Delgado"/>
            <filter val="Shane Courtney"/>
            <filter val="Daquanjra Tasha White"/>
            <filter val="Tony Davis"/>
            <filter val="Darryl Wayne Griffin Sr"/>
            <filter val="Christopher Tator"/>
            <filter val="Corey J Hayes"/>
            <filter val="Christopher Goodin"/>
            <filter val="Hanford Chiu"/>
            <filter val="Kenneth Bigler"/>
            <filter val="Anna Marie Gomez"/>
            <filter val="Randall Tilton"/>
            <filter val="Pedro Perez"/>
            <filter val="Tanya Fuentes"/>
            <filter val="Roger Erik Splettstoeszer"/>
            <filter val="Father W. Thomas Faucher"/>
            <filter val="John E Zeretzke"/>
            <filter val="Jeremiah Armstrong"/>
            <filter val="Gary Shawn Haynes Jr."/>
            <filter val="Aaron Pauly"/>
            <filter val="Peter Bradshaw"/>
            <filter val="Joleen Marie Gambardella"/>
            <filter val="Joel T Augard"/>
            <filter val="Igor Kolosha"/>
            <filter val="Robert Soares"/>
            <filter val="Christopher Morrison"/>
            <filter val="Dentrell Davis (Sanders et al)"/>
            <filter val="Scott Aikens"/>
            <filter val="Marcos Perez Almonte"/>
            <filter val="Gabriel Allen Goss"/>
            <filter val="Bradley Robert Segert"/>
            <filter val="Thomas Christopher Mares"/>
            <filter val="Robert Anthony Smith"/>
            <filter val="Walter Brown"/>
            <filter val="Rudy Lopez / Timmon Crenshaw"/>
            <filter val="Luis Cesar Avalos-Hernandez / Alvaro Cruz-Suarez / Giovanni Arrelola-Villalobos,"/>
            <filter val="Roderick Lemar Phillips"/>
            <filter val="Stephen Chase Clark"/>
            <filter val="Jason Schwartz"/>
            <filter val="Robert Dudukovich"/>
            <filter val="Terry Gutshall"/>
            <filter val="Yoon  Kim / Taehee Kim"/>
            <filter val="David Flores-Torres"/>
            <filter val="Stanley Hagan"/>
            <filter val="Jason Matthew Perdue"/>
            <filter val="John Honnigford"/>
            <filter val="William Borges"/>
            <filter val="Lavelle Dinkins / 'Kayne'"/>
            <filter val="Cricket Darlene Kimbrough"/>
            <filter val="Pedro Zamora"/>
            <filter val="Silky Clark"/>
            <filter val="John David Martin"/>
            <filter val="Daniel Dale Barton"/>
            <filter val="Owen J Drew"/>
            <filter val="Jesus Magallanes (Magallanes et al)"/>
            <filter val="Raysean Williams"/>
            <filter val="Efren Alvarez"/>
            <filter val="Herman Sanders"/>
            <filter val="Jack Carl Rice"/>
            <filter val="Kurt Cannamela"/>
            <filter val="Backpage.com"/>
            <filter val="Maxwell Isley Phillips"/>
            <filter val="Edith Lucio / Nancy Melendez"/>
            <filter val="Craig Dwayne Edwards / Melissa Lee Simpkins"/>
            <filter val="Michael Paige Palmer"/>
            <filter val="Juan Martin Rosales"/>
            <filter val="Dain Justin Adams"/>
            <filter val="Nicholas &amp; Stephanie Harris"/>
            <filter val="Nolan Brand"/>
            <filter val="Alfredo Santiago-Rosario"/>
            <filter val="Aviel Li Goodman"/>
            <filter val="David Kalna"/>
            <filter val="David Wayne Young / Misty Dawn Baisden"/>
            <filter val="James Armes"/>
            <filter val="Sarah Rashelle Almaguer"/>
            <filter val="William Hemphill"/>
            <filter val="Luis Fernando Moreno"/>
            <filter val="Eduardo Pereira / Marcia Tiago"/>
            <filter val="Matthew Joseph Lucio"/>
            <filter val="Christopher Michael Picher"/>
            <filter val="Ryan Shephard"/>
            <filter val="T. White / C.Jackson / S. Ramos"/>
            <filter val="Jeremy Smith"/>
            <filter val="Jeffrey Stanley"/>
            <filter val="Daniel O'Connor Jr"/>
            <filter val="Barry Register"/>
            <filter val="Anastasia Vandergriff (Poynter et al)"/>
            <filter val="Wyatt Snavely / Jack Dagett"/>
            <filter val="Genelva Whaley"/>
            <filter val="Eric Page"/>
            <filter val="William P Keller"/>
            <filter val="Dishay Henderson"/>
            <filter val="Adam Armstrong"/>
            <filter val="Steven Vaillancourt II"/>
            <filter val="Aaron Quackenbush"/>
            <filter val="Raymond Liddy"/>
            <filter val="Kenneth B Hanger"/>
            <filter val="Craig David"/>
            <filter val="Jason Gibson"/>
            <filter val="Jeremey A Bennett"/>
            <filter val="Fredrick Brown"/>
            <filter val="Robert Chapline"/>
            <filter val="Dustin Hansen"/>
            <filter val="Troy Wayne Davis"/>
            <filter val="James Lockhart"/>
            <filter val="Jerome Wilson"/>
            <filter val="Joseph Charles Desorbo Jr"/>
            <filter val="Carlos Arturo Rodezno-Quintanilla"/>
            <filter val="Barton George Scott"/>
            <filter val="Kenneth Betts"/>
            <filter val="Kevin Konen"/>
            <filter val="Jason E. Holmes"/>
            <filter val="Kirk David Blank"/>
            <filter val="Jason David Kimball"/>
            <filter val="Ronzell Williams (Coleman et al)"/>
            <filter val="Tahir Gregory"/>
            <filter val="Torrance Smothers"/>
            <filter val="Anthony Franklin"/>
            <filter val="Salaam Moore"/>
            <filter val="Kenneth Nelson"/>
            <filter val="Anders York"/>
            <filter val="Leonidas N. Mavrogenis, Jr."/>
            <filter val="William Brinson Ball"/>
            <filter val="James L Holland"/>
            <filter val="Genaro Cabeza / Richard Saya"/>
            <filter val="Michael E. Caricofe"/>
            <filter val="Paul Crowder / April Glaze"/>
            <filter val="John Bryan Snow"/>
            <filter val="Christopher Benson"/>
            <filter val="Charles Orlando"/>
            <filter val="Dillon Boyington"/>
            <filter val="Benjamin Gagnon"/>
            <filter val="Robert Dean Mason"/>
            <filter val="Austin Jones"/>
            <filter val="Michael DeBlanc"/>
            <filter val="Ronald Feder"/>
            <filter val="John R Butler"/>
            <filter val="James Stewart / Teri Sanchez"/>
            <filter val="Dana Cain"/>
            <filter val="Jesse Porter"/>
            <filter val="Eric Weiler"/>
            <filter val="Brandon Martin / Tameko Lindo"/>
            <filter val="Toan Nguyen"/>
            <filter val="Kristian Jones"/>
            <filter val="James Coy Whitaker"/>
            <filter val="Kenneth Wayne Burk"/>
            <filter val="Christopher Emerson"/>
            <filter val="Jamaal Crane"/>
            <filter val="Austin McMahill"/>
            <filter val="Antonio De Jesus Castro"/>
            <filter val="Dustin Randall"/>
            <filter val="Marcus Ryan Howell"/>
            <filter val="Brian S Perkins (Weekley et al)"/>
            <filter val="Christopher Golden"/>
            <filter val="Matthew Lee Humphries"/>
            <filter val="Antonio Wright"/>
            <filter val="Shane Michael Aurand"/>
            <filter val="Terry Chase White"/>
            <filter val="Roger Orich"/>
            <filter val="John Golom"/>
            <filter val="Ian Michael Toothman"/>
            <filter val="David Minnichelli"/>
            <filter val="Joseph Pangelinan Jr"/>
            <filter val="Adrian Batt/Wallace Slatinsky/Keith Mahan"/>
            <filter val="George Karkantzelis"/>
            <filter val="Robert Bozeman"/>
            <filter val="Chad Knowlton"/>
            <filter val="Grant Michalski (Weekley et al)"/>
            <filter val="Michael Robert Heinrich"/>
            <filter val="Kyle Stephen Thompson"/>
            <filter val="Anthony Martin"/>
            <filter val="Victor Zelaya-Funez"/>
            <filter val="Michael James Hodges"/>
            <filter val="Andrew M. Soloman"/>
            <filter val="Shirley Sparks"/>
            <filter val="Ferrell Walker"/>
            <filter val="David L Adams"/>
            <filter val="Kenneth Ronald Jones"/>
            <filter val="Xaver Boston"/>
            <filter val="Peter John Dalgish"/>
            <filter val="Paul Estus"/>
            <filter val="Monte Chaix"/>
            <filter val="Justin Schobey"/>
            <filter val="Jamie Brock Grubb"/>
            <filter val="Robert Kuhn"/>
            <filter val="Aaron Martinez"/>
            <filter val="Romeo Valentin Sanchez"/>
            <filter val="Rene Henderson"/>
            <filter val="James Kivisto"/>
            <filter val="Antionne Washington"/>
            <filter val="Matthew Ridenour"/>
            <filter val="Steven Brzezinski"/>
            <filter val="Michael Drzal"/>
            <filter val="John R Garrett"/>
            <filter val="Ryan Ray Tetirick"/>
            <filter val="Tyquan Henderson"/>
            <filter val="You Mei Chen (Wu et al)"/>
            <filter val="Christopher Ridder"/>
            <filter val="Yongguang Wu"/>
            <filter val="Pascal Calogero III"/>
            <filter val="Shixun Lan"/>
            <filter val="James A Chapman"/>
            <filter val="James L Wainright"/>
            <filter val="D. Fairchild / J Szuba / M. Allen"/>
            <filter val="Brennan McNeil"/>
            <filter val="John Jordan Lundberg"/>
            <filter val="Demarcus Davis (Sanders et al)"/>
            <filter val="Jacob Quinlan Navarrette"/>
            <filter val="Steven Streit"/>
            <filter val="Eric F Rosser"/>
            <filter val="Nikolas Rose"/>
            <filter val="Marqueal Bonds"/>
            <filter val="Edward Earl Daniels"/>
            <filter val="Eric Ingram"/>
            <filter val="Ryan Rusty Rodriguez"/>
            <filter val="Martin Nicholson"/>
            <filter val="Elvis Henry Idada"/>
            <filter val="Christopher Lee Myers"/>
            <filter val="Steven Derek Dukes"/>
            <filter val="Yehudi Manzano"/>
            <filter val="Spencer Lovato"/>
            <filter val="Alisa Kimber / Kimbler"/>
            <filter val="Ying Chromaster"/>
            <filter val="Luis Miguel Macias"/>
            <filter val="Cindy Lenette Gutierrez"/>
            <filter val="William Patrick King"/>
            <filter val="Nicholas Evanoff"/>
            <filter val="Dennis Scott Kent"/>
            <filter val="Jason Bonds"/>
            <filter val="Elias Serrano"/>
            <filter val="Beau Thomas Upton"/>
            <filter val="Maria Candelaria Losoya"/>
            <filter val="Allison Mack"/>
            <filter val="Brianna Starkes"/>
            <filter val="Robert Bungert"/>
            <filter val="Rose Beth Litzky"/>
            <filter val="Keto Postemus"/>
            <filter val="Kevin Douglas Jenkins"/>
            <filter val="Weiling Nielsen (Li et al)"/>
            <filter val="Raymond Kilchenstein"/>
            <filter val="Shea Smith"/>
            <filter val="Alexis Rivera Castillo"/>
            <filter val="Frank Steven Wietecha, Jr"/>
            <filter val="Patrick Boll"/>
            <filter val="Christina B. Mitchell"/>
            <filter val="Dr Xie Keping"/>
            <filter val="David Taylor"/>
            <filter val="John Snow"/>
            <filter val="Jaquorey Rashawn Carter"/>
            <filter val="Ronny Peters"/>
            <filter val="Abhijeet Das"/>
            <filter val="Frank Crawford III"/>
            <filter val="Stephen McGrath"/>
            <filter val="Robert Milton Kimber II"/>
            <filter val="Aaron Bruins"/>
            <filter val="Charles C Thornton"/>
            <filter val="Ronald Sherman"/>
            <filter val="D Wittwer / D Heidenreich / O Flores-Vazquez"/>
            <filter val="Rickey D. Brown, Jr"/>
            <filter val="Thomas O Haynes"/>
            <filter val="Freddie Emerson Crockett"/>
            <filter val="Conoly Freddie &amp; Andre Anthony Franklin"/>
            <filter val="Justin McKnight"/>
            <filter val="Timothy O'Connell"/>
            <filter val="Sean P McElhatten"/>
            <filter val="Christopher Hamlett"/>
            <filter val="Matthew Bailer"/>
            <filter val="Deepak Deshpande"/>
            <filter val="Lillian Ajin"/>
            <filter val="Roger Dale Boshers"/>
            <filter val="Gordon Napier Muldrow"/>
            <filter val="Brandon David Cuddihe"/>
            <filter val="Zam Mung"/>
            <filter val="M. Dolberry/ D. Simpson / R. Morris"/>
            <filter val="Alfred Peoples"/>
            <filter val="Rufino Valldovinos-Ramirez"/>
            <filter val="Aaron Greene"/>
            <filter val="Ricardo Barrios-Calderon / Alfredo Santiago-Rosario"/>
            <filter val="Ronald Caryl"/>
            <filter val="Cheyne Martin Potrafka"/>
            <filter val="James Rapier"/>
            <filter val="Shawn DeWitt"/>
            <filter val="Michael Llorca"/>
            <filter val="Mark Brinkman"/>
            <filter val="Stephen Lavery"/>
            <filter val="Nicholas Allen Blain"/>
            <filter val="Jose Cortes"/>
            <filter val="Jose Alfredo Magallanes (Magallanes et al)"/>
            <filter val="Marco Barraza"/>
            <filter val="Eric Komar"/>
            <filter val="Roland Yockel II"/>
            <filter val="Zhi Lin / Yali Yang / Peng Li"/>
            <filter val="Charles Poltenson"/>
            <filter val="Brent Cotman"/>
            <filter val="Bradley M Cox"/>
            <filter val="Robert Daniel Mullins"/>
            <filter val="Isaac &amp; Lourdes Suero"/>
            <filter val="Richard Spillane"/>
            <filter val="Archbishop Anthony Apuron"/>
            <filter val="Jesse Furse"/>
            <filter val="David C. Hogue"/>
            <filter val="Vincent Graham"/>
            <filter val="Trebor Conolly"/>
            <filter val="Darrell Henry Adam"/>
            <filter val="Wesley W Norris"/>
            <filter val="Anthony Rhoden"/>
            <filter val="Meredith Lee Wilkins"/>
            <filter val="Zhaofeng Zhang"/>
            <filter val="Nicholas McAteer"/>
            <filter val="Michael Portanova"/>
            <filter val="Jake M Damron"/>
            <filter val="Robert Barrie"/>
            <filter val="Mark Prindle"/>
            <filter val="Anthony Chiccini"/>
            <filter val="Mauro Veliz"/>
            <filter val="Darry K Williams/ Nashonda C Sykes"/>
            <filter val="Stephen Cote"/>
            <filter val="Taryn Goin Naidoo"/>
            <filter val="Adrian Brooks"/>
            <filter val="Jamin Fletcher"/>
            <filter val="Mayra P. Jimenez Castellon"/>
            <filter val="Richard Belden"/>
            <filter val="Bonnie Hughes / John Kohlmeier"/>
            <filter val="Billy Harman Dunn Jr"/>
            <filter val="Ryan Lin"/>
            <filter val="Andrew Harris aka Bobby Erik Smith"/>
            <filter val="Richard William Lockley / Joshua L Rogers"/>
            <filter val="Zachary Wayne Newberry"/>
            <filter val="Angel Rey Andaverde"/>
            <filter val="Richard Joseph Schwartz Ives"/>
            <filter val="Victor Manuel Diaz Romo"/>
            <filter val="Dennis J Kenniker"/>
            <filter val="James Highfield"/>
            <filter val="Richard Cecil"/>
            <filter val="Donald Trosclair"/>
            <filter val="William Joseph McClenathan"/>
            <filter val="Jeffrey Stoneburner II"/>
            <filter val="Angel Ming Lin"/>
            <filter val="Michael Farber"/>
            <filter val="William Darmoh"/>
            <filter val="Jason Harry Bishop"/>
            <filter val="Stephen Forsley / Liu Yang"/>
            <filter val="Peter Farnum"/>
            <filter val="David Weaks"/>
            <filter val="Albert Rich"/>
            <filter val="Jacob Langston Maclin"/>
            <filter val="Travis E Fleming"/>
            <filter val="Keith E Taylor"/>
            <filter val="Jamiell Sims / Arthur Taylor / Jordan Capone"/>
            <filter val="Jason Lee Sarabia"/>
            <filter val="William Brian Smith"/>
            <filter val="Joseph Natale"/>
            <filter val="Michael Kellar"/>
            <filter val="Ryan Russell Parks"/>
            <filter val="Eric Bower"/>
            <filter val="William T. Hopmeier"/>
            <filter val="Kurt Castaldo"/>
            <filter val="Joseph Marcus"/>
            <filter val="Cecil Hutchinson III"/>
            <filter val="Karl Rogers"/>
            <filter val="Steven Brown"/>
            <filter val="Allen Young"/>
            <filter val="Scott Frederick Arterbury"/>
            <filter val="Lixiang Chen"/>
            <filter val="Ryan Kluth"/>
            <filter val="Jesse Courtemanche"/>
            <filter val="Edward Anthony Contes"/>
            <filter val="Connor Harmon"/>
            <filter val="Adam Scott Pike"/>
            <filter val="Alfredo Maysonet-Galarza"/>
            <filter val="Joseph Zanco"/>
            <filter val="William H. Noble / Charles W Bush/ Jacob Good"/>
            <filter val="Alston Orlando Leroy Williams"/>
            <filter val="Timothy Burnette"/>
            <filter val="Derek Clemens"/>
            <filter val="Mark David Franklin"/>
            <filter val="Willie Blackmon / Lindsey Hutto"/>
            <filter val="Robert Hosler"/>
            <filter val="Seth M Rector"/>
            <filter val="Igor Rosenow"/>
            <filter val="Pedro Silva Segura"/>
            <filter val="Christopher Gardiner"/>
            <filter val="Keith J Bleau"/>
            <filter val="Alan Longmore"/>
            <filter val="James Struensee"/>
            <filter val="Leroy Christopher Orbeck"/>
            <filter val="Dane William Anderson/Mark Christopher Klein/Samuel Heineman"/>
            <filter val="Dusten Shawn Cottrell"/>
            <filter val="Cederrick Monshod Shaquil Clarkson /Kentrell Davis"/>
            <filter val="Manuel Diaz"/>
            <filter val="Charles Guyer"/>
            <filter val="Daler Mehnd"/>
            <filter val="Lt. Cmdr. Joseph R. Nelson"/>
            <filter val="Travun Eugen-Jani Baskerville"/>
            <filter val="Andrew Winters / Zanae Jones"/>
            <filter val="Craig Williams"/>
            <filter val="Fares Al Rashed"/>
            <filter val="Pierre Lagrone (Sanders et al)"/>
            <filter val="James Brady"/>
            <filter val="Charles Tranter"/>
            <filter val="Derek Sheehan"/>
            <filter val="Kashamba John / Tyler Bachtel"/>
            <filter val="Alfred Spaulding"/>
            <filter val="Anthony Joseph Culotta"/>
            <filter val="Jason Warner"/>
            <filter val="Christopher R Buse"/>
            <filter val="Kenneth Morphis"/>
            <filter val="Bill Lawrence Jr"/>
            <filter val="Keith Raniere"/>
            <filter val="Michael Esposito"/>
            <filter val="Jaimian Sims"/>
            <filter val="Jack D Daggett"/>
            <filter val="Hollis Lee Ball"/>
            <filter val="Brandon Jock"/>
            <filter val="Irvin Munoz-Diaz /Candido Emanuel Noriega-Quezada"/>
            <filter val="Blake Adam Austin"/>
            <filter val="Kyle Giering"/>
            <filter val="David Aaron Drake"/>
            <filter val="Amin Ricker"/>
            <filter val="Sarah Peters"/>
            <filter val="Chadwick Rice"/>
            <filter val="Isiah Campbell"/>
            <filter val="Kyle B Olson"/>
            <filter val="Christopher H Meza"/>
            <filter val="Christopher Almaguer"/>
            <filter val="Nicholas Hughes"/>
            <filter val="David Foster"/>
            <filter val="Lothar Krauth"/>
            <filter val="Bradley Voth"/>
            <filter val="Adam Leone"/>
            <filter val="William Millett"/>
            <filter val="John P Cutler"/>
            <filter val="Hector Vinicio Howell-Calvo"/>
            <filter val="Eric Zyn Ho / Bryan Mathew Otero"/>
            <filter val="Jeffrey Harney"/>
            <filter val="Kevin Connor Armitage"/>
            <filter val="Timothy Joe Rogers"/>
            <filter val="James Raymond Hill"/>
            <filter val="Andres Fernando Cabezas"/>
            <filter val="Kenneth R Smith"/>
            <filter val="Mark Alan Stoneking"/>
            <filter val="Lex Bennett Goodwin"/>
            <filter val="Carl Masters (Masters et al)"/>
            <filter val="Michael Jonathan Pankey"/>
            <filter val="Dennis Michael Kerr"/>
            <filter val="Marcus Brown"/>
            <filter val="Jose Carillo-Estupinan"/>
            <filter val="Timothy F Sullivan (Weekley et al)"/>
            <filter val="Theodore William Symonds"/>
            <filter val="Jerome Edison / Erica Spencer"/>
            <filter val="Osvaldo Sanchez Delgado"/>
            <filter val="Dustin Davis"/>
            <filter val="David Jones"/>
            <filter val="Keith Willette"/>
            <filter val="Tracy Wayne Crosby"/>
            <filter val="Brian Fuchs"/>
            <filter val="Phillip Miller"/>
            <filter val="David Wills"/>
            <filter val="Jonathan S Boynton"/>
            <filter val="Dashawn Webster"/>
            <filter val="Narcis Gabriel Burcea"/>
            <filter val="Lee Roy Alejandrez"/>
            <filter val="Andrew Goldberg"/>
            <filter val="Lucas Nichols"/>
            <filter val="Tracy Todd Presson"/>
            <filter val="Bryan J Cooney"/>
            <filter val="Jim Sideras"/>
            <filter val="Daniel Villafane-Lozada"/>
            <filter val="Terry Kris Brentlinger"/>
            <filter val="Andrew Lee Thompson II /Delberta Rose McKenzie /Rachel Lynn Robillard"/>
            <filter val="Omar Santiago-Muniz"/>
            <filter val="Geekin Ng"/>
            <filter val="David Buie"/>
            <filter val="Arthur Roberts"/>
            <filter val="Aaron Vroman"/>
            <filter val="David P Vier"/>
            <filter val="Benjamin H. Cole"/>
            <filter val="Ammar Atef Alahdali"/>
            <filter val="Travis J Varble"/>
            <filter val="Carlos Carreon"/>
            <filter val="Anh Duong"/>
            <filter val="Kevin C. Baker"/>
            <filter val="Kayla Simpson"/>
            <filter val="Jeffrey Porch"/>
            <filter val="Rosten Martin / Anabel Torres Martinez"/>
            <filter val="Larry Guidry"/>
            <filter val="Cody Fay"/>
            <filter val="Jordan I. Makowski (Weekley et al)"/>
            <filter val="James Bradley"/>
            <filter val="Neal Braden"/>
            <filter val="Tabbetha Mangis"/>
            <filter val="India Tykeyah-Najee Cuyler"/>
            <filter val="Steven Thompson"/>
            <filter val="Robert Dobbins"/>
            <filter val="Charles Chavis"/>
            <filter val="Jorge Castillo"/>
            <filter val="Kristina Koehn / Chance Tyler Hood"/>
            <filter val="Robert Meachum"/>
            <filter val="Damian Quillinan"/>
            <filter val="Russell Cherry"/>
            <filter val="Jason M. VanBuren"/>
            <filter val="Bradley S. Roenfeldt"/>
            <filter val="James A Guthrie III"/>
            <filter val="Patrick Monahan / Kenneth McLay"/>
            <filter val="Ariel Machia"/>
            <filter val="Clark Downs"/>
            <filter val="Michael Crawford"/>
            <filter val="Moayad Heider Mohammad Aldari"/>
            <filter val="Julyen Singleton (Coleman et al)"/>
            <filter val="Anthony Jones"/>
            <filter val="Joshua Carey"/>
            <filter val="Richard Ortiz / Gabriella Colon / Rabbi Aryeh Goodman"/>
            <filter val="Ronald Hulongbayan"/>
            <filter val="Chase Franklin Ramos"/>
            <filter val="Paul Jumroon"/>
            <filter val="Patrick Lawrence Trottie"/>
            <filter val="Daniel Roy Mace"/>
            <filter val="Bryan Osborne"/>
            <filter val="Katherine Briones"/>
            <filter val="Ryan Davis"/>
            <filter val="Richard Dzionara-Norsen"/>
            <filter val="Chico Allen"/>
            <filter val="Joey Wong Hernandez"/>
            <filter val="Elton Vallare"/>
            <filter val="Phillip Mark Reinhart"/>
            <filter val="David Roy Jones"/>
            <filter val="Luca DaPra"/>
            <filter val="Amanda Ruth Schweitzer"/>
            <filter val="Paul W Christmann"/>
            <filter val="Rene Camacho"/>
            <filter val="Christopher Bryan Smith"/>
            <filter val="Thomas Goodman"/>
            <filter val="Richardo Leodoro Urbina"/>
            <filter val="Dustin Ray Spears"/>
            <filter val="Josue Eduardo Cota"/>
            <filter val="Parameswaran Somasundaram / Sundram Allagan"/>
            <filter val="Paul Stabile Jr"/>
            <filter val="Reginald Alexander"/>
            <filter val="Adam Cadle"/>
            <filter val="Richard Danell Dunston"/>
            <filter val="Russell Ruth"/>
            <filter val="Joshua Hansen"/>
            <filter val="Eleuterio Flores"/>
            <filter val="Nathan Michael McInnis"/>
            <filter val="Darren Townsend / Pearl Coffey"/>
            <filter val="Justin Watson"/>
            <filter val="Anthony J Barry"/>
            <filter val="Gregory Graffeo"/>
            <filter val="Kayla Lenthall"/>
            <filter val="John Forsythe"/>
            <filter val="Ralph Colamussi / Roberto Villanueva"/>
            <filter val="Jose Carrillo"/>
            <filter val="Feliciano Felipe Diaz-Estrada"/>
            <filter val="Jay Robert Sebben"/>
            <filter val="Yunzhong Chen"/>
            <filter val="Daniel Thomas Baggott"/>
            <filter val="Randy Colucci"/>
            <filter val="Jordan Ryan Turner"/>
            <filter val="Robert Abacan / Frances Abacan"/>
            <filter val="David Gilbert"/>
            <filter val="John A Coburn"/>
            <filter val="David Scott Romesburg II / Fay Romesburg"/>
            <filter val="Jordan Bridges"/>
            <filter val="Jerimiah Montel"/>
            <filter val="James Edward Warren"/>
            <filter val="Shyniquah Lightner / Malik Hudson"/>
            <filter val="Michael Lacey"/>
            <filter val="Bobby Paul Edwards"/>
            <filter val="Bidyadhar Panda"/>
            <filter val="Nathan Pham"/>
            <filter val="Reagan Conception"/>
            <filter val="David Patrick Seilheimer"/>
            <filter val="Ronald Manns Seaman, Jr."/>
            <filter val="Mark Bartz"/>
            <filter val="Yehven Lysak"/>
            <filter val="Kayla Parker / David Carbonaro"/>
            <filter val="James Traband"/>
            <filter val="Jeffery &amp; Barbara Barrett"/>
            <filter val="Ma Li Vanskike  (Li et al)"/>
            <filter val="Neal Edmond Brown"/>
            <filter val="Genard Toney"/>
            <filter val="Milton Sumrell"/>
            <filter val="Victor Cortez Shelton"/>
            <filter val="Brian David Boersma"/>
            <filter val="Salvatore Lawrence Bruno"/>
            <filter val="David Grunden"/>
            <filter val="Ashu Joshi"/>
            <filter val="Cody Clark"/>
            <filter val="Stephen Salamak"/>
            <filter val="Mark Ashcroft"/>
            <filter val="Rafael Montano/Ivan Ulises Zamora/Jonathan Deanda"/>
            <filter val="Daniel O'Brien"/>
            <filter val="Kenneth Larrechea"/>
            <filter val="Janel Saphire Trahan"/>
            <filter val="Terry Blanks"/>
            <filter val="Justin L Boyer"/>
            <filter val="Nickolias Sauceda"/>
            <filter val="Christophes Tomasello"/>
            <filter val="Robert Kirk"/>
            <filter val="Lavelleous Purcell / Gloria Palmer"/>
            <filter val="Alexander Jordan Miller"/>
            <filter val="Jonathan Monson"/>
            <filter val="Danny Ray Salzer"/>
            <filter val="Joseph Isaiah Woodson, Jr"/>
            <filter val="Thomas Sadler"/>
            <filter val="Quinn Haworth"/>
            <filter val="Kerry Kennedy"/>
            <filter val="Matthew J Kite"/>
            <filter val="Hiran Sanchez"/>
            <filter val="John Christopher Good"/>
            <filter val="Yusnier Perez-Canet"/>
            <filter val="Andrew Adams"/>
            <filter val="Amanda Errin Hunt (Baggott et al)"/>
            <filter val="Zerrell Fuentes"/>
            <filter val="Kevin Carney"/>
            <filter val="Kaleb Wilson"/>
            <filter val="Frank W Maile"/>
            <filter val="Fred Lewis"/>
            <filter val="Maksim Stefanyuk"/>
            <filter val="Sam Thomas Knight"/>
            <filter val="Preston Bell"/>
            <filter val="Anthony Helsel"/>
            <filter val="Rody Bowden"/>
            <filter val="Levi William Welker"/>
            <filter val="Nehemiah Lafoe"/>
            <filter val="Riheem Rexdual Robinson"/>
            <filter val="Renee Collins / William Thomas"/>
            <filter val="Eddie Sowells"/>
            <filter val="Donald J Oosterbaan"/>
            <filter val="Charles T. Stelljes"/>
            <filter val="Kurtis Walter"/>
            <filter val="George Robert Everhart"/>
            <filter val="Joshua Glen Box"/>
            <filter val="Dillon Wicks"/>
            <filter val="LizMarie Rivera-Torres / Anthony Ferris"/>
            <filter val="Richard Bailey"/>
            <filter val="Jesus Dozal-Castillo"/>
            <filter val="Eric Beringer"/>
            <filter val="Jeffrey Scott Beard"/>
            <filter val="Maurice Neal"/>
            <filter val="Daniel Teed"/>
            <filter val="Rev Robert DeLand"/>
            <filter val="Isreal Sanchez"/>
            <filter val="Shui Mei Ching"/>
            <filter val="Parker Pendergraph"/>
            <filter val="John G. Stroming"/>
            <filter val="Juan Aaron Garza / Guillermo Antonio Reyna-Garcia"/>
            <filter val="LaCrystal Renae Crawford/Tyrone Allen/James Cornelius Harris"/>
            <filter val="Sean Andrew Duncan"/>
            <filter val="Jarrett Lea"/>
            <filter val="Kaybaun Rodgers"/>
            <filter val="Barry Goldstein"/>
            <filter val="Mark Anthony Barrett"/>
            <filter val="Daniel B. Fleischer"/>
            <filter val="James Ripberger"/>
            <filter val="Michael R. Goeller"/>
            <filter val="Matthew Wolny"/>
            <filter val="David Hardman"/>
            <filter val="Alexander Seegar"/>
            <filter val="Denziel S Burke"/>
            <filter val="Michael B Stephens Jr"/>
            <filter val="Ron Hale"/>
            <filter val="John Edwin Kuhnel"/>
            <filter val="Robert Matthew Jimenez"/>
            <filter val="Skydance MacMahon"/>
            <filter val="James T Cobb"/>
            <filter val="Mark Ringland"/>
            <filter val="Willie James Johnson"/>
            <filter val="James Larkin (Lacey)"/>
            <filter val="Amaris Mae Wyman"/>
            <filter val="William G. Weekley"/>
            <filter val="Cody D Davis"/>
            <filter val="Timothy Boerger"/>
            <filter val="Terrance Goldberg"/>
            <filter val="Mark Brookbank"/>
            <filter val="Jason DiSanto"/>
            <filter val="Henry Babin"/>
            <filter val="Adam Daniel Young"/>
            <filter val="Cameron Carlucci"/>
            <filter val="Eddie Leon Williams"/>
            <filter val="Michael Gerald Moody"/>
            <filter val="Taiwan Reed / Rickiya Ronice Fulcher"/>
            <filter val="Hayden Ricks"/>
            <filter val="David Tjader"/>
            <filter val="Cordell Jenkins"/>
            <filter val="Alan Campbell aka Alan Nolan"/>
            <filter val="David St. George"/>
            <filter val="Benjamin J. Varieur"/>
            <filter val="Omar Gonzalez-Herrera"/>
            <filter val="Galen R Kountz"/>
            <filter val="Randall Hughes"/>
            <filter val="Victor Eduardo Acevedo-Ventura"/>
            <filter val="Matthew Washkewicz"/>
            <filter val="Benjamin Varieur"/>
            <filter val="Antonio Young"/>
            <filter val="Jenise Spurgeon"/>
            <filter val="Scott W. Sulik"/>
            <filter val="Rick W. Nelson"/>
            <filter val="Anthony Cotter"/>
            <filter val="Sen. Ralph Allan Lee Shortey"/>
            <filter val="Jamel Goddard"/>
            <filter val="Devin Wolfe"/>
            <filter val="Anthony Bellisario"/>
            <filter val="Brice Todman"/>
            <filter val="William Pierce Washington / William Pierce Washington Jr"/>
            <filter val="Jeffrey S Seaton"/>
            <filter val="Robert T Donelon"/>
            <filter val="Sarina Williams (Coleman et al)"/>
            <filter val="Monsignor Carlo Alberto Capella"/>
            <filter val="Andrew Dowdle (Masters et al)"/>
            <filter val="Shelly Hayes"/>
            <filter val="Timothy Reeves"/>
            <filter val="Trevor Engle"/>
            <filter val="Gerald Allen Beaudeaux"/>
            <filter val="William Earl Barrett"/>
            <filter val="Richard Seeger"/>
            <filter val="Brandon Jacob Cochran"/>
            <filter val="John Goelz"/>
            <filter val="Courtland Barnes"/>
            <filter val="Daniel Palmitessa"/>
            <filter val="Jack Lee"/>
            <filter val="Bailegh Noelle Coleman / Rajheem Kwamaine Roddey"/>
            <filter val="Luis Bonilla-Hernandez"/>
            <filter val="Cherokee Steward"/>
            <filter val="Jamar Drummer"/>
            <filter val="Louis Gagne McGill / Nelson Medina Ortiz"/>
            <filter val="Edward Lee"/>
            <filter val="Travis Beach"/>
            <filter val="Howard Collier"/>
            <filter val="Jonathan Riggs/Jackie &amp; Laura Underwood"/>
            <filter val="Jeffrey L Harris"/>
            <filter val="Hubert Dupigny"/>
            <filter val="Andy E Crook"/>
            <filter val="Donnie Brett Butcher"/>
            <filter val="Milton Wrenn"/>
            <filter val="Robert B Kesling"/>
            <filter val="John &quot;Jed&quot; Brunst (Lacey)"/>
            <filter val="Thomas Close"/>
            <filter val="Carmen Melari Ferrufino Perdomo"/>
            <filter val="Brianna N Stanley"/>
            <filter val="Michael Butler"/>
            <filter val="Devonte Lamonte Lucas"/>
            <filter val="Thomas Arthur Rittenhouse"/>
            <filter val="John Titow"/>
            <filter val="Andrea Beck"/>
            <filter val="Ty Lee Treddenbarger"/>
            <filter val="Matthew Gregory"/>
            <filter val="Stephen D Geltmacher"/>
            <filter val="Joseph Martin"/>
            <filter val="Daniel Chetelat"/>
            <filter val="Darren J Salgado"/>
            <filter val="Douglas James Allmon"/>
            <filter val="Johnathon Deontre Smith"/>
            <filter val="David Ray Pelfrey"/>
            <filter val="Derek Boprey"/>
            <filter val="Timothy Friel"/>
            <filter val="Matthew Kulikowski"/>
            <filter val="Jesus Briseno"/>
            <filter val="Stephen Sluss"/>
            <filter val="Ryan Grasha"/>
            <filter val="Scott Joseph Payne"/>
            <filter val="Charles Moran Jr"/>
            <filter val="Philip Daniel Love"/>
            <filter val="Debra Kerouac"/>
            <filter val="Cornelius Antoine Green / Amanda Gail Shelby"/>
            <filter val="Luqman Gotti aka Timothy Pennington"/>
            <filter val="Jonathan D Murphy"/>
            <filter val="Steven Wayne Newman"/>
            <filter val="Ryan Antrim"/>
            <filter val="Brian High"/>
            <filter val="Fabian Castro"/>
            <filter val="Christopher G Brenner"/>
            <filter val="Demarvin Bernard Franklin"/>
            <filter val="Jesse Lauren Van Orsow"/>
            <filter val="Roberto Oquendo"/>
            <filter val="Hong Wang / Hanfeng Zhang / Xiaoxia Lin"/>
            <filter val="Cecil Gunnells"/>
            <filter val="Mark Buechler"/>
            <filter val="Desmond Kintwana Bethany / Bailey Jane Hance"/>
            <filter val="Donnie Taylor"/>
            <filter val="Marshall Belden"/>
            <filter val="Anthonio Dicentes"/>
            <filter val="Thomas William Barnes"/>
            <filter val="Paloma Garcia (Magallanes et al)"/>
            <filter val="Richard Edward Alexander"/>
            <filter val="Paul Delavan Knoke"/>
            <filter val="Andries Snyman"/>
            <filter val="Eric Furzland"/>
            <filter val="Steven Tucker"/>
            <filter val="Anthony Curato"/>
            <filter val="Misty Weathers"/>
            <filter val="Albert Larry Jr"/>
            <filter val="Peter &amp; Jennifer Giove"/>
            <filter val="Sterling Jones"/>
            <filter val="Trey Escareno"/>
            <filter val="Carrie Marie Minton"/>
            <filter val="James Gailey"/>
            <filter val="Dannie Curlee"/>
            <filter val="William De Vries"/>
            <filter val="Yazmani Gomez-Sandoval"/>
            <filter val="Abigail Contreras /Jesus Rodriguez"/>
            <filter val="Ricky Turner"/>
            <filter val="William Matthew Napolitano"/>
            <filter val="Michael Szwarc"/>
            <filter val="Wayne Benjamin Wasson"/>
            <filter val="Erin Alexis Sebert"/>
            <filter val="A Manzano / K Dunn / P Davis"/>
            <filter val="Cleon Erick Williams/ Tyrone Singletary"/>
            <filter val="Zachary Steven Blizzard"/>
            <filter val="Marvin Glenn Mitchell"/>
            <filter val="Joshua Lange"/>
            <filter val="Charles Borelli"/>
            <filter val="Jose A Zubia"/>
            <filter val="Shaun M Stoneham"/>
            <filter val="Joshua Ryan Miller"/>
            <filter val="Jack Ulrich, Jr"/>
            <filter val="Gregory S Stephen"/>
            <filter val="Lawrence Jones"/>
            <filter val="Adam Vargas"/>
            <filter val="Olga Patricia Reyes / Leslie Chavira"/>
            <filter val="Armando Vargas"/>
            <filter val="Joseph Harris"/>
            <filter val="Brad Gaskin"/>
            <filter val="Richard Lynn Wisecup"/>
            <filter val="Dakkar Young"/>
            <filter val="Christopher Paul Chmela"/>
            <filter val="Alberto Alavarado-Castro"/>
            <filter val="Kyle D Ritsema"/>
            <filter val="Habbib Muhammed"/>
            <filter val="Jeffrey E Roberts"/>
            <filter val="Carlos Bell"/>
            <filter val="Colby Ray Cochran"/>
            <filter val="David Greathouse"/>
            <filter val="Cammron Robinson"/>
            <filter val="Jacob Aaron Schaffran"/>
            <filter val="Helen Kim"/>
            <filter val="Bryan Rosenthal"/>
            <filter val="Walter Forsberg"/>
            <filter val="Darren Coleman"/>
            <filter val="Matthew Ceasar Ferguson /Joshua Malik Coleman"/>
            <filter val="Guixia Wu (Wu et al)"/>
            <filter val="Eunkyung Kim"/>
            <filter val="Trironn KiddAllenn"/>
            <filter val="Carlos Santiago Gomez"/>
            <filter val="Patrick K. McDowell / Jayquan Monteiro"/>
            <filter val="Harry Miller"/>
            <filter val="Frank Miles III"/>
            <filter val="Randy Alan Chaplis"/>
            <filter val="Brandon Hall"/>
            <filter val="Carl Burdick"/>
            <filter val="Jeffrey H. Ernisse"/>
            <filter val="Gerald Johnson"/>
            <filter val="Mohamed Toure / Denise Cros-Toure"/>
            <filter val="Joseph Blake Ballard"/>
            <filter val="Joseph Harvey (Miller et al)"/>
            <filter val="Michael Clayton / Ramiro Hernandez"/>
            <filter val="Sean David Sigler"/>
            <filter val="Kenneth Slater"/>
            <filter val="Germaine Coulter / Elizabeth Andrade"/>
            <filter val="Joshua Brackett"/>
            <filter val="Donald Baldi"/>
            <filter val="Arthur Gurbey"/>
            <filter val="Zachariah Jacob Schultz"/>
            <filter val="Iordan Bossev"/>
            <filter val="Mihirbhai Patel"/>
            <filter val="Dale Gordon Black"/>
            <filter val="Curtis Pethley"/>
            <filter val="Nathaniel Guru Thompson"/>
            <filter val="Christopher &amp; Danielle Glotfelty"/>
            <filter val="Edward Thomas Parsons"/>
            <filter val="Sean Blackwell"/>
            <filter val="Alfonso Navarrete"/>
            <filter val="Jeffrey Farrell Davis"/>
            <filter val="Charles Thomas Barbarotta"/>
            <filter val="Keith D Cook"/>
            <filter val="Ren-Quan Zheng"/>
            <filter val="Anthony D Stagnitta"/>
            <filter val="Duhamel Cassagnol"/>
            <filter val="Jonathan Deutsch"/>
            <filter val="Lawrence Quignon"/>
            <filter val="Christopher Kinney"/>
            <filter val="Nichols / Kerr / Shorter"/>
            <filter val="Lennie Perry"/>
            <filter val="Fang Wang"/>
            <filter val="Michael Anthony Portanova"/>
            <filter val="Jose A Hendricks"/>
            <filter val="Kenndric Roberts"/>
            <filter val="Lucion Banks"/>
            <filter val="Hong Zhong (Wu et al)"/>
            <filter val="William Gates"/>
            <filter val="Rex T Kendall"/>
            <filter val="Oscar Carter / Shelby Summer Brown"/>
            <filter val="Shagna Battle"/>
            <filter val="Robert Christopher England,"/>
            <filter val="Christian Don’Tae Hood / Abdul Bangura"/>
            <filter val="Antonio Rasheed Benjamin"/>
            <filter val="Cornell Devore Rhymes"/>
            <filter val="Erik Christopher Dunham"/>
            <filter val="Kenneth Scott Boyd"/>
            <filter val="Colin Germain"/>
            <filter val="Dennis J Hudson"/>
            <filter val="Ryan Lee Christoph"/>
            <filter val="Scott Spear (Lacey)"/>
            <filter val="Devontray Quintera Bass (Robinson et al)"/>
            <filter val="Howard Cornibe"/>
            <filter val="Nikolas Caver"/>
            <filter val="Robert Shane Apgar"/>
            <filter val="Jonathan Sandoval-Lepe"/>
            <filter val="Vincenzo (Vincent) G. Savarese"/>
            <filter val="Gerardo Javier Carreon"/>
            <filter val="Jose Wilfredo Morales-Carpio"/>
            <filter val="James Stoddard"/>
            <filter val="Gary DeLynn Linder"/>
            <filter val="Stephen Henderson"/>
            <filter val="Christopher Raymond Lopez"/>
            <filter val="Charles G Hollman"/>
            <filter val="James Early"/>
            <filter val="Gregory Lisby"/>
            <filter val="Craig H Lipinski"/>
            <filter val="Austin Marek"/>
            <filter val="Jarold Calkins"/>
            <filter val="Richard Jeviah Graham"/>
            <filter val="Shane Allen Edgerly"/>
            <filter val="Simon Hessler"/>
            <filter val="Lorenzo Darrell Hatcher / Lamyia Ieshia-Pamela Sneed"/>
            <filter val="Justin K Phelps"/>
            <filter val="Jeffrey Townsend"/>
            <filter val="William L Blessett"/>
            <filter val="Mark Cortez Spicer / Phylicia Marie King"/>
            <filter val="Edd Scafidel Jr"/>
            <filter val="Eric Rauch"/>
            <filter val="David Ohmar Harris"/>
            <filter val="Billy R. Edwards / Darwin Moises Amador-Zepeda"/>
            <filter val="Thomas Mahoney"/>
            <filter val="Eugene Latrell McNeely"/>
            <filter val="David M Richards"/>
            <filter val="Mark Irizarry"/>
            <filter val="Brian Richardson"/>
            <filter val="Kevin Scott Smith"/>
            <filter val="Harry 'HL' Moody"/>
            <filter val="Jason Junek"/>
            <filter val="Newell Mowry"/>
            <filter val="Christopher Hoyt"/>
            <filter val="Jason Solomon"/>
            <filter val="Cody J Cogley"/>
            <filter val="Morgan Summerlin / Richard Office / Alfredo Trejo"/>
            <filter val="Austin Lloyd"/>
            <filter val="Christopher Chase"/>
            <filter val="Roger Forwood"/>
            <filter val="Corey D Frasher"/>
            <filter val="David Blasczak"/>
            <filter val="David Barnett"/>
            <filter val="Dustin Trey Miyakawa"/>
            <filter val="Jose Sanchez"/>
            <filter val="Scott Wayne"/>
            <filter val="Cederrick Clarkson (Sanders et al)"/>
            <filter val="Brandon Koko"/>
            <filter val="Charles S Leis"/>
            <filter val="David Milliner"/>
            <filter val="Richard Leon Engbretson"/>
            <filter val="Nicholas Pecil"/>
            <filter val="Sharif El-Battouty"/>
            <filter val="Michael Paul Marshall"/>
            <filter val="Christopher Shawn Potter"/>
            <filter val="Michael Lee"/>
            <filter val="Dianna Garza"/>
            <filter val="Melissa Grimaldo"/>
            <filter val="Paul Edward Lee, Jr"/>
            <filter val="John Dale Lohr"/>
            <filter val="Patrick Harris"/>
            <filter val="Luis Angel Vicente Martir Gudiel"/>
            <filter val="Daveon Brantley / Amber Brinson"/>
            <filter val="Andrew Stephen Lund"/>
            <filter val="Abigail Del Angel"/>
            <filter val="Elijah Winchester"/>
            <filter val="Tyler Powers"/>
            <filter val="Russell Jan"/>
            <filter val="Michael Scott Grenninger"/>
            <filter val="Joseph DeLeon Cruz"/>
            <filter val="Andrew Shonk"/>
            <filter val="Joseph Church"/>
            <filter val="Amber Decker / Logan Decker"/>
            <filter val="Anthony Monjure"/>
            <filter val="Alexis Gonzalez"/>
            <filter val="Joseph &amp; Kanyarat Fetterman"/>
            <filter val="Jerry Hochstetler"/>
            <filter val="Jason James Neiheisel"/>
            <filter val="Bryan Prather / Maumau Benner"/>
            <filter val="Damon Beverly"/>
            <filter val="Raymond Wayne Eugene Hall"/>
            <filter val="Myung Hee Lim / Shun Zi Li"/>
            <filter val="Jorge De Los Santos"/>
            <filter val="William Jay Clark"/>
            <filter val="Juan Carlos Carmona"/>
            <filter val="Daren Watts"/>
            <filter val="Jason Jorgenson"/>
            <filter val="Erica Shante Reviere"/>
            <filter val="Ryan Ulman"/>
            <filter val="Leandro Gomes"/>
            <filter val="Ian Silver-Eck"/>
            <filter val="Sean Ralston Feanny"/>
            <filter val="Lawrence Stone"/>
            <filter val="Jade Tiffany Laurezo"/>
            <filter val="Sam Cynamon"/>
            <filter val="Jonathan Edward Manigault (Mitchell et al)"/>
            <filter val="Zachary Ballinger"/>
            <filter val="Dianna Viator"/>
            <filter val="Danilo Fernandez"/>
            <filter val="Gregory Marshall"/>
            <filter val="Domingo Coleman"/>
            <filter val="Keith Liwanag"/>
            <filter val="Dustin L Bishop"/>
            <filter val="Torrvez Lamarcus Caldwell"/>
            <filter val="Jason Novoa"/>
            <filter val="Roger Wallach"/>
            <filter val="Jaykumar Bhakta"/>
            <filter val="Charles Edward Smith / Michael Joseph Clark"/>
            <filter val="John Middlemiss Palmer"/>
            <filter val="Terrell Eady"/>
            <filter val="Christopher Strinden"/>
            <filter val="Carlos J Cordova-Sanabria/Lester A Morales-Moran/Elmer E Juarez-Franco/Daniel Garcia-Cruz"/>
            <filter val="Nicholas Garcia"/>
            <filter val="Neal Tilton"/>
            <filter val="Jorge Reyes"/>
            <filter val="Andrew Hallock"/>
            <filter val="James Wesley Barnes"/>
            <filter val="Isai Sanchez"/>
            <filter val="Marvin Woods"/>
            <filter val="Jonathan Breslin"/>
            <filter val="Lian Hua Li (Li et al)"/>
            <filter val="Jason  R Fain"/>
            <filter val="Justin Thomas Chapman"/>
            <filter val="Hares Fakoor"/>
            <filter val="Cody Clines Adkins"/>
            <filter val="Nathan Powe / Samantha Morgan"/>
            <filter val="Dustin W Kewley"/>
            <filter val="Johnny Ray Matlock"/>
            <filter val="Steven M Williams"/>
            <filter val="Yaoan He,"/>
            <filter val="Timothy Marquez"/>
            <filter val="Mark Carter (Coleman et al)"/>
            <filter val="Robert Lee Johnson"/>
            <filter val="Matthew Lee Lane"/>
            <filter val="Ruben Guillermo Ulloa"/>
            <filter val="William David Turley"/>
            <filter val="Jaime Breckenridge"/>
            <filter val="Pryce Elijah Demars"/>
            <filter val="Gail Lynn Burnworth"/>
            <filter val="Matthew Jones"/>
            <filter val="Scott Anderson / Braden Voss"/>
            <filter val="James Thomas Butler"/>
            <filter val="Robert Barteau"/>
            <filter val="Melanie Denae Williams aka Pretty Hoe"/>
            <filter val="Patrick Barron"/>
            <filter val="Duane Turman"/>
            <filter val="Alex Primitibo Campos"/>
            <filter val="Karl Messner"/>
            <filter val="Billy Dunn"/>
            <filter val="Yun Escamilla"/>
            <filter val="Ryan Edward Offineer"/>
            <filter val="Jeremiah Stertz"/>
            <filter val="Christopher Collins"/>
            <filter val="Anayancy Castro Hernandez"/>
            <filter val="Cole Christian"/>
            <filter val="Christopher Hernandez Meza"/>
            <filter val="Monica Merlin Morales / Tion Makeise Foster"/>
            <filter val="Philip Ahr"/>
            <filter val="Sean Dean"/>
            <filter val="Tien Luong / Nip Mihn Tsi"/>
            <filter val="Alexander Pedraza"/>
            <filter val="Shawn Callwood"/>
            <filter val="Carlos Castillo"/>
            <filter val="Kenneth Wayne Spencer"/>
            <filter val="Marcus Antonio Redick"/>
            <filter val="Michael Correia"/>
            <filter val="Eddy Florence"/>
            <filter val="Nancy Salzman (Raniere [et al])"/>
            <filter val="Frank A Dunn"/>
            <filter val="Rudy Gomez / Johana Gomez"/>
            <filter val="Keron Woods-Henderson"/>
            <filter val="Hector Hinojosa‑Cisneros"/>
            <filter val="Amber McMains / Jovan Hibberts"/>
            <filter val="John F Rindt"/>
            <filter val="Daniel Spurgeion"/>
            <filter val="Clinton &amp; Clifford Pappadakis"/>
            <filter val="Xavier Morales"/>
            <filter val="Mark Cook"/>
            <filter val="John Ray Langley"/>
            <filter val="Eddie Charles Larue"/>
            <filter val="Donte Alexander Barr aka Tavon Williams"/>
            <filter val="Tommy Findley"/>
            <filter val="James Keenan"/>
            <filter val="Veronica Ofelia Magallanes (Magallanes et al)"/>
            <filter val="Elan Daniel Seagraves"/>
            <filter val="Tara Ponceroff"/>
            <filter val="Carrie Songer"/>
            <filter val="Christopher Frater"/>
            <filter val="Glenn Ranger"/>
            <filter val="Wesley Kenneth McVay"/>
            <filter val="Thomas Broussard"/>
            <filter val="Jordan Jobe"/>
            <filter val="Christopher Ray Faella"/>
            <filter val="Travis Walker"/>
            <filter val="Michael Krepp"/>
            <filter val="Rodrigo Rodriguez"/>
            <filter val="Peter Jewell-Reigel"/>
            <filter val="David J Cottrell"/>
            <filter val="William Bresee"/>
            <filter val="Travis E Walker"/>
            <filter val="Raymorris Ascensio"/>
            <filter val="Roberto Ramirez"/>
            <filter val="William Harvey Gulkis"/>
            <filter val="Kenneth J Monahan"/>
            <filter val="Anthony Weiner"/>
            <filter val="Rosalio Perez"/>
            <filter val="Shawn Bradley"/>
            <filter val="Samuel Dexter Ray"/>
            <filter val="Rosalvo Caetano"/>
            <filter val="Jason Frye"/>
            <filter val="Christopher Walton"/>
            <filter val="Steven Hadley Hassan"/>
            <filter val="Anthony Dale Smith"/>
            <filter val="Glenroy Heywood"/>
            <filter val="Heather McDorman (Hamby et al)"/>
            <filter val="Michael Nelson"/>
            <filter val="Daniel Rehman"/>
            <filter val="Richard C Miller"/>
            <filter val="Bingbing Li / Linan Tian"/>
            <filter val="Douglas Fountain"/>
            <filter val="Bobby Melancon"/>
            <filter val="Todd Matthew Jones"/>
            <filter val="Sam Lindsey Massette / Krystina Marie Pickersgill"/>
            <filter val="Christopher Lawrence"/>
            <filter val="Stephen Hallett"/>
            <filter val="Slade Williams"/>
            <filter val="Charles Krusac / Ronald Hellman"/>
            <filter val="Amos Kiprop Koech / Dakota James Lafave"/>
            <filter val="Brian A. Salvado"/>
            <filter val="Germaine Moore"/>
            <filter val="Michael W Collius"/>
            <filter val="Thomas Cross / Desiree Daigle"/>
            <filter val="Michael B. Clark"/>
            <filter val="Gary S Bridgewater"/>
            <filter val="Jarred Carrell"/>
            <filter val="Franklin E Perry (Weekley et al)"/>
            <filter val="Charles Ellis Jr"/>
            <filter val="Howard Joseph Vorder Bruegge, III"/>
            <filter val="Michael James Collins"/>
            <filter val="Walter Gross"/>
            <filter val="Thaddus Caves"/>
            <filter val="Raymond Gliottone"/>
            <filter val="Andrew Steiskal"/>
            <filter val="Taylor T Sullivan"/>
          </filters>
        </filterColumn>
        <filterColumn colId="20">
          <filters blank="1">
            <filter val="TRUE"/>
          </filters>
        </filterColumn>
      </autoFilter>
    </customSheetView>
    <customSheetView guid="{4483C7C5-39AD-481B-8B5C-9828FE8855DD}" filter="1" showAutoFilter="1">
      <autoFilter ref="$A$3:$U$2113"/>
    </customSheetView>
  </customSheetViews>
  <mergeCells count="2">
    <mergeCell ref="B1:J1"/>
    <mergeCell ref="E2:F2"/>
  </mergeCells>
  <conditionalFormatting sqref="L2729">
    <cfRule type="expression" dxfId="0" priority="1">
      <formula>and(if($R2730,1,0),if($Q2730,1,0))</formula>
    </cfRule>
  </conditionalFormatting>
  <conditionalFormatting sqref="L2729">
    <cfRule type="expression" dxfId="1" priority="2">
      <formula>and(if($R2730,1,0),not(if($Q2730,1,0)))</formula>
    </cfRule>
  </conditionalFormatting>
  <conditionalFormatting sqref="L2729">
    <cfRule type="expression" dxfId="2" priority="3">
      <formula>and(if($Q2730,1,0),not(if($R2730,1,0)))</formula>
    </cfRule>
  </conditionalFormatting>
  <conditionalFormatting sqref="A2090:Q2090">
    <cfRule type="expression" dxfId="0" priority="4">
      <formula>and(if($R2090,1,0),if($Q2090,1,0))</formula>
    </cfRule>
  </conditionalFormatting>
  <conditionalFormatting sqref="A2090:Q2090">
    <cfRule type="expression" dxfId="1" priority="5">
      <formula>and(if($R2090,1,0),not(if($Q2090,1,0)))</formula>
    </cfRule>
  </conditionalFormatting>
  <conditionalFormatting sqref="A2090:Q2090">
    <cfRule type="expression" dxfId="2" priority="6">
      <formula>and(if($Q2090,1,0),not(if($R2090,1,0)))</formula>
    </cfRule>
  </conditionalFormatting>
  <conditionalFormatting sqref="R2090">
    <cfRule type="cellIs" dxfId="3" priority="7" operator="equal">
      <formula>1</formula>
    </cfRule>
  </conditionalFormatting>
  <conditionalFormatting sqref="A1362:Q1362">
    <cfRule type="expression" dxfId="0" priority="8">
      <formula>and(if($R1362,1,0),if($Q1362,1,0))</formula>
    </cfRule>
  </conditionalFormatting>
  <conditionalFormatting sqref="A1362:Q1362">
    <cfRule type="expression" dxfId="1" priority="9">
      <formula>and(if($R1362,1,0),not(if($Q1362,1,0)))</formula>
    </cfRule>
  </conditionalFormatting>
  <conditionalFormatting sqref="A1362:Q1362">
    <cfRule type="expression" dxfId="2" priority="10">
      <formula>and(if($Q1362,1,0),not(if($R1362,1,0)))</formula>
    </cfRule>
  </conditionalFormatting>
  <conditionalFormatting sqref="R1362">
    <cfRule type="cellIs" dxfId="3" priority="11" operator="equal">
      <formula>1</formula>
    </cfRule>
  </conditionalFormatting>
  <conditionalFormatting sqref="A3:P3 S3:BQ3">
    <cfRule type="notContainsBlanks" dxfId="4" priority="12">
      <formula>LEN(TRIM(A3))&gt;0</formula>
    </cfRule>
  </conditionalFormatting>
  <conditionalFormatting sqref="A4:K4658 L4:L2728 M4:R4658 L2731:L4658">
    <cfRule type="expression" dxfId="2" priority="13">
      <formula>and(if($Q4,1,0),not(if($R4,1,0)))</formula>
    </cfRule>
  </conditionalFormatting>
  <conditionalFormatting sqref="R4:R1361 R1363:R1755 R1757:R2089 R2091:R2162 R2167:R2272 R3684 R3686:R4658">
    <cfRule type="cellIs" dxfId="3" priority="14" operator="equal">
      <formula>1</formula>
    </cfRule>
  </conditionalFormatting>
  <conditionalFormatting sqref="A4:K4658 L4:L2728 M4:R4658 L2731:L4658">
    <cfRule type="expression" dxfId="1" priority="15">
      <formula>and(if($R4,1,0),not(if($Q4,1,0)))</formula>
    </cfRule>
  </conditionalFormatting>
  <conditionalFormatting sqref="A4:K4658 L4:L2728 M4:R4658 L2731:L4658">
    <cfRule type="expression" dxfId="0" priority="16">
      <formula>and(if($R4,1,0),if($Q4,1,0))</formula>
    </cfRule>
  </conditionalFormatting>
  <conditionalFormatting sqref="Q2326:Q2373">
    <cfRule type="notContainsBlanks" dxfId="4" priority="17">
      <formula>LEN(TRIM(Q2326))&gt;0</formula>
    </cfRule>
  </conditionalFormatting>
  <conditionalFormatting sqref="Q1756">
    <cfRule type="notContainsBlanks" dxfId="4" priority="18">
      <formula>LEN(TRIM(Q1756))&gt;0</formula>
    </cfRule>
  </conditionalFormatting>
  <hyperlinks>
    <hyperlink r:id="rId2" ref="M4"/>
    <hyperlink r:id="rId3" ref="N4"/>
    <hyperlink r:id="rId4" ref="W4"/>
    <hyperlink r:id="rId5" ref="X4"/>
    <hyperlink r:id="rId6" ref="M5"/>
    <hyperlink r:id="rId7" ref="W5"/>
    <hyperlink r:id="rId8" ref="M6"/>
    <hyperlink r:id="rId9" ref="W6"/>
    <hyperlink r:id="rId10" ref="M7"/>
    <hyperlink r:id="rId11" ref="M10"/>
    <hyperlink r:id="rId12" ref="N10"/>
    <hyperlink r:id="rId13" ref="W10"/>
    <hyperlink r:id="rId14" ref="X10"/>
    <hyperlink r:id="rId15" ref="M11"/>
    <hyperlink r:id="rId16" ref="P11"/>
    <hyperlink r:id="rId17" ref="W11"/>
    <hyperlink r:id="rId18" ref="X11"/>
    <hyperlink r:id="rId19" ref="M12"/>
    <hyperlink r:id="rId20" ref="N12"/>
    <hyperlink r:id="rId21" ref="W12"/>
    <hyperlink r:id="rId22" ref="X12"/>
    <hyperlink r:id="rId23" ref="M13"/>
    <hyperlink r:id="rId24" ref="N13"/>
    <hyperlink r:id="rId25" ref="W13"/>
    <hyperlink r:id="rId26" ref="X13"/>
    <hyperlink r:id="rId27" ref="M14"/>
    <hyperlink r:id="rId28" ref="X14"/>
    <hyperlink r:id="rId29" ref="M15"/>
    <hyperlink r:id="rId30" ref="M16"/>
    <hyperlink r:id="rId31" ref="M17"/>
    <hyperlink r:id="rId32" ref="M18"/>
    <hyperlink r:id="rId33" ref="M19"/>
    <hyperlink r:id="rId34" ref="N19"/>
    <hyperlink r:id="rId35" ref="M20"/>
    <hyperlink r:id="rId36" ref="N20"/>
    <hyperlink r:id="rId37" ref="M21"/>
    <hyperlink r:id="rId38" ref="M22"/>
    <hyperlink r:id="rId39" ref="P22"/>
    <hyperlink r:id="rId40" ref="M23"/>
    <hyperlink r:id="rId41" ref="M24"/>
    <hyperlink r:id="rId42" ref="M25"/>
    <hyperlink r:id="rId43" ref="M26"/>
    <hyperlink r:id="rId44" ref="M27"/>
    <hyperlink r:id="rId45" ref="M28"/>
    <hyperlink r:id="rId46" ref="M29"/>
    <hyperlink r:id="rId47" ref="M30"/>
    <hyperlink r:id="rId48" ref="M31"/>
    <hyperlink r:id="rId49" ref="M32"/>
    <hyperlink r:id="rId50" ref="M33"/>
    <hyperlink r:id="rId51" ref="W33"/>
    <hyperlink r:id="rId52" ref="X33"/>
    <hyperlink r:id="rId53" ref="W34"/>
    <hyperlink r:id="rId54" ref="X34"/>
    <hyperlink r:id="rId55" ref="M35"/>
    <hyperlink r:id="rId56" ref="W35"/>
    <hyperlink r:id="rId57" ref="X35"/>
    <hyperlink r:id="rId58" ref="M36"/>
    <hyperlink r:id="rId59" ref="N36"/>
    <hyperlink r:id="rId60" ref="W36"/>
    <hyperlink r:id="rId61" ref="X36"/>
    <hyperlink r:id="rId62" ref="M37"/>
    <hyperlink r:id="rId63" ref="W37"/>
    <hyperlink r:id="rId64" ref="X37"/>
    <hyperlink r:id="rId65" ref="M38"/>
    <hyperlink r:id="rId66" ref="N38"/>
    <hyperlink r:id="rId67" ref="W38"/>
    <hyperlink r:id="rId68" ref="M39"/>
    <hyperlink r:id="rId69" ref="M40"/>
    <hyperlink r:id="rId70" ref="W40"/>
    <hyperlink r:id="rId71" ref="M41"/>
    <hyperlink r:id="rId72" ref="N41"/>
    <hyperlink r:id="rId73" ref="W41"/>
    <hyperlink r:id="rId74" ref="X41"/>
    <hyperlink r:id="rId75" ref="M42"/>
    <hyperlink r:id="rId76" ref="X42"/>
    <hyperlink r:id="rId77" ref="M43"/>
    <hyperlink r:id="rId78" ref="M44"/>
    <hyperlink r:id="rId79" ref="N44"/>
    <hyperlink r:id="rId80" ref="P44"/>
    <hyperlink r:id="rId81" ref="W44"/>
    <hyperlink r:id="rId82" ref="X44"/>
    <hyperlink r:id="rId83" ref="M45"/>
    <hyperlink r:id="rId84" ref="M46"/>
    <hyperlink r:id="rId85" ref="W46"/>
    <hyperlink r:id="rId86" ref="X46"/>
    <hyperlink r:id="rId87" ref="M47"/>
    <hyperlink r:id="rId88" ref="N47"/>
    <hyperlink r:id="rId89" ref="W47"/>
    <hyperlink r:id="rId90" ref="X47"/>
    <hyperlink r:id="rId91" ref="W48"/>
    <hyperlink r:id="rId92" ref="M49"/>
    <hyperlink r:id="rId93" ref="M50"/>
    <hyperlink r:id="rId94" ref="W50"/>
    <hyperlink r:id="rId95" ref="X50"/>
    <hyperlink r:id="rId96" ref="M51"/>
    <hyperlink r:id="rId97" ref="W51"/>
    <hyperlink r:id="rId98" ref="X51"/>
    <hyperlink r:id="rId99" ref="M52"/>
    <hyperlink r:id="rId100" ref="W52"/>
    <hyperlink r:id="rId101" ref="X52"/>
    <hyperlink r:id="rId102" ref="M53"/>
    <hyperlink r:id="rId103" ref="W53"/>
    <hyperlink r:id="rId104" ref="X53"/>
    <hyperlink r:id="rId105" ref="M54"/>
    <hyperlink r:id="rId106" ref="M55"/>
    <hyperlink r:id="rId107" ref="N55"/>
    <hyperlink r:id="rId108" ref="P55"/>
    <hyperlink r:id="rId109" ref="M56"/>
    <hyperlink r:id="rId110" ref="M57"/>
    <hyperlink r:id="rId111" ref="M58"/>
    <hyperlink r:id="rId112" ref="N58"/>
    <hyperlink r:id="rId113" ref="M59"/>
    <hyperlink r:id="rId114" ref="P59"/>
    <hyperlink r:id="rId115" ref="M60"/>
    <hyperlink r:id="rId116" ref="P60"/>
    <hyperlink r:id="rId117" ref="M61"/>
    <hyperlink r:id="rId118" ref="N61"/>
    <hyperlink r:id="rId119" ref="M62"/>
    <hyperlink r:id="rId120" ref="M63"/>
    <hyperlink r:id="rId121" ref="N63"/>
    <hyperlink r:id="rId122" ref="M64"/>
    <hyperlink r:id="rId123" ref="M65"/>
    <hyperlink r:id="rId124" ref="M66"/>
    <hyperlink r:id="rId125" ref="M67"/>
    <hyperlink r:id="rId126" ref="N67"/>
    <hyperlink r:id="rId127" ref="M68"/>
    <hyperlink r:id="rId128" ref="M69"/>
    <hyperlink r:id="rId129" ref="M70"/>
    <hyperlink r:id="rId130" ref="N70"/>
    <hyperlink r:id="rId131" ref="W70"/>
    <hyperlink r:id="rId132" ref="X70"/>
    <hyperlink r:id="rId133" ref="M71"/>
    <hyperlink r:id="rId134" ref="W71"/>
    <hyperlink r:id="rId135" ref="X71"/>
    <hyperlink r:id="rId136" ref="M72"/>
    <hyperlink r:id="rId137" ref="W72"/>
    <hyperlink r:id="rId138" ref="X72"/>
    <hyperlink r:id="rId139" ref="M73"/>
    <hyperlink r:id="rId140" ref="N73"/>
    <hyperlink r:id="rId141" ref="M74"/>
    <hyperlink r:id="rId142" ref="P74"/>
    <hyperlink r:id="rId143" ref="M75"/>
    <hyperlink r:id="rId144" ref="N75"/>
    <hyperlink r:id="rId145" ref="M76"/>
    <hyperlink r:id="rId146" ref="N76"/>
    <hyperlink r:id="rId147" ref="M77"/>
    <hyperlink r:id="rId148" ref="M78"/>
    <hyperlink r:id="rId149" ref="M79"/>
    <hyperlink r:id="rId150" ref="M80"/>
    <hyperlink r:id="rId151" ref="M81"/>
    <hyperlink r:id="rId152" ref="M82"/>
    <hyperlink r:id="rId153" ref="M83"/>
    <hyperlink r:id="rId154" ref="M84"/>
    <hyperlink r:id="rId155" ref="M85"/>
    <hyperlink r:id="rId156" ref="M86"/>
    <hyperlink r:id="rId157" ref="M87"/>
    <hyperlink r:id="rId158" ref="M88"/>
    <hyperlink r:id="rId159" ref="X88"/>
    <hyperlink r:id="rId160" ref="P89"/>
    <hyperlink r:id="rId161" ref="X89"/>
    <hyperlink r:id="rId162" ref="M90"/>
    <hyperlink r:id="rId163" ref="P91"/>
    <hyperlink r:id="rId164" ref="M92"/>
    <hyperlink r:id="rId165" ref="M93"/>
    <hyperlink r:id="rId166" ref="M94"/>
    <hyperlink r:id="rId167" ref="M95"/>
    <hyperlink r:id="rId168" ref="N95"/>
    <hyperlink r:id="rId169" ref="M96"/>
    <hyperlink r:id="rId170" ref="M97"/>
    <hyperlink r:id="rId171" ref="N97"/>
    <hyperlink r:id="rId172" ref="M98"/>
    <hyperlink r:id="rId173" ref="N98"/>
    <hyperlink r:id="rId174" ref="M99"/>
    <hyperlink r:id="rId175" ref="M100"/>
    <hyperlink r:id="rId176" ref="P100"/>
    <hyperlink r:id="rId177" ref="M101"/>
    <hyperlink r:id="rId178" ref="N101"/>
    <hyperlink r:id="rId179" ref="W101"/>
    <hyperlink r:id="rId180" ref="X101"/>
    <hyperlink r:id="rId181" ref="M102"/>
    <hyperlink r:id="rId182" ref="M103"/>
    <hyperlink r:id="rId183" ref="M104"/>
    <hyperlink r:id="rId184" ref="M105"/>
    <hyperlink r:id="rId185" ref="N105"/>
    <hyperlink r:id="rId186" ref="P105"/>
    <hyperlink r:id="rId187" ref="M106"/>
    <hyperlink r:id="rId188" ref="M107"/>
    <hyperlink r:id="rId189" ref="M108"/>
    <hyperlink r:id="rId190" ref="M109"/>
    <hyperlink r:id="rId191" ref="N109"/>
    <hyperlink r:id="rId192" ref="P109"/>
    <hyperlink r:id="rId193" ref="W109"/>
    <hyperlink r:id="rId194" ref="X109"/>
    <hyperlink r:id="rId195" ref="M110"/>
    <hyperlink r:id="rId196" ref="M111"/>
    <hyperlink r:id="rId197" ref="N111"/>
    <hyperlink r:id="rId198" ref="W111"/>
    <hyperlink r:id="rId199" ref="M112"/>
    <hyperlink r:id="rId200" ref="N112"/>
    <hyperlink r:id="rId201" ref="W112"/>
    <hyperlink r:id="rId202" ref="X112"/>
    <hyperlink r:id="rId203" ref="M113"/>
    <hyperlink r:id="rId204" ref="N113"/>
    <hyperlink r:id="rId205" ref="W113"/>
    <hyperlink r:id="rId206" ref="M114"/>
    <hyperlink r:id="rId207" ref="M115"/>
    <hyperlink r:id="rId208" ref="M116"/>
    <hyperlink r:id="rId209" ref="M117"/>
    <hyperlink r:id="rId210" ref="M118"/>
    <hyperlink r:id="rId211" ref="M119"/>
    <hyperlink r:id="rId212" ref="M120"/>
    <hyperlink r:id="rId213" ref="M121"/>
    <hyperlink r:id="rId214" ref="M122"/>
    <hyperlink r:id="rId215" ref="N122"/>
    <hyperlink r:id="rId216" ref="M123"/>
    <hyperlink r:id="rId217" ref="M124"/>
    <hyperlink r:id="rId218" ref="M125"/>
    <hyperlink r:id="rId219" ref="M126"/>
    <hyperlink r:id="rId220" ref="M127"/>
    <hyperlink r:id="rId221" ref="M128"/>
    <hyperlink r:id="rId222" ref="M129"/>
    <hyperlink r:id="rId223" ref="P129"/>
    <hyperlink r:id="rId224" ref="M130"/>
    <hyperlink r:id="rId225" ref="N130"/>
    <hyperlink r:id="rId226" ref="M131"/>
    <hyperlink r:id="rId227" ref="M132"/>
    <hyperlink r:id="rId228" ref="M133"/>
    <hyperlink r:id="rId229" ref="N133"/>
    <hyperlink r:id="rId230" ref="P133"/>
    <hyperlink r:id="rId231" ref="M134"/>
    <hyperlink r:id="rId232" ref="N134"/>
    <hyperlink r:id="rId233" ref="P134"/>
    <hyperlink r:id="rId234" ref="M135"/>
    <hyperlink r:id="rId235" ref="M136"/>
    <hyperlink r:id="rId236" ref="M137"/>
    <hyperlink r:id="rId237" ref="M138"/>
    <hyperlink r:id="rId238" ref="N138"/>
    <hyperlink r:id="rId239" ref="W138"/>
    <hyperlink r:id="rId240" ref="N139"/>
    <hyperlink r:id="rId241" ref="W139"/>
    <hyperlink r:id="rId242" ref="M140"/>
    <hyperlink r:id="rId243" ref="N140"/>
    <hyperlink r:id="rId244" ref="M141"/>
    <hyperlink r:id="rId245" ref="N141"/>
    <hyperlink r:id="rId246" ref="W141"/>
    <hyperlink r:id="rId247" ref="M142"/>
    <hyperlink r:id="rId248" ref="M143"/>
    <hyperlink r:id="rId249" ref="M145"/>
    <hyperlink r:id="rId250" ref="M146"/>
    <hyperlink r:id="rId251" ref="M147"/>
    <hyperlink r:id="rId252" ref="M148"/>
    <hyperlink r:id="rId253" ref="M149"/>
    <hyperlink r:id="rId254" ref="W149"/>
    <hyperlink r:id="rId255" ref="X149"/>
    <hyperlink r:id="rId256" ref="M150"/>
    <hyperlink r:id="rId257" ref="M152"/>
    <hyperlink r:id="rId258" ref="N152"/>
    <hyperlink r:id="rId259" ref="P152"/>
    <hyperlink r:id="rId260" ref="M153"/>
    <hyperlink r:id="rId261" ref="M154"/>
    <hyperlink r:id="rId262" ref="M155"/>
    <hyperlink r:id="rId263" ref="M156"/>
    <hyperlink r:id="rId264" ref="M157"/>
    <hyperlink r:id="rId265" ref="M158"/>
    <hyperlink r:id="rId266" ref="M159"/>
    <hyperlink r:id="rId267" ref="M160"/>
    <hyperlink r:id="rId268" ref="M161"/>
    <hyperlink r:id="rId269" ref="M162"/>
    <hyperlink r:id="rId270" ref="M163"/>
    <hyperlink r:id="rId271" ref="M164"/>
    <hyperlink r:id="rId272" ref="M165"/>
    <hyperlink r:id="rId273" ref="M166"/>
    <hyperlink r:id="rId274" ref="M167"/>
    <hyperlink r:id="rId275" ref="M169"/>
    <hyperlink r:id="rId276" ref="M170"/>
    <hyperlink r:id="rId277" ref="N170"/>
    <hyperlink r:id="rId278" ref="M171"/>
    <hyperlink r:id="rId279" ref="M172"/>
    <hyperlink r:id="rId280" ref="M174"/>
    <hyperlink r:id="rId281" ref="M176"/>
    <hyperlink r:id="rId282" ref="N176"/>
    <hyperlink r:id="rId283" ref="M177"/>
    <hyperlink r:id="rId284" ref="N177"/>
    <hyperlink r:id="rId285" ref="M178"/>
    <hyperlink r:id="rId286" ref="M179"/>
    <hyperlink r:id="rId287" ref="M180"/>
    <hyperlink r:id="rId288" ref="M181"/>
    <hyperlink r:id="rId289" ref="M182"/>
    <hyperlink r:id="rId290" ref="M183"/>
    <hyperlink r:id="rId291" ref="M184"/>
    <hyperlink r:id="rId292" ref="M185"/>
    <hyperlink r:id="rId293" ref="M186"/>
    <hyperlink r:id="rId294" ref="M187"/>
    <hyperlink r:id="rId295" ref="N187"/>
    <hyperlink r:id="rId296" ref="M188"/>
    <hyperlink r:id="rId297" ref="M189"/>
    <hyperlink r:id="rId298" ref="N189"/>
    <hyperlink r:id="rId299" ref="M190"/>
    <hyperlink r:id="rId300" ref="M191"/>
    <hyperlink r:id="rId301" ref="M192"/>
    <hyperlink r:id="rId302" ref="N192"/>
    <hyperlink r:id="rId303" ref="W192"/>
    <hyperlink r:id="rId304" ref="M193"/>
    <hyperlink r:id="rId305" ref="M194"/>
    <hyperlink r:id="rId306" ref="M195"/>
    <hyperlink r:id="rId307" ref="N195"/>
    <hyperlink r:id="rId308" ref="W195"/>
    <hyperlink r:id="rId309" ref="M196"/>
    <hyperlink r:id="rId310" ref="N196"/>
    <hyperlink r:id="rId311" ref="W196"/>
    <hyperlink r:id="rId312" ref="M197"/>
    <hyperlink r:id="rId313" ref="M198"/>
    <hyperlink r:id="rId314" ref="M199"/>
    <hyperlink r:id="rId315" ref="N199"/>
    <hyperlink r:id="rId316" ref="P199"/>
    <hyperlink r:id="rId317" ref="X199"/>
    <hyperlink r:id="rId318" ref="M200"/>
    <hyperlink r:id="rId319" ref="M201"/>
    <hyperlink r:id="rId320" ref="M202"/>
    <hyperlink r:id="rId321" ref="M203"/>
    <hyperlink r:id="rId322" ref="M204"/>
    <hyperlink r:id="rId323" ref="M205"/>
    <hyperlink r:id="rId324" ref="P205"/>
    <hyperlink r:id="rId325" ref="A206"/>
    <hyperlink r:id="rId326" ref="M206"/>
    <hyperlink r:id="rId327" ref="M207"/>
    <hyperlink r:id="rId328" ref="N207"/>
    <hyperlink r:id="rId329" ref="M208"/>
    <hyperlink r:id="rId330" ref="M209"/>
    <hyperlink r:id="rId331" ref="N209"/>
    <hyperlink r:id="rId332" ref="M210"/>
    <hyperlink r:id="rId333" ref="M211"/>
    <hyperlink r:id="rId334" ref="M212"/>
    <hyperlink r:id="rId335" ref="M213"/>
    <hyperlink r:id="rId336" ref="M214"/>
    <hyperlink r:id="rId337" ref="M215"/>
    <hyperlink r:id="rId338" ref="M216"/>
    <hyperlink r:id="rId339" ref="M217"/>
    <hyperlink r:id="rId340" ref="M218"/>
    <hyperlink r:id="rId341" ref="M219"/>
    <hyperlink r:id="rId342" ref="N219"/>
    <hyperlink r:id="rId343" ref="P219"/>
    <hyperlink r:id="rId344" ref="W219"/>
    <hyperlink r:id="rId345" ref="X219"/>
    <hyperlink r:id="rId346" ref="M220"/>
    <hyperlink r:id="rId347" ref="P220"/>
    <hyperlink r:id="rId348" ref="M221"/>
    <hyperlink r:id="rId349" ref="M222"/>
    <hyperlink r:id="rId350" ref="M223"/>
    <hyperlink r:id="rId351" ref="N223"/>
    <hyperlink r:id="rId352" ref="M224"/>
    <hyperlink r:id="rId353" ref="N224"/>
    <hyperlink r:id="rId354" ref="M225"/>
    <hyperlink r:id="rId355" ref="P225"/>
    <hyperlink r:id="rId356" ref="M226"/>
    <hyperlink r:id="rId357" ref="N226"/>
    <hyperlink r:id="rId358" ref="W226"/>
    <hyperlink r:id="rId359" ref="X226"/>
    <hyperlink r:id="rId360" ref="M227"/>
    <hyperlink r:id="rId361" ref="M228"/>
    <hyperlink r:id="rId362" ref="M229"/>
    <hyperlink r:id="rId363" ref="M230"/>
    <hyperlink r:id="rId364" ref="M231"/>
    <hyperlink r:id="rId365" ref="W232"/>
    <hyperlink r:id="rId366" ref="X232"/>
    <hyperlink r:id="rId367" ref="M233"/>
    <hyperlink r:id="rId368" ref="M235"/>
    <hyperlink r:id="rId369" ref="M236"/>
    <hyperlink r:id="rId370" ref="M237"/>
    <hyperlink r:id="rId371" ref="M239"/>
    <hyperlink r:id="rId372" ref="N239"/>
    <hyperlink r:id="rId373" ref="M240"/>
    <hyperlink r:id="rId374" ref="M241"/>
    <hyperlink r:id="rId375" ref="M242"/>
    <hyperlink r:id="rId376" ref="M243"/>
    <hyperlink r:id="rId377" ref="M244"/>
    <hyperlink r:id="rId378" ref="M245"/>
    <hyperlink r:id="rId379" ref="N245"/>
    <hyperlink r:id="rId380" ref="W245"/>
    <hyperlink r:id="rId381" ref="M246"/>
    <hyperlink r:id="rId382" ref="M247"/>
    <hyperlink r:id="rId383" ref="M248"/>
    <hyperlink r:id="rId384" ref="M249"/>
    <hyperlink r:id="rId385" ref="M250"/>
    <hyperlink r:id="rId386" ref="N250"/>
    <hyperlink r:id="rId387" ref="W250"/>
    <hyperlink r:id="rId388" ref="X250"/>
    <hyperlink r:id="rId389" ref="M251"/>
    <hyperlink r:id="rId390" location="more-3254" ref="M252"/>
    <hyperlink r:id="rId391" ref="N252"/>
    <hyperlink r:id="rId392" ref="M253"/>
    <hyperlink r:id="rId393" ref="M254"/>
    <hyperlink r:id="rId394" ref="M255"/>
    <hyperlink r:id="rId395" ref="P255"/>
    <hyperlink r:id="rId396" ref="M256"/>
    <hyperlink r:id="rId397" ref="P256"/>
    <hyperlink r:id="rId398" ref="M257"/>
    <hyperlink r:id="rId399" ref="N257"/>
    <hyperlink r:id="rId400" ref="W257"/>
    <hyperlink r:id="rId401" ref="X257"/>
    <hyperlink r:id="rId402" ref="M258"/>
    <hyperlink r:id="rId403" ref="M259"/>
    <hyperlink r:id="rId404" ref="P259"/>
    <hyperlink r:id="rId405" ref="M260"/>
    <hyperlink r:id="rId406" ref="P260"/>
    <hyperlink r:id="rId407" ref="M261"/>
    <hyperlink r:id="rId408" ref="N261"/>
    <hyperlink r:id="rId409" ref="M262"/>
    <hyperlink r:id="rId410" ref="W262"/>
    <hyperlink r:id="rId411" ref="X262"/>
    <hyperlink r:id="rId412" ref="M263"/>
    <hyperlink r:id="rId413" ref="M264"/>
    <hyperlink r:id="rId414" ref="N264"/>
    <hyperlink r:id="rId415" ref="M265"/>
    <hyperlink r:id="rId416" ref="M266"/>
    <hyperlink r:id="rId417" ref="N266"/>
    <hyperlink r:id="rId418" ref="P266"/>
    <hyperlink r:id="rId419" ref="M267"/>
    <hyperlink r:id="rId420" ref="M268"/>
    <hyperlink r:id="rId421" ref="M269"/>
    <hyperlink r:id="rId422" ref="N269"/>
    <hyperlink r:id="rId423" ref="P269"/>
    <hyperlink r:id="rId424" ref="P270"/>
    <hyperlink r:id="rId425" ref="M271"/>
    <hyperlink r:id="rId426" ref="P271"/>
    <hyperlink r:id="rId427" ref="M272"/>
    <hyperlink r:id="rId428" ref="N272"/>
    <hyperlink r:id="rId429" ref="P272"/>
    <hyperlink r:id="rId430" ref="M273"/>
    <hyperlink r:id="rId431" ref="M274"/>
    <hyperlink r:id="rId432" ref="M275"/>
    <hyperlink r:id="rId433" ref="W276"/>
    <hyperlink r:id="rId434" ref="X276"/>
    <hyperlink r:id="rId435" ref="W277"/>
    <hyperlink r:id="rId436" ref="X277"/>
    <hyperlink r:id="rId437" ref="M278"/>
    <hyperlink r:id="rId438" ref="P278"/>
    <hyperlink r:id="rId439" ref="M279"/>
    <hyperlink r:id="rId440" ref="N279"/>
    <hyperlink r:id="rId441" ref="M280"/>
    <hyperlink r:id="rId442" ref="N280"/>
    <hyperlink r:id="rId443" ref="W281"/>
    <hyperlink r:id="rId444" ref="X281"/>
    <hyperlink r:id="rId445" ref="M282"/>
    <hyperlink r:id="rId446" ref="M283"/>
    <hyperlink r:id="rId447" ref="M284"/>
    <hyperlink r:id="rId448" ref="P284"/>
    <hyperlink r:id="rId449" ref="M285"/>
    <hyperlink r:id="rId450" ref="M286"/>
    <hyperlink r:id="rId451" ref="M287"/>
    <hyperlink r:id="rId452" ref="M288"/>
    <hyperlink r:id="rId453" ref="N288"/>
    <hyperlink r:id="rId454" ref="M289"/>
    <hyperlink r:id="rId455" ref="M290"/>
    <hyperlink r:id="rId456" ref="M291"/>
    <hyperlink r:id="rId457" ref="P291"/>
    <hyperlink r:id="rId458" ref="X291"/>
    <hyperlink r:id="rId459" ref="M292"/>
    <hyperlink r:id="rId460" ref="N292"/>
    <hyperlink r:id="rId461" ref="M293"/>
    <hyperlink r:id="rId462" ref="M294"/>
    <hyperlink r:id="rId463" ref="N294"/>
    <hyperlink r:id="rId464" ref="W294"/>
    <hyperlink r:id="rId465" ref="X294"/>
    <hyperlink r:id="rId466" ref="M295"/>
    <hyperlink r:id="rId467" ref="N295"/>
    <hyperlink r:id="rId468" ref="W295"/>
    <hyperlink r:id="rId469" ref="X295"/>
    <hyperlink r:id="rId470" ref="M296"/>
    <hyperlink r:id="rId471" ref="M297"/>
    <hyperlink r:id="rId472" ref="M298"/>
    <hyperlink r:id="rId473" ref="M299"/>
    <hyperlink r:id="rId474" ref="N299"/>
    <hyperlink r:id="rId475" ref="M300"/>
    <hyperlink r:id="rId476" ref="N300"/>
    <hyperlink r:id="rId477" ref="M301"/>
    <hyperlink r:id="rId478" ref="M302"/>
    <hyperlink r:id="rId479" ref="M303"/>
    <hyperlink r:id="rId480" ref="M304"/>
    <hyperlink r:id="rId481" ref="M305"/>
    <hyperlink r:id="rId482" ref="M306"/>
    <hyperlink r:id="rId483" ref="M308"/>
    <hyperlink r:id="rId484" ref="P308"/>
    <hyperlink r:id="rId485" ref="M309"/>
    <hyperlink r:id="rId486" ref="M310"/>
    <hyperlink r:id="rId487" ref="W310"/>
    <hyperlink r:id="rId488" ref="N311"/>
    <hyperlink r:id="rId489" ref="P311"/>
    <hyperlink r:id="rId490" ref="M313"/>
    <hyperlink r:id="rId491" ref="M314"/>
    <hyperlink r:id="rId492" ref="M315"/>
    <hyperlink r:id="rId493" ref="M316"/>
    <hyperlink r:id="rId494" ref="N316"/>
    <hyperlink r:id="rId495" ref="W316"/>
    <hyperlink r:id="rId496" ref="X316"/>
    <hyperlink r:id="rId497" ref="M317"/>
    <hyperlink r:id="rId498" ref="M318"/>
    <hyperlink r:id="rId499" ref="N318"/>
    <hyperlink r:id="rId500" ref="W318"/>
    <hyperlink r:id="rId501" ref="M319"/>
    <hyperlink r:id="rId502" ref="M320"/>
    <hyperlink r:id="rId503" ref="M321"/>
    <hyperlink r:id="rId504" ref="P321"/>
    <hyperlink r:id="rId505" ref="M322"/>
    <hyperlink r:id="rId506" ref="M323"/>
    <hyperlink r:id="rId507" ref="N323"/>
    <hyperlink r:id="rId508" ref="M324"/>
    <hyperlink r:id="rId509" ref="N324"/>
    <hyperlink r:id="rId510" ref="M325"/>
    <hyperlink r:id="rId511" ref="P325"/>
    <hyperlink r:id="rId512" ref="M326"/>
    <hyperlink r:id="rId513" ref="W326"/>
    <hyperlink r:id="rId514" ref="M327"/>
    <hyperlink r:id="rId515" ref="M328"/>
    <hyperlink r:id="rId516" ref="M329"/>
    <hyperlink r:id="rId517" ref="N329"/>
    <hyperlink r:id="rId518" ref="W329"/>
    <hyperlink r:id="rId519" ref="X329"/>
    <hyperlink r:id="rId520" ref="M330"/>
    <hyperlink r:id="rId521" ref="W330"/>
    <hyperlink r:id="rId522" ref="M331"/>
    <hyperlink r:id="rId523" ref="W331"/>
    <hyperlink r:id="rId524" ref="M332"/>
    <hyperlink r:id="rId525" ref="W332"/>
    <hyperlink r:id="rId526" ref="M333"/>
    <hyperlink r:id="rId527" ref="W333"/>
    <hyperlink r:id="rId528" ref="M334"/>
    <hyperlink r:id="rId529" ref="W334"/>
    <hyperlink r:id="rId530" ref="M335"/>
    <hyperlink r:id="rId531" ref="N335"/>
    <hyperlink r:id="rId532" ref="M336"/>
    <hyperlink r:id="rId533" ref="M337"/>
    <hyperlink r:id="rId534" ref="M338"/>
    <hyperlink r:id="rId535" ref="M339"/>
    <hyperlink r:id="rId536" ref="N339"/>
    <hyperlink r:id="rId537" ref="P339"/>
    <hyperlink r:id="rId538" ref="M340"/>
    <hyperlink r:id="rId539" ref="M341"/>
    <hyperlink r:id="rId540" ref="M342"/>
    <hyperlink r:id="rId541" ref="N343"/>
    <hyperlink r:id="rId542" ref="P343"/>
    <hyperlink r:id="rId543" ref="M344"/>
    <hyperlink r:id="rId544" ref="M345"/>
    <hyperlink r:id="rId545" ref="M346"/>
    <hyperlink r:id="rId546" ref="M347"/>
    <hyperlink r:id="rId547" ref="M348"/>
    <hyperlink r:id="rId548" ref="M349"/>
    <hyperlink r:id="rId549" ref="M350"/>
    <hyperlink r:id="rId550" ref="M351"/>
    <hyperlink r:id="rId551" ref="M352"/>
    <hyperlink r:id="rId552" ref="N352"/>
    <hyperlink r:id="rId553" ref="P352"/>
    <hyperlink r:id="rId554" ref="M353"/>
    <hyperlink r:id="rId555" ref="M354"/>
    <hyperlink r:id="rId556" ref="N354"/>
    <hyperlink r:id="rId557" ref="W354"/>
    <hyperlink r:id="rId558" ref="M355"/>
    <hyperlink r:id="rId559" ref="P355"/>
    <hyperlink r:id="rId560" ref="M356"/>
    <hyperlink r:id="rId561" ref="N356"/>
    <hyperlink r:id="rId562" ref="W356"/>
    <hyperlink r:id="rId563" ref="X356"/>
    <hyperlink r:id="rId564" ref="M357"/>
    <hyperlink r:id="rId565" ref="M358"/>
    <hyperlink r:id="rId566" ref="M359"/>
    <hyperlink r:id="rId567" ref="N359"/>
    <hyperlink r:id="rId568" ref="P359"/>
    <hyperlink r:id="rId569" ref="M360"/>
    <hyperlink r:id="rId570" ref="M361"/>
    <hyperlink r:id="rId571" ref="M362"/>
    <hyperlink r:id="rId572" ref="M363"/>
    <hyperlink r:id="rId573" ref="M364"/>
    <hyperlink r:id="rId574" ref="W365"/>
    <hyperlink r:id="rId575" ref="M366"/>
    <hyperlink r:id="rId576" ref="M367"/>
    <hyperlink r:id="rId577" ref="N367"/>
    <hyperlink r:id="rId578" ref="M368"/>
    <hyperlink r:id="rId579" ref="P368"/>
    <hyperlink r:id="rId580" ref="M369"/>
    <hyperlink r:id="rId581" ref="M370"/>
    <hyperlink r:id="rId582" ref="M371"/>
    <hyperlink r:id="rId583" ref="M372"/>
    <hyperlink r:id="rId584" ref="M373"/>
    <hyperlink r:id="rId585" ref="P373"/>
    <hyperlink r:id="rId586" ref="M374"/>
    <hyperlink r:id="rId587" ref="M375"/>
    <hyperlink r:id="rId588" ref="M376"/>
    <hyperlink r:id="rId589" ref="M377"/>
    <hyperlink r:id="rId590" ref="M378"/>
    <hyperlink r:id="rId591" ref="M379"/>
    <hyperlink r:id="rId592" ref="N379"/>
    <hyperlink r:id="rId593" ref="M380"/>
    <hyperlink r:id="rId594" ref="M381"/>
    <hyperlink r:id="rId595" ref="P381"/>
    <hyperlink r:id="rId596" ref="M382"/>
    <hyperlink r:id="rId597" ref="M383"/>
    <hyperlink r:id="rId598" ref="M384"/>
    <hyperlink r:id="rId599" ref="M385"/>
    <hyperlink r:id="rId600" ref="M386"/>
    <hyperlink r:id="rId601" ref="M387"/>
    <hyperlink r:id="rId602" ref="M388"/>
    <hyperlink r:id="rId603" ref="M389"/>
    <hyperlink r:id="rId604" ref="M390"/>
    <hyperlink r:id="rId605" ref="N390"/>
    <hyperlink r:id="rId606" ref="W390"/>
    <hyperlink r:id="rId607" ref="X390"/>
    <hyperlink r:id="rId608" ref="M391"/>
    <hyperlink r:id="rId609" ref="M392"/>
    <hyperlink r:id="rId610" ref="M393"/>
    <hyperlink r:id="rId611" ref="M394"/>
    <hyperlink r:id="rId612" ref="N394"/>
    <hyperlink r:id="rId613" ref="M395"/>
    <hyperlink r:id="rId614" ref="N395"/>
    <hyperlink r:id="rId615" ref="M396"/>
    <hyperlink r:id="rId616" ref="M397"/>
    <hyperlink r:id="rId617" ref="N397"/>
    <hyperlink r:id="rId618" ref="M398"/>
    <hyperlink r:id="rId619" ref="M399"/>
    <hyperlink r:id="rId620" ref="M400"/>
    <hyperlink r:id="rId621" ref="M401"/>
    <hyperlink r:id="rId622" ref="M402"/>
    <hyperlink r:id="rId623" ref="N403"/>
    <hyperlink r:id="rId624" ref="M404"/>
    <hyperlink r:id="rId625" ref="M405"/>
    <hyperlink r:id="rId626" ref="M406"/>
    <hyperlink r:id="rId627" ref="M407"/>
    <hyperlink r:id="rId628" ref="M408"/>
    <hyperlink r:id="rId629" ref="M409"/>
    <hyperlink r:id="rId630" ref="M410"/>
    <hyperlink r:id="rId631" ref="M411"/>
    <hyperlink r:id="rId632" ref="M412"/>
    <hyperlink r:id="rId633" ref="M413"/>
    <hyperlink r:id="rId634" ref="M414"/>
    <hyperlink r:id="rId635" ref="P414"/>
    <hyperlink r:id="rId636" ref="M415"/>
    <hyperlink r:id="rId637" ref="M416"/>
    <hyperlink r:id="rId638" ref="N416"/>
    <hyperlink r:id="rId639" ref="W416"/>
    <hyperlink r:id="rId640" ref="X416"/>
    <hyperlink r:id="rId641" ref="M417"/>
    <hyperlink r:id="rId642" ref="N417"/>
    <hyperlink r:id="rId643" ref="P417"/>
    <hyperlink r:id="rId644" ref="M418"/>
    <hyperlink r:id="rId645" ref="M419"/>
    <hyperlink r:id="rId646" ref="P419"/>
    <hyperlink r:id="rId647" ref="M420"/>
    <hyperlink r:id="rId648" ref="P420"/>
    <hyperlink r:id="rId649" ref="M421"/>
    <hyperlink r:id="rId650" ref="M422"/>
    <hyperlink r:id="rId651" ref="M423"/>
    <hyperlink r:id="rId652" ref="P423"/>
    <hyperlink r:id="rId653" ref="M424"/>
    <hyperlink r:id="rId654" ref="N424"/>
    <hyperlink r:id="rId655" ref="M425"/>
    <hyperlink r:id="rId656" ref="M426"/>
    <hyperlink r:id="rId657" ref="N426"/>
    <hyperlink r:id="rId658" ref="P426"/>
    <hyperlink r:id="rId659" ref="M427"/>
    <hyperlink r:id="rId660" ref="M428"/>
    <hyperlink r:id="rId661" ref="N428"/>
    <hyperlink r:id="rId662" ref="P428"/>
    <hyperlink r:id="rId663" ref="M429"/>
    <hyperlink r:id="rId664" ref="N429"/>
    <hyperlink r:id="rId665" ref="N430"/>
    <hyperlink r:id="rId666" ref="M431"/>
    <hyperlink r:id="rId667" ref="M432"/>
    <hyperlink r:id="rId668" ref="M433"/>
    <hyperlink r:id="rId669" ref="M434"/>
    <hyperlink r:id="rId670" ref="M435"/>
    <hyperlink r:id="rId671" ref="M436"/>
    <hyperlink r:id="rId672" ref="M437"/>
    <hyperlink r:id="rId673" ref="N437"/>
    <hyperlink r:id="rId674" ref="P437"/>
    <hyperlink r:id="rId675" ref="M438"/>
    <hyperlink r:id="rId676" ref="N438"/>
    <hyperlink r:id="rId677" ref="P438"/>
    <hyperlink r:id="rId678" ref="M439"/>
    <hyperlink r:id="rId679" ref="M440"/>
    <hyperlink r:id="rId680" ref="M441"/>
    <hyperlink r:id="rId681" ref="M442"/>
    <hyperlink r:id="rId682" ref="M443"/>
    <hyperlink r:id="rId683" ref="M444"/>
    <hyperlink r:id="rId684" ref="M445"/>
    <hyperlink r:id="rId685" ref="M446"/>
    <hyperlink r:id="rId686" ref="N446"/>
    <hyperlink r:id="rId687" ref="W446"/>
    <hyperlink r:id="rId688" ref="X446"/>
    <hyperlink r:id="rId689" ref="M447"/>
    <hyperlink r:id="rId690" ref="M448"/>
    <hyperlink r:id="rId691" location="photo-1297009" ref="N448"/>
    <hyperlink r:id="rId692" ref="W448"/>
    <hyperlink r:id="rId693" ref="X448"/>
    <hyperlink r:id="rId694" ref="M450"/>
    <hyperlink r:id="rId695" ref="M451"/>
    <hyperlink r:id="rId696" ref="M452"/>
    <hyperlink r:id="rId697" ref="M453"/>
    <hyperlink r:id="rId698" ref="M454"/>
    <hyperlink r:id="rId699" ref="M455"/>
    <hyperlink r:id="rId700" ref="N455"/>
    <hyperlink r:id="rId701" ref="M456"/>
    <hyperlink r:id="rId702" ref="N456"/>
    <hyperlink r:id="rId703" ref="M457"/>
    <hyperlink r:id="rId704" ref="N457"/>
    <hyperlink r:id="rId705" ref="M458"/>
    <hyperlink r:id="rId706" ref="N458"/>
    <hyperlink r:id="rId707" ref="M459"/>
    <hyperlink r:id="rId708" ref="N459"/>
    <hyperlink r:id="rId709" ref="M460"/>
    <hyperlink r:id="rId710" ref="N460"/>
    <hyperlink r:id="rId711" ref="M461"/>
    <hyperlink r:id="rId712" ref="N461"/>
    <hyperlink r:id="rId713" ref="M462"/>
    <hyperlink r:id="rId714" ref="N462"/>
    <hyperlink r:id="rId715" ref="M463"/>
    <hyperlink r:id="rId716" ref="M464"/>
    <hyperlink r:id="rId717" ref="N464"/>
    <hyperlink r:id="rId718" ref="M465"/>
    <hyperlink r:id="rId719" ref="P465"/>
    <hyperlink r:id="rId720" ref="M466"/>
    <hyperlink r:id="rId721" ref="N466"/>
    <hyperlink r:id="rId722" ref="M467"/>
    <hyperlink r:id="rId723" ref="N467"/>
    <hyperlink r:id="rId724" ref="M468"/>
    <hyperlink r:id="rId725" ref="M469"/>
    <hyperlink r:id="rId726" ref="M470"/>
    <hyperlink r:id="rId727" ref="M471"/>
    <hyperlink r:id="rId728" ref="N472"/>
    <hyperlink r:id="rId729" ref="P472"/>
    <hyperlink r:id="rId730" ref="M473"/>
    <hyperlink r:id="rId731" ref="M474"/>
    <hyperlink r:id="rId732" ref="M475"/>
    <hyperlink r:id="rId733" ref="N476"/>
    <hyperlink r:id="rId734" ref="P476"/>
    <hyperlink r:id="rId735" ref="M477"/>
    <hyperlink r:id="rId736" ref="M478"/>
    <hyperlink r:id="rId737" ref="M479"/>
    <hyperlink r:id="rId738" ref="M480"/>
    <hyperlink r:id="rId739" ref="N480"/>
    <hyperlink r:id="rId740" ref="W480"/>
    <hyperlink r:id="rId741" ref="X480"/>
    <hyperlink r:id="rId742" ref="P481"/>
    <hyperlink r:id="rId743" ref="P482"/>
    <hyperlink r:id="rId744" ref="M483"/>
    <hyperlink r:id="rId745" ref="N483"/>
    <hyperlink r:id="rId746" ref="N484"/>
    <hyperlink r:id="rId747" ref="P484"/>
    <hyperlink r:id="rId748" ref="M485"/>
    <hyperlink r:id="rId749" ref="M486"/>
    <hyperlink r:id="rId750" ref="M487"/>
    <hyperlink r:id="rId751" ref="M488"/>
    <hyperlink r:id="rId752" ref="M489"/>
    <hyperlink r:id="rId753" ref="P489"/>
    <hyperlink r:id="rId754" ref="M490"/>
    <hyperlink r:id="rId755" ref="M491"/>
    <hyperlink r:id="rId756" ref="N491"/>
    <hyperlink r:id="rId757" ref="M492"/>
    <hyperlink r:id="rId758" ref="M493"/>
    <hyperlink r:id="rId759" ref="M494"/>
    <hyperlink r:id="rId760" ref="M495"/>
    <hyperlink r:id="rId761" ref="P495"/>
    <hyperlink r:id="rId762" ref="M496"/>
    <hyperlink r:id="rId763" ref="M497"/>
    <hyperlink r:id="rId764" ref="M498"/>
    <hyperlink r:id="rId765" ref="M499"/>
    <hyperlink r:id="rId766" ref="P499"/>
    <hyperlink r:id="rId767" ref="M500"/>
    <hyperlink r:id="rId768" ref="P500"/>
    <hyperlink r:id="rId769" ref="M501"/>
    <hyperlink r:id="rId770" ref="M502"/>
    <hyperlink r:id="rId771" ref="N502"/>
    <hyperlink r:id="rId772" ref="M503"/>
    <hyperlink r:id="rId773" ref="P504"/>
    <hyperlink r:id="rId774" ref="M505"/>
    <hyperlink r:id="rId775" ref="P505"/>
    <hyperlink r:id="rId776" ref="M506"/>
    <hyperlink r:id="rId777" ref="P506"/>
    <hyperlink r:id="rId778" ref="M507"/>
    <hyperlink r:id="rId779" ref="P507"/>
    <hyperlink r:id="rId780" ref="M508"/>
    <hyperlink r:id="rId781" ref="P508"/>
    <hyperlink r:id="rId782" ref="M509"/>
    <hyperlink r:id="rId783" ref="P509"/>
    <hyperlink r:id="rId784" ref="M510"/>
    <hyperlink r:id="rId785" ref="P510"/>
    <hyperlink r:id="rId786" ref="M511"/>
    <hyperlink r:id="rId787" ref="M512"/>
    <hyperlink r:id="rId788" ref="M513"/>
    <hyperlink r:id="rId789" ref="N513"/>
    <hyperlink r:id="rId790" ref="M514"/>
    <hyperlink r:id="rId791" ref="N514"/>
    <hyperlink r:id="rId792" ref="M515"/>
    <hyperlink r:id="rId793" ref="N515"/>
    <hyperlink r:id="rId794" ref="P515"/>
    <hyperlink r:id="rId795" ref="M516"/>
    <hyperlink r:id="rId796" ref="P516"/>
    <hyperlink r:id="rId797" ref="M517"/>
    <hyperlink r:id="rId798" ref="M518"/>
    <hyperlink r:id="rId799" ref="M520"/>
    <hyperlink r:id="rId800" ref="N521"/>
    <hyperlink r:id="rId801" ref="P521"/>
    <hyperlink r:id="rId802" ref="W521"/>
    <hyperlink r:id="rId803" ref="X521"/>
    <hyperlink r:id="rId804" ref="M522"/>
    <hyperlink r:id="rId805" ref="M523"/>
    <hyperlink r:id="rId806" ref="M524"/>
    <hyperlink r:id="rId807" ref="M525"/>
    <hyperlink r:id="rId808" ref="P525"/>
    <hyperlink r:id="rId809" ref="M526"/>
    <hyperlink r:id="rId810" ref="M527"/>
    <hyperlink r:id="rId811" ref="M528"/>
    <hyperlink r:id="rId812" ref="M529"/>
    <hyperlink r:id="rId813" ref="P529"/>
    <hyperlink r:id="rId814" ref="M530"/>
    <hyperlink r:id="rId815" ref="P530"/>
    <hyperlink r:id="rId816" ref="P531"/>
    <hyperlink r:id="rId817" ref="M532"/>
    <hyperlink r:id="rId818" ref="M533"/>
    <hyperlink r:id="rId819" ref="P533"/>
    <hyperlink r:id="rId820" ref="M534"/>
    <hyperlink r:id="rId821" ref="N534"/>
    <hyperlink r:id="rId822" ref="P535"/>
    <hyperlink r:id="rId823" ref="M536"/>
    <hyperlink r:id="rId824" ref="N536"/>
    <hyperlink r:id="rId825" ref="P536"/>
    <hyperlink r:id="rId826" ref="M537"/>
    <hyperlink r:id="rId827" ref="M539"/>
    <hyperlink r:id="rId828" ref="P539"/>
    <hyperlink r:id="rId829" ref="M540"/>
    <hyperlink r:id="rId830" ref="W540"/>
    <hyperlink r:id="rId831" ref="X540"/>
    <hyperlink r:id="rId832" ref="M541"/>
    <hyperlink r:id="rId833" ref="M542"/>
    <hyperlink r:id="rId834" ref="N542"/>
    <hyperlink r:id="rId835" ref="M543"/>
    <hyperlink r:id="rId836" ref="M544"/>
    <hyperlink r:id="rId837" ref="N544"/>
    <hyperlink r:id="rId838" ref="M545"/>
    <hyperlink r:id="rId839" ref="P545"/>
    <hyperlink r:id="rId840" ref="M546"/>
    <hyperlink r:id="rId841" ref="N546"/>
    <hyperlink r:id="rId842" ref="M547"/>
    <hyperlink r:id="rId843" ref="N547"/>
    <hyperlink r:id="rId844" ref="M548"/>
    <hyperlink r:id="rId845" ref="M549"/>
    <hyperlink r:id="rId846" ref="M550"/>
    <hyperlink r:id="rId847" ref="P550"/>
    <hyperlink r:id="rId848" ref="M551"/>
    <hyperlink r:id="rId849" ref="N551"/>
    <hyperlink r:id="rId850" ref="M554"/>
    <hyperlink r:id="rId851" ref="W554"/>
    <hyperlink r:id="rId852" ref="X554"/>
    <hyperlink r:id="rId853" ref="M555"/>
    <hyperlink r:id="rId854" ref="M556"/>
    <hyperlink r:id="rId855" ref="N556"/>
    <hyperlink r:id="rId856" ref="P556"/>
    <hyperlink r:id="rId857" ref="M557"/>
    <hyperlink r:id="rId858" ref="M558"/>
    <hyperlink r:id="rId859" ref="M559"/>
    <hyperlink r:id="rId860" ref="N559"/>
    <hyperlink r:id="rId861" ref="M560"/>
    <hyperlink r:id="rId862" ref="M561"/>
    <hyperlink r:id="rId863" ref="M562"/>
    <hyperlink r:id="rId864" ref="M563"/>
    <hyperlink r:id="rId865" ref="M564"/>
    <hyperlink r:id="rId866" ref="M566"/>
    <hyperlink r:id="rId867" ref="N566"/>
    <hyperlink r:id="rId868" ref="P567"/>
    <hyperlink r:id="rId869" ref="M570"/>
    <hyperlink r:id="rId870" ref="M571"/>
    <hyperlink r:id="rId871" ref="M572"/>
    <hyperlink r:id="rId872" ref="M573"/>
    <hyperlink r:id="rId873" ref="M574"/>
    <hyperlink r:id="rId874" ref="M575"/>
    <hyperlink r:id="rId875" ref="P575"/>
    <hyperlink r:id="rId876" ref="W575"/>
    <hyperlink r:id="rId877" ref="X575"/>
    <hyperlink r:id="rId878" ref="M576"/>
    <hyperlink r:id="rId879" ref="M577"/>
    <hyperlink r:id="rId880" ref="N577"/>
    <hyperlink r:id="rId881" ref="P577"/>
    <hyperlink r:id="rId882" ref="M578"/>
    <hyperlink r:id="rId883" ref="P578"/>
    <hyperlink r:id="rId884" ref="M579"/>
    <hyperlink r:id="rId885" ref="M580"/>
    <hyperlink r:id="rId886" ref="M581"/>
    <hyperlink r:id="rId887" ref="P581"/>
    <hyperlink r:id="rId888" ref="M582"/>
    <hyperlink r:id="rId889" ref="M583"/>
    <hyperlink r:id="rId890" ref="P583"/>
    <hyperlink r:id="rId891" ref="M584"/>
    <hyperlink r:id="rId892" ref="P584"/>
    <hyperlink r:id="rId893" ref="M585"/>
    <hyperlink r:id="rId894" ref="P585"/>
    <hyperlink r:id="rId895" ref="M586"/>
    <hyperlink r:id="rId896" ref="N586"/>
    <hyperlink r:id="rId897" ref="P586"/>
    <hyperlink r:id="rId898" ref="M587"/>
    <hyperlink r:id="rId899" ref="N587"/>
    <hyperlink r:id="rId900" ref="N588"/>
    <hyperlink r:id="rId901" ref="P588"/>
    <hyperlink r:id="rId902" ref="W588"/>
    <hyperlink r:id="rId903" ref="X588"/>
    <hyperlink r:id="rId904" ref="M589"/>
    <hyperlink r:id="rId905" ref="P589"/>
    <hyperlink r:id="rId906" ref="M590"/>
    <hyperlink r:id="rId907" ref="P590"/>
    <hyperlink r:id="rId908" ref="M591"/>
    <hyperlink r:id="rId909" ref="M592"/>
    <hyperlink r:id="rId910" ref="M593"/>
    <hyperlink r:id="rId911" ref="M594"/>
    <hyperlink r:id="rId912" ref="N594"/>
    <hyperlink r:id="rId913" ref="P594"/>
    <hyperlink r:id="rId914" ref="M595"/>
    <hyperlink r:id="rId915" ref="M596"/>
    <hyperlink r:id="rId916" ref="N596"/>
    <hyperlink r:id="rId917" ref="P596"/>
    <hyperlink r:id="rId918" ref="P597"/>
    <hyperlink r:id="rId919" ref="M598"/>
    <hyperlink r:id="rId920" ref="P598"/>
    <hyperlink r:id="rId921" ref="M599"/>
    <hyperlink r:id="rId922" ref="M600"/>
    <hyperlink r:id="rId923" ref="M601"/>
    <hyperlink r:id="rId924" ref="M602"/>
    <hyperlink r:id="rId925" ref="M603"/>
    <hyperlink r:id="rId926" ref="M605"/>
    <hyperlink r:id="rId927" ref="N605"/>
    <hyperlink r:id="rId928" ref="P605"/>
    <hyperlink r:id="rId929" ref="M606"/>
    <hyperlink r:id="rId930" ref="M607"/>
    <hyperlink r:id="rId931" ref="M608"/>
    <hyperlink r:id="rId932" ref="M609"/>
    <hyperlink r:id="rId933" ref="M610"/>
    <hyperlink r:id="rId934" ref="N610"/>
    <hyperlink r:id="rId935" ref="M611"/>
    <hyperlink r:id="rId936" ref="P611"/>
    <hyperlink r:id="rId937" ref="M612"/>
    <hyperlink r:id="rId938" ref="P612"/>
    <hyperlink r:id="rId939" ref="W612"/>
    <hyperlink r:id="rId940" ref="X612"/>
    <hyperlink r:id="rId941" ref="M613"/>
    <hyperlink r:id="rId942" ref="P613"/>
    <hyperlink r:id="rId943" ref="W613"/>
    <hyperlink r:id="rId944" ref="M614"/>
    <hyperlink r:id="rId945" ref="M615"/>
    <hyperlink r:id="rId946" ref="N615"/>
    <hyperlink r:id="rId947" ref="M616"/>
    <hyperlink r:id="rId948" ref="M617"/>
    <hyperlink r:id="rId949" ref="M618"/>
    <hyperlink r:id="rId950" ref="M619"/>
    <hyperlink r:id="rId951" ref="M620"/>
    <hyperlink r:id="rId952" ref="N620"/>
    <hyperlink r:id="rId953" ref="P620"/>
    <hyperlink r:id="rId954" ref="M621"/>
    <hyperlink r:id="rId955" ref="M622"/>
    <hyperlink r:id="rId956" ref="M623"/>
    <hyperlink r:id="rId957" ref="M624"/>
    <hyperlink r:id="rId958" ref="M625"/>
    <hyperlink r:id="rId959" ref="N625"/>
    <hyperlink r:id="rId960" ref="M626"/>
    <hyperlink r:id="rId961" ref="N626"/>
    <hyperlink r:id="rId962" ref="P626"/>
    <hyperlink r:id="rId963" ref="M627"/>
    <hyperlink r:id="rId964" ref="P628"/>
    <hyperlink r:id="rId965" ref="M629"/>
    <hyperlink r:id="rId966" ref="P629"/>
    <hyperlink r:id="rId967" ref="M631"/>
    <hyperlink r:id="rId968" ref="M632"/>
    <hyperlink r:id="rId969" ref="M633"/>
    <hyperlink r:id="rId970" ref="N633"/>
    <hyperlink r:id="rId971" ref="P633"/>
    <hyperlink r:id="rId972" ref="M634"/>
    <hyperlink r:id="rId973" ref="M635"/>
    <hyperlink r:id="rId974" ref="N635"/>
    <hyperlink r:id="rId975" ref="P635"/>
    <hyperlink r:id="rId976" ref="M636"/>
    <hyperlink r:id="rId977" ref="M637"/>
    <hyperlink r:id="rId978" ref="P637"/>
    <hyperlink r:id="rId979" ref="P638"/>
    <hyperlink r:id="rId980" ref="M639"/>
    <hyperlink r:id="rId981" ref="P639"/>
    <hyperlink r:id="rId982" ref="M640"/>
    <hyperlink r:id="rId983" ref="N640"/>
    <hyperlink r:id="rId984" ref="P640"/>
    <hyperlink r:id="rId985" ref="W640"/>
    <hyperlink r:id="rId986" ref="X640"/>
    <hyperlink r:id="rId987" ref="M641"/>
    <hyperlink r:id="rId988" ref="M642"/>
    <hyperlink r:id="rId989" ref="W642"/>
    <hyperlink r:id="rId990" ref="X642"/>
    <hyperlink r:id="rId991" ref="M643"/>
    <hyperlink r:id="rId992" ref="N643"/>
    <hyperlink r:id="rId993" ref="M644"/>
    <hyperlink r:id="rId994" ref="N644"/>
    <hyperlink r:id="rId995" ref="P644"/>
    <hyperlink r:id="rId996" ref="M645"/>
    <hyperlink r:id="rId997" ref="X645"/>
    <hyperlink r:id="rId998" ref="M646"/>
    <hyperlink r:id="rId999" ref="M647"/>
    <hyperlink r:id="rId1000" ref="N647"/>
    <hyperlink r:id="rId1001" ref="M648"/>
    <hyperlink r:id="rId1002" ref="P648"/>
    <hyperlink r:id="rId1003" ref="M649"/>
    <hyperlink r:id="rId1004" ref="M650"/>
    <hyperlink r:id="rId1005" ref="M651"/>
    <hyperlink r:id="rId1006" ref="M652"/>
    <hyperlink r:id="rId1007" ref="N652"/>
    <hyperlink r:id="rId1008" ref="P652"/>
    <hyperlink r:id="rId1009" ref="M653"/>
    <hyperlink r:id="rId1010" ref="P653"/>
    <hyperlink r:id="rId1011" ref="M654"/>
    <hyperlink r:id="rId1012" ref="M655"/>
    <hyperlink r:id="rId1013" ref="N655"/>
    <hyperlink r:id="rId1014" ref="M656"/>
    <hyperlink r:id="rId1015" ref="M657"/>
    <hyperlink r:id="rId1016" ref="M658"/>
    <hyperlink r:id="rId1017" ref="M659"/>
    <hyperlink r:id="rId1018" ref="N659"/>
    <hyperlink r:id="rId1019" ref="P659"/>
    <hyperlink r:id="rId1020" ref="M660"/>
    <hyperlink r:id="rId1021" ref="P660"/>
    <hyperlink r:id="rId1022" ref="M661"/>
    <hyperlink r:id="rId1023" ref="N661"/>
    <hyperlink r:id="rId1024" ref="P661"/>
    <hyperlink r:id="rId1025" ref="M662"/>
    <hyperlink r:id="rId1026" ref="P662"/>
    <hyperlink r:id="rId1027" ref="M663"/>
    <hyperlink r:id="rId1028" ref="M664"/>
    <hyperlink r:id="rId1029" ref="M665"/>
    <hyperlink r:id="rId1030" ref="M666"/>
    <hyperlink r:id="rId1031" ref="M667"/>
    <hyperlink r:id="rId1032" ref="N667"/>
    <hyperlink r:id="rId1033" ref="M668"/>
    <hyperlink r:id="rId1034" ref="M669"/>
    <hyperlink r:id="rId1035" ref="M670"/>
    <hyperlink r:id="rId1036" ref="M671"/>
    <hyperlink r:id="rId1037" ref="M672"/>
    <hyperlink r:id="rId1038" ref="M673"/>
    <hyperlink r:id="rId1039" ref="M675"/>
    <hyperlink r:id="rId1040" ref="M676"/>
    <hyperlink r:id="rId1041" ref="N676"/>
    <hyperlink r:id="rId1042" ref="P676"/>
    <hyperlink r:id="rId1043" ref="M677"/>
    <hyperlink r:id="rId1044" ref="M678"/>
    <hyperlink r:id="rId1045" ref="N679"/>
    <hyperlink r:id="rId1046" ref="P679"/>
    <hyperlink r:id="rId1047" ref="W679"/>
    <hyperlink r:id="rId1048" ref="X679"/>
    <hyperlink r:id="rId1049" ref="M680"/>
    <hyperlink r:id="rId1050" ref="M681"/>
    <hyperlink r:id="rId1051" ref="M682"/>
    <hyperlink r:id="rId1052" ref="P682"/>
    <hyperlink r:id="rId1053" ref="M683"/>
    <hyperlink r:id="rId1054" ref="P683"/>
    <hyperlink r:id="rId1055" ref="M684"/>
    <hyperlink r:id="rId1056" ref="N684"/>
    <hyperlink r:id="rId1057" ref="M685"/>
    <hyperlink r:id="rId1058" ref="P685"/>
    <hyperlink r:id="rId1059" ref="N686"/>
    <hyperlink r:id="rId1060" ref="P686"/>
    <hyperlink r:id="rId1061" ref="M687"/>
    <hyperlink r:id="rId1062" ref="P687"/>
    <hyperlink r:id="rId1063" ref="M688"/>
    <hyperlink r:id="rId1064" ref="N688"/>
    <hyperlink r:id="rId1065" ref="P688"/>
    <hyperlink r:id="rId1066" ref="M689"/>
    <hyperlink r:id="rId1067" ref="M690"/>
    <hyperlink r:id="rId1068" ref="N690"/>
    <hyperlink r:id="rId1069" ref="M691"/>
    <hyperlink r:id="rId1070" ref="P691"/>
    <hyperlink r:id="rId1071" ref="M692"/>
    <hyperlink r:id="rId1072" ref="M693"/>
    <hyperlink r:id="rId1073" ref="N693"/>
    <hyperlink r:id="rId1074" ref="M694"/>
    <hyperlink r:id="rId1075" ref="P694"/>
    <hyperlink r:id="rId1076" ref="M695"/>
    <hyperlink r:id="rId1077" ref="P695"/>
    <hyperlink r:id="rId1078" ref="M696"/>
    <hyperlink r:id="rId1079" ref="P697"/>
    <hyperlink r:id="rId1080" ref="M698"/>
    <hyperlink r:id="rId1081" ref="N699"/>
    <hyperlink r:id="rId1082" ref="P699"/>
    <hyperlink r:id="rId1083" ref="M700"/>
    <hyperlink r:id="rId1084" ref="P700"/>
    <hyperlink r:id="rId1085" ref="M701"/>
    <hyperlink r:id="rId1086" ref="W701"/>
    <hyperlink r:id="rId1087" ref="X701"/>
    <hyperlink r:id="rId1088" ref="M702"/>
    <hyperlink r:id="rId1089" ref="M703"/>
    <hyperlink r:id="rId1090" ref="M704"/>
    <hyperlink r:id="rId1091" ref="N704"/>
    <hyperlink r:id="rId1092" ref="P705"/>
    <hyperlink r:id="rId1093" ref="M706"/>
    <hyperlink r:id="rId1094" ref="P706"/>
    <hyperlink r:id="rId1095" ref="M707"/>
    <hyperlink r:id="rId1096" ref="M708"/>
    <hyperlink r:id="rId1097" ref="M709"/>
    <hyperlink r:id="rId1098" ref="N709"/>
    <hyperlink r:id="rId1099" ref="W709"/>
    <hyperlink r:id="rId1100" ref="M710"/>
    <hyperlink r:id="rId1101" location="stream/0" ref="N710"/>
    <hyperlink r:id="rId1102" ref="P710"/>
    <hyperlink r:id="rId1103" ref="M711"/>
    <hyperlink r:id="rId1104" ref="M712"/>
    <hyperlink r:id="rId1105" ref="N712"/>
    <hyperlink r:id="rId1106" ref="M713"/>
    <hyperlink r:id="rId1107" ref="M714"/>
    <hyperlink r:id="rId1108" ref="M715"/>
    <hyperlink r:id="rId1109" ref="P715"/>
    <hyperlink r:id="rId1110" ref="N716"/>
    <hyperlink r:id="rId1111" ref="P716"/>
    <hyperlink r:id="rId1112" ref="W716"/>
    <hyperlink r:id="rId1113" ref="X716"/>
    <hyperlink r:id="rId1114" ref="M717"/>
    <hyperlink r:id="rId1115" ref="N717"/>
    <hyperlink r:id="rId1116" ref="M718"/>
    <hyperlink r:id="rId1117" ref="N718"/>
    <hyperlink r:id="rId1118" ref="P718"/>
    <hyperlink r:id="rId1119" ref="M719"/>
    <hyperlink r:id="rId1120" ref="M720"/>
    <hyperlink r:id="rId1121" ref="M722"/>
    <hyperlink r:id="rId1122" ref="M723"/>
    <hyperlink r:id="rId1123" ref="P723"/>
    <hyperlink r:id="rId1124" ref="M724"/>
    <hyperlink r:id="rId1125" ref="M725"/>
    <hyperlink r:id="rId1126" ref="P725"/>
    <hyperlink r:id="rId1127" ref="M726"/>
    <hyperlink r:id="rId1128" ref="M727"/>
    <hyperlink r:id="rId1129" ref="M728"/>
    <hyperlink r:id="rId1130" ref="P728"/>
    <hyperlink r:id="rId1131" ref="M730"/>
    <hyperlink r:id="rId1132" ref="M731"/>
    <hyperlink r:id="rId1133" ref="M732"/>
    <hyperlink r:id="rId1134" ref="M733"/>
    <hyperlink r:id="rId1135" ref="M734"/>
    <hyperlink r:id="rId1136" ref="P735"/>
    <hyperlink r:id="rId1137" ref="M736"/>
    <hyperlink r:id="rId1138" ref="P736"/>
    <hyperlink r:id="rId1139" ref="M737"/>
    <hyperlink r:id="rId1140" ref="M738"/>
    <hyperlink r:id="rId1141" ref="M739"/>
    <hyperlink r:id="rId1142" ref="M740"/>
    <hyperlink r:id="rId1143" ref="N742"/>
    <hyperlink r:id="rId1144" ref="P742"/>
    <hyperlink r:id="rId1145" ref="M743"/>
    <hyperlink r:id="rId1146" ref="M744"/>
    <hyperlink r:id="rId1147" ref="P744"/>
    <hyperlink r:id="rId1148" ref="M745"/>
    <hyperlink r:id="rId1149" ref="M746"/>
    <hyperlink r:id="rId1150" ref="M747"/>
    <hyperlink r:id="rId1151" ref="M748"/>
    <hyperlink r:id="rId1152" ref="N748"/>
    <hyperlink r:id="rId1153" ref="P748"/>
    <hyperlink r:id="rId1154" ref="N749"/>
    <hyperlink r:id="rId1155" ref="P749"/>
    <hyperlink r:id="rId1156" ref="W749"/>
    <hyperlink r:id="rId1157" ref="X749"/>
    <hyperlink r:id="rId1158" ref="M750"/>
    <hyperlink r:id="rId1159" ref="P751"/>
    <hyperlink r:id="rId1160" ref="M752"/>
    <hyperlink r:id="rId1161" ref="M753"/>
    <hyperlink r:id="rId1162" ref="M754"/>
    <hyperlink r:id="rId1163" ref="M755"/>
    <hyperlink r:id="rId1164" ref="M756"/>
    <hyperlink r:id="rId1165" ref="P757"/>
    <hyperlink r:id="rId1166" ref="M758"/>
    <hyperlink r:id="rId1167" ref="N758"/>
    <hyperlink r:id="rId1168" ref="P758"/>
    <hyperlink r:id="rId1169" ref="M759"/>
    <hyperlink r:id="rId1170" ref="N759"/>
    <hyperlink r:id="rId1171" ref="P759"/>
    <hyperlink r:id="rId1172" ref="W759"/>
    <hyperlink r:id="rId1173" ref="X759"/>
    <hyperlink r:id="rId1174" ref="M760"/>
    <hyperlink r:id="rId1175" ref="M761"/>
    <hyperlink r:id="rId1176" ref="M762"/>
    <hyperlink r:id="rId1177" ref="M763"/>
    <hyperlink r:id="rId1178" ref="P763"/>
    <hyperlink r:id="rId1179" ref="M764"/>
    <hyperlink r:id="rId1180" ref="P764"/>
    <hyperlink r:id="rId1181" ref="M765"/>
    <hyperlink r:id="rId1182" ref="P765"/>
    <hyperlink r:id="rId1183" ref="M766"/>
    <hyperlink r:id="rId1184" ref="M767"/>
    <hyperlink r:id="rId1185" ref="P767"/>
    <hyperlink r:id="rId1186" ref="M768"/>
    <hyperlink r:id="rId1187" ref="P768"/>
    <hyperlink r:id="rId1188" ref="M769"/>
    <hyperlink r:id="rId1189" ref="N769"/>
    <hyperlink r:id="rId1190" ref="M770"/>
    <hyperlink r:id="rId1191" ref="M771"/>
    <hyperlink r:id="rId1192" ref="M772"/>
    <hyperlink r:id="rId1193" ref="N772"/>
    <hyperlink r:id="rId1194" ref="P772"/>
    <hyperlink r:id="rId1195" ref="M773"/>
    <hyperlink r:id="rId1196" ref="N773"/>
    <hyperlink r:id="rId1197" ref="M774"/>
    <hyperlink r:id="rId1198" ref="N774"/>
    <hyperlink r:id="rId1199" ref="P774"/>
    <hyperlink r:id="rId1200" ref="M775"/>
    <hyperlink r:id="rId1201" ref="N775"/>
    <hyperlink r:id="rId1202" ref="P775"/>
    <hyperlink r:id="rId1203" ref="M776"/>
    <hyperlink r:id="rId1204" ref="P776"/>
    <hyperlink r:id="rId1205" ref="M777"/>
    <hyperlink r:id="rId1206" ref="P777"/>
    <hyperlink r:id="rId1207" ref="M778"/>
    <hyperlink r:id="rId1208" ref="P779"/>
    <hyperlink r:id="rId1209" ref="W779"/>
    <hyperlink r:id="rId1210" ref="M780"/>
    <hyperlink r:id="rId1211" ref="M781"/>
    <hyperlink r:id="rId1212" ref="M782"/>
    <hyperlink r:id="rId1213" ref="N782"/>
    <hyperlink r:id="rId1214" ref="W782"/>
    <hyperlink r:id="rId1215" ref="X782"/>
    <hyperlink r:id="rId1216" ref="M783"/>
    <hyperlink r:id="rId1217" ref="M784"/>
    <hyperlink r:id="rId1218" ref="M785"/>
    <hyperlink r:id="rId1219" ref="M786"/>
    <hyperlink r:id="rId1220" ref="M787"/>
    <hyperlink r:id="rId1221" ref="N787"/>
    <hyperlink r:id="rId1222" ref="M788"/>
    <hyperlink r:id="rId1223" ref="N788"/>
    <hyperlink r:id="rId1224" ref="P788"/>
    <hyperlink r:id="rId1225" ref="M789"/>
    <hyperlink r:id="rId1226" ref="M790"/>
    <hyperlink r:id="rId1227" ref="M791"/>
    <hyperlink r:id="rId1228" ref="P791"/>
    <hyperlink r:id="rId1229" ref="P792"/>
    <hyperlink r:id="rId1230" ref="M793"/>
    <hyperlink r:id="rId1231" ref="M794"/>
    <hyperlink r:id="rId1232" ref="P794"/>
    <hyperlink r:id="rId1233" ref="P795"/>
    <hyperlink r:id="rId1234" ref="N796"/>
    <hyperlink r:id="rId1235" ref="P796"/>
    <hyperlink r:id="rId1236" ref="N797"/>
    <hyperlink r:id="rId1237" ref="M798"/>
    <hyperlink r:id="rId1238" ref="N798"/>
    <hyperlink r:id="rId1239" ref="P798"/>
    <hyperlink r:id="rId1240" ref="M799"/>
    <hyperlink r:id="rId1241" ref="W799"/>
    <hyperlink r:id="rId1242" ref="X799"/>
    <hyperlink r:id="rId1243" ref="M800"/>
    <hyperlink r:id="rId1244" ref="W800"/>
    <hyperlink r:id="rId1245" ref="M801"/>
    <hyperlink r:id="rId1246" ref="W801"/>
    <hyperlink r:id="rId1247" ref="M802"/>
    <hyperlink r:id="rId1248" ref="W802"/>
    <hyperlink r:id="rId1249" ref="M803"/>
    <hyperlink r:id="rId1250" ref="W803"/>
    <hyperlink r:id="rId1251" ref="M804"/>
    <hyperlink r:id="rId1252" ref="W804"/>
    <hyperlink r:id="rId1253" ref="N805"/>
    <hyperlink r:id="rId1254" ref="W805"/>
    <hyperlink r:id="rId1255" ref="M806"/>
    <hyperlink r:id="rId1256" ref="P807"/>
    <hyperlink r:id="rId1257" ref="M808"/>
    <hyperlink r:id="rId1258" ref="M809"/>
    <hyperlink r:id="rId1259" ref="N809"/>
    <hyperlink r:id="rId1260" ref="P809"/>
    <hyperlink r:id="rId1261" ref="M810"/>
    <hyperlink r:id="rId1262" ref="N810"/>
    <hyperlink r:id="rId1263" ref="M811"/>
    <hyperlink r:id="rId1264" ref="P811"/>
    <hyperlink r:id="rId1265" ref="M812"/>
    <hyperlink r:id="rId1266" ref="P813"/>
    <hyperlink r:id="rId1267" ref="P814"/>
    <hyperlink r:id="rId1268" ref="M815"/>
    <hyperlink r:id="rId1269" ref="M816"/>
    <hyperlink r:id="rId1270" ref="P816"/>
    <hyperlink r:id="rId1271" ref="M817"/>
    <hyperlink r:id="rId1272" ref="P817"/>
    <hyperlink r:id="rId1273" ref="M818"/>
    <hyperlink r:id="rId1274" ref="M819"/>
    <hyperlink r:id="rId1275" ref="M820"/>
    <hyperlink r:id="rId1276" ref="M821"/>
    <hyperlink r:id="rId1277" ref="N821"/>
    <hyperlink r:id="rId1278" ref="P821"/>
    <hyperlink r:id="rId1279" ref="N822"/>
    <hyperlink r:id="rId1280" ref="P822"/>
    <hyperlink r:id="rId1281" ref="M823"/>
    <hyperlink r:id="rId1282" ref="M824"/>
    <hyperlink r:id="rId1283" ref="M825"/>
    <hyperlink r:id="rId1284" ref="N825"/>
    <hyperlink r:id="rId1285" ref="M826"/>
    <hyperlink r:id="rId1286" ref="M827"/>
    <hyperlink r:id="rId1287" ref="M828"/>
    <hyperlink r:id="rId1288" ref="M829"/>
    <hyperlink r:id="rId1289" ref="N829"/>
    <hyperlink r:id="rId1290" ref="M830"/>
    <hyperlink r:id="rId1291" ref="N830"/>
    <hyperlink r:id="rId1292" ref="P830"/>
    <hyperlink r:id="rId1293" ref="M831"/>
    <hyperlink r:id="rId1294" ref="P831"/>
    <hyperlink r:id="rId1295" ref="M832"/>
    <hyperlink r:id="rId1296" ref="P832"/>
    <hyperlink r:id="rId1297" ref="M833"/>
    <hyperlink r:id="rId1298" ref="P833"/>
    <hyperlink r:id="rId1299" ref="P834"/>
    <hyperlink r:id="rId1300" ref="M835"/>
    <hyperlink r:id="rId1301" ref="P835"/>
    <hyperlink r:id="rId1302" ref="M836"/>
    <hyperlink r:id="rId1303" ref="M837"/>
    <hyperlink r:id="rId1304" ref="N837"/>
    <hyperlink r:id="rId1305" ref="P837"/>
    <hyperlink r:id="rId1306" ref="N838"/>
    <hyperlink r:id="rId1307" ref="W838"/>
    <hyperlink r:id="rId1308" ref="P840"/>
    <hyperlink r:id="rId1309" ref="M841"/>
    <hyperlink r:id="rId1310" ref="P841"/>
    <hyperlink r:id="rId1311" ref="P842"/>
    <hyperlink r:id="rId1312" ref="P843"/>
    <hyperlink r:id="rId1313" ref="M844"/>
    <hyperlink r:id="rId1314" ref="M845"/>
    <hyperlink r:id="rId1315" ref="P845"/>
    <hyperlink r:id="rId1316" ref="M846"/>
    <hyperlink r:id="rId1317" ref="M847"/>
    <hyperlink r:id="rId1318" ref="M848"/>
    <hyperlink r:id="rId1319" ref="M849"/>
    <hyperlink r:id="rId1320" ref="M850"/>
    <hyperlink r:id="rId1321" ref="M851"/>
    <hyperlink r:id="rId1322" ref="M852"/>
    <hyperlink r:id="rId1323" ref="M854"/>
    <hyperlink r:id="rId1324" ref="N854"/>
    <hyperlink r:id="rId1325" ref="P855"/>
    <hyperlink r:id="rId1326" ref="M856"/>
    <hyperlink r:id="rId1327" ref="N856"/>
    <hyperlink r:id="rId1328" ref="P856"/>
    <hyperlink r:id="rId1329" ref="M857"/>
    <hyperlink r:id="rId1330" ref="N857"/>
    <hyperlink r:id="rId1331" ref="P857"/>
    <hyperlink r:id="rId1332" ref="M858"/>
    <hyperlink r:id="rId1333" ref="N858"/>
    <hyperlink r:id="rId1334" ref="P858"/>
    <hyperlink r:id="rId1335" ref="P859"/>
    <hyperlink r:id="rId1336" ref="M860"/>
    <hyperlink r:id="rId1337" ref="N861"/>
    <hyperlink r:id="rId1338" ref="P861"/>
    <hyperlink r:id="rId1339" ref="W861"/>
    <hyperlink r:id="rId1340" ref="X861"/>
    <hyperlink r:id="rId1341" ref="M862"/>
    <hyperlink r:id="rId1342" ref="P863"/>
    <hyperlink r:id="rId1343" ref="M864"/>
    <hyperlink r:id="rId1344" ref="P864"/>
    <hyperlink r:id="rId1345" ref="M865"/>
    <hyperlink r:id="rId1346" ref="P865"/>
    <hyperlink r:id="rId1347" ref="M866"/>
    <hyperlink r:id="rId1348" ref="N866"/>
    <hyperlink r:id="rId1349" ref="P866"/>
    <hyperlink r:id="rId1350" ref="W866"/>
    <hyperlink r:id="rId1351" ref="X866"/>
    <hyperlink r:id="rId1352" ref="M867"/>
    <hyperlink r:id="rId1353" ref="P867"/>
    <hyperlink r:id="rId1354" ref="P869"/>
    <hyperlink r:id="rId1355" ref="M870"/>
    <hyperlink r:id="rId1356" ref="M871"/>
    <hyperlink r:id="rId1357" ref="M872"/>
    <hyperlink r:id="rId1358" ref="M874"/>
    <hyperlink r:id="rId1359" ref="M875"/>
    <hyperlink r:id="rId1360" ref="M876"/>
    <hyperlink r:id="rId1361" ref="M877"/>
    <hyperlink r:id="rId1362" ref="P877"/>
    <hyperlink r:id="rId1363" ref="P878"/>
    <hyperlink r:id="rId1364" ref="M879"/>
    <hyperlink r:id="rId1365" ref="M880"/>
    <hyperlink r:id="rId1366" ref="P880"/>
    <hyperlink r:id="rId1367" ref="M881"/>
    <hyperlink r:id="rId1368" ref="P881"/>
    <hyperlink r:id="rId1369" ref="M882"/>
    <hyperlink r:id="rId1370" ref="N882"/>
    <hyperlink r:id="rId1371" ref="P882"/>
    <hyperlink r:id="rId1372" ref="M883"/>
    <hyperlink r:id="rId1373" ref="N883"/>
    <hyperlink r:id="rId1374" ref="P883"/>
    <hyperlink r:id="rId1375" ref="N884"/>
    <hyperlink r:id="rId1376" ref="W884"/>
    <hyperlink r:id="rId1377" ref="X884"/>
    <hyperlink r:id="rId1378" ref="N885"/>
    <hyperlink r:id="rId1379" ref="W885"/>
    <hyperlink r:id="rId1380" ref="X885"/>
    <hyperlink r:id="rId1381" ref="M886"/>
    <hyperlink r:id="rId1382" ref="M887"/>
    <hyperlink r:id="rId1383" ref="M888"/>
    <hyperlink r:id="rId1384" ref="N888"/>
    <hyperlink r:id="rId1385" ref="M889"/>
    <hyperlink r:id="rId1386" ref="M890"/>
    <hyperlink r:id="rId1387" ref="M891"/>
    <hyperlink r:id="rId1388" ref="M892"/>
    <hyperlink r:id="rId1389" ref="M893"/>
    <hyperlink r:id="rId1390" ref="P893"/>
    <hyperlink r:id="rId1391" ref="M894"/>
    <hyperlink r:id="rId1392" ref="P894"/>
    <hyperlink r:id="rId1393" ref="M895"/>
    <hyperlink r:id="rId1394" ref="P895"/>
    <hyperlink r:id="rId1395" ref="M896"/>
    <hyperlink r:id="rId1396" ref="P896"/>
    <hyperlink r:id="rId1397" ref="M897"/>
    <hyperlink r:id="rId1398" ref="P897"/>
    <hyperlink r:id="rId1399" ref="M898"/>
    <hyperlink r:id="rId1400" ref="P898"/>
    <hyperlink r:id="rId1401" ref="M899"/>
    <hyperlink r:id="rId1402" ref="M903"/>
    <hyperlink r:id="rId1403" ref="P903"/>
    <hyperlink r:id="rId1404" ref="M904"/>
    <hyperlink r:id="rId1405" ref="M905"/>
    <hyperlink r:id="rId1406" ref="N905"/>
    <hyperlink r:id="rId1407" ref="M906"/>
    <hyperlink r:id="rId1408" ref="P906"/>
    <hyperlink r:id="rId1409" ref="M907"/>
    <hyperlink r:id="rId1410" ref="P907"/>
    <hyperlink r:id="rId1411" ref="M908"/>
    <hyperlink r:id="rId1412" ref="M909"/>
    <hyperlink r:id="rId1413" ref="M910"/>
    <hyperlink r:id="rId1414" ref="M911"/>
    <hyperlink r:id="rId1415" ref="N911"/>
    <hyperlink r:id="rId1416" ref="M912"/>
    <hyperlink r:id="rId1417" ref="M913"/>
    <hyperlink r:id="rId1418" ref="M914"/>
    <hyperlink r:id="rId1419" ref="P914"/>
    <hyperlink r:id="rId1420" ref="M915"/>
    <hyperlink r:id="rId1421" ref="M916"/>
    <hyperlink r:id="rId1422" ref="P916"/>
    <hyperlink r:id="rId1423" ref="M917"/>
    <hyperlink r:id="rId1424" ref="P918"/>
    <hyperlink r:id="rId1425" ref="M919"/>
    <hyperlink r:id="rId1426" ref="M920"/>
    <hyperlink r:id="rId1427" ref="M921"/>
    <hyperlink r:id="rId1428" ref="M922"/>
    <hyperlink r:id="rId1429" ref="M923"/>
    <hyperlink r:id="rId1430" ref="N923"/>
    <hyperlink r:id="rId1431" ref="P923"/>
    <hyperlink r:id="rId1432" ref="W923"/>
    <hyperlink r:id="rId1433" ref="X923"/>
    <hyperlink r:id="rId1434" ref="M924"/>
    <hyperlink r:id="rId1435" ref="N924"/>
    <hyperlink r:id="rId1436" ref="P924"/>
    <hyperlink r:id="rId1437" ref="W924"/>
    <hyperlink r:id="rId1438" ref="X924"/>
    <hyperlink r:id="rId1439" ref="N925"/>
    <hyperlink r:id="rId1440" ref="P925"/>
    <hyperlink r:id="rId1441" ref="W925"/>
    <hyperlink r:id="rId1442" ref="X925"/>
    <hyperlink r:id="rId1443" ref="M926"/>
    <hyperlink r:id="rId1444" ref="P926"/>
    <hyperlink r:id="rId1445" ref="M927"/>
    <hyperlink r:id="rId1446" ref="N927"/>
    <hyperlink r:id="rId1447" ref="P927"/>
    <hyperlink r:id="rId1448" ref="M928"/>
    <hyperlink r:id="rId1449" ref="P928"/>
    <hyperlink r:id="rId1450" ref="M929"/>
    <hyperlink r:id="rId1451" ref="P929"/>
    <hyperlink r:id="rId1452" ref="M930"/>
    <hyperlink r:id="rId1453" ref="P930"/>
    <hyperlink r:id="rId1454" ref="M931"/>
    <hyperlink r:id="rId1455" ref="P931"/>
    <hyperlink r:id="rId1456" ref="P932"/>
    <hyperlink r:id="rId1457" ref="M933"/>
    <hyperlink r:id="rId1458" ref="M934"/>
    <hyperlink r:id="rId1459" ref="M935"/>
    <hyperlink r:id="rId1460" ref="M936"/>
    <hyperlink r:id="rId1461" ref="M937"/>
    <hyperlink r:id="rId1462" ref="M938"/>
    <hyperlink r:id="rId1463" ref="M939"/>
    <hyperlink r:id="rId1464" ref="M940"/>
    <hyperlink r:id="rId1465" ref="M941"/>
    <hyperlink r:id="rId1466" ref="P941"/>
    <hyperlink r:id="rId1467" ref="X941"/>
    <hyperlink r:id="rId1468" ref="M942"/>
    <hyperlink r:id="rId1469" ref="P942"/>
    <hyperlink r:id="rId1470" ref="P943"/>
    <hyperlink r:id="rId1471" ref="M944"/>
    <hyperlink r:id="rId1472" ref="M945"/>
    <hyperlink r:id="rId1473" ref="M946"/>
    <hyperlink r:id="rId1474" ref="M947"/>
    <hyperlink r:id="rId1475" ref="M948"/>
    <hyperlink r:id="rId1476" ref="N948"/>
    <hyperlink r:id="rId1477" ref="P948"/>
    <hyperlink r:id="rId1478" ref="M949"/>
    <hyperlink r:id="rId1479" ref="P950"/>
    <hyperlink r:id="rId1480" ref="M951"/>
    <hyperlink r:id="rId1481" ref="M952"/>
    <hyperlink r:id="rId1482" ref="M953"/>
    <hyperlink r:id="rId1483" ref="M954"/>
    <hyperlink r:id="rId1484" ref="M955"/>
    <hyperlink r:id="rId1485" ref="N955"/>
    <hyperlink r:id="rId1486" ref="M956"/>
    <hyperlink r:id="rId1487" ref="P956"/>
    <hyperlink r:id="rId1488" ref="M957"/>
    <hyperlink r:id="rId1489" ref="P957"/>
    <hyperlink r:id="rId1490" ref="M958"/>
    <hyperlink r:id="rId1491" ref="M959"/>
    <hyperlink r:id="rId1492" ref="M960"/>
    <hyperlink r:id="rId1493" ref="M961"/>
    <hyperlink r:id="rId1494" ref="N961"/>
    <hyperlink r:id="rId1495" ref="M962"/>
    <hyperlink r:id="rId1496" ref="M963"/>
    <hyperlink r:id="rId1497" ref="M964"/>
    <hyperlink r:id="rId1498" ref="M965"/>
    <hyperlink r:id="rId1499" ref="N965"/>
    <hyperlink r:id="rId1500" ref="M966"/>
    <hyperlink r:id="rId1501" ref="M967"/>
    <hyperlink r:id="rId1502" ref="M968"/>
    <hyperlink r:id="rId1503" ref="M969"/>
    <hyperlink r:id="rId1504" ref="M970"/>
    <hyperlink r:id="rId1505" ref="M971"/>
    <hyperlink r:id="rId1506" ref="N971"/>
    <hyperlink r:id="rId1507" ref="P971"/>
    <hyperlink r:id="rId1508" ref="W971"/>
    <hyperlink r:id="rId1509" ref="M972"/>
    <hyperlink r:id="rId1510" ref="N972"/>
    <hyperlink r:id="rId1511" ref="P972"/>
    <hyperlink r:id="rId1512" ref="W972"/>
    <hyperlink r:id="rId1513" ref="M973"/>
    <hyperlink r:id="rId1514" ref="N973"/>
    <hyperlink r:id="rId1515" ref="P973"/>
    <hyperlink r:id="rId1516" ref="W973"/>
    <hyperlink r:id="rId1517" ref="M974"/>
    <hyperlink r:id="rId1518" ref="N974"/>
    <hyperlink r:id="rId1519" ref="P974"/>
    <hyperlink r:id="rId1520" ref="W974"/>
    <hyperlink r:id="rId1521" ref="M975"/>
    <hyperlink r:id="rId1522" ref="N975"/>
    <hyperlink r:id="rId1523" ref="M976"/>
    <hyperlink r:id="rId1524" ref="N976"/>
    <hyperlink r:id="rId1525" ref="M977"/>
    <hyperlink r:id="rId1526" ref="M978"/>
    <hyperlink r:id="rId1527" ref="P978"/>
    <hyperlink r:id="rId1528" ref="M979"/>
    <hyperlink r:id="rId1529" ref="X979"/>
    <hyperlink r:id="rId1530" ref="M980"/>
    <hyperlink r:id="rId1531" ref="N980"/>
    <hyperlink r:id="rId1532" ref="M981"/>
    <hyperlink r:id="rId1533" ref="N981"/>
    <hyperlink r:id="rId1534" ref="M982"/>
    <hyperlink r:id="rId1535" ref="N982"/>
    <hyperlink r:id="rId1536" ref="M983"/>
    <hyperlink r:id="rId1537" ref="N983"/>
    <hyperlink r:id="rId1538" ref="M984"/>
    <hyperlink r:id="rId1539" ref="N984"/>
    <hyperlink r:id="rId1540" ref="M985"/>
    <hyperlink r:id="rId1541" ref="N985"/>
    <hyperlink r:id="rId1542" ref="M986"/>
    <hyperlink r:id="rId1543" ref="M987"/>
    <hyperlink r:id="rId1544" ref="M988"/>
    <hyperlink r:id="rId1545" ref="M989"/>
    <hyperlink r:id="rId1546" ref="P989"/>
    <hyperlink r:id="rId1547" ref="M990"/>
    <hyperlink r:id="rId1548" ref="P990"/>
    <hyperlink r:id="rId1549" ref="M991"/>
    <hyperlink r:id="rId1550" ref="M992"/>
    <hyperlink r:id="rId1551" ref="N992"/>
    <hyperlink r:id="rId1552" ref="W992"/>
    <hyperlink r:id="rId1553" ref="X992"/>
    <hyperlink r:id="rId1554" ref="M993"/>
    <hyperlink r:id="rId1555" ref="N993"/>
    <hyperlink r:id="rId1556" ref="M994"/>
    <hyperlink r:id="rId1557" ref="N994"/>
    <hyperlink r:id="rId1558" ref="M995"/>
    <hyperlink r:id="rId1559" ref="P995"/>
    <hyperlink r:id="rId1560" ref="M996"/>
    <hyperlink r:id="rId1561" ref="N996"/>
    <hyperlink r:id="rId1562" ref="M997"/>
    <hyperlink r:id="rId1563" ref="A998"/>
    <hyperlink r:id="rId1564" ref="M998"/>
    <hyperlink r:id="rId1565" ref="P998"/>
    <hyperlink r:id="rId1566" ref="M999"/>
    <hyperlink r:id="rId1567" ref="M1000"/>
    <hyperlink r:id="rId1568" ref="N1000"/>
    <hyperlink r:id="rId1569" ref="P1000"/>
    <hyperlink r:id="rId1570" ref="W1000"/>
    <hyperlink r:id="rId1571" ref="X1000"/>
    <hyperlink r:id="rId1572" ref="M1001"/>
    <hyperlink r:id="rId1573" ref="M1002"/>
    <hyperlink r:id="rId1574" ref="M1003"/>
    <hyperlink r:id="rId1575" ref="M1004"/>
    <hyperlink r:id="rId1576" ref="M1005"/>
    <hyperlink r:id="rId1577" ref="N1005"/>
    <hyperlink r:id="rId1578" ref="P1005"/>
    <hyperlink r:id="rId1579" ref="M1006"/>
    <hyperlink r:id="rId1580" ref="M1007"/>
    <hyperlink r:id="rId1581" ref="M1008"/>
    <hyperlink r:id="rId1582" ref="M1009"/>
    <hyperlink r:id="rId1583" ref="N1009"/>
    <hyperlink r:id="rId1584" ref="M1010"/>
    <hyperlink r:id="rId1585" ref="M1011"/>
    <hyperlink r:id="rId1586" ref="P1011"/>
    <hyperlink r:id="rId1587" ref="M1012"/>
    <hyperlink r:id="rId1588" ref="M1014"/>
    <hyperlink r:id="rId1589" ref="N1015"/>
    <hyperlink r:id="rId1590" ref="P1015"/>
    <hyperlink r:id="rId1591" ref="W1015"/>
    <hyperlink r:id="rId1592" ref="X1015"/>
    <hyperlink r:id="rId1593" ref="N1016"/>
    <hyperlink r:id="rId1594" ref="P1016"/>
    <hyperlink r:id="rId1595" ref="W1016"/>
    <hyperlink r:id="rId1596" ref="X1016"/>
    <hyperlink r:id="rId1597" ref="M1017"/>
    <hyperlink r:id="rId1598" ref="N1018"/>
    <hyperlink r:id="rId1599" ref="P1018"/>
    <hyperlink r:id="rId1600" ref="P1019"/>
    <hyperlink r:id="rId1601" ref="M1020"/>
    <hyperlink r:id="rId1602" ref="P1020"/>
    <hyperlink r:id="rId1603" ref="M1021"/>
    <hyperlink r:id="rId1604" ref="M1022"/>
    <hyperlink r:id="rId1605" ref="N1022"/>
    <hyperlink r:id="rId1606" ref="P1022"/>
    <hyperlink r:id="rId1607" ref="M1023"/>
    <hyperlink r:id="rId1608" ref="M1024"/>
    <hyperlink r:id="rId1609" ref="N1024"/>
    <hyperlink r:id="rId1610" ref="P1024"/>
    <hyperlink r:id="rId1611" ref="M1025"/>
    <hyperlink r:id="rId1612" ref="N1025"/>
    <hyperlink r:id="rId1613" ref="P1025"/>
    <hyperlink r:id="rId1614" ref="M1026"/>
    <hyperlink r:id="rId1615" ref="P1026"/>
    <hyperlink r:id="rId1616" ref="M1027"/>
    <hyperlink r:id="rId1617" ref="P1027"/>
    <hyperlink r:id="rId1618" ref="M1028"/>
    <hyperlink r:id="rId1619" ref="P1028"/>
    <hyperlink r:id="rId1620" ref="M1029"/>
    <hyperlink r:id="rId1621" ref="P1029"/>
    <hyperlink r:id="rId1622" ref="M1030"/>
    <hyperlink r:id="rId1623" ref="P1030"/>
    <hyperlink r:id="rId1624" ref="M1031"/>
    <hyperlink r:id="rId1625" ref="P1031"/>
    <hyperlink r:id="rId1626" ref="M1032"/>
    <hyperlink r:id="rId1627" ref="N1032"/>
    <hyperlink r:id="rId1628" ref="M1033"/>
    <hyperlink r:id="rId1629" ref="M1034"/>
    <hyperlink r:id="rId1630" ref="M1035"/>
    <hyperlink r:id="rId1631" ref="M1036"/>
    <hyperlink r:id="rId1632" ref="P1036"/>
    <hyperlink r:id="rId1633" ref="M1037"/>
    <hyperlink r:id="rId1634" ref="M1038"/>
    <hyperlink r:id="rId1635" ref="M1039"/>
    <hyperlink r:id="rId1636" ref="M1040"/>
    <hyperlink r:id="rId1637" ref="P1040"/>
    <hyperlink r:id="rId1638" ref="P1041"/>
    <hyperlink r:id="rId1639" ref="M1042"/>
    <hyperlink r:id="rId1640" ref="M1043"/>
    <hyperlink r:id="rId1641" ref="M1044"/>
    <hyperlink r:id="rId1642" ref="M1045"/>
    <hyperlink r:id="rId1643" ref="M1046"/>
    <hyperlink r:id="rId1644" ref="M1048"/>
    <hyperlink r:id="rId1645" ref="N1048"/>
    <hyperlink r:id="rId1646" ref="M1049"/>
    <hyperlink r:id="rId1647" ref="N1049"/>
    <hyperlink r:id="rId1648" ref="P1049"/>
    <hyperlink r:id="rId1649" ref="M1050"/>
    <hyperlink r:id="rId1650" ref="N1050"/>
    <hyperlink r:id="rId1651" ref="P1050"/>
    <hyperlink r:id="rId1652" ref="M1051"/>
    <hyperlink r:id="rId1653" ref="N1051"/>
    <hyperlink r:id="rId1654" ref="P1051"/>
    <hyperlink r:id="rId1655" ref="M1052"/>
    <hyperlink r:id="rId1656" ref="N1052"/>
    <hyperlink r:id="rId1657" ref="P1052"/>
    <hyperlink r:id="rId1658" ref="M1053"/>
    <hyperlink r:id="rId1659" ref="N1053"/>
    <hyperlink r:id="rId1660" ref="P1053"/>
    <hyperlink r:id="rId1661" ref="M1054"/>
    <hyperlink r:id="rId1662" ref="N1054"/>
    <hyperlink r:id="rId1663" ref="P1054"/>
    <hyperlink r:id="rId1664" ref="M1055"/>
    <hyperlink r:id="rId1665" ref="N1055"/>
    <hyperlink r:id="rId1666" ref="P1055"/>
    <hyperlink r:id="rId1667" ref="M1056"/>
    <hyperlink r:id="rId1668" ref="M1057"/>
    <hyperlink r:id="rId1669" ref="M1058"/>
    <hyperlink r:id="rId1670" ref="N1058"/>
    <hyperlink r:id="rId1671" ref="M1059"/>
    <hyperlink r:id="rId1672" ref="N1060"/>
    <hyperlink r:id="rId1673" ref="M1061"/>
    <hyperlink r:id="rId1674" ref="P1062"/>
    <hyperlink r:id="rId1675" ref="M1063"/>
    <hyperlink r:id="rId1676" ref="P1063"/>
    <hyperlink r:id="rId1677" ref="M1064"/>
    <hyperlink r:id="rId1678" ref="N1064"/>
    <hyperlink r:id="rId1679" ref="M1065"/>
    <hyperlink r:id="rId1680" ref="M1066"/>
    <hyperlink r:id="rId1681" ref="M1067"/>
    <hyperlink r:id="rId1682" ref="P1067"/>
    <hyperlink r:id="rId1683" ref="M1068"/>
    <hyperlink r:id="rId1684" ref="P1068"/>
    <hyperlink r:id="rId1685" ref="M1069"/>
    <hyperlink r:id="rId1686" ref="N1069"/>
    <hyperlink r:id="rId1687" ref="P1069"/>
    <hyperlink r:id="rId1688" ref="M1070"/>
    <hyperlink r:id="rId1689" ref="M1071"/>
    <hyperlink r:id="rId1690" ref="N1072"/>
    <hyperlink r:id="rId1691" ref="P1072"/>
    <hyperlink r:id="rId1692" ref="M1073"/>
    <hyperlink r:id="rId1693" ref="M1074"/>
    <hyperlink r:id="rId1694" ref="M1075"/>
    <hyperlink r:id="rId1695" ref="N1075"/>
    <hyperlink r:id="rId1696" ref="P1075"/>
    <hyperlink r:id="rId1697" ref="M1076"/>
    <hyperlink r:id="rId1698" ref="N1076"/>
    <hyperlink r:id="rId1699" ref="P1076"/>
    <hyperlink r:id="rId1700" ref="M1077"/>
    <hyperlink r:id="rId1701" ref="M1079"/>
    <hyperlink r:id="rId1702" ref="P1079"/>
    <hyperlink r:id="rId1703" ref="M1080"/>
    <hyperlink r:id="rId1704" ref="N1081"/>
    <hyperlink r:id="rId1705" ref="P1081"/>
    <hyperlink r:id="rId1706" ref="W1081"/>
    <hyperlink r:id="rId1707" ref="X1081"/>
    <hyperlink r:id="rId1708" ref="M1082"/>
    <hyperlink r:id="rId1709" ref="N1082"/>
    <hyperlink r:id="rId1710" ref="M1083"/>
    <hyperlink r:id="rId1711" ref="M1084"/>
    <hyperlink r:id="rId1712" ref="M1085"/>
    <hyperlink r:id="rId1713" ref="M1086"/>
    <hyperlink r:id="rId1714" ref="M1087"/>
    <hyperlink r:id="rId1715" ref="M1088"/>
    <hyperlink r:id="rId1716" ref="M1089"/>
    <hyperlink r:id="rId1717" ref="M1090"/>
    <hyperlink r:id="rId1718" ref="M1091"/>
    <hyperlink r:id="rId1719" ref="M1092"/>
    <hyperlink r:id="rId1720" ref="M1093"/>
    <hyperlink r:id="rId1721" ref="M1094"/>
    <hyperlink r:id="rId1722" ref="M1095"/>
    <hyperlink r:id="rId1723" ref="M1096"/>
    <hyperlink r:id="rId1724" ref="M1097"/>
    <hyperlink r:id="rId1725" ref="N1097"/>
    <hyperlink r:id="rId1726" ref="M1098"/>
    <hyperlink r:id="rId1727" ref="M1099"/>
    <hyperlink r:id="rId1728" ref="M1100"/>
    <hyperlink r:id="rId1729" ref="N1100"/>
    <hyperlink r:id="rId1730" ref="W1100"/>
    <hyperlink r:id="rId1731" ref="M1101"/>
    <hyperlink r:id="rId1732" ref="M1102"/>
    <hyperlink r:id="rId1733" ref="P1102"/>
    <hyperlink r:id="rId1734" ref="M1103"/>
    <hyperlink r:id="rId1735" ref="M1104"/>
    <hyperlink r:id="rId1736" ref="N1104"/>
    <hyperlink r:id="rId1737" ref="W1104"/>
    <hyperlink r:id="rId1738" ref="M1105"/>
    <hyperlink r:id="rId1739" ref="M1106"/>
    <hyperlink r:id="rId1740" ref="M1107"/>
    <hyperlink r:id="rId1741" ref="M1108"/>
    <hyperlink r:id="rId1742" ref="M1109"/>
    <hyperlink r:id="rId1743" ref="P1109"/>
    <hyperlink r:id="rId1744" ref="M1110"/>
    <hyperlink r:id="rId1745" ref="M1111"/>
    <hyperlink r:id="rId1746" ref="N1111"/>
    <hyperlink r:id="rId1747" ref="W1111"/>
    <hyperlink r:id="rId1748" ref="M1112"/>
    <hyperlink r:id="rId1749" ref="P1112"/>
    <hyperlink r:id="rId1750" ref="M1113"/>
    <hyperlink r:id="rId1751" ref="P1113"/>
    <hyperlink r:id="rId1752" ref="M1114"/>
    <hyperlink r:id="rId1753" ref="P1114"/>
    <hyperlink r:id="rId1754" ref="M1115"/>
    <hyperlink r:id="rId1755" ref="P1115"/>
    <hyperlink r:id="rId1756" ref="M1116"/>
    <hyperlink r:id="rId1757" ref="P1116"/>
    <hyperlink r:id="rId1758" ref="P1117"/>
    <hyperlink r:id="rId1759" ref="P1118"/>
    <hyperlink r:id="rId1760" ref="M1119"/>
    <hyperlink r:id="rId1761" ref="M1120"/>
    <hyperlink r:id="rId1762" ref="P1120"/>
    <hyperlink r:id="rId1763" ref="P1121"/>
    <hyperlink r:id="rId1764" ref="M1122"/>
    <hyperlink r:id="rId1765" ref="N1122"/>
    <hyperlink r:id="rId1766" ref="M1123"/>
    <hyperlink r:id="rId1767" ref="P1123"/>
    <hyperlink r:id="rId1768" ref="M1124"/>
    <hyperlink r:id="rId1769" ref="M1125"/>
    <hyperlink r:id="rId1770" ref="P1125"/>
    <hyperlink r:id="rId1771" ref="M1126"/>
    <hyperlink r:id="rId1772" ref="N1126"/>
    <hyperlink r:id="rId1773" ref="P1126"/>
    <hyperlink r:id="rId1774" ref="M1127"/>
    <hyperlink r:id="rId1775" ref="P1127"/>
    <hyperlink r:id="rId1776" ref="M1128"/>
    <hyperlink r:id="rId1777" ref="P1128"/>
    <hyperlink r:id="rId1778" ref="M1129"/>
    <hyperlink r:id="rId1779" ref="P1129"/>
    <hyperlink r:id="rId1780" ref="M1130"/>
    <hyperlink r:id="rId1781" ref="P1130"/>
    <hyperlink r:id="rId1782" ref="M1131"/>
    <hyperlink r:id="rId1783" ref="N1131"/>
    <hyperlink r:id="rId1784" ref="P1131"/>
    <hyperlink r:id="rId1785" ref="M1132"/>
    <hyperlink r:id="rId1786" ref="M1133"/>
    <hyperlink r:id="rId1787" ref="P1133"/>
    <hyperlink r:id="rId1788" ref="M1134"/>
    <hyperlink r:id="rId1789" ref="M1135"/>
    <hyperlink r:id="rId1790" ref="M1136"/>
    <hyperlink r:id="rId1791" ref="M1137"/>
    <hyperlink r:id="rId1792" ref="W1137"/>
    <hyperlink r:id="rId1793" ref="X1137"/>
    <hyperlink r:id="rId1794" ref="M1138"/>
    <hyperlink r:id="rId1795" ref="N1138"/>
    <hyperlink r:id="rId1796" ref="P1138"/>
    <hyperlink r:id="rId1797" ref="M1140"/>
    <hyperlink r:id="rId1798" ref="N1141"/>
    <hyperlink r:id="rId1799" ref="P1141"/>
    <hyperlink r:id="rId1800" ref="M1142"/>
    <hyperlink r:id="rId1801" ref="P1142"/>
    <hyperlink r:id="rId1802" ref="M1143"/>
    <hyperlink r:id="rId1803" ref="P1143"/>
    <hyperlink r:id="rId1804" ref="M1144"/>
    <hyperlink r:id="rId1805" ref="M1145"/>
    <hyperlink r:id="rId1806" ref="M1146"/>
    <hyperlink r:id="rId1807" ref="M1147"/>
    <hyperlink r:id="rId1808" ref="M1148"/>
    <hyperlink r:id="rId1809" ref="M1149"/>
    <hyperlink r:id="rId1810" ref="P1150"/>
    <hyperlink r:id="rId1811" ref="M1151"/>
    <hyperlink r:id="rId1812" ref="M1152"/>
    <hyperlink r:id="rId1813" ref="M1153"/>
    <hyperlink r:id="rId1814" ref="N1153"/>
    <hyperlink r:id="rId1815" ref="M1154"/>
    <hyperlink r:id="rId1816" ref="M1155"/>
    <hyperlink r:id="rId1817" ref="P1155"/>
    <hyperlink r:id="rId1818" ref="M1156"/>
    <hyperlink r:id="rId1819" ref="M1157"/>
    <hyperlink r:id="rId1820" ref="M1158"/>
    <hyperlink r:id="rId1821" ref="M1159"/>
    <hyperlink r:id="rId1822" ref="N1159"/>
    <hyperlink r:id="rId1823" ref="M1160"/>
    <hyperlink r:id="rId1824" ref="M1161"/>
    <hyperlink r:id="rId1825" ref="M1162"/>
    <hyperlink r:id="rId1826" ref="M1163"/>
    <hyperlink r:id="rId1827" ref="M1164"/>
    <hyperlink r:id="rId1828" ref="M1165"/>
    <hyperlink r:id="rId1829" ref="M1166"/>
    <hyperlink r:id="rId1830" ref="M1167"/>
    <hyperlink r:id="rId1831" ref="N1167"/>
    <hyperlink r:id="rId1832" ref="P1167"/>
    <hyperlink r:id="rId1833" ref="N1168"/>
    <hyperlink r:id="rId1834" ref="P1168"/>
    <hyperlink r:id="rId1835" ref="W1168"/>
    <hyperlink r:id="rId1836" ref="M1169"/>
    <hyperlink r:id="rId1837" ref="N1169"/>
    <hyperlink r:id="rId1838" ref="W1169"/>
    <hyperlink r:id="rId1839" ref="X1169"/>
    <hyperlink r:id="rId1840" ref="M1170"/>
    <hyperlink r:id="rId1841" ref="M1171"/>
    <hyperlink r:id="rId1842" ref="M1172"/>
    <hyperlink r:id="rId1843" ref="M1173"/>
    <hyperlink r:id="rId1844" ref="M1174"/>
    <hyperlink r:id="rId1845" ref="M1175"/>
    <hyperlink r:id="rId1846" ref="M1176"/>
    <hyperlink r:id="rId1847" ref="P1176"/>
    <hyperlink r:id="rId1848" ref="M1177"/>
    <hyperlink r:id="rId1849" ref="M1178"/>
    <hyperlink r:id="rId1850" ref="M1179"/>
    <hyperlink r:id="rId1851" ref="M1180"/>
    <hyperlink r:id="rId1852" ref="P1181"/>
    <hyperlink r:id="rId1853" ref="P1182"/>
    <hyperlink r:id="rId1854" ref="M1183"/>
    <hyperlink r:id="rId1855" ref="W1183"/>
    <hyperlink r:id="rId1856" ref="X1183"/>
    <hyperlink r:id="rId1857" ref="M1184"/>
    <hyperlink r:id="rId1858" ref="M1185"/>
    <hyperlink r:id="rId1859" ref="M1186"/>
    <hyperlink r:id="rId1860" ref="N1186"/>
    <hyperlink r:id="rId1861" ref="P1186"/>
    <hyperlink r:id="rId1862" ref="M1187"/>
    <hyperlink r:id="rId1863" ref="N1188"/>
    <hyperlink r:id="rId1864" ref="W1188"/>
    <hyperlink r:id="rId1865" ref="X1188"/>
    <hyperlink r:id="rId1866" ref="M1190"/>
    <hyperlink r:id="rId1867" ref="N1190"/>
    <hyperlink r:id="rId1868" ref="P1190"/>
    <hyperlink r:id="rId1869" ref="M1191"/>
    <hyperlink r:id="rId1870" ref="N1191"/>
    <hyperlink r:id="rId1871" ref="P1191"/>
    <hyperlink r:id="rId1872" ref="M1192"/>
    <hyperlink r:id="rId1873" ref="N1192"/>
    <hyperlink r:id="rId1874" ref="P1192"/>
    <hyperlink r:id="rId1875" ref="W1192"/>
    <hyperlink r:id="rId1876" ref="M1193"/>
    <hyperlink r:id="rId1877" ref="M1194"/>
    <hyperlink r:id="rId1878" ref="M1195"/>
    <hyperlink r:id="rId1879" ref="P1195"/>
    <hyperlink r:id="rId1880" ref="M1196"/>
    <hyperlink r:id="rId1881" ref="P1196"/>
    <hyperlink r:id="rId1882" ref="M1197"/>
    <hyperlink r:id="rId1883" ref="P1197"/>
    <hyperlink r:id="rId1884" ref="M1198"/>
    <hyperlink r:id="rId1885" ref="M1199"/>
    <hyperlink r:id="rId1886" ref="M1200"/>
    <hyperlink r:id="rId1887" ref="M1201"/>
    <hyperlink r:id="rId1888" ref="M1202"/>
    <hyperlink r:id="rId1889" ref="M1203"/>
    <hyperlink r:id="rId1890" ref="M1204"/>
    <hyperlink r:id="rId1891" ref="M1205"/>
    <hyperlink r:id="rId1892" ref="M1206"/>
    <hyperlink r:id="rId1893" ref="N1206"/>
    <hyperlink r:id="rId1894" ref="W1206"/>
    <hyperlink r:id="rId1895" ref="X1206"/>
    <hyperlink r:id="rId1896" ref="M1207"/>
    <hyperlink r:id="rId1897" ref="M1208"/>
    <hyperlink r:id="rId1898" ref="M1209"/>
    <hyperlink r:id="rId1899" ref="M1210"/>
    <hyperlink r:id="rId1900" ref="P1210"/>
    <hyperlink r:id="rId1901" ref="M1211"/>
    <hyperlink r:id="rId1902" ref="M1212"/>
    <hyperlink r:id="rId1903" ref="N1212"/>
    <hyperlink r:id="rId1904" ref="P1212"/>
    <hyperlink r:id="rId1905" ref="M1213"/>
    <hyperlink r:id="rId1906" ref="M1214"/>
    <hyperlink r:id="rId1907" ref="N1214"/>
    <hyperlink r:id="rId1908" ref="M1215"/>
    <hyperlink r:id="rId1909" ref="M1216"/>
    <hyperlink r:id="rId1910" ref="M1217"/>
    <hyperlink r:id="rId1911" ref="P1217"/>
    <hyperlink r:id="rId1912" ref="M1218"/>
    <hyperlink r:id="rId1913" ref="M1219"/>
    <hyperlink r:id="rId1914" ref="M1220"/>
    <hyperlink r:id="rId1915" ref="M1221"/>
    <hyperlink r:id="rId1916" ref="M1222"/>
    <hyperlink r:id="rId1917" ref="M1223"/>
    <hyperlink r:id="rId1918" ref="M1224"/>
    <hyperlink r:id="rId1919" ref="M1225"/>
    <hyperlink r:id="rId1920" ref="M1226"/>
    <hyperlink r:id="rId1921" ref="M1227"/>
    <hyperlink r:id="rId1922" ref="M1228"/>
    <hyperlink r:id="rId1923" ref="M1229"/>
    <hyperlink r:id="rId1924" ref="P1229"/>
    <hyperlink r:id="rId1925" ref="M1230"/>
    <hyperlink r:id="rId1926" ref="P1230"/>
    <hyperlink r:id="rId1927" ref="M1231"/>
    <hyperlink r:id="rId1928" ref="M1233"/>
    <hyperlink r:id="rId1929" ref="M1234"/>
    <hyperlink r:id="rId1930" ref="M1235"/>
    <hyperlink r:id="rId1931" ref="M1236"/>
    <hyperlink r:id="rId1932" ref="P1236"/>
    <hyperlink r:id="rId1933" ref="P1237"/>
    <hyperlink r:id="rId1934" ref="M1238"/>
    <hyperlink r:id="rId1935" ref="N1238"/>
    <hyperlink r:id="rId1936" ref="P1238"/>
    <hyperlink r:id="rId1937" ref="M1239"/>
    <hyperlink r:id="rId1938" ref="M1240"/>
    <hyperlink r:id="rId1939" ref="M1241"/>
    <hyperlink r:id="rId1940" ref="M1242"/>
    <hyperlink r:id="rId1941" ref="M1243"/>
    <hyperlink r:id="rId1942" ref="N1243"/>
    <hyperlink r:id="rId1943" ref="P1243"/>
    <hyperlink r:id="rId1944" ref="M1244"/>
    <hyperlink r:id="rId1945" ref="M1245"/>
    <hyperlink r:id="rId1946" ref="M1246"/>
    <hyperlink r:id="rId1947" ref="P1246"/>
    <hyperlink r:id="rId1948" ref="M1247"/>
    <hyperlink r:id="rId1949" ref="M1248"/>
    <hyperlink r:id="rId1950" ref="M1249"/>
    <hyperlink r:id="rId1951" ref="M1250"/>
    <hyperlink r:id="rId1952" ref="M1251"/>
    <hyperlink r:id="rId1953" ref="N1252"/>
    <hyperlink r:id="rId1954" ref="P1252"/>
    <hyperlink r:id="rId1955" ref="M1253"/>
    <hyperlink r:id="rId1956" ref="M1254"/>
    <hyperlink r:id="rId1957" ref="M1255"/>
    <hyperlink r:id="rId1958" ref="P1255"/>
    <hyperlink r:id="rId1959" ref="M1256"/>
    <hyperlink r:id="rId1960" ref="P1256"/>
    <hyperlink r:id="rId1961" ref="M1257"/>
    <hyperlink r:id="rId1962" ref="M1258"/>
    <hyperlink r:id="rId1963" ref="M1259"/>
    <hyperlink r:id="rId1964" ref="N1259"/>
    <hyperlink r:id="rId1965" ref="P1259"/>
    <hyperlink r:id="rId1966" ref="M1260"/>
    <hyperlink r:id="rId1967" ref="M1261"/>
    <hyperlink r:id="rId1968" ref="P1261"/>
    <hyperlink r:id="rId1969" ref="M1262"/>
    <hyperlink r:id="rId1970" ref="P1262"/>
    <hyperlink r:id="rId1971" ref="M1263"/>
    <hyperlink r:id="rId1972" ref="P1263"/>
    <hyperlink r:id="rId1973" ref="M1264"/>
    <hyperlink r:id="rId1974" ref="M1265"/>
    <hyperlink r:id="rId1975" ref="M1266"/>
    <hyperlink r:id="rId1976" ref="P1266"/>
    <hyperlink r:id="rId1977" ref="M1267"/>
    <hyperlink r:id="rId1978" ref="M1268"/>
    <hyperlink r:id="rId1979" ref="M1269"/>
    <hyperlink r:id="rId1980" ref="M1270"/>
    <hyperlink r:id="rId1981" ref="P1270"/>
    <hyperlink r:id="rId1982" ref="M1271"/>
    <hyperlink r:id="rId1983" ref="N1271"/>
    <hyperlink r:id="rId1984" ref="P1271"/>
    <hyperlink r:id="rId1985" ref="M1273"/>
    <hyperlink r:id="rId1986" ref="P1273"/>
    <hyperlink r:id="rId1987" ref="M1274"/>
    <hyperlink r:id="rId1988" ref="P1274"/>
    <hyperlink r:id="rId1989" ref="M1275"/>
    <hyperlink r:id="rId1990" ref="P1275"/>
    <hyperlink r:id="rId1991" ref="M1276"/>
    <hyperlink r:id="rId1992" ref="P1276"/>
    <hyperlink r:id="rId1993" ref="M1277"/>
    <hyperlink r:id="rId1994" ref="P1277"/>
    <hyperlink r:id="rId1995" ref="M1278"/>
    <hyperlink r:id="rId1996" ref="M1279"/>
    <hyperlink r:id="rId1997" ref="P1279"/>
    <hyperlink r:id="rId1998" ref="M1280"/>
    <hyperlink r:id="rId1999" ref="M1281"/>
    <hyperlink r:id="rId2000" ref="N1281"/>
    <hyperlink r:id="rId2001" ref="P1281"/>
    <hyperlink r:id="rId2002" ref="M1282"/>
    <hyperlink r:id="rId2003" ref="N1282"/>
    <hyperlink r:id="rId2004" ref="P1282"/>
    <hyperlink r:id="rId2005" ref="M1283"/>
    <hyperlink r:id="rId2006" ref="N1283"/>
    <hyperlink r:id="rId2007" ref="M1284"/>
    <hyperlink r:id="rId2008" ref="M1285"/>
    <hyperlink r:id="rId2009" ref="M1286"/>
    <hyperlink r:id="rId2010" ref="P1286"/>
    <hyperlink r:id="rId2011" ref="M1287"/>
    <hyperlink r:id="rId2012" ref="P1287"/>
    <hyperlink r:id="rId2013" ref="M1288"/>
    <hyperlink r:id="rId2014" ref="N1288"/>
    <hyperlink r:id="rId2015" ref="M1289"/>
    <hyperlink r:id="rId2016" ref="P1289"/>
    <hyperlink r:id="rId2017" ref="M1290"/>
    <hyperlink r:id="rId2018" ref="M1291"/>
    <hyperlink r:id="rId2019" ref="N1292"/>
    <hyperlink r:id="rId2020" ref="P1292"/>
    <hyperlink r:id="rId2021" ref="M1293"/>
    <hyperlink r:id="rId2022" ref="P1293"/>
    <hyperlink r:id="rId2023" ref="M1294"/>
    <hyperlink r:id="rId2024" ref="N1294"/>
    <hyperlink r:id="rId2025" ref="P1294"/>
    <hyperlink r:id="rId2026" ref="M1295"/>
    <hyperlink r:id="rId2027" ref="P1295"/>
    <hyperlink r:id="rId2028" ref="P1296"/>
    <hyperlink r:id="rId2029" ref="M1297"/>
    <hyperlink r:id="rId2030" ref="N1297"/>
    <hyperlink r:id="rId2031" ref="M1298"/>
    <hyperlink r:id="rId2032" ref="P1298"/>
    <hyperlink r:id="rId2033" ref="M1299"/>
    <hyperlink r:id="rId2034" ref="M1300"/>
    <hyperlink r:id="rId2035" ref="M1301"/>
    <hyperlink r:id="rId2036" ref="M1302"/>
    <hyperlink r:id="rId2037" ref="M1303"/>
    <hyperlink r:id="rId2038" ref="M1304"/>
    <hyperlink r:id="rId2039" ref="M1305"/>
    <hyperlink r:id="rId2040" ref="M1306"/>
    <hyperlink r:id="rId2041" ref="M1307"/>
    <hyperlink r:id="rId2042" ref="P1307"/>
    <hyperlink r:id="rId2043" ref="M1308"/>
    <hyperlink r:id="rId2044" ref="N1308"/>
    <hyperlink r:id="rId2045" ref="P1308"/>
    <hyperlink r:id="rId2046" ref="M1309"/>
    <hyperlink r:id="rId2047" ref="M1310"/>
    <hyperlink r:id="rId2048" ref="M1311"/>
    <hyperlink r:id="rId2049" ref="M1312"/>
    <hyperlink r:id="rId2050" ref="N1313"/>
    <hyperlink r:id="rId2051" ref="P1313"/>
    <hyperlink r:id="rId2052" ref="W1313"/>
    <hyperlink r:id="rId2053" ref="X1313"/>
    <hyperlink r:id="rId2054" ref="M1314"/>
    <hyperlink r:id="rId2055" ref="M1315"/>
    <hyperlink r:id="rId2056" ref="P1315"/>
    <hyperlink r:id="rId2057" ref="M1316"/>
    <hyperlink r:id="rId2058" ref="P1316"/>
    <hyperlink r:id="rId2059" ref="M1317"/>
    <hyperlink r:id="rId2060" ref="N1317"/>
    <hyperlink r:id="rId2061" ref="P1317"/>
    <hyperlink r:id="rId2062" ref="W1317"/>
    <hyperlink r:id="rId2063" ref="X1317"/>
    <hyperlink r:id="rId2064" ref="M1319"/>
    <hyperlink r:id="rId2065" ref="M1320"/>
    <hyperlink r:id="rId2066" ref="M1321"/>
    <hyperlink r:id="rId2067" ref="M1322"/>
    <hyperlink r:id="rId2068" ref="M1323"/>
    <hyperlink r:id="rId2069" ref="M1324"/>
    <hyperlink r:id="rId2070" ref="M1325"/>
    <hyperlink r:id="rId2071" ref="M1326"/>
    <hyperlink r:id="rId2072" ref="M1327"/>
    <hyperlink r:id="rId2073" ref="P1327"/>
    <hyperlink r:id="rId2074" ref="M1328"/>
    <hyperlink r:id="rId2075" ref="N1328"/>
    <hyperlink r:id="rId2076" ref="M1329"/>
    <hyperlink r:id="rId2077" ref="M1330"/>
    <hyperlink r:id="rId2078" ref="M1331"/>
    <hyperlink r:id="rId2079" ref="M1332"/>
    <hyperlink r:id="rId2080" ref="M1333"/>
    <hyperlink r:id="rId2081" ref="M1334"/>
    <hyperlink r:id="rId2082" ref="M1335"/>
    <hyperlink r:id="rId2083" ref="N1335"/>
    <hyperlink r:id="rId2084" ref="M1336"/>
    <hyperlink r:id="rId2085" ref="P1336"/>
    <hyperlink r:id="rId2086" ref="M1337"/>
    <hyperlink r:id="rId2087" ref="N1337"/>
    <hyperlink r:id="rId2088" ref="P1337"/>
    <hyperlink r:id="rId2089" ref="W1337"/>
    <hyperlink r:id="rId2090" ref="X1337"/>
    <hyperlink r:id="rId2091" ref="M1338"/>
    <hyperlink r:id="rId2092" ref="N1338"/>
    <hyperlink r:id="rId2093" ref="P1338"/>
    <hyperlink r:id="rId2094" ref="W1338"/>
    <hyperlink r:id="rId2095" ref="X1338"/>
    <hyperlink r:id="rId2096" ref="M1339"/>
    <hyperlink r:id="rId2097" ref="N1339"/>
    <hyperlink r:id="rId2098" ref="P1339"/>
    <hyperlink r:id="rId2099" ref="W1339"/>
    <hyperlink r:id="rId2100" ref="M1340"/>
    <hyperlink r:id="rId2101" ref="N1340"/>
    <hyperlink r:id="rId2102" ref="P1340"/>
    <hyperlink r:id="rId2103" ref="W1340"/>
    <hyperlink r:id="rId2104" ref="M1341"/>
    <hyperlink r:id="rId2105" ref="N1341"/>
    <hyperlink r:id="rId2106" ref="P1341"/>
    <hyperlink r:id="rId2107" ref="W1341"/>
    <hyperlink r:id="rId2108" ref="M1342"/>
    <hyperlink r:id="rId2109" ref="M1343"/>
    <hyperlink r:id="rId2110" ref="M1344"/>
    <hyperlink r:id="rId2111" ref="M1345"/>
    <hyperlink r:id="rId2112" location="photo-15700218" ref="M1346"/>
    <hyperlink r:id="rId2113" ref="N1347"/>
    <hyperlink r:id="rId2114" ref="P1347"/>
    <hyperlink r:id="rId2115" ref="W1347"/>
    <hyperlink r:id="rId2116" ref="X1347"/>
    <hyperlink r:id="rId2117" ref="M1348"/>
    <hyperlink r:id="rId2118" ref="M1349"/>
    <hyperlink r:id="rId2119" ref="P1349"/>
    <hyperlink r:id="rId2120" ref="M1350"/>
    <hyperlink r:id="rId2121" ref="M1351"/>
    <hyperlink r:id="rId2122" ref="N1351"/>
    <hyperlink r:id="rId2123" ref="M1352"/>
    <hyperlink r:id="rId2124" ref="P1352"/>
    <hyperlink r:id="rId2125" ref="M1353"/>
    <hyperlink r:id="rId2126" ref="N1353"/>
    <hyperlink r:id="rId2127" ref="W1353"/>
    <hyperlink r:id="rId2128" ref="X1353"/>
    <hyperlink r:id="rId2129" ref="M1354"/>
    <hyperlink r:id="rId2130" ref="N1354"/>
    <hyperlink r:id="rId2131" ref="M1355"/>
    <hyperlink r:id="rId2132" ref="M1356"/>
    <hyperlink r:id="rId2133" ref="M1357"/>
    <hyperlink r:id="rId2134" ref="M1358"/>
    <hyperlink r:id="rId2135" ref="P1358"/>
    <hyperlink r:id="rId2136" ref="M1359"/>
    <hyperlink r:id="rId2137" ref="M1360"/>
    <hyperlink r:id="rId2138" ref="M1361"/>
    <hyperlink r:id="rId2139" ref="M1362"/>
    <hyperlink r:id="rId2140" ref="M1363"/>
    <hyperlink r:id="rId2141" ref="M1364"/>
    <hyperlink r:id="rId2142" ref="M1365"/>
    <hyperlink r:id="rId2143" ref="P1365"/>
    <hyperlink r:id="rId2144" ref="M1366"/>
    <hyperlink r:id="rId2145" ref="M1367"/>
    <hyperlink r:id="rId2146" ref="P1367"/>
    <hyperlink r:id="rId2147" ref="M1368"/>
    <hyperlink r:id="rId2148" ref="M1369"/>
    <hyperlink r:id="rId2149" ref="N1369"/>
    <hyperlink r:id="rId2150" ref="M1370"/>
    <hyperlink r:id="rId2151" ref="M1371"/>
    <hyperlink r:id="rId2152" ref="M1372"/>
    <hyperlink r:id="rId2153" ref="M1373"/>
    <hyperlink r:id="rId2154" ref="M1374"/>
    <hyperlink r:id="rId2155" ref="M1375"/>
    <hyperlink r:id="rId2156" ref="M1376"/>
    <hyperlink r:id="rId2157" ref="M1377"/>
    <hyperlink r:id="rId2158" ref="M1378"/>
    <hyperlink r:id="rId2159" ref="M1380"/>
    <hyperlink r:id="rId2160" ref="M1381"/>
    <hyperlink r:id="rId2161" ref="M1382"/>
    <hyperlink r:id="rId2162" ref="M1383"/>
    <hyperlink r:id="rId2163" ref="M1384"/>
    <hyperlink r:id="rId2164" ref="N1385"/>
    <hyperlink r:id="rId2165" ref="M1386"/>
    <hyperlink r:id="rId2166" ref="N1386"/>
    <hyperlink r:id="rId2167" ref="M1387"/>
    <hyperlink r:id="rId2168" ref="M1388"/>
    <hyperlink r:id="rId2169" ref="M1389"/>
    <hyperlink r:id="rId2170" ref="P1389"/>
    <hyperlink r:id="rId2171" ref="M1390"/>
    <hyperlink r:id="rId2172" ref="P1390"/>
    <hyperlink r:id="rId2173" ref="M1391"/>
    <hyperlink r:id="rId2174" ref="M1392"/>
    <hyperlink r:id="rId2175" ref="M1393"/>
    <hyperlink r:id="rId2176" ref="P1393"/>
    <hyperlink r:id="rId2177" ref="M1394"/>
    <hyperlink r:id="rId2178" ref="M1395"/>
    <hyperlink r:id="rId2179" ref="M1396"/>
    <hyperlink r:id="rId2180" ref="M1397"/>
    <hyperlink r:id="rId2181" ref="M1398"/>
    <hyperlink r:id="rId2182" ref="N1398"/>
    <hyperlink r:id="rId2183" ref="P1398"/>
    <hyperlink r:id="rId2184" ref="M1399"/>
    <hyperlink r:id="rId2185" ref="M1400"/>
    <hyperlink r:id="rId2186" ref="M1401"/>
    <hyperlink r:id="rId2187" ref="X1402"/>
    <hyperlink r:id="rId2188" ref="M1403"/>
    <hyperlink r:id="rId2189" ref="M1404"/>
    <hyperlink r:id="rId2190" ref="M1405"/>
    <hyperlink r:id="rId2191" ref="M1406"/>
    <hyperlink r:id="rId2192" ref="M1407"/>
    <hyperlink r:id="rId2193" ref="M1408"/>
    <hyperlink r:id="rId2194" ref="M1409"/>
    <hyperlink r:id="rId2195" ref="M1410"/>
    <hyperlink r:id="rId2196" ref="M1411"/>
    <hyperlink r:id="rId2197" ref="M1412"/>
    <hyperlink r:id="rId2198" ref="M1413"/>
    <hyperlink r:id="rId2199" ref="M1414"/>
    <hyperlink r:id="rId2200" ref="P1414"/>
    <hyperlink r:id="rId2201" ref="M1415"/>
    <hyperlink r:id="rId2202" ref="M1416"/>
    <hyperlink r:id="rId2203" ref="P1417"/>
    <hyperlink r:id="rId2204" ref="M1418"/>
    <hyperlink r:id="rId2205" ref="M1419"/>
    <hyperlink r:id="rId2206" ref="M1420"/>
    <hyperlink r:id="rId2207" ref="M1421"/>
    <hyperlink r:id="rId2208" ref="M1422"/>
    <hyperlink r:id="rId2209" ref="M1423"/>
    <hyperlink r:id="rId2210" ref="M1424"/>
    <hyperlink r:id="rId2211" ref="M1425"/>
    <hyperlink r:id="rId2212" ref="M1426"/>
    <hyperlink r:id="rId2213" ref="M1427"/>
    <hyperlink r:id="rId2214" ref="M1428"/>
    <hyperlink r:id="rId2215" ref="M1429"/>
    <hyperlink r:id="rId2216" ref="M1430"/>
    <hyperlink r:id="rId2217" ref="M1431"/>
    <hyperlink r:id="rId2218" ref="M1432"/>
    <hyperlink r:id="rId2219" ref="M1433"/>
    <hyperlink r:id="rId2220" ref="M1434"/>
    <hyperlink r:id="rId2221" ref="P1434"/>
    <hyperlink r:id="rId2222" ref="M1435"/>
    <hyperlink r:id="rId2223" ref="P1435"/>
    <hyperlink r:id="rId2224" ref="P1436"/>
    <hyperlink r:id="rId2225" ref="M1437"/>
    <hyperlink r:id="rId2226" ref="M1438"/>
    <hyperlink r:id="rId2227" ref="P1438"/>
    <hyperlink r:id="rId2228" ref="M1439"/>
    <hyperlink r:id="rId2229" ref="N1439"/>
    <hyperlink r:id="rId2230" ref="W1439"/>
    <hyperlink r:id="rId2231" ref="X1439"/>
    <hyperlink r:id="rId2232" ref="M1441"/>
    <hyperlink r:id="rId2233" ref="P1441"/>
    <hyperlink r:id="rId2234" ref="M1442"/>
    <hyperlink r:id="rId2235" ref="P1442"/>
    <hyperlink r:id="rId2236" ref="M1443"/>
    <hyperlink r:id="rId2237" ref="P1443"/>
    <hyperlink r:id="rId2238" ref="M1444"/>
    <hyperlink r:id="rId2239" ref="P1444"/>
    <hyperlink r:id="rId2240" ref="M1445"/>
    <hyperlink r:id="rId2241" ref="N1445"/>
    <hyperlink r:id="rId2242" ref="M1446"/>
    <hyperlink r:id="rId2243" ref="P1446"/>
    <hyperlink r:id="rId2244" ref="M1447"/>
    <hyperlink r:id="rId2245" ref="P1447"/>
    <hyperlink r:id="rId2246" ref="M1448"/>
    <hyperlink r:id="rId2247" ref="P1448"/>
    <hyperlink r:id="rId2248" ref="P1449"/>
    <hyperlink r:id="rId2249" ref="M1450"/>
    <hyperlink r:id="rId2250" ref="M1451"/>
    <hyperlink r:id="rId2251" ref="M1452"/>
    <hyperlink r:id="rId2252" ref="M1453"/>
    <hyperlink r:id="rId2253" ref="N1454"/>
    <hyperlink r:id="rId2254" ref="P1454"/>
    <hyperlink r:id="rId2255" ref="W1454"/>
    <hyperlink r:id="rId2256" ref="X1454"/>
    <hyperlink r:id="rId2257" ref="M1455"/>
    <hyperlink r:id="rId2258" ref="N1455"/>
    <hyperlink r:id="rId2259" ref="P1455"/>
    <hyperlink r:id="rId2260" ref="M1456"/>
    <hyperlink r:id="rId2261" ref="P1456"/>
    <hyperlink r:id="rId2262" ref="M1457"/>
    <hyperlink r:id="rId2263" ref="M1458"/>
    <hyperlink r:id="rId2264" ref="M1459"/>
    <hyperlink r:id="rId2265" ref="M1460"/>
    <hyperlink r:id="rId2266" ref="M1461"/>
    <hyperlink r:id="rId2267" ref="M1462"/>
    <hyperlink r:id="rId2268" ref="M1463"/>
    <hyperlink r:id="rId2269" ref="M1464"/>
    <hyperlink r:id="rId2270" ref="M1465"/>
    <hyperlink r:id="rId2271" ref="N1465"/>
    <hyperlink r:id="rId2272" ref="W1465"/>
    <hyperlink r:id="rId2273" ref="X1465"/>
    <hyperlink r:id="rId2274" ref="M1466"/>
    <hyperlink r:id="rId2275" ref="N1466"/>
    <hyperlink r:id="rId2276" ref="W1466"/>
    <hyperlink r:id="rId2277" ref="X1466"/>
    <hyperlink r:id="rId2278" ref="M1467"/>
    <hyperlink r:id="rId2279" ref="N1467"/>
    <hyperlink r:id="rId2280" ref="M1468"/>
    <hyperlink r:id="rId2281" ref="N1468"/>
    <hyperlink r:id="rId2282" ref="M1469"/>
    <hyperlink r:id="rId2283" ref="M1470"/>
    <hyperlink r:id="rId2284" ref="M1471"/>
    <hyperlink r:id="rId2285" ref="M1472"/>
    <hyperlink r:id="rId2286" ref="M1473"/>
    <hyperlink r:id="rId2287" ref="N1473"/>
    <hyperlink r:id="rId2288" ref="P1473"/>
    <hyperlink r:id="rId2289" ref="M1474"/>
    <hyperlink r:id="rId2290" ref="M1475"/>
    <hyperlink r:id="rId2291" ref="M1476"/>
    <hyperlink r:id="rId2292" ref="M1477"/>
    <hyperlink r:id="rId2293" ref="M1478"/>
    <hyperlink r:id="rId2294" ref="M1479"/>
    <hyperlink r:id="rId2295" ref="M1480"/>
    <hyperlink r:id="rId2296" ref="M1481"/>
    <hyperlink r:id="rId2297" location="/" ref="N1481"/>
    <hyperlink r:id="rId2298" ref="P1481"/>
    <hyperlink r:id="rId2299" ref="W1481"/>
    <hyperlink r:id="rId2300" ref="M1482"/>
    <hyperlink r:id="rId2301" ref="M1483"/>
    <hyperlink r:id="rId2302" ref="M1484"/>
    <hyperlink r:id="rId2303" ref="P1485"/>
    <hyperlink r:id="rId2304" ref="N1486"/>
    <hyperlink r:id="rId2305" ref="P1486"/>
    <hyperlink r:id="rId2306" ref="M1487"/>
    <hyperlink r:id="rId2307" ref="N1487"/>
    <hyperlink r:id="rId2308" ref="P1487"/>
    <hyperlink r:id="rId2309" ref="M1488"/>
    <hyperlink r:id="rId2310" ref="P1488"/>
    <hyperlink r:id="rId2311" ref="M1489"/>
    <hyperlink r:id="rId2312" ref="M1490"/>
    <hyperlink r:id="rId2313" ref="M1491"/>
    <hyperlink r:id="rId2314" ref="M1492"/>
    <hyperlink r:id="rId2315" ref="M1493"/>
    <hyperlink r:id="rId2316" ref="M1495"/>
    <hyperlink r:id="rId2317" ref="M1496"/>
    <hyperlink r:id="rId2318" ref="M1497"/>
    <hyperlink r:id="rId2319" ref="M1498"/>
    <hyperlink r:id="rId2320" ref="M1499"/>
    <hyperlink r:id="rId2321" ref="M1500"/>
    <hyperlink r:id="rId2322" ref="M1501"/>
    <hyperlink r:id="rId2323" ref="M1502"/>
    <hyperlink r:id="rId2324" location="1" ref="M1503"/>
    <hyperlink r:id="rId2325" ref="M1504"/>
    <hyperlink r:id="rId2326" ref="N1504"/>
    <hyperlink r:id="rId2327" ref="W1504"/>
    <hyperlink r:id="rId2328" ref="X1504"/>
    <hyperlink r:id="rId2329" ref="M1506"/>
    <hyperlink r:id="rId2330" ref="N1506"/>
    <hyperlink r:id="rId2331" ref="P1506"/>
    <hyperlink r:id="rId2332" ref="M1507"/>
    <hyperlink r:id="rId2333" ref="N1507"/>
    <hyperlink r:id="rId2334" ref="M1508"/>
    <hyperlink r:id="rId2335" ref="P1508"/>
    <hyperlink r:id="rId2336" ref="M1509"/>
    <hyperlink r:id="rId2337" ref="M1510"/>
    <hyperlink r:id="rId2338" ref="M1511"/>
    <hyperlink r:id="rId2339" ref="P1511"/>
    <hyperlink r:id="rId2340" ref="M1512"/>
    <hyperlink r:id="rId2341" ref="M1513"/>
    <hyperlink r:id="rId2342" ref="M1514"/>
    <hyperlink r:id="rId2343" ref="M1515"/>
    <hyperlink r:id="rId2344" ref="M1516"/>
    <hyperlink r:id="rId2345" ref="M1517"/>
    <hyperlink r:id="rId2346" ref="M1518"/>
    <hyperlink r:id="rId2347" ref="P1518"/>
    <hyperlink r:id="rId2348" ref="P1519"/>
    <hyperlink r:id="rId2349" ref="M1520"/>
    <hyperlink r:id="rId2350" ref="P1520"/>
    <hyperlink r:id="rId2351" ref="M1521"/>
    <hyperlink r:id="rId2352" ref="M1522"/>
    <hyperlink r:id="rId2353" ref="M1523"/>
    <hyperlink r:id="rId2354" ref="M1524"/>
    <hyperlink r:id="rId2355" ref="M1525"/>
    <hyperlink r:id="rId2356" ref="M1526"/>
    <hyperlink r:id="rId2357" ref="N1526"/>
    <hyperlink r:id="rId2358" ref="M1527"/>
    <hyperlink r:id="rId2359" ref="N1527"/>
    <hyperlink r:id="rId2360" ref="M1528"/>
    <hyperlink r:id="rId2361" ref="N1528"/>
    <hyperlink r:id="rId2362" ref="M1529"/>
    <hyperlink r:id="rId2363" ref="N1529"/>
    <hyperlink r:id="rId2364" ref="M1530"/>
    <hyperlink r:id="rId2365" ref="M1531"/>
    <hyperlink r:id="rId2366" ref="M1532"/>
    <hyperlink r:id="rId2367" ref="M1533"/>
    <hyperlink r:id="rId2368" ref="M1534"/>
    <hyperlink r:id="rId2369" ref="M1535"/>
    <hyperlink r:id="rId2370" ref="M1536"/>
    <hyperlink r:id="rId2371" location="gid=0" ref="M1537"/>
    <hyperlink r:id="rId2372" ref="M1538"/>
    <hyperlink r:id="rId2373" ref="M1539"/>
    <hyperlink r:id="rId2374" ref="M1540"/>
    <hyperlink r:id="rId2375" ref="N1540"/>
    <hyperlink r:id="rId2376" ref="P1540"/>
    <hyperlink r:id="rId2377" ref="M1541"/>
    <hyperlink r:id="rId2378" ref="P1541"/>
    <hyperlink r:id="rId2379" ref="M1542"/>
    <hyperlink r:id="rId2380" ref="M1543"/>
    <hyperlink r:id="rId2381" ref="M1544"/>
    <hyperlink r:id="rId2382" ref="N1544"/>
    <hyperlink r:id="rId2383" ref="M1545"/>
    <hyperlink r:id="rId2384" ref="M1547"/>
    <hyperlink r:id="rId2385" ref="M1548"/>
    <hyperlink r:id="rId2386" ref="M1549"/>
    <hyperlink r:id="rId2387" ref="M1550"/>
    <hyperlink r:id="rId2388" ref="M1551"/>
    <hyperlink r:id="rId2389" ref="M1552"/>
    <hyperlink r:id="rId2390" ref="M1553"/>
    <hyperlink r:id="rId2391" ref="M1554"/>
    <hyperlink r:id="rId2392" ref="M1555"/>
    <hyperlink r:id="rId2393" ref="M1556"/>
    <hyperlink r:id="rId2394" ref="M1557"/>
    <hyperlink r:id="rId2395" ref="M1558"/>
    <hyperlink r:id="rId2396" ref="M1559"/>
    <hyperlink r:id="rId2397" ref="M1560"/>
    <hyperlink r:id="rId2398" ref="M1561"/>
    <hyperlink r:id="rId2399" ref="M1562"/>
    <hyperlink r:id="rId2400" ref="M1563"/>
    <hyperlink r:id="rId2401" ref="M1564"/>
    <hyperlink r:id="rId2402" ref="M1565"/>
    <hyperlink r:id="rId2403" ref="M1566"/>
    <hyperlink r:id="rId2404" ref="N1566"/>
    <hyperlink r:id="rId2405" ref="P1566"/>
    <hyperlink r:id="rId2406" ref="M1567"/>
    <hyperlink r:id="rId2407" location="stream/0" ref="M1568"/>
    <hyperlink r:id="rId2408" ref="M1569"/>
    <hyperlink r:id="rId2409" ref="N1569"/>
    <hyperlink r:id="rId2410" ref="N1570"/>
    <hyperlink r:id="rId2411" ref="M1586"/>
    <hyperlink r:id="rId2412" ref="M1587"/>
    <hyperlink r:id="rId2413" ref="M1588"/>
    <hyperlink r:id="rId2414" ref="M1589"/>
    <hyperlink r:id="rId2415" ref="N1589"/>
    <hyperlink r:id="rId2416" ref="M1590"/>
    <hyperlink r:id="rId2417" ref="M1591"/>
    <hyperlink r:id="rId2418" ref="M1592"/>
    <hyperlink r:id="rId2419" ref="N1592"/>
    <hyperlink r:id="rId2420" ref="P1592"/>
    <hyperlink r:id="rId2421" ref="M1593"/>
    <hyperlink r:id="rId2422" ref="P1593"/>
    <hyperlink r:id="rId2423" ref="M1594"/>
    <hyperlink r:id="rId2424" ref="P1594"/>
    <hyperlink r:id="rId2425" ref="M1595"/>
    <hyperlink r:id="rId2426" ref="P1595"/>
    <hyperlink r:id="rId2427" ref="P1596"/>
    <hyperlink r:id="rId2428" ref="M1597"/>
    <hyperlink r:id="rId2429" ref="P1597"/>
    <hyperlink r:id="rId2430" ref="M1598"/>
    <hyperlink r:id="rId2431" ref="P1598"/>
    <hyperlink r:id="rId2432" ref="P1599"/>
    <hyperlink r:id="rId2433" ref="M1600"/>
    <hyperlink r:id="rId2434" ref="P1600"/>
    <hyperlink r:id="rId2435" ref="M1601"/>
    <hyperlink r:id="rId2436" ref="M1603"/>
    <hyperlink r:id="rId2437" ref="M1604"/>
    <hyperlink r:id="rId2438" ref="M1605"/>
    <hyperlink r:id="rId2439" ref="M1606"/>
    <hyperlink r:id="rId2440" ref="P1606"/>
    <hyperlink r:id="rId2441" ref="M1607"/>
    <hyperlink r:id="rId2442" ref="N1607"/>
    <hyperlink r:id="rId2443" ref="M1608"/>
    <hyperlink r:id="rId2444" ref="P1608"/>
    <hyperlink r:id="rId2445" ref="M1609"/>
    <hyperlink r:id="rId2446" ref="P1610"/>
    <hyperlink r:id="rId2447" ref="M1611"/>
    <hyperlink r:id="rId2448" location="photo-16221189" ref="M1612"/>
    <hyperlink r:id="rId2449" ref="M1613"/>
    <hyperlink r:id="rId2450" ref="P1613"/>
    <hyperlink r:id="rId2451" ref="M1614"/>
    <hyperlink r:id="rId2452" ref="M1615"/>
    <hyperlink r:id="rId2453" ref="M1616"/>
    <hyperlink r:id="rId2454" ref="M1617"/>
    <hyperlink r:id="rId2455" ref="M1618"/>
    <hyperlink r:id="rId2456" ref="M1619"/>
    <hyperlink r:id="rId2457" ref="M1620"/>
    <hyperlink r:id="rId2458" ref="M1621"/>
    <hyperlink r:id="rId2459" ref="M1622"/>
    <hyperlink r:id="rId2460" ref="M1623"/>
    <hyperlink r:id="rId2461" ref="M1624"/>
    <hyperlink r:id="rId2462" ref="P1624"/>
    <hyperlink r:id="rId2463" ref="M1625"/>
    <hyperlink r:id="rId2464" ref="P1625"/>
    <hyperlink r:id="rId2465" ref="M1626"/>
    <hyperlink r:id="rId2466" ref="M1627"/>
    <hyperlink r:id="rId2467" ref="M1628"/>
    <hyperlink r:id="rId2468" ref="M1629"/>
    <hyperlink r:id="rId2469" ref="M1630"/>
    <hyperlink r:id="rId2470" ref="M1631"/>
    <hyperlink r:id="rId2471" ref="M1632"/>
    <hyperlink r:id="rId2472" ref="M1633"/>
    <hyperlink r:id="rId2473" ref="M1635"/>
    <hyperlink r:id="rId2474" ref="N1635"/>
    <hyperlink r:id="rId2475" ref="P1635"/>
    <hyperlink r:id="rId2476" ref="M1636"/>
    <hyperlink r:id="rId2477" ref="M1637"/>
    <hyperlink r:id="rId2478" ref="M1638"/>
    <hyperlink r:id="rId2479" ref="M1639"/>
    <hyperlink r:id="rId2480" ref="M1640"/>
    <hyperlink r:id="rId2481" ref="M1641"/>
    <hyperlink r:id="rId2482" ref="M1642"/>
    <hyperlink r:id="rId2483" ref="M1643"/>
    <hyperlink r:id="rId2484" ref="N1644"/>
    <hyperlink r:id="rId2485" ref="P1644"/>
    <hyperlink r:id="rId2486" ref="W1644"/>
    <hyperlink r:id="rId2487" ref="M1645"/>
    <hyperlink r:id="rId2488" ref="M1646"/>
    <hyperlink r:id="rId2489" ref="M1647"/>
    <hyperlink r:id="rId2490" ref="M1648"/>
    <hyperlink r:id="rId2491" ref="M1649"/>
    <hyperlink r:id="rId2492" ref="M1650"/>
    <hyperlink r:id="rId2493" ref="M1651"/>
    <hyperlink r:id="rId2494" ref="N1651"/>
    <hyperlink r:id="rId2495" ref="M1652"/>
    <hyperlink r:id="rId2496" ref="N1653"/>
    <hyperlink r:id="rId2497" ref="W1653"/>
    <hyperlink r:id="rId2498" ref="X1653"/>
    <hyperlink r:id="rId2499" ref="M1654"/>
    <hyperlink r:id="rId2500" ref="M1655"/>
    <hyperlink r:id="rId2501" ref="M1656"/>
    <hyperlink r:id="rId2502" ref="M1657"/>
    <hyperlink r:id="rId2503" ref="M1658"/>
    <hyperlink r:id="rId2504" ref="N1658"/>
    <hyperlink r:id="rId2505" ref="P1658"/>
    <hyperlink r:id="rId2506" ref="M1659"/>
    <hyperlink r:id="rId2507" ref="M1660"/>
    <hyperlink r:id="rId2508" ref="M1661"/>
    <hyperlink r:id="rId2509" ref="M1662"/>
    <hyperlink r:id="rId2510" ref="M1663"/>
    <hyperlink r:id="rId2511" ref="M1664"/>
    <hyperlink r:id="rId2512" ref="M1665"/>
    <hyperlink r:id="rId2513" ref="M1666"/>
    <hyperlink r:id="rId2514" ref="M1667"/>
    <hyperlink r:id="rId2515" ref="P1667"/>
    <hyperlink r:id="rId2516" ref="M1668"/>
    <hyperlink r:id="rId2517" ref="N1668"/>
    <hyperlink r:id="rId2518" ref="P1668"/>
    <hyperlink r:id="rId2519" ref="M1669"/>
    <hyperlink r:id="rId2520" ref="P1669"/>
    <hyperlink r:id="rId2521" ref="M1670"/>
    <hyperlink r:id="rId2522" ref="W1670"/>
    <hyperlink r:id="rId2523" ref="X1670"/>
    <hyperlink r:id="rId2524" ref="M1671"/>
    <hyperlink r:id="rId2525" ref="M1672"/>
    <hyperlink r:id="rId2526" ref="M1673"/>
    <hyperlink r:id="rId2527" ref="M1675"/>
    <hyperlink r:id="rId2528" ref="M1676"/>
    <hyperlink r:id="rId2529" ref="N1676"/>
    <hyperlink r:id="rId2530" ref="M1677"/>
    <hyperlink r:id="rId2531" ref="M1678"/>
    <hyperlink r:id="rId2532" ref="M1679"/>
    <hyperlink r:id="rId2533" ref="M1680"/>
    <hyperlink r:id="rId2534" ref="M1681"/>
    <hyperlink r:id="rId2535" ref="M1682"/>
    <hyperlink r:id="rId2536" ref="M1683"/>
    <hyperlink r:id="rId2537" ref="M1684"/>
    <hyperlink r:id="rId2538" ref="M1685"/>
    <hyperlink r:id="rId2539" ref="N1685"/>
    <hyperlink r:id="rId2540" ref="P1685"/>
    <hyperlink r:id="rId2541" ref="P1686"/>
    <hyperlink r:id="rId2542" ref="W1686"/>
    <hyperlink r:id="rId2543" ref="N1687"/>
    <hyperlink r:id="rId2544" ref="P1687"/>
    <hyperlink r:id="rId2545" ref="M1688"/>
    <hyperlink r:id="rId2546" ref="P1688"/>
    <hyperlink r:id="rId2547" ref="M1690"/>
    <hyperlink r:id="rId2548" ref="M1691"/>
    <hyperlink r:id="rId2549" ref="M1692"/>
    <hyperlink r:id="rId2550" ref="M1693"/>
    <hyperlink r:id="rId2551" ref="M1694"/>
    <hyperlink r:id="rId2552" ref="M1695"/>
    <hyperlink r:id="rId2553" ref="M1696"/>
    <hyperlink r:id="rId2554" ref="M1697"/>
    <hyperlink r:id="rId2555" ref="P1697"/>
    <hyperlink r:id="rId2556" ref="P1698"/>
    <hyperlink r:id="rId2557" ref="M1699"/>
    <hyperlink r:id="rId2558" ref="M1700"/>
    <hyperlink r:id="rId2559" ref="M1701"/>
    <hyperlink r:id="rId2560" ref="M1702"/>
    <hyperlink r:id="rId2561" ref="M1703"/>
    <hyperlink r:id="rId2562" ref="M1704"/>
    <hyperlink r:id="rId2563" ref="M1705"/>
    <hyperlink r:id="rId2564" ref="M1706"/>
    <hyperlink r:id="rId2565" ref="M1707"/>
    <hyperlink r:id="rId2566" ref="N1707"/>
    <hyperlink r:id="rId2567" ref="M1709"/>
    <hyperlink r:id="rId2568" ref="P1709"/>
    <hyperlink r:id="rId2569" ref="M1710"/>
    <hyperlink r:id="rId2570" ref="M1711"/>
    <hyperlink r:id="rId2571" ref="M1712"/>
    <hyperlink r:id="rId2572" ref="N1712"/>
    <hyperlink r:id="rId2573" ref="P1712"/>
    <hyperlink r:id="rId2574" ref="M1713"/>
    <hyperlink r:id="rId2575" ref="M1714"/>
    <hyperlink r:id="rId2576" ref="M1715"/>
    <hyperlink r:id="rId2577" ref="M1716"/>
    <hyperlink r:id="rId2578" ref="M1718"/>
    <hyperlink r:id="rId2579" ref="M1719"/>
    <hyperlink r:id="rId2580" ref="M1720"/>
    <hyperlink r:id="rId2581" ref="M1721"/>
    <hyperlink r:id="rId2582" ref="M1722"/>
    <hyperlink r:id="rId2583" ref="M1723"/>
    <hyperlink r:id="rId2584" ref="M1724"/>
    <hyperlink r:id="rId2585" ref="M1725"/>
    <hyperlink r:id="rId2586" ref="P1726"/>
    <hyperlink r:id="rId2587" ref="M1727"/>
    <hyperlink r:id="rId2588" ref="M1728"/>
    <hyperlink r:id="rId2589" ref="P1728"/>
    <hyperlink r:id="rId2590" ref="M1729"/>
    <hyperlink r:id="rId2591" ref="P1729"/>
    <hyperlink r:id="rId2592" ref="M1730"/>
    <hyperlink r:id="rId2593" ref="M1731"/>
    <hyperlink r:id="rId2594" ref="M1732"/>
    <hyperlink r:id="rId2595" ref="P1732"/>
    <hyperlink r:id="rId2596" ref="M1733"/>
    <hyperlink r:id="rId2597" ref="M1734"/>
    <hyperlink r:id="rId2598" ref="P1734"/>
    <hyperlink r:id="rId2599" ref="M1735"/>
    <hyperlink r:id="rId2600" ref="P1735"/>
    <hyperlink r:id="rId2601" ref="M1736"/>
    <hyperlink r:id="rId2602" ref="M1737"/>
    <hyperlink r:id="rId2603" ref="M1738"/>
    <hyperlink r:id="rId2604" ref="M1739"/>
    <hyperlink r:id="rId2605" ref="M1740"/>
    <hyperlink r:id="rId2606" ref="M1741"/>
    <hyperlink r:id="rId2607" ref="N1742"/>
    <hyperlink r:id="rId2608" ref="W1742"/>
    <hyperlink r:id="rId2609" ref="X1742"/>
    <hyperlink r:id="rId2610" ref="M1743"/>
    <hyperlink r:id="rId2611" ref="M1744"/>
    <hyperlink r:id="rId2612" ref="M1745"/>
    <hyperlink r:id="rId2613" ref="P1745"/>
    <hyperlink r:id="rId2614" ref="M1746"/>
    <hyperlink r:id="rId2615" ref="P1746"/>
    <hyperlink r:id="rId2616" ref="M1747"/>
    <hyperlink r:id="rId2617" ref="N1747"/>
    <hyperlink r:id="rId2618" ref="M1748"/>
    <hyperlink r:id="rId2619" ref="P1748"/>
    <hyperlink r:id="rId2620" ref="P1749"/>
    <hyperlink r:id="rId2621" ref="M1750"/>
    <hyperlink r:id="rId2622" ref="M1751"/>
    <hyperlink r:id="rId2623" ref="M1752"/>
    <hyperlink r:id="rId2624" ref="P1753"/>
    <hyperlink r:id="rId2625" ref="M1754"/>
    <hyperlink r:id="rId2626" ref="M1755"/>
    <hyperlink r:id="rId2627" ref="M1756"/>
    <hyperlink r:id="rId2628" ref="M1757"/>
    <hyperlink r:id="rId2629" ref="M1758"/>
    <hyperlink r:id="rId2630" ref="M1759"/>
    <hyperlink r:id="rId2631" ref="P1759"/>
    <hyperlink r:id="rId2632" ref="M1760"/>
    <hyperlink r:id="rId2633" ref="P1760"/>
    <hyperlink r:id="rId2634" ref="M1761"/>
    <hyperlink r:id="rId2635" ref="M1762"/>
    <hyperlink r:id="rId2636" ref="M1763"/>
    <hyperlink r:id="rId2637" ref="M1764"/>
    <hyperlink r:id="rId2638" ref="M1765"/>
    <hyperlink r:id="rId2639" ref="M1766"/>
    <hyperlink r:id="rId2640" ref="M1767"/>
    <hyperlink r:id="rId2641" ref="M1768"/>
    <hyperlink r:id="rId2642" ref="M1769"/>
    <hyperlink r:id="rId2643" location="anchor_item_1" ref="M1770"/>
    <hyperlink r:id="rId2644" ref="M1771"/>
    <hyperlink r:id="rId2645" ref="M1772"/>
    <hyperlink r:id="rId2646" ref="N1772"/>
    <hyperlink r:id="rId2647" ref="M1773"/>
    <hyperlink r:id="rId2648" ref="P1773"/>
    <hyperlink r:id="rId2649" ref="M1774"/>
    <hyperlink r:id="rId2650" ref="M1775"/>
    <hyperlink r:id="rId2651" ref="M1776"/>
    <hyperlink r:id="rId2652" ref="M1777"/>
    <hyperlink r:id="rId2653" ref="M1778"/>
    <hyperlink r:id="rId2654" ref="P1778"/>
    <hyperlink r:id="rId2655" ref="M1779"/>
    <hyperlink r:id="rId2656" ref="M1780"/>
    <hyperlink r:id="rId2657" ref="N1780"/>
    <hyperlink r:id="rId2658" ref="P1780"/>
    <hyperlink r:id="rId2659" ref="W1780"/>
    <hyperlink r:id="rId2660" ref="M1781"/>
    <hyperlink r:id="rId2661" ref="M1782"/>
    <hyperlink r:id="rId2662" ref="M1783"/>
    <hyperlink r:id="rId2663" ref="M1784"/>
    <hyperlink r:id="rId2664" ref="M1785"/>
    <hyperlink r:id="rId2665" ref="M1786"/>
    <hyperlink r:id="rId2666" ref="M1787"/>
    <hyperlink r:id="rId2667" ref="M1788"/>
    <hyperlink r:id="rId2668" ref="M1789"/>
    <hyperlink r:id="rId2669" ref="M1790"/>
    <hyperlink r:id="rId2670" ref="N1790"/>
    <hyperlink r:id="rId2671" ref="P1790"/>
    <hyperlink r:id="rId2672" ref="W1790"/>
    <hyperlink r:id="rId2673" ref="X1790"/>
    <hyperlink r:id="rId2674" ref="M1791"/>
    <hyperlink r:id="rId2675" ref="N1791"/>
    <hyperlink r:id="rId2676" ref="M1792"/>
    <hyperlink r:id="rId2677" ref="P1792"/>
    <hyperlink r:id="rId2678" ref="M1793"/>
    <hyperlink r:id="rId2679" ref="P1793"/>
    <hyperlink r:id="rId2680" ref="M1794"/>
    <hyperlink r:id="rId2681" ref="M1795"/>
    <hyperlink r:id="rId2682" ref="M1796"/>
    <hyperlink r:id="rId2683" ref="M1797"/>
    <hyperlink r:id="rId2684" ref="M1798"/>
    <hyperlink r:id="rId2685" ref="M1799"/>
    <hyperlink r:id="rId2686" ref="P1799"/>
    <hyperlink r:id="rId2687" ref="M1800"/>
    <hyperlink r:id="rId2688" ref="M1802"/>
    <hyperlink r:id="rId2689" ref="P1802"/>
    <hyperlink r:id="rId2690" ref="M1803"/>
    <hyperlink r:id="rId2691" ref="M1804"/>
    <hyperlink r:id="rId2692" ref="M1805"/>
    <hyperlink r:id="rId2693" ref="M1806"/>
    <hyperlink r:id="rId2694" ref="M1807"/>
    <hyperlink r:id="rId2695" ref="M1808"/>
    <hyperlink r:id="rId2696" ref="M1809"/>
    <hyperlink r:id="rId2697" ref="M1810"/>
    <hyperlink r:id="rId2698" ref="P1810"/>
    <hyperlink r:id="rId2699" ref="M1811"/>
    <hyperlink r:id="rId2700" ref="P1811"/>
    <hyperlink r:id="rId2701" ref="M1812"/>
    <hyperlink r:id="rId2702" ref="P1812"/>
    <hyperlink r:id="rId2703" ref="M1813"/>
    <hyperlink r:id="rId2704" ref="M1814"/>
    <hyperlink r:id="rId2705" ref="M1815"/>
    <hyperlink r:id="rId2706" ref="P1815"/>
    <hyperlink r:id="rId2707" ref="M1816"/>
    <hyperlink r:id="rId2708" ref="P1816"/>
    <hyperlink r:id="rId2709" ref="W1817"/>
    <hyperlink r:id="rId2710" ref="X1817"/>
    <hyperlink r:id="rId2711" ref="N1819"/>
    <hyperlink r:id="rId2712" ref="M1820"/>
    <hyperlink r:id="rId2713" ref="N1821"/>
    <hyperlink r:id="rId2714" ref="M1822"/>
    <hyperlink r:id="rId2715" ref="N1822"/>
    <hyperlink r:id="rId2716" ref="P1822"/>
    <hyperlink r:id="rId2717" ref="M1823"/>
    <hyperlink r:id="rId2718" ref="N1823"/>
    <hyperlink r:id="rId2719" ref="M1824"/>
    <hyperlink r:id="rId2720" ref="M1825"/>
    <hyperlink r:id="rId2721" ref="M1826"/>
    <hyperlink r:id="rId2722" ref="M1827"/>
    <hyperlink r:id="rId2723" ref="N1827"/>
    <hyperlink r:id="rId2724" ref="P1827"/>
    <hyperlink r:id="rId2725" ref="M1828"/>
    <hyperlink r:id="rId2726" ref="M1829"/>
    <hyperlink r:id="rId2727" ref="M1830"/>
    <hyperlink r:id="rId2728" ref="M1831"/>
    <hyperlink r:id="rId2729" ref="M1832"/>
    <hyperlink r:id="rId2730" ref="M1833"/>
    <hyperlink r:id="rId2731" ref="M1834"/>
    <hyperlink r:id="rId2732" location="1" ref="M1835"/>
    <hyperlink r:id="rId2733" ref="M1836"/>
    <hyperlink r:id="rId2734" ref="M1837"/>
    <hyperlink r:id="rId2735" ref="P1837"/>
    <hyperlink r:id="rId2736" ref="M1838"/>
    <hyperlink r:id="rId2737" ref="N1838"/>
    <hyperlink r:id="rId2738" ref="P1838"/>
    <hyperlink r:id="rId2739" ref="M1839"/>
    <hyperlink r:id="rId2740" ref="N1839"/>
    <hyperlink r:id="rId2741" ref="W1839"/>
    <hyperlink r:id="rId2742" ref="X1839"/>
    <hyperlink r:id="rId2743" ref="M1840"/>
    <hyperlink r:id="rId2744" ref="M1841"/>
    <hyperlink r:id="rId2745" ref="M1842"/>
    <hyperlink r:id="rId2746" ref="M1843"/>
    <hyperlink r:id="rId2747" ref="M1844"/>
    <hyperlink r:id="rId2748" ref="M1845"/>
    <hyperlink r:id="rId2749" ref="M1846"/>
    <hyperlink r:id="rId2750" ref="M1847"/>
    <hyperlink r:id="rId2751" ref="P1849"/>
    <hyperlink r:id="rId2752" ref="M1850"/>
    <hyperlink r:id="rId2753" ref="M1851"/>
    <hyperlink r:id="rId2754" ref="M1854"/>
    <hyperlink r:id="rId2755" ref="P1854"/>
    <hyperlink r:id="rId2756" ref="M1855"/>
    <hyperlink r:id="rId2757" ref="N1855"/>
    <hyperlink r:id="rId2758" ref="W1855"/>
    <hyperlink r:id="rId2759" ref="X1855"/>
    <hyperlink r:id="rId2760" ref="M1856"/>
    <hyperlink r:id="rId2761" ref="M1857"/>
    <hyperlink r:id="rId2762" ref="M1858"/>
    <hyperlink r:id="rId2763" ref="M1859"/>
    <hyperlink r:id="rId2764" ref="M1860"/>
    <hyperlink r:id="rId2765" ref="M1861"/>
    <hyperlink r:id="rId2766" ref="P1861"/>
    <hyperlink r:id="rId2767" ref="M1862"/>
    <hyperlink r:id="rId2768" ref="M1863"/>
    <hyperlink r:id="rId2769" ref="M1864"/>
    <hyperlink r:id="rId2770" ref="M1865"/>
    <hyperlink r:id="rId2771" ref="M1866"/>
    <hyperlink r:id="rId2772" ref="M1867"/>
    <hyperlink r:id="rId2773" ref="M1868"/>
    <hyperlink r:id="rId2774" ref="M1869"/>
    <hyperlink r:id="rId2775" ref="M1870"/>
    <hyperlink r:id="rId2776" ref="N1870"/>
    <hyperlink r:id="rId2777" ref="P1870"/>
    <hyperlink r:id="rId2778" ref="M1871"/>
    <hyperlink r:id="rId2779" ref="N1871"/>
    <hyperlink r:id="rId2780" ref="P1871"/>
    <hyperlink r:id="rId2781" ref="M1872"/>
    <hyperlink r:id="rId2782" ref="M1873"/>
    <hyperlink r:id="rId2783" ref="P1874"/>
    <hyperlink r:id="rId2784" ref="M1875"/>
    <hyperlink r:id="rId2785" ref="M1876"/>
    <hyperlink r:id="rId2786" ref="M1877"/>
    <hyperlink r:id="rId2787" ref="M1878"/>
    <hyperlink r:id="rId2788" ref="M1879"/>
    <hyperlink r:id="rId2789" ref="M1880"/>
    <hyperlink r:id="rId2790" ref="M1881"/>
    <hyperlink r:id="rId2791" ref="N1882"/>
    <hyperlink r:id="rId2792" ref="P1882"/>
    <hyperlink r:id="rId2793" ref="M1883"/>
    <hyperlink r:id="rId2794" ref="M1884"/>
    <hyperlink r:id="rId2795" ref="M1886"/>
    <hyperlink r:id="rId2796" ref="P1886"/>
    <hyperlink r:id="rId2797" ref="M1887"/>
    <hyperlink r:id="rId2798" ref="P1887"/>
    <hyperlink r:id="rId2799" ref="M1888"/>
    <hyperlink r:id="rId2800" ref="P1888"/>
    <hyperlink r:id="rId2801" ref="M1889"/>
    <hyperlink r:id="rId2802" ref="P1889"/>
    <hyperlink r:id="rId2803" ref="M1890"/>
    <hyperlink r:id="rId2804" ref="P1890"/>
    <hyperlink r:id="rId2805" ref="M1891"/>
    <hyperlink r:id="rId2806" ref="P1891"/>
    <hyperlink r:id="rId2807" ref="N1892"/>
    <hyperlink r:id="rId2808" ref="P1892"/>
    <hyperlink r:id="rId2809" ref="W1892"/>
    <hyperlink r:id="rId2810" ref="M1893"/>
    <hyperlink r:id="rId2811" ref="M1894"/>
    <hyperlink r:id="rId2812" ref="M1895"/>
    <hyperlink r:id="rId2813" ref="N1895"/>
    <hyperlink r:id="rId2814" ref="P1895"/>
    <hyperlink r:id="rId2815" ref="W1895"/>
    <hyperlink r:id="rId2816" ref="X1895"/>
    <hyperlink r:id="rId2817" ref="M1897"/>
    <hyperlink r:id="rId2818" ref="M1898"/>
    <hyperlink r:id="rId2819" ref="M1899"/>
    <hyperlink r:id="rId2820" ref="P1899"/>
    <hyperlink r:id="rId2821" ref="M1900"/>
    <hyperlink r:id="rId2822" ref="M1901"/>
    <hyperlink r:id="rId2823" ref="M1902"/>
    <hyperlink r:id="rId2824" ref="M1903"/>
    <hyperlink r:id="rId2825" ref="N1903"/>
    <hyperlink r:id="rId2826" ref="M1904"/>
    <hyperlink r:id="rId2827" ref="M1905"/>
    <hyperlink r:id="rId2828" ref="M1906"/>
    <hyperlink r:id="rId2829" ref="M1907"/>
    <hyperlink r:id="rId2830" ref="M1909"/>
    <hyperlink r:id="rId2831" ref="M1910"/>
    <hyperlink r:id="rId2832" ref="M1911"/>
    <hyperlink r:id="rId2833" ref="M1912"/>
    <hyperlink r:id="rId2834" ref="P1912"/>
    <hyperlink r:id="rId2835" ref="M1913"/>
    <hyperlink r:id="rId2836" ref="P1913"/>
    <hyperlink r:id="rId2837" ref="P1914"/>
    <hyperlink r:id="rId2838" ref="M1915"/>
    <hyperlink r:id="rId2839" ref="P1915"/>
    <hyperlink r:id="rId2840" ref="M1916"/>
    <hyperlink r:id="rId2841" ref="P1916"/>
    <hyperlink r:id="rId2842" ref="M1917"/>
    <hyperlink r:id="rId2843" ref="M1918"/>
    <hyperlink r:id="rId2844" ref="P1918"/>
    <hyperlink r:id="rId2845" ref="M1919"/>
    <hyperlink r:id="rId2846" ref="P1919"/>
    <hyperlink r:id="rId2847" ref="M1920"/>
    <hyperlink r:id="rId2848" ref="M1921"/>
    <hyperlink r:id="rId2849" ref="M1922"/>
    <hyperlink r:id="rId2850" ref="P1922"/>
    <hyperlink r:id="rId2851" ref="M1923"/>
    <hyperlink r:id="rId2852" ref="M1924"/>
    <hyperlink r:id="rId2853" ref="M1925"/>
    <hyperlink r:id="rId2854" ref="P1925"/>
    <hyperlink r:id="rId2855" ref="M1926"/>
    <hyperlink r:id="rId2856" ref="N1926"/>
    <hyperlink r:id="rId2857" ref="W1926"/>
    <hyperlink r:id="rId2858" ref="X1926"/>
    <hyperlink r:id="rId2859" ref="P1927"/>
    <hyperlink r:id="rId2860" ref="M1928"/>
    <hyperlink r:id="rId2861" ref="M1929"/>
    <hyperlink r:id="rId2862" ref="M1930"/>
    <hyperlink r:id="rId2863" ref="M1931"/>
    <hyperlink r:id="rId2864" ref="N1931"/>
    <hyperlink r:id="rId2865" ref="P1931"/>
    <hyperlink r:id="rId2866" ref="M1932"/>
    <hyperlink r:id="rId2867" ref="M1933"/>
    <hyperlink r:id="rId2868" ref="P1933"/>
    <hyperlink r:id="rId2869" ref="M1934"/>
    <hyperlink r:id="rId2870" ref="M1935"/>
    <hyperlink r:id="rId2871" ref="M1936"/>
    <hyperlink r:id="rId2872" ref="N1937"/>
    <hyperlink r:id="rId2873" ref="P1937"/>
    <hyperlink r:id="rId2874" ref="N1938"/>
    <hyperlink r:id="rId2875" ref="P1938"/>
    <hyperlink r:id="rId2876" ref="M1939"/>
    <hyperlink r:id="rId2877" ref="M1940"/>
    <hyperlink r:id="rId2878" ref="M1941"/>
    <hyperlink r:id="rId2879" ref="M1942"/>
    <hyperlink r:id="rId2880" ref="P1943"/>
    <hyperlink r:id="rId2881" ref="M1944"/>
    <hyperlink r:id="rId2882" ref="P1944"/>
    <hyperlink r:id="rId2883" ref="M1945"/>
    <hyperlink r:id="rId2884" ref="P1945"/>
    <hyperlink r:id="rId2885" ref="M1946"/>
    <hyperlink r:id="rId2886" ref="M1947"/>
    <hyperlink r:id="rId2887" ref="P1948"/>
    <hyperlink r:id="rId2888" ref="M1949"/>
    <hyperlink r:id="rId2889" ref="M1950"/>
    <hyperlink r:id="rId2890" ref="M1951"/>
    <hyperlink r:id="rId2891" ref="M1952"/>
    <hyperlink r:id="rId2892" ref="P1952"/>
    <hyperlink r:id="rId2893" ref="M1953"/>
    <hyperlink r:id="rId2894" ref="M1954"/>
    <hyperlink r:id="rId2895" ref="M1955"/>
    <hyperlink r:id="rId2896" ref="M1956"/>
    <hyperlink r:id="rId2897" ref="M1957"/>
    <hyperlink r:id="rId2898" ref="M1958"/>
    <hyperlink r:id="rId2899" ref="M1959"/>
    <hyperlink r:id="rId2900" ref="P1960"/>
    <hyperlink r:id="rId2901" ref="M1961"/>
    <hyperlink r:id="rId2902" ref="M1962"/>
    <hyperlink r:id="rId2903" ref="M1963"/>
    <hyperlink r:id="rId2904" ref="N1963"/>
    <hyperlink r:id="rId2905" ref="M1965"/>
    <hyperlink r:id="rId2906" ref="N1965"/>
    <hyperlink r:id="rId2907" ref="W1965"/>
    <hyperlink r:id="rId2908" ref="X1965"/>
    <hyperlink r:id="rId2909" ref="M1966"/>
    <hyperlink r:id="rId2910" ref="M1967"/>
    <hyperlink r:id="rId2911" ref="M1968"/>
    <hyperlink r:id="rId2912" ref="M1969"/>
    <hyperlink r:id="rId2913" ref="M1970"/>
    <hyperlink r:id="rId2914" ref="M1971"/>
    <hyperlink r:id="rId2915" ref="M1972"/>
    <hyperlink r:id="rId2916" ref="M1973"/>
    <hyperlink r:id="rId2917" ref="M1974"/>
    <hyperlink r:id="rId2918" ref="N1974"/>
    <hyperlink r:id="rId2919" ref="P1974"/>
    <hyperlink r:id="rId2920" ref="M1975"/>
    <hyperlink r:id="rId2921" ref="P1975"/>
    <hyperlink r:id="rId2922" ref="M1976"/>
    <hyperlink r:id="rId2923" ref="M1977"/>
    <hyperlink r:id="rId2924" ref="M1978"/>
    <hyperlink r:id="rId2925" ref="M1979"/>
    <hyperlink r:id="rId2926" ref="M1980"/>
    <hyperlink r:id="rId2927" ref="M1981"/>
    <hyperlink r:id="rId2928" ref="M1982"/>
    <hyperlink r:id="rId2929" ref="M1983"/>
    <hyperlink r:id="rId2930" ref="M1984"/>
    <hyperlink r:id="rId2931" ref="M1985"/>
    <hyperlink r:id="rId2932" ref="M1986"/>
    <hyperlink r:id="rId2933" ref="M1987"/>
    <hyperlink r:id="rId2934" ref="M1988"/>
    <hyperlink r:id="rId2935" ref="M1989"/>
    <hyperlink r:id="rId2936" ref="M1990"/>
    <hyperlink r:id="rId2937" ref="M1991"/>
    <hyperlink r:id="rId2938" ref="M1992"/>
    <hyperlink r:id="rId2939" ref="M1994"/>
    <hyperlink r:id="rId2940" ref="M1995"/>
    <hyperlink r:id="rId2941" ref="M1996"/>
    <hyperlink r:id="rId2942" ref="M1998"/>
    <hyperlink r:id="rId2943" ref="N1999"/>
    <hyperlink r:id="rId2944" ref="P1999"/>
    <hyperlink r:id="rId2945" ref="W1999"/>
    <hyperlink r:id="rId2946" ref="M2000"/>
    <hyperlink r:id="rId2947" ref="M2001"/>
    <hyperlink r:id="rId2948" ref="M2002"/>
    <hyperlink r:id="rId2949" ref="M2003"/>
    <hyperlink r:id="rId2950" ref="M2004"/>
    <hyperlink r:id="rId2951" ref="M2005"/>
    <hyperlink r:id="rId2952" ref="M2006"/>
    <hyperlink r:id="rId2953" ref="W2007"/>
    <hyperlink r:id="rId2954" ref="X2007"/>
    <hyperlink r:id="rId2955" ref="M2008"/>
    <hyperlink r:id="rId2956" ref="M2009"/>
    <hyperlink r:id="rId2957" ref="N2009"/>
    <hyperlink r:id="rId2958" ref="M2010"/>
    <hyperlink r:id="rId2959" ref="P2010"/>
    <hyperlink r:id="rId2960" ref="W2011"/>
    <hyperlink r:id="rId2961" ref="X2011"/>
    <hyperlink r:id="rId2962" ref="M2012"/>
    <hyperlink r:id="rId2963" ref="P2012"/>
    <hyperlink r:id="rId2964" ref="M2013"/>
    <hyperlink r:id="rId2965" ref="M2014"/>
    <hyperlink r:id="rId2966" ref="M2016"/>
    <hyperlink r:id="rId2967" ref="M2017"/>
    <hyperlink r:id="rId2968" ref="M2018"/>
    <hyperlink r:id="rId2969" ref="M2019"/>
    <hyperlink r:id="rId2970" ref="N2019"/>
    <hyperlink r:id="rId2971" ref="P2019"/>
    <hyperlink r:id="rId2972" ref="M2020"/>
    <hyperlink r:id="rId2973" ref="N2020"/>
    <hyperlink r:id="rId2974" ref="W2020"/>
    <hyperlink r:id="rId2975" ref="X2020"/>
    <hyperlink r:id="rId2976" ref="M2021"/>
    <hyperlink r:id="rId2977" ref="M2022"/>
    <hyperlink r:id="rId2978" ref="N2022"/>
    <hyperlink r:id="rId2979" ref="M2023"/>
    <hyperlink r:id="rId2980" ref="P2023"/>
    <hyperlink r:id="rId2981" ref="M2024"/>
    <hyperlink r:id="rId2982" ref="N2024"/>
    <hyperlink r:id="rId2983" ref="P2025"/>
    <hyperlink r:id="rId2984" ref="M2026"/>
    <hyperlink r:id="rId2985" ref="M2027"/>
    <hyperlink r:id="rId2986" ref="N2027"/>
    <hyperlink r:id="rId2987" ref="P2028"/>
    <hyperlink r:id="rId2988" ref="M2029"/>
    <hyperlink r:id="rId2989" ref="P2029"/>
    <hyperlink r:id="rId2990" ref="M2030"/>
    <hyperlink r:id="rId2991" ref="P2030"/>
    <hyperlink r:id="rId2992" ref="M2031"/>
    <hyperlink r:id="rId2993" ref="P2031"/>
    <hyperlink r:id="rId2994" ref="M2032"/>
    <hyperlink r:id="rId2995" ref="P2032"/>
    <hyperlink r:id="rId2996" ref="M2033"/>
    <hyperlink r:id="rId2997" ref="P2033"/>
    <hyperlink r:id="rId2998" ref="M2034"/>
    <hyperlink r:id="rId2999" ref="M2035"/>
    <hyperlink r:id="rId3000" ref="M2036"/>
    <hyperlink r:id="rId3001" ref="P2036"/>
    <hyperlink r:id="rId3002" ref="P2037"/>
    <hyperlink r:id="rId3003" ref="P2038"/>
    <hyperlink r:id="rId3004" ref="M2039"/>
    <hyperlink r:id="rId3005" ref="M2040"/>
    <hyperlink r:id="rId3006" ref="P2040"/>
    <hyperlink r:id="rId3007" ref="M2041"/>
    <hyperlink r:id="rId3008" ref="P2042"/>
    <hyperlink r:id="rId3009" ref="N2043"/>
    <hyperlink r:id="rId3010" ref="P2043"/>
    <hyperlink r:id="rId3011" ref="P2044"/>
    <hyperlink r:id="rId3012" ref="M2045"/>
    <hyperlink r:id="rId3013" ref="N2045"/>
    <hyperlink r:id="rId3014" ref="W2045"/>
    <hyperlink r:id="rId3015" ref="M2048"/>
    <hyperlink r:id="rId3016" ref="M2049"/>
    <hyperlink r:id="rId3017" ref="N2049"/>
    <hyperlink r:id="rId3018" ref="W2049"/>
    <hyperlink r:id="rId3019" ref="X2049"/>
    <hyperlink r:id="rId3020" ref="M2050"/>
    <hyperlink r:id="rId3021" ref="N2050"/>
    <hyperlink r:id="rId3022" ref="M2051"/>
    <hyperlink r:id="rId3023" ref="M2052"/>
    <hyperlink r:id="rId3024" ref="N2052"/>
    <hyperlink r:id="rId3025" ref="W2052"/>
    <hyperlink r:id="rId3026" ref="X2052"/>
    <hyperlink r:id="rId3027" ref="M2053"/>
    <hyperlink r:id="rId3028" ref="P2054"/>
    <hyperlink r:id="rId3029" ref="M2055"/>
    <hyperlink r:id="rId3030" ref="M2056"/>
    <hyperlink r:id="rId3031" ref="W2056"/>
    <hyperlink r:id="rId3032" ref="X2056"/>
    <hyperlink r:id="rId3033" ref="M2057"/>
    <hyperlink r:id="rId3034" ref="M2059"/>
    <hyperlink r:id="rId3035" ref="M2061"/>
    <hyperlink r:id="rId3036" ref="N2061"/>
    <hyperlink r:id="rId3037" ref="W2061"/>
    <hyperlink r:id="rId3038" ref="X2061"/>
    <hyperlink r:id="rId3039" ref="M2062"/>
    <hyperlink r:id="rId3040" ref="M2063"/>
    <hyperlink r:id="rId3041" ref="M2064"/>
    <hyperlink r:id="rId3042" ref="P2064"/>
    <hyperlink r:id="rId3043" ref="M2065"/>
    <hyperlink r:id="rId3044" ref="M2066"/>
    <hyperlink r:id="rId3045" ref="W2066"/>
    <hyperlink r:id="rId3046" ref="X2066"/>
    <hyperlink r:id="rId3047" ref="M2067"/>
    <hyperlink r:id="rId3048" ref="N2068"/>
    <hyperlink r:id="rId3049" ref="M2069"/>
    <hyperlink r:id="rId3050" ref="M2070"/>
    <hyperlink r:id="rId3051" ref="M2071"/>
    <hyperlink r:id="rId3052" ref="M2072"/>
    <hyperlink r:id="rId3053" ref="P2072"/>
    <hyperlink r:id="rId3054" ref="M2073"/>
    <hyperlink r:id="rId3055" ref="P2073"/>
    <hyperlink r:id="rId3056" ref="N2074"/>
    <hyperlink r:id="rId3057" ref="W2074"/>
    <hyperlink r:id="rId3058" ref="X2074"/>
    <hyperlink r:id="rId3059" ref="M2075"/>
    <hyperlink r:id="rId3060" ref="M2076"/>
    <hyperlink r:id="rId3061" ref="P2076"/>
    <hyperlink r:id="rId3062" ref="M2077"/>
    <hyperlink r:id="rId3063" ref="M2078"/>
    <hyperlink r:id="rId3064" ref="P2078"/>
    <hyperlink r:id="rId3065" ref="M2079"/>
    <hyperlink r:id="rId3066" ref="N2079"/>
    <hyperlink r:id="rId3067" ref="M2080"/>
    <hyperlink r:id="rId3068" ref="M2081"/>
    <hyperlink r:id="rId3069" ref="M2082"/>
    <hyperlink r:id="rId3070" ref="N2082"/>
    <hyperlink r:id="rId3071" ref="M2083"/>
    <hyperlink r:id="rId3072" ref="M2084"/>
    <hyperlink r:id="rId3073" ref="P2085"/>
    <hyperlink r:id="rId3074" ref="M2086"/>
    <hyperlink r:id="rId3075" ref="M2087"/>
    <hyperlink r:id="rId3076" ref="M2088"/>
    <hyperlink r:id="rId3077" ref="M2089"/>
    <hyperlink r:id="rId3078" ref="P2090"/>
    <hyperlink r:id="rId3079" ref="M2091"/>
    <hyperlink r:id="rId3080" ref="P2091"/>
    <hyperlink r:id="rId3081" ref="M2092"/>
    <hyperlink r:id="rId3082" ref="M2094"/>
    <hyperlink r:id="rId3083" ref="M2095"/>
    <hyperlink r:id="rId3084" ref="P2095"/>
    <hyperlink r:id="rId3085" ref="M2096"/>
    <hyperlink r:id="rId3086" ref="P2096"/>
    <hyperlink r:id="rId3087" ref="M2097"/>
    <hyperlink r:id="rId3088" ref="M2098"/>
    <hyperlink r:id="rId3089" ref="M2099"/>
    <hyperlink r:id="rId3090" ref="P2099"/>
    <hyperlink r:id="rId3091" ref="M2100"/>
    <hyperlink r:id="rId3092" ref="P2100"/>
    <hyperlink r:id="rId3093" ref="M2101"/>
    <hyperlink r:id="rId3094" ref="N2101"/>
    <hyperlink r:id="rId3095" ref="P2102"/>
    <hyperlink r:id="rId3096" ref="M2103"/>
    <hyperlink r:id="rId3097" ref="N2103"/>
    <hyperlink r:id="rId3098" ref="W2103"/>
    <hyperlink r:id="rId3099" ref="X2103"/>
    <hyperlink r:id="rId3100" ref="M2104"/>
    <hyperlink r:id="rId3101" ref="N2104"/>
    <hyperlink r:id="rId3102" ref="W2104"/>
    <hyperlink r:id="rId3103" ref="X2104"/>
    <hyperlink r:id="rId3104" ref="M2105"/>
    <hyperlink r:id="rId3105" ref="M2106"/>
    <hyperlink r:id="rId3106" ref="M2107"/>
    <hyperlink r:id="rId3107" ref="M2108"/>
    <hyperlink r:id="rId3108" ref="M2109"/>
    <hyperlink r:id="rId3109" ref="P2109"/>
    <hyperlink r:id="rId3110" ref="M2110"/>
    <hyperlink r:id="rId3111" ref="M2111"/>
    <hyperlink r:id="rId3112" ref="M2112"/>
    <hyperlink r:id="rId3113" ref="M2114"/>
    <hyperlink r:id="rId3114" ref="M2115"/>
    <hyperlink r:id="rId3115" ref="N2115"/>
    <hyperlink r:id="rId3116" ref="P2115"/>
    <hyperlink r:id="rId3117" ref="M2116"/>
    <hyperlink r:id="rId3118" ref="N2116"/>
    <hyperlink r:id="rId3119" ref="P2116"/>
    <hyperlink r:id="rId3120" ref="M2117"/>
    <hyperlink r:id="rId3121" ref="W2117"/>
    <hyperlink r:id="rId3122" ref="X2117"/>
    <hyperlink r:id="rId3123" ref="M2118"/>
    <hyperlink r:id="rId3124" ref="M2119"/>
    <hyperlink r:id="rId3125" ref="P2119"/>
    <hyperlink r:id="rId3126" ref="M2120"/>
    <hyperlink r:id="rId3127" ref="M2121"/>
    <hyperlink r:id="rId3128" ref="N2122"/>
    <hyperlink r:id="rId3129" ref="W2122"/>
    <hyperlink r:id="rId3130" ref="X2122"/>
    <hyperlink r:id="rId3131" ref="M2123"/>
    <hyperlink r:id="rId3132" ref="M2124"/>
    <hyperlink r:id="rId3133" ref="P2124"/>
    <hyperlink r:id="rId3134" ref="M2125"/>
    <hyperlink r:id="rId3135" ref="M2126"/>
    <hyperlink r:id="rId3136" ref="M2127"/>
    <hyperlink r:id="rId3137" ref="P2127"/>
    <hyperlink r:id="rId3138" ref="M2128"/>
    <hyperlink r:id="rId3139" ref="M2129"/>
    <hyperlink r:id="rId3140" ref="M2130"/>
    <hyperlink r:id="rId3141" ref="N2130"/>
    <hyperlink r:id="rId3142" ref="P2130"/>
    <hyperlink r:id="rId3143" ref="P2131"/>
    <hyperlink r:id="rId3144" ref="M2132"/>
    <hyperlink r:id="rId3145" ref="P2132"/>
    <hyperlink r:id="rId3146" ref="M2133"/>
    <hyperlink r:id="rId3147" ref="P2133"/>
    <hyperlink r:id="rId3148" ref="M2134"/>
    <hyperlink r:id="rId3149" ref="P2134"/>
    <hyperlink r:id="rId3150" ref="M2135"/>
    <hyperlink r:id="rId3151" ref="M2136"/>
    <hyperlink r:id="rId3152" ref="M2137"/>
    <hyperlink r:id="rId3153" ref="N2139"/>
    <hyperlink r:id="rId3154" ref="W2139"/>
    <hyperlink r:id="rId3155" ref="X2139"/>
    <hyperlink r:id="rId3156" ref="N2140"/>
    <hyperlink r:id="rId3157" ref="W2140"/>
    <hyperlink r:id="rId3158" ref="X2140"/>
    <hyperlink r:id="rId3159" ref="M2142"/>
    <hyperlink r:id="rId3160" ref="M2143"/>
    <hyperlink r:id="rId3161" ref="P2143"/>
    <hyperlink r:id="rId3162" ref="M2144"/>
    <hyperlink r:id="rId3163" ref="P2144"/>
    <hyperlink r:id="rId3164" ref="M2145"/>
    <hyperlink r:id="rId3165" ref="P2145"/>
    <hyperlink r:id="rId3166" ref="M2146"/>
    <hyperlink r:id="rId3167" ref="N2146"/>
    <hyperlink r:id="rId3168" ref="P2146"/>
    <hyperlink r:id="rId3169" ref="W2146"/>
    <hyperlink r:id="rId3170" ref="M2147"/>
    <hyperlink r:id="rId3171" ref="P2147"/>
    <hyperlink r:id="rId3172" ref="M2148"/>
    <hyperlink r:id="rId3173" ref="M2149"/>
    <hyperlink r:id="rId3174" ref="M2150"/>
    <hyperlink r:id="rId3175" ref="M2151"/>
    <hyperlink r:id="rId3176" ref="M2152"/>
    <hyperlink r:id="rId3177" ref="M2153"/>
    <hyperlink r:id="rId3178" ref="M2154"/>
    <hyperlink r:id="rId3179" ref="N2154"/>
    <hyperlink r:id="rId3180" ref="P2154"/>
    <hyperlink r:id="rId3181" ref="W2154"/>
    <hyperlink r:id="rId3182" ref="X2154"/>
    <hyperlink r:id="rId3183" ref="M2156"/>
    <hyperlink r:id="rId3184" ref="M2157"/>
    <hyperlink r:id="rId3185" ref="P2157"/>
    <hyperlink r:id="rId3186" ref="M2158"/>
    <hyperlink r:id="rId3187" ref="M2159"/>
    <hyperlink r:id="rId3188" ref="M2160"/>
    <hyperlink r:id="rId3189" ref="M2161"/>
    <hyperlink r:id="rId3190" ref="N2161"/>
    <hyperlink r:id="rId3191" ref="W2161"/>
    <hyperlink r:id="rId3192" ref="X2161"/>
    <hyperlink r:id="rId3193" ref="M2162"/>
    <hyperlink r:id="rId3194" ref="P2162"/>
    <hyperlink r:id="rId3195" ref="M2163"/>
    <hyperlink r:id="rId3196" ref="M2164"/>
    <hyperlink r:id="rId3197" ref="M2165"/>
    <hyperlink r:id="rId3198" ref="P2165"/>
    <hyperlink r:id="rId3199" ref="M2166"/>
    <hyperlink r:id="rId3200" ref="P2166"/>
    <hyperlink r:id="rId3201" ref="M2167"/>
    <hyperlink r:id="rId3202" ref="P2167"/>
    <hyperlink r:id="rId3203" ref="M2168"/>
    <hyperlink r:id="rId3204" ref="M2169"/>
    <hyperlink r:id="rId3205" ref="M2170"/>
    <hyperlink r:id="rId3206" ref="M2171"/>
    <hyperlink r:id="rId3207" ref="M2172"/>
    <hyperlink r:id="rId3208" ref="M2173"/>
    <hyperlink r:id="rId3209" ref="M2174"/>
    <hyperlink r:id="rId3210" ref="M2175"/>
    <hyperlink r:id="rId3211" ref="M2176"/>
    <hyperlink r:id="rId3212" ref="M2177"/>
    <hyperlink r:id="rId3213" ref="M2178"/>
    <hyperlink r:id="rId3214" ref="M2179"/>
    <hyperlink r:id="rId3215" ref="N2179"/>
    <hyperlink r:id="rId3216" ref="W2179"/>
    <hyperlink r:id="rId3217" ref="X2179"/>
    <hyperlink r:id="rId3218" ref="M2180"/>
    <hyperlink r:id="rId3219" ref="P2181"/>
    <hyperlink r:id="rId3220" ref="M2182"/>
    <hyperlink r:id="rId3221" ref="P2182"/>
    <hyperlink r:id="rId3222" ref="M2183"/>
    <hyperlink r:id="rId3223" ref="M2184"/>
    <hyperlink r:id="rId3224" ref="N2185"/>
    <hyperlink r:id="rId3225" ref="M2186"/>
    <hyperlink r:id="rId3226" ref="M2187"/>
    <hyperlink r:id="rId3227" ref="P2187"/>
    <hyperlink r:id="rId3228" ref="M2188"/>
    <hyperlink r:id="rId3229" ref="P2188"/>
    <hyperlink r:id="rId3230" ref="M2189"/>
    <hyperlink r:id="rId3231" ref="P2189"/>
    <hyperlink r:id="rId3232" ref="M2190"/>
    <hyperlink r:id="rId3233" ref="M2191"/>
    <hyperlink r:id="rId3234" ref="P2191"/>
    <hyperlink r:id="rId3235" ref="M2192"/>
    <hyperlink r:id="rId3236" ref="P2192"/>
    <hyperlink r:id="rId3237" ref="M2193"/>
    <hyperlink r:id="rId3238" ref="M2194"/>
    <hyperlink r:id="rId3239" ref="M2195"/>
    <hyperlink r:id="rId3240" ref="M2197"/>
    <hyperlink r:id="rId3241" ref="P2197"/>
    <hyperlink r:id="rId3242" ref="M2198"/>
    <hyperlink r:id="rId3243" ref="P2198"/>
    <hyperlink r:id="rId3244" ref="M2199"/>
    <hyperlink r:id="rId3245" ref="M2200"/>
    <hyperlink r:id="rId3246" ref="N2200"/>
    <hyperlink r:id="rId3247" ref="W2200"/>
    <hyperlink r:id="rId3248" ref="M2201"/>
    <hyperlink r:id="rId3249" ref="N2201"/>
    <hyperlink r:id="rId3250" ref="P2201"/>
    <hyperlink r:id="rId3251" ref="W2201"/>
    <hyperlink r:id="rId3252" ref="M2202"/>
    <hyperlink r:id="rId3253" ref="N2202"/>
    <hyperlink r:id="rId3254" ref="P2202"/>
    <hyperlink r:id="rId3255" ref="W2202"/>
    <hyperlink r:id="rId3256" ref="M2203"/>
    <hyperlink r:id="rId3257" ref="N2203"/>
    <hyperlink r:id="rId3258" ref="P2203"/>
    <hyperlink r:id="rId3259" ref="W2203"/>
    <hyperlink r:id="rId3260" ref="M2204"/>
    <hyperlink r:id="rId3261" ref="N2204"/>
    <hyperlink r:id="rId3262" ref="P2204"/>
    <hyperlink r:id="rId3263" ref="W2204"/>
    <hyperlink r:id="rId3264" ref="M2205"/>
    <hyperlink r:id="rId3265" ref="P2205"/>
    <hyperlink r:id="rId3266" ref="M2206"/>
    <hyperlink r:id="rId3267" ref="P2206"/>
    <hyperlink r:id="rId3268" ref="M2207"/>
    <hyperlink r:id="rId3269" ref="P2207"/>
    <hyperlink r:id="rId3270" ref="M2208"/>
    <hyperlink r:id="rId3271" ref="M2209"/>
    <hyperlink r:id="rId3272" ref="P2209"/>
    <hyperlink r:id="rId3273" ref="M2210"/>
    <hyperlink r:id="rId3274" ref="M2211"/>
    <hyperlink r:id="rId3275" ref="M2212"/>
    <hyperlink r:id="rId3276" ref="M2213"/>
    <hyperlink r:id="rId3277" ref="P2213"/>
    <hyperlink r:id="rId3278" ref="M2214"/>
    <hyperlink r:id="rId3279" ref="P2214"/>
    <hyperlink r:id="rId3280" ref="M2215"/>
    <hyperlink r:id="rId3281" ref="P2215"/>
    <hyperlink r:id="rId3282" ref="M2216"/>
    <hyperlink r:id="rId3283" ref="M2217"/>
    <hyperlink r:id="rId3284" ref="M2218"/>
    <hyperlink r:id="rId3285" ref="N2219"/>
    <hyperlink r:id="rId3286" ref="P2219"/>
    <hyperlink r:id="rId3287" ref="W2219"/>
    <hyperlink r:id="rId3288" ref="X2219"/>
    <hyperlink r:id="rId3289" ref="M2220"/>
    <hyperlink r:id="rId3290" ref="N2220"/>
    <hyperlink r:id="rId3291" ref="P2221"/>
    <hyperlink r:id="rId3292" ref="M2222"/>
    <hyperlink r:id="rId3293" ref="M2223"/>
    <hyperlink r:id="rId3294" ref="W2223"/>
    <hyperlink r:id="rId3295" ref="X2223"/>
    <hyperlink r:id="rId3296" ref="M2224"/>
    <hyperlink r:id="rId3297" ref="P2224"/>
    <hyperlink r:id="rId3298" ref="M2225"/>
    <hyperlink r:id="rId3299" ref="W2225"/>
    <hyperlink r:id="rId3300" ref="X2225"/>
    <hyperlink r:id="rId3301" ref="M2226"/>
    <hyperlink r:id="rId3302" ref="M2227"/>
    <hyperlink r:id="rId3303" ref="M2228"/>
    <hyperlink r:id="rId3304" ref="M2229"/>
    <hyperlink r:id="rId3305" ref="N2229"/>
    <hyperlink r:id="rId3306" ref="M2230"/>
    <hyperlink r:id="rId3307" ref="N2230"/>
    <hyperlink r:id="rId3308" ref="W2230"/>
    <hyperlink r:id="rId3309" ref="M2231"/>
    <hyperlink r:id="rId3310" ref="N2231"/>
    <hyperlink r:id="rId3311" ref="W2231"/>
    <hyperlink r:id="rId3312" ref="X2231"/>
    <hyperlink r:id="rId3313" ref="M2232"/>
    <hyperlink r:id="rId3314" ref="M2233"/>
    <hyperlink r:id="rId3315" ref="M2234"/>
    <hyperlink r:id="rId3316" ref="M2235"/>
    <hyperlink r:id="rId3317" ref="N2236"/>
    <hyperlink r:id="rId3318" ref="W2236"/>
    <hyperlink r:id="rId3319" ref="X2236"/>
    <hyperlink r:id="rId3320" ref="M2237"/>
    <hyperlink r:id="rId3321" ref="M2238"/>
    <hyperlink r:id="rId3322" ref="P2238"/>
    <hyperlink r:id="rId3323" ref="M2239"/>
    <hyperlink r:id="rId3324" ref="N2239"/>
    <hyperlink r:id="rId3325" ref="W2239"/>
    <hyperlink r:id="rId3326" ref="X2239"/>
    <hyperlink r:id="rId3327" ref="M2240"/>
    <hyperlink r:id="rId3328" ref="M2241"/>
    <hyperlink r:id="rId3329" ref="M2242"/>
    <hyperlink r:id="rId3330" ref="M2243"/>
    <hyperlink r:id="rId3331" ref="W2243"/>
    <hyperlink r:id="rId3332" ref="M2264"/>
    <hyperlink r:id="rId3333" ref="M2265"/>
    <hyperlink r:id="rId3334" ref="P2266"/>
    <hyperlink r:id="rId3335" ref="N2267"/>
    <hyperlink r:id="rId3336" ref="P2267"/>
    <hyperlink r:id="rId3337" ref="W2267"/>
    <hyperlink r:id="rId3338" ref="X2267"/>
    <hyperlink r:id="rId3339" ref="M2268"/>
    <hyperlink r:id="rId3340" ref="P2268"/>
    <hyperlink r:id="rId3341" ref="M2269"/>
    <hyperlink r:id="rId3342" ref="N2269"/>
    <hyperlink r:id="rId3343" ref="P2269"/>
    <hyperlink r:id="rId3344" ref="W2269"/>
    <hyperlink r:id="rId3345" ref="X2269"/>
    <hyperlink r:id="rId3346" ref="N2270"/>
    <hyperlink r:id="rId3347" ref="W2270"/>
    <hyperlink r:id="rId3348" ref="X2270"/>
    <hyperlink r:id="rId3349" ref="M2271"/>
    <hyperlink r:id="rId3350" ref="N2271"/>
    <hyperlink r:id="rId3351" ref="M2272"/>
    <hyperlink r:id="rId3352" ref="P2272"/>
    <hyperlink r:id="rId3353" ref="P2273"/>
    <hyperlink r:id="rId3354" ref="M2274"/>
    <hyperlink r:id="rId3355" ref="M2275"/>
    <hyperlink r:id="rId3356" ref="M2276"/>
    <hyperlink r:id="rId3357" ref="M2277"/>
    <hyperlink r:id="rId3358" ref="P2277"/>
    <hyperlink r:id="rId3359" ref="M2278"/>
    <hyperlink r:id="rId3360" ref="M2280"/>
    <hyperlink r:id="rId3361" ref="M2281"/>
    <hyperlink r:id="rId3362" ref="P2281"/>
    <hyperlink r:id="rId3363" ref="N2283"/>
    <hyperlink r:id="rId3364" ref="P2283"/>
    <hyperlink r:id="rId3365" ref="W2283"/>
    <hyperlink r:id="rId3366" ref="M2284"/>
    <hyperlink r:id="rId3367" ref="M2285"/>
    <hyperlink r:id="rId3368" ref="W2285"/>
    <hyperlink r:id="rId3369" ref="X2285"/>
    <hyperlink r:id="rId3370" ref="M2286"/>
    <hyperlink r:id="rId3371" ref="P2287"/>
    <hyperlink r:id="rId3372" ref="M2288"/>
    <hyperlink r:id="rId3373" ref="N2288"/>
    <hyperlink r:id="rId3374" ref="W2288"/>
    <hyperlink r:id="rId3375" ref="X2288"/>
    <hyperlink r:id="rId3376" ref="M2289"/>
    <hyperlink r:id="rId3377" ref="P2289"/>
    <hyperlink r:id="rId3378" ref="M2290"/>
    <hyperlink r:id="rId3379" ref="P2291"/>
    <hyperlink r:id="rId3380" ref="M2292"/>
    <hyperlink r:id="rId3381" ref="M2293"/>
    <hyperlink r:id="rId3382" ref="P2293"/>
    <hyperlink r:id="rId3383" ref="M2295"/>
    <hyperlink r:id="rId3384" ref="P2295"/>
    <hyperlink r:id="rId3385" ref="P2296"/>
    <hyperlink r:id="rId3386" ref="M2297"/>
    <hyperlink r:id="rId3387" ref="M2298"/>
    <hyperlink r:id="rId3388" ref="M2299"/>
    <hyperlink r:id="rId3389" ref="M2300"/>
    <hyperlink r:id="rId3390" ref="P2301"/>
    <hyperlink r:id="rId3391" ref="M2302"/>
    <hyperlink r:id="rId3392" ref="M2303"/>
    <hyperlink r:id="rId3393" ref="N2303"/>
    <hyperlink r:id="rId3394" ref="W2303"/>
    <hyperlink r:id="rId3395" ref="X2303"/>
    <hyperlink r:id="rId3396" ref="M2304"/>
    <hyperlink r:id="rId3397" ref="P2304"/>
    <hyperlink r:id="rId3398" ref="M2306"/>
    <hyperlink r:id="rId3399" ref="M2307"/>
    <hyperlink r:id="rId3400" ref="P2307"/>
    <hyperlink r:id="rId3401" ref="M2308"/>
    <hyperlink r:id="rId3402" ref="M2309"/>
    <hyperlink r:id="rId3403" ref="P2309"/>
    <hyperlink r:id="rId3404" ref="M2310"/>
    <hyperlink r:id="rId3405" ref="N2310"/>
    <hyperlink r:id="rId3406" ref="P2310"/>
    <hyperlink r:id="rId3407" ref="W2310"/>
    <hyperlink r:id="rId3408" ref="M2311"/>
    <hyperlink r:id="rId3409" ref="N2311"/>
    <hyperlink r:id="rId3410" ref="W2311"/>
    <hyperlink r:id="rId3411" ref="M2312"/>
    <hyperlink r:id="rId3412" ref="N2312"/>
    <hyperlink r:id="rId3413" ref="P2312"/>
    <hyperlink r:id="rId3414" ref="W2312"/>
    <hyperlink r:id="rId3415" ref="M2313"/>
    <hyperlink r:id="rId3416" ref="N2313"/>
    <hyperlink r:id="rId3417" ref="P2313"/>
    <hyperlink r:id="rId3418" ref="W2313"/>
    <hyperlink r:id="rId3419" ref="M2314"/>
    <hyperlink r:id="rId3420" ref="N2314"/>
    <hyperlink r:id="rId3421" ref="P2314"/>
    <hyperlink r:id="rId3422" ref="W2314"/>
    <hyperlink r:id="rId3423" ref="M2315"/>
    <hyperlink r:id="rId3424" ref="N2315"/>
    <hyperlink r:id="rId3425" ref="P2315"/>
    <hyperlink r:id="rId3426" ref="W2315"/>
    <hyperlink r:id="rId3427" ref="M2316"/>
    <hyperlink r:id="rId3428" ref="N2316"/>
    <hyperlink r:id="rId3429" ref="P2316"/>
    <hyperlink r:id="rId3430" ref="W2316"/>
    <hyperlink r:id="rId3431" ref="M2317"/>
    <hyperlink r:id="rId3432" ref="N2317"/>
    <hyperlink r:id="rId3433" ref="P2317"/>
    <hyperlink r:id="rId3434" ref="W2317"/>
    <hyperlink r:id="rId3435" ref="M2318"/>
    <hyperlink r:id="rId3436" ref="N2318"/>
    <hyperlink r:id="rId3437" ref="P2318"/>
    <hyperlink r:id="rId3438" ref="W2318"/>
    <hyperlink r:id="rId3439" ref="M2319"/>
    <hyperlink r:id="rId3440" ref="N2319"/>
    <hyperlink r:id="rId3441" ref="P2319"/>
    <hyperlink r:id="rId3442" ref="W2319"/>
    <hyperlink r:id="rId3443" ref="M2320"/>
    <hyperlink r:id="rId3444" ref="N2320"/>
    <hyperlink r:id="rId3445" ref="P2320"/>
    <hyperlink r:id="rId3446" ref="W2320"/>
    <hyperlink r:id="rId3447" ref="M2321"/>
    <hyperlink r:id="rId3448" ref="M2322"/>
    <hyperlink r:id="rId3449" ref="M2323"/>
    <hyperlink r:id="rId3450" ref="P2323"/>
    <hyperlink r:id="rId3451" ref="M2324"/>
    <hyperlink r:id="rId3452" ref="M2328"/>
    <hyperlink r:id="rId3453" ref="M2329"/>
    <hyperlink r:id="rId3454" ref="M2330"/>
    <hyperlink r:id="rId3455" ref="M2331"/>
    <hyperlink r:id="rId3456" ref="N2331"/>
    <hyperlink r:id="rId3457" ref="W2331"/>
    <hyperlink r:id="rId3458" ref="X2331"/>
    <hyperlink r:id="rId3459" ref="M2332"/>
    <hyperlink r:id="rId3460" ref="P2332"/>
    <hyperlink r:id="rId3461" ref="M2333"/>
    <hyperlink r:id="rId3462" ref="N2334"/>
    <hyperlink r:id="rId3463" ref="W2334"/>
    <hyperlink r:id="rId3464" ref="X2334"/>
    <hyperlink r:id="rId3465" ref="M2335"/>
    <hyperlink r:id="rId3466" ref="M2336"/>
    <hyperlink r:id="rId3467" ref="W2336"/>
    <hyperlink r:id="rId3468" ref="X2336"/>
    <hyperlink r:id="rId3469" ref="M2337"/>
    <hyperlink r:id="rId3470" ref="M2338"/>
    <hyperlink r:id="rId3471" ref="P2339"/>
    <hyperlink r:id="rId3472" ref="M2340"/>
    <hyperlink r:id="rId3473" ref="P2340"/>
    <hyperlink r:id="rId3474" ref="M2341"/>
    <hyperlink r:id="rId3475" ref="P2341"/>
    <hyperlink r:id="rId3476" ref="M2342"/>
    <hyperlink r:id="rId3477" ref="N2343"/>
    <hyperlink r:id="rId3478" ref="W2343"/>
    <hyperlink r:id="rId3479" ref="X2343"/>
    <hyperlink r:id="rId3480" ref="M2345"/>
    <hyperlink r:id="rId3481" ref="P2345"/>
    <hyperlink r:id="rId3482" ref="M2346"/>
    <hyperlink r:id="rId3483" ref="P2346"/>
    <hyperlink r:id="rId3484" ref="M2347"/>
    <hyperlink r:id="rId3485" ref="P2347"/>
    <hyperlink r:id="rId3486" ref="P2348"/>
    <hyperlink r:id="rId3487" ref="M2349"/>
    <hyperlink r:id="rId3488" ref="M2350"/>
    <hyperlink r:id="rId3489" ref="M2351"/>
    <hyperlink r:id="rId3490" ref="M2352"/>
    <hyperlink r:id="rId3491" ref="M2353"/>
    <hyperlink r:id="rId3492" ref="M2354"/>
    <hyperlink r:id="rId3493" ref="N2355"/>
    <hyperlink r:id="rId3494" ref="W2355"/>
    <hyperlink r:id="rId3495" ref="X2355"/>
    <hyperlink r:id="rId3496" ref="X2356"/>
    <hyperlink r:id="rId3497" ref="M2357"/>
    <hyperlink r:id="rId3498" ref="P2357"/>
    <hyperlink r:id="rId3499" ref="M2358"/>
    <hyperlink r:id="rId3500" ref="M2359"/>
    <hyperlink r:id="rId3501" ref="M2361"/>
    <hyperlink r:id="rId3502" ref="M2362"/>
    <hyperlink r:id="rId3503" ref="M2363"/>
    <hyperlink r:id="rId3504" ref="M2364"/>
    <hyperlink r:id="rId3505" ref="M2365"/>
    <hyperlink r:id="rId3506" ref="P2365"/>
    <hyperlink r:id="rId3507" ref="N2366"/>
    <hyperlink r:id="rId3508" ref="W2366"/>
    <hyperlink r:id="rId3509" ref="X2366"/>
    <hyperlink r:id="rId3510" ref="P2367"/>
    <hyperlink r:id="rId3511" ref="W2367"/>
    <hyperlink r:id="rId3512" ref="X2367"/>
    <hyperlink r:id="rId3513" ref="P2368"/>
    <hyperlink r:id="rId3514" ref="M2369"/>
    <hyperlink r:id="rId3515" ref="P2370"/>
    <hyperlink r:id="rId3516" ref="M2371"/>
    <hyperlink r:id="rId3517" ref="M2372"/>
    <hyperlink r:id="rId3518" ref="P2372"/>
    <hyperlink r:id="rId3519" ref="W2372"/>
    <hyperlink r:id="rId3520" ref="X2372"/>
    <hyperlink r:id="rId3521" ref="P2373"/>
    <hyperlink r:id="rId3522" ref="M2374"/>
    <hyperlink r:id="rId3523" ref="M2375"/>
    <hyperlink r:id="rId3524" ref="P2375"/>
    <hyperlink r:id="rId3525" ref="M2376"/>
    <hyperlink r:id="rId3526" ref="W2376"/>
    <hyperlink r:id="rId3527" ref="X2376"/>
    <hyperlink r:id="rId3528" ref="M2377"/>
    <hyperlink r:id="rId3529" ref="M2378"/>
    <hyperlink r:id="rId3530" ref="M2379"/>
    <hyperlink r:id="rId3531" ref="P2379"/>
    <hyperlink r:id="rId3532" ref="M2380"/>
    <hyperlink r:id="rId3533" ref="N2380"/>
    <hyperlink r:id="rId3534" ref="W2380"/>
    <hyperlink r:id="rId3535" ref="X2380"/>
    <hyperlink r:id="rId3536" ref="M2381"/>
    <hyperlink r:id="rId3537" ref="M2382"/>
    <hyperlink r:id="rId3538" ref="P2382"/>
    <hyperlink r:id="rId3539" ref="P2383"/>
    <hyperlink r:id="rId3540" ref="M2384"/>
    <hyperlink r:id="rId3541" ref="M2385"/>
    <hyperlink r:id="rId3542" ref="M2386"/>
    <hyperlink r:id="rId3543" ref="P2386"/>
    <hyperlink r:id="rId3544" ref="M2387"/>
    <hyperlink r:id="rId3545" ref="M2388"/>
    <hyperlink r:id="rId3546" ref="M2389"/>
    <hyperlink r:id="rId3547" ref="P2389"/>
    <hyperlink r:id="rId3548" ref="M2390"/>
    <hyperlink r:id="rId3549" ref="P2390"/>
    <hyperlink r:id="rId3550" ref="M2392"/>
    <hyperlink r:id="rId3551" ref="M2393"/>
    <hyperlink r:id="rId3552" ref="P2393"/>
    <hyperlink r:id="rId3553" ref="M2394"/>
    <hyperlink r:id="rId3554" ref="M2395"/>
    <hyperlink r:id="rId3555" ref="N2395"/>
    <hyperlink r:id="rId3556" ref="P2395"/>
    <hyperlink r:id="rId3557" ref="W2395"/>
    <hyperlink r:id="rId3558" ref="X2395"/>
    <hyperlink r:id="rId3559" ref="W2396"/>
    <hyperlink r:id="rId3560" ref="X2396"/>
    <hyperlink r:id="rId3561" ref="M2398"/>
    <hyperlink r:id="rId3562" ref="P2399"/>
    <hyperlink r:id="rId3563" ref="M2400"/>
    <hyperlink r:id="rId3564" ref="N2401"/>
    <hyperlink r:id="rId3565" ref="W2401"/>
    <hyperlink r:id="rId3566" ref="X2401"/>
    <hyperlink r:id="rId3567" ref="M2402"/>
    <hyperlink r:id="rId3568" ref="P2402"/>
    <hyperlink r:id="rId3569" ref="M2403"/>
    <hyperlink r:id="rId3570" ref="M2404"/>
    <hyperlink r:id="rId3571" ref="N2405"/>
    <hyperlink r:id="rId3572" ref="P2405"/>
    <hyperlink r:id="rId3573" ref="W2405"/>
    <hyperlink r:id="rId3574" ref="X2405"/>
    <hyperlink r:id="rId3575" ref="M2406"/>
    <hyperlink r:id="rId3576" ref="M2407"/>
    <hyperlink r:id="rId3577" ref="N2407"/>
    <hyperlink r:id="rId3578" ref="P2407"/>
    <hyperlink r:id="rId3579" ref="W2407"/>
    <hyperlink r:id="rId3580" ref="X2407"/>
    <hyperlink r:id="rId3581" ref="P2408"/>
    <hyperlink r:id="rId3582" ref="M2409"/>
    <hyperlink r:id="rId3583" ref="M2410"/>
    <hyperlink r:id="rId3584" ref="M2411"/>
    <hyperlink r:id="rId3585" ref="M2412"/>
    <hyperlink r:id="rId3586" ref="M2413"/>
    <hyperlink r:id="rId3587" ref="N2413"/>
    <hyperlink r:id="rId3588" ref="P2413"/>
    <hyperlink r:id="rId3589" ref="M2414"/>
    <hyperlink r:id="rId3590" ref="M2415"/>
    <hyperlink r:id="rId3591" ref="M2416"/>
    <hyperlink r:id="rId3592" ref="P2416"/>
    <hyperlink r:id="rId3593" ref="M2417"/>
    <hyperlink r:id="rId3594" ref="M2418"/>
    <hyperlink r:id="rId3595" ref="M2419"/>
    <hyperlink r:id="rId3596" ref="M2420"/>
    <hyperlink r:id="rId3597" ref="X2420"/>
    <hyperlink r:id="rId3598" ref="M2421"/>
    <hyperlink r:id="rId3599" ref="M2422"/>
    <hyperlink r:id="rId3600" ref="M2423"/>
    <hyperlink r:id="rId3601" ref="N2423"/>
    <hyperlink r:id="rId3602" ref="W2423"/>
    <hyperlink r:id="rId3603" ref="P2424"/>
    <hyperlink r:id="rId3604" ref="M2425"/>
    <hyperlink r:id="rId3605" ref="P2425"/>
    <hyperlink r:id="rId3606" ref="M2426"/>
    <hyperlink r:id="rId3607" ref="P2427"/>
    <hyperlink r:id="rId3608" ref="M2428"/>
    <hyperlink r:id="rId3609" ref="N2428"/>
    <hyperlink r:id="rId3610" ref="W2428"/>
    <hyperlink r:id="rId3611" ref="X2428"/>
    <hyperlink r:id="rId3612" ref="M2429"/>
    <hyperlink r:id="rId3613" ref="M2430"/>
    <hyperlink r:id="rId3614" ref="P2430"/>
    <hyperlink r:id="rId3615" ref="M2431"/>
    <hyperlink r:id="rId3616" ref="M2432"/>
    <hyperlink r:id="rId3617" ref="P2432"/>
    <hyperlink r:id="rId3618" ref="M2433"/>
    <hyperlink r:id="rId3619" ref="P2433"/>
    <hyperlink r:id="rId3620" ref="M2434"/>
    <hyperlink r:id="rId3621" ref="M2435"/>
    <hyperlink r:id="rId3622" ref="P2435"/>
    <hyperlink r:id="rId3623" ref="M2436"/>
    <hyperlink r:id="rId3624" ref="M2437"/>
    <hyperlink r:id="rId3625" ref="M2438"/>
    <hyperlink r:id="rId3626" ref="N2438"/>
    <hyperlink r:id="rId3627" ref="W2438"/>
    <hyperlink r:id="rId3628" ref="X2438"/>
    <hyperlink r:id="rId3629" ref="P2439"/>
    <hyperlink r:id="rId3630" ref="W2439"/>
    <hyperlink r:id="rId3631" ref="M2440"/>
    <hyperlink r:id="rId3632" ref="P2440"/>
    <hyperlink r:id="rId3633" ref="M2441"/>
    <hyperlink r:id="rId3634" ref="P2441"/>
    <hyperlink r:id="rId3635" ref="W2441"/>
    <hyperlink r:id="rId3636" ref="X2441"/>
    <hyperlink r:id="rId3637" ref="M2442"/>
    <hyperlink r:id="rId3638" ref="P2442"/>
    <hyperlink r:id="rId3639" ref="W2442"/>
    <hyperlink r:id="rId3640" ref="M2443"/>
    <hyperlink r:id="rId3641" ref="M2444"/>
    <hyperlink r:id="rId3642" ref="W2444"/>
    <hyperlink r:id="rId3643" ref="M2505"/>
    <hyperlink r:id="rId3644" ref="P2505"/>
    <hyperlink r:id="rId3645" ref="M2507"/>
    <hyperlink r:id="rId3646" ref="M2508"/>
    <hyperlink r:id="rId3647" ref="P2508"/>
    <hyperlink r:id="rId3648" ref="M2509"/>
    <hyperlink r:id="rId3649" ref="P2509"/>
    <hyperlink r:id="rId3650" ref="N2510"/>
    <hyperlink r:id="rId3651" ref="W2510"/>
    <hyperlink r:id="rId3652" ref="X2510"/>
    <hyperlink r:id="rId3653" ref="M2511"/>
    <hyperlink r:id="rId3654" ref="W2511"/>
    <hyperlink r:id="rId3655" ref="X2511"/>
    <hyperlink r:id="rId3656" ref="M2512"/>
    <hyperlink r:id="rId3657" ref="M2514"/>
    <hyperlink r:id="rId3658" ref="W2514"/>
    <hyperlink r:id="rId3659" ref="X2514"/>
    <hyperlink r:id="rId3660" ref="M2515"/>
    <hyperlink r:id="rId3661" ref="P2515"/>
    <hyperlink r:id="rId3662" ref="N2516"/>
    <hyperlink r:id="rId3663" ref="W2516"/>
    <hyperlink r:id="rId3664" ref="X2516"/>
    <hyperlink r:id="rId3665" ref="M2517"/>
    <hyperlink r:id="rId3666" ref="P2517"/>
    <hyperlink r:id="rId3667" ref="M2518"/>
    <hyperlink r:id="rId3668" ref="P2518"/>
    <hyperlink r:id="rId3669" ref="N2519"/>
    <hyperlink r:id="rId3670" ref="P2519"/>
    <hyperlink r:id="rId3671" ref="W2519"/>
    <hyperlink r:id="rId3672" ref="X2519"/>
    <hyperlink r:id="rId3673" ref="M2520"/>
    <hyperlink r:id="rId3674" ref="M2521"/>
    <hyperlink r:id="rId3675" ref="M2522"/>
    <hyperlink r:id="rId3676" ref="W2522"/>
    <hyperlink r:id="rId3677" ref="X2522"/>
    <hyperlink r:id="rId3678" ref="M2523"/>
    <hyperlink r:id="rId3679" ref="M2524"/>
    <hyperlink r:id="rId3680" ref="N2524"/>
    <hyperlink r:id="rId3681" ref="W2524"/>
    <hyperlink r:id="rId3682" ref="X2524"/>
    <hyperlink r:id="rId3683" ref="M2525"/>
    <hyperlink r:id="rId3684" ref="M2526"/>
    <hyperlink r:id="rId3685" ref="P2526"/>
    <hyperlink r:id="rId3686" ref="M2527"/>
    <hyperlink r:id="rId3687" ref="N2527"/>
    <hyperlink r:id="rId3688" ref="M2528"/>
    <hyperlink r:id="rId3689" ref="M2529"/>
    <hyperlink r:id="rId3690" ref="N2529"/>
    <hyperlink r:id="rId3691" ref="W2529"/>
    <hyperlink r:id="rId3692" ref="X2529"/>
    <hyperlink r:id="rId3693" ref="M2530"/>
    <hyperlink r:id="rId3694" ref="N2530"/>
    <hyperlink r:id="rId3695" ref="W2530"/>
    <hyperlink r:id="rId3696" ref="P2531"/>
    <hyperlink r:id="rId3697" ref="M2532"/>
    <hyperlink r:id="rId3698" ref="M2533"/>
    <hyperlink r:id="rId3699" ref="M2534"/>
    <hyperlink r:id="rId3700" ref="M2535"/>
    <hyperlink r:id="rId3701" ref="W2535"/>
    <hyperlink r:id="rId3702" ref="X2535"/>
    <hyperlink r:id="rId3703" ref="M2537"/>
    <hyperlink r:id="rId3704" ref="M2538"/>
    <hyperlink r:id="rId3705" ref="M2539"/>
    <hyperlink r:id="rId3706" ref="M2540"/>
    <hyperlink r:id="rId3707" ref="M2541"/>
    <hyperlink r:id="rId3708" ref="N2541"/>
    <hyperlink r:id="rId3709" ref="W2541"/>
    <hyperlink r:id="rId3710" ref="X2541"/>
    <hyperlink r:id="rId3711" ref="M2542"/>
    <hyperlink r:id="rId3712" ref="P2543"/>
    <hyperlink r:id="rId3713" ref="M2544"/>
    <hyperlink r:id="rId3714" ref="P2544"/>
    <hyperlink r:id="rId3715" ref="N2546"/>
    <hyperlink r:id="rId3716" ref="W2546"/>
    <hyperlink r:id="rId3717" ref="X2546"/>
    <hyperlink r:id="rId3718" ref="M2547"/>
    <hyperlink r:id="rId3719" ref="M2548"/>
    <hyperlink r:id="rId3720" ref="M2549"/>
    <hyperlink r:id="rId3721" ref="M2551"/>
    <hyperlink r:id="rId3722" ref="M2552"/>
    <hyperlink r:id="rId3723" ref="P2552"/>
    <hyperlink r:id="rId3724" ref="M2553"/>
    <hyperlink r:id="rId3725" ref="P2553"/>
    <hyperlink r:id="rId3726" ref="N2554"/>
    <hyperlink r:id="rId3727" ref="W2554"/>
    <hyperlink r:id="rId3728" ref="X2554"/>
    <hyperlink r:id="rId3729" ref="M2555"/>
    <hyperlink r:id="rId3730" ref="M2556"/>
    <hyperlink r:id="rId3731" ref="M2557"/>
    <hyperlink r:id="rId3732" ref="N2557"/>
    <hyperlink r:id="rId3733" ref="P2557"/>
    <hyperlink r:id="rId3734" ref="M2559"/>
    <hyperlink r:id="rId3735" ref="P2559"/>
    <hyperlink r:id="rId3736" ref="M2560"/>
    <hyperlink r:id="rId3737" ref="P2560"/>
    <hyperlink r:id="rId3738" ref="M2562"/>
    <hyperlink r:id="rId3739" ref="M2563"/>
    <hyperlink r:id="rId3740" ref="M2564"/>
    <hyperlink r:id="rId3741" ref="M2565"/>
    <hyperlink r:id="rId3742" ref="P2565"/>
    <hyperlink r:id="rId3743" ref="M2566"/>
    <hyperlink r:id="rId3744" ref="M2567"/>
    <hyperlink r:id="rId3745" ref="M2568"/>
    <hyperlink r:id="rId3746" ref="N2568"/>
    <hyperlink r:id="rId3747" ref="W2568"/>
    <hyperlink r:id="rId3748" ref="X2568"/>
    <hyperlink r:id="rId3749" ref="M2569"/>
    <hyperlink r:id="rId3750" ref="M2570"/>
    <hyperlink r:id="rId3751" ref="N2570"/>
    <hyperlink r:id="rId3752" ref="W2570"/>
    <hyperlink r:id="rId3753" ref="X2570"/>
    <hyperlink r:id="rId3754" ref="M2571"/>
    <hyperlink r:id="rId3755" ref="M2572"/>
    <hyperlink r:id="rId3756" ref="M2573"/>
    <hyperlink r:id="rId3757" ref="P2573"/>
    <hyperlink r:id="rId3758" ref="M2574"/>
    <hyperlink r:id="rId3759" ref="M2576"/>
    <hyperlink r:id="rId3760" ref="M2577"/>
    <hyperlink r:id="rId3761" ref="M2580"/>
    <hyperlink r:id="rId3762" ref="P2580"/>
    <hyperlink r:id="rId3763" ref="M2581"/>
    <hyperlink r:id="rId3764" ref="P2583"/>
    <hyperlink r:id="rId3765" ref="M2584"/>
    <hyperlink r:id="rId3766" ref="M2585"/>
    <hyperlink r:id="rId3767" ref="P2585"/>
    <hyperlink r:id="rId3768" ref="M2587"/>
    <hyperlink r:id="rId3769" ref="P2587"/>
    <hyperlink r:id="rId3770" ref="P2588"/>
    <hyperlink r:id="rId3771" ref="M2589"/>
    <hyperlink r:id="rId3772" ref="M2591"/>
    <hyperlink r:id="rId3773" ref="N2592"/>
    <hyperlink r:id="rId3774" ref="W2592"/>
    <hyperlink r:id="rId3775" ref="M2593"/>
    <hyperlink r:id="rId3776" ref="M2594"/>
    <hyperlink r:id="rId3777" ref="M2595"/>
    <hyperlink r:id="rId3778" ref="M2596"/>
    <hyperlink r:id="rId3779" ref="M2597"/>
    <hyperlink r:id="rId3780" ref="M2598"/>
    <hyperlink r:id="rId3781" ref="P2598"/>
    <hyperlink r:id="rId3782" ref="M2599"/>
    <hyperlink r:id="rId3783" ref="N2599"/>
    <hyperlink r:id="rId3784" ref="W2599"/>
    <hyperlink r:id="rId3785" ref="X2599"/>
    <hyperlink r:id="rId3786" ref="M2600"/>
    <hyperlink r:id="rId3787" ref="N2601"/>
    <hyperlink r:id="rId3788" ref="P2601"/>
    <hyperlink r:id="rId3789" ref="W2601"/>
    <hyperlink r:id="rId3790" ref="X2601"/>
    <hyperlink r:id="rId3791" ref="N2602"/>
    <hyperlink r:id="rId3792" ref="W2602"/>
    <hyperlink r:id="rId3793" ref="X2602"/>
    <hyperlink r:id="rId3794" ref="M2603"/>
    <hyperlink r:id="rId3795" ref="M2604"/>
    <hyperlink r:id="rId3796" ref="M2605"/>
    <hyperlink r:id="rId3797" ref="M2606"/>
    <hyperlink r:id="rId3798" ref="M2607"/>
    <hyperlink r:id="rId3799" ref="N2607"/>
    <hyperlink r:id="rId3800" ref="W2607"/>
    <hyperlink r:id="rId3801" ref="X2607"/>
    <hyperlink r:id="rId3802" ref="M2608"/>
    <hyperlink r:id="rId3803" ref="M2609"/>
    <hyperlink r:id="rId3804" ref="M2610"/>
    <hyperlink r:id="rId3805" ref="M2611"/>
    <hyperlink r:id="rId3806" ref="M2612"/>
    <hyperlink r:id="rId3807" ref="M2613"/>
    <hyperlink r:id="rId3808" ref="N2613"/>
    <hyperlink r:id="rId3809" ref="W2613"/>
    <hyperlink r:id="rId3810" ref="X2613"/>
    <hyperlink r:id="rId3811" ref="P2615"/>
    <hyperlink r:id="rId3812" ref="M2616"/>
    <hyperlink r:id="rId3813" ref="M2617"/>
    <hyperlink r:id="rId3814" ref="M2618"/>
    <hyperlink r:id="rId3815" ref="M2620"/>
    <hyperlink r:id="rId3816" ref="M2621"/>
    <hyperlink r:id="rId3817" ref="M2625"/>
    <hyperlink r:id="rId3818" ref="M2627"/>
    <hyperlink r:id="rId3819" ref="M2628"/>
    <hyperlink r:id="rId3820" ref="N2629"/>
    <hyperlink r:id="rId3821" ref="W2629"/>
    <hyperlink r:id="rId3822" ref="X2629"/>
    <hyperlink r:id="rId3823" ref="M2630"/>
    <hyperlink r:id="rId3824" ref="N2630"/>
    <hyperlink r:id="rId3825" ref="W2630"/>
    <hyperlink r:id="rId3826" ref="X2630"/>
    <hyperlink r:id="rId3827" ref="M2631"/>
    <hyperlink r:id="rId3828" ref="M2632"/>
    <hyperlink r:id="rId3829" ref="M2634"/>
    <hyperlink r:id="rId3830" ref="M2635"/>
    <hyperlink r:id="rId3831" ref="M2637"/>
    <hyperlink r:id="rId3832" ref="M2639"/>
    <hyperlink r:id="rId3833" ref="M2640"/>
    <hyperlink r:id="rId3834" ref="M2641"/>
    <hyperlink r:id="rId3835" ref="M2642"/>
    <hyperlink r:id="rId3836" ref="N2642"/>
    <hyperlink r:id="rId3837" ref="W2642"/>
    <hyperlink r:id="rId3838" ref="M2643"/>
    <hyperlink r:id="rId3839" ref="M2644"/>
    <hyperlink r:id="rId3840" ref="N2644"/>
    <hyperlink r:id="rId3841" ref="W2644"/>
    <hyperlink r:id="rId3842" ref="X2644"/>
    <hyperlink r:id="rId3843" ref="M2645"/>
    <hyperlink r:id="rId3844" ref="M2646"/>
    <hyperlink r:id="rId3845" ref="M2647"/>
    <hyperlink r:id="rId3846" ref="M2648"/>
    <hyperlink r:id="rId3847" ref="N2648"/>
    <hyperlink r:id="rId3848" ref="M2649"/>
    <hyperlink r:id="rId3849" ref="M2650"/>
    <hyperlink r:id="rId3850" ref="M2652"/>
    <hyperlink r:id="rId3851" ref="M2655"/>
    <hyperlink r:id="rId3852" ref="N2655"/>
    <hyperlink r:id="rId3853" ref="W2655"/>
    <hyperlink r:id="rId3854" ref="X2655"/>
    <hyperlink r:id="rId3855" ref="M2656"/>
    <hyperlink r:id="rId3856" ref="N2656"/>
    <hyperlink r:id="rId3857" ref="W2656"/>
    <hyperlink r:id="rId3858" ref="X2656"/>
    <hyperlink r:id="rId3859" ref="M2657"/>
    <hyperlink r:id="rId3860" ref="N2657"/>
    <hyperlink r:id="rId3861" ref="W2657"/>
    <hyperlink r:id="rId3862" ref="X2657"/>
    <hyperlink r:id="rId3863" ref="N2659"/>
    <hyperlink r:id="rId3864" ref="W2659"/>
    <hyperlink r:id="rId3865" ref="X2659"/>
    <hyperlink r:id="rId3866" ref="M2662"/>
    <hyperlink r:id="rId3867" ref="M2663"/>
    <hyperlink r:id="rId3868" ref="M2664"/>
    <hyperlink r:id="rId3869" ref="M2665"/>
    <hyperlink r:id="rId3870" ref="N2667"/>
    <hyperlink r:id="rId3871" ref="W2667"/>
    <hyperlink r:id="rId3872" ref="X2667"/>
    <hyperlink r:id="rId3873" ref="M2668"/>
    <hyperlink r:id="rId3874" ref="M2671"/>
    <hyperlink r:id="rId3875" ref="M2672"/>
    <hyperlink r:id="rId3876" ref="M2673"/>
    <hyperlink r:id="rId3877" ref="M2674"/>
    <hyperlink r:id="rId3878" ref="N2675"/>
    <hyperlink r:id="rId3879" ref="W2675"/>
    <hyperlink r:id="rId3880" ref="X2675"/>
    <hyperlink r:id="rId3881" ref="M2677"/>
    <hyperlink r:id="rId3882" ref="M2678"/>
    <hyperlink r:id="rId3883" ref="M2680"/>
    <hyperlink r:id="rId3884" ref="W2680"/>
    <hyperlink r:id="rId3885" ref="X2680"/>
    <hyperlink r:id="rId3886" ref="M2681"/>
    <hyperlink r:id="rId3887" ref="N2681"/>
    <hyperlink r:id="rId3888" ref="W2681"/>
    <hyperlink r:id="rId3889" ref="X2681"/>
    <hyperlink r:id="rId3890" ref="M2682"/>
    <hyperlink r:id="rId3891" ref="M2683"/>
    <hyperlink r:id="rId3892" ref="M2684"/>
    <hyperlink r:id="rId3893" ref="N2684"/>
    <hyperlink r:id="rId3894" ref="W2684"/>
    <hyperlink r:id="rId3895" ref="M2685"/>
    <hyperlink r:id="rId3896" ref="M2686"/>
    <hyperlink r:id="rId3897" ref="M2687"/>
    <hyperlink r:id="rId3898" ref="N2688"/>
    <hyperlink r:id="rId3899" ref="W2688"/>
    <hyperlink r:id="rId3900" ref="X2688"/>
    <hyperlink r:id="rId3901" ref="M2690"/>
    <hyperlink r:id="rId3902" ref="X2690"/>
    <hyperlink r:id="rId3903" ref="M2691"/>
    <hyperlink r:id="rId3904" ref="M2692"/>
    <hyperlink r:id="rId3905" ref="M2693"/>
    <hyperlink r:id="rId3906" ref="M2694"/>
    <hyperlink r:id="rId3907" ref="M2695"/>
    <hyperlink r:id="rId3908" ref="M2696"/>
    <hyperlink r:id="rId3909" ref="M2697"/>
    <hyperlink r:id="rId3910" ref="M2698"/>
    <hyperlink r:id="rId3911" ref="M2699"/>
    <hyperlink r:id="rId3912" ref="N2699"/>
    <hyperlink r:id="rId3913" ref="W2699"/>
    <hyperlink r:id="rId3914" ref="X2699"/>
    <hyperlink r:id="rId3915" ref="N2700"/>
    <hyperlink r:id="rId3916" ref="W2700"/>
    <hyperlink r:id="rId3917" ref="X2700"/>
    <hyperlink r:id="rId3918" ref="M2701"/>
    <hyperlink r:id="rId3919" ref="M2703"/>
    <hyperlink r:id="rId3920" ref="M2704"/>
    <hyperlink r:id="rId3921" ref="M2705"/>
    <hyperlink r:id="rId3922" ref="M2706"/>
    <hyperlink r:id="rId3923" ref="M2707"/>
    <hyperlink r:id="rId3924" ref="M2708"/>
    <hyperlink r:id="rId3925" ref="M2709"/>
    <hyperlink r:id="rId3926" ref="M2710"/>
    <hyperlink r:id="rId3927" location="!" ref="N2710"/>
    <hyperlink r:id="rId3928" ref="W2710"/>
    <hyperlink r:id="rId3929" ref="X2710"/>
    <hyperlink r:id="rId3930" ref="M2711"/>
    <hyperlink r:id="rId3931" ref="N2711"/>
    <hyperlink r:id="rId3932" ref="M2712"/>
    <hyperlink r:id="rId3933" ref="M2715"/>
    <hyperlink r:id="rId3934" ref="M2716"/>
    <hyperlink r:id="rId3935" ref="N2716"/>
    <hyperlink r:id="rId3936" ref="W2716"/>
    <hyperlink r:id="rId3937" ref="M2717"/>
    <hyperlink r:id="rId3938" ref="M2718"/>
    <hyperlink r:id="rId3939" ref="N2718"/>
    <hyperlink r:id="rId3940" ref="W2718"/>
    <hyperlink r:id="rId3941" ref="M2721"/>
    <hyperlink r:id="rId3942" ref="M2722"/>
    <hyperlink r:id="rId3943" ref="M2723"/>
    <hyperlink r:id="rId3944" ref="M2724"/>
    <hyperlink r:id="rId3945" ref="N2724"/>
    <hyperlink r:id="rId3946" ref="M2727"/>
    <hyperlink r:id="rId3947" ref="N2727"/>
    <hyperlink r:id="rId3948" ref="N2728"/>
    <hyperlink r:id="rId3949" ref="M2729"/>
    <hyperlink r:id="rId3950" ref="N2729"/>
    <hyperlink r:id="rId3951" ref="M2730"/>
    <hyperlink r:id="rId3952" ref="M2733"/>
    <hyperlink r:id="rId3953" ref="N2734"/>
    <hyperlink r:id="rId3954" ref="Y2734"/>
    <hyperlink r:id="rId3955" ref="M2735"/>
    <hyperlink r:id="rId3956" ref="M2736"/>
    <hyperlink r:id="rId3957" ref="N2736"/>
    <hyperlink r:id="rId3958" ref="W2736"/>
    <hyperlink r:id="rId3959" ref="X2736"/>
    <hyperlink r:id="rId3960" ref="M2737"/>
    <hyperlink r:id="rId3961" ref="N2737"/>
    <hyperlink r:id="rId3962" ref="Y2737"/>
    <hyperlink r:id="rId3963" ref="M2738"/>
    <hyperlink r:id="rId3964" ref="M2741"/>
    <hyperlink r:id="rId3965" ref="M2742"/>
    <hyperlink r:id="rId3966" ref="M2743"/>
    <hyperlink r:id="rId3967" ref="M2744"/>
    <hyperlink r:id="rId3968" ref="N2744"/>
    <hyperlink r:id="rId3969" ref="W2744"/>
    <hyperlink r:id="rId3970" ref="X2744"/>
    <hyperlink r:id="rId3971" ref="M2745"/>
    <hyperlink r:id="rId3972" ref="M2746"/>
    <hyperlink r:id="rId3973" ref="M2747"/>
    <hyperlink r:id="rId3974" ref="N2747"/>
    <hyperlink r:id="rId3975" ref="M2749"/>
    <hyperlink r:id="rId3976" ref="M2750"/>
    <hyperlink r:id="rId3977" ref="M2751"/>
    <hyperlink r:id="rId3978" ref="M2754"/>
    <hyperlink r:id="rId3979" ref="M2756"/>
    <hyperlink r:id="rId3980" ref="M2757"/>
    <hyperlink r:id="rId3981" ref="M2758"/>
    <hyperlink r:id="rId3982" ref="M2759"/>
    <hyperlink r:id="rId3983" ref="M2760"/>
    <hyperlink r:id="rId3984" ref="M2761"/>
    <hyperlink r:id="rId3985" ref="M2762"/>
    <hyperlink r:id="rId3986" ref="N2762"/>
    <hyperlink r:id="rId3987" ref="W2762"/>
    <hyperlink r:id="rId3988" ref="X2762"/>
    <hyperlink r:id="rId3989" ref="M2763"/>
    <hyperlink r:id="rId3990" ref="M2765"/>
    <hyperlink r:id="rId3991" ref="M2767"/>
    <hyperlink r:id="rId3992" ref="M2768"/>
    <hyperlink r:id="rId3993" ref="N2769"/>
    <hyperlink r:id="rId3994" ref="Y2769"/>
    <hyperlink r:id="rId3995" ref="M2770"/>
    <hyperlink r:id="rId3996" ref="M2772"/>
    <hyperlink r:id="rId3997" ref="M2773"/>
    <hyperlink r:id="rId3998" ref="M2774"/>
    <hyperlink r:id="rId3999" ref="M2775"/>
    <hyperlink r:id="rId4000" ref="M2777"/>
    <hyperlink r:id="rId4001" ref="M2779"/>
    <hyperlink r:id="rId4002" ref="M2780"/>
    <hyperlink r:id="rId4003" ref="M2781"/>
    <hyperlink r:id="rId4004" ref="M2782"/>
    <hyperlink r:id="rId4005" ref="M2783"/>
    <hyperlink r:id="rId4006" ref="M2784"/>
    <hyperlink r:id="rId4007" ref="M2785"/>
    <hyperlink r:id="rId4008" ref="M2788"/>
    <hyperlink r:id="rId4009" ref="N2789"/>
    <hyperlink r:id="rId4010" ref="W2789"/>
    <hyperlink r:id="rId4011" ref="X2789"/>
    <hyperlink r:id="rId4012" ref="M2791"/>
    <hyperlink r:id="rId4013" ref="M2792"/>
    <hyperlink r:id="rId4014" ref="M2793"/>
    <hyperlink r:id="rId4015" ref="M2794"/>
    <hyperlink r:id="rId4016" ref="N2794"/>
    <hyperlink r:id="rId4017" ref="M2795"/>
    <hyperlink r:id="rId4018" ref="M2796"/>
    <hyperlink r:id="rId4019" ref="M2797"/>
    <hyperlink r:id="rId4020" ref="M2799"/>
    <hyperlink r:id="rId4021" ref="M2800"/>
    <hyperlink r:id="rId4022" ref="M2801"/>
    <hyperlink r:id="rId4023" ref="M2803"/>
    <hyperlink r:id="rId4024" ref="N2803"/>
    <hyperlink r:id="rId4025" ref="W2803"/>
    <hyperlink r:id="rId4026" ref="X2803"/>
    <hyperlink r:id="rId4027" ref="M2804"/>
    <hyperlink r:id="rId4028" ref="M2805"/>
    <hyperlink r:id="rId4029" ref="M2806"/>
    <hyperlink r:id="rId4030" ref="N2806"/>
    <hyperlink r:id="rId4031" ref="W2806"/>
    <hyperlink r:id="rId4032" ref="X2806"/>
    <hyperlink r:id="rId4033" ref="M2811"/>
    <hyperlink r:id="rId4034" ref="M2813"/>
    <hyperlink r:id="rId4035" ref="M2814"/>
    <hyperlink r:id="rId4036" ref="M2815"/>
    <hyperlink r:id="rId4037" ref="M2816"/>
    <hyperlink r:id="rId4038" ref="M2821"/>
    <hyperlink r:id="rId4039" ref="M2822"/>
    <hyperlink r:id="rId4040" ref="M2823"/>
    <hyperlink r:id="rId4041" ref="W2823"/>
    <hyperlink r:id="rId4042" ref="X2823"/>
    <hyperlink r:id="rId4043" ref="N2824"/>
    <hyperlink r:id="rId4044" ref="W2824"/>
    <hyperlink r:id="rId4045" ref="X2824"/>
    <hyperlink r:id="rId4046" ref="N2825"/>
    <hyperlink r:id="rId4047" ref="W2825"/>
    <hyperlink r:id="rId4048" ref="M2828"/>
    <hyperlink r:id="rId4049" ref="M2829"/>
    <hyperlink r:id="rId4050" ref="M2830"/>
    <hyperlink r:id="rId4051" ref="M2831"/>
    <hyperlink r:id="rId4052" ref="M2832"/>
    <hyperlink r:id="rId4053" ref="M2833"/>
    <hyperlink r:id="rId4054" ref="X2834"/>
    <hyperlink r:id="rId4055" ref="M2840"/>
    <hyperlink r:id="rId4056" ref="N2841"/>
    <hyperlink r:id="rId4057" ref="W2841"/>
    <hyperlink r:id="rId4058" ref="X2841"/>
    <hyperlink r:id="rId4059" ref="M2842"/>
    <hyperlink r:id="rId4060" ref="N2842"/>
    <hyperlink r:id="rId4061" ref="W2842"/>
    <hyperlink r:id="rId4062" ref="M2843"/>
    <hyperlink r:id="rId4063" ref="M2844"/>
    <hyperlink r:id="rId4064" ref="M2846"/>
    <hyperlink r:id="rId4065" ref="M2847"/>
    <hyperlink r:id="rId4066" ref="M2848"/>
    <hyperlink r:id="rId4067" ref="M2850"/>
    <hyperlink r:id="rId4068" ref="M2851"/>
    <hyperlink r:id="rId4069" ref="M2852"/>
    <hyperlink r:id="rId4070" ref="M2853"/>
    <hyperlink r:id="rId4071" ref="M2855"/>
    <hyperlink r:id="rId4072" ref="M2856"/>
    <hyperlink r:id="rId4073" ref="M2857"/>
    <hyperlink r:id="rId4074" ref="M2859"/>
    <hyperlink r:id="rId4075" ref="M2862"/>
    <hyperlink r:id="rId4076" ref="M2864"/>
    <hyperlink r:id="rId4077" ref="N2864"/>
    <hyperlink r:id="rId4078" ref="W2864"/>
    <hyperlink r:id="rId4079" ref="X2864"/>
    <hyperlink r:id="rId4080" ref="M2866"/>
    <hyperlink r:id="rId4081" ref="M2867"/>
    <hyperlink r:id="rId4082" ref="M2869"/>
    <hyperlink r:id="rId4083" ref="M2870"/>
    <hyperlink r:id="rId4084" ref="M2871"/>
    <hyperlink r:id="rId4085" ref="M2872"/>
    <hyperlink r:id="rId4086" ref="N2872"/>
    <hyperlink r:id="rId4087" ref="W2872"/>
    <hyperlink r:id="rId4088" ref="M2873"/>
    <hyperlink r:id="rId4089" ref="N2874"/>
    <hyperlink r:id="rId4090" ref="W2874"/>
    <hyperlink r:id="rId4091" ref="X2874"/>
    <hyperlink r:id="rId4092" ref="M2877"/>
    <hyperlink r:id="rId4093" ref="M2878"/>
    <hyperlink r:id="rId4094" ref="M2879"/>
    <hyperlink r:id="rId4095" ref="N2879"/>
    <hyperlink r:id="rId4096" ref="W2879"/>
    <hyperlink r:id="rId4097" ref="X2879"/>
    <hyperlink r:id="rId4098" ref="M2880"/>
    <hyperlink r:id="rId4099" ref="M2881"/>
    <hyperlink r:id="rId4100" ref="M2883"/>
    <hyperlink r:id="rId4101" ref="M2885"/>
    <hyperlink r:id="rId4102" ref="M2888"/>
    <hyperlink r:id="rId4103" ref="M2889"/>
    <hyperlink r:id="rId4104" ref="M2890"/>
    <hyperlink r:id="rId4105" ref="M2891"/>
    <hyperlink r:id="rId4106" ref="M2892"/>
    <hyperlink r:id="rId4107" ref="M2893"/>
    <hyperlink r:id="rId4108" ref="M2894"/>
    <hyperlink r:id="rId4109" ref="M2895"/>
    <hyperlink r:id="rId4110" ref="M2896"/>
    <hyperlink r:id="rId4111" ref="M2897"/>
    <hyperlink r:id="rId4112" ref="M2898"/>
    <hyperlink r:id="rId4113" ref="M2899"/>
    <hyperlink r:id="rId4114" ref="M2900"/>
    <hyperlink r:id="rId4115" ref="M2903"/>
    <hyperlink r:id="rId4116" ref="M2904"/>
    <hyperlink r:id="rId4117" ref="M2905"/>
    <hyperlink r:id="rId4118" ref="M2908"/>
    <hyperlink r:id="rId4119" ref="W2908"/>
    <hyperlink r:id="rId4120" ref="M2909"/>
    <hyperlink r:id="rId4121" ref="M2910"/>
    <hyperlink r:id="rId4122" ref="M2911"/>
    <hyperlink r:id="rId4123" ref="W2911"/>
    <hyperlink r:id="rId4124" ref="X2911"/>
    <hyperlink r:id="rId4125" ref="N2912"/>
    <hyperlink r:id="rId4126" ref="W2912"/>
    <hyperlink r:id="rId4127" ref="X2912"/>
    <hyperlink r:id="rId4128" ref="M2913"/>
    <hyperlink r:id="rId4129" ref="M2914"/>
    <hyperlink r:id="rId4130" ref="M2916"/>
    <hyperlink r:id="rId4131" ref="M2917"/>
    <hyperlink r:id="rId4132" ref="M2918"/>
    <hyperlink r:id="rId4133" ref="M2919"/>
    <hyperlink r:id="rId4134" ref="M2921"/>
    <hyperlink r:id="rId4135" ref="M2923"/>
    <hyperlink r:id="rId4136" ref="N2923"/>
    <hyperlink r:id="rId4137" ref="W2923"/>
    <hyperlink r:id="rId4138" ref="X2923"/>
    <hyperlink r:id="rId4139" ref="N2924"/>
    <hyperlink r:id="rId4140" ref="W2924"/>
    <hyperlink r:id="rId4141" ref="X2924"/>
    <hyperlink r:id="rId4142" ref="M2925"/>
    <hyperlink r:id="rId4143" ref="M2927"/>
    <hyperlink r:id="rId4144" ref="M2929"/>
    <hyperlink r:id="rId4145" ref="M2930"/>
    <hyperlink r:id="rId4146" ref="M2934"/>
    <hyperlink r:id="rId4147" ref="M2935"/>
    <hyperlink r:id="rId4148" ref="N2936"/>
    <hyperlink r:id="rId4149" ref="W2936"/>
    <hyperlink r:id="rId4150" ref="X2936"/>
    <hyperlink r:id="rId4151" ref="M2937"/>
    <hyperlink r:id="rId4152" ref="M2938"/>
    <hyperlink r:id="rId4153" ref="M2939"/>
    <hyperlink r:id="rId4154" ref="M2940"/>
    <hyperlink r:id="rId4155" ref="W2940"/>
    <hyperlink r:id="rId4156" ref="X2940"/>
    <hyperlink r:id="rId4157" ref="W2941"/>
    <hyperlink r:id="rId4158" ref="X2941"/>
    <hyperlink r:id="rId4159" ref="M2942"/>
    <hyperlink r:id="rId4160" ref="M2943"/>
    <hyperlink r:id="rId4161" ref="M2944"/>
    <hyperlink r:id="rId4162" ref="M2945"/>
    <hyperlink r:id="rId4163" ref="M2946"/>
    <hyperlink r:id="rId4164" ref="M2947"/>
    <hyperlink r:id="rId4165" ref="M2948"/>
    <hyperlink r:id="rId4166" ref="N2948"/>
    <hyperlink r:id="rId4167" ref="W2948"/>
    <hyperlink r:id="rId4168" ref="X2948"/>
    <hyperlink r:id="rId4169" ref="M2949"/>
    <hyperlink r:id="rId4170" ref="M2950"/>
    <hyperlink r:id="rId4171" ref="W2950"/>
    <hyperlink r:id="rId4172" ref="X2950"/>
    <hyperlink r:id="rId4173" ref="M2951"/>
    <hyperlink r:id="rId4174" ref="W2951"/>
    <hyperlink r:id="rId4175" ref="X2951"/>
    <hyperlink r:id="rId4176" ref="M2953"/>
    <hyperlink r:id="rId4177" ref="N2953"/>
    <hyperlink r:id="rId4178" ref="W2953"/>
    <hyperlink r:id="rId4179" ref="X2953"/>
    <hyperlink r:id="rId4180" ref="M2954"/>
    <hyperlink r:id="rId4181" ref="M2955"/>
    <hyperlink r:id="rId4182" ref="M2956"/>
    <hyperlink r:id="rId4183" ref="M2957"/>
    <hyperlink r:id="rId4184" ref="M2958"/>
    <hyperlink r:id="rId4185" ref="N2958"/>
    <hyperlink r:id="rId4186" ref="W2958"/>
    <hyperlink r:id="rId4187" ref="X2958"/>
    <hyperlink r:id="rId4188" ref="M2959"/>
    <hyperlink r:id="rId4189" ref="M2960"/>
    <hyperlink r:id="rId4190" ref="N2960"/>
    <hyperlink r:id="rId4191" ref="W2960"/>
    <hyperlink r:id="rId4192" ref="X2960"/>
    <hyperlink r:id="rId4193" ref="M2961"/>
    <hyperlink r:id="rId4194" ref="M2962"/>
    <hyperlink r:id="rId4195" ref="N2962"/>
    <hyperlink r:id="rId4196" ref="W2962"/>
    <hyperlink r:id="rId4197" ref="X2962"/>
    <hyperlink r:id="rId4198" ref="M2963"/>
    <hyperlink r:id="rId4199" ref="M2965"/>
    <hyperlink r:id="rId4200" ref="W2965"/>
    <hyperlink r:id="rId4201" ref="X2965"/>
    <hyperlink r:id="rId4202" ref="M2966"/>
    <hyperlink r:id="rId4203" ref="M2967"/>
    <hyperlink r:id="rId4204" ref="M2969"/>
    <hyperlink r:id="rId4205" ref="M2971"/>
    <hyperlink r:id="rId4206" ref="M2972"/>
    <hyperlink r:id="rId4207" ref="M2973"/>
    <hyperlink r:id="rId4208" ref="M2974"/>
    <hyperlink r:id="rId4209" ref="N2974"/>
    <hyperlink r:id="rId4210" ref="W2974"/>
    <hyperlink r:id="rId4211" ref="X2974"/>
    <hyperlink r:id="rId4212" ref="M2975"/>
    <hyperlink r:id="rId4213" ref="M2976"/>
    <hyperlink r:id="rId4214" ref="M2977"/>
    <hyperlink r:id="rId4215" ref="N2977"/>
    <hyperlink r:id="rId4216" ref="W2977"/>
    <hyperlink r:id="rId4217" ref="X2977"/>
    <hyperlink r:id="rId4218" ref="M2978"/>
    <hyperlink r:id="rId4219" ref="M2979"/>
    <hyperlink r:id="rId4220" ref="N2979"/>
    <hyperlink r:id="rId4221" ref="W2979"/>
    <hyperlink r:id="rId4222" ref="X2979"/>
    <hyperlink r:id="rId4223" ref="M2980"/>
    <hyperlink r:id="rId4224" ref="M2981"/>
    <hyperlink r:id="rId4225" ref="N2981"/>
    <hyperlink r:id="rId4226" ref="W2981"/>
    <hyperlink r:id="rId4227" ref="X2981"/>
    <hyperlink r:id="rId4228" ref="M2982"/>
    <hyperlink r:id="rId4229" ref="P2982"/>
    <hyperlink r:id="rId4230" ref="M2983"/>
    <hyperlink r:id="rId4231" ref="M2984"/>
    <hyperlink r:id="rId4232" ref="M2985"/>
    <hyperlink r:id="rId4233" ref="M2986"/>
    <hyperlink r:id="rId4234" ref="M2987"/>
    <hyperlink r:id="rId4235" ref="M2989"/>
    <hyperlink r:id="rId4236" ref="N2989"/>
    <hyperlink r:id="rId4237" ref="W2989"/>
    <hyperlink r:id="rId4238" ref="X2989"/>
    <hyperlink r:id="rId4239" ref="M2990"/>
    <hyperlink r:id="rId4240" ref="M2992"/>
    <hyperlink r:id="rId4241" ref="W2992"/>
    <hyperlink r:id="rId4242" ref="X2992"/>
    <hyperlink r:id="rId4243" ref="M2995"/>
    <hyperlink r:id="rId4244" ref="M2996"/>
    <hyperlink r:id="rId4245" ref="M2997"/>
    <hyperlink r:id="rId4246" ref="M2998"/>
    <hyperlink r:id="rId4247" ref="M2999"/>
    <hyperlink r:id="rId4248" ref="M3000"/>
    <hyperlink r:id="rId4249" ref="M3001"/>
    <hyperlink r:id="rId4250" ref="M3002"/>
    <hyperlink r:id="rId4251" ref="M3003"/>
    <hyperlink r:id="rId4252" ref="N3003"/>
    <hyperlink r:id="rId4253" ref="M3004"/>
    <hyperlink r:id="rId4254" ref="M3005"/>
    <hyperlink r:id="rId4255" ref="M3006"/>
    <hyperlink r:id="rId4256" ref="M3007"/>
    <hyperlink r:id="rId4257" ref="M3008"/>
    <hyperlink r:id="rId4258" ref="M3009"/>
    <hyperlink r:id="rId4259" ref="M3010"/>
    <hyperlink r:id="rId4260" ref="M3012"/>
    <hyperlink r:id="rId4261" ref="M3013"/>
    <hyperlink r:id="rId4262" ref="M3014"/>
    <hyperlink r:id="rId4263" ref="M3015"/>
    <hyperlink r:id="rId4264" ref="M3017"/>
    <hyperlink r:id="rId4265" ref="N3018"/>
    <hyperlink r:id="rId4266" ref="W3018"/>
    <hyperlink r:id="rId4267" ref="X3018"/>
    <hyperlink r:id="rId4268" ref="M3019"/>
    <hyperlink r:id="rId4269" ref="N3020"/>
    <hyperlink r:id="rId4270" ref="N3021"/>
    <hyperlink r:id="rId4271" ref="N3022"/>
    <hyperlink r:id="rId4272" ref="N3023"/>
    <hyperlink r:id="rId4273" ref="N3024"/>
    <hyperlink r:id="rId4274" ref="N3025"/>
    <hyperlink r:id="rId4275" ref="N3026"/>
    <hyperlink r:id="rId4276" ref="N3027"/>
    <hyperlink r:id="rId4277" ref="W3027"/>
    <hyperlink r:id="rId4278" ref="N3028"/>
    <hyperlink r:id="rId4279" ref="W3028"/>
    <hyperlink r:id="rId4280" ref="M3030"/>
    <hyperlink r:id="rId4281" ref="M3032"/>
    <hyperlink r:id="rId4282" ref="M3034"/>
    <hyperlink r:id="rId4283" ref="M3036"/>
    <hyperlink r:id="rId4284" ref="M3037"/>
    <hyperlink r:id="rId4285" ref="M3038"/>
    <hyperlink r:id="rId4286" ref="M3039"/>
    <hyperlink r:id="rId4287" ref="M3040"/>
    <hyperlink r:id="rId4288" ref="M3041"/>
    <hyperlink r:id="rId4289" ref="M3042"/>
    <hyperlink r:id="rId4290" ref="M3043"/>
    <hyperlink r:id="rId4291" ref="N3044"/>
    <hyperlink r:id="rId4292" ref="W3044"/>
    <hyperlink r:id="rId4293" ref="X3044"/>
    <hyperlink r:id="rId4294" ref="M3046"/>
    <hyperlink r:id="rId4295" ref="M3047"/>
    <hyperlink r:id="rId4296" ref="M3048"/>
    <hyperlink r:id="rId4297" ref="M3049"/>
    <hyperlink r:id="rId4298" ref="M3050"/>
    <hyperlink r:id="rId4299" ref="M3051"/>
    <hyperlink r:id="rId4300" ref="M3052"/>
    <hyperlink r:id="rId4301" ref="N3052"/>
    <hyperlink r:id="rId4302" ref="W3052"/>
    <hyperlink r:id="rId4303" ref="M3063"/>
    <hyperlink r:id="rId4304" ref="M3077"/>
    <hyperlink r:id="rId4305" ref="M3083"/>
    <hyperlink r:id="rId4306" ref="M3086"/>
    <hyperlink r:id="rId4307" ref="M3087"/>
    <hyperlink r:id="rId4308" ref="M3088"/>
    <hyperlink r:id="rId4309" ref="M3089"/>
    <hyperlink r:id="rId4310" ref="M3090"/>
    <hyperlink r:id="rId4311" ref="M3091"/>
    <hyperlink r:id="rId4312" ref="M3092"/>
    <hyperlink r:id="rId4313" ref="N3092"/>
    <hyperlink r:id="rId4314" ref="W3092"/>
    <hyperlink r:id="rId4315" ref="X3092"/>
    <hyperlink r:id="rId4316" ref="M3093"/>
    <hyperlink r:id="rId4317" ref="M3095"/>
    <hyperlink r:id="rId4318" ref="M3096"/>
    <hyperlink r:id="rId4319" ref="M3097"/>
    <hyperlink r:id="rId4320" ref="M3099"/>
    <hyperlink r:id="rId4321" ref="M3100"/>
    <hyperlink r:id="rId4322" ref="M3101"/>
    <hyperlink r:id="rId4323" ref="M3102"/>
    <hyperlink r:id="rId4324" ref="M3103"/>
    <hyperlink r:id="rId4325" ref="M3105"/>
    <hyperlink r:id="rId4326" ref="N3105"/>
    <hyperlink r:id="rId4327" ref="W3105"/>
    <hyperlink r:id="rId4328" ref="X3105"/>
    <hyperlink r:id="rId4329" ref="N3106"/>
    <hyperlink r:id="rId4330" ref="X3106"/>
    <hyperlink r:id="rId4331" ref="N3107"/>
    <hyperlink r:id="rId4332" ref="X3107"/>
    <hyperlink r:id="rId4333" ref="N3108"/>
    <hyperlink r:id="rId4334" ref="X3108"/>
    <hyperlink r:id="rId4335" ref="N3109"/>
    <hyperlink r:id="rId4336" ref="X3109"/>
    <hyperlink r:id="rId4337" ref="N3110"/>
    <hyperlink r:id="rId4338" ref="X3110"/>
    <hyperlink r:id="rId4339" ref="N3111"/>
    <hyperlink r:id="rId4340" ref="X3111"/>
    <hyperlink r:id="rId4341" ref="N3112"/>
    <hyperlink r:id="rId4342" ref="X3112"/>
    <hyperlink r:id="rId4343" ref="N3113"/>
    <hyperlink r:id="rId4344" ref="X3113"/>
    <hyperlink r:id="rId4345" ref="N3114"/>
    <hyperlink r:id="rId4346" ref="X3114"/>
    <hyperlink r:id="rId4347" ref="N3115"/>
    <hyperlink r:id="rId4348" ref="X3115"/>
    <hyperlink r:id="rId4349" ref="N3116"/>
    <hyperlink r:id="rId4350" ref="X3116"/>
    <hyperlink r:id="rId4351" ref="N3117"/>
    <hyperlink r:id="rId4352" ref="X3117"/>
    <hyperlink r:id="rId4353" ref="N3118"/>
    <hyperlink r:id="rId4354" ref="X3118"/>
    <hyperlink r:id="rId4355" ref="N3119"/>
    <hyperlink r:id="rId4356" ref="X3119"/>
    <hyperlink r:id="rId4357" ref="N3120"/>
    <hyperlink r:id="rId4358" ref="X3120"/>
    <hyperlink r:id="rId4359" ref="M3121"/>
    <hyperlink r:id="rId4360" ref="M3123"/>
    <hyperlink r:id="rId4361" ref="M3126"/>
    <hyperlink r:id="rId4362" ref="M3127"/>
    <hyperlink r:id="rId4363" ref="M3128"/>
    <hyperlink r:id="rId4364" ref="M3129"/>
    <hyperlink r:id="rId4365" ref="M3130"/>
    <hyperlink r:id="rId4366" ref="M3131"/>
    <hyperlink r:id="rId4367" ref="M3132"/>
    <hyperlink r:id="rId4368" ref="M3133"/>
    <hyperlink r:id="rId4369" ref="M3134"/>
    <hyperlink r:id="rId4370" ref="M3135"/>
    <hyperlink r:id="rId4371" ref="M3138"/>
    <hyperlink r:id="rId4372" ref="M3139"/>
    <hyperlink r:id="rId4373" ref="M3140"/>
    <hyperlink r:id="rId4374" ref="M3141"/>
    <hyperlink r:id="rId4375" ref="M3142"/>
    <hyperlink r:id="rId4376" ref="M3143"/>
    <hyperlink r:id="rId4377" ref="M3145"/>
    <hyperlink r:id="rId4378" ref="M3146"/>
    <hyperlink r:id="rId4379" ref="M3148"/>
    <hyperlink r:id="rId4380" ref="M3149"/>
    <hyperlink r:id="rId4381" ref="M3150"/>
    <hyperlink r:id="rId4382" ref="M3151"/>
    <hyperlink r:id="rId4383" ref="M3152"/>
    <hyperlink r:id="rId4384" ref="M3153"/>
    <hyperlink r:id="rId4385" ref="M3154"/>
    <hyperlink r:id="rId4386" ref="M3155"/>
    <hyperlink r:id="rId4387" ref="M3156"/>
    <hyperlink r:id="rId4388" ref="M3157"/>
    <hyperlink r:id="rId4389" ref="M3158"/>
    <hyperlink r:id="rId4390" ref="M3159"/>
    <hyperlink r:id="rId4391" ref="M3160"/>
    <hyperlink r:id="rId4392" ref="M3162"/>
    <hyperlink r:id="rId4393" ref="M3163"/>
    <hyperlink r:id="rId4394" ref="M3164"/>
    <hyperlink r:id="rId4395" ref="M3165"/>
    <hyperlink r:id="rId4396" ref="M3166"/>
    <hyperlink r:id="rId4397" ref="M3167"/>
    <hyperlink r:id="rId4398" ref="M3168"/>
    <hyperlink r:id="rId4399" ref="M3169"/>
    <hyperlink r:id="rId4400" ref="M3170"/>
    <hyperlink r:id="rId4401" ref="M3171"/>
    <hyperlink r:id="rId4402" ref="M3172"/>
    <hyperlink r:id="rId4403" ref="M3173"/>
    <hyperlink r:id="rId4404" ref="M3174"/>
    <hyperlink r:id="rId4405" ref="M3175"/>
    <hyperlink r:id="rId4406" ref="M3177"/>
    <hyperlink r:id="rId4407" ref="M3178"/>
    <hyperlink r:id="rId4408" ref="M3179"/>
    <hyperlink r:id="rId4409" ref="M3180"/>
    <hyperlink r:id="rId4410" ref="M3181"/>
    <hyperlink r:id="rId4411" ref="M3182"/>
    <hyperlink r:id="rId4412" ref="M3183"/>
    <hyperlink r:id="rId4413" ref="M3184"/>
    <hyperlink r:id="rId4414" ref="M3185"/>
    <hyperlink r:id="rId4415" ref="N3185"/>
    <hyperlink r:id="rId4416" ref="W3185"/>
    <hyperlink r:id="rId4417" ref="X3185"/>
    <hyperlink r:id="rId4418" ref="M3186"/>
    <hyperlink r:id="rId4419" ref="M3187"/>
    <hyperlink r:id="rId4420" ref="M3188"/>
    <hyperlink r:id="rId4421" ref="M3189"/>
    <hyperlink r:id="rId4422" ref="M3190"/>
    <hyperlink r:id="rId4423" ref="M3191"/>
    <hyperlink r:id="rId4424" ref="M3192"/>
    <hyperlink r:id="rId4425" ref="M3193"/>
    <hyperlink r:id="rId4426" ref="N3193"/>
    <hyperlink r:id="rId4427" ref="W3193"/>
    <hyperlink r:id="rId4428" ref="M3194"/>
    <hyperlink r:id="rId4429" ref="M3195"/>
    <hyperlink r:id="rId4430" ref="M3196"/>
    <hyperlink r:id="rId4431" ref="M3197"/>
    <hyperlink r:id="rId4432" ref="M3198"/>
    <hyperlink r:id="rId4433" ref="M3199"/>
    <hyperlink r:id="rId4434" ref="M3200"/>
    <hyperlink r:id="rId4435" ref="M3201"/>
    <hyperlink r:id="rId4436" ref="M3202"/>
    <hyperlink r:id="rId4437" ref="M3203"/>
    <hyperlink r:id="rId4438" ref="M3204"/>
    <hyperlink r:id="rId4439" ref="M3205"/>
    <hyperlink r:id="rId4440" ref="M3206"/>
    <hyperlink r:id="rId4441" ref="M3207"/>
    <hyperlink r:id="rId4442" ref="W3207"/>
    <hyperlink r:id="rId4443" ref="M3208"/>
    <hyperlink r:id="rId4444" ref="M3209"/>
    <hyperlink r:id="rId4445" ref="M3210"/>
    <hyperlink r:id="rId4446" ref="M3211"/>
    <hyperlink r:id="rId4447" ref="M3212"/>
    <hyperlink r:id="rId4448" ref="M3213"/>
    <hyperlink r:id="rId4449" ref="M3214"/>
    <hyperlink r:id="rId4450" ref="M3215"/>
    <hyperlink r:id="rId4451" ref="M3216"/>
    <hyperlink r:id="rId4452" ref="M3217"/>
    <hyperlink r:id="rId4453" ref="M3218"/>
    <hyperlink r:id="rId4454" ref="M3219"/>
    <hyperlink r:id="rId4455" ref="M3220"/>
    <hyperlink r:id="rId4456" ref="M3221"/>
    <hyperlink r:id="rId4457" ref="M3222"/>
    <hyperlink r:id="rId4458" ref="M3223"/>
    <hyperlink r:id="rId4459" ref="W3223"/>
    <hyperlink r:id="rId4460" ref="X3223"/>
    <hyperlink r:id="rId4461" ref="M3224"/>
    <hyperlink r:id="rId4462" ref="M3225"/>
    <hyperlink r:id="rId4463" ref="N3228"/>
    <hyperlink r:id="rId4464" ref="W3228"/>
    <hyperlink r:id="rId4465" ref="X3228"/>
    <hyperlink r:id="rId4466" ref="M3229"/>
    <hyperlink r:id="rId4467" ref="M3230"/>
    <hyperlink r:id="rId4468" ref="W3230"/>
    <hyperlink r:id="rId4469" ref="X3230"/>
    <hyperlink r:id="rId4470" ref="M3231"/>
    <hyperlink r:id="rId4471" ref="N3231"/>
    <hyperlink r:id="rId4472" ref="W3231"/>
    <hyperlink r:id="rId4473" ref="X3231"/>
    <hyperlink r:id="rId4474" ref="M3232"/>
    <hyperlink r:id="rId4475" ref="W3232"/>
    <hyperlink r:id="rId4476" ref="M3233"/>
    <hyperlink r:id="rId4477" ref="M3234"/>
    <hyperlink r:id="rId4478" ref="M3235"/>
    <hyperlink r:id="rId4479" ref="M3236"/>
    <hyperlink r:id="rId4480" ref="M3237"/>
    <hyperlink r:id="rId4481" ref="W3237"/>
    <hyperlink r:id="rId4482" ref="X3237"/>
    <hyperlink r:id="rId4483" ref="M3238"/>
    <hyperlink r:id="rId4484" ref="M3239"/>
    <hyperlink r:id="rId4485" ref="M3240"/>
    <hyperlink r:id="rId4486" ref="M3241"/>
    <hyperlink r:id="rId4487" ref="M3242"/>
    <hyperlink r:id="rId4488" ref="W3242"/>
    <hyperlink r:id="rId4489" ref="X3242"/>
    <hyperlink r:id="rId4490" ref="M3243"/>
    <hyperlink r:id="rId4491" ref="M3244"/>
    <hyperlink r:id="rId4492" ref="M3245"/>
    <hyperlink r:id="rId4493" ref="M3246"/>
    <hyperlink r:id="rId4494" ref="M3247"/>
    <hyperlink r:id="rId4495" ref="M3248"/>
    <hyperlink r:id="rId4496" ref="N3248"/>
    <hyperlink r:id="rId4497" ref="W3248"/>
    <hyperlink r:id="rId4498" ref="X3248"/>
    <hyperlink r:id="rId4499" ref="M3249"/>
    <hyperlink r:id="rId4500" ref="M3252"/>
    <hyperlink r:id="rId4501" ref="M3253"/>
    <hyperlink r:id="rId4502" ref="M3254"/>
    <hyperlink r:id="rId4503" ref="W3254"/>
    <hyperlink r:id="rId4504" ref="M3255"/>
    <hyperlink r:id="rId4505" ref="M3256"/>
    <hyperlink r:id="rId4506" ref="M3259"/>
    <hyperlink r:id="rId4507" ref="M3260"/>
    <hyperlink r:id="rId4508" ref="M3261"/>
    <hyperlink r:id="rId4509" ref="W3261"/>
    <hyperlink r:id="rId4510" ref="X3261"/>
    <hyperlink r:id="rId4511" ref="M3262"/>
    <hyperlink r:id="rId4512" ref="M3263"/>
    <hyperlink r:id="rId4513" ref="W3263"/>
    <hyperlink r:id="rId4514" ref="X3263"/>
    <hyperlink r:id="rId4515" ref="M3264"/>
    <hyperlink r:id="rId4516" ref="W3264"/>
    <hyperlink r:id="rId4517" ref="X3264"/>
    <hyperlink r:id="rId4518" ref="M3265"/>
    <hyperlink r:id="rId4519" ref="W3265"/>
    <hyperlink r:id="rId4520" ref="X3265"/>
    <hyperlink r:id="rId4521" ref="M3266"/>
    <hyperlink r:id="rId4522" ref="M3268"/>
    <hyperlink r:id="rId4523" ref="M3271"/>
    <hyperlink r:id="rId4524" ref="M3273"/>
    <hyperlink r:id="rId4525" ref="M3274"/>
    <hyperlink r:id="rId4526" ref="W3274"/>
    <hyperlink r:id="rId4527" ref="M3276"/>
    <hyperlink r:id="rId4528" ref="M3277"/>
    <hyperlink r:id="rId4529" ref="M3279"/>
    <hyperlink r:id="rId4530" ref="N3280"/>
    <hyperlink r:id="rId4531" ref="W3280"/>
    <hyperlink r:id="rId4532" ref="X3280"/>
    <hyperlink r:id="rId4533" ref="M3281"/>
    <hyperlink r:id="rId4534" ref="W3281"/>
    <hyperlink r:id="rId4535" ref="X3281"/>
    <hyperlink r:id="rId4536" ref="M3282"/>
    <hyperlink r:id="rId4537" ref="M3283"/>
    <hyperlink r:id="rId4538" ref="M3284"/>
    <hyperlink r:id="rId4539" ref="M3285"/>
    <hyperlink r:id="rId4540" ref="M3286"/>
    <hyperlink r:id="rId4541" ref="M3287"/>
    <hyperlink r:id="rId4542" ref="M3288"/>
    <hyperlink r:id="rId4543" ref="W3288"/>
    <hyperlink r:id="rId4544" ref="X3288"/>
    <hyperlink r:id="rId4545" ref="M3289"/>
    <hyperlink r:id="rId4546" ref="N3289"/>
    <hyperlink r:id="rId4547" ref="W3289"/>
    <hyperlink r:id="rId4548" ref="X3289"/>
    <hyperlink r:id="rId4549" ref="M3290"/>
    <hyperlink r:id="rId4550" ref="M3292"/>
    <hyperlink r:id="rId4551" ref="M3293"/>
    <hyperlink r:id="rId4552" ref="M3294"/>
    <hyperlink r:id="rId4553" ref="M3295"/>
    <hyperlink r:id="rId4554" ref="M3296"/>
    <hyperlink r:id="rId4555" ref="M3297"/>
    <hyperlink r:id="rId4556" ref="M3298"/>
    <hyperlink r:id="rId4557" ref="M3299"/>
    <hyperlink r:id="rId4558" ref="M3300"/>
    <hyperlink r:id="rId4559" ref="M3301"/>
    <hyperlink r:id="rId4560" ref="M3302"/>
    <hyperlink r:id="rId4561" ref="N3302"/>
    <hyperlink r:id="rId4562" ref="W3302"/>
    <hyperlink r:id="rId4563" ref="X3302"/>
    <hyperlink r:id="rId4564" ref="M3303"/>
    <hyperlink r:id="rId4565" ref="M3304"/>
    <hyperlink r:id="rId4566" ref="W3304"/>
    <hyperlink r:id="rId4567" ref="X3304"/>
    <hyperlink r:id="rId4568" ref="M3305"/>
    <hyperlink r:id="rId4569" ref="W3305"/>
    <hyperlink r:id="rId4570" ref="X3305"/>
    <hyperlink r:id="rId4571" ref="M3306"/>
    <hyperlink r:id="rId4572" ref="M3307"/>
    <hyperlink r:id="rId4573" ref="N3307"/>
    <hyperlink r:id="rId4574" ref="W3307"/>
    <hyperlink r:id="rId4575" ref="X3307"/>
    <hyperlink r:id="rId4576" ref="M3308"/>
    <hyperlink r:id="rId4577" ref="W3308"/>
    <hyperlink r:id="rId4578" ref="X3308"/>
    <hyperlink r:id="rId4579" ref="N3309"/>
    <hyperlink r:id="rId4580" ref="W3309"/>
    <hyperlink r:id="rId4581" ref="M3310"/>
    <hyperlink r:id="rId4582" ref="W3310"/>
    <hyperlink r:id="rId4583" ref="X3310"/>
    <hyperlink r:id="rId4584" ref="M3311"/>
    <hyperlink r:id="rId4585" ref="W3311"/>
    <hyperlink r:id="rId4586" ref="X3311"/>
    <hyperlink r:id="rId4587" ref="M3312"/>
    <hyperlink r:id="rId4588" ref="W3312"/>
    <hyperlink r:id="rId4589" ref="X3312"/>
    <hyperlink r:id="rId4590" ref="M3313"/>
    <hyperlink r:id="rId4591" ref="W3313"/>
    <hyperlink r:id="rId4592" ref="X3313"/>
    <hyperlink r:id="rId4593" ref="M3314"/>
    <hyperlink r:id="rId4594" ref="W3314"/>
    <hyperlink r:id="rId4595" ref="X3314"/>
    <hyperlink r:id="rId4596" ref="M3315"/>
    <hyperlink r:id="rId4597" ref="W3315"/>
    <hyperlink r:id="rId4598" ref="X3315"/>
    <hyperlink r:id="rId4599" ref="M3316"/>
    <hyperlink r:id="rId4600" ref="W3316"/>
    <hyperlink r:id="rId4601" ref="X3316"/>
    <hyperlink r:id="rId4602" ref="M3317"/>
    <hyperlink r:id="rId4603" ref="W3317"/>
    <hyperlink r:id="rId4604" ref="X3317"/>
    <hyperlink r:id="rId4605" ref="M3318"/>
    <hyperlink r:id="rId4606" ref="M3319"/>
    <hyperlink r:id="rId4607" ref="M3320"/>
    <hyperlink r:id="rId4608" ref="N3320"/>
    <hyperlink r:id="rId4609" ref="W3320"/>
    <hyperlink r:id="rId4610" ref="X3320"/>
    <hyperlink r:id="rId4611" ref="M3321"/>
    <hyperlink r:id="rId4612" ref="M3322"/>
    <hyperlink r:id="rId4613" ref="M3324"/>
    <hyperlink r:id="rId4614" ref="M3325"/>
    <hyperlink r:id="rId4615" ref="M3326"/>
    <hyperlink r:id="rId4616" ref="M3327"/>
    <hyperlink r:id="rId4617" ref="N3327"/>
    <hyperlink r:id="rId4618" ref="W3327"/>
    <hyperlink r:id="rId4619" ref="M3328"/>
    <hyperlink r:id="rId4620" ref="N3328"/>
    <hyperlink r:id="rId4621" ref="W3328"/>
    <hyperlink r:id="rId4622" ref="M3329"/>
    <hyperlink r:id="rId4623" ref="N3329"/>
    <hyperlink r:id="rId4624" ref="W3329"/>
    <hyperlink r:id="rId4625" ref="M3330"/>
    <hyperlink r:id="rId4626" ref="N3330"/>
    <hyperlink r:id="rId4627" ref="W3330"/>
    <hyperlink r:id="rId4628" ref="M3331"/>
    <hyperlink r:id="rId4629" ref="N3331"/>
    <hyperlink r:id="rId4630" ref="W3331"/>
    <hyperlink r:id="rId4631" ref="M3332"/>
    <hyperlink r:id="rId4632" ref="N3332"/>
    <hyperlink r:id="rId4633" ref="W3332"/>
    <hyperlink r:id="rId4634" ref="M3333"/>
    <hyperlink r:id="rId4635" ref="N3333"/>
    <hyperlink r:id="rId4636" ref="W3333"/>
    <hyperlink r:id="rId4637" ref="M3334"/>
    <hyperlink r:id="rId4638" ref="N3334"/>
    <hyperlink r:id="rId4639" ref="W3334"/>
    <hyperlink r:id="rId4640" ref="M3335"/>
    <hyperlink r:id="rId4641" ref="N3335"/>
    <hyperlink r:id="rId4642" ref="W3335"/>
    <hyperlink r:id="rId4643" ref="M3336"/>
    <hyperlink r:id="rId4644" ref="N3336"/>
    <hyperlink r:id="rId4645" ref="W3336"/>
    <hyperlink r:id="rId4646" ref="M3337"/>
    <hyperlink r:id="rId4647" ref="N3337"/>
    <hyperlink r:id="rId4648" ref="W3337"/>
    <hyperlink r:id="rId4649" ref="M3338"/>
    <hyperlink r:id="rId4650" ref="M3339"/>
    <hyperlink r:id="rId4651" ref="M3340"/>
    <hyperlink r:id="rId4652" ref="N3340"/>
    <hyperlink r:id="rId4653" ref="W3340"/>
    <hyperlink r:id="rId4654" ref="X3340"/>
    <hyperlink r:id="rId4655" ref="M3341"/>
    <hyperlink r:id="rId4656" ref="M3342"/>
    <hyperlink r:id="rId4657" ref="M3343"/>
    <hyperlink r:id="rId4658" ref="M3344"/>
    <hyperlink r:id="rId4659" ref="M3345"/>
    <hyperlink r:id="rId4660" ref="M3346"/>
    <hyperlink r:id="rId4661" ref="M3347"/>
    <hyperlink r:id="rId4662" ref="M3348"/>
    <hyperlink r:id="rId4663" ref="M3349"/>
    <hyperlink r:id="rId4664" ref="W3349"/>
    <hyperlink r:id="rId4665" ref="X3349"/>
    <hyperlink r:id="rId4666" ref="M3350"/>
    <hyperlink r:id="rId4667" ref="W3350"/>
    <hyperlink r:id="rId4668" ref="X3350"/>
    <hyperlink r:id="rId4669" ref="M3351"/>
    <hyperlink r:id="rId4670" ref="W3351"/>
    <hyperlink r:id="rId4671" ref="M3352"/>
    <hyperlink r:id="rId4672" ref="M3353"/>
    <hyperlink r:id="rId4673" ref="N3354"/>
    <hyperlink r:id="rId4674" ref="W3354"/>
    <hyperlink r:id="rId4675" ref="X3354"/>
    <hyperlink r:id="rId4676" ref="M3355"/>
    <hyperlink r:id="rId4677" ref="N3355"/>
    <hyperlink r:id="rId4678" ref="W3355"/>
    <hyperlink r:id="rId4679" ref="X3355"/>
    <hyperlink r:id="rId4680" ref="M3356"/>
    <hyperlink r:id="rId4681" ref="M3357"/>
    <hyperlink r:id="rId4682" ref="M3358"/>
    <hyperlink r:id="rId4683" ref="M3359"/>
    <hyperlink r:id="rId4684" ref="M3360"/>
    <hyperlink r:id="rId4685" ref="M3361"/>
    <hyperlink r:id="rId4686" ref="M3362"/>
    <hyperlink r:id="rId4687" ref="N3362"/>
    <hyperlink r:id="rId4688" ref="W3362"/>
    <hyperlink r:id="rId4689" ref="X3362"/>
    <hyperlink r:id="rId4690" ref="M3363"/>
    <hyperlink r:id="rId4691" ref="N3363"/>
    <hyperlink r:id="rId4692" ref="W3363"/>
    <hyperlink r:id="rId4693" ref="X3363"/>
    <hyperlink r:id="rId4694" ref="M3364"/>
    <hyperlink r:id="rId4695" ref="M3365"/>
    <hyperlink r:id="rId4696" ref="N3365"/>
    <hyperlink r:id="rId4697" ref="W3365"/>
    <hyperlink r:id="rId4698" ref="X3365"/>
    <hyperlink r:id="rId4699" ref="M3366"/>
    <hyperlink r:id="rId4700" ref="W3366"/>
    <hyperlink r:id="rId4701" ref="X3366"/>
    <hyperlink r:id="rId4702" ref="M3367"/>
    <hyperlink r:id="rId4703" ref="N3367"/>
    <hyperlink r:id="rId4704" ref="W3367"/>
    <hyperlink r:id="rId4705" ref="X3367"/>
    <hyperlink r:id="rId4706" ref="M3368"/>
    <hyperlink r:id="rId4707" ref="M3369"/>
    <hyperlink r:id="rId4708" ref="N3370"/>
    <hyperlink r:id="rId4709" ref="W3370"/>
    <hyperlink r:id="rId4710" ref="M3371"/>
    <hyperlink r:id="rId4711" ref="N3371"/>
    <hyperlink r:id="rId4712" ref="W3371"/>
    <hyperlink r:id="rId4713" ref="X3371"/>
    <hyperlink r:id="rId4714" ref="M3372"/>
    <hyperlink r:id="rId4715" ref="M3373"/>
    <hyperlink r:id="rId4716" ref="N3374"/>
    <hyperlink r:id="rId4717" ref="W3374"/>
    <hyperlink r:id="rId4718" ref="X3374"/>
    <hyperlink r:id="rId4719" ref="M3375"/>
    <hyperlink r:id="rId4720" ref="M3376"/>
    <hyperlink r:id="rId4721" ref="M3377"/>
    <hyperlink r:id="rId4722" ref="M3378"/>
    <hyperlink r:id="rId4723" ref="N3378"/>
    <hyperlink r:id="rId4724" ref="M3379"/>
    <hyperlink r:id="rId4725" ref="M3380"/>
    <hyperlink r:id="rId4726" ref="M3382"/>
    <hyperlink r:id="rId4727" ref="N3382"/>
    <hyperlink r:id="rId4728" ref="W3382"/>
    <hyperlink r:id="rId4729" ref="X3382"/>
    <hyperlink r:id="rId4730" ref="N3383"/>
    <hyperlink r:id="rId4731" ref="W3383"/>
    <hyperlink r:id="rId4732" ref="X3383"/>
    <hyperlink r:id="rId4733" ref="M3384"/>
    <hyperlink r:id="rId4734" ref="M3385"/>
    <hyperlink r:id="rId4735" ref="M3386"/>
    <hyperlink r:id="rId4736" ref="M3387"/>
    <hyperlink r:id="rId4737" ref="W3387"/>
    <hyperlink r:id="rId4738" ref="X3387"/>
    <hyperlink r:id="rId4739" ref="M3388"/>
    <hyperlink r:id="rId4740" ref="M3389"/>
    <hyperlink r:id="rId4741" ref="M3390"/>
    <hyperlink r:id="rId4742" ref="M3391"/>
    <hyperlink r:id="rId4743" ref="M3392"/>
    <hyperlink r:id="rId4744" ref="M3393"/>
    <hyperlink r:id="rId4745" ref="N3393"/>
    <hyperlink r:id="rId4746" ref="W3393"/>
    <hyperlink r:id="rId4747" ref="X3393"/>
    <hyperlink r:id="rId4748" ref="M3394"/>
    <hyperlink r:id="rId4749" ref="N3394"/>
    <hyperlink r:id="rId4750" ref="W3394"/>
    <hyperlink r:id="rId4751" ref="X3394"/>
    <hyperlink r:id="rId4752" ref="M3395"/>
    <hyperlink r:id="rId4753" ref="N3395"/>
    <hyperlink r:id="rId4754" ref="W3395"/>
    <hyperlink r:id="rId4755" ref="X3395"/>
    <hyperlink r:id="rId4756" ref="M3396"/>
    <hyperlink r:id="rId4757" ref="M3397"/>
    <hyperlink r:id="rId4758" ref="M3398"/>
    <hyperlink r:id="rId4759" ref="M3399"/>
    <hyperlink r:id="rId4760" ref="M3401"/>
    <hyperlink r:id="rId4761" ref="M3403"/>
    <hyperlink r:id="rId4762" ref="M3406"/>
    <hyperlink r:id="rId4763" ref="M3407"/>
    <hyperlink r:id="rId4764" ref="M3408"/>
    <hyperlink r:id="rId4765" ref="M3409"/>
    <hyperlink r:id="rId4766" ref="M3410"/>
    <hyperlink r:id="rId4767" ref="M3411"/>
    <hyperlink r:id="rId4768" ref="M3412"/>
    <hyperlink r:id="rId4769" ref="M3413"/>
    <hyperlink r:id="rId4770" ref="N3413"/>
    <hyperlink r:id="rId4771" ref="W3413"/>
    <hyperlink r:id="rId4772" ref="X3413"/>
    <hyperlink r:id="rId4773" ref="N3414"/>
    <hyperlink r:id="rId4774" ref="W3414"/>
    <hyperlink r:id="rId4775" ref="X3414"/>
    <hyperlink r:id="rId4776" ref="M3415"/>
    <hyperlink r:id="rId4777" ref="M3417"/>
    <hyperlink r:id="rId4778" ref="M3420"/>
    <hyperlink r:id="rId4779" ref="M3421"/>
    <hyperlink r:id="rId4780" ref="M3423"/>
    <hyperlink r:id="rId4781" ref="N3423"/>
    <hyperlink r:id="rId4782" ref="W3423"/>
    <hyperlink r:id="rId4783" ref="X3423"/>
    <hyperlink r:id="rId4784" ref="M3424"/>
    <hyperlink r:id="rId4785" ref="M3426"/>
    <hyperlink r:id="rId4786" ref="M3428"/>
    <hyperlink r:id="rId4787" ref="M3429"/>
    <hyperlink r:id="rId4788" ref="N3429"/>
    <hyperlink r:id="rId4789" ref="W3429"/>
    <hyperlink r:id="rId4790" ref="X3429"/>
    <hyperlink r:id="rId4791" ref="M3430"/>
    <hyperlink r:id="rId4792" ref="M3431"/>
    <hyperlink r:id="rId4793" ref="N3431"/>
    <hyperlink r:id="rId4794" ref="W3431"/>
    <hyperlink r:id="rId4795" ref="M3432"/>
    <hyperlink r:id="rId4796" ref="N3432"/>
    <hyperlink r:id="rId4797" ref="W3432"/>
    <hyperlink r:id="rId4798" ref="X3432"/>
    <hyperlink r:id="rId4799" ref="M3433"/>
    <hyperlink r:id="rId4800" ref="M3436"/>
    <hyperlink r:id="rId4801" ref="M3437"/>
    <hyperlink r:id="rId4802" ref="M3438"/>
    <hyperlink r:id="rId4803" ref="N3441"/>
    <hyperlink r:id="rId4804" ref="W3441"/>
    <hyperlink r:id="rId4805" ref="X3441"/>
    <hyperlink r:id="rId4806" ref="M3442"/>
    <hyperlink r:id="rId4807" ref="M3443"/>
    <hyperlink r:id="rId4808" ref="W3444"/>
    <hyperlink r:id="rId4809" ref="X3444"/>
    <hyperlink r:id="rId4810" ref="M3445"/>
    <hyperlink r:id="rId4811" ref="M3446"/>
    <hyperlink r:id="rId4812" ref="M3447"/>
    <hyperlink r:id="rId4813" ref="M3449"/>
    <hyperlink r:id="rId4814" ref="M3450"/>
    <hyperlink r:id="rId4815" ref="M3451"/>
    <hyperlink r:id="rId4816" ref="M3453"/>
    <hyperlink r:id="rId4817" ref="M3454"/>
    <hyperlink r:id="rId4818" ref="M3455"/>
    <hyperlink r:id="rId4819" ref="M3456"/>
    <hyperlink r:id="rId4820" ref="M3457"/>
    <hyperlink r:id="rId4821" ref="M3458"/>
    <hyperlink r:id="rId4822" ref="M3459"/>
    <hyperlink r:id="rId4823" ref="M3460"/>
    <hyperlink r:id="rId4824" ref="M3462"/>
    <hyperlink r:id="rId4825" ref="M3463"/>
    <hyperlink r:id="rId4826" ref="N3463"/>
    <hyperlink r:id="rId4827" ref="W3463"/>
    <hyperlink r:id="rId4828" ref="X3463"/>
    <hyperlink r:id="rId4829" ref="W3464"/>
    <hyperlink r:id="rId4830" ref="M3465"/>
    <hyperlink r:id="rId4831" ref="M3467"/>
    <hyperlink r:id="rId4832" ref="M3468"/>
    <hyperlink r:id="rId4833" ref="M3469"/>
    <hyperlink r:id="rId4834" ref="W3469"/>
    <hyperlink r:id="rId4835" ref="M3470"/>
    <hyperlink r:id="rId4836" ref="N3470"/>
    <hyperlink r:id="rId4837" ref="W3470"/>
    <hyperlink r:id="rId4838" ref="M3471"/>
    <hyperlink r:id="rId4839" ref="M3472"/>
    <hyperlink r:id="rId4840" ref="N3472"/>
    <hyperlink r:id="rId4841" ref="W3472"/>
    <hyperlink r:id="rId4842" ref="X3472"/>
    <hyperlink r:id="rId4843" ref="M3473"/>
    <hyperlink r:id="rId4844" ref="M3474"/>
    <hyperlink r:id="rId4845" ref="M3475"/>
    <hyperlink r:id="rId4846" ref="M3476"/>
    <hyperlink r:id="rId4847" ref="M3477"/>
    <hyperlink r:id="rId4848" ref="M3478"/>
    <hyperlink r:id="rId4849" ref="M3479"/>
    <hyperlink r:id="rId4850" ref="M3480"/>
    <hyperlink r:id="rId4851" ref="M3481"/>
    <hyperlink r:id="rId4852" ref="M3482"/>
    <hyperlink r:id="rId4853" ref="M3483"/>
    <hyperlink r:id="rId4854" ref="M3484"/>
    <hyperlink r:id="rId4855" ref="M3485"/>
    <hyperlink r:id="rId4856" ref="M3486"/>
    <hyperlink r:id="rId4857" ref="M3487"/>
    <hyperlink r:id="rId4858" ref="M3488"/>
    <hyperlink r:id="rId4859" ref="M3489"/>
    <hyperlink r:id="rId4860" ref="M3490"/>
    <hyperlink r:id="rId4861" ref="N3490"/>
    <hyperlink r:id="rId4862" ref="W3490"/>
    <hyperlink r:id="rId4863" ref="X3490"/>
    <hyperlink r:id="rId4864" ref="M3491"/>
    <hyperlink r:id="rId4865" ref="M3492"/>
    <hyperlink r:id="rId4866" ref="M3493"/>
    <hyperlink r:id="rId4867" ref="N3493"/>
    <hyperlink r:id="rId4868" ref="W3493"/>
    <hyperlink r:id="rId4869" ref="X3493"/>
    <hyperlink r:id="rId4870" ref="M3494"/>
    <hyperlink r:id="rId4871" ref="M3495"/>
    <hyperlink r:id="rId4872" ref="M3496"/>
    <hyperlink r:id="rId4873" ref="N3496"/>
    <hyperlink r:id="rId4874" ref="W3496"/>
    <hyperlink r:id="rId4875" ref="X3496"/>
    <hyperlink r:id="rId4876" ref="M3497"/>
    <hyperlink r:id="rId4877" ref="M3498"/>
    <hyperlink r:id="rId4878" ref="N3498"/>
    <hyperlink r:id="rId4879" ref="W3498"/>
    <hyperlink r:id="rId4880" ref="M3499"/>
    <hyperlink r:id="rId4881" ref="M3500"/>
    <hyperlink r:id="rId4882" ref="M3501"/>
    <hyperlink r:id="rId4883" ref="M3502"/>
    <hyperlink r:id="rId4884" ref="M3503"/>
    <hyperlink r:id="rId4885" ref="M3504"/>
    <hyperlink r:id="rId4886" ref="M3505"/>
    <hyperlink r:id="rId4887" ref="M3506"/>
    <hyperlink r:id="rId4888" ref="M3507"/>
    <hyperlink r:id="rId4889" ref="W3507"/>
    <hyperlink r:id="rId4890" ref="X3507"/>
    <hyperlink r:id="rId4891" ref="M3508"/>
    <hyperlink r:id="rId4892" ref="M3509"/>
    <hyperlink r:id="rId4893" ref="M3510"/>
    <hyperlink r:id="rId4894" ref="M3511"/>
    <hyperlink r:id="rId4895" ref="M3512"/>
    <hyperlink r:id="rId4896" ref="M3513"/>
    <hyperlink r:id="rId4897" ref="M3514"/>
    <hyperlink r:id="rId4898" ref="M3515"/>
    <hyperlink r:id="rId4899" ref="N3515"/>
    <hyperlink r:id="rId4900" ref="W3515"/>
    <hyperlink r:id="rId4901" ref="X3515"/>
    <hyperlink r:id="rId4902" ref="M3516"/>
    <hyperlink r:id="rId4903" ref="M3517"/>
    <hyperlink r:id="rId4904" ref="M3518"/>
    <hyperlink r:id="rId4905" ref="M3519"/>
    <hyperlink r:id="rId4906" ref="M3520"/>
    <hyperlink r:id="rId4907" ref="M3522"/>
    <hyperlink r:id="rId4908" ref="M3523"/>
    <hyperlink r:id="rId4909" ref="M3525"/>
    <hyperlink r:id="rId4910" ref="M3528"/>
    <hyperlink r:id="rId4911" ref="M3529"/>
    <hyperlink r:id="rId4912" ref="N3529"/>
    <hyperlink r:id="rId4913" ref="W3529"/>
    <hyperlink r:id="rId4914" ref="M3530"/>
    <hyperlink r:id="rId4915" ref="W3530"/>
    <hyperlink r:id="rId4916" ref="X3530"/>
    <hyperlink r:id="rId4917" ref="M3531"/>
    <hyperlink r:id="rId4918" ref="M3532"/>
    <hyperlink r:id="rId4919" ref="M3533"/>
    <hyperlink r:id="rId4920" ref="M3534"/>
    <hyperlink r:id="rId4921" ref="M3535"/>
    <hyperlink r:id="rId4922" ref="M3536"/>
    <hyperlink r:id="rId4923" ref="M3537"/>
    <hyperlink r:id="rId4924" ref="M3538"/>
    <hyperlink r:id="rId4925" ref="M3540"/>
    <hyperlink r:id="rId4926" ref="M3541"/>
    <hyperlink r:id="rId4927" ref="M3542"/>
    <hyperlink r:id="rId4928" ref="N3542"/>
    <hyperlink r:id="rId4929" ref="W3542"/>
    <hyperlink r:id="rId4930" ref="X3542"/>
    <hyperlink r:id="rId4931" ref="M3543"/>
    <hyperlink r:id="rId4932" ref="M3544"/>
    <hyperlink r:id="rId4933" ref="M3545"/>
    <hyperlink r:id="rId4934" ref="M3546"/>
    <hyperlink r:id="rId4935" ref="M3547"/>
    <hyperlink r:id="rId4936" ref="M3548"/>
    <hyperlink r:id="rId4937" ref="M3549"/>
    <hyperlink r:id="rId4938" ref="M3550"/>
    <hyperlink r:id="rId4939" ref="M3551"/>
    <hyperlink r:id="rId4940" ref="M3552"/>
    <hyperlink r:id="rId4941" ref="M3553"/>
    <hyperlink r:id="rId4942" ref="M3554"/>
    <hyperlink r:id="rId4943" ref="M3555"/>
    <hyperlink r:id="rId4944" ref="M3556"/>
    <hyperlink r:id="rId4945" ref="M3557"/>
    <hyperlink r:id="rId4946" ref="M3558"/>
    <hyperlink r:id="rId4947" ref="M3559"/>
    <hyperlink r:id="rId4948" ref="M3560"/>
    <hyperlink r:id="rId4949" ref="M3562"/>
    <hyperlink r:id="rId4950" ref="M3563"/>
    <hyperlink r:id="rId4951" ref="M3565"/>
    <hyperlink r:id="rId4952" ref="M3566"/>
    <hyperlink r:id="rId4953" ref="M3568"/>
    <hyperlink r:id="rId4954" ref="M3569"/>
    <hyperlink r:id="rId4955" ref="M3570"/>
    <hyperlink r:id="rId4956" ref="M3571"/>
    <hyperlink r:id="rId4957" ref="M3572"/>
    <hyperlink r:id="rId4958" ref="M3573"/>
    <hyperlink r:id="rId4959" ref="M3576"/>
    <hyperlink r:id="rId4960" ref="N3576"/>
    <hyperlink r:id="rId4961" ref="W3576"/>
    <hyperlink r:id="rId4962" ref="X3576"/>
    <hyperlink r:id="rId4963" ref="M3577"/>
    <hyperlink r:id="rId4964" ref="M3578"/>
    <hyperlink r:id="rId4965" ref="W3578"/>
    <hyperlink r:id="rId4966" ref="X3578"/>
    <hyperlink r:id="rId4967" ref="M3579"/>
    <hyperlink r:id="rId4968" ref="M3580"/>
    <hyperlink r:id="rId4969" ref="M3581"/>
    <hyperlink r:id="rId4970" ref="M3582"/>
    <hyperlink r:id="rId4971" ref="M3583"/>
    <hyperlink r:id="rId4972" ref="M3584"/>
    <hyperlink r:id="rId4973" ref="M3585"/>
    <hyperlink r:id="rId4974" ref="M3586"/>
    <hyperlink r:id="rId4975" ref="M3587"/>
    <hyperlink r:id="rId4976" ref="M3588"/>
    <hyperlink r:id="rId4977" ref="M3589"/>
    <hyperlink r:id="rId4978" ref="N3589"/>
    <hyperlink r:id="rId4979" ref="W3589"/>
    <hyperlink r:id="rId4980" ref="X3589"/>
    <hyperlink r:id="rId4981" ref="M3590"/>
    <hyperlink r:id="rId4982" ref="W3590"/>
    <hyperlink r:id="rId4983" ref="W3591"/>
    <hyperlink r:id="rId4984" ref="W3592"/>
    <hyperlink r:id="rId4985" ref="W3593"/>
    <hyperlink r:id="rId4986" ref="W3594"/>
    <hyperlink r:id="rId4987" ref="W3595"/>
    <hyperlink r:id="rId4988" ref="W3596"/>
    <hyperlink r:id="rId4989" ref="W3597"/>
    <hyperlink r:id="rId4990" ref="W3598"/>
    <hyperlink r:id="rId4991" ref="W3599"/>
    <hyperlink r:id="rId4992" ref="W3600"/>
    <hyperlink r:id="rId4993" ref="W3601"/>
    <hyperlink r:id="rId4994" ref="W3602"/>
    <hyperlink r:id="rId4995" ref="W3603"/>
    <hyperlink r:id="rId4996" ref="M3604"/>
    <hyperlink r:id="rId4997" ref="M3605"/>
    <hyperlink r:id="rId4998" ref="M3606"/>
    <hyperlink r:id="rId4999" ref="M3607"/>
    <hyperlink r:id="rId5000" ref="N3607"/>
    <hyperlink r:id="rId5001" ref="W3607"/>
    <hyperlink r:id="rId5002" ref="X3607"/>
    <hyperlink r:id="rId5003" ref="M3608"/>
    <hyperlink r:id="rId5004" ref="M3609"/>
    <hyperlink r:id="rId5005" ref="M3610"/>
    <hyperlink r:id="rId5006" ref="W3610"/>
    <hyperlink r:id="rId5007" ref="X3610"/>
    <hyperlink r:id="rId5008" ref="W3611"/>
    <hyperlink r:id="rId5009" ref="W3612"/>
    <hyperlink r:id="rId5010" ref="W3613"/>
    <hyperlink r:id="rId5011" ref="W3614"/>
    <hyperlink r:id="rId5012" ref="W3615"/>
    <hyperlink r:id="rId5013" ref="W3616"/>
    <hyperlink r:id="rId5014" ref="W3617"/>
    <hyperlink r:id="rId5015" ref="W3618"/>
    <hyperlink r:id="rId5016" ref="W3619"/>
    <hyperlink r:id="rId5017" ref="W3620"/>
    <hyperlink r:id="rId5018" ref="M3621"/>
    <hyperlink r:id="rId5019" ref="M3622"/>
    <hyperlink r:id="rId5020" ref="N3622"/>
    <hyperlink r:id="rId5021" ref="W3622"/>
    <hyperlink r:id="rId5022" ref="X3622"/>
    <hyperlink r:id="rId5023" ref="M3623"/>
    <hyperlink r:id="rId5024" ref="M3624"/>
    <hyperlink r:id="rId5025" ref="M3625"/>
    <hyperlink r:id="rId5026" ref="M3626"/>
    <hyperlink r:id="rId5027" ref="M3627"/>
    <hyperlink r:id="rId5028" ref="M3629"/>
    <hyperlink r:id="rId5029" ref="M3630"/>
    <hyperlink r:id="rId5030" ref="M3631"/>
    <hyperlink r:id="rId5031" ref="M3632"/>
    <hyperlink r:id="rId5032" ref="M3636"/>
    <hyperlink r:id="rId5033" ref="M3637"/>
    <hyperlink r:id="rId5034" ref="M3638"/>
    <hyperlink r:id="rId5035" ref="N3638"/>
    <hyperlink r:id="rId5036" ref="W3638"/>
    <hyperlink r:id="rId5037" ref="X3638"/>
    <hyperlink r:id="rId5038" ref="M3639"/>
    <hyperlink r:id="rId5039" ref="M3640"/>
    <hyperlink r:id="rId5040" ref="M3641"/>
    <hyperlink r:id="rId5041" ref="M3642"/>
    <hyperlink r:id="rId5042" ref="M3643"/>
    <hyperlink r:id="rId5043" ref="M3644"/>
    <hyperlink r:id="rId5044" ref="X3644"/>
    <hyperlink r:id="rId5045" ref="Y3644"/>
    <hyperlink r:id="rId5046" ref="M3645"/>
    <hyperlink r:id="rId5047" ref="M3646"/>
    <hyperlink r:id="rId5048" ref="M3647"/>
    <hyperlink r:id="rId5049" ref="M3648"/>
    <hyperlink r:id="rId5050" ref="N3648"/>
    <hyperlink r:id="rId5051" ref="W3648"/>
    <hyperlink r:id="rId5052" ref="X3648"/>
    <hyperlink r:id="rId5053" ref="M3649"/>
    <hyperlink r:id="rId5054" ref="N3649"/>
    <hyperlink r:id="rId5055" ref="W3649"/>
    <hyperlink r:id="rId5056" ref="X3649"/>
    <hyperlink r:id="rId5057" ref="M3650"/>
    <hyperlink r:id="rId5058" ref="M3651"/>
    <hyperlink r:id="rId5059" ref="M3652"/>
    <hyperlink r:id="rId5060" ref="M3653"/>
    <hyperlink r:id="rId5061" ref="M3654"/>
    <hyperlink r:id="rId5062" ref="M3655"/>
    <hyperlink r:id="rId5063" ref="M3656"/>
    <hyperlink r:id="rId5064" ref="M3657"/>
    <hyperlink r:id="rId5065" ref="M3658"/>
    <hyperlink r:id="rId5066" ref="M3660"/>
    <hyperlink r:id="rId5067" ref="M3661"/>
    <hyperlink r:id="rId5068" ref="M3662"/>
    <hyperlink r:id="rId5069" ref="M3663"/>
    <hyperlink r:id="rId5070" ref="N3663"/>
    <hyperlink r:id="rId5071" ref="W3663"/>
    <hyperlink r:id="rId5072" ref="N3664"/>
    <hyperlink r:id="rId5073" ref="W3664"/>
    <hyperlink r:id="rId5074" ref="M3665"/>
    <hyperlink r:id="rId5075" ref="M3666"/>
    <hyperlink r:id="rId5076" ref="M3667"/>
    <hyperlink r:id="rId5077" ref="M3668"/>
    <hyperlink r:id="rId5078" ref="M3669"/>
    <hyperlink r:id="rId5079" ref="M3670"/>
    <hyperlink r:id="rId5080" ref="M3671"/>
    <hyperlink r:id="rId5081" ref="M3672"/>
    <hyperlink r:id="rId5082" ref="M3673"/>
    <hyperlink r:id="rId5083" ref="M3674"/>
    <hyperlink r:id="rId5084" ref="M3675"/>
    <hyperlink r:id="rId5085" ref="N3675"/>
    <hyperlink r:id="rId5086" ref="W3675"/>
    <hyperlink r:id="rId5087" ref="X3675"/>
    <hyperlink r:id="rId5088" ref="M3676"/>
    <hyperlink r:id="rId5089" ref="M3677"/>
    <hyperlink r:id="rId5090" ref="M3678"/>
    <hyperlink r:id="rId5091" ref="M3679"/>
    <hyperlink r:id="rId5092" ref="M3680"/>
    <hyperlink r:id="rId5093" ref="W3680"/>
    <hyperlink r:id="rId5094" ref="X3680"/>
  </hyperlinks>
  <printOptions gridLines="1" horizontalCentered="1"/>
  <pageMargins bottom="0.75" footer="0.0" header="0.0" left="0.7" right="0.7" top="0.75"/>
  <pageSetup fitToHeight="0" cellComments="atEnd" orientation="landscape" pageOrder="overThenDown"/>
  <drawing r:id="rId5095"/>
  <legacyDrawing r:id="rId509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75"/>
  <cols>
    <col customWidth="1" min="1" max="1" width="31.5"/>
    <col customWidth="1" hidden="1" min="2" max="2" width="15.5"/>
    <col customWidth="1" min="3" max="3" width="19.38"/>
    <col customWidth="1" hidden="1" min="4" max="4" width="16.13"/>
    <col customWidth="1" min="5" max="5" width="13.63"/>
    <col customWidth="1" min="6" max="6" width="11.0"/>
    <col customWidth="1" min="7" max="7" width="10.5"/>
    <col customWidth="1" min="8" max="9" width="9.13"/>
    <col customWidth="1" min="10" max="10" width="7.75"/>
    <col customWidth="1" hidden="1" min="11" max="11" width="11.13"/>
    <col customWidth="1" min="12" max="12" width="55.0"/>
    <col customWidth="1" min="13" max="13" width="36.63"/>
    <col customWidth="1" min="14" max="14" width="31.25"/>
    <col customWidth="1" min="15" max="15" width="19.25"/>
    <col customWidth="1" min="16" max="16" width="22.5"/>
    <col customWidth="1" min="17" max="17" width="12.63"/>
    <col customWidth="1" min="18" max="69" width="14.13"/>
  </cols>
  <sheetData>
    <row r="1" ht="26.25" customHeight="1">
      <c r="A1" s="3"/>
      <c r="B1" s="3" t="s">
        <v>9346</v>
      </c>
      <c r="K1" s="3"/>
      <c r="L1" s="3"/>
      <c r="M1" s="6"/>
      <c r="N1" s="7"/>
      <c r="O1" s="8"/>
      <c r="P1" s="8"/>
      <c r="Q1" s="8"/>
      <c r="R1" s="8"/>
      <c r="S1" s="8"/>
      <c r="T1" s="8"/>
      <c r="U1" s="8"/>
      <c r="V1" s="8"/>
      <c r="W1" s="7"/>
      <c r="X1" s="7"/>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row>
    <row r="2">
      <c r="B2" s="10" t="s">
        <v>4</v>
      </c>
      <c r="C2" s="12" t="s">
        <v>5</v>
      </c>
      <c r="D2" s="11" t="s">
        <v>6</v>
      </c>
      <c r="F2" s="13"/>
      <c r="G2" s="13"/>
      <c r="H2" s="320"/>
      <c r="I2" s="13"/>
      <c r="J2" s="13"/>
      <c r="K2" s="13"/>
      <c r="L2" s="13"/>
      <c r="M2" s="14"/>
      <c r="N2" s="15"/>
      <c r="O2" s="16"/>
      <c r="P2" s="16"/>
      <c r="Q2" s="16"/>
      <c r="R2" s="16"/>
      <c r="S2" s="16"/>
      <c r="T2" s="16"/>
      <c r="U2" s="16"/>
      <c r="V2" s="16"/>
      <c r="W2" s="15"/>
      <c r="X2" s="15"/>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row>
    <row r="3" ht="26.25" customHeight="1">
      <c r="A3" s="17" t="s">
        <v>7</v>
      </c>
      <c r="B3" s="21" t="s">
        <v>8</v>
      </c>
      <c r="C3" s="19" t="s">
        <v>9</v>
      </c>
      <c r="D3" s="19" t="s">
        <v>10</v>
      </c>
      <c r="E3" s="17" t="s">
        <v>11</v>
      </c>
      <c r="F3" s="21" t="str">
        <f>"("&amp;sum(F10:F503)&amp;") # Arrested"</f>
        <v>(497) # Arrested</v>
      </c>
      <c r="G3" s="21" t="str">
        <f>"("&amp;sum(H10:H503)&amp;"+) # Rescued"</f>
        <v>(601+) # Rescued</v>
      </c>
      <c r="H3" s="22" t="s">
        <v>12</v>
      </c>
      <c r="I3" s="17" t="s">
        <v>13</v>
      </c>
      <c r="J3" s="17" t="s">
        <v>14</v>
      </c>
      <c r="K3" s="21" t="s">
        <v>15</v>
      </c>
      <c r="L3" s="17" t="s">
        <v>16</v>
      </c>
      <c r="M3" s="23" t="s">
        <v>17</v>
      </c>
      <c r="N3" s="23" t="s">
        <v>18</v>
      </c>
      <c r="O3" s="17" t="s">
        <v>19</v>
      </c>
      <c r="P3" s="17" t="s">
        <v>20</v>
      </c>
      <c r="Q3" s="24" t="str">
        <f>hyperlink("https://drive.google.com/open?id=1kVQwX9l9HJ5F76x05ic_YnU_Z5yiVS96LbzAOP66EzA", "("&amp;sum(Q32:Q3006)&amp;") Fed. Indictments")</f>
        <v>(141) Fed. Indictments</v>
      </c>
      <c r="R3" s="25" t="str">
        <f>hyperlink("https://docs.google.com/spreadsheets/d/1B-95giwldeKgsd0nYiw_sEaSf4kGNLZgEIvEhL2mVAw/", "("&amp;sum(R32:R3006)&amp;") Resignations")</f>
        <v>(0) Resignations</v>
      </c>
      <c r="S3" s="26" t="s">
        <v>21</v>
      </c>
      <c r="T3" s="26" t="s">
        <v>22</v>
      </c>
      <c r="U3" s="26" t="s">
        <v>23</v>
      </c>
      <c r="V3" s="27" t="s">
        <v>24</v>
      </c>
      <c r="W3" s="28" t="s">
        <v>25</v>
      </c>
      <c r="X3" s="28" t="s">
        <v>26</v>
      </c>
      <c r="Y3" s="28" t="s">
        <v>27</v>
      </c>
      <c r="Z3" s="29" t="s">
        <v>28</v>
      </c>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row>
    <row r="4">
      <c r="A4" s="37" t="s">
        <v>9347</v>
      </c>
      <c r="B4" s="322"/>
      <c r="C4" s="99">
        <v>42766.0</v>
      </c>
      <c r="D4" s="144"/>
      <c r="E4" s="37" t="s">
        <v>41</v>
      </c>
      <c r="F4" s="37">
        <v>1.0</v>
      </c>
      <c r="G4" s="37">
        <v>1.0</v>
      </c>
      <c r="H4" s="50">
        <v>1.0</v>
      </c>
      <c r="I4" s="37" t="s">
        <v>33</v>
      </c>
      <c r="J4" s="37" t="s">
        <v>68</v>
      </c>
      <c r="K4" s="37"/>
      <c r="L4" s="37" t="s">
        <v>9348</v>
      </c>
      <c r="M4" s="106" t="s">
        <v>9349</v>
      </c>
      <c r="N4" s="106"/>
      <c r="O4" s="16"/>
      <c r="P4" s="91"/>
      <c r="Q4" s="16"/>
      <c r="R4" s="16"/>
      <c r="S4" s="37"/>
      <c r="T4" s="38"/>
      <c r="U4" s="38"/>
      <c r="V4" s="38" t="s">
        <v>33</v>
      </c>
      <c r="W4" s="40"/>
      <c r="X4" s="40"/>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row>
    <row r="5">
      <c r="A5" s="37" t="s">
        <v>9350</v>
      </c>
      <c r="B5" s="322"/>
      <c r="C5" s="99">
        <v>42794.0</v>
      </c>
      <c r="D5" s="144"/>
      <c r="E5" s="37" t="s">
        <v>31</v>
      </c>
      <c r="F5" s="37">
        <v>1.0</v>
      </c>
      <c r="G5" s="37">
        <v>1.0</v>
      </c>
      <c r="H5" s="50">
        <v>1.0</v>
      </c>
      <c r="I5" s="37" t="s">
        <v>33</v>
      </c>
      <c r="J5" s="37" t="s">
        <v>241</v>
      </c>
      <c r="K5" s="37"/>
      <c r="L5" s="37" t="s">
        <v>9351</v>
      </c>
      <c r="M5" s="106" t="s">
        <v>9352</v>
      </c>
      <c r="N5" s="106" t="s">
        <v>9353</v>
      </c>
      <c r="O5" s="16"/>
      <c r="P5" s="91"/>
      <c r="Q5" s="16"/>
      <c r="R5" s="16"/>
      <c r="S5" s="37"/>
      <c r="T5" s="38"/>
      <c r="U5" s="38" t="b">
        <f t="shared" ref="U5:U6" si="1">countif(A$5:A3006, A5)&gt;1</f>
        <v>0</v>
      </c>
      <c r="V5" s="38" t="s">
        <v>33</v>
      </c>
      <c r="W5" s="40" t="s">
        <v>9354</v>
      </c>
      <c r="X5" s="40" t="s">
        <v>9355</v>
      </c>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row>
    <row r="6">
      <c r="A6" s="37" t="s">
        <v>9356</v>
      </c>
      <c r="B6" s="322"/>
      <c r="C6" s="99">
        <v>42795.0</v>
      </c>
      <c r="D6" s="144"/>
      <c r="E6" s="37" t="s">
        <v>41</v>
      </c>
      <c r="F6" s="37">
        <v>1.0</v>
      </c>
      <c r="G6" s="37" t="s">
        <v>32</v>
      </c>
      <c r="H6" s="50">
        <v>1.0</v>
      </c>
      <c r="I6" s="37" t="s">
        <v>33</v>
      </c>
      <c r="J6" s="37" t="s">
        <v>203</v>
      </c>
      <c r="K6" s="37"/>
      <c r="L6" s="37" t="s">
        <v>9357</v>
      </c>
      <c r="M6" s="46" t="s">
        <v>9358</v>
      </c>
      <c r="N6" s="106"/>
      <c r="O6" s="16"/>
      <c r="P6" s="37"/>
      <c r="Q6" s="64"/>
      <c r="R6" s="16"/>
      <c r="S6" s="37"/>
      <c r="T6" s="38"/>
      <c r="U6" s="38" t="b">
        <f t="shared" si="1"/>
        <v>0</v>
      </c>
      <c r="V6" s="38" t="s">
        <v>33</v>
      </c>
      <c r="W6" s="39" t="s">
        <v>9359</v>
      </c>
      <c r="X6" s="40"/>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row>
    <row r="7">
      <c r="A7" s="37" t="s">
        <v>9360</v>
      </c>
      <c r="B7" s="322"/>
      <c r="C7" s="99">
        <v>42813.0</v>
      </c>
      <c r="D7" s="144"/>
      <c r="E7" s="37" t="s">
        <v>31</v>
      </c>
      <c r="F7" s="37">
        <v>1.0</v>
      </c>
      <c r="G7" s="37" t="s">
        <v>32</v>
      </c>
      <c r="H7" s="50">
        <v>1.0</v>
      </c>
      <c r="I7" s="37" t="s">
        <v>33</v>
      </c>
      <c r="J7" s="37" t="s">
        <v>68</v>
      </c>
      <c r="K7" s="37"/>
      <c r="L7" s="37" t="s">
        <v>9361</v>
      </c>
      <c r="M7" s="46" t="s">
        <v>9362</v>
      </c>
      <c r="N7" s="106"/>
      <c r="O7" s="16"/>
      <c r="P7" s="37"/>
      <c r="Q7" s="64"/>
      <c r="R7" s="16"/>
      <c r="S7" s="37"/>
      <c r="T7" s="38"/>
      <c r="U7" s="38"/>
      <c r="V7" s="38" t="s">
        <v>33</v>
      </c>
      <c r="W7" s="39" t="s">
        <v>9363</v>
      </c>
      <c r="X7" s="39" t="s">
        <v>9364</v>
      </c>
      <c r="Y7" s="38"/>
      <c r="Z7" s="38">
        <v>4630.0</v>
      </c>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row>
    <row r="8">
      <c r="A8" s="37" t="s">
        <v>566</v>
      </c>
      <c r="B8" s="322"/>
      <c r="C8" s="99">
        <v>42837.0</v>
      </c>
      <c r="D8" s="144"/>
      <c r="E8" s="37" t="s">
        <v>41</v>
      </c>
      <c r="F8" s="37">
        <v>1.0</v>
      </c>
      <c r="G8" s="37">
        <v>1.0</v>
      </c>
      <c r="H8" s="50">
        <v>1.0</v>
      </c>
      <c r="I8" s="37" t="s">
        <v>33</v>
      </c>
      <c r="J8" s="37" t="s">
        <v>203</v>
      </c>
      <c r="K8" s="37"/>
      <c r="L8" s="37" t="s">
        <v>567</v>
      </c>
      <c r="M8" s="46" t="s">
        <v>568</v>
      </c>
      <c r="N8" s="106"/>
      <c r="O8" s="16"/>
      <c r="P8" s="37"/>
      <c r="Q8" s="64"/>
      <c r="R8" s="16"/>
      <c r="S8" s="37"/>
      <c r="T8" s="38"/>
      <c r="U8" s="38" t="b">
        <f>countif(A$5:A3006, A8)&gt;1</f>
        <v>0</v>
      </c>
      <c r="V8" s="38" t="s">
        <v>33</v>
      </c>
      <c r="W8" s="40"/>
      <c r="X8" s="40"/>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row>
    <row r="9">
      <c r="A9" s="37" t="s">
        <v>9365</v>
      </c>
      <c r="B9" s="322"/>
      <c r="C9" s="99">
        <v>42841.0</v>
      </c>
      <c r="D9" s="144"/>
      <c r="E9" s="37" t="s">
        <v>41</v>
      </c>
      <c r="F9" s="37">
        <v>1.0</v>
      </c>
      <c r="G9" s="37" t="s">
        <v>32</v>
      </c>
      <c r="H9" s="50">
        <v>1.0</v>
      </c>
      <c r="I9" s="37" t="s">
        <v>33</v>
      </c>
      <c r="J9" s="37" t="s">
        <v>514</v>
      </c>
      <c r="K9" s="37"/>
      <c r="L9" s="37" t="s">
        <v>9366</v>
      </c>
      <c r="M9" s="36" t="s">
        <v>9367</v>
      </c>
      <c r="N9" s="106"/>
      <c r="O9" s="16"/>
      <c r="P9" s="37"/>
      <c r="Q9" s="64"/>
      <c r="R9" s="16"/>
      <c r="S9" s="37"/>
      <c r="T9" s="38"/>
      <c r="U9" s="38"/>
      <c r="V9" s="38" t="s">
        <v>33</v>
      </c>
      <c r="W9" s="40"/>
      <c r="X9" s="40"/>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row>
    <row r="10">
      <c r="A10" s="37" t="s">
        <v>9368</v>
      </c>
      <c r="B10" s="322">
        <v>43490.0</v>
      </c>
      <c r="C10" s="100">
        <v>42856.0</v>
      </c>
      <c r="D10" s="144" t="s">
        <v>649</v>
      </c>
      <c r="E10" s="37" t="s">
        <v>41</v>
      </c>
      <c r="F10" s="37">
        <v>1.0</v>
      </c>
      <c r="G10" s="37">
        <v>1.0</v>
      </c>
      <c r="H10" s="50">
        <v>1.0</v>
      </c>
      <c r="I10" s="37" t="s">
        <v>33</v>
      </c>
      <c r="J10" s="37" t="s">
        <v>652</v>
      </c>
      <c r="K10" s="37">
        <v>4.0</v>
      </c>
      <c r="L10" s="37" t="s">
        <v>9366</v>
      </c>
      <c r="M10" s="36" t="s">
        <v>9369</v>
      </c>
      <c r="N10" s="106"/>
      <c r="O10" s="16"/>
      <c r="P10" s="37"/>
      <c r="Q10" s="64"/>
      <c r="R10" s="16"/>
      <c r="S10" s="37" t="str">
        <f>IFERROR(__xludf.DUMMYFUNCTION("if(not(iserror(index(split(C10, "" ""),2))), index(split(C10, "" ""),1),"""")"),"May,")</f>
        <v>May,</v>
      </c>
      <c r="T10" s="38">
        <f>IFERROR(__xludf.DUMMYFUNCTION("if(S10="""",C10,if(not(iserror(index(split(C10, "" ""),3))), index(split(C10, "" ""),3),index(split(C10, "" ""),2)))"),2017.0)</f>
        <v>2017</v>
      </c>
      <c r="U10" s="38" t="b">
        <f t="shared" ref="U10:U20" si="2">countif(A$5:A3006, A10)&gt;1</f>
        <v>0</v>
      </c>
      <c r="V10" s="38"/>
      <c r="W10" s="40"/>
      <c r="X10" s="40"/>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row>
    <row r="11">
      <c r="A11" s="87" t="s">
        <v>9370</v>
      </c>
      <c r="B11" s="322"/>
      <c r="C11" s="100">
        <v>42856.0</v>
      </c>
      <c r="D11" s="144"/>
      <c r="E11" s="37" t="s">
        <v>41</v>
      </c>
      <c r="F11" s="37">
        <v>1.0</v>
      </c>
      <c r="G11" s="37">
        <v>1.0</v>
      </c>
      <c r="H11" s="50">
        <v>1.0</v>
      </c>
      <c r="I11" s="37" t="s">
        <v>33</v>
      </c>
      <c r="J11" s="37" t="s">
        <v>283</v>
      </c>
      <c r="K11" s="37"/>
      <c r="L11" s="37" t="s">
        <v>9366</v>
      </c>
      <c r="M11" s="36" t="s">
        <v>9371</v>
      </c>
      <c r="N11" s="106"/>
      <c r="O11" s="57" t="str">
        <f>hyperlink("https://bad-boys.us/?q=D-NV/2:18-cr-00282", "D-NV 2:18-cr-00282")</f>
        <v>D-NV 2:18-cr-00282</v>
      </c>
      <c r="P11" s="86" t="s">
        <v>9372</v>
      </c>
      <c r="Q11" s="64">
        <v>1.0</v>
      </c>
      <c r="R11" s="16"/>
      <c r="S11" s="37"/>
      <c r="T11" s="38"/>
      <c r="U11" s="38" t="b">
        <f t="shared" si="2"/>
        <v>0</v>
      </c>
      <c r="V11" s="38" t="s">
        <v>33</v>
      </c>
      <c r="W11" s="40"/>
      <c r="X11" s="40"/>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row>
    <row r="12">
      <c r="A12" s="87" t="s">
        <v>9373</v>
      </c>
      <c r="B12" s="323"/>
      <c r="C12" s="30">
        <v>42857.0</v>
      </c>
      <c r="D12" s="32"/>
      <c r="E12" s="13" t="s">
        <v>41</v>
      </c>
      <c r="F12" s="13">
        <v>1.0</v>
      </c>
      <c r="G12" s="13">
        <v>1.0</v>
      </c>
      <c r="H12" s="50">
        <v>1.0</v>
      </c>
      <c r="I12" s="13" t="s">
        <v>33</v>
      </c>
      <c r="J12" s="13" t="s">
        <v>440</v>
      </c>
      <c r="K12" s="13"/>
      <c r="L12" s="34" t="s">
        <v>9366</v>
      </c>
      <c r="M12" s="106" t="s">
        <v>9374</v>
      </c>
      <c r="N12" s="288"/>
      <c r="O12" s="57" t="str">
        <f>hyperlink("https://bad-boys.us/?q=D-CT/3:18-cr-00308", "D-CT 3:18-cr-00308")</f>
        <v>D-CT 3:18-cr-00308</v>
      </c>
      <c r="P12" s="86" t="s">
        <v>9375</v>
      </c>
      <c r="Q12" s="37">
        <v>1.0</v>
      </c>
      <c r="R12" s="91"/>
      <c r="S12" s="37"/>
      <c r="T12" s="38"/>
      <c r="U12" s="38" t="b">
        <f t="shared" si="2"/>
        <v>0</v>
      </c>
      <c r="V12" s="38" t="s">
        <v>33</v>
      </c>
      <c r="W12" s="40"/>
      <c r="X12" s="40"/>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row>
    <row r="13">
      <c r="A13" s="37" t="s">
        <v>9376</v>
      </c>
      <c r="B13" s="159">
        <v>43504.0</v>
      </c>
      <c r="C13" s="99">
        <v>42867.0</v>
      </c>
      <c r="D13" s="99">
        <v>42867.0</v>
      </c>
      <c r="E13" s="37" t="s">
        <v>41</v>
      </c>
      <c r="F13" s="37">
        <v>1.0</v>
      </c>
      <c r="G13" s="37" t="s">
        <v>32</v>
      </c>
      <c r="H13" s="200">
        <v>1.0</v>
      </c>
      <c r="I13" s="37" t="s">
        <v>33</v>
      </c>
      <c r="J13" s="37" t="s">
        <v>111</v>
      </c>
      <c r="K13" s="37">
        <v>1.0</v>
      </c>
      <c r="L13" s="37" t="s">
        <v>7593</v>
      </c>
      <c r="M13" s="36" t="s">
        <v>9377</v>
      </c>
      <c r="N13" s="16"/>
      <c r="O13" s="16"/>
      <c r="P13" s="37"/>
      <c r="Q13" s="37"/>
      <c r="R13" s="16"/>
      <c r="S13" s="37" t="s">
        <v>9378</v>
      </c>
      <c r="T13" s="37">
        <v>2017.0</v>
      </c>
      <c r="U13" s="38" t="b">
        <f t="shared" si="2"/>
        <v>0</v>
      </c>
      <c r="V13" s="201" t="s">
        <v>33</v>
      </c>
      <c r="W13" s="15"/>
      <c r="X13" s="15"/>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row>
    <row r="14">
      <c r="A14" s="37" t="s">
        <v>9379</v>
      </c>
      <c r="B14" s="322">
        <v>43441.0</v>
      </c>
      <c r="C14" s="100">
        <v>42887.0</v>
      </c>
      <c r="D14" s="144" t="s">
        <v>1844</v>
      </c>
      <c r="E14" s="37" t="s">
        <v>41</v>
      </c>
      <c r="F14" s="37">
        <v>1.0</v>
      </c>
      <c r="G14" s="37">
        <v>1.0</v>
      </c>
      <c r="H14" s="50">
        <v>1.0</v>
      </c>
      <c r="I14" s="37" t="s">
        <v>33</v>
      </c>
      <c r="J14" s="37" t="s">
        <v>652</v>
      </c>
      <c r="K14" s="37">
        <v>1.0</v>
      </c>
      <c r="L14" s="58" t="s">
        <v>9380</v>
      </c>
      <c r="M14" s="36" t="s">
        <v>9381</v>
      </c>
      <c r="N14" s="15"/>
      <c r="O14" s="57" t="str">
        <f>hyperlink("https://bad-boys.us/?q=D-ND/ND_Oct.pdf", "D-ND ND_Oct.pdf ❓")</f>
        <v>D-ND ND_Oct.pdf ❓</v>
      </c>
      <c r="P14" s="86" t="s">
        <v>9382</v>
      </c>
      <c r="Q14" s="37">
        <v>1.0</v>
      </c>
      <c r="R14" s="16"/>
      <c r="S14" s="37" t="s">
        <v>9383</v>
      </c>
      <c r="T14" s="38">
        <v>2017.0</v>
      </c>
      <c r="U14" s="38" t="b">
        <f t="shared" si="2"/>
        <v>0</v>
      </c>
      <c r="V14" s="38"/>
      <c r="W14" s="40"/>
      <c r="X14" s="40"/>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row>
    <row r="15">
      <c r="A15" s="37" t="s">
        <v>9384</v>
      </c>
      <c r="B15" s="322"/>
      <c r="C15" s="99">
        <v>42895.0</v>
      </c>
      <c r="D15" s="144"/>
      <c r="E15" s="37" t="s">
        <v>41</v>
      </c>
      <c r="F15" s="37">
        <v>1.0</v>
      </c>
      <c r="G15" s="37" t="s">
        <v>32</v>
      </c>
      <c r="H15" s="50">
        <v>1.0</v>
      </c>
      <c r="I15" s="37" t="s">
        <v>33</v>
      </c>
      <c r="J15" s="37" t="s">
        <v>68</v>
      </c>
      <c r="K15" s="37"/>
      <c r="L15" s="34" t="s">
        <v>9385</v>
      </c>
      <c r="M15" s="14" t="s">
        <v>9386</v>
      </c>
      <c r="N15" s="15"/>
      <c r="O15" s="57" t="str">
        <f>hyperlink("https://bad-boys.us/?q=D-OR/6:18-cr-00299", "D-OR 6:18-cr-00299")</f>
        <v>D-OR 6:18-cr-00299</v>
      </c>
      <c r="P15" s="86" t="s">
        <v>9387</v>
      </c>
      <c r="Q15" s="37">
        <v>1.0</v>
      </c>
      <c r="R15" s="37"/>
      <c r="S15" s="37"/>
      <c r="T15" s="38"/>
      <c r="U15" s="38" t="b">
        <f t="shared" si="2"/>
        <v>0</v>
      </c>
      <c r="V15" s="38" t="s">
        <v>33</v>
      </c>
      <c r="W15" s="40"/>
      <c r="X15" s="40"/>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row>
    <row r="16">
      <c r="A16" s="37" t="s">
        <v>9388</v>
      </c>
      <c r="B16" s="322">
        <v>43437.0</v>
      </c>
      <c r="C16" s="99">
        <v>42902.0</v>
      </c>
      <c r="D16" s="144" t="s">
        <v>853</v>
      </c>
      <c r="E16" s="37" t="s">
        <v>41</v>
      </c>
      <c r="F16" s="37">
        <v>1.0</v>
      </c>
      <c r="G16" s="37">
        <v>1.0</v>
      </c>
      <c r="H16" s="50">
        <v>1.0</v>
      </c>
      <c r="I16" s="37" t="s">
        <v>33</v>
      </c>
      <c r="J16" s="37" t="s">
        <v>93</v>
      </c>
      <c r="K16" s="37">
        <v>3.0</v>
      </c>
      <c r="L16" s="34" t="s">
        <v>4960</v>
      </c>
      <c r="M16" s="36" t="s">
        <v>9389</v>
      </c>
      <c r="N16" s="15"/>
      <c r="O16" s="57" t="str">
        <f>hyperlink("https://bad-boys.us/?q=SD-NY/7:18-cr-00163", "SD-NY 7:18-cr-00163")</f>
        <v>SD-NY 7:18-cr-00163</v>
      </c>
      <c r="P16" s="86" t="s">
        <v>9390</v>
      </c>
      <c r="Q16" s="37">
        <v>1.0</v>
      </c>
      <c r="R16" s="37"/>
      <c r="S16" s="37" t="s">
        <v>9383</v>
      </c>
      <c r="T16" s="38">
        <v>2017.0</v>
      </c>
      <c r="U16" s="38" t="b">
        <f t="shared" si="2"/>
        <v>0</v>
      </c>
      <c r="V16" s="38"/>
      <c r="W16" s="40"/>
      <c r="X16" s="40"/>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row>
    <row r="17">
      <c r="A17" s="37" t="s">
        <v>9391</v>
      </c>
      <c r="B17" s="322"/>
      <c r="C17" s="99">
        <v>42907.0</v>
      </c>
      <c r="D17" s="144"/>
      <c r="E17" s="37" t="s">
        <v>41</v>
      </c>
      <c r="F17" s="37">
        <v>1.0</v>
      </c>
      <c r="G17" s="37" t="s">
        <v>32</v>
      </c>
      <c r="H17" s="50">
        <v>1.0</v>
      </c>
      <c r="I17" s="37" t="s">
        <v>33</v>
      </c>
      <c r="J17" s="37" t="s">
        <v>909</v>
      </c>
      <c r="K17" s="37"/>
      <c r="L17" s="37" t="s">
        <v>9392</v>
      </c>
      <c r="M17" s="36" t="s">
        <v>9393</v>
      </c>
      <c r="N17" s="15"/>
      <c r="O17" s="57" t="str">
        <f>hyperlink("https://bad-boys.us/?q=D-RI/1:17-cr-00125", "D-RI 1:17-cr-00125")</f>
        <v>D-RI 1:17-cr-00125</v>
      </c>
      <c r="P17" s="86" t="s">
        <v>9394</v>
      </c>
      <c r="Q17" s="64">
        <v>1.0</v>
      </c>
      <c r="R17" s="16"/>
      <c r="S17" s="37"/>
      <c r="T17" s="38"/>
      <c r="U17" s="38" t="b">
        <f t="shared" si="2"/>
        <v>0</v>
      </c>
      <c r="V17" s="38" t="s">
        <v>33</v>
      </c>
      <c r="W17" s="40"/>
      <c r="X17" s="40"/>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row>
    <row r="18">
      <c r="A18" s="37" t="s">
        <v>9395</v>
      </c>
      <c r="B18" s="322">
        <v>43494.0</v>
      </c>
      <c r="C18" s="100">
        <v>42917.0</v>
      </c>
      <c r="D18" s="144"/>
      <c r="E18" s="37" t="s">
        <v>41</v>
      </c>
      <c r="F18" s="37">
        <v>1.0</v>
      </c>
      <c r="G18" s="37">
        <v>1.0</v>
      </c>
      <c r="H18" s="50">
        <v>1.0</v>
      </c>
      <c r="I18" s="37" t="s">
        <v>33</v>
      </c>
      <c r="J18" s="37" t="s">
        <v>203</v>
      </c>
      <c r="K18" s="37">
        <v>1.0</v>
      </c>
      <c r="L18" s="37" t="s">
        <v>9396</v>
      </c>
      <c r="M18" s="36" t="s">
        <v>9397</v>
      </c>
      <c r="N18" s="15"/>
      <c r="O18" s="16"/>
      <c r="P18" s="37"/>
      <c r="Q18" s="64"/>
      <c r="R18" s="16"/>
      <c r="S18" s="37" t="str">
        <f>IFERROR(__xludf.DUMMYFUNCTION("if(not(iserror(index(split(C18, "" ""),2))), index(split(C18, "" ""),1),"""")"),"July,")</f>
        <v>July,</v>
      </c>
      <c r="T18" s="38">
        <f>IFERROR(__xludf.DUMMYFUNCTION("if(S18="""",C18,if(not(iserror(index(split(C18, "" ""),3))), index(split(C18, "" ""),3),index(split(C18, "" ""),2)))"),2017.0)</f>
        <v>2017</v>
      </c>
      <c r="U18" s="38" t="b">
        <f t="shared" si="2"/>
        <v>0</v>
      </c>
      <c r="V18" s="38"/>
      <c r="W18" s="40"/>
      <c r="X18" s="40"/>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row>
    <row r="19">
      <c r="A19" s="87" t="s">
        <v>9398</v>
      </c>
      <c r="B19" s="322"/>
      <c r="C19" s="99">
        <v>42933.0</v>
      </c>
      <c r="D19" s="144"/>
      <c r="E19" s="37" t="s">
        <v>31</v>
      </c>
      <c r="F19" s="37">
        <v>1.0</v>
      </c>
      <c r="G19" s="37" t="s">
        <v>32</v>
      </c>
      <c r="H19" s="50">
        <v>1.0</v>
      </c>
      <c r="I19" s="37" t="s">
        <v>33</v>
      </c>
      <c r="J19" s="37" t="s">
        <v>279</v>
      </c>
      <c r="K19" s="37"/>
      <c r="L19" s="37" t="s">
        <v>9399</v>
      </c>
      <c r="M19" s="36" t="s">
        <v>9400</v>
      </c>
      <c r="N19" s="36" t="s">
        <v>9401</v>
      </c>
      <c r="O19" s="16"/>
      <c r="P19" s="37"/>
      <c r="Q19" s="64"/>
      <c r="R19" s="16"/>
      <c r="S19" s="37"/>
      <c r="T19" s="38"/>
      <c r="U19" s="38" t="b">
        <f t="shared" si="2"/>
        <v>0</v>
      </c>
      <c r="V19" s="38" t="s">
        <v>33</v>
      </c>
      <c r="W19" s="39" t="s">
        <v>9402</v>
      </c>
      <c r="X19" s="39" t="s">
        <v>9403</v>
      </c>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row>
    <row r="20">
      <c r="A20" s="87" t="s">
        <v>9404</v>
      </c>
      <c r="B20" s="322"/>
      <c r="C20" s="100">
        <v>42948.0</v>
      </c>
      <c r="D20" s="144"/>
      <c r="E20" s="37" t="s">
        <v>41</v>
      </c>
      <c r="F20" s="37">
        <v>1.0</v>
      </c>
      <c r="G20" s="37">
        <v>1.0</v>
      </c>
      <c r="H20" s="50">
        <v>1.0</v>
      </c>
      <c r="I20" s="37" t="s">
        <v>33</v>
      </c>
      <c r="J20" s="37" t="s">
        <v>410</v>
      </c>
      <c r="K20" s="37"/>
      <c r="L20" s="37" t="s">
        <v>9405</v>
      </c>
      <c r="M20" s="14" t="s">
        <v>9406</v>
      </c>
      <c r="N20" s="14"/>
      <c r="O20" s="16"/>
      <c r="P20" s="37"/>
      <c r="Q20" s="64"/>
      <c r="R20" s="16"/>
      <c r="S20" s="37"/>
      <c r="T20" s="38"/>
      <c r="U20" s="38" t="b">
        <f t="shared" si="2"/>
        <v>0</v>
      </c>
      <c r="V20" s="38" t="s">
        <v>33</v>
      </c>
      <c r="W20" s="40"/>
      <c r="X20" s="40"/>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row>
    <row r="21">
      <c r="A21" s="87" t="s">
        <v>9407</v>
      </c>
      <c r="B21" s="322"/>
      <c r="C21" s="99">
        <v>42948.0</v>
      </c>
      <c r="D21" s="144"/>
      <c r="E21" s="37" t="s">
        <v>31</v>
      </c>
      <c r="F21" s="37">
        <v>1.0</v>
      </c>
      <c r="G21" s="37">
        <v>1.0</v>
      </c>
      <c r="H21" s="50">
        <v>1.0</v>
      </c>
      <c r="I21" s="37" t="s">
        <v>33</v>
      </c>
      <c r="J21" s="37" t="s">
        <v>288</v>
      </c>
      <c r="K21" s="37"/>
      <c r="L21" s="37" t="s">
        <v>9408</v>
      </c>
      <c r="M21" s="36" t="s">
        <v>9409</v>
      </c>
      <c r="N21" s="14"/>
      <c r="O21" s="16"/>
      <c r="P21" s="37"/>
      <c r="Q21" s="64"/>
      <c r="R21" s="16"/>
      <c r="S21" s="37"/>
      <c r="T21" s="38"/>
      <c r="U21" s="38"/>
      <c r="V21" s="38" t="s">
        <v>33</v>
      </c>
      <c r="W21" s="39" t="s">
        <v>9410</v>
      </c>
      <c r="X21" s="39" t="s">
        <v>9411</v>
      </c>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row>
    <row r="22">
      <c r="A22" s="87" t="s">
        <v>9412</v>
      </c>
      <c r="B22" s="322"/>
      <c r="C22" s="99">
        <v>42963.0</v>
      </c>
      <c r="D22" s="144"/>
      <c r="E22" s="37" t="s">
        <v>41</v>
      </c>
      <c r="F22" s="37">
        <v>1.0</v>
      </c>
      <c r="G22" s="37" t="s">
        <v>32</v>
      </c>
      <c r="H22" s="50">
        <v>1.0</v>
      </c>
      <c r="I22" s="37" t="s">
        <v>33</v>
      </c>
      <c r="J22" s="37" t="s">
        <v>47</v>
      </c>
      <c r="K22" s="37"/>
      <c r="L22" s="37" t="s">
        <v>7593</v>
      </c>
      <c r="M22" s="36" t="s">
        <v>9413</v>
      </c>
      <c r="N22" s="14"/>
      <c r="O22" s="16"/>
      <c r="P22" s="37"/>
      <c r="Q22" s="64"/>
      <c r="R22" s="16"/>
      <c r="S22" s="37"/>
      <c r="T22" s="38"/>
      <c r="U22" s="38" t="b">
        <f t="shared" ref="U22:U23" si="3">countif(A$5:A3006, A22)&gt;1</f>
        <v>0</v>
      </c>
      <c r="V22" s="38" t="s">
        <v>33</v>
      </c>
      <c r="W22" s="40"/>
      <c r="X22" s="40"/>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c r="A23" s="87" t="s">
        <v>9414</v>
      </c>
      <c r="B23" s="322"/>
      <c r="C23" s="99">
        <v>42968.0</v>
      </c>
      <c r="D23" s="144"/>
      <c r="E23" s="37" t="s">
        <v>41</v>
      </c>
      <c r="F23" s="37">
        <v>1.0</v>
      </c>
      <c r="G23" s="37" t="s">
        <v>32</v>
      </c>
      <c r="H23" s="50">
        <v>1.0</v>
      </c>
      <c r="I23" s="37" t="s">
        <v>33</v>
      </c>
      <c r="J23" s="37" t="s">
        <v>124</v>
      </c>
      <c r="K23" s="37"/>
      <c r="L23" s="37" t="s">
        <v>7593</v>
      </c>
      <c r="M23" s="36" t="s">
        <v>9415</v>
      </c>
      <c r="N23" s="36" t="s">
        <v>9415</v>
      </c>
      <c r="O23" s="16"/>
      <c r="P23" s="37"/>
      <c r="Q23" s="64"/>
      <c r="R23" s="16"/>
      <c r="S23" s="37"/>
      <c r="T23" s="38"/>
      <c r="U23" s="38" t="b">
        <f t="shared" si="3"/>
        <v>0</v>
      </c>
      <c r="V23" s="38" t="s">
        <v>33</v>
      </c>
      <c r="W23" s="40"/>
      <c r="X23" s="40"/>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c r="A24" s="87" t="s">
        <v>9416</v>
      </c>
      <c r="B24" s="322"/>
      <c r="C24" s="99">
        <v>42985.0</v>
      </c>
      <c r="D24" s="144"/>
      <c r="E24" s="37" t="s">
        <v>31</v>
      </c>
      <c r="F24" s="37">
        <v>1.0</v>
      </c>
      <c r="G24" s="37" t="s">
        <v>32</v>
      </c>
      <c r="H24" s="50">
        <v>1.0</v>
      </c>
      <c r="I24" s="37" t="s">
        <v>33</v>
      </c>
      <c r="J24" s="37" t="s">
        <v>93</v>
      </c>
      <c r="K24" s="37"/>
      <c r="L24" s="37" t="s">
        <v>9417</v>
      </c>
      <c r="M24" s="36" t="s">
        <v>9418</v>
      </c>
      <c r="N24" s="36" t="s">
        <v>9419</v>
      </c>
      <c r="O24" s="16"/>
      <c r="P24" s="91"/>
      <c r="Q24" s="16"/>
      <c r="R24" s="16"/>
      <c r="S24" s="37"/>
      <c r="T24" s="38"/>
      <c r="U24" s="38"/>
      <c r="V24" s="38" t="s">
        <v>33</v>
      </c>
      <c r="W24" s="39" t="s">
        <v>9420</v>
      </c>
      <c r="X24" s="39" t="s">
        <v>9421</v>
      </c>
      <c r="Y24" s="38"/>
      <c r="Z24" s="38">
        <v>4630.0</v>
      </c>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c r="A25" s="87" t="s">
        <v>9422</v>
      </c>
      <c r="B25" s="322"/>
      <c r="C25" s="99">
        <v>42999.0</v>
      </c>
      <c r="D25" s="144"/>
      <c r="E25" s="37" t="s">
        <v>41</v>
      </c>
      <c r="F25" s="37">
        <v>1.0</v>
      </c>
      <c r="G25" s="37">
        <v>1.0</v>
      </c>
      <c r="H25" s="50">
        <v>1.0</v>
      </c>
      <c r="I25" s="37" t="s">
        <v>33</v>
      </c>
      <c r="J25" s="37" t="s">
        <v>147</v>
      </c>
      <c r="K25" s="37"/>
      <c r="L25" s="37" t="s">
        <v>9366</v>
      </c>
      <c r="M25" s="36" t="s">
        <v>9423</v>
      </c>
      <c r="N25" s="14"/>
      <c r="O25" s="16"/>
      <c r="P25" s="37"/>
      <c r="Q25" s="64"/>
      <c r="R25" s="16"/>
      <c r="S25" s="37"/>
      <c r="T25" s="38"/>
      <c r="U25" s="38" t="b">
        <f t="shared" ref="U25:U42" si="4">countif(A$5:A3006, A25)&gt;1</f>
        <v>0</v>
      </c>
      <c r="V25" s="38" t="s">
        <v>33</v>
      </c>
      <c r="W25" s="40"/>
      <c r="X25" s="40"/>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c r="A26" s="87" t="s">
        <v>9424</v>
      </c>
      <c r="B26" s="322"/>
      <c r="C26" s="100">
        <v>43009.0</v>
      </c>
      <c r="D26" s="144"/>
      <c r="E26" s="37" t="s">
        <v>31</v>
      </c>
      <c r="F26" s="37">
        <v>1.0</v>
      </c>
      <c r="G26" s="37">
        <v>1.0</v>
      </c>
      <c r="H26" s="50">
        <v>1.0</v>
      </c>
      <c r="I26" s="37" t="s">
        <v>33</v>
      </c>
      <c r="J26" s="37" t="s">
        <v>61</v>
      </c>
      <c r="K26" s="37"/>
      <c r="L26" s="37" t="s">
        <v>9366</v>
      </c>
      <c r="M26" s="36" t="s">
        <v>9425</v>
      </c>
      <c r="N26" s="36" t="s">
        <v>9426</v>
      </c>
      <c r="O26" s="16"/>
      <c r="P26" s="37"/>
      <c r="Q26" s="64"/>
      <c r="R26" s="16"/>
      <c r="S26" s="37"/>
      <c r="T26" s="38"/>
      <c r="U26" s="38" t="b">
        <f t="shared" si="4"/>
        <v>0</v>
      </c>
      <c r="V26" s="38" t="s">
        <v>33</v>
      </c>
      <c r="W26" s="39" t="s">
        <v>9427</v>
      </c>
      <c r="X26" s="39" t="s">
        <v>9428</v>
      </c>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c r="A27" s="87" t="s">
        <v>9429</v>
      </c>
      <c r="B27" s="322"/>
      <c r="C27" s="100">
        <v>43019.0</v>
      </c>
      <c r="D27" s="144"/>
      <c r="E27" s="37" t="s">
        <v>41</v>
      </c>
      <c r="F27" s="37">
        <v>1.0</v>
      </c>
      <c r="G27" s="37" t="s">
        <v>32</v>
      </c>
      <c r="H27" s="50">
        <v>4.0</v>
      </c>
      <c r="I27" s="37" t="s">
        <v>33</v>
      </c>
      <c r="J27" s="37" t="s">
        <v>203</v>
      </c>
      <c r="K27" s="37"/>
      <c r="L27" s="37" t="s">
        <v>9417</v>
      </c>
      <c r="M27" s="36" t="s">
        <v>9430</v>
      </c>
      <c r="N27" s="36" t="s">
        <v>9431</v>
      </c>
      <c r="O27" s="16"/>
      <c r="P27" s="37"/>
      <c r="Q27" s="64"/>
      <c r="R27" s="16"/>
      <c r="S27" s="37"/>
      <c r="T27" s="38"/>
      <c r="U27" s="38" t="b">
        <f t="shared" si="4"/>
        <v>0</v>
      </c>
      <c r="V27" s="38" t="s">
        <v>33</v>
      </c>
      <c r="W27" s="40"/>
      <c r="X27" s="40"/>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c r="A28" s="87" t="s">
        <v>9432</v>
      </c>
      <c r="B28" s="322"/>
      <c r="C28" s="100">
        <v>43029.0</v>
      </c>
      <c r="D28" s="144"/>
      <c r="E28" s="37" t="s">
        <v>31</v>
      </c>
      <c r="F28" s="37">
        <v>1.0</v>
      </c>
      <c r="G28" s="37" t="s">
        <v>32</v>
      </c>
      <c r="H28" s="50">
        <v>1.0</v>
      </c>
      <c r="I28" s="37" t="s">
        <v>33</v>
      </c>
      <c r="J28" s="37" t="s">
        <v>75</v>
      </c>
      <c r="K28" s="37"/>
      <c r="L28" s="37" t="s">
        <v>9433</v>
      </c>
      <c r="M28" s="36" t="s">
        <v>9434</v>
      </c>
      <c r="N28" s="36" t="s">
        <v>9435</v>
      </c>
      <c r="O28" s="57" t="str">
        <f>hyperlink("https://bad-boys.us/?q=ED-KY/3:18-cr-00007", "ED-KY 3:18-cr-00007")</f>
        <v>ED-KY 3:18-cr-00007</v>
      </c>
      <c r="P28" s="37"/>
      <c r="Q28" s="64">
        <v>1.0</v>
      </c>
      <c r="R28" s="16"/>
      <c r="S28" s="37"/>
      <c r="T28" s="38"/>
      <c r="U28" s="38" t="b">
        <f t="shared" si="4"/>
        <v>0</v>
      </c>
      <c r="V28" s="38" t="s">
        <v>33</v>
      </c>
      <c r="W28" s="39" t="s">
        <v>9436</v>
      </c>
      <c r="X28" s="39" t="s">
        <v>9437</v>
      </c>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c r="A29" s="87" t="s">
        <v>9438</v>
      </c>
      <c r="B29" s="322"/>
      <c r="C29" s="99">
        <v>43014.0</v>
      </c>
      <c r="D29" s="144"/>
      <c r="E29" s="37" t="s">
        <v>31</v>
      </c>
      <c r="F29" s="37">
        <v>1.0</v>
      </c>
      <c r="G29" s="37">
        <v>1.0</v>
      </c>
      <c r="H29" s="50">
        <v>1.0</v>
      </c>
      <c r="I29" s="37" t="s">
        <v>33</v>
      </c>
      <c r="J29" s="37" t="s">
        <v>909</v>
      </c>
      <c r="K29" s="37"/>
      <c r="L29" s="37" t="s">
        <v>9439</v>
      </c>
      <c r="M29" s="78" t="s">
        <v>9440</v>
      </c>
      <c r="N29" s="46" t="s">
        <v>9441</v>
      </c>
      <c r="O29" s="16"/>
      <c r="P29" s="37"/>
      <c r="Q29" s="64"/>
      <c r="R29" s="16"/>
      <c r="S29" s="37"/>
      <c r="T29" s="38"/>
      <c r="U29" s="38" t="b">
        <f t="shared" si="4"/>
        <v>0</v>
      </c>
      <c r="V29" s="38" t="s">
        <v>33</v>
      </c>
      <c r="W29" s="324" t="s">
        <v>9442</v>
      </c>
      <c r="X29" s="325" t="s">
        <v>9443</v>
      </c>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c r="A30" s="87" t="s">
        <v>9444</v>
      </c>
      <c r="B30" s="322"/>
      <c r="C30" s="99">
        <v>43015.0</v>
      </c>
      <c r="D30" s="144"/>
      <c r="E30" s="37" t="s">
        <v>31</v>
      </c>
      <c r="F30" s="37">
        <v>1.0</v>
      </c>
      <c r="G30" s="37">
        <v>1.0</v>
      </c>
      <c r="H30" s="50">
        <v>1.0</v>
      </c>
      <c r="I30" s="37" t="s">
        <v>33</v>
      </c>
      <c r="J30" s="37" t="s">
        <v>193</v>
      </c>
      <c r="K30" s="37"/>
      <c r="L30" s="37" t="s">
        <v>9433</v>
      </c>
      <c r="M30" s="46" t="s">
        <v>9445</v>
      </c>
      <c r="N30" s="46" t="s">
        <v>9446</v>
      </c>
      <c r="O30" s="57" t="str">
        <f>hyperlink("https://bad-boys.us/?q=D-NM/2:18-cr-01084", "D-NM 2:18-cr-01084")</f>
        <v>D-NM 2:18-cr-01084</v>
      </c>
      <c r="P30" s="86" t="s">
        <v>9447</v>
      </c>
      <c r="Q30" s="37">
        <v>1.0</v>
      </c>
      <c r="R30" s="16"/>
      <c r="S30" s="37"/>
      <c r="T30" s="38"/>
      <c r="U30" s="38" t="b">
        <f t="shared" si="4"/>
        <v>0</v>
      </c>
      <c r="V30" s="38" t="s">
        <v>33</v>
      </c>
      <c r="W30" s="325" t="s">
        <v>9448</v>
      </c>
      <c r="X30" s="325" t="s">
        <v>9449</v>
      </c>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c r="A31" s="87" t="s">
        <v>9450</v>
      </c>
      <c r="B31" s="323">
        <v>43047.0</v>
      </c>
      <c r="C31" s="31">
        <v>43040.0</v>
      </c>
      <c r="D31" s="32" t="s">
        <v>139</v>
      </c>
      <c r="E31" s="13" t="s">
        <v>41</v>
      </c>
      <c r="F31" s="13">
        <v>1.0</v>
      </c>
      <c r="G31" s="13">
        <v>1.0</v>
      </c>
      <c r="H31" s="50">
        <v>1.0</v>
      </c>
      <c r="I31" s="13" t="s">
        <v>33</v>
      </c>
      <c r="J31" s="13" t="s">
        <v>268</v>
      </c>
      <c r="K31" s="13">
        <v>2.0</v>
      </c>
      <c r="L31" s="34" t="s">
        <v>9451</v>
      </c>
      <c r="M31" s="46" t="s">
        <v>9452</v>
      </c>
      <c r="N31" s="106"/>
      <c r="O31" s="57" t="str">
        <f>hyperlink("https://bad-boys.us/?q=ED-OK/6:17-cr-00068", "ED-OK 6:17-cr-00068")</f>
        <v>ED-OK 6:17-cr-00068</v>
      </c>
      <c r="P31" s="37"/>
      <c r="Q31" s="37">
        <v>1.0</v>
      </c>
      <c r="R31" s="37"/>
      <c r="S31" s="37" t="s">
        <v>5566</v>
      </c>
      <c r="T31" s="38">
        <v>2017.0</v>
      </c>
      <c r="U31" s="38" t="b">
        <f t="shared" si="4"/>
        <v>0</v>
      </c>
      <c r="V31" s="38"/>
      <c r="W31" s="40"/>
      <c r="X31" s="40"/>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c r="A32" s="87" t="s">
        <v>9453</v>
      </c>
      <c r="B32" s="323">
        <v>43055.0</v>
      </c>
      <c r="C32" s="31">
        <v>43040.0</v>
      </c>
      <c r="D32" s="32" t="s">
        <v>139</v>
      </c>
      <c r="E32" s="13" t="s">
        <v>31</v>
      </c>
      <c r="F32" s="13">
        <v>1.0</v>
      </c>
      <c r="G32" s="13">
        <v>10.0</v>
      </c>
      <c r="H32" s="50">
        <v>10.0</v>
      </c>
      <c r="I32" s="13" t="s">
        <v>33</v>
      </c>
      <c r="J32" s="13" t="s">
        <v>111</v>
      </c>
      <c r="K32" s="13">
        <v>2.0</v>
      </c>
      <c r="L32" s="34" t="s">
        <v>9454</v>
      </c>
      <c r="M32" s="120" t="s">
        <v>9455</v>
      </c>
      <c r="N32" s="106" t="s">
        <v>9456</v>
      </c>
      <c r="O32" s="57" t="str">
        <f>hyperlink("https://bad-boys.us/?q=ED-CA/2:17-cr-00209", "ED-CA 2:17-cr-00209")</f>
        <v>ED-CA 2:17-cr-00209</v>
      </c>
      <c r="P32" s="86" t="s">
        <v>9457</v>
      </c>
      <c r="Q32" s="37">
        <v>1.0</v>
      </c>
      <c r="R32" s="37"/>
      <c r="S32" s="37" t="s">
        <v>5566</v>
      </c>
      <c r="T32" s="38">
        <v>2017.0</v>
      </c>
      <c r="U32" s="38" t="b">
        <f t="shared" si="4"/>
        <v>0</v>
      </c>
      <c r="V32" s="38" t="s">
        <v>33</v>
      </c>
      <c r="W32" s="39" t="s">
        <v>9458</v>
      </c>
      <c r="X32" s="39" t="s">
        <v>9459</v>
      </c>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c r="A33" s="87" t="s">
        <v>9460</v>
      </c>
      <c r="B33" s="323">
        <v>43060.0</v>
      </c>
      <c r="C33" s="31">
        <v>43040.0</v>
      </c>
      <c r="D33" s="32" t="s">
        <v>139</v>
      </c>
      <c r="E33" s="13" t="s">
        <v>41</v>
      </c>
      <c r="F33" s="13">
        <v>1.0</v>
      </c>
      <c r="G33" s="13">
        <v>1.0</v>
      </c>
      <c r="H33" s="50">
        <v>2.0</v>
      </c>
      <c r="I33" s="13" t="s">
        <v>33</v>
      </c>
      <c r="J33" s="13" t="s">
        <v>268</v>
      </c>
      <c r="K33" s="13">
        <v>2.0</v>
      </c>
      <c r="L33" s="34" t="s">
        <v>9451</v>
      </c>
      <c r="M33" s="46" t="s">
        <v>9461</v>
      </c>
      <c r="N33" s="106"/>
      <c r="O33" s="57" t="str">
        <f>hyperlink("https://bad-boys.us/?q=ED-OK/6:17-cr-00075", "ED-OK 6:17-cr-00075")</f>
        <v>ED-OK 6:17-cr-00075</v>
      </c>
      <c r="P33" s="37"/>
      <c r="Q33" s="37">
        <v>1.0</v>
      </c>
      <c r="R33" s="37"/>
      <c r="S33" s="37" t="s">
        <v>5566</v>
      </c>
      <c r="T33" s="38">
        <v>2017.0</v>
      </c>
      <c r="U33" s="38" t="b">
        <f t="shared" si="4"/>
        <v>0</v>
      </c>
      <c r="V33" s="38"/>
      <c r="W33" s="40"/>
      <c r="X33" s="40"/>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c r="A34" s="37" t="s">
        <v>9462</v>
      </c>
      <c r="B34" s="322"/>
      <c r="C34" s="100">
        <v>43040.0</v>
      </c>
      <c r="D34" s="144"/>
      <c r="E34" s="37" t="s">
        <v>41</v>
      </c>
      <c r="F34" s="37">
        <v>1.0</v>
      </c>
      <c r="G34" s="37" t="s">
        <v>32</v>
      </c>
      <c r="H34" s="50">
        <v>1.0</v>
      </c>
      <c r="I34" s="37" t="s">
        <v>33</v>
      </c>
      <c r="J34" s="37" t="s">
        <v>1356</v>
      </c>
      <c r="K34" s="37"/>
      <c r="L34" s="37" t="s">
        <v>7593</v>
      </c>
      <c r="M34" s="36" t="s">
        <v>9463</v>
      </c>
      <c r="N34" s="14"/>
      <c r="O34" s="16"/>
      <c r="P34" s="37"/>
      <c r="Q34" s="37"/>
      <c r="R34" s="16"/>
      <c r="S34" s="37"/>
      <c r="T34" s="38"/>
      <c r="U34" s="38" t="b">
        <f t="shared" si="4"/>
        <v>0</v>
      </c>
      <c r="V34" s="38" t="s">
        <v>33</v>
      </c>
      <c r="W34" s="40"/>
      <c r="X34" s="40"/>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c r="A35" s="37" t="s">
        <v>9464</v>
      </c>
      <c r="B35" s="322"/>
      <c r="C35" s="100">
        <v>43040.0</v>
      </c>
      <c r="D35" s="144"/>
      <c r="E35" s="37" t="s">
        <v>41</v>
      </c>
      <c r="F35" s="37">
        <v>1.0</v>
      </c>
      <c r="G35" s="37">
        <v>2.0</v>
      </c>
      <c r="H35" s="50">
        <v>2.0</v>
      </c>
      <c r="I35" s="37" t="s">
        <v>33</v>
      </c>
      <c r="J35" s="37" t="s">
        <v>106</v>
      </c>
      <c r="K35" s="37"/>
      <c r="L35" s="37" t="s">
        <v>9405</v>
      </c>
      <c r="M35" s="36" t="s">
        <v>9465</v>
      </c>
      <c r="N35" s="14"/>
      <c r="O35" s="16"/>
      <c r="P35" s="37"/>
      <c r="Q35" s="37"/>
      <c r="R35" s="16"/>
      <c r="S35" s="37"/>
      <c r="T35" s="38"/>
      <c r="U35" s="38" t="b">
        <f t="shared" si="4"/>
        <v>0</v>
      </c>
      <c r="V35" s="38" t="s">
        <v>33</v>
      </c>
      <c r="W35" s="40"/>
      <c r="X35" s="40"/>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c r="A36" s="37" t="s">
        <v>9466</v>
      </c>
      <c r="B36" s="322">
        <v>43451.0</v>
      </c>
      <c r="C36" s="100">
        <v>43040.0</v>
      </c>
      <c r="D36" s="144" t="s">
        <v>139</v>
      </c>
      <c r="E36" s="37" t="s">
        <v>41</v>
      </c>
      <c r="F36" s="37">
        <v>1.0</v>
      </c>
      <c r="G36" s="37">
        <v>1.0</v>
      </c>
      <c r="H36" s="50">
        <v>1.0</v>
      </c>
      <c r="I36" s="37" t="s">
        <v>33</v>
      </c>
      <c r="J36" s="37" t="s">
        <v>115</v>
      </c>
      <c r="K36" s="37">
        <v>2.0</v>
      </c>
      <c r="L36" s="37" t="s">
        <v>4960</v>
      </c>
      <c r="M36" s="36" t="s">
        <v>9467</v>
      </c>
      <c r="N36" s="14"/>
      <c r="O36" s="16"/>
      <c r="P36" s="37"/>
      <c r="Q36" s="37"/>
      <c r="R36" s="16"/>
      <c r="S36" s="37"/>
      <c r="T36" s="38"/>
      <c r="U36" s="38" t="b">
        <f t="shared" si="4"/>
        <v>0</v>
      </c>
      <c r="V36" s="38"/>
      <c r="W36" s="40"/>
      <c r="X36" s="40"/>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c r="A37" s="87" t="s">
        <v>9468</v>
      </c>
      <c r="B37" s="323"/>
      <c r="C37" s="30">
        <v>43046.0</v>
      </c>
      <c r="D37" s="32"/>
      <c r="E37" s="13" t="s">
        <v>41</v>
      </c>
      <c r="F37" s="13">
        <v>1.0</v>
      </c>
      <c r="G37" s="13" t="s">
        <v>32</v>
      </c>
      <c r="H37" s="50">
        <v>1.0</v>
      </c>
      <c r="I37" s="13" t="s">
        <v>33</v>
      </c>
      <c r="J37" s="13" t="s">
        <v>98</v>
      </c>
      <c r="K37" s="13"/>
      <c r="L37" s="34" t="s">
        <v>4960</v>
      </c>
      <c r="M37" s="46" t="s">
        <v>9469</v>
      </c>
      <c r="N37" s="106"/>
      <c r="O37" s="16"/>
      <c r="P37" s="37"/>
      <c r="Q37" s="37"/>
      <c r="R37" s="37"/>
      <c r="S37" s="37"/>
      <c r="T37" s="38"/>
      <c r="U37" s="38" t="b">
        <f t="shared" si="4"/>
        <v>0</v>
      </c>
      <c r="V37" s="38" t="s">
        <v>33</v>
      </c>
      <c r="W37" s="40"/>
      <c r="X37" s="40"/>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c r="A38" s="87" t="s">
        <v>9470</v>
      </c>
      <c r="B38" s="323">
        <v>43054.0</v>
      </c>
      <c r="C38" s="30">
        <v>43049.0</v>
      </c>
      <c r="D38" s="32" t="s">
        <v>9471</v>
      </c>
      <c r="E38" s="13" t="s">
        <v>41</v>
      </c>
      <c r="F38" s="13">
        <v>1.0</v>
      </c>
      <c r="G38" s="13">
        <v>1.0</v>
      </c>
      <c r="H38" s="50">
        <v>1.0</v>
      </c>
      <c r="I38" s="13" t="s">
        <v>33</v>
      </c>
      <c r="J38" s="13" t="s">
        <v>111</v>
      </c>
      <c r="K38" s="13">
        <v>1.0</v>
      </c>
      <c r="L38" s="34" t="s">
        <v>9472</v>
      </c>
      <c r="M38" s="46" t="s">
        <v>9473</v>
      </c>
      <c r="N38" s="106"/>
      <c r="O38" s="57" t="str">
        <f>hyperlink("https://bad-boys.us/?q=ND-CA/3:17-cr-00562", "ND-CA 3:17-cr-00562")</f>
        <v>ND-CA 3:17-cr-00562</v>
      </c>
      <c r="P38" s="86" t="s">
        <v>9474</v>
      </c>
      <c r="Q38" s="37">
        <v>1.0</v>
      </c>
      <c r="R38" s="37"/>
      <c r="S38" s="37" t="s">
        <v>5566</v>
      </c>
      <c r="T38" s="38">
        <v>2017.0</v>
      </c>
      <c r="U38" s="38" t="b">
        <f t="shared" si="4"/>
        <v>0</v>
      </c>
      <c r="V38" s="38"/>
      <c r="W38" s="40"/>
      <c r="X38" s="40"/>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c r="A39" s="280" t="s">
        <v>9475</v>
      </c>
      <c r="B39" s="323"/>
      <c r="C39" s="30">
        <v>43051.0</v>
      </c>
      <c r="D39" s="32"/>
      <c r="E39" s="13" t="s">
        <v>41</v>
      </c>
      <c r="F39" s="13">
        <v>1.0</v>
      </c>
      <c r="G39" s="13">
        <v>1.0</v>
      </c>
      <c r="H39" s="43">
        <v>1.0</v>
      </c>
      <c r="I39" s="13" t="s">
        <v>33</v>
      </c>
      <c r="J39" s="13" t="s">
        <v>98</v>
      </c>
      <c r="K39" s="13"/>
      <c r="L39" s="13" t="s">
        <v>4960</v>
      </c>
      <c r="M39" s="46" t="s">
        <v>9476</v>
      </c>
      <c r="N39" s="14"/>
      <c r="O39" s="57" t="str">
        <f>hyperlink("https://bad-boys.us/?q=MD-GA/4:17-cr-00057", "MD-GA 4:17-cr-00057")</f>
        <v>MD-GA 4:17-cr-00057</v>
      </c>
      <c r="P39" s="86" t="s">
        <v>9477</v>
      </c>
      <c r="Q39" s="64">
        <v>1.0</v>
      </c>
      <c r="R39" s="16"/>
      <c r="S39" s="37"/>
      <c r="T39" s="38"/>
      <c r="U39" s="38" t="b">
        <f t="shared" si="4"/>
        <v>0</v>
      </c>
      <c r="V39" s="38" t="s">
        <v>33</v>
      </c>
      <c r="W39" s="40"/>
      <c r="X39" s="40"/>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c r="A40" s="87" t="s">
        <v>9478</v>
      </c>
      <c r="B40" s="323"/>
      <c r="C40" s="30">
        <v>43055.0</v>
      </c>
      <c r="D40" s="32"/>
      <c r="E40" s="13" t="s">
        <v>31</v>
      </c>
      <c r="F40" s="13">
        <v>1.0</v>
      </c>
      <c r="G40" s="13">
        <v>1.0</v>
      </c>
      <c r="H40" s="43">
        <v>1.0</v>
      </c>
      <c r="I40" s="13" t="s">
        <v>33</v>
      </c>
      <c r="J40" s="13" t="s">
        <v>124</v>
      </c>
      <c r="K40" s="13"/>
      <c r="L40" s="13" t="s">
        <v>9479</v>
      </c>
      <c r="M40" s="35" t="s">
        <v>9480</v>
      </c>
      <c r="N40" s="36" t="s">
        <v>9481</v>
      </c>
      <c r="O40" s="57" t="str">
        <f>hyperlink("https://bad-boys.us/?q=ND-OH/3:18-cr-00433", "ND-OH 3:18-cr-00433")</f>
        <v>ND-OH 3:18-cr-00433</v>
      </c>
      <c r="P40" s="86" t="s">
        <v>9482</v>
      </c>
      <c r="Q40" s="64">
        <v>1.0</v>
      </c>
      <c r="R40" s="16"/>
      <c r="S40" s="37"/>
      <c r="T40" s="38"/>
      <c r="U40" s="38" t="b">
        <f t="shared" si="4"/>
        <v>0</v>
      </c>
      <c r="V40" s="38" t="s">
        <v>9483</v>
      </c>
      <c r="W40" s="39" t="s">
        <v>9484</v>
      </c>
      <c r="X40" s="39" t="s">
        <v>9485</v>
      </c>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c r="A41" s="87" t="s">
        <v>9486</v>
      </c>
      <c r="B41" s="323">
        <v>43377.0</v>
      </c>
      <c r="C41" s="31">
        <v>43070.0</v>
      </c>
      <c r="D41" s="32" t="s">
        <v>1647</v>
      </c>
      <c r="E41" s="13" t="s">
        <v>41</v>
      </c>
      <c r="F41" s="13">
        <v>1.0</v>
      </c>
      <c r="G41" s="13">
        <v>1.0</v>
      </c>
      <c r="H41" s="50">
        <v>1.0</v>
      </c>
      <c r="I41" s="13" t="s">
        <v>33</v>
      </c>
      <c r="J41" s="13" t="s">
        <v>115</v>
      </c>
      <c r="K41" s="13">
        <v>1.0</v>
      </c>
      <c r="L41" s="34" t="s">
        <v>9487</v>
      </c>
      <c r="M41" s="46" t="s">
        <v>9488</v>
      </c>
      <c r="N41" s="106"/>
      <c r="O41" s="57" t="str">
        <f>hyperlink("https://bad-boys.us/?q=ED-PA/5:18-cr-00105", "ED-PA 5:18-cr-00105")</f>
        <v>ED-PA 5:18-cr-00105</v>
      </c>
      <c r="P41" s="86" t="s">
        <v>9489</v>
      </c>
      <c r="Q41" s="37">
        <v>1.0</v>
      </c>
      <c r="R41" s="37"/>
      <c r="S41" s="37" t="s">
        <v>5831</v>
      </c>
      <c r="T41" s="38">
        <v>2017.0</v>
      </c>
      <c r="U41" s="38" t="b">
        <f t="shared" si="4"/>
        <v>0</v>
      </c>
      <c r="V41" s="38"/>
      <c r="W41" s="40"/>
      <c r="X41" s="40"/>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row>
    <row r="42">
      <c r="A42" s="37" t="s">
        <v>9490</v>
      </c>
      <c r="B42" s="322">
        <v>43432.0</v>
      </c>
      <c r="C42" s="100">
        <v>43070.0</v>
      </c>
      <c r="D42" s="144" t="s">
        <v>1647</v>
      </c>
      <c r="E42" s="37" t="s">
        <v>41</v>
      </c>
      <c r="F42" s="37">
        <v>1.0</v>
      </c>
      <c r="G42" s="37">
        <v>1.0</v>
      </c>
      <c r="H42" s="50">
        <v>1.0</v>
      </c>
      <c r="I42" s="37" t="s">
        <v>33</v>
      </c>
      <c r="J42" s="37" t="s">
        <v>106</v>
      </c>
      <c r="K42" s="37" t="s">
        <v>32</v>
      </c>
      <c r="L42" s="58" t="s">
        <v>9491</v>
      </c>
      <c r="M42" s="36" t="s">
        <v>9492</v>
      </c>
      <c r="N42" s="15"/>
      <c r="O42" s="57" t="str">
        <f>hyperlink("https://bad-boys.us/?q=D-MD/8:17-cr-00625", "D-MD 8:17-cr-00625")</f>
        <v>D-MD 8:17-cr-00625</v>
      </c>
      <c r="P42" s="86" t="s">
        <v>9493</v>
      </c>
      <c r="Q42" s="37">
        <v>1.0</v>
      </c>
      <c r="R42" s="37"/>
      <c r="S42" s="37" t="str">
        <f>IFERROR(__xludf.DUMMYFUNCTION("if(not(iserror(index(split(C42, "" ""),2))), index(split(C42, "" ""),1),"""")"),"December,")</f>
        <v>December,</v>
      </c>
      <c r="T42" s="38">
        <f>IFERROR(__xludf.DUMMYFUNCTION("if(S42="""",C42,if(not(iserror(index(split(C42, "" ""),3))), index(split(C42, "" ""),3),index(split(C42, "" ""),2)))"),2017.0)</f>
        <v>2017</v>
      </c>
      <c r="U42" s="38" t="b">
        <f t="shared" si="4"/>
        <v>0</v>
      </c>
      <c r="V42" s="38"/>
      <c r="W42" s="40"/>
      <c r="X42" s="40"/>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row>
    <row r="43">
      <c r="A43" s="37" t="s">
        <v>9494</v>
      </c>
      <c r="B43" s="322"/>
      <c r="C43" s="100">
        <v>43070.0</v>
      </c>
      <c r="D43" s="144"/>
      <c r="E43" s="37" t="s">
        <v>31</v>
      </c>
      <c r="F43" s="37">
        <v>1.0</v>
      </c>
      <c r="G43" s="37">
        <v>10.0</v>
      </c>
      <c r="H43" s="50">
        <v>10.0</v>
      </c>
      <c r="I43" s="37" t="s">
        <v>33</v>
      </c>
      <c r="J43" s="37" t="s">
        <v>268</v>
      </c>
      <c r="K43" s="37"/>
      <c r="L43" s="58"/>
      <c r="M43" s="326" t="s">
        <v>9495</v>
      </c>
      <c r="N43" s="36" t="s">
        <v>9496</v>
      </c>
      <c r="O43" s="57" t="str">
        <f>hyperlink("https://bad-boys.us/?q=ED-OK/6:17-cr-00079", "ED-OK 6:17-cr-00079")</f>
        <v>ED-OK 6:17-cr-00079</v>
      </c>
      <c r="P43" s="37"/>
      <c r="Q43" s="37">
        <v>1.0</v>
      </c>
      <c r="R43" s="37"/>
      <c r="S43" s="37"/>
      <c r="T43" s="38"/>
      <c r="U43" s="38"/>
      <c r="V43" s="38" t="s">
        <v>33</v>
      </c>
      <c r="W43" s="39" t="s">
        <v>9497</v>
      </c>
      <c r="X43" s="39" t="s">
        <v>9498</v>
      </c>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row>
    <row r="44">
      <c r="A44" s="37" t="s">
        <v>9499</v>
      </c>
      <c r="B44" s="322"/>
      <c r="C44" s="99">
        <v>43076.0</v>
      </c>
      <c r="D44" s="144"/>
      <c r="E44" s="37" t="s">
        <v>41</v>
      </c>
      <c r="F44" s="37">
        <v>1.0</v>
      </c>
      <c r="G44" s="37">
        <v>2.0</v>
      </c>
      <c r="H44" s="50">
        <v>1.0</v>
      </c>
      <c r="I44" s="37" t="s">
        <v>33</v>
      </c>
      <c r="J44" s="37" t="s">
        <v>115</v>
      </c>
      <c r="K44" s="37"/>
      <c r="L44" s="58" t="s">
        <v>9500</v>
      </c>
      <c r="M44" s="36" t="s">
        <v>9501</v>
      </c>
      <c r="N44" s="15"/>
      <c r="O44" s="16"/>
      <c r="P44" s="37"/>
      <c r="Q44" s="37"/>
      <c r="R44" s="37"/>
      <c r="S44" s="37"/>
      <c r="T44" s="38"/>
      <c r="U44" s="38" t="b">
        <f t="shared" ref="U44:U54" si="5">countif(A$5:A3006, A44)&gt;1</f>
        <v>0</v>
      </c>
      <c r="V44" s="38" t="s">
        <v>33</v>
      </c>
      <c r="W44" s="39" t="s">
        <v>9502</v>
      </c>
      <c r="X44" s="39" t="s">
        <v>9503</v>
      </c>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row>
    <row r="45">
      <c r="A45" s="37" t="s">
        <v>9504</v>
      </c>
      <c r="B45" s="322">
        <v>43419.0</v>
      </c>
      <c r="C45" s="99">
        <v>43082.0</v>
      </c>
      <c r="D45" s="144" t="s">
        <v>1980</v>
      </c>
      <c r="E45" s="37" t="s">
        <v>41</v>
      </c>
      <c r="F45" s="37">
        <v>1.0</v>
      </c>
      <c r="G45" s="37">
        <v>1.0</v>
      </c>
      <c r="H45" s="50">
        <v>1.0</v>
      </c>
      <c r="I45" s="37" t="s">
        <v>33</v>
      </c>
      <c r="J45" s="37" t="s">
        <v>440</v>
      </c>
      <c r="K45" s="37" t="s">
        <v>32</v>
      </c>
      <c r="L45" s="58" t="s">
        <v>9505</v>
      </c>
      <c r="M45" s="36" t="s">
        <v>9506</v>
      </c>
      <c r="N45" s="15"/>
      <c r="O45" s="16"/>
      <c r="P45" s="37"/>
      <c r="Q45" s="37"/>
      <c r="R45" s="37"/>
      <c r="S45" s="37" t="str">
        <f>IFERROR(__xludf.DUMMYFUNCTION("if(not(iserror(index(split(C45, "" ""),2))), index(split(C45, "" ""),1),"""")"),"December")</f>
        <v>December</v>
      </c>
      <c r="T45" s="38">
        <f>IFERROR(__xludf.DUMMYFUNCTION("if(S45="""",C45,if(not(iserror(index(split(C45, "" ""),3))), index(split(C45, "" ""),3),index(split(C45, "" ""),2)))"),2017.0)</f>
        <v>2017</v>
      </c>
      <c r="U45" s="38" t="b">
        <f t="shared" si="5"/>
        <v>0</v>
      </c>
      <c r="V45" s="38"/>
      <c r="W45" s="40"/>
      <c r="X45" s="40"/>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row>
    <row r="46">
      <c r="A46" s="87" t="s">
        <v>9507</v>
      </c>
      <c r="B46" s="323">
        <v>43360.0</v>
      </c>
      <c r="C46" s="31">
        <v>43101.0</v>
      </c>
      <c r="D46" s="32" t="s">
        <v>1289</v>
      </c>
      <c r="E46" s="13" t="s">
        <v>41</v>
      </c>
      <c r="F46" s="13">
        <v>1.0</v>
      </c>
      <c r="G46" s="13">
        <v>1.0</v>
      </c>
      <c r="H46" s="50">
        <v>1.0</v>
      </c>
      <c r="I46" s="13" t="s">
        <v>33</v>
      </c>
      <c r="J46" s="13" t="s">
        <v>268</v>
      </c>
      <c r="K46" s="13">
        <v>2.0</v>
      </c>
      <c r="L46" s="34" t="s">
        <v>6497</v>
      </c>
      <c r="M46" s="120" t="s">
        <v>9508</v>
      </c>
      <c r="N46" s="106"/>
      <c r="O46" s="16"/>
      <c r="P46" s="37"/>
      <c r="Q46" s="37"/>
      <c r="R46" s="37"/>
      <c r="S46" s="37" t="s">
        <v>2253</v>
      </c>
      <c r="T46" s="38">
        <v>2018.0</v>
      </c>
      <c r="U46" s="38" t="b">
        <f t="shared" si="5"/>
        <v>0</v>
      </c>
      <c r="V46" s="38" t="s">
        <v>33</v>
      </c>
      <c r="W46" s="40"/>
      <c r="X46" s="40"/>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row>
    <row r="47">
      <c r="A47" s="87" t="s">
        <v>9509</v>
      </c>
      <c r="B47" s="323"/>
      <c r="C47" s="31">
        <v>43101.0</v>
      </c>
      <c r="D47" s="32"/>
      <c r="E47" s="13" t="s">
        <v>41</v>
      </c>
      <c r="F47" s="13">
        <v>1.0</v>
      </c>
      <c r="G47" s="13" t="s">
        <v>32</v>
      </c>
      <c r="H47" s="50">
        <v>1.0</v>
      </c>
      <c r="I47" s="13" t="s">
        <v>33</v>
      </c>
      <c r="J47" s="13" t="s">
        <v>68</v>
      </c>
      <c r="K47" s="13"/>
      <c r="L47" s="34" t="s">
        <v>9510</v>
      </c>
      <c r="M47" s="120" t="s">
        <v>9511</v>
      </c>
      <c r="N47" s="288"/>
      <c r="O47" s="57" t="str">
        <f>hyperlink("https://bad-boys.us/?q=D-OR/3:18-cr-00070", "D-OR 3:18-cr-00070")</f>
        <v>D-OR 3:18-cr-00070</v>
      </c>
      <c r="P47" s="86" t="s">
        <v>9512</v>
      </c>
      <c r="Q47" s="37">
        <v>1.0</v>
      </c>
      <c r="R47" s="91"/>
      <c r="S47" s="37"/>
      <c r="T47" s="38"/>
      <c r="U47" s="38" t="b">
        <f t="shared" si="5"/>
        <v>0</v>
      </c>
      <c r="V47" s="38" t="s">
        <v>33</v>
      </c>
      <c r="W47" s="40"/>
      <c r="X47" s="40"/>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row>
    <row r="48">
      <c r="A48" s="87" t="s">
        <v>9513</v>
      </c>
      <c r="B48" s="323"/>
      <c r="C48" s="31">
        <v>43101.0</v>
      </c>
      <c r="D48" s="32"/>
      <c r="E48" s="13" t="s">
        <v>41</v>
      </c>
      <c r="F48" s="13">
        <v>1.0</v>
      </c>
      <c r="G48" s="13">
        <v>1.0</v>
      </c>
      <c r="H48" s="50">
        <v>1.0</v>
      </c>
      <c r="I48" s="13" t="s">
        <v>33</v>
      </c>
      <c r="J48" s="13" t="s">
        <v>184</v>
      </c>
      <c r="K48" s="13"/>
      <c r="L48" s="34" t="s">
        <v>9433</v>
      </c>
      <c r="M48" s="140" t="s">
        <v>9514</v>
      </c>
      <c r="N48" s="106"/>
      <c r="O48" s="57" t="str">
        <f>hyperlink("https://bad-boys.us/?q=SD-IL/3:18-cr-30021", "SD-IL 3:18-cr-30021")</f>
        <v>SD-IL 3:18-cr-30021</v>
      </c>
      <c r="P48" s="86" t="s">
        <v>9515</v>
      </c>
      <c r="Q48" s="37">
        <v>1.0</v>
      </c>
      <c r="R48" s="37"/>
      <c r="S48" s="37"/>
      <c r="T48" s="38"/>
      <c r="U48" s="38" t="b">
        <f t="shared" si="5"/>
        <v>0</v>
      </c>
      <c r="V48" s="38" t="s">
        <v>207</v>
      </c>
      <c r="W48" s="40"/>
      <c r="X48" s="40"/>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row>
    <row r="49">
      <c r="A49" s="87" t="s">
        <v>9516</v>
      </c>
      <c r="B49" s="323"/>
      <c r="C49" s="31">
        <v>43103.0</v>
      </c>
      <c r="D49" s="32"/>
      <c r="E49" s="13" t="s">
        <v>31</v>
      </c>
      <c r="F49" s="13">
        <v>1.0</v>
      </c>
      <c r="G49" s="13">
        <v>2.0</v>
      </c>
      <c r="H49" s="50">
        <v>2.0</v>
      </c>
      <c r="I49" s="13" t="s">
        <v>33</v>
      </c>
      <c r="J49" s="13" t="s">
        <v>147</v>
      </c>
      <c r="K49" s="13"/>
      <c r="L49" s="34" t="s">
        <v>9517</v>
      </c>
      <c r="M49" s="46" t="s">
        <v>9518</v>
      </c>
      <c r="N49" s="46" t="s">
        <v>9519</v>
      </c>
      <c r="O49" s="16"/>
      <c r="P49" s="37"/>
      <c r="Q49" s="37"/>
      <c r="R49" s="37"/>
      <c r="S49" s="37"/>
      <c r="T49" s="38"/>
      <c r="U49" s="38" t="b">
        <f t="shared" si="5"/>
        <v>0</v>
      </c>
      <c r="V49" s="38" t="s">
        <v>33</v>
      </c>
      <c r="W49" s="39" t="s">
        <v>9520</v>
      </c>
      <c r="X49" s="39" t="s">
        <v>9521</v>
      </c>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row>
    <row r="50">
      <c r="A50" s="289" t="s">
        <v>9522</v>
      </c>
      <c r="B50" s="327">
        <v>43413.0</v>
      </c>
      <c r="C50" s="98">
        <v>43101.0</v>
      </c>
      <c r="D50" s="93" t="s">
        <v>4214</v>
      </c>
      <c r="E50" s="94" t="s">
        <v>41</v>
      </c>
      <c r="F50" s="94">
        <v>1.0</v>
      </c>
      <c r="G50" s="94">
        <v>1.0</v>
      </c>
      <c r="H50" s="328">
        <v>1.0</v>
      </c>
      <c r="I50" s="94" t="s">
        <v>33</v>
      </c>
      <c r="J50" s="94" t="s">
        <v>222</v>
      </c>
      <c r="K50" s="94">
        <v>2.0</v>
      </c>
      <c r="L50" s="329" t="s">
        <v>9396</v>
      </c>
      <c r="M50" s="288" t="s">
        <v>9523</v>
      </c>
      <c r="N50" s="288"/>
      <c r="O50" s="57" t="str">
        <f>hyperlink("https://bad-boys.us/?q=ED-WI/1:18-cr-00002", "ED-WI 1:18-cr-00002")</f>
        <v>ED-WI 1:18-cr-00002</v>
      </c>
      <c r="P50" s="86" t="s">
        <v>9524</v>
      </c>
      <c r="Q50" s="37">
        <v>1.0</v>
      </c>
      <c r="R50" s="91"/>
      <c r="S50" s="91"/>
      <c r="T50" s="96"/>
      <c r="U50" s="38" t="b">
        <f t="shared" si="5"/>
        <v>0</v>
      </c>
      <c r="V50" s="96"/>
      <c r="W50" s="97"/>
      <c r="X50" s="97"/>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row>
    <row r="51">
      <c r="A51" s="87" t="s">
        <v>9525</v>
      </c>
      <c r="B51" s="323"/>
      <c r="C51" s="31">
        <v>43103.0</v>
      </c>
      <c r="D51" s="32"/>
      <c r="E51" s="13" t="s">
        <v>41</v>
      </c>
      <c r="F51" s="13">
        <v>1.0</v>
      </c>
      <c r="G51" s="13">
        <v>2.0</v>
      </c>
      <c r="H51" s="50">
        <v>2.0</v>
      </c>
      <c r="I51" s="13" t="s">
        <v>33</v>
      </c>
      <c r="J51" s="13" t="s">
        <v>193</v>
      </c>
      <c r="K51" s="13"/>
      <c r="L51" s="34" t="s">
        <v>9396</v>
      </c>
      <c r="M51" s="46" t="s">
        <v>9526</v>
      </c>
      <c r="N51" s="106"/>
      <c r="O51" s="57" t="str">
        <f>hyperlink("https://bad-boys.us/?q=D-NM/1:19-cr-00294", "D-NM 1:19-cr-00294")</f>
        <v>D-NM 1:19-cr-00294</v>
      </c>
      <c r="P51" s="86" t="s">
        <v>9527</v>
      </c>
      <c r="Q51" s="37">
        <v>1.0</v>
      </c>
      <c r="R51" s="37"/>
      <c r="S51" s="37"/>
      <c r="T51" s="38"/>
      <c r="U51" s="38" t="b">
        <f t="shared" si="5"/>
        <v>0</v>
      </c>
      <c r="V51" s="38" t="s">
        <v>33</v>
      </c>
      <c r="W51" s="40"/>
      <c r="X51" s="40"/>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row>
    <row r="52">
      <c r="A52" s="87" t="s">
        <v>9528</v>
      </c>
      <c r="B52" s="323">
        <v>43147.0</v>
      </c>
      <c r="C52" s="31">
        <v>43132.0</v>
      </c>
      <c r="D52" s="32" t="s">
        <v>483</v>
      </c>
      <c r="E52" s="13" t="s">
        <v>41</v>
      </c>
      <c r="F52" s="13">
        <v>1.0</v>
      </c>
      <c r="G52" s="13">
        <v>1.0</v>
      </c>
      <c r="H52" s="50">
        <v>1.0</v>
      </c>
      <c r="I52" s="13" t="s">
        <v>33</v>
      </c>
      <c r="J52" s="13" t="s">
        <v>93</v>
      </c>
      <c r="K52" s="13">
        <v>4.0</v>
      </c>
      <c r="L52" s="34" t="s">
        <v>9479</v>
      </c>
      <c r="M52" s="46" t="s">
        <v>9529</v>
      </c>
      <c r="N52" s="46" t="s">
        <v>9530</v>
      </c>
      <c r="O52" s="57" t="str">
        <f>hyperlink("https://bad-boys.us/?q=WD-NY/6:18-mj-04010", "WD-NY 6:18-mj-04010")</f>
        <v>WD-NY 6:18-mj-04010</v>
      </c>
      <c r="P52" s="86" t="s">
        <v>9531</v>
      </c>
      <c r="Q52" s="37">
        <v>1.0</v>
      </c>
      <c r="R52" s="37"/>
      <c r="S52" s="37"/>
      <c r="T52" s="38"/>
      <c r="U52" s="38" t="b">
        <f t="shared" si="5"/>
        <v>0</v>
      </c>
      <c r="V52" s="38"/>
      <c r="W52" s="40"/>
      <c r="X52" s="40"/>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row>
    <row r="53">
      <c r="A53" s="87" t="s">
        <v>9532</v>
      </c>
      <c r="B53" s="323">
        <v>43153.0</v>
      </c>
      <c r="C53" s="31">
        <v>43132.0</v>
      </c>
      <c r="D53" s="32" t="s">
        <v>483</v>
      </c>
      <c r="E53" s="13" t="s">
        <v>41</v>
      </c>
      <c r="F53" s="13">
        <v>1.0</v>
      </c>
      <c r="G53" s="13">
        <v>1.0</v>
      </c>
      <c r="H53" s="50">
        <v>1.0</v>
      </c>
      <c r="I53" s="13" t="s">
        <v>33</v>
      </c>
      <c r="J53" s="13" t="s">
        <v>288</v>
      </c>
      <c r="K53" s="13" t="s">
        <v>9533</v>
      </c>
      <c r="L53" s="34" t="s">
        <v>9417</v>
      </c>
      <c r="M53" s="46" t="s">
        <v>2399</v>
      </c>
      <c r="N53" s="106"/>
      <c r="O53" s="57" t="str">
        <f>hyperlink("https://bad-boys.us/?q=D-NE/8:18-cr-00035", "D-NE 8:18-cr-00035")</f>
        <v>D-NE 8:18-cr-00035</v>
      </c>
      <c r="P53" s="86" t="s">
        <v>9534</v>
      </c>
      <c r="Q53" s="37">
        <v>1.0</v>
      </c>
      <c r="R53" s="37"/>
      <c r="S53" s="37" t="s">
        <v>2710</v>
      </c>
      <c r="T53" s="38">
        <v>2018.0</v>
      </c>
      <c r="U53" s="38" t="b">
        <f t="shared" si="5"/>
        <v>0</v>
      </c>
      <c r="V53" s="38"/>
      <c r="W53" s="40"/>
      <c r="X53" s="40"/>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row>
    <row r="54">
      <c r="A54" s="87" t="s">
        <v>9535</v>
      </c>
      <c r="B54" s="323"/>
      <c r="C54" s="31">
        <v>43132.0</v>
      </c>
      <c r="D54" s="32"/>
      <c r="E54" s="13" t="s">
        <v>41</v>
      </c>
      <c r="F54" s="13">
        <v>1.0</v>
      </c>
      <c r="G54" s="13">
        <v>1.0</v>
      </c>
      <c r="H54" s="50">
        <v>1.0</v>
      </c>
      <c r="I54" s="13" t="s">
        <v>33</v>
      </c>
      <c r="J54" s="13" t="s">
        <v>288</v>
      </c>
      <c r="K54" s="13"/>
      <c r="L54" s="34" t="s">
        <v>9380</v>
      </c>
      <c r="M54" s="46" t="s">
        <v>9536</v>
      </c>
      <c r="N54" s="106"/>
      <c r="O54" s="57" t="str">
        <f>hyperlink("https://bad-boys.us/?q=D-NE/8:18-cr-00056", "D-NE 8:18-cr-00056")</f>
        <v>D-NE 8:18-cr-00056</v>
      </c>
      <c r="P54" s="86" t="s">
        <v>9537</v>
      </c>
      <c r="Q54" s="37">
        <v>1.0</v>
      </c>
      <c r="R54" s="37"/>
      <c r="S54" s="37"/>
      <c r="T54" s="38"/>
      <c r="U54" s="38" t="b">
        <f t="shared" si="5"/>
        <v>0</v>
      </c>
      <c r="V54" s="38" t="s">
        <v>33</v>
      </c>
      <c r="W54" s="40"/>
      <c r="X54" s="40"/>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row>
    <row r="55">
      <c r="A55" s="87" t="s">
        <v>9538</v>
      </c>
      <c r="B55" s="323"/>
      <c r="C55" s="30">
        <v>43132.0</v>
      </c>
      <c r="D55" s="32"/>
      <c r="E55" s="13" t="s">
        <v>41</v>
      </c>
      <c r="F55" s="13">
        <v>1.0</v>
      </c>
      <c r="G55" s="13">
        <v>1.0</v>
      </c>
      <c r="H55" s="50">
        <v>1.0</v>
      </c>
      <c r="I55" s="13" t="s">
        <v>33</v>
      </c>
      <c r="J55" s="13" t="s">
        <v>193</v>
      </c>
      <c r="K55" s="13"/>
      <c r="L55" s="34" t="s">
        <v>9380</v>
      </c>
      <c r="M55" s="46" t="s">
        <v>9539</v>
      </c>
      <c r="N55" s="106"/>
      <c r="O55" s="16"/>
      <c r="P55" s="37"/>
      <c r="Q55" s="37"/>
      <c r="R55" s="37"/>
      <c r="S55" s="37"/>
      <c r="T55" s="38"/>
      <c r="U55" s="38"/>
      <c r="V55" s="38" t="s">
        <v>33</v>
      </c>
      <c r="W55" s="40"/>
      <c r="X55" s="40"/>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row>
    <row r="56">
      <c r="A56" s="87" t="s">
        <v>9540</v>
      </c>
      <c r="B56" s="323">
        <v>43162.0</v>
      </c>
      <c r="C56" s="30">
        <v>43137.0</v>
      </c>
      <c r="D56" s="32" t="s">
        <v>2495</v>
      </c>
      <c r="E56" s="13" t="s">
        <v>41</v>
      </c>
      <c r="F56" s="13">
        <v>1.0</v>
      </c>
      <c r="G56" s="13">
        <v>1.0</v>
      </c>
      <c r="H56" s="50">
        <v>1.0</v>
      </c>
      <c r="I56" s="13" t="s">
        <v>33</v>
      </c>
      <c r="J56" s="13" t="s">
        <v>203</v>
      </c>
      <c r="K56" s="13">
        <v>2.0</v>
      </c>
      <c r="L56" s="34" t="s">
        <v>6497</v>
      </c>
      <c r="M56" s="46" t="s">
        <v>9541</v>
      </c>
      <c r="N56" s="106"/>
      <c r="O56" s="16"/>
      <c r="P56" s="37"/>
      <c r="Q56" s="37"/>
      <c r="R56" s="37"/>
      <c r="S56" s="37" t="s">
        <v>2710</v>
      </c>
      <c r="T56" s="38">
        <v>2018.0</v>
      </c>
      <c r="U56" s="38" t="b">
        <f>countif(A$5:A3006, A56)&gt;1</f>
        <v>0</v>
      </c>
      <c r="V56" s="38"/>
      <c r="W56" s="40"/>
      <c r="X56" s="40"/>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row>
    <row r="57">
      <c r="A57" s="87" t="s">
        <v>9542</v>
      </c>
      <c r="B57" s="323"/>
      <c r="C57" s="30">
        <v>43139.0</v>
      </c>
      <c r="D57" s="32"/>
      <c r="E57" s="13" t="s">
        <v>41</v>
      </c>
      <c r="F57" s="13">
        <v>1.0</v>
      </c>
      <c r="G57" s="13">
        <v>1.0</v>
      </c>
      <c r="H57" s="50">
        <v>1.0</v>
      </c>
      <c r="I57" s="13" t="s">
        <v>33</v>
      </c>
      <c r="J57" s="13" t="s">
        <v>228</v>
      </c>
      <c r="K57" s="13"/>
      <c r="L57" s="34" t="s">
        <v>99</v>
      </c>
      <c r="M57" s="46" t="s">
        <v>9543</v>
      </c>
      <c r="N57" s="106"/>
      <c r="O57" s="16"/>
      <c r="P57" s="37"/>
      <c r="Q57" s="37"/>
      <c r="R57" s="37"/>
      <c r="S57" s="37"/>
      <c r="T57" s="38"/>
      <c r="U57" s="38"/>
      <c r="V57" s="38" t="s">
        <v>33</v>
      </c>
      <c r="W57" s="40"/>
      <c r="X57" s="40"/>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row>
    <row r="58">
      <c r="A58" s="87" t="s">
        <v>9544</v>
      </c>
      <c r="B58" s="323">
        <v>43363.0</v>
      </c>
      <c r="C58" s="30">
        <v>43144.0</v>
      </c>
      <c r="D58" s="32" t="s">
        <v>2559</v>
      </c>
      <c r="E58" s="13" t="s">
        <v>41</v>
      </c>
      <c r="F58" s="13">
        <v>1.0</v>
      </c>
      <c r="G58" s="13">
        <v>1.0</v>
      </c>
      <c r="H58" s="50">
        <v>1.0</v>
      </c>
      <c r="I58" s="13" t="s">
        <v>33</v>
      </c>
      <c r="J58" s="13" t="s">
        <v>850</v>
      </c>
      <c r="K58" s="13">
        <v>2.0</v>
      </c>
      <c r="L58" s="34" t="s">
        <v>9545</v>
      </c>
      <c r="M58" s="106" t="s">
        <v>9546</v>
      </c>
      <c r="N58" s="106"/>
      <c r="O58" s="57" t="str">
        <f>hyperlink("https://bad-boys.us/?q=D-SC/2:18-cr-00256", "D-SC 2:18-cr-00256")</f>
        <v>D-SC 2:18-cr-00256</v>
      </c>
      <c r="P58" s="86" t="s">
        <v>9547</v>
      </c>
      <c r="Q58" s="37">
        <v>1.0</v>
      </c>
      <c r="R58" s="37"/>
      <c r="S58" s="37" t="s">
        <v>2710</v>
      </c>
      <c r="T58" s="38">
        <v>2018.0</v>
      </c>
      <c r="U58" s="38" t="b">
        <f t="shared" ref="U58:U67" si="6">countif(A$5:A3006, A58)&gt;1</f>
        <v>0</v>
      </c>
      <c r="V58" s="38"/>
      <c r="W58" s="40"/>
      <c r="X58" s="40"/>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row>
    <row r="59">
      <c r="A59" s="87" t="s">
        <v>9548</v>
      </c>
      <c r="B59" s="323">
        <v>43146.0</v>
      </c>
      <c r="C59" s="30">
        <v>43145.0</v>
      </c>
      <c r="D59" s="32" t="s">
        <v>2567</v>
      </c>
      <c r="E59" s="13" t="s">
        <v>41</v>
      </c>
      <c r="F59" s="13">
        <v>1.0</v>
      </c>
      <c r="G59" s="13" t="s">
        <v>32</v>
      </c>
      <c r="H59" s="50">
        <v>1.0</v>
      </c>
      <c r="I59" s="13" t="s">
        <v>33</v>
      </c>
      <c r="J59" s="13" t="s">
        <v>93</v>
      </c>
      <c r="K59" s="13">
        <v>1.0</v>
      </c>
      <c r="L59" s="34" t="s">
        <v>7593</v>
      </c>
      <c r="M59" s="46" t="s">
        <v>9549</v>
      </c>
      <c r="N59" s="106"/>
      <c r="O59" s="16"/>
      <c r="P59" s="37"/>
      <c r="Q59" s="37"/>
      <c r="R59" s="37"/>
      <c r="S59" s="37" t="s">
        <v>2710</v>
      </c>
      <c r="T59" s="38">
        <v>2018.0</v>
      </c>
      <c r="U59" s="38" t="b">
        <f t="shared" si="6"/>
        <v>0</v>
      </c>
      <c r="V59" s="38"/>
      <c r="W59" s="40"/>
      <c r="X59" s="40"/>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row>
    <row r="60">
      <c r="A60" s="87" t="s">
        <v>9550</v>
      </c>
      <c r="B60" s="323">
        <v>43161.0</v>
      </c>
      <c r="C60" s="30">
        <v>43160.0</v>
      </c>
      <c r="D60" s="32" t="s">
        <v>2751</v>
      </c>
      <c r="E60" s="13" t="s">
        <v>41</v>
      </c>
      <c r="F60" s="13">
        <v>1.0</v>
      </c>
      <c r="G60" s="13">
        <v>1.0</v>
      </c>
      <c r="H60" s="50">
        <v>1.0</v>
      </c>
      <c r="I60" s="13" t="s">
        <v>33</v>
      </c>
      <c r="J60" s="13" t="s">
        <v>184</v>
      </c>
      <c r="K60" s="13">
        <v>3.0</v>
      </c>
      <c r="L60" s="34" t="s">
        <v>4960</v>
      </c>
      <c r="M60" s="46" t="s">
        <v>9551</v>
      </c>
      <c r="N60" s="106"/>
      <c r="O60" s="57" t="str">
        <f>hyperlink("https://bad-boys.us/?q=SD-IL/3:18-cr-30022", "SD-IL 3:18-cr-30022")</f>
        <v>SD-IL 3:18-cr-30022</v>
      </c>
      <c r="P60" s="37"/>
      <c r="Q60" s="37">
        <v>1.0</v>
      </c>
      <c r="R60" s="37"/>
      <c r="S60" s="37" t="s">
        <v>2710</v>
      </c>
      <c r="T60" s="38">
        <v>2018.0</v>
      </c>
      <c r="U60" s="38" t="b">
        <f t="shared" si="6"/>
        <v>0</v>
      </c>
      <c r="V60" s="38"/>
      <c r="W60" s="40"/>
      <c r="X60" s="40"/>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row>
    <row r="61">
      <c r="A61" s="87" t="s">
        <v>9552</v>
      </c>
      <c r="B61" s="323"/>
      <c r="C61" s="31">
        <v>43160.0</v>
      </c>
      <c r="D61" s="32"/>
      <c r="E61" s="13" t="s">
        <v>31</v>
      </c>
      <c r="F61" s="13">
        <v>1.0</v>
      </c>
      <c r="G61" s="13">
        <v>1.0</v>
      </c>
      <c r="H61" s="50">
        <v>1.0</v>
      </c>
      <c r="I61" s="13" t="s">
        <v>33</v>
      </c>
      <c r="J61" s="13" t="s">
        <v>147</v>
      </c>
      <c r="K61" s="13"/>
      <c r="L61" s="34" t="s">
        <v>6497</v>
      </c>
      <c r="M61" s="46" t="s">
        <v>9553</v>
      </c>
      <c r="N61" s="46" t="s">
        <v>9554</v>
      </c>
      <c r="O61" s="16"/>
      <c r="P61" s="37"/>
      <c r="Q61" s="37"/>
      <c r="R61" s="37"/>
      <c r="S61" s="37"/>
      <c r="T61" s="38"/>
      <c r="U61" s="38" t="b">
        <f t="shared" si="6"/>
        <v>0</v>
      </c>
      <c r="V61" s="38" t="s">
        <v>33</v>
      </c>
      <c r="W61" s="39" t="s">
        <v>9555</v>
      </c>
      <c r="X61" s="39" t="s">
        <v>9556</v>
      </c>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row>
    <row r="62">
      <c r="A62" s="87" t="s">
        <v>9557</v>
      </c>
      <c r="B62" s="323">
        <v>43188.0</v>
      </c>
      <c r="C62" s="31">
        <v>43160.0</v>
      </c>
      <c r="D62" s="32" t="s">
        <v>2723</v>
      </c>
      <c r="E62" s="13" t="s">
        <v>41</v>
      </c>
      <c r="F62" s="13">
        <v>1.0</v>
      </c>
      <c r="G62" s="13">
        <v>1.0</v>
      </c>
      <c r="H62" s="50">
        <v>1.0</v>
      </c>
      <c r="I62" s="13" t="s">
        <v>33</v>
      </c>
      <c r="J62" s="13" t="s">
        <v>203</v>
      </c>
      <c r="K62" s="13">
        <v>2.0</v>
      </c>
      <c r="L62" s="34" t="s">
        <v>6497</v>
      </c>
      <c r="M62" s="46" t="s">
        <v>9558</v>
      </c>
      <c r="N62" s="106"/>
      <c r="O62" s="57" t="str">
        <f>hyperlink("https://bad-boys.us/?q=D-SD/3:18-cr-30038", "D-SD 3:18-cr-30038")</f>
        <v>D-SD 3:18-cr-30038</v>
      </c>
      <c r="P62" s="86" t="s">
        <v>9559</v>
      </c>
      <c r="Q62" s="37">
        <v>1.0</v>
      </c>
      <c r="R62" s="37"/>
      <c r="S62" s="37" t="s">
        <v>2833</v>
      </c>
      <c r="T62" s="38">
        <v>2018.0</v>
      </c>
      <c r="U62" s="38" t="b">
        <f t="shared" si="6"/>
        <v>0</v>
      </c>
      <c r="V62" s="38"/>
      <c r="W62" s="40"/>
      <c r="X62" s="40"/>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row>
    <row r="63">
      <c r="A63" s="87" t="s">
        <v>9560</v>
      </c>
      <c r="B63" s="323"/>
      <c r="C63" s="31">
        <v>43160.0</v>
      </c>
      <c r="D63" s="32"/>
      <c r="E63" s="13" t="s">
        <v>41</v>
      </c>
      <c r="F63" s="13">
        <v>1.0</v>
      </c>
      <c r="G63" s="13">
        <v>1.0</v>
      </c>
      <c r="H63" s="50">
        <v>1.0</v>
      </c>
      <c r="I63" s="13" t="s">
        <v>33</v>
      </c>
      <c r="J63" s="13" t="s">
        <v>47</v>
      </c>
      <c r="K63" s="13"/>
      <c r="L63" s="34" t="s">
        <v>4960</v>
      </c>
      <c r="M63" s="46" t="s">
        <v>9561</v>
      </c>
      <c r="N63" s="46" t="s">
        <v>9562</v>
      </c>
      <c r="O63" s="16"/>
      <c r="P63" s="37"/>
      <c r="Q63" s="37"/>
      <c r="R63" s="37"/>
      <c r="S63" s="37"/>
      <c r="T63" s="38"/>
      <c r="U63" s="38" t="b">
        <f t="shared" si="6"/>
        <v>0</v>
      </c>
      <c r="V63" s="38" t="s">
        <v>33</v>
      </c>
      <c r="W63" s="39" t="s">
        <v>9563</v>
      </c>
      <c r="X63" s="40"/>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row>
    <row r="64">
      <c r="A64" s="87" t="s">
        <v>9564</v>
      </c>
      <c r="B64" s="323"/>
      <c r="C64" s="31">
        <v>43160.0</v>
      </c>
      <c r="D64" s="32"/>
      <c r="E64" s="13" t="s">
        <v>41</v>
      </c>
      <c r="F64" s="13">
        <v>1.0</v>
      </c>
      <c r="G64" s="13" t="s">
        <v>32</v>
      </c>
      <c r="H64" s="50">
        <v>1.0</v>
      </c>
      <c r="I64" s="13" t="s">
        <v>33</v>
      </c>
      <c r="J64" s="13" t="s">
        <v>318</v>
      </c>
      <c r="K64" s="13"/>
      <c r="L64" s="34" t="s">
        <v>9479</v>
      </c>
      <c r="M64" s="46" t="s">
        <v>9565</v>
      </c>
      <c r="N64" s="106"/>
      <c r="O64" s="16"/>
      <c r="P64" s="37"/>
      <c r="Q64" s="37"/>
      <c r="R64" s="37"/>
      <c r="S64" s="37"/>
      <c r="T64" s="38"/>
      <c r="U64" s="38" t="b">
        <f t="shared" si="6"/>
        <v>0</v>
      </c>
      <c r="V64" s="38" t="s">
        <v>33</v>
      </c>
      <c r="W64" s="40"/>
      <c r="X64" s="40"/>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row>
    <row r="65">
      <c r="A65" s="87" t="s">
        <v>9566</v>
      </c>
      <c r="B65" s="323"/>
      <c r="C65" s="30">
        <v>43173.0</v>
      </c>
      <c r="D65" s="32"/>
      <c r="E65" s="13" t="s">
        <v>31</v>
      </c>
      <c r="F65" s="13">
        <v>1.0</v>
      </c>
      <c r="G65" s="13" t="s">
        <v>32</v>
      </c>
      <c r="H65" s="50">
        <v>1.0</v>
      </c>
      <c r="I65" s="13" t="s">
        <v>33</v>
      </c>
      <c r="J65" s="13" t="s">
        <v>47</v>
      </c>
      <c r="K65" s="13"/>
      <c r="L65" s="34" t="s">
        <v>7593</v>
      </c>
      <c r="M65" s="46" t="s">
        <v>9567</v>
      </c>
      <c r="N65" s="46" t="s">
        <v>9568</v>
      </c>
      <c r="O65" s="57" t="str">
        <f>hyperlink("https://bad-boys.us/?q=SD-FL/0:18-cr-60072", "SD-FL 0:18-cr-60072")</f>
        <v>SD-FL 0:18-cr-60072</v>
      </c>
      <c r="P65" s="86" t="s">
        <v>9569</v>
      </c>
      <c r="Q65" s="37">
        <v>1.0</v>
      </c>
      <c r="R65" s="37"/>
      <c r="S65" s="37"/>
      <c r="T65" s="38"/>
      <c r="U65" s="38" t="b">
        <f t="shared" si="6"/>
        <v>0</v>
      </c>
      <c r="V65" s="38" t="s">
        <v>33</v>
      </c>
      <c r="W65" s="39" t="s">
        <v>9570</v>
      </c>
      <c r="X65" s="39" t="s">
        <v>9571</v>
      </c>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row>
    <row r="66">
      <c r="A66" s="87" t="s">
        <v>9572</v>
      </c>
      <c r="B66" s="323">
        <v>43185.0</v>
      </c>
      <c r="C66" s="30">
        <v>43182.0</v>
      </c>
      <c r="D66" s="32" t="s">
        <v>3011</v>
      </c>
      <c r="E66" s="13" t="s">
        <v>41</v>
      </c>
      <c r="F66" s="13">
        <v>1.0</v>
      </c>
      <c r="G66" s="13">
        <v>1.0</v>
      </c>
      <c r="H66" s="50">
        <v>1.0</v>
      </c>
      <c r="I66" s="13" t="s">
        <v>33</v>
      </c>
      <c r="J66" s="13" t="s">
        <v>93</v>
      </c>
      <c r="K66" s="13">
        <v>2.0</v>
      </c>
      <c r="L66" s="34" t="s">
        <v>9479</v>
      </c>
      <c r="M66" s="120" t="s">
        <v>9573</v>
      </c>
      <c r="N66" s="106"/>
      <c r="O66" s="57" t="str">
        <f>hyperlink("https://bad-boys.us/?q=WD-NY/6:19-cr-06008", "WD-NY 6:19-cr-06008")</f>
        <v>WD-NY 6:19-cr-06008</v>
      </c>
      <c r="P66" s="37"/>
      <c r="Q66" s="37">
        <v>1.0</v>
      </c>
      <c r="R66" s="37"/>
      <c r="S66" s="37"/>
      <c r="T66" s="38"/>
      <c r="U66" s="38" t="b">
        <f t="shared" si="6"/>
        <v>0</v>
      </c>
      <c r="V66" s="38" t="s">
        <v>33</v>
      </c>
      <c r="W66" s="40"/>
      <c r="X66" s="40"/>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row>
    <row r="67">
      <c r="A67" s="87" t="s">
        <v>9574</v>
      </c>
      <c r="B67" s="323"/>
      <c r="C67" s="31">
        <v>43191.0</v>
      </c>
      <c r="D67" s="32"/>
      <c r="E67" s="13" t="s">
        <v>41</v>
      </c>
      <c r="F67" s="13">
        <v>1.0</v>
      </c>
      <c r="G67" s="13">
        <v>1.0</v>
      </c>
      <c r="H67" s="50">
        <v>1.0</v>
      </c>
      <c r="I67" s="13" t="s">
        <v>33</v>
      </c>
      <c r="J67" s="13" t="s">
        <v>144</v>
      </c>
      <c r="K67" s="13"/>
      <c r="L67" s="34" t="s">
        <v>9380</v>
      </c>
      <c r="M67" s="46" t="s">
        <v>9575</v>
      </c>
      <c r="N67" s="46" t="s">
        <v>9576</v>
      </c>
      <c r="O67" s="57" t="str">
        <f>hyperlink("https://bad-boys.us/?q=D-MT/4:18-cr-00030", "D-MT 4:18-cr-00030")</f>
        <v>D-MT 4:18-cr-00030</v>
      </c>
      <c r="P67" s="86" t="s">
        <v>9577</v>
      </c>
      <c r="Q67" s="37">
        <v>1.0</v>
      </c>
      <c r="R67" s="37"/>
      <c r="S67" s="37"/>
      <c r="T67" s="38"/>
      <c r="U67" s="38" t="b">
        <f t="shared" si="6"/>
        <v>0</v>
      </c>
      <c r="V67" s="38" t="s">
        <v>33</v>
      </c>
      <c r="W67" s="39" t="s">
        <v>9578</v>
      </c>
      <c r="X67" s="40"/>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row>
    <row r="68">
      <c r="A68" s="87" t="s">
        <v>9579</v>
      </c>
      <c r="B68" s="323"/>
      <c r="C68" s="31">
        <v>43191.0</v>
      </c>
      <c r="D68" s="32"/>
      <c r="E68" s="13" t="s">
        <v>41</v>
      </c>
      <c r="F68" s="13">
        <v>1.0</v>
      </c>
      <c r="G68" s="13">
        <v>1.0</v>
      </c>
      <c r="H68" s="50">
        <v>1.0</v>
      </c>
      <c r="I68" s="13" t="s">
        <v>33</v>
      </c>
      <c r="J68" s="13" t="s">
        <v>343</v>
      </c>
      <c r="K68" s="13"/>
      <c r="L68" s="34" t="s">
        <v>9433</v>
      </c>
      <c r="M68" s="46" t="s">
        <v>9580</v>
      </c>
      <c r="N68" s="106"/>
      <c r="O68" s="16"/>
      <c r="P68" s="37"/>
      <c r="Q68" s="37"/>
      <c r="R68" s="37"/>
      <c r="S68" s="37"/>
      <c r="T68" s="38"/>
      <c r="U68" s="38"/>
      <c r="V68" s="38"/>
      <c r="W68" s="40"/>
      <c r="X68" s="40"/>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row>
    <row r="69">
      <c r="A69" s="87" t="s">
        <v>9581</v>
      </c>
      <c r="B69" s="323">
        <v>43220.0</v>
      </c>
      <c r="C69" s="31">
        <v>43191.0</v>
      </c>
      <c r="D69" s="32" t="s">
        <v>1844</v>
      </c>
      <c r="E69" s="13" t="s">
        <v>41</v>
      </c>
      <c r="F69" s="13">
        <v>1.0</v>
      </c>
      <c r="G69" s="13">
        <v>1.0</v>
      </c>
      <c r="H69" s="50">
        <v>1.0</v>
      </c>
      <c r="I69" s="13" t="s">
        <v>33</v>
      </c>
      <c r="J69" s="13" t="s">
        <v>115</v>
      </c>
      <c r="K69" s="13">
        <v>2.0</v>
      </c>
      <c r="L69" s="34" t="s">
        <v>9487</v>
      </c>
      <c r="M69" s="106" t="s">
        <v>9582</v>
      </c>
      <c r="N69" s="106"/>
      <c r="O69" s="57" t="str">
        <f>hyperlink("https://bad-boys.us/?q=ED-PA/5:18-cr-00171", "ED-PA 5:18-cr-00171")</f>
        <v>ED-PA 5:18-cr-00171</v>
      </c>
      <c r="P69" s="86" t="s">
        <v>9583</v>
      </c>
      <c r="Q69" s="37">
        <v>1.0</v>
      </c>
      <c r="R69" s="37"/>
      <c r="S69" s="37" t="s">
        <v>9584</v>
      </c>
      <c r="T69" s="38">
        <v>2018.0</v>
      </c>
      <c r="U69" s="38" t="b">
        <f t="shared" ref="U69:U81" si="7">countif(A$5:A3006, A69)&gt;1</f>
        <v>0</v>
      </c>
      <c r="V69" s="38"/>
      <c r="W69" s="40"/>
      <c r="X69" s="40"/>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row>
    <row r="70">
      <c r="A70" s="87" t="s">
        <v>9585</v>
      </c>
      <c r="B70" s="323">
        <v>43418.0</v>
      </c>
      <c r="C70" s="31">
        <v>43191.0</v>
      </c>
      <c r="D70" s="32" t="s">
        <v>1844</v>
      </c>
      <c r="E70" s="13" t="s">
        <v>41</v>
      </c>
      <c r="F70" s="13">
        <v>1.0</v>
      </c>
      <c r="G70" s="13">
        <v>6.0</v>
      </c>
      <c r="H70" s="33">
        <f>if(G70="Unknown",1,G70)</f>
        <v>6</v>
      </c>
      <c r="I70" s="13" t="s">
        <v>33</v>
      </c>
      <c r="J70" s="13" t="s">
        <v>241</v>
      </c>
      <c r="K70" s="13">
        <v>1.0</v>
      </c>
      <c r="L70" s="34" t="s">
        <v>9396</v>
      </c>
      <c r="M70" s="46" t="s">
        <v>9586</v>
      </c>
      <c r="N70" s="46" t="s">
        <v>9587</v>
      </c>
      <c r="O70" s="57" t="str">
        <f>hyperlink("https://bad-boys.us/?q=D-AZ/2:18-cr-00594", "D-AZ 2:18-cr-00594")</f>
        <v>D-AZ 2:18-cr-00594</v>
      </c>
      <c r="P70" s="86" t="s">
        <v>9588</v>
      </c>
      <c r="Q70" s="37">
        <v>1.0</v>
      </c>
      <c r="R70" s="37"/>
      <c r="S70" s="37" t="str">
        <f>IFERROR(__xludf.DUMMYFUNCTION("if(not(iserror(index(split(C70, "" ""),2))), index(split(C70, "" ""),1),"""")"),"April,")</f>
        <v>April,</v>
      </c>
      <c r="T70" s="38">
        <f>IFERROR(__xludf.DUMMYFUNCTION("if(S70="""",C70,if(not(iserror(index(split(C70, "" ""),3))), index(split(C70, "" ""),3),index(split(C70, "" ""),2)))"),2018.0)</f>
        <v>2018</v>
      </c>
      <c r="U70" s="38" t="b">
        <f t="shared" si="7"/>
        <v>0</v>
      </c>
      <c r="V70" s="38"/>
      <c r="W70" s="40"/>
      <c r="X70" s="40"/>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row>
    <row r="71">
      <c r="A71" s="87" t="s">
        <v>9589</v>
      </c>
      <c r="B71" s="323">
        <v>43369.0</v>
      </c>
      <c r="C71" s="30">
        <v>43193.0</v>
      </c>
      <c r="D71" s="32" t="s">
        <v>3210</v>
      </c>
      <c r="E71" s="13" t="s">
        <v>41</v>
      </c>
      <c r="F71" s="13">
        <v>2.0</v>
      </c>
      <c r="G71" s="13">
        <v>1.0</v>
      </c>
      <c r="H71" s="50">
        <v>1.0</v>
      </c>
      <c r="I71" s="13" t="s">
        <v>33</v>
      </c>
      <c r="J71" s="13" t="s">
        <v>193</v>
      </c>
      <c r="K71" s="13">
        <v>2.0</v>
      </c>
      <c r="L71" s="34" t="s">
        <v>9590</v>
      </c>
      <c r="M71" s="46" t="s">
        <v>9591</v>
      </c>
      <c r="N71" s="106"/>
      <c r="O71" s="57" t="str">
        <f>hyperlink("https://bad-boys.us/?q=D-NM/1:18-cr-00927", "D-NM 1:18-cr-00927")</f>
        <v>D-NM 1:18-cr-00927</v>
      </c>
      <c r="P71" s="86" t="s">
        <v>9592</v>
      </c>
      <c r="Q71" s="37">
        <v>1.0</v>
      </c>
      <c r="R71" s="37"/>
      <c r="S71" s="37" t="s">
        <v>9584</v>
      </c>
      <c r="T71" s="38">
        <v>2018.0</v>
      </c>
      <c r="U71" s="38" t="b">
        <f t="shared" si="7"/>
        <v>0</v>
      </c>
      <c r="V71" s="38"/>
      <c r="W71" s="40"/>
      <c r="X71" s="40"/>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row>
    <row r="72">
      <c r="A72" s="87" t="s">
        <v>9593</v>
      </c>
      <c r="B72" s="323"/>
      <c r="C72" s="30">
        <v>43195.0</v>
      </c>
      <c r="D72" s="32"/>
      <c r="E72" s="13" t="s">
        <v>41</v>
      </c>
      <c r="F72" s="13">
        <v>1.0</v>
      </c>
      <c r="G72" s="13" t="s">
        <v>32</v>
      </c>
      <c r="H72" s="50">
        <v>1.0</v>
      </c>
      <c r="I72" s="13" t="s">
        <v>9594</v>
      </c>
      <c r="J72" s="13" t="s">
        <v>98</v>
      </c>
      <c r="K72" s="13"/>
      <c r="L72" s="34" t="s">
        <v>7593</v>
      </c>
      <c r="M72" s="46" t="s">
        <v>9595</v>
      </c>
      <c r="N72" s="46" t="s">
        <v>9596</v>
      </c>
      <c r="O72" s="57" t="str">
        <f>hyperlink("https://bad-boys.us/?q=MD-GA/5:18-cr-00030", "MD-GA 5:18-cr-00030")</f>
        <v>MD-GA 5:18-cr-00030</v>
      </c>
      <c r="P72" s="86" t="s">
        <v>9597</v>
      </c>
      <c r="Q72" s="37">
        <v>1.0</v>
      </c>
      <c r="R72" s="37"/>
      <c r="S72" s="37"/>
      <c r="T72" s="38"/>
      <c r="U72" s="38" t="b">
        <f t="shared" si="7"/>
        <v>0</v>
      </c>
      <c r="V72" s="38" t="s">
        <v>33</v>
      </c>
      <c r="W72" s="39" t="s">
        <v>9598</v>
      </c>
      <c r="X72" s="40"/>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row>
    <row r="73">
      <c r="A73" s="87" t="s">
        <v>9599</v>
      </c>
      <c r="B73" s="323">
        <v>43208.0</v>
      </c>
      <c r="C73" s="30">
        <v>43207.0</v>
      </c>
      <c r="D73" s="32" t="s">
        <v>3314</v>
      </c>
      <c r="E73" s="13" t="s">
        <v>41</v>
      </c>
      <c r="F73" s="13">
        <v>1.0</v>
      </c>
      <c r="G73" s="13">
        <v>1.0</v>
      </c>
      <c r="H73" s="50">
        <v>1.0</v>
      </c>
      <c r="I73" s="13" t="s">
        <v>33</v>
      </c>
      <c r="J73" s="13" t="s">
        <v>93</v>
      </c>
      <c r="K73" s="13">
        <v>2.0</v>
      </c>
      <c r="L73" s="34" t="s">
        <v>9600</v>
      </c>
      <c r="M73" s="46" t="s">
        <v>9601</v>
      </c>
      <c r="N73" s="106"/>
      <c r="O73" s="57" t="str">
        <f>hyperlink("https://bad-boys.us/?q=ND-NY/1:18-mj-00198", "ND-NY 1:18-mj-00198")</f>
        <v>ND-NY 1:18-mj-00198</v>
      </c>
      <c r="P73" s="86" t="s">
        <v>9602</v>
      </c>
      <c r="Q73" s="37">
        <v>1.0</v>
      </c>
      <c r="R73" s="37"/>
      <c r="S73" s="37" t="s">
        <v>9584</v>
      </c>
      <c r="T73" s="38">
        <v>2018.0</v>
      </c>
      <c r="U73" s="38" t="b">
        <f t="shared" si="7"/>
        <v>0</v>
      </c>
      <c r="V73" s="38"/>
      <c r="W73" s="40"/>
      <c r="X73" s="40"/>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row>
    <row r="74">
      <c r="A74" s="87" t="s">
        <v>9603</v>
      </c>
      <c r="B74" s="323"/>
      <c r="C74" s="30">
        <v>43216.0</v>
      </c>
      <c r="D74" s="32"/>
      <c r="E74" s="13" t="s">
        <v>41</v>
      </c>
      <c r="F74" s="13">
        <v>1.0</v>
      </c>
      <c r="G74" s="13">
        <v>1.0</v>
      </c>
      <c r="H74" s="50">
        <v>1.0</v>
      </c>
      <c r="I74" s="13" t="s">
        <v>33</v>
      </c>
      <c r="J74" s="13" t="s">
        <v>147</v>
      </c>
      <c r="K74" s="13"/>
      <c r="L74" s="34" t="s">
        <v>9487</v>
      </c>
      <c r="M74" s="46" t="s">
        <v>9604</v>
      </c>
      <c r="N74" s="106"/>
      <c r="O74" s="57" t="str">
        <f>hyperlink("https://bad-boys.us/?q=SD-TX/1:18-cr-00588", "SD-TX 1:18-cr-00588")</f>
        <v>SD-TX 1:18-cr-00588</v>
      </c>
      <c r="P74" s="86" t="s">
        <v>9605</v>
      </c>
      <c r="Q74" s="37">
        <v>1.0</v>
      </c>
      <c r="R74" s="37"/>
      <c r="S74" s="37"/>
      <c r="T74" s="38"/>
      <c r="U74" s="38" t="b">
        <f t="shared" si="7"/>
        <v>0</v>
      </c>
      <c r="V74" s="38" t="s">
        <v>6146</v>
      </c>
      <c r="W74" s="40"/>
      <c r="X74" s="40"/>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row>
    <row r="75">
      <c r="A75" s="87" t="s">
        <v>9606</v>
      </c>
      <c r="B75" s="323">
        <v>43217.0</v>
      </c>
      <c r="C75" s="30">
        <v>43217.0</v>
      </c>
      <c r="D75" s="32" t="s">
        <v>9607</v>
      </c>
      <c r="E75" s="13" t="s">
        <v>41</v>
      </c>
      <c r="F75" s="13">
        <v>1.0</v>
      </c>
      <c r="G75" s="13">
        <v>1.0</v>
      </c>
      <c r="H75" s="50">
        <v>1.0</v>
      </c>
      <c r="I75" s="13" t="s">
        <v>33</v>
      </c>
      <c r="J75" s="13" t="s">
        <v>115</v>
      </c>
      <c r="K75" s="13">
        <v>4.0</v>
      </c>
      <c r="L75" s="34" t="s">
        <v>9487</v>
      </c>
      <c r="M75" s="46" t="s">
        <v>9608</v>
      </c>
      <c r="N75" s="106"/>
      <c r="O75" s="57" t="str">
        <f>hyperlink("https://bad-boys.us/?q=ED-PA/2:18-mj-00497", "ED-PA 2:18-mj-00497")</f>
        <v>ED-PA 2:18-mj-00497</v>
      </c>
      <c r="P75" s="37"/>
      <c r="Q75" s="37">
        <v>1.0</v>
      </c>
      <c r="R75" s="37"/>
      <c r="S75" s="37" t="s">
        <v>9584</v>
      </c>
      <c r="T75" s="38">
        <v>2018.0</v>
      </c>
      <c r="U75" s="38" t="b">
        <f t="shared" si="7"/>
        <v>0</v>
      </c>
      <c r="V75" s="38"/>
      <c r="W75" s="40"/>
      <c r="X75" s="40"/>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row>
    <row r="76">
      <c r="A76" s="330" t="s">
        <v>9609</v>
      </c>
      <c r="B76" s="331"/>
      <c r="C76" s="332">
        <v>43221.0</v>
      </c>
      <c r="D76" s="333"/>
      <c r="E76" s="330" t="s">
        <v>41</v>
      </c>
      <c r="F76" s="330">
        <v>1.0</v>
      </c>
      <c r="G76" s="330" t="s">
        <v>32</v>
      </c>
      <c r="H76" s="334">
        <v>1.0</v>
      </c>
      <c r="I76" s="330" t="s">
        <v>33</v>
      </c>
      <c r="J76" s="330" t="s">
        <v>279</v>
      </c>
      <c r="K76" s="330"/>
      <c r="L76" s="330" t="s">
        <v>9366</v>
      </c>
      <c r="M76" s="335" t="s">
        <v>9610</v>
      </c>
      <c r="N76" s="336"/>
      <c r="O76" s="337"/>
      <c r="P76" s="338"/>
      <c r="Q76" s="339"/>
      <c r="R76" s="129"/>
      <c r="S76" s="129"/>
      <c r="T76" s="340"/>
      <c r="U76" s="38" t="b">
        <f t="shared" si="7"/>
        <v>1</v>
      </c>
      <c r="V76" s="340" t="s">
        <v>33</v>
      </c>
      <c r="W76" s="340"/>
      <c r="X76" s="340"/>
      <c r="Y76" s="340"/>
      <c r="Z76" s="340"/>
      <c r="AA76" s="340"/>
      <c r="AB76" s="340"/>
      <c r="AC76" s="340"/>
      <c r="AD76" s="340"/>
      <c r="AE76" s="340"/>
      <c r="AF76" s="340"/>
      <c r="AG76" s="340"/>
      <c r="AH76" s="340"/>
      <c r="AI76" s="340"/>
      <c r="AJ76" s="340"/>
      <c r="AK76" s="340"/>
      <c r="AL76" s="340"/>
      <c r="AM76" s="340"/>
      <c r="AN76" s="340"/>
      <c r="AO76" s="340"/>
      <c r="AP76" s="340"/>
      <c r="AQ76" s="340"/>
      <c r="AR76" s="340"/>
      <c r="AS76" s="340"/>
      <c r="AT76" s="340"/>
      <c r="AU76" s="340"/>
      <c r="AV76" s="340"/>
      <c r="AW76" s="340"/>
      <c r="AX76" s="340"/>
      <c r="AY76" s="340"/>
      <c r="AZ76" s="340"/>
      <c r="BA76" s="340"/>
      <c r="BB76" s="340"/>
      <c r="BC76" s="340"/>
      <c r="BD76" s="340"/>
      <c r="BE76" s="340"/>
      <c r="BF76" s="340"/>
      <c r="BG76" s="340"/>
      <c r="BH76" s="340"/>
      <c r="BI76" s="340"/>
      <c r="BJ76" s="340"/>
      <c r="BK76" s="340"/>
      <c r="BL76" s="340"/>
      <c r="BM76" s="340"/>
      <c r="BN76" s="340"/>
      <c r="BO76" s="340"/>
      <c r="BP76" s="340"/>
      <c r="BQ76" s="340"/>
    </row>
    <row r="77">
      <c r="A77" s="87" t="s">
        <v>9611</v>
      </c>
      <c r="B77" s="323">
        <v>43249.0</v>
      </c>
      <c r="C77" s="31">
        <v>43221.0</v>
      </c>
      <c r="D77" s="32" t="s">
        <v>632</v>
      </c>
      <c r="E77" s="13" t="s">
        <v>41</v>
      </c>
      <c r="F77" s="13">
        <v>1.0</v>
      </c>
      <c r="G77" s="13" t="s">
        <v>32</v>
      </c>
      <c r="H77" s="50">
        <v>1.0</v>
      </c>
      <c r="I77" s="13" t="s">
        <v>33</v>
      </c>
      <c r="J77" s="13" t="s">
        <v>115</v>
      </c>
      <c r="K77" s="13">
        <v>2.0</v>
      </c>
      <c r="L77" s="34" t="s">
        <v>9612</v>
      </c>
      <c r="M77" s="46" t="s">
        <v>9613</v>
      </c>
      <c r="N77" s="106"/>
      <c r="O77" s="57" t="str">
        <f>hyperlink("https://bad-boys.us/?q=MD-PA/4:18-cr-00173", "MD-PA 4:18-cr-00173")</f>
        <v>MD-PA 4:18-cr-00173</v>
      </c>
      <c r="P77" s="37"/>
      <c r="Q77" s="37">
        <v>1.0</v>
      </c>
      <c r="R77" s="37"/>
      <c r="S77" s="37" t="s">
        <v>9378</v>
      </c>
      <c r="T77" s="38">
        <v>2018.0</v>
      </c>
      <c r="U77" s="38" t="b">
        <f t="shared" si="7"/>
        <v>0</v>
      </c>
      <c r="V77" s="38"/>
      <c r="W77" s="40"/>
      <c r="X77" s="40"/>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row>
    <row r="78">
      <c r="A78" s="87" t="s">
        <v>9614</v>
      </c>
      <c r="B78" s="323">
        <v>43259.0</v>
      </c>
      <c r="C78" s="31">
        <v>43221.0</v>
      </c>
      <c r="D78" s="32" t="s">
        <v>632</v>
      </c>
      <c r="E78" s="13" t="s">
        <v>41</v>
      </c>
      <c r="F78" s="13">
        <v>1.0</v>
      </c>
      <c r="G78" s="13">
        <v>1.0</v>
      </c>
      <c r="H78" s="50">
        <v>1.0</v>
      </c>
      <c r="I78" s="13" t="s">
        <v>33</v>
      </c>
      <c r="J78" s="13" t="s">
        <v>203</v>
      </c>
      <c r="K78" s="13">
        <v>2.0</v>
      </c>
      <c r="L78" s="34" t="s">
        <v>6497</v>
      </c>
      <c r="M78" s="106" t="s">
        <v>9615</v>
      </c>
      <c r="N78" s="106"/>
      <c r="O78" s="16"/>
      <c r="P78" s="37"/>
      <c r="Q78" s="37"/>
      <c r="R78" s="37"/>
      <c r="S78" s="37" t="s">
        <v>9378</v>
      </c>
      <c r="T78" s="38">
        <v>2018.0</v>
      </c>
      <c r="U78" s="38" t="b">
        <f t="shared" si="7"/>
        <v>0</v>
      </c>
      <c r="V78" s="38" t="s">
        <v>33</v>
      </c>
      <c r="W78" s="40"/>
      <c r="X78" s="40"/>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row>
    <row r="79">
      <c r="A79" s="87" t="s">
        <v>9616</v>
      </c>
      <c r="B79" s="323"/>
      <c r="C79" s="31">
        <v>43221.0</v>
      </c>
      <c r="D79" s="32"/>
      <c r="E79" s="13" t="s">
        <v>41</v>
      </c>
      <c r="F79" s="13">
        <v>1.0</v>
      </c>
      <c r="G79" s="13" t="s">
        <v>32</v>
      </c>
      <c r="H79" s="50">
        <v>1.0</v>
      </c>
      <c r="I79" s="13" t="s">
        <v>33</v>
      </c>
      <c r="J79" s="13" t="s">
        <v>203</v>
      </c>
      <c r="K79" s="13"/>
      <c r="L79" s="34" t="s">
        <v>9380</v>
      </c>
      <c r="M79" s="46" t="s">
        <v>9617</v>
      </c>
      <c r="N79" s="106"/>
      <c r="O79" s="57" t="str">
        <f>hyperlink("https://bad-boys.us/?q=D-SD/5:18-cr-50062", "D-SD 5:18-cr-50062")</f>
        <v>D-SD 5:18-cr-50062</v>
      </c>
      <c r="P79" s="86" t="s">
        <v>9618</v>
      </c>
      <c r="Q79" s="37">
        <v>1.0</v>
      </c>
      <c r="R79" s="37"/>
      <c r="S79" s="37"/>
      <c r="T79" s="38"/>
      <c r="U79" s="38" t="b">
        <f t="shared" si="7"/>
        <v>0</v>
      </c>
      <c r="V79" s="38" t="s">
        <v>33</v>
      </c>
      <c r="W79" s="40"/>
      <c r="X79" s="40"/>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row>
    <row r="80">
      <c r="A80" s="87" t="s">
        <v>9619</v>
      </c>
      <c r="B80" s="341">
        <v>43410.0</v>
      </c>
      <c r="C80" s="79">
        <v>43221.0</v>
      </c>
      <c r="D80" s="60" t="s">
        <v>632</v>
      </c>
      <c r="E80" s="58" t="s">
        <v>41</v>
      </c>
      <c r="F80" s="58">
        <v>1.0</v>
      </c>
      <c r="G80" s="58" t="s">
        <v>32</v>
      </c>
      <c r="H80" s="50">
        <v>1.0</v>
      </c>
      <c r="I80" s="58" t="s">
        <v>33</v>
      </c>
      <c r="J80" s="58" t="s">
        <v>47</v>
      </c>
      <c r="K80" s="58">
        <v>1.0</v>
      </c>
      <c r="L80" s="58" t="s">
        <v>7593</v>
      </c>
      <c r="M80" s="120" t="s">
        <v>9620</v>
      </c>
      <c r="N80" s="341"/>
      <c r="O80" s="342" t="str">
        <f>hyperlink("https://bad-boys.us/?q=MD-FL/8:18-cr-00238", "MD-FL 8:18-cr-00238")</f>
        <v>MD-FL 8:18-cr-00238</v>
      </c>
      <c r="P80" s="342" t="s">
        <v>9621</v>
      </c>
      <c r="Q80" s="58">
        <v>1.0</v>
      </c>
      <c r="R80" s="58"/>
      <c r="S80" s="58" t="s">
        <v>9378</v>
      </c>
      <c r="T80" s="38">
        <v>2018.0</v>
      </c>
      <c r="U80" s="38" t="b">
        <f t="shared" si="7"/>
        <v>0</v>
      </c>
      <c r="V80" s="58"/>
      <c r="W80" s="80"/>
      <c r="X80" s="80"/>
      <c r="Y80" s="80"/>
      <c r="Z80" s="80"/>
      <c r="AA80" s="58"/>
      <c r="AB80" s="58"/>
      <c r="AC80" s="84"/>
      <c r="AD80" s="62"/>
      <c r="AE80" s="37"/>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row>
    <row r="81">
      <c r="A81" s="37" t="s">
        <v>9622</v>
      </c>
      <c r="B81" s="322">
        <v>43451.0</v>
      </c>
      <c r="C81" s="100">
        <v>43221.0</v>
      </c>
      <c r="D81" s="144" t="s">
        <v>632</v>
      </c>
      <c r="E81" s="37" t="s">
        <v>41</v>
      </c>
      <c r="F81" s="37">
        <v>1.0</v>
      </c>
      <c r="G81" s="37" t="s">
        <v>32</v>
      </c>
      <c r="H81" s="50">
        <v>1.0</v>
      </c>
      <c r="I81" s="37" t="s">
        <v>33</v>
      </c>
      <c r="J81" s="37" t="s">
        <v>47</v>
      </c>
      <c r="K81" s="37">
        <v>2.0</v>
      </c>
      <c r="L81" s="37" t="s">
        <v>9600</v>
      </c>
      <c r="M81" s="36" t="s">
        <v>9623</v>
      </c>
      <c r="N81" s="14"/>
      <c r="O81" s="57" t="str">
        <f>hyperlink("https://bad-boys.us/?q=ND-FL/3:18-cr-00063", "ND-FL 3:18-cr-00063")</f>
        <v>ND-FL 3:18-cr-00063</v>
      </c>
      <c r="P81" s="86" t="s">
        <v>9624</v>
      </c>
      <c r="Q81" s="37">
        <v>1.0</v>
      </c>
      <c r="R81" s="16"/>
      <c r="S81" s="37" t="s">
        <v>9378</v>
      </c>
      <c r="T81" s="38">
        <v>2018.0</v>
      </c>
      <c r="U81" s="38" t="b">
        <f t="shared" si="7"/>
        <v>0</v>
      </c>
      <c r="V81" s="38"/>
      <c r="W81" s="40"/>
      <c r="X81" s="40"/>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row>
    <row r="82">
      <c r="A82" s="37" t="s">
        <v>9625</v>
      </c>
      <c r="B82" s="322"/>
      <c r="C82" s="99">
        <v>43221.0</v>
      </c>
      <c r="D82" s="144"/>
      <c r="E82" s="37" t="s">
        <v>41</v>
      </c>
      <c r="F82" s="37">
        <v>1.0</v>
      </c>
      <c r="G82" s="37">
        <v>1.0</v>
      </c>
      <c r="H82" s="50">
        <v>1.0</v>
      </c>
      <c r="I82" s="37" t="s">
        <v>33</v>
      </c>
      <c r="J82" s="37" t="s">
        <v>144</v>
      </c>
      <c r="K82" s="37"/>
      <c r="L82" s="37" t="s">
        <v>9380</v>
      </c>
      <c r="M82" s="36" t="s">
        <v>9626</v>
      </c>
      <c r="N82" s="14"/>
      <c r="O82" s="16"/>
      <c r="P82" s="37"/>
      <c r="Q82" s="37"/>
      <c r="R82" s="16"/>
      <c r="S82" s="37"/>
      <c r="T82" s="38"/>
      <c r="U82" s="38"/>
      <c r="V82" s="38" t="s">
        <v>33</v>
      </c>
      <c r="W82" s="40"/>
      <c r="X82" s="40"/>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row>
    <row r="83">
      <c r="A83" s="37" t="s">
        <v>9627</v>
      </c>
      <c r="B83" s="322"/>
      <c r="C83" s="99">
        <v>43222.0</v>
      </c>
      <c r="D83" s="144"/>
      <c r="E83" s="37" t="s">
        <v>41</v>
      </c>
      <c r="F83" s="37">
        <v>1.0</v>
      </c>
      <c r="G83" s="37">
        <v>1.0</v>
      </c>
      <c r="H83" s="50">
        <v>1.0</v>
      </c>
      <c r="I83" s="37" t="s">
        <v>33</v>
      </c>
      <c r="J83" s="37" t="s">
        <v>279</v>
      </c>
      <c r="K83" s="37"/>
      <c r="L83" s="37" t="s">
        <v>9479</v>
      </c>
      <c r="M83" s="14" t="s">
        <v>9628</v>
      </c>
      <c r="N83" s="14"/>
      <c r="O83" s="57" t="str">
        <f>hyperlink("https://bad-boys.us/?q=WD-MO/4:18-cr-00120", "WD-MO 4:18-cr-00120")</f>
        <v>WD-MO 4:18-cr-00120</v>
      </c>
      <c r="P83" s="86" t="s">
        <v>9629</v>
      </c>
      <c r="Q83" s="37">
        <v>1.0</v>
      </c>
      <c r="R83" s="16"/>
      <c r="S83" s="37"/>
      <c r="T83" s="38"/>
      <c r="U83" s="38" t="b">
        <f t="shared" ref="U83:U99" si="8">countif(A$5:A3006, A83)&gt;1</f>
        <v>0</v>
      </c>
      <c r="V83" s="38" t="s">
        <v>33</v>
      </c>
      <c r="W83" s="40"/>
      <c r="X83" s="40"/>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row>
    <row r="84">
      <c r="A84" s="87" t="s">
        <v>9630</v>
      </c>
      <c r="B84" s="323">
        <v>43327.0</v>
      </c>
      <c r="C84" s="30">
        <v>43231.0</v>
      </c>
      <c r="D84" s="32" t="s">
        <v>3636</v>
      </c>
      <c r="E84" s="13" t="s">
        <v>41</v>
      </c>
      <c r="F84" s="13">
        <v>1.0</v>
      </c>
      <c r="G84" s="13">
        <v>1.0</v>
      </c>
      <c r="H84" s="50">
        <v>1.0</v>
      </c>
      <c r="I84" s="13" t="s">
        <v>33</v>
      </c>
      <c r="J84" s="13" t="s">
        <v>106</v>
      </c>
      <c r="K84" s="13">
        <v>1.0</v>
      </c>
      <c r="L84" s="34" t="s">
        <v>9487</v>
      </c>
      <c r="M84" s="46" t="s">
        <v>9631</v>
      </c>
      <c r="N84" s="46" t="s">
        <v>9632</v>
      </c>
      <c r="O84" s="57" t="str">
        <f>hyperlink("https://bad-boys.us/?q=D-MD/1:18-mj-01426", "D-MD 1:18-mj-01426")</f>
        <v>D-MD 1:18-mj-01426</v>
      </c>
      <c r="P84" s="37"/>
      <c r="Q84" s="37">
        <v>1.0</v>
      </c>
      <c r="R84" s="37"/>
      <c r="S84" s="37" t="s">
        <v>9378</v>
      </c>
      <c r="T84" s="38">
        <v>2018.0</v>
      </c>
      <c r="U84" s="38" t="b">
        <f t="shared" si="8"/>
        <v>0</v>
      </c>
      <c r="V84" s="38"/>
      <c r="W84" s="40"/>
      <c r="X84" s="40"/>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row>
    <row r="85">
      <c r="A85" s="87" t="s">
        <v>9633</v>
      </c>
      <c r="B85" s="341">
        <v>43409.0</v>
      </c>
      <c r="C85" s="59">
        <v>43235.0</v>
      </c>
      <c r="D85" s="60" t="s">
        <v>3662</v>
      </c>
      <c r="E85" s="58" t="s">
        <v>41</v>
      </c>
      <c r="F85" s="58">
        <v>1.0</v>
      </c>
      <c r="G85" s="58" t="s">
        <v>32</v>
      </c>
      <c r="H85" s="50">
        <v>1.0</v>
      </c>
      <c r="I85" s="58" t="s">
        <v>33</v>
      </c>
      <c r="J85" s="58" t="s">
        <v>93</v>
      </c>
      <c r="K85" s="58">
        <v>2.0</v>
      </c>
      <c r="L85" s="58" t="s">
        <v>9479</v>
      </c>
      <c r="M85" s="140" t="s">
        <v>9634</v>
      </c>
      <c r="N85" s="120" t="s">
        <v>9635</v>
      </c>
      <c r="O85" s="342" t="str">
        <f>hyperlink("https://bad-boys.us/?q=WD-NY/6:18-mj-04071", "WD-NY 6:18-mj-04071")</f>
        <v>WD-NY 6:18-mj-04071</v>
      </c>
      <c r="P85" s="60"/>
      <c r="Q85" s="58">
        <v>1.0</v>
      </c>
      <c r="R85" s="58"/>
      <c r="S85" s="58"/>
      <c r="T85" s="38"/>
      <c r="U85" s="38" t="b">
        <f t="shared" si="8"/>
        <v>0</v>
      </c>
      <c r="V85" s="58"/>
      <c r="W85" s="80"/>
      <c r="X85" s="80"/>
      <c r="Y85" s="80"/>
      <c r="Z85" s="80"/>
      <c r="AA85" s="58"/>
      <c r="AB85" s="58"/>
      <c r="AC85" s="84"/>
      <c r="AD85" s="62"/>
      <c r="AE85" s="37"/>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row>
    <row r="86">
      <c r="A86" s="87" t="s">
        <v>9636</v>
      </c>
      <c r="B86" s="323">
        <v>43256.0</v>
      </c>
      <c r="C86" s="30">
        <v>43242.0</v>
      </c>
      <c r="D86" s="32" t="s">
        <v>3730</v>
      </c>
      <c r="E86" s="13" t="s">
        <v>41</v>
      </c>
      <c r="F86" s="13">
        <v>1.0</v>
      </c>
      <c r="G86" s="13">
        <v>1.0</v>
      </c>
      <c r="H86" s="50">
        <v>1.0</v>
      </c>
      <c r="I86" s="13" t="s">
        <v>33</v>
      </c>
      <c r="J86" s="13" t="s">
        <v>909</v>
      </c>
      <c r="K86" s="13" t="s">
        <v>32</v>
      </c>
      <c r="L86" s="34" t="s">
        <v>9517</v>
      </c>
      <c r="M86" s="46" t="s">
        <v>9637</v>
      </c>
      <c r="N86" s="106"/>
      <c r="O86" s="57" t="str">
        <f>hyperlink("https://bad-boys.us/?q=D-RI/1:18-mj-00186", "D-RI 1:18-mj-00186")</f>
        <v>D-RI 1:18-mj-00186</v>
      </c>
      <c r="P86" s="86" t="s">
        <v>9638</v>
      </c>
      <c r="Q86" s="37">
        <v>1.0</v>
      </c>
      <c r="R86" s="37"/>
      <c r="S86" s="37" t="s">
        <v>9378</v>
      </c>
      <c r="T86" s="38">
        <v>2018.0</v>
      </c>
      <c r="U86" s="38" t="b">
        <f t="shared" si="8"/>
        <v>0</v>
      </c>
      <c r="V86" s="38"/>
      <c r="W86" s="40"/>
      <c r="X86" s="40"/>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row>
    <row r="87">
      <c r="A87" s="58" t="s">
        <v>3780</v>
      </c>
      <c r="B87" s="341"/>
      <c r="C87" s="59">
        <v>43242.0</v>
      </c>
      <c r="D87" s="60"/>
      <c r="E87" s="58" t="s">
        <v>31</v>
      </c>
      <c r="F87" s="58">
        <v>1.0</v>
      </c>
      <c r="G87" s="58" t="s">
        <v>32</v>
      </c>
      <c r="H87" s="50">
        <v>1.0</v>
      </c>
      <c r="I87" s="58" t="s">
        <v>33</v>
      </c>
      <c r="J87" s="58" t="s">
        <v>279</v>
      </c>
      <c r="K87" s="58"/>
      <c r="L87" s="58" t="s">
        <v>9487</v>
      </c>
      <c r="M87" s="61" t="s">
        <v>9639</v>
      </c>
      <c r="N87" s="61" t="s">
        <v>9640</v>
      </c>
      <c r="O87" s="62"/>
      <c r="P87" s="58"/>
      <c r="Q87" s="58"/>
      <c r="R87" s="62"/>
      <c r="S87" s="37"/>
      <c r="T87" s="38"/>
      <c r="U87" s="38" t="b">
        <f t="shared" si="8"/>
        <v>0</v>
      </c>
      <c r="V87" s="38" t="s">
        <v>33</v>
      </c>
      <c r="W87" s="39" t="s">
        <v>9641</v>
      </c>
      <c r="X87" s="39" t="s">
        <v>9642</v>
      </c>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row>
    <row r="88">
      <c r="A88" s="58" t="s">
        <v>9609</v>
      </c>
      <c r="B88" s="341">
        <v>43256.0</v>
      </c>
      <c r="C88" s="59">
        <v>43245.0</v>
      </c>
      <c r="D88" s="60" t="s">
        <v>3114</v>
      </c>
      <c r="E88" s="58" t="s">
        <v>41</v>
      </c>
      <c r="F88" s="58">
        <v>1.0</v>
      </c>
      <c r="G88" s="58" t="s">
        <v>32</v>
      </c>
      <c r="H88" s="50">
        <v>1.0</v>
      </c>
      <c r="I88" s="58" t="s">
        <v>33</v>
      </c>
      <c r="J88" s="58" t="s">
        <v>279</v>
      </c>
      <c r="K88" s="58">
        <v>1.0</v>
      </c>
      <c r="L88" s="58" t="s">
        <v>9643</v>
      </c>
      <c r="M88" s="61" t="s">
        <v>9644</v>
      </c>
      <c r="N88" s="77"/>
      <c r="O88" s="62"/>
      <c r="P88" s="58"/>
      <c r="Q88" s="58"/>
      <c r="R88" s="62"/>
      <c r="S88" s="37" t="s">
        <v>9378</v>
      </c>
      <c r="T88" s="38">
        <v>2018.0</v>
      </c>
      <c r="U88" s="38" t="b">
        <f t="shared" si="8"/>
        <v>1</v>
      </c>
      <c r="V88" s="38"/>
      <c r="W88" s="40"/>
      <c r="X88" s="40"/>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row>
    <row r="89">
      <c r="A89" s="87" t="s">
        <v>9645</v>
      </c>
      <c r="B89" s="323">
        <v>43276.0</v>
      </c>
      <c r="C89" s="31">
        <v>43252.0</v>
      </c>
      <c r="D89" s="32" t="s">
        <v>2163</v>
      </c>
      <c r="E89" s="13" t="s">
        <v>41</v>
      </c>
      <c r="F89" s="13">
        <v>1.0</v>
      </c>
      <c r="G89" s="13">
        <v>1.0</v>
      </c>
      <c r="H89" s="50">
        <v>1.0</v>
      </c>
      <c r="I89" s="13" t="s">
        <v>33</v>
      </c>
      <c r="J89" s="13" t="s">
        <v>89</v>
      </c>
      <c r="K89" s="13" t="s">
        <v>32</v>
      </c>
      <c r="L89" s="34" t="s">
        <v>9454</v>
      </c>
      <c r="M89" s="46" t="s">
        <v>9646</v>
      </c>
      <c r="N89" s="106"/>
      <c r="O89" s="57" t="str">
        <f>hyperlink("https://bad-boys.us/?q=WD-TN/1:18-cr-10056", "WD-TN 1:18-cr-10056")</f>
        <v>WD-TN 1:18-cr-10056</v>
      </c>
      <c r="P89" s="86" t="s">
        <v>9647</v>
      </c>
      <c r="Q89" s="37">
        <v>1.0</v>
      </c>
      <c r="R89" s="37"/>
      <c r="S89" s="37"/>
      <c r="T89" s="38"/>
      <c r="U89" s="38" t="b">
        <f t="shared" si="8"/>
        <v>0</v>
      </c>
      <c r="V89" s="38"/>
      <c r="W89" s="40"/>
      <c r="X89" s="40"/>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row>
    <row r="90">
      <c r="A90" s="87" t="s">
        <v>9648</v>
      </c>
      <c r="B90" s="323"/>
      <c r="C90" s="31">
        <v>43252.0</v>
      </c>
      <c r="D90" s="32"/>
      <c r="E90" s="13" t="s">
        <v>41</v>
      </c>
      <c r="F90" s="13">
        <v>1.0</v>
      </c>
      <c r="G90" s="13">
        <v>1.0</v>
      </c>
      <c r="H90" s="50">
        <v>1.0</v>
      </c>
      <c r="I90" s="13" t="s">
        <v>33</v>
      </c>
      <c r="J90" s="13" t="s">
        <v>147</v>
      </c>
      <c r="K90" s="13"/>
      <c r="L90" s="34" t="s">
        <v>9479</v>
      </c>
      <c r="M90" s="46" t="s">
        <v>4864</v>
      </c>
      <c r="N90" s="106"/>
      <c r="O90" s="57" t="str">
        <f>hyperlink("https://bad-boys.us/?q=ND-TX/4:18-cr-00220", "ND-TX 4:18-cr-00220")</f>
        <v>ND-TX 4:18-cr-00220</v>
      </c>
      <c r="P90" s="86" t="s">
        <v>9649</v>
      </c>
      <c r="Q90" s="37">
        <v>1.0</v>
      </c>
      <c r="R90" s="37"/>
      <c r="S90" s="37"/>
      <c r="T90" s="38"/>
      <c r="U90" s="38" t="b">
        <f t="shared" si="8"/>
        <v>0</v>
      </c>
      <c r="V90" s="38" t="s">
        <v>33</v>
      </c>
      <c r="W90" s="40"/>
      <c r="X90" s="40"/>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row>
    <row r="91">
      <c r="A91" s="87" t="s">
        <v>9650</v>
      </c>
      <c r="B91" s="341"/>
      <c r="C91" s="79">
        <v>43252.0</v>
      </c>
      <c r="D91" s="60"/>
      <c r="E91" s="58" t="s">
        <v>41</v>
      </c>
      <c r="F91" s="58">
        <v>1.0</v>
      </c>
      <c r="G91" s="58">
        <v>1.0</v>
      </c>
      <c r="H91" s="43">
        <v>1.0</v>
      </c>
      <c r="I91" s="58" t="s">
        <v>33</v>
      </c>
      <c r="J91" s="58" t="s">
        <v>47</v>
      </c>
      <c r="K91" s="58"/>
      <c r="L91" s="58" t="s">
        <v>9651</v>
      </c>
      <c r="M91" s="61" t="s">
        <v>9652</v>
      </c>
      <c r="N91" s="77"/>
      <c r="O91" s="62"/>
      <c r="P91" s="58"/>
      <c r="Q91" s="58"/>
      <c r="R91" s="62"/>
      <c r="S91" s="37"/>
      <c r="T91" s="38"/>
      <c r="U91" s="38" t="b">
        <f t="shared" si="8"/>
        <v>0</v>
      </c>
      <c r="V91" s="38" t="s">
        <v>6300</v>
      </c>
      <c r="W91" s="40"/>
      <c r="X91" s="40"/>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row>
    <row r="92">
      <c r="A92" s="87" t="s">
        <v>9653</v>
      </c>
      <c r="B92" s="323">
        <v>43279.0</v>
      </c>
      <c r="C92" s="31">
        <v>43252.0</v>
      </c>
      <c r="D92" s="32" t="s">
        <v>2163</v>
      </c>
      <c r="E92" s="13" t="s">
        <v>41</v>
      </c>
      <c r="F92" s="13">
        <v>1.0</v>
      </c>
      <c r="G92" s="13">
        <v>1.0</v>
      </c>
      <c r="H92" s="50">
        <v>1.0</v>
      </c>
      <c r="I92" s="13" t="s">
        <v>33</v>
      </c>
      <c r="J92" s="13" t="s">
        <v>124</v>
      </c>
      <c r="K92" s="13">
        <v>4.0</v>
      </c>
      <c r="L92" s="34" t="s">
        <v>4960</v>
      </c>
      <c r="M92" s="46" t="s">
        <v>3826</v>
      </c>
      <c r="N92" s="106"/>
      <c r="O92" s="57" t="str">
        <f>hyperlink("https://bad-boys.us/?q=ND-OH/4:18-cr-00338", "ND-OH 4:18-cr-00338")</f>
        <v>ND-OH 4:18-cr-00338</v>
      </c>
      <c r="P92" s="86" t="s">
        <v>9654</v>
      </c>
      <c r="Q92" s="37">
        <v>1.0</v>
      </c>
      <c r="R92" s="37"/>
      <c r="S92" s="37" t="s">
        <v>9655</v>
      </c>
      <c r="T92" s="38">
        <v>2018.0</v>
      </c>
      <c r="U92" s="38" t="b">
        <f t="shared" si="8"/>
        <v>0</v>
      </c>
      <c r="V92" s="38"/>
      <c r="W92" s="40"/>
      <c r="X92" s="40"/>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row>
    <row r="93">
      <c r="A93" s="58" t="s">
        <v>9656</v>
      </c>
      <c r="B93" s="341">
        <v>43298.0</v>
      </c>
      <c r="C93" s="79">
        <v>43252.0</v>
      </c>
      <c r="D93" s="60" t="s">
        <v>2163</v>
      </c>
      <c r="E93" s="58" t="s">
        <v>41</v>
      </c>
      <c r="F93" s="58">
        <v>1.0</v>
      </c>
      <c r="G93" s="58" t="s">
        <v>32</v>
      </c>
      <c r="H93" s="50">
        <v>1.0</v>
      </c>
      <c r="I93" s="58" t="s">
        <v>33</v>
      </c>
      <c r="J93" s="58" t="s">
        <v>89</v>
      </c>
      <c r="K93" s="58">
        <v>2.0</v>
      </c>
      <c r="L93" s="58" t="s">
        <v>9600</v>
      </c>
      <c r="M93" s="61" t="s">
        <v>9657</v>
      </c>
      <c r="N93" s="80"/>
      <c r="O93" s="83" t="str">
        <f>hyperlink("https://bad-boys.us/?q=WD-TN/1:18-cr-10051", "WD-TN 1:18-cr-10051")</f>
        <v>WD-TN 1:18-cr-10051</v>
      </c>
      <c r="P93" s="88" t="s">
        <v>9658</v>
      </c>
      <c r="Q93" s="58">
        <v>1.0</v>
      </c>
      <c r="R93" s="62"/>
      <c r="S93" s="37"/>
      <c r="T93" s="38"/>
      <c r="U93" s="38" t="b">
        <f t="shared" si="8"/>
        <v>0</v>
      </c>
      <c r="V93" s="38"/>
      <c r="W93" s="40"/>
      <c r="X93" s="40"/>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row>
    <row r="94">
      <c r="A94" s="87" t="s">
        <v>9659</v>
      </c>
      <c r="B94" s="323">
        <v>43313.0</v>
      </c>
      <c r="C94" s="31">
        <v>43252.0</v>
      </c>
      <c r="D94" s="32" t="s">
        <v>2163</v>
      </c>
      <c r="E94" s="13" t="s">
        <v>41</v>
      </c>
      <c r="F94" s="13">
        <v>1.0</v>
      </c>
      <c r="G94" s="13">
        <v>1.0</v>
      </c>
      <c r="H94" s="50">
        <v>1.0</v>
      </c>
      <c r="I94" s="13" t="s">
        <v>33</v>
      </c>
      <c r="J94" s="13" t="s">
        <v>203</v>
      </c>
      <c r="K94" s="13">
        <v>2.0</v>
      </c>
      <c r="L94" s="34" t="s">
        <v>6497</v>
      </c>
      <c r="M94" s="46" t="s">
        <v>9660</v>
      </c>
      <c r="N94" s="106"/>
      <c r="O94" s="16"/>
      <c r="P94" s="37"/>
      <c r="Q94" s="37"/>
      <c r="R94" s="37"/>
      <c r="S94" s="37" t="s">
        <v>9655</v>
      </c>
      <c r="T94" s="38">
        <v>2018.0</v>
      </c>
      <c r="U94" s="38" t="b">
        <f t="shared" si="8"/>
        <v>0</v>
      </c>
      <c r="V94" s="38"/>
      <c r="W94" s="40"/>
      <c r="X94" s="40"/>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row>
    <row r="95">
      <c r="A95" s="87" t="s">
        <v>9661</v>
      </c>
      <c r="B95" s="323">
        <v>43335.0</v>
      </c>
      <c r="C95" s="31">
        <v>43252.0</v>
      </c>
      <c r="D95" s="32" t="s">
        <v>2163</v>
      </c>
      <c r="E95" s="13" t="s">
        <v>41</v>
      </c>
      <c r="F95" s="13">
        <v>1.0</v>
      </c>
      <c r="G95" s="13">
        <v>1.0</v>
      </c>
      <c r="H95" s="50">
        <v>1.0</v>
      </c>
      <c r="I95" s="13" t="s">
        <v>33</v>
      </c>
      <c r="J95" s="13" t="s">
        <v>268</v>
      </c>
      <c r="K95" s="13">
        <v>2.0</v>
      </c>
      <c r="L95" s="34" t="s">
        <v>9662</v>
      </c>
      <c r="M95" s="46" t="s">
        <v>9663</v>
      </c>
      <c r="N95" s="106"/>
      <c r="O95" s="16"/>
      <c r="P95" s="37"/>
      <c r="Q95" s="37"/>
      <c r="R95" s="37"/>
      <c r="S95" s="37" t="s">
        <v>9655</v>
      </c>
      <c r="T95" s="38">
        <v>2018.0</v>
      </c>
      <c r="U95" s="38" t="b">
        <f t="shared" si="8"/>
        <v>0</v>
      </c>
      <c r="V95" s="38"/>
      <c r="W95" s="40"/>
      <c r="X95" s="40"/>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row>
    <row r="96">
      <c r="A96" s="87" t="s">
        <v>9664</v>
      </c>
      <c r="B96" s="323">
        <v>43350.0</v>
      </c>
      <c r="C96" s="31">
        <v>43252.0</v>
      </c>
      <c r="D96" s="32" t="s">
        <v>2163</v>
      </c>
      <c r="E96" s="13" t="s">
        <v>41</v>
      </c>
      <c r="F96" s="13">
        <v>1.0</v>
      </c>
      <c r="G96" s="13">
        <v>1.0</v>
      </c>
      <c r="H96" s="50">
        <v>1.0</v>
      </c>
      <c r="I96" s="13" t="s">
        <v>33</v>
      </c>
      <c r="J96" s="13" t="s">
        <v>268</v>
      </c>
      <c r="K96" s="13">
        <v>1.0</v>
      </c>
      <c r="L96" s="34" t="s">
        <v>6750</v>
      </c>
      <c r="M96" s="46" t="s">
        <v>9665</v>
      </c>
      <c r="N96" s="46" t="s">
        <v>9666</v>
      </c>
      <c r="O96" s="57" t="str">
        <f>hyperlink("https://bad-boys.us/?q=ND-OK/4:18-cr-00123", "ND-OK 4:18-cr-00123")</f>
        <v>ND-OK 4:18-cr-00123</v>
      </c>
      <c r="P96" s="37"/>
      <c r="Q96" s="37">
        <v>1.0</v>
      </c>
      <c r="R96" s="37"/>
      <c r="S96" s="37" t="s">
        <v>9655</v>
      </c>
      <c r="T96" s="38">
        <v>2018.0</v>
      </c>
      <c r="U96" s="38" t="b">
        <f t="shared" si="8"/>
        <v>0</v>
      </c>
      <c r="V96" s="38"/>
      <c r="W96" s="40"/>
      <c r="X96" s="40"/>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row>
    <row r="97">
      <c r="A97" s="87" t="s">
        <v>9667</v>
      </c>
      <c r="B97" s="323"/>
      <c r="C97" s="31">
        <v>43256.0</v>
      </c>
      <c r="D97" s="32"/>
      <c r="E97" s="13" t="s">
        <v>41</v>
      </c>
      <c r="F97" s="13">
        <v>1.0</v>
      </c>
      <c r="G97" s="13">
        <v>1.0</v>
      </c>
      <c r="H97" s="50">
        <v>1.0</v>
      </c>
      <c r="I97" s="13" t="s">
        <v>33</v>
      </c>
      <c r="J97" s="13" t="s">
        <v>203</v>
      </c>
      <c r="K97" s="13"/>
      <c r="L97" s="34" t="s">
        <v>9668</v>
      </c>
      <c r="M97" s="46" t="s">
        <v>9669</v>
      </c>
      <c r="N97" s="106"/>
      <c r="O97" s="57" t="str">
        <f>hyperlink("https://bad-boys.us/?q=D-SD/4:18-cr-40078", "D-SD 4:18-cr-40078")</f>
        <v>D-SD 4:18-cr-40078</v>
      </c>
      <c r="P97" s="86" t="s">
        <v>9670</v>
      </c>
      <c r="Q97" s="37">
        <v>1.0</v>
      </c>
      <c r="R97" s="37"/>
      <c r="S97" s="37"/>
      <c r="T97" s="38"/>
      <c r="U97" s="38" t="b">
        <f t="shared" si="8"/>
        <v>0</v>
      </c>
      <c r="V97" s="38" t="s">
        <v>33</v>
      </c>
      <c r="W97" s="40"/>
      <c r="X97" s="40"/>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row>
    <row r="98">
      <c r="A98" s="87" t="s">
        <v>9671</v>
      </c>
      <c r="B98" s="323"/>
      <c r="C98" s="31">
        <v>43252.0</v>
      </c>
      <c r="D98" s="32"/>
      <c r="E98" s="13" t="s">
        <v>41</v>
      </c>
      <c r="F98" s="13">
        <v>1.0</v>
      </c>
      <c r="G98" s="13">
        <v>1.0</v>
      </c>
      <c r="H98" s="50">
        <v>1.0</v>
      </c>
      <c r="I98" s="13" t="s">
        <v>33</v>
      </c>
      <c r="J98" s="13" t="s">
        <v>115</v>
      </c>
      <c r="K98" s="13"/>
      <c r="L98" s="34" t="s">
        <v>9672</v>
      </c>
      <c r="M98" s="46" t="s">
        <v>9673</v>
      </c>
      <c r="N98" s="106"/>
      <c r="O98" s="16"/>
      <c r="P98" s="37"/>
      <c r="Q98" s="37"/>
      <c r="R98" s="37"/>
      <c r="S98" s="37"/>
      <c r="T98" s="38"/>
      <c r="U98" s="38" t="b">
        <f t="shared" si="8"/>
        <v>0</v>
      </c>
      <c r="V98" s="38" t="s">
        <v>6300</v>
      </c>
      <c r="W98" s="40"/>
      <c r="X98" s="40"/>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row>
    <row r="99">
      <c r="A99" s="87" t="s">
        <v>9674</v>
      </c>
      <c r="B99" s="323"/>
      <c r="C99" s="31">
        <v>43252.0</v>
      </c>
      <c r="D99" s="32"/>
      <c r="E99" s="13" t="s">
        <v>41</v>
      </c>
      <c r="F99" s="13">
        <v>1.0</v>
      </c>
      <c r="G99" s="13" t="s">
        <v>32</v>
      </c>
      <c r="H99" s="50">
        <v>1.0</v>
      </c>
      <c r="I99" s="13" t="s">
        <v>33</v>
      </c>
      <c r="J99" s="13" t="s">
        <v>75</v>
      </c>
      <c r="K99" s="13"/>
      <c r="L99" s="34" t="s">
        <v>4960</v>
      </c>
      <c r="M99" s="46" t="s">
        <v>9675</v>
      </c>
      <c r="N99" s="106"/>
      <c r="O99" s="57" t="str">
        <f>hyperlink("https://bad-boys.us/?q=ED-KY/3:18-cr-00008", "ED-KY 3:18-cr-00008")</f>
        <v>ED-KY 3:18-cr-00008</v>
      </c>
      <c r="P99" s="37"/>
      <c r="Q99" s="37">
        <v>1.0</v>
      </c>
      <c r="R99" s="37"/>
      <c r="S99" s="37"/>
      <c r="T99" s="38"/>
      <c r="U99" s="38" t="b">
        <f t="shared" si="8"/>
        <v>0</v>
      </c>
      <c r="V99" s="38" t="s">
        <v>33</v>
      </c>
      <c r="W99" s="40"/>
      <c r="X99" s="40"/>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row>
    <row r="100">
      <c r="A100" s="87" t="s">
        <v>9676</v>
      </c>
      <c r="B100" s="323"/>
      <c r="C100" s="30">
        <v>43257.0</v>
      </c>
      <c r="D100" s="32"/>
      <c r="E100" s="13" t="s">
        <v>41</v>
      </c>
      <c r="F100" s="13">
        <v>1.0</v>
      </c>
      <c r="G100" s="13">
        <v>1.0</v>
      </c>
      <c r="H100" s="50">
        <v>1.0</v>
      </c>
      <c r="I100" s="13" t="s">
        <v>33</v>
      </c>
      <c r="J100" s="13" t="s">
        <v>514</v>
      </c>
      <c r="K100" s="13"/>
      <c r="L100" s="34" t="s">
        <v>9677</v>
      </c>
      <c r="M100" s="46" t="s">
        <v>9678</v>
      </c>
      <c r="N100" s="106"/>
      <c r="O100" s="16"/>
      <c r="P100" s="37"/>
      <c r="Q100" s="37">
        <v>1.0</v>
      </c>
      <c r="R100" s="37"/>
      <c r="S100" s="37"/>
      <c r="T100" s="38"/>
      <c r="U100" s="38"/>
      <c r="V100" s="38" t="s">
        <v>33</v>
      </c>
      <c r="W100" s="40"/>
      <c r="X100" s="40"/>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row>
    <row r="101">
      <c r="A101" s="87" t="s">
        <v>9679</v>
      </c>
      <c r="B101" s="323">
        <v>43279.0</v>
      </c>
      <c r="C101" s="30">
        <v>43279.0</v>
      </c>
      <c r="D101" s="32" t="s">
        <v>4152</v>
      </c>
      <c r="E101" s="13" t="s">
        <v>41</v>
      </c>
      <c r="F101" s="13">
        <v>1.0</v>
      </c>
      <c r="G101" s="13">
        <v>4.0</v>
      </c>
      <c r="H101" s="50">
        <v>4.0</v>
      </c>
      <c r="I101" s="13" t="s">
        <v>33</v>
      </c>
      <c r="J101" s="13" t="s">
        <v>402</v>
      </c>
      <c r="K101" s="13" t="s">
        <v>32</v>
      </c>
      <c r="L101" s="34" t="s">
        <v>9680</v>
      </c>
      <c r="M101" s="46" t="s">
        <v>9681</v>
      </c>
      <c r="N101" s="106"/>
      <c r="O101" s="16"/>
      <c r="P101" s="37"/>
      <c r="Q101" s="37"/>
      <c r="R101" s="37"/>
      <c r="S101" s="37" t="s">
        <v>9655</v>
      </c>
      <c r="T101" s="38">
        <v>2018.0</v>
      </c>
      <c r="U101" s="38" t="b">
        <f t="shared" ref="U101:U154" si="9">countif(A$5:A3006, A101)&gt;1</f>
        <v>0</v>
      </c>
      <c r="V101" s="38"/>
      <c r="W101" s="40"/>
      <c r="X101" s="40"/>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row>
    <row r="102">
      <c r="A102" s="58" t="s">
        <v>9682</v>
      </c>
      <c r="B102" s="341">
        <v>43283.0</v>
      </c>
      <c r="C102" s="59">
        <v>43282.0</v>
      </c>
      <c r="D102" s="60" t="s">
        <v>4180</v>
      </c>
      <c r="E102" s="58" t="s">
        <v>41</v>
      </c>
      <c r="F102" s="58">
        <v>1.0</v>
      </c>
      <c r="G102" s="58" t="s">
        <v>32</v>
      </c>
      <c r="H102" s="50">
        <v>1.0</v>
      </c>
      <c r="I102" s="58" t="s">
        <v>33</v>
      </c>
      <c r="J102" s="58" t="s">
        <v>93</v>
      </c>
      <c r="K102" s="58">
        <v>2.0</v>
      </c>
      <c r="L102" s="58" t="s">
        <v>9600</v>
      </c>
      <c r="M102" s="61" t="s">
        <v>9683</v>
      </c>
      <c r="N102" s="80"/>
      <c r="O102" s="83" t="str">
        <f>hyperlink("https://bad-boys.us/?q=SD-NY/1:18-cr-00488", "SD-NY 1:18-cr-00488")</f>
        <v>SD-NY 1:18-cr-00488</v>
      </c>
      <c r="P102" s="88" t="s">
        <v>9684</v>
      </c>
      <c r="Q102" s="58">
        <v>1.0</v>
      </c>
      <c r="R102" s="62"/>
      <c r="S102" s="37" t="s">
        <v>9685</v>
      </c>
      <c r="T102" s="38">
        <v>2018.0</v>
      </c>
      <c r="U102" s="38" t="b">
        <f t="shared" si="9"/>
        <v>0</v>
      </c>
      <c r="V102" s="38"/>
      <c r="W102" s="40"/>
      <c r="X102" s="40"/>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row>
    <row r="103">
      <c r="A103" s="58" t="s">
        <v>9686</v>
      </c>
      <c r="B103" s="341"/>
      <c r="C103" s="59">
        <v>43291.0</v>
      </c>
      <c r="D103" s="60"/>
      <c r="E103" s="58" t="s">
        <v>41</v>
      </c>
      <c r="F103" s="58">
        <v>1.0</v>
      </c>
      <c r="G103" s="58">
        <v>1.0</v>
      </c>
      <c r="H103" s="50">
        <v>1.0</v>
      </c>
      <c r="I103" s="58" t="s">
        <v>33</v>
      </c>
      <c r="J103" s="58" t="s">
        <v>279</v>
      </c>
      <c r="K103" s="58"/>
      <c r="L103" s="58" t="s">
        <v>6750</v>
      </c>
      <c r="M103" s="80" t="s">
        <v>9687</v>
      </c>
      <c r="N103" s="80"/>
      <c r="O103" s="62"/>
      <c r="P103" s="58"/>
      <c r="Q103" s="58"/>
      <c r="R103" s="62"/>
      <c r="S103" s="37"/>
      <c r="T103" s="38"/>
      <c r="U103" s="38" t="b">
        <f t="shared" si="9"/>
        <v>0</v>
      </c>
      <c r="V103" s="38" t="s">
        <v>33</v>
      </c>
      <c r="W103" s="40"/>
      <c r="X103" s="40"/>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row>
    <row r="104">
      <c r="A104" s="58" t="s">
        <v>9688</v>
      </c>
      <c r="B104" s="341"/>
      <c r="C104" s="79">
        <v>43282.0</v>
      </c>
      <c r="D104" s="60"/>
      <c r="E104" s="58" t="s">
        <v>41</v>
      </c>
      <c r="F104" s="58">
        <v>1.0</v>
      </c>
      <c r="G104" s="58">
        <v>1.0</v>
      </c>
      <c r="H104" s="50">
        <v>1.0</v>
      </c>
      <c r="I104" s="58" t="s">
        <v>33</v>
      </c>
      <c r="J104" s="58" t="s">
        <v>203</v>
      </c>
      <c r="K104" s="58"/>
      <c r="L104" s="58" t="s">
        <v>9380</v>
      </c>
      <c r="M104" s="61" t="s">
        <v>9689</v>
      </c>
      <c r="N104" s="80"/>
      <c r="O104" s="83" t="str">
        <f>hyperlink("https://bad-boys.us/?q=D-SD/5:18-cr-50081", "D-SD 5:18-cr-50081")</f>
        <v>D-SD 5:18-cr-50081</v>
      </c>
      <c r="P104" s="88" t="s">
        <v>9690</v>
      </c>
      <c r="Q104" s="58">
        <v>1.0</v>
      </c>
      <c r="R104" s="62"/>
      <c r="S104" s="37"/>
      <c r="T104" s="38"/>
      <c r="U104" s="38" t="b">
        <f t="shared" si="9"/>
        <v>0</v>
      </c>
      <c r="V104" s="38" t="s">
        <v>33</v>
      </c>
      <c r="W104" s="40"/>
      <c r="X104" s="40"/>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row>
    <row r="105">
      <c r="A105" s="58" t="s">
        <v>9691</v>
      </c>
      <c r="B105" s="341">
        <v>43308.0</v>
      </c>
      <c r="C105" s="79">
        <v>43282.0</v>
      </c>
      <c r="D105" s="60" t="s">
        <v>637</v>
      </c>
      <c r="E105" s="58" t="s">
        <v>31</v>
      </c>
      <c r="F105" s="58">
        <v>1.0</v>
      </c>
      <c r="G105" s="58">
        <v>2.0</v>
      </c>
      <c r="H105" s="50">
        <v>2.0</v>
      </c>
      <c r="I105" s="58" t="s">
        <v>33</v>
      </c>
      <c r="J105" s="58" t="s">
        <v>402</v>
      </c>
      <c r="K105" s="58">
        <v>2.0</v>
      </c>
      <c r="L105" s="58" t="s">
        <v>9692</v>
      </c>
      <c r="M105" s="61" t="s">
        <v>9693</v>
      </c>
      <c r="N105" s="61" t="s">
        <v>9694</v>
      </c>
      <c r="O105" s="83" t="str">
        <f>hyperlink("https://bad-boys.us/?q=SD-IN/1:18-cr-00377", "SD-IN 1:18-cr-00377")</f>
        <v>SD-IN 1:18-cr-00377</v>
      </c>
      <c r="P105" s="88" t="s">
        <v>9695</v>
      </c>
      <c r="Q105" s="58">
        <v>1.0</v>
      </c>
      <c r="R105" s="62"/>
      <c r="S105" s="37" t="s">
        <v>9685</v>
      </c>
      <c r="T105" s="38">
        <v>2018.0</v>
      </c>
      <c r="U105" s="38" t="b">
        <f t="shared" si="9"/>
        <v>0</v>
      </c>
      <c r="V105" s="38"/>
      <c r="W105" s="40"/>
      <c r="X105" s="40"/>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row>
    <row r="106">
      <c r="A106" s="37" t="s">
        <v>9696</v>
      </c>
      <c r="B106" s="322">
        <v>43494.0</v>
      </c>
      <c r="C106" s="100">
        <v>43282.0</v>
      </c>
      <c r="D106" s="144" t="s">
        <v>2460</v>
      </c>
      <c r="E106" s="37" t="s">
        <v>41</v>
      </c>
      <c r="F106" s="37">
        <v>1.0</v>
      </c>
      <c r="G106" s="37">
        <v>1.0</v>
      </c>
      <c r="H106" s="50">
        <v>1.0</v>
      </c>
      <c r="I106" s="37" t="s">
        <v>33</v>
      </c>
      <c r="J106" s="37" t="s">
        <v>61</v>
      </c>
      <c r="K106" s="37">
        <v>2.0</v>
      </c>
      <c r="L106" s="37" t="s">
        <v>9366</v>
      </c>
      <c r="M106" s="193" t="s">
        <v>9697</v>
      </c>
      <c r="N106" s="15"/>
      <c r="O106" s="57" t="str">
        <f>hyperlink("https://bad-boys.us/?q=WD-LA/5:18-cr-00198", "WD-LA 5:18-cr-00198")</f>
        <v>WD-LA 5:18-cr-00198</v>
      </c>
      <c r="P106" s="37"/>
      <c r="Q106" s="37">
        <v>1.0</v>
      </c>
      <c r="R106" s="16"/>
      <c r="S106" s="37" t="str">
        <f>IFERROR(__xludf.DUMMYFUNCTION("if(not(iserror(index(split(C106, "" ""),2))), index(split(C106, "" ""),1),"""")"),"July,")</f>
        <v>July,</v>
      </c>
      <c r="T106" s="38">
        <f>IFERROR(__xludf.DUMMYFUNCTION("if(S106="""",C106,if(not(iserror(index(split(C106, "" ""),3))), index(split(C106, "" ""),3),index(split(C106, "" ""),2)))"),2018.0)</f>
        <v>2018</v>
      </c>
      <c r="U106" s="38" t="b">
        <f t="shared" si="9"/>
        <v>0</v>
      </c>
      <c r="V106" s="38" t="s">
        <v>33</v>
      </c>
      <c r="W106" s="40"/>
      <c r="X106" s="40"/>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row>
    <row r="107">
      <c r="A107" s="37" t="s">
        <v>9698</v>
      </c>
      <c r="B107" s="322"/>
      <c r="C107" s="99">
        <v>43307.0</v>
      </c>
      <c r="D107" s="144"/>
      <c r="E107" s="37" t="s">
        <v>41</v>
      </c>
      <c r="F107" s="37">
        <v>1.0</v>
      </c>
      <c r="G107" s="37">
        <v>1.0</v>
      </c>
      <c r="H107" s="50">
        <v>1.0</v>
      </c>
      <c r="I107" s="37" t="s">
        <v>33</v>
      </c>
      <c r="J107" s="37" t="s">
        <v>147</v>
      </c>
      <c r="K107" s="37"/>
      <c r="L107" s="37" t="s">
        <v>9487</v>
      </c>
      <c r="M107" s="193" t="s">
        <v>9699</v>
      </c>
      <c r="N107" s="15"/>
      <c r="O107" s="57" t="str">
        <f>hyperlink("https://bad-boys.us/?q=ND-TX/2:18-cr-00075", "ND-TX 2:18-cr-00075")</f>
        <v>ND-TX 2:18-cr-00075</v>
      </c>
      <c r="P107" s="86" t="s">
        <v>9700</v>
      </c>
      <c r="Q107" s="37">
        <v>1.0</v>
      </c>
      <c r="R107" s="16"/>
      <c r="S107" s="37"/>
      <c r="T107" s="38"/>
      <c r="U107" s="38" t="b">
        <f t="shared" si="9"/>
        <v>0</v>
      </c>
      <c r="V107" s="38" t="s">
        <v>33</v>
      </c>
      <c r="W107" s="40"/>
      <c r="X107" s="40"/>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row>
    <row r="108">
      <c r="A108" s="37" t="s">
        <v>9701</v>
      </c>
      <c r="B108" s="322"/>
      <c r="C108" s="99">
        <v>43312.0</v>
      </c>
      <c r="D108" s="144"/>
      <c r="E108" s="37" t="s">
        <v>41</v>
      </c>
      <c r="F108" s="37">
        <v>1.0</v>
      </c>
      <c r="G108" s="37" t="s">
        <v>32</v>
      </c>
      <c r="H108" s="50">
        <v>1.0</v>
      </c>
      <c r="I108" s="37" t="s">
        <v>33</v>
      </c>
      <c r="J108" s="37" t="s">
        <v>55</v>
      </c>
      <c r="K108" s="37"/>
      <c r="L108" s="37" t="s">
        <v>9702</v>
      </c>
      <c r="M108" s="193" t="s">
        <v>9703</v>
      </c>
      <c r="N108" s="15"/>
      <c r="O108" s="57" t="str">
        <f>hyperlink("https://bad-boys.us/?q=D-NJ/2:18-mj-06625", "D-NJ 2:18-mj-06625")</f>
        <v>D-NJ 2:18-mj-06625</v>
      </c>
      <c r="P108" s="37"/>
      <c r="Q108" s="37">
        <v>1.0</v>
      </c>
      <c r="R108" s="16"/>
      <c r="S108" s="37"/>
      <c r="T108" s="38"/>
      <c r="U108" s="38" t="b">
        <f t="shared" si="9"/>
        <v>0</v>
      </c>
      <c r="V108" s="38" t="s">
        <v>33</v>
      </c>
      <c r="W108" s="40"/>
      <c r="X108" s="40"/>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row>
    <row r="109">
      <c r="A109" s="87" t="s">
        <v>9704</v>
      </c>
      <c r="B109" s="323">
        <v>43334.0</v>
      </c>
      <c r="C109" s="31">
        <v>43313.0</v>
      </c>
      <c r="D109" s="32" t="s">
        <v>1847</v>
      </c>
      <c r="E109" s="13" t="s">
        <v>41</v>
      </c>
      <c r="F109" s="13">
        <v>1.0</v>
      </c>
      <c r="G109" s="13">
        <v>1.0</v>
      </c>
      <c r="H109" s="50">
        <v>1.0</v>
      </c>
      <c r="I109" s="13" t="s">
        <v>33</v>
      </c>
      <c r="J109" s="13" t="s">
        <v>9705</v>
      </c>
      <c r="K109" s="13">
        <v>2.0</v>
      </c>
      <c r="L109" s="34" t="s">
        <v>9487</v>
      </c>
      <c r="M109" s="46" t="s">
        <v>9706</v>
      </c>
      <c r="N109" s="106"/>
      <c r="O109" s="57" t="str">
        <f>hyperlink("https://bad-boys.us/?q=WD-WI/3:18-cr-00117", "WD-WI 3:18-cr-00117")</f>
        <v>WD-WI 3:18-cr-00117</v>
      </c>
      <c r="P109" s="86" t="s">
        <v>9707</v>
      </c>
      <c r="Q109" s="37">
        <v>1.0</v>
      </c>
      <c r="R109" s="37"/>
      <c r="S109" s="37" t="s">
        <v>7277</v>
      </c>
      <c r="T109" s="38">
        <v>2018.0</v>
      </c>
      <c r="U109" s="38" t="b">
        <f t="shared" si="9"/>
        <v>0</v>
      </c>
      <c r="V109" s="38" t="s">
        <v>33</v>
      </c>
      <c r="W109" s="40"/>
      <c r="X109" s="40"/>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row>
    <row r="110">
      <c r="A110" s="87" t="s">
        <v>9708</v>
      </c>
      <c r="B110" s="323">
        <v>43341.0</v>
      </c>
      <c r="C110" s="31">
        <v>43313.0</v>
      </c>
      <c r="D110" s="32" t="s">
        <v>1847</v>
      </c>
      <c r="E110" s="13" t="s">
        <v>41</v>
      </c>
      <c r="F110" s="13">
        <v>1.0</v>
      </c>
      <c r="G110" s="13">
        <v>1.0</v>
      </c>
      <c r="H110" s="50">
        <v>1.0</v>
      </c>
      <c r="I110" s="13" t="s">
        <v>33</v>
      </c>
      <c r="J110" s="13" t="s">
        <v>222</v>
      </c>
      <c r="K110" s="13">
        <v>2.0</v>
      </c>
      <c r="L110" s="34" t="s">
        <v>9487</v>
      </c>
      <c r="M110" s="106" t="s">
        <v>9709</v>
      </c>
      <c r="N110" s="106"/>
      <c r="O110" s="57" t="str">
        <f>hyperlink("https://bad-boys.us/?q=ED-WI/1:18-cr-00173", "ED-WI 1:18-cr-00173")</f>
        <v>ED-WI 1:18-cr-00173</v>
      </c>
      <c r="P110" s="86" t="s">
        <v>9710</v>
      </c>
      <c r="Q110" s="37">
        <v>1.0</v>
      </c>
      <c r="R110" s="37"/>
      <c r="S110" s="37" t="s">
        <v>7277</v>
      </c>
      <c r="T110" s="38">
        <v>2018.0</v>
      </c>
      <c r="U110" s="38" t="b">
        <f t="shared" si="9"/>
        <v>0</v>
      </c>
      <c r="V110" s="38"/>
      <c r="W110" s="40"/>
      <c r="X110" s="40"/>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row>
    <row r="111">
      <c r="A111" s="87" t="s">
        <v>9711</v>
      </c>
      <c r="B111" s="323"/>
      <c r="C111" s="31">
        <v>43313.0</v>
      </c>
      <c r="D111" s="32"/>
      <c r="E111" s="13" t="s">
        <v>41</v>
      </c>
      <c r="F111" s="13">
        <v>1.0</v>
      </c>
      <c r="G111" s="13">
        <v>1.0</v>
      </c>
      <c r="H111" s="50">
        <v>1.0</v>
      </c>
      <c r="I111" s="13" t="s">
        <v>33</v>
      </c>
      <c r="J111" s="13" t="s">
        <v>460</v>
      </c>
      <c r="K111" s="13"/>
      <c r="L111" s="34" t="s">
        <v>7593</v>
      </c>
      <c r="M111" s="287" t="s">
        <v>9712</v>
      </c>
      <c r="N111" s="288"/>
      <c r="O111" s="57" t="str">
        <f>hyperlink("https://bad-boys.us/?q=ND-IA/6:18-cr-02045", "ND-IA 6:18-cr-02045")</f>
        <v>ND-IA 6:18-cr-02045</v>
      </c>
      <c r="P111" s="86" t="s">
        <v>9713</v>
      </c>
      <c r="Q111" s="37">
        <v>1.0</v>
      </c>
      <c r="R111" s="91"/>
      <c r="S111" s="37"/>
      <c r="T111" s="38"/>
      <c r="U111" s="38" t="b">
        <f t="shared" si="9"/>
        <v>0</v>
      </c>
      <c r="V111" s="38" t="s">
        <v>33</v>
      </c>
      <c r="W111" s="40"/>
      <c r="X111" s="40"/>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row>
    <row r="112">
      <c r="A112" s="87" t="s">
        <v>9714</v>
      </c>
      <c r="B112" s="323">
        <v>43343.0</v>
      </c>
      <c r="C112" s="31">
        <v>43313.0</v>
      </c>
      <c r="D112" s="32" t="s">
        <v>1847</v>
      </c>
      <c r="E112" s="13" t="s">
        <v>41</v>
      </c>
      <c r="F112" s="13">
        <v>1.0</v>
      </c>
      <c r="G112" s="13">
        <v>1.0</v>
      </c>
      <c r="H112" s="50">
        <v>1.0</v>
      </c>
      <c r="I112" s="13" t="s">
        <v>33</v>
      </c>
      <c r="J112" s="13" t="s">
        <v>203</v>
      </c>
      <c r="K112" s="13">
        <v>1.0</v>
      </c>
      <c r="L112" s="34" t="s">
        <v>9715</v>
      </c>
      <c r="M112" s="46" t="s">
        <v>9716</v>
      </c>
      <c r="N112" s="106"/>
      <c r="O112" s="16"/>
      <c r="P112" s="37"/>
      <c r="Q112" s="37"/>
      <c r="R112" s="37"/>
      <c r="S112" s="37" t="s">
        <v>7277</v>
      </c>
      <c r="T112" s="38">
        <v>2018.0</v>
      </c>
      <c r="U112" s="38" t="b">
        <f t="shared" si="9"/>
        <v>0</v>
      </c>
      <c r="V112" s="38"/>
      <c r="W112" s="40"/>
      <c r="X112" s="40"/>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row>
    <row r="113">
      <c r="A113" s="37" t="s">
        <v>9717</v>
      </c>
      <c r="B113" s="322">
        <v>43438.0</v>
      </c>
      <c r="C113" s="100">
        <v>43313.0</v>
      </c>
      <c r="D113" s="144" t="s">
        <v>1847</v>
      </c>
      <c r="E113" s="37" t="s">
        <v>41</v>
      </c>
      <c r="F113" s="37">
        <v>1.0</v>
      </c>
      <c r="G113" s="37">
        <v>1.0</v>
      </c>
      <c r="H113" s="50">
        <v>1.0</v>
      </c>
      <c r="I113" s="37" t="s">
        <v>33</v>
      </c>
      <c r="J113" s="37" t="s">
        <v>343</v>
      </c>
      <c r="K113" s="37">
        <v>1.0</v>
      </c>
      <c r="L113" s="34" t="s">
        <v>9348</v>
      </c>
      <c r="M113" s="36" t="s">
        <v>9718</v>
      </c>
      <c r="N113" s="15"/>
      <c r="O113" s="57" t="str">
        <f>hyperlink("https://bad-boys.us/?q=ND-WV/3:18-cr-00024", "ND-WV 3:18-cr-00024")</f>
        <v>ND-WV 3:18-cr-00024</v>
      </c>
      <c r="P113" s="86" t="s">
        <v>9719</v>
      </c>
      <c r="Q113" s="37">
        <v>1.0</v>
      </c>
      <c r="R113" s="37"/>
      <c r="S113" s="37" t="s">
        <v>7277</v>
      </c>
      <c r="T113" s="38">
        <v>2018.0</v>
      </c>
      <c r="U113" s="38" t="b">
        <f t="shared" si="9"/>
        <v>0</v>
      </c>
      <c r="V113" s="38"/>
      <c r="W113" s="40"/>
      <c r="X113" s="40"/>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row>
    <row r="114">
      <c r="A114" s="78" t="s">
        <v>9720</v>
      </c>
      <c r="B114" s="159">
        <v>43504.0</v>
      </c>
      <c r="C114" s="100">
        <v>43313.0</v>
      </c>
      <c r="D114" s="101">
        <v>43313.0</v>
      </c>
      <c r="E114" s="78" t="s">
        <v>41</v>
      </c>
      <c r="F114" s="37">
        <v>1.0</v>
      </c>
      <c r="G114" s="78" t="s">
        <v>32</v>
      </c>
      <c r="H114" s="78">
        <v>1.0</v>
      </c>
      <c r="I114" s="78" t="s">
        <v>33</v>
      </c>
      <c r="J114" s="78" t="s">
        <v>514</v>
      </c>
      <c r="K114" s="37">
        <v>2.0</v>
      </c>
      <c r="L114" s="78" t="s">
        <v>4960</v>
      </c>
      <c r="M114" s="46" t="s">
        <v>9721</v>
      </c>
      <c r="O114" s="160" t="str">
        <f>hyperlink("https://bad-boys.us/?q=WD-AR/5:18-cr-50074", "WD-AR 5:18-cr-50074")</f>
        <v>WD-AR 5:18-cr-50074</v>
      </c>
      <c r="P114" s="103" t="s">
        <v>9722</v>
      </c>
      <c r="Q114" s="294">
        <v>1.0</v>
      </c>
      <c r="S114" s="78" t="s">
        <v>7277</v>
      </c>
      <c r="T114" s="78">
        <v>2018.0</v>
      </c>
      <c r="U114" s="38" t="b">
        <f t="shared" si="9"/>
        <v>0</v>
      </c>
      <c r="V114" s="238" t="s">
        <v>33</v>
      </c>
      <c r="W114" s="102"/>
      <c r="X114" s="102"/>
    </row>
    <row r="115">
      <c r="A115" s="78" t="s">
        <v>9723</v>
      </c>
      <c r="B115" s="159"/>
      <c r="C115" s="99">
        <v>43320.0</v>
      </c>
      <c r="D115" s="101"/>
      <c r="E115" s="78" t="s">
        <v>41</v>
      </c>
      <c r="F115" s="37">
        <v>1.0</v>
      </c>
      <c r="G115" s="78">
        <v>1.0</v>
      </c>
      <c r="H115" s="78">
        <v>1.0</v>
      </c>
      <c r="I115" s="78" t="s">
        <v>33</v>
      </c>
      <c r="J115" s="78" t="s">
        <v>98</v>
      </c>
      <c r="K115" s="37"/>
      <c r="L115" s="78" t="s">
        <v>9433</v>
      </c>
      <c r="M115" s="46" t="s">
        <v>9724</v>
      </c>
      <c r="P115" s="78"/>
      <c r="Q115" s="78"/>
      <c r="S115" s="78"/>
      <c r="T115" s="78"/>
      <c r="U115" s="38" t="b">
        <f t="shared" si="9"/>
        <v>0</v>
      </c>
      <c r="V115" s="238" t="s">
        <v>33</v>
      </c>
      <c r="W115" s="102"/>
      <c r="X115" s="102"/>
    </row>
    <row r="116">
      <c r="A116" s="87" t="s">
        <v>9725</v>
      </c>
      <c r="B116" s="323">
        <v>43325.0</v>
      </c>
      <c r="C116" s="30">
        <v>43322.0</v>
      </c>
      <c r="D116" s="32" t="s">
        <v>4640</v>
      </c>
      <c r="E116" s="13" t="s">
        <v>41</v>
      </c>
      <c r="F116" s="13">
        <v>1.0</v>
      </c>
      <c r="G116" s="13">
        <v>1.0</v>
      </c>
      <c r="H116" s="50">
        <v>1.0</v>
      </c>
      <c r="I116" s="13" t="s">
        <v>33</v>
      </c>
      <c r="J116" s="13" t="s">
        <v>93</v>
      </c>
      <c r="K116" s="13">
        <v>1.0</v>
      </c>
      <c r="L116" s="34" t="s">
        <v>9433</v>
      </c>
      <c r="M116" s="120" t="s">
        <v>9726</v>
      </c>
      <c r="N116" s="106"/>
      <c r="O116" s="57" t="str">
        <f>hyperlink("https://bad-boys.us/?q=ND-NY/1:19-cr-00199", "ND-NY 1:19-cr-00199")</f>
        <v>ND-NY 1:19-cr-00199</v>
      </c>
      <c r="P116" s="37"/>
      <c r="Q116" s="37">
        <v>1.0</v>
      </c>
      <c r="R116" s="37"/>
      <c r="S116" s="37" t="s">
        <v>7277</v>
      </c>
      <c r="T116" s="38">
        <v>2018.0</v>
      </c>
      <c r="U116" s="38" t="b">
        <f t="shared" si="9"/>
        <v>0</v>
      </c>
      <c r="V116" s="38" t="s">
        <v>33</v>
      </c>
      <c r="W116" s="40"/>
      <c r="X116" s="40"/>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row>
    <row r="117">
      <c r="A117" s="87" t="s">
        <v>9727</v>
      </c>
      <c r="B117" s="323">
        <v>43403.0</v>
      </c>
      <c r="C117" s="30">
        <v>43338.0</v>
      </c>
      <c r="D117" s="32" t="s">
        <v>4444</v>
      </c>
      <c r="E117" s="13" t="s">
        <v>31</v>
      </c>
      <c r="F117" s="13">
        <v>1.0</v>
      </c>
      <c r="G117" s="13" t="s">
        <v>32</v>
      </c>
      <c r="H117" s="50">
        <v>1.0</v>
      </c>
      <c r="I117" s="13" t="s">
        <v>33</v>
      </c>
      <c r="J117" s="13" t="s">
        <v>47</v>
      </c>
      <c r="K117" s="13">
        <v>2.0</v>
      </c>
      <c r="L117" s="34" t="s">
        <v>7593</v>
      </c>
      <c r="M117" s="120" t="s">
        <v>9728</v>
      </c>
      <c r="N117" s="46" t="s">
        <v>9729</v>
      </c>
      <c r="O117" s="57" t="str">
        <f>hyperlink("https://bad-boys.us/?q=MD-FL/3:18-mj-01292", "MD-FL 3:18-mj-01292")</f>
        <v>MD-FL 3:18-mj-01292</v>
      </c>
      <c r="P117" s="86" t="s">
        <v>9730</v>
      </c>
      <c r="Q117" s="37">
        <v>1.0</v>
      </c>
      <c r="R117" s="37"/>
      <c r="S117" s="37" t="s">
        <v>7277</v>
      </c>
      <c r="T117" s="38">
        <v>2018.0</v>
      </c>
      <c r="U117" s="38" t="b">
        <f t="shared" si="9"/>
        <v>0</v>
      </c>
      <c r="V117" s="38"/>
      <c r="W117" s="40"/>
      <c r="X117" s="40"/>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row>
    <row r="118">
      <c r="A118" s="87" t="s">
        <v>9731</v>
      </c>
      <c r="B118" s="323">
        <v>43343.0</v>
      </c>
      <c r="C118" s="30">
        <v>43340.0</v>
      </c>
      <c r="D118" s="32" t="s">
        <v>4801</v>
      </c>
      <c r="E118" s="13" t="s">
        <v>41</v>
      </c>
      <c r="F118" s="13">
        <v>1.0</v>
      </c>
      <c r="G118" s="13">
        <v>1.0</v>
      </c>
      <c r="H118" s="50">
        <v>1.0</v>
      </c>
      <c r="I118" s="13" t="s">
        <v>33</v>
      </c>
      <c r="J118" s="13" t="s">
        <v>203</v>
      </c>
      <c r="K118" s="13">
        <v>1.0</v>
      </c>
      <c r="L118" s="34" t="s">
        <v>6497</v>
      </c>
      <c r="M118" s="46" t="s">
        <v>9732</v>
      </c>
      <c r="N118" s="106"/>
      <c r="O118" s="16"/>
      <c r="P118" s="37"/>
      <c r="Q118" s="37"/>
      <c r="R118" s="37"/>
      <c r="S118" s="37" t="s">
        <v>7277</v>
      </c>
      <c r="T118" s="38">
        <v>2018.0</v>
      </c>
      <c r="U118" s="38" t="b">
        <f t="shared" si="9"/>
        <v>0</v>
      </c>
      <c r="V118" s="38"/>
      <c r="W118" s="40"/>
      <c r="X118" s="40"/>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row>
    <row r="119">
      <c r="A119" s="47" t="s">
        <v>9733</v>
      </c>
      <c r="B119" s="343">
        <v>43497.0</v>
      </c>
      <c r="C119" s="48">
        <v>43340.0</v>
      </c>
      <c r="D119" s="49" t="s">
        <v>4801</v>
      </c>
      <c r="E119" s="47" t="s">
        <v>41</v>
      </c>
      <c r="F119" s="47">
        <v>1.0</v>
      </c>
      <c r="G119" s="47" t="s">
        <v>32</v>
      </c>
      <c r="H119" s="63">
        <v>1.0</v>
      </c>
      <c r="I119" s="47" t="s">
        <v>33</v>
      </c>
      <c r="J119" s="47" t="s">
        <v>343</v>
      </c>
      <c r="K119" s="47">
        <v>3.0</v>
      </c>
      <c r="L119" s="47" t="s">
        <v>4960</v>
      </c>
      <c r="M119" s="51" t="s">
        <v>346</v>
      </c>
      <c r="N119" s="52"/>
      <c r="O119" s="53" t="str">
        <f>hyperlink("https://bad-boys.us/?q=SD-WV/2:18-cr-00085", "SD-WV 2:18-cr-00085 ❓")</f>
        <v>SD-WV 2:18-cr-00085 ❓</v>
      </c>
      <c r="P119" s="54" t="s">
        <v>1849</v>
      </c>
      <c r="Q119" s="47">
        <v>1.0</v>
      </c>
      <c r="R119" s="55"/>
      <c r="S119" s="37" t="s">
        <v>7277</v>
      </c>
      <c r="T119" s="38">
        <v>2018.0</v>
      </c>
      <c r="U119" s="38" t="b">
        <f t="shared" si="9"/>
        <v>0</v>
      </c>
      <c r="V119" s="38"/>
      <c r="W119" s="40"/>
      <c r="X119" s="40"/>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row>
    <row r="120">
      <c r="A120" s="37" t="s">
        <v>9734</v>
      </c>
      <c r="B120" s="322">
        <v>43448.0</v>
      </c>
      <c r="C120" s="99">
        <v>43342.0</v>
      </c>
      <c r="D120" s="144" t="s">
        <v>4799</v>
      </c>
      <c r="E120" s="37" t="s">
        <v>31</v>
      </c>
      <c r="F120" s="37">
        <v>1.0</v>
      </c>
      <c r="G120" s="37" t="s">
        <v>32</v>
      </c>
      <c r="H120" s="50">
        <v>1.0</v>
      </c>
      <c r="I120" s="37" t="s">
        <v>33</v>
      </c>
      <c r="J120" s="37" t="s">
        <v>47</v>
      </c>
      <c r="K120" s="37">
        <v>4.0</v>
      </c>
      <c r="L120" s="37" t="s">
        <v>7593</v>
      </c>
      <c r="M120" s="36" t="s">
        <v>9735</v>
      </c>
      <c r="N120" s="36" t="s">
        <v>9736</v>
      </c>
      <c r="O120" s="16"/>
      <c r="P120" s="37"/>
      <c r="Q120" s="37"/>
      <c r="R120" s="16"/>
      <c r="S120" s="37" t="s">
        <v>7277</v>
      </c>
      <c r="T120" s="38">
        <v>2018.0</v>
      </c>
      <c r="U120" s="38" t="b">
        <f t="shared" si="9"/>
        <v>0</v>
      </c>
      <c r="V120" s="38" t="s">
        <v>33</v>
      </c>
      <c r="W120" s="39" t="s">
        <v>9737</v>
      </c>
      <c r="X120" s="40" t="s">
        <v>9738</v>
      </c>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row>
    <row r="121">
      <c r="A121" s="37" t="s">
        <v>9739</v>
      </c>
      <c r="B121" s="322"/>
      <c r="C121" s="100">
        <v>43344.0</v>
      </c>
      <c r="D121" s="144"/>
      <c r="E121" s="37" t="s">
        <v>41</v>
      </c>
      <c r="F121" s="37">
        <v>1.0</v>
      </c>
      <c r="G121" s="37" t="s">
        <v>32</v>
      </c>
      <c r="H121" s="50">
        <v>1.0</v>
      </c>
      <c r="I121" s="37" t="s">
        <v>33</v>
      </c>
      <c r="J121" s="37" t="s">
        <v>460</v>
      </c>
      <c r="K121" s="37"/>
      <c r="L121" s="37" t="s">
        <v>7593</v>
      </c>
      <c r="M121" s="36" t="s">
        <v>9740</v>
      </c>
      <c r="N121" s="14"/>
      <c r="O121" s="57" t="str">
        <f>hyperlink("https://bad-boys.us/?q=SD-IA/1:18-cr-00065", "SD-IA 1:18-cr-00065")</f>
        <v>SD-IA 1:18-cr-00065</v>
      </c>
      <c r="P121" s="86" t="s">
        <v>9741</v>
      </c>
      <c r="Q121" s="37">
        <v>1.0</v>
      </c>
      <c r="R121" s="16"/>
      <c r="S121" s="37"/>
      <c r="T121" s="38"/>
      <c r="U121" s="38" t="b">
        <f t="shared" si="9"/>
        <v>0</v>
      </c>
      <c r="V121" s="38" t="s">
        <v>33</v>
      </c>
      <c r="W121" s="40"/>
      <c r="X121" s="40"/>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row>
    <row r="122">
      <c r="A122" s="87" t="s">
        <v>9742</v>
      </c>
      <c r="B122" s="323"/>
      <c r="C122" s="31">
        <v>43344.0</v>
      </c>
      <c r="D122" s="32"/>
      <c r="E122" s="13" t="s">
        <v>41</v>
      </c>
      <c r="F122" s="13">
        <v>1.0</v>
      </c>
      <c r="G122" s="13">
        <v>1.0</v>
      </c>
      <c r="H122" s="50">
        <v>1.0</v>
      </c>
      <c r="I122" s="13" t="s">
        <v>33</v>
      </c>
      <c r="J122" s="13" t="s">
        <v>144</v>
      </c>
      <c r="K122" s="13"/>
      <c r="L122" s="34" t="s">
        <v>9380</v>
      </c>
      <c r="M122" s="46" t="s">
        <v>9743</v>
      </c>
      <c r="N122" s="106"/>
      <c r="O122" s="57" t="str">
        <f>hyperlink("https://bad-boys.us/?q=D-MT/4:18-cr-00075", "D-MT 4:18-cr-00075")</f>
        <v>D-MT 4:18-cr-00075</v>
      </c>
      <c r="P122" s="86" t="s">
        <v>9744</v>
      </c>
      <c r="Q122" s="37">
        <v>1.0</v>
      </c>
      <c r="R122" s="37"/>
      <c r="S122" s="37"/>
      <c r="T122" s="38"/>
      <c r="U122" s="38" t="b">
        <f t="shared" si="9"/>
        <v>0</v>
      </c>
      <c r="V122" s="38" t="s">
        <v>33</v>
      </c>
      <c r="W122" s="40"/>
      <c r="X122" s="40"/>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row>
    <row r="123">
      <c r="A123" s="87" t="s">
        <v>9745</v>
      </c>
      <c r="B123" s="323">
        <v>43367.0</v>
      </c>
      <c r="C123" s="31">
        <v>43344.0</v>
      </c>
      <c r="D123" s="32" t="s">
        <v>640</v>
      </c>
      <c r="E123" s="13" t="s">
        <v>41</v>
      </c>
      <c r="F123" s="13">
        <v>1.0</v>
      </c>
      <c r="G123" s="13" t="s">
        <v>32</v>
      </c>
      <c r="H123" s="50">
        <v>1.0</v>
      </c>
      <c r="I123" s="13" t="s">
        <v>33</v>
      </c>
      <c r="J123" s="13" t="s">
        <v>203</v>
      </c>
      <c r="K123" s="13">
        <v>1.0</v>
      </c>
      <c r="L123" s="34" t="s">
        <v>9746</v>
      </c>
      <c r="M123" s="106" t="s">
        <v>9747</v>
      </c>
      <c r="N123" s="106"/>
      <c r="O123" s="57" t="str">
        <f>hyperlink("https://bad-boys.us/?q=D-SD/3:18-cr-30125", "D-SD 3:18-cr-30125")</f>
        <v>D-SD 3:18-cr-30125</v>
      </c>
      <c r="P123" s="86" t="s">
        <v>9748</v>
      </c>
      <c r="Q123" s="37">
        <v>1.0</v>
      </c>
      <c r="R123" s="37"/>
      <c r="S123" s="37" t="s">
        <v>9749</v>
      </c>
      <c r="T123" s="38">
        <v>2018.0</v>
      </c>
      <c r="U123" s="38" t="b">
        <f t="shared" si="9"/>
        <v>0</v>
      </c>
      <c r="V123" s="38"/>
      <c r="W123" s="40"/>
      <c r="X123" s="40"/>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row>
    <row r="124">
      <c r="A124" s="37" t="s">
        <v>9750</v>
      </c>
      <c r="B124" s="322">
        <v>43425.0</v>
      </c>
      <c r="C124" s="100">
        <v>43344.0</v>
      </c>
      <c r="D124" s="144" t="s">
        <v>640</v>
      </c>
      <c r="E124" s="37" t="s">
        <v>41</v>
      </c>
      <c r="F124" s="37">
        <v>1.0</v>
      </c>
      <c r="G124" s="37">
        <v>1.0</v>
      </c>
      <c r="H124" s="50">
        <v>1.0</v>
      </c>
      <c r="I124" s="37" t="s">
        <v>33</v>
      </c>
      <c r="J124" s="37" t="s">
        <v>203</v>
      </c>
      <c r="K124" s="37">
        <v>1.0</v>
      </c>
      <c r="L124" s="58" t="s">
        <v>9751</v>
      </c>
      <c r="M124" s="14" t="s">
        <v>9752</v>
      </c>
      <c r="N124" s="15"/>
      <c r="O124" s="57" t="str">
        <f>hyperlink("https://bad-boys.us/?q=D-SD/3:18-cr-30113", "D-SD 3:18-cr-30113")</f>
        <v>D-SD 3:18-cr-30113</v>
      </c>
      <c r="P124" s="86" t="s">
        <v>9753</v>
      </c>
      <c r="Q124" s="37">
        <v>1.0</v>
      </c>
      <c r="R124" s="37"/>
      <c r="S124" s="37" t="s">
        <v>9749</v>
      </c>
      <c r="T124" s="38">
        <v>2018.0</v>
      </c>
      <c r="U124" s="38" t="b">
        <f t="shared" si="9"/>
        <v>0</v>
      </c>
      <c r="V124" s="38"/>
      <c r="W124" s="40"/>
      <c r="X124" s="40"/>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row>
    <row r="125">
      <c r="A125" s="87" t="s">
        <v>9754</v>
      </c>
      <c r="B125" s="323">
        <v>43353.0</v>
      </c>
      <c r="C125" s="30">
        <v>43347.0</v>
      </c>
      <c r="D125" s="32" t="s">
        <v>4902</v>
      </c>
      <c r="E125" s="13" t="s">
        <v>41</v>
      </c>
      <c r="F125" s="13">
        <v>1.0</v>
      </c>
      <c r="G125" s="13">
        <v>1.0</v>
      </c>
      <c r="H125" s="50">
        <v>1.0</v>
      </c>
      <c r="I125" s="13" t="s">
        <v>33</v>
      </c>
      <c r="J125" s="13" t="s">
        <v>203</v>
      </c>
      <c r="K125" s="13">
        <v>1.0</v>
      </c>
      <c r="L125" s="34" t="s">
        <v>6497</v>
      </c>
      <c r="M125" s="282" t="s">
        <v>9755</v>
      </c>
      <c r="N125" s="106"/>
      <c r="O125" s="16"/>
      <c r="P125" s="37"/>
      <c r="Q125" s="37"/>
      <c r="R125" s="37"/>
      <c r="S125" s="37" t="s">
        <v>9749</v>
      </c>
      <c r="T125" s="38">
        <v>2018.0</v>
      </c>
      <c r="U125" s="38" t="b">
        <f t="shared" si="9"/>
        <v>0</v>
      </c>
      <c r="V125" s="38"/>
      <c r="W125" s="40"/>
      <c r="X125" s="40"/>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row>
    <row r="126">
      <c r="A126" s="87" t="s">
        <v>9756</v>
      </c>
      <c r="B126" s="323"/>
      <c r="C126" s="30">
        <v>43349.0</v>
      </c>
      <c r="D126" s="32"/>
      <c r="E126" s="13" t="s">
        <v>41</v>
      </c>
      <c r="F126" s="13">
        <v>1.0</v>
      </c>
      <c r="G126" s="13">
        <v>1.0</v>
      </c>
      <c r="H126" s="50">
        <v>1.0</v>
      </c>
      <c r="I126" s="13" t="s">
        <v>33</v>
      </c>
      <c r="J126" s="13" t="s">
        <v>241</v>
      </c>
      <c r="K126" s="13"/>
      <c r="L126" s="34" t="s">
        <v>6497</v>
      </c>
      <c r="M126" s="46" t="s">
        <v>9757</v>
      </c>
      <c r="N126" s="106"/>
      <c r="O126" s="57" t="str">
        <f>hyperlink("https://bad-boys.us/?q=D-AZ/3:18-cr-08295", "D-AZ 3:18-cr-08295")</f>
        <v>D-AZ 3:18-cr-08295</v>
      </c>
      <c r="P126" s="37"/>
      <c r="Q126" s="37">
        <v>1.0</v>
      </c>
      <c r="R126" s="37"/>
      <c r="S126" s="37"/>
      <c r="T126" s="38"/>
      <c r="U126" s="38" t="b">
        <f t="shared" si="9"/>
        <v>0</v>
      </c>
      <c r="V126" s="38"/>
      <c r="W126" s="40"/>
      <c r="X126" s="40"/>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row>
    <row r="127">
      <c r="A127" s="87" t="s">
        <v>9758</v>
      </c>
      <c r="B127" s="323"/>
      <c r="C127" s="30">
        <v>43350.0</v>
      </c>
      <c r="D127" s="32"/>
      <c r="E127" s="13" t="s">
        <v>41</v>
      </c>
      <c r="F127" s="13">
        <v>1.0</v>
      </c>
      <c r="G127" s="13">
        <v>1.0</v>
      </c>
      <c r="H127" s="50">
        <v>1.0</v>
      </c>
      <c r="I127" s="13" t="s">
        <v>9759</v>
      </c>
      <c r="J127" s="13" t="s">
        <v>132</v>
      </c>
      <c r="K127" s="13"/>
      <c r="L127" s="34" t="s">
        <v>9760</v>
      </c>
      <c r="M127" s="46" t="s">
        <v>9761</v>
      </c>
      <c r="N127" s="106"/>
      <c r="O127" s="57" t="str">
        <f>hyperlink("https://bad-boys.us/?q=SD-MS/2:18-cr-00033", "SD-MS 2:18-cr-00033")</f>
        <v>SD-MS 2:18-cr-00033</v>
      </c>
      <c r="P127" s="86" t="s">
        <v>9762</v>
      </c>
      <c r="Q127" s="37">
        <v>1.0</v>
      </c>
      <c r="R127" s="37"/>
      <c r="S127" s="37"/>
      <c r="T127" s="38"/>
      <c r="U127" s="38" t="b">
        <f t="shared" si="9"/>
        <v>0</v>
      </c>
      <c r="V127" s="38" t="s">
        <v>33</v>
      </c>
      <c r="W127" s="40"/>
      <c r="X127" s="40"/>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row>
    <row r="128">
      <c r="A128" s="87" t="s">
        <v>9763</v>
      </c>
      <c r="B128" s="323"/>
      <c r="C128" s="30">
        <v>43365.0</v>
      </c>
      <c r="D128" s="32"/>
      <c r="E128" s="13" t="s">
        <v>41</v>
      </c>
      <c r="F128" s="13">
        <v>1.0</v>
      </c>
      <c r="G128" s="13" t="s">
        <v>32</v>
      </c>
      <c r="H128" s="50">
        <v>1.0</v>
      </c>
      <c r="I128" s="13" t="s">
        <v>33</v>
      </c>
      <c r="J128" s="13" t="s">
        <v>93</v>
      </c>
      <c r="K128" s="13"/>
      <c r="L128" s="34" t="s">
        <v>9366</v>
      </c>
      <c r="M128" s="46" t="s">
        <v>9764</v>
      </c>
      <c r="N128" s="106"/>
      <c r="O128" s="57" t="str">
        <f>hyperlink("https://bad-boys.us/?q=WD-NY/6:19-cr-06032", "WD-NY 6:19-cr-06032")</f>
        <v>WD-NY 6:19-cr-06032</v>
      </c>
      <c r="P128" s="37"/>
      <c r="Q128" s="37">
        <v>1.0</v>
      </c>
      <c r="R128" s="37"/>
      <c r="S128" s="37"/>
      <c r="T128" s="38"/>
      <c r="U128" s="38" t="b">
        <f t="shared" si="9"/>
        <v>0</v>
      </c>
      <c r="V128" s="38" t="s">
        <v>33</v>
      </c>
      <c r="W128" s="40"/>
      <c r="X128" s="40"/>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row>
    <row r="129">
      <c r="A129" s="87" t="s">
        <v>9765</v>
      </c>
      <c r="B129" s="323">
        <v>43384.0</v>
      </c>
      <c r="C129" s="31">
        <v>43374.0</v>
      </c>
      <c r="D129" s="32" t="s">
        <v>4886</v>
      </c>
      <c r="E129" s="13" t="s">
        <v>41</v>
      </c>
      <c r="F129" s="13">
        <v>1.0</v>
      </c>
      <c r="G129" s="13">
        <v>1.0</v>
      </c>
      <c r="H129" s="50">
        <v>1.0</v>
      </c>
      <c r="I129" s="13" t="s">
        <v>33</v>
      </c>
      <c r="J129" s="13" t="s">
        <v>124</v>
      </c>
      <c r="K129" s="13">
        <v>1.0</v>
      </c>
      <c r="L129" s="34" t="s">
        <v>9487</v>
      </c>
      <c r="M129" s="46" t="s">
        <v>9766</v>
      </c>
      <c r="N129" s="106"/>
      <c r="O129" s="57" t="str">
        <f>hyperlink("https://bad-boys.us/?q=ND-OH/3:18-cr-00571", "ND-OH 3:18-cr-00571")</f>
        <v>ND-OH 3:18-cr-00571</v>
      </c>
      <c r="P129" s="86" t="s">
        <v>9767</v>
      </c>
      <c r="Q129" s="37">
        <v>1.0</v>
      </c>
      <c r="R129" s="37"/>
      <c r="S129" s="37" t="s">
        <v>9768</v>
      </c>
      <c r="T129" s="38">
        <v>2018.0</v>
      </c>
      <c r="U129" s="38" t="b">
        <f t="shared" si="9"/>
        <v>0</v>
      </c>
      <c r="V129" s="38"/>
      <c r="W129" s="40"/>
      <c r="X129" s="40"/>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row>
    <row r="130">
      <c r="A130" s="87" t="s">
        <v>9769</v>
      </c>
      <c r="B130" s="323">
        <v>43392.0</v>
      </c>
      <c r="C130" s="31">
        <v>43374.0</v>
      </c>
      <c r="D130" s="32" t="s">
        <v>4886</v>
      </c>
      <c r="E130" s="13" t="s">
        <v>41</v>
      </c>
      <c r="F130" s="13">
        <v>1.0</v>
      </c>
      <c r="G130" s="13">
        <v>1.0</v>
      </c>
      <c r="H130" s="50">
        <v>1.0</v>
      </c>
      <c r="I130" s="13" t="s">
        <v>33</v>
      </c>
      <c r="J130" s="13" t="s">
        <v>203</v>
      </c>
      <c r="K130" s="13">
        <v>2.0</v>
      </c>
      <c r="L130" s="34" t="s">
        <v>6497</v>
      </c>
      <c r="M130" s="46" t="s">
        <v>9770</v>
      </c>
      <c r="N130" s="106"/>
      <c r="O130" s="16"/>
      <c r="P130" s="37"/>
      <c r="Q130" s="37"/>
      <c r="R130" s="37"/>
      <c r="S130" s="37" t="s">
        <v>9768</v>
      </c>
      <c r="T130" s="38">
        <v>2018.0</v>
      </c>
      <c r="U130" s="38" t="b">
        <f t="shared" si="9"/>
        <v>0</v>
      </c>
      <c r="V130" s="38"/>
      <c r="W130" s="40"/>
      <c r="X130" s="40"/>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row>
    <row r="131">
      <c r="A131" s="87" t="s">
        <v>9771</v>
      </c>
      <c r="B131" s="323"/>
      <c r="C131" s="31">
        <v>43374.0</v>
      </c>
      <c r="D131" s="32"/>
      <c r="E131" s="13" t="s">
        <v>41</v>
      </c>
      <c r="F131" s="13">
        <v>1.0</v>
      </c>
      <c r="G131" s="13" t="s">
        <v>32</v>
      </c>
      <c r="H131" s="50">
        <v>1.0</v>
      </c>
      <c r="I131" s="13" t="s">
        <v>33</v>
      </c>
      <c r="J131" s="13" t="s">
        <v>203</v>
      </c>
      <c r="K131" s="13"/>
      <c r="L131" s="34" t="s">
        <v>6497</v>
      </c>
      <c r="M131" s="46" t="s">
        <v>9772</v>
      </c>
      <c r="N131" s="106"/>
      <c r="O131" s="57" t="str">
        <f>hyperlink("https://bad-boys.us/?q=D-SD/5:18-cr-50136", "D-SD 5:18-cr-50136")</f>
        <v>D-SD 5:18-cr-50136</v>
      </c>
      <c r="P131" s="86" t="s">
        <v>9773</v>
      </c>
      <c r="Q131" s="37">
        <v>1.0</v>
      </c>
      <c r="R131" s="37"/>
      <c r="S131" s="37"/>
      <c r="T131" s="38"/>
      <c r="U131" s="38" t="b">
        <f t="shared" si="9"/>
        <v>0</v>
      </c>
      <c r="V131" s="38" t="s">
        <v>33</v>
      </c>
      <c r="W131" s="40"/>
      <c r="X131" s="40"/>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row>
    <row r="132">
      <c r="A132" s="87" t="s">
        <v>9774</v>
      </c>
      <c r="B132" s="323">
        <v>43404.0</v>
      </c>
      <c r="C132" s="31">
        <v>43374.0</v>
      </c>
      <c r="D132" s="32" t="s">
        <v>4886</v>
      </c>
      <c r="E132" s="13" t="s">
        <v>41</v>
      </c>
      <c r="F132" s="13">
        <v>1.0</v>
      </c>
      <c r="G132" s="13" t="s">
        <v>32</v>
      </c>
      <c r="H132" s="50">
        <v>1.0</v>
      </c>
      <c r="I132" s="13" t="s">
        <v>33</v>
      </c>
      <c r="J132" s="13" t="s">
        <v>98</v>
      </c>
      <c r="K132" s="13">
        <v>2.0</v>
      </c>
      <c r="L132" s="34" t="s">
        <v>9348</v>
      </c>
      <c r="M132" s="46" t="s">
        <v>9775</v>
      </c>
      <c r="N132" s="106"/>
      <c r="O132" s="57" t="str">
        <f>hyperlink("https://bad-boys.us/?q=MD-GA/1:18-cr-00052", "MD-GA 1:18-cr-00052")</f>
        <v>MD-GA 1:18-cr-00052</v>
      </c>
      <c r="P132" s="86" t="s">
        <v>9776</v>
      </c>
      <c r="Q132" s="37">
        <v>1.0</v>
      </c>
      <c r="R132" s="37"/>
      <c r="S132" s="37" t="s">
        <v>9768</v>
      </c>
      <c r="T132" s="38">
        <v>2018.0</v>
      </c>
      <c r="U132" s="38" t="b">
        <f t="shared" si="9"/>
        <v>0</v>
      </c>
      <c r="V132" s="38"/>
      <c r="W132" s="40"/>
      <c r="X132" s="40"/>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row>
    <row r="133">
      <c r="A133" s="37" t="s">
        <v>9777</v>
      </c>
      <c r="B133" s="322">
        <v>43441.0</v>
      </c>
      <c r="C133" s="100">
        <v>43374.0</v>
      </c>
      <c r="D133" s="144" t="s">
        <v>4886</v>
      </c>
      <c r="E133" s="37" t="s">
        <v>41</v>
      </c>
      <c r="F133" s="37">
        <v>1.0</v>
      </c>
      <c r="G133" s="37">
        <v>1.0</v>
      </c>
      <c r="H133" s="50">
        <v>1.0</v>
      </c>
      <c r="I133" s="37" t="s">
        <v>33</v>
      </c>
      <c r="J133" s="37" t="s">
        <v>652</v>
      </c>
      <c r="K133" s="37">
        <v>1.0</v>
      </c>
      <c r="L133" s="58" t="s">
        <v>9380</v>
      </c>
      <c r="M133" s="36" t="s">
        <v>9381</v>
      </c>
      <c r="N133" s="15"/>
      <c r="O133" s="57" t="str">
        <f>hyperlink("https://bad-boys.us/?q=D-ND/1:18-cr-00180", "D-ND 1:18-cr-00180")</f>
        <v>D-ND 1:18-cr-00180</v>
      </c>
      <c r="P133" s="86" t="s">
        <v>9382</v>
      </c>
      <c r="Q133" s="37">
        <v>1.0</v>
      </c>
      <c r="R133" s="16"/>
      <c r="S133" s="37" t="s">
        <v>9768</v>
      </c>
      <c r="T133" s="38">
        <v>2018.0</v>
      </c>
      <c r="U133" s="38" t="b">
        <f t="shared" si="9"/>
        <v>0</v>
      </c>
      <c r="V133" s="38"/>
      <c r="W133" s="40"/>
      <c r="X133" s="40"/>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row>
    <row r="134">
      <c r="A134" s="87" t="s">
        <v>9778</v>
      </c>
      <c r="B134" s="323">
        <v>43376.0</v>
      </c>
      <c r="C134" s="30">
        <v>43376.0</v>
      </c>
      <c r="D134" s="32" t="s">
        <v>5481</v>
      </c>
      <c r="E134" s="13" t="s">
        <v>31</v>
      </c>
      <c r="F134" s="13">
        <v>1.0</v>
      </c>
      <c r="G134" s="13">
        <v>1.0</v>
      </c>
      <c r="H134" s="50">
        <v>1.0</v>
      </c>
      <c r="I134" s="13" t="s">
        <v>33</v>
      </c>
      <c r="J134" s="13" t="s">
        <v>268</v>
      </c>
      <c r="K134" s="13">
        <v>3.0</v>
      </c>
      <c r="L134" s="34" t="s">
        <v>9487</v>
      </c>
      <c r="M134" s="106" t="s">
        <v>9779</v>
      </c>
      <c r="N134" s="46" t="s">
        <v>9780</v>
      </c>
      <c r="O134" s="57" t="str">
        <f>hyperlink("https://bad-boys.us/?q=ND-OK/4:18-cr-00205", "ND-OK 4:18-cr-00205")</f>
        <v>ND-OK 4:18-cr-00205</v>
      </c>
      <c r="P134" s="86" t="s">
        <v>9781</v>
      </c>
      <c r="Q134" s="37">
        <v>1.0</v>
      </c>
      <c r="R134" s="37"/>
      <c r="S134" s="37" t="s">
        <v>9768</v>
      </c>
      <c r="T134" s="38">
        <v>2018.0</v>
      </c>
      <c r="U134" s="38" t="b">
        <f t="shared" si="9"/>
        <v>0</v>
      </c>
      <c r="V134" s="38" t="s">
        <v>33</v>
      </c>
      <c r="W134" s="39" t="s">
        <v>9782</v>
      </c>
      <c r="X134" s="39" t="s">
        <v>9783</v>
      </c>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row>
    <row r="135">
      <c r="A135" s="87" t="s">
        <v>9784</v>
      </c>
      <c r="B135" s="323">
        <v>43376.0</v>
      </c>
      <c r="C135" s="30">
        <v>43376.0</v>
      </c>
      <c r="D135" s="32" t="s">
        <v>5291</v>
      </c>
      <c r="E135" s="13" t="s">
        <v>31</v>
      </c>
      <c r="F135" s="13">
        <v>1.0</v>
      </c>
      <c r="G135" s="13">
        <v>1.0</v>
      </c>
      <c r="H135" s="50">
        <v>1.0</v>
      </c>
      <c r="I135" s="13" t="s">
        <v>33</v>
      </c>
      <c r="J135" s="13" t="s">
        <v>147</v>
      </c>
      <c r="K135" s="13">
        <v>4.0</v>
      </c>
      <c r="L135" s="34" t="s">
        <v>4960</v>
      </c>
      <c r="M135" s="46" t="s">
        <v>9785</v>
      </c>
      <c r="N135" s="46" t="s">
        <v>9786</v>
      </c>
      <c r="O135" s="57" t="str">
        <f>hyperlink("https://bad-boys.us/?q=ND-TX/5:18-cr-00098", "ND-TX 5:18-cr-00098")</f>
        <v>ND-TX 5:18-cr-00098</v>
      </c>
      <c r="P135" s="37"/>
      <c r="Q135" s="37">
        <v>1.0</v>
      </c>
      <c r="R135" s="37"/>
      <c r="S135" s="37" t="s">
        <v>9768</v>
      </c>
      <c r="T135" s="38">
        <v>2018.0</v>
      </c>
      <c r="U135" s="38" t="b">
        <f t="shared" si="9"/>
        <v>0</v>
      </c>
      <c r="V135" s="38"/>
      <c r="W135" s="40"/>
      <c r="X135" s="40"/>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row>
    <row r="136">
      <c r="A136" s="58" t="s">
        <v>9787</v>
      </c>
      <c r="B136" s="341"/>
      <c r="C136" s="59">
        <v>43381.0</v>
      </c>
      <c r="D136" s="60"/>
      <c r="E136" s="58" t="s">
        <v>41</v>
      </c>
      <c r="F136" s="58">
        <v>1.0</v>
      </c>
      <c r="G136" s="58" t="s">
        <v>32</v>
      </c>
      <c r="H136" s="50">
        <v>1.0</v>
      </c>
      <c r="I136" s="58" t="s">
        <v>33</v>
      </c>
      <c r="J136" s="58" t="s">
        <v>34</v>
      </c>
      <c r="K136" s="58"/>
      <c r="L136" s="88" t="s">
        <v>9788</v>
      </c>
      <c r="M136" s="61" t="s">
        <v>9788</v>
      </c>
      <c r="N136" s="80"/>
      <c r="O136" s="58"/>
      <c r="P136" s="58"/>
      <c r="Q136" s="58"/>
      <c r="R136" s="62"/>
      <c r="S136" s="37"/>
      <c r="T136" s="38"/>
      <c r="U136" s="38" t="b">
        <f t="shared" si="9"/>
        <v>0</v>
      </c>
      <c r="V136" s="38" t="s">
        <v>33</v>
      </c>
      <c r="W136" s="40"/>
      <c r="X136" s="40"/>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row>
    <row r="137">
      <c r="A137" s="58" t="s">
        <v>9789</v>
      </c>
      <c r="B137" s="341">
        <v>43399.0</v>
      </c>
      <c r="C137" s="59">
        <v>43392.0</v>
      </c>
      <c r="D137" s="60" t="s">
        <v>5429</v>
      </c>
      <c r="E137" s="58" t="s">
        <v>31</v>
      </c>
      <c r="F137" s="58">
        <v>1.0</v>
      </c>
      <c r="G137" s="58">
        <v>1.0</v>
      </c>
      <c r="H137" s="50">
        <v>1.0</v>
      </c>
      <c r="I137" s="58" t="s">
        <v>33</v>
      </c>
      <c r="J137" s="58" t="s">
        <v>147</v>
      </c>
      <c r="K137" s="58">
        <v>10.0</v>
      </c>
      <c r="L137" s="58" t="s">
        <v>9790</v>
      </c>
      <c r="M137" s="61" t="s">
        <v>9791</v>
      </c>
      <c r="N137" s="61" t="s">
        <v>9792</v>
      </c>
      <c r="O137" s="58"/>
      <c r="P137" s="58"/>
      <c r="Q137" s="58"/>
      <c r="R137" s="62"/>
      <c r="S137" s="37" t="s">
        <v>9768</v>
      </c>
      <c r="T137" s="38">
        <v>2018.0</v>
      </c>
      <c r="U137" s="38" t="b">
        <f t="shared" si="9"/>
        <v>0</v>
      </c>
      <c r="V137" s="38"/>
      <c r="W137" s="40"/>
      <c r="X137" s="40"/>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row>
    <row r="138">
      <c r="A138" s="58" t="s">
        <v>9793</v>
      </c>
      <c r="B138" s="58" t="s">
        <v>9794</v>
      </c>
      <c r="C138" s="59">
        <v>43396.0</v>
      </c>
      <c r="D138" s="60" t="s">
        <v>4098</v>
      </c>
      <c r="E138" s="58" t="s">
        <v>41</v>
      </c>
      <c r="F138" s="58">
        <v>1.0</v>
      </c>
      <c r="G138" s="58">
        <v>1.0</v>
      </c>
      <c r="H138" s="50">
        <v>1.0</v>
      </c>
      <c r="I138" s="58" t="s">
        <v>33</v>
      </c>
      <c r="J138" s="58" t="s">
        <v>93</v>
      </c>
      <c r="K138" s="58">
        <v>2.0</v>
      </c>
      <c r="L138" s="58" t="s">
        <v>4960</v>
      </c>
      <c r="M138" s="80" t="s">
        <v>9795</v>
      </c>
      <c r="N138" s="80"/>
      <c r="O138" s="88" t="str">
        <f>hyperlink("https://bad-boys.us/?q=ND-NY/1:19-cr-00100", "ND-NY 1:19-cr-00100")</f>
        <v>ND-NY 1:19-cr-00100</v>
      </c>
      <c r="P138" s="88" t="s">
        <v>9796</v>
      </c>
      <c r="Q138" s="58">
        <v>1.0</v>
      </c>
      <c r="R138" s="62"/>
      <c r="S138" s="37" t="s">
        <v>9768</v>
      </c>
      <c r="T138" s="38">
        <v>2018.0</v>
      </c>
      <c r="U138" s="38" t="b">
        <f t="shared" si="9"/>
        <v>0</v>
      </c>
      <c r="V138" s="38"/>
      <c r="W138" s="40"/>
      <c r="X138" s="40"/>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row>
    <row r="139">
      <c r="A139" s="87" t="s">
        <v>9797</v>
      </c>
      <c r="B139" s="323">
        <v>43404.0</v>
      </c>
      <c r="C139" s="30">
        <v>43403.0</v>
      </c>
      <c r="D139" s="32" t="s">
        <v>5481</v>
      </c>
      <c r="E139" s="13" t="s">
        <v>41</v>
      </c>
      <c r="F139" s="13">
        <v>1.0</v>
      </c>
      <c r="G139" s="13" t="s">
        <v>32</v>
      </c>
      <c r="H139" s="50">
        <v>1.0</v>
      </c>
      <c r="I139" s="13" t="s">
        <v>33</v>
      </c>
      <c r="J139" s="13" t="s">
        <v>47</v>
      </c>
      <c r="K139" s="13">
        <v>2.0</v>
      </c>
      <c r="L139" s="34" t="s">
        <v>7593</v>
      </c>
      <c r="M139" s="46" t="s">
        <v>9798</v>
      </c>
      <c r="N139" s="106"/>
      <c r="O139" s="16"/>
      <c r="P139" s="37"/>
      <c r="Q139" s="37"/>
      <c r="R139" s="37"/>
      <c r="S139" s="37" t="s">
        <v>9768</v>
      </c>
      <c r="T139" s="38">
        <v>2018.0</v>
      </c>
      <c r="U139" s="38" t="b">
        <f t="shared" si="9"/>
        <v>1</v>
      </c>
      <c r="V139" s="38" t="s">
        <v>33</v>
      </c>
      <c r="W139" s="40"/>
      <c r="X139" s="40"/>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row>
    <row r="140">
      <c r="A140" s="37" t="s">
        <v>9799</v>
      </c>
      <c r="B140" s="322">
        <v>43439.0</v>
      </c>
      <c r="C140" s="100">
        <v>43405.0</v>
      </c>
      <c r="D140" s="144" t="s">
        <v>3450</v>
      </c>
      <c r="E140" s="37" t="s">
        <v>41</v>
      </c>
      <c r="F140" s="37">
        <v>1.0</v>
      </c>
      <c r="G140" s="37">
        <v>1.0</v>
      </c>
      <c r="H140" s="50">
        <v>1.0</v>
      </c>
      <c r="I140" s="37" t="s">
        <v>33</v>
      </c>
      <c r="J140" s="37" t="s">
        <v>124</v>
      </c>
      <c r="K140" s="37">
        <v>3.0</v>
      </c>
      <c r="L140" s="58" t="s">
        <v>4960</v>
      </c>
      <c r="M140" s="36" t="s">
        <v>9800</v>
      </c>
      <c r="N140" s="15"/>
      <c r="O140" s="57" t="str">
        <f>hyperlink("https://bad-boys.us/?q=ND-OH/5:18-cr-00718", "ND-OH 5:18-cr-00718")</f>
        <v>ND-OH 5:18-cr-00718</v>
      </c>
      <c r="P140" s="86" t="s">
        <v>9801</v>
      </c>
      <c r="Q140" s="37">
        <v>1.0</v>
      </c>
      <c r="R140" s="37"/>
      <c r="S140" s="37" t="s">
        <v>5566</v>
      </c>
      <c r="T140" s="38">
        <v>2018.0</v>
      </c>
      <c r="U140" s="38" t="b">
        <f t="shared" si="9"/>
        <v>0</v>
      </c>
      <c r="V140" s="38"/>
      <c r="W140" s="40"/>
      <c r="X140" s="40"/>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row>
    <row r="141">
      <c r="A141" s="87" t="s">
        <v>9802</v>
      </c>
      <c r="B141" s="323"/>
      <c r="C141" s="30">
        <v>43405.0</v>
      </c>
      <c r="D141" s="32"/>
      <c r="E141" s="13" t="s">
        <v>31</v>
      </c>
      <c r="F141" s="13">
        <v>1.0</v>
      </c>
      <c r="G141" s="13">
        <v>3.0</v>
      </c>
      <c r="H141" s="50">
        <v>3.0</v>
      </c>
      <c r="I141" s="13" t="s">
        <v>33</v>
      </c>
      <c r="J141" s="13" t="s">
        <v>1111</v>
      </c>
      <c r="K141" s="13"/>
      <c r="L141" s="34" t="s">
        <v>9803</v>
      </c>
      <c r="M141" s="46" t="s">
        <v>9804</v>
      </c>
      <c r="N141" s="46" t="s">
        <v>9805</v>
      </c>
      <c r="O141" s="16"/>
      <c r="P141" s="37"/>
      <c r="Q141" s="37"/>
      <c r="R141" s="37"/>
      <c r="S141" s="37"/>
      <c r="T141" s="38"/>
      <c r="U141" s="38" t="b">
        <f t="shared" si="9"/>
        <v>0</v>
      </c>
      <c r="V141" s="38" t="s">
        <v>33</v>
      </c>
      <c r="W141" s="39" t="s">
        <v>9806</v>
      </c>
      <c r="X141" s="39" t="s">
        <v>9807</v>
      </c>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row>
    <row r="142">
      <c r="A142" s="87" t="s">
        <v>9808</v>
      </c>
      <c r="B142" s="323">
        <v>43406.0</v>
      </c>
      <c r="C142" s="30">
        <v>43406.0</v>
      </c>
      <c r="D142" s="32" t="s">
        <v>9809</v>
      </c>
      <c r="E142" s="13" t="s">
        <v>41</v>
      </c>
      <c r="F142" s="13">
        <v>1.0</v>
      </c>
      <c r="G142" s="13">
        <v>1.0</v>
      </c>
      <c r="H142" s="50">
        <v>1.0</v>
      </c>
      <c r="I142" s="13" t="s">
        <v>33</v>
      </c>
      <c r="J142" s="13" t="s">
        <v>440</v>
      </c>
      <c r="K142" s="13">
        <v>1.0</v>
      </c>
      <c r="L142" s="34" t="s">
        <v>9810</v>
      </c>
      <c r="M142" s="106" t="s">
        <v>9811</v>
      </c>
      <c r="N142" s="46" t="s">
        <v>9812</v>
      </c>
      <c r="O142" s="57" t="str">
        <f>hyperlink("https://bad-boys.us/?q=D-CT/3:19-cr-00174", "D-CT 3:19-cr-00174")</f>
        <v>D-CT 3:19-cr-00174</v>
      </c>
      <c r="P142" s="37"/>
      <c r="Q142" s="37">
        <v>1.0</v>
      </c>
      <c r="R142" s="37"/>
      <c r="S142" s="37" t="str">
        <f>IFERROR(__xludf.DUMMYFUNCTION("if(not(iserror(index(split(C142, "" ""),2))), index(split(C142, "" ""),1),"""")"),"November")</f>
        <v>November</v>
      </c>
      <c r="T142" s="38">
        <f>IFERROR(__xludf.DUMMYFUNCTION("if(S142="""",C142,if(not(iserror(index(split(C142, "" ""),3))), index(split(C142, "" ""),3),index(split(C142, "" ""),2)))"),2018.0)</f>
        <v>2018</v>
      </c>
      <c r="U142" s="38" t="b">
        <f t="shared" si="9"/>
        <v>0</v>
      </c>
      <c r="V142" s="38" t="s">
        <v>33</v>
      </c>
      <c r="W142" s="40"/>
      <c r="X142" s="40"/>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row>
    <row r="143">
      <c r="A143" s="37" t="s">
        <v>9813</v>
      </c>
      <c r="B143" s="322"/>
      <c r="C143" s="99">
        <v>43410.0</v>
      </c>
      <c r="D143" s="144"/>
      <c r="E143" s="37" t="s">
        <v>41</v>
      </c>
      <c r="F143" s="37">
        <v>1.0</v>
      </c>
      <c r="G143" s="37">
        <v>1.0</v>
      </c>
      <c r="H143" s="50">
        <v>1.0</v>
      </c>
      <c r="I143" s="37" t="s">
        <v>33</v>
      </c>
      <c r="J143" s="37" t="s">
        <v>203</v>
      </c>
      <c r="K143" s="37"/>
      <c r="L143" s="58" t="s">
        <v>9814</v>
      </c>
      <c r="M143" s="36" t="s">
        <v>9815</v>
      </c>
      <c r="N143" s="15"/>
      <c r="O143" s="57" t="str">
        <f>hyperlink("https://bad-boys.us/?q=D-SD/4:18-cr-40143", "D-SD 4:18-cr-40143")</f>
        <v>D-SD 4:18-cr-40143</v>
      </c>
      <c r="P143" s="86" t="s">
        <v>9816</v>
      </c>
      <c r="Q143" s="37">
        <v>1.0</v>
      </c>
      <c r="R143" s="16"/>
      <c r="S143" s="37"/>
      <c r="T143" s="38"/>
      <c r="U143" s="38" t="b">
        <f t="shared" si="9"/>
        <v>0</v>
      </c>
      <c r="V143" s="38" t="s">
        <v>33</v>
      </c>
      <c r="W143" s="40"/>
      <c r="X143" s="40"/>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row>
    <row r="144">
      <c r="A144" s="37" t="s">
        <v>9797</v>
      </c>
      <c r="B144" s="322"/>
      <c r="C144" s="99">
        <v>43412.0</v>
      </c>
      <c r="D144" s="144"/>
      <c r="E144" s="37" t="s">
        <v>41</v>
      </c>
      <c r="F144" s="37">
        <v>1.0</v>
      </c>
      <c r="G144" s="37">
        <v>2.0</v>
      </c>
      <c r="H144" s="50">
        <v>2.0</v>
      </c>
      <c r="I144" s="37" t="s">
        <v>33</v>
      </c>
      <c r="J144" s="37" t="s">
        <v>47</v>
      </c>
      <c r="K144" s="37"/>
      <c r="L144" s="58" t="s">
        <v>4960</v>
      </c>
      <c r="M144" s="36" t="s">
        <v>9817</v>
      </c>
      <c r="N144" s="15"/>
      <c r="O144" s="57" t="str">
        <f>hyperlink("https://bad-boys.us/?q=MD-FL/3:18-cr-00204", "MD-FL 3:18-cr-00204")</f>
        <v>MD-FL 3:18-cr-00204</v>
      </c>
      <c r="P144" s="86" t="s">
        <v>9818</v>
      </c>
      <c r="Q144" s="37">
        <v>1.0</v>
      </c>
      <c r="R144" s="16"/>
      <c r="S144" s="37"/>
      <c r="T144" s="38"/>
      <c r="U144" s="38" t="b">
        <f t="shared" si="9"/>
        <v>1</v>
      </c>
      <c r="V144" s="38" t="s">
        <v>33</v>
      </c>
      <c r="W144" s="40"/>
      <c r="X144" s="40"/>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row>
    <row r="145">
      <c r="A145" s="37" t="s">
        <v>9819</v>
      </c>
      <c r="B145" s="322"/>
      <c r="C145" s="99">
        <v>43418.0</v>
      </c>
      <c r="D145" s="144"/>
      <c r="E145" s="37" t="s">
        <v>41</v>
      </c>
      <c r="F145" s="37">
        <v>1.0</v>
      </c>
      <c r="G145" s="37">
        <v>1.0</v>
      </c>
      <c r="H145" s="50">
        <v>1.0</v>
      </c>
      <c r="I145" s="37" t="s">
        <v>33</v>
      </c>
      <c r="J145" s="37" t="s">
        <v>147</v>
      </c>
      <c r="K145" s="37"/>
      <c r="L145" s="58" t="s">
        <v>9820</v>
      </c>
      <c r="M145" s="36" t="s">
        <v>9821</v>
      </c>
      <c r="N145" s="15"/>
      <c r="O145" s="57" t="str">
        <f>hyperlink("https://bad-boys.us/?q=ED-TX/6:18-cr-00070", "ED-TX 6:18-cr-00070")</f>
        <v>ED-TX 6:18-cr-00070</v>
      </c>
      <c r="P145" s="86" t="s">
        <v>9822</v>
      </c>
      <c r="Q145" s="37">
        <v>1.0</v>
      </c>
      <c r="R145" s="16"/>
      <c r="S145" s="37"/>
      <c r="T145" s="38"/>
      <c r="U145" s="38" t="b">
        <f t="shared" si="9"/>
        <v>0</v>
      </c>
      <c r="V145" s="38" t="s">
        <v>33</v>
      </c>
      <c r="W145" s="40"/>
      <c r="X145" s="40"/>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row>
    <row r="146">
      <c r="A146" s="37" t="s">
        <v>9823</v>
      </c>
      <c r="B146" s="322">
        <v>43445.0</v>
      </c>
      <c r="C146" s="100">
        <v>43435.0</v>
      </c>
      <c r="D146" s="144" t="s">
        <v>2460</v>
      </c>
      <c r="E146" s="37" t="s">
        <v>41</v>
      </c>
      <c r="F146" s="37">
        <v>1.0</v>
      </c>
      <c r="G146" s="37" t="s">
        <v>32</v>
      </c>
      <c r="H146" s="50">
        <v>1.0</v>
      </c>
      <c r="I146" s="37" t="s">
        <v>33</v>
      </c>
      <c r="J146" s="37" t="s">
        <v>93</v>
      </c>
      <c r="K146" s="37">
        <v>1.0</v>
      </c>
      <c r="L146" s="58" t="s">
        <v>9600</v>
      </c>
      <c r="M146" s="14" t="s">
        <v>9824</v>
      </c>
      <c r="N146" s="15"/>
      <c r="O146" s="57" t="str">
        <f>hyperlink("https://bad-boys.us/?q=ND-NY/1:19-cr-00099", "ND-NY 1:19-cr-00099")</f>
        <v>ND-NY 1:19-cr-00099</v>
      </c>
      <c r="P146" s="86" t="s">
        <v>9825</v>
      </c>
      <c r="Q146" s="37">
        <v>1.0</v>
      </c>
      <c r="R146" s="16"/>
      <c r="S146" s="37" t="s">
        <v>5831</v>
      </c>
      <c r="T146" s="38">
        <v>2018.0</v>
      </c>
      <c r="U146" s="38" t="b">
        <f t="shared" si="9"/>
        <v>0</v>
      </c>
      <c r="V146" s="38" t="s">
        <v>33</v>
      </c>
      <c r="W146" s="40"/>
      <c r="X146" s="40"/>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row>
    <row r="147">
      <c r="A147" s="37" t="s">
        <v>9826</v>
      </c>
      <c r="B147" s="322">
        <v>43448.0</v>
      </c>
      <c r="C147" s="100">
        <v>43435.0</v>
      </c>
      <c r="D147" s="144" t="s">
        <v>2460</v>
      </c>
      <c r="E147" s="37" t="s">
        <v>41</v>
      </c>
      <c r="F147" s="37">
        <v>1.0</v>
      </c>
      <c r="G147" s="37">
        <v>1.0</v>
      </c>
      <c r="H147" s="50">
        <v>1.0</v>
      </c>
      <c r="I147" s="37" t="s">
        <v>33</v>
      </c>
      <c r="J147" s="37" t="s">
        <v>144</v>
      </c>
      <c r="K147" s="37" t="s">
        <v>32</v>
      </c>
      <c r="L147" s="58" t="s">
        <v>9417</v>
      </c>
      <c r="M147" s="14" t="s">
        <v>9827</v>
      </c>
      <c r="N147" s="15"/>
      <c r="O147" s="57" t="str">
        <f>hyperlink("https://bad-boys.us/?q=D-MT/1:18-cr-00148", "D-MT 1:18-cr-00148")</f>
        <v>D-MT 1:18-cr-00148</v>
      </c>
      <c r="P147" s="86" t="s">
        <v>9828</v>
      </c>
      <c r="Q147" s="37">
        <v>1.0</v>
      </c>
      <c r="R147" s="16"/>
      <c r="S147" s="37" t="str">
        <f>IFERROR(__xludf.DUMMYFUNCTION("if(not(iserror(index(split(C147, "" ""),2))), index(split(C147, "" ""),1),"""")"),"December,")</f>
        <v>December,</v>
      </c>
      <c r="T147" s="38">
        <f>IFERROR(__xludf.DUMMYFUNCTION("if(S147="""",C147,if(not(iserror(index(split(C147, "" ""),3))), index(split(C147, "" ""),3),index(split(C147, "" ""),2)))"),2018.0)</f>
        <v>2018</v>
      </c>
      <c r="U147" s="38" t="b">
        <f t="shared" si="9"/>
        <v>0</v>
      </c>
      <c r="V147" s="38"/>
      <c r="W147" s="40"/>
      <c r="X147" s="40"/>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row>
    <row r="148">
      <c r="A148" s="37" t="s">
        <v>9829</v>
      </c>
      <c r="B148" s="322">
        <v>43455.0</v>
      </c>
      <c r="C148" s="100">
        <v>43435.0</v>
      </c>
      <c r="D148" s="144" t="s">
        <v>2460</v>
      </c>
      <c r="E148" s="37" t="s">
        <v>41</v>
      </c>
      <c r="F148" s="37">
        <v>1.0</v>
      </c>
      <c r="G148" s="37">
        <v>31.0</v>
      </c>
      <c r="H148" s="50">
        <v>31.0</v>
      </c>
      <c r="I148" s="37" t="s">
        <v>33</v>
      </c>
      <c r="J148" s="37" t="s">
        <v>144</v>
      </c>
      <c r="K148" s="37" t="s">
        <v>32</v>
      </c>
      <c r="L148" s="37" t="s">
        <v>9830</v>
      </c>
      <c r="M148" s="36" t="s">
        <v>9831</v>
      </c>
      <c r="N148" s="36" t="s">
        <v>9832</v>
      </c>
      <c r="O148" s="16"/>
      <c r="P148" s="37"/>
      <c r="Q148" s="37"/>
      <c r="R148" s="16"/>
      <c r="S148" s="37" t="str">
        <f>IFERROR(__xludf.DUMMYFUNCTION("if(not(iserror(index(split(C148, "" ""),2))), index(split(C148, "" ""),1),"""")"),"December,")</f>
        <v>December,</v>
      </c>
      <c r="T148" s="38">
        <f>IFERROR(__xludf.DUMMYFUNCTION("if(S148="""",C148,if(not(iserror(index(split(C148, "" ""),3))), index(split(C148, "" ""),3),index(split(C148, "" ""),2)))"),2018.0)</f>
        <v>2018</v>
      </c>
      <c r="U148" s="38" t="b">
        <f t="shared" si="9"/>
        <v>0</v>
      </c>
      <c r="V148" s="38"/>
      <c r="W148" s="40"/>
      <c r="X148" s="40"/>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row>
    <row r="149">
      <c r="A149" s="37" t="s">
        <v>9833</v>
      </c>
      <c r="B149" s="322">
        <v>43494.0</v>
      </c>
      <c r="C149" s="100">
        <v>43435.0</v>
      </c>
      <c r="D149" s="144" t="s">
        <v>5904</v>
      </c>
      <c r="E149" s="37" t="s">
        <v>41</v>
      </c>
      <c r="F149" s="37">
        <v>1.0</v>
      </c>
      <c r="G149" s="37" t="s">
        <v>32</v>
      </c>
      <c r="H149" s="33">
        <f>if(G149="Unknown",1,G149)</f>
        <v>1</v>
      </c>
      <c r="I149" s="37" t="s">
        <v>33</v>
      </c>
      <c r="J149" s="37" t="s">
        <v>203</v>
      </c>
      <c r="K149" s="37">
        <v>1.0</v>
      </c>
      <c r="L149" s="37" t="s">
        <v>9380</v>
      </c>
      <c r="M149" s="193" t="s">
        <v>9834</v>
      </c>
      <c r="N149" s="15"/>
      <c r="O149" s="57" t="str">
        <f>hyperlink("https://bad-boys.us/?q=D-SD/3:18-cr-30165", "D-SD 3:18-cr-30165")</f>
        <v>D-SD 3:18-cr-30165</v>
      </c>
      <c r="P149" s="86" t="s">
        <v>9835</v>
      </c>
      <c r="Q149" s="64">
        <v>1.0</v>
      </c>
      <c r="R149" s="16"/>
      <c r="S149" s="37" t="str">
        <f>IFERROR(__xludf.DUMMYFUNCTION("if(not(iserror(index(split(C149, "" ""),2))), index(split(C149, "" ""),1),"""")"),"December,")</f>
        <v>December,</v>
      </c>
      <c r="T149" s="38">
        <f>IFERROR(__xludf.DUMMYFUNCTION("if(S149="""",C149,if(not(iserror(index(split(C149, "" ""),3))), index(split(C149, "" ""),3),index(split(C149, "" ""),2)))"),2018.0)</f>
        <v>2018</v>
      </c>
      <c r="U149" s="38" t="b">
        <f t="shared" si="9"/>
        <v>0</v>
      </c>
      <c r="V149" s="38"/>
      <c r="W149" s="40"/>
      <c r="X149" s="40"/>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row>
    <row r="150">
      <c r="A150" s="87" t="s">
        <v>9836</v>
      </c>
      <c r="B150" s="341"/>
      <c r="C150" s="79">
        <v>43435.0</v>
      </c>
      <c r="D150" s="60"/>
      <c r="E150" s="58" t="s">
        <v>41</v>
      </c>
      <c r="F150" s="58">
        <v>1.0</v>
      </c>
      <c r="G150" s="58">
        <v>1.0</v>
      </c>
      <c r="H150" s="50">
        <v>1.0</v>
      </c>
      <c r="I150" s="58" t="s">
        <v>33</v>
      </c>
      <c r="J150" s="58" t="s">
        <v>203</v>
      </c>
      <c r="K150" s="58"/>
      <c r="L150" s="58" t="s">
        <v>6497</v>
      </c>
      <c r="M150" s="46" t="s">
        <v>9837</v>
      </c>
      <c r="N150" s="77"/>
      <c r="O150" s="83" t="str">
        <f>hyperlink("https://bad-boys.us/?q=D-SD/1:18-cr-10043", "D-SD 1:18-cr-10043")</f>
        <v>D-SD 1:18-cr-10043</v>
      </c>
      <c r="P150" s="88" t="s">
        <v>9838</v>
      </c>
      <c r="Q150" s="58">
        <v>1.0</v>
      </c>
      <c r="R150" s="62"/>
      <c r="S150" s="37"/>
      <c r="T150" s="38"/>
      <c r="U150" s="38" t="b">
        <f t="shared" si="9"/>
        <v>0</v>
      </c>
      <c r="V150" s="38" t="s">
        <v>33</v>
      </c>
      <c r="W150" s="40"/>
      <c r="X150" s="40"/>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row>
    <row r="151">
      <c r="A151" s="37" t="s">
        <v>9839</v>
      </c>
      <c r="B151" s="322">
        <v>43440.0</v>
      </c>
      <c r="C151" s="99">
        <v>43438.0</v>
      </c>
      <c r="D151" s="144" t="s">
        <v>5771</v>
      </c>
      <c r="E151" s="37" t="s">
        <v>41</v>
      </c>
      <c r="F151" s="37">
        <v>1.0</v>
      </c>
      <c r="G151" s="37">
        <v>4.0</v>
      </c>
      <c r="H151" s="50">
        <v>4.0</v>
      </c>
      <c r="I151" s="37" t="s">
        <v>33</v>
      </c>
      <c r="J151" s="37" t="s">
        <v>124</v>
      </c>
      <c r="K151" s="37">
        <v>2.0</v>
      </c>
      <c r="L151" s="58" t="s">
        <v>9840</v>
      </c>
      <c r="M151" s="36" t="s">
        <v>9841</v>
      </c>
      <c r="N151" s="15"/>
      <c r="O151" s="57" t="str">
        <f>hyperlink("https://bad-boys.us/?q=SD-OH/1:18-mj-00719", "SD-OH 1:18-mj-00719")</f>
        <v>SD-OH 1:18-mj-00719</v>
      </c>
      <c r="P151" s="86" t="s">
        <v>9842</v>
      </c>
      <c r="Q151" s="37">
        <v>1.0</v>
      </c>
      <c r="R151" s="37"/>
      <c r="S151" s="37" t="str">
        <f>IFERROR(__xludf.DUMMYFUNCTION("if(not(iserror(index(split(C151, "" ""),2))), index(split(C151, "" ""),1),"""")"),"December")</f>
        <v>December</v>
      </c>
      <c r="T151" s="38">
        <f>IFERROR(__xludf.DUMMYFUNCTION("if(S151="""",C151,if(not(iserror(index(split(C151, "" ""),3))), index(split(C151, "" ""),3),index(split(C151, "" ""),2)))"),2018.0)</f>
        <v>2018</v>
      </c>
      <c r="U151" s="38" t="b">
        <f t="shared" si="9"/>
        <v>0</v>
      </c>
      <c r="V151" s="38"/>
      <c r="W151" s="40"/>
      <c r="X151" s="40"/>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row>
    <row r="152">
      <c r="A152" s="37" t="s">
        <v>9843</v>
      </c>
      <c r="B152" s="322"/>
      <c r="C152" s="99">
        <v>43439.0</v>
      </c>
      <c r="D152" s="144"/>
      <c r="E152" s="37" t="s">
        <v>41</v>
      </c>
      <c r="F152" s="37">
        <v>1.0</v>
      </c>
      <c r="G152" s="37">
        <v>1.0</v>
      </c>
      <c r="H152" s="50">
        <v>1.0</v>
      </c>
      <c r="I152" s="37" t="s">
        <v>33</v>
      </c>
      <c r="J152" s="37" t="s">
        <v>172</v>
      </c>
      <c r="K152" s="37"/>
      <c r="L152" s="58" t="s">
        <v>9433</v>
      </c>
      <c r="M152" s="36" t="s">
        <v>9844</v>
      </c>
      <c r="N152" s="15"/>
      <c r="O152" s="16"/>
      <c r="P152" s="37"/>
      <c r="Q152" s="37"/>
      <c r="R152" s="37"/>
      <c r="S152" s="37"/>
      <c r="T152" s="38"/>
      <c r="U152" s="38" t="b">
        <f t="shared" si="9"/>
        <v>0</v>
      </c>
      <c r="V152" s="38" t="s">
        <v>33</v>
      </c>
      <c r="W152" s="40"/>
      <c r="X152" s="40"/>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row>
    <row r="153">
      <c r="A153" s="37" t="s">
        <v>9845</v>
      </c>
      <c r="B153" s="322">
        <v>43445.0</v>
      </c>
      <c r="C153" s="99">
        <v>43441.0</v>
      </c>
      <c r="D153" s="144" t="s">
        <v>5793</v>
      </c>
      <c r="E153" s="37" t="s">
        <v>41</v>
      </c>
      <c r="F153" s="37">
        <v>1.0</v>
      </c>
      <c r="G153" s="37" t="s">
        <v>32</v>
      </c>
      <c r="H153" s="50">
        <v>1.0</v>
      </c>
      <c r="I153" s="37" t="s">
        <v>33</v>
      </c>
      <c r="J153" s="37" t="s">
        <v>75</v>
      </c>
      <c r="K153" s="37" t="s">
        <v>32</v>
      </c>
      <c r="L153" s="58" t="s">
        <v>7593</v>
      </c>
      <c r="M153" s="36" t="s">
        <v>9846</v>
      </c>
      <c r="N153" s="15"/>
      <c r="O153" s="57" t="str">
        <f>hyperlink("https://bad-boys.us/?q=WD-KY/3:18-cr-00214", "WD-KY 3:18-cr-00214")</f>
        <v>WD-KY 3:18-cr-00214</v>
      </c>
      <c r="P153" s="86" t="s">
        <v>9847</v>
      </c>
      <c r="Q153" s="37">
        <v>1.0</v>
      </c>
      <c r="R153" s="16"/>
      <c r="S153" s="37" t="s">
        <v>5831</v>
      </c>
      <c r="T153" s="38">
        <v>2018.0</v>
      </c>
      <c r="U153" s="38" t="b">
        <f t="shared" si="9"/>
        <v>0</v>
      </c>
      <c r="V153" s="38"/>
      <c r="W153" s="40"/>
      <c r="X153" s="40"/>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row>
    <row r="154">
      <c r="A154" s="37" t="s">
        <v>9848</v>
      </c>
      <c r="B154" s="322"/>
      <c r="C154" s="100">
        <v>43466.0</v>
      </c>
      <c r="D154" s="144"/>
      <c r="E154" s="37" t="s">
        <v>41</v>
      </c>
      <c r="F154" s="37">
        <v>1.0</v>
      </c>
      <c r="G154" s="37">
        <v>1.0</v>
      </c>
      <c r="H154" s="50">
        <v>1.0</v>
      </c>
      <c r="I154" s="37" t="s">
        <v>33</v>
      </c>
      <c r="J154" s="37" t="s">
        <v>268</v>
      </c>
      <c r="K154" s="37"/>
      <c r="L154" s="37" t="s">
        <v>9600</v>
      </c>
      <c r="M154" s="36" t="s">
        <v>9849</v>
      </c>
      <c r="N154" s="106"/>
      <c r="O154" s="16"/>
      <c r="P154" s="37"/>
      <c r="Q154" s="37"/>
      <c r="R154" s="16"/>
      <c r="S154" s="37"/>
      <c r="T154" s="38"/>
      <c r="U154" s="38" t="b">
        <f t="shared" si="9"/>
        <v>0</v>
      </c>
      <c r="V154" s="38" t="s">
        <v>33</v>
      </c>
      <c r="W154" s="40"/>
      <c r="X154" s="40"/>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row>
    <row r="155">
      <c r="A155" s="37" t="s">
        <v>9850</v>
      </c>
      <c r="B155" s="322"/>
      <c r="C155" s="100">
        <v>43466.0</v>
      </c>
      <c r="D155" s="144"/>
      <c r="E155" s="37" t="s">
        <v>41</v>
      </c>
      <c r="F155" s="37">
        <v>1.0</v>
      </c>
      <c r="G155" s="37">
        <v>1.0</v>
      </c>
      <c r="H155" s="50">
        <v>1.0</v>
      </c>
      <c r="I155" s="37" t="s">
        <v>33</v>
      </c>
      <c r="J155" s="37" t="s">
        <v>203</v>
      </c>
      <c r="K155" s="37"/>
      <c r="L155" s="37" t="s">
        <v>9851</v>
      </c>
      <c r="M155" s="36" t="s">
        <v>9852</v>
      </c>
      <c r="N155" s="106"/>
      <c r="O155" s="16"/>
      <c r="P155" s="37"/>
      <c r="Q155" s="37"/>
      <c r="R155" s="16"/>
      <c r="S155" s="37"/>
      <c r="T155" s="38"/>
      <c r="U155" s="38"/>
      <c r="V155" s="38" t="s">
        <v>33</v>
      </c>
      <c r="W155" s="40"/>
      <c r="X155" s="40"/>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row>
    <row r="156">
      <c r="A156" s="37" t="s">
        <v>9853</v>
      </c>
      <c r="B156" s="322"/>
      <c r="C156" s="100">
        <v>43466.0</v>
      </c>
      <c r="D156" s="144"/>
      <c r="E156" s="37" t="s">
        <v>41</v>
      </c>
      <c r="F156" s="37">
        <v>1.0</v>
      </c>
      <c r="G156" s="37" t="s">
        <v>32</v>
      </c>
      <c r="H156" s="50">
        <v>1.0</v>
      </c>
      <c r="I156" s="37" t="s">
        <v>33</v>
      </c>
      <c r="J156" s="37" t="s">
        <v>343</v>
      </c>
      <c r="K156" s="37"/>
      <c r="L156" s="37" t="s">
        <v>9433</v>
      </c>
      <c r="M156" s="36" t="s">
        <v>9854</v>
      </c>
      <c r="N156" s="106"/>
      <c r="O156" s="57" t="str">
        <f>hyperlink("https://bad-boys.us/?q=SD-WV/3:19-cr-00063", "SD-WV 3:19-cr-00063")</f>
        <v>SD-WV 3:19-cr-00063</v>
      </c>
      <c r="P156" s="86" t="s">
        <v>9855</v>
      </c>
      <c r="Q156" s="37">
        <v>1.0</v>
      </c>
      <c r="R156" s="16"/>
      <c r="S156" s="37"/>
      <c r="T156" s="38"/>
      <c r="U156" s="38" t="b">
        <f>countif(A$5:A3006, A156)&gt;1</f>
        <v>0</v>
      </c>
      <c r="V156" s="38" t="s">
        <v>33</v>
      </c>
      <c r="W156" s="40"/>
      <c r="X156" s="40"/>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row>
    <row r="157">
      <c r="A157" s="37" t="s">
        <v>9856</v>
      </c>
      <c r="B157" s="322"/>
      <c r="C157" s="99">
        <v>43470.0</v>
      </c>
      <c r="D157" s="144"/>
      <c r="E157" s="37" t="s">
        <v>41</v>
      </c>
      <c r="F157" s="37">
        <v>1.0</v>
      </c>
      <c r="G157" s="37" t="s">
        <v>32</v>
      </c>
      <c r="H157" s="50">
        <v>1.0</v>
      </c>
      <c r="I157" s="37" t="s">
        <v>33</v>
      </c>
      <c r="J157" s="37" t="s">
        <v>909</v>
      </c>
      <c r="K157" s="37"/>
      <c r="L157" s="37" t="s">
        <v>9433</v>
      </c>
      <c r="M157" s="36" t="s">
        <v>9857</v>
      </c>
      <c r="N157" s="106"/>
      <c r="O157" s="16"/>
      <c r="P157" s="37"/>
      <c r="Q157" s="37"/>
      <c r="R157" s="16"/>
      <c r="S157" s="37"/>
      <c r="T157" s="38"/>
      <c r="U157" s="38"/>
      <c r="V157" s="38" t="s">
        <v>33</v>
      </c>
      <c r="W157" s="40"/>
      <c r="X157" s="40"/>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row>
    <row r="158">
      <c r="A158" s="37" t="s">
        <v>9858</v>
      </c>
      <c r="B158" s="322"/>
      <c r="C158" s="99">
        <v>43473.0</v>
      </c>
      <c r="D158" s="144"/>
      <c r="E158" s="37" t="s">
        <v>41</v>
      </c>
      <c r="F158" s="37">
        <v>1.0</v>
      </c>
      <c r="G158" s="37">
        <v>1.0</v>
      </c>
      <c r="H158" s="50">
        <v>1.0</v>
      </c>
      <c r="I158" s="37" t="s">
        <v>33</v>
      </c>
      <c r="J158" s="37" t="s">
        <v>115</v>
      </c>
      <c r="K158" s="37"/>
      <c r="L158" s="37" t="s">
        <v>9433</v>
      </c>
      <c r="M158" s="36" t="s">
        <v>9859</v>
      </c>
      <c r="N158" s="106"/>
      <c r="O158" s="57" t="str">
        <f>hyperlink("https://bad-boys.us/?q=WD-PA/1:19-cr-00005", "WD-PA 1:19-cr-00005")</f>
        <v>WD-PA 1:19-cr-00005</v>
      </c>
      <c r="P158" s="86" t="s">
        <v>9860</v>
      </c>
      <c r="Q158" s="37">
        <v>1.0</v>
      </c>
      <c r="R158" s="16"/>
      <c r="S158" s="37"/>
      <c r="T158" s="38"/>
      <c r="U158" s="38" t="b">
        <f>countif(A$5:A3006, A158)&gt;1</f>
        <v>0</v>
      </c>
      <c r="V158" s="38" t="s">
        <v>33</v>
      </c>
      <c r="W158" s="40"/>
      <c r="X158" s="40"/>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row>
    <row r="159">
      <c r="A159" s="37" t="s">
        <v>9861</v>
      </c>
      <c r="B159" s="322"/>
      <c r="C159" s="99">
        <v>43473.0</v>
      </c>
      <c r="D159" s="144"/>
      <c r="E159" s="37" t="s">
        <v>41</v>
      </c>
      <c r="F159" s="37">
        <v>1.0</v>
      </c>
      <c r="G159" s="37" t="s">
        <v>32</v>
      </c>
      <c r="H159" s="50">
        <v>1.0</v>
      </c>
      <c r="I159" s="37" t="s">
        <v>33</v>
      </c>
      <c r="J159" s="37" t="s">
        <v>93</v>
      </c>
      <c r="K159" s="37"/>
      <c r="L159" s="37" t="s">
        <v>9366</v>
      </c>
      <c r="M159" s="14" t="s">
        <v>9862</v>
      </c>
      <c r="N159" s="106"/>
      <c r="O159" s="57" t="str">
        <f>hyperlink("https://bad-boys.us/?q=WD-NY/1:19-cr-00007", "WD-NY 1:19-cr-00007")</f>
        <v>WD-NY 1:19-cr-00007</v>
      </c>
      <c r="P159" s="37"/>
      <c r="Q159" s="37">
        <v>1.0</v>
      </c>
      <c r="R159" s="16"/>
      <c r="S159" s="37"/>
      <c r="T159" s="38"/>
      <c r="U159" s="38"/>
      <c r="V159" s="38" t="s">
        <v>33</v>
      </c>
      <c r="W159" s="40"/>
      <c r="X159" s="40"/>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row>
    <row r="160">
      <c r="A160" s="37" t="s">
        <v>9863</v>
      </c>
      <c r="B160" s="322">
        <v>43483.0</v>
      </c>
      <c r="C160" s="99">
        <v>43483.0</v>
      </c>
      <c r="D160" s="144" t="s">
        <v>9864</v>
      </c>
      <c r="E160" s="37" t="s">
        <v>41</v>
      </c>
      <c r="F160" s="37">
        <v>1.0</v>
      </c>
      <c r="G160" s="37">
        <v>3.0</v>
      </c>
      <c r="H160" s="50">
        <v>3.0</v>
      </c>
      <c r="I160" s="37" t="s">
        <v>33</v>
      </c>
      <c r="J160" s="37" t="s">
        <v>652</v>
      </c>
      <c r="K160" s="37">
        <v>1.0</v>
      </c>
      <c r="L160" s="37" t="s">
        <v>9865</v>
      </c>
      <c r="M160" s="36" t="s">
        <v>9866</v>
      </c>
      <c r="N160" s="106"/>
      <c r="O160" s="57" t="str">
        <f>hyperlink("https://bad-boys.us/?q=D-ND/1:18-cr-00218", "D-ND 1:18-cr-00218")</f>
        <v>D-ND 1:18-cr-00218</v>
      </c>
      <c r="P160" s="86" t="s">
        <v>9867</v>
      </c>
      <c r="Q160" s="64">
        <v>1.0</v>
      </c>
      <c r="R160" s="16"/>
      <c r="S160" s="37" t="s">
        <v>2253</v>
      </c>
      <c r="T160" s="38">
        <v>2019.0</v>
      </c>
      <c r="U160" s="38" t="b">
        <f t="shared" ref="U160:U168" si="10">countif(A$5:A3006, A160)&gt;1</f>
        <v>0</v>
      </c>
      <c r="V160" s="38"/>
      <c r="W160" s="40"/>
      <c r="X160" s="40"/>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row>
    <row r="161">
      <c r="A161" s="37" t="s">
        <v>9868</v>
      </c>
      <c r="B161" s="322"/>
      <c r="C161" s="99">
        <v>43487.0</v>
      </c>
      <c r="D161" s="144"/>
      <c r="E161" s="37" t="s">
        <v>41</v>
      </c>
      <c r="F161" s="37">
        <v>1.0</v>
      </c>
      <c r="G161" s="37">
        <v>1.0</v>
      </c>
      <c r="H161" s="50">
        <v>1.0</v>
      </c>
      <c r="I161" s="37" t="s">
        <v>33</v>
      </c>
      <c r="J161" s="37" t="s">
        <v>241</v>
      </c>
      <c r="K161" s="37"/>
      <c r="L161" s="37" t="s">
        <v>9380</v>
      </c>
      <c r="M161" s="36" t="s">
        <v>9869</v>
      </c>
      <c r="N161" s="15"/>
      <c r="O161" s="16"/>
      <c r="P161" s="37"/>
      <c r="Q161" s="37"/>
      <c r="R161" s="16"/>
      <c r="S161" s="37"/>
      <c r="T161" s="38"/>
      <c r="U161" s="38" t="b">
        <f t="shared" si="10"/>
        <v>0</v>
      </c>
      <c r="V161" s="38" t="s">
        <v>33</v>
      </c>
      <c r="W161" s="40"/>
      <c r="X161" s="40"/>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row>
    <row r="162">
      <c r="A162" s="37" t="s">
        <v>9870</v>
      </c>
      <c r="B162" s="322">
        <v>43494.0</v>
      </c>
      <c r="C162" s="99">
        <v>43488.0</v>
      </c>
      <c r="D162" s="144" t="s">
        <v>9871</v>
      </c>
      <c r="E162" s="37" t="s">
        <v>41</v>
      </c>
      <c r="F162" s="37">
        <v>1.0</v>
      </c>
      <c r="G162" s="37">
        <v>1.0</v>
      </c>
      <c r="H162" s="50">
        <v>1.0</v>
      </c>
      <c r="I162" s="37" t="s">
        <v>33</v>
      </c>
      <c r="J162" s="37" t="s">
        <v>203</v>
      </c>
      <c r="K162" s="37">
        <v>1.0</v>
      </c>
      <c r="L162" s="37" t="s">
        <v>9380</v>
      </c>
      <c r="M162" s="36" t="s">
        <v>9872</v>
      </c>
      <c r="N162" s="15"/>
      <c r="O162" s="16"/>
      <c r="P162" s="37"/>
      <c r="Q162" s="64"/>
      <c r="R162" s="16"/>
      <c r="S162" s="37" t="str">
        <f>IFERROR(__xludf.DUMMYFUNCTION("if(not(iserror(index(split(C162, "" ""),2))), index(split(C162, "" ""),1),"""")"),"January")</f>
        <v>January</v>
      </c>
      <c r="T162" s="38">
        <f>IFERROR(__xludf.DUMMYFUNCTION("if(S162="""",C162,if(not(iserror(index(split(C162, "" ""),3))), index(split(C162, "" ""),3),index(split(C162, "" ""),2)))"),2019.0)</f>
        <v>2019</v>
      </c>
      <c r="U162" s="38" t="b">
        <f t="shared" si="10"/>
        <v>0</v>
      </c>
      <c r="V162" s="38"/>
      <c r="W162" s="40"/>
      <c r="X162" s="40"/>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row>
    <row r="163">
      <c r="A163" s="37" t="s">
        <v>9873</v>
      </c>
      <c r="B163" s="322"/>
      <c r="C163" s="99">
        <v>43488.0</v>
      </c>
      <c r="D163" s="144"/>
      <c r="E163" s="37" t="s">
        <v>41</v>
      </c>
      <c r="F163" s="37">
        <v>1.0</v>
      </c>
      <c r="G163" s="37">
        <v>1.0</v>
      </c>
      <c r="H163" s="50">
        <v>1.0</v>
      </c>
      <c r="I163" s="37" t="s">
        <v>33</v>
      </c>
      <c r="J163" s="37" t="s">
        <v>203</v>
      </c>
      <c r="K163" s="37"/>
      <c r="L163" s="37" t="s">
        <v>9396</v>
      </c>
      <c r="M163" s="36" t="s">
        <v>9874</v>
      </c>
      <c r="N163" s="15"/>
      <c r="O163" s="57" t="str">
        <f>hyperlink("https://bad-boys.us/?q=D-SD/3:19-cr-30006", "D-SD 3:19-cr-30006")</f>
        <v>D-SD 3:19-cr-30006</v>
      </c>
      <c r="P163" s="86" t="s">
        <v>9875</v>
      </c>
      <c r="Q163" s="37">
        <v>1.0</v>
      </c>
      <c r="R163" s="16"/>
      <c r="S163" s="37"/>
      <c r="T163" s="38"/>
      <c r="U163" s="38" t="b">
        <f t="shared" si="10"/>
        <v>0</v>
      </c>
      <c r="V163" s="38" t="s">
        <v>33</v>
      </c>
      <c r="W163" s="40"/>
      <c r="X163" s="40"/>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row>
    <row r="164">
      <c r="A164" s="37" t="s">
        <v>9876</v>
      </c>
      <c r="B164" s="322">
        <v>43494.0</v>
      </c>
      <c r="C164" s="99">
        <v>43494.0</v>
      </c>
      <c r="D164" s="144" t="s">
        <v>6061</v>
      </c>
      <c r="E164" s="37" t="s">
        <v>31</v>
      </c>
      <c r="F164" s="37">
        <v>1.0</v>
      </c>
      <c r="G164" s="37">
        <v>1.0</v>
      </c>
      <c r="H164" s="50">
        <v>1.0</v>
      </c>
      <c r="I164" s="37" t="s">
        <v>33</v>
      </c>
      <c r="J164" s="37" t="s">
        <v>75</v>
      </c>
      <c r="K164" s="37">
        <v>2.0</v>
      </c>
      <c r="L164" s="37" t="s">
        <v>9366</v>
      </c>
      <c r="M164" s="36" t="s">
        <v>9877</v>
      </c>
      <c r="N164" s="36" t="s">
        <v>9878</v>
      </c>
      <c r="O164" s="16"/>
      <c r="P164" s="16"/>
      <c r="Q164" s="37"/>
      <c r="R164" s="16"/>
      <c r="S164" s="37" t="s">
        <v>2253</v>
      </c>
      <c r="T164" s="38">
        <v>2019.0</v>
      </c>
      <c r="U164" s="38" t="b">
        <f t="shared" si="10"/>
        <v>0</v>
      </c>
      <c r="V164" s="38" t="s">
        <v>33</v>
      </c>
      <c r="W164" s="40"/>
      <c r="X164" s="40"/>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row>
    <row r="165">
      <c r="A165" s="37" t="s">
        <v>9879</v>
      </c>
      <c r="B165" s="322"/>
      <c r="C165" s="99">
        <v>43497.0</v>
      </c>
      <c r="D165" s="144"/>
      <c r="E165" s="37" t="s">
        <v>41</v>
      </c>
      <c r="F165" s="37">
        <v>1.0</v>
      </c>
      <c r="G165" s="37" t="s">
        <v>32</v>
      </c>
      <c r="H165" s="50">
        <v>1.0</v>
      </c>
      <c r="I165" s="37" t="s">
        <v>33</v>
      </c>
      <c r="J165" s="37" t="s">
        <v>343</v>
      </c>
      <c r="K165" s="37"/>
      <c r="L165" s="37" t="s">
        <v>7593</v>
      </c>
      <c r="M165" s="36" t="s">
        <v>9880</v>
      </c>
      <c r="N165" s="14"/>
      <c r="O165" s="57" t="str">
        <f>hyperlink("https://bad-boys.us/?q=SD-WV/3:19-cr-00271", "SD-WV 3:19-cr-00271 ❓")</f>
        <v>SD-WV 3:19-cr-00271 ❓</v>
      </c>
      <c r="P165" s="16"/>
      <c r="Q165" s="37">
        <v>1.0</v>
      </c>
      <c r="R165" s="16"/>
      <c r="S165" s="37"/>
      <c r="T165" s="38"/>
      <c r="U165" s="38" t="b">
        <f t="shared" si="10"/>
        <v>0</v>
      </c>
      <c r="V165" s="38" t="s">
        <v>33</v>
      </c>
      <c r="W165" s="40"/>
      <c r="X165" s="40"/>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row>
    <row r="166">
      <c r="A166" s="37" t="s">
        <v>9881</v>
      </c>
      <c r="B166" s="322"/>
      <c r="C166" s="100">
        <v>43497.0</v>
      </c>
      <c r="D166" s="144"/>
      <c r="E166" s="37" t="s">
        <v>41</v>
      </c>
      <c r="F166" s="37">
        <v>1.0</v>
      </c>
      <c r="G166" s="37" t="s">
        <v>32</v>
      </c>
      <c r="H166" s="50">
        <v>1.0</v>
      </c>
      <c r="I166" s="37" t="s">
        <v>33</v>
      </c>
      <c r="J166" s="37" t="s">
        <v>460</v>
      </c>
      <c r="K166" s="37"/>
      <c r="L166" s="37" t="s">
        <v>9433</v>
      </c>
      <c r="M166" s="36" t="s">
        <v>9882</v>
      </c>
      <c r="N166" s="14"/>
      <c r="O166" s="16"/>
      <c r="P166" s="16"/>
      <c r="Q166" s="37"/>
      <c r="R166" s="16"/>
      <c r="S166" s="37"/>
      <c r="T166" s="38"/>
      <c r="U166" s="38" t="b">
        <f t="shared" si="10"/>
        <v>0</v>
      </c>
      <c r="V166" s="38" t="s">
        <v>33</v>
      </c>
      <c r="W166" s="40"/>
      <c r="X166" s="40"/>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row>
    <row r="167">
      <c r="A167" s="37" t="s">
        <v>9883</v>
      </c>
      <c r="B167" s="322"/>
      <c r="C167" s="99">
        <v>43500.0</v>
      </c>
      <c r="D167" s="144"/>
      <c r="E167" s="37" t="s">
        <v>41</v>
      </c>
      <c r="F167" s="37">
        <v>1.0</v>
      </c>
      <c r="G167" s="37">
        <v>1.0</v>
      </c>
      <c r="H167" s="50">
        <v>1.0</v>
      </c>
      <c r="I167" s="37" t="s">
        <v>33</v>
      </c>
      <c r="J167" s="37" t="s">
        <v>132</v>
      </c>
      <c r="K167" s="37"/>
      <c r="L167" s="34" t="s">
        <v>9380</v>
      </c>
      <c r="M167" s="36" t="s">
        <v>9884</v>
      </c>
      <c r="N167" s="14"/>
      <c r="O167" s="57" t="str">
        <f>hyperlink("https://bad-boys.us/?q=SD-MS/3:19-cr-00021", "SD-MS 3:19-cr-00021")</f>
        <v>SD-MS 3:19-cr-00021</v>
      </c>
      <c r="P167" s="16"/>
      <c r="Q167" s="37">
        <v>1.0</v>
      </c>
      <c r="R167" s="16"/>
      <c r="S167" s="37"/>
      <c r="T167" s="38"/>
      <c r="U167" s="38" t="b">
        <f t="shared" si="10"/>
        <v>0</v>
      </c>
      <c r="V167" s="38" t="s">
        <v>33</v>
      </c>
      <c r="W167" s="40"/>
      <c r="X167" s="40"/>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row>
    <row r="168">
      <c r="A168" s="37" t="s">
        <v>9885</v>
      </c>
      <c r="B168" s="322"/>
      <c r="C168" s="99">
        <v>43501.0</v>
      </c>
      <c r="D168" s="144"/>
      <c r="E168" s="37" t="s">
        <v>31</v>
      </c>
      <c r="F168" s="37">
        <v>2.0</v>
      </c>
      <c r="G168" s="37">
        <v>3.0</v>
      </c>
      <c r="H168" s="50">
        <v>3.0</v>
      </c>
      <c r="I168" s="37" t="s">
        <v>33</v>
      </c>
      <c r="J168" s="37" t="s">
        <v>85</v>
      </c>
      <c r="K168" s="37"/>
      <c r="L168" s="34" t="s">
        <v>9886</v>
      </c>
      <c r="M168" s="36" t="s">
        <v>9887</v>
      </c>
      <c r="N168" s="36" t="s">
        <v>9888</v>
      </c>
      <c r="O168" s="16"/>
      <c r="P168" s="16"/>
      <c r="Q168" s="37"/>
      <c r="R168" s="16"/>
      <c r="S168" s="37"/>
      <c r="T168" s="38"/>
      <c r="U168" s="38" t="b">
        <f t="shared" si="10"/>
        <v>0</v>
      </c>
      <c r="V168" s="38" t="s">
        <v>33</v>
      </c>
      <c r="W168" s="39" t="s">
        <v>9889</v>
      </c>
      <c r="X168" s="39" t="s">
        <v>9890</v>
      </c>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row>
    <row r="169">
      <c r="A169" s="37" t="s">
        <v>9891</v>
      </c>
      <c r="B169" s="322"/>
      <c r="C169" s="99">
        <v>43503.0</v>
      </c>
      <c r="D169" s="144"/>
      <c r="E169" s="37" t="s">
        <v>41</v>
      </c>
      <c r="F169" s="37">
        <v>1.0</v>
      </c>
      <c r="G169" s="37">
        <v>2.0</v>
      </c>
      <c r="H169" s="50">
        <v>2.0</v>
      </c>
      <c r="I169" s="37" t="s">
        <v>33</v>
      </c>
      <c r="J169" s="37" t="s">
        <v>75</v>
      </c>
      <c r="K169" s="37"/>
      <c r="L169" s="34" t="s">
        <v>9892</v>
      </c>
      <c r="M169" s="36" t="s">
        <v>9893</v>
      </c>
      <c r="N169" s="14"/>
      <c r="O169" s="16"/>
      <c r="P169" s="16"/>
      <c r="Q169" s="37"/>
      <c r="R169" s="16"/>
      <c r="S169" s="37"/>
      <c r="T169" s="38"/>
      <c r="U169" s="38"/>
      <c r="V169" s="38"/>
      <c r="W169" s="40"/>
      <c r="X169" s="40"/>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row>
    <row r="170">
      <c r="A170" s="37" t="s">
        <v>9894</v>
      </c>
      <c r="B170" s="322"/>
      <c r="C170" s="99">
        <v>43510.0</v>
      </c>
      <c r="D170" s="144"/>
      <c r="E170" s="37" t="s">
        <v>41</v>
      </c>
      <c r="F170" s="37">
        <v>1.0</v>
      </c>
      <c r="G170" s="37">
        <v>1.0</v>
      </c>
      <c r="H170" s="50">
        <v>1.0</v>
      </c>
      <c r="I170" s="37" t="s">
        <v>33</v>
      </c>
      <c r="J170" s="37" t="s">
        <v>47</v>
      </c>
      <c r="K170" s="37"/>
      <c r="L170" s="34" t="s">
        <v>9366</v>
      </c>
      <c r="M170" s="36" t="s">
        <v>9895</v>
      </c>
      <c r="N170" s="14"/>
      <c r="O170" s="16"/>
      <c r="P170" s="16"/>
      <c r="Q170" s="37"/>
      <c r="R170" s="16"/>
      <c r="S170" s="37"/>
      <c r="T170" s="38"/>
      <c r="U170" s="38" t="b">
        <f t="shared" ref="U170:U173" si="11">countif(A$5:A3006, A170)&gt;1</f>
        <v>0</v>
      </c>
      <c r="V170" s="38" t="s">
        <v>33</v>
      </c>
      <c r="W170" s="40"/>
      <c r="X170" s="40"/>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row>
    <row r="171">
      <c r="A171" s="37" t="s">
        <v>9896</v>
      </c>
      <c r="B171" s="322"/>
      <c r="C171" s="99">
        <v>43510.0</v>
      </c>
      <c r="D171" s="144"/>
      <c r="E171" s="37" t="s">
        <v>41</v>
      </c>
      <c r="F171" s="37">
        <v>1.0</v>
      </c>
      <c r="G171" s="37" t="s">
        <v>32</v>
      </c>
      <c r="H171" s="50">
        <v>1.0</v>
      </c>
      <c r="I171" s="37" t="s">
        <v>33</v>
      </c>
      <c r="J171" s="37" t="s">
        <v>98</v>
      </c>
      <c r="K171" s="37"/>
      <c r="L171" s="34" t="s">
        <v>9433</v>
      </c>
      <c r="M171" s="36" t="s">
        <v>9897</v>
      </c>
      <c r="N171" s="14"/>
      <c r="O171" s="16"/>
      <c r="P171" s="16"/>
      <c r="Q171" s="37"/>
      <c r="R171" s="16"/>
      <c r="S171" s="37"/>
      <c r="T171" s="38"/>
      <c r="U171" s="38" t="b">
        <f t="shared" si="11"/>
        <v>0</v>
      </c>
      <c r="V171" s="38" t="s">
        <v>33</v>
      </c>
      <c r="W171" s="40"/>
      <c r="X171" s="40"/>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row>
    <row r="172">
      <c r="A172" s="37" t="s">
        <v>9898</v>
      </c>
      <c r="B172" s="322"/>
      <c r="C172" s="99">
        <v>43512.0</v>
      </c>
      <c r="D172" s="144"/>
      <c r="E172" s="37" t="s">
        <v>41</v>
      </c>
      <c r="F172" s="37">
        <v>1.0</v>
      </c>
      <c r="G172" s="37" t="s">
        <v>32</v>
      </c>
      <c r="H172" s="50">
        <v>1.0</v>
      </c>
      <c r="I172" s="37" t="s">
        <v>33</v>
      </c>
      <c r="J172" s="37" t="s">
        <v>93</v>
      </c>
      <c r="K172" s="37"/>
      <c r="L172" s="34" t="s">
        <v>9366</v>
      </c>
      <c r="M172" s="14" t="s">
        <v>9899</v>
      </c>
      <c r="N172" s="14"/>
      <c r="O172" s="57" t="str">
        <f>hyperlink("https://bad-boys.us/?q=WD-NY/6:19-cr-06070", "WD-NY 6:19-cr-06070")</f>
        <v>WD-NY 6:19-cr-06070</v>
      </c>
      <c r="P172" s="16"/>
      <c r="Q172" s="37">
        <v>1.0</v>
      </c>
      <c r="R172" s="16"/>
      <c r="S172" s="37"/>
      <c r="T172" s="38"/>
      <c r="U172" s="38" t="b">
        <f t="shared" si="11"/>
        <v>0</v>
      </c>
      <c r="V172" s="38" t="s">
        <v>33</v>
      </c>
      <c r="W172" s="40"/>
      <c r="X172" s="40"/>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row>
    <row r="173">
      <c r="A173" s="37" t="s">
        <v>9900</v>
      </c>
      <c r="B173" s="322"/>
      <c r="C173" s="99">
        <v>43515.0</v>
      </c>
      <c r="D173" s="144"/>
      <c r="E173" s="37" t="s">
        <v>41</v>
      </c>
      <c r="F173" s="37">
        <v>1.0</v>
      </c>
      <c r="G173" s="37">
        <v>1.0</v>
      </c>
      <c r="H173" s="50">
        <v>1.0</v>
      </c>
      <c r="I173" s="37" t="s">
        <v>33</v>
      </c>
      <c r="J173" s="37" t="s">
        <v>93</v>
      </c>
      <c r="K173" s="37"/>
      <c r="L173" s="34" t="s">
        <v>9487</v>
      </c>
      <c r="M173" s="14" t="s">
        <v>9901</v>
      </c>
      <c r="N173" s="14"/>
      <c r="O173" s="57" t="str">
        <f>hyperlink("https://bad-boys.us/?q=ND-NY/1:19-mj-00086", "ND-NY 1:19-mj-00086")</f>
        <v>ND-NY 1:19-mj-00086</v>
      </c>
      <c r="P173" s="86" t="s">
        <v>9902</v>
      </c>
      <c r="Q173" s="37">
        <v>1.0</v>
      </c>
      <c r="R173" s="16"/>
      <c r="S173" s="37"/>
      <c r="T173" s="38"/>
      <c r="U173" s="38" t="b">
        <f t="shared" si="11"/>
        <v>0</v>
      </c>
      <c r="V173" s="38" t="s">
        <v>33</v>
      </c>
      <c r="W173" s="40"/>
      <c r="X173" s="40"/>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row>
    <row r="174">
      <c r="A174" s="37" t="s">
        <v>9903</v>
      </c>
      <c r="B174" s="322"/>
      <c r="C174" s="99">
        <v>43518.0</v>
      </c>
      <c r="D174" s="144"/>
      <c r="E174" s="37" t="s">
        <v>41</v>
      </c>
      <c r="F174" s="37">
        <v>1.0</v>
      </c>
      <c r="G174" s="37" t="s">
        <v>32</v>
      </c>
      <c r="H174" s="50">
        <v>1.0</v>
      </c>
      <c r="I174" s="37" t="s">
        <v>33</v>
      </c>
      <c r="J174" s="37" t="s">
        <v>75</v>
      </c>
      <c r="K174" s="37"/>
      <c r="L174" s="34" t="s">
        <v>9904</v>
      </c>
      <c r="M174" s="36" t="s">
        <v>9905</v>
      </c>
      <c r="N174" s="14"/>
      <c r="O174" s="16"/>
      <c r="P174" s="37"/>
      <c r="Q174" s="37"/>
      <c r="R174" s="16"/>
      <c r="S174" s="37"/>
      <c r="T174" s="38"/>
      <c r="U174" s="38"/>
      <c r="V174" s="38" t="s">
        <v>33</v>
      </c>
      <c r="W174" s="40"/>
      <c r="X174" s="40"/>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row>
    <row r="175">
      <c r="A175" s="37" t="s">
        <v>9906</v>
      </c>
      <c r="B175" s="322"/>
      <c r="C175" s="99">
        <v>43518.0</v>
      </c>
      <c r="D175" s="144"/>
      <c r="E175" s="37" t="s">
        <v>41</v>
      </c>
      <c r="F175" s="37">
        <v>1.0</v>
      </c>
      <c r="G175" s="37">
        <v>1.0</v>
      </c>
      <c r="H175" s="50">
        <v>1.0</v>
      </c>
      <c r="I175" s="37" t="s">
        <v>33</v>
      </c>
      <c r="J175" s="37" t="s">
        <v>98</v>
      </c>
      <c r="K175" s="37"/>
      <c r="L175" s="34" t="s">
        <v>9433</v>
      </c>
      <c r="M175" s="36" t="s">
        <v>9907</v>
      </c>
      <c r="N175" s="14"/>
      <c r="O175" s="16"/>
      <c r="P175" s="37"/>
      <c r="Q175" s="37"/>
      <c r="R175" s="16"/>
      <c r="S175" s="37"/>
      <c r="T175" s="38"/>
      <c r="U175" s="38" t="b">
        <f t="shared" ref="U175:U176" si="12">countif(A$5:A3006, A175)&gt;1</f>
        <v>0</v>
      </c>
      <c r="V175" s="38" t="s">
        <v>33</v>
      </c>
      <c r="W175" s="40"/>
      <c r="X175" s="40"/>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row>
    <row r="176">
      <c r="A176" s="37" t="s">
        <v>9908</v>
      </c>
      <c r="B176" s="322"/>
      <c r="C176" s="99">
        <v>43521.0</v>
      </c>
      <c r="D176" s="144"/>
      <c r="E176" s="37" t="s">
        <v>41</v>
      </c>
      <c r="F176" s="37" t="s">
        <v>903</v>
      </c>
      <c r="G176" s="37" t="s">
        <v>903</v>
      </c>
      <c r="H176" s="50">
        <v>1.0</v>
      </c>
      <c r="I176" s="37" t="s">
        <v>33</v>
      </c>
      <c r="J176" s="37" t="s">
        <v>115</v>
      </c>
      <c r="K176" s="37"/>
      <c r="L176" s="34" t="s">
        <v>9433</v>
      </c>
      <c r="M176" s="14" t="s">
        <v>9909</v>
      </c>
      <c r="N176" s="36" t="s">
        <v>9910</v>
      </c>
      <c r="O176" s="16"/>
      <c r="P176" s="37"/>
      <c r="Q176" s="37"/>
      <c r="R176" s="16"/>
      <c r="S176" s="37"/>
      <c r="T176" s="38"/>
      <c r="U176" s="38" t="b">
        <f t="shared" si="12"/>
        <v>0</v>
      </c>
      <c r="V176" s="38" t="s">
        <v>33</v>
      </c>
      <c r="W176" s="39" t="s">
        <v>9911</v>
      </c>
      <c r="X176" s="40"/>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row>
    <row r="177">
      <c r="A177" s="37" t="s">
        <v>9912</v>
      </c>
      <c r="B177" s="322"/>
      <c r="C177" s="100">
        <v>43525.0</v>
      </c>
      <c r="D177" s="144"/>
      <c r="E177" s="37" t="s">
        <v>41</v>
      </c>
      <c r="F177" s="37">
        <v>1.0</v>
      </c>
      <c r="G177" s="37" t="s">
        <v>32</v>
      </c>
      <c r="H177" s="50">
        <v>2.0</v>
      </c>
      <c r="I177" s="37" t="s">
        <v>33</v>
      </c>
      <c r="J177" s="37" t="s">
        <v>288</v>
      </c>
      <c r="K177" s="37"/>
      <c r="L177" s="34" t="s">
        <v>9366</v>
      </c>
      <c r="M177" s="36" t="s">
        <v>9913</v>
      </c>
      <c r="N177" s="14"/>
      <c r="O177" s="16"/>
      <c r="P177" s="37"/>
      <c r="Q177" s="37">
        <v>1.0</v>
      </c>
      <c r="R177" s="16"/>
      <c r="S177" s="37"/>
      <c r="T177" s="38"/>
      <c r="U177" s="38"/>
      <c r="V177" s="38" t="s">
        <v>33</v>
      </c>
      <c r="W177" s="40"/>
      <c r="X177" s="40"/>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row>
    <row r="178">
      <c r="A178" s="87" t="s">
        <v>9914</v>
      </c>
      <c r="B178" s="322"/>
      <c r="C178" s="100">
        <v>43525.0</v>
      </c>
      <c r="D178" s="144"/>
      <c r="E178" s="37" t="s">
        <v>41</v>
      </c>
      <c r="F178" s="37">
        <v>1.0</v>
      </c>
      <c r="G178" s="37">
        <v>1.0</v>
      </c>
      <c r="H178" s="50">
        <v>1.0</v>
      </c>
      <c r="I178" s="37" t="s">
        <v>33</v>
      </c>
      <c r="J178" s="37" t="s">
        <v>144</v>
      </c>
      <c r="K178" s="37"/>
      <c r="L178" s="34" t="s">
        <v>9851</v>
      </c>
      <c r="M178" s="46" t="s">
        <v>9915</v>
      </c>
      <c r="N178" s="14"/>
      <c r="O178" s="57" t="str">
        <f>hyperlink("https://bad-boys.us/?q=D-MT/1:19-cr-00015", "D-MT 1:19-cr-00015")</f>
        <v>D-MT 1:19-cr-00015</v>
      </c>
      <c r="P178" s="86" t="s">
        <v>9916</v>
      </c>
      <c r="Q178" s="37">
        <v>1.0</v>
      </c>
      <c r="R178" s="16"/>
      <c r="S178" s="37"/>
      <c r="T178" s="38"/>
      <c r="U178" s="38" t="b">
        <f t="shared" ref="U178:U185" si="13">countif(A$5:A3006, A178)&gt;1</f>
        <v>0</v>
      </c>
      <c r="V178" s="38" t="s">
        <v>33</v>
      </c>
      <c r="W178" s="40"/>
      <c r="X178" s="40"/>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row>
    <row r="179">
      <c r="A179" s="87" t="s">
        <v>9917</v>
      </c>
      <c r="B179" s="322"/>
      <c r="C179" s="99">
        <v>43525.0</v>
      </c>
      <c r="D179" s="144"/>
      <c r="E179" s="37" t="s">
        <v>41</v>
      </c>
      <c r="F179" s="37">
        <v>1.0</v>
      </c>
      <c r="G179" s="37">
        <v>1.0</v>
      </c>
      <c r="H179" s="50">
        <v>1.0</v>
      </c>
      <c r="I179" s="37" t="s">
        <v>33</v>
      </c>
      <c r="J179" s="37" t="s">
        <v>228</v>
      </c>
      <c r="K179" s="37"/>
      <c r="L179" s="34" t="s">
        <v>9918</v>
      </c>
      <c r="M179" s="46" t="s">
        <v>9919</v>
      </c>
      <c r="N179" s="14"/>
      <c r="O179" s="57" t="str">
        <f>hyperlink("https://bad-boys.us/?q=D-PR/3:19-cr-00174", "D-PR 3:19-cr-00174 ❓")</f>
        <v>D-PR 3:19-cr-00174 ❓</v>
      </c>
      <c r="P179" s="86" t="s">
        <v>9920</v>
      </c>
      <c r="Q179" s="37">
        <v>1.0</v>
      </c>
      <c r="R179" s="16"/>
      <c r="S179" s="37"/>
      <c r="T179" s="38"/>
      <c r="U179" s="38" t="b">
        <f t="shared" si="13"/>
        <v>0</v>
      </c>
      <c r="V179" s="38" t="s">
        <v>33</v>
      </c>
      <c r="W179" s="40"/>
      <c r="X179" s="40"/>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row>
    <row r="180">
      <c r="A180" s="87" t="s">
        <v>9921</v>
      </c>
      <c r="B180" s="322"/>
      <c r="C180" s="99">
        <v>43526.0</v>
      </c>
      <c r="D180" s="144"/>
      <c r="E180" s="37" t="s">
        <v>41</v>
      </c>
      <c r="F180" s="37">
        <v>1.0</v>
      </c>
      <c r="G180" s="37" t="s">
        <v>32</v>
      </c>
      <c r="H180" s="50">
        <v>1.0</v>
      </c>
      <c r="I180" s="37" t="s">
        <v>33</v>
      </c>
      <c r="J180" s="37" t="s">
        <v>9922</v>
      </c>
      <c r="K180" s="37"/>
      <c r="L180" s="34" t="s">
        <v>9433</v>
      </c>
      <c r="M180" s="106" t="s">
        <v>9923</v>
      </c>
      <c r="N180" s="14"/>
      <c r="O180" s="57" t="str">
        <f>hyperlink("https://bad-boys.us/?q=SD-WV/2:19-cr-00077", "SD-WV 2:19-cr-00077")</f>
        <v>SD-WV 2:19-cr-00077</v>
      </c>
      <c r="P180" s="86" t="s">
        <v>9924</v>
      </c>
      <c r="Q180" s="37">
        <v>1.0</v>
      </c>
      <c r="R180" s="16"/>
      <c r="S180" s="37"/>
      <c r="T180" s="38"/>
      <c r="U180" s="38" t="b">
        <f t="shared" si="13"/>
        <v>0</v>
      </c>
      <c r="V180" s="38" t="s">
        <v>33</v>
      </c>
      <c r="W180" s="40"/>
      <c r="X180" s="40"/>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row>
    <row r="181">
      <c r="A181" s="87" t="s">
        <v>9925</v>
      </c>
      <c r="B181" s="322"/>
      <c r="C181" s="99">
        <v>43532.0</v>
      </c>
      <c r="D181" s="144"/>
      <c r="E181" s="37" t="s">
        <v>41</v>
      </c>
      <c r="F181" s="37">
        <v>1.0</v>
      </c>
      <c r="G181" s="37">
        <v>1.0</v>
      </c>
      <c r="H181" s="50">
        <v>1.0</v>
      </c>
      <c r="I181" s="37" t="s">
        <v>33</v>
      </c>
      <c r="J181" s="37" t="s">
        <v>228</v>
      </c>
      <c r="K181" s="37"/>
      <c r="L181" s="34" t="s">
        <v>9433</v>
      </c>
      <c r="M181" s="46" t="s">
        <v>9926</v>
      </c>
      <c r="N181" s="14"/>
      <c r="O181" s="16"/>
      <c r="P181" s="16"/>
      <c r="Q181" s="37"/>
      <c r="R181" s="16"/>
      <c r="S181" s="37"/>
      <c r="T181" s="38"/>
      <c r="U181" s="38" t="b">
        <f t="shared" si="13"/>
        <v>0</v>
      </c>
      <c r="V181" s="38" t="s">
        <v>33</v>
      </c>
      <c r="W181" s="40"/>
      <c r="X181" s="40"/>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row>
    <row r="182">
      <c r="A182" s="87" t="s">
        <v>9927</v>
      </c>
      <c r="B182" s="322"/>
      <c r="C182" s="99">
        <v>43536.0</v>
      </c>
      <c r="D182" s="144"/>
      <c r="E182" s="37" t="s">
        <v>41</v>
      </c>
      <c r="F182" s="37">
        <v>2.0</v>
      </c>
      <c r="G182" s="37">
        <v>1.0</v>
      </c>
      <c r="H182" s="50">
        <v>1.0</v>
      </c>
      <c r="I182" s="37" t="s">
        <v>33</v>
      </c>
      <c r="J182" s="37" t="s">
        <v>203</v>
      </c>
      <c r="K182" s="37"/>
      <c r="L182" s="34" t="s">
        <v>9405</v>
      </c>
      <c r="M182" s="46" t="s">
        <v>9928</v>
      </c>
      <c r="N182" s="14"/>
      <c r="O182" s="16"/>
      <c r="P182" s="37"/>
      <c r="Q182" s="37"/>
      <c r="R182" s="16"/>
      <c r="S182" s="37"/>
      <c r="T182" s="38"/>
      <c r="U182" s="38" t="b">
        <f t="shared" si="13"/>
        <v>0</v>
      </c>
      <c r="V182" s="38" t="s">
        <v>33</v>
      </c>
      <c r="W182" s="40"/>
      <c r="X182" s="40"/>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row>
    <row r="183">
      <c r="A183" s="87" t="s">
        <v>9929</v>
      </c>
      <c r="B183" s="322"/>
      <c r="C183" s="99">
        <v>43537.0</v>
      </c>
      <c r="D183" s="144"/>
      <c r="E183" s="37" t="s">
        <v>41</v>
      </c>
      <c r="F183" s="37">
        <v>1.0</v>
      </c>
      <c r="G183" s="37">
        <v>2.0</v>
      </c>
      <c r="H183" s="50">
        <v>2.0</v>
      </c>
      <c r="I183" s="37" t="s">
        <v>33</v>
      </c>
      <c r="J183" s="37" t="s">
        <v>193</v>
      </c>
      <c r="K183" s="37"/>
      <c r="L183" s="344" t="s">
        <v>6497</v>
      </c>
      <c r="M183" s="46" t="s">
        <v>9930</v>
      </c>
      <c r="N183" s="14"/>
      <c r="O183" s="16"/>
      <c r="P183" s="16"/>
      <c r="Q183" s="37"/>
      <c r="R183" s="16"/>
      <c r="S183" s="37"/>
      <c r="T183" s="38"/>
      <c r="U183" s="38" t="b">
        <f t="shared" si="13"/>
        <v>0</v>
      </c>
      <c r="V183" s="38" t="s">
        <v>33</v>
      </c>
      <c r="W183" s="40"/>
      <c r="X183" s="40"/>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row>
    <row r="184">
      <c r="A184" s="344" t="s">
        <v>9931</v>
      </c>
      <c r="B184" s="322"/>
      <c r="C184" s="99">
        <v>43543.0</v>
      </c>
      <c r="D184" s="144"/>
      <c r="E184" s="37" t="s">
        <v>41</v>
      </c>
      <c r="F184" s="37">
        <v>1.0</v>
      </c>
      <c r="G184" s="37">
        <v>1.0</v>
      </c>
      <c r="H184" s="50">
        <v>1.0</v>
      </c>
      <c r="I184" s="37" t="s">
        <v>33</v>
      </c>
      <c r="J184" s="37" t="s">
        <v>343</v>
      </c>
      <c r="K184" s="37"/>
      <c r="L184" s="344" t="s">
        <v>9433</v>
      </c>
      <c r="M184" s="46" t="s">
        <v>9932</v>
      </c>
      <c r="N184" s="14"/>
      <c r="O184" s="57" t="str">
        <f>hyperlink("https://bad-boys.us/?q=SD-WV/2:19-cr-00075", "SD-WV 2:19-cr-00075")</f>
        <v>SD-WV 2:19-cr-00075</v>
      </c>
      <c r="P184" s="86" t="s">
        <v>9933</v>
      </c>
      <c r="Q184" s="37">
        <v>1.0</v>
      </c>
      <c r="R184" s="16"/>
      <c r="S184" s="37"/>
      <c r="T184" s="38"/>
      <c r="U184" s="38" t="b">
        <f t="shared" si="13"/>
        <v>0</v>
      </c>
      <c r="V184" s="38" t="s">
        <v>33</v>
      </c>
      <c r="W184" s="40"/>
      <c r="X184" s="40"/>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row>
    <row r="185">
      <c r="A185" s="344" t="s">
        <v>9934</v>
      </c>
      <c r="B185" s="322"/>
      <c r="C185" s="99">
        <v>43543.0</v>
      </c>
      <c r="D185" s="144"/>
      <c r="E185" s="37" t="s">
        <v>41</v>
      </c>
      <c r="F185" s="37">
        <v>1.0</v>
      </c>
      <c r="G185" s="37">
        <v>1.0</v>
      </c>
      <c r="H185" s="50">
        <v>1.0</v>
      </c>
      <c r="I185" s="37" t="s">
        <v>33</v>
      </c>
      <c r="J185" s="37" t="s">
        <v>228</v>
      </c>
      <c r="K185" s="37"/>
      <c r="L185" s="344" t="s">
        <v>6497</v>
      </c>
      <c r="M185" s="103" t="s">
        <v>9935</v>
      </c>
      <c r="N185" s="14"/>
      <c r="O185" s="16"/>
      <c r="P185" s="16"/>
      <c r="Q185" s="37"/>
      <c r="R185" s="16"/>
      <c r="S185" s="37"/>
      <c r="T185" s="38"/>
      <c r="U185" s="38" t="b">
        <f t="shared" si="13"/>
        <v>0</v>
      </c>
      <c r="V185" s="38" t="s">
        <v>33</v>
      </c>
      <c r="W185" s="40"/>
      <c r="X185" s="40"/>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row>
    <row r="186">
      <c r="A186" s="87" t="s">
        <v>9936</v>
      </c>
      <c r="C186" s="99">
        <v>43543.0</v>
      </c>
      <c r="E186" s="78" t="s">
        <v>41</v>
      </c>
      <c r="F186" s="37">
        <v>1.0</v>
      </c>
      <c r="G186" s="37" t="s">
        <v>32</v>
      </c>
      <c r="H186" s="78">
        <v>1.0</v>
      </c>
      <c r="I186" s="78" t="s">
        <v>33</v>
      </c>
      <c r="J186" s="78" t="s">
        <v>3531</v>
      </c>
      <c r="L186" s="78" t="s">
        <v>9904</v>
      </c>
      <c r="M186" s="46" t="s">
        <v>9937</v>
      </c>
      <c r="N186" s="106"/>
      <c r="P186" s="78"/>
      <c r="Q186" s="37"/>
      <c r="U186" s="38"/>
      <c r="V186" s="78" t="s">
        <v>1488</v>
      </c>
      <c r="W186" s="106"/>
      <c r="X186" s="106"/>
    </row>
    <row r="187">
      <c r="A187" s="87" t="s">
        <v>9938</v>
      </c>
      <c r="C187" s="99">
        <v>43544.0</v>
      </c>
      <c r="E187" s="78" t="s">
        <v>31</v>
      </c>
      <c r="F187" s="37">
        <v>1.0</v>
      </c>
      <c r="G187" s="37">
        <v>3.0</v>
      </c>
      <c r="H187" s="78">
        <v>3.0</v>
      </c>
      <c r="I187" s="78" t="s">
        <v>33</v>
      </c>
      <c r="J187" s="78" t="s">
        <v>147</v>
      </c>
      <c r="L187" s="78" t="s">
        <v>9366</v>
      </c>
      <c r="M187" s="46" t="s">
        <v>9939</v>
      </c>
      <c r="N187" s="46" t="s">
        <v>9940</v>
      </c>
      <c r="P187" s="78"/>
      <c r="Q187" s="37"/>
      <c r="U187" s="38" t="b">
        <f t="shared" ref="U187:U189" si="14">countif(A$5:A3006, A187)&gt;1</f>
        <v>0</v>
      </c>
      <c r="V187" s="78" t="s">
        <v>33</v>
      </c>
      <c r="W187" s="46" t="s">
        <v>9941</v>
      </c>
      <c r="X187" s="46" t="s">
        <v>9942</v>
      </c>
    </row>
    <row r="188">
      <c r="A188" s="87" t="s">
        <v>9943</v>
      </c>
      <c r="C188" s="99">
        <v>43546.0</v>
      </c>
      <c r="E188" s="78" t="s">
        <v>41</v>
      </c>
      <c r="F188" s="37">
        <v>1.0</v>
      </c>
      <c r="G188" s="37" t="s">
        <v>32</v>
      </c>
      <c r="H188" s="78">
        <v>1.0</v>
      </c>
      <c r="I188" s="78" t="s">
        <v>33</v>
      </c>
      <c r="J188" s="78" t="s">
        <v>147</v>
      </c>
      <c r="L188" s="78" t="s">
        <v>9904</v>
      </c>
      <c r="M188" s="46" t="s">
        <v>9944</v>
      </c>
      <c r="N188" s="106"/>
      <c r="P188" s="78"/>
      <c r="Q188" s="37"/>
      <c r="U188" s="38" t="b">
        <f t="shared" si="14"/>
        <v>0</v>
      </c>
      <c r="V188" s="78" t="s">
        <v>33</v>
      </c>
      <c r="W188" s="106"/>
      <c r="X188" s="106"/>
    </row>
    <row r="189">
      <c r="A189" s="87" t="s">
        <v>9945</v>
      </c>
      <c r="C189" s="99">
        <v>43548.0</v>
      </c>
      <c r="E189" s="78" t="s">
        <v>41</v>
      </c>
      <c r="F189" s="37">
        <v>1.0</v>
      </c>
      <c r="G189" s="37" t="s">
        <v>32</v>
      </c>
      <c r="H189" s="78">
        <v>1.0</v>
      </c>
      <c r="I189" s="78" t="s">
        <v>33</v>
      </c>
      <c r="J189" s="78" t="s">
        <v>3531</v>
      </c>
      <c r="L189" s="78" t="s">
        <v>9904</v>
      </c>
      <c r="M189" s="106" t="s">
        <v>9946</v>
      </c>
      <c r="N189" s="106"/>
      <c r="P189" s="78"/>
      <c r="Q189" s="37"/>
      <c r="U189" s="38" t="b">
        <f t="shared" si="14"/>
        <v>0</v>
      </c>
      <c r="V189" s="78" t="s">
        <v>33</v>
      </c>
      <c r="W189" s="106"/>
      <c r="X189" s="106"/>
    </row>
    <row r="190">
      <c r="A190" s="87" t="s">
        <v>9947</v>
      </c>
      <c r="C190" s="99">
        <v>43549.0</v>
      </c>
      <c r="E190" s="78" t="s">
        <v>41</v>
      </c>
      <c r="F190" s="37">
        <v>1.0</v>
      </c>
      <c r="G190" s="37" t="s">
        <v>32</v>
      </c>
      <c r="H190" s="78">
        <v>1.0</v>
      </c>
      <c r="I190" s="78" t="s">
        <v>33</v>
      </c>
      <c r="J190" s="78" t="s">
        <v>3531</v>
      </c>
      <c r="L190" s="78" t="s">
        <v>9904</v>
      </c>
      <c r="M190" s="106" t="s">
        <v>9948</v>
      </c>
      <c r="N190" s="106"/>
      <c r="P190" s="78"/>
      <c r="Q190" s="37"/>
      <c r="U190" s="38"/>
      <c r="V190" s="78" t="s">
        <v>33</v>
      </c>
      <c r="W190" s="106"/>
      <c r="X190" s="106"/>
    </row>
    <row r="191">
      <c r="A191" s="87" t="s">
        <v>9949</v>
      </c>
      <c r="C191" s="99">
        <v>43556.0</v>
      </c>
      <c r="E191" s="78" t="s">
        <v>41</v>
      </c>
      <c r="F191" s="37">
        <v>1.0</v>
      </c>
      <c r="G191" s="37" t="s">
        <v>32</v>
      </c>
      <c r="H191" s="78">
        <v>1.0</v>
      </c>
      <c r="I191" s="78" t="s">
        <v>33</v>
      </c>
      <c r="J191" s="78" t="s">
        <v>909</v>
      </c>
      <c r="L191" s="78" t="s">
        <v>7593</v>
      </c>
      <c r="M191" s="46" t="s">
        <v>9950</v>
      </c>
      <c r="N191" s="106"/>
      <c r="O191" s="160" t="str">
        <f>hyperlink("https://bad-boys.us/?q=D-RI/1:19-cr-00043", "D-RI 1:19-cr-00043")</f>
        <v>D-RI 1:19-cr-00043</v>
      </c>
      <c r="P191" s="103" t="s">
        <v>9951</v>
      </c>
      <c r="Q191" s="37">
        <v>1.0</v>
      </c>
      <c r="U191" s="38" t="b">
        <f t="shared" ref="U191:U197" si="15">countif(A$5:A3006, A191)&gt;1</f>
        <v>0</v>
      </c>
      <c r="V191" s="78" t="s">
        <v>33</v>
      </c>
      <c r="W191" s="106"/>
      <c r="X191" s="106"/>
    </row>
    <row r="192">
      <c r="A192" s="191" t="s">
        <v>9952</v>
      </c>
      <c r="C192" s="99">
        <v>43558.0</v>
      </c>
      <c r="E192" s="78" t="s">
        <v>31</v>
      </c>
      <c r="F192" s="37">
        <v>1.0</v>
      </c>
      <c r="G192" s="37">
        <v>1.0</v>
      </c>
      <c r="H192" s="78">
        <v>1.0</v>
      </c>
      <c r="I192" s="78" t="s">
        <v>33</v>
      </c>
      <c r="J192" s="78" t="s">
        <v>228</v>
      </c>
      <c r="L192" s="78" t="s">
        <v>9904</v>
      </c>
      <c r="M192" s="46" t="s">
        <v>6542</v>
      </c>
      <c r="N192" s="46" t="s">
        <v>9953</v>
      </c>
      <c r="Q192" s="37"/>
      <c r="U192" s="38" t="b">
        <f t="shared" si="15"/>
        <v>0</v>
      </c>
      <c r="V192" s="78" t="s">
        <v>33</v>
      </c>
      <c r="W192" s="46" t="s">
        <v>9954</v>
      </c>
      <c r="X192" s="46" t="s">
        <v>9955</v>
      </c>
    </row>
    <row r="193">
      <c r="A193" s="191" t="s">
        <v>9956</v>
      </c>
      <c r="C193" s="99">
        <v>43556.0</v>
      </c>
      <c r="E193" s="78" t="s">
        <v>41</v>
      </c>
      <c r="F193" s="37">
        <v>1.0</v>
      </c>
      <c r="G193" s="37">
        <v>1.0</v>
      </c>
      <c r="H193" s="78">
        <v>1.0</v>
      </c>
      <c r="I193" s="78" t="s">
        <v>33</v>
      </c>
      <c r="J193" s="78" t="s">
        <v>144</v>
      </c>
      <c r="L193" s="78" t="s">
        <v>6497</v>
      </c>
      <c r="M193" s="46" t="s">
        <v>9957</v>
      </c>
      <c r="N193" s="106"/>
      <c r="O193" s="160" t="str">
        <f>hyperlink("https://bad-boys.us/?q=D-MT/4:19-cr-00026", "D-MT 4:19-cr-00026")</f>
        <v>D-MT 4:19-cr-00026</v>
      </c>
      <c r="Q193" s="37">
        <v>1.0</v>
      </c>
      <c r="U193" s="38" t="b">
        <f t="shared" si="15"/>
        <v>0</v>
      </c>
      <c r="V193" s="78" t="s">
        <v>33</v>
      </c>
      <c r="W193" s="106"/>
      <c r="X193" s="288"/>
    </row>
    <row r="194">
      <c r="A194" s="87" t="s">
        <v>9958</v>
      </c>
      <c r="B194" s="323"/>
      <c r="C194" s="30">
        <v>43558.0</v>
      </c>
      <c r="D194" s="32"/>
      <c r="E194" s="13" t="s">
        <v>41</v>
      </c>
      <c r="F194" s="13">
        <v>1.0</v>
      </c>
      <c r="G194" s="13" t="s">
        <v>32</v>
      </c>
      <c r="H194" s="50">
        <v>1.0</v>
      </c>
      <c r="I194" s="13" t="s">
        <v>33</v>
      </c>
      <c r="J194" s="13" t="s">
        <v>147</v>
      </c>
      <c r="K194" s="13"/>
      <c r="L194" s="34" t="s">
        <v>9366</v>
      </c>
      <c r="M194" s="46" t="s">
        <v>9959</v>
      </c>
      <c r="N194" s="106"/>
      <c r="O194" s="16"/>
      <c r="P194" s="37"/>
      <c r="Q194" s="37"/>
      <c r="R194" s="37"/>
      <c r="S194" s="37"/>
      <c r="T194" s="38"/>
      <c r="U194" s="38" t="b">
        <f t="shared" si="15"/>
        <v>0</v>
      </c>
      <c r="V194" s="38" t="s">
        <v>33</v>
      </c>
      <c r="W194" s="40"/>
      <c r="X194" s="40"/>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row>
    <row r="195">
      <c r="A195" s="87" t="s">
        <v>9960</v>
      </c>
      <c r="B195" s="323"/>
      <c r="C195" s="30">
        <v>43559.0</v>
      </c>
      <c r="D195" s="32"/>
      <c r="E195" s="13" t="s">
        <v>41</v>
      </c>
      <c r="F195" s="13">
        <v>1.0</v>
      </c>
      <c r="G195" s="13" t="s">
        <v>32</v>
      </c>
      <c r="H195" s="50">
        <v>1.0</v>
      </c>
      <c r="I195" s="13" t="s">
        <v>33</v>
      </c>
      <c r="J195" s="13" t="s">
        <v>147</v>
      </c>
      <c r="K195" s="13"/>
      <c r="L195" s="34" t="s">
        <v>6497</v>
      </c>
      <c r="M195" s="46" t="s">
        <v>9961</v>
      </c>
      <c r="N195" s="106"/>
      <c r="O195" s="16"/>
      <c r="P195" s="37"/>
      <c r="Q195" s="37"/>
      <c r="R195" s="37"/>
      <c r="S195" s="37"/>
      <c r="T195" s="38"/>
      <c r="U195" s="38" t="b">
        <f t="shared" si="15"/>
        <v>0</v>
      </c>
      <c r="V195" s="38" t="s">
        <v>33</v>
      </c>
      <c r="W195" s="40"/>
      <c r="X195" s="40"/>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row>
    <row r="196">
      <c r="A196" s="87" t="s">
        <v>9962</v>
      </c>
      <c r="B196" s="327"/>
      <c r="C196" s="30">
        <v>43564.0</v>
      </c>
      <c r="D196" s="93"/>
      <c r="E196" s="13" t="s">
        <v>41</v>
      </c>
      <c r="F196" s="13">
        <v>1.0</v>
      </c>
      <c r="G196" s="13">
        <v>1.0</v>
      </c>
      <c r="H196" s="50">
        <v>1.0</v>
      </c>
      <c r="I196" s="13" t="s">
        <v>33</v>
      </c>
      <c r="J196" s="13" t="s">
        <v>85</v>
      </c>
      <c r="K196" s="94"/>
      <c r="L196" s="34" t="s">
        <v>4960</v>
      </c>
      <c r="M196" s="106" t="s">
        <v>6715</v>
      </c>
      <c r="N196" s="288"/>
      <c r="O196" s="16"/>
      <c r="P196" s="91"/>
      <c r="Q196" s="37"/>
      <c r="R196" s="91"/>
      <c r="S196" s="91"/>
      <c r="T196" s="96"/>
      <c r="U196" s="38" t="b">
        <f t="shared" si="15"/>
        <v>0</v>
      </c>
      <c r="V196" s="38" t="s">
        <v>33</v>
      </c>
      <c r="W196" s="40"/>
      <c r="X196" s="40"/>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c r="BM196" s="96"/>
      <c r="BN196" s="96"/>
      <c r="BO196" s="96"/>
      <c r="BP196" s="96"/>
      <c r="BQ196" s="96"/>
    </row>
    <row r="197">
      <c r="A197" s="87" t="s">
        <v>9963</v>
      </c>
      <c r="B197" s="323"/>
      <c r="C197" s="30">
        <v>43571.0</v>
      </c>
      <c r="D197" s="32"/>
      <c r="E197" s="13" t="s">
        <v>41</v>
      </c>
      <c r="F197" s="13">
        <v>1.0</v>
      </c>
      <c r="G197" s="13" t="s">
        <v>32</v>
      </c>
      <c r="H197" s="50">
        <v>1.0</v>
      </c>
      <c r="I197" s="13" t="s">
        <v>33</v>
      </c>
      <c r="J197" s="13" t="s">
        <v>279</v>
      </c>
      <c r="K197" s="13"/>
      <c r="L197" s="34" t="s">
        <v>9433</v>
      </c>
      <c r="M197" s="106" t="s">
        <v>9964</v>
      </c>
      <c r="N197" s="106"/>
      <c r="O197" s="57" t="str">
        <f>hyperlink("https://bad-boys.us/?q=SD-IL/3:19-cr-30049", "SD-IL 3:19-cr-30049")</f>
        <v>SD-IL 3:19-cr-30049</v>
      </c>
      <c r="P197" s="86" t="s">
        <v>9965</v>
      </c>
      <c r="Q197" s="37">
        <v>1.0</v>
      </c>
      <c r="R197" s="37"/>
      <c r="S197" s="37"/>
      <c r="T197" s="38"/>
      <c r="U197" s="38" t="b">
        <f t="shared" si="15"/>
        <v>0</v>
      </c>
      <c r="V197" s="38" t="s">
        <v>33</v>
      </c>
      <c r="W197" s="40"/>
      <c r="X197" s="40"/>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row>
    <row r="198">
      <c r="A198" s="87" t="s">
        <v>9966</v>
      </c>
      <c r="B198" s="323"/>
      <c r="C198" s="30">
        <v>43573.0</v>
      </c>
      <c r="D198" s="32"/>
      <c r="E198" s="13" t="s">
        <v>41</v>
      </c>
      <c r="F198" s="13">
        <v>1.0</v>
      </c>
      <c r="G198" s="13">
        <v>1.0</v>
      </c>
      <c r="H198" s="50">
        <v>1.0</v>
      </c>
      <c r="I198" s="13" t="s">
        <v>33</v>
      </c>
      <c r="J198" s="13" t="s">
        <v>402</v>
      </c>
      <c r="K198" s="13"/>
      <c r="L198" s="34" t="s">
        <v>9433</v>
      </c>
      <c r="M198" s="46" t="s">
        <v>9967</v>
      </c>
      <c r="N198" s="106"/>
      <c r="O198" s="16"/>
      <c r="P198" s="37"/>
      <c r="Q198" s="37">
        <v>1.0</v>
      </c>
      <c r="R198" s="37"/>
      <c r="S198" s="37"/>
      <c r="T198" s="38"/>
      <c r="U198" s="38"/>
      <c r="V198" s="38" t="s">
        <v>33</v>
      </c>
      <c r="W198" s="40"/>
      <c r="X198" s="40"/>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row>
    <row r="199">
      <c r="A199" s="87" t="s">
        <v>9968</v>
      </c>
      <c r="B199" s="323"/>
      <c r="C199" s="30">
        <v>43573.0</v>
      </c>
      <c r="D199" s="32"/>
      <c r="E199" s="13" t="s">
        <v>41</v>
      </c>
      <c r="F199" s="13">
        <v>1.0</v>
      </c>
      <c r="G199" s="13" t="s">
        <v>32</v>
      </c>
      <c r="H199" s="50">
        <v>1.0</v>
      </c>
      <c r="I199" s="13" t="s">
        <v>33</v>
      </c>
      <c r="J199" s="13" t="s">
        <v>61</v>
      </c>
      <c r="K199" s="13"/>
      <c r="L199" s="34" t="s">
        <v>9969</v>
      </c>
      <c r="M199" s="106" t="s">
        <v>9970</v>
      </c>
      <c r="N199" s="106"/>
      <c r="O199" s="16"/>
      <c r="P199" s="37"/>
      <c r="Q199" s="37"/>
      <c r="R199" s="37"/>
      <c r="S199" s="37"/>
      <c r="T199" s="38"/>
      <c r="U199" s="38" t="b">
        <f t="shared" ref="U199:U202" si="16">countif(A$5:A3006, A199)&gt;1</f>
        <v>0</v>
      </c>
      <c r="V199" s="38" t="s">
        <v>33</v>
      </c>
      <c r="W199" s="40"/>
      <c r="X199" s="40"/>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row>
    <row r="200">
      <c r="A200" s="87" t="s">
        <v>9971</v>
      </c>
      <c r="B200" s="323"/>
      <c r="C200" s="32" t="s">
        <v>9972</v>
      </c>
      <c r="D200" s="32"/>
      <c r="E200" s="13" t="s">
        <v>41</v>
      </c>
      <c r="F200" s="13">
        <v>1.0</v>
      </c>
      <c r="G200" s="13">
        <v>1.0</v>
      </c>
      <c r="H200" s="50">
        <v>1.0</v>
      </c>
      <c r="I200" s="13" t="s">
        <v>33</v>
      </c>
      <c r="J200" s="13" t="s">
        <v>115</v>
      </c>
      <c r="K200" s="13"/>
      <c r="L200" s="34" t="s">
        <v>4960</v>
      </c>
      <c r="M200" s="46" t="s">
        <v>9973</v>
      </c>
      <c r="N200" s="106"/>
      <c r="O200" s="57" t="str">
        <f>hyperlink("https://bad-boys.us/?q=WD-PA/2:19-mj-00911", "WD-PA 2:19-mj-00911")</f>
        <v>WD-PA 2:19-mj-00911</v>
      </c>
      <c r="P200" s="86" t="s">
        <v>9974</v>
      </c>
      <c r="Q200" s="37">
        <v>1.0</v>
      </c>
      <c r="R200" s="37"/>
      <c r="S200" s="37"/>
      <c r="T200" s="38"/>
      <c r="U200" s="38" t="b">
        <f t="shared" si="16"/>
        <v>0</v>
      </c>
      <c r="V200" s="38" t="s">
        <v>33</v>
      </c>
      <c r="W200" s="40"/>
      <c r="X200" s="40"/>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row>
    <row r="201">
      <c r="A201" s="87" t="s">
        <v>9975</v>
      </c>
      <c r="B201" s="323"/>
      <c r="C201" s="32" t="s">
        <v>9972</v>
      </c>
      <c r="D201" s="32"/>
      <c r="E201" s="13" t="s">
        <v>41</v>
      </c>
      <c r="F201" s="13">
        <v>1.0</v>
      </c>
      <c r="G201" s="13">
        <v>1.0</v>
      </c>
      <c r="H201" s="50">
        <v>1.0</v>
      </c>
      <c r="I201" s="13" t="s">
        <v>33</v>
      </c>
      <c r="J201" s="13" t="s">
        <v>115</v>
      </c>
      <c r="K201" s="13"/>
      <c r="L201" s="34" t="s">
        <v>4960</v>
      </c>
      <c r="M201" s="106" t="s">
        <v>9976</v>
      </c>
      <c r="N201" s="106"/>
      <c r="O201" s="16"/>
      <c r="P201" s="37"/>
      <c r="Q201" s="37"/>
      <c r="R201" s="37"/>
      <c r="S201" s="37"/>
      <c r="T201" s="38"/>
      <c r="U201" s="38" t="b">
        <f t="shared" si="16"/>
        <v>0</v>
      </c>
      <c r="V201" s="38" t="s">
        <v>33</v>
      </c>
      <c r="W201" s="40"/>
      <c r="X201" s="40"/>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row>
    <row r="202">
      <c r="A202" s="87" t="s">
        <v>9977</v>
      </c>
      <c r="B202" s="323"/>
      <c r="C202" s="32" t="s">
        <v>9972</v>
      </c>
      <c r="D202" s="32"/>
      <c r="E202" s="13" t="s">
        <v>41</v>
      </c>
      <c r="F202" s="13">
        <v>1.0</v>
      </c>
      <c r="G202" s="13">
        <v>1.0</v>
      </c>
      <c r="H202" s="50">
        <v>1.0</v>
      </c>
      <c r="I202" s="13" t="s">
        <v>33</v>
      </c>
      <c r="J202" s="13" t="s">
        <v>140</v>
      </c>
      <c r="K202" s="13"/>
      <c r="L202" s="34" t="s">
        <v>9439</v>
      </c>
      <c r="M202" s="46" t="s">
        <v>9978</v>
      </c>
      <c r="N202" s="106"/>
      <c r="O202" s="57" t="str">
        <f>hyperlink("https://bad-boys.us/?q=D-ME/2:19-cr-00078", "D-ME 2:19-cr-00078")</f>
        <v>D-ME 2:19-cr-00078</v>
      </c>
      <c r="P202" s="86" t="s">
        <v>9979</v>
      </c>
      <c r="Q202" s="37">
        <v>1.0</v>
      </c>
      <c r="R202" s="37"/>
      <c r="S202" s="37"/>
      <c r="T202" s="38"/>
      <c r="U202" s="38" t="b">
        <f t="shared" si="16"/>
        <v>0</v>
      </c>
      <c r="V202" s="38" t="s">
        <v>33</v>
      </c>
      <c r="W202" s="40"/>
      <c r="X202" s="40"/>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row>
    <row r="203">
      <c r="A203" s="87" t="s">
        <v>9980</v>
      </c>
      <c r="B203" s="323"/>
      <c r="C203" s="30">
        <v>43591.0</v>
      </c>
      <c r="D203" s="32"/>
      <c r="E203" s="13" t="s">
        <v>41</v>
      </c>
      <c r="F203" s="13">
        <v>1.0</v>
      </c>
      <c r="G203" s="13">
        <v>6.0</v>
      </c>
      <c r="H203" s="50">
        <v>6.0</v>
      </c>
      <c r="I203" s="13" t="s">
        <v>33</v>
      </c>
      <c r="J203" s="13" t="s">
        <v>652</v>
      </c>
      <c r="K203" s="13"/>
      <c r="L203" s="34" t="s">
        <v>9396</v>
      </c>
      <c r="M203" s="46" t="s">
        <v>9981</v>
      </c>
      <c r="N203" s="106"/>
      <c r="O203" s="16"/>
      <c r="P203" s="37"/>
      <c r="Q203" s="37"/>
      <c r="R203" s="37"/>
      <c r="S203" s="37"/>
      <c r="T203" s="38"/>
      <c r="U203" s="38"/>
      <c r="V203" s="38" t="s">
        <v>33</v>
      </c>
      <c r="W203" s="40"/>
      <c r="X203" s="40"/>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row>
    <row r="204">
      <c r="A204" s="87" t="s">
        <v>9982</v>
      </c>
      <c r="B204" s="323"/>
      <c r="C204" s="30">
        <v>43593.0</v>
      </c>
      <c r="D204" s="32"/>
      <c r="E204" s="13" t="s">
        <v>41</v>
      </c>
      <c r="F204" s="13">
        <v>1.0</v>
      </c>
      <c r="G204" s="13" t="s">
        <v>32</v>
      </c>
      <c r="H204" s="50">
        <v>1.0</v>
      </c>
      <c r="I204" s="13" t="s">
        <v>33</v>
      </c>
      <c r="J204" s="13" t="s">
        <v>147</v>
      </c>
      <c r="K204" s="13"/>
      <c r="L204" s="34" t="s">
        <v>9904</v>
      </c>
      <c r="M204" s="46" t="s">
        <v>9983</v>
      </c>
      <c r="N204" s="106"/>
      <c r="O204" s="57" t="str">
        <f>hyperlink("https://bad-boys.us/?q=ED-TX/4:19-cr-00117", "ED-TX 4:19-cr-00117")</f>
        <v>ED-TX 4:19-cr-00117</v>
      </c>
      <c r="P204" s="86" t="s">
        <v>9984</v>
      </c>
      <c r="Q204" s="37">
        <v>1.0</v>
      </c>
      <c r="R204" s="37"/>
      <c r="S204" s="37"/>
      <c r="T204" s="38"/>
      <c r="U204" s="38" t="b">
        <f t="shared" ref="U204:U208" si="17">countif(A$5:A3006, A204)&gt;1</f>
        <v>0</v>
      </c>
      <c r="V204" s="38"/>
      <c r="W204" s="40"/>
      <c r="X204" s="40"/>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row>
    <row r="205">
      <c r="A205" s="87" t="s">
        <v>9985</v>
      </c>
      <c r="B205" s="323"/>
      <c r="C205" s="30">
        <v>43593.0</v>
      </c>
      <c r="D205" s="32"/>
      <c r="E205" s="13" t="s">
        <v>41</v>
      </c>
      <c r="F205" s="13">
        <v>1.0</v>
      </c>
      <c r="G205" s="13">
        <v>1.0</v>
      </c>
      <c r="H205" s="50">
        <v>1.0</v>
      </c>
      <c r="I205" s="13" t="s">
        <v>33</v>
      </c>
      <c r="J205" s="13" t="s">
        <v>268</v>
      </c>
      <c r="K205" s="13"/>
      <c r="L205" s="34" t="s">
        <v>4960</v>
      </c>
      <c r="M205" s="106" t="s">
        <v>9986</v>
      </c>
      <c r="N205" s="106"/>
      <c r="O205" s="57" t="str">
        <f>hyperlink("https://bad-boys.us/?q=ND-OK/4:19-cr-00083", "ND-OK 4:19-cr-00083")</f>
        <v>ND-OK 4:19-cr-00083</v>
      </c>
      <c r="P205" s="37"/>
      <c r="Q205" s="37">
        <v>1.0</v>
      </c>
      <c r="R205" s="37"/>
      <c r="S205" s="37"/>
      <c r="T205" s="38"/>
      <c r="U205" s="38" t="b">
        <f t="shared" si="17"/>
        <v>0</v>
      </c>
      <c r="V205" s="38" t="s">
        <v>33</v>
      </c>
      <c r="W205" s="40"/>
      <c r="X205" s="40"/>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row>
    <row r="206">
      <c r="A206" s="87" t="s">
        <v>9987</v>
      </c>
      <c r="B206" s="323"/>
      <c r="C206" s="30">
        <v>43593.0</v>
      </c>
      <c r="D206" s="32"/>
      <c r="E206" s="13" t="s">
        <v>41</v>
      </c>
      <c r="F206" s="13">
        <v>1.0</v>
      </c>
      <c r="G206" s="13">
        <v>1.0</v>
      </c>
      <c r="H206" s="50">
        <v>1.0</v>
      </c>
      <c r="I206" s="13" t="s">
        <v>33</v>
      </c>
      <c r="J206" s="13" t="s">
        <v>268</v>
      </c>
      <c r="K206" s="13"/>
      <c r="L206" s="34" t="s">
        <v>4960</v>
      </c>
      <c r="M206" s="46" t="s">
        <v>9986</v>
      </c>
      <c r="N206" s="106"/>
      <c r="O206" s="57" t="str">
        <f>hyperlink("https://bad-boys.us/?q=ND-OK/4:19-cr-00083", "ND-OK 4:19-cr-00083 ❓")</f>
        <v>ND-OK 4:19-cr-00083 ❓</v>
      </c>
      <c r="P206" s="37"/>
      <c r="Q206" s="37">
        <v>1.0</v>
      </c>
      <c r="R206" s="37"/>
      <c r="S206" s="37"/>
      <c r="T206" s="38"/>
      <c r="U206" s="38" t="b">
        <f t="shared" si="17"/>
        <v>0</v>
      </c>
      <c r="V206" s="38" t="s">
        <v>33</v>
      </c>
      <c r="W206" s="40"/>
      <c r="X206" s="40"/>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row>
    <row r="207">
      <c r="A207" s="87" t="s">
        <v>9988</v>
      </c>
      <c r="B207" s="323"/>
      <c r="C207" s="30">
        <v>43594.0</v>
      </c>
      <c r="D207" s="32"/>
      <c r="E207" s="13" t="s">
        <v>41</v>
      </c>
      <c r="F207" s="13">
        <v>1.0</v>
      </c>
      <c r="G207" s="13" t="s">
        <v>32</v>
      </c>
      <c r="H207" s="50">
        <v>1.0</v>
      </c>
      <c r="I207" s="13" t="s">
        <v>33</v>
      </c>
      <c r="J207" s="13" t="s">
        <v>433</v>
      </c>
      <c r="K207" s="13"/>
      <c r="L207" s="34" t="s">
        <v>6750</v>
      </c>
      <c r="M207" s="46" t="s">
        <v>9989</v>
      </c>
      <c r="N207" s="106"/>
      <c r="O207" s="16"/>
      <c r="P207" s="37"/>
      <c r="Q207" s="37"/>
      <c r="R207" s="37"/>
      <c r="S207" s="37"/>
      <c r="T207" s="38"/>
      <c r="U207" s="38" t="b">
        <f t="shared" si="17"/>
        <v>0</v>
      </c>
      <c r="V207" s="38" t="s">
        <v>33</v>
      </c>
      <c r="W207" s="40"/>
      <c r="X207" s="40"/>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row>
    <row r="208">
      <c r="A208" s="87" t="s">
        <v>9990</v>
      </c>
      <c r="B208" s="327"/>
      <c r="C208" s="30">
        <v>43595.0</v>
      </c>
      <c r="D208" s="93"/>
      <c r="E208" s="13" t="s">
        <v>41</v>
      </c>
      <c r="F208" s="13">
        <v>1.0</v>
      </c>
      <c r="G208" s="13" t="s">
        <v>32</v>
      </c>
      <c r="H208" s="50">
        <v>1.0</v>
      </c>
      <c r="I208" s="13" t="s">
        <v>33</v>
      </c>
      <c r="J208" s="13" t="s">
        <v>68</v>
      </c>
      <c r="K208" s="94"/>
      <c r="L208" s="34" t="s">
        <v>9991</v>
      </c>
      <c r="M208" s="46" t="s">
        <v>9992</v>
      </c>
      <c r="N208" s="106"/>
      <c r="O208" s="16"/>
      <c r="P208" s="37"/>
      <c r="Q208" s="37"/>
      <c r="R208" s="91"/>
      <c r="S208" s="91"/>
      <c r="T208" s="96"/>
      <c r="U208" s="38" t="b">
        <f t="shared" si="17"/>
        <v>0</v>
      </c>
      <c r="V208" s="38" t="s">
        <v>33</v>
      </c>
      <c r="W208" s="40"/>
      <c r="X208" s="40"/>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c r="BM208" s="96"/>
      <c r="BN208" s="96"/>
      <c r="BO208" s="96"/>
      <c r="BP208" s="96"/>
      <c r="BQ208" s="96"/>
    </row>
    <row r="209">
      <c r="A209" s="87" t="s">
        <v>9993</v>
      </c>
      <c r="B209" s="327"/>
      <c r="C209" s="30">
        <v>43599.0</v>
      </c>
      <c r="D209" s="93"/>
      <c r="E209" s="13" t="s">
        <v>41</v>
      </c>
      <c r="F209" s="13">
        <v>1.0</v>
      </c>
      <c r="G209" s="13">
        <v>1.0</v>
      </c>
      <c r="H209" s="50">
        <v>1.0</v>
      </c>
      <c r="I209" s="13" t="s">
        <v>33</v>
      </c>
      <c r="J209" s="13" t="s">
        <v>203</v>
      </c>
      <c r="K209" s="94"/>
      <c r="L209" s="34" t="s">
        <v>9396</v>
      </c>
      <c r="M209" s="46" t="s">
        <v>9994</v>
      </c>
      <c r="N209" s="106"/>
      <c r="O209" s="16"/>
      <c r="P209" s="37"/>
      <c r="Q209" s="37"/>
      <c r="R209" s="91"/>
      <c r="S209" s="91"/>
      <c r="T209" s="96"/>
      <c r="U209" s="38"/>
      <c r="V209" s="38" t="s">
        <v>33</v>
      </c>
      <c r="W209" s="40"/>
      <c r="X209" s="40"/>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row>
    <row r="210">
      <c r="A210" s="87" t="s">
        <v>9995</v>
      </c>
      <c r="B210" s="327"/>
      <c r="C210" s="30">
        <v>43601.0</v>
      </c>
      <c r="D210" s="93"/>
      <c r="E210" s="13" t="s">
        <v>41</v>
      </c>
      <c r="F210" s="13">
        <v>1.0</v>
      </c>
      <c r="G210" s="13">
        <v>1.0</v>
      </c>
      <c r="H210" s="50">
        <v>1.0</v>
      </c>
      <c r="I210" s="13" t="s">
        <v>33</v>
      </c>
      <c r="J210" s="13" t="s">
        <v>279</v>
      </c>
      <c r="K210" s="94"/>
      <c r="L210" s="34" t="s">
        <v>4960</v>
      </c>
      <c r="M210" s="46" t="s">
        <v>9996</v>
      </c>
      <c r="N210" s="106"/>
      <c r="O210" s="16"/>
      <c r="P210" s="37"/>
      <c r="Q210" s="37">
        <v>1.0</v>
      </c>
      <c r="R210" s="91"/>
      <c r="S210" s="91"/>
      <c r="T210" s="96"/>
      <c r="U210" s="38"/>
      <c r="V210" s="38" t="s">
        <v>33</v>
      </c>
      <c r="W210" s="40"/>
      <c r="X210" s="40"/>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row>
    <row r="211">
      <c r="A211" s="87" t="s">
        <v>9997</v>
      </c>
      <c r="B211" s="327"/>
      <c r="C211" s="30">
        <v>43606.0</v>
      </c>
      <c r="D211" s="93"/>
      <c r="E211" s="13" t="s">
        <v>41</v>
      </c>
      <c r="F211" s="13">
        <v>1.0</v>
      </c>
      <c r="G211" s="13" t="s">
        <v>32</v>
      </c>
      <c r="H211" s="50">
        <v>1.0</v>
      </c>
      <c r="I211" s="13" t="s">
        <v>33</v>
      </c>
      <c r="J211" s="13" t="s">
        <v>343</v>
      </c>
      <c r="K211" s="94"/>
      <c r="L211" s="34" t="s">
        <v>9433</v>
      </c>
      <c r="M211" s="46" t="s">
        <v>9998</v>
      </c>
      <c r="N211" s="106"/>
      <c r="O211" s="57" t="str">
        <f>hyperlink("https://bad-boys.us/?q=SD-WV/2:19-cr-00141", "SD-WV 2:19-cr-00141")</f>
        <v>SD-WV 2:19-cr-00141</v>
      </c>
      <c r="P211" s="86" t="s">
        <v>9999</v>
      </c>
      <c r="Q211" s="37">
        <v>1.0</v>
      </c>
      <c r="R211" s="91"/>
      <c r="S211" s="91"/>
      <c r="T211" s="96"/>
      <c r="U211" s="38" t="b">
        <f t="shared" ref="U211:U213" si="18">countif(A$5:A3006, A211)&gt;1</f>
        <v>0</v>
      </c>
      <c r="V211" s="38"/>
      <c r="W211" s="40"/>
      <c r="X211" s="40"/>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row>
    <row r="212">
      <c r="A212" s="87" t="s">
        <v>10000</v>
      </c>
      <c r="B212" s="323"/>
      <c r="C212" s="30">
        <v>43607.0</v>
      </c>
      <c r="D212" s="32"/>
      <c r="E212" s="13" t="s">
        <v>31</v>
      </c>
      <c r="F212" s="13">
        <v>1.0</v>
      </c>
      <c r="G212" s="13" t="s">
        <v>32</v>
      </c>
      <c r="H212" s="50">
        <v>1.0</v>
      </c>
      <c r="I212" s="13" t="s">
        <v>33</v>
      </c>
      <c r="J212" s="13" t="s">
        <v>93</v>
      </c>
      <c r="K212" s="13"/>
      <c r="L212" s="34" t="s">
        <v>9479</v>
      </c>
      <c r="M212" s="106" t="s">
        <v>10001</v>
      </c>
      <c r="N212" s="106" t="s">
        <v>10002</v>
      </c>
      <c r="O212" s="57" t="str">
        <f>hyperlink("https://bad-boys.us/?q=SD-NY/1:19-cr-00521", "SD-NY 1:19-cr-00521")</f>
        <v>SD-NY 1:19-cr-00521</v>
      </c>
      <c r="P212" s="37"/>
      <c r="Q212" s="37">
        <v>1.0</v>
      </c>
      <c r="R212" s="37"/>
      <c r="S212" s="37"/>
      <c r="T212" s="38"/>
      <c r="U212" s="38" t="b">
        <f t="shared" si="18"/>
        <v>0</v>
      </c>
      <c r="V212" s="38" t="s">
        <v>33</v>
      </c>
      <c r="W212" s="39" t="s">
        <v>10003</v>
      </c>
      <c r="X212" s="39" t="s">
        <v>10004</v>
      </c>
      <c r="Y212" s="40"/>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row>
    <row r="213">
      <c r="A213" s="87" t="s">
        <v>10005</v>
      </c>
      <c r="B213" s="323"/>
      <c r="C213" s="30">
        <v>43617.0</v>
      </c>
      <c r="D213" s="32"/>
      <c r="E213" s="13" t="s">
        <v>41</v>
      </c>
      <c r="F213" s="13" t="s">
        <v>903</v>
      </c>
      <c r="G213" s="13" t="s">
        <v>32</v>
      </c>
      <c r="H213" s="50">
        <v>1.0</v>
      </c>
      <c r="I213" s="13" t="s">
        <v>33</v>
      </c>
      <c r="J213" s="13" t="s">
        <v>343</v>
      </c>
      <c r="K213" s="13"/>
      <c r="L213" s="34" t="s">
        <v>9433</v>
      </c>
      <c r="M213" s="106" t="s">
        <v>10006</v>
      </c>
      <c r="N213" s="106"/>
      <c r="O213" s="57" t="str">
        <f>hyperlink("https://bad-boys.us/?q=SD-WV/5:19-cr-00161", "SD-WV 5:19-cr-00161")</f>
        <v>SD-WV 5:19-cr-00161</v>
      </c>
      <c r="P213" s="37"/>
      <c r="Q213" s="37">
        <v>1.0</v>
      </c>
      <c r="R213" s="37"/>
      <c r="S213" s="37"/>
      <c r="T213" s="38"/>
      <c r="U213" s="38" t="b">
        <f t="shared" si="18"/>
        <v>0</v>
      </c>
      <c r="V213" s="38" t="s">
        <v>33</v>
      </c>
      <c r="W213" s="40"/>
      <c r="X213" s="40"/>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row>
    <row r="214">
      <c r="A214" s="87" t="s">
        <v>10007</v>
      </c>
      <c r="B214" s="323"/>
      <c r="C214" s="30">
        <v>43619.0</v>
      </c>
      <c r="D214" s="32"/>
      <c r="E214" s="13" t="s">
        <v>41</v>
      </c>
      <c r="F214" s="13">
        <v>1.0</v>
      </c>
      <c r="G214" s="13">
        <v>1.0</v>
      </c>
      <c r="H214" s="50">
        <v>1.0</v>
      </c>
      <c r="I214" s="13" t="s">
        <v>33</v>
      </c>
      <c r="J214" s="13" t="s">
        <v>193</v>
      </c>
      <c r="K214" s="13"/>
      <c r="L214" s="34" t="s">
        <v>9380</v>
      </c>
      <c r="M214" s="46" t="s">
        <v>10008</v>
      </c>
      <c r="N214" s="106"/>
      <c r="O214" s="16"/>
      <c r="P214" s="37"/>
      <c r="Q214" s="37">
        <v>1.0</v>
      </c>
      <c r="R214" s="37"/>
      <c r="S214" s="37"/>
      <c r="T214" s="38"/>
      <c r="U214" s="38"/>
      <c r="V214" s="38" t="s">
        <v>33</v>
      </c>
      <c r="W214" s="40"/>
      <c r="X214" s="40"/>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row>
    <row r="215">
      <c r="A215" s="87" t="s">
        <v>10009</v>
      </c>
      <c r="B215" s="323"/>
      <c r="C215" s="30">
        <v>43619.0</v>
      </c>
      <c r="D215" s="32"/>
      <c r="E215" s="13" t="s">
        <v>41</v>
      </c>
      <c r="F215" s="13">
        <v>1.0</v>
      </c>
      <c r="G215" s="13" t="s">
        <v>32</v>
      </c>
      <c r="H215" s="50">
        <v>1.0</v>
      </c>
      <c r="I215" s="13" t="s">
        <v>33</v>
      </c>
      <c r="J215" s="13" t="s">
        <v>343</v>
      </c>
      <c r="K215" s="13"/>
      <c r="L215" s="34" t="s">
        <v>9433</v>
      </c>
      <c r="M215" s="46" t="s">
        <v>9854</v>
      </c>
      <c r="N215" s="106"/>
      <c r="O215" s="57" t="str">
        <f>hyperlink("https://bad-boys.us/?q=SD-WV/3:19-cr-00063", "SD-WV 3:19-cr-00063 ❓")</f>
        <v>SD-WV 3:19-cr-00063 ❓</v>
      </c>
      <c r="P215" s="86" t="s">
        <v>9855</v>
      </c>
      <c r="Q215" s="37">
        <v>1.0</v>
      </c>
      <c r="R215" s="37"/>
      <c r="S215" s="37"/>
      <c r="T215" s="38"/>
      <c r="U215" s="38" t="b">
        <f t="shared" ref="U215:U218" si="19">countif(A$5:A3006, A215)&gt;1</f>
        <v>0</v>
      </c>
      <c r="V215" s="38" t="s">
        <v>33</v>
      </c>
      <c r="W215" s="40"/>
      <c r="X215" s="40"/>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row>
    <row r="216">
      <c r="A216" s="87" t="s">
        <v>10010</v>
      </c>
      <c r="B216" s="323"/>
      <c r="C216" s="30">
        <v>43621.0</v>
      </c>
      <c r="D216" s="32"/>
      <c r="E216" s="13" t="s">
        <v>41</v>
      </c>
      <c r="F216" s="13">
        <v>1.0</v>
      </c>
      <c r="G216" s="13" t="s">
        <v>32</v>
      </c>
      <c r="H216" s="50">
        <v>1.0</v>
      </c>
      <c r="I216" s="13" t="s">
        <v>33</v>
      </c>
      <c r="J216" s="13" t="s">
        <v>343</v>
      </c>
      <c r="K216" s="13"/>
      <c r="L216" s="34" t="s">
        <v>9433</v>
      </c>
      <c r="M216" s="46" t="s">
        <v>9854</v>
      </c>
      <c r="N216" s="106"/>
      <c r="O216" s="57" t="str">
        <f>hyperlink("https://bad-boys.us/?q=SD-WV/2:19-cr-00162", "SD-WV 2:19-cr-00162")</f>
        <v>SD-WV 2:19-cr-00162</v>
      </c>
      <c r="P216" s="37"/>
      <c r="Q216" s="37">
        <v>1.0</v>
      </c>
      <c r="R216" s="37"/>
      <c r="S216" s="37"/>
      <c r="T216" s="38"/>
      <c r="U216" s="38" t="b">
        <f t="shared" si="19"/>
        <v>0</v>
      </c>
      <c r="V216" s="38" t="s">
        <v>33</v>
      </c>
      <c r="W216" s="40"/>
      <c r="X216" s="40"/>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row>
    <row r="217">
      <c r="A217" s="87" t="s">
        <v>10011</v>
      </c>
      <c r="B217" s="323"/>
      <c r="C217" s="30">
        <v>43622.0</v>
      </c>
      <c r="D217" s="32"/>
      <c r="E217" s="13" t="s">
        <v>41</v>
      </c>
      <c r="F217" s="13">
        <v>1.0</v>
      </c>
      <c r="G217" s="13" t="s">
        <v>32</v>
      </c>
      <c r="H217" s="50">
        <v>1.0</v>
      </c>
      <c r="I217" s="13" t="s">
        <v>33</v>
      </c>
      <c r="J217" s="13" t="s">
        <v>514</v>
      </c>
      <c r="K217" s="13"/>
      <c r="L217" s="34" t="s">
        <v>9433</v>
      </c>
      <c r="M217" s="46" t="s">
        <v>10012</v>
      </c>
      <c r="N217" s="106"/>
      <c r="O217" s="57" t="str">
        <f>hyperlink("https://bad-boys.us/?q=ED-AR/4:18-cr-00308", "ED-AR 4:18-cr-00308")</f>
        <v>ED-AR 4:18-cr-00308</v>
      </c>
      <c r="P217" s="37"/>
      <c r="Q217" s="37">
        <v>1.0</v>
      </c>
      <c r="R217" s="37"/>
      <c r="S217" s="37"/>
      <c r="T217" s="38"/>
      <c r="U217" s="38" t="b">
        <f t="shared" si="19"/>
        <v>0</v>
      </c>
      <c r="V217" s="38" t="s">
        <v>33</v>
      </c>
      <c r="W217" s="40"/>
      <c r="X217" s="40"/>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row>
    <row r="218">
      <c r="A218" s="87" t="s">
        <v>10013</v>
      </c>
      <c r="B218" s="323"/>
      <c r="C218" s="30">
        <v>43627.0</v>
      </c>
      <c r="D218" s="32"/>
      <c r="E218" s="13" t="s">
        <v>41</v>
      </c>
      <c r="F218" s="13">
        <v>1.0</v>
      </c>
      <c r="G218" s="13">
        <v>1.0</v>
      </c>
      <c r="H218" s="50">
        <v>1.0</v>
      </c>
      <c r="I218" s="13" t="s">
        <v>33</v>
      </c>
      <c r="J218" s="13" t="s">
        <v>203</v>
      </c>
      <c r="K218" s="13"/>
      <c r="L218" s="34" t="s">
        <v>6497</v>
      </c>
      <c r="M218" s="46" t="s">
        <v>10014</v>
      </c>
      <c r="N218" s="106"/>
      <c r="O218" s="57" t="str">
        <f>hyperlink("https://bad-boys.us/?q=D-SD/1:19-cr-10030", "D-SD 1:19-cr-10030")</f>
        <v>D-SD 1:19-cr-10030</v>
      </c>
      <c r="P218" s="37"/>
      <c r="Q218" s="37">
        <v>1.0</v>
      </c>
      <c r="R218" s="37"/>
      <c r="S218" s="37"/>
      <c r="T218" s="38"/>
      <c r="U218" s="38" t="b">
        <f t="shared" si="19"/>
        <v>0</v>
      </c>
      <c r="V218" s="38" t="s">
        <v>33</v>
      </c>
      <c r="W218" s="40"/>
      <c r="X218" s="40"/>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row>
    <row r="219">
      <c r="A219" s="87" t="s">
        <v>10015</v>
      </c>
      <c r="B219" s="327"/>
      <c r="C219" s="30">
        <v>43636.0</v>
      </c>
      <c r="D219" s="93"/>
      <c r="E219" s="13" t="s">
        <v>31</v>
      </c>
      <c r="F219" s="13">
        <v>1.0</v>
      </c>
      <c r="G219" s="13" t="s">
        <v>32</v>
      </c>
      <c r="H219" s="50">
        <v>1.0</v>
      </c>
      <c r="I219" s="13" t="s">
        <v>33</v>
      </c>
      <c r="J219" s="13" t="s">
        <v>147</v>
      </c>
      <c r="K219" s="94"/>
      <c r="L219" s="34" t="s">
        <v>9433</v>
      </c>
      <c r="M219" s="46" t="s">
        <v>10016</v>
      </c>
      <c r="N219" s="46" t="s">
        <v>10017</v>
      </c>
      <c r="O219" s="16"/>
      <c r="P219" s="91"/>
      <c r="Q219" s="37"/>
      <c r="R219" s="37"/>
      <c r="S219" s="37"/>
      <c r="T219" s="38"/>
      <c r="U219" s="38"/>
      <c r="V219" s="38" t="s">
        <v>33</v>
      </c>
      <c r="W219" s="39" t="s">
        <v>10018</v>
      </c>
      <c r="X219" s="39" t="s">
        <v>10019</v>
      </c>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row>
    <row r="220">
      <c r="A220" s="87" t="s">
        <v>10020</v>
      </c>
      <c r="B220" s="327"/>
      <c r="C220" s="30">
        <v>43640.0</v>
      </c>
      <c r="D220" s="93"/>
      <c r="E220" s="13" t="s">
        <v>41</v>
      </c>
      <c r="F220" s="13">
        <v>1.0</v>
      </c>
      <c r="G220" s="13" t="s">
        <v>32</v>
      </c>
      <c r="H220" s="50">
        <v>1.0</v>
      </c>
      <c r="I220" s="13" t="s">
        <v>33</v>
      </c>
      <c r="J220" s="13" t="s">
        <v>55</v>
      </c>
      <c r="K220" s="94"/>
      <c r="L220" s="34" t="s">
        <v>10021</v>
      </c>
      <c r="M220" s="106" t="s">
        <v>10022</v>
      </c>
      <c r="N220" s="106"/>
      <c r="O220" s="16"/>
      <c r="P220" s="91"/>
      <c r="Q220" s="37"/>
      <c r="R220" s="37"/>
      <c r="S220" s="37"/>
      <c r="T220" s="38"/>
      <c r="U220" s="38"/>
      <c r="V220" s="38" t="s">
        <v>33</v>
      </c>
      <c r="W220" s="40"/>
      <c r="X220" s="40"/>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row>
    <row r="221">
      <c r="A221" s="87" t="s">
        <v>10023</v>
      </c>
      <c r="B221" s="323"/>
      <c r="C221" s="30">
        <v>43642.0</v>
      </c>
      <c r="D221" s="32"/>
      <c r="E221" s="13" t="s">
        <v>41</v>
      </c>
      <c r="F221" s="13">
        <v>1.0</v>
      </c>
      <c r="G221" s="13" t="s">
        <v>32</v>
      </c>
      <c r="H221" s="50">
        <v>1.0</v>
      </c>
      <c r="I221" s="13" t="s">
        <v>33</v>
      </c>
      <c r="J221" s="13" t="s">
        <v>343</v>
      </c>
      <c r="K221" s="13"/>
      <c r="L221" s="34" t="s">
        <v>9433</v>
      </c>
      <c r="M221" s="46" t="s">
        <v>10024</v>
      </c>
      <c r="N221" s="106"/>
      <c r="O221" s="16"/>
      <c r="P221" s="37"/>
      <c r="Q221" s="37"/>
      <c r="R221" s="37"/>
      <c r="S221" s="37"/>
      <c r="T221" s="38"/>
      <c r="U221" s="38"/>
      <c r="V221" s="38" t="s">
        <v>33</v>
      </c>
      <c r="W221" s="40"/>
      <c r="X221" s="40"/>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row>
    <row r="222">
      <c r="A222" s="87" t="s">
        <v>10025</v>
      </c>
      <c r="B222" s="323"/>
      <c r="C222" s="30">
        <v>43642.0</v>
      </c>
      <c r="D222" s="32"/>
      <c r="E222" s="13" t="s">
        <v>41</v>
      </c>
      <c r="F222" s="13">
        <v>1.0</v>
      </c>
      <c r="G222" s="13" t="s">
        <v>32</v>
      </c>
      <c r="H222" s="50">
        <v>1.0</v>
      </c>
      <c r="I222" s="13" t="s">
        <v>33</v>
      </c>
      <c r="J222" s="13" t="s">
        <v>343</v>
      </c>
      <c r="K222" s="13"/>
      <c r="L222" s="34" t="s">
        <v>9433</v>
      </c>
      <c r="M222" s="106" t="s">
        <v>10026</v>
      </c>
      <c r="N222" s="106"/>
      <c r="O222" s="16"/>
      <c r="P222" s="37"/>
      <c r="Q222" s="37"/>
      <c r="R222" s="37"/>
      <c r="S222" s="37"/>
      <c r="T222" s="38"/>
      <c r="U222" s="38"/>
      <c r="V222" s="38" t="s">
        <v>33</v>
      </c>
      <c r="W222" s="40"/>
      <c r="X222" s="40"/>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row>
    <row r="223">
      <c r="A223" s="87" t="s">
        <v>10027</v>
      </c>
      <c r="B223" s="323"/>
      <c r="C223" s="31">
        <v>43647.0</v>
      </c>
      <c r="D223" s="32"/>
      <c r="E223" s="13" t="s">
        <v>41</v>
      </c>
      <c r="F223" s="13">
        <v>1.0</v>
      </c>
      <c r="G223" s="13" t="s">
        <v>32</v>
      </c>
      <c r="H223" s="50">
        <v>1.0</v>
      </c>
      <c r="I223" s="13" t="s">
        <v>33</v>
      </c>
      <c r="J223" s="13" t="s">
        <v>98</v>
      </c>
      <c r="K223" s="13"/>
      <c r="L223" s="34" t="s">
        <v>10028</v>
      </c>
      <c r="M223" s="106" t="s">
        <v>10029</v>
      </c>
      <c r="N223" s="106"/>
      <c r="O223" s="16"/>
      <c r="P223" s="37"/>
      <c r="Q223" s="37"/>
      <c r="R223" s="37"/>
      <c r="S223" s="37"/>
      <c r="T223" s="38"/>
      <c r="U223" s="38" t="b">
        <v>0</v>
      </c>
      <c r="V223" s="38" t="s">
        <v>33</v>
      </c>
      <c r="W223" s="40" t="s">
        <v>10030</v>
      </c>
      <c r="X223" s="40" t="s">
        <v>10031</v>
      </c>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row>
    <row r="224">
      <c r="A224" s="87" t="s">
        <v>10032</v>
      </c>
      <c r="B224" s="323"/>
      <c r="C224" s="31">
        <v>43647.0</v>
      </c>
      <c r="D224" s="32"/>
      <c r="E224" s="13" t="s">
        <v>41</v>
      </c>
      <c r="F224" s="13">
        <v>1.0</v>
      </c>
      <c r="G224" s="13">
        <v>1.0</v>
      </c>
      <c r="H224" s="50">
        <v>1.0</v>
      </c>
      <c r="I224" s="13" t="s">
        <v>33</v>
      </c>
      <c r="J224" s="13" t="s">
        <v>98</v>
      </c>
      <c r="K224" s="13"/>
      <c r="L224" s="34" t="s">
        <v>10033</v>
      </c>
      <c r="M224" s="46" t="s">
        <v>10034</v>
      </c>
      <c r="N224" s="106"/>
      <c r="O224" s="16"/>
      <c r="P224" s="37"/>
      <c r="Q224" s="37"/>
      <c r="R224" s="37"/>
      <c r="S224" s="37"/>
      <c r="T224" s="38"/>
      <c r="U224" s="38"/>
      <c r="V224" s="38" t="s">
        <v>33</v>
      </c>
      <c r="W224" s="40"/>
      <c r="X224" s="40"/>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row>
    <row r="225">
      <c r="A225" s="87" t="s">
        <v>7078</v>
      </c>
      <c r="B225" s="323"/>
      <c r="C225" s="31">
        <v>43647.0</v>
      </c>
      <c r="D225" s="32"/>
      <c r="E225" s="13" t="s">
        <v>41</v>
      </c>
      <c r="F225" s="13">
        <v>1.0</v>
      </c>
      <c r="G225" s="13" t="s">
        <v>32</v>
      </c>
      <c r="H225" s="50">
        <v>1.0</v>
      </c>
      <c r="I225" s="13" t="s">
        <v>33</v>
      </c>
      <c r="J225" s="13" t="s">
        <v>98</v>
      </c>
      <c r="K225" s="13"/>
      <c r="L225" s="34" t="s">
        <v>10028</v>
      </c>
      <c r="M225" s="106" t="s">
        <v>10029</v>
      </c>
      <c r="N225" s="106"/>
      <c r="O225" s="16"/>
      <c r="P225" s="37"/>
      <c r="Q225" s="37"/>
      <c r="R225" s="37"/>
      <c r="S225" s="37"/>
      <c r="T225" s="38"/>
      <c r="U225" s="38" t="b">
        <v>0</v>
      </c>
      <c r="V225" s="38" t="s">
        <v>33</v>
      </c>
      <c r="W225" s="40" t="s">
        <v>10030</v>
      </c>
      <c r="X225" s="40" t="s">
        <v>10031</v>
      </c>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row>
    <row r="226">
      <c r="A226" s="87" t="s">
        <v>10035</v>
      </c>
      <c r="B226" s="323"/>
      <c r="C226" s="30">
        <v>43647.0</v>
      </c>
      <c r="D226" s="32"/>
      <c r="E226" s="13" t="s">
        <v>31</v>
      </c>
      <c r="F226" s="13">
        <v>1.0</v>
      </c>
      <c r="G226" s="13" t="s">
        <v>32</v>
      </c>
      <c r="H226" s="50">
        <v>1.0</v>
      </c>
      <c r="I226" s="13" t="s">
        <v>33</v>
      </c>
      <c r="J226" s="13" t="s">
        <v>124</v>
      </c>
      <c r="K226" s="13"/>
      <c r="L226" s="34" t="s">
        <v>6497</v>
      </c>
      <c r="M226" s="106"/>
      <c r="N226" s="46" t="s">
        <v>10036</v>
      </c>
      <c r="O226" s="16"/>
      <c r="P226" s="37"/>
      <c r="Q226" s="37"/>
      <c r="R226" s="37"/>
      <c r="S226" s="37"/>
      <c r="T226" s="38"/>
      <c r="U226" s="38" t="b">
        <f>countif(A$5:A3006, A226)&gt;1</f>
        <v>0</v>
      </c>
      <c r="V226" s="38" t="s">
        <v>33</v>
      </c>
      <c r="W226" s="39" t="s">
        <v>10037</v>
      </c>
      <c r="X226" s="39" t="s">
        <v>10038</v>
      </c>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row>
    <row r="227">
      <c r="A227" s="87" t="s">
        <v>10039</v>
      </c>
      <c r="B227" s="323"/>
      <c r="C227" s="30">
        <v>43655.0</v>
      </c>
      <c r="D227" s="32"/>
      <c r="E227" s="13" t="s">
        <v>41</v>
      </c>
      <c r="F227" s="13">
        <v>1.0</v>
      </c>
      <c r="G227" s="13">
        <v>1.0</v>
      </c>
      <c r="H227" s="50">
        <v>1.0</v>
      </c>
      <c r="I227" s="13" t="s">
        <v>33</v>
      </c>
      <c r="J227" s="13" t="s">
        <v>460</v>
      </c>
      <c r="K227" s="13"/>
      <c r="L227" s="34" t="s">
        <v>10040</v>
      </c>
      <c r="M227" s="46" t="s">
        <v>10041</v>
      </c>
      <c r="N227" s="106"/>
      <c r="O227" s="16"/>
      <c r="P227" s="37"/>
      <c r="Q227" s="37"/>
      <c r="R227" s="37"/>
      <c r="S227" s="37"/>
      <c r="T227" s="38"/>
      <c r="U227" s="38"/>
      <c r="V227" s="38"/>
      <c r="W227" s="40"/>
      <c r="X227" s="40"/>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row>
    <row r="228">
      <c r="A228" s="87" t="s">
        <v>10042</v>
      </c>
      <c r="B228" s="323"/>
      <c r="C228" s="30">
        <v>43656.0</v>
      </c>
      <c r="D228" s="32"/>
      <c r="E228" s="13" t="s">
        <v>41</v>
      </c>
      <c r="F228" s="13">
        <v>1.0</v>
      </c>
      <c r="G228" s="13" t="s">
        <v>32</v>
      </c>
      <c r="H228" s="50">
        <v>1.0</v>
      </c>
      <c r="I228" s="13" t="s">
        <v>33</v>
      </c>
      <c r="J228" s="13" t="s">
        <v>268</v>
      </c>
      <c r="K228" s="13"/>
      <c r="L228" s="34" t="s">
        <v>9904</v>
      </c>
      <c r="M228" s="46" t="s">
        <v>10043</v>
      </c>
      <c r="N228" s="106"/>
      <c r="O228" s="16"/>
      <c r="P228" s="37"/>
      <c r="Q228" s="37"/>
      <c r="R228" s="37"/>
      <c r="S228" s="37"/>
      <c r="T228" s="38"/>
      <c r="U228" s="38" t="b">
        <f>countif(A$5:A3006, A228)&gt;1</f>
        <v>0</v>
      </c>
      <c r="V228" s="38" t="s">
        <v>33</v>
      </c>
      <c r="W228" s="40"/>
      <c r="X228" s="40"/>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row>
    <row r="229">
      <c r="A229" s="87" t="s">
        <v>10044</v>
      </c>
      <c r="B229" s="327"/>
      <c r="C229" s="30">
        <v>43658.0</v>
      </c>
      <c r="D229" s="93"/>
      <c r="E229" s="13" t="s">
        <v>41</v>
      </c>
      <c r="F229" s="13">
        <v>1.0</v>
      </c>
      <c r="G229" s="13" t="s">
        <v>32</v>
      </c>
      <c r="H229" s="50">
        <v>1.0</v>
      </c>
      <c r="I229" s="13" t="s">
        <v>33</v>
      </c>
      <c r="J229" s="13" t="s">
        <v>115</v>
      </c>
      <c r="K229" s="94"/>
      <c r="L229" s="34" t="s">
        <v>10045</v>
      </c>
      <c r="M229" s="106" t="s">
        <v>10046</v>
      </c>
      <c r="N229" s="288"/>
      <c r="O229" s="16"/>
      <c r="P229" s="91"/>
      <c r="Q229" s="37">
        <v>1.0</v>
      </c>
      <c r="R229" s="91"/>
      <c r="S229" s="91"/>
      <c r="T229" s="96"/>
      <c r="U229" s="38"/>
      <c r="V229" s="38" t="s">
        <v>33</v>
      </c>
      <c r="W229" s="40"/>
      <c r="X229" s="40"/>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c r="BM229" s="96"/>
      <c r="BN229" s="96"/>
      <c r="BO229" s="96"/>
      <c r="BP229" s="96"/>
      <c r="BQ229" s="96"/>
    </row>
    <row r="230">
      <c r="A230" s="87" t="s">
        <v>10047</v>
      </c>
      <c r="B230" s="323"/>
      <c r="C230" s="30">
        <v>43662.0</v>
      </c>
      <c r="D230" s="32"/>
      <c r="E230" s="13" t="s">
        <v>41</v>
      </c>
      <c r="F230" s="13">
        <v>1.0</v>
      </c>
      <c r="G230" s="13" t="s">
        <v>32</v>
      </c>
      <c r="H230" s="50">
        <v>1.0</v>
      </c>
      <c r="I230" s="13" t="s">
        <v>33</v>
      </c>
      <c r="J230" s="13" t="s">
        <v>203</v>
      </c>
      <c r="K230" s="13"/>
      <c r="L230" s="34" t="s">
        <v>6497</v>
      </c>
      <c r="M230" s="282" t="s">
        <v>10048</v>
      </c>
      <c r="N230" s="106"/>
      <c r="O230" s="16"/>
      <c r="P230" s="37"/>
      <c r="Q230" s="37"/>
      <c r="R230" s="37"/>
      <c r="S230" s="37"/>
      <c r="T230" s="38"/>
      <c r="U230" s="38" t="b">
        <f t="shared" ref="U230:U231" si="20">countif(A$5:A3006, A230)&gt;1</f>
        <v>0</v>
      </c>
      <c r="V230" s="38" t="s">
        <v>33</v>
      </c>
      <c r="W230" s="40"/>
      <c r="X230" s="40"/>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row>
    <row r="231">
      <c r="A231" s="87" t="s">
        <v>10049</v>
      </c>
      <c r="B231" s="323"/>
      <c r="C231" s="30">
        <v>43672.0</v>
      </c>
      <c r="D231" s="32"/>
      <c r="E231" s="13" t="s">
        <v>31</v>
      </c>
      <c r="F231" s="13">
        <v>1.0</v>
      </c>
      <c r="G231" s="13" t="s">
        <v>32</v>
      </c>
      <c r="H231" s="50">
        <v>1.0</v>
      </c>
      <c r="I231" s="13" t="s">
        <v>33</v>
      </c>
      <c r="J231" s="13" t="s">
        <v>98</v>
      </c>
      <c r="K231" s="13"/>
      <c r="L231" s="34" t="s">
        <v>10028</v>
      </c>
      <c r="M231" s="106" t="s">
        <v>10050</v>
      </c>
      <c r="N231" s="46" t="s">
        <v>10051</v>
      </c>
      <c r="O231" s="16"/>
      <c r="P231" s="37"/>
      <c r="Q231" s="37"/>
      <c r="R231" s="37"/>
      <c r="S231" s="37"/>
      <c r="T231" s="38"/>
      <c r="U231" s="38" t="b">
        <f t="shared" si="20"/>
        <v>0</v>
      </c>
      <c r="V231" s="38" t="s">
        <v>33</v>
      </c>
      <c r="W231" s="39" t="s">
        <v>10030</v>
      </c>
      <c r="X231" s="39" t="s">
        <v>10031</v>
      </c>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row>
    <row r="232">
      <c r="A232" s="87" t="s">
        <v>10052</v>
      </c>
      <c r="B232" s="323"/>
      <c r="C232" s="30">
        <v>43672.0</v>
      </c>
      <c r="D232" s="32"/>
      <c r="E232" s="13" t="s">
        <v>41</v>
      </c>
      <c r="F232" s="13">
        <v>1.0</v>
      </c>
      <c r="G232" s="13" t="s">
        <v>32</v>
      </c>
      <c r="H232" s="50">
        <v>1.0</v>
      </c>
      <c r="I232" s="13" t="s">
        <v>33</v>
      </c>
      <c r="J232" s="13" t="s">
        <v>98</v>
      </c>
      <c r="K232" s="13"/>
      <c r="L232" s="34" t="s">
        <v>10053</v>
      </c>
      <c r="M232" s="106" t="s">
        <v>10054</v>
      </c>
      <c r="N232" s="106"/>
      <c r="O232" s="16"/>
      <c r="P232" s="37"/>
      <c r="Q232" s="37"/>
      <c r="R232" s="37"/>
      <c r="S232" s="37"/>
      <c r="T232" s="38"/>
      <c r="U232" s="38"/>
      <c r="V232" s="38" t="s">
        <v>33</v>
      </c>
      <c r="W232" s="40"/>
      <c r="X232" s="40"/>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row>
    <row r="233">
      <c r="A233" s="87" t="s">
        <v>10055</v>
      </c>
      <c r="B233" s="323"/>
      <c r="C233" s="30">
        <v>43673.0</v>
      </c>
      <c r="D233" s="32"/>
      <c r="E233" s="13" t="s">
        <v>41</v>
      </c>
      <c r="F233" s="13">
        <v>1.0</v>
      </c>
      <c r="G233" s="13" t="s">
        <v>32</v>
      </c>
      <c r="H233" s="50">
        <v>1.0</v>
      </c>
      <c r="I233" s="13" t="s">
        <v>33</v>
      </c>
      <c r="J233" s="13" t="s">
        <v>132</v>
      </c>
      <c r="K233" s="13"/>
      <c r="L233" s="34" t="s">
        <v>9904</v>
      </c>
      <c r="M233" s="46" t="s">
        <v>10056</v>
      </c>
      <c r="N233" s="106"/>
      <c r="O233" s="16"/>
      <c r="P233" s="37"/>
      <c r="Q233" s="37"/>
      <c r="R233" s="37"/>
      <c r="S233" s="37"/>
      <c r="T233" s="38"/>
      <c r="U233" s="38"/>
      <c r="V233" s="38" t="s">
        <v>33</v>
      </c>
      <c r="W233" s="40"/>
      <c r="X233" s="40"/>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row>
    <row r="234">
      <c r="A234" s="87" t="s">
        <v>10057</v>
      </c>
      <c r="B234" s="323"/>
      <c r="C234" s="30">
        <v>43674.0</v>
      </c>
      <c r="D234" s="32"/>
      <c r="E234" s="13" t="s">
        <v>41</v>
      </c>
      <c r="F234" s="13">
        <v>1.0</v>
      </c>
      <c r="G234" s="13">
        <v>1.0</v>
      </c>
      <c r="H234" s="50">
        <v>1.0</v>
      </c>
      <c r="I234" s="13" t="s">
        <v>33</v>
      </c>
      <c r="J234" s="13" t="s">
        <v>124</v>
      </c>
      <c r="K234" s="13"/>
      <c r="L234" s="34" t="s">
        <v>10058</v>
      </c>
      <c r="M234" s="46" t="s">
        <v>10059</v>
      </c>
      <c r="N234" s="106"/>
      <c r="O234" s="16"/>
      <c r="P234" s="37"/>
      <c r="Q234" s="37"/>
      <c r="R234" s="37"/>
      <c r="S234" s="37"/>
      <c r="T234" s="38"/>
      <c r="U234" s="38" t="b">
        <f t="shared" ref="U234:U235" si="21">countif(A$5:A3006, A234)&gt;1</f>
        <v>0</v>
      </c>
      <c r="V234" s="38" t="s">
        <v>33</v>
      </c>
      <c r="W234" s="40"/>
      <c r="X234" s="40"/>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row>
    <row r="235">
      <c r="A235" s="87" t="s">
        <v>10060</v>
      </c>
      <c r="B235" s="323"/>
      <c r="C235" s="31">
        <v>43678.0</v>
      </c>
      <c r="D235" s="32"/>
      <c r="E235" s="13" t="s">
        <v>41</v>
      </c>
      <c r="F235" s="13">
        <v>1.0</v>
      </c>
      <c r="G235" s="13">
        <v>1.0</v>
      </c>
      <c r="H235" s="50">
        <v>1.0</v>
      </c>
      <c r="I235" s="13" t="s">
        <v>33</v>
      </c>
      <c r="J235" s="13" t="s">
        <v>147</v>
      </c>
      <c r="K235" s="13"/>
      <c r="L235" s="34" t="s">
        <v>10058</v>
      </c>
      <c r="M235" s="46" t="s">
        <v>10061</v>
      </c>
      <c r="N235" s="106"/>
      <c r="O235" s="16"/>
      <c r="P235" s="37"/>
      <c r="Q235" s="37"/>
      <c r="R235" s="37"/>
      <c r="S235" s="37"/>
      <c r="T235" s="38"/>
      <c r="U235" s="38" t="b">
        <f t="shared" si="21"/>
        <v>0</v>
      </c>
      <c r="V235" s="38" t="s">
        <v>33</v>
      </c>
      <c r="W235" s="40"/>
      <c r="X235" s="40"/>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row>
    <row r="236">
      <c r="A236" s="87" t="s">
        <v>10062</v>
      </c>
      <c r="B236" s="323"/>
      <c r="C236" s="30">
        <v>43678.0</v>
      </c>
      <c r="D236" s="32"/>
      <c r="E236" s="13" t="s">
        <v>41</v>
      </c>
      <c r="F236" s="13">
        <v>1.0</v>
      </c>
      <c r="G236" s="13">
        <v>1.0</v>
      </c>
      <c r="H236" s="50">
        <v>1.0</v>
      </c>
      <c r="I236" s="13" t="s">
        <v>33</v>
      </c>
      <c r="J236" s="13" t="s">
        <v>268</v>
      </c>
      <c r="K236" s="13"/>
      <c r="L236" s="34" t="s">
        <v>9396</v>
      </c>
      <c r="M236" s="46" t="s">
        <v>10063</v>
      </c>
      <c r="N236" s="106"/>
      <c r="O236" s="16"/>
      <c r="P236" s="37"/>
      <c r="Q236" s="37"/>
      <c r="R236" s="37"/>
      <c r="S236" s="37"/>
      <c r="T236" s="38"/>
      <c r="U236" s="38"/>
      <c r="V236" s="38" t="s">
        <v>33</v>
      </c>
      <c r="W236" s="40"/>
      <c r="X236" s="40"/>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row>
    <row r="237">
      <c r="A237" s="87" t="s">
        <v>10064</v>
      </c>
      <c r="B237" s="323"/>
      <c r="C237" s="30">
        <v>43678.0</v>
      </c>
      <c r="D237" s="32"/>
      <c r="E237" s="13" t="s">
        <v>41</v>
      </c>
      <c r="F237" s="13">
        <v>1.0</v>
      </c>
      <c r="G237" s="13" t="s">
        <v>32</v>
      </c>
      <c r="H237" s="50">
        <v>1.0</v>
      </c>
      <c r="I237" s="13" t="s">
        <v>33</v>
      </c>
      <c r="J237" s="13" t="s">
        <v>89</v>
      </c>
      <c r="K237" s="13"/>
      <c r="L237" s="34" t="s">
        <v>10065</v>
      </c>
      <c r="M237" s="46" t="s">
        <v>10066</v>
      </c>
      <c r="N237" s="106"/>
      <c r="O237" s="16"/>
      <c r="P237" s="37"/>
      <c r="Q237" s="37"/>
      <c r="R237" s="37"/>
      <c r="S237" s="37"/>
      <c r="T237" s="38"/>
      <c r="U237" s="38"/>
      <c r="V237" s="38" t="s">
        <v>33</v>
      </c>
      <c r="W237" s="40"/>
      <c r="X237" s="40"/>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row>
    <row r="238">
      <c r="A238" s="87" t="s">
        <v>10067</v>
      </c>
      <c r="B238" s="323"/>
      <c r="C238" s="30">
        <v>43678.0</v>
      </c>
      <c r="D238" s="32"/>
      <c r="E238" s="13" t="s">
        <v>41</v>
      </c>
      <c r="F238" s="13">
        <v>1.0</v>
      </c>
      <c r="G238" s="13" t="s">
        <v>32</v>
      </c>
      <c r="H238" s="50">
        <v>1.0</v>
      </c>
      <c r="I238" s="13" t="s">
        <v>33</v>
      </c>
      <c r="J238" s="13" t="s">
        <v>203</v>
      </c>
      <c r="K238" s="13"/>
      <c r="L238" s="34" t="s">
        <v>9904</v>
      </c>
      <c r="M238" s="106" t="s">
        <v>10068</v>
      </c>
      <c r="N238" s="106"/>
      <c r="O238" s="16"/>
      <c r="P238" s="37"/>
      <c r="Q238" s="37"/>
      <c r="R238" s="37"/>
      <c r="S238" s="37"/>
      <c r="T238" s="38"/>
      <c r="U238" s="38" t="b">
        <f>countif(A$5:A3006, A238)&gt;1</f>
        <v>0</v>
      </c>
      <c r="V238" s="38" t="s">
        <v>33</v>
      </c>
      <c r="W238" s="40"/>
      <c r="X238" s="40"/>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row>
    <row r="239">
      <c r="A239" s="87" t="s">
        <v>10069</v>
      </c>
      <c r="B239" s="323"/>
      <c r="C239" s="30">
        <v>43679.0</v>
      </c>
      <c r="D239" s="32"/>
      <c r="E239" s="13" t="s">
        <v>41</v>
      </c>
      <c r="F239" s="13">
        <v>1.0</v>
      </c>
      <c r="G239" s="13">
        <v>1.0</v>
      </c>
      <c r="H239" s="50">
        <v>1.0</v>
      </c>
      <c r="I239" s="13" t="s">
        <v>33</v>
      </c>
      <c r="J239" s="13" t="s">
        <v>288</v>
      </c>
      <c r="K239" s="13"/>
      <c r="L239" s="34" t="s">
        <v>10070</v>
      </c>
      <c r="M239" s="46" t="s">
        <v>10071</v>
      </c>
      <c r="N239" s="106"/>
      <c r="O239" s="16"/>
      <c r="P239" s="37"/>
      <c r="Q239" s="37"/>
      <c r="R239" s="37"/>
      <c r="S239" s="37"/>
      <c r="T239" s="38"/>
      <c r="U239" s="38"/>
      <c r="V239" s="38" t="s">
        <v>33</v>
      </c>
      <c r="W239" s="40"/>
      <c r="X239" s="40"/>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row>
    <row r="240">
      <c r="A240" s="87" t="s">
        <v>10072</v>
      </c>
      <c r="B240" s="323"/>
      <c r="C240" s="30">
        <v>43682.0</v>
      </c>
      <c r="D240" s="32"/>
      <c r="E240" s="13" t="s">
        <v>41</v>
      </c>
      <c r="F240" s="13">
        <v>1.0</v>
      </c>
      <c r="G240" s="13">
        <v>1.0</v>
      </c>
      <c r="H240" s="50">
        <v>1.0</v>
      </c>
      <c r="I240" s="13" t="s">
        <v>33</v>
      </c>
      <c r="J240" s="13" t="s">
        <v>318</v>
      </c>
      <c r="K240" s="13"/>
      <c r="L240" s="34" t="s">
        <v>10073</v>
      </c>
      <c r="M240" s="46" t="s">
        <v>10074</v>
      </c>
      <c r="N240" s="106"/>
      <c r="O240" s="16"/>
      <c r="P240" s="37"/>
      <c r="Q240" s="37"/>
      <c r="R240" s="37"/>
      <c r="S240" s="37"/>
      <c r="T240" s="38"/>
      <c r="U240" s="38" t="b">
        <f>countif(A$5:A3006, A240)&gt;1</f>
        <v>0</v>
      </c>
      <c r="V240" s="38" t="s">
        <v>33</v>
      </c>
      <c r="W240" s="40"/>
      <c r="X240" s="40"/>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row>
    <row r="241">
      <c r="A241" s="87" t="s">
        <v>10075</v>
      </c>
      <c r="B241" s="323"/>
      <c r="C241" s="30">
        <v>43683.0</v>
      </c>
      <c r="D241" s="32"/>
      <c r="E241" s="13" t="s">
        <v>41</v>
      </c>
      <c r="F241" s="13">
        <v>1.0</v>
      </c>
      <c r="G241" s="13">
        <v>1.0</v>
      </c>
      <c r="H241" s="50">
        <v>1.0</v>
      </c>
      <c r="I241" s="13" t="s">
        <v>33</v>
      </c>
      <c r="J241" s="13" t="s">
        <v>93</v>
      </c>
      <c r="K241" s="13"/>
      <c r="L241" s="34" t="s">
        <v>10065</v>
      </c>
      <c r="M241" s="46" t="s">
        <v>10076</v>
      </c>
      <c r="N241" s="106"/>
      <c r="O241" s="16"/>
      <c r="P241" s="37"/>
      <c r="Q241" s="37"/>
      <c r="R241" s="37"/>
      <c r="S241" s="37"/>
      <c r="T241" s="38"/>
      <c r="U241" s="38"/>
      <c r="V241" s="38" t="s">
        <v>33</v>
      </c>
      <c r="W241" s="40"/>
      <c r="X241" s="40"/>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row>
    <row r="242">
      <c r="A242" s="87" t="s">
        <v>10077</v>
      </c>
      <c r="B242" s="323"/>
      <c r="C242" s="30">
        <v>43684.0</v>
      </c>
      <c r="D242" s="32"/>
      <c r="E242" s="13" t="s">
        <v>41</v>
      </c>
      <c r="F242" s="13">
        <v>1.0</v>
      </c>
      <c r="G242" s="13">
        <v>1.0</v>
      </c>
      <c r="H242" s="50">
        <v>1.0</v>
      </c>
      <c r="I242" s="13" t="s">
        <v>33</v>
      </c>
      <c r="J242" s="13" t="s">
        <v>268</v>
      </c>
      <c r="K242" s="13"/>
      <c r="L242" s="34" t="s">
        <v>9851</v>
      </c>
      <c r="M242" s="46" t="s">
        <v>10078</v>
      </c>
      <c r="N242" s="106"/>
      <c r="O242" s="16"/>
      <c r="P242" s="37"/>
      <c r="Q242" s="37"/>
      <c r="R242" s="37"/>
      <c r="S242" s="37"/>
      <c r="T242" s="38"/>
      <c r="U242" s="38"/>
      <c r="V242" s="38" t="s">
        <v>33</v>
      </c>
      <c r="W242" s="40"/>
      <c r="X242" s="40"/>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row>
    <row r="243">
      <c r="A243" s="87" t="s">
        <v>10079</v>
      </c>
      <c r="B243" s="323"/>
      <c r="C243" s="30">
        <v>43684.0</v>
      </c>
      <c r="D243" s="32"/>
      <c r="E243" s="13" t="s">
        <v>41</v>
      </c>
      <c r="F243" s="13">
        <v>1.0</v>
      </c>
      <c r="G243" s="13" t="s">
        <v>32</v>
      </c>
      <c r="H243" s="50">
        <v>1.0</v>
      </c>
      <c r="I243" s="13" t="s">
        <v>33</v>
      </c>
      <c r="J243" s="13" t="s">
        <v>279</v>
      </c>
      <c r="K243" s="13"/>
      <c r="L243" s="34" t="s">
        <v>9904</v>
      </c>
      <c r="M243" s="46" t="s">
        <v>10080</v>
      </c>
      <c r="N243" s="106"/>
      <c r="O243" s="16"/>
      <c r="P243" s="37"/>
      <c r="Q243" s="37">
        <v>1.0</v>
      </c>
      <c r="R243" s="37"/>
      <c r="S243" s="37"/>
      <c r="T243" s="38"/>
      <c r="U243" s="38"/>
      <c r="V243" s="38" t="s">
        <v>33</v>
      </c>
      <c r="W243" s="40"/>
      <c r="X243" s="40"/>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row>
    <row r="244">
      <c r="A244" s="87" t="s">
        <v>10081</v>
      </c>
      <c r="B244" s="323"/>
      <c r="C244" s="30">
        <v>43685.0</v>
      </c>
      <c r="D244" s="32"/>
      <c r="E244" s="13" t="s">
        <v>41</v>
      </c>
      <c r="F244" s="13">
        <v>1.0</v>
      </c>
      <c r="G244" s="13">
        <v>2.0</v>
      </c>
      <c r="H244" s="50">
        <v>2.0</v>
      </c>
      <c r="I244" s="13" t="s">
        <v>33</v>
      </c>
      <c r="J244" s="13" t="s">
        <v>203</v>
      </c>
      <c r="K244" s="13"/>
      <c r="L244" s="34" t="s">
        <v>9396</v>
      </c>
      <c r="M244" s="46" t="s">
        <v>10082</v>
      </c>
      <c r="N244" s="106"/>
      <c r="O244" s="16"/>
      <c r="P244" s="37"/>
      <c r="Q244" s="37"/>
      <c r="R244" s="37"/>
      <c r="S244" s="37"/>
      <c r="T244" s="38"/>
      <c r="U244" s="38" t="b">
        <f t="shared" ref="U244:U249" si="22">countif(A$5:A3006, A244)&gt;1</f>
        <v>0</v>
      </c>
      <c r="V244" s="38" t="s">
        <v>33</v>
      </c>
      <c r="W244" s="40"/>
      <c r="X244" s="40"/>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row>
    <row r="245">
      <c r="A245" s="87" t="s">
        <v>10083</v>
      </c>
      <c r="B245" s="323"/>
      <c r="C245" s="30">
        <v>43686.0</v>
      </c>
      <c r="D245" s="32"/>
      <c r="E245" s="13" t="s">
        <v>41</v>
      </c>
      <c r="F245" s="13">
        <v>1.0</v>
      </c>
      <c r="G245" s="13" t="s">
        <v>32</v>
      </c>
      <c r="H245" s="50">
        <v>1.0</v>
      </c>
      <c r="I245" s="13" t="s">
        <v>33</v>
      </c>
      <c r="J245" s="13" t="s">
        <v>144</v>
      </c>
      <c r="K245" s="13"/>
      <c r="L245" s="34" t="s">
        <v>6497</v>
      </c>
      <c r="M245" s="46" t="s">
        <v>10084</v>
      </c>
      <c r="N245" s="106"/>
      <c r="O245" s="16"/>
      <c r="P245" s="37"/>
      <c r="Q245" s="37"/>
      <c r="R245" s="37"/>
      <c r="S245" s="37"/>
      <c r="T245" s="38"/>
      <c r="U245" s="38" t="b">
        <f t="shared" si="22"/>
        <v>0</v>
      </c>
      <c r="V245" s="38" t="s">
        <v>33</v>
      </c>
      <c r="W245" s="40"/>
      <c r="X245" s="40"/>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row>
    <row r="246">
      <c r="A246" s="87" t="s">
        <v>10085</v>
      </c>
      <c r="B246" s="323"/>
      <c r="C246" s="30">
        <v>43686.0</v>
      </c>
      <c r="D246" s="32"/>
      <c r="E246" s="13" t="s">
        <v>31</v>
      </c>
      <c r="F246" s="13">
        <v>1.0</v>
      </c>
      <c r="G246" s="13">
        <v>2.0</v>
      </c>
      <c r="H246" s="50">
        <v>2.0</v>
      </c>
      <c r="I246" s="13" t="s">
        <v>33</v>
      </c>
      <c r="J246" s="13" t="s">
        <v>124</v>
      </c>
      <c r="K246" s="13"/>
      <c r="L246" s="34" t="s">
        <v>9479</v>
      </c>
      <c r="M246" s="106" t="s">
        <v>10086</v>
      </c>
      <c r="N246" s="46" t="s">
        <v>10087</v>
      </c>
      <c r="O246" s="57" t="str">
        <f>hyperlink("https://bad-boys.us/?q=SD-OH/1:19-cr-00100", "SD-OH 1:19-cr-00100")</f>
        <v>SD-OH 1:19-cr-00100</v>
      </c>
      <c r="P246" s="37"/>
      <c r="Q246" s="37">
        <v>1.0</v>
      </c>
      <c r="R246" s="37"/>
      <c r="S246" s="37"/>
      <c r="T246" s="38"/>
      <c r="U246" s="38" t="b">
        <f t="shared" si="22"/>
        <v>0</v>
      </c>
      <c r="V246" s="38" t="s">
        <v>33</v>
      </c>
      <c r="W246" s="39" t="s">
        <v>10088</v>
      </c>
      <c r="X246" s="39" t="s">
        <v>10089</v>
      </c>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row>
    <row r="247">
      <c r="A247" s="87" t="s">
        <v>7083</v>
      </c>
      <c r="B247" s="323"/>
      <c r="C247" s="30">
        <v>43689.0</v>
      </c>
      <c r="D247" s="32"/>
      <c r="E247" s="13" t="s">
        <v>41</v>
      </c>
      <c r="F247" s="13">
        <v>1.0</v>
      </c>
      <c r="G247" s="13" t="s">
        <v>32</v>
      </c>
      <c r="H247" s="50">
        <v>1.0</v>
      </c>
      <c r="I247" s="13" t="s">
        <v>33</v>
      </c>
      <c r="J247" s="13" t="s">
        <v>268</v>
      </c>
      <c r="K247" s="13"/>
      <c r="L247" s="34" t="s">
        <v>9479</v>
      </c>
      <c r="M247" s="282" t="s">
        <v>7261</v>
      </c>
      <c r="N247" s="106"/>
      <c r="O247" s="16"/>
      <c r="P247" s="37"/>
      <c r="Q247" s="37"/>
      <c r="R247" s="37"/>
      <c r="S247" s="37"/>
      <c r="T247" s="38"/>
      <c r="U247" s="38" t="b">
        <f t="shared" si="22"/>
        <v>0</v>
      </c>
      <c r="V247" s="38" t="s">
        <v>33</v>
      </c>
      <c r="W247" s="40"/>
      <c r="X247" s="40"/>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row>
    <row r="248">
      <c r="A248" s="87" t="s">
        <v>10090</v>
      </c>
      <c r="B248" s="323"/>
      <c r="C248" s="30">
        <v>43689.0</v>
      </c>
      <c r="D248" s="32"/>
      <c r="E248" s="13" t="s">
        <v>41</v>
      </c>
      <c r="F248" s="13">
        <v>1.0</v>
      </c>
      <c r="G248" s="13" t="s">
        <v>32</v>
      </c>
      <c r="H248" s="50">
        <v>1.0</v>
      </c>
      <c r="I248" s="13" t="s">
        <v>33</v>
      </c>
      <c r="J248" s="13" t="s">
        <v>268</v>
      </c>
      <c r="K248" s="13"/>
      <c r="L248" s="34" t="s">
        <v>9479</v>
      </c>
      <c r="M248" s="106" t="s">
        <v>10091</v>
      </c>
      <c r="N248" s="106"/>
      <c r="O248" s="57" t="str">
        <f>hyperlink("https://bad-boys.us/?q=ND-OK/4:19-cr-00159", "ND-OK 4:19-cr-00159")</f>
        <v>ND-OK 4:19-cr-00159</v>
      </c>
      <c r="P248" s="37"/>
      <c r="Q248" s="37">
        <v>1.0</v>
      </c>
      <c r="R248" s="37"/>
      <c r="S248" s="37"/>
      <c r="T248" s="38"/>
      <c r="U248" s="38" t="b">
        <f t="shared" si="22"/>
        <v>0</v>
      </c>
      <c r="V248" s="38" t="s">
        <v>33</v>
      </c>
      <c r="W248" s="40"/>
      <c r="X248" s="40"/>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row>
    <row r="249">
      <c r="A249" s="87" t="s">
        <v>10092</v>
      </c>
      <c r="B249" s="323"/>
      <c r="C249" s="30">
        <v>43690.0</v>
      </c>
      <c r="D249" s="32"/>
      <c r="E249" s="13" t="s">
        <v>41</v>
      </c>
      <c r="F249" s="13">
        <v>1.0</v>
      </c>
      <c r="G249" s="13" t="s">
        <v>32</v>
      </c>
      <c r="H249" s="50">
        <v>1.0</v>
      </c>
      <c r="I249" s="13" t="s">
        <v>33</v>
      </c>
      <c r="J249" s="13" t="s">
        <v>115</v>
      </c>
      <c r="K249" s="13"/>
      <c r="L249" s="34" t="s">
        <v>4960</v>
      </c>
      <c r="M249" s="106" t="s">
        <v>10093</v>
      </c>
      <c r="N249" s="106"/>
      <c r="O249" s="57" t="str">
        <f>hyperlink("https://bad-boys.us/?q=WD-PA/2:19-cr-00248", "WD-PA 2:19-cr-00248")</f>
        <v>WD-PA 2:19-cr-00248</v>
      </c>
      <c r="P249" s="37"/>
      <c r="Q249" s="37">
        <v>1.0</v>
      </c>
      <c r="R249" s="37"/>
      <c r="S249" s="37"/>
      <c r="T249" s="38"/>
      <c r="U249" s="38" t="b">
        <f t="shared" si="22"/>
        <v>0</v>
      </c>
      <c r="V249" s="38" t="s">
        <v>33</v>
      </c>
      <c r="W249" s="40"/>
      <c r="X249" s="40"/>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row>
    <row r="250">
      <c r="A250" s="87" t="s">
        <v>10094</v>
      </c>
      <c r="B250" s="323"/>
      <c r="C250" s="30">
        <v>43691.0</v>
      </c>
      <c r="D250" s="32"/>
      <c r="E250" s="13" t="s">
        <v>41</v>
      </c>
      <c r="F250" s="13">
        <v>1.0</v>
      </c>
      <c r="G250" s="13">
        <v>1.0</v>
      </c>
      <c r="H250" s="50">
        <v>1.0</v>
      </c>
      <c r="I250" s="13" t="s">
        <v>33</v>
      </c>
      <c r="J250" s="13" t="s">
        <v>268</v>
      </c>
      <c r="K250" s="13"/>
      <c r="L250" s="34" t="s">
        <v>9851</v>
      </c>
      <c r="M250" s="46" t="s">
        <v>10095</v>
      </c>
      <c r="N250" s="106"/>
      <c r="O250" s="57" t="str">
        <f>hyperlink("https://bad-boys.us/?q=ED-OK/6:19-cr-00068", "ED-OK 6:19-cr-00068")</f>
        <v>ED-OK 6:19-cr-00068</v>
      </c>
      <c r="P250" s="37"/>
      <c r="Q250" s="37">
        <v>1.0</v>
      </c>
      <c r="R250" s="37"/>
      <c r="S250" s="37"/>
      <c r="T250" s="38"/>
      <c r="U250" s="38"/>
      <c r="V250" s="38" t="s">
        <v>33</v>
      </c>
      <c r="W250" s="40"/>
      <c r="X250" s="40"/>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row>
    <row r="251">
      <c r="A251" s="87" t="s">
        <v>10096</v>
      </c>
      <c r="B251" s="323"/>
      <c r="C251" s="30">
        <v>43693.0</v>
      </c>
      <c r="D251" s="32"/>
      <c r="E251" s="13" t="s">
        <v>41</v>
      </c>
      <c r="F251" s="13">
        <v>1.0</v>
      </c>
      <c r="G251" s="13">
        <v>5.0</v>
      </c>
      <c r="H251" s="50">
        <v>5.0</v>
      </c>
      <c r="I251" s="13" t="s">
        <v>33</v>
      </c>
      <c r="J251" s="13" t="s">
        <v>61</v>
      </c>
      <c r="K251" s="13"/>
      <c r="L251" s="34" t="s">
        <v>9366</v>
      </c>
      <c r="M251" s="46" t="s">
        <v>10097</v>
      </c>
      <c r="N251" s="106"/>
      <c r="O251" s="16"/>
      <c r="P251" s="37"/>
      <c r="Q251" s="37"/>
      <c r="R251" s="37"/>
      <c r="S251" s="37"/>
      <c r="T251" s="38"/>
      <c r="U251" s="38"/>
      <c r="V251" s="38" t="s">
        <v>33</v>
      </c>
      <c r="W251" s="40"/>
      <c r="X251" s="40"/>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row>
    <row r="252">
      <c r="A252" s="87" t="s">
        <v>10098</v>
      </c>
      <c r="B252" s="323"/>
      <c r="C252" s="30">
        <v>43697.0</v>
      </c>
      <c r="D252" s="32"/>
      <c r="E252" s="13" t="s">
        <v>41</v>
      </c>
      <c r="F252" s="13">
        <v>1.0</v>
      </c>
      <c r="G252" s="13" t="s">
        <v>32</v>
      </c>
      <c r="H252" s="50">
        <v>1.0</v>
      </c>
      <c r="I252" s="13" t="s">
        <v>33</v>
      </c>
      <c r="J252" s="13" t="s">
        <v>47</v>
      </c>
      <c r="K252" s="13"/>
      <c r="L252" s="34" t="s">
        <v>9904</v>
      </c>
      <c r="M252" s="106" t="s">
        <v>10099</v>
      </c>
      <c r="N252" s="106"/>
      <c r="O252" s="57" t="str">
        <f>hyperlink("https://bad-boys.us/?q=MD-FL/8:19-cr-00363", "MD-FL 8:19-cr-00363")</f>
        <v>MD-FL 8:19-cr-00363</v>
      </c>
      <c r="P252" s="37"/>
      <c r="Q252" s="37">
        <v>1.0</v>
      </c>
      <c r="R252" s="37"/>
      <c r="S252" s="37"/>
      <c r="T252" s="38"/>
      <c r="U252" s="38" t="b">
        <f t="shared" ref="U252:U254" si="23">countif(A$5:A3006, A252)&gt;1</f>
        <v>0</v>
      </c>
      <c r="V252" s="38" t="s">
        <v>33</v>
      </c>
      <c r="W252" s="40"/>
      <c r="X252" s="40"/>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row>
    <row r="253">
      <c r="A253" s="87" t="s">
        <v>10100</v>
      </c>
      <c r="B253" s="323"/>
      <c r="C253" s="30">
        <v>43712.0</v>
      </c>
      <c r="D253" s="32"/>
      <c r="E253" s="13" t="s">
        <v>41</v>
      </c>
      <c r="F253" s="13">
        <v>1.0</v>
      </c>
      <c r="G253" s="13" t="s">
        <v>32</v>
      </c>
      <c r="H253" s="50">
        <v>1.0</v>
      </c>
      <c r="I253" s="13" t="s">
        <v>33</v>
      </c>
      <c r="J253" s="13" t="s">
        <v>184</v>
      </c>
      <c r="K253" s="13"/>
      <c r="L253" s="34" t="s">
        <v>9904</v>
      </c>
      <c r="M253" s="46" t="s">
        <v>10101</v>
      </c>
      <c r="N253" s="106"/>
      <c r="O253" s="16"/>
      <c r="P253" s="37"/>
      <c r="Q253" s="37"/>
      <c r="R253" s="37"/>
      <c r="S253" s="37"/>
      <c r="T253" s="38"/>
      <c r="U253" s="38" t="b">
        <f t="shared" si="23"/>
        <v>0</v>
      </c>
      <c r="V253" s="38" t="s">
        <v>33</v>
      </c>
      <c r="W253" s="40"/>
      <c r="X253" s="40"/>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row>
    <row r="254">
      <c r="A254" s="87" t="s">
        <v>10102</v>
      </c>
      <c r="B254" s="323"/>
      <c r="C254" s="30">
        <v>43718.0</v>
      </c>
      <c r="D254" s="32"/>
      <c r="E254" s="13" t="s">
        <v>41</v>
      </c>
      <c r="F254" s="13">
        <v>1.0</v>
      </c>
      <c r="G254" s="13">
        <v>1.0</v>
      </c>
      <c r="H254" s="50">
        <v>1.0</v>
      </c>
      <c r="I254" s="13" t="s">
        <v>33</v>
      </c>
      <c r="J254" s="13" t="s">
        <v>203</v>
      </c>
      <c r="K254" s="13"/>
      <c r="L254" s="34" t="s">
        <v>10103</v>
      </c>
      <c r="M254" s="46" t="s">
        <v>10104</v>
      </c>
      <c r="N254" s="106"/>
      <c r="O254" s="57" t="str">
        <f>hyperlink("https://bad-boys.us/?q=D-SD/3:19-cr-30121", "D-SD 3:19-cr-30121")</f>
        <v>D-SD 3:19-cr-30121</v>
      </c>
      <c r="P254" s="37"/>
      <c r="Q254" s="37">
        <v>1.0</v>
      </c>
      <c r="R254" s="37"/>
      <c r="S254" s="37"/>
      <c r="T254" s="38"/>
      <c r="U254" s="38" t="b">
        <f t="shared" si="23"/>
        <v>0</v>
      </c>
      <c r="V254" s="38" t="s">
        <v>33</v>
      </c>
      <c r="W254" s="40"/>
      <c r="X254" s="40"/>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row>
    <row r="255">
      <c r="A255" s="87" t="s">
        <v>10105</v>
      </c>
      <c r="B255" s="323"/>
      <c r="C255" s="30">
        <v>43725.0</v>
      </c>
      <c r="D255" s="32"/>
      <c r="E255" s="13" t="s">
        <v>41</v>
      </c>
      <c r="F255" s="13">
        <v>1.0</v>
      </c>
      <c r="G255" s="13" t="s">
        <v>32</v>
      </c>
      <c r="H255" s="50">
        <v>1.0</v>
      </c>
      <c r="I255" s="13" t="s">
        <v>33</v>
      </c>
      <c r="J255" s="13" t="s">
        <v>514</v>
      </c>
      <c r="K255" s="13"/>
      <c r="L255" s="34" t="s">
        <v>9904</v>
      </c>
      <c r="M255" s="46" t="s">
        <v>10106</v>
      </c>
      <c r="N255" s="106"/>
      <c r="O255" s="16"/>
      <c r="P255" s="37"/>
      <c r="Q255" s="37"/>
      <c r="R255" s="37"/>
      <c r="S255" s="37"/>
      <c r="T255" s="38"/>
      <c r="U255" s="38"/>
      <c r="V255" s="38" t="s">
        <v>33</v>
      </c>
      <c r="W255" s="40"/>
      <c r="X255" s="40"/>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row>
    <row r="256">
      <c r="A256" s="87" t="s">
        <v>10107</v>
      </c>
      <c r="B256" s="323"/>
      <c r="C256" s="30">
        <v>43726.0</v>
      </c>
      <c r="D256" s="32"/>
      <c r="E256" s="13" t="s">
        <v>41</v>
      </c>
      <c r="F256" s="13">
        <v>1.0</v>
      </c>
      <c r="G256" s="13" t="s">
        <v>32</v>
      </c>
      <c r="H256" s="50">
        <v>1.0</v>
      </c>
      <c r="I256" s="13" t="s">
        <v>33</v>
      </c>
      <c r="J256" s="13" t="s">
        <v>279</v>
      </c>
      <c r="K256" s="13"/>
      <c r="L256" s="34" t="s">
        <v>9433</v>
      </c>
      <c r="M256" s="46" t="s">
        <v>10108</v>
      </c>
      <c r="N256" s="106"/>
      <c r="O256" s="57" t="str">
        <f>hyperlink("https://bad-boys.us/?q=WD-MO/3:18-cr-05037", "WD-MO 3:18-cr-05037")</f>
        <v>WD-MO 3:18-cr-05037</v>
      </c>
      <c r="P256" s="86" t="s">
        <v>10109</v>
      </c>
      <c r="Q256" s="37">
        <v>1.0</v>
      </c>
      <c r="R256" s="37"/>
      <c r="S256" s="37"/>
      <c r="T256" s="38"/>
      <c r="U256" s="38" t="b">
        <f>countif(A$5:A3006, A256)&gt;1</f>
        <v>0</v>
      </c>
      <c r="V256" s="38" t="s">
        <v>33</v>
      </c>
      <c r="W256" s="40"/>
      <c r="X256" s="40"/>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row>
    <row r="257">
      <c r="A257" s="87" t="s">
        <v>10110</v>
      </c>
      <c r="B257" s="323"/>
      <c r="C257" s="30">
        <v>43726.0</v>
      </c>
      <c r="D257" s="32"/>
      <c r="E257" s="13" t="s">
        <v>41</v>
      </c>
      <c r="F257" s="13">
        <v>1.0</v>
      </c>
      <c r="G257" s="13" t="s">
        <v>32</v>
      </c>
      <c r="H257" s="50">
        <v>1.0</v>
      </c>
      <c r="I257" s="13" t="s">
        <v>33</v>
      </c>
      <c r="J257" s="13" t="s">
        <v>514</v>
      </c>
      <c r="K257" s="13"/>
      <c r="L257" s="34" t="s">
        <v>9904</v>
      </c>
      <c r="M257" s="46" t="s">
        <v>10111</v>
      </c>
      <c r="N257" s="106"/>
      <c r="O257" s="16"/>
      <c r="P257" s="37"/>
      <c r="Q257" s="37"/>
      <c r="R257" s="37"/>
      <c r="S257" s="37"/>
      <c r="T257" s="38"/>
      <c r="U257" s="38"/>
      <c r="V257" s="38" t="s">
        <v>33</v>
      </c>
      <c r="W257" s="40"/>
      <c r="X257" s="40"/>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row>
    <row r="258">
      <c r="A258" s="87" t="s">
        <v>10112</v>
      </c>
      <c r="B258" s="323"/>
      <c r="C258" s="30">
        <v>43731.0</v>
      </c>
      <c r="D258" s="32"/>
      <c r="E258" s="13" t="s">
        <v>41</v>
      </c>
      <c r="F258" s="13">
        <v>1.0</v>
      </c>
      <c r="G258" s="13">
        <v>1.0</v>
      </c>
      <c r="H258" s="50">
        <v>1.0</v>
      </c>
      <c r="I258" s="13" t="s">
        <v>33</v>
      </c>
      <c r="J258" s="13" t="s">
        <v>203</v>
      </c>
      <c r="K258" s="13"/>
      <c r="L258" s="34" t="s">
        <v>6497</v>
      </c>
      <c r="M258" s="46" t="s">
        <v>10113</v>
      </c>
      <c r="N258" s="106"/>
      <c r="O258" s="57" t="str">
        <f>hyperlink("https://bad-boys.us/?q=D-SD/5:19-cr-50077", "D-SD 5:19-cr-50077")</f>
        <v>D-SD 5:19-cr-50077</v>
      </c>
      <c r="P258" s="37"/>
      <c r="Q258" s="37">
        <v>1.0</v>
      </c>
      <c r="R258" s="37"/>
      <c r="S258" s="37"/>
      <c r="T258" s="38"/>
      <c r="U258" s="38" t="b">
        <f t="shared" ref="U258:U260" si="24">countif(A$5:A3006, A258)&gt;1</f>
        <v>0</v>
      </c>
      <c r="V258" s="38" t="s">
        <v>33</v>
      </c>
      <c r="W258" s="40"/>
      <c r="X258" s="40"/>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row>
    <row r="259">
      <c r="A259" s="87" t="s">
        <v>10114</v>
      </c>
      <c r="B259" s="323"/>
      <c r="C259" s="30">
        <v>43731.0</v>
      </c>
      <c r="D259" s="32"/>
      <c r="E259" s="13" t="s">
        <v>41</v>
      </c>
      <c r="F259" s="13">
        <v>1.0</v>
      </c>
      <c r="G259" s="13">
        <v>1.0</v>
      </c>
      <c r="H259" s="50">
        <v>1.0</v>
      </c>
      <c r="I259" s="13" t="s">
        <v>33</v>
      </c>
      <c r="J259" s="13" t="s">
        <v>228</v>
      </c>
      <c r="K259" s="13"/>
      <c r="L259" s="34" t="s">
        <v>9433</v>
      </c>
      <c r="M259" s="46" t="s">
        <v>10115</v>
      </c>
      <c r="N259" s="106"/>
      <c r="O259" s="57" t="str">
        <f>hyperlink("https://bad-boys.us/?q=D-PR/3:19-cr-00559", "D-PR 3:19-cr-00559")</f>
        <v>D-PR 3:19-cr-00559</v>
      </c>
      <c r="P259" s="37"/>
      <c r="Q259" s="37">
        <v>1.0</v>
      </c>
      <c r="R259" s="37"/>
      <c r="S259" s="37"/>
      <c r="T259" s="38"/>
      <c r="U259" s="38" t="b">
        <f t="shared" si="24"/>
        <v>0</v>
      </c>
      <c r="V259" s="38"/>
      <c r="W259" s="40"/>
      <c r="X259" s="40"/>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row>
    <row r="260">
      <c r="A260" s="87" t="s">
        <v>10116</v>
      </c>
      <c r="B260" s="323"/>
      <c r="C260" s="30">
        <v>43731.0</v>
      </c>
      <c r="D260" s="32"/>
      <c r="E260" s="13" t="s">
        <v>41</v>
      </c>
      <c r="F260" s="13">
        <v>1.0</v>
      </c>
      <c r="G260" s="13">
        <v>1.0</v>
      </c>
      <c r="H260" s="50">
        <v>1.0</v>
      </c>
      <c r="I260" s="13" t="s">
        <v>33</v>
      </c>
      <c r="J260" s="13" t="s">
        <v>93</v>
      </c>
      <c r="K260" s="13"/>
      <c r="L260" s="34" t="s">
        <v>9433</v>
      </c>
      <c r="M260" s="46" t="s">
        <v>10117</v>
      </c>
      <c r="N260" s="106"/>
      <c r="O260" s="16"/>
      <c r="P260" s="37"/>
      <c r="Q260" s="37"/>
      <c r="R260" s="37"/>
      <c r="S260" s="37"/>
      <c r="T260" s="38"/>
      <c r="U260" s="38" t="b">
        <f t="shared" si="24"/>
        <v>0</v>
      </c>
      <c r="V260" s="38"/>
      <c r="W260" s="40"/>
      <c r="X260" s="40"/>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row>
    <row r="261">
      <c r="A261" s="87" t="s">
        <v>10118</v>
      </c>
      <c r="B261" s="323"/>
      <c r="C261" s="30">
        <v>43733.0</v>
      </c>
      <c r="D261" s="32"/>
      <c r="E261" s="13" t="s">
        <v>41</v>
      </c>
      <c r="F261" s="13">
        <v>1.0</v>
      </c>
      <c r="G261" s="13">
        <v>1.0</v>
      </c>
      <c r="H261" s="50">
        <v>1.0</v>
      </c>
      <c r="I261" s="13" t="s">
        <v>33</v>
      </c>
      <c r="J261" s="13" t="s">
        <v>193</v>
      </c>
      <c r="K261" s="13"/>
      <c r="L261" s="34" t="s">
        <v>10119</v>
      </c>
      <c r="M261" s="46" t="s">
        <v>10120</v>
      </c>
      <c r="N261" s="106"/>
      <c r="O261" s="16"/>
      <c r="P261" s="37"/>
      <c r="Q261" s="37"/>
      <c r="R261" s="37"/>
      <c r="S261" s="37"/>
      <c r="T261" s="38"/>
      <c r="U261" s="38"/>
      <c r="V261" s="38" t="s">
        <v>33</v>
      </c>
      <c r="W261" s="40"/>
      <c r="X261" s="40"/>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row>
    <row r="262">
      <c r="A262" s="87" t="s">
        <v>10121</v>
      </c>
      <c r="B262" s="323"/>
      <c r="C262" s="30">
        <v>43735.0</v>
      </c>
      <c r="D262" s="32"/>
      <c r="E262" s="13" t="s">
        <v>41</v>
      </c>
      <c r="F262" s="13">
        <v>1.0</v>
      </c>
      <c r="G262" s="13">
        <v>1.0</v>
      </c>
      <c r="H262" s="50">
        <v>1.0</v>
      </c>
      <c r="I262" s="13" t="s">
        <v>33</v>
      </c>
      <c r="J262" s="13" t="s">
        <v>47</v>
      </c>
      <c r="K262" s="13"/>
      <c r="L262" s="34" t="s">
        <v>4960</v>
      </c>
      <c r="M262" s="46" t="s">
        <v>10122</v>
      </c>
      <c r="N262" s="106"/>
      <c r="O262" s="57" t="str">
        <f>hyperlink("https://bad-boys.us/?q=MD-FL/3:19-cr-00167", "MD-FL 3:19-cr-00167")</f>
        <v>MD-FL 3:19-cr-00167</v>
      </c>
      <c r="P262" s="37"/>
      <c r="Q262" s="37">
        <v>1.0</v>
      </c>
      <c r="R262" s="37"/>
      <c r="S262" s="37"/>
      <c r="T262" s="38"/>
      <c r="U262" s="38" t="b">
        <f t="shared" ref="U262:U263" si="25">countif(A$5:A3006, A262)&gt;1</f>
        <v>0</v>
      </c>
      <c r="V262" s="38" t="s">
        <v>3256</v>
      </c>
      <c r="W262" s="40"/>
      <c r="X262" s="40"/>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row>
    <row r="263">
      <c r="A263" s="87" t="s">
        <v>10123</v>
      </c>
      <c r="B263" s="323"/>
      <c r="C263" s="30">
        <v>43738.0</v>
      </c>
      <c r="D263" s="32"/>
      <c r="E263" s="13" t="s">
        <v>41</v>
      </c>
      <c r="F263" s="13">
        <v>1.0</v>
      </c>
      <c r="G263" s="13">
        <v>1.0</v>
      </c>
      <c r="H263" s="50">
        <v>1.0</v>
      </c>
      <c r="I263" s="13" t="s">
        <v>33</v>
      </c>
      <c r="J263" s="13" t="s">
        <v>55</v>
      </c>
      <c r="K263" s="13"/>
      <c r="L263" s="34" t="s">
        <v>10124</v>
      </c>
      <c r="M263" s="46" t="s">
        <v>10125</v>
      </c>
      <c r="N263" s="106"/>
      <c r="O263" s="57" t="str">
        <f>hyperlink("https://bad-boys.us/?q=D-NJ/2:19-cr-00531", "D-NJ 2:19-cr-00531")</f>
        <v>D-NJ 2:19-cr-00531</v>
      </c>
      <c r="P263" s="37"/>
      <c r="Q263" s="37">
        <v>1.0</v>
      </c>
      <c r="R263" s="37"/>
      <c r="S263" s="37"/>
      <c r="T263" s="38"/>
      <c r="U263" s="38" t="b">
        <f t="shared" si="25"/>
        <v>0</v>
      </c>
      <c r="V263" s="38"/>
      <c r="W263" s="40"/>
      <c r="X263" s="40"/>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row>
    <row r="264">
      <c r="A264" s="87" t="s">
        <v>10126</v>
      </c>
      <c r="B264" s="323"/>
      <c r="C264" s="31">
        <v>43739.0</v>
      </c>
      <c r="D264" s="32"/>
      <c r="E264" s="13" t="s">
        <v>41</v>
      </c>
      <c r="F264" s="13">
        <v>1.0</v>
      </c>
      <c r="G264" s="13" t="s">
        <v>32</v>
      </c>
      <c r="H264" s="50">
        <v>1.0</v>
      </c>
      <c r="I264" s="13" t="s">
        <v>33</v>
      </c>
      <c r="J264" s="13" t="s">
        <v>47</v>
      </c>
      <c r="K264" s="13"/>
      <c r="L264" s="34" t="s">
        <v>9600</v>
      </c>
      <c r="M264" s="46" t="s">
        <v>10127</v>
      </c>
      <c r="N264" s="106"/>
      <c r="O264" s="16"/>
      <c r="P264" s="37"/>
      <c r="Q264" s="37">
        <v>1.0</v>
      </c>
      <c r="R264" s="37"/>
      <c r="S264" s="37"/>
      <c r="T264" s="38"/>
      <c r="U264" s="38"/>
      <c r="V264" s="38" t="s">
        <v>33</v>
      </c>
      <c r="W264" s="40"/>
      <c r="X264" s="40"/>
      <c r="Y264" s="40"/>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row>
    <row r="265">
      <c r="A265" s="87" t="s">
        <v>10128</v>
      </c>
      <c r="B265" s="323"/>
      <c r="C265" s="31">
        <v>43739.0</v>
      </c>
      <c r="D265" s="32"/>
      <c r="E265" s="13" t="s">
        <v>41</v>
      </c>
      <c r="F265" s="13">
        <v>1.0</v>
      </c>
      <c r="G265" s="13" t="s">
        <v>32</v>
      </c>
      <c r="H265" s="50">
        <v>1.0</v>
      </c>
      <c r="I265" s="13" t="s">
        <v>33</v>
      </c>
      <c r="J265" s="13" t="s">
        <v>47</v>
      </c>
      <c r="K265" s="13"/>
      <c r="L265" s="34" t="s">
        <v>7593</v>
      </c>
      <c r="M265" s="46" t="s">
        <v>10129</v>
      </c>
      <c r="N265" s="106"/>
      <c r="O265" s="16"/>
      <c r="P265" s="37"/>
      <c r="Q265" s="37"/>
      <c r="R265" s="37"/>
      <c r="S265" s="37"/>
      <c r="T265" s="38"/>
      <c r="U265" s="38"/>
      <c r="V265" s="38" t="s">
        <v>33</v>
      </c>
      <c r="W265" s="40"/>
      <c r="X265" s="40"/>
      <c r="Y265" s="40"/>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row>
    <row r="266">
      <c r="A266" s="87" t="s">
        <v>10130</v>
      </c>
      <c r="B266" s="323"/>
      <c r="C266" s="31">
        <v>43739.0</v>
      </c>
      <c r="D266" s="32"/>
      <c r="E266" s="13" t="s">
        <v>41</v>
      </c>
      <c r="F266" s="13">
        <v>1.0</v>
      </c>
      <c r="G266" s="13">
        <v>5.0</v>
      </c>
      <c r="H266" s="50">
        <v>5.0</v>
      </c>
      <c r="I266" s="13" t="s">
        <v>33</v>
      </c>
      <c r="J266" s="13" t="s">
        <v>106</v>
      </c>
      <c r="K266" s="13"/>
      <c r="L266" s="34" t="s">
        <v>646</v>
      </c>
      <c r="M266" s="46" t="s">
        <v>10131</v>
      </c>
      <c r="N266" s="106"/>
      <c r="O266" s="16"/>
      <c r="P266" s="37"/>
      <c r="Q266" s="37"/>
      <c r="R266" s="37"/>
      <c r="S266" s="37"/>
      <c r="T266" s="38"/>
      <c r="U266" s="38"/>
      <c r="V266" s="38" t="s">
        <v>33</v>
      </c>
      <c r="W266" s="40"/>
      <c r="X266" s="40"/>
      <c r="Y266" s="40"/>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row>
    <row r="267">
      <c r="A267" s="87" t="s">
        <v>10132</v>
      </c>
      <c r="B267" s="323"/>
      <c r="C267" s="31">
        <v>43739.0</v>
      </c>
      <c r="D267" s="32"/>
      <c r="E267" s="13" t="s">
        <v>41</v>
      </c>
      <c r="F267" s="13">
        <v>1.0</v>
      </c>
      <c r="G267" s="13">
        <v>1.0</v>
      </c>
      <c r="H267" s="50">
        <v>1.0</v>
      </c>
      <c r="I267" s="13" t="s">
        <v>33</v>
      </c>
      <c r="J267" s="13" t="s">
        <v>268</v>
      </c>
      <c r="K267" s="13"/>
      <c r="L267" s="34" t="s">
        <v>2707</v>
      </c>
      <c r="M267" s="106" t="s">
        <v>10133</v>
      </c>
      <c r="N267" s="106"/>
      <c r="O267" s="16"/>
      <c r="P267" s="37"/>
      <c r="Q267" s="37"/>
      <c r="R267" s="37"/>
      <c r="S267" s="37"/>
      <c r="T267" s="38"/>
      <c r="U267" s="38" t="b">
        <f>countif(A$5:A3006, A267)&gt;1</f>
        <v>0</v>
      </c>
      <c r="V267" s="38"/>
      <c r="W267" s="40"/>
      <c r="X267" s="40"/>
      <c r="Y267" s="40"/>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row>
    <row r="268">
      <c r="A268" s="87" t="s">
        <v>10134</v>
      </c>
      <c r="B268" s="323"/>
      <c r="C268" s="31">
        <v>43739.0</v>
      </c>
      <c r="D268" s="32"/>
      <c r="E268" s="13" t="s">
        <v>41</v>
      </c>
      <c r="F268" s="13">
        <v>1.0</v>
      </c>
      <c r="G268" s="13" t="s">
        <v>32</v>
      </c>
      <c r="H268" s="50">
        <v>1.0</v>
      </c>
      <c r="I268" s="13" t="s">
        <v>33</v>
      </c>
      <c r="J268" s="13" t="s">
        <v>147</v>
      </c>
      <c r="K268" s="13"/>
      <c r="L268" s="34" t="s">
        <v>7593</v>
      </c>
      <c r="M268" s="46" t="s">
        <v>10135</v>
      </c>
      <c r="N268" s="106"/>
      <c r="O268" s="16"/>
      <c r="P268" s="37"/>
      <c r="Q268" s="37"/>
      <c r="R268" s="37"/>
      <c r="S268" s="37"/>
      <c r="T268" s="38"/>
      <c r="U268" s="38"/>
      <c r="V268" s="38" t="s">
        <v>33</v>
      </c>
      <c r="W268" s="40"/>
      <c r="X268" s="40"/>
      <c r="Y268" s="40"/>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row>
    <row r="269">
      <c r="A269" s="87" t="s">
        <v>10136</v>
      </c>
      <c r="B269" s="323"/>
      <c r="C269" s="30">
        <v>43741.0</v>
      </c>
      <c r="D269" s="32"/>
      <c r="E269" s="13" t="s">
        <v>41</v>
      </c>
      <c r="F269" s="13">
        <v>1.0</v>
      </c>
      <c r="G269" s="13" t="s">
        <v>32</v>
      </c>
      <c r="H269" s="50">
        <v>1.0</v>
      </c>
      <c r="I269" s="13" t="s">
        <v>33</v>
      </c>
      <c r="J269" s="13" t="s">
        <v>179</v>
      </c>
      <c r="K269" s="13"/>
      <c r="L269" s="34" t="s">
        <v>10137</v>
      </c>
      <c r="M269" s="46" t="s">
        <v>10138</v>
      </c>
      <c r="N269" s="106"/>
      <c r="O269" s="16"/>
      <c r="P269" s="37"/>
      <c r="Q269" s="37"/>
      <c r="R269" s="37"/>
      <c r="S269" s="37"/>
      <c r="T269" s="38"/>
      <c r="U269" s="38"/>
      <c r="V269" s="38" t="s">
        <v>33</v>
      </c>
      <c r="W269" s="40"/>
      <c r="X269" s="40"/>
      <c r="Y269" s="40"/>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row>
    <row r="270">
      <c r="A270" s="87" t="s">
        <v>10139</v>
      </c>
      <c r="B270" s="323"/>
      <c r="C270" s="30">
        <v>43747.0</v>
      </c>
      <c r="D270" s="32"/>
      <c r="E270" s="13" t="s">
        <v>41</v>
      </c>
      <c r="F270" s="13">
        <v>1.0</v>
      </c>
      <c r="G270" s="13">
        <v>1.0</v>
      </c>
      <c r="H270" s="50">
        <v>1.0</v>
      </c>
      <c r="I270" s="13" t="s">
        <v>33</v>
      </c>
      <c r="J270" s="13" t="s">
        <v>111</v>
      </c>
      <c r="K270" s="13"/>
      <c r="L270" s="34" t="s">
        <v>10140</v>
      </c>
      <c r="M270" s="282" t="s">
        <v>10141</v>
      </c>
      <c r="N270" s="106"/>
      <c r="O270" s="16"/>
      <c r="P270" s="37"/>
      <c r="Q270" s="37"/>
      <c r="R270" s="37"/>
      <c r="S270" s="37"/>
      <c r="T270" s="38"/>
      <c r="U270" s="38" t="b">
        <f t="shared" ref="U270:U273" si="26">countif(A$5:A3006, A270)&gt;1</f>
        <v>0</v>
      </c>
      <c r="V270" s="38" t="s">
        <v>33</v>
      </c>
      <c r="W270" s="40"/>
      <c r="X270" s="40"/>
      <c r="Y270" s="40"/>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row>
    <row r="271">
      <c r="A271" s="87" t="s">
        <v>10142</v>
      </c>
      <c r="B271" s="323"/>
      <c r="C271" s="30">
        <v>43746.0</v>
      </c>
      <c r="D271" s="32"/>
      <c r="E271" s="13" t="s">
        <v>31</v>
      </c>
      <c r="F271" s="13">
        <v>1.0</v>
      </c>
      <c r="G271" s="13">
        <v>1.0</v>
      </c>
      <c r="H271" s="50">
        <v>1.0</v>
      </c>
      <c r="I271" s="13" t="s">
        <v>33</v>
      </c>
      <c r="J271" s="13" t="s">
        <v>279</v>
      </c>
      <c r="K271" s="13"/>
      <c r="L271" s="34" t="s">
        <v>9433</v>
      </c>
      <c r="M271" s="106" t="s">
        <v>10143</v>
      </c>
      <c r="N271" s="46" t="s">
        <v>10144</v>
      </c>
      <c r="O271" s="57" t="str">
        <f>hyperlink("https://bad-boys.us/?q=ED-MO/4:19-cr-00842", "ED-MO 4:19-cr-00842")</f>
        <v>ED-MO 4:19-cr-00842</v>
      </c>
      <c r="P271" s="37"/>
      <c r="Q271" s="37">
        <v>1.0</v>
      </c>
      <c r="R271" s="37"/>
      <c r="S271" s="37"/>
      <c r="T271" s="38"/>
      <c r="U271" s="38" t="b">
        <f t="shared" si="26"/>
        <v>0</v>
      </c>
      <c r="V271" s="38" t="s">
        <v>33</v>
      </c>
      <c r="W271" s="40"/>
      <c r="X271" s="40"/>
      <c r="Y271" s="39" t="s">
        <v>10145</v>
      </c>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row>
    <row r="272">
      <c r="A272" s="87" t="s">
        <v>10146</v>
      </c>
      <c r="B272" s="323"/>
      <c r="C272" s="30">
        <v>43748.0</v>
      </c>
      <c r="D272" s="32"/>
      <c r="E272" s="13" t="s">
        <v>41</v>
      </c>
      <c r="F272" s="13">
        <v>1.0</v>
      </c>
      <c r="G272" s="13">
        <v>1.0</v>
      </c>
      <c r="H272" s="50">
        <v>1.0</v>
      </c>
      <c r="I272" s="13" t="s">
        <v>33</v>
      </c>
      <c r="J272" s="13" t="s">
        <v>222</v>
      </c>
      <c r="K272" s="13"/>
      <c r="L272" s="34" t="s">
        <v>9433</v>
      </c>
      <c r="M272" s="106" t="s">
        <v>10147</v>
      </c>
      <c r="N272" s="106"/>
      <c r="O272" s="16"/>
      <c r="P272" s="37"/>
      <c r="Q272" s="37"/>
      <c r="R272" s="37"/>
      <c r="S272" s="37"/>
      <c r="T272" s="38"/>
      <c r="U272" s="38" t="b">
        <f t="shared" si="26"/>
        <v>0</v>
      </c>
      <c r="V272" s="38" t="s">
        <v>33</v>
      </c>
      <c r="W272" s="40"/>
      <c r="X272" s="40"/>
      <c r="Y272" s="40"/>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row>
    <row r="273">
      <c r="A273" s="87" t="s">
        <v>10148</v>
      </c>
      <c r="B273" s="323"/>
      <c r="C273" s="30">
        <v>43754.0</v>
      </c>
      <c r="D273" s="32"/>
      <c r="E273" s="13" t="s">
        <v>41</v>
      </c>
      <c r="F273" s="13">
        <v>1.0</v>
      </c>
      <c r="G273" s="13">
        <v>1.0</v>
      </c>
      <c r="H273" s="50">
        <v>1.0</v>
      </c>
      <c r="I273" s="13" t="s">
        <v>33</v>
      </c>
      <c r="J273" s="13" t="s">
        <v>93</v>
      </c>
      <c r="K273" s="13"/>
      <c r="L273" s="34" t="s">
        <v>10045</v>
      </c>
      <c r="M273" s="282" t="s">
        <v>10149</v>
      </c>
      <c r="N273" s="106"/>
      <c r="O273" s="16"/>
      <c r="P273" s="37"/>
      <c r="Q273" s="37"/>
      <c r="R273" s="37"/>
      <c r="S273" s="37"/>
      <c r="T273" s="38"/>
      <c r="U273" s="38" t="b">
        <f t="shared" si="26"/>
        <v>0</v>
      </c>
      <c r="V273" s="38" t="s">
        <v>33</v>
      </c>
      <c r="W273" s="40"/>
      <c r="X273" s="40"/>
      <c r="Y273" s="40"/>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row>
    <row r="274">
      <c r="A274" s="87" t="s">
        <v>10150</v>
      </c>
      <c r="B274" s="327"/>
      <c r="C274" s="30">
        <v>43760.0</v>
      </c>
      <c r="D274" s="93"/>
      <c r="E274" s="13" t="s">
        <v>41</v>
      </c>
      <c r="F274" s="13">
        <v>1.0</v>
      </c>
      <c r="G274" s="13" t="s">
        <v>32</v>
      </c>
      <c r="H274" s="50">
        <v>1.0</v>
      </c>
      <c r="I274" s="13" t="s">
        <v>33</v>
      </c>
      <c r="J274" s="13" t="s">
        <v>47</v>
      </c>
      <c r="K274" s="94"/>
      <c r="L274" s="34" t="s">
        <v>7593</v>
      </c>
      <c r="M274" s="46" t="s">
        <v>10151</v>
      </c>
      <c r="N274" s="106"/>
      <c r="O274" s="64"/>
      <c r="P274" s="91"/>
      <c r="Q274" s="37"/>
      <c r="R274" s="91"/>
      <c r="S274" s="37"/>
      <c r="T274" s="38"/>
      <c r="U274" s="38"/>
      <c r="V274" s="38" t="s">
        <v>33</v>
      </c>
      <c r="W274" s="40"/>
      <c r="X274" s="40"/>
      <c r="Y274" s="40"/>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row>
    <row r="275">
      <c r="A275" s="87" t="s">
        <v>10152</v>
      </c>
      <c r="B275" s="327"/>
      <c r="C275" s="30">
        <v>43761.0</v>
      </c>
      <c r="D275" s="93"/>
      <c r="E275" s="13" t="s">
        <v>41</v>
      </c>
      <c r="F275" s="13">
        <v>1.0</v>
      </c>
      <c r="G275" s="13" t="s">
        <v>32</v>
      </c>
      <c r="H275" s="50">
        <v>1.0</v>
      </c>
      <c r="I275" s="13" t="s">
        <v>33</v>
      </c>
      <c r="J275" s="13" t="s">
        <v>279</v>
      </c>
      <c r="K275" s="94"/>
      <c r="L275" s="34" t="s">
        <v>9892</v>
      </c>
      <c r="M275" s="106" t="s">
        <v>10153</v>
      </c>
      <c r="N275" s="106"/>
      <c r="O275" s="64"/>
      <c r="P275" s="91"/>
      <c r="Q275" s="37"/>
      <c r="R275" s="91"/>
      <c r="S275" s="37"/>
      <c r="T275" s="38"/>
      <c r="U275" s="38"/>
      <c r="V275" s="38" t="s">
        <v>33</v>
      </c>
      <c r="W275" s="97"/>
      <c r="X275" s="97"/>
      <c r="Y275" s="40"/>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row>
    <row r="276">
      <c r="A276" s="87" t="s">
        <v>10154</v>
      </c>
      <c r="B276" s="327"/>
      <c r="C276" s="30">
        <v>43763.0</v>
      </c>
      <c r="D276" s="93"/>
      <c r="E276" s="13" t="s">
        <v>31</v>
      </c>
      <c r="F276" s="13">
        <v>1.0</v>
      </c>
      <c r="G276" s="13">
        <v>1.0</v>
      </c>
      <c r="H276" s="50">
        <v>1.0</v>
      </c>
      <c r="I276" s="13" t="s">
        <v>33</v>
      </c>
      <c r="J276" s="13" t="s">
        <v>440</v>
      </c>
      <c r="K276" s="94"/>
      <c r="L276" s="34" t="s">
        <v>10155</v>
      </c>
      <c r="M276" s="106" t="s">
        <v>10156</v>
      </c>
      <c r="N276" s="106" t="s">
        <v>10157</v>
      </c>
      <c r="O276" s="64"/>
      <c r="P276" s="91"/>
      <c r="Q276" s="37"/>
      <c r="R276" s="91"/>
      <c r="S276" s="37"/>
      <c r="T276" s="38"/>
      <c r="U276" s="38" t="b">
        <f t="shared" ref="U276:U277" si="27">countif(A$5:A3006, A276)&gt;1</f>
        <v>0</v>
      </c>
      <c r="V276" s="38" t="s">
        <v>33</v>
      </c>
      <c r="W276" s="39" t="s">
        <v>10158</v>
      </c>
      <c r="X276" s="39" t="s">
        <v>10159</v>
      </c>
      <c r="Y276" s="40"/>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row>
    <row r="277">
      <c r="A277" s="87" t="s">
        <v>10160</v>
      </c>
      <c r="B277" s="327"/>
      <c r="C277" s="30">
        <v>43763.0</v>
      </c>
      <c r="D277" s="93"/>
      <c r="E277" s="13" t="s">
        <v>41</v>
      </c>
      <c r="F277" s="13">
        <v>1.0</v>
      </c>
      <c r="G277" s="13" t="s">
        <v>32</v>
      </c>
      <c r="H277" s="50">
        <v>1.0</v>
      </c>
      <c r="I277" s="13" t="s">
        <v>33</v>
      </c>
      <c r="J277" s="13" t="s">
        <v>55</v>
      </c>
      <c r="K277" s="94"/>
      <c r="L277" s="34" t="s">
        <v>7593</v>
      </c>
      <c r="M277" s="46" t="s">
        <v>10161</v>
      </c>
      <c r="N277" s="106"/>
      <c r="O277" s="64"/>
      <c r="P277" s="91"/>
      <c r="Q277" s="37"/>
      <c r="R277" s="91"/>
      <c r="S277" s="37"/>
      <c r="T277" s="38"/>
      <c r="U277" s="38" t="b">
        <f t="shared" si="27"/>
        <v>0</v>
      </c>
      <c r="V277" s="38" t="s">
        <v>33</v>
      </c>
      <c r="W277" s="40"/>
      <c r="X277" s="40"/>
      <c r="Y277" s="40"/>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row>
    <row r="278">
      <c r="A278" s="87" t="s">
        <v>10162</v>
      </c>
      <c r="B278" s="327"/>
      <c r="C278" s="30">
        <v>43769.0</v>
      </c>
      <c r="D278" s="93"/>
      <c r="E278" s="13" t="s">
        <v>41</v>
      </c>
      <c r="F278" s="13">
        <v>1.0</v>
      </c>
      <c r="G278" s="13" t="s">
        <v>32</v>
      </c>
      <c r="H278" s="50">
        <v>1.0</v>
      </c>
      <c r="I278" s="13" t="s">
        <v>33</v>
      </c>
      <c r="J278" s="13" t="s">
        <v>3531</v>
      </c>
      <c r="K278" s="94"/>
      <c r="L278" s="34" t="s">
        <v>7593</v>
      </c>
      <c r="M278" s="46" t="s">
        <v>10163</v>
      </c>
      <c r="N278" s="106"/>
      <c r="O278" s="345" t="str">
        <f>hyperlink("https://bad-boys.us/?q=D-HI/1:19-cr-00154", "D-HI 1:19-cr-00154")</f>
        <v>D-HI 1:19-cr-00154</v>
      </c>
      <c r="P278" s="91"/>
      <c r="Q278" s="37">
        <v>1.0</v>
      </c>
      <c r="R278" s="91"/>
      <c r="S278" s="37"/>
      <c r="T278" s="38"/>
      <c r="U278" s="38"/>
      <c r="V278" s="38" t="s">
        <v>33</v>
      </c>
      <c r="W278" s="40"/>
      <c r="X278" s="40"/>
      <c r="Y278" s="40"/>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row>
    <row r="279">
      <c r="A279" s="87" t="s">
        <v>10164</v>
      </c>
      <c r="B279" s="327"/>
      <c r="C279" s="30" t="s">
        <v>10165</v>
      </c>
      <c r="D279" s="93"/>
      <c r="E279" s="13" t="s">
        <v>41</v>
      </c>
      <c r="F279" s="13">
        <v>1.0</v>
      </c>
      <c r="G279" s="13" t="s">
        <v>32</v>
      </c>
      <c r="H279" s="50">
        <v>1.0</v>
      </c>
      <c r="I279" s="13" t="s">
        <v>33</v>
      </c>
      <c r="J279" s="13" t="s">
        <v>514</v>
      </c>
      <c r="K279" s="94"/>
      <c r="L279" s="34" t="s">
        <v>7593</v>
      </c>
      <c r="M279" s="46" t="s">
        <v>10166</v>
      </c>
      <c r="N279" s="106"/>
      <c r="O279" s="64"/>
      <c r="P279" s="91"/>
      <c r="Q279" s="37"/>
      <c r="R279" s="91"/>
      <c r="S279" s="37"/>
      <c r="T279" s="38"/>
      <c r="U279" s="38"/>
      <c r="V279" s="38" t="s">
        <v>33</v>
      </c>
      <c r="W279" s="40"/>
      <c r="X279" s="40"/>
      <c r="Y279" s="40"/>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row>
    <row r="280">
      <c r="A280" s="87" t="s">
        <v>10167</v>
      </c>
      <c r="B280" s="327"/>
      <c r="C280" s="30">
        <v>43773.0</v>
      </c>
      <c r="D280" s="93"/>
      <c r="E280" s="13" t="s">
        <v>41</v>
      </c>
      <c r="F280" s="13">
        <v>1.0</v>
      </c>
      <c r="G280" s="13">
        <v>1.0</v>
      </c>
      <c r="H280" s="50">
        <v>1.0</v>
      </c>
      <c r="I280" s="13" t="s">
        <v>33</v>
      </c>
      <c r="J280" s="13" t="s">
        <v>184</v>
      </c>
      <c r="K280" s="94"/>
      <c r="L280" s="34" t="s">
        <v>7593</v>
      </c>
      <c r="M280" s="46" t="s">
        <v>10168</v>
      </c>
      <c r="N280" s="106"/>
      <c r="O280" s="64"/>
      <c r="P280" s="91"/>
      <c r="Q280" s="37"/>
      <c r="R280" s="91"/>
      <c r="S280" s="37"/>
      <c r="T280" s="38"/>
      <c r="U280" s="38" t="b">
        <f t="shared" ref="U280:U289" si="28">countif(A$5:A3006, A280)&gt;1</f>
        <v>0</v>
      </c>
      <c r="V280" s="38" t="s">
        <v>33</v>
      </c>
      <c r="W280" s="40"/>
      <c r="X280" s="40"/>
      <c r="Y280" s="40"/>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row>
    <row r="281">
      <c r="A281" s="87" t="s">
        <v>10169</v>
      </c>
      <c r="B281" s="327"/>
      <c r="C281" s="30">
        <v>43773.0</v>
      </c>
      <c r="D281" s="93"/>
      <c r="E281" s="13" t="s">
        <v>41</v>
      </c>
      <c r="F281" s="13">
        <v>1.0</v>
      </c>
      <c r="G281" s="13">
        <v>1.0</v>
      </c>
      <c r="H281" s="50">
        <v>1.0</v>
      </c>
      <c r="I281" s="13" t="s">
        <v>33</v>
      </c>
      <c r="J281" s="13" t="s">
        <v>184</v>
      </c>
      <c r="K281" s="94"/>
      <c r="L281" s="34" t="s">
        <v>7593</v>
      </c>
      <c r="M281" s="106" t="s">
        <v>10168</v>
      </c>
      <c r="N281" s="106"/>
      <c r="O281" s="64"/>
      <c r="P281" s="91"/>
      <c r="Q281" s="37"/>
      <c r="R281" s="91"/>
      <c r="S281" s="37"/>
      <c r="T281" s="38"/>
      <c r="U281" s="38" t="b">
        <f t="shared" si="28"/>
        <v>0</v>
      </c>
      <c r="V281" s="38" t="s">
        <v>33</v>
      </c>
      <c r="W281" s="40"/>
      <c r="X281" s="40"/>
      <c r="Y281" s="40"/>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row>
    <row r="282">
      <c r="A282" s="87" t="s">
        <v>10170</v>
      </c>
      <c r="B282" s="327"/>
      <c r="C282" s="30">
        <v>43773.0</v>
      </c>
      <c r="D282" s="93"/>
      <c r="E282" s="13" t="s">
        <v>41</v>
      </c>
      <c r="F282" s="13">
        <v>1.0</v>
      </c>
      <c r="G282" s="13">
        <v>1.0</v>
      </c>
      <c r="H282" s="50">
        <v>1.0</v>
      </c>
      <c r="I282" s="13" t="s">
        <v>33</v>
      </c>
      <c r="J282" s="13" t="s">
        <v>184</v>
      </c>
      <c r="K282" s="94"/>
      <c r="L282" s="34" t="s">
        <v>7593</v>
      </c>
      <c r="M282" s="106" t="s">
        <v>10168</v>
      </c>
      <c r="N282" s="106"/>
      <c r="O282" s="64"/>
      <c r="P282" s="91"/>
      <c r="Q282" s="37"/>
      <c r="R282" s="91"/>
      <c r="S282" s="37"/>
      <c r="T282" s="38"/>
      <c r="U282" s="38" t="b">
        <f t="shared" si="28"/>
        <v>0</v>
      </c>
      <c r="V282" s="38" t="s">
        <v>33</v>
      </c>
      <c r="W282" s="40"/>
      <c r="X282" s="40"/>
      <c r="Y282" s="40"/>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row>
    <row r="283">
      <c r="A283" s="87" t="s">
        <v>10171</v>
      </c>
      <c r="B283" s="327"/>
      <c r="C283" s="30">
        <v>43773.0</v>
      </c>
      <c r="D283" s="93"/>
      <c r="E283" s="13" t="s">
        <v>41</v>
      </c>
      <c r="F283" s="13">
        <v>1.0</v>
      </c>
      <c r="G283" s="13">
        <v>1.0</v>
      </c>
      <c r="H283" s="50">
        <v>1.0</v>
      </c>
      <c r="I283" s="13" t="s">
        <v>33</v>
      </c>
      <c r="J283" s="13" t="s">
        <v>184</v>
      </c>
      <c r="K283" s="94"/>
      <c r="L283" s="34" t="s">
        <v>7593</v>
      </c>
      <c r="M283" s="106" t="s">
        <v>10168</v>
      </c>
      <c r="N283" s="106"/>
      <c r="O283" s="64"/>
      <c r="P283" s="91"/>
      <c r="Q283" s="37"/>
      <c r="R283" s="91"/>
      <c r="S283" s="37"/>
      <c r="T283" s="38"/>
      <c r="U283" s="38" t="b">
        <f t="shared" si="28"/>
        <v>0</v>
      </c>
      <c r="V283" s="38" t="s">
        <v>33</v>
      </c>
      <c r="W283" s="40"/>
      <c r="X283" s="40"/>
      <c r="Y283" s="40"/>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row>
    <row r="284">
      <c r="A284" s="87" t="s">
        <v>10172</v>
      </c>
      <c r="B284" s="327"/>
      <c r="C284" s="30">
        <v>43773.0</v>
      </c>
      <c r="D284" s="93"/>
      <c r="E284" s="13" t="s">
        <v>41</v>
      </c>
      <c r="F284" s="13">
        <v>1.0</v>
      </c>
      <c r="G284" s="13">
        <v>1.0</v>
      </c>
      <c r="H284" s="50">
        <v>1.0</v>
      </c>
      <c r="I284" s="13" t="s">
        <v>33</v>
      </c>
      <c r="J284" s="13" t="s">
        <v>184</v>
      </c>
      <c r="K284" s="94"/>
      <c r="L284" s="34" t="s">
        <v>7593</v>
      </c>
      <c r="M284" s="106" t="s">
        <v>10168</v>
      </c>
      <c r="N284" s="106"/>
      <c r="O284" s="64"/>
      <c r="P284" s="91"/>
      <c r="Q284" s="37"/>
      <c r="R284" s="91"/>
      <c r="S284" s="37"/>
      <c r="T284" s="38"/>
      <c r="U284" s="38" t="b">
        <f t="shared" si="28"/>
        <v>0</v>
      </c>
      <c r="V284" s="38" t="s">
        <v>33</v>
      </c>
      <c r="W284" s="40"/>
      <c r="X284" s="40"/>
      <c r="Y284" s="40"/>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row>
    <row r="285">
      <c r="A285" s="87" t="s">
        <v>10173</v>
      </c>
      <c r="B285" s="327"/>
      <c r="C285" s="30">
        <v>43773.0</v>
      </c>
      <c r="D285" s="93"/>
      <c r="E285" s="13" t="s">
        <v>41</v>
      </c>
      <c r="F285" s="13">
        <v>1.0</v>
      </c>
      <c r="G285" s="13">
        <v>1.0</v>
      </c>
      <c r="H285" s="50">
        <v>1.0</v>
      </c>
      <c r="I285" s="13" t="s">
        <v>33</v>
      </c>
      <c r="J285" s="13" t="s">
        <v>184</v>
      </c>
      <c r="K285" s="94"/>
      <c r="L285" s="34" t="s">
        <v>7593</v>
      </c>
      <c r="M285" s="106" t="s">
        <v>10168</v>
      </c>
      <c r="N285" s="106"/>
      <c r="O285" s="64"/>
      <c r="P285" s="91"/>
      <c r="Q285" s="37"/>
      <c r="R285" s="91"/>
      <c r="S285" s="37"/>
      <c r="T285" s="38"/>
      <c r="U285" s="38" t="b">
        <f t="shared" si="28"/>
        <v>0</v>
      </c>
      <c r="V285" s="38" t="s">
        <v>33</v>
      </c>
      <c r="W285" s="40"/>
      <c r="X285" s="40"/>
      <c r="Y285" s="40"/>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row>
    <row r="286">
      <c r="A286" s="87" t="s">
        <v>10174</v>
      </c>
      <c r="B286" s="327"/>
      <c r="C286" s="30">
        <v>43773.0</v>
      </c>
      <c r="D286" s="93"/>
      <c r="E286" s="13" t="s">
        <v>41</v>
      </c>
      <c r="F286" s="13">
        <v>1.0</v>
      </c>
      <c r="G286" s="13">
        <v>1.0</v>
      </c>
      <c r="H286" s="50">
        <v>1.0</v>
      </c>
      <c r="I286" s="13" t="s">
        <v>33</v>
      </c>
      <c r="J286" s="13" t="s">
        <v>184</v>
      </c>
      <c r="K286" s="94"/>
      <c r="L286" s="34" t="s">
        <v>7593</v>
      </c>
      <c r="M286" s="106" t="s">
        <v>10168</v>
      </c>
      <c r="N286" s="106"/>
      <c r="O286" s="64"/>
      <c r="P286" s="91"/>
      <c r="Q286" s="37"/>
      <c r="R286" s="91"/>
      <c r="S286" s="37"/>
      <c r="T286" s="38"/>
      <c r="U286" s="38" t="b">
        <f t="shared" si="28"/>
        <v>0</v>
      </c>
      <c r="V286" s="38" t="s">
        <v>33</v>
      </c>
      <c r="W286" s="40"/>
      <c r="X286" s="40"/>
      <c r="Y286" s="40"/>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row>
    <row r="287">
      <c r="A287" s="87" t="s">
        <v>10175</v>
      </c>
      <c r="B287" s="327"/>
      <c r="C287" s="30">
        <v>43773.0</v>
      </c>
      <c r="D287" s="93"/>
      <c r="E287" s="13" t="s">
        <v>41</v>
      </c>
      <c r="F287" s="13">
        <v>1.0</v>
      </c>
      <c r="G287" s="13">
        <v>1.0</v>
      </c>
      <c r="H287" s="50">
        <v>1.0</v>
      </c>
      <c r="I287" s="13" t="s">
        <v>33</v>
      </c>
      <c r="J287" s="13" t="s">
        <v>184</v>
      </c>
      <c r="K287" s="94"/>
      <c r="L287" s="34" t="s">
        <v>7593</v>
      </c>
      <c r="M287" s="106" t="s">
        <v>10168</v>
      </c>
      <c r="N287" s="106"/>
      <c r="O287" s="64"/>
      <c r="P287" s="91"/>
      <c r="Q287" s="37"/>
      <c r="R287" s="91"/>
      <c r="S287" s="37"/>
      <c r="T287" s="38"/>
      <c r="U287" s="38" t="b">
        <f t="shared" si="28"/>
        <v>0</v>
      </c>
      <c r="V287" s="38" t="s">
        <v>33</v>
      </c>
      <c r="W287" s="40"/>
      <c r="X287" s="40"/>
      <c r="Y287" s="40"/>
      <c r="Z287" s="96"/>
      <c r="AA287" s="96"/>
      <c r="AB287" s="96"/>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96"/>
      <c r="AZ287" s="96"/>
      <c r="BA287" s="96"/>
      <c r="BB287" s="96"/>
      <c r="BC287" s="96"/>
      <c r="BD287" s="96"/>
      <c r="BE287" s="96"/>
      <c r="BF287" s="96"/>
      <c r="BG287" s="96"/>
      <c r="BH287" s="96"/>
      <c r="BI287" s="96"/>
      <c r="BJ287" s="96"/>
      <c r="BK287" s="96"/>
      <c r="BL287" s="96"/>
      <c r="BM287" s="96"/>
      <c r="BN287" s="96"/>
      <c r="BO287" s="96"/>
      <c r="BP287" s="96"/>
      <c r="BQ287" s="96"/>
    </row>
    <row r="288">
      <c r="A288" s="87" t="s">
        <v>10176</v>
      </c>
      <c r="B288" s="327"/>
      <c r="C288" s="30">
        <v>43773.0</v>
      </c>
      <c r="D288" s="93"/>
      <c r="E288" s="13" t="s">
        <v>41</v>
      </c>
      <c r="F288" s="13">
        <v>1.0</v>
      </c>
      <c r="G288" s="13">
        <v>1.0</v>
      </c>
      <c r="H288" s="50">
        <v>1.0</v>
      </c>
      <c r="I288" s="13" t="s">
        <v>33</v>
      </c>
      <c r="J288" s="13" t="s">
        <v>184</v>
      </c>
      <c r="K288" s="94"/>
      <c r="L288" s="34" t="s">
        <v>7593</v>
      </c>
      <c r="M288" s="106" t="s">
        <v>10168</v>
      </c>
      <c r="N288" s="106"/>
      <c r="O288" s="64"/>
      <c r="P288" s="91"/>
      <c r="Q288" s="37"/>
      <c r="R288" s="91"/>
      <c r="S288" s="37"/>
      <c r="T288" s="38"/>
      <c r="U288" s="38" t="b">
        <f t="shared" si="28"/>
        <v>0</v>
      </c>
      <c r="V288" s="38" t="s">
        <v>33</v>
      </c>
      <c r="W288" s="40"/>
      <c r="X288" s="40"/>
      <c r="Y288" s="40"/>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96"/>
      <c r="BG288" s="96"/>
      <c r="BH288" s="96"/>
      <c r="BI288" s="96"/>
      <c r="BJ288" s="96"/>
      <c r="BK288" s="96"/>
      <c r="BL288" s="96"/>
      <c r="BM288" s="96"/>
      <c r="BN288" s="96"/>
      <c r="BO288" s="96"/>
      <c r="BP288" s="96"/>
      <c r="BQ288" s="96"/>
    </row>
    <row r="289">
      <c r="A289" s="87" t="s">
        <v>10177</v>
      </c>
      <c r="B289" s="327"/>
      <c r="C289" s="30">
        <v>43774.0</v>
      </c>
      <c r="D289" s="93"/>
      <c r="E289" s="13" t="s">
        <v>41</v>
      </c>
      <c r="F289" s="13">
        <v>1.0</v>
      </c>
      <c r="G289" s="13">
        <v>1.0</v>
      </c>
      <c r="H289" s="50">
        <v>1.0</v>
      </c>
      <c r="I289" s="13" t="s">
        <v>33</v>
      </c>
      <c r="J289" s="13" t="s">
        <v>222</v>
      </c>
      <c r="K289" s="94"/>
      <c r="L289" s="34" t="s">
        <v>9405</v>
      </c>
      <c r="M289" s="46" t="s">
        <v>10178</v>
      </c>
      <c r="N289" s="106"/>
      <c r="O289" s="345" t="str">
        <f>hyperlink("https://bad-boys.us/?q=ED-WI/1:19-cr-00189", "ED-WI 1:19-cr-00189")</f>
        <v>ED-WI 1:19-cr-00189</v>
      </c>
      <c r="P289" s="91"/>
      <c r="Q289" s="37">
        <v>1.0</v>
      </c>
      <c r="R289" s="37"/>
      <c r="S289" s="37"/>
      <c r="T289" s="38"/>
      <c r="U289" s="38" t="b">
        <f t="shared" si="28"/>
        <v>0</v>
      </c>
      <c r="V289" s="38"/>
      <c r="W289" s="40"/>
      <c r="X289" s="40"/>
      <c r="Y289" s="40"/>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96"/>
      <c r="AZ289" s="96"/>
      <c r="BA289" s="96"/>
      <c r="BB289" s="96"/>
      <c r="BC289" s="96"/>
      <c r="BD289" s="96"/>
      <c r="BE289" s="96"/>
      <c r="BF289" s="96"/>
      <c r="BG289" s="96"/>
      <c r="BH289" s="96"/>
      <c r="BI289" s="96"/>
      <c r="BJ289" s="96"/>
      <c r="BK289" s="96"/>
      <c r="BL289" s="96"/>
      <c r="BM289" s="96"/>
      <c r="BN289" s="96"/>
      <c r="BO289" s="96"/>
      <c r="BP289" s="96"/>
      <c r="BQ289" s="96"/>
    </row>
    <row r="290">
      <c r="A290" s="87" t="s">
        <v>10179</v>
      </c>
      <c r="B290" s="92"/>
      <c r="C290" s="30">
        <v>43775.0</v>
      </c>
      <c r="D290" s="92"/>
      <c r="E290" s="13" t="s">
        <v>31</v>
      </c>
      <c r="F290" s="13">
        <v>1.0</v>
      </c>
      <c r="G290" s="13">
        <v>2.0</v>
      </c>
      <c r="H290" s="50">
        <v>2.0</v>
      </c>
      <c r="I290" s="13" t="s">
        <v>33</v>
      </c>
      <c r="J290" s="13" t="s">
        <v>147</v>
      </c>
      <c r="K290" s="92"/>
      <c r="L290" s="34" t="s">
        <v>9991</v>
      </c>
      <c r="M290" s="46" t="s">
        <v>10180</v>
      </c>
      <c r="N290" s="106"/>
      <c r="O290" s="99"/>
      <c r="P290" s="145"/>
      <c r="Q290" s="37"/>
      <c r="R290" s="145"/>
      <c r="S290" s="99"/>
      <c r="T290" s="279"/>
      <c r="U290" s="38"/>
      <c r="V290" s="38" t="s">
        <v>33</v>
      </c>
      <c r="W290" s="39" t="s">
        <v>10181</v>
      </c>
      <c r="X290" s="39" t="s">
        <v>10182</v>
      </c>
      <c r="Y290" s="278"/>
      <c r="Z290" s="313"/>
      <c r="AA290" s="313"/>
      <c r="AB290" s="313"/>
      <c r="AC290" s="313"/>
      <c r="AD290" s="313"/>
      <c r="AE290" s="313"/>
      <c r="AF290" s="313"/>
      <c r="AG290" s="313"/>
      <c r="AH290" s="313"/>
      <c r="AI290" s="313"/>
      <c r="AJ290" s="313"/>
      <c r="AK290" s="313"/>
      <c r="AL290" s="313"/>
      <c r="AM290" s="313"/>
      <c r="AN290" s="313"/>
      <c r="AO290" s="313"/>
      <c r="AP290" s="313"/>
      <c r="AQ290" s="313"/>
      <c r="AR290" s="313"/>
      <c r="AS290" s="313"/>
      <c r="AT290" s="313"/>
      <c r="AU290" s="313"/>
      <c r="AV290" s="313"/>
      <c r="AW290" s="313"/>
      <c r="AX290" s="313"/>
      <c r="AY290" s="313"/>
      <c r="AZ290" s="313"/>
      <c r="BA290" s="313"/>
      <c r="BB290" s="313"/>
      <c r="BC290" s="313"/>
      <c r="BD290" s="313"/>
      <c r="BE290" s="313"/>
      <c r="BF290" s="313"/>
      <c r="BG290" s="313"/>
      <c r="BH290" s="313"/>
      <c r="BI290" s="313"/>
      <c r="BJ290" s="313"/>
      <c r="BK290" s="313"/>
      <c r="BL290" s="313"/>
      <c r="BM290" s="313"/>
      <c r="BN290" s="313"/>
      <c r="BO290" s="313"/>
      <c r="BP290" s="313"/>
      <c r="BQ290" s="313"/>
    </row>
    <row r="291">
      <c r="A291" s="346" t="s">
        <v>10183</v>
      </c>
      <c r="B291" s="92"/>
      <c r="C291" s="30">
        <v>43776.0</v>
      </c>
      <c r="D291" s="92"/>
      <c r="E291" s="13" t="s">
        <v>31</v>
      </c>
      <c r="F291" s="13">
        <v>1.0</v>
      </c>
      <c r="G291" s="13">
        <v>1.0</v>
      </c>
      <c r="H291" s="50">
        <v>1.0</v>
      </c>
      <c r="I291" s="13" t="s">
        <v>33</v>
      </c>
      <c r="J291" s="13" t="s">
        <v>98</v>
      </c>
      <c r="K291" s="92"/>
      <c r="L291" s="34" t="s">
        <v>10184</v>
      </c>
      <c r="M291" s="106" t="s">
        <v>10185</v>
      </c>
      <c r="N291" s="287" t="s">
        <v>10186</v>
      </c>
      <c r="O291" s="347" t="str">
        <f t="shared" ref="O291:O292" si="29">hyperlink("https://bad-boys.us/?q=SD-GA/4:19-cr-00170", "SD-GA 4:19-cr-00170")</f>
        <v>SD-GA 4:19-cr-00170</v>
      </c>
      <c r="P291" s="145"/>
      <c r="Q291" s="37">
        <v>1.0</v>
      </c>
      <c r="R291" s="145"/>
      <c r="S291" s="99"/>
      <c r="T291" s="279"/>
      <c r="U291" s="38" t="b">
        <f t="shared" ref="U291:U294" si="30">countif(A$5:A3006, A291)&gt;1</f>
        <v>0</v>
      </c>
      <c r="V291" s="38" t="s">
        <v>33</v>
      </c>
      <c r="W291" s="39" t="s">
        <v>10187</v>
      </c>
      <c r="X291" s="39" t="s">
        <v>10188</v>
      </c>
      <c r="Y291" s="278"/>
      <c r="Z291" s="313"/>
      <c r="AA291" s="313"/>
      <c r="AB291" s="313"/>
      <c r="AC291" s="313"/>
      <c r="AD291" s="313"/>
      <c r="AE291" s="313"/>
      <c r="AF291" s="313"/>
      <c r="AG291" s="313"/>
      <c r="AH291" s="313"/>
      <c r="AI291" s="313"/>
      <c r="AJ291" s="313"/>
      <c r="AK291" s="313"/>
      <c r="AL291" s="313"/>
      <c r="AM291" s="313"/>
      <c r="AN291" s="313"/>
      <c r="AO291" s="313"/>
      <c r="AP291" s="313"/>
      <c r="AQ291" s="313"/>
      <c r="AR291" s="313"/>
      <c r="AS291" s="313"/>
      <c r="AT291" s="313"/>
      <c r="AU291" s="313"/>
      <c r="AV291" s="313"/>
      <c r="AW291" s="313"/>
      <c r="AX291" s="313"/>
      <c r="AY291" s="313"/>
      <c r="AZ291" s="313"/>
      <c r="BA291" s="313"/>
      <c r="BB291" s="313"/>
      <c r="BC291" s="313"/>
      <c r="BD291" s="313"/>
      <c r="BE291" s="313"/>
      <c r="BF291" s="313"/>
      <c r="BG291" s="313"/>
      <c r="BH291" s="313"/>
      <c r="BI291" s="313"/>
      <c r="BJ291" s="313"/>
      <c r="BK291" s="313"/>
      <c r="BL291" s="313"/>
      <c r="BM291" s="313"/>
      <c r="BN291" s="313"/>
      <c r="BO291" s="313"/>
      <c r="BP291" s="313"/>
      <c r="BQ291" s="313"/>
    </row>
    <row r="292">
      <c r="A292" s="87" t="s">
        <v>10189</v>
      </c>
      <c r="B292" s="92"/>
      <c r="C292" s="92">
        <v>43776.0</v>
      </c>
      <c r="D292" s="92"/>
      <c r="E292" s="94" t="s">
        <v>31</v>
      </c>
      <c r="F292" s="94">
        <v>1.0</v>
      </c>
      <c r="G292" s="94">
        <v>1.0</v>
      </c>
      <c r="H292" s="328">
        <v>1.0</v>
      </c>
      <c r="I292" s="94" t="s">
        <v>33</v>
      </c>
      <c r="J292" s="94" t="s">
        <v>98</v>
      </c>
      <c r="K292" s="92"/>
      <c r="L292" s="329" t="s">
        <v>10184</v>
      </c>
      <c r="M292" s="282" t="s">
        <v>10190</v>
      </c>
      <c r="N292" s="288" t="s">
        <v>10186</v>
      </c>
      <c r="O292" s="348" t="str">
        <f t="shared" si="29"/>
        <v>SD-GA 4:19-cr-00170</v>
      </c>
      <c r="P292" s="145"/>
      <c r="Q292" s="37">
        <v>1.0</v>
      </c>
      <c r="R292" s="145"/>
      <c r="S292" s="145"/>
      <c r="T292" s="313"/>
      <c r="U292" s="38" t="b">
        <f t="shared" si="30"/>
        <v>0</v>
      </c>
      <c r="V292" s="96" t="s">
        <v>33</v>
      </c>
      <c r="W292" s="97" t="s">
        <v>10187</v>
      </c>
      <c r="X292" s="97" t="s">
        <v>10188</v>
      </c>
      <c r="Y292" s="349"/>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row>
    <row r="293">
      <c r="A293" s="87" t="s">
        <v>10191</v>
      </c>
      <c r="B293" s="92"/>
      <c r="C293" s="30">
        <v>43777.0</v>
      </c>
      <c r="D293" s="92"/>
      <c r="E293" s="13" t="s">
        <v>41</v>
      </c>
      <c r="F293" s="13">
        <v>1.0</v>
      </c>
      <c r="G293" s="13">
        <v>1.0</v>
      </c>
      <c r="H293" s="50">
        <v>1.0</v>
      </c>
      <c r="I293" s="13" t="s">
        <v>33</v>
      </c>
      <c r="J293" s="13" t="s">
        <v>228</v>
      </c>
      <c r="K293" s="92"/>
      <c r="L293" s="34" t="s">
        <v>7593</v>
      </c>
      <c r="M293" s="46" t="s">
        <v>10192</v>
      </c>
      <c r="N293" s="288"/>
      <c r="O293" s="145"/>
      <c r="P293" s="145"/>
      <c r="Q293" s="91"/>
      <c r="R293" s="145"/>
      <c r="S293" s="145"/>
      <c r="T293" s="313"/>
      <c r="U293" s="38" t="b">
        <f t="shared" si="30"/>
        <v>0</v>
      </c>
      <c r="V293" s="38" t="s">
        <v>33</v>
      </c>
      <c r="W293" s="97"/>
      <c r="X293" s="97"/>
      <c r="Y293" s="349"/>
      <c r="Z293" s="313"/>
      <c r="AA293" s="313"/>
      <c r="AB293" s="313"/>
      <c r="AC293" s="313"/>
      <c r="AD293" s="313"/>
      <c r="AE293" s="313"/>
      <c r="AF293" s="313"/>
      <c r="AG293" s="313"/>
      <c r="AH293" s="313"/>
      <c r="AI293" s="313"/>
      <c r="AJ293" s="313"/>
      <c r="AK293" s="313"/>
      <c r="AL293" s="313"/>
      <c r="AM293" s="313"/>
      <c r="AN293" s="313"/>
      <c r="AO293" s="313"/>
      <c r="AP293" s="313"/>
      <c r="AQ293" s="313"/>
      <c r="AR293" s="313"/>
      <c r="AS293" s="313"/>
      <c r="AT293" s="313"/>
      <c r="AU293" s="313"/>
      <c r="AV293" s="313"/>
      <c r="AW293" s="313"/>
      <c r="AX293" s="313"/>
      <c r="AY293" s="313"/>
      <c r="AZ293" s="313"/>
      <c r="BA293" s="313"/>
      <c r="BB293" s="313"/>
      <c r="BC293" s="313"/>
      <c r="BD293" s="313"/>
      <c r="BE293" s="313"/>
      <c r="BF293" s="313"/>
      <c r="BG293" s="313"/>
      <c r="BH293" s="313"/>
      <c r="BI293" s="313"/>
      <c r="BJ293" s="313"/>
      <c r="BK293" s="313"/>
      <c r="BL293" s="313"/>
      <c r="BM293" s="313"/>
      <c r="BN293" s="313"/>
      <c r="BO293" s="313"/>
      <c r="BP293" s="313"/>
      <c r="BQ293" s="313"/>
    </row>
    <row r="294">
      <c r="A294" s="87" t="s">
        <v>10193</v>
      </c>
      <c r="B294" s="92"/>
      <c r="C294" s="30">
        <v>43782.0</v>
      </c>
      <c r="D294" s="92"/>
      <c r="E294" s="13" t="s">
        <v>41</v>
      </c>
      <c r="F294" s="13">
        <v>1.0</v>
      </c>
      <c r="G294" s="13">
        <v>1.0</v>
      </c>
      <c r="H294" s="50">
        <v>1.0</v>
      </c>
      <c r="I294" s="13" t="s">
        <v>33</v>
      </c>
      <c r="J294" s="13" t="s">
        <v>203</v>
      </c>
      <c r="K294" s="92"/>
      <c r="L294" s="34" t="s">
        <v>9396</v>
      </c>
      <c r="M294" s="46" t="s">
        <v>10194</v>
      </c>
      <c r="N294" s="288"/>
      <c r="O294" s="348" t="str">
        <f>hyperlink("https://bad-boys.us/?q=D-SD/3:19-cr-30151", "D-SD 3:19-cr-30151")</f>
        <v>D-SD 3:19-cr-30151</v>
      </c>
      <c r="P294" s="145"/>
      <c r="Q294" s="37">
        <v>1.0</v>
      </c>
      <c r="R294" s="145"/>
      <c r="S294" s="145"/>
      <c r="T294" s="313"/>
      <c r="U294" s="38" t="b">
        <f t="shared" si="30"/>
        <v>0</v>
      </c>
      <c r="V294" s="38" t="s">
        <v>33</v>
      </c>
      <c r="W294" s="97"/>
      <c r="X294" s="97"/>
      <c r="Y294" s="349"/>
      <c r="Z294" s="313"/>
      <c r="AA294" s="313"/>
      <c r="AB294" s="313"/>
      <c r="AC294" s="313"/>
      <c r="AD294" s="313"/>
      <c r="AE294" s="313"/>
      <c r="AF294" s="313"/>
      <c r="AG294" s="313"/>
      <c r="AH294" s="313"/>
      <c r="AI294" s="313"/>
      <c r="AJ294" s="313"/>
      <c r="AK294" s="313"/>
      <c r="AL294" s="313"/>
      <c r="AM294" s="313"/>
      <c r="AN294" s="313"/>
      <c r="AO294" s="313"/>
      <c r="AP294" s="313"/>
      <c r="AQ294" s="313"/>
      <c r="AR294" s="313"/>
      <c r="AS294" s="313"/>
      <c r="AT294" s="313"/>
      <c r="AU294" s="313"/>
      <c r="AV294" s="313"/>
      <c r="AW294" s="313"/>
      <c r="AX294" s="313"/>
      <c r="AY294" s="313"/>
      <c r="AZ294" s="313"/>
      <c r="BA294" s="313"/>
      <c r="BB294" s="313"/>
      <c r="BC294" s="313"/>
      <c r="BD294" s="313"/>
      <c r="BE294" s="313"/>
      <c r="BF294" s="313"/>
      <c r="BG294" s="313"/>
      <c r="BH294" s="313"/>
      <c r="BI294" s="313"/>
      <c r="BJ294" s="313"/>
      <c r="BK294" s="313"/>
      <c r="BL294" s="313"/>
      <c r="BM294" s="313"/>
      <c r="BN294" s="313"/>
      <c r="BO294" s="313"/>
      <c r="BP294" s="313"/>
      <c r="BQ294" s="313"/>
    </row>
    <row r="295">
      <c r="A295" s="87" t="s">
        <v>10195</v>
      </c>
      <c r="B295" s="92"/>
      <c r="C295" s="30">
        <v>43782.0</v>
      </c>
      <c r="D295" s="92"/>
      <c r="E295" s="13" t="s">
        <v>31</v>
      </c>
      <c r="F295" s="13">
        <v>1.0</v>
      </c>
      <c r="G295" s="13">
        <v>1.0</v>
      </c>
      <c r="H295" s="50">
        <v>1.0</v>
      </c>
      <c r="I295" s="13" t="s">
        <v>33</v>
      </c>
      <c r="J295" s="13" t="s">
        <v>147</v>
      </c>
      <c r="K295" s="92"/>
      <c r="L295" s="34" t="s">
        <v>10196</v>
      </c>
      <c r="M295" s="46" t="s">
        <v>10197</v>
      </c>
      <c r="N295" s="46" t="s">
        <v>10198</v>
      </c>
      <c r="O295" s="145"/>
      <c r="P295" s="145"/>
      <c r="Q295" s="37">
        <v>1.0</v>
      </c>
      <c r="R295" s="145"/>
      <c r="S295" s="145"/>
      <c r="T295" s="313"/>
      <c r="U295" s="38"/>
      <c r="V295" s="38" t="s">
        <v>33</v>
      </c>
      <c r="W295" s="39" t="s">
        <v>10199</v>
      </c>
      <c r="X295" s="39" t="s">
        <v>10200</v>
      </c>
      <c r="Y295" s="349"/>
      <c r="Z295" s="313"/>
      <c r="AA295" s="313"/>
      <c r="AB295" s="313"/>
      <c r="AC295" s="313"/>
      <c r="AD295" s="313"/>
      <c r="AE295" s="313"/>
      <c r="AF295" s="313"/>
      <c r="AG295" s="313"/>
      <c r="AH295" s="313"/>
      <c r="AI295" s="313"/>
      <c r="AJ295" s="313"/>
      <c r="AK295" s="313"/>
      <c r="AL295" s="313"/>
      <c r="AM295" s="313"/>
      <c r="AN295" s="313"/>
      <c r="AO295" s="313"/>
      <c r="AP295" s="313"/>
      <c r="AQ295" s="313"/>
      <c r="AR295" s="313"/>
      <c r="AS295" s="313"/>
      <c r="AT295" s="313"/>
      <c r="AU295" s="313"/>
      <c r="AV295" s="313"/>
      <c r="AW295" s="313"/>
      <c r="AX295" s="313"/>
      <c r="AY295" s="313"/>
      <c r="AZ295" s="313"/>
      <c r="BA295" s="313"/>
      <c r="BB295" s="313"/>
      <c r="BC295" s="313"/>
      <c r="BD295" s="313"/>
      <c r="BE295" s="313"/>
      <c r="BF295" s="313"/>
      <c r="BG295" s="313"/>
      <c r="BH295" s="313"/>
      <c r="BI295" s="313"/>
      <c r="BJ295" s="313"/>
      <c r="BK295" s="313"/>
      <c r="BL295" s="313"/>
      <c r="BM295" s="313"/>
      <c r="BN295" s="313"/>
      <c r="BO295" s="313"/>
      <c r="BP295" s="313"/>
      <c r="BQ295" s="313"/>
    </row>
    <row r="296">
      <c r="A296" s="87" t="s">
        <v>10201</v>
      </c>
      <c r="B296" s="92"/>
      <c r="C296" s="30">
        <v>43790.0</v>
      </c>
      <c r="D296" s="92"/>
      <c r="E296" s="13" t="s">
        <v>41</v>
      </c>
      <c r="F296" s="13">
        <v>1.0</v>
      </c>
      <c r="G296" s="13" t="s">
        <v>32</v>
      </c>
      <c r="H296" s="50">
        <v>1.0</v>
      </c>
      <c r="I296" s="13" t="s">
        <v>33</v>
      </c>
      <c r="J296" s="13" t="s">
        <v>343</v>
      </c>
      <c r="K296" s="92"/>
      <c r="L296" s="34" t="s">
        <v>9433</v>
      </c>
      <c r="M296" s="106" t="s">
        <v>10202</v>
      </c>
      <c r="N296" s="288"/>
      <c r="O296" s="348" t="str">
        <f>hyperlink("https://bad-boys.us/?q=SD-WV/5:19-cr-00294", "SD-WV 5:19-cr-00294")</f>
        <v>SD-WV 5:19-cr-00294</v>
      </c>
      <c r="P296" s="145"/>
      <c r="Q296" s="37">
        <v>1.0</v>
      </c>
      <c r="R296" s="145"/>
      <c r="S296" s="145"/>
      <c r="T296" s="313"/>
      <c r="U296" s="38"/>
      <c r="V296" s="38" t="s">
        <v>33</v>
      </c>
      <c r="W296" s="97"/>
      <c r="X296" s="97"/>
      <c r="Y296" s="349"/>
      <c r="Z296" s="313"/>
      <c r="AA296" s="313"/>
      <c r="AB296" s="313"/>
      <c r="AC296" s="313"/>
      <c r="AD296" s="313"/>
      <c r="AE296" s="313"/>
      <c r="AF296" s="313"/>
      <c r="AG296" s="313"/>
      <c r="AH296" s="313"/>
      <c r="AI296" s="313"/>
      <c r="AJ296" s="313"/>
      <c r="AK296" s="313"/>
      <c r="AL296" s="313"/>
      <c r="AM296" s="313"/>
      <c r="AN296" s="313"/>
      <c r="AO296" s="313"/>
      <c r="AP296" s="313"/>
      <c r="AQ296" s="313"/>
      <c r="AR296" s="313"/>
      <c r="AS296" s="313"/>
      <c r="AT296" s="313"/>
      <c r="AU296" s="313"/>
      <c r="AV296" s="313"/>
      <c r="AW296" s="313"/>
      <c r="AX296" s="313"/>
      <c r="AY296" s="313"/>
      <c r="AZ296" s="313"/>
      <c r="BA296" s="313"/>
      <c r="BB296" s="313"/>
      <c r="BC296" s="313"/>
      <c r="BD296" s="313"/>
      <c r="BE296" s="313"/>
      <c r="BF296" s="313"/>
      <c r="BG296" s="313"/>
      <c r="BH296" s="313"/>
      <c r="BI296" s="313"/>
      <c r="BJ296" s="313"/>
      <c r="BK296" s="313"/>
      <c r="BL296" s="313"/>
      <c r="BM296" s="313"/>
      <c r="BN296" s="313"/>
      <c r="BO296" s="313"/>
      <c r="BP296" s="313"/>
      <c r="BQ296" s="313"/>
    </row>
    <row r="297">
      <c r="A297" s="87" t="s">
        <v>10203</v>
      </c>
      <c r="B297" s="92"/>
      <c r="C297" s="30">
        <v>43794.0</v>
      </c>
      <c r="D297" s="92"/>
      <c r="E297" s="13" t="s">
        <v>41</v>
      </c>
      <c r="F297" s="13">
        <v>1.0</v>
      </c>
      <c r="G297" s="13" t="s">
        <v>32</v>
      </c>
      <c r="H297" s="50">
        <v>1.0</v>
      </c>
      <c r="I297" s="13" t="s">
        <v>33</v>
      </c>
      <c r="J297" s="13" t="s">
        <v>98</v>
      </c>
      <c r="K297" s="92"/>
      <c r="L297" s="34" t="s">
        <v>7593</v>
      </c>
      <c r="M297" s="282" t="s">
        <v>10204</v>
      </c>
      <c r="N297" s="288"/>
      <c r="O297" s="145"/>
      <c r="P297" s="145"/>
      <c r="Q297" s="37"/>
      <c r="R297" s="145"/>
      <c r="S297" s="145"/>
      <c r="T297" s="313"/>
      <c r="U297" s="38" t="b">
        <f t="shared" ref="U297:U307" si="31">countif(A$5:A3006, A297)&gt;1</f>
        <v>0</v>
      </c>
      <c r="V297" s="38" t="s">
        <v>33</v>
      </c>
      <c r="W297" s="97"/>
      <c r="X297" s="97"/>
      <c r="Y297" s="349"/>
      <c r="Z297" s="313"/>
      <c r="AA297" s="313"/>
      <c r="AB297" s="313"/>
      <c r="AC297" s="313"/>
      <c r="AD297" s="313"/>
      <c r="AE297" s="313"/>
      <c r="AF297" s="313"/>
      <c r="AG297" s="313"/>
      <c r="AH297" s="313"/>
      <c r="AI297" s="313"/>
      <c r="AJ297" s="313"/>
      <c r="AK297" s="313"/>
      <c r="AL297" s="313"/>
      <c r="AM297" s="313"/>
      <c r="AN297" s="313"/>
      <c r="AO297" s="313"/>
      <c r="AP297" s="313"/>
      <c r="AQ297" s="313"/>
      <c r="AR297" s="313"/>
      <c r="AS297" s="313"/>
      <c r="AT297" s="313"/>
      <c r="AU297" s="313"/>
      <c r="AV297" s="313"/>
      <c r="AW297" s="313"/>
      <c r="AX297" s="313"/>
      <c r="AY297" s="313"/>
      <c r="AZ297" s="313"/>
      <c r="BA297" s="313"/>
      <c r="BB297" s="313"/>
      <c r="BC297" s="313"/>
      <c r="BD297" s="313"/>
      <c r="BE297" s="313"/>
      <c r="BF297" s="313"/>
      <c r="BG297" s="313"/>
      <c r="BH297" s="313"/>
      <c r="BI297" s="313"/>
      <c r="BJ297" s="313"/>
      <c r="BK297" s="313"/>
      <c r="BL297" s="313"/>
      <c r="BM297" s="313"/>
      <c r="BN297" s="313"/>
      <c r="BO297" s="313"/>
      <c r="BP297" s="313"/>
      <c r="BQ297" s="313"/>
    </row>
    <row r="298">
      <c r="A298" s="87" t="s">
        <v>10205</v>
      </c>
      <c r="B298" s="92"/>
      <c r="C298" s="30">
        <v>43796.0</v>
      </c>
      <c r="D298" s="92"/>
      <c r="E298" s="13" t="s">
        <v>41</v>
      </c>
      <c r="F298" s="13">
        <v>1.0</v>
      </c>
      <c r="G298" s="13" t="s">
        <v>32</v>
      </c>
      <c r="H298" s="50">
        <v>1.0</v>
      </c>
      <c r="I298" s="13" t="s">
        <v>33</v>
      </c>
      <c r="J298" s="13" t="s">
        <v>98</v>
      </c>
      <c r="K298" s="92"/>
      <c r="L298" s="34" t="s">
        <v>7593</v>
      </c>
      <c r="M298" s="106" t="s">
        <v>10204</v>
      </c>
      <c r="N298" s="288"/>
      <c r="O298" s="145"/>
      <c r="P298" s="145"/>
      <c r="Q298" s="37"/>
      <c r="R298" s="145"/>
      <c r="S298" s="145"/>
      <c r="T298" s="313"/>
      <c r="U298" s="38" t="b">
        <f t="shared" si="31"/>
        <v>0</v>
      </c>
      <c r="V298" s="38" t="s">
        <v>33</v>
      </c>
      <c r="W298" s="97"/>
      <c r="X298" s="97"/>
      <c r="Y298" s="349"/>
      <c r="Z298" s="313"/>
      <c r="AA298" s="313"/>
      <c r="AB298" s="313"/>
      <c r="AC298" s="313"/>
      <c r="AD298" s="313"/>
      <c r="AE298" s="313"/>
      <c r="AF298" s="313"/>
      <c r="AG298" s="313"/>
      <c r="AH298" s="313"/>
      <c r="AI298" s="313"/>
      <c r="AJ298" s="313"/>
      <c r="AK298" s="313"/>
      <c r="AL298" s="313"/>
      <c r="AM298" s="313"/>
      <c r="AN298" s="313"/>
      <c r="AO298" s="313"/>
      <c r="AP298" s="313"/>
      <c r="AQ298" s="313"/>
      <c r="AR298" s="313"/>
      <c r="AS298" s="313"/>
      <c r="AT298" s="313"/>
      <c r="AU298" s="313"/>
      <c r="AV298" s="313"/>
      <c r="AW298" s="313"/>
      <c r="AX298" s="313"/>
      <c r="AY298" s="313"/>
      <c r="AZ298" s="313"/>
      <c r="BA298" s="313"/>
      <c r="BB298" s="313"/>
      <c r="BC298" s="313"/>
      <c r="BD298" s="313"/>
      <c r="BE298" s="313"/>
      <c r="BF298" s="313"/>
      <c r="BG298" s="313"/>
      <c r="BH298" s="313"/>
      <c r="BI298" s="313"/>
      <c r="BJ298" s="313"/>
      <c r="BK298" s="313"/>
      <c r="BL298" s="313"/>
      <c r="BM298" s="313"/>
      <c r="BN298" s="313"/>
      <c r="BO298" s="313"/>
      <c r="BP298" s="313"/>
      <c r="BQ298" s="313"/>
    </row>
    <row r="299">
      <c r="A299" s="87" t="s">
        <v>10206</v>
      </c>
      <c r="B299" s="92"/>
      <c r="C299" s="30">
        <v>43803.0</v>
      </c>
      <c r="D299" s="92"/>
      <c r="E299" s="13" t="s">
        <v>41</v>
      </c>
      <c r="F299" s="13">
        <v>1.0</v>
      </c>
      <c r="G299" s="13" t="s">
        <v>32</v>
      </c>
      <c r="H299" s="50">
        <v>1.0</v>
      </c>
      <c r="I299" s="13" t="s">
        <v>33</v>
      </c>
      <c r="J299" s="13" t="s">
        <v>98</v>
      </c>
      <c r="K299" s="92"/>
      <c r="L299" s="34" t="s">
        <v>7593</v>
      </c>
      <c r="M299" s="106" t="s">
        <v>10204</v>
      </c>
      <c r="N299" s="288"/>
      <c r="O299" s="145"/>
      <c r="P299" s="145"/>
      <c r="Q299" s="37"/>
      <c r="R299" s="145"/>
      <c r="S299" s="145"/>
      <c r="T299" s="313"/>
      <c r="U299" s="38" t="b">
        <f t="shared" si="31"/>
        <v>0</v>
      </c>
      <c r="V299" s="38" t="s">
        <v>33</v>
      </c>
      <c r="W299" s="97"/>
      <c r="X299" s="97"/>
      <c r="Y299" s="349"/>
      <c r="Z299" s="313"/>
      <c r="AA299" s="313"/>
      <c r="AB299" s="313"/>
      <c r="AC299" s="313"/>
      <c r="AD299" s="313"/>
      <c r="AE299" s="313"/>
      <c r="AF299" s="313"/>
      <c r="AG299" s="313"/>
      <c r="AH299" s="313"/>
      <c r="AI299" s="313"/>
      <c r="AJ299" s="313"/>
      <c r="AK299" s="313"/>
      <c r="AL299" s="313"/>
      <c r="AM299" s="313"/>
      <c r="AN299" s="313"/>
      <c r="AO299" s="313"/>
      <c r="AP299" s="313"/>
      <c r="AQ299" s="313"/>
      <c r="AR299" s="313"/>
      <c r="AS299" s="313"/>
      <c r="AT299" s="313"/>
      <c r="AU299" s="313"/>
      <c r="AV299" s="313"/>
      <c r="AW299" s="313"/>
      <c r="AX299" s="313"/>
      <c r="AY299" s="313"/>
      <c r="AZ299" s="313"/>
      <c r="BA299" s="313"/>
      <c r="BB299" s="313"/>
      <c r="BC299" s="313"/>
      <c r="BD299" s="313"/>
      <c r="BE299" s="313"/>
      <c r="BF299" s="313"/>
      <c r="BG299" s="313"/>
      <c r="BH299" s="313"/>
      <c r="BI299" s="313"/>
      <c r="BJ299" s="313"/>
      <c r="BK299" s="313"/>
      <c r="BL299" s="313"/>
      <c r="BM299" s="313"/>
      <c r="BN299" s="313"/>
      <c r="BO299" s="313"/>
      <c r="BP299" s="313"/>
      <c r="BQ299" s="313"/>
    </row>
    <row r="300">
      <c r="A300" s="87" t="s">
        <v>10207</v>
      </c>
      <c r="B300" s="92"/>
      <c r="C300" s="30">
        <v>43805.0</v>
      </c>
      <c r="D300" s="92"/>
      <c r="E300" s="13" t="s">
        <v>41</v>
      </c>
      <c r="F300" s="13">
        <v>1.0</v>
      </c>
      <c r="G300" s="13" t="s">
        <v>32</v>
      </c>
      <c r="H300" s="50">
        <v>1.0</v>
      </c>
      <c r="I300" s="13" t="s">
        <v>33</v>
      </c>
      <c r="J300" s="13" t="s">
        <v>98</v>
      </c>
      <c r="K300" s="92"/>
      <c r="L300" s="34" t="s">
        <v>7593</v>
      </c>
      <c r="M300" s="106" t="s">
        <v>10204</v>
      </c>
      <c r="N300" s="288"/>
      <c r="O300" s="145"/>
      <c r="P300" s="145"/>
      <c r="Q300" s="37"/>
      <c r="R300" s="145"/>
      <c r="S300" s="145"/>
      <c r="T300" s="313"/>
      <c r="U300" s="38" t="b">
        <f t="shared" si="31"/>
        <v>0</v>
      </c>
      <c r="V300" s="38" t="s">
        <v>33</v>
      </c>
      <c r="W300" s="97"/>
      <c r="X300" s="97"/>
      <c r="Y300" s="349"/>
      <c r="Z300" s="313"/>
      <c r="AA300" s="313"/>
      <c r="AB300" s="313"/>
      <c r="AC300" s="313"/>
      <c r="AD300" s="313"/>
      <c r="AE300" s="313"/>
      <c r="AF300" s="313"/>
      <c r="AG300" s="313"/>
      <c r="AH300" s="313"/>
      <c r="AI300" s="313"/>
      <c r="AJ300" s="313"/>
      <c r="AK300" s="313"/>
      <c r="AL300" s="313"/>
      <c r="AM300" s="313"/>
      <c r="AN300" s="313"/>
      <c r="AO300" s="313"/>
      <c r="AP300" s="313"/>
      <c r="AQ300" s="313"/>
      <c r="AR300" s="313"/>
      <c r="AS300" s="313"/>
      <c r="AT300" s="313"/>
      <c r="AU300" s="313"/>
      <c r="AV300" s="313"/>
      <c r="AW300" s="313"/>
      <c r="AX300" s="313"/>
      <c r="AY300" s="313"/>
      <c r="AZ300" s="313"/>
      <c r="BA300" s="313"/>
      <c r="BB300" s="313"/>
      <c r="BC300" s="313"/>
      <c r="BD300" s="313"/>
      <c r="BE300" s="313"/>
      <c r="BF300" s="313"/>
      <c r="BG300" s="313"/>
      <c r="BH300" s="313"/>
      <c r="BI300" s="313"/>
      <c r="BJ300" s="313"/>
      <c r="BK300" s="313"/>
      <c r="BL300" s="313"/>
      <c r="BM300" s="313"/>
      <c r="BN300" s="313"/>
      <c r="BO300" s="313"/>
      <c r="BP300" s="313"/>
      <c r="BQ300" s="313"/>
    </row>
    <row r="301">
      <c r="A301" s="87" t="s">
        <v>10208</v>
      </c>
      <c r="B301" s="92"/>
      <c r="C301" s="30">
        <v>43805.0</v>
      </c>
      <c r="D301" s="92"/>
      <c r="E301" s="13" t="s">
        <v>41</v>
      </c>
      <c r="F301" s="13">
        <v>1.0</v>
      </c>
      <c r="G301" s="13" t="s">
        <v>32</v>
      </c>
      <c r="H301" s="50">
        <v>1.0</v>
      </c>
      <c r="I301" s="13" t="s">
        <v>33</v>
      </c>
      <c r="J301" s="13" t="s">
        <v>283</v>
      </c>
      <c r="K301" s="92"/>
      <c r="L301" s="34" t="s">
        <v>7593</v>
      </c>
      <c r="M301" s="46" t="s">
        <v>10209</v>
      </c>
      <c r="N301" s="288"/>
      <c r="O301" s="145"/>
      <c r="P301" s="145"/>
      <c r="Q301" s="37"/>
      <c r="R301" s="145"/>
      <c r="S301" s="145"/>
      <c r="T301" s="313"/>
      <c r="U301" s="38" t="b">
        <f t="shared" si="31"/>
        <v>0</v>
      </c>
      <c r="V301" s="38" t="s">
        <v>33</v>
      </c>
      <c r="W301" s="97"/>
      <c r="X301" s="97"/>
      <c r="Y301" s="349"/>
      <c r="Z301" s="313"/>
      <c r="AA301" s="313"/>
      <c r="AB301" s="313"/>
      <c r="AC301" s="313"/>
      <c r="AD301" s="313"/>
      <c r="AE301" s="313"/>
      <c r="AF301" s="313"/>
      <c r="AG301" s="313"/>
      <c r="AH301" s="313"/>
      <c r="AI301" s="313"/>
      <c r="AJ301" s="313"/>
      <c r="AK301" s="313"/>
      <c r="AL301" s="313"/>
      <c r="AM301" s="313"/>
      <c r="AN301" s="313"/>
      <c r="AO301" s="313"/>
      <c r="AP301" s="313"/>
      <c r="AQ301" s="313"/>
      <c r="AR301" s="313"/>
      <c r="AS301" s="313"/>
      <c r="AT301" s="313"/>
      <c r="AU301" s="313"/>
      <c r="AV301" s="313"/>
      <c r="AW301" s="313"/>
      <c r="AX301" s="313"/>
      <c r="AY301" s="313"/>
      <c r="AZ301" s="313"/>
      <c r="BA301" s="313"/>
      <c r="BB301" s="313"/>
      <c r="BC301" s="313"/>
      <c r="BD301" s="313"/>
      <c r="BE301" s="313"/>
      <c r="BF301" s="313"/>
      <c r="BG301" s="313"/>
      <c r="BH301" s="313"/>
      <c r="BI301" s="313"/>
      <c r="BJ301" s="313"/>
      <c r="BK301" s="313"/>
      <c r="BL301" s="313"/>
      <c r="BM301" s="313"/>
      <c r="BN301" s="313"/>
      <c r="BO301" s="313"/>
      <c r="BP301" s="313"/>
      <c r="BQ301" s="313"/>
    </row>
    <row r="302">
      <c r="A302" s="87" t="s">
        <v>10210</v>
      </c>
      <c r="B302" s="92"/>
      <c r="C302" s="30">
        <v>43810.0</v>
      </c>
      <c r="D302" s="92"/>
      <c r="E302" s="13" t="s">
        <v>31</v>
      </c>
      <c r="F302" s="13">
        <v>1.0</v>
      </c>
      <c r="G302" s="13" t="s">
        <v>32</v>
      </c>
      <c r="H302" s="50">
        <v>1.0</v>
      </c>
      <c r="I302" s="13" t="s">
        <v>33</v>
      </c>
      <c r="J302" s="13" t="s">
        <v>524</v>
      </c>
      <c r="K302" s="92"/>
      <c r="L302" s="34" t="s">
        <v>7593</v>
      </c>
      <c r="M302" s="46" t="s">
        <v>10211</v>
      </c>
      <c r="N302" s="46" t="s">
        <v>10212</v>
      </c>
      <c r="O302" s="145"/>
      <c r="P302" s="145"/>
      <c r="Q302" s="37"/>
      <c r="R302" s="145"/>
      <c r="S302" s="145"/>
      <c r="T302" s="313"/>
      <c r="U302" s="38" t="b">
        <f t="shared" si="31"/>
        <v>0</v>
      </c>
      <c r="V302" s="38" t="s">
        <v>33</v>
      </c>
      <c r="W302" s="39" t="s">
        <v>10213</v>
      </c>
      <c r="X302" s="39" t="s">
        <v>10214</v>
      </c>
      <c r="Y302" s="349"/>
      <c r="Z302" s="313"/>
      <c r="AA302" s="313"/>
      <c r="AB302" s="313"/>
      <c r="AC302" s="313"/>
      <c r="AD302" s="313"/>
      <c r="AE302" s="313"/>
      <c r="AF302" s="313"/>
      <c r="AG302" s="313"/>
      <c r="AH302" s="313"/>
      <c r="AI302" s="313"/>
      <c r="AJ302" s="313"/>
      <c r="AK302" s="313"/>
      <c r="AL302" s="313"/>
      <c r="AM302" s="313"/>
      <c r="AN302" s="313"/>
      <c r="AO302" s="313"/>
      <c r="AP302" s="313"/>
      <c r="AQ302" s="313"/>
      <c r="AR302" s="313"/>
      <c r="AS302" s="313"/>
      <c r="AT302" s="313"/>
      <c r="AU302" s="313"/>
      <c r="AV302" s="313"/>
      <c r="AW302" s="313"/>
      <c r="AX302" s="313"/>
      <c r="AY302" s="313"/>
      <c r="AZ302" s="313"/>
      <c r="BA302" s="313"/>
      <c r="BB302" s="313"/>
      <c r="BC302" s="313"/>
      <c r="BD302" s="313"/>
      <c r="BE302" s="313"/>
      <c r="BF302" s="313"/>
      <c r="BG302" s="313"/>
      <c r="BH302" s="313"/>
      <c r="BI302" s="313"/>
      <c r="BJ302" s="313"/>
      <c r="BK302" s="313"/>
      <c r="BL302" s="313"/>
      <c r="BM302" s="313"/>
      <c r="BN302" s="313"/>
      <c r="BO302" s="313"/>
      <c r="BP302" s="313"/>
      <c r="BQ302" s="313"/>
    </row>
    <row r="303">
      <c r="A303" s="87" t="s">
        <v>10215</v>
      </c>
      <c r="B303" s="92"/>
      <c r="C303" s="30">
        <v>43815.0</v>
      </c>
      <c r="D303" s="92"/>
      <c r="E303" s="13" t="s">
        <v>31</v>
      </c>
      <c r="F303" s="13">
        <v>1.0</v>
      </c>
      <c r="G303" s="13" t="s">
        <v>32</v>
      </c>
      <c r="H303" s="50">
        <v>1.0</v>
      </c>
      <c r="I303" s="13" t="s">
        <v>33</v>
      </c>
      <c r="J303" s="13" t="s">
        <v>93</v>
      </c>
      <c r="K303" s="92"/>
      <c r="L303" s="34" t="s">
        <v>7593</v>
      </c>
      <c r="M303" s="46" t="s">
        <v>10216</v>
      </c>
      <c r="N303" s="46" t="s">
        <v>10217</v>
      </c>
      <c r="O303" s="145"/>
      <c r="P303" s="145"/>
      <c r="Q303" s="91"/>
      <c r="R303" s="145"/>
      <c r="S303" s="145"/>
      <c r="T303" s="313"/>
      <c r="U303" s="38" t="b">
        <f t="shared" si="31"/>
        <v>0</v>
      </c>
      <c r="V303" s="38" t="s">
        <v>33</v>
      </c>
      <c r="W303" s="39" t="s">
        <v>10218</v>
      </c>
      <c r="X303" s="39" t="s">
        <v>10219</v>
      </c>
      <c r="Y303" s="349"/>
      <c r="Z303" s="313"/>
      <c r="AA303" s="313"/>
      <c r="AB303" s="313"/>
      <c r="AC303" s="313"/>
      <c r="AD303" s="313"/>
      <c r="AE303" s="313"/>
      <c r="AF303" s="313"/>
      <c r="AG303" s="313"/>
      <c r="AH303" s="313"/>
      <c r="AI303" s="313"/>
      <c r="AJ303" s="313"/>
      <c r="AK303" s="313"/>
      <c r="AL303" s="313"/>
      <c r="AM303" s="313"/>
      <c r="AN303" s="313"/>
      <c r="AO303" s="313"/>
      <c r="AP303" s="313"/>
      <c r="AQ303" s="313"/>
      <c r="AR303" s="313"/>
      <c r="AS303" s="313"/>
      <c r="AT303" s="313"/>
      <c r="AU303" s="313"/>
      <c r="AV303" s="313"/>
      <c r="AW303" s="313"/>
      <c r="AX303" s="313"/>
      <c r="AY303" s="313"/>
      <c r="AZ303" s="313"/>
      <c r="BA303" s="313"/>
      <c r="BB303" s="313"/>
      <c r="BC303" s="313"/>
      <c r="BD303" s="313"/>
      <c r="BE303" s="313"/>
      <c r="BF303" s="313"/>
      <c r="BG303" s="313"/>
      <c r="BH303" s="313"/>
      <c r="BI303" s="313"/>
      <c r="BJ303" s="313"/>
      <c r="BK303" s="313"/>
      <c r="BL303" s="313"/>
      <c r="BM303" s="313"/>
      <c r="BN303" s="313"/>
      <c r="BO303" s="313"/>
      <c r="BP303" s="313"/>
      <c r="BQ303" s="313"/>
    </row>
    <row r="304">
      <c r="A304" s="87" t="s">
        <v>10220</v>
      </c>
      <c r="B304" s="92"/>
      <c r="C304" s="30">
        <v>43816.0</v>
      </c>
      <c r="D304" s="92"/>
      <c r="E304" s="13" t="s">
        <v>41</v>
      </c>
      <c r="F304" s="13">
        <v>1.0</v>
      </c>
      <c r="G304" s="13" t="s">
        <v>32</v>
      </c>
      <c r="H304" s="50">
        <v>1.0</v>
      </c>
      <c r="I304" s="13" t="s">
        <v>33</v>
      </c>
      <c r="J304" s="13" t="s">
        <v>115</v>
      </c>
      <c r="K304" s="92"/>
      <c r="L304" s="34" t="s">
        <v>9433</v>
      </c>
      <c r="M304" s="46" t="s">
        <v>10221</v>
      </c>
      <c r="N304" s="106"/>
      <c r="O304" s="348" t="str">
        <f>hyperlink("https://bad-boys.us/?q=WD-PA/2:19-cr-00375", "WD-PA 2:19-cr-00375")</f>
        <v>WD-PA 2:19-cr-00375</v>
      </c>
      <c r="P304" s="145"/>
      <c r="Q304" s="37">
        <v>1.0</v>
      </c>
      <c r="R304" s="145"/>
      <c r="S304" s="145"/>
      <c r="T304" s="313"/>
      <c r="U304" s="38" t="b">
        <f t="shared" si="31"/>
        <v>0</v>
      </c>
      <c r="V304" s="38"/>
      <c r="W304" s="40"/>
      <c r="X304" s="40"/>
      <c r="Y304" s="349"/>
      <c r="Z304" s="313"/>
      <c r="AA304" s="313"/>
      <c r="AB304" s="313"/>
      <c r="AC304" s="313"/>
      <c r="AD304" s="313"/>
      <c r="AE304" s="313"/>
      <c r="AF304" s="313"/>
      <c r="AG304" s="313"/>
      <c r="AH304" s="313"/>
      <c r="AI304" s="313"/>
      <c r="AJ304" s="313"/>
      <c r="AK304" s="313"/>
      <c r="AL304" s="313"/>
      <c r="AM304" s="313"/>
      <c r="AN304" s="313"/>
      <c r="AO304" s="313"/>
      <c r="AP304" s="313"/>
      <c r="AQ304" s="313"/>
      <c r="AR304" s="313"/>
      <c r="AS304" s="313"/>
      <c r="AT304" s="313"/>
      <c r="AU304" s="313"/>
      <c r="AV304" s="313"/>
      <c r="AW304" s="313"/>
      <c r="AX304" s="313"/>
      <c r="AY304" s="313"/>
      <c r="AZ304" s="313"/>
      <c r="BA304" s="313"/>
      <c r="BB304" s="313"/>
      <c r="BC304" s="313"/>
      <c r="BD304" s="313"/>
      <c r="BE304" s="313"/>
      <c r="BF304" s="313"/>
      <c r="BG304" s="313"/>
      <c r="BH304" s="313"/>
      <c r="BI304" s="313"/>
      <c r="BJ304" s="313"/>
      <c r="BK304" s="313"/>
      <c r="BL304" s="313"/>
      <c r="BM304" s="313"/>
      <c r="BN304" s="313"/>
      <c r="BO304" s="313"/>
      <c r="BP304" s="313"/>
      <c r="BQ304" s="313"/>
    </row>
    <row r="305">
      <c r="A305" s="87" t="s">
        <v>10222</v>
      </c>
      <c r="B305" s="92"/>
      <c r="C305" s="30">
        <v>43836.0</v>
      </c>
      <c r="D305" s="92"/>
      <c r="E305" s="13" t="s">
        <v>41</v>
      </c>
      <c r="F305" s="13">
        <v>1.0</v>
      </c>
      <c r="G305" s="13">
        <v>1.0</v>
      </c>
      <c r="H305" s="50">
        <v>1.0</v>
      </c>
      <c r="I305" s="13" t="s">
        <v>33</v>
      </c>
      <c r="J305" s="13" t="s">
        <v>111</v>
      </c>
      <c r="K305" s="92"/>
      <c r="L305" s="34" t="s">
        <v>10223</v>
      </c>
      <c r="M305" s="46" t="s">
        <v>10224</v>
      </c>
      <c r="N305" s="106"/>
      <c r="O305" s="145"/>
      <c r="P305" s="145"/>
      <c r="Q305" s="37"/>
      <c r="R305" s="145"/>
      <c r="S305" s="145"/>
      <c r="T305" s="313"/>
      <c r="U305" s="38" t="b">
        <f t="shared" si="31"/>
        <v>0</v>
      </c>
      <c r="V305" s="38"/>
      <c r="W305" s="40"/>
      <c r="X305" s="40"/>
      <c r="Y305" s="349"/>
      <c r="Z305" s="313"/>
      <c r="AA305" s="313"/>
      <c r="AB305" s="313"/>
      <c r="AC305" s="313"/>
      <c r="AD305" s="313"/>
      <c r="AE305" s="313"/>
      <c r="AF305" s="313"/>
      <c r="AG305" s="313"/>
      <c r="AH305" s="313"/>
      <c r="AI305" s="313"/>
      <c r="AJ305" s="313"/>
      <c r="AK305" s="313"/>
      <c r="AL305" s="313"/>
      <c r="AM305" s="313"/>
      <c r="AN305" s="313"/>
      <c r="AO305" s="313"/>
      <c r="AP305" s="313"/>
      <c r="AQ305" s="313"/>
      <c r="AR305" s="313"/>
      <c r="AS305" s="313"/>
      <c r="AT305" s="313"/>
      <c r="AU305" s="313"/>
      <c r="AV305" s="313"/>
      <c r="AW305" s="313"/>
      <c r="AX305" s="313"/>
      <c r="AY305" s="313"/>
      <c r="AZ305" s="313"/>
      <c r="BA305" s="313"/>
      <c r="BB305" s="313"/>
      <c r="BC305" s="313"/>
      <c r="BD305" s="313"/>
      <c r="BE305" s="313"/>
      <c r="BF305" s="313"/>
      <c r="BG305" s="313"/>
      <c r="BH305" s="313"/>
      <c r="BI305" s="313"/>
      <c r="BJ305" s="313"/>
      <c r="BK305" s="313"/>
      <c r="BL305" s="313"/>
      <c r="BM305" s="313"/>
      <c r="BN305" s="313"/>
      <c r="BO305" s="313"/>
      <c r="BP305" s="313"/>
      <c r="BQ305" s="313"/>
    </row>
    <row r="306">
      <c r="A306" s="87" t="s">
        <v>10225</v>
      </c>
      <c r="B306" s="92"/>
      <c r="C306" s="30">
        <v>43837.0</v>
      </c>
      <c r="D306" s="92"/>
      <c r="E306" s="13" t="s">
        <v>41</v>
      </c>
      <c r="F306" s="13">
        <v>1.0</v>
      </c>
      <c r="G306" s="13">
        <v>1.0</v>
      </c>
      <c r="H306" s="50">
        <v>1.0</v>
      </c>
      <c r="I306" s="13" t="s">
        <v>33</v>
      </c>
      <c r="J306" s="13" t="s">
        <v>203</v>
      </c>
      <c r="K306" s="92"/>
      <c r="L306" s="34" t="s">
        <v>10226</v>
      </c>
      <c r="M306" s="46" t="s">
        <v>10227</v>
      </c>
      <c r="N306" s="106"/>
      <c r="O306" s="145"/>
      <c r="P306" s="145"/>
      <c r="Q306" s="37"/>
      <c r="R306" s="145"/>
      <c r="S306" s="145"/>
      <c r="T306" s="313"/>
      <c r="U306" s="38" t="b">
        <f t="shared" si="31"/>
        <v>0</v>
      </c>
      <c r="V306" s="38" t="s">
        <v>33</v>
      </c>
      <c r="W306" s="40"/>
      <c r="X306" s="40"/>
      <c r="Y306" s="349"/>
      <c r="Z306" s="313"/>
      <c r="AA306" s="313"/>
      <c r="AB306" s="313"/>
      <c r="AC306" s="313"/>
      <c r="AD306" s="313"/>
      <c r="AE306" s="313"/>
      <c r="AF306" s="313"/>
      <c r="AG306" s="313"/>
      <c r="AH306" s="313"/>
      <c r="AI306" s="313"/>
      <c r="AJ306" s="313"/>
      <c r="AK306" s="313"/>
      <c r="AL306" s="313"/>
      <c r="AM306" s="313"/>
      <c r="AN306" s="313"/>
      <c r="AO306" s="313"/>
      <c r="AP306" s="313"/>
      <c r="AQ306" s="313"/>
      <c r="AR306" s="313"/>
      <c r="AS306" s="313"/>
      <c r="AT306" s="313"/>
      <c r="AU306" s="313"/>
      <c r="AV306" s="313"/>
      <c r="AW306" s="313"/>
      <c r="AX306" s="313"/>
      <c r="AY306" s="313"/>
      <c r="AZ306" s="313"/>
      <c r="BA306" s="313"/>
      <c r="BB306" s="313"/>
      <c r="BC306" s="313"/>
      <c r="BD306" s="313"/>
      <c r="BE306" s="313"/>
      <c r="BF306" s="313"/>
      <c r="BG306" s="313"/>
      <c r="BH306" s="313"/>
      <c r="BI306" s="313"/>
      <c r="BJ306" s="313"/>
      <c r="BK306" s="313"/>
      <c r="BL306" s="313"/>
      <c r="BM306" s="313"/>
      <c r="BN306" s="313"/>
      <c r="BO306" s="313"/>
      <c r="BP306" s="313"/>
      <c r="BQ306" s="313"/>
    </row>
    <row r="307">
      <c r="A307" s="87" t="s">
        <v>10228</v>
      </c>
      <c r="B307" s="92"/>
      <c r="C307" s="30">
        <v>43840.0</v>
      </c>
      <c r="D307" s="92"/>
      <c r="E307" s="13" t="s">
        <v>41</v>
      </c>
      <c r="F307" s="13">
        <v>1.0</v>
      </c>
      <c r="G307" s="13">
        <v>1.0</v>
      </c>
      <c r="H307" s="50">
        <v>1.0</v>
      </c>
      <c r="I307" s="13" t="s">
        <v>33</v>
      </c>
      <c r="J307" s="13" t="s">
        <v>203</v>
      </c>
      <c r="K307" s="92"/>
      <c r="L307" s="34" t="s">
        <v>10229</v>
      </c>
      <c r="M307" s="46" t="s">
        <v>10230</v>
      </c>
      <c r="N307" s="288"/>
      <c r="O307" s="145"/>
      <c r="P307" s="145"/>
      <c r="Q307" s="91"/>
      <c r="R307" s="145"/>
      <c r="S307" s="145"/>
      <c r="T307" s="313"/>
      <c r="U307" s="38" t="b">
        <f t="shared" si="31"/>
        <v>0</v>
      </c>
      <c r="V307" s="38" t="s">
        <v>33</v>
      </c>
      <c r="W307" s="40"/>
      <c r="X307" s="40"/>
      <c r="Y307" s="349"/>
      <c r="Z307" s="313"/>
      <c r="AA307" s="313"/>
      <c r="AB307" s="313"/>
      <c r="AC307" s="313"/>
      <c r="AD307" s="313"/>
      <c r="AE307" s="313"/>
      <c r="AF307" s="313"/>
      <c r="AG307" s="313"/>
      <c r="AH307" s="313"/>
      <c r="AI307" s="313"/>
      <c r="AJ307" s="313"/>
      <c r="AK307" s="313"/>
      <c r="AL307" s="313"/>
      <c r="AM307" s="313"/>
      <c r="AN307" s="313"/>
      <c r="AO307" s="313"/>
      <c r="AP307" s="313"/>
      <c r="AQ307" s="313"/>
      <c r="AR307" s="313"/>
      <c r="AS307" s="313"/>
      <c r="AT307" s="313"/>
      <c r="AU307" s="313"/>
      <c r="AV307" s="313"/>
      <c r="AW307" s="313"/>
      <c r="AX307" s="313"/>
      <c r="AY307" s="313"/>
      <c r="AZ307" s="313"/>
      <c r="BA307" s="313"/>
      <c r="BB307" s="313"/>
      <c r="BC307" s="313"/>
      <c r="BD307" s="313"/>
      <c r="BE307" s="313"/>
      <c r="BF307" s="313"/>
      <c r="BG307" s="313"/>
      <c r="BH307" s="313"/>
      <c r="BI307" s="313"/>
      <c r="BJ307" s="313"/>
      <c r="BK307" s="313"/>
      <c r="BL307" s="313"/>
      <c r="BM307" s="313"/>
      <c r="BN307" s="313"/>
      <c r="BO307" s="313"/>
      <c r="BP307" s="313"/>
      <c r="BQ307" s="313"/>
    </row>
    <row r="308">
      <c r="A308" s="87" t="s">
        <v>10231</v>
      </c>
      <c r="B308" s="92"/>
      <c r="C308" s="30">
        <v>43841.0</v>
      </c>
      <c r="D308" s="92"/>
      <c r="E308" s="13" t="s">
        <v>41</v>
      </c>
      <c r="F308" s="13">
        <v>1.0</v>
      </c>
      <c r="G308" s="13">
        <v>1.0</v>
      </c>
      <c r="H308" s="50">
        <v>1.0</v>
      </c>
      <c r="I308" s="13" t="s">
        <v>33</v>
      </c>
      <c r="J308" s="13" t="s">
        <v>147</v>
      </c>
      <c r="K308" s="92"/>
      <c r="L308" s="34" t="s">
        <v>10196</v>
      </c>
      <c r="M308" s="46" t="s">
        <v>10232</v>
      </c>
      <c r="N308" s="288"/>
      <c r="O308" s="145"/>
      <c r="P308" s="145"/>
      <c r="Q308" s="91"/>
      <c r="R308" s="145"/>
      <c r="S308" s="145"/>
      <c r="T308" s="313"/>
      <c r="U308" s="38" t="b">
        <v>0</v>
      </c>
      <c r="V308" s="38" t="s">
        <v>33</v>
      </c>
      <c r="W308" s="40"/>
      <c r="X308" s="40"/>
      <c r="Y308" s="349"/>
      <c r="Z308" s="313"/>
      <c r="AA308" s="313"/>
      <c r="AB308" s="313"/>
      <c r="AC308" s="313"/>
      <c r="AD308" s="313"/>
      <c r="AE308" s="313"/>
      <c r="AF308" s="313"/>
      <c r="AG308" s="313"/>
      <c r="AH308" s="313"/>
      <c r="AI308" s="313"/>
      <c r="AJ308" s="313"/>
      <c r="AK308" s="313"/>
      <c r="AL308" s="313"/>
      <c r="AM308" s="313"/>
      <c r="AN308" s="313"/>
      <c r="AO308" s="313"/>
      <c r="AP308" s="313"/>
      <c r="AQ308" s="313"/>
      <c r="AR308" s="313"/>
      <c r="AS308" s="313"/>
      <c r="AT308" s="313"/>
      <c r="AU308" s="313"/>
      <c r="AV308" s="313"/>
      <c r="AW308" s="313"/>
      <c r="AX308" s="313"/>
      <c r="AY308" s="313"/>
      <c r="AZ308" s="313"/>
      <c r="BA308" s="313"/>
      <c r="BB308" s="313"/>
      <c r="BC308" s="313"/>
      <c r="BD308" s="313"/>
      <c r="BE308" s="313"/>
      <c r="BF308" s="313"/>
      <c r="BG308" s="313"/>
      <c r="BH308" s="313"/>
      <c r="BI308" s="313"/>
      <c r="BJ308" s="313"/>
      <c r="BK308" s="313"/>
      <c r="BL308" s="313"/>
      <c r="BM308" s="313"/>
      <c r="BN308" s="313"/>
      <c r="BO308" s="313"/>
      <c r="BP308" s="313"/>
      <c r="BQ308" s="313"/>
    </row>
    <row r="309">
      <c r="A309" s="87" t="s">
        <v>10233</v>
      </c>
      <c r="B309" s="92"/>
      <c r="C309" s="30">
        <v>43845.0</v>
      </c>
      <c r="D309" s="92"/>
      <c r="E309" s="13" t="s">
        <v>41</v>
      </c>
      <c r="F309" s="13">
        <v>1.0</v>
      </c>
      <c r="G309" s="13" t="s">
        <v>32</v>
      </c>
      <c r="H309" s="50">
        <v>1.0</v>
      </c>
      <c r="I309" s="13" t="s">
        <v>33</v>
      </c>
      <c r="J309" s="13" t="s">
        <v>203</v>
      </c>
      <c r="K309" s="92"/>
      <c r="L309" s="34" t="s">
        <v>9366</v>
      </c>
      <c r="M309" s="46" t="s">
        <v>10234</v>
      </c>
      <c r="N309" s="288"/>
      <c r="O309" s="145"/>
      <c r="P309" s="145"/>
      <c r="Q309" s="91"/>
      <c r="R309" s="145"/>
      <c r="S309" s="145"/>
      <c r="T309" s="313"/>
      <c r="U309" s="38"/>
      <c r="V309" s="38" t="s">
        <v>33</v>
      </c>
      <c r="W309" s="40"/>
      <c r="X309" s="40"/>
      <c r="Y309" s="349"/>
      <c r="Z309" s="313"/>
      <c r="AA309" s="313"/>
      <c r="AB309" s="313"/>
      <c r="AC309" s="313"/>
      <c r="AD309" s="313"/>
      <c r="AE309" s="313"/>
      <c r="AF309" s="313"/>
      <c r="AG309" s="313"/>
      <c r="AH309" s="313"/>
      <c r="AI309" s="313"/>
      <c r="AJ309" s="313"/>
      <c r="AK309" s="313"/>
      <c r="AL309" s="313"/>
      <c r="AM309" s="313"/>
      <c r="AN309" s="313"/>
      <c r="AO309" s="313"/>
      <c r="AP309" s="313"/>
      <c r="AQ309" s="313"/>
      <c r="AR309" s="313"/>
      <c r="AS309" s="313"/>
      <c r="AT309" s="313"/>
      <c r="AU309" s="313"/>
      <c r="AV309" s="313"/>
      <c r="AW309" s="313"/>
      <c r="AX309" s="313"/>
      <c r="AY309" s="313"/>
      <c r="AZ309" s="313"/>
      <c r="BA309" s="313"/>
      <c r="BB309" s="313"/>
      <c r="BC309" s="313"/>
      <c r="BD309" s="313"/>
      <c r="BE309" s="313"/>
      <c r="BF309" s="313"/>
      <c r="BG309" s="313"/>
      <c r="BH309" s="313"/>
      <c r="BI309" s="313"/>
      <c r="BJ309" s="313"/>
      <c r="BK309" s="313"/>
      <c r="BL309" s="313"/>
      <c r="BM309" s="313"/>
      <c r="BN309" s="313"/>
      <c r="BO309" s="313"/>
      <c r="BP309" s="313"/>
      <c r="BQ309" s="313"/>
    </row>
    <row r="310">
      <c r="A310" s="87" t="s">
        <v>10235</v>
      </c>
      <c r="B310" s="92"/>
      <c r="C310" s="31">
        <v>43862.0</v>
      </c>
      <c r="D310" s="92"/>
      <c r="E310" s="13" t="s">
        <v>41</v>
      </c>
      <c r="F310" s="13">
        <v>1.0</v>
      </c>
      <c r="G310" s="13">
        <v>1.0</v>
      </c>
      <c r="H310" s="50">
        <v>1.0</v>
      </c>
      <c r="I310" s="13" t="s">
        <v>33</v>
      </c>
      <c r="J310" s="13" t="s">
        <v>162</v>
      </c>
      <c r="K310" s="92"/>
      <c r="L310" s="34" t="s">
        <v>10196</v>
      </c>
      <c r="M310" s="46" t="s">
        <v>10236</v>
      </c>
      <c r="N310" s="288"/>
      <c r="O310" s="145"/>
      <c r="P310" s="145"/>
      <c r="Q310" s="91"/>
      <c r="R310" s="145"/>
      <c r="S310" s="145"/>
      <c r="T310" s="313"/>
      <c r="U310" s="38"/>
      <c r="V310" s="38" t="s">
        <v>33</v>
      </c>
      <c r="W310" s="40"/>
      <c r="X310" s="40"/>
      <c r="Y310" s="349"/>
      <c r="Z310" s="313"/>
      <c r="AA310" s="313"/>
      <c r="AB310" s="313"/>
      <c r="AC310" s="313"/>
      <c r="AD310" s="313"/>
      <c r="AE310" s="313"/>
      <c r="AF310" s="313"/>
      <c r="AG310" s="313"/>
      <c r="AH310" s="313"/>
      <c r="AI310" s="313"/>
      <c r="AJ310" s="313"/>
      <c r="AK310" s="313"/>
      <c r="AL310" s="313"/>
      <c r="AM310" s="313"/>
      <c r="AN310" s="313"/>
      <c r="AO310" s="313"/>
      <c r="AP310" s="313"/>
      <c r="AQ310" s="313"/>
      <c r="AR310" s="313"/>
      <c r="AS310" s="313"/>
      <c r="AT310" s="313"/>
      <c r="AU310" s="313"/>
      <c r="AV310" s="313"/>
      <c r="AW310" s="313"/>
      <c r="AX310" s="313"/>
      <c r="AY310" s="313"/>
      <c r="AZ310" s="313"/>
      <c r="BA310" s="313"/>
      <c r="BB310" s="313"/>
      <c r="BC310" s="313"/>
      <c r="BD310" s="313"/>
      <c r="BE310" s="313"/>
      <c r="BF310" s="313"/>
      <c r="BG310" s="313"/>
      <c r="BH310" s="313"/>
      <c r="BI310" s="313"/>
      <c r="BJ310" s="313"/>
      <c r="BK310" s="313"/>
      <c r="BL310" s="313"/>
      <c r="BM310" s="313"/>
      <c r="BN310" s="313"/>
      <c r="BO310" s="313"/>
      <c r="BP310" s="313"/>
      <c r="BQ310" s="313"/>
    </row>
    <row r="311">
      <c r="A311" s="87" t="s">
        <v>10237</v>
      </c>
      <c r="B311" s="92"/>
      <c r="C311" s="31">
        <v>43862.0</v>
      </c>
      <c r="D311" s="92"/>
      <c r="E311" s="13" t="s">
        <v>41</v>
      </c>
      <c r="F311" s="13">
        <v>1.0</v>
      </c>
      <c r="G311" s="13" t="s">
        <v>32</v>
      </c>
      <c r="H311" s="50">
        <v>1.0</v>
      </c>
      <c r="I311" s="13" t="s">
        <v>33</v>
      </c>
      <c r="J311" s="13" t="s">
        <v>75</v>
      </c>
      <c r="K311" s="92"/>
      <c r="L311" s="34" t="s">
        <v>7593</v>
      </c>
      <c r="M311" s="46" t="s">
        <v>10238</v>
      </c>
      <c r="N311" s="288"/>
      <c r="O311" s="145"/>
      <c r="P311" s="145"/>
      <c r="Q311" s="91"/>
      <c r="R311" s="145"/>
      <c r="S311" s="145"/>
      <c r="T311" s="313"/>
      <c r="U311" s="38"/>
      <c r="V311" s="38" t="s">
        <v>33</v>
      </c>
      <c r="W311" s="40"/>
      <c r="X311" s="40"/>
      <c r="Y311" s="349"/>
      <c r="Z311" s="313"/>
      <c r="AA311" s="313"/>
      <c r="AB311" s="313"/>
      <c r="AC311" s="313"/>
      <c r="AD311" s="313"/>
      <c r="AE311" s="313"/>
      <c r="AF311" s="313"/>
      <c r="AG311" s="313"/>
      <c r="AH311" s="313"/>
      <c r="AI311" s="313"/>
      <c r="AJ311" s="313"/>
      <c r="AK311" s="313"/>
      <c r="AL311" s="313"/>
      <c r="AM311" s="313"/>
      <c r="AN311" s="313"/>
      <c r="AO311" s="313"/>
      <c r="AP311" s="313"/>
      <c r="AQ311" s="313"/>
      <c r="AR311" s="313"/>
      <c r="AS311" s="313"/>
      <c r="AT311" s="313"/>
      <c r="AU311" s="313"/>
      <c r="AV311" s="313"/>
      <c r="AW311" s="313"/>
      <c r="AX311" s="313"/>
      <c r="AY311" s="313"/>
      <c r="AZ311" s="313"/>
      <c r="BA311" s="313"/>
      <c r="BB311" s="313"/>
      <c r="BC311" s="313"/>
      <c r="BD311" s="313"/>
      <c r="BE311" s="313"/>
      <c r="BF311" s="313"/>
      <c r="BG311" s="313"/>
      <c r="BH311" s="313"/>
      <c r="BI311" s="313"/>
      <c r="BJ311" s="313"/>
      <c r="BK311" s="313"/>
      <c r="BL311" s="313"/>
      <c r="BM311" s="313"/>
      <c r="BN311" s="313"/>
      <c r="BO311" s="313"/>
      <c r="BP311" s="313"/>
      <c r="BQ311" s="313"/>
    </row>
    <row r="312">
      <c r="A312" s="87" t="s">
        <v>10239</v>
      </c>
      <c r="B312" s="92"/>
      <c r="C312" s="30">
        <v>43865.0</v>
      </c>
      <c r="D312" s="92"/>
      <c r="E312" s="13" t="s">
        <v>41</v>
      </c>
      <c r="F312" s="13">
        <v>1.0</v>
      </c>
      <c r="G312" s="13">
        <v>1.0</v>
      </c>
      <c r="H312" s="50">
        <v>1.0</v>
      </c>
      <c r="I312" s="13" t="s">
        <v>33</v>
      </c>
      <c r="J312" s="13" t="s">
        <v>203</v>
      </c>
      <c r="K312" s="92"/>
      <c r="L312" s="34" t="s">
        <v>10229</v>
      </c>
      <c r="M312" s="46" t="s">
        <v>10240</v>
      </c>
      <c r="N312" s="288"/>
      <c r="O312" s="145"/>
      <c r="P312" s="145"/>
      <c r="Q312" s="91"/>
      <c r="R312" s="145"/>
      <c r="S312" s="145"/>
      <c r="T312" s="313"/>
      <c r="U312" s="38" t="b">
        <f>countif(A$5:A3006, A312)&gt;1</f>
        <v>0</v>
      </c>
      <c r="V312" s="38" t="s">
        <v>33</v>
      </c>
      <c r="W312" s="40"/>
      <c r="X312" s="40"/>
      <c r="Y312" s="349"/>
      <c r="Z312" s="313"/>
      <c r="AA312" s="313"/>
      <c r="AB312" s="313"/>
      <c r="AC312" s="313"/>
      <c r="AD312" s="313"/>
      <c r="AE312" s="313"/>
      <c r="AF312" s="313"/>
      <c r="AG312" s="313"/>
      <c r="AH312" s="313"/>
      <c r="AI312" s="313"/>
      <c r="AJ312" s="313"/>
      <c r="AK312" s="313"/>
      <c r="AL312" s="313"/>
      <c r="AM312" s="313"/>
      <c r="AN312" s="313"/>
      <c r="AO312" s="313"/>
      <c r="AP312" s="313"/>
      <c r="AQ312" s="313"/>
      <c r="AR312" s="313"/>
      <c r="AS312" s="313"/>
      <c r="AT312" s="313"/>
      <c r="AU312" s="313"/>
      <c r="AV312" s="313"/>
      <c r="AW312" s="313"/>
      <c r="AX312" s="313"/>
      <c r="AY312" s="313"/>
      <c r="AZ312" s="313"/>
      <c r="BA312" s="313"/>
      <c r="BB312" s="313"/>
      <c r="BC312" s="313"/>
      <c r="BD312" s="313"/>
      <c r="BE312" s="313"/>
      <c r="BF312" s="313"/>
      <c r="BG312" s="313"/>
      <c r="BH312" s="313"/>
      <c r="BI312" s="313"/>
      <c r="BJ312" s="313"/>
      <c r="BK312" s="313"/>
      <c r="BL312" s="313"/>
      <c r="BM312" s="313"/>
      <c r="BN312" s="313"/>
      <c r="BO312" s="313"/>
      <c r="BP312" s="313"/>
      <c r="BQ312" s="313"/>
    </row>
    <row r="313">
      <c r="A313" s="87" t="s">
        <v>10241</v>
      </c>
      <c r="B313" s="92"/>
      <c r="C313" s="30">
        <v>43872.0</v>
      </c>
      <c r="D313" s="92"/>
      <c r="E313" s="13" t="s">
        <v>41</v>
      </c>
      <c r="F313" s="13">
        <v>1.0</v>
      </c>
      <c r="G313" s="13">
        <v>1.0</v>
      </c>
      <c r="H313" s="50">
        <v>1.0</v>
      </c>
      <c r="I313" s="13" t="s">
        <v>33</v>
      </c>
      <c r="J313" s="13" t="s">
        <v>203</v>
      </c>
      <c r="K313" s="92"/>
      <c r="L313" s="34" t="s">
        <v>10229</v>
      </c>
      <c r="M313" s="46" t="s">
        <v>10242</v>
      </c>
      <c r="N313" s="288"/>
      <c r="O313" s="145"/>
      <c r="P313" s="145"/>
      <c r="Q313" s="91"/>
      <c r="R313" s="145"/>
      <c r="S313" s="145"/>
      <c r="T313" s="313"/>
      <c r="U313" s="38"/>
      <c r="V313" s="38" t="s">
        <v>33</v>
      </c>
      <c r="W313" s="40"/>
      <c r="X313" s="40"/>
      <c r="Y313" s="349"/>
      <c r="Z313" s="313"/>
      <c r="AA313" s="313"/>
      <c r="AB313" s="313"/>
      <c r="AC313" s="313"/>
      <c r="AD313" s="313"/>
      <c r="AE313" s="313"/>
      <c r="AF313" s="313"/>
      <c r="AG313" s="313"/>
      <c r="AH313" s="313"/>
      <c r="AI313" s="313"/>
      <c r="AJ313" s="313"/>
      <c r="AK313" s="313"/>
      <c r="AL313" s="313"/>
      <c r="AM313" s="313"/>
      <c r="AN313" s="313"/>
      <c r="AO313" s="313"/>
      <c r="AP313" s="313"/>
      <c r="AQ313" s="313"/>
      <c r="AR313" s="313"/>
      <c r="AS313" s="313"/>
      <c r="AT313" s="313"/>
      <c r="AU313" s="313"/>
      <c r="AV313" s="313"/>
      <c r="AW313" s="313"/>
      <c r="AX313" s="313"/>
      <c r="AY313" s="313"/>
      <c r="AZ313" s="313"/>
      <c r="BA313" s="313"/>
      <c r="BB313" s="313"/>
      <c r="BC313" s="313"/>
      <c r="BD313" s="313"/>
      <c r="BE313" s="313"/>
      <c r="BF313" s="313"/>
      <c r="BG313" s="313"/>
      <c r="BH313" s="313"/>
      <c r="BI313" s="313"/>
      <c r="BJ313" s="313"/>
      <c r="BK313" s="313"/>
      <c r="BL313" s="313"/>
      <c r="BM313" s="313"/>
      <c r="BN313" s="313"/>
      <c r="BO313" s="313"/>
      <c r="BP313" s="313"/>
      <c r="BQ313" s="313"/>
    </row>
    <row r="314">
      <c r="A314" s="87" t="s">
        <v>10243</v>
      </c>
      <c r="B314" s="92"/>
      <c r="C314" s="30">
        <v>43872.0</v>
      </c>
      <c r="D314" s="92"/>
      <c r="E314" s="13" t="s">
        <v>41</v>
      </c>
      <c r="F314" s="13">
        <v>1.0</v>
      </c>
      <c r="G314" s="13">
        <v>2.0</v>
      </c>
      <c r="H314" s="50">
        <v>2.0</v>
      </c>
      <c r="I314" s="13" t="s">
        <v>33</v>
      </c>
      <c r="J314" s="13" t="s">
        <v>89</v>
      </c>
      <c r="K314" s="92"/>
      <c r="L314" s="34" t="s">
        <v>10196</v>
      </c>
      <c r="M314" s="46" t="s">
        <v>10244</v>
      </c>
      <c r="N314" s="288"/>
      <c r="O314" s="145"/>
      <c r="P314" s="145"/>
      <c r="Q314" s="91"/>
      <c r="R314" s="145"/>
      <c r="S314" s="145"/>
      <c r="T314" s="313"/>
      <c r="U314" s="38"/>
      <c r="V314" s="38"/>
      <c r="W314" s="40"/>
      <c r="X314" s="40"/>
      <c r="Y314" s="349"/>
      <c r="Z314" s="313"/>
      <c r="AA314" s="313"/>
      <c r="AB314" s="313"/>
      <c r="AC314" s="313"/>
      <c r="AD314" s="313"/>
      <c r="AE314" s="313"/>
      <c r="AF314" s="313"/>
      <c r="AG314" s="313"/>
      <c r="AH314" s="313"/>
      <c r="AI314" s="313"/>
      <c r="AJ314" s="313"/>
      <c r="AK314" s="313"/>
      <c r="AL314" s="313"/>
      <c r="AM314" s="313"/>
      <c r="AN314" s="313"/>
      <c r="AO314" s="313"/>
      <c r="AP314" s="313"/>
      <c r="AQ314" s="313"/>
      <c r="AR314" s="313"/>
      <c r="AS314" s="313"/>
      <c r="AT314" s="313"/>
      <c r="AU314" s="313"/>
      <c r="AV314" s="313"/>
      <c r="AW314" s="313"/>
      <c r="AX314" s="313"/>
      <c r="AY314" s="313"/>
      <c r="AZ314" s="313"/>
      <c r="BA314" s="313"/>
      <c r="BB314" s="313"/>
      <c r="BC314" s="313"/>
      <c r="BD314" s="313"/>
      <c r="BE314" s="313"/>
      <c r="BF314" s="313"/>
      <c r="BG314" s="313"/>
      <c r="BH314" s="313"/>
      <c r="BI314" s="313"/>
      <c r="BJ314" s="313"/>
      <c r="BK314" s="313"/>
      <c r="BL314" s="313"/>
      <c r="BM314" s="313"/>
      <c r="BN314" s="313"/>
      <c r="BO314" s="313"/>
      <c r="BP314" s="313"/>
      <c r="BQ314" s="313"/>
    </row>
    <row r="315">
      <c r="A315" s="87" t="s">
        <v>10245</v>
      </c>
      <c r="B315" s="92"/>
      <c r="C315" s="30">
        <v>43872.0</v>
      </c>
      <c r="D315" s="92"/>
      <c r="E315" s="13" t="s">
        <v>41</v>
      </c>
      <c r="F315" s="13">
        <v>1.0</v>
      </c>
      <c r="G315" s="13">
        <v>1.0</v>
      </c>
      <c r="H315" s="50">
        <v>1.0</v>
      </c>
      <c r="I315" s="13" t="s">
        <v>33</v>
      </c>
      <c r="J315" s="13" t="s">
        <v>203</v>
      </c>
      <c r="K315" s="92"/>
      <c r="L315" s="34" t="s">
        <v>10229</v>
      </c>
      <c r="M315" s="46" t="s">
        <v>10246</v>
      </c>
      <c r="N315" s="288"/>
      <c r="O315" s="145"/>
      <c r="P315" s="145"/>
      <c r="Q315" s="91"/>
      <c r="R315" s="145"/>
      <c r="S315" s="145"/>
      <c r="T315" s="313"/>
      <c r="U315" s="38"/>
      <c r="V315" s="38" t="s">
        <v>33</v>
      </c>
      <c r="W315" s="40"/>
      <c r="X315" s="40"/>
      <c r="Y315" s="349"/>
      <c r="Z315" s="313"/>
      <c r="AA315" s="313"/>
      <c r="AB315" s="313"/>
      <c r="AC315" s="313"/>
      <c r="AD315" s="313"/>
      <c r="AE315" s="313"/>
      <c r="AF315" s="313"/>
      <c r="AG315" s="313"/>
      <c r="AH315" s="313"/>
      <c r="AI315" s="313"/>
      <c r="AJ315" s="313"/>
      <c r="AK315" s="313"/>
      <c r="AL315" s="313"/>
      <c r="AM315" s="313"/>
      <c r="AN315" s="313"/>
      <c r="AO315" s="313"/>
      <c r="AP315" s="313"/>
      <c r="AQ315" s="313"/>
      <c r="AR315" s="313"/>
      <c r="AS315" s="313"/>
      <c r="AT315" s="313"/>
      <c r="AU315" s="313"/>
      <c r="AV315" s="313"/>
      <c r="AW315" s="313"/>
      <c r="AX315" s="313"/>
      <c r="AY315" s="313"/>
      <c r="AZ315" s="313"/>
      <c r="BA315" s="313"/>
      <c r="BB315" s="313"/>
      <c r="BC315" s="313"/>
      <c r="BD315" s="313"/>
      <c r="BE315" s="313"/>
      <c r="BF315" s="313"/>
      <c r="BG315" s="313"/>
      <c r="BH315" s="313"/>
      <c r="BI315" s="313"/>
      <c r="BJ315" s="313"/>
      <c r="BK315" s="313"/>
      <c r="BL315" s="313"/>
      <c r="BM315" s="313"/>
      <c r="BN315" s="313"/>
      <c r="BO315" s="313"/>
      <c r="BP315" s="313"/>
      <c r="BQ315" s="313"/>
    </row>
    <row r="316">
      <c r="A316" s="87" t="s">
        <v>10247</v>
      </c>
      <c r="B316" s="92"/>
      <c r="C316" s="30">
        <v>43875.0</v>
      </c>
      <c r="D316" s="92"/>
      <c r="E316" s="13" t="s">
        <v>41</v>
      </c>
      <c r="F316" s="13">
        <v>1.0</v>
      </c>
      <c r="G316" s="13" t="s">
        <v>32</v>
      </c>
      <c r="H316" s="50">
        <v>1.0</v>
      </c>
      <c r="I316" s="13" t="s">
        <v>33</v>
      </c>
      <c r="J316" s="13" t="s">
        <v>93</v>
      </c>
      <c r="K316" s="92"/>
      <c r="L316" s="34" t="s">
        <v>7593</v>
      </c>
      <c r="M316" s="106" t="s">
        <v>10248</v>
      </c>
      <c r="N316" s="288"/>
      <c r="O316" s="145"/>
      <c r="P316" s="145"/>
      <c r="Q316" s="91"/>
      <c r="R316" s="145"/>
      <c r="S316" s="145"/>
      <c r="T316" s="313"/>
      <c r="U316" s="38" t="b">
        <f t="shared" ref="U316:U331" si="32">countif(A$5:A3006, A316)&gt;1</f>
        <v>0</v>
      </c>
      <c r="V316" s="38"/>
      <c r="W316" s="40"/>
      <c r="X316" s="40"/>
      <c r="Y316" s="349"/>
      <c r="Z316" s="313"/>
      <c r="AA316" s="313"/>
      <c r="AB316" s="313"/>
      <c r="AC316" s="313"/>
      <c r="AD316" s="313"/>
      <c r="AE316" s="313"/>
      <c r="AF316" s="313"/>
      <c r="AG316" s="313"/>
      <c r="AH316" s="313"/>
      <c r="AI316" s="313"/>
      <c r="AJ316" s="313"/>
      <c r="AK316" s="313"/>
      <c r="AL316" s="313"/>
      <c r="AM316" s="313"/>
      <c r="AN316" s="313"/>
      <c r="AO316" s="313"/>
      <c r="AP316" s="313"/>
      <c r="AQ316" s="313"/>
      <c r="AR316" s="313"/>
      <c r="AS316" s="313"/>
      <c r="AT316" s="313"/>
      <c r="AU316" s="313"/>
      <c r="AV316" s="313"/>
      <c r="AW316" s="313"/>
      <c r="AX316" s="313"/>
      <c r="AY316" s="313"/>
      <c r="AZ316" s="313"/>
      <c r="BA316" s="313"/>
      <c r="BB316" s="313"/>
      <c r="BC316" s="313"/>
      <c r="BD316" s="313"/>
      <c r="BE316" s="313"/>
      <c r="BF316" s="313"/>
      <c r="BG316" s="313"/>
      <c r="BH316" s="313"/>
      <c r="BI316" s="313"/>
      <c r="BJ316" s="313"/>
      <c r="BK316" s="313"/>
      <c r="BL316" s="313"/>
      <c r="BM316" s="313"/>
      <c r="BN316" s="313"/>
      <c r="BO316" s="313"/>
      <c r="BP316" s="313"/>
      <c r="BQ316" s="313"/>
    </row>
    <row r="317">
      <c r="A317" s="87" t="s">
        <v>10249</v>
      </c>
      <c r="B317" s="92"/>
      <c r="C317" s="30">
        <v>43876.0</v>
      </c>
      <c r="D317" s="92"/>
      <c r="E317" s="13" t="s">
        <v>41</v>
      </c>
      <c r="F317" s="13">
        <v>1.0</v>
      </c>
      <c r="G317" s="13" t="s">
        <v>32</v>
      </c>
      <c r="H317" s="50">
        <v>1.0</v>
      </c>
      <c r="I317" s="13" t="s">
        <v>33</v>
      </c>
      <c r="J317" s="13" t="s">
        <v>184</v>
      </c>
      <c r="K317" s="92"/>
      <c r="L317" s="34" t="s">
        <v>7593</v>
      </c>
      <c r="M317" s="46" t="s">
        <v>10250</v>
      </c>
      <c r="N317" s="288"/>
      <c r="O317" s="145"/>
      <c r="P317" s="145"/>
      <c r="Q317" s="91"/>
      <c r="R317" s="145"/>
      <c r="S317" s="145"/>
      <c r="T317" s="313"/>
      <c r="U317" s="38" t="b">
        <f t="shared" si="32"/>
        <v>0</v>
      </c>
      <c r="V317" s="38" t="s">
        <v>33</v>
      </c>
      <c r="W317" s="40"/>
      <c r="X317" s="40"/>
      <c r="Y317" s="349"/>
      <c r="Z317" s="313"/>
      <c r="AA317" s="313"/>
      <c r="AB317" s="313"/>
      <c r="AC317" s="313"/>
      <c r="AD317" s="313"/>
      <c r="AE317" s="313"/>
      <c r="AF317" s="313"/>
      <c r="AG317" s="313"/>
      <c r="AH317" s="313"/>
      <c r="AI317" s="313"/>
      <c r="AJ317" s="313"/>
      <c r="AK317" s="313"/>
      <c r="AL317" s="313"/>
      <c r="AM317" s="313"/>
      <c r="AN317" s="313"/>
      <c r="AO317" s="313"/>
      <c r="AP317" s="313"/>
      <c r="AQ317" s="313"/>
      <c r="AR317" s="313"/>
      <c r="AS317" s="313"/>
      <c r="AT317" s="313"/>
      <c r="AU317" s="313"/>
      <c r="AV317" s="313"/>
      <c r="AW317" s="313"/>
      <c r="AX317" s="313"/>
      <c r="AY317" s="313"/>
      <c r="AZ317" s="313"/>
      <c r="BA317" s="313"/>
      <c r="BB317" s="313"/>
      <c r="BC317" s="313"/>
      <c r="BD317" s="313"/>
      <c r="BE317" s="313"/>
      <c r="BF317" s="313"/>
      <c r="BG317" s="313"/>
      <c r="BH317" s="313"/>
      <c r="BI317" s="313"/>
      <c r="BJ317" s="313"/>
      <c r="BK317" s="313"/>
      <c r="BL317" s="313"/>
      <c r="BM317" s="313"/>
      <c r="BN317" s="313"/>
      <c r="BO317" s="313"/>
      <c r="BP317" s="313"/>
      <c r="BQ317" s="313"/>
    </row>
    <row r="318">
      <c r="A318" s="87" t="s">
        <v>10251</v>
      </c>
      <c r="B318" s="92"/>
      <c r="C318" s="30">
        <v>43876.0</v>
      </c>
      <c r="D318" s="92"/>
      <c r="E318" s="13" t="s">
        <v>41</v>
      </c>
      <c r="F318" s="13">
        <v>1.0</v>
      </c>
      <c r="G318" s="13" t="s">
        <v>32</v>
      </c>
      <c r="H318" s="50">
        <v>1.0</v>
      </c>
      <c r="I318" s="13" t="s">
        <v>33</v>
      </c>
      <c r="J318" s="13" t="s">
        <v>184</v>
      </c>
      <c r="K318" s="92"/>
      <c r="L318" s="34" t="s">
        <v>7593</v>
      </c>
      <c r="M318" s="46" t="s">
        <v>10252</v>
      </c>
      <c r="N318" s="288"/>
      <c r="O318" s="145"/>
      <c r="P318" s="145"/>
      <c r="Q318" s="91"/>
      <c r="R318" s="145"/>
      <c r="S318" s="145"/>
      <c r="T318" s="313"/>
      <c r="U318" s="38" t="b">
        <f t="shared" si="32"/>
        <v>0</v>
      </c>
      <c r="V318" s="38" t="s">
        <v>33</v>
      </c>
      <c r="W318" s="40"/>
      <c r="X318" s="40"/>
      <c r="Y318" s="349"/>
      <c r="Z318" s="313"/>
      <c r="AA318" s="313"/>
      <c r="AB318" s="313"/>
      <c r="AC318" s="313"/>
      <c r="AD318" s="313"/>
      <c r="AE318" s="313"/>
      <c r="AF318" s="313"/>
      <c r="AG318" s="313"/>
      <c r="AH318" s="313"/>
      <c r="AI318" s="313"/>
      <c r="AJ318" s="313"/>
      <c r="AK318" s="313"/>
      <c r="AL318" s="313"/>
      <c r="AM318" s="313"/>
      <c r="AN318" s="313"/>
      <c r="AO318" s="313"/>
      <c r="AP318" s="313"/>
      <c r="AQ318" s="313"/>
      <c r="AR318" s="313"/>
      <c r="AS318" s="313"/>
      <c r="AT318" s="313"/>
      <c r="AU318" s="313"/>
      <c r="AV318" s="313"/>
      <c r="AW318" s="313"/>
      <c r="AX318" s="313"/>
      <c r="AY318" s="313"/>
      <c r="AZ318" s="313"/>
      <c r="BA318" s="313"/>
      <c r="BB318" s="313"/>
      <c r="BC318" s="313"/>
      <c r="BD318" s="313"/>
      <c r="BE318" s="313"/>
      <c r="BF318" s="313"/>
      <c r="BG318" s="313"/>
      <c r="BH318" s="313"/>
      <c r="BI318" s="313"/>
      <c r="BJ318" s="313"/>
      <c r="BK318" s="313"/>
      <c r="BL318" s="313"/>
      <c r="BM318" s="313"/>
      <c r="BN318" s="313"/>
      <c r="BO318" s="313"/>
      <c r="BP318" s="313"/>
      <c r="BQ318" s="313"/>
    </row>
    <row r="319">
      <c r="A319" s="87" t="s">
        <v>10253</v>
      </c>
      <c r="B319" s="92"/>
      <c r="C319" s="30">
        <v>43876.0</v>
      </c>
      <c r="D319" s="92"/>
      <c r="E319" s="13" t="s">
        <v>41</v>
      </c>
      <c r="F319" s="13">
        <v>1.0</v>
      </c>
      <c r="G319" s="13" t="s">
        <v>32</v>
      </c>
      <c r="H319" s="50">
        <v>1.0</v>
      </c>
      <c r="I319" s="13" t="s">
        <v>33</v>
      </c>
      <c r="J319" s="13" t="s">
        <v>184</v>
      </c>
      <c r="K319" s="92"/>
      <c r="L319" s="34" t="s">
        <v>7593</v>
      </c>
      <c r="M319" s="46" t="s">
        <v>10252</v>
      </c>
      <c r="N319" s="288"/>
      <c r="O319" s="145"/>
      <c r="P319" s="145"/>
      <c r="Q319" s="91"/>
      <c r="R319" s="145"/>
      <c r="S319" s="145"/>
      <c r="T319" s="313"/>
      <c r="U319" s="38" t="b">
        <f t="shared" si="32"/>
        <v>0</v>
      </c>
      <c r="V319" s="38" t="s">
        <v>33</v>
      </c>
      <c r="W319" s="40"/>
      <c r="X319" s="40"/>
      <c r="Y319" s="349"/>
      <c r="Z319" s="313"/>
      <c r="AA319" s="313"/>
      <c r="AB319" s="313"/>
      <c r="AC319" s="313"/>
      <c r="AD319" s="313"/>
      <c r="AE319" s="313"/>
      <c r="AF319" s="313"/>
      <c r="AG319" s="313"/>
      <c r="AH319" s="313"/>
      <c r="AI319" s="313"/>
      <c r="AJ319" s="313"/>
      <c r="AK319" s="313"/>
      <c r="AL319" s="313"/>
      <c r="AM319" s="313"/>
      <c r="AN319" s="313"/>
      <c r="AO319" s="313"/>
      <c r="AP319" s="313"/>
      <c r="AQ319" s="313"/>
      <c r="AR319" s="313"/>
      <c r="AS319" s="313"/>
      <c r="AT319" s="313"/>
      <c r="AU319" s="313"/>
      <c r="AV319" s="313"/>
      <c r="AW319" s="313"/>
      <c r="AX319" s="313"/>
      <c r="AY319" s="313"/>
      <c r="AZ319" s="313"/>
      <c r="BA319" s="313"/>
      <c r="BB319" s="313"/>
      <c r="BC319" s="313"/>
      <c r="BD319" s="313"/>
      <c r="BE319" s="313"/>
      <c r="BF319" s="313"/>
      <c r="BG319" s="313"/>
      <c r="BH319" s="313"/>
      <c r="BI319" s="313"/>
      <c r="BJ319" s="313"/>
      <c r="BK319" s="313"/>
      <c r="BL319" s="313"/>
      <c r="BM319" s="313"/>
      <c r="BN319" s="313"/>
      <c r="BO319" s="313"/>
      <c r="BP319" s="313"/>
      <c r="BQ319" s="313"/>
    </row>
    <row r="320">
      <c r="A320" s="87" t="s">
        <v>10254</v>
      </c>
      <c r="B320" s="92"/>
      <c r="C320" s="30">
        <v>43876.0</v>
      </c>
      <c r="D320" s="92"/>
      <c r="E320" s="13" t="s">
        <v>41</v>
      </c>
      <c r="F320" s="13">
        <v>1.0</v>
      </c>
      <c r="G320" s="13" t="s">
        <v>32</v>
      </c>
      <c r="H320" s="50">
        <v>1.0</v>
      </c>
      <c r="I320" s="13" t="s">
        <v>33</v>
      </c>
      <c r="J320" s="13" t="s">
        <v>184</v>
      </c>
      <c r="K320" s="92"/>
      <c r="L320" s="34" t="s">
        <v>7593</v>
      </c>
      <c r="M320" s="46" t="s">
        <v>10252</v>
      </c>
      <c r="N320" s="288"/>
      <c r="O320" s="145"/>
      <c r="P320" s="145"/>
      <c r="Q320" s="91"/>
      <c r="R320" s="145"/>
      <c r="S320" s="145"/>
      <c r="T320" s="313"/>
      <c r="U320" s="38" t="b">
        <f t="shared" si="32"/>
        <v>0</v>
      </c>
      <c r="V320" s="38" t="s">
        <v>33</v>
      </c>
      <c r="W320" s="40"/>
      <c r="X320" s="40"/>
      <c r="Y320" s="349"/>
      <c r="Z320" s="313"/>
      <c r="AA320" s="313"/>
      <c r="AB320" s="313"/>
      <c r="AC320" s="313"/>
      <c r="AD320" s="313"/>
      <c r="AE320" s="313"/>
      <c r="AF320" s="313"/>
      <c r="AG320" s="313"/>
      <c r="AH320" s="313"/>
      <c r="AI320" s="313"/>
      <c r="AJ320" s="313"/>
      <c r="AK320" s="313"/>
      <c r="AL320" s="313"/>
      <c r="AM320" s="313"/>
      <c r="AN320" s="313"/>
      <c r="AO320" s="313"/>
      <c r="AP320" s="313"/>
      <c r="AQ320" s="313"/>
      <c r="AR320" s="313"/>
      <c r="AS320" s="313"/>
      <c r="AT320" s="313"/>
      <c r="AU320" s="313"/>
      <c r="AV320" s="313"/>
      <c r="AW320" s="313"/>
      <c r="AX320" s="313"/>
      <c r="AY320" s="313"/>
      <c r="AZ320" s="313"/>
      <c r="BA320" s="313"/>
      <c r="BB320" s="313"/>
      <c r="BC320" s="313"/>
      <c r="BD320" s="313"/>
      <c r="BE320" s="313"/>
      <c r="BF320" s="313"/>
      <c r="BG320" s="313"/>
      <c r="BH320" s="313"/>
      <c r="BI320" s="313"/>
      <c r="BJ320" s="313"/>
      <c r="BK320" s="313"/>
      <c r="BL320" s="313"/>
      <c r="BM320" s="313"/>
      <c r="BN320" s="313"/>
      <c r="BO320" s="313"/>
      <c r="BP320" s="313"/>
      <c r="BQ320" s="313"/>
    </row>
    <row r="321">
      <c r="A321" s="87" t="s">
        <v>10255</v>
      </c>
      <c r="B321" s="92"/>
      <c r="C321" s="30">
        <v>43876.0</v>
      </c>
      <c r="D321" s="92"/>
      <c r="E321" s="13" t="s">
        <v>41</v>
      </c>
      <c r="F321" s="13">
        <v>1.0</v>
      </c>
      <c r="G321" s="13" t="s">
        <v>32</v>
      </c>
      <c r="H321" s="50">
        <v>1.0</v>
      </c>
      <c r="I321" s="13" t="s">
        <v>33</v>
      </c>
      <c r="J321" s="13" t="s">
        <v>184</v>
      </c>
      <c r="K321" s="92"/>
      <c r="L321" s="34" t="s">
        <v>7593</v>
      </c>
      <c r="M321" s="46" t="s">
        <v>10252</v>
      </c>
      <c r="N321" s="288"/>
      <c r="O321" s="145"/>
      <c r="P321" s="145"/>
      <c r="Q321" s="91"/>
      <c r="R321" s="145"/>
      <c r="S321" s="145"/>
      <c r="T321" s="313"/>
      <c r="U321" s="38" t="b">
        <f t="shared" si="32"/>
        <v>0</v>
      </c>
      <c r="V321" s="38" t="s">
        <v>33</v>
      </c>
      <c r="W321" s="40"/>
      <c r="X321" s="40"/>
      <c r="Y321" s="349"/>
      <c r="Z321" s="313"/>
      <c r="AA321" s="313"/>
      <c r="AB321" s="313"/>
      <c r="AC321" s="313"/>
      <c r="AD321" s="313"/>
      <c r="AE321" s="313"/>
      <c r="AF321" s="313"/>
      <c r="AG321" s="313"/>
      <c r="AH321" s="313"/>
      <c r="AI321" s="313"/>
      <c r="AJ321" s="313"/>
      <c r="AK321" s="313"/>
      <c r="AL321" s="313"/>
      <c r="AM321" s="313"/>
      <c r="AN321" s="313"/>
      <c r="AO321" s="313"/>
      <c r="AP321" s="313"/>
      <c r="AQ321" s="313"/>
      <c r="AR321" s="313"/>
      <c r="AS321" s="313"/>
      <c r="AT321" s="313"/>
      <c r="AU321" s="313"/>
      <c r="AV321" s="313"/>
      <c r="AW321" s="313"/>
      <c r="AX321" s="313"/>
      <c r="AY321" s="313"/>
      <c r="AZ321" s="313"/>
      <c r="BA321" s="313"/>
      <c r="BB321" s="313"/>
      <c r="BC321" s="313"/>
      <c r="BD321" s="313"/>
      <c r="BE321" s="313"/>
      <c r="BF321" s="313"/>
      <c r="BG321" s="313"/>
      <c r="BH321" s="313"/>
      <c r="BI321" s="313"/>
      <c r="BJ321" s="313"/>
      <c r="BK321" s="313"/>
      <c r="BL321" s="313"/>
      <c r="BM321" s="313"/>
      <c r="BN321" s="313"/>
      <c r="BO321" s="313"/>
      <c r="BP321" s="313"/>
      <c r="BQ321" s="313"/>
    </row>
    <row r="322">
      <c r="A322" s="87" t="s">
        <v>10256</v>
      </c>
      <c r="B322" s="92"/>
      <c r="C322" s="30">
        <v>43876.0</v>
      </c>
      <c r="D322" s="92"/>
      <c r="E322" s="13" t="s">
        <v>41</v>
      </c>
      <c r="F322" s="13">
        <v>1.0</v>
      </c>
      <c r="G322" s="13" t="s">
        <v>32</v>
      </c>
      <c r="H322" s="50">
        <v>1.0</v>
      </c>
      <c r="I322" s="13" t="s">
        <v>33</v>
      </c>
      <c r="J322" s="13" t="s">
        <v>184</v>
      </c>
      <c r="K322" s="92"/>
      <c r="L322" s="34" t="s">
        <v>7593</v>
      </c>
      <c r="M322" s="46" t="s">
        <v>10252</v>
      </c>
      <c r="N322" s="288"/>
      <c r="O322" s="145"/>
      <c r="P322" s="145"/>
      <c r="Q322" s="91"/>
      <c r="R322" s="145"/>
      <c r="S322" s="145"/>
      <c r="T322" s="313"/>
      <c r="U322" s="38" t="b">
        <f t="shared" si="32"/>
        <v>0</v>
      </c>
      <c r="V322" s="38" t="s">
        <v>33</v>
      </c>
      <c r="W322" s="40"/>
      <c r="X322" s="40"/>
      <c r="Y322" s="349"/>
      <c r="Z322" s="313"/>
      <c r="AA322" s="313"/>
      <c r="AB322" s="313"/>
      <c r="AC322" s="313"/>
      <c r="AD322" s="313"/>
      <c r="AE322" s="313"/>
      <c r="AF322" s="313"/>
      <c r="AG322" s="313"/>
      <c r="AH322" s="313"/>
      <c r="AI322" s="313"/>
      <c r="AJ322" s="313"/>
      <c r="AK322" s="313"/>
      <c r="AL322" s="313"/>
      <c r="AM322" s="313"/>
      <c r="AN322" s="313"/>
      <c r="AO322" s="313"/>
      <c r="AP322" s="313"/>
      <c r="AQ322" s="313"/>
      <c r="AR322" s="313"/>
      <c r="AS322" s="313"/>
      <c r="AT322" s="313"/>
      <c r="AU322" s="313"/>
      <c r="AV322" s="313"/>
      <c r="AW322" s="313"/>
      <c r="AX322" s="313"/>
      <c r="AY322" s="313"/>
      <c r="AZ322" s="313"/>
      <c r="BA322" s="313"/>
      <c r="BB322" s="313"/>
      <c r="BC322" s="313"/>
      <c r="BD322" s="313"/>
      <c r="BE322" s="313"/>
      <c r="BF322" s="313"/>
      <c r="BG322" s="313"/>
      <c r="BH322" s="313"/>
      <c r="BI322" s="313"/>
      <c r="BJ322" s="313"/>
      <c r="BK322" s="313"/>
      <c r="BL322" s="313"/>
      <c r="BM322" s="313"/>
      <c r="BN322" s="313"/>
      <c r="BO322" s="313"/>
      <c r="BP322" s="313"/>
      <c r="BQ322" s="313"/>
    </row>
    <row r="323">
      <c r="A323" s="87" t="s">
        <v>10257</v>
      </c>
      <c r="B323" s="92"/>
      <c r="C323" s="30">
        <v>43876.0</v>
      </c>
      <c r="D323" s="92"/>
      <c r="E323" s="13" t="s">
        <v>41</v>
      </c>
      <c r="F323" s="13">
        <v>1.0</v>
      </c>
      <c r="G323" s="13" t="s">
        <v>32</v>
      </c>
      <c r="H323" s="50">
        <v>1.0</v>
      </c>
      <c r="I323" s="13" t="s">
        <v>33</v>
      </c>
      <c r="J323" s="13" t="s">
        <v>184</v>
      </c>
      <c r="K323" s="92"/>
      <c r="L323" s="34" t="s">
        <v>7593</v>
      </c>
      <c r="M323" s="46" t="s">
        <v>10252</v>
      </c>
      <c r="N323" s="288"/>
      <c r="O323" s="145"/>
      <c r="P323" s="145"/>
      <c r="Q323" s="91"/>
      <c r="R323" s="145"/>
      <c r="S323" s="145"/>
      <c r="T323" s="313"/>
      <c r="U323" s="38" t="b">
        <f t="shared" si="32"/>
        <v>0</v>
      </c>
      <c r="V323" s="38" t="s">
        <v>33</v>
      </c>
      <c r="W323" s="40"/>
      <c r="X323" s="40"/>
      <c r="Y323" s="349"/>
      <c r="Z323" s="313"/>
      <c r="AA323" s="313"/>
      <c r="AB323" s="313"/>
      <c r="AC323" s="313"/>
      <c r="AD323" s="313"/>
      <c r="AE323" s="313"/>
      <c r="AF323" s="313"/>
      <c r="AG323" s="313"/>
      <c r="AH323" s="313"/>
      <c r="AI323" s="313"/>
      <c r="AJ323" s="313"/>
      <c r="AK323" s="313"/>
      <c r="AL323" s="313"/>
      <c r="AM323" s="313"/>
      <c r="AN323" s="313"/>
      <c r="AO323" s="313"/>
      <c r="AP323" s="313"/>
      <c r="AQ323" s="313"/>
      <c r="AR323" s="313"/>
      <c r="AS323" s="313"/>
      <c r="AT323" s="313"/>
      <c r="AU323" s="313"/>
      <c r="AV323" s="313"/>
      <c r="AW323" s="313"/>
      <c r="AX323" s="313"/>
      <c r="AY323" s="313"/>
      <c r="AZ323" s="313"/>
      <c r="BA323" s="313"/>
      <c r="BB323" s="313"/>
      <c r="BC323" s="313"/>
      <c r="BD323" s="313"/>
      <c r="BE323" s="313"/>
      <c r="BF323" s="313"/>
      <c r="BG323" s="313"/>
      <c r="BH323" s="313"/>
      <c r="BI323" s="313"/>
      <c r="BJ323" s="313"/>
      <c r="BK323" s="313"/>
      <c r="BL323" s="313"/>
      <c r="BM323" s="313"/>
      <c r="BN323" s="313"/>
      <c r="BO323" s="313"/>
      <c r="BP323" s="313"/>
      <c r="BQ323" s="313"/>
    </row>
    <row r="324">
      <c r="A324" s="87" t="s">
        <v>10258</v>
      </c>
      <c r="B324" s="92"/>
      <c r="C324" s="30">
        <v>43876.0</v>
      </c>
      <c r="D324" s="92"/>
      <c r="E324" s="13" t="s">
        <v>41</v>
      </c>
      <c r="F324" s="13">
        <v>1.0</v>
      </c>
      <c r="G324" s="13" t="s">
        <v>32</v>
      </c>
      <c r="H324" s="50">
        <v>1.0</v>
      </c>
      <c r="I324" s="13" t="s">
        <v>33</v>
      </c>
      <c r="J324" s="13" t="s">
        <v>184</v>
      </c>
      <c r="K324" s="92"/>
      <c r="L324" s="34" t="s">
        <v>7593</v>
      </c>
      <c r="M324" s="46" t="s">
        <v>10252</v>
      </c>
      <c r="N324" s="288"/>
      <c r="O324" s="145"/>
      <c r="P324" s="145"/>
      <c r="Q324" s="91"/>
      <c r="R324" s="145"/>
      <c r="S324" s="145"/>
      <c r="T324" s="313"/>
      <c r="U324" s="38" t="b">
        <f t="shared" si="32"/>
        <v>0</v>
      </c>
      <c r="V324" s="38" t="s">
        <v>33</v>
      </c>
      <c r="W324" s="40"/>
      <c r="X324" s="40"/>
      <c r="Y324" s="349"/>
      <c r="Z324" s="313"/>
      <c r="AA324" s="313"/>
      <c r="AB324" s="313"/>
      <c r="AC324" s="313"/>
      <c r="AD324" s="313"/>
      <c r="AE324" s="313"/>
      <c r="AF324" s="313"/>
      <c r="AG324" s="313"/>
      <c r="AH324" s="313"/>
      <c r="AI324" s="313"/>
      <c r="AJ324" s="313"/>
      <c r="AK324" s="313"/>
      <c r="AL324" s="313"/>
      <c r="AM324" s="313"/>
      <c r="AN324" s="313"/>
      <c r="AO324" s="313"/>
      <c r="AP324" s="313"/>
      <c r="AQ324" s="313"/>
      <c r="AR324" s="313"/>
      <c r="AS324" s="313"/>
      <c r="AT324" s="313"/>
      <c r="AU324" s="313"/>
      <c r="AV324" s="313"/>
      <c r="AW324" s="313"/>
      <c r="AX324" s="313"/>
      <c r="AY324" s="313"/>
      <c r="AZ324" s="313"/>
      <c r="BA324" s="313"/>
      <c r="BB324" s="313"/>
      <c r="BC324" s="313"/>
      <c r="BD324" s="313"/>
      <c r="BE324" s="313"/>
      <c r="BF324" s="313"/>
      <c r="BG324" s="313"/>
      <c r="BH324" s="313"/>
      <c r="BI324" s="313"/>
      <c r="BJ324" s="313"/>
      <c r="BK324" s="313"/>
      <c r="BL324" s="313"/>
      <c r="BM324" s="313"/>
      <c r="BN324" s="313"/>
      <c r="BO324" s="313"/>
      <c r="BP324" s="313"/>
      <c r="BQ324" s="313"/>
    </row>
    <row r="325">
      <c r="A325" s="87" t="s">
        <v>10259</v>
      </c>
      <c r="B325" s="92"/>
      <c r="C325" s="30">
        <v>43876.0</v>
      </c>
      <c r="D325" s="92"/>
      <c r="E325" s="13" t="s">
        <v>41</v>
      </c>
      <c r="F325" s="13">
        <v>1.0</v>
      </c>
      <c r="G325" s="13" t="s">
        <v>32</v>
      </c>
      <c r="H325" s="50">
        <v>1.0</v>
      </c>
      <c r="I325" s="13" t="s">
        <v>33</v>
      </c>
      <c r="J325" s="13" t="s">
        <v>184</v>
      </c>
      <c r="K325" s="92"/>
      <c r="L325" s="34" t="s">
        <v>10260</v>
      </c>
      <c r="M325" s="46" t="s">
        <v>10252</v>
      </c>
      <c r="N325" s="288"/>
      <c r="O325" s="145"/>
      <c r="P325" s="145"/>
      <c r="Q325" s="91"/>
      <c r="R325" s="145"/>
      <c r="S325" s="145"/>
      <c r="T325" s="313"/>
      <c r="U325" s="38" t="b">
        <f t="shared" si="32"/>
        <v>0</v>
      </c>
      <c r="V325" s="38" t="s">
        <v>33</v>
      </c>
      <c r="W325" s="40"/>
      <c r="X325" s="40"/>
      <c r="Y325" s="349"/>
      <c r="Z325" s="313"/>
      <c r="AA325" s="313"/>
      <c r="AB325" s="313"/>
      <c r="AC325" s="313"/>
      <c r="AD325" s="313"/>
      <c r="AE325" s="313"/>
      <c r="AF325" s="313"/>
      <c r="AG325" s="313"/>
      <c r="AH325" s="313"/>
      <c r="AI325" s="313"/>
      <c r="AJ325" s="313"/>
      <c r="AK325" s="313"/>
      <c r="AL325" s="313"/>
      <c r="AM325" s="313"/>
      <c r="AN325" s="313"/>
      <c r="AO325" s="313"/>
      <c r="AP325" s="313"/>
      <c r="AQ325" s="313"/>
      <c r="AR325" s="313"/>
      <c r="AS325" s="313"/>
      <c r="AT325" s="313"/>
      <c r="AU325" s="313"/>
      <c r="AV325" s="313"/>
      <c r="AW325" s="313"/>
      <c r="AX325" s="313"/>
      <c r="AY325" s="313"/>
      <c r="AZ325" s="313"/>
      <c r="BA325" s="313"/>
      <c r="BB325" s="313"/>
      <c r="BC325" s="313"/>
      <c r="BD325" s="313"/>
      <c r="BE325" s="313"/>
      <c r="BF325" s="313"/>
      <c r="BG325" s="313"/>
      <c r="BH325" s="313"/>
      <c r="BI325" s="313"/>
      <c r="BJ325" s="313"/>
      <c r="BK325" s="313"/>
      <c r="BL325" s="313"/>
      <c r="BM325" s="313"/>
      <c r="BN325" s="313"/>
      <c r="BO325" s="313"/>
      <c r="BP325" s="313"/>
      <c r="BQ325" s="313"/>
    </row>
    <row r="326">
      <c r="A326" s="87" t="s">
        <v>10261</v>
      </c>
      <c r="B326" s="92"/>
      <c r="C326" s="30">
        <v>43876.0</v>
      </c>
      <c r="D326" s="92"/>
      <c r="E326" s="13" t="s">
        <v>41</v>
      </c>
      <c r="F326" s="13">
        <v>1.0</v>
      </c>
      <c r="G326" s="13" t="s">
        <v>32</v>
      </c>
      <c r="H326" s="50">
        <v>1.0</v>
      </c>
      <c r="I326" s="13" t="s">
        <v>33</v>
      </c>
      <c r="J326" s="13" t="s">
        <v>184</v>
      </c>
      <c r="K326" s="92"/>
      <c r="L326" s="34" t="s">
        <v>10260</v>
      </c>
      <c r="M326" s="46" t="s">
        <v>10252</v>
      </c>
      <c r="N326" s="288"/>
      <c r="O326" s="145"/>
      <c r="P326" s="145"/>
      <c r="Q326" s="91"/>
      <c r="R326" s="145"/>
      <c r="S326" s="145"/>
      <c r="T326" s="313"/>
      <c r="U326" s="38" t="b">
        <f t="shared" si="32"/>
        <v>0</v>
      </c>
      <c r="V326" s="38" t="s">
        <v>33</v>
      </c>
      <c r="W326" s="40"/>
      <c r="X326" s="40"/>
      <c r="Y326" s="349"/>
      <c r="Z326" s="313"/>
      <c r="AA326" s="313"/>
      <c r="AB326" s="313"/>
      <c r="AC326" s="313"/>
      <c r="AD326" s="313"/>
      <c r="AE326" s="313"/>
      <c r="AF326" s="313"/>
      <c r="AG326" s="313"/>
      <c r="AH326" s="313"/>
      <c r="AI326" s="313"/>
      <c r="AJ326" s="313"/>
      <c r="AK326" s="313"/>
      <c r="AL326" s="313"/>
      <c r="AM326" s="313"/>
      <c r="AN326" s="313"/>
      <c r="AO326" s="313"/>
      <c r="AP326" s="313"/>
      <c r="AQ326" s="313"/>
      <c r="AR326" s="313"/>
      <c r="AS326" s="313"/>
      <c r="AT326" s="313"/>
      <c r="AU326" s="313"/>
      <c r="AV326" s="313"/>
      <c r="AW326" s="313"/>
      <c r="AX326" s="313"/>
      <c r="AY326" s="313"/>
      <c r="AZ326" s="313"/>
      <c r="BA326" s="313"/>
      <c r="BB326" s="313"/>
      <c r="BC326" s="313"/>
      <c r="BD326" s="313"/>
      <c r="BE326" s="313"/>
      <c r="BF326" s="313"/>
      <c r="BG326" s="313"/>
      <c r="BH326" s="313"/>
      <c r="BI326" s="313"/>
      <c r="BJ326" s="313"/>
      <c r="BK326" s="313"/>
      <c r="BL326" s="313"/>
      <c r="BM326" s="313"/>
      <c r="BN326" s="313"/>
      <c r="BO326" s="313"/>
      <c r="BP326" s="313"/>
      <c r="BQ326" s="313"/>
    </row>
    <row r="327">
      <c r="A327" s="87" t="s">
        <v>10262</v>
      </c>
      <c r="B327" s="92"/>
      <c r="C327" s="30">
        <v>43876.0</v>
      </c>
      <c r="D327" s="92"/>
      <c r="E327" s="13" t="s">
        <v>41</v>
      </c>
      <c r="F327" s="13">
        <v>1.0</v>
      </c>
      <c r="G327" s="13" t="s">
        <v>32</v>
      </c>
      <c r="H327" s="50">
        <v>1.0</v>
      </c>
      <c r="I327" s="13" t="s">
        <v>33</v>
      </c>
      <c r="J327" s="13" t="s">
        <v>184</v>
      </c>
      <c r="K327" s="92"/>
      <c r="L327" s="34" t="s">
        <v>10260</v>
      </c>
      <c r="M327" s="46" t="s">
        <v>10252</v>
      </c>
      <c r="N327" s="288"/>
      <c r="O327" s="145"/>
      <c r="P327" s="145"/>
      <c r="Q327" s="91"/>
      <c r="R327" s="145"/>
      <c r="S327" s="145"/>
      <c r="T327" s="313"/>
      <c r="U327" s="38" t="b">
        <f t="shared" si="32"/>
        <v>0</v>
      </c>
      <c r="V327" s="38" t="s">
        <v>33</v>
      </c>
      <c r="W327" s="40"/>
      <c r="X327" s="40"/>
      <c r="Y327" s="349"/>
      <c r="Z327" s="313"/>
      <c r="AA327" s="313"/>
      <c r="AB327" s="313"/>
      <c r="AC327" s="313"/>
      <c r="AD327" s="313"/>
      <c r="AE327" s="313"/>
      <c r="AF327" s="313"/>
      <c r="AG327" s="313"/>
      <c r="AH327" s="313"/>
      <c r="AI327" s="313"/>
      <c r="AJ327" s="313"/>
      <c r="AK327" s="313"/>
      <c r="AL327" s="313"/>
      <c r="AM327" s="313"/>
      <c r="AN327" s="313"/>
      <c r="AO327" s="313"/>
      <c r="AP327" s="313"/>
      <c r="AQ327" s="313"/>
      <c r="AR327" s="313"/>
      <c r="AS327" s="313"/>
      <c r="AT327" s="313"/>
      <c r="AU327" s="313"/>
      <c r="AV327" s="313"/>
      <c r="AW327" s="313"/>
      <c r="AX327" s="313"/>
      <c r="AY327" s="313"/>
      <c r="AZ327" s="313"/>
      <c r="BA327" s="313"/>
      <c r="BB327" s="313"/>
      <c r="BC327" s="313"/>
      <c r="BD327" s="313"/>
      <c r="BE327" s="313"/>
      <c r="BF327" s="313"/>
      <c r="BG327" s="313"/>
      <c r="BH327" s="313"/>
      <c r="BI327" s="313"/>
      <c r="BJ327" s="313"/>
      <c r="BK327" s="313"/>
      <c r="BL327" s="313"/>
      <c r="BM327" s="313"/>
      <c r="BN327" s="313"/>
      <c r="BO327" s="313"/>
      <c r="BP327" s="313"/>
      <c r="BQ327" s="313"/>
    </row>
    <row r="328">
      <c r="A328" s="87" t="s">
        <v>10263</v>
      </c>
      <c r="B328" s="92"/>
      <c r="C328" s="30">
        <v>43876.0</v>
      </c>
      <c r="D328" s="92"/>
      <c r="E328" s="13" t="s">
        <v>41</v>
      </c>
      <c r="F328" s="13">
        <v>1.0</v>
      </c>
      <c r="G328" s="13" t="s">
        <v>32</v>
      </c>
      <c r="H328" s="50">
        <v>1.0</v>
      </c>
      <c r="I328" s="13" t="s">
        <v>33</v>
      </c>
      <c r="J328" s="13" t="s">
        <v>184</v>
      </c>
      <c r="K328" s="92"/>
      <c r="L328" s="34" t="s">
        <v>10260</v>
      </c>
      <c r="M328" s="46" t="s">
        <v>10252</v>
      </c>
      <c r="N328" s="288"/>
      <c r="O328" s="145"/>
      <c r="P328" s="145"/>
      <c r="Q328" s="91"/>
      <c r="R328" s="145"/>
      <c r="S328" s="145"/>
      <c r="T328" s="313"/>
      <c r="U328" s="38" t="b">
        <f t="shared" si="32"/>
        <v>0</v>
      </c>
      <c r="V328" s="38" t="s">
        <v>33</v>
      </c>
      <c r="W328" s="40"/>
      <c r="X328" s="40"/>
      <c r="Y328" s="349"/>
      <c r="Z328" s="313"/>
      <c r="AA328" s="313"/>
      <c r="AB328" s="313"/>
      <c r="AC328" s="313"/>
      <c r="AD328" s="313"/>
      <c r="AE328" s="313"/>
      <c r="AF328" s="313"/>
      <c r="AG328" s="313"/>
      <c r="AH328" s="313"/>
      <c r="AI328" s="313"/>
      <c r="AJ328" s="313"/>
      <c r="AK328" s="313"/>
      <c r="AL328" s="313"/>
      <c r="AM328" s="313"/>
      <c r="AN328" s="313"/>
      <c r="AO328" s="313"/>
      <c r="AP328" s="313"/>
      <c r="AQ328" s="313"/>
      <c r="AR328" s="313"/>
      <c r="AS328" s="313"/>
      <c r="AT328" s="313"/>
      <c r="AU328" s="313"/>
      <c r="AV328" s="313"/>
      <c r="AW328" s="313"/>
      <c r="AX328" s="313"/>
      <c r="AY328" s="313"/>
      <c r="AZ328" s="313"/>
      <c r="BA328" s="313"/>
      <c r="BB328" s="313"/>
      <c r="BC328" s="313"/>
      <c r="BD328" s="313"/>
      <c r="BE328" s="313"/>
      <c r="BF328" s="313"/>
      <c r="BG328" s="313"/>
      <c r="BH328" s="313"/>
      <c r="BI328" s="313"/>
      <c r="BJ328" s="313"/>
      <c r="BK328" s="313"/>
      <c r="BL328" s="313"/>
      <c r="BM328" s="313"/>
      <c r="BN328" s="313"/>
      <c r="BO328" s="313"/>
      <c r="BP328" s="313"/>
      <c r="BQ328" s="313"/>
    </row>
    <row r="329">
      <c r="A329" s="87" t="s">
        <v>10264</v>
      </c>
      <c r="B329" s="92"/>
      <c r="C329" s="30">
        <v>43876.0</v>
      </c>
      <c r="D329" s="92"/>
      <c r="E329" s="13" t="s">
        <v>41</v>
      </c>
      <c r="F329" s="13">
        <v>1.0</v>
      </c>
      <c r="G329" s="13" t="s">
        <v>32</v>
      </c>
      <c r="H329" s="50">
        <v>1.0</v>
      </c>
      <c r="I329" s="13" t="s">
        <v>33</v>
      </c>
      <c r="J329" s="13" t="s">
        <v>184</v>
      </c>
      <c r="K329" s="92"/>
      <c r="L329" s="34" t="s">
        <v>10260</v>
      </c>
      <c r="M329" s="46" t="s">
        <v>10252</v>
      </c>
      <c r="N329" s="288"/>
      <c r="O329" s="145"/>
      <c r="P329" s="145"/>
      <c r="Q329" s="91"/>
      <c r="R329" s="145"/>
      <c r="S329" s="145"/>
      <c r="T329" s="313"/>
      <c r="U329" s="38" t="b">
        <f t="shared" si="32"/>
        <v>0</v>
      </c>
      <c r="V329" s="38" t="s">
        <v>33</v>
      </c>
      <c r="W329" s="40"/>
      <c r="X329" s="40"/>
      <c r="Y329" s="349"/>
      <c r="Z329" s="313"/>
      <c r="AA329" s="313"/>
      <c r="AB329" s="313"/>
      <c r="AC329" s="313"/>
      <c r="AD329" s="313"/>
      <c r="AE329" s="313"/>
      <c r="AF329" s="313"/>
      <c r="AG329" s="313"/>
      <c r="AH329" s="313"/>
      <c r="AI329" s="313"/>
      <c r="AJ329" s="313"/>
      <c r="AK329" s="313"/>
      <c r="AL329" s="313"/>
      <c r="AM329" s="313"/>
      <c r="AN329" s="313"/>
      <c r="AO329" s="313"/>
      <c r="AP329" s="313"/>
      <c r="AQ329" s="313"/>
      <c r="AR329" s="313"/>
      <c r="AS329" s="313"/>
      <c r="AT329" s="313"/>
      <c r="AU329" s="313"/>
      <c r="AV329" s="313"/>
      <c r="AW329" s="313"/>
      <c r="AX329" s="313"/>
      <c r="AY329" s="313"/>
      <c r="AZ329" s="313"/>
      <c r="BA329" s="313"/>
      <c r="BB329" s="313"/>
      <c r="BC329" s="313"/>
      <c r="BD329" s="313"/>
      <c r="BE329" s="313"/>
      <c r="BF329" s="313"/>
      <c r="BG329" s="313"/>
      <c r="BH329" s="313"/>
      <c r="BI329" s="313"/>
      <c r="BJ329" s="313"/>
      <c r="BK329" s="313"/>
      <c r="BL329" s="313"/>
      <c r="BM329" s="313"/>
      <c r="BN329" s="313"/>
      <c r="BO329" s="313"/>
      <c r="BP329" s="313"/>
      <c r="BQ329" s="313"/>
    </row>
    <row r="330">
      <c r="A330" s="87" t="s">
        <v>10265</v>
      </c>
      <c r="B330" s="92"/>
      <c r="C330" s="30">
        <v>43876.0</v>
      </c>
      <c r="D330" s="92"/>
      <c r="E330" s="13" t="s">
        <v>41</v>
      </c>
      <c r="F330" s="13">
        <v>1.0</v>
      </c>
      <c r="G330" s="13" t="s">
        <v>32</v>
      </c>
      <c r="H330" s="50">
        <v>1.0</v>
      </c>
      <c r="I330" s="13" t="s">
        <v>33</v>
      </c>
      <c r="J330" s="13" t="s">
        <v>184</v>
      </c>
      <c r="K330" s="92"/>
      <c r="L330" s="34" t="s">
        <v>10260</v>
      </c>
      <c r="M330" s="46" t="s">
        <v>10252</v>
      </c>
      <c r="N330" s="288"/>
      <c r="O330" s="145"/>
      <c r="P330" s="145"/>
      <c r="Q330" s="91"/>
      <c r="R330" s="145"/>
      <c r="S330" s="145"/>
      <c r="T330" s="313"/>
      <c r="U330" s="38" t="b">
        <f t="shared" si="32"/>
        <v>0</v>
      </c>
      <c r="V330" s="38" t="s">
        <v>33</v>
      </c>
      <c r="W330" s="40"/>
      <c r="X330" s="40"/>
      <c r="Y330" s="349"/>
      <c r="Z330" s="313"/>
      <c r="AA330" s="313"/>
      <c r="AB330" s="313"/>
      <c r="AC330" s="313"/>
      <c r="AD330" s="313"/>
      <c r="AE330" s="313"/>
      <c r="AF330" s="313"/>
      <c r="AG330" s="313"/>
      <c r="AH330" s="313"/>
      <c r="AI330" s="313"/>
      <c r="AJ330" s="313"/>
      <c r="AK330" s="313"/>
      <c r="AL330" s="313"/>
      <c r="AM330" s="313"/>
      <c r="AN330" s="313"/>
      <c r="AO330" s="313"/>
      <c r="AP330" s="313"/>
      <c r="AQ330" s="313"/>
      <c r="AR330" s="313"/>
      <c r="AS330" s="313"/>
      <c r="AT330" s="313"/>
      <c r="AU330" s="313"/>
      <c r="AV330" s="313"/>
      <c r="AW330" s="313"/>
      <c r="AX330" s="313"/>
      <c r="AY330" s="313"/>
      <c r="AZ330" s="313"/>
      <c r="BA330" s="313"/>
      <c r="BB330" s="313"/>
      <c r="BC330" s="313"/>
      <c r="BD330" s="313"/>
      <c r="BE330" s="313"/>
      <c r="BF330" s="313"/>
      <c r="BG330" s="313"/>
      <c r="BH330" s="313"/>
      <c r="BI330" s="313"/>
      <c r="BJ330" s="313"/>
      <c r="BK330" s="313"/>
      <c r="BL330" s="313"/>
      <c r="BM330" s="313"/>
      <c r="BN330" s="313"/>
      <c r="BO330" s="313"/>
      <c r="BP330" s="313"/>
      <c r="BQ330" s="313"/>
    </row>
    <row r="331">
      <c r="A331" s="87" t="s">
        <v>10266</v>
      </c>
      <c r="B331" s="92"/>
      <c r="C331" s="30">
        <v>43876.0</v>
      </c>
      <c r="D331" s="92"/>
      <c r="E331" s="13" t="s">
        <v>41</v>
      </c>
      <c r="F331" s="13">
        <v>1.0</v>
      </c>
      <c r="G331" s="13" t="s">
        <v>32</v>
      </c>
      <c r="H331" s="50">
        <v>1.0</v>
      </c>
      <c r="I331" s="13" t="s">
        <v>33</v>
      </c>
      <c r="J331" s="13" t="s">
        <v>184</v>
      </c>
      <c r="K331" s="92"/>
      <c r="L331" s="34" t="s">
        <v>10260</v>
      </c>
      <c r="M331" s="46" t="s">
        <v>10252</v>
      </c>
      <c r="N331" s="288"/>
      <c r="O331" s="145"/>
      <c r="P331" s="145"/>
      <c r="Q331" s="91"/>
      <c r="R331" s="145"/>
      <c r="S331" s="145"/>
      <c r="T331" s="313"/>
      <c r="U331" s="38" t="b">
        <f t="shared" si="32"/>
        <v>0</v>
      </c>
      <c r="V331" s="38" t="s">
        <v>33</v>
      </c>
      <c r="W331" s="40"/>
      <c r="X331" s="40"/>
      <c r="Y331" s="349"/>
      <c r="Z331" s="313"/>
      <c r="AA331" s="313"/>
      <c r="AB331" s="313"/>
      <c r="AC331" s="313"/>
      <c r="AD331" s="313"/>
      <c r="AE331" s="313"/>
      <c r="AF331" s="313"/>
      <c r="AG331" s="313"/>
      <c r="AH331" s="313"/>
      <c r="AI331" s="313"/>
      <c r="AJ331" s="313"/>
      <c r="AK331" s="313"/>
      <c r="AL331" s="313"/>
      <c r="AM331" s="313"/>
      <c r="AN331" s="313"/>
      <c r="AO331" s="313"/>
      <c r="AP331" s="313"/>
      <c r="AQ331" s="313"/>
      <c r="AR331" s="313"/>
      <c r="AS331" s="313"/>
      <c r="AT331" s="313"/>
      <c r="AU331" s="313"/>
      <c r="AV331" s="313"/>
      <c r="AW331" s="313"/>
      <c r="AX331" s="313"/>
      <c r="AY331" s="313"/>
      <c r="AZ331" s="313"/>
      <c r="BA331" s="313"/>
      <c r="BB331" s="313"/>
      <c r="BC331" s="313"/>
      <c r="BD331" s="313"/>
      <c r="BE331" s="313"/>
      <c r="BF331" s="313"/>
      <c r="BG331" s="313"/>
      <c r="BH331" s="313"/>
      <c r="BI331" s="313"/>
      <c r="BJ331" s="313"/>
      <c r="BK331" s="313"/>
      <c r="BL331" s="313"/>
      <c r="BM331" s="313"/>
      <c r="BN331" s="313"/>
      <c r="BO331" s="313"/>
      <c r="BP331" s="313"/>
      <c r="BQ331" s="313"/>
    </row>
    <row r="332">
      <c r="A332" s="87" t="s">
        <v>10267</v>
      </c>
      <c r="B332" s="92"/>
      <c r="C332" s="30">
        <v>43879.0</v>
      </c>
      <c r="D332" s="92"/>
      <c r="E332" s="13" t="s">
        <v>41</v>
      </c>
      <c r="F332" s="13">
        <v>1.0</v>
      </c>
      <c r="G332" s="13" t="s">
        <v>32</v>
      </c>
      <c r="H332" s="50">
        <v>1.0</v>
      </c>
      <c r="I332" s="13" t="s">
        <v>33</v>
      </c>
      <c r="J332" s="13" t="s">
        <v>47</v>
      </c>
      <c r="K332" s="92"/>
      <c r="L332" s="34" t="s">
        <v>10260</v>
      </c>
      <c r="M332" s="46" t="s">
        <v>10268</v>
      </c>
      <c r="N332" s="106"/>
      <c r="O332" s="99"/>
      <c r="P332" s="145"/>
      <c r="Q332" s="37"/>
      <c r="R332" s="145"/>
      <c r="S332" s="99"/>
      <c r="T332" s="279"/>
      <c r="U332" s="38"/>
      <c r="V332" s="38" t="s">
        <v>33</v>
      </c>
      <c r="W332" s="40"/>
      <c r="X332" s="40"/>
      <c r="Y332" s="278"/>
      <c r="Z332" s="313"/>
      <c r="AA332" s="313"/>
      <c r="AB332" s="313"/>
      <c r="AC332" s="313"/>
      <c r="AD332" s="313"/>
      <c r="AE332" s="313"/>
      <c r="AF332" s="313"/>
      <c r="AG332" s="313"/>
      <c r="AH332" s="313"/>
      <c r="AI332" s="313"/>
      <c r="AJ332" s="313"/>
      <c r="AK332" s="313"/>
      <c r="AL332" s="313"/>
      <c r="AM332" s="313"/>
      <c r="AN332" s="313"/>
      <c r="AO332" s="313"/>
      <c r="AP332" s="313"/>
      <c r="AQ332" s="313"/>
      <c r="AR332" s="313"/>
      <c r="AS332" s="313"/>
      <c r="AT332" s="313"/>
      <c r="AU332" s="313"/>
      <c r="AV332" s="313"/>
      <c r="AW332" s="313"/>
      <c r="AX332" s="313"/>
      <c r="AY332" s="313"/>
      <c r="AZ332" s="313"/>
      <c r="BA332" s="313"/>
      <c r="BB332" s="313"/>
      <c r="BC332" s="313"/>
      <c r="BD332" s="313"/>
      <c r="BE332" s="313"/>
      <c r="BF332" s="313"/>
      <c r="BG332" s="313"/>
      <c r="BH332" s="313"/>
      <c r="BI332" s="313"/>
      <c r="BJ332" s="313"/>
      <c r="BK332" s="313"/>
      <c r="BL332" s="313"/>
      <c r="BM332" s="313"/>
      <c r="BN332" s="313"/>
      <c r="BO332" s="313"/>
      <c r="BP332" s="313"/>
      <c r="BQ332" s="313"/>
    </row>
    <row r="333">
      <c r="A333" s="87" t="s">
        <v>10269</v>
      </c>
      <c r="B333" s="30"/>
      <c r="C333" s="30">
        <v>43879.0</v>
      </c>
      <c r="D333" s="30"/>
      <c r="E333" s="13" t="s">
        <v>41</v>
      </c>
      <c r="F333" s="13">
        <v>1.0</v>
      </c>
      <c r="G333" s="13" t="s">
        <v>32</v>
      </c>
      <c r="H333" s="50">
        <v>1.0</v>
      </c>
      <c r="I333" s="13" t="s">
        <v>33</v>
      </c>
      <c r="J333" s="13" t="s">
        <v>179</v>
      </c>
      <c r="K333" s="30"/>
      <c r="L333" s="34" t="s">
        <v>9433</v>
      </c>
      <c r="M333" s="46" t="s">
        <v>10270</v>
      </c>
      <c r="N333" s="106"/>
      <c r="O333" s="145"/>
      <c r="P333" s="99"/>
      <c r="Q333" s="37"/>
      <c r="R333" s="145"/>
      <c r="S333" s="99"/>
      <c r="T333" s="279"/>
      <c r="U333" s="38"/>
      <c r="V333" s="38"/>
      <c r="W333" s="40"/>
      <c r="X333" s="40"/>
      <c r="Y333" s="278"/>
      <c r="Z333" s="279"/>
      <c r="AA333" s="279"/>
      <c r="AB333" s="279"/>
      <c r="AC333" s="279"/>
      <c r="AD333" s="279"/>
      <c r="AE333" s="279"/>
      <c r="AF333" s="279"/>
      <c r="AG333" s="279"/>
      <c r="AH333" s="279"/>
      <c r="AI333" s="279"/>
      <c r="AJ333" s="279"/>
      <c r="AK333" s="279"/>
      <c r="AL333" s="279"/>
      <c r="AM333" s="279"/>
      <c r="AN333" s="279"/>
      <c r="AO333" s="279"/>
      <c r="AP333" s="279"/>
      <c r="AQ333" s="279"/>
      <c r="AR333" s="279"/>
      <c r="AS333" s="279"/>
      <c r="AT333" s="279"/>
      <c r="AU333" s="279"/>
      <c r="AV333" s="279"/>
      <c r="AW333" s="279"/>
      <c r="AX333" s="279"/>
      <c r="AY333" s="279"/>
      <c r="AZ333" s="279"/>
      <c r="BA333" s="279"/>
      <c r="BB333" s="279"/>
      <c r="BC333" s="279"/>
      <c r="BD333" s="279"/>
      <c r="BE333" s="279"/>
      <c r="BF333" s="279"/>
      <c r="BG333" s="279"/>
      <c r="BH333" s="279"/>
      <c r="BI333" s="279"/>
      <c r="BJ333" s="279"/>
      <c r="BK333" s="279"/>
      <c r="BL333" s="279"/>
      <c r="BM333" s="279"/>
      <c r="BN333" s="279"/>
      <c r="BO333" s="279"/>
      <c r="BP333" s="279"/>
      <c r="BQ333" s="279"/>
    </row>
    <row r="334">
      <c r="A334" s="87" t="s">
        <v>10271</v>
      </c>
      <c r="B334" s="30"/>
      <c r="C334" s="30">
        <v>43881.0</v>
      </c>
      <c r="D334" s="30"/>
      <c r="E334" s="13" t="s">
        <v>31</v>
      </c>
      <c r="F334" s="13">
        <v>1.0</v>
      </c>
      <c r="G334" s="13" t="s">
        <v>32</v>
      </c>
      <c r="H334" s="50">
        <v>1.0</v>
      </c>
      <c r="I334" s="13" t="s">
        <v>33</v>
      </c>
      <c r="J334" s="13" t="s">
        <v>47</v>
      </c>
      <c r="K334" s="30"/>
      <c r="L334" s="34" t="s">
        <v>10260</v>
      </c>
      <c r="M334" s="46" t="s">
        <v>10272</v>
      </c>
      <c r="N334" s="106"/>
      <c r="O334" s="145"/>
      <c r="P334" s="99"/>
      <c r="Q334" s="37">
        <v>1.0</v>
      </c>
      <c r="R334" s="145"/>
      <c r="S334" s="99"/>
      <c r="T334" s="279"/>
      <c r="U334" s="38"/>
      <c r="V334" s="38" t="s">
        <v>33</v>
      </c>
      <c r="W334" s="40"/>
      <c r="X334" s="40"/>
      <c r="Y334" s="278"/>
      <c r="Z334" s="279"/>
      <c r="AA334" s="279"/>
      <c r="AB334" s="279"/>
      <c r="AC334" s="279"/>
      <c r="AD334" s="279"/>
      <c r="AE334" s="279"/>
      <c r="AF334" s="279"/>
      <c r="AG334" s="279"/>
      <c r="AH334" s="279"/>
      <c r="AI334" s="279"/>
      <c r="AJ334" s="279"/>
      <c r="AK334" s="279"/>
      <c r="AL334" s="279"/>
      <c r="AM334" s="279"/>
      <c r="AN334" s="279"/>
      <c r="AO334" s="279"/>
      <c r="AP334" s="279"/>
      <c r="AQ334" s="279"/>
      <c r="AR334" s="279"/>
      <c r="AS334" s="279"/>
      <c r="AT334" s="279"/>
      <c r="AU334" s="279"/>
      <c r="AV334" s="279"/>
      <c r="AW334" s="279"/>
      <c r="AX334" s="279"/>
      <c r="AY334" s="279"/>
      <c r="AZ334" s="279"/>
      <c r="BA334" s="279"/>
      <c r="BB334" s="279"/>
      <c r="BC334" s="279"/>
      <c r="BD334" s="279"/>
      <c r="BE334" s="279"/>
      <c r="BF334" s="279"/>
      <c r="BG334" s="279"/>
      <c r="BH334" s="279"/>
      <c r="BI334" s="279"/>
      <c r="BJ334" s="279"/>
      <c r="BK334" s="279"/>
      <c r="BL334" s="279"/>
      <c r="BM334" s="279"/>
      <c r="BN334" s="279"/>
      <c r="BO334" s="279"/>
      <c r="BP334" s="279"/>
      <c r="BQ334" s="279"/>
    </row>
    <row r="335">
      <c r="A335" s="87" t="s">
        <v>10273</v>
      </c>
      <c r="B335" s="92"/>
      <c r="C335" s="30">
        <v>43889.0</v>
      </c>
      <c r="D335" s="92"/>
      <c r="E335" s="13" t="s">
        <v>41</v>
      </c>
      <c r="F335" s="13">
        <v>1.0</v>
      </c>
      <c r="G335" s="13" t="s">
        <v>32</v>
      </c>
      <c r="H335" s="50">
        <v>1.0</v>
      </c>
      <c r="I335" s="13" t="s">
        <v>33</v>
      </c>
      <c r="J335" s="13" t="s">
        <v>343</v>
      </c>
      <c r="K335" s="92"/>
      <c r="L335" s="34" t="s">
        <v>9433</v>
      </c>
      <c r="M335" s="106" t="s">
        <v>10274</v>
      </c>
      <c r="N335" s="106"/>
      <c r="O335" s="99"/>
      <c r="P335" s="145"/>
      <c r="Q335" s="37"/>
      <c r="R335" s="145"/>
      <c r="S335" s="99"/>
      <c r="T335" s="279"/>
      <c r="U335" s="38"/>
      <c r="V335" s="38" t="s">
        <v>33</v>
      </c>
      <c r="W335" s="40"/>
      <c r="X335" s="40"/>
      <c r="Y335" s="278"/>
      <c r="Z335" s="313"/>
      <c r="AA335" s="313"/>
      <c r="AB335" s="313"/>
      <c r="AC335" s="313"/>
      <c r="AD335" s="313"/>
      <c r="AE335" s="313"/>
      <c r="AF335" s="313"/>
      <c r="AG335" s="313"/>
      <c r="AH335" s="313"/>
      <c r="AI335" s="313"/>
      <c r="AJ335" s="313"/>
      <c r="AK335" s="313"/>
      <c r="AL335" s="313"/>
      <c r="AM335" s="313"/>
      <c r="AN335" s="313"/>
      <c r="AO335" s="313"/>
      <c r="AP335" s="313"/>
      <c r="AQ335" s="313"/>
      <c r="AR335" s="313"/>
      <c r="AS335" s="313"/>
      <c r="AT335" s="313"/>
      <c r="AU335" s="313"/>
      <c r="AV335" s="313"/>
      <c r="AW335" s="313"/>
      <c r="AX335" s="313"/>
      <c r="AY335" s="313"/>
      <c r="AZ335" s="313"/>
      <c r="BA335" s="313"/>
      <c r="BB335" s="313"/>
      <c r="BC335" s="313"/>
      <c r="BD335" s="313"/>
      <c r="BE335" s="313"/>
      <c r="BF335" s="313"/>
      <c r="BG335" s="313"/>
      <c r="BH335" s="313"/>
      <c r="BI335" s="313"/>
      <c r="BJ335" s="313"/>
      <c r="BK335" s="313"/>
      <c r="BL335" s="313"/>
      <c r="BM335" s="313"/>
      <c r="BN335" s="313"/>
      <c r="BO335" s="313"/>
      <c r="BP335" s="313"/>
      <c r="BQ335" s="313"/>
    </row>
    <row r="336">
      <c r="A336" s="87" t="s">
        <v>10275</v>
      </c>
      <c r="B336" s="92"/>
      <c r="C336" s="30">
        <v>43892.0</v>
      </c>
      <c r="D336" s="92"/>
      <c r="E336" s="13" t="s">
        <v>41</v>
      </c>
      <c r="F336" s="13">
        <v>1.0</v>
      </c>
      <c r="G336" s="13" t="s">
        <v>32</v>
      </c>
      <c r="H336" s="50">
        <v>1.0</v>
      </c>
      <c r="I336" s="13" t="s">
        <v>33</v>
      </c>
      <c r="J336" s="13" t="s">
        <v>460</v>
      </c>
      <c r="K336" s="92"/>
      <c r="L336" s="34" t="s">
        <v>10276</v>
      </c>
      <c r="M336" s="46" t="s">
        <v>10277</v>
      </c>
      <c r="N336" s="106"/>
      <c r="O336" s="99"/>
      <c r="P336" s="145"/>
      <c r="Q336" s="37">
        <v>1.0</v>
      </c>
      <c r="R336" s="145"/>
      <c r="S336" s="99"/>
      <c r="T336" s="279"/>
      <c r="U336" s="38"/>
      <c r="V336" s="38" t="s">
        <v>33</v>
      </c>
      <c r="W336" s="40"/>
      <c r="X336" s="40"/>
      <c r="Y336" s="278"/>
      <c r="Z336" s="313"/>
      <c r="AA336" s="313"/>
      <c r="AB336" s="313"/>
      <c r="AC336" s="313"/>
      <c r="AD336" s="313"/>
      <c r="AE336" s="313"/>
      <c r="AF336" s="313"/>
      <c r="AG336" s="313"/>
      <c r="AH336" s="313"/>
      <c r="AI336" s="313"/>
      <c r="AJ336" s="313"/>
      <c r="AK336" s="313"/>
      <c r="AL336" s="313"/>
      <c r="AM336" s="313"/>
      <c r="AN336" s="313"/>
      <c r="AO336" s="313"/>
      <c r="AP336" s="313"/>
      <c r="AQ336" s="313"/>
      <c r="AR336" s="313"/>
      <c r="AS336" s="313"/>
      <c r="AT336" s="313"/>
      <c r="AU336" s="313"/>
      <c r="AV336" s="313"/>
      <c r="AW336" s="313"/>
      <c r="AX336" s="313"/>
      <c r="AY336" s="313"/>
      <c r="AZ336" s="313"/>
      <c r="BA336" s="313"/>
      <c r="BB336" s="313"/>
      <c r="BC336" s="313"/>
      <c r="BD336" s="313"/>
      <c r="BE336" s="313"/>
      <c r="BF336" s="313"/>
      <c r="BG336" s="313"/>
      <c r="BH336" s="313"/>
      <c r="BI336" s="313"/>
      <c r="BJ336" s="313"/>
      <c r="BK336" s="313"/>
      <c r="BL336" s="313"/>
      <c r="BM336" s="313"/>
      <c r="BN336" s="313"/>
      <c r="BO336" s="313"/>
      <c r="BP336" s="313"/>
      <c r="BQ336" s="313"/>
    </row>
    <row r="337">
      <c r="A337" s="87" t="s">
        <v>10278</v>
      </c>
      <c r="B337" s="92"/>
      <c r="C337" s="30">
        <v>43901.0</v>
      </c>
      <c r="D337" s="92"/>
      <c r="E337" s="13" t="s">
        <v>41</v>
      </c>
      <c r="F337" s="13">
        <v>1.0</v>
      </c>
      <c r="G337" s="13" t="s">
        <v>32</v>
      </c>
      <c r="H337" s="50">
        <v>1.0</v>
      </c>
      <c r="I337" s="13" t="s">
        <v>33</v>
      </c>
      <c r="J337" s="13" t="s">
        <v>68</v>
      </c>
      <c r="K337" s="92"/>
      <c r="L337" s="34" t="s">
        <v>10045</v>
      </c>
      <c r="M337" s="46" t="s">
        <v>10279</v>
      </c>
      <c r="N337" s="106"/>
      <c r="O337" s="99"/>
      <c r="P337" s="145"/>
      <c r="Q337" s="37"/>
      <c r="R337" s="145"/>
      <c r="S337" s="99"/>
      <c r="T337" s="279"/>
      <c r="U337" s="38"/>
      <c r="V337" s="38" t="s">
        <v>33</v>
      </c>
      <c r="W337" s="40"/>
      <c r="X337" s="40"/>
      <c r="Y337" s="278"/>
      <c r="Z337" s="313"/>
      <c r="AA337" s="313"/>
      <c r="AB337" s="313"/>
      <c r="AC337" s="313"/>
      <c r="AD337" s="313"/>
      <c r="AE337" s="313"/>
      <c r="AF337" s="313"/>
      <c r="AG337" s="313"/>
      <c r="AH337" s="313"/>
      <c r="AI337" s="313"/>
      <c r="AJ337" s="313"/>
      <c r="AK337" s="313"/>
      <c r="AL337" s="313"/>
      <c r="AM337" s="313"/>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3"/>
      <c r="BL337" s="313"/>
      <c r="BM337" s="313"/>
      <c r="BN337" s="313"/>
      <c r="BO337" s="313"/>
      <c r="BP337" s="313"/>
      <c r="BQ337" s="313"/>
    </row>
    <row r="338">
      <c r="A338" s="87" t="s">
        <v>10280</v>
      </c>
      <c r="B338" s="92"/>
      <c r="C338" s="30">
        <v>43911.0</v>
      </c>
      <c r="D338" s="92"/>
      <c r="E338" s="13" t="s">
        <v>41</v>
      </c>
      <c r="F338" s="13">
        <v>1.0</v>
      </c>
      <c r="G338" s="13">
        <v>1.0</v>
      </c>
      <c r="H338" s="50">
        <v>1.0</v>
      </c>
      <c r="I338" s="13" t="s">
        <v>33</v>
      </c>
      <c r="J338" s="13" t="s">
        <v>147</v>
      </c>
      <c r="K338" s="92"/>
      <c r="L338" s="34" t="s">
        <v>9433</v>
      </c>
      <c r="M338" s="46" t="s">
        <v>10281</v>
      </c>
      <c r="N338" s="288"/>
      <c r="O338" s="145"/>
      <c r="P338" s="145"/>
      <c r="Q338" s="91"/>
      <c r="R338" s="145"/>
      <c r="S338" s="145"/>
      <c r="T338" s="313"/>
      <c r="U338" s="38"/>
      <c r="V338" s="38" t="s">
        <v>33</v>
      </c>
      <c r="W338" s="40"/>
      <c r="X338" s="40"/>
      <c r="Y338" s="349"/>
      <c r="Z338" s="313"/>
      <c r="AA338" s="313"/>
      <c r="AB338" s="313"/>
      <c r="AC338" s="313"/>
      <c r="AD338" s="313"/>
      <c r="AE338" s="313"/>
      <c r="AF338" s="313"/>
      <c r="AG338" s="313"/>
      <c r="AH338" s="313"/>
      <c r="AI338" s="313"/>
      <c r="AJ338" s="313"/>
      <c r="AK338" s="313"/>
      <c r="AL338" s="313"/>
      <c r="AM338" s="313"/>
      <c r="AN338" s="313"/>
      <c r="AO338" s="313"/>
      <c r="AP338" s="313"/>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3"/>
      <c r="BL338" s="313"/>
      <c r="BM338" s="313"/>
      <c r="BN338" s="313"/>
      <c r="BO338" s="313"/>
      <c r="BP338" s="313"/>
      <c r="BQ338" s="313"/>
    </row>
    <row r="339">
      <c r="A339" s="87" t="s">
        <v>10282</v>
      </c>
      <c r="B339" s="92"/>
      <c r="C339" s="30">
        <v>43915.0</v>
      </c>
      <c r="D339" s="92"/>
      <c r="E339" s="13" t="s">
        <v>41</v>
      </c>
      <c r="F339" s="13">
        <v>1.0</v>
      </c>
      <c r="G339" s="13" t="s">
        <v>32</v>
      </c>
      <c r="H339" s="50">
        <v>1.0</v>
      </c>
      <c r="I339" s="13" t="s">
        <v>33</v>
      </c>
      <c r="J339" s="13" t="s">
        <v>203</v>
      </c>
      <c r="K339" s="92"/>
      <c r="L339" s="34" t="s">
        <v>10260</v>
      </c>
      <c r="M339" s="46" t="s">
        <v>10283</v>
      </c>
      <c r="N339" s="288"/>
      <c r="O339" s="145"/>
      <c r="P339" s="145"/>
      <c r="Q339" s="91"/>
      <c r="R339" s="145"/>
      <c r="S339" s="145"/>
      <c r="T339" s="313"/>
      <c r="U339" s="38"/>
      <c r="V339" s="38" t="s">
        <v>33</v>
      </c>
      <c r="W339" s="40"/>
      <c r="X339" s="40"/>
      <c r="Y339" s="349"/>
      <c r="Z339" s="313"/>
      <c r="AA339" s="313"/>
      <c r="AB339" s="313"/>
      <c r="AC339" s="313"/>
      <c r="AD339" s="313"/>
      <c r="AE339" s="313"/>
      <c r="AF339" s="313"/>
      <c r="AG339" s="313"/>
      <c r="AH339" s="313"/>
      <c r="AI339" s="313"/>
      <c r="AJ339" s="313"/>
      <c r="AK339" s="313"/>
      <c r="AL339" s="313"/>
      <c r="AM339" s="313"/>
      <c r="AN339" s="313"/>
      <c r="AO339" s="313"/>
      <c r="AP339" s="313"/>
      <c r="AQ339" s="313"/>
      <c r="AR339" s="313"/>
      <c r="AS339" s="313"/>
      <c r="AT339" s="313"/>
      <c r="AU339" s="313"/>
      <c r="AV339" s="313"/>
      <c r="AW339" s="313"/>
      <c r="AX339" s="313"/>
      <c r="AY339" s="313"/>
      <c r="AZ339" s="313"/>
      <c r="BA339" s="313"/>
      <c r="BB339" s="313"/>
      <c r="BC339" s="313"/>
      <c r="BD339" s="313"/>
      <c r="BE339" s="313"/>
      <c r="BF339" s="313"/>
      <c r="BG339" s="313"/>
      <c r="BH339" s="313"/>
      <c r="BI339" s="313"/>
      <c r="BJ339" s="313"/>
      <c r="BK339" s="313"/>
      <c r="BL339" s="313"/>
      <c r="BM339" s="313"/>
      <c r="BN339" s="313"/>
      <c r="BO339" s="313"/>
      <c r="BP339" s="313"/>
      <c r="BQ339" s="313"/>
    </row>
    <row r="340">
      <c r="A340" s="87" t="s">
        <v>10284</v>
      </c>
      <c r="B340" s="92"/>
      <c r="C340" s="30">
        <v>43935.0</v>
      </c>
      <c r="D340" s="92"/>
      <c r="E340" s="13" t="s">
        <v>41</v>
      </c>
      <c r="F340" s="13">
        <v>1.0</v>
      </c>
      <c r="G340" s="13">
        <v>1.0</v>
      </c>
      <c r="H340" s="50">
        <v>1.0</v>
      </c>
      <c r="I340" s="13" t="s">
        <v>33</v>
      </c>
      <c r="J340" s="13" t="s">
        <v>93</v>
      </c>
      <c r="K340" s="92"/>
      <c r="L340" s="34" t="s">
        <v>10260</v>
      </c>
      <c r="M340" s="46" t="s">
        <v>10285</v>
      </c>
      <c r="N340" s="288"/>
      <c r="O340" s="145"/>
      <c r="P340" s="145"/>
      <c r="Q340" s="91"/>
      <c r="R340" s="145"/>
      <c r="S340" s="145"/>
      <c r="T340" s="313"/>
      <c r="U340" s="38"/>
      <c r="V340" s="38" t="s">
        <v>33</v>
      </c>
      <c r="W340" s="40"/>
      <c r="X340" s="40"/>
      <c r="Y340" s="349"/>
      <c r="Z340" s="313"/>
      <c r="AA340" s="313"/>
      <c r="AB340" s="313"/>
      <c r="AC340" s="313"/>
      <c r="AD340" s="313"/>
      <c r="AE340" s="313"/>
      <c r="AF340" s="313"/>
      <c r="AG340" s="313"/>
      <c r="AH340" s="313"/>
      <c r="AI340" s="313"/>
      <c r="AJ340" s="313"/>
      <c r="AK340" s="313"/>
      <c r="AL340" s="313"/>
      <c r="AM340" s="313"/>
      <c r="AN340" s="313"/>
      <c r="AO340" s="313"/>
      <c r="AP340" s="313"/>
      <c r="AQ340" s="313"/>
      <c r="AR340" s="313"/>
      <c r="AS340" s="313"/>
      <c r="AT340" s="313"/>
      <c r="AU340" s="313"/>
      <c r="AV340" s="313"/>
      <c r="AW340" s="313"/>
      <c r="AX340" s="313"/>
      <c r="AY340" s="313"/>
      <c r="AZ340" s="313"/>
      <c r="BA340" s="313"/>
      <c r="BB340" s="313"/>
      <c r="BC340" s="313"/>
      <c r="BD340" s="313"/>
      <c r="BE340" s="313"/>
      <c r="BF340" s="313"/>
      <c r="BG340" s="313"/>
      <c r="BH340" s="313"/>
      <c r="BI340" s="313"/>
      <c r="BJ340" s="313"/>
      <c r="BK340" s="313"/>
      <c r="BL340" s="313"/>
      <c r="BM340" s="313"/>
      <c r="BN340" s="313"/>
      <c r="BO340" s="313"/>
      <c r="BP340" s="313"/>
      <c r="BQ340" s="313"/>
    </row>
    <row r="341">
      <c r="A341" s="87" t="s">
        <v>10286</v>
      </c>
      <c r="B341" s="92"/>
      <c r="C341" s="30">
        <v>43936.0</v>
      </c>
      <c r="D341" s="92"/>
      <c r="E341" s="13" t="s">
        <v>31</v>
      </c>
      <c r="F341" s="13">
        <v>1.0</v>
      </c>
      <c r="G341" s="13">
        <v>1.0</v>
      </c>
      <c r="H341" s="50">
        <v>1.0</v>
      </c>
      <c r="I341" s="13" t="s">
        <v>33</v>
      </c>
      <c r="J341" s="13" t="s">
        <v>42</v>
      </c>
      <c r="K341" s="92"/>
      <c r="L341" s="34" t="s">
        <v>9380</v>
      </c>
      <c r="M341" s="46" t="s">
        <v>10287</v>
      </c>
      <c r="N341" s="288"/>
      <c r="O341" s="145"/>
      <c r="P341" s="145"/>
      <c r="Q341" s="91"/>
      <c r="R341" s="145"/>
      <c r="S341" s="145"/>
      <c r="T341" s="313"/>
      <c r="U341" s="38"/>
      <c r="V341" s="38" t="s">
        <v>33</v>
      </c>
      <c r="W341" s="40"/>
      <c r="X341" s="39" t="s">
        <v>10288</v>
      </c>
      <c r="Y341" s="349"/>
      <c r="Z341" s="313"/>
      <c r="AA341" s="313"/>
      <c r="AB341" s="313"/>
      <c r="AC341" s="313"/>
      <c r="AD341" s="313"/>
      <c r="AE341" s="313"/>
      <c r="AF341" s="313"/>
      <c r="AG341" s="313"/>
      <c r="AH341" s="313"/>
      <c r="AI341" s="313"/>
      <c r="AJ341" s="313"/>
      <c r="AK341" s="313"/>
      <c r="AL341" s="313"/>
      <c r="AM341" s="313"/>
      <c r="AN341" s="313"/>
      <c r="AO341" s="313"/>
      <c r="AP341" s="313"/>
      <c r="AQ341" s="313"/>
      <c r="AR341" s="313"/>
      <c r="AS341" s="313"/>
      <c r="AT341" s="313"/>
      <c r="AU341" s="313"/>
      <c r="AV341" s="313"/>
      <c r="AW341" s="313"/>
      <c r="AX341" s="313"/>
      <c r="AY341" s="313"/>
      <c r="AZ341" s="313"/>
      <c r="BA341" s="313"/>
      <c r="BB341" s="313"/>
      <c r="BC341" s="313"/>
      <c r="BD341" s="313"/>
      <c r="BE341" s="313"/>
      <c r="BF341" s="313"/>
      <c r="BG341" s="313"/>
      <c r="BH341" s="313"/>
      <c r="BI341" s="313"/>
      <c r="BJ341" s="313"/>
      <c r="BK341" s="313"/>
      <c r="BL341" s="313"/>
      <c r="BM341" s="313"/>
      <c r="BN341" s="313"/>
      <c r="BO341" s="313"/>
      <c r="BP341" s="313"/>
      <c r="BQ341" s="313"/>
    </row>
    <row r="342">
      <c r="A342" s="87" t="s">
        <v>10289</v>
      </c>
      <c r="B342" s="92"/>
      <c r="C342" s="30">
        <v>43937.0</v>
      </c>
      <c r="D342" s="92"/>
      <c r="E342" s="13" t="s">
        <v>31</v>
      </c>
      <c r="F342" s="13">
        <v>1.0</v>
      </c>
      <c r="G342" s="13" t="s">
        <v>32</v>
      </c>
      <c r="H342" s="50">
        <v>2.0</v>
      </c>
      <c r="I342" s="13" t="s">
        <v>33</v>
      </c>
      <c r="J342" s="13" t="s">
        <v>61</v>
      </c>
      <c r="K342" s="92"/>
      <c r="L342" s="34" t="s">
        <v>9672</v>
      </c>
      <c r="M342" s="46" t="s">
        <v>10290</v>
      </c>
      <c r="N342" s="288"/>
      <c r="O342" s="145"/>
      <c r="P342" s="145"/>
      <c r="Q342" s="91"/>
      <c r="R342" s="145"/>
      <c r="S342" s="145"/>
      <c r="T342" s="313"/>
      <c r="U342" s="38" t="b">
        <f>countif(A$5:A3006, A342)&gt;1</f>
        <v>0</v>
      </c>
      <c r="V342" s="38" t="s">
        <v>33</v>
      </c>
      <c r="W342" s="39" t="s">
        <v>10291</v>
      </c>
      <c r="X342" s="39" t="s">
        <v>10292</v>
      </c>
      <c r="Y342" s="349"/>
      <c r="Z342" s="313"/>
      <c r="AA342" s="313"/>
      <c r="AB342" s="313"/>
      <c r="AC342" s="313"/>
      <c r="AD342" s="313"/>
      <c r="AE342" s="313"/>
      <c r="AF342" s="313"/>
      <c r="AG342" s="313"/>
      <c r="AH342" s="313"/>
      <c r="AI342" s="313"/>
      <c r="AJ342" s="313"/>
      <c r="AK342" s="313"/>
      <c r="AL342" s="313"/>
      <c r="AM342" s="313"/>
      <c r="AN342" s="313"/>
      <c r="AO342" s="313"/>
      <c r="AP342" s="313"/>
      <c r="AQ342" s="313"/>
      <c r="AR342" s="313"/>
      <c r="AS342" s="313"/>
      <c r="AT342" s="313"/>
      <c r="AU342" s="313"/>
      <c r="AV342" s="313"/>
      <c r="AW342" s="313"/>
      <c r="AX342" s="313"/>
      <c r="AY342" s="313"/>
      <c r="AZ342" s="313"/>
      <c r="BA342" s="313"/>
      <c r="BB342" s="313"/>
      <c r="BC342" s="313"/>
      <c r="BD342" s="313"/>
      <c r="BE342" s="313"/>
      <c r="BF342" s="313"/>
      <c r="BG342" s="313"/>
      <c r="BH342" s="313"/>
      <c r="BI342" s="313"/>
      <c r="BJ342" s="313"/>
      <c r="BK342" s="313"/>
      <c r="BL342" s="313"/>
      <c r="BM342" s="313"/>
      <c r="BN342" s="313"/>
      <c r="BO342" s="313"/>
      <c r="BP342" s="313"/>
      <c r="BQ342" s="313"/>
    </row>
    <row r="343">
      <c r="A343" s="87" t="s">
        <v>10293</v>
      </c>
      <c r="B343" s="92"/>
      <c r="C343" s="30">
        <v>43937.0</v>
      </c>
      <c r="D343" s="92"/>
      <c r="E343" s="13" t="s">
        <v>41</v>
      </c>
      <c r="F343" s="13">
        <v>1.0</v>
      </c>
      <c r="G343" s="13">
        <v>1.0</v>
      </c>
      <c r="H343" s="50">
        <v>1.0</v>
      </c>
      <c r="I343" s="13" t="s">
        <v>33</v>
      </c>
      <c r="J343" s="13" t="s">
        <v>172</v>
      </c>
      <c r="K343" s="92"/>
      <c r="L343" s="34" t="s">
        <v>9433</v>
      </c>
      <c r="M343" s="46" t="s">
        <v>10294</v>
      </c>
      <c r="N343" s="288"/>
      <c r="O343" s="145"/>
      <c r="P343" s="145"/>
      <c r="Q343" s="91"/>
      <c r="R343" s="145"/>
      <c r="S343" s="145"/>
      <c r="T343" s="313"/>
      <c r="U343" s="38"/>
      <c r="V343" s="38" t="s">
        <v>33</v>
      </c>
      <c r="W343" s="40"/>
      <c r="X343" s="40"/>
      <c r="Y343" s="349"/>
      <c r="Z343" s="313"/>
      <c r="AA343" s="313"/>
      <c r="AB343" s="313"/>
      <c r="AC343" s="313"/>
      <c r="AD343" s="313"/>
      <c r="AE343" s="313"/>
      <c r="AF343" s="313"/>
      <c r="AG343" s="313"/>
      <c r="AH343" s="313"/>
      <c r="AI343" s="313"/>
      <c r="AJ343" s="313"/>
      <c r="AK343" s="313"/>
      <c r="AL343" s="313"/>
      <c r="AM343" s="313"/>
      <c r="AN343" s="313"/>
      <c r="AO343" s="313"/>
      <c r="AP343" s="313"/>
      <c r="AQ343" s="313"/>
      <c r="AR343" s="313"/>
      <c r="AS343" s="313"/>
      <c r="AT343" s="313"/>
      <c r="AU343" s="313"/>
      <c r="AV343" s="313"/>
      <c r="AW343" s="313"/>
      <c r="AX343" s="313"/>
      <c r="AY343" s="313"/>
      <c r="AZ343" s="313"/>
      <c r="BA343" s="313"/>
      <c r="BB343" s="313"/>
      <c r="BC343" s="313"/>
      <c r="BD343" s="313"/>
      <c r="BE343" s="313"/>
      <c r="BF343" s="313"/>
      <c r="BG343" s="313"/>
      <c r="BH343" s="313"/>
      <c r="BI343" s="313"/>
      <c r="BJ343" s="313"/>
      <c r="BK343" s="313"/>
      <c r="BL343" s="313"/>
      <c r="BM343" s="313"/>
      <c r="BN343" s="313"/>
      <c r="BO343" s="313"/>
      <c r="BP343" s="313"/>
      <c r="BQ343" s="313"/>
    </row>
    <row r="344">
      <c r="A344" s="87" t="s">
        <v>10295</v>
      </c>
      <c r="B344" s="92"/>
      <c r="C344" s="30">
        <v>43950.0</v>
      </c>
      <c r="D344" s="92"/>
      <c r="E344" s="13" t="s">
        <v>41</v>
      </c>
      <c r="F344" s="13">
        <v>1.0</v>
      </c>
      <c r="G344" s="13" t="s">
        <v>32</v>
      </c>
      <c r="H344" s="50">
        <v>1.0</v>
      </c>
      <c r="I344" s="13" t="s">
        <v>33</v>
      </c>
      <c r="J344" s="13" t="s">
        <v>93</v>
      </c>
      <c r="K344" s="92"/>
      <c r="L344" s="34" t="s">
        <v>9433</v>
      </c>
      <c r="M344" s="46" t="s">
        <v>10296</v>
      </c>
      <c r="N344" s="288"/>
      <c r="O344" s="145"/>
      <c r="P344" s="145"/>
      <c r="Q344" s="91"/>
      <c r="R344" s="145"/>
      <c r="S344" s="145"/>
      <c r="T344" s="313"/>
      <c r="U344" s="38" t="b">
        <f>countif(A$5:A3006, A344)&gt;1</f>
        <v>0</v>
      </c>
      <c r="V344" s="38" t="s">
        <v>33</v>
      </c>
      <c r="W344" s="40"/>
      <c r="X344" s="40"/>
      <c r="Y344" s="349"/>
      <c r="Z344" s="313"/>
      <c r="AA344" s="313"/>
      <c r="AB344" s="313"/>
      <c r="AC344" s="313"/>
      <c r="AD344" s="313"/>
      <c r="AE344" s="313"/>
      <c r="AF344" s="313"/>
      <c r="AG344" s="313"/>
      <c r="AH344" s="313"/>
      <c r="AI344" s="313"/>
      <c r="AJ344" s="313"/>
      <c r="AK344" s="313"/>
      <c r="AL344" s="313"/>
      <c r="AM344" s="313"/>
      <c r="AN344" s="313"/>
      <c r="AO344" s="313"/>
      <c r="AP344" s="313"/>
      <c r="AQ344" s="313"/>
      <c r="AR344" s="313"/>
      <c r="AS344" s="313"/>
      <c r="AT344" s="313"/>
      <c r="AU344" s="313"/>
      <c r="AV344" s="313"/>
      <c r="AW344" s="313"/>
      <c r="AX344" s="313"/>
      <c r="AY344" s="313"/>
      <c r="AZ344" s="313"/>
      <c r="BA344" s="313"/>
      <c r="BB344" s="313"/>
      <c r="BC344" s="313"/>
      <c r="BD344" s="313"/>
      <c r="BE344" s="313"/>
      <c r="BF344" s="313"/>
      <c r="BG344" s="313"/>
      <c r="BH344" s="313"/>
      <c r="BI344" s="313"/>
      <c r="BJ344" s="313"/>
      <c r="BK344" s="313"/>
      <c r="BL344" s="313"/>
      <c r="BM344" s="313"/>
      <c r="BN344" s="313"/>
      <c r="BO344" s="313"/>
      <c r="BP344" s="313"/>
      <c r="BQ344" s="313"/>
    </row>
    <row r="345">
      <c r="A345" s="87" t="s">
        <v>10297</v>
      </c>
      <c r="B345" s="92"/>
      <c r="C345" s="31">
        <v>43952.0</v>
      </c>
      <c r="D345" s="92"/>
      <c r="E345" s="13" t="s">
        <v>41</v>
      </c>
      <c r="F345" s="13">
        <v>1.0</v>
      </c>
      <c r="G345" s="13" t="s">
        <v>32</v>
      </c>
      <c r="H345" s="50">
        <v>1.0</v>
      </c>
      <c r="I345" s="13" t="s">
        <v>33</v>
      </c>
      <c r="J345" s="13" t="s">
        <v>115</v>
      </c>
      <c r="K345" s="92"/>
      <c r="L345" s="34" t="s">
        <v>10260</v>
      </c>
      <c r="M345" s="46" t="s">
        <v>10298</v>
      </c>
      <c r="N345" s="288"/>
      <c r="O345" s="145"/>
      <c r="P345" s="145"/>
      <c r="Q345" s="91"/>
      <c r="R345" s="145"/>
      <c r="S345" s="145"/>
      <c r="T345" s="313"/>
      <c r="U345" s="38"/>
      <c r="V345" s="38" t="s">
        <v>33</v>
      </c>
      <c r="W345" s="40"/>
      <c r="X345" s="40"/>
      <c r="Y345" s="349"/>
      <c r="Z345" s="313"/>
      <c r="AA345" s="313"/>
      <c r="AB345" s="313"/>
      <c r="AC345" s="313"/>
      <c r="AD345" s="313"/>
      <c r="AE345" s="313"/>
      <c r="AF345" s="313"/>
      <c r="AG345" s="313"/>
      <c r="AH345" s="313"/>
      <c r="AI345" s="313"/>
      <c r="AJ345" s="313"/>
      <c r="AK345" s="313"/>
      <c r="AL345" s="313"/>
      <c r="AM345" s="313"/>
      <c r="AN345" s="313"/>
      <c r="AO345" s="313"/>
      <c r="AP345" s="313"/>
      <c r="AQ345" s="313"/>
      <c r="AR345" s="313"/>
      <c r="AS345" s="313"/>
      <c r="AT345" s="313"/>
      <c r="AU345" s="313"/>
      <c r="AV345" s="313"/>
      <c r="AW345" s="313"/>
      <c r="AX345" s="313"/>
      <c r="AY345" s="313"/>
      <c r="AZ345" s="313"/>
      <c r="BA345" s="313"/>
      <c r="BB345" s="313"/>
      <c r="BC345" s="313"/>
      <c r="BD345" s="313"/>
      <c r="BE345" s="313"/>
      <c r="BF345" s="313"/>
      <c r="BG345" s="313"/>
      <c r="BH345" s="313"/>
      <c r="BI345" s="313"/>
      <c r="BJ345" s="313"/>
      <c r="BK345" s="313"/>
      <c r="BL345" s="313"/>
      <c r="BM345" s="313"/>
      <c r="BN345" s="313"/>
      <c r="BO345" s="313"/>
      <c r="BP345" s="313"/>
      <c r="BQ345" s="313"/>
    </row>
    <row r="346">
      <c r="A346" s="87" t="s">
        <v>10299</v>
      </c>
      <c r="B346" s="92"/>
      <c r="C346" s="31">
        <v>43952.0</v>
      </c>
      <c r="D346" s="92"/>
      <c r="E346" s="13" t="s">
        <v>41</v>
      </c>
      <c r="F346" s="13">
        <v>1.0</v>
      </c>
      <c r="G346" s="13" t="s">
        <v>32</v>
      </c>
      <c r="H346" s="50">
        <v>1.0</v>
      </c>
      <c r="I346" s="13" t="s">
        <v>33</v>
      </c>
      <c r="J346" s="13" t="s">
        <v>93</v>
      </c>
      <c r="K346" s="92"/>
      <c r="L346" s="34" t="s">
        <v>10260</v>
      </c>
      <c r="M346" s="46" t="s">
        <v>10300</v>
      </c>
      <c r="N346" s="288"/>
      <c r="O346" s="145"/>
      <c r="P346" s="145"/>
      <c r="Q346" s="91"/>
      <c r="R346" s="145"/>
      <c r="S346" s="145"/>
      <c r="T346" s="313"/>
      <c r="U346" s="38"/>
      <c r="V346" s="38" t="s">
        <v>33</v>
      </c>
      <c r="W346" s="40"/>
      <c r="X346" s="40"/>
      <c r="Y346" s="349"/>
      <c r="Z346" s="313"/>
      <c r="AA346" s="313"/>
      <c r="AB346" s="313"/>
      <c r="AC346" s="313"/>
      <c r="AD346" s="313"/>
      <c r="AE346" s="313"/>
      <c r="AF346" s="313"/>
      <c r="AG346" s="313"/>
      <c r="AH346" s="313"/>
      <c r="AI346" s="313"/>
      <c r="AJ346" s="313"/>
      <c r="AK346" s="313"/>
      <c r="AL346" s="313"/>
      <c r="AM346" s="313"/>
      <c r="AN346" s="313"/>
      <c r="AO346" s="313"/>
      <c r="AP346" s="313"/>
      <c r="AQ346" s="313"/>
      <c r="AR346" s="313"/>
      <c r="AS346" s="313"/>
      <c r="AT346" s="313"/>
      <c r="AU346" s="313"/>
      <c r="AV346" s="313"/>
      <c r="AW346" s="313"/>
      <c r="AX346" s="313"/>
      <c r="AY346" s="313"/>
      <c r="AZ346" s="313"/>
      <c r="BA346" s="313"/>
      <c r="BB346" s="313"/>
      <c r="BC346" s="313"/>
      <c r="BD346" s="313"/>
      <c r="BE346" s="313"/>
      <c r="BF346" s="313"/>
      <c r="BG346" s="313"/>
      <c r="BH346" s="313"/>
      <c r="BI346" s="313"/>
      <c r="BJ346" s="313"/>
      <c r="BK346" s="313"/>
      <c r="BL346" s="313"/>
      <c r="BM346" s="313"/>
      <c r="BN346" s="313"/>
      <c r="BO346" s="313"/>
      <c r="BP346" s="313"/>
      <c r="BQ346" s="313"/>
    </row>
    <row r="347">
      <c r="A347" s="87" t="s">
        <v>10301</v>
      </c>
      <c r="B347" s="92"/>
      <c r="C347" s="31">
        <v>43952.0</v>
      </c>
      <c r="D347" s="92"/>
      <c r="E347" s="13" t="s">
        <v>41</v>
      </c>
      <c r="F347" s="13">
        <v>1.0</v>
      </c>
      <c r="G347" s="13" t="s">
        <v>32</v>
      </c>
      <c r="H347" s="50">
        <v>1.0</v>
      </c>
      <c r="I347" s="13" t="s">
        <v>33</v>
      </c>
      <c r="J347" s="13" t="s">
        <v>228</v>
      </c>
      <c r="K347" s="92"/>
      <c r="L347" s="34" t="s">
        <v>10260</v>
      </c>
      <c r="M347" s="46" t="s">
        <v>8172</v>
      </c>
      <c r="N347" s="288"/>
      <c r="O347" s="145"/>
      <c r="P347" s="145"/>
      <c r="Q347" s="91"/>
      <c r="R347" s="145"/>
      <c r="S347" s="145"/>
      <c r="T347" s="313"/>
      <c r="U347" s="38"/>
      <c r="V347" s="38" t="s">
        <v>33</v>
      </c>
      <c r="W347" s="40"/>
      <c r="X347" s="40"/>
      <c r="Y347" s="349"/>
      <c r="Z347" s="313"/>
      <c r="AA347" s="313"/>
      <c r="AB347" s="313"/>
      <c r="AC347" s="313"/>
      <c r="AD347" s="313"/>
      <c r="AE347" s="313"/>
      <c r="AF347" s="313"/>
      <c r="AG347" s="313"/>
      <c r="AH347" s="313"/>
      <c r="AI347" s="313"/>
      <c r="AJ347" s="313"/>
      <c r="AK347" s="313"/>
      <c r="AL347" s="313"/>
      <c r="AM347" s="313"/>
      <c r="AN347" s="313"/>
      <c r="AO347" s="313"/>
      <c r="AP347" s="313"/>
      <c r="AQ347" s="313"/>
      <c r="AR347" s="313"/>
      <c r="AS347" s="313"/>
      <c r="AT347" s="313"/>
      <c r="AU347" s="313"/>
      <c r="AV347" s="313"/>
      <c r="AW347" s="313"/>
      <c r="AX347" s="313"/>
      <c r="AY347" s="313"/>
      <c r="AZ347" s="313"/>
      <c r="BA347" s="313"/>
      <c r="BB347" s="313"/>
      <c r="BC347" s="313"/>
      <c r="BD347" s="313"/>
      <c r="BE347" s="313"/>
      <c r="BF347" s="313"/>
      <c r="BG347" s="313"/>
      <c r="BH347" s="313"/>
      <c r="BI347" s="313"/>
      <c r="BJ347" s="313"/>
      <c r="BK347" s="313"/>
      <c r="BL347" s="313"/>
      <c r="BM347" s="313"/>
      <c r="BN347" s="313"/>
      <c r="BO347" s="313"/>
      <c r="BP347" s="313"/>
      <c r="BQ347" s="313"/>
    </row>
    <row r="348">
      <c r="A348" s="87" t="s">
        <v>10302</v>
      </c>
      <c r="B348" s="92"/>
      <c r="C348" s="31">
        <v>43952.0</v>
      </c>
      <c r="D348" s="92"/>
      <c r="E348" s="13" t="s">
        <v>41</v>
      </c>
      <c r="F348" s="13">
        <v>1.0</v>
      </c>
      <c r="G348" s="13" t="s">
        <v>32</v>
      </c>
      <c r="H348" s="50">
        <v>1.0</v>
      </c>
      <c r="I348" s="13" t="s">
        <v>33</v>
      </c>
      <c r="J348" s="13" t="s">
        <v>228</v>
      </c>
      <c r="K348" s="92"/>
      <c r="L348" s="34" t="s">
        <v>10260</v>
      </c>
      <c r="M348" s="106" t="s">
        <v>8172</v>
      </c>
      <c r="N348" s="288"/>
      <c r="O348" s="145"/>
      <c r="P348" s="145"/>
      <c r="Q348" s="91"/>
      <c r="R348" s="145"/>
      <c r="S348" s="145"/>
      <c r="T348" s="313"/>
      <c r="U348" s="38"/>
      <c r="V348" s="38" t="s">
        <v>33</v>
      </c>
      <c r="W348" s="40"/>
      <c r="X348" s="40"/>
      <c r="Y348" s="349"/>
      <c r="Z348" s="313"/>
      <c r="AA348" s="313"/>
      <c r="AB348" s="313"/>
      <c r="AC348" s="313"/>
      <c r="AD348" s="313"/>
      <c r="AE348" s="313"/>
      <c r="AF348" s="313"/>
      <c r="AG348" s="313"/>
      <c r="AH348" s="313"/>
      <c r="AI348" s="313"/>
      <c r="AJ348" s="313"/>
      <c r="AK348" s="313"/>
      <c r="AL348" s="313"/>
      <c r="AM348" s="313"/>
      <c r="AN348" s="313"/>
      <c r="AO348" s="313"/>
      <c r="AP348" s="313"/>
      <c r="AQ348" s="313"/>
      <c r="AR348" s="313"/>
      <c r="AS348" s="313"/>
      <c r="AT348" s="313"/>
      <c r="AU348" s="313"/>
      <c r="AV348" s="313"/>
      <c r="AW348" s="313"/>
      <c r="AX348" s="313"/>
      <c r="AY348" s="313"/>
      <c r="AZ348" s="313"/>
      <c r="BA348" s="313"/>
      <c r="BB348" s="313"/>
      <c r="BC348" s="313"/>
      <c r="BD348" s="313"/>
      <c r="BE348" s="313"/>
      <c r="BF348" s="313"/>
      <c r="BG348" s="313"/>
      <c r="BH348" s="313"/>
      <c r="BI348" s="313"/>
      <c r="BJ348" s="313"/>
      <c r="BK348" s="313"/>
      <c r="BL348" s="313"/>
      <c r="BM348" s="313"/>
      <c r="BN348" s="313"/>
      <c r="BO348" s="313"/>
      <c r="BP348" s="313"/>
      <c r="BQ348" s="313"/>
    </row>
    <row r="349">
      <c r="A349" s="87" t="s">
        <v>10303</v>
      </c>
      <c r="B349" s="92"/>
      <c r="C349" s="31">
        <v>43952.0</v>
      </c>
      <c r="D349" s="92"/>
      <c r="E349" s="13" t="s">
        <v>41</v>
      </c>
      <c r="F349" s="13">
        <v>1.0</v>
      </c>
      <c r="G349" s="13" t="s">
        <v>32</v>
      </c>
      <c r="H349" s="50">
        <v>1.0</v>
      </c>
      <c r="I349" s="13" t="s">
        <v>33</v>
      </c>
      <c r="J349" s="13" t="s">
        <v>228</v>
      </c>
      <c r="K349" s="92"/>
      <c r="L349" s="34" t="s">
        <v>10260</v>
      </c>
      <c r="M349" s="106" t="s">
        <v>8172</v>
      </c>
      <c r="N349" s="288"/>
      <c r="O349" s="145"/>
      <c r="P349" s="145"/>
      <c r="Q349" s="91"/>
      <c r="R349" s="145"/>
      <c r="S349" s="145"/>
      <c r="T349" s="313"/>
      <c r="U349" s="38"/>
      <c r="V349" s="38" t="s">
        <v>33</v>
      </c>
      <c r="W349" s="40"/>
      <c r="X349" s="40"/>
      <c r="Y349" s="349"/>
      <c r="Z349" s="313"/>
      <c r="AA349" s="313"/>
      <c r="AB349" s="313"/>
      <c r="AC349" s="313"/>
      <c r="AD349" s="313"/>
      <c r="AE349" s="313"/>
      <c r="AF349" s="313"/>
      <c r="AG349" s="313"/>
      <c r="AH349" s="313"/>
      <c r="AI349" s="313"/>
      <c r="AJ349" s="313"/>
      <c r="AK349" s="313"/>
      <c r="AL349" s="313"/>
      <c r="AM349" s="313"/>
      <c r="AN349" s="313"/>
      <c r="AO349" s="313"/>
      <c r="AP349" s="313"/>
      <c r="AQ349" s="313"/>
      <c r="AR349" s="313"/>
      <c r="AS349" s="313"/>
      <c r="AT349" s="313"/>
      <c r="AU349" s="313"/>
      <c r="AV349" s="313"/>
      <c r="AW349" s="313"/>
      <c r="AX349" s="313"/>
      <c r="AY349" s="313"/>
      <c r="AZ349" s="313"/>
      <c r="BA349" s="313"/>
      <c r="BB349" s="313"/>
      <c r="BC349" s="313"/>
      <c r="BD349" s="313"/>
      <c r="BE349" s="313"/>
      <c r="BF349" s="313"/>
      <c r="BG349" s="313"/>
      <c r="BH349" s="313"/>
      <c r="BI349" s="313"/>
      <c r="BJ349" s="313"/>
      <c r="BK349" s="313"/>
      <c r="BL349" s="313"/>
      <c r="BM349" s="313"/>
      <c r="BN349" s="313"/>
      <c r="BO349" s="313"/>
      <c r="BP349" s="313"/>
      <c r="BQ349" s="313"/>
    </row>
    <row r="350">
      <c r="A350" s="87" t="s">
        <v>10304</v>
      </c>
      <c r="B350" s="92"/>
      <c r="C350" s="31">
        <v>43952.0</v>
      </c>
      <c r="D350" s="92"/>
      <c r="E350" s="13" t="s">
        <v>41</v>
      </c>
      <c r="F350" s="13">
        <v>1.0</v>
      </c>
      <c r="G350" s="13" t="s">
        <v>32</v>
      </c>
      <c r="H350" s="50">
        <v>1.0</v>
      </c>
      <c r="I350" s="13" t="s">
        <v>33</v>
      </c>
      <c r="J350" s="13" t="s">
        <v>460</v>
      </c>
      <c r="K350" s="92"/>
      <c r="L350" s="34" t="s">
        <v>10260</v>
      </c>
      <c r="M350" s="46" t="s">
        <v>10305</v>
      </c>
      <c r="N350" s="288"/>
      <c r="O350" s="145"/>
      <c r="P350" s="145"/>
      <c r="Q350" s="91"/>
      <c r="R350" s="145"/>
      <c r="S350" s="145"/>
      <c r="T350" s="313"/>
      <c r="U350" s="38"/>
      <c r="V350" s="38" t="s">
        <v>33</v>
      </c>
      <c r="W350" s="40"/>
      <c r="X350" s="40"/>
      <c r="Y350" s="349"/>
      <c r="Z350" s="313"/>
      <c r="AA350" s="313"/>
      <c r="AB350" s="313"/>
      <c r="AC350" s="313"/>
      <c r="AD350" s="313"/>
      <c r="AE350" s="313"/>
      <c r="AF350" s="313"/>
      <c r="AG350" s="313"/>
      <c r="AH350" s="313"/>
      <c r="AI350" s="313"/>
      <c r="AJ350" s="313"/>
      <c r="AK350" s="313"/>
      <c r="AL350" s="313"/>
      <c r="AM350" s="313"/>
      <c r="AN350" s="313"/>
      <c r="AO350" s="313"/>
      <c r="AP350" s="313"/>
      <c r="AQ350" s="313"/>
      <c r="AR350" s="313"/>
      <c r="AS350" s="313"/>
      <c r="AT350" s="313"/>
      <c r="AU350" s="313"/>
      <c r="AV350" s="313"/>
      <c r="AW350" s="313"/>
      <c r="AX350" s="313"/>
      <c r="AY350" s="313"/>
      <c r="AZ350" s="313"/>
      <c r="BA350" s="313"/>
      <c r="BB350" s="313"/>
      <c r="BC350" s="313"/>
      <c r="BD350" s="313"/>
      <c r="BE350" s="313"/>
      <c r="BF350" s="313"/>
      <c r="BG350" s="313"/>
      <c r="BH350" s="313"/>
      <c r="BI350" s="313"/>
      <c r="BJ350" s="313"/>
      <c r="BK350" s="313"/>
      <c r="BL350" s="313"/>
      <c r="BM350" s="313"/>
      <c r="BN350" s="313"/>
      <c r="BO350" s="313"/>
      <c r="BP350" s="313"/>
      <c r="BQ350" s="313"/>
    </row>
    <row r="351">
      <c r="A351" s="87" t="s">
        <v>10306</v>
      </c>
      <c r="B351" s="92"/>
      <c r="C351" s="30">
        <v>43956.0</v>
      </c>
      <c r="D351" s="92"/>
      <c r="E351" s="13" t="s">
        <v>31</v>
      </c>
      <c r="F351" s="13">
        <v>1.0</v>
      </c>
      <c r="G351" s="13" t="s">
        <v>32</v>
      </c>
      <c r="H351" s="50">
        <v>1.0</v>
      </c>
      <c r="I351" s="13" t="s">
        <v>33</v>
      </c>
      <c r="J351" s="13" t="s">
        <v>179</v>
      </c>
      <c r="K351" s="92"/>
      <c r="L351" s="34" t="s">
        <v>10307</v>
      </c>
      <c r="M351" s="46" t="s">
        <v>10308</v>
      </c>
      <c r="N351" s="288"/>
      <c r="O351" s="145"/>
      <c r="P351" s="145"/>
      <c r="Q351" s="91"/>
      <c r="R351" s="145"/>
      <c r="S351" s="145"/>
      <c r="T351" s="313"/>
      <c r="U351" s="38"/>
      <c r="V351" s="38" t="s">
        <v>33</v>
      </c>
      <c r="W351" s="39" t="s">
        <v>10309</v>
      </c>
      <c r="X351" s="39" t="s">
        <v>10310</v>
      </c>
      <c r="Y351" s="349"/>
      <c r="Z351" s="313"/>
      <c r="AA351" s="313"/>
      <c r="AB351" s="313"/>
      <c r="AC351" s="313"/>
      <c r="AD351" s="313"/>
      <c r="AE351" s="313"/>
      <c r="AF351" s="313"/>
      <c r="AG351" s="313"/>
      <c r="AH351" s="313"/>
      <c r="AI351" s="313"/>
      <c r="AJ351" s="313"/>
      <c r="AK351" s="313"/>
      <c r="AL351" s="313"/>
      <c r="AM351" s="313"/>
      <c r="AN351" s="313"/>
      <c r="AO351" s="313"/>
      <c r="AP351" s="313"/>
      <c r="AQ351" s="313"/>
      <c r="AR351" s="313"/>
      <c r="AS351" s="313"/>
      <c r="AT351" s="313"/>
      <c r="AU351" s="313"/>
      <c r="AV351" s="313"/>
      <c r="AW351" s="313"/>
      <c r="AX351" s="313"/>
      <c r="AY351" s="313"/>
      <c r="AZ351" s="313"/>
      <c r="BA351" s="313"/>
      <c r="BB351" s="313"/>
      <c r="BC351" s="313"/>
      <c r="BD351" s="313"/>
      <c r="BE351" s="313"/>
      <c r="BF351" s="313"/>
      <c r="BG351" s="313"/>
      <c r="BH351" s="313"/>
      <c r="BI351" s="313"/>
      <c r="BJ351" s="313"/>
      <c r="BK351" s="313"/>
      <c r="BL351" s="313"/>
      <c r="BM351" s="313"/>
      <c r="BN351" s="313"/>
      <c r="BO351" s="313"/>
      <c r="BP351" s="313"/>
      <c r="BQ351" s="313"/>
    </row>
    <row r="352">
      <c r="A352" s="87" t="s">
        <v>10311</v>
      </c>
      <c r="B352" s="92"/>
      <c r="C352" s="30">
        <v>43956.0</v>
      </c>
      <c r="D352" s="92"/>
      <c r="E352" s="13" t="s">
        <v>41</v>
      </c>
      <c r="F352" s="13">
        <v>1.0</v>
      </c>
      <c r="G352" s="13">
        <v>1.0</v>
      </c>
      <c r="H352" s="50">
        <v>1.0</v>
      </c>
      <c r="I352" s="13" t="s">
        <v>33</v>
      </c>
      <c r="J352" s="13" t="s">
        <v>279</v>
      </c>
      <c r="K352" s="92"/>
      <c r="L352" s="34" t="s">
        <v>9433</v>
      </c>
      <c r="M352" s="46" t="s">
        <v>10312</v>
      </c>
      <c r="N352" s="288"/>
      <c r="O352" s="145"/>
      <c r="P352" s="145"/>
      <c r="Q352" s="91"/>
      <c r="R352" s="145"/>
      <c r="S352" s="145"/>
      <c r="T352" s="313"/>
      <c r="U352" s="38" t="b">
        <f>countif(A$5:A3006, A352)&gt;1</f>
        <v>0</v>
      </c>
      <c r="V352" s="38" t="s">
        <v>33</v>
      </c>
      <c r="W352" s="40"/>
      <c r="X352" s="40"/>
      <c r="Y352" s="349"/>
      <c r="Z352" s="313"/>
      <c r="AA352" s="313"/>
      <c r="AB352" s="313"/>
      <c r="AC352" s="313"/>
      <c r="AD352" s="313"/>
      <c r="AE352" s="313"/>
      <c r="AF352" s="313"/>
      <c r="AG352" s="313"/>
      <c r="AH352" s="313"/>
      <c r="AI352" s="313"/>
      <c r="AJ352" s="313"/>
      <c r="AK352" s="313"/>
      <c r="AL352" s="313"/>
      <c r="AM352" s="313"/>
      <c r="AN352" s="313"/>
      <c r="AO352" s="313"/>
      <c r="AP352" s="313"/>
      <c r="AQ352" s="313"/>
      <c r="AR352" s="313"/>
      <c r="AS352" s="313"/>
      <c r="AT352" s="313"/>
      <c r="AU352" s="313"/>
      <c r="AV352" s="313"/>
      <c r="AW352" s="313"/>
      <c r="AX352" s="313"/>
      <c r="AY352" s="313"/>
      <c r="AZ352" s="313"/>
      <c r="BA352" s="313"/>
      <c r="BB352" s="313"/>
      <c r="BC352" s="313"/>
      <c r="BD352" s="313"/>
      <c r="BE352" s="313"/>
      <c r="BF352" s="313"/>
      <c r="BG352" s="313"/>
      <c r="BH352" s="313"/>
      <c r="BI352" s="313"/>
      <c r="BJ352" s="313"/>
      <c r="BK352" s="313"/>
      <c r="BL352" s="313"/>
      <c r="BM352" s="313"/>
      <c r="BN352" s="313"/>
      <c r="BO352" s="313"/>
      <c r="BP352" s="313"/>
      <c r="BQ352" s="313"/>
    </row>
    <row r="353">
      <c r="A353" s="87" t="s">
        <v>10313</v>
      </c>
      <c r="B353" s="92"/>
      <c r="C353" s="30">
        <v>43601.0</v>
      </c>
      <c r="D353" s="92"/>
      <c r="E353" s="13" t="s">
        <v>41</v>
      </c>
      <c r="F353" s="13">
        <v>1.0</v>
      </c>
      <c r="G353" s="13" t="s">
        <v>32</v>
      </c>
      <c r="H353" s="50">
        <v>1.0</v>
      </c>
      <c r="I353" s="13" t="s">
        <v>33</v>
      </c>
      <c r="J353" s="13" t="s">
        <v>75</v>
      </c>
      <c r="K353" s="92"/>
      <c r="L353" s="34" t="s">
        <v>10260</v>
      </c>
      <c r="M353" s="46" t="s">
        <v>10314</v>
      </c>
      <c r="N353" s="288"/>
      <c r="O353" s="145"/>
      <c r="P353" s="145"/>
      <c r="Q353" s="91"/>
      <c r="R353" s="145"/>
      <c r="S353" s="145"/>
      <c r="T353" s="313"/>
      <c r="U353" s="38"/>
      <c r="V353" s="38" t="s">
        <v>33</v>
      </c>
      <c r="W353" s="40"/>
      <c r="X353" s="40"/>
      <c r="Y353" s="349"/>
      <c r="Z353" s="313"/>
      <c r="AA353" s="313"/>
      <c r="AB353" s="313"/>
      <c r="AC353" s="313"/>
      <c r="AD353" s="313"/>
      <c r="AE353" s="313"/>
      <c r="AF353" s="313"/>
      <c r="AG353" s="313"/>
      <c r="AH353" s="313"/>
      <c r="AI353" s="313"/>
      <c r="AJ353" s="313"/>
      <c r="AK353" s="313"/>
      <c r="AL353" s="313"/>
      <c r="AM353" s="313"/>
      <c r="AN353" s="313"/>
      <c r="AO353" s="313"/>
      <c r="AP353" s="313"/>
      <c r="AQ353" s="313"/>
      <c r="AR353" s="313"/>
      <c r="AS353" s="313"/>
      <c r="AT353" s="313"/>
      <c r="AU353" s="313"/>
      <c r="AV353" s="313"/>
      <c r="AW353" s="313"/>
      <c r="AX353" s="313"/>
      <c r="AY353" s="313"/>
      <c r="AZ353" s="313"/>
      <c r="BA353" s="313"/>
      <c r="BB353" s="313"/>
      <c r="BC353" s="313"/>
      <c r="BD353" s="313"/>
      <c r="BE353" s="313"/>
      <c r="BF353" s="313"/>
      <c r="BG353" s="313"/>
      <c r="BH353" s="313"/>
      <c r="BI353" s="313"/>
      <c r="BJ353" s="313"/>
      <c r="BK353" s="313"/>
      <c r="BL353" s="313"/>
      <c r="BM353" s="313"/>
      <c r="BN353" s="313"/>
      <c r="BO353" s="313"/>
      <c r="BP353" s="313"/>
      <c r="BQ353" s="313"/>
    </row>
    <row r="354">
      <c r="A354" s="87" t="s">
        <v>10315</v>
      </c>
      <c r="B354" s="92"/>
      <c r="C354" s="30">
        <v>43979.0</v>
      </c>
      <c r="D354" s="92"/>
      <c r="E354" s="13" t="s">
        <v>31</v>
      </c>
      <c r="F354" s="13">
        <v>1.0</v>
      </c>
      <c r="G354" s="13">
        <v>1.0</v>
      </c>
      <c r="H354" s="50">
        <v>1.0</v>
      </c>
      <c r="I354" s="13" t="s">
        <v>33</v>
      </c>
      <c r="J354" s="13" t="s">
        <v>124</v>
      </c>
      <c r="K354" s="92"/>
      <c r="L354" s="34" t="s">
        <v>10316</v>
      </c>
      <c r="M354" s="46" t="s">
        <v>10317</v>
      </c>
      <c r="N354" s="288"/>
      <c r="O354" s="145"/>
      <c r="P354" s="145"/>
      <c r="Q354" s="91"/>
      <c r="R354" s="145"/>
      <c r="S354" s="145"/>
      <c r="T354" s="313"/>
      <c r="U354" s="38"/>
      <c r="V354" s="38" t="s">
        <v>33</v>
      </c>
      <c r="W354" s="39" t="s">
        <v>10318</v>
      </c>
      <c r="X354" s="39" t="s">
        <v>10319</v>
      </c>
      <c r="Y354" s="349"/>
      <c r="Z354" s="313"/>
      <c r="AA354" s="313"/>
      <c r="AB354" s="313"/>
      <c r="AC354" s="313"/>
      <c r="AD354" s="313"/>
      <c r="AE354" s="313"/>
      <c r="AF354" s="313"/>
      <c r="AG354" s="313"/>
      <c r="AH354" s="313"/>
      <c r="AI354" s="313"/>
      <c r="AJ354" s="313"/>
      <c r="AK354" s="313"/>
      <c r="AL354" s="313"/>
      <c r="AM354" s="313"/>
      <c r="AN354" s="313"/>
      <c r="AO354" s="313"/>
      <c r="AP354" s="313"/>
      <c r="AQ354" s="313"/>
      <c r="AR354" s="313"/>
      <c r="AS354" s="313"/>
      <c r="AT354" s="313"/>
      <c r="AU354" s="313"/>
      <c r="AV354" s="313"/>
      <c r="AW354" s="313"/>
      <c r="AX354" s="313"/>
      <c r="AY354" s="313"/>
      <c r="AZ354" s="313"/>
      <c r="BA354" s="313"/>
      <c r="BB354" s="313"/>
      <c r="BC354" s="313"/>
      <c r="BD354" s="313"/>
      <c r="BE354" s="313"/>
      <c r="BF354" s="313"/>
      <c r="BG354" s="313"/>
      <c r="BH354" s="313"/>
      <c r="BI354" s="313"/>
      <c r="BJ354" s="313"/>
      <c r="BK354" s="313"/>
      <c r="BL354" s="313"/>
      <c r="BM354" s="313"/>
      <c r="BN354" s="313"/>
      <c r="BO354" s="313"/>
      <c r="BP354" s="313"/>
      <c r="BQ354" s="313"/>
    </row>
    <row r="355">
      <c r="A355" s="87" t="s">
        <v>8235</v>
      </c>
      <c r="B355" s="92"/>
      <c r="C355" s="30">
        <v>43981.0</v>
      </c>
      <c r="D355" s="92"/>
      <c r="E355" s="13" t="s">
        <v>41</v>
      </c>
      <c r="F355" s="13">
        <v>1.0</v>
      </c>
      <c r="G355" s="13" t="s">
        <v>32</v>
      </c>
      <c r="H355" s="50">
        <v>1.0</v>
      </c>
      <c r="I355" s="13" t="s">
        <v>33</v>
      </c>
      <c r="J355" s="13" t="s">
        <v>193</v>
      </c>
      <c r="K355" s="92"/>
      <c r="L355" s="34" t="s">
        <v>10260</v>
      </c>
      <c r="M355" s="46" t="s">
        <v>10320</v>
      </c>
      <c r="N355" s="288"/>
      <c r="O355" s="145"/>
      <c r="P355" s="145"/>
      <c r="Q355" s="91"/>
      <c r="R355" s="145"/>
      <c r="S355" s="145"/>
      <c r="T355" s="313"/>
      <c r="U355" s="38"/>
      <c r="V355" s="38" t="s">
        <v>33</v>
      </c>
      <c r="W355" s="40"/>
      <c r="X355" s="40"/>
      <c r="Y355" s="349"/>
      <c r="Z355" s="313"/>
      <c r="AA355" s="313"/>
      <c r="AB355" s="313"/>
      <c r="AC355" s="313"/>
      <c r="AD355" s="313"/>
      <c r="AE355" s="313"/>
      <c r="AF355" s="313"/>
      <c r="AG355" s="313"/>
      <c r="AH355" s="313"/>
      <c r="AI355" s="313"/>
      <c r="AJ355" s="313"/>
      <c r="AK355" s="313"/>
      <c r="AL355" s="313"/>
      <c r="AM355" s="313"/>
      <c r="AN355" s="313"/>
      <c r="AO355" s="313"/>
      <c r="AP355" s="313"/>
      <c r="AQ355" s="313"/>
      <c r="AR355" s="313"/>
      <c r="AS355" s="313"/>
      <c r="AT355" s="313"/>
      <c r="AU355" s="313"/>
      <c r="AV355" s="313"/>
      <c r="AW355" s="313"/>
      <c r="AX355" s="313"/>
      <c r="AY355" s="313"/>
      <c r="AZ355" s="313"/>
      <c r="BA355" s="313"/>
      <c r="BB355" s="313"/>
      <c r="BC355" s="313"/>
      <c r="BD355" s="313"/>
      <c r="BE355" s="313"/>
      <c r="BF355" s="313"/>
      <c r="BG355" s="313"/>
      <c r="BH355" s="313"/>
      <c r="BI355" s="313"/>
      <c r="BJ355" s="313"/>
      <c r="BK355" s="313"/>
      <c r="BL355" s="313"/>
      <c r="BM355" s="313"/>
      <c r="BN355" s="313"/>
      <c r="BO355" s="313"/>
      <c r="BP355" s="313"/>
      <c r="BQ355" s="313"/>
    </row>
    <row r="356">
      <c r="A356" s="87" t="s">
        <v>10321</v>
      </c>
      <c r="B356" s="92"/>
      <c r="C356" s="31">
        <v>43983.0</v>
      </c>
      <c r="D356" s="92"/>
      <c r="E356" s="13" t="s">
        <v>41</v>
      </c>
      <c r="F356" s="13">
        <v>1.0</v>
      </c>
      <c r="G356" s="13" t="s">
        <v>32</v>
      </c>
      <c r="H356" s="50">
        <v>1.0</v>
      </c>
      <c r="I356" s="13" t="s">
        <v>33</v>
      </c>
      <c r="J356" s="13" t="s">
        <v>85</v>
      </c>
      <c r="K356" s="92"/>
      <c r="L356" s="34" t="s">
        <v>10196</v>
      </c>
      <c r="M356" s="46" t="s">
        <v>10322</v>
      </c>
      <c r="N356" s="288"/>
      <c r="O356" s="145"/>
      <c r="P356" s="145"/>
      <c r="Q356" s="37"/>
      <c r="R356" s="145"/>
      <c r="S356" s="145"/>
      <c r="T356" s="313"/>
      <c r="U356" s="38"/>
      <c r="V356" s="38" t="s">
        <v>33</v>
      </c>
      <c r="W356" s="40"/>
      <c r="X356" s="40"/>
      <c r="Y356" s="349"/>
      <c r="Z356" s="313"/>
      <c r="AA356" s="313"/>
      <c r="AB356" s="313"/>
      <c r="AC356" s="313"/>
      <c r="AD356" s="313"/>
      <c r="AE356" s="313"/>
      <c r="AF356" s="313"/>
      <c r="AG356" s="313"/>
      <c r="AH356" s="313"/>
      <c r="AI356" s="313"/>
      <c r="AJ356" s="313"/>
      <c r="AK356" s="313"/>
      <c r="AL356" s="313"/>
      <c r="AM356" s="313"/>
      <c r="AN356" s="313"/>
      <c r="AO356" s="313"/>
      <c r="AP356" s="313"/>
      <c r="AQ356" s="313"/>
      <c r="AR356" s="313"/>
      <c r="AS356" s="313"/>
      <c r="AT356" s="313"/>
      <c r="AU356" s="313"/>
      <c r="AV356" s="313"/>
      <c r="AW356" s="313"/>
      <c r="AX356" s="313"/>
      <c r="AY356" s="313"/>
      <c r="AZ356" s="313"/>
      <c r="BA356" s="313"/>
      <c r="BB356" s="313"/>
      <c r="BC356" s="313"/>
      <c r="BD356" s="313"/>
      <c r="BE356" s="313"/>
      <c r="BF356" s="313"/>
      <c r="BG356" s="313"/>
      <c r="BH356" s="313"/>
      <c r="BI356" s="313"/>
      <c r="BJ356" s="313"/>
      <c r="BK356" s="313"/>
      <c r="BL356" s="313"/>
      <c r="BM356" s="313"/>
      <c r="BN356" s="313"/>
      <c r="BO356" s="313"/>
      <c r="BP356" s="313"/>
      <c r="BQ356" s="313"/>
    </row>
    <row r="357">
      <c r="A357" s="87" t="s">
        <v>10323</v>
      </c>
      <c r="B357" s="92"/>
      <c r="C357" s="31">
        <v>43983.0</v>
      </c>
      <c r="D357" s="92"/>
      <c r="E357" s="13" t="s">
        <v>41</v>
      </c>
      <c r="F357" s="13">
        <v>1.0</v>
      </c>
      <c r="G357" s="13" t="s">
        <v>32</v>
      </c>
      <c r="H357" s="50">
        <v>1.0</v>
      </c>
      <c r="I357" s="13" t="s">
        <v>33</v>
      </c>
      <c r="J357" s="13" t="s">
        <v>343</v>
      </c>
      <c r="K357" s="92"/>
      <c r="L357" s="34" t="s">
        <v>10260</v>
      </c>
      <c r="M357" s="106" t="s">
        <v>10324</v>
      </c>
      <c r="N357" s="288"/>
      <c r="O357" s="145"/>
      <c r="P357" s="145"/>
      <c r="Q357" s="37"/>
      <c r="R357" s="145"/>
      <c r="S357" s="145"/>
      <c r="T357" s="313"/>
      <c r="U357" s="38"/>
      <c r="V357" s="38" t="s">
        <v>10325</v>
      </c>
      <c r="W357" s="40"/>
      <c r="X357" s="40"/>
      <c r="Y357" s="349"/>
      <c r="Z357" s="313"/>
      <c r="AA357" s="313"/>
      <c r="AB357" s="313"/>
      <c r="AC357" s="313"/>
      <c r="AD357" s="313"/>
      <c r="AE357" s="313"/>
      <c r="AF357" s="313"/>
      <c r="AG357" s="313"/>
      <c r="AH357" s="313"/>
      <c r="AI357" s="313"/>
      <c r="AJ357" s="313"/>
      <c r="AK357" s="313"/>
      <c r="AL357" s="313"/>
      <c r="AM357" s="313"/>
      <c r="AN357" s="313"/>
      <c r="AO357" s="313"/>
      <c r="AP357" s="313"/>
      <c r="AQ357" s="313"/>
      <c r="AR357" s="313"/>
      <c r="AS357" s="313"/>
      <c r="AT357" s="313"/>
      <c r="AU357" s="313"/>
      <c r="AV357" s="313"/>
      <c r="AW357" s="313"/>
      <c r="AX357" s="313"/>
      <c r="AY357" s="313"/>
      <c r="AZ357" s="313"/>
      <c r="BA357" s="313"/>
      <c r="BB357" s="313"/>
      <c r="BC357" s="313"/>
      <c r="BD357" s="313"/>
      <c r="BE357" s="313"/>
      <c r="BF357" s="313"/>
      <c r="BG357" s="313"/>
      <c r="BH357" s="313"/>
      <c r="BI357" s="313"/>
      <c r="BJ357" s="313"/>
      <c r="BK357" s="313"/>
      <c r="BL357" s="313"/>
      <c r="BM357" s="313"/>
      <c r="BN357" s="313"/>
      <c r="BO357" s="313"/>
      <c r="BP357" s="313"/>
      <c r="BQ357" s="313"/>
    </row>
    <row r="358">
      <c r="A358" s="87" t="s">
        <v>10326</v>
      </c>
      <c r="B358" s="92"/>
      <c r="C358" s="30">
        <v>43984.0</v>
      </c>
      <c r="D358" s="92"/>
      <c r="E358" s="13" t="s">
        <v>41</v>
      </c>
      <c r="F358" s="13">
        <v>1.0</v>
      </c>
      <c r="G358" s="13" t="s">
        <v>32</v>
      </c>
      <c r="H358" s="50">
        <v>1.0</v>
      </c>
      <c r="I358" s="13" t="s">
        <v>33</v>
      </c>
      <c r="J358" s="13" t="s">
        <v>460</v>
      </c>
      <c r="K358" s="92"/>
      <c r="L358" s="34" t="s">
        <v>10327</v>
      </c>
      <c r="M358" s="46" t="s">
        <v>10328</v>
      </c>
      <c r="N358" s="288"/>
      <c r="O358" s="145"/>
      <c r="P358" s="145"/>
      <c r="Q358" s="91"/>
      <c r="R358" s="145"/>
      <c r="S358" s="99"/>
      <c r="T358" s="279"/>
      <c r="U358" s="38"/>
      <c r="V358" s="38" t="s">
        <v>33</v>
      </c>
      <c r="W358" s="40"/>
      <c r="X358" s="40"/>
      <c r="Y358" s="349"/>
      <c r="Z358" s="313"/>
      <c r="AA358" s="313"/>
      <c r="AB358" s="313"/>
      <c r="AC358" s="313"/>
      <c r="AD358" s="313"/>
      <c r="AE358" s="313"/>
      <c r="AF358" s="313"/>
      <c r="AG358" s="313"/>
      <c r="AH358" s="313"/>
      <c r="AI358" s="313"/>
      <c r="AJ358" s="313"/>
      <c r="AK358" s="313"/>
      <c r="AL358" s="313"/>
      <c r="AM358" s="313"/>
      <c r="AN358" s="313"/>
      <c r="AO358" s="313"/>
      <c r="AP358" s="313"/>
      <c r="AQ358" s="313"/>
      <c r="AR358" s="313"/>
      <c r="AS358" s="313"/>
      <c r="AT358" s="313"/>
      <c r="AU358" s="313"/>
      <c r="AV358" s="313"/>
      <c r="AW358" s="313"/>
      <c r="AX358" s="313"/>
      <c r="AY358" s="313"/>
      <c r="AZ358" s="313"/>
      <c r="BA358" s="313"/>
      <c r="BB358" s="313"/>
      <c r="BC358" s="313"/>
      <c r="BD358" s="313"/>
      <c r="BE358" s="313"/>
      <c r="BF358" s="313"/>
      <c r="BG358" s="313"/>
      <c r="BH358" s="313"/>
      <c r="BI358" s="313"/>
      <c r="BJ358" s="313"/>
      <c r="BK358" s="313"/>
      <c r="BL358" s="313"/>
      <c r="BM358" s="313"/>
      <c r="BN358" s="313"/>
      <c r="BO358" s="313"/>
      <c r="BP358" s="313"/>
      <c r="BQ358" s="313"/>
    </row>
    <row r="359">
      <c r="A359" s="87" t="s">
        <v>10007</v>
      </c>
      <c r="B359" s="92"/>
      <c r="C359" s="30">
        <v>43985.0</v>
      </c>
      <c r="D359" s="92"/>
      <c r="E359" s="13" t="s">
        <v>41</v>
      </c>
      <c r="F359" s="13">
        <v>1.0</v>
      </c>
      <c r="G359" s="13">
        <v>1.0</v>
      </c>
      <c r="H359" s="50">
        <v>1.0</v>
      </c>
      <c r="I359" s="13" t="s">
        <v>33</v>
      </c>
      <c r="J359" s="13" t="s">
        <v>193</v>
      </c>
      <c r="K359" s="92"/>
      <c r="L359" s="34" t="s">
        <v>9396</v>
      </c>
      <c r="M359" s="106" t="s">
        <v>10329</v>
      </c>
      <c r="N359" s="288"/>
      <c r="O359" s="145"/>
      <c r="P359" s="145"/>
      <c r="Q359" s="37"/>
      <c r="R359" s="145"/>
      <c r="S359" s="145"/>
      <c r="T359" s="313"/>
      <c r="U359" s="38"/>
      <c r="V359" s="38" t="s">
        <v>33</v>
      </c>
      <c r="W359" s="40"/>
      <c r="X359" s="40"/>
      <c r="Y359" s="349"/>
      <c r="Z359" s="313"/>
      <c r="AA359" s="313"/>
      <c r="AB359" s="313"/>
      <c r="AC359" s="313"/>
      <c r="AD359" s="313"/>
      <c r="AE359" s="313"/>
      <c r="AF359" s="313"/>
      <c r="AG359" s="313"/>
      <c r="AH359" s="313"/>
      <c r="AI359" s="313"/>
      <c r="AJ359" s="313"/>
      <c r="AK359" s="313"/>
      <c r="AL359" s="313"/>
      <c r="AM359" s="313"/>
      <c r="AN359" s="313"/>
      <c r="AO359" s="313"/>
      <c r="AP359" s="313"/>
      <c r="AQ359" s="313"/>
      <c r="AR359" s="313"/>
      <c r="AS359" s="313"/>
      <c r="AT359" s="313"/>
      <c r="AU359" s="313"/>
      <c r="AV359" s="313"/>
      <c r="AW359" s="313"/>
      <c r="AX359" s="313"/>
      <c r="AY359" s="313"/>
      <c r="AZ359" s="313"/>
      <c r="BA359" s="313"/>
      <c r="BB359" s="313"/>
      <c r="BC359" s="313"/>
      <c r="BD359" s="313"/>
      <c r="BE359" s="313"/>
      <c r="BF359" s="313"/>
      <c r="BG359" s="313"/>
      <c r="BH359" s="313"/>
      <c r="BI359" s="313"/>
      <c r="BJ359" s="313"/>
      <c r="BK359" s="313"/>
      <c r="BL359" s="313"/>
      <c r="BM359" s="313"/>
      <c r="BN359" s="313"/>
      <c r="BO359" s="313"/>
      <c r="BP359" s="313"/>
      <c r="BQ359" s="313"/>
    </row>
    <row r="360">
      <c r="A360" s="87" t="s">
        <v>10330</v>
      </c>
      <c r="B360" s="92"/>
      <c r="C360" s="30">
        <v>43992.0</v>
      </c>
      <c r="D360" s="92"/>
      <c r="E360" s="13" t="s">
        <v>41</v>
      </c>
      <c r="F360" s="13">
        <v>1.0</v>
      </c>
      <c r="G360" s="13" t="s">
        <v>10331</v>
      </c>
      <c r="H360" s="50">
        <v>1.0</v>
      </c>
      <c r="I360" s="13" t="s">
        <v>33</v>
      </c>
      <c r="J360" s="13" t="s">
        <v>55</v>
      </c>
      <c r="K360" s="92"/>
      <c r="L360" s="34" t="s">
        <v>10260</v>
      </c>
      <c r="M360" s="46" t="s">
        <v>10332</v>
      </c>
      <c r="N360" s="288"/>
      <c r="O360" s="145"/>
      <c r="P360" s="145"/>
      <c r="Q360" s="37"/>
      <c r="R360" s="145"/>
      <c r="S360" s="145"/>
      <c r="T360" s="313"/>
      <c r="U360" s="38"/>
      <c r="V360" s="38" t="s">
        <v>33</v>
      </c>
      <c r="W360" s="40"/>
      <c r="X360" s="40"/>
      <c r="Y360" s="349"/>
      <c r="Z360" s="313"/>
      <c r="AA360" s="313"/>
      <c r="AB360" s="313"/>
      <c r="AC360" s="313"/>
      <c r="AD360" s="313"/>
      <c r="AE360" s="313"/>
      <c r="AF360" s="313"/>
      <c r="AG360" s="313"/>
      <c r="AH360" s="313"/>
      <c r="AI360" s="313"/>
      <c r="AJ360" s="313"/>
      <c r="AK360" s="313"/>
      <c r="AL360" s="313"/>
      <c r="AM360" s="313"/>
      <c r="AN360" s="313"/>
      <c r="AO360" s="313"/>
      <c r="AP360" s="313"/>
      <c r="AQ360" s="313"/>
      <c r="AR360" s="313"/>
      <c r="AS360" s="313"/>
      <c r="AT360" s="313"/>
      <c r="AU360" s="313"/>
      <c r="AV360" s="313"/>
      <c r="AW360" s="313"/>
      <c r="AX360" s="313"/>
      <c r="AY360" s="313"/>
      <c r="AZ360" s="313"/>
      <c r="BA360" s="313"/>
      <c r="BB360" s="313"/>
      <c r="BC360" s="313"/>
      <c r="BD360" s="313"/>
      <c r="BE360" s="313"/>
      <c r="BF360" s="313"/>
      <c r="BG360" s="313"/>
      <c r="BH360" s="313"/>
      <c r="BI360" s="313"/>
      <c r="BJ360" s="313"/>
      <c r="BK360" s="313"/>
      <c r="BL360" s="313"/>
      <c r="BM360" s="313"/>
      <c r="BN360" s="313"/>
      <c r="BO360" s="313"/>
      <c r="BP360" s="313"/>
      <c r="BQ360" s="313"/>
    </row>
    <row r="361">
      <c r="A361" s="87" t="s">
        <v>10333</v>
      </c>
      <c r="B361" s="92"/>
      <c r="C361" s="30">
        <v>43993.0</v>
      </c>
      <c r="D361" s="92"/>
      <c r="E361" s="13" t="s">
        <v>41</v>
      </c>
      <c r="F361" s="13">
        <v>1.0</v>
      </c>
      <c r="G361" s="13">
        <v>1.0</v>
      </c>
      <c r="H361" s="50">
        <v>1.0</v>
      </c>
      <c r="I361" s="13" t="s">
        <v>33</v>
      </c>
      <c r="J361" s="13" t="s">
        <v>93</v>
      </c>
      <c r="K361" s="92"/>
      <c r="L361" s="34" t="s">
        <v>10260</v>
      </c>
      <c r="M361" s="46" t="s">
        <v>10334</v>
      </c>
      <c r="N361" s="288"/>
      <c r="O361" s="145"/>
      <c r="P361" s="145"/>
      <c r="Q361" s="37"/>
      <c r="R361" s="145"/>
      <c r="S361" s="145"/>
      <c r="T361" s="313"/>
      <c r="U361" s="38"/>
      <c r="V361" s="38" t="s">
        <v>33</v>
      </c>
      <c r="W361" s="40"/>
      <c r="X361" s="40"/>
      <c r="Y361" s="349"/>
      <c r="Z361" s="313"/>
      <c r="AA361" s="313"/>
      <c r="AB361" s="313"/>
      <c r="AC361" s="313"/>
      <c r="AD361" s="313"/>
      <c r="AE361" s="313"/>
      <c r="AF361" s="313"/>
      <c r="AG361" s="313"/>
      <c r="AH361" s="313"/>
      <c r="AI361" s="313"/>
      <c r="AJ361" s="313"/>
      <c r="AK361" s="313"/>
      <c r="AL361" s="313"/>
      <c r="AM361" s="313"/>
      <c r="AN361" s="313"/>
      <c r="AO361" s="313"/>
      <c r="AP361" s="313"/>
      <c r="AQ361" s="313"/>
      <c r="AR361" s="313"/>
      <c r="AS361" s="313"/>
      <c r="AT361" s="313"/>
      <c r="AU361" s="313"/>
      <c r="AV361" s="313"/>
      <c r="AW361" s="313"/>
      <c r="AX361" s="313"/>
      <c r="AY361" s="313"/>
      <c r="AZ361" s="313"/>
      <c r="BA361" s="313"/>
      <c r="BB361" s="313"/>
      <c r="BC361" s="313"/>
      <c r="BD361" s="313"/>
      <c r="BE361" s="313"/>
      <c r="BF361" s="313"/>
      <c r="BG361" s="313"/>
      <c r="BH361" s="313"/>
      <c r="BI361" s="313"/>
      <c r="BJ361" s="313"/>
      <c r="BK361" s="313"/>
      <c r="BL361" s="313"/>
      <c r="BM361" s="313"/>
      <c r="BN361" s="313"/>
      <c r="BO361" s="313"/>
      <c r="BP361" s="313"/>
      <c r="BQ361" s="313"/>
    </row>
    <row r="362">
      <c r="A362" s="87" t="s">
        <v>10335</v>
      </c>
      <c r="B362" s="92"/>
      <c r="C362" s="30">
        <v>43994.0</v>
      </c>
      <c r="D362" s="92"/>
      <c r="E362" s="13" t="s">
        <v>41</v>
      </c>
      <c r="F362" s="13">
        <v>1.0</v>
      </c>
      <c r="G362" s="13">
        <v>3.0</v>
      </c>
      <c r="H362" s="50">
        <v>3.0</v>
      </c>
      <c r="I362" s="13" t="s">
        <v>33</v>
      </c>
      <c r="J362" s="13" t="s">
        <v>514</v>
      </c>
      <c r="K362" s="92"/>
      <c r="L362" s="123" t="s">
        <v>10196</v>
      </c>
      <c r="M362" s="106" t="s">
        <v>10336</v>
      </c>
      <c r="N362" s="288"/>
      <c r="O362" s="145"/>
      <c r="P362" s="145"/>
      <c r="Q362" s="37"/>
      <c r="R362" s="145"/>
      <c r="S362" s="145"/>
      <c r="T362" s="313"/>
      <c r="U362" s="38"/>
      <c r="V362" s="38" t="s">
        <v>33</v>
      </c>
      <c r="W362" s="40"/>
      <c r="X362" s="40"/>
      <c r="Y362" s="349"/>
      <c r="Z362" s="313"/>
      <c r="AA362" s="313"/>
      <c r="AB362" s="313"/>
      <c r="AC362" s="313"/>
      <c r="AD362" s="313"/>
      <c r="AE362" s="313"/>
      <c r="AF362" s="313"/>
      <c r="AG362" s="313"/>
      <c r="AH362" s="313"/>
      <c r="AI362" s="313"/>
      <c r="AJ362" s="313"/>
      <c r="AK362" s="313"/>
      <c r="AL362" s="313"/>
      <c r="AM362" s="313"/>
      <c r="AN362" s="313"/>
      <c r="AO362" s="313"/>
      <c r="AP362" s="313"/>
      <c r="AQ362" s="313"/>
      <c r="AR362" s="313"/>
      <c r="AS362" s="313"/>
      <c r="AT362" s="313"/>
      <c r="AU362" s="313"/>
      <c r="AV362" s="313"/>
      <c r="AW362" s="313"/>
      <c r="AX362" s="313"/>
      <c r="AY362" s="313"/>
      <c r="AZ362" s="313"/>
      <c r="BA362" s="313"/>
      <c r="BB362" s="313"/>
      <c r="BC362" s="313"/>
      <c r="BD362" s="313"/>
      <c r="BE362" s="313"/>
      <c r="BF362" s="313"/>
      <c r="BG362" s="313"/>
      <c r="BH362" s="313"/>
      <c r="BI362" s="313"/>
      <c r="BJ362" s="313"/>
      <c r="BK362" s="313"/>
      <c r="BL362" s="313"/>
      <c r="BM362" s="313"/>
      <c r="BN362" s="313"/>
      <c r="BO362" s="313"/>
      <c r="BP362" s="313"/>
      <c r="BQ362" s="313"/>
    </row>
    <row r="363">
      <c r="A363" s="87" t="s">
        <v>10337</v>
      </c>
      <c r="B363" s="92"/>
      <c r="C363" s="30">
        <v>43997.0</v>
      </c>
      <c r="D363" s="92"/>
      <c r="E363" s="13" t="s">
        <v>41</v>
      </c>
      <c r="F363" s="13">
        <v>1.0</v>
      </c>
      <c r="G363" s="13">
        <v>1.0</v>
      </c>
      <c r="H363" s="50">
        <v>1.0</v>
      </c>
      <c r="I363" s="13" t="s">
        <v>33</v>
      </c>
      <c r="J363" s="13" t="s">
        <v>147</v>
      </c>
      <c r="K363" s="92"/>
      <c r="L363" s="34" t="s">
        <v>10196</v>
      </c>
      <c r="M363" s="46" t="s">
        <v>10338</v>
      </c>
      <c r="N363" s="288"/>
      <c r="O363" s="145"/>
      <c r="P363" s="145"/>
      <c r="Q363" s="37"/>
      <c r="R363" s="145"/>
      <c r="S363" s="145"/>
      <c r="T363" s="313"/>
      <c r="U363" s="38"/>
      <c r="V363" s="38" t="s">
        <v>33</v>
      </c>
      <c r="W363" s="40"/>
      <c r="X363" s="40"/>
      <c r="Y363" s="349"/>
      <c r="Z363" s="313"/>
      <c r="AA363" s="313"/>
      <c r="AB363" s="313"/>
      <c r="AC363" s="313"/>
      <c r="AD363" s="313"/>
      <c r="AE363" s="313"/>
      <c r="AF363" s="313"/>
      <c r="AG363" s="313"/>
      <c r="AH363" s="313"/>
      <c r="AI363" s="313"/>
      <c r="AJ363" s="313"/>
      <c r="AK363" s="313"/>
      <c r="AL363" s="313"/>
      <c r="AM363" s="313"/>
      <c r="AN363" s="313"/>
      <c r="AO363" s="313"/>
      <c r="AP363" s="313"/>
      <c r="AQ363" s="313"/>
      <c r="AR363" s="313"/>
      <c r="AS363" s="313"/>
      <c r="AT363" s="313"/>
      <c r="AU363" s="313"/>
      <c r="AV363" s="313"/>
      <c r="AW363" s="313"/>
      <c r="AX363" s="313"/>
      <c r="AY363" s="313"/>
      <c r="AZ363" s="313"/>
      <c r="BA363" s="313"/>
      <c r="BB363" s="313"/>
      <c r="BC363" s="313"/>
      <c r="BD363" s="313"/>
      <c r="BE363" s="313"/>
      <c r="BF363" s="313"/>
      <c r="BG363" s="313"/>
      <c r="BH363" s="313"/>
      <c r="BI363" s="313"/>
      <c r="BJ363" s="313"/>
      <c r="BK363" s="313"/>
      <c r="BL363" s="313"/>
      <c r="BM363" s="313"/>
      <c r="BN363" s="313"/>
      <c r="BO363" s="313"/>
      <c r="BP363" s="313"/>
      <c r="BQ363" s="313"/>
    </row>
    <row r="364">
      <c r="A364" s="87" t="s">
        <v>10339</v>
      </c>
      <c r="B364" s="92"/>
      <c r="C364" s="30">
        <v>43998.0</v>
      </c>
      <c r="D364" s="92"/>
      <c r="E364" s="13" t="s">
        <v>41</v>
      </c>
      <c r="F364" s="13">
        <v>1.0</v>
      </c>
      <c r="G364" s="13">
        <v>1.0</v>
      </c>
      <c r="H364" s="50">
        <v>1.0</v>
      </c>
      <c r="I364" s="13" t="s">
        <v>33</v>
      </c>
      <c r="J364" s="13" t="s">
        <v>93</v>
      </c>
      <c r="K364" s="92"/>
      <c r="L364" s="34" t="s">
        <v>9433</v>
      </c>
      <c r="M364" s="46" t="s">
        <v>10340</v>
      </c>
      <c r="N364" s="288"/>
      <c r="O364" s="145"/>
      <c r="P364" s="145"/>
      <c r="Q364" s="37"/>
      <c r="R364" s="145"/>
      <c r="S364" s="145"/>
      <c r="T364" s="313"/>
      <c r="U364" s="38"/>
      <c r="V364" s="38" t="s">
        <v>33</v>
      </c>
      <c r="W364" s="40"/>
      <c r="X364" s="40"/>
      <c r="Y364" s="349"/>
      <c r="Z364" s="313"/>
      <c r="AA364" s="313"/>
      <c r="AB364" s="313"/>
      <c r="AC364" s="313"/>
      <c r="AD364" s="313"/>
      <c r="AE364" s="313"/>
      <c r="AF364" s="313"/>
      <c r="AG364" s="313"/>
      <c r="AH364" s="313"/>
      <c r="AI364" s="313"/>
      <c r="AJ364" s="313"/>
      <c r="AK364" s="313"/>
      <c r="AL364" s="313"/>
      <c r="AM364" s="313"/>
      <c r="AN364" s="313"/>
      <c r="AO364" s="313"/>
      <c r="AP364" s="313"/>
      <c r="AQ364" s="313"/>
      <c r="AR364" s="313"/>
      <c r="AS364" s="313"/>
      <c r="AT364" s="313"/>
      <c r="AU364" s="313"/>
      <c r="AV364" s="313"/>
      <c r="AW364" s="313"/>
      <c r="AX364" s="313"/>
      <c r="AY364" s="313"/>
      <c r="AZ364" s="313"/>
      <c r="BA364" s="313"/>
      <c r="BB364" s="313"/>
      <c r="BC364" s="313"/>
      <c r="BD364" s="313"/>
      <c r="BE364" s="313"/>
      <c r="BF364" s="313"/>
      <c r="BG364" s="313"/>
      <c r="BH364" s="313"/>
      <c r="BI364" s="313"/>
      <c r="BJ364" s="313"/>
      <c r="BK364" s="313"/>
      <c r="BL364" s="313"/>
      <c r="BM364" s="313"/>
      <c r="BN364" s="313"/>
      <c r="BO364" s="313"/>
      <c r="BP364" s="313"/>
      <c r="BQ364" s="313"/>
    </row>
    <row r="365">
      <c r="A365" s="87" t="s">
        <v>10341</v>
      </c>
      <c r="B365" s="92"/>
      <c r="C365" s="30">
        <v>43999.0</v>
      </c>
      <c r="D365" s="92"/>
      <c r="E365" s="13" t="s">
        <v>41</v>
      </c>
      <c r="F365" s="13">
        <v>1.0</v>
      </c>
      <c r="G365" s="13" t="s">
        <v>32</v>
      </c>
      <c r="H365" s="50">
        <v>1.0</v>
      </c>
      <c r="I365" s="13" t="s">
        <v>33</v>
      </c>
      <c r="J365" s="13" t="s">
        <v>909</v>
      </c>
      <c r="K365" s="92"/>
      <c r="L365" s="34" t="s">
        <v>9439</v>
      </c>
      <c r="M365" s="46" t="s">
        <v>10342</v>
      </c>
      <c r="N365" s="288"/>
      <c r="O365" s="145"/>
      <c r="P365" s="145"/>
      <c r="Q365" s="37"/>
      <c r="R365" s="145"/>
      <c r="S365" s="145"/>
      <c r="T365" s="313"/>
      <c r="U365" s="38"/>
      <c r="V365" s="38" t="s">
        <v>33</v>
      </c>
      <c r="W365" s="40"/>
      <c r="X365" s="40"/>
      <c r="Y365" s="349"/>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3"/>
    </row>
    <row r="366">
      <c r="A366" s="87" t="s">
        <v>10343</v>
      </c>
      <c r="B366" s="92"/>
      <c r="C366" s="30">
        <v>43999.0</v>
      </c>
      <c r="D366" s="92"/>
      <c r="E366" s="13" t="s">
        <v>31</v>
      </c>
      <c r="F366" s="13">
        <v>1.0</v>
      </c>
      <c r="G366" s="13" t="s">
        <v>32</v>
      </c>
      <c r="H366" s="50">
        <v>1.0</v>
      </c>
      <c r="I366" s="13" t="s">
        <v>33</v>
      </c>
      <c r="J366" s="13" t="s">
        <v>147</v>
      </c>
      <c r="K366" s="92"/>
      <c r="L366" s="34" t="s">
        <v>10344</v>
      </c>
      <c r="M366" s="46" t="s">
        <v>10345</v>
      </c>
      <c r="N366" s="288"/>
      <c r="O366" s="145"/>
      <c r="P366" s="145"/>
      <c r="Q366" s="37"/>
      <c r="R366" s="145"/>
      <c r="S366" s="145"/>
      <c r="T366" s="313"/>
      <c r="U366" s="38"/>
      <c r="V366" s="38" t="s">
        <v>3919</v>
      </c>
      <c r="W366" s="40"/>
      <c r="X366" s="39" t="s">
        <v>10346</v>
      </c>
      <c r="Y366" s="349"/>
      <c r="Z366" s="313"/>
      <c r="AA366" s="313"/>
      <c r="AB366" s="313"/>
      <c r="AC366" s="313"/>
      <c r="AD366" s="313"/>
      <c r="AE366" s="313"/>
      <c r="AF366" s="313"/>
      <c r="AG366" s="313"/>
      <c r="AH366" s="313"/>
      <c r="AI366" s="313"/>
      <c r="AJ366" s="313"/>
      <c r="AK366" s="313"/>
      <c r="AL366" s="313"/>
      <c r="AM366" s="313"/>
      <c r="AN366" s="313"/>
      <c r="AO366" s="313"/>
      <c r="AP366" s="313"/>
      <c r="AQ366" s="313"/>
      <c r="AR366" s="313"/>
      <c r="AS366" s="313"/>
      <c r="AT366" s="313"/>
      <c r="AU366" s="313"/>
      <c r="AV366" s="313"/>
      <c r="AW366" s="313"/>
      <c r="AX366" s="313"/>
      <c r="AY366" s="313"/>
      <c r="AZ366" s="313"/>
      <c r="BA366" s="313"/>
      <c r="BB366" s="313"/>
      <c r="BC366" s="313"/>
      <c r="BD366" s="313"/>
      <c r="BE366" s="313"/>
      <c r="BF366" s="313"/>
      <c r="BG366" s="313"/>
      <c r="BH366" s="313"/>
      <c r="BI366" s="313"/>
      <c r="BJ366" s="313"/>
      <c r="BK366" s="313"/>
      <c r="BL366" s="313"/>
      <c r="BM366" s="313"/>
      <c r="BN366" s="313"/>
      <c r="BO366" s="313"/>
      <c r="BP366" s="313"/>
      <c r="BQ366" s="313"/>
    </row>
    <row r="367">
      <c r="A367" s="87" t="s">
        <v>10347</v>
      </c>
      <c r="B367" s="92"/>
      <c r="C367" s="30">
        <v>43999.0</v>
      </c>
      <c r="D367" s="92"/>
      <c r="E367" s="13" t="s">
        <v>31</v>
      </c>
      <c r="F367" s="13">
        <v>1.0</v>
      </c>
      <c r="G367" s="13" t="s">
        <v>32</v>
      </c>
      <c r="H367" s="50">
        <v>1.0</v>
      </c>
      <c r="I367" s="13" t="s">
        <v>33</v>
      </c>
      <c r="J367" s="13" t="s">
        <v>147</v>
      </c>
      <c r="K367" s="92"/>
      <c r="L367" s="34" t="s">
        <v>10348</v>
      </c>
      <c r="M367" s="46" t="s">
        <v>10349</v>
      </c>
      <c r="N367" s="288"/>
      <c r="O367" s="145"/>
      <c r="P367" s="145"/>
      <c r="Q367" s="37"/>
      <c r="R367" s="145"/>
      <c r="S367" s="145"/>
      <c r="T367" s="313"/>
      <c r="U367" s="38"/>
      <c r="V367" s="38" t="s">
        <v>3919</v>
      </c>
      <c r="W367" s="40"/>
      <c r="X367" s="39" t="s">
        <v>10350</v>
      </c>
      <c r="Y367" s="349"/>
      <c r="Z367" s="313"/>
      <c r="AA367" s="313"/>
      <c r="AB367" s="313"/>
      <c r="AC367" s="313"/>
      <c r="AD367" s="313"/>
      <c r="AE367" s="313"/>
      <c r="AF367" s="313"/>
      <c r="AG367" s="313"/>
      <c r="AH367" s="313"/>
      <c r="AI367" s="313"/>
      <c r="AJ367" s="313"/>
      <c r="AK367" s="313"/>
      <c r="AL367" s="313"/>
      <c r="AM367" s="313"/>
      <c r="AN367" s="313"/>
      <c r="AO367" s="313"/>
      <c r="AP367" s="313"/>
      <c r="AQ367" s="313"/>
      <c r="AR367" s="313"/>
      <c r="AS367" s="313"/>
      <c r="AT367" s="313"/>
      <c r="AU367" s="313"/>
      <c r="AV367" s="313"/>
      <c r="AW367" s="313"/>
      <c r="AX367" s="313"/>
      <c r="AY367" s="313"/>
      <c r="AZ367" s="313"/>
      <c r="BA367" s="313"/>
      <c r="BB367" s="313"/>
      <c r="BC367" s="313"/>
      <c r="BD367" s="313"/>
      <c r="BE367" s="313"/>
      <c r="BF367" s="313"/>
      <c r="BG367" s="313"/>
      <c r="BH367" s="313"/>
      <c r="BI367" s="313"/>
      <c r="BJ367" s="313"/>
      <c r="BK367" s="313"/>
      <c r="BL367" s="313"/>
      <c r="BM367" s="313"/>
      <c r="BN367" s="313"/>
      <c r="BO367" s="313"/>
      <c r="BP367" s="313"/>
      <c r="BQ367" s="313"/>
    </row>
    <row r="368">
      <c r="A368" s="87" t="s">
        <v>10351</v>
      </c>
      <c r="B368" s="92"/>
      <c r="C368" s="30">
        <v>43999.0</v>
      </c>
      <c r="D368" s="92"/>
      <c r="E368" s="13" t="s">
        <v>31</v>
      </c>
      <c r="F368" s="13">
        <v>1.0</v>
      </c>
      <c r="G368" s="13" t="s">
        <v>32</v>
      </c>
      <c r="H368" s="50">
        <v>1.0</v>
      </c>
      <c r="I368" s="13" t="s">
        <v>33</v>
      </c>
      <c r="J368" s="13" t="s">
        <v>147</v>
      </c>
      <c r="K368" s="92"/>
      <c r="L368" s="34" t="s">
        <v>10352</v>
      </c>
      <c r="M368" s="46" t="s">
        <v>10349</v>
      </c>
      <c r="N368" s="288"/>
      <c r="O368" s="145"/>
      <c r="P368" s="145"/>
      <c r="Q368" s="37"/>
      <c r="R368" s="145"/>
      <c r="S368" s="145"/>
      <c r="T368" s="313"/>
      <c r="U368" s="38"/>
      <c r="V368" s="38" t="s">
        <v>3919</v>
      </c>
      <c r="W368" s="40"/>
      <c r="X368" s="39" t="s">
        <v>10353</v>
      </c>
      <c r="Y368" s="349"/>
      <c r="Z368" s="313"/>
      <c r="AA368" s="313"/>
      <c r="AB368" s="313"/>
      <c r="AC368" s="313"/>
      <c r="AD368" s="313"/>
      <c r="AE368" s="313"/>
      <c r="AF368" s="313"/>
      <c r="AG368" s="313"/>
      <c r="AH368" s="313"/>
      <c r="AI368" s="313"/>
      <c r="AJ368" s="313"/>
      <c r="AK368" s="313"/>
      <c r="AL368" s="313"/>
      <c r="AM368" s="313"/>
      <c r="AN368" s="313"/>
      <c r="AO368" s="313"/>
      <c r="AP368" s="313"/>
      <c r="AQ368" s="313"/>
      <c r="AR368" s="313"/>
      <c r="AS368" s="313"/>
      <c r="AT368" s="313"/>
      <c r="AU368" s="313"/>
      <c r="AV368" s="313"/>
      <c r="AW368" s="313"/>
      <c r="AX368" s="313"/>
      <c r="AY368" s="313"/>
      <c r="AZ368" s="313"/>
      <c r="BA368" s="313"/>
      <c r="BB368" s="313"/>
      <c r="BC368" s="313"/>
      <c r="BD368" s="313"/>
      <c r="BE368" s="313"/>
      <c r="BF368" s="313"/>
      <c r="BG368" s="313"/>
      <c r="BH368" s="313"/>
      <c r="BI368" s="313"/>
      <c r="BJ368" s="313"/>
      <c r="BK368" s="313"/>
      <c r="BL368" s="313"/>
      <c r="BM368" s="313"/>
      <c r="BN368" s="313"/>
      <c r="BO368" s="313"/>
      <c r="BP368" s="313"/>
      <c r="BQ368" s="313"/>
    </row>
    <row r="369">
      <c r="A369" s="87" t="s">
        <v>10354</v>
      </c>
      <c r="B369" s="92"/>
      <c r="C369" s="30">
        <v>44000.0</v>
      </c>
      <c r="D369" s="92"/>
      <c r="E369" s="13" t="s">
        <v>41</v>
      </c>
      <c r="F369" s="13">
        <v>1.0</v>
      </c>
      <c r="G369" s="13" t="s">
        <v>32</v>
      </c>
      <c r="H369" s="50">
        <v>1.0</v>
      </c>
      <c r="I369" s="13" t="s">
        <v>33</v>
      </c>
      <c r="J369" s="13" t="s">
        <v>147</v>
      </c>
      <c r="K369" s="92"/>
      <c r="L369" s="34" t="s">
        <v>7593</v>
      </c>
      <c r="M369" s="46" t="s">
        <v>10355</v>
      </c>
      <c r="N369" s="288"/>
      <c r="O369" s="145"/>
      <c r="P369" s="145"/>
      <c r="Q369" s="37"/>
      <c r="R369" s="145"/>
      <c r="S369" s="145"/>
      <c r="T369" s="313"/>
      <c r="U369" s="38"/>
      <c r="V369" s="38" t="s">
        <v>33</v>
      </c>
      <c r="W369" s="40"/>
      <c r="X369" s="40"/>
      <c r="Y369" s="349"/>
      <c r="Z369" s="313"/>
      <c r="AA369" s="313"/>
      <c r="AB369" s="313"/>
      <c r="AC369" s="313"/>
      <c r="AD369" s="313"/>
      <c r="AE369" s="313"/>
      <c r="AF369" s="313"/>
      <c r="AG369" s="313"/>
      <c r="AH369" s="313"/>
      <c r="AI369" s="313"/>
      <c r="AJ369" s="313"/>
      <c r="AK369" s="313"/>
      <c r="AL369" s="313"/>
      <c r="AM369" s="313"/>
      <c r="AN369" s="313"/>
      <c r="AO369" s="313"/>
      <c r="AP369" s="313"/>
      <c r="AQ369" s="313"/>
      <c r="AR369" s="313"/>
      <c r="AS369" s="313"/>
      <c r="AT369" s="313"/>
      <c r="AU369" s="313"/>
      <c r="AV369" s="313"/>
      <c r="AW369" s="313"/>
      <c r="AX369" s="313"/>
      <c r="AY369" s="313"/>
      <c r="AZ369" s="313"/>
      <c r="BA369" s="313"/>
      <c r="BB369" s="313"/>
      <c r="BC369" s="313"/>
      <c r="BD369" s="313"/>
      <c r="BE369" s="313"/>
      <c r="BF369" s="313"/>
      <c r="BG369" s="313"/>
      <c r="BH369" s="313"/>
      <c r="BI369" s="313"/>
      <c r="BJ369" s="313"/>
      <c r="BK369" s="313"/>
      <c r="BL369" s="313"/>
      <c r="BM369" s="313"/>
      <c r="BN369" s="313"/>
      <c r="BO369" s="313"/>
      <c r="BP369" s="313"/>
      <c r="BQ369" s="313"/>
    </row>
    <row r="370">
      <c r="A370" s="87" t="s">
        <v>10356</v>
      </c>
      <c r="B370" s="92"/>
      <c r="C370" s="30">
        <v>44000.0</v>
      </c>
      <c r="D370" s="92"/>
      <c r="E370" s="13" t="s">
        <v>41</v>
      </c>
      <c r="F370" s="13">
        <v>1.0</v>
      </c>
      <c r="G370" s="13">
        <v>1.0</v>
      </c>
      <c r="H370" s="50">
        <v>1.0</v>
      </c>
      <c r="I370" s="13" t="s">
        <v>33</v>
      </c>
      <c r="J370" s="13" t="s">
        <v>144</v>
      </c>
      <c r="K370" s="92"/>
      <c r="L370" s="34" t="s">
        <v>9380</v>
      </c>
      <c r="M370" s="106" t="s">
        <v>10357</v>
      </c>
      <c r="N370" s="288"/>
      <c r="O370" s="145"/>
      <c r="P370" s="145"/>
      <c r="Q370" s="37"/>
      <c r="R370" s="145"/>
      <c r="S370" s="145"/>
      <c r="T370" s="313"/>
      <c r="U370" s="38"/>
      <c r="V370" s="38" t="s">
        <v>33</v>
      </c>
      <c r="W370" s="40"/>
      <c r="X370" s="40"/>
      <c r="Y370" s="349"/>
      <c r="Z370" s="313"/>
      <c r="AA370" s="313"/>
      <c r="AB370" s="313"/>
      <c r="AC370" s="313"/>
      <c r="AD370" s="313"/>
      <c r="AE370" s="313"/>
      <c r="AF370" s="313"/>
      <c r="AG370" s="313"/>
      <c r="AH370" s="313"/>
      <c r="AI370" s="313"/>
      <c r="AJ370" s="313"/>
      <c r="AK370" s="313"/>
      <c r="AL370" s="313"/>
      <c r="AM370" s="313"/>
      <c r="AN370" s="313"/>
      <c r="AO370" s="313"/>
      <c r="AP370" s="313"/>
      <c r="AQ370" s="313"/>
      <c r="AR370" s="313"/>
      <c r="AS370" s="313"/>
      <c r="AT370" s="313"/>
      <c r="AU370" s="313"/>
      <c r="AV370" s="313"/>
      <c r="AW370" s="313"/>
      <c r="AX370" s="313"/>
      <c r="AY370" s="313"/>
      <c r="AZ370" s="313"/>
      <c r="BA370" s="313"/>
      <c r="BB370" s="313"/>
      <c r="BC370" s="313"/>
      <c r="BD370" s="313"/>
      <c r="BE370" s="313"/>
      <c r="BF370" s="313"/>
      <c r="BG370" s="313"/>
      <c r="BH370" s="313"/>
      <c r="BI370" s="313"/>
      <c r="BJ370" s="313"/>
      <c r="BK370" s="313"/>
      <c r="BL370" s="313"/>
      <c r="BM370" s="313"/>
      <c r="BN370" s="313"/>
      <c r="BO370" s="313"/>
      <c r="BP370" s="313"/>
      <c r="BQ370" s="313"/>
    </row>
    <row r="371">
      <c r="A371" s="87" t="s">
        <v>10358</v>
      </c>
      <c r="B371" s="92"/>
      <c r="C371" s="30">
        <v>44010.0</v>
      </c>
      <c r="D371" s="92"/>
      <c r="E371" s="13" t="s">
        <v>41</v>
      </c>
      <c r="F371" s="13">
        <v>1.0</v>
      </c>
      <c r="G371" s="13" t="s">
        <v>32</v>
      </c>
      <c r="H371" s="50">
        <v>1.0</v>
      </c>
      <c r="I371" s="13" t="s">
        <v>33</v>
      </c>
      <c r="J371" s="13" t="s">
        <v>184</v>
      </c>
      <c r="K371" s="92"/>
      <c r="L371" s="34" t="s">
        <v>7593</v>
      </c>
      <c r="M371" s="46" t="s">
        <v>8330</v>
      </c>
      <c r="N371" s="288"/>
      <c r="O371" s="145"/>
      <c r="P371" s="145"/>
      <c r="Q371" s="37"/>
      <c r="R371" s="145"/>
      <c r="S371" s="145"/>
      <c r="T371" s="313"/>
      <c r="U371" s="38"/>
      <c r="V371" s="38" t="s">
        <v>33</v>
      </c>
      <c r="W371" s="40"/>
      <c r="X371" s="40"/>
      <c r="Y371" s="349"/>
      <c r="Z371" s="313"/>
      <c r="AA371" s="313"/>
      <c r="AB371" s="313"/>
      <c r="AC371" s="313"/>
      <c r="AD371" s="313"/>
      <c r="AE371" s="313"/>
      <c r="AF371" s="313"/>
      <c r="AG371" s="313"/>
      <c r="AH371" s="313"/>
      <c r="AI371" s="313"/>
      <c r="AJ371" s="313"/>
      <c r="AK371" s="313"/>
      <c r="AL371" s="313"/>
      <c r="AM371" s="313"/>
      <c r="AN371" s="313"/>
      <c r="AO371" s="313"/>
      <c r="AP371" s="313"/>
      <c r="AQ371" s="313"/>
      <c r="AR371" s="313"/>
      <c r="AS371" s="313"/>
      <c r="AT371" s="313"/>
      <c r="AU371" s="313"/>
      <c r="AV371" s="313"/>
      <c r="AW371" s="313"/>
      <c r="AX371" s="313"/>
      <c r="AY371" s="313"/>
      <c r="AZ371" s="313"/>
      <c r="BA371" s="313"/>
      <c r="BB371" s="313"/>
      <c r="BC371" s="313"/>
      <c r="BD371" s="313"/>
      <c r="BE371" s="313"/>
      <c r="BF371" s="313"/>
      <c r="BG371" s="313"/>
      <c r="BH371" s="313"/>
      <c r="BI371" s="313"/>
      <c r="BJ371" s="313"/>
      <c r="BK371" s="313"/>
      <c r="BL371" s="313"/>
      <c r="BM371" s="313"/>
      <c r="BN371" s="313"/>
      <c r="BO371" s="313"/>
      <c r="BP371" s="313"/>
      <c r="BQ371" s="313"/>
    </row>
    <row r="372">
      <c r="A372" s="87" t="s">
        <v>10359</v>
      </c>
      <c r="B372" s="92"/>
      <c r="C372" s="30">
        <v>44010.0</v>
      </c>
      <c r="D372" s="92"/>
      <c r="E372" s="13" t="s">
        <v>41</v>
      </c>
      <c r="F372" s="13">
        <v>1.0</v>
      </c>
      <c r="G372" s="13" t="s">
        <v>32</v>
      </c>
      <c r="H372" s="50">
        <v>1.0</v>
      </c>
      <c r="I372" s="13" t="s">
        <v>33</v>
      </c>
      <c r="J372" s="13" t="s">
        <v>184</v>
      </c>
      <c r="K372" s="92"/>
      <c r="L372" s="34" t="s">
        <v>10260</v>
      </c>
      <c r="M372" s="46" t="s">
        <v>8332</v>
      </c>
      <c r="N372" s="288"/>
      <c r="O372" s="145"/>
      <c r="P372" s="145"/>
      <c r="Q372" s="37"/>
      <c r="R372" s="145"/>
      <c r="S372" s="145"/>
      <c r="T372" s="313"/>
      <c r="U372" s="38"/>
      <c r="V372" s="38" t="s">
        <v>33</v>
      </c>
      <c r="W372" s="40"/>
      <c r="X372" s="40"/>
      <c r="Y372" s="349"/>
      <c r="Z372" s="313"/>
      <c r="AA372" s="313"/>
      <c r="AB372" s="313"/>
      <c r="AC372" s="313"/>
      <c r="AD372" s="313"/>
      <c r="AE372" s="313"/>
      <c r="AF372" s="313"/>
      <c r="AG372" s="313"/>
      <c r="AH372" s="313"/>
      <c r="AI372" s="313"/>
      <c r="AJ372" s="313"/>
      <c r="AK372" s="313"/>
      <c r="AL372" s="313"/>
      <c r="AM372" s="313"/>
      <c r="AN372" s="313"/>
      <c r="AO372" s="313"/>
      <c r="AP372" s="313"/>
      <c r="AQ372" s="313"/>
      <c r="AR372" s="313"/>
      <c r="AS372" s="313"/>
      <c r="AT372" s="313"/>
      <c r="AU372" s="313"/>
      <c r="AV372" s="313"/>
      <c r="AW372" s="313"/>
      <c r="AX372" s="313"/>
      <c r="AY372" s="313"/>
      <c r="AZ372" s="313"/>
      <c r="BA372" s="313"/>
      <c r="BB372" s="313"/>
      <c r="BC372" s="313"/>
      <c r="BD372" s="313"/>
      <c r="BE372" s="313"/>
      <c r="BF372" s="313"/>
      <c r="BG372" s="313"/>
      <c r="BH372" s="313"/>
      <c r="BI372" s="313"/>
      <c r="BJ372" s="313"/>
      <c r="BK372" s="313"/>
      <c r="BL372" s="313"/>
      <c r="BM372" s="313"/>
      <c r="BN372" s="313"/>
      <c r="BO372" s="313"/>
      <c r="BP372" s="313"/>
      <c r="BQ372" s="313"/>
    </row>
    <row r="373">
      <c r="A373" s="87" t="s">
        <v>10360</v>
      </c>
      <c r="B373" s="92"/>
      <c r="C373" s="30">
        <v>44010.0</v>
      </c>
      <c r="D373" s="92"/>
      <c r="E373" s="13" t="s">
        <v>41</v>
      </c>
      <c r="F373" s="13">
        <v>1.0</v>
      </c>
      <c r="G373" s="13" t="s">
        <v>32</v>
      </c>
      <c r="H373" s="50">
        <v>1.0</v>
      </c>
      <c r="I373" s="13" t="s">
        <v>33</v>
      </c>
      <c r="J373" s="13" t="s">
        <v>184</v>
      </c>
      <c r="K373" s="92"/>
      <c r="L373" s="34" t="s">
        <v>7593</v>
      </c>
      <c r="M373" s="106" t="s">
        <v>8332</v>
      </c>
      <c r="N373" s="288"/>
      <c r="O373" s="145"/>
      <c r="P373" s="145"/>
      <c r="Q373" s="37"/>
      <c r="R373" s="145"/>
      <c r="S373" s="145"/>
      <c r="T373" s="313"/>
      <c r="U373" s="38"/>
      <c r="V373" s="38" t="s">
        <v>33</v>
      </c>
      <c r="W373" s="40"/>
      <c r="X373" s="40"/>
      <c r="Y373" s="349"/>
      <c r="Z373" s="313"/>
      <c r="AA373" s="313"/>
      <c r="AB373" s="313"/>
      <c r="AC373" s="313"/>
      <c r="AD373" s="313"/>
      <c r="AE373" s="313"/>
      <c r="AF373" s="313"/>
      <c r="AG373" s="313"/>
      <c r="AH373" s="313"/>
      <c r="AI373" s="313"/>
      <c r="AJ373" s="313"/>
      <c r="AK373" s="313"/>
      <c r="AL373" s="313"/>
      <c r="AM373" s="313"/>
      <c r="AN373" s="313"/>
      <c r="AO373" s="313"/>
      <c r="AP373" s="313"/>
      <c r="AQ373" s="313"/>
      <c r="AR373" s="313"/>
      <c r="AS373" s="313"/>
      <c r="AT373" s="313"/>
      <c r="AU373" s="313"/>
      <c r="AV373" s="313"/>
      <c r="AW373" s="313"/>
      <c r="AX373" s="313"/>
      <c r="AY373" s="313"/>
      <c r="AZ373" s="313"/>
      <c r="BA373" s="313"/>
      <c r="BB373" s="313"/>
      <c r="BC373" s="313"/>
      <c r="BD373" s="313"/>
      <c r="BE373" s="313"/>
      <c r="BF373" s="313"/>
      <c r="BG373" s="313"/>
      <c r="BH373" s="313"/>
      <c r="BI373" s="313"/>
      <c r="BJ373" s="313"/>
      <c r="BK373" s="313"/>
      <c r="BL373" s="313"/>
      <c r="BM373" s="313"/>
      <c r="BN373" s="313"/>
      <c r="BO373" s="313"/>
      <c r="BP373" s="313"/>
      <c r="BQ373" s="313"/>
    </row>
    <row r="374">
      <c r="A374" s="87" t="s">
        <v>10361</v>
      </c>
      <c r="B374" s="92"/>
      <c r="C374" s="30">
        <v>44010.0</v>
      </c>
      <c r="D374" s="92"/>
      <c r="E374" s="13" t="s">
        <v>41</v>
      </c>
      <c r="F374" s="13">
        <v>1.0</v>
      </c>
      <c r="G374" s="13" t="s">
        <v>32</v>
      </c>
      <c r="H374" s="50">
        <v>1.0</v>
      </c>
      <c r="I374" s="13" t="s">
        <v>33</v>
      </c>
      <c r="J374" s="13" t="s">
        <v>184</v>
      </c>
      <c r="K374" s="92"/>
      <c r="L374" s="34" t="s">
        <v>7593</v>
      </c>
      <c r="M374" s="106" t="s">
        <v>8332</v>
      </c>
      <c r="N374" s="288"/>
      <c r="O374" s="145"/>
      <c r="P374" s="145"/>
      <c r="Q374" s="37"/>
      <c r="R374" s="145"/>
      <c r="S374" s="145"/>
      <c r="T374" s="313"/>
      <c r="U374" s="38"/>
      <c r="V374" s="38" t="s">
        <v>33</v>
      </c>
      <c r="W374" s="40"/>
      <c r="X374" s="40"/>
      <c r="Y374" s="349"/>
      <c r="Z374" s="313"/>
      <c r="AA374" s="313"/>
      <c r="AB374" s="313"/>
      <c r="AC374" s="313"/>
      <c r="AD374" s="313"/>
      <c r="AE374" s="313"/>
      <c r="AF374" s="313"/>
      <c r="AG374" s="313"/>
      <c r="AH374" s="313"/>
      <c r="AI374" s="313"/>
      <c r="AJ374" s="313"/>
      <c r="AK374" s="313"/>
      <c r="AL374" s="313"/>
      <c r="AM374" s="313"/>
      <c r="AN374" s="313"/>
      <c r="AO374" s="313"/>
      <c r="AP374" s="313"/>
      <c r="AQ374" s="313"/>
      <c r="AR374" s="313"/>
      <c r="AS374" s="313"/>
      <c r="AT374" s="313"/>
      <c r="AU374" s="313"/>
      <c r="AV374" s="313"/>
      <c r="AW374" s="313"/>
      <c r="AX374" s="313"/>
      <c r="AY374" s="313"/>
      <c r="AZ374" s="313"/>
      <c r="BA374" s="313"/>
      <c r="BB374" s="313"/>
      <c r="BC374" s="313"/>
      <c r="BD374" s="313"/>
      <c r="BE374" s="313"/>
      <c r="BF374" s="313"/>
      <c r="BG374" s="313"/>
      <c r="BH374" s="313"/>
      <c r="BI374" s="313"/>
      <c r="BJ374" s="313"/>
      <c r="BK374" s="313"/>
      <c r="BL374" s="313"/>
      <c r="BM374" s="313"/>
      <c r="BN374" s="313"/>
      <c r="BO374" s="313"/>
      <c r="BP374" s="313"/>
      <c r="BQ374" s="313"/>
    </row>
    <row r="375">
      <c r="A375" s="87" t="s">
        <v>10362</v>
      </c>
      <c r="B375" s="92"/>
      <c r="C375" s="30">
        <v>44010.0</v>
      </c>
      <c r="D375" s="92"/>
      <c r="E375" s="13" t="s">
        <v>41</v>
      </c>
      <c r="F375" s="13">
        <v>1.0</v>
      </c>
      <c r="G375" s="13" t="s">
        <v>32</v>
      </c>
      <c r="H375" s="50">
        <v>1.0</v>
      </c>
      <c r="I375" s="13" t="s">
        <v>33</v>
      </c>
      <c r="J375" s="13" t="s">
        <v>184</v>
      </c>
      <c r="K375" s="92"/>
      <c r="L375" s="34" t="s">
        <v>7593</v>
      </c>
      <c r="M375" s="106" t="s">
        <v>8332</v>
      </c>
      <c r="N375" s="288"/>
      <c r="O375" s="145"/>
      <c r="P375" s="145"/>
      <c r="Q375" s="37"/>
      <c r="R375" s="145"/>
      <c r="S375" s="145"/>
      <c r="T375" s="313"/>
      <c r="U375" s="38"/>
      <c r="V375" s="38" t="s">
        <v>33</v>
      </c>
      <c r="W375" s="40"/>
      <c r="X375" s="40"/>
      <c r="Y375" s="349"/>
      <c r="Z375" s="313"/>
      <c r="AA375" s="313"/>
      <c r="AB375" s="313"/>
      <c r="AC375" s="313"/>
      <c r="AD375" s="313"/>
      <c r="AE375" s="313"/>
      <c r="AF375" s="313"/>
      <c r="AG375" s="313"/>
      <c r="AH375" s="313"/>
      <c r="AI375" s="313"/>
      <c r="AJ375" s="313"/>
      <c r="AK375" s="313"/>
      <c r="AL375" s="313"/>
      <c r="AM375" s="313"/>
      <c r="AN375" s="313"/>
      <c r="AO375" s="313"/>
      <c r="AP375" s="313"/>
      <c r="AQ375" s="313"/>
      <c r="AR375" s="313"/>
      <c r="AS375" s="313"/>
      <c r="AT375" s="313"/>
      <c r="AU375" s="313"/>
      <c r="AV375" s="313"/>
      <c r="AW375" s="313"/>
      <c r="AX375" s="313"/>
      <c r="AY375" s="313"/>
      <c r="AZ375" s="313"/>
      <c r="BA375" s="313"/>
      <c r="BB375" s="313"/>
      <c r="BC375" s="313"/>
      <c r="BD375" s="313"/>
      <c r="BE375" s="313"/>
      <c r="BF375" s="313"/>
      <c r="BG375" s="313"/>
      <c r="BH375" s="313"/>
      <c r="BI375" s="313"/>
      <c r="BJ375" s="313"/>
      <c r="BK375" s="313"/>
      <c r="BL375" s="313"/>
      <c r="BM375" s="313"/>
      <c r="BN375" s="313"/>
      <c r="BO375" s="313"/>
      <c r="BP375" s="313"/>
      <c r="BQ375" s="313"/>
    </row>
    <row r="376">
      <c r="A376" s="87" t="s">
        <v>10363</v>
      </c>
      <c r="B376" s="92"/>
      <c r="C376" s="30">
        <v>44010.0</v>
      </c>
      <c r="D376" s="92"/>
      <c r="E376" s="13" t="s">
        <v>41</v>
      </c>
      <c r="F376" s="13">
        <v>1.0</v>
      </c>
      <c r="G376" s="13" t="s">
        <v>32</v>
      </c>
      <c r="H376" s="50">
        <v>1.0</v>
      </c>
      <c r="I376" s="13" t="s">
        <v>33</v>
      </c>
      <c r="J376" s="13" t="s">
        <v>184</v>
      </c>
      <c r="K376" s="92"/>
      <c r="L376" s="34" t="s">
        <v>7593</v>
      </c>
      <c r="M376" s="106" t="s">
        <v>8332</v>
      </c>
      <c r="N376" s="288"/>
      <c r="O376" s="145"/>
      <c r="P376" s="145"/>
      <c r="Q376" s="37"/>
      <c r="R376" s="145"/>
      <c r="S376" s="145"/>
      <c r="T376" s="313"/>
      <c r="U376" s="38"/>
      <c r="V376" s="38" t="s">
        <v>33</v>
      </c>
      <c r="W376" s="40"/>
      <c r="X376" s="40"/>
      <c r="Y376" s="349"/>
      <c r="Z376" s="313"/>
      <c r="AA376" s="313"/>
      <c r="AB376" s="313"/>
      <c r="AC376" s="313"/>
      <c r="AD376" s="313"/>
      <c r="AE376" s="313"/>
      <c r="AF376" s="313"/>
      <c r="AG376" s="313"/>
      <c r="AH376" s="313"/>
      <c r="AI376" s="313"/>
      <c r="AJ376" s="313"/>
      <c r="AK376" s="313"/>
      <c r="AL376" s="313"/>
      <c r="AM376" s="313"/>
      <c r="AN376" s="313"/>
      <c r="AO376" s="313"/>
      <c r="AP376" s="313"/>
      <c r="AQ376" s="313"/>
      <c r="AR376" s="313"/>
      <c r="AS376" s="313"/>
      <c r="AT376" s="313"/>
      <c r="AU376" s="313"/>
      <c r="AV376" s="313"/>
      <c r="AW376" s="313"/>
      <c r="AX376" s="313"/>
      <c r="AY376" s="313"/>
      <c r="AZ376" s="313"/>
      <c r="BA376" s="313"/>
      <c r="BB376" s="313"/>
      <c r="BC376" s="313"/>
      <c r="BD376" s="313"/>
      <c r="BE376" s="313"/>
      <c r="BF376" s="313"/>
      <c r="BG376" s="313"/>
      <c r="BH376" s="313"/>
      <c r="BI376" s="313"/>
      <c r="BJ376" s="313"/>
      <c r="BK376" s="313"/>
      <c r="BL376" s="313"/>
      <c r="BM376" s="313"/>
      <c r="BN376" s="313"/>
      <c r="BO376" s="313"/>
      <c r="BP376" s="313"/>
      <c r="BQ376" s="313"/>
    </row>
    <row r="377">
      <c r="A377" s="87" t="s">
        <v>10364</v>
      </c>
      <c r="B377" s="92"/>
      <c r="C377" s="30">
        <v>44010.0</v>
      </c>
      <c r="D377" s="92"/>
      <c r="E377" s="13" t="s">
        <v>41</v>
      </c>
      <c r="F377" s="13">
        <v>1.0</v>
      </c>
      <c r="G377" s="13" t="s">
        <v>32</v>
      </c>
      <c r="H377" s="50">
        <v>1.0</v>
      </c>
      <c r="I377" s="13" t="s">
        <v>33</v>
      </c>
      <c r="J377" s="13" t="s">
        <v>184</v>
      </c>
      <c r="K377" s="92"/>
      <c r="L377" s="34" t="s">
        <v>7593</v>
      </c>
      <c r="M377" s="106" t="s">
        <v>8332</v>
      </c>
      <c r="N377" s="288"/>
      <c r="O377" s="145"/>
      <c r="P377" s="145"/>
      <c r="Q377" s="37"/>
      <c r="R377" s="145"/>
      <c r="S377" s="145"/>
      <c r="T377" s="313"/>
      <c r="U377" s="38"/>
      <c r="V377" s="38" t="s">
        <v>33</v>
      </c>
      <c r="W377" s="40"/>
      <c r="X377" s="40"/>
      <c r="Y377" s="349"/>
      <c r="Z377" s="313"/>
      <c r="AA377" s="313"/>
      <c r="AB377" s="313"/>
      <c r="AC377" s="313"/>
      <c r="AD377" s="313"/>
      <c r="AE377" s="313"/>
      <c r="AF377" s="313"/>
      <c r="AG377" s="313"/>
      <c r="AH377" s="313"/>
      <c r="AI377" s="313"/>
      <c r="AJ377" s="313"/>
      <c r="AK377" s="313"/>
      <c r="AL377" s="313"/>
      <c r="AM377" s="313"/>
      <c r="AN377" s="313"/>
      <c r="AO377" s="313"/>
      <c r="AP377" s="313"/>
      <c r="AQ377" s="313"/>
      <c r="AR377" s="313"/>
      <c r="AS377" s="313"/>
      <c r="AT377" s="313"/>
      <c r="AU377" s="313"/>
      <c r="AV377" s="313"/>
      <c r="AW377" s="313"/>
      <c r="AX377" s="313"/>
      <c r="AY377" s="313"/>
      <c r="AZ377" s="313"/>
      <c r="BA377" s="313"/>
      <c r="BB377" s="313"/>
      <c r="BC377" s="313"/>
      <c r="BD377" s="313"/>
      <c r="BE377" s="313"/>
      <c r="BF377" s="313"/>
      <c r="BG377" s="313"/>
      <c r="BH377" s="313"/>
      <c r="BI377" s="313"/>
      <c r="BJ377" s="313"/>
      <c r="BK377" s="313"/>
      <c r="BL377" s="313"/>
      <c r="BM377" s="313"/>
      <c r="BN377" s="313"/>
      <c r="BO377" s="313"/>
      <c r="BP377" s="313"/>
      <c r="BQ377" s="313"/>
    </row>
    <row r="378">
      <c r="A378" s="87" t="s">
        <v>10365</v>
      </c>
      <c r="B378" s="92"/>
      <c r="C378" s="30">
        <v>44010.0</v>
      </c>
      <c r="D378" s="92"/>
      <c r="E378" s="13" t="s">
        <v>41</v>
      </c>
      <c r="F378" s="13">
        <v>1.0</v>
      </c>
      <c r="G378" s="13" t="s">
        <v>32</v>
      </c>
      <c r="H378" s="50">
        <v>1.0</v>
      </c>
      <c r="I378" s="13" t="s">
        <v>33</v>
      </c>
      <c r="J378" s="13" t="s">
        <v>184</v>
      </c>
      <c r="K378" s="92"/>
      <c r="L378" s="34" t="s">
        <v>10260</v>
      </c>
      <c r="M378" s="106" t="s">
        <v>8332</v>
      </c>
      <c r="N378" s="288"/>
      <c r="O378" s="145"/>
      <c r="P378" s="145"/>
      <c r="Q378" s="37"/>
      <c r="R378" s="145"/>
      <c r="S378" s="145"/>
      <c r="T378" s="313"/>
      <c r="U378" s="38"/>
      <c r="V378" s="38" t="s">
        <v>33</v>
      </c>
      <c r="W378" s="40"/>
      <c r="X378" s="40"/>
      <c r="Y378" s="349"/>
      <c r="Z378" s="313"/>
      <c r="AA378" s="313"/>
      <c r="AB378" s="313"/>
      <c r="AC378" s="313"/>
      <c r="AD378" s="313"/>
      <c r="AE378" s="313"/>
      <c r="AF378" s="313"/>
      <c r="AG378" s="313"/>
      <c r="AH378" s="313"/>
      <c r="AI378" s="313"/>
      <c r="AJ378" s="313"/>
      <c r="AK378" s="313"/>
      <c r="AL378" s="313"/>
      <c r="AM378" s="313"/>
      <c r="AN378" s="313"/>
      <c r="AO378" s="313"/>
      <c r="AP378" s="313"/>
      <c r="AQ378" s="313"/>
      <c r="AR378" s="313"/>
      <c r="AS378" s="313"/>
      <c r="AT378" s="313"/>
      <c r="AU378" s="313"/>
      <c r="AV378" s="313"/>
      <c r="AW378" s="313"/>
      <c r="AX378" s="313"/>
      <c r="AY378" s="313"/>
      <c r="AZ378" s="313"/>
      <c r="BA378" s="313"/>
      <c r="BB378" s="313"/>
      <c r="BC378" s="313"/>
      <c r="BD378" s="313"/>
      <c r="BE378" s="313"/>
      <c r="BF378" s="313"/>
      <c r="BG378" s="313"/>
      <c r="BH378" s="313"/>
      <c r="BI378" s="313"/>
      <c r="BJ378" s="313"/>
      <c r="BK378" s="313"/>
      <c r="BL378" s="313"/>
      <c r="BM378" s="313"/>
      <c r="BN378" s="313"/>
      <c r="BO378" s="313"/>
      <c r="BP378" s="313"/>
      <c r="BQ378" s="313"/>
    </row>
    <row r="379">
      <c r="A379" s="87" t="s">
        <v>10366</v>
      </c>
      <c r="B379" s="92"/>
      <c r="C379" s="30">
        <v>44010.0</v>
      </c>
      <c r="D379" s="92"/>
      <c r="E379" s="13" t="s">
        <v>41</v>
      </c>
      <c r="F379" s="13">
        <v>1.0</v>
      </c>
      <c r="G379" s="13" t="s">
        <v>32</v>
      </c>
      <c r="H379" s="50">
        <v>1.0</v>
      </c>
      <c r="I379" s="13" t="s">
        <v>33</v>
      </c>
      <c r="J379" s="13" t="s">
        <v>184</v>
      </c>
      <c r="K379" s="92"/>
      <c r="L379" s="34" t="s">
        <v>7593</v>
      </c>
      <c r="M379" s="106" t="s">
        <v>8332</v>
      </c>
      <c r="N379" s="288"/>
      <c r="O379" s="145"/>
      <c r="P379" s="145"/>
      <c r="Q379" s="37"/>
      <c r="R379" s="145"/>
      <c r="S379" s="145"/>
      <c r="T379" s="313"/>
      <c r="U379" s="38"/>
      <c r="V379" s="38" t="s">
        <v>33</v>
      </c>
      <c r="W379" s="40"/>
      <c r="X379" s="40"/>
      <c r="Y379" s="349"/>
      <c r="Z379" s="313"/>
      <c r="AA379" s="313"/>
      <c r="AB379" s="313"/>
      <c r="AC379" s="313"/>
      <c r="AD379" s="313"/>
      <c r="AE379" s="313"/>
      <c r="AF379" s="313"/>
      <c r="AG379" s="313"/>
      <c r="AH379" s="313"/>
      <c r="AI379" s="313"/>
      <c r="AJ379" s="313"/>
      <c r="AK379" s="313"/>
      <c r="AL379" s="313"/>
      <c r="AM379" s="313"/>
      <c r="AN379" s="313"/>
      <c r="AO379" s="313"/>
      <c r="AP379" s="313"/>
      <c r="AQ379" s="313"/>
      <c r="AR379" s="313"/>
      <c r="AS379" s="313"/>
      <c r="AT379" s="313"/>
      <c r="AU379" s="313"/>
      <c r="AV379" s="313"/>
      <c r="AW379" s="313"/>
      <c r="AX379" s="313"/>
      <c r="AY379" s="313"/>
      <c r="AZ379" s="313"/>
      <c r="BA379" s="313"/>
      <c r="BB379" s="313"/>
      <c r="BC379" s="313"/>
      <c r="BD379" s="313"/>
      <c r="BE379" s="313"/>
      <c r="BF379" s="313"/>
      <c r="BG379" s="313"/>
      <c r="BH379" s="313"/>
      <c r="BI379" s="313"/>
      <c r="BJ379" s="313"/>
      <c r="BK379" s="313"/>
      <c r="BL379" s="313"/>
      <c r="BM379" s="313"/>
      <c r="BN379" s="313"/>
      <c r="BO379" s="313"/>
      <c r="BP379" s="313"/>
      <c r="BQ379" s="313"/>
    </row>
    <row r="380">
      <c r="A380" s="87" t="s">
        <v>10367</v>
      </c>
      <c r="B380" s="92"/>
      <c r="C380" s="30">
        <v>44010.0</v>
      </c>
      <c r="D380" s="92"/>
      <c r="E380" s="13" t="s">
        <v>41</v>
      </c>
      <c r="F380" s="13">
        <v>1.0</v>
      </c>
      <c r="G380" s="13" t="s">
        <v>32</v>
      </c>
      <c r="H380" s="50">
        <v>1.0</v>
      </c>
      <c r="I380" s="13" t="s">
        <v>33</v>
      </c>
      <c r="J380" s="13" t="s">
        <v>184</v>
      </c>
      <c r="K380" s="92"/>
      <c r="L380" s="34" t="s">
        <v>7593</v>
      </c>
      <c r="M380" s="106" t="s">
        <v>8332</v>
      </c>
      <c r="N380" s="288"/>
      <c r="O380" s="145"/>
      <c r="P380" s="145"/>
      <c r="Q380" s="37"/>
      <c r="R380" s="145"/>
      <c r="S380" s="145"/>
      <c r="T380" s="313"/>
      <c r="U380" s="38"/>
      <c r="V380" s="38" t="s">
        <v>33</v>
      </c>
      <c r="W380" s="40"/>
      <c r="X380" s="40"/>
      <c r="Y380" s="349"/>
      <c r="Z380" s="313"/>
      <c r="AA380" s="313"/>
      <c r="AB380" s="313"/>
      <c r="AC380" s="313"/>
      <c r="AD380" s="313"/>
      <c r="AE380" s="313"/>
      <c r="AF380" s="313"/>
      <c r="AG380" s="313"/>
      <c r="AH380" s="313"/>
      <c r="AI380" s="313"/>
      <c r="AJ380" s="313"/>
      <c r="AK380" s="313"/>
      <c r="AL380" s="313"/>
      <c r="AM380" s="313"/>
      <c r="AN380" s="313"/>
      <c r="AO380" s="313"/>
      <c r="AP380" s="313"/>
      <c r="AQ380" s="313"/>
      <c r="AR380" s="313"/>
      <c r="AS380" s="313"/>
      <c r="AT380" s="313"/>
      <c r="AU380" s="313"/>
      <c r="AV380" s="313"/>
      <c r="AW380" s="313"/>
      <c r="AX380" s="313"/>
      <c r="AY380" s="313"/>
      <c r="AZ380" s="313"/>
      <c r="BA380" s="313"/>
      <c r="BB380" s="313"/>
      <c r="BC380" s="313"/>
      <c r="BD380" s="313"/>
      <c r="BE380" s="313"/>
      <c r="BF380" s="313"/>
      <c r="BG380" s="313"/>
      <c r="BH380" s="313"/>
      <c r="BI380" s="313"/>
      <c r="BJ380" s="313"/>
      <c r="BK380" s="313"/>
      <c r="BL380" s="313"/>
      <c r="BM380" s="313"/>
      <c r="BN380" s="313"/>
      <c r="BO380" s="313"/>
      <c r="BP380" s="313"/>
      <c r="BQ380" s="313"/>
    </row>
    <row r="381">
      <c r="A381" s="87" t="s">
        <v>10368</v>
      </c>
      <c r="B381" s="92"/>
      <c r="C381" s="30">
        <v>44010.0</v>
      </c>
      <c r="D381" s="92"/>
      <c r="E381" s="13" t="s">
        <v>41</v>
      </c>
      <c r="F381" s="13">
        <v>1.0</v>
      </c>
      <c r="G381" s="13" t="s">
        <v>32</v>
      </c>
      <c r="H381" s="50">
        <v>1.0</v>
      </c>
      <c r="I381" s="13" t="s">
        <v>33</v>
      </c>
      <c r="J381" s="13" t="s">
        <v>184</v>
      </c>
      <c r="K381" s="92"/>
      <c r="L381" s="34" t="s">
        <v>7593</v>
      </c>
      <c r="M381" s="106" t="s">
        <v>8332</v>
      </c>
      <c r="N381" s="288"/>
      <c r="O381" s="145"/>
      <c r="P381" s="145"/>
      <c r="Q381" s="37"/>
      <c r="R381" s="145"/>
      <c r="S381" s="145"/>
      <c r="T381" s="313"/>
      <c r="U381" s="38"/>
      <c r="V381" s="38" t="s">
        <v>33</v>
      </c>
      <c r="W381" s="40"/>
      <c r="X381" s="40"/>
      <c r="Y381" s="349"/>
      <c r="Z381" s="313"/>
      <c r="AA381" s="313"/>
      <c r="AB381" s="313"/>
      <c r="AC381" s="313"/>
      <c r="AD381" s="313"/>
      <c r="AE381" s="313"/>
      <c r="AF381" s="313"/>
      <c r="AG381" s="313"/>
      <c r="AH381" s="313"/>
      <c r="AI381" s="313"/>
      <c r="AJ381" s="313"/>
      <c r="AK381" s="313"/>
      <c r="AL381" s="313"/>
      <c r="AM381" s="313"/>
      <c r="AN381" s="313"/>
      <c r="AO381" s="313"/>
      <c r="AP381" s="313"/>
      <c r="AQ381" s="313"/>
      <c r="AR381" s="313"/>
      <c r="AS381" s="313"/>
      <c r="AT381" s="313"/>
      <c r="AU381" s="313"/>
      <c r="AV381" s="313"/>
      <c r="AW381" s="313"/>
      <c r="AX381" s="313"/>
      <c r="AY381" s="313"/>
      <c r="AZ381" s="313"/>
      <c r="BA381" s="313"/>
      <c r="BB381" s="313"/>
      <c r="BC381" s="313"/>
      <c r="BD381" s="313"/>
      <c r="BE381" s="313"/>
      <c r="BF381" s="313"/>
      <c r="BG381" s="313"/>
      <c r="BH381" s="313"/>
      <c r="BI381" s="313"/>
      <c r="BJ381" s="313"/>
      <c r="BK381" s="313"/>
      <c r="BL381" s="313"/>
      <c r="BM381" s="313"/>
      <c r="BN381" s="313"/>
      <c r="BO381" s="313"/>
      <c r="BP381" s="313"/>
      <c r="BQ381" s="313"/>
    </row>
    <row r="382">
      <c r="A382" s="87" t="s">
        <v>10369</v>
      </c>
      <c r="B382" s="92"/>
      <c r="C382" s="30">
        <v>44011.0</v>
      </c>
      <c r="D382" s="92"/>
      <c r="E382" s="13" t="s">
        <v>41</v>
      </c>
      <c r="F382" s="13">
        <v>1.0</v>
      </c>
      <c r="G382" s="13" t="s">
        <v>32</v>
      </c>
      <c r="H382" s="50">
        <v>1.0</v>
      </c>
      <c r="I382" s="13" t="s">
        <v>33</v>
      </c>
      <c r="J382" s="13" t="s">
        <v>147</v>
      </c>
      <c r="K382" s="92"/>
      <c r="L382" s="34" t="s">
        <v>9433</v>
      </c>
      <c r="M382" s="46" t="s">
        <v>10370</v>
      </c>
      <c r="N382" s="288"/>
      <c r="O382" s="145"/>
      <c r="P382" s="145"/>
      <c r="Q382" s="37"/>
      <c r="R382" s="145"/>
      <c r="S382" s="145"/>
      <c r="T382" s="313"/>
      <c r="U382" s="38"/>
      <c r="V382" s="38"/>
      <c r="W382" s="40"/>
      <c r="X382" s="40"/>
      <c r="Y382" s="349"/>
      <c r="Z382" s="313"/>
      <c r="AA382" s="313"/>
      <c r="AB382" s="313"/>
      <c r="AC382" s="313"/>
      <c r="AD382" s="313"/>
      <c r="AE382" s="313"/>
      <c r="AF382" s="313"/>
      <c r="AG382" s="313"/>
      <c r="AH382" s="313"/>
      <c r="AI382" s="313"/>
      <c r="AJ382" s="313"/>
      <c r="AK382" s="313"/>
      <c r="AL382" s="313"/>
      <c r="AM382" s="313"/>
      <c r="AN382" s="313"/>
      <c r="AO382" s="313"/>
      <c r="AP382" s="313"/>
      <c r="AQ382" s="313"/>
      <c r="AR382" s="313"/>
      <c r="AS382" s="313"/>
      <c r="AT382" s="313"/>
      <c r="AU382" s="313"/>
      <c r="AV382" s="313"/>
      <c r="AW382" s="313"/>
      <c r="AX382" s="313"/>
      <c r="AY382" s="313"/>
      <c r="AZ382" s="313"/>
      <c r="BA382" s="313"/>
      <c r="BB382" s="313"/>
      <c r="BC382" s="313"/>
      <c r="BD382" s="313"/>
      <c r="BE382" s="313"/>
      <c r="BF382" s="313"/>
      <c r="BG382" s="313"/>
      <c r="BH382" s="313"/>
      <c r="BI382" s="313"/>
      <c r="BJ382" s="313"/>
      <c r="BK382" s="313"/>
      <c r="BL382" s="313"/>
      <c r="BM382" s="313"/>
      <c r="BN382" s="313"/>
      <c r="BO382" s="313"/>
      <c r="BP382" s="313"/>
      <c r="BQ382" s="313"/>
    </row>
    <row r="383">
      <c r="A383" s="87" t="s">
        <v>10371</v>
      </c>
      <c r="B383" s="92"/>
      <c r="C383" s="30">
        <v>44025.0</v>
      </c>
      <c r="D383" s="92"/>
      <c r="E383" s="13" t="s">
        <v>41</v>
      </c>
      <c r="F383" s="13">
        <v>1.0</v>
      </c>
      <c r="G383" s="13" t="s">
        <v>32</v>
      </c>
      <c r="H383" s="50">
        <v>1.0</v>
      </c>
      <c r="I383" s="13" t="s">
        <v>33</v>
      </c>
      <c r="J383" s="13" t="s">
        <v>93</v>
      </c>
      <c r="K383" s="92"/>
      <c r="L383" s="34" t="s">
        <v>9433</v>
      </c>
      <c r="M383" s="46" t="s">
        <v>10372</v>
      </c>
      <c r="N383" s="288"/>
      <c r="O383" s="145"/>
      <c r="P383" s="145"/>
      <c r="Q383" s="37"/>
      <c r="R383" s="145"/>
      <c r="S383" s="145"/>
      <c r="T383" s="313"/>
      <c r="U383" s="38"/>
      <c r="V383" s="38" t="s">
        <v>33</v>
      </c>
      <c r="W383" s="40"/>
      <c r="X383" s="40"/>
      <c r="Y383" s="349"/>
      <c r="Z383" s="313"/>
      <c r="AA383" s="313"/>
      <c r="AB383" s="313"/>
      <c r="AC383" s="313"/>
      <c r="AD383" s="313"/>
      <c r="AE383" s="313"/>
      <c r="AF383" s="313"/>
      <c r="AG383" s="313"/>
      <c r="AH383" s="313"/>
      <c r="AI383" s="313"/>
      <c r="AJ383" s="313"/>
      <c r="AK383" s="313"/>
      <c r="AL383" s="313"/>
      <c r="AM383" s="313"/>
      <c r="AN383" s="313"/>
      <c r="AO383" s="313"/>
      <c r="AP383" s="313"/>
      <c r="AQ383" s="313"/>
      <c r="AR383" s="313"/>
      <c r="AS383" s="313"/>
      <c r="AT383" s="313"/>
      <c r="AU383" s="313"/>
      <c r="AV383" s="313"/>
      <c r="AW383" s="313"/>
      <c r="AX383" s="313"/>
      <c r="AY383" s="313"/>
      <c r="AZ383" s="313"/>
      <c r="BA383" s="313"/>
      <c r="BB383" s="313"/>
      <c r="BC383" s="313"/>
      <c r="BD383" s="313"/>
      <c r="BE383" s="313"/>
      <c r="BF383" s="313"/>
      <c r="BG383" s="313"/>
      <c r="BH383" s="313"/>
      <c r="BI383" s="313"/>
      <c r="BJ383" s="313"/>
      <c r="BK383" s="313"/>
      <c r="BL383" s="313"/>
      <c r="BM383" s="313"/>
      <c r="BN383" s="313"/>
      <c r="BO383" s="313"/>
      <c r="BP383" s="313"/>
      <c r="BQ383" s="313"/>
    </row>
    <row r="384">
      <c r="A384" s="87" t="s">
        <v>10373</v>
      </c>
      <c r="B384" s="92"/>
      <c r="C384" s="30">
        <v>44026.0</v>
      </c>
      <c r="D384" s="92"/>
      <c r="E384" s="13" t="s">
        <v>41</v>
      </c>
      <c r="F384" s="13">
        <v>1.0</v>
      </c>
      <c r="G384" s="13" t="s">
        <v>32</v>
      </c>
      <c r="H384" s="50">
        <v>1.0</v>
      </c>
      <c r="I384" s="13" t="s">
        <v>33</v>
      </c>
      <c r="J384" s="13" t="s">
        <v>147</v>
      </c>
      <c r="K384" s="92"/>
      <c r="L384" s="34" t="s">
        <v>10374</v>
      </c>
      <c r="M384" s="106" t="s">
        <v>10375</v>
      </c>
      <c r="N384" s="288"/>
      <c r="O384" s="145"/>
      <c r="P384" s="145"/>
      <c r="Q384" s="37">
        <v>1.0</v>
      </c>
      <c r="R384" s="145"/>
      <c r="S384" s="145"/>
      <c r="T384" s="313"/>
      <c r="U384" s="38"/>
      <c r="V384" s="38" t="s">
        <v>33</v>
      </c>
      <c r="W384" s="40"/>
      <c r="X384" s="40"/>
      <c r="Y384" s="349"/>
      <c r="Z384" s="313"/>
      <c r="AA384" s="313"/>
      <c r="AB384" s="313"/>
      <c r="AC384" s="313"/>
      <c r="AD384" s="313"/>
      <c r="AE384" s="313"/>
      <c r="AF384" s="313"/>
      <c r="AG384" s="313"/>
      <c r="AH384" s="313"/>
      <c r="AI384" s="313"/>
      <c r="AJ384" s="313"/>
      <c r="AK384" s="313"/>
      <c r="AL384" s="313"/>
      <c r="AM384" s="313"/>
      <c r="AN384" s="313"/>
      <c r="AO384" s="313"/>
      <c r="AP384" s="313"/>
      <c r="AQ384" s="313"/>
      <c r="AR384" s="313"/>
      <c r="AS384" s="313"/>
      <c r="AT384" s="313"/>
      <c r="AU384" s="313"/>
      <c r="AV384" s="313"/>
      <c r="AW384" s="313"/>
      <c r="AX384" s="313"/>
      <c r="AY384" s="313"/>
      <c r="AZ384" s="313"/>
      <c r="BA384" s="313"/>
      <c r="BB384" s="313"/>
      <c r="BC384" s="313"/>
      <c r="BD384" s="313"/>
      <c r="BE384" s="313"/>
      <c r="BF384" s="313"/>
      <c r="BG384" s="313"/>
      <c r="BH384" s="313"/>
      <c r="BI384" s="313"/>
      <c r="BJ384" s="313"/>
      <c r="BK384" s="313"/>
      <c r="BL384" s="313"/>
      <c r="BM384" s="313"/>
      <c r="BN384" s="313"/>
      <c r="BO384" s="313"/>
      <c r="BP384" s="313"/>
      <c r="BQ384" s="313"/>
    </row>
    <row r="385">
      <c r="A385" s="87" t="s">
        <v>10376</v>
      </c>
      <c r="B385" s="92"/>
      <c r="C385" s="30">
        <v>44030.0</v>
      </c>
      <c r="D385" s="92"/>
      <c r="E385" s="13" t="s">
        <v>41</v>
      </c>
      <c r="F385" s="13">
        <v>1.0</v>
      </c>
      <c r="G385" s="13" t="s">
        <v>32</v>
      </c>
      <c r="H385" s="50">
        <v>1.0</v>
      </c>
      <c r="I385" s="13" t="s">
        <v>33</v>
      </c>
      <c r="J385" s="13" t="s">
        <v>147</v>
      </c>
      <c r="K385" s="92"/>
      <c r="L385" s="34" t="s">
        <v>10374</v>
      </c>
      <c r="M385" s="46" t="s">
        <v>10377</v>
      </c>
      <c r="N385" s="288"/>
      <c r="O385" s="145"/>
      <c r="P385" s="145"/>
      <c r="Q385" s="37"/>
      <c r="R385" s="145"/>
      <c r="S385" s="145"/>
      <c r="T385" s="313"/>
      <c r="U385" s="38"/>
      <c r="V385" s="38" t="s">
        <v>33</v>
      </c>
      <c r="W385" s="40"/>
      <c r="X385" s="40"/>
      <c r="Y385" s="349"/>
      <c r="Z385" s="313"/>
      <c r="AA385" s="313"/>
      <c r="AB385" s="313"/>
      <c r="AC385" s="313"/>
      <c r="AD385" s="313"/>
      <c r="AE385" s="313"/>
      <c r="AF385" s="313"/>
      <c r="AG385" s="313"/>
      <c r="AH385" s="313"/>
      <c r="AI385" s="313"/>
      <c r="AJ385" s="313"/>
      <c r="AK385" s="313"/>
      <c r="AL385" s="313"/>
      <c r="AM385" s="313"/>
      <c r="AN385" s="313"/>
      <c r="AO385" s="313"/>
      <c r="AP385" s="313"/>
      <c r="AQ385" s="313"/>
      <c r="AR385" s="313"/>
      <c r="AS385" s="313"/>
      <c r="AT385" s="313"/>
      <c r="AU385" s="313"/>
      <c r="AV385" s="313"/>
      <c r="AW385" s="313"/>
      <c r="AX385" s="313"/>
      <c r="AY385" s="313"/>
      <c r="AZ385" s="313"/>
      <c r="BA385" s="313"/>
      <c r="BB385" s="313"/>
      <c r="BC385" s="313"/>
      <c r="BD385" s="313"/>
      <c r="BE385" s="313"/>
      <c r="BF385" s="313"/>
      <c r="BG385" s="313"/>
      <c r="BH385" s="313"/>
      <c r="BI385" s="313"/>
      <c r="BJ385" s="313"/>
      <c r="BK385" s="313"/>
      <c r="BL385" s="313"/>
      <c r="BM385" s="313"/>
      <c r="BN385" s="313"/>
      <c r="BO385" s="313"/>
      <c r="BP385" s="313"/>
      <c r="BQ385" s="313"/>
    </row>
    <row r="386">
      <c r="A386" s="87" t="s">
        <v>10378</v>
      </c>
      <c r="B386" s="92"/>
      <c r="C386" s="30">
        <v>44030.0</v>
      </c>
      <c r="D386" s="92"/>
      <c r="E386" s="13" t="s">
        <v>41</v>
      </c>
      <c r="F386" s="13">
        <v>1.0</v>
      </c>
      <c r="G386" s="13" t="s">
        <v>32</v>
      </c>
      <c r="H386" s="50">
        <v>1.0</v>
      </c>
      <c r="I386" s="13" t="s">
        <v>33</v>
      </c>
      <c r="J386" s="13" t="s">
        <v>147</v>
      </c>
      <c r="K386" s="92"/>
      <c r="L386" s="34" t="s">
        <v>10374</v>
      </c>
      <c r="M386" s="106" t="s">
        <v>10377</v>
      </c>
      <c r="N386" s="288"/>
      <c r="O386" s="145"/>
      <c r="P386" s="145"/>
      <c r="Q386" s="37"/>
      <c r="R386" s="145"/>
      <c r="S386" s="145"/>
      <c r="T386" s="313"/>
      <c r="U386" s="38"/>
      <c r="V386" s="38" t="s">
        <v>33</v>
      </c>
      <c r="W386" s="40"/>
      <c r="X386" s="40"/>
      <c r="Y386" s="349"/>
      <c r="Z386" s="313"/>
      <c r="AA386" s="313"/>
      <c r="AB386" s="313"/>
      <c r="AC386" s="313"/>
      <c r="AD386" s="313"/>
      <c r="AE386" s="313"/>
      <c r="AF386" s="313"/>
      <c r="AG386" s="313"/>
      <c r="AH386" s="313"/>
      <c r="AI386" s="313"/>
      <c r="AJ386" s="313"/>
      <c r="AK386" s="313"/>
      <c r="AL386" s="313"/>
      <c r="AM386" s="313"/>
      <c r="AN386" s="313"/>
      <c r="AO386" s="313"/>
      <c r="AP386" s="313"/>
      <c r="AQ386" s="313"/>
      <c r="AR386" s="313"/>
      <c r="AS386" s="313"/>
      <c r="AT386" s="313"/>
      <c r="AU386" s="313"/>
      <c r="AV386" s="313"/>
      <c r="AW386" s="313"/>
      <c r="AX386" s="313"/>
      <c r="AY386" s="313"/>
      <c r="AZ386" s="313"/>
      <c r="BA386" s="313"/>
      <c r="BB386" s="313"/>
      <c r="BC386" s="313"/>
      <c r="BD386" s="313"/>
      <c r="BE386" s="313"/>
      <c r="BF386" s="313"/>
      <c r="BG386" s="313"/>
      <c r="BH386" s="313"/>
      <c r="BI386" s="313"/>
      <c r="BJ386" s="313"/>
      <c r="BK386" s="313"/>
      <c r="BL386" s="313"/>
      <c r="BM386" s="313"/>
      <c r="BN386" s="313"/>
      <c r="BO386" s="313"/>
      <c r="BP386" s="313"/>
      <c r="BQ386" s="313"/>
    </row>
    <row r="387">
      <c r="A387" s="87" t="s">
        <v>10379</v>
      </c>
      <c r="B387" s="92"/>
      <c r="C387" s="30">
        <v>44030.0</v>
      </c>
      <c r="D387" s="92"/>
      <c r="E387" s="13" t="s">
        <v>41</v>
      </c>
      <c r="F387" s="13">
        <v>1.0</v>
      </c>
      <c r="G387" s="13" t="s">
        <v>32</v>
      </c>
      <c r="H387" s="50">
        <v>1.0</v>
      </c>
      <c r="I387" s="13" t="s">
        <v>33</v>
      </c>
      <c r="J387" s="13" t="s">
        <v>147</v>
      </c>
      <c r="K387" s="92"/>
      <c r="L387" s="34" t="s">
        <v>10374</v>
      </c>
      <c r="M387" s="106" t="s">
        <v>10377</v>
      </c>
      <c r="N387" s="288"/>
      <c r="O387" s="145"/>
      <c r="P387" s="145"/>
      <c r="Q387" s="37"/>
      <c r="R387" s="145"/>
      <c r="S387" s="145"/>
      <c r="T387" s="313"/>
      <c r="U387" s="38"/>
      <c r="V387" s="38" t="s">
        <v>33</v>
      </c>
      <c r="W387" s="40"/>
      <c r="X387" s="40"/>
      <c r="Y387" s="349"/>
      <c r="Z387" s="313"/>
      <c r="AA387" s="313"/>
      <c r="AB387" s="313"/>
      <c r="AC387" s="313"/>
      <c r="AD387" s="313"/>
      <c r="AE387" s="313"/>
      <c r="AF387" s="313"/>
      <c r="AG387" s="313"/>
      <c r="AH387" s="313"/>
      <c r="AI387" s="313"/>
      <c r="AJ387" s="313"/>
      <c r="AK387" s="313"/>
      <c r="AL387" s="313"/>
      <c r="AM387" s="313"/>
      <c r="AN387" s="313"/>
      <c r="AO387" s="313"/>
      <c r="AP387" s="313"/>
      <c r="AQ387" s="313"/>
      <c r="AR387" s="313"/>
      <c r="AS387" s="313"/>
      <c r="AT387" s="313"/>
      <c r="AU387" s="313"/>
      <c r="AV387" s="313"/>
      <c r="AW387" s="313"/>
      <c r="AX387" s="313"/>
      <c r="AY387" s="313"/>
      <c r="AZ387" s="313"/>
      <c r="BA387" s="313"/>
      <c r="BB387" s="313"/>
      <c r="BC387" s="313"/>
      <c r="BD387" s="313"/>
      <c r="BE387" s="313"/>
      <c r="BF387" s="313"/>
      <c r="BG387" s="313"/>
      <c r="BH387" s="313"/>
      <c r="BI387" s="313"/>
      <c r="BJ387" s="313"/>
      <c r="BK387" s="313"/>
      <c r="BL387" s="313"/>
      <c r="BM387" s="313"/>
      <c r="BN387" s="313"/>
      <c r="BO387" s="313"/>
      <c r="BP387" s="313"/>
      <c r="BQ387" s="313"/>
    </row>
    <row r="388">
      <c r="A388" s="87" t="s">
        <v>10380</v>
      </c>
      <c r="B388" s="92"/>
      <c r="C388" s="30">
        <v>44030.0</v>
      </c>
      <c r="D388" s="92"/>
      <c r="E388" s="13" t="s">
        <v>41</v>
      </c>
      <c r="F388" s="13">
        <v>1.0</v>
      </c>
      <c r="G388" s="13" t="s">
        <v>32</v>
      </c>
      <c r="H388" s="50">
        <v>1.0</v>
      </c>
      <c r="I388" s="13" t="s">
        <v>33</v>
      </c>
      <c r="J388" s="13" t="s">
        <v>147</v>
      </c>
      <c r="K388" s="92"/>
      <c r="L388" s="34" t="s">
        <v>10374</v>
      </c>
      <c r="M388" s="106" t="s">
        <v>10377</v>
      </c>
      <c r="N388" s="288"/>
      <c r="O388" s="145"/>
      <c r="P388" s="145"/>
      <c r="Q388" s="37"/>
      <c r="R388" s="145"/>
      <c r="S388" s="145"/>
      <c r="T388" s="313"/>
      <c r="U388" s="38"/>
      <c r="V388" s="38" t="s">
        <v>33</v>
      </c>
      <c r="W388" s="40"/>
      <c r="X388" s="40"/>
      <c r="Y388" s="349"/>
      <c r="Z388" s="313"/>
      <c r="AA388" s="313"/>
      <c r="AB388" s="313"/>
      <c r="AC388" s="313"/>
      <c r="AD388" s="313"/>
      <c r="AE388" s="313"/>
      <c r="AF388" s="313"/>
      <c r="AG388" s="313"/>
      <c r="AH388" s="313"/>
      <c r="AI388" s="313"/>
      <c r="AJ388" s="313"/>
      <c r="AK388" s="313"/>
      <c r="AL388" s="313"/>
      <c r="AM388" s="313"/>
      <c r="AN388" s="313"/>
      <c r="AO388" s="313"/>
      <c r="AP388" s="313"/>
      <c r="AQ388" s="313"/>
      <c r="AR388" s="313"/>
      <c r="AS388" s="313"/>
      <c r="AT388" s="313"/>
      <c r="AU388" s="313"/>
      <c r="AV388" s="313"/>
      <c r="AW388" s="313"/>
      <c r="AX388" s="313"/>
      <c r="AY388" s="313"/>
      <c r="AZ388" s="313"/>
      <c r="BA388" s="313"/>
      <c r="BB388" s="313"/>
      <c r="BC388" s="313"/>
      <c r="BD388" s="313"/>
      <c r="BE388" s="313"/>
      <c r="BF388" s="313"/>
      <c r="BG388" s="313"/>
      <c r="BH388" s="313"/>
      <c r="BI388" s="313"/>
      <c r="BJ388" s="313"/>
      <c r="BK388" s="313"/>
      <c r="BL388" s="313"/>
      <c r="BM388" s="313"/>
      <c r="BN388" s="313"/>
      <c r="BO388" s="313"/>
      <c r="BP388" s="313"/>
      <c r="BQ388" s="313"/>
    </row>
    <row r="389">
      <c r="A389" s="87" t="s">
        <v>10381</v>
      </c>
      <c r="B389" s="92"/>
      <c r="C389" s="30">
        <v>44030.0</v>
      </c>
      <c r="D389" s="92"/>
      <c r="E389" s="13" t="s">
        <v>41</v>
      </c>
      <c r="F389" s="13">
        <v>1.0</v>
      </c>
      <c r="G389" s="13" t="s">
        <v>32</v>
      </c>
      <c r="H389" s="50">
        <v>1.0</v>
      </c>
      <c r="I389" s="13" t="s">
        <v>33</v>
      </c>
      <c r="J389" s="13" t="s">
        <v>147</v>
      </c>
      <c r="K389" s="92"/>
      <c r="L389" s="34" t="s">
        <v>10374</v>
      </c>
      <c r="M389" s="106" t="s">
        <v>10377</v>
      </c>
      <c r="N389" s="288"/>
      <c r="O389" s="145"/>
      <c r="P389" s="145"/>
      <c r="Q389" s="37"/>
      <c r="R389" s="145"/>
      <c r="S389" s="145"/>
      <c r="T389" s="313"/>
      <c r="U389" s="38"/>
      <c r="V389" s="38" t="s">
        <v>33</v>
      </c>
      <c r="W389" s="40"/>
      <c r="X389" s="40"/>
      <c r="Y389" s="349"/>
      <c r="Z389" s="313"/>
      <c r="AA389" s="313"/>
      <c r="AB389" s="313"/>
      <c r="AC389" s="313"/>
      <c r="AD389" s="313"/>
      <c r="AE389" s="313"/>
      <c r="AF389" s="313"/>
      <c r="AG389" s="313"/>
      <c r="AH389" s="313"/>
      <c r="AI389" s="313"/>
      <c r="AJ389" s="313"/>
      <c r="AK389" s="313"/>
      <c r="AL389" s="313"/>
      <c r="AM389" s="313"/>
      <c r="AN389" s="313"/>
      <c r="AO389" s="313"/>
      <c r="AP389" s="313"/>
      <c r="AQ389" s="313"/>
      <c r="AR389" s="313"/>
      <c r="AS389" s="313"/>
      <c r="AT389" s="313"/>
      <c r="AU389" s="313"/>
      <c r="AV389" s="313"/>
      <c r="AW389" s="313"/>
      <c r="AX389" s="313"/>
      <c r="AY389" s="313"/>
      <c r="AZ389" s="313"/>
      <c r="BA389" s="313"/>
      <c r="BB389" s="313"/>
      <c r="BC389" s="313"/>
      <c r="BD389" s="313"/>
      <c r="BE389" s="313"/>
      <c r="BF389" s="313"/>
      <c r="BG389" s="313"/>
      <c r="BH389" s="313"/>
      <c r="BI389" s="313"/>
      <c r="BJ389" s="313"/>
      <c r="BK389" s="313"/>
      <c r="BL389" s="313"/>
      <c r="BM389" s="313"/>
      <c r="BN389" s="313"/>
      <c r="BO389" s="313"/>
      <c r="BP389" s="313"/>
      <c r="BQ389" s="313"/>
    </row>
    <row r="390">
      <c r="A390" s="87" t="s">
        <v>10382</v>
      </c>
      <c r="B390" s="92"/>
      <c r="C390" s="30">
        <v>44033.0</v>
      </c>
      <c r="D390" s="92"/>
      <c r="E390" s="13" t="s">
        <v>31</v>
      </c>
      <c r="F390" s="13">
        <v>1.0</v>
      </c>
      <c r="G390" s="13" t="s">
        <v>32</v>
      </c>
      <c r="H390" s="50">
        <v>1.0</v>
      </c>
      <c r="I390" s="13" t="s">
        <v>33</v>
      </c>
      <c r="J390" s="13" t="s">
        <v>132</v>
      </c>
      <c r="K390" s="92"/>
      <c r="L390" s="34" t="s">
        <v>9366</v>
      </c>
      <c r="M390" s="46" t="s">
        <v>10383</v>
      </c>
      <c r="N390" s="46" t="s">
        <v>10384</v>
      </c>
      <c r="O390" s="145"/>
      <c r="P390" s="145"/>
      <c r="Q390" s="37"/>
      <c r="R390" s="145"/>
      <c r="S390" s="145"/>
      <c r="T390" s="313"/>
      <c r="U390" s="38"/>
      <c r="V390" s="38" t="s">
        <v>33</v>
      </c>
      <c r="W390" s="39" t="s">
        <v>10385</v>
      </c>
      <c r="X390" s="39" t="s">
        <v>10386</v>
      </c>
      <c r="Y390" s="349"/>
      <c r="Z390" s="313"/>
      <c r="AA390" s="313"/>
      <c r="AB390" s="313"/>
      <c r="AC390" s="313"/>
      <c r="AD390" s="313"/>
      <c r="AE390" s="313"/>
      <c r="AF390" s="313"/>
      <c r="AG390" s="313"/>
      <c r="AH390" s="313"/>
      <c r="AI390" s="313"/>
      <c r="AJ390" s="313"/>
      <c r="AK390" s="313"/>
      <c r="AL390" s="313"/>
      <c r="AM390" s="313"/>
      <c r="AN390" s="313"/>
      <c r="AO390" s="313"/>
      <c r="AP390" s="313"/>
      <c r="AQ390" s="313"/>
      <c r="AR390" s="313"/>
      <c r="AS390" s="313"/>
      <c r="AT390" s="313"/>
      <c r="AU390" s="313"/>
      <c r="AV390" s="313"/>
      <c r="AW390" s="313"/>
      <c r="AX390" s="313"/>
      <c r="AY390" s="313"/>
      <c r="AZ390" s="313"/>
      <c r="BA390" s="313"/>
      <c r="BB390" s="313"/>
      <c r="BC390" s="313"/>
      <c r="BD390" s="313"/>
      <c r="BE390" s="313"/>
      <c r="BF390" s="313"/>
      <c r="BG390" s="313"/>
      <c r="BH390" s="313"/>
      <c r="BI390" s="313"/>
      <c r="BJ390" s="313"/>
      <c r="BK390" s="313"/>
      <c r="BL390" s="313"/>
      <c r="BM390" s="313"/>
      <c r="BN390" s="313"/>
      <c r="BO390" s="313"/>
      <c r="BP390" s="313"/>
      <c r="BQ390" s="313"/>
    </row>
    <row r="391">
      <c r="A391" s="87" t="s">
        <v>8956</v>
      </c>
      <c r="B391" s="92"/>
      <c r="C391" s="30">
        <v>44042.0</v>
      </c>
      <c r="D391" s="92"/>
      <c r="E391" s="13" t="s">
        <v>41</v>
      </c>
      <c r="F391" s="13">
        <v>1.0</v>
      </c>
      <c r="G391" s="13" t="s">
        <v>32</v>
      </c>
      <c r="H391" s="50">
        <v>1.0</v>
      </c>
      <c r="I391" s="13" t="s">
        <v>33</v>
      </c>
      <c r="J391" s="13" t="s">
        <v>410</v>
      </c>
      <c r="K391" s="92"/>
      <c r="L391" s="34" t="s">
        <v>7593</v>
      </c>
      <c r="M391" s="46" t="s">
        <v>10387</v>
      </c>
      <c r="N391" s="106"/>
      <c r="O391" s="145"/>
      <c r="P391" s="145"/>
      <c r="Q391" s="37"/>
      <c r="R391" s="145"/>
      <c r="S391" s="145"/>
      <c r="T391" s="313"/>
      <c r="U391" s="38"/>
      <c r="V391" s="38" t="s">
        <v>33</v>
      </c>
      <c r="W391" s="40"/>
      <c r="X391" s="40"/>
      <c r="Y391" s="349"/>
      <c r="Z391" s="313"/>
      <c r="AA391" s="313"/>
      <c r="AB391" s="313"/>
      <c r="AC391" s="313"/>
      <c r="AD391" s="313"/>
      <c r="AE391" s="313"/>
      <c r="AF391" s="313"/>
      <c r="AG391" s="313"/>
      <c r="AH391" s="313"/>
      <c r="AI391" s="313"/>
      <c r="AJ391" s="313"/>
      <c r="AK391" s="313"/>
      <c r="AL391" s="313"/>
      <c r="AM391" s="313"/>
      <c r="AN391" s="313"/>
      <c r="AO391" s="313"/>
      <c r="AP391" s="313"/>
      <c r="AQ391" s="313"/>
      <c r="AR391" s="313"/>
      <c r="AS391" s="313"/>
      <c r="AT391" s="313"/>
      <c r="AU391" s="313"/>
      <c r="AV391" s="313"/>
      <c r="AW391" s="313"/>
      <c r="AX391" s="313"/>
      <c r="AY391" s="313"/>
      <c r="AZ391" s="313"/>
      <c r="BA391" s="313"/>
      <c r="BB391" s="313"/>
      <c r="BC391" s="313"/>
      <c r="BD391" s="313"/>
      <c r="BE391" s="313"/>
      <c r="BF391" s="313"/>
      <c r="BG391" s="313"/>
      <c r="BH391" s="313"/>
      <c r="BI391" s="313"/>
      <c r="BJ391" s="313"/>
      <c r="BK391" s="313"/>
      <c r="BL391" s="313"/>
      <c r="BM391" s="313"/>
      <c r="BN391" s="313"/>
      <c r="BO391" s="313"/>
      <c r="BP391" s="313"/>
      <c r="BQ391" s="313"/>
    </row>
    <row r="392">
      <c r="A392" s="87" t="s">
        <v>10388</v>
      </c>
      <c r="B392" s="92"/>
      <c r="C392" s="30">
        <v>44042.0</v>
      </c>
      <c r="D392" s="92"/>
      <c r="E392" s="13" t="s">
        <v>41</v>
      </c>
      <c r="F392" s="13">
        <v>1.0</v>
      </c>
      <c r="G392" s="13">
        <v>2.0</v>
      </c>
      <c r="H392" s="50">
        <v>2.0</v>
      </c>
      <c r="I392" s="13" t="s">
        <v>33</v>
      </c>
      <c r="J392" s="13" t="s">
        <v>203</v>
      </c>
      <c r="K392" s="92"/>
      <c r="L392" s="34" t="s">
        <v>10389</v>
      </c>
      <c r="M392" s="46" t="s">
        <v>10390</v>
      </c>
      <c r="N392" s="106"/>
      <c r="O392" s="145"/>
      <c r="P392" s="145"/>
      <c r="Q392" s="37"/>
      <c r="R392" s="145"/>
      <c r="S392" s="145"/>
      <c r="T392" s="313"/>
      <c r="U392" s="38"/>
      <c r="V392" s="38" t="s">
        <v>33</v>
      </c>
      <c r="W392" s="40"/>
      <c r="X392" s="40"/>
      <c r="Y392" s="349"/>
      <c r="Z392" s="313"/>
      <c r="AA392" s="313"/>
      <c r="AB392" s="313"/>
      <c r="AC392" s="313"/>
      <c r="AD392" s="313"/>
      <c r="AE392" s="313"/>
      <c r="AF392" s="313"/>
      <c r="AG392" s="313"/>
      <c r="AH392" s="313"/>
      <c r="AI392" s="313"/>
      <c r="AJ392" s="313"/>
      <c r="AK392" s="313"/>
      <c r="AL392" s="313"/>
      <c r="AM392" s="313"/>
      <c r="AN392" s="313"/>
      <c r="AO392" s="313"/>
      <c r="AP392" s="313"/>
      <c r="AQ392" s="313"/>
      <c r="AR392" s="313"/>
      <c r="AS392" s="313"/>
      <c r="AT392" s="313"/>
      <c r="AU392" s="313"/>
      <c r="AV392" s="313"/>
      <c r="AW392" s="313"/>
      <c r="AX392" s="313"/>
      <c r="AY392" s="313"/>
      <c r="AZ392" s="313"/>
      <c r="BA392" s="313"/>
      <c r="BB392" s="313"/>
      <c r="BC392" s="313"/>
      <c r="BD392" s="313"/>
      <c r="BE392" s="313"/>
      <c r="BF392" s="313"/>
      <c r="BG392" s="313"/>
      <c r="BH392" s="313"/>
      <c r="BI392" s="313"/>
      <c r="BJ392" s="313"/>
      <c r="BK392" s="313"/>
      <c r="BL392" s="313"/>
      <c r="BM392" s="313"/>
      <c r="BN392" s="313"/>
      <c r="BO392" s="313"/>
      <c r="BP392" s="313"/>
      <c r="BQ392" s="313"/>
    </row>
    <row r="393">
      <c r="A393" s="87" t="s">
        <v>10391</v>
      </c>
      <c r="B393" s="92"/>
      <c r="C393" s="30">
        <v>44046.0</v>
      </c>
      <c r="D393" s="92"/>
      <c r="E393" s="13" t="s">
        <v>41</v>
      </c>
      <c r="F393" s="13">
        <v>1.0</v>
      </c>
      <c r="G393" s="13">
        <v>1.0</v>
      </c>
      <c r="H393" s="50">
        <v>1.0</v>
      </c>
      <c r="I393" s="13" t="s">
        <v>33</v>
      </c>
      <c r="J393" s="13" t="s">
        <v>440</v>
      </c>
      <c r="K393" s="92"/>
      <c r="L393" s="34" t="s">
        <v>9380</v>
      </c>
      <c r="M393" s="46" t="s">
        <v>10392</v>
      </c>
      <c r="N393" s="106"/>
      <c r="O393" s="145"/>
      <c r="P393" s="145"/>
      <c r="Q393" s="37"/>
      <c r="R393" s="145"/>
      <c r="S393" s="145"/>
      <c r="T393" s="313"/>
      <c r="U393" s="38"/>
      <c r="V393" s="38" t="s">
        <v>33</v>
      </c>
      <c r="W393" s="40"/>
      <c r="X393" s="40"/>
      <c r="Y393" s="349"/>
      <c r="Z393" s="313"/>
      <c r="AA393" s="313"/>
      <c r="AB393" s="313"/>
      <c r="AC393" s="313"/>
      <c r="AD393" s="313"/>
      <c r="AE393" s="313"/>
      <c r="AF393" s="313"/>
      <c r="AG393" s="313"/>
      <c r="AH393" s="313"/>
      <c r="AI393" s="313"/>
      <c r="AJ393" s="313"/>
      <c r="AK393" s="313"/>
      <c r="AL393" s="313"/>
      <c r="AM393" s="313"/>
      <c r="AN393" s="313"/>
      <c r="AO393" s="313"/>
      <c r="AP393" s="313"/>
      <c r="AQ393" s="313"/>
      <c r="AR393" s="313"/>
      <c r="AS393" s="313"/>
      <c r="AT393" s="313"/>
      <c r="AU393" s="313"/>
      <c r="AV393" s="313"/>
      <c r="AW393" s="313"/>
      <c r="AX393" s="313"/>
      <c r="AY393" s="313"/>
      <c r="AZ393" s="313"/>
      <c r="BA393" s="313"/>
      <c r="BB393" s="313"/>
      <c r="BC393" s="313"/>
      <c r="BD393" s="313"/>
      <c r="BE393" s="313"/>
      <c r="BF393" s="313"/>
      <c r="BG393" s="313"/>
      <c r="BH393" s="313"/>
      <c r="BI393" s="313"/>
      <c r="BJ393" s="313"/>
      <c r="BK393" s="313"/>
      <c r="BL393" s="313"/>
      <c r="BM393" s="313"/>
      <c r="BN393" s="313"/>
      <c r="BO393" s="313"/>
      <c r="BP393" s="313"/>
      <c r="BQ393" s="313"/>
    </row>
    <row r="394">
      <c r="A394" s="87" t="s">
        <v>10393</v>
      </c>
      <c r="B394" s="92"/>
      <c r="C394" s="30">
        <v>44050.0</v>
      </c>
      <c r="D394" s="92"/>
      <c r="E394" s="13" t="s">
        <v>41</v>
      </c>
      <c r="F394" s="13">
        <v>1.0</v>
      </c>
      <c r="G394" s="13" t="s">
        <v>32</v>
      </c>
      <c r="H394" s="50">
        <v>1.0</v>
      </c>
      <c r="I394" s="13" t="s">
        <v>33</v>
      </c>
      <c r="J394" s="13" t="s">
        <v>93</v>
      </c>
      <c r="K394" s="92"/>
      <c r="L394" s="34" t="s">
        <v>9366</v>
      </c>
      <c r="M394" s="46" t="s">
        <v>10394</v>
      </c>
      <c r="N394" s="106"/>
      <c r="O394" s="145"/>
      <c r="P394" s="145"/>
      <c r="Q394" s="37"/>
      <c r="R394" s="145"/>
      <c r="S394" s="145"/>
      <c r="T394" s="313"/>
      <c r="U394" s="38"/>
      <c r="V394" s="38" t="s">
        <v>33</v>
      </c>
      <c r="W394" s="40"/>
      <c r="X394" s="40"/>
      <c r="Y394" s="349"/>
      <c r="Z394" s="313"/>
      <c r="AA394" s="313"/>
      <c r="AB394" s="313"/>
      <c r="AC394" s="313"/>
      <c r="AD394" s="313"/>
      <c r="AE394" s="313"/>
      <c r="AF394" s="313"/>
      <c r="AG394" s="313"/>
      <c r="AH394" s="313"/>
      <c r="AI394" s="313"/>
      <c r="AJ394" s="313"/>
      <c r="AK394" s="313"/>
      <c r="AL394" s="313"/>
      <c r="AM394" s="313"/>
      <c r="AN394" s="313"/>
      <c r="AO394" s="313"/>
      <c r="AP394" s="313"/>
      <c r="AQ394" s="313"/>
      <c r="AR394" s="313"/>
      <c r="AS394" s="313"/>
      <c r="AT394" s="313"/>
      <c r="AU394" s="313"/>
      <c r="AV394" s="313"/>
      <c r="AW394" s="313"/>
      <c r="AX394" s="313"/>
      <c r="AY394" s="313"/>
      <c r="AZ394" s="313"/>
      <c r="BA394" s="313"/>
      <c r="BB394" s="313"/>
      <c r="BC394" s="313"/>
      <c r="BD394" s="313"/>
      <c r="BE394" s="313"/>
      <c r="BF394" s="313"/>
      <c r="BG394" s="313"/>
      <c r="BH394" s="313"/>
      <c r="BI394" s="313"/>
      <c r="BJ394" s="313"/>
      <c r="BK394" s="313"/>
      <c r="BL394" s="313"/>
      <c r="BM394" s="313"/>
      <c r="BN394" s="313"/>
      <c r="BO394" s="313"/>
      <c r="BP394" s="313"/>
      <c r="BQ394" s="313"/>
    </row>
    <row r="395">
      <c r="A395" s="87" t="s">
        <v>10395</v>
      </c>
      <c r="B395" s="92"/>
      <c r="C395" s="30">
        <v>44050.0</v>
      </c>
      <c r="D395" s="92"/>
      <c r="E395" s="13" t="s">
        <v>41</v>
      </c>
      <c r="F395" s="13">
        <v>1.0</v>
      </c>
      <c r="G395" s="13">
        <v>1.0</v>
      </c>
      <c r="H395" s="50">
        <v>1.0</v>
      </c>
      <c r="I395" s="13" t="s">
        <v>33</v>
      </c>
      <c r="J395" s="13" t="s">
        <v>93</v>
      </c>
      <c r="K395" s="92"/>
      <c r="L395" s="34" t="s">
        <v>10396</v>
      </c>
      <c r="M395" s="46" t="s">
        <v>10397</v>
      </c>
      <c r="N395" s="106"/>
      <c r="O395" s="145"/>
      <c r="P395" s="145"/>
      <c r="Q395" s="37"/>
      <c r="R395" s="145"/>
      <c r="S395" s="145"/>
      <c r="T395" s="313"/>
      <c r="U395" s="38"/>
      <c r="V395" s="38" t="s">
        <v>33</v>
      </c>
      <c r="W395" s="40"/>
      <c r="X395" s="40"/>
      <c r="Y395" s="349"/>
      <c r="Z395" s="313"/>
      <c r="AA395" s="313"/>
      <c r="AB395" s="313"/>
      <c r="AC395" s="313"/>
      <c r="AD395" s="313"/>
      <c r="AE395" s="313"/>
      <c r="AF395" s="313"/>
      <c r="AG395" s="313"/>
      <c r="AH395" s="313"/>
      <c r="AI395" s="313"/>
      <c r="AJ395" s="313"/>
      <c r="AK395" s="313"/>
      <c r="AL395" s="313"/>
      <c r="AM395" s="313"/>
      <c r="AN395" s="313"/>
      <c r="AO395" s="313"/>
      <c r="AP395" s="313"/>
      <c r="AQ395" s="313"/>
      <c r="AR395" s="313"/>
      <c r="AS395" s="313"/>
      <c r="AT395" s="313"/>
      <c r="AU395" s="313"/>
      <c r="AV395" s="313"/>
      <c r="AW395" s="313"/>
      <c r="AX395" s="313"/>
      <c r="AY395" s="313"/>
      <c r="AZ395" s="313"/>
      <c r="BA395" s="313"/>
      <c r="BB395" s="313"/>
      <c r="BC395" s="313"/>
      <c r="BD395" s="313"/>
      <c r="BE395" s="313"/>
      <c r="BF395" s="313"/>
      <c r="BG395" s="313"/>
      <c r="BH395" s="313"/>
      <c r="BI395" s="313"/>
      <c r="BJ395" s="313"/>
      <c r="BK395" s="313"/>
      <c r="BL395" s="313"/>
      <c r="BM395" s="313"/>
      <c r="BN395" s="313"/>
      <c r="BO395" s="313"/>
      <c r="BP395" s="313"/>
      <c r="BQ395" s="313"/>
    </row>
    <row r="396">
      <c r="A396" s="87" t="s">
        <v>10398</v>
      </c>
      <c r="B396" s="92"/>
      <c r="C396" s="30">
        <v>44055.0</v>
      </c>
      <c r="D396" s="92"/>
      <c r="E396" s="13" t="s">
        <v>41</v>
      </c>
      <c r="F396" s="13">
        <v>1.0</v>
      </c>
      <c r="G396" s="13" t="s">
        <v>32</v>
      </c>
      <c r="H396" s="50">
        <v>1.0</v>
      </c>
      <c r="I396" s="13" t="s">
        <v>33</v>
      </c>
      <c r="J396" s="13" t="s">
        <v>93</v>
      </c>
      <c r="K396" s="92"/>
      <c r="L396" s="34" t="s">
        <v>7593</v>
      </c>
      <c r="M396" s="46" t="s">
        <v>10399</v>
      </c>
      <c r="N396" s="106"/>
      <c r="O396" s="145"/>
      <c r="P396" s="145"/>
      <c r="Q396" s="37"/>
      <c r="R396" s="145"/>
      <c r="S396" s="145"/>
      <c r="T396" s="313"/>
      <c r="U396" s="38"/>
      <c r="V396" s="38" t="s">
        <v>33</v>
      </c>
      <c r="W396" s="40"/>
      <c r="X396" s="40"/>
      <c r="Y396" s="349"/>
      <c r="Z396" s="313"/>
      <c r="AA396" s="313"/>
      <c r="AB396" s="313"/>
      <c r="AC396" s="313"/>
      <c r="AD396" s="313"/>
      <c r="AE396" s="313"/>
      <c r="AF396" s="313"/>
      <c r="AG396" s="313"/>
      <c r="AH396" s="313"/>
      <c r="AI396" s="313"/>
      <c r="AJ396" s="313"/>
      <c r="AK396" s="313"/>
      <c r="AL396" s="313"/>
      <c r="AM396" s="313"/>
      <c r="AN396" s="313"/>
      <c r="AO396" s="313"/>
      <c r="AP396" s="313"/>
      <c r="AQ396" s="313"/>
      <c r="AR396" s="313"/>
      <c r="AS396" s="313"/>
      <c r="AT396" s="313"/>
      <c r="AU396" s="313"/>
      <c r="AV396" s="313"/>
      <c r="AW396" s="313"/>
      <c r="AX396" s="313"/>
      <c r="AY396" s="313"/>
      <c r="AZ396" s="313"/>
      <c r="BA396" s="313"/>
      <c r="BB396" s="313"/>
      <c r="BC396" s="313"/>
      <c r="BD396" s="313"/>
      <c r="BE396" s="313"/>
      <c r="BF396" s="313"/>
      <c r="BG396" s="313"/>
      <c r="BH396" s="313"/>
      <c r="BI396" s="313"/>
      <c r="BJ396" s="313"/>
      <c r="BK396" s="313"/>
      <c r="BL396" s="313"/>
      <c r="BM396" s="313"/>
      <c r="BN396" s="313"/>
      <c r="BO396" s="313"/>
      <c r="BP396" s="313"/>
      <c r="BQ396" s="313"/>
    </row>
    <row r="397">
      <c r="A397" s="87" t="s">
        <v>10400</v>
      </c>
      <c r="B397" s="92"/>
      <c r="C397" s="30">
        <v>44056.0</v>
      </c>
      <c r="D397" s="92"/>
      <c r="E397" s="13" t="s">
        <v>41</v>
      </c>
      <c r="F397" s="13">
        <v>1.0</v>
      </c>
      <c r="G397" s="13" t="s">
        <v>32</v>
      </c>
      <c r="H397" s="50">
        <v>1.0</v>
      </c>
      <c r="I397" s="13" t="s">
        <v>33</v>
      </c>
      <c r="J397" s="13" t="s">
        <v>203</v>
      </c>
      <c r="K397" s="92"/>
      <c r="L397" s="34" t="s">
        <v>7593</v>
      </c>
      <c r="M397" s="46" t="s">
        <v>8661</v>
      </c>
      <c r="N397" s="106"/>
      <c r="O397" s="145"/>
      <c r="P397" s="145"/>
      <c r="Q397" s="37"/>
      <c r="R397" s="145"/>
      <c r="S397" s="145"/>
      <c r="T397" s="313"/>
      <c r="U397" s="38"/>
      <c r="V397" s="38" t="s">
        <v>33</v>
      </c>
      <c r="W397" s="40"/>
      <c r="X397" s="40"/>
      <c r="Y397" s="349"/>
      <c r="Z397" s="313"/>
      <c r="AA397" s="313"/>
      <c r="AB397" s="313"/>
      <c r="AC397" s="313"/>
      <c r="AD397" s="313"/>
      <c r="AE397" s="313"/>
      <c r="AF397" s="313"/>
      <c r="AG397" s="313"/>
      <c r="AH397" s="313"/>
      <c r="AI397" s="313"/>
      <c r="AJ397" s="313"/>
      <c r="AK397" s="313"/>
      <c r="AL397" s="313"/>
      <c r="AM397" s="313"/>
      <c r="AN397" s="313"/>
      <c r="AO397" s="313"/>
      <c r="AP397" s="313"/>
      <c r="AQ397" s="313"/>
      <c r="AR397" s="313"/>
      <c r="AS397" s="313"/>
      <c r="AT397" s="313"/>
      <c r="AU397" s="313"/>
      <c r="AV397" s="313"/>
      <c r="AW397" s="313"/>
      <c r="AX397" s="313"/>
      <c r="AY397" s="313"/>
      <c r="AZ397" s="313"/>
      <c r="BA397" s="313"/>
      <c r="BB397" s="313"/>
      <c r="BC397" s="313"/>
      <c r="BD397" s="313"/>
      <c r="BE397" s="313"/>
      <c r="BF397" s="313"/>
      <c r="BG397" s="313"/>
      <c r="BH397" s="313"/>
      <c r="BI397" s="313"/>
      <c r="BJ397" s="313"/>
      <c r="BK397" s="313"/>
      <c r="BL397" s="313"/>
      <c r="BM397" s="313"/>
      <c r="BN397" s="313"/>
      <c r="BO397" s="313"/>
      <c r="BP397" s="313"/>
      <c r="BQ397" s="313"/>
    </row>
    <row r="398">
      <c r="A398" s="87" t="s">
        <v>10401</v>
      </c>
      <c r="B398" s="92"/>
      <c r="C398" s="30">
        <v>44056.0</v>
      </c>
      <c r="D398" s="92"/>
      <c r="E398" s="13" t="s">
        <v>41</v>
      </c>
      <c r="F398" s="13">
        <v>1.0</v>
      </c>
      <c r="G398" s="13" t="s">
        <v>32</v>
      </c>
      <c r="H398" s="50">
        <v>1.0</v>
      </c>
      <c r="I398" s="13" t="s">
        <v>33</v>
      </c>
      <c r="J398" s="13" t="s">
        <v>203</v>
      </c>
      <c r="K398" s="92"/>
      <c r="L398" s="34" t="s">
        <v>7593</v>
      </c>
      <c r="M398" s="46" t="s">
        <v>8661</v>
      </c>
      <c r="N398" s="106"/>
      <c r="O398" s="145"/>
      <c r="P398" s="145"/>
      <c r="Q398" s="37"/>
      <c r="R398" s="145"/>
      <c r="S398" s="145"/>
      <c r="T398" s="313"/>
      <c r="U398" s="38"/>
      <c r="V398" s="38" t="s">
        <v>33</v>
      </c>
      <c r="W398" s="40"/>
      <c r="X398" s="40"/>
      <c r="Y398" s="349"/>
      <c r="Z398" s="313"/>
      <c r="AA398" s="313"/>
      <c r="AB398" s="313"/>
      <c r="AC398" s="313"/>
      <c r="AD398" s="313"/>
      <c r="AE398" s="313"/>
      <c r="AF398" s="313"/>
      <c r="AG398" s="313"/>
      <c r="AH398" s="313"/>
      <c r="AI398" s="313"/>
      <c r="AJ398" s="313"/>
      <c r="AK398" s="313"/>
      <c r="AL398" s="313"/>
      <c r="AM398" s="313"/>
      <c r="AN398" s="313"/>
      <c r="AO398" s="313"/>
      <c r="AP398" s="313"/>
      <c r="AQ398" s="313"/>
      <c r="AR398" s="313"/>
      <c r="AS398" s="313"/>
      <c r="AT398" s="313"/>
      <c r="AU398" s="313"/>
      <c r="AV398" s="313"/>
      <c r="AW398" s="313"/>
      <c r="AX398" s="313"/>
      <c r="AY398" s="313"/>
      <c r="AZ398" s="313"/>
      <c r="BA398" s="313"/>
      <c r="BB398" s="313"/>
      <c r="BC398" s="313"/>
      <c r="BD398" s="313"/>
      <c r="BE398" s="313"/>
      <c r="BF398" s="313"/>
      <c r="BG398" s="313"/>
      <c r="BH398" s="313"/>
      <c r="BI398" s="313"/>
      <c r="BJ398" s="313"/>
      <c r="BK398" s="313"/>
      <c r="BL398" s="313"/>
      <c r="BM398" s="313"/>
      <c r="BN398" s="313"/>
      <c r="BO398" s="313"/>
      <c r="BP398" s="313"/>
      <c r="BQ398" s="313"/>
    </row>
    <row r="399">
      <c r="A399" s="87" t="s">
        <v>10402</v>
      </c>
      <c r="B399" s="92"/>
      <c r="C399" s="30">
        <v>44056.0</v>
      </c>
      <c r="D399" s="92"/>
      <c r="E399" s="13" t="s">
        <v>41</v>
      </c>
      <c r="F399" s="13">
        <v>1.0</v>
      </c>
      <c r="G399" s="13" t="s">
        <v>32</v>
      </c>
      <c r="H399" s="50">
        <v>1.0</v>
      </c>
      <c r="I399" s="13" t="s">
        <v>33</v>
      </c>
      <c r="J399" s="13" t="s">
        <v>203</v>
      </c>
      <c r="K399" s="92"/>
      <c r="L399" s="34" t="s">
        <v>7593</v>
      </c>
      <c r="M399" s="46" t="s">
        <v>8661</v>
      </c>
      <c r="N399" s="106"/>
      <c r="O399" s="145"/>
      <c r="P399" s="145"/>
      <c r="Q399" s="37"/>
      <c r="R399" s="145"/>
      <c r="S399" s="145"/>
      <c r="T399" s="313"/>
      <c r="U399" s="38"/>
      <c r="V399" s="38" t="s">
        <v>33</v>
      </c>
      <c r="W399" s="40"/>
      <c r="X399" s="40"/>
      <c r="Y399" s="349"/>
      <c r="Z399" s="313"/>
      <c r="AA399" s="313"/>
      <c r="AB399" s="313"/>
      <c r="AC399" s="313"/>
      <c r="AD399" s="313"/>
      <c r="AE399" s="313"/>
      <c r="AF399" s="313"/>
      <c r="AG399" s="313"/>
      <c r="AH399" s="313"/>
      <c r="AI399" s="313"/>
      <c r="AJ399" s="313"/>
      <c r="AK399" s="313"/>
      <c r="AL399" s="313"/>
      <c r="AM399" s="313"/>
      <c r="AN399" s="313"/>
      <c r="AO399" s="313"/>
      <c r="AP399" s="313"/>
      <c r="AQ399" s="313"/>
      <c r="AR399" s="313"/>
      <c r="AS399" s="313"/>
      <c r="AT399" s="313"/>
      <c r="AU399" s="313"/>
      <c r="AV399" s="313"/>
      <c r="AW399" s="313"/>
      <c r="AX399" s="313"/>
      <c r="AY399" s="313"/>
      <c r="AZ399" s="313"/>
      <c r="BA399" s="313"/>
      <c r="BB399" s="313"/>
      <c r="BC399" s="313"/>
      <c r="BD399" s="313"/>
      <c r="BE399" s="313"/>
      <c r="BF399" s="313"/>
      <c r="BG399" s="313"/>
      <c r="BH399" s="313"/>
      <c r="BI399" s="313"/>
      <c r="BJ399" s="313"/>
      <c r="BK399" s="313"/>
      <c r="BL399" s="313"/>
      <c r="BM399" s="313"/>
      <c r="BN399" s="313"/>
      <c r="BO399" s="313"/>
      <c r="BP399" s="313"/>
      <c r="BQ399" s="313"/>
    </row>
    <row r="400">
      <c r="A400" s="87" t="s">
        <v>10403</v>
      </c>
      <c r="B400" s="92"/>
      <c r="C400" s="30">
        <v>44056.0</v>
      </c>
      <c r="D400" s="92"/>
      <c r="E400" s="13" t="s">
        <v>41</v>
      </c>
      <c r="F400" s="13">
        <v>1.0</v>
      </c>
      <c r="G400" s="13" t="s">
        <v>32</v>
      </c>
      <c r="H400" s="50">
        <v>1.0</v>
      </c>
      <c r="I400" s="13" t="s">
        <v>33</v>
      </c>
      <c r="J400" s="13" t="s">
        <v>203</v>
      </c>
      <c r="K400" s="92"/>
      <c r="L400" s="34" t="s">
        <v>7593</v>
      </c>
      <c r="M400" s="46" t="s">
        <v>8661</v>
      </c>
      <c r="N400" s="106"/>
      <c r="O400" s="145"/>
      <c r="P400" s="145"/>
      <c r="Q400" s="37"/>
      <c r="R400" s="145"/>
      <c r="S400" s="145"/>
      <c r="T400" s="313"/>
      <c r="U400" s="38"/>
      <c r="V400" s="38" t="s">
        <v>33</v>
      </c>
      <c r="W400" s="40"/>
      <c r="X400" s="40"/>
      <c r="Y400" s="349"/>
      <c r="Z400" s="313"/>
      <c r="AA400" s="313"/>
      <c r="AB400" s="313"/>
      <c r="AC400" s="313"/>
      <c r="AD400" s="313"/>
      <c r="AE400" s="313"/>
      <c r="AF400" s="313"/>
      <c r="AG400" s="313"/>
      <c r="AH400" s="313"/>
      <c r="AI400" s="313"/>
      <c r="AJ400" s="313"/>
      <c r="AK400" s="313"/>
      <c r="AL400" s="313"/>
      <c r="AM400" s="313"/>
      <c r="AN400" s="313"/>
      <c r="AO400" s="313"/>
      <c r="AP400" s="313"/>
      <c r="AQ400" s="313"/>
      <c r="AR400" s="313"/>
      <c r="AS400" s="313"/>
      <c r="AT400" s="313"/>
      <c r="AU400" s="313"/>
      <c r="AV400" s="313"/>
      <c r="AW400" s="313"/>
      <c r="AX400" s="313"/>
      <c r="AY400" s="313"/>
      <c r="AZ400" s="313"/>
      <c r="BA400" s="313"/>
      <c r="BB400" s="313"/>
      <c r="BC400" s="313"/>
      <c r="BD400" s="313"/>
      <c r="BE400" s="313"/>
      <c r="BF400" s="313"/>
      <c r="BG400" s="313"/>
      <c r="BH400" s="313"/>
      <c r="BI400" s="313"/>
      <c r="BJ400" s="313"/>
      <c r="BK400" s="313"/>
      <c r="BL400" s="313"/>
      <c r="BM400" s="313"/>
      <c r="BN400" s="313"/>
      <c r="BO400" s="313"/>
      <c r="BP400" s="313"/>
      <c r="BQ400" s="313"/>
    </row>
    <row r="401">
      <c r="A401" s="87" t="s">
        <v>10404</v>
      </c>
      <c r="B401" s="92"/>
      <c r="C401" s="30">
        <v>44056.0</v>
      </c>
      <c r="D401" s="92"/>
      <c r="E401" s="13" t="s">
        <v>41</v>
      </c>
      <c r="F401" s="13">
        <v>1.0</v>
      </c>
      <c r="G401" s="13" t="s">
        <v>32</v>
      </c>
      <c r="H401" s="50">
        <v>1.0</v>
      </c>
      <c r="I401" s="13" t="s">
        <v>33</v>
      </c>
      <c r="J401" s="13" t="s">
        <v>203</v>
      </c>
      <c r="K401" s="92"/>
      <c r="L401" s="34" t="s">
        <v>7593</v>
      </c>
      <c r="M401" s="46" t="s">
        <v>8661</v>
      </c>
      <c r="N401" s="106"/>
      <c r="O401" s="145"/>
      <c r="P401" s="145"/>
      <c r="Q401" s="37"/>
      <c r="R401" s="145"/>
      <c r="S401" s="145"/>
      <c r="T401" s="313"/>
      <c r="U401" s="38"/>
      <c r="V401" s="38" t="s">
        <v>33</v>
      </c>
      <c r="W401" s="40"/>
      <c r="X401" s="40"/>
      <c r="Y401" s="349"/>
      <c r="Z401" s="313"/>
      <c r="AA401" s="313"/>
      <c r="AB401" s="313"/>
      <c r="AC401" s="313"/>
      <c r="AD401" s="313"/>
      <c r="AE401" s="313"/>
      <c r="AF401" s="313"/>
      <c r="AG401" s="313"/>
      <c r="AH401" s="313"/>
      <c r="AI401" s="313"/>
      <c r="AJ401" s="313"/>
      <c r="AK401" s="313"/>
      <c r="AL401" s="313"/>
      <c r="AM401" s="313"/>
      <c r="AN401" s="313"/>
      <c r="AO401" s="313"/>
      <c r="AP401" s="313"/>
      <c r="AQ401" s="313"/>
      <c r="AR401" s="313"/>
      <c r="AS401" s="313"/>
      <c r="AT401" s="313"/>
      <c r="AU401" s="313"/>
      <c r="AV401" s="313"/>
      <c r="AW401" s="313"/>
      <c r="AX401" s="313"/>
      <c r="AY401" s="313"/>
      <c r="AZ401" s="313"/>
      <c r="BA401" s="313"/>
      <c r="BB401" s="313"/>
      <c r="BC401" s="313"/>
      <c r="BD401" s="313"/>
      <c r="BE401" s="313"/>
      <c r="BF401" s="313"/>
      <c r="BG401" s="313"/>
      <c r="BH401" s="313"/>
      <c r="BI401" s="313"/>
      <c r="BJ401" s="313"/>
      <c r="BK401" s="313"/>
      <c r="BL401" s="313"/>
      <c r="BM401" s="313"/>
      <c r="BN401" s="313"/>
      <c r="BO401" s="313"/>
      <c r="BP401" s="313"/>
      <c r="BQ401" s="313"/>
    </row>
    <row r="402">
      <c r="A402" s="87" t="s">
        <v>10405</v>
      </c>
      <c r="B402" s="92"/>
      <c r="C402" s="30">
        <v>44056.0</v>
      </c>
      <c r="D402" s="92"/>
      <c r="E402" s="13" t="s">
        <v>41</v>
      </c>
      <c r="F402" s="13">
        <v>1.0</v>
      </c>
      <c r="G402" s="13" t="s">
        <v>32</v>
      </c>
      <c r="H402" s="50">
        <v>1.0</v>
      </c>
      <c r="I402" s="13" t="s">
        <v>33</v>
      </c>
      <c r="J402" s="13" t="s">
        <v>203</v>
      </c>
      <c r="K402" s="92"/>
      <c r="L402" s="34" t="s">
        <v>7593</v>
      </c>
      <c r="M402" s="46" t="s">
        <v>8661</v>
      </c>
      <c r="N402" s="106"/>
      <c r="O402" s="145"/>
      <c r="P402" s="145"/>
      <c r="Q402" s="37"/>
      <c r="R402" s="145"/>
      <c r="S402" s="145"/>
      <c r="T402" s="313"/>
      <c r="U402" s="38"/>
      <c r="V402" s="38" t="s">
        <v>33</v>
      </c>
      <c r="W402" s="40"/>
      <c r="X402" s="40"/>
      <c r="Y402" s="349"/>
      <c r="Z402" s="313"/>
      <c r="AA402" s="313"/>
      <c r="AB402" s="313"/>
      <c r="AC402" s="313"/>
      <c r="AD402" s="313"/>
      <c r="AE402" s="313"/>
      <c r="AF402" s="313"/>
      <c r="AG402" s="313"/>
      <c r="AH402" s="313"/>
      <c r="AI402" s="313"/>
      <c r="AJ402" s="313"/>
      <c r="AK402" s="313"/>
      <c r="AL402" s="313"/>
      <c r="AM402" s="313"/>
      <c r="AN402" s="313"/>
      <c r="AO402" s="313"/>
      <c r="AP402" s="313"/>
      <c r="AQ402" s="313"/>
      <c r="AR402" s="313"/>
      <c r="AS402" s="313"/>
      <c r="AT402" s="313"/>
      <c r="AU402" s="313"/>
      <c r="AV402" s="313"/>
      <c r="AW402" s="313"/>
      <c r="AX402" s="313"/>
      <c r="AY402" s="313"/>
      <c r="AZ402" s="313"/>
      <c r="BA402" s="313"/>
      <c r="BB402" s="313"/>
      <c r="BC402" s="313"/>
      <c r="BD402" s="313"/>
      <c r="BE402" s="313"/>
      <c r="BF402" s="313"/>
      <c r="BG402" s="313"/>
      <c r="BH402" s="313"/>
      <c r="BI402" s="313"/>
      <c r="BJ402" s="313"/>
      <c r="BK402" s="313"/>
      <c r="BL402" s="313"/>
      <c r="BM402" s="313"/>
      <c r="BN402" s="313"/>
      <c r="BO402" s="313"/>
      <c r="BP402" s="313"/>
      <c r="BQ402" s="313"/>
    </row>
    <row r="403">
      <c r="A403" s="87" t="s">
        <v>10406</v>
      </c>
      <c r="B403" s="92"/>
      <c r="C403" s="30">
        <v>44063.0</v>
      </c>
      <c r="D403" s="92"/>
      <c r="E403" s="13" t="s">
        <v>41</v>
      </c>
      <c r="F403" s="13">
        <v>1.0</v>
      </c>
      <c r="G403" s="13" t="s">
        <v>32</v>
      </c>
      <c r="H403" s="50">
        <v>1.0</v>
      </c>
      <c r="I403" s="13" t="s">
        <v>33</v>
      </c>
      <c r="J403" s="13" t="s">
        <v>93</v>
      </c>
      <c r="K403" s="92"/>
      <c r="L403" s="34" t="s">
        <v>7593</v>
      </c>
      <c r="M403" s="46" t="s">
        <v>10407</v>
      </c>
      <c r="N403" s="106"/>
      <c r="O403" s="145"/>
      <c r="P403" s="145"/>
      <c r="Q403" s="37"/>
      <c r="R403" s="145"/>
      <c r="S403" s="145"/>
      <c r="T403" s="313"/>
      <c r="U403" s="38"/>
      <c r="V403" s="38" t="s">
        <v>33</v>
      </c>
      <c r="W403" s="40"/>
      <c r="X403" s="40"/>
      <c r="Y403" s="349"/>
      <c r="Z403" s="313"/>
      <c r="AA403" s="313"/>
      <c r="AB403" s="313"/>
      <c r="AC403" s="313"/>
      <c r="AD403" s="313"/>
      <c r="AE403" s="313"/>
      <c r="AF403" s="313"/>
      <c r="AG403" s="313"/>
      <c r="AH403" s="313"/>
      <c r="AI403" s="313"/>
      <c r="AJ403" s="313"/>
      <c r="AK403" s="313"/>
      <c r="AL403" s="313"/>
      <c r="AM403" s="313"/>
      <c r="AN403" s="313"/>
      <c r="AO403" s="313"/>
      <c r="AP403" s="313"/>
      <c r="AQ403" s="313"/>
      <c r="AR403" s="313"/>
      <c r="AS403" s="313"/>
      <c r="AT403" s="313"/>
      <c r="AU403" s="313"/>
      <c r="AV403" s="313"/>
      <c r="AW403" s="313"/>
      <c r="AX403" s="313"/>
      <c r="AY403" s="313"/>
      <c r="AZ403" s="313"/>
      <c r="BA403" s="313"/>
      <c r="BB403" s="313"/>
      <c r="BC403" s="313"/>
      <c r="BD403" s="313"/>
      <c r="BE403" s="313"/>
      <c r="BF403" s="313"/>
      <c r="BG403" s="313"/>
      <c r="BH403" s="313"/>
      <c r="BI403" s="313"/>
      <c r="BJ403" s="313"/>
      <c r="BK403" s="313"/>
      <c r="BL403" s="313"/>
      <c r="BM403" s="313"/>
      <c r="BN403" s="313"/>
      <c r="BO403" s="313"/>
      <c r="BP403" s="313"/>
      <c r="BQ403" s="313"/>
    </row>
    <row r="404">
      <c r="A404" s="87" t="s">
        <v>10408</v>
      </c>
      <c r="B404" s="92"/>
      <c r="C404" s="30">
        <v>44064.0</v>
      </c>
      <c r="D404" s="92"/>
      <c r="E404" s="13" t="s">
        <v>41</v>
      </c>
      <c r="F404" s="13">
        <v>1.0</v>
      </c>
      <c r="G404" s="13" t="s">
        <v>32</v>
      </c>
      <c r="H404" s="50">
        <v>1.0</v>
      </c>
      <c r="I404" s="13" t="s">
        <v>33</v>
      </c>
      <c r="J404" s="13" t="s">
        <v>144</v>
      </c>
      <c r="K404" s="92"/>
      <c r="L404" s="34" t="s">
        <v>10229</v>
      </c>
      <c r="M404" s="46" t="s">
        <v>10409</v>
      </c>
      <c r="N404" s="106"/>
      <c r="O404" s="145"/>
      <c r="P404" s="145"/>
      <c r="Q404" s="37"/>
      <c r="R404" s="145"/>
      <c r="S404" s="145"/>
      <c r="T404" s="313"/>
      <c r="U404" s="38"/>
      <c r="V404" s="38" t="s">
        <v>33</v>
      </c>
      <c r="W404" s="40"/>
      <c r="X404" s="40"/>
      <c r="Y404" s="349"/>
      <c r="Z404" s="313"/>
      <c r="AA404" s="313"/>
      <c r="AB404" s="313"/>
      <c r="AC404" s="313"/>
      <c r="AD404" s="313"/>
      <c r="AE404" s="313"/>
      <c r="AF404" s="313"/>
      <c r="AG404" s="313"/>
      <c r="AH404" s="313"/>
      <c r="AI404" s="313"/>
      <c r="AJ404" s="313"/>
      <c r="AK404" s="313"/>
      <c r="AL404" s="313"/>
      <c r="AM404" s="313"/>
      <c r="AN404" s="313"/>
      <c r="AO404" s="313"/>
      <c r="AP404" s="313"/>
      <c r="AQ404" s="313"/>
      <c r="AR404" s="313"/>
      <c r="AS404" s="313"/>
      <c r="AT404" s="313"/>
      <c r="AU404" s="313"/>
      <c r="AV404" s="313"/>
      <c r="AW404" s="313"/>
      <c r="AX404" s="313"/>
      <c r="AY404" s="313"/>
      <c r="AZ404" s="313"/>
      <c r="BA404" s="313"/>
      <c r="BB404" s="313"/>
      <c r="BC404" s="313"/>
      <c r="BD404" s="313"/>
      <c r="BE404" s="313"/>
      <c r="BF404" s="313"/>
      <c r="BG404" s="313"/>
      <c r="BH404" s="313"/>
      <c r="BI404" s="313"/>
      <c r="BJ404" s="313"/>
      <c r="BK404" s="313"/>
      <c r="BL404" s="313"/>
      <c r="BM404" s="313"/>
      <c r="BN404" s="313"/>
      <c r="BO404" s="313"/>
      <c r="BP404" s="313"/>
      <c r="BQ404" s="313"/>
    </row>
    <row r="405">
      <c r="A405" s="87" t="s">
        <v>10410</v>
      </c>
      <c r="B405" s="92"/>
      <c r="C405" s="30">
        <v>44070.0</v>
      </c>
      <c r="D405" s="92"/>
      <c r="E405" s="13" t="s">
        <v>41</v>
      </c>
      <c r="F405" s="13">
        <v>1.0</v>
      </c>
      <c r="G405" s="13" t="s">
        <v>32</v>
      </c>
      <c r="H405" s="50">
        <v>1.0</v>
      </c>
      <c r="I405" s="13" t="s">
        <v>33</v>
      </c>
      <c r="J405" s="13" t="s">
        <v>93</v>
      </c>
      <c r="K405" s="92"/>
      <c r="L405" s="34" t="s">
        <v>7593</v>
      </c>
      <c r="M405" s="106" t="s">
        <v>10411</v>
      </c>
      <c r="N405" s="106"/>
      <c r="O405" s="145"/>
      <c r="P405" s="145"/>
      <c r="Q405" s="37"/>
      <c r="R405" s="145"/>
      <c r="S405" s="145"/>
      <c r="T405" s="313"/>
      <c r="U405" s="38"/>
      <c r="V405" s="38" t="s">
        <v>33</v>
      </c>
      <c r="W405" s="40"/>
      <c r="X405" s="40"/>
      <c r="Y405" s="349"/>
      <c r="Z405" s="313"/>
      <c r="AA405" s="313"/>
      <c r="AB405" s="313"/>
      <c r="AC405" s="313"/>
      <c r="AD405" s="313"/>
      <c r="AE405" s="313"/>
      <c r="AF405" s="313"/>
      <c r="AG405" s="313"/>
      <c r="AH405" s="313"/>
      <c r="AI405" s="313"/>
      <c r="AJ405" s="313"/>
      <c r="AK405" s="313"/>
      <c r="AL405" s="313"/>
      <c r="AM405" s="313"/>
      <c r="AN405" s="313"/>
      <c r="AO405" s="313"/>
      <c r="AP405" s="313"/>
      <c r="AQ405" s="313"/>
      <c r="AR405" s="313"/>
      <c r="AS405" s="313"/>
      <c r="AT405" s="313"/>
      <c r="AU405" s="313"/>
      <c r="AV405" s="313"/>
      <c r="AW405" s="313"/>
      <c r="AX405" s="313"/>
      <c r="AY405" s="313"/>
      <c r="AZ405" s="313"/>
      <c r="BA405" s="313"/>
      <c r="BB405" s="313"/>
      <c r="BC405" s="313"/>
      <c r="BD405" s="313"/>
      <c r="BE405" s="313"/>
      <c r="BF405" s="313"/>
      <c r="BG405" s="313"/>
      <c r="BH405" s="313"/>
      <c r="BI405" s="313"/>
      <c r="BJ405" s="313"/>
      <c r="BK405" s="313"/>
      <c r="BL405" s="313"/>
      <c r="BM405" s="313"/>
      <c r="BN405" s="313"/>
      <c r="BO405" s="313"/>
      <c r="BP405" s="313"/>
      <c r="BQ405" s="313"/>
    </row>
    <row r="406">
      <c r="A406" s="87" t="s">
        <v>10412</v>
      </c>
      <c r="B406" s="92"/>
      <c r="C406" s="30">
        <v>44074.0</v>
      </c>
      <c r="D406" s="92"/>
      <c r="E406" s="13" t="s">
        <v>41</v>
      </c>
      <c r="F406" s="13">
        <v>1.0</v>
      </c>
      <c r="G406" s="13" t="s">
        <v>32</v>
      </c>
      <c r="H406" s="50">
        <v>1.0</v>
      </c>
      <c r="I406" s="13" t="s">
        <v>33</v>
      </c>
      <c r="J406" s="13" t="s">
        <v>184</v>
      </c>
      <c r="K406" s="92"/>
      <c r="L406" s="34" t="s">
        <v>7593</v>
      </c>
      <c r="M406" s="46" t="s">
        <v>10413</v>
      </c>
      <c r="N406" s="106"/>
      <c r="O406" s="145"/>
      <c r="P406" s="145"/>
      <c r="Q406" s="37"/>
      <c r="R406" s="145"/>
      <c r="S406" s="145"/>
      <c r="T406" s="313"/>
      <c r="U406" s="38"/>
      <c r="V406" s="38" t="s">
        <v>33</v>
      </c>
      <c r="W406" s="40"/>
      <c r="X406" s="40"/>
      <c r="Y406" s="349"/>
      <c r="Z406" s="313"/>
      <c r="AA406" s="313"/>
      <c r="AB406" s="313"/>
      <c r="AC406" s="313"/>
      <c r="AD406" s="313"/>
      <c r="AE406" s="313"/>
      <c r="AF406" s="313"/>
      <c r="AG406" s="313"/>
      <c r="AH406" s="313"/>
      <c r="AI406" s="313"/>
      <c r="AJ406" s="313"/>
      <c r="AK406" s="313"/>
      <c r="AL406" s="313"/>
      <c r="AM406" s="313"/>
      <c r="AN406" s="313"/>
      <c r="AO406" s="313"/>
      <c r="AP406" s="313"/>
      <c r="AQ406" s="313"/>
      <c r="AR406" s="313"/>
      <c r="AS406" s="313"/>
      <c r="AT406" s="313"/>
      <c r="AU406" s="313"/>
      <c r="AV406" s="313"/>
      <c r="AW406" s="313"/>
      <c r="AX406" s="313"/>
      <c r="AY406" s="313"/>
      <c r="AZ406" s="313"/>
      <c r="BA406" s="313"/>
      <c r="BB406" s="313"/>
      <c r="BC406" s="313"/>
      <c r="BD406" s="313"/>
      <c r="BE406" s="313"/>
      <c r="BF406" s="313"/>
      <c r="BG406" s="313"/>
      <c r="BH406" s="313"/>
      <c r="BI406" s="313"/>
      <c r="BJ406" s="313"/>
      <c r="BK406" s="313"/>
      <c r="BL406" s="313"/>
      <c r="BM406" s="313"/>
      <c r="BN406" s="313"/>
      <c r="BO406" s="313"/>
      <c r="BP406" s="313"/>
      <c r="BQ406" s="313"/>
    </row>
    <row r="407">
      <c r="A407" s="87" t="s">
        <v>10414</v>
      </c>
      <c r="B407" s="92"/>
      <c r="C407" s="30">
        <v>44074.0</v>
      </c>
      <c r="D407" s="92"/>
      <c r="E407" s="13" t="s">
        <v>41</v>
      </c>
      <c r="F407" s="13">
        <v>1.0</v>
      </c>
      <c r="G407" s="13" t="s">
        <v>32</v>
      </c>
      <c r="H407" s="50">
        <v>1.0</v>
      </c>
      <c r="I407" s="13" t="s">
        <v>33</v>
      </c>
      <c r="J407" s="13" t="s">
        <v>184</v>
      </c>
      <c r="K407" s="92"/>
      <c r="L407" s="34" t="s">
        <v>7593</v>
      </c>
      <c r="M407" s="46" t="s">
        <v>10415</v>
      </c>
      <c r="N407" s="106"/>
      <c r="O407" s="145"/>
      <c r="P407" s="145"/>
      <c r="Q407" s="37"/>
      <c r="R407" s="145"/>
      <c r="S407" s="145"/>
      <c r="T407" s="313"/>
      <c r="U407" s="38"/>
      <c r="V407" s="38" t="s">
        <v>33</v>
      </c>
      <c r="W407" s="40"/>
      <c r="X407" s="40"/>
      <c r="Y407" s="349"/>
      <c r="Z407" s="313"/>
      <c r="AA407" s="313"/>
      <c r="AB407" s="313"/>
      <c r="AC407" s="313"/>
      <c r="AD407" s="313"/>
      <c r="AE407" s="313"/>
      <c r="AF407" s="313"/>
      <c r="AG407" s="313"/>
      <c r="AH407" s="313"/>
      <c r="AI407" s="313"/>
      <c r="AJ407" s="313"/>
      <c r="AK407" s="313"/>
      <c r="AL407" s="313"/>
      <c r="AM407" s="313"/>
      <c r="AN407" s="313"/>
      <c r="AO407" s="313"/>
      <c r="AP407" s="313"/>
      <c r="AQ407" s="313"/>
      <c r="AR407" s="313"/>
      <c r="AS407" s="313"/>
      <c r="AT407" s="313"/>
      <c r="AU407" s="313"/>
      <c r="AV407" s="313"/>
      <c r="AW407" s="313"/>
      <c r="AX407" s="313"/>
      <c r="AY407" s="313"/>
      <c r="AZ407" s="313"/>
      <c r="BA407" s="313"/>
      <c r="BB407" s="313"/>
      <c r="BC407" s="313"/>
      <c r="BD407" s="313"/>
      <c r="BE407" s="313"/>
      <c r="BF407" s="313"/>
      <c r="BG407" s="313"/>
      <c r="BH407" s="313"/>
      <c r="BI407" s="313"/>
      <c r="BJ407" s="313"/>
      <c r="BK407" s="313"/>
      <c r="BL407" s="313"/>
      <c r="BM407" s="313"/>
      <c r="BN407" s="313"/>
      <c r="BO407" s="313"/>
      <c r="BP407" s="313"/>
      <c r="BQ407" s="313"/>
    </row>
    <row r="408">
      <c r="A408" s="87" t="s">
        <v>10416</v>
      </c>
      <c r="B408" s="92"/>
      <c r="C408" s="30">
        <v>44074.0</v>
      </c>
      <c r="D408" s="92"/>
      <c r="E408" s="13" t="s">
        <v>41</v>
      </c>
      <c r="F408" s="13">
        <v>1.0</v>
      </c>
      <c r="G408" s="13" t="s">
        <v>32</v>
      </c>
      <c r="H408" s="50">
        <v>1.0</v>
      </c>
      <c r="I408" s="13" t="s">
        <v>33</v>
      </c>
      <c r="J408" s="13" t="s">
        <v>184</v>
      </c>
      <c r="K408" s="92"/>
      <c r="L408" s="34" t="s">
        <v>7593</v>
      </c>
      <c r="M408" s="46" t="s">
        <v>10415</v>
      </c>
      <c r="N408" s="106"/>
      <c r="O408" s="145"/>
      <c r="P408" s="145"/>
      <c r="Q408" s="37"/>
      <c r="R408" s="145"/>
      <c r="S408" s="145"/>
      <c r="T408" s="313"/>
      <c r="U408" s="38"/>
      <c r="V408" s="38" t="s">
        <v>33</v>
      </c>
      <c r="W408" s="40"/>
      <c r="X408" s="40"/>
      <c r="Y408" s="349"/>
      <c r="Z408" s="313"/>
      <c r="AA408" s="313"/>
      <c r="AB408" s="313"/>
      <c r="AC408" s="313"/>
      <c r="AD408" s="313"/>
      <c r="AE408" s="313"/>
      <c r="AF408" s="313"/>
      <c r="AG408" s="313"/>
      <c r="AH408" s="313"/>
      <c r="AI408" s="313"/>
      <c r="AJ408" s="313"/>
      <c r="AK408" s="313"/>
      <c r="AL408" s="313"/>
      <c r="AM408" s="313"/>
      <c r="AN408" s="313"/>
      <c r="AO408" s="313"/>
      <c r="AP408" s="313"/>
      <c r="AQ408" s="313"/>
      <c r="AR408" s="313"/>
      <c r="AS408" s="313"/>
      <c r="AT408" s="313"/>
      <c r="AU408" s="313"/>
      <c r="AV408" s="313"/>
      <c r="AW408" s="313"/>
      <c r="AX408" s="313"/>
      <c r="AY408" s="313"/>
      <c r="AZ408" s="313"/>
      <c r="BA408" s="313"/>
      <c r="BB408" s="313"/>
      <c r="BC408" s="313"/>
      <c r="BD408" s="313"/>
      <c r="BE408" s="313"/>
      <c r="BF408" s="313"/>
      <c r="BG408" s="313"/>
      <c r="BH408" s="313"/>
      <c r="BI408" s="313"/>
      <c r="BJ408" s="313"/>
      <c r="BK408" s="313"/>
      <c r="BL408" s="313"/>
      <c r="BM408" s="313"/>
      <c r="BN408" s="313"/>
      <c r="BO408" s="313"/>
      <c r="BP408" s="313"/>
      <c r="BQ408" s="313"/>
    </row>
    <row r="409">
      <c r="A409" s="87" t="s">
        <v>10417</v>
      </c>
      <c r="B409" s="92"/>
      <c r="C409" s="30">
        <v>44074.0</v>
      </c>
      <c r="D409" s="92"/>
      <c r="E409" s="13" t="s">
        <v>41</v>
      </c>
      <c r="F409" s="13">
        <v>1.0</v>
      </c>
      <c r="G409" s="13" t="s">
        <v>32</v>
      </c>
      <c r="H409" s="50">
        <v>1.0</v>
      </c>
      <c r="I409" s="13" t="s">
        <v>33</v>
      </c>
      <c r="J409" s="13" t="s">
        <v>184</v>
      </c>
      <c r="K409" s="92"/>
      <c r="L409" s="34" t="s">
        <v>7593</v>
      </c>
      <c r="M409" s="46" t="s">
        <v>10415</v>
      </c>
      <c r="N409" s="106"/>
      <c r="O409" s="145"/>
      <c r="P409" s="145"/>
      <c r="Q409" s="37"/>
      <c r="R409" s="145"/>
      <c r="S409" s="145"/>
      <c r="T409" s="313"/>
      <c r="U409" s="38"/>
      <c r="V409" s="38" t="s">
        <v>33</v>
      </c>
      <c r="W409" s="40"/>
      <c r="X409" s="40"/>
      <c r="Y409" s="349"/>
      <c r="Z409" s="313"/>
      <c r="AA409" s="313"/>
      <c r="AB409" s="313"/>
      <c r="AC409" s="313"/>
      <c r="AD409" s="313"/>
      <c r="AE409" s="313"/>
      <c r="AF409" s="313"/>
      <c r="AG409" s="313"/>
      <c r="AH409" s="313"/>
      <c r="AI409" s="313"/>
      <c r="AJ409" s="313"/>
      <c r="AK409" s="313"/>
      <c r="AL409" s="313"/>
      <c r="AM409" s="313"/>
      <c r="AN409" s="313"/>
      <c r="AO409" s="313"/>
      <c r="AP409" s="313"/>
      <c r="AQ409" s="313"/>
      <c r="AR409" s="313"/>
      <c r="AS409" s="313"/>
      <c r="AT409" s="313"/>
      <c r="AU409" s="313"/>
      <c r="AV409" s="313"/>
      <c r="AW409" s="313"/>
      <c r="AX409" s="313"/>
      <c r="AY409" s="313"/>
      <c r="AZ409" s="313"/>
      <c r="BA409" s="313"/>
      <c r="BB409" s="313"/>
      <c r="BC409" s="313"/>
      <c r="BD409" s="313"/>
      <c r="BE409" s="313"/>
      <c r="BF409" s="313"/>
      <c r="BG409" s="313"/>
      <c r="BH409" s="313"/>
      <c r="BI409" s="313"/>
      <c r="BJ409" s="313"/>
      <c r="BK409" s="313"/>
      <c r="BL409" s="313"/>
      <c r="BM409" s="313"/>
      <c r="BN409" s="313"/>
      <c r="BO409" s="313"/>
      <c r="BP409" s="313"/>
      <c r="BQ409" s="313"/>
    </row>
    <row r="410">
      <c r="A410" s="87" t="s">
        <v>10418</v>
      </c>
      <c r="B410" s="92"/>
      <c r="C410" s="30">
        <v>44074.0</v>
      </c>
      <c r="D410" s="92"/>
      <c r="E410" s="13" t="s">
        <v>41</v>
      </c>
      <c r="F410" s="13">
        <v>1.0</v>
      </c>
      <c r="G410" s="13" t="s">
        <v>32</v>
      </c>
      <c r="H410" s="50">
        <v>1.0</v>
      </c>
      <c r="I410" s="13" t="s">
        <v>33</v>
      </c>
      <c r="J410" s="13" t="s">
        <v>184</v>
      </c>
      <c r="K410" s="92"/>
      <c r="L410" s="34" t="s">
        <v>7593</v>
      </c>
      <c r="M410" s="46" t="s">
        <v>10415</v>
      </c>
      <c r="N410" s="106"/>
      <c r="O410" s="145"/>
      <c r="P410" s="145"/>
      <c r="Q410" s="37"/>
      <c r="R410" s="145"/>
      <c r="S410" s="145"/>
      <c r="T410" s="313"/>
      <c r="U410" s="38"/>
      <c r="V410" s="38" t="s">
        <v>33</v>
      </c>
      <c r="W410" s="40"/>
      <c r="X410" s="40"/>
      <c r="Y410" s="349"/>
      <c r="Z410" s="313"/>
      <c r="AA410" s="313"/>
      <c r="AB410" s="313"/>
      <c r="AC410" s="313"/>
      <c r="AD410" s="313"/>
      <c r="AE410" s="313"/>
      <c r="AF410" s="313"/>
      <c r="AG410" s="313"/>
      <c r="AH410" s="313"/>
      <c r="AI410" s="313"/>
      <c r="AJ410" s="313"/>
      <c r="AK410" s="313"/>
      <c r="AL410" s="313"/>
      <c r="AM410" s="313"/>
      <c r="AN410" s="313"/>
      <c r="AO410" s="313"/>
      <c r="AP410" s="313"/>
      <c r="AQ410" s="313"/>
      <c r="AR410" s="313"/>
      <c r="AS410" s="313"/>
      <c r="AT410" s="313"/>
      <c r="AU410" s="313"/>
      <c r="AV410" s="313"/>
      <c r="AW410" s="313"/>
      <c r="AX410" s="313"/>
      <c r="AY410" s="313"/>
      <c r="AZ410" s="313"/>
      <c r="BA410" s="313"/>
      <c r="BB410" s="313"/>
      <c r="BC410" s="313"/>
      <c r="BD410" s="313"/>
      <c r="BE410" s="313"/>
      <c r="BF410" s="313"/>
      <c r="BG410" s="313"/>
      <c r="BH410" s="313"/>
      <c r="BI410" s="313"/>
      <c r="BJ410" s="313"/>
      <c r="BK410" s="313"/>
      <c r="BL410" s="313"/>
      <c r="BM410" s="313"/>
      <c r="BN410" s="313"/>
      <c r="BO410" s="313"/>
      <c r="BP410" s="313"/>
      <c r="BQ410" s="313"/>
    </row>
    <row r="411">
      <c r="A411" s="87" t="s">
        <v>10419</v>
      </c>
      <c r="B411" s="92"/>
      <c r="C411" s="30">
        <v>44074.0</v>
      </c>
      <c r="D411" s="92"/>
      <c r="E411" s="13" t="s">
        <v>41</v>
      </c>
      <c r="F411" s="13">
        <v>1.0</v>
      </c>
      <c r="G411" s="13" t="s">
        <v>32</v>
      </c>
      <c r="H411" s="50">
        <v>1.0</v>
      </c>
      <c r="I411" s="13" t="s">
        <v>33</v>
      </c>
      <c r="J411" s="13" t="s">
        <v>184</v>
      </c>
      <c r="K411" s="92"/>
      <c r="L411" s="34" t="s">
        <v>7593</v>
      </c>
      <c r="M411" s="46" t="s">
        <v>10415</v>
      </c>
      <c r="N411" s="106"/>
      <c r="O411" s="145"/>
      <c r="P411" s="145"/>
      <c r="Q411" s="37"/>
      <c r="R411" s="145"/>
      <c r="S411" s="145"/>
      <c r="T411" s="313"/>
      <c r="U411" s="38"/>
      <c r="V411" s="38" t="s">
        <v>33</v>
      </c>
      <c r="W411" s="40"/>
      <c r="X411" s="40"/>
      <c r="Y411" s="349"/>
      <c r="Z411" s="313"/>
      <c r="AA411" s="313"/>
      <c r="AB411" s="313"/>
      <c r="AC411" s="313"/>
      <c r="AD411" s="313"/>
      <c r="AE411" s="313"/>
      <c r="AF411" s="313"/>
      <c r="AG411" s="313"/>
      <c r="AH411" s="313"/>
      <c r="AI411" s="313"/>
      <c r="AJ411" s="313"/>
      <c r="AK411" s="313"/>
      <c r="AL411" s="313"/>
      <c r="AM411" s="313"/>
      <c r="AN411" s="313"/>
      <c r="AO411" s="313"/>
      <c r="AP411" s="313"/>
      <c r="AQ411" s="313"/>
      <c r="AR411" s="313"/>
      <c r="AS411" s="313"/>
      <c r="AT411" s="313"/>
      <c r="AU411" s="313"/>
      <c r="AV411" s="313"/>
      <c r="AW411" s="313"/>
      <c r="AX411" s="313"/>
      <c r="AY411" s="313"/>
      <c r="AZ411" s="313"/>
      <c r="BA411" s="313"/>
      <c r="BB411" s="313"/>
      <c r="BC411" s="313"/>
      <c r="BD411" s="313"/>
      <c r="BE411" s="313"/>
      <c r="BF411" s="313"/>
      <c r="BG411" s="313"/>
      <c r="BH411" s="313"/>
      <c r="BI411" s="313"/>
      <c r="BJ411" s="313"/>
      <c r="BK411" s="313"/>
      <c r="BL411" s="313"/>
      <c r="BM411" s="313"/>
      <c r="BN411" s="313"/>
      <c r="BO411" s="313"/>
      <c r="BP411" s="313"/>
      <c r="BQ411" s="313"/>
    </row>
    <row r="412">
      <c r="A412" s="87" t="s">
        <v>10420</v>
      </c>
      <c r="B412" s="92"/>
      <c r="C412" s="30">
        <v>44074.0</v>
      </c>
      <c r="D412" s="92"/>
      <c r="E412" s="13" t="s">
        <v>41</v>
      </c>
      <c r="F412" s="13">
        <v>1.0</v>
      </c>
      <c r="G412" s="13" t="s">
        <v>32</v>
      </c>
      <c r="H412" s="50">
        <v>1.0</v>
      </c>
      <c r="I412" s="13" t="s">
        <v>33</v>
      </c>
      <c r="J412" s="13" t="s">
        <v>184</v>
      </c>
      <c r="K412" s="92"/>
      <c r="L412" s="34" t="s">
        <v>7593</v>
      </c>
      <c r="M412" s="46" t="s">
        <v>10415</v>
      </c>
      <c r="N412" s="106"/>
      <c r="O412" s="145"/>
      <c r="P412" s="145"/>
      <c r="Q412" s="37"/>
      <c r="R412" s="145"/>
      <c r="S412" s="145"/>
      <c r="T412" s="313"/>
      <c r="U412" s="38"/>
      <c r="V412" s="38" t="s">
        <v>33</v>
      </c>
      <c r="W412" s="40"/>
      <c r="X412" s="40"/>
      <c r="Y412" s="349"/>
      <c r="Z412" s="313"/>
      <c r="AA412" s="313"/>
      <c r="AB412" s="313"/>
      <c r="AC412" s="313"/>
      <c r="AD412" s="313"/>
      <c r="AE412" s="313"/>
      <c r="AF412" s="313"/>
      <c r="AG412" s="313"/>
      <c r="AH412" s="313"/>
      <c r="AI412" s="313"/>
      <c r="AJ412" s="313"/>
      <c r="AK412" s="313"/>
      <c r="AL412" s="313"/>
      <c r="AM412" s="313"/>
      <c r="AN412" s="313"/>
      <c r="AO412" s="313"/>
      <c r="AP412" s="313"/>
      <c r="AQ412" s="313"/>
      <c r="AR412" s="313"/>
      <c r="AS412" s="313"/>
      <c r="AT412" s="313"/>
      <c r="AU412" s="313"/>
      <c r="AV412" s="313"/>
      <c r="AW412" s="313"/>
      <c r="AX412" s="313"/>
      <c r="AY412" s="313"/>
      <c r="AZ412" s="313"/>
      <c r="BA412" s="313"/>
      <c r="BB412" s="313"/>
      <c r="BC412" s="313"/>
      <c r="BD412" s="313"/>
      <c r="BE412" s="313"/>
      <c r="BF412" s="313"/>
      <c r="BG412" s="313"/>
      <c r="BH412" s="313"/>
      <c r="BI412" s="313"/>
      <c r="BJ412" s="313"/>
      <c r="BK412" s="313"/>
      <c r="BL412" s="313"/>
      <c r="BM412" s="313"/>
      <c r="BN412" s="313"/>
      <c r="BO412" s="313"/>
      <c r="BP412" s="313"/>
      <c r="BQ412" s="313"/>
    </row>
    <row r="413">
      <c r="A413" s="87" t="s">
        <v>10421</v>
      </c>
      <c r="B413" s="92"/>
      <c r="C413" s="30">
        <v>44074.0</v>
      </c>
      <c r="D413" s="92"/>
      <c r="E413" s="13" t="s">
        <v>41</v>
      </c>
      <c r="F413" s="13">
        <v>1.0</v>
      </c>
      <c r="G413" s="13" t="s">
        <v>32</v>
      </c>
      <c r="H413" s="50">
        <v>1.0</v>
      </c>
      <c r="I413" s="13" t="s">
        <v>33</v>
      </c>
      <c r="J413" s="13" t="s">
        <v>184</v>
      </c>
      <c r="K413" s="92"/>
      <c r="L413" s="34" t="s">
        <v>7593</v>
      </c>
      <c r="M413" s="46" t="s">
        <v>10415</v>
      </c>
      <c r="N413" s="106"/>
      <c r="O413" s="145"/>
      <c r="P413" s="145"/>
      <c r="Q413" s="37"/>
      <c r="R413" s="145"/>
      <c r="S413" s="145"/>
      <c r="T413" s="313"/>
      <c r="U413" s="38"/>
      <c r="V413" s="38" t="s">
        <v>33</v>
      </c>
      <c r="W413" s="40"/>
      <c r="X413" s="40"/>
      <c r="Y413" s="349"/>
      <c r="Z413" s="313"/>
      <c r="AA413" s="313"/>
      <c r="AB413" s="313"/>
      <c r="AC413" s="313"/>
      <c r="AD413" s="313"/>
      <c r="AE413" s="313"/>
      <c r="AF413" s="313"/>
      <c r="AG413" s="313"/>
      <c r="AH413" s="313"/>
      <c r="AI413" s="313"/>
      <c r="AJ413" s="313"/>
      <c r="AK413" s="313"/>
      <c r="AL413" s="313"/>
      <c r="AM413" s="313"/>
      <c r="AN413" s="313"/>
      <c r="AO413" s="313"/>
      <c r="AP413" s="313"/>
      <c r="AQ413" s="313"/>
      <c r="AR413" s="313"/>
      <c r="AS413" s="313"/>
      <c r="AT413" s="313"/>
      <c r="AU413" s="313"/>
      <c r="AV413" s="313"/>
      <c r="AW413" s="313"/>
      <c r="AX413" s="313"/>
      <c r="AY413" s="313"/>
      <c r="AZ413" s="313"/>
      <c r="BA413" s="313"/>
      <c r="BB413" s="313"/>
      <c r="BC413" s="313"/>
      <c r="BD413" s="313"/>
      <c r="BE413" s="313"/>
      <c r="BF413" s="313"/>
      <c r="BG413" s="313"/>
      <c r="BH413" s="313"/>
      <c r="BI413" s="313"/>
      <c r="BJ413" s="313"/>
      <c r="BK413" s="313"/>
      <c r="BL413" s="313"/>
      <c r="BM413" s="313"/>
      <c r="BN413" s="313"/>
      <c r="BO413" s="313"/>
      <c r="BP413" s="313"/>
      <c r="BQ413" s="313"/>
    </row>
    <row r="414">
      <c r="A414" s="87" t="s">
        <v>10422</v>
      </c>
      <c r="B414" s="92"/>
      <c r="C414" s="30">
        <v>44074.0</v>
      </c>
      <c r="D414" s="92"/>
      <c r="E414" s="13" t="s">
        <v>41</v>
      </c>
      <c r="F414" s="13">
        <v>1.0</v>
      </c>
      <c r="G414" s="13" t="s">
        <v>32</v>
      </c>
      <c r="H414" s="50">
        <v>1.0</v>
      </c>
      <c r="I414" s="13" t="s">
        <v>33</v>
      </c>
      <c r="J414" s="13" t="s">
        <v>184</v>
      </c>
      <c r="K414" s="92"/>
      <c r="L414" s="34" t="s">
        <v>7593</v>
      </c>
      <c r="M414" s="46" t="s">
        <v>10415</v>
      </c>
      <c r="N414" s="106"/>
      <c r="O414" s="145"/>
      <c r="P414" s="145"/>
      <c r="Q414" s="37"/>
      <c r="R414" s="145"/>
      <c r="S414" s="145"/>
      <c r="T414" s="313"/>
      <c r="U414" s="38"/>
      <c r="V414" s="38" t="s">
        <v>33</v>
      </c>
      <c r="W414" s="40"/>
      <c r="X414" s="40"/>
      <c r="Y414" s="349"/>
      <c r="Z414" s="313"/>
      <c r="AA414" s="313"/>
      <c r="AB414" s="313"/>
      <c r="AC414" s="313"/>
      <c r="AD414" s="313"/>
      <c r="AE414" s="313"/>
      <c r="AF414" s="313"/>
      <c r="AG414" s="313"/>
      <c r="AH414" s="313"/>
      <c r="AI414" s="313"/>
      <c r="AJ414" s="313"/>
      <c r="AK414" s="313"/>
      <c r="AL414" s="313"/>
      <c r="AM414" s="313"/>
      <c r="AN414" s="313"/>
      <c r="AO414" s="313"/>
      <c r="AP414" s="313"/>
      <c r="AQ414" s="313"/>
      <c r="AR414" s="313"/>
      <c r="AS414" s="313"/>
      <c r="AT414" s="313"/>
      <c r="AU414" s="313"/>
      <c r="AV414" s="313"/>
      <c r="AW414" s="313"/>
      <c r="AX414" s="313"/>
      <c r="AY414" s="313"/>
      <c r="AZ414" s="313"/>
      <c r="BA414" s="313"/>
      <c r="BB414" s="313"/>
      <c r="BC414" s="313"/>
      <c r="BD414" s="313"/>
      <c r="BE414" s="313"/>
      <c r="BF414" s="313"/>
      <c r="BG414" s="313"/>
      <c r="BH414" s="313"/>
      <c r="BI414" s="313"/>
      <c r="BJ414" s="313"/>
      <c r="BK414" s="313"/>
      <c r="BL414" s="313"/>
      <c r="BM414" s="313"/>
      <c r="BN414" s="313"/>
      <c r="BO414" s="313"/>
      <c r="BP414" s="313"/>
      <c r="BQ414" s="313"/>
    </row>
    <row r="415">
      <c r="A415" s="87" t="s">
        <v>10423</v>
      </c>
      <c r="B415" s="92"/>
      <c r="C415" s="30">
        <v>44074.0</v>
      </c>
      <c r="D415" s="92"/>
      <c r="E415" s="13" t="s">
        <v>41</v>
      </c>
      <c r="F415" s="13">
        <v>1.0</v>
      </c>
      <c r="G415" s="13" t="s">
        <v>32</v>
      </c>
      <c r="H415" s="50">
        <v>1.0</v>
      </c>
      <c r="I415" s="13" t="s">
        <v>33</v>
      </c>
      <c r="J415" s="13" t="s">
        <v>184</v>
      </c>
      <c r="K415" s="92"/>
      <c r="L415" s="34" t="s">
        <v>7593</v>
      </c>
      <c r="M415" s="46" t="s">
        <v>10415</v>
      </c>
      <c r="N415" s="106"/>
      <c r="O415" s="145"/>
      <c r="P415" s="145"/>
      <c r="Q415" s="37"/>
      <c r="R415" s="145"/>
      <c r="S415" s="145"/>
      <c r="T415" s="313"/>
      <c r="U415" s="38"/>
      <c r="V415" s="38" t="s">
        <v>33</v>
      </c>
      <c r="W415" s="40"/>
      <c r="X415" s="40"/>
      <c r="Y415" s="349"/>
      <c r="Z415" s="313"/>
      <c r="AA415" s="313"/>
      <c r="AB415" s="313"/>
      <c r="AC415" s="313"/>
      <c r="AD415" s="313"/>
      <c r="AE415" s="313"/>
      <c r="AF415" s="313"/>
      <c r="AG415" s="313"/>
      <c r="AH415" s="313"/>
      <c r="AI415" s="313"/>
      <c r="AJ415" s="313"/>
      <c r="AK415" s="313"/>
      <c r="AL415" s="313"/>
      <c r="AM415" s="313"/>
      <c r="AN415" s="313"/>
      <c r="AO415" s="313"/>
      <c r="AP415" s="313"/>
      <c r="AQ415" s="313"/>
      <c r="AR415" s="313"/>
      <c r="AS415" s="313"/>
      <c r="AT415" s="313"/>
      <c r="AU415" s="313"/>
      <c r="AV415" s="313"/>
      <c r="AW415" s="313"/>
      <c r="AX415" s="313"/>
      <c r="AY415" s="313"/>
      <c r="AZ415" s="313"/>
      <c r="BA415" s="313"/>
      <c r="BB415" s="313"/>
      <c r="BC415" s="313"/>
      <c r="BD415" s="313"/>
      <c r="BE415" s="313"/>
      <c r="BF415" s="313"/>
      <c r="BG415" s="313"/>
      <c r="BH415" s="313"/>
      <c r="BI415" s="313"/>
      <c r="BJ415" s="313"/>
      <c r="BK415" s="313"/>
      <c r="BL415" s="313"/>
      <c r="BM415" s="313"/>
      <c r="BN415" s="313"/>
      <c r="BO415" s="313"/>
      <c r="BP415" s="313"/>
      <c r="BQ415" s="313"/>
    </row>
    <row r="416">
      <c r="A416" s="87" t="s">
        <v>10424</v>
      </c>
      <c r="B416" s="92"/>
      <c r="C416" s="31">
        <v>44075.0</v>
      </c>
      <c r="D416" s="92"/>
      <c r="E416" s="13" t="s">
        <v>41</v>
      </c>
      <c r="F416" s="13">
        <v>1.0</v>
      </c>
      <c r="G416" s="13">
        <v>1.0</v>
      </c>
      <c r="H416" s="50">
        <v>1.0</v>
      </c>
      <c r="I416" s="13" t="s">
        <v>33</v>
      </c>
      <c r="J416" s="13" t="s">
        <v>268</v>
      </c>
      <c r="K416" s="92"/>
      <c r="L416" s="34" t="s">
        <v>9380</v>
      </c>
      <c r="M416" s="106" t="s">
        <v>10425</v>
      </c>
      <c r="N416" s="106"/>
      <c r="O416" s="145"/>
      <c r="P416" s="145"/>
      <c r="Q416" s="37"/>
      <c r="R416" s="145"/>
      <c r="S416" s="145"/>
      <c r="T416" s="313"/>
      <c r="U416" s="38"/>
      <c r="V416" s="38" t="s">
        <v>33</v>
      </c>
      <c r="W416" s="40"/>
      <c r="X416" s="40"/>
      <c r="Y416" s="349"/>
      <c r="Z416" s="313"/>
      <c r="AA416" s="313"/>
      <c r="AB416" s="313"/>
      <c r="AC416" s="313"/>
      <c r="AD416" s="313"/>
      <c r="AE416" s="313"/>
      <c r="AF416" s="313"/>
      <c r="AG416" s="313"/>
      <c r="AH416" s="313"/>
      <c r="AI416" s="313"/>
      <c r="AJ416" s="313"/>
      <c r="AK416" s="313"/>
      <c r="AL416" s="313"/>
      <c r="AM416" s="313"/>
      <c r="AN416" s="313"/>
      <c r="AO416" s="313"/>
      <c r="AP416" s="313"/>
      <c r="AQ416" s="313"/>
      <c r="AR416" s="313"/>
      <c r="AS416" s="313"/>
      <c r="AT416" s="313"/>
      <c r="AU416" s="313"/>
      <c r="AV416" s="313"/>
      <c r="AW416" s="313"/>
      <c r="AX416" s="313"/>
      <c r="AY416" s="313"/>
      <c r="AZ416" s="313"/>
      <c r="BA416" s="313"/>
      <c r="BB416" s="313"/>
      <c r="BC416" s="313"/>
      <c r="BD416" s="313"/>
      <c r="BE416" s="313"/>
      <c r="BF416" s="313"/>
      <c r="BG416" s="313"/>
      <c r="BH416" s="313"/>
      <c r="BI416" s="313"/>
      <c r="BJ416" s="313"/>
      <c r="BK416" s="313"/>
      <c r="BL416" s="313"/>
      <c r="BM416" s="313"/>
      <c r="BN416" s="313"/>
      <c r="BO416" s="313"/>
      <c r="BP416" s="313"/>
      <c r="BQ416" s="313"/>
    </row>
    <row r="417">
      <c r="A417" s="87" t="s">
        <v>10426</v>
      </c>
      <c r="B417" s="92"/>
      <c r="C417" s="31">
        <v>44075.0</v>
      </c>
      <c r="D417" s="92"/>
      <c r="E417" s="13" t="s">
        <v>41</v>
      </c>
      <c r="F417" s="13">
        <v>1.0</v>
      </c>
      <c r="G417" s="13">
        <v>1.0</v>
      </c>
      <c r="H417" s="50">
        <v>1.0</v>
      </c>
      <c r="I417" s="13" t="s">
        <v>33</v>
      </c>
      <c r="J417" s="13" t="s">
        <v>268</v>
      </c>
      <c r="K417" s="92"/>
      <c r="L417" s="34" t="s">
        <v>9380</v>
      </c>
      <c r="M417" s="46" t="s">
        <v>10427</v>
      </c>
      <c r="N417" s="106"/>
      <c r="O417" s="145"/>
      <c r="P417" s="145"/>
      <c r="Q417" s="37"/>
      <c r="R417" s="145"/>
      <c r="S417" s="145"/>
      <c r="T417" s="313"/>
      <c r="U417" s="38"/>
      <c r="V417" s="38" t="s">
        <v>33</v>
      </c>
      <c r="W417" s="40"/>
      <c r="X417" s="40"/>
      <c r="Y417" s="349"/>
      <c r="Z417" s="313"/>
      <c r="AA417" s="313"/>
      <c r="AB417" s="313"/>
      <c r="AC417" s="313"/>
      <c r="AD417" s="313"/>
      <c r="AE417" s="313"/>
      <c r="AF417" s="313"/>
      <c r="AG417" s="313"/>
      <c r="AH417" s="313"/>
      <c r="AI417" s="313"/>
      <c r="AJ417" s="313"/>
      <c r="AK417" s="313"/>
      <c r="AL417" s="313"/>
      <c r="AM417" s="313"/>
      <c r="AN417" s="313"/>
      <c r="AO417" s="313"/>
      <c r="AP417" s="313"/>
      <c r="AQ417" s="313"/>
      <c r="AR417" s="313"/>
      <c r="AS417" s="313"/>
      <c r="AT417" s="313"/>
      <c r="AU417" s="313"/>
      <c r="AV417" s="313"/>
      <c r="AW417" s="313"/>
      <c r="AX417" s="313"/>
      <c r="AY417" s="313"/>
      <c r="AZ417" s="313"/>
      <c r="BA417" s="313"/>
      <c r="BB417" s="313"/>
      <c r="BC417" s="313"/>
      <c r="BD417" s="313"/>
      <c r="BE417" s="313"/>
      <c r="BF417" s="313"/>
      <c r="BG417" s="313"/>
      <c r="BH417" s="313"/>
      <c r="BI417" s="313"/>
      <c r="BJ417" s="313"/>
      <c r="BK417" s="313"/>
      <c r="BL417" s="313"/>
      <c r="BM417" s="313"/>
      <c r="BN417" s="313"/>
      <c r="BO417" s="313"/>
      <c r="BP417" s="313"/>
      <c r="BQ417" s="313"/>
    </row>
    <row r="418">
      <c r="A418" s="87" t="s">
        <v>10428</v>
      </c>
      <c r="B418" s="92"/>
      <c r="C418" s="31">
        <v>44075.0</v>
      </c>
      <c r="D418" s="92"/>
      <c r="E418" s="13" t="s">
        <v>41</v>
      </c>
      <c r="F418" s="13">
        <v>1.0</v>
      </c>
      <c r="G418" s="13">
        <v>1.0</v>
      </c>
      <c r="H418" s="50">
        <v>1.0</v>
      </c>
      <c r="I418" s="13" t="s">
        <v>33</v>
      </c>
      <c r="J418" s="13" t="s">
        <v>268</v>
      </c>
      <c r="K418" s="92"/>
      <c r="L418" s="34" t="s">
        <v>10396</v>
      </c>
      <c r="M418" s="106" t="s">
        <v>10429</v>
      </c>
      <c r="N418" s="106"/>
      <c r="O418" s="145"/>
      <c r="P418" s="145"/>
      <c r="Q418" s="37"/>
      <c r="R418" s="145"/>
      <c r="S418" s="145"/>
      <c r="T418" s="313"/>
      <c r="U418" s="38"/>
      <c r="V418" s="38" t="s">
        <v>33</v>
      </c>
      <c r="W418" s="40"/>
      <c r="X418" s="40"/>
      <c r="Y418" s="349"/>
      <c r="Z418" s="313"/>
      <c r="AA418" s="313"/>
      <c r="AB418" s="313"/>
      <c r="AC418" s="313"/>
      <c r="AD418" s="313"/>
      <c r="AE418" s="313"/>
      <c r="AF418" s="313"/>
      <c r="AG418" s="313"/>
      <c r="AH418" s="313"/>
      <c r="AI418" s="313"/>
      <c r="AJ418" s="313"/>
      <c r="AK418" s="313"/>
      <c r="AL418" s="313"/>
      <c r="AM418" s="313"/>
      <c r="AN418" s="313"/>
      <c r="AO418" s="313"/>
      <c r="AP418" s="313"/>
      <c r="AQ418" s="313"/>
      <c r="AR418" s="313"/>
      <c r="AS418" s="313"/>
      <c r="AT418" s="313"/>
      <c r="AU418" s="313"/>
      <c r="AV418" s="313"/>
      <c r="AW418" s="313"/>
      <c r="AX418" s="313"/>
      <c r="AY418" s="313"/>
      <c r="AZ418" s="313"/>
      <c r="BA418" s="313"/>
      <c r="BB418" s="313"/>
      <c r="BC418" s="313"/>
      <c r="BD418" s="313"/>
      <c r="BE418" s="313"/>
      <c r="BF418" s="313"/>
      <c r="BG418" s="313"/>
      <c r="BH418" s="313"/>
      <c r="BI418" s="313"/>
      <c r="BJ418" s="313"/>
      <c r="BK418" s="313"/>
      <c r="BL418" s="313"/>
      <c r="BM418" s="313"/>
      <c r="BN418" s="313"/>
      <c r="BO418" s="313"/>
      <c r="BP418" s="313"/>
      <c r="BQ418" s="313"/>
    </row>
    <row r="419">
      <c r="A419" s="87" t="s">
        <v>239</v>
      </c>
      <c r="B419" s="92"/>
      <c r="C419" s="31">
        <v>44075.0</v>
      </c>
      <c r="D419" s="92"/>
      <c r="E419" s="13" t="s">
        <v>41</v>
      </c>
      <c r="F419" s="13">
        <v>3.0</v>
      </c>
      <c r="G419" s="13">
        <v>3.0</v>
      </c>
      <c r="H419" s="50">
        <v>3.0</v>
      </c>
      <c r="I419" s="13" t="s">
        <v>33</v>
      </c>
      <c r="J419" s="13" t="s">
        <v>61</v>
      </c>
      <c r="K419" s="92"/>
      <c r="L419" s="34" t="s">
        <v>10430</v>
      </c>
      <c r="M419" s="46" t="s">
        <v>10431</v>
      </c>
      <c r="N419" s="106"/>
      <c r="O419" s="145"/>
      <c r="P419" s="145"/>
      <c r="Q419" s="37"/>
      <c r="R419" s="145"/>
      <c r="S419" s="145"/>
      <c r="T419" s="313"/>
      <c r="U419" s="38"/>
      <c r="V419" s="38" t="s">
        <v>33</v>
      </c>
      <c r="W419" s="40"/>
      <c r="X419" s="40"/>
      <c r="Y419" s="349"/>
      <c r="Z419" s="313"/>
      <c r="AA419" s="313"/>
      <c r="AB419" s="313"/>
      <c r="AC419" s="313"/>
      <c r="AD419" s="313"/>
      <c r="AE419" s="313"/>
      <c r="AF419" s="313"/>
      <c r="AG419" s="313"/>
      <c r="AH419" s="313"/>
      <c r="AI419" s="313"/>
      <c r="AJ419" s="313"/>
      <c r="AK419" s="313"/>
      <c r="AL419" s="313"/>
      <c r="AM419" s="313"/>
      <c r="AN419" s="313"/>
      <c r="AO419" s="313"/>
      <c r="AP419" s="313"/>
      <c r="AQ419" s="313"/>
      <c r="AR419" s="313"/>
      <c r="AS419" s="313"/>
      <c r="AT419" s="313"/>
      <c r="AU419" s="313"/>
      <c r="AV419" s="313"/>
      <c r="AW419" s="313"/>
      <c r="AX419" s="313"/>
      <c r="AY419" s="313"/>
      <c r="AZ419" s="313"/>
      <c r="BA419" s="313"/>
      <c r="BB419" s="313"/>
      <c r="BC419" s="313"/>
      <c r="BD419" s="313"/>
      <c r="BE419" s="313"/>
      <c r="BF419" s="313"/>
      <c r="BG419" s="313"/>
      <c r="BH419" s="313"/>
      <c r="BI419" s="313"/>
      <c r="BJ419" s="313"/>
      <c r="BK419" s="313"/>
      <c r="BL419" s="313"/>
      <c r="BM419" s="313"/>
      <c r="BN419" s="313"/>
      <c r="BO419" s="313"/>
      <c r="BP419" s="313"/>
      <c r="BQ419" s="313"/>
    </row>
    <row r="420">
      <c r="A420" s="87" t="s">
        <v>10432</v>
      </c>
      <c r="B420" s="92"/>
      <c r="C420" s="31">
        <v>44075.0</v>
      </c>
      <c r="D420" s="92"/>
      <c r="E420" s="13" t="s">
        <v>41</v>
      </c>
      <c r="F420" s="13">
        <v>1.0</v>
      </c>
      <c r="G420" s="13">
        <v>1.0</v>
      </c>
      <c r="H420" s="50">
        <v>1.0</v>
      </c>
      <c r="I420" s="13" t="s">
        <v>33</v>
      </c>
      <c r="J420" s="13" t="s">
        <v>147</v>
      </c>
      <c r="K420" s="92"/>
      <c r="L420" s="34" t="s">
        <v>9479</v>
      </c>
      <c r="M420" s="46" t="s">
        <v>10433</v>
      </c>
      <c r="N420" s="106"/>
      <c r="O420" s="145"/>
      <c r="P420" s="145"/>
      <c r="Q420" s="37"/>
      <c r="R420" s="145"/>
      <c r="S420" s="145"/>
      <c r="T420" s="313"/>
      <c r="U420" s="38"/>
      <c r="V420" s="38" t="s">
        <v>33</v>
      </c>
      <c r="W420" s="40"/>
      <c r="X420" s="40"/>
      <c r="Y420" s="349"/>
      <c r="Z420" s="313"/>
      <c r="AA420" s="313"/>
      <c r="AB420" s="313"/>
      <c r="AC420" s="313"/>
      <c r="AD420" s="313"/>
      <c r="AE420" s="313"/>
      <c r="AF420" s="313"/>
      <c r="AG420" s="313"/>
      <c r="AH420" s="313"/>
      <c r="AI420" s="313"/>
      <c r="AJ420" s="313"/>
      <c r="AK420" s="313"/>
      <c r="AL420" s="313"/>
      <c r="AM420" s="313"/>
      <c r="AN420" s="313"/>
      <c r="AO420" s="313"/>
      <c r="AP420" s="313"/>
      <c r="AQ420" s="313"/>
      <c r="AR420" s="313"/>
      <c r="AS420" s="313"/>
      <c r="AT420" s="313"/>
      <c r="AU420" s="313"/>
      <c r="AV420" s="313"/>
      <c r="AW420" s="313"/>
      <c r="AX420" s="313"/>
      <c r="AY420" s="313"/>
      <c r="AZ420" s="313"/>
      <c r="BA420" s="313"/>
      <c r="BB420" s="313"/>
      <c r="BC420" s="313"/>
      <c r="BD420" s="313"/>
      <c r="BE420" s="313"/>
      <c r="BF420" s="313"/>
      <c r="BG420" s="313"/>
      <c r="BH420" s="313"/>
      <c r="BI420" s="313"/>
      <c r="BJ420" s="313"/>
      <c r="BK420" s="313"/>
      <c r="BL420" s="313"/>
      <c r="BM420" s="313"/>
      <c r="BN420" s="313"/>
      <c r="BO420" s="313"/>
      <c r="BP420" s="313"/>
      <c r="BQ420" s="313"/>
    </row>
    <row r="421">
      <c r="A421" s="87" t="s">
        <v>10434</v>
      </c>
      <c r="B421" s="92"/>
      <c r="C421" s="31">
        <v>44075.0</v>
      </c>
      <c r="D421" s="92"/>
      <c r="E421" s="13" t="s">
        <v>41</v>
      </c>
      <c r="F421" s="13">
        <v>1.0</v>
      </c>
      <c r="G421" s="13">
        <v>1.0</v>
      </c>
      <c r="H421" s="50">
        <v>1.0</v>
      </c>
      <c r="I421" s="13" t="s">
        <v>33</v>
      </c>
      <c r="J421" s="13" t="s">
        <v>268</v>
      </c>
      <c r="K421" s="92"/>
      <c r="L421" s="34" t="s">
        <v>10396</v>
      </c>
      <c r="M421" s="106" t="s">
        <v>10435</v>
      </c>
      <c r="N421" s="106"/>
      <c r="O421" s="145"/>
      <c r="P421" s="145"/>
      <c r="Q421" s="37"/>
      <c r="R421" s="145"/>
      <c r="S421" s="145"/>
      <c r="T421" s="313"/>
      <c r="U421" s="38"/>
      <c r="V421" s="38" t="s">
        <v>33</v>
      </c>
      <c r="W421" s="40"/>
      <c r="X421" s="40"/>
      <c r="Y421" s="349"/>
      <c r="Z421" s="313"/>
      <c r="AA421" s="313"/>
      <c r="AB421" s="313"/>
      <c r="AC421" s="313"/>
      <c r="AD421" s="313"/>
      <c r="AE421" s="313"/>
      <c r="AF421" s="313"/>
      <c r="AG421" s="313"/>
      <c r="AH421" s="313"/>
      <c r="AI421" s="313"/>
      <c r="AJ421" s="313"/>
      <c r="AK421" s="313"/>
      <c r="AL421" s="313"/>
      <c r="AM421" s="313"/>
      <c r="AN421" s="313"/>
      <c r="AO421" s="313"/>
      <c r="AP421" s="313"/>
      <c r="AQ421" s="313"/>
      <c r="AR421" s="313"/>
      <c r="AS421" s="313"/>
      <c r="AT421" s="313"/>
      <c r="AU421" s="313"/>
      <c r="AV421" s="313"/>
      <c r="AW421" s="313"/>
      <c r="AX421" s="313"/>
      <c r="AY421" s="313"/>
      <c r="AZ421" s="313"/>
      <c r="BA421" s="313"/>
      <c r="BB421" s="313"/>
      <c r="BC421" s="313"/>
      <c r="BD421" s="313"/>
      <c r="BE421" s="313"/>
      <c r="BF421" s="313"/>
      <c r="BG421" s="313"/>
      <c r="BH421" s="313"/>
      <c r="BI421" s="313"/>
      <c r="BJ421" s="313"/>
      <c r="BK421" s="313"/>
      <c r="BL421" s="313"/>
      <c r="BM421" s="313"/>
      <c r="BN421" s="313"/>
      <c r="BO421" s="313"/>
      <c r="BP421" s="313"/>
      <c r="BQ421" s="313"/>
    </row>
    <row r="422">
      <c r="A422" s="87" t="s">
        <v>10436</v>
      </c>
      <c r="B422" s="92"/>
      <c r="C422" s="31">
        <v>44075.0</v>
      </c>
      <c r="D422" s="92"/>
      <c r="E422" s="13" t="s">
        <v>41</v>
      </c>
      <c r="F422" s="13">
        <v>1.0</v>
      </c>
      <c r="G422" s="13">
        <v>1.0</v>
      </c>
      <c r="H422" s="50">
        <v>1.0</v>
      </c>
      <c r="I422" s="13" t="s">
        <v>33</v>
      </c>
      <c r="J422" s="13" t="s">
        <v>268</v>
      </c>
      <c r="K422" s="92"/>
      <c r="L422" s="34" t="s">
        <v>9380</v>
      </c>
      <c r="M422" s="46" t="s">
        <v>8779</v>
      </c>
      <c r="N422" s="106"/>
      <c r="O422" s="145"/>
      <c r="P422" s="145"/>
      <c r="Q422" s="37"/>
      <c r="R422" s="145"/>
      <c r="S422" s="145"/>
      <c r="T422" s="313"/>
      <c r="U422" s="38"/>
      <c r="V422" s="38" t="s">
        <v>33</v>
      </c>
      <c r="W422" s="40"/>
      <c r="X422" s="40"/>
      <c r="Y422" s="349"/>
      <c r="Z422" s="313"/>
      <c r="AA422" s="313"/>
      <c r="AB422" s="313"/>
      <c r="AC422" s="313"/>
      <c r="AD422" s="313"/>
      <c r="AE422" s="313"/>
      <c r="AF422" s="313"/>
      <c r="AG422" s="313"/>
      <c r="AH422" s="313"/>
      <c r="AI422" s="313"/>
      <c r="AJ422" s="313"/>
      <c r="AK422" s="313"/>
      <c r="AL422" s="313"/>
      <c r="AM422" s="313"/>
      <c r="AN422" s="313"/>
      <c r="AO422" s="313"/>
      <c r="AP422" s="313"/>
      <c r="AQ422" s="313"/>
      <c r="AR422" s="313"/>
      <c r="AS422" s="313"/>
      <c r="AT422" s="313"/>
      <c r="AU422" s="313"/>
      <c r="AV422" s="313"/>
      <c r="AW422" s="313"/>
      <c r="AX422" s="313"/>
      <c r="AY422" s="313"/>
      <c r="AZ422" s="313"/>
      <c r="BA422" s="313"/>
      <c r="BB422" s="313"/>
      <c r="BC422" s="313"/>
      <c r="BD422" s="313"/>
      <c r="BE422" s="313"/>
      <c r="BF422" s="313"/>
      <c r="BG422" s="313"/>
      <c r="BH422" s="313"/>
      <c r="BI422" s="313"/>
      <c r="BJ422" s="313"/>
      <c r="BK422" s="313"/>
      <c r="BL422" s="313"/>
      <c r="BM422" s="313"/>
      <c r="BN422" s="313"/>
      <c r="BO422" s="313"/>
      <c r="BP422" s="313"/>
      <c r="BQ422" s="313"/>
    </row>
    <row r="423">
      <c r="A423" s="87" t="s">
        <v>10437</v>
      </c>
      <c r="B423" s="92"/>
      <c r="C423" s="30">
        <v>44075.0</v>
      </c>
      <c r="D423" s="92"/>
      <c r="E423" s="13" t="s">
        <v>41</v>
      </c>
      <c r="F423" s="13">
        <v>1.0</v>
      </c>
      <c r="G423" s="13" t="s">
        <v>32</v>
      </c>
      <c r="H423" s="50">
        <v>1.0</v>
      </c>
      <c r="I423" s="13" t="s">
        <v>33</v>
      </c>
      <c r="J423" s="13" t="s">
        <v>115</v>
      </c>
      <c r="K423" s="92"/>
      <c r="L423" s="34" t="s">
        <v>4960</v>
      </c>
      <c r="M423" s="46" t="s">
        <v>10438</v>
      </c>
      <c r="N423" s="106"/>
      <c r="O423" s="145"/>
      <c r="P423" s="145"/>
      <c r="Q423" s="37"/>
      <c r="R423" s="145"/>
      <c r="S423" s="145"/>
      <c r="T423" s="313"/>
      <c r="U423" s="38"/>
      <c r="V423" s="38" t="s">
        <v>33</v>
      </c>
      <c r="W423" s="40"/>
      <c r="X423" s="40"/>
      <c r="Y423" s="349"/>
      <c r="Z423" s="313"/>
      <c r="AA423" s="313"/>
      <c r="AB423" s="313"/>
      <c r="AC423" s="313"/>
      <c r="AD423" s="313"/>
      <c r="AE423" s="313"/>
      <c r="AF423" s="313"/>
      <c r="AG423" s="313"/>
      <c r="AH423" s="313"/>
      <c r="AI423" s="313"/>
      <c r="AJ423" s="313"/>
      <c r="AK423" s="313"/>
      <c r="AL423" s="313"/>
      <c r="AM423" s="313"/>
      <c r="AN423" s="313"/>
      <c r="AO423" s="313"/>
      <c r="AP423" s="313"/>
      <c r="AQ423" s="313"/>
      <c r="AR423" s="313"/>
      <c r="AS423" s="313"/>
      <c r="AT423" s="313"/>
      <c r="AU423" s="313"/>
      <c r="AV423" s="313"/>
      <c r="AW423" s="313"/>
      <c r="AX423" s="313"/>
      <c r="AY423" s="313"/>
      <c r="AZ423" s="313"/>
      <c r="BA423" s="313"/>
      <c r="BB423" s="313"/>
      <c r="BC423" s="313"/>
      <c r="BD423" s="313"/>
      <c r="BE423" s="313"/>
      <c r="BF423" s="313"/>
      <c r="BG423" s="313"/>
      <c r="BH423" s="313"/>
      <c r="BI423" s="313"/>
      <c r="BJ423" s="313"/>
      <c r="BK423" s="313"/>
      <c r="BL423" s="313"/>
      <c r="BM423" s="313"/>
      <c r="BN423" s="313"/>
      <c r="BO423" s="313"/>
      <c r="BP423" s="313"/>
      <c r="BQ423" s="313"/>
    </row>
    <row r="424">
      <c r="A424" s="87" t="s">
        <v>10439</v>
      </c>
      <c r="B424" s="92"/>
      <c r="C424" s="30">
        <v>44076.0</v>
      </c>
      <c r="D424" s="92"/>
      <c r="E424" s="13" t="s">
        <v>41</v>
      </c>
      <c r="F424" s="13">
        <v>1.0</v>
      </c>
      <c r="G424" s="13" t="s">
        <v>32</v>
      </c>
      <c r="H424" s="50">
        <v>1.0</v>
      </c>
      <c r="I424" s="13" t="s">
        <v>33</v>
      </c>
      <c r="J424" s="13" t="s">
        <v>93</v>
      </c>
      <c r="K424" s="92"/>
      <c r="L424" s="34" t="s">
        <v>7593</v>
      </c>
      <c r="M424" s="46" t="s">
        <v>10440</v>
      </c>
      <c r="N424" s="106"/>
      <c r="O424" s="145"/>
      <c r="P424" s="145"/>
      <c r="Q424" s="37"/>
      <c r="R424" s="145"/>
      <c r="S424" s="145"/>
      <c r="T424" s="313"/>
      <c r="U424" s="38"/>
      <c r="V424" s="38" t="s">
        <v>33</v>
      </c>
      <c r="W424" s="40"/>
      <c r="X424" s="40"/>
      <c r="Y424" s="349"/>
      <c r="Z424" s="313"/>
      <c r="AA424" s="313"/>
      <c r="AB424" s="313"/>
      <c r="AC424" s="313"/>
      <c r="AD424" s="313"/>
      <c r="AE424" s="313"/>
      <c r="AF424" s="313"/>
      <c r="AG424" s="313"/>
      <c r="AH424" s="313"/>
      <c r="AI424" s="313"/>
      <c r="AJ424" s="313"/>
      <c r="AK424" s="313"/>
      <c r="AL424" s="313"/>
      <c r="AM424" s="313"/>
      <c r="AN424" s="313"/>
      <c r="AO424" s="313"/>
      <c r="AP424" s="313"/>
      <c r="AQ424" s="313"/>
      <c r="AR424" s="313"/>
      <c r="AS424" s="313"/>
      <c r="AT424" s="313"/>
      <c r="AU424" s="313"/>
      <c r="AV424" s="313"/>
      <c r="AW424" s="313"/>
      <c r="AX424" s="313"/>
      <c r="AY424" s="313"/>
      <c r="AZ424" s="313"/>
      <c r="BA424" s="313"/>
      <c r="BB424" s="313"/>
      <c r="BC424" s="313"/>
      <c r="BD424" s="313"/>
      <c r="BE424" s="313"/>
      <c r="BF424" s="313"/>
      <c r="BG424" s="313"/>
      <c r="BH424" s="313"/>
      <c r="BI424" s="313"/>
      <c r="BJ424" s="313"/>
      <c r="BK424" s="313"/>
      <c r="BL424" s="313"/>
      <c r="BM424" s="313"/>
      <c r="BN424" s="313"/>
      <c r="BO424" s="313"/>
      <c r="BP424" s="313"/>
      <c r="BQ424" s="313"/>
    </row>
    <row r="425">
      <c r="A425" s="87" t="s">
        <v>10441</v>
      </c>
      <c r="B425" s="92"/>
      <c r="C425" s="30">
        <v>44078.0</v>
      </c>
      <c r="D425" s="92"/>
      <c r="E425" s="13" t="s">
        <v>41</v>
      </c>
      <c r="F425" s="13">
        <v>1.0</v>
      </c>
      <c r="G425" s="13" t="s">
        <v>32</v>
      </c>
      <c r="H425" s="50">
        <v>1.0</v>
      </c>
      <c r="I425" s="13" t="s">
        <v>33</v>
      </c>
      <c r="J425" s="13" t="s">
        <v>504</v>
      </c>
      <c r="K425" s="92"/>
      <c r="L425" s="34" t="s">
        <v>10442</v>
      </c>
      <c r="M425" s="46" t="s">
        <v>10443</v>
      </c>
      <c r="N425" s="106"/>
      <c r="O425" s="145"/>
      <c r="P425" s="145"/>
      <c r="Q425" s="37"/>
      <c r="R425" s="145"/>
      <c r="S425" s="145"/>
      <c r="T425" s="313"/>
      <c r="U425" s="38"/>
      <c r="V425" s="38" t="s">
        <v>33</v>
      </c>
      <c r="W425" s="40"/>
      <c r="X425" s="40"/>
      <c r="Y425" s="349"/>
      <c r="Z425" s="313"/>
      <c r="AA425" s="313"/>
      <c r="AB425" s="313"/>
      <c r="AC425" s="313"/>
      <c r="AD425" s="313"/>
      <c r="AE425" s="313"/>
      <c r="AF425" s="313"/>
      <c r="AG425" s="313"/>
      <c r="AH425" s="313"/>
      <c r="AI425" s="313"/>
      <c r="AJ425" s="313"/>
      <c r="AK425" s="313"/>
      <c r="AL425" s="313"/>
      <c r="AM425" s="313"/>
      <c r="AN425" s="313"/>
      <c r="AO425" s="313"/>
      <c r="AP425" s="313"/>
      <c r="AQ425" s="313"/>
      <c r="AR425" s="313"/>
      <c r="AS425" s="313"/>
      <c r="AT425" s="313"/>
      <c r="AU425" s="313"/>
      <c r="AV425" s="313"/>
      <c r="AW425" s="313"/>
      <c r="AX425" s="313"/>
      <c r="AY425" s="313"/>
      <c r="AZ425" s="313"/>
      <c r="BA425" s="313"/>
      <c r="BB425" s="313"/>
      <c r="BC425" s="313"/>
      <c r="BD425" s="313"/>
      <c r="BE425" s="313"/>
      <c r="BF425" s="313"/>
      <c r="BG425" s="313"/>
      <c r="BH425" s="313"/>
      <c r="BI425" s="313"/>
      <c r="BJ425" s="313"/>
      <c r="BK425" s="313"/>
      <c r="BL425" s="313"/>
      <c r="BM425" s="313"/>
      <c r="BN425" s="313"/>
      <c r="BO425" s="313"/>
      <c r="BP425" s="313"/>
      <c r="BQ425" s="313"/>
    </row>
    <row r="426">
      <c r="A426" s="87" t="s">
        <v>10444</v>
      </c>
      <c r="B426" s="92"/>
      <c r="C426" s="30">
        <v>44082.0</v>
      </c>
      <c r="D426" s="92"/>
      <c r="E426" s="13" t="s">
        <v>41</v>
      </c>
      <c r="F426" s="13">
        <v>1.0</v>
      </c>
      <c r="G426" s="13">
        <v>1.0</v>
      </c>
      <c r="H426" s="50">
        <v>1.0</v>
      </c>
      <c r="I426" s="13" t="s">
        <v>33</v>
      </c>
      <c r="J426" s="13" t="s">
        <v>203</v>
      </c>
      <c r="K426" s="92"/>
      <c r="L426" s="34" t="s">
        <v>9380</v>
      </c>
      <c r="M426" s="46" t="s">
        <v>10445</v>
      </c>
      <c r="N426" s="106"/>
      <c r="O426" s="145"/>
      <c r="P426" s="145"/>
      <c r="Q426" s="37"/>
      <c r="R426" s="145"/>
      <c r="S426" s="145"/>
      <c r="T426" s="313"/>
      <c r="U426" s="38"/>
      <c r="V426" s="38" t="s">
        <v>33</v>
      </c>
      <c r="W426" s="40"/>
      <c r="X426" s="40"/>
      <c r="Y426" s="349"/>
      <c r="Z426" s="313"/>
      <c r="AA426" s="313"/>
      <c r="AB426" s="313"/>
      <c r="AC426" s="313"/>
      <c r="AD426" s="313"/>
      <c r="AE426" s="313"/>
      <c r="AF426" s="313"/>
      <c r="AG426" s="313"/>
      <c r="AH426" s="313"/>
      <c r="AI426" s="313"/>
      <c r="AJ426" s="313"/>
      <c r="AK426" s="313"/>
      <c r="AL426" s="313"/>
      <c r="AM426" s="313"/>
      <c r="AN426" s="313"/>
      <c r="AO426" s="313"/>
      <c r="AP426" s="313"/>
      <c r="AQ426" s="313"/>
      <c r="AR426" s="313"/>
      <c r="AS426" s="313"/>
      <c r="AT426" s="313"/>
      <c r="AU426" s="313"/>
      <c r="AV426" s="313"/>
      <c r="AW426" s="313"/>
      <c r="AX426" s="313"/>
      <c r="AY426" s="313"/>
      <c r="AZ426" s="313"/>
      <c r="BA426" s="313"/>
      <c r="BB426" s="313"/>
      <c r="BC426" s="313"/>
      <c r="BD426" s="313"/>
      <c r="BE426" s="313"/>
      <c r="BF426" s="313"/>
      <c r="BG426" s="313"/>
      <c r="BH426" s="313"/>
      <c r="BI426" s="313"/>
      <c r="BJ426" s="313"/>
      <c r="BK426" s="313"/>
      <c r="BL426" s="313"/>
      <c r="BM426" s="313"/>
      <c r="BN426" s="313"/>
      <c r="BO426" s="313"/>
      <c r="BP426" s="313"/>
      <c r="BQ426" s="313"/>
    </row>
    <row r="427">
      <c r="A427" s="87" t="s">
        <v>10446</v>
      </c>
      <c r="B427" s="92"/>
      <c r="C427" s="30">
        <v>44083.0</v>
      </c>
      <c r="D427" s="92"/>
      <c r="E427" s="13" t="s">
        <v>31</v>
      </c>
      <c r="F427" s="13">
        <v>1.0</v>
      </c>
      <c r="G427" s="13">
        <v>6.0</v>
      </c>
      <c r="H427" s="50">
        <v>6.0</v>
      </c>
      <c r="I427" s="13" t="s">
        <v>33</v>
      </c>
      <c r="J427" s="13" t="s">
        <v>93</v>
      </c>
      <c r="K427" s="92"/>
      <c r="L427" s="34" t="s">
        <v>9380</v>
      </c>
      <c r="M427" s="46" t="s">
        <v>10447</v>
      </c>
      <c r="N427" s="46" t="s">
        <v>10448</v>
      </c>
      <c r="O427" s="145"/>
      <c r="P427" s="145"/>
      <c r="Q427" s="37"/>
      <c r="R427" s="145"/>
      <c r="S427" s="145"/>
      <c r="T427" s="313"/>
      <c r="U427" s="38"/>
      <c r="V427" s="38" t="s">
        <v>33</v>
      </c>
      <c r="W427" s="121" t="s">
        <v>10449</v>
      </c>
      <c r="X427" s="39" t="s">
        <v>10450</v>
      </c>
      <c r="Y427" s="349"/>
      <c r="Z427" s="313"/>
      <c r="AA427" s="313"/>
      <c r="AB427" s="313"/>
      <c r="AC427" s="313"/>
      <c r="AD427" s="313"/>
      <c r="AE427" s="313"/>
      <c r="AF427" s="313"/>
      <c r="AG427" s="313"/>
      <c r="AH427" s="313"/>
      <c r="AI427" s="313"/>
      <c r="AJ427" s="313"/>
      <c r="AK427" s="313"/>
      <c r="AL427" s="313"/>
      <c r="AM427" s="313"/>
      <c r="AN427" s="313"/>
      <c r="AO427" s="313"/>
      <c r="AP427" s="313"/>
      <c r="AQ427" s="313"/>
      <c r="AR427" s="313"/>
      <c r="AS427" s="313"/>
      <c r="AT427" s="313"/>
      <c r="AU427" s="313"/>
      <c r="AV427" s="313"/>
      <c r="AW427" s="313"/>
      <c r="AX427" s="313"/>
      <c r="AY427" s="313"/>
      <c r="AZ427" s="313"/>
      <c r="BA427" s="313"/>
      <c r="BB427" s="313"/>
      <c r="BC427" s="313"/>
      <c r="BD427" s="313"/>
      <c r="BE427" s="313"/>
      <c r="BF427" s="313"/>
      <c r="BG427" s="313"/>
      <c r="BH427" s="313"/>
      <c r="BI427" s="313"/>
      <c r="BJ427" s="313"/>
      <c r="BK427" s="313"/>
      <c r="BL427" s="313"/>
      <c r="BM427" s="313"/>
      <c r="BN427" s="313"/>
      <c r="BO427" s="313"/>
      <c r="BP427" s="313"/>
      <c r="BQ427" s="313"/>
    </row>
    <row r="428">
      <c r="A428" s="87" t="s">
        <v>10451</v>
      </c>
      <c r="B428" s="92"/>
      <c r="C428" s="30">
        <v>44083.0</v>
      </c>
      <c r="D428" s="92"/>
      <c r="E428" s="13" t="s">
        <v>41</v>
      </c>
      <c r="F428" s="13">
        <v>1.0</v>
      </c>
      <c r="G428" s="13">
        <v>1.0</v>
      </c>
      <c r="H428" s="50">
        <v>1.0</v>
      </c>
      <c r="I428" s="13" t="s">
        <v>33</v>
      </c>
      <c r="J428" s="13" t="s">
        <v>203</v>
      </c>
      <c r="K428" s="92"/>
      <c r="L428" s="34" t="s">
        <v>9380</v>
      </c>
      <c r="M428" s="46" t="s">
        <v>10452</v>
      </c>
      <c r="N428" s="106"/>
      <c r="O428" s="145"/>
      <c r="P428" s="145"/>
      <c r="Q428" s="37"/>
      <c r="R428" s="145"/>
      <c r="S428" s="145"/>
      <c r="T428" s="313"/>
      <c r="U428" s="38"/>
      <c r="V428" s="38" t="s">
        <v>33</v>
      </c>
      <c r="W428" s="121"/>
      <c r="X428" s="40"/>
      <c r="Y428" s="349"/>
      <c r="Z428" s="313"/>
      <c r="AA428" s="313"/>
      <c r="AB428" s="313"/>
      <c r="AC428" s="313"/>
      <c r="AD428" s="313"/>
      <c r="AE428" s="313"/>
      <c r="AF428" s="313"/>
      <c r="AG428" s="313"/>
      <c r="AH428" s="313"/>
      <c r="AI428" s="313"/>
      <c r="AJ428" s="313"/>
      <c r="AK428" s="313"/>
      <c r="AL428" s="313"/>
      <c r="AM428" s="313"/>
      <c r="AN428" s="313"/>
      <c r="AO428" s="313"/>
      <c r="AP428" s="313"/>
      <c r="AQ428" s="313"/>
      <c r="AR428" s="313"/>
      <c r="AS428" s="313"/>
      <c r="AT428" s="313"/>
      <c r="AU428" s="313"/>
      <c r="AV428" s="313"/>
      <c r="AW428" s="313"/>
      <c r="AX428" s="313"/>
      <c r="AY428" s="313"/>
      <c r="AZ428" s="313"/>
      <c r="BA428" s="313"/>
      <c r="BB428" s="313"/>
      <c r="BC428" s="313"/>
      <c r="BD428" s="313"/>
      <c r="BE428" s="313"/>
      <c r="BF428" s="313"/>
      <c r="BG428" s="313"/>
      <c r="BH428" s="313"/>
      <c r="BI428" s="313"/>
      <c r="BJ428" s="313"/>
      <c r="BK428" s="313"/>
      <c r="BL428" s="313"/>
      <c r="BM428" s="313"/>
      <c r="BN428" s="313"/>
      <c r="BO428" s="313"/>
      <c r="BP428" s="313"/>
      <c r="BQ428" s="313"/>
    </row>
    <row r="429">
      <c r="A429" s="346" t="s">
        <v>10453</v>
      </c>
      <c r="B429" s="92"/>
      <c r="C429" s="30">
        <v>44084.0</v>
      </c>
      <c r="D429" s="92"/>
      <c r="E429" s="13" t="s">
        <v>41</v>
      </c>
      <c r="F429" s="13">
        <v>2.0</v>
      </c>
      <c r="G429" s="13">
        <v>1.0</v>
      </c>
      <c r="H429" s="50">
        <v>1.0</v>
      </c>
      <c r="I429" s="13" t="s">
        <v>33</v>
      </c>
      <c r="J429" s="13" t="s">
        <v>193</v>
      </c>
      <c r="K429" s="92"/>
      <c r="L429" s="73" t="s">
        <v>9380</v>
      </c>
      <c r="M429" s="46" t="s">
        <v>10454</v>
      </c>
      <c r="N429" s="311"/>
      <c r="O429" s="145"/>
      <c r="P429" s="145"/>
      <c r="Q429" s="99"/>
      <c r="R429" s="145"/>
      <c r="S429" s="145"/>
      <c r="T429" s="313"/>
      <c r="U429" s="279"/>
      <c r="V429" s="38" t="s">
        <v>33</v>
      </c>
      <c r="W429" s="350"/>
      <c r="X429" s="278"/>
      <c r="Y429" s="349"/>
      <c r="Z429" s="313"/>
      <c r="AA429" s="313"/>
      <c r="AB429" s="313"/>
      <c r="AC429" s="313"/>
      <c r="AD429" s="313"/>
      <c r="AE429" s="313"/>
      <c r="AF429" s="313"/>
      <c r="AG429" s="313"/>
      <c r="AH429" s="313"/>
      <c r="AI429" s="313"/>
      <c r="AJ429" s="313"/>
      <c r="AK429" s="313"/>
      <c r="AL429" s="313"/>
      <c r="AM429" s="313"/>
      <c r="AN429" s="313"/>
      <c r="AO429" s="313"/>
      <c r="AP429" s="313"/>
      <c r="AQ429" s="313"/>
      <c r="AR429" s="313"/>
      <c r="AS429" s="313"/>
      <c r="AT429" s="313"/>
      <c r="AU429" s="313"/>
      <c r="AV429" s="313"/>
      <c r="AW429" s="313"/>
      <c r="AX429" s="313"/>
      <c r="AY429" s="313"/>
      <c r="AZ429" s="313"/>
      <c r="BA429" s="313"/>
      <c r="BB429" s="313"/>
      <c r="BC429" s="313"/>
      <c r="BD429" s="313"/>
      <c r="BE429" s="313"/>
      <c r="BF429" s="313"/>
      <c r="BG429" s="313"/>
      <c r="BH429" s="313"/>
      <c r="BI429" s="313"/>
      <c r="BJ429" s="313"/>
      <c r="BK429" s="313"/>
      <c r="BL429" s="313"/>
      <c r="BM429" s="313"/>
      <c r="BN429" s="313"/>
      <c r="BO429" s="313"/>
      <c r="BP429" s="313"/>
      <c r="BQ429" s="313"/>
    </row>
    <row r="430">
      <c r="A430" s="87" t="s">
        <v>10455</v>
      </c>
      <c r="B430" s="92"/>
      <c r="C430" s="30">
        <v>44089.0</v>
      </c>
      <c r="D430" s="92"/>
      <c r="E430" s="13" t="s">
        <v>41</v>
      </c>
      <c r="F430" s="13">
        <v>1.0</v>
      </c>
      <c r="G430" s="13">
        <v>1.0</v>
      </c>
      <c r="H430" s="50">
        <v>1.0</v>
      </c>
      <c r="I430" s="13" t="s">
        <v>33</v>
      </c>
      <c r="J430" s="13" t="s">
        <v>203</v>
      </c>
      <c r="K430" s="92"/>
      <c r="L430" s="34" t="s">
        <v>9380</v>
      </c>
      <c r="M430" s="46" t="s">
        <v>10456</v>
      </c>
      <c r="N430" s="106"/>
      <c r="O430" s="145"/>
      <c r="P430" s="145"/>
      <c r="Q430" s="37"/>
      <c r="R430" s="145"/>
      <c r="S430" s="145"/>
      <c r="T430" s="313"/>
      <c r="U430" s="38"/>
      <c r="V430" s="38" t="s">
        <v>33</v>
      </c>
      <c r="W430" s="121"/>
      <c r="X430" s="40"/>
      <c r="Y430" s="349"/>
      <c r="Z430" s="313"/>
      <c r="AA430" s="313"/>
      <c r="AB430" s="313"/>
      <c r="AC430" s="313"/>
      <c r="AD430" s="313"/>
      <c r="AE430" s="313"/>
      <c r="AF430" s="313"/>
      <c r="AG430" s="313"/>
      <c r="AH430" s="313"/>
      <c r="AI430" s="313"/>
      <c r="AJ430" s="313"/>
      <c r="AK430" s="313"/>
      <c r="AL430" s="313"/>
      <c r="AM430" s="313"/>
      <c r="AN430" s="313"/>
      <c r="AO430" s="313"/>
      <c r="AP430" s="313"/>
      <c r="AQ430" s="313"/>
      <c r="AR430" s="313"/>
      <c r="AS430" s="313"/>
      <c r="AT430" s="313"/>
      <c r="AU430" s="313"/>
      <c r="AV430" s="313"/>
      <c r="AW430" s="313"/>
      <c r="AX430" s="313"/>
      <c r="AY430" s="313"/>
      <c r="AZ430" s="313"/>
      <c r="BA430" s="313"/>
      <c r="BB430" s="313"/>
      <c r="BC430" s="313"/>
      <c r="BD430" s="313"/>
      <c r="BE430" s="313"/>
      <c r="BF430" s="313"/>
      <c r="BG430" s="313"/>
      <c r="BH430" s="313"/>
      <c r="BI430" s="313"/>
      <c r="BJ430" s="313"/>
      <c r="BK430" s="313"/>
      <c r="BL430" s="313"/>
      <c r="BM430" s="313"/>
      <c r="BN430" s="313"/>
      <c r="BO430" s="313"/>
      <c r="BP430" s="313"/>
      <c r="BQ430" s="313"/>
    </row>
    <row r="431">
      <c r="A431" s="87" t="s">
        <v>10457</v>
      </c>
      <c r="B431" s="92"/>
      <c r="C431" s="30">
        <v>44090.0</v>
      </c>
      <c r="D431" s="92"/>
      <c r="E431" s="13" t="s">
        <v>41</v>
      </c>
      <c r="F431" s="13">
        <v>1.0</v>
      </c>
      <c r="G431" s="13">
        <v>1.0</v>
      </c>
      <c r="H431" s="50">
        <v>1.0</v>
      </c>
      <c r="I431" s="13" t="s">
        <v>33</v>
      </c>
      <c r="J431" s="13" t="s">
        <v>193</v>
      </c>
      <c r="K431" s="92"/>
      <c r="L431" s="34" t="s">
        <v>9380</v>
      </c>
      <c r="M431" s="46" t="s">
        <v>10458</v>
      </c>
      <c r="N431" s="106"/>
      <c r="O431" s="145"/>
      <c r="P431" s="145"/>
      <c r="Q431" s="37"/>
      <c r="R431" s="145"/>
      <c r="S431" s="145"/>
      <c r="T431" s="313"/>
      <c r="U431" s="38"/>
      <c r="V431" s="38" t="s">
        <v>33</v>
      </c>
      <c r="W431" s="121"/>
      <c r="X431" s="40"/>
      <c r="Y431" s="349"/>
      <c r="Z431" s="313"/>
      <c r="AA431" s="313"/>
      <c r="AB431" s="313"/>
      <c r="AC431" s="313"/>
      <c r="AD431" s="313"/>
      <c r="AE431" s="313"/>
      <c r="AF431" s="313"/>
      <c r="AG431" s="313"/>
      <c r="AH431" s="313"/>
      <c r="AI431" s="313"/>
      <c r="AJ431" s="313"/>
      <c r="AK431" s="313"/>
      <c r="AL431" s="313"/>
      <c r="AM431" s="313"/>
      <c r="AN431" s="313"/>
      <c r="AO431" s="313"/>
      <c r="AP431" s="313"/>
      <c r="AQ431" s="313"/>
      <c r="AR431" s="313"/>
      <c r="AS431" s="313"/>
      <c r="AT431" s="313"/>
      <c r="AU431" s="313"/>
      <c r="AV431" s="313"/>
      <c r="AW431" s="313"/>
      <c r="AX431" s="313"/>
      <c r="AY431" s="313"/>
      <c r="AZ431" s="313"/>
      <c r="BA431" s="313"/>
      <c r="BB431" s="313"/>
      <c r="BC431" s="313"/>
      <c r="BD431" s="313"/>
      <c r="BE431" s="313"/>
      <c r="BF431" s="313"/>
      <c r="BG431" s="313"/>
      <c r="BH431" s="313"/>
      <c r="BI431" s="313"/>
      <c r="BJ431" s="313"/>
      <c r="BK431" s="313"/>
      <c r="BL431" s="313"/>
      <c r="BM431" s="313"/>
      <c r="BN431" s="313"/>
      <c r="BO431" s="313"/>
      <c r="BP431" s="313"/>
      <c r="BQ431" s="313"/>
    </row>
    <row r="432">
      <c r="A432" s="87" t="s">
        <v>10459</v>
      </c>
      <c r="B432" s="30"/>
      <c r="C432" s="30">
        <v>44096.0</v>
      </c>
      <c r="D432" s="30"/>
      <c r="E432" s="13" t="s">
        <v>41</v>
      </c>
      <c r="F432" s="13">
        <v>1.0</v>
      </c>
      <c r="G432" s="13">
        <v>1.0</v>
      </c>
      <c r="H432" s="50">
        <v>1.0</v>
      </c>
      <c r="I432" s="13" t="s">
        <v>33</v>
      </c>
      <c r="J432" s="13" t="s">
        <v>193</v>
      </c>
      <c r="K432" s="30"/>
      <c r="L432" s="34" t="s">
        <v>9380</v>
      </c>
      <c r="M432" s="46" t="s">
        <v>10460</v>
      </c>
      <c r="N432" s="106"/>
      <c r="O432" s="145"/>
      <c r="P432" s="145"/>
      <c r="Q432" s="91"/>
      <c r="R432" s="145"/>
      <c r="S432" s="99"/>
      <c r="T432" s="279"/>
      <c r="U432" s="38"/>
      <c r="V432" s="38" t="s">
        <v>33</v>
      </c>
      <c r="W432" s="121"/>
      <c r="X432" s="40"/>
      <c r="Y432" s="278"/>
      <c r="Z432" s="279"/>
      <c r="AA432" s="279"/>
      <c r="AB432" s="279"/>
      <c r="AC432" s="279"/>
      <c r="AD432" s="279"/>
      <c r="AE432" s="279"/>
      <c r="AF432" s="279"/>
      <c r="AG432" s="279"/>
      <c r="AH432" s="279"/>
      <c r="AI432" s="279"/>
      <c r="AJ432" s="279"/>
      <c r="AK432" s="279"/>
      <c r="AL432" s="279"/>
      <c r="AM432" s="279"/>
      <c r="AN432" s="279"/>
      <c r="AO432" s="279"/>
      <c r="AP432" s="279"/>
      <c r="AQ432" s="279"/>
      <c r="AR432" s="279"/>
      <c r="AS432" s="279"/>
      <c r="AT432" s="279"/>
      <c r="AU432" s="279"/>
      <c r="AV432" s="279"/>
      <c r="AW432" s="279"/>
      <c r="AX432" s="279"/>
      <c r="AY432" s="279"/>
      <c r="AZ432" s="279"/>
      <c r="BA432" s="279"/>
      <c r="BB432" s="279"/>
      <c r="BC432" s="279"/>
      <c r="BD432" s="279"/>
      <c r="BE432" s="279"/>
      <c r="BF432" s="279"/>
      <c r="BG432" s="279"/>
      <c r="BH432" s="279"/>
      <c r="BI432" s="279"/>
      <c r="BJ432" s="279"/>
      <c r="BK432" s="279"/>
      <c r="BL432" s="279"/>
      <c r="BM432" s="279"/>
      <c r="BN432" s="279"/>
      <c r="BO432" s="279"/>
      <c r="BP432" s="279"/>
      <c r="BQ432" s="279"/>
    </row>
    <row r="433">
      <c r="A433" s="87" t="s">
        <v>10461</v>
      </c>
      <c r="B433" s="30"/>
      <c r="C433" s="30">
        <v>44096.0</v>
      </c>
      <c r="D433" s="30"/>
      <c r="E433" s="13" t="s">
        <v>31</v>
      </c>
      <c r="F433" s="13">
        <v>1.0</v>
      </c>
      <c r="G433" s="13" t="s">
        <v>32</v>
      </c>
      <c r="H433" s="50">
        <v>1.0</v>
      </c>
      <c r="I433" s="13" t="s">
        <v>33</v>
      </c>
      <c r="J433" s="13" t="s">
        <v>47</v>
      </c>
      <c r="K433" s="30"/>
      <c r="L433" s="34" t="s">
        <v>9380</v>
      </c>
      <c r="M433" s="46" t="s">
        <v>10462</v>
      </c>
      <c r="N433" s="106"/>
      <c r="O433" s="145"/>
      <c r="P433" s="145"/>
      <c r="Q433" s="91"/>
      <c r="R433" s="145"/>
      <c r="S433" s="99"/>
      <c r="T433" s="279"/>
      <c r="U433" s="38"/>
      <c r="V433" s="38" t="s">
        <v>33</v>
      </c>
      <c r="W433" s="121" t="s">
        <v>10463</v>
      </c>
      <c r="X433" s="39" t="s">
        <v>10464</v>
      </c>
      <c r="Y433" s="278"/>
      <c r="Z433" s="279"/>
      <c r="AA433" s="279"/>
      <c r="AB433" s="279"/>
      <c r="AC433" s="279"/>
      <c r="AD433" s="279"/>
      <c r="AE433" s="279"/>
      <c r="AF433" s="279"/>
      <c r="AG433" s="279"/>
      <c r="AH433" s="279"/>
      <c r="AI433" s="279"/>
      <c r="AJ433" s="279"/>
      <c r="AK433" s="279"/>
      <c r="AL433" s="279"/>
      <c r="AM433" s="279"/>
      <c r="AN433" s="279"/>
      <c r="AO433" s="279"/>
      <c r="AP433" s="279"/>
      <c r="AQ433" s="279"/>
      <c r="AR433" s="279"/>
      <c r="AS433" s="279"/>
      <c r="AT433" s="279"/>
      <c r="AU433" s="279"/>
      <c r="AV433" s="279"/>
      <c r="AW433" s="279"/>
      <c r="AX433" s="279"/>
      <c r="AY433" s="279"/>
      <c r="AZ433" s="279"/>
      <c r="BA433" s="279"/>
      <c r="BB433" s="279"/>
      <c r="BC433" s="279"/>
      <c r="BD433" s="279"/>
      <c r="BE433" s="279"/>
      <c r="BF433" s="279"/>
      <c r="BG433" s="279"/>
      <c r="BH433" s="279"/>
      <c r="BI433" s="279"/>
      <c r="BJ433" s="279"/>
      <c r="BK433" s="279"/>
      <c r="BL433" s="279"/>
      <c r="BM433" s="279"/>
      <c r="BN433" s="279"/>
      <c r="BO433" s="279"/>
      <c r="BP433" s="279"/>
      <c r="BQ433" s="279"/>
    </row>
    <row r="434">
      <c r="A434" s="87" t="s">
        <v>10465</v>
      </c>
      <c r="B434" s="92"/>
      <c r="C434" s="30">
        <v>44097.0</v>
      </c>
      <c r="D434" s="92"/>
      <c r="E434" s="13" t="s">
        <v>41</v>
      </c>
      <c r="F434" s="13">
        <v>1.0</v>
      </c>
      <c r="G434" s="13">
        <v>1.0</v>
      </c>
      <c r="H434" s="50">
        <v>1.0</v>
      </c>
      <c r="I434" s="13" t="s">
        <v>33</v>
      </c>
      <c r="J434" s="13" t="s">
        <v>55</v>
      </c>
      <c r="K434" s="92"/>
      <c r="L434" s="34" t="s">
        <v>7593</v>
      </c>
      <c r="M434" s="46" t="s">
        <v>10466</v>
      </c>
      <c r="N434" s="106"/>
      <c r="O434" s="145"/>
      <c r="P434" s="145"/>
      <c r="Q434" s="37"/>
      <c r="R434" s="145"/>
      <c r="S434" s="145"/>
      <c r="T434" s="313"/>
      <c r="U434" s="38"/>
      <c r="V434" s="38" t="s">
        <v>33</v>
      </c>
      <c r="W434" s="121"/>
      <c r="X434" s="40"/>
      <c r="Y434" s="349"/>
      <c r="Z434" s="313"/>
      <c r="AA434" s="313"/>
      <c r="AB434" s="313"/>
      <c r="AC434" s="313"/>
      <c r="AD434" s="313"/>
      <c r="AE434" s="313"/>
      <c r="AF434" s="313"/>
      <c r="AG434" s="313"/>
      <c r="AH434" s="313"/>
      <c r="AI434" s="313"/>
      <c r="AJ434" s="313"/>
      <c r="AK434" s="313"/>
      <c r="AL434" s="313"/>
      <c r="AM434" s="313"/>
      <c r="AN434" s="313"/>
      <c r="AO434" s="313"/>
      <c r="AP434" s="313"/>
      <c r="AQ434" s="313"/>
      <c r="AR434" s="313"/>
      <c r="AS434" s="313"/>
      <c r="AT434" s="313"/>
      <c r="AU434" s="313"/>
      <c r="AV434" s="313"/>
      <c r="AW434" s="313"/>
      <c r="AX434" s="313"/>
      <c r="AY434" s="313"/>
      <c r="AZ434" s="313"/>
      <c r="BA434" s="313"/>
      <c r="BB434" s="313"/>
      <c r="BC434" s="313"/>
      <c r="BD434" s="313"/>
      <c r="BE434" s="313"/>
      <c r="BF434" s="313"/>
      <c r="BG434" s="313"/>
      <c r="BH434" s="313"/>
      <c r="BI434" s="313"/>
      <c r="BJ434" s="313"/>
      <c r="BK434" s="313"/>
      <c r="BL434" s="313"/>
      <c r="BM434" s="313"/>
      <c r="BN434" s="313"/>
      <c r="BO434" s="313"/>
      <c r="BP434" s="313"/>
      <c r="BQ434" s="313"/>
    </row>
    <row r="435">
      <c r="A435" s="87" t="s">
        <v>10467</v>
      </c>
      <c r="B435" s="92"/>
      <c r="C435" s="30">
        <v>44098.0</v>
      </c>
      <c r="D435" s="92"/>
      <c r="E435" s="13" t="s">
        <v>41</v>
      </c>
      <c r="F435" s="13">
        <v>1.0</v>
      </c>
      <c r="G435" s="13" t="s">
        <v>32</v>
      </c>
      <c r="H435" s="50">
        <v>1.0</v>
      </c>
      <c r="I435" s="13" t="s">
        <v>33</v>
      </c>
      <c r="J435" s="13" t="s">
        <v>93</v>
      </c>
      <c r="K435" s="92"/>
      <c r="L435" s="34" t="s">
        <v>7593</v>
      </c>
      <c r="M435" s="46" t="s">
        <v>10468</v>
      </c>
      <c r="N435" s="106"/>
      <c r="O435" s="145"/>
      <c r="P435" s="145"/>
      <c r="Q435" s="37"/>
      <c r="R435" s="145"/>
      <c r="S435" s="145"/>
      <c r="T435" s="313"/>
      <c r="U435" s="38"/>
      <c r="V435" s="38" t="s">
        <v>33</v>
      </c>
      <c r="W435" s="121"/>
      <c r="X435" s="40"/>
      <c r="Y435" s="349"/>
      <c r="Z435" s="313"/>
      <c r="AA435" s="313"/>
      <c r="AB435" s="313"/>
      <c r="AC435" s="313"/>
      <c r="AD435" s="313"/>
      <c r="AE435" s="313"/>
      <c r="AF435" s="313"/>
      <c r="AG435" s="313"/>
      <c r="AH435" s="313"/>
      <c r="AI435" s="313"/>
      <c r="AJ435" s="313"/>
      <c r="AK435" s="313"/>
      <c r="AL435" s="313"/>
      <c r="AM435" s="313"/>
      <c r="AN435" s="313"/>
      <c r="AO435" s="313"/>
      <c r="AP435" s="313"/>
      <c r="AQ435" s="313"/>
      <c r="AR435" s="313"/>
      <c r="AS435" s="313"/>
      <c r="AT435" s="313"/>
      <c r="AU435" s="313"/>
      <c r="AV435" s="313"/>
      <c r="AW435" s="313"/>
      <c r="AX435" s="313"/>
      <c r="AY435" s="313"/>
      <c r="AZ435" s="313"/>
      <c r="BA435" s="313"/>
      <c r="BB435" s="313"/>
      <c r="BC435" s="313"/>
      <c r="BD435" s="313"/>
      <c r="BE435" s="313"/>
      <c r="BF435" s="313"/>
      <c r="BG435" s="313"/>
      <c r="BH435" s="313"/>
      <c r="BI435" s="313"/>
      <c r="BJ435" s="313"/>
      <c r="BK435" s="313"/>
      <c r="BL435" s="313"/>
      <c r="BM435" s="313"/>
      <c r="BN435" s="313"/>
      <c r="BO435" s="313"/>
      <c r="BP435" s="313"/>
      <c r="BQ435" s="313"/>
    </row>
    <row r="436">
      <c r="A436" s="87" t="s">
        <v>10469</v>
      </c>
      <c r="B436" s="92"/>
      <c r="C436" s="30">
        <v>44098.0</v>
      </c>
      <c r="D436" s="92"/>
      <c r="E436" s="13" t="s">
        <v>41</v>
      </c>
      <c r="F436" s="13">
        <v>1.0</v>
      </c>
      <c r="G436" s="13">
        <v>1.0</v>
      </c>
      <c r="H436" s="50">
        <v>1.0</v>
      </c>
      <c r="I436" s="13" t="s">
        <v>33</v>
      </c>
      <c r="J436" s="13" t="s">
        <v>193</v>
      </c>
      <c r="K436" s="92"/>
      <c r="L436" s="34" t="s">
        <v>10396</v>
      </c>
      <c r="M436" s="46" t="s">
        <v>10470</v>
      </c>
      <c r="N436" s="106"/>
      <c r="O436" s="145"/>
      <c r="P436" s="145"/>
      <c r="Q436" s="37"/>
      <c r="R436" s="145"/>
      <c r="S436" s="145"/>
      <c r="T436" s="313"/>
      <c r="U436" s="38"/>
      <c r="V436" s="38" t="s">
        <v>33</v>
      </c>
      <c r="W436" s="121"/>
      <c r="X436" s="40"/>
      <c r="Y436" s="349"/>
      <c r="Z436" s="313"/>
      <c r="AA436" s="313"/>
      <c r="AB436" s="313"/>
      <c r="AC436" s="313"/>
      <c r="AD436" s="313"/>
      <c r="AE436" s="313"/>
      <c r="AF436" s="313"/>
      <c r="AG436" s="313"/>
      <c r="AH436" s="313"/>
      <c r="AI436" s="313"/>
      <c r="AJ436" s="313"/>
      <c r="AK436" s="313"/>
      <c r="AL436" s="313"/>
      <c r="AM436" s="313"/>
      <c r="AN436" s="313"/>
      <c r="AO436" s="313"/>
      <c r="AP436" s="313"/>
      <c r="AQ436" s="313"/>
      <c r="AR436" s="313"/>
      <c r="AS436" s="313"/>
      <c r="AT436" s="313"/>
      <c r="AU436" s="313"/>
      <c r="AV436" s="313"/>
      <c r="AW436" s="313"/>
      <c r="AX436" s="313"/>
      <c r="AY436" s="313"/>
      <c r="AZ436" s="313"/>
      <c r="BA436" s="313"/>
      <c r="BB436" s="313"/>
      <c r="BC436" s="313"/>
      <c r="BD436" s="313"/>
      <c r="BE436" s="313"/>
      <c r="BF436" s="313"/>
      <c r="BG436" s="313"/>
      <c r="BH436" s="313"/>
      <c r="BI436" s="313"/>
      <c r="BJ436" s="313"/>
      <c r="BK436" s="313"/>
      <c r="BL436" s="313"/>
      <c r="BM436" s="313"/>
      <c r="BN436" s="313"/>
      <c r="BO436" s="313"/>
      <c r="BP436" s="313"/>
      <c r="BQ436" s="313"/>
    </row>
    <row r="437">
      <c r="A437" s="87" t="s">
        <v>10471</v>
      </c>
      <c r="B437" s="30"/>
      <c r="C437" s="31">
        <v>44119.0</v>
      </c>
      <c r="D437" s="30"/>
      <c r="E437" s="13" t="s">
        <v>41</v>
      </c>
      <c r="F437" s="13">
        <v>1.0</v>
      </c>
      <c r="G437" s="13">
        <v>1.0</v>
      </c>
      <c r="H437" s="50">
        <v>1.0</v>
      </c>
      <c r="I437" s="13" t="s">
        <v>33</v>
      </c>
      <c r="J437" s="13" t="s">
        <v>268</v>
      </c>
      <c r="K437" s="30"/>
      <c r="L437" s="34" t="s">
        <v>9380</v>
      </c>
      <c r="M437" s="46" t="s">
        <v>10472</v>
      </c>
      <c r="N437" s="106"/>
      <c r="O437" s="145"/>
      <c r="P437" s="145"/>
      <c r="Q437" s="91"/>
      <c r="R437" s="145"/>
      <c r="S437" s="99"/>
      <c r="T437" s="279"/>
      <c r="U437" s="38"/>
      <c r="V437" s="38" t="s">
        <v>33</v>
      </c>
      <c r="W437" s="121"/>
      <c r="X437" s="40"/>
      <c r="Y437" s="278"/>
      <c r="Z437" s="279"/>
      <c r="AA437" s="279"/>
      <c r="AB437" s="279"/>
      <c r="AC437" s="279"/>
      <c r="AD437" s="279"/>
      <c r="AE437" s="279"/>
      <c r="AF437" s="279"/>
      <c r="AG437" s="279"/>
      <c r="AH437" s="279"/>
      <c r="AI437" s="279"/>
      <c r="AJ437" s="279"/>
      <c r="AK437" s="279"/>
      <c r="AL437" s="279"/>
      <c r="AM437" s="279"/>
      <c r="AN437" s="279"/>
      <c r="AO437" s="279"/>
      <c r="AP437" s="279"/>
      <c r="AQ437" s="279"/>
      <c r="AR437" s="279"/>
      <c r="AS437" s="279"/>
      <c r="AT437" s="279"/>
      <c r="AU437" s="279"/>
      <c r="AV437" s="279"/>
      <c r="AW437" s="279"/>
      <c r="AX437" s="279"/>
      <c r="AY437" s="279"/>
      <c r="AZ437" s="279"/>
      <c r="BA437" s="279"/>
      <c r="BB437" s="279"/>
      <c r="BC437" s="279"/>
      <c r="BD437" s="279"/>
      <c r="BE437" s="279"/>
      <c r="BF437" s="279"/>
      <c r="BG437" s="279"/>
      <c r="BH437" s="279"/>
      <c r="BI437" s="279"/>
      <c r="BJ437" s="279"/>
      <c r="BK437" s="279"/>
      <c r="BL437" s="279"/>
      <c r="BM437" s="279"/>
      <c r="BN437" s="279"/>
      <c r="BO437" s="279"/>
      <c r="BP437" s="279"/>
      <c r="BQ437" s="279"/>
    </row>
    <row r="438">
      <c r="A438" s="87" t="s">
        <v>10473</v>
      </c>
      <c r="B438" s="30"/>
      <c r="C438" s="31">
        <v>44119.0</v>
      </c>
      <c r="D438" s="30"/>
      <c r="E438" s="13" t="s">
        <v>41</v>
      </c>
      <c r="F438" s="13">
        <v>1.0</v>
      </c>
      <c r="G438" s="13">
        <v>1.0</v>
      </c>
      <c r="H438" s="50">
        <v>1.0</v>
      </c>
      <c r="I438" s="13" t="s">
        <v>33</v>
      </c>
      <c r="J438" s="13" t="s">
        <v>268</v>
      </c>
      <c r="K438" s="30"/>
      <c r="L438" s="34" t="s">
        <v>9380</v>
      </c>
      <c r="M438" s="46" t="s">
        <v>10474</v>
      </c>
      <c r="N438" s="106"/>
      <c r="O438" s="145"/>
      <c r="P438" s="145"/>
      <c r="Q438" s="91"/>
      <c r="R438" s="145"/>
      <c r="S438" s="99"/>
      <c r="T438" s="279"/>
      <c r="U438" s="38"/>
      <c r="V438" s="38" t="s">
        <v>33</v>
      </c>
      <c r="W438" s="121"/>
      <c r="X438" s="40"/>
      <c r="Y438" s="278"/>
      <c r="Z438" s="279"/>
      <c r="AA438" s="279"/>
      <c r="AB438" s="279"/>
      <c r="AC438" s="279"/>
      <c r="AD438" s="279"/>
      <c r="AE438" s="279"/>
      <c r="AF438" s="279"/>
      <c r="AG438" s="279"/>
      <c r="AH438" s="279"/>
      <c r="AI438" s="279"/>
      <c r="AJ438" s="279"/>
      <c r="AK438" s="279"/>
      <c r="AL438" s="279"/>
      <c r="AM438" s="279"/>
      <c r="AN438" s="279"/>
      <c r="AO438" s="279"/>
      <c r="AP438" s="279"/>
      <c r="AQ438" s="279"/>
      <c r="AR438" s="279"/>
      <c r="AS438" s="279"/>
      <c r="AT438" s="279"/>
      <c r="AU438" s="279"/>
      <c r="AV438" s="279"/>
      <c r="AW438" s="279"/>
      <c r="AX438" s="279"/>
      <c r="AY438" s="279"/>
      <c r="AZ438" s="279"/>
      <c r="BA438" s="279"/>
      <c r="BB438" s="279"/>
      <c r="BC438" s="279"/>
      <c r="BD438" s="279"/>
      <c r="BE438" s="279"/>
      <c r="BF438" s="279"/>
      <c r="BG438" s="279"/>
      <c r="BH438" s="279"/>
      <c r="BI438" s="279"/>
      <c r="BJ438" s="279"/>
      <c r="BK438" s="279"/>
      <c r="BL438" s="279"/>
      <c r="BM438" s="279"/>
      <c r="BN438" s="279"/>
      <c r="BO438" s="279"/>
      <c r="BP438" s="279"/>
      <c r="BQ438" s="279"/>
    </row>
    <row r="439">
      <c r="A439" s="87" t="s">
        <v>10475</v>
      </c>
      <c r="B439" s="30"/>
      <c r="C439" s="31">
        <v>44119.0</v>
      </c>
      <c r="D439" s="30"/>
      <c r="E439" s="13" t="s">
        <v>41</v>
      </c>
      <c r="F439" s="13">
        <v>1.0</v>
      </c>
      <c r="G439" s="13" t="s">
        <v>32</v>
      </c>
      <c r="H439" s="50">
        <v>1.0</v>
      </c>
      <c r="I439" s="13" t="s">
        <v>33</v>
      </c>
      <c r="J439" s="13" t="s">
        <v>55</v>
      </c>
      <c r="K439" s="30"/>
      <c r="L439" s="34" t="s">
        <v>10476</v>
      </c>
      <c r="M439" s="46" t="s">
        <v>10477</v>
      </c>
      <c r="N439" s="106"/>
      <c r="O439" s="145"/>
      <c r="P439" s="145"/>
      <c r="Q439" s="91"/>
      <c r="R439" s="145"/>
      <c r="S439" s="99"/>
      <c r="T439" s="279"/>
      <c r="U439" s="38"/>
      <c r="V439" s="38" t="s">
        <v>33</v>
      </c>
      <c r="W439" s="121"/>
      <c r="X439" s="40"/>
      <c r="Y439" s="278"/>
      <c r="Z439" s="279"/>
      <c r="AA439" s="279"/>
      <c r="AB439" s="279"/>
      <c r="AC439" s="279"/>
      <c r="AD439" s="279"/>
      <c r="AE439" s="279"/>
      <c r="AF439" s="279"/>
      <c r="AG439" s="279"/>
      <c r="AH439" s="279"/>
      <c r="AI439" s="279"/>
      <c r="AJ439" s="279"/>
      <c r="AK439" s="279"/>
      <c r="AL439" s="279"/>
      <c r="AM439" s="279"/>
      <c r="AN439" s="279"/>
      <c r="AO439" s="279"/>
      <c r="AP439" s="279"/>
      <c r="AQ439" s="279"/>
      <c r="AR439" s="279"/>
      <c r="AS439" s="279"/>
      <c r="AT439" s="279"/>
      <c r="AU439" s="279"/>
      <c r="AV439" s="279"/>
      <c r="AW439" s="279"/>
      <c r="AX439" s="279"/>
      <c r="AY439" s="279"/>
      <c r="AZ439" s="279"/>
      <c r="BA439" s="279"/>
      <c r="BB439" s="279"/>
      <c r="BC439" s="279"/>
      <c r="BD439" s="279"/>
      <c r="BE439" s="279"/>
      <c r="BF439" s="279"/>
      <c r="BG439" s="279"/>
      <c r="BH439" s="279"/>
      <c r="BI439" s="279"/>
      <c r="BJ439" s="279"/>
      <c r="BK439" s="279"/>
      <c r="BL439" s="279"/>
      <c r="BM439" s="279"/>
      <c r="BN439" s="279"/>
      <c r="BO439" s="279"/>
      <c r="BP439" s="279"/>
      <c r="BQ439" s="279"/>
    </row>
    <row r="440">
      <c r="A440" s="87" t="s">
        <v>10478</v>
      </c>
      <c r="B440" s="92"/>
      <c r="C440" s="31">
        <v>44105.0</v>
      </c>
      <c r="D440" s="92"/>
      <c r="E440" s="13" t="s">
        <v>41</v>
      </c>
      <c r="F440" s="13">
        <v>1.0</v>
      </c>
      <c r="G440" s="13">
        <v>1.0</v>
      </c>
      <c r="H440" s="50">
        <v>1.0</v>
      </c>
      <c r="I440" s="13" t="s">
        <v>33</v>
      </c>
      <c r="J440" s="13" t="s">
        <v>268</v>
      </c>
      <c r="K440" s="92"/>
      <c r="L440" s="34" t="s">
        <v>6497</v>
      </c>
      <c r="M440" s="46" t="s">
        <v>10479</v>
      </c>
      <c r="N440" s="106"/>
      <c r="O440" s="145"/>
      <c r="P440" s="145"/>
      <c r="Q440" s="37"/>
      <c r="R440" s="145"/>
      <c r="S440" s="145"/>
      <c r="T440" s="313"/>
      <c r="U440" s="38"/>
      <c r="V440" s="38" t="s">
        <v>33</v>
      </c>
      <c r="W440" s="121"/>
      <c r="X440" s="40"/>
      <c r="Y440" s="349"/>
      <c r="Z440" s="313"/>
      <c r="AA440" s="313"/>
      <c r="AB440" s="313"/>
      <c r="AC440" s="313"/>
      <c r="AD440" s="313"/>
      <c r="AE440" s="313"/>
      <c r="AF440" s="313"/>
      <c r="AG440" s="313"/>
      <c r="AH440" s="313"/>
      <c r="AI440" s="313"/>
      <c r="AJ440" s="313"/>
      <c r="AK440" s="313"/>
      <c r="AL440" s="313"/>
      <c r="AM440" s="313"/>
      <c r="AN440" s="313"/>
      <c r="AO440" s="313"/>
      <c r="AP440" s="313"/>
      <c r="AQ440" s="313"/>
      <c r="AR440" s="313"/>
      <c r="AS440" s="313"/>
      <c r="AT440" s="313"/>
      <c r="AU440" s="313"/>
      <c r="AV440" s="313"/>
      <c r="AW440" s="313"/>
      <c r="AX440" s="313"/>
      <c r="AY440" s="313"/>
      <c r="AZ440" s="313"/>
      <c r="BA440" s="313"/>
      <c r="BB440" s="313"/>
      <c r="BC440" s="313"/>
      <c r="BD440" s="313"/>
      <c r="BE440" s="313"/>
      <c r="BF440" s="313"/>
      <c r="BG440" s="313"/>
      <c r="BH440" s="313"/>
      <c r="BI440" s="313"/>
      <c r="BJ440" s="313"/>
      <c r="BK440" s="313"/>
      <c r="BL440" s="313"/>
      <c r="BM440" s="313"/>
      <c r="BN440" s="313"/>
      <c r="BO440" s="313"/>
      <c r="BP440" s="313"/>
      <c r="BQ440" s="313"/>
    </row>
    <row r="441">
      <c r="A441" s="87" t="s">
        <v>10480</v>
      </c>
      <c r="B441" s="92"/>
      <c r="C441" s="30">
        <v>44105.0</v>
      </c>
      <c r="D441" s="92"/>
      <c r="E441" s="13" t="s">
        <v>41</v>
      </c>
      <c r="F441" s="13">
        <v>1.0</v>
      </c>
      <c r="G441" s="13">
        <v>1.0</v>
      </c>
      <c r="H441" s="50">
        <v>1.0</v>
      </c>
      <c r="I441" s="13" t="s">
        <v>33</v>
      </c>
      <c r="J441" s="13" t="s">
        <v>343</v>
      </c>
      <c r="K441" s="92"/>
      <c r="L441" s="34" t="s">
        <v>10481</v>
      </c>
      <c r="M441" s="46" t="s">
        <v>10482</v>
      </c>
      <c r="N441" s="106"/>
      <c r="O441" s="145"/>
      <c r="P441" s="145"/>
      <c r="Q441" s="37"/>
      <c r="R441" s="145"/>
      <c r="S441" s="145"/>
      <c r="T441" s="313"/>
      <c r="U441" s="38"/>
      <c r="V441" s="38" t="s">
        <v>33</v>
      </c>
      <c r="W441" s="121"/>
      <c r="X441" s="40"/>
      <c r="Y441" s="349"/>
      <c r="Z441" s="313"/>
      <c r="AA441" s="313"/>
      <c r="AB441" s="313"/>
      <c r="AC441" s="313"/>
      <c r="AD441" s="313"/>
      <c r="AE441" s="313"/>
      <c r="AF441" s="313"/>
      <c r="AG441" s="313"/>
      <c r="AH441" s="313"/>
      <c r="AI441" s="313"/>
      <c r="AJ441" s="313"/>
      <c r="AK441" s="313"/>
      <c r="AL441" s="313"/>
      <c r="AM441" s="313"/>
      <c r="AN441" s="313"/>
      <c r="AO441" s="313"/>
      <c r="AP441" s="313"/>
      <c r="AQ441" s="313"/>
      <c r="AR441" s="313"/>
      <c r="AS441" s="313"/>
      <c r="AT441" s="313"/>
      <c r="AU441" s="313"/>
      <c r="AV441" s="313"/>
      <c r="AW441" s="313"/>
      <c r="AX441" s="313"/>
      <c r="AY441" s="313"/>
      <c r="AZ441" s="313"/>
      <c r="BA441" s="313"/>
      <c r="BB441" s="313"/>
      <c r="BC441" s="313"/>
      <c r="BD441" s="313"/>
      <c r="BE441" s="313"/>
      <c r="BF441" s="313"/>
      <c r="BG441" s="313"/>
      <c r="BH441" s="313"/>
      <c r="BI441" s="313"/>
      <c r="BJ441" s="313"/>
      <c r="BK441" s="313"/>
      <c r="BL441" s="313"/>
      <c r="BM441" s="313"/>
      <c r="BN441" s="313"/>
      <c r="BO441" s="313"/>
      <c r="BP441" s="313"/>
      <c r="BQ441" s="313"/>
    </row>
    <row r="442">
      <c r="A442" s="87" t="s">
        <v>10483</v>
      </c>
      <c r="B442" s="92"/>
      <c r="C442" s="30">
        <v>44107.0</v>
      </c>
      <c r="D442" s="92"/>
      <c r="E442" s="13" t="s">
        <v>31</v>
      </c>
      <c r="F442" s="13">
        <v>1.0</v>
      </c>
      <c r="G442" s="13">
        <v>0.0</v>
      </c>
      <c r="H442" s="50">
        <v>0.0</v>
      </c>
      <c r="I442" s="13" t="s">
        <v>33</v>
      </c>
      <c r="J442" s="13" t="s">
        <v>115</v>
      </c>
      <c r="K442" s="92"/>
      <c r="L442" s="34" t="s">
        <v>10484</v>
      </c>
      <c r="M442" s="46" t="s">
        <v>10485</v>
      </c>
      <c r="N442" s="106"/>
      <c r="O442" s="145"/>
      <c r="P442" s="145"/>
      <c r="Q442" s="37"/>
      <c r="R442" s="145"/>
      <c r="S442" s="145"/>
      <c r="T442" s="313"/>
      <c r="U442" s="38"/>
      <c r="V442" s="38" t="s">
        <v>33</v>
      </c>
      <c r="W442" s="121" t="s">
        <v>10486</v>
      </c>
      <c r="X442" s="39" t="s">
        <v>10487</v>
      </c>
      <c r="Y442" s="349"/>
      <c r="Z442" s="313"/>
      <c r="AA442" s="313"/>
      <c r="AB442" s="313"/>
      <c r="AC442" s="313"/>
      <c r="AD442" s="313"/>
      <c r="AE442" s="313"/>
      <c r="AF442" s="313"/>
      <c r="AG442" s="313"/>
      <c r="AH442" s="313"/>
      <c r="AI442" s="313"/>
      <c r="AJ442" s="313"/>
      <c r="AK442" s="313"/>
      <c r="AL442" s="313"/>
      <c r="AM442" s="313"/>
      <c r="AN442" s="313"/>
      <c r="AO442" s="313"/>
      <c r="AP442" s="313"/>
      <c r="AQ442" s="313"/>
      <c r="AR442" s="313"/>
      <c r="AS442" s="313"/>
      <c r="AT442" s="313"/>
      <c r="AU442" s="313"/>
      <c r="AV442" s="313"/>
      <c r="AW442" s="313"/>
      <c r="AX442" s="313"/>
      <c r="AY442" s="313"/>
      <c r="AZ442" s="313"/>
      <c r="BA442" s="313"/>
      <c r="BB442" s="313"/>
      <c r="BC442" s="313"/>
      <c r="BD442" s="313"/>
      <c r="BE442" s="313"/>
      <c r="BF442" s="313"/>
      <c r="BG442" s="313"/>
      <c r="BH442" s="313"/>
      <c r="BI442" s="313"/>
      <c r="BJ442" s="313"/>
      <c r="BK442" s="313"/>
      <c r="BL442" s="313"/>
      <c r="BM442" s="313"/>
      <c r="BN442" s="313"/>
      <c r="BO442" s="313"/>
      <c r="BP442" s="313"/>
      <c r="BQ442" s="313"/>
    </row>
    <row r="443">
      <c r="A443" s="280" t="s">
        <v>10488</v>
      </c>
      <c r="B443" s="92"/>
      <c r="C443" s="30">
        <v>44107.0</v>
      </c>
      <c r="D443" s="92"/>
      <c r="E443" s="13" t="s">
        <v>41</v>
      </c>
      <c r="F443" s="13">
        <v>1.0</v>
      </c>
      <c r="G443" s="13">
        <v>1.0</v>
      </c>
      <c r="H443" s="50">
        <v>1.0</v>
      </c>
      <c r="I443" s="13" t="s">
        <v>33</v>
      </c>
      <c r="J443" s="13" t="s">
        <v>115</v>
      </c>
      <c r="K443" s="92"/>
      <c r="L443" s="34" t="s">
        <v>10489</v>
      </c>
      <c r="M443" s="46" t="s">
        <v>10490</v>
      </c>
      <c r="N443" s="106"/>
      <c r="O443" s="145"/>
      <c r="P443" s="145"/>
      <c r="Q443" s="37"/>
      <c r="R443" s="145"/>
      <c r="S443" s="145"/>
      <c r="T443" s="313"/>
      <c r="U443" s="38"/>
      <c r="V443" s="38" t="s">
        <v>33</v>
      </c>
      <c r="W443" s="121"/>
      <c r="X443" s="40"/>
      <c r="Y443" s="349"/>
      <c r="Z443" s="313"/>
      <c r="AA443" s="313"/>
      <c r="AB443" s="313"/>
      <c r="AC443" s="313"/>
      <c r="AD443" s="313"/>
      <c r="AE443" s="313"/>
      <c r="AF443" s="313"/>
      <c r="AG443" s="313"/>
      <c r="AH443" s="313"/>
      <c r="AI443" s="313"/>
      <c r="AJ443" s="313"/>
      <c r="AK443" s="313"/>
      <c r="AL443" s="313"/>
      <c r="AM443" s="313"/>
      <c r="AN443" s="313"/>
      <c r="AO443" s="313"/>
      <c r="AP443" s="313"/>
      <c r="AQ443" s="313"/>
      <c r="AR443" s="313"/>
      <c r="AS443" s="313"/>
      <c r="AT443" s="313"/>
      <c r="AU443" s="313"/>
      <c r="AV443" s="313"/>
      <c r="AW443" s="313"/>
      <c r="AX443" s="313"/>
      <c r="AY443" s="313"/>
      <c r="AZ443" s="313"/>
      <c r="BA443" s="313"/>
      <c r="BB443" s="313"/>
      <c r="BC443" s="313"/>
      <c r="BD443" s="313"/>
      <c r="BE443" s="313"/>
      <c r="BF443" s="313"/>
      <c r="BG443" s="313"/>
      <c r="BH443" s="313"/>
      <c r="BI443" s="313"/>
      <c r="BJ443" s="313"/>
      <c r="BK443" s="313"/>
      <c r="BL443" s="313"/>
      <c r="BM443" s="313"/>
      <c r="BN443" s="313"/>
      <c r="BO443" s="313"/>
      <c r="BP443" s="313"/>
      <c r="BQ443" s="313"/>
    </row>
    <row r="444">
      <c r="A444" s="280" t="s">
        <v>10491</v>
      </c>
      <c r="B444" s="92"/>
      <c r="C444" s="30">
        <v>44109.0</v>
      </c>
      <c r="D444" s="92"/>
      <c r="E444" s="13" t="s">
        <v>41</v>
      </c>
      <c r="F444" s="13">
        <v>1.0</v>
      </c>
      <c r="G444" s="13">
        <v>1.0</v>
      </c>
      <c r="H444" s="50">
        <v>1.0</v>
      </c>
      <c r="I444" s="13" t="s">
        <v>33</v>
      </c>
      <c r="J444" s="13" t="s">
        <v>203</v>
      </c>
      <c r="K444" s="92"/>
      <c r="L444" s="34" t="s">
        <v>9380</v>
      </c>
      <c r="M444" s="46" t="s">
        <v>10492</v>
      </c>
      <c r="N444" s="106"/>
      <c r="O444" s="145"/>
      <c r="P444" s="145"/>
      <c r="Q444" s="37"/>
      <c r="R444" s="145"/>
      <c r="S444" s="145"/>
      <c r="T444" s="313"/>
      <c r="U444" s="38"/>
      <c r="V444" s="38" t="s">
        <v>33</v>
      </c>
      <c r="W444" s="121"/>
      <c r="X444" s="40"/>
      <c r="Y444" s="349"/>
      <c r="Z444" s="313"/>
      <c r="AA444" s="313"/>
      <c r="AB444" s="313"/>
      <c r="AC444" s="313"/>
      <c r="AD444" s="313"/>
      <c r="AE444" s="313"/>
      <c r="AF444" s="313"/>
      <c r="AG444" s="313"/>
      <c r="AH444" s="313"/>
      <c r="AI444" s="313"/>
      <c r="AJ444" s="313"/>
      <c r="AK444" s="313"/>
      <c r="AL444" s="313"/>
      <c r="AM444" s="313"/>
      <c r="AN444" s="313"/>
      <c r="AO444" s="313"/>
      <c r="AP444" s="313"/>
      <c r="AQ444" s="313"/>
      <c r="AR444" s="313"/>
      <c r="AS444" s="313"/>
      <c r="AT444" s="313"/>
      <c r="AU444" s="313"/>
      <c r="AV444" s="313"/>
      <c r="AW444" s="313"/>
      <c r="AX444" s="313"/>
      <c r="AY444" s="313"/>
      <c r="AZ444" s="313"/>
      <c r="BA444" s="313"/>
      <c r="BB444" s="313"/>
      <c r="BC444" s="313"/>
      <c r="BD444" s="313"/>
      <c r="BE444" s="313"/>
      <c r="BF444" s="313"/>
      <c r="BG444" s="313"/>
      <c r="BH444" s="313"/>
      <c r="BI444" s="313"/>
      <c r="BJ444" s="313"/>
      <c r="BK444" s="313"/>
      <c r="BL444" s="313"/>
      <c r="BM444" s="313"/>
      <c r="BN444" s="313"/>
      <c r="BO444" s="313"/>
      <c r="BP444" s="313"/>
      <c r="BQ444" s="313"/>
    </row>
    <row r="445">
      <c r="A445" s="280" t="s">
        <v>10493</v>
      </c>
      <c r="B445" s="92"/>
      <c r="C445" s="30">
        <v>44110.0</v>
      </c>
      <c r="D445" s="92"/>
      <c r="E445" s="13" t="s">
        <v>41</v>
      </c>
      <c r="F445" s="13">
        <v>1.0</v>
      </c>
      <c r="G445" s="13" t="s">
        <v>32</v>
      </c>
      <c r="H445" s="50">
        <v>1.0</v>
      </c>
      <c r="I445" s="13" t="s">
        <v>33</v>
      </c>
      <c r="J445" s="13" t="s">
        <v>93</v>
      </c>
      <c r="K445" s="92"/>
      <c r="L445" s="34" t="s">
        <v>7593</v>
      </c>
      <c r="M445" s="46" t="s">
        <v>10494</v>
      </c>
      <c r="N445" s="106"/>
      <c r="O445" s="145"/>
      <c r="P445" s="145"/>
      <c r="Q445" s="37"/>
      <c r="R445" s="145"/>
      <c r="S445" s="145"/>
      <c r="T445" s="313"/>
      <c r="U445" s="38"/>
      <c r="V445" s="38" t="s">
        <v>33</v>
      </c>
      <c r="W445" s="121"/>
      <c r="X445" s="40"/>
      <c r="Y445" s="349"/>
      <c r="Z445" s="313"/>
      <c r="AA445" s="313"/>
      <c r="AB445" s="313"/>
      <c r="AC445" s="313"/>
      <c r="AD445" s="313"/>
      <c r="AE445" s="313"/>
      <c r="AF445" s="313"/>
      <c r="AG445" s="313"/>
      <c r="AH445" s="313"/>
      <c r="AI445" s="313"/>
      <c r="AJ445" s="313"/>
      <c r="AK445" s="313"/>
      <c r="AL445" s="313"/>
      <c r="AM445" s="313"/>
      <c r="AN445" s="313"/>
      <c r="AO445" s="313"/>
      <c r="AP445" s="313"/>
      <c r="AQ445" s="313"/>
      <c r="AR445" s="313"/>
      <c r="AS445" s="313"/>
      <c r="AT445" s="313"/>
      <c r="AU445" s="313"/>
      <c r="AV445" s="313"/>
      <c r="AW445" s="313"/>
      <c r="AX445" s="313"/>
      <c r="AY445" s="313"/>
      <c r="AZ445" s="313"/>
      <c r="BA445" s="313"/>
      <c r="BB445" s="313"/>
      <c r="BC445" s="313"/>
      <c r="BD445" s="313"/>
      <c r="BE445" s="313"/>
      <c r="BF445" s="313"/>
      <c r="BG445" s="313"/>
      <c r="BH445" s="313"/>
      <c r="BI445" s="313"/>
      <c r="BJ445" s="313"/>
      <c r="BK445" s="313"/>
      <c r="BL445" s="313"/>
      <c r="BM445" s="313"/>
      <c r="BN445" s="313"/>
      <c r="BO445" s="313"/>
      <c r="BP445" s="313"/>
      <c r="BQ445" s="313"/>
    </row>
    <row r="446">
      <c r="A446" s="280" t="s">
        <v>10495</v>
      </c>
      <c r="B446" s="92"/>
      <c r="C446" s="30">
        <v>44118.0</v>
      </c>
      <c r="D446" s="92"/>
      <c r="E446" s="13" t="s">
        <v>41</v>
      </c>
      <c r="F446" s="13">
        <v>1.0</v>
      </c>
      <c r="G446" s="13" t="s">
        <v>32</v>
      </c>
      <c r="H446" s="50">
        <v>1.0</v>
      </c>
      <c r="I446" s="13" t="s">
        <v>33</v>
      </c>
      <c r="J446" s="13" t="s">
        <v>93</v>
      </c>
      <c r="K446" s="92"/>
      <c r="L446" s="34" t="s">
        <v>10196</v>
      </c>
      <c r="M446" s="46" t="s">
        <v>10496</v>
      </c>
      <c r="N446" s="106"/>
      <c r="O446" s="145"/>
      <c r="P446" s="145"/>
      <c r="Q446" s="37"/>
      <c r="R446" s="145"/>
      <c r="S446" s="145"/>
      <c r="T446" s="313"/>
      <c r="U446" s="38"/>
      <c r="V446" s="38"/>
      <c r="W446" s="121"/>
      <c r="X446" s="40"/>
      <c r="Y446" s="349"/>
      <c r="Z446" s="313"/>
      <c r="AA446" s="313"/>
      <c r="AB446" s="313"/>
      <c r="AC446" s="313"/>
      <c r="AD446" s="313"/>
      <c r="AE446" s="313"/>
      <c r="AF446" s="313"/>
      <c r="AG446" s="313"/>
      <c r="AH446" s="313"/>
      <c r="AI446" s="313"/>
      <c r="AJ446" s="313"/>
      <c r="AK446" s="313"/>
      <c r="AL446" s="313"/>
      <c r="AM446" s="313"/>
      <c r="AN446" s="313"/>
      <c r="AO446" s="313"/>
      <c r="AP446" s="313"/>
      <c r="AQ446" s="313"/>
      <c r="AR446" s="313"/>
      <c r="AS446" s="313"/>
      <c r="AT446" s="313"/>
      <c r="AU446" s="313"/>
      <c r="AV446" s="313"/>
      <c r="AW446" s="313"/>
      <c r="AX446" s="313"/>
      <c r="AY446" s="313"/>
      <c r="AZ446" s="313"/>
      <c r="BA446" s="313"/>
      <c r="BB446" s="313"/>
      <c r="BC446" s="313"/>
      <c r="BD446" s="313"/>
      <c r="BE446" s="313"/>
      <c r="BF446" s="313"/>
      <c r="BG446" s="313"/>
      <c r="BH446" s="313"/>
      <c r="BI446" s="313"/>
      <c r="BJ446" s="313"/>
      <c r="BK446" s="313"/>
      <c r="BL446" s="313"/>
      <c r="BM446" s="313"/>
      <c r="BN446" s="313"/>
      <c r="BO446" s="313"/>
      <c r="BP446" s="313"/>
      <c r="BQ446" s="313"/>
    </row>
    <row r="447">
      <c r="A447" s="280" t="s">
        <v>10497</v>
      </c>
      <c r="B447" s="92"/>
      <c r="C447" s="30">
        <v>44119.0</v>
      </c>
      <c r="D447" s="92"/>
      <c r="E447" s="13" t="s">
        <v>41</v>
      </c>
      <c r="F447" s="13">
        <v>1.0</v>
      </c>
      <c r="G447" s="13" t="s">
        <v>32</v>
      </c>
      <c r="H447" s="50">
        <v>1.0</v>
      </c>
      <c r="I447" s="13" t="s">
        <v>33</v>
      </c>
      <c r="J447" s="13" t="s">
        <v>228</v>
      </c>
      <c r="K447" s="92"/>
      <c r="L447" s="34" t="s">
        <v>7593</v>
      </c>
      <c r="M447" s="46" t="s">
        <v>10498</v>
      </c>
      <c r="N447" s="106"/>
      <c r="O447" s="145"/>
      <c r="P447" s="145"/>
      <c r="Q447" s="37"/>
      <c r="R447" s="145"/>
      <c r="S447" s="145"/>
      <c r="T447" s="313"/>
      <c r="U447" s="38"/>
      <c r="V447" s="38" t="s">
        <v>33</v>
      </c>
      <c r="W447" s="121"/>
      <c r="X447" s="40"/>
      <c r="Y447" s="349"/>
      <c r="Z447" s="313"/>
      <c r="AA447" s="313"/>
      <c r="AB447" s="313"/>
      <c r="AC447" s="313"/>
      <c r="AD447" s="313"/>
      <c r="AE447" s="313"/>
      <c r="AF447" s="313"/>
      <c r="AG447" s="313"/>
      <c r="AH447" s="313"/>
      <c r="AI447" s="313"/>
      <c r="AJ447" s="313"/>
      <c r="AK447" s="313"/>
      <c r="AL447" s="313"/>
      <c r="AM447" s="313"/>
      <c r="AN447" s="313"/>
      <c r="AO447" s="313"/>
      <c r="AP447" s="313"/>
      <c r="AQ447" s="313"/>
      <c r="AR447" s="313"/>
      <c r="AS447" s="313"/>
      <c r="AT447" s="313"/>
      <c r="AU447" s="313"/>
      <c r="AV447" s="313"/>
      <c r="AW447" s="313"/>
      <c r="AX447" s="313"/>
      <c r="AY447" s="313"/>
      <c r="AZ447" s="313"/>
      <c r="BA447" s="313"/>
      <c r="BB447" s="313"/>
      <c r="BC447" s="313"/>
      <c r="BD447" s="313"/>
      <c r="BE447" s="313"/>
      <c r="BF447" s="313"/>
      <c r="BG447" s="313"/>
      <c r="BH447" s="313"/>
      <c r="BI447" s="313"/>
      <c r="BJ447" s="313"/>
      <c r="BK447" s="313"/>
      <c r="BL447" s="313"/>
      <c r="BM447" s="313"/>
      <c r="BN447" s="313"/>
      <c r="BO447" s="313"/>
      <c r="BP447" s="313"/>
      <c r="BQ447" s="313"/>
    </row>
    <row r="448">
      <c r="A448" s="280" t="s">
        <v>10499</v>
      </c>
      <c r="B448" s="92"/>
      <c r="C448" s="30">
        <v>44125.0</v>
      </c>
      <c r="D448" s="92"/>
      <c r="E448" s="13" t="s">
        <v>41</v>
      </c>
      <c r="F448" s="13">
        <v>1.0</v>
      </c>
      <c r="G448" s="13" t="s">
        <v>32</v>
      </c>
      <c r="H448" s="50">
        <v>1.0</v>
      </c>
      <c r="I448" s="13" t="s">
        <v>33</v>
      </c>
      <c r="J448" s="13" t="s">
        <v>909</v>
      </c>
      <c r="K448" s="92"/>
      <c r="L448" s="34" t="s">
        <v>7593</v>
      </c>
      <c r="M448" s="46" t="s">
        <v>10500</v>
      </c>
      <c r="N448" s="106"/>
      <c r="O448" s="145"/>
      <c r="P448" s="145"/>
      <c r="Q448" s="37"/>
      <c r="R448" s="145"/>
      <c r="S448" s="145"/>
      <c r="T448" s="313"/>
      <c r="U448" s="38"/>
      <c r="V448" s="38" t="s">
        <v>33</v>
      </c>
      <c r="W448" s="121"/>
      <c r="X448" s="40"/>
      <c r="Y448" s="349"/>
      <c r="Z448" s="313"/>
      <c r="AA448" s="313"/>
      <c r="AB448" s="313"/>
      <c r="AC448" s="313"/>
      <c r="AD448" s="313"/>
      <c r="AE448" s="313"/>
      <c r="AF448" s="313"/>
      <c r="AG448" s="313"/>
      <c r="AH448" s="313"/>
      <c r="AI448" s="313"/>
      <c r="AJ448" s="313"/>
      <c r="AK448" s="313"/>
      <c r="AL448" s="313"/>
      <c r="AM448" s="313"/>
      <c r="AN448" s="313"/>
      <c r="AO448" s="313"/>
      <c r="AP448" s="313"/>
      <c r="AQ448" s="313"/>
      <c r="AR448" s="313"/>
      <c r="AS448" s="313"/>
      <c r="AT448" s="313"/>
      <c r="AU448" s="313"/>
      <c r="AV448" s="313"/>
      <c r="AW448" s="313"/>
      <c r="AX448" s="313"/>
      <c r="AY448" s="313"/>
      <c r="AZ448" s="313"/>
      <c r="BA448" s="313"/>
      <c r="BB448" s="313"/>
      <c r="BC448" s="313"/>
      <c r="BD448" s="313"/>
      <c r="BE448" s="313"/>
      <c r="BF448" s="313"/>
      <c r="BG448" s="313"/>
      <c r="BH448" s="313"/>
      <c r="BI448" s="313"/>
      <c r="BJ448" s="313"/>
      <c r="BK448" s="313"/>
      <c r="BL448" s="313"/>
      <c r="BM448" s="313"/>
      <c r="BN448" s="313"/>
      <c r="BO448" s="313"/>
      <c r="BP448" s="313"/>
      <c r="BQ448" s="313"/>
    </row>
    <row r="449">
      <c r="A449" s="280" t="s">
        <v>10501</v>
      </c>
      <c r="B449" s="92"/>
      <c r="C449" s="30">
        <v>44125.0</v>
      </c>
      <c r="D449" s="92"/>
      <c r="E449" s="13" t="s">
        <v>41</v>
      </c>
      <c r="F449" s="13">
        <v>1.0</v>
      </c>
      <c r="G449" s="13" t="s">
        <v>32</v>
      </c>
      <c r="H449" s="50">
        <v>1.0</v>
      </c>
      <c r="I449" s="13" t="s">
        <v>33</v>
      </c>
      <c r="J449" s="13" t="s">
        <v>440</v>
      </c>
      <c r="K449" s="92"/>
      <c r="L449" s="34" t="s">
        <v>7593</v>
      </c>
      <c r="M449" s="46" t="s">
        <v>10502</v>
      </c>
      <c r="N449" s="106"/>
      <c r="O449" s="145"/>
      <c r="P449" s="145"/>
      <c r="Q449" s="37"/>
      <c r="R449" s="145"/>
      <c r="S449" s="145"/>
      <c r="T449" s="313"/>
      <c r="U449" s="38"/>
      <c r="V449" s="38" t="s">
        <v>33</v>
      </c>
      <c r="W449" s="121"/>
      <c r="X449" s="40"/>
      <c r="Y449" s="349"/>
      <c r="Z449" s="313"/>
      <c r="AA449" s="313"/>
      <c r="AB449" s="313"/>
      <c r="AC449" s="313"/>
      <c r="AD449" s="313"/>
      <c r="AE449" s="313"/>
      <c r="AF449" s="313"/>
      <c r="AG449" s="313"/>
      <c r="AH449" s="313"/>
      <c r="AI449" s="313"/>
      <c r="AJ449" s="313"/>
      <c r="AK449" s="313"/>
      <c r="AL449" s="313"/>
      <c r="AM449" s="313"/>
      <c r="AN449" s="313"/>
      <c r="AO449" s="313"/>
      <c r="AP449" s="313"/>
      <c r="AQ449" s="313"/>
      <c r="AR449" s="313"/>
      <c r="AS449" s="313"/>
      <c r="AT449" s="313"/>
      <c r="AU449" s="313"/>
      <c r="AV449" s="313"/>
      <c r="AW449" s="313"/>
      <c r="AX449" s="313"/>
      <c r="AY449" s="313"/>
      <c r="AZ449" s="313"/>
      <c r="BA449" s="313"/>
      <c r="BB449" s="313"/>
      <c r="BC449" s="313"/>
      <c r="BD449" s="313"/>
      <c r="BE449" s="313"/>
      <c r="BF449" s="313"/>
      <c r="BG449" s="313"/>
      <c r="BH449" s="313"/>
      <c r="BI449" s="313"/>
      <c r="BJ449" s="313"/>
      <c r="BK449" s="313"/>
      <c r="BL449" s="313"/>
      <c r="BM449" s="313"/>
      <c r="BN449" s="313"/>
      <c r="BO449" s="313"/>
      <c r="BP449" s="313"/>
      <c r="BQ449" s="313"/>
    </row>
    <row r="450">
      <c r="A450" s="280" t="s">
        <v>10503</v>
      </c>
      <c r="B450" s="92"/>
      <c r="C450" s="30">
        <v>44126.0</v>
      </c>
      <c r="D450" s="92"/>
      <c r="E450" s="13" t="s">
        <v>31</v>
      </c>
      <c r="F450" s="13">
        <v>1.0</v>
      </c>
      <c r="G450" s="13" t="s">
        <v>32</v>
      </c>
      <c r="H450" s="50">
        <v>1.0</v>
      </c>
      <c r="I450" s="13" t="s">
        <v>33</v>
      </c>
      <c r="J450" s="13" t="s">
        <v>132</v>
      </c>
      <c r="K450" s="92"/>
      <c r="L450" s="34" t="s">
        <v>9479</v>
      </c>
      <c r="M450" s="106" t="s">
        <v>10504</v>
      </c>
      <c r="N450" s="106"/>
      <c r="O450" s="145"/>
      <c r="P450" s="145"/>
      <c r="Q450" s="37"/>
      <c r="R450" s="145"/>
      <c r="S450" s="145"/>
      <c r="T450" s="313"/>
      <c r="U450" s="38"/>
      <c r="V450" s="38" t="s">
        <v>33</v>
      </c>
      <c r="W450" s="121"/>
      <c r="X450" s="40"/>
      <c r="Y450" s="349"/>
      <c r="Z450" s="313"/>
      <c r="AA450" s="313"/>
      <c r="AB450" s="313"/>
      <c r="AC450" s="313"/>
      <c r="AD450" s="313"/>
      <c r="AE450" s="313"/>
      <c r="AF450" s="313"/>
      <c r="AG450" s="313"/>
      <c r="AH450" s="313"/>
      <c r="AI450" s="313"/>
      <c r="AJ450" s="313"/>
      <c r="AK450" s="313"/>
      <c r="AL450" s="313"/>
      <c r="AM450" s="313"/>
      <c r="AN450" s="313"/>
      <c r="AO450" s="313"/>
      <c r="AP450" s="313"/>
      <c r="AQ450" s="313"/>
      <c r="AR450" s="313"/>
      <c r="AS450" s="313"/>
      <c r="AT450" s="313"/>
      <c r="AU450" s="313"/>
      <c r="AV450" s="313"/>
      <c r="AW450" s="313"/>
      <c r="AX450" s="313"/>
      <c r="AY450" s="313"/>
      <c r="AZ450" s="313"/>
      <c r="BA450" s="313"/>
      <c r="BB450" s="313"/>
      <c r="BC450" s="313"/>
      <c r="BD450" s="313"/>
      <c r="BE450" s="313"/>
      <c r="BF450" s="313"/>
      <c r="BG450" s="313"/>
      <c r="BH450" s="313"/>
      <c r="BI450" s="313"/>
      <c r="BJ450" s="313"/>
      <c r="BK450" s="313"/>
      <c r="BL450" s="313"/>
      <c r="BM450" s="313"/>
      <c r="BN450" s="313"/>
      <c r="BO450" s="313"/>
      <c r="BP450" s="313"/>
      <c r="BQ450" s="313"/>
    </row>
    <row r="451">
      <c r="A451" s="280" t="s">
        <v>10505</v>
      </c>
      <c r="B451" s="92"/>
      <c r="C451" s="30">
        <v>44126.0</v>
      </c>
      <c r="D451" s="92"/>
      <c r="E451" s="13" t="s">
        <v>31</v>
      </c>
      <c r="F451" s="13">
        <v>1.0</v>
      </c>
      <c r="G451" s="13" t="s">
        <v>32</v>
      </c>
      <c r="H451" s="50">
        <v>1.0</v>
      </c>
      <c r="I451" s="13" t="s">
        <v>33</v>
      </c>
      <c r="J451" s="13" t="s">
        <v>132</v>
      </c>
      <c r="K451" s="92"/>
      <c r="L451" s="34" t="s">
        <v>9479</v>
      </c>
      <c r="M451" s="46" t="s">
        <v>10504</v>
      </c>
      <c r="N451" s="106"/>
      <c r="O451" s="145"/>
      <c r="P451" s="145"/>
      <c r="Q451" s="37"/>
      <c r="R451" s="145"/>
      <c r="S451" s="145"/>
      <c r="T451" s="313"/>
      <c r="U451" s="38"/>
      <c r="V451" s="38" t="s">
        <v>33</v>
      </c>
      <c r="W451" s="121"/>
      <c r="X451" s="40"/>
      <c r="Y451" s="349"/>
      <c r="Z451" s="313"/>
      <c r="AA451" s="313"/>
      <c r="AB451" s="313"/>
      <c r="AC451" s="313"/>
      <c r="AD451" s="313"/>
      <c r="AE451" s="313"/>
      <c r="AF451" s="313"/>
      <c r="AG451" s="313"/>
      <c r="AH451" s="313"/>
      <c r="AI451" s="313"/>
      <c r="AJ451" s="313"/>
      <c r="AK451" s="313"/>
      <c r="AL451" s="313"/>
      <c r="AM451" s="313"/>
      <c r="AN451" s="313"/>
      <c r="AO451" s="313"/>
      <c r="AP451" s="313"/>
      <c r="AQ451" s="313"/>
      <c r="AR451" s="313"/>
      <c r="AS451" s="313"/>
      <c r="AT451" s="313"/>
      <c r="AU451" s="313"/>
      <c r="AV451" s="313"/>
      <c r="AW451" s="313"/>
      <c r="AX451" s="313"/>
      <c r="AY451" s="313"/>
      <c r="AZ451" s="313"/>
      <c r="BA451" s="313"/>
      <c r="BB451" s="313"/>
      <c r="BC451" s="313"/>
      <c r="BD451" s="313"/>
      <c r="BE451" s="313"/>
      <c r="BF451" s="313"/>
      <c r="BG451" s="313"/>
      <c r="BH451" s="313"/>
      <c r="BI451" s="313"/>
      <c r="BJ451" s="313"/>
      <c r="BK451" s="313"/>
      <c r="BL451" s="313"/>
      <c r="BM451" s="313"/>
      <c r="BN451" s="313"/>
      <c r="BO451" s="313"/>
      <c r="BP451" s="313"/>
      <c r="BQ451" s="313"/>
    </row>
    <row r="452">
      <c r="A452" s="280" t="s">
        <v>10506</v>
      </c>
      <c r="B452" s="92"/>
      <c r="C452" s="30">
        <v>44133.0</v>
      </c>
      <c r="D452" s="92"/>
      <c r="E452" s="13" t="s">
        <v>41</v>
      </c>
      <c r="F452" s="13">
        <v>1.0</v>
      </c>
      <c r="G452" s="13" t="s">
        <v>32</v>
      </c>
      <c r="H452" s="50">
        <v>1.0</v>
      </c>
      <c r="I452" s="13" t="s">
        <v>33</v>
      </c>
      <c r="J452" s="13" t="s">
        <v>42</v>
      </c>
      <c r="K452" s="92"/>
      <c r="L452" s="34" t="s">
        <v>10196</v>
      </c>
      <c r="M452" s="46" t="s">
        <v>10507</v>
      </c>
      <c r="N452" s="106"/>
      <c r="O452" s="145"/>
      <c r="P452" s="145"/>
      <c r="Q452" s="37"/>
      <c r="R452" s="145"/>
      <c r="S452" s="145"/>
      <c r="T452" s="313"/>
      <c r="U452" s="38"/>
      <c r="V452" s="38" t="s">
        <v>33</v>
      </c>
      <c r="W452" s="121"/>
      <c r="X452" s="40"/>
      <c r="Y452" s="349"/>
      <c r="Z452" s="313"/>
      <c r="AA452" s="313"/>
      <c r="AB452" s="313"/>
      <c r="AC452" s="313"/>
      <c r="AD452" s="313"/>
      <c r="AE452" s="313"/>
      <c r="AF452" s="313"/>
      <c r="AG452" s="313"/>
      <c r="AH452" s="313"/>
      <c r="AI452" s="313"/>
      <c r="AJ452" s="313"/>
      <c r="AK452" s="313"/>
      <c r="AL452" s="313"/>
      <c r="AM452" s="313"/>
      <c r="AN452" s="313"/>
      <c r="AO452" s="313"/>
      <c r="AP452" s="313"/>
      <c r="AQ452" s="313"/>
      <c r="AR452" s="313"/>
      <c r="AS452" s="313"/>
      <c r="AT452" s="313"/>
      <c r="AU452" s="313"/>
      <c r="AV452" s="313"/>
      <c r="AW452" s="313"/>
      <c r="AX452" s="313"/>
      <c r="AY452" s="313"/>
      <c r="AZ452" s="313"/>
      <c r="BA452" s="313"/>
      <c r="BB452" s="313"/>
      <c r="BC452" s="313"/>
      <c r="BD452" s="313"/>
      <c r="BE452" s="313"/>
      <c r="BF452" s="313"/>
      <c r="BG452" s="313"/>
      <c r="BH452" s="313"/>
      <c r="BI452" s="313"/>
      <c r="BJ452" s="313"/>
      <c r="BK452" s="313"/>
      <c r="BL452" s="313"/>
      <c r="BM452" s="313"/>
      <c r="BN452" s="313"/>
      <c r="BO452" s="313"/>
      <c r="BP452" s="313"/>
      <c r="BQ452" s="313"/>
    </row>
    <row r="453">
      <c r="A453" s="280" t="s">
        <v>10508</v>
      </c>
      <c r="B453" s="92"/>
      <c r="C453" s="30">
        <v>44134.0</v>
      </c>
      <c r="D453" s="92"/>
      <c r="E453" s="13" t="s">
        <v>41</v>
      </c>
      <c r="F453" s="13">
        <v>1.0</v>
      </c>
      <c r="G453" s="13">
        <v>1.0</v>
      </c>
      <c r="H453" s="50">
        <v>1.0</v>
      </c>
      <c r="I453" s="13" t="s">
        <v>33</v>
      </c>
      <c r="J453" s="13" t="s">
        <v>203</v>
      </c>
      <c r="K453" s="92"/>
      <c r="L453" s="34" t="s">
        <v>9380</v>
      </c>
      <c r="M453" s="46" t="s">
        <v>10509</v>
      </c>
      <c r="N453" s="106"/>
      <c r="O453" s="145"/>
      <c r="P453" s="145"/>
      <c r="Q453" s="37"/>
      <c r="R453" s="145"/>
      <c r="S453" s="145"/>
      <c r="T453" s="313"/>
      <c r="U453" s="38"/>
      <c r="V453" s="38" t="s">
        <v>33</v>
      </c>
      <c r="W453" s="121"/>
      <c r="X453" s="40"/>
      <c r="Y453" s="349"/>
      <c r="Z453" s="313"/>
      <c r="AA453" s="313"/>
      <c r="AB453" s="313"/>
      <c r="AC453" s="313"/>
      <c r="AD453" s="313"/>
      <c r="AE453" s="313"/>
      <c r="AF453" s="313"/>
      <c r="AG453" s="313"/>
      <c r="AH453" s="313"/>
      <c r="AI453" s="313"/>
      <c r="AJ453" s="313"/>
      <c r="AK453" s="313"/>
      <c r="AL453" s="313"/>
      <c r="AM453" s="313"/>
      <c r="AN453" s="313"/>
      <c r="AO453" s="313"/>
      <c r="AP453" s="313"/>
      <c r="AQ453" s="313"/>
      <c r="AR453" s="313"/>
      <c r="AS453" s="313"/>
      <c r="AT453" s="313"/>
      <c r="AU453" s="313"/>
      <c r="AV453" s="313"/>
      <c r="AW453" s="313"/>
      <c r="AX453" s="313"/>
      <c r="AY453" s="313"/>
      <c r="AZ453" s="313"/>
      <c r="BA453" s="313"/>
      <c r="BB453" s="313"/>
      <c r="BC453" s="313"/>
      <c r="BD453" s="313"/>
      <c r="BE453" s="313"/>
      <c r="BF453" s="313"/>
      <c r="BG453" s="313"/>
      <c r="BH453" s="313"/>
      <c r="BI453" s="313"/>
      <c r="BJ453" s="313"/>
      <c r="BK453" s="313"/>
      <c r="BL453" s="313"/>
      <c r="BM453" s="313"/>
      <c r="BN453" s="313"/>
      <c r="BO453" s="313"/>
      <c r="BP453" s="313"/>
      <c r="BQ453" s="313"/>
    </row>
    <row r="454">
      <c r="A454" s="280" t="s">
        <v>10510</v>
      </c>
      <c r="B454" s="92"/>
      <c r="C454" s="31">
        <v>44136.0</v>
      </c>
      <c r="D454" s="92"/>
      <c r="E454" s="13" t="s">
        <v>41</v>
      </c>
      <c r="F454" s="13">
        <v>1.0</v>
      </c>
      <c r="G454" s="13">
        <v>1.0</v>
      </c>
      <c r="H454" s="50">
        <v>1.0</v>
      </c>
      <c r="I454" s="13" t="s">
        <v>33</v>
      </c>
      <c r="J454" s="13" t="s">
        <v>268</v>
      </c>
      <c r="K454" s="92"/>
      <c r="L454" s="34" t="s">
        <v>9380</v>
      </c>
      <c r="M454" s="46" t="s">
        <v>9040</v>
      </c>
      <c r="N454" s="106"/>
      <c r="O454" s="145"/>
      <c r="P454" s="145"/>
      <c r="Q454" s="37"/>
      <c r="R454" s="145"/>
      <c r="S454" s="145"/>
      <c r="T454" s="313"/>
      <c r="U454" s="38"/>
      <c r="V454" s="38" t="s">
        <v>33</v>
      </c>
      <c r="W454" s="121"/>
      <c r="X454" s="40"/>
      <c r="Y454" s="349"/>
      <c r="Z454" s="313"/>
      <c r="AA454" s="313"/>
      <c r="AB454" s="313"/>
      <c r="AC454" s="313"/>
      <c r="AD454" s="313"/>
      <c r="AE454" s="313"/>
      <c r="AF454" s="313"/>
      <c r="AG454" s="313"/>
      <c r="AH454" s="313"/>
      <c r="AI454" s="313"/>
      <c r="AJ454" s="313"/>
      <c r="AK454" s="313"/>
      <c r="AL454" s="313"/>
      <c r="AM454" s="313"/>
      <c r="AN454" s="313"/>
      <c r="AO454" s="313"/>
      <c r="AP454" s="313"/>
      <c r="AQ454" s="313"/>
      <c r="AR454" s="313"/>
      <c r="AS454" s="313"/>
      <c r="AT454" s="313"/>
      <c r="AU454" s="313"/>
      <c r="AV454" s="313"/>
      <c r="AW454" s="313"/>
      <c r="AX454" s="313"/>
      <c r="AY454" s="313"/>
      <c r="AZ454" s="313"/>
      <c r="BA454" s="313"/>
      <c r="BB454" s="313"/>
      <c r="BC454" s="313"/>
      <c r="BD454" s="313"/>
      <c r="BE454" s="313"/>
      <c r="BF454" s="313"/>
      <c r="BG454" s="313"/>
      <c r="BH454" s="313"/>
      <c r="BI454" s="313"/>
      <c r="BJ454" s="313"/>
      <c r="BK454" s="313"/>
      <c r="BL454" s="313"/>
      <c r="BM454" s="313"/>
      <c r="BN454" s="313"/>
      <c r="BO454" s="313"/>
      <c r="BP454" s="313"/>
      <c r="BQ454" s="313"/>
    </row>
    <row r="455">
      <c r="A455" s="280" t="s">
        <v>10511</v>
      </c>
      <c r="B455" s="30"/>
      <c r="C455" s="31">
        <v>44136.0</v>
      </c>
      <c r="D455" s="30"/>
      <c r="E455" s="13" t="s">
        <v>41</v>
      </c>
      <c r="F455" s="13">
        <v>1.0</v>
      </c>
      <c r="G455" s="13" t="s">
        <v>32</v>
      </c>
      <c r="H455" s="50">
        <v>1.0</v>
      </c>
      <c r="I455" s="13" t="s">
        <v>33</v>
      </c>
      <c r="J455" s="13" t="s">
        <v>268</v>
      </c>
      <c r="K455" s="30"/>
      <c r="L455" s="34" t="s">
        <v>9380</v>
      </c>
      <c r="M455" s="106" t="s">
        <v>9030</v>
      </c>
      <c r="N455" s="106"/>
      <c r="O455" s="145"/>
      <c r="P455" s="145"/>
      <c r="Q455" s="91"/>
      <c r="R455" s="145"/>
      <c r="S455" s="99"/>
      <c r="T455" s="279"/>
      <c r="U455" s="38"/>
      <c r="V455" s="38" t="s">
        <v>33</v>
      </c>
      <c r="W455" s="121"/>
      <c r="X455" s="40"/>
      <c r="Y455" s="278"/>
      <c r="Z455" s="279"/>
      <c r="AA455" s="279"/>
      <c r="AB455" s="279"/>
      <c r="AC455" s="279"/>
      <c r="AD455" s="279"/>
      <c r="AE455" s="279"/>
      <c r="AF455" s="279"/>
      <c r="AG455" s="279"/>
      <c r="AH455" s="279"/>
      <c r="AI455" s="279"/>
      <c r="AJ455" s="279"/>
      <c r="AK455" s="279"/>
      <c r="AL455" s="279"/>
      <c r="AM455" s="279"/>
      <c r="AN455" s="279"/>
      <c r="AO455" s="279"/>
      <c r="AP455" s="279"/>
      <c r="AQ455" s="279"/>
      <c r="AR455" s="279"/>
      <c r="AS455" s="279"/>
      <c r="AT455" s="279"/>
      <c r="AU455" s="279"/>
      <c r="AV455" s="279"/>
      <c r="AW455" s="279"/>
      <c r="AX455" s="279"/>
      <c r="AY455" s="279"/>
      <c r="AZ455" s="279"/>
      <c r="BA455" s="279"/>
      <c r="BB455" s="279"/>
      <c r="BC455" s="279"/>
      <c r="BD455" s="279"/>
      <c r="BE455" s="279"/>
      <c r="BF455" s="279"/>
      <c r="BG455" s="279"/>
      <c r="BH455" s="279"/>
      <c r="BI455" s="279"/>
      <c r="BJ455" s="279"/>
      <c r="BK455" s="279"/>
      <c r="BL455" s="279"/>
      <c r="BM455" s="279"/>
      <c r="BN455" s="279"/>
      <c r="BO455" s="279"/>
      <c r="BP455" s="279"/>
      <c r="BQ455" s="279"/>
    </row>
    <row r="456">
      <c r="A456" s="280" t="s">
        <v>10512</v>
      </c>
      <c r="B456" s="92"/>
      <c r="C456" s="30">
        <v>44136.0</v>
      </c>
      <c r="D456" s="92"/>
      <c r="E456" s="13" t="s">
        <v>41</v>
      </c>
      <c r="F456" s="13">
        <v>1.0</v>
      </c>
      <c r="G456" s="13">
        <v>1.0</v>
      </c>
      <c r="H456" s="50">
        <v>1.0</v>
      </c>
      <c r="I456" s="13" t="s">
        <v>33</v>
      </c>
      <c r="J456" s="13" t="s">
        <v>268</v>
      </c>
      <c r="K456" s="92"/>
      <c r="L456" s="34" t="s">
        <v>6497</v>
      </c>
      <c r="M456" s="46" t="s">
        <v>9045</v>
      </c>
      <c r="N456" s="106"/>
      <c r="O456" s="145"/>
      <c r="P456" s="145"/>
      <c r="Q456" s="37"/>
      <c r="R456" s="145"/>
      <c r="S456" s="145"/>
      <c r="T456" s="313"/>
      <c r="U456" s="38"/>
      <c r="V456" s="38" t="s">
        <v>33</v>
      </c>
      <c r="W456" s="121"/>
      <c r="X456" s="40"/>
      <c r="Y456" s="349"/>
      <c r="Z456" s="313"/>
      <c r="AA456" s="313"/>
      <c r="AB456" s="313"/>
      <c r="AC456" s="313"/>
      <c r="AD456" s="313"/>
      <c r="AE456" s="313"/>
      <c r="AF456" s="313"/>
      <c r="AG456" s="313"/>
      <c r="AH456" s="313"/>
      <c r="AI456" s="313"/>
      <c r="AJ456" s="313"/>
      <c r="AK456" s="313"/>
      <c r="AL456" s="313"/>
      <c r="AM456" s="313"/>
      <c r="AN456" s="313"/>
      <c r="AO456" s="313"/>
      <c r="AP456" s="313"/>
      <c r="AQ456" s="313"/>
      <c r="AR456" s="313"/>
      <c r="AS456" s="313"/>
      <c r="AT456" s="313"/>
      <c r="AU456" s="313"/>
      <c r="AV456" s="313"/>
      <c r="AW456" s="313"/>
      <c r="AX456" s="313"/>
      <c r="AY456" s="313"/>
      <c r="AZ456" s="313"/>
      <c r="BA456" s="313"/>
      <c r="BB456" s="313"/>
      <c r="BC456" s="313"/>
      <c r="BD456" s="313"/>
      <c r="BE456" s="313"/>
      <c r="BF456" s="313"/>
      <c r="BG456" s="313"/>
      <c r="BH456" s="313"/>
      <c r="BI456" s="313"/>
      <c r="BJ456" s="313"/>
      <c r="BK456" s="313"/>
      <c r="BL456" s="313"/>
      <c r="BM456" s="313"/>
      <c r="BN456" s="313"/>
      <c r="BO456" s="313"/>
      <c r="BP456" s="313"/>
      <c r="BQ456" s="313"/>
    </row>
    <row r="457">
      <c r="A457" s="280" t="s">
        <v>10513</v>
      </c>
      <c r="B457" s="92"/>
      <c r="C457" s="30">
        <v>44140.0</v>
      </c>
      <c r="D457" s="92"/>
      <c r="E457" s="13" t="s">
        <v>41</v>
      </c>
      <c r="F457" s="13">
        <v>1.0</v>
      </c>
      <c r="G457" s="13">
        <v>1.0</v>
      </c>
      <c r="H457" s="50">
        <v>1.0</v>
      </c>
      <c r="I457" s="13" t="s">
        <v>33</v>
      </c>
      <c r="J457" s="13" t="s">
        <v>124</v>
      </c>
      <c r="K457" s="92"/>
      <c r="L457" s="34" t="s">
        <v>9433</v>
      </c>
      <c r="M457" s="46" t="s">
        <v>10514</v>
      </c>
      <c r="N457" s="106"/>
      <c r="O457" s="145"/>
      <c r="P457" s="145"/>
      <c r="Q457" s="37"/>
      <c r="R457" s="145"/>
      <c r="S457" s="145"/>
      <c r="T457" s="313"/>
      <c r="U457" s="38"/>
      <c r="V457" s="38" t="s">
        <v>33</v>
      </c>
      <c r="W457" s="121"/>
      <c r="X457" s="40"/>
      <c r="Y457" s="349"/>
      <c r="Z457" s="313"/>
      <c r="AA457" s="313"/>
      <c r="AB457" s="313"/>
      <c r="AC457" s="313"/>
      <c r="AD457" s="313"/>
      <c r="AE457" s="313"/>
      <c r="AF457" s="313"/>
      <c r="AG457" s="313"/>
      <c r="AH457" s="313"/>
      <c r="AI457" s="313"/>
      <c r="AJ457" s="313"/>
      <c r="AK457" s="313"/>
      <c r="AL457" s="313"/>
      <c r="AM457" s="313"/>
      <c r="AN457" s="313"/>
      <c r="AO457" s="313"/>
      <c r="AP457" s="313"/>
      <c r="AQ457" s="313"/>
      <c r="AR457" s="313"/>
      <c r="AS457" s="313"/>
      <c r="AT457" s="313"/>
      <c r="AU457" s="313"/>
      <c r="AV457" s="313"/>
      <c r="AW457" s="313"/>
      <c r="AX457" s="313"/>
      <c r="AY457" s="313"/>
      <c r="AZ457" s="313"/>
      <c r="BA457" s="313"/>
      <c r="BB457" s="313"/>
      <c r="BC457" s="313"/>
      <c r="BD457" s="313"/>
      <c r="BE457" s="313"/>
      <c r="BF457" s="313"/>
      <c r="BG457" s="313"/>
      <c r="BH457" s="313"/>
      <c r="BI457" s="313"/>
      <c r="BJ457" s="313"/>
      <c r="BK457" s="313"/>
      <c r="BL457" s="313"/>
      <c r="BM457" s="313"/>
      <c r="BN457" s="313"/>
      <c r="BO457" s="313"/>
      <c r="BP457" s="313"/>
      <c r="BQ457" s="313"/>
    </row>
    <row r="458">
      <c r="A458" s="280" t="s">
        <v>10515</v>
      </c>
      <c r="B458" s="92"/>
      <c r="C458" s="30">
        <v>44141.0</v>
      </c>
      <c r="D458" s="92"/>
      <c r="E458" s="13" t="s">
        <v>41</v>
      </c>
      <c r="F458" s="13">
        <v>1.0</v>
      </c>
      <c r="G458" s="13">
        <v>1.0</v>
      </c>
      <c r="H458" s="50">
        <v>1.0</v>
      </c>
      <c r="I458" s="13" t="s">
        <v>33</v>
      </c>
      <c r="J458" s="13" t="s">
        <v>268</v>
      </c>
      <c r="K458" s="92"/>
      <c r="L458" s="34" t="s">
        <v>10516</v>
      </c>
      <c r="M458" s="46" t="s">
        <v>10517</v>
      </c>
      <c r="N458" s="106"/>
      <c r="O458" s="145"/>
      <c r="P458" s="145"/>
      <c r="Q458" s="37"/>
      <c r="R458" s="145"/>
      <c r="S458" s="145"/>
      <c r="T458" s="313"/>
      <c r="U458" s="38"/>
      <c r="V458" s="38" t="s">
        <v>33</v>
      </c>
      <c r="W458" s="121"/>
      <c r="X458" s="40"/>
      <c r="Y458" s="349"/>
      <c r="Z458" s="313"/>
      <c r="AA458" s="313"/>
      <c r="AB458" s="313"/>
      <c r="AC458" s="313"/>
      <c r="AD458" s="313"/>
      <c r="AE458" s="313"/>
      <c r="AF458" s="313"/>
      <c r="AG458" s="313"/>
      <c r="AH458" s="313"/>
      <c r="AI458" s="313"/>
      <c r="AJ458" s="313"/>
      <c r="AK458" s="313"/>
      <c r="AL458" s="313"/>
      <c r="AM458" s="313"/>
      <c r="AN458" s="313"/>
      <c r="AO458" s="313"/>
      <c r="AP458" s="313"/>
      <c r="AQ458" s="313"/>
      <c r="AR458" s="313"/>
      <c r="AS458" s="313"/>
      <c r="AT458" s="313"/>
      <c r="AU458" s="313"/>
      <c r="AV458" s="313"/>
      <c r="AW458" s="313"/>
      <c r="AX458" s="313"/>
      <c r="AY458" s="313"/>
      <c r="AZ458" s="313"/>
      <c r="BA458" s="313"/>
      <c r="BB458" s="313"/>
      <c r="BC458" s="313"/>
      <c r="BD458" s="313"/>
      <c r="BE458" s="313"/>
      <c r="BF458" s="313"/>
      <c r="BG458" s="313"/>
      <c r="BH458" s="313"/>
      <c r="BI458" s="313"/>
      <c r="BJ458" s="313"/>
      <c r="BK458" s="313"/>
      <c r="BL458" s="313"/>
      <c r="BM458" s="313"/>
      <c r="BN458" s="313"/>
      <c r="BO458" s="313"/>
      <c r="BP458" s="313"/>
      <c r="BQ458" s="313"/>
    </row>
    <row r="459">
      <c r="A459" s="280" t="s">
        <v>10518</v>
      </c>
      <c r="B459" s="92"/>
      <c r="C459" s="30">
        <v>44145.0</v>
      </c>
      <c r="D459" s="92"/>
      <c r="E459" s="13" t="s">
        <v>41</v>
      </c>
      <c r="F459" s="13">
        <v>1.0</v>
      </c>
      <c r="G459" s="13" t="s">
        <v>32</v>
      </c>
      <c r="H459" s="50">
        <v>1.0</v>
      </c>
      <c r="I459" s="13" t="s">
        <v>33</v>
      </c>
      <c r="J459" s="13" t="s">
        <v>115</v>
      </c>
      <c r="K459" s="92"/>
      <c r="L459" s="34" t="s">
        <v>7593</v>
      </c>
      <c r="M459" s="46" t="s">
        <v>10519</v>
      </c>
      <c r="N459" s="106"/>
      <c r="O459" s="145"/>
      <c r="P459" s="145"/>
      <c r="Q459" s="37"/>
      <c r="R459" s="145"/>
      <c r="S459" s="145"/>
      <c r="T459" s="313"/>
      <c r="U459" s="38"/>
      <c r="V459" s="38" t="s">
        <v>33</v>
      </c>
      <c r="W459" s="121"/>
      <c r="X459" s="40"/>
      <c r="Y459" s="349"/>
      <c r="Z459" s="313"/>
      <c r="AA459" s="313"/>
      <c r="AB459" s="313"/>
      <c r="AC459" s="313"/>
      <c r="AD459" s="313"/>
      <c r="AE459" s="313"/>
      <c r="AF459" s="313"/>
      <c r="AG459" s="313"/>
      <c r="AH459" s="313"/>
      <c r="AI459" s="313"/>
      <c r="AJ459" s="313"/>
      <c r="AK459" s="313"/>
      <c r="AL459" s="313"/>
      <c r="AM459" s="313"/>
      <c r="AN459" s="313"/>
      <c r="AO459" s="313"/>
      <c r="AP459" s="313"/>
      <c r="AQ459" s="313"/>
      <c r="AR459" s="313"/>
      <c r="AS459" s="313"/>
      <c r="AT459" s="313"/>
      <c r="AU459" s="313"/>
      <c r="AV459" s="313"/>
      <c r="AW459" s="313"/>
      <c r="AX459" s="313"/>
      <c r="AY459" s="313"/>
      <c r="AZ459" s="313"/>
      <c r="BA459" s="313"/>
      <c r="BB459" s="313"/>
      <c r="BC459" s="313"/>
      <c r="BD459" s="313"/>
      <c r="BE459" s="313"/>
      <c r="BF459" s="313"/>
      <c r="BG459" s="313"/>
      <c r="BH459" s="313"/>
      <c r="BI459" s="313"/>
      <c r="BJ459" s="313"/>
      <c r="BK459" s="313"/>
      <c r="BL459" s="313"/>
      <c r="BM459" s="313"/>
      <c r="BN459" s="313"/>
      <c r="BO459" s="313"/>
      <c r="BP459" s="313"/>
      <c r="BQ459" s="313"/>
    </row>
    <row r="460">
      <c r="A460" s="280" t="s">
        <v>10520</v>
      </c>
      <c r="B460" s="92"/>
      <c r="C460" s="30">
        <v>44147.0</v>
      </c>
      <c r="D460" s="92"/>
      <c r="E460" s="13" t="s">
        <v>41</v>
      </c>
      <c r="F460" s="13">
        <v>1.0</v>
      </c>
      <c r="G460" s="13">
        <v>1.0</v>
      </c>
      <c r="H460" s="50">
        <v>1.0</v>
      </c>
      <c r="I460" s="13" t="s">
        <v>33</v>
      </c>
      <c r="J460" s="13" t="s">
        <v>504</v>
      </c>
      <c r="K460" s="92"/>
      <c r="L460" s="34" t="s">
        <v>6497</v>
      </c>
      <c r="M460" s="46" t="s">
        <v>10521</v>
      </c>
      <c r="N460" s="106"/>
      <c r="O460" s="145"/>
      <c r="P460" s="145"/>
      <c r="Q460" s="37"/>
      <c r="R460" s="145"/>
      <c r="S460" s="145"/>
      <c r="T460" s="313"/>
      <c r="U460" s="38"/>
      <c r="V460" s="38" t="s">
        <v>2755</v>
      </c>
      <c r="W460" s="121"/>
      <c r="X460" s="40"/>
      <c r="Y460" s="349"/>
      <c r="Z460" s="313"/>
      <c r="AA460" s="313"/>
      <c r="AB460" s="313"/>
      <c r="AC460" s="313"/>
      <c r="AD460" s="313"/>
      <c r="AE460" s="313"/>
      <c r="AF460" s="313"/>
      <c r="AG460" s="313"/>
      <c r="AH460" s="313"/>
      <c r="AI460" s="313"/>
      <c r="AJ460" s="313"/>
      <c r="AK460" s="313"/>
      <c r="AL460" s="313"/>
      <c r="AM460" s="313"/>
      <c r="AN460" s="313"/>
      <c r="AO460" s="313"/>
      <c r="AP460" s="313"/>
      <c r="AQ460" s="313"/>
      <c r="AR460" s="313"/>
      <c r="AS460" s="313"/>
      <c r="AT460" s="313"/>
      <c r="AU460" s="313"/>
      <c r="AV460" s="313"/>
      <c r="AW460" s="313"/>
      <c r="AX460" s="313"/>
      <c r="AY460" s="313"/>
      <c r="AZ460" s="313"/>
      <c r="BA460" s="313"/>
      <c r="BB460" s="313"/>
      <c r="BC460" s="313"/>
      <c r="BD460" s="313"/>
      <c r="BE460" s="313"/>
      <c r="BF460" s="313"/>
      <c r="BG460" s="313"/>
      <c r="BH460" s="313"/>
      <c r="BI460" s="313"/>
      <c r="BJ460" s="313"/>
      <c r="BK460" s="313"/>
      <c r="BL460" s="313"/>
      <c r="BM460" s="313"/>
      <c r="BN460" s="313"/>
      <c r="BO460" s="313"/>
      <c r="BP460" s="313"/>
      <c r="BQ460" s="313"/>
    </row>
    <row r="461">
      <c r="A461" s="280" t="s">
        <v>10522</v>
      </c>
      <c r="B461" s="92"/>
      <c r="C461" s="30">
        <v>44147.0</v>
      </c>
      <c r="D461" s="92"/>
      <c r="E461" s="13" t="s">
        <v>41</v>
      </c>
      <c r="F461" s="13">
        <v>2.0</v>
      </c>
      <c r="G461" s="13">
        <v>1.0</v>
      </c>
      <c r="H461" s="50">
        <v>1.0</v>
      </c>
      <c r="I461" s="13" t="s">
        <v>33</v>
      </c>
      <c r="J461" s="13" t="s">
        <v>147</v>
      </c>
      <c r="K461" s="92"/>
      <c r="L461" s="34" t="s">
        <v>10523</v>
      </c>
      <c r="M461" s="46" t="s">
        <v>10524</v>
      </c>
      <c r="N461" s="106"/>
      <c r="O461" s="145"/>
      <c r="P461" s="145"/>
      <c r="Q461" s="37"/>
      <c r="R461" s="145"/>
      <c r="S461" s="145"/>
      <c r="T461" s="313"/>
      <c r="U461" s="38"/>
      <c r="V461" s="38" t="s">
        <v>33</v>
      </c>
      <c r="W461" s="121"/>
      <c r="X461" s="40"/>
      <c r="Y461" s="349"/>
      <c r="Z461" s="313"/>
      <c r="AA461" s="313"/>
      <c r="AB461" s="313"/>
      <c r="AC461" s="313"/>
      <c r="AD461" s="313"/>
      <c r="AE461" s="313"/>
      <c r="AF461" s="313"/>
      <c r="AG461" s="313"/>
      <c r="AH461" s="313"/>
      <c r="AI461" s="313"/>
      <c r="AJ461" s="313"/>
      <c r="AK461" s="313"/>
      <c r="AL461" s="313"/>
      <c r="AM461" s="313"/>
      <c r="AN461" s="313"/>
      <c r="AO461" s="313"/>
      <c r="AP461" s="313"/>
      <c r="AQ461" s="313"/>
      <c r="AR461" s="313"/>
      <c r="AS461" s="313"/>
      <c r="AT461" s="313"/>
      <c r="AU461" s="313"/>
      <c r="AV461" s="313"/>
      <c r="AW461" s="313"/>
      <c r="AX461" s="313"/>
      <c r="AY461" s="313"/>
      <c r="AZ461" s="313"/>
      <c r="BA461" s="313"/>
      <c r="BB461" s="313"/>
      <c r="BC461" s="313"/>
      <c r="BD461" s="313"/>
      <c r="BE461" s="313"/>
      <c r="BF461" s="313"/>
      <c r="BG461" s="313"/>
      <c r="BH461" s="313"/>
      <c r="BI461" s="313"/>
      <c r="BJ461" s="313"/>
      <c r="BK461" s="313"/>
      <c r="BL461" s="313"/>
      <c r="BM461" s="313"/>
      <c r="BN461" s="313"/>
      <c r="BO461" s="313"/>
      <c r="BP461" s="313"/>
      <c r="BQ461" s="313"/>
    </row>
    <row r="462">
      <c r="A462" s="280" t="s">
        <v>10525</v>
      </c>
      <c r="B462" s="92"/>
      <c r="C462" s="30">
        <v>44153.0</v>
      </c>
      <c r="D462" s="92"/>
      <c r="E462" s="13" t="s">
        <v>41</v>
      </c>
      <c r="F462" s="13">
        <v>1.0</v>
      </c>
      <c r="G462" s="13">
        <v>1.0</v>
      </c>
      <c r="H462" s="50">
        <v>1.0</v>
      </c>
      <c r="I462" s="13" t="s">
        <v>33</v>
      </c>
      <c r="J462" s="13" t="s">
        <v>93</v>
      </c>
      <c r="K462" s="92"/>
      <c r="L462" s="34" t="s">
        <v>10065</v>
      </c>
      <c r="M462" s="46" t="s">
        <v>10526</v>
      </c>
      <c r="N462" s="106"/>
      <c r="O462" s="145"/>
      <c r="P462" s="145"/>
      <c r="Q462" s="37"/>
      <c r="R462" s="145"/>
      <c r="S462" s="145"/>
      <c r="T462" s="313"/>
      <c r="U462" s="38"/>
      <c r="V462" s="38" t="s">
        <v>33</v>
      </c>
      <c r="W462" s="121"/>
      <c r="X462" s="40"/>
      <c r="Y462" s="349"/>
      <c r="Z462" s="313"/>
      <c r="AA462" s="313"/>
      <c r="AB462" s="313"/>
      <c r="AC462" s="313"/>
      <c r="AD462" s="313"/>
      <c r="AE462" s="313"/>
      <c r="AF462" s="313"/>
      <c r="AG462" s="313"/>
      <c r="AH462" s="313"/>
      <c r="AI462" s="313"/>
      <c r="AJ462" s="313"/>
      <c r="AK462" s="313"/>
      <c r="AL462" s="313"/>
      <c r="AM462" s="313"/>
      <c r="AN462" s="313"/>
      <c r="AO462" s="313"/>
      <c r="AP462" s="313"/>
      <c r="AQ462" s="313"/>
      <c r="AR462" s="313"/>
      <c r="AS462" s="313"/>
      <c r="AT462" s="313"/>
      <c r="AU462" s="313"/>
      <c r="AV462" s="313"/>
      <c r="AW462" s="313"/>
      <c r="AX462" s="313"/>
      <c r="AY462" s="313"/>
      <c r="AZ462" s="313"/>
      <c r="BA462" s="313"/>
      <c r="BB462" s="313"/>
      <c r="BC462" s="313"/>
      <c r="BD462" s="313"/>
      <c r="BE462" s="313"/>
      <c r="BF462" s="313"/>
      <c r="BG462" s="313"/>
      <c r="BH462" s="313"/>
      <c r="BI462" s="313"/>
      <c r="BJ462" s="313"/>
      <c r="BK462" s="313"/>
      <c r="BL462" s="313"/>
      <c r="BM462" s="313"/>
      <c r="BN462" s="313"/>
      <c r="BO462" s="313"/>
      <c r="BP462" s="313"/>
      <c r="BQ462" s="313"/>
    </row>
    <row r="463">
      <c r="A463" s="280" t="s">
        <v>10527</v>
      </c>
      <c r="B463" s="92"/>
      <c r="C463" s="30">
        <v>44154.0</v>
      </c>
      <c r="D463" s="92"/>
      <c r="E463" s="13" t="s">
        <v>41</v>
      </c>
      <c r="F463" s="13">
        <v>1.0</v>
      </c>
      <c r="G463" s="13" t="s">
        <v>32</v>
      </c>
      <c r="H463" s="50">
        <v>1.0</v>
      </c>
      <c r="I463" s="13" t="s">
        <v>33</v>
      </c>
      <c r="J463" s="13" t="s">
        <v>2167</v>
      </c>
      <c r="K463" s="92"/>
      <c r="L463" s="34" t="s">
        <v>10442</v>
      </c>
      <c r="M463" s="46" t="s">
        <v>10528</v>
      </c>
      <c r="N463" s="106"/>
      <c r="O463" s="145"/>
      <c r="P463" s="145"/>
      <c r="Q463" s="37"/>
      <c r="R463" s="145"/>
      <c r="S463" s="145"/>
      <c r="T463" s="313"/>
      <c r="U463" s="38"/>
      <c r="V463" s="38" t="s">
        <v>6146</v>
      </c>
      <c r="W463" s="121"/>
      <c r="X463" s="40"/>
      <c r="Y463" s="349"/>
      <c r="Z463" s="313"/>
      <c r="AA463" s="313"/>
      <c r="AB463" s="313"/>
      <c r="AC463" s="313"/>
      <c r="AD463" s="313"/>
      <c r="AE463" s="313"/>
      <c r="AF463" s="313"/>
      <c r="AG463" s="313"/>
      <c r="AH463" s="313"/>
      <c r="AI463" s="313"/>
      <c r="AJ463" s="313"/>
      <c r="AK463" s="313"/>
      <c r="AL463" s="313"/>
      <c r="AM463" s="313"/>
      <c r="AN463" s="313"/>
      <c r="AO463" s="313"/>
      <c r="AP463" s="313"/>
      <c r="AQ463" s="313"/>
      <c r="AR463" s="313"/>
      <c r="AS463" s="313"/>
      <c r="AT463" s="313"/>
      <c r="AU463" s="313"/>
      <c r="AV463" s="313"/>
      <c r="AW463" s="313"/>
      <c r="AX463" s="313"/>
      <c r="AY463" s="313"/>
      <c r="AZ463" s="313"/>
      <c r="BA463" s="313"/>
      <c r="BB463" s="313"/>
      <c r="BC463" s="313"/>
      <c r="BD463" s="313"/>
      <c r="BE463" s="313"/>
      <c r="BF463" s="313"/>
      <c r="BG463" s="313"/>
      <c r="BH463" s="313"/>
      <c r="BI463" s="313"/>
      <c r="BJ463" s="313"/>
      <c r="BK463" s="313"/>
      <c r="BL463" s="313"/>
      <c r="BM463" s="313"/>
      <c r="BN463" s="313"/>
      <c r="BO463" s="313"/>
      <c r="BP463" s="313"/>
      <c r="BQ463" s="313"/>
    </row>
    <row r="464">
      <c r="A464" s="280" t="s">
        <v>10529</v>
      </c>
      <c r="B464" s="92"/>
      <c r="C464" s="30">
        <v>44158.0</v>
      </c>
      <c r="D464" s="92"/>
      <c r="E464" s="13" t="s">
        <v>41</v>
      </c>
      <c r="F464" s="13">
        <v>1.0</v>
      </c>
      <c r="G464" s="13">
        <v>1.0</v>
      </c>
      <c r="H464" s="50">
        <v>1.0</v>
      </c>
      <c r="I464" s="13" t="s">
        <v>33</v>
      </c>
      <c r="J464" s="13" t="s">
        <v>42</v>
      </c>
      <c r="K464" s="92"/>
      <c r="L464" s="34" t="s">
        <v>10196</v>
      </c>
      <c r="M464" s="46" t="s">
        <v>10530</v>
      </c>
      <c r="N464" s="106"/>
      <c r="O464" s="145"/>
      <c r="P464" s="145"/>
      <c r="Q464" s="37"/>
      <c r="R464" s="145"/>
      <c r="S464" s="145"/>
      <c r="T464" s="313"/>
      <c r="U464" s="38"/>
      <c r="V464" s="38" t="s">
        <v>33</v>
      </c>
      <c r="W464" s="121"/>
      <c r="X464" s="40"/>
      <c r="Y464" s="349"/>
      <c r="Z464" s="313"/>
      <c r="AA464" s="313"/>
      <c r="AB464" s="313"/>
      <c r="AC464" s="313"/>
      <c r="AD464" s="313"/>
      <c r="AE464" s="313"/>
      <c r="AF464" s="313"/>
      <c r="AG464" s="313"/>
      <c r="AH464" s="313"/>
      <c r="AI464" s="313"/>
      <c r="AJ464" s="313"/>
      <c r="AK464" s="313"/>
      <c r="AL464" s="313"/>
      <c r="AM464" s="313"/>
      <c r="AN464" s="313"/>
      <c r="AO464" s="313"/>
      <c r="AP464" s="313"/>
      <c r="AQ464" s="313"/>
      <c r="AR464" s="313"/>
      <c r="AS464" s="313"/>
      <c r="AT464" s="313"/>
      <c r="AU464" s="313"/>
      <c r="AV464" s="313"/>
      <c r="AW464" s="313"/>
      <c r="AX464" s="313"/>
      <c r="AY464" s="313"/>
      <c r="AZ464" s="313"/>
      <c r="BA464" s="313"/>
      <c r="BB464" s="313"/>
      <c r="BC464" s="313"/>
      <c r="BD464" s="313"/>
      <c r="BE464" s="313"/>
      <c r="BF464" s="313"/>
      <c r="BG464" s="313"/>
      <c r="BH464" s="313"/>
      <c r="BI464" s="313"/>
      <c r="BJ464" s="313"/>
      <c r="BK464" s="313"/>
      <c r="BL464" s="313"/>
      <c r="BM464" s="313"/>
      <c r="BN464" s="313"/>
      <c r="BO464" s="313"/>
      <c r="BP464" s="313"/>
      <c r="BQ464" s="313"/>
    </row>
    <row r="465">
      <c r="A465" s="280" t="s">
        <v>10531</v>
      </c>
      <c r="B465" s="92"/>
      <c r="C465" s="30">
        <v>44162.0</v>
      </c>
      <c r="D465" s="92"/>
      <c r="E465" s="13" t="s">
        <v>41</v>
      </c>
      <c r="F465" s="13">
        <v>1.0</v>
      </c>
      <c r="G465" s="13">
        <v>1.0</v>
      </c>
      <c r="H465" s="50">
        <v>1.0</v>
      </c>
      <c r="I465" s="13" t="s">
        <v>33</v>
      </c>
      <c r="J465" s="13" t="s">
        <v>279</v>
      </c>
      <c r="K465" s="92"/>
      <c r="L465" s="34" t="s">
        <v>9433</v>
      </c>
      <c r="M465" s="46" t="s">
        <v>10532</v>
      </c>
      <c r="N465" s="106"/>
      <c r="O465" s="145"/>
      <c r="P465" s="145"/>
      <c r="Q465" s="37"/>
      <c r="R465" s="145"/>
      <c r="S465" s="145"/>
      <c r="T465" s="313"/>
      <c r="U465" s="38"/>
      <c r="V465" s="38" t="s">
        <v>33</v>
      </c>
      <c r="W465" s="121"/>
      <c r="X465" s="40"/>
      <c r="Y465" s="349"/>
      <c r="Z465" s="313"/>
      <c r="AA465" s="313"/>
      <c r="AB465" s="313"/>
      <c r="AC465" s="313"/>
      <c r="AD465" s="313"/>
      <c r="AE465" s="313"/>
      <c r="AF465" s="313"/>
      <c r="AG465" s="313"/>
      <c r="AH465" s="313"/>
      <c r="AI465" s="313"/>
      <c r="AJ465" s="313"/>
      <c r="AK465" s="313"/>
      <c r="AL465" s="313"/>
      <c r="AM465" s="313"/>
      <c r="AN465" s="313"/>
      <c r="AO465" s="313"/>
      <c r="AP465" s="313"/>
      <c r="AQ465" s="313"/>
      <c r="AR465" s="313"/>
      <c r="AS465" s="313"/>
      <c r="AT465" s="313"/>
      <c r="AU465" s="313"/>
      <c r="AV465" s="313"/>
      <c r="AW465" s="313"/>
      <c r="AX465" s="313"/>
      <c r="AY465" s="313"/>
      <c r="AZ465" s="313"/>
      <c r="BA465" s="313"/>
      <c r="BB465" s="313"/>
      <c r="BC465" s="313"/>
      <c r="BD465" s="313"/>
      <c r="BE465" s="313"/>
      <c r="BF465" s="313"/>
      <c r="BG465" s="313"/>
      <c r="BH465" s="313"/>
      <c r="BI465" s="313"/>
      <c r="BJ465" s="313"/>
      <c r="BK465" s="313"/>
      <c r="BL465" s="313"/>
      <c r="BM465" s="313"/>
      <c r="BN465" s="313"/>
      <c r="BO465" s="313"/>
      <c r="BP465" s="313"/>
      <c r="BQ465" s="313"/>
    </row>
    <row r="466">
      <c r="A466" s="280" t="s">
        <v>10533</v>
      </c>
      <c r="B466" s="92"/>
      <c r="C466" s="30">
        <v>44166.0</v>
      </c>
      <c r="D466" s="92"/>
      <c r="E466" s="13" t="s">
        <v>41</v>
      </c>
      <c r="F466" s="13">
        <v>1.0</v>
      </c>
      <c r="G466" s="13">
        <v>1.0</v>
      </c>
      <c r="H466" s="50">
        <v>1.0</v>
      </c>
      <c r="I466" s="13" t="s">
        <v>33</v>
      </c>
      <c r="J466" s="13" t="s">
        <v>343</v>
      </c>
      <c r="K466" s="92"/>
      <c r="L466" s="34" t="s">
        <v>7593</v>
      </c>
      <c r="M466" s="46" t="s">
        <v>10534</v>
      </c>
      <c r="N466" s="106"/>
      <c r="O466" s="145"/>
      <c r="P466" s="145"/>
      <c r="Q466" s="37"/>
      <c r="R466" s="145"/>
      <c r="S466" s="145"/>
      <c r="T466" s="313"/>
      <c r="U466" s="38"/>
      <c r="V466" s="38" t="s">
        <v>33</v>
      </c>
      <c r="W466" s="121"/>
      <c r="X466" s="40"/>
      <c r="Y466" s="349"/>
      <c r="Z466" s="313"/>
      <c r="AA466" s="313"/>
      <c r="AB466" s="313"/>
      <c r="AC466" s="313"/>
      <c r="AD466" s="313"/>
      <c r="AE466" s="313"/>
      <c r="AF466" s="313"/>
      <c r="AG466" s="313"/>
      <c r="AH466" s="313"/>
      <c r="AI466" s="313"/>
      <c r="AJ466" s="313"/>
      <c r="AK466" s="313"/>
      <c r="AL466" s="313"/>
      <c r="AM466" s="313"/>
      <c r="AN466" s="313"/>
      <c r="AO466" s="313"/>
      <c r="AP466" s="313"/>
      <c r="AQ466" s="313"/>
      <c r="AR466" s="313"/>
      <c r="AS466" s="313"/>
      <c r="AT466" s="313"/>
      <c r="AU466" s="313"/>
      <c r="AV466" s="313"/>
      <c r="AW466" s="313"/>
      <c r="AX466" s="313"/>
      <c r="AY466" s="313"/>
      <c r="AZ466" s="313"/>
      <c r="BA466" s="313"/>
      <c r="BB466" s="313"/>
      <c r="BC466" s="313"/>
      <c r="BD466" s="313"/>
      <c r="BE466" s="313"/>
      <c r="BF466" s="313"/>
      <c r="BG466" s="313"/>
      <c r="BH466" s="313"/>
      <c r="BI466" s="313"/>
      <c r="BJ466" s="313"/>
      <c r="BK466" s="313"/>
      <c r="BL466" s="313"/>
      <c r="BM466" s="313"/>
      <c r="BN466" s="313"/>
      <c r="BO466" s="313"/>
      <c r="BP466" s="313"/>
      <c r="BQ466" s="313"/>
    </row>
    <row r="467">
      <c r="A467" s="280" t="s">
        <v>10535</v>
      </c>
      <c r="B467" s="92"/>
      <c r="C467" s="30">
        <v>44168.0</v>
      </c>
      <c r="D467" s="92"/>
      <c r="E467" s="13" t="s">
        <v>41</v>
      </c>
      <c r="F467" s="13">
        <v>1.0</v>
      </c>
      <c r="G467" s="13" t="s">
        <v>32</v>
      </c>
      <c r="H467" s="50">
        <v>1.0</v>
      </c>
      <c r="I467" s="13" t="s">
        <v>33</v>
      </c>
      <c r="J467" s="13" t="s">
        <v>184</v>
      </c>
      <c r="K467" s="92"/>
      <c r="L467" s="34" t="s">
        <v>7593</v>
      </c>
      <c r="M467" s="46" t="s">
        <v>9142</v>
      </c>
      <c r="N467" s="106"/>
      <c r="O467" s="145"/>
      <c r="P467" s="145"/>
      <c r="Q467" s="37"/>
      <c r="R467" s="145"/>
      <c r="S467" s="145"/>
      <c r="T467" s="313"/>
      <c r="U467" s="38"/>
      <c r="V467" s="38" t="s">
        <v>33</v>
      </c>
      <c r="W467" s="121"/>
      <c r="X467" s="40"/>
      <c r="Y467" s="349"/>
      <c r="Z467" s="313"/>
      <c r="AA467" s="313"/>
      <c r="AB467" s="313"/>
      <c r="AC467" s="313"/>
      <c r="AD467" s="313"/>
      <c r="AE467" s="313"/>
      <c r="AF467" s="313"/>
      <c r="AG467" s="313"/>
      <c r="AH467" s="313"/>
      <c r="AI467" s="313"/>
      <c r="AJ467" s="313"/>
      <c r="AK467" s="313"/>
      <c r="AL467" s="313"/>
      <c r="AM467" s="313"/>
      <c r="AN467" s="313"/>
      <c r="AO467" s="313"/>
      <c r="AP467" s="313"/>
      <c r="AQ467" s="313"/>
      <c r="AR467" s="313"/>
      <c r="AS467" s="313"/>
      <c r="AT467" s="313"/>
      <c r="AU467" s="313"/>
      <c r="AV467" s="313"/>
      <c r="AW467" s="313"/>
      <c r="AX467" s="313"/>
      <c r="AY467" s="313"/>
      <c r="AZ467" s="313"/>
      <c r="BA467" s="313"/>
      <c r="BB467" s="313"/>
      <c r="BC467" s="313"/>
      <c r="BD467" s="313"/>
      <c r="BE467" s="313"/>
      <c r="BF467" s="313"/>
      <c r="BG467" s="313"/>
      <c r="BH467" s="313"/>
      <c r="BI467" s="313"/>
      <c r="BJ467" s="313"/>
      <c r="BK467" s="313"/>
      <c r="BL467" s="313"/>
      <c r="BM467" s="313"/>
      <c r="BN467" s="313"/>
      <c r="BO467" s="313"/>
      <c r="BP467" s="313"/>
      <c r="BQ467" s="313"/>
    </row>
    <row r="468">
      <c r="A468" s="280" t="s">
        <v>10536</v>
      </c>
      <c r="B468" s="92"/>
      <c r="C468" s="30">
        <v>44168.0</v>
      </c>
      <c r="D468" s="92"/>
      <c r="E468" s="13" t="s">
        <v>41</v>
      </c>
      <c r="F468" s="13">
        <v>1.0</v>
      </c>
      <c r="G468" s="13" t="s">
        <v>32</v>
      </c>
      <c r="H468" s="50">
        <v>1.0</v>
      </c>
      <c r="I468" s="13" t="s">
        <v>33</v>
      </c>
      <c r="J468" s="13" t="s">
        <v>184</v>
      </c>
      <c r="K468" s="92"/>
      <c r="L468" s="34" t="s">
        <v>7593</v>
      </c>
      <c r="M468" s="46" t="s">
        <v>10537</v>
      </c>
      <c r="N468" s="106"/>
      <c r="O468" s="145"/>
      <c r="P468" s="145"/>
      <c r="Q468" s="37"/>
      <c r="R468" s="145"/>
      <c r="S468" s="145"/>
      <c r="T468" s="313"/>
      <c r="U468" s="38"/>
      <c r="V468" s="38" t="s">
        <v>33</v>
      </c>
      <c r="W468" s="121"/>
      <c r="X468" s="40"/>
      <c r="Y468" s="349"/>
      <c r="Z468" s="313"/>
      <c r="AA468" s="313"/>
      <c r="AB468" s="313"/>
      <c r="AC468" s="313"/>
      <c r="AD468" s="313"/>
      <c r="AE468" s="313"/>
      <c r="AF468" s="313"/>
      <c r="AG468" s="313"/>
      <c r="AH468" s="313"/>
      <c r="AI468" s="313"/>
      <c r="AJ468" s="313"/>
      <c r="AK468" s="313"/>
      <c r="AL468" s="313"/>
      <c r="AM468" s="313"/>
      <c r="AN468" s="313"/>
      <c r="AO468" s="313"/>
      <c r="AP468" s="313"/>
      <c r="AQ468" s="313"/>
      <c r="AR468" s="313"/>
      <c r="AS468" s="313"/>
      <c r="AT468" s="313"/>
      <c r="AU468" s="313"/>
      <c r="AV468" s="313"/>
      <c r="AW468" s="313"/>
      <c r="AX468" s="313"/>
      <c r="AY468" s="313"/>
      <c r="AZ468" s="313"/>
      <c r="BA468" s="313"/>
      <c r="BB468" s="313"/>
      <c r="BC468" s="313"/>
      <c r="BD468" s="313"/>
      <c r="BE468" s="313"/>
      <c r="BF468" s="313"/>
      <c r="BG468" s="313"/>
      <c r="BH468" s="313"/>
      <c r="BI468" s="313"/>
      <c r="BJ468" s="313"/>
      <c r="BK468" s="313"/>
      <c r="BL468" s="313"/>
      <c r="BM468" s="313"/>
      <c r="BN468" s="313"/>
      <c r="BO468" s="313"/>
      <c r="BP468" s="313"/>
      <c r="BQ468" s="313"/>
    </row>
    <row r="469">
      <c r="A469" s="280" t="s">
        <v>10538</v>
      </c>
      <c r="B469" s="92"/>
      <c r="C469" s="30">
        <v>44168.0</v>
      </c>
      <c r="D469" s="92"/>
      <c r="E469" s="13" t="s">
        <v>41</v>
      </c>
      <c r="F469" s="13">
        <v>1.0</v>
      </c>
      <c r="G469" s="13" t="s">
        <v>32</v>
      </c>
      <c r="H469" s="50">
        <v>1.0</v>
      </c>
      <c r="I469" s="13" t="s">
        <v>33</v>
      </c>
      <c r="J469" s="13" t="s">
        <v>184</v>
      </c>
      <c r="K469" s="92"/>
      <c r="L469" s="34" t="s">
        <v>7593</v>
      </c>
      <c r="M469" s="46" t="s">
        <v>10537</v>
      </c>
      <c r="N469" s="106"/>
      <c r="O469" s="145"/>
      <c r="P469" s="145"/>
      <c r="Q469" s="37"/>
      <c r="R469" s="145"/>
      <c r="S469" s="145"/>
      <c r="T469" s="313"/>
      <c r="U469" s="38"/>
      <c r="V469" s="38" t="s">
        <v>33</v>
      </c>
      <c r="W469" s="121"/>
      <c r="X469" s="40"/>
      <c r="Y469" s="349"/>
      <c r="Z469" s="313"/>
      <c r="AA469" s="313"/>
      <c r="AB469" s="313"/>
      <c r="AC469" s="313"/>
      <c r="AD469" s="313"/>
      <c r="AE469" s="313"/>
      <c r="AF469" s="313"/>
      <c r="AG469" s="313"/>
      <c r="AH469" s="313"/>
      <c r="AI469" s="313"/>
      <c r="AJ469" s="313"/>
      <c r="AK469" s="313"/>
      <c r="AL469" s="313"/>
      <c r="AM469" s="313"/>
      <c r="AN469" s="313"/>
      <c r="AO469" s="313"/>
      <c r="AP469" s="313"/>
      <c r="AQ469" s="313"/>
      <c r="AR469" s="313"/>
      <c r="AS469" s="313"/>
      <c r="AT469" s="313"/>
      <c r="AU469" s="313"/>
      <c r="AV469" s="313"/>
      <c r="AW469" s="313"/>
      <c r="AX469" s="313"/>
      <c r="AY469" s="313"/>
      <c r="AZ469" s="313"/>
      <c r="BA469" s="313"/>
      <c r="BB469" s="313"/>
      <c r="BC469" s="313"/>
      <c r="BD469" s="313"/>
      <c r="BE469" s="313"/>
      <c r="BF469" s="313"/>
      <c r="BG469" s="313"/>
      <c r="BH469" s="313"/>
      <c r="BI469" s="313"/>
      <c r="BJ469" s="313"/>
      <c r="BK469" s="313"/>
      <c r="BL469" s="313"/>
      <c r="BM469" s="313"/>
      <c r="BN469" s="313"/>
      <c r="BO469" s="313"/>
      <c r="BP469" s="313"/>
      <c r="BQ469" s="313"/>
    </row>
    <row r="470">
      <c r="A470" s="280" t="s">
        <v>10539</v>
      </c>
      <c r="B470" s="92"/>
      <c r="C470" s="30">
        <v>44168.0</v>
      </c>
      <c r="D470" s="92"/>
      <c r="E470" s="13" t="s">
        <v>41</v>
      </c>
      <c r="F470" s="13">
        <v>1.0</v>
      </c>
      <c r="G470" s="13" t="s">
        <v>32</v>
      </c>
      <c r="H470" s="50">
        <v>1.0</v>
      </c>
      <c r="I470" s="13" t="s">
        <v>33</v>
      </c>
      <c r="J470" s="13" t="s">
        <v>184</v>
      </c>
      <c r="K470" s="92"/>
      <c r="L470" s="34" t="s">
        <v>7593</v>
      </c>
      <c r="M470" s="46" t="s">
        <v>10537</v>
      </c>
      <c r="N470" s="106"/>
      <c r="O470" s="145"/>
      <c r="P470" s="145"/>
      <c r="Q470" s="37"/>
      <c r="R470" s="145"/>
      <c r="S470" s="145"/>
      <c r="T470" s="313"/>
      <c r="U470" s="38"/>
      <c r="V470" s="38" t="s">
        <v>33</v>
      </c>
      <c r="W470" s="121"/>
      <c r="X470" s="40"/>
      <c r="Y470" s="349"/>
      <c r="Z470" s="313"/>
      <c r="AA470" s="313"/>
      <c r="AB470" s="313"/>
      <c r="AC470" s="313"/>
      <c r="AD470" s="313"/>
      <c r="AE470" s="313"/>
      <c r="AF470" s="313"/>
      <c r="AG470" s="313"/>
      <c r="AH470" s="313"/>
      <c r="AI470" s="313"/>
      <c r="AJ470" s="313"/>
      <c r="AK470" s="313"/>
      <c r="AL470" s="313"/>
      <c r="AM470" s="313"/>
      <c r="AN470" s="313"/>
      <c r="AO470" s="313"/>
      <c r="AP470" s="313"/>
      <c r="AQ470" s="313"/>
      <c r="AR470" s="313"/>
      <c r="AS470" s="313"/>
      <c r="AT470" s="313"/>
      <c r="AU470" s="313"/>
      <c r="AV470" s="313"/>
      <c r="AW470" s="313"/>
      <c r="AX470" s="313"/>
      <c r="AY470" s="313"/>
      <c r="AZ470" s="313"/>
      <c r="BA470" s="313"/>
      <c r="BB470" s="313"/>
      <c r="BC470" s="313"/>
      <c r="BD470" s="313"/>
      <c r="BE470" s="313"/>
      <c r="BF470" s="313"/>
      <c r="BG470" s="313"/>
      <c r="BH470" s="313"/>
      <c r="BI470" s="313"/>
      <c r="BJ470" s="313"/>
      <c r="BK470" s="313"/>
      <c r="BL470" s="313"/>
      <c r="BM470" s="313"/>
      <c r="BN470" s="313"/>
      <c r="BO470" s="313"/>
      <c r="BP470" s="313"/>
      <c r="BQ470" s="313"/>
    </row>
    <row r="471">
      <c r="A471" s="280" t="s">
        <v>10540</v>
      </c>
      <c r="B471" s="92"/>
      <c r="C471" s="30">
        <v>44168.0</v>
      </c>
      <c r="D471" s="92"/>
      <c r="E471" s="13" t="s">
        <v>41</v>
      </c>
      <c r="F471" s="13">
        <v>1.0</v>
      </c>
      <c r="G471" s="13" t="s">
        <v>32</v>
      </c>
      <c r="H471" s="50">
        <v>1.0</v>
      </c>
      <c r="I471" s="13" t="s">
        <v>33</v>
      </c>
      <c r="J471" s="13" t="s">
        <v>184</v>
      </c>
      <c r="K471" s="92"/>
      <c r="L471" s="34" t="s">
        <v>7593</v>
      </c>
      <c r="M471" s="46" t="s">
        <v>10537</v>
      </c>
      <c r="N471" s="106"/>
      <c r="O471" s="145"/>
      <c r="P471" s="145"/>
      <c r="Q471" s="37"/>
      <c r="R471" s="145"/>
      <c r="S471" s="145"/>
      <c r="T471" s="313"/>
      <c r="U471" s="38"/>
      <c r="V471" s="38" t="s">
        <v>33</v>
      </c>
      <c r="W471" s="121"/>
      <c r="X471" s="40"/>
      <c r="Y471" s="349"/>
      <c r="Z471" s="313"/>
      <c r="AA471" s="313"/>
      <c r="AB471" s="313"/>
      <c r="AC471" s="313"/>
      <c r="AD471" s="313"/>
      <c r="AE471" s="313"/>
      <c r="AF471" s="313"/>
      <c r="AG471" s="313"/>
      <c r="AH471" s="313"/>
      <c r="AI471" s="313"/>
      <c r="AJ471" s="313"/>
      <c r="AK471" s="313"/>
      <c r="AL471" s="313"/>
      <c r="AM471" s="313"/>
      <c r="AN471" s="313"/>
      <c r="AO471" s="313"/>
      <c r="AP471" s="313"/>
      <c r="AQ471" s="313"/>
      <c r="AR471" s="313"/>
      <c r="AS471" s="313"/>
      <c r="AT471" s="313"/>
      <c r="AU471" s="313"/>
      <c r="AV471" s="313"/>
      <c r="AW471" s="313"/>
      <c r="AX471" s="313"/>
      <c r="AY471" s="313"/>
      <c r="AZ471" s="313"/>
      <c r="BA471" s="313"/>
      <c r="BB471" s="313"/>
      <c r="BC471" s="313"/>
      <c r="BD471" s="313"/>
      <c r="BE471" s="313"/>
      <c r="BF471" s="313"/>
      <c r="BG471" s="313"/>
      <c r="BH471" s="313"/>
      <c r="BI471" s="313"/>
      <c r="BJ471" s="313"/>
      <c r="BK471" s="313"/>
      <c r="BL471" s="313"/>
      <c r="BM471" s="313"/>
      <c r="BN471" s="313"/>
      <c r="BO471" s="313"/>
      <c r="BP471" s="313"/>
      <c r="BQ471" s="313"/>
    </row>
    <row r="472">
      <c r="A472" s="280" t="s">
        <v>10541</v>
      </c>
      <c r="B472" s="92"/>
      <c r="C472" s="30">
        <v>44168.0</v>
      </c>
      <c r="D472" s="92"/>
      <c r="E472" s="13" t="s">
        <v>41</v>
      </c>
      <c r="F472" s="13">
        <v>1.0</v>
      </c>
      <c r="G472" s="13" t="s">
        <v>32</v>
      </c>
      <c r="H472" s="50">
        <v>1.0</v>
      </c>
      <c r="I472" s="13" t="s">
        <v>33</v>
      </c>
      <c r="J472" s="13" t="s">
        <v>184</v>
      </c>
      <c r="K472" s="92"/>
      <c r="L472" s="34" t="s">
        <v>7593</v>
      </c>
      <c r="M472" s="46" t="s">
        <v>10537</v>
      </c>
      <c r="N472" s="106"/>
      <c r="O472" s="145"/>
      <c r="P472" s="145"/>
      <c r="Q472" s="37"/>
      <c r="R472" s="145"/>
      <c r="S472" s="145"/>
      <c r="T472" s="313"/>
      <c r="U472" s="38"/>
      <c r="V472" s="38" t="s">
        <v>33</v>
      </c>
      <c r="W472" s="121"/>
      <c r="X472" s="40"/>
      <c r="Y472" s="349"/>
      <c r="Z472" s="313"/>
      <c r="AA472" s="313"/>
      <c r="AB472" s="313"/>
      <c r="AC472" s="313"/>
      <c r="AD472" s="313"/>
      <c r="AE472" s="313"/>
      <c r="AF472" s="313"/>
      <c r="AG472" s="313"/>
      <c r="AH472" s="313"/>
      <c r="AI472" s="313"/>
      <c r="AJ472" s="313"/>
      <c r="AK472" s="313"/>
      <c r="AL472" s="313"/>
      <c r="AM472" s="313"/>
      <c r="AN472" s="313"/>
      <c r="AO472" s="313"/>
      <c r="AP472" s="313"/>
      <c r="AQ472" s="313"/>
      <c r="AR472" s="313"/>
      <c r="AS472" s="313"/>
      <c r="AT472" s="313"/>
      <c r="AU472" s="313"/>
      <c r="AV472" s="313"/>
      <c r="AW472" s="313"/>
      <c r="AX472" s="313"/>
      <c r="AY472" s="313"/>
      <c r="AZ472" s="313"/>
      <c r="BA472" s="313"/>
      <c r="BB472" s="313"/>
      <c r="BC472" s="313"/>
      <c r="BD472" s="313"/>
      <c r="BE472" s="313"/>
      <c r="BF472" s="313"/>
      <c r="BG472" s="313"/>
      <c r="BH472" s="313"/>
      <c r="BI472" s="313"/>
      <c r="BJ472" s="313"/>
      <c r="BK472" s="313"/>
      <c r="BL472" s="313"/>
      <c r="BM472" s="313"/>
      <c r="BN472" s="313"/>
      <c r="BO472" s="313"/>
      <c r="BP472" s="313"/>
      <c r="BQ472" s="313"/>
    </row>
    <row r="473">
      <c r="A473" s="280" t="s">
        <v>10542</v>
      </c>
      <c r="B473" s="92"/>
      <c r="C473" s="30">
        <v>44169.0</v>
      </c>
      <c r="D473" s="92"/>
      <c r="E473" s="13" t="s">
        <v>41</v>
      </c>
      <c r="F473" s="13">
        <v>1.0</v>
      </c>
      <c r="G473" s="13" t="s">
        <v>32</v>
      </c>
      <c r="H473" s="50">
        <v>1.0</v>
      </c>
      <c r="I473" s="13" t="s">
        <v>33</v>
      </c>
      <c r="J473" s="13" t="s">
        <v>93</v>
      </c>
      <c r="K473" s="92"/>
      <c r="L473" s="34" t="s">
        <v>7593</v>
      </c>
      <c r="M473" s="46" t="s">
        <v>10543</v>
      </c>
      <c r="N473" s="106"/>
      <c r="O473" s="145"/>
      <c r="P473" s="145"/>
      <c r="Q473" s="37"/>
      <c r="R473" s="145"/>
      <c r="S473" s="145"/>
      <c r="T473" s="313"/>
      <c r="U473" s="38"/>
      <c r="V473" s="38" t="s">
        <v>33</v>
      </c>
      <c r="W473" s="121"/>
      <c r="X473" s="40"/>
      <c r="Y473" s="349"/>
      <c r="Z473" s="313"/>
      <c r="AA473" s="313"/>
      <c r="AB473" s="313"/>
      <c r="AC473" s="313"/>
      <c r="AD473" s="313"/>
      <c r="AE473" s="313"/>
      <c r="AF473" s="313"/>
      <c r="AG473" s="313"/>
      <c r="AH473" s="313"/>
      <c r="AI473" s="313"/>
      <c r="AJ473" s="313"/>
      <c r="AK473" s="313"/>
      <c r="AL473" s="313"/>
      <c r="AM473" s="313"/>
      <c r="AN473" s="313"/>
      <c r="AO473" s="313"/>
      <c r="AP473" s="313"/>
      <c r="AQ473" s="313"/>
      <c r="AR473" s="313"/>
      <c r="AS473" s="313"/>
      <c r="AT473" s="313"/>
      <c r="AU473" s="313"/>
      <c r="AV473" s="313"/>
      <c r="AW473" s="313"/>
      <c r="AX473" s="313"/>
      <c r="AY473" s="313"/>
      <c r="AZ473" s="313"/>
      <c r="BA473" s="313"/>
      <c r="BB473" s="313"/>
      <c r="BC473" s="313"/>
      <c r="BD473" s="313"/>
      <c r="BE473" s="313"/>
      <c r="BF473" s="313"/>
      <c r="BG473" s="313"/>
      <c r="BH473" s="313"/>
      <c r="BI473" s="313"/>
      <c r="BJ473" s="313"/>
      <c r="BK473" s="313"/>
      <c r="BL473" s="313"/>
      <c r="BM473" s="313"/>
      <c r="BN473" s="313"/>
      <c r="BO473" s="313"/>
      <c r="BP473" s="313"/>
      <c r="BQ473" s="313"/>
    </row>
    <row r="474">
      <c r="A474" s="280" t="s">
        <v>10544</v>
      </c>
      <c r="B474" s="92"/>
      <c r="C474" s="30">
        <v>44169.0</v>
      </c>
      <c r="D474" s="92"/>
      <c r="E474" s="13" t="s">
        <v>41</v>
      </c>
      <c r="F474" s="13">
        <v>1.0</v>
      </c>
      <c r="G474" s="13" t="s">
        <v>32</v>
      </c>
      <c r="H474" s="50">
        <v>1.0</v>
      </c>
      <c r="I474" s="13" t="s">
        <v>33</v>
      </c>
      <c r="J474" s="13" t="s">
        <v>93</v>
      </c>
      <c r="K474" s="92"/>
      <c r="L474" s="34" t="s">
        <v>7593</v>
      </c>
      <c r="M474" s="46" t="s">
        <v>10545</v>
      </c>
      <c r="N474" s="106"/>
      <c r="O474" s="145"/>
      <c r="P474" s="145"/>
      <c r="Q474" s="37"/>
      <c r="R474" s="145"/>
      <c r="S474" s="145"/>
      <c r="T474" s="313"/>
      <c r="U474" s="38"/>
      <c r="V474" s="38" t="s">
        <v>33</v>
      </c>
      <c r="W474" s="121"/>
      <c r="X474" s="40"/>
      <c r="Y474" s="349"/>
      <c r="Z474" s="313"/>
      <c r="AA474" s="313"/>
      <c r="AB474" s="313"/>
      <c r="AC474" s="313"/>
      <c r="AD474" s="313"/>
      <c r="AE474" s="313"/>
      <c r="AF474" s="313"/>
      <c r="AG474" s="313"/>
      <c r="AH474" s="313"/>
      <c r="AI474" s="313"/>
      <c r="AJ474" s="313"/>
      <c r="AK474" s="313"/>
      <c r="AL474" s="313"/>
      <c r="AM474" s="313"/>
      <c r="AN474" s="313"/>
      <c r="AO474" s="313"/>
      <c r="AP474" s="313"/>
      <c r="AQ474" s="313"/>
      <c r="AR474" s="313"/>
      <c r="AS474" s="313"/>
      <c r="AT474" s="313"/>
      <c r="AU474" s="313"/>
      <c r="AV474" s="313"/>
      <c r="AW474" s="313"/>
      <c r="AX474" s="313"/>
      <c r="AY474" s="313"/>
      <c r="AZ474" s="313"/>
      <c r="BA474" s="313"/>
      <c r="BB474" s="313"/>
      <c r="BC474" s="313"/>
      <c r="BD474" s="313"/>
      <c r="BE474" s="313"/>
      <c r="BF474" s="313"/>
      <c r="BG474" s="313"/>
      <c r="BH474" s="313"/>
      <c r="BI474" s="313"/>
      <c r="BJ474" s="313"/>
      <c r="BK474" s="313"/>
      <c r="BL474" s="313"/>
      <c r="BM474" s="313"/>
      <c r="BN474" s="313"/>
      <c r="BO474" s="313"/>
      <c r="BP474" s="313"/>
      <c r="BQ474" s="313"/>
    </row>
    <row r="475">
      <c r="A475" s="351" t="s">
        <v>10546</v>
      </c>
      <c r="B475" s="92"/>
      <c r="C475" s="30">
        <v>44172.0</v>
      </c>
      <c r="D475" s="92"/>
      <c r="E475" s="13" t="s">
        <v>41</v>
      </c>
      <c r="F475" s="13">
        <v>1.0</v>
      </c>
      <c r="G475" s="13" t="s">
        <v>32</v>
      </c>
      <c r="H475" s="50">
        <v>1.0</v>
      </c>
      <c r="I475" s="13" t="s">
        <v>33</v>
      </c>
      <c r="J475" s="13" t="s">
        <v>93</v>
      </c>
      <c r="K475" s="92"/>
      <c r="L475" s="73" t="s">
        <v>7593</v>
      </c>
      <c r="M475" s="46" t="s">
        <v>10547</v>
      </c>
      <c r="N475" s="311"/>
      <c r="O475" s="145"/>
      <c r="P475" s="145"/>
      <c r="Q475" s="99"/>
      <c r="R475" s="145"/>
      <c r="S475" s="145"/>
      <c r="T475" s="313"/>
      <c r="U475" s="279"/>
      <c r="V475" s="38" t="s">
        <v>33</v>
      </c>
      <c r="W475" s="350"/>
      <c r="X475" s="278"/>
      <c r="Y475" s="349"/>
      <c r="Z475" s="313"/>
      <c r="AA475" s="313"/>
      <c r="AB475" s="313"/>
      <c r="AC475" s="313"/>
      <c r="AD475" s="313"/>
      <c r="AE475" s="313"/>
      <c r="AF475" s="313"/>
      <c r="AG475" s="313"/>
      <c r="AH475" s="313"/>
      <c r="AI475" s="313"/>
      <c r="AJ475" s="313"/>
      <c r="AK475" s="313"/>
      <c r="AL475" s="313"/>
      <c r="AM475" s="313"/>
      <c r="AN475" s="313"/>
      <c r="AO475" s="313"/>
      <c r="AP475" s="313"/>
      <c r="AQ475" s="313"/>
      <c r="AR475" s="313"/>
      <c r="AS475" s="313"/>
      <c r="AT475" s="313"/>
      <c r="AU475" s="313"/>
      <c r="AV475" s="313"/>
      <c r="AW475" s="313"/>
      <c r="AX475" s="313"/>
      <c r="AY475" s="313"/>
      <c r="AZ475" s="313"/>
      <c r="BA475" s="313"/>
      <c r="BB475" s="313"/>
      <c r="BC475" s="313"/>
      <c r="BD475" s="313"/>
      <c r="BE475" s="313"/>
      <c r="BF475" s="313"/>
      <c r="BG475" s="313"/>
      <c r="BH475" s="313"/>
      <c r="BI475" s="313"/>
      <c r="BJ475" s="313"/>
      <c r="BK475" s="313"/>
      <c r="BL475" s="313"/>
      <c r="BM475" s="313"/>
      <c r="BN475" s="313"/>
      <c r="BO475" s="313"/>
      <c r="BP475" s="313"/>
      <c r="BQ475" s="313"/>
    </row>
    <row r="476">
      <c r="A476" s="280" t="s">
        <v>10548</v>
      </c>
      <c r="B476" s="92"/>
      <c r="C476" s="30">
        <v>44181.0</v>
      </c>
      <c r="D476" s="92"/>
      <c r="E476" s="13" t="s">
        <v>41</v>
      </c>
      <c r="F476" s="13">
        <v>1.0</v>
      </c>
      <c r="G476" s="13">
        <v>1.0</v>
      </c>
      <c r="H476" s="50">
        <v>1.0</v>
      </c>
      <c r="I476" s="13" t="s">
        <v>33</v>
      </c>
      <c r="J476" s="13" t="s">
        <v>203</v>
      </c>
      <c r="K476" s="92"/>
      <c r="L476" s="73" t="s">
        <v>6497</v>
      </c>
      <c r="M476" s="46" t="s">
        <v>10549</v>
      </c>
      <c r="N476" s="311"/>
      <c r="O476" s="145"/>
      <c r="P476" s="145"/>
      <c r="Q476" s="99"/>
      <c r="R476" s="145"/>
      <c r="S476" s="145"/>
      <c r="T476" s="313"/>
      <c r="U476" s="279"/>
      <c r="V476" s="38" t="s">
        <v>33</v>
      </c>
      <c r="W476" s="350"/>
      <c r="X476" s="278"/>
      <c r="Y476" s="349"/>
      <c r="Z476" s="313"/>
      <c r="AA476" s="313"/>
      <c r="AB476" s="313"/>
      <c r="AC476" s="313"/>
      <c r="AD476" s="313"/>
      <c r="AE476" s="313"/>
      <c r="AF476" s="313"/>
      <c r="AG476" s="313"/>
      <c r="AH476" s="313"/>
      <c r="AI476" s="313"/>
      <c r="AJ476" s="313"/>
      <c r="AK476" s="313"/>
      <c r="AL476" s="313"/>
      <c r="AM476" s="313"/>
      <c r="AN476" s="313"/>
      <c r="AO476" s="313"/>
      <c r="AP476" s="313"/>
      <c r="AQ476" s="313"/>
      <c r="AR476" s="313"/>
      <c r="AS476" s="313"/>
      <c r="AT476" s="313"/>
      <c r="AU476" s="313"/>
      <c r="AV476" s="313"/>
      <c r="AW476" s="313"/>
      <c r="AX476" s="313"/>
      <c r="AY476" s="313"/>
      <c r="AZ476" s="313"/>
      <c r="BA476" s="313"/>
      <c r="BB476" s="313"/>
      <c r="BC476" s="313"/>
      <c r="BD476" s="313"/>
      <c r="BE476" s="313"/>
      <c r="BF476" s="313"/>
      <c r="BG476" s="313"/>
      <c r="BH476" s="313"/>
      <c r="BI476" s="313"/>
      <c r="BJ476" s="313"/>
      <c r="BK476" s="313"/>
      <c r="BL476" s="313"/>
      <c r="BM476" s="313"/>
      <c r="BN476" s="313"/>
      <c r="BO476" s="313"/>
      <c r="BP476" s="313"/>
      <c r="BQ476" s="313"/>
    </row>
    <row r="477">
      <c r="A477" s="280" t="s">
        <v>10550</v>
      </c>
      <c r="B477" s="92"/>
      <c r="C477" s="30">
        <v>44182.0</v>
      </c>
      <c r="D477" s="92"/>
      <c r="E477" s="13" t="s">
        <v>41</v>
      </c>
      <c r="F477" s="13">
        <v>1.0</v>
      </c>
      <c r="G477" s="13" t="s">
        <v>32</v>
      </c>
      <c r="H477" s="50">
        <v>1.0</v>
      </c>
      <c r="I477" s="13" t="s">
        <v>33</v>
      </c>
      <c r="J477" s="13" t="s">
        <v>147</v>
      </c>
      <c r="K477" s="92"/>
      <c r="L477" s="34" t="s">
        <v>10551</v>
      </c>
      <c r="M477" s="46" t="s">
        <v>10552</v>
      </c>
      <c r="N477" s="311"/>
      <c r="O477" s="145"/>
      <c r="P477" s="145"/>
      <c r="Q477" s="99"/>
      <c r="R477" s="145"/>
      <c r="S477" s="145"/>
      <c r="T477" s="313"/>
      <c r="U477" s="279"/>
      <c r="V477" s="38" t="s">
        <v>33</v>
      </c>
      <c r="W477" s="350"/>
      <c r="X477" s="278"/>
      <c r="Y477" s="349"/>
      <c r="Z477" s="313"/>
      <c r="AA477" s="313"/>
      <c r="AB477" s="313"/>
      <c r="AC477" s="313"/>
      <c r="AD477" s="313"/>
      <c r="AE477" s="313"/>
      <c r="AF477" s="313"/>
      <c r="AG477" s="313"/>
      <c r="AH477" s="313"/>
      <c r="AI477" s="313"/>
      <c r="AJ477" s="313"/>
      <c r="AK477" s="313"/>
      <c r="AL477" s="313"/>
      <c r="AM477" s="313"/>
      <c r="AN477" s="313"/>
      <c r="AO477" s="313"/>
      <c r="AP477" s="313"/>
      <c r="AQ477" s="313"/>
      <c r="AR477" s="313"/>
      <c r="AS477" s="313"/>
      <c r="AT477" s="313"/>
      <c r="AU477" s="313"/>
      <c r="AV477" s="313"/>
      <c r="AW477" s="313"/>
      <c r="AX477" s="313"/>
      <c r="AY477" s="313"/>
      <c r="AZ477" s="313"/>
      <c r="BA477" s="313"/>
      <c r="BB477" s="313"/>
      <c r="BC477" s="313"/>
      <c r="BD477" s="313"/>
      <c r="BE477" s="313"/>
      <c r="BF477" s="313"/>
      <c r="BG477" s="313"/>
      <c r="BH477" s="313"/>
      <c r="BI477" s="313"/>
      <c r="BJ477" s="313"/>
      <c r="BK477" s="313"/>
      <c r="BL477" s="313"/>
      <c r="BM477" s="313"/>
      <c r="BN477" s="313"/>
      <c r="BO477" s="313"/>
      <c r="BP477" s="313"/>
      <c r="BQ477" s="313"/>
    </row>
    <row r="478">
      <c r="A478" s="280" t="s">
        <v>10553</v>
      </c>
      <c r="B478" s="92"/>
      <c r="C478" s="31">
        <v>44197.0</v>
      </c>
      <c r="D478" s="92"/>
      <c r="E478" s="13" t="s">
        <v>41</v>
      </c>
      <c r="F478" s="13">
        <v>1.0</v>
      </c>
      <c r="G478" s="13" t="s">
        <v>32</v>
      </c>
      <c r="H478" s="50">
        <v>1.0</v>
      </c>
      <c r="I478" s="13" t="s">
        <v>33</v>
      </c>
      <c r="J478" s="13" t="s">
        <v>268</v>
      </c>
      <c r="K478" s="92"/>
      <c r="L478" s="34" t="s">
        <v>9396</v>
      </c>
      <c r="M478" s="46" t="s">
        <v>10554</v>
      </c>
      <c r="N478" s="311"/>
      <c r="O478" s="145"/>
      <c r="P478" s="145"/>
      <c r="Q478" s="99"/>
      <c r="R478" s="145"/>
      <c r="S478" s="145"/>
      <c r="T478" s="313"/>
      <c r="U478" s="279"/>
      <c r="V478" s="38" t="s">
        <v>33</v>
      </c>
      <c r="W478" s="350"/>
      <c r="X478" s="278"/>
      <c r="Y478" s="349"/>
      <c r="Z478" s="313"/>
      <c r="AA478" s="313"/>
      <c r="AB478" s="313"/>
      <c r="AC478" s="313"/>
      <c r="AD478" s="313"/>
      <c r="AE478" s="313"/>
      <c r="AF478" s="313"/>
      <c r="AG478" s="313"/>
      <c r="AH478" s="313"/>
      <c r="AI478" s="313"/>
      <c r="AJ478" s="313"/>
      <c r="AK478" s="313"/>
      <c r="AL478" s="313"/>
      <c r="AM478" s="313"/>
      <c r="AN478" s="313"/>
      <c r="AO478" s="313"/>
      <c r="AP478" s="313"/>
      <c r="AQ478" s="313"/>
      <c r="AR478" s="313"/>
      <c r="AS478" s="313"/>
      <c r="AT478" s="313"/>
      <c r="AU478" s="313"/>
      <c r="AV478" s="313"/>
      <c r="AW478" s="313"/>
      <c r="AX478" s="313"/>
      <c r="AY478" s="313"/>
      <c r="AZ478" s="313"/>
      <c r="BA478" s="313"/>
      <c r="BB478" s="313"/>
      <c r="BC478" s="313"/>
      <c r="BD478" s="313"/>
      <c r="BE478" s="313"/>
      <c r="BF478" s="313"/>
      <c r="BG478" s="313"/>
      <c r="BH478" s="313"/>
      <c r="BI478" s="313"/>
      <c r="BJ478" s="313"/>
      <c r="BK478" s="313"/>
      <c r="BL478" s="313"/>
      <c r="BM478" s="313"/>
      <c r="BN478" s="313"/>
      <c r="BO478" s="313"/>
      <c r="BP478" s="313"/>
      <c r="BQ478" s="313"/>
    </row>
    <row r="479">
      <c r="A479" s="280" t="s">
        <v>239</v>
      </c>
      <c r="B479" s="92"/>
      <c r="C479" s="30">
        <v>44198.0</v>
      </c>
      <c r="D479" s="92"/>
      <c r="E479" s="13" t="s">
        <v>41</v>
      </c>
      <c r="F479" s="13">
        <v>1.0</v>
      </c>
      <c r="G479" s="13" t="s">
        <v>32</v>
      </c>
      <c r="H479" s="50">
        <v>1.0</v>
      </c>
      <c r="I479" s="13" t="s">
        <v>33</v>
      </c>
      <c r="J479" s="13" t="s">
        <v>147</v>
      </c>
      <c r="K479" s="92"/>
      <c r="L479" s="34" t="s">
        <v>10555</v>
      </c>
      <c r="M479" s="46" t="s">
        <v>10556</v>
      </c>
      <c r="N479" s="311"/>
      <c r="O479" s="145"/>
      <c r="P479" s="145"/>
      <c r="Q479" s="99"/>
      <c r="R479" s="145"/>
      <c r="S479" s="145"/>
      <c r="T479" s="313"/>
      <c r="U479" s="279"/>
      <c r="V479" s="38" t="s">
        <v>3919</v>
      </c>
      <c r="W479" s="350"/>
      <c r="X479" s="278"/>
      <c r="Y479" s="349"/>
      <c r="Z479" s="313"/>
      <c r="AA479" s="313"/>
      <c r="AB479" s="313"/>
      <c r="AC479" s="313"/>
      <c r="AD479" s="313"/>
      <c r="AE479" s="313"/>
      <c r="AF479" s="313"/>
      <c r="AG479" s="313"/>
      <c r="AH479" s="313"/>
      <c r="AI479" s="313"/>
      <c r="AJ479" s="313"/>
      <c r="AK479" s="313"/>
      <c r="AL479" s="313"/>
      <c r="AM479" s="313"/>
      <c r="AN479" s="313"/>
      <c r="AO479" s="313"/>
      <c r="AP479" s="313"/>
      <c r="AQ479" s="313"/>
      <c r="AR479" s="313"/>
      <c r="AS479" s="313"/>
      <c r="AT479" s="313"/>
      <c r="AU479" s="313"/>
      <c r="AV479" s="313"/>
      <c r="AW479" s="313"/>
      <c r="AX479" s="313"/>
      <c r="AY479" s="313"/>
      <c r="AZ479" s="313"/>
      <c r="BA479" s="313"/>
      <c r="BB479" s="313"/>
      <c r="BC479" s="313"/>
      <c r="BD479" s="313"/>
      <c r="BE479" s="313"/>
      <c r="BF479" s="313"/>
      <c r="BG479" s="313"/>
      <c r="BH479" s="313"/>
      <c r="BI479" s="313"/>
      <c r="BJ479" s="313"/>
      <c r="BK479" s="313"/>
      <c r="BL479" s="313"/>
      <c r="BM479" s="313"/>
      <c r="BN479" s="313"/>
      <c r="BO479" s="313"/>
      <c r="BP479" s="313"/>
      <c r="BQ479" s="313"/>
    </row>
    <row r="480">
      <c r="A480" s="280" t="s">
        <v>239</v>
      </c>
      <c r="B480" s="92"/>
      <c r="C480" s="30">
        <v>44202.0</v>
      </c>
      <c r="D480" s="92"/>
      <c r="E480" s="13" t="s">
        <v>41</v>
      </c>
      <c r="F480" s="13">
        <v>1.0</v>
      </c>
      <c r="G480" s="13">
        <v>4.0</v>
      </c>
      <c r="H480" s="50">
        <v>4.0</v>
      </c>
      <c r="I480" s="13" t="s">
        <v>33</v>
      </c>
      <c r="J480" s="13" t="s">
        <v>241</v>
      </c>
      <c r="K480" s="92"/>
      <c r="L480" s="34" t="s">
        <v>10557</v>
      </c>
      <c r="M480" s="46" t="s">
        <v>10558</v>
      </c>
      <c r="N480" s="311"/>
      <c r="O480" s="145"/>
      <c r="P480" s="145"/>
      <c r="Q480" s="99"/>
      <c r="R480" s="145"/>
      <c r="S480" s="145"/>
      <c r="T480" s="313"/>
      <c r="U480" s="279"/>
      <c r="V480" s="38" t="s">
        <v>3919</v>
      </c>
      <c r="W480" s="350"/>
      <c r="X480" s="278"/>
      <c r="Y480" s="349"/>
      <c r="Z480" s="313"/>
      <c r="AA480" s="313"/>
      <c r="AB480" s="313"/>
      <c r="AC480" s="313"/>
      <c r="AD480" s="313"/>
      <c r="AE480" s="313"/>
      <c r="AF480" s="313"/>
      <c r="AG480" s="313"/>
      <c r="AH480" s="313"/>
      <c r="AI480" s="313"/>
      <c r="AJ480" s="313"/>
      <c r="AK480" s="313"/>
      <c r="AL480" s="313"/>
      <c r="AM480" s="313"/>
      <c r="AN480" s="313"/>
      <c r="AO480" s="313"/>
      <c r="AP480" s="313"/>
      <c r="AQ480" s="313"/>
      <c r="AR480" s="313"/>
      <c r="AS480" s="313"/>
      <c r="AT480" s="313"/>
      <c r="AU480" s="313"/>
      <c r="AV480" s="313"/>
      <c r="AW480" s="313"/>
      <c r="AX480" s="313"/>
      <c r="AY480" s="313"/>
      <c r="AZ480" s="313"/>
      <c r="BA480" s="313"/>
      <c r="BB480" s="313"/>
      <c r="BC480" s="313"/>
      <c r="BD480" s="313"/>
      <c r="BE480" s="313"/>
      <c r="BF480" s="313"/>
      <c r="BG480" s="313"/>
      <c r="BH480" s="313"/>
      <c r="BI480" s="313"/>
      <c r="BJ480" s="313"/>
      <c r="BK480" s="313"/>
      <c r="BL480" s="313"/>
      <c r="BM480" s="313"/>
      <c r="BN480" s="313"/>
      <c r="BO480" s="313"/>
      <c r="BP480" s="313"/>
      <c r="BQ480" s="313"/>
    </row>
    <row r="481">
      <c r="A481" s="280" t="s">
        <v>10559</v>
      </c>
      <c r="B481" s="92"/>
      <c r="C481" s="30">
        <v>44206.0</v>
      </c>
      <c r="D481" s="92"/>
      <c r="E481" s="13" t="s">
        <v>41</v>
      </c>
      <c r="F481" s="13">
        <v>1.0</v>
      </c>
      <c r="G481" s="13" t="s">
        <v>32</v>
      </c>
      <c r="H481" s="50">
        <v>1.0</v>
      </c>
      <c r="I481" s="13" t="s">
        <v>33</v>
      </c>
      <c r="J481" s="13" t="s">
        <v>147</v>
      </c>
      <c r="K481" s="92"/>
      <c r="L481" s="34" t="s">
        <v>10560</v>
      </c>
      <c r="M481" s="46" t="s">
        <v>10561</v>
      </c>
      <c r="N481" s="311"/>
      <c r="O481" s="145"/>
      <c r="P481" s="145"/>
      <c r="Q481" s="99"/>
      <c r="R481" s="145"/>
      <c r="S481" s="145"/>
      <c r="T481" s="313"/>
      <c r="U481" s="279"/>
      <c r="V481" s="38" t="s">
        <v>3919</v>
      </c>
      <c r="W481" s="350"/>
      <c r="X481" s="40"/>
      <c r="Y481" s="349"/>
      <c r="Z481" s="313"/>
      <c r="AA481" s="313"/>
      <c r="AB481" s="313"/>
      <c r="AC481" s="313"/>
      <c r="AD481" s="313"/>
      <c r="AE481" s="313"/>
      <c r="AF481" s="313"/>
      <c r="AG481" s="313"/>
      <c r="AH481" s="313"/>
      <c r="AI481" s="313"/>
      <c r="AJ481" s="313"/>
      <c r="AK481" s="313"/>
      <c r="AL481" s="313"/>
      <c r="AM481" s="313"/>
      <c r="AN481" s="313"/>
      <c r="AO481" s="313"/>
      <c r="AP481" s="313"/>
      <c r="AQ481" s="313"/>
      <c r="AR481" s="313"/>
      <c r="AS481" s="313"/>
      <c r="AT481" s="313"/>
      <c r="AU481" s="313"/>
      <c r="AV481" s="313"/>
      <c r="AW481" s="313"/>
      <c r="AX481" s="313"/>
      <c r="AY481" s="313"/>
      <c r="AZ481" s="313"/>
      <c r="BA481" s="313"/>
      <c r="BB481" s="313"/>
      <c r="BC481" s="313"/>
      <c r="BD481" s="313"/>
      <c r="BE481" s="313"/>
      <c r="BF481" s="313"/>
      <c r="BG481" s="313"/>
      <c r="BH481" s="313"/>
      <c r="BI481" s="313"/>
      <c r="BJ481" s="313"/>
      <c r="BK481" s="313"/>
      <c r="BL481" s="313"/>
      <c r="BM481" s="313"/>
      <c r="BN481" s="313"/>
      <c r="BO481" s="313"/>
      <c r="BP481" s="313"/>
      <c r="BQ481" s="313"/>
    </row>
    <row r="482">
      <c r="A482" s="280" t="s">
        <v>10562</v>
      </c>
      <c r="B482" s="92"/>
      <c r="C482" s="30">
        <v>44206.0</v>
      </c>
      <c r="D482" s="92"/>
      <c r="E482" s="13" t="s">
        <v>31</v>
      </c>
      <c r="F482" s="13">
        <v>1.0</v>
      </c>
      <c r="G482" s="13" t="s">
        <v>32</v>
      </c>
      <c r="H482" s="50">
        <v>1.0</v>
      </c>
      <c r="I482" s="13" t="s">
        <v>33</v>
      </c>
      <c r="J482" s="13" t="s">
        <v>42</v>
      </c>
      <c r="K482" s="92"/>
      <c r="L482" s="34" t="s">
        <v>10563</v>
      </c>
      <c r="M482" s="46" t="s">
        <v>10564</v>
      </c>
      <c r="N482" s="311"/>
      <c r="O482" s="145"/>
      <c r="P482" s="145"/>
      <c r="Q482" s="99"/>
      <c r="R482" s="145"/>
      <c r="S482" s="145"/>
      <c r="T482" s="313"/>
      <c r="U482" s="279"/>
      <c r="V482" s="38" t="s">
        <v>3919</v>
      </c>
      <c r="W482" s="350"/>
      <c r="X482" s="39" t="s">
        <v>10565</v>
      </c>
      <c r="Y482" s="349"/>
      <c r="Z482" s="313"/>
      <c r="AA482" s="313"/>
      <c r="AB482" s="313"/>
      <c r="AC482" s="313"/>
      <c r="AD482" s="313"/>
      <c r="AE482" s="313"/>
      <c r="AF482" s="313"/>
      <c r="AG482" s="313"/>
      <c r="AH482" s="313"/>
      <c r="AI482" s="313"/>
      <c r="AJ482" s="313"/>
      <c r="AK482" s="313"/>
      <c r="AL482" s="313"/>
      <c r="AM482" s="313"/>
      <c r="AN482" s="313"/>
      <c r="AO482" s="313"/>
      <c r="AP482" s="313"/>
      <c r="AQ482" s="313"/>
      <c r="AR482" s="313"/>
      <c r="AS482" s="313"/>
      <c r="AT482" s="313"/>
      <c r="AU482" s="313"/>
      <c r="AV482" s="313"/>
      <c r="AW482" s="313"/>
      <c r="AX482" s="313"/>
      <c r="AY482" s="313"/>
      <c r="AZ482" s="313"/>
      <c r="BA482" s="313"/>
      <c r="BB482" s="313"/>
      <c r="BC482" s="313"/>
      <c r="BD482" s="313"/>
      <c r="BE482" s="313"/>
      <c r="BF482" s="313"/>
      <c r="BG482" s="313"/>
      <c r="BH482" s="313"/>
      <c r="BI482" s="313"/>
      <c r="BJ482" s="313"/>
      <c r="BK482" s="313"/>
      <c r="BL482" s="313"/>
      <c r="BM482" s="313"/>
      <c r="BN482" s="313"/>
      <c r="BO482" s="313"/>
      <c r="BP482" s="313"/>
      <c r="BQ482" s="313"/>
    </row>
    <row r="483">
      <c r="A483" s="280" t="s">
        <v>10566</v>
      </c>
      <c r="B483" s="92"/>
      <c r="C483" s="30">
        <v>44206.0</v>
      </c>
      <c r="D483" s="92"/>
      <c r="E483" s="13" t="s">
        <v>41</v>
      </c>
      <c r="F483" s="13">
        <v>1.0</v>
      </c>
      <c r="G483" s="13" t="s">
        <v>32</v>
      </c>
      <c r="H483" s="50">
        <v>1.0</v>
      </c>
      <c r="I483" s="13" t="s">
        <v>33</v>
      </c>
      <c r="J483" s="13" t="s">
        <v>147</v>
      </c>
      <c r="K483" s="92"/>
      <c r="L483" s="34" t="s">
        <v>6497</v>
      </c>
      <c r="M483" s="46" t="s">
        <v>10567</v>
      </c>
      <c r="N483" s="311"/>
      <c r="O483" s="145"/>
      <c r="P483" s="145"/>
      <c r="Q483" s="99"/>
      <c r="R483" s="145"/>
      <c r="S483" s="145"/>
      <c r="T483" s="313"/>
      <c r="U483" s="279"/>
      <c r="V483" s="38" t="s">
        <v>6119</v>
      </c>
      <c r="W483" s="350"/>
      <c r="X483" s="278"/>
      <c r="Y483" s="349"/>
      <c r="Z483" s="313"/>
      <c r="AA483" s="313"/>
      <c r="AB483" s="313"/>
      <c r="AC483" s="313"/>
      <c r="AD483" s="313"/>
      <c r="AE483" s="313"/>
      <c r="AF483" s="313"/>
      <c r="AG483" s="313"/>
      <c r="AH483" s="313"/>
      <c r="AI483" s="313"/>
      <c r="AJ483" s="313"/>
      <c r="AK483" s="313"/>
      <c r="AL483" s="313"/>
      <c r="AM483" s="313"/>
      <c r="AN483" s="313"/>
      <c r="AO483" s="313"/>
      <c r="AP483" s="313"/>
      <c r="AQ483" s="313"/>
      <c r="AR483" s="313"/>
      <c r="AS483" s="313"/>
      <c r="AT483" s="313"/>
      <c r="AU483" s="313"/>
      <c r="AV483" s="313"/>
      <c r="AW483" s="313"/>
      <c r="AX483" s="313"/>
      <c r="AY483" s="313"/>
      <c r="AZ483" s="313"/>
      <c r="BA483" s="313"/>
      <c r="BB483" s="313"/>
      <c r="BC483" s="313"/>
      <c r="BD483" s="313"/>
      <c r="BE483" s="313"/>
      <c r="BF483" s="313"/>
      <c r="BG483" s="313"/>
      <c r="BH483" s="313"/>
      <c r="BI483" s="313"/>
      <c r="BJ483" s="313"/>
      <c r="BK483" s="313"/>
      <c r="BL483" s="313"/>
      <c r="BM483" s="313"/>
      <c r="BN483" s="313"/>
      <c r="BO483" s="313"/>
      <c r="BP483" s="313"/>
      <c r="BQ483" s="313"/>
    </row>
    <row r="484">
      <c r="A484" s="280" t="s">
        <v>10568</v>
      </c>
      <c r="B484" s="92"/>
      <c r="C484" s="30">
        <v>44208.0</v>
      </c>
      <c r="D484" s="92"/>
      <c r="E484" s="13" t="s">
        <v>41</v>
      </c>
      <c r="F484" s="13">
        <v>1.0</v>
      </c>
      <c r="G484" s="13" t="s">
        <v>32</v>
      </c>
      <c r="H484" s="50">
        <v>1.0</v>
      </c>
      <c r="I484" s="13" t="s">
        <v>33</v>
      </c>
      <c r="J484" s="13" t="s">
        <v>147</v>
      </c>
      <c r="K484" s="92"/>
      <c r="L484" s="34" t="s">
        <v>10442</v>
      </c>
      <c r="M484" s="46" t="s">
        <v>10569</v>
      </c>
      <c r="N484" s="311"/>
      <c r="O484" s="145"/>
      <c r="P484" s="145"/>
      <c r="Q484" s="99"/>
      <c r="R484" s="145"/>
      <c r="S484" s="145"/>
      <c r="T484" s="313"/>
      <c r="U484" s="279"/>
      <c r="V484" s="38" t="s">
        <v>33</v>
      </c>
      <c r="W484" s="350"/>
      <c r="X484" s="278"/>
      <c r="Y484" s="349"/>
      <c r="Z484" s="313"/>
      <c r="AA484" s="313"/>
      <c r="AB484" s="313"/>
      <c r="AC484" s="313"/>
      <c r="AD484" s="313"/>
      <c r="AE484" s="313"/>
      <c r="AF484" s="313"/>
      <c r="AG484" s="313"/>
      <c r="AH484" s="313"/>
      <c r="AI484" s="313"/>
      <c r="AJ484" s="313"/>
      <c r="AK484" s="313"/>
      <c r="AL484" s="313"/>
      <c r="AM484" s="313"/>
      <c r="AN484" s="313"/>
      <c r="AO484" s="313"/>
      <c r="AP484" s="313"/>
      <c r="AQ484" s="313"/>
      <c r="AR484" s="313"/>
      <c r="AS484" s="313"/>
      <c r="AT484" s="313"/>
      <c r="AU484" s="313"/>
      <c r="AV484" s="313"/>
      <c r="AW484" s="313"/>
      <c r="AX484" s="313"/>
      <c r="AY484" s="313"/>
      <c r="AZ484" s="313"/>
      <c r="BA484" s="313"/>
      <c r="BB484" s="313"/>
      <c r="BC484" s="313"/>
      <c r="BD484" s="313"/>
      <c r="BE484" s="313"/>
      <c r="BF484" s="313"/>
      <c r="BG484" s="313"/>
      <c r="BH484" s="313"/>
      <c r="BI484" s="313"/>
      <c r="BJ484" s="313"/>
      <c r="BK484" s="313"/>
      <c r="BL484" s="313"/>
      <c r="BM484" s="313"/>
      <c r="BN484" s="313"/>
      <c r="BO484" s="313"/>
      <c r="BP484" s="313"/>
      <c r="BQ484" s="313"/>
    </row>
    <row r="485">
      <c r="A485" s="280" t="s">
        <v>239</v>
      </c>
      <c r="B485" s="92"/>
      <c r="C485" s="30">
        <v>44208.0</v>
      </c>
      <c r="D485" s="92"/>
      <c r="E485" s="13" t="s">
        <v>41</v>
      </c>
      <c r="F485" s="13">
        <v>1.0</v>
      </c>
      <c r="G485" s="13" t="s">
        <v>32</v>
      </c>
      <c r="H485" s="50">
        <v>1.0</v>
      </c>
      <c r="I485" s="13" t="s">
        <v>33</v>
      </c>
      <c r="J485" s="13" t="s">
        <v>111</v>
      </c>
      <c r="K485" s="92"/>
      <c r="L485" s="34" t="s">
        <v>9672</v>
      </c>
      <c r="M485" s="46" t="s">
        <v>10570</v>
      </c>
      <c r="N485" s="311"/>
      <c r="O485" s="145"/>
      <c r="P485" s="145"/>
      <c r="Q485" s="99"/>
      <c r="R485" s="145"/>
      <c r="S485" s="145"/>
      <c r="T485" s="313"/>
      <c r="U485" s="279"/>
      <c r="V485" s="38" t="s">
        <v>3919</v>
      </c>
      <c r="W485" s="350"/>
      <c r="X485" s="278"/>
      <c r="Y485" s="349"/>
      <c r="Z485" s="313"/>
      <c r="AA485" s="313"/>
      <c r="AB485" s="313"/>
      <c r="AC485" s="313"/>
      <c r="AD485" s="313"/>
      <c r="AE485" s="313"/>
      <c r="AF485" s="313"/>
      <c r="AG485" s="313"/>
      <c r="AH485" s="313"/>
      <c r="AI485" s="313"/>
      <c r="AJ485" s="313"/>
      <c r="AK485" s="313"/>
      <c r="AL485" s="313"/>
      <c r="AM485" s="313"/>
      <c r="AN485" s="313"/>
      <c r="AO485" s="313"/>
      <c r="AP485" s="313"/>
      <c r="AQ485" s="313"/>
      <c r="AR485" s="313"/>
      <c r="AS485" s="313"/>
      <c r="AT485" s="313"/>
      <c r="AU485" s="313"/>
      <c r="AV485" s="313"/>
      <c r="AW485" s="313"/>
      <c r="AX485" s="313"/>
      <c r="AY485" s="313"/>
      <c r="AZ485" s="313"/>
      <c r="BA485" s="313"/>
      <c r="BB485" s="313"/>
      <c r="BC485" s="313"/>
      <c r="BD485" s="313"/>
      <c r="BE485" s="313"/>
      <c r="BF485" s="313"/>
      <c r="BG485" s="313"/>
      <c r="BH485" s="313"/>
      <c r="BI485" s="313"/>
      <c r="BJ485" s="313"/>
      <c r="BK485" s="313"/>
      <c r="BL485" s="313"/>
      <c r="BM485" s="313"/>
      <c r="BN485" s="313"/>
      <c r="BO485" s="313"/>
      <c r="BP485" s="313"/>
      <c r="BQ485" s="313"/>
    </row>
    <row r="486">
      <c r="A486" s="280" t="s">
        <v>239</v>
      </c>
      <c r="B486" s="92"/>
      <c r="C486" s="30">
        <v>44209.0</v>
      </c>
      <c r="D486" s="92"/>
      <c r="E486" s="13" t="s">
        <v>41</v>
      </c>
      <c r="F486" s="13">
        <v>1.0</v>
      </c>
      <c r="G486" s="13" t="s">
        <v>32</v>
      </c>
      <c r="H486" s="50">
        <v>1.0</v>
      </c>
      <c r="I486" s="13" t="s">
        <v>33</v>
      </c>
      <c r="J486" s="13" t="s">
        <v>241</v>
      </c>
      <c r="K486" s="92"/>
      <c r="L486" s="34" t="s">
        <v>10571</v>
      </c>
      <c r="M486" s="46" t="s">
        <v>10572</v>
      </c>
      <c r="N486" s="311"/>
      <c r="O486" s="145"/>
      <c r="P486" s="145"/>
      <c r="Q486" s="99"/>
      <c r="R486" s="145"/>
      <c r="S486" s="145"/>
      <c r="T486" s="313"/>
      <c r="U486" s="279"/>
      <c r="V486" s="38" t="s">
        <v>3919</v>
      </c>
      <c r="W486" s="350"/>
      <c r="X486" s="278"/>
      <c r="Y486" s="349"/>
      <c r="Z486" s="313"/>
      <c r="AA486" s="313"/>
      <c r="AB486" s="313"/>
      <c r="AC486" s="313"/>
      <c r="AD486" s="313"/>
      <c r="AE486" s="313"/>
      <c r="AF486" s="313"/>
      <c r="AG486" s="313"/>
      <c r="AH486" s="313"/>
      <c r="AI486" s="313"/>
      <c r="AJ486" s="313"/>
      <c r="AK486" s="313"/>
      <c r="AL486" s="313"/>
      <c r="AM486" s="313"/>
      <c r="AN486" s="313"/>
      <c r="AO486" s="313"/>
      <c r="AP486" s="313"/>
      <c r="AQ486" s="313"/>
      <c r="AR486" s="313"/>
      <c r="AS486" s="313"/>
      <c r="AT486" s="313"/>
      <c r="AU486" s="313"/>
      <c r="AV486" s="313"/>
      <c r="AW486" s="313"/>
      <c r="AX486" s="313"/>
      <c r="AY486" s="313"/>
      <c r="AZ486" s="313"/>
      <c r="BA486" s="313"/>
      <c r="BB486" s="313"/>
      <c r="BC486" s="313"/>
      <c r="BD486" s="313"/>
      <c r="BE486" s="313"/>
      <c r="BF486" s="313"/>
      <c r="BG486" s="313"/>
      <c r="BH486" s="313"/>
      <c r="BI486" s="313"/>
      <c r="BJ486" s="313"/>
      <c r="BK486" s="313"/>
      <c r="BL486" s="313"/>
      <c r="BM486" s="313"/>
      <c r="BN486" s="313"/>
      <c r="BO486" s="313"/>
      <c r="BP486" s="313"/>
      <c r="BQ486" s="313"/>
    </row>
    <row r="487">
      <c r="A487" s="280" t="s">
        <v>10573</v>
      </c>
      <c r="B487" s="92"/>
      <c r="C487" s="30">
        <v>44211.0</v>
      </c>
      <c r="D487" s="92"/>
      <c r="E487" s="13" t="s">
        <v>41</v>
      </c>
      <c r="F487" s="13">
        <v>1.0</v>
      </c>
      <c r="G487" s="13" t="s">
        <v>32</v>
      </c>
      <c r="H487" s="50">
        <v>1.0</v>
      </c>
      <c r="I487" s="13" t="s">
        <v>33</v>
      </c>
      <c r="J487" s="13" t="s">
        <v>93</v>
      </c>
      <c r="K487" s="92"/>
      <c r="L487" s="34" t="s">
        <v>9433</v>
      </c>
      <c r="M487" s="46" t="s">
        <v>10574</v>
      </c>
      <c r="N487" s="311"/>
      <c r="O487" s="145"/>
      <c r="P487" s="145"/>
      <c r="Q487" s="99"/>
      <c r="R487" s="145"/>
      <c r="S487" s="145"/>
      <c r="T487" s="313"/>
      <c r="U487" s="279"/>
      <c r="V487" s="38" t="s">
        <v>33</v>
      </c>
      <c r="W487" s="350"/>
      <c r="X487" s="278"/>
      <c r="Y487" s="349"/>
      <c r="Z487" s="313"/>
      <c r="AA487" s="313"/>
      <c r="AB487" s="313"/>
      <c r="AC487" s="313"/>
      <c r="AD487" s="313"/>
      <c r="AE487" s="313"/>
      <c r="AF487" s="313"/>
      <c r="AG487" s="313"/>
      <c r="AH487" s="313"/>
      <c r="AI487" s="313"/>
      <c r="AJ487" s="313"/>
      <c r="AK487" s="313"/>
      <c r="AL487" s="313"/>
      <c r="AM487" s="313"/>
      <c r="AN487" s="313"/>
      <c r="AO487" s="313"/>
      <c r="AP487" s="313"/>
      <c r="AQ487" s="313"/>
      <c r="AR487" s="313"/>
      <c r="AS487" s="313"/>
      <c r="AT487" s="313"/>
      <c r="AU487" s="313"/>
      <c r="AV487" s="313"/>
      <c r="AW487" s="313"/>
      <c r="AX487" s="313"/>
      <c r="AY487" s="313"/>
      <c r="AZ487" s="313"/>
      <c r="BA487" s="313"/>
      <c r="BB487" s="313"/>
      <c r="BC487" s="313"/>
      <c r="BD487" s="313"/>
      <c r="BE487" s="313"/>
      <c r="BF487" s="313"/>
      <c r="BG487" s="313"/>
      <c r="BH487" s="313"/>
      <c r="BI487" s="313"/>
      <c r="BJ487" s="313"/>
      <c r="BK487" s="313"/>
      <c r="BL487" s="313"/>
      <c r="BM487" s="313"/>
      <c r="BN487" s="313"/>
      <c r="BO487" s="313"/>
      <c r="BP487" s="313"/>
      <c r="BQ487" s="313"/>
    </row>
    <row r="488">
      <c r="A488" s="280" t="s">
        <v>10575</v>
      </c>
      <c r="B488" s="92"/>
      <c r="C488" s="30">
        <v>44215.0</v>
      </c>
      <c r="D488" s="92"/>
      <c r="E488" s="13" t="s">
        <v>41</v>
      </c>
      <c r="F488" s="13">
        <v>1.0</v>
      </c>
      <c r="G488" s="13" t="s">
        <v>32</v>
      </c>
      <c r="H488" s="50">
        <v>1.0</v>
      </c>
      <c r="I488" s="13" t="s">
        <v>33</v>
      </c>
      <c r="J488" s="13" t="s">
        <v>111</v>
      </c>
      <c r="K488" s="92"/>
      <c r="L488" s="34" t="s">
        <v>10571</v>
      </c>
      <c r="M488" s="46" t="s">
        <v>10576</v>
      </c>
      <c r="N488" s="311"/>
      <c r="O488" s="145"/>
      <c r="P488" s="145"/>
      <c r="Q488" s="99"/>
      <c r="R488" s="145"/>
      <c r="S488" s="145"/>
      <c r="T488" s="313"/>
      <c r="U488" s="279"/>
      <c r="V488" s="38" t="s">
        <v>3919</v>
      </c>
      <c r="W488" s="350"/>
      <c r="X488" s="278"/>
      <c r="Y488" s="349"/>
      <c r="Z488" s="313"/>
      <c r="AA488" s="313"/>
      <c r="AB488" s="313"/>
      <c r="AC488" s="313"/>
      <c r="AD488" s="313"/>
      <c r="AE488" s="313"/>
      <c r="AF488" s="313"/>
      <c r="AG488" s="313"/>
      <c r="AH488" s="313"/>
      <c r="AI488" s="313"/>
      <c r="AJ488" s="313"/>
      <c r="AK488" s="313"/>
      <c r="AL488" s="313"/>
      <c r="AM488" s="313"/>
      <c r="AN488" s="313"/>
      <c r="AO488" s="313"/>
      <c r="AP488" s="313"/>
      <c r="AQ488" s="313"/>
      <c r="AR488" s="313"/>
      <c r="AS488" s="313"/>
      <c r="AT488" s="313"/>
      <c r="AU488" s="313"/>
      <c r="AV488" s="313"/>
      <c r="AW488" s="313"/>
      <c r="AX488" s="313"/>
      <c r="AY488" s="313"/>
      <c r="AZ488" s="313"/>
      <c r="BA488" s="313"/>
      <c r="BB488" s="313"/>
      <c r="BC488" s="313"/>
      <c r="BD488" s="313"/>
      <c r="BE488" s="313"/>
      <c r="BF488" s="313"/>
      <c r="BG488" s="313"/>
      <c r="BH488" s="313"/>
      <c r="BI488" s="313"/>
      <c r="BJ488" s="313"/>
      <c r="BK488" s="313"/>
      <c r="BL488" s="313"/>
      <c r="BM488" s="313"/>
      <c r="BN488" s="313"/>
      <c r="BO488" s="313"/>
      <c r="BP488" s="313"/>
      <c r="BQ488" s="313"/>
    </row>
    <row r="489">
      <c r="A489" s="280" t="s">
        <v>10577</v>
      </c>
      <c r="B489" s="92"/>
      <c r="C489" s="30">
        <v>44215.0</v>
      </c>
      <c r="D489" s="92"/>
      <c r="E489" s="13" t="s">
        <v>41</v>
      </c>
      <c r="F489" s="13">
        <v>1.0</v>
      </c>
      <c r="G489" s="13" t="s">
        <v>32</v>
      </c>
      <c r="H489" s="50">
        <v>1.0</v>
      </c>
      <c r="I489" s="13" t="s">
        <v>33</v>
      </c>
      <c r="J489" s="13" t="s">
        <v>111</v>
      </c>
      <c r="K489" s="92"/>
      <c r="L489" s="34" t="s">
        <v>10571</v>
      </c>
      <c r="M489" s="46" t="s">
        <v>10578</v>
      </c>
      <c r="N489" s="311"/>
      <c r="O489" s="145"/>
      <c r="P489" s="145"/>
      <c r="Q489" s="99"/>
      <c r="R489" s="145"/>
      <c r="S489" s="145"/>
      <c r="T489" s="313"/>
      <c r="U489" s="279"/>
      <c r="V489" s="38" t="s">
        <v>6119</v>
      </c>
      <c r="W489" s="350"/>
      <c r="X489" s="278"/>
      <c r="Y489" s="349"/>
      <c r="Z489" s="313"/>
      <c r="AA489" s="313"/>
      <c r="AB489" s="313"/>
      <c r="AC489" s="313"/>
      <c r="AD489" s="313"/>
      <c r="AE489" s="313"/>
      <c r="AF489" s="313"/>
      <c r="AG489" s="313"/>
      <c r="AH489" s="313"/>
      <c r="AI489" s="313"/>
      <c r="AJ489" s="313"/>
      <c r="AK489" s="313"/>
      <c r="AL489" s="313"/>
      <c r="AM489" s="313"/>
      <c r="AN489" s="313"/>
      <c r="AO489" s="313"/>
      <c r="AP489" s="313"/>
      <c r="AQ489" s="313"/>
      <c r="AR489" s="313"/>
      <c r="AS489" s="313"/>
      <c r="AT489" s="313"/>
      <c r="AU489" s="313"/>
      <c r="AV489" s="313"/>
      <c r="AW489" s="313"/>
      <c r="AX489" s="313"/>
      <c r="AY489" s="313"/>
      <c r="AZ489" s="313"/>
      <c r="BA489" s="313"/>
      <c r="BB489" s="313"/>
      <c r="BC489" s="313"/>
      <c r="BD489" s="313"/>
      <c r="BE489" s="313"/>
      <c r="BF489" s="313"/>
      <c r="BG489" s="313"/>
      <c r="BH489" s="313"/>
      <c r="BI489" s="313"/>
      <c r="BJ489" s="313"/>
      <c r="BK489" s="313"/>
      <c r="BL489" s="313"/>
      <c r="BM489" s="313"/>
      <c r="BN489" s="313"/>
      <c r="BO489" s="313"/>
      <c r="BP489" s="313"/>
      <c r="BQ489" s="313"/>
    </row>
    <row r="490">
      <c r="A490" s="280" t="s">
        <v>10579</v>
      </c>
      <c r="B490" s="92"/>
      <c r="C490" s="30">
        <v>44221.0</v>
      </c>
      <c r="D490" s="92"/>
      <c r="E490" s="13" t="s">
        <v>41</v>
      </c>
      <c r="F490" s="13">
        <v>1.0</v>
      </c>
      <c r="G490" s="13">
        <v>1.0</v>
      </c>
      <c r="H490" s="50">
        <v>1.0</v>
      </c>
      <c r="I490" s="13" t="s">
        <v>33</v>
      </c>
      <c r="J490" s="13" t="s">
        <v>193</v>
      </c>
      <c r="K490" s="92"/>
      <c r="L490" s="34" t="s">
        <v>9380</v>
      </c>
      <c r="M490" s="46" t="s">
        <v>10580</v>
      </c>
      <c r="N490" s="311"/>
      <c r="O490" s="145"/>
      <c r="P490" s="145"/>
      <c r="Q490" s="99"/>
      <c r="R490" s="145"/>
      <c r="S490" s="145"/>
      <c r="T490" s="313"/>
      <c r="U490" s="279"/>
      <c r="V490" s="38" t="s">
        <v>33</v>
      </c>
      <c r="W490" s="350"/>
      <c r="X490" s="278"/>
      <c r="Y490" s="349"/>
      <c r="Z490" s="313"/>
      <c r="AA490" s="313"/>
      <c r="AB490" s="313"/>
      <c r="AC490" s="313"/>
      <c r="AD490" s="313"/>
      <c r="AE490" s="313"/>
      <c r="AF490" s="313"/>
      <c r="AG490" s="313"/>
      <c r="AH490" s="313"/>
      <c r="AI490" s="313"/>
      <c r="AJ490" s="313"/>
      <c r="AK490" s="313"/>
      <c r="AL490" s="313"/>
      <c r="AM490" s="313"/>
      <c r="AN490" s="313"/>
      <c r="AO490" s="313"/>
      <c r="AP490" s="313"/>
      <c r="AQ490" s="313"/>
      <c r="AR490" s="313"/>
      <c r="AS490" s="313"/>
      <c r="AT490" s="313"/>
      <c r="AU490" s="313"/>
      <c r="AV490" s="313"/>
      <c r="AW490" s="313"/>
      <c r="AX490" s="313"/>
      <c r="AY490" s="313"/>
      <c r="AZ490" s="313"/>
      <c r="BA490" s="313"/>
      <c r="BB490" s="313"/>
      <c r="BC490" s="313"/>
      <c r="BD490" s="313"/>
      <c r="BE490" s="313"/>
      <c r="BF490" s="313"/>
      <c r="BG490" s="313"/>
      <c r="BH490" s="313"/>
      <c r="BI490" s="313"/>
      <c r="BJ490" s="313"/>
      <c r="BK490" s="313"/>
      <c r="BL490" s="313"/>
      <c r="BM490" s="313"/>
      <c r="BN490" s="313"/>
      <c r="BO490" s="313"/>
      <c r="BP490" s="313"/>
      <c r="BQ490" s="313"/>
    </row>
    <row r="491">
      <c r="A491" s="352" t="s">
        <v>10581</v>
      </c>
      <c r="B491" s="353"/>
      <c r="C491" s="354">
        <v>44223.0</v>
      </c>
      <c r="D491" s="353"/>
      <c r="E491" s="355" t="s">
        <v>41</v>
      </c>
      <c r="F491" s="355">
        <v>1.0</v>
      </c>
      <c r="G491" s="355">
        <v>1.0</v>
      </c>
      <c r="H491" s="356">
        <v>1.0</v>
      </c>
      <c r="I491" s="355" t="s">
        <v>33</v>
      </c>
      <c r="J491" s="355" t="s">
        <v>460</v>
      </c>
      <c r="K491" s="353"/>
      <c r="L491" s="357" t="s">
        <v>10582</v>
      </c>
      <c r="M491" s="358" t="s">
        <v>10583</v>
      </c>
      <c r="N491" s="359"/>
      <c r="O491" s="360"/>
      <c r="P491" s="360"/>
      <c r="Q491" s="361"/>
      <c r="R491" s="360"/>
      <c r="S491" s="360"/>
      <c r="T491" s="362"/>
      <c r="U491" s="363"/>
      <c r="V491" s="364" t="s">
        <v>33</v>
      </c>
      <c r="W491" s="365"/>
      <c r="X491" s="365"/>
      <c r="Y491" s="366"/>
      <c r="Z491" s="362"/>
      <c r="AA491" s="362"/>
      <c r="AB491" s="362"/>
      <c r="AC491" s="362"/>
      <c r="AD491" s="362"/>
      <c r="AE491" s="362"/>
      <c r="AF491" s="362"/>
      <c r="AG491" s="362"/>
      <c r="AH491" s="362"/>
      <c r="AI491" s="362"/>
      <c r="AJ491" s="362"/>
      <c r="AK491" s="362"/>
      <c r="AL491" s="362"/>
      <c r="AM491" s="362"/>
      <c r="AN491" s="362"/>
      <c r="AO491" s="362"/>
      <c r="AP491" s="362"/>
      <c r="AQ491" s="362"/>
      <c r="AR491" s="362"/>
      <c r="AS491" s="362"/>
      <c r="AT491" s="362"/>
      <c r="AU491" s="362"/>
      <c r="AV491" s="362"/>
      <c r="AW491" s="362"/>
      <c r="AX491" s="362"/>
      <c r="AY491" s="362"/>
      <c r="AZ491" s="362"/>
      <c r="BA491" s="362"/>
      <c r="BB491" s="362"/>
      <c r="BC491" s="362"/>
      <c r="BD491" s="362"/>
      <c r="BE491" s="362"/>
      <c r="BF491" s="362"/>
      <c r="BG491" s="362"/>
      <c r="BH491" s="362"/>
      <c r="BI491" s="362"/>
      <c r="BJ491" s="362"/>
      <c r="BK491" s="362"/>
      <c r="BL491" s="362"/>
      <c r="BM491" s="362"/>
      <c r="BN491" s="362"/>
      <c r="BO491" s="362"/>
      <c r="BP491" s="362"/>
      <c r="BQ491" s="362"/>
    </row>
    <row r="492">
      <c r="A492" s="352" t="s">
        <v>10584</v>
      </c>
      <c r="B492" s="353"/>
      <c r="C492" s="354">
        <v>44224.0</v>
      </c>
      <c r="D492" s="353"/>
      <c r="E492" s="355" t="s">
        <v>41</v>
      </c>
      <c r="F492" s="355">
        <v>1.0</v>
      </c>
      <c r="G492" s="355" t="s">
        <v>32</v>
      </c>
      <c r="H492" s="356">
        <v>1.0</v>
      </c>
      <c r="I492" s="355" t="s">
        <v>33</v>
      </c>
      <c r="J492" s="355" t="s">
        <v>147</v>
      </c>
      <c r="K492" s="353"/>
      <c r="L492" s="357" t="s">
        <v>10585</v>
      </c>
      <c r="M492" s="367" t="s">
        <v>10586</v>
      </c>
      <c r="N492" s="359"/>
      <c r="O492" s="360"/>
      <c r="P492" s="360"/>
      <c r="Q492" s="361"/>
      <c r="R492" s="360"/>
      <c r="S492" s="360"/>
      <c r="T492" s="362"/>
      <c r="U492" s="363"/>
      <c r="V492" s="364" t="s">
        <v>3919</v>
      </c>
      <c r="W492" s="365"/>
      <c r="X492" s="365"/>
      <c r="Y492" s="366"/>
      <c r="Z492" s="362"/>
      <c r="AA492" s="362"/>
      <c r="AB492" s="362"/>
      <c r="AC492" s="362"/>
      <c r="AD492" s="362"/>
      <c r="AE492" s="362"/>
      <c r="AF492" s="362"/>
      <c r="AG492" s="362"/>
      <c r="AH492" s="362"/>
      <c r="AI492" s="362"/>
      <c r="AJ492" s="362"/>
      <c r="AK492" s="362"/>
      <c r="AL492" s="362"/>
      <c r="AM492" s="362"/>
      <c r="AN492" s="362"/>
      <c r="AO492" s="362"/>
      <c r="AP492" s="362"/>
      <c r="AQ492" s="362"/>
      <c r="AR492" s="362"/>
      <c r="AS492" s="362"/>
      <c r="AT492" s="362"/>
      <c r="AU492" s="362"/>
      <c r="AV492" s="362"/>
      <c r="AW492" s="362"/>
      <c r="AX492" s="362"/>
      <c r="AY492" s="362"/>
      <c r="AZ492" s="362"/>
      <c r="BA492" s="362"/>
      <c r="BB492" s="362"/>
      <c r="BC492" s="362"/>
      <c r="BD492" s="362"/>
      <c r="BE492" s="362"/>
      <c r="BF492" s="362"/>
      <c r="BG492" s="362"/>
      <c r="BH492" s="362"/>
      <c r="BI492" s="362"/>
      <c r="BJ492" s="362"/>
      <c r="BK492" s="362"/>
      <c r="BL492" s="362"/>
      <c r="BM492" s="362"/>
      <c r="BN492" s="362"/>
      <c r="BO492" s="362"/>
      <c r="BP492" s="362"/>
      <c r="BQ492" s="362"/>
    </row>
    <row r="493">
      <c r="A493" s="352" t="s">
        <v>10587</v>
      </c>
      <c r="B493" s="353"/>
      <c r="C493" s="354">
        <v>44225.0</v>
      </c>
      <c r="D493" s="353"/>
      <c r="E493" s="355" t="s">
        <v>41</v>
      </c>
      <c r="F493" s="355">
        <v>1.0</v>
      </c>
      <c r="G493" s="355" t="s">
        <v>32</v>
      </c>
      <c r="H493" s="356">
        <v>1.0</v>
      </c>
      <c r="I493" s="355" t="s">
        <v>33</v>
      </c>
      <c r="J493" s="355" t="s">
        <v>288</v>
      </c>
      <c r="K493" s="353"/>
      <c r="L493" s="357" t="s">
        <v>10442</v>
      </c>
      <c r="M493" s="367" t="s">
        <v>10588</v>
      </c>
      <c r="N493" s="359"/>
      <c r="O493" s="360"/>
      <c r="P493" s="360"/>
      <c r="Q493" s="361"/>
      <c r="R493" s="360"/>
      <c r="S493" s="360"/>
      <c r="T493" s="362"/>
      <c r="U493" s="363"/>
      <c r="V493" s="364" t="s">
        <v>10589</v>
      </c>
      <c r="W493" s="365"/>
      <c r="X493" s="365"/>
      <c r="Y493" s="366"/>
      <c r="Z493" s="362"/>
      <c r="AA493" s="362"/>
      <c r="AB493" s="362"/>
      <c r="AC493" s="362"/>
      <c r="AD493" s="362"/>
      <c r="AE493" s="362"/>
      <c r="AF493" s="362"/>
      <c r="AG493" s="362"/>
      <c r="AH493" s="362"/>
      <c r="AI493" s="362"/>
      <c r="AJ493" s="362"/>
      <c r="AK493" s="362"/>
      <c r="AL493" s="362"/>
      <c r="AM493" s="362"/>
      <c r="AN493" s="362"/>
      <c r="AO493" s="362"/>
      <c r="AP493" s="362"/>
      <c r="AQ493" s="362"/>
      <c r="AR493" s="362"/>
      <c r="AS493" s="362"/>
      <c r="AT493" s="362"/>
      <c r="AU493" s="362"/>
      <c r="AV493" s="362"/>
      <c r="AW493" s="362"/>
      <c r="AX493" s="362"/>
      <c r="AY493" s="362"/>
      <c r="AZ493" s="362"/>
      <c r="BA493" s="362"/>
      <c r="BB493" s="362"/>
      <c r="BC493" s="362"/>
      <c r="BD493" s="362"/>
      <c r="BE493" s="362"/>
      <c r="BF493" s="362"/>
      <c r="BG493" s="362"/>
      <c r="BH493" s="362"/>
      <c r="BI493" s="362"/>
      <c r="BJ493" s="362"/>
      <c r="BK493" s="362"/>
      <c r="BL493" s="362"/>
      <c r="BM493" s="362"/>
      <c r="BN493" s="362"/>
      <c r="BO493" s="362"/>
      <c r="BP493" s="362"/>
      <c r="BQ493" s="362"/>
    </row>
    <row r="494">
      <c r="A494" s="352" t="s">
        <v>10590</v>
      </c>
      <c r="B494" s="353"/>
      <c r="C494" s="354">
        <v>44229.0</v>
      </c>
      <c r="D494" s="353"/>
      <c r="E494" s="355" t="s">
        <v>41</v>
      </c>
      <c r="F494" s="355">
        <v>1.0</v>
      </c>
      <c r="G494" s="355" t="s">
        <v>32</v>
      </c>
      <c r="H494" s="356">
        <v>1.0</v>
      </c>
      <c r="I494" s="355" t="s">
        <v>33</v>
      </c>
      <c r="J494" s="355" t="s">
        <v>147</v>
      </c>
      <c r="K494" s="353"/>
      <c r="L494" s="357" t="s">
        <v>10442</v>
      </c>
      <c r="M494" s="367" t="s">
        <v>10591</v>
      </c>
      <c r="N494" s="359"/>
      <c r="O494" s="360"/>
      <c r="P494" s="360"/>
      <c r="Q494" s="361"/>
      <c r="R494" s="360"/>
      <c r="S494" s="360"/>
      <c r="T494" s="362"/>
      <c r="U494" s="363"/>
      <c r="V494" s="364" t="s">
        <v>33</v>
      </c>
      <c r="W494" s="365"/>
      <c r="X494" s="365"/>
      <c r="Y494" s="366"/>
      <c r="Z494" s="362"/>
      <c r="AA494" s="362"/>
      <c r="AB494" s="362"/>
      <c r="AC494" s="362"/>
      <c r="AD494" s="362"/>
      <c r="AE494" s="362"/>
      <c r="AF494" s="362"/>
      <c r="AG494" s="362"/>
      <c r="AH494" s="362"/>
      <c r="AI494" s="362"/>
      <c r="AJ494" s="362"/>
      <c r="AK494" s="362"/>
      <c r="AL494" s="362"/>
      <c r="AM494" s="362"/>
      <c r="AN494" s="362"/>
      <c r="AO494" s="362"/>
      <c r="AP494" s="362"/>
      <c r="AQ494" s="362"/>
      <c r="AR494" s="362"/>
      <c r="AS494" s="362"/>
      <c r="AT494" s="362"/>
      <c r="AU494" s="362"/>
      <c r="AV494" s="362"/>
      <c r="AW494" s="362"/>
      <c r="AX494" s="362"/>
      <c r="AY494" s="362"/>
      <c r="AZ494" s="362"/>
      <c r="BA494" s="362"/>
      <c r="BB494" s="362"/>
      <c r="BC494" s="362"/>
      <c r="BD494" s="362"/>
      <c r="BE494" s="362"/>
      <c r="BF494" s="362"/>
      <c r="BG494" s="362"/>
      <c r="BH494" s="362"/>
      <c r="BI494" s="362"/>
      <c r="BJ494" s="362"/>
      <c r="BK494" s="362"/>
      <c r="BL494" s="362"/>
      <c r="BM494" s="362"/>
      <c r="BN494" s="362"/>
      <c r="BO494" s="362"/>
      <c r="BP494" s="362"/>
      <c r="BQ494" s="362"/>
    </row>
    <row r="495">
      <c r="A495" s="352" t="s">
        <v>10592</v>
      </c>
      <c r="B495" s="353"/>
      <c r="C495" s="354">
        <v>44230.0</v>
      </c>
      <c r="D495" s="353"/>
      <c r="E495" s="355" t="s">
        <v>41</v>
      </c>
      <c r="F495" s="355">
        <v>1.0</v>
      </c>
      <c r="G495" s="355" t="s">
        <v>32</v>
      </c>
      <c r="H495" s="356">
        <v>1.0</v>
      </c>
      <c r="I495" s="355" t="s">
        <v>33</v>
      </c>
      <c r="J495" s="355" t="s">
        <v>147</v>
      </c>
      <c r="K495" s="353"/>
      <c r="L495" s="357" t="s">
        <v>10442</v>
      </c>
      <c r="M495" s="367" t="s">
        <v>10593</v>
      </c>
      <c r="N495" s="359"/>
      <c r="O495" s="360"/>
      <c r="P495" s="360"/>
      <c r="Q495" s="361"/>
      <c r="R495" s="360"/>
      <c r="S495" s="360"/>
      <c r="T495" s="362"/>
      <c r="U495" s="363"/>
      <c r="V495" s="364" t="s">
        <v>33</v>
      </c>
      <c r="W495" s="365"/>
      <c r="X495" s="365"/>
      <c r="Y495" s="366"/>
      <c r="Z495" s="362"/>
      <c r="AA495" s="362"/>
      <c r="AB495" s="362"/>
      <c r="AC495" s="362"/>
      <c r="AD495" s="362"/>
      <c r="AE495" s="362"/>
      <c r="AF495" s="362"/>
      <c r="AG495" s="362"/>
      <c r="AH495" s="362"/>
      <c r="AI495" s="362"/>
      <c r="AJ495" s="362"/>
      <c r="AK495" s="362"/>
      <c r="AL495" s="362"/>
      <c r="AM495" s="362"/>
      <c r="AN495" s="362"/>
      <c r="AO495" s="362"/>
      <c r="AP495" s="362"/>
      <c r="AQ495" s="362"/>
      <c r="AR495" s="362"/>
      <c r="AS495" s="362"/>
      <c r="AT495" s="362"/>
      <c r="AU495" s="362"/>
      <c r="AV495" s="362"/>
      <c r="AW495" s="362"/>
      <c r="AX495" s="362"/>
      <c r="AY495" s="362"/>
      <c r="AZ495" s="362"/>
      <c r="BA495" s="362"/>
      <c r="BB495" s="362"/>
      <c r="BC495" s="362"/>
      <c r="BD495" s="362"/>
      <c r="BE495" s="362"/>
      <c r="BF495" s="362"/>
      <c r="BG495" s="362"/>
      <c r="BH495" s="362"/>
      <c r="BI495" s="362"/>
      <c r="BJ495" s="362"/>
      <c r="BK495" s="362"/>
      <c r="BL495" s="362"/>
      <c r="BM495" s="362"/>
      <c r="BN495" s="362"/>
      <c r="BO495" s="362"/>
      <c r="BP495" s="362"/>
      <c r="BQ495" s="362"/>
    </row>
    <row r="496">
      <c r="A496" s="352" t="s">
        <v>10594</v>
      </c>
      <c r="B496" s="353"/>
      <c r="C496" s="354">
        <v>44230.0</v>
      </c>
      <c r="D496" s="353"/>
      <c r="E496" s="355" t="s">
        <v>41</v>
      </c>
      <c r="F496" s="355">
        <v>1.0</v>
      </c>
      <c r="G496" s="355" t="s">
        <v>32</v>
      </c>
      <c r="H496" s="356">
        <v>1.0</v>
      </c>
      <c r="I496" s="355" t="s">
        <v>33</v>
      </c>
      <c r="J496" s="355" t="s">
        <v>115</v>
      </c>
      <c r="K496" s="353"/>
      <c r="L496" s="357" t="s">
        <v>9433</v>
      </c>
      <c r="M496" s="367" t="s">
        <v>10595</v>
      </c>
      <c r="N496" s="359"/>
      <c r="O496" s="360"/>
      <c r="P496" s="360"/>
      <c r="Q496" s="361"/>
      <c r="R496" s="360"/>
      <c r="S496" s="360"/>
      <c r="T496" s="362"/>
      <c r="U496" s="363"/>
      <c r="V496" s="364" t="s">
        <v>33</v>
      </c>
      <c r="W496" s="365"/>
      <c r="X496" s="365"/>
      <c r="Y496" s="366"/>
      <c r="Z496" s="362"/>
      <c r="AA496" s="362"/>
      <c r="AB496" s="362"/>
      <c r="AC496" s="362"/>
      <c r="AD496" s="362"/>
      <c r="AE496" s="362"/>
      <c r="AF496" s="362"/>
      <c r="AG496" s="362"/>
      <c r="AH496" s="362"/>
      <c r="AI496" s="362"/>
      <c r="AJ496" s="362"/>
      <c r="AK496" s="362"/>
      <c r="AL496" s="362"/>
      <c r="AM496" s="362"/>
      <c r="AN496" s="362"/>
      <c r="AO496" s="362"/>
      <c r="AP496" s="362"/>
      <c r="AQ496" s="362"/>
      <c r="AR496" s="362"/>
      <c r="AS496" s="362"/>
      <c r="AT496" s="362"/>
      <c r="AU496" s="362"/>
      <c r="AV496" s="362"/>
      <c r="AW496" s="362"/>
      <c r="AX496" s="362"/>
      <c r="AY496" s="362"/>
      <c r="AZ496" s="362"/>
      <c r="BA496" s="362"/>
      <c r="BB496" s="362"/>
      <c r="BC496" s="362"/>
      <c r="BD496" s="362"/>
      <c r="BE496" s="362"/>
      <c r="BF496" s="362"/>
      <c r="BG496" s="362"/>
      <c r="BH496" s="362"/>
      <c r="BI496" s="362"/>
      <c r="BJ496" s="362"/>
      <c r="BK496" s="362"/>
      <c r="BL496" s="362"/>
      <c r="BM496" s="362"/>
      <c r="BN496" s="362"/>
      <c r="BO496" s="362"/>
      <c r="BP496" s="362"/>
      <c r="BQ496" s="362"/>
    </row>
    <row r="497">
      <c r="A497" s="352" t="s">
        <v>10596</v>
      </c>
      <c r="B497" s="353"/>
      <c r="C497" s="354">
        <v>44232.0</v>
      </c>
      <c r="D497" s="353"/>
      <c r="E497" s="355" t="s">
        <v>41</v>
      </c>
      <c r="F497" s="355">
        <v>1.0</v>
      </c>
      <c r="G497" s="355" t="s">
        <v>32</v>
      </c>
      <c r="H497" s="356">
        <v>1.0</v>
      </c>
      <c r="I497" s="355" t="s">
        <v>33</v>
      </c>
      <c r="J497" s="355" t="s">
        <v>318</v>
      </c>
      <c r="K497" s="353"/>
      <c r="L497" s="357" t="s">
        <v>7593</v>
      </c>
      <c r="M497" s="367" t="s">
        <v>10597</v>
      </c>
      <c r="N497" s="359"/>
      <c r="O497" s="360"/>
      <c r="P497" s="360"/>
      <c r="Q497" s="361"/>
      <c r="R497" s="360"/>
      <c r="S497" s="360"/>
      <c r="T497" s="362"/>
      <c r="U497" s="363"/>
      <c r="V497" s="364" t="s">
        <v>33</v>
      </c>
      <c r="W497" s="365"/>
      <c r="X497" s="365"/>
      <c r="Y497" s="366"/>
      <c r="Z497" s="362"/>
      <c r="AA497" s="362"/>
      <c r="AB497" s="362"/>
      <c r="AC497" s="362"/>
      <c r="AD497" s="362"/>
      <c r="AE497" s="362"/>
      <c r="AF497" s="362"/>
      <c r="AG497" s="362"/>
      <c r="AH497" s="362"/>
      <c r="AI497" s="362"/>
      <c r="AJ497" s="362"/>
      <c r="AK497" s="362"/>
      <c r="AL497" s="362"/>
      <c r="AM497" s="362"/>
      <c r="AN497" s="362"/>
      <c r="AO497" s="362"/>
      <c r="AP497" s="362"/>
      <c r="AQ497" s="362"/>
      <c r="AR497" s="362"/>
      <c r="AS497" s="362"/>
      <c r="AT497" s="362"/>
      <c r="AU497" s="362"/>
      <c r="AV497" s="362"/>
      <c r="AW497" s="362"/>
      <c r="AX497" s="362"/>
      <c r="AY497" s="362"/>
      <c r="AZ497" s="362"/>
      <c r="BA497" s="362"/>
      <c r="BB497" s="362"/>
      <c r="BC497" s="362"/>
      <c r="BD497" s="362"/>
      <c r="BE497" s="362"/>
      <c r="BF497" s="362"/>
      <c r="BG497" s="362"/>
      <c r="BH497" s="362"/>
      <c r="BI497" s="362"/>
      <c r="BJ497" s="362"/>
      <c r="BK497" s="362"/>
      <c r="BL497" s="362"/>
      <c r="BM497" s="362"/>
      <c r="BN497" s="362"/>
      <c r="BO497" s="362"/>
      <c r="BP497" s="362"/>
      <c r="BQ497" s="362"/>
    </row>
    <row r="498">
      <c r="A498" s="352" t="s">
        <v>10598</v>
      </c>
      <c r="B498" s="353"/>
      <c r="C498" s="354">
        <v>44232.0</v>
      </c>
      <c r="D498" s="353"/>
      <c r="E498" s="355" t="s">
        <v>41</v>
      </c>
      <c r="F498" s="355">
        <v>1.0</v>
      </c>
      <c r="G498" s="355" t="s">
        <v>32</v>
      </c>
      <c r="H498" s="356">
        <v>1.0</v>
      </c>
      <c r="I498" s="355" t="s">
        <v>33</v>
      </c>
      <c r="J498" s="355" t="s">
        <v>318</v>
      </c>
      <c r="K498" s="353"/>
      <c r="L498" s="357" t="s">
        <v>7593</v>
      </c>
      <c r="M498" s="358" t="s">
        <v>10597</v>
      </c>
      <c r="N498" s="359"/>
      <c r="O498" s="360"/>
      <c r="P498" s="360"/>
      <c r="Q498" s="361"/>
      <c r="R498" s="360"/>
      <c r="S498" s="360"/>
      <c r="T498" s="362"/>
      <c r="U498" s="363"/>
      <c r="V498" s="364" t="s">
        <v>33</v>
      </c>
      <c r="W498" s="365"/>
      <c r="X498" s="365"/>
      <c r="Y498" s="366"/>
      <c r="Z498" s="362"/>
      <c r="AA498" s="362"/>
      <c r="AB498" s="362"/>
      <c r="AC498" s="362"/>
      <c r="AD498" s="362"/>
      <c r="AE498" s="362"/>
      <c r="AF498" s="362"/>
      <c r="AG498" s="362"/>
      <c r="AH498" s="362"/>
      <c r="AI498" s="362"/>
      <c r="AJ498" s="362"/>
      <c r="AK498" s="362"/>
      <c r="AL498" s="362"/>
      <c r="AM498" s="362"/>
      <c r="AN498" s="362"/>
      <c r="AO498" s="362"/>
      <c r="AP498" s="362"/>
      <c r="AQ498" s="362"/>
      <c r="AR498" s="362"/>
      <c r="AS498" s="362"/>
      <c r="AT498" s="362"/>
      <c r="AU498" s="362"/>
      <c r="AV498" s="362"/>
      <c r="AW498" s="362"/>
      <c r="AX498" s="362"/>
      <c r="AY498" s="362"/>
      <c r="AZ498" s="362"/>
      <c r="BA498" s="362"/>
      <c r="BB498" s="362"/>
      <c r="BC498" s="362"/>
      <c r="BD498" s="362"/>
      <c r="BE498" s="362"/>
      <c r="BF498" s="362"/>
      <c r="BG498" s="362"/>
      <c r="BH498" s="362"/>
      <c r="BI498" s="362"/>
      <c r="BJ498" s="362"/>
      <c r="BK498" s="362"/>
      <c r="BL498" s="362"/>
      <c r="BM498" s="362"/>
      <c r="BN498" s="362"/>
      <c r="BO498" s="362"/>
      <c r="BP498" s="362"/>
      <c r="BQ498" s="362"/>
    </row>
    <row r="499">
      <c r="A499" s="352" t="s">
        <v>239</v>
      </c>
      <c r="B499" s="353"/>
      <c r="C499" s="354">
        <v>44235.0</v>
      </c>
      <c r="D499" s="353"/>
      <c r="E499" s="355" t="s">
        <v>41</v>
      </c>
      <c r="F499" s="355">
        <v>1.0</v>
      </c>
      <c r="G499" s="355" t="s">
        <v>32</v>
      </c>
      <c r="H499" s="356">
        <v>1.0</v>
      </c>
      <c r="I499" s="355" t="s">
        <v>33</v>
      </c>
      <c r="J499" s="355" t="s">
        <v>504</v>
      </c>
      <c r="K499" s="353"/>
      <c r="L499" s="357" t="s">
        <v>10442</v>
      </c>
      <c r="M499" s="358" t="s">
        <v>10599</v>
      </c>
      <c r="N499" s="359"/>
      <c r="O499" s="360"/>
      <c r="P499" s="360"/>
      <c r="Q499" s="361"/>
      <c r="R499" s="360"/>
      <c r="S499" s="360"/>
      <c r="T499" s="362"/>
      <c r="U499" s="363"/>
      <c r="V499" s="364" t="s">
        <v>33</v>
      </c>
      <c r="W499" s="365"/>
      <c r="X499" s="365"/>
      <c r="Y499" s="366"/>
      <c r="Z499" s="362"/>
      <c r="AA499" s="362"/>
      <c r="AB499" s="362"/>
      <c r="AC499" s="362"/>
      <c r="AD499" s="362"/>
      <c r="AE499" s="362"/>
      <c r="AF499" s="362"/>
      <c r="AG499" s="362"/>
      <c r="AH499" s="362"/>
      <c r="AI499" s="362"/>
      <c r="AJ499" s="362"/>
      <c r="AK499" s="362"/>
      <c r="AL499" s="362"/>
      <c r="AM499" s="362"/>
      <c r="AN499" s="362"/>
      <c r="AO499" s="362"/>
      <c r="AP499" s="362"/>
      <c r="AQ499" s="362"/>
      <c r="AR499" s="362"/>
      <c r="AS499" s="362"/>
      <c r="AT499" s="362"/>
      <c r="AU499" s="362"/>
      <c r="AV499" s="362"/>
      <c r="AW499" s="362"/>
      <c r="AX499" s="362"/>
      <c r="AY499" s="362"/>
      <c r="AZ499" s="362"/>
      <c r="BA499" s="362"/>
      <c r="BB499" s="362"/>
      <c r="BC499" s="362"/>
      <c r="BD499" s="362"/>
      <c r="BE499" s="362"/>
      <c r="BF499" s="362"/>
      <c r="BG499" s="362"/>
      <c r="BH499" s="362"/>
      <c r="BI499" s="362"/>
      <c r="BJ499" s="362"/>
      <c r="BK499" s="362"/>
      <c r="BL499" s="362"/>
      <c r="BM499" s="362"/>
      <c r="BN499" s="362"/>
      <c r="BO499" s="362"/>
      <c r="BP499" s="362"/>
      <c r="BQ499" s="362"/>
    </row>
    <row r="500">
      <c r="A500" s="352" t="s">
        <v>239</v>
      </c>
      <c r="B500" s="353"/>
      <c r="C500" s="354">
        <v>44236.0</v>
      </c>
      <c r="D500" s="353"/>
      <c r="E500" s="355" t="s">
        <v>41</v>
      </c>
      <c r="F500" s="355">
        <v>1.0</v>
      </c>
      <c r="G500" s="355" t="s">
        <v>32</v>
      </c>
      <c r="H500" s="356">
        <v>1.0</v>
      </c>
      <c r="I500" s="355" t="s">
        <v>33</v>
      </c>
      <c r="J500" s="355" t="s">
        <v>111</v>
      </c>
      <c r="K500" s="353"/>
      <c r="L500" s="357" t="s">
        <v>10600</v>
      </c>
      <c r="M500" s="358" t="s">
        <v>10599</v>
      </c>
      <c r="N500" s="359"/>
      <c r="O500" s="360"/>
      <c r="P500" s="360"/>
      <c r="Q500" s="361"/>
      <c r="R500" s="360"/>
      <c r="S500" s="360"/>
      <c r="T500" s="362"/>
      <c r="U500" s="363"/>
      <c r="V500" s="364" t="s">
        <v>33</v>
      </c>
      <c r="W500" s="365"/>
      <c r="X500" s="365"/>
      <c r="Y500" s="366"/>
      <c r="Z500" s="362"/>
      <c r="AA500" s="362"/>
      <c r="AB500" s="362"/>
      <c r="AC500" s="362"/>
      <c r="AD500" s="362"/>
      <c r="AE500" s="362"/>
      <c r="AF500" s="362"/>
      <c r="AG500" s="362"/>
      <c r="AH500" s="362"/>
      <c r="AI500" s="362"/>
      <c r="AJ500" s="362"/>
      <c r="AK500" s="362"/>
      <c r="AL500" s="362"/>
      <c r="AM500" s="362"/>
      <c r="AN500" s="362"/>
      <c r="AO500" s="362"/>
      <c r="AP500" s="362"/>
      <c r="AQ500" s="362"/>
      <c r="AR500" s="362"/>
      <c r="AS500" s="362"/>
      <c r="AT500" s="362"/>
      <c r="AU500" s="362"/>
      <c r="AV500" s="362"/>
      <c r="AW500" s="362"/>
      <c r="AX500" s="362"/>
      <c r="AY500" s="362"/>
      <c r="AZ500" s="362"/>
      <c r="BA500" s="362"/>
      <c r="BB500" s="362"/>
      <c r="BC500" s="362"/>
      <c r="BD500" s="362"/>
      <c r="BE500" s="362"/>
      <c r="BF500" s="362"/>
      <c r="BG500" s="362"/>
      <c r="BH500" s="362"/>
      <c r="BI500" s="362"/>
      <c r="BJ500" s="362"/>
      <c r="BK500" s="362"/>
      <c r="BL500" s="362"/>
      <c r="BM500" s="362"/>
      <c r="BN500" s="362"/>
      <c r="BO500" s="362"/>
      <c r="BP500" s="362"/>
      <c r="BQ500" s="362"/>
    </row>
    <row r="501">
      <c r="A501" s="352" t="s">
        <v>10601</v>
      </c>
      <c r="B501" s="353"/>
      <c r="C501" s="354">
        <v>44244.0</v>
      </c>
      <c r="D501" s="353"/>
      <c r="E501" s="355" t="s">
        <v>41</v>
      </c>
      <c r="F501" s="355">
        <v>1.0</v>
      </c>
      <c r="G501" s="355" t="s">
        <v>32</v>
      </c>
      <c r="H501" s="356">
        <v>1.0</v>
      </c>
      <c r="I501" s="355" t="s">
        <v>33</v>
      </c>
      <c r="J501" s="355" t="s">
        <v>147</v>
      </c>
      <c r="K501" s="353"/>
      <c r="L501" s="357" t="s">
        <v>10602</v>
      </c>
      <c r="M501" s="358" t="s">
        <v>10603</v>
      </c>
      <c r="N501" s="359"/>
      <c r="O501" s="360"/>
      <c r="P501" s="360"/>
      <c r="Q501" s="361"/>
      <c r="R501" s="360"/>
      <c r="S501" s="360"/>
      <c r="T501" s="362"/>
      <c r="U501" s="363"/>
      <c r="V501" s="364" t="s">
        <v>33</v>
      </c>
      <c r="W501" s="365"/>
      <c r="X501" s="365"/>
      <c r="Y501" s="366"/>
      <c r="Z501" s="362"/>
      <c r="AA501" s="362"/>
      <c r="AB501" s="362"/>
      <c r="AC501" s="362"/>
      <c r="AD501" s="362"/>
      <c r="AE501" s="362"/>
      <c r="AF501" s="362"/>
      <c r="AG501" s="362"/>
      <c r="AH501" s="362"/>
      <c r="AI501" s="362"/>
      <c r="AJ501" s="362"/>
      <c r="AK501" s="362"/>
      <c r="AL501" s="362"/>
      <c r="AM501" s="362"/>
      <c r="AN501" s="362"/>
      <c r="AO501" s="362"/>
      <c r="AP501" s="362"/>
      <c r="AQ501" s="362"/>
      <c r="AR501" s="362"/>
      <c r="AS501" s="362"/>
      <c r="AT501" s="362"/>
      <c r="AU501" s="362"/>
      <c r="AV501" s="362"/>
      <c r="AW501" s="362"/>
      <c r="AX501" s="362"/>
      <c r="AY501" s="362"/>
      <c r="AZ501" s="362"/>
      <c r="BA501" s="362"/>
      <c r="BB501" s="362"/>
      <c r="BC501" s="362"/>
      <c r="BD501" s="362"/>
      <c r="BE501" s="362"/>
      <c r="BF501" s="362"/>
      <c r="BG501" s="362"/>
      <c r="BH501" s="362"/>
      <c r="BI501" s="362"/>
      <c r="BJ501" s="362"/>
      <c r="BK501" s="362"/>
      <c r="BL501" s="362"/>
      <c r="BM501" s="362"/>
      <c r="BN501" s="362"/>
      <c r="BO501" s="362"/>
      <c r="BP501" s="362"/>
      <c r="BQ501" s="362"/>
    </row>
    <row r="502">
      <c r="A502" s="87"/>
      <c r="B502" s="92"/>
      <c r="C502" s="30"/>
      <c r="D502" s="92"/>
      <c r="E502" s="13"/>
      <c r="F502" s="13"/>
      <c r="G502" s="13"/>
      <c r="H502" s="50"/>
      <c r="I502" s="13"/>
      <c r="J502" s="13"/>
      <c r="K502" s="92"/>
      <c r="L502" s="34"/>
      <c r="M502" s="106"/>
      <c r="N502" s="106"/>
      <c r="O502" s="145"/>
      <c r="P502" s="145"/>
      <c r="Q502" s="37"/>
      <c r="R502" s="145"/>
      <c r="S502" s="145"/>
      <c r="T502" s="313"/>
      <c r="U502" s="38"/>
      <c r="V502" s="38"/>
      <c r="W502" s="40"/>
      <c r="X502" s="40"/>
      <c r="Y502" s="349"/>
      <c r="Z502" s="313"/>
      <c r="AA502" s="313"/>
      <c r="AB502" s="313"/>
      <c r="AC502" s="313"/>
      <c r="AD502" s="313"/>
      <c r="AE502" s="313"/>
      <c r="AF502" s="313"/>
      <c r="AG502" s="313"/>
      <c r="AH502" s="313"/>
      <c r="AI502" s="313"/>
      <c r="AJ502" s="313"/>
      <c r="AK502" s="313"/>
      <c r="AL502" s="313"/>
      <c r="AM502" s="313"/>
      <c r="AN502" s="313"/>
      <c r="AO502" s="313"/>
      <c r="AP502" s="313"/>
      <c r="AQ502" s="313"/>
      <c r="AR502" s="313"/>
      <c r="AS502" s="313"/>
      <c r="AT502" s="313"/>
      <c r="AU502" s="313"/>
      <c r="AV502" s="313"/>
      <c r="AW502" s="313"/>
      <c r="AX502" s="313"/>
      <c r="AY502" s="313"/>
      <c r="AZ502" s="313"/>
      <c r="BA502" s="313"/>
      <c r="BB502" s="313"/>
      <c r="BC502" s="313"/>
      <c r="BD502" s="313"/>
      <c r="BE502" s="313"/>
      <c r="BF502" s="313"/>
      <c r="BG502" s="313"/>
      <c r="BH502" s="313"/>
      <c r="BI502" s="313"/>
      <c r="BJ502" s="313"/>
      <c r="BK502" s="313"/>
      <c r="BL502" s="313"/>
      <c r="BM502" s="313"/>
      <c r="BN502" s="313"/>
      <c r="BO502" s="313"/>
      <c r="BP502" s="313"/>
      <c r="BQ502" s="313"/>
    </row>
    <row r="503">
      <c r="A503" s="37"/>
      <c r="B503" s="318"/>
      <c r="C503" s="318"/>
      <c r="D503" s="144"/>
      <c r="E503" s="37"/>
      <c r="F503" s="37"/>
      <c r="G503" s="37"/>
      <c r="H503" s="33" t="str">
        <f t="shared" ref="H503:H3005" si="33">if(G503="Unknown",1,G503)</f>
        <v/>
      </c>
      <c r="I503" s="37"/>
      <c r="J503" s="37"/>
      <c r="K503" s="37"/>
      <c r="L503" s="37"/>
      <c r="M503" s="14"/>
      <c r="N503" s="15"/>
      <c r="O503" s="16"/>
      <c r="P503" s="37"/>
      <c r="Q503" s="64"/>
      <c r="R503" s="16"/>
      <c r="S503" s="37" t="str">
        <f>IFERROR(__xludf.DUMMYFUNCTION("if(not(iserror(index(split(C503, "" ""),2))), index(split(C503, "" ""),1),"""")"),"")</f>
        <v/>
      </c>
      <c r="T503" s="38" t="str">
        <f>IFERROR(__xludf.DUMMYFUNCTION("if(S503="""",C503,if(not(iserror(index(split(C503, "" ""),3))), index(split(C503, "" ""),3),index(split(C503, "" ""),2)))"),"")</f>
        <v/>
      </c>
      <c r="U503" s="38" t="b">
        <f t="shared" ref="U503:U3006" si="34">countif(A$5:A3006, A503)&gt;1</f>
        <v>0</v>
      </c>
      <c r="V503" s="38"/>
      <c r="W503" s="40"/>
      <c r="X503" s="40"/>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row>
    <row r="504">
      <c r="A504" s="37"/>
      <c r="B504" s="322"/>
      <c r="C504" s="318" t="s">
        <v>9345</v>
      </c>
      <c r="D504" s="144"/>
      <c r="E504" s="37"/>
      <c r="F504" s="318">
        <f>sum(F10:F503)</f>
        <v>497</v>
      </c>
      <c r="G504" s="318">
        <f>sum(H10:H503)</f>
        <v>601</v>
      </c>
      <c r="H504" s="33">
        <f t="shared" si="33"/>
        <v>601</v>
      </c>
      <c r="I504" s="37"/>
      <c r="J504" s="37"/>
      <c r="K504" s="37"/>
      <c r="L504" s="37"/>
      <c r="M504" s="14"/>
      <c r="N504" s="15"/>
      <c r="O504" s="16"/>
      <c r="P504" s="37"/>
      <c r="Q504" s="64"/>
      <c r="R504" s="16"/>
      <c r="S504" s="37" t="str">
        <f>IFERROR(__xludf.DUMMYFUNCTION("if(not(iserror(index(split(C504, "" ""),2))), index(split(C504, "" ""),1),"""")"),"")</f>
        <v/>
      </c>
      <c r="T504" s="38" t="str">
        <f>IFERROR(__xludf.DUMMYFUNCTION("if(S504="""",C504,if(not(iserror(index(split(C504, "" ""),3))), index(split(C504, "" ""),3),index(split(C504, "" ""),2)))"),"Totals")</f>
        <v>Totals</v>
      </c>
      <c r="U504" s="38" t="b">
        <f t="shared" si="34"/>
        <v>0</v>
      </c>
      <c r="V504" s="38"/>
      <c r="W504" s="40"/>
      <c r="X504" s="40"/>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row>
    <row r="505">
      <c r="A505" s="37"/>
      <c r="B505" s="322"/>
      <c r="C505" s="144"/>
      <c r="D505" s="144"/>
      <c r="E505" s="37"/>
      <c r="F505" s="37"/>
      <c r="G505" s="37"/>
      <c r="H505" s="33" t="str">
        <f t="shared" si="33"/>
        <v/>
      </c>
      <c r="I505" s="37"/>
      <c r="J505" s="37"/>
      <c r="K505" s="37"/>
      <c r="L505" s="37"/>
      <c r="M505" s="14"/>
      <c r="N505" s="15"/>
      <c r="O505" s="16"/>
      <c r="P505" s="16"/>
      <c r="Q505" s="16"/>
      <c r="R505" s="16"/>
      <c r="S505" s="37" t="str">
        <f>IFERROR(__xludf.DUMMYFUNCTION("if(not(iserror(index(split(C505, "" ""),2))), index(split(C505, "" ""),1),"""")"),"")</f>
        <v/>
      </c>
      <c r="T505" s="315" t="str">
        <f>IFERROR(__xludf.DUMMYFUNCTION("if(S505="""",C505,if(not(iserror(index(split(C505, "" ""),3))), index(split(C505, "" ""),3),index(split(C505, "" ""),2)))"),"")</f>
        <v/>
      </c>
      <c r="U505" s="38" t="b">
        <f t="shared" si="34"/>
        <v>0</v>
      </c>
      <c r="V505" s="38"/>
      <c r="W505" s="40"/>
      <c r="X505" s="40"/>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row>
    <row r="506">
      <c r="A506" s="37"/>
      <c r="B506" s="322"/>
      <c r="C506" s="144"/>
      <c r="D506" s="144"/>
      <c r="E506" s="37"/>
      <c r="F506" s="37"/>
      <c r="G506" s="37"/>
      <c r="H506" s="33" t="str">
        <f t="shared" si="33"/>
        <v/>
      </c>
      <c r="I506" s="37"/>
      <c r="J506" s="37"/>
      <c r="K506" s="37"/>
      <c r="L506" s="37"/>
      <c r="M506" s="14"/>
      <c r="N506" s="15"/>
      <c r="O506" s="16"/>
      <c r="P506" s="16"/>
      <c r="Q506" s="16"/>
      <c r="R506" s="16"/>
      <c r="S506" s="37" t="str">
        <f>IFERROR(__xludf.DUMMYFUNCTION("if(not(iserror(index(split(C506, "" ""),2))), index(split(C506, "" ""),1),"""")"),"")</f>
        <v/>
      </c>
      <c r="T506" s="315" t="str">
        <f>IFERROR(__xludf.DUMMYFUNCTION("if(S506="""",C506,if(not(iserror(index(split(C506, "" ""),3))), index(split(C506, "" ""),3),index(split(C506, "" ""),2)))"),"")</f>
        <v/>
      </c>
      <c r="U506" s="38" t="b">
        <f t="shared" si="34"/>
        <v>0</v>
      </c>
      <c r="V506" s="38"/>
      <c r="W506" s="40"/>
      <c r="X506" s="40"/>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row>
    <row r="507">
      <c r="A507" s="37"/>
      <c r="B507" s="322"/>
      <c r="C507" s="144"/>
      <c r="D507" s="144"/>
      <c r="E507" s="37"/>
      <c r="F507" s="37"/>
      <c r="G507" s="37"/>
      <c r="H507" s="33" t="str">
        <f t="shared" si="33"/>
        <v/>
      </c>
      <c r="I507" s="37"/>
      <c r="J507" s="37"/>
      <c r="K507" s="37"/>
      <c r="L507" s="37"/>
      <c r="M507" s="14"/>
      <c r="N507" s="15"/>
      <c r="O507" s="16"/>
      <c r="P507" s="16"/>
      <c r="Q507" s="16"/>
      <c r="R507" s="16"/>
      <c r="S507" s="37" t="str">
        <f>IFERROR(__xludf.DUMMYFUNCTION("if(not(iserror(index(split(C507, "" ""),2))), index(split(C507, "" ""),1),"""")"),"")</f>
        <v/>
      </c>
      <c r="T507" s="315" t="str">
        <f>IFERROR(__xludf.DUMMYFUNCTION("if(S507="""",C507,if(not(iserror(index(split(C507, "" ""),3))), index(split(C507, "" ""),3),index(split(C507, "" ""),2)))"),"")</f>
        <v/>
      </c>
      <c r="U507" s="38" t="b">
        <f t="shared" si="34"/>
        <v>0</v>
      </c>
      <c r="V507" s="38"/>
      <c r="W507" s="40"/>
      <c r="X507" s="40"/>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row>
    <row r="508">
      <c r="A508" s="37"/>
      <c r="B508" s="322"/>
      <c r="C508" s="144"/>
      <c r="D508" s="144"/>
      <c r="E508" s="37"/>
      <c r="F508" s="37"/>
      <c r="G508" s="37"/>
      <c r="H508" s="33" t="str">
        <f t="shared" si="33"/>
        <v/>
      </c>
      <c r="I508" s="37"/>
      <c r="J508" s="37"/>
      <c r="K508" s="37"/>
      <c r="L508" s="37"/>
      <c r="M508" s="14"/>
      <c r="N508" s="15"/>
      <c r="O508" s="16"/>
      <c r="P508" s="16"/>
      <c r="Q508" s="16"/>
      <c r="R508" s="16"/>
      <c r="S508" s="37" t="str">
        <f>IFERROR(__xludf.DUMMYFUNCTION("if(not(iserror(index(split(C508, "" ""),2))), index(split(C508, "" ""),1),"""")"),"")</f>
        <v/>
      </c>
      <c r="T508" s="315" t="str">
        <f>IFERROR(__xludf.DUMMYFUNCTION("if(S508="""",C508,if(not(iserror(index(split(C508, "" ""),3))), index(split(C508, "" ""),3),index(split(C508, "" ""),2)))"),"")</f>
        <v/>
      </c>
      <c r="U508" s="38" t="b">
        <f t="shared" si="34"/>
        <v>0</v>
      </c>
      <c r="V508" s="38"/>
      <c r="W508" s="40"/>
      <c r="X508" s="40"/>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row>
    <row r="509">
      <c r="A509" s="37"/>
      <c r="B509" s="159"/>
      <c r="C509" s="144"/>
      <c r="D509" s="144"/>
      <c r="E509" s="37"/>
      <c r="F509" s="37"/>
      <c r="G509" s="37"/>
      <c r="H509" s="33" t="str">
        <f t="shared" si="33"/>
        <v/>
      </c>
      <c r="I509" s="37"/>
      <c r="J509" s="37"/>
      <c r="K509" s="37"/>
      <c r="L509" s="37"/>
      <c r="M509" s="14"/>
      <c r="N509" s="15"/>
      <c r="O509" s="16"/>
      <c r="P509" s="16"/>
      <c r="Q509" s="16"/>
      <c r="R509" s="16"/>
      <c r="S509" s="37" t="str">
        <f>IFERROR(__xludf.DUMMYFUNCTION("if(not(iserror(index(split(C509, "" ""),2))), index(split(C509, "" ""),1),"""")"),"")</f>
        <v/>
      </c>
      <c r="T509" s="315" t="str">
        <f>IFERROR(__xludf.DUMMYFUNCTION("if(S509="""",C509,if(not(iserror(index(split(C509, "" ""),3))), index(split(C509, "" ""),3),index(split(C509, "" ""),2)))"),"")</f>
        <v/>
      </c>
      <c r="U509" s="38" t="b">
        <f t="shared" si="34"/>
        <v>0</v>
      </c>
      <c r="V509" s="38"/>
      <c r="W509" s="40"/>
      <c r="X509" s="40"/>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row>
    <row r="510">
      <c r="A510" s="37"/>
      <c r="B510" s="322"/>
      <c r="C510" s="144"/>
      <c r="D510" s="144"/>
      <c r="E510" s="37"/>
      <c r="F510" s="37"/>
      <c r="G510" s="37"/>
      <c r="H510" s="33" t="str">
        <f t="shared" si="33"/>
        <v/>
      </c>
      <c r="I510" s="37"/>
      <c r="J510" s="37"/>
      <c r="K510" s="37"/>
      <c r="L510" s="37"/>
      <c r="M510" s="14"/>
      <c r="N510" s="15"/>
      <c r="O510" s="16"/>
      <c r="P510" s="16"/>
      <c r="Q510" s="16"/>
      <c r="R510" s="16"/>
      <c r="S510" s="37" t="str">
        <f>IFERROR(__xludf.DUMMYFUNCTION("if(not(iserror(index(split(C510, "" ""),2))), index(split(C510, "" ""),1),"""")"),"")</f>
        <v/>
      </c>
      <c r="T510" s="315" t="str">
        <f>IFERROR(__xludf.DUMMYFUNCTION("if(S510="""",C510,if(not(iserror(index(split(C510, "" ""),3))), index(split(C510, "" ""),3),index(split(C510, "" ""),2)))"),"")</f>
        <v/>
      </c>
      <c r="U510" s="38" t="b">
        <f t="shared" si="34"/>
        <v>0</v>
      </c>
      <c r="V510" s="38"/>
      <c r="W510" s="40"/>
      <c r="X510" s="40"/>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row>
    <row r="511">
      <c r="A511" s="37"/>
      <c r="B511" s="322"/>
      <c r="C511" s="144"/>
      <c r="D511" s="144"/>
      <c r="E511" s="37"/>
      <c r="F511" s="37"/>
      <c r="G511" s="37"/>
      <c r="H511" s="33" t="str">
        <f t="shared" si="33"/>
        <v/>
      </c>
      <c r="I511" s="37"/>
      <c r="J511" s="37"/>
      <c r="K511" s="37"/>
      <c r="L511" s="37"/>
      <c r="M511" s="14"/>
      <c r="N511" s="15"/>
      <c r="O511" s="16"/>
      <c r="P511" s="16"/>
      <c r="Q511" s="16"/>
      <c r="R511" s="16"/>
      <c r="S511" s="37" t="str">
        <f>IFERROR(__xludf.DUMMYFUNCTION("if(not(iserror(index(split(C511, "" ""),2))), index(split(C511, "" ""),1),"""")"),"")</f>
        <v/>
      </c>
      <c r="T511" s="315" t="str">
        <f>IFERROR(__xludf.DUMMYFUNCTION("if(S511="""",C511,if(not(iserror(index(split(C511, "" ""),3))), index(split(C511, "" ""),3),index(split(C511, "" ""),2)))"),"")</f>
        <v/>
      </c>
      <c r="U511" s="38" t="b">
        <f t="shared" si="34"/>
        <v>0</v>
      </c>
      <c r="V511" s="38"/>
      <c r="W511" s="40"/>
      <c r="X511" s="40"/>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row>
    <row r="512">
      <c r="A512" s="37"/>
      <c r="B512" s="159"/>
      <c r="C512" s="144"/>
      <c r="D512" s="144"/>
      <c r="E512" s="37"/>
      <c r="F512" s="37"/>
      <c r="G512" s="37"/>
      <c r="H512" s="33" t="str">
        <f t="shared" si="33"/>
        <v/>
      </c>
      <c r="I512" s="37"/>
      <c r="J512" s="37"/>
      <c r="K512" s="37"/>
      <c r="L512" s="37"/>
      <c r="M512" s="14"/>
      <c r="N512" s="15"/>
      <c r="O512" s="16"/>
      <c r="P512" s="16"/>
      <c r="Q512" s="16"/>
      <c r="R512" s="16"/>
      <c r="S512" s="37" t="str">
        <f>IFERROR(__xludf.DUMMYFUNCTION("if(not(iserror(index(split(C512, "" ""),2))), index(split(C512, "" ""),1),"""")"),"")</f>
        <v/>
      </c>
      <c r="T512" s="315" t="str">
        <f>IFERROR(__xludf.DUMMYFUNCTION("if(S512="""",C512,if(not(iserror(index(split(C512, "" ""),3))), index(split(C512, "" ""),3),index(split(C512, "" ""),2)))"),"")</f>
        <v/>
      </c>
      <c r="U512" s="38" t="b">
        <f t="shared" si="34"/>
        <v>0</v>
      </c>
      <c r="V512" s="38"/>
      <c r="W512" s="40"/>
      <c r="X512" s="40"/>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row>
    <row r="513">
      <c r="A513" s="37"/>
      <c r="B513" s="159"/>
      <c r="C513" s="144"/>
      <c r="D513" s="144"/>
      <c r="E513" s="37"/>
      <c r="F513" s="37"/>
      <c r="G513" s="37"/>
      <c r="H513" s="33" t="str">
        <f t="shared" si="33"/>
        <v/>
      </c>
      <c r="I513" s="37"/>
      <c r="J513" s="37"/>
      <c r="K513" s="37"/>
      <c r="L513" s="37"/>
      <c r="M513" s="14"/>
      <c r="N513" s="14"/>
      <c r="O513" s="16"/>
      <c r="P513" s="16"/>
      <c r="Q513" s="16"/>
      <c r="R513" s="16"/>
      <c r="S513" s="37" t="str">
        <f>IFERROR(__xludf.DUMMYFUNCTION("if(not(iserror(index(split(C513, "" ""),2))), index(split(C513, "" ""),1),"""")"),"")</f>
        <v/>
      </c>
      <c r="T513" s="315" t="str">
        <f>IFERROR(__xludf.DUMMYFUNCTION("if(S513="""",C513,if(not(iserror(index(split(C513, "" ""),3))), index(split(C513, "" ""),3),index(split(C513, "" ""),2)))"),"")</f>
        <v/>
      </c>
      <c r="U513" s="38" t="b">
        <f t="shared" si="34"/>
        <v>0</v>
      </c>
      <c r="V513" s="38"/>
      <c r="W513" s="40"/>
      <c r="X513" s="40"/>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row>
    <row r="514">
      <c r="A514" s="37"/>
      <c r="B514" s="159"/>
      <c r="C514" s="144"/>
      <c r="D514" s="144"/>
      <c r="E514" s="37"/>
      <c r="F514" s="37"/>
      <c r="G514" s="37"/>
      <c r="H514" s="33" t="str">
        <f t="shared" si="33"/>
        <v/>
      </c>
      <c r="I514" s="37"/>
      <c r="J514" s="37"/>
      <c r="K514" s="37"/>
      <c r="L514" s="37"/>
      <c r="M514" s="14"/>
      <c r="N514" s="14"/>
      <c r="O514" s="16"/>
      <c r="P514" s="16"/>
      <c r="Q514" s="16"/>
      <c r="R514" s="16"/>
      <c r="S514" s="37" t="str">
        <f>IFERROR(__xludf.DUMMYFUNCTION("if(not(iserror(index(split(C514, "" ""),2))), index(split(C514, "" ""),1),"""")"),"")</f>
        <v/>
      </c>
      <c r="T514" s="315" t="str">
        <f>IFERROR(__xludf.DUMMYFUNCTION("if(S514="""",C514,if(not(iserror(index(split(C514, "" ""),3))), index(split(C514, "" ""),3),index(split(C514, "" ""),2)))"),"")</f>
        <v/>
      </c>
      <c r="U514" s="38" t="b">
        <f t="shared" si="34"/>
        <v>0</v>
      </c>
      <c r="V514" s="38"/>
      <c r="W514" s="40"/>
      <c r="X514" s="40"/>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row>
    <row r="515">
      <c r="A515" s="37"/>
      <c r="B515" s="159"/>
      <c r="C515" s="144"/>
      <c r="D515" s="144"/>
      <c r="E515" s="37"/>
      <c r="F515" s="37"/>
      <c r="G515" s="37"/>
      <c r="H515" s="33" t="str">
        <f t="shared" si="33"/>
        <v/>
      </c>
      <c r="I515" s="37"/>
      <c r="J515" s="37"/>
      <c r="K515" s="37"/>
      <c r="L515" s="37"/>
      <c r="M515" s="14"/>
      <c r="N515" s="15"/>
      <c r="O515" s="16"/>
      <c r="P515" s="16"/>
      <c r="Q515" s="16"/>
      <c r="R515" s="16"/>
      <c r="S515" s="37" t="str">
        <f>IFERROR(__xludf.DUMMYFUNCTION("if(not(iserror(index(split(C515, "" ""),2))), index(split(C515, "" ""),1),"""")"),"")</f>
        <v/>
      </c>
      <c r="T515" s="315" t="str">
        <f>IFERROR(__xludf.DUMMYFUNCTION("if(S515="""",C515,if(not(iserror(index(split(C515, "" ""),3))), index(split(C515, "" ""),3),index(split(C515, "" ""),2)))"),"")</f>
        <v/>
      </c>
      <c r="U515" s="38" t="b">
        <f t="shared" si="34"/>
        <v>0</v>
      </c>
      <c r="V515" s="38"/>
      <c r="W515" s="40"/>
      <c r="X515" s="40"/>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row>
    <row r="516">
      <c r="A516" s="37"/>
      <c r="B516" s="159"/>
      <c r="C516" s="144"/>
      <c r="D516" s="144"/>
      <c r="E516" s="37"/>
      <c r="F516" s="37"/>
      <c r="G516" s="37"/>
      <c r="H516" s="33" t="str">
        <f t="shared" si="33"/>
        <v/>
      </c>
      <c r="I516" s="37"/>
      <c r="J516" s="37"/>
      <c r="K516" s="37"/>
      <c r="L516" s="37"/>
      <c r="M516" s="14"/>
      <c r="N516" s="15"/>
      <c r="O516" s="16"/>
      <c r="P516" s="16"/>
      <c r="Q516" s="16"/>
      <c r="R516" s="16"/>
      <c r="S516" s="37" t="str">
        <f>IFERROR(__xludf.DUMMYFUNCTION("if(not(iserror(index(split(C516, "" ""),2))), index(split(C516, "" ""),1),"""")"),"")</f>
        <v/>
      </c>
      <c r="T516" s="315" t="str">
        <f>IFERROR(__xludf.DUMMYFUNCTION("if(S516="""",C516,if(not(iserror(index(split(C516, "" ""),3))), index(split(C516, "" ""),3),index(split(C516, "" ""),2)))"),"")</f>
        <v/>
      </c>
      <c r="U516" s="38" t="b">
        <f t="shared" si="34"/>
        <v>0</v>
      </c>
      <c r="V516" s="38"/>
      <c r="W516" s="40"/>
      <c r="X516" s="40"/>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row>
    <row r="517">
      <c r="A517" s="37"/>
      <c r="B517" s="159"/>
      <c r="C517" s="144"/>
      <c r="D517" s="144"/>
      <c r="E517" s="37"/>
      <c r="F517" s="37"/>
      <c r="G517" s="37"/>
      <c r="H517" s="33" t="str">
        <f t="shared" si="33"/>
        <v/>
      </c>
      <c r="I517" s="37"/>
      <c r="J517" s="37"/>
      <c r="K517" s="37"/>
      <c r="L517" s="37"/>
      <c r="M517" s="14"/>
      <c r="N517" s="15"/>
      <c r="O517" s="16"/>
      <c r="P517" s="16"/>
      <c r="Q517" s="16"/>
      <c r="R517" s="16"/>
      <c r="S517" s="37" t="str">
        <f>IFERROR(__xludf.DUMMYFUNCTION("if(not(iserror(index(split(C517, "" ""),2))), index(split(C517, "" ""),1),"""")"),"")</f>
        <v/>
      </c>
      <c r="T517" s="315" t="str">
        <f>IFERROR(__xludf.DUMMYFUNCTION("if(S517="""",C517,if(not(iserror(index(split(C517, "" ""),3))), index(split(C517, "" ""),3),index(split(C517, "" ""),2)))"),"")</f>
        <v/>
      </c>
      <c r="U517" s="38" t="b">
        <f t="shared" si="34"/>
        <v>0</v>
      </c>
      <c r="V517" s="38"/>
      <c r="W517" s="40"/>
      <c r="X517" s="40"/>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row>
    <row r="518">
      <c r="A518" s="37"/>
      <c r="B518" s="159"/>
      <c r="C518" s="144"/>
      <c r="D518" s="144"/>
      <c r="E518" s="37"/>
      <c r="F518" s="37"/>
      <c r="G518" s="37"/>
      <c r="H518" s="33" t="str">
        <f t="shared" si="33"/>
        <v/>
      </c>
      <c r="I518" s="37"/>
      <c r="J518" s="37"/>
      <c r="K518" s="37"/>
      <c r="L518" s="58"/>
      <c r="M518" s="14"/>
      <c r="N518" s="14"/>
      <c r="O518" s="16"/>
      <c r="P518" s="16"/>
      <c r="Q518" s="16"/>
      <c r="R518" s="16"/>
      <c r="S518" s="37" t="str">
        <f>IFERROR(__xludf.DUMMYFUNCTION("if(not(iserror(index(split(C518, "" ""),2))), index(split(C518, "" ""),1),"""")"),"")</f>
        <v/>
      </c>
      <c r="T518" s="315" t="str">
        <f>IFERROR(__xludf.DUMMYFUNCTION("if(S518="""",C518,if(not(iserror(index(split(C518, "" ""),3))), index(split(C518, "" ""),3),index(split(C518, "" ""),2)))"),"")</f>
        <v/>
      </c>
      <c r="U518" s="38" t="b">
        <f t="shared" si="34"/>
        <v>0</v>
      </c>
      <c r="V518" s="38"/>
      <c r="W518" s="40"/>
      <c r="X518" s="40"/>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row>
    <row r="519">
      <c r="A519" s="37"/>
      <c r="B519" s="159"/>
      <c r="C519" s="144"/>
      <c r="D519" s="144"/>
      <c r="E519" s="37"/>
      <c r="F519" s="37"/>
      <c r="G519" s="37"/>
      <c r="H519" s="33" t="str">
        <f t="shared" si="33"/>
        <v/>
      </c>
      <c r="I519" s="37"/>
      <c r="J519" s="37"/>
      <c r="K519" s="37"/>
      <c r="L519" s="58"/>
      <c r="M519" s="14"/>
      <c r="N519" s="15"/>
      <c r="O519" s="16"/>
      <c r="P519" s="16"/>
      <c r="Q519" s="16"/>
      <c r="R519" s="16"/>
      <c r="S519" s="37" t="str">
        <f>IFERROR(__xludf.DUMMYFUNCTION("if(not(iserror(index(split(C519, "" ""),2))), index(split(C519, "" ""),1),"""")"),"")</f>
        <v/>
      </c>
      <c r="T519" s="315" t="str">
        <f>IFERROR(__xludf.DUMMYFUNCTION("if(S519="""",C519,if(not(iserror(index(split(C519, "" ""),3))), index(split(C519, "" ""),3),index(split(C519, "" ""),2)))"),"")</f>
        <v/>
      </c>
      <c r="U519" s="38" t="b">
        <f t="shared" si="34"/>
        <v>0</v>
      </c>
      <c r="V519" s="38"/>
      <c r="W519" s="40"/>
      <c r="X519" s="40"/>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row>
    <row r="520">
      <c r="A520" s="37"/>
      <c r="B520" s="159"/>
      <c r="C520" s="144"/>
      <c r="D520" s="144"/>
      <c r="E520" s="37"/>
      <c r="F520" s="37"/>
      <c r="G520" s="37"/>
      <c r="H520" s="33" t="str">
        <f t="shared" si="33"/>
        <v/>
      </c>
      <c r="I520" s="37"/>
      <c r="J520" s="37"/>
      <c r="K520" s="37"/>
      <c r="L520" s="58"/>
      <c r="M520" s="14"/>
      <c r="N520" s="15"/>
      <c r="O520" s="16"/>
      <c r="P520" s="16"/>
      <c r="Q520" s="16"/>
      <c r="R520" s="16"/>
      <c r="S520" s="37" t="str">
        <f>IFERROR(__xludf.DUMMYFUNCTION("if(not(iserror(index(split(C520, "" ""),2))), index(split(C520, "" ""),1),"""")"),"")</f>
        <v/>
      </c>
      <c r="T520" s="315" t="str">
        <f>IFERROR(__xludf.DUMMYFUNCTION("if(S520="""",C520,if(not(iserror(index(split(C520, "" ""),3))), index(split(C520, "" ""),3),index(split(C520, "" ""),2)))"),"")</f>
        <v/>
      </c>
      <c r="U520" s="38" t="b">
        <f t="shared" si="34"/>
        <v>0</v>
      </c>
      <c r="V520" s="38"/>
      <c r="W520" s="40"/>
      <c r="X520" s="40"/>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row>
    <row r="521">
      <c r="A521" s="37"/>
      <c r="B521" s="159"/>
      <c r="C521" s="144"/>
      <c r="D521" s="144"/>
      <c r="E521" s="37"/>
      <c r="F521" s="37"/>
      <c r="G521" s="37"/>
      <c r="H521" s="33" t="str">
        <f t="shared" si="33"/>
        <v/>
      </c>
      <c r="I521" s="37"/>
      <c r="J521" s="37"/>
      <c r="K521" s="37"/>
      <c r="L521" s="58"/>
      <c r="M521" s="14"/>
      <c r="N521" s="15"/>
      <c r="O521" s="16"/>
      <c r="P521" s="16"/>
      <c r="Q521" s="16"/>
      <c r="R521" s="16"/>
      <c r="S521" s="37" t="str">
        <f>IFERROR(__xludf.DUMMYFUNCTION("if(not(iserror(index(split(C521, "" ""),2))), index(split(C521, "" ""),1),"""")"),"")</f>
        <v/>
      </c>
      <c r="T521" s="315" t="str">
        <f>IFERROR(__xludf.DUMMYFUNCTION("if(S521="""",C521,if(not(iserror(index(split(C521, "" ""),3))), index(split(C521, "" ""),3),index(split(C521, "" ""),2)))"),"")</f>
        <v/>
      </c>
      <c r="U521" s="38" t="b">
        <f t="shared" si="34"/>
        <v>0</v>
      </c>
      <c r="V521" s="38"/>
      <c r="W521" s="40"/>
      <c r="X521" s="40"/>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row>
    <row r="522">
      <c r="A522" s="37"/>
      <c r="B522" s="159"/>
      <c r="C522" s="144"/>
      <c r="D522" s="144"/>
      <c r="E522" s="37"/>
      <c r="F522" s="37"/>
      <c r="G522" s="37"/>
      <c r="H522" s="33" t="str">
        <f t="shared" si="33"/>
        <v/>
      </c>
      <c r="I522" s="37"/>
      <c r="J522" s="37"/>
      <c r="K522" s="37"/>
      <c r="L522" s="37"/>
      <c r="M522" s="14"/>
      <c r="N522" s="15"/>
      <c r="O522" s="16"/>
      <c r="P522" s="16"/>
      <c r="Q522" s="16"/>
      <c r="R522" s="16"/>
      <c r="S522" s="37" t="str">
        <f>IFERROR(__xludf.DUMMYFUNCTION("if(not(iserror(index(split(C522, "" ""),2))), index(split(C522, "" ""),1),"""")"),"")</f>
        <v/>
      </c>
      <c r="T522" s="315" t="str">
        <f>IFERROR(__xludf.DUMMYFUNCTION("if(S522="""",C522,if(not(iserror(index(split(C522, "" ""),3))), index(split(C522, "" ""),3),index(split(C522, "" ""),2)))"),"")</f>
        <v/>
      </c>
      <c r="U522" s="38" t="b">
        <f t="shared" si="34"/>
        <v>0</v>
      </c>
      <c r="V522" s="38"/>
      <c r="W522" s="40"/>
      <c r="X522" s="40"/>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row>
    <row r="523">
      <c r="A523" s="37"/>
      <c r="B523" s="159"/>
      <c r="C523" s="144"/>
      <c r="D523" s="144"/>
      <c r="E523" s="37"/>
      <c r="F523" s="37"/>
      <c r="G523" s="37"/>
      <c r="H523" s="33" t="str">
        <f t="shared" si="33"/>
        <v/>
      </c>
      <c r="I523" s="37"/>
      <c r="J523" s="37"/>
      <c r="K523" s="37"/>
      <c r="L523" s="37"/>
      <c r="M523" s="14"/>
      <c r="N523" s="14"/>
      <c r="O523" s="16"/>
      <c r="P523" s="16"/>
      <c r="Q523" s="16"/>
      <c r="R523" s="16"/>
      <c r="S523" s="37" t="str">
        <f>IFERROR(__xludf.DUMMYFUNCTION("if(not(iserror(index(split(C523, "" ""),2))), index(split(C523, "" ""),1),"""")"),"")</f>
        <v/>
      </c>
      <c r="T523" s="315" t="str">
        <f>IFERROR(__xludf.DUMMYFUNCTION("if(S523="""",C523,if(not(iserror(index(split(C523, "" ""),3))), index(split(C523, "" ""),3),index(split(C523, "" ""),2)))"),"")</f>
        <v/>
      </c>
      <c r="U523" s="38" t="b">
        <f t="shared" si="34"/>
        <v>0</v>
      </c>
      <c r="V523" s="38"/>
      <c r="W523" s="40"/>
      <c r="X523" s="40"/>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row>
    <row r="524">
      <c r="A524" s="37"/>
      <c r="B524" s="159"/>
      <c r="C524" s="144"/>
      <c r="D524" s="144"/>
      <c r="E524" s="37"/>
      <c r="F524" s="37"/>
      <c r="G524" s="37"/>
      <c r="H524" s="33" t="str">
        <f t="shared" si="33"/>
        <v/>
      </c>
      <c r="I524" s="37"/>
      <c r="J524" s="37"/>
      <c r="K524" s="37"/>
      <c r="L524" s="37"/>
      <c r="M524" s="14"/>
      <c r="N524" s="14"/>
      <c r="O524" s="16"/>
      <c r="P524" s="16"/>
      <c r="Q524" s="16"/>
      <c r="R524" s="16"/>
      <c r="S524" s="37" t="str">
        <f>IFERROR(__xludf.DUMMYFUNCTION("if(not(iserror(index(split(C524, "" ""),2))), index(split(C524, "" ""),1),"""")"),"")</f>
        <v/>
      </c>
      <c r="T524" s="315" t="str">
        <f>IFERROR(__xludf.DUMMYFUNCTION("if(S524="""",C524,if(not(iserror(index(split(C524, "" ""),3))), index(split(C524, "" ""),3),index(split(C524, "" ""),2)))"),"")</f>
        <v/>
      </c>
      <c r="U524" s="38" t="b">
        <f t="shared" si="34"/>
        <v>0</v>
      </c>
      <c r="V524" s="38"/>
      <c r="W524" s="40"/>
      <c r="X524" s="40"/>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row>
    <row r="525">
      <c r="A525" s="90"/>
      <c r="B525" s="159"/>
      <c r="C525" s="144"/>
      <c r="D525" s="144"/>
      <c r="E525" s="37"/>
      <c r="F525" s="37"/>
      <c r="G525" s="37"/>
      <c r="H525" s="33" t="str">
        <f t="shared" si="33"/>
        <v/>
      </c>
      <c r="I525" s="37"/>
      <c r="J525" s="37"/>
      <c r="K525" s="37"/>
      <c r="L525" s="37"/>
      <c r="M525" s="14"/>
      <c r="N525" s="15"/>
      <c r="O525" s="16"/>
      <c r="P525" s="16"/>
      <c r="Q525" s="16"/>
      <c r="R525" s="16"/>
      <c r="S525" s="37" t="str">
        <f>IFERROR(__xludf.DUMMYFUNCTION("if(not(iserror(index(split(C525, "" ""),2))), index(split(C525, "" ""),1),"""")"),"")</f>
        <v/>
      </c>
      <c r="T525" s="315" t="str">
        <f>IFERROR(__xludf.DUMMYFUNCTION("if(S525="""",C525,if(not(iserror(index(split(C525, "" ""),3))), index(split(C525, "" ""),3),index(split(C525, "" ""),2)))"),"")</f>
        <v/>
      </c>
      <c r="U525" s="38" t="b">
        <f t="shared" si="34"/>
        <v>0</v>
      </c>
      <c r="V525" s="38"/>
      <c r="W525" s="40"/>
      <c r="X525" s="40"/>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row>
    <row r="526">
      <c r="A526" s="37"/>
      <c r="B526" s="159"/>
      <c r="C526" s="144"/>
      <c r="D526" s="144"/>
      <c r="E526" s="37"/>
      <c r="F526" s="37"/>
      <c r="G526" s="37"/>
      <c r="H526" s="33" t="str">
        <f t="shared" si="33"/>
        <v/>
      </c>
      <c r="I526" s="37"/>
      <c r="J526" s="37"/>
      <c r="K526" s="37"/>
      <c r="L526" s="37"/>
      <c r="M526" s="14"/>
      <c r="N526" s="15"/>
      <c r="O526" s="16"/>
      <c r="P526" s="16"/>
      <c r="Q526" s="16"/>
      <c r="R526" s="16"/>
      <c r="S526" s="37" t="str">
        <f>IFERROR(__xludf.DUMMYFUNCTION("if(not(iserror(index(split(C526, "" ""),2))), index(split(C526, "" ""),1),"""")"),"")</f>
        <v/>
      </c>
      <c r="T526" s="315" t="str">
        <f>IFERROR(__xludf.DUMMYFUNCTION("if(S526="""",C526,if(not(iserror(index(split(C526, "" ""),3))), index(split(C526, "" ""),3),index(split(C526, "" ""),2)))"),"")</f>
        <v/>
      </c>
      <c r="U526" s="38" t="b">
        <f t="shared" si="34"/>
        <v>0</v>
      </c>
      <c r="V526" s="38"/>
      <c r="W526" s="40"/>
      <c r="X526" s="40"/>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row>
    <row r="527">
      <c r="A527" s="37"/>
      <c r="B527" s="159"/>
      <c r="C527" s="144"/>
      <c r="D527" s="144"/>
      <c r="E527" s="37"/>
      <c r="F527" s="37"/>
      <c r="G527" s="37"/>
      <c r="H527" s="33" t="str">
        <f t="shared" si="33"/>
        <v/>
      </c>
      <c r="I527" s="37"/>
      <c r="J527" s="37"/>
      <c r="K527" s="37"/>
      <c r="L527" s="37"/>
      <c r="M527" s="14"/>
      <c r="N527" s="15"/>
      <c r="O527" s="16"/>
      <c r="P527" s="16"/>
      <c r="Q527" s="16"/>
      <c r="R527" s="16"/>
      <c r="S527" s="37" t="str">
        <f>IFERROR(__xludf.DUMMYFUNCTION("if(not(iserror(index(split(C527, "" ""),2))), index(split(C527, "" ""),1),"""")"),"")</f>
        <v/>
      </c>
      <c r="T527" s="315" t="str">
        <f>IFERROR(__xludf.DUMMYFUNCTION("if(S527="""",C527,if(not(iserror(index(split(C527, "" ""),3))), index(split(C527, "" ""),3),index(split(C527, "" ""),2)))"),"")</f>
        <v/>
      </c>
      <c r="U527" s="38" t="b">
        <f t="shared" si="34"/>
        <v>0</v>
      </c>
      <c r="V527" s="38"/>
      <c r="W527" s="40"/>
      <c r="X527" s="40"/>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row>
    <row r="528">
      <c r="B528" s="159"/>
      <c r="C528" s="144"/>
      <c r="D528" s="144"/>
      <c r="E528" s="37"/>
      <c r="F528" s="37"/>
      <c r="G528" s="37"/>
      <c r="H528" s="33" t="str">
        <f t="shared" si="33"/>
        <v/>
      </c>
      <c r="I528" s="37"/>
      <c r="J528" s="37"/>
      <c r="K528" s="37"/>
      <c r="L528" s="37"/>
      <c r="M528" s="14"/>
      <c r="N528" s="14"/>
      <c r="O528" s="16"/>
      <c r="P528" s="16"/>
      <c r="Q528" s="16"/>
      <c r="R528" s="16"/>
      <c r="S528" s="37" t="str">
        <f>IFERROR(__xludf.DUMMYFUNCTION("if(not(iserror(index(split(C528, "" ""),2))), index(split(C528, "" ""),1),"""")"),"")</f>
        <v/>
      </c>
      <c r="T528" s="315" t="str">
        <f>IFERROR(__xludf.DUMMYFUNCTION("if(S528="""",C528,if(not(iserror(index(split(C528, "" ""),3))), index(split(C528, "" ""),3),index(split(C528, "" ""),2)))"),"")</f>
        <v/>
      </c>
      <c r="U528" s="38" t="b">
        <f t="shared" si="34"/>
        <v>0</v>
      </c>
      <c r="V528" s="38"/>
      <c r="W528" s="40"/>
      <c r="X528" s="40"/>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row>
    <row r="529">
      <c r="A529" s="37"/>
      <c r="B529" s="159"/>
      <c r="C529" s="144"/>
      <c r="D529" s="144"/>
      <c r="E529" s="37"/>
      <c r="F529" s="37"/>
      <c r="G529" s="37"/>
      <c r="H529" s="33" t="str">
        <f t="shared" si="33"/>
        <v/>
      </c>
      <c r="I529" s="37"/>
      <c r="J529" s="37"/>
      <c r="K529" s="37"/>
      <c r="L529" s="37"/>
      <c r="M529" s="14"/>
      <c r="N529" s="15"/>
      <c r="O529" s="16"/>
      <c r="P529" s="16"/>
      <c r="Q529" s="16"/>
      <c r="R529" s="16"/>
      <c r="S529" s="37" t="str">
        <f>IFERROR(__xludf.DUMMYFUNCTION("if(not(iserror(index(split(C529, "" ""),2))), index(split(C529, "" ""),1),"""")"),"")</f>
        <v/>
      </c>
      <c r="T529" s="315" t="str">
        <f>IFERROR(__xludf.DUMMYFUNCTION("if(S529="""",C529,if(not(iserror(index(split(C529, "" ""),3))), index(split(C529, "" ""),3),index(split(C529, "" ""),2)))"),"")</f>
        <v/>
      </c>
      <c r="U529" s="38" t="b">
        <f t="shared" si="34"/>
        <v>0</v>
      </c>
      <c r="V529" s="38"/>
      <c r="W529" s="40"/>
      <c r="X529" s="40"/>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row>
    <row r="530">
      <c r="A530" s="37"/>
      <c r="B530" s="159"/>
      <c r="C530" s="144"/>
      <c r="D530" s="144"/>
      <c r="E530" s="37"/>
      <c r="F530" s="37"/>
      <c r="G530" s="37"/>
      <c r="H530" s="33" t="str">
        <f t="shared" si="33"/>
        <v/>
      </c>
      <c r="I530" s="37"/>
      <c r="J530" s="37"/>
      <c r="K530" s="37"/>
      <c r="L530" s="37"/>
      <c r="M530" s="14"/>
      <c r="N530" s="15"/>
      <c r="O530" s="16"/>
      <c r="P530" s="16"/>
      <c r="Q530" s="16"/>
      <c r="R530" s="16"/>
      <c r="S530" s="37" t="str">
        <f>IFERROR(__xludf.DUMMYFUNCTION("if(not(iserror(index(split(C530, "" ""),2))), index(split(C530, "" ""),1),"""")"),"")</f>
        <v/>
      </c>
      <c r="T530" s="315" t="str">
        <f>IFERROR(__xludf.DUMMYFUNCTION("if(S530="""",C530,if(not(iserror(index(split(C530, "" ""),3))), index(split(C530, "" ""),3),index(split(C530, "" ""),2)))"),"")</f>
        <v/>
      </c>
      <c r="U530" s="38" t="b">
        <f t="shared" si="34"/>
        <v>0</v>
      </c>
      <c r="V530" s="38"/>
      <c r="W530" s="40"/>
      <c r="X530" s="40"/>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row>
    <row r="531">
      <c r="A531" s="37"/>
      <c r="B531" s="159"/>
      <c r="C531" s="144"/>
      <c r="D531" s="144"/>
      <c r="E531" s="37"/>
      <c r="F531" s="37"/>
      <c r="G531" s="37"/>
      <c r="H531" s="33" t="str">
        <f t="shared" si="33"/>
        <v/>
      </c>
      <c r="I531" s="37"/>
      <c r="J531" s="37"/>
      <c r="K531" s="37"/>
      <c r="L531" s="37"/>
      <c r="M531" s="14"/>
      <c r="N531" s="15"/>
      <c r="O531" s="16"/>
      <c r="P531" s="16"/>
      <c r="Q531" s="16"/>
      <c r="R531" s="16"/>
      <c r="S531" s="37" t="str">
        <f>IFERROR(__xludf.DUMMYFUNCTION("if(not(iserror(index(split(C531, "" ""),2))), index(split(C531, "" ""),1),"""")"),"")</f>
        <v/>
      </c>
      <c r="T531" s="315" t="str">
        <f>IFERROR(__xludf.DUMMYFUNCTION("if(S531="""",C531,if(not(iserror(index(split(C531, "" ""),3))), index(split(C531, "" ""),3),index(split(C531, "" ""),2)))"),"")</f>
        <v/>
      </c>
      <c r="U531" s="38" t="b">
        <f t="shared" si="34"/>
        <v>0</v>
      </c>
      <c r="V531" s="38"/>
      <c r="W531" s="40"/>
      <c r="X531" s="40"/>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row>
    <row r="532">
      <c r="A532" s="37"/>
      <c r="B532" s="159"/>
      <c r="C532" s="144"/>
      <c r="D532" s="144"/>
      <c r="E532" s="37"/>
      <c r="F532" s="37"/>
      <c r="G532" s="37"/>
      <c r="H532" s="33" t="str">
        <f t="shared" si="33"/>
        <v/>
      </c>
      <c r="I532" s="37"/>
      <c r="J532" s="37"/>
      <c r="K532" s="37"/>
      <c r="L532" s="37"/>
      <c r="M532" s="14"/>
      <c r="N532" s="15"/>
      <c r="O532" s="16"/>
      <c r="P532" s="16"/>
      <c r="Q532" s="16"/>
      <c r="R532" s="16"/>
      <c r="S532" s="37" t="str">
        <f>IFERROR(__xludf.DUMMYFUNCTION("if(not(iserror(index(split(C532, "" ""),2))), index(split(C532, "" ""),1),"""")"),"")</f>
        <v/>
      </c>
      <c r="T532" s="315" t="str">
        <f>IFERROR(__xludf.DUMMYFUNCTION("if(S532="""",C532,if(not(iserror(index(split(C532, "" ""),3))), index(split(C532, "" ""),3),index(split(C532, "" ""),2)))"),"")</f>
        <v/>
      </c>
      <c r="U532" s="38" t="b">
        <f t="shared" si="34"/>
        <v>0</v>
      </c>
      <c r="V532" s="38"/>
      <c r="W532" s="40"/>
      <c r="X532" s="40"/>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row>
    <row r="533">
      <c r="A533" s="37"/>
      <c r="B533" s="37"/>
      <c r="C533" s="144"/>
      <c r="D533" s="144"/>
      <c r="E533" s="37"/>
      <c r="F533" s="37"/>
      <c r="G533" s="37"/>
      <c r="H533" s="33" t="str">
        <f t="shared" si="33"/>
        <v/>
      </c>
      <c r="I533" s="37"/>
      <c r="J533" s="37"/>
      <c r="K533" s="37"/>
      <c r="L533" s="37"/>
      <c r="M533" s="14"/>
      <c r="N533" s="15"/>
      <c r="O533" s="16"/>
      <c r="P533" s="16"/>
      <c r="Q533" s="16"/>
      <c r="R533" s="16"/>
      <c r="S533" s="37" t="str">
        <f>IFERROR(__xludf.DUMMYFUNCTION("if(not(iserror(index(split(C533, "" ""),2))), index(split(C533, "" ""),1),"""")"),"")</f>
        <v/>
      </c>
      <c r="T533" s="315" t="str">
        <f>IFERROR(__xludf.DUMMYFUNCTION("if(S533="""",C533,if(not(iserror(index(split(C533, "" ""),3))), index(split(C533, "" ""),3),index(split(C533, "" ""),2)))"),"")</f>
        <v/>
      </c>
      <c r="U533" s="38" t="b">
        <f t="shared" si="34"/>
        <v>0</v>
      </c>
      <c r="V533" s="38"/>
      <c r="W533" s="40"/>
      <c r="X533" s="40"/>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row>
    <row r="534">
      <c r="A534" s="37"/>
      <c r="B534" s="322"/>
      <c r="C534" s="144"/>
      <c r="D534" s="144"/>
      <c r="E534" s="37"/>
      <c r="F534" s="37"/>
      <c r="G534" s="37"/>
      <c r="H534" s="33" t="str">
        <f t="shared" si="33"/>
        <v/>
      </c>
      <c r="I534" s="37"/>
      <c r="J534" s="37"/>
      <c r="K534" s="37"/>
      <c r="L534" s="37"/>
      <c r="M534" s="14"/>
      <c r="N534" s="14"/>
      <c r="O534" s="37"/>
      <c r="P534" s="37"/>
      <c r="Q534" s="64"/>
      <c r="R534" s="16"/>
      <c r="S534" s="37" t="str">
        <f>IFERROR(__xludf.DUMMYFUNCTION("if(not(iserror(index(split(C534, "" ""),2))), index(split(C534, "" ""),1),"""")"),"")</f>
        <v/>
      </c>
      <c r="T534" s="315" t="str">
        <f>IFERROR(__xludf.DUMMYFUNCTION("if(S534="""",C534,if(not(iserror(index(split(C534, "" ""),3))), index(split(C534, "" ""),3),index(split(C534, "" ""),2)))"),"")</f>
        <v/>
      </c>
      <c r="U534" s="38" t="b">
        <f t="shared" si="34"/>
        <v>0</v>
      </c>
      <c r="V534" s="38"/>
      <c r="W534" s="40"/>
      <c r="X534" s="40"/>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row>
    <row r="535">
      <c r="A535" s="37"/>
      <c r="B535" s="322"/>
      <c r="C535" s="144"/>
      <c r="D535" s="144"/>
      <c r="E535" s="37"/>
      <c r="F535" s="37"/>
      <c r="G535" s="37"/>
      <c r="H535" s="33" t="str">
        <f t="shared" si="33"/>
        <v/>
      </c>
      <c r="I535" s="37"/>
      <c r="J535" s="37"/>
      <c r="K535" s="37"/>
      <c r="L535" s="37"/>
      <c r="M535" s="14"/>
      <c r="N535" s="15"/>
      <c r="O535" s="16"/>
      <c r="P535" s="16"/>
      <c r="Q535" s="16"/>
      <c r="R535" s="16"/>
      <c r="S535" s="37" t="str">
        <f>IFERROR(__xludf.DUMMYFUNCTION("if(not(iserror(index(split(C535, "" ""),2))), index(split(C535, "" ""),1),"""")"),"")</f>
        <v/>
      </c>
      <c r="T535" s="315" t="str">
        <f>IFERROR(__xludf.DUMMYFUNCTION("if(S535="""",C535,if(not(iserror(index(split(C535, "" ""),3))), index(split(C535, "" ""),3),index(split(C535, "" ""),2)))"),"")</f>
        <v/>
      </c>
      <c r="U535" s="38" t="b">
        <f t="shared" si="34"/>
        <v>0</v>
      </c>
      <c r="V535" s="38"/>
      <c r="W535" s="40"/>
      <c r="X535" s="40"/>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row>
    <row r="536">
      <c r="A536" s="37"/>
      <c r="B536" s="322"/>
      <c r="C536" s="144"/>
      <c r="D536" s="144"/>
      <c r="E536" s="37"/>
      <c r="F536" s="37"/>
      <c r="G536" s="37"/>
      <c r="H536" s="33" t="str">
        <f t="shared" si="33"/>
        <v/>
      </c>
      <c r="I536" s="37"/>
      <c r="J536" s="37"/>
      <c r="K536" s="37"/>
      <c r="L536" s="37"/>
      <c r="M536" s="14"/>
      <c r="N536" s="15"/>
      <c r="O536" s="16"/>
      <c r="P536" s="16"/>
      <c r="Q536" s="16"/>
      <c r="R536" s="16"/>
      <c r="S536" s="37" t="str">
        <f>IFERROR(__xludf.DUMMYFUNCTION("if(not(iserror(index(split(C536, "" ""),2))), index(split(C536, "" ""),1),"""")"),"")</f>
        <v/>
      </c>
      <c r="T536" s="315" t="str">
        <f>IFERROR(__xludf.DUMMYFUNCTION("if(S536="""",C536,if(not(iserror(index(split(C536, "" ""),3))), index(split(C536, "" ""),3),index(split(C536, "" ""),2)))"),"")</f>
        <v/>
      </c>
      <c r="U536" s="38" t="b">
        <f t="shared" si="34"/>
        <v>0</v>
      </c>
      <c r="V536" s="38"/>
      <c r="W536" s="40"/>
      <c r="X536" s="40"/>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row>
    <row r="537">
      <c r="A537" s="37"/>
      <c r="B537" s="322"/>
      <c r="C537" s="144"/>
      <c r="D537" s="144"/>
      <c r="E537" s="37"/>
      <c r="F537" s="37"/>
      <c r="G537" s="37"/>
      <c r="H537" s="33" t="str">
        <f t="shared" si="33"/>
        <v/>
      </c>
      <c r="I537" s="37"/>
      <c r="J537" s="37"/>
      <c r="K537" s="37"/>
      <c r="L537" s="37"/>
      <c r="M537" s="14"/>
      <c r="N537" s="15"/>
      <c r="O537" s="16"/>
      <c r="P537" s="16"/>
      <c r="Q537" s="16"/>
      <c r="R537" s="16"/>
      <c r="S537" s="37" t="str">
        <f>IFERROR(__xludf.DUMMYFUNCTION("if(not(iserror(index(split(C537, "" ""),2))), index(split(C537, "" ""),1),"""")"),"")</f>
        <v/>
      </c>
      <c r="T537" s="315" t="str">
        <f>IFERROR(__xludf.DUMMYFUNCTION("if(S537="""",C537,if(not(iserror(index(split(C537, "" ""),3))), index(split(C537, "" ""),3),index(split(C537, "" ""),2)))"),"")</f>
        <v/>
      </c>
      <c r="U537" s="38" t="b">
        <f t="shared" si="34"/>
        <v>0</v>
      </c>
      <c r="V537" s="38"/>
      <c r="W537" s="40"/>
      <c r="X537" s="40"/>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row>
    <row r="538">
      <c r="A538" s="90"/>
      <c r="B538" s="322"/>
      <c r="C538" s="144"/>
      <c r="D538" s="144"/>
      <c r="E538" s="37"/>
      <c r="F538" s="37"/>
      <c r="G538" s="37"/>
      <c r="H538" s="33" t="str">
        <f t="shared" si="33"/>
        <v/>
      </c>
      <c r="I538" s="37"/>
      <c r="J538" s="37"/>
      <c r="K538" s="37"/>
      <c r="L538" s="37"/>
      <c r="M538" s="14"/>
      <c r="N538" s="15"/>
      <c r="O538" s="16"/>
      <c r="P538" s="16"/>
      <c r="Q538" s="16"/>
      <c r="R538" s="16"/>
      <c r="S538" s="37" t="str">
        <f>IFERROR(__xludf.DUMMYFUNCTION("if(not(iserror(index(split(C538, "" ""),2))), index(split(C538, "" ""),1),"""")"),"")</f>
        <v/>
      </c>
      <c r="T538" s="315" t="str">
        <f>IFERROR(__xludf.DUMMYFUNCTION("if(S538="""",C538,if(not(iserror(index(split(C538, "" ""),3))), index(split(C538, "" ""),3),index(split(C538, "" ""),2)))"),"")</f>
        <v/>
      </c>
      <c r="U538" s="38" t="b">
        <f t="shared" si="34"/>
        <v>0</v>
      </c>
      <c r="V538" s="38"/>
      <c r="W538" s="40"/>
      <c r="X538" s="40"/>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row>
    <row r="539">
      <c r="A539" s="37"/>
      <c r="B539" s="322"/>
      <c r="C539" s="144"/>
      <c r="D539" s="144"/>
      <c r="E539" s="37"/>
      <c r="F539" s="37"/>
      <c r="G539" s="37"/>
      <c r="H539" s="33" t="str">
        <f t="shared" si="33"/>
        <v/>
      </c>
      <c r="I539" s="37"/>
      <c r="J539" s="37"/>
      <c r="K539" s="37"/>
      <c r="L539" s="37"/>
      <c r="M539" s="14"/>
      <c r="N539" s="15"/>
      <c r="O539" s="16"/>
      <c r="P539" s="16"/>
      <c r="Q539" s="16"/>
      <c r="R539" s="16"/>
      <c r="S539" s="37" t="str">
        <f>IFERROR(__xludf.DUMMYFUNCTION("if(not(iserror(index(split(C539, "" ""),2))), index(split(C539, "" ""),1),"""")"),"")</f>
        <v/>
      </c>
      <c r="T539" s="315" t="str">
        <f>IFERROR(__xludf.DUMMYFUNCTION("if(S539="""",C539,if(not(iserror(index(split(C539, "" ""),3))), index(split(C539, "" ""),3),index(split(C539, "" ""),2)))"),"")</f>
        <v/>
      </c>
      <c r="U539" s="38" t="b">
        <f t="shared" si="34"/>
        <v>0</v>
      </c>
      <c r="V539" s="38"/>
      <c r="W539" s="40"/>
      <c r="X539" s="40"/>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row>
    <row r="540">
      <c r="A540" s="37"/>
      <c r="B540" s="322"/>
      <c r="C540" s="144"/>
      <c r="D540" s="144"/>
      <c r="E540" s="37"/>
      <c r="F540" s="37"/>
      <c r="G540" s="37"/>
      <c r="H540" s="33" t="str">
        <f t="shared" si="33"/>
        <v/>
      </c>
      <c r="I540" s="37"/>
      <c r="J540" s="37"/>
      <c r="K540" s="37"/>
      <c r="L540" s="37"/>
      <c r="M540" s="14"/>
      <c r="N540" s="15"/>
      <c r="O540" s="16"/>
      <c r="P540" s="16"/>
      <c r="Q540" s="16"/>
      <c r="R540" s="16"/>
      <c r="S540" s="37" t="str">
        <f>IFERROR(__xludf.DUMMYFUNCTION("if(not(iserror(index(split(C540, "" ""),2))), index(split(C540, "" ""),1),"""")"),"")</f>
        <v/>
      </c>
      <c r="T540" s="315" t="str">
        <f>IFERROR(__xludf.DUMMYFUNCTION("if(S540="""",C540,if(not(iserror(index(split(C540, "" ""),3))), index(split(C540, "" ""),3),index(split(C540, "" ""),2)))"),"")</f>
        <v/>
      </c>
      <c r="U540" s="38" t="b">
        <f t="shared" si="34"/>
        <v>0</v>
      </c>
      <c r="V540" s="38"/>
      <c r="W540" s="40"/>
      <c r="X540" s="40"/>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row>
    <row r="541">
      <c r="A541" s="37"/>
      <c r="B541" s="322"/>
      <c r="C541" s="144"/>
      <c r="D541" s="144"/>
      <c r="E541" s="37"/>
      <c r="F541" s="37"/>
      <c r="G541" s="37"/>
      <c r="H541" s="33" t="str">
        <f t="shared" si="33"/>
        <v/>
      </c>
      <c r="I541" s="37"/>
      <c r="J541" s="37"/>
      <c r="K541" s="37"/>
      <c r="L541" s="37"/>
      <c r="M541" s="14"/>
      <c r="N541" s="15"/>
      <c r="O541" s="16"/>
      <c r="P541" s="16"/>
      <c r="Q541" s="16"/>
      <c r="R541" s="16"/>
      <c r="S541" s="37" t="str">
        <f>IFERROR(__xludf.DUMMYFUNCTION("if(not(iserror(index(split(C541, "" ""),2))), index(split(C541, "" ""),1),"""")"),"")</f>
        <v/>
      </c>
      <c r="T541" s="315" t="str">
        <f>IFERROR(__xludf.DUMMYFUNCTION("if(S541="""",C541,if(not(iserror(index(split(C541, "" ""),3))), index(split(C541, "" ""),3),index(split(C541, "" ""),2)))"),"")</f>
        <v/>
      </c>
      <c r="U541" s="38" t="b">
        <f t="shared" si="34"/>
        <v>0</v>
      </c>
      <c r="V541" s="38"/>
      <c r="W541" s="40"/>
      <c r="X541" s="40"/>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row>
    <row r="542">
      <c r="A542" s="37"/>
      <c r="B542" s="322"/>
      <c r="C542" s="144"/>
      <c r="D542" s="144"/>
      <c r="E542" s="37"/>
      <c r="F542" s="37"/>
      <c r="G542" s="37"/>
      <c r="H542" s="33" t="str">
        <f t="shared" si="33"/>
        <v/>
      </c>
      <c r="I542" s="37"/>
      <c r="J542" s="37"/>
      <c r="K542" s="37"/>
      <c r="L542" s="37"/>
      <c r="M542" s="14"/>
      <c r="N542" s="15"/>
      <c r="O542" s="16"/>
      <c r="P542" s="16"/>
      <c r="Q542" s="16"/>
      <c r="R542" s="16"/>
      <c r="S542" s="37" t="str">
        <f>IFERROR(__xludf.DUMMYFUNCTION("if(not(iserror(index(split(C542, "" ""),2))), index(split(C542, "" ""),1),"""")"),"")</f>
        <v/>
      </c>
      <c r="T542" s="315" t="str">
        <f>IFERROR(__xludf.DUMMYFUNCTION("if(S542="""",C542,if(not(iserror(index(split(C542, "" ""),3))), index(split(C542, "" ""),3),index(split(C542, "" ""),2)))"),"")</f>
        <v/>
      </c>
      <c r="U542" s="38" t="b">
        <f t="shared" si="34"/>
        <v>0</v>
      </c>
      <c r="V542" s="38"/>
      <c r="W542" s="40"/>
      <c r="X542" s="40"/>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row>
    <row r="543">
      <c r="A543" s="37"/>
      <c r="B543" s="322"/>
      <c r="C543" s="144"/>
      <c r="D543" s="144"/>
      <c r="E543" s="37"/>
      <c r="F543" s="37"/>
      <c r="G543" s="37"/>
      <c r="H543" s="33" t="str">
        <f t="shared" si="33"/>
        <v/>
      </c>
      <c r="I543" s="37"/>
      <c r="J543" s="37"/>
      <c r="K543" s="37"/>
      <c r="L543" s="37"/>
      <c r="M543" s="14"/>
      <c r="N543" s="15"/>
      <c r="O543" s="16"/>
      <c r="P543" s="16"/>
      <c r="Q543" s="16"/>
      <c r="R543" s="16"/>
      <c r="S543" s="37" t="str">
        <f>IFERROR(__xludf.DUMMYFUNCTION("if(not(iserror(index(split(C543, "" ""),2))), index(split(C543, "" ""),1),"""")"),"")</f>
        <v/>
      </c>
      <c r="T543" s="315" t="str">
        <f>IFERROR(__xludf.DUMMYFUNCTION("if(S543="""",C543,if(not(iserror(index(split(C543, "" ""),3))), index(split(C543, "" ""),3),index(split(C543, "" ""),2)))"),"")</f>
        <v/>
      </c>
      <c r="U543" s="38" t="b">
        <f t="shared" si="34"/>
        <v>0</v>
      </c>
      <c r="V543" s="38"/>
      <c r="W543" s="40"/>
      <c r="X543" s="40"/>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row>
    <row r="544">
      <c r="A544" s="37"/>
      <c r="B544" s="322"/>
      <c r="C544" s="144"/>
      <c r="D544" s="144"/>
      <c r="E544" s="37"/>
      <c r="F544" s="37"/>
      <c r="G544" s="37"/>
      <c r="H544" s="33" t="str">
        <f t="shared" si="33"/>
        <v/>
      </c>
      <c r="I544" s="37"/>
      <c r="J544" s="37"/>
      <c r="K544" s="37"/>
      <c r="L544" s="37"/>
      <c r="M544" s="14"/>
      <c r="N544" s="15"/>
      <c r="O544" s="16"/>
      <c r="P544" s="16"/>
      <c r="Q544" s="16"/>
      <c r="R544" s="16"/>
      <c r="S544" s="37" t="str">
        <f>IFERROR(__xludf.DUMMYFUNCTION("if(not(iserror(index(split(C544, "" ""),2))), index(split(C544, "" ""),1),"""")"),"")</f>
        <v/>
      </c>
      <c r="T544" s="315" t="str">
        <f>IFERROR(__xludf.DUMMYFUNCTION("if(S544="""",C544,if(not(iserror(index(split(C544, "" ""),3))), index(split(C544, "" ""),3),index(split(C544, "" ""),2)))"),"")</f>
        <v/>
      </c>
      <c r="U544" s="38" t="b">
        <f t="shared" si="34"/>
        <v>0</v>
      </c>
      <c r="V544" s="38"/>
      <c r="W544" s="40"/>
      <c r="X544" s="40"/>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row>
    <row r="545">
      <c r="A545" s="37"/>
      <c r="B545" s="322"/>
      <c r="C545" s="144"/>
      <c r="D545" s="144"/>
      <c r="E545" s="37"/>
      <c r="F545" s="37"/>
      <c r="G545" s="37"/>
      <c r="H545" s="33" t="str">
        <f t="shared" si="33"/>
        <v/>
      </c>
      <c r="I545" s="37"/>
      <c r="J545" s="37"/>
      <c r="K545" s="37"/>
      <c r="L545" s="37"/>
      <c r="M545" s="14"/>
      <c r="N545" s="15"/>
      <c r="O545" s="16"/>
      <c r="P545" s="16"/>
      <c r="Q545" s="16"/>
      <c r="R545" s="16"/>
      <c r="S545" s="37" t="str">
        <f>IFERROR(__xludf.DUMMYFUNCTION("if(not(iserror(index(split(C545, "" ""),2))), index(split(C545, "" ""),1),"""")"),"")</f>
        <v/>
      </c>
      <c r="T545" s="315" t="str">
        <f>IFERROR(__xludf.DUMMYFUNCTION("if(S545="""",C545,if(not(iserror(index(split(C545, "" ""),3))), index(split(C545, "" ""),3),index(split(C545, "" ""),2)))"),"")</f>
        <v/>
      </c>
      <c r="U545" s="38" t="b">
        <f t="shared" si="34"/>
        <v>0</v>
      </c>
      <c r="V545" s="38"/>
      <c r="W545" s="40"/>
      <c r="X545" s="40"/>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row>
    <row r="546">
      <c r="A546" s="37"/>
      <c r="B546" s="322"/>
      <c r="C546" s="144"/>
      <c r="D546" s="144"/>
      <c r="E546" s="37"/>
      <c r="F546" s="37"/>
      <c r="G546" s="37"/>
      <c r="H546" s="33" t="str">
        <f t="shared" si="33"/>
        <v/>
      </c>
      <c r="I546" s="37"/>
      <c r="J546" s="37"/>
      <c r="K546" s="37"/>
      <c r="L546" s="37"/>
      <c r="M546" s="14"/>
      <c r="N546" s="15"/>
      <c r="O546" s="16"/>
      <c r="P546" s="16"/>
      <c r="Q546" s="16"/>
      <c r="R546" s="16"/>
      <c r="S546" s="37" t="str">
        <f>IFERROR(__xludf.DUMMYFUNCTION("if(not(iserror(index(split(C546, "" ""),2))), index(split(C546, "" ""),1),"""")"),"")</f>
        <v/>
      </c>
      <c r="T546" s="315" t="str">
        <f>IFERROR(__xludf.DUMMYFUNCTION("if(S546="""",C546,if(not(iserror(index(split(C546, "" ""),3))), index(split(C546, "" ""),3),index(split(C546, "" ""),2)))"),"")</f>
        <v/>
      </c>
      <c r="U546" s="38" t="b">
        <f t="shared" si="34"/>
        <v>0</v>
      </c>
      <c r="V546" s="38"/>
      <c r="W546" s="40"/>
      <c r="X546" s="40"/>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row>
    <row r="547">
      <c r="A547" s="37"/>
      <c r="B547" s="322"/>
      <c r="C547" s="144"/>
      <c r="D547" s="144"/>
      <c r="E547" s="37"/>
      <c r="F547" s="37"/>
      <c r="G547" s="37"/>
      <c r="H547" s="33" t="str">
        <f t="shared" si="33"/>
        <v/>
      </c>
      <c r="I547" s="37"/>
      <c r="J547" s="37"/>
      <c r="K547" s="37"/>
      <c r="L547" s="37"/>
      <c r="M547" s="14"/>
      <c r="N547" s="15"/>
      <c r="O547" s="16"/>
      <c r="P547" s="16"/>
      <c r="Q547" s="16"/>
      <c r="R547" s="16"/>
      <c r="S547" s="37" t="str">
        <f>IFERROR(__xludf.DUMMYFUNCTION("if(not(iserror(index(split(C547, "" ""),2))), index(split(C547, "" ""),1),"""")"),"")</f>
        <v/>
      </c>
      <c r="T547" s="315" t="str">
        <f>IFERROR(__xludf.DUMMYFUNCTION("if(S547="""",C547,if(not(iserror(index(split(C547, "" ""),3))), index(split(C547, "" ""),3),index(split(C547, "" ""),2)))"),"")</f>
        <v/>
      </c>
      <c r="U547" s="38" t="b">
        <f t="shared" si="34"/>
        <v>0</v>
      </c>
      <c r="V547" s="38"/>
      <c r="W547" s="40"/>
      <c r="X547" s="40"/>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row>
    <row r="548">
      <c r="A548" s="37"/>
      <c r="B548" s="322"/>
      <c r="C548" s="144"/>
      <c r="D548" s="144"/>
      <c r="E548" s="37"/>
      <c r="F548" s="37"/>
      <c r="G548" s="37"/>
      <c r="H548" s="33" t="str">
        <f t="shared" si="33"/>
        <v/>
      </c>
      <c r="I548" s="37"/>
      <c r="J548" s="37"/>
      <c r="K548" s="37"/>
      <c r="L548" s="37"/>
      <c r="M548" s="14"/>
      <c r="N548" s="15"/>
      <c r="O548" s="16"/>
      <c r="P548" s="16"/>
      <c r="Q548" s="16"/>
      <c r="R548" s="16"/>
      <c r="S548" s="37" t="str">
        <f>IFERROR(__xludf.DUMMYFUNCTION("if(not(iserror(index(split(C548, "" ""),2))), index(split(C548, "" ""),1),"""")"),"")</f>
        <v/>
      </c>
      <c r="T548" s="315" t="str">
        <f>IFERROR(__xludf.DUMMYFUNCTION("if(S548="""",C548,if(not(iserror(index(split(C548, "" ""),3))), index(split(C548, "" ""),3),index(split(C548, "" ""),2)))"),"")</f>
        <v/>
      </c>
      <c r="U548" s="38" t="b">
        <f t="shared" si="34"/>
        <v>0</v>
      </c>
      <c r="V548" s="38"/>
      <c r="W548" s="40"/>
      <c r="X548" s="40"/>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row>
    <row r="549">
      <c r="A549" s="37"/>
      <c r="B549" s="322"/>
      <c r="C549" s="144"/>
      <c r="D549" s="144"/>
      <c r="E549" s="37"/>
      <c r="F549" s="37"/>
      <c r="G549" s="37"/>
      <c r="H549" s="33" t="str">
        <f t="shared" si="33"/>
        <v/>
      </c>
      <c r="I549" s="37"/>
      <c r="J549" s="37"/>
      <c r="K549" s="37"/>
      <c r="L549" s="37"/>
      <c r="M549" s="14"/>
      <c r="N549" s="14"/>
      <c r="O549" s="16"/>
      <c r="P549" s="16"/>
      <c r="Q549" s="16"/>
      <c r="R549" s="16"/>
      <c r="S549" s="37" t="str">
        <f>IFERROR(__xludf.DUMMYFUNCTION("if(not(iserror(index(split(C549, "" ""),2))), index(split(C549, "" ""),1),"""")"),"")</f>
        <v/>
      </c>
      <c r="T549" s="315" t="str">
        <f>IFERROR(__xludf.DUMMYFUNCTION("if(S549="""",C549,if(not(iserror(index(split(C549, "" ""),3))), index(split(C549, "" ""),3),index(split(C549, "" ""),2)))"),"")</f>
        <v/>
      </c>
      <c r="U549" s="38" t="b">
        <f t="shared" si="34"/>
        <v>0</v>
      </c>
      <c r="V549" s="38"/>
      <c r="W549" s="40"/>
      <c r="X549" s="40"/>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row>
    <row r="550">
      <c r="A550" s="37"/>
      <c r="B550" s="322"/>
      <c r="C550" s="144"/>
      <c r="D550" s="144"/>
      <c r="E550" s="37"/>
      <c r="F550" s="37"/>
      <c r="G550" s="37"/>
      <c r="H550" s="33" t="str">
        <f t="shared" si="33"/>
        <v/>
      </c>
      <c r="I550" s="37"/>
      <c r="J550" s="37"/>
      <c r="K550" s="37"/>
      <c r="L550" s="37"/>
      <c r="M550" s="14"/>
      <c r="N550" s="15"/>
      <c r="O550" s="16"/>
      <c r="P550" s="16"/>
      <c r="Q550" s="16"/>
      <c r="R550" s="16"/>
      <c r="S550" s="37" t="str">
        <f>IFERROR(__xludf.DUMMYFUNCTION("if(not(iserror(index(split(C550, "" ""),2))), index(split(C550, "" ""),1),"""")"),"")</f>
        <v/>
      </c>
      <c r="T550" s="315" t="str">
        <f>IFERROR(__xludf.DUMMYFUNCTION("if(S550="""",C550,if(not(iserror(index(split(C550, "" ""),3))), index(split(C550, "" ""),3),index(split(C550, "" ""),2)))"),"")</f>
        <v/>
      </c>
      <c r="U550" s="38" t="b">
        <f t="shared" si="34"/>
        <v>0</v>
      </c>
      <c r="V550" s="38"/>
      <c r="W550" s="40"/>
      <c r="X550" s="40"/>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row>
    <row r="551">
      <c r="A551" s="37"/>
      <c r="B551" s="322"/>
      <c r="C551" s="144"/>
      <c r="D551" s="144"/>
      <c r="E551" s="37"/>
      <c r="F551" s="37"/>
      <c r="G551" s="37"/>
      <c r="H551" s="33" t="str">
        <f t="shared" si="33"/>
        <v/>
      </c>
      <c r="I551" s="37"/>
      <c r="J551" s="37"/>
      <c r="K551" s="37"/>
      <c r="L551" s="37"/>
      <c r="M551" s="14"/>
      <c r="N551" s="15"/>
      <c r="O551" s="16"/>
      <c r="P551" s="16"/>
      <c r="Q551" s="16"/>
      <c r="R551" s="16"/>
      <c r="S551" s="37" t="str">
        <f>IFERROR(__xludf.DUMMYFUNCTION("if(not(iserror(index(split(C551, "" ""),2))), index(split(C551, "" ""),1),"""")"),"")</f>
        <v/>
      </c>
      <c r="T551" s="315" t="str">
        <f>IFERROR(__xludf.DUMMYFUNCTION("if(S551="""",C551,if(not(iserror(index(split(C551, "" ""),3))), index(split(C551, "" ""),3),index(split(C551, "" ""),2)))"),"")</f>
        <v/>
      </c>
      <c r="U551" s="38" t="b">
        <f t="shared" si="34"/>
        <v>0</v>
      </c>
      <c r="V551" s="38"/>
      <c r="W551" s="40"/>
      <c r="X551" s="40"/>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row>
    <row r="552">
      <c r="A552" s="37"/>
      <c r="B552" s="322"/>
      <c r="C552" s="144"/>
      <c r="D552" s="144"/>
      <c r="E552" s="37"/>
      <c r="F552" s="37"/>
      <c r="G552" s="37"/>
      <c r="H552" s="33" t="str">
        <f t="shared" si="33"/>
        <v/>
      </c>
      <c r="I552" s="37"/>
      <c r="J552" s="37"/>
      <c r="K552" s="37"/>
      <c r="L552" s="37"/>
      <c r="M552" s="14"/>
      <c r="N552" s="15"/>
      <c r="O552" s="16"/>
      <c r="P552" s="16"/>
      <c r="Q552" s="16"/>
      <c r="R552" s="16"/>
      <c r="S552" s="37" t="str">
        <f>IFERROR(__xludf.DUMMYFUNCTION("if(not(iserror(index(split(C552, "" ""),2))), index(split(C552, "" ""),1),"""")"),"")</f>
        <v/>
      </c>
      <c r="T552" s="315" t="str">
        <f>IFERROR(__xludf.DUMMYFUNCTION("if(S552="""",C552,if(not(iserror(index(split(C552, "" ""),3))), index(split(C552, "" ""),3),index(split(C552, "" ""),2)))"),"")</f>
        <v/>
      </c>
      <c r="U552" s="38" t="b">
        <f t="shared" si="34"/>
        <v>0</v>
      </c>
      <c r="V552" s="38"/>
      <c r="W552" s="40"/>
      <c r="X552" s="40"/>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row>
    <row r="553">
      <c r="A553" s="37"/>
      <c r="B553" s="322"/>
      <c r="C553" s="144"/>
      <c r="D553" s="144"/>
      <c r="E553" s="37"/>
      <c r="F553" s="37"/>
      <c r="G553" s="37"/>
      <c r="H553" s="33" t="str">
        <f t="shared" si="33"/>
        <v/>
      </c>
      <c r="I553" s="37"/>
      <c r="J553" s="37"/>
      <c r="K553" s="37"/>
      <c r="L553" s="37"/>
      <c r="M553" s="14"/>
      <c r="N553" s="15"/>
      <c r="O553" s="16"/>
      <c r="P553" s="16"/>
      <c r="Q553" s="16"/>
      <c r="R553" s="16"/>
      <c r="S553" s="37" t="str">
        <f>IFERROR(__xludf.DUMMYFUNCTION("if(not(iserror(index(split(C553, "" ""),2))), index(split(C553, "" ""),1),"""")"),"")</f>
        <v/>
      </c>
      <c r="T553" s="315" t="str">
        <f>IFERROR(__xludf.DUMMYFUNCTION("if(S553="""",C553,if(not(iserror(index(split(C553, "" ""),3))), index(split(C553, "" ""),3),index(split(C553, "" ""),2)))"),"")</f>
        <v/>
      </c>
      <c r="U553" s="38" t="b">
        <f t="shared" si="34"/>
        <v>0</v>
      </c>
      <c r="V553" s="38"/>
      <c r="W553" s="40"/>
      <c r="X553" s="40"/>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row>
    <row r="554">
      <c r="A554" s="90"/>
      <c r="B554" s="322"/>
      <c r="C554" s="144"/>
      <c r="D554" s="144"/>
      <c r="E554" s="37"/>
      <c r="F554" s="37"/>
      <c r="G554" s="37"/>
      <c r="H554" s="33" t="str">
        <f t="shared" si="33"/>
        <v/>
      </c>
      <c r="I554" s="37"/>
      <c r="J554" s="37"/>
      <c r="K554" s="37"/>
      <c r="L554" s="37"/>
      <c r="M554" s="14"/>
      <c r="N554" s="15"/>
      <c r="O554" s="16"/>
      <c r="P554" s="16"/>
      <c r="Q554" s="16"/>
      <c r="R554" s="16"/>
      <c r="S554" s="37" t="str">
        <f>IFERROR(__xludf.DUMMYFUNCTION("if(not(iserror(index(split(C554, "" ""),2))), index(split(C554, "" ""),1),"""")"),"")</f>
        <v/>
      </c>
      <c r="T554" s="315" t="str">
        <f>IFERROR(__xludf.DUMMYFUNCTION("if(S554="""",C554,if(not(iserror(index(split(C554, "" ""),3))), index(split(C554, "" ""),3),index(split(C554, "" ""),2)))"),"")</f>
        <v/>
      </c>
      <c r="U554" s="38" t="b">
        <f t="shared" si="34"/>
        <v>0</v>
      </c>
      <c r="V554" s="38"/>
      <c r="W554" s="40"/>
      <c r="X554" s="40"/>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row>
    <row r="555">
      <c r="A555" s="90"/>
      <c r="B555" s="322"/>
      <c r="C555" s="144"/>
      <c r="D555" s="144"/>
      <c r="E555" s="37"/>
      <c r="F555" s="37"/>
      <c r="G555" s="37"/>
      <c r="H555" s="33" t="str">
        <f t="shared" si="33"/>
        <v/>
      </c>
      <c r="I555" s="37"/>
      <c r="J555" s="37"/>
      <c r="K555" s="37"/>
      <c r="L555" s="37"/>
      <c r="M555" s="14"/>
      <c r="N555" s="15"/>
      <c r="O555" s="16"/>
      <c r="P555" s="16"/>
      <c r="Q555" s="16"/>
      <c r="R555" s="16"/>
      <c r="S555" s="37" t="str">
        <f>IFERROR(__xludf.DUMMYFUNCTION("if(not(iserror(index(split(C555, "" ""),2))), index(split(C555, "" ""),1),"""")"),"")</f>
        <v/>
      </c>
      <c r="T555" s="315" t="str">
        <f>IFERROR(__xludf.DUMMYFUNCTION("if(S555="""",C555,if(not(iserror(index(split(C555, "" ""),3))), index(split(C555, "" ""),3),index(split(C555, "" ""),2)))"),"")</f>
        <v/>
      </c>
      <c r="U555" s="38" t="b">
        <f t="shared" si="34"/>
        <v>0</v>
      </c>
      <c r="V555" s="38"/>
      <c r="W555" s="40"/>
      <c r="X555" s="40"/>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row>
    <row r="556">
      <c r="A556" s="90"/>
      <c r="B556" s="322"/>
      <c r="C556" s="144"/>
      <c r="D556" s="144"/>
      <c r="E556" s="37"/>
      <c r="F556" s="37"/>
      <c r="G556" s="37"/>
      <c r="H556" s="33" t="str">
        <f t="shared" si="33"/>
        <v/>
      </c>
      <c r="I556" s="37"/>
      <c r="J556" s="37"/>
      <c r="K556" s="37"/>
      <c r="L556" s="37"/>
      <c r="M556" s="14"/>
      <c r="N556" s="15"/>
      <c r="O556" s="16"/>
      <c r="P556" s="16"/>
      <c r="Q556" s="16"/>
      <c r="R556" s="16"/>
      <c r="S556" s="37" t="str">
        <f>IFERROR(__xludf.DUMMYFUNCTION("if(not(iserror(index(split(C556, "" ""),2))), index(split(C556, "" ""),1),"""")"),"")</f>
        <v/>
      </c>
      <c r="T556" s="315" t="str">
        <f>IFERROR(__xludf.DUMMYFUNCTION("if(S556="""",C556,if(not(iserror(index(split(C556, "" ""),3))), index(split(C556, "" ""),3),index(split(C556, "" ""),2)))"),"")</f>
        <v/>
      </c>
      <c r="U556" s="38" t="b">
        <f t="shared" si="34"/>
        <v>0</v>
      </c>
      <c r="V556" s="38"/>
      <c r="W556" s="40"/>
      <c r="X556" s="40"/>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row>
    <row r="557">
      <c r="A557" s="90"/>
      <c r="B557" s="322"/>
      <c r="C557" s="144"/>
      <c r="D557" s="144"/>
      <c r="E557" s="37"/>
      <c r="F557" s="37"/>
      <c r="G557" s="37"/>
      <c r="H557" s="33" t="str">
        <f t="shared" si="33"/>
        <v/>
      </c>
      <c r="I557" s="37"/>
      <c r="J557" s="37"/>
      <c r="K557" s="37"/>
      <c r="L557" s="37"/>
      <c r="M557" s="14"/>
      <c r="N557" s="15"/>
      <c r="O557" s="16"/>
      <c r="P557" s="16"/>
      <c r="Q557" s="16"/>
      <c r="R557" s="16"/>
      <c r="S557" s="37" t="str">
        <f>IFERROR(__xludf.DUMMYFUNCTION("if(not(iserror(index(split(C557, "" ""),2))), index(split(C557, "" ""),1),"""")"),"")</f>
        <v/>
      </c>
      <c r="T557" s="315" t="str">
        <f>IFERROR(__xludf.DUMMYFUNCTION("if(S557="""",C557,if(not(iserror(index(split(C557, "" ""),3))), index(split(C557, "" ""),3),index(split(C557, "" ""),2)))"),"")</f>
        <v/>
      </c>
      <c r="U557" s="38" t="b">
        <f t="shared" si="34"/>
        <v>0</v>
      </c>
      <c r="V557" s="38"/>
      <c r="W557" s="40"/>
      <c r="X557" s="40"/>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row>
    <row r="558">
      <c r="A558" s="90"/>
      <c r="B558" s="322"/>
      <c r="C558" s="144"/>
      <c r="D558" s="144"/>
      <c r="E558" s="37"/>
      <c r="F558" s="37"/>
      <c r="G558" s="37"/>
      <c r="H558" s="33" t="str">
        <f t="shared" si="33"/>
        <v/>
      </c>
      <c r="I558" s="37"/>
      <c r="J558" s="37"/>
      <c r="K558" s="37"/>
      <c r="L558" s="37"/>
      <c r="M558" s="14"/>
      <c r="N558" s="15"/>
      <c r="O558" s="16"/>
      <c r="P558" s="16"/>
      <c r="Q558" s="16"/>
      <c r="R558" s="16"/>
      <c r="S558" s="37" t="str">
        <f>IFERROR(__xludf.DUMMYFUNCTION("if(not(iserror(index(split(C558, "" ""),2))), index(split(C558, "" ""),1),"""")"),"")</f>
        <v/>
      </c>
      <c r="T558" s="315" t="str">
        <f>IFERROR(__xludf.DUMMYFUNCTION("if(S558="""",C558,if(not(iserror(index(split(C558, "" ""),3))), index(split(C558, "" ""),3),index(split(C558, "" ""),2)))"),"")</f>
        <v/>
      </c>
      <c r="U558" s="38" t="b">
        <f t="shared" si="34"/>
        <v>0</v>
      </c>
      <c r="V558" s="38"/>
      <c r="W558" s="40"/>
      <c r="X558" s="40"/>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row>
    <row r="559">
      <c r="A559" s="37"/>
      <c r="B559" s="322"/>
      <c r="C559" s="144"/>
      <c r="D559" s="144"/>
      <c r="E559" s="37"/>
      <c r="F559" s="37"/>
      <c r="G559" s="37"/>
      <c r="H559" s="33" t="str">
        <f t="shared" si="33"/>
        <v/>
      </c>
      <c r="I559" s="37"/>
      <c r="J559" s="37"/>
      <c r="K559" s="37"/>
      <c r="L559" s="37"/>
      <c r="M559" s="14"/>
      <c r="N559" s="15"/>
      <c r="O559" s="16"/>
      <c r="P559" s="16"/>
      <c r="Q559" s="16"/>
      <c r="R559" s="16"/>
      <c r="S559" s="37" t="str">
        <f>IFERROR(__xludf.DUMMYFUNCTION("if(not(iserror(index(split(C559, "" ""),2))), index(split(C559, "" ""),1),"""")"),"")</f>
        <v/>
      </c>
      <c r="T559" s="315" t="str">
        <f>IFERROR(__xludf.DUMMYFUNCTION("if(S559="""",C559,if(not(iserror(index(split(C559, "" ""),3))), index(split(C559, "" ""),3),index(split(C559, "" ""),2)))"),"")</f>
        <v/>
      </c>
      <c r="U559" s="38" t="b">
        <f t="shared" si="34"/>
        <v>0</v>
      </c>
      <c r="V559" s="38"/>
      <c r="W559" s="40"/>
      <c r="X559" s="40"/>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row>
    <row r="560">
      <c r="A560" s="37"/>
      <c r="B560" s="322"/>
      <c r="C560" s="144"/>
      <c r="D560" s="144"/>
      <c r="E560" s="37"/>
      <c r="F560" s="37"/>
      <c r="G560" s="37"/>
      <c r="H560" s="33" t="str">
        <f t="shared" si="33"/>
        <v/>
      </c>
      <c r="I560" s="37"/>
      <c r="J560" s="37"/>
      <c r="K560" s="37"/>
      <c r="L560" s="37"/>
      <c r="M560" s="14"/>
      <c r="N560" s="14"/>
      <c r="O560" s="16"/>
      <c r="P560" s="16"/>
      <c r="Q560" s="16"/>
      <c r="R560" s="16"/>
      <c r="S560" s="37" t="str">
        <f>IFERROR(__xludf.DUMMYFUNCTION("if(not(iserror(index(split(C560, "" ""),2))), index(split(C560, "" ""),1),"""")"),"")</f>
        <v/>
      </c>
      <c r="T560" s="315" t="str">
        <f>IFERROR(__xludf.DUMMYFUNCTION("if(S560="""",C560,if(not(iserror(index(split(C560, "" ""),3))), index(split(C560, "" ""),3),index(split(C560, "" ""),2)))"),"")</f>
        <v/>
      </c>
      <c r="U560" s="38" t="b">
        <f t="shared" si="34"/>
        <v>0</v>
      </c>
      <c r="V560" s="38"/>
      <c r="W560" s="40"/>
      <c r="X560" s="40"/>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row>
    <row r="561">
      <c r="A561" s="37"/>
      <c r="B561" s="322"/>
      <c r="C561" s="144"/>
      <c r="D561" s="144"/>
      <c r="E561" s="37"/>
      <c r="F561" s="37"/>
      <c r="G561" s="37"/>
      <c r="H561" s="33" t="str">
        <f t="shared" si="33"/>
        <v/>
      </c>
      <c r="I561" s="37"/>
      <c r="J561" s="37"/>
      <c r="K561" s="37"/>
      <c r="L561" s="37"/>
      <c r="M561" s="14"/>
      <c r="N561" s="15"/>
      <c r="O561" s="16"/>
      <c r="P561" s="16"/>
      <c r="Q561" s="16"/>
      <c r="R561" s="16"/>
      <c r="S561" s="37" t="str">
        <f>IFERROR(__xludf.DUMMYFUNCTION("if(not(iserror(index(split(C561, "" ""),2))), index(split(C561, "" ""),1),"""")"),"")</f>
        <v/>
      </c>
      <c r="T561" s="315" t="str">
        <f>IFERROR(__xludf.DUMMYFUNCTION("if(S561="""",C561,if(not(iserror(index(split(C561, "" ""),3))), index(split(C561, "" ""),3),index(split(C561, "" ""),2)))"),"")</f>
        <v/>
      </c>
      <c r="U561" s="38" t="b">
        <f t="shared" si="34"/>
        <v>0</v>
      </c>
      <c r="V561" s="38"/>
      <c r="W561" s="40"/>
      <c r="X561" s="40"/>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row>
    <row r="562">
      <c r="A562" s="37"/>
      <c r="B562" s="322"/>
      <c r="C562" s="144"/>
      <c r="D562" s="144"/>
      <c r="E562" s="37"/>
      <c r="F562" s="37"/>
      <c r="G562" s="37"/>
      <c r="H562" s="33" t="str">
        <f t="shared" si="33"/>
        <v/>
      </c>
      <c r="I562" s="37"/>
      <c r="J562" s="37"/>
      <c r="K562" s="37"/>
      <c r="L562" s="37"/>
      <c r="M562" s="14"/>
      <c r="N562" s="15"/>
      <c r="O562" s="16"/>
      <c r="P562" s="16"/>
      <c r="Q562" s="16"/>
      <c r="R562" s="16"/>
      <c r="S562" s="37" t="str">
        <f>IFERROR(__xludf.DUMMYFUNCTION("if(not(iserror(index(split(C562, "" ""),2))), index(split(C562, "" ""),1),"""")"),"")</f>
        <v/>
      </c>
      <c r="T562" s="315" t="str">
        <f>IFERROR(__xludf.DUMMYFUNCTION("if(S562="""",C562,if(not(iserror(index(split(C562, "" ""),3))), index(split(C562, "" ""),3),index(split(C562, "" ""),2)))"),"")</f>
        <v/>
      </c>
      <c r="U562" s="38" t="b">
        <f t="shared" si="34"/>
        <v>0</v>
      </c>
      <c r="V562" s="38"/>
      <c r="W562" s="40"/>
      <c r="X562" s="40"/>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row>
    <row r="563">
      <c r="A563" s="37"/>
      <c r="B563" s="322"/>
      <c r="C563" s="144"/>
      <c r="D563" s="144"/>
      <c r="E563" s="37"/>
      <c r="F563" s="37"/>
      <c r="G563" s="37"/>
      <c r="H563" s="33" t="str">
        <f t="shared" si="33"/>
        <v/>
      </c>
      <c r="I563" s="37"/>
      <c r="J563" s="37"/>
      <c r="K563" s="37"/>
      <c r="L563" s="37"/>
      <c r="M563" s="14"/>
      <c r="N563" s="15"/>
      <c r="O563" s="16"/>
      <c r="P563" s="16"/>
      <c r="Q563" s="16"/>
      <c r="R563" s="16"/>
      <c r="S563" s="37" t="str">
        <f>IFERROR(__xludf.DUMMYFUNCTION("if(not(iserror(index(split(C563, "" ""),2))), index(split(C563, "" ""),1),"""")"),"")</f>
        <v/>
      </c>
      <c r="T563" s="315" t="str">
        <f>IFERROR(__xludf.DUMMYFUNCTION("if(S563="""",C563,if(not(iserror(index(split(C563, "" ""),3))), index(split(C563, "" ""),3),index(split(C563, "" ""),2)))"),"")</f>
        <v/>
      </c>
      <c r="U563" s="38" t="b">
        <f t="shared" si="34"/>
        <v>0</v>
      </c>
      <c r="V563" s="38"/>
      <c r="W563" s="40"/>
      <c r="X563" s="40"/>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row>
    <row r="564">
      <c r="A564" s="368"/>
      <c r="B564" s="322"/>
      <c r="C564" s="144"/>
      <c r="D564" s="144"/>
      <c r="E564" s="37"/>
      <c r="F564" s="37"/>
      <c r="G564" s="37"/>
      <c r="H564" s="33" t="str">
        <f t="shared" si="33"/>
        <v/>
      </c>
      <c r="I564" s="37"/>
      <c r="J564" s="37"/>
      <c r="K564" s="37"/>
      <c r="L564" s="37"/>
      <c r="M564" s="14"/>
      <c r="N564" s="15"/>
      <c r="O564" s="16"/>
      <c r="P564" s="16"/>
      <c r="Q564" s="16"/>
      <c r="R564" s="16"/>
      <c r="S564" s="37" t="str">
        <f>IFERROR(__xludf.DUMMYFUNCTION("if(not(iserror(index(split(C564, "" ""),2))), index(split(C564, "" ""),1),"""")"),"")</f>
        <v/>
      </c>
      <c r="T564" s="315" t="str">
        <f>IFERROR(__xludf.DUMMYFUNCTION("if(S564="""",C564,if(not(iserror(index(split(C564, "" ""),3))), index(split(C564, "" ""),3),index(split(C564, "" ""),2)))"),"")</f>
        <v/>
      </c>
      <c r="U564" s="38" t="b">
        <f t="shared" si="34"/>
        <v>0</v>
      </c>
      <c r="V564" s="38"/>
      <c r="W564" s="40"/>
      <c r="X564" s="40"/>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row>
    <row r="565">
      <c r="A565" s="368"/>
      <c r="B565" s="322"/>
      <c r="C565" s="144"/>
      <c r="D565" s="144"/>
      <c r="E565" s="37"/>
      <c r="F565" s="37"/>
      <c r="G565" s="37"/>
      <c r="H565" s="33" t="str">
        <f t="shared" si="33"/>
        <v/>
      </c>
      <c r="I565" s="37"/>
      <c r="J565" s="37"/>
      <c r="K565" s="37"/>
      <c r="L565" s="37"/>
      <c r="M565" s="14"/>
      <c r="N565" s="15"/>
      <c r="O565" s="16"/>
      <c r="P565" s="16"/>
      <c r="Q565" s="16"/>
      <c r="R565" s="16"/>
      <c r="S565" s="37" t="str">
        <f>IFERROR(__xludf.DUMMYFUNCTION("if(not(iserror(index(split(C565, "" ""),2))), index(split(C565, "" ""),1),"""")"),"")</f>
        <v/>
      </c>
      <c r="T565" s="315" t="str">
        <f>IFERROR(__xludf.DUMMYFUNCTION("if(S565="""",C565,if(not(iserror(index(split(C565, "" ""),3))), index(split(C565, "" ""),3),index(split(C565, "" ""),2)))"),"")</f>
        <v/>
      </c>
      <c r="U565" s="38" t="b">
        <f t="shared" si="34"/>
        <v>0</v>
      </c>
      <c r="V565" s="38"/>
      <c r="W565" s="40"/>
      <c r="X565" s="40"/>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row>
    <row r="566">
      <c r="A566" s="368"/>
      <c r="B566" s="322"/>
      <c r="C566" s="144"/>
      <c r="D566" s="144"/>
      <c r="E566" s="37"/>
      <c r="F566" s="37"/>
      <c r="G566" s="37"/>
      <c r="H566" s="33" t="str">
        <f t="shared" si="33"/>
        <v/>
      </c>
      <c r="I566" s="37"/>
      <c r="J566" s="37"/>
      <c r="K566" s="37"/>
      <c r="L566" s="37"/>
      <c r="M566" s="14"/>
      <c r="N566" s="15"/>
      <c r="O566" s="16"/>
      <c r="P566" s="16"/>
      <c r="Q566" s="16"/>
      <c r="R566" s="16"/>
      <c r="S566" s="37" t="str">
        <f>IFERROR(__xludf.DUMMYFUNCTION("if(not(iserror(index(split(C566, "" ""),2))), index(split(C566, "" ""),1),"""")"),"")</f>
        <v/>
      </c>
      <c r="T566" s="315" t="str">
        <f>IFERROR(__xludf.DUMMYFUNCTION("if(S566="""",C566,if(not(iserror(index(split(C566, "" ""),3))), index(split(C566, "" ""),3),index(split(C566, "" ""),2)))"),"")</f>
        <v/>
      </c>
      <c r="U566" s="38" t="b">
        <f t="shared" si="34"/>
        <v>0</v>
      </c>
      <c r="V566" s="38"/>
      <c r="W566" s="40"/>
      <c r="X566" s="40"/>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row>
    <row r="567">
      <c r="A567" s="369"/>
      <c r="B567" s="322"/>
      <c r="C567" s="144"/>
      <c r="D567" s="144"/>
      <c r="E567" s="37"/>
      <c r="F567" s="37"/>
      <c r="G567" s="37"/>
      <c r="H567" s="33" t="str">
        <f t="shared" si="33"/>
        <v/>
      </c>
      <c r="I567" s="37"/>
      <c r="J567" s="37"/>
      <c r="K567" s="37"/>
      <c r="L567" s="37"/>
      <c r="M567" s="14"/>
      <c r="N567" s="15"/>
      <c r="O567" s="16"/>
      <c r="P567" s="16"/>
      <c r="Q567" s="16"/>
      <c r="R567" s="16"/>
      <c r="S567" s="37" t="str">
        <f>IFERROR(__xludf.DUMMYFUNCTION("if(not(iserror(index(split(C567, "" ""),2))), index(split(C567, "" ""),1),"""")"),"")</f>
        <v/>
      </c>
      <c r="T567" s="315" t="str">
        <f>IFERROR(__xludf.DUMMYFUNCTION("if(S567="""",C567,if(not(iserror(index(split(C567, "" ""),3))), index(split(C567, "" ""),3),index(split(C567, "" ""),2)))"),"")</f>
        <v/>
      </c>
      <c r="U567" s="38" t="b">
        <f t="shared" si="34"/>
        <v>0</v>
      </c>
      <c r="V567" s="38"/>
      <c r="W567" s="40"/>
      <c r="X567" s="40"/>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row>
    <row r="568">
      <c r="A568" s="368"/>
      <c r="B568" s="322"/>
      <c r="C568" s="144"/>
      <c r="D568" s="144"/>
      <c r="E568" s="37"/>
      <c r="F568" s="37"/>
      <c r="G568" s="37"/>
      <c r="H568" s="33" t="str">
        <f t="shared" si="33"/>
        <v/>
      </c>
      <c r="I568" s="37"/>
      <c r="J568" s="37"/>
      <c r="K568" s="37"/>
      <c r="L568" s="58"/>
      <c r="M568" s="14"/>
      <c r="N568" s="15"/>
      <c r="O568" s="16"/>
      <c r="P568" s="16"/>
      <c r="Q568" s="16"/>
      <c r="R568" s="16"/>
      <c r="S568" s="37" t="str">
        <f>IFERROR(__xludf.DUMMYFUNCTION("if(not(iserror(index(split(C568, "" ""),2))), index(split(C568, "" ""),1),"""")"),"")</f>
        <v/>
      </c>
      <c r="T568" s="315" t="str">
        <f>IFERROR(__xludf.DUMMYFUNCTION("if(S568="""",C568,if(not(iserror(index(split(C568, "" ""),3))), index(split(C568, "" ""),3),index(split(C568, "" ""),2)))"),"")</f>
        <v/>
      </c>
      <c r="U568" s="38" t="b">
        <f t="shared" si="34"/>
        <v>0</v>
      </c>
      <c r="V568" s="38"/>
      <c r="W568" s="40"/>
      <c r="X568" s="40"/>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row>
    <row r="569">
      <c r="A569" s="368"/>
      <c r="B569" s="322"/>
      <c r="C569" s="144"/>
      <c r="D569" s="144"/>
      <c r="E569" s="37"/>
      <c r="F569" s="37"/>
      <c r="G569" s="37"/>
      <c r="H569" s="33" t="str">
        <f t="shared" si="33"/>
        <v/>
      </c>
      <c r="I569" s="37"/>
      <c r="J569" s="37"/>
      <c r="K569" s="37"/>
      <c r="L569" s="37"/>
      <c r="M569" s="14"/>
      <c r="N569" s="15"/>
      <c r="O569" s="16"/>
      <c r="P569" s="16"/>
      <c r="Q569" s="16"/>
      <c r="R569" s="16"/>
      <c r="S569" s="37" t="str">
        <f>IFERROR(__xludf.DUMMYFUNCTION("if(not(iserror(index(split(C569, "" ""),2))), index(split(C569, "" ""),1),"""")"),"")</f>
        <v/>
      </c>
      <c r="T569" s="315" t="str">
        <f>IFERROR(__xludf.DUMMYFUNCTION("if(S569="""",C569,if(not(iserror(index(split(C569, "" ""),3))), index(split(C569, "" ""),3),index(split(C569, "" ""),2)))"),"")</f>
        <v/>
      </c>
      <c r="U569" s="38" t="b">
        <f t="shared" si="34"/>
        <v>0</v>
      </c>
      <c r="V569" s="38"/>
      <c r="W569" s="40"/>
      <c r="X569" s="40"/>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row>
    <row r="570">
      <c r="A570" s="368"/>
      <c r="B570" s="322"/>
      <c r="C570" s="144"/>
      <c r="D570" s="144"/>
      <c r="E570" s="37"/>
      <c r="F570" s="37"/>
      <c r="G570" s="37"/>
      <c r="H570" s="33" t="str">
        <f t="shared" si="33"/>
        <v/>
      </c>
      <c r="I570" s="37"/>
      <c r="J570" s="37"/>
      <c r="K570" s="37"/>
      <c r="L570" s="37"/>
      <c r="M570" s="14"/>
      <c r="N570" s="15"/>
      <c r="O570" s="16"/>
      <c r="P570" s="16"/>
      <c r="Q570" s="16"/>
      <c r="R570" s="16"/>
      <c r="S570" s="37" t="str">
        <f>IFERROR(__xludf.DUMMYFUNCTION("if(not(iserror(index(split(C570, "" ""),2))), index(split(C570, "" ""),1),"""")"),"")</f>
        <v/>
      </c>
      <c r="T570" s="315" t="str">
        <f>IFERROR(__xludf.DUMMYFUNCTION("if(S570="""",C570,if(not(iserror(index(split(C570, "" ""),3))), index(split(C570, "" ""),3),index(split(C570, "" ""),2)))"),"")</f>
        <v/>
      </c>
      <c r="U570" s="38" t="b">
        <f t="shared" si="34"/>
        <v>0</v>
      </c>
      <c r="V570" s="38"/>
      <c r="W570" s="40"/>
      <c r="X570" s="40"/>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row>
    <row r="571">
      <c r="A571" s="368"/>
      <c r="B571" s="322"/>
      <c r="C571" s="144"/>
      <c r="D571" s="144"/>
      <c r="E571" s="37"/>
      <c r="F571" s="37"/>
      <c r="G571" s="37"/>
      <c r="H571" s="33" t="str">
        <f t="shared" si="33"/>
        <v/>
      </c>
      <c r="I571" s="37"/>
      <c r="J571" s="37"/>
      <c r="K571" s="37"/>
      <c r="L571" s="37"/>
      <c r="M571" s="14"/>
      <c r="N571" s="15"/>
      <c r="O571" s="16"/>
      <c r="P571" s="16"/>
      <c r="Q571" s="16"/>
      <c r="R571" s="16"/>
      <c r="S571" s="37" t="str">
        <f>IFERROR(__xludf.DUMMYFUNCTION("if(not(iserror(index(split(C571, "" ""),2))), index(split(C571, "" ""),1),"""")"),"")</f>
        <v/>
      </c>
      <c r="T571" s="315" t="str">
        <f>IFERROR(__xludf.DUMMYFUNCTION("if(S571="""",C571,if(not(iserror(index(split(C571, "" ""),3))), index(split(C571, "" ""),3),index(split(C571, "" ""),2)))"),"")</f>
        <v/>
      </c>
      <c r="U571" s="38" t="b">
        <f t="shared" si="34"/>
        <v>0</v>
      </c>
      <c r="V571" s="38"/>
      <c r="W571" s="40"/>
      <c r="X571" s="40"/>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row>
    <row r="572">
      <c r="A572" s="368"/>
      <c r="B572" s="322"/>
      <c r="C572" s="144"/>
      <c r="D572" s="144"/>
      <c r="E572" s="37"/>
      <c r="F572" s="37"/>
      <c r="G572" s="37"/>
      <c r="H572" s="33" t="str">
        <f t="shared" si="33"/>
        <v/>
      </c>
      <c r="I572" s="37"/>
      <c r="J572" s="37"/>
      <c r="K572" s="37"/>
      <c r="L572" s="37"/>
      <c r="M572" s="14"/>
      <c r="N572" s="15"/>
      <c r="O572" s="16"/>
      <c r="P572" s="16"/>
      <c r="Q572" s="16"/>
      <c r="R572" s="16"/>
      <c r="S572" s="37" t="str">
        <f>IFERROR(__xludf.DUMMYFUNCTION("if(not(iserror(index(split(C572, "" ""),2))), index(split(C572, "" ""),1),"""")"),"")</f>
        <v/>
      </c>
      <c r="T572" s="315" t="str">
        <f>IFERROR(__xludf.DUMMYFUNCTION("if(S572="""",C572,if(not(iserror(index(split(C572, "" ""),3))), index(split(C572, "" ""),3),index(split(C572, "" ""),2)))"),"")</f>
        <v/>
      </c>
      <c r="U572" s="38" t="b">
        <f t="shared" si="34"/>
        <v>0</v>
      </c>
      <c r="V572" s="38"/>
      <c r="W572" s="40"/>
      <c r="X572" s="40"/>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row>
    <row r="573">
      <c r="A573" s="368"/>
      <c r="B573" s="322"/>
      <c r="C573" s="144"/>
      <c r="D573" s="144"/>
      <c r="E573" s="37"/>
      <c r="F573" s="37"/>
      <c r="G573" s="37"/>
      <c r="H573" s="33" t="str">
        <f t="shared" si="33"/>
        <v/>
      </c>
      <c r="I573" s="37"/>
      <c r="J573" s="37"/>
      <c r="K573" s="37"/>
      <c r="L573" s="37"/>
      <c r="M573" s="14"/>
      <c r="N573" s="15"/>
      <c r="O573" s="16"/>
      <c r="P573" s="16"/>
      <c r="Q573" s="16"/>
      <c r="R573" s="16"/>
      <c r="S573" s="37" t="str">
        <f>IFERROR(__xludf.DUMMYFUNCTION("if(not(iserror(index(split(C573, "" ""),2))), index(split(C573, "" ""),1),"""")"),"")</f>
        <v/>
      </c>
      <c r="T573" s="315" t="str">
        <f>IFERROR(__xludf.DUMMYFUNCTION("if(S573="""",C573,if(not(iserror(index(split(C573, "" ""),3))), index(split(C573, "" ""),3),index(split(C573, "" ""),2)))"),"")</f>
        <v/>
      </c>
      <c r="U573" s="38" t="b">
        <f t="shared" si="34"/>
        <v>0</v>
      </c>
      <c r="V573" s="38"/>
      <c r="W573" s="40"/>
      <c r="X573" s="40"/>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row>
    <row r="574">
      <c r="A574" s="368"/>
      <c r="B574" s="322"/>
      <c r="C574" s="144"/>
      <c r="D574" s="144"/>
      <c r="E574" s="37"/>
      <c r="F574" s="37"/>
      <c r="G574" s="37"/>
      <c r="H574" s="33" t="str">
        <f t="shared" si="33"/>
        <v/>
      </c>
      <c r="I574" s="37"/>
      <c r="J574" s="37"/>
      <c r="K574" s="37"/>
      <c r="L574" s="37"/>
      <c r="M574" s="14"/>
      <c r="N574" s="15"/>
      <c r="O574" s="16"/>
      <c r="P574" s="16"/>
      <c r="Q574" s="16"/>
      <c r="R574" s="16"/>
      <c r="S574" s="37" t="str">
        <f>IFERROR(__xludf.DUMMYFUNCTION("if(not(iserror(index(split(C574, "" ""),2))), index(split(C574, "" ""),1),"""")"),"")</f>
        <v/>
      </c>
      <c r="T574" s="315" t="str">
        <f>IFERROR(__xludf.DUMMYFUNCTION("if(S574="""",C574,if(not(iserror(index(split(C574, "" ""),3))), index(split(C574, "" ""),3),index(split(C574, "" ""),2)))"),"")</f>
        <v/>
      </c>
      <c r="U574" s="38" t="b">
        <f t="shared" si="34"/>
        <v>0</v>
      </c>
      <c r="V574" s="38"/>
      <c r="W574" s="40"/>
      <c r="X574" s="40"/>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row>
    <row r="575">
      <c r="A575" s="368"/>
      <c r="B575" s="322"/>
      <c r="C575" s="144"/>
      <c r="D575" s="144"/>
      <c r="E575" s="37"/>
      <c r="F575" s="37"/>
      <c r="G575" s="37"/>
      <c r="H575" s="33" t="str">
        <f t="shared" si="33"/>
        <v/>
      </c>
      <c r="I575" s="37"/>
      <c r="J575" s="37"/>
      <c r="K575" s="37"/>
      <c r="L575" s="37"/>
      <c r="M575" s="14"/>
      <c r="N575" s="15"/>
      <c r="O575" s="16"/>
      <c r="P575" s="16"/>
      <c r="Q575" s="16"/>
      <c r="R575" s="16"/>
      <c r="S575" s="37" t="str">
        <f>IFERROR(__xludf.DUMMYFUNCTION("if(not(iserror(index(split(C575, "" ""),2))), index(split(C575, "" ""),1),"""")"),"")</f>
        <v/>
      </c>
      <c r="T575" s="315" t="str">
        <f>IFERROR(__xludf.DUMMYFUNCTION("if(S575="""",C575,if(not(iserror(index(split(C575, "" ""),3))), index(split(C575, "" ""),3),index(split(C575, "" ""),2)))"),"")</f>
        <v/>
      </c>
      <c r="U575" s="38" t="b">
        <f t="shared" si="34"/>
        <v>0</v>
      </c>
      <c r="V575" s="38"/>
      <c r="W575" s="40"/>
      <c r="X575" s="40"/>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row>
    <row r="576">
      <c r="A576" s="37"/>
      <c r="B576" s="322"/>
      <c r="C576" s="144"/>
      <c r="D576" s="144"/>
      <c r="E576" s="37"/>
      <c r="F576" s="37"/>
      <c r="G576" s="37"/>
      <c r="H576" s="33" t="str">
        <f t="shared" si="33"/>
        <v/>
      </c>
      <c r="I576" s="37"/>
      <c r="J576" s="37"/>
      <c r="K576" s="37"/>
      <c r="L576" s="58"/>
      <c r="M576" s="14"/>
      <c r="N576" s="15"/>
      <c r="O576" s="16"/>
      <c r="P576" s="16"/>
      <c r="Q576" s="16"/>
      <c r="R576" s="16"/>
      <c r="S576" s="37" t="str">
        <f>IFERROR(__xludf.DUMMYFUNCTION("if(not(iserror(index(split(C576, "" ""),2))), index(split(C576, "" ""),1),"""")"),"")</f>
        <v/>
      </c>
      <c r="T576" s="315" t="str">
        <f>IFERROR(__xludf.DUMMYFUNCTION("if(S576="""",C576,if(not(iserror(index(split(C576, "" ""),3))), index(split(C576, "" ""),3),index(split(C576, "" ""),2)))"),"")</f>
        <v/>
      </c>
      <c r="U576" s="38" t="b">
        <f t="shared" si="34"/>
        <v>0</v>
      </c>
      <c r="V576" s="38"/>
      <c r="W576" s="40"/>
      <c r="X576" s="40"/>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row>
    <row r="577">
      <c r="A577" s="37"/>
      <c r="B577" s="322"/>
      <c r="C577" s="144"/>
      <c r="D577" s="144"/>
      <c r="E577" s="37"/>
      <c r="F577" s="37"/>
      <c r="G577" s="37"/>
      <c r="H577" s="33" t="str">
        <f t="shared" si="33"/>
        <v/>
      </c>
      <c r="I577" s="37"/>
      <c r="J577" s="37"/>
      <c r="K577" s="37"/>
      <c r="L577" s="58"/>
      <c r="M577" s="14"/>
      <c r="N577" s="15"/>
      <c r="O577" s="16"/>
      <c r="P577" s="16"/>
      <c r="Q577" s="16"/>
      <c r="R577" s="16"/>
      <c r="S577" s="37" t="str">
        <f>IFERROR(__xludf.DUMMYFUNCTION("if(not(iserror(index(split(C577, "" ""),2))), index(split(C577, "" ""),1),"""")"),"")</f>
        <v/>
      </c>
      <c r="T577" s="315" t="str">
        <f>IFERROR(__xludf.DUMMYFUNCTION("if(S577="""",C577,if(not(iserror(index(split(C577, "" ""),3))), index(split(C577, "" ""),3),index(split(C577, "" ""),2)))"),"")</f>
        <v/>
      </c>
      <c r="U577" s="38" t="b">
        <f t="shared" si="34"/>
        <v>0</v>
      </c>
      <c r="V577" s="38"/>
      <c r="W577" s="40"/>
      <c r="X577" s="40"/>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row>
    <row r="578">
      <c r="A578" s="37"/>
      <c r="B578" s="322"/>
      <c r="C578" s="144"/>
      <c r="D578" s="144"/>
      <c r="E578" s="37"/>
      <c r="F578" s="37"/>
      <c r="G578" s="37"/>
      <c r="H578" s="33" t="str">
        <f t="shared" si="33"/>
        <v/>
      </c>
      <c r="I578" s="37"/>
      <c r="J578" s="37"/>
      <c r="K578" s="37"/>
      <c r="L578" s="58"/>
      <c r="M578" s="14"/>
      <c r="N578" s="15"/>
      <c r="O578" s="16"/>
      <c r="P578" s="16"/>
      <c r="Q578" s="16"/>
      <c r="R578" s="16"/>
      <c r="S578" s="37" t="str">
        <f>IFERROR(__xludf.DUMMYFUNCTION("if(not(iserror(index(split(C578, "" ""),2))), index(split(C578, "" ""),1),"""")"),"")</f>
        <v/>
      </c>
      <c r="T578" s="315" t="str">
        <f>IFERROR(__xludf.DUMMYFUNCTION("if(S578="""",C578,if(not(iserror(index(split(C578, "" ""),3))), index(split(C578, "" ""),3),index(split(C578, "" ""),2)))"),"")</f>
        <v/>
      </c>
      <c r="U578" s="38" t="b">
        <f t="shared" si="34"/>
        <v>0</v>
      </c>
      <c r="V578" s="38"/>
      <c r="W578" s="40"/>
      <c r="X578" s="40"/>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row>
    <row r="579">
      <c r="A579" s="37"/>
      <c r="B579" s="322"/>
      <c r="C579" s="144"/>
      <c r="D579" s="144"/>
      <c r="E579" s="37"/>
      <c r="F579" s="37"/>
      <c r="G579" s="37"/>
      <c r="H579" s="33" t="str">
        <f t="shared" si="33"/>
        <v/>
      </c>
      <c r="I579" s="37"/>
      <c r="J579" s="37"/>
      <c r="K579" s="37"/>
      <c r="L579" s="58"/>
      <c r="M579" s="14"/>
      <c r="N579" s="15"/>
      <c r="O579" s="16"/>
      <c r="P579" s="16"/>
      <c r="Q579" s="16"/>
      <c r="R579" s="16"/>
      <c r="S579" s="37" t="str">
        <f>IFERROR(__xludf.DUMMYFUNCTION("if(not(iserror(index(split(C579, "" ""),2))), index(split(C579, "" ""),1),"""")"),"")</f>
        <v/>
      </c>
      <c r="T579" s="315" t="str">
        <f>IFERROR(__xludf.DUMMYFUNCTION("if(S579="""",C579,if(not(iserror(index(split(C579, "" ""),3))), index(split(C579, "" ""),3),index(split(C579, "" ""),2)))"),"")</f>
        <v/>
      </c>
      <c r="U579" s="38" t="b">
        <f t="shared" si="34"/>
        <v>0</v>
      </c>
      <c r="V579" s="38"/>
      <c r="W579" s="40"/>
      <c r="X579" s="40"/>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row>
    <row r="580">
      <c r="A580" s="37"/>
      <c r="B580" s="322"/>
      <c r="C580" s="144"/>
      <c r="D580" s="144"/>
      <c r="E580" s="37"/>
      <c r="F580" s="37"/>
      <c r="G580" s="37"/>
      <c r="H580" s="33" t="str">
        <f t="shared" si="33"/>
        <v/>
      </c>
      <c r="I580" s="37"/>
      <c r="J580" s="37"/>
      <c r="K580" s="37"/>
      <c r="L580" s="58"/>
      <c r="M580" s="14"/>
      <c r="N580" s="15"/>
      <c r="O580" s="16"/>
      <c r="P580" s="16"/>
      <c r="Q580" s="16"/>
      <c r="R580" s="16"/>
      <c r="S580" s="37" t="str">
        <f>IFERROR(__xludf.DUMMYFUNCTION("if(not(iserror(index(split(C580, "" ""),2))), index(split(C580, "" ""),1),"""")"),"")</f>
        <v/>
      </c>
      <c r="T580" s="315" t="str">
        <f>IFERROR(__xludf.DUMMYFUNCTION("if(S580="""",C580,if(not(iserror(index(split(C580, "" ""),3))), index(split(C580, "" ""),3),index(split(C580, "" ""),2)))"),"")</f>
        <v/>
      </c>
      <c r="U580" s="38" t="b">
        <f t="shared" si="34"/>
        <v>0</v>
      </c>
      <c r="V580" s="38"/>
      <c r="W580" s="40"/>
      <c r="X580" s="40"/>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row>
    <row r="581">
      <c r="A581" s="37"/>
      <c r="B581" s="322"/>
      <c r="C581" s="144"/>
      <c r="D581" s="144"/>
      <c r="E581" s="37"/>
      <c r="F581" s="37"/>
      <c r="G581" s="37"/>
      <c r="H581" s="33" t="str">
        <f t="shared" si="33"/>
        <v/>
      </c>
      <c r="I581" s="37"/>
      <c r="J581" s="37"/>
      <c r="K581" s="37"/>
      <c r="L581" s="37"/>
      <c r="M581" s="14"/>
      <c r="N581" s="15"/>
      <c r="O581" s="16"/>
      <c r="P581" s="16"/>
      <c r="Q581" s="16"/>
      <c r="R581" s="16"/>
      <c r="S581" s="37" t="str">
        <f>IFERROR(__xludf.DUMMYFUNCTION("if(not(iserror(index(split(C581, "" ""),2))), index(split(C581, "" ""),1),"""")"),"")</f>
        <v/>
      </c>
      <c r="T581" s="315" t="str">
        <f>IFERROR(__xludf.DUMMYFUNCTION("if(S581="""",C581,if(not(iserror(index(split(C581, "" ""),3))), index(split(C581, "" ""),3),index(split(C581, "" ""),2)))"),"")</f>
        <v/>
      </c>
      <c r="U581" s="38" t="b">
        <f t="shared" si="34"/>
        <v>0</v>
      </c>
      <c r="V581" s="38"/>
      <c r="W581" s="40"/>
      <c r="X581" s="40"/>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row>
    <row r="582">
      <c r="A582" s="37"/>
      <c r="B582" s="322"/>
      <c r="C582" s="144"/>
      <c r="D582" s="144"/>
      <c r="E582" s="37"/>
      <c r="F582" s="37"/>
      <c r="G582" s="37"/>
      <c r="H582" s="33" t="str">
        <f t="shared" si="33"/>
        <v/>
      </c>
      <c r="I582" s="37"/>
      <c r="J582" s="37"/>
      <c r="K582" s="37"/>
      <c r="L582" s="37"/>
      <c r="M582" s="14"/>
      <c r="N582" s="15"/>
      <c r="O582" s="16"/>
      <c r="P582" s="16"/>
      <c r="Q582" s="16"/>
      <c r="R582" s="16"/>
      <c r="S582" s="37" t="str">
        <f>IFERROR(__xludf.DUMMYFUNCTION("if(not(iserror(index(split(C582, "" ""),2))), index(split(C582, "" ""),1),"""")"),"")</f>
        <v/>
      </c>
      <c r="T582" s="315" t="str">
        <f>IFERROR(__xludf.DUMMYFUNCTION("if(S582="""",C582,if(not(iserror(index(split(C582, "" ""),3))), index(split(C582, "" ""),3),index(split(C582, "" ""),2)))"),"")</f>
        <v/>
      </c>
      <c r="U582" s="38" t="b">
        <f t="shared" si="34"/>
        <v>0</v>
      </c>
      <c r="V582" s="38"/>
      <c r="W582" s="40"/>
      <c r="X582" s="40"/>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row>
    <row r="583">
      <c r="A583" s="37"/>
      <c r="B583" s="322"/>
      <c r="C583" s="144"/>
      <c r="D583" s="144"/>
      <c r="E583" s="37"/>
      <c r="F583" s="37"/>
      <c r="G583" s="37"/>
      <c r="H583" s="33" t="str">
        <f t="shared" si="33"/>
        <v/>
      </c>
      <c r="I583" s="37"/>
      <c r="J583" s="37"/>
      <c r="K583" s="37"/>
      <c r="L583" s="37"/>
      <c r="M583" s="14"/>
      <c r="N583" s="15"/>
      <c r="O583" s="16"/>
      <c r="P583" s="16"/>
      <c r="Q583" s="16"/>
      <c r="R583" s="16"/>
      <c r="S583" s="37" t="str">
        <f>IFERROR(__xludf.DUMMYFUNCTION("if(not(iserror(index(split(C583, "" ""),2))), index(split(C583, "" ""),1),"""")"),"")</f>
        <v/>
      </c>
      <c r="T583" s="315" t="str">
        <f>IFERROR(__xludf.DUMMYFUNCTION("if(S583="""",C583,if(not(iserror(index(split(C583, "" ""),3))), index(split(C583, "" ""),3),index(split(C583, "" ""),2)))"),"")</f>
        <v/>
      </c>
      <c r="U583" s="38" t="b">
        <f t="shared" si="34"/>
        <v>0</v>
      </c>
      <c r="V583" s="38"/>
      <c r="W583" s="40"/>
      <c r="X583" s="40"/>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row>
    <row r="584">
      <c r="A584" s="37"/>
      <c r="B584" s="322"/>
      <c r="C584" s="144"/>
      <c r="D584" s="144"/>
      <c r="E584" s="37"/>
      <c r="F584" s="37"/>
      <c r="G584" s="37"/>
      <c r="H584" s="33" t="str">
        <f t="shared" si="33"/>
        <v/>
      </c>
      <c r="I584" s="37"/>
      <c r="J584" s="37"/>
      <c r="K584" s="37"/>
      <c r="L584" s="37"/>
      <c r="M584" s="14"/>
      <c r="N584" s="15"/>
      <c r="O584" s="16"/>
      <c r="P584" s="16"/>
      <c r="Q584" s="16"/>
      <c r="R584" s="16"/>
      <c r="S584" s="37" t="str">
        <f>IFERROR(__xludf.DUMMYFUNCTION("if(not(iserror(index(split(C584, "" ""),2))), index(split(C584, "" ""),1),"""")"),"")</f>
        <v/>
      </c>
      <c r="T584" s="315" t="str">
        <f>IFERROR(__xludf.DUMMYFUNCTION("if(S584="""",C584,if(not(iserror(index(split(C584, "" ""),3))), index(split(C584, "" ""),3),index(split(C584, "" ""),2)))"),"")</f>
        <v/>
      </c>
      <c r="U584" s="38" t="b">
        <f t="shared" si="34"/>
        <v>0</v>
      </c>
      <c r="V584" s="38"/>
      <c r="W584" s="40"/>
      <c r="X584" s="40"/>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row>
    <row r="585">
      <c r="A585" s="37"/>
      <c r="B585" s="322"/>
      <c r="C585" s="144"/>
      <c r="D585" s="144"/>
      <c r="E585" s="37"/>
      <c r="F585" s="37"/>
      <c r="G585" s="37"/>
      <c r="H585" s="33" t="str">
        <f t="shared" si="33"/>
        <v/>
      </c>
      <c r="I585" s="37"/>
      <c r="J585" s="37"/>
      <c r="K585" s="37"/>
      <c r="L585" s="37"/>
      <c r="M585" s="14"/>
      <c r="N585" s="15"/>
      <c r="O585" s="16"/>
      <c r="P585" s="16"/>
      <c r="Q585" s="16"/>
      <c r="R585" s="16"/>
      <c r="S585" s="37" t="str">
        <f>IFERROR(__xludf.DUMMYFUNCTION("if(not(iserror(index(split(C585, "" ""),2))), index(split(C585, "" ""),1),"""")"),"")</f>
        <v/>
      </c>
      <c r="T585" s="315" t="str">
        <f>IFERROR(__xludf.DUMMYFUNCTION("if(S585="""",C585,if(not(iserror(index(split(C585, "" ""),3))), index(split(C585, "" ""),3),index(split(C585, "" ""),2)))"),"")</f>
        <v/>
      </c>
      <c r="U585" s="38" t="b">
        <f t="shared" si="34"/>
        <v>0</v>
      </c>
      <c r="V585" s="38"/>
      <c r="W585" s="40"/>
      <c r="X585" s="40"/>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row>
    <row r="586">
      <c r="A586" s="37"/>
      <c r="B586" s="322"/>
      <c r="C586" s="144"/>
      <c r="D586" s="144"/>
      <c r="E586" s="37"/>
      <c r="F586" s="37"/>
      <c r="G586" s="37"/>
      <c r="H586" s="33" t="str">
        <f t="shared" si="33"/>
        <v/>
      </c>
      <c r="I586" s="37"/>
      <c r="J586" s="37"/>
      <c r="K586" s="37"/>
      <c r="L586" s="58"/>
      <c r="M586" s="14"/>
      <c r="N586" s="15"/>
      <c r="O586" s="16"/>
      <c r="P586" s="16"/>
      <c r="Q586" s="16"/>
      <c r="R586" s="16"/>
      <c r="S586" s="37" t="str">
        <f>IFERROR(__xludf.DUMMYFUNCTION("if(not(iserror(index(split(C586, "" ""),2))), index(split(C586, "" ""),1),"""")"),"")</f>
        <v/>
      </c>
      <c r="T586" s="315" t="str">
        <f>IFERROR(__xludf.DUMMYFUNCTION("if(S586="""",C586,if(not(iserror(index(split(C586, "" ""),3))), index(split(C586, "" ""),3),index(split(C586, "" ""),2)))"),"")</f>
        <v/>
      </c>
      <c r="U586" s="38" t="b">
        <f t="shared" si="34"/>
        <v>0</v>
      </c>
      <c r="V586" s="38"/>
      <c r="W586" s="40"/>
      <c r="X586" s="40"/>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row>
    <row r="587">
      <c r="A587" s="37"/>
      <c r="B587" s="322"/>
      <c r="C587" s="144"/>
      <c r="D587" s="144"/>
      <c r="E587" s="37"/>
      <c r="F587" s="37"/>
      <c r="G587" s="37"/>
      <c r="H587" s="33" t="str">
        <f t="shared" si="33"/>
        <v/>
      </c>
      <c r="I587" s="37"/>
      <c r="J587" s="37"/>
      <c r="K587" s="37"/>
      <c r="L587" s="58"/>
      <c r="M587" s="14"/>
      <c r="N587" s="15"/>
      <c r="O587" s="16"/>
      <c r="P587" s="16"/>
      <c r="Q587" s="16"/>
      <c r="R587" s="16"/>
      <c r="S587" s="37" t="str">
        <f>IFERROR(__xludf.DUMMYFUNCTION("if(not(iserror(index(split(C587, "" ""),2))), index(split(C587, "" ""),1),"""")"),"")</f>
        <v/>
      </c>
      <c r="T587" s="315" t="str">
        <f>IFERROR(__xludf.DUMMYFUNCTION("if(S587="""",C587,if(not(iserror(index(split(C587, "" ""),3))), index(split(C587, "" ""),3),index(split(C587, "" ""),2)))"),"")</f>
        <v/>
      </c>
      <c r="U587" s="38" t="b">
        <f t="shared" si="34"/>
        <v>0</v>
      </c>
      <c r="V587" s="38"/>
      <c r="W587" s="40"/>
      <c r="X587" s="40"/>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row>
    <row r="588">
      <c r="A588" s="37"/>
      <c r="B588" s="322"/>
      <c r="C588" s="144"/>
      <c r="D588" s="144"/>
      <c r="E588" s="37"/>
      <c r="F588" s="37"/>
      <c r="G588" s="37"/>
      <c r="H588" s="33" t="str">
        <f t="shared" si="33"/>
        <v/>
      </c>
      <c r="I588" s="37"/>
      <c r="J588" s="37"/>
      <c r="K588" s="37"/>
      <c r="L588" s="58"/>
      <c r="M588" s="14"/>
      <c r="N588" s="15"/>
      <c r="O588" s="16"/>
      <c r="P588" s="16"/>
      <c r="Q588" s="16"/>
      <c r="R588" s="16"/>
      <c r="S588" s="37" t="str">
        <f>IFERROR(__xludf.DUMMYFUNCTION("if(not(iserror(index(split(C588, "" ""),2))), index(split(C588, "" ""),1),"""")"),"")</f>
        <v/>
      </c>
      <c r="T588" s="315" t="str">
        <f>IFERROR(__xludf.DUMMYFUNCTION("if(S588="""",C588,if(not(iserror(index(split(C588, "" ""),3))), index(split(C588, "" ""),3),index(split(C588, "" ""),2)))"),"")</f>
        <v/>
      </c>
      <c r="U588" s="38" t="b">
        <f t="shared" si="34"/>
        <v>0</v>
      </c>
      <c r="V588" s="38"/>
      <c r="W588" s="40"/>
      <c r="X588" s="40"/>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row>
    <row r="589">
      <c r="A589" s="37"/>
      <c r="B589" s="322"/>
      <c r="C589" s="144"/>
      <c r="D589" s="144"/>
      <c r="E589" s="37"/>
      <c r="F589" s="37"/>
      <c r="G589" s="37"/>
      <c r="H589" s="33" t="str">
        <f t="shared" si="33"/>
        <v/>
      </c>
      <c r="I589" s="37"/>
      <c r="J589" s="37"/>
      <c r="K589" s="37"/>
      <c r="L589" s="37"/>
      <c r="M589" s="14"/>
      <c r="N589" s="15"/>
      <c r="O589" s="16"/>
      <c r="P589" s="16"/>
      <c r="Q589" s="16"/>
      <c r="R589" s="16"/>
      <c r="S589" s="37" t="str">
        <f>IFERROR(__xludf.DUMMYFUNCTION("if(not(iserror(index(split(C589, "" ""),2))), index(split(C589, "" ""),1),"""")"),"")</f>
        <v/>
      </c>
      <c r="T589" s="315" t="str">
        <f>IFERROR(__xludf.DUMMYFUNCTION("if(S589="""",C589,if(not(iserror(index(split(C589, "" ""),3))), index(split(C589, "" ""),3),index(split(C589, "" ""),2)))"),"")</f>
        <v/>
      </c>
      <c r="U589" s="38" t="b">
        <f t="shared" si="34"/>
        <v>0</v>
      </c>
      <c r="V589" s="38"/>
      <c r="W589" s="40"/>
      <c r="X589" s="40"/>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row>
    <row r="590">
      <c r="A590" s="37"/>
      <c r="B590" s="322"/>
      <c r="C590" s="144"/>
      <c r="D590" s="144"/>
      <c r="E590" s="37"/>
      <c r="F590" s="37"/>
      <c r="G590" s="37"/>
      <c r="H590" s="33" t="str">
        <f t="shared" si="33"/>
        <v/>
      </c>
      <c r="I590" s="37"/>
      <c r="J590" s="37"/>
      <c r="K590" s="37"/>
      <c r="L590" s="37"/>
      <c r="M590" s="14"/>
      <c r="N590" s="15"/>
      <c r="O590" s="16"/>
      <c r="P590" s="16"/>
      <c r="Q590" s="16"/>
      <c r="R590" s="16"/>
      <c r="S590" s="37" t="str">
        <f>IFERROR(__xludf.DUMMYFUNCTION("if(not(iserror(index(split(C590, "" ""),2))), index(split(C590, "" ""),1),"""")"),"")</f>
        <v/>
      </c>
      <c r="T590" s="315" t="str">
        <f>IFERROR(__xludf.DUMMYFUNCTION("if(S590="""",C590,if(not(iserror(index(split(C590, "" ""),3))), index(split(C590, "" ""),3),index(split(C590, "" ""),2)))"),"")</f>
        <v/>
      </c>
      <c r="U590" s="38" t="b">
        <f t="shared" si="34"/>
        <v>0</v>
      </c>
      <c r="V590" s="38"/>
      <c r="W590" s="40"/>
      <c r="X590" s="40"/>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row>
    <row r="591">
      <c r="A591" s="37"/>
      <c r="B591" s="322"/>
      <c r="C591" s="144"/>
      <c r="D591" s="144"/>
      <c r="E591" s="37"/>
      <c r="F591" s="37"/>
      <c r="G591" s="37"/>
      <c r="H591" s="33" t="str">
        <f t="shared" si="33"/>
        <v/>
      </c>
      <c r="I591" s="37"/>
      <c r="J591" s="37"/>
      <c r="K591" s="37"/>
      <c r="L591" s="37"/>
      <c r="M591" s="14"/>
      <c r="N591" s="15"/>
      <c r="O591" s="16"/>
      <c r="P591" s="16"/>
      <c r="Q591" s="16"/>
      <c r="R591" s="16"/>
      <c r="S591" s="37" t="str">
        <f>IFERROR(__xludf.DUMMYFUNCTION("if(not(iserror(index(split(C591, "" ""),2))), index(split(C591, "" ""),1),"""")"),"")</f>
        <v/>
      </c>
      <c r="T591" s="315" t="str">
        <f>IFERROR(__xludf.DUMMYFUNCTION("if(S591="""",C591,if(not(iserror(index(split(C591, "" ""),3))), index(split(C591, "" ""),3),index(split(C591, "" ""),2)))"),"")</f>
        <v/>
      </c>
      <c r="U591" s="38" t="b">
        <f t="shared" si="34"/>
        <v>0</v>
      </c>
      <c r="V591" s="38"/>
      <c r="W591" s="40"/>
      <c r="X591" s="40"/>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row>
    <row r="592">
      <c r="A592" s="37"/>
      <c r="B592" s="322"/>
      <c r="C592" s="144"/>
      <c r="D592" s="144"/>
      <c r="E592" s="37"/>
      <c r="F592" s="37"/>
      <c r="G592" s="37"/>
      <c r="H592" s="33" t="str">
        <f t="shared" si="33"/>
        <v/>
      </c>
      <c r="I592" s="37"/>
      <c r="J592" s="37"/>
      <c r="K592" s="37"/>
      <c r="L592" s="37"/>
      <c r="M592" s="14"/>
      <c r="N592" s="15"/>
      <c r="O592" s="16"/>
      <c r="P592" s="16"/>
      <c r="Q592" s="16"/>
      <c r="R592" s="16"/>
      <c r="S592" s="37" t="str">
        <f>IFERROR(__xludf.DUMMYFUNCTION("if(not(iserror(index(split(C592, "" ""),2))), index(split(C592, "" ""),1),"""")"),"")</f>
        <v/>
      </c>
      <c r="T592" s="315" t="str">
        <f>IFERROR(__xludf.DUMMYFUNCTION("if(S592="""",C592,if(not(iserror(index(split(C592, "" ""),3))), index(split(C592, "" ""),3),index(split(C592, "" ""),2)))"),"")</f>
        <v/>
      </c>
      <c r="U592" s="38" t="b">
        <f t="shared" si="34"/>
        <v>0</v>
      </c>
      <c r="V592" s="38"/>
      <c r="W592" s="40"/>
      <c r="X592" s="40"/>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row>
    <row r="593">
      <c r="A593" s="37"/>
      <c r="B593" s="322"/>
      <c r="C593" s="144"/>
      <c r="D593" s="144"/>
      <c r="E593" s="37"/>
      <c r="F593" s="37"/>
      <c r="G593" s="37"/>
      <c r="H593" s="33" t="str">
        <f t="shared" si="33"/>
        <v/>
      </c>
      <c r="I593" s="37"/>
      <c r="J593" s="37"/>
      <c r="K593" s="37"/>
      <c r="L593" s="37"/>
      <c r="M593" s="14"/>
      <c r="N593" s="15"/>
      <c r="O593" s="16"/>
      <c r="P593" s="16"/>
      <c r="Q593" s="16"/>
      <c r="R593" s="16"/>
      <c r="S593" s="37" t="str">
        <f>IFERROR(__xludf.DUMMYFUNCTION("if(not(iserror(index(split(C593, "" ""),2))), index(split(C593, "" ""),1),"""")"),"")</f>
        <v/>
      </c>
      <c r="T593" s="315" t="str">
        <f>IFERROR(__xludf.DUMMYFUNCTION("if(S593="""",C593,if(not(iserror(index(split(C593, "" ""),3))), index(split(C593, "" ""),3),index(split(C593, "" ""),2)))"),"")</f>
        <v/>
      </c>
      <c r="U593" s="38" t="b">
        <f t="shared" si="34"/>
        <v>0</v>
      </c>
      <c r="V593" s="38"/>
      <c r="W593" s="40"/>
      <c r="X593" s="40"/>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row>
    <row r="594">
      <c r="A594" s="37"/>
      <c r="B594" s="322"/>
      <c r="C594" s="144"/>
      <c r="D594" s="144"/>
      <c r="E594" s="37"/>
      <c r="F594" s="37"/>
      <c r="G594" s="37"/>
      <c r="H594" s="33" t="str">
        <f t="shared" si="33"/>
        <v/>
      </c>
      <c r="I594" s="37"/>
      <c r="J594" s="37"/>
      <c r="K594" s="37"/>
      <c r="L594" s="37"/>
      <c r="M594" s="14"/>
      <c r="N594" s="15"/>
      <c r="O594" s="16"/>
      <c r="P594" s="16"/>
      <c r="Q594" s="16"/>
      <c r="R594" s="16"/>
      <c r="S594" s="37" t="str">
        <f>IFERROR(__xludf.DUMMYFUNCTION("if(not(iserror(index(split(C594, "" ""),2))), index(split(C594, "" ""),1),"""")"),"")</f>
        <v/>
      </c>
      <c r="T594" s="315" t="str">
        <f>IFERROR(__xludf.DUMMYFUNCTION("if(S594="""",C594,if(not(iserror(index(split(C594, "" ""),3))), index(split(C594, "" ""),3),index(split(C594, "" ""),2)))"),"")</f>
        <v/>
      </c>
      <c r="U594" s="38" t="b">
        <f t="shared" si="34"/>
        <v>0</v>
      </c>
      <c r="V594" s="38"/>
      <c r="W594" s="40"/>
      <c r="X594" s="40"/>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row>
    <row r="595">
      <c r="A595" s="37"/>
      <c r="B595" s="322"/>
      <c r="C595" s="144"/>
      <c r="D595" s="144"/>
      <c r="E595" s="37"/>
      <c r="F595" s="37"/>
      <c r="G595" s="37"/>
      <c r="H595" s="33" t="str">
        <f t="shared" si="33"/>
        <v/>
      </c>
      <c r="I595" s="37"/>
      <c r="J595" s="37"/>
      <c r="K595" s="37"/>
      <c r="L595" s="37"/>
      <c r="M595" s="14"/>
      <c r="N595" s="14"/>
      <c r="O595" s="16"/>
      <c r="P595" s="16"/>
      <c r="Q595" s="16"/>
      <c r="R595" s="16"/>
      <c r="S595" s="37" t="str">
        <f>IFERROR(__xludf.DUMMYFUNCTION("if(not(iserror(index(split(C595, "" ""),2))), index(split(C595, "" ""),1),"""")"),"")</f>
        <v/>
      </c>
      <c r="T595" s="315" t="str">
        <f>IFERROR(__xludf.DUMMYFUNCTION("if(S595="""",C595,if(not(iserror(index(split(C595, "" ""),3))), index(split(C595, "" ""),3),index(split(C595, "" ""),2)))"),"")</f>
        <v/>
      </c>
      <c r="U595" s="38" t="b">
        <f t="shared" si="34"/>
        <v>0</v>
      </c>
      <c r="V595" s="38"/>
      <c r="W595" s="40"/>
      <c r="X595" s="40"/>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row>
    <row r="596">
      <c r="A596" s="37"/>
      <c r="B596" s="322"/>
      <c r="C596" s="144"/>
      <c r="D596" s="144"/>
      <c r="E596" s="37"/>
      <c r="F596" s="37"/>
      <c r="G596" s="37"/>
      <c r="H596" s="33" t="str">
        <f t="shared" si="33"/>
        <v/>
      </c>
      <c r="I596" s="37"/>
      <c r="J596" s="37"/>
      <c r="K596" s="37"/>
      <c r="L596" s="37"/>
      <c r="M596" s="14"/>
      <c r="N596" s="15"/>
      <c r="O596" s="16"/>
      <c r="P596" s="16"/>
      <c r="Q596" s="16"/>
      <c r="R596" s="16"/>
      <c r="S596" s="37" t="str">
        <f>IFERROR(__xludf.DUMMYFUNCTION("if(not(iserror(index(split(C596, "" ""),2))), index(split(C596, "" ""),1),"""")"),"")</f>
        <v/>
      </c>
      <c r="T596" s="315" t="str">
        <f>IFERROR(__xludf.DUMMYFUNCTION("if(S596="""",C596,if(not(iserror(index(split(C596, "" ""),3))), index(split(C596, "" ""),3),index(split(C596, "" ""),2)))"),"")</f>
        <v/>
      </c>
      <c r="U596" s="38" t="b">
        <f t="shared" si="34"/>
        <v>0</v>
      </c>
      <c r="V596" s="38"/>
      <c r="W596" s="40"/>
      <c r="X596" s="40"/>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row>
    <row r="597">
      <c r="A597" s="37"/>
      <c r="B597" s="322"/>
      <c r="C597" s="144"/>
      <c r="D597" s="144"/>
      <c r="E597" s="37"/>
      <c r="F597" s="37"/>
      <c r="G597" s="37"/>
      <c r="H597" s="33" t="str">
        <f t="shared" si="33"/>
        <v/>
      </c>
      <c r="I597" s="37"/>
      <c r="J597" s="37"/>
      <c r="K597" s="37"/>
      <c r="L597" s="37"/>
      <c r="M597" s="14"/>
      <c r="N597" s="15"/>
      <c r="O597" s="16"/>
      <c r="P597" s="16"/>
      <c r="Q597" s="16"/>
      <c r="R597" s="16"/>
      <c r="S597" s="37" t="str">
        <f>IFERROR(__xludf.DUMMYFUNCTION("if(not(iserror(index(split(C597, "" ""),2))), index(split(C597, "" ""),1),"""")"),"")</f>
        <v/>
      </c>
      <c r="T597" s="315" t="str">
        <f>IFERROR(__xludf.DUMMYFUNCTION("if(S597="""",C597,if(not(iserror(index(split(C597, "" ""),3))), index(split(C597, "" ""),3),index(split(C597, "" ""),2)))"),"")</f>
        <v/>
      </c>
      <c r="U597" s="38" t="b">
        <f t="shared" si="34"/>
        <v>0</v>
      </c>
      <c r="V597" s="38"/>
      <c r="W597" s="40"/>
      <c r="X597" s="40"/>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row>
    <row r="598">
      <c r="A598" s="37"/>
      <c r="B598" s="322"/>
      <c r="C598" s="144"/>
      <c r="D598" s="144"/>
      <c r="E598" s="37"/>
      <c r="F598" s="37"/>
      <c r="G598" s="37"/>
      <c r="H598" s="33" t="str">
        <f t="shared" si="33"/>
        <v/>
      </c>
      <c r="I598" s="37"/>
      <c r="J598" s="37"/>
      <c r="K598" s="37"/>
      <c r="L598" s="37"/>
      <c r="M598" s="14"/>
      <c r="N598" s="15"/>
      <c r="O598" s="16"/>
      <c r="P598" s="16"/>
      <c r="Q598" s="16"/>
      <c r="R598" s="16"/>
      <c r="S598" s="37" t="str">
        <f>IFERROR(__xludf.DUMMYFUNCTION("if(not(iserror(index(split(C598, "" ""),2))), index(split(C598, "" ""),1),"""")"),"")</f>
        <v/>
      </c>
      <c r="T598" s="315" t="str">
        <f>IFERROR(__xludf.DUMMYFUNCTION("if(S598="""",C598,if(not(iserror(index(split(C598, "" ""),3))), index(split(C598, "" ""),3),index(split(C598, "" ""),2)))"),"")</f>
        <v/>
      </c>
      <c r="U598" s="38" t="b">
        <f t="shared" si="34"/>
        <v>0</v>
      </c>
      <c r="V598" s="38"/>
      <c r="W598" s="40"/>
      <c r="X598" s="40"/>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row>
    <row r="599">
      <c r="A599" s="37"/>
      <c r="B599" s="322"/>
      <c r="C599" s="144"/>
      <c r="D599" s="144"/>
      <c r="E599" s="37"/>
      <c r="F599" s="37"/>
      <c r="G599" s="37"/>
      <c r="H599" s="33" t="str">
        <f t="shared" si="33"/>
        <v/>
      </c>
      <c r="I599" s="37"/>
      <c r="J599" s="37"/>
      <c r="K599" s="37"/>
      <c r="L599" s="37"/>
      <c r="M599" s="14"/>
      <c r="N599" s="15"/>
      <c r="O599" s="16"/>
      <c r="P599" s="16"/>
      <c r="Q599" s="16"/>
      <c r="R599" s="16"/>
      <c r="S599" s="37" t="str">
        <f>IFERROR(__xludf.DUMMYFUNCTION("if(not(iserror(index(split(C599, "" ""),2))), index(split(C599, "" ""),1),"""")"),"")</f>
        <v/>
      </c>
      <c r="T599" s="315" t="str">
        <f>IFERROR(__xludf.DUMMYFUNCTION("if(S599="""",C599,if(not(iserror(index(split(C599, "" ""),3))), index(split(C599, "" ""),3),index(split(C599, "" ""),2)))"),"")</f>
        <v/>
      </c>
      <c r="U599" s="38" t="b">
        <f t="shared" si="34"/>
        <v>0</v>
      </c>
      <c r="V599" s="38"/>
      <c r="W599" s="40"/>
      <c r="X599" s="40"/>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row>
    <row r="600">
      <c r="A600" s="37"/>
      <c r="B600" s="322"/>
      <c r="C600" s="144"/>
      <c r="D600" s="144"/>
      <c r="E600" s="37"/>
      <c r="F600" s="37"/>
      <c r="G600" s="37"/>
      <c r="H600" s="33" t="str">
        <f t="shared" si="33"/>
        <v/>
      </c>
      <c r="I600" s="37"/>
      <c r="J600" s="37"/>
      <c r="K600" s="37"/>
      <c r="L600" s="37"/>
      <c r="M600" s="14"/>
      <c r="N600" s="15"/>
      <c r="O600" s="16"/>
      <c r="P600" s="16"/>
      <c r="Q600" s="16"/>
      <c r="R600" s="16"/>
      <c r="S600" s="37" t="str">
        <f>IFERROR(__xludf.DUMMYFUNCTION("if(not(iserror(index(split(C600, "" ""),2))), index(split(C600, "" ""),1),"""")"),"")</f>
        <v/>
      </c>
      <c r="T600" s="315" t="str">
        <f>IFERROR(__xludf.DUMMYFUNCTION("if(S600="""",C600,if(not(iserror(index(split(C600, "" ""),3))), index(split(C600, "" ""),3),index(split(C600, "" ""),2)))"),"")</f>
        <v/>
      </c>
      <c r="U600" s="38" t="b">
        <f t="shared" si="34"/>
        <v>0</v>
      </c>
      <c r="V600" s="38"/>
      <c r="W600" s="40"/>
      <c r="X600" s="40"/>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row>
    <row r="601">
      <c r="A601" s="37"/>
      <c r="B601" s="322"/>
      <c r="C601" s="144"/>
      <c r="D601" s="144"/>
      <c r="E601" s="37"/>
      <c r="F601" s="37"/>
      <c r="G601" s="37"/>
      <c r="H601" s="33" t="str">
        <f t="shared" si="33"/>
        <v/>
      </c>
      <c r="I601" s="37"/>
      <c r="J601" s="37"/>
      <c r="K601" s="37"/>
      <c r="L601" s="37"/>
      <c r="M601" s="14"/>
      <c r="N601" s="15"/>
      <c r="O601" s="16"/>
      <c r="P601" s="16"/>
      <c r="Q601" s="16"/>
      <c r="R601" s="16"/>
      <c r="S601" s="37" t="str">
        <f>IFERROR(__xludf.DUMMYFUNCTION("if(not(iserror(index(split(C601, "" ""),2))), index(split(C601, "" ""),1),"""")"),"")</f>
        <v/>
      </c>
      <c r="T601" s="315" t="str">
        <f>IFERROR(__xludf.DUMMYFUNCTION("if(S601="""",C601,if(not(iserror(index(split(C601, "" ""),3))), index(split(C601, "" ""),3),index(split(C601, "" ""),2)))"),"")</f>
        <v/>
      </c>
      <c r="U601" s="38" t="b">
        <f t="shared" si="34"/>
        <v>0</v>
      </c>
      <c r="V601" s="38"/>
      <c r="W601" s="40"/>
      <c r="X601" s="40"/>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row>
    <row r="602">
      <c r="A602" s="37"/>
      <c r="B602" s="322"/>
      <c r="C602" s="144"/>
      <c r="D602" s="144"/>
      <c r="E602" s="37"/>
      <c r="F602" s="37"/>
      <c r="G602" s="37"/>
      <c r="H602" s="33" t="str">
        <f t="shared" si="33"/>
        <v/>
      </c>
      <c r="I602" s="37"/>
      <c r="J602" s="37"/>
      <c r="K602" s="37"/>
      <c r="L602" s="37"/>
      <c r="M602" s="14"/>
      <c r="N602" s="15"/>
      <c r="O602" s="16"/>
      <c r="P602" s="16"/>
      <c r="Q602" s="16"/>
      <c r="R602" s="16"/>
      <c r="S602" s="37" t="str">
        <f>IFERROR(__xludf.DUMMYFUNCTION("if(not(iserror(index(split(C602, "" ""),2))), index(split(C602, "" ""),1),"""")"),"")</f>
        <v/>
      </c>
      <c r="T602" s="315" t="str">
        <f>IFERROR(__xludf.DUMMYFUNCTION("if(S602="""",C602,if(not(iserror(index(split(C602, "" ""),3))), index(split(C602, "" ""),3),index(split(C602, "" ""),2)))"),"")</f>
        <v/>
      </c>
      <c r="U602" s="38" t="b">
        <f t="shared" si="34"/>
        <v>0</v>
      </c>
      <c r="V602" s="38"/>
      <c r="W602" s="40"/>
      <c r="X602" s="40"/>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row>
    <row r="603">
      <c r="A603" s="37"/>
      <c r="B603" s="322"/>
      <c r="C603" s="144"/>
      <c r="D603" s="144"/>
      <c r="E603" s="37"/>
      <c r="F603" s="37"/>
      <c r="G603" s="37"/>
      <c r="H603" s="33" t="str">
        <f t="shared" si="33"/>
        <v/>
      </c>
      <c r="I603" s="37"/>
      <c r="J603" s="37"/>
      <c r="K603" s="37"/>
      <c r="L603" s="37"/>
      <c r="M603" s="14"/>
      <c r="N603" s="15"/>
      <c r="O603" s="16"/>
      <c r="P603" s="16"/>
      <c r="Q603" s="16"/>
      <c r="R603" s="16"/>
      <c r="S603" s="37" t="str">
        <f>IFERROR(__xludf.DUMMYFUNCTION("if(not(iserror(index(split(C603, "" ""),2))), index(split(C603, "" ""),1),"""")"),"")</f>
        <v/>
      </c>
      <c r="T603" s="315" t="str">
        <f>IFERROR(__xludf.DUMMYFUNCTION("if(S603="""",C603,if(not(iserror(index(split(C603, "" ""),3))), index(split(C603, "" ""),3),index(split(C603, "" ""),2)))"),"")</f>
        <v/>
      </c>
      <c r="U603" s="38" t="b">
        <f t="shared" si="34"/>
        <v>0</v>
      </c>
      <c r="V603" s="38"/>
      <c r="W603" s="40"/>
      <c r="X603" s="40"/>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row>
    <row r="604" ht="17.25" customHeight="1">
      <c r="A604" s="37"/>
      <c r="B604" s="322"/>
      <c r="C604" s="144"/>
      <c r="D604" s="144"/>
      <c r="E604" s="37"/>
      <c r="F604" s="37"/>
      <c r="G604" s="37"/>
      <c r="H604" s="33" t="str">
        <f t="shared" si="33"/>
        <v/>
      </c>
      <c r="I604" s="37"/>
      <c r="J604" s="37"/>
      <c r="K604" s="37"/>
      <c r="L604" s="37"/>
      <c r="M604" s="14"/>
      <c r="N604" s="15"/>
      <c r="O604" s="16"/>
      <c r="P604" s="16"/>
      <c r="Q604" s="16"/>
      <c r="R604" s="16"/>
      <c r="S604" s="37" t="str">
        <f>IFERROR(__xludf.DUMMYFUNCTION("if(not(iserror(index(split(C604, "" ""),2))), index(split(C604, "" ""),1),"""")"),"")</f>
        <v/>
      </c>
      <c r="T604" s="315" t="str">
        <f>IFERROR(__xludf.DUMMYFUNCTION("if(S604="""",C604,if(not(iserror(index(split(C604, "" ""),3))), index(split(C604, "" ""),3),index(split(C604, "" ""),2)))"),"")</f>
        <v/>
      </c>
      <c r="U604" s="38" t="b">
        <f t="shared" si="34"/>
        <v>0</v>
      </c>
      <c r="V604" s="38"/>
      <c r="W604" s="40"/>
      <c r="X604" s="40"/>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row>
    <row r="605" ht="17.25" customHeight="1">
      <c r="A605" s="37"/>
      <c r="B605" s="322"/>
      <c r="C605" s="144"/>
      <c r="D605" s="144"/>
      <c r="E605" s="37"/>
      <c r="F605" s="37"/>
      <c r="G605" s="37"/>
      <c r="H605" s="33" t="str">
        <f t="shared" si="33"/>
        <v/>
      </c>
      <c r="I605" s="37"/>
      <c r="J605" s="37"/>
      <c r="K605" s="37"/>
      <c r="L605" s="37"/>
      <c r="M605" s="14"/>
      <c r="N605" s="15"/>
      <c r="O605" s="16"/>
      <c r="P605" s="16"/>
      <c r="Q605" s="16"/>
      <c r="R605" s="16"/>
      <c r="S605" s="37" t="str">
        <f>IFERROR(__xludf.DUMMYFUNCTION("if(not(iserror(index(split(C605, "" ""),2))), index(split(C605, "" ""),1),"""")"),"")</f>
        <v/>
      </c>
      <c r="T605" s="315" t="str">
        <f>IFERROR(__xludf.DUMMYFUNCTION("if(S605="""",C605,if(not(iserror(index(split(C605, "" ""),3))), index(split(C605, "" ""),3),index(split(C605, "" ""),2)))"),"")</f>
        <v/>
      </c>
      <c r="U605" s="38" t="b">
        <f t="shared" si="34"/>
        <v>0</v>
      </c>
      <c r="V605" s="38"/>
      <c r="W605" s="40"/>
      <c r="X605" s="40"/>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row>
    <row r="606" ht="17.25" customHeight="1">
      <c r="A606" s="90"/>
      <c r="B606" s="322"/>
      <c r="C606" s="144"/>
      <c r="D606" s="144"/>
      <c r="E606" s="37"/>
      <c r="F606" s="37"/>
      <c r="G606" s="37"/>
      <c r="H606" s="33" t="str">
        <f t="shared" si="33"/>
        <v/>
      </c>
      <c r="I606" s="37"/>
      <c r="J606" s="37"/>
      <c r="K606" s="37"/>
      <c r="L606" s="37"/>
      <c r="M606" s="14"/>
      <c r="N606" s="14"/>
      <c r="O606" s="16"/>
      <c r="P606" s="16"/>
      <c r="Q606" s="16"/>
      <c r="R606" s="16"/>
      <c r="S606" s="37" t="str">
        <f>IFERROR(__xludf.DUMMYFUNCTION("if(not(iserror(index(split(C606, "" ""),2))), index(split(C606, "" ""),1),"""")"),"")</f>
        <v/>
      </c>
      <c r="T606" s="315" t="str">
        <f>IFERROR(__xludf.DUMMYFUNCTION("if(S606="""",C606,if(not(iserror(index(split(C606, "" ""),3))), index(split(C606, "" ""),3),index(split(C606, "" ""),2)))"),"")</f>
        <v/>
      </c>
      <c r="U606" s="38" t="b">
        <f t="shared" si="34"/>
        <v>0</v>
      </c>
      <c r="V606" s="38"/>
      <c r="W606" s="40"/>
      <c r="X606" s="40"/>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row>
    <row r="607" ht="9.0" customHeight="1">
      <c r="A607" s="90"/>
      <c r="B607" s="322"/>
      <c r="C607" s="144"/>
      <c r="D607" s="144"/>
      <c r="E607" s="37"/>
      <c r="F607" s="37"/>
      <c r="G607" s="37"/>
      <c r="H607" s="33" t="str">
        <f t="shared" si="33"/>
        <v/>
      </c>
      <c r="I607" s="37"/>
      <c r="J607" s="37"/>
      <c r="K607" s="37"/>
      <c r="L607" s="37"/>
      <c r="M607" s="14"/>
      <c r="N607" s="14"/>
      <c r="O607" s="16"/>
      <c r="P607" s="16"/>
      <c r="Q607" s="16"/>
      <c r="R607" s="16"/>
      <c r="S607" s="37" t="str">
        <f>IFERROR(__xludf.DUMMYFUNCTION("if(not(iserror(index(split(C607, "" ""),2))), index(split(C607, "" ""),1),"""")"),"")</f>
        <v/>
      </c>
      <c r="T607" s="315" t="str">
        <f>IFERROR(__xludf.DUMMYFUNCTION("if(S607="""",C607,if(not(iserror(index(split(C607, "" ""),3))), index(split(C607, "" ""),3),index(split(C607, "" ""),2)))"),"")</f>
        <v/>
      </c>
      <c r="U607" s="38" t="b">
        <f t="shared" si="34"/>
        <v>0</v>
      </c>
      <c r="V607" s="38"/>
      <c r="W607" s="40"/>
      <c r="X607" s="40"/>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row>
    <row r="608">
      <c r="A608" s="370"/>
      <c r="B608" s="371"/>
      <c r="C608" s="372"/>
      <c r="D608" s="372"/>
      <c r="E608" s="370"/>
      <c r="F608" s="370"/>
      <c r="G608" s="370"/>
      <c r="H608" s="33" t="str">
        <f t="shared" si="33"/>
        <v/>
      </c>
      <c r="I608" s="370"/>
      <c r="J608" s="370"/>
      <c r="K608" s="370"/>
      <c r="L608" s="370"/>
      <c r="M608" s="373"/>
      <c r="N608" s="373"/>
      <c r="O608" s="119"/>
      <c r="P608" s="119"/>
      <c r="Q608" s="119"/>
      <c r="R608" s="119"/>
      <c r="S608" s="37" t="str">
        <f>IFERROR(__xludf.DUMMYFUNCTION("if(not(iserror(index(split(C608, "" ""),2))), index(split(C608, "" ""),1),"""")"),"")</f>
        <v/>
      </c>
      <c r="T608" s="315" t="str">
        <f>IFERROR(__xludf.DUMMYFUNCTION("if(S608="""",C608,if(not(iserror(index(split(C608, "" ""),3))), index(split(C608, "" ""),3),index(split(C608, "" ""),2)))"),"")</f>
        <v/>
      </c>
      <c r="U608" s="38" t="b">
        <f t="shared" si="34"/>
        <v>0</v>
      </c>
      <c r="V608" s="38"/>
      <c r="W608" s="40"/>
      <c r="X608" s="40"/>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row>
    <row r="609">
      <c r="A609" s="37"/>
      <c r="B609" s="322"/>
      <c r="C609" s="144"/>
      <c r="D609" s="144"/>
      <c r="E609" s="37"/>
      <c r="F609" s="37"/>
      <c r="G609" s="37"/>
      <c r="H609" s="33" t="str">
        <f t="shared" si="33"/>
        <v/>
      </c>
      <c r="I609" s="37"/>
      <c r="J609" s="37"/>
      <c r="K609" s="37"/>
      <c r="L609" s="37"/>
      <c r="M609" s="14"/>
      <c r="N609" s="15"/>
      <c r="O609" s="16"/>
      <c r="P609" s="16"/>
      <c r="Q609" s="16"/>
      <c r="R609" s="16"/>
      <c r="S609" s="37" t="str">
        <f>IFERROR(__xludf.DUMMYFUNCTION("if(not(iserror(index(split(C609, "" ""),2))), index(split(C609, "" ""),1),"""")"),"")</f>
        <v/>
      </c>
      <c r="T609" s="315" t="str">
        <f>IFERROR(__xludf.DUMMYFUNCTION("if(S609="""",C609,if(not(iserror(index(split(C609, "" ""),3))), index(split(C609, "" ""),3),index(split(C609, "" ""),2)))"),"")</f>
        <v/>
      </c>
      <c r="U609" s="38" t="b">
        <f t="shared" si="34"/>
        <v>0</v>
      </c>
      <c r="V609" s="38"/>
      <c r="W609" s="40"/>
      <c r="X609" s="40"/>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row>
    <row r="610">
      <c r="A610" s="37"/>
      <c r="B610" s="322"/>
      <c r="C610" s="144"/>
      <c r="D610" s="144"/>
      <c r="E610" s="37"/>
      <c r="F610" s="37"/>
      <c r="G610" s="37"/>
      <c r="H610" s="33" t="str">
        <f t="shared" si="33"/>
        <v/>
      </c>
      <c r="I610" s="37"/>
      <c r="J610" s="37"/>
      <c r="K610" s="37"/>
      <c r="L610" s="37"/>
      <c r="M610" s="14"/>
      <c r="N610" s="15"/>
      <c r="O610" s="16"/>
      <c r="P610" s="16"/>
      <c r="Q610" s="16"/>
      <c r="R610" s="16"/>
      <c r="S610" s="37" t="str">
        <f>IFERROR(__xludf.DUMMYFUNCTION("if(not(iserror(index(split(C610, "" ""),2))), index(split(C610, "" ""),1),"""")"),"")</f>
        <v/>
      </c>
      <c r="T610" s="315" t="str">
        <f>IFERROR(__xludf.DUMMYFUNCTION("if(S610="""",C610,if(not(iserror(index(split(C610, "" ""),3))), index(split(C610, "" ""),3),index(split(C610, "" ""),2)))"),"")</f>
        <v/>
      </c>
      <c r="U610" s="38" t="b">
        <f t="shared" si="34"/>
        <v>0</v>
      </c>
      <c r="V610" s="38"/>
      <c r="W610" s="40"/>
      <c r="X610" s="40"/>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row>
    <row r="611">
      <c r="A611" s="37"/>
      <c r="B611" s="322"/>
      <c r="C611" s="144"/>
      <c r="D611" s="144"/>
      <c r="E611" s="37"/>
      <c r="F611" s="37"/>
      <c r="G611" s="37"/>
      <c r="H611" s="33" t="str">
        <f t="shared" si="33"/>
        <v/>
      </c>
      <c r="I611" s="37"/>
      <c r="J611" s="37"/>
      <c r="K611" s="37"/>
      <c r="L611" s="37"/>
      <c r="M611" s="14"/>
      <c r="N611" s="15"/>
      <c r="O611" s="16"/>
      <c r="P611" s="16"/>
      <c r="Q611" s="16"/>
      <c r="R611" s="16"/>
      <c r="S611" s="37" t="str">
        <f>IFERROR(__xludf.DUMMYFUNCTION("if(not(iserror(index(split(C611, "" ""),2))), index(split(C611, "" ""),1),"""")"),"")</f>
        <v/>
      </c>
      <c r="T611" s="315" t="str">
        <f>IFERROR(__xludf.DUMMYFUNCTION("if(S611="""",C611,if(not(iserror(index(split(C611, "" ""),3))), index(split(C611, "" ""),3),index(split(C611, "" ""),2)))"),"")</f>
        <v/>
      </c>
      <c r="U611" s="38" t="b">
        <f t="shared" si="34"/>
        <v>0</v>
      </c>
      <c r="V611" s="38"/>
      <c r="W611" s="40"/>
      <c r="X611" s="40"/>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row>
    <row r="612">
      <c r="A612" s="37"/>
      <c r="B612" s="322"/>
      <c r="C612" s="144"/>
      <c r="D612" s="144"/>
      <c r="E612" s="37"/>
      <c r="F612" s="37"/>
      <c r="G612" s="37"/>
      <c r="H612" s="33" t="str">
        <f t="shared" si="33"/>
        <v/>
      </c>
      <c r="I612" s="37"/>
      <c r="J612" s="37"/>
      <c r="K612" s="37"/>
      <c r="L612" s="37"/>
      <c r="M612" s="14"/>
      <c r="N612" s="15"/>
      <c r="O612" s="16"/>
      <c r="P612" s="16"/>
      <c r="Q612" s="16"/>
      <c r="R612" s="16"/>
      <c r="S612" s="37" t="str">
        <f>IFERROR(__xludf.DUMMYFUNCTION("if(not(iserror(index(split(C612, "" ""),2))), index(split(C612, "" ""),1),"""")"),"")</f>
        <v/>
      </c>
      <c r="T612" s="315" t="str">
        <f>IFERROR(__xludf.DUMMYFUNCTION("if(S612="""",C612,if(not(iserror(index(split(C612, "" ""),3))), index(split(C612, "" ""),3),index(split(C612, "" ""),2)))"),"")</f>
        <v/>
      </c>
      <c r="U612" s="38" t="b">
        <f t="shared" si="34"/>
        <v>0</v>
      </c>
      <c r="V612" s="38"/>
      <c r="W612" s="40"/>
      <c r="X612" s="40"/>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row>
    <row r="613">
      <c r="A613" s="37"/>
      <c r="B613" s="322"/>
      <c r="C613" s="144"/>
      <c r="D613" s="144"/>
      <c r="E613" s="37"/>
      <c r="F613" s="37"/>
      <c r="G613" s="37"/>
      <c r="H613" s="33" t="str">
        <f t="shared" si="33"/>
        <v/>
      </c>
      <c r="I613" s="37"/>
      <c r="J613" s="37"/>
      <c r="K613" s="37"/>
      <c r="L613" s="37"/>
      <c r="M613" s="14"/>
      <c r="N613" s="15"/>
      <c r="O613" s="16"/>
      <c r="P613" s="16"/>
      <c r="Q613" s="16"/>
      <c r="R613" s="16"/>
      <c r="S613" s="37" t="str">
        <f>IFERROR(__xludf.DUMMYFUNCTION("if(not(iserror(index(split(C613, "" ""),2))), index(split(C613, "" ""),1),"""")"),"")</f>
        <v/>
      </c>
      <c r="T613" s="315" t="str">
        <f>IFERROR(__xludf.DUMMYFUNCTION("if(S613="""",C613,if(not(iserror(index(split(C613, "" ""),3))), index(split(C613, "" ""),3),index(split(C613, "" ""),2)))"),"")</f>
        <v/>
      </c>
      <c r="U613" s="38" t="b">
        <f t="shared" si="34"/>
        <v>0</v>
      </c>
      <c r="V613" s="38"/>
      <c r="W613" s="40"/>
      <c r="X613" s="40"/>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row>
    <row r="614">
      <c r="A614" s="90"/>
      <c r="B614" s="322"/>
      <c r="C614" s="144"/>
      <c r="D614" s="144"/>
      <c r="E614" s="37"/>
      <c r="F614" s="37"/>
      <c r="G614" s="37"/>
      <c r="H614" s="33" t="str">
        <f t="shared" si="33"/>
        <v/>
      </c>
      <c r="I614" s="37"/>
      <c r="J614" s="37"/>
      <c r="K614" s="37"/>
      <c r="L614" s="37"/>
      <c r="M614" s="14"/>
      <c r="N614" s="15"/>
      <c r="O614" s="16"/>
      <c r="P614" s="16"/>
      <c r="Q614" s="16"/>
      <c r="R614" s="16"/>
      <c r="S614" s="37" t="str">
        <f>IFERROR(__xludf.DUMMYFUNCTION("if(not(iserror(index(split(C614, "" ""),2))), index(split(C614, "" ""),1),"""")"),"")</f>
        <v/>
      </c>
      <c r="T614" s="315" t="str">
        <f>IFERROR(__xludf.DUMMYFUNCTION("if(S614="""",C614,if(not(iserror(index(split(C614, "" ""),3))), index(split(C614, "" ""),3),index(split(C614, "" ""),2)))"),"")</f>
        <v/>
      </c>
      <c r="U614" s="38" t="b">
        <f t="shared" si="34"/>
        <v>0</v>
      </c>
      <c r="V614" s="38"/>
      <c r="W614" s="40"/>
      <c r="X614" s="40"/>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row>
    <row r="615">
      <c r="A615" s="37"/>
      <c r="B615" s="322"/>
      <c r="C615" s="144"/>
      <c r="D615" s="144"/>
      <c r="E615" s="37"/>
      <c r="F615" s="37"/>
      <c r="G615" s="37"/>
      <c r="H615" s="33" t="str">
        <f t="shared" si="33"/>
        <v/>
      </c>
      <c r="I615" s="37"/>
      <c r="J615" s="37"/>
      <c r="K615" s="37"/>
      <c r="L615" s="37"/>
      <c r="M615" s="14"/>
      <c r="N615" s="15"/>
      <c r="O615" s="16"/>
      <c r="P615" s="16"/>
      <c r="Q615" s="16"/>
      <c r="R615" s="16"/>
      <c r="S615" s="37" t="str">
        <f>IFERROR(__xludf.DUMMYFUNCTION("if(not(iserror(index(split(C615, "" ""),2))), index(split(C615, "" ""),1),"""")"),"")</f>
        <v/>
      </c>
      <c r="T615" s="315" t="str">
        <f>IFERROR(__xludf.DUMMYFUNCTION("if(S615="""",C615,if(not(iserror(index(split(C615, "" ""),3))), index(split(C615, "" ""),3),index(split(C615, "" ""),2)))"),"")</f>
        <v/>
      </c>
      <c r="U615" s="38" t="b">
        <f t="shared" si="34"/>
        <v>0</v>
      </c>
      <c r="V615" s="38"/>
      <c r="W615" s="40"/>
      <c r="X615" s="40"/>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row>
    <row r="616">
      <c r="A616" s="37"/>
      <c r="B616" s="322"/>
      <c r="C616" s="144"/>
      <c r="D616" s="144"/>
      <c r="E616" s="37"/>
      <c r="F616" s="37"/>
      <c r="G616" s="37"/>
      <c r="H616" s="33" t="str">
        <f t="shared" si="33"/>
        <v/>
      </c>
      <c r="I616" s="37"/>
      <c r="J616" s="37"/>
      <c r="K616" s="37"/>
      <c r="L616" s="37"/>
      <c r="M616" s="14"/>
      <c r="N616" s="15"/>
      <c r="O616" s="16"/>
      <c r="P616" s="16"/>
      <c r="Q616" s="16"/>
      <c r="R616" s="16"/>
      <c r="S616" s="37" t="str">
        <f>IFERROR(__xludf.DUMMYFUNCTION("if(not(iserror(index(split(C616, "" ""),2))), index(split(C616, "" ""),1),"""")"),"")</f>
        <v/>
      </c>
      <c r="T616" s="315" t="str">
        <f>IFERROR(__xludf.DUMMYFUNCTION("if(S616="""",C616,if(not(iserror(index(split(C616, "" ""),3))), index(split(C616, "" ""),3),index(split(C616, "" ""),2)))"),"")</f>
        <v/>
      </c>
      <c r="U616" s="38" t="b">
        <f t="shared" si="34"/>
        <v>0</v>
      </c>
      <c r="V616" s="38"/>
      <c r="W616" s="40"/>
      <c r="X616" s="40"/>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row>
    <row r="617">
      <c r="A617" s="37"/>
      <c r="B617" s="322"/>
      <c r="C617" s="144"/>
      <c r="D617" s="144"/>
      <c r="E617" s="37"/>
      <c r="F617" s="37"/>
      <c r="G617" s="37"/>
      <c r="H617" s="33" t="str">
        <f t="shared" si="33"/>
        <v/>
      </c>
      <c r="I617" s="37"/>
      <c r="J617" s="37"/>
      <c r="K617" s="37"/>
      <c r="L617" s="37"/>
      <c r="M617" s="14"/>
      <c r="N617" s="15"/>
      <c r="O617" s="16"/>
      <c r="P617" s="16"/>
      <c r="Q617" s="16"/>
      <c r="R617" s="16"/>
      <c r="S617" s="37" t="str">
        <f>IFERROR(__xludf.DUMMYFUNCTION("if(not(iserror(index(split(C617, "" ""),2))), index(split(C617, "" ""),1),"""")"),"")</f>
        <v/>
      </c>
      <c r="T617" s="315" t="str">
        <f>IFERROR(__xludf.DUMMYFUNCTION("if(S617="""",C617,if(not(iserror(index(split(C617, "" ""),3))), index(split(C617, "" ""),3),index(split(C617, "" ""),2)))"),"")</f>
        <v/>
      </c>
      <c r="U617" s="38" t="b">
        <f t="shared" si="34"/>
        <v>0</v>
      </c>
      <c r="V617" s="38"/>
      <c r="W617" s="40"/>
      <c r="X617" s="40"/>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row>
    <row r="618">
      <c r="A618" s="37"/>
      <c r="B618" s="322"/>
      <c r="C618" s="144"/>
      <c r="D618" s="144"/>
      <c r="E618" s="37"/>
      <c r="F618" s="37"/>
      <c r="G618" s="37"/>
      <c r="H618" s="33" t="str">
        <f t="shared" si="33"/>
        <v/>
      </c>
      <c r="I618" s="37"/>
      <c r="J618" s="37"/>
      <c r="K618" s="37"/>
      <c r="L618" s="37"/>
      <c r="M618" s="14"/>
      <c r="N618" s="15"/>
      <c r="O618" s="16"/>
      <c r="P618" s="16"/>
      <c r="Q618" s="16"/>
      <c r="R618" s="16"/>
      <c r="S618" s="37" t="str">
        <f>IFERROR(__xludf.DUMMYFUNCTION("if(not(iserror(index(split(C618, "" ""),2))), index(split(C618, "" ""),1),"""")"),"")</f>
        <v/>
      </c>
      <c r="T618" s="315" t="str">
        <f>IFERROR(__xludf.DUMMYFUNCTION("if(S618="""",C618,if(not(iserror(index(split(C618, "" ""),3))), index(split(C618, "" ""),3),index(split(C618, "" ""),2)))"),"")</f>
        <v/>
      </c>
      <c r="U618" s="38" t="b">
        <f t="shared" si="34"/>
        <v>0</v>
      </c>
      <c r="V618" s="38"/>
      <c r="W618" s="40"/>
      <c r="X618" s="40"/>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row>
    <row r="619">
      <c r="A619" s="37"/>
      <c r="B619" s="322"/>
      <c r="C619" s="144"/>
      <c r="D619" s="144"/>
      <c r="E619" s="37"/>
      <c r="F619" s="37"/>
      <c r="G619" s="37"/>
      <c r="H619" s="33" t="str">
        <f t="shared" si="33"/>
        <v/>
      </c>
      <c r="I619" s="37"/>
      <c r="J619" s="37"/>
      <c r="K619" s="37"/>
      <c r="L619" s="58"/>
      <c r="M619" s="14"/>
      <c r="N619" s="15"/>
      <c r="O619" s="16"/>
      <c r="P619" s="16"/>
      <c r="Q619" s="16"/>
      <c r="R619" s="16"/>
      <c r="S619" s="37" t="str">
        <f>IFERROR(__xludf.DUMMYFUNCTION("if(not(iserror(index(split(C619, "" ""),2))), index(split(C619, "" ""),1),"""")"),"")</f>
        <v/>
      </c>
      <c r="T619" s="315" t="str">
        <f>IFERROR(__xludf.DUMMYFUNCTION("if(S619="""",C619,if(not(iserror(index(split(C619, "" ""),3))), index(split(C619, "" ""),3),index(split(C619, "" ""),2)))"),"")</f>
        <v/>
      </c>
      <c r="U619" s="38" t="b">
        <f t="shared" si="34"/>
        <v>0</v>
      </c>
      <c r="V619" s="38"/>
      <c r="W619" s="40"/>
      <c r="X619" s="40"/>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row>
    <row r="620">
      <c r="A620" s="37"/>
      <c r="B620" s="322"/>
      <c r="C620" s="144"/>
      <c r="D620" s="144"/>
      <c r="E620" s="37"/>
      <c r="F620" s="37"/>
      <c r="G620" s="37"/>
      <c r="H620" s="33" t="str">
        <f t="shared" si="33"/>
        <v/>
      </c>
      <c r="I620" s="37"/>
      <c r="J620" s="37"/>
      <c r="K620" s="37"/>
      <c r="L620" s="37"/>
      <c r="M620" s="106"/>
      <c r="N620" s="15"/>
      <c r="O620" s="16"/>
      <c r="P620" s="16"/>
      <c r="Q620" s="16"/>
      <c r="R620" s="16"/>
      <c r="S620" s="37" t="str">
        <f>IFERROR(__xludf.DUMMYFUNCTION("if(not(iserror(index(split(C620, "" ""),2))), index(split(C620, "" ""),1),"""")"),"")</f>
        <v/>
      </c>
      <c r="T620" s="315" t="str">
        <f>IFERROR(__xludf.DUMMYFUNCTION("if(S620="""",C620,if(not(iserror(index(split(C620, "" ""),3))), index(split(C620, "" ""),3),index(split(C620, "" ""),2)))"),"")</f>
        <v/>
      </c>
      <c r="U620" s="38" t="b">
        <f t="shared" si="34"/>
        <v>0</v>
      </c>
      <c r="V620" s="38"/>
      <c r="W620" s="40"/>
      <c r="X620" s="40"/>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row>
    <row r="621">
      <c r="A621" s="37"/>
      <c r="B621" s="322"/>
      <c r="C621" s="144"/>
      <c r="D621" s="144"/>
      <c r="E621" s="37"/>
      <c r="F621" s="37"/>
      <c r="G621" s="37"/>
      <c r="H621" s="33" t="str">
        <f t="shared" si="33"/>
        <v/>
      </c>
      <c r="I621" s="37"/>
      <c r="J621" s="37"/>
      <c r="K621" s="37"/>
      <c r="L621" s="37"/>
      <c r="M621" s="14"/>
      <c r="N621" s="15"/>
      <c r="O621" s="16"/>
      <c r="P621" s="16"/>
      <c r="Q621" s="16"/>
      <c r="R621" s="16"/>
      <c r="S621" s="37" t="str">
        <f>IFERROR(__xludf.DUMMYFUNCTION("if(not(iserror(index(split(C621, "" ""),2))), index(split(C621, "" ""),1),"""")"),"")</f>
        <v/>
      </c>
      <c r="T621" s="315" t="str">
        <f>IFERROR(__xludf.DUMMYFUNCTION("if(S621="""",C621,if(not(iserror(index(split(C621, "" ""),3))), index(split(C621, "" ""),3),index(split(C621, "" ""),2)))"),"")</f>
        <v/>
      </c>
      <c r="U621" s="38" t="b">
        <f t="shared" si="34"/>
        <v>0</v>
      </c>
      <c r="V621" s="38"/>
      <c r="W621" s="40"/>
      <c r="X621" s="40"/>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row>
    <row r="622">
      <c r="A622" s="37"/>
      <c r="B622" s="322"/>
      <c r="C622" s="144"/>
      <c r="D622" s="144"/>
      <c r="E622" s="37"/>
      <c r="F622" s="37"/>
      <c r="G622" s="37"/>
      <c r="H622" s="33" t="str">
        <f t="shared" si="33"/>
        <v/>
      </c>
      <c r="I622" s="37"/>
      <c r="J622" s="37"/>
      <c r="K622" s="37"/>
      <c r="L622" s="37"/>
      <c r="M622" s="14"/>
      <c r="N622" s="15"/>
      <c r="O622" s="16"/>
      <c r="P622" s="16"/>
      <c r="Q622" s="16"/>
      <c r="R622" s="16"/>
      <c r="S622" s="37" t="str">
        <f>IFERROR(__xludf.DUMMYFUNCTION("if(not(iserror(index(split(C622, "" ""),2))), index(split(C622, "" ""),1),"""")"),"")</f>
        <v/>
      </c>
      <c r="T622" s="315" t="str">
        <f>IFERROR(__xludf.DUMMYFUNCTION("if(S622="""",C622,if(not(iserror(index(split(C622, "" ""),3))), index(split(C622, "" ""),3),index(split(C622, "" ""),2)))"),"")</f>
        <v/>
      </c>
      <c r="U622" s="38" t="b">
        <f t="shared" si="34"/>
        <v>0</v>
      </c>
      <c r="V622" s="38"/>
      <c r="W622" s="40"/>
      <c r="X622" s="40"/>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row>
    <row r="623">
      <c r="B623" s="322"/>
      <c r="C623" s="144"/>
      <c r="D623" s="144"/>
      <c r="E623" s="37"/>
      <c r="F623" s="37"/>
      <c r="G623" s="37"/>
      <c r="H623" s="33" t="str">
        <f t="shared" si="33"/>
        <v/>
      </c>
      <c r="I623" s="37"/>
      <c r="J623" s="37"/>
      <c r="K623" s="37"/>
      <c r="L623" s="37"/>
      <c r="M623" s="14"/>
      <c r="N623" s="15"/>
      <c r="O623" s="16"/>
      <c r="P623" s="16"/>
      <c r="Q623" s="16"/>
      <c r="R623" s="16"/>
      <c r="S623" s="37" t="str">
        <f>IFERROR(__xludf.DUMMYFUNCTION("if(not(iserror(index(split(C623, "" ""),2))), index(split(C623, "" ""),1),"""")"),"")</f>
        <v/>
      </c>
      <c r="T623" s="315" t="str">
        <f>IFERROR(__xludf.DUMMYFUNCTION("if(S623="""",C623,if(not(iserror(index(split(C623, "" ""),3))), index(split(C623, "" ""),3),index(split(C623, "" ""),2)))"),"")</f>
        <v/>
      </c>
      <c r="U623" s="38" t="b">
        <f t="shared" si="34"/>
        <v>0</v>
      </c>
      <c r="V623" s="38"/>
      <c r="W623" s="40"/>
      <c r="X623" s="40"/>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row>
    <row r="624">
      <c r="B624" s="322"/>
      <c r="C624" s="144"/>
      <c r="D624" s="144"/>
      <c r="E624" s="37"/>
      <c r="F624" s="37"/>
      <c r="G624" s="37"/>
      <c r="H624" s="33" t="str">
        <f t="shared" si="33"/>
        <v/>
      </c>
      <c r="I624" s="37"/>
      <c r="J624" s="37"/>
      <c r="K624" s="37"/>
      <c r="L624" s="37"/>
      <c r="M624" s="14"/>
      <c r="N624" s="15"/>
      <c r="O624" s="16"/>
      <c r="P624" s="16"/>
      <c r="Q624" s="16"/>
      <c r="R624" s="16"/>
      <c r="S624" s="37" t="str">
        <f>IFERROR(__xludf.DUMMYFUNCTION("if(not(iserror(index(split(C624, "" ""),2))), index(split(C624, "" ""),1),"""")"),"")</f>
        <v/>
      </c>
      <c r="T624" s="315" t="str">
        <f>IFERROR(__xludf.DUMMYFUNCTION("if(S624="""",C624,if(not(iserror(index(split(C624, "" ""),3))), index(split(C624, "" ""),3),index(split(C624, "" ""),2)))"),"")</f>
        <v/>
      </c>
      <c r="U624" s="38" t="b">
        <f t="shared" si="34"/>
        <v>0</v>
      </c>
      <c r="V624" s="38"/>
      <c r="W624" s="40"/>
      <c r="X624" s="40"/>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row>
    <row r="625">
      <c r="B625" s="322"/>
      <c r="C625" s="144"/>
      <c r="D625" s="144"/>
      <c r="E625" s="37"/>
      <c r="F625" s="37"/>
      <c r="G625" s="37"/>
      <c r="H625" s="33" t="str">
        <f t="shared" si="33"/>
        <v/>
      </c>
      <c r="I625" s="37"/>
      <c r="J625" s="37"/>
      <c r="K625" s="37"/>
      <c r="L625" s="37"/>
      <c r="M625" s="14"/>
      <c r="N625" s="15"/>
      <c r="O625" s="16"/>
      <c r="P625" s="16"/>
      <c r="Q625" s="16"/>
      <c r="R625" s="16"/>
      <c r="S625" s="37" t="str">
        <f>IFERROR(__xludf.DUMMYFUNCTION("if(not(iserror(index(split(C625, "" ""),2))), index(split(C625, "" ""),1),"""")"),"")</f>
        <v/>
      </c>
      <c r="T625" s="315" t="str">
        <f>IFERROR(__xludf.DUMMYFUNCTION("if(S625="""",C625,if(not(iserror(index(split(C625, "" ""),3))), index(split(C625, "" ""),3),index(split(C625, "" ""),2)))"),"")</f>
        <v/>
      </c>
      <c r="U625" s="38" t="b">
        <f t="shared" si="34"/>
        <v>0</v>
      </c>
      <c r="V625" s="38"/>
      <c r="W625" s="40"/>
      <c r="X625" s="40"/>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row>
    <row r="626">
      <c r="A626" s="37"/>
      <c r="B626" s="322"/>
      <c r="C626" s="144"/>
      <c r="D626" s="144"/>
      <c r="E626" s="37"/>
      <c r="F626" s="37"/>
      <c r="G626" s="37"/>
      <c r="H626" s="33" t="str">
        <f t="shared" si="33"/>
        <v/>
      </c>
      <c r="I626" s="37"/>
      <c r="J626" s="37"/>
      <c r="K626" s="37"/>
      <c r="L626" s="37"/>
      <c r="M626" s="14"/>
      <c r="N626" s="15"/>
      <c r="O626" s="16"/>
      <c r="P626" s="16"/>
      <c r="Q626" s="16"/>
      <c r="R626" s="16"/>
      <c r="S626" s="37" t="str">
        <f>IFERROR(__xludf.DUMMYFUNCTION("if(not(iserror(index(split(C626, "" ""),2))), index(split(C626, "" ""),1),"""")"),"")</f>
        <v/>
      </c>
      <c r="T626" s="315" t="str">
        <f>IFERROR(__xludf.DUMMYFUNCTION("if(S626="""",C626,if(not(iserror(index(split(C626, "" ""),3))), index(split(C626, "" ""),3),index(split(C626, "" ""),2)))"),"")</f>
        <v/>
      </c>
      <c r="U626" s="38" t="b">
        <f t="shared" si="34"/>
        <v>0</v>
      </c>
      <c r="V626" s="38"/>
      <c r="W626" s="40"/>
      <c r="X626" s="40"/>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row>
    <row r="627">
      <c r="A627" s="37"/>
      <c r="B627" s="322"/>
      <c r="C627" s="144"/>
      <c r="D627" s="144"/>
      <c r="E627" s="37"/>
      <c r="F627" s="37"/>
      <c r="G627" s="37"/>
      <c r="H627" s="33" t="str">
        <f t="shared" si="33"/>
        <v/>
      </c>
      <c r="I627" s="37"/>
      <c r="J627" s="37"/>
      <c r="K627" s="37"/>
      <c r="L627" s="37"/>
      <c r="M627" s="14"/>
      <c r="N627" s="15"/>
      <c r="O627" s="16"/>
      <c r="P627" s="16"/>
      <c r="Q627" s="16"/>
      <c r="R627" s="16"/>
      <c r="S627" s="37" t="str">
        <f>IFERROR(__xludf.DUMMYFUNCTION("if(not(iserror(index(split(C627, "" ""),2))), index(split(C627, "" ""),1),"""")"),"")</f>
        <v/>
      </c>
      <c r="T627" s="315" t="str">
        <f>IFERROR(__xludf.DUMMYFUNCTION("if(S627="""",C627,if(not(iserror(index(split(C627, "" ""),3))), index(split(C627, "" ""),3),index(split(C627, "" ""),2)))"),"")</f>
        <v/>
      </c>
      <c r="U627" s="38" t="b">
        <f t="shared" si="34"/>
        <v>0</v>
      </c>
      <c r="V627" s="38"/>
      <c r="W627" s="40"/>
      <c r="X627" s="40"/>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row>
    <row r="628">
      <c r="A628" s="37"/>
      <c r="B628" s="322"/>
      <c r="C628" s="144"/>
      <c r="D628" s="144"/>
      <c r="E628" s="37"/>
      <c r="F628" s="37"/>
      <c r="G628" s="37"/>
      <c r="H628" s="33" t="str">
        <f t="shared" si="33"/>
        <v/>
      </c>
      <c r="I628" s="37"/>
      <c r="J628" s="37"/>
      <c r="K628" s="37"/>
      <c r="L628" s="37"/>
      <c r="M628" s="14"/>
      <c r="N628" s="15"/>
      <c r="O628" s="16"/>
      <c r="P628" s="16"/>
      <c r="Q628" s="16"/>
      <c r="R628" s="16"/>
      <c r="S628" s="37" t="str">
        <f>IFERROR(__xludf.DUMMYFUNCTION("if(not(iserror(index(split(C628, "" ""),2))), index(split(C628, "" ""),1),"""")"),"")</f>
        <v/>
      </c>
      <c r="T628" s="315" t="str">
        <f>IFERROR(__xludf.DUMMYFUNCTION("if(S628="""",C628,if(not(iserror(index(split(C628, "" ""),3))), index(split(C628, "" ""),3),index(split(C628, "" ""),2)))"),"")</f>
        <v/>
      </c>
      <c r="U628" s="38" t="b">
        <f t="shared" si="34"/>
        <v>0</v>
      </c>
      <c r="V628" s="38"/>
      <c r="W628" s="40"/>
      <c r="X628" s="40"/>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row>
    <row r="629">
      <c r="A629" s="90"/>
      <c r="B629" s="322"/>
      <c r="C629" s="144"/>
      <c r="D629" s="144"/>
      <c r="E629" s="37"/>
      <c r="F629" s="37"/>
      <c r="G629" s="37"/>
      <c r="H629" s="33" t="str">
        <f t="shared" si="33"/>
        <v/>
      </c>
      <c r="I629" s="37"/>
      <c r="J629" s="37"/>
      <c r="K629" s="37"/>
      <c r="L629" s="37"/>
      <c r="M629" s="14"/>
      <c r="N629" s="15"/>
      <c r="O629" s="16"/>
      <c r="P629" s="16"/>
      <c r="Q629" s="16"/>
      <c r="R629" s="16"/>
      <c r="S629" s="37" t="str">
        <f>IFERROR(__xludf.DUMMYFUNCTION("if(not(iserror(index(split(C629, "" ""),2))), index(split(C629, "" ""),1),"""")"),"")</f>
        <v/>
      </c>
      <c r="T629" s="315" t="str">
        <f>IFERROR(__xludf.DUMMYFUNCTION("if(S629="""",C629,if(not(iserror(index(split(C629, "" ""),3))), index(split(C629, "" ""),3),index(split(C629, "" ""),2)))"),"")</f>
        <v/>
      </c>
      <c r="U629" s="38" t="b">
        <f t="shared" si="34"/>
        <v>0</v>
      </c>
      <c r="V629" s="38"/>
      <c r="W629" s="40"/>
      <c r="X629" s="40"/>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row>
    <row r="630">
      <c r="A630" s="37"/>
      <c r="B630" s="322"/>
      <c r="C630" s="144"/>
      <c r="D630" s="144"/>
      <c r="E630" s="37"/>
      <c r="F630" s="37"/>
      <c r="G630" s="37"/>
      <c r="H630" s="33" t="str">
        <f t="shared" si="33"/>
        <v/>
      </c>
      <c r="I630" s="37"/>
      <c r="J630" s="37"/>
      <c r="K630" s="37"/>
      <c r="L630" s="37"/>
      <c r="M630" s="14"/>
      <c r="N630" s="15"/>
      <c r="O630" s="16"/>
      <c r="P630" s="16"/>
      <c r="Q630" s="16"/>
      <c r="R630" s="16"/>
      <c r="S630" s="37" t="str">
        <f>IFERROR(__xludf.DUMMYFUNCTION("if(not(iserror(index(split(C630, "" ""),2))), index(split(C630, "" ""),1),"""")"),"")</f>
        <v/>
      </c>
      <c r="T630" s="315" t="str">
        <f>IFERROR(__xludf.DUMMYFUNCTION("if(S630="""",C630,if(not(iserror(index(split(C630, "" ""),3))), index(split(C630, "" ""),3),index(split(C630, "" ""),2)))"),"")</f>
        <v/>
      </c>
      <c r="U630" s="38" t="b">
        <f t="shared" si="34"/>
        <v>0</v>
      </c>
      <c r="V630" s="38"/>
      <c r="W630" s="40"/>
      <c r="X630" s="40"/>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row>
    <row r="631">
      <c r="A631" s="37"/>
      <c r="B631" s="322"/>
      <c r="C631" s="144"/>
      <c r="D631" s="144"/>
      <c r="E631" s="37"/>
      <c r="F631" s="37"/>
      <c r="G631" s="37"/>
      <c r="H631" s="33" t="str">
        <f t="shared" si="33"/>
        <v/>
      </c>
      <c r="I631" s="37"/>
      <c r="J631" s="37"/>
      <c r="K631" s="37"/>
      <c r="L631" s="37"/>
      <c r="M631" s="14"/>
      <c r="N631" s="15"/>
      <c r="O631" s="16"/>
      <c r="P631" s="16"/>
      <c r="Q631" s="16"/>
      <c r="R631" s="16"/>
      <c r="S631" s="37" t="str">
        <f>IFERROR(__xludf.DUMMYFUNCTION("if(not(iserror(index(split(C631, "" ""),2))), index(split(C631, "" ""),1),"""")"),"")</f>
        <v/>
      </c>
      <c r="T631" s="315" t="str">
        <f>IFERROR(__xludf.DUMMYFUNCTION("if(S631="""",C631,if(not(iserror(index(split(C631, "" ""),3))), index(split(C631, "" ""),3),index(split(C631, "" ""),2)))"),"")</f>
        <v/>
      </c>
      <c r="U631" s="38" t="b">
        <f t="shared" si="34"/>
        <v>0</v>
      </c>
      <c r="V631" s="38"/>
      <c r="W631" s="40"/>
      <c r="X631" s="40"/>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row>
    <row r="632">
      <c r="A632" s="37"/>
      <c r="B632" s="322"/>
      <c r="C632" s="144"/>
      <c r="D632" s="144"/>
      <c r="E632" s="37"/>
      <c r="F632" s="37"/>
      <c r="G632" s="37"/>
      <c r="H632" s="33" t="str">
        <f t="shared" si="33"/>
        <v/>
      </c>
      <c r="I632" s="37"/>
      <c r="J632" s="37"/>
      <c r="K632" s="37"/>
      <c r="L632" s="37"/>
      <c r="M632" s="14"/>
      <c r="N632" s="15"/>
      <c r="O632" s="16"/>
      <c r="P632" s="16"/>
      <c r="Q632" s="16"/>
      <c r="R632" s="16"/>
      <c r="S632" s="37" t="str">
        <f>IFERROR(__xludf.DUMMYFUNCTION("if(not(iserror(index(split(C632, "" ""),2))), index(split(C632, "" ""),1),"""")"),"")</f>
        <v/>
      </c>
      <c r="T632" s="315" t="str">
        <f>IFERROR(__xludf.DUMMYFUNCTION("if(S632="""",C632,if(not(iserror(index(split(C632, "" ""),3))), index(split(C632, "" ""),3),index(split(C632, "" ""),2)))"),"")</f>
        <v/>
      </c>
      <c r="U632" s="38" t="b">
        <f t="shared" si="34"/>
        <v>0</v>
      </c>
      <c r="V632" s="38"/>
      <c r="W632" s="40"/>
      <c r="X632" s="40"/>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row>
    <row r="633">
      <c r="A633" s="37"/>
      <c r="B633" s="322"/>
      <c r="C633" s="144"/>
      <c r="D633" s="144"/>
      <c r="E633" s="37"/>
      <c r="F633" s="37"/>
      <c r="G633" s="37"/>
      <c r="H633" s="33" t="str">
        <f t="shared" si="33"/>
        <v/>
      </c>
      <c r="I633" s="37"/>
      <c r="J633" s="37"/>
      <c r="K633" s="37"/>
      <c r="L633" s="37"/>
      <c r="M633" s="14"/>
      <c r="N633" s="15"/>
      <c r="O633" s="16"/>
      <c r="P633" s="16"/>
      <c r="Q633" s="16"/>
      <c r="R633" s="16"/>
      <c r="S633" s="37" t="str">
        <f>IFERROR(__xludf.DUMMYFUNCTION("if(not(iserror(index(split(C633, "" ""),2))), index(split(C633, "" ""),1),"""")"),"")</f>
        <v/>
      </c>
      <c r="T633" s="315" t="str">
        <f>IFERROR(__xludf.DUMMYFUNCTION("if(S633="""",C633,if(not(iserror(index(split(C633, "" ""),3))), index(split(C633, "" ""),3),index(split(C633, "" ""),2)))"),"")</f>
        <v/>
      </c>
      <c r="U633" s="38" t="b">
        <f t="shared" si="34"/>
        <v>0</v>
      </c>
      <c r="V633" s="38"/>
      <c r="W633" s="40"/>
      <c r="X633" s="40"/>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row>
    <row r="634">
      <c r="B634" s="322"/>
      <c r="C634" s="144"/>
      <c r="D634" s="144"/>
      <c r="E634" s="37"/>
      <c r="F634" s="37"/>
      <c r="G634" s="37"/>
      <c r="H634" s="33" t="str">
        <f t="shared" si="33"/>
        <v/>
      </c>
      <c r="I634" s="37"/>
      <c r="J634" s="37"/>
      <c r="K634" s="37"/>
      <c r="L634" s="37"/>
      <c r="M634" s="14"/>
      <c r="N634" s="15"/>
      <c r="O634" s="16"/>
      <c r="P634" s="16"/>
      <c r="Q634" s="16"/>
      <c r="R634" s="16"/>
      <c r="S634" s="37" t="str">
        <f>IFERROR(__xludf.DUMMYFUNCTION("if(not(iserror(index(split(C634, "" ""),2))), index(split(C634, "" ""),1),"""")"),"")</f>
        <v/>
      </c>
      <c r="T634" s="315" t="str">
        <f>IFERROR(__xludf.DUMMYFUNCTION("if(S634="""",C634,if(not(iserror(index(split(C634, "" ""),3))), index(split(C634, "" ""),3),index(split(C634, "" ""),2)))"),"")</f>
        <v/>
      </c>
      <c r="U634" s="38" t="b">
        <f t="shared" si="34"/>
        <v>0</v>
      </c>
      <c r="V634" s="38"/>
      <c r="W634" s="40"/>
      <c r="X634" s="40"/>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row>
    <row r="635">
      <c r="A635" s="37"/>
      <c r="B635" s="322"/>
      <c r="C635" s="144"/>
      <c r="D635" s="144"/>
      <c r="E635" s="37"/>
      <c r="F635" s="37"/>
      <c r="G635" s="37"/>
      <c r="H635" s="33" t="str">
        <f t="shared" si="33"/>
        <v/>
      </c>
      <c r="I635" s="37"/>
      <c r="J635" s="37"/>
      <c r="K635" s="37"/>
      <c r="L635" s="37"/>
      <c r="M635" s="14"/>
      <c r="N635" s="15"/>
      <c r="O635" s="16"/>
      <c r="P635" s="16"/>
      <c r="Q635" s="16"/>
      <c r="R635" s="16"/>
      <c r="S635" s="37" t="str">
        <f>IFERROR(__xludf.DUMMYFUNCTION("if(not(iserror(index(split(C635, "" ""),2))), index(split(C635, "" ""),1),"""")"),"")</f>
        <v/>
      </c>
      <c r="T635" s="315" t="str">
        <f>IFERROR(__xludf.DUMMYFUNCTION("if(S635="""",C635,if(not(iserror(index(split(C635, "" ""),3))), index(split(C635, "" ""),3),index(split(C635, "" ""),2)))"),"")</f>
        <v/>
      </c>
      <c r="U635" s="38" t="b">
        <f t="shared" si="34"/>
        <v>0</v>
      </c>
      <c r="V635" s="38"/>
      <c r="W635" s="40"/>
      <c r="X635" s="40"/>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row>
    <row r="636">
      <c r="A636" s="37"/>
      <c r="B636" s="322"/>
      <c r="C636" s="144"/>
      <c r="D636" s="144"/>
      <c r="E636" s="37"/>
      <c r="F636" s="37"/>
      <c r="G636" s="37"/>
      <c r="H636" s="33" t="str">
        <f t="shared" si="33"/>
        <v/>
      </c>
      <c r="I636" s="37"/>
      <c r="J636" s="37"/>
      <c r="K636" s="37"/>
      <c r="L636" s="58"/>
      <c r="M636" s="14"/>
      <c r="N636" s="15"/>
      <c r="O636" s="16"/>
      <c r="P636" s="16"/>
      <c r="Q636" s="16"/>
      <c r="R636" s="16"/>
      <c r="S636" s="37" t="str">
        <f>IFERROR(__xludf.DUMMYFUNCTION("if(not(iserror(index(split(C636, "" ""),2))), index(split(C636, "" ""),1),"""")"),"")</f>
        <v/>
      </c>
      <c r="T636" s="315" t="str">
        <f>IFERROR(__xludf.DUMMYFUNCTION("if(S636="""",C636,if(not(iserror(index(split(C636, "" ""),3))), index(split(C636, "" ""),3),index(split(C636, "" ""),2)))"),"")</f>
        <v/>
      </c>
      <c r="U636" s="38" t="b">
        <f t="shared" si="34"/>
        <v>0</v>
      </c>
      <c r="V636" s="38"/>
      <c r="W636" s="40"/>
      <c r="X636" s="40"/>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row>
    <row r="637">
      <c r="A637" s="37"/>
      <c r="B637" s="322"/>
      <c r="C637" s="144"/>
      <c r="D637" s="144"/>
      <c r="E637" s="37"/>
      <c r="F637" s="37"/>
      <c r="G637" s="37"/>
      <c r="H637" s="33" t="str">
        <f t="shared" si="33"/>
        <v/>
      </c>
      <c r="I637" s="37"/>
      <c r="J637" s="37"/>
      <c r="K637" s="37"/>
      <c r="L637" s="58"/>
      <c r="M637" s="14"/>
      <c r="N637" s="15"/>
      <c r="O637" s="16"/>
      <c r="P637" s="16"/>
      <c r="Q637" s="16"/>
      <c r="R637" s="16"/>
      <c r="S637" s="37" t="str">
        <f>IFERROR(__xludf.DUMMYFUNCTION("if(not(iserror(index(split(C637, "" ""),2))), index(split(C637, "" ""),1),"""")"),"")</f>
        <v/>
      </c>
      <c r="T637" s="315" t="str">
        <f>IFERROR(__xludf.DUMMYFUNCTION("if(S637="""",C637,if(not(iserror(index(split(C637, "" ""),3))), index(split(C637, "" ""),3),index(split(C637, "" ""),2)))"),"")</f>
        <v/>
      </c>
      <c r="U637" s="38" t="b">
        <f t="shared" si="34"/>
        <v>0</v>
      </c>
      <c r="V637" s="38"/>
      <c r="W637" s="40"/>
      <c r="X637" s="40"/>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row>
    <row r="638">
      <c r="A638" s="37"/>
      <c r="B638" s="322"/>
      <c r="C638" s="144"/>
      <c r="D638" s="144"/>
      <c r="E638" s="37"/>
      <c r="F638" s="37"/>
      <c r="G638" s="37"/>
      <c r="H638" s="33" t="str">
        <f t="shared" si="33"/>
        <v/>
      </c>
      <c r="I638" s="37"/>
      <c r="J638" s="37"/>
      <c r="K638" s="37"/>
      <c r="L638" s="58"/>
      <c r="M638" s="14"/>
      <c r="N638" s="15"/>
      <c r="O638" s="16"/>
      <c r="P638" s="16"/>
      <c r="Q638" s="16"/>
      <c r="R638" s="16"/>
      <c r="S638" s="37" t="str">
        <f>IFERROR(__xludf.DUMMYFUNCTION("if(not(iserror(index(split(C638, "" ""),2))), index(split(C638, "" ""),1),"""")"),"")</f>
        <v/>
      </c>
      <c r="T638" s="315" t="str">
        <f>IFERROR(__xludf.DUMMYFUNCTION("if(S638="""",C638,if(not(iserror(index(split(C638, "" ""),3))), index(split(C638, "" ""),3),index(split(C638, "" ""),2)))"),"")</f>
        <v/>
      </c>
      <c r="U638" s="38" t="b">
        <f t="shared" si="34"/>
        <v>0</v>
      </c>
      <c r="V638" s="38"/>
      <c r="W638" s="40"/>
      <c r="X638" s="40"/>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row>
    <row r="639">
      <c r="A639" s="37"/>
      <c r="B639" s="322"/>
      <c r="C639" s="144"/>
      <c r="D639" s="144"/>
      <c r="E639" s="37"/>
      <c r="F639" s="37"/>
      <c r="G639" s="37"/>
      <c r="H639" s="33" t="str">
        <f t="shared" si="33"/>
        <v/>
      </c>
      <c r="I639" s="37"/>
      <c r="J639" s="37"/>
      <c r="K639" s="37"/>
      <c r="L639" s="58"/>
      <c r="M639" s="14"/>
      <c r="N639" s="15"/>
      <c r="O639" s="16"/>
      <c r="P639" s="16"/>
      <c r="Q639" s="16"/>
      <c r="R639" s="16"/>
      <c r="S639" s="37" t="str">
        <f>IFERROR(__xludf.DUMMYFUNCTION("if(not(iserror(index(split(C639, "" ""),2))), index(split(C639, "" ""),1),"""")"),"")</f>
        <v/>
      </c>
      <c r="T639" s="315" t="str">
        <f>IFERROR(__xludf.DUMMYFUNCTION("if(S639="""",C639,if(not(iserror(index(split(C639, "" ""),3))), index(split(C639, "" ""),3),index(split(C639, "" ""),2)))"),"")</f>
        <v/>
      </c>
      <c r="U639" s="38" t="b">
        <f t="shared" si="34"/>
        <v>0</v>
      </c>
      <c r="V639" s="38"/>
      <c r="W639" s="40"/>
      <c r="X639" s="40"/>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row>
    <row r="640">
      <c r="A640" s="37"/>
      <c r="B640" s="322"/>
      <c r="C640" s="144"/>
      <c r="D640" s="144"/>
      <c r="E640" s="37"/>
      <c r="F640" s="37"/>
      <c r="G640" s="37"/>
      <c r="H640" s="33" t="str">
        <f t="shared" si="33"/>
        <v/>
      </c>
      <c r="I640" s="37"/>
      <c r="J640" s="37"/>
      <c r="K640" s="37"/>
      <c r="L640" s="58"/>
      <c r="M640" s="14"/>
      <c r="N640" s="15"/>
      <c r="O640" s="16"/>
      <c r="P640" s="16"/>
      <c r="Q640" s="16"/>
      <c r="R640" s="16"/>
      <c r="S640" s="37" t="str">
        <f>IFERROR(__xludf.DUMMYFUNCTION("if(not(iserror(index(split(C640, "" ""),2))), index(split(C640, "" ""),1),"""")"),"")</f>
        <v/>
      </c>
      <c r="T640" s="315" t="str">
        <f>IFERROR(__xludf.DUMMYFUNCTION("if(S640="""",C640,if(not(iserror(index(split(C640, "" ""),3))), index(split(C640, "" ""),3),index(split(C640, "" ""),2)))"),"")</f>
        <v/>
      </c>
      <c r="U640" s="38" t="b">
        <f t="shared" si="34"/>
        <v>0</v>
      </c>
      <c r="V640" s="38"/>
      <c r="W640" s="40"/>
      <c r="X640" s="40"/>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row>
    <row r="641">
      <c r="A641" s="37"/>
      <c r="B641" s="322"/>
      <c r="C641" s="144"/>
      <c r="D641" s="144"/>
      <c r="E641" s="37"/>
      <c r="F641" s="37"/>
      <c r="G641" s="37"/>
      <c r="H641" s="33" t="str">
        <f t="shared" si="33"/>
        <v/>
      </c>
      <c r="I641" s="37"/>
      <c r="J641" s="37"/>
      <c r="K641" s="37"/>
      <c r="L641" s="58"/>
      <c r="M641" s="14"/>
      <c r="N641" s="15"/>
      <c r="O641" s="16"/>
      <c r="P641" s="16"/>
      <c r="Q641" s="16"/>
      <c r="R641" s="16"/>
      <c r="S641" s="37" t="str">
        <f>IFERROR(__xludf.DUMMYFUNCTION("if(not(iserror(index(split(C641, "" ""),2))), index(split(C641, "" ""),1),"""")"),"")</f>
        <v/>
      </c>
      <c r="T641" s="315" t="str">
        <f>IFERROR(__xludf.DUMMYFUNCTION("if(S641="""",C641,if(not(iserror(index(split(C641, "" ""),3))), index(split(C641, "" ""),3),index(split(C641, "" ""),2)))"),"")</f>
        <v/>
      </c>
      <c r="U641" s="38" t="b">
        <f t="shared" si="34"/>
        <v>0</v>
      </c>
      <c r="V641" s="38"/>
      <c r="W641" s="40"/>
      <c r="X641" s="40"/>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row>
    <row r="642">
      <c r="A642" s="37"/>
      <c r="B642" s="322"/>
      <c r="C642" s="144"/>
      <c r="D642" s="144"/>
      <c r="E642" s="37"/>
      <c r="F642" s="37"/>
      <c r="G642" s="37"/>
      <c r="H642" s="33" t="str">
        <f t="shared" si="33"/>
        <v/>
      </c>
      <c r="I642" s="37"/>
      <c r="J642" s="37"/>
      <c r="K642" s="37"/>
      <c r="L642" s="37"/>
      <c r="M642" s="14"/>
      <c r="N642" s="15"/>
      <c r="O642" s="16"/>
      <c r="P642" s="16"/>
      <c r="Q642" s="16"/>
      <c r="R642" s="16"/>
      <c r="S642" s="37" t="str">
        <f>IFERROR(__xludf.DUMMYFUNCTION("if(not(iserror(index(split(C642, "" ""),2))), index(split(C642, "" ""),1),"""")"),"")</f>
        <v/>
      </c>
      <c r="T642" s="315" t="str">
        <f>IFERROR(__xludf.DUMMYFUNCTION("if(S642="""",C642,if(not(iserror(index(split(C642, "" ""),3))), index(split(C642, "" ""),3),index(split(C642, "" ""),2)))"),"")</f>
        <v/>
      </c>
      <c r="U642" s="38" t="b">
        <f t="shared" si="34"/>
        <v>0</v>
      </c>
      <c r="V642" s="38"/>
      <c r="W642" s="40"/>
      <c r="X642" s="40"/>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row>
    <row r="643">
      <c r="A643" s="37"/>
      <c r="B643" s="322"/>
      <c r="C643" s="144"/>
      <c r="D643" s="144"/>
      <c r="E643" s="37"/>
      <c r="F643" s="37"/>
      <c r="G643" s="37"/>
      <c r="H643" s="33" t="str">
        <f t="shared" si="33"/>
        <v/>
      </c>
      <c r="I643" s="37"/>
      <c r="J643" s="37"/>
      <c r="K643" s="37"/>
      <c r="L643" s="37"/>
      <c r="M643" s="14"/>
      <c r="N643" s="15"/>
      <c r="O643" s="37"/>
      <c r="P643" s="16"/>
      <c r="Q643" s="64"/>
      <c r="R643" s="16"/>
      <c r="S643" s="37" t="str">
        <f>IFERROR(__xludf.DUMMYFUNCTION("if(not(iserror(index(split(C643, "" ""),2))), index(split(C643, "" ""),1),"""")"),"")</f>
        <v/>
      </c>
      <c r="T643" s="315" t="str">
        <f>IFERROR(__xludf.DUMMYFUNCTION("if(S643="""",C643,if(not(iserror(index(split(C643, "" ""),3))), index(split(C643, "" ""),3),index(split(C643, "" ""),2)))"),"")</f>
        <v/>
      </c>
      <c r="U643" s="38" t="b">
        <f t="shared" si="34"/>
        <v>0</v>
      </c>
      <c r="V643" s="38"/>
      <c r="W643" s="40"/>
      <c r="X643" s="40"/>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row>
    <row r="644">
      <c r="A644" s="37"/>
      <c r="B644" s="322"/>
      <c r="C644" s="144"/>
      <c r="D644" s="144"/>
      <c r="E644" s="37"/>
      <c r="F644" s="37"/>
      <c r="G644" s="37"/>
      <c r="H644" s="33" t="str">
        <f t="shared" si="33"/>
        <v/>
      </c>
      <c r="I644" s="37"/>
      <c r="J644" s="37"/>
      <c r="K644" s="37"/>
      <c r="L644" s="37"/>
      <c r="M644" s="14"/>
      <c r="N644" s="14"/>
      <c r="O644" s="37"/>
      <c r="P644" s="37"/>
      <c r="Q644" s="37"/>
      <c r="R644" s="16"/>
      <c r="S644" s="37" t="str">
        <f>IFERROR(__xludf.DUMMYFUNCTION("if(not(iserror(index(split(C644, "" ""),2))), index(split(C644, "" ""),1),"""")"),"")</f>
        <v/>
      </c>
      <c r="T644" s="315" t="str">
        <f>IFERROR(__xludf.DUMMYFUNCTION("if(S644="""",C644,if(not(iserror(index(split(C644, "" ""),3))), index(split(C644, "" ""),3),index(split(C644, "" ""),2)))"),"")</f>
        <v/>
      </c>
      <c r="U644" s="38" t="b">
        <f t="shared" si="34"/>
        <v>0</v>
      </c>
      <c r="V644" s="38"/>
      <c r="W644" s="40"/>
      <c r="X644" s="40"/>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row>
    <row r="645">
      <c r="A645" s="37"/>
      <c r="B645" s="322"/>
      <c r="C645" s="144"/>
      <c r="D645" s="144"/>
      <c r="E645" s="37"/>
      <c r="F645" s="37"/>
      <c r="G645" s="37"/>
      <c r="H645" s="33" t="str">
        <f t="shared" si="33"/>
        <v/>
      </c>
      <c r="I645" s="37"/>
      <c r="J645" s="37"/>
      <c r="K645" s="37"/>
      <c r="L645" s="37"/>
      <c r="M645" s="14"/>
      <c r="N645" s="15"/>
      <c r="O645" s="16"/>
      <c r="P645" s="16"/>
      <c r="Q645" s="16"/>
      <c r="R645" s="16"/>
      <c r="S645" s="37" t="str">
        <f>IFERROR(__xludf.DUMMYFUNCTION("if(not(iserror(index(split(C645, "" ""),2))), index(split(C645, "" ""),1),"""")"),"")</f>
        <v/>
      </c>
      <c r="T645" s="315" t="str">
        <f>IFERROR(__xludf.DUMMYFUNCTION("if(S645="""",C645,if(not(iserror(index(split(C645, "" ""),3))), index(split(C645, "" ""),3),index(split(C645, "" ""),2)))"),"")</f>
        <v/>
      </c>
      <c r="U645" s="38" t="b">
        <f t="shared" si="34"/>
        <v>0</v>
      </c>
      <c r="V645" s="38"/>
      <c r="W645" s="40"/>
      <c r="X645" s="40"/>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row>
    <row r="646">
      <c r="A646" s="37"/>
      <c r="B646" s="322"/>
      <c r="C646" s="144"/>
      <c r="D646" s="144"/>
      <c r="E646" s="37"/>
      <c r="F646" s="37"/>
      <c r="G646" s="37"/>
      <c r="H646" s="33" t="str">
        <f t="shared" si="33"/>
        <v/>
      </c>
      <c r="I646" s="37"/>
      <c r="J646" s="37"/>
      <c r="K646" s="37"/>
      <c r="L646" s="37"/>
      <c r="M646" s="14"/>
      <c r="N646" s="14"/>
      <c r="O646" s="16"/>
      <c r="P646" s="16"/>
      <c r="Q646" s="16"/>
      <c r="R646" s="16"/>
      <c r="S646" s="37" t="str">
        <f>IFERROR(__xludf.DUMMYFUNCTION("if(not(iserror(index(split(C646, "" ""),2))), index(split(C646, "" ""),1),"""")"),"")</f>
        <v/>
      </c>
      <c r="T646" s="315" t="str">
        <f>IFERROR(__xludf.DUMMYFUNCTION("if(S646="""",C646,if(not(iserror(index(split(C646, "" ""),3))), index(split(C646, "" ""),3),index(split(C646, "" ""),2)))"),"")</f>
        <v/>
      </c>
      <c r="U646" s="38" t="b">
        <f t="shared" si="34"/>
        <v>0</v>
      </c>
      <c r="V646" s="38"/>
      <c r="W646" s="40"/>
      <c r="X646" s="40"/>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row>
    <row r="647">
      <c r="A647" s="37"/>
      <c r="B647" s="322"/>
      <c r="C647" s="144"/>
      <c r="D647" s="144"/>
      <c r="E647" s="37"/>
      <c r="F647" s="37"/>
      <c r="G647" s="37"/>
      <c r="H647" s="33" t="str">
        <f t="shared" si="33"/>
        <v/>
      </c>
      <c r="I647" s="37"/>
      <c r="J647" s="37"/>
      <c r="K647" s="37"/>
      <c r="L647" s="37"/>
      <c r="M647" s="14"/>
      <c r="N647" s="15"/>
      <c r="O647" s="16"/>
      <c r="P647" s="16"/>
      <c r="Q647" s="16"/>
      <c r="R647" s="16"/>
      <c r="S647" s="37" t="str">
        <f>IFERROR(__xludf.DUMMYFUNCTION("if(not(iserror(index(split(C647, "" ""),2))), index(split(C647, "" ""),1),"""")"),"")</f>
        <v/>
      </c>
      <c r="T647" s="315" t="str">
        <f>IFERROR(__xludf.DUMMYFUNCTION("if(S647="""",C647,if(not(iserror(index(split(C647, "" ""),3))), index(split(C647, "" ""),3),index(split(C647, "" ""),2)))"),"")</f>
        <v/>
      </c>
      <c r="U647" s="38" t="b">
        <f t="shared" si="34"/>
        <v>0</v>
      </c>
      <c r="V647" s="38"/>
      <c r="W647" s="40"/>
      <c r="X647" s="40"/>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row>
    <row r="648">
      <c r="A648" s="37"/>
      <c r="B648" s="322"/>
      <c r="C648" s="144"/>
      <c r="D648" s="144"/>
      <c r="E648" s="37"/>
      <c r="F648" s="37"/>
      <c r="G648" s="37"/>
      <c r="H648" s="33" t="str">
        <f t="shared" si="33"/>
        <v/>
      </c>
      <c r="I648" s="37"/>
      <c r="J648" s="37"/>
      <c r="K648" s="37"/>
      <c r="L648" s="37"/>
      <c r="M648" s="14"/>
      <c r="N648" s="15"/>
      <c r="O648" s="16"/>
      <c r="P648" s="16"/>
      <c r="Q648" s="16"/>
      <c r="R648" s="16"/>
      <c r="S648" s="37" t="str">
        <f>IFERROR(__xludf.DUMMYFUNCTION("if(not(iserror(index(split(C648, "" ""),2))), index(split(C648, "" ""),1),"""")"),"")</f>
        <v/>
      </c>
      <c r="T648" s="315" t="str">
        <f>IFERROR(__xludf.DUMMYFUNCTION("if(S648="""",C648,if(not(iserror(index(split(C648, "" ""),3))), index(split(C648, "" ""),3),index(split(C648, "" ""),2)))"),"")</f>
        <v/>
      </c>
      <c r="U648" s="38" t="b">
        <f t="shared" si="34"/>
        <v>0</v>
      </c>
      <c r="V648" s="38"/>
      <c r="W648" s="40"/>
      <c r="X648" s="40"/>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row>
    <row r="649">
      <c r="A649" s="37"/>
      <c r="B649" s="322"/>
      <c r="C649" s="144"/>
      <c r="D649" s="144"/>
      <c r="E649" s="37"/>
      <c r="F649" s="37"/>
      <c r="G649" s="37"/>
      <c r="H649" s="33" t="str">
        <f t="shared" si="33"/>
        <v/>
      </c>
      <c r="I649" s="37"/>
      <c r="J649" s="37"/>
      <c r="K649" s="37"/>
      <c r="L649" s="37"/>
      <c r="M649" s="14"/>
      <c r="N649" s="15"/>
      <c r="O649" s="16"/>
      <c r="P649" s="16"/>
      <c r="Q649" s="16"/>
      <c r="R649" s="16"/>
      <c r="S649" s="37" t="str">
        <f>IFERROR(__xludf.DUMMYFUNCTION("if(not(iserror(index(split(C649, "" ""),2))), index(split(C649, "" ""),1),"""")"),"")</f>
        <v/>
      </c>
      <c r="T649" s="315" t="str">
        <f>IFERROR(__xludf.DUMMYFUNCTION("if(S649="""",C649,if(not(iserror(index(split(C649, "" ""),3))), index(split(C649, "" ""),3),index(split(C649, "" ""),2)))"),"")</f>
        <v/>
      </c>
      <c r="U649" s="38" t="b">
        <f t="shared" si="34"/>
        <v>0</v>
      </c>
      <c r="V649" s="38"/>
      <c r="W649" s="40"/>
      <c r="X649" s="40"/>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row>
    <row r="650">
      <c r="A650" s="37"/>
      <c r="B650" s="322"/>
      <c r="C650" s="144"/>
      <c r="D650" s="144"/>
      <c r="E650" s="37"/>
      <c r="F650" s="37"/>
      <c r="G650" s="37"/>
      <c r="H650" s="33" t="str">
        <f t="shared" si="33"/>
        <v/>
      </c>
      <c r="I650" s="37"/>
      <c r="J650" s="37"/>
      <c r="K650" s="37"/>
      <c r="L650" s="37"/>
      <c r="M650" s="14"/>
      <c r="N650" s="15"/>
      <c r="O650" s="16"/>
      <c r="P650" s="16"/>
      <c r="Q650" s="16"/>
      <c r="R650" s="16"/>
      <c r="S650" s="37" t="str">
        <f>IFERROR(__xludf.DUMMYFUNCTION("if(not(iserror(index(split(C650, "" ""),2))), index(split(C650, "" ""),1),"""")"),"")</f>
        <v/>
      </c>
      <c r="T650" s="315" t="str">
        <f>IFERROR(__xludf.DUMMYFUNCTION("if(S650="""",C650,if(not(iserror(index(split(C650, "" ""),3))), index(split(C650, "" ""),3),index(split(C650, "" ""),2)))"),"")</f>
        <v/>
      </c>
      <c r="U650" s="38" t="b">
        <f t="shared" si="34"/>
        <v>0</v>
      </c>
      <c r="V650" s="38"/>
      <c r="W650" s="40"/>
      <c r="X650" s="40"/>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row>
    <row r="651">
      <c r="A651" s="37"/>
      <c r="B651" s="322"/>
      <c r="C651" s="144"/>
      <c r="D651" s="144"/>
      <c r="E651" s="37"/>
      <c r="F651" s="37"/>
      <c r="G651" s="37"/>
      <c r="H651" s="33" t="str">
        <f t="shared" si="33"/>
        <v/>
      </c>
      <c r="I651" s="37"/>
      <c r="J651" s="37"/>
      <c r="K651" s="37"/>
      <c r="L651" s="37"/>
      <c r="M651" s="14"/>
      <c r="N651" s="15"/>
      <c r="O651" s="16"/>
      <c r="P651" s="16"/>
      <c r="Q651" s="16"/>
      <c r="R651" s="16"/>
      <c r="S651" s="37" t="str">
        <f>IFERROR(__xludf.DUMMYFUNCTION("if(not(iserror(index(split(C651, "" ""),2))), index(split(C651, "" ""),1),"""")"),"")</f>
        <v/>
      </c>
      <c r="T651" s="315" t="str">
        <f>IFERROR(__xludf.DUMMYFUNCTION("if(S651="""",C651,if(not(iserror(index(split(C651, "" ""),3))), index(split(C651, "" ""),3),index(split(C651, "" ""),2)))"),"")</f>
        <v/>
      </c>
      <c r="U651" s="38" t="b">
        <f t="shared" si="34"/>
        <v>0</v>
      </c>
      <c r="V651" s="38"/>
      <c r="W651" s="40"/>
      <c r="X651" s="40"/>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row>
    <row r="652">
      <c r="A652" s="37"/>
      <c r="B652" s="322"/>
      <c r="C652" s="144"/>
      <c r="D652" s="144"/>
      <c r="E652" s="37"/>
      <c r="F652" s="37"/>
      <c r="G652" s="37"/>
      <c r="H652" s="33" t="str">
        <f t="shared" si="33"/>
        <v/>
      </c>
      <c r="I652" s="37"/>
      <c r="J652" s="37"/>
      <c r="K652" s="37"/>
      <c r="L652" s="37"/>
      <c r="M652" s="14"/>
      <c r="N652" s="15"/>
      <c r="O652" s="16"/>
      <c r="P652" s="16"/>
      <c r="Q652" s="16"/>
      <c r="R652" s="16"/>
      <c r="S652" s="37" t="str">
        <f>IFERROR(__xludf.DUMMYFUNCTION("if(not(iserror(index(split(C652, "" ""),2))), index(split(C652, "" ""),1),"""")"),"")</f>
        <v/>
      </c>
      <c r="T652" s="315" t="str">
        <f>IFERROR(__xludf.DUMMYFUNCTION("if(S652="""",C652,if(not(iserror(index(split(C652, "" ""),3))), index(split(C652, "" ""),3),index(split(C652, "" ""),2)))"),"")</f>
        <v/>
      </c>
      <c r="U652" s="38" t="b">
        <f t="shared" si="34"/>
        <v>0</v>
      </c>
      <c r="V652" s="38"/>
      <c r="W652" s="40"/>
      <c r="X652" s="40"/>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row>
    <row r="653">
      <c r="A653" s="37"/>
      <c r="B653" s="322"/>
      <c r="C653" s="144"/>
      <c r="D653" s="144"/>
      <c r="E653" s="37"/>
      <c r="F653" s="37"/>
      <c r="G653" s="37"/>
      <c r="H653" s="33" t="str">
        <f t="shared" si="33"/>
        <v/>
      </c>
      <c r="I653" s="37"/>
      <c r="J653" s="37"/>
      <c r="K653" s="37"/>
      <c r="L653" s="37"/>
      <c r="M653" s="14"/>
      <c r="N653" s="15"/>
      <c r="O653" s="16"/>
      <c r="P653" s="16"/>
      <c r="Q653" s="16"/>
      <c r="R653" s="16"/>
      <c r="S653" s="37" t="str">
        <f>IFERROR(__xludf.DUMMYFUNCTION("if(not(iserror(index(split(C653, "" ""),2))), index(split(C653, "" ""),1),"""")"),"")</f>
        <v/>
      </c>
      <c r="T653" s="315" t="str">
        <f>IFERROR(__xludf.DUMMYFUNCTION("if(S653="""",C653,if(not(iserror(index(split(C653, "" ""),3))), index(split(C653, "" ""),3),index(split(C653, "" ""),2)))"),"")</f>
        <v/>
      </c>
      <c r="U653" s="38" t="b">
        <f t="shared" si="34"/>
        <v>0</v>
      </c>
      <c r="V653" s="38"/>
      <c r="W653" s="40"/>
      <c r="X653" s="40"/>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row>
    <row r="654">
      <c r="A654" s="37"/>
      <c r="B654" s="322"/>
      <c r="C654" s="144"/>
      <c r="D654" s="144"/>
      <c r="E654" s="37"/>
      <c r="F654" s="37"/>
      <c r="G654" s="37"/>
      <c r="H654" s="33" t="str">
        <f t="shared" si="33"/>
        <v/>
      </c>
      <c r="I654" s="37"/>
      <c r="J654" s="37"/>
      <c r="K654" s="37"/>
      <c r="L654" s="37"/>
      <c r="M654" s="14"/>
      <c r="N654" s="15"/>
      <c r="O654" s="16"/>
      <c r="P654" s="16"/>
      <c r="Q654" s="16"/>
      <c r="R654" s="16"/>
      <c r="S654" s="37" t="str">
        <f>IFERROR(__xludf.DUMMYFUNCTION("if(not(iserror(index(split(C654, "" ""),2))), index(split(C654, "" ""),1),"""")"),"")</f>
        <v/>
      </c>
      <c r="T654" s="315" t="str">
        <f>IFERROR(__xludf.DUMMYFUNCTION("if(S654="""",C654,if(not(iserror(index(split(C654, "" ""),3))), index(split(C654, "" ""),3),index(split(C654, "" ""),2)))"),"")</f>
        <v/>
      </c>
      <c r="U654" s="38" t="b">
        <f t="shared" si="34"/>
        <v>0</v>
      </c>
      <c r="V654" s="38"/>
      <c r="W654" s="40"/>
      <c r="X654" s="40"/>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row>
    <row r="655">
      <c r="A655" s="37"/>
      <c r="B655" s="322"/>
      <c r="C655" s="144"/>
      <c r="D655" s="144"/>
      <c r="E655" s="37"/>
      <c r="F655" s="37"/>
      <c r="G655" s="37"/>
      <c r="H655" s="33" t="str">
        <f t="shared" si="33"/>
        <v/>
      </c>
      <c r="I655" s="37"/>
      <c r="J655" s="37"/>
      <c r="K655" s="37"/>
      <c r="L655" s="37"/>
      <c r="M655" s="14"/>
      <c r="N655" s="15"/>
      <c r="O655" s="16"/>
      <c r="P655" s="16"/>
      <c r="Q655" s="16"/>
      <c r="R655" s="16"/>
      <c r="S655" s="37" t="str">
        <f>IFERROR(__xludf.DUMMYFUNCTION("if(not(iserror(index(split(C655, "" ""),2))), index(split(C655, "" ""),1),"""")"),"")</f>
        <v/>
      </c>
      <c r="T655" s="315" t="str">
        <f>IFERROR(__xludf.DUMMYFUNCTION("if(S655="""",C655,if(not(iserror(index(split(C655, "" ""),3))), index(split(C655, "" ""),3),index(split(C655, "" ""),2)))"),"")</f>
        <v/>
      </c>
      <c r="U655" s="38" t="b">
        <f t="shared" si="34"/>
        <v>0</v>
      </c>
      <c r="V655" s="38"/>
      <c r="W655" s="40"/>
      <c r="X655" s="40"/>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row>
    <row r="656">
      <c r="A656" s="37"/>
      <c r="B656" s="322"/>
      <c r="C656" s="144"/>
      <c r="D656" s="144"/>
      <c r="E656" s="37"/>
      <c r="F656" s="37"/>
      <c r="G656" s="37"/>
      <c r="H656" s="33" t="str">
        <f t="shared" si="33"/>
        <v/>
      </c>
      <c r="I656" s="37"/>
      <c r="J656" s="37"/>
      <c r="K656" s="37"/>
      <c r="L656" s="37"/>
      <c r="M656" s="14"/>
      <c r="N656" s="15"/>
      <c r="O656" s="16"/>
      <c r="P656" s="16"/>
      <c r="Q656" s="16"/>
      <c r="R656" s="16"/>
      <c r="S656" s="37" t="str">
        <f>IFERROR(__xludf.DUMMYFUNCTION("if(not(iserror(index(split(C656, "" ""),2))), index(split(C656, "" ""),1),"""")"),"")</f>
        <v/>
      </c>
      <c r="T656" s="315" t="str">
        <f>IFERROR(__xludf.DUMMYFUNCTION("if(S656="""",C656,if(not(iserror(index(split(C656, "" ""),3))), index(split(C656, "" ""),3),index(split(C656, "" ""),2)))"),"")</f>
        <v/>
      </c>
      <c r="U656" s="38" t="b">
        <f t="shared" si="34"/>
        <v>0</v>
      </c>
      <c r="V656" s="38"/>
      <c r="W656" s="40"/>
      <c r="X656" s="40"/>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row>
    <row r="657">
      <c r="A657" s="37"/>
      <c r="B657" s="322"/>
      <c r="C657" s="144"/>
      <c r="D657" s="144"/>
      <c r="E657" s="37"/>
      <c r="F657" s="37"/>
      <c r="G657" s="37"/>
      <c r="H657" s="33" t="str">
        <f t="shared" si="33"/>
        <v/>
      </c>
      <c r="I657" s="37"/>
      <c r="J657" s="37"/>
      <c r="K657" s="37"/>
      <c r="L657" s="37"/>
      <c r="M657" s="14"/>
      <c r="N657" s="15"/>
      <c r="O657" s="16"/>
      <c r="P657" s="16"/>
      <c r="Q657" s="16"/>
      <c r="R657" s="16"/>
      <c r="S657" s="37" t="str">
        <f>IFERROR(__xludf.DUMMYFUNCTION("if(not(iserror(index(split(C657, "" ""),2))), index(split(C657, "" ""),1),"""")"),"")</f>
        <v/>
      </c>
      <c r="T657" s="315" t="str">
        <f>IFERROR(__xludf.DUMMYFUNCTION("if(S657="""",C657,if(not(iserror(index(split(C657, "" ""),3))), index(split(C657, "" ""),3),index(split(C657, "" ""),2)))"),"")</f>
        <v/>
      </c>
      <c r="U657" s="38" t="b">
        <f t="shared" si="34"/>
        <v>0</v>
      </c>
      <c r="V657" s="38"/>
      <c r="W657" s="40"/>
      <c r="X657" s="40"/>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row>
    <row r="658">
      <c r="A658" s="37"/>
      <c r="B658" s="322"/>
      <c r="C658" s="144"/>
      <c r="D658" s="144"/>
      <c r="E658" s="37"/>
      <c r="F658" s="37"/>
      <c r="G658" s="37"/>
      <c r="H658" s="33" t="str">
        <f t="shared" si="33"/>
        <v/>
      </c>
      <c r="I658" s="37"/>
      <c r="J658" s="37"/>
      <c r="K658" s="37"/>
      <c r="L658" s="37"/>
      <c r="M658" s="14"/>
      <c r="N658" s="15"/>
      <c r="O658" s="16"/>
      <c r="P658" s="16"/>
      <c r="Q658" s="16"/>
      <c r="R658" s="16"/>
      <c r="S658" s="37" t="str">
        <f>IFERROR(__xludf.DUMMYFUNCTION("if(not(iserror(index(split(C658, "" ""),2))), index(split(C658, "" ""),1),"""")"),"")</f>
        <v/>
      </c>
      <c r="T658" s="315" t="str">
        <f>IFERROR(__xludf.DUMMYFUNCTION("if(S658="""",C658,if(not(iserror(index(split(C658, "" ""),3))), index(split(C658, "" ""),3),index(split(C658, "" ""),2)))"),"")</f>
        <v/>
      </c>
      <c r="U658" s="38" t="b">
        <f t="shared" si="34"/>
        <v>0</v>
      </c>
      <c r="V658" s="38"/>
      <c r="W658" s="40"/>
      <c r="X658" s="40"/>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row>
    <row r="659">
      <c r="A659" s="37"/>
      <c r="B659" s="322"/>
      <c r="C659" s="144"/>
      <c r="D659" s="144"/>
      <c r="E659" s="37"/>
      <c r="F659" s="37"/>
      <c r="G659" s="37"/>
      <c r="H659" s="33" t="str">
        <f t="shared" si="33"/>
        <v/>
      </c>
      <c r="I659" s="37"/>
      <c r="J659" s="37"/>
      <c r="K659" s="37"/>
      <c r="L659" s="37"/>
      <c r="M659" s="14"/>
      <c r="N659" s="15"/>
      <c r="O659" s="16"/>
      <c r="P659" s="16"/>
      <c r="Q659" s="16"/>
      <c r="R659" s="16"/>
      <c r="S659" s="37" t="str">
        <f>IFERROR(__xludf.DUMMYFUNCTION("if(not(iserror(index(split(C659, "" ""),2))), index(split(C659, "" ""),1),"""")"),"")</f>
        <v/>
      </c>
      <c r="T659" s="315" t="str">
        <f>IFERROR(__xludf.DUMMYFUNCTION("if(S659="""",C659,if(not(iserror(index(split(C659, "" ""),3))), index(split(C659, "" ""),3),index(split(C659, "" ""),2)))"),"")</f>
        <v/>
      </c>
      <c r="U659" s="38" t="b">
        <f t="shared" si="34"/>
        <v>0</v>
      </c>
      <c r="V659" s="38"/>
      <c r="W659" s="40"/>
      <c r="X659" s="40"/>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row>
    <row r="660">
      <c r="A660" s="37"/>
      <c r="B660" s="322"/>
      <c r="C660" s="144"/>
      <c r="D660" s="144"/>
      <c r="E660" s="37"/>
      <c r="F660" s="37"/>
      <c r="G660" s="37"/>
      <c r="H660" s="33" t="str">
        <f t="shared" si="33"/>
        <v/>
      </c>
      <c r="I660" s="37"/>
      <c r="J660" s="37"/>
      <c r="K660" s="37"/>
      <c r="L660" s="37"/>
      <c r="M660" s="14"/>
      <c r="N660" s="15"/>
      <c r="O660" s="16"/>
      <c r="P660" s="16"/>
      <c r="Q660" s="16"/>
      <c r="R660" s="16"/>
      <c r="S660" s="37" t="str">
        <f>IFERROR(__xludf.DUMMYFUNCTION("if(not(iserror(index(split(C660, "" ""),2))), index(split(C660, "" ""),1),"""")"),"")</f>
        <v/>
      </c>
      <c r="T660" s="315" t="str">
        <f>IFERROR(__xludf.DUMMYFUNCTION("if(S660="""",C660,if(not(iserror(index(split(C660, "" ""),3))), index(split(C660, "" ""),3),index(split(C660, "" ""),2)))"),"")</f>
        <v/>
      </c>
      <c r="U660" s="38" t="b">
        <f t="shared" si="34"/>
        <v>0</v>
      </c>
      <c r="V660" s="38"/>
      <c r="W660" s="40"/>
      <c r="X660" s="40"/>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row>
    <row r="661">
      <c r="A661" s="37"/>
      <c r="B661" s="322"/>
      <c r="C661" s="144"/>
      <c r="D661" s="144"/>
      <c r="E661" s="37"/>
      <c r="F661" s="37"/>
      <c r="G661" s="37"/>
      <c r="H661" s="33" t="str">
        <f t="shared" si="33"/>
        <v/>
      </c>
      <c r="I661" s="37"/>
      <c r="J661" s="37"/>
      <c r="K661" s="37"/>
      <c r="L661" s="37"/>
      <c r="M661" s="14"/>
      <c r="N661" s="15"/>
      <c r="O661" s="16"/>
      <c r="P661" s="16"/>
      <c r="Q661" s="16"/>
      <c r="R661" s="16"/>
      <c r="S661" s="37" t="str">
        <f>IFERROR(__xludf.DUMMYFUNCTION("if(not(iserror(index(split(C661, "" ""),2))), index(split(C661, "" ""),1),"""")"),"")</f>
        <v/>
      </c>
      <c r="T661" s="315" t="str">
        <f>IFERROR(__xludf.DUMMYFUNCTION("if(S661="""",C661,if(not(iserror(index(split(C661, "" ""),3))), index(split(C661, "" ""),3),index(split(C661, "" ""),2)))"),"")</f>
        <v/>
      </c>
      <c r="U661" s="38" t="b">
        <f t="shared" si="34"/>
        <v>0</v>
      </c>
      <c r="V661" s="38"/>
      <c r="W661" s="40"/>
      <c r="X661" s="40"/>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row>
    <row r="662">
      <c r="A662" s="37"/>
      <c r="B662" s="159"/>
      <c r="C662" s="144"/>
      <c r="D662" s="144"/>
      <c r="E662" s="37"/>
      <c r="F662" s="37"/>
      <c r="G662" s="37"/>
      <c r="H662" s="33" t="str">
        <f t="shared" si="33"/>
        <v/>
      </c>
      <c r="I662" s="37"/>
      <c r="J662" s="37"/>
      <c r="K662" s="37"/>
      <c r="L662" s="37"/>
      <c r="M662" s="14"/>
      <c r="N662" s="15"/>
      <c r="O662" s="16"/>
      <c r="P662" s="16"/>
      <c r="Q662" s="16"/>
      <c r="R662" s="16"/>
      <c r="S662" s="37" t="str">
        <f>IFERROR(__xludf.DUMMYFUNCTION("if(not(iserror(index(split(C662, "" ""),2))), index(split(C662, "" ""),1),"""")"),"")</f>
        <v/>
      </c>
      <c r="T662" s="315" t="str">
        <f>IFERROR(__xludf.DUMMYFUNCTION("if(S662="""",C662,if(not(iserror(index(split(C662, "" ""),3))), index(split(C662, "" ""),3),index(split(C662, "" ""),2)))"),"")</f>
        <v/>
      </c>
      <c r="U662" s="38" t="b">
        <f t="shared" si="34"/>
        <v>0</v>
      </c>
      <c r="V662" s="38"/>
      <c r="W662" s="40"/>
      <c r="X662" s="40"/>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row>
    <row r="663">
      <c r="A663" s="37"/>
      <c r="B663" s="159"/>
      <c r="C663" s="144"/>
      <c r="D663" s="144"/>
      <c r="E663" s="37"/>
      <c r="F663" s="37"/>
      <c r="G663" s="37"/>
      <c r="H663" s="33" t="str">
        <f t="shared" si="33"/>
        <v/>
      </c>
      <c r="I663" s="37"/>
      <c r="J663" s="37"/>
      <c r="K663" s="37"/>
      <c r="L663" s="37"/>
      <c r="M663" s="14"/>
      <c r="N663" s="15"/>
      <c r="O663" s="16"/>
      <c r="P663" s="16"/>
      <c r="Q663" s="16"/>
      <c r="R663" s="16"/>
      <c r="S663" s="37" t="str">
        <f>IFERROR(__xludf.DUMMYFUNCTION("if(not(iserror(index(split(C663, "" ""),2))), index(split(C663, "" ""),1),"""")"),"")</f>
        <v/>
      </c>
      <c r="T663" s="315" t="str">
        <f>IFERROR(__xludf.DUMMYFUNCTION("if(S663="""",C663,if(not(iserror(index(split(C663, "" ""),3))), index(split(C663, "" ""),3),index(split(C663, "" ""),2)))"),"")</f>
        <v/>
      </c>
      <c r="U663" s="38" t="b">
        <f t="shared" si="34"/>
        <v>0</v>
      </c>
      <c r="V663" s="38"/>
      <c r="W663" s="40"/>
      <c r="X663" s="40"/>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row>
    <row r="664">
      <c r="A664" s="37"/>
      <c r="B664" s="159"/>
      <c r="C664" s="144"/>
      <c r="D664" s="144"/>
      <c r="E664" s="37"/>
      <c r="F664" s="37"/>
      <c r="G664" s="37"/>
      <c r="H664" s="33" t="str">
        <f t="shared" si="33"/>
        <v/>
      </c>
      <c r="I664" s="37"/>
      <c r="J664" s="37"/>
      <c r="K664" s="37"/>
      <c r="L664" s="37"/>
      <c r="M664" s="14"/>
      <c r="N664" s="15"/>
      <c r="O664" s="16"/>
      <c r="P664" s="16"/>
      <c r="Q664" s="16"/>
      <c r="R664" s="16"/>
      <c r="S664" s="37" t="str">
        <f>IFERROR(__xludf.DUMMYFUNCTION("if(not(iserror(index(split(C664, "" ""),2))), index(split(C664, "" ""),1),"""")"),"")</f>
        <v/>
      </c>
      <c r="T664" s="315" t="str">
        <f>IFERROR(__xludf.DUMMYFUNCTION("if(S664="""",C664,if(not(iserror(index(split(C664, "" ""),3))), index(split(C664, "" ""),3),index(split(C664, "" ""),2)))"),"")</f>
        <v/>
      </c>
      <c r="U664" s="38" t="b">
        <f t="shared" si="34"/>
        <v>0</v>
      </c>
      <c r="V664" s="38"/>
      <c r="W664" s="40"/>
      <c r="X664" s="40"/>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row>
    <row r="665">
      <c r="A665" s="37"/>
      <c r="B665" s="322"/>
      <c r="C665" s="144"/>
      <c r="D665" s="144"/>
      <c r="E665" s="37"/>
      <c r="F665" s="37"/>
      <c r="G665" s="37"/>
      <c r="H665" s="33" t="str">
        <f t="shared" si="33"/>
        <v/>
      </c>
      <c r="I665" s="37"/>
      <c r="J665" s="37"/>
      <c r="K665" s="37"/>
      <c r="L665" s="37"/>
      <c r="M665" s="14"/>
      <c r="N665" s="14"/>
      <c r="O665" s="16"/>
      <c r="P665" s="16"/>
      <c r="Q665" s="16"/>
      <c r="R665" s="16"/>
      <c r="S665" s="37" t="str">
        <f>IFERROR(__xludf.DUMMYFUNCTION("if(not(iserror(index(split(C665, "" ""),2))), index(split(C665, "" ""),1),"""")"),"")</f>
        <v/>
      </c>
      <c r="T665" s="315" t="str">
        <f>IFERROR(__xludf.DUMMYFUNCTION("if(S665="""",C665,if(not(iserror(index(split(C665, "" ""),3))), index(split(C665, "" ""),3),index(split(C665, "" ""),2)))"),"")</f>
        <v/>
      </c>
      <c r="U665" s="38" t="b">
        <f t="shared" si="34"/>
        <v>0</v>
      </c>
      <c r="V665" s="38"/>
      <c r="W665" s="40"/>
      <c r="X665" s="40"/>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row>
    <row r="666">
      <c r="A666" s="37"/>
      <c r="B666" s="322"/>
      <c r="C666" s="144"/>
      <c r="D666" s="144"/>
      <c r="E666" s="37"/>
      <c r="F666" s="37"/>
      <c r="G666" s="37"/>
      <c r="H666" s="33" t="str">
        <f t="shared" si="33"/>
        <v/>
      </c>
      <c r="I666" s="37"/>
      <c r="J666" s="37"/>
      <c r="K666" s="37"/>
      <c r="L666" s="37"/>
      <c r="M666" s="14"/>
      <c r="N666" s="14"/>
      <c r="O666" s="16"/>
      <c r="P666" s="16"/>
      <c r="Q666" s="16"/>
      <c r="R666" s="16"/>
      <c r="S666" s="37" t="str">
        <f>IFERROR(__xludf.DUMMYFUNCTION("if(not(iserror(index(split(C666, "" ""),2))), index(split(C666, "" ""),1),"""")"),"")</f>
        <v/>
      </c>
      <c r="T666" s="315" t="str">
        <f>IFERROR(__xludf.DUMMYFUNCTION("if(S666="""",C666,if(not(iserror(index(split(C666, "" ""),3))), index(split(C666, "" ""),3),index(split(C666, "" ""),2)))"),"")</f>
        <v/>
      </c>
      <c r="U666" s="38" t="b">
        <f t="shared" si="34"/>
        <v>0</v>
      </c>
      <c r="V666" s="38"/>
      <c r="W666" s="40"/>
      <c r="X666" s="40"/>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row>
    <row r="667">
      <c r="A667" s="37"/>
      <c r="B667" s="322"/>
      <c r="C667" s="144"/>
      <c r="D667" s="144"/>
      <c r="E667" s="37"/>
      <c r="F667" s="37"/>
      <c r="G667" s="37"/>
      <c r="H667" s="33" t="str">
        <f t="shared" si="33"/>
        <v/>
      </c>
      <c r="I667" s="37"/>
      <c r="J667" s="37"/>
      <c r="K667" s="37"/>
      <c r="L667" s="37"/>
      <c r="M667" s="14"/>
      <c r="N667" s="14"/>
      <c r="O667" s="16"/>
      <c r="P667" s="16"/>
      <c r="Q667" s="16"/>
      <c r="R667" s="16"/>
      <c r="S667" s="37" t="str">
        <f>IFERROR(__xludf.DUMMYFUNCTION("if(not(iserror(index(split(C667, "" ""),2))), index(split(C667, "" ""),1),"""")"),"")</f>
        <v/>
      </c>
      <c r="T667" s="315" t="str">
        <f>IFERROR(__xludf.DUMMYFUNCTION("if(S667="""",C667,if(not(iserror(index(split(C667, "" ""),3))), index(split(C667, "" ""),3),index(split(C667, "" ""),2)))"),"")</f>
        <v/>
      </c>
      <c r="U667" s="38" t="b">
        <f t="shared" si="34"/>
        <v>0</v>
      </c>
      <c r="V667" s="38"/>
      <c r="W667" s="40"/>
      <c r="X667" s="40"/>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row>
    <row r="668">
      <c r="A668" s="37"/>
      <c r="B668" s="322"/>
      <c r="C668" s="144"/>
      <c r="D668" s="144"/>
      <c r="E668" s="37"/>
      <c r="F668" s="37"/>
      <c r="G668" s="37"/>
      <c r="H668" s="33" t="str">
        <f t="shared" si="33"/>
        <v/>
      </c>
      <c r="I668" s="37"/>
      <c r="J668" s="37"/>
      <c r="K668" s="37"/>
      <c r="L668" s="37"/>
      <c r="M668" s="14"/>
      <c r="N668" s="14"/>
      <c r="O668" s="16"/>
      <c r="P668" s="16"/>
      <c r="Q668" s="16"/>
      <c r="R668" s="16"/>
      <c r="S668" s="37" t="str">
        <f>IFERROR(__xludf.DUMMYFUNCTION("if(not(iserror(index(split(C668, "" ""),2))), index(split(C668, "" ""),1),"""")"),"")</f>
        <v/>
      </c>
      <c r="T668" s="315" t="str">
        <f>IFERROR(__xludf.DUMMYFUNCTION("if(S668="""",C668,if(not(iserror(index(split(C668, "" ""),3))), index(split(C668, "" ""),3),index(split(C668, "" ""),2)))"),"")</f>
        <v/>
      </c>
      <c r="U668" s="38" t="b">
        <f t="shared" si="34"/>
        <v>0</v>
      </c>
      <c r="V668" s="38"/>
      <c r="W668" s="40"/>
      <c r="X668" s="40"/>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row>
    <row r="669">
      <c r="A669" s="37"/>
      <c r="B669" s="322"/>
      <c r="C669" s="144"/>
      <c r="D669" s="144"/>
      <c r="E669" s="37"/>
      <c r="F669" s="37"/>
      <c r="G669" s="37"/>
      <c r="H669" s="33" t="str">
        <f t="shared" si="33"/>
        <v/>
      </c>
      <c r="I669" s="37"/>
      <c r="J669" s="37"/>
      <c r="K669" s="37"/>
      <c r="L669" s="37"/>
      <c r="M669" s="14"/>
      <c r="N669" s="14"/>
      <c r="O669" s="16"/>
      <c r="P669" s="16"/>
      <c r="Q669" s="16"/>
      <c r="R669" s="16"/>
      <c r="S669" s="37" t="str">
        <f>IFERROR(__xludf.DUMMYFUNCTION("if(not(iserror(index(split(C669, "" ""),2))), index(split(C669, "" ""),1),"""")"),"")</f>
        <v/>
      </c>
      <c r="T669" s="315" t="str">
        <f>IFERROR(__xludf.DUMMYFUNCTION("if(S669="""",C669,if(not(iserror(index(split(C669, "" ""),3))), index(split(C669, "" ""),3),index(split(C669, "" ""),2)))"),"")</f>
        <v/>
      </c>
      <c r="U669" s="38" t="b">
        <f t="shared" si="34"/>
        <v>0</v>
      </c>
      <c r="V669" s="38"/>
      <c r="W669" s="40"/>
      <c r="X669" s="40"/>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row>
    <row r="670">
      <c r="A670" s="37"/>
      <c r="B670" s="322"/>
      <c r="C670" s="144"/>
      <c r="D670" s="144"/>
      <c r="E670" s="37"/>
      <c r="F670" s="37"/>
      <c r="G670" s="37"/>
      <c r="H670" s="33" t="str">
        <f t="shared" si="33"/>
        <v/>
      </c>
      <c r="I670" s="37"/>
      <c r="J670" s="37"/>
      <c r="K670" s="37"/>
      <c r="L670" s="37"/>
      <c r="M670" s="14"/>
      <c r="N670" s="14"/>
      <c r="O670" s="16"/>
      <c r="P670" s="16"/>
      <c r="Q670" s="16"/>
      <c r="R670" s="16"/>
      <c r="S670" s="37" t="str">
        <f>IFERROR(__xludf.DUMMYFUNCTION("if(not(iserror(index(split(C670, "" ""),2))), index(split(C670, "" ""),1),"""")"),"")</f>
        <v/>
      </c>
      <c r="T670" s="315" t="str">
        <f>IFERROR(__xludf.DUMMYFUNCTION("if(S670="""",C670,if(not(iserror(index(split(C670, "" ""),3))), index(split(C670, "" ""),3),index(split(C670, "" ""),2)))"),"")</f>
        <v/>
      </c>
      <c r="U670" s="38" t="b">
        <f t="shared" si="34"/>
        <v>0</v>
      </c>
      <c r="V670" s="38"/>
      <c r="W670" s="40"/>
      <c r="X670" s="40"/>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row>
    <row r="671">
      <c r="A671" s="37"/>
      <c r="B671" s="322"/>
      <c r="C671" s="144"/>
      <c r="D671" s="144"/>
      <c r="E671" s="37"/>
      <c r="F671" s="37"/>
      <c r="G671" s="37"/>
      <c r="H671" s="33" t="str">
        <f t="shared" si="33"/>
        <v/>
      </c>
      <c r="I671" s="37"/>
      <c r="J671" s="37"/>
      <c r="K671" s="37"/>
      <c r="L671" s="37"/>
      <c r="M671" s="14"/>
      <c r="N671" s="14"/>
      <c r="O671" s="16"/>
      <c r="P671" s="16"/>
      <c r="Q671" s="16"/>
      <c r="R671" s="16"/>
      <c r="S671" s="37" t="str">
        <f>IFERROR(__xludf.DUMMYFUNCTION("if(not(iserror(index(split(C671, "" ""),2))), index(split(C671, "" ""),1),"""")"),"")</f>
        <v/>
      </c>
      <c r="T671" s="315" t="str">
        <f>IFERROR(__xludf.DUMMYFUNCTION("if(S671="""",C671,if(not(iserror(index(split(C671, "" ""),3))), index(split(C671, "" ""),3),index(split(C671, "" ""),2)))"),"")</f>
        <v/>
      </c>
      <c r="U671" s="38" t="b">
        <f t="shared" si="34"/>
        <v>0</v>
      </c>
      <c r="V671" s="38"/>
      <c r="W671" s="40"/>
      <c r="X671" s="40"/>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row>
    <row r="672">
      <c r="A672" s="37"/>
      <c r="B672" s="322"/>
      <c r="C672" s="144"/>
      <c r="D672" s="144"/>
      <c r="E672" s="37"/>
      <c r="F672" s="37"/>
      <c r="G672" s="37"/>
      <c r="H672" s="33" t="str">
        <f t="shared" si="33"/>
        <v/>
      </c>
      <c r="I672" s="37"/>
      <c r="J672" s="37"/>
      <c r="K672" s="37"/>
      <c r="L672" s="37"/>
      <c r="M672" s="14"/>
      <c r="N672" s="14"/>
      <c r="O672" s="16"/>
      <c r="P672" s="16"/>
      <c r="Q672" s="16"/>
      <c r="R672" s="16"/>
      <c r="S672" s="37" t="str">
        <f>IFERROR(__xludf.DUMMYFUNCTION("if(not(iserror(index(split(C672, "" ""),2))), index(split(C672, "" ""),1),"""")"),"")</f>
        <v/>
      </c>
      <c r="T672" s="315" t="str">
        <f>IFERROR(__xludf.DUMMYFUNCTION("if(S672="""",C672,if(not(iserror(index(split(C672, "" ""),3))), index(split(C672, "" ""),3),index(split(C672, "" ""),2)))"),"")</f>
        <v/>
      </c>
      <c r="U672" s="38" t="b">
        <f t="shared" si="34"/>
        <v>0</v>
      </c>
      <c r="V672" s="38"/>
      <c r="W672" s="40"/>
      <c r="X672" s="40"/>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row>
    <row r="673">
      <c r="A673" s="37"/>
      <c r="B673" s="322"/>
      <c r="C673" s="144"/>
      <c r="D673" s="144"/>
      <c r="E673" s="37"/>
      <c r="F673" s="37"/>
      <c r="G673" s="37"/>
      <c r="H673" s="33" t="str">
        <f t="shared" si="33"/>
        <v/>
      </c>
      <c r="I673" s="37"/>
      <c r="J673" s="37"/>
      <c r="K673" s="37"/>
      <c r="L673" s="37"/>
      <c r="M673" s="14"/>
      <c r="N673" s="15"/>
      <c r="O673" s="16"/>
      <c r="P673" s="16"/>
      <c r="Q673" s="16"/>
      <c r="R673" s="16"/>
      <c r="S673" s="37" t="str">
        <f>IFERROR(__xludf.DUMMYFUNCTION("if(not(iserror(index(split(C673, "" ""),2))), index(split(C673, "" ""),1),"""")"),"")</f>
        <v/>
      </c>
      <c r="T673" s="315" t="str">
        <f>IFERROR(__xludf.DUMMYFUNCTION("if(S673="""",C673,if(not(iserror(index(split(C673, "" ""),3))), index(split(C673, "" ""),3),index(split(C673, "" ""),2)))"),"")</f>
        <v/>
      </c>
      <c r="U673" s="38" t="b">
        <f t="shared" si="34"/>
        <v>0</v>
      </c>
      <c r="V673" s="38"/>
      <c r="W673" s="40"/>
      <c r="X673" s="40"/>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row>
    <row r="674">
      <c r="A674" s="37"/>
      <c r="B674" s="322"/>
      <c r="C674" s="144"/>
      <c r="D674" s="144"/>
      <c r="E674" s="37"/>
      <c r="F674" s="37"/>
      <c r="G674" s="37"/>
      <c r="H674" s="33" t="str">
        <f t="shared" si="33"/>
        <v/>
      </c>
      <c r="I674" s="37"/>
      <c r="J674" s="37"/>
      <c r="K674" s="37"/>
      <c r="L674" s="37"/>
      <c r="M674" s="210"/>
      <c r="N674" s="15"/>
      <c r="O674" s="16"/>
      <c r="P674" s="16"/>
      <c r="Q674" s="16"/>
      <c r="R674" s="16"/>
      <c r="S674" s="37" t="str">
        <f>IFERROR(__xludf.DUMMYFUNCTION("if(not(iserror(index(split(C674, "" ""),2))), index(split(C674, "" ""),1),"""")"),"")</f>
        <v/>
      </c>
      <c r="T674" s="315" t="str">
        <f>IFERROR(__xludf.DUMMYFUNCTION("if(S674="""",C674,if(not(iserror(index(split(C674, "" ""),3))), index(split(C674, "" ""),3),index(split(C674, "" ""),2)))"),"")</f>
        <v/>
      </c>
      <c r="U674" s="38" t="b">
        <f t="shared" si="34"/>
        <v>0</v>
      </c>
      <c r="V674" s="38"/>
      <c r="W674" s="40"/>
      <c r="X674" s="40"/>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row>
    <row r="675">
      <c r="A675" s="37"/>
      <c r="B675" s="322"/>
      <c r="C675" s="144"/>
      <c r="D675" s="144"/>
      <c r="E675" s="37"/>
      <c r="F675" s="37"/>
      <c r="G675" s="37"/>
      <c r="H675" s="33" t="str">
        <f t="shared" si="33"/>
        <v/>
      </c>
      <c r="I675" s="37"/>
      <c r="J675" s="37"/>
      <c r="K675" s="37"/>
      <c r="L675" s="37"/>
      <c r="M675" s="374"/>
      <c r="N675" s="14"/>
      <c r="O675" s="16"/>
      <c r="P675" s="16"/>
      <c r="Q675" s="16"/>
      <c r="R675" s="16"/>
      <c r="S675" s="37" t="str">
        <f>IFERROR(__xludf.DUMMYFUNCTION("if(not(iserror(index(split(C675, "" ""),2))), index(split(C675, "" ""),1),"""")"),"")</f>
        <v/>
      </c>
      <c r="T675" s="315" t="str">
        <f>IFERROR(__xludf.DUMMYFUNCTION("if(S675="""",C675,if(not(iserror(index(split(C675, "" ""),3))), index(split(C675, "" ""),3),index(split(C675, "" ""),2)))"),"")</f>
        <v/>
      </c>
      <c r="U675" s="38" t="b">
        <f t="shared" si="34"/>
        <v>0</v>
      </c>
      <c r="V675" s="38"/>
      <c r="W675" s="40"/>
      <c r="X675" s="40"/>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c r="BQ675" s="38"/>
    </row>
    <row r="676">
      <c r="A676" s="37"/>
      <c r="B676" s="322"/>
      <c r="C676" s="144"/>
      <c r="D676" s="144"/>
      <c r="E676" s="37"/>
      <c r="F676" s="37"/>
      <c r="G676" s="37"/>
      <c r="H676" s="33" t="str">
        <f t="shared" si="33"/>
        <v/>
      </c>
      <c r="I676" s="37"/>
      <c r="J676" s="37"/>
      <c r="K676" s="37"/>
      <c r="L676" s="37"/>
      <c r="M676" s="374"/>
      <c r="N676" s="15"/>
      <c r="O676" s="16"/>
      <c r="P676" s="16"/>
      <c r="Q676" s="16"/>
      <c r="R676" s="16"/>
      <c r="S676" s="37" t="str">
        <f>IFERROR(__xludf.DUMMYFUNCTION("if(not(iserror(index(split(C676, "" ""),2))), index(split(C676, "" ""),1),"""")"),"")</f>
        <v/>
      </c>
      <c r="T676" s="315" t="str">
        <f>IFERROR(__xludf.DUMMYFUNCTION("if(S676="""",C676,if(not(iserror(index(split(C676, "" ""),3))), index(split(C676, "" ""),3),index(split(C676, "" ""),2)))"),"")</f>
        <v/>
      </c>
      <c r="U676" s="38" t="b">
        <f t="shared" si="34"/>
        <v>0</v>
      </c>
      <c r="V676" s="38"/>
      <c r="W676" s="40"/>
      <c r="X676" s="40"/>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row>
    <row r="677">
      <c r="A677" s="37"/>
      <c r="B677" s="322"/>
      <c r="C677" s="144"/>
      <c r="D677" s="144"/>
      <c r="E677" s="37"/>
      <c r="F677" s="37"/>
      <c r="G677" s="37"/>
      <c r="H677" s="33" t="str">
        <f t="shared" si="33"/>
        <v/>
      </c>
      <c r="I677" s="37"/>
      <c r="J677" s="37"/>
      <c r="K677" s="37"/>
      <c r="L677" s="58"/>
      <c r="M677" s="14"/>
      <c r="N677" s="15"/>
      <c r="O677" s="16"/>
      <c r="P677" s="16"/>
      <c r="Q677" s="16"/>
      <c r="R677" s="16"/>
      <c r="S677" s="37" t="str">
        <f>IFERROR(__xludf.DUMMYFUNCTION("if(not(iserror(index(split(C677, "" ""),2))), index(split(C677, "" ""),1),"""")"),"")</f>
        <v/>
      </c>
      <c r="T677" s="315" t="str">
        <f>IFERROR(__xludf.DUMMYFUNCTION("if(S677="""",C677,if(not(iserror(index(split(C677, "" ""),3))), index(split(C677, "" ""),3),index(split(C677, "" ""),2)))"),"")</f>
        <v/>
      </c>
      <c r="U677" s="38" t="b">
        <f t="shared" si="34"/>
        <v>0</v>
      </c>
      <c r="V677" s="38"/>
      <c r="W677" s="40"/>
      <c r="X677" s="40"/>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row>
    <row r="678">
      <c r="A678" s="37"/>
      <c r="B678" s="322"/>
      <c r="C678" s="144"/>
      <c r="D678" s="144"/>
      <c r="E678" s="37"/>
      <c r="F678" s="37"/>
      <c r="G678" s="37"/>
      <c r="H678" s="33" t="str">
        <f t="shared" si="33"/>
        <v/>
      </c>
      <c r="I678" s="37"/>
      <c r="J678" s="37"/>
      <c r="K678" s="37"/>
      <c r="L678" s="37"/>
      <c r="M678" s="374"/>
      <c r="N678" s="15"/>
      <c r="O678" s="37"/>
      <c r="P678" s="16"/>
      <c r="Q678" s="64"/>
      <c r="R678" s="16"/>
      <c r="S678" s="37" t="str">
        <f>IFERROR(__xludf.DUMMYFUNCTION("if(not(iserror(index(split(C678, "" ""),2))), index(split(C678, "" ""),1),"""")"),"")</f>
        <v/>
      </c>
      <c r="T678" s="315" t="str">
        <f>IFERROR(__xludf.DUMMYFUNCTION("if(S678="""",C678,if(not(iserror(index(split(C678, "" ""),3))), index(split(C678, "" ""),3),index(split(C678, "" ""),2)))"),"")</f>
        <v/>
      </c>
      <c r="U678" s="38" t="b">
        <f t="shared" si="34"/>
        <v>0</v>
      </c>
      <c r="V678" s="38"/>
      <c r="W678" s="40"/>
      <c r="X678" s="40"/>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row>
    <row r="679">
      <c r="A679" s="37"/>
      <c r="B679" s="322"/>
      <c r="C679" s="144"/>
      <c r="D679" s="144"/>
      <c r="E679" s="37"/>
      <c r="F679" s="37"/>
      <c r="G679" s="37"/>
      <c r="H679" s="33" t="str">
        <f t="shared" si="33"/>
        <v/>
      </c>
      <c r="I679" s="37"/>
      <c r="J679" s="37"/>
      <c r="K679" s="37"/>
      <c r="L679" s="37"/>
      <c r="M679" s="14"/>
      <c r="N679" s="14"/>
      <c r="O679" s="37"/>
      <c r="P679" s="16"/>
      <c r="Q679" s="64"/>
      <c r="R679" s="16"/>
      <c r="S679" s="37" t="str">
        <f>IFERROR(__xludf.DUMMYFUNCTION("if(not(iserror(index(split(C679, "" ""),2))), index(split(C679, "" ""),1),"""")"),"")</f>
        <v/>
      </c>
      <c r="T679" s="315" t="str">
        <f>IFERROR(__xludf.DUMMYFUNCTION("if(S679="""",C679,if(not(iserror(index(split(C679, "" ""),3))), index(split(C679, "" ""),3),index(split(C679, "" ""),2)))"),"")</f>
        <v/>
      </c>
      <c r="U679" s="38" t="b">
        <f t="shared" si="34"/>
        <v>0</v>
      </c>
      <c r="V679" s="38"/>
      <c r="W679" s="40"/>
      <c r="X679" s="40"/>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row>
    <row r="680">
      <c r="A680" s="37"/>
      <c r="B680" s="322"/>
      <c r="C680" s="144"/>
      <c r="D680" s="144"/>
      <c r="E680" s="37"/>
      <c r="F680" s="37"/>
      <c r="G680" s="37"/>
      <c r="H680" s="33" t="str">
        <f t="shared" si="33"/>
        <v/>
      </c>
      <c r="I680" s="37"/>
      <c r="J680" s="37"/>
      <c r="K680" s="37"/>
      <c r="L680" s="37"/>
      <c r="M680" s="14"/>
      <c r="N680" s="15"/>
      <c r="O680" s="16"/>
      <c r="P680" s="37"/>
      <c r="Q680" s="64"/>
      <c r="R680" s="16"/>
      <c r="S680" s="37" t="str">
        <f>IFERROR(__xludf.DUMMYFUNCTION("if(not(iserror(index(split(C680, "" ""),2))), index(split(C680, "" ""),1),"""")"),"")</f>
        <v/>
      </c>
      <c r="T680" s="315" t="str">
        <f>IFERROR(__xludf.DUMMYFUNCTION("if(S680="""",C680,if(not(iserror(index(split(C680, "" ""),3))), index(split(C680, "" ""),3),index(split(C680, "" ""),2)))"),"")</f>
        <v/>
      </c>
      <c r="U680" s="38" t="b">
        <f t="shared" si="34"/>
        <v>0</v>
      </c>
      <c r="V680" s="38"/>
      <c r="W680" s="40"/>
      <c r="X680" s="40"/>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row>
    <row r="681">
      <c r="A681" s="37"/>
      <c r="B681" s="322"/>
      <c r="C681" s="144"/>
      <c r="D681" s="144"/>
      <c r="E681" s="37"/>
      <c r="F681" s="37"/>
      <c r="G681" s="37"/>
      <c r="H681" s="33" t="str">
        <f t="shared" si="33"/>
        <v/>
      </c>
      <c r="I681" s="37"/>
      <c r="J681" s="37"/>
      <c r="K681" s="37"/>
      <c r="L681" s="37"/>
      <c r="M681" s="14"/>
      <c r="N681" s="14"/>
      <c r="O681" s="120"/>
      <c r="P681" s="120"/>
      <c r="Q681" s="37"/>
      <c r="R681" s="37"/>
      <c r="S681" s="37" t="str">
        <f>IFERROR(__xludf.DUMMYFUNCTION("if(not(iserror(index(split(C681, "" ""),2))), index(split(C681, "" ""),1),"""")"),"")</f>
        <v/>
      </c>
      <c r="T681" s="315" t="str">
        <f>IFERROR(__xludf.DUMMYFUNCTION("if(S681="""",C681,if(not(iserror(index(split(C681, "" ""),3))), index(split(C681, "" ""),3),index(split(C681, "" ""),2)))"),"")</f>
        <v/>
      </c>
      <c r="U681" s="38" t="b">
        <f t="shared" si="34"/>
        <v>0</v>
      </c>
      <c r="V681" s="38"/>
      <c r="W681" s="40"/>
      <c r="X681" s="40"/>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row>
    <row r="682">
      <c r="A682" s="37"/>
      <c r="B682" s="322"/>
      <c r="C682" s="144"/>
      <c r="D682" s="144"/>
      <c r="E682" s="37"/>
      <c r="F682" s="37"/>
      <c r="G682" s="37"/>
      <c r="H682" s="33" t="str">
        <f t="shared" si="33"/>
        <v/>
      </c>
      <c r="I682" s="37"/>
      <c r="J682" s="37"/>
      <c r="K682" s="37"/>
      <c r="L682" s="37"/>
      <c r="M682" s="14"/>
      <c r="N682" s="15"/>
      <c r="O682" s="16"/>
      <c r="P682" s="16"/>
      <c r="Q682" s="16"/>
      <c r="R682" s="16"/>
      <c r="S682" s="37" t="str">
        <f>IFERROR(__xludf.DUMMYFUNCTION("if(not(iserror(index(split(C682, "" ""),2))), index(split(C682, "" ""),1),"""")"),"")</f>
        <v/>
      </c>
      <c r="T682" s="315" t="str">
        <f>IFERROR(__xludf.DUMMYFUNCTION("if(S682="""",C682,if(not(iserror(index(split(C682, "" ""),3))), index(split(C682, "" ""),3),index(split(C682, "" ""),2)))"),"")</f>
        <v/>
      </c>
      <c r="U682" s="38" t="b">
        <f t="shared" si="34"/>
        <v>0</v>
      </c>
      <c r="V682" s="38"/>
      <c r="W682" s="40"/>
      <c r="X682" s="40"/>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row>
    <row r="683">
      <c r="A683" s="37"/>
      <c r="B683" s="322"/>
      <c r="C683" s="144"/>
      <c r="D683" s="144"/>
      <c r="E683" s="37"/>
      <c r="F683" s="37"/>
      <c r="G683" s="37"/>
      <c r="H683" s="33" t="str">
        <f t="shared" si="33"/>
        <v/>
      </c>
      <c r="I683" s="37"/>
      <c r="J683" s="37"/>
      <c r="K683" s="37"/>
      <c r="L683" s="37"/>
      <c r="M683" s="14"/>
      <c r="N683" s="15"/>
      <c r="O683" s="16"/>
      <c r="P683" s="16"/>
      <c r="Q683" s="16"/>
      <c r="R683" s="16"/>
      <c r="S683" s="37" t="str">
        <f>IFERROR(__xludf.DUMMYFUNCTION("if(not(iserror(index(split(C683, "" ""),2))), index(split(C683, "" ""),1),"""")"),"")</f>
        <v/>
      </c>
      <c r="T683" s="315" t="str">
        <f>IFERROR(__xludf.DUMMYFUNCTION("if(S683="""",C683,if(not(iserror(index(split(C683, "" ""),3))), index(split(C683, "" ""),3),index(split(C683, "" ""),2)))"),"")</f>
        <v/>
      </c>
      <c r="U683" s="38" t="b">
        <f t="shared" si="34"/>
        <v>0</v>
      </c>
      <c r="V683" s="38"/>
      <c r="W683" s="40"/>
      <c r="X683" s="40"/>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row>
    <row r="684">
      <c r="A684" s="37"/>
      <c r="B684" s="322"/>
      <c r="C684" s="144"/>
      <c r="D684" s="144"/>
      <c r="E684" s="37"/>
      <c r="F684" s="37"/>
      <c r="G684" s="37"/>
      <c r="H684" s="33" t="str">
        <f t="shared" si="33"/>
        <v/>
      </c>
      <c r="I684" s="37"/>
      <c r="J684" s="37"/>
      <c r="K684" s="37"/>
      <c r="L684" s="37"/>
      <c r="M684" s="14"/>
      <c r="N684" s="15"/>
      <c r="O684" s="16"/>
      <c r="P684" s="16"/>
      <c r="Q684" s="16"/>
      <c r="R684" s="16"/>
      <c r="S684" s="37" t="str">
        <f>IFERROR(__xludf.DUMMYFUNCTION("if(not(iserror(index(split(C684, "" ""),2))), index(split(C684, "" ""),1),"""")"),"")</f>
        <v/>
      </c>
      <c r="T684" s="315" t="str">
        <f>IFERROR(__xludf.DUMMYFUNCTION("if(S684="""",C684,if(not(iserror(index(split(C684, "" ""),3))), index(split(C684, "" ""),3),index(split(C684, "" ""),2)))"),"")</f>
        <v/>
      </c>
      <c r="U684" s="38" t="b">
        <f t="shared" si="34"/>
        <v>0</v>
      </c>
      <c r="V684" s="38"/>
      <c r="W684" s="40"/>
      <c r="X684" s="40"/>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row>
    <row r="685">
      <c r="A685" s="37"/>
      <c r="B685" s="322"/>
      <c r="C685" s="144"/>
      <c r="D685" s="144"/>
      <c r="E685" s="37"/>
      <c r="F685" s="37"/>
      <c r="G685" s="37"/>
      <c r="H685" s="33" t="str">
        <f t="shared" si="33"/>
        <v/>
      </c>
      <c r="I685" s="37"/>
      <c r="J685" s="37"/>
      <c r="K685" s="37"/>
      <c r="L685" s="37"/>
      <c r="M685" s="14"/>
      <c r="N685" s="15"/>
      <c r="O685" s="16"/>
      <c r="P685" s="16"/>
      <c r="Q685" s="16"/>
      <c r="R685" s="16"/>
      <c r="S685" s="37" t="str">
        <f>IFERROR(__xludf.DUMMYFUNCTION("if(not(iserror(index(split(C685, "" ""),2))), index(split(C685, "" ""),1),"""")"),"")</f>
        <v/>
      </c>
      <c r="T685" s="315" t="str">
        <f>IFERROR(__xludf.DUMMYFUNCTION("if(S685="""",C685,if(not(iserror(index(split(C685, "" ""),3))), index(split(C685, "" ""),3),index(split(C685, "" ""),2)))"),"")</f>
        <v/>
      </c>
      <c r="U685" s="38" t="b">
        <f t="shared" si="34"/>
        <v>0</v>
      </c>
      <c r="V685" s="38"/>
      <c r="W685" s="40"/>
      <c r="X685" s="40"/>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c r="BQ685" s="38"/>
    </row>
    <row r="686">
      <c r="A686" s="37"/>
      <c r="B686" s="322"/>
      <c r="C686" s="144"/>
      <c r="D686" s="144"/>
      <c r="E686" s="37"/>
      <c r="F686" s="37"/>
      <c r="G686" s="37"/>
      <c r="H686" s="33" t="str">
        <f t="shared" si="33"/>
        <v/>
      </c>
      <c r="I686" s="37"/>
      <c r="J686" s="37"/>
      <c r="K686" s="37"/>
      <c r="L686" s="37"/>
      <c r="M686" s="14"/>
      <c r="N686" s="15"/>
      <c r="O686" s="16"/>
      <c r="P686" s="16"/>
      <c r="Q686" s="16"/>
      <c r="R686" s="16"/>
      <c r="S686" s="37" t="str">
        <f>IFERROR(__xludf.DUMMYFUNCTION("if(not(iserror(index(split(C686, "" ""),2))), index(split(C686, "" ""),1),"""")"),"")</f>
        <v/>
      </c>
      <c r="T686" s="315" t="str">
        <f>IFERROR(__xludf.DUMMYFUNCTION("if(S686="""",C686,if(not(iserror(index(split(C686, "" ""),3))), index(split(C686, "" ""),3),index(split(C686, "" ""),2)))"),"")</f>
        <v/>
      </c>
      <c r="U686" s="38" t="b">
        <f t="shared" si="34"/>
        <v>0</v>
      </c>
      <c r="V686" s="38"/>
      <c r="W686" s="40"/>
      <c r="X686" s="40"/>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row>
    <row r="687">
      <c r="A687" s="37"/>
      <c r="B687" s="322"/>
      <c r="C687" s="144"/>
      <c r="D687" s="144"/>
      <c r="E687" s="37"/>
      <c r="F687" s="37"/>
      <c r="G687" s="37"/>
      <c r="H687" s="33" t="str">
        <f t="shared" si="33"/>
        <v/>
      </c>
      <c r="I687" s="37"/>
      <c r="J687" s="37"/>
      <c r="K687" s="37"/>
      <c r="L687" s="58"/>
      <c r="M687" s="14"/>
      <c r="N687" s="15"/>
      <c r="O687" s="16"/>
      <c r="P687" s="16"/>
      <c r="Q687" s="16"/>
      <c r="R687" s="16"/>
      <c r="S687" s="37" t="str">
        <f>IFERROR(__xludf.DUMMYFUNCTION("if(not(iserror(index(split(C687, "" ""),2))), index(split(C687, "" ""),1),"""")"),"")</f>
        <v/>
      </c>
      <c r="T687" s="315" t="str">
        <f>IFERROR(__xludf.DUMMYFUNCTION("if(S687="""",C687,if(not(iserror(index(split(C687, "" ""),3))), index(split(C687, "" ""),3),index(split(C687, "" ""),2)))"),"")</f>
        <v/>
      </c>
      <c r="U687" s="38" t="b">
        <f t="shared" si="34"/>
        <v>0</v>
      </c>
      <c r="V687" s="38"/>
      <c r="W687" s="40"/>
      <c r="X687" s="40"/>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row>
    <row r="688">
      <c r="A688" s="37"/>
      <c r="B688" s="322"/>
      <c r="C688" s="144"/>
      <c r="D688" s="144"/>
      <c r="E688" s="37"/>
      <c r="F688" s="37"/>
      <c r="G688" s="37"/>
      <c r="H688" s="33" t="str">
        <f t="shared" si="33"/>
        <v/>
      </c>
      <c r="I688" s="37"/>
      <c r="J688" s="37"/>
      <c r="K688" s="37"/>
      <c r="L688" s="58"/>
      <c r="M688" s="14"/>
      <c r="N688" s="15"/>
      <c r="O688" s="16"/>
      <c r="P688" s="16"/>
      <c r="Q688" s="16"/>
      <c r="R688" s="16"/>
      <c r="S688" s="37" t="str">
        <f>IFERROR(__xludf.DUMMYFUNCTION("if(not(iserror(index(split(C688, "" ""),2))), index(split(C688, "" ""),1),"""")"),"")</f>
        <v/>
      </c>
      <c r="T688" s="315" t="str">
        <f>IFERROR(__xludf.DUMMYFUNCTION("if(S688="""",C688,if(not(iserror(index(split(C688, "" ""),3))), index(split(C688, "" ""),3),index(split(C688, "" ""),2)))"),"")</f>
        <v/>
      </c>
      <c r="U688" s="38" t="b">
        <f t="shared" si="34"/>
        <v>0</v>
      </c>
      <c r="V688" s="38"/>
      <c r="W688" s="40"/>
      <c r="X688" s="40"/>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row>
    <row r="689">
      <c r="A689" s="37"/>
      <c r="B689" s="322"/>
      <c r="C689" s="144"/>
      <c r="D689" s="144"/>
      <c r="E689" s="37"/>
      <c r="F689" s="37"/>
      <c r="G689" s="37"/>
      <c r="H689" s="33" t="str">
        <f t="shared" si="33"/>
        <v/>
      </c>
      <c r="I689" s="37"/>
      <c r="J689" s="37"/>
      <c r="K689" s="37"/>
      <c r="L689" s="58"/>
      <c r="M689" s="14"/>
      <c r="N689" s="15"/>
      <c r="O689" s="16"/>
      <c r="P689" s="16"/>
      <c r="Q689" s="16"/>
      <c r="R689" s="16"/>
      <c r="S689" s="37" t="str">
        <f>IFERROR(__xludf.DUMMYFUNCTION("if(not(iserror(index(split(C689, "" ""),2))), index(split(C689, "" ""),1),"""")"),"")</f>
        <v/>
      </c>
      <c r="T689" s="315" t="str">
        <f>IFERROR(__xludf.DUMMYFUNCTION("if(S689="""",C689,if(not(iserror(index(split(C689, "" ""),3))), index(split(C689, "" ""),3),index(split(C689, "" ""),2)))"),"")</f>
        <v/>
      </c>
      <c r="U689" s="38" t="b">
        <f t="shared" si="34"/>
        <v>0</v>
      </c>
      <c r="V689" s="38"/>
      <c r="W689" s="40"/>
      <c r="X689" s="40"/>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row>
    <row r="690">
      <c r="A690" s="90"/>
      <c r="B690" s="322"/>
      <c r="C690" s="144"/>
      <c r="D690" s="144"/>
      <c r="E690" s="37"/>
      <c r="F690" s="37"/>
      <c r="G690" s="37"/>
      <c r="H690" s="33" t="str">
        <f t="shared" si="33"/>
        <v/>
      </c>
      <c r="I690" s="37"/>
      <c r="J690" s="37"/>
      <c r="K690" s="37"/>
      <c r="L690" s="37"/>
      <c r="M690" s="14"/>
      <c r="N690" s="14"/>
      <c r="O690" s="16"/>
      <c r="P690" s="16"/>
      <c r="Q690" s="16"/>
      <c r="R690" s="16"/>
      <c r="S690" s="37" t="str">
        <f>IFERROR(__xludf.DUMMYFUNCTION("if(not(iserror(index(split(C690, "" ""),2))), index(split(C690, "" ""),1),"""")"),"")</f>
        <v/>
      </c>
      <c r="T690" s="315" t="str">
        <f>IFERROR(__xludf.DUMMYFUNCTION("if(S690="""",C690,if(not(iserror(index(split(C690, "" ""),3))), index(split(C690, "" ""),3),index(split(C690, "" ""),2)))"),"")</f>
        <v/>
      </c>
      <c r="U690" s="38" t="b">
        <f t="shared" si="34"/>
        <v>0</v>
      </c>
      <c r="V690" s="38"/>
      <c r="W690" s="40"/>
      <c r="X690" s="40"/>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row>
    <row r="691">
      <c r="A691" s="90"/>
      <c r="B691" s="322"/>
      <c r="C691" s="144"/>
      <c r="D691" s="144"/>
      <c r="E691" s="37"/>
      <c r="F691" s="37"/>
      <c r="G691" s="37"/>
      <c r="H691" s="33" t="str">
        <f t="shared" si="33"/>
        <v/>
      </c>
      <c r="I691" s="37"/>
      <c r="J691" s="37"/>
      <c r="K691" s="37"/>
      <c r="L691" s="37"/>
      <c r="M691" s="14"/>
      <c r="N691" s="14"/>
      <c r="O691" s="16"/>
      <c r="P691" s="16"/>
      <c r="Q691" s="16"/>
      <c r="R691" s="16"/>
      <c r="S691" s="37" t="str">
        <f>IFERROR(__xludf.DUMMYFUNCTION("if(not(iserror(index(split(C691, "" ""),2))), index(split(C691, "" ""),1),"""")"),"")</f>
        <v/>
      </c>
      <c r="T691" s="315" t="str">
        <f>IFERROR(__xludf.DUMMYFUNCTION("if(S691="""",C691,if(not(iserror(index(split(C691, "" ""),3))), index(split(C691, "" ""),3),index(split(C691, "" ""),2)))"),"")</f>
        <v/>
      </c>
      <c r="U691" s="38" t="b">
        <f t="shared" si="34"/>
        <v>0</v>
      </c>
      <c r="V691" s="38"/>
      <c r="W691" s="40"/>
      <c r="X691" s="40"/>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row>
    <row r="692">
      <c r="A692" s="37"/>
      <c r="B692" s="322"/>
      <c r="C692" s="144"/>
      <c r="D692" s="144"/>
      <c r="E692" s="37"/>
      <c r="F692" s="37"/>
      <c r="G692" s="37"/>
      <c r="H692" s="33" t="str">
        <f t="shared" si="33"/>
        <v/>
      </c>
      <c r="I692" s="37"/>
      <c r="J692" s="37"/>
      <c r="K692" s="37"/>
      <c r="L692" s="37"/>
      <c r="M692" s="14"/>
      <c r="N692" s="15"/>
      <c r="O692" s="16"/>
      <c r="P692" s="16"/>
      <c r="Q692" s="16"/>
      <c r="R692" s="16"/>
      <c r="S692" s="37" t="str">
        <f>IFERROR(__xludf.DUMMYFUNCTION("if(not(iserror(index(split(C692, "" ""),2))), index(split(C692, "" ""),1),"""")"),"")</f>
        <v/>
      </c>
      <c r="T692" s="315" t="str">
        <f>IFERROR(__xludf.DUMMYFUNCTION("if(S692="""",C692,if(not(iserror(index(split(C692, "" ""),3))), index(split(C692, "" ""),3),index(split(C692, "" ""),2)))"),"")</f>
        <v/>
      </c>
      <c r="U692" s="38" t="b">
        <f t="shared" si="34"/>
        <v>0</v>
      </c>
      <c r="V692" s="38"/>
      <c r="W692" s="40"/>
      <c r="X692" s="40"/>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row>
    <row r="693">
      <c r="A693" s="37"/>
      <c r="B693" s="322"/>
      <c r="C693" s="144"/>
      <c r="D693" s="144"/>
      <c r="E693" s="37"/>
      <c r="F693" s="37"/>
      <c r="G693" s="37"/>
      <c r="H693" s="33" t="str">
        <f t="shared" si="33"/>
        <v/>
      </c>
      <c r="I693" s="37"/>
      <c r="J693" s="37"/>
      <c r="K693" s="37"/>
      <c r="L693" s="37"/>
      <c r="M693" s="14"/>
      <c r="N693" s="15"/>
      <c r="O693" s="16"/>
      <c r="P693" s="37"/>
      <c r="Q693" s="64"/>
      <c r="R693" s="16"/>
      <c r="S693" s="37" t="str">
        <f>IFERROR(__xludf.DUMMYFUNCTION("if(not(iserror(index(split(C693, "" ""),2))), index(split(C693, "" ""),1),"""")"),"")</f>
        <v/>
      </c>
      <c r="T693" s="315" t="str">
        <f>IFERROR(__xludf.DUMMYFUNCTION("if(S693="""",C693,if(not(iserror(index(split(C693, "" ""),3))), index(split(C693, "" ""),3),index(split(C693, "" ""),2)))"),"")</f>
        <v/>
      </c>
      <c r="U693" s="38" t="b">
        <f t="shared" si="34"/>
        <v>0</v>
      </c>
      <c r="V693" s="38"/>
      <c r="W693" s="40"/>
      <c r="X693" s="40"/>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row>
    <row r="694">
      <c r="B694" s="322"/>
      <c r="C694" s="144"/>
      <c r="D694" s="144"/>
      <c r="E694" s="37"/>
      <c r="F694" s="37"/>
      <c r="G694" s="37"/>
      <c r="H694" s="33" t="str">
        <f t="shared" si="33"/>
        <v/>
      </c>
      <c r="I694" s="37"/>
      <c r="J694" s="37"/>
      <c r="K694" s="37"/>
      <c r="L694" s="37"/>
      <c r="M694" s="106"/>
      <c r="N694" s="15"/>
      <c r="O694" s="16"/>
      <c r="P694" s="16"/>
      <c r="Q694" s="16"/>
      <c r="R694" s="16"/>
      <c r="S694" s="37" t="str">
        <f>IFERROR(__xludf.DUMMYFUNCTION("if(not(iserror(index(split(C694, "" ""),2))), index(split(C694, "" ""),1),"""")"),"")</f>
        <v/>
      </c>
      <c r="T694" s="315" t="str">
        <f>IFERROR(__xludf.DUMMYFUNCTION("if(S694="""",C694,if(not(iserror(index(split(C694, "" ""),3))), index(split(C694, "" ""),3),index(split(C694, "" ""),2)))"),"")</f>
        <v/>
      </c>
      <c r="U694" s="38" t="b">
        <f t="shared" si="34"/>
        <v>0</v>
      </c>
      <c r="V694" s="38"/>
      <c r="W694" s="40"/>
      <c r="X694" s="40"/>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row>
    <row r="695">
      <c r="B695" s="322"/>
      <c r="C695" s="144"/>
      <c r="D695" s="144"/>
      <c r="E695" s="37"/>
      <c r="F695" s="37"/>
      <c r="G695" s="37"/>
      <c r="H695" s="33" t="str">
        <f t="shared" si="33"/>
        <v/>
      </c>
      <c r="I695" s="37"/>
      <c r="J695" s="37"/>
      <c r="K695" s="37"/>
      <c r="L695" s="37"/>
      <c r="M695" s="106"/>
      <c r="N695" s="15"/>
      <c r="O695" s="16"/>
      <c r="P695" s="16"/>
      <c r="Q695" s="16"/>
      <c r="R695" s="16"/>
      <c r="S695" s="37" t="str">
        <f>IFERROR(__xludf.DUMMYFUNCTION("if(not(iserror(index(split(C695, "" ""),2))), index(split(C695, "" ""),1),"""")"),"")</f>
        <v/>
      </c>
      <c r="T695" s="315" t="str">
        <f>IFERROR(__xludf.DUMMYFUNCTION("if(S695="""",C695,if(not(iserror(index(split(C695, "" ""),3))), index(split(C695, "" ""),3),index(split(C695, "" ""),2)))"),"")</f>
        <v/>
      </c>
      <c r="U695" s="38" t="b">
        <f t="shared" si="34"/>
        <v>0</v>
      </c>
      <c r="V695" s="38"/>
      <c r="W695" s="40"/>
      <c r="X695" s="40"/>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row>
    <row r="696">
      <c r="A696" s="37"/>
      <c r="B696" s="322"/>
      <c r="C696" s="144"/>
      <c r="D696" s="144"/>
      <c r="E696" s="37"/>
      <c r="F696" s="37"/>
      <c r="G696" s="37"/>
      <c r="H696" s="33" t="str">
        <f t="shared" si="33"/>
        <v/>
      </c>
      <c r="I696" s="37"/>
      <c r="J696" s="37"/>
      <c r="K696" s="37"/>
      <c r="L696" s="37"/>
      <c r="M696" s="14"/>
      <c r="N696" s="14"/>
      <c r="O696" s="16"/>
      <c r="P696" s="16"/>
      <c r="Q696" s="16"/>
      <c r="R696" s="16"/>
      <c r="S696" s="37" t="str">
        <f>IFERROR(__xludf.DUMMYFUNCTION("if(not(iserror(index(split(C696, "" ""),2))), index(split(C696, "" ""),1),"""")"),"")</f>
        <v/>
      </c>
      <c r="T696" s="315" t="str">
        <f>IFERROR(__xludf.DUMMYFUNCTION("if(S696="""",C696,if(not(iserror(index(split(C696, "" ""),3))), index(split(C696, "" ""),3),index(split(C696, "" ""),2)))"),"")</f>
        <v/>
      </c>
      <c r="U696" s="38" t="b">
        <f t="shared" si="34"/>
        <v>0</v>
      </c>
      <c r="V696" s="38"/>
      <c r="W696" s="40"/>
      <c r="X696" s="40"/>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row>
    <row r="697">
      <c r="A697" s="37"/>
      <c r="B697" s="322"/>
      <c r="C697" s="144"/>
      <c r="D697" s="144"/>
      <c r="E697" s="37"/>
      <c r="F697" s="37"/>
      <c r="G697" s="37"/>
      <c r="H697" s="33" t="str">
        <f t="shared" si="33"/>
        <v/>
      </c>
      <c r="I697" s="37"/>
      <c r="J697" s="37"/>
      <c r="K697" s="37"/>
      <c r="L697" s="37"/>
      <c r="M697" s="14"/>
      <c r="N697" s="15"/>
      <c r="O697" s="16"/>
      <c r="P697" s="16"/>
      <c r="Q697" s="16"/>
      <c r="R697" s="16"/>
      <c r="S697" s="37" t="str">
        <f>IFERROR(__xludf.DUMMYFUNCTION("if(not(iserror(index(split(C697, "" ""),2))), index(split(C697, "" ""),1),"""")"),"")</f>
        <v/>
      </c>
      <c r="T697" s="315" t="str">
        <f>IFERROR(__xludf.DUMMYFUNCTION("if(S697="""",C697,if(not(iserror(index(split(C697, "" ""),3))), index(split(C697, "" ""),3),index(split(C697, "" ""),2)))"),"")</f>
        <v/>
      </c>
      <c r="U697" s="38" t="b">
        <f t="shared" si="34"/>
        <v>0</v>
      </c>
      <c r="V697" s="38"/>
      <c r="W697" s="40"/>
      <c r="X697" s="40"/>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row>
    <row r="698">
      <c r="B698" s="322"/>
      <c r="C698" s="144"/>
      <c r="D698" s="144"/>
      <c r="E698" s="37"/>
      <c r="F698" s="37"/>
      <c r="G698" s="37"/>
      <c r="H698" s="33" t="str">
        <f t="shared" si="33"/>
        <v/>
      </c>
      <c r="I698" s="37"/>
      <c r="J698" s="37"/>
      <c r="K698" s="37"/>
      <c r="L698" s="37"/>
      <c r="M698" s="14"/>
      <c r="N698" s="15"/>
      <c r="O698" s="16"/>
      <c r="P698" s="16"/>
      <c r="Q698" s="16"/>
      <c r="R698" s="16"/>
      <c r="S698" s="37" t="str">
        <f>IFERROR(__xludf.DUMMYFUNCTION("if(not(iserror(index(split(C698, "" ""),2))), index(split(C698, "" ""),1),"""")"),"")</f>
        <v/>
      </c>
      <c r="T698" s="315" t="str">
        <f>IFERROR(__xludf.DUMMYFUNCTION("if(S698="""",C698,if(not(iserror(index(split(C698, "" ""),3))), index(split(C698, "" ""),3),index(split(C698, "" ""),2)))"),"")</f>
        <v/>
      </c>
      <c r="U698" s="38" t="b">
        <f t="shared" si="34"/>
        <v>0</v>
      </c>
      <c r="V698" s="38"/>
      <c r="W698" s="40"/>
      <c r="X698" s="40"/>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row>
    <row r="699">
      <c r="B699" s="322"/>
      <c r="C699" s="144"/>
      <c r="D699" s="144"/>
      <c r="E699" s="37"/>
      <c r="F699" s="37"/>
      <c r="G699" s="37"/>
      <c r="H699" s="33" t="str">
        <f t="shared" si="33"/>
        <v/>
      </c>
      <c r="I699" s="37"/>
      <c r="J699" s="37"/>
      <c r="K699" s="37"/>
      <c r="L699" s="37"/>
      <c r="M699" s="14"/>
      <c r="N699" s="15"/>
      <c r="O699" s="16"/>
      <c r="P699" s="16"/>
      <c r="Q699" s="16"/>
      <c r="R699" s="16"/>
      <c r="S699" s="37" t="str">
        <f>IFERROR(__xludf.DUMMYFUNCTION("if(not(iserror(index(split(C699, "" ""),2))), index(split(C699, "" ""),1),"""")"),"")</f>
        <v/>
      </c>
      <c r="T699" s="315" t="str">
        <f>IFERROR(__xludf.DUMMYFUNCTION("if(S699="""",C699,if(not(iserror(index(split(C699, "" ""),3))), index(split(C699, "" ""),3),index(split(C699, "" ""),2)))"),"")</f>
        <v/>
      </c>
      <c r="U699" s="38" t="b">
        <f t="shared" si="34"/>
        <v>0</v>
      </c>
      <c r="V699" s="38"/>
      <c r="W699" s="40"/>
      <c r="X699" s="40"/>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row>
    <row r="700">
      <c r="B700" s="322"/>
      <c r="C700" s="144"/>
      <c r="D700" s="144"/>
      <c r="E700" s="37"/>
      <c r="F700" s="37"/>
      <c r="G700" s="37"/>
      <c r="H700" s="33" t="str">
        <f t="shared" si="33"/>
        <v/>
      </c>
      <c r="I700" s="37"/>
      <c r="J700" s="37"/>
      <c r="K700" s="37"/>
      <c r="L700" s="37"/>
      <c r="M700" s="14"/>
      <c r="N700" s="15"/>
      <c r="O700" s="16"/>
      <c r="P700" s="16"/>
      <c r="Q700" s="16"/>
      <c r="R700" s="16"/>
      <c r="S700" s="37" t="str">
        <f>IFERROR(__xludf.DUMMYFUNCTION("if(not(iserror(index(split(C700, "" ""),2))), index(split(C700, "" ""),1),"""")"),"")</f>
        <v/>
      </c>
      <c r="T700" s="315" t="str">
        <f>IFERROR(__xludf.DUMMYFUNCTION("if(S700="""",C700,if(not(iserror(index(split(C700, "" ""),3))), index(split(C700, "" ""),3),index(split(C700, "" ""),2)))"),"")</f>
        <v/>
      </c>
      <c r="U700" s="38" t="b">
        <f t="shared" si="34"/>
        <v>0</v>
      </c>
      <c r="V700" s="38"/>
      <c r="W700" s="40"/>
      <c r="X700" s="40"/>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row>
    <row r="701">
      <c r="A701" s="375"/>
      <c r="B701" s="159"/>
      <c r="C701" s="144"/>
      <c r="D701" s="144"/>
      <c r="E701" s="37"/>
      <c r="F701" s="37"/>
      <c r="G701" s="37"/>
      <c r="H701" s="33" t="str">
        <f t="shared" si="33"/>
        <v/>
      </c>
      <c r="I701" s="37"/>
      <c r="J701" s="37"/>
      <c r="K701" s="37"/>
      <c r="L701" s="37"/>
      <c r="M701" s="14"/>
      <c r="N701" s="15"/>
      <c r="O701" s="16"/>
      <c r="P701" s="16"/>
      <c r="Q701" s="37"/>
      <c r="R701" s="16"/>
      <c r="S701" s="37" t="str">
        <f>IFERROR(__xludf.DUMMYFUNCTION("if(not(iserror(index(split(C701, "" ""),2))), index(split(C701, "" ""),1),"""")"),"")</f>
        <v/>
      </c>
      <c r="T701" s="315" t="str">
        <f>IFERROR(__xludf.DUMMYFUNCTION("if(S701="""",C701,if(not(iserror(index(split(C701, "" ""),3))), index(split(C701, "" ""),3),index(split(C701, "" ""),2)))"),"")</f>
        <v/>
      </c>
      <c r="U701" s="38" t="b">
        <f t="shared" si="34"/>
        <v>0</v>
      </c>
      <c r="V701" s="38"/>
      <c r="W701" s="40"/>
      <c r="X701" s="40"/>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row>
    <row r="702">
      <c r="A702" s="37"/>
      <c r="B702" s="322"/>
      <c r="C702" s="144"/>
      <c r="D702" s="144"/>
      <c r="E702" s="37"/>
      <c r="F702" s="37"/>
      <c r="G702" s="37"/>
      <c r="H702" s="33" t="str">
        <f t="shared" si="33"/>
        <v/>
      </c>
      <c r="I702" s="37"/>
      <c r="J702" s="37"/>
      <c r="K702" s="37"/>
      <c r="L702" s="37"/>
      <c r="M702" s="14"/>
      <c r="N702" s="15"/>
      <c r="O702" s="16"/>
      <c r="P702" s="16"/>
      <c r="Q702" s="16"/>
      <c r="R702" s="16"/>
      <c r="S702" s="37" t="str">
        <f>IFERROR(__xludf.DUMMYFUNCTION("if(not(iserror(index(split(C702, "" ""),2))), index(split(C702, "" ""),1),"""")"),"")</f>
        <v/>
      </c>
      <c r="T702" s="315" t="str">
        <f>IFERROR(__xludf.DUMMYFUNCTION("if(S702="""",C702,if(not(iserror(index(split(C702, "" ""),3))), index(split(C702, "" ""),3),index(split(C702, "" ""),2)))"),"")</f>
        <v/>
      </c>
      <c r="U702" s="38" t="b">
        <f t="shared" si="34"/>
        <v>0</v>
      </c>
      <c r="V702" s="38"/>
      <c r="W702" s="40"/>
      <c r="X702" s="40"/>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row>
    <row r="703">
      <c r="A703" s="37"/>
      <c r="B703" s="322"/>
      <c r="C703" s="144"/>
      <c r="D703" s="144"/>
      <c r="E703" s="37"/>
      <c r="F703" s="37"/>
      <c r="G703" s="37"/>
      <c r="H703" s="33" t="str">
        <f t="shared" si="33"/>
        <v/>
      </c>
      <c r="I703" s="37"/>
      <c r="J703" s="37"/>
      <c r="K703" s="37"/>
      <c r="L703" s="37"/>
      <c r="M703" s="14"/>
      <c r="N703" s="15"/>
      <c r="O703" s="16"/>
      <c r="P703" s="16"/>
      <c r="Q703" s="16"/>
      <c r="R703" s="16"/>
      <c r="S703" s="37" t="str">
        <f>IFERROR(__xludf.DUMMYFUNCTION("if(not(iserror(index(split(C703, "" ""),2))), index(split(C703, "" ""),1),"""")"),"")</f>
        <v/>
      </c>
      <c r="T703" s="315" t="str">
        <f>IFERROR(__xludf.DUMMYFUNCTION("if(S703="""",C703,if(not(iserror(index(split(C703, "" ""),3))), index(split(C703, "" ""),3),index(split(C703, "" ""),2)))"),"")</f>
        <v/>
      </c>
      <c r="U703" s="38" t="b">
        <f t="shared" si="34"/>
        <v>0</v>
      </c>
      <c r="V703" s="38"/>
      <c r="W703" s="40"/>
      <c r="X703" s="40"/>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row>
    <row r="704">
      <c r="A704" s="37"/>
      <c r="B704" s="159"/>
      <c r="C704" s="144"/>
      <c r="D704" s="144"/>
      <c r="E704" s="37"/>
      <c r="F704" s="37"/>
      <c r="G704" s="37"/>
      <c r="H704" s="33" t="str">
        <f t="shared" si="33"/>
        <v/>
      </c>
      <c r="I704" s="37"/>
      <c r="J704" s="37"/>
      <c r="K704" s="37"/>
      <c r="L704" s="37"/>
      <c r="M704" s="14"/>
      <c r="N704" s="15"/>
      <c r="O704" s="16"/>
      <c r="P704" s="16"/>
      <c r="Q704" s="16"/>
      <c r="R704" s="16"/>
      <c r="S704" s="37" t="str">
        <f>IFERROR(__xludf.DUMMYFUNCTION("if(not(iserror(index(split(C704, "" ""),2))), index(split(C704, "" ""),1),"""")"),"")</f>
        <v/>
      </c>
      <c r="T704" s="315" t="str">
        <f>IFERROR(__xludf.DUMMYFUNCTION("if(S704="""",C704,if(not(iserror(index(split(C704, "" ""),3))), index(split(C704, "" ""),3),index(split(C704, "" ""),2)))"),"")</f>
        <v/>
      </c>
      <c r="U704" s="38" t="b">
        <f t="shared" si="34"/>
        <v>0</v>
      </c>
      <c r="V704" s="38"/>
      <c r="W704" s="40"/>
      <c r="X704" s="40"/>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row>
    <row r="705">
      <c r="A705" s="37"/>
      <c r="B705" s="322"/>
      <c r="C705" s="144"/>
      <c r="D705" s="144"/>
      <c r="E705" s="37"/>
      <c r="F705" s="37"/>
      <c r="G705" s="37"/>
      <c r="H705" s="33" t="str">
        <f t="shared" si="33"/>
        <v/>
      </c>
      <c r="I705" s="37"/>
      <c r="J705" s="37"/>
      <c r="K705" s="37"/>
      <c r="L705" s="37"/>
      <c r="M705" s="14"/>
      <c r="N705" s="15"/>
      <c r="O705" s="16"/>
      <c r="P705" s="16"/>
      <c r="Q705" s="16"/>
      <c r="R705" s="16"/>
      <c r="S705" s="37" t="str">
        <f>IFERROR(__xludf.DUMMYFUNCTION("if(not(iserror(index(split(C705, "" ""),2))), index(split(C705, "" ""),1),"""")"),"")</f>
        <v/>
      </c>
      <c r="T705" s="315" t="str">
        <f>IFERROR(__xludf.DUMMYFUNCTION("if(S705="""",C705,if(not(iserror(index(split(C705, "" ""),3))), index(split(C705, "" ""),3),index(split(C705, "" ""),2)))"),"")</f>
        <v/>
      </c>
      <c r="U705" s="38" t="b">
        <f t="shared" si="34"/>
        <v>0</v>
      </c>
      <c r="V705" s="38"/>
      <c r="W705" s="40"/>
      <c r="X705" s="40"/>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row>
    <row r="706">
      <c r="A706" s="37"/>
      <c r="B706" s="322"/>
      <c r="C706" s="144"/>
      <c r="D706" s="144"/>
      <c r="E706" s="37"/>
      <c r="F706" s="37"/>
      <c r="G706" s="37"/>
      <c r="H706" s="33" t="str">
        <f t="shared" si="33"/>
        <v/>
      </c>
      <c r="I706" s="37"/>
      <c r="J706" s="37"/>
      <c r="K706" s="37"/>
      <c r="L706" s="37"/>
      <c r="M706" s="14"/>
      <c r="N706" s="15"/>
      <c r="O706" s="16"/>
      <c r="P706" s="16"/>
      <c r="Q706" s="16"/>
      <c r="R706" s="16"/>
      <c r="S706" s="37" t="str">
        <f>IFERROR(__xludf.DUMMYFUNCTION("if(not(iserror(index(split(C706, "" ""),2))), index(split(C706, "" ""),1),"""")"),"")</f>
        <v/>
      </c>
      <c r="T706" s="315" t="str">
        <f>IFERROR(__xludf.DUMMYFUNCTION("if(S706="""",C706,if(not(iserror(index(split(C706, "" ""),3))), index(split(C706, "" ""),3),index(split(C706, "" ""),2)))"),"")</f>
        <v/>
      </c>
      <c r="U706" s="38" t="b">
        <f t="shared" si="34"/>
        <v>0</v>
      </c>
      <c r="V706" s="38"/>
      <c r="W706" s="40"/>
      <c r="X706" s="40"/>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row>
    <row r="707">
      <c r="B707" s="322"/>
      <c r="C707" s="144"/>
      <c r="D707" s="144"/>
      <c r="E707" s="37"/>
      <c r="F707" s="37"/>
      <c r="G707" s="37"/>
      <c r="H707" s="33" t="str">
        <f t="shared" si="33"/>
        <v/>
      </c>
      <c r="I707" s="37"/>
      <c r="J707" s="37"/>
      <c r="K707" s="37"/>
      <c r="L707" s="37"/>
      <c r="M707" s="14"/>
      <c r="N707" s="15"/>
      <c r="O707" s="16"/>
      <c r="P707" s="16"/>
      <c r="Q707" s="16"/>
      <c r="R707" s="16"/>
      <c r="S707" s="37" t="str">
        <f>IFERROR(__xludf.DUMMYFUNCTION("if(not(iserror(index(split(C707, "" ""),2))), index(split(C707, "" ""),1),"""")"),"")</f>
        <v/>
      </c>
      <c r="T707" s="315" t="str">
        <f>IFERROR(__xludf.DUMMYFUNCTION("if(S707="""",C707,if(not(iserror(index(split(C707, "" ""),3))), index(split(C707, "" ""),3),index(split(C707, "" ""),2)))"),"")</f>
        <v/>
      </c>
      <c r="U707" s="38" t="b">
        <f t="shared" si="34"/>
        <v>0</v>
      </c>
      <c r="V707" s="38"/>
      <c r="W707" s="40"/>
      <c r="X707" s="40"/>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row>
    <row r="708">
      <c r="A708" s="37"/>
      <c r="B708" s="322"/>
      <c r="C708" s="144"/>
      <c r="D708" s="144"/>
      <c r="E708" s="37"/>
      <c r="F708" s="37"/>
      <c r="G708" s="37"/>
      <c r="H708" s="33" t="str">
        <f t="shared" si="33"/>
        <v/>
      </c>
      <c r="I708" s="37"/>
      <c r="J708" s="37"/>
      <c r="K708" s="37"/>
      <c r="L708" s="37"/>
      <c r="M708" s="14"/>
      <c r="N708" s="15"/>
      <c r="O708" s="37"/>
      <c r="P708" s="37"/>
      <c r="Q708" s="64"/>
      <c r="R708" s="16"/>
      <c r="S708" s="37" t="str">
        <f>IFERROR(__xludf.DUMMYFUNCTION("if(not(iserror(index(split(C708, "" ""),2))), index(split(C708, "" ""),1),"""")"),"")</f>
        <v/>
      </c>
      <c r="T708" s="315" t="str">
        <f>IFERROR(__xludf.DUMMYFUNCTION("if(S708="""",C708,if(not(iserror(index(split(C708, "" ""),3))), index(split(C708, "" ""),3),index(split(C708, "" ""),2)))"),"")</f>
        <v/>
      </c>
      <c r="U708" s="38" t="b">
        <f t="shared" si="34"/>
        <v>0</v>
      </c>
      <c r="V708" s="38"/>
      <c r="W708" s="40"/>
      <c r="X708" s="40"/>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row>
    <row r="709">
      <c r="A709" s="37"/>
      <c r="B709" s="322"/>
      <c r="C709" s="144"/>
      <c r="D709" s="144"/>
      <c r="E709" s="37"/>
      <c r="F709" s="37"/>
      <c r="G709" s="37"/>
      <c r="H709" s="33" t="str">
        <f t="shared" si="33"/>
        <v/>
      </c>
      <c r="I709" s="37"/>
      <c r="J709" s="37"/>
      <c r="K709" s="37"/>
      <c r="L709" s="37"/>
      <c r="M709" s="374"/>
      <c r="N709" s="15"/>
      <c r="O709" s="37"/>
      <c r="P709" s="37"/>
      <c r="Q709" s="64"/>
      <c r="R709" s="16"/>
      <c r="S709" s="37" t="str">
        <f>IFERROR(__xludf.DUMMYFUNCTION("if(not(iserror(index(split(C709, "" ""),2))), index(split(C709, "" ""),1),"""")"),"")</f>
        <v/>
      </c>
      <c r="T709" s="315" t="str">
        <f>IFERROR(__xludf.DUMMYFUNCTION("if(S709="""",C709,if(not(iserror(index(split(C709, "" ""),3))), index(split(C709, "" ""),3),index(split(C709, "" ""),2)))"),"")</f>
        <v/>
      </c>
      <c r="U709" s="38" t="b">
        <f t="shared" si="34"/>
        <v>0</v>
      </c>
      <c r="V709" s="38"/>
      <c r="W709" s="40"/>
      <c r="X709" s="40"/>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row>
    <row r="710">
      <c r="A710" s="37"/>
      <c r="B710" s="322"/>
      <c r="C710" s="144"/>
      <c r="D710" s="144"/>
      <c r="E710" s="37"/>
      <c r="F710" s="37"/>
      <c r="G710" s="37"/>
      <c r="H710" s="33" t="str">
        <f t="shared" si="33"/>
        <v/>
      </c>
      <c r="I710" s="37"/>
      <c r="J710" s="37"/>
      <c r="K710" s="37"/>
      <c r="L710" s="37"/>
      <c r="M710" s="374"/>
      <c r="N710" s="15"/>
      <c r="O710" s="37"/>
      <c r="P710" s="37"/>
      <c r="Q710" s="64"/>
      <c r="R710" s="16"/>
      <c r="S710" s="37" t="str">
        <f>IFERROR(__xludf.DUMMYFUNCTION("if(not(iserror(index(split(C710, "" ""),2))), index(split(C710, "" ""),1),"""")"),"")</f>
        <v/>
      </c>
      <c r="T710" s="315" t="str">
        <f>IFERROR(__xludf.DUMMYFUNCTION("if(S710="""",C710,if(not(iserror(index(split(C710, "" ""),3))), index(split(C710, "" ""),3),index(split(C710, "" ""),2)))"),"")</f>
        <v/>
      </c>
      <c r="U710" s="38" t="b">
        <f t="shared" si="34"/>
        <v>0</v>
      </c>
      <c r="V710" s="38"/>
      <c r="W710" s="40"/>
      <c r="X710" s="40"/>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row>
    <row r="711">
      <c r="A711" s="37"/>
      <c r="B711" s="322"/>
      <c r="C711" s="144"/>
      <c r="D711" s="144"/>
      <c r="E711" s="37"/>
      <c r="F711" s="37"/>
      <c r="G711" s="37"/>
      <c r="H711" s="33" t="str">
        <f t="shared" si="33"/>
        <v/>
      </c>
      <c r="I711" s="37"/>
      <c r="J711" s="37"/>
      <c r="K711" s="37"/>
      <c r="L711" s="37"/>
      <c r="M711" s="374"/>
      <c r="N711" s="14"/>
      <c r="O711" s="37"/>
      <c r="P711" s="37"/>
      <c r="Q711" s="64"/>
      <c r="R711" s="16"/>
      <c r="S711" s="37" t="str">
        <f>IFERROR(__xludf.DUMMYFUNCTION("if(not(iserror(index(split(C711, "" ""),2))), index(split(C711, "" ""),1),"""")"),"")</f>
        <v/>
      </c>
      <c r="T711" s="315" t="str">
        <f>IFERROR(__xludf.DUMMYFUNCTION("if(S711="""",C711,if(not(iserror(index(split(C711, "" ""),3))), index(split(C711, "" ""),3),index(split(C711, "" ""),2)))"),"")</f>
        <v/>
      </c>
      <c r="U711" s="38" t="b">
        <f t="shared" si="34"/>
        <v>0</v>
      </c>
      <c r="V711" s="38"/>
      <c r="W711" s="40"/>
      <c r="X711" s="40"/>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row>
    <row r="712">
      <c r="A712" s="37"/>
      <c r="B712" s="322"/>
      <c r="C712" s="144"/>
      <c r="D712" s="144"/>
      <c r="E712" s="37"/>
      <c r="F712" s="37"/>
      <c r="G712" s="37"/>
      <c r="H712" s="33" t="str">
        <f t="shared" si="33"/>
        <v/>
      </c>
      <c r="I712" s="37"/>
      <c r="J712" s="37"/>
      <c r="K712" s="37"/>
      <c r="L712" s="37"/>
      <c r="M712" s="374"/>
      <c r="N712" s="15"/>
      <c r="O712" s="37"/>
      <c r="P712" s="16"/>
      <c r="Q712" s="64"/>
      <c r="R712" s="16"/>
      <c r="S712" s="37" t="str">
        <f>IFERROR(__xludf.DUMMYFUNCTION("if(not(iserror(index(split(C712, "" ""),2))), index(split(C712, "" ""),1),"""")"),"")</f>
        <v/>
      </c>
      <c r="T712" s="315" t="str">
        <f>IFERROR(__xludf.DUMMYFUNCTION("if(S712="""",C712,if(not(iserror(index(split(C712, "" ""),3))), index(split(C712, "" ""),3),index(split(C712, "" ""),2)))"),"")</f>
        <v/>
      </c>
      <c r="U712" s="38" t="b">
        <f t="shared" si="34"/>
        <v>0</v>
      </c>
      <c r="V712" s="38"/>
      <c r="W712" s="40"/>
      <c r="X712" s="40"/>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row>
    <row r="713">
      <c r="A713" s="37"/>
      <c r="B713" s="322"/>
      <c r="C713" s="144"/>
      <c r="D713" s="144"/>
      <c r="E713" s="37"/>
      <c r="F713" s="37"/>
      <c r="G713" s="37"/>
      <c r="H713" s="33" t="str">
        <f t="shared" si="33"/>
        <v/>
      </c>
      <c r="I713" s="37"/>
      <c r="J713" s="37"/>
      <c r="K713" s="37"/>
      <c r="L713" s="37"/>
      <c r="M713" s="374"/>
      <c r="N713" s="15"/>
      <c r="O713" s="37"/>
      <c r="P713" s="16"/>
      <c r="Q713" s="64"/>
      <c r="R713" s="16"/>
      <c r="S713" s="37" t="str">
        <f>IFERROR(__xludf.DUMMYFUNCTION("if(not(iserror(index(split(C713, "" ""),2))), index(split(C713, "" ""),1),"""")"),"")</f>
        <v/>
      </c>
      <c r="T713" s="315" t="str">
        <f>IFERROR(__xludf.DUMMYFUNCTION("if(S713="""",C713,if(not(iserror(index(split(C713, "" ""),3))), index(split(C713, "" ""),3),index(split(C713, "" ""),2)))"),"")</f>
        <v/>
      </c>
      <c r="U713" s="38" t="b">
        <f t="shared" si="34"/>
        <v>0</v>
      </c>
      <c r="V713" s="38"/>
      <c r="W713" s="40"/>
      <c r="X713" s="40"/>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row>
    <row r="714">
      <c r="A714" s="37"/>
      <c r="B714" s="322"/>
      <c r="C714" s="144"/>
      <c r="D714" s="144"/>
      <c r="E714" s="37"/>
      <c r="F714" s="37"/>
      <c r="G714" s="37"/>
      <c r="H714" s="33" t="str">
        <f t="shared" si="33"/>
        <v/>
      </c>
      <c r="I714" s="37"/>
      <c r="J714" s="37"/>
      <c r="K714" s="37"/>
      <c r="L714" s="37"/>
      <c r="M714" s="374"/>
      <c r="N714" s="14"/>
      <c r="O714" s="16"/>
      <c r="P714" s="16"/>
      <c r="Q714" s="64"/>
      <c r="R714" s="16"/>
      <c r="S714" s="37" t="str">
        <f>IFERROR(__xludf.DUMMYFUNCTION("if(not(iserror(index(split(C714, "" ""),2))), index(split(C714, "" ""),1),"""")"),"")</f>
        <v/>
      </c>
      <c r="T714" s="315" t="str">
        <f>IFERROR(__xludf.DUMMYFUNCTION("if(S714="""",C714,if(not(iserror(index(split(C714, "" ""),3))), index(split(C714, "" ""),3),index(split(C714, "" ""),2)))"),"")</f>
        <v/>
      </c>
      <c r="U714" s="38" t="b">
        <f t="shared" si="34"/>
        <v>0</v>
      </c>
      <c r="V714" s="38"/>
      <c r="W714" s="40"/>
      <c r="X714" s="40"/>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row>
    <row r="715">
      <c r="A715" s="37"/>
      <c r="B715" s="322"/>
      <c r="C715" s="144"/>
      <c r="D715" s="144"/>
      <c r="E715" s="37"/>
      <c r="F715" s="37"/>
      <c r="G715" s="37"/>
      <c r="H715" s="33" t="str">
        <f t="shared" si="33"/>
        <v/>
      </c>
      <c r="I715" s="37"/>
      <c r="J715" s="37"/>
      <c r="K715" s="37"/>
      <c r="L715" s="37"/>
      <c r="M715" s="374"/>
      <c r="N715" s="15"/>
      <c r="O715" s="16"/>
      <c r="P715" s="16"/>
      <c r="Q715" s="16"/>
      <c r="R715" s="16"/>
      <c r="S715" s="37" t="str">
        <f>IFERROR(__xludf.DUMMYFUNCTION("if(not(iserror(index(split(C715, "" ""),2))), index(split(C715, "" ""),1),"""")"),"")</f>
        <v/>
      </c>
      <c r="T715" s="315" t="str">
        <f>IFERROR(__xludf.DUMMYFUNCTION("if(S715="""",C715,if(not(iserror(index(split(C715, "" ""),3))), index(split(C715, "" ""),3),index(split(C715, "" ""),2)))"),"")</f>
        <v/>
      </c>
      <c r="U715" s="38" t="b">
        <f t="shared" si="34"/>
        <v>0</v>
      </c>
      <c r="V715" s="38"/>
      <c r="W715" s="40"/>
      <c r="X715" s="40"/>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row>
    <row r="716">
      <c r="A716" s="37"/>
      <c r="B716" s="322"/>
      <c r="C716" s="144"/>
      <c r="D716" s="144"/>
      <c r="E716" s="37"/>
      <c r="F716" s="37"/>
      <c r="G716" s="37"/>
      <c r="H716" s="33" t="str">
        <f t="shared" si="33"/>
        <v/>
      </c>
      <c r="I716" s="37"/>
      <c r="J716" s="37"/>
      <c r="K716" s="37"/>
      <c r="L716" s="37"/>
      <c r="M716" s="374"/>
      <c r="N716" s="15"/>
      <c r="O716" s="37"/>
      <c r="P716" s="37"/>
      <c r="Q716" s="64"/>
      <c r="R716" s="16"/>
      <c r="S716" s="37" t="str">
        <f>IFERROR(__xludf.DUMMYFUNCTION("if(not(iserror(index(split(C716, "" ""),2))), index(split(C716, "" ""),1),"""")"),"")</f>
        <v/>
      </c>
      <c r="T716" s="315" t="str">
        <f>IFERROR(__xludf.DUMMYFUNCTION("if(S716="""",C716,if(not(iserror(index(split(C716, "" ""),3))), index(split(C716, "" ""),3),index(split(C716, "" ""),2)))"),"")</f>
        <v/>
      </c>
      <c r="U716" s="38" t="b">
        <f t="shared" si="34"/>
        <v>0</v>
      </c>
      <c r="V716" s="38"/>
      <c r="W716" s="40"/>
      <c r="X716" s="40"/>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row>
    <row r="717">
      <c r="A717" s="37"/>
      <c r="B717" s="322"/>
      <c r="C717" s="144"/>
      <c r="D717" s="144"/>
      <c r="E717" s="37"/>
      <c r="F717" s="37"/>
      <c r="G717" s="37"/>
      <c r="H717" s="33" t="str">
        <f t="shared" si="33"/>
        <v/>
      </c>
      <c r="I717" s="37"/>
      <c r="J717" s="37"/>
      <c r="K717" s="37"/>
      <c r="L717" s="37"/>
      <c r="M717" s="374"/>
      <c r="N717" s="15"/>
      <c r="O717" s="37"/>
      <c r="P717" s="37"/>
      <c r="Q717" s="64"/>
      <c r="R717" s="16"/>
      <c r="S717" s="37" t="str">
        <f>IFERROR(__xludf.DUMMYFUNCTION("if(not(iserror(index(split(C717, "" ""),2))), index(split(C717, "" ""),1),"""")"),"")</f>
        <v/>
      </c>
      <c r="T717" s="315" t="str">
        <f>IFERROR(__xludf.DUMMYFUNCTION("if(S717="""",C717,if(not(iserror(index(split(C717, "" ""),3))), index(split(C717, "" ""),3),index(split(C717, "" ""),2)))"),"")</f>
        <v/>
      </c>
      <c r="U717" s="38" t="b">
        <f t="shared" si="34"/>
        <v>0</v>
      </c>
      <c r="V717" s="38"/>
      <c r="W717" s="40"/>
      <c r="X717" s="40"/>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row>
    <row r="718">
      <c r="A718" s="37"/>
      <c r="B718" s="322"/>
      <c r="C718" s="144"/>
      <c r="D718" s="144"/>
      <c r="E718" s="37"/>
      <c r="F718" s="37"/>
      <c r="G718" s="37"/>
      <c r="H718" s="33" t="str">
        <f t="shared" si="33"/>
        <v/>
      </c>
      <c r="I718" s="37"/>
      <c r="J718" s="37"/>
      <c r="K718" s="37"/>
      <c r="L718" s="37"/>
      <c r="M718" s="374"/>
      <c r="N718" s="14"/>
      <c r="O718" s="37"/>
      <c r="P718" s="16"/>
      <c r="Q718" s="64"/>
      <c r="R718" s="16"/>
      <c r="S718" s="37" t="str">
        <f>IFERROR(__xludf.DUMMYFUNCTION("if(not(iserror(index(split(C718, "" ""),2))), index(split(C718, "" ""),1),"""")"),"")</f>
        <v/>
      </c>
      <c r="T718" s="315" t="str">
        <f>IFERROR(__xludf.DUMMYFUNCTION("if(S718="""",C718,if(not(iserror(index(split(C718, "" ""),3))), index(split(C718, "" ""),3),index(split(C718, "" ""),2)))"),"")</f>
        <v/>
      </c>
      <c r="U718" s="38" t="b">
        <f t="shared" si="34"/>
        <v>0</v>
      </c>
      <c r="V718" s="38"/>
      <c r="W718" s="40"/>
      <c r="X718" s="40"/>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row>
    <row r="719">
      <c r="A719" s="37"/>
      <c r="B719" s="322"/>
      <c r="C719" s="144"/>
      <c r="D719" s="144"/>
      <c r="E719" s="37"/>
      <c r="F719" s="37"/>
      <c r="G719" s="37"/>
      <c r="H719" s="33" t="str">
        <f t="shared" si="33"/>
        <v/>
      </c>
      <c r="I719" s="37"/>
      <c r="J719" s="37"/>
      <c r="K719" s="37"/>
      <c r="L719" s="37"/>
      <c r="M719" s="374"/>
      <c r="N719" s="15"/>
      <c r="O719" s="16"/>
      <c r="P719" s="16"/>
      <c r="Q719" s="16"/>
      <c r="R719" s="16"/>
      <c r="S719" s="37" t="str">
        <f>IFERROR(__xludf.DUMMYFUNCTION("if(not(iserror(index(split(C719, "" ""),2))), index(split(C719, "" ""),1),"""")"),"")</f>
        <v/>
      </c>
      <c r="T719" s="315" t="str">
        <f>IFERROR(__xludf.DUMMYFUNCTION("if(S719="""",C719,if(not(iserror(index(split(C719, "" ""),3))), index(split(C719, "" ""),3),index(split(C719, "" ""),2)))"),"")</f>
        <v/>
      </c>
      <c r="U719" s="38" t="b">
        <f t="shared" si="34"/>
        <v>0</v>
      </c>
      <c r="V719" s="38"/>
      <c r="W719" s="40"/>
      <c r="X719" s="40"/>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row>
    <row r="720">
      <c r="A720" s="37"/>
      <c r="B720" s="322"/>
      <c r="C720" s="144"/>
      <c r="D720" s="144"/>
      <c r="E720" s="37"/>
      <c r="F720" s="37"/>
      <c r="G720" s="37"/>
      <c r="H720" s="33" t="str">
        <f t="shared" si="33"/>
        <v/>
      </c>
      <c r="I720" s="37"/>
      <c r="J720" s="16"/>
      <c r="K720" s="37"/>
      <c r="L720" s="37"/>
      <c r="M720" s="374"/>
      <c r="N720" s="15"/>
      <c r="O720" s="16"/>
      <c r="P720" s="16"/>
      <c r="Q720" s="16"/>
      <c r="R720" s="16"/>
      <c r="S720" s="37" t="str">
        <f>IFERROR(__xludf.DUMMYFUNCTION("if(not(iserror(index(split(C720, "" ""),2))), index(split(C720, "" ""),1),"""")"),"")</f>
        <v/>
      </c>
      <c r="T720" s="315" t="str">
        <f>IFERROR(__xludf.DUMMYFUNCTION("if(S720="""",C720,if(not(iserror(index(split(C720, "" ""),3))), index(split(C720, "" ""),3),index(split(C720, "" ""),2)))"),"")</f>
        <v/>
      </c>
      <c r="U720" s="38" t="b">
        <f t="shared" si="34"/>
        <v>0</v>
      </c>
      <c r="V720" s="38"/>
      <c r="W720" s="40"/>
      <c r="X720" s="40"/>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row>
    <row r="721">
      <c r="A721" s="37"/>
      <c r="B721" s="322"/>
      <c r="C721" s="144"/>
      <c r="D721" s="144"/>
      <c r="E721" s="37"/>
      <c r="F721" s="37"/>
      <c r="G721" s="37"/>
      <c r="H721" s="33" t="str">
        <f t="shared" si="33"/>
        <v/>
      </c>
      <c r="I721" s="37"/>
      <c r="J721" s="37"/>
      <c r="K721" s="37"/>
      <c r="L721" s="37"/>
      <c r="M721" s="177"/>
      <c r="N721" s="15"/>
      <c r="O721" s="37"/>
      <c r="P721" s="16"/>
      <c r="Q721" s="64"/>
      <c r="R721" s="16"/>
      <c r="S721" s="37" t="str">
        <f>IFERROR(__xludf.DUMMYFUNCTION("if(not(iserror(index(split(C721, "" ""),2))), index(split(C721, "" ""),1),"""")"),"")</f>
        <v/>
      </c>
      <c r="T721" s="315" t="str">
        <f>IFERROR(__xludf.DUMMYFUNCTION("if(S721="""",C721,if(not(iserror(index(split(C721, "" ""),3))), index(split(C721, "" ""),3),index(split(C721, "" ""),2)))"),"")</f>
        <v/>
      </c>
      <c r="U721" s="38" t="b">
        <f t="shared" si="34"/>
        <v>0</v>
      </c>
      <c r="V721" s="38"/>
      <c r="W721" s="40"/>
      <c r="X721" s="40"/>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row>
    <row r="722">
      <c r="A722" s="37"/>
      <c r="B722" s="322"/>
      <c r="C722" s="144"/>
      <c r="D722" s="144"/>
      <c r="E722" s="37"/>
      <c r="F722" s="37"/>
      <c r="G722" s="37"/>
      <c r="H722" s="33" t="str">
        <f t="shared" si="33"/>
        <v/>
      </c>
      <c r="I722" s="37"/>
      <c r="J722" s="37"/>
      <c r="K722" s="37"/>
      <c r="L722" s="37"/>
      <c r="M722" s="177"/>
      <c r="N722" s="15"/>
      <c r="O722" s="37"/>
      <c r="P722" s="16"/>
      <c r="Q722" s="64"/>
      <c r="R722" s="16"/>
      <c r="S722" s="37" t="str">
        <f>IFERROR(__xludf.DUMMYFUNCTION("if(not(iserror(index(split(C722, "" ""),2))), index(split(C722, "" ""),1),"""")"),"")</f>
        <v/>
      </c>
      <c r="T722" s="315" t="str">
        <f>IFERROR(__xludf.DUMMYFUNCTION("if(S722="""",C722,if(not(iserror(index(split(C722, "" ""),3))), index(split(C722, "" ""),3),index(split(C722, "" ""),2)))"),"")</f>
        <v/>
      </c>
      <c r="U722" s="38" t="b">
        <f t="shared" si="34"/>
        <v>0</v>
      </c>
      <c r="V722" s="38"/>
      <c r="W722" s="40"/>
      <c r="X722" s="40"/>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row>
    <row r="723">
      <c r="A723" s="37"/>
      <c r="B723" s="322"/>
      <c r="C723" s="144"/>
      <c r="D723" s="144"/>
      <c r="E723" s="37"/>
      <c r="F723" s="37"/>
      <c r="G723" s="37"/>
      <c r="H723" s="33" t="str">
        <f t="shared" si="33"/>
        <v/>
      </c>
      <c r="I723" s="37"/>
      <c r="J723" s="37"/>
      <c r="K723" s="37"/>
      <c r="L723" s="37"/>
      <c r="M723" s="177"/>
      <c r="N723" s="15"/>
      <c r="O723" s="37"/>
      <c r="P723" s="16"/>
      <c r="Q723" s="64"/>
      <c r="R723" s="16"/>
      <c r="S723" s="37" t="str">
        <f>IFERROR(__xludf.DUMMYFUNCTION("if(not(iserror(index(split(C723, "" ""),2))), index(split(C723, "" ""),1),"""")"),"")</f>
        <v/>
      </c>
      <c r="T723" s="315" t="str">
        <f>IFERROR(__xludf.DUMMYFUNCTION("if(S723="""",C723,if(not(iserror(index(split(C723, "" ""),3))), index(split(C723, "" ""),3),index(split(C723, "" ""),2)))"),"")</f>
        <v/>
      </c>
      <c r="U723" s="38" t="b">
        <f t="shared" si="34"/>
        <v>0</v>
      </c>
      <c r="V723" s="38"/>
      <c r="W723" s="40"/>
      <c r="X723" s="40"/>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row>
    <row r="724">
      <c r="A724" s="37"/>
      <c r="B724" s="341"/>
      <c r="C724" s="60"/>
      <c r="D724" s="60"/>
      <c r="E724" s="58"/>
      <c r="F724" s="58"/>
      <c r="G724" s="58"/>
      <c r="H724" s="33" t="str">
        <f t="shared" si="33"/>
        <v/>
      </c>
      <c r="I724" s="58"/>
      <c r="J724" s="58"/>
      <c r="K724" s="58"/>
      <c r="L724" s="58"/>
      <c r="M724" s="14"/>
      <c r="N724" s="77"/>
      <c r="O724" s="58"/>
      <c r="P724" s="58"/>
      <c r="Q724" s="84"/>
      <c r="R724" s="58"/>
      <c r="S724" s="37" t="str">
        <f>IFERROR(__xludf.DUMMYFUNCTION("if(not(iserror(index(split(C724, "" ""),2))), index(split(C724, "" ""),1),"""")"),"")</f>
        <v/>
      </c>
      <c r="T724" s="315" t="str">
        <f>IFERROR(__xludf.DUMMYFUNCTION("if(S724="""",C724,if(not(iserror(index(split(C724, "" ""),3))), index(split(C724, "" ""),3),index(split(C724, "" ""),2)))"),"")</f>
        <v/>
      </c>
      <c r="U724" s="38" t="b">
        <f t="shared" si="34"/>
        <v>0</v>
      </c>
      <c r="V724" s="38"/>
      <c r="W724" s="40"/>
      <c r="X724" s="40"/>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row>
    <row r="725">
      <c r="A725" s="37"/>
      <c r="B725" s="322"/>
      <c r="C725" s="144"/>
      <c r="D725" s="144"/>
      <c r="E725" s="37"/>
      <c r="F725" s="37"/>
      <c r="G725" s="37"/>
      <c r="H725" s="33" t="str">
        <f t="shared" si="33"/>
        <v/>
      </c>
      <c r="I725" s="37"/>
      <c r="J725" s="37"/>
      <c r="K725" s="37"/>
      <c r="L725" s="37"/>
      <c r="M725" s="376"/>
      <c r="N725" s="15"/>
      <c r="O725" s="37"/>
      <c r="P725" s="37"/>
      <c r="Q725" s="64"/>
      <c r="R725" s="37"/>
      <c r="S725" s="37" t="str">
        <f>IFERROR(__xludf.DUMMYFUNCTION("if(not(iserror(index(split(C725, "" ""),2))), index(split(C725, "" ""),1),"""")"),"")</f>
        <v/>
      </c>
      <c r="T725" s="315" t="str">
        <f>IFERROR(__xludf.DUMMYFUNCTION("if(S725="""",C725,if(not(iserror(index(split(C725, "" ""),3))), index(split(C725, "" ""),3),index(split(C725, "" ""),2)))"),"")</f>
        <v/>
      </c>
      <c r="U725" s="38" t="b">
        <f t="shared" si="34"/>
        <v>0</v>
      </c>
      <c r="V725" s="38"/>
      <c r="W725" s="40"/>
      <c r="X725" s="40"/>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row>
    <row r="726">
      <c r="A726" s="37"/>
      <c r="B726" s="322"/>
      <c r="C726" s="144"/>
      <c r="D726" s="144"/>
      <c r="E726" s="37"/>
      <c r="F726" s="37"/>
      <c r="G726" s="37"/>
      <c r="H726" s="33" t="str">
        <f t="shared" si="33"/>
        <v/>
      </c>
      <c r="I726" s="37"/>
      <c r="J726" s="37"/>
      <c r="K726" s="37"/>
      <c r="L726" s="37"/>
      <c r="M726" s="376"/>
      <c r="N726" s="15"/>
      <c r="O726" s="16"/>
      <c r="P726" s="16"/>
      <c r="Q726" s="16"/>
      <c r="R726" s="16"/>
      <c r="S726" s="37" t="str">
        <f>IFERROR(__xludf.DUMMYFUNCTION("if(not(iserror(index(split(C726, "" ""),2))), index(split(C726, "" ""),1),"""")"),"")</f>
        <v/>
      </c>
      <c r="T726" s="315" t="str">
        <f>IFERROR(__xludf.DUMMYFUNCTION("if(S726="""",C726,if(not(iserror(index(split(C726, "" ""),3))), index(split(C726, "" ""),3),index(split(C726, "" ""),2)))"),"")</f>
        <v/>
      </c>
      <c r="U726" s="38" t="b">
        <f t="shared" si="34"/>
        <v>0</v>
      </c>
      <c r="V726" s="38"/>
      <c r="W726" s="40"/>
      <c r="X726" s="40"/>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row>
    <row r="727">
      <c r="A727" s="37"/>
      <c r="B727" s="322"/>
      <c r="C727" s="144"/>
      <c r="D727" s="144"/>
      <c r="E727" s="37"/>
      <c r="F727" s="37"/>
      <c r="G727" s="37"/>
      <c r="H727" s="33" t="str">
        <f t="shared" si="33"/>
        <v/>
      </c>
      <c r="I727" s="37"/>
      <c r="J727" s="37"/>
      <c r="K727" s="37"/>
      <c r="L727" s="37"/>
      <c r="M727" s="376"/>
      <c r="N727" s="15"/>
      <c r="O727" s="16"/>
      <c r="P727" s="16"/>
      <c r="Q727" s="16"/>
      <c r="R727" s="16"/>
      <c r="S727" s="37" t="str">
        <f>IFERROR(__xludf.DUMMYFUNCTION("if(not(iserror(index(split(C727, "" ""),2))), index(split(C727, "" ""),1),"""")"),"")</f>
        <v/>
      </c>
      <c r="T727" s="315" t="str">
        <f>IFERROR(__xludf.DUMMYFUNCTION("if(S727="""",C727,if(not(iserror(index(split(C727, "" ""),3))), index(split(C727, "" ""),3),index(split(C727, "" ""),2)))"),"")</f>
        <v/>
      </c>
      <c r="U727" s="38" t="b">
        <f t="shared" si="34"/>
        <v>0</v>
      </c>
      <c r="V727" s="38"/>
      <c r="W727" s="40"/>
      <c r="X727" s="40"/>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row>
    <row r="728">
      <c r="A728" s="37"/>
      <c r="B728" s="322"/>
      <c r="C728" s="144"/>
      <c r="D728" s="144"/>
      <c r="E728" s="37"/>
      <c r="F728" s="37"/>
      <c r="G728" s="37"/>
      <c r="H728" s="33" t="str">
        <f t="shared" si="33"/>
        <v/>
      </c>
      <c r="I728" s="37"/>
      <c r="J728" s="37"/>
      <c r="K728" s="37"/>
      <c r="L728" s="37"/>
      <c r="M728" s="376"/>
      <c r="N728" s="15"/>
      <c r="O728" s="16"/>
      <c r="P728" s="16"/>
      <c r="Q728" s="16"/>
      <c r="R728" s="16"/>
      <c r="S728" s="37" t="str">
        <f>IFERROR(__xludf.DUMMYFUNCTION("if(not(iserror(index(split(C728, "" ""),2))), index(split(C728, "" ""),1),"""")"),"")</f>
        <v/>
      </c>
      <c r="T728" s="315" t="str">
        <f>IFERROR(__xludf.DUMMYFUNCTION("if(S728="""",C728,if(not(iserror(index(split(C728, "" ""),3))), index(split(C728, "" ""),3),index(split(C728, "" ""),2)))"),"")</f>
        <v/>
      </c>
      <c r="U728" s="38" t="b">
        <f t="shared" si="34"/>
        <v>0</v>
      </c>
      <c r="V728" s="38"/>
      <c r="W728" s="40"/>
      <c r="X728" s="40"/>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row>
    <row r="729">
      <c r="A729" s="37"/>
      <c r="B729" s="322"/>
      <c r="C729" s="144"/>
      <c r="D729" s="144"/>
      <c r="E729" s="37"/>
      <c r="F729" s="37"/>
      <c r="G729" s="37"/>
      <c r="H729" s="33" t="str">
        <f t="shared" si="33"/>
        <v/>
      </c>
      <c r="I729" s="37"/>
      <c r="J729" s="37"/>
      <c r="K729" s="37"/>
      <c r="L729" s="37"/>
      <c r="M729" s="376"/>
      <c r="N729" s="15"/>
      <c r="O729" s="16"/>
      <c r="P729" s="16"/>
      <c r="Q729" s="16"/>
      <c r="R729" s="16"/>
      <c r="S729" s="37" t="str">
        <f>IFERROR(__xludf.DUMMYFUNCTION("if(not(iserror(index(split(C729, "" ""),2))), index(split(C729, "" ""),1),"""")"),"")</f>
        <v/>
      </c>
      <c r="T729" s="315" t="str">
        <f>IFERROR(__xludf.DUMMYFUNCTION("if(S729="""",C729,if(not(iserror(index(split(C729, "" ""),3))), index(split(C729, "" ""),3),index(split(C729, "" ""),2)))"),"")</f>
        <v/>
      </c>
      <c r="U729" s="38" t="b">
        <f t="shared" si="34"/>
        <v>0</v>
      </c>
      <c r="V729" s="38"/>
      <c r="W729" s="40"/>
      <c r="X729" s="40"/>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row>
    <row r="730">
      <c r="A730" s="37"/>
      <c r="B730" s="322"/>
      <c r="C730" s="144"/>
      <c r="D730" s="144"/>
      <c r="E730" s="37"/>
      <c r="F730" s="37"/>
      <c r="G730" s="37"/>
      <c r="H730" s="33" t="str">
        <f t="shared" si="33"/>
        <v/>
      </c>
      <c r="I730" s="37"/>
      <c r="J730" s="37"/>
      <c r="K730" s="37"/>
      <c r="L730" s="37"/>
      <c r="M730" s="376"/>
      <c r="N730" s="15"/>
      <c r="O730" s="16"/>
      <c r="P730" s="16"/>
      <c r="Q730" s="16"/>
      <c r="R730" s="16"/>
      <c r="S730" s="37" t="str">
        <f>IFERROR(__xludf.DUMMYFUNCTION("if(not(iserror(index(split(C730, "" ""),2))), index(split(C730, "" ""),1),"""")"),"")</f>
        <v/>
      </c>
      <c r="T730" s="315" t="str">
        <f>IFERROR(__xludf.DUMMYFUNCTION("if(S730="""",C730,if(not(iserror(index(split(C730, "" ""),3))), index(split(C730, "" ""),3),index(split(C730, "" ""),2)))"),"")</f>
        <v/>
      </c>
      <c r="U730" s="38" t="b">
        <f t="shared" si="34"/>
        <v>0</v>
      </c>
      <c r="V730" s="38"/>
      <c r="W730" s="40"/>
      <c r="X730" s="40"/>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row>
    <row r="731">
      <c r="A731" s="37"/>
      <c r="B731" s="322"/>
      <c r="C731" s="144"/>
      <c r="D731" s="144"/>
      <c r="E731" s="37"/>
      <c r="F731" s="37"/>
      <c r="G731" s="37"/>
      <c r="H731" s="33" t="str">
        <f t="shared" si="33"/>
        <v/>
      </c>
      <c r="I731" s="37"/>
      <c r="J731" s="37"/>
      <c r="K731" s="37"/>
      <c r="L731" s="37"/>
      <c r="M731" s="376"/>
      <c r="N731" s="15"/>
      <c r="O731" s="16"/>
      <c r="P731" s="16"/>
      <c r="Q731" s="16"/>
      <c r="R731" s="16"/>
      <c r="S731" s="37" t="str">
        <f>IFERROR(__xludf.DUMMYFUNCTION("if(not(iserror(index(split(C731, "" ""),2))), index(split(C731, "" ""),1),"""")"),"")</f>
        <v/>
      </c>
      <c r="T731" s="315" t="str">
        <f>IFERROR(__xludf.DUMMYFUNCTION("if(S731="""",C731,if(not(iserror(index(split(C731, "" ""),3))), index(split(C731, "" ""),3),index(split(C731, "" ""),2)))"),"")</f>
        <v/>
      </c>
      <c r="U731" s="38" t="b">
        <f t="shared" si="34"/>
        <v>0</v>
      </c>
      <c r="V731" s="38"/>
      <c r="W731" s="40"/>
      <c r="X731" s="40"/>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row>
    <row r="732">
      <c r="A732" s="37"/>
      <c r="B732" s="322"/>
      <c r="C732" s="144"/>
      <c r="D732" s="144"/>
      <c r="E732" s="37"/>
      <c r="F732" s="37"/>
      <c r="G732" s="37"/>
      <c r="H732" s="33" t="str">
        <f t="shared" si="33"/>
        <v/>
      </c>
      <c r="I732" s="37"/>
      <c r="J732" s="37"/>
      <c r="K732" s="37"/>
      <c r="L732" s="37"/>
      <c r="M732" s="376"/>
      <c r="N732" s="15"/>
      <c r="O732" s="16"/>
      <c r="P732" s="16"/>
      <c r="Q732" s="16"/>
      <c r="R732" s="16"/>
      <c r="S732" s="37" t="str">
        <f>IFERROR(__xludf.DUMMYFUNCTION("if(not(iserror(index(split(C732, "" ""),2))), index(split(C732, "" ""),1),"""")"),"")</f>
        <v/>
      </c>
      <c r="T732" s="315" t="str">
        <f>IFERROR(__xludf.DUMMYFUNCTION("if(S732="""",C732,if(not(iserror(index(split(C732, "" ""),3))), index(split(C732, "" ""),3),index(split(C732, "" ""),2)))"),"")</f>
        <v/>
      </c>
      <c r="U732" s="38" t="b">
        <f t="shared" si="34"/>
        <v>0</v>
      </c>
      <c r="V732" s="38"/>
      <c r="W732" s="40"/>
      <c r="X732" s="40"/>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row>
    <row r="733">
      <c r="A733" s="37"/>
      <c r="B733" s="322"/>
      <c r="C733" s="144"/>
      <c r="D733" s="144"/>
      <c r="E733" s="37"/>
      <c r="F733" s="37"/>
      <c r="G733" s="37"/>
      <c r="H733" s="33" t="str">
        <f t="shared" si="33"/>
        <v/>
      </c>
      <c r="I733" s="37"/>
      <c r="J733" s="37"/>
      <c r="K733" s="37"/>
      <c r="L733" s="37"/>
      <c r="M733" s="376"/>
      <c r="N733" s="15"/>
      <c r="O733" s="16"/>
      <c r="P733" s="16"/>
      <c r="Q733" s="16"/>
      <c r="R733" s="16"/>
      <c r="S733" s="37" t="str">
        <f>IFERROR(__xludf.DUMMYFUNCTION("if(not(iserror(index(split(C733, "" ""),2))), index(split(C733, "" ""),1),"""")"),"")</f>
        <v/>
      </c>
      <c r="T733" s="315" t="str">
        <f>IFERROR(__xludf.DUMMYFUNCTION("if(S733="""",C733,if(not(iserror(index(split(C733, "" ""),3))), index(split(C733, "" ""),3),index(split(C733, "" ""),2)))"),"")</f>
        <v/>
      </c>
      <c r="U733" s="38" t="b">
        <f t="shared" si="34"/>
        <v>0</v>
      </c>
      <c r="V733" s="38"/>
      <c r="W733" s="40"/>
      <c r="X733" s="40"/>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row>
    <row r="734">
      <c r="A734" s="90"/>
      <c r="B734" s="322"/>
      <c r="C734" s="144"/>
      <c r="D734" s="144"/>
      <c r="E734" s="37"/>
      <c r="F734" s="37"/>
      <c r="G734" s="37"/>
      <c r="H734" s="33" t="str">
        <f t="shared" si="33"/>
        <v/>
      </c>
      <c r="I734" s="37"/>
      <c r="J734" s="37"/>
      <c r="K734" s="37"/>
      <c r="L734" s="37"/>
      <c r="M734" s="377"/>
      <c r="N734" s="15"/>
      <c r="O734" s="16"/>
      <c r="P734" s="16"/>
      <c r="Q734" s="16"/>
      <c r="R734" s="16"/>
      <c r="S734" s="37" t="str">
        <f>IFERROR(__xludf.DUMMYFUNCTION("if(not(iserror(index(split(C734, "" ""),2))), index(split(C734, "" ""),1),"""")"),"")</f>
        <v/>
      </c>
      <c r="T734" s="315" t="str">
        <f>IFERROR(__xludf.DUMMYFUNCTION("if(S734="""",C734,if(not(iserror(index(split(C734, "" ""),3))), index(split(C734, "" ""),3),index(split(C734, "" ""),2)))"),"")</f>
        <v/>
      </c>
      <c r="U734" s="38" t="b">
        <f t="shared" si="34"/>
        <v>0</v>
      </c>
      <c r="V734" s="38"/>
      <c r="W734" s="40"/>
      <c r="X734" s="40"/>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row>
    <row r="735">
      <c r="A735" s="90"/>
      <c r="B735" s="322"/>
      <c r="C735" s="144"/>
      <c r="D735" s="144"/>
      <c r="E735" s="37"/>
      <c r="F735" s="37"/>
      <c r="G735" s="37"/>
      <c r="H735" s="33" t="str">
        <f t="shared" si="33"/>
        <v/>
      </c>
      <c r="I735" s="37"/>
      <c r="J735" s="37"/>
      <c r="K735" s="37"/>
      <c r="L735" s="37"/>
      <c r="M735" s="377"/>
      <c r="N735" s="14"/>
      <c r="O735" s="16"/>
      <c r="P735" s="16"/>
      <c r="Q735" s="16"/>
      <c r="R735" s="16"/>
      <c r="S735" s="37" t="str">
        <f>IFERROR(__xludf.DUMMYFUNCTION("if(not(iserror(index(split(C735, "" ""),2))), index(split(C735, "" ""),1),"""")"),"")</f>
        <v/>
      </c>
      <c r="T735" s="315" t="str">
        <f>IFERROR(__xludf.DUMMYFUNCTION("if(S735="""",C735,if(not(iserror(index(split(C735, "" ""),3))), index(split(C735, "" ""),3),index(split(C735, "" ""),2)))"),"")</f>
        <v/>
      </c>
      <c r="U735" s="38" t="b">
        <f t="shared" si="34"/>
        <v>0</v>
      </c>
      <c r="V735" s="38"/>
      <c r="W735" s="40"/>
      <c r="X735" s="40"/>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row>
    <row r="736">
      <c r="A736" s="37"/>
      <c r="B736" s="322"/>
      <c r="C736" s="144"/>
      <c r="D736" s="144"/>
      <c r="E736" s="37"/>
      <c r="F736" s="37"/>
      <c r="G736" s="37"/>
      <c r="H736" s="33" t="str">
        <f t="shared" si="33"/>
        <v/>
      </c>
      <c r="I736" s="37"/>
      <c r="J736" s="37"/>
      <c r="K736" s="37"/>
      <c r="L736" s="37"/>
      <c r="M736" s="376"/>
      <c r="N736" s="15"/>
      <c r="O736" s="16"/>
      <c r="P736" s="16"/>
      <c r="Q736" s="16"/>
      <c r="R736" s="16"/>
      <c r="S736" s="37" t="str">
        <f>IFERROR(__xludf.DUMMYFUNCTION("if(not(iserror(index(split(C736, "" ""),2))), index(split(C736, "" ""),1),"""")"),"")</f>
        <v/>
      </c>
      <c r="T736" s="315" t="str">
        <f>IFERROR(__xludf.DUMMYFUNCTION("if(S736="""",C736,if(not(iserror(index(split(C736, "" ""),3))), index(split(C736, "" ""),3),index(split(C736, "" ""),2)))"),"")</f>
        <v/>
      </c>
      <c r="U736" s="38" t="b">
        <f t="shared" si="34"/>
        <v>0</v>
      </c>
      <c r="V736" s="38"/>
      <c r="W736" s="40"/>
      <c r="X736" s="40"/>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row>
    <row r="737">
      <c r="A737" s="37"/>
      <c r="B737" s="322"/>
      <c r="C737" s="144"/>
      <c r="D737" s="144"/>
      <c r="E737" s="37"/>
      <c r="F737" s="37"/>
      <c r="G737" s="37"/>
      <c r="H737" s="33" t="str">
        <f t="shared" si="33"/>
        <v/>
      </c>
      <c r="I737" s="37"/>
      <c r="J737" s="37"/>
      <c r="K737" s="37"/>
      <c r="L737" s="37"/>
      <c r="M737" s="376"/>
      <c r="N737" s="15"/>
      <c r="O737" s="16"/>
      <c r="P737" s="16"/>
      <c r="Q737" s="16"/>
      <c r="R737" s="16"/>
      <c r="S737" s="37" t="str">
        <f>IFERROR(__xludf.DUMMYFUNCTION("if(not(iserror(index(split(C737, "" ""),2))), index(split(C737, "" ""),1),"""")"),"")</f>
        <v/>
      </c>
      <c r="T737" s="315" t="str">
        <f>IFERROR(__xludf.DUMMYFUNCTION("if(S737="""",C737,if(not(iserror(index(split(C737, "" ""),3))), index(split(C737, "" ""),3),index(split(C737, "" ""),2)))"),"")</f>
        <v/>
      </c>
      <c r="U737" s="38" t="b">
        <f t="shared" si="34"/>
        <v>0</v>
      </c>
      <c r="V737" s="38"/>
      <c r="W737" s="40"/>
      <c r="X737" s="40"/>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row>
    <row r="738">
      <c r="A738" s="37"/>
      <c r="B738" s="322"/>
      <c r="C738" s="144"/>
      <c r="D738" s="144"/>
      <c r="E738" s="37"/>
      <c r="F738" s="37"/>
      <c r="G738" s="37"/>
      <c r="H738" s="33" t="str">
        <f t="shared" si="33"/>
        <v/>
      </c>
      <c r="I738" s="37"/>
      <c r="J738" s="37"/>
      <c r="K738" s="37"/>
      <c r="L738" s="37"/>
      <c r="M738" s="376"/>
      <c r="N738" s="15"/>
      <c r="O738" s="16"/>
      <c r="P738" s="16"/>
      <c r="Q738" s="16"/>
      <c r="R738" s="16"/>
      <c r="S738" s="37" t="str">
        <f>IFERROR(__xludf.DUMMYFUNCTION("if(not(iserror(index(split(C738, "" ""),2))), index(split(C738, "" ""),1),"""")"),"")</f>
        <v/>
      </c>
      <c r="T738" s="315" t="str">
        <f>IFERROR(__xludf.DUMMYFUNCTION("if(S738="""",C738,if(not(iserror(index(split(C738, "" ""),3))), index(split(C738, "" ""),3),index(split(C738, "" ""),2)))"),"")</f>
        <v/>
      </c>
      <c r="U738" s="38" t="b">
        <f t="shared" si="34"/>
        <v>0</v>
      </c>
      <c r="V738" s="38"/>
      <c r="W738" s="40"/>
      <c r="X738" s="40"/>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row>
    <row r="739">
      <c r="A739" s="37"/>
      <c r="B739" s="322"/>
      <c r="C739" s="144"/>
      <c r="D739" s="144"/>
      <c r="E739" s="37"/>
      <c r="F739" s="37"/>
      <c r="G739" s="37"/>
      <c r="H739" s="33" t="str">
        <f t="shared" si="33"/>
        <v/>
      </c>
      <c r="I739" s="37"/>
      <c r="J739" s="37"/>
      <c r="K739" s="37"/>
      <c r="L739" s="37"/>
      <c r="M739" s="376"/>
      <c r="N739" s="15"/>
      <c r="O739" s="16"/>
      <c r="P739" s="16"/>
      <c r="Q739" s="16"/>
      <c r="R739" s="16"/>
      <c r="S739" s="37" t="str">
        <f>IFERROR(__xludf.DUMMYFUNCTION("if(not(iserror(index(split(C739, "" ""),2))), index(split(C739, "" ""),1),"""")"),"")</f>
        <v/>
      </c>
      <c r="T739" s="315" t="str">
        <f>IFERROR(__xludf.DUMMYFUNCTION("if(S739="""",C739,if(not(iserror(index(split(C739, "" ""),3))), index(split(C739, "" ""),3),index(split(C739, "" ""),2)))"),"")</f>
        <v/>
      </c>
      <c r="U739" s="38" t="b">
        <f t="shared" si="34"/>
        <v>0</v>
      </c>
      <c r="V739" s="38"/>
      <c r="W739" s="40"/>
      <c r="X739" s="40"/>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row>
    <row r="740">
      <c r="A740" s="37"/>
      <c r="B740" s="322"/>
      <c r="C740" s="144"/>
      <c r="D740" s="144"/>
      <c r="E740" s="37"/>
      <c r="F740" s="37"/>
      <c r="G740" s="37"/>
      <c r="H740" s="33" t="str">
        <f t="shared" si="33"/>
        <v/>
      </c>
      <c r="I740" s="37"/>
      <c r="J740" s="37"/>
      <c r="K740" s="37"/>
      <c r="L740" s="37"/>
      <c r="M740" s="376"/>
      <c r="N740" s="15"/>
      <c r="O740" s="16"/>
      <c r="P740" s="16"/>
      <c r="Q740" s="16"/>
      <c r="R740" s="16"/>
      <c r="S740" s="37" t="str">
        <f>IFERROR(__xludf.DUMMYFUNCTION("if(not(iserror(index(split(C740, "" ""),2))), index(split(C740, "" ""),1),"""")"),"")</f>
        <v/>
      </c>
      <c r="T740" s="315" t="str">
        <f>IFERROR(__xludf.DUMMYFUNCTION("if(S740="""",C740,if(not(iserror(index(split(C740, "" ""),3))), index(split(C740, "" ""),3),index(split(C740, "" ""),2)))"),"")</f>
        <v/>
      </c>
      <c r="U740" s="38" t="b">
        <f t="shared" si="34"/>
        <v>0</v>
      </c>
      <c r="V740" s="38"/>
      <c r="W740" s="40"/>
      <c r="X740" s="40"/>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row>
    <row r="741">
      <c r="A741" s="37"/>
      <c r="B741" s="322"/>
      <c r="C741" s="144"/>
      <c r="D741" s="144"/>
      <c r="E741" s="37"/>
      <c r="F741" s="37"/>
      <c r="G741" s="37"/>
      <c r="H741" s="33" t="str">
        <f t="shared" si="33"/>
        <v/>
      </c>
      <c r="I741" s="37"/>
      <c r="J741" s="37"/>
      <c r="K741" s="37"/>
      <c r="L741" s="37"/>
      <c r="M741" s="177"/>
      <c r="N741" s="15"/>
      <c r="O741" s="37"/>
      <c r="P741" s="16"/>
      <c r="Q741" s="64"/>
      <c r="R741" s="16"/>
      <c r="S741" s="37" t="str">
        <f>IFERROR(__xludf.DUMMYFUNCTION("if(not(iserror(index(split(C741, "" ""),2))), index(split(C741, "" ""),1),"""")"),"")</f>
        <v/>
      </c>
      <c r="T741" s="315" t="str">
        <f>IFERROR(__xludf.DUMMYFUNCTION("if(S741="""",C741,if(not(iserror(index(split(C741, "" ""),3))), index(split(C741, "" ""),3),index(split(C741, "" ""),2)))"),"")</f>
        <v/>
      </c>
      <c r="U741" s="38" t="b">
        <f t="shared" si="34"/>
        <v>0</v>
      </c>
      <c r="V741" s="38"/>
      <c r="W741" s="40"/>
      <c r="X741" s="40"/>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row>
    <row r="742">
      <c r="A742" s="37"/>
      <c r="B742" s="322"/>
      <c r="C742" s="144"/>
      <c r="D742" s="144"/>
      <c r="E742" s="37"/>
      <c r="F742" s="37"/>
      <c r="G742" s="37"/>
      <c r="H742" s="33" t="str">
        <f t="shared" si="33"/>
        <v/>
      </c>
      <c r="I742" s="37"/>
      <c r="J742" s="37"/>
      <c r="K742" s="37"/>
      <c r="L742" s="37"/>
      <c r="M742" s="177"/>
      <c r="N742" s="15"/>
      <c r="O742" s="37"/>
      <c r="P742" s="37"/>
      <c r="Q742" s="64"/>
      <c r="R742" s="16"/>
      <c r="S742" s="37" t="str">
        <f>IFERROR(__xludf.DUMMYFUNCTION("if(not(iserror(index(split(C742, "" ""),2))), index(split(C742, "" ""),1),"""")"),"")</f>
        <v/>
      </c>
      <c r="T742" s="315" t="str">
        <f>IFERROR(__xludf.DUMMYFUNCTION("if(S742="""",C742,if(not(iserror(index(split(C742, "" ""),3))), index(split(C742, "" ""),3),index(split(C742, "" ""),2)))"),"")</f>
        <v/>
      </c>
      <c r="U742" s="38" t="b">
        <f t="shared" si="34"/>
        <v>0</v>
      </c>
      <c r="V742" s="38"/>
      <c r="W742" s="40"/>
      <c r="X742" s="40"/>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row>
    <row r="743">
      <c r="A743" s="285"/>
      <c r="B743" s="378"/>
      <c r="C743" s="379"/>
      <c r="D743" s="379"/>
      <c r="E743" s="285"/>
      <c r="F743" s="285"/>
      <c r="G743" s="285"/>
      <c r="H743" s="33" t="str">
        <f t="shared" si="33"/>
        <v/>
      </c>
      <c r="I743" s="285"/>
      <c r="J743" s="285"/>
      <c r="K743" s="285"/>
      <c r="L743" s="285"/>
      <c r="M743" s="288"/>
      <c r="N743" s="102"/>
      <c r="O743" s="37"/>
      <c r="P743" s="37"/>
      <c r="Q743" s="64"/>
      <c r="R743" s="16"/>
      <c r="S743" s="37" t="str">
        <f>IFERROR(__xludf.DUMMYFUNCTION("if(not(iserror(index(split(C743, "" ""),2))), index(split(C743, "" ""),1),"""")"),"")</f>
        <v/>
      </c>
      <c r="T743" s="315" t="str">
        <f>IFERROR(__xludf.DUMMYFUNCTION("if(S743="""",C743,if(not(iserror(index(split(C743, "" ""),3))), index(split(C743, "" ""),3),index(split(C743, "" ""),2)))"),"")</f>
        <v/>
      </c>
      <c r="U743" s="38" t="b">
        <f t="shared" si="34"/>
        <v>0</v>
      </c>
      <c r="V743" s="38"/>
      <c r="W743" s="40"/>
      <c r="X743" s="40"/>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row>
    <row r="744">
      <c r="A744" s="37"/>
      <c r="B744" s="322"/>
      <c r="C744" s="144"/>
      <c r="D744" s="144"/>
      <c r="E744" s="37"/>
      <c r="F744" s="37"/>
      <c r="G744" s="37"/>
      <c r="H744" s="33" t="str">
        <f t="shared" si="33"/>
        <v/>
      </c>
      <c r="I744" s="37"/>
      <c r="J744" s="37"/>
      <c r="K744" s="37"/>
      <c r="L744" s="37"/>
      <c r="M744" s="177"/>
      <c r="N744" s="15"/>
      <c r="O744" s="37"/>
      <c r="P744" s="16"/>
      <c r="Q744" s="64"/>
      <c r="R744" s="16"/>
      <c r="S744" s="37" t="str">
        <f>IFERROR(__xludf.DUMMYFUNCTION("if(not(iserror(index(split(C744, "" ""),2))), index(split(C744, "" ""),1),"""")"),"")</f>
        <v/>
      </c>
      <c r="T744" s="315" t="str">
        <f>IFERROR(__xludf.DUMMYFUNCTION("if(S744="""",C744,if(not(iserror(index(split(C744, "" ""),3))), index(split(C744, "" ""),3),index(split(C744, "" ""),2)))"),"")</f>
        <v/>
      </c>
      <c r="U744" s="38" t="b">
        <f t="shared" si="34"/>
        <v>0</v>
      </c>
      <c r="V744" s="38"/>
      <c r="W744" s="40"/>
      <c r="X744" s="40"/>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row>
    <row r="745">
      <c r="A745" s="37"/>
      <c r="B745" s="322"/>
      <c r="C745" s="144"/>
      <c r="D745" s="144"/>
      <c r="E745" s="37"/>
      <c r="F745" s="37"/>
      <c r="G745" s="37"/>
      <c r="H745" s="33" t="str">
        <f t="shared" si="33"/>
        <v/>
      </c>
      <c r="I745" s="37"/>
      <c r="J745" s="37"/>
      <c r="K745" s="37"/>
      <c r="L745" s="37"/>
      <c r="M745" s="177"/>
      <c r="N745" s="15"/>
      <c r="O745" s="37"/>
      <c r="P745" s="37"/>
      <c r="Q745" s="64"/>
      <c r="R745" s="16"/>
      <c r="S745" s="37" t="str">
        <f>IFERROR(__xludf.DUMMYFUNCTION("if(not(iserror(index(split(C745, "" ""),2))), index(split(C745, "" ""),1),"""")"),"")</f>
        <v/>
      </c>
      <c r="T745" s="315" t="str">
        <f>IFERROR(__xludf.DUMMYFUNCTION("if(S745="""",C745,if(not(iserror(index(split(C745, "" ""),3))), index(split(C745, "" ""),3),index(split(C745, "" ""),2)))"),"")</f>
        <v/>
      </c>
      <c r="U745" s="38" t="b">
        <f t="shared" si="34"/>
        <v>0</v>
      </c>
      <c r="V745" s="38"/>
      <c r="W745" s="40"/>
      <c r="X745" s="40"/>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row>
    <row r="746">
      <c r="A746" s="37"/>
      <c r="B746" s="322"/>
      <c r="C746" s="144"/>
      <c r="D746" s="144"/>
      <c r="E746" s="37"/>
      <c r="F746" s="37"/>
      <c r="G746" s="37"/>
      <c r="H746" s="33" t="str">
        <f t="shared" si="33"/>
        <v/>
      </c>
      <c r="I746" s="37"/>
      <c r="J746" s="37"/>
      <c r="K746" s="37"/>
      <c r="L746" s="37"/>
      <c r="M746" s="177"/>
      <c r="N746" s="15"/>
      <c r="O746" s="37"/>
      <c r="P746" s="37"/>
      <c r="Q746" s="64"/>
      <c r="R746" s="16"/>
      <c r="S746" s="37" t="str">
        <f>IFERROR(__xludf.DUMMYFUNCTION("if(not(iserror(index(split(C746, "" ""),2))), index(split(C746, "" ""),1),"""")"),"")</f>
        <v/>
      </c>
      <c r="T746" s="315" t="str">
        <f>IFERROR(__xludf.DUMMYFUNCTION("if(S746="""",C746,if(not(iserror(index(split(C746, "" ""),3))), index(split(C746, "" ""),3),index(split(C746, "" ""),2)))"),"")</f>
        <v/>
      </c>
      <c r="U746" s="38" t="b">
        <f t="shared" si="34"/>
        <v>0</v>
      </c>
      <c r="V746" s="38"/>
      <c r="W746" s="40"/>
      <c r="X746" s="40"/>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row>
    <row r="747">
      <c r="A747" s="37"/>
      <c r="B747" s="322"/>
      <c r="C747" s="144"/>
      <c r="D747" s="144"/>
      <c r="E747" s="37"/>
      <c r="F747" s="37"/>
      <c r="G747" s="37"/>
      <c r="H747" s="33" t="str">
        <f t="shared" si="33"/>
        <v/>
      </c>
      <c r="I747" s="37"/>
      <c r="J747" s="37"/>
      <c r="K747" s="37"/>
      <c r="L747" s="37"/>
      <c r="M747" s="177"/>
      <c r="N747" s="15"/>
      <c r="O747" s="37"/>
      <c r="P747" s="37"/>
      <c r="Q747" s="64"/>
      <c r="R747" s="16"/>
      <c r="S747" s="37" t="str">
        <f>IFERROR(__xludf.DUMMYFUNCTION("if(not(iserror(index(split(C747, "" ""),2))), index(split(C747, "" ""),1),"""")"),"")</f>
        <v/>
      </c>
      <c r="T747" s="315" t="str">
        <f>IFERROR(__xludf.DUMMYFUNCTION("if(S747="""",C747,if(not(iserror(index(split(C747, "" ""),3))), index(split(C747, "" ""),3),index(split(C747, "" ""),2)))"),"")</f>
        <v/>
      </c>
      <c r="U747" s="38" t="b">
        <f t="shared" si="34"/>
        <v>0</v>
      </c>
      <c r="V747" s="38"/>
      <c r="W747" s="40"/>
      <c r="X747" s="40"/>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row>
    <row r="748">
      <c r="A748" s="37"/>
      <c r="B748" s="322"/>
      <c r="C748" s="144"/>
      <c r="D748" s="144"/>
      <c r="E748" s="37"/>
      <c r="F748" s="37"/>
      <c r="G748" s="37"/>
      <c r="H748" s="33" t="str">
        <f t="shared" si="33"/>
        <v/>
      </c>
      <c r="I748" s="37"/>
      <c r="J748" s="37"/>
      <c r="K748" s="37"/>
      <c r="L748" s="37"/>
      <c r="M748" s="177"/>
      <c r="N748" s="14"/>
      <c r="O748" s="16"/>
      <c r="P748" s="16"/>
      <c r="Q748" s="16"/>
      <c r="R748" s="16"/>
      <c r="S748" s="37" t="str">
        <f>IFERROR(__xludf.DUMMYFUNCTION("if(not(iserror(index(split(C748, "" ""),2))), index(split(C748, "" ""),1),"""")"),"")</f>
        <v/>
      </c>
      <c r="T748" s="315" t="str">
        <f>IFERROR(__xludf.DUMMYFUNCTION("if(S748="""",C748,if(not(iserror(index(split(C748, "" ""),3))), index(split(C748, "" ""),3),index(split(C748, "" ""),2)))"),"")</f>
        <v/>
      </c>
      <c r="U748" s="38" t="b">
        <f t="shared" si="34"/>
        <v>0</v>
      </c>
      <c r="V748" s="38"/>
      <c r="W748" s="40"/>
      <c r="X748" s="40"/>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row>
    <row r="749">
      <c r="A749" s="37"/>
      <c r="B749" s="322"/>
      <c r="C749" s="144"/>
      <c r="D749" s="144"/>
      <c r="E749" s="37"/>
      <c r="F749" s="37"/>
      <c r="G749" s="37"/>
      <c r="H749" s="33" t="str">
        <f t="shared" si="33"/>
        <v/>
      </c>
      <c r="I749" s="37"/>
      <c r="J749" s="37"/>
      <c r="K749" s="37"/>
      <c r="L749" s="37"/>
      <c r="M749" s="177"/>
      <c r="N749" s="15"/>
      <c r="O749" s="16"/>
      <c r="P749" s="16"/>
      <c r="Q749" s="16"/>
      <c r="R749" s="16"/>
      <c r="S749" s="37" t="str">
        <f>IFERROR(__xludf.DUMMYFUNCTION("if(not(iserror(index(split(C749, "" ""),2))), index(split(C749, "" ""),1),"""")"),"")</f>
        <v/>
      </c>
      <c r="T749" s="315" t="str">
        <f>IFERROR(__xludf.DUMMYFUNCTION("if(S749="""",C749,if(not(iserror(index(split(C749, "" ""),3))), index(split(C749, "" ""),3),index(split(C749, "" ""),2)))"),"")</f>
        <v/>
      </c>
      <c r="U749" s="38" t="b">
        <f t="shared" si="34"/>
        <v>0</v>
      </c>
      <c r="V749" s="38"/>
      <c r="W749" s="40"/>
      <c r="X749" s="40"/>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row>
    <row r="750">
      <c r="A750" s="37"/>
      <c r="B750" s="322"/>
      <c r="C750" s="144"/>
      <c r="D750" s="144"/>
      <c r="E750" s="37"/>
      <c r="F750" s="37"/>
      <c r="G750" s="37"/>
      <c r="H750" s="33" t="str">
        <f t="shared" si="33"/>
        <v/>
      </c>
      <c r="I750" s="37"/>
      <c r="J750" s="37"/>
      <c r="K750" s="37"/>
      <c r="L750" s="58"/>
      <c r="M750" s="177"/>
      <c r="N750" s="15"/>
      <c r="O750" s="37"/>
      <c r="P750" s="37"/>
      <c r="Q750" s="64"/>
      <c r="R750" s="16"/>
      <c r="S750" s="37" t="str">
        <f>IFERROR(__xludf.DUMMYFUNCTION("if(not(iserror(index(split(C750, "" ""),2))), index(split(C750, "" ""),1),"""")"),"")</f>
        <v/>
      </c>
      <c r="T750" s="315" t="str">
        <f>IFERROR(__xludf.DUMMYFUNCTION("if(S750="""",C750,if(not(iserror(index(split(C750, "" ""),3))), index(split(C750, "" ""),3),index(split(C750, "" ""),2)))"),"")</f>
        <v/>
      </c>
      <c r="U750" s="38" t="b">
        <f t="shared" si="34"/>
        <v>0</v>
      </c>
      <c r="V750" s="38"/>
      <c r="W750" s="40"/>
      <c r="X750" s="40"/>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row>
    <row r="751">
      <c r="A751" s="37"/>
      <c r="B751" s="322"/>
      <c r="C751" s="144"/>
      <c r="D751" s="144"/>
      <c r="E751" s="37"/>
      <c r="F751" s="37"/>
      <c r="G751" s="37"/>
      <c r="H751" s="33" t="str">
        <f t="shared" si="33"/>
        <v/>
      </c>
      <c r="I751" s="37"/>
      <c r="J751" s="37"/>
      <c r="K751" s="37"/>
      <c r="L751" s="58"/>
      <c r="M751" s="177"/>
      <c r="N751" s="15"/>
      <c r="O751" s="37"/>
      <c r="P751" s="37"/>
      <c r="Q751" s="64"/>
      <c r="R751" s="16"/>
      <c r="S751" s="37" t="str">
        <f>IFERROR(__xludf.DUMMYFUNCTION("if(not(iserror(index(split(C751, "" ""),2))), index(split(C751, "" ""),1),"""")"),"")</f>
        <v/>
      </c>
      <c r="T751" s="315" t="str">
        <f>IFERROR(__xludf.DUMMYFUNCTION("if(S751="""",C751,if(not(iserror(index(split(C751, "" ""),3))), index(split(C751, "" ""),3),index(split(C751, "" ""),2)))"),"")</f>
        <v/>
      </c>
      <c r="U751" s="38" t="b">
        <f t="shared" si="34"/>
        <v>0</v>
      </c>
      <c r="V751" s="38"/>
      <c r="W751" s="40"/>
      <c r="X751" s="40"/>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row>
    <row r="752">
      <c r="A752" s="37"/>
      <c r="B752" s="322"/>
      <c r="C752" s="144"/>
      <c r="D752" s="144"/>
      <c r="E752" s="37"/>
      <c r="F752" s="37"/>
      <c r="G752" s="37"/>
      <c r="H752" s="33" t="str">
        <f t="shared" si="33"/>
        <v/>
      </c>
      <c r="I752" s="37"/>
      <c r="J752" s="37"/>
      <c r="K752" s="37"/>
      <c r="L752" s="58"/>
      <c r="M752" s="177"/>
      <c r="N752" s="15"/>
      <c r="O752" s="37"/>
      <c r="P752" s="37"/>
      <c r="Q752" s="64"/>
      <c r="R752" s="16"/>
      <c r="S752" s="37" t="str">
        <f>IFERROR(__xludf.DUMMYFUNCTION("if(not(iserror(index(split(C752, "" ""),2))), index(split(C752, "" ""),1),"""")"),"")</f>
        <v/>
      </c>
      <c r="T752" s="315" t="str">
        <f>IFERROR(__xludf.DUMMYFUNCTION("if(S752="""",C752,if(not(iserror(index(split(C752, "" ""),3))), index(split(C752, "" ""),3),index(split(C752, "" ""),2)))"),"")</f>
        <v/>
      </c>
      <c r="U752" s="38" t="b">
        <f t="shared" si="34"/>
        <v>0</v>
      </c>
      <c r="V752" s="38"/>
      <c r="W752" s="40"/>
      <c r="X752" s="40"/>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row>
    <row r="753">
      <c r="A753" s="91"/>
      <c r="B753" s="380"/>
      <c r="C753" s="146"/>
      <c r="D753" s="146"/>
      <c r="E753" s="91"/>
      <c r="F753" s="91"/>
      <c r="G753" s="91"/>
      <c r="H753" s="33" t="str">
        <f t="shared" si="33"/>
        <v/>
      </c>
      <c r="I753" s="91"/>
      <c r="J753" s="91"/>
      <c r="K753" s="91"/>
      <c r="L753" s="91"/>
      <c r="M753" s="14"/>
      <c r="N753" s="95"/>
      <c r="Q753" s="37"/>
      <c r="R753" s="16"/>
      <c r="S753" s="37" t="str">
        <f>IFERROR(__xludf.DUMMYFUNCTION("if(not(iserror(index(split(C753, "" ""),2))), index(split(C753, "" ""),1),"""")"),"")</f>
        <v/>
      </c>
      <c r="T753" s="315" t="str">
        <f>IFERROR(__xludf.DUMMYFUNCTION("if(S753="""",C753,if(not(iserror(index(split(C753, "" ""),3))), index(split(C753, "" ""),3),index(split(C753, "" ""),2)))"),"")</f>
        <v/>
      </c>
      <c r="U753" s="38" t="b">
        <f t="shared" si="34"/>
        <v>0</v>
      </c>
      <c r="V753" s="38"/>
      <c r="W753" s="40"/>
      <c r="X753" s="40"/>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row>
    <row r="754">
      <c r="A754" s="37"/>
      <c r="B754" s="322"/>
      <c r="C754" s="144"/>
      <c r="D754" s="144"/>
      <c r="E754" s="37"/>
      <c r="F754" s="37"/>
      <c r="G754" s="37"/>
      <c r="H754" s="33" t="str">
        <f t="shared" si="33"/>
        <v/>
      </c>
      <c r="I754" s="37"/>
      <c r="J754" s="37"/>
      <c r="K754" s="37"/>
      <c r="L754" s="37"/>
      <c r="M754" s="177"/>
      <c r="N754" s="14"/>
      <c r="O754" s="37"/>
      <c r="P754" s="37"/>
      <c r="Q754" s="64"/>
      <c r="R754" s="16"/>
      <c r="S754" s="37" t="str">
        <f>IFERROR(__xludf.DUMMYFUNCTION("if(not(iserror(index(split(C754, "" ""),2))), index(split(C754, "" ""),1),"""")"),"")</f>
        <v/>
      </c>
      <c r="T754" s="315" t="str">
        <f>IFERROR(__xludf.DUMMYFUNCTION("if(S754="""",C754,if(not(iserror(index(split(C754, "" ""),3))), index(split(C754, "" ""),3),index(split(C754, "" ""),2)))"),"")</f>
        <v/>
      </c>
      <c r="U754" s="38" t="b">
        <f t="shared" si="34"/>
        <v>0</v>
      </c>
      <c r="V754" s="38"/>
      <c r="W754" s="40"/>
      <c r="X754" s="40"/>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row>
    <row r="755">
      <c r="A755" s="285"/>
      <c r="B755" s="378"/>
      <c r="C755" s="379"/>
      <c r="D755" s="379"/>
      <c r="E755" s="285"/>
      <c r="F755" s="285"/>
      <c r="G755" s="285"/>
      <c r="H755" s="33" t="str">
        <f t="shared" si="33"/>
        <v/>
      </c>
      <c r="I755" s="285"/>
      <c r="J755" s="285"/>
      <c r="K755" s="285"/>
      <c r="L755" s="285"/>
      <c r="M755" s="288"/>
      <c r="N755" s="15"/>
      <c r="O755" s="37"/>
      <c r="P755" s="37"/>
      <c r="Q755" s="64"/>
      <c r="R755" s="16"/>
      <c r="S755" s="37" t="str">
        <f>IFERROR(__xludf.DUMMYFUNCTION("if(not(iserror(index(split(C755, "" ""),2))), index(split(C755, "" ""),1),"""")"),"")</f>
        <v/>
      </c>
      <c r="T755" s="315" t="str">
        <f>IFERROR(__xludf.DUMMYFUNCTION("if(S755="""",C755,if(not(iserror(index(split(C755, "" ""),3))), index(split(C755, "" ""),3),index(split(C755, "" ""),2)))"),"")</f>
        <v/>
      </c>
      <c r="U755" s="38" t="b">
        <f t="shared" si="34"/>
        <v>0</v>
      </c>
      <c r="V755" s="38"/>
      <c r="W755" s="40"/>
      <c r="X755" s="40"/>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row>
    <row r="756">
      <c r="A756" s="37"/>
      <c r="B756" s="322"/>
      <c r="C756" s="144"/>
      <c r="D756" s="144"/>
      <c r="E756" s="37"/>
      <c r="F756" s="37"/>
      <c r="G756" s="37"/>
      <c r="H756" s="33" t="str">
        <f t="shared" si="33"/>
        <v/>
      </c>
      <c r="I756" s="37"/>
      <c r="J756" s="37"/>
      <c r="K756" s="37"/>
      <c r="L756" s="37"/>
      <c r="M756" s="177"/>
      <c r="N756" s="15"/>
      <c r="O756" s="37"/>
      <c r="P756" s="16"/>
      <c r="Q756" s="64"/>
      <c r="R756" s="16"/>
      <c r="S756" s="37" t="str">
        <f>IFERROR(__xludf.DUMMYFUNCTION("if(not(iserror(index(split(C756, "" ""),2))), index(split(C756, "" ""),1),"""")"),"")</f>
        <v/>
      </c>
      <c r="T756" s="315" t="str">
        <f>IFERROR(__xludf.DUMMYFUNCTION("if(S756="""",C756,if(not(iserror(index(split(C756, "" ""),3))), index(split(C756, "" ""),3),index(split(C756, "" ""),2)))"),"")</f>
        <v/>
      </c>
      <c r="U756" s="38" t="b">
        <f t="shared" si="34"/>
        <v>0</v>
      </c>
      <c r="V756" s="38"/>
      <c r="W756" s="40"/>
      <c r="X756" s="40"/>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row>
    <row r="757">
      <c r="A757" s="37"/>
      <c r="B757" s="322"/>
      <c r="C757" s="144"/>
      <c r="D757" s="144"/>
      <c r="E757" s="37"/>
      <c r="F757" s="37"/>
      <c r="G757" s="37"/>
      <c r="H757" s="33" t="str">
        <f t="shared" si="33"/>
        <v/>
      </c>
      <c r="I757" s="37"/>
      <c r="J757" s="37"/>
      <c r="K757" s="37"/>
      <c r="L757" s="37"/>
      <c r="M757" s="177"/>
      <c r="N757" s="15"/>
      <c r="O757" s="37"/>
      <c r="P757" s="16"/>
      <c r="Q757" s="64"/>
      <c r="R757" s="16"/>
      <c r="S757" s="37" t="str">
        <f>IFERROR(__xludf.DUMMYFUNCTION("if(not(iserror(index(split(C757, "" ""),2))), index(split(C757, "" ""),1),"""")"),"")</f>
        <v/>
      </c>
      <c r="T757" s="315" t="str">
        <f>IFERROR(__xludf.DUMMYFUNCTION("if(S757="""",C757,if(not(iserror(index(split(C757, "" ""),3))), index(split(C757, "" ""),3),index(split(C757, "" ""),2)))"),"")</f>
        <v/>
      </c>
      <c r="U757" s="38" t="b">
        <f t="shared" si="34"/>
        <v>0</v>
      </c>
      <c r="V757" s="38"/>
      <c r="W757" s="40"/>
      <c r="X757" s="40"/>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row>
    <row r="758">
      <c r="A758" s="37"/>
      <c r="B758" s="322"/>
      <c r="C758" s="144"/>
      <c r="D758" s="379"/>
      <c r="E758" s="37"/>
      <c r="F758" s="37"/>
      <c r="G758" s="37"/>
      <c r="H758" s="33" t="str">
        <f t="shared" si="33"/>
        <v/>
      </c>
      <c r="I758" s="37"/>
      <c r="J758" s="37"/>
      <c r="K758" s="37"/>
      <c r="L758" s="37"/>
      <c r="M758" s="177"/>
      <c r="N758" s="15"/>
      <c r="O758" s="16"/>
      <c r="P758" s="16"/>
      <c r="Q758" s="16"/>
      <c r="R758" s="16"/>
      <c r="S758" s="37" t="str">
        <f>IFERROR(__xludf.DUMMYFUNCTION("if(not(iserror(index(split(C758, "" ""),2))), index(split(C758, "" ""),1),"""")"),"")</f>
        <v/>
      </c>
      <c r="T758" s="315" t="str">
        <f>IFERROR(__xludf.DUMMYFUNCTION("if(S758="""",C758,if(not(iserror(index(split(C758, "" ""),3))), index(split(C758, "" ""),3),index(split(C758, "" ""),2)))"),"")</f>
        <v/>
      </c>
      <c r="U758" s="38" t="b">
        <f t="shared" si="34"/>
        <v>0</v>
      </c>
      <c r="V758" s="38"/>
      <c r="W758" s="40"/>
      <c r="X758" s="40"/>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row>
    <row r="759">
      <c r="A759" s="37"/>
      <c r="B759" s="322"/>
      <c r="C759" s="144"/>
      <c r="D759" s="144"/>
      <c r="E759" s="37"/>
      <c r="F759" s="37"/>
      <c r="G759" s="37"/>
      <c r="H759" s="33" t="str">
        <f t="shared" si="33"/>
        <v/>
      </c>
      <c r="I759" s="37"/>
      <c r="J759" s="37"/>
      <c r="K759" s="37"/>
      <c r="L759" s="37"/>
      <c r="M759" s="374"/>
      <c r="N759" s="15"/>
      <c r="O759" s="16"/>
      <c r="P759" s="16"/>
      <c r="Q759" s="16"/>
      <c r="R759" s="16"/>
      <c r="S759" s="37" t="str">
        <f>IFERROR(__xludf.DUMMYFUNCTION("if(not(iserror(index(split(C759, "" ""),2))), index(split(C759, "" ""),1),"""")"),"")</f>
        <v/>
      </c>
      <c r="T759" s="315" t="str">
        <f>IFERROR(__xludf.DUMMYFUNCTION("if(S759="""",C759,if(not(iserror(index(split(C759, "" ""),3))), index(split(C759, "" ""),3),index(split(C759, "" ""),2)))"),"")</f>
        <v/>
      </c>
      <c r="U759" s="38" t="b">
        <f t="shared" si="34"/>
        <v>0</v>
      </c>
      <c r="V759" s="38"/>
      <c r="W759" s="40"/>
      <c r="X759" s="40"/>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row>
    <row r="760">
      <c r="A760" s="37"/>
      <c r="B760" s="159"/>
      <c r="C760" s="144"/>
      <c r="D760" s="144"/>
      <c r="E760" s="37"/>
      <c r="F760" s="37"/>
      <c r="G760" s="37"/>
      <c r="H760" s="33" t="str">
        <f t="shared" si="33"/>
        <v/>
      </c>
      <c r="I760" s="37"/>
      <c r="J760" s="37"/>
      <c r="K760" s="37"/>
      <c r="L760" s="37"/>
      <c r="M760" s="374"/>
      <c r="N760" s="15"/>
      <c r="O760" s="16"/>
      <c r="P760" s="16"/>
      <c r="Q760" s="16"/>
      <c r="R760" s="16"/>
      <c r="S760" s="37" t="str">
        <f>IFERROR(__xludf.DUMMYFUNCTION("if(not(iserror(index(split(C760, "" ""),2))), index(split(C760, "" ""),1),"""")"),"")</f>
        <v/>
      </c>
      <c r="T760" s="315" t="str">
        <f>IFERROR(__xludf.DUMMYFUNCTION("if(S760="""",C760,if(not(iserror(index(split(C760, "" ""),3))), index(split(C760, "" ""),3),index(split(C760, "" ""),2)))"),"")</f>
        <v/>
      </c>
      <c r="U760" s="38" t="b">
        <f t="shared" si="34"/>
        <v>0</v>
      </c>
      <c r="V760" s="38"/>
      <c r="W760" s="40"/>
      <c r="X760" s="40"/>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row>
    <row r="761">
      <c r="A761" s="37"/>
      <c r="B761" s="322"/>
      <c r="C761" s="144"/>
      <c r="D761" s="144"/>
      <c r="E761" s="37"/>
      <c r="F761" s="37"/>
      <c r="G761" s="37"/>
      <c r="H761" s="33" t="str">
        <f t="shared" si="33"/>
        <v/>
      </c>
      <c r="I761" s="37"/>
      <c r="J761" s="37"/>
      <c r="K761" s="37"/>
      <c r="L761" s="37"/>
      <c r="M761" s="374"/>
      <c r="N761" s="15"/>
      <c r="O761" s="16"/>
      <c r="P761" s="16"/>
      <c r="Q761" s="16"/>
      <c r="R761" s="16"/>
      <c r="S761" s="37" t="str">
        <f>IFERROR(__xludf.DUMMYFUNCTION("if(not(iserror(index(split(C761, "" ""),2))), index(split(C761, "" ""),1),"""")"),"")</f>
        <v/>
      </c>
      <c r="T761" s="315" t="str">
        <f>IFERROR(__xludf.DUMMYFUNCTION("if(S761="""",C761,if(not(iserror(index(split(C761, "" ""),3))), index(split(C761, "" ""),3),index(split(C761, "" ""),2)))"),"")</f>
        <v/>
      </c>
      <c r="U761" s="38" t="b">
        <f t="shared" si="34"/>
        <v>0</v>
      </c>
      <c r="V761" s="38"/>
      <c r="W761" s="40"/>
      <c r="X761" s="40"/>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row>
    <row r="762">
      <c r="A762" s="37"/>
      <c r="B762" s="322"/>
      <c r="C762" s="144"/>
      <c r="D762" s="144"/>
      <c r="E762" s="37"/>
      <c r="F762" s="37"/>
      <c r="G762" s="37"/>
      <c r="H762" s="33" t="str">
        <f t="shared" si="33"/>
        <v/>
      </c>
      <c r="I762" s="37"/>
      <c r="J762" s="37"/>
      <c r="K762" s="37"/>
      <c r="L762" s="37"/>
      <c r="M762" s="374"/>
      <c r="N762" s="15"/>
      <c r="O762" s="16"/>
      <c r="P762" s="16"/>
      <c r="Q762" s="16"/>
      <c r="R762" s="16"/>
      <c r="S762" s="37" t="str">
        <f>IFERROR(__xludf.DUMMYFUNCTION("if(not(iserror(index(split(C762, "" ""),2))), index(split(C762, "" ""),1),"""")"),"")</f>
        <v/>
      </c>
      <c r="T762" s="315" t="str">
        <f>IFERROR(__xludf.DUMMYFUNCTION("if(S762="""",C762,if(not(iserror(index(split(C762, "" ""),3))), index(split(C762, "" ""),3),index(split(C762, "" ""),2)))"),"")</f>
        <v/>
      </c>
      <c r="U762" s="38" t="b">
        <f t="shared" si="34"/>
        <v>0</v>
      </c>
      <c r="V762" s="38"/>
      <c r="W762" s="40"/>
      <c r="X762" s="40"/>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row>
    <row r="763">
      <c r="A763" s="37"/>
      <c r="B763" s="322"/>
      <c r="C763" s="144"/>
      <c r="D763" s="144"/>
      <c r="E763" s="37"/>
      <c r="F763" s="37"/>
      <c r="G763" s="37"/>
      <c r="H763" s="33" t="str">
        <f t="shared" si="33"/>
        <v/>
      </c>
      <c r="I763" s="37"/>
      <c r="J763" s="37"/>
      <c r="K763" s="37"/>
      <c r="L763" s="37"/>
      <c r="M763" s="374"/>
      <c r="N763" s="15"/>
      <c r="O763" s="37"/>
      <c r="P763" s="16"/>
      <c r="Q763" s="64"/>
      <c r="R763" s="16"/>
      <c r="S763" s="37" t="str">
        <f>IFERROR(__xludf.DUMMYFUNCTION("if(not(iserror(index(split(C763, "" ""),2))), index(split(C763, "" ""),1),"""")"),"")</f>
        <v/>
      </c>
      <c r="T763" s="315" t="str">
        <f>IFERROR(__xludf.DUMMYFUNCTION("if(S763="""",C763,if(not(iserror(index(split(C763, "" ""),3))), index(split(C763, "" ""),3),index(split(C763, "" ""),2)))"),"")</f>
        <v/>
      </c>
      <c r="U763" s="38" t="b">
        <f t="shared" si="34"/>
        <v>0</v>
      </c>
      <c r="V763" s="38"/>
      <c r="W763" s="40"/>
      <c r="X763" s="40"/>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row>
    <row r="764">
      <c r="A764" s="90"/>
      <c r="B764" s="322"/>
      <c r="C764" s="144"/>
      <c r="D764" s="144"/>
      <c r="E764" s="37"/>
      <c r="F764" s="37"/>
      <c r="G764" s="37"/>
      <c r="H764" s="33" t="str">
        <f t="shared" si="33"/>
        <v/>
      </c>
      <c r="I764" s="37"/>
      <c r="J764" s="37"/>
      <c r="K764" s="37"/>
      <c r="L764" s="37"/>
      <c r="M764" s="374"/>
      <c r="N764" s="15"/>
      <c r="O764" s="37"/>
      <c r="P764" s="16"/>
      <c r="Q764" s="64"/>
      <c r="R764" s="16"/>
      <c r="S764" s="37" t="str">
        <f>IFERROR(__xludf.DUMMYFUNCTION("if(not(iserror(index(split(C764, "" ""),2))), index(split(C764, "" ""),1),"""")"),"")</f>
        <v/>
      </c>
      <c r="T764" s="315" t="str">
        <f>IFERROR(__xludf.DUMMYFUNCTION("if(S764="""",C764,if(not(iserror(index(split(C764, "" ""),3))), index(split(C764, "" ""),3),index(split(C764, "" ""),2)))"),"")</f>
        <v/>
      </c>
      <c r="U764" s="38" t="b">
        <f t="shared" si="34"/>
        <v>0</v>
      </c>
      <c r="V764" s="38"/>
      <c r="W764" s="40"/>
      <c r="X764" s="40"/>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row>
    <row r="765">
      <c r="A765" s="90"/>
      <c r="B765" s="322"/>
      <c r="C765" s="144"/>
      <c r="D765" s="144"/>
      <c r="E765" s="37"/>
      <c r="F765" s="37"/>
      <c r="G765" s="37"/>
      <c r="H765" s="33" t="str">
        <f t="shared" si="33"/>
        <v/>
      </c>
      <c r="I765" s="37"/>
      <c r="J765" s="37"/>
      <c r="K765" s="37"/>
      <c r="L765" s="37"/>
      <c r="M765" s="374"/>
      <c r="N765" s="15"/>
      <c r="O765" s="37"/>
      <c r="P765" s="16"/>
      <c r="Q765" s="64"/>
      <c r="R765" s="16"/>
      <c r="S765" s="37" t="str">
        <f>IFERROR(__xludf.DUMMYFUNCTION("if(not(iserror(index(split(C765, "" ""),2))), index(split(C765, "" ""),1),"""")"),"")</f>
        <v/>
      </c>
      <c r="T765" s="315" t="str">
        <f>IFERROR(__xludf.DUMMYFUNCTION("if(S765="""",C765,if(not(iserror(index(split(C765, "" ""),3))), index(split(C765, "" ""),3),index(split(C765, "" ""),2)))"),"")</f>
        <v/>
      </c>
      <c r="U765" s="38" t="b">
        <f t="shared" si="34"/>
        <v>0</v>
      </c>
      <c r="V765" s="38"/>
      <c r="W765" s="40"/>
      <c r="X765" s="40"/>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row>
    <row r="766">
      <c r="A766" s="37"/>
      <c r="B766" s="322"/>
      <c r="C766" s="144"/>
      <c r="D766" s="144"/>
      <c r="E766" s="37"/>
      <c r="F766" s="37"/>
      <c r="G766" s="37"/>
      <c r="H766" s="33" t="str">
        <f t="shared" si="33"/>
        <v/>
      </c>
      <c r="I766" s="37"/>
      <c r="J766" s="37"/>
      <c r="K766" s="37"/>
      <c r="L766" s="37"/>
      <c r="M766" s="374"/>
      <c r="N766" s="15"/>
      <c r="O766" s="37"/>
      <c r="P766" s="16"/>
      <c r="Q766" s="64"/>
      <c r="R766" s="16"/>
      <c r="S766" s="37" t="str">
        <f>IFERROR(__xludf.DUMMYFUNCTION("if(not(iserror(index(split(C766, "" ""),2))), index(split(C766, "" ""),1),"""")"),"")</f>
        <v/>
      </c>
      <c r="T766" s="315" t="str">
        <f>IFERROR(__xludf.DUMMYFUNCTION("if(S766="""",C766,if(not(iserror(index(split(C766, "" ""),3))), index(split(C766, "" ""),3),index(split(C766, "" ""),2)))"),"")</f>
        <v/>
      </c>
      <c r="U766" s="38" t="b">
        <f t="shared" si="34"/>
        <v>0</v>
      </c>
      <c r="V766" s="38"/>
      <c r="W766" s="40"/>
      <c r="X766" s="40"/>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row>
    <row r="767">
      <c r="A767" s="37"/>
      <c r="B767" s="322"/>
      <c r="C767" s="144"/>
      <c r="D767" s="144"/>
      <c r="E767" s="37"/>
      <c r="F767" s="37"/>
      <c r="G767" s="37"/>
      <c r="H767" s="33" t="str">
        <f t="shared" si="33"/>
        <v/>
      </c>
      <c r="I767" s="37"/>
      <c r="J767" s="37"/>
      <c r="K767" s="37"/>
      <c r="L767" s="37"/>
      <c r="M767" s="374"/>
      <c r="N767" s="15"/>
      <c r="O767" s="16"/>
      <c r="P767" s="16"/>
      <c r="Q767" s="16"/>
      <c r="R767" s="16"/>
      <c r="S767" s="37" t="str">
        <f>IFERROR(__xludf.DUMMYFUNCTION("if(not(iserror(index(split(C767, "" ""),2))), index(split(C767, "" ""),1),"""")"),"")</f>
        <v/>
      </c>
      <c r="T767" s="315" t="str">
        <f>IFERROR(__xludf.DUMMYFUNCTION("if(S767="""",C767,if(not(iserror(index(split(C767, "" ""),3))), index(split(C767, "" ""),3),index(split(C767, "" ""),2)))"),"")</f>
        <v/>
      </c>
      <c r="U767" s="38" t="b">
        <f t="shared" si="34"/>
        <v>0</v>
      </c>
      <c r="V767" s="38"/>
      <c r="W767" s="40"/>
      <c r="X767" s="40"/>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row>
    <row r="768">
      <c r="A768" s="37"/>
      <c r="B768" s="322"/>
      <c r="C768" s="144"/>
      <c r="D768" s="144"/>
      <c r="E768" s="37"/>
      <c r="F768" s="37"/>
      <c r="G768" s="37"/>
      <c r="H768" s="33" t="str">
        <f t="shared" si="33"/>
        <v/>
      </c>
      <c r="I768" s="37"/>
      <c r="J768" s="37"/>
      <c r="K768" s="37"/>
      <c r="L768" s="37"/>
      <c r="M768" s="374"/>
      <c r="N768" s="15"/>
      <c r="O768" s="16"/>
      <c r="P768" s="16"/>
      <c r="Q768" s="16"/>
      <c r="R768" s="16"/>
      <c r="S768" s="37" t="str">
        <f>IFERROR(__xludf.DUMMYFUNCTION("if(not(iserror(index(split(C768, "" ""),2))), index(split(C768, "" ""),1),"""")"),"")</f>
        <v/>
      </c>
      <c r="T768" s="315" t="str">
        <f>IFERROR(__xludf.DUMMYFUNCTION("if(S768="""",C768,if(not(iserror(index(split(C768, "" ""),3))), index(split(C768, "" ""),3),index(split(C768, "" ""),2)))"),"")</f>
        <v/>
      </c>
      <c r="U768" s="38" t="b">
        <f t="shared" si="34"/>
        <v>0</v>
      </c>
      <c r="V768" s="38"/>
      <c r="W768" s="40"/>
      <c r="X768" s="40"/>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row>
    <row r="769">
      <c r="A769" s="37"/>
      <c r="B769" s="322"/>
      <c r="C769" s="144"/>
      <c r="D769" s="144"/>
      <c r="E769" s="37"/>
      <c r="F769" s="37"/>
      <c r="G769" s="37"/>
      <c r="H769" s="33" t="str">
        <f t="shared" si="33"/>
        <v/>
      </c>
      <c r="I769" s="37"/>
      <c r="J769" s="37"/>
      <c r="K769" s="37"/>
      <c r="L769" s="37"/>
      <c r="M769" s="374"/>
      <c r="N769" s="15"/>
      <c r="O769" s="37"/>
      <c r="P769" s="37"/>
      <c r="Q769" s="64"/>
      <c r="R769" s="16"/>
      <c r="S769" s="37" t="str">
        <f>IFERROR(__xludf.DUMMYFUNCTION("if(not(iserror(index(split(C769, "" ""),2))), index(split(C769, "" ""),1),"""")"),"")</f>
        <v/>
      </c>
      <c r="T769" s="315" t="str">
        <f>IFERROR(__xludf.DUMMYFUNCTION("if(S769="""",C769,if(not(iserror(index(split(C769, "" ""),3))), index(split(C769, "" ""),3),index(split(C769, "" ""),2)))"),"")</f>
        <v/>
      </c>
      <c r="U769" s="38" t="b">
        <f t="shared" si="34"/>
        <v>0</v>
      </c>
      <c r="V769" s="38"/>
      <c r="W769" s="40"/>
      <c r="X769" s="40"/>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row>
    <row r="770">
      <c r="A770" s="37"/>
      <c r="B770" s="322"/>
      <c r="C770" s="144"/>
      <c r="D770" s="144"/>
      <c r="E770" s="37"/>
      <c r="F770" s="37"/>
      <c r="G770" s="37"/>
      <c r="H770" s="33" t="str">
        <f t="shared" si="33"/>
        <v/>
      </c>
      <c r="I770" s="37"/>
      <c r="J770" s="37"/>
      <c r="K770" s="37"/>
      <c r="L770" s="37"/>
      <c r="M770" s="374"/>
      <c r="N770" s="15"/>
      <c r="O770" s="37"/>
      <c r="P770" s="37"/>
      <c r="Q770" s="64"/>
      <c r="R770" s="16"/>
      <c r="S770" s="37" t="str">
        <f>IFERROR(__xludf.DUMMYFUNCTION("if(not(iserror(index(split(C770, "" ""),2))), index(split(C770, "" ""),1),"""")"),"")</f>
        <v/>
      </c>
      <c r="T770" s="315" t="str">
        <f>IFERROR(__xludf.DUMMYFUNCTION("if(S770="""",C770,if(not(iserror(index(split(C770, "" ""),3))), index(split(C770, "" ""),3),index(split(C770, "" ""),2)))"),"")</f>
        <v/>
      </c>
      <c r="U770" s="38" t="b">
        <f t="shared" si="34"/>
        <v>0</v>
      </c>
      <c r="V770" s="38"/>
      <c r="W770" s="40"/>
      <c r="X770" s="40"/>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row>
    <row r="771">
      <c r="A771" s="37"/>
      <c r="B771" s="322"/>
      <c r="C771" s="144"/>
      <c r="D771" s="144"/>
      <c r="E771" s="37"/>
      <c r="F771" s="37"/>
      <c r="G771" s="37"/>
      <c r="H771" s="33" t="str">
        <f t="shared" si="33"/>
        <v/>
      </c>
      <c r="I771" s="37"/>
      <c r="J771" s="37"/>
      <c r="K771" s="37"/>
      <c r="L771" s="37"/>
      <c r="M771" s="374"/>
      <c r="N771" s="15"/>
      <c r="O771" s="37"/>
      <c r="P771" s="37"/>
      <c r="Q771" s="64"/>
      <c r="R771" s="16"/>
      <c r="S771" s="37" t="str">
        <f>IFERROR(__xludf.DUMMYFUNCTION("if(not(iserror(index(split(C771, "" ""),2))), index(split(C771, "" ""),1),"""")"),"")</f>
        <v/>
      </c>
      <c r="T771" s="315" t="str">
        <f>IFERROR(__xludf.DUMMYFUNCTION("if(S771="""",C771,if(not(iserror(index(split(C771, "" ""),3))), index(split(C771, "" ""),3),index(split(C771, "" ""),2)))"),"")</f>
        <v/>
      </c>
      <c r="U771" s="38" t="b">
        <f t="shared" si="34"/>
        <v>0</v>
      </c>
      <c r="V771" s="38"/>
      <c r="W771" s="40"/>
      <c r="X771" s="40"/>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row>
    <row r="772">
      <c r="A772" s="37"/>
      <c r="B772" s="322"/>
      <c r="C772" s="144"/>
      <c r="D772" s="144"/>
      <c r="E772" s="37"/>
      <c r="F772" s="37"/>
      <c r="G772" s="37"/>
      <c r="H772" s="33" t="str">
        <f t="shared" si="33"/>
        <v/>
      </c>
      <c r="I772" s="37"/>
      <c r="J772" s="37"/>
      <c r="K772" s="37"/>
      <c r="L772" s="37"/>
      <c r="M772" s="374"/>
      <c r="N772" s="15"/>
      <c r="O772" s="37"/>
      <c r="P772" s="37"/>
      <c r="Q772" s="64"/>
      <c r="R772" s="16"/>
      <c r="S772" s="37" t="str">
        <f>IFERROR(__xludf.DUMMYFUNCTION("if(not(iserror(index(split(C772, "" ""),2))), index(split(C772, "" ""),1),"""")"),"")</f>
        <v/>
      </c>
      <c r="T772" s="315" t="str">
        <f>IFERROR(__xludf.DUMMYFUNCTION("if(S772="""",C772,if(not(iserror(index(split(C772, "" ""),3))), index(split(C772, "" ""),3),index(split(C772, "" ""),2)))"),"")</f>
        <v/>
      </c>
      <c r="U772" s="38" t="b">
        <f t="shared" si="34"/>
        <v>0</v>
      </c>
      <c r="V772" s="38"/>
      <c r="W772" s="40"/>
      <c r="X772" s="40"/>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row>
    <row r="773">
      <c r="A773" s="37"/>
      <c r="B773" s="322"/>
      <c r="C773" s="144"/>
      <c r="D773" s="144"/>
      <c r="E773" s="37"/>
      <c r="F773" s="37"/>
      <c r="G773" s="37"/>
      <c r="H773" s="33" t="str">
        <f t="shared" si="33"/>
        <v/>
      </c>
      <c r="I773" s="37"/>
      <c r="J773" s="37"/>
      <c r="K773" s="37"/>
      <c r="L773" s="37"/>
      <c r="M773" s="374"/>
      <c r="N773" s="15"/>
      <c r="O773" s="37"/>
      <c r="P773" s="37"/>
      <c r="Q773" s="37"/>
      <c r="R773" s="16"/>
      <c r="S773" s="37" t="str">
        <f>IFERROR(__xludf.DUMMYFUNCTION("if(not(iserror(index(split(C773, "" ""),2))), index(split(C773, "" ""),1),"""")"),"")</f>
        <v/>
      </c>
      <c r="T773" s="315" t="str">
        <f>IFERROR(__xludf.DUMMYFUNCTION("if(S773="""",C773,if(not(iserror(index(split(C773, "" ""),3))), index(split(C773, "" ""),3),index(split(C773, "" ""),2)))"),"")</f>
        <v/>
      </c>
      <c r="U773" s="38" t="b">
        <f t="shared" si="34"/>
        <v>0</v>
      </c>
      <c r="V773" s="38"/>
      <c r="W773" s="40"/>
      <c r="X773" s="40"/>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row>
    <row r="774">
      <c r="A774" s="37"/>
      <c r="B774" s="322"/>
      <c r="C774" s="144"/>
      <c r="D774" s="144"/>
      <c r="E774" s="37"/>
      <c r="F774" s="37"/>
      <c r="G774" s="37"/>
      <c r="H774" s="33" t="str">
        <f t="shared" si="33"/>
        <v/>
      </c>
      <c r="I774" s="37"/>
      <c r="J774" s="37"/>
      <c r="K774" s="37"/>
      <c r="L774" s="37"/>
      <c r="M774" s="374"/>
      <c r="N774" s="15"/>
      <c r="O774" s="16"/>
      <c r="P774" s="16"/>
      <c r="Q774" s="16"/>
      <c r="R774" s="16"/>
      <c r="S774" s="37" t="str">
        <f>IFERROR(__xludf.DUMMYFUNCTION("if(not(iserror(index(split(C774, "" ""),2))), index(split(C774, "" ""),1),"""")"),"")</f>
        <v/>
      </c>
      <c r="T774" s="315" t="str">
        <f>IFERROR(__xludf.DUMMYFUNCTION("if(S774="""",C774,if(not(iserror(index(split(C774, "" ""),3))), index(split(C774, "" ""),3),index(split(C774, "" ""),2)))"),"")</f>
        <v/>
      </c>
      <c r="U774" s="38" t="b">
        <f t="shared" si="34"/>
        <v>0</v>
      </c>
      <c r="V774" s="38"/>
      <c r="W774" s="40"/>
      <c r="X774" s="40"/>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row>
    <row r="775">
      <c r="A775" s="37"/>
      <c r="B775" s="322"/>
      <c r="C775" s="144"/>
      <c r="D775" s="144"/>
      <c r="E775" s="37"/>
      <c r="F775" s="37"/>
      <c r="G775" s="37"/>
      <c r="H775" s="33" t="str">
        <f t="shared" si="33"/>
        <v/>
      </c>
      <c r="I775" s="37"/>
      <c r="J775" s="37"/>
      <c r="K775" s="37"/>
      <c r="L775" s="37"/>
      <c r="M775" s="374"/>
      <c r="N775" s="15"/>
      <c r="O775" s="37"/>
      <c r="P775" s="37"/>
      <c r="Q775" s="64"/>
      <c r="R775" s="16"/>
      <c r="S775" s="37" t="str">
        <f>IFERROR(__xludf.DUMMYFUNCTION("if(not(iserror(index(split(C775, "" ""),2))), index(split(C775, "" ""),1),"""")"),"")</f>
        <v/>
      </c>
      <c r="T775" s="315" t="str">
        <f>IFERROR(__xludf.DUMMYFUNCTION("if(S775="""",C775,if(not(iserror(index(split(C775, "" ""),3))), index(split(C775, "" ""),3),index(split(C775, "" ""),2)))"),"")</f>
        <v/>
      </c>
      <c r="U775" s="38" t="b">
        <f t="shared" si="34"/>
        <v>0</v>
      </c>
      <c r="V775" s="38"/>
      <c r="W775" s="40"/>
      <c r="X775" s="40"/>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row>
    <row r="776">
      <c r="A776" s="37"/>
      <c r="B776" s="322"/>
      <c r="C776" s="144"/>
      <c r="D776" s="144"/>
      <c r="E776" s="37"/>
      <c r="F776" s="37"/>
      <c r="G776" s="37"/>
      <c r="H776" s="33" t="str">
        <f t="shared" si="33"/>
        <v/>
      </c>
      <c r="I776" s="37"/>
      <c r="J776" s="37"/>
      <c r="K776" s="37"/>
      <c r="L776" s="37"/>
      <c r="M776" s="374"/>
      <c r="N776" s="15"/>
      <c r="O776" s="37"/>
      <c r="P776" s="37"/>
      <c r="Q776" s="64"/>
      <c r="R776" s="16"/>
      <c r="S776" s="37" t="str">
        <f>IFERROR(__xludf.DUMMYFUNCTION("if(not(iserror(index(split(C776, "" ""),2))), index(split(C776, "" ""),1),"""")"),"")</f>
        <v/>
      </c>
      <c r="T776" s="315" t="str">
        <f>IFERROR(__xludf.DUMMYFUNCTION("if(S776="""",C776,if(not(iserror(index(split(C776, "" ""),3))), index(split(C776, "" ""),3),index(split(C776, "" ""),2)))"),"")</f>
        <v/>
      </c>
      <c r="U776" s="38" t="b">
        <f t="shared" si="34"/>
        <v>0</v>
      </c>
      <c r="V776" s="38"/>
      <c r="W776" s="40"/>
      <c r="X776" s="40"/>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row>
    <row r="777">
      <c r="A777" s="178"/>
      <c r="B777" s="322"/>
      <c r="C777" s="144"/>
      <c r="D777" s="144"/>
      <c r="E777" s="37"/>
      <c r="F777" s="37"/>
      <c r="G777" s="37"/>
      <c r="H777" s="33" t="str">
        <f t="shared" si="33"/>
        <v/>
      </c>
      <c r="I777" s="37"/>
      <c r="J777" s="37"/>
      <c r="K777" s="37"/>
      <c r="L777" s="37"/>
      <c r="M777" s="106"/>
      <c r="N777" s="106"/>
      <c r="O777" s="37"/>
      <c r="P777" s="37"/>
      <c r="Q777" s="64"/>
      <c r="R777" s="16"/>
      <c r="S777" s="37" t="str">
        <f>IFERROR(__xludf.DUMMYFUNCTION("if(not(iserror(index(split(C777, "" ""),2))), index(split(C777, "" ""),1),"""")"),"")</f>
        <v/>
      </c>
      <c r="T777" s="315" t="str">
        <f>IFERROR(__xludf.DUMMYFUNCTION("if(S777="""",C777,if(not(iserror(index(split(C777, "" ""),3))), index(split(C777, "" ""),3),index(split(C777, "" ""),2)))"),"")</f>
        <v/>
      </c>
      <c r="U777" s="38" t="b">
        <f t="shared" si="34"/>
        <v>0</v>
      </c>
      <c r="V777" s="38"/>
      <c r="W777" s="40"/>
      <c r="X777" s="40"/>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row>
    <row r="778">
      <c r="A778" s="178"/>
      <c r="B778" s="322"/>
      <c r="C778" s="144"/>
      <c r="D778" s="144"/>
      <c r="E778" s="37"/>
      <c r="F778" s="37"/>
      <c r="G778" s="37"/>
      <c r="H778" s="33" t="str">
        <f t="shared" si="33"/>
        <v/>
      </c>
      <c r="I778" s="37"/>
      <c r="J778" s="37"/>
      <c r="K778" s="37"/>
      <c r="L778" s="37"/>
      <c r="M778" s="374"/>
      <c r="N778" s="15"/>
      <c r="O778" s="37"/>
      <c r="P778" s="37"/>
      <c r="Q778" s="64"/>
      <c r="R778" s="16"/>
      <c r="S778" s="37" t="str">
        <f>IFERROR(__xludf.DUMMYFUNCTION("if(not(iserror(index(split(C778, "" ""),2))), index(split(C778, "" ""),1),"""")"),"")</f>
        <v/>
      </c>
      <c r="T778" s="315" t="str">
        <f>IFERROR(__xludf.DUMMYFUNCTION("if(S778="""",C778,if(not(iserror(index(split(C778, "" ""),3))), index(split(C778, "" ""),3),index(split(C778, "" ""),2)))"),"")</f>
        <v/>
      </c>
      <c r="U778" s="38" t="b">
        <f t="shared" si="34"/>
        <v>0</v>
      </c>
      <c r="V778" s="38"/>
      <c r="W778" s="40"/>
      <c r="X778" s="40"/>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row>
    <row r="779">
      <c r="A779" s="178"/>
      <c r="B779" s="322"/>
      <c r="C779" s="144"/>
      <c r="D779" s="144"/>
      <c r="E779" s="37"/>
      <c r="F779" s="37"/>
      <c r="G779" s="37"/>
      <c r="H779" s="33" t="str">
        <f t="shared" si="33"/>
        <v/>
      </c>
      <c r="I779" s="37"/>
      <c r="J779" s="37"/>
      <c r="K779" s="37"/>
      <c r="L779" s="37"/>
      <c r="M779" s="374"/>
      <c r="N779" s="15"/>
      <c r="O779" s="37"/>
      <c r="P779" s="37"/>
      <c r="Q779" s="64"/>
      <c r="R779" s="16"/>
      <c r="S779" s="37" t="str">
        <f>IFERROR(__xludf.DUMMYFUNCTION("if(not(iserror(index(split(C779, "" ""),2))), index(split(C779, "" ""),1),"""")"),"")</f>
        <v/>
      </c>
      <c r="T779" s="315" t="str">
        <f>IFERROR(__xludf.DUMMYFUNCTION("if(S779="""",C779,if(not(iserror(index(split(C779, "" ""),3))), index(split(C779, "" ""),3),index(split(C779, "" ""),2)))"),"")</f>
        <v/>
      </c>
      <c r="U779" s="38" t="b">
        <f t="shared" si="34"/>
        <v>0</v>
      </c>
      <c r="V779" s="38"/>
      <c r="W779" s="40"/>
      <c r="X779" s="40"/>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row>
    <row r="780">
      <c r="A780" s="37"/>
      <c r="B780" s="322"/>
      <c r="C780" s="144"/>
      <c r="D780" s="144"/>
      <c r="E780" s="37"/>
      <c r="F780" s="37"/>
      <c r="G780" s="37"/>
      <c r="H780" s="33" t="str">
        <f t="shared" si="33"/>
        <v/>
      </c>
      <c r="I780" s="37"/>
      <c r="J780" s="37"/>
      <c r="K780" s="37"/>
      <c r="L780" s="37"/>
      <c r="M780" s="374"/>
      <c r="N780" s="15"/>
      <c r="O780" s="16"/>
      <c r="P780" s="16"/>
      <c r="Q780" s="16"/>
      <c r="R780" s="16"/>
      <c r="S780" s="37" t="str">
        <f>IFERROR(__xludf.DUMMYFUNCTION("if(not(iserror(index(split(C780, "" ""),2))), index(split(C780, "" ""),1),"""")"),"")</f>
        <v/>
      </c>
      <c r="T780" s="315" t="str">
        <f>IFERROR(__xludf.DUMMYFUNCTION("if(S780="""",C780,if(not(iserror(index(split(C780, "" ""),3))), index(split(C780, "" ""),3),index(split(C780, "" ""),2)))"),"")</f>
        <v/>
      </c>
      <c r="U780" s="38" t="b">
        <f t="shared" si="34"/>
        <v>0</v>
      </c>
      <c r="V780" s="38"/>
      <c r="W780" s="40"/>
      <c r="X780" s="40"/>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row>
    <row r="781">
      <c r="A781" s="37"/>
      <c r="B781" s="322"/>
      <c r="C781" s="144"/>
      <c r="D781" s="144"/>
      <c r="E781" s="37"/>
      <c r="F781" s="37"/>
      <c r="G781" s="37"/>
      <c r="H781" s="33" t="str">
        <f t="shared" si="33"/>
        <v/>
      </c>
      <c r="I781" s="37"/>
      <c r="J781" s="37"/>
      <c r="K781" s="37"/>
      <c r="L781" s="37"/>
      <c r="M781" s="374"/>
      <c r="N781" s="15"/>
      <c r="O781" s="37"/>
      <c r="P781" s="37"/>
      <c r="Q781" s="64"/>
      <c r="R781" s="16"/>
      <c r="S781" s="37" t="str">
        <f>IFERROR(__xludf.DUMMYFUNCTION("if(not(iserror(index(split(C781, "" ""),2))), index(split(C781, "" ""),1),"""")"),"")</f>
        <v/>
      </c>
      <c r="T781" s="315" t="str">
        <f>IFERROR(__xludf.DUMMYFUNCTION("if(S781="""",C781,if(not(iserror(index(split(C781, "" ""),3))), index(split(C781, "" ""),3),index(split(C781, "" ""),2)))"),"")</f>
        <v/>
      </c>
      <c r="U781" s="38" t="b">
        <f t="shared" si="34"/>
        <v>0</v>
      </c>
      <c r="V781" s="38"/>
      <c r="W781" s="40"/>
      <c r="X781" s="40"/>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row>
    <row r="782">
      <c r="A782" s="91"/>
      <c r="B782" s="380"/>
      <c r="C782" s="146"/>
      <c r="D782" s="146"/>
      <c r="E782" s="91"/>
      <c r="F782" s="91"/>
      <c r="G782" s="91"/>
      <c r="H782" s="33" t="str">
        <f t="shared" si="33"/>
        <v/>
      </c>
      <c r="I782" s="91"/>
      <c r="J782" s="91"/>
      <c r="K782" s="91"/>
      <c r="L782" s="91"/>
      <c r="M782" s="95"/>
      <c r="N782" s="95"/>
      <c r="O782" s="37"/>
      <c r="P782" s="37"/>
      <c r="Q782" s="64"/>
      <c r="R782" s="16"/>
      <c r="S782" s="37" t="str">
        <f>IFERROR(__xludf.DUMMYFUNCTION("if(not(iserror(index(split(C782, "" ""),2))), index(split(C782, "" ""),1),"""")"),"")</f>
        <v/>
      </c>
      <c r="T782" s="315" t="str">
        <f>IFERROR(__xludf.DUMMYFUNCTION("if(S782="""",C782,if(not(iserror(index(split(C782, "" ""),3))), index(split(C782, "" ""),3),index(split(C782, "" ""),2)))"),"")</f>
        <v/>
      </c>
      <c r="U782" s="38" t="b">
        <f t="shared" si="34"/>
        <v>0</v>
      </c>
      <c r="V782" s="38"/>
      <c r="W782" s="40"/>
      <c r="X782" s="40"/>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row>
    <row r="783">
      <c r="A783" s="37"/>
      <c r="B783" s="322"/>
      <c r="C783" s="144"/>
      <c r="D783" s="144"/>
      <c r="E783" s="37"/>
      <c r="F783" s="37"/>
      <c r="G783" s="37"/>
      <c r="H783" s="33" t="str">
        <f t="shared" si="33"/>
        <v/>
      </c>
      <c r="I783" s="37"/>
      <c r="J783" s="37"/>
      <c r="K783" s="37"/>
      <c r="L783" s="37"/>
      <c r="M783" s="374"/>
      <c r="N783" s="15"/>
      <c r="O783" s="16"/>
      <c r="P783" s="16"/>
      <c r="Q783" s="16"/>
      <c r="R783" s="16"/>
      <c r="S783" s="37" t="str">
        <f>IFERROR(__xludf.DUMMYFUNCTION("if(not(iserror(index(split(C783, "" ""),2))), index(split(C783, "" ""),1),"""")"),"")</f>
        <v/>
      </c>
      <c r="T783" s="315" t="str">
        <f>IFERROR(__xludf.DUMMYFUNCTION("if(S783="""",C783,if(not(iserror(index(split(C783, "" ""),3))), index(split(C783, "" ""),3),index(split(C783, "" ""),2)))"),"")</f>
        <v/>
      </c>
      <c r="U783" s="38" t="b">
        <f t="shared" si="34"/>
        <v>0</v>
      </c>
      <c r="V783" s="38"/>
      <c r="W783" s="40"/>
      <c r="X783" s="40"/>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row>
    <row r="784">
      <c r="A784" s="37"/>
      <c r="B784" s="322"/>
      <c r="C784" s="144"/>
      <c r="D784" s="144"/>
      <c r="E784" s="37"/>
      <c r="F784" s="37"/>
      <c r="G784" s="37"/>
      <c r="H784" s="33" t="str">
        <f t="shared" si="33"/>
        <v/>
      </c>
      <c r="I784" s="37"/>
      <c r="J784" s="37"/>
      <c r="K784" s="37"/>
      <c r="L784" s="37"/>
      <c r="M784" s="374"/>
      <c r="N784" s="15"/>
      <c r="O784" s="16"/>
      <c r="P784" s="16"/>
      <c r="Q784" s="16"/>
      <c r="R784" s="16"/>
      <c r="S784" s="37" t="str">
        <f>IFERROR(__xludf.DUMMYFUNCTION("if(not(iserror(index(split(C784, "" ""),2))), index(split(C784, "" ""),1),"""")"),"")</f>
        <v/>
      </c>
      <c r="T784" s="315" t="str">
        <f>IFERROR(__xludf.DUMMYFUNCTION("if(S784="""",C784,if(not(iserror(index(split(C784, "" ""),3))), index(split(C784, "" ""),3),index(split(C784, "" ""),2)))"),"")</f>
        <v/>
      </c>
      <c r="U784" s="38" t="b">
        <f t="shared" si="34"/>
        <v>0</v>
      </c>
      <c r="V784" s="38"/>
      <c r="W784" s="40"/>
      <c r="X784" s="40"/>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row>
    <row r="785">
      <c r="A785" s="37"/>
      <c r="B785" s="322"/>
      <c r="C785" s="144"/>
      <c r="D785" s="144"/>
      <c r="E785" s="37"/>
      <c r="F785" s="37"/>
      <c r="G785" s="37"/>
      <c r="H785" s="33" t="str">
        <f t="shared" si="33"/>
        <v/>
      </c>
      <c r="I785" s="37"/>
      <c r="J785" s="37"/>
      <c r="K785" s="37"/>
      <c r="L785" s="37"/>
      <c r="M785" s="374"/>
      <c r="N785" s="15"/>
      <c r="O785" s="16"/>
      <c r="P785" s="16"/>
      <c r="Q785" s="16"/>
      <c r="R785" s="16"/>
      <c r="S785" s="37" t="str">
        <f>IFERROR(__xludf.DUMMYFUNCTION("if(not(iserror(index(split(C785, "" ""),2))), index(split(C785, "" ""),1),"""")"),"")</f>
        <v/>
      </c>
      <c r="T785" s="315" t="str">
        <f>IFERROR(__xludf.DUMMYFUNCTION("if(S785="""",C785,if(not(iserror(index(split(C785, "" ""),3))), index(split(C785, "" ""),3),index(split(C785, "" ""),2)))"),"")</f>
        <v/>
      </c>
      <c r="U785" s="38" t="b">
        <f t="shared" si="34"/>
        <v>0</v>
      </c>
      <c r="V785" s="38"/>
      <c r="W785" s="40"/>
      <c r="X785" s="40"/>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row>
    <row r="786">
      <c r="A786" s="37"/>
      <c r="B786" s="322"/>
      <c r="C786" s="144"/>
      <c r="D786" s="144"/>
      <c r="E786" s="37"/>
      <c r="F786" s="37"/>
      <c r="G786" s="37"/>
      <c r="H786" s="33" t="str">
        <f t="shared" si="33"/>
        <v/>
      </c>
      <c r="I786" s="37"/>
      <c r="J786" s="37"/>
      <c r="K786" s="37"/>
      <c r="L786" s="37"/>
      <c r="M786" s="14"/>
      <c r="N786" s="15"/>
      <c r="O786" s="16"/>
      <c r="P786" s="16"/>
      <c r="Q786" s="16"/>
      <c r="R786" s="16"/>
      <c r="S786" s="37" t="str">
        <f>IFERROR(__xludf.DUMMYFUNCTION("if(not(iserror(index(split(C786, "" ""),2))), index(split(C786, "" ""),1),"""")"),"")</f>
        <v/>
      </c>
      <c r="T786" s="315" t="str">
        <f>IFERROR(__xludf.DUMMYFUNCTION("if(S786="""",C786,if(not(iserror(index(split(C786, "" ""),3))), index(split(C786, "" ""),3),index(split(C786, "" ""),2)))"),"")</f>
        <v/>
      </c>
      <c r="U786" s="38" t="b">
        <f t="shared" si="34"/>
        <v>0</v>
      </c>
      <c r="V786" s="38"/>
      <c r="W786" s="40"/>
      <c r="X786" s="40"/>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row>
    <row r="787">
      <c r="A787" s="37"/>
      <c r="B787" s="322"/>
      <c r="C787" s="144"/>
      <c r="D787" s="144"/>
      <c r="E787" s="37"/>
      <c r="F787" s="37"/>
      <c r="G787" s="37"/>
      <c r="H787" s="33" t="str">
        <f t="shared" si="33"/>
        <v/>
      </c>
      <c r="I787" s="37"/>
      <c r="J787" s="37"/>
      <c r="K787" s="37"/>
      <c r="L787" s="37"/>
      <c r="M787" s="14"/>
      <c r="N787" s="15"/>
      <c r="O787" s="37"/>
      <c r="P787" s="37"/>
      <c r="Q787" s="64"/>
      <c r="R787" s="16"/>
      <c r="S787" s="37" t="str">
        <f>IFERROR(__xludf.DUMMYFUNCTION("if(not(iserror(index(split(C787, "" ""),2))), index(split(C787, "" ""),1),"""")"),"")</f>
        <v/>
      </c>
      <c r="T787" s="315" t="str">
        <f>IFERROR(__xludf.DUMMYFUNCTION("if(S787="""",C787,if(not(iserror(index(split(C787, "" ""),3))), index(split(C787, "" ""),3),index(split(C787, "" ""),2)))"),"")</f>
        <v/>
      </c>
      <c r="U787" s="38" t="b">
        <f t="shared" si="34"/>
        <v>0</v>
      </c>
      <c r="V787" s="38"/>
      <c r="W787" s="40"/>
      <c r="X787" s="40"/>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row>
    <row r="788">
      <c r="A788" s="37"/>
      <c r="B788" s="322"/>
      <c r="C788" s="144"/>
      <c r="D788" s="144"/>
      <c r="E788" s="37"/>
      <c r="F788" s="37"/>
      <c r="G788" s="37"/>
      <c r="H788" s="33" t="str">
        <f t="shared" si="33"/>
        <v/>
      </c>
      <c r="I788" s="37"/>
      <c r="J788" s="37"/>
      <c r="K788" s="37"/>
      <c r="L788" s="37"/>
      <c r="M788" s="14"/>
      <c r="N788" s="15"/>
      <c r="O788" s="37"/>
      <c r="P788" s="37"/>
      <c r="Q788" s="64"/>
      <c r="R788" s="16"/>
      <c r="S788" s="37" t="str">
        <f>IFERROR(__xludf.DUMMYFUNCTION("if(not(iserror(index(split(C788, "" ""),2))), index(split(C788, "" ""),1),"""")"),"")</f>
        <v/>
      </c>
      <c r="T788" s="315" t="str">
        <f>IFERROR(__xludf.DUMMYFUNCTION("if(S788="""",C788,if(not(iserror(index(split(C788, "" ""),3))), index(split(C788, "" ""),3),index(split(C788, "" ""),2)))"),"")</f>
        <v/>
      </c>
      <c r="U788" s="38" t="b">
        <f t="shared" si="34"/>
        <v>0</v>
      </c>
      <c r="V788" s="38"/>
      <c r="W788" s="40"/>
      <c r="X788" s="40"/>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row>
    <row r="789">
      <c r="A789" s="37"/>
      <c r="B789" s="322"/>
      <c r="C789" s="144"/>
      <c r="D789" s="144"/>
      <c r="E789" s="37"/>
      <c r="F789" s="37"/>
      <c r="G789" s="37"/>
      <c r="H789" s="33" t="str">
        <f t="shared" si="33"/>
        <v/>
      </c>
      <c r="I789" s="37"/>
      <c r="J789" s="37"/>
      <c r="K789" s="37"/>
      <c r="L789" s="37"/>
      <c r="M789" s="14"/>
      <c r="N789" s="15"/>
      <c r="O789" s="37"/>
      <c r="P789" s="37"/>
      <c r="Q789" s="64"/>
      <c r="R789" s="16"/>
      <c r="S789" s="37" t="str">
        <f>IFERROR(__xludf.DUMMYFUNCTION("if(not(iserror(index(split(C789, "" ""),2))), index(split(C789, "" ""),1),"""")"),"")</f>
        <v/>
      </c>
      <c r="T789" s="315" t="str">
        <f>IFERROR(__xludf.DUMMYFUNCTION("if(S789="""",C789,if(not(iserror(index(split(C789, "" ""),3))), index(split(C789, "" ""),3),index(split(C789, "" ""),2)))"),"")</f>
        <v/>
      </c>
      <c r="U789" s="38" t="b">
        <f t="shared" si="34"/>
        <v>0</v>
      </c>
      <c r="V789" s="38"/>
      <c r="W789" s="40"/>
      <c r="X789" s="40"/>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row>
    <row r="790">
      <c r="A790" s="37"/>
      <c r="B790" s="322"/>
      <c r="C790" s="144"/>
      <c r="D790" s="144"/>
      <c r="E790" s="37"/>
      <c r="F790" s="37"/>
      <c r="G790" s="37"/>
      <c r="H790" s="33" t="str">
        <f t="shared" si="33"/>
        <v/>
      </c>
      <c r="I790" s="37"/>
      <c r="J790" s="37"/>
      <c r="K790" s="37"/>
      <c r="L790" s="37"/>
      <c r="M790" s="14"/>
      <c r="N790" s="15"/>
      <c r="O790" s="37"/>
      <c r="P790" s="37"/>
      <c r="Q790" s="64"/>
      <c r="R790" s="16"/>
      <c r="S790" s="37" t="str">
        <f>IFERROR(__xludf.DUMMYFUNCTION("if(not(iserror(index(split(C790, "" ""),2))), index(split(C790, "" ""),1),"""")"),"")</f>
        <v/>
      </c>
      <c r="T790" s="315" t="str">
        <f>IFERROR(__xludf.DUMMYFUNCTION("if(S790="""",C790,if(not(iserror(index(split(C790, "" ""),3))), index(split(C790, "" ""),3),index(split(C790, "" ""),2)))"),"")</f>
        <v/>
      </c>
      <c r="U790" s="38" t="b">
        <f t="shared" si="34"/>
        <v>0</v>
      </c>
      <c r="V790" s="38"/>
      <c r="W790" s="40"/>
      <c r="X790" s="40"/>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row>
    <row r="791">
      <c r="A791" s="37"/>
      <c r="B791" s="322"/>
      <c r="C791" s="144"/>
      <c r="D791" s="144"/>
      <c r="E791" s="37"/>
      <c r="F791" s="37"/>
      <c r="G791" s="37"/>
      <c r="H791" s="33" t="str">
        <f t="shared" si="33"/>
        <v/>
      </c>
      <c r="I791" s="37"/>
      <c r="J791" s="37"/>
      <c r="K791" s="37"/>
      <c r="L791" s="37"/>
      <c r="M791" s="14"/>
      <c r="N791" s="15"/>
      <c r="O791" s="37"/>
      <c r="P791" s="37"/>
      <c r="Q791" s="64"/>
      <c r="R791" s="16"/>
      <c r="S791" s="37" t="str">
        <f>IFERROR(__xludf.DUMMYFUNCTION("if(not(iserror(index(split(C791, "" ""),2))), index(split(C791, "" ""),1),"""")"),"")</f>
        <v/>
      </c>
      <c r="T791" s="315" t="str">
        <f>IFERROR(__xludf.DUMMYFUNCTION("if(S791="""",C791,if(not(iserror(index(split(C791, "" ""),3))), index(split(C791, "" ""),3),index(split(C791, "" ""),2)))"),"")</f>
        <v/>
      </c>
      <c r="U791" s="38" t="b">
        <f t="shared" si="34"/>
        <v>0</v>
      </c>
      <c r="V791" s="38"/>
      <c r="W791" s="40"/>
      <c r="X791" s="40"/>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row>
    <row r="792">
      <c r="A792" s="37"/>
      <c r="B792" s="322"/>
      <c r="C792" s="144"/>
      <c r="D792" s="144"/>
      <c r="E792" s="37"/>
      <c r="F792" s="37"/>
      <c r="G792" s="37"/>
      <c r="H792" s="33" t="str">
        <f t="shared" si="33"/>
        <v/>
      </c>
      <c r="I792" s="37"/>
      <c r="J792" s="37"/>
      <c r="K792" s="37"/>
      <c r="L792" s="37"/>
      <c r="M792" s="14"/>
      <c r="N792" s="15"/>
      <c r="O792" s="37"/>
      <c r="P792" s="37"/>
      <c r="Q792" s="64"/>
      <c r="R792" s="16"/>
      <c r="S792" s="37" t="str">
        <f>IFERROR(__xludf.DUMMYFUNCTION("if(not(iserror(index(split(C792, "" ""),2))), index(split(C792, "" ""),1),"""")"),"")</f>
        <v/>
      </c>
      <c r="T792" s="315" t="str">
        <f>IFERROR(__xludf.DUMMYFUNCTION("if(S792="""",C792,if(not(iserror(index(split(C792, "" ""),3))), index(split(C792, "" ""),3),index(split(C792, "" ""),2)))"),"")</f>
        <v/>
      </c>
      <c r="U792" s="38" t="b">
        <f t="shared" si="34"/>
        <v>0</v>
      </c>
      <c r="V792" s="38"/>
      <c r="W792" s="40"/>
      <c r="X792" s="40"/>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row>
    <row r="793">
      <c r="A793" s="37"/>
      <c r="B793" s="322"/>
      <c r="C793" s="144"/>
      <c r="D793" s="144"/>
      <c r="E793" s="37"/>
      <c r="F793" s="37"/>
      <c r="G793" s="37"/>
      <c r="H793" s="33" t="str">
        <f t="shared" si="33"/>
        <v/>
      </c>
      <c r="I793" s="37"/>
      <c r="J793" s="37"/>
      <c r="K793" s="37"/>
      <c r="L793" s="37"/>
      <c r="M793" s="14"/>
      <c r="N793" s="15"/>
      <c r="O793" s="16"/>
      <c r="P793" s="16"/>
      <c r="Q793" s="16"/>
      <c r="R793" s="16"/>
      <c r="S793" s="37" t="str">
        <f>IFERROR(__xludf.DUMMYFUNCTION("if(not(iserror(index(split(C793, "" ""),2))), index(split(C793, "" ""),1),"""")"),"")</f>
        <v/>
      </c>
      <c r="T793" s="315" t="str">
        <f>IFERROR(__xludf.DUMMYFUNCTION("if(S793="""",C793,if(not(iserror(index(split(C793, "" ""),3))), index(split(C793, "" ""),3),index(split(C793, "" ""),2)))"),"")</f>
        <v/>
      </c>
      <c r="U793" s="38" t="b">
        <f t="shared" si="34"/>
        <v>0</v>
      </c>
      <c r="V793" s="38"/>
      <c r="W793" s="40"/>
      <c r="X793" s="40"/>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row>
    <row r="794">
      <c r="A794" s="37"/>
      <c r="B794" s="322"/>
      <c r="C794" s="144"/>
      <c r="D794" s="144"/>
      <c r="E794" s="37"/>
      <c r="F794" s="37"/>
      <c r="G794" s="37"/>
      <c r="H794" s="33" t="str">
        <f t="shared" si="33"/>
        <v/>
      </c>
      <c r="I794" s="37"/>
      <c r="J794" s="37"/>
      <c r="K794" s="37"/>
      <c r="L794" s="37"/>
      <c r="M794" s="14"/>
      <c r="N794" s="15"/>
      <c r="O794" s="16"/>
      <c r="P794" s="16"/>
      <c r="Q794" s="16"/>
      <c r="R794" s="16"/>
      <c r="S794" s="37" t="str">
        <f>IFERROR(__xludf.DUMMYFUNCTION("if(not(iserror(index(split(C794, "" ""),2))), index(split(C794, "" ""),1),"""")"),"")</f>
        <v/>
      </c>
      <c r="T794" s="315" t="str">
        <f>IFERROR(__xludf.DUMMYFUNCTION("if(S794="""",C794,if(not(iserror(index(split(C794, "" ""),3))), index(split(C794, "" ""),3),index(split(C794, "" ""),2)))"),"")</f>
        <v/>
      </c>
      <c r="U794" s="38" t="b">
        <f t="shared" si="34"/>
        <v>0</v>
      </c>
      <c r="V794" s="38"/>
      <c r="W794" s="40"/>
      <c r="X794" s="40"/>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row>
    <row r="795">
      <c r="A795" s="37"/>
      <c r="B795" s="322"/>
      <c r="C795" s="144"/>
      <c r="D795" s="144"/>
      <c r="E795" s="37"/>
      <c r="F795" s="37"/>
      <c r="G795" s="37"/>
      <c r="H795" s="33" t="str">
        <f t="shared" si="33"/>
        <v/>
      </c>
      <c r="I795" s="37"/>
      <c r="J795" s="37"/>
      <c r="K795" s="37"/>
      <c r="L795" s="37"/>
      <c r="M795" s="14"/>
      <c r="N795" s="15"/>
      <c r="O795" s="37"/>
      <c r="P795" s="37"/>
      <c r="Q795" s="64"/>
      <c r="R795" s="16"/>
      <c r="S795" s="37" t="str">
        <f>IFERROR(__xludf.DUMMYFUNCTION("if(not(iserror(index(split(C795, "" ""),2))), index(split(C795, "" ""),1),"""")"),"")</f>
        <v/>
      </c>
      <c r="T795" s="315" t="str">
        <f>IFERROR(__xludf.DUMMYFUNCTION("if(S795="""",C795,if(not(iserror(index(split(C795, "" ""),3))), index(split(C795, "" ""),3),index(split(C795, "" ""),2)))"),"")</f>
        <v/>
      </c>
      <c r="U795" s="38" t="b">
        <f t="shared" si="34"/>
        <v>0</v>
      </c>
      <c r="V795" s="38"/>
      <c r="W795" s="40"/>
      <c r="X795" s="40"/>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row>
    <row r="796">
      <c r="A796" s="91"/>
      <c r="B796" s="380"/>
      <c r="C796" s="146"/>
      <c r="D796" s="146"/>
      <c r="E796" s="91"/>
      <c r="F796" s="91"/>
      <c r="G796" s="91"/>
      <c r="H796" s="33" t="str">
        <f t="shared" si="33"/>
        <v/>
      </c>
      <c r="I796" s="91"/>
      <c r="J796" s="91"/>
      <c r="K796" s="91"/>
      <c r="L796" s="91"/>
      <c r="M796" s="95"/>
      <c r="N796" s="95"/>
      <c r="O796" s="37"/>
      <c r="P796" s="37"/>
      <c r="Q796" s="64"/>
      <c r="R796" s="16"/>
      <c r="S796" s="37" t="str">
        <f>IFERROR(__xludf.DUMMYFUNCTION("if(not(iserror(index(split(C796, "" ""),2))), index(split(C796, "" ""),1),"""")"),"")</f>
        <v/>
      </c>
      <c r="T796" s="315" t="str">
        <f>IFERROR(__xludf.DUMMYFUNCTION("if(S796="""",C796,if(not(iserror(index(split(C796, "" ""),3))), index(split(C796, "" ""),3),index(split(C796, "" ""),2)))"),"")</f>
        <v/>
      </c>
      <c r="U796" s="38" t="b">
        <f t="shared" si="34"/>
        <v>0</v>
      </c>
      <c r="V796" s="38"/>
      <c r="W796" s="40"/>
      <c r="X796" s="40"/>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row>
    <row r="797">
      <c r="A797" s="37"/>
      <c r="B797" s="322"/>
      <c r="C797" s="144"/>
      <c r="D797" s="144"/>
      <c r="E797" s="37"/>
      <c r="F797" s="37"/>
      <c r="G797" s="37"/>
      <c r="H797" s="33" t="str">
        <f t="shared" si="33"/>
        <v/>
      </c>
      <c r="I797" s="37"/>
      <c r="J797" s="37"/>
      <c r="K797" s="37"/>
      <c r="L797" s="37"/>
      <c r="M797" s="14"/>
      <c r="N797" s="15"/>
      <c r="O797" s="37"/>
      <c r="P797" s="37"/>
      <c r="Q797" s="64"/>
      <c r="R797" s="16"/>
      <c r="S797" s="37" t="str">
        <f>IFERROR(__xludf.DUMMYFUNCTION("if(not(iserror(index(split(C797, "" ""),2))), index(split(C797, "" ""),1),"""")"),"")</f>
        <v/>
      </c>
      <c r="T797" s="315" t="str">
        <f>IFERROR(__xludf.DUMMYFUNCTION("if(S797="""",C797,if(not(iserror(index(split(C797, "" ""),3))), index(split(C797, "" ""),3),index(split(C797, "" ""),2)))"),"")</f>
        <v/>
      </c>
      <c r="U797" s="38" t="b">
        <f t="shared" si="34"/>
        <v>0</v>
      </c>
      <c r="V797" s="38"/>
      <c r="W797" s="40"/>
      <c r="X797" s="40"/>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row>
    <row r="798">
      <c r="A798" s="37"/>
      <c r="B798" s="322"/>
      <c r="C798" s="144"/>
      <c r="D798" s="144"/>
      <c r="E798" s="37"/>
      <c r="F798" s="37"/>
      <c r="G798" s="37"/>
      <c r="H798" s="33" t="str">
        <f t="shared" si="33"/>
        <v/>
      </c>
      <c r="I798" s="37"/>
      <c r="J798" s="37"/>
      <c r="K798" s="37"/>
      <c r="L798" s="37"/>
      <c r="M798" s="14"/>
      <c r="N798" s="14"/>
      <c r="O798" s="37"/>
      <c r="P798" s="37"/>
      <c r="Q798" s="64"/>
      <c r="R798" s="16"/>
      <c r="S798" s="37" t="str">
        <f>IFERROR(__xludf.DUMMYFUNCTION("if(not(iserror(index(split(C798, "" ""),2))), index(split(C798, "" ""),1),"""")"),"")</f>
        <v/>
      </c>
      <c r="T798" s="315" t="str">
        <f>IFERROR(__xludf.DUMMYFUNCTION("if(S798="""",C798,if(not(iserror(index(split(C798, "" ""),3))), index(split(C798, "" ""),3),index(split(C798, "" ""),2)))"),"")</f>
        <v/>
      </c>
      <c r="U798" s="38" t="b">
        <f t="shared" si="34"/>
        <v>0</v>
      </c>
      <c r="V798" s="38"/>
      <c r="W798" s="40"/>
      <c r="X798" s="40"/>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row>
    <row r="799">
      <c r="A799" s="37"/>
      <c r="B799" s="322"/>
      <c r="C799" s="144"/>
      <c r="D799" s="144"/>
      <c r="E799" s="37"/>
      <c r="F799" s="37"/>
      <c r="G799" s="37"/>
      <c r="H799" s="33" t="str">
        <f t="shared" si="33"/>
        <v/>
      </c>
      <c r="I799" s="37"/>
      <c r="J799" s="37"/>
      <c r="K799" s="37"/>
      <c r="L799" s="37"/>
      <c r="M799" s="14"/>
      <c r="N799" s="15"/>
      <c r="O799" s="16"/>
      <c r="P799" s="16"/>
      <c r="Q799" s="16"/>
      <c r="R799" s="16"/>
      <c r="S799" s="37" t="str">
        <f>IFERROR(__xludf.DUMMYFUNCTION("if(not(iserror(index(split(C799, "" ""),2))), index(split(C799, "" ""),1),"""")"),"")</f>
        <v/>
      </c>
      <c r="T799" s="315" t="str">
        <f>IFERROR(__xludf.DUMMYFUNCTION("if(S799="""",C799,if(not(iserror(index(split(C799, "" ""),3))), index(split(C799, "" ""),3),index(split(C799, "" ""),2)))"),"")</f>
        <v/>
      </c>
      <c r="U799" s="38" t="b">
        <f t="shared" si="34"/>
        <v>0</v>
      </c>
      <c r="V799" s="38"/>
      <c r="W799" s="40"/>
      <c r="X799" s="40"/>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row>
    <row r="800">
      <c r="B800" s="322"/>
      <c r="C800" s="144"/>
      <c r="D800" s="144"/>
      <c r="E800" s="37"/>
      <c r="F800" s="37"/>
      <c r="G800" s="37"/>
      <c r="H800" s="33" t="str">
        <f t="shared" si="33"/>
        <v/>
      </c>
      <c r="I800" s="37"/>
      <c r="J800" s="37"/>
      <c r="K800" s="37"/>
      <c r="L800" s="37"/>
      <c r="M800" s="14"/>
      <c r="N800" s="15"/>
      <c r="O800" s="16"/>
      <c r="P800" s="16"/>
      <c r="Q800" s="16"/>
      <c r="R800" s="16"/>
      <c r="S800" s="37" t="str">
        <f>IFERROR(__xludf.DUMMYFUNCTION("if(not(iserror(index(split(C800, "" ""),2))), index(split(C800, "" ""),1),"""")"),"")</f>
        <v/>
      </c>
      <c r="T800" s="315" t="str">
        <f>IFERROR(__xludf.DUMMYFUNCTION("if(S800="""",C800,if(not(iserror(index(split(C800, "" ""),3))), index(split(C800, "" ""),3),index(split(C800, "" ""),2)))"),"")</f>
        <v/>
      </c>
      <c r="U800" s="38" t="b">
        <f t="shared" si="34"/>
        <v>0</v>
      </c>
      <c r="V800" s="38"/>
      <c r="W800" s="40"/>
      <c r="X800" s="40"/>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row>
    <row r="801">
      <c r="A801" s="37"/>
      <c r="B801" s="322"/>
      <c r="C801" s="144"/>
      <c r="D801" s="144"/>
      <c r="E801" s="37"/>
      <c r="F801" s="37"/>
      <c r="G801" s="37"/>
      <c r="H801" s="33" t="str">
        <f t="shared" si="33"/>
        <v/>
      </c>
      <c r="I801" s="37"/>
      <c r="J801" s="37"/>
      <c r="K801" s="37"/>
      <c r="L801" s="37"/>
      <c r="M801" s="14"/>
      <c r="N801" s="15"/>
      <c r="O801" s="37"/>
      <c r="P801" s="37"/>
      <c r="Q801" s="64"/>
      <c r="R801" s="16"/>
      <c r="S801" s="37" t="str">
        <f>IFERROR(__xludf.DUMMYFUNCTION("if(not(iserror(index(split(C801, "" ""),2))), index(split(C801, "" ""),1),"""")"),"")</f>
        <v/>
      </c>
      <c r="T801" s="315" t="str">
        <f>IFERROR(__xludf.DUMMYFUNCTION("if(S801="""",C801,if(not(iserror(index(split(C801, "" ""),3))), index(split(C801, "" ""),3),index(split(C801, "" ""),2)))"),"")</f>
        <v/>
      </c>
      <c r="U801" s="38" t="b">
        <f t="shared" si="34"/>
        <v>0</v>
      </c>
      <c r="V801" s="38"/>
      <c r="W801" s="40"/>
      <c r="X801" s="40"/>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row>
    <row r="802">
      <c r="A802" s="37"/>
      <c r="B802" s="322"/>
      <c r="C802" s="144"/>
      <c r="D802" s="144"/>
      <c r="E802" s="37"/>
      <c r="F802" s="37"/>
      <c r="G802" s="37"/>
      <c r="H802" s="33" t="str">
        <f t="shared" si="33"/>
        <v/>
      </c>
      <c r="I802" s="37"/>
      <c r="J802" s="37"/>
      <c r="K802" s="37"/>
      <c r="L802" s="37"/>
      <c r="M802" s="14"/>
      <c r="N802" s="15"/>
      <c r="O802" s="37"/>
      <c r="P802" s="37"/>
      <c r="Q802" s="64"/>
      <c r="R802" s="16"/>
      <c r="S802" s="37" t="str">
        <f>IFERROR(__xludf.DUMMYFUNCTION("if(not(iserror(index(split(C802, "" ""),2))), index(split(C802, "" ""),1),"""")"),"")</f>
        <v/>
      </c>
      <c r="T802" s="315" t="str">
        <f>IFERROR(__xludf.DUMMYFUNCTION("if(S802="""",C802,if(not(iserror(index(split(C802, "" ""),3))), index(split(C802, "" ""),3),index(split(C802, "" ""),2)))"),"")</f>
        <v/>
      </c>
      <c r="U802" s="38" t="b">
        <f t="shared" si="34"/>
        <v>0</v>
      </c>
      <c r="V802" s="38"/>
      <c r="W802" s="40"/>
      <c r="X802" s="40"/>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row>
    <row r="803">
      <c r="A803" s="37"/>
      <c r="B803" s="322"/>
      <c r="C803" s="144"/>
      <c r="D803" s="144"/>
      <c r="E803" s="37"/>
      <c r="F803" s="37"/>
      <c r="G803" s="37"/>
      <c r="H803" s="33" t="str">
        <f t="shared" si="33"/>
        <v/>
      </c>
      <c r="I803" s="37"/>
      <c r="J803" s="37"/>
      <c r="K803" s="37"/>
      <c r="L803" s="37"/>
      <c r="M803" s="14"/>
      <c r="N803" s="15"/>
      <c r="O803" s="16"/>
      <c r="P803" s="16"/>
      <c r="Q803" s="16"/>
      <c r="R803" s="16"/>
      <c r="S803" s="37" t="str">
        <f>IFERROR(__xludf.DUMMYFUNCTION("if(not(iserror(index(split(C803, "" ""),2))), index(split(C803, "" ""),1),"""")"),"")</f>
        <v/>
      </c>
      <c r="T803" s="315" t="str">
        <f>IFERROR(__xludf.DUMMYFUNCTION("if(S803="""",C803,if(not(iserror(index(split(C803, "" ""),3))), index(split(C803, "" ""),3),index(split(C803, "" ""),2)))"),"")</f>
        <v/>
      </c>
      <c r="U803" s="38" t="b">
        <f t="shared" si="34"/>
        <v>0</v>
      </c>
      <c r="V803" s="38"/>
      <c r="W803" s="40"/>
      <c r="X803" s="40"/>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row>
    <row r="804">
      <c r="A804" s="37"/>
      <c r="B804" s="322"/>
      <c r="C804" s="144"/>
      <c r="D804" s="144"/>
      <c r="E804" s="37"/>
      <c r="F804" s="37"/>
      <c r="G804" s="37"/>
      <c r="H804" s="33" t="str">
        <f t="shared" si="33"/>
        <v/>
      </c>
      <c r="I804" s="37"/>
      <c r="J804" s="37"/>
      <c r="K804" s="37"/>
      <c r="L804" s="37"/>
      <c r="M804" s="14"/>
      <c r="N804" s="15"/>
      <c r="O804" s="37"/>
      <c r="P804" s="16"/>
      <c r="Q804" s="64"/>
      <c r="R804" s="16"/>
      <c r="S804" s="37" t="str">
        <f>IFERROR(__xludf.DUMMYFUNCTION("if(not(iserror(index(split(C804, "" ""),2))), index(split(C804, "" ""),1),"""")"),"")</f>
        <v/>
      </c>
      <c r="T804" s="315" t="str">
        <f>IFERROR(__xludf.DUMMYFUNCTION("if(S804="""",C804,if(not(iserror(index(split(C804, "" ""),3))), index(split(C804, "" ""),3),index(split(C804, "" ""),2)))"),"")</f>
        <v/>
      </c>
      <c r="U804" s="38" t="b">
        <f t="shared" si="34"/>
        <v>0</v>
      </c>
      <c r="V804" s="38"/>
      <c r="W804" s="40"/>
      <c r="X804" s="40"/>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row>
    <row r="805">
      <c r="A805" s="37"/>
      <c r="B805" s="381"/>
      <c r="C805" s="144"/>
      <c r="D805" s="144"/>
      <c r="E805" s="37"/>
      <c r="F805" s="37"/>
      <c r="G805" s="37"/>
      <c r="H805" s="33" t="str">
        <f t="shared" si="33"/>
        <v/>
      </c>
      <c r="I805" s="37"/>
      <c r="J805" s="37"/>
      <c r="K805" s="37"/>
      <c r="L805" s="37"/>
      <c r="M805" s="14"/>
      <c r="N805" s="15"/>
      <c r="O805" s="37"/>
      <c r="P805" s="37"/>
      <c r="Q805" s="64"/>
      <c r="R805" s="16"/>
      <c r="S805" s="37" t="str">
        <f>IFERROR(__xludf.DUMMYFUNCTION("if(not(iserror(index(split(C805, "" ""),2))), index(split(C805, "" ""),1),"""")"),"")</f>
        <v/>
      </c>
      <c r="T805" s="315" t="str">
        <f>IFERROR(__xludf.DUMMYFUNCTION("if(S805="""",C805,if(not(iserror(index(split(C805, "" ""),3))), index(split(C805, "" ""),3),index(split(C805, "" ""),2)))"),"")</f>
        <v/>
      </c>
      <c r="U805" s="38" t="b">
        <f t="shared" si="34"/>
        <v>0</v>
      </c>
      <c r="V805" s="38"/>
      <c r="W805" s="40"/>
      <c r="X805" s="40"/>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row>
    <row r="806">
      <c r="A806" s="37"/>
      <c r="B806" s="381"/>
      <c r="C806" s="144"/>
      <c r="D806" s="144"/>
      <c r="E806" s="37"/>
      <c r="F806" s="37"/>
      <c r="G806" s="37"/>
      <c r="H806" s="33" t="str">
        <f t="shared" si="33"/>
        <v/>
      </c>
      <c r="I806" s="37"/>
      <c r="J806" s="37"/>
      <c r="K806" s="37"/>
      <c r="L806" s="37"/>
      <c r="M806" s="14"/>
      <c r="N806" s="15"/>
      <c r="O806" s="37"/>
      <c r="P806" s="37"/>
      <c r="Q806" s="64"/>
      <c r="R806" s="16"/>
      <c r="S806" s="37" t="str">
        <f>IFERROR(__xludf.DUMMYFUNCTION("if(not(iserror(index(split(C806, "" ""),2))), index(split(C806, "" ""),1),"""")"),"")</f>
        <v/>
      </c>
      <c r="T806" s="315" t="str">
        <f>IFERROR(__xludf.DUMMYFUNCTION("if(S806="""",C806,if(not(iserror(index(split(C806, "" ""),3))), index(split(C806, "" ""),3),index(split(C806, "" ""),2)))"),"")</f>
        <v/>
      </c>
      <c r="U806" s="38" t="b">
        <f t="shared" si="34"/>
        <v>0</v>
      </c>
      <c r="V806" s="38"/>
      <c r="W806" s="40"/>
      <c r="X806" s="40"/>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row>
    <row r="807">
      <c r="A807" s="37"/>
      <c r="B807" s="381"/>
      <c r="C807" s="144"/>
      <c r="D807" s="144"/>
      <c r="E807" s="37"/>
      <c r="F807" s="37"/>
      <c r="G807" s="37"/>
      <c r="H807" s="33" t="str">
        <f t="shared" si="33"/>
        <v/>
      </c>
      <c r="I807" s="37"/>
      <c r="J807" s="37"/>
      <c r="K807" s="37"/>
      <c r="L807" s="37"/>
      <c r="M807" s="14"/>
      <c r="N807" s="15"/>
      <c r="O807" s="16"/>
      <c r="P807" s="16"/>
      <c r="Q807" s="16"/>
      <c r="R807" s="16"/>
      <c r="S807" s="37" t="str">
        <f>IFERROR(__xludf.DUMMYFUNCTION("if(not(iserror(index(split(C807, "" ""),2))), index(split(C807, "" ""),1),"""")"),"")</f>
        <v/>
      </c>
      <c r="T807" s="315" t="str">
        <f>IFERROR(__xludf.DUMMYFUNCTION("if(S807="""",C807,if(not(iserror(index(split(C807, "" ""),3))), index(split(C807, "" ""),3),index(split(C807, "" ""),2)))"),"")</f>
        <v/>
      </c>
      <c r="U807" s="38" t="b">
        <f t="shared" si="34"/>
        <v>0</v>
      </c>
      <c r="V807" s="38"/>
      <c r="W807" s="40"/>
      <c r="X807" s="40"/>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row>
    <row r="808">
      <c r="A808" s="37"/>
      <c r="B808" s="381"/>
      <c r="C808" s="144"/>
      <c r="D808" s="144"/>
      <c r="E808" s="37"/>
      <c r="F808" s="37"/>
      <c r="G808" s="37"/>
      <c r="H808" s="33" t="str">
        <f t="shared" si="33"/>
        <v/>
      </c>
      <c r="I808" s="37"/>
      <c r="J808" s="37"/>
      <c r="K808" s="37"/>
      <c r="L808" s="37"/>
      <c r="M808" s="14"/>
      <c r="N808" s="15"/>
      <c r="O808" s="16"/>
      <c r="P808" s="16"/>
      <c r="Q808" s="16"/>
      <c r="R808" s="16"/>
      <c r="S808" s="37" t="str">
        <f>IFERROR(__xludf.DUMMYFUNCTION("if(not(iserror(index(split(C808, "" ""),2))), index(split(C808, "" ""),1),"""")"),"")</f>
        <v/>
      </c>
      <c r="T808" s="315" t="str">
        <f>IFERROR(__xludf.DUMMYFUNCTION("if(S808="""",C808,if(not(iserror(index(split(C808, "" ""),3))), index(split(C808, "" ""),3),index(split(C808, "" ""),2)))"),"")</f>
        <v/>
      </c>
      <c r="U808" s="38" t="b">
        <f t="shared" si="34"/>
        <v>0</v>
      </c>
      <c r="V808" s="38"/>
      <c r="W808" s="40"/>
      <c r="X808" s="40"/>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row>
    <row r="809">
      <c r="A809" s="37"/>
      <c r="B809" s="381"/>
      <c r="C809" s="144"/>
      <c r="D809" s="144"/>
      <c r="E809" s="37"/>
      <c r="F809" s="37"/>
      <c r="G809" s="37"/>
      <c r="H809" s="33" t="str">
        <f t="shared" si="33"/>
        <v/>
      </c>
      <c r="I809" s="37"/>
      <c r="J809" s="37"/>
      <c r="K809" s="37"/>
      <c r="L809" s="37"/>
      <c r="M809" s="14"/>
      <c r="N809" s="15"/>
      <c r="O809" s="16"/>
      <c r="P809" s="16"/>
      <c r="Q809" s="16"/>
      <c r="R809" s="16"/>
      <c r="S809" s="37" t="str">
        <f>IFERROR(__xludf.DUMMYFUNCTION("if(not(iserror(index(split(C809, "" ""),2))), index(split(C809, "" ""),1),"""")"),"")</f>
        <v/>
      </c>
      <c r="T809" s="315" t="str">
        <f>IFERROR(__xludf.DUMMYFUNCTION("if(S809="""",C809,if(not(iserror(index(split(C809, "" ""),3))), index(split(C809, "" ""),3),index(split(C809, "" ""),2)))"),"")</f>
        <v/>
      </c>
      <c r="U809" s="38" t="b">
        <f t="shared" si="34"/>
        <v>0</v>
      </c>
      <c r="V809" s="38"/>
      <c r="W809" s="40"/>
      <c r="X809" s="40"/>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row>
    <row r="810">
      <c r="A810" s="37"/>
      <c r="B810" s="381"/>
      <c r="C810" s="144"/>
      <c r="D810" s="144"/>
      <c r="E810" s="37"/>
      <c r="F810" s="37"/>
      <c r="G810" s="37"/>
      <c r="H810" s="33" t="str">
        <f t="shared" si="33"/>
        <v/>
      </c>
      <c r="I810" s="37"/>
      <c r="J810" s="37"/>
      <c r="K810" s="37"/>
      <c r="L810" s="37"/>
      <c r="M810" s="14"/>
      <c r="N810" s="15"/>
      <c r="O810" s="16"/>
      <c r="P810" s="16"/>
      <c r="Q810" s="16"/>
      <c r="R810" s="16"/>
      <c r="S810" s="37" t="str">
        <f>IFERROR(__xludf.DUMMYFUNCTION("if(not(iserror(index(split(C810, "" ""),2))), index(split(C810, "" ""),1),"""")"),"")</f>
        <v/>
      </c>
      <c r="T810" s="315" t="str">
        <f>IFERROR(__xludf.DUMMYFUNCTION("if(S810="""",C810,if(not(iserror(index(split(C810, "" ""),3))), index(split(C810, "" ""),3),index(split(C810, "" ""),2)))"),"")</f>
        <v/>
      </c>
      <c r="U810" s="38" t="b">
        <f t="shared" si="34"/>
        <v>0</v>
      </c>
      <c r="V810" s="38"/>
      <c r="W810" s="40"/>
      <c r="X810" s="40"/>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row>
    <row r="811">
      <c r="A811" s="37"/>
      <c r="B811" s="381"/>
      <c r="C811" s="144"/>
      <c r="D811" s="144"/>
      <c r="E811" s="37"/>
      <c r="F811" s="37"/>
      <c r="G811" s="37"/>
      <c r="H811" s="33" t="str">
        <f t="shared" si="33"/>
        <v/>
      </c>
      <c r="I811" s="37"/>
      <c r="J811" s="37"/>
      <c r="K811" s="37"/>
      <c r="L811" s="37"/>
      <c r="M811" s="14"/>
      <c r="N811" s="15"/>
      <c r="O811" s="16"/>
      <c r="P811" s="16"/>
      <c r="Q811" s="16"/>
      <c r="R811" s="16"/>
      <c r="S811" s="37" t="str">
        <f>IFERROR(__xludf.DUMMYFUNCTION("if(not(iserror(index(split(C811, "" ""),2))), index(split(C811, "" ""),1),"""")"),"")</f>
        <v/>
      </c>
      <c r="T811" s="315" t="str">
        <f>IFERROR(__xludf.DUMMYFUNCTION("if(S811="""",C811,if(not(iserror(index(split(C811, "" ""),3))), index(split(C811, "" ""),3),index(split(C811, "" ""),2)))"),"")</f>
        <v/>
      </c>
      <c r="U811" s="38" t="b">
        <f t="shared" si="34"/>
        <v>0</v>
      </c>
      <c r="V811" s="38"/>
      <c r="W811" s="40"/>
      <c r="X811" s="40"/>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row>
    <row r="812">
      <c r="A812" s="37"/>
      <c r="B812" s="381"/>
      <c r="C812" s="144"/>
      <c r="D812" s="144"/>
      <c r="E812" s="37"/>
      <c r="F812" s="37"/>
      <c r="G812" s="37"/>
      <c r="H812" s="33" t="str">
        <f t="shared" si="33"/>
        <v/>
      </c>
      <c r="I812" s="37"/>
      <c r="J812" s="37"/>
      <c r="K812" s="37"/>
      <c r="L812" s="37"/>
      <c r="M812" s="14"/>
      <c r="N812" s="15"/>
      <c r="O812" s="16"/>
      <c r="P812" s="16"/>
      <c r="Q812" s="16"/>
      <c r="R812" s="16"/>
      <c r="S812" s="37" t="str">
        <f>IFERROR(__xludf.DUMMYFUNCTION("if(not(iserror(index(split(C812, "" ""),2))), index(split(C812, "" ""),1),"""")"),"")</f>
        <v/>
      </c>
      <c r="T812" s="315" t="str">
        <f>IFERROR(__xludf.DUMMYFUNCTION("if(S812="""",C812,if(not(iserror(index(split(C812, "" ""),3))), index(split(C812, "" ""),3),index(split(C812, "" ""),2)))"),"")</f>
        <v/>
      </c>
      <c r="U812" s="38" t="b">
        <f t="shared" si="34"/>
        <v>0</v>
      </c>
      <c r="V812" s="38"/>
      <c r="W812" s="40"/>
      <c r="X812" s="40"/>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row>
    <row r="813">
      <c r="A813" s="37"/>
      <c r="B813" s="381"/>
      <c r="C813" s="144"/>
      <c r="D813" s="144"/>
      <c r="E813" s="37"/>
      <c r="F813" s="37"/>
      <c r="G813" s="37"/>
      <c r="H813" s="33" t="str">
        <f t="shared" si="33"/>
        <v/>
      </c>
      <c r="I813" s="37"/>
      <c r="J813" s="37"/>
      <c r="K813" s="37"/>
      <c r="L813" s="37"/>
      <c r="M813" s="14"/>
      <c r="N813" s="15"/>
      <c r="O813" s="16"/>
      <c r="P813" s="16"/>
      <c r="Q813" s="16"/>
      <c r="R813" s="16"/>
      <c r="S813" s="37" t="str">
        <f>IFERROR(__xludf.DUMMYFUNCTION("if(not(iserror(index(split(C813, "" ""),2))), index(split(C813, "" ""),1),"""")"),"")</f>
        <v/>
      </c>
      <c r="T813" s="315" t="str">
        <f>IFERROR(__xludf.DUMMYFUNCTION("if(S813="""",C813,if(not(iserror(index(split(C813, "" ""),3))), index(split(C813, "" ""),3),index(split(C813, "" ""),2)))"),"")</f>
        <v/>
      </c>
      <c r="U813" s="38" t="b">
        <f t="shared" si="34"/>
        <v>0</v>
      </c>
      <c r="V813" s="38"/>
      <c r="W813" s="40"/>
      <c r="X813" s="40"/>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row>
    <row r="814">
      <c r="A814" s="37"/>
      <c r="B814" s="381"/>
      <c r="C814" s="144"/>
      <c r="D814" s="144"/>
      <c r="E814" s="37"/>
      <c r="F814" s="37"/>
      <c r="G814" s="37"/>
      <c r="H814" s="33" t="str">
        <f t="shared" si="33"/>
        <v/>
      </c>
      <c r="I814" s="37"/>
      <c r="J814" s="37"/>
      <c r="K814" s="37"/>
      <c r="L814" s="37"/>
      <c r="M814" s="14"/>
      <c r="N814" s="15"/>
      <c r="O814" s="16"/>
      <c r="P814" s="16"/>
      <c r="Q814" s="16"/>
      <c r="R814" s="16"/>
      <c r="S814" s="37" t="str">
        <f>IFERROR(__xludf.DUMMYFUNCTION("if(not(iserror(index(split(C814, "" ""),2))), index(split(C814, "" ""),1),"""")"),"")</f>
        <v/>
      </c>
      <c r="T814" s="315" t="str">
        <f>IFERROR(__xludf.DUMMYFUNCTION("if(S814="""",C814,if(not(iserror(index(split(C814, "" ""),3))), index(split(C814, "" ""),3),index(split(C814, "" ""),2)))"),"")</f>
        <v/>
      </c>
      <c r="U814" s="38" t="b">
        <f t="shared" si="34"/>
        <v>0</v>
      </c>
      <c r="V814" s="38"/>
      <c r="W814" s="40"/>
      <c r="X814" s="40"/>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row>
    <row r="815">
      <c r="A815" s="37"/>
      <c r="B815" s="322"/>
      <c r="C815" s="144"/>
      <c r="D815" s="144"/>
      <c r="E815" s="37"/>
      <c r="F815" s="37"/>
      <c r="G815" s="37"/>
      <c r="H815" s="33" t="str">
        <f t="shared" si="33"/>
        <v/>
      </c>
      <c r="I815" s="37"/>
      <c r="J815" s="37"/>
      <c r="K815" s="37"/>
      <c r="L815" s="37"/>
      <c r="M815" s="80"/>
      <c r="N815" s="15"/>
      <c r="O815" s="16"/>
      <c r="P815" s="16"/>
      <c r="Q815" s="37"/>
      <c r="R815" s="16"/>
      <c r="S815" s="37" t="str">
        <f>IFERROR(__xludf.DUMMYFUNCTION("if(not(iserror(index(split(C815, "" ""),2))), index(split(C815, "" ""),1),"""")"),"")</f>
        <v/>
      </c>
      <c r="T815" s="315" t="str">
        <f>IFERROR(__xludf.DUMMYFUNCTION("if(S815="""",C815,if(not(iserror(index(split(C815, "" ""),3))), index(split(C815, "" ""),3),index(split(C815, "" ""),2)))"),"")</f>
        <v/>
      </c>
      <c r="U815" s="38" t="b">
        <f t="shared" si="34"/>
        <v>0</v>
      </c>
      <c r="V815" s="38"/>
      <c r="W815" s="40"/>
      <c r="X815" s="40"/>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row>
    <row r="816">
      <c r="A816" s="37"/>
      <c r="B816" s="322"/>
      <c r="C816" s="144"/>
      <c r="D816" s="144"/>
      <c r="E816" s="37"/>
      <c r="F816" s="37"/>
      <c r="G816" s="37"/>
      <c r="H816" s="33" t="str">
        <f t="shared" si="33"/>
        <v/>
      </c>
      <c r="I816" s="37"/>
      <c r="J816" s="37"/>
      <c r="K816" s="37"/>
      <c r="L816" s="37"/>
      <c r="M816" s="80"/>
      <c r="N816" s="15"/>
      <c r="O816" s="16"/>
      <c r="P816" s="16"/>
      <c r="Q816" s="16"/>
      <c r="R816" s="16"/>
      <c r="S816" s="37" t="str">
        <f>IFERROR(__xludf.DUMMYFUNCTION("if(not(iserror(index(split(C816, "" ""),2))), index(split(C816, "" ""),1),"""")"),"")</f>
        <v/>
      </c>
      <c r="T816" s="315" t="str">
        <f>IFERROR(__xludf.DUMMYFUNCTION("if(S816="""",C816,if(not(iserror(index(split(C816, "" ""),3))), index(split(C816, "" ""),3),index(split(C816, "" ""),2)))"),"")</f>
        <v/>
      </c>
      <c r="U816" s="38" t="b">
        <f t="shared" si="34"/>
        <v>0</v>
      </c>
      <c r="V816" s="38"/>
      <c r="W816" s="40"/>
      <c r="X816" s="40"/>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row>
    <row r="817">
      <c r="A817" s="37"/>
      <c r="B817" s="322"/>
      <c r="C817" s="144"/>
      <c r="D817" s="144"/>
      <c r="E817" s="37"/>
      <c r="F817" s="37"/>
      <c r="G817" s="37"/>
      <c r="H817" s="33" t="str">
        <f t="shared" si="33"/>
        <v/>
      </c>
      <c r="I817" s="37"/>
      <c r="J817" s="37"/>
      <c r="K817" s="37"/>
      <c r="L817" s="37"/>
      <c r="M817" s="374"/>
      <c r="N817" s="15"/>
      <c r="O817" s="16"/>
      <c r="P817" s="16"/>
      <c r="Q817" s="16"/>
      <c r="R817" s="16"/>
      <c r="S817" s="37" t="str">
        <f>IFERROR(__xludf.DUMMYFUNCTION("if(not(iserror(index(split(C817, "" ""),2))), index(split(C817, "" ""),1),"""")"),"")</f>
        <v/>
      </c>
      <c r="T817" s="315" t="str">
        <f>IFERROR(__xludf.DUMMYFUNCTION("if(S817="""",C817,if(not(iserror(index(split(C817, "" ""),3))), index(split(C817, "" ""),3),index(split(C817, "" ""),2)))"),"")</f>
        <v/>
      </c>
      <c r="U817" s="38" t="b">
        <f t="shared" si="34"/>
        <v>0</v>
      </c>
      <c r="V817" s="38"/>
      <c r="W817" s="40"/>
      <c r="X817" s="40"/>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row>
    <row r="818">
      <c r="A818" s="37"/>
      <c r="B818" s="322"/>
      <c r="C818" s="144"/>
      <c r="D818" s="144"/>
      <c r="E818" s="37"/>
      <c r="F818" s="37"/>
      <c r="G818" s="37"/>
      <c r="H818" s="33" t="str">
        <f t="shared" si="33"/>
        <v/>
      </c>
      <c r="I818" s="37"/>
      <c r="J818" s="37"/>
      <c r="K818" s="37"/>
      <c r="L818" s="37"/>
      <c r="M818" s="374"/>
      <c r="N818" s="15"/>
      <c r="O818" s="16"/>
      <c r="P818" s="16"/>
      <c r="Q818" s="16"/>
      <c r="R818" s="16"/>
      <c r="S818" s="37" t="str">
        <f>IFERROR(__xludf.DUMMYFUNCTION("if(not(iserror(index(split(C818, "" ""),2))), index(split(C818, "" ""),1),"""")"),"")</f>
        <v/>
      </c>
      <c r="T818" s="315" t="str">
        <f>IFERROR(__xludf.DUMMYFUNCTION("if(S818="""",C818,if(not(iserror(index(split(C818, "" ""),3))), index(split(C818, "" ""),3),index(split(C818, "" ""),2)))"),"")</f>
        <v/>
      </c>
      <c r="U818" s="38" t="b">
        <f t="shared" si="34"/>
        <v>0</v>
      </c>
      <c r="V818" s="38"/>
      <c r="W818" s="40"/>
      <c r="X818" s="40"/>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row>
    <row r="819">
      <c r="A819" s="37"/>
      <c r="B819" s="322"/>
      <c r="C819" s="144"/>
      <c r="D819" s="144"/>
      <c r="E819" s="37"/>
      <c r="F819" s="37"/>
      <c r="G819" s="37"/>
      <c r="H819" s="33" t="str">
        <f t="shared" si="33"/>
        <v/>
      </c>
      <c r="I819" s="37"/>
      <c r="J819" s="37"/>
      <c r="K819" s="37"/>
      <c r="L819" s="37"/>
      <c r="M819" s="374"/>
      <c r="N819" s="15"/>
      <c r="O819" s="16"/>
      <c r="P819" s="16"/>
      <c r="Q819" s="16"/>
      <c r="R819" s="16"/>
      <c r="S819" s="37" t="str">
        <f>IFERROR(__xludf.DUMMYFUNCTION("if(not(iserror(index(split(C819, "" ""),2))), index(split(C819, "" ""),1),"""")"),"")</f>
        <v/>
      </c>
      <c r="T819" s="315" t="str">
        <f>IFERROR(__xludf.DUMMYFUNCTION("if(S819="""",C819,if(not(iserror(index(split(C819, "" ""),3))), index(split(C819, "" ""),3),index(split(C819, "" ""),2)))"),"")</f>
        <v/>
      </c>
      <c r="U819" s="38" t="b">
        <f t="shared" si="34"/>
        <v>0</v>
      </c>
      <c r="V819" s="38"/>
      <c r="W819" s="40"/>
      <c r="X819" s="40"/>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row>
    <row r="820">
      <c r="A820" s="37"/>
      <c r="B820" s="322"/>
      <c r="C820" s="144"/>
      <c r="D820" s="144"/>
      <c r="E820" s="37"/>
      <c r="F820" s="37"/>
      <c r="G820" s="37"/>
      <c r="H820" s="33" t="str">
        <f t="shared" si="33"/>
        <v/>
      </c>
      <c r="I820" s="37"/>
      <c r="J820" s="37"/>
      <c r="K820" s="37"/>
      <c r="L820" s="37"/>
      <c r="M820" s="374"/>
      <c r="N820" s="15"/>
      <c r="O820" s="16"/>
      <c r="P820" s="16"/>
      <c r="Q820" s="16"/>
      <c r="R820" s="16"/>
      <c r="S820" s="37" t="str">
        <f>IFERROR(__xludf.DUMMYFUNCTION("if(not(iserror(index(split(C820, "" ""),2))), index(split(C820, "" ""),1),"""")"),"")</f>
        <v/>
      </c>
      <c r="T820" s="315" t="str">
        <f>IFERROR(__xludf.DUMMYFUNCTION("if(S820="""",C820,if(not(iserror(index(split(C820, "" ""),3))), index(split(C820, "" ""),3),index(split(C820, "" ""),2)))"),"")</f>
        <v/>
      </c>
      <c r="U820" s="38" t="b">
        <f t="shared" si="34"/>
        <v>0</v>
      </c>
      <c r="V820" s="38"/>
      <c r="W820" s="40"/>
      <c r="X820" s="40"/>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c r="BQ820" s="38"/>
    </row>
    <row r="821">
      <c r="A821" s="37"/>
      <c r="B821" s="322"/>
      <c r="C821" s="144"/>
      <c r="D821" s="144"/>
      <c r="E821" s="37"/>
      <c r="F821" s="37"/>
      <c r="G821" s="37"/>
      <c r="H821" s="33" t="str">
        <f t="shared" si="33"/>
        <v/>
      </c>
      <c r="I821" s="37"/>
      <c r="J821" s="37"/>
      <c r="K821" s="37"/>
      <c r="L821" s="37"/>
      <c r="M821" s="374"/>
      <c r="N821" s="15"/>
      <c r="O821" s="16"/>
      <c r="P821" s="16"/>
      <c r="Q821" s="16"/>
      <c r="R821" s="16"/>
      <c r="S821" s="37" t="str">
        <f>IFERROR(__xludf.DUMMYFUNCTION("if(not(iserror(index(split(C821, "" ""),2))), index(split(C821, "" ""),1),"""")"),"")</f>
        <v/>
      </c>
      <c r="T821" s="315" t="str">
        <f>IFERROR(__xludf.DUMMYFUNCTION("if(S821="""",C821,if(not(iserror(index(split(C821, "" ""),3))), index(split(C821, "" ""),3),index(split(C821, "" ""),2)))"),"")</f>
        <v/>
      </c>
      <c r="U821" s="38" t="b">
        <f t="shared" si="34"/>
        <v>0</v>
      </c>
      <c r="V821" s="38"/>
      <c r="W821" s="40"/>
      <c r="X821" s="40"/>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c r="BQ821" s="38"/>
    </row>
    <row r="822">
      <c r="A822" s="37"/>
      <c r="B822" s="322"/>
      <c r="C822" s="144"/>
      <c r="D822" s="144"/>
      <c r="E822" s="37"/>
      <c r="F822" s="37"/>
      <c r="G822" s="37"/>
      <c r="H822" s="33" t="str">
        <f t="shared" si="33"/>
        <v/>
      </c>
      <c r="I822" s="37"/>
      <c r="J822" s="37"/>
      <c r="K822" s="37"/>
      <c r="L822" s="37"/>
      <c r="M822" s="374"/>
      <c r="N822" s="15"/>
      <c r="O822" s="16"/>
      <c r="P822" s="16"/>
      <c r="Q822" s="16"/>
      <c r="R822" s="16"/>
      <c r="S822" s="37" t="str">
        <f>IFERROR(__xludf.DUMMYFUNCTION("if(not(iserror(index(split(C822, "" ""),2))), index(split(C822, "" ""),1),"""")"),"")</f>
        <v/>
      </c>
      <c r="T822" s="315" t="str">
        <f>IFERROR(__xludf.DUMMYFUNCTION("if(S822="""",C822,if(not(iserror(index(split(C822, "" ""),3))), index(split(C822, "" ""),3),index(split(C822, "" ""),2)))"),"")</f>
        <v/>
      </c>
      <c r="U822" s="38" t="b">
        <f t="shared" si="34"/>
        <v>0</v>
      </c>
      <c r="V822" s="38"/>
      <c r="W822" s="40"/>
      <c r="X822" s="40"/>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row>
    <row r="823">
      <c r="A823" s="37"/>
      <c r="B823" s="322"/>
      <c r="C823" s="144"/>
      <c r="D823" s="144"/>
      <c r="E823" s="37"/>
      <c r="F823" s="37"/>
      <c r="G823" s="37"/>
      <c r="H823" s="33" t="str">
        <f t="shared" si="33"/>
        <v/>
      </c>
      <c r="I823" s="37"/>
      <c r="J823" s="37"/>
      <c r="K823" s="37"/>
      <c r="L823" s="37"/>
      <c r="M823" s="374"/>
      <c r="N823" s="15"/>
      <c r="O823" s="37"/>
      <c r="P823" s="16"/>
      <c r="Q823" s="64"/>
      <c r="R823" s="16"/>
      <c r="S823" s="37" t="str">
        <f>IFERROR(__xludf.DUMMYFUNCTION("if(not(iserror(index(split(C823, "" ""),2))), index(split(C823, "" ""),1),"""")"),"")</f>
        <v/>
      </c>
      <c r="T823" s="315" t="str">
        <f>IFERROR(__xludf.DUMMYFUNCTION("if(S823="""",C823,if(not(iserror(index(split(C823, "" ""),3))), index(split(C823, "" ""),3),index(split(C823, "" ""),2)))"),"")</f>
        <v/>
      </c>
      <c r="U823" s="38" t="b">
        <f t="shared" si="34"/>
        <v>0</v>
      </c>
      <c r="V823" s="38"/>
      <c r="W823" s="40"/>
      <c r="X823" s="40"/>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row>
    <row r="824">
      <c r="A824" s="37"/>
      <c r="B824" s="322"/>
      <c r="C824" s="144"/>
      <c r="D824" s="144"/>
      <c r="E824" s="37"/>
      <c r="F824" s="37"/>
      <c r="G824" s="37"/>
      <c r="H824" s="33" t="str">
        <f t="shared" si="33"/>
        <v/>
      </c>
      <c r="I824" s="37"/>
      <c r="J824" s="37"/>
      <c r="K824" s="37"/>
      <c r="L824" s="37"/>
      <c r="M824" s="374"/>
      <c r="N824" s="14"/>
      <c r="O824" s="37"/>
      <c r="P824" s="37"/>
      <c r="Q824" s="64"/>
      <c r="R824" s="16"/>
      <c r="S824" s="37" t="str">
        <f>IFERROR(__xludf.DUMMYFUNCTION("if(not(iserror(index(split(C824, "" ""),2))), index(split(C824, "" ""),1),"""")"),"")</f>
        <v/>
      </c>
      <c r="T824" s="315" t="str">
        <f>IFERROR(__xludf.DUMMYFUNCTION("if(S824="""",C824,if(not(iserror(index(split(C824, "" ""),3))), index(split(C824, "" ""),3),index(split(C824, "" ""),2)))"),"")</f>
        <v/>
      </c>
      <c r="U824" s="38" t="b">
        <f t="shared" si="34"/>
        <v>0</v>
      </c>
      <c r="V824" s="38"/>
      <c r="W824" s="40"/>
      <c r="X824" s="40"/>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row>
    <row r="825">
      <c r="A825" s="37"/>
      <c r="B825" s="322"/>
      <c r="C825" s="144"/>
      <c r="D825" s="144"/>
      <c r="E825" s="37"/>
      <c r="F825" s="37"/>
      <c r="G825" s="37"/>
      <c r="H825" s="33" t="str">
        <f t="shared" si="33"/>
        <v/>
      </c>
      <c r="I825" s="37"/>
      <c r="J825" s="37"/>
      <c r="K825" s="37"/>
      <c r="L825" s="37"/>
      <c r="M825" s="374"/>
      <c r="N825" s="15"/>
      <c r="O825" s="37"/>
      <c r="P825" s="37"/>
      <c r="Q825" s="37"/>
      <c r="R825" s="16"/>
      <c r="S825" s="37" t="str">
        <f>IFERROR(__xludf.DUMMYFUNCTION("if(not(iserror(index(split(C825, "" ""),2))), index(split(C825, "" ""),1),"""")"),"")</f>
        <v/>
      </c>
      <c r="T825" s="315" t="str">
        <f>IFERROR(__xludf.DUMMYFUNCTION("if(S825="""",C825,if(not(iserror(index(split(C825, "" ""),3))), index(split(C825, "" ""),3),index(split(C825, "" ""),2)))"),"")</f>
        <v/>
      </c>
      <c r="U825" s="38" t="b">
        <f t="shared" si="34"/>
        <v>0</v>
      </c>
      <c r="V825" s="38"/>
      <c r="W825" s="40"/>
      <c r="X825" s="40"/>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row>
    <row r="826">
      <c r="A826" s="37"/>
      <c r="B826" s="322"/>
      <c r="C826" s="144"/>
      <c r="D826" s="144"/>
      <c r="E826" s="37"/>
      <c r="F826" s="37"/>
      <c r="G826" s="37"/>
      <c r="H826" s="33" t="str">
        <f t="shared" si="33"/>
        <v/>
      </c>
      <c r="I826" s="37"/>
      <c r="J826" s="37"/>
      <c r="K826" s="37"/>
      <c r="L826" s="37"/>
      <c r="M826" s="374"/>
      <c r="N826" s="15"/>
      <c r="O826" s="16"/>
      <c r="P826" s="16"/>
      <c r="Q826" s="16"/>
      <c r="R826" s="16"/>
      <c r="S826" s="37" t="str">
        <f>IFERROR(__xludf.DUMMYFUNCTION("if(not(iserror(index(split(C826, "" ""),2))), index(split(C826, "" ""),1),"""")"),"")</f>
        <v/>
      </c>
      <c r="T826" s="315" t="str">
        <f>IFERROR(__xludf.DUMMYFUNCTION("if(S826="""",C826,if(not(iserror(index(split(C826, "" ""),3))), index(split(C826, "" ""),3),index(split(C826, "" ""),2)))"),"")</f>
        <v/>
      </c>
      <c r="U826" s="38" t="b">
        <f t="shared" si="34"/>
        <v>0</v>
      </c>
      <c r="V826" s="38"/>
      <c r="W826" s="40"/>
      <c r="X826" s="40"/>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row>
    <row r="827">
      <c r="A827" s="37"/>
      <c r="B827" s="322"/>
      <c r="C827" s="144"/>
      <c r="D827" s="144"/>
      <c r="E827" s="37"/>
      <c r="F827" s="37"/>
      <c r="G827" s="37"/>
      <c r="H827" s="33" t="str">
        <f t="shared" si="33"/>
        <v/>
      </c>
      <c r="I827" s="37"/>
      <c r="J827" s="37"/>
      <c r="K827" s="37"/>
      <c r="L827" s="37"/>
      <c r="M827" s="374"/>
      <c r="N827" s="15"/>
      <c r="O827" s="16"/>
      <c r="P827" s="16"/>
      <c r="Q827" s="16"/>
      <c r="R827" s="16"/>
      <c r="S827" s="37" t="str">
        <f>IFERROR(__xludf.DUMMYFUNCTION("if(not(iserror(index(split(C827, "" ""),2))), index(split(C827, "" ""),1),"""")"),"")</f>
        <v/>
      </c>
      <c r="T827" s="315" t="str">
        <f>IFERROR(__xludf.DUMMYFUNCTION("if(S827="""",C827,if(not(iserror(index(split(C827, "" ""),3))), index(split(C827, "" ""),3),index(split(C827, "" ""),2)))"),"")</f>
        <v/>
      </c>
      <c r="U827" s="38" t="b">
        <f t="shared" si="34"/>
        <v>0</v>
      </c>
      <c r="V827" s="38"/>
      <c r="W827" s="40"/>
      <c r="X827" s="40"/>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row>
    <row r="828">
      <c r="A828" s="37"/>
      <c r="B828" s="381"/>
      <c r="C828" s="144"/>
      <c r="D828" s="144"/>
      <c r="E828" s="37"/>
      <c r="F828" s="37"/>
      <c r="G828" s="37"/>
      <c r="H828" s="33" t="str">
        <f t="shared" si="33"/>
        <v/>
      </c>
      <c r="I828" s="37"/>
      <c r="J828" s="37"/>
      <c r="K828" s="37"/>
      <c r="L828" s="37"/>
      <c r="M828" s="14"/>
      <c r="N828" s="15"/>
      <c r="O828" s="16"/>
      <c r="P828" s="16"/>
      <c r="Q828" s="16"/>
      <c r="R828" s="16"/>
      <c r="S828" s="37" t="str">
        <f>IFERROR(__xludf.DUMMYFUNCTION("if(not(iserror(index(split(C828, "" ""),2))), index(split(C828, "" ""),1),"""")"),"")</f>
        <v/>
      </c>
      <c r="T828" s="315" t="str">
        <f>IFERROR(__xludf.DUMMYFUNCTION("if(S828="""",C828,if(not(iserror(index(split(C828, "" ""),3))), index(split(C828, "" ""),3),index(split(C828, "" ""),2)))"),"")</f>
        <v/>
      </c>
      <c r="U828" s="38" t="b">
        <f t="shared" si="34"/>
        <v>0</v>
      </c>
      <c r="V828" s="38"/>
      <c r="W828" s="40"/>
      <c r="X828" s="40"/>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row>
    <row r="829">
      <c r="A829" s="37"/>
      <c r="B829" s="381"/>
      <c r="C829" s="144"/>
      <c r="D829" s="144"/>
      <c r="E829" s="37"/>
      <c r="F829" s="37"/>
      <c r="G829" s="37"/>
      <c r="H829" s="33" t="str">
        <f t="shared" si="33"/>
        <v/>
      </c>
      <c r="I829" s="37"/>
      <c r="J829" s="37"/>
      <c r="K829" s="37"/>
      <c r="L829" s="37"/>
      <c r="M829" s="14"/>
      <c r="N829" s="15"/>
      <c r="O829" s="37"/>
      <c r="P829" s="37"/>
      <c r="Q829" s="64"/>
      <c r="R829" s="16"/>
      <c r="S829" s="37" t="str">
        <f>IFERROR(__xludf.DUMMYFUNCTION("if(not(iserror(index(split(C829, "" ""),2))), index(split(C829, "" ""),1),"""")"),"")</f>
        <v/>
      </c>
      <c r="T829" s="315" t="str">
        <f>IFERROR(__xludf.DUMMYFUNCTION("if(S829="""",C829,if(not(iserror(index(split(C829, "" ""),3))), index(split(C829, "" ""),3),index(split(C829, "" ""),2)))"),"")</f>
        <v/>
      </c>
      <c r="U829" s="38" t="b">
        <f t="shared" si="34"/>
        <v>0</v>
      </c>
      <c r="V829" s="38"/>
      <c r="W829" s="40"/>
      <c r="X829" s="40"/>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row>
    <row r="830">
      <c r="A830" s="37"/>
      <c r="B830" s="381"/>
      <c r="C830" s="144"/>
      <c r="D830" s="144"/>
      <c r="E830" s="37"/>
      <c r="F830" s="37"/>
      <c r="G830" s="37"/>
      <c r="H830" s="33" t="str">
        <f t="shared" si="33"/>
        <v/>
      </c>
      <c r="I830" s="37"/>
      <c r="J830" s="37"/>
      <c r="K830" s="37"/>
      <c r="L830" s="37"/>
      <c r="M830" s="14"/>
      <c r="N830" s="14"/>
      <c r="O830" s="37"/>
      <c r="P830" s="37"/>
      <c r="Q830" s="37"/>
      <c r="R830" s="16"/>
      <c r="S830" s="37" t="str">
        <f>IFERROR(__xludf.DUMMYFUNCTION("if(not(iserror(index(split(C830, "" ""),2))), index(split(C830, "" ""),1),"""")"),"")</f>
        <v/>
      </c>
      <c r="T830" s="315" t="str">
        <f>IFERROR(__xludf.DUMMYFUNCTION("if(S830="""",C830,if(not(iserror(index(split(C830, "" ""),3))), index(split(C830, "" ""),3),index(split(C830, "" ""),2)))"),"")</f>
        <v/>
      </c>
      <c r="U830" s="38" t="b">
        <f t="shared" si="34"/>
        <v>0</v>
      </c>
      <c r="V830" s="38"/>
      <c r="W830" s="40"/>
      <c r="X830" s="40"/>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row>
    <row r="831">
      <c r="A831" s="37"/>
      <c r="B831" s="381"/>
      <c r="C831" s="144"/>
      <c r="D831" s="144"/>
      <c r="E831" s="37"/>
      <c r="F831" s="37"/>
      <c r="G831" s="37"/>
      <c r="H831" s="33" t="str">
        <f t="shared" si="33"/>
        <v/>
      </c>
      <c r="I831" s="37"/>
      <c r="J831" s="37"/>
      <c r="K831" s="37"/>
      <c r="L831" s="37"/>
      <c r="M831" s="14"/>
      <c r="N831" s="15"/>
      <c r="O831" s="37"/>
      <c r="P831" s="37"/>
      <c r="Q831" s="64"/>
      <c r="R831" s="16"/>
      <c r="S831" s="37" t="str">
        <f>IFERROR(__xludf.DUMMYFUNCTION("if(not(iserror(index(split(C831, "" ""),2))), index(split(C831, "" ""),1),"""")"),"")</f>
        <v/>
      </c>
      <c r="T831" s="315" t="str">
        <f>IFERROR(__xludf.DUMMYFUNCTION("if(S831="""",C831,if(not(iserror(index(split(C831, "" ""),3))), index(split(C831, "" ""),3),index(split(C831, "" ""),2)))"),"")</f>
        <v/>
      </c>
      <c r="U831" s="38" t="b">
        <f t="shared" si="34"/>
        <v>0</v>
      </c>
      <c r="V831" s="38"/>
      <c r="W831" s="40"/>
      <c r="X831" s="40"/>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row>
    <row r="832">
      <c r="A832" s="37"/>
      <c r="B832" s="381"/>
      <c r="C832" s="144"/>
      <c r="D832" s="144"/>
      <c r="E832" s="37"/>
      <c r="F832" s="37"/>
      <c r="G832" s="37"/>
      <c r="H832" s="33" t="str">
        <f t="shared" si="33"/>
        <v/>
      </c>
      <c r="I832" s="37"/>
      <c r="J832" s="37"/>
      <c r="K832" s="37"/>
      <c r="L832" s="37"/>
      <c r="M832" s="14"/>
      <c r="N832" s="15"/>
      <c r="O832" s="37"/>
      <c r="P832" s="37"/>
      <c r="Q832" s="64"/>
      <c r="R832" s="16"/>
      <c r="S832" s="37" t="str">
        <f>IFERROR(__xludf.DUMMYFUNCTION("if(not(iserror(index(split(C832, "" ""),2))), index(split(C832, "" ""),1),"""")"),"")</f>
        <v/>
      </c>
      <c r="T832" s="315" t="str">
        <f>IFERROR(__xludf.DUMMYFUNCTION("if(S832="""",C832,if(not(iserror(index(split(C832, "" ""),3))), index(split(C832, "" ""),3),index(split(C832, "" ""),2)))"),"")</f>
        <v/>
      </c>
      <c r="U832" s="38" t="b">
        <f t="shared" si="34"/>
        <v>0</v>
      </c>
      <c r="V832" s="38"/>
      <c r="W832" s="40"/>
      <c r="X832" s="40"/>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row>
    <row r="833">
      <c r="A833" s="37"/>
      <c r="B833" s="381"/>
      <c r="C833" s="144"/>
      <c r="D833" s="144"/>
      <c r="E833" s="37"/>
      <c r="F833" s="37"/>
      <c r="G833" s="37"/>
      <c r="H833" s="33" t="str">
        <f t="shared" si="33"/>
        <v/>
      </c>
      <c r="I833" s="37"/>
      <c r="J833" s="37"/>
      <c r="K833" s="37"/>
      <c r="L833" s="37"/>
      <c r="M833" s="14"/>
      <c r="N833" s="14"/>
      <c r="O833" s="37"/>
      <c r="P833" s="37"/>
      <c r="Q833" s="37"/>
      <c r="R833" s="16"/>
      <c r="S833" s="37" t="str">
        <f>IFERROR(__xludf.DUMMYFUNCTION("if(not(iserror(index(split(C833, "" ""),2))), index(split(C833, "" ""),1),"""")"),"")</f>
        <v/>
      </c>
      <c r="T833" s="315" t="str">
        <f>IFERROR(__xludf.DUMMYFUNCTION("if(S833="""",C833,if(not(iserror(index(split(C833, "" ""),3))), index(split(C833, "" ""),3),index(split(C833, "" ""),2)))"),"")</f>
        <v/>
      </c>
      <c r="U833" s="38" t="b">
        <f t="shared" si="34"/>
        <v>0</v>
      </c>
      <c r="V833" s="38"/>
      <c r="W833" s="40"/>
      <c r="X833" s="40"/>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row>
    <row r="834">
      <c r="A834" s="91"/>
      <c r="B834" s="382"/>
      <c r="C834" s="146"/>
      <c r="D834" s="146"/>
      <c r="E834" s="91"/>
      <c r="F834" s="91"/>
      <c r="G834" s="91"/>
      <c r="H834" s="33" t="str">
        <f t="shared" si="33"/>
        <v/>
      </c>
      <c r="I834" s="91"/>
      <c r="J834" s="91"/>
      <c r="K834" s="91"/>
      <c r="L834" s="37"/>
      <c r="M834" s="95"/>
      <c r="N834" s="95"/>
      <c r="O834" s="37"/>
      <c r="P834" s="37"/>
      <c r="Q834" s="64"/>
      <c r="R834" s="16"/>
      <c r="S834" s="37" t="str">
        <f>IFERROR(__xludf.DUMMYFUNCTION("if(not(iserror(index(split(C834, "" ""),2))), index(split(C834, "" ""),1),"""")"),"")</f>
        <v/>
      </c>
      <c r="T834" s="315" t="str">
        <f>IFERROR(__xludf.DUMMYFUNCTION("if(S834="""",C834,if(not(iserror(index(split(C834, "" ""),3))), index(split(C834, "" ""),3),index(split(C834, "" ""),2)))"),"")</f>
        <v/>
      </c>
      <c r="U834" s="38" t="b">
        <f t="shared" si="34"/>
        <v>0</v>
      </c>
      <c r="V834" s="38"/>
      <c r="W834" s="40"/>
      <c r="X834" s="40"/>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row>
    <row r="835">
      <c r="A835" s="37"/>
      <c r="B835" s="159"/>
      <c r="C835" s="144"/>
      <c r="D835" s="144"/>
      <c r="E835" s="37"/>
      <c r="F835" s="37"/>
      <c r="G835" s="37"/>
      <c r="H835" s="33" t="str">
        <f t="shared" si="33"/>
        <v/>
      </c>
      <c r="I835" s="37"/>
      <c r="J835" s="37"/>
      <c r="K835" s="37"/>
      <c r="L835" s="37"/>
      <c r="M835" s="14"/>
      <c r="N835" s="15"/>
      <c r="O835" s="37"/>
      <c r="P835" s="37"/>
      <c r="Q835" s="64"/>
      <c r="R835" s="16"/>
      <c r="S835" s="37" t="str">
        <f>IFERROR(__xludf.DUMMYFUNCTION("if(not(iserror(index(split(C835, "" ""),2))), index(split(C835, "" ""),1),"""")"),"")</f>
        <v/>
      </c>
      <c r="T835" s="315" t="str">
        <f>IFERROR(__xludf.DUMMYFUNCTION("if(S835="""",C835,if(not(iserror(index(split(C835, "" ""),3))), index(split(C835, "" ""),3),index(split(C835, "" ""),2)))"),"")</f>
        <v/>
      </c>
      <c r="U835" s="38" t="b">
        <f t="shared" si="34"/>
        <v>0</v>
      </c>
      <c r="V835" s="38"/>
      <c r="W835" s="40"/>
      <c r="X835" s="40"/>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row>
    <row r="836">
      <c r="A836" s="37"/>
      <c r="B836" s="159"/>
      <c r="C836" s="144"/>
      <c r="D836" s="144"/>
      <c r="E836" s="37"/>
      <c r="F836" s="37"/>
      <c r="G836" s="37"/>
      <c r="H836" s="33" t="str">
        <f t="shared" si="33"/>
        <v/>
      </c>
      <c r="I836" s="37"/>
      <c r="J836" s="37"/>
      <c r="K836" s="37"/>
      <c r="L836" s="37"/>
      <c r="M836" s="14"/>
      <c r="N836" s="15"/>
      <c r="O836" s="37"/>
      <c r="P836" s="37"/>
      <c r="Q836" s="64"/>
      <c r="R836" s="16"/>
      <c r="S836" s="37" t="str">
        <f>IFERROR(__xludf.DUMMYFUNCTION("if(not(iserror(index(split(C836, "" ""),2))), index(split(C836, "" ""),1),"""")"),"")</f>
        <v/>
      </c>
      <c r="T836" s="315" t="str">
        <f>IFERROR(__xludf.DUMMYFUNCTION("if(S836="""",C836,if(not(iserror(index(split(C836, "" ""),3))), index(split(C836, "" ""),3),index(split(C836, "" ""),2)))"),"")</f>
        <v/>
      </c>
      <c r="U836" s="38" t="b">
        <f t="shared" si="34"/>
        <v>0</v>
      </c>
      <c r="V836" s="38"/>
      <c r="W836" s="40"/>
      <c r="X836" s="40"/>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row>
    <row r="837">
      <c r="A837" s="37"/>
      <c r="B837" s="159"/>
      <c r="C837" s="144"/>
      <c r="D837" s="144"/>
      <c r="E837" s="37"/>
      <c r="F837" s="37"/>
      <c r="G837" s="37"/>
      <c r="H837" s="33" t="str">
        <f t="shared" si="33"/>
        <v/>
      </c>
      <c r="I837" s="37"/>
      <c r="J837" s="37"/>
      <c r="K837" s="37"/>
      <c r="L837" s="37"/>
      <c r="M837" s="14"/>
      <c r="N837" s="15"/>
      <c r="O837" s="37"/>
      <c r="P837" s="37"/>
      <c r="Q837" s="64"/>
      <c r="R837" s="16"/>
      <c r="S837" s="37" t="str">
        <f>IFERROR(__xludf.DUMMYFUNCTION("if(not(iserror(index(split(C837, "" ""),2))), index(split(C837, "" ""),1),"""")"),"")</f>
        <v/>
      </c>
      <c r="T837" s="315" t="str">
        <f>IFERROR(__xludf.DUMMYFUNCTION("if(S837="""",C837,if(not(iserror(index(split(C837, "" ""),3))), index(split(C837, "" ""),3),index(split(C837, "" ""),2)))"),"")</f>
        <v/>
      </c>
      <c r="U837" s="38" t="b">
        <f t="shared" si="34"/>
        <v>0</v>
      </c>
      <c r="V837" s="38"/>
      <c r="W837" s="40"/>
      <c r="X837" s="40"/>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row>
    <row r="838">
      <c r="A838" s="91"/>
      <c r="B838" s="382"/>
      <c r="C838" s="146"/>
      <c r="D838" s="146"/>
      <c r="E838" s="91"/>
      <c r="F838" s="91"/>
      <c r="G838" s="91"/>
      <c r="H838" s="33" t="str">
        <f t="shared" si="33"/>
        <v/>
      </c>
      <c r="I838" s="91"/>
      <c r="J838" s="91"/>
      <c r="K838" s="91"/>
      <c r="L838" s="91"/>
      <c r="M838" s="95"/>
      <c r="N838" s="15"/>
      <c r="O838" s="37"/>
      <c r="P838" s="37"/>
      <c r="Q838" s="64"/>
      <c r="R838" s="16"/>
      <c r="S838" s="37" t="str">
        <f>IFERROR(__xludf.DUMMYFUNCTION("if(not(iserror(index(split(C838, "" ""),2))), index(split(C838, "" ""),1),"""")"),"")</f>
        <v/>
      </c>
      <c r="T838" s="315" t="str">
        <f>IFERROR(__xludf.DUMMYFUNCTION("if(S838="""",C838,if(not(iserror(index(split(C838, "" ""),3))), index(split(C838, "" ""),3),index(split(C838, "" ""),2)))"),"")</f>
        <v/>
      </c>
      <c r="U838" s="38" t="b">
        <f t="shared" si="34"/>
        <v>0</v>
      </c>
      <c r="V838" s="38"/>
      <c r="W838" s="40"/>
      <c r="X838" s="40"/>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row>
    <row r="839">
      <c r="A839" s="375"/>
      <c r="B839" s="381"/>
      <c r="C839" s="144"/>
      <c r="D839" s="144"/>
      <c r="E839" s="37"/>
      <c r="F839" s="37"/>
      <c r="G839" s="37"/>
      <c r="H839" s="33" t="str">
        <f t="shared" si="33"/>
        <v/>
      </c>
      <c r="I839" s="37"/>
      <c r="J839" s="37"/>
      <c r="K839" s="37"/>
      <c r="L839" s="37"/>
      <c r="M839" s="120"/>
      <c r="N839" s="15"/>
      <c r="O839" s="37"/>
      <c r="P839" s="16"/>
      <c r="Q839" s="37"/>
      <c r="R839" s="16"/>
      <c r="S839" s="37" t="str">
        <f>IFERROR(__xludf.DUMMYFUNCTION("if(not(iserror(index(split(C839, "" ""),2))), index(split(C839, "" ""),1),"""")"),"")</f>
        <v/>
      </c>
      <c r="T839" s="315" t="str">
        <f>IFERROR(__xludf.DUMMYFUNCTION("if(S839="""",C839,if(not(iserror(index(split(C839, "" ""),3))), index(split(C839, "" ""),3),index(split(C839, "" ""),2)))"),"")</f>
        <v/>
      </c>
      <c r="U839" s="38" t="b">
        <f t="shared" si="34"/>
        <v>0</v>
      </c>
      <c r="V839" s="38"/>
      <c r="W839" s="40"/>
      <c r="X839" s="40"/>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row>
    <row r="840">
      <c r="A840" s="37"/>
      <c r="B840" s="381"/>
      <c r="C840" s="144"/>
      <c r="D840" s="144"/>
      <c r="E840" s="37"/>
      <c r="F840" s="37"/>
      <c r="G840" s="37"/>
      <c r="H840" s="33" t="str">
        <f t="shared" si="33"/>
        <v/>
      </c>
      <c r="I840" s="37"/>
      <c r="J840" s="37"/>
      <c r="K840" s="37"/>
      <c r="L840" s="37"/>
      <c r="M840" s="14"/>
      <c r="N840" s="15"/>
      <c r="O840" s="16"/>
      <c r="P840" s="16"/>
      <c r="Q840" s="16"/>
      <c r="R840" s="16"/>
      <c r="S840" s="37" t="str">
        <f>IFERROR(__xludf.DUMMYFUNCTION("if(not(iserror(index(split(C840, "" ""),2))), index(split(C840, "" ""),1),"""")"),"")</f>
        <v/>
      </c>
      <c r="T840" s="315" t="str">
        <f>IFERROR(__xludf.DUMMYFUNCTION("if(S840="""",C840,if(not(iserror(index(split(C840, "" ""),3))), index(split(C840, "" ""),3),index(split(C840, "" ""),2)))"),"")</f>
        <v/>
      </c>
      <c r="U840" s="38" t="b">
        <f t="shared" si="34"/>
        <v>0</v>
      </c>
      <c r="V840" s="38"/>
      <c r="W840" s="40"/>
      <c r="X840" s="40"/>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row>
    <row r="841">
      <c r="A841" s="37"/>
      <c r="B841" s="381"/>
      <c r="C841" s="144"/>
      <c r="D841" s="144"/>
      <c r="E841" s="37"/>
      <c r="F841" s="37"/>
      <c r="G841" s="37"/>
      <c r="H841" s="33" t="str">
        <f t="shared" si="33"/>
        <v/>
      </c>
      <c r="I841" s="37"/>
      <c r="J841" s="37"/>
      <c r="K841" s="37"/>
      <c r="L841" s="37"/>
      <c r="M841" s="14"/>
      <c r="N841" s="15"/>
      <c r="O841" s="16"/>
      <c r="P841" s="16"/>
      <c r="Q841" s="16"/>
      <c r="R841" s="16"/>
      <c r="S841" s="37" t="str">
        <f>IFERROR(__xludf.DUMMYFUNCTION("if(not(iserror(index(split(C841, "" ""),2))), index(split(C841, "" ""),1),"""")"),"")</f>
        <v/>
      </c>
      <c r="T841" s="315" t="str">
        <f>IFERROR(__xludf.DUMMYFUNCTION("if(S841="""",C841,if(not(iserror(index(split(C841, "" ""),3))), index(split(C841, "" ""),3),index(split(C841, "" ""),2)))"),"")</f>
        <v/>
      </c>
      <c r="U841" s="38" t="b">
        <f t="shared" si="34"/>
        <v>0</v>
      </c>
      <c r="V841" s="38"/>
      <c r="W841" s="40"/>
      <c r="X841" s="40"/>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row>
    <row r="842">
      <c r="A842" s="37"/>
      <c r="B842" s="381"/>
      <c r="C842" s="144"/>
      <c r="D842" s="144"/>
      <c r="E842" s="37"/>
      <c r="F842" s="37"/>
      <c r="G842" s="37"/>
      <c r="H842" s="33" t="str">
        <f t="shared" si="33"/>
        <v/>
      </c>
      <c r="I842" s="37"/>
      <c r="J842" s="37"/>
      <c r="K842" s="37"/>
      <c r="L842" s="37"/>
      <c r="M842" s="14"/>
      <c r="N842" s="15"/>
      <c r="O842" s="16"/>
      <c r="P842" s="16"/>
      <c r="Q842" s="16"/>
      <c r="R842" s="16"/>
      <c r="S842" s="37" t="str">
        <f>IFERROR(__xludf.DUMMYFUNCTION("if(not(iserror(index(split(C842, "" ""),2))), index(split(C842, "" ""),1),"""")"),"")</f>
        <v/>
      </c>
      <c r="T842" s="315" t="str">
        <f>IFERROR(__xludf.DUMMYFUNCTION("if(S842="""",C842,if(not(iserror(index(split(C842, "" ""),3))), index(split(C842, "" ""),3),index(split(C842, "" ""),2)))"),"")</f>
        <v/>
      </c>
      <c r="U842" s="38" t="b">
        <f t="shared" si="34"/>
        <v>0</v>
      </c>
      <c r="V842" s="38"/>
      <c r="W842" s="40"/>
      <c r="X842" s="40"/>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row>
    <row r="843">
      <c r="A843" s="37"/>
      <c r="B843" s="381"/>
      <c r="C843" s="144"/>
      <c r="D843" s="144"/>
      <c r="E843" s="37"/>
      <c r="F843" s="37"/>
      <c r="G843" s="37"/>
      <c r="H843" s="33" t="str">
        <f t="shared" si="33"/>
        <v/>
      </c>
      <c r="I843" s="37"/>
      <c r="J843" s="37"/>
      <c r="K843" s="37"/>
      <c r="L843" s="37"/>
      <c r="M843" s="14"/>
      <c r="N843" s="15"/>
      <c r="O843" s="37"/>
      <c r="P843" s="37"/>
      <c r="Q843" s="64"/>
      <c r="R843" s="16"/>
      <c r="S843" s="37" t="str">
        <f>IFERROR(__xludf.DUMMYFUNCTION("if(not(iserror(index(split(C843, "" ""),2))), index(split(C843, "" ""),1),"""")"),"")</f>
        <v/>
      </c>
      <c r="T843" s="315" t="str">
        <f>IFERROR(__xludf.DUMMYFUNCTION("if(S843="""",C843,if(not(iserror(index(split(C843, "" ""),3))), index(split(C843, "" ""),3),index(split(C843, "" ""),2)))"),"")</f>
        <v/>
      </c>
      <c r="U843" s="38" t="b">
        <f t="shared" si="34"/>
        <v>0</v>
      </c>
      <c r="V843" s="38"/>
      <c r="W843" s="40"/>
      <c r="X843" s="40"/>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row>
    <row r="844">
      <c r="A844" s="37"/>
      <c r="B844" s="381"/>
      <c r="C844" s="144"/>
      <c r="D844" s="144"/>
      <c r="E844" s="37"/>
      <c r="F844" s="37"/>
      <c r="G844" s="37"/>
      <c r="H844" s="33" t="str">
        <f t="shared" si="33"/>
        <v/>
      </c>
      <c r="I844" s="37"/>
      <c r="J844" s="37"/>
      <c r="K844" s="37"/>
      <c r="L844" s="37"/>
      <c r="M844" s="14"/>
      <c r="N844" s="15"/>
      <c r="O844" s="37"/>
      <c r="P844" s="37"/>
      <c r="Q844" s="64"/>
      <c r="R844" s="16"/>
      <c r="S844" s="37" t="str">
        <f>IFERROR(__xludf.DUMMYFUNCTION("if(not(iserror(index(split(C844, "" ""),2))), index(split(C844, "" ""),1),"""")"),"")</f>
        <v/>
      </c>
      <c r="T844" s="315" t="str">
        <f>IFERROR(__xludf.DUMMYFUNCTION("if(S844="""",C844,if(not(iserror(index(split(C844, "" ""),3))), index(split(C844, "" ""),3),index(split(C844, "" ""),2)))"),"")</f>
        <v/>
      </c>
      <c r="U844" s="38" t="b">
        <f t="shared" si="34"/>
        <v>0</v>
      </c>
      <c r="V844" s="38"/>
      <c r="W844" s="40"/>
      <c r="X844" s="40"/>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row>
    <row r="845">
      <c r="A845" s="37"/>
      <c r="B845" s="381"/>
      <c r="C845" s="144"/>
      <c r="D845" s="144"/>
      <c r="E845" s="37"/>
      <c r="F845" s="37"/>
      <c r="G845" s="37"/>
      <c r="H845" s="33" t="str">
        <f t="shared" si="33"/>
        <v/>
      </c>
      <c r="I845" s="37"/>
      <c r="J845" s="37"/>
      <c r="K845" s="37"/>
      <c r="L845" s="58"/>
      <c r="M845" s="14"/>
      <c r="N845" s="14"/>
      <c r="O845" s="37"/>
      <c r="P845" s="37"/>
      <c r="Q845" s="64"/>
      <c r="R845" s="16"/>
      <c r="S845" s="37" t="str">
        <f>IFERROR(__xludf.DUMMYFUNCTION("if(not(iserror(index(split(C845, "" ""),2))), index(split(C845, "" ""),1),"""")"),"")</f>
        <v/>
      </c>
      <c r="T845" s="315" t="str">
        <f>IFERROR(__xludf.DUMMYFUNCTION("if(S845="""",C845,if(not(iserror(index(split(C845, "" ""),3))), index(split(C845, "" ""),3),index(split(C845, "" ""),2)))"),"")</f>
        <v/>
      </c>
      <c r="U845" s="38" t="b">
        <f t="shared" si="34"/>
        <v>0</v>
      </c>
      <c r="V845" s="38"/>
      <c r="W845" s="40"/>
      <c r="X845" s="40"/>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row>
    <row r="846">
      <c r="A846" s="37"/>
      <c r="B846" s="381"/>
      <c r="C846" s="144"/>
      <c r="D846" s="144"/>
      <c r="E846" s="37"/>
      <c r="F846" s="37"/>
      <c r="G846" s="37"/>
      <c r="H846" s="33" t="str">
        <f t="shared" si="33"/>
        <v/>
      </c>
      <c r="I846" s="37"/>
      <c r="J846" s="37"/>
      <c r="K846" s="37"/>
      <c r="L846" s="37"/>
      <c r="M846" s="14"/>
      <c r="N846" s="15"/>
      <c r="O846" s="37"/>
      <c r="P846" s="37"/>
      <c r="Q846" s="64"/>
      <c r="R846" s="16"/>
      <c r="S846" s="37" t="str">
        <f>IFERROR(__xludf.DUMMYFUNCTION("if(not(iserror(index(split(C846, "" ""),2))), index(split(C846, "" ""),1),"""")"),"")</f>
        <v/>
      </c>
      <c r="T846" s="315" t="str">
        <f>IFERROR(__xludf.DUMMYFUNCTION("if(S846="""",C846,if(not(iserror(index(split(C846, "" ""),3))), index(split(C846, "" ""),3),index(split(C846, "" ""),2)))"),"")</f>
        <v/>
      </c>
      <c r="U846" s="38" t="b">
        <f t="shared" si="34"/>
        <v>0</v>
      </c>
      <c r="V846" s="38"/>
      <c r="W846" s="40"/>
      <c r="X846" s="40"/>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row>
    <row r="847">
      <c r="A847" s="37"/>
      <c r="B847" s="381"/>
      <c r="C847" s="144"/>
      <c r="D847" s="144"/>
      <c r="E847" s="37"/>
      <c r="F847" s="37"/>
      <c r="G847" s="37"/>
      <c r="H847" s="33" t="str">
        <f t="shared" si="33"/>
        <v/>
      </c>
      <c r="I847" s="37"/>
      <c r="J847" s="37"/>
      <c r="K847" s="37"/>
      <c r="L847" s="37"/>
      <c r="M847" s="14"/>
      <c r="N847" s="15"/>
      <c r="O847" s="37"/>
      <c r="P847" s="37"/>
      <c r="Q847" s="64"/>
      <c r="R847" s="16"/>
      <c r="S847" s="37" t="str">
        <f>IFERROR(__xludf.DUMMYFUNCTION("if(not(iserror(index(split(C847, "" ""),2))), index(split(C847, "" ""),1),"""")"),"")</f>
        <v/>
      </c>
      <c r="T847" s="315" t="str">
        <f>IFERROR(__xludf.DUMMYFUNCTION("if(S847="""",C847,if(not(iserror(index(split(C847, "" ""),3))), index(split(C847, "" ""),3),index(split(C847, "" ""),2)))"),"")</f>
        <v/>
      </c>
      <c r="U847" s="38" t="b">
        <f t="shared" si="34"/>
        <v>0</v>
      </c>
      <c r="V847" s="38"/>
      <c r="W847" s="40"/>
      <c r="X847" s="40"/>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row>
    <row r="848">
      <c r="A848" s="37"/>
      <c r="B848" s="381"/>
      <c r="C848" s="144"/>
      <c r="D848" s="144"/>
      <c r="E848" s="37"/>
      <c r="F848" s="37"/>
      <c r="G848" s="37"/>
      <c r="H848" s="33" t="str">
        <f t="shared" si="33"/>
        <v/>
      </c>
      <c r="I848" s="37"/>
      <c r="J848" s="37"/>
      <c r="K848" s="37"/>
      <c r="L848" s="37"/>
      <c r="M848" s="14"/>
      <c r="N848" s="15"/>
      <c r="O848" s="16"/>
      <c r="P848" s="16"/>
      <c r="Q848" s="16"/>
      <c r="R848" s="16"/>
      <c r="S848" s="37" t="str">
        <f>IFERROR(__xludf.DUMMYFUNCTION("if(not(iserror(index(split(C848, "" ""),2))), index(split(C848, "" ""),1),"""")"),"")</f>
        <v/>
      </c>
      <c r="T848" s="315" t="str">
        <f>IFERROR(__xludf.DUMMYFUNCTION("if(S848="""",C848,if(not(iserror(index(split(C848, "" ""),3))), index(split(C848, "" ""),3),index(split(C848, "" ""),2)))"),"")</f>
        <v/>
      </c>
      <c r="U848" s="38" t="b">
        <f t="shared" si="34"/>
        <v>0</v>
      </c>
      <c r="V848" s="38"/>
      <c r="W848" s="40"/>
      <c r="X848" s="40"/>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row>
    <row r="849">
      <c r="A849" s="37"/>
      <c r="B849" s="381"/>
      <c r="C849" s="144"/>
      <c r="D849" s="144"/>
      <c r="E849" s="37"/>
      <c r="F849" s="37"/>
      <c r="G849" s="37"/>
      <c r="H849" s="33" t="str">
        <f t="shared" si="33"/>
        <v/>
      </c>
      <c r="I849" s="37"/>
      <c r="J849" s="37"/>
      <c r="K849" s="37"/>
      <c r="L849" s="37"/>
      <c r="M849" s="14"/>
      <c r="N849" s="15"/>
      <c r="O849" s="37"/>
      <c r="P849" s="37"/>
      <c r="Q849" s="64"/>
      <c r="R849" s="16"/>
      <c r="S849" s="37" t="str">
        <f>IFERROR(__xludf.DUMMYFUNCTION("if(not(iserror(index(split(C849, "" ""),2))), index(split(C849, "" ""),1),"""")"),"")</f>
        <v/>
      </c>
      <c r="T849" s="315" t="str">
        <f>IFERROR(__xludf.DUMMYFUNCTION("if(S849="""",C849,if(not(iserror(index(split(C849, "" ""),3))), index(split(C849, "" ""),3),index(split(C849, "" ""),2)))"),"")</f>
        <v/>
      </c>
      <c r="U849" s="38" t="b">
        <f t="shared" si="34"/>
        <v>0</v>
      </c>
      <c r="V849" s="38"/>
      <c r="W849" s="40"/>
      <c r="X849" s="40"/>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row>
    <row r="850">
      <c r="A850" s="37"/>
      <c r="B850" s="381"/>
      <c r="C850" s="144"/>
      <c r="D850" s="144"/>
      <c r="E850" s="37"/>
      <c r="F850" s="37"/>
      <c r="G850" s="37"/>
      <c r="H850" s="33" t="str">
        <f t="shared" si="33"/>
        <v/>
      </c>
      <c r="I850" s="37"/>
      <c r="J850" s="37"/>
      <c r="K850" s="37"/>
      <c r="L850" s="37"/>
      <c r="M850" s="14"/>
      <c r="N850" s="15"/>
      <c r="O850" s="37"/>
      <c r="P850" s="37"/>
      <c r="Q850" s="64"/>
      <c r="R850" s="16"/>
      <c r="S850" s="37" t="str">
        <f>IFERROR(__xludf.DUMMYFUNCTION("if(not(iserror(index(split(C850, "" ""),2))), index(split(C850, "" ""),1),"""")"),"")</f>
        <v/>
      </c>
      <c r="T850" s="315" t="str">
        <f>IFERROR(__xludf.DUMMYFUNCTION("if(S850="""",C850,if(not(iserror(index(split(C850, "" ""),3))), index(split(C850, "" ""),3),index(split(C850, "" ""),2)))"),"")</f>
        <v/>
      </c>
      <c r="U850" s="38" t="b">
        <f t="shared" si="34"/>
        <v>0</v>
      </c>
      <c r="V850" s="38"/>
      <c r="W850" s="40"/>
      <c r="X850" s="40"/>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row>
    <row r="851">
      <c r="A851" s="37"/>
      <c r="B851" s="381"/>
      <c r="C851" s="144"/>
      <c r="D851" s="144"/>
      <c r="E851" s="37"/>
      <c r="F851" s="37"/>
      <c r="G851" s="37"/>
      <c r="H851" s="33" t="str">
        <f t="shared" si="33"/>
        <v/>
      </c>
      <c r="I851" s="37"/>
      <c r="J851" s="37"/>
      <c r="K851" s="37"/>
      <c r="L851" s="37"/>
      <c r="M851" s="14"/>
      <c r="N851" s="15"/>
      <c r="O851" s="37"/>
      <c r="P851" s="37"/>
      <c r="Q851" s="64"/>
      <c r="R851" s="16"/>
      <c r="S851" s="37" t="str">
        <f>IFERROR(__xludf.DUMMYFUNCTION("if(not(iserror(index(split(C851, "" ""),2))), index(split(C851, "" ""),1),"""")"),"")</f>
        <v/>
      </c>
      <c r="T851" s="315" t="str">
        <f>IFERROR(__xludf.DUMMYFUNCTION("if(S851="""",C851,if(not(iserror(index(split(C851, "" ""),3))), index(split(C851, "" ""),3),index(split(C851, "" ""),2)))"),"")</f>
        <v/>
      </c>
      <c r="U851" s="38" t="b">
        <f t="shared" si="34"/>
        <v>0</v>
      </c>
      <c r="V851" s="38"/>
      <c r="W851" s="40"/>
      <c r="X851" s="40"/>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row>
    <row r="852">
      <c r="A852" s="37"/>
      <c r="B852" s="381"/>
      <c r="C852" s="144"/>
      <c r="D852" s="144"/>
      <c r="E852" s="37"/>
      <c r="F852" s="37"/>
      <c r="G852" s="37"/>
      <c r="H852" s="33" t="str">
        <f t="shared" si="33"/>
        <v/>
      </c>
      <c r="I852" s="37"/>
      <c r="J852" s="37"/>
      <c r="K852" s="37"/>
      <c r="L852" s="37"/>
      <c r="M852" s="14"/>
      <c r="N852" s="15"/>
      <c r="O852" s="16"/>
      <c r="P852" s="16"/>
      <c r="Q852" s="16"/>
      <c r="R852" s="16"/>
      <c r="S852" s="37" t="str">
        <f>IFERROR(__xludf.DUMMYFUNCTION("if(not(iserror(index(split(C852, "" ""),2))), index(split(C852, "" ""),1),"""")"),"")</f>
        <v/>
      </c>
      <c r="T852" s="315" t="str">
        <f>IFERROR(__xludf.DUMMYFUNCTION("if(S852="""",C852,if(not(iserror(index(split(C852, "" ""),3))), index(split(C852, "" ""),3),index(split(C852, "" ""),2)))"),"")</f>
        <v/>
      </c>
      <c r="U852" s="38" t="b">
        <f t="shared" si="34"/>
        <v>0</v>
      </c>
      <c r="V852" s="38"/>
      <c r="W852" s="40"/>
      <c r="X852" s="40"/>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row>
    <row r="853">
      <c r="A853" s="37"/>
      <c r="B853" s="381"/>
      <c r="C853" s="144"/>
      <c r="D853" s="144"/>
      <c r="E853" s="37"/>
      <c r="F853" s="37"/>
      <c r="G853" s="37"/>
      <c r="H853" s="33" t="str">
        <f t="shared" si="33"/>
        <v/>
      </c>
      <c r="I853" s="37"/>
      <c r="J853" s="37"/>
      <c r="K853" s="37"/>
      <c r="L853" s="37"/>
      <c r="M853" s="14"/>
      <c r="N853" s="15"/>
      <c r="O853" s="16"/>
      <c r="P853" s="16"/>
      <c r="Q853" s="16"/>
      <c r="R853" s="16"/>
      <c r="S853" s="37" t="str">
        <f>IFERROR(__xludf.DUMMYFUNCTION("if(not(iserror(index(split(C853, "" ""),2))), index(split(C853, "" ""),1),"""")"),"")</f>
        <v/>
      </c>
      <c r="T853" s="315" t="str">
        <f>IFERROR(__xludf.DUMMYFUNCTION("if(S853="""",C853,if(not(iserror(index(split(C853, "" ""),3))), index(split(C853, "" ""),3),index(split(C853, "" ""),2)))"),"")</f>
        <v/>
      </c>
      <c r="U853" s="38" t="b">
        <f t="shared" si="34"/>
        <v>0</v>
      </c>
      <c r="V853" s="38"/>
      <c r="W853" s="40"/>
      <c r="X853" s="40"/>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row>
    <row r="854">
      <c r="A854" s="37"/>
      <c r="B854" s="322"/>
      <c r="C854" s="144"/>
      <c r="D854" s="144"/>
      <c r="E854" s="37"/>
      <c r="F854" s="37"/>
      <c r="G854" s="37"/>
      <c r="H854" s="33" t="str">
        <f t="shared" si="33"/>
        <v/>
      </c>
      <c r="I854" s="37"/>
      <c r="J854" s="37"/>
      <c r="K854" s="37"/>
      <c r="L854" s="37"/>
      <c r="M854" s="14"/>
      <c r="N854" s="15"/>
      <c r="O854" s="16"/>
      <c r="P854" s="16"/>
      <c r="Q854" s="16"/>
      <c r="R854" s="16"/>
      <c r="S854" s="37" t="str">
        <f>IFERROR(__xludf.DUMMYFUNCTION("if(not(iserror(index(split(C854, "" ""),2))), index(split(C854, "" ""),1),"""")"),"")</f>
        <v/>
      </c>
      <c r="T854" s="315" t="str">
        <f>IFERROR(__xludf.DUMMYFUNCTION("if(S854="""",C854,if(not(iserror(index(split(C854, "" ""),3))), index(split(C854, "" ""),3),index(split(C854, "" ""),2)))"),"")</f>
        <v/>
      </c>
      <c r="U854" s="38" t="b">
        <f t="shared" si="34"/>
        <v>0</v>
      </c>
      <c r="V854" s="38"/>
      <c r="W854" s="40"/>
      <c r="X854" s="40"/>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row>
    <row r="855">
      <c r="A855" s="37"/>
      <c r="B855" s="322"/>
      <c r="C855" s="144"/>
      <c r="D855" s="144"/>
      <c r="E855" s="37"/>
      <c r="F855" s="37"/>
      <c r="G855" s="37"/>
      <c r="H855" s="33" t="str">
        <f t="shared" si="33"/>
        <v/>
      </c>
      <c r="I855" s="37"/>
      <c r="J855" s="37"/>
      <c r="K855" s="37"/>
      <c r="L855" s="37"/>
      <c r="M855" s="14"/>
      <c r="N855" s="15"/>
      <c r="O855" s="16"/>
      <c r="P855" s="16"/>
      <c r="Q855" s="16"/>
      <c r="R855" s="16"/>
      <c r="S855" s="37" t="str">
        <f>IFERROR(__xludf.DUMMYFUNCTION("if(not(iserror(index(split(C855, "" ""),2))), index(split(C855, "" ""),1),"""")"),"")</f>
        <v/>
      </c>
      <c r="T855" s="315" t="str">
        <f>IFERROR(__xludf.DUMMYFUNCTION("if(S855="""",C855,if(not(iserror(index(split(C855, "" ""),3))), index(split(C855, "" ""),3),index(split(C855, "" ""),2)))"),"")</f>
        <v/>
      </c>
      <c r="U855" s="38" t="b">
        <f t="shared" si="34"/>
        <v>0</v>
      </c>
      <c r="V855" s="38"/>
      <c r="W855" s="40"/>
      <c r="X855" s="40"/>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row>
    <row r="856">
      <c r="A856" s="37"/>
      <c r="B856" s="322"/>
      <c r="C856" s="144"/>
      <c r="D856" s="144"/>
      <c r="E856" s="37"/>
      <c r="F856" s="37"/>
      <c r="G856" s="37"/>
      <c r="H856" s="33" t="str">
        <f t="shared" si="33"/>
        <v/>
      </c>
      <c r="I856" s="37"/>
      <c r="J856" s="37"/>
      <c r="K856" s="37"/>
      <c r="L856" s="37"/>
      <c r="M856" s="14"/>
      <c r="N856" s="15"/>
      <c r="O856" s="37"/>
      <c r="P856" s="16"/>
      <c r="Q856" s="64"/>
      <c r="R856" s="16"/>
      <c r="S856" s="37" t="str">
        <f>IFERROR(__xludf.DUMMYFUNCTION("if(not(iserror(index(split(C856, "" ""),2))), index(split(C856, "" ""),1),"""")"),"")</f>
        <v/>
      </c>
      <c r="T856" s="315" t="str">
        <f>IFERROR(__xludf.DUMMYFUNCTION("if(S856="""",C856,if(not(iserror(index(split(C856, "" ""),3))), index(split(C856, "" ""),3),index(split(C856, "" ""),2)))"),"")</f>
        <v/>
      </c>
      <c r="U856" s="38" t="b">
        <f t="shared" si="34"/>
        <v>0</v>
      </c>
      <c r="V856" s="38"/>
      <c r="W856" s="40"/>
      <c r="X856" s="40"/>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row>
    <row r="857">
      <c r="A857" s="37"/>
      <c r="B857" s="322"/>
      <c r="C857" s="144"/>
      <c r="D857" s="144"/>
      <c r="E857" s="37"/>
      <c r="F857" s="37"/>
      <c r="G857" s="37"/>
      <c r="H857" s="33" t="str">
        <f t="shared" si="33"/>
        <v/>
      </c>
      <c r="I857" s="37"/>
      <c r="J857" s="37"/>
      <c r="K857" s="37"/>
      <c r="L857" s="37"/>
      <c r="M857" s="14"/>
      <c r="N857" s="15"/>
      <c r="O857" s="37"/>
      <c r="P857" s="16"/>
      <c r="Q857" s="64"/>
      <c r="R857" s="16"/>
      <c r="S857" s="37" t="str">
        <f>IFERROR(__xludf.DUMMYFUNCTION("if(not(iserror(index(split(C857, "" ""),2))), index(split(C857, "" ""),1),"""")"),"")</f>
        <v/>
      </c>
      <c r="T857" s="315" t="str">
        <f>IFERROR(__xludf.DUMMYFUNCTION("if(S857="""",C857,if(not(iserror(index(split(C857, "" ""),3))), index(split(C857, "" ""),3),index(split(C857, "" ""),2)))"),"")</f>
        <v/>
      </c>
      <c r="U857" s="38" t="b">
        <f t="shared" si="34"/>
        <v>0</v>
      </c>
      <c r="V857" s="38"/>
      <c r="W857" s="40"/>
      <c r="X857" s="40"/>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row>
    <row r="858">
      <c r="A858" s="37"/>
      <c r="B858" s="322"/>
      <c r="C858" s="144"/>
      <c r="D858" s="144"/>
      <c r="E858" s="37"/>
      <c r="F858" s="37"/>
      <c r="G858" s="37"/>
      <c r="H858" s="33" t="str">
        <f t="shared" si="33"/>
        <v/>
      </c>
      <c r="I858" s="37"/>
      <c r="J858" s="37"/>
      <c r="K858" s="37"/>
      <c r="L858" s="37"/>
      <c r="M858" s="14"/>
      <c r="N858" s="15"/>
      <c r="O858" s="37"/>
      <c r="P858" s="37"/>
      <c r="Q858" s="64"/>
      <c r="R858" s="16"/>
      <c r="S858" s="37" t="str">
        <f>IFERROR(__xludf.DUMMYFUNCTION("if(not(iserror(index(split(C858, "" ""),2))), index(split(C858, "" ""),1),"""")"),"")</f>
        <v/>
      </c>
      <c r="T858" s="315" t="str">
        <f>IFERROR(__xludf.DUMMYFUNCTION("if(S858="""",C858,if(not(iserror(index(split(C858, "" ""),3))), index(split(C858, "" ""),3),index(split(C858, "" ""),2)))"),"")</f>
        <v/>
      </c>
      <c r="U858" s="38" t="b">
        <f t="shared" si="34"/>
        <v>0</v>
      </c>
      <c r="V858" s="38"/>
      <c r="W858" s="40"/>
      <c r="X858" s="40"/>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row>
    <row r="859">
      <c r="A859" s="37"/>
      <c r="B859" s="322"/>
      <c r="C859" s="144"/>
      <c r="D859" s="144"/>
      <c r="E859" s="37"/>
      <c r="F859" s="37"/>
      <c r="G859" s="37"/>
      <c r="H859" s="33" t="str">
        <f t="shared" si="33"/>
        <v/>
      </c>
      <c r="I859" s="37"/>
      <c r="J859" s="37"/>
      <c r="K859" s="37"/>
      <c r="L859" s="37"/>
      <c r="M859" s="14"/>
      <c r="N859" s="14"/>
      <c r="Q859" s="64"/>
      <c r="R859" s="16"/>
      <c r="S859" s="37" t="str">
        <f>IFERROR(__xludf.DUMMYFUNCTION("if(not(iserror(index(split(C859, "" ""),2))), index(split(C859, "" ""),1),"""")"),"")</f>
        <v/>
      </c>
      <c r="T859" s="315" t="str">
        <f>IFERROR(__xludf.DUMMYFUNCTION("if(S859="""",C859,if(not(iserror(index(split(C859, "" ""),3))), index(split(C859, "" ""),3),index(split(C859, "" ""),2)))"),"")</f>
        <v/>
      </c>
      <c r="U859" s="38" t="b">
        <f t="shared" si="34"/>
        <v>0</v>
      </c>
      <c r="V859" s="38"/>
      <c r="W859" s="40"/>
      <c r="X859" s="40"/>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row>
    <row r="860">
      <c r="A860" s="91"/>
      <c r="B860" s="380"/>
      <c r="C860" s="146"/>
      <c r="D860" s="146"/>
      <c r="E860" s="91"/>
      <c r="F860" s="91"/>
      <c r="G860" s="91"/>
      <c r="H860" s="33" t="str">
        <f t="shared" si="33"/>
        <v/>
      </c>
      <c r="I860" s="91"/>
      <c r="J860" s="91"/>
      <c r="K860" s="91"/>
      <c r="L860" s="91"/>
      <c r="M860" s="95"/>
      <c r="N860" s="95"/>
      <c r="O860" s="37"/>
      <c r="P860" s="16"/>
      <c r="Q860" s="64"/>
      <c r="R860" s="16"/>
      <c r="S860" s="37" t="str">
        <f>IFERROR(__xludf.DUMMYFUNCTION("if(not(iserror(index(split(C860, "" ""),2))), index(split(C860, "" ""),1),"""")"),"")</f>
        <v/>
      </c>
      <c r="T860" s="315" t="str">
        <f>IFERROR(__xludf.DUMMYFUNCTION("if(S860="""",C860,if(not(iserror(index(split(C860, "" ""),3))), index(split(C860, "" ""),3),index(split(C860, "" ""),2)))"),"")</f>
        <v/>
      </c>
      <c r="U860" s="38" t="b">
        <f t="shared" si="34"/>
        <v>0</v>
      </c>
      <c r="V860" s="38"/>
      <c r="W860" s="40"/>
      <c r="X860" s="40"/>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row>
    <row r="861">
      <c r="A861" s="37"/>
      <c r="B861" s="322"/>
      <c r="C861" s="144"/>
      <c r="D861" s="144"/>
      <c r="E861" s="37"/>
      <c r="F861" s="37"/>
      <c r="G861" s="37"/>
      <c r="H861" s="33" t="str">
        <f t="shared" si="33"/>
        <v/>
      </c>
      <c r="I861" s="37"/>
      <c r="J861" s="37"/>
      <c r="K861" s="37"/>
      <c r="L861" s="37"/>
      <c r="M861" s="14"/>
      <c r="N861" s="15"/>
      <c r="O861" s="16"/>
      <c r="P861" s="16"/>
      <c r="Q861" s="16"/>
      <c r="R861" s="16"/>
      <c r="S861" s="37" t="str">
        <f>IFERROR(__xludf.DUMMYFUNCTION("if(not(iserror(index(split(C861, "" ""),2))), index(split(C861, "" ""),1),"""")"),"")</f>
        <v/>
      </c>
      <c r="T861" s="315" t="str">
        <f>IFERROR(__xludf.DUMMYFUNCTION("if(S861="""",C861,if(not(iserror(index(split(C861, "" ""),3))), index(split(C861, "" ""),3),index(split(C861, "" ""),2)))"),"")</f>
        <v/>
      </c>
      <c r="U861" s="38" t="b">
        <f t="shared" si="34"/>
        <v>0</v>
      </c>
      <c r="V861" s="38"/>
      <c r="W861" s="40"/>
      <c r="X861" s="40"/>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row>
    <row r="862">
      <c r="A862" s="37"/>
      <c r="B862" s="322"/>
      <c r="C862" s="144"/>
      <c r="D862" s="144"/>
      <c r="E862" s="37"/>
      <c r="F862" s="37"/>
      <c r="G862" s="37"/>
      <c r="H862" s="33" t="str">
        <f t="shared" si="33"/>
        <v/>
      </c>
      <c r="I862" s="37"/>
      <c r="J862" s="37"/>
      <c r="K862" s="37"/>
      <c r="L862" s="37"/>
      <c r="M862" s="14"/>
      <c r="N862" s="15"/>
      <c r="O862" s="37"/>
      <c r="P862" s="37"/>
      <c r="Q862" s="64"/>
      <c r="R862" s="16"/>
      <c r="S862" s="37" t="str">
        <f>IFERROR(__xludf.DUMMYFUNCTION("if(not(iserror(index(split(C862, "" ""),2))), index(split(C862, "" ""),1),"""")"),"")</f>
        <v/>
      </c>
      <c r="T862" s="315" t="str">
        <f>IFERROR(__xludf.DUMMYFUNCTION("if(S862="""",C862,if(not(iserror(index(split(C862, "" ""),3))), index(split(C862, "" ""),3),index(split(C862, "" ""),2)))"),"")</f>
        <v/>
      </c>
      <c r="U862" s="38" t="b">
        <f t="shared" si="34"/>
        <v>0</v>
      </c>
      <c r="V862" s="38"/>
      <c r="W862" s="40"/>
      <c r="X862" s="40"/>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row>
    <row r="863">
      <c r="A863" s="91"/>
      <c r="B863" s="380"/>
      <c r="C863" s="146"/>
      <c r="D863" s="146"/>
      <c r="E863" s="91"/>
      <c r="F863" s="91"/>
      <c r="G863" s="91"/>
      <c r="H863" s="33" t="str">
        <f t="shared" si="33"/>
        <v/>
      </c>
      <c r="I863" s="91"/>
      <c r="J863" s="91"/>
      <c r="K863" s="91"/>
      <c r="L863" s="91"/>
      <c r="M863" s="95"/>
      <c r="N863" s="95"/>
      <c r="O863" s="37"/>
      <c r="P863" s="37"/>
      <c r="Q863" s="64"/>
      <c r="R863" s="16"/>
      <c r="S863" s="37" t="str">
        <f>IFERROR(__xludf.DUMMYFUNCTION("if(not(iserror(index(split(C863, "" ""),2))), index(split(C863, "" ""),1),"""")"),"")</f>
        <v/>
      </c>
      <c r="T863" s="315" t="str">
        <f>IFERROR(__xludf.DUMMYFUNCTION("if(S863="""",C863,if(not(iserror(index(split(C863, "" ""),3))), index(split(C863, "" ""),3),index(split(C863, "" ""),2)))"),"")</f>
        <v/>
      </c>
      <c r="U863" s="38" t="b">
        <f t="shared" si="34"/>
        <v>0</v>
      </c>
      <c r="V863" s="38"/>
      <c r="W863" s="40"/>
      <c r="X863" s="40"/>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row>
    <row r="864">
      <c r="A864" s="37"/>
      <c r="B864" s="322"/>
      <c r="C864" s="144"/>
      <c r="D864" s="144"/>
      <c r="E864" s="37"/>
      <c r="F864" s="37"/>
      <c r="G864" s="37"/>
      <c r="H864" s="33" t="str">
        <f t="shared" si="33"/>
        <v/>
      </c>
      <c r="I864" s="37"/>
      <c r="J864" s="37"/>
      <c r="K864" s="37"/>
      <c r="L864" s="37"/>
      <c r="M864" s="14"/>
      <c r="N864" s="15"/>
      <c r="O864" s="37"/>
      <c r="P864" s="37"/>
      <c r="Q864" s="64"/>
      <c r="R864" s="16"/>
      <c r="S864" s="37" t="str">
        <f>IFERROR(__xludf.DUMMYFUNCTION("if(not(iserror(index(split(C864, "" ""),2))), index(split(C864, "" ""),1),"""")"),"")</f>
        <v/>
      </c>
      <c r="T864" s="315" t="str">
        <f>IFERROR(__xludf.DUMMYFUNCTION("if(S864="""",C864,if(not(iserror(index(split(C864, "" ""),3))), index(split(C864, "" ""),3),index(split(C864, "" ""),2)))"),"")</f>
        <v/>
      </c>
      <c r="U864" s="38" t="b">
        <f t="shared" si="34"/>
        <v>0</v>
      </c>
      <c r="V864" s="38"/>
      <c r="W864" s="40"/>
      <c r="X864" s="40"/>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row>
    <row r="865">
      <c r="A865" s="37"/>
      <c r="B865" s="322"/>
      <c r="C865" s="144"/>
      <c r="D865" s="144"/>
      <c r="E865" s="37"/>
      <c r="F865" s="37"/>
      <c r="G865" s="37"/>
      <c r="H865" s="33" t="str">
        <f t="shared" si="33"/>
        <v/>
      </c>
      <c r="I865" s="37"/>
      <c r="J865" s="37"/>
      <c r="K865" s="37"/>
      <c r="L865" s="37"/>
      <c r="M865" s="14"/>
      <c r="N865" s="15"/>
      <c r="O865" s="120"/>
      <c r="P865" s="120"/>
      <c r="Q865" s="64"/>
      <c r="R865" s="16"/>
      <c r="S865" s="37" t="str">
        <f>IFERROR(__xludf.DUMMYFUNCTION("if(not(iserror(index(split(C865, "" ""),2))), index(split(C865, "" ""),1),"""")"),"")</f>
        <v/>
      </c>
      <c r="T865" s="315" t="str">
        <f>IFERROR(__xludf.DUMMYFUNCTION("if(S865="""",C865,if(not(iserror(index(split(C865, "" ""),3))), index(split(C865, "" ""),3),index(split(C865, "" ""),2)))"),"")</f>
        <v/>
      </c>
      <c r="U865" s="38" t="b">
        <f t="shared" si="34"/>
        <v>0</v>
      </c>
      <c r="V865" s="38"/>
      <c r="W865" s="40"/>
      <c r="X865" s="40"/>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row>
    <row r="866">
      <c r="A866" s="37"/>
      <c r="B866" s="322"/>
      <c r="C866" s="144"/>
      <c r="D866" s="144"/>
      <c r="E866" s="37"/>
      <c r="F866" s="37"/>
      <c r="G866" s="37"/>
      <c r="H866" s="33" t="str">
        <f t="shared" si="33"/>
        <v/>
      </c>
      <c r="I866" s="37"/>
      <c r="J866" s="37"/>
      <c r="K866" s="37"/>
      <c r="L866" s="37"/>
      <c r="M866" s="14"/>
      <c r="N866" s="80"/>
      <c r="O866" s="37"/>
      <c r="P866" s="37"/>
      <c r="Q866" s="64"/>
      <c r="R866" s="16"/>
      <c r="S866" s="37" t="str">
        <f>IFERROR(__xludf.DUMMYFUNCTION("if(not(iserror(index(split(C866, "" ""),2))), index(split(C866, "" ""),1),"""")"),"")</f>
        <v/>
      </c>
      <c r="T866" s="315" t="str">
        <f>IFERROR(__xludf.DUMMYFUNCTION("if(S866="""",C866,if(not(iserror(index(split(C866, "" ""),3))), index(split(C866, "" ""),3),index(split(C866, "" ""),2)))"),"")</f>
        <v/>
      </c>
      <c r="U866" s="38" t="b">
        <f t="shared" si="34"/>
        <v>0</v>
      </c>
      <c r="V866" s="38"/>
      <c r="W866" s="40"/>
      <c r="X866" s="40"/>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row>
    <row r="867">
      <c r="A867" s="37"/>
      <c r="B867" s="322"/>
      <c r="C867" s="144"/>
      <c r="D867" s="144"/>
      <c r="E867" s="37"/>
      <c r="F867" s="37"/>
      <c r="G867" s="37"/>
      <c r="H867" s="33" t="str">
        <f t="shared" si="33"/>
        <v/>
      </c>
      <c r="I867" s="37"/>
      <c r="J867" s="37"/>
      <c r="K867" s="37"/>
      <c r="L867" s="37"/>
      <c r="M867" s="14"/>
      <c r="N867" s="15"/>
      <c r="O867" s="16"/>
      <c r="P867" s="16"/>
      <c r="Q867" s="16"/>
      <c r="R867" s="16"/>
      <c r="S867" s="37" t="str">
        <f>IFERROR(__xludf.DUMMYFUNCTION("if(not(iserror(index(split(C867, "" ""),2))), index(split(C867, "" ""),1),"""")"),"")</f>
        <v/>
      </c>
      <c r="T867" s="315" t="str">
        <f>IFERROR(__xludf.DUMMYFUNCTION("if(S867="""",C867,if(not(iserror(index(split(C867, "" ""),3))), index(split(C867, "" ""),3),index(split(C867, "" ""),2)))"),"")</f>
        <v/>
      </c>
      <c r="U867" s="38" t="b">
        <f t="shared" si="34"/>
        <v>0</v>
      </c>
      <c r="V867" s="38"/>
      <c r="W867" s="40"/>
      <c r="X867" s="40"/>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row>
    <row r="868">
      <c r="A868" s="37"/>
      <c r="B868" s="322"/>
      <c r="C868" s="144"/>
      <c r="D868" s="144"/>
      <c r="E868" s="37"/>
      <c r="F868" s="37"/>
      <c r="G868" s="37"/>
      <c r="H868" s="33" t="str">
        <f t="shared" si="33"/>
        <v/>
      </c>
      <c r="I868" s="37"/>
      <c r="J868" s="37"/>
      <c r="K868" s="37"/>
      <c r="L868" s="37"/>
      <c r="M868" s="14"/>
      <c r="N868" s="15"/>
      <c r="O868" s="16"/>
      <c r="P868" s="16"/>
      <c r="Q868" s="16"/>
      <c r="R868" s="16"/>
      <c r="S868" s="37" t="str">
        <f>IFERROR(__xludf.DUMMYFUNCTION("if(not(iserror(index(split(C868, "" ""),2))), index(split(C868, "" ""),1),"""")"),"")</f>
        <v/>
      </c>
      <c r="T868" s="315" t="str">
        <f>IFERROR(__xludf.DUMMYFUNCTION("if(S868="""",C868,if(not(iserror(index(split(C868, "" ""),3))), index(split(C868, "" ""),3),index(split(C868, "" ""),2)))"),"")</f>
        <v/>
      </c>
      <c r="U868" s="38" t="b">
        <f t="shared" si="34"/>
        <v>0</v>
      </c>
      <c r="V868" s="38"/>
      <c r="W868" s="40"/>
      <c r="X868" s="40"/>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c r="BQ868" s="38"/>
    </row>
    <row r="869">
      <c r="A869" s="37"/>
      <c r="B869" s="322"/>
      <c r="C869" s="144"/>
      <c r="D869" s="144"/>
      <c r="E869" s="37"/>
      <c r="F869" s="37"/>
      <c r="G869" s="37"/>
      <c r="H869" s="33" t="str">
        <f t="shared" si="33"/>
        <v/>
      </c>
      <c r="I869" s="37"/>
      <c r="J869" s="37"/>
      <c r="K869" s="37"/>
      <c r="L869" s="37"/>
      <c r="M869" s="14"/>
      <c r="N869" s="15"/>
      <c r="O869" s="16"/>
      <c r="P869" s="16"/>
      <c r="Q869" s="16"/>
      <c r="R869" s="16"/>
      <c r="S869" s="37" t="str">
        <f>IFERROR(__xludf.DUMMYFUNCTION("if(not(iserror(index(split(C869, "" ""),2))), index(split(C869, "" ""),1),"""")"),"")</f>
        <v/>
      </c>
      <c r="T869" s="315" t="str">
        <f>IFERROR(__xludf.DUMMYFUNCTION("if(S869="""",C869,if(not(iserror(index(split(C869, "" ""),3))), index(split(C869, "" ""),3),index(split(C869, "" ""),2)))"),"")</f>
        <v/>
      </c>
      <c r="U869" s="38" t="b">
        <f t="shared" si="34"/>
        <v>0</v>
      </c>
      <c r="V869" s="38"/>
      <c r="W869" s="40"/>
      <c r="X869" s="40"/>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row>
    <row r="870">
      <c r="A870" s="37"/>
      <c r="B870" s="322"/>
      <c r="C870" s="144"/>
      <c r="D870" s="144"/>
      <c r="E870" s="37"/>
      <c r="F870" s="37"/>
      <c r="G870" s="37"/>
      <c r="H870" s="33" t="str">
        <f t="shared" si="33"/>
        <v/>
      </c>
      <c r="I870" s="37"/>
      <c r="J870" s="37"/>
      <c r="K870" s="37"/>
      <c r="L870" s="37"/>
      <c r="M870" s="14"/>
      <c r="N870" s="15"/>
      <c r="O870" s="16"/>
      <c r="P870" s="16"/>
      <c r="Q870" s="16"/>
      <c r="R870" s="16"/>
      <c r="S870" s="37" t="str">
        <f>IFERROR(__xludf.DUMMYFUNCTION("if(not(iserror(index(split(C870, "" ""),2))), index(split(C870, "" ""),1),"""")"),"")</f>
        <v/>
      </c>
      <c r="T870" s="315" t="str">
        <f>IFERROR(__xludf.DUMMYFUNCTION("if(S870="""",C870,if(not(iserror(index(split(C870, "" ""),3))), index(split(C870, "" ""),3),index(split(C870, "" ""),2)))"),"")</f>
        <v/>
      </c>
      <c r="U870" s="38" t="b">
        <f t="shared" si="34"/>
        <v>0</v>
      </c>
      <c r="V870" s="38"/>
      <c r="W870" s="40"/>
      <c r="X870" s="40"/>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row>
    <row r="871">
      <c r="A871" s="37"/>
      <c r="B871" s="322"/>
      <c r="C871" s="144"/>
      <c r="D871" s="144"/>
      <c r="E871" s="37"/>
      <c r="F871" s="37"/>
      <c r="G871" s="37"/>
      <c r="H871" s="33" t="str">
        <f t="shared" si="33"/>
        <v/>
      </c>
      <c r="I871" s="37"/>
      <c r="J871" s="37"/>
      <c r="K871" s="37"/>
      <c r="L871" s="37"/>
      <c r="M871" s="14"/>
      <c r="N871" s="15"/>
      <c r="O871" s="16"/>
      <c r="P871" s="16"/>
      <c r="Q871" s="16"/>
      <c r="R871" s="16"/>
      <c r="S871" s="37" t="str">
        <f>IFERROR(__xludf.DUMMYFUNCTION("if(not(iserror(index(split(C871, "" ""),2))), index(split(C871, "" ""),1),"""")"),"")</f>
        <v/>
      </c>
      <c r="T871" s="315" t="str">
        <f>IFERROR(__xludf.DUMMYFUNCTION("if(S871="""",C871,if(not(iserror(index(split(C871, "" ""),3))), index(split(C871, "" ""),3),index(split(C871, "" ""),2)))"),"")</f>
        <v/>
      </c>
      <c r="U871" s="38" t="b">
        <f t="shared" si="34"/>
        <v>0</v>
      </c>
      <c r="V871" s="38"/>
      <c r="W871" s="40"/>
      <c r="X871" s="40"/>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row>
    <row r="872">
      <c r="A872" s="37"/>
      <c r="B872" s="322"/>
      <c r="C872" s="144"/>
      <c r="D872" s="144"/>
      <c r="E872" s="37"/>
      <c r="F872" s="37"/>
      <c r="G872" s="37"/>
      <c r="H872" s="33" t="str">
        <f t="shared" si="33"/>
        <v/>
      </c>
      <c r="I872" s="37"/>
      <c r="J872" s="37"/>
      <c r="K872" s="37"/>
      <c r="L872" s="37"/>
      <c r="M872" s="14"/>
      <c r="N872" s="15"/>
      <c r="O872" s="16"/>
      <c r="P872" s="16"/>
      <c r="Q872" s="16"/>
      <c r="R872" s="16"/>
      <c r="S872" s="37" t="str">
        <f>IFERROR(__xludf.DUMMYFUNCTION("if(not(iserror(index(split(C872, "" ""),2))), index(split(C872, "" ""),1),"""")"),"")</f>
        <v/>
      </c>
      <c r="T872" s="315" t="str">
        <f>IFERROR(__xludf.DUMMYFUNCTION("if(S872="""",C872,if(not(iserror(index(split(C872, "" ""),3))), index(split(C872, "" ""),3),index(split(C872, "" ""),2)))"),"")</f>
        <v/>
      </c>
      <c r="U872" s="38" t="b">
        <f t="shared" si="34"/>
        <v>0</v>
      </c>
      <c r="V872" s="38"/>
      <c r="W872" s="40"/>
      <c r="X872" s="40"/>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row>
    <row r="873">
      <c r="A873" s="37"/>
      <c r="B873" s="322"/>
      <c r="C873" s="144"/>
      <c r="D873" s="144"/>
      <c r="E873" s="37"/>
      <c r="F873" s="37"/>
      <c r="G873" s="37"/>
      <c r="H873" s="33" t="str">
        <f t="shared" si="33"/>
        <v/>
      </c>
      <c r="I873" s="37"/>
      <c r="J873" s="37"/>
      <c r="K873" s="37"/>
      <c r="L873" s="37"/>
      <c r="M873" s="14"/>
      <c r="N873" s="15"/>
      <c r="O873" s="16"/>
      <c r="P873" s="16"/>
      <c r="Q873" s="16"/>
      <c r="R873" s="16"/>
      <c r="S873" s="37" t="str">
        <f>IFERROR(__xludf.DUMMYFUNCTION("if(not(iserror(index(split(C873, "" ""),2))), index(split(C873, "" ""),1),"""")"),"")</f>
        <v/>
      </c>
      <c r="T873" s="315" t="str">
        <f>IFERROR(__xludf.DUMMYFUNCTION("if(S873="""",C873,if(not(iserror(index(split(C873, "" ""),3))), index(split(C873, "" ""),3),index(split(C873, "" ""),2)))"),"")</f>
        <v/>
      </c>
      <c r="U873" s="38" t="b">
        <f t="shared" si="34"/>
        <v>0</v>
      </c>
      <c r="V873" s="38"/>
      <c r="W873" s="40"/>
      <c r="X873" s="40"/>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row>
    <row r="874">
      <c r="A874" s="37"/>
      <c r="B874" s="322"/>
      <c r="C874" s="144"/>
      <c r="D874" s="144"/>
      <c r="E874" s="37"/>
      <c r="F874" s="37"/>
      <c r="G874" s="37"/>
      <c r="H874" s="33" t="str">
        <f t="shared" si="33"/>
        <v/>
      </c>
      <c r="I874" s="37"/>
      <c r="J874" s="37"/>
      <c r="K874" s="37"/>
      <c r="L874" s="37"/>
      <c r="M874" s="14"/>
      <c r="N874" s="15"/>
      <c r="O874" s="16"/>
      <c r="P874" s="16"/>
      <c r="Q874" s="16"/>
      <c r="R874" s="16"/>
      <c r="S874" s="37" t="str">
        <f>IFERROR(__xludf.DUMMYFUNCTION("if(not(iserror(index(split(C874, "" ""),2))), index(split(C874, "" ""),1),"""")"),"")</f>
        <v/>
      </c>
      <c r="T874" s="315" t="str">
        <f>IFERROR(__xludf.DUMMYFUNCTION("if(S874="""",C874,if(not(iserror(index(split(C874, "" ""),3))), index(split(C874, "" ""),3),index(split(C874, "" ""),2)))"),"")</f>
        <v/>
      </c>
      <c r="U874" s="38" t="b">
        <f t="shared" si="34"/>
        <v>0</v>
      </c>
      <c r="V874" s="38"/>
      <c r="W874" s="40"/>
      <c r="X874" s="40"/>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row>
    <row r="875">
      <c r="A875" s="37"/>
      <c r="B875" s="322"/>
      <c r="C875" s="144"/>
      <c r="D875" s="144"/>
      <c r="E875" s="37"/>
      <c r="F875" s="37"/>
      <c r="G875" s="37"/>
      <c r="H875" s="33" t="str">
        <f t="shared" si="33"/>
        <v/>
      </c>
      <c r="I875" s="37"/>
      <c r="J875" s="37"/>
      <c r="K875" s="37"/>
      <c r="L875" s="37"/>
      <c r="M875" s="14"/>
      <c r="N875" s="15"/>
      <c r="O875" s="37"/>
      <c r="P875" s="37"/>
      <c r="Q875" s="64"/>
      <c r="R875" s="16"/>
      <c r="S875" s="37" t="str">
        <f>IFERROR(__xludf.DUMMYFUNCTION("if(not(iserror(index(split(C875, "" ""),2))), index(split(C875, "" ""),1),"""")"),"")</f>
        <v/>
      </c>
      <c r="T875" s="315" t="str">
        <f>IFERROR(__xludf.DUMMYFUNCTION("if(S875="""",C875,if(not(iserror(index(split(C875, "" ""),3))), index(split(C875, "" ""),3),index(split(C875, "" ""),2)))"),"")</f>
        <v/>
      </c>
      <c r="U875" s="38" t="b">
        <f t="shared" si="34"/>
        <v>0</v>
      </c>
      <c r="V875" s="38"/>
      <c r="W875" s="40"/>
      <c r="X875" s="40"/>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row>
    <row r="876">
      <c r="A876" s="37"/>
      <c r="B876" s="322"/>
      <c r="C876" s="144"/>
      <c r="D876" s="144"/>
      <c r="E876" s="37"/>
      <c r="F876" s="37"/>
      <c r="G876" s="37"/>
      <c r="H876" s="33" t="str">
        <f t="shared" si="33"/>
        <v/>
      </c>
      <c r="I876" s="37"/>
      <c r="J876" s="37"/>
      <c r="K876" s="37"/>
      <c r="L876" s="37"/>
      <c r="M876" s="14"/>
      <c r="N876" s="15"/>
      <c r="O876" s="37"/>
      <c r="P876" s="37"/>
      <c r="Q876" s="64"/>
      <c r="R876" s="16"/>
      <c r="S876" s="37" t="str">
        <f>IFERROR(__xludf.DUMMYFUNCTION("if(not(iserror(index(split(C876, "" ""),2))), index(split(C876, "" ""),1),"""")"),"")</f>
        <v/>
      </c>
      <c r="T876" s="315" t="str">
        <f>IFERROR(__xludf.DUMMYFUNCTION("if(S876="""",C876,if(not(iserror(index(split(C876, "" ""),3))), index(split(C876, "" ""),3),index(split(C876, "" ""),2)))"),"")</f>
        <v/>
      </c>
      <c r="U876" s="38" t="b">
        <f t="shared" si="34"/>
        <v>0</v>
      </c>
      <c r="V876" s="38"/>
      <c r="W876" s="40"/>
      <c r="X876" s="40"/>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row>
    <row r="877">
      <c r="A877" s="37"/>
      <c r="B877" s="322"/>
      <c r="C877" s="144"/>
      <c r="D877" s="144"/>
      <c r="E877" s="37"/>
      <c r="F877" s="37"/>
      <c r="G877" s="37"/>
      <c r="H877" s="33" t="str">
        <f t="shared" si="33"/>
        <v/>
      </c>
      <c r="I877" s="37"/>
      <c r="J877" s="37"/>
      <c r="K877" s="37"/>
      <c r="L877" s="37"/>
      <c r="M877" s="14"/>
      <c r="N877" s="15"/>
      <c r="O877" s="37"/>
      <c r="P877" s="37"/>
      <c r="Q877" s="64"/>
      <c r="R877" s="16"/>
      <c r="S877" s="37" t="str">
        <f>IFERROR(__xludf.DUMMYFUNCTION("if(not(iserror(index(split(C877, "" ""),2))), index(split(C877, "" ""),1),"""")"),"")</f>
        <v/>
      </c>
      <c r="T877" s="315" t="str">
        <f>IFERROR(__xludf.DUMMYFUNCTION("if(S877="""",C877,if(not(iserror(index(split(C877, "" ""),3))), index(split(C877, "" ""),3),index(split(C877, "" ""),2)))"),"")</f>
        <v/>
      </c>
      <c r="U877" s="38" t="b">
        <f t="shared" si="34"/>
        <v>0</v>
      </c>
      <c r="V877" s="38"/>
      <c r="W877" s="40"/>
      <c r="X877" s="40"/>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row>
    <row r="878">
      <c r="A878" s="37"/>
      <c r="B878" s="322"/>
      <c r="C878" s="144"/>
      <c r="D878" s="144"/>
      <c r="E878" s="37"/>
      <c r="F878" s="37"/>
      <c r="G878" s="37"/>
      <c r="H878" s="33" t="str">
        <f t="shared" si="33"/>
        <v/>
      </c>
      <c r="I878" s="37"/>
      <c r="J878" s="37"/>
      <c r="K878" s="37"/>
      <c r="L878" s="37"/>
      <c r="M878" s="14"/>
      <c r="N878" s="15"/>
      <c r="O878" s="37"/>
      <c r="P878" s="37"/>
      <c r="Q878" s="64"/>
      <c r="R878" s="16"/>
      <c r="S878" s="37" t="str">
        <f>IFERROR(__xludf.DUMMYFUNCTION("if(not(iserror(index(split(C878, "" ""),2))), index(split(C878, "" ""),1),"""")"),"")</f>
        <v/>
      </c>
      <c r="T878" s="315" t="str">
        <f>IFERROR(__xludf.DUMMYFUNCTION("if(S878="""",C878,if(not(iserror(index(split(C878, "" ""),3))), index(split(C878, "" ""),3),index(split(C878, "" ""),2)))"),"")</f>
        <v/>
      </c>
      <c r="U878" s="38" t="b">
        <f t="shared" si="34"/>
        <v>0</v>
      </c>
      <c r="V878" s="38"/>
      <c r="W878" s="40"/>
      <c r="X878" s="40"/>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c r="BQ878" s="38"/>
    </row>
    <row r="879">
      <c r="A879" s="37"/>
      <c r="B879" s="322"/>
      <c r="C879" s="144"/>
      <c r="D879" s="144"/>
      <c r="E879" s="37"/>
      <c r="F879" s="37"/>
      <c r="G879" s="37"/>
      <c r="H879" s="33" t="str">
        <f t="shared" si="33"/>
        <v/>
      </c>
      <c r="I879" s="37"/>
      <c r="J879" s="37"/>
      <c r="K879" s="37"/>
      <c r="L879" s="37"/>
      <c r="M879" s="14"/>
      <c r="N879" s="15"/>
      <c r="O879" s="37"/>
      <c r="P879" s="37"/>
      <c r="Q879" s="64"/>
      <c r="R879" s="16"/>
      <c r="S879" s="37" t="str">
        <f>IFERROR(__xludf.DUMMYFUNCTION("if(not(iserror(index(split(C879, "" ""),2))), index(split(C879, "" ""),1),"""")"),"")</f>
        <v/>
      </c>
      <c r="T879" s="315" t="str">
        <f>IFERROR(__xludf.DUMMYFUNCTION("if(S879="""",C879,if(not(iserror(index(split(C879, "" ""),3))), index(split(C879, "" ""),3),index(split(C879, "" ""),2)))"),"")</f>
        <v/>
      </c>
      <c r="U879" s="38" t="b">
        <f t="shared" si="34"/>
        <v>0</v>
      </c>
      <c r="V879" s="38"/>
      <c r="W879" s="40"/>
      <c r="X879" s="40"/>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row>
    <row r="880">
      <c r="A880" s="91"/>
      <c r="B880" s="380"/>
      <c r="C880" s="146"/>
      <c r="D880" s="146"/>
      <c r="E880" s="91"/>
      <c r="F880" s="91"/>
      <c r="G880" s="91"/>
      <c r="H880" s="33" t="str">
        <f t="shared" si="33"/>
        <v/>
      </c>
      <c r="I880" s="91"/>
      <c r="J880" s="91"/>
      <c r="K880" s="91"/>
      <c r="L880" s="91"/>
      <c r="M880" s="95"/>
      <c r="N880" s="14"/>
      <c r="O880" s="37"/>
      <c r="P880" s="37"/>
      <c r="Q880" s="64"/>
      <c r="R880" s="16"/>
      <c r="S880" s="37" t="str">
        <f>IFERROR(__xludf.DUMMYFUNCTION("if(not(iserror(index(split(C880, "" ""),2))), index(split(C880, "" ""),1),"""")"),"")</f>
        <v/>
      </c>
      <c r="T880" s="315" t="str">
        <f>IFERROR(__xludf.DUMMYFUNCTION("if(S880="""",C880,if(not(iserror(index(split(C880, "" ""),3))), index(split(C880, "" ""),3),index(split(C880, "" ""),2)))"),"")</f>
        <v/>
      </c>
      <c r="U880" s="38" t="b">
        <f t="shared" si="34"/>
        <v>0</v>
      </c>
      <c r="V880" s="38"/>
      <c r="W880" s="40"/>
      <c r="X880" s="40"/>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c r="BQ880" s="38"/>
    </row>
    <row r="881">
      <c r="A881" s="37"/>
      <c r="B881" s="322"/>
      <c r="C881" s="144"/>
      <c r="D881" s="144"/>
      <c r="E881" s="37"/>
      <c r="F881" s="37"/>
      <c r="G881" s="37"/>
      <c r="H881" s="33" t="str">
        <f t="shared" si="33"/>
        <v/>
      </c>
      <c r="I881" s="37"/>
      <c r="J881" s="37"/>
      <c r="K881" s="37"/>
      <c r="L881" s="37"/>
      <c r="M881" s="14"/>
      <c r="N881" s="15"/>
      <c r="O881" s="37"/>
      <c r="P881" s="37"/>
      <c r="Q881" s="64"/>
      <c r="R881" s="16"/>
      <c r="S881" s="37" t="str">
        <f>IFERROR(__xludf.DUMMYFUNCTION("if(not(iserror(index(split(C881, "" ""),2))), index(split(C881, "" ""),1),"""")"),"")</f>
        <v/>
      </c>
      <c r="T881" s="315" t="str">
        <f>IFERROR(__xludf.DUMMYFUNCTION("if(S881="""",C881,if(not(iserror(index(split(C881, "" ""),3))), index(split(C881, "" ""),3),index(split(C881, "" ""),2)))"),"")</f>
        <v/>
      </c>
      <c r="U881" s="38" t="b">
        <f t="shared" si="34"/>
        <v>0</v>
      </c>
      <c r="V881" s="38"/>
      <c r="W881" s="40"/>
      <c r="X881" s="40"/>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row>
    <row r="882">
      <c r="A882" s="375"/>
      <c r="B882" s="322"/>
      <c r="C882" s="144"/>
      <c r="D882" s="144"/>
      <c r="E882" s="37"/>
      <c r="F882" s="37"/>
      <c r="G882" s="37"/>
      <c r="H882" s="33" t="str">
        <f t="shared" si="33"/>
        <v/>
      </c>
      <c r="I882" s="37"/>
      <c r="J882" s="37"/>
      <c r="K882" s="37"/>
      <c r="L882" s="37"/>
      <c r="M882" s="14"/>
      <c r="N882" s="14"/>
      <c r="O882" s="37"/>
      <c r="P882" s="37"/>
      <c r="Q882" s="64"/>
      <c r="R882" s="16"/>
      <c r="S882" s="37" t="str">
        <f>IFERROR(__xludf.DUMMYFUNCTION("if(not(iserror(index(split(C882, "" ""),2))), index(split(C882, "" ""),1),"""")"),"")</f>
        <v/>
      </c>
      <c r="T882" s="315" t="str">
        <f>IFERROR(__xludf.DUMMYFUNCTION("if(S882="""",C882,if(not(iserror(index(split(C882, "" ""),3))), index(split(C882, "" ""),3),index(split(C882, "" ""),2)))"),"")</f>
        <v/>
      </c>
      <c r="U882" s="38" t="b">
        <f t="shared" si="34"/>
        <v>0</v>
      </c>
      <c r="V882" s="38"/>
      <c r="W882" s="40"/>
      <c r="X882" s="40"/>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c r="BQ882" s="38"/>
    </row>
    <row r="883">
      <c r="A883" s="375"/>
      <c r="B883" s="322"/>
      <c r="C883" s="144"/>
      <c r="D883" s="144"/>
      <c r="E883" s="37"/>
      <c r="F883" s="37"/>
      <c r="G883" s="37"/>
      <c r="H883" s="33" t="str">
        <f t="shared" si="33"/>
        <v/>
      </c>
      <c r="I883" s="37"/>
      <c r="J883" s="37"/>
      <c r="K883" s="37"/>
      <c r="L883" s="37"/>
      <c r="M883" s="14"/>
      <c r="N883" s="14"/>
      <c r="O883" s="37"/>
      <c r="P883" s="37"/>
      <c r="Q883" s="64"/>
      <c r="R883" s="16"/>
      <c r="S883" s="37" t="str">
        <f>IFERROR(__xludf.DUMMYFUNCTION("if(not(iserror(index(split(C883, "" ""),2))), index(split(C883, "" ""),1),"""")"),"")</f>
        <v/>
      </c>
      <c r="T883" s="315" t="str">
        <f>IFERROR(__xludf.DUMMYFUNCTION("if(S883="""",C883,if(not(iserror(index(split(C883, "" ""),3))), index(split(C883, "" ""),3),index(split(C883, "" ""),2)))"),"")</f>
        <v/>
      </c>
      <c r="U883" s="38" t="b">
        <f t="shared" si="34"/>
        <v>0</v>
      </c>
      <c r="V883" s="38"/>
      <c r="W883" s="40"/>
      <c r="X883" s="40"/>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row>
    <row r="884">
      <c r="A884" s="37"/>
      <c r="B884" s="322"/>
      <c r="C884" s="144"/>
      <c r="D884" s="144"/>
      <c r="E884" s="37"/>
      <c r="F884" s="37"/>
      <c r="G884" s="37"/>
      <c r="H884" s="33" t="str">
        <f t="shared" si="33"/>
        <v/>
      </c>
      <c r="I884" s="37"/>
      <c r="J884" s="37"/>
      <c r="K884" s="37"/>
      <c r="L884" s="37"/>
      <c r="M884" s="14"/>
      <c r="N884" s="15"/>
      <c r="O884" s="16"/>
      <c r="P884" s="16"/>
      <c r="Q884" s="16"/>
      <c r="R884" s="16"/>
      <c r="S884" s="37" t="str">
        <f>IFERROR(__xludf.DUMMYFUNCTION("if(not(iserror(index(split(C884, "" ""),2))), index(split(C884, "" ""),1),"""")"),"")</f>
        <v/>
      </c>
      <c r="T884" s="315" t="str">
        <f>IFERROR(__xludf.DUMMYFUNCTION("if(S884="""",C884,if(not(iserror(index(split(C884, "" ""),3))), index(split(C884, "" ""),3),index(split(C884, "" ""),2)))"),"")</f>
        <v/>
      </c>
      <c r="U884" s="38" t="b">
        <f t="shared" si="34"/>
        <v>0</v>
      </c>
      <c r="V884" s="38"/>
      <c r="W884" s="40"/>
      <c r="X884" s="40"/>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row>
    <row r="885">
      <c r="A885" s="37"/>
      <c r="B885" s="322"/>
      <c r="C885" s="144"/>
      <c r="D885" s="144"/>
      <c r="E885" s="37"/>
      <c r="F885" s="37"/>
      <c r="G885" s="37"/>
      <c r="H885" s="33" t="str">
        <f t="shared" si="33"/>
        <v/>
      </c>
      <c r="I885" s="37"/>
      <c r="J885" s="37"/>
      <c r="K885" s="37"/>
      <c r="L885" s="37"/>
      <c r="M885" s="14"/>
      <c r="N885" s="15"/>
      <c r="O885" s="37"/>
      <c r="P885" s="37"/>
      <c r="Q885" s="64"/>
      <c r="R885" s="16"/>
      <c r="S885" s="37" t="str">
        <f>IFERROR(__xludf.DUMMYFUNCTION("if(not(iserror(index(split(C885, "" ""),2))), index(split(C885, "" ""),1),"""")"),"")</f>
        <v/>
      </c>
      <c r="T885" s="315" t="str">
        <f>IFERROR(__xludf.DUMMYFUNCTION("if(S885="""",C885,if(not(iserror(index(split(C885, "" ""),3))), index(split(C885, "" ""),3),index(split(C885, "" ""),2)))"),"")</f>
        <v/>
      </c>
      <c r="U885" s="38" t="b">
        <f t="shared" si="34"/>
        <v>0</v>
      </c>
      <c r="V885" s="38"/>
      <c r="W885" s="40"/>
      <c r="X885" s="40"/>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c r="BQ885" s="38"/>
    </row>
    <row r="886">
      <c r="A886" s="37"/>
      <c r="B886" s="322"/>
      <c r="C886" s="144"/>
      <c r="D886" s="144"/>
      <c r="E886" s="37"/>
      <c r="F886" s="37"/>
      <c r="G886" s="37"/>
      <c r="H886" s="33" t="str">
        <f t="shared" si="33"/>
        <v/>
      </c>
      <c r="I886" s="37"/>
      <c r="J886" s="37"/>
      <c r="K886" s="37"/>
      <c r="L886" s="37"/>
      <c r="M886" s="14"/>
      <c r="N886" s="15"/>
      <c r="O886" s="37"/>
      <c r="P886" s="37"/>
      <c r="Q886" s="64"/>
      <c r="R886" s="16"/>
      <c r="S886" s="37" t="str">
        <f>IFERROR(__xludf.DUMMYFUNCTION("if(not(iserror(index(split(C886, "" ""),2))), index(split(C886, "" ""),1),"""")"),"")</f>
        <v/>
      </c>
      <c r="T886" s="315" t="str">
        <f>IFERROR(__xludf.DUMMYFUNCTION("if(S886="""",C886,if(not(iserror(index(split(C886, "" ""),3))), index(split(C886, "" ""),3),index(split(C886, "" ""),2)))"),"")</f>
        <v/>
      </c>
      <c r="U886" s="38" t="b">
        <f t="shared" si="34"/>
        <v>0</v>
      </c>
      <c r="V886" s="38"/>
      <c r="W886" s="40"/>
      <c r="X886" s="40"/>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c r="BQ886" s="38"/>
    </row>
    <row r="887">
      <c r="A887" s="37"/>
      <c r="B887" s="322"/>
      <c r="C887" s="144"/>
      <c r="D887" s="144"/>
      <c r="E887" s="37"/>
      <c r="F887" s="37"/>
      <c r="G887" s="37"/>
      <c r="H887" s="33" t="str">
        <f t="shared" si="33"/>
        <v/>
      </c>
      <c r="I887" s="37"/>
      <c r="J887" s="37"/>
      <c r="K887" s="37"/>
      <c r="L887" s="37"/>
      <c r="M887" s="14"/>
      <c r="N887" s="15"/>
      <c r="O887" s="37"/>
      <c r="P887" s="37"/>
      <c r="Q887" s="64"/>
      <c r="R887" s="16"/>
      <c r="S887" s="37" t="str">
        <f>IFERROR(__xludf.DUMMYFUNCTION("if(not(iserror(index(split(C887, "" ""),2))), index(split(C887, "" ""),1),"""")"),"")</f>
        <v/>
      </c>
      <c r="T887" s="315" t="str">
        <f>IFERROR(__xludf.DUMMYFUNCTION("if(S887="""",C887,if(not(iserror(index(split(C887, "" ""),3))), index(split(C887, "" ""),3),index(split(C887, "" ""),2)))"),"")</f>
        <v/>
      </c>
      <c r="U887" s="38" t="b">
        <f t="shared" si="34"/>
        <v>0</v>
      </c>
      <c r="V887" s="38"/>
      <c r="W887" s="40"/>
      <c r="X887" s="40"/>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row>
    <row r="888">
      <c r="A888" s="37"/>
      <c r="B888" s="322"/>
      <c r="C888" s="144"/>
      <c r="D888" s="144"/>
      <c r="E888" s="37"/>
      <c r="F888" s="37"/>
      <c r="G888" s="37"/>
      <c r="H888" s="33" t="str">
        <f t="shared" si="33"/>
        <v/>
      </c>
      <c r="I888" s="37"/>
      <c r="J888" s="37"/>
      <c r="K888" s="37"/>
      <c r="L888" s="37"/>
      <c r="M888" s="14"/>
      <c r="N888" s="15"/>
      <c r="O888" s="16"/>
      <c r="P888" s="16"/>
      <c r="Q888" s="16"/>
      <c r="R888" s="16"/>
      <c r="S888" s="37" t="str">
        <f>IFERROR(__xludf.DUMMYFUNCTION("if(not(iserror(index(split(C888, "" ""),2))), index(split(C888, "" ""),1),"""")"),"")</f>
        <v/>
      </c>
      <c r="T888" s="315" t="str">
        <f>IFERROR(__xludf.DUMMYFUNCTION("if(S888="""",C888,if(not(iserror(index(split(C888, "" ""),3))), index(split(C888, "" ""),3),index(split(C888, "" ""),2)))"),"")</f>
        <v/>
      </c>
      <c r="U888" s="38" t="b">
        <f t="shared" si="34"/>
        <v>0</v>
      </c>
      <c r="V888" s="38"/>
      <c r="W888" s="40"/>
      <c r="X888" s="40"/>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row>
    <row r="889">
      <c r="A889" s="37"/>
      <c r="B889" s="322"/>
      <c r="C889" s="144"/>
      <c r="D889" s="144"/>
      <c r="E889" s="37"/>
      <c r="F889" s="37"/>
      <c r="G889" s="37"/>
      <c r="H889" s="33" t="str">
        <f t="shared" si="33"/>
        <v/>
      </c>
      <c r="I889" s="37"/>
      <c r="J889" s="37"/>
      <c r="K889" s="37"/>
      <c r="L889" s="37"/>
      <c r="M889" s="14"/>
      <c r="N889" s="15"/>
      <c r="O889" s="16"/>
      <c r="P889" s="16"/>
      <c r="Q889" s="16"/>
      <c r="R889" s="16"/>
      <c r="S889" s="37" t="str">
        <f>IFERROR(__xludf.DUMMYFUNCTION("if(not(iserror(index(split(C889, "" ""),2))), index(split(C889, "" ""),1),"""")"),"")</f>
        <v/>
      </c>
      <c r="T889" s="315" t="str">
        <f>IFERROR(__xludf.DUMMYFUNCTION("if(S889="""",C889,if(not(iserror(index(split(C889, "" ""),3))), index(split(C889, "" ""),3),index(split(C889, "" ""),2)))"),"")</f>
        <v/>
      </c>
      <c r="U889" s="38" t="b">
        <f t="shared" si="34"/>
        <v>0</v>
      </c>
      <c r="V889" s="38"/>
      <c r="W889" s="40"/>
      <c r="X889" s="40"/>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c r="BQ889" s="38"/>
    </row>
    <row r="890">
      <c r="A890" s="37"/>
      <c r="B890" s="322"/>
      <c r="C890" s="144"/>
      <c r="D890" s="144"/>
      <c r="E890" s="37"/>
      <c r="F890" s="37"/>
      <c r="G890" s="37"/>
      <c r="H890" s="33" t="str">
        <f t="shared" si="33"/>
        <v/>
      </c>
      <c r="I890" s="37"/>
      <c r="J890" s="37"/>
      <c r="K890" s="37"/>
      <c r="L890" s="37"/>
      <c r="M890" s="14"/>
      <c r="N890" s="15"/>
      <c r="O890" s="16"/>
      <c r="P890" s="16"/>
      <c r="Q890" s="16"/>
      <c r="R890" s="16"/>
      <c r="S890" s="37" t="str">
        <f>IFERROR(__xludf.DUMMYFUNCTION("if(not(iserror(index(split(C890, "" ""),2))), index(split(C890, "" ""),1),"""")"),"")</f>
        <v/>
      </c>
      <c r="T890" s="315" t="str">
        <f>IFERROR(__xludf.DUMMYFUNCTION("if(S890="""",C890,if(not(iserror(index(split(C890, "" ""),3))), index(split(C890, "" ""),3),index(split(C890, "" ""),2)))"),"")</f>
        <v/>
      </c>
      <c r="U890" s="38" t="b">
        <f t="shared" si="34"/>
        <v>0</v>
      </c>
      <c r="V890" s="38"/>
      <c r="W890" s="40"/>
      <c r="X890" s="40"/>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row>
    <row r="891">
      <c r="A891" s="37"/>
      <c r="B891" s="322"/>
      <c r="C891" s="144"/>
      <c r="D891" s="144"/>
      <c r="E891" s="37"/>
      <c r="F891" s="37"/>
      <c r="G891" s="37"/>
      <c r="H891" s="33" t="str">
        <f t="shared" si="33"/>
        <v/>
      </c>
      <c r="I891" s="37"/>
      <c r="J891" s="37"/>
      <c r="K891" s="37"/>
      <c r="L891" s="37"/>
      <c r="M891" s="14"/>
      <c r="N891" s="15"/>
      <c r="O891" s="37"/>
      <c r="P891" s="16"/>
      <c r="Q891" s="64"/>
      <c r="R891" s="16"/>
      <c r="S891" s="37" t="str">
        <f>IFERROR(__xludf.DUMMYFUNCTION("if(not(iserror(index(split(C891, "" ""),2))), index(split(C891, "" ""),1),"""")"),"")</f>
        <v/>
      </c>
      <c r="T891" s="315" t="str">
        <f>IFERROR(__xludf.DUMMYFUNCTION("if(S891="""",C891,if(not(iserror(index(split(C891, "" ""),3))), index(split(C891, "" ""),3),index(split(C891, "" ""),2)))"),"")</f>
        <v/>
      </c>
      <c r="U891" s="38" t="b">
        <f t="shared" si="34"/>
        <v>0</v>
      </c>
      <c r="V891" s="38"/>
      <c r="W891" s="40"/>
      <c r="X891" s="40"/>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row>
    <row r="892">
      <c r="A892" s="37"/>
      <c r="B892" s="322"/>
      <c r="C892" s="144"/>
      <c r="D892" s="144"/>
      <c r="E892" s="37"/>
      <c r="F892" s="37"/>
      <c r="G892" s="37"/>
      <c r="H892" s="33" t="str">
        <f t="shared" si="33"/>
        <v/>
      </c>
      <c r="I892" s="37"/>
      <c r="J892" s="37"/>
      <c r="K892" s="37"/>
      <c r="L892" s="37"/>
      <c r="M892" s="14"/>
      <c r="N892" s="14"/>
      <c r="O892" s="37"/>
      <c r="P892" s="16"/>
      <c r="Q892" s="64"/>
      <c r="R892" s="16"/>
      <c r="S892" s="37" t="str">
        <f>IFERROR(__xludf.DUMMYFUNCTION("if(not(iserror(index(split(C892, "" ""),2))), index(split(C892, "" ""),1),"""")"),"")</f>
        <v/>
      </c>
      <c r="T892" s="315" t="str">
        <f>IFERROR(__xludf.DUMMYFUNCTION("if(S892="""",C892,if(not(iserror(index(split(C892, "" ""),3))), index(split(C892, "" ""),3),index(split(C892, "" ""),2)))"),"")</f>
        <v/>
      </c>
      <c r="U892" s="38" t="b">
        <f t="shared" si="34"/>
        <v>0</v>
      </c>
      <c r="V892" s="38"/>
      <c r="W892" s="40"/>
      <c r="X892" s="40"/>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row>
    <row r="893">
      <c r="A893" s="37"/>
      <c r="B893" s="322"/>
      <c r="C893" s="144"/>
      <c r="D893" s="144"/>
      <c r="E893" s="37"/>
      <c r="F893" s="37"/>
      <c r="G893" s="37"/>
      <c r="H893" s="33" t="str">
        <f t="shared" si="33"/>
        <v/>
      </c>
      <c r="I893" s="37"/>
      <c r="J893" s="37"/>
      <c r="K893" s="37"/>
      <c r="L893" s="37"/>
      <c r="M893" s="14"/>
      <c r="N893" s="15"/>
      <c r="O893" s="16"/>
      <c r="P893" s="16"/>
      <c r="Q893" s="16"/>
      <c r="R893" s="16"/>
      <c r="S893" s="37" t="str">
        <f>IFERROR(__xludf.DUMMYFUNCTION("if(not(iserror(index(split(C893, "" ""),2))), index(split(C893, "" ""),1),"""")"),"")</f>
        <v/>
      </c>
      <c r="T893" s="315" t="str">
        <f>IFERROR(__xludf.DUMMYFUNCTION("if(S893="""",C893,if(not(iserror(index(split(C893, "" ""),3))), index(split(C893, "" ""),3),index(split(C893, "" ""),2)))"),"")</f>
        <v/>
      </c>
      <c r="U893" s="38" t="b">
        <f t="shared" si="34"/>
        <v>0</v>
      </c>
      <c r="V893" s="38"/>
      <c r="W893" s="40"/>
      <c r="X893" s="40"/>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row>
    <row r="894">
      <c r="A894" s="37"/>
      <c r="B894" s="322"/>
      <c r="C894" s="144"/>
      <c r="D894" s="144"/>
      <c r="E894" s="37"/>
      <c r="F894" s="37"/>
      <c r="G894" s="37"/>
      <c r="H894" s="33" t="str">
        <f t="shared" si="33"/>
        <v/>
      </c>
      <c r="I894" s="37"/>
      <c r="J894" s="37"/>
      <c r="K894" s="37"/>
      <c r="L894" s="37"/>
      <c r="M894" s="14"/>
      <c r="N894" s="15"/>
      <c r="O894" s="37"/>
      <c r="P894" s="37"/>
      <c r="Q894" s="64"/>
      <c r="R894" s="16"/>
      <c r="S894" s="37" t="str">
        <f>IFERROR(__xludf.DUMMYFUNCTION("if(not(iserror(index(split(C894, "" ""),2))), index(split(C894, "" ""),1),"""")"),"")</f>
        <v/>
      </c>
      <c r="T894" s="315" t="str">
        <f>IFERROR(__xludf.DUMMYFUNCTION("if(S894="""",C894,if(not(iserror(index(split(C894, "" ""),3))), index(split(C894, "" ""),3),index(split(C894, "" ""),2)))"),"")</f>
        <v/>
      </c>
      <c r="U894" s="38" t="b">
        <f t="shared" si="34"/>
        <v>0</v>
      </c>
      <c r="V894" s="38"/>
      <c r="W894" s="40"/>
      <c r="X894" s="40"/>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row>
    <row r="895">
      <c r="A895" s="37"/>
      <c r="B895" s="322"/>
      <c r="C895" s="144"/>
      <c r="D895" s="144"/>
      <c r="E895" s="37"/>
      <c r="F895" s="37"/>
      <c r="G895" s="37"/>
      <c r="H895" s="33" t="str">
        <f t="shared" si="33"/>
        <v/>
      </c>
      <c r="I895" s="37"/>
      <c r="J895" s="37"/>
      <c r="K895" s="37"/>
      <c r="L895" s="37"/>
      <c r="M895" s="14"/>
      <c r="N895" s="15"/>
      <c r="O895" s="37"/>
      <c r="P895" s="37"/>
      <c r="Q895" s="64"/>
      <c r="R895" s="16"/>
      <c r="S895" s="37" t="str">
        <f>IFERROR(__xludf.DUMMYFUNCTION("if(not(iserror(index(split(C895, "" ""),2))), index(split(C895, "" ""),1),"""")"),"")</f>
        <v/>
      </c>
      <c r="T895" s="315" t="str">
        <f>IFERROR(__xludf.DUMMYFUNCTION("if(S895="""",C895,if(not(iserror(index(split(C895, "" ""),3))), index(split(C895, "" ""),3),index(split(C895, "" ""),2)))"),"")</f>
        <v/>
      </c>
      <c r="U895" s="38" t="b">
        <f t="shared" si="34"/>
        <v>0</v>
      </c>
      <c r="V895" s="38"/>
      <c r="W895" s="40"/>
      <c r="X895" s="40"/>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row>
    <row r="896">
      <c r="A896" s="37"/>
      <c r="B896" s="322"/>
      <c r="C896" s="144"/>
      <c r="D896" s="144"/>
      <c r="E896" s="37"/>
      <c r="F896" s="37"/>
      <c r="G896" s="37"/>
      <c r="H896" s="33" t="str">
        <f t="shared" si="33"/>
        <v/>
      </c>
      <c r="I896" s="37"/>
      <c r="J896" s="37"/>
      <c r="K896" s="37"/>
      <c r="L896" s="37"/>
      <c r="M896" s="14"/>
      <c r="N896" s="15"/>
      <c r="O896" s="37"/>
      <c r="P896" s="37"/>
      <c r="Q896" s="64"/>
      <c r="R896" s="16"/>
      <c r="S896" s="37" t="str">
        <f>IFERROR(__xludf.DUMMYFUNCTION("if(not(iserror(index(split(C896, "" ""),2))), index(split(C896, "" ""),1),"""")"),"")</f>
        <v/>
      </c>
      <c r="T896" s="315" t="str">
        <f>IFERROR(__xludf.DUMMYFUNCTION("if(S896="""",C896,if(not(iserror(index(split(C896, "" ""),3))), index(split(C896, "" ""),3),index(split(C896, "" ""),2)))"),"")</f>
        <v/>
      </c>
      <c r="U896" s="38" t="b">
        <f t="shared" si="34"/>
        <v>0</v>
      </c>
      <c r="V896" s="38"/>
      <c r="W896" s="40"/>
      <c r="X896" s="40"/>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row>
    <row r="897">
      <c r="A897" s="37"/>
      <c r="B897" s="322"/>
      <c r="C897" s="144"/>
      <c r="D897" s="144"/>
      <c r="E897" s="37"/>
      <c r="F897" s="37"/>
      <c r="G897" s="37"/>
      <c r="H897" s="33" t="str">
        <f t="shared" si="33"/>
        <v/>
      </c>
      <c r="I897" s="37"/>
      <c r="J897" s="37"/>
      <c r="K897" s="37"/>
      <c r="L897" s="37"/>
      <c r="M897" s="14"/>
      <c r="N897" s="15"/>
      <c r="O897" s="37"/>
      <c r="P897" s="16"/>
      <c r="Q897" s="64"/>
      <c r="R897" s="16"/>
      <c r="S897" s="37" t="str">
        <f>IFERROR(__xludf.DUMMYFUNCTION("if(not(iserror(index(split(C897, "" ""),2))), index(split(C897, "" ""),1),"""")"),"")</f>
        <v/>
      </c>
      <c r="T897" s="315" t="str">
        <f>IFERROR(__xludf.DUMMYFUNCTION("if(S897="""",C897,if(not(iserror(index(split(C897, "" ""),3))), index(split(C897, "" ""),3),index(split(C897, "" ""),2)))"),"")</f>
        <v/>
      </c>
      <c r="U897" s="38" t="b">
        <f t="shared" si="34"/>
        <v>0</v>
      </c>
      <c r="V897" s="38"/>
      <c r="W897" s="40"/>
      <c r="X897" s="40"/>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row>
    <row r="898">
      <c r="A898" s="37"/>
      <c r="B898" s="322"/>
      <c r="C898" s="144"/>
      <c r="D898" s="144"/>
      <c r="E898" s="37"/>
      <c r="F898" s="37"/>
      <c r="G898" s="37"/>
      <c r="H898" s="33" t="str">
        <f t="shared" si="33"/>
        <v/>
      </c>
      <c r="I898" s="37"/>
      <c r="J898" s="37"/>
      <c r="K898" s="37"/>
      <c r="L898" s="37"/>
      <c r="M898" s="14"/>
      <c r="N898" s="15"/>
      <c r="O898" s="37"/>
      <c r="P898" s="16"/>
      <c r="Q898" s="64"/>
      <c r="R898" s="16"/>
      <c r="S898" s="37" t="str">
        <f>IFERROR(__xludf.DUMMYFUNCTION("if(not(iserror(index(split(C898, "" ""),2))), index(split(C898, "" ""),1),"""")"),"")</f>
        <v/>
      </c>
      <c r="T898" s="315" t="str">
        <f>IFERROR(__xludf.DUMMYFUNCTION("if(S898="""",C898,if(not(iserror(index(split(C898, "" ""),3))), index(split(C898, "" ""),3),index(split(C898, "" ""),2)))"),"")</f>
        <v/>
      </c>
      <c r="U898" s="38" t="b">
        <f t="shared" si="34"/>
        <v>0</v>
      </c>
      <c r="V898" s="38"/>
      <c r="W898" s="40"/>
      <c r="X898" s="40"/>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c r="BQ898" s="38"/>
    </row>
    <row r="899">
      <c r="A899" s="37"/>
      <c r="B899" s="322"/>
      <c r="C899" s="144"/>
      <c r="D899" s="144"/>
      <c r="E899" s="37"/>
      <c r="F899" s="37"/>
      <c r="G899" s="37"/>
      <c r="H899" s="33" t="str">
        <f t="shared" si="33"/>
        <v/>
      </c>
      <c r="I899" s="37"/>
      <c r="J899" s="37"/>
      <c r="K899" s="37"/>
      <c r="L899" s="37"/>
      <c r="M899" s="14"/>
      <c r="N899" s="15"/>
      <c r="O899" s="37"/>
      <c r="P899" s="37"/>
      <c r="Q899" s="64"/>
      <c r="R899" s="16"/>
      <c r="S899" s="37" t="str">
        <f>IFERROR(__xludf.DUMMYFUNCTION("if(not(iserror(index(split(C899, "" ""),2))), index(split(C899, "" ""),1),"""")"),"")</f>
        <v/>
      </c>
      <c r="T899" s="315" t="str">
        <f>IFERROR(__xludf.DUMMYFUNCTION("if(S899="""",C899,if(not(iserror(index(split(C899, "" ""),3))), index(split(C899, "" ""),3),index(split(C899, "" ""),2)))"),"")</f>
        <v/>
      </c>
      <c r="U899" s="38" t="b">
        <f t="shared" si="34"/>
        <v>0</v>
      </c>
      <c r="V899" s="38"/>
      <c r="W899" s="40"/>
      <c r="X899" s="40"/>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row>
    <row r="900">
      <c r="A900" s="37"/>
      <c r="B900" s="322"/>
      <c r="C900" s="144"/>
      <c r="D900" s="144"/>
      <c r="E900" s="37"/>
      <c r="F900" s="37"/>
      <c r="G900" s="37"/>
      <c r="H900" s="33" t="str">
        <f t="shared" si="33"/>
        <v/>
      </c>
      <c r="I900" s="37"/>
      <c r="J900" s="37"/>
      <c r="K900" s="37"/>
      <c r="L900" s="37"/>
      <c r="M900" s="14"/>
      <c r="N900" s="15"/>
      <c r="O900" s="37"/>
      <c r="P900" s="37"/>
      <c r="Q900" s="64"/>
      <c r="R900" s="16"/>
      <c r="S900" s="37" t="str">
        <f>IFERROR(__xludf.DUMMYFUNCTION("if(not(iserror(index(split(C900, "" ""),2))), index(split(C900, "" ""),1),"""")"),"")</f>
        <v/>
      </c>
      <c r="T900" s="315" t="str">
        <f>IFERROR(__xludf.DUMMYFUNCTION("if(S900="""",C900,if(not(iserror(index(split(C900, "" ""),3))), index(split(C900, "" ""),3),index(split(C900, "" ""),2)))"),"")</f>
        <v/>
      </c>
      <c r="U900" s="38" t="b">
        <f t="shared" si="34"/>
        <v>0</v>
      </c>
      <c r="V900" s="38"/>
      <c r="W900" s="40"/>
      <c r="X900" s="40"/>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row>
    <row r="901">
      <c r="A901" s="91"/>
      <c r="B901" s="383"/>
      <c r="C901" s="146"/>
      <c r="D901" s="146"/>
      <c r="E901" s="91"/>
      <c r="F901" s="91"/>
      <c r="G901" s="91"/>
      <c r="H901" s="33" t="str">
        <f t="shared" si="33"/>
        <v/>
      </c>
      <c r="I901" s="91"/>
      <c r="J901" s="91"/>
      <c r="K901" s="91"/>
      <c r="L901" s="91"/>
      <c r="M901" s="95"/>
      <c r="N901" s="15"/>
      <c r="O901" s="37"/>
      <c r="P901" s="37"/>
      <c r="Q901" s="64"/>
      <c r="R901" s="16"/>
      <c r="S901" s="37" t="str">
        <f>IFERROR(__xludf.DUMMYFUNCTION("if(not(iserror(index(split(C901, "" ""),2))), index(split(C901, "" ""),1),"""")"),"")</f>
        <v/>
      </c>
      <c r="T901" s="315" t="str">
        <f>IFERROR(__xludf.DUMMYFUNCTION("if(S901="""",C901,if(not(iserror(index(split(C901, "" ""),3))), index(split(C901, "" ""),3),index(split(C901, "" ""),2)))"),"")</f>
        <v/>
      </c>
      <c r="U901" s="38" t="b">
        <f t="shared" si="34"/>
        <v>0</v>
      </c>
      <c r="V901" s="38"/>
      <c r="W901" s="40"/>
      <c r="X901" s="40"/>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row>
    <row r="902">
      <c r="A902" s="37"/>
      <c r="B902" s="322"/>
      <c r="C902" s="144"/>
      <c r="D902" s="144"/>
      <c r="E902" s="37"/>
      <c r="F902" s="37"/>
      <c r="G902" s="37"/>
      <c r="H902" s="33" t="str">
        <f t="shared" si="33"/>
        <v/>
      </c>
      <c r="I902" s="37"/>
      <c r="J902" s="37"/>
      <c r="K902" s="37"/>
      <c r="L902" s="37"/>
      <c r="M902" s="14"/>
      <c r="N902" s="15"/>
      <c r="O902" s="16"/>
      <c r="P902" s="16"/>
      <c r="Q902" s="16"/>
      <c r="R902" s="16"/>
      <c r="S902" s="37" t="str">
        <f>IFERROR(__xludf.DUMMYFUNCTION("if(not(iserror(index(split(C902, "" ""),2))), index(split(C902, "" ""),1),"""")"),"")</f>
        <v/>
      </c>
      <c r="T902" s="315" t="str">
        <f>IFERROR(__xludf.DUMMYFUNCTION("if(S902="""",C902,if(not(iserror(index(split(C902, "" ""),3))), index(split(C902, "" ""),3),index(split(C902, "" ""),2)))"),"")</f>
        <v/>
      </c>
      <c r="U902" s="38" t="b">
        <f t="shared" si="34"/>
        <v>0</v>
      </c>
      <c r="V902" s="38"/>
      <c r="W902" s="40"/>
      <c r="X902" s="40"/>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row>
    <row r="903">
      <c r="A903" s="37"/>
      <c r="B903" s="322"/>
      <c r="C903" s="144"/>
      <c r="D903" s="144"/>
      <c r="E903" s="37"/>
      <c r="F903" s="37"/>
      <c r="G903" s="37"/>
      <c r="H903" s="33" t="str">
        <f t="shared" si="33"/>
        <v/>
      </c>
      <c r="I903" s="37"/>
      <c r="J903" s="37"/>
      <c r="K903" s="37"/>
      <c r="L903" s="37"/>
      <c r="M903" s="14"/>
      <c r="N903" s="15"/>
      <c r="O903" s="16"/>
      <c r="P903" s="16"/>
      <c r="Q903" s="16"/>
      <c r="R903" s="16"/>
      <c r="S903" s="37" t="str">
        <f>IFERROR(__xludf.DUMMYFUNCTION("if(not(iserror(index(split(C903, "" ""),2))), index(split(C903, "" ""),1),"""")"),"")</f>
        <v/>
      </c>
      <c r="T903" s="315" t="str">
        <f>IFERROR(__xludf.DUMMYFUNCTION("if(S903="""",C903,if(not(iserror(index(split(C903, "" ""),3))), index(split(C903, "" ""),3),index(split(C903, "" ""),2)))"),"")</f>
        <v/>
      </c>
      <c r="U903" s="38" t="b">
        <f t="shared" si="34"/>
        <v>0</v>
      </c>
      <c r="V903" s="38"/>
      <c r="W903" s="40"/>
      <c r="X903" s="40"/>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row>
    <row r="904">
      <c r="A904" s="37"/>
      <c r="B904" s="322"/>
      <c r="C904" s="144"/>
      <c r="D904" s="144"/>
      <c r="E904" s="37"/>
      <c r="F904" s="37"/>
      <c r="G904" s="37"/>
      <c r="H904" s="33" t="str">
        <f t="shared" si="33"/>
        <v/>
      </c>
      <c r="I904" s="37"/>
      <c r="J904" s="37"/>
      <c r="K904" s="37"/>
      <c r="L904" s="37"/>
      <c r="M904" s="14"/>
      <c r="N904" s="15"/>
      <c r="O904" s="37"/>
      <c r="P904" s="37"/>
      <c r="Q904" s="64"/>
      <c r="R904" s="16"/>
      <c r="S904" s="37" t="str">
        <f>IFERROR(__xludf.DUMMYFUNCTION("if(not(iserror(index(split(C904, "" ""),2))), index(split(C904, "" ""),1),"""")"),"")</f>
        <v/>
      </c>
      <c r="T904" s="315" t="str">
        <f>IFERROR(__xludf.DUMMYFUNCTION("if(S904="""",C904,if(not(iserror(index(split(C904, "" ""),3))), index(split(C904, "" ""),3),index(split(C904, "" ""),2)))"),"")</f>
        <v/>
      </c>
      <c r="U904" s="38" t="b">
        <f t="shared" si="34"/>
        <v>0</v>
      </c>
      <c r="V904" s="38"/>
      <c r="W904" s="40"/>
      <c r="X904" s="40"/>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row>
    <row r="905">
      <c r="A905" s="37"/>
      <c r="B905" s="322"/>
      <c r="C905" s="144"/>
      <c r="D905" s="144"/>
      <c r="E905" s="37"/>
      <c r="F905" s="37"/>
      <c r="G905" s="37"/>
      <c r="H905" s="33" t="str">
        <f t="shared" si="33"/>
        <v/>
      </c>
      <c r="I905" s="37"/>
      <c r="J905" s="37"/>
      <c r="K905" s="37"/>
      <c r="L905" s="37"/>
      <c r="M905" s="14"/>
      <c r="N905" s="15"/>
      <c r="O905" s="37"/>
      <c r="P905" s="37"/>
      <c r="Q905" s="64"/>
      <c r="R905" s="16"/>
      <c r="S905" s="37" t="str">
        <f>IFERROR(__xludf.DUMMYFUNCTION("if(not(iserror(index(split(C905, "" ""),2))), index(split(C905, "" ""),1),"""")"),"")</f>
        <v/>
      </c>
      <c r="T905" s="315" t="str">
        <f>IFERROR(__xludf.DUMMYFUNCTION("if(S905="""",C905,if(not(iserror(index(split(C905, "" ""),3))), index(split(C905, "" ""),3),index(split(C905, "" ""),2)))"),"")</f>
        <v/>
      </c>
      <c r="U905" s="38" t="b">
        <f t="shared" si="34"/>
        <v>0</v>
      </c>
      <c r="V905" s="38"/>
      <c r="W905" s="40"/>
      <c r="X905" s="40"/>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row>
    <row r="906">
      <c r="A906" s="37"/>
      <c r="B906" s="322"/>
      <c r="C906" s="144"/>
      <c r="D906" s="144"/>
      <c r="E906" s="37"/>
      <c r="F906" s="37"/>
      <c r="G906" s="37"/>
      <c r="H906" s="33" t="str">
        <f t="shared" si="33"/>
        <v/>
      </c>
      <c r="I906" s="37"/>
      <c r="J906" s="37"/>
      <c r="K906" s="37"/>
      <c r="L906" s="37"/>
      <c r="M906" s="14"/>
      <c r="N906" s="14"/>
      <c r="O906" s="37"/>
      <c r="P906" s="37"/>
      <c r="Q906" s="64"/>
      <c r="R906" s="16"/>
      <c r="S906" s="37" t="str">
        <f>IFERROR(__xludf.DUMMYFUNCTION("if(not(iserror(index(split(C906, "" ""),2))), index(split(C906, "" ""),1),"""")"),"")</f>
        <v/>
      </c>
      <c r="T906" s="315" t="str">
        <f>IFERROR(__xludf.DUMMYFUNCTION("if(S906="""",C906,if(not(iserror(index(split(C906, "" ""),3))), index(split(C906, "" ""),3),index(split(C906, "" ""),2)))"),"")</f>
        <v/>
      </c>
      <c r="U906" s="38" t="b">
        <f t="shared" si="34"/>
        <v>0</v>
      </c>
      <c r="V906" s="38"/>
      <c r="W906" s="40"/>
      <c r="X906" s="40"/>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row>
    <row r="907">
      <c r="A907" s="37"/>
      <c r="B907" s="322"/>
      <c r="C907" s="144"/>
      <c r="D907" s="144"/>
      <c r="E907" s="37"/>
      <c r="F907" s="37"/>
      <c r="G907" s="37"/>
      <c r="H907" s="33" t="str">
        <f t="shared" si="33"/>
        <v/>
      </c>
      <c r="I907" s="37"/>
      <c r="J907" s="37"/>
      <c r="K907" s="37"/>
      <c r="L907" s="37"/>
      <c r="M907" s="14"/>
      <c r="N907" s="15"/>
      <c r="O907" s="37"/>
      <c r="P907" s="16"/>
      <c r="Q907" s="64"/>
      <c r="R907" s="16"/>
      <c r="S907" s="37" t="str">
        <f>IFERROR(__xludf.DUMMYFUNCTION("if(not(iserror(index(split(C907, "" ""),2))), index(split(C907, "" ""),1),"""")"),"")</f>
        <v/>
      </c>
      <c r="T907" s="315" t="str">
        <f>IFERROR(__xludf.DUMMYFUNCTION("if(S907="""",C907,if(not(iserror(index(split(C907, "" ""),3))), index(split(C907, "" ""),3),index(split(C907, "" ""),2)))"),"")</f>
        <v/>
      </c>
      <c r="U907" s="38" t="b">
        <f t="shared" si="34"/>
        <v>0</v>
      </c>
      <c r="V907" s="38"/>
      <c r="W907" s="40"/>
      <c r="X907" s="40"/>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row>
    <row r="908">
      <c r="A908" s="37"/>
      <c r="B908" s="322"/>
      <c r="C908" s="144"/>
      <c r="D908" s="144"/>
      <c r="E908" s="37"/>
      <c r="F908" s="37"/>
      <c r="G908" s="37"/>
      <c r="H908" s="33" t="str">
        <f t="shared" si="33"/>
        <v/>
      </c>
      <c r="I908" s="37"/>
      <c r="J908" s="37"/>
      <c r="K908" s="37"/>
      <c r="L908" s="37"/>
      <c r="M908" s="14"/>
      <c r="N908" s="14"/>
      <c r="O908" s="37"/>
      <c r="P908" s="37"/>
      <c r="Q908" s="64"/>
      <c r="R908" s="16"/>
      <c r="S908" s="37" t="str">
        <f>IFERROR(__xludf.DUMMYFUNCTION("if(not(iserror(index(split(C908, "" ""),2))), index(split(C908, "" ""),1),"""")"),"")</f>
        <v/>
      </c>
      <c r="T908" s="315" t="str">
        <f>IFERROR(__xludf.DUMMYFUNCTION("if(S908="""",C908,if(not(iserror(index(split(C908, "" ""),3))), index(split(C908, "" ""),3),index(split(C908, "" ""),2)))"),"")</f>
        <v/>
      </c>
      <c r="U908" s="38" t="b">
        <f t="shared" si="34"/>
        <v>0</v>
      </c>
      <c r="V908" s="38"/>
      <c r="W908" s="40"/>
      <c r="X908" s="40"/>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row>
    <row r="909">
      <c r="A909" s="37"/>
      <c r="B909" s="322"/>
      <c r="C909" s="144"/>
      <c r="D909" s="144"/>
      <c r="E909" s="37"/>
      <c r="F909" s="37"/>
      <c r="G909" s="37"/>
      <c r="H909" s="33" t="str">
        <f t="shared" si="33"/>
        <v/>
      </c>
      <c r="I909" s="37"/>
      <c r="J909" s="37"/>
      <c r="K909" s="37"/>
      <c r="L909" s="37"/>
      <c r="M909" s="14"/>
      <c r="N909" s="15"/>
      <c r="O909" s="37"/>
      <c r="P909" s="37"/>
      <c r="Q909" s="64"/>
      <c r="R909" s="16"/>
      <c r="S909" s="37" t="str">
        <f>IFERROR(__xludf.DUMMYFUNCTION("if(not(iserror(index(split(C909, "" ""),2))), index(split(C909, "" ""),1),"""")"),"")</f>
        <v/>
      </c>
      <c r="T909" s="315" t="str">
        <f>IFERROR(__xludf.DUMMYFUNCTION("if(S909="""",C909,if(not(iserror(index(split(C909, "" ""),3))), index(split(C909, "" ""),3),index(split(C909, "" ""),2)))"),"")</f>
        <v/>
      </c>
      <c r="U909" s="38" t="b">
        <f t="shared" si="34"/>
        <v>0</v>
      </c>
      <c r="V909" s="38"/>
      <c r="W909" s="40"/>
      <c r="X909" s="40"/>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row>
    <row r="910">
      <c r="A910" s="37"/>
      <c r="B910" s="322"/>
      <c r="C910" s="144"/>
      <c r="D910" s="144"/>
      <c r="E910" s="37"/>
      <c r="F910" s="37"/>
      <c r="G910" s="37"/>
      <c r="H910" s="33" t="str">
        <f t="shared" si="33"/>
        <v/>
      </c>
      <c r="I910" s="37"/>
      <c r="J910" s="37"/>
      <c r="K910" s="37"/>
      <c r="L910" s="37"/>
      <c r="M910" s="14"/>
      <c r="N910" s="15"/>
      <c r="O910" s="16"/>
      <c r="P910" s="16"/>
      <c r="Q910" s="16"/>
      <c r="R910" s="16"/>
      <c r="S910" s="37" t="str">
        <f>IFERROR(__xludf.DUMMYFUNCTION("if(not(iserror(index(split(C910, "" ""),2))), index(split(C910, "" ""),1),"""")"),"")</f>
        <v/>
      </c>
      <c r="T910" s="315" t="str">
        <f>IFERROR(__xludf.DUMMYFUNCTION("if(S910="""",C910,if(not(iserror(index(split(C910, "" ""),3))), index(split(C910, "" ""),3),index(split(C910, "" ""),2)))"),"")</f>
        <v/>
      </c>
      <c r="U910" s="38" t="b">
        <f t="shared" si="34"/>
        <v>0</v>
      </c>
      <c r="V910" s="38"/>
      <c r="W910" s="40"/>
      <c r="X910" s="40"/>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row>
    <row r="911">
      <c r="A911" s="37"/>
      <c r="B911" s="322"/>
      <c r="C911" s="144"/>
      <c r="D911" s="144"/>
      <c r="E911" s="37"/>
      <c r="F911" s="37"/>
      <c r="G911" s="37"/>
      <c r="H911" s="33" t="str">
        <f t="shared" si="33"/>
        <v/>
      </c>
      <c r="I911" s="37"/>
      <c r="J911" s="37"/>
      <c r="K911" s="37"/>
      <c r="L911" s="37"/>
      <c r="M911" s="14"/>
      <c r="N911" s="15"/>
      <c r="O911" s="16"/>
      <c r="P911" s="16"/>
      <c r="Q911" s="16"/>
      <c r="R911" s="16"/>
      <c r="S911" s="37" t="str">
        <f>IFERROR(__xludf.DUMMYFUNCTION("if(not(iserror(index(split(C911, "" ""),2))), index(split(C911, "" ""),1),"""")"),"")</f>
        <v/>
      </c>
      <c r="T911" s="315" t="str">
        <f>IFERROR(__xludf.DUMMYFUNCTION("if(S911="""",C911,if(not(iserror(index(split(C911, "" ""),3))), index(split(C911, "" ""),3),index(split(C911, "" ""),2)))"),"")</f>
        <v/>
      </c>
      <c r="U911" s="38" t="b">
        <f t="shared" si="34"/>
        <v>0</v>
      </c>
      <c r="V911" s="38"/>
      <c r="W911" s="40"/>
      <c r="X911" s="40"/>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row>
    <row r="912">
      <c r="A912" s="37"/>
      <c r="B912" s="322"/>
      <c r="C912" s="144"/>
      <c r="D912" s="144"/>
      <c r="E912" s="37"/>
      <c r="F912" s="37"/>
      <c r="G912" s="37"/>
      <c r="H912" s="33" t="str">
        <f t="shared" si="33"/>
        <v/>
      </c>
      <c r="I912" s="37"/>
      <c r="J912" s="37"/>
      <c r="K912" s="37"/>
      <c r="L912" s="37"/>
      <c r="M912" s="14"/>
      <c r="N912" s="15"/>
      <c r="O912" s="16"/>
      <c r="P912" s="16"/>
      <c r="Q912" s="16"/>
      <c r="R912" s="16"/>
      <c r="S912" s="37" t="str">
        <f>IFERROR(__xludf.DUMMYFUNCTION("if(not(iserror(index(split(C912, "" ""),2))), index(split(C912, "" ""),1),"""")"),"")</f>
        <v/>
      </c>
      <c r="T912" s="315" t="str">
        <f>IFERROR(__xludf.DUMMYFUNCTION("if(S912="""",C912,if(not(iserror(index(split(C912, "" ""),3))), index(split(C912, "" ""),3),index(split(C912, "" ""),2)))"),"")</f>
        <v/>
      </c>
      <c r="U912" s="38" t="b">
        <f t="shared" si="34"/>
        <v>0</v>
      </c>
      <c r="V912" s="38"/>
      <c r="W912" s="40"/>
      <c r="X912" s="40"/>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row>
    <row r="913">
      <c r="A913" s="37"/>
      <c r="B913" s="322"/>
      <c r="C913" s="144"/>
      <c r="D913" s="144"/>
      <c r="E913" s="37"/>
      <c r="F913" s="37"/>
      <c r="G913" s="37"/>
      <c r="H913" s="33" t="str">
        <f t="shared" si="33"/>
        <v/>
      </c>
      <c r="I913" s="37"/>
      <c r="J913" s="37"/>
      <c r="K913" s="37"/>
      <c r="L913" s="37"/>
      <c r="M913" s="14"/>
      <c r="N913" s="15"/>
      <c r="O913" s="16"/>
      <c r="P913" s="16"/>
      <c r="Q913" s="16"/>
      <c r="R913" s="16"/>
      <c r="S913" s="37" t="str">
        <f>IFERROR(__xludf.DUMMYFUNCTION("if(not(iserror(index(split(C913, "" ""),2))), index(split(C913, "" ""),1),"""")"),"")</f>
        <v/>
      </c>
      <c r="T913" s="315" t="str">
        <f>IFERROR(__xludf.DUMMYFUNCTION("if(S913="""",C913,if(not(iserror(index(split(C913, "" ""),3))), index(split(C913, "" ""),3),index(split(C913, "" ""),2)))"),"")</f>
        <v/>
      </c>
      <c r="U913" s="38" t="b">
        <f t="shared" si="34"/>
        <v>0</v>
      </c>
      <c r="V913" s="38"/>
      <c r="W913" s="40"/>
      <c r="X913" s="40"/>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row>
    <row r="914">
      <c r="A914" s="37"/>
      <c r="B914" s="322"/>
      <c r="C914" s="144"/>
      <c r="D914" s="144"/>
      <c r="E914" s="37"/>
      <c r="F914" s="37"/>
      <c r="G914" s="37"/>
      <c r="H914" s="33" t="str">
        <f t="shared" si="33"/>
        <v/>
      </c>
      <c r="I914" s="37"/>
      <c r="J914" s="37"/>
      <c r="K914" s="37"/>
      <c r="L914" s="37"/>
      <c r="M914" s="14"/>
      <c r="N914" s="15"/>
      <c r="O914" s="16"/>
      <c r="P914" s="16"/>
      <c r="Q914" s="16"/>
      <c r="R914" s="16"/>
      <c r="S914" s="37" t="str">
        <f>IFERROR(__xludf.DUMMYFUNCTION("if(not(iserror(index(split(C914, "" ""),2))), index(split(C914, "" ""),1),"""")"),"")</f>
        <v/>
      </c>
      <c r="T914" s="315" t="str">
        <f>IFERROR(__xludf.DUMMYFUNCTION("if(S914="""",C914,if(not(iserror(index(split(C914, "" ""),3))), index(split(C914, "" ""),3),index(split(C914, "" ""),2)))"),"")</f>
        <v/>
      </c>
      <c r="U914" s="38" t="b">
        <f t="shared" si="34"/>
        <v>0</v>
      </c>
      <c r="V914" s="38"/>
      <c r="W914" s="40"/>
      <c r="X914" s="40"/>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row>
    <row r="915">
      <c r="A915" s="37"/>
      <c r="B915" s="322"/>
      <c r="C915" s="144"/>
      <c r="D915" s="144"/>
      <c r="E915" s="37"/>
      <c r="F915" s="37"/>
      <c r="G915" s="37"/>
      <c r="H915" s="33" t="str">
        <f t="shared" si="33"/>
        <v/>
      </c>
      <c r="I915" s="37"/>
      <c r="J915" s="37"/>
      <c r="K915" s="37"/>
      <c r="L915" s="37"/>
      <c r="M915" s="14"/>
      <c r="N915" s="15"/>
      <c r="O915" s="16"/>
      <c r="P915" s="16"/>
      <c r="Q915" s="37"/>
      <c r="R915" s="16"/>
      <c r="S915" s="37" t="str">
        <f>IFERROR(__xludf.DUMMYFUNCTION("if(not(iserror(index(split(C915, "" ""),2))), index(split(C915, "" ""),1),"""")"),"")</f>
        <v/>
      </c>
      <c r="T915" s="315" t="str">
        <f>IFERROR(__xludf.DUMMYFUNCTION("if(S915="""",C915,if(not(iserror(index(split(C915, "" ""),3))), index(split(C915, "" ""),3),index(split(C915, "" ""),2)))"),"")</f>
        <v/>
      </c>
      <c r="U915" s="38" t="b">
        <f t="shared" si="34"/>
        <v>0</v>
      </c>
      <c r="V915" s="38"/>
      <c r="W915" s="40"/>
      <c r="X915" s="40"/>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row>
    <row r="916">
      <c r="A916" s="37"/>
      <c r="B916" s="322"/>
      <c r="C916" s="144"/>
      <c r="D916" s="144"/>
      <c r="E916" s="37"/>
      <c r="F916" s="37"/>
      <c r="G916" s="37"/>
      <c r="H916" s="33" t="str">
        <f t="shared" si="33"/>
        <v/>
      </c>
      <c r="I916" s="37"/>
      <c r="J916" s="16"/>
      <c r="K916" s="37"/>
      <c r="L916" s="37"/>
      <c r="M916" s="14"/>
      <c r="N916" s="15"/>
      <c r="O916" s="16"/>
      <c r="P916" s="16"/>
      <c r="Q916" s="16"/>
      <c r="R916" s="16"/>
      <c r="S916" s="37" t="str">
        <f>IFERROR(__xludf.DUMMYFUNCTION("if(not(iserror(index(split(C916, "" ""),2))), index(split(C916, "" ""),1),"""")"),"")</f>
        <v/>
      </c>
      <c r="T916" s="315" t="str">
        <f>IFERROR(__xludf.DUMMYFUNCTION("if(S916="""",C916,if(not(iserror(index(split(C916, "" ""),3))), index(split(C916, "" ""),3),index(split(C916, "" ""),2)))"),"")</f>
        <v/>
      </c>
      <c r="U916" s="38" t="b">
        <f t="shared" si="34"/>
        <v>0</v>
      </c>
      <c r="V916" s="38"/>
      <c r="W916" s="40"/>
      <c r="X916" s="40"/>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row>
    <row r="917">
      <c r="A917" s="37"/>
      <c r="B917" s="322"/>
      <c r="C917" s="144"/>
      <c r="D917" s="144"/>
      <c r="E917" s="37"/>
      <c r="F917" s="37"/>
      <c r="G917" s="37"/>
      <c r="H917" s="33" t="str">
        <f t="shared" si="33"/>
        <v/>
      </c>
      <c r="I917" s="37"/>
      <c r="J917" s="16"/>
      <c r="K917" s="37"/>
      <c r="L917" s="37"/>
      <c r="M917" s="14"/>
      <c r="N917" s="15"/>
      <c r="O917" s="16"/>
      <c r="P917" s="16"/>
      <c r="Q917" s="16"/>
      <c r="R917" s="16"/>
      <c r="S917" s="37" t="str">
        <f>IFERROR(__xludf.DUMMYFUNCTION("if(not(iserror(index(split(C917, "" ""),2))), index(split(C917, "" ""),1),"""")"),"")</f>
        <v/>
      </c>
      <c r="T917" s="315" t="str">
        <f>IFERROR(__xludf.DUMMYFUNCTION("if(S917="""",C917,if(not(iserror(index(split(C917, "" ""),3))), index(split(C917, "" ""),3),index(split(C917, "" ""),2)))"),"")</f>
        <v/>
      </c>
      <c r="U917" s="38" t="b">
        <f t="shared" si="34"/>
        <v>0</v>
      </c>
      <c r="V917" s="38"/>
      <c r="W917" s="40"/>
      <c r="X917" s="40"/>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row>
    <row r="918">
      <c r="A918" s="37"/>
      <c r="B918" s="381"/>
      <c r="C918" s="144"/>
      <c r="D918" s="144"/>
      <c r="E918" s="37"/>
      <c r="F918" s="37"/>
      <c r="G918" s="37"/>
      <c r="H918" s="33" t="str">
        <f t="shared" si="33"/>
        <v/>
      </c>
      <c r="I918" s="37"/>
      <c r="J918" s="37"/>
      <c r="K918" s="37"/>
      <c r="L918" s="37"/>
      <c r="M918" s="14"/>
      <c r="N918" s="15"/>
      <c r="O918" s="16"/>
      <c r="P918" s="16"/>
      <c r="Q918" s="16"/>
      <c r="R918" s="16"/>
      <c r="S918" s="37" t="str">
        <f>IFERROR(__xludf.DUMMYFUNCTION("if(not(iserror(index(split(C918, "" ""),2))), index(split(C918, "" ""),1),"""")"),"")</f>
        <v/>
      </c>
      <c r="T918" s="315" t="str">
        <f>IFERROR(__xludf.DUMMYFUNCTION("if(S918="""",C918,if(not(iserror(index(split(C918, "" ""),3))), index(split(C918, "" ""),3),index(split(C918, "" ""),2)))"),"")</f>
        <v/>
      </c>
      <c r="U918" s="38" t="b">
        <f t="shared" si="34"/>
        <v>0</v>
      </c>
      <c r="V918" s="38"/>
      <c r="W918" s="40"/>
      <c r="X918" s="40"/>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row>
    <row r="919">
      <c r="A919" s="37"/>
      <c r="B919" s="381"/>
      <c r="C919" s="144"/>
      <c r="D919" s="144"/>
      <c r="E919" s="37"/>
      <c r="F919" s="37"/>
      <c r="G919" s="37"/>
      <c r="H919" s="33" t="str">
        <f t="shared" si="33"/>
        <v/>
      </c>
      <c r="I919" s="37"/>
      <c r="J919" s="37"/>
      <c r="K919" s="37"/>
      <c r="L919" s="37"/>
      <c r="M919" s="14"/>
      <c r="N919" s="15"/>
      <c r="O919" s="16"/>
      <c r="P919" s="16"/>
      <c r="Q919" s="16"/>
      <c r="R919" s="16"/>
      <c r="S919" s="37" t="str">
        <f>IFERROR(__xludf.DUMMYFUNCTION("if(not(iserror(index(split(C919, "" ""),2))), index(split(C919, "" ""),1),"""")"),"")</f>
        <v/>
      </c>
      <c r="T919" s="315" t="str">
        <f>IFERROR(__xludf.DUMMYFUNCTION("if(S919="""",C919,if(not(iserror(index(split(C919, "" ""),3))), index(split(C919, "" ""),3),index(split(C919, "" ""),2)))"),"")</f>
        <v/>
      </c>
      <c r="U919" s="38" t="b">
        <f t="shared" si="34"/>
        <v>0</v>
      </c>
      <c r="V919" s="38"/>
      <c r="W919" s="40"/>
      <c r="X919" s="40"/>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row>
    <row r="920">
      <c r="A920" s="37"/>
      <c r="B920" s="381"/>
      <c r="C920" s="144"/>
      <c r="D920" s="144"/>
      <c r="E920" s="37"/>
      <c r="F920" s="37"/>
      <c r="G920" s="37"/>
      <c r="H920" s="33" t="str">
        <f t="shared" si="33"/>
        <v/>
      </c>
      <c r="I920" s="37"/>
      <c r="J920" s="37"/>
      <c r="K920" s="37"/>
      <c r="L920" s="37"/>
      <c r="M920" s="14"/>
      <c r="N920" s="15"/>
      <c r="O920" s="37"/>
      <c r="P920" s="37"/>
      <c r="Q920" s="64"/>
      <c r="R920" s="16"/>
      <c r="S920" s="37" t="str">
        <f>IFERROR(__xludf.DUMMYFUNCTION("if(not(iserror(index(split(C920, "" ""),2))), index(split(C920, "" ""),1),"""")"),"")</f>
        <v/>
      </c>
      <c r="T920" s="315" t="str">
        <f>IFERROR(__xludf.DUMMYFUNCTION("if(S920="""",C920,if(not(iserror(index(split(C920, "" ""),3))), index(split(C920, "" ""),3),index(split(C920, "" ""),2)))"),"")</f>
        <v/>
      </c>
      <c r="U920" s="38" t="b">
        <f t="shared" si="34"/>
        <v>0</v>
      </c>
      <c r="V920" s="38"/>
      <c r="W920" s="40"/>
      <c r="X920" s="40"/>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row>
    <row r="921">
      <c r="A921" s="37"/>
      <c r="B921" s="381"/>
      <c r="C921" s="144"/>
      <c r="D921" s="144"/>
      <c r="E921" s="37"/>
      <c r="F921" s="37"/>
      <c r="G921" s="37"/>
      <c r="H921" s="33" t="str">
        <f t="shared" si="33"/>
        <v/>
      </c>
      <c r="I921" s="37"/>
      <c r="J921" s="37"/>
      <c r="K921" s="37"/>
      <c r="L921" s="37"/>
      <c r="M921" s="14"/>
      <c r="N921" s="15"/>
      <c r="O921" s="37"/>
      <c r="P921" s="37"/>
      <c r="Q921" s="64"/>
      <c r="R921" s="16"/>
      <c r="S921" s="37" t="str">
        <f>IFERROR(__xludf.DUMMYFUNCTION("if(not(iserror(index(split(C921, "" ""),2))), index(split(C921, "" ""),1),"""")"),"")</f>
        <v/>
      </c>
      <c r="T921" s="315" t="str">
        <f>IFERROR(__xludf.DUMMYFUNCTION("if(S921="""",C921,if(not(iserror(index(split(C921, "" ""),3))), index(split(C921, "" ""),3),index(split(C921, "" ""),2)))"),"")</f>
        <v/>
      </c>
      <c r="U921" s="38" t="b">
        <f t="shared" si="34"/>
        <v>0</v>
      </c>
      <c r="V921" s="38"/>
      <c r="W921" s="40"/>
      <c r="X921" s="40"/>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row>
    <row r="922">
      <c r="A922" s="37"/>
      <c r="B922" s="381"/>
      <c r="C922" s="144"/>
      <c r="D922" s="144"/>
      <c r="E922" s="37"/>
      <c r="F922" s="37"/>
      <c r="G922" s="37"/>
      <c r="H922" s="33" t="str">
        <f t="shared" si="33"/>
        <v/>
      </c>
      <c r="I922" s="37"/>
      <c r="J922" s="37"/>
      <c r="K922" s="37"/>
      <c r="L922" s="37"/>
      <c r="M922" s="14"/>
      <c r="N922" s="15"/>
      <c r="O922" s="16"/>
      <c r="P922" s="16"/>
      <c r="Q922" s="16"/>
      <c r="R922" s="16"/>
      <c r="S922" s="37" t="str">
        <f>IFERROR(__xludf.DUMMYFUNCTION("if(not(iserror(index(split(C922, "" ""),2))), index(split(C922, "" ""),1),"""")"),"")</f>
        <v/>
      </c>
      <c r="T922" s="315" t="str">
        <f>IFERROR(__xludf.DUMMYFUNCTION("if(S922="""",C922,if(not(iserror(index(split(C922, "" ""),3))), index(split(C922, "" ""),3),index(split(C922, "" ""),2)))"),"")</f>
        <v/>
      </c>
      <c r="U922" s="38" t="b">
        <f t="shared" si="34"/>
        <v>0</v>
      </c>
      <c r="V922" s="38"/>
      <c r="W922" s="40"/>
      <c r="X922" s="40"/>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row>
    <row r="923">
      <c r="A923" s="37"/>
      <c r="B923" s="381"/>
      <c r="C923" s="144"/>
      <c r="D923" s="144"/>
      <c r="E923" s="37"/>
      <c r="F923" s="37"/>
      <c r="G923" s="37"/>
      <c r="H923" s="33" t="str">
        <f t="shared" si="33"/>
        <v/>
      </c>
      <c r="I923" s="37"/>
      <c r="J923" s="37"/>
      <c r="K923" s="37"/>
      <c r="L923" s="37"/>
      <c r="M923" s="14"/>
      <c r="N923" s="15"/>
      <c r="O923" s="16"/>
      <c r="P923" s="16"/>
      <c r="Q923" s="16"/>
      <c r="R923" s="16"/>
      <c r="S923" s="37" t="str">
        <f>IFERROR(__xludf.DUMMYFUNCTION("if(not(iserror(index(split(C923, "" ""),2))), index(split(C923, "" ""),1),"""")"),"")</f>
        <v/>
      </c>
      <c r="T923" s="315" t="str">
        <f>IFERROR(__xludf.DUMMYFUNCTION("if(S923="""",C923,if(not(iserror(index(split(C923, "" ""),3))), index(split(C923, "" ""),3),index(split(C923, "" ""),2)))"),"")</f>
        <v/>
      </c>
      <c r="U923" s="38" t="b">
        <f t="shared" si="34"/>
        <v>0</v>
      </c>
      <c r="V923" s="38"/>
      <c r="W923" s="40"/>
      <c r="X923" s="40"/>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row>
    <row r="924">
      <c r="A924" s="37"/>
      <c r="B924" s="322"/>
      <c r="C924" s="144"/>
      <c r="D924" s="144"/>
      <c r="E924" s="37"/>
      <c r="F924" s="37"/>
      <c r="G924" s="37"/>
      <c r="H924" s="33" t="str">
        <f t="shared" si="33"/>
        <v/>
      </c>
      <c r="I924" s="37"/>
      <c r="J924" s="16"/>
      <c r="K924" s="37"/>
      <c r="L924" s="37"/>
      <c r="M924" s="14"/>
      <c r="N924" s="15"/>
      <c r="O924" s="16"/>
      <c r="P924" s="16"/>
      <c r="Q924" s="16"/>
      <c r="R924" s="16"/>
      <c r="S924" s="37" t="str">
        <f>IFERROR(__xludf.DUMMYFUNCTION("if(not(iserror(index(split(C924, "" ""),2))), index(split(C924, "" ""),1),"""")"),"")</f>
        <v/>
      </c>
      <c r="T924" s="315" t="str">
        <f>IFERROR(__xludf.DUMMYFUNCTION("if(S924="""",C924,if(not(iserror(index(split(C924, "" ""),3))), index(split(C924, "" ""),3),index(split(C924, "" ""),2)))"),"")</f>
        <v/>
      </c>
      <c r="U924" s="38" t="b">
        <f t="shared" si="34"/>
        <v>0</v>
      </c>
      <c r="V924" s="38"/>
      <c r="W924" s="40"/>
      <c r="X924" s="40"/>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row>
    <row r="925">
      <c r="A925" s="37"/>
      <c r="B925" s="322"/>
      <c r="C925" s="144"/>
      <c r="D925" s="144"/>
      <c r="E925" s="37"/>
      <c r="F925" s="37"/>
      <c r="G925" s="37"/>
      <c r="H925" s="33" t="str">
        <f t="shared" si="33"/>
        <v/>
      </c>
      <c r="I925" s="37"/>
      <c r="J925" s="37"/>
      <c r="K925" s="37"/>
      <c r="L925" s="37"/>
      <c r="M925" s="14"/>
      <c r="N925" s="15"/>
      <c r="O925" s="37"/>
      <c r="P925" s="37"/>
      <c r="Q925" s="64"/>
      <c r="R925" s="16"/>
      <c r="S925" s="37" t="str">
        <f>IFERROR(__xludf.DUMMYFUNCTION("if(not(iserror(index(split(C925, "" ""),2))), index(split(C925, "" ""),1),"""")"),"")</f>
        <v/>
      </c>
      <c r="T925" s="315" t="str">
        <f>IFERROR(__xludf.DUMMYFUNCTION("if(S925="""",C925,if(not(iserror(index(split(C925, "" ""),3))), index(split(C925, "" ""),3),index(split(C925, "" ""),2)))"),"")</f>
        <v/>
      </c>
      <c r="U925" s="38" t="b">
        <f t="shared" si="34"/>
        <v>0</v>
      </c>
      <c r="V925" s="38"/>
      <c r="W925" s="40"/>
      <c r="X925" s="40"/>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row>
    <row r="926">
      <c r="A926" s="37"/>
      <c r="B926" s="322"/>
      <c r="C926" s="144"/>
      <c r="D926" s="144"/>
      <c r="E926" s="37"/>
      <c r="F926" s="37"/>
      <c r="G926" s="37"/>
      <c r="H926" s="33" t="str">
        <f t="shared" si="33"/>
        <v/>
      </c>
      <c r="I926" s="37"/>
      <c r="J926" s="37"/>
      <c r="K926" s="37"/>
      <c r="L926" s="37"/>
      <c r="M926" s="14"/>
      <c r="N926" s="15"/>
      <c r="O926" s="37"/>
      <c r="P926" s="37"/>
      <c r="Q926" s="64"/>
      <c r="R926" s="16"/>
      <c r="S926" s="37" t="str">
        <f>IFERROR(__xludf.DUMMYFUNCTION("if(not(iserror(index(split(C926, "" ""),2))), index(split(C926, "" ""),1),"""")"),"")</f>
        <v/>
      </c>
      <c r="T926" s="315" t="str">
        <f>IFERROR(__xludf.DUMMYFUNCTION("if(S926="""",C926,if(not(iserror(index(split(C926, "" ""),3))), index(split(C926, "" ""),3),index(split(C926, "" ""),2)))"),"")</f>
        <v/>
      </c>
      <c r="U926" s="38" t="b">
        <f t="shared" si="34"/>
        <v>0</v>
      </c>
      <c r="V926" s="38"/>
      <c r="W926" s="40"/>
      <c r="X926" s="40"/>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row>
    <row r="927">
      <c r="A927" s="37"/>
      <c r="B927" s="322"/>
      <c r="C927" s="144"/>
      <c r="D927" s="144"/>
      <c r="E927" s="37"/>
      <c r="F927" s="37"/>
      <c r="G927" s="37"/>
      <c r="H927" s="33" t="str">
        <f t="shared" si="33"/>
        <v/>
      </c>
      <c r="I927" s="37"/>
      <c r="J927" s="37"/>
      <c r="K927" s="37"/>
      <c r="L927" s="37"/>
      <c r="M927" s="14"/>
      <c r="N927" s="15"/>
      <c r="O927" s="37"/>
      <c r="P927" s="37"/>
      <c r="Q927" s="64"/>
      <c r="R927" s="16"/>
      <c r="S927" s="37" t="str">
        <f>IFERROR(__xludf.DUMMYFUNCTION("if(not(iserror(index(split(C927, "" ""),2))), index(split(C927, "" ""),1),"""")"),"")</f>
        <v/>
      </c>
      <c r="T927" s="315" t="str">
        <f>IFERROR(__xludf.DUMMYFUNCTION("if(S927="""",C927,if(not(iserror(index(split(C927, "" ""),3))), index(split(C927, "" ""),3),index(split(C927, "" ""),2)))"),"")</f>
        <v/>
      </c>
      <c r="U927" s="38" t="b">
        <f t="shared" si="34"/>
        <v>0</v>
      </c>
      <c r="V927" s="38"/>
      <c r="W927" s="40"/>
      <c r="X927" s="40"/>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row>
    <row r="928">
      <c r="A928" s="37"/>
      <c r="B928" s="322"/>
      <c r="C928" s="144"/>
      <c r="D928" s="144"/>
      <c r="E928" s="37"/>
      <c r="F928" s="37"/>
      <c r="G928" s="37"/>
      <c r="H928" s="33" t="str">
        <f t="shared" si="33"/>
        <v/>
      </c>
      <c r="I928" s="37"/>
      <c r="J928" s="37"/>
      <c r="K928" s="37"/>
      <c r="L928" s="37"/>
      <c r="M928" s="14"/>
      <c r="N928" s="15"/>
      <c r="O928" s="16"/>
      <c r="P928" s="16"/>
      <c r="Q928" s="16"/>
      <c r="R928" s="16"/>
      <c r="S928" s="37" t="str">
        <f>IFERROR(__xludf.DUMMYFUNCTION("if(not(iserror(index(split(C928, "" ""),2))), index(split(C928, "" ""),1),"""")"),"")</f>
        <v/>
      </c>
      <c r="T928" s="315" t="str">
        <f>IFERROR(__xludf.DUMMYFUNCTION("if(S928="""",C928,if(not(iserror(index(split(C928, "" ""),3))), index(split(C928, "" ""),3),index(split(C928, "" ""),2)))"),"")</f>
        <v/>
      </c>
      <c r="U928" s="38" t="b">
        <f t="shared" si="34"/>
        <v>0</v>
      </c>
      <c r="V928" s="38"/>
      <c r="W928" s="40"/>
      <c r="X928" s="40"/>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row>
    <row r="929">
      <c r="A929" s="37"/>
      <c r="B929" s="322"/>
      <c r="C929" s="144"/>
      <c r="D929" s="144"/>
      <c r="E929" s="37"/>
      <c r="F929" s="37"/>
      <c r="G929" s="37"/>
      <c r="H929" s="33" t="str">
        <f t="shared" si="33"/>
        <v/>
      </c>
      <c r="I929" s="37"/>
      <c r="J929" s="37"/>
      <c r="K929" s="37"/>
      <c r="L929" s="37"/>
      <c r="M929" s="14"/>
      <c r="N929" s="15"/>
      <c r="O929" s="16"/>
      <c r="P929" s="16"/>
      <c r="Q929" s="16"/>
      <c r="R929" s="16"/>
      <c r="S929" s="37" t="str">
        <f>IFERROR(__xludf.DUMMYFUNCTION("if(not(iserror(index(split(C929, "" ""),2))), index(split(C929, "" ""),1),"""")"),"")</f>
        <v/>
      </c>
      <c r="T929" s="315" t="str">
        <f>IFERROR(__xludf.DUMMYFUNCTION("if(S929="""",C929,if(not(iserror(index(split(C929, "" ""),3))), index(split(C929, "" ""),3),index(split(C929, "" ""),2)))"),"")</f>
        <v/>
      </c>
      <c r="U929" s="38" t="b">
        <f t="shared" si="34"/>
        <v>0</v>
      </c>
      <c r="V929" s="38"/>
      <c r="W929" s="40"/>
      <c r="X929" s="40"/>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row>
    <row r="930">
      <c r="A930" s="37"/>
      <c r="B930" s="322"/>
      <c r="C930" s="144"/>
      <c r="D930" s="144"/>
      <c r="E930" s="37"/>
      <c r="F930" s="37"/>
      <c r="G930" s="37"/>
      <c r="H930" s="33" t="str">
        <f t="shared" si="33"/>
        <v/>
      </c>
      <c r="I930" s="37"/>
      <c r="J930" s="37"/>
      <c r="K930" s="37"/>
      <c r="L930" s="37"/>
      <c r="M930" s="14"/>
      <c r="N930" s="15"/>
      <c r="O930" s="16"/>
      <c r="P930" s="16"/>
      <c r="Q930" s="16"/>
      <c r="R930" s="16"/>
      <c r="S930" s="37" t="str">
        <f>IFERROR(__xludf.DUMMYFUNCTION("if(not(iserror(index(split(C930, "" ""),2))), index(split(C930, "" ""),1),"""")"),"")</f>
        <v/>
      </c>
      <c r="T930" s="315" t="str">
        <f>IFERROR(__xludf.DUMMYFUNCTION("if(S930="""",C930,if(not(iserror(index(split(C930, "" ""),3))), index(split(C930, "" ""),3),index(split(C930, "" ""),2)))"),"")</f>
        <v/>
      </c>
      <c r="U930" s="38" t="b">
        <f t="shared" si="34"/>
        <v>0</v>
      </c>
      <c r="V930" s="38"/>
      <c r="W930" s="40"/>
      <c r="X930" s="40"/>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row>
    <row r="931">
      <c r="A931" s="37"/>
      <c r="B931" s="322"/>
      <c r="C931" s="144"/>
      <c r="D931" s="144"/>
      <c r="E931" s="37"/>
      <c r="F931" s="37"/>
      <c r="G931" s="37"/>
      <c r="H931" s="33" t="str">
        <f t="shared" si="33"/>
        <v/>
      </c>
      <c r="I931" s="37"/>
      <c r="J931" s="37"/>
      <c r="K931" s="37"/>
      <c r="L931" s="37"/>
      <c r="M931" s="14"/>
      <c r="N931" s="15"/>
      <c r="O931" s="16"/>
      <c r="P931" s="16"/>
      <c r="Q931" s="16"/>
      <c r="R931" s="16"/>
      <c r="S931" s="37" t="str">
        <f>IFERROR(__xludf.DUMMYFUNCTION("if(not(iserror(index(split(C931, "" ""),2))), index(split(C931, "" ""),1),"""")"),"")</f>
        <v/>
      </c>
      <c r="T931" s="315" t="str">
        <f>IFERROR(__xludf.DUMMYFUNCTION("if(S931="""",C931,if(not(iserror(index(split(C931, "" ""),3))), index(split(C931, "" ""),3),index(split(C931, "" ""),2)))"),"")</f>
        <v/>
      </c>
      <c r="U931" s="38" t="b">
        <f t="shared" si="34"/>
        <v>0</v>
      </c>
      <c r="V931" s="38"/>
      <c r="W931" s="40"/>
      <c r="X931" s="40"/>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row>
    <row r="932">
      <c r="A932" s="37"/>
      <c r="B932" s="322"/>
      <c r="C932" s="144"/>
      <c r="D932" s="144"/>
      <c r="E932" s="37"/>
      <c r="F932" s="37"/>
      <c r="G932" s="37"/>
      <c r="H932" s="33" t="str">
        <f t="shared" si="33"/>
        <v/>
      </c>
      <c r="I932" s="37"/>
      <c r="J932" s="37"/>
      <c r="K932" s="37"/>
      <c r="L932" s="37"/>
      <c r="M932" s="14"/>
      <c r="N932" s="15"/>
      <c r="O932" s="16"/>
      <c r="P932" s="16"/>
      <c r="Q932" s="16"/>
      <c r="R932" s="16"/>
      <c r="S932" s="37" t="str">
        <f>IFERROR(__xludf.DUMMYFUNCTION("if(not(iserror(index(split(C932, "" ""),2))), index(split(C932, "" ""),1),"""")"),"")</f>
        <v/>
      </c>
      <c r="T932" s="315" t="str">
        <f>IFERROR(__xludf.DUMMYFUNCTION("if(S932="""",C932,if(not(iserror(index(split(C932, "" ""),3))), index(split(C932, "" ""),3),index(split(C932, "" ""),2)))"),"")</f>
        <v/>
      </c>
      <c r="U932" s="38" t="b">
        <f t="shared" si="34"/>
        <v>0</v>
      </c>
      <c r="V932" s="38"/>
      <c r="W932" s="40"/>
      <c r="X932" s="40"/>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row>
    <row r="933">
      <c r="A933" s="37"/>
      <c r="B933" s="322"/>
      <c r="C933" s="144"/>
      <c r="D933" s="144"/>
      <c r="E933" s="37"/>
      <c r="F933" s="37"/>
      <c r="G933" s="37"/>
      <c r="H933" s="33" t="str">
        <f t="shared" si="33"/>
        <v/>
      </c>
      <c r="I933" s="37"/>
      <c r="J933" s="37"/>
      <c r="K933" s="37"/>
      <c r="L933" s="37"/>
      <c r="M933" s="14"/>
      <c r="N933" s="15"/>
      <c r="O933" s="16"/>
      <c r="P933" s="16"/>
      <c r="Q933" s="16"/>
      <c r="R933" s="16"/>
      <c r="S933" s="37" t="str">
        <f>IFERROR(__xludf.DUMMYFUNCTION("if(not(iserror(index(split(C933, "" ""),2))), index(split(C933, "" ""),1),"""")"),"")</f>
        <v/>
      </c>
      <c r="T933" s="315" t="str">
        <f>IFERROR(__xludf.DUMMYFUNCTION("if(S933="""",C933,if(not(iserror(index(split(C933, "" ""),3))), index(split(C933, "" ""),3),index(split(C933, "" ""),2)))"),"")</f>
        <v/>
      </c>
      <c r="U933" s="38" t="b">
        <f t="shared" si="34"/>
        <v>0</v>
      </c>
      <c r="V933" s="38"/>
      <c r="W933" s="40"/>
      <c r="X933" s="40"/>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row>
    <row r="934">
      <c r="A934" s="37"/>
      <c r="B934" s="322"/>
      <c r="C934" s="144"/>
      <c r="D934" s="144"/>
      <c r="E934" s="37"/>
      <c r="F934" s="37"/>
      <c r="G934" s="37"/>
      <c r="H934" s="33" t="str">
        <f t="shared" si="33"/>
        <v/>
      </c>
      <c r="I934" s="37"/>
      <c r="J934" s="37"/>
      <c r="K934" s="37"/>
      <c r="L934" s="37"/>
      <c r="M934" s="14"/>
      <c r="N934" s="15"/>
      <c r="O934" s="37"/>
      <c r="P934" s="37"/>
      <c r="Q934" s="64"/>
      <c r="R934" s="16"/>
      <c r="S934" s="37" t="str">
        <f>IFERROR(__xludf.DUMMYFUNCTION("if(not(iserror(index(split(C934, "" ""),2))), index(split(C934, "" ""),1),"""")"),"")</f>
        <v/>
      </c>
      <c r="T934" s="315" t="str">
        <f>IFERROR(__xludf.DUMMYFUNCTION("if(S934="""",C934,if(not(iserror(index(split(C934, "" ""),3))), index(split(C934, "" ""),3),index(split(C934, "" ""),2)))"),"")</f>
        <v/>
      </c>
      <c r="U934" s="38" t="b">
        <f t="shared" si="34"/>
        <v>0</v>
      </c>
      <c r="V934" s="38"/>
      <c r="W934" s="40"/>
      <c r="X934" s="40"/>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row>
    <row r="935">
      <c r="A935" s="37"/>
      <c r="B935" s="322"/>
      <c r="C935" s="144"/>
      <c r="D935" s="144"/>
      <c r="E935" s="37"/>
      <c r="F935" s="37"/>
      <c r="G935" s="37"/>
      <c r="H935" s="33" t="str">
        <f t="shared" si="33"/>
        <v/>
      </c>
      <c r="I935" s="37"/>
      <c r="J935" s="37"/>
      <c r="K935" s="37"/>
      <c r="L935" s="37"/>
      <c r="M935" s="14"/>
      <c r="N935" s="15"/>
      <c r="O935" s="37"/>
      <c r="P935" s="37"/>
      <c r="Q935" s="64"/>
      <c r="R935" s="16"/>
      <c r="S935" s="37" t="str">
        <f>IFERROR(__xludf.DUMMYFUNCTION("if(not(iserror(index(split(C935, "" ""),2))), index(split(C935, "" ""),1),"""")"),"")</f>
        <v/>
      </c>
      <c r="T935" s="315" t="str">
        <f>IFERROR(__xludf.DUMMYFUNCTION("if(S935="""",C935,if(not(iserror(index(split(C935, "" ""),3))), index(split(C935, "" ""),3),index(split(C935, "" ""),2)))"),"")</f>
        <v/>
      </c>
      <c r="U935" s="38" t="b">
        <f t="shared" si="34"/>
        <v>0</v>
      </c>
      <c r="V935" s="38"/>
      <c r="W935" s="40"/>
      <c r="X935" s="40"/>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row>
    <row r="936">
      <c r="A936" s="37"/>
      <c r="B936" s="322"/>
      <c r="C936" s="144"/>
      <c r="D936" s="144"/>
      <c r="E936" s="37"/>
      <c r="F936" s="37"/>
      <c r="G936" s="37"/>
      <c r="H936" s="33" t="str">
        <f t="shared" si="33"/>
        <v/>
      </c>
      <c r="I936" s="37"/>
      <c r="J936" s="37"/>
      <c r="K936" s="37"/>
      <c r="L936" s="37"/>
      <c r="M936" s="14"/>
      <c r="N936" s="15"/>
      <c r="O936" s="16"/>
      <c r="P936" s="16"/>
      <c r="Q936" s="16"/>
      <c r="R936" s="16"/>
      <c r="S936" s="37" t="str">
        <f>IFERROR(__xludf.DUMMYFUNCTION("if(not(iserror(index(split(C936, "" ""),2))), index(split(C936, "" ""),1),"""")"),"")</f>
        <v/>
      </c>
      <c r="T936" s="315" t="str">
        <f>IFERROR(__xludf.DUMMYFUNCTION("if(S936="""",C936,if(not(iserror(index(split(C936, "" ""),3))), index(split(C936, "" ""),3),index(split(C936, "" ""),2)))"),"")</f>
        <v/>
      </c>
      <c r="U936" s="38" t="b">
        <f t="shared" si="34"/>
        <v>0</v>
      </c>
      <c r="V936" s="38"/>
      <c r="W936" s="40"/>
      <c r="X936" s="40"/>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row>
    <row r="937">
      <c r="A937" s="37"/>
      <c r="B937" s="322"/>
      <c r="C937" s="144"/>
      <c r="D937" s="144"/>
      <c r="E937" s="37"/>
      <c r="F937" s="37"/>
      <c r="G937" s="37"/>
      <c r="H937" s="33" t="str">
        <f t="shared" si="33"/>
        <v/>
      </c>
      <c r="I937" s="37"/>
      <c r="J937" s="37"/>
      <c r="K937" s="37"/>
      <c r="L937" s="37"/>
      <c r="M937" s="14"/>
      <c r="N937" s="15"/>
      <c r="O937" s="16"/>
      <c r="P937" s="16"/>
      <c r="Q937" s="16"/>
      <c r="R937" s="16"/>
      <c r="S937" s="37" t="str">
        <f>IFERROR(__xludf.DUMMYFUNCTION("if(not(iserror(index(split(C937, "" ""),2))), index(split(C937, "" ""),1),"""")"),"")</f>
        <v/>
      </c>
      <c r="T937" s="315" t="str">
        <f>IFERROR(__xludf.DUMMYFUNCTION("if(S937="""",C937,if(not(iserror(index(split(C937, "" ""),3))), index(split(C937, "" ""),3),index(split(C937, "" ""),2)))"),"")</f>
        <v/>
      </c>
      <c r="U937" s="38" t="b">
        <f t="shared" si="34"/>
        <v>0</v>
      </c>
      <c r="V937" s="38"/>
      <c r="W937" s="40"/>
      <c r="X937" s="40"/>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row>
    <row r="938">
      <c r="A938" s="37"/>
      <c r="B938" s="322"/>
      <c r="C938" s="144"/>
      <c r="D938" s="144"/>
      <c r="E938" s="37"/>
      <c r="F938" s="37"/>
      <c r="G938" s="37"/>
      <c r="H938" s="33" t="str">
        <f t="shared" si="33"/>
        <v/>
      </c>
      <c r="I938" s="37"/>
      <c r="J938" s="37"/>
      <c r="K938" s="37"/>
      <c r="L938" s="37"/>
      <c r="M938" s="14"/>
      <c r="N938" s="15"/>
      <c r="O938" s="37"/>
      <c r="P938" s="37"/>
      <c r="Q938" s="64"/>
      <c r="R938" s="16"/>
      <c r="S938" s="37" t="str">
        <f>IFERROR(__xludf.DUMMYFUNCTION("if(not(iserror(index(split(C938, "" ""),2))), index(split(C938, "" ""),1),"""")"),"")</f>
        <v/>
      </c>
      <c r="T938" s="315" t="str">
        <f>IFERROR(__xludf.DUMMYFUNCTION("if(S938="""",C938,if(not(iserror(index(split(C938, "" ""),3))), index(split(C938, "" ""),3),index(split(C938, "" ""),2)))"),"")</f>
        <v/>
      </c>
      <c r="U938" s="38" t="b">
        <f t="shared" si="34"/>
        <v>0</v>
      </c>
      <c r="V938" s="38"/>
      <c r="W938" s="40"/>
      <c r="X938" s="40"/>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row>
    <row r="939">
      <c r="A939" s="37"/>
      <c r="B939" s="322"/>
      <c r="C939" s="144"/>
      <c r="D939" s="144"/>
      <c r="E939" s="37"/>
      <c r="F939" s="37"/>
      <c r="G939" s="37"/>
      <c r="H939" s="33" t="str">
        <f t="shared" si="33"/>
        <v/>
      </c>
      <c r="I939" s="37"/>
      <c r="J939" s="16"/>
      <c r="K939" s="37"/>
      <c r="L939" s="37"/>
      <c r="M939" s="14"/>
      <c r="N939" s="15"/>
      <c r="O939" s="37"/>
      <c r="P939" s="37"/>
      <c r="Q939" s="64"/>
      <c r="R939" s="16"/>
      <c r="S939" s="37" t="str">
        <f>IFERROR(__xludf.DUMMYFUNCTION("if(not(iserror(index(split(C939, "" ""),2))), index(split(C939, "" ""),1),"""")"),"")</f>
        <v/>
      </c>
      <c r="T939" s="315" t="str">
        <f>IFERROR(__xludf.DUMMYFUNCTION("if(S939="""",C939,if(not(iserror(index(split(C939, "" ""),3))), index(split(C939, "" ""),3),index(split(C939, "" ""),2)))"),"")</f>
        <v/>
      </c>
      <c r="U939" s="38" t="b">
        <f t="shared" si="34"/>
        <v>0</v>
      </c>
      <c r="V939" s="38"/>
      <c r="W939" s="40"/>
      <c r="X939" s="40"/>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row>
    <row r="940">
      <c r="A940" s="37"/>
      <c r="B940" s="322"/>
      <c r="C940" s="144"/>
      <c r="D940" s="144"/>
      <c r="E940" s="37"/>
      <c r="F940" s="37"/>
      <c r="G940" s="37"/>
      <c r="H940" s="33" t="str">
        <f t="shared" si="33"/>
        <v/>
      </c>
      <c r="I940" s="37"/>
      <c r="J940" s="37"/>
      <c r="K940" s="37"/>
      <c r="L940" s="37"/>
      <c r="M940" s="14"/>
      <c r="N940" s="14"/>
      <c r="O940" s="37"/>
      <c r="P940" s="37"/>
      <c r="Q940" s="37"/>
      <c r="R940" s="16"/>
      <c r="S940" s="37" t="str">
        <f>IFERROR(__xludf.DUMMYFUNCTION("if(not(iserror(index(split(C940, "" ""),2))), index(split(C940, "" ""),1),"""")"),"")</f>
        <v/>
      </c>
      <c r="T940" s="315" t="str">
        <f>IFERROR(__xludf.DUMMYFUNCTION("if(S940="""",C940,if(not(iserror(index(split(C940, "" ""),3))), index(split(C940, "" ""),3),index(split(C940, "" ""),2)))"),"")</f>
        <v/>
      </c>
      <c r="U940" s="38" t="b">
        <f t="shared" si="34"/>
        <v>0</v>
      </c>
      <c r="V940" s="38"/>
      <c r="W940" s="40"/>
      <c r="X940" s="40"/>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c r="BQ940" s="38"/>
    </row>
    <row r="941">
      <c r="A941" s="37"/>
      <c r="B941" s="322"/>
      <c r="C941" s="144"/>
      <c r="D941" s="144"/>
      <c r="E941" s="37"/>
      <c r="F941" s="37"/>
      <c r="G941" s="37"/>
      <c r="H941" s="33" t="str">
        <f t="shared" si="33"/>
        <v/>
      </c>
      <c r="I941" s="37"/>
      <c r="J941" s="37"/>
      <c r="K941" s="37"/>
      <c r="L941" s="37"/>
      <c r="M941" s="14"/>
      <c r="N941" s="15"/>
      <c r="O941" s="16"/>
      <c r="P941" s="16"/>
      <c r="Q941" s="16"/>
      <c r="R941" s="16"/>
      <c r="S941" s="37" t="str">
        <f>IFERROR(__xludf.DUMMYFUNCTION("if(not(iserror(index(split(C941, "" ""),2))), index(split(C941, "" ""),1),"""")"),"")</f>
        <v/>
      </c>
      <c r="T941" s="315" t="str">
        <f>IFERROR(__xludf.DUMMYFUNCTION("if(S941="""",C941,if(not(iserror(index(split(C941, "" ""),3))), index(split(C941, "" ""),3),index(split(C941, "" ""),2)))"),"")</f>
        <v/>
      </c>
      <c r="U941" s="38" t="b">
        <f t="shared" si="34"/>
        <v>0</v>
      </c>
      <c r="V941" s="38"/>
      <c r="W941" s="40"/>
      <c r="X941" s="40"/>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row>
    <row r="942">
      <c r="A942" s="37"/>
      <c r="B942" s="322"/>
      <c r="C942" s="144"/>
      <c r="D942" s="144"/>
      <c r="E942" s="37"/>
      <c r="F942" s="37"/>
      <c r="G942" s="37"/>
      <c r="H942" s="33" t="str">
        <f t="shared" si="33"/>
        <v/>
      </c>
      <c r="I942" s="37"/>
      <c r="J942" s="37"/>
      <c r="K942" s="37"/>
      <c r="L942" s="37"/>
      <c r="M942" s="14"/>
      <c r="N942" s="15"/>
      <c r="O942" s="16"/>
      <c r="P942" s="16"/>
      <c r="Q942" s="16"/>
      <c r="R942" s="16"/>
      <c r="S942" s="37" t="str">
        <f>IFERROR(__xludf.DUMMYFUNCTION("if(not(iserror(index(split(C942, "" ""),2))), index(split(C942, "" ""),1),"""")"),"")</f>
        <v/>
      </c>
      <c r="T942" s="315" t="str">
        <f>IFERROR(__xludf.DUMMYFUNCTION("if(S942="""",C942,if(not(iserror(index(split(C942, "" ""),3))), index(split(C942, "" ""),3),index(split(C942, "" ""),2)))"),"")</f>
        <v/>
      </c>
      <c r="U942" s="38" t="b">
        <f t="shared" si="34"/>
        <v>0</v>
      </c>
      <c r="V942" s="38"/>
      <c r="W942" s="40"/>
      <c r="X942" s="40"/>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row>
    <row r="943">
      <c r="A943" s="37"/>
      <c r="B943" s="322"/>
      <c r="C943" s="144"/>
      <c r="D943" s="144"/>
      <c r="E943" s="37"/>
      <c r="F943" s="37"/>
      <c r="G943" s="37"/>
      <c r="H943" s="33" t="str">
        <f t="shared" si="33"/>
        <v/>
      </c>
      <c r="I943" s="37"/>
      <c r="J943" s="37"/>
      <c r="K943" s="37"/>
      <c r="L943" s="37"/>
      <c r="M943" s="14"/>
      <c r="N943" s="15"/>
      <c r="O943" s="16"/>
      <c r="P943" s="16"/>
      <c r="Q943" s="16"/>
      <c r="R943" s="16"/>
      <c r="S943" s="37" t="str">
        <f>IFERROR(__xludf.DUMMYFUNCTION("if(not(iserror(index(split(C943, "" ""),2))), index(split(C943, "" ""),1),"""")"),"")</f>
        <v/>
      </c>
      <c r="T943" s="315" t="str">
        <f>IFERROR(__xludf.DUMMYFUNCTION("if(S943="""",C943,if(not(iserror(index(split(C943, "" ""),3))), index(split(C943, "" ""),3),index(split(C943, "" ""),2)))"),"")</f>
        <v/>
      </c>
      <c r="U943" s="38" t="b">
        <f t="shared" si="34"/>
        <v>0</v>
      </c>
      <c r="V943" s="38"/>
      <c r="W943" s="40"/>
      <c r="X943" s="40"/>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row>
    <row r="944">
      <c r="A944" s="37"/>
      <c r="B944" s="322"/>
      <c r="C944" s="144"/>
      <c r="D944" s="144"/>
      <c r="E944" s="37"/>
      <c r="F944" s="37"/>
      <c r="G944" s="37"/>
      <c r="H944" s="33" t="str">
        <f t="shared" si="33"/>
        <v/>
      </c>
      <c r="I944" s="37"/>
      <c r="J944" s="16"/>
      <c r="K944" s="37"/>
      <c r="L944" s="37"/>
      <c r="M944" s="14"/>
      <c r="N944" s="15"/>
      <c r="O944" s="16"/>
      <c r="P944" s="16"/>
      <c r="Q944" s="16"/>
      <c r="R944" s="16"/>
      <c r="S944" s="37" t="str">
        <f>IFERROR(__xludf.DUMMYFUNCTION("if(not(iserror(index(split(C944, "" ""),2))), index(split(C944, "" ""),1),"""")"),"")</f>
        <v/>
      </c>
      <c r="T944" s="315" t="str">
        <f>IFERROR(__xludf.DUMMYFUNCTION("if(S944="""",C944,if(not(iserror(index(split(C944, "" ""),3))), index(split(C944, "" ""),3),index(split(C944, "" ""),2)))"),"")</f>
        <v/>
      </c>
      <c r="U944" s="38" t="b">
        <f t="shared" si="34"/>
        <v>0</v>
      </c>
      <c r="V944" s="38"/>
      <c r="W944" s="40"/>
      <c r="X944" s="40"/>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row>
    <row r="945">
      <c r="A945" s="37"/>
      <c r="B945" s="322"/>
      <c r="C945" s="144"/>
      <c r="D945" s="144"/>
      <c r="E945" s="37"/>
      <c r="F945" s="37"/>
      <c r="G945" s="37"/>
      <c r="H945" s="33" t="str">
        <f t="shared" si="33"/>
        <v/>
      </c>
      <c r="I945" s="37"/>
      <c r="J945" s="16"/>
      <c r="K945" s="37"/>
      <c r="L945" s="37"/>
      <c r="M945" s="14"/>
      <c r="N945" s="15"/>
      <c r="O945" s="16"/>
      <c r="P945" s="16"/>
      <c r="Q945" s="16"/>
      <c r="R945" s="16"/>
      <c r="S945" s="37" t="str">
        <f>IFERROR(__xludf.DUMMYFUNCTION("if(not(iserror(index(split(C945, "" ""),2))), index(split(C945, "" ""),1),"""")"),"")</f>
        <v/>
      </c>
      <c r="T945" s="315" t="str">
        <f>IFERROR(__xludf.DUMMYFUNCTION("if(S945="""",C945,if(not(iserror(index(split(C945, "" ""),3))), index(split(C945, "" ""),3),index(split(C945, "" ""),2)))"),"")</f>
        <v/>
      </c>
      <c r="U945" s="38" t="b">
        <f t="shared" si="34"/>
        <v>0</v>
      </c>
      <c r="V945" s="38"/>
      <c r="W945" s="40"/>
      <c r="X945" s="40"/>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row>
    <row r="946">
      <c r="A946" s="37"/>
      <c r="B946" s="322"/>
      <c r="C946" s="144"/>
      <c r="D946" s="144"/>
      <c r="E946" s="37"/>
      <c r="F946" s="37"/>
      <c r="G946" s="37"/>
      <c r="H946" s="33" t="str">
        <f t="shared" si="33"/>
        <v/>
      </c>
      <c r="I946" s="37"/>
      <c r="J946" s="37"/>
      <c r="K946" s="37"/>
      <c r="L946" s="37"/>
      <c r="M946" s="14"/>
      <c r="N946" s="15"/>
      <c r="O946" s="16"/>
      <c r="P946" s="16"/>
      <c r="Q946" s="16"/>
      <c r="R946" s="16"/>
      <c r="S946" s="37" t="str">
        <f>IFERROR(__xludf.DUMMYFUNCTION("if(not(iserror(index(split(C946, "" ""),2))), index(split(C946, "" ""),1),"""")"),"")</f>
        <v/>
      </c>
      <c r="T946" s="315" t="str">
        <f>IFERROR(__xludf.DUMMYFUNCTION("if(S946="""",C946,if(not(iserror(index(split(C946, "" ""),3))), index(split(C946, "" ""),3),index(split(C946, "" ""),2)))"),"")</f>
        <v/>
      </c>
      <c r="U946" s="38" t="b">
        <f t="shared" si="34"/>
        <v>0</v>
      </c>
      <c r="V946" s="38"/>
      <c r="W946" s="40"/>
      <c r="X946" s="40"/>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row>
    <row r="947">
      <c r="A947" s="37"/>
      <c r="B947" s="322"/>
      <c r="C947" s="144"/>
      <c r="D947" s="144"/>
      <c r="E947" s="37"/>
      <c r="F947" s="37"/>
      <c r="G947" s="37"/>
      <c r="H947" s="33" t="str">
        <f t="shared" si="33"/>
        <v/>
      </c>
      <c r="I947" s="37"/>
      <c r="J947" s="37"/>
      <c r="K947" s="37"/>
      <c r="L947" s="37"/>
      <c r="M947" s="14"/>
      <c r="N947" s="15"/>
      <c r="O947" s="16"/>
      <c r="P947" s="16"/>
      <c r="Q947" s="16"/>
      <c r="R947" s="16"/>
      <c r="S947" s="37" t="str">
        <f>IFERROR(__xludf.DUMMYFUNCTION("if(not(iserror(index(split(C947, "" ""),2))), index(split(C947, "" ""),1),"""")"),"")</f>
        <v/>
      </c>
      <c r="T947" s="315" t="str">
        <f>IFERROR(__xludf.DUMMYFUNCTION("if(S947="""",C947,if(not(iserror(index(split(C947, "" ""),3))), index(split(C947, "" ""),3),index(split(C947, "" ""),2)))"),"")</f>
        <v/>
      </c>
      <c r="U947" s="38" t="b">
        <f t="shared" si="34"/>
        <v>0</v>
      </c>
      <c r="V947" s="38"/>
      <c r="W947" s="40"/>
      <c r="X947" s="40"/>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row>
    <row r="948">
      <c r="A948" s="37"/>
      <c r="B948" s="322"/>
      <c r="C948" s="144"/>
      <c r="D948" s="144"/>
      <c r="E948" s="37"/>
      <c r="F948" s="37"/>
      <c r="G948" s="37"/>
      <c r="H948" s="33" t="str">
        <f t="shared" si="33"/>
        <v/>
      </c>
      <c r="I948" s="37"/>
      <c r="J948" s="37"/>
      <c r="K948" s="37"/>
      <c r="L948" s="37"/>
      <c r="M948" s="14"/>
      <c r="N948" s="15"/>
      <c r="O948" s="16"/>
      <c r="P948" s="16"/>
      <c r="Q948" s="16"/>
      <c r="R948" s="16"/>
      <c r="S948" s="37" t="str">
        <f>IFERROR(__xludf.DUMMYFUNCTION("if(not(iserror(index(split(C948, "" ""),2))), index(split(C948, "" ""),1),"""")"),"")</f>
        <v/>
      </c>
      <c r="T948" s="315" t="str">
        <f>IFERROR(__xludf.DUMMYFUNCTION("if(S948="""",C948,if(not(iserror(index(split(C948, "" ""),3))), index(split(C948, "" ""),3),index(split(C948, "" ""),2)))"),"")</f>
        <v/>
      </c>
      <c r="U948" s="38" t="b">
        <f t="shared" si="34"/>
        <v>0</v>
      </c>
      <c r="V948" s="38"/>
      <c r="W948" s="40"/>
      <c r="X948" s="40"/>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row>
    <row r="949">
      <c r="A949" s="37"/>
      <c r="B949" s="159"/>
      <c r="C949" s="144"/>
      <c r="D949" s="101"/>
      <c r="E949" s="37"/>
      <c r="F949" s="37"/>
      <c r="G949" s="37"/>
      <c r="H949" s="33" t="str">
        <f t="shared" si="33"/>
        <v/>
      </c>
      <c r="I949" s="37"/>
      <c r="J949" s="37"/>
      <c r="K949" s="37"/>
      <c r="L949" s="37"/>
      <c r="M949" s="14"/>
      <c r="N949" s="15"/>
      <c r="O949" s="37"/>
      <c r="P949" s="16"/>
      <c r="Q949" s="64"/>
      <c r="R949" s="16"/>
      <c r="S949" s="37" t="str">
        <f>IFERROR(__xludf.DUMMYFUNCTION("if(not(iserror(index(split(C949, "" ""),2))), index(split(C949, "" ""),1),"""")"),"")</f>
        <v/>
      </c>
      <c r="T949" s="315" t="str">
        <f>IFERROR(__xludf.DUMMYFUNCTION("if(S949="""",C949,if(not(iserror(index(split(C949, "" ""),3))), index(split(C949, "" ""),3),index(split(C949, "" ""),2)))"),"")</f>
        <v/>
      </c>
      <c r="U949" s="38" t="b">
        <f t="shared" si="34"/>
        <v>0</v>
      </c>
      <c r="V949" s="38"/>
      <c r="W949" s="40"/>
      <c r="X949" s="40"/>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row>
    <row r="950">
      <c r="A950" s="37"/>
      <c r="B950" s="159"/>
      <c r="C950" s="144"/>
      <c r="D950" s="101"/>
      <c r="E950" s="37"/>
      <c r="F950" s="37"/>
      <c r="G950" s="37"/>
      <c r="H950" s="33" t="str">
        <f t="shared" si="33"/>
        <v/>
      </c>
      <c r="I950" s="37"/>
      <c r="J950" s="37"/>
      <c r="K950" s="37"/>
      <c r="L950" s="37"/>
      <c r="M950" s="14"/>
      <c r="N950" s="15"/>
      <c r="O950" s="37"/>
      <c r="P950" s="16"/>
      <c r="Q950" s="64"/>
      <c r="R950" s="16"/>
      <c r="S950" s="37" t="str">
        <f>IFERROR(__xludf.DUMMYFUNCTION("if(not(iserror(index(split(C950, "" ""),2))), index(split(C950, "" ""),1),"""")"),"")</f>
        <v/>
      </c>
      <c r="T950" s="315" t="str">
        <f>IFERROR(__xludf.DUMMYFUNCTION("if(S950="""",C950,if(not(iserror(index(split(C950, "" ""),3))), index(split(C950, "" ""),3),index(split(C950, "" ""),2)))"),"")</f>
        <v/>
      </c>
      <c r="U950" s="38" t="b">
        <f t="shared" si="34"/>
        <v>0</v>
      </c>
      <c r="V950" s="38"/>
      <c r="W950" s="40"/>
      <c r="X950" s="40"/>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row>
    <row r="951">
      <c r="A951" s="37"/>
      <c r="B951" s="159"/>
      <c r="C951" s="144"/>
      <c r="D951" s="101"/>
      <c r="E951" s="37"/>
      <c r="F951" s="37"/>
      <c r="G951" s="37"/>
      <c r="H951" s="33" t="str">
        <f t="shared" si="33"/>
        <v/>
      </c>
      <c r="I951" s="37"/>
      <c r="J951" s="37"/>
      <c r="K951" s="37"/>
      <c r="L951" s="37"/>
      <c r="M951" s="14"/>
      <c r="N951" s="15"/>
      <c r="O951" s="16"/>
      <c r="P951" s="16"/>
      <c r="Q951" s="16"/>
      <c r="R951" s="16"/>
      <c r="S951" s="37" t="str">
        <f>IFERROR(__xludf.DUMMYFUNCTION("if(not(iserror(index(split(C951, "" ""),2))), index(split(C951, "" ""),1),"""")"),"")</f>
        <v/>
      </c>
      <c r="T951" s="315" t="str">
        <f>IFERROR(__xludf.DUMMYFUNCTION("if(S951="""",C951,if(not(iserror(index(split(C951, "" ""),3))), index(split(C951, "" ""),3),index(split(C951, "" ""),2)))"),"")</f>
        <v/>
      </c>
      <c r="U951" s="38" t="b">
        <f t="shared" si="34"/>
        <v>0</v>
      </c>
      <c r="V951" s="38"/>
      <c r="W951" s="40"/>
      <c r="X951" s="40"/>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row>
    <row r="952">
      <c r="A952" s="37"/>
      <c r="B952" s="159"/>
      <c r="C952" s="144"/>
      <c r="D952" s="101"/>
      <c r="E952" s="37"/>
      <c r="F952" s="37"/>
      <c r="G952" s="37"/>
      <c r="H952" s="33" t="str">
        <f t="shared" si="33"/>
        <v/>
      </c>
      <c r="I952" s="37"/>
      <c r="J952" s="37"/>
      <c r="K952" s="37"/>
      <c r="L952" s="37"/>
      <c r="M952" s="14"/>
      <c r="N952" s="14"/>
      <c r="O952" s="37"/>
      <c r="P952" s="37"/>
      <c r="Q952" s="64"/>
      <c r="R952" s="16"/>
      <c r="S952" s="37" t="str">
        <f>IFERROR(__xludf.DUMMYFUNCTION("if(not(iserror(index(split(C952, "" ""),2))), index(split(C952, "" ""),1),"""")"),"")</f>
        <v/>
      </c>
      <c r="T952" s="315" t="str">
        <f>IFERROR(__xludf.DUMMYFUNCTION("if(S952="""",C952,if(not(iserror(index(split(C952, "" ""),3))), index(split(C952, "" ""),3),index(split(C952, "" ""),2)))"),"")</f>
        <v/>
      </c>
      <c r="U952" s="38" t="b">
        <f t="shared" si="34"/>
        <v>0</v>
      </c>
      <c r="V952" s="38"/>
      <c r="W952" s="40"/>
      <c r="X952" s="40"/>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row>
    <row r="953">
      <c r="A953" s="37"/>
      <c r="B953" s="159"/>
      <c r="C953" s="144"/>
      <c r="D953" s="101"/>
      <c r="E953" s="37"/>
      <c r="F953" s="37"/>
      <c r="G953" s="37"/>
      <c r="H953" s="33" t="str">
        <f t="shared" si="33"/>
        <v/>
      </c>
      <c r="I953" s="37"/>
      <c r="J953" s="37"/>
      <c r="K953" s="37"/>
      <c r="L953" s="37"/>
      <c r="M953" s="14"/>
      <c r="N953" s="15"/>
      <c r="O953" s="37"/>
      <c r="P953" s="37"/>
      <c r="Q953" s="64"/>
      <c r="R953" s="16"/>
      <c r="S953" s="37" t="str">
        <f>IFERROR(__xludf.DUMMYFUNCTION("if(not(iserror(index(split(C953, "" ""),2))), index(split(C953, "" ""),1),"""")"),"")</f>
        <v/>
      </c>
      <c r="T953" s="315" t="str">
        <f>IFERROR(__xludf.DUMMYFUNCTION("if(S953="""",C953,if(not(iserror(index(split(C953, "" ""),3))), index(split(C953, "" ""),3),index(split(C953, "" ""),2)))"),"")</f>
        <v/>
      </c>
      <c r="U953" s="38" t="b">
        <f t="shared" si="34"/>
        <v>0</v>
      </c>
      <c r="V953" s="38"/>
      <c r="W953" s="40"/>
      <c r="X953" s="40"/>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row>
    <row r="954">
      <c r="A954" s="37"/>
      <c r="B954" s="159"/>
      <c r="C954" s="144"/>
      <c r="D954" s="101"/>
      <c r="E954" s="37"/>
      <c r="F954" s="37"/>
      <c r="G954" s="37"/>
      <c r="H954" s="33" t="str">
        <f t="shared" si="33"/>
        <v/>
      </c>
      <c r="I954" s="37"/>
      <c r="J954" s="37"/>
      <c r="K954" s="37"/>
      <c r="L954" s="37"/>
      <c r="M954" s="14"/>
      <c r="N954" s="15"/>
      <c r="O954" s="16"/>
      <c r="P954" s="16"/>
      <c r="Q954" s="16"/>
      <c r="R954" s="16"/>
      <c r="S954" s="37" t="str">
        <f>IFERROR(__xludf.DUMMYFUNCTION("if(not(iserror(index(split(C954, "" ""),2))), index(split(C954, "" ""),1),"""")"),"")</f>
        <v/>
      </c>
      <c r="T954" s="315" t="str">
        <f>IFERROR(__xludf.DUMMYFUNCTION("if(S954="""",C954,if(not(iserror(index(split(C954, "" ""),3))), index(split(C954, "" ""),3),index(split(C954, "" ""),2)))"),"")</f>
        <v/>
      </c>
      <c r="U954" s="38" t="b">
        <f t="shared" si="34"/>
        <v>0</v>
      </c>
      <c r="V954" s="38"/>
      <c r="W954" s="40"/>
      <c r="X954" s="40"/>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row>
    <row r="955">
      <c r="A955" s="37"/>
      <c r="B955" s="159"/>
      <c r="C955" s="144"/>
      <c r="D955" s="101"/>
      <c r="E955" s="37"/>
      <c r="F955" s="37"/>
      <c r="G955" s="37"/>
      <c r="H955" s="33" t="str">
        <f t="shared" si="33"/>
        <v/>
      </c>
      <c r="I955" s="37"/>
      <c r="J955" s="37"/>
      <c r="K955" s="37"/>
      <c r="L955" s="37"/>
      <c r="M955" s="14"/>
      <c r="N955" s="15"/>
      <c r="O955" s="37"/>
      <c r="P955" s="37"/>
      <c r="Q955" s="64"/>
      <c r="R955" s="16"/>
      <c r="S955" s="37" t="str">
        <f>IFERROR(__xludf.DUMMYFUNCTION("if(not(iserror(index(split(C955, "" ""),2))), index(split(C955, "" ""),1),"""")"),"")</f>
        <v/>
      </c>
      <c r="T955" s="315" t="str">
        <f>IFERROR(__xludf.DUMMYFUNCTION("if(S955="""",C955,if(not(iserror(index(split(C955, "" ""),3))), index(split(C955, "" ""),3),index(split(C955, "" ""),2)))"),"")</f>
        <v/>
      </c>
      <c r="U955" s="38" t="b">
        <f t="shared" si="34"/>
        <v>0</v>
      </c>
      <c r="V955" s="38"/>
      <c r="W955" s="40"/>
      <c r="X955" s="40"/>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row>
    <row r="956">
      <c r="A956" s="37"/>
      <c r="B956" s="159"/>
      <c r="C956" s="144"/>
      <c r="D956" s="101"/>
      <c r="E956" s="37"/>
      <c r="F956" s="37"/>
      <c r="G956" s="37"/>
      <c r="H956" s="33" t="str">
        <f t="shared" si="33"/>
        <v/>
      </c>
      <c r="I956" s="37"/>
      <c r="J956" s="37"/>
      <c r="K956" s="37"/>
      <c r="L956" s="37"/>
      <c r="M956" s="14"/>
      <c r="N956" s="15"/>
      <c r="O956" s="37"/>
      <c r="P956" s="37"/>
      <c r="Q956" s="64"/>
      <c r="R956" s="16"/>
      <c r="S956" s="37" t="str">
        <f>IFERROR(__xludf.DUMMYFUNCTION("if(not(iserror(index(split(C956, "" ""),2))), index(split(C956, "" ""),1),"""")"),"")</f>
        <v/>
      </c>
      <c r="T956" s="315" t="str">
        <f>IFERROR(__xludf.DUMMYFUNCTION("if(S956="""",C956,if(not(iserror(index(split(C956, "" ""),3))), index(split(C956, "" ""),3),index(split(C956, "" ""),2)))"),"")</f>
        <v/>
      </c>
      <c r="U956" s="38" t="b">
        <f t="shared" si="34"/>
        <v>0</v>
      </c>
      <c r="V956" s="38"/>
      <c r="W956" s="40"/>
      <c r="X956" s="40"/>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row>
    <row r="957">
      <c r="A957" s="37"/>
      <c r="B957" s="159"/>
      <c r="C957" s="144"/>
      <c r="D957" s="144"/>
      <c r="E957" s="37"/>
      <c r="F957" s="37"/>
      <c r="G957" s="37"/>
      <c r="H957" s="33" t="str">
        <f t="shared" si="33"/>
        <v/>
      </c>
      <c r="I957" s="37"/>
      <c r="J957" s="37"/>
      <c r="K957" s="37"/>
      <c r="L957" s="37"/>
      <c r="M957" s="14"/>
      <c r="N957" s="15"/>
      <c r="O957" s="37"/>
      <c r="P957" s="37"/>
      <c r="Q957" s="64"/>
      <c r="R957" s="16"/>
      <c r="S957" s="37" t="str">
        <f>IFERROR(__xludf.DUMMYFUNCTION("if(not(iserror(index(split(C957, "" ""),2))), index(split(C957, "" ""),1),"""")"),"")</f>
        <v/>
      </c>
      <c r="T957" s="315" t="str">
        <f>IFERROR(__xludf.DUMMYFUNCTION("if(S957="""",C957,if(not(iserror(index(split(C957, "" ""),3))), index(split(C957, "" ""),3),index(split(C957, "" ""),2)))"),"")</f>
        <v/>
      </c>
      <c r="U957" s="38" t="b">
        <f t="shared" si="34"/>
        <v>0</v>
      </c>
      <c r="V957" s="38"/>
      <c r="W957" s="40"/>
      <c r="X957" s="40"/>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row>
    <row r="958">
      <c r="A958" s="375"/>
      <c r="B958" s="159"/>
      <c r="C958" s="144"/>
      <c r="D958" s="101"/>
      <c r="E958" s="37"/>
      <c r="F958" s="37"/>
      <c r="G958" s="37"/>
      <c r="H958" s="33" t="str">
        <f t="shared" si="33"/>
        <v/>
      </c>
      <c r="I958" s="37"/>
      <c r="J958" s="37"/>
      <c r="K958" s="37"/>
      <c r="L958" s="37"/>
      <c r="M958" s="14"/>
      <c r="N958" s="15"/>
      <c r="O958" s="37"/>
      <c r="P958" s="37"/>
      <c r="Q958" s="64"/>
      <c r="R958" s="16"/>
      <c r="S958" s="37" t="str">
        <f>IFERROR(__xludf.DUMMYFUNCTION("if(not(iserror(index(split(C958, "" ""),2))), index(split(C958, "" ""),1),"""")"),"")</f>
        <v/>
      </c>
      <c r="T958" s="315" t="str">
        <f>IFERROR(__xludf.DUMMYFUNCTION("if(S958="""",C958,if(not(iserror(index(split(C958, "" ""),3))), index(split(C958, "" ""),3),index(split(C958, "" ""),2)))"),"")</f>
        <v/>
      </c>
      <c r="U958" s="38" t="b">
        <f t="shared" si="34"/>
        <v>0</v>
      </c>
      <c r="V958" s="38"/>
      <c r="W958" s="40"/>
      <c r="X958" s="40"/>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row>
    <row r="959">
      <c r="A959" s="37"/>
      <c r="B959" s="159"/>
      <c r="C959" s="144"/>
      <c r="D959" s="101"/>
      <c r="E959" s="37"/>
      <c r="F959" s="37"/>
      <c r="G959" s="37"/>
      <c r="H959" s="33" t="str">
        <f t="shared" si="33"/>
        <v/>
      </c>
      <c r="I959" s="37"/>
      <c r="J959" s="37"/>
      <c r="K959" s="37"/>
      <c r="L959" s="37"/>
      <c r="M959" s="14"/>
      <c r="N959" s="15"/>
      <c r="O959" s="37"/>
      <c r="P959" s="37"/>
      <c r="Q959" s="64"/>
      <c r="R959" s="16"/>
      <c r="S959" s="37" t="str">
        <f>IFERROR(__xludf.DUMMYFUNCTION("if(not(iserror(index(split(C959, "" ""),2))), index(split(C959, "" ""),1),"""")"),"")</f>
        <v/>
      </c>
      <c r="T959" s="315" t="str">
        <f>IFERROR(__xludf.DUMMYFUNCTION("if(S959="""",C959,if(not(iserror(index(split(C959, "" ""),3))), index(split(C959, "" ""),3),index(split(C959, "" ""),2)))"),"")</f>
        <v/>
      </c>
      <c r="U959" s="38" t="b">
        <f t="shared" si="34"/>
        <v>0</v>
      </c>
      <c r="V959" s="38"/>
      <c r="W959" s="40"/>
      <c r="X959" s="40"/>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row>
    <row r="960">
      <c r="A960" s="37"/>
      <c r="B960" s="159"/>
      <c r="C960" s="159"/>
      <c r="D960" s="101"/>
      <c r="E960" s="37"/>
      <c r="F960" s="37"/>
      <c r="G960" s="37"/>
      <c r="H960" s="33" t="str">
        <f t="shared" si="33"/>
        <v/>
      </c>
      <c r="I960" s="37"/>
      <c r="J960" s="37"/>
      <c r="K960" s="37"/>
      <c r="L960" s="37"/>
      <c r="M960" s="14"/>
      <c r="N960" s="15"/>
      <c r="O960" s="37"/>
      <c r="P960" s="37"/>
      <c r="Q960" s="64"/>
      <c r="R960" s="16"/>
      <c r="S960" s="37" t="str">
        <f>IFERROR(__xludf.DUMMYFUNCTION("if(not(iserror(index(split(C960, "" ""),2))), index(split(C960, "" ""),1),"""")"),"")</f>
        <v/>
      </c>
      <c r="T960" s="384" t="str">
        <f>IFERROR(__xludf.DUMMYFUNCTION("if(S960="""",C960,if(not(iserror(index(split(C960, "" ""),3))), index(split(C960, "" ""),3),index(split(C960, "" ""),2)))"),"")</f>
        <v/>
      </c>
      <c r="U960" s="38" t="b">
        <f t="shared" si="34"/>
        <v>0</v>
      </c>
      <c r="V960" s="38"/>
      <c r="W960" s="40"/>
      <c r="X960" s="40"/>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row>
    <row r="961">
      <c r="A961" s="37"/>
      <c r="B961" s="159"/>
      <c r="C961" s="159"/>
      <c r="D961" s="101"/>
      <c r="E961" s="37"/>
      <c r="F961" s="37"/>
      <c r="G961" s="37"/>
      <c r="H961" s="33" t="str">
        <f t="shared" si="33"/>
        <v/>
      </c>
      <c r="I961" s="37"/>
      <c r="J961" s="37"/>
      <c r="K961" s="37"/>
      <c r="L961" s="37"/>
      <c r="M961" s="14"/>
      <c r="N961" s="15"/>
      <c r="O961" s="37"/>
      <c r="P961" s="37"/>
      <c r="Q961" s="64"/>
      <c r="R961" s="16"/>
      <c r="S961" s="37" t="str">
        <f>IFERROR(__xludf.DUMMYFUNCTION("if(not(iserror(index(split(C961, "" ""),2))), index(split(C961, "" ""),1),"""")"),"")</f>
        <v/>
      </c>
      <c r="T961" s="384" t="str">
        <f>IFERROR(__xludf.DUMMYFUNCTION("if(S961="""",C961,if(not(iserror(index(split(C961, "" ""),3))), index(split(C961, "" ""),3),index(split(C961, "" ""),2)))"),"")</f>
        <v/>
      </c>
      <c r="U961" s="38" t="b">
        <f t="shared" si="34"/>
        <v>0</v>
      </c>
      <c r="V961" s="38"/>
      <c r="W961" s="40"/>
      <c r="X961" s="40"/>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row>
    <row r="962">
      <c r="A962" s="91"/>
      <c r="B962" s="383"/>
      <c r="C962" s="383"/>
      <c r="D962" s="206"/>
      <c r="E962" s="91"/>
      <c r="F962" s="91"/>
      <c r="G962" s="91"/>
      <c r="H962" s="33" t="str">
        <f t="shared" si="33"/>
        <v/>
      </c>
      <c r="I962" s="91"/>
      <c r="J962" s="91"/>
      <c r="K962" s="91"/>
      <c r="L962" s="37"/>
      <c r="M962" s="102"/>
      <c r="N962" s="95"/>
      <c r="O962" s="120"/>
      <c r="P962" s="120"/>
      <c r="Q962" s="37"/>
      <c r="R962" s="16"/>
      <c r="S962" s="37" t="str">
        <f>IFERROR(__xludf.DUMMYFUNCTION("if(not(iserror(index(split(C962, "" ""),2))), index(split(C962, "" ""),1),"""")"),"")</f>
        <v/>
      </c>
      <c r="T962" s="384" t="str">
        <f>IFERROR(__xludf.DUMMYFUNCTION("if(S962="""",C962,if(not(iserror(index(split(C962, "" ""),3))), index(split(C962, "" ""),3),index(split(C962, "" ""),2)))"),"")</f>
        <v/>
      </c>
      <c r="U962" s="38" t="b">
        <f t="shared" si="34"/>
        <v>0</v>
      </c>
      <c r="V962" s="38"/>
      <c r="W962" s="40"/>
      <c r="X962" s="40"/>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row>
    <row r="963">
      <c r="A963" s="37"/>
      <c r="B963" s="159"/>
      <c r="C963" s="159"/>
      <c r="D963" s="101"/>
      <c r="E963" s="37"/>
      <c r="F963" s="37"/>
      <c r="G963" s="37"/>
      <c r="H963" s="33" t="str">
        <f t="shared" si="33"/>
        <v/>
      </c>
      <c r="I963" s="37"/>
      <c r="J963" s="37"/>
      <c r="K963" s="37"/>
      <c r="L963" s="37"/>
      <c r="M963" s="14"/>
      <c r="N963" s="15"/>
      <c r="O963" s="16"/>
      <c r="P963" s="16"/>
      <c r="Q963" s="16"/>
      <c r="R963" s="16"/>
      <c r="S963" s="37" t="str">
        <f>IFERROR(__xludf.DUMMYFUNCTION("if(not(iserror(index(split(C963, "" ""),2))), index(split(C963, "" ""),1),"""")"),"")</f>
        <v/>
      </c>
      <c r="T963" s="384" t="str">
        <f>IFERROR(__xludf.DUMMYFUNCTION("if(S963="""",C963,if(not(iserror(index(split(C963, "" ""),3))), index(split(C963, "" ""),3),index(split(C963, "" ""),2)))"),"")</f>
        <v/>
      </c>
      <c r="U963" s="38" t="b">
        <f t="shared" si="34"/>
        <v>0</v>
      </c>
      <c r="V963" s="38"/>
      <c r="W963" s="40"/>
      <c r="X963" s="40"/>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row>
    <row r="964">
      <c r="A964" s="37"/>
      <c r="B964" s="159"/>
      <c r="C964" s="159"/>
      <c r="D964" s="101"/>
      <c r="E964" s="37"/>
      <c r="F964" s="37"/>
      <c r="G964" s="37"/>
      <c r="H964" s="33" t="str">
        <f t="shared" si="33"/>
        <v/>
      </c>
      <c r="I964" s="37"/>
      <c r="J964" s="37"/>
      <c r="K964" s="37"/>
      <c r="L964" s="37"/>
      <c r="M964" s="14"/>
      <c r="N964" s="15"/>
      <c r="O964" s="16"/>
      <c r="P964" s="16"/>
      <c r="Q964" s="16"/>
      <c r="R964" s="16"/>
      <c r="S964" s="37" t="str">
        <f>IFERROR(__xludf.DUMMYFUNCTION("if(not(iserror(index(split(C964, "" ""),2))), index(split(C964, "" ""),1),"""")"),"")</f>
        <v/>
      </c>
      <c r="T964" s="384" t="str">
        <f>IFERROR(__xludf.DUMMYFUNCTION("if(S964="""",C964,if(not(iserror(index(split(C964, "" ""),3))), index(split(C964, "" ""),3),index(split(C964, "" ""),2)))"),"")</f>
        <v/>
      </c>
      <c r="U964" s="38" t="b">
        <f t="shared" si="34"/>
        <v>0</v>
      </c>
      <c r="V964" s="38"/>
      <c r="W964" s="40"/>
      <c r="X964" s="40"/>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row>
    <row r="965">
      <c r="A965" s="37"/>
      <c r="B965" s="159"/>
      <c r="C965" s="159"/>
      <c r="D965" s="101"/>
      <c r="E965" s="37"/>
      <c r="F965" s="37"/>
      <c r="G965" s="37"/>
      <c r="H965" s="33" t="str">
        <f t="shared" si="33"/>
        <v/>
      </c>
      <c r="I965" s="37"/>
      <c r="J965" s="37"/>
      <c r="K965" s="37"/>
      <c r="L965" s="37"/>
      <c r="M965" s="14"/>
      <c r="N965" s="15"/>
      <c r="O965" s="16"/>
      <c r="P965" s="16"/>
      <c r="Q965" s="16"/>
      <c r="R965" s="16"/>
      <c r="S965" s="37" t="str">
        <f>IFERROR(__xludf.DUMMYFUNCTION("if(not(iserror(index(split(C965, "" ""),2))), index(split(C965, "" ""),1),"""")"),"")</f>
        <v/>
      </c>
      <c r="T965" s="384" t="str">
        <f>IFERROR(__xludf.DUMMYFUNCTION("if(S965="""",C965,if(not(iserror(index(split(C965, "" ""),3))), index(split(C965, "" ""),3),index(split(C965, "" ""),2)))"),"")</f>
        <v/>
      </c>
      <c r="U965" s="38" t="b">
        <f t="shared" si="34"/>
        <v>0</v>
      </c>
      <c r="V965" s="38"/>
      <c r="W965" s="40"/>
      <c r="X965" s="40"/>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row>
    <row r="966">
      <c r="A966" s="37"/>
      <c r="B966" s="159"/>
      <c r="C966" s="159"/>
      <c r="D966" s="101"/>
      <c r="E966" s="37"/>
      <c r="F966" s="37"/>
      <c r="G966" s="37"/>
      <c r="H966" s="33" t="str">
        <f t="shared" si="33"/>
        <v/>
      </c>
      <c r="I966" s="37"/>
      <c r="J966" s="37"/>
      <c r="K966" s="37"/>
      <c r="L966" s="37"/>
      <c r="M966" s="14"/>
      <c r="N966" s="15"/>
      <c r="O966" s="16"/>
      <c r="P966" s="16"/>
      <c r="Q966" s="16"/>
      <c r="R966" s="16"/>
      <c r="S966" s="37" t="str">
        <f>IFERROR(__xludf.DUMMYFUNCTION("if(not(iserror(index(split(C966, "" ""),2))), index(split(C966, "" ""),1),"""")"),"")</f>
        <v/>
      </c>
      <c r="T966" s="384" t="str">
        <f>IFERROR(__xludf.DUMMYFUNCTION("if(S966="""",C966,if(not(iserror(index(split(C966, "" ""),3))), index(split(C966, "" ""),3),index(split(C966, "" ""),2)))"),"")</f>
        <v/>
      </c>
      <c r="U966" s="38" t="b">
        <f t="shared" si="34"/>
        <v>0</v>
      </c>
      <c r="V966" s="38"/>
      <c r="W966" s="40"/>
      <c r="X966" s="40"/>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row>
    <row r="967">
      <c r="A967" s="37"/>
      <c r="B967" s="159"/>
      <c r="C967" s="159"/>
      <c r="D967" s="101"/>
      <c r="E967" s="37"/>
      <c r="F967" s="37"/>
      <c r="G967" s="37"/>
      <c r="H967" s="33" t="str">
        <f t="shared" si="33"/>
        <v/>
      </c>
      <c r="I967" s="37"/>
      <c r="J967" s="37"/>
      <c r="K967" s="37"/>
      <c r="L967" s="37"/>
      <c r="M967" s="14"/>
      <c r="N967" s="15"/>
      <c r="O967" s="16"/>
      <c r="P967" s="16"/>
      <c r="Q967" s="16"/>
      <c r="R967" s="16"/>
      <c r="S967" s="37" t="str">
        <f>IFERROR(__xludf.DUMMYFUNCTION("if(not(iserror(index(split(C967, "" ""),2))), index(split(C967, "" ""),1),"""")"),"")</f>
        <v/>
      </c>
      <c r="T967" s="384" t="str">
        <f>IFERROR(__xludf.DUMMYFUNCTION("if(S967="""",C967,if(not(iserror(index(split(C967, "" ""),3))), index(split(C967, "" ""),3),index(split(C967, "" ""),2)))"),"")</f>
        <v/>
      </c>
      <c r="U967" s="38" t="b">
        <f t="shared" si="34"/>
        <v>0</v>
      </c>
      <c r="V967" s="38"/>
      <c r="W967" s="40"/>
      <c r="X967" s="40"/>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row>
    <row r="968">
      <c r="A968" s="37"/>
      <c r="B968" s="159"/>
      <c r="C968" s="159"/>
      <c r="D968" s="101"/>
      <c r="E968" s="37"/>
      <c r="F968" s="37"/>
      <c r="G968" s="37"/>
      <c r="H968" s="33" t="str">
        <f t="shared" si="33"/>
        <v/>
      </c>
      <c r="I968" s="37"/>
      <c r="J968" s="37"/>
      <c r="K968" s="37"/>
      <c r="L968" s="37"/>
      <c r="M968" s="14"/>
      <c r="N968" s="15"/>
      <c r="O968" s="16"/>
      <c r="P968" s="16"/>
      <c r="Q968" s="16"/>
      <c r="R968" s="16"/>
      <c r="S968" s="37" t="str">
        <f>IFERROR(__xludf.DUMMYFUNCTION("if(not(iserror(index(split(C968, "" ""),2))), index(split(C968, "" ""),1),"""")"),"")</f>
        <v/>
      </c>
      <c r="T968" s="384" t="str">
        <f>IFERROR(__xludf.DUMMYFUNCTION("if(S968="""",C968,if(not(iserror(index(split(C968, "" ""),3))), index(split(C968, "" ""),3),index(split(C968, "" ""),2)))"),"")</f>
        <v/>
      </c>
      <c r="U968" s="38" t="b">
        <f t="shared" si="34"/>
        <v>0</v>
      </c>
      <c r="V968" s="38"/>
      <c r="W968" s="40"/>
      <c r="X968" s="40"/>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row>
    <row r="969">
      <c r="A969" s="37"/>
      <c r="B969" s="159"/>
      <c r="C969" s="159"/>
      <c r="D969" s="101"/>
      <c r="E969" s="37"/>
      <c r="F969" s="37"/>
      <c r="G969" s="37"/>
      <c r="H969" s="33" t="str">
        <f t="shared" si="33"/>
        <v/>
      </c>
      <c r="I969" s="37"/>
      <c r="J969" s="37"/>
      <c r="K969" s="37"/>
      <c r="L969" s="37"/>
      <c r="M969" s="14"/>
      <c r="N969" s="15"/>
      <c r="O969" s="16"/>
      <c r="P969" s="16"/>
      <c r="Q969" s="16"/>
      <c r="R969" s="16"/>
      <c r="S969" s="37" t="str">
        <f>IFERROR(__xludf.DUMMYFUNCTION("if(not(iserror(index(split(C969, "" ""),2))), index(split(C969, "" ""),1),"""")"),"")</f>
        <v/>
      </c>
      <c r="T969" s="384" t="str">
        <f>IFERROR(__xludf.DUMMYFUNCTION("if(S969="""",C969,if(not(iserror(index(split(C969, "" ""),3))), index(split(C969, "" ""),3),index(split(C969, "" ""),2)))"),"")</f>
        <v/>
      </c>
      <c r="U969" s="38" t="b">
        <f t="shared" si="34"/>
        <v>0</v>
      </c>
      <c r="V969" s="38"/>
      <c r="W969" s="40"/>
      <c r="X969" s="40"/>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row>
    <row r="970">
      <c r="A970" s="37"/>
      <c r="B970" s="322"/>
      <c r="C970" s="144"/>
      <c r="D970" s="144"/>
      <c r="E970" s="37"/>
      <c r="F970" s="37"/>
      <c r="G970" s="37"/>
      <c r="H970" s="33" t="str">
        <f t="shared" si="33"/>
        <v/>
      </c>
      <c r="I970" s="37"/>
      <c r="J970" s="37"/>
      <c r="K970" s="37"/>
      <c r="L970" s="37"/>
      <c r="M970" s="14"/>
      <c r="N970" s="15"/>
      <c r="O970" s="16"/>
      <c r="P970" s="16"/>
      <c r="Q970" s="16"/>
      <c r="R970" s="16"/>
      <c r="S970" s="37" t="str">
        <f>IFERROR(__xludf.DUMMYFUNCTION("if(not(iserror(index(split(C970, "" ""),2))), index(split(C970, "" ""),1),"""")"),"")</f>
        <v/>
      </c>
      <c r="T970" s="315" t="str">
        <f>IFERROR(__xludf.DUMMYFUNCTION("if(S970="""",C970,if(not(iserror(index(split(C970, "" ""),3))), index(split(C970, "" ""),3),index(split(C970, "" ""),2)))"),"")</f>
        <v/>
      </c>
      <c r="U970" s="38" t="b">
        <f t="shared" si="34"/>
        <v>0</v>
      </c>
      <c r="V970" s="38"/>
      <c r="W970" s="40"/>
      <c r="X970" s="40"/>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row>
    <row r="971">
      <c r="A971" s="37"/>
      <c r="B971" s="322"/>
      <c r="C971" s="144"/>
      <c r="D971" s="144"/>
      <c r="E971" s="37"/>
      <c r="F971" s="37"/>
      <c r="G971" s="37"/>
      <c r="H971" s="33" t="str">
        <f t="shared" si="33"/>
        <v/>
      </c>
      <c r="I971" s="37"/>
      <c r="J971" s="37"/>
      <c r="K971" s="37"/>
      <c r="L971" s="37"/>
      <c r="M971" s="14"/>
      <c r="N971" s="15"/>
      <c r="O971" s="16"/>
      <c r="P971" s="16"/>
      <c r="Q971" s="16"/>
      <c r="R971" s="16"/>
      <c r="S971" s="37" t="str">
        <f>IFERROR(__xludf.DUMMYFUNCTION("if(not(iserror(index(split(C971, "" ""),2))), index(split(C971, "" ""),1),"""")"),"")</f>
        <v/>
      </c>
      <c r="T971" s="315" t="str">
        <f>IFERROR(__xludf.DUMMYFUNCTION("if(S971="""",C971,if(not(iserror(index(split(C971, "" ""),3))), index(split(C971, "" ""),3),index(split(C971, "" ""),2)))"),"")</f>
        <v/>
      </c>
      <c r="U971" s="38" t="b">
        <f t="shared" si="34"/>
        <v>0</v>
      </c>
      <c r="V971" s="38"/>
      <c r="W971" s="40"/>
      <c r="X971" s="40"/>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row>
    <row r="972">
      <c r="A972" s="37"/>
      <c r="B972" s="322"/>
      <c r="C972" s="144"/>
      <c r="D972" s="144"/>
      <c r="E972" s="37"/>
      <c r="F972" s="37"/>
      <c r="G972" s="37"/>
      <c r="H972" s="33" t="str">
        <f t="shared" si="33"/>
        <v/>
      </c>
      <c r="I972" s="37"/>
      <c r="J972" s="37"/>
      <c r="K972" s="37"/>
      <c r="L972" s="37"/>
      <c r="M972" s="14"/>
      <c r="N972" s="15"/>
      <c r="O972" s="16"/>
      <c r="P972" s="16"/>
      <c r="Q972" s="16"/>
      <c r="R972" s="16"/>
      <c r="S972" s="37" t="str">
        <f>IFERROR(__xludf.DUMMYFUNCTION("if(not(iserror(index(split(C972, "" ""),2))), index(split(C972, "" ""),1),"""")"),"")</f>
        <v/>
      </c>
      <c r="T972" s="315" t="str">
        <f>IFERROR(__xludf.DUMMYFUNCTION("if(S972="""",C972,if(not(iserror(index(split(C972, "" ""),3))), index(split(C972, "" ""),3),index(split(C972, "" ""),2)))"),"")</f>
        <v/>
      </c>
      <c r="U972" s="38" t="b">
        <f t="shared" si="34"/>
        <v>0</v>
      </c>
      <c r="V972" s="38"/>
      <c r="W972" s="40"/>
      <c r="X972" s="40"/>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row>
    <row r="973">
      <c r="A973" s="37"/>
      <c r="B973" s="322"/>
      <c r="C973" s="144"/>
      <c r="D973" s="144"/>
      <c r="E973" s="37"/>
      <c r="F973" s="37"/>
      <c r="G973" s="37"/>
      <c r="H973" s="33" t="str">
        <f t="shared" si="33"/>
        <v/>
      </c>
      <c r="I973" s="37"/>
      <c r="J973" s="37"/>
      <c r="K973" s="37"/>
      <c r="L973" s="37"/>
      <c r="M973" s="14"/>
      <c r="N973" s="15"/>
      <c r="O973" s="16"/>
      <c r="P973" s="16"/>
      <c r="Q973" s="16"/>
      <c r="R973" s="16"/>
      <c r="S973" s="37" t="str">
        <f>IFERROR(__xludf.DUMMYFUNCTION("if(not(iserror(index(split(C973, "" ""),2))), index(split(C973, "" ""),1),"""")"),"")</f>
        <v/>
      </c>
      <c r="T973" s="315" t="str">
        <f>IFERROR(__xludf.DUMMYFUNCTION("if(S973="""",C973,if(not(iserror(index(split(C973, "" ""),3))), index(split(C973, "" ""),3),index(split(C973, "" ""),2)))"),"")</f>
        <v/>
      </c>
      <c r="U973" s="38" t="b">
        <f t="shared" si="34"/>
        <v>0</v>
      </c>
      <c r="V973" s="38"/>
      <c r="W973" s="40"/>
      <c r="X973" s="40"/>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row>
    <row r="974">
      <c r="A974" s="37"/>
      <c r="B974" s="322"/>
      <c r="C974" s="144"/>
      <c r="D974" s="144"/>
      <c r="E974" s="37"/>
      <c r="F974" s="37"/>
      <c r="G974" s="37"/>
      <c r="H974" s="33" t="str">
        <f t="shared" si="33"/>
        <v/>
      </c>
      <c r="I974" s="37"/>
      <c r="J974" s="37"/>
      <c r="K974" s="37"/>
      <c r="L974" s="37"/>
      <c r="M974" s="14"/>
      <c r="N974" s="15"/>
      <c r="O974" s="37"/>
      <c r="P974" s="37"/>
      <c r="Q974" s="64"/>
      <c r="R974" s="16"/>
      <c r="S974" s="37" t="str">
        <f>IFERROR(__xludf.DUMMYFUNCTION("if(not(iserror(index(split(C974, "" ""),2))), index(split(C974, "" ""),1),"""")"),"")</f>
        <v/>
      </c>
      <c r="T974" s="315" t="str">
        <f>IFERROR(__xludf.DUMMYFUNCTION("if(S974="""",C974,if(not(iserror(index(split(C974, "" ""),3))), index(split(C974, "" ""),3),index(split(C974, "" ""),2)))"),"")</f>
        <v/>
      </c>
      <c r="U974" s="38" t="b">
        <f t="shared" si="34"/>
        <v>0</v>
      </c>
      <c r="V974" s="38"/>
      <c r="W974" s="40"/>
      <c r="X974" s="40"/>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row>
    <row r="975">
      <c r="A975" s="37"/>
      <c r="B975" s="322"/>
      <c r="C975" s="144"/>
      <c r="D975" s="144"/>
      <c r="E975" s="37"/>
      <c r="F975" s="37"/>
      <c r="G975" s="37"/>
      <c r="H975" s="33" t="str">
        <f t="shared" si="33"/>
        <v/>
      </c>
      <c r="I975" s="37"/>
      <c r="J975" s="37"/>
      <c r="K975" s="37"/>
      <c r="L975" s="37"/>
      <c r="M975" s="14"/>
      <c r="N975" s="14"/>
      <c r="O975" s="37"/>
      <c r="P975" s="37"/>
      <c r="Q975" s="64"/>
      <c r="R975" s="16"/>
      <c r="S975" s="37" t="str">
        <f>IFERROR(__xludf.DUMMYFUNCTION("if(not(iserror(index(split(C975, "" ""),2))), index(split(C975, "" ""),1),"""")"),"")</f>
        <v/>
      </c>
      <c r="T975" s="315" t="str">
        <f>IFERROR(__xludf.DUMMYFUNCTION("if(S975="""",C975,if(not(iserror(index(split(C975, "" ""),3))), index(split(C975, "" ""),3),index(split(C975, "" ""),2)))"),"")</f>
        <v/>
      </c>
      <c r="U975" s="38" t="b">
        <f t="shared" si="34"/>
        <v>0</v>
      </c>
      <c r="V975" s="38"/>
      <c r="W975" s="40"/>
      <c r="X975" s="40"/>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row>
    <row r="976">
      <c r="A976" s="37"/>
      <c r="B976" s="322"/>
      <c r="C976" s="144"/>
      <c r="D976" s="144"/>
      <c r="E976" s="37"/>
      <c r="F976" s="37"/>
      <c r="G976" s="37"/>
      <c r="H976" s="33" t="str">
        <f t="shared" si="33"/>
        <v/>
      </c>
      <c r="I976" s="37"/>
      <c r="J976" s="37"/>
      <c r="K976" s="37"/>
      <c r="L976" s="37"/>
      <c r="M976" s="14"/>
      <c r="N976" s="15"/>
      <c r="O976" s="37"/>
      <c r="P976" s="37"/>
      <c r="Q976" s="64"/>
      <c r="R976" s="16"/>
      <c r="S976" s="37" t="str">
        <f>IFERROR(__xludf.DUMMYFUNCTION("if(not(iserror(index(split(C976, "" ""),2))), index(split(C976, "" ""),1),"""")"),"")</f>
        <v/>
      </c>
      <c r="T976" s="315" t="str">
        <f>IFERROR(__xludf.DUMMYFUNCTION("if(S976="""",C976,if(not(iserror(index(split(C976, "" ""),3))), index(split(C976, "" ""),3),index(split(C976, "" ""),2)))"),"")</f>
        <v/>
      </c>
      <c r="U976" s="38" t="b">
        <f t="shared" si="34"/>
        <v>0</v>
      </c>
      <c r="V976" s="38"/>
      <c r="W976" s="40"/>
      <c r="X976" s="40"/>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row>
    <row r="977">
      <c r="A977" s="285"/>
      <c r="B977" s="380"/>
      <c r="C977" s="379"/>
      <c r="D977" s="379"/>
      <c r="E977" s="285"/>
      <c r="F977" s="91"/>
      <c r="G977" s="285"/>
      <c r="H977" s="33" t="str">
        <f t="shared" si="33"/>
        <v/>
      </c>
      <c r="I977" s="285"/>
      <c r="J977" s="285"/>
      <c r="K977" s="91"/>
      <c r="L977" s="285"/>
      <c r="M977" s="288"/>
      <c r="N977" s="15"/>
      <c r="O977" s="37"/>
      <c r="P977" s="37"/>
      <c r="Q977" s="64"/>
      <c r="R977" s="16"/>
      <c r="S977" s="37" t="str">
        <f>IFERROR(__xludf.DUMMYFUNCTION("if(not(iserror(index(split(C977, "" ""),2))), index(split(C977, "" ""),1),"""")"),"")</f>
        <v/>
      </c>
      <c r="T977" s="315" t="str">
        <f>IFERROR(__xludf.DUMMYFUNCTION("if(S977="""",C977,if(not(iserror(index(split(C977, "" ""),3))), index(split(C977, "" ""),3),index(split(C977, "" ""),2)))"),"")</f>
        <v/>
      </c>
      <c r="U977" s="38" t="b">
        <f t="shared" si="34"/>
        <v>0</v>
      </c>
      <c r="V977" s="38"/>
      <c r="W977" s="40"/>
      <c r="X977" s="40"/>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row>
    <row r="978">
      <c r="A978" s="37"/>
      <c r="B978" s="322"/>
      <c r="C978" s="144"/>
      <c r="D978" s="144"/>
      <c r="E978" s="37"/>
      <c r="F978" s="37"/>
      <c r="G978" s="37"/>
      <c r="H978" s="33" t="str">
        <f t="shared" si="33"/>
        <v/>
      </c>
      <c r="I978" s="37"/>
      <c r="J978" s="37"/>
      <c r="K978" s="37"/>
      <c r="L978" s="37"/>
      <c r="M978" s="102"/>
      <c r="N978" s="14"/>
      <c r="O978" s="37"/>
      <c r="P978" s="16"/>
      <c r="Q978" s="37"/>
      <c r="R978" s="16"/>
      <c r="S978" s="37" t="str">
        <f>IFERROR(__xludf.DUMMYFUNCTION("if(not(iserror(index(split(C978, "" ""),2))), index(split(C978, "" ""),1),"""")"),"")</f>
        <v/>
      </c>
      <c r="T978" s="315" t="str">
        <f>IFERROR(__xludf.DUMMYFUNCTION("if(S978="""",C978,if(not(iserror(index(split(C978, "" ""),3))), index(split(C978, "" ""),3),index(split(C978, "" ""),2)))"),"")</f>
        <v/>
      </c>
      <c r="U978" s="38" t="b">
        <f t="shared" si="34"/>
        <v>0</v>
      </c>
      <c r="V978" s="38"/>
      <c r="W978" s="40"/>
      <c r="X978" s="40"/>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row>
    <row r="979">
      <c r="A979" s="37"/>
      <c r="B979" s="322"/>
      <c r="C979" s="144"/>
      <c r="D979" s="144"/>
      <c r="E979" s="37"/>
      <c r="F979" s="37"/>
      <c r="G979" s="37"/>
      <c r="H979" s="33" t="str">
        <f t="shared" si="33"/>
        <v/>
      </c>
      <c r="I979" s="37"/>
      <c r="J979" s="37"/>
      <c r="K979" s="37"/>
      <c r="L979" s="37"/>
      <c r="M979" s="14"/>
      <c r="N979" s="15"/>
      <c r="O979" s="16"/>
      <c r="P979" s="16"/>
      <c r="Q979" s="16"/>
      <c r="R979" s="16"/>
      <c r="S979" s="37" t="str">
        <f>IFERROR(__xludf.DUMMYFUNCTION("if(not(iserror(index(split(C979, "" ""),2))), index(split(C979, "" ""),1),"""")"),"")</f>
        <v/>
      </c>
      <c r="T979" s="315" t="str">
        <f>IFERROR(__xludf.DUMMYFUNCTION("if(S979="""",C979,if(not(iserror(index(split(C979, "" ""),3))), index(split(C979, "" ""),3),index(split(C979, "" ""),2)))"),"")</f>
        <v/>
      </c>
      <c r="U979" s="38" t="b">
        <f t="shared" si="34"/>
        <v>0</v>
      </c>
      <c r="V979" s="38"/>
      <c r="W979" s="40"/>
      <c r="X979" s="40"/>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row>
    <row r="980">
      <c r="A980" s="70"/>
      <c r="B980" s="385"/>
      <c r="C980" s="386"/>
      <c r="D980" s="386"/>
      <c r="E980" s="70"/>
      <c r="F980" s="70"/>
      <c r="G980" s="70"/>
      <c r="H980" s="33" t="str">
        <f t="shared" si="33"/>
        <v/>
      </c>
      <c r="I980" s="70"/>
      <c r="J980" s="70"/>
      <c r="K980" s="70"/>
      <c r="L980" s="70"/>
      <c r="M980" s="210"/>
      <c r="N980" s="69"/>
      <c r="O980" s="70"/>
      <c r="P980" s="70"/>
      <c r="Q980" s="71"/>
      <c r="R980" s="72"/>
      <c r="S980" s="37" t="str">
        <f>IFERROR(__xludf.DUMMYFUNCTION("if(not(iserror(index(split(C980, "" ""),2))), index(split(C980, "" ""),1),"""")"),"")</f>
        <v/>
      </c>
      <c r="T980" s="315" t="str">
        <f>IFERROR(__xludf.DUMMYFUNCTION("if(S980="""",C980,if(not(iserror(index(split(C980, "" ""),3))), index(split(C980, "" ""),3),index(split(C980, "" ""),2)))"),"")</f>
        <v/>
      </c>
      <c r="U980" s="38" t="b">
        <f t="shared" si="34"/>
        <v>0</v>
      </c>
      <c r="V980" s="38"/>
      <c r="W980" s="40"/>
      <c r="X980" s="40"/>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row>
    <row r="981">
      <c r="A981" s="70"/>
      <c r="B981" s="385"/>
      <c r="C981" s="386"/>
      <c r="D981" s="386"/>
      <c r="E981" s="70"/>
      <c r="F981" s="70"/>
      <c r="G981" s="70"/>
      <c r="H981" s="33" t="str">
        <f t="shared" si="33"/>
        <v/>
      </c>
      <c r="I981" s="70"/>
      <c r="J981" s="70"/>
      <c r="K981" s="70"/>
      <c r="L981" s="70"/>
      <c r="M981" s="210"/>
      <c r="N981" s="69"/>
      <c r="O981" s="70"/>
      <c r="P981" s="70"/>
      <c r="Q981" s="71"/>
      <c r="R981" s="72"/>
      <c r="S981" s="37" t="str">
        <f>IFERROR(__xludf.DUMMYFUNCTION("if(not(iserror(index(split(C981, "" ""),2))), index(split(C981, "" ""),1),"""")"),"")</f>
        <v/>
      </c>
      <c r="T981" s="315" t="str">
        <f>IFERROR(__xludf.DUMMYFUNCTION("if(S981="""",C981,if(not(iserror(index(split(C981, "" ""),3))), index(split(C981, "" ""),3),index(split(C981, "" ""),2)))"),"")</f>
        <v/>
      </c>
      <c r="U981" s="38" t="b">
        <f t="shared" si="34"/>
        <v>0</v>
      </c>
      <c r="V981" s="38"/>
      <c r="W981" s="40"/>
      <c r="X981" s="40"/>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c r="BQ981" s="38"/>
    </row>
    <row r="982">
      <c r="A982" s="37"/>
      <c r="B982" s="322"/>
      <c r="C982" s="144"/>
      <c r="D982" s="144"/>
      <c r="E982" s="37"/>
      <c r="F982" s="37"/>
      <c r="G982" s="37"/>
      <c r="H982" s="33" t="str">
        <f t="shared" si="33"/>
        <v/>
      </c>
      <c r="I982" s="37"/>
      <c r="J982" s="37"/>
      <c r="K982" s="37"/>
      <c r="L982" s="37"/>
      <c r="M982" s="14"/>
      <c r="N982" s="15"/>
      <c r="O982" s="16"/>
      <c r="P982" s="16"/>
      <c r="Q982" s="16"/>
      <c r="R982" s="16"/>
      <c r="S982" s="37" t="str">
        <f>IFERROR(__xludf.DUMMYFUNCTION("if(not(iserror(index(split(C982, "" ""),2))), index(split(C982, "" ""),1),"""")"),"")</f>
        <v/>
      </c>
      <c r="T982" s="315" t="str">
        <f>IFERROR(__xludf.DUMMYFUNCTION("if(S982="""",C982,if(not(iserror(index(split(C982, "" ""),3))), index(split(C982, "" ""),3),index(split(C982, "" ""),2)))"),"")</f>
        <v/>
      </c>
      <c r="U982" s="38" t="b">
        <f t="shared" si="34"/>
        <v>0</v>
      </c>
      <c r="V982" s="38"/>
      <c r="W982" s="40"/>
      <c r="X982" s="40"/>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row>
    <row r="983">
      <c r="A983" s="37"/>
      <c r="B983" s="322"/>
      <c r="C983" s="144"/>
      <c r="D983" s="144"/>
      <c r="E983" s="37"/>
      <c r="F983" s="37"/>
      <c r="G983" s="37"/>
      <c r="H983" s="33" t="str">
        <f t="shared" si="33"/>
        <v/>
      </c>
      <c r="I983" s="37"/>
      <c r="J983" s="37"/>
      <c r="K983" s="37"/>
      <c r="L983" s="37"/>
      <c r="M983" s="14"/>
      <c r="N983" s="15"/>
      <c r="O983" s="16"/>
      <c r="P983" s="16"/>
      <c r="Q983" s="16"/>
      <c r="R983" s="16"/>
      <c r="S983" s="37" t="str">
        <f>IFERROR(__xludf.DUMMYFUNCTION("if(not(iserror(index(split(C983, "" ""),2))), index(split(C983, "" ""),1),"""")"),"")</f>
        <v/>
      </c>
      <c r="T983" s="315" t="str">
        <f>IFERROR(__xludf.DUMMYFUNCTION("if(S983="""",C983,if(not(iserror(index(split(C983, "" ""),3))), index(split(C983, "" ""),3),index(split(C983, "" ""),2)))"),"")</f>
        <v/>
      </c>
      <c r="U983" s="38" t="b">
        <f t="shared" si="34"/>
        <v>0</v>
      </c>
      <c r="V983" s="38"/>
      <c r="W983" s="40"/>
      <c r="X983" s="40"/>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c r="BQ983" s="38"/>
    </row>
    <row r="984">
      <c r="A984" s="37"/>
      <c r="B984" s="322"/>
      <c r="C984" s="144"/>
      <c r="D984" s="144"/>
      <c r="E984" s="37"/>
      <c r="F984" s="37"/>
      <c r="G984" s="37"/>
      <c r="H984" s="33" t="str">
        <f t="shared" si="33"/>
        <v/>
      </c>
      <c r="I984" s="37"/>
      <c r="J984" s="37"/>
      <c r="K984" s="37"/>
      <c r="L984" s="37"/>
      <c r="M984" s="14"/>
      <c r="N984" s="15"/>
      <c r="O984" s="16"/>
      <c r="P984" s="16"/>
      <c r="Q984" s="16"/>
      <c r="R984" s="16"/>
      <c r="S984" s="37" t="str">
        <f>IFERROR(__xludf.DUMMYFUNCTION("if(not(iserror(index(split(C984, "" ""),2))), index(split(C984, "" ""),1),"""")"),"")</f>
        <v/>
      </c>
      <c r="T984" s="315" t="str">
        <f>IFERROR(__xludf.DUMMYFUNCTION("if(S984="""",C984,if(not(iserror(index(split(C984, "" ""),3))), index(split(C984, "" ""),3),index(split(C984, "" ""),2)))"),"")</f>
        <v/>
      </c>
      <c r="U984" s="38" t="b">
        <f t="shared" si="34"/>
        <v>0</v>
      </c>
      <c r="V984" s="38"/>
      <c r="W984" s="40"/>
      <c r="X984" s="40"/>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row>
    <row r="985">
      <c r="A985" s="37"/>
      <c r="B985" s="322"/>
      <c r="C985" s="144"/>
      <c r="D985" s="144"/>
      <c r="E985" s="37"/>
      <c r="F985" s="37"/>
      <c r="G985" s="37"/>
      <c r="H985" s="33" t="str">
        <f t="shared" si="33"/>
        <v/>
      </c>
      <c r="I985" s="37"/>
      <c r="J985" s="16"/>
      <c r="K985" s="37"/>
      <c r="L985" s="37"/>
      <c r="M985" s="14"/>
      <c r="N985" s="15"/>
      <c r="O985" s="16"/>
      <c r="P985" s="16"/>
      <c r="Q985" s="16"/>
      <c r="R985" s="16"/>
      <c r="S985" s="37" t="str">
        <f>IFERROR(__xludf.DUMMYFUNCTION("if(not(iserror(index(split(C985, "" ""),2))), index(split(C985, "" ""),1),"""")"),"")</f>
        <v/>
      </c>
      <c r="T985" s="315" t="str">
        <f>IFERROR(__xludf.DUMMYFUNCTION("if(S985="""",C985,if(not(iserror(index(split(C985, "" ""),3))), index(split(C985, "" ""),3),index(split(C985, "" ""),2)))"),"")</f>
        <v/>
      </c>
      <c r="U985" s="38" t="b">
        <f t="shared" si="34"/>
        <v>0</v>
      </c>
      <c r="V985" s="38"/>
      <c r="W985" s="40"/>
      <c r="X985" s="40"/>
      <c r="Y985" s="38"/>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row>
    <row r="986">
      <c r="A986" s="37"/>
      <c r="B986" s="322"/>
      <c r="C986" s="144"/>
      <c r="D986" s="144"/>
      <c r="E986" s="37"/>
      <c r="F986" s="37"/>
      <c r="G986" s="37"/>
      <c r="H986" s="33" t="str">
        <f t="shared" si="33"/>
        <v/>
      </c>
      <c r="I986" s="37"/>
      <c r="J986" s="37"/>
      <c r="K986" s="37"/>
      <c r="L986" s="37"/>
      <c r="M986" s="14"/>
      <c r="N986" s="15"/>
      <c r="O986" s="37"/>
      <c r="P986" s="16"/>
      <c r="Q986" s="64"/>
      <c r="R986" s="16"/>
      <c r="S986" s="37" t="str">
        <f>IFERROR(__xludf.DUMMYFUNCTION("if(not(iserror(index(split(C986, "" ""),2))), index(split(C986, "" ""),1),"""")"),"")</f>
        <v/>
      </c>
      <c r="T986" s="315" t="str">
        <f>IFERROR(__xludf.DUMMYFUNCTION("if(S986="""",C986,if(not(iserror(index(split(C986, "" ""),3))), index(split(C986, "" ""),3),index(split(C986, "" ""),2)))"),"")</f>
        <v/>
      </c>
      <c r="U986" s="38" t="b">
        <f t="shared" si="34"/>
        <v>0</v>
      </c>
      <c r="V986" s="38"/>
      <c r="W986" s="40"/>
      <c r="X986" s="40"/>
      <c r="Y986" s="38"/>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row>
    <row r="987">
      <c r="A987" s="58"/>
      <c r="B987" s="341"/>
      <c r="C987" s="60"/>
      <c r="D987" s="60"/>
      <c r="E987" s="58"/>
      <c r="F987" s="58"/>
      <c r="G987" s="58"/>
      <c r="H987" s="33" t="str">
        <f t="shared" si="33"/>
        <v/>
      </c>
      <c r="I987" s="58"/>
      <c r="J987" s="58"/>
      <c r="K987" s="58"/>
      <c r="L987" s="58"/>
      <c r="M987" s="80"/>
      <c r="N987" s="80"/>
      <c r="O987" s="58"/>
      <c r="P987" s="62"/>
      <c r="Q987" s="58"/>
      <c r="R987" s="62"/>
      <c r="S987" s="37" t="str">
        <f>IFERROR(__xludf.DUMMYFUNCTION("if(not(iserror(index(split(C987, "" ""),2))), index(split(C987, "" ""),1),"""")"),"")</f>
        <v/>
      </c>
      <c r="T987" s="315" t="str">
        <f>IFERROR(__xludf.DUMMYFUNCTION("if(S987="""",C987,if(not(iserror(index(split(C987, "" ""),3))), index(split(C987, "" ""),3),index(split(C987, "" ""),2)))"),"")</f>
        <v/>
      </c>
      <c r="U987" s="38" t="b">
        <f t="shared" si="34"/>
        <v>0</v>
      </c>
      <c r="V987" s="38"/>
      <c r="W987" s="40"/>
      <c r="X987" s="40"/>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row>
    <row r="988">
      <c r="A988" s="58"/>
      <c r="B988" s="341"/>
      <c r="C988" s="60"/>
      <c r="D988" s="60"/>
      <c r="E988" s="58"/>
      <c r="F988" s="58"/>
      <c r="G988" s="58"/>
      <c r="H988" s="33" t="str">
        <f t="shared" si="33"/>
        <v/>
      </c>
      <c r="I988" s="58"/>
      <c r="J988" s="58"/>
      <c r="K988" s="58"/>
      <c r="L988" s="58"/>
      <c r="M988" s="80"/>
      <c r="N988" s="80"/>
      <c r="O988" s="58"/>
      <c r="P988" s="62"/>
      <c r="Q988" s="84"/>
      <c r="R988" s="62"/>
      <c r="S988" s="37" t="str">
        <f>IFERROR(__xludf.DUMMYFUNCTION("if(not(iserror(index(split(C988, "" ""),2))), index(split(C988, "" ""),1),"""")"),"")</f>
        <v/>
      </c>
      <c r="T988" s="315" t="str">
        <f>IFERROR(__xludf.DUMMYFUNCTION("if(S988="""",C988,if(not(iserror(index(split(C988, "" ""),3))), index(split(C988, "" ""),3),index(split(C988, "" ""),2)))"),"")</f>
        <v/>
      </c>
      <c r="U988" s="38" t="b">
        <f t="shared" si="34"/>
        <v>0</v>
      </c>
      <c r="V988" s="38"/>
      <c r="W988" s="40"/>
      <c r="X988" s="40"/>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row>
    <row r="989">
      <c r="A989" s="58"/>
      <c r="B989" s="341"/>
      <c r="C989" s="60"/>
      <c r="D989" s="60"/>
      <c r="E989" s="58"/>
      <c r="F989" s="58"/>
      <c r="G989" s="58"/>
      <c r="H989" s="33" t="str">
        <f t="shared" si="33"/>
        <v/>
      </c>
      <c r="I989" s="58"/>
      <c r="J989" s="58"/>
      <c r="K989" s="58"/>
      <c r="L989" s="58"/>
      <c r="M989" s="80"/>
      <c r="N989" s="77"/>
      <c r="O989" s="62"/>
      <c r="P989" s="62"/>
      <c r="Q989" s="62"/>
      <c r="R989" s="62"/>
      <c r="S989" s="37" t="str">
        <f>IFERROR(__xludf.DUMMYFUNCTION("if(not(iserror(index(split(C989, "" ""),2))), index(split(C989, "" ""),1),"""")"),"")</f>
        <v/>
      </c>
      <c r="T989" s="315" t="str">
        <f>IFERROR(__xludf.DUMMYFUNCTION("if(S989="""",C989,if(not(iserror(index(split(C989, "" ""),3))), index(split(C989, "" ""),3),index(split(C989, "" ""),2)))"),"")</f>
        <v/>
      </c>
      <c r="U989" s="38" t="b">
        <f t="shared" si="34"/>
        <v>0</v>
      </c>
      <c r="V989" s="38"/>
      <c r="W989" s="40"/>
      <c r="X989" s="40"/>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row>
    <row r="990">
      <c r="A990" s="58"/>
      <c r="B990" s="341"/>
      <c r="C990" s="60"/>
      <c r="D990" s="60"/>
      <c r="E990" s="58"/>
      <c r="F990" s="58"/>
      <c r="G990" s="58"/>
      <c r="H990" s="33" t="str">
        <f t="shared" si="33"/>
        <v/>
      </c>
      <c r="I990" s="58"/>
      <c r="J990" s="58"/>
      <c r="K990" s="58"/>
      <c r="L990" s="58"/>
      <c r="M990" s="80"/>
      <c r="N990" s="77"/>
      <c r="O990" s="62"/>
      <c r="P990" s="62"/>
      <c r="Q990" s="62"/>
      <c r="R990" s="62"/>
      <c r="S990" s="37" t="str">
        <f>IFERROR(__xludf.DUMMYFUNCTION("if(not(iserror(index(split(C990, "" ""),2))), index(split(C990, "" ""),1),"""")"),"")</f>
        <v/>
      </c>
      <c r="T990" s="315" t="str">
        <f>IFERROR(__xludf.DUMMYFUNCTION("if(S990="""",C990,if(not(iserror(index(split(C990, "" ""),3))), index(split(C990, "" ""),3),index(split(C990, "" ""),2)))"),"")</f>
        <v/>
      </c>
      <c r="U990" s="38" t="b">
        <f t="shared" si="34"/>
        <v>0</v>
      </c>
      <c r="V990" s="38"/>
      <c r="W990" s="40"/>
      <c r="X990" s="40"/>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row>
    <row r="991">
      <c r="A991" s="58"/>
      <c r="B991" s="341"/>
      <c r="C991" s="60"/>
      <c r="D991" s="60"/>
      <c r="E991" s="58"/>
      <c r="F991" s="58"/>
      <c r="G991" s="58"/>
      <c r="H991" s="33" t="str">
        <f t="shared" si="33"/>
        <v/>
      </c>
      <c r="I991" s="58"/>
      <c r="J991" s="58"/>
      <c r="K991" s="58"/>
      <c r="L991" s="58"/>
      <c r="M991" s="80"/>
      <c r="N991" s="77"/>
      <c r="O991" s="58"/>
      <c r="P991" s="62"/>
      <c r="Q991" s="84"/>
      <c r="R991" s="62"/>
      <c r="S991" s="37" t="str">
        <f>IFERROR(__xludf.DUMMYFUNCTION("if(not(iserror(index(split(C991, "" ""),2))), index(split(C991, "" ""),1),"""")"),"")</f>
        <v/>
      </c>
      <c r="T991" s="315" t="str">
        <f>IFERROR(__xludf.DUMMYFUNCTION("if(S991="""",C991,if(not(iserror(index(split(C991, "" ""),3))), index(split(C991, "" ""),3),index(split(C991, "" ""),2)))"),"")</f>
        <v/>
      </c>
      <c r="U991" s="38" t="b">
        <f t="shared" si="34"/>
        <v>0</v>
      </c>
      <c r="V991" s="38"/>
      <c r="W991" s="40"/>
      <c r="X991" s="40"/>
      <c r="Y991" s="38"/>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row>
    <row r="992">
      <c r="A992" s="58"/>
      <c r="B992" s="341"/>
      <c r="C992" s="60"/>
      <c r="D992" s="60"/>
      <c r="E992" s="58"/>
      <c r="F992" s="58"/>
      <c r="G992" s="58"/>
      <c r="H992" s="33" t="str">
        <f t="shared" si="33"/>
        <v/>
      </c>
      <c r="I992" s="58"/>
      <c r="J992" s="58"/>
      <c r="K992" s="58"/>
      <c r="L992" s="58"/>
      <c r="M992" s="80"/>
      <c r="N992" s="80"/>
      <c r="O992" s="58"/>
      <c r="P992" s="62"/>
      <c r="Q992" s="84"/>
      <c r="R992" s="62"/>
      <c r="S992" s="37" t="str">
        <f>IFERROR(__xludf.DUMMYFUNCTION("if(not(iserror(index(split(C992, "" ""),2))), index(split(C992, "" ""),1),"""")"),"")</f>
        <v/>
      </c>
      <c r="T992" s="315" t="str">
        <f>IFERROR(__xludf.DUMMYFUNCTION("if(S992="""",C992,if(not(iserror(index(split(C992, "" ""),3))), index(split(C992, "" ""),3),index(split(C992, "" ""),2)))"),"")</f>
        <v/>
      </c>
      <c r="U992" s="38" t="b">
        <f t="shared" si="34"/>
        <v>0</v>
      </c>
      <c r="V992" s="38"/>
      <c r="W992" s="40"/>
      <c r="X992" s="40"/>
      <c r="Y992" s="38"/>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row>
    <row r="993">
      <c r="A993" s="58"/>
      <c r="B993" s="341"/>
      <c r="C993" s="60"/>
      <c r="D993" s="60"/>
      <c r="E993" s="58"/>
      <c r="F993" s="58"/>
      <c r="G993" s="58"/>
      <c r="H993" s="33" t="str">
        <f t="shared" si="33"/>
        <v/>
      </c>
      <c r="I993" s="58"/>
      <c r="J993" s="58"/>
      <c r="K993" s="58"/>
      <c r="L993" s="58"/>
      <c r="M993" s="80"/>
      <c r="N993" s="77"/>
      <c r="O993" s="62"/>
      <c r="P993" s="62"/>
      <c r="Q993" s="62"/>
      <c r="R993" s="62"/>
      <c r="S993" s="37" t="str">
        <f>IFERROR(__xludf.DUMMYFUNCTION("if(not(iserror(index(split(C993, "" ""),2))), index(split(C993, "" ""),1),"""")"),"")</f>
        <v/>
      </c>
      <c r="T993" s="315" t="str">
        <f>IFERROR(__xludf.DUMMYFUNCTION("if(S993="""",C993,if(not(iserror(index(split(C993, "" ""),3))), index(split(C993, "" ""),3),index(split(C993, "" ""),2)))"),"")</f>
        <v/>
      </c>
      <c r="U993" s="38" t="b">
        <f t="shared" si="34"/>
        <v>0</v>
      </c>
      <c r="V993" s="38"/>
      <c r="W993" s="40"/>
      <c r="X993" s="40"/>
      <c r="Y993" s="38"/>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row>
    <row r="994">
      <c r="A994" s="58"/>
      <c r="B994" s="341"/>
      <c r="C994" s="60"/>
      <c r="D994" s="60"/>
      <c r="E994" s="58"/>
      <c r="F994" s="58"/>
      <c r="G994" s="58"/>
      <c r="H994" s="33" t="str">
        <f t="shared" si="33"/>
        <v/>
      </c>
      <c r="I994" s="58"/>
      <c r="J994" s="58"/>
      <c r="K994" s="58"/>
      <c r="L994" s="58"/>
      <c r="M994" s="80"/>
      <c r="N994" s="77"/>
      <c r="O994" s="62"/>
      <c r="P994" s="62"/>
      <c r="Q994" s="62"/>
      <c r="R994" s="62"/>
      <c r="S994" s="37" t="str">
        <f>IFERROR(__xludf.DUMMYFUNCTION("if(not(iserror(index(split(C994, "" ""),2))), index(split(C994, "" ""),1),"""")"),"")</f>
        <v/>
      </c>
      <c r="T994" s="315" t="str">
        <f>IFERROR(__xludf.DUMMYFUNCTION("if(S994="""",C994,if(not(iserror(index(split(C994, "" ""),3))), index(split(C994, "" ""),3),index(split(C994, "" ""),2)))"),"")</f>
        <v/>
      </c>
      <c r="U994" s="38" t="b">
        <f t="shared" si="34"/>
        <v>0</v>
      </c>
      <c r="V994" s="38"/>
      <c r="W994" s="40"/>
      <c r="X994" s="40"/>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row>
    <row r="995">
      <c r="A995" s="58"/>
      <c r="B995" s="341"/>
      <c r="C995" s="60"/>
      <c r="D995" s="60"/>
      <c r="E995" s="58"/>
      <c r="F995" s="58"/>
      <c r="G995" s="58"/>
      <c r="H995" s="33" t="str">
        <f t="shared" si="33"/>
        <v/>
      </c>
      <c r="I995" s="58"/>
      <c r="J995" s="58"/>
      <c r="K995" s="58"/>
      <c r="L995" s="58"/>
      <c r="M995" s="14"/>
      <c r="N995" s="77"/>
      <c r="O995" s="62"/>
      <c r="P995" s="62"/>
      <c r="Q995" s="62"/>
      <c r="R995" s="62"/>
      <c r="S995" s="37" t="str">
        <f>IFERROR(__xludf.DUMMYFUNCTION("if(not(iserror(index(split(C995, "" ""),2))), index(split(C995, "" ""),1),"""")"),"")</f>
        <v/>
      </c>
      <c r="T995" s="315" t="str">
        <f>IFERROR(__xludf.DUMMYFUNCTION("if(S995="""",C995,if(not(iserror(index(split(C995, "" ""),3))), index(split(C995, "" ""),3),index(split(C995, "" ""),2)))"),"")</f>
        <v/>
      </c>
      <c r="U995" s="38" t="b">
        <f t="shared" si="34"/>
        <v>0</v>
      </c>
      <c r="V995" s="38"/>
      <c r="W995" s="40"/>
      <c r="X995" s="40"/>
      <c r="Y995" s="38"/>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row>
    <row r="996">
      <c r="A996" s="58"/>
      <c r="B996" s="341"/>
      <c r="C996" s="60"/>
      <c r="D996" s="60"/>
      <c r="E996" s="58"/>
      <c r="F996" s="58"/>
      <c r="G996" s="58"/>
      <c r="H996" s="33" t="str">
        <f t="shared" si="33"/>
        <v/>
      </c>
      <c r="I996" s="58"/>
      <c r="J996" s="58"/>
      <c r="K996" s="58"/>
      <c r="L996" s="58"/>
      <c r="M996" s="80"/>
      <c r="N996" s="77"/>
      <c r="O996" s="62"/>
      <c r="P996" s="62"/>
      <c r="Q996" s="84"/>
      <c r="R996" s="62"/>
      <c r="S996" s="37" t="str">
        <f>IFERROR(__xludf.DUMMYFUNCTION("if(not(iserror(index(split(C996, "" ""),2))), index(split(C996, "" ""),1),"""")"),"")</f>
        <v/>
      </c>
      <c r="T996" s="315" t="str">
        <f>IFERROR(__xludf.DUMMYFUNCTION("if(S996="""",C996,if(not(iserror(index(split(C996, "" ""),3))), index(split(C996, "" ""),3),index(split(C996, "" ""),2)))"),"")</f>
        <v/>
      </c>
      <c r="U996" s="38" t="b">
        <f t="shared" si="34"/>
        <v>0</v>
      </c>
      <c r="V996" s="38"/>
      <c r="W996" s="40"/>
      <c r="X996" s="40"/>
      <c r="Y996" s="38"/>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row>
    <row r="997">
      <c r="A997" s="58"/>
      <c r="B997" s="341"/>
      <c r="C997" s="60"/>
      <c r="D997" s="60"/>
      <c r="E997" s="58"/>
      <c r="F997" s="58"/>
      <c r="G997" s="58"/>
      <c r="H997" s="33" t="str">
        <f t="shared" si="33"/>
        <v/>
      </c>
      <c r="I997" s="58"/>
      <c r="J997" s="58"/>
      <c r="K997" s="58"/>
      <c r="L997" s="58"/>
      <c r="M997" s="80"/>
      <c r="N997" s="80"/>
      <c r="O997" s="120"/>
      <c r="P997" s="120"/>
      <c r="Q997" s="58"/>
      <c r="R997" s="62"/>
      <c r="S997" s="37" t="str">
        <f>IFERROR(__xludf.DUMMYFUNCTION("if(not(iserror(index(split(C997, "" ""),2))), index(split(C997, "" ""),1),"""")"),"")</f>
        <v/>
      </c>
      <c r="T997" s="315" t="str">
        <f>IFERROR(__xludf.DUMMYFUNCTION("if(S997="""",C997,if(not(iserror(index(split(C997, "" ""),3))), index(split(C997, "" ""),3),index(split(C997, "" ""),2)))"),"")</f>
        <v/>
      </c>
      <c r="U997" s="38" t="b">
        <f t="shared" si="34"/>
        <v>0</v>
      </c>
      <c r="V997" s="38"/>
      <c r="W997" s="40"/>
      <c r="X997" s="40"/>
      <c r="Y997" s="38"/>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row>
    <row r="998">
      <c r="A998" s="58"/>
      <c r="B998" s="341"/>
      <c r="C998" s="60"/>
      <c r="D998" s="60"/>
      <c r="E998" s="58"/>
      <c r="F998" s="58"/>
      <c r="G998" s="58"/>
      <c r="H998" s="33" t="str">
        <f t="shared" si="33"/>
        <v/>
      </c>
      <c r="I998" s="58"/>
      <c r="J998" s="58"/>
      <c r="K998" s="58"/>
      <c r="L998" s="58"/>
      <c r="M998" s="80"/>
      <c r="N998" s="80"/>
      <c r="O998" s="120"/>
      <c r="P998" s="120"/>
      <c r="Q998" s="58"/>
      <c r="R998" s="62"/>
      <c r="S998" s="37" t="str">
        <f>IFERROR(__xludf.DUMMYFUNCTION("if(not(iserror(index(split(C998, "" ""),2))), index(split(C998, "" ""),1),"""")"),"")</f>
        <v/>
      </c>
      <c r="T998" s="315" t="str">
        <f>IFERROR(__xludf.DUMMYFUNCTION("if(S998="""",C998,if(not(iserror(index(split(C998, "" ""),3))), index(split(C998, "" ""),3),index(split(C998, "" ""),2)))"),"")</f>
        <v/>
      </c>
      <c r="U998" s="38" t="b">
        <f t="shared" si="34"/>
        <v>0</v>
      </c>
      <c r="V998" s="38"/>
      <c r="W998" s="40"/>
      <c r="X998" s="40"/>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row>
    <row r="999">
      <c r="A999" s="58"/>
      <c r="B999" s="341"/>
      <c r="C999" s="60"/>
      <c r="D999" s="60"/>
      <c r="E999" s="58"/>
      <c r="F999" s="58"/>
      <c r="G999" s="58"/>
      <c r="H999" s="33" t="str">
        <f t="shared" si="33"/>
        <v/>
      </c>
      <c r="I999" s="58"/>
      <c r="J999" s="58"/>
      <c r="K999" s="58"/>
      <c r="L999" s="58"/>
      <c r="M999" s="80"/>
      <c r="N999" s="80"/>
      <c r="O999" s="120"/>
      <c r="P999" s="120"/>
      <c r="Q999" s="58"/>
      <c r="R999" s="62"/>
      <c r="S999" s="37" t="str">
        <f>IFERROR(__xludf.DUMMYFUNCTION("if(not(iserror(index(split(C999, "" ""),2))), index(split(C999, "" ""),1),"""")"),"")</f>
        <v/>
      </c>
      <c r="T999" s="315" t="str">
        <f>IFERROR(__xludf.DUMMYFUNCTION("if(S999="""",C999,if(not(iserror(index(split(C999, "" ""),3))), index(split(C999, "" ""),3),index(split(C999, "" ""),2)))"),"")</f>
        <v/>
      </c>
      <c r="U999" s="38" t="b">
        <f t="shared" si="34"/>
        <v>0</v>
      </c>
      <c r="V999" s="38"/>
      <c r="W999" s="40"/>
      <c r="X999" s="40"/>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row>
    <row r="1000">
      <c r="A1000" s="58"/>
      <c r="B1000" s="341"/>
      <c r="C1000" s="60"/>
      <c r="D1000" s="60"/>
      <c r="E1000" s="58"/>
      <c r="F1000" s="58"/>
      <c r="G1000" s="58"/>
      <c r="H1000" s="33" t="str">
        <f t="shared" si="33"/>
        <v/>
      </c>
      <c r="I1000" s="58"/>
      <c r="J1000" s="58"/>
      <c r="K1000" s="58"/>
      <c r="L1000" s="58"/>
      <c r="M1000" s="80"/>
      <c r="N1000" s="80"/>
      <c r="O1000" s="120"/>
      <c r="P1000" s="120"/>
      <c r="Q1000" s="58"/>
      <c r="R1000" s="62"/>
      <c r="S1000" s="37" t="str">
        <f>IFERROR(__xludf.DUMMYFUNCTION("if(not(iserror(index(split(C1000, "" ""),2))), index(split(C1000, "" ""),1),"""")"),"")</f>
        <v/>
      </c>
      <c r="T1000" s="315" t="str">
        <f>IFERROR(__xludf.DUMMYFUNCTION("if(S1000="""",C1000,if(not(iserror(index(split(C1000, "" ""),3))), index(split(C1000, "" ""),3),index(split(C1000, "" ""),2)))"),"")</f>
        <v/>
      </c>
      <c r="U1000" s="38" t="b">
        <f t="shared" si="34"/>
        <v>0</v>
      </c>
      <c r="V1000" s="38"/>
      <c r="W1000" s="40"/>
      <c r="X1000" s="40"/>
      <c r="Y1000" s="38"/>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row>
    <row r="1001">
      <c r="A1001" s="58"/>
      <c r="B1001" s="341"/>
      <c r="C1001" s="60"/>
      <c r="D1001" s="60"/>
      <c r="E1001" s="58"/>
      <c r="F1001" s="58"/>
      <c r="G1001" s="58"/>
      <c r="H1001" s="33" t="str">
        <f t="shared" si="33"/>
        <v/>
      </c>
      <c r="I1001" s="58"/>
      <c r="J1001" s="58"/>
      <c r="K1001" s="58"/>
      <c r="L1001" s="58"/>
      <c r="M1001" s="80"/>
      <c r="N1001" s="80"/>
      <c r="O1001" s="120"/>
      <c r="P1001" s="120"/>
      <c r="Q1001" s="58"/>
      <c r="R1001" s="62"/>
      <c r="S1001" s="37" t="str">
        <f>IFERROR(__xludf.DUMMYFUNCTION("if(not(iserror(index(split(C1001, "" ""),2))), index(split(C1001, "" ""),1),"""")"),"")</f>
        <v/>
      </c>
      <c r="T1001" s="315" t="str">
        <f>IFERROR(__xludf.DUMMYFUNCTION("if(S1001="""",C1001,if(not(iserror(index(split(C1001, "" ""),3))), index(split(C1001, "" ""),3),index(split(C1001, "" ""),2)))"),"")</f>
        <v/>
      </c>
      <c r="U1001" s="38" t="b">
        <f t="shared" si="34"/>
        <v>0</v>
      </c>
      <c r="V1001" s="38"/>
      <c r="W1001" s="40"/>
      <c r="X1001" s="40"/>
      <c r="Y1001" s="38"/>
      <c r="Z1001" s="38"/>
      <c r="AA1001" s="38"/>
      <c r="AB1001" s="38"/>
      <c r="AC1001" s="38"/>
      <c r="AD1001" s="38"/>
      <c r="AE1001" s="38"/>
      <c r="AF1001" s="38"/>
      <c r="AG1001" s="38"/>
      <c r="AH1001" s="38"/>
      <c r="AI1001" s="38"/>
      <c r="AJ1001" s="38"/>
      <c r="AK1001" s="38"/>
      <c r="AL1001" s="38"/>
      <c r="AM1001" s="38"/>
      <c r="AN1001" s="38"/>
      <c r="AO1001" s="38"/>
      <c r="AP1001" s="38"/>
      <c r="AQ1001" s="38"/>
      <c r="AR1001" s="38"/>
      <c r="AS1001" s="38"/>
      <c r="AT1001" s="38"/>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row>
    <row r="1002">
      <c r="A1002" s="58"/>
      <c r="B1002" s="341"/>
      <c r="C1002" s="60"/>
      <c r="D1002" s="60"/>
      <c r="E1002" s="58"/>
      <c r="F1002" s="58"/>
      <c r="G1002" s="58"/>
      <c r="H1002" s="33" t="str">
        <f t="shared" si="33"/>
        <v/>
      </c>
      <c r="I1002" s="58"/>
      <c r="J1002" s="58"/>
      <c r="K1002" s="58"/>
      <c r="L1002" s="58"/>
      <c r="M1002" s="80"/>
      <c r="N1002" s="80"/>
      <c r="O1002" s="120"/>
      <c r="P1002" s="120"/>
      <c r="Q1002" s="58"/>
      <c r="R1002" s="62"/>
      <c r="S1002" s="37" t="str">
        <f>IFERROR(__xludf.DUMMYFUNCTION("if(not(iserror(index(split(C1002, "" ""),2))), index(split(C1002, "" ""),1),"""")"),"")</f>
        <v/>
      </c>
      <c r="T1002" s="315" t="str">
        <f>IFERROR(__xludf.DUMMYFUNCTION("if(S1002="""",C1002,if(not(iserror(index(split(C1002, "" ""),3))), index(split(C1002, "" ""),3),index(split(C1002, "" ""),2)))"),"")</f>
        <v/>
      </c>
      <c r="U1002" s="38" t="b">
        <f t="shared" si="34"/>
        <v>0</v>
      </c>
      <c r="V1002" s="38"/>
      <c r="W1002" s="40"/>
      <c r="X1002" s="40"/>
      <c r="Y1002" s="38"/>
      <c r="Z1002" s="38"/>
      <c r="AA1002" s="38"/>
      <c r="AB1002" s="38"/>
      <c r="AC1002" s="38"/>
      <c r="AD1002" s="38"/>
      <c r="AE1002" s="38"/>
      <c r="AF1002" s="38"/>
      <c r="AG1002" s="38"/>
      <c r="AH1002" s="38"/>
      <c r="AI1002" s="38"/>
      <c r="AJ1002" s="38"/>
      <c r="AK1002" s="38"/>
      <c r="AL1002" s="38"/>
      <c r="AM1002" s="38"/>
      <c r="AN1002" s="38"/>
      <c r="AO1002" s="38"/>
      <c r="AP1002" s="38"/>
      <c r="AQ1002" s="38"/>
      <c r="AR1002" s="38"/>
      <c r="AS1002" s="38"/>
      <c r="AT1002" s="38"/>
      <c r="AU1002" s="38"/>
      <c r="AV1002" s="38"/>
      <c r="AW1002" s="38"/>
      <c r="AX1002" s="38"/>
      <c r="AY1002" s="38"/>
      <c r="AZ1002" s="38"/>
      <c r="BA1002" s="38"/>
      <c r="BB1002" s="38"/>
      <c r="BC1002" s="38"/>
      <c r="BD1002" s="38"/>
      <c r="BE1002" s="38"/>
      <c r="BF1002" s="38"/>
      <c r="BG1002" s="38"/>
      <c r="BH1002" s="38"/>
      <c r="BI1002" s="38"/>
      <c r="BJ1002" s="38"/>
      <c r="BK1002" s="38"/>
      <c r="BL1002" s="38"/>
      <c r="BM1002" s="38"/>
      <c r="BN1002" s="38"/>
      <c r="BO1002" s="38"/>
      <c r="BP1002" s="38"/>
      <c r="BQ1002" s="38"/>
    </row>
    <row r="1003">
      <c r="A1003" s="58"/>
      <c r="B1003" s="341"/>
      <c r="C1003" s="60"/>
      <c r="D1003" s="60"/>
      <c r="E1003" s="58"/>
      <c r="F1003" s="58"/>
      <c r="G1003" s="58"/>
      <c r="H1003" s="33" t="str">
        <f t="shared" si="33"/>
        <v/>
      </c>
      <c r="I1003" s="58"/>
      <c r="J1003" s="58"/>
      <c r="K1003" s="58"/>
      <c r="L1003" s="58"/>
      <c r="M1003" s="80"/>
      <c r="N1003" s="80"/>
      <c r="O1003" s="120"/>
      <c r="P1003" s="120"/>
      <c r="Q1003" s="58"/>
      <c r="R1003" s="62"/>
      <c r="S1003" s="37" t="str">
        <f>IFERROR(__xludf.DUMMYFUNCTION("if(not(iserror(index(split(C1003, "" ""),2))), index(split(C1003, "" ""),1),"""")"),"")</f>
        <v/>
      </c>
      <c r="T1003" s="315" t="str">
        <f>IFERROR(__xludf.DUMMYFUNCTION("if(S1003="""",C1003,if(not(iserror(index(split(C1003, "" ""),3))), index(split(C1003, "" ""),3),index(split(C1003, "" ""),2)))"),"")</f>
        <v/>
      </c>
      <c r="U1003" s="38" t="b">
        <f t="shared" si="34"/>
        <v>0</v>
      </c>
      <c r="V1003" s="38"/>
      <c r="W1003" s="40"/>
      <c r="X1003" s="40"/>
      <c r="Y1003" s="38"/>
      <c r="Z1003" s="38"/>
      <c r="AA1003" s="38"/>
      <c r="AB1003" s="38"/>
      <c r="AC1003" s="38"/>
      <c r="AD1003" s="38"/>
      <c r="AE1003" s="38"/>
      <c r="AF1003" s="38"/>
      <c r="AG1003" s="38"/>
      <c r="AH1003" s="38"/>
      <c r="AI1003" s="38"/>
      <c r="AJ1003" s="38"/>
      <c r="AK1003" s="38"/>
      <c r="AL1003" s="38"/>
      <c r="AM1003" s="38"/>
      <c r="AN1003" s="38"/>
      <c r="AO1003" s="38"/>
      <c r="AP1003" s="38"/>
      <c r="AQ1003" s="38"/>
      <c r="AR1003" s="38"/>
      <c r="AS1003" s="38"/>
      <c r="AT1003" s="38"/>
      <c r="AU1003" s="38"/>
      <c r="AV1003" s="38"/>
      <c r="AW1003" s="38"/>
      <c r="AX1003" s="38"/>
      <c r="AY1003" s="38"/>
      <c r="AZ1003" s="38"/>
      <c r="BA1003" s="38"/>
      <c r="BB1003" s="38"/>
      <c r="BC1003" s="38"/>
      <c r="BD1003" s="38"/>
      <c r="BE1003" s="38"/>
      <c r="BF1003" s="38"/>
      <c r="BG1003" s="38"/>
      <c r="BH1003" s="38"/>
      <c r="BI1003" s="38"/>
      <c r="BJ1003" s="38"/>
      <c r="BK1003" s="38"/>
      <c r="BL1003" s="38"/>
      <c r="BM1003" s="38"/>
      <c r="BN1003" s="38"/>
      <c r="BO1003" s="38"/>
      <c r="BP1003" s="38"/>
      <c r="BQ1003" s="38"/>
    </row>
    <row r="1004">
      <c r="A1004" s="58"/>
      <c r="B1004" s="341"/>
      <c r="C1004" s="60"/>
      <c r="D1004" s="60"/>
      <c r="E1004" s="58"/>
      <c r="F1004" s="58"/>
      <c r="G1004" s="58"/>
      <c r="H1004" s="33" t="str">
        <f t="shared" si="33"/>
        <v/>
      </c>
      <c r="I1004" s="58"/>
      <c r="J1004" s="58"/>
      <c r="K1004" s="58"/>
      <c r="L1004" s="58"/>
      <c r="M1004" s="80"/>
      <c r="N1004" s="77"/>
      <c r="O1004" s="120"/>
      <c r="P1004" s="120"/>
      <c r="Q1004" s="58"/>
      <c r="R1004" s="62"/>
      <c r="S1004" s="37" t="str">
        <f>IFERROR(__xludf.DUMMYFUNCTION("if(not(iserror(index(split(C1004, "" ""),2))), index(split(C1004, "" ""),1),"""")"),"")</f>
        <v/>
      </c>
      <c r="T1004" s="315" t="str">
        <f>IFERROR(__xludf.DUMMYFUNCTION("if(S1004="""",C1004,if(not(iserror(index(split(C1004, "" ""),3))), index(split(C1004, "" ""),3),index(split(C1004, "" ""),2)))"),"")</f>
        <v/>
      </c>
      <c r="U1004" s="38" t="b">
        <f t="shared" si="34"/>
        <v>0</v>
      </c>
      <c r="V1004" s="38"/>
      <c r="W1004" s="40"/>
      <c r="X1004" s="40"/>
      <c r="Y1004" s="38"/>
      <c r="Z1004" s="38"/>
      <c r="AA1004" s="38"/>
      <c r="AB1004" s="38"/>
      <c r="AC1004" s="38"/>
      <c r="AD1004" s="38"/>
      <c r="AE1004" s="38"/>
      <c r="AF1004" s="38"/>
      <c r="AG1004" s="38"/>
      <c r="AH1004" s="38"/>
      <c r="AI1004" s="38"/>
      <c r="AJ1004" s="38"/>
      <c r="AK1004" s="38"/>
      <c r="AL1004" s="38"/>
      <c r="AM1004" s="38"/>
      <c r="AN1004" s="38"/>
      <c r="AO1004" s="38"/>
      <c r="AP1004" s="38"/>
      <c r="AQ1004" s="38"/>
      <c r="AR1004" s="38"/>
      <c r="AS1004" s="38"/>
      <c r="AT1004" s="38"/>
      <c r="AU1004" s="38"/>
      <c r="AV1004" s="38"/>
      <c r="AW1004" s="38"/>
      <c r="AX1004" s="38"/>
      <c r="AY1004" s="38"/>
      <c r="AZ1004" s="38"/>
      <c r="BA1004" s="38"/>
      <c r="BB1004" s="38"/>
      <c r="BC1004" s="38"/>
      <c r="BD1004" s="38"/>
      <c r="BE1004" s="38"/>
      <c r="BF1004" s="38"/>
      <c r="BG1004" s="38"/>
      <c r="BH1004" s="38"/>
      <c r="BI1004" s="38"/>
      <c r="BJ1004" s="38"/>
      <c r="BK1004" s="38"/>
      <c r="BL1004" s="38"/>
      <c r="BM1004" s="38"/>
      <c r="BN1004" s="38"/>
      <c r="BO1004" s="38"/>
      <c r="BP1004" s="38"/>
      <c r="BQ1004" s="38"/>
    </row>
    <row r="1005">
      <c r="A1005" s="58"/>
      <c r="B1005" s="341"/>
      <c r="C1005" s="60"/>
      <c r="D1005" s="60"/>
      <c r="E1005" s="58"/>
      <c r="F1005" s="58"/>
      <c r="G1005" s="58"/>
      <c r="H1005" s="33" t="str">
        <f t="shared" si="33"/>
        <v/>
      </c>
      <c r="I1005" s="58"/>
      <c r="J1005" s="58"/>
      <c r="K1005" s="58"/>
      <c r="L1005" s="58"/>
      <c r="M1005" s="80"/>
      <c r="N1005" s="80"/>
      <c r="O1005" s="58"/>
      <c r="P1005" s="58"/>
      <c r="Q1005" s="84"/>
      <c r="R1005" s="62"/>
      <c r="S1005" s="37" t="str">
        <f>IFERROR(__xludf.DUMMYFUNCTION("if(not(iserror(index(split(C1005, "" ""),2))), index(split(C1005, "" ""),1),"""")"),"")</f>
        <v/>
      </c>
      <c r="T1005" s="315" t="str">
        <f>IFERROR(__xludf.DUMMYFUNCTION("if(S1005="""",C1005,if(not(iserror(index(split(C1005, "" ""),3))), index(split(C1005, "" ""),3),index(split(C1005, "" ""),2)))"),"")</f>
        <v/>
      </c>
      <c r="U1005" s="38" t="b">
        <f t="shared" si="34"/>
        <v>0</v>
      </c>
      <c r="V1005" s="38"/>
      <c r="W1005" s="40"/>
      <c r="X1005" s="40"/>
      <c r="Y1005" s="38"/>
      <c r="Z1005" s="38"/>
      <c r="AA1005" s="38"/>
      <c r="AB1005" s="38"/>
      <c r="AC1005" s="38"/>
      <c r="AD1005" s="38"/>
      <c r="AE1005" s="38"/>
      <c r="AF1005" s="38"/>
      <c r="AG1005" s="38"/>
      <c r="AH1005" s="38"/>
      <c r="AI1005" s="38"/>
      <c r="AJ1005" s="38"/>
      <c r="AK1005" s="38"/>
      <c r="AL1005" s="38"/>
      <c r="AM1005" s="38"/>
      <c r="AN1005" s="38"/>
      <c r="AO1005" s="38"/>
      <c r="AP1005" s="38"/>
      <c r="AQ1005" s="38"/>
      <c r="AR1005" s="38"/>
      <c r="AS1005" s="38"/>
      <c r="AT1005" s="38"/>
      <c r="AU1005" s="38"/>
      <c r="AV1005" s="38"/>
      <c r="AW1005" s="38"/>
      <c r="AX1005" s="38"/>
      <c r="AY1005" s="38"/>
      <c r="AZ1005" s="38"/>
      <c r="BA1005" s="38"/>
      <c r="BB1005" s="38"/>
      <c r="BC1005" s="38"/>
      <c r="BD1005" s="38"/>
      <c r="BE1005" s="38"/>
      <c r="BF1005" s="38"/>
      <c r="BG1005" s="38"/>
      <c r="BH1005" s="38"/>
      <c r="BI1005" s="38"/>
      <c r="BJ1005" s="38"/>
      <c r="BK1005" s="38"/>
      <c r="BL1005" s="38"/>
      <c r="BM1005" s="38"/>
      <c r="BN1005" s="38"/>
      <c r="BO1005" s="38"/>
      <c r="BP1005" s="38"/>
      <c r="BQ1005" s="38"/>
    </row>
    <row r="1006">
      <c r="A1006" s="58"/>
      <c r="B1006" s="341"/>
      <c r="C1006" s="60"/>
      <c r="D1006" s="60"/>
      <c r="E1006" s="58"/>
      <c r="F1006" s="58"/>
      <c r="G1006" s="58"/>
      <c r="H1006" s="33" t="str">
        <f t="shared" si="33"/>
        <v/>
      </c>
      <c r="I1006" s="58"/>
      <c r="J1006" s="58"/>
      <c r="K1006" s="58"/>
      <c r="L1006" s="58"/>
      <c r="M1006" s="80"/>
      <c r="N1006" s="77"/>
      <c r="O1006" s="58"/>
      <c r="P1006" s="58"/>
      <c r="Q1006" s="84"/>
      <c r="R1006" s="62"/>
      <c r="S1006" s="37" t="str">
        <f>IFERROR(__xludf.DUMMYFUNCTION("if(not(iserror(index(split(C1006, "" ""),2))), index(split(C1006, "" ""),1),"""")"),"")</f>
        <v/>
      </c>
      <c r="T1006" s="315" t="str">
        <f>IFERROR(__xludf.DUMMYFUNCTION("if(S1006="""",C1006,if(not(iserror(index(split(C1006, "" ""),3))), index(split(C1006, "" ""),3),index(split(C1006, "" ""),2)))"),"")</f>
        <v/>
      </c>
      <c r="U1006" s="38" t="b">
        <f t="shared" si="34"/>
        <v>0</v>
      </c>
      <c r="V1006" s="38"/>
      <c r="W1006" s="40"/>
      <c r="X1006" s="40"/>
      <c r="Y1006" s="38"/>
      <c r="Z1006" s="38"/>
      <c r="AA1006" s="38"/>
      <c r="AB1006" s="38"/>
      <c r="AC1006" s="38"/>
      <c r="AD1006" s="38"/>
      <c r="AE1006" s="38"/>
      <c r="AF1006" s="38"/>
      <c r="AG1006" s="38"/>
      <c r="AH1006" s="38"/>
      <c r="AI1006" s="38"/>
      <c r="AJ1006" s="38"/>
      <c r="AK1006" s="38"/>
      <c r="AL1006" s="38"/>
      <c r="AM1006" s="38"/>
      <c r="AN1006" s="38"/>
      <c r="AO1006" s="38"/>
      <c r="AP1006" s="38"/>
      <c r="AQ1006" s="38"/>
      <c r="AR1006" s="38"/>
      <c r="AS1006" s="38"/>
      <c r="AT1006" s="38"/>
      <c r="AU1006" s="38"/>
      <c r="AV1006" s="38"/>
      <c r="AW1006" s="38"/>
      <c r="AX1006" s="38"/>
      <c r="AY1006" s="38"/>
      <c r="AZ1006" s="38"/>
      <c r="BA1006" s="38"/>
      <c r="BB1006" s="38"/>
      <c r="BC1006" s="38"/>
      <c r="BD1006" s="38"/>
      <c r="BE1006" s="38"/>
      <c r="BF1006" s="38"/>
      <c r="BG1006" s="38"/>
      <c r="BH1006" s="38"/>
      <c r="BI1006" s="38"/>
      <c r="BJ1006" s="38"/>
      <c r="BK1006" s="38"/>
      <c r="BL1006" s="38"/>
      <c r="BM1006" s="38"/>
      <c r="BN1006" s="38"/>
      <c r="BO1006" s="38"/>
      <c r="BP1006" s="38"/>
      <c r="BQ1006" s="38"/>
    </row>
    <row r="1007">
      <c r="A1007" s="91"/>
      <c r="B1007" s="383"/>
      <c r="C1007" s="146"/>
      <c r="D1007" s="146"/>
      <c r="E1007" s="91"/>
      <c r="F1007" s="91"/>
      <c r="G1007" s="91"/>
      <c r="H1007" s="33" t="str">
        <f t="shared" si="33"/>
        <v/>
      </c>
      <c r="I1007" s="91"/>
      <c r="J1007" s="91"/>
      <c r="K1007" s="91"/>
      <c r="L1007" s="91"/>
      <c r="M1007" s="95"/>
      <c r="N1007" s="95"/>
      <c r="O1007" s="58"/>
      <c r="P1007" s="58"/>
      <c r="Q1007" s="84"/>
      <c r="R1007" s="62"/>
      <c r="S1007" s="37" t="str">
        <f>IFERROR(__xludf.DUMMYFUNCTION("if(not(iserror(index(split(C1007, "" ""),2))), index(split(C1007, "" ""),1),"""")"),"")</f>
        <v/>
      </c>
      <c r="T1007" s="315" t="str">
        <f>IFERROR(__xludf.DUMMYFUNCTION("if(S1007="""",C1007,if(not(iserror(index(split(C1007, "" ""),3))), index(split(C1007, "" ""),3),index(split(C1007, "" ""),2)))"),"")</f>
        <v/>
      </c>
      <c r="U1007" s="38" t="b">
        <f t="shared" si="34"/>
        <v>0</v>
      </c>
      <c r="V1007" s="38"/>
      <c r="W1007" s="40"/>
      <c r="X1007" s="40"/>
      <c r="Y1007" s="38"/>
      <c r="Z1007" s="38"/>
      <c r="AA1007" s="38"/>
      <c r="AB1007" s="38"/>
      <c r="AC1007" s="38"/>
      <c r="AD1007" s="38"/>
      <c r="AE1007" s="38"/>
      <c r="AF1007" s="38"/>
      <c r="AG1007" s="38"/>
      <c r="AH1007" s="38"/>
      <c r="AI1007" s="38"/>
      <c r="AJ1007" s="38"/>
      <c r="AK1007" s="38"/>
      <c r="AL1007" s="38"/>
      <c r="AM1007" s="38"/>
      <c r="AN1007" s="38"/>
      <c r="AO1007" s="38"/>
      <c r="AP1007" s="38"/>
      <c r="AQ1007" s="38"/>
      <c r="AR1007" s="38"/>
      <c r="AS1007" s="38"/>
      <c r="AT1007" s="38"/>
      <c r="AU1007" s="38"/>
      <c r="AV1007" s="38"/>
      <c r="AW1007" s="38"/>
      <c r="AX1007" s="38"/>
      <c r="AY1007" s="38"/>
      <c r="AZ1007" s="38"/>
      <c r="BA1007" s="38"/>
      <c r="BB1007" s="38"/>
      <c r="BC1007" s="38"/>
      <c r="BD1007" s="38"/>
      <c r="BE1007" s="38"/>
      <c r="BF1007" s="38"/>
      <c r="BG1007" s="38"/>
      <c r="BH1007" s="38"/>
      <c r="BI1007" s="38"/>
      <c r="BJ1007" s="38"/>
      <c r="BK1007" s="38"/>
      <c r="BL1007" s="38"/>
      <c r="BM1007" s="38"/>
      <c r="BN1007" s="38"/>
      <c r="BO1007" s="38"/>
      <c r="BP1007" s="38"/>
      <c r="BQ1007" s="38"/>
    </row>
    <row r="1008">
      <c r="A1008" s="58"/>
      <c r="B1008" s="341"/>
      <c r="C1008" s="60"/>
      <c r="D1008" s="60"/>
      <c r="E1008" s="58"/>
      <c r="F1008" s="58"/>
      <c r="G1008" s="58"/>
      <c r="H1008" s="33" t="str">
        <f t="shared" si="33"/>
        <v/>
      </c>
      <c r="I1008" s="58"/>
      <c r="J1008" s="58"/>
      <c r="K1008" s="58"/>
      <c r="L1008" s="58"/>
      <c r="M1008" s="80"/>
      <c r="N1008" s="77"/>
      <c r="O1008" s="62"/>
      <c r="P1008" s="62"/>
      <c r="Q1008" s="62"/>
      <c r="R1008" s="62"/>
      <c r="S1008" s="37" t="str">
        <f>IFERROR(__xludf.DUMMYFUNCTION("if(not(iserror(index(split(C1008, "" ""),2))), index(split(C1008, "" ""),1),"""")"),"")</f>
        <v/>
      </c>
      <c r="T1008" s="315" t="str">
        <f>IFERROR(__xludf.DUMMYFUNCTION("if(S1008="""",C1008,if(not(iserror(index(split(C1008, "" ""),3))), index(split(C1008, "" ""),3),index(split(C1008, "" ""),2)))"),"")</f>
        <v/>
      </c>
      <c r="U1008" s="38" t="b">
        <f t="shared" si="34"/>
        <v>0</v>
      </c>
      <c r="V1008" s="38"/>
      <c r="W1008" s="40"/>
      <c r="X1008" s="40"/>
      <c r="Y1008" s="38"/>
      <c r="Z1008" s="38"/>
      <c r="AA1008" s="38"/>
      <c r="AB1008" s="38"/>
      <c r="AC1008" s="38"/>
      <c r="AD1008" s="38"/>
      <c r="AE1008" s="38"/>
      <c r="AF1008" s="38"/>
      <c r="AG1008" s="38"/>
      <c r="AH1008" s="38"/>
      <c r="AI1008" s="38"/>
      <c r="AJ1008" s="38"/>
      <c r="AK1008" s="38"/>
      <c r="AL1008" s="38"/>
      <c r="AM1008" s="38"/>
      <c r="AN1008" s="38"/>
      <c r="AO1008" s="38"/>
      <c r="AP1008" s="38"/>
      <c r="AQ1008" s="38"/>
      <c r="AR1008" s="38"/>
      <c r="AS1008" s="38"/>
      <c r="AT1008" s="38"/>
      <c r="AU1008" s="38"/>
      <c r="AV1008" s="38"/>
      <c r="AW1008" s="38"/>
      <c r="AX1008" s="38"/>
      <c r="AY1008" s="38"/>
      <c r="AZ1008" s="38"/>
      <c r="BA1008" s="38"/>
      <c r="BB1008" s="38"/>
      <c r="BC1008" s="38"/>
      <c r="BD1008" s="38"/>
      <c r="BE1008" s="38"/>
      <c r="BF1008" s="38"/>
      <c r="BG1008" s="38"/>
      <c r="BH1008" s="38"/>
      <c r="BI1008" s="38"/>
      <c r="BJ1008" s="38"/>
      <c r="BK1008" s="38"/>
      <c r="BL1008" s="38"/>
      <c r="BM1008" s="38"/>
      <c r="BN1008" s="38"/>
      <c r="BO1008" s="38"/>
      <c r="BP1008" s="38"/>
      <c r="BQ1008" s="38"/>
    </row>
    <row r="1009">
      <c r="A1009" s="58"/>
      <c r="B1009" s="341"/>
      <c r="C1009" s="60"/>
      <c r="D1009" s="60"/>
      <c r="E1009" s="58"/>
      <c r="F1009" s="58"/>
      <c r="G1009" s="58"/>
      <c r="H1009" s="33" t="str">
        <f t="shared" si="33"/>
        <v/>
      </c>
      <c r="I1009" s="58"/>
      <c r="J1009" s="58"/>
      <c r="K1009" s="58"/>
      <c r="L1009" s="58"/>
      <c r="M1009" s="80"/>
      <c r="N1009" s="77"/>
      <c r="O1009" s="62"/>
      <c r="P1009" s="62"/>
      <c r="Q1009" s="62"/>
      <c r="R1009" s="62"/>
      <c r="S1009" s="37" t="str">
        <f>IFERROR(__xludf.DUMMYFUNCTION("if(not(iserror(index(split(C1009, "" ""),2))), index(split(C1009, "" ""),1),"""")"),"")</f>
        <v/>
      </c>
      <c r="T1009" s="315" t="str">
        <f>IFERROR(__xludf.DUMMYFUNCTION("if(S1009="""",C1009,if(not(iserror(index(split(C1009, "" ""),3))), index(split(C1009, "" ""),3),index(split(C1009, "" ""),2)))"),"")</f>
        <v/>
      </c>
      <c r="U1009" s="38" t="b">
        <f t="shared" si="34"/>
        <v>0</v>
      </c>
      <c r="V1009" s="38"/>
      <c r="W1009" s="40"/>
      <c r="X1009" s="40"/>
      <c r="Y1009" s="38"/>
      <c r="Z1009" s="38"/>
      <c r="AA1009" s="38"/>
      <c r="AB1009" s="38"/>
      <c r="AC1009" s="38"/>
      <c r="AD1009" s="38"/>
      <c r="AE1009" s="38"/>
      <c r="AF1009" s="38"/>
      <c r="AG1009" s="38"/>
      <c r="AH1009" s="38"/>
      <c r="AI1009" s="38"/>
      <c r="AJ1009" s="38"/>
      <c r="AK1009" s="38"/>
      <c r="AL1009" s="38"/>
      <c r="AM1009" s="38"/>
      <c r="AN1009" s="38"/>
      <c r="AO1009" s="38"/>
      <c r="AP1009" s="38"/>
      <c r="AQ1009" s="38"/>
      <c r="AR1009" s="38"/>
      <c r="AS1009" s="38"/>
      <c r="AT1009" s="38"/>
      <c r="AU1009" s="38"/>
      <c r="AV1009" s="38"/>
      <c r="AW1009" s="38"/>
      <c r="AX1009" s="38"/>
      <c r="AY1009" s="38"/>
      <c r="AZ1009" s="38"/>
      <c r="BA1009" s="38"/>
      <c r="BB1009" s="38"/>
      <c r="BC1009" s="38"/>
      <c r="BD1009" s="38"/>
      <c r="BE1009" s="38"/>
      <c r="BF1009" s="38"/>
      <c r="BG1009" s="38"/>
      <c r="BH1009" s="38"/>
      <c r="BI1009" s="38"/>
      <c r="BJ1009" s="38"/>
      <c r="BK1009" s="38"/>
      <c r="BL1009" s="38"/>
      <c r="BM1009" s="38"/>
      <c r="BN1009" s="38"/>
      <c r="BO1009" s="38"/>
      <c r="BP1009" s="38"/>
      <c r="BQ1009" s="38"/>
    </row>
    <row r="1010">
      <c r="A1010" s="58"/>
      <c r="B1010" s="341"/>
      <c r="C1010" s="60"/>
      <c r="D1010" s="60"/>
      <c r="E1010" s="58"/>
      <c r="F1010" s="58"/>
      <c r="G1010" s="58"/>
      <c r="H1010" s="33" t="str">
        <f t="shared" si="33"/>
        <v/>
      </c>
      <c r="I1010" s="58"/>
      <c r="J1010" s="58"/>
      <c r="K1010" s="58"/>
      <c r="L1010" s="58"/>
      <c r="M1010" s="80"/>
      <c r="N1010" s="77"/>
      <c r="O1010" s="62"/>
      <c r="P1010" s="62"/>
      <c r="Q1010" s="62"/>
      <c r="R1010" s="62"/>
      <c r="S1010" s="37" t="str">
        <f>IFERROR(__xludf.DUMMYFUNCTION("if(not(iserror(index(split(C1010, "" ""),2))), index(split(C1010, "" ""),1),"""")"),"")</f>
        <v/>
      </c>
      <c r="T1010" s="315" t="str">
        <f>IFERROR(__xludf.DUMMYFUNCTION("if(S1010="""",C1010,if(not(iserror(index(split(C1010, "" ""),3))), index(split(C1010, "" ""),3),index(split(C1010, "" ""),2)))"),"")</f>
        <v/>
      </c>
      <c r="U1010" s="38" t="b">
        <f t="shared" si="34"/>
        <v>0</v>
      </c>
      <c r="V1010" s="38"/>
      <c r="W1010" s="40"/>
      <c r="X1010" s="40"/>
      <c r="Y1010" s="38"/>
      <c r="Z1010" s="38"/>
      <c r="AA1010" s="38"/>
      <c r="AB1010" s="38"/>
      <c r="AC1010" s="38"/>
      <c r="AD1010" s="38"/>
      <c r="AE1010" s="38"/>
      <c r="AF1010" s="38"/>
      <c r="AG1010" s="38"/>
      <c r="AH1010" s="38"/>
      <c r="AI1010" s="38"/>
      <c r="AJ1010" s="38"/>
      <c r="AK1010" s="38"/>
      <c r="AL1010" s="38"/>
      <c r="AM1010" s="38"/>
      <c r="AN1010" s="38"/>
      <c r="AO1010" s="38"/>
      <c r="AP1010" s="38"/>
      <c r="AQ1010" s="38"/>
      <c r="AR1010" s="38"/>
      <c r="AS1010" s="38"/>
      <c r="AT1010" s="38"/>
      <c r="AU1010" s="38"/>
      <c r="AV1010" s="38"/>
      <c r="AW1010" s="38"/>
      <c r="AX1010" s="38"/>
      <c r="AY1010" s="38"/>
      <c r="AZ1010" s="38"/>
      <c r="BA1010" s="38"/>
      <c r="BB1010" s="38"/>
      <c r="BC1010" s="38"/>
      <c r="BD1010" s="38"/>
      <c r="BE1010" s="38"/>
      <c r="BF1010" s="38"/>
      <c r="BG1010" s="38"/>
      <c r="BH1010" s="38"/>
      <c r="BI1010" s="38"/>
      <c r="BJ1010" s="38"/>
      <c r="BK1010" s="38"/>
      <c r="BL1010" s="38"/>
      <c r="BM1010" s="38"/>
      <c r="BN1010" s="38"/>
      <c r="BO1010" s="38"/>
      <c r="BP1010" s="38"/>
      <c r="BQ1010" s="38"/>
    </row>
    <row r="1011">
      <c r="A1011" s="58"/>
      <c r="B1011" s="341"/>
      <c r="C1011" s="60"/>
      <c r="D1011" s="60"/>
      <c r="E1011" s="58"/>
      <c r="F1011" s="58"/>
      <c r="G1011" s="58"/>
      <c r="H1011" s="33" t="str">
        <f t="shared" si="33"/>
        <v/>
      </c>
      <c r="I1011" s="58"/>
      <c r="J1011" s="58"/>
      <c r="K1011" s="58"/>
      <c r="L1011" s="58"/>
      <c r="M1011" s="80"/>
      <c r="N1011" s="77"/>
      <c r="O1011" s="62"/>
      <c r="P1011" s="62"/>
      <c r="Q1011" s="62"/>
      <c r="R1011" s="62"/>
      <c r="S1011" s="37" t="str">
        <f>IFERROR(__xludf.DUMMYFUNCTION("if(not(iserror(index(split(C1011, "" ""),2))), index(split(C1011, "" ""),1),"""")"),"")</f>
        <v/>
      </c>
      <c r="T1011" s="315" t="str">
        <f>IFERROR(__xludf.DUMMYFUNCTION("if(S1011="""",C1011,if(not(iserror(index(split(C1011, "" ""),3))), index(split(C1011, "" ""),3),index(split(C1011, "" ""),2)))"),"")</f>
        <v/>
      </c>
      <c r="U1011" s="38" t="b">
        <f t="shared" si="34"/>
        <v>0</v>
      </c>
      <c r="V1011" s="38"/>
      <c r="W1011" s="40"/>
      <c r="X1011" s="40"/>
      <c r="Y1011" s="38"/>
      <c r="Z1011" s="38"/>
      <c r="AA1011" s="38"/>
      <c r="AB1011" s="38"/>
      <c r="AC1011" s="38"/>
      <c r="AD1011" s="38"/>
      <c r="AE1011" s="38"/>
      <c r="AF1011" s="38"/>
      <c r="AG1011" s="38"/>
      <c r="AH1011" s="38"/>
      <c r="AI1011" s="38"/>
      <c r="AJ1011" s="38"/>
      <c r="AK1011" s="38"/>
      <c r="AL1011" s="38"/>
      <c r="AM1011" s="38"/>
      <c r="AN1011" s="38"/>
      <c r="AO1011" s="38"/>
      <c r="AP1011" s="38"/>
      <c r="AQ1011" s="38"/>
      <c r="AR1011" s="38"/>
      <c r="AS1011" s="38"/>
      <c r="AT1011" s="38"/>
      <c r="AU1011" s="38"/>
      <c r="AV1011" s="38"/>
      <c r="AW1011" s="38"/>
      <c r="AX1011" s="38"/>
      <c r="AY1011" s="38"/>
      <c r="AZ1011" s="38"/>
      <c r="BA1011" s="38"/>
      <c r="BB1011" s="38"/>
      <c r="BC1011" s="38"/>
      <c r="BD1011" s="38"/>
      <c r="BE1011" s="38"/>
      <c r="BF1011" s="38"/>
      <c r="BG1011" s="38"/>
      <c r="BH1011" s="38"/>
      <c r="BI1011" s="38"/>
      <c r="BJ1011" s="38"/>
      <c r="BK1011" s="38"/>
      <c r="BL1011" s="38"/>
      <c r="BM1011" s="38"/>
      <c r="BN1011" s="38"/>
      <c r="BO1011" s="38"/>
      <c r="BP1011" s="38"/>
      <c r="BQ1011" s="38"/>
    </row>
    <row r="1012">
      <c r="A1012" s="58"/>
      <c r="B1012" s="341"/>
      <c r="C1012" s="60"/>
      <c r="D1012" s="60"/>
      <c r="E1012" s="58"/>
      <c r="F1012" s="58"/>
      <c r="G1012" s="58"/>
      <c r="H1012" s="33" t="str">
        <f t="shared" si="33"/>
        <v/>
      </c>
      <c r="I1012" s="58"/>
      <c r="J1012" s="58"/>
      <c r="K1012" s="58"/>
      <c r="L1012" s="58"/>
      <c r="M1012" s="80"/>
      <c r="N1012" s="77"/>
      <c r="O1012" s="62"/>
      <c r="P1012" s="62"/>
      <c r="Q1012" s="62"/>
      <c r="R1012" s="62"/>
      <c r="S1012" s="37" t="str">
        <f>IFERROR(__xludf.DUMMYFUNCTION("if(not(iserror(index(split(C1012, "" ""),2))), index(split(C1012, "" ""),1),"""")"),"")</f>
        <v/>
      </c>
      <c r="T1012" s="315" t="str">
        <f>IFERROR(__xludf.DUMMYFUNCTION("if(S1012="""",C1012,if(not(iserror(index(split(C1012, "" ""),3))), index(split(C1012, "" ""),3),index(split(C1012, "" ""),2)))"),"")</f>
        <v/>
      </c>
      <c r="U1012" s="38" t="b">
        <f t="shared" si="34"/>
        <v>0</v>
      </c>
      <c r="V1012" s="38"/>
      <c r="W1012" s="40"/>
      <c r="X1012" s="40"/>
      <c r="Y1012" s="38"/>
      <c r="Z1012" s="38"/>
      <c r="AA1012" s="38"/>
      <c r="AB1012" s="38"/>
      <c r="AC1012" s="38"/>
      <c r="AD1012" s="38"/>
      <c r="AE1012" s="38"/>
      <c r="AF1012" s="38"/>
      <c r="AG1012" s="38"/>
      <c r="AH1012" s="38"/>
      <c r="AI1012" s="38"/>
      <c r="AJ1012" s="38"/>
      <c r="AK1012" s="38"/>
      <c r="AL1012" s="38"/>
      <c r="AM1012" s="38"/>
      <c r="AN1012" s="38"/>
      <c r="AO1012" s="38"/>
      <c r="AP1012" s="38"/>
      <c r="AQ1012" s="38"/>
      <c r="AR1012" s="38"/>
      <c r="AS1012" s="38"/>
      <c r="AT1012" s="38"/>
      <c r="AU1012" s="38"/>
      <c r="AV1012" s="38"/>
      <c r="AW1012" s="38"/>
      <c r="AX1012" s="38"/>
      <c r="AY1012" s="38"/>
      <c r="AZ1012" s="38"/>
      <c r="BA1012" s="38"/>
      <c r="BB1012" s="38"/>
      <c r="BC1012" s="38"/>
      <c r="BD1012" s="38"/>
      <c r="BE1012" s="38"/>
      <c r="BF1012" s="38"/>
      <c r="BG1012" s="38"/>
      <c r="BH1012" s="38"/>
      <c r="BI1012" s="38"/>
      <c r="BJ1012" s="38"/>
      <c r="BK1012" s="38"/>
      <c r="BL1012" s="38"/>
      <c r="BM1012" s="38"/>
      <c r="BN1012" s="38"/>
      <c r="BO1012" s="38"/>
      <c r="BP1012" s="38"/>
      <c r="BQ1012" s="38"/>
    </row>
    <row r="1013">
      <c r="A1013" s="58"/>
      <c r="B1013" s="341"/>
      <c r="C1013" s="60"/>
      <c r="D1013" s="60"/>
      <c r="E1013" s="58"/>
      <c r="F1013" s="58"/>
      <c r="G1013" s="58"/>
      <c r="H1013" s="33" t="str">
        <f t="shared" si="33"/>
        <v/>
      </c>
      <c r="I1013" s="58"/>
      <c r="J1013" s="58"/>
      <c r="K1013" s="58"/>
      <c r="L1013" s="58"/>
      <c r="M1013" s="14"/>
      <c r="N1013" s="77"/>
      <c r="O1013" s="62"/>
      <c r="P1013" s="62"/>
      <c r="Q1013" s="62"/>
      <c r="R1013" s="62"/>
      <c r="S1013" s="37" t="str">
        <f>IFERROR(__xludf.DUMMYFUNCTION("if(not(iserror(index(split(C1013, "" ""),2))), index(split(C1013, "" ""),1),"""")"),"")</f>
        <v/>
      </c>
      <c r="T1013" s="315" t="str">
        <f>IFERROR(__xludf.DUMMYFUNCTION("if(S1013="""",C1013,if(not(iserror(index(split(C1013, "" ""),3))), index(split(C1013, "" ""),3),index(split(C1013, "" ""),2)))"),"")</f>
        <v/>
      </c>
      <c r="U1013" s="38" t="b">
        <f t="shared" si="34"/>
        <v>0</v>
      </c>
      <c r="V1013" s="38"/>
      <c r="W1013" s="40"/>
      <c r="X1013" s="40"/>
      <c r="Y1013" s="38"/>
      <c r="Z1013" s="38"/>
      <c r="AA1013" s="38"/>
      <c r="AB1013" s="38"/>
      <c r="AC1013" s="38"/>
      <c r="AD1013" s="38"/>
      <c r="AE1013" s="38"/>
      <c r="AF1013" s="38"/>
      <c r="AG1013" s="38"/>
      <c r="AH1013" s="38"/>
      <c r="AI1013" s="38"/>
      <c r="AJ1013" s="38"/>
      <c r="AK1013" s="38"/>
      <c r="AL1013" s="38"/>
      <c r="AM1013" s="38"/>
      <c r="AN1013" s="38"/>
      <c r="AO1013" s="38"/>
      <c r="AP1013" s="38"/>
      <c r="AQ1013" s="38"/>
      <c r="AR1013" s="38"/>
      <c r="AS1013" s="38"/>
      <c r="AT1013" s="38"/>
      <c r="AU1013" s="38"/>
      <c r="AV1013" s="38"/>
      <c r="AW1013" s="38"/>
      <c r="AX1013" s="38"/>
      <c r="AY1013" s="38"/>
      <c r="AZ1013" s="38"/>
      <c r="BA1013" s="38"/>
      <c r="BB1013" s="38"/>
      <c r="BC1013" s="38"/>
      <c r="BD1013" s="38"/>
      <c r="BE1013" s="38"/>
      <c r="BF1013" s="38"/>
      <c r="BG1013" s="38"/>
      <c r="BH1013" s="38"/>
      <c r="BI1013" s="38"/>
      <c r="BJ1013" s="38"/>
      <c r="BK1013" s="38"/>
      <c r="BL1013" s="38"/>
      <c r="BM1013" s="38"/>
      <c r="BN1013" s="38"/>
      <c r="BO1013" s="38"/>
      <c r="BP1013" s="38"/>
      <c r="BQ1013" s="38"/>
    </row>
    <row r="1014">
      <c r="A1014" s="58"/>
      <c r="B1014" s="341"/>
      <c r="C1014" s="60"/>
      <c r="D1014" s="60"/>
      <c r="E1014" s="58"/>
      <c r="F1014" s="58"/>
      <c r="G1014" s="58"/>
      <c r="H1014" s="33" t="str">
        <f t="shared" si="33"/>
        <v/>
      </c>
      <c r="I1014" s="58"/>
      <c r="J1014" s="58"/>
      <c r="K1014" s="58"/>
      <c r="L1014" s="58"/>
      <c r="M1014" s="80"/>
      <c r="N1014" s="77"/>
      <c r="O1014" s="58"/>
      <c r="P1014" s="58"/>
      <c r="Q1014" s="84"/>
      <c r="R1014" s="62"/>
      <c r="S1014" s="37" t="str">
        <f>IFERROR(__xludf.DUMMYFUNCTION("if(not(iserror(index(split(C1014, "" ""),2))), index(split(C1014, "" ""),1),"""")"),"")</f>
        <v/>
      </c>
      <c r="T1014" s="315" t="str">
        <f>IFERROR(__xludf.DUMMYFUNCTION("if(S1014="""",C1014,if(not(iserror(index(split(C1014, "" ""),3))), index(split(C1014, "" ""),3),index(split(C1014, "" ""),2)))"),"")</f>
        <v/>
      </c>
      <c r="U1014" s="38" t="b">
        <f t="shared" si="34"/>
        <v>0</v>
      </c>
      <c r="V1014" s="38"/>
      <c r="W1014" s="40"/>
      <c r="X1014" s="40"/>
      <c r="Y1014" s="38"/>
      <c r="Z1014" s="38"/>
      <c r="AA1014" s="38"/>
      <c r="AB1014" s="38"/>
      <c r="AC1014" s="38"/>
      <c r="AD1014" s="38"/>
      <c r="AE1014" s="38"/>
      <c r="AF1014" s="38"/>
      <c r="AG1014" s="38"/>
      <c r="AH1014" s="38"/>
      <c r="AI1014" s="38"/>
      <c r="AJ1014" s="38"/>
      <c r="AK1014" s="38"/>
      <c r="AL1014" s="38"/>
      <c r="AM1014" s="38"/>
      <c r="AN1014" s="38"/>
      <c r="AO1014" s="38"/>
      <c r="AP1014" s="38"/>
      <c r="AQ1014" s="38"/>
      <c r="AR1014" s="38"/>
      <c r="AS1014" s="38"/>
      <c r="AT1014" s="38"/>
      <c r="AU1014" s="38"/>
      <c r="AV1014" s="38"/>
      <c r="AW1014" s="38"/>
      <c r="AX1014" s="38"/>
      <c r="AY1014" s="38"/>
      <c r="AZ1014" s="38"/>
      <c r="BA1014" s="38"/>
      <c r="BB1014" s="38"/>
      <c r="BC1014" s="38"/>
      <c r="BD1014" s="38"/>
      <c r="BE1014" s="38"/>
      <c r="BF1014" s="38"/>
      <c r="BG1014" s="38"/>
      <c r="BH1014" s="38"/>
      <c r="BI1014" s="38"/>
      <c r="BJ1014" s="38"/>
      <c r="BK1014" s="38"/>
      <c r="BL1014" s="38"/>
      <c r="BM1014" s="38"/>
      <c r="BN1014" s="38"/>
      <c r="BO1014" s="38"/>
      <c r="BP1014" s="38"/>
      <c r="BQ1014" s="38"/>
    </row>
    <row r="1015">
      <c r="A1015" s="91"/>
      <c r="B1015" s="383"/>
      <c r="C1015" s="146"/>
      <c r="D1015" s="146"/>
      <c r="E1015" s="91"/>
      <c r="F1015" s="91"/>
      <c r="G1015" s="91"/>
      <c r="H1015" s="33" t="str">
        <f t="shared" si="33"/>
        <v/>
      </c>
      <c r="I1015" s="91"/>
      <c r="J1015" s="91"/>
      <c r="K1015" s="91"/>
      <c r="L1015" s="91"/>
      <c r="M1015" s="95"/>
      <c r="N1015" s="14"/>
      <c r="O1015" s="58"/>
      <c r="P1015" s="58"/>
      <c r="Q1015" s="84"/>
      <c r="R1015" s="62"/>
      <c r="S1015" s="37" t="str">
        <f>IFERROR(__xludf.DUMMYFUNCTION("if(not(iserror(index(split(C1015, "" ""),2))), index(split(C1015, "" ""),1),"""")"),"")</f>
        <v/>
      </c>
      <c r="T1015" s="315" t="str">
        <f>IFERROR(__xludf.DUMMYFUNCTION("if(S1015="""",C1015,if(not(iserror(index(split(C1015, "" ""),3))), index(split(C1015, "" ""),3),index(split(C1015, "" ""),2)))"),"")</f>
        <v/>
      </c>
      <c r="U1015" s="38" t="b">
        <f t="shared" si="34"/>
        <v>0</v>
      </c>
      <c r="V1015" s="38"/>
      <c r="W1015" s="40"/>
      <c r="X1015" s="40"/>
      <c r="Y1015" s="38"/>
      <c r="Z1015" s="38"/>
      <c r="AA1015" s="38"/>
      <c r="AB1015" s="38"/>
      <c r="AC1015" s="38"/>
      <c r="AD1015" s="38"/>
      <c r="AE1015" s="38"/>
      <c r="AF1015" s="38"/>
      <c r="AG1015" s="38"/>
      <c r="AH1015" s="38"/>
      <c r="AI1015" s="38"/>
      <c r="AJ1015" s="38"/>
      <c r="AK1015" s="38"/>
      <c r="AL1015" s="38"/>
      <c r="AM1015" s="38"/>
      <c r="AN1015" s="38"/>
      <c r="AO1015" s="38"/>
      <c r="AP1015" s="38"/>
      <c r="AQ1015" s="38"/>
      <c r="AR1015" s="38"/>
      <c r="AS1015" s="38"/>
      <c r="AT1015" s="38"/>
      <c r="AU1015" s="38"/>
      <c r="AV1015" s="38"/>
      <c r="AW1015" s="38"/>
      <c r="AX1015" s="38"/>
      <c r="AY1015" s="38"/>
      <c r="AZ1015" s="38"/>
      <c r="BA1015" s="38"/>
      <c r="BB1015" s="38"/>
      <c r="BC1015" s="38"/>
      <c r="BD1015" s="38"/>
      <c r="BE1015" s="38"/>
      <c r="BF1015" s="38"/>
      <c r="BG1015" s="38"/>
      <c r="BH1015" s="38"/>
      <c r="BI1015" s="38"/>
      <c r="BJ1015" s="38"/>
      <c r="BK1015" s="38"/>
      <c r="BL1015" s="38"/>
      <c r="BM1015" s="38"/>
      <c r="BN1015" s="38"/>
      <c r="BO1015" s="38"/>
      <c r="BP1015" s="38"/>
      <c r="BQ1015" s="38"/>
    </row>
    <row r="1016">
      <c r="A1016" s="58"/>
      <c r="B1016" s="341"/>
      <c r="C1016" s="60"/>
      <c r="D1016" s="60"/>
      <c r="E1016" s="58"/>
      <c r="F1016" s="58"/>
      <c r="G1016" s="58"/>
      <c r="H1016" s="33" t="str">
        <f t="shared" si="33"/>
        <v/>
      </c>
      <c r="I1016" s="58"/>
      <c r="J1016" s="58"/>
      <c r="K1016" s="58"/>
      <c r="L1016" s="58"/>
      <c r="M1016" s="80"/>
      <c r="N1016" s="80"/>
      <c r="O1016" s="62"/>
      <c r="P1016" s="62"/>
      <c r="Q1016" s="84"/>
      <c r="R1016" s="62"/>
      <c r="S1016" s="37" t="str">
        <f>IFERROR(__xludf.DUMMYFUNCTION("if(not(iserror(index(split(C1016, "" ""),2))), index(split(C1016, "" ""),1),"""")"),"")</f>
        <v/>
      </c>
      <c r="T1016" s="315" t="str">
        <f>IFERROR(__xludf.DUMMYFUNCTION("if(S1016="""",C1016,if(not(iserror(index(split(C1016, "" ""),3))), index(split(C1016, "" ""),3),index(split(C1016, "" ""),2)))"),"")</f>
        <v/>
      </c>
      <c r="U1016" s="38" t="b">
        <f t="shared" si="34"/>
        <v>0</v>
      </c>
      <c r="V1016" s="38"/>
      <c r="W1016" s="40"/>
      <c r="X1016" s="40"/>
      <c r="Y1016" s="38"/>
      <c r="Z1016" s="38"/>
      <c r="AA1016" s="38"/>
      <c r="AB1016" s="38"/>
      <c r="AC1016" s="38"/>
      <c r="AD1016" s="38"/>
      <c r="AE1016" s="38"/>
      <c r="AF1016" s="38"/>
      <c r="AG1016" s="38"/>
      <c r="AH1016" s="38"/>
      <c r="AI1016" s="38"/>
      <c r="AJ1016" s="38"/>
      <c r="AK1016" s="38"/>
      <c r="AL1016" s="38"/>
      <c r="AM1016" s="38"/>
      <c r="AN1016" s="38"/>
      <c r="AO1016" s="38"/>
      <c r="AP1016" s="38"/>
      <c r="AQ1016" s="38"/>
      <c r="AR1016" s="38"/>
      <c r="AS1016" s="38"/>
      <c r="AT1016" s="38"/>
      <c r="AU1016" s="38"/>
      <c r="AV1016" s="38"/>
      <c r="AW1016" s="38"/>
      <c r="AX1016" s="38"/>
      <c r="AY1016" s="38"/>
      <c r="AZ1016" s="38"/>
      <c r="BA1016" s="38"/>
      <c r="BB1016" s="38"/>
      <c r="BC1016" s="38"/>
      <c r="BD1016" s="38"/>
      <c r="BE1016" s="38"/>
      <c r="BF1016" s="38"/>
      <c r="BG1016" s="38"/>
      <c r="BH1016" s="38"/>
      <c r="BI1016" s="38"/>
      <c r="BJ1016" s="38"/>
      <c r="BK1016" s="38"/>
      <c r="BL1016" s="38"/>
      <c r="BM1016" s="38"/>
      <c r="BN1016" s="38"/>
      <c r="BO1016" s="38"/>
      <c r="BP1016" s="38"/>
      <c r="BQ1016" s="38"/>
    </row>
    <row r="1017">
      <c r="A1017" s="58"/>
      <c r="B1017" s="341"/>
      <c r="C1017" s="60"/>
      <c r="D1017" s="60"/>
      <c r="E1017" s="58"/>
      <c r="F1017" s="58"/>
      <c r="G1017" s="58"/>
      <c r="H1017" s="33" t="str">
        <f t="shared" si="33"/>
        <v/>
      </c>
      <c r="I1017" s="58"/>
      <c r="J1017" s="58"/>
      <c r="K1017" s="58"/>
      <c r="L1017" s="58"/>
      <c r="M1017" s="102"/>
      <c r="N1017" s="80"/>
      <c r="O1017" s="62"/>
      <c r="P1017" s="58"/>
      <c r="Q1017" s="58"/>
      <c r="R1017" s="62"/>
      <c r="S1017" s="37" t="str">
        <f>IFERROR(__xludf.DUMMYFUNCTION("if(not(iserror(index(split(C1017, "" ""),2))), index(split(C1017, "" ""),1),"""")"),"")</f>
        <v/>
      </c>
      <c r="T1017" s="315" t="str">
        <f>IFERROR(__xludf.DUMMYFUNCTION("if(S1017="""",C1017,if(not(iserror(index(split(C1017, "" ""),3))), index(split(C1017, "" ""),3),index(split(C1017, "" ""),2)))"),"")</f>
        <v/>
      </c>
      <c r="U1017" s="38" t="b">
        <f t="shared" si="34"/>
        <v>0</v>
      </c>
      <c r="V1017" s="38"/>
      <c r="W1017" s="40"/>
      <c r="X1017" s="40"/>
      <c r="Y1017" s="38"/>
      <c r="Z1017" s="38"/>
      <c r="AA1017" s="38"/>
      <c r="AB1017" s="38"/>
      <c r="AC1017" s="38"/>
      <c r="AD1017" s="38"/>
      <c r="AE1017" s="38"/>
      <c r="AF1017" s="38"/>
      <c r="AG1017" s="38"/>
      <c r="AH1017" s="38"/>
      <c r="AI1017" s="38"/>
      <c r="AJ1017" s="38"/>
      <c r="AK1017" s="38"/>
      <c r="AL1017" s="38"/>
      <c r="AM1017" s="38"/>
      <c r="AN1017" s="38"/>
      <c r="AO1017" s="38"/>
      <c r="AP1017" s="38"/>
      <c r="AQ1017" s="38"/>
      <c r="AR1017" s="38"/>
      <c r="AS1017" s="38"/>
      <c r="AT1017" s="38"/>
      <c r="AU1017" s="38"/>
      <c r="AV1017" s="38"/>
      <c r="AW1017" s="38"/>
      <c r="AX1017" s="38"/>
      <c r="AY1017" s="38"/>
      <c r="AZ1017" s="38"/>
      <c r="BA1017" s="38"/>
      <c r="BB1017" s="38"/>
      <c r="BC1017" s="38"/>
      <c r="BD1017" s="38"/>
      <c r="BE1017" s="38"/>
      <c r="BF1017" s="38"/>
      <c r="BG1017" s="38"/>
      <c r="BH1017" s="38"/>
      <c r="BI1017" s="38"/>
      <c r="BJ1017" s="38"/>
      <c r="BK1017" s="38"/>
      <c r="BL1017" s="38"/>
      <c r="BM1017" s="38"/>
      <c r="BN1017" s="38"/>
      <c r="BO1017" s="38"/>
      <c r="BP1017" s="38"/>
      <c r="BQ1017" s="38"/>
    </row>
    <row r="1018">
      <c r="A1018" s="58"/>
      <c r="B1018" s="341"/>
      <c r="C1018" s="60"/>
      <c r="D1018" s="60"/>
      <c r="E1018" s="58"/>
      <c r="F1018" s="58"/>
      <c r="G1018" s="58"/>
      <c r="H1018" s="33" t="str">
        <f t="shared" si="33"/>
        <v/>
      </c>
      <c r="I1018" s="58"/>
      <c r="J1018" s="58"/>
      <c r="K1018" s="58"/>
      <c r="L1018" s="58"/>
      <c r="M1018" s="210"/>
      <c r="N1018" s="77"/>
      <c r="O1018" s="62"/>
      <c r="P1018" s="62"/>
      <c r="Q1018" s="62"/>
      <c r="R1018" s="62"/>
      <c r="S1018" s="37" t="str">
        <f>IFERROR(__xludf.DUMMYFUNCTION("if(not(iserror(index(split(C1018, "" ""),2))), index(split(C1018, "" ""),1),"""")"),"")</f>
        <v/>
      </c>
      <c r="T1018" s="315" t="str">
        <f>IFERROR(__xludf.DUMMYFUNCTION("if(S1018="""",C1018,if(not(iserror(index(split(C1018, "" ""),3))), index(split(C1018, "" ""),3),index(split(C1018, "" ""),2)))"),"")</f>
        <v/>
      </c>
      <c r="U1018" s="38" t="b">
        <f t="shared" si="34"/>
        <v>0</v>
      </c>
      <c r="V1018" s="38"/>
      <c r="W1018" s="40"/>
      <c r="X1018" s="40"/>
      <c r="Y1018" s="38"/>
      <c r="Z1018" s="38"/>
      <c r="AA1018" s="38"/>
      <c r="AB1018" s="38"/>
      <c r="AC1018" s="38"/>
      <c r="AD1018" s="38"/>
      <c r="AE1018" s="38"/>
      <c r="AF1018" s="38"/>
      <c r="AG1018" s="38"/>
      <c r="AH1018" s="38"/>
      <c r="AI1018" s="38"/>
      <c r="AJ1018" s="38"/>
      <c r="AK1018" s="38"/>
      <c r="AL1018" s="38"/>
      <c r="AM1018" s="38"/>
      <c r="AN1018" s="38"/>
      <c r="AO1018" s="38"/>
      <c r="AP1018" s="38"/>
      <c r="AQ1018" s="38"/>
      <c r="AR1018" s="38"/>
      <c r="AS1018" s="38"/>
      <c r="AT1018" s="38"/>
      <c r="AU1018" s="38"/>
      <c r="AV1018" s="38"/>
      <c r="AW1018" s="38"/>
      <c r="AX1018" s="38"/>
      <c r="AY1018" s="38"/>
      <c r="AZ1018" s="38"/>
      <c r="BA1018" s="38"/>
      <c r="BB1018" s="38"/>
      <c r="BC1018" s="38"/>
      <c r="BD1018" s="38"/>
      <c r="BE1018" s="38"/>
      <c r="BF1018" s="38"/>
      <c r="BG1018" s="38"/>
      <c r="BH1018" s="38"/>
      <c r="BI1018" s="38"/>
      <c r="BJ1018" s="38"/>
      <c r="BK1018" s="38"/>
      <c r="BL1018" s="38"/>
      <c r="BM1018" s="38"/>
      <c r="BN1018" s="38"/>
      <c r="BO1018" s="38"/>
      <c r="BP1018" s="38"/>
      <c r="BQ1018" s="38"/>
    </row>
    <row r="1019">
      <c r="A1019" s="58"/>
      <c r="B1019" s="341"/>
      <c r="C1019" s="60"/>
      <c r="D1019" s="60"/>
      <c r="E1019" s="58"/>
      <c r="F1019" s="58"/>
      <c r="G1019" s="58"/>
      <c r="H1019" s="33" t="str">
        <f t="shared" si="33"/>
        <v/>
      </c>
      <c r="I1019" s="58"/>
      <c r="J1019" s="58"/>
      <c r="K1019" s="58"/>
      <c r="L1019" s="58"/>
      <c r="M1019" s="80"/>
      <c r="N1019" s="77"/>
      <c r="O1019" s="58"/>
      <c r="P1019" s="62"/>
      <c r="Q1019" s="84"/>
      <c r="R1019" s="62"/>
      <c r="S1019" s="37" t="str">
        <f>IFERROR(__xludf.DUMMYFUNCTION("if(not(iserror(index(split(C1019, "" ""),2))), index(split(C1019, "" ""),1),"""")"),"")</f>
        <v/>
      </c>
      <c r="T1019" s="315" t="str">
        <f>IFERROR(__xludf.DUMMYFUNCTION("if(S1019="""",C1019,if(not(iserror(index(split(C1019, "" ""),3))), index(split(C1019, "" ""),3),index(split(C1019, "" ""),2)))"),"")</f>
        <v/>
      </c>
      <c r="U1019" s="38" t="b">
        <f t="shared" si="34"/>
        <v>0</v>
      </c>
      <c r="V1019" s="38"/>
      <c r="W1019" s="40"/>
      <c r="X1019" s="40"/>
      <c r="Y1019" s="38"/>
      <c r="Z1019" s="38"/>
      <c r="AA1019" s="38"/>
      <c r="AB1019" s="38"/>
      <c r="AC1019" s="38"/>
      <c r="AD1019" s="38"/>
      <c r="AE1019" s="38"/>
      <c r="AF1019" s="38"/>
      <c r="AG1019" s="38"/>
      <c r="AH1019" s="38"/>
      <c r="AI1019" s="38"/>
      <c r="AJ1019" s="38"/>
      <c r="AK1019" s="38"/>
      <c r="AL1019" s="38"/>
      <c r="AM1019" s="38"/>
      <c r="AN1019" s="38"/>
      <c r="AO1019" s="38"/>
      <c r="AP1019" s="38"/>
      <c r="AQ1019" s="38"/>
      <c r="AR1019" s="38"/>
      <c r="AS1019" s="38"/>
      <c r="AT1019" s="38"/>
      <c r="AU1019" s="38"/>
      <c r="AV1019" s="38"/>
      <c r="AW1019" s="38"/>
      <c r="AX1019" s="38"/>
      <c r="AY1019" s="38"/>
      <c r="AZ1019" s="38"/>
      <c r="BA1019" s="38"/>
      <c r="BB1019" s="38"/>
      <c r="BC1019" s="38"/>
      <c r="BD1019" s="38"/>
      <c r="BE1019" s="38"/>
      <c r="BF1019" s="38"/>
      <c r="BG1019" s="38"/>
      <c r="BH1019" s="38"/>
      <c r="BI1019" s="38"/>
      <c r="BJ1019" s="38"/>
      <c r="BK1019" s="38"/>
      <c r="BL1019" s="38"/>
      <c r="BM1019" s="38"/>
      <c r="BN1019" s="38"/>
      <c r="BO1019" s="38"/>
      <c r="BP1019" s="38"/>
      <c r="BQ1019" s="38"/>
    </row>
    <row r="1020">
      <c r="A1020" s="37"/>
      <c r="B1020" s="341"/>
      <c r="C1020" s="60"/>
      <c r="D1020" s="60"/>
      <c r="E1020" s="58"/>
      <c r="F1020" s="58"/>
      <c r="G1020" s="58"/>
      <c r="H1020" s="33" t="str">
        <f t="shared" si="33"/>
        <v/>
      </c>
      <c r="I1020" s="58"/>
      <c r="J1020" s="58"/>
      <c r="K1020" s="58"/>
      <c r="L1020" s="58"/>
      <c r="M1020" s="80"/>
      <c r="N1020" s="77"/>
      <c r="O1020" s="58"/>
      <c r="P1020" s="62"/>
      <c r="Q1020" s="84"/>
      <c r="R1020" s="62"/>
      <c r="S1020" s="37" t="str">
        <f>IFERROR(__xludf.DUMMYFUNCTION("if(not(iserror(index(split(C1020, "" ""),2))), index(split(C1020, "" ""),1),"""")"),"")</f>
        <v/>
      </c>
      <c r="T1020" s="315" t="str">
        <f>IFERROR(__xludf.DUMMYFUNCTION("if(S1020="""",C1020,if(not(iserror(index(split(C1020, "" ""),3))), index(split(C1020, "" ""),3),index(split(C1020, "" ""),2)))"),"")</f>
        <v/>
      </c>
      <c r="U1020" s="38" t="b">
        <f t="shared" si="34"/>
        <v>0</v>
      </c>
      <c r="V1020" s="38"/>
      <c r="W1020" s="40"/>
      <c r="X1020" s="40"/>
      <c r="Y1020" s="38"/>
      <c r="Z1020" s="38"/>
      <c r="AA1020" s="38"/>
      <c r="AB1020" s="38"/>
      <c r="AC1020" s="38"/>
      <c r="AD1020" s="38"/>
      <c r="AE1020" s="38"/>
      <c r="AF1020" s="38"/>
      <c r="AG1020" s="38"/>
      <c r="AH1020" s="38"/>
      <c r="AI1020" s="38"/>
      <c r="AJ1020" s="38"/>
      <c r="AK1020" s="38"/>
      <c r="AL1020" s="38"/>
      <c r="AM1020" s="38"/>
      <c r="AN1020" s="38"/>
      <c r="AO1020" s="38"/>
      <c r="AP1020" s="38"/>
      <c r="AQ1020" s="38"/>
      <c r="AR1020" s="38"/>
      <c r="AS1020" s="38"/>
      <c r="AT1020" s="38"/>
      <c r="AU1020" s="38"/>
      <c r="AV1020" s="38"/>
      <c r="AW1020" s="38"/>
      <c r="AX1020" s="38"/>
      <c r="AY1020" s="38"/>
      <c r="AZ1020" s="38"/>
      <c r="BA1020" s="38"/>
      <c r="BB1020" s="38"/>
      <c r="BC1020" s="38"/>
      <c r="BD1020" s="38"/>
      <c r="BE1020" s="38"/>
      <c r="BF1020" s="38"/>
      <c r="BG1020" s="38"/>
      <c r="BH1020" s="38"/>
      <c r="BI1020" s="38"/>
      <c r="BJ1020" s="38"/>
      <c r="BK1020" s="38"/>
      <c r="BL1020" s="38"/>
      <c r="BM1020" s="38"/>
      <c r="BN1020" s="38"/>
      <c r="BO1020" s="38"/>
      <c r="BP1020" s="38"/>
      <c r="BQ1020" s="38"/>
    </row>
    <row r="1021">
      <c r="A1021" s="37"/>
      <c r="B1021" s="341"/>
      <c r="C1021" s="60"/>
      <c r="D1021" s="60"/>
      <c r="E1021" s="58"/>
      <c r="F1021" s="58"/>
      <c r="G1021" s="58"/>
      <c r="H1021" s="33" t="str">
        <f t="shared" si="33"/>
        <v/>
      </c>
      <c r="I1021" s="58"/>
      <c r="J1021" s="58"/>
      <c r="K1021" s="58"/>
      <c r="L1021" s="58"/>
      <c r="M1021" s="80"/>
      <c r="N1021" s="77"/>
      <c r="O1021" s="62"/>
      <c r="P1021" s="62"/>
      <c r="Q1021" s="62"/>
      <c r="R1021" s="62"/>
      <c r="S1021" s="37" t="str">
        <f>IFERROR(__xludf.DUMMYFUNCTION("if(not(iserror(index(split(C1021, "" ""),2))), index(split(C1021, "" ""),1),"""")"),"")</f>
        <v/>
      </c>
      <c r="T1021" s="315" t="str">
        <f>IFERROR(__xludf.DUMMYFUNCTION("if(S1021="""",C1021,if(not(iserror(index(split(C1021, "" ""),3))), index(split(C1021, "" ""),3),index(split(C1021, "" ""),2)))"),"")</f>
        <v/>
      </c>
      <c r="U1021" s="38" t="b">
        <f t="shared" si="34"/>
        <v>0</v>
      </c>
      <c r="V1021" s="38"/>
      <c r="W1021" s="40"/>
      <c r="X1021" s="40"/>
      <c r="Y1021" s="38"/>
      <c r="Z1021" s="38"/>
      <c r="AA1021" s="38"/>
      <c r="AB1021" s="38"/>
      <c r="AC1021" s="38"/>
      <c r="AD1021" s="38"/>
      <c r="AE1021" s="38"/>
      <c r="AF1021" s="38"/>
      <c r="AG1021" s="38"/>
      <c r="AH1021" s="38"/>
      <c r="AI1021" s="38"/>
      <c r="AJ1021" s="38"/>
      <c r="AK1021" s="38"/>
      <c r="AL1021" s="38"/>
      <c r="AM1021" s="38"/>
      <c r="AN1021" s="38"/>
      <c r="AO1021" s="38"/>
      <c r="AP1021" s="38"/>
      <c r="AQ1021" s="38"/>
      <c r="AR1021" s="38"/>
      <c r="AS1021" s="38"/>
      <c r="AT1021" s="38"/>
      <c r="AU1021" s="38"/>
      <c r="AV1021" s="38"/>
      <c r="AW1021" s="38"/>
      <c r="AX1021" s="38"/>
      <c r="AY1021" s="38"/>
      <c r="AZ1021" s="38"/>
      <c r="BA1021" s="38"/>
      <c r="BB1021" s="38"/>
      <c r="BC1021" s="38"/>
      <c r="BD1021" s="38"/>
      <c r="BE1021" s="38"/>
      <c r="BF1021" s="38"/>
      <c r="BG1021" s="38"/>
      <c r="BH1021" s="38"/>
      <c r="BI1021" s="38"/>
      <c r="BJ1021" s="38"/>
      <c r="BK1021" s="38"/>
      <c r="BL1021" s="38"/>
      <c r="BM1021" s="38"/>
      <c r="BN1021" s="38"/>
      <c r="BO1021" s="38"/>
      <c r="BP1021" s="38"/>
      <c r="BQ1021" s="38"/>
    </row>
    <row r="1022">
      <c r="A1022" s="37"/>
      <c r="B1022" s="341"/>
      <c r="C1022" s="60"/>
      <c r="D1022" s="60"/>
      <c r="E1022" s="58"/>
      <c r="F1022" s="58"/>
      <c r="G1022" s="58"/>
      <c r="H1022" s="33" t="str">
        <f t="shared" si="33"/>
        <v/>
      </c>
      <c r="I1022" s="58"/>
      <c r="J1022" s="58"/>
      <c r="K1022" s="58"/>
      <c r="L1022" s="58"/>
      <c r="M1022" s="80"/>
      <c r="N1022" s="77"/>
      <c r="O1022" s="62"/>
      <c r="P1022" s="62"/>
      <c r="Q1022" s="58"/>
      <c r="R1022" s="62"/>
      <c r="S1022" s="37" t="str">
        <f>IFERROR(__xludf.DUMMYFUNCTION("if(not(iserror(index(split(C1022, "" ""),2))), index(split(C1022, "" ""),1),"""")"),"")</f>
        <v/>
      </c>
      <c r="T1022" s="315" t="str">
        <f>IFERROR(__xludf.DUMMYFUNCTION("if(S1022="""",C1022,if(not(iserror(index(split(C1022, "" ""),3))), index(split(C1022, "" ""),3),index(split(C1022, "" ""),2)))"),"")</f>
        <v/>
      </c>
      <c r="U1022" s="38" t="b">
        <f t="shared" si="34"/>
        <v>0</v>
      </c>
      <c r="V1022" s="38"/>
      <c r="W1022" s="40"/>
      <c r="X1022" s="40"/>
      <c r="Y1022" s="38"/>
      <c r="Z1022" s="38"/>
      <c r="AA1022" s="38"/>
      <c r="AB1022" s="38"/>
      <c r="AC1022" s="38"/>
      <c r="AD1022" s="38"/>
      <c r="AE1022" s="38"/>
      <c r="AF1022" s="38"/>
      <c r="AG1022" s="38"/>
      <c r="AH1022" s="38"/>
      <c r="AI1022" s="38"/>
      <c r="AJ1022" s="38"/>
      <c r="AK1022" s="38"/>
      <c r="AL1022" s="38"/>
      <c r="AM1022" s="38"/>
      <c r="AN1022" s="38"/>
      <c r="AO1022" s="38"/>
      <c r="AP1022" s="38"/>
      <c r="AQ1022" s="38"/>
      <c r="AR1022" s="38"/>
      <c r="AS1022" s="38"/>
      <c r="AT1022" s="38"/>
      <c r="AU1022" s="38"/>
      <c r="AV1022" s="38"/>
      <c r="AW1022" s="38"/>
      <c r="AX1022" s="38"/>
      <c r="AY1022" s="38"/>
      <c r="AZ1022" s="38"/>
      <c r="BA1022" s="38"/>
      <c r="BB1022" s="38"/>
      <c r="BC1022" s="38"/>
      <c r="BD1022" s="38"/>
      <c r="BE1022" s="38"/>
      <c r="BF1022" s="38"/>
      <c r="BG1022" s="38"/>
      <c r="BH1022" s="38"/>
      <c r="BI1022" s="38"/>
      <c r="BJ1022" s="38"/>
      <c r="BK1022" s="38"/>
      <c r="BL1022" s="38"/>
      <c r="BM1022" s="38"/>
      <c r="BN1022" s="38"/>
      <c r="BO1022" s="38"/>
      <c r="BP1022" s="38"/>
      <c r="BQ1022" s="38"/>
    </row>
    <row r="1023">
      <c r="A1023" s="37"/>
      <c r="B1023" s="341"/>
      <c r="C1023" s="60"/>
      <c r="D1023" s="60"/>
      <c r="E1023" s="58"/>
      <c r="F1023" s="58"/>
      <c r="G1023" s="58"/>
      <c r="H1023" s="33" t="str">
        <f t="shared" si="33"/>
        <v/>
      </c>
      <c r="I1023" s="58"/>
      <c r="J1023" s="58"/>
      <c r="K1023" s="58"/>
      <c r="L1023" s="58"/>
      <c r="M1023" s="80"/>
      <c r="N1023" s="77"/>
      <c r="O1023" s="62"/>
      <c r="P1023" s="62"/>
      <c r="Q1023" s="62"/>
      <c r="R1023" s="62"/>
      <c r="S1023" s="37" t="str">
        <f>IFERROR(__xludf.DUMMYFUNCTION("if(not(iserror(index(split(C1023, "" ""),2))), index(split(C1023, "" ""),1),"""")"),"")</f>
        <v/>
      </c>
      <c r="T1023" s="315" t="str">
        <f>IFERROR(__xludf.DUMMYFUNCTION("if(S1023="""",C1023,if(not(iserror(index(split(C1023, "" ""),3))), index(split(C1023, "" ""),3),index(split(C1023, "" ""),2)))"),"")</f>
        <v/>
      </c>
      <c r="U1023" s="38" t="b">
        <f t="shared" si="34"/>
        <v>0</v>
      </c>
      <c r="V1023" s="38"/>
      <c r="W1023" s="40"/>
      <c r="X1023" s="40"/>
      <c r="Y1023" s="38"/>
      <c r="Z1023" s="38"/>
      <c r="AA1023" s="38"/>
      <c r="AB1023" s="38"/>
      <c r="AC1023" s="38"/>
      <c r="AD1023" s="38"/>
      <c r="AE1023" s="38"/>
      <c r="AF1023" s="38"/>
      <c r="AG1023" s="38"/>
      <c r="AH1023" s="38"/>
      <c r="AI1023" s="38"/>
      <c r="AJ1023" s="38"/>
      <c r="AK1023" s="38"/>
      <c r="AL1023" s="38"/>
      <c r="AM1023" s="38"/>
      <c r="AN1023" s="38"/>
      <c r="AO1023" s="38"/>
      <c r="AP1023" s="38"/>
      <c r="AQ1023" s="38"/>
      <c r="AR1023" s="38"/>
      <c r="AS1023" s="38"/>
      <c r="AT1023" s="38"/>
      <c r="AU1023" s="38"/>
      <c r="AV1023" s="38"/>
      <c r="AW1023" s="38"/>
      <c r="AX1023" s="38"/>
      <c r="AY1023" s="38"/>
      <c r="AZ1023" s="38"/>
      <c r="BA1023" s="38"/>
      <c r="BB1023" s="38"/>
      <c r="BC1023" s="38"/>
      <c r="BD1023" s="38"/>
      <c r="BE1023" s="38"/>
      <c r="BF1023" s="38"/>
      <c r="BG1023" s="38"/>
      <c r="BH1023" s="38"/>
      <c r="BI1023" s="38"/>
      <c r="BJ1023" s="38"/>
      <c r="BK1023" s="38"/>
      <c r="BL1023" s="38"/>
      <c r="BM1023" s="38"/>
      <c r="BN1023" s="38"/>
      <c r="BO1023" s="38"/>
      <c r="BP1023" s="38"/>
      <c r="BQ1023" s="38"/>
    </row>
    <row r="1024">
      <c r="A1024" s="37"/>
      <c r="B1024" s="341"/>
      <c r="C1024" s="60"/>
      <c r="D1024" s="60"/>
      <c r="E1024" s="58"/>
      <c r="F1024" s="58"/>
      <c r="G1024" s="58"/>
      <c r="H1024" s="33" t="str">
        <f t="shared" si="33"/>
        <v/>
      </c>
      <c r="I1024" s="58"/>
      <c r="J1024" s="58"/>
      <c r="K1024" s="58"/>
      <c r="L1024" s="58"/>
      <c r="M1024" s="80"/>
      <c r="N1024" s="77"/>
      <c r="O1024" s="58"/>
      <c r="P1024" s="62"/>
      <c r="Q1024" s="84"/>
      <c r="R1024" s="62"/>
      <c r="S1024" s="37" t="str">
        <f>IFERROR(__xludf.DUMMYFUNCTION("if(not(iserror(index(split(C1024, "" ""),2))), index(split(C1024, "" ""),1),"""")"),"")</f>
        <v/>
      </c>
      <c r="T1024" s="315" t="str">
        <f>IFERROR(__xludf.DUMMYFUNCTION("if(S1024="""",C1024,if(not(iserror(index(split(C1024, "" ""),3))), index(split(C1024, "" ""),3),index(split(C1024, "" ""),2)))"),"")</f>
        <v/>
      </c>
      <c r="U1024" s="38" t="b">
        <f t="shared" si="34"/>
        <v>0</v>
      </c>
      <c r="V1024" s="38"/>
      <c r="W1024" s="40"/>
      <c r="X1024" s="40"/>
      <c r="Y1024" s="38"/>
      <c r="Z1024" s="38"/>
      <c r="AA1024" s="38"/>
      <c r="AB1024" s="38"/>
      <c r="AC1024" s="38"/>
      <c r="AD1024" s="38"/>
      <c r="AE1024" s="38"/>
      <c r="AF1024" s="38"/>
      <c r="AG1024" s="38"/>
      <c r="AH1024" s="38"/>
      <c r="AI1024" s="38"/>
      <c r="AJ1024" s="38"/>
      <c r="AK1024" s="38"/>
      <c r="AL1024" s="38"/>
      <c r="AM1024" s="38"/>
      <c r="AN1024" s="38"/>
      <c r="AO1024" s="38"/>
      <c r="AP1024" s="38"/>
      <c r="AQ1024" s="38"/>
      <c r="AR1024" s="38"/>
      <c r="AS1024" s="38"/>
      <c r="AT1024" s="38"/>
      <c r="AU1024" s="38"/>
      <c r="AV1024" s="38"/>
      <c r="AW1024" s="38"/>
      <c r="AX1024" s="38"/>
      <c r="AY1024" s="38"/>
      <c r="AZ1024" s="38"/>
      <c r="BA1024" s="38"/>
      <c r="BB1024" s="38"/>
      <c r="BC1024" s="38"/>
      <c r="BD1024" s="38"/>
      <c r="BE1024" s="38"/>
      <c r="BF1024" s="38"/>
      <c r="BG1024" s="38"/>
      <c r="BH1024" s="38"/>
      <c r="BI1024" s="38"/>
      <c r="BJ1024" s="38"/>
      <c r="BK1024" s="38"/>
      <c r="BL1024" s="38"/>
      <c r="BM1024" s="38"/>
      <c r="BN1024" s="38"/>
      <c r="BO1024" s="38"/>
      <c r="BP1024" s="38"/>
      <c r="BQ1024" s="38"/>
    </row>
    <row r="1025">
      <c r="A1025" s="37"/>
      <c r="B1025" s="341"/>
      <c r="C1025" s="60"/>
      <c r="D1025" s="60"/>
      <c r="E1025" s="58"/>
      <c r="F1025" s="58"/>
      <c r="G1025" s="58"/>
      <c r="H1025" s="33" t="str">
        <f t="shared" si="33"/>
        <v/>
      </c>
      <c r="I1025" s="58"/>
      <c r="J1025" s="58"/>
      <c r="K1025" s="58"/>
      <c r="L1025" s="58"/>
      <c r="M1025" s="80"/>
      <c r="N1025" s="80"/>
      <c r="O1025" s="58"/>
      <c r="P1025" s="62"/>
      <c r="Q1025" s="58"/>
      <c r="R1025" s="62"/>
      <c r="S1025" s="37" t="str">
        <f>IFERROR(__xludf.DUMMYFUNCTION("if(not(iserror(index(split(C1025, "" ""),2))), index(split(C1025, "" ""),1),"""")"),"")</f>
        <v/>
      </c>
      <c r="T1025" s="315" t="str">
        <f>IFERROR(__xludf.DUMMYFUNCTION("if(S1025="""",C1025,if(not(iserror(index(split(C1025, "" ""),3))), index(split(C1025, "" ""),3),index(split(C1025, "" ""),2)))"),"")</f>
        <v/>
      </c>
      <c r="U1025" s="38" t="b">
        <f t="shared" si="34"/>
        <v>0</v>
      </c>
      <c r="V1025" s="38"/>
      <c r="W1025" s="40"/>
      <c r="X1025" s="40"/>
      <c r="Y1025" s="38"/>
      <c r="Z1025" s="38"/>
      <c r="AA1025" s="38"/>
      <c r="AB1025" s="38"/>
      <c r="AC1025" s="38"/>
      <c r="AD1025" s="38"/>
      <c r="AE1025" s="38"/>
      <c r="AF1025" s="38"/>
      <c r="AG1025" s="38"/>
      <c r="AH1025" s="38"/>
      <c r="AI1025" s="38"/>
      <c r="AJ1025" s="38"/>
      <c r="AK1025" s="38"/>
      <c r="AL1025" s="38"/>
      <c r="AM1025" s="38"/>
      <c r="AN1025" s="38"/>
      <c r="AO1025" s="38"/>
      <c r="AP1025" s="38"/>
      <c r="AQ1025" s="38"/>
      <c r="AR1025" s="38"/>
      <c r="AS1025" s="38"/>
      <c r="AT1025" s="38"/>
      <c r="AU1025" s="38"/>
      <c r="AV1025" s="38"/>
      <c r="AW1025" s="38"/>
      <c r="AX1025" s="38"/>
      <c r="AY1025" s="38"/>
      <c r="AZ1025" s="38"/>
      <c r="BA1025" s="38"/>
      <c r="BB1025" s="38"/>
      <c r="BC1025" s="38"/>
      <c r="BD1025" s="38"/>
      <c r="BE1025" s="38"/>
      <c r="BF1025" s="38"/>
      <c r="BG1025" s="38"/>
      <c r="BH1025" s="38"/>
      <c r="BI1025" s="38"/>
      <c r="BJ1025" s="38"/>
      <c r="BK1025" s="38"/>
      <c r="BL1025" s="38"/>
      <c r="BM1025" s="38"/>
      <c r="BN1025" s="38"/>
      <c r="BO1025" s="38"/>
      <c r="BP1025" s="38"/>
      <c r="BQ1025" s="38"/>
    </row>
    <row r="1026">
      <c r="A1026" s="58"/>
      <c r="B1026" s="341"/>
      <c r="C1026" s="60"/>
      <c r="D1026" s="60"/>
      <c r="E1026" s="58"/>
      <c r="F1026" s="58"/>
      <c r="G1026" s="58"/>
      <c r="H1026" s="33" t="str">
        <f t="shared" si="33"/>
        <v/>
      </c>
      <c r="I1026" s="58"/>
      <c r="J1026" s="58"/>
      <c r="K1026" s="58"/>
      <c r="L1026" s="58"/>
      <c r="M1026" s="80"/>
      <c r="N1026" s="77"/>
      <c r="O1026" s="58"/>
      <c r="P1026" s="58"/>
      <c r="Q1026" s="84"/>
      <c r="R1026" s="62"/>
      <c r="S1026" s="37" t="str">
        <f>IFERROR(__xludf.DUMMYFUNCTION("if(not(iserror(index(split(C1026, "" ""),2))), index(split(C1026, "" ""),1),"""")"),"")</f>
        <v/>
      </c>
      <c r="T1026" s="315" t="str">
        <f>IFERROR(__xludf.DUMMYFUNCTION("if(S1026="""",C1026,if(not(iserror(index(split(C1026, "" ""),3))), index(split(C1026, "" ""),3),index(split(C1026, "" ""),2)))"),"")</f>
        <v/>
      </c>
      <c r="U1026" s="38" t="b">
        <f t="shared" si="34"/>
        <v>0</v>
      </c>
      <c r="V1026" s="38"/>
      <c r="W1026" s="40"/>
      <c r="X1026" s="40"/>
      <c r="Y1026" s="38"/>
      <c r="Z1026" s="38"/>
      <c r="AA1026" s="38"/>
      <c r="AB1026" s="38"/>
      <c r="AC1026" s="38"/>
      <c r="AD1026" s="38"/>
      <c r="AE1026" s="38"/>
      <c r="AF1026" s="38"/>
      <c r="AG1026" s="38"/>
      <c r="AH1026" s="38"/>
      <c r="AI1026" s="38"/>
      <c r="AJ1026" s="38"/>
      <c r="AK1026" s="38"/>
      <c r="AL1026" s="38"/>
      <c r="AM1026" s="38"/>
      <c r="AN1026" s="38"/>
      <c r="AO1026" s="38"/>
      <c r="AP1026" s="38"/>
      <c r="AQ1026" s="38"/>
      <c r="AR1026" s="38"/>
      <c r="AS1026" s="38"/>
      <c r="AT1026" s="38"/>
      <c r="AU1026" s="38"/>
      <c r="AV1026" s="38"/>
      <c r="AW1026" s="38"/>
      <c r="AX1026" s="38"/>
      <c r="AY1026" s="38"/>
      <c r="AZ1026" s="38"/>
      <c r="BA1026" s="38"/>
      <c r="BB1026" s="38"/>
      <c r="BC1026" s="38"/>
      <c r="BD1026" s="38"/>
      <c r="BE1026" s="38"/>
      <c r="BF1026" s="38"/>
      <c r="BG1026" s="38"/>
      <c r="BH1026" s="38"/>
      <c r="BI1026" s="38"/>
      <c r="BJ1026" s="38"/>
      <c r="BK1026" s="38"/>
      <c r="BL1026" s="38"/>
      <c r="BM1026" s="38"/>
      <c r="BN1026" s="38"/>
      <c r="BO1026" s="38"/>
      <c r="BP1026" s="38"/>
      <c r="BQ1026" s="38"/>
    </row>
    <row r="1027">
      <c r="A1027" s="58"/>
      <c r="B1027" s="341"/>
      <c r="C1027" s="60"/>
      <c r="D1027" s="60"/>
      <c r="E1027" s="58"/>
      <c r="F1027" s="58"/>
      <c r="G1027" s="58"/>
      <c r="H1027" s="33" t="str">
        <f t="shared" si="33"/>
        <v/>
      </c>
      <c r="I1027" s="58"/>
      <c r="J1027" s="58"/>
      <c r="K1027" s="58"/>
      <c r="L1027" s="58"/>
      <c r="M1027" s="80"/>
      <c r="N1027" s="77"/>
      <c r="O1027" s="58"/>
      <c r="P1027" s="58"/>
      <c r="Q1027" s="84"/>
      <c r="R1027" s="62"/>
      <c r="S1027" s="37" t="str">
        <f>IFERROR(__xludf.DUMMYFUNCTION("if(not(iserror(index(split(C1027, "" ""),2))), index(split(C1027, "" ""),1),"""")"),"")</f>
        <v/>
      </c>
      <c r="T1027" s="315" t="str">
        <f>IFERROR(__xludf.DUMMYFUNCTION("if(S1027="""",C1027,if(not(iserror(index(split(C1027, "" ""),3))), index(split(C1027, "" ""),3),index(split(C1027, "" ""),2)))"),"")</f>
        <v/>
      </c>
      <c r="U1027" s="38" t="b">
        <f t="shared" si="34"/>
        <v>0</v>
      </c>
      <c r="V1027" s="38"/>
      <c r="W1027" s="40"/>
      <c r="X1027" s="40"/>
      <c r="Y1027" s="38"/>
      <c r="Z1027" s="38"/>
      <c r="AA1027" s="38"/>
      <c r="AB1027" s="38"/>
      <c r="AC1027" s="38"/>
      <c r="AD1027" s="38"/>
      <c r="AE1027" s="38"/>
      <c r="AF1027" s="38"/>
      <c r="AG1027" s="38"/>
      <c r="AH1027" s="38"/>
      <c r="AI1027" s="38"/>
      <c r="AJ1027" s="38"/>
      <c r="AK1027" s="38"/>
      <c r="AL1027" s="38"/>
      <c r="AM1027" s="38"/>
      <c r="AN1027" s="38"/>
      <c r="AO1027" s="38"/>
      <c r="AP1027" s="38"/>
      <c r="AQ1027" s="38"/>
      <c r="AR1027" s="38"/>
      <c r="AS1027" s="38"/>
      <c r="AT1027" s="38"/>
      <c r="AU1027" s="38"/>
      <c r="AV1027" s="38"/>
      <c r="AW1027" s="38"/>
      <c r="AX1027" s="38"/>
      <c r="AY1027" s="38"/>
      <c r="AZ1027" s="38"/>
      <c r="BA1027" s="38"/>
      <c r="BB1027" s="38"/>
      <c r="BC1027" s="38"/>
      <c r="BD1027" s="38"/>
      <c r="BE1027" s="38"/>
      <c r="BF1027" s="38"/>
      <c r="BG1027" s="38"/>
      <c r="BH1027" s="38"/>
      <c r="BI1027" s="38"/>
      <c r="BJ1027" s="38"/>
      <c r="BK1027" s="38"/>
      <c r="BL1027" s="38"/>
      <c r="BM1027" s="38"/>
      <c r="BN1027" s="38"/>
      <c r="BO1027" s="38"/>
      <c r="BP1027" s="38"/>
      <c r="BQ1027" s="38"/>
    </row>
    <row r="1028">
      <c r="A1028" s="58"/>
      <c r="B1028" s="341"/>
      <c r="C1028" s="60"/>
      <c r="D1028" s="60"/>
      <c r="E1028" s="58"/>
      <c r="F1028" s="58"/>
      <c r="G1028" s="58"/>
      <c r="H1028" s="33" t="str">
        <f t="shared" si="33"/>
        <v/>
      </c>
      <c r="I1028" s="58"/>
      <c r="J1028" s="58"/>
      <c r="K1028" s="58"/>
      <c r="L1028" s="58"/>
      <c r="M1028" s="80"/>
      <c r="N1028" s="77"/>
      <c r="O1028" s="58"/>
      <c r="P1028" s="58"/>
      <c r="Q1028" s="84"/>
      <c r="R1028" s="62"/>
      <c r="S1028" s="37" t="str">
        <f>IFERROR(__xludf.DUMMYFUNCTION("if(not(iserror(index(split(C1028, "" ""),2))), index(split(C1028, "" ""),1),"""")"),"")</f>
        <v/>
      </c>
      <c r="T1028" s="315" t="str">
        <f>IFERROR(__xludf.DUMMYFUNCTION("if(S1028="""",C1028,if(not(iserror(index(split(C1028, "" ""),3))), index(split(C1028, "" ""),3),index(split(C1028, "" ""),2)))"),"")</f>
        <v/>
      </c>
      <c r="U1028" s="38" t="b">
        <f t="shared" si="34"/>
        <v>0</v>
      </c>
      <c r="V1028" s="38"/>
      <c r="W1028" s="40"/>
      <c r="X1028" s="40"/>
      <c r="Y1028" s="38"/>
      <c r="Z1028" s="38"/>
      <c r="AA1028" s="38"/>
      <c r="AB1028" s="38"/>
      <c r="AC1028" s="38"/>
      <c r="AD1028" s="38"/>
      <c r="AE1028" s="38"/>
      <c r="AF1028" s="38"/>
      <c r="AG1028" s="38"/>
      <c r="AH1028" s="38"/>
      <c r="AI1028" s="38"/>
      <c r="AJ1028" s="38"/>
      <c r="AK1028" s="38"/>
      <c r="AL1028" s="38"/>
      <c r="AM1028" s="38"/>
      <c r="AN1028" s="38"/>
      <c r="AO1028" s="38"/>
      <c r="AP1028" s="38"/>
      <c r="AQ1028" s="38"/>
      <c r="AR1028" s="38"/>
      <c r="AS1028" s="38"/>
      <c r="AT1028" s="38"/>
      <c r="AU1028" s="38"/>
      <c r="AV1028" s="38"/>
      <c r="AW1028" s="38"/>
      <c r="AX1028" s="38"/>
      <c r="AY1028" s="38"/>
      <c r="AZ1028" s="38"/>
      <c r="BA1028" s="38"/>
      <c r="BB1028" s="38"/>
      <c r="BC1028" s="38"/>
      <c r="BD1028" s="38"/>
      <c r="BE1028" s="38"/>
      <c r="BF1028" s="38"/>
      <c r="BG1028" s="38"/>
      <c r="BH1028" s="38"/>
      <c r="BI1028" s="38"/>
      <c r="BJ1028" s="38"/>
      <c r="BK1028" s="38"/>
      <c r="BL1028" s="38"/>
      <c r="BM1028" s="38"/>
      <c r="BN1028" s="38"/>
      <c r="BO1028" s="38"/>
      <c r="BP1028" s="38"/>
      <c r="BQ1028" s="38"/>
    </row>
    <row r="1029">
      <c r="A1029" s="91"/>
      <c r="B1029" s="380"/>
      <c r="C1029" s="146"/>
      <c r="D1029" s="146"/>
      <c r="E1029" s="91"/>
      <c r="F1029" s="91"/>
      <c r="G1029" s="91"/>
      <c r="H1029" s="33" t="str">
        <f t="shared" si="33"/>
        <v/>
      </c>
      <c r="I1029" s="91"/>
      <c r="J1029" s="91"/>
      <c r="K1029" s="91"/>
      <c r="L1029" s="91"/>
      <c r="M1029" s="95"/>
      <c r="N1029" s="14"/>
      <c r="O1029" s="37"/>
      <c r="P1029" s="37"/>
      <c r="Q1029" s="64"/>
      <c r="R1029" s="16"/>
      <c r="S1029" s="37" t="str">
        <f>IFERROR(__xludf.DUMMYFUNCTION("if(not(iserror(index(split(C1029, "" ""),2))), index(split(C1029, "" ""),1),"""")"),"")</f>
        <v/>
      </c>
      <c r="T1029" s="315" t="str">
        <f>IFERROR(__xludf.DUMMYFUNCTION("if(S1029="""",C1029,if(not(iserror(index(split(C1029, "" ""),3))), index(split(C1029, "" ""),3),index(split(C1029, "" ""),2)))"),"")</f>
        <v/>
      </c>
      <c r="U1029" s="38" t="b">
        <f t="shared" si="34"/>
        <v>0</v>
      </c>
      <c r="V1029" s="38"/>
      <c r="W1029" s="40"/>
      <c r="X1029" s="40"/>
      <c r="Y1029" s="38"/>
      <c r="Z1029" s="38"/>
      <c r="AA1029" s="38"/>
      <c r="AB1029" s="38"/>
      <c r="AC1029" s="38"/>
      <c r="AD1029" s="38"/>
      <c r="AE1029" s="38"/>
      <c r="AF1029" s="38"/>
      <c r="AG1029" s="38"/>
      <c r="AH1029" s="38"/>
      <c r="AI1029" s="38"/>
      <c r="AJ1029" s="38"/>
      <c r="AK1029" s="38"/>
      <c r="AL1029" s="38"/>
      <c r="AM1029" s="38"/>
      <c r="AN1029" s="38"/>
      <c r="AO1029" s="38"/>
      <c r="AP1029" s="38"/>
      <c r="AQ1029" s="38"/>
      <c r="AR1029" s="38"/>
      <c r="AS1029" s="38"/>
      <c r="AT1029" s="38"/>
      <c r="AU1029" s="38"/>
      <c r="AV1029" s="38"/>
      <c r="AW1029" s="38"/>
      <c r="AX1029" s="38"/>
      <c r="AY1029" s="38"/>
      <c r="AZ1029" s="38"/>
      <c r="BA1029" s="38"/>
      <c r="BB1029" s="38"/>
      <c r="BC1029" s="38"/>
      <c r="BD1029" s="38"/>
      <c r="BE1029" s="38"/>
      <c r="BF1029" s="38"/>
      <c r="BG1029" s="38"/>
      <c r="BH1029" s="38"/>
      <c r="BI1029" s="38"/>
      <c r="BJ1029" s="38"/>
      <c r="BK1029" s="38"/>
      <c r="BL1029" s="38"/>
      <c r="BM1029" s="38"/>
      <c r="BN1029" s="38"/>
      <c r="BO1029" s="38"/>
      <c r="BP1029" s="38"/>
      <c r="BQ1029" s="38"/>
    </row>
    <row r="1030">
      <c r="A1030" s="37"/>
      <c r="B1030" s="322"/>
      <c r="C1030" s="144"/>
      <c r="D1030" s="144"/>
      <c r="E1030" s="37"/>
      <c r="F1030" s="37"/>
      <c r="G1030" s="37"/>
      <c r="H1030" s="33" t="str">
        <f t="shared" si="33"/>
        <v/>
      </c>
      <c r="I1030" s="37"/>
      <c r="J1030" s="37"/>
      <c r="K1030" s="37"/>
      <c r="L1030" s="37"/>
      <c r="M1030" s="14"/>
      <c r="N1030" s="15"/>
      <c r="O1030" s="37"/>
      <c r="P1030" s="37"/>
      <c r="Q1030" s="64"/>
      <c r="R1030" s="16"/>
      <c r="S1030" s="37" t="str">
        <f>IFERROR(__xludf.DUMMYFUNCTION("if(not(iserror(index(split(C1030, "" ""),2))), index(split(C1030, "" ""),1),"""")"),"")</f>
        <v/>
      </c>
      <c r="T1030" s="315" t="str">
        <f>IFERROR(__xludf.DUMMYFUNCTION("if(S1030="""",C1030,if(not(iserror(index(split(C1030, "" ""),3))), index(split(C1030, "" ""),3),index(split(C1030, "" ""),2)))"),"")</f>
        <v/>
      </c>
      <c r="U1030" s="38" t="b">
        <f t="shared" si="34"/>
        <v>0</v>
      </c>
      <c r="V1030" s="38"/>
      <c r="W1030" s="40"/>
      <c r="X1030" s="40"/>
      <c r="Y1030" s="38"/>
      <c r="Z1030" s="38"/>
      <c r="AA1030" s="38"/>
      <c r="AB1030" s="38"/>
      <c r="AC1030" s="38"/>
      <c r="AD1030" s="38"/>
      <c r="AE1030" s="38"/>
      <c r="AF1030" s="38"/>
      <c r="AG1030" s="38"/>
      <c r="AH1030" s="38"/>
      <c r="AI1030" s="38"/>
      <c r="AJ1030" s="38"/>
      <c r="AK1030" s="38"/>
      <c r="AL1030" s="38"/>
      <c r="AM1030" s="38"/>
      <c r="AN1030" s="38"/>
      <c r="AO1030" s="38"/>
      <c r="AP1030" s="38"/>
      <c r="AQ1030" s="38"/>
      <c r="AR1030" s="38"/>
      <c r="AS1030" s="38"/>
      <c r="AT1030" s="38"/>
      <c r="AU1030" s="38"/>
      <c r="AV1030" s="38"/>
      <c r="AW1030" s="38"/>
      <c r="AX1030" s="38"/>
      <c r="AY1030" s="38"/>
      <c r="AZ1030" s="38"/>
      <c r="BA1030" s="38"/>
      <c r="BB1030" s="38"/>
      <c r="BC1030" s="38"/>
      <c r="BD1030" s="38"/>
      <c r="BE1030" s="38"/>
      <c r="BF1030" s="38"/>
      <c r="BG1030" s="38"/>
      <c r="BH1030" s="38"/>
      <c r="BI1030" s="38"/>
      <c r="BJ1030" s="38"/>
      <c r="BK1030" s="38"/>
      <c r="BL1030" s="38"/>
      <c r="BM1030" s="38"/>
      <c r="BN1030" s="38"/>
      <c r="BO1030" s="38"/>
      <c r="BP1030" s="38"/>
      <c r="BQ1030" s="38"/>
    </row>
    <row r="1031">
      <c r="A1031" s="37"/>
      <c r="B1031" s="159"/>
      <c r="C1031" s="101"/>
      <c r="D1031" s="101"/>
      <c r="E1031" s="37"/>
      <c r="F1031" s="37"/>
      <c r="G1031" s="37"/>
      <c r="H1031" s="33" t="str">
        <f t="shared" si="33"/>
        <v/>
      </c>
      <c r="I1031" s="37"/>
      <c r="J1031" s="37"/>
      <c r="K1031" s="37"/>
      <c r="L1031" s="37"/>
      <c r="M1031" s="14"/>
      <c r="N1031" s="102"/>
      <c r="Q1031" s="64"/>
      <c r="S1031" s="37" t="str">
        <f>IFERROR(__xludf.DUMMYFUNCTION("if(not(iserror(index(split(C1031, "" ""),2))), index(split(C1031, "" ""),1),"""")"),"")</f>
        <v/>
      </c>
      <c r="T1031" s="316" t="str">
        <f>IFERROR(__xludf.DUMMYFUNCTION("if(S1031="""",C1031,if(not(iserror(index(split(C1031, "" ""),3))), index(split(C1031, "" ""),3),index(split(C1031, "" ""),2)))"),"")</f>
        <v/>
      </c>
      <c r="U1031" s="38" t="b">
        <f t="shared" si="34"/>
        <v>0</v>
      </c>
      <c r="V1031" s="38"/>
      <c r="W1031" s="40"/>
      <c r="X1031" s="40"/>
      <c r="Y1031" s="38"/>
      <c r="Z1031" s="38"/>
      <c r="AA1031" s="38"/>
      <c r="AB1031" s="38"/>
      <c r="AC1031" s="38"/>
      <c r="AD1031" s="38"/>
      <c r="AE1031" s="38"/>
      <c r="AF1031" s="38"/>
      <c r="AG1031" s="38"/>
      <c r="AH1031" s="38"/>
      <c r="AI1031" s="38"/>
      <c r="AJ1031" s="38"/>
      <c r="AK1031" s="38"/>
      <c r="AL1031" s="38"/>
      <c r="AM1031" s="38"/>
      <c r="AN1031" s="38"/>
      <c r="AO1031" s="38"/>
      <c r="AP1031" s="38"/>
      <c r="AQ1031" s="38"/>
      <c r="AR1031" s="38"/>
      <c r="AS1031" s="38"/>
      <c r="AT1031" s="38"/>
      <c r="AU1031" s="38"/>
      <c r="AV1031" s="38"/>
      <c r="AW1031" s="38"/>
      <c r="AX1031" s="38"/>
      <c r="AY1031" s="38"/>
      <c r="AZ1031" s="38"/>
      <c r="BA1031" s="38"/>
      <c r="BB1031" s="38"/>
      <c r="BC1031" s="38"/>
      <c r="BD1031" s="38"/>
      <c r="BE1031" s="38"/>
      <c r="BF1031" s="38"/>
      <c r="BG1031" s="38"/>
      <c r="BH1031" s="38"/>
      <c r="BI1031" s="38"/>
      <c r="BJ1031" s="38"/>
      <c r="BK1031" s="38"/>
      <c r="BL1031" s="38"/>
      <c r="BM1031" s="38"/>
      <c r="BN1031" s="38"/>
      <c r="BO1031" s="38"/>
      <c r="BP1031" s="38"/>
      <c r="BQ1031" s="38"/>
    </row>
    <row r="1032">
      <c r="A1032" s="37"/>
      <c r="B1032" s="159"/>
      <c r="C1032" s="101"/>
      <c r="D1032" s="159"/>
      <c r="E1032" s="37"/>
      <c r="F1032" s="37"/>
      <c r="G1032" s="37"/>
      <c r="H1032" s="33" t="str">
        <f t="shared" si="33"/>
        <v/>
      </c>
      <c r="I1032" s="37"/>
      <c r="J1032" s="37"/>
      <c r="K1032" s="37"/>
      <c r="L1032" s="37"/>
      <c r="M1032" s="14"/>
      <c r="N1032" s="102"/>
      <c r="Q1032" s="64"/>
      <c r="S1032" s="37" t="str">
        <f>IFERROR(__xludf.DUMMYFUNCTION("if(not(iserror(index(split(C1032, "" ""),2))), index(split(C1032, "" ""),1),"""")"),"")</f>
        <v/>
      </c>
      <c r="T1032" s="316" t="str">
        <f>IFERROR(__xludf.DUMMYFUNCTION("if(S1032="""",C1032,if(not(iserror(index(split(C1032, "" ""),3))), index(split(C1032, "" ""),3),index(split(C1032, "" ""),2)))"),"")</f>
        <v/>
      </c>
      <c r="U1032" s="38" t="b">
        <f t="shared" si="34"/>
        <v>0</v>
      </c>
      <c r="V1032" s="38"/>
      <c r="W1032" s="40"/>
      <c r="X1032" s="40"/>
      <c r="Y1032" s="38"/>
      <c r="Z1032" s="38"/>
      <c r="AA1032" s="38"/>
      <c r="AB1032" s="38"/>
      <c r="AC1032" s="38"/>
      <c r="AD1032" s="38"/>
      <c r="AE1032" s="38"/>
      <c r="AF1032" s="38"/>
      <c r="AG1032" s="38"/>
      <c r="AH1032" s="38"/>
      <c r="AI1032" s="38"/>
      <c r="AJ1032" s="38"/>
      <c r="AK1032" s="38"/>
      <c r="AL1032" s="38"/>
      <c r="AM1032" s="38"/>
      <c r="AN1032" s="38"/>
      <c r="AO1032" s="38"/>
      <c r="AP1032" s="38"/>
      <c r="AQ1032" s="38"/>
      <c r="AR1032" s="38"/>
      <c r="AS1032" s="38"/>
      <c r="AT1032" s="38"/>
      <c r="AU1032" s="38"/>
      <c r="AV1032" s="38"/>
      <c r="AW1032" s="38"/>
      <c r="AX1032" s="38"/>
      <c r="AY1032" s="38"/>
      <c r="AZ1032" s="38"/>
      <c r="BA1032" s="38"/>
      <c r="BB1032" s="38"/>
      <c r="BC1032" s="38"/>
      <c r="BD1032" s="38"/>
      <c r="BE1032" s="38"/>
      <c r="BF1032" s="38"/>
      <c r="BG1032" s="38"/>
      <c r="BH1032" s="38"/>
      <c r="BI1032" s="38"/>
      <c r="BJ1032" s="38"/>
      <c r="BK1032" s="38"/>
      <c r="BL1032" s="38"/>
      <c r="BM1032" s="38"/>
      <c r="BN1032" s="38"/>
      <c r="BO1032" s="38"/>
      <c r="BP1032" s="38"/>
      <c r="BQ1032" s="38"/>
    </row>
    <row r="1033">
      <c r="A1033" s="37"/>
      <c r="B1033" s="159"/>
      <c r="C1033" s="37"/>
      <c r="D1033" s="37"/>
      <c r="E1033" s="37"/>
      <c r="F1033" s="37"/>
      <c r="G1033" s="37"/>
      <c r="H1033" s="33" t="str">
        <f t="shared" si="33"/>
        <v/>
      </c>
      <c r="I1033" s="37"/>
      <c r="J1033" s="37"/>
      <c r="K1033" s="37"/>
      <c r="L1033" s="37"/>
      <c r="M1033" s="14"/>
      <c r="N1033" s="102"/>
      <c r="Q1033" s="64"/>
      <c r="S1033" s="37" t="str">
        <f>IFERROR(__xludf.DUMMYFUNCTION("if(not(iserror(index(split(C1033, "" ""),2))), index(split(C1033, "" ""),1),"""")"),"")</f>
        <v/>
      </c>
      <c r="T1033" s="38" t="str">
        <f>IFERROR(__xludf.DUMMYFUNCTION("if(S1033="""",C1033,if(not(iserror(index(split(C1033, "" ""),3))), index(split(C1033, "" ""),3),index(split(C1033, "" ""),2)))"),"")</f>
        <v/>
      </c>
      <c r="U1033" s="38" t="b">
        <f t="shared" si="34"/>
        <v>0</v>
      </c>
      <c r="V1033" s="38"/>
      <c r="W1033" s="40"/>
      <c r="X1033" s="40"/>
      <c r="Y1033" s="38"/>
      <c r="Z1033" s="38"/>
      <c r="AA1033" s="38"/>
      <c r="AB1033" s="38"/>
      <c r="AC1033" s="38"/>
      <c r="AD1033" s="38"/>
      <c r="AE1033" s="38"/>
      <c r="AF1033" s="38"/>
      <c r="AG1033" s="38"/>
      <c r="AH1033" s="38"/>
      <c r="AI1033" s="38"/>
      <c r="AJ1033" s="38"/>
      <c r="AK1033" s="38"/>
      <c r="AL1033" s="38"/>
      <c r="AM1033" s="38"/>
      <c r="AN1033" s="38"/>
      <c r="AO1033" s="38"/>
      <c r="AP1033" s="38"/>
      <c r="AQ1033" s="38"/>
      <c r="AR1033" s="38"/>
      <c r="AS1033" s="38"/>
      <c r="AT1033" s="38"/>
      <c r="AU1033" s="38"/>
      <c r="AV1033" s="38"/>
      <c r="AW1033" s="38"/>
      <c r="AX1033" s="38"/>
      <c r="AY1033" s="38"/>
      <c r="AZ1033" s="38"/>
      <c r="BA1033" s="38"/>
      <c r="BB1033" s="38"/>
      <c r="BC1033" s="38"/>
      <c r="BD1033" s="38"/>
      <c r="BE1033" s="38"/>
      <c r="BF1033" s="38"/>
      <c r="BG1033" s="38"/>
      <c r="BH1033" s="38"/>
      <c r="BI1033" s="38"/>
      <c r="BJ1033" s="38"/>
      <c r="BK1033" s="38"/>
      <c r="BL1033" s="38"/>
      <c r="BM1033" s="38"/>
      <c r="BN1033" s="38"/>
      <c r="BO1033" s="38"/>
      <c r="BP1033" s="38"/>
      <c r="BQ1033" s="38"/>
    </row>
    <row r="1034">
      <c r="A1034" s="58"/>
      <c r="B1034" s="341"/>
      <c r="C1034" s="60"/>
      <c r="D1034" s="60"/>
      <c r="E1034" s="58"/>
      <c r="F1034" s="58"/>
      <c r="G1034" s="58"/>
      <c r="H1034" s="33" t="str">
        <f t="shared" si="33"/>
        <v/>
      </c>
      <c r="I1034" s="58"/>
      <c r="J1034" s="58"/>
      <c r="K1034" s="58"/>
      <c r="L1034" s="58"/>
      <c r="M1034" s="14"/>
      <c r="N1034" s="80"/>
      <c r="O1034" s="58"/>
      <c r="P1034" s="62"/>
      <c r="Q1034" s="84"/>
      <c r="R1034" s="62"/>
      <c r="S1034" s="37" t="str">
        <f>IFERROR(__xludf.DUMMYFUNCTION("if(not(iserror(index(split(C1034, "" ""),2))), index(split(C1034, "" ""),1),"""")"),"")</f>
        <v/>
      </c>
      <c r="T1034" s="315" t="str">
        <f>IFERROR(__xludf.DUMMYFUNCTION("if(S1034="""",C1034,if(not(iserror(index(split(C1034, "" ""),3))), index(split(C1034, "" ""),3),index(split(C1034, "" ""),2)))"),"")</f>
        <v/>
      </c>
      <c r="U1034" s="38" t="b">
        <f t="shared" si="34"/>
        <v>0</v>
      </c>
      <c r="V1034" s="38"/>
      <c r="W1034" s="40"/>
      <c r="X1034" s="40"/>
      <c r="Y1034" s="38"/>
      <c r="Z1034" s="38"/>
      <c r="AA1034" s="38"/>
      <c r="AB1034" s="38"/>
      <c r="AC1034" s="38"/>
      <c r="AD1034" s="38"/>
      <c r="AE1034" s="38"/>
      <c r="AF1034" s="38"/>
      <c r="AG1034" s="38"/>
      <c r="AH1034" s="38"/>
      <c r="AI1034" s="38"/>
      <c r="AJ1034" s="38"/>
      <c r="AK1034" s="38"/>
      <c r="AL1034" s="38"/>
      <c r="AM1034" s="38"/>
      <c r="AN1034" s="38"/>
      <c r="AO1034" s="38"/>
      <c r="AP1034" s="38"/>
      <c r="AQ1034" s="38"/>
      <c r="AR1034" s="38"/>
      <c r="AS1034" s="38"/>
      <c r="AT1034" s="38"/>
      <c r="AU1034" s="38"/>
      <c r="AV1034" s="38"/>
      <c r="AW1034" s="38"/>
      <c r="AX1034" s="38"/>
      <c r="AY1034" s="38"/>
      <c r="AZ1034" s="38"/>
      <c r="BA1034" s="38"/>
      <c r="BB1034" s="38"/>
      <c r="BC1034" s="38"/>
      <c r="BD1034" s="38"/>
      <c r="BE1034" s="38"/>
      <c r="BF1034" s="38"/>
      <c r="BG1034" s="38"/>
      <c r="BH1034" s="38"/>
      <c r="BI1034" s="38"/>
      <c r="BJ1034" s="38"/>
      <c r="BK1034" s="38"/>
      <c r="BL1034" s="38"/>
      <c r="BM1034" s="38"/>
      <c r="BN1034" s="38"/>
      <c r="BO1034" s="38"/>
      <c r="BP1034" s="38"/>
      <c r="BQ1034" s="38"/>
    </row>
    <row r="1035">
      <c r="A1035" s="58"/>
      <c r="B1035" s="341"/>
      <c r="C1035" s="60"/>
      <c r="D1035" s="60"/>
      <c r="E1035" s="58"/>
      <c r="F1035" s="58"/>
      <c r="G1035" s="58"/>
      <c r="H1035" s="33" t="str">
        <f t="shared" si="33"/>
        <v/>
      </c>
      <c r="I1035" s="58"/>
      <c r="J1035" s="62"/>
      <c r="K1035" s="58"/>
      <c r="L1035" s="58"/>
      <c r="M1035" s="14"/>
      <c r="N1035" s="77"/>
      <c r="O1035" s="62"/>
      <c r="P1035" s="62"/>
      <c r="Q1035" s="62"/>
      <c r="R1035" s="62"/>
      <c r="S1035" s="37" t="str">
        <f>IFERROR(__xludf.DUMMYFUNCTION("if(not(iserror(index(split(C1035, "" ""),2))), index(split(C1035, "" ""),1),"""")"),"")</f>
        <v/>
      </c>
      <c r="T1035" s="315" t="str">
        <f>IFERROR(__xludf.DUMMYFUNCTION("if(S1035="""",C1035,if(not(iserror(index(split(C1035, "" ""),3))), index(split(C1035, "" ""),3),index(split(C1035, "" ""),2)))"),"")</f>
        <v/>
      </c>
      <c r="U1035" s="38" t="b">
        <f t="shared" si="34"/>
        <v>0</v>
      </c>
      <c r="V1035" s="38"/>
      <c r="W1035" s="40"/>
      <c r="X1035" s="40"/>
      <c r="Y1035" s="38"/>
      <c r="Z1035" s="38"/>
      <c r="AA1035" s="38"/>
      <c r="AB1035" s="38"/>
      <c r="AC1035" s="38"/>
      <c r="AD1035" s="38"/>
      <c r="AE1035" s="38"/>
      <c r="AF1035" s="38"/>
      <c r="AG1035" s="38"/>
      <c r="AH1035" s="38"/>
      <c r="AI1035" s="38"/>
      <c r="AJ1035" s="38"/>
      <c r="AK1035" s="38"/>
      <c r="AL1035" s="38"/>
      <c r="AM1035" s="38"/>
      <c r="AN1035" s="38"/>
      <c r="AO1035" s="38"/>
      <c r="AP1035" s="38"/>
      <c r="AQ1035" s="38"/>
      <c r="AR1035" s="38"/>
      <c r="AS1035" s="38"/>
      <c r="AT1035" s="38"/>
      <c r="AU1035" s="38"/>
      <c r="AV1035" s="38"/>
      <c r="AW1035" s="38"/>
      <c r="AX1035" s="38"/>
      <c r="AY1035" s="38"/>
      <c r="AZ1035" s="38"/>
      <c r="BA1035" s="38"/>
      <c r="BB1035" s="38"/>
      <c r="BC1035" s="38"/>
      <c r="BD1035" s="38"/>
      <c r="BE1035" s="38"/>
      <c r="BF1035" s="38"/>
      <c r="BG1035" s="38"/>
      <c r="BH1035" s="38"/>
      <c r="BI1035" s="38"/>
      <c r="BJ1035" s="38"/>
      <c r="BK1035" s="38"/>
      <c r="BL1035" s="38"/>
      <c r="BM1035" s="38"/>
      <c r="BN1035" s="38"/>
      <c r="BO1035" s="38"/>
      <c r="BP1035" s="38"/>
      <c r="BQ1035" s="38"/>
    </row>
    <row r="1036">
      <c r="A1036" s="37"/>
      <c r="B1036" s="322"/>
      <c r="C1036" s="144"/>
      <c r="D1036" s="144"/>
      <c r="E1036" s="37"/>
      <c r="F1036" s="37"/>
      <c r="G1036" s="37"/>
      <c r="H1036" s="33" t="str">
        <f t="shared" si="33"/>
        <v/>
      </c>
      <c r="I1036" s="37"/>
      <c r="J1036" s="37"/>
      <c r="K1036" s="37"/>
      <c r="L1036" s="37"/>
      <c r="M1036" s="14"/>
      <c r="N1036" s="15"/>
      <c r="O1036" s="16"/>
      <c r="P1036" s="16"/>
      <c r="Q1036" s="16"/>
      <c r="R1036" s="16"/>
      <c r="S1036" s="37" t="str">
        <f>IFERROR(__xludf.DUMMYFUNCTION("if(not(iserror(index(split(C1036, "" ""),2))), index(split(C1036, "" ""),1),"""")"),"")</f>
        <v/>
      </c>
      <c r="T1036" s="315" t="str">
        <f>IFERROR(__xludf.DUMMYFUNCTION("if(S1036="""",C1036,if(not(iserror(index(split(C1036, "" ""),3))), index(split(C1036, "" ""),3),index(split(C1036, "" ""),2)))"),"")</f>
        <v/>
      </c>
      <c r="U1036" s="38" t="b">
        <f t="shared" si="34"/>
        <v>0</v>
      </c>
      <c r="V1036" s="38"/>
      <c r="W1036" s="40"/>
      <c r="X1036" s="40"/>
      <c r="Y1036" s="38"/>
      <c r="Z1036" s="38"/>
      <c r="AA1036" s="38"/>
      <c r="AB1036" s="38"/>
      <c r="AC1036" s="38"/>
      <c r="AD1036" s="38"/>
      <c r="AE1036" s="38"/>
      <c r="AF1036" s="38"/>
      <c r="AG1036" s="38"/>
      <c r="AH1036" s="38"/>
      <c r="AI1036" s="38"/>
      <c r="AJ1036" s="38"/>
      <c r="AK1036" s="38"/>
      <c r="AL1036" s="38"/>
      <c r="AM1036" s="38"/>
      <c r="AN1036" s="38"/>
      <c r="AO1036" s="38"/>
      <c r="AP1036" s="38"/>
      <c r="AQ1036" s="38"/>
      <c r="AR1036" s="38"/>
      <c r="AS1036" s="38"/>
      <c r="AT1036" s="38"/>
      <c r="AU1036" s="38"/>
      <c r="AV1036" s="38"/>
      <c r="AW1036" s="38"/>
      <c r="AX1036" s="38"/>
      <c r="AY1036" s="38"/>
      <c r="AZ1036" s="38"/>
      <c r="BA1036" s="38"/>
      <c r="BB1036" s="38"/>
      <c r="BC1036" s="38"/>
      <c r="BD1036" s="38"/>
      <c r="BE1036" s="38"/>
      <c r="BF1036" s="38"/>
      <c r="BG1036" s="38"/>
      <c r="BH1036" s="38"/>
      <c r="BI1036" s="38"/>
      <c r="BJ1036" s="38"/>
      <c r="BK1036" s="38"/>
      <c r="BL1036" s="38"/>
      <c r="BM1036" s="38"/>
      <c r="BN1036" s="38"/>
      <c r="BO1036" s="38"/>
      <c r="BP1036" s="38"/>
      <c r="BQ1036" s="38"/>
    </row>
    <row r="1037">
      <c r="A1037" s="37"/>
      <c r="B1037" s="322"/>
      <c r="C1037" s="144"/>
      <c r="D1037" s="144"/>
      <c r="E1037" s="37"/>
      <c r="F1037" s="37"/>
      <c r="G1037" s="37"/>
      <c r="H1037" s="33" t="str">
        <f t="shared" si="33"/>
        <v/>
      </c>
      <c r="I1037" s="37"/>
      <c r="J1037" s="37"/>
      <c r="K1037" s="37"/>
      <c r="L1037" s="37"/>
      <c r="M1037" s="14"/>
      <c r="N1037" s="15"/>
      <c r="O1037" s="16"/>
      <c r="P1037" s="16"/>
      <c r="Q1037" s="16"/>
      <c r="R1037" s="16"/>
      <c r="S1037" s="37" t="str">
        <f>IFERROR(__xludf.DUMMYFUNCTION("if(not(iserror(index(split(C1037, "" ""),2))), index(split(C1037, "" ""),1),"""")"),"")</f>
        <v/>
      </c>
      <c r="T1037" s="315" t="str">
        <f>IFERROR(__xludf.DUMMYFUNCTION("if(S1037="""",C1037,if(not(iserror(index(split(C1037, "" ""),3))), index(split(C1037, "" ""),3),index(split(C1037, "" ""),2)))"),"")</f>
        <v/>
      </c>
      <c r="U1037" s="38" t="b">
        <f t="shared" si="34"/>
        <v>0</v>
      </c>
      <c r="V1037" s="38"/>
      <c r="W1037" s="40"/>
      <c r="X1037" s="40"/>
      <c r="Y1037" s="38"/>
      <c r="Z1037" s="38"/>
      <c r="AA1037" s="38"/>
      <c r="AB1037" s="38"/>
      <c r="AC1037" s="38"/>
      <c r="AD1037" s="38"/>
      <c r="AE1037" s="38"/>
      <c r="AF1037" s="38"/>
      <c r="AG1037" s="38"/>
      <c r="AH1037" s="38"/>
      <c r="AI1037" s="38"/>
      <c r="AJ1037" s="38"/>
      <c r="AK1037" s="38"/>
      <c r="AL1037" s="38"/>
      <c r="AM1037" s="38"/>
      <c r="AN1037" s="38"/>
      <c r="AO1037" s="38"/>
      <c r="AP1037" s="38"/>
      <c r="AQ1037" s="38"/>
      <c r="AR1037" s="38"/>
      <c r="AS1037" s="38"/>
      <c r="AT1037" s="38"/>
      <c r="AU1037" s="38"/>
      <c r="AV1037" s="38"/>
      <c r="AW1037" s="38"/>
      <c r="AX1037" s="38"/>
      <c r="AY1037" s="38"/>
      <c r="AZ1037" s="38"/>
      <c r="BA1037" s="38"/>
      <c r="BB1037" s="38"/>
      <c r="BC1037" s="38"/>
      <c r="BD1037" s="38"/>
      <c r="BE1037" s="38"/>
      <c r="BF1037" s="38"/>
      <c r="BG1037" s="38"/>
      <c r="BH1037" s="38"/>
      <c r="BI1037" s="38"/>
      <c r="BJ1037" s="38"/>
      <c r="BK1037" s="38"/>
      <c r="BL1037" s="38"/>
      <c r="BM1037" s="38"/>
      <c r="BN1037" s="38"/>
      <c r="BO1037" s="38"/>
      <c r="BP1037" s="38"/>
      <c r="BQ1037" s="38"/>
    </row>
    <row r="1038">
      <c r="A1038" s="37"/>
      <c r="B1038" s="322"/>
      <c r="C1038" s="144"/>
      <c r="D1038" s="144"/>
      <c r="E1038" s="37"/>
      <c r="F1038" s="37"/>
      <c r="G1038" s="37"/>
      <c r="H1038" s="33" t="str">
        <f t="shared" si="33"/>
        <v/>
      </c>
      <c r="I1038" s="37"/>
      <c r="J1038" s="37"/>
      <c r="K1038" s="37"/>
      <c r="L1038" s="37"/>
      <c r="M1038" s="14"/>
      <c r="N1038" s="15"/>
      <c r="O1038" s="16"/>
      <c r="P1038" s="16"/>
      <c r="Q1038" s="16"/>
      <c r="R1038" s="16"/>
      <c r="S1038" s="37" t="str">
        <f>IFERROR(__xludf.DUMMYFUNCTION("if(not(iserror(index(split(C1038, "" ""),2))), index(split(C1038, "" ""),1),"""")"),"")</f>
        <v/>
      </c>
      <c r="T1038" s="315" t="str">
        <f>IFERROR(__xludf.DUMMYFUNCTION("if(S1038="""",C1038,if(not(iserror(index(split(C1038, "" ""),3))), index(split(C1038, "" ""),3),index(split(C1038, "" ""),2)))"),"")</f>
        <v/>
      </c>
      <c r="U1038" s="38" t="b">
        <f t="shared" si="34"/>
        <v>0</v>
      </c>
      <c r="V1038" s="38"/>
      <c r="W1038" s="40"/>
      <c r="X1038" s="40"/>
      <c r="Y1038" s="38"/>
      <c r="Z1038" s="38"/>
      <c r="AA1038" s="38"/>
      <c r="AB1038" s="38"/>
      <c r="AC1038" s="38"/>
      <c r="AD1038" s="38"/>
      <c r="AE1038" s="38"/>
      <c r="AF1038" s="38"/>
      <c r="AG1038" s="38"/>
      <c r="AH1038" s="38"/>
      <c r="AI1038" s="38"/>
      <c r="AJ1038" s="38"/>
      <c r="AK1038" s="38"/>
      <c r="AL1038" s="38"/>
      <c r="AM1038" s="38"/>
      <c r="AN1038" s="38"/>
      <c r="AO1038" s="38"/>
      <c r="AP1038" s="38"/>
      <c r="AQ1038" s="38"/>
      <c r="AR1038" s="38"/>
      <c r="AS1038" s="38"/>
      <c r="AT1038" s="38"/>
      <c r="AU1038" s="38"/>
      <c r="AV1038" s="38"/>
      <c r="AW1038" s="38"/>
      <c r="AX1038" s="38"/>
      <c r="AY1038" s="38"/>
      <c r="AZ1038" s="38"/>
      <c r="BA1038" s="38"/>
      <c r="BB1038" s="38"/>
      <c r="BC1038" s="38"/>
      <c r="BD1038" s="38"/>
      <c r="BE1038" s="38"/>
      <c r="BF1038" s="38"/>
      <c r="BG1038" s="38"/>
      <c r="BH1038" s="38"/>
      <c r="BI1038" s="38"/>
      <c r="BJ1038" s="38"/>
      <c r="BK1038" s="38"/>
      <c r="BL1038" s="38"/>
      <c r="BM1038" s="38"/>
      <c r="BN1038" s="38"/>
      <c r="BO1038" s="38"/>
      <c r="BP1038" s="38"/>
      <c r="BQ1038" s="38"/>
    </row>
    <row r="1039">
      <c r="A1039" s="37"/>
      <c r="B1039" s="322"/>
      <c r="C1039" s="144"/>
      <c r="D1039" s="144"/>
      <c r="E1039" s="37"/>
      <c r="F1039" s="37"/>
      <c r="G1039" s="37"/>
      <c r="H1039" s="33" t="str">
        <f t="shared" si="33"/>
        <v/>
      </c>
      <c r="I1039" s="37"/>
      <c r="J1039" s="37"/>
      <c r="K1039" s="37"/>
      <c r="L1039" s="37"/>
      <c r="M1039" s="14"/>
      <c r="N1039" s="15"/>
      <c r="O1039" s="16"/>
      <c r="P1039" s="16"/>
      <c r="Q1039" s="16"/>
      <c r="R1039" s="16"/>
      <c r="S1039" s="37" t="str">
        <f>IFERROR(__xludf.DUMMYFUNCTION("if(not(iserror(index(split(C1039, "" ""),2))), index(split(C1039, "" ""),1),"""")"),"")</f>
        <v/>
      </c>
      <c r="T1039" s="315" t="str">
        <f>IFERROR(__xludf.DUMMYFUNCTION("if(S1039="""",C1039,if(not(iserror(index(split(C1039, "" ""),3))), index(split(C1039, "" ""),3),index(split(C1039, "" ""),2)))"),"")</f>
        <v/>
      </c>
      <c r="U1039" s="38" t="b">
        <f t="shared" si="34"/>
        <v>0</v>
      </c>
      <c r="V1039" s="38"/>
      <c r="W1039" s="40"/>
      <c r="X1039" s="40"/>
      <c r="Y1039" s="38"/>
      <c r="Z1039" s="38"/>
      <c r="AA1039" s="38"/>
      <c r="AB1039" s="38"/>
      <c r="AC1039" s="38"/>
      <c r="AD1039" s="38"/>
      <c r="AE1039" s="38"/>
      <c r="AF1039" s="38"/>
      <c r="AG1039" s="38"/>
      <c r="AH1039" s="38"/>
      <c r="AI1039" s="38"/>
      <c r="AJ1039" s="38"/>
      <c r="AK1039" s="38"/>
      <c r="AL1039" s="38"/>
      <c r="AM1039" s="38"/>
      <c r="AN1039" s="38"/>
      <c r="AO1039" s="38"/>
      <c r="AP1039" s="38"/>
      <c r="AQ1039" s="38"/>
      <c r="AR1039" s="38"/>
      <c r="AS1039" s="38"/>
      <c r="AT1039" s="38"/>
      <c r="AU1039" s="38"/>
      <c r="AV1039" s="38"/>
      <c r="AW1039" s="38"/>
      <c r="AX1039" s="38"/>
      <c r="AY1039" s="38"/>
      <c r="AZ1039" s="38"/>
      <c r="BA1039" s="38"/>
      <c r="BB1039" s="38"/>
      <c r="BC1039" s="38"/>
      <c r="BD1039" s="38"/>
      <c r="BE1039" s="38"/>
      <c r="BF1039" s="38"/>
      <c r="BG1039" s="38"/>
      <c r="BH1039" s="38"/>
      <c r="BI1039" s="38"/>
      <c r="BJ1039" s="38"/>
      <c r="BK1039" s="38"/>
      <c r="BL1039" s="38"/>
      <c r="BM1039" s="38"/>
      <c r="BN1039" s="38"/>
      <c r="BO1039" s="38"/>
      <c r="BP1039" s="38"/>
      <c r="BQ1039" s="38"/>
    </row>
    <row r="1040">
      <c r="A1040" s="37"/>
      <c r="B1040" s="322"/>
      <c r="C1040" s="144"/>
      <c r="D1040" s="144"/>
      <c r="E1040" s="37"/>
      <c r="F1040" s="37"/>
      <c r="G1040" s="37"/>
      <c r="H1040" s="33" t="str">
        <f t="shared" si="33"/>
        <v/>
      </c>
      <c r="I1040" s="37"/>
      <c r="J1040" s="37"/>
      <c r="K1040" s="37"/>
      <c r="L1040" s="37"/>
      <c r="M1040" s="14"/>
      <c r="N1040" s="15"/>
      <c r="O1040" s="16"/>
      <c r="P1040" s="16"/>
      <c r="Q1040" s="16"/>
      <c r="R1040" s="16"/>
      <c r="S1040" s="37" t="str">
        <f>IFERROR(__xludf.DUMMYFUNCTION("if(not(iserror(index(split(C1040, "" ""),2))), index(split(C1040, "" ""),1),"""")"),"")</f>
        <v/>
      </c>
      <c r="T1040" s="315" t="str">
        <f>IFERROR(__xludf.DUMMYFUNCTION("if(S1040="""",C1040,if(not(iserror(index(split(C1040, "" ""),3))), index(split(C1040, "" ""),3),index(split(C1040, "" ""),2)))"),"")</f>
        <v/>
      </c>
      <c r="U1040" s="38" t="b">
        <f t="shared" si="34"/>
        <v>0</v>
      </c>
      <c r="V1040" s="38"/>
      <c r="W1040" s="40"/>
      <c r="X1040" s="40"/>
      <c r="Y1040" s="38"/>
      <c r="Z1040" s="38"/>
      <c r="AA1040" s="38"/>
      <c r="AB1040" s="38"/>
      <c r="AC1040" s="38"/>
      <c r="AD1040" s="38"/>
      <c r="AE1040" s="38"/>
      <c r="AF1040" s="38"/>
      <c r="AG1040" s="38"/>
      <c r="AH1040" s="38"/>
      <c r="AI1040" s="38"/>
      <c r="AJ1040" s="38"/>
      <c r="AK1040" s="38"/>
      <c r="AL1040" s="38"/>
      <c r="AM1040" s="38"/>
      <c r="AN1040" s="38"/>
      <c r="AO1040" s="38"/>
      <c r="AP1040" s="38"/>
      <c r="AQ1040" s="38"/>
      <c r="AR1040" s="38"/>
      <c r="AS1040" s="38"/>
      <c r="AT1040" s="38"/>
      <c r="AU1040" s="38"/>
      <c r="AV1040" s="38"/>
      <c r="AW1040" s="38"/>
      <c r="AX1040" s="38"/>
      <c r="AY1040" s="38"/>
      <c r="AZ1040" s="38"/>
      <c r="BA1040" s="38"/>
      <c r="BB1040" s="38"/>
      <c r="BC1040" s="38"/>
      <c r="BD1040" s="38"/>
      <c r="BE1040" s="38"/>
      <c r="BF1040" s="38"/>
      <c r="BG1040" s="38"/>
      <c r="BH1040" s="38"/>
      <c r="BI1040" s="38"/>
      <c r="BJ1040" s="38"/>
      <c r="BK1040" s="38"/>
      <c r="BL1040" s="38"/>
      <c r="BM1040" s="38"/>
      <c r="BN1040" s="38"/>
      <c r="BO1040" s="38"/>
      <c r="BP1040" s="38"/>
      <c r="BQ1040" s="38"/>
    </row>
    <row r="1041">
      <c r="A1041" s="37"/>
      <c r="B1041" s="322"/>
      <c r="C1041" s="144"/>
      <c r="D1041" s="144"/>
      <c r="E1041" s="37"/>
      <c r="F1041" s="37"/>
      <c r="G1041" s="37"/>
      <c r="H1041" s="33" t="str">
        <f t="shared" si="33"/>
        <v/>
      </c>
      <c r="I1041" s="37"/>
      <c r="J1041" s="37"/>
      <c r="K1041" s="37"/>
      <c r="L1041" s="37"/>
      <c r="M1041" s="14"/>
      <c r="N1041" s="15"/>
      <c r="O1041" s="37"/>
      <c r="P1041" s="37"/>
      <c r="Q1041" s="64"/>
      <c r="R1041" s="16"/>
      <c r="S1041" s="37" t="str">
        <f>IFERROR(__xludf.DUMMYFUNCTION("if(not(iserror(index(split(C1041, "" ""),2))), index(split(C1041, "" ""),1),"""")"),"")</f>
        <v/>
      </c>
      <c r="T1041" s="315" t="str">
        <f>IFERROR(__xludf.DUMMYFUNCTION("if(S1041="""",C1041,if(not(iserror(index(split(C1041, "" ""),3))), index(split(C1041, "" ""),3),index(split(C1041, "" ""),2)))"),"")</f>
        <v/>
      </c>
      <c r="U1041" s="38" t="b">
        <f t="shared" si="34"/>
        <v>0</v>
      </c>
      <c r="V1041" s="38"/>
      <c r="W1041" s="40"/>
      <c r="X1041" s="40"/>
      <c r="Y1041" s="38"/>
      <c r="Z1041" s="38"/>
      <c r="AA1041" s="38"/>
      <c r="AB1041" s="38"/>
      <c r="AC1041" s="38"/>
      <c r="AD1041" s="38"/>
      <c r="AE1041" s="38"/>
      <c r="AF1041" s="38"/>
      <c r="AG1041" s="38"/>
      <c r="AH1041" s="38"/>
      <c r="AI1041" s="38"/>
      <c r="AJ1041" s="38"/>
      <c r="AK1041" s="38"/>
      <c r="AL1041" s="38"/>
      <c r="AM1041" s="38"/>
      <c r="AN1041" s="38"/>
      <c r="AO1041" s="38"/>
      <c r="AP1041" s="38"/>
      <c r="AQ1041" s="38"/>
      <c r="AR1041" s="38"/>
      <c r="AS1041" s="38"/>
      <c r="AT1041" s="38"/>
      <c r="AU1041" s="38"/>
      <c r="AV1041" s="38"/>
      <c r="AW1041" s="38"/>
      <c r="AX1041" s="38"/>
      <c r="AY1041" s="38"/>
      <c r="AZ1041" s="38"/>
      <c r="BA1041" s="38"/>
      <c r="BB1041" s="38"/>
      <c r="BC1041" s="38"/>
      <c r="BD1041" s="38"/>
      <c r="BE1041" s="38"/>
      <c r="BF1041" s="38"/>
      <c r="BG1041" s="38"/>
      <c r="BH1041" s="38"/>
      <c r="BI1041" s="38"/>
      <c r="BJ1041" s="38"/>
      <c r="BK1041" s="38"/>
      <c r="BL1041" s="38"/>
      <c r="BM1041" s="38"/>
      <c r="BN1041" s="38"/>
      <c r="BO1041" s="38"/>
      <c r="BP1041" s="38"/>
      <c r="BQ1041" s="38"/>
    </row>
    <row r="1042">
      <c r="A1042" s="37"/>
      <c r="B1042" s="322"/>
      <c r="C1042" s="144"/>
      <c r="D1042" s="144"/>
      <c r="E1042" s="37"/>
      <c r="F1042" s="37"/>
      <c r="G1042" s="37"/>
      <c r="H1042" s="33" t="str">
        <f t="shared" si="33"/>
        <v/>
      </c>
      <c r="I1042" s="37"/>
      <c r="J1042" s="37"/>
      <c r="K1042" s="37"/>
      <c r="L1042" s="37"/>
      <c r="M1042" s="14"/>
      <c r="N1042" s="14"/>
      <c r="O1042" s="37"/>
      <c r="P1042" s="37"/>
      <c r="Q1042" s="37"/>
      <c r="R1042" s="16"/>
      <c r="S1042" s="37" t="str">
        <f>IFERROR(__xludf.DUMMYFUNCTION("if(not(iserror(index(split(C1042, "" ""),2))), index(split(C1042, "" ""),1),"""")"),"")</f>
        <v/>
      </c>
      <c r="T1042" s="315" t="str">
        <f>IFERROR(__xludf.DUMMYFUNCTION("if(S1042="""",C1042,if(not(iserror(index(split(C1042, "" ""),3))), index(split(C1042, "" ""),3),index(split(C1042, "" ""),2)))"),"")</f>
        <v/>
      </c>
      <c r="U1042" s="38" t="b">
        <f t="shared" si="34"/>
        <v>0</v>
      </c>
      <c r="V1042" s="38"/>
      <c r="W1042" s="40"/>
      <c r="X1042" s="40"/>
      <c r="Y1042" s="38"/>
      <c r="Z1042" s="38"/>
      <c r="AA1042" s="38"/>
      <c r="AB1042" s="38"/>
      <c r="AC1042" s="38"/>
      <c r="AD1042" s="38"/>
      <c r="AE1042" s="38"/>
      <c r="AF1042" s="38"/>
      <c r="AG1042" s="38"/>
      <c r="AH1042" s="38"/>
      <c r="AI1042" s="38"/>
      <c r="AJ1042" s="38"/>
      <c r="AK1042" s="38"/>
      <c r="AL1042" s="38"/>
      <c r="AM1042" s="38"/>
      <c r="AN1042" s="38"/>
      <c r="AO1042" s="38"/>
      <c r="AP1042" s="38"/>
      <c r="AQ1042" s="38"/>
      <c r="AR1042" s="38"/>
      <c r="AS1042" s="38"/>
      <c r="AT1042" s="38"/>
      <c r="AU1042" s="38"/>
      <c r="AV1042" s="38"/>
      <c r="AW1042" s="38"/>
      <c r="AX1042" s="38"/>
      <c r="AY1042" s="38"/>
      <c r="AZ1042" s="38"/>
      <c r="BA1042" s="38"/>
      <c r="BB1042" s="38"/>
      <c r="BC1042" s="38"/>
      <c r="BD1042" s="38"/>
      <c r="BE1042" s="38"/>
      <c r="BF1042" s="38"/>
      <c r="BG1042" s="38"/>
      <c r="BH1042" s="38"/>
      <c r="BI1042" s="38"/>
      <c r="BJ1042" s="38"/>
      <c r="BK1042" s="38"/>
      <c r="BL1042" s="38"/>
      <c r="BM1042" s="38"/>
      <c r="BN1042" s="38"/>
      <c r="BO1042" s="38"/>
      <c r="BP1042" s="38"/>
      <c r="BQ1042" s="38"/>
    </row>
    <row r="1043">
      <c r="A1043" s="37"/>
      <c r="B1043" s="322"/>
      <c r="C1043" s="144"/>
      <c r="D1043" s="144"/>
      <c r="E1043" s="37"/>
      <c r="F1043" s="37"/>
      <c r="G1043" s="37"/>
      <c r="H1043" s="33" t="str">
        <f t="shared" si="33"/>
        <v/>
      </c>
      <c r="I1043" s="37"/>
      <c r="J1043" s="37"/>
      <c r="K1043" s="37"/>
      <c r="L1043" s="37"/>
      <c r="M1043" s="14"/>
      <c r="N1043" s="15"/>
      <c r="O1043" s="37"/>
      <c r="P1043" s="37"/>
      <c r="Q1043" s="64"/>
      <c r="R1043" s="16"/>
      <c r="S1043" s="37" t="str">
        <f>IFERROR(__xludf.DUMMYFUNCTION("if(not(iserror(index(split(C1043, "" ""),2))), index(split(C1043, "" ""),1),"""")"),"")</f>
        <v/>
      </c>
      <c r="T1043" s="315" t="str">
        <f>IFERROR(__xludf.DUMMYFUNCTION("if(S1043="""",C1043,if(not(iserror(index(split(C1043, "" ""),3))), index(split(C1043, "" ""),3),index(split(C1043, "" ""),2)))"),"")</f>
        <v/>
      </c>
      <c r="U1043" s="38" t="b">
        <f t="shared" si="34"/>
        <v>0</v>
      </c>
      <c r="V1043" s="38"/>
      <c r="W1043" s="40"/>
      <c r="X1043" s="40"/>
      <c r="Y1043" s="38"/>
      <c r="Z1043" s="38"/>
      <c r="AA1043" s="38"/>
      <c r="AB1043" s="38"/>
      <c r="AC1043" s="38"/>
      <c r="AD1043" s="38"/>
      <c r="AE1043" s="38"/>
      <c r="AF1043" s="38"/>
      <c r="AG1043" s="38"/>
      <c r="AH1043" s="38"/>
      <c r="AI1043" s="38"/>
      <c r="AJ1043" s="38"/>
      <c r="AK1043" s="38"/>
      <c r="AL1043" s="38"/>
      <c r="AM1043" s="38"/>
      <c r="AN1043" s="38"/>
      <c r="AO1043" s="38"/>
      <c r="AP1043" s="38"/>
      <c r="AQ1043" s="38"/>
      <c r="AR1043" s="38"/>
      <c r="AS1043" s="38"/>
      <c r="AT1043" s="38"/>
      <c r="AU1043" s="38"/>
      <c r="AV1043" s="38"/>
      <c r="AW1043" s="38"/>
      <c r="AX1043" s="38"/>
      <c r="AY1043" s="38"/>
      <c r="AZ1043" s="38"/>
      <c r="BA1043" s="38"/>
      <c r="BB1043" s="38"/>
      <c r="BC1043" s="38"/>
      <c r="BD1043" s="38"/>
      <c r="BE1043" s="38"/>
      <c r="BF1043" s="38"/>
      <c r="BG1043" s="38"/>
      <c r="BH1043" s="38"/>
      <c r="BI1043" s="38"/>
      <c r="BJ1043" s="38"/>
      <c r="BK1043" s="38"/>
      <c r="BL1043" s="38"/>
      <c r="BM1043" s="38"/>
      <c r="BN1043" s="38"/>
      <c r="BO1043" s="38"/>
      <c r="BP1043" s="38"/>
      <c r="BQ1043" s="38"/>
    </row>
    <row r="1044">
      <c r="A1044" s="37"/>
      <c r="B1044" s="322"/>
      <c r="C1044" s="144"/>
      <c r="D1044" s="144"/>
      <c r="E1044" s="37"/>
      <c r="F1044" s="37"/>
      <c r="G1044" s="37"/>
      <c r="H1044" s="33" t="str">
        <f t="shared" si="33"/>
        <v/>
      </c>
      <c r="I1044" s="37"/>
      <c r="J1044" s="37"/>
      <c r="K1044" s="37"/>
      <c r="L1044" s="37"/>
      <c r="M1044" s="14"/>
      <c r="N1044" s="15"/>
      <c r="O1044" s="16"/>
      <c r="P1044" s="16"/>
      <c r="Q1044" s="16"/>
      <c r="R1044" s="16"/>
      <c r="S1044" s="37" t="str">
        <f>IFERROR(__xludf.DUMMYFUNCTION("if(not(iserror(index(split(C1044, "" ""),2))), index(split(C1044, "" ""),1),"""")"),"")</f>
        <v/>
      </c>
      <c r="T1044" s="315" t="str">
        <f>IFERROR(__xludf.DUMMYFUNCTION("if(S1044="""",C1044,if(not(iserror(index(split(C1044, "" ""),3))), index(split(C1044, "" ""),3),index(split(C1044, "" ""),2)))"),"")</f>
        <v/>
      </c>
      <c r="U1044" s="38" t="b">
        <f t="shared" si="34"/>
        <v>0</v>
      </c>
      <c r="V1044" s="38"/>
      <c r="W1044" s="40"/>
      <c r="X1044" s="40"/>
      <c r="Y1044" s="38"/>
      <c r="Z1044" s="38"/>
      <c r="AA1044" s="38"/>
      <c r="AB1044" s="38"/>
      <c r="AC1044" s="38"/>
      <c r="AD1044" s="38"/>
      <c r="AE1044" s="38"/>
      <c r="AF1044" s="38"/>
      <c r="AG1044" s="38"/>
      <c r="AH1044" s="38"/>
      <c r="AI1044" s="38"/>
      <c r="AJ1044" s="38"/>
      <c r="AK1044" s="38"/>
      <c r="AL1044" s="38"/>
      <c r="AM1044" s="38"/>
      <c r="AN1044" s="38"/>
      <c r="AO1044" s="38"/>
      <c r="AP1044" s="38"/>
      <c r="AQ1044" s="38"/>
      <c r="AR1044" s="38"/>
      <c r="AS1044" s="38"/>
      <c r="AT1044" s="38"/>
      <c r="AU1044" s="38"/>
      <c r="AV1044" s="38"/>
      <c r="AW1044" s="38"/>
      <c r="AX1044" s="38"/>
      <c r="AY1044" s="38"/>
      <c r="AZ1044" s="38"/>
      <c r="BA1044" s="38"/>
      <c r="BB1044" s="38"/>
      <c r="BC1044" s="38"/>
      <c r="BD1044" s="38"/>
      <c r="BE1044" s="38"/>
      <c r="BF1044" s="38"/>
      <c r="BG1044" s="38"/>
      <c r="BH1044" s="38"/>
      <c r="BI1044" s="38"/>
      <c r="BJ1044" s="38"/>
      <c r="BK1044" s="38"/>
      <c r="BL1044" s="38"/>
      <c r="BM1044" s="38"/>
      <c r="BN1044" s="38"/>
      <c r="BO1044" s="38"/>
      <c r="BP1044" s="38"/>
      <c r="BQ1044" s="38"/>
    </row>
    <row r="1045">
      <c r="A1045" s="37"/>
      <c r="B1045" s="322"/>
      <c r="C1045" s="144"/>
      <c r="D1045" s="144"/>
      <c r="E1045" s="37"/>
      <c r="F1045" s="37"/>
      <c r="G1045" s="37"/>
      <c r="H1045" s="33" t="str">
        <f t="shared" si="33"/>
        <v/>
      </c>
      <c r="I1045" s="37"/>
      <c r="J1045" s="37"/>
      <c r="K1045" s="37"/>
      <c r="L1045" s="37"/>
      <c r="M1045" s="14"/>
      <c r="N1045" s="15"/>
      <c r="O1045" s="16"/>
      <c r="P1045" s="16"/>
      <c r="Q1045" s="16"/>
      <c r="R1045" s="16"/>
      <c r="S1045" s="37" t="str">
        <f>IFERROR(__xludf.DUMMYFUNCTION("if(not(iserror(index(split(C1045, "" ""),2))), index(split(C1045, "" ""),1),"""")"),"")</f>
        <v/>
      </c>
      <c r="T1045" s="315" t="str">
        <f>IFERROR(__xludf.DUMMYFUNCTION("if(S1045="""",C1045,if(not(iserror(index(split(C1045, "" ""),3))), index(split(C1045, "" ""),3),index(split(C1045, "" ""),2)))"),"")</f>
        <v/>
      </c>
      <c r="U1045" s="38" t="b">
        <f t="shared" si="34"/>
        <v>0</v>
      </c>
      <c r="V1045" s="38"/>
      <c r="W1045" s="40"/>
      <c r="X1045" s="40"/>
      <c r="Y1045" s="38"/>
      <c r="Z1045" s="38"/>
      <c r="AA1045" s="38"/>
      <c r="AB1045" s="38"/>
      <c r="AC1045" s="38"/>
      <c r="AD1045" s="38"/>
      <c r="AE1045" s="38"/>
      <c r="AF1045" s="38"/>
      <c r="AG1045" s="38"/>
      <c r="AH1045" s="38"/>
      <c r="AI1045" s="38"/>
      <c r="AJ1045" s="38"/>
      <c r="AK1045" s="38"/>
      <c r="AL1045" s="38"/>
      <c r="AM1045" s="38"/>
      <c r="AN1045" s="38"/>
      <c r="AO1045" s="38"/>
      <c r="AP1045" s="38"/>
      <c r="AQ1045" s="38"/>
      <c r="AR1045" s="38"/>
      <c r="AS1045" s="38"/>
      <c r="AT1045" s="38"/>
      <c r="AU1045" s="38"/>
      <c r="AV1045" s="38"/>
      <c r="AW1045" s="38"/>
      <c r="AX1045" s="38"/>
      <c r="AY1045" s="38"/>
      <c r="AZ1045" s="38"/>
      <c r="BA1045" s="38"/>
      <c r="BB1045" s="38"/>
      <c r="BC1045" s="38"/>
      <c r="BD1045" s="38"/>
      <c r="BE1045" s="38"/>
      <c r="BF1045" s="38"/>
      <c r="BG1045" s="38"/>
      <c r="BH1045" s="38"/>
      <c r="BI1045" s="38"/>
      <c r="BJ1045" s="38"/>
      <c r="BK1045" s="38"/>
      <c r="BL1045" s="38"/>
      <c r="BM1045" s="38"/>
      <c r="BN1045" s="38"/>
      <c r="BO1045" s="38"/>
      <c r="BP1045" s="38"/>
      <c r="BQ1045" s="38"/>
    </row>
    <row r="1046">
      <c r="A1046" s="37"/>
      <c r="B1046" s="322"/>
      <c r="C1046" s="144"/>
      <c r="D1046" s="144"/>
      <c r="E1046" s="37"/>
      <c r="F1046" s="37"/>
      <c r="G1046" s="37"/>
      <c r="H1046" s="33" t="str">
        <f t="shared" si="33"/>
        <v/>
      </c>
      <c r="I1046" s="37"/>
      <c r="J1046" s="37"/>
      <c r="K1046" s="37"/>
      <c r="L1046" s="37"/>
      <c r="M1046" s="14"/>
      <c r="N1046" s="15"/>
      <c r="O1046" s="16"/>
      <c r="P1046" s="16"/>
      <c r="Q1046" s="16"/>
      <c r="R1046" s="16"/>
      <c r="S1046" s="37" t="str">
        <f>IFERROR(__xludf.DUMMYFUNCTION("if(not(iserror(index(split(C1046, "" ""),2))), index(split(C1046, "" ""),1),"""")"),"")</f>
        <v/>
      </c>
      <c r="T1046" s="315" t="str">
        <f>IFERROR(__xludf.DUMMYFUNCTION("if(S1046="""",C1046,if(not(iserror(index(split(C1046, "" ""),3))), index(split(C1046, "" ""),3),index(split(C1046, "" ""),2)))"),"")</f>
        <v/>
      </c>
      <c r="U1046" s="38" t="b">
        <f t="shared" si="34"/>
        <v>0</v>
      </c>
      <c r="V1046" s="38"/>
      <c r="W1046" s="40"/>
      <c r="X1046" s="40"/>
      <c r="Y1046" s="38"/>
      <c r="Z1046" s="38"/>
      <c r="AA1046" s="38"/>
      <c r="AB1046" s="38"/>
      <c r="AC1046" s="38"/>
      <c r="AD1046" s="38"/>
      <c r="AE1046" s="38"/>
      <c r="AF1046" s="38"/>
      <c r="AG1046" s="38"/>
      <c r="AH1046" s="38"/>
      <c r="AI1046" s="38"/>
      <c r="AJ1046" s="38"/>
      <c r="AK1046" s="38"/>
      <c r="AL1046" s="38"/>
      <c r="AM1046" s="38"/>
      <c r="AN1046" s="38"/>
      <c r="AO1046" s="38"/>
      <c r="AP1046" s="38"/>
      <c r="AQ1046" s="38"/>
      <c r="AR1046" s="38"/>
      <c r="AS1046" s="38"/>
      <c r="AT1046" s="38"/>
      <c r="AU1046" s="38"/>
      <c r="AV1046" s="38"/>
      <c r="AW1046" s="38"/>
      <c r="AX1046" s="38"/>
      <c r="AY1046" s="38"/>
      <c r="AZ1046" s="38"/>
      <c r="BA1046" s="38"/>
      <c r="BB1046" s="38"/>
      <c r="BC1046" s="38"/>
      <c r="BD1046" s="38"/>
      <c r="BE1046" s="38"/>
      <c r="BF1046" s="38"/>
      <c r="BG1046" s="38"/>
      <c r="BH1046" s="38"/>
      <c r="BI1046" s="38"/>
      <c r="BJ1046" s="38"/>
      <c r="BK1046" s="38"/>
      <c r="BL1046" s="38"/>
      <c r="BM1046" s="38"/>
      <c r="BN1046" s="38"/>
      <c r="BO1046" s="38"/>
      <c r="BP1046" s="38"/>
      <c r="BQ1046" s="38"/>
    </row>
    <row r="1047">
      <c r="A1047" s="37"/>
      <c r="B1047" s="322"/>
      <c r="C1047" s="144"/>
      <c r="D1047" s="144"/>
      <c r="E1047" s="37"/>
      <c r="F1047" s="37"/>
      <c r="G1047" s="37"/>
      <c r="H1047" s="33" t="str">
        <f t="shared" si="33"/>
        <v/>
      </c>
      <c r="I1047" s="37"/>
      <c r="J1047" s="37"/>
      <c r="K1047" s="37"/>
      <c r="L1047" s="37"/>
      <c r="M1047" s="14"/>
      <c r="N1047" s="15"/>
      <c r="O1047" s="37"/>
      <c r="P1047" s="37"/>
      <c r="Q1047" s="64"/>
      <c r="R1047" s="16"/>
      <c r="S1047" s="37" t="str">
        <f>IFERROR(__xludf.DUMMYFUNCTION("if(not(iserror(index(split(C1047, "" ""),2))), index(split(C1047, "" ""),1),"""")"),"")</f>
        <v/>
      </c>
      <c r="T1047" s="315" t="str">
        <f>IFERROR(__xludf.DUMMYFUNCTION("if(S1047="""",C1047,if(not(iserror(index(split(C1047, "" ""),3))), index(split(C1047, "" ""),3),index(split(C1047, "" ""),2)))"),"")</f>
        <v/>
      </c>
      <c r="U1047" s="38" t="b">
        <f t="shared" si="34"/>
        <v>0</v>
      </c>
      <c r="V1047" s="38"/>
      <c r="W1047" s="40"/>
      <c r="X1047" s="40"/>
      <c r="Y1047" s="38"/>
      <c r="Z1047" s="38"/>
      <c r="AA1047" s="38"/>
      <c r="AB1047" s="38"/>
      <c r="AC1047" s="38"/>
      <c r="AD1047" s="38"/>
      <c r="AE1047" s="38"/>
      <c r="AF1047" s="38"/>
      <c r="AG1047" s="38"/>
      <c r="AH1047" s="38"/>
      <c r="AI1047" s="38"/>
      <c r="AJ1047" s="38"/>
      <c r="AK1047" s="38"/>
      <c r="AL1047" s="38"/>
      <c r="AM1047" s="38"/>
      <c r="AN1047" s="38"/>
      <c r="AO1047" s="38"/>
      <c r="AP1047" s="38"/>
      <c r="AQ1047" s="38"/>
      <c r="AR1047" s="38"/>
      <c r="AS1047" s="38"/>
      <c r="AT1047" s="38"/>
      <c r="AU1047" s="38"/>
      <c r="AV1047" s="38"/>
      <c r="AW1047" s="38"/>
      <c r="AX1047" s="38"/>
      <c r="AY1047" s="38"/>
      <c r="AZ1047" s="38"/>
      <c r="BA1047" s="38"/>
      <c r="BB1047" s="38"/>
      <c r="BC1047" s="38"/>
      <c r="BD1047" s="38"/>
      <c r="BE1047" s="38"/>
      <c r="BF1047" s="38"/>
      <c r="BG1047" s="38"/>
      <c r="BH1047" s="38"/>
      <c r="BI1047" s="38"/>
      <c r="BJ1047" s="38"/>
      <c r="BK1047" s="38"/>
      <c r="BL1047" s="38"/>
      <c r="BM1047" s="38"/>
      <c r="BN1047" s="38"/>
      <c r="BO1047" s="38"/>
      <c r="BP1047" s="38"/>
      <c r="BQ1047" s="38"/>
    </row>
    <row r="1048">
      <c r="A1048" s="37"/>
      <c r="B1048" s="322"/>
      <c r="C1048" s="144"/>
      <c r="D1048" s="144"/>
      <c r="E1048" s="37"/>
      <c r="F1048" s="37"/>
      <c r="G1048" s="37"/>
      <c r="H1048" s="33" t="str">
        <f t="shared" si="33"/>
        <v/>
      </c>
      <c r="I1048" s="37"/>
      <c r="J1048" s="37"/>
      <c r="K1048" s="37"/>
      <c r="L1048" s="37"/>
      <c r="M1048" s="14"/>
      <c r="N1048" s="15"/>
      <c r="O1048" s="16"/>
      <c r="P1048" s="37"/>
      <c r="Q1048" s="64"/>
      <c r="R1048" s="16"/>
      <c r="S1048" s="37" t="str">
        <f>IFERROR(__xludf.DUMMYFUNCTION("if(not(iserror(index(split(C1048, "" ""),2))), index(split(C1048, "" ""),1),"""")"),"")</f>
        <v/>
      </c>
      <c r="T1048" s="315" t="str">
        <f>IFERROR(__xludf.DUMMYFUNCTION("if(S1048="""",C1048,if(not(iserror(index(split(C1048, "" ""),3))), index(split(C1048, "" ""),3),index(split(C1048, "" ""),2)))"),"")</f>
        <v/>
      </c>
      <c r="U1048" s="38" t="b">
        <f t="shared" si="34"/>
        <v>0</v>
      </c>
      <c r="V1048" s="38"/>
      <c r="W1048" s="40"/>
      <c r="X1048" s="40"/>
      <c r="Y1048" s="38"/>
      <c r="Z1048" s="38"/>
      <c r="AA1048" s="38"/>
      <c r="AB1048" s="38"/>
      <c r="AC1048" s="38"/>
      <c r="AD1048" s="38"/>
      <c r="AE1048" s="38"/>
      <c r="AF1048" s="38"/>
      <c r="AG1048" s="38"/>
      <c r="AH1048" s="38"/>
      <c r="AI1048" s="38"/>
      <c r="AJ1048" s="38"/>
      <c r="AK1048" s="38"/>
      <c r="AL1048" s="38"/>
      <c r="AM1048" s="38"/>
      <c r="AN1048" s="38"/>
      <c r="AO1048" s="38"/>
      <c r="AP1048" s="38"/>
      <c r="AQ1048" s="38"/>
      <c r="AR1048" s="38"/>
      <c r="AS1048" s="38"/>
      <c r="AT1048" s="38"/>
      <c r="AU1048" s="38"/>
      <c r="AV1048" s="38"/>
      <c r="AW1048" s="38"/>
      <c r="AX1048" s="38"/>
      <c r="AY1048" s="38"/>
      <c r="AZ1048" s="38"/>
      <c r="BA1048" s="38"/>
      <c r="BB1048" s="38"/>
      <c r="BC1048" s="38"/>
      <c r="BD1048" s="38"/>
      <c r="BE1048" s="38"/>
      <c r="BF1048" s="38"/>
      <c r="BG1048" s="38"/>
      <c r="BH1048" s="38"/>
      <c r="BI1048" s="38"/>
      <c r="BJ1048" s="38"/>
      <c r="BK1048" s="38"/>
      <c r="BL1048" s="38"/>
      <c r="BM1048" s="38"/>
      <c r="BN1048" s="38"/>
      <c r="BO1048" s="38"/>
      <c r="BP1048" s="38"/>
      <c r="BQ1048" s="38"/>
    </row>
    <row r="1049">
      <c r="A1049" s="37"/>
      <c r="B1049" s="322"/>
      <c r="C1049" s="144"/>
      <c r="D1049" s="144"/>
      <c r="E1049" s="37"/>
      <c r="F1049" s="37"/>
      <c r="G1049" s="37"/>
      <c r="H1049" s="33" t="str">
        <f t="shared" si="33"/>
        <v/>
      </c>
      <c r="I1049" s="37"/>
      <c r="J1049" s="37"/>
      <c r="K1049" s="37"/>
      <c r="L1049" s="37"/>
      <c r="M1049" s="14"/>
      <c r="N1049" s="15"/>
      <c r="O1049" s="16"/>
      <c r="P1049" s="16"/>
      <c r="Q1049" s="16"/>
      <c r="R1049" s="16"/>
      <c r="S1049" s="37" t="str">
        <f>IFERROR(__xludf.DUMMYFUNCTION("if(not(iserror(index(split(C1049, "" ""),2))), index(split(C1049, "" ""),1),"""")"),"")</f>
        <v/>
      </c>
      <c r="T1049" s="315" t="str">
        <f>IFERROR(__xludf.DUMMYFUNCTION("if(S1049="""",C1049,if(not(iserror(index(split(C1049, "" ""),3))), index(split(C1049, "" ""),3),index(split(C1049, "" ""),2)))"),"")</f>
        <v/>
      </c>
      <c r="U1049" s="38" t="b">
        <f t="shared" si="34"/>
        <v>0</v>
      </c>
      <c r="V1049" s="38"/>
      <c r="W1049" s="40"/>
      <c r="X1049" s="40"/>
      <c r="Y1049" s="38"/>
      <c r="Z1049" s="38"/>
      <c r="AA1049" s="38"/>
      <c r="AB1049" s="38"/>
      <c r="AC1049" s="38"/>
      <c r="AD1049" s="38"/>
      <c r="AE1049" s="38"/>
      <c r="AF1049" s="38"/>
      <c r="AG1049" s="38"/>
      <c r="AH1049" s="38"/>
      <c r="AI1049" s="38"/>
      <c r="AJ1049" s="38"/>
      <c r="AK1049" s="38"/>
      <c r="AL1049" s="38"/>
      <c r="AM1049" s="38"/>
      <c r="AN1049" s="38"/>
      <c r="AO1049" s="38"/>
      <c r="AP1049" s="38"/>
      <c r="AQ1049" s="38"/>
      <c r="AR1049" s="38"/>
      <c r="AS1049" s="38"/>
      <c r="AT1049" s="38"/>
      <c r="AU1049" s="38"/>
      <c r="AV1049" s="38"/>
      <c r="AW1049" s="38"/>
      <c r="AX1049" s="38"/>
      <c r="AY1049" s="38"/>
      <c r="AZ1049" s="38"/>
      <c r="BA1049" s="38"/>
      <c r="BB1049" s="38"/>
      <c r="BC1049" s="38"/>
      <c r="BD1049" s="38"/>
      <c r="BE1049" s="38"/>
      <c r="BF1049" s="38"/>
      <c r="BG1049" s="38"/>
      <c r="BH1049" s="38"/>
      <c r="BI1049" s="38"/>
      <c r="BJ1049" s="38"/>
      <c r="BK1049" s="38"/>
      <c r="BL1049" s="38"/>
      <c r="BM1049" s="38"/>
      <c r="BN1049" s="38"/>
      <c r="BO1049" s="38"/>
      <c r="BP1049" s="38"/>
      <c r="BQ1049" s="38"/>
    </row>
    <row r="1050">
      <c r="A1050" s="37"/>
      <c r="B1050" s="322"/>
      <c r="C1050" s="144"/>
      <c r="D1050" s="144"/>
      <c r="E1050" s="37"/>
      <c r="F1050" s="37"/>
      <c r="G1050" s="37"/>
      <c r="H1050" s="33" t="str">
        <f t="shared" si="33"/>
        <v/>
      </c>
      <c r="I1050" s="37"/>
      <c r="J1050" s="37"/>
      <c r="K1050" s="37"/>
      <c r="L1050" s="37"/>
      <c r="M1050" s="14"/>
      <c r="N1050" s="15"/>
      <c r="O1050" s="37"/>
      <c r="P1050" s="37"/>
      <c r="Q1050" s="64"/>
      <c r="R1050" s="16"/>
      <c r="S1050" s="37" t="str">
        <f>IFERROR(__xludf.DUMMYFUNCTION("if(not(iserror(index(split(C1050, "" ""),2))), index(split(C1050, "" ""),1),"""")"),"")</f>
        <v/>
      </c>
      <c r="T1050" s="315" t="str">
        <f>IFERROR(__xludf.DUMMYFUNCTION("if(S1050="""",C1050,if(not(iserror(index(split(C1050, "" ""),3))), index(split(C1050, "" ""),3),index(split(C1050, "" ""),2)))"),"")</f>
        <v/>
      </c>
      <c r="U1050" s="38" t="b">
        <f t="shared" si="34"/>
        <v>0</v>
      </c>
      <c r="V1050" s="38"/>
      <c r="W1050" s="40"/>
      <c r="X1050" s="40"/>
      <c r="Y1050" s="38"/>
      <c r="Z1050" s="38"/>
      <c r="AA1050" s="38"/>
      <c r="AB1050" s="38"/>
      <c r="AC1050" s="38"/>
      <c r="AD1050" s="38"/>
      <c r="AE1050" s="38"/>
      <c r="AF1050" s="38"/>
      <c r="AG1050" s="38"/>
      <c r="AH1050" s="38"/>
      <c r="AI1050" s="38"/>
      <c r="AJ1050" s="38"/>
      <c r="AK1050" s="38"/>
      <c r="AL1050" s="38"/>
      <c r="AM1050" s="38"/>
      <c r="AN1050" s="38"/>
      <c r="AO1050" s="38"/>
      <c r="AP1050" s="38"/>
      <c r="AQ1050" s="38"/>
      <c r="AR1050" s="38"/>
      <c r="AS1050" s="38"/>
      <c r="AT1050" s="38"/>
      <c r="AU1050" s="38"/>
      <c r="AV1050" s="38"/>
      <c r="AW1050" s="38"/>
      <c r="AX1050" s="38"/>
      <c r="AY1050" s="38"/>
      <c r="AZ1050" s="38"/>
      <c r="BA1050" s="38"/>
      <c r="BB1050" s="38"/>
      <c r="BC1050" s="38"/>
      <c r="BD1050" s="38"/>
      <c r="BE1050" s="38"/>
      <c r="BF1050" s="38"/>
      <c r="BG1050" s="38"/>
      <c r="BH1050" s="38"/>
      <c r="BI1050" s="38"/>
      <c r="BJ1050" s="38"/>
      <c r="BK1050" s="38"/>
      <c r="BL1050" s="38"/>
      <c r="BM1050" s="38"/>
      <c r="BN1050" s="38"/>
      <c r="BO1050" s="38"/>
      <c r="BP1050" s="38"/>
      <c r="BQ1050" s="38"/>
    </row>
    <row r="1051">
      <c r="A1051" s="37"/>
      <c r="B1051" s="322"/>
      <c r="C1051" s="144"/>
      <c r="D1051" s="144"/>
      <c r="E1051" s="37"/>
      <c r="F1051" s="37"/>
      <c r="G1051" s="37"/>
      <c r="H1051" s="33" t="str">
        <f t="shared" si="33"/>
        <v/>
      </c>
      <c r="I1051" s="37"/>
      <c r="J1051" s="37"/>
      <c r="K1051" s="37"/>
      <c r="L1051" s="37"/>
      <c r="M1051" s="14"/>
      <c r="N1051" s="15"/>
      <c r="O1051" s="16"/>
      <c r="P1051" s="37"/>
      <c r="Q1051" s="64"/>
      <c r="R1051" s="16"/>
      <c r="S1051" s="37" t="str">
        <f>IFERROR(__xludf.DUMMYFUNCTION("if(not(iserror(index(split(C1051, "" ""),2))), index(split(C1051, "" ""),1),"""")"),"")</f>
        <v/>
      </c>
      <c r="T1051" s="315" t="str">
        <f>IFERROR(__xludf.DUMMYFUNCTION("if(S1051="""",C1051,if(not(iserror(index(split(C1051, "" ""),3))), index(split(C1051, "" ""),3),index(split(C1051, "" ""),2)))"),"")</f>
        <v/>
      </c>
      <c r="U1051" s="38" t="b">
        <f t="shared" si="34"/>
        <v>0</v>
      </c>
      <c r="V1051" s="38"/>
      <c r="W1051" s="40"/>
      <c r="X1051" s="40"/>
      <c r="Y1051" s="38"/>
      <c r="Z1051" s="38"/>
      <c r="AA1051" s="38"/>
      <c r="AB1051" s="38"/>
      <c r="AC1051" s="38"/>
      <c r="AD1051" s="38"/>
      <c r="AE1051" s="38"/>
      <c r="AF1051" s="38"/>
      <c r="AG1051" s="38"/>
      <c r="AH1051" s="38"/>
      <c r="AI1051" s="38"/>
      <c r="AJ1051" s="38"/>
      <c r="AK1051" s="38"/>
      <c r="AL1051" s="38"/>
      <c r="AM1051" s="38"/>
      <c r="AN1051" s="38"/>
      <c r="AO1051" s="38"/>
      <c r="AP1051" s="38"/>
      <c r="AQ1051" s="38"/>
      <c r="AR1051" s="38"/>
      <c r="AS1051" s="38"/>
      <c r="AT1051" s="38"/>
      <c r="AU1051" s="38"/>
      <c r="AV1051" s="38"/>
      <c r="AW1051" s="38"/>
      <c r="AX1051" s="38"/>
      <c r="AY1051" s="38"/>
      <c r="AZ1051" s="38"/>
      <c r="BA1051" s="38"/>
      <c r="BB1051" s="38"/>
      <c r="BC1051" s="38"/>
      <c r="BD1051" s="38"/>
      <c r="BE1051" s="38"/>
      <c r="BF1051" s="38"/>
      <c r="BG1051" s="38"/>
      <c r="BH1051" s="38"/>
      <c r="BI1051" s="38"/>
      <c r="BJ1051" s="38"/>
      <c r="BK1051" s="38"/>
      <c r="BL1051" s="38"/>
      <c r="BM1051" s="38"/>
      <c r="BN1051" s="38"/>
      <c r="BO1051" s="38"/>
      <c r="BP1051" s="38"/>
      <c r="BQ1051" s="38"/>
    </row>
    <row r="1052">
      <c r="A1052" s="37"/>
      <c r="B1052" s="322"/>
      <c r="C1052" s="144"/>
      <c r="D1052" s="144"/>
      <c r="E1052" s="37"/>
      <c r="F1052" s="37"/>
      <c r="G1052" s="37"/>
      <c r="H1052" s="33" t="str">
        <f t="shared" si="33"/>
        <v/>
      </c>
      <c r="I1052" s="37"/>
      <c r="J1052" s="37"/>
      <c r="K1052" s="37"/>
      <c r="L1052" s="58"/>
      <c r="M1052" s="14"/>
      <c r="N1052" s="15"/>
      <c r="O1052" s="37"/>
      <c r="P1052" s="16"/>
      <c r="Q1052" s="64"/>
      <c r="R1052" s="16"/>
      <c r="S1052" s="37" t="str">
        <f>IFERROR(__xludf.DUMMYFUNCTION("if(not(iserror(index(split(C1052, "" ""),2))), index(split(C1052, "" ""),1),"""")"),"")</f>
        <v/>
      </c>
      <c r="T1052" s="315" t="str">
        <f>IFERROR(__xludf.DUMMYFUNCTION("if(S1052="""",C1052,if(not(iserror(index(split(C1052, "" ""),3))), index(split(C1052, "" ""),3),index(split(C1052, "" ""),2)))"),"")</f>
        <v/>
      </c>
      <c r="U1052" s="38" t="b">
        <f t="shared" si="34"/>
        <v>0</v>
      </c>
      <c r="V1052" s="38"/>
      <c r="W1052" s="40"/>
      <c r="X1052" s="40"/>
      <c r="Y1052" s="38"/>
      <c r="Z1052" s="38"/>
      <c r="AA1052" s="38"/>
      <c r="AB1052" s="38"/>
      <c r="AC1052" s="38"/>
      <c r="AD1052" s="38"/>
      <c r="AE1052" s="38"/>
      <c r="AF1052" s="38"/>
      <c r="AG1052" s="38"/>
      <c r="AH1052" s="38"/>
      <c r="AI1052" s="38"/>
      <c r="AJ1052" s="38"/>
      <c r="AK1052" s="38"/>
      <c r="AL1052" s="38"/>
      <c r="AM1052" s="38"/>
      <c r="AN1052" s="38"/>
      <c r="AO1052" s="38"/>
      <c r="AP1052" s="38"/>
      <c r="AQ1052" s="38"/>
      <c r="AR1052" s="38"/>
      <c r="AS1052" s="38"/>
      <c r="AT1052" s="38"/>
      <c r="AU1052" s="38"/>
      <c r="AV1052" s="38"/>
      <c r="AW1052" s="38"/>
      <c r="AX1052" s="38"/>
      <c r="AY1052" s="38"/>
      <c r="AZ1052" s="38"/>
      <c r="BA1052" s="38"/>
      <c r="BB1052" s="38"/>
      <c r="BC1052" s="38"/>
      <c r="BD1052" s="38"/>
      <c r="BE1052" s="38"/>
      <c r="BF1052" s="38"/>
      <c r="BG1052" s="38"/>
      <c r="BH1052" s="38"/>
      <c r="BI1052" s="38"/>
      <c r="BJ1052" s="38"/>
      <c r="BK1052" s="38"/>
      <c r="BL1052" s="38"/>
      <c r="BM1052" s="38"/>
      <c r="BN1052" s="38"/>
      <c r="BO1052" s="38"/>
      <c r="BP1052" s="38"/>
      <c r="BQ1052" s="38"/>
    </row>
    <row r="1053">
      <c r="A1053" s="37"/>
      <c r="B1053" s="159"/>
      <c r="C1053" s="144"/>
      <c r="D1053" s="144"/>
      <c r="E1053" s="37"/>
      <c r="F1053" s="37"/>
      <c r="G1053" s="37"/>
      <c r="H1053" s="33" t="str">
        <f t="shared" si="33"/>
        <v/>
      </c>
      <c r="I1053" s="37"/>
      <c r="J1053" s="37"/>
      <c r="K1053" s="37"/>
      <c r="L1053" s="58"/>
      <c r="M1053" s="14"/>
      <c r="N1053" s="15"/>
      <c r="O1053" s="37"/>
      <c r="P1053" s="16"/>
      <c r="Q1053" s="37"/>
      <c r="R1053" s="16"/>
      <c r="S1053" s="37" t="str">
        <f>IFERROR(__xludf.DUMMYFUNCTION("if(not(iserror(index(split(C1053, "" ""),2))), index(split(C1053, "" ""),1),"""")"),"")</f>
        <v/>
      </c>
      <c r="T1053" s="315" t="str">
        <f>IFERROR(__xludf.DUMMYFUNCTION("if(S1053="""",C1053,if(not(iserror(index(split(C1053, "" ""),3))), index(split(C1053, "" ""),3),index(split(C1053, "" ""),2)))"),"")</f>
        <v/>
      </c>
      <c r="U1053" s="38" t="b">
        <f t="shared" si="34"/>
        <v>0</v>
      </c>
      <c r="V1053" s="38"/>
      <c r="W1053" s="40"/>
      <c r="X1053" s="40"/>
      <c r="Y1053" s="38"/>
      <c r="Z1053" s="38"/>
      <c r="AA1053" s="38"/>
      <c r="AB1053" s="38"/>
      <c r="AC1053" s="38"/>
      <c r="AD1053" s="38"/>
      <c r="AE1053" s="38"/>
      <c r="AF1053" s="38"/>
      <c r="AG1053" s="38"/>
      <c r="AH1053" s="38"/>
      <c r="AI1053" s="38"/>
      <c r="AJ1053" s="38"/>
      <c r="AK1053" s="38"/>
      <c r="AL1053" s="38"/>
      <c r="AM1053" s="38"/>
      <c r="AN1053" s="38"/>
      <c r="AO1053" s="38"/>
      <c r="AP1053" s="38"/>
      <c r="AQ1053" s="38"/>
      <c r="AR1053" s="38"/>
      <c r="AS1053" s="38"/>
      <c r="AT1053" s="38"/>
      <c r="AU1053" s="38"/>
      <c r="AV1053" s="38"/>
      <c r="AW1053" s="38"/>
      <c r="AX1053" s="38"/>
      <c r="AY1053" s="38"/>
      <c r="AZ1053" s="38"/>
      <c r="BA1053" s="38"/>
      <c r="BB1053" s="38"/>
      <c r="BC1053" s="38"/>
      <c r="BD1053" s="38"/>
      <c r="BE1053" s="38"/>
      <c r="BF1053" s="38"/>
      <c r="BG1053" s="38"/>
      <c r="BH1053" s="38"/>
      <c r="BI1053" s="38"/>
      <c r="BJ1053" s="38"/>
      <c r="BK1053" s="38"/>
      <c r="BL1053" s="38"/>
      <c r="BM1053" s="38"/>
      <c r="BN1053" s="38"/>
      <c r="BO1053" s="38"/>
      <c r="BP1053" s="38"/>
      <c r="BQ1053" s="38"/>
    </row>
    <row r="1054">
      <c r="A1054" s="37"/>
      <c r="B1054" s="322"/>
      <c r="C1054" s="144"/>
      <c r="D1054" s="144"/>
      <c r="E1054" s="37"/>
      <c r="F1054" s="37"/>
      <c r="G1054" s="37"/>
      <c r="H1054" s="33" t="str">
        <f t="shared" si="33"/>
        <v/>
      </c>
      <c r="I1054" s="37"/>
      <c r="J1054" s="37"/>
      <c r="K1054" s="37"/>
      <c r="L1054" s="37"/>
      <c r="M1054" s="14"/>
      <c r="N1054" s="14"/>
      <c r="Q1054" s="64"/>
      <c r="R1054" s="16"/>
      <c r="S1054" s="37" t="str">
        <f>IFERROR(__xludf.DUMMYFUNCTION("if(not(iserror(index(split(C1054, "" ""),2))), index(split(C1054, "" ""),1),"""")"),"")</f>
        <v/>
      </c>
      <c r="T1054" s="315" t="str">
        <f>IFERROR(__xludf.DUMMYFUNCTION("if(S1054="""",C1054,if(not(iserror(index(split(C1054, "" ""),3))), index(split(C1054, "" ""),3),index(split(C1054, "" ""),2)))"),"")</f>
        <v/>
      </c>
      <c r="U1054" s="38" t="b">
        <f t="shared" si="34"/>
        <v>0</v>
      </c>
      <c r="V1054" s="38"/>
      <c r="W1054" s="40"/>
      <c r="X1054" s="40"/>
      <c r="Y1054" s="38"/>
      <c r="Z1054" s="38"/>
      <c r="AA1054" s="38"/>
      <c r="AB1054" s="38"/>
      <c r="AC1054" s="38"/>
      <c r="AD1054" s="38"/>
      <c r="AE1054" s="38"/>
      <c r="AF1054" s="38"/>
      <c r="AG1054" s="38"/>
      <c r="AH1054" s="38"/>
      <c r="AI1054" s="38"/>
      <c r="AJ1054" s="38"/>
      <c r="AK1054" s="38"/>
      <c r="AL1054" s="38"/>
      <c r="AM1054" s="38"/>
      <c r="AN1054" s="38"/>
      <c r="AO1054" s="38"/>
      <c r="AP1054" s="38"/>
      <c r="AQ1054" s="38"/>
      <c r="AR1054" s="38"/>
      <c r="AS1054" s="38"/>
      <c r="AT1054" s="38"/>
      <c r="AU1054" s="38"/>
      <c r="AV1054" s="38"/>
      <c r="AW1054" s="38"/>
      <c r="AX1054" s="38"/>
      <c r="AY1054" s="38"/>
      <c r="AZ1054" s="38"/>
      <c r="BA1054" s="38"/>
      <c r="BB1054" s="38"/>
      <c r="BC1054" s="38"/>
      <c r="BD1054" s="38"/>
      <c r="BE1054" s="38"/>
      <c r="BF1054" s="38"/>
      <c r="BG1054" s="38"/>
      <c r="BH1054" s="38"/>
      <c r="BI1054" s="38"/>
      <c r="BJ1054" s="38"/>
      <c r="BK1054" s="38"/>
      <c r="BL1054" s="38"/>
      <c r="BM1054" s="38"/>
      <c r="BN1054" s="38"/>
      <c r="BO1054" s="38"/>
      <c r="BP1054" s="38"/>
      <c r="BQ1054" s="38"/>
    </row>
    <row r="1055">
      <c r="A1055" s="37"/>
      <c r="B1055" s="341"/>
      <c r="C1055" s="60"/>
      <c r="D1055" s="60"/>
      <c r="E1055" s="58"/>
      <c r="F1055" s="58"/>
      <c r="G1055" s="58"/>
      <c r="H1055" s="33" t="str">
        <f t="shared" si="33"/>
        <v/>
      </c>
      <c r="I1055" s="58"/>
      <c r="J1055" s="58"/>
      <c r="K1055" s="58"/>
      <c r="L1055" s="58"/>
      <c r="M1055" s="80"/>
      <c r="N1055" s="77"/>
      <c r="O1055" s="62"/>
      <c r="P1055" s="62"/>
      <c r="Q1055" s="62"/>
      <c r="R1055" s="62"/>
      <c r="S1055" s="37" t="str">
        <f>IFERROR(__xludf.DUMMYFUNCTION("if(not(iserror(index(split(C1055, "" ""),2))), index(split(C1055, "" ""),1),"""")"),"")</f>
        <v/>
      </c>
      <c r="T1055" s="315" t="str">
        <f>IFERROR(__xludf.DUMMYFUNCTION("if(S1055="""",C1055,if(not(iserror(index(split(C1055, "" ""),3))), index(split(C1055, "" ""),3),index(split(C1055, "" ""),2)))"),"")</f>
        <v/>
      </c>
      <c r="U1055" s="38" t="b">
        <f t="shared" si="34"/>
        <v>0</v>
      </c>
      <c r="V1055" s="38"/>
      <c r="W1055" s="40"/>
      <c r="X1055" s="40"/>
      <c r="Y1055" s="38"/>
      <c r="Z1055" s="38"/>
      <c r="AA1055" s="38"/>
      <c r="AB1055" s="38"/>
      <c r="AC1055" s="38"/>
      <c r="AD1055" s="38"/>
      <c r="AE1055" s="38"/>
      <c r="AF1055" s="38"/>
      <c r="AG1055" s="38"/>
      <c r="AH1055" s="38"/>
      <c r="AI1055" s="38"/>
      <c r="AJ1055" s="38"/>
      <c r="AK1055" s="38"/>
      <c r="AL1055" s="38"/>
      <c r="AM1055" s="38"/>
      <c r="AN1055" s="38"/>
      <c r="AO1055" s="38"/>
      <c r="AP1055" s="38"/>
      <c r="AQ1055" s="38"/>
      <c r="AR1055" s="38"/>
      <c r="AS1055" s="38"/>
      <c r="AT1055" s="38"/>
      <c r="AU1055" s="38"/>
      <c r="AV1055" s="38"/>
      <c r="AW1055" s="38"/>
      <c r="AX1055" s="38"/>
      <c r="AY1055" s="38"/>
      <c r="AZ1055" s="38"/>
      <c r="BA1055" s="38"/>
      <c r="BB1055" s="38"/>
      <c r="BC1055" s="38"/>
      <c r="BD1055" s="38"/>
      <c r="BE1055" s="38"/>
      <c r="BF1055" s="38"/>
      <c r="BG1055" s="38"/>
      <c r="BH1055" s="38"/>
      <c r="BI1055" s="38"/>
      <c r="BJ1055" s="38"/>
      <c r="BK1055" s="38"/>
      <c r="BL1055" s="38"/>
      <c r="BM1055" s="38"/>
      <c r="BN1055" s="38"/>
      <c r="BO1055" s="38"/>
      <c r="BP1055" s="38"/>
      <c r="BQ1055" s="38"/>
    </row>
    <row r="1056">
      <c r="A1056" s="37"/>
      <c r="B1056" s="341"/>
      <c r="C1056" s="60"/>
      <c r="D1056" s="60"/>
      <c r="E1056" s="58"/>
      <c r="F1056" s="58"/>
      <c r="G1056" s="58"/>
      <c r="H1056" s="33" t="str">
        <f t="shared" si="33"/>
        <v/>
      </c>
      <c r="I1056" s="58"/>
      <c r="J1056" s="58"/>
      <c r="K1056" s="58"/>
      <c r="L1056" s="58"/>
      <c r="M1056" s="80"/>
      <c r="N1056" s="77"/>
      <c r="O1056" s="62"/>
      <c r="P1056" s="62"/>
      <c r="Q1056" s="62"/>
      <c r="R1056" s="62"/>
      <c r="S1056" s="37" t="str">
        <f>IFERROR(__xludf.DUMMYFUNCTION("if(not(iserror(index(split(C1056, "" ""),2))), index(split(C1056, "" ""),1),"""")"),"")</f>
        <v/>
      </c>
      <c r="T1056" s="315" t="str">
        <f>IFERROR(__xludf.DUMMYFUNCTION("if(S1056="""",C1056,if(not(iserror(index(split(C1056, "" ""),3))), index(split(C1056, "" ""),3),index(split(C1056, "" ""),2)))"),"")</f>
        <v/>
      </c>
      <c r="U1056" s="38" t="b">
        <f t="shared" si="34"/>
        <v>0</v>
      </c>
      <c r="V1056" s="38"/>
      <c r="W1056" s="40"/>
      <c r="X1056" s="40"/>
      <c r="Y1056" s="38"/>
      <c r="Z1056" s="38"/>
      <c r="AA1056" s="38"/>
      <c r="AB1056" s="38"/>
      <c r="AC1056" s="38"/>
      <c r="AD1056" s="38"/>
      <c r="AE1056" s="38"/>
      <c r="AF1056" s="38"/>
      <c r="AG1056" s="38"/>
      <c r="AH1056" s="38"/>
      <c r="AI1056" s="38"/>
      <c r="AJ1056" s="38"/>
      <c r="AK1056" s="38"/>
      <c r="AL1056" s="38"/>
      <c r="AM1056" s="38"/>
      <c r="AN1056" s="38"/>
      <c r="AO1056" s="38"/>
      <c r="AP1056" s="38"/>
      <c r="AQ1056" s="38"/>
      <c r="AR1056" s="38"/>
      <c r="AS1056" s="38"/>
      <c r="AT1056" s="38"/>
      <c r="AU1056" s="38"/>
      <c r="AV1056" s="38"/>
      <c r="AW1056" s="38"/>
      <c r="AX1056" s="38"/>
      <c r="AY1056" s="38"/>
      <c r="AZ1056" s="38"/>
      <c r="BA1056" s="38"/>
      <c r="BB1056" s="38"/>
      <c r="BC1056" s="38"/>
      <c r="BD1056" s="38"/>
      <c r="BE1056" s="38"/>
      <c r="BF1056" s="38"/>
      <c r="BG1056" s="38"/>
      <c r="BH1056" s="38"/>
      <c r="BI1056" s="38"/>
      <c r="BJ1056" s="38"/>
      <c r="BK1056" s="38"/>
      <c r="BL1056" s="38"/>
      <c r="BM1056" s="38"/>
      <c r="BN1056" s="38"/>
      <c r="BO1056" s="38"/>
      <c r="BP1056" s="38"/>
      <c r="BQ1056" s="38"/>
    </row>
    <row r="1057">
      <c r="A1057" s="37"/>
      <c r="B1057" s="341"/>
      <c r="C1057" s="60"/>
      <c r="D1057" s="60"/>
      <c r="E1057" s="58"/>
      <c r="F1057" s="58"/>
      <c r="G1057" s="58"/>
      <c r="H1057" s="33" t="str">
        <f t="shared" si="33"/>
        <v/>
      </c>
      <c r="I1057" s="58"/>
      <c r="J1057" s="58"/>
      <c r="K1057" s="58"/>
      <c r="L1057" s="58"/>
      <c r="M1057" s="80"/>
      <c r="N1057" s="77"/>
      <c r="O1057" s="62"/>
      <c r="P1057" s="62"/>
      <c r="Q1057" s="62"/>
      <c r="R1057" s="62"/>
      <c r="S1057" s="37" t="str">
        <f>IFERROR(__xludf.DUMMYFUNCTION("if(not(iserror(index(split(C1057, "" ""),2))), index(split(C1057, "" ""),1),"""")"),"")</f>
        <v/>
      </c>
      <c r="T1057" s="315" t="str">
        <f>IFERROR(__xludf.DUMMYFUNCTION("if(S1057="""",C1057,if(not(iserror(index(split(C1057, "" ""),3))), index(split(C1057, "" ""),3),index(split(C1057, "" ""),2)))"),"")</f>
        <v/>
      </c>
      <c r="U1057" s="38" t="b">
        <f t="shared" si="34"/>
        <v>0</v>
      </c>
      <c r="V1057" s="38"/>
      <c r="W1057" s="40"/>
      <c r="X1057" s="40"/>
      <c r="Y1057" s="38"/>
      <c r="Z1057" s="38"/>
      <c r="AA1057" s="38"/>
      <c r="AB1057" s="38"/>
      <c r="AC1057" s="38"/>
      <c r="AD1057" s="38"/>
      <c r="AE1057" s="38"/>
      <c r="AF1057" s="38"/>
      <c r="AG1057" s="38"/>
      <c r="AH1057" s="38"/>
      <c r="AI1057" s="38"/>
      <c r="AJ1057" s="38"/>
      <c r="AK1057" s="38"/>
      <c r="AL1057" s="38"/>
      <c r="AM1057" s="38"/>
      <c r="AN1057" s="38"/>
      <c r="AO1057" s="38"/>
      <c r="AP1057" s="38"/>
      <c r="AQ1057" s="38"/>
      <c r="AR1057" s="38"/>
      <c r="AS1057" s="38"/>
      <c r="AT1057" s="38"/>
      <c r="AU1057" s="38"/>
      <c r="AV1057" s="38"/>
      <c r="AW1057" s="38"/>
      <c r="AX1057" s="38"/>
      <c r="AY1057" s="38"/>
      <c r="AZ1057" s="38"/>
      <c r="BA1057" s="38"/>
      <c r="BB1057" s="38"/>
      <c r="BC1057" s="38"/>
      <c r="BD1057" s="38"/>
      <c r="BE1057" s="38"/>
      <c r="BF1057" s="38"/>
      <c r="BG1057" s="38"/>
      <c r="BH1057" s="38"/>
      <c r="BI1057" s="38"/>
      <c r="BJ1057" s="38"/>
      <c r="BK1057" s="38"/>
      <c r="BL1057" s="38"/>
      <c r="BM1057" s="38"/>
      <c r="BN1057" s="38"/>
      <c r="BO1057" s="38"/>
      <c r="BP1057" s="38"/>
      <c r="BQ1057" s="38"/>
    </row>
    <row r="1058">
      <c r="A1058" s="37"/>
      <c r="B1058" s="341"/>
      <c r="C1058" s="60"/>
      <c r="D1058" s="60"/>
      <c r="E1058" s="58"/>
      <c r="F1058" s="58"/>
      <c r="G1058" s="58"/>
      <c r="H1058" s="33" t="str">
        <f t="shared" si="33"/>
        <v/>
      </c>
      <c r="I1058" s="58"/>
      <c r="J1058" s="58"/>
      <c r="K1058" s="58"/>
      <c r="L1058" s="58"/>
      <c r="M1058" s="80"/>
      <c r="N1058" s="77"/>
      <c r="O1058" s="58"/>
      <c r="P1058" s="62"/>
      <c r="Q1058" s="84"/>
      <c r="R1058" s="62"/>
      <c r="S1058" s="37" t="str">
        <f>IFERROR(__xludf.DUMMYFUNCTION("if(not(iserror(index(split(C1058, "" ""),2))), index(split(C1058, "" ""),1),"""")"),"")</f>
        <v/>
      </c>
      <c r="T1058" s="315" t="str">
        <f>IFERROR(__xludf.DUMMYFUNCTION("if(S1058="""",C1058,if(not(iserror(index(split(C1058, "" ""),3))), index(split(C1058, "" ""),3),index(split(C1058, "" ""),2)))"),"")</f>
        <v/>
      </c>
      <c r="U1058" s="38" t="b">
        <f t="shared" si="34"/>
        <v>0</v>
      </c>
      <c r="V1058" s="38"/>
      <c r="W1058" s="40"/>
      <c r="X1058" s="40"/>
      <c r="Y1058" s="38"/>
      <c r="Z1058" s="38"/>
      <c r="AA1058" s="38"/>
      <c r="AB1058" s="38"/>
      <c r="AC1058" s="38"/>
      <c r="AD1058" s="38"/>
      <c r="AE1058" s="38"/>
      <c r="AF1058" s="38"/>
      <c r="AG1058" s="38"/>
      <c r="AH1058" s="38"/>
      <c r="AI1058" s="38"/>
      <c r="AJ1058" s="38"/>
      <c r="AK1058" s="38"/>
      <c r="AL1058" s="38"/>
      <c r="AM1058" s="38"/>
      <c r="AN1058" s="38"/>
      <c r="AO1058" s="38"/>
      <c r="AP1058" s="38"/>
      <c r="AQ1058" s="38"/>
      <c r="AR1058" s="38"/>
      <c r="AS1058" s="38"/>
      <c r="AT1058" s="38"/>
      <c r="AU1058" s="38"/>
      <c r="AV1058" s="38"/>
      <c r="AW1058" s="38"/>
      <c r="AX1058" s="38"/>
      <c r="AY1058" s="38"/>
      <c r="AZ1058" s="38"/>
      <c r="BA1058" s="38"/>
      <c r="BB1058" s="38"/>
      <c r="BC1058" s="38"/>
      <c r="BD1058" s="38"/>
      <c r="BE1058" s="38"/>
      <c r="BF1058" s="38"/>
      <c r="BG1058" s="38"/>
      <c r="BH1058" s="38"/>
      <c r="BI1058" s="38"/>
      <c r="BJ1058" s="38"/>
      <c r="BK1058" s="38"/>
      <c r="BL1058" s="38"/>
      <c r="BM1058" s="38"/>
      <c r="BN1058" s="38"/>
      <c r="BO1058" s="38"/>
      <c r="BP1058" s="38"/>
      <c r="BQ1058" s="38"/>
    </row>
    <row r="1059">
      <c r="A1059" s="58"/>
      <c r="B1059" s="341"/>
      <c r="C1059" s="60"/>
      <c r="D1059" s="60"/>
      <c r="E1059" s="58"/>
      <c r="F1059" s="58"/>
      <c r="G1059" s="58"/>
      <c r="H1059" s="33" t="str">
        <f t="shared" si="33"/>
        <v/>
      </c>
      <c r="I1059" s="58"/>
      <c r="J1059" s="58"/>
      <c r="K1059" s="58"/>
      <c r="L1059" s="58"/>
      <c r="M1059" s="80"/>
      <c r="N1059" s="77"/>
      <c r="O1059" s="62"/>
      <c r="P1059" s="62"/>
      <c r="Q1059" s="84"/>
      <c r="R1059" s="62"/>
      <c r="S1059" s="37" t="str">
        <f>IFERROR(__xludf.DUMMYFUNCTION("if(not(iserror(index(split(C1059, "" ""),2))), index(split(C1059, "" ""),1),"""")"),"")</f>
        <v/>
      </c>
      <c r="T1059" s="315" t="str">
        <f>IFERROR(__xludf.DUMMYFUNCTION("if(S1059="""",C1059,if(not(iserror(index(split(C1059, "" ""),3))), index(split(C1059, "" ""),3),index(split(C1059, "" ""),2)))"),"")</f>
        <v/>
      </c>
      <c r="U1059" s="38" t="b">
        <f t="shared" si="34"/>
        <v>0</v>
      </c>
      <c r="V1059" s="38"/>
      <c r="W1059" s="40"/>
      <c r="X1059" s="40"/>
      <c r="Y1059" s="38"/>
      <c r="Z1059" s="38"/>
      <c r="AA1059" s="38"/>
      <c r="AB1059" s="38"/>
      <c r="AC1059" s="38"/>
      <c r="AD1059" s="38"/>
      <c r="AE1059" s="38"/>
      <c r="AF1059" s="38"/>
      <c r="AG1059" s="38"/>
      <c r="AH1059" s="38"/>
      <c r="AI1059" s="38"/>
      <c r="AJ1059" s="38"/>
      <c r="AK1059" s="38"/>
      <c r="AL1059" s="38"/>
      <c r="AM1059" s="38"/>
      <c r="AN1059" s="38"/>
      <c r="AO1059" s="38"/>
      <c r="AP1059" s="38"/>
      <c r="AQ1059" s="38"/>
      <c r="AR1059" s="38"/>
      <c r="AS1059" s="38"/>
      <c r="AT1059" s="38"/>
      <c r="AU1059" s="38"/>
      <c r="AV1059" s="38"/>
      <c r="AW1059" s="38"/>
      <c r="AX1059" s="38"/>
      <c r="AY1059" s="38"/>
      <c r="AZ1059" s="38"/>
      <c r="BA1059" s="38"/>
      <c r="BB1059" s="38"/>
      <c r="BC1059" s="38"/>
      <c r="BD1059" s="38"/>
      <c r="BE1059" s="38"/>
      <c r="BF1059" s="38"/>
      <c r="BG1059" s="38"/>
      <c r="BH1059" s="38"/>
      <c r="BI1059" s="38"/>
      <c r="BJ1059" s="38"/>
      <c r="BK1059" s="38"/>
      <c r="BL1059" s="38"/>
      <c r="BM1059" s="38"/>
      <c r="BN1059" s="38"/>
      <c r="BO1059" s="38"/>
      <c r="BP1059" s="38"/>
      <c r="BQ1059" s="38"/>
    </row>
    <row r="1060">
      <c r="A1060" s="37"/>
      <c r="B1060" s="341"/>
      <c r="C1060" s="60"/>
      <c r="D1060" s="60"/>
      <c r="E1060" s="58"/>
      <c r="F1060" s="58"/>
      <c r="G1060" s="58"/>
      <c r="H1060" s="33" t="str">
        <f t="shared" si="33"/>
        <v/>
      </c>
      <c r="I1060" s="58"/>
      <c r="J1060" s="58"/>
      <c r="K1060" s="58"/>
      <c r="L1060" s="58"/>
      <c r="M1060" s="80"/>
      <c r="N1060" s="77"/>
      <c r="O1060" s="62"/>
      <c r="P1060" s="62"/>
      <c r="Q1060" s="62"/>
      <c r="R1060" s="62"/>
      <c r="S1060" s="37" t="str">
        <f>IFERROR(__xludf.DUMMYFUNCTION("if(not(iserror(index(split(C1060, "" ""),2))), index(split(C1060, "" ""),1),"""")"),"")</f>
        <v/>
      </c>
      <c r="T1060" s="315" t="str">
        <f>IFERROR(__xludf.DUMMYFUNCTION("if(S1060="""",C1060,if(not(iserror(index(split(C1060, "" ""),3))), index(split(C1060, "" ""),3),index(split(C1060, "" ""),2)))"),"")</f>
        <v/>
      </c>
      <c r="U1060" s="38" t="b">
        <f t="shared" si="34"/>
        <v>0</v>
      </c>
      <c r="V1060" s="38"/>
      <c r="W1060" s="40"/>
      <c r="X1060" s="40"/>
      <c r="Y1060" s="38"/>
      <c r="Z1060" s="38"/>
      <c r="AA1060" s="38"/>
      <c r="AB1060" s="38"/>
      <c r="AC1060" s="38"/>
      <c r="AD1060" s="38"/>
      <c r="AE1060" s="38"/>
      <c r="AF1060" s="38"/>
      <c r="AG1060" s="38"/>
      <c r="AH1060" s="38"/>
      <c r="AI1060" s="38"/>
      <c r="AJ1060" s="38"/>
      <c r="AK1060" s="38"/>
      <c r="AL1060" s="38"/>
      <c r="AM1060" s="38"/>
      <c r="AN1060" s="38"/>
      <c r="AO1060" s="38"/>
      <c r="AP1060" s="38"/>
      <c r="AQ1060" s="38"/>
      <c r="AR1060" s="38"/>
      <c r="AS1060" s="38"/>
      <c r="AT1060" s="38"/>
      <c r="AU1060" s="38"/>
      <c r="AV1060" s="38"/>
      <c r="AW1060" s="38"/>
      <c r="AX1060" s="38"/>
      <c r="AY1060" s="38"/>
      <c r="AZ1060" s="38"/>
      <c r="BA1060" s="38"/>
      <c r="BB1060" s="38"/>
      <c r="BC1060" s="38"/>
      <c r="BD1060" s="38"/>
      <c r="BE1060" s="38"/>
      <c r="BF1060" s="38"/>
      <c r="BG1060" s="38"/>
      <c r="BH1060" s="38"/>
      <c r="BI1060" s="38"/>
      <c r="BJ1060" s="38"/>
      <c r="BK1060" s="38"/>
      <c r="BL1060" s="38"/>
      <c r="BM1060" s="38"/>
      <c r="BN1060" s="38"/>
      <c r="BO1060" s="38"/>
      <c r="BP1060" s="38"/>
      <c r="BQ1060" s="38"/>
    </row>
    <row r="1061">
      <c r="A1061" s="37"/>
      <c r="B1061" s="341"/>
      <c r="C1061" s="60"/>
      <c r="D1061" s="60"/>
      <c r="E1061" s="58"/>
      <c r="F1061" s="58"/>
      <c r="G1061" s="58"/>
      <c r="H1061" s="33" t="str">
        <f t="shared" si="33"/>
        <v/>
      </c>
      <c r="I1061" s="58"/>
      <c r="J1061" s="58"/>
      <c r="K1061" s="58"/>
      <c r="L1061" s="58"/>
      <c r="M1061" s="80"/>
      <c r="N1061" s="77"/>
      <c r="O1061" s="62"/>
      <c r="P1061" s="62"/>
      <c r="Q1061" s="62"/>
      <c r="R1061" s="62"/>
      <c r="S1061" s="37" t="str">
        <f>IFERROR(__xludf.DUMMYFUNCTION("if(not(iserror(index(split(C1061, "" ""),2))), index(split(C1061, "" ""),1),"""")"),"")</f>
        <v/>
      </c>
      <c r="T1061" s="315" t="str">
        <f>IFERROR(__xludf.DUMMYFUNCTION("if(S1061="""",C1061,if(not(iserror(index(split(C1061, "" ""),3))), index(split(C1061, "" ""),3),index(split(C1061, "" ""),2)))"),"")</f>
        <v/>
      </c>
      <c r="U1061" s="38" t="b">
        <f t="shared" si="34"/>
        <v>0</v>
      </c>
      <c r="V1061" s="38"/>
      <c r="W1061" s="40"/>
      <c r="X1061" s="40"/>
      <c r="Y1061" s="38"/>
      <c r="Z1061" s="38"/>
      <c r="AA1061" s="38"/>
      <c r="AB1061" s="38"/>
      <c r="AC1061" s="38"/>
      <c r="AD1061" s="38"/>
      <c r="AE1061" s="38"/>
      <c r="AF1061" s="38"/>
      <c r="AG1061" s="38"/>
      <c r="AH1061" s="38"/>
      <c r="AI1061" s="38"/>
      <c r="AJ1061" s="38"/>
      <c r="AK1061" s="38"/>
      <c r="AL1061" s="38"/>
      <c r="AM1061" s="38"/>
      <c r="AN1061" s="38"/>
      <c r="AO1061" s="38"/>
      <c r="AP1061" s="38"/>
      <c r="AQ1061" s="38"/>
      <c r="AR1061" s="38"/>
      <c r="AS1061" s="38"/>
      <c r="AT1061" s="38"/>
      <c r="AU1061" s="38"/>
      <c r="AV1061" s="38"/>
      <c r="AW1061" s="38"/>
      <c r="AX1061" s="38"/>
      <c r="AY1061" s="38"/>
      <c r="AZ1061" s="38"/>
      <c r="BA1061" s="38"/>
      <c r="BB1061" s="38"/>
      <c r="BC1061" s="38"/>
      <c r="BD1061" s="38"/>
      <c r="BE1061" s="38"/>
      <c r="BF1061" s="38"/>
      <c r="BG1061" s="38"/>
      <c r="BH1061" s="38"/>
      <c r="BI1061" s="38"/>
      <c r="BJ1061" s="38"/>
      <c r="BK1061" s="38"/>
      <c r="BL1061" s="38"/>
      <c r="BM1061" s="38"/>
      <c r="BN1061" s="38"/>
      <c r="BO1061" s="38"/>
      <c r="BP1061" s="38"/>
      <c r="BQ1061" s="38"/>
    </row>
    <row r="1062">
      <c r="A1062" s="37"/>
      <c r="B1062" s="341"/>
      <c r="C1062" s="60"/>
      <c r="D1062" s="60"/>
      <c r="E1062" s="58"/>
      <c r="F1062" s="58"/>
      <c r="G1062" s="58"/>
      <c r="H1062" s="33" t="str">
        <f t="shared" si="33"/>
        <v/>
      </c>
      <c r="I1062" s="58"/>
      <c r="J1062" s="58"/>
      <c r="K1062" s="58"/>
      <c r="L1062" s="58"/>
      <c r="M1062" s="14"/>
      <c r="N1062" s="77"/>
      <c r="O1062" s="62"/>
      <c r="P1062" s="62"/>
      <c r="Q1062" s="62"/>
      <c r="R1062" s="62"/>
      <c r="S1062" s="37" t="str">
        <f>IFERROR(__xludf.DUMMYFUNCTION("if(not(iserror(index(split(C1062, "" ""),2))), index(split(C1062, "" ""),1),"""")"),"")</f>
        <v/>
      </c>
      <c r="T1062" s="315" t="str">
        <f>IFERROR(__xludf.DUMMYFUNCTION("if(S1062="""",C1062,if(not(iserror(index(split(C1062, "" ""),3))), index(split(C1062, "" ""),3),index(split(C1062, "" ""),2)))"),"")</f>
        <v/>
      </c>
      <c r="U1062" s="38" t="b">
        <f t="shared" si="34"/>
        <v>0</v>
      </c>
      <c r="V1062" s="38"/>
      <c r="W1062" s="40"/>
      <c r="X1062" s="40"/>
      <c r="Y1062" s="38"/>
      <c r="Z1062" s="38"/>
      <c r="AA1062" s="38"/>
      <c r="AB1062" s="38"/>
      <c r="AC1062" s="38"/>
      <c r="AD1062" s="38"/>
      <c r="AE1062" s="38"/>
      <c r="AF1062" s="38"/>
      <c r="AG1062" s="38"/>
      <c r="AH1062" s="38"/>
      <c r="AI1062" s="38"/>
      <c r="AJ1062" s="38"/>
      <c r="AK1062" s="38"/>
      <c r="AL1062" s="38"/>
      <c r="AM1062" s="38"/>
      <c r="AN1062" s="38"/>
      <c r="AO1062" s="38"/>
      <c r="AP1062" s="38"/>
      <c r="AQ1062" s="38"/>
      <c r="AR1062" s="38"/>
      <c r="AS1062" s="38"/>
      <c r="AT1062" s="38"/>
      <c r="AU1062" s="38"/>
      <c r="AV1062" s="38"/>
      <c r="AW1062" s="38"/>
      <c r="AX1062" s="38"/>
      <c r="AY1062" s="38"/>
      <c r="AZ1062" s="38"/>
      <c r="BA1062" s="38"/>
      <c r="BB1062" s="38"/>
      <c r="BC1062" s="38"/>
      <c r="BD1062" s="38"/>
      <c r="BE1062" s="38"/>
      <c r="BF1062" s="38"/>
      <c r="BG1062" s="38"/>
      <c r="BH1062" s="38"/>
      <c r="BI1062" s="38"/>
      <c r="BJ1062" s="38"/>
      <c r="BK1062" s="38"/>
      <c r="BL1062" s="38"/>
      <c r="BM1062" s="38"/>
      <c r="BN1062" s="38"/>
      <c r="BO1062" s="38"/>
      <c r="BP1062" s="38"/>
      <c r="BQ1062" s="38"/>
    </row>
    <row r="1063">
      <c r="A1063" s="37"/>
      <c r="B1063" s="341"/>
      <c r="C1063" s="60"/>
      <c r="D1063" s="60"/>
      <c r="E1063" s="58"/>
      <c r="F1063" s="58"/>
      <c r="G1063" s="58"/>
      <c r="H1063" s="33" t="str">
        <f t="shared" si="33"/>
        <v/>
      </c>
      <c r="I1063" s="58"/>
      <c r="J1063" s="58"/>
      <c r="K1063" s="58"/>
      <c r="L1063" s="58"/>
      <c r="M1063" s="14"/>
      <c r="N1063" s="77"/>
      <c r="O1063" s="62"/>
      <c r="P1063" s="62"/>
      <c r="Q1063" s="62"/>
      <c r="R1063" s="62"/>
      <c r="S1063" s="37" t="str">
        <f>IFERROR(__xludf.DUMMYFUNCTION("if(not(iserror(index(split(C1063, "" ""),2))), index(split(C1063, "" ""),1),"""")"),"")</f>
        <v/>
      </c>
      <c r="T1063" s="315" t="str">
        <f>IFERROR(__xludf.DUMMYFUNCTION("if(S1063="""",C1063,if(not(iserror(index(split(C1063, "" ""),3))), index(split(C1063, "" ""),3),index(split(C1063, "" ""),2)))"),"")</f>
        <v/>
      </c>
      <c r="U1063" s="38" t="b">
        <f t="shared" si="34"/>
        <v>0</v>
      </c>
      <c r="V1063" s="38"/>
      <c r="W1063" s="40"/>
      <c r="X1063" s="40"/>
      <c r="Y1063" s="38"/>
      <c r="Z1063" s="38"/>
      <c r="AA1063" s="38"/>
      <c r="AB1063" s="38"/>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row>
    <row r="1064">
      <c r="A1064" s="37"/>
      <c r="B1064" s="341"/>
      <c r="C1064" s="60"/>
      <c r="D1064" s="60"/>
      <c r="E1064" s="58"/>
      <c r="F1064" s="58"/>
      <c r="G1064" s="58"/>
      <c r="H1064" s="33" t="str">
        <f t="shared" si="33"/>
        <v/>
      </c>
      <c r="I1064" s="58"/>
      <c r="J1064" s="58"/>
      <c r="K1064" s="58"/>
      <c r="L1064" s="58"/>
      <c r="M1064" s="80"/>
      <c r="N1064" s="77"/>
      <c r="O1064" s="62"/>
      <c r="P1064" s="62"/>
      <c r="Q1064" s="62"/>
      <c r="R1064" s="62"/>
      <c r="S1064" s="37" t="str">
        <f>IFERROR(__xludf.DUMMYFUNCTION("if(not(iserror(index(split(C1064, "" ""),2))), index(split(C1064, "" ""),1),"""")"),"")</f>
        <v/>
      </c>
      <c r="T1064" s="315" t="str">
        <f>IFERROR(__xludf.DUMMYFUNCTION("if(S1064="""",C1064,if(not(iserror(index(split(C1064, "" ""),3))), index(split(C1064, "" ""),3),index(split(C1064, "" ""),2)))"),"")</f>
        <v/>
      </c>
      <c r="U1064" s="38" t="b">
        <f t="shared" si="34"/>
        <v>0</v>
      </c>
      <c r="V1064" s="38"/>
      <c r="W1064" s="40"/>
      <c r="X1064" s="40"/>
      <c r="Y1064" s="38"/>
      <c r="Z1064" s="38"/>
      <c r="AA1064" s="38"/>
      <c r="AB1064" s="38"/>
      <c r="AC1064" s="38"/>
      <c r="AD1064" s="38"/>
      <c r="AE1064" s="38"/>
      <c r="AF1064" s="38"/>
      <c r="AG1064" s="38"/>
      <c r="AH1064" s="38"/>
      <c r="AI1064" s="38"/>
      <c r="AJ1064" s="38"/>
      <c r="AK1064" s="38"/>
      <c r="AL1064" s="38"/>
      <c r="AM1064" s="38"/>
      <c r="AN1064" s="38"/>
      <c r="AO1064" s="38"/>
      <c r="AP1064" s="38"/>
      <c r="AQ1064" s="38"/>
      <c r="AR1064" s="38"/>
      <c r="AS1064" s="38"/>
      <c r="AT1064" s="38"/>
      <c r="AU1064" s="38"/>
      <c r="AV1064" s="38"/>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row>
    <row r="1065">
      <c r="A1065" s="37"/>
      <c r="B1065" s="341"/>
      <c r="C1065" s="60"/>
      <c r="D1065" s="60"/>
      <c r="E1065" s="58"/>
      <c r="F1065" s="58"/>
      <c r="G1065" s="58"/>
      <c r="H1065" s="33" t="str">
        <f t="shared" si="33"/>
        <v/>
      </c>
      <c r="I1065" s="58"/>
      <c r="J1065" s="58"/>
      <c r="K1065" s="58"/>
      <c r="L1065" s="58"/>
      <c r="M1065" s="80"/>
      <c r="N1065" s="77"/>
      <c r="O1065" s="62"/>
      <c r="P1065" s="62"/>
      <c r="Q1065" s="62"/>
      <c r="R1065" s="62"/>
      <c r="S1065" s="37" t="str">
        <f>IFERROR(__xludf.DUMMYFUNCTION("if(not(iserror(index(split(C1065, "" ""),2))), index(split(C1065, "" ""),1),"""")"),"")</f>
        <v/>
      </c>
      <c r="T1065" s="315" t="str">
        <f>IFERROR(__xludf.DUMMYFUNCTION("if(S1065="""",C1065,if(not(iserror(index(split(C1065, "" ""),3))), index(split(C1065, "" ""),3),index(split(C1065, "" ""),2)))"),"")</f>
        <v/>
      </c>
      <c r="U1065" s="38" t="b">
        <f t="shared" si="34"/>
        <v>0</v>
      </c>
      <c r="V1065" s="38"/>
      <c r="W1065" s="40"/>
      <c r="X1065" s="40"/>
      <c r="Y1065" s="38"/>
      <c r="Z1065" s="38"/>
      <c r="AA1065" s="38"/>
      <c r="AB1065" s="38"/>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row>
    <row r="1066">
      <c r="A1066" s="58"/>
      <c r="B1066" s="341"/>
      <c r="C1066" s="60"/>
      <c r="D1066" s="60"/>
      <c r="E1066" s="58"/>
      <c r="F1066" s="58"/>
      <c r="G1066" s="58"/>
      <c r="H1066" s="33" t="str">
        <f t="shared" si="33"/>
        <v/>
      </c>
      <c r="I1066" s="58"/>
      <c r="J1066" s="58"/>
      <c r="K1066" s="58"/>
      <c r="L1066" s="58"/>
      <c r="M1066" s="80"/>
      <c r="N1066" s="77"/>
      <c r="O1066" s="58"/>
      <c r="P1066" s="62"/>
      <c r="Q1066" s="84"/>
      <c r="R1066" s="62"/>
      <c r="S1066" s="37" t="str">
        <f>IFERROR(__xludf.DUMMYFUNCTION("if(not(iserror(index(split(C1066, "" ""),2))), index(split(C1066, "" ""),1),"""")"),"")</f>
        <v/>
      </c>
      <c r="T1066" s="315" t="str">
        <f>IFERROR(__xludf.DUMMYFUNCTION("if(S1066="""",C1066,if(not(iserror(index(split(C1066, "" ""),3))), index(split(C1066, "" ""),3),index(split(C1066, "" ""),2)))"),"")</f>
        <v/>
      </c>
      <c r="U1066" s="38" t="b">
        <f t="shared" si="34"/>
        <v>0</v>
      </c>
      <c r="V1066" s="38"/>
      <c r="W1066" s="40"/>
      <c r="X1066" s="40"/>
      <c r="Y1066" s="38"/>
      <c r="Z1066" s="38"/>
      <c r="AA1066" s="38"/>
      <c r="AB1066" s="38"/>
      <c r="AC1066" s="38"/>
      <c r="AD1066" s="38"/>
      <c r="AE1066" s="38"/>
      <c r="AF1066" s="38"/>
      <c r="AG1066" s="38"/>
      <c r="AH1066" s="38"/>
      <c r="AI1066" s="38"/>
      <c r="AJ1066" s="38"/>
      <c r="AK1066" s="38"/>
      <c r="AL1066" s="38"/>
      <c r="AM1066" s="38"/>
      <c r="AN1066" s="38"/>
      <c r="AO1066" s="38"/>
      <c r="AP1066" s="38"/>
      <c r="AQ1066" s="38"/>
      <c r="AR1066" s="38"/>
      <c r="AS1066" s="38"/>
      <c r="AT1066" s="38"/>
      <c r="AU1066" s="38"/>
      <c r="AV1066" s="38"/>
      <c r="AW1066" s="38"/>
      <c r="AX1066" s="38"/>
      <c r="AY1066" s="38"/>
      <c r="AZ1066" s="38"/>
      <c r="BA1066" s="38"/>
      <c r="BB1066" s="38"/>
      <c r="BC1066" s="38"/>
      <c r="BD1066" s="38"/>
      <c r="BE1066" s="38"/>
      <c r="BF1066" s="38"/>
      <c r="BG1066" s="38"/>
      <c r="BH1066" s="38"/>
      <c r="BI1066" s="38"/>
      <c r="BJ1066" s="38"/>
      <c r="BK1066" s="38"/>
      <c r="BL1066" s="38"/>
      <c r="BM1066" s="38"/>
      <c r="BN1066" s="38"/>
      <c r="BO1066" s="38"/>
      <c r="BP1066" s="38"/>
      <c r="BQ1066" s="38"/>
    </row>
    <row r="1067">
      <c r="A1067" s="58"/>
      <c r="B1067" s="341"/>
      <c r="C1067" s="60"/>
      <c r="D1067" s="60"/>
      <c r="E1067" s="58"/>
      <c r="F1067" s="58"/>
      <c r="G1067" s="58"/>
      <c r="H1067" s="33" t="str">
        <f t="shared" si="33"/>
        <v/>
      </c>
      <c r="I1067" s="58"/>
      <c r="J1067" s="58"/>
      <c r="K1067" s="58"/>
      <c r="L1067" s="58"/>
      <c r="M1067" s="80"/>
      <c r="N1067" s="77"/>
      <c r="O1067" s="62"/>
      <c r="P1067" s="58"/>
      <c r="Q1067" s="84"/>
      <c r="R1067" s="62"/>
      <c r="S1067" s="37" t="str">
        <f>IFERROR(__xludf.DUMMYFUNCTION("if(not(iserror(index(split(C1067, "" ""),2))), index(split(C1067, "" ""),1),"""")"),"")</f>
        <v/>
      </c>
      <c r="T1067" s="315" t="str">
        <f>IFERROR(__xludf.DUMMYFUNCTION("if(S1067="""",C1067,if(not(iserror(index(split(C1067, "" ""),3))), index(split(C1067, "" ""),3),index(split(C1067, "" ""),2)))"),"")</f>
        <v/>
      </c>
      <c r="U1067" s="38" t="b">
        <f t="shared" si="34"/>
        <v>0</v>
      </c>
      <c r="V1067" s="38"/>
      <c r="W1067" s="40"/>
      <c r="X1067" s="40"/>
      <c r="Y1067" s="38"/>
      <c r="Z1067" s="38"/>
      <c r="AA1067" s="38"/>
      <c r="AB1067" s="38"/>
      <c r="AC1067" s="38"/>
      <c r="AD1067" s="38"/>
      <c r="AE1067" s="38"/>
      <c r="AF1067" s="38"/>
      <c r="AG1067" s="38"/>
      <c r="AH1067" s="38"/>
      <c r="AI1067" s="38"/>
      <c r="AJ1067" s="38"/>
      <c r="AK1067" s="38"/>
      <c r="AL1067" s="38"/>
      <c r="AM1067" s="38"/>
      <c r="AN1067" s="38"/>
      <c r="AO1067" s="38"/>
      <c r="AP1067" s="38"/>
      <c r="AQ1067" s="38"/>
      <c r="AR1067" s="38"/>
      <c r="AS1067" s="38"/>
      <c r="AT1067" s="38"/>
      <c r="AU1067" s="38"/>
      <c r="AV1067" s="38"/>
      <c r="AW1067" s="38"/>
      <c r="AX1067" s="38"/>
      <c r="AY1067" s="38"/>
      <c r="AZ1067" s="38"/>
      <c r="BA1067" s="38"/>
      <c r="BB1067" s="38"/>
      <c r="BC1067" s="38"/>
      <c r="BD1067" s="38"/>
      <c r="BE1067" s="38"/>
      <c r="BF1067" s="38"/>
      <c r="BG1067" s="38"/>
      <c r="BH1067" s="38"/>
      <c r="BI1067" s="38"/>
      <c r="BJ1067" s="38"/>
      <c r="BK1067" s="38"/>
      <c r="BL1067" s="38"/>
      <c r="BM1067" s="38"/>
      <c r="BN1067" s="38"/>
      <c r="BO1067" s="38"/>
      <c r="BP1067" s="38"/>
      <c r="BQ1067" s="38"/>
    </row>
    <row r="1068">
      <c r="A1068" s="37"/>
      <c r="B1068" s="341"/>
      <c r="C1068" s="60"/>
      <c r="D1068" s="60"/>
      <c r="E1068" s="58"/>
      <c r="F1068" s="58"/>
      <c r="G1068" s="58"/>
      <c r="H1068" s="33" t="str">
        <f t="shared" si="33"/>
        <v/>
      </c>
      <c r="I1068" s="58"/>
      <c r="J1068" s="58"/>
      <c r="K1068" s="58"/>
      <c r="L1068" s="58"/>
      <c r="M1068" s="80"/>
      <c r="N1068" s="77"/>
      <c r="O1068" s="58"/>
      <c r="P1068" s="58"/>
      <c r="Q1068" s="84"/>
      <c r="R1068" s="62"/>
      <c r="S1068" s="37" t="str">
        <f>IFERROR(__xludf.DUMMYFUNCTION("if(not(iserror(index(split(C1068, "" ""),2))), index(split(C1068, "" ""),1),"""")"),"")</f>
        <v/>
      </c>
      <c r="T1068" s="315" t="str">
        <f>IFERROR(__xludf.DUMMYFUNCTION("if(S1068="""",C1068,if(not(iserror(index(split(C1068, "" ""),3))), index(split(C1068, "" ""),3),index(split(C1068, "" ""),2)))"),"")</f>
        <v/>
      </c>
      <c r="U1068" s="38" t="b">
        <f t="shared" si="34"/>
        <v>0</v>
      </c>
      <c r="V1068" s="38"/>
      <c r="W1068" s="40"/>
      <c r="X1068" s="40"/>
      <c r="Y1068" s="38"/>
      <c r="Z1068" s="38"/>
      <c r="AA1068" s="38"/>
      <c r="AB1068" s="38"/>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row>
    <row r="1069">
      <c r="A1069" s="37"/>
      <c r="B1069" s="341"/>
      <c r="C1069" s="60"/>
      <c r="D1069" s="60"/>
      <c r="E1069" s="58"/>
      <c r="F1069" s="58"/>
      <c r="G1069" s="58"/>
      <c r="H1069" s="33" t="str">
        <f t="shared" si="33"/>
        <v/>
      </c>
      <c r="I1069" s="58"/>
      <c r="J1069" s="58"/>
      <c r="K1069" s="58"/>
      <c r="L1069" s="58"/>
      <c r="M1069" s="14"/>
      <c r="N1069" s="77"/>
      <c r="O1069" s="62"/>
      <c r="P1069" s="62"/>
      <c r="Q1069" s="62"/>
      <c r="R1069" s="62"/>
      <c r="S1069" s="37" t="str">
        <f>IFERROR(__xludf.DUMMYFUNCTION("if(not(iserror(index(split(C1069, "" ""),2))), index(split(C1069, "" ""),1),"""")"),"")</f>
        <v/>
      </c>
      <c r="T1069" s="315" t="str">
        <f>IFERROR(__xludf.DUMMYFUNCTION("if(S1069="""",C1069,if(not(iserror(index(split(C1069, "" ""),3))), index(split(C1069, "" ""),3),index(split(C1069, "" ""),2)))"),"")</f>
        <v/>
      </c>
      <c r="U1069" s="38" t="b">
        <f t="shared" si="34"/>
        <v>0</v>
      </c>
      <c r="V1069" s="38"/>
      <c r="W1069" s="40"/>
      <c r="X1069" s="40"/>
      <c r="Y1069" s="38"/>
      <c r="Z1069" s="38"/>
      <c r="AA1069" s="38"/>
      <c r="AB1069" s="38"/>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c r="AW1069" s="38"/>
      <c r="AX1069" s="38"/>
      <c r="AY1069" s="38"/>
      <c r="AZ1069" s="38"/>
      <c r="BA1069" s="38"/>
      <c r="BB1069" s="38"/>
      <c r="BC1069" s="38"/>
      <c r="BD1069" s="38"/>
      <c r="BE1069" s="38"/>
      <c r="BF1069" s="38"/>
      <c r="BG1069" s="38"/>
      <c r="BH1069" s="38"/>
      <c r="BI1069" s="38"/>
      <c r="BJ1069" s="38"/>
      <c r="BK1069" s="38"/>
      <c r="BL1069" s="38"/>
      <c r="BM1069" s="38"/>
      <c r="BN1069" s="38"/>
      <c r="BO1069" s="38"/>
      <c r="BP1069" s="38"/>
      <c r="BQ1069" s="38"/>
    </row>
    <row r="1070">
      <c r="A1070" s="37"/>
      <c r="B1070" s="341"/>
      <c r="C1070" s="60"/>
      <c r="D1070" s="60"/>
      <c r="E1070" s="58"/>
      <c r="F1070" s="58"/>
      <c r="G1070" s="58"/>
      <c r="H1070" s="33" t="str">
        <f t="shared" si="33"/>
        <v/>
      </c>
      <c r="I1070" s="58"/>
      <c r="J1070" s="58"/>
      <c r="K1070" s="58"/>
      <c r="L1070" s="58"/>
      <c r="M1070" s="14"/>
      <c r="N1070" s="77"/>
      <c r="O1070" s="62"/>
      <c r="P1070" s="62"/>
      <c r="Q1070" s="62"/>
      <c r="R1070" s="62"/>
      <c r="S1070" s="37" t="str">
        <f>IFERROR(__xludf.DUMMYFUNCTION("if(not(iserror(index(split(C1070, "" ""),2))), index(split(C1070, "" ""),1),"""")"),"")</f>
        <v/>
      </c>
      <c r="T1070" s="315" t="str">
        <f>IFERROR(__xludf.DUMMYFUNCTION("if(S1070="""",C1070,if(not(iserror(index(split(C1070, "" ""),3))), index(split(C1070, "" ""),3),index(split(C1070, "" ""),2)))"),"")</f>
        <v/>
      </c>
      <c r="U1070" s="38" t="b">
        <f t="shared" si="34"/>
        <v>0</v>
      </c>
      <c r="V1070" s="38"/>
      <c r="W1070" s="40"/>
      <c r="X1070" s="40"/>
      <c r="Y1070" s="38"/>
      <c r="Z1070" s="38"/>
      <c r="AA1070" s="38"/>
      <c r="AB1070" s="38"/>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row>
    <row r="1071">
      <c r="A1071" s="37"/>
      <c r="B1071" s="341"/>
      <c r="C1071" s="60"/>
      <c r="D1071" s="60"/>
      <c r="E1071" s="58"/>
      <c r="F1071" s="58"/>
      <c r="G1071" s="58"/>
      <c r="H1071" s="33" t="str">
        <f t="shared" si="33"/>
        <v/>
      </c>
      <c r="I1071" s="58"/>
      <c r="J1071" s="58"/>
      <c r="K1071" s="58"/>
      <c r="L1071" s="58"/>
      <c r="M1071" s="80"/>
      <c r="N1071" s="77"/>
      <c r="O1071" s="62"/>
      <c r="P1071" s="62"/>
      <c r="Q1071" s="62"/>
      <c r="R1071" s="62"/>
      <c r="S1071" s="37" t="str">
        <f>IFERROR(__xludf.DUMMYFUNCTION("if(not(iserror(index(split(C1071, "" ""),2))), index(split(C1071, "" ""),1),"""")"),"")</f>
        <v/>
      </c>
      <c r="T1071" s="315" t="str">
        <f>IFERROR(__xludf.DUMMYFUNCTION("if(S1071="""",C1071,if(not(iserror(index(split(C1071, "" ""),3))), index(split(C1071, "" ""),3),index(split(C1071, "" ""),2)))"),"")</f>
        <v/>
      </c>
      <c r="U1071" s="38" t="b">
        <f t="shared" si="34"/>
        <v>0</v>
      </c>
      <c r="V1071" s="38"/>
      <c r="W1071" s="40"/>
      <c r="X1071" s="40"/>
      <c r="Y1071" s="38"/>
      <c r="Z1071" s="38"/>
      <c r="AA1071" s="38"/>
      <c r="AB1071" s="38"/>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row>
    <row r="1072">
      <c r="A1072" s="37"/>
      <c r="B1072" s="341"/>
      <c r="C1072" s="60"/>
      <c r="D1072" s="60"/>
      <c r="E1072" s="58"/>
      <c r="F1072" s="58"/>
      <c r="G1072" s="58"/>
      <c r="H1072" s="33" t="str">
        <f t="shared" si="33"/>
        <v/>
      </c>
      <c r="I1072" s="58"/>
      <c r="J1072" s="58"/>
      <c r="K1072" s="58"/>
      <c r="L1072" s="58"/>
      <c r="M1072" s="80"/>
      <c r="N1072" s="77"/>
      <c r="O1072" s="62"/>
      <c r="P1072" s="62"/>
      <c r="Q1072" s="62"/>
      <c r="R1072" s="62"/>
      <c r="S1072" s="37" t="str">
        <f>IFERROR(__xludf.DUMMYFUNCTION("if(not(iserror(index(split(C1072, "" ""),2))), index(split(C1072, "" ""),1),"""")"),"")</f>
        <v/>
      </c>
      <c r="T1072" s="315" t="str">
        <f>IFERROR(__xludf.DUMMYFUNCTION("if(S1072="""",C1072,if(not(iserror(index(split(C1072, "" ""),3))), index(split(C1072, "" ""),3),index(split(C1072, "" ""),2)))"),"")</f>
        <v/>
      </c>
      <c r="U1072" s="38" t="b">
        <f t="shared" si="34"/>
        <v>0</v>
      </c>
      <c r="V1072" s="38"/>
      <c r="W1072" s="40"/>
      <c r="X1072" s="40"/>
      <c r="Y1072" s="38"/>
      <c r="Z1072" s="38"/>
      <c r="AA1072" s="38"/>
      <c r="AB1072" s="38"/>
      <c r="AC1072" s="38"/>
      <c r="AD1072" s="38"/>
      <c r="AE1072" s="38"/>
      <c r="AF1072" s="38"/>
      <c r="AG1072" s="38"/>
      <c r="AH1072" s="38"/>
      <c r="AI1072" s="38"/>
      <c r="AJ1072" s="38"/>
      <c r="AK1072" s="38"/>
      <c r="AL1072" s="38"/>
      <c r="AM1072" s="38"/>
      <c r="AN1072" s="38"/>
      <c r="AO1072" s="38"/>
      <c r="AP1072" s="38"/>
      <c r="AQ1072" s="38"/>
      <c r="AR1072" s="38"/>
      <c r="AS1072" s="38"/>
      <c r="AT1072" s="38"/>
      <c r="AU1072" s="38"/>
      <c r="AV1072" s="38"/>
      <c r="AW1072" s="38"/>
      <c r="AX1072" s="38"/>
      <c r="AY1072" s="38"/>
      <c r="AZ1072" s="38"/>
      <c r="BA1072" s="38"/>
      <c r="BB1072" s="38"/>
      <c r="BC1072" s="38"/>
      <c r="BD1072" s="38"/>
      <c r="BE1072" s="38"/>
      <c r="BF1072" s="38"/>
      <c r="BG1072" s="38"/>
      <c r="BH1072" s="38"/>
      <c r="BI1072" s="38"/>
      <c r="BJ1072" s="38"/>
      <c r="BK1072" s="38"/>
      <c r="BL1072" s="38"/>
      <c r="BM1072" s="38"/>
      <c r="BN1072" s="38"/>
      <c r="BO1072" s="38"/>
      <c r="BP1072" s="38"/>
      <c r="BQ1072" s="38"/>
    </row>
    <row r="1073">
      <c r="A1073" s="37"/>
      <c r="B1073" s="341"/>
      <c r="C1073" s="60"/>
      <c r="D1073" s="60"/>
      <c r="E1073" s="58"/>
      <c r="F1073" s="58"/>
      <c r="G1073" s="58"/>
      <c r="H1073" s="33" t="str">
        <f t="shared" si="33"/>
        <v/>
      </c>
      <c r="I1073" s="58"/>
      <c r="J1073" s="58"/>
      <c r="K1073" s="58"/>
      <c r="L1073" s="58"/>
      <c r="M1073" s="80"/>
      <c r="N1073" s="77"/>
      <c r="O1073" s="62"/>
      <c r="P1073" s="62"/>
      <c r="Q1073" s="62"/>
      <c r="R1073" s="62"/>
      <c r="S1073" s="37" t="str">
        <f>IFERROR(__xludf.DUMMYFUNCTION("if(not(iserror(index(split(C1073, "" ""),2))), index(split(C1073, "" ""),1),"""")"),"")</f>
        <v/>
      </c>
      <c r="T1073" s="315" t="str">
        <f>IFERROR(__xludf.DUMMYFUNCTION("if(S1073="""",C1073,if(not(iserror(index(split(C1073, "" ""),3))), index(split(C1073, "" ""),3),index(split(C1073, "" ""),2)))"),"")</f>
        <v/>
      </c>
      <c r="U1073" s="38" t="b">
        <f t="shared" si="34"/>
        <v>0</v>
      </c>
      <c r="V1073" s="38"/>
      <c r="W1073" s="40"/>
      <c r="X1073" s="40"/>
      <c r="Y1073" s="38"/>
      <c r="Z1073" s="38"/>
      <c r="AA1073" s="38"/>
      <c r="AB1073" s="38"/>
      <c r="AC1073" s="38"/>
      <c r="AD1073" s="38"/>
      <c r="AE1073" s="38"/>
      <c r="AF1073" s="38"/>
      <c r="AG1073" s="38"/>
      <c r="AH1073" s="38"/>
      <c r="AI1073" s="38"/>
      <c r="AJ1073" s="38"/>
      <c r="AK1073" s="38"/>
      <c r="AL1073" s="38"/>
      <c r="AM1073" s="38"/>
      <c r="AN1073" s="38"/>
      <c r="AO1073" s="38"/>
      <c r="AP1073" s="38"/>
      <c r="AQ1073" s="38"/>
      <c r="AR1073" s="38"/>
      <c r="AS1073" s="38"/>
      <c r="AT1073" s="38"/>
      <c r="AU1073" s="38"/>
      <c r="AV1073" s="38"/>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row>
    <row r="1074">
      <c r="A1074" s="37"/>
      <c r="B1074" s="341"/>
      <c r="C1074" s="60"/>
      <c r="D1074" s="60"/>
      <c r="E1074" s="58"/>
      <c r="F1074" s="58"/>
      <c r="G1074" s="58"/>
      <c r="H1074" s="33" t="str">
        <f t="shared" si="33"/>
        <v/>
      </c>
      <c r="I1074" s="58"/>
      <c r="J1074" s="58"/>
      <c r="K1074" s="58"/>
      <c r="L1074" s="58"/>
      <c r="M1074" s="80"/>
      <c r="N1074" s="77"/>
      <c r="O1074" s="62"/>
      <c r="P1074" s="62"/>
      <c r="Q1074" s="62"/>
      <c r="R1074" s="62"/>
      <c r="S1074" s="37" t="str">
        <f>IFERROR(__xludf.DUMMYFUNCTION("if(not(iserror(index(split(C1074, "" ""),2))), index(split(C1074, "" ""),1),"""")"),"")</f>
        <v/>
      </c>
      <c r="T1074" s="315" t="str">
        <f>IFERROR(__xludf.DUMMYFUNCTION("if(S1074="""",C1074,if(not(iserror(index(split(C1074, "" ""),3))), index(split(C1074, "" ""),3),index(split(C1074, "" ""),2)))"),"")</f>
        <v/>
      </c>
      <c r="U1074" s="38" t="b">
        <f t="shared" si="34"/>
        <v>0</v>
      </c>
      <c r="V1074" s="38"/>
      <c r="W1074" s="40"/>
      <c r="X1074" s="40"/>
      <c r="Y1074" s="38"/>
      <c r="Z1074" s="38"/>
      <c r="AA1074" s="38"/>
      <c r="AB1074" s="38"/>
      <c r="AC1074" s="38"/>
      <c r="AD1074" s="38"/>
      <c r="AE1074" s="38"/>
      <c r="AF1074" s="38"/>
      <c r="AG1074" s="38"/>
      <c r="AH1074" s="38"/>
      <c r="AI1074" s="38"/>
      <c r="AJ1074" s="38"/>
      <c r="AK1074" s="38"/>
      <c r="AL1074" s="38"/>
      <c r="AM1074" s="38"/>
      <c r="AN1074" s="38"/>
      <c r="AO1074" s="38"/>
      <c r="AP1074" s="38"/>
      <c r="AQ1074" s="38"/>
      <c r="AR1074" s="38"/>
      <c r="AS1074" s="38"/>
      <c r="AT1074" s="38"/>
      <c r="AU1074" s="38"/>
      <c r="AV1074" s="38"/>
      <c r="AW1074" s="38"/>
      <c r="AX1074" s="38"/>
      <c r="AY1074" s="38"/>
      <c r="AZ1074" s="38"/>
      <c r="BA1074" s="38"/>
      <c r="BB1074" s="38"/>
      <c r="BC1074" s="38"/>
      <c r="BD1074" s="38"/>
      <c r="BE1074" s="38"/>
      <c r="BF1074" s="38"/>
      <c r="BG1074" s="38"/>
      <c r="BH1074" s="38"/>
      <c r="BI1074" s="38"/>
      <c r="BJ1074" s="38"/>
      <c r="BK1074" s="38"/>
      <c r="BL1074" s="38"/>
      <c r="BM1074" s="38"/>
      <c r="BN1074" s="38"/>
      <c r="BO1074" s="38"/>
      <c r="BP1074" s="38"/>
      <c r="BQ1074" s="38"/>
    </row>
    <row r="1075">
      <c r="A1075" s="58"/>
      <c r="B1075" s="341"/>
      <c r="C1075" s="60"/>
      <c r="D1075" s="60"/>
      <c r="E1075" s="58"/>
      <c r="F1075" s="58"/>
      <c r="G1075" s="58"/>
      <c r="H1075" s="33" t="str">
        <f t="shared" si="33"/>
        <v/>
      </c>
      <c r="I1075" s="58"/>
      <c r="J1075" s="58"/>
      <c r="K1075" s="58"/>
      <c r="L1075" s="58"/>
      <c r="M1075" s="80"/>
      <c r="N1075" s="77"/>
      <c r="O1075" s="62"/>
      <c r="P1075" s="62"/>
      <c r="Q1075" s="62"/>
      <c r="R1075" s="62"/>
      <c r="S1075" s="37" t="str">
        <f>IFERROR(__xludf.DUMMYFUNCTION("if(not(iserror(index(split(C1075, "" ""),2))), index(split(C1075, "" ""),1),"""")"),"")</f>
        <v/>
      </c>
      <c r="T1075" s="315" t="str">
        <f>IFERROR(__xludf.DUMMYFUNCTION("if(S1075="""",C1075,if(not(iserror(index(split(C1075, "" ""),3))), index(split(C1075, "" ""),3),index(split(C1075, "" ""),2)))"),"")</f>
        <v/>
      </c>
      <c r="U1075" s="38" t="b">
        <f t="shared" si="34"/>
        <v>0</v>
      </c>
      <c r="V1075" s="38"/>
      <c r="W1075" s="40"/>
      <c r="X1075" s="40"/>
      <c r="Y1075" s="38"/>
      <c r="Z1075" s="38"/>
      <c r="AA1075" s="38"/>
      <c r="AB1075" s="38"/>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c r="AW1075" s="38"/>
      <c r="AX1075" s="38"/>
      <c r="AY1075" s="38"/>
      <c r="AZ1075" s="38"/>
      <c r="BA1075" s="38"/>
      <c r="BB1075" s="38"/>
      <c r="BC1075" s="38"/>
      <c r="BD1075" s="38"/>
      <c r="BE1075" s="38"/>
      <c r="BF1075" s="38"/>
      <c r="BG1075" s="38"/>
      <c r="BH1075" s="38"/>
      <c r="BI1075" s="38"/>
      <c r="BJ1075" s="38"/>
      <c r="BK1075" s="38"/>
      <c r="BL1075" s="38"/>
      <c r="BM1075" s="38"/>
      <c r="BN1075" s="38"/>
      <c r="BO1075" s="38"/>
      <c r="BP1075" s="38"/>
      <c r="BQ1075" s="38"/>
    </row>
    <row r="1076">
      <c r="A1076" s="58"/>
      <c r="B1076" s="341"/>
      <c r="C1076" s="60"/>
      <c r="D1076" s="60"/>
      <c r="E1076" s="58"/>
      <c r="F1076" s="58"/>
      <c r="G1076" s="58"/>
      <c r="H1076" s="33" t="str">
        <f t="shared" si="33"/>
        <v/>
      </c>
      <c r="I1076" s="58"/>
      <c r="J1076" s="58"/>
      <c r="K1076" s="58"/>
      <c r="L1076" s="58"/>
      <c r="M1076" s="80"/>
      <c r="N1076" s="77"/>
      <c r="O1076" s="58"/>
      <c r="P1076" s="62"/>
      <c r="Q1076" s="84"/>
      <c r="R1076" s="62"/>
      <c r="S1076" s="37" t="str">
        <f>IFERROR(__xludf.DUMMYFUNCTION("if(not(iserror(index(split(C1076, "" ""),2))), index(split(C1076, "" ""),1),"""")"),"")</f>
        <v/>
      </c>
      <c r="T1076" s="315" t="str">
        <f>IFERROR(__xludf.DUMMYFUNCTION("if(S1076="""",C1076,if(not(iserror(index(split(C1076, "" ""),3))), index(split(C1076, "" ""),3),index(split(C1076, "" ""),2)))"),"")</f>
        <v/>
      </c>
      <c r="U1076" s="38" t="b">
        <f t="shared" si="34"/>
        <v>0</v>
      </c>
      <c r="V1076" s="38"/>
      <c r="W1076" s="40"/>
      <c r="X1076" s="40"/>
      <c r="Y1076" s="38"/>
      <c r="Z1076" s="38"/>
      <c r="AA1076" s="38"/>
      <c r="AB1076" s="38"/>
      <c r="AC1076" s="38"/>
      <c r="AD1076" s="38"/>
      <c r="AE1076" s="38"/>
      <c r="AF1076" s="38"/>
      <c r="AG1076" s="38"/>
      <c r="AH1076" s="38"/>
      <c r="AI1076" s="38"/>
      <c r="AJ1076" s="38"/>
      <c r="AK1076" s="38"/>
      <c r="AL1076" s="38"/>
      <c r="AM1076" s="38"/>
      <c r="AN1076" s="38"/>
      <c r="AO1076" s="38"/>
      <c r="AP1076" s="38"/>
      <c r="AQ1076" s="38"/>
      <c r="AR1076" s="38"/>
      <c r="AS1076" s="38"/>
      <c r="AT1076" s="38"/>
      <c r="AU1076" s="38"/>
      <c r="AV1076" s="38"/>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row>
    <row r="1077">
      <c r="A1077" s="58"/>
      <c r="B1077" s="341"/>
      <c r="C1077" s="60"/>
      <c r="D1077" s="60"/>
      <c r="E1077" s="58"/>
      <c r="F1077" s="58"/>
      <c r="G1077" s="58"/>
      <c r="H1077" s="33" t="str">
        <f t="shared" si="33"/>
        <v/>
      </c>
      <c r="I1077" s="58"/>
      <c r="J1077" s="58"/>
      <c r="K1077" s="58"/>
      <c r="L1077" s="58"/>
      <c r="M1077" s="80"/>
      <c r="N1077" s="77"/>
      <c r="O1077" s="58"/>
      <c r="P1077" s="62"/>
      <c r="Q1077" s="84"/>
      <c r="R1077" s="62"/>
      <c r="S1077" s="37" t="str">
        <f>IFERROR(__xludf.DUMMYFUNCTION("if(not(iserror(index(split(C1077, "" ""),2))), index(split(C1077, "" ""),1),"""")"),"")</f>
        <v/>
      </c>
      <c r="T1077" s="315" t="str">
        <f>IFERROR(__xludf.DUMMYFUNCTION("if(S1077="""",C1077,if(not(iserror(index(split(C1077, "" ""),3))), index(split(C1077, "" ""),3),index(split(C1077, "" ""),2)))"),"")</f>
        <v/>
      </c>
      <c r="U1077" s="38" t="b">
        <f t="shared" si="34"/>
        <v>0</v>
      </c>
      <c r="V1077" s="38"/>
      <c r="W1077" s="40"/>
      <c r="X1077" s="40"/>
      <c r="Y1077" s="38"/>
      <c r="Z1077" s="38"/>
      <c r="AA1077" s="38"/>
      <c r="AB1077" s="38"/>
      <c r="AC1077" s="38"/>
      <c r="AD1077" s="38"/>
      <c r="AE1077" s="38"/>
      <c r="AF1077" s="38"/>
      <c r="AG1077" s="38"/>
      <c r="AH1077" s="38"/>
      <c r="AI1077" s="38"/>
      <c r="AJ1077" s="38"/>
      <c r="AK1077" s="38"/>
      <c r="AL1077" s="38"/>
      <c r="AM1077" s="38"/>
      <c r="AN1077" s="38"/>
      <c r="AO1077" s="38"/>
      <c r="AP1077" s="38"/>
      <c r="AQ1077" s="38"/>
      <c r="AR1077" s="38"/>
      <c r="AS1077" s="38"/>
      <c r="AT1077" s="38"/>
      <c r="AU1077" s="38"/>
      <c r="AV1077" s="38"/>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row>
    <row r="1078">
      <c r="A1078" s="37"/>
      <c r="B1078" s="341"/>
      <c r="C1078" s="60"/>
      <c r="D1078" s="60"/>
      <c r="E1078" s="58"/>
      <c r="F1078" s="58"/>
      <c r="G1078" s="58"/>
      <c r="H1078" s="33" t="str">
        <f t="shared" si="33"/>
        <v/>
      </c>
      <c r="I1078" s="58"/>
      <c r="J1078" s="58"/>
      <c r="K1078" s="58"/>
      <c r="L1078" s="58"/>
      <c r="M1078" s="80"/>
      <c r="N1078" s="77"/>
      <c r="O1078" s="62"/>
      <c r="P1078" s="62"/>
      <c r="Q1078" s="62"/>
      <c r="R1078" s="62"/>
      <c r="S1078" s="37" t="str">
        <f>IFERROR(__xludf.DUMMYFUNCTION("if(not(iserror(index(split(C1078, "" ""),2))), index(split(C1078, "" ""),1),"""")"),"")</f>
        <v/>
      </c>
      <c r="T1078" s="315" t="str">
        <f>IFERROR(__xludf.DUMMYFUNCTION("if(S1078="""",C1078,if(not(iserror(index(split(C1078, "" ""),3))), index(split(C1078, "" ""),3),index(split(C1078, "" ""),2)))"),"")</f>
        <v/>
      </c>
      <c r="U1078" s="38" t="b">
        <f t="shared" si="34"/>
        <v>0</v>
      </c>
      <c r="V1078" s="38"/>
      <c r="W1078" s="40"/>
      <c r="X1078" s="40"/>
      <c r="Y1078" s="38"/>
      <c r="Z1078" s="38"/>
      <c r="AA1078" s="38"/>
      <c r="AB1078" s="38"/>
      <c r="AC1078" s="38"/>
      <c r="AD1078" s="38"/>
      <c r="AE1078" s="38"/>
      <c r="AF1078" s="38"/>
      <c r="AG1078" s="38"/>
      <c r="AH1078" s="38"/>
      <c r="AI1078" s="38"/>
      <c r="AJ1078" s="38"/>
      <c r="AK1078" s="38"/>
      <c r="AL1078" s="38"/>
      <c r="AM1078" s="38"/>
      <c r="AN1078" s="38"/>
      <c r="AO1078" s="38"/>
      <c r="AP1078" s="38"/>
      <c r="AQ1078" s="38"/>
      <c r="AR1078" s="38"/>
      <c r="AS1078" s="38"/>
      <c r="AT1078" s="38"/>
      <c r="AU1078" s="38"/>
      <c r="AV1078" s="38"/>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row>
    <row r="1079">
      <c r="A1079" s="37"/>
      <c r="B1079" s="341"/>
      <c r="C1079" s="60"/>
      <c r="D1079" s="60"/>
      <c r="E1079" s="58"/>
      <c r="F1079" s="58"/>
      <c r="G1079" s="58"/>
      <c r="H1079" s="33" t="str">
        <f t="shared" si="33"/>
        <v/>
      </c>
      <c r="I1079" s="58"/>
      <c r="J1079" s="58"/>
      <c r="K1079" s="58"/>
      <c r="L1079" s="58"/>
      <c r="M1079" s="80"/>
      <c r="N1079" s="77"/>
      <c r="O1079" s="62"/>
      <c r="P1079" s="62"/>
      <c r="Q1079" s="62"/>
      <c r="R1079" s="62"/>
      <c r="S1079" s="37" t="str">
        <f>IFERROR(__xludf.DUMMYFUNCTION("if(not(iserror(index(split(C1079, "" ""),2))), index(split(C1079, "" ""),1),"""")"),"")</f>
        <v/>
      </c>
      <c r="T1079" s="315" t="str">
        <f>IFERROR(__xludf.DUMMYFUNCTION("if(S1079="""",C1079,if(not(iserror(index(split(C1079, "" ""),3))), index(split(C1079, "" ""),3),index(split(C1079, "" ""),2)))"),"")</f>
        <v/>
      </c>
      <c r="U1079" s="38" t="b">
        <f t="shared" si="34"/>
        <v>0</v>
      </c>
      <c r="V1079" s="38"/>
      <c r="W1079" s="40"/>
      <c r="X1079" s="40"/>
      <c r="Y1079" s="38"/>
      <c r="Z1079" s="38"/>
      <c r="AA1079" s="38"/>
      <c r="AB1079" s="38"/>
      <c r="AC1079" s="38"/>
      <c r="AD1079" s="38"/>
      <c r="AE1079" s="38"/>
      <c r="AF1079" s="38"/>
      <c r="AG1079" s="38"/>
      <c r="AH1079" s="38"/>
      <c r="AI1079" s="38"/>
      <c r="AJ1079" s="38"/>
      <c r="AK1079" s="38"/>
      <c r="AL1079" s="38"/>
      <c r="AM1079" s="38"/>
      <c r="AN1079" s="38"/>
      <c r="AO1079" s="38"/>
      <c r="AP1079" s="38"/>
      <c r="AQ1079" s="38"/>
      <c r="AR1079" s="38"/>
      <c r="AS1079" s="38"/>
      <c r="AT1079" s="38"/>
      <c r="AU1079" s="38"/>
      <c r="AV1079" s="38"/>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row>
    <row r="1080">
      <c r="A1080" s="37"/>
      <c r="B1080" s="341"/>
      <c r="C1080" s="60"/>
      <c r="D1080" s="60"/>
      <c r="E1080" s="58"/>
      <c r="F1080" s="58"/>
      <c r="G1080" s="58"/>
      <c r="H1080" s="33" t="str">
        <f t="shared" si="33"/>
        <v/>
      </c>
      <c r="I1080" s="58"/>
      <c r="J1080" s="58"/>
      <c r="K1080" s="58"/>
      <c r="L1080" s="58"/>
      <c r="M1080" s="80"/>
      <c r="N1080" s="77"/>
      <c r="O1080" s="58"/>
      <c r="P1080" s="58"/>
      <c r="Q1080" s="84"/>
      <c r="R1080" s="62"/>
      <c r="S1080" s="37" t="str">
        <f>IFERROR(__xludf.DUMMYFUNCTION("if(not(iserror(index(split(C1080, "" ""),2))), index(split(C1080, "" ""),1),"""")"),"")</f>
        <v/>
      </c>
      <c r="T1080" s="315" t="str">
        <f>IFERROR(__xludf.DUMMYFUNCTION("if(S1080="""",C1080,if(not(iserror(index(split(C1080, "" ""),3))), index(split(C1080, "" ""),3),index(split(C1080, "" ""),2)))"),"")</f>
        <v/>
      </c>
      <c r="U1080" s="38" t="b">
        <f t="shared" si="34"/>
        <v>0</v>
      </c>
      <c r="V1080" s="38"/>
      <c r="W1080" s="40"/>
      <c r="X1080" s="40"/>
      <c r="Y1080" s="38"/>
      <c r="Z1080" s="38"/>
      <c r="AA1080" s="38"/>
      <c r="AB1080" s="38"/>
      <c r="AC1080" s="38"/>
      <c r="AD1080" s="38"/>
      <c r="AE1080" s="38"/>
      <c r="AF1080" s="38"/>
      <c r="AG1080" s="38"/>
      <c r="AH1080" s="38"/>
      <c r="AI1080" s="38"/>
      <c r="AJ1080" s="38"/>
      <c r="AK1080" s="38"/>
      <c r="AL1080" s="38"/>
      <c r="AM1080" s="38"/>
      <c r="AN1080" s="38"/>
      <c r="AO1080" s="38"/>
      <c r="AP1080" s="38"/>
      <c r="AQ1080" s="38"/>
      <c r="AR1080" s="38"/>
      <c r="AS1080" s="38"/>
      <c r="AT1080" s="38"/>
      <c r="AU1080" s="38"/>
      <c r="AV1080" s="38"/>
      <c r="AW1080" s="38"/>
      <c r="AX1080" s="38"/>
      <c r="AY1080" s="38"/>
      <c r="AZ1080" s="38"/>
      <c r="BA1080" s="38"/>
      <c r="BB1080" s="38"/>
      <c r="BC1080" s="38"/>
      <c r="BD1080" s="38"/>
      <c r="BE1080" s="38"/>
      <c r="BF1080" s="38"/>
      <c r="BG1080" s="38"/>
      <c r="BH1080" s="38"/>
      <c r="BI1080" s="38"/>
      <c r="BJ1080" s="38"/>
      <c r="BK1080" s="38"/>
      <c r="BL1080" s="38"/>
      <c r="BM1080" s="38"/>
      <c r="BN1080" s="38"/>
      <c r="BO1080" s="38"/>
      <c r="BP1080" s="38"/>
      <c r="BQ1080" s="38"/>
    </row>
    <row r="1081">
      <c r="A1081" s="91"/>
      <c r="B1081" s="383"/>
      <c r="C1081" s="146"/>
      <c r="D1081" s="146"/>
      <c r="E1081" s="91"/>
      <c r="F1081" s="91"/>
      <c r="G1081" s="91"/>
      <c r="H1081" s="33" t="str">
        <f t="shared" si="33"/>
        <v/>
      </c>
      <c r="I1081" s="91"/>
      <c r="J1081" s="91"/>
      <c r="K1081" s="91"/>
      <c r="L1081" s="91"/>
      <c r="M1081" s="95"/>
      <c r="N1081" s="95"/>
      <c r="O1081" s="58"/>
      <c r="P1081" s="58"/>
      <c r="Q1081" s="84"/>
      <c r="R1081" s="62"/>
      <c r="S1081" s="37" t="str">
        <f>IFERROR(__xludf.DUMMYFUNCTION("if(not(iserror(index(split(C1081, "" ""),2))), index(split(C1081, "" ""),1),"""")"),"")</f>
        <v/>
      </c>
      <c r="T1081" s="315" t="str">
        <f>IFERROR(__xludf.DUMMYFUNCTION("if(S1081="""",C1081,if(not(iserror(index(split(C1081, "" ""),3))), index(split(C1081, "" ""),3),index(split(C1081, "" ""),2)))"),"")</f>
        <v/>
      </c>
      <c r="U1081" s="38" t="b">
        <f t="shared" si="34"/>
        <v>0</v>
      </c>
      <c r="V1081" s="38"/>
      <c r="W1081" s="40"/>
      <c r="X1081" s="40"/>
      <c r="Y1081" s="38"/>
      <c r="Z1081" s="38"/>
      <c r="AA1081" s="38"/>
      <c r="AB1081" s="38"/>
      <c r="AC1081" s="38"/>
      <c r="AD1081" s="38"/>
      <c r="AE1081" s="38"/>
      <c r="AF1081" s="38"/>
      <c r="AG1081" s="38"/>
      <c r="AH1081" s="38"/>
      <c r="AI1081" s="38"/>
      <c r="AJ1081" s="38"/>
      <c r="AK1081" s="38"/>
      <c r="AL1081" s="38"/>
      <c r="AM1081" s="38"/>
      <c r="AN1081" s="38"/>
      <c r="AO1081" s="38"/>
      <c r="AP1081" s="38"/>
      <c r="AQ1081" s="38"/>
      <c r="AR1081" s="38"/>
      <c r="AS1081" s="38"/>
      <c r="AT1081" s="38"/>
      <c r="AU1081" s="38"/>
      <c r="AV1081" s="38"/>
      <c r="AW1081" s="38"/>
      <c r="AX1081" s="38"/>
      <c r="AY1081" s="38"/>
      <c r="AZ1081" s="38"/>
      <c r="BA1081" s="38"/>
      <c r="BB1081" s="38"/>
      <c r="BC1081" s="38"/>
      <c r="BD1081" s="38"/>
      <c r="BE1081" s="38"/>
      <c r="BF1081" s="38"/>
      <c r="BG1081" s="38"/>
      <c r="BH1081" s="38"/>
      <c r="BI1081" s="38"/>
      <c r="BJ1081" s="38"/>
      <c r="BK1081" s="38"/>
      <c r="BL1081" s="38"/>
      <c r="BM1081" s="38"/>
      <c r="BN1081" s="38"/>
      <c r="BO1081" s="38"/>
      <c r="BP1081" s="38"/>
      <c r="BQ1081" s="38"/>
    </row>
    <row r="1082">
      <c r="A1082" s="58"/>
      <c r="B1082" s="341"/>
      <c r="C1082" s="60"/>
      <c r="D1082" s="60"/>
      <c r="E1082" s="58"/>
      <c r="F1082" s="58"/>
      <c r="G1082" s="58"/>
      <c r="H1082" s="33" t="str">
        <f t="shared" si="33"/>
        <v/>
      </c>
      <c r="I1082" s="58"/>
      <c r="J1082" s="58"/>
      <c r="K1082" s="58"/>
      <c r="L1082" s="58"/>
      <c r="M1082" s="80"/>
      <c r="N1082" s="77"/>
      <c r="O1082" s="62"/>
      <c r="P1082" s="62"/>
      <c r="Q1082" s="62"/>
      <c r="R1082" s="62"/>
      <c r="S1082" s="37" t="str">
        <f>IFERROR(__xludf.DUMMYFUNCTION("if(not(iserror(index(split(C1082, "" ""),2))), index(split(C1082, "" ""),1),"""")"),"")</f>
        <v/>
      </c>
      <c r="T1082" s="315" t="str">
        <f>IFERROR(__xludf.DUMMYFUNCTION("if(S1082="""",C1082,if(not(iserror(index(split(C1082, "" ""),3))), index(split(C1082, "" ""),3),index(split(C1082, "" ""),2)))"),"")</f>
        <v/>
      </c>
      <c r="U1082" s="38" t="b">
        <f t="shared" si="34"/>
        <v>0</v>
      </c>
      <c r="V1082" s="38"/>
      <c r="W1082" s="40"/>
      <c r="X1082" s="40"/>
      <c r="Y1082" s="38"/>
      <c r="Z1082" s="38"/>
      <c r="AA1082" s="38"/>
      <c r="AB1082" s="38"/>
      <c r="AC1082" s="38"/>
      <c r="AD1082" s="38"/>
      <c r="AE1082" s="38"/>
      <c r="AF1082" s="38"/>
      <c r="AG1082" s="38"/>
      <c r="AH1082" s="38"/>
      <c r="AI1082" s="38"/>
      <c r="AJ1082" s="38"/>
      <c r="AK1082" s="38"/>
      <c r="AL1082" s="38"/>
      <c r="AM1082" s="38"/>
      <c r="AN1082" s="38"/>
      <c r="AO1082" s="38"/>
      <c r="AP1082" s="38"/>
      <c r="AQ1082" s="38"/>
      <c r="AR1082" s="38"/>
      <c r="AS1082" s="38"/>
      <c r="AT1082" s="38"/>
      <c r="AU1082" s="38"/>
      <c r="AV1082" s="38"/>
      <c r="AW1082" s="38"/>
      <c r="AX1082" s="38"/>
      <c r="AY1082" s="38"/>
      <c r="AZ1082" s="38"/>
      <c r="BA1082" s="38"/>
      <c r="BB1082" s="38"/>
      <c r="BC1082" s="38"/>
      <c r="BD1082" s="38"/>
      <c r="BE1082" s="38"/>
      <c r="BF1082" s="38"/>
      <c r="BG1082" s="38"/>
      <c r="BH1082" s="38"/>
      <c r="BI1082" s="38"/>
      <c r="BJ1082" s="38"/>
      <c r="BK1082" s="38"/>
      <c r="BL1082" s="38"/>
      <c r="BM1082" s="38"/>
      <c r="BN1082" s="38"/>
      <c r="BO1082" s="38"/>
      <c r="BP1082" s="38"/>
      <c r="BQ1082" s="38"/>
    </row>
    <row r="1083">
      <c r="A1083" s="58"/>
      <c r="B1083" s="341"/>
      <c r="C1083" s="60"/>
      <c r="D1083" s="60"/>
      <c r="E1083" s="58"/>
      <c r="F1083" s="58"/>
      <c r="G1083" s="58"/>
      <c r="H1083" s="33" t="str">
        <f t="shared" si="33"/>
        <v/>
      </c>
      <c r="I1083" s="58"/>
      <c r="J1083" s="58"/>
      <c r="K1083" s="58"/>
      <c r="L1083" s="58"/>
      <c r="M1083" s="80"/>
      <c r="N1083" s="77"/>
      <c r="O1083" s="62"/>
      <c r="P1083" s="62"/>
      <c r="Q1083" s="62"/>
      <c r="R1083" s="62"/>
      <c r="S1083" s="37" t="str">
        <f>IFERROR(__xludf.DUMMYFUNCTION("if(not(iserror(index(split(C1083, "" ""),2))), index(split(C1083, "" ""),1),"""")"),"")</f>
        <v/>
      </c>
      <c r="T1083" s="315" t="str">
        <f>IFERROR(__xludf.DUMMYFUNCTION("if(S1083="""",C1083,if(not(iserror(index(split(C1083, "" ""),3))), index(split(C1083, "" ""),3),index(split(C1083, "" ""),2)))"),"")</f>
        <v/>
      </c>
      <c r="U1083" s="38" t="b">
        <f t="shared" si="34"/>
        <v>0</v>
      </c>
      <c r="V1083" s="38"/>
      <c r="W1083" s="40"/>
      <c r="X1083" s="40"/>
      <c r="Y1083" s="38"/>
      <c r="Z1083" s="38"/>
      <c r="AA1083" s="38"/>
      <c r="AB1083" s="38"/>
      <c r="AC1083" s="38"/>
      <c r="AD1083" s="38"/>
      <c r="AE1083" s="38"/>
      <c r="AF1083" s="38"/>
      <c r="AG1083" s="38"/>
      <c r="AH1083" s="38"/>
      <c r="AI1083" s="38"/>
      <c r="AJ1083" s="38"/>
      <c r="AK1083" s="38"/>
      <c r="AL1083" s="38"/>
      <c r="AM1083" s="38"/>
      <c r="AN1083" s="38"/>
      <c r="AO1083" s="38"/>
      <c r="AP1083" s="38"/>
      <c r="AQ1083" s="38"/>
      <c r="AR1083" s="38"/>
      <c r="AS1083" s="38"/>
      <c r="AT1083" s="38"/>
      <c r="AU1083" s="38"/>
      <c r="AV1083" s="38"/>
      <c r="AW1083" s="38"/>
      <c r="AX1083" s="38"/>
      <c r="AY1083" s="38"/>
      <c r="AZ1083" s="38"/>
      <c r="BA1083" s="38"/>
      <c r="BB1083" s="38"/>
      <c r="BC1083" s="38"/>
      <c r="BD1083" s="38"/>
      <c r="BE1083" s="38"/>
      <c r="BF1083" s="38"/>
      <c r="BG1083" s="38"/>
      <c r="BH1083" s="38"/>
      <c r="BI1083" s="38"/>
      <c r="BJ1083" s="38"/>
      <c r="BK1083" s="38"/>
      <c r="BL1083" s="38"/>
      <c r="BM1083" s="38"/>
      <c r="BN1083" s="38"/>
      <c r="BO1083" s="38"/>
      <c r="BP1083" s="38"/>
      <c r="BQ1083" s="38"/>
    </row>
    <row r="1084">
      <c r="A1084" s="58"/>
      <c r="B1084" s="341"/>
      <c r="C1084" s="60"/>
      <c r="D1084" s="60"/>
      <c r="E1084" s="58"/>
      <c r="F1084" s="58"/>
      <c r="G1084" s="58"/>
      <c r="H1084" s="33" t="str">
        <f t="shared" si="33"/>
        <v/>
      </c>
      <c r="I1084" s="58"/>
      <c r="J1084" s="58"/>
      <c r="K1084" s="58"/>
      <c r="L1084" s="58"/>
      <c r="M1084" s="80"/>
      <c r="N1084" s="77"/>
      <c r="O1084" s="62"/>
      <c r="P1084" s="62"/>
      <c r="Q1084" s="62"/>
      <c r="R1084" s="62"/>
      <c r="S1084" s="37" t="str">
        <f>IFERROR(__xludf.DUMMYFUNCTION("if(not(iserror(index(split(C1084, "" ""),2))), index(split(C1084, "" ""),1),"""")"),"")</f>
        <v/>
      </c>
      <c r="T1084" s="315" t="str">
        <f>IFERROR(__xludf.DUMMYFUNCTION("if(S1084="""",C1084,if(not(iserror(index(split(C1084, "" ""),3))), index(split(C1084, "" ""),3),index(split(C1084, "" ""),2)))"),"")</f>
        <v/>
      </c>
      <c r="U1084" s="38" t="b">
        <f t="shared" si="34"/>
        <v>0</v>
      </c>
      <c r="V1084" s="38"/>
      <c r="W1084" s="40"/>
      <c r="X1084" s="40"/>
      <c r="Y1084" s="38"/>
      <c r="Z1084" s="38"/>
      <c r="AA1084" s="38"/>
      <c r="AB1084" s="38"/>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row>
    <row r="1085">
      <c r="A1085" s="37"/>
      <c r="B1085" s="341"/>
      <c r="C1085" s="60"/>
      <c r="D1085" s="60"/>
      <c r="E1085" s="58"/>
      <c r="F1085" s="58"/>
      <c r="G1085" s="58"/>
      <c r="H1085" s="33" t="str">
        <f t="shared" si="33"/>
        <v/>
      </c>
      <c r="I1085" s="58"/>
      <c r="J1085" s="58"/>
      <c r="K1085" s="58"/>
      <c r="L1085" s="58"/>
      <c r="M1085" s="80"/>
      <c r="N1085" s="77"/>
      <c r="O1085" s="62"/>
      <c r="P1085" s="62"/>
      <c r="Q1085" s="62"/>
      <c r="R1085" s="62"/>
      <c r="S1085" s="37" t="str">
        <f>IFERROR(__xludf.DUMMYFUNCTION("if(not(iserror(index(split(C1085, "" ""),2))), index(split(C1085, "" ""),1),"""")"),"")</f>
        <v/>
      </c>
      <c r="T1085" s="315" t="str">
        <f>IFERROR(__xludf.DUMMYFUNCTION("if(S1085="""",C1085,if(not(iserror(index(split(C1085, "" ""),3))), index(split(C1085, "" ""),3),index(split(C1085, "" ""),2)))"),"")</f>
        <v/>
      </c>
      <c r="U1085" s="38" t="b">
        <f t="shared" si="34"/>
        <v>0</v>
      </c>
      <c r="V1085" s="38"/>
      <c r="W1085" s="40"/>
      <c r="X1085" s="40"/>
      <c r="Y1085" s="38"/>
      <c r="Z1085" s="38"/>
      <c r="AA1085" s="38"/>
      <c r="AB1085" s="38"/>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row>
    <row r="1086">
      <c r="A1086" s="37"/>
      <c r="B1086" s="341"/>
      <c r="C1086" s="60"/>
      <c r="D1086" s="60"/>
      <c r="E1086" s="58"/>
      <c r="F1086" s="58"/>
      <c r="G1086" s="58"/>
      <c r="H1086" s="33" t="str">
        <f t="shared" si="33"/>
        <v/>
      </c>
      <c r="I1086" s="58"/>
      <c r="J1086" s="58"/>
      <c r="K1086" s="58"/>
      <c r="L1086" s="58"/>
      <c r="M1086" s="80"/>
      <c r="N1086" s="77"/>
      <c r="O1086" s="62"/>
      <c r="P1086" s="62"/>
      <c r="Q1086" s="62"/>
      <c r="R1086" s="62"/>
      <c r="S1086" s="37" t="str">
        <f>IFERROR(__xludf.DUMMYFUNCTION("if(not(iserror(index(split(C1086, "" ""),2))), index(split(C1086, "" ""),1),"""")"),"")</f>
        <v/>
      </c>
      <c r="T1086" s="315" t="str">
        <f>IFERROR(__xludf.DUMMYFUNCTION("if(S1086="""",C1086,if(not(iserror(index(split(C1086, "" ""),3))), index(split(C1086, "" ""),3),index(split(C1086, "" ""),2)))"),"")</f>
        <v/>
      </c>
      <c r="U1086" s="38" t="b">
        <f t="shared" si="34"/>
        <v>0</v>
      </c>
      <c r="V1086" s="38"/>
      <c r="W1086" s="40"/>
      <c r="X1086" s="40"/>
      <c r="Y1086" s="38"/>
      <c r="Z1086" s="38"/>
      <c r="AA1086" s="38"/>
      <c r="AB1086" s="38"/>
      <c r="AC1086" s="38"/>
      <c r="AD1086" s="38"/>
      <c r="AE1086" s="38"/>
      <c r="AF1086" s="38"/>
      <c r="AG1086" s="38"/>
      <c r="AH1086" s="38"/>
      <c r="AI1086" s="38"/>
      <c r="AJ1086" s="38"/>
      <c r="AK1086" s="38"/>
      <c r="AL1086" s="38"/>
      <c r="AM1086" s="38"/>
      <c r="AN1086" s="38"/>
      <c r="AO1086" s="38"/>
      <c r="AP1086" s="38"/>
      <c r="AQ1086" s="38"/>
      <c r="AR1086" s="38"/>
      <c r="AS1086" s="38"/>
      <c r="AT1086" s="38"/>
      <c r="AU1086" s="38"/>
      <c r="AV1086" s="38"/>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row>
    <row r="1087">
      <c r="A1087" s="37"/>
      <c r="B1087" s="341"/>
      <c r="C1087" s="60"/>
      <c r="D1087" s="60"/>
      <c r="E1087" s="58"/>
      <c r="F1087" s="58"/>
      <c r="G1087" s="58"/>
      <c r="H1087" s="33" t="str">
        <f t="shared" si="33"/>
        <v/>
      </c>
      <c r="I1087" s="58"/>
      <c r="J1087" s="58"/>
      <c r="K1087" s="58"/>
      <c r="L1087" s="58"/>
      <c r="M1087" s="80"/>
      <c r="N1087" s="77"/>
      <c r="O1087" s="62"/>
      <c r="P1087" s="62"/>
      <c r="Q1087" s="62"/>
      <c r="R1087" s="62"/>
      <c r="S1087" s="37" t="str">
        <f>IFERROR(__xludf.DUMMYFUNCTION("if(not(iserror(index(split(C1087, "" ""),2))), index(split(C1087, "" ""),1),"""")"),"")</f>
        <v/>
      </c>
      <c r="T1087" s="315" t="str">
        <f>IFERROR(__xludf.DUMMYFUNCTION("if(S1087="""",C1087,if(not(iserror(index(split(C1087, "" ""),3))), index(split(C1087, "" ""),3),index(split(C1087, "" ""),2)))"),"")</f>
        <v/>
      </c>
      <c r="U1087" s="38" t="b">
        <f t="shared" si="34"/>
        <v>0</v>
      </c>
      <c r="V1087" s="38"/>
      <c r="W1087" s="40"/>
      <c r="X1087" s="40"/>
      <c r="Y1087" s="38"/>
      <c r="Z1087" s="38"/>
      <c r="AA1087" s="38"/>
      <c r="AB1087" s="38"/>
      <c r="AC1087" s="38"/>
      <c r="AD1087" s="38"/>
      <c r="AE1087" s="38"/>
      <c r="AF1087" s="38"/>
      <c r="AG1087" s="38"/>
      <c r="AH1087" s="38"/>
      <c r="AI1087" s="38"/>
      <c r="AJ1087" s="38"/>
      <c r="AK1087" s="38"/>
      <c r="AL1087" s="38"/>
      <c r="AM1087" s="38"/>
      <c r="AN1087" s="38"/>
      <c r="AO1087" s="38"/>
      <c r="AP1087" s="38"/>
      <c r="AQ1087" s="38"/>
      <c r="AR1087" s="38"/>
      <c r="AS1087" s="38"/>
      <c r="AT1087" s="38"/>
      <c r="AU1087" s="38"/>
      <c r="AV1087" s="38"/>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row>
    <row r="1088">
      <c r="A1088" s="58"/>
      <c r="B1088" s="341"/>
      <c r="C1088" s="60"/>
      <c r="D1088" s="60"/>
      <c r="E1088" s="58"/>
      <c r="F1088" s="58"/>
      <c r="G1088" s="58"/>
      <c r="H1088" s="33" t="str">
        <f t="shared" si="33"/>
        <v/>
      </c>
      <c r="I1088" s="58"/>
      <c r="J1088" s="58"/>
      <c r="K1088" s="58"/>
      <c r="L1088" s="58"/>
      <c r="M1088" s="80"/>
      <c r="N1088" s="77"/>
      <c r="O1088" s="58"/>
      <c r="P1088" s="58"/>
      <c r="Q1088" s="84"/>
      <c r="R1088" s="62"/>
      <c r="S1088" s="37" t="str">
        <f>IFERROR(__xludf.DUMMYFUNCTION("if(not(iserror(index(split(C1088, "" ""),2))), index(split(C1088, "" ""),1),"""")"),"")</f>
        <v/>
      </c>
      <c r="T1088" s="315" t="str">
        <f>IFERROR(__xludf.DUMMYFUNCTION("if(S1088="""",C1088,if(not(iserror(index(split(C1088, "" ""),3))), index(split(C1088, "" ""),3),index(split(C1088, "" ""),2)))"),"")</f>
        <v/>
      </c>
      <c r="U1088" s="38" t="b">
        <f t="shared" si="34"/>
        <v>0</v>
      </c>
      <c r="V1088" s="38"/>
      <c r="W1088" s="40"/>
      <c r="X1088" s="40"/>
      <c r="Y1088" s="38"/>
      <c r="Z1088" s="38"/>
      <c r="AA1088" s="38"/>
      <c r="AB1088" s="38"/>
      <c r="AC1088" s="38"/>
      <c r="AD1088" s="38"/>
      <c r="AE1088" s="38"/>
      <c r="AF1088" s="38"/>
      <c r="AG1088" s="38"/>
      <c r="AH1088" s="38"/>
      <c r="AI1088" s="38"/>
      <c r="AJ1088" s="38"/>
      <c r="AK1088" s="38"/>
      <c r="AL1088" s="38"/>
      <c r="AM1088" s="38"/>
      <c r="AN1088" s="38"/>
      <c r="AO1088" s="38"/>
      <c r="AP1088" s="38"/>
      <c r="AQ1088" s="38"/>
      <c r="AR1088" s="38"/>
      <c r="AS1088" s="38"/>
      <c r="AT1088" s="38"/>
      <c r="AU1088" s="38"/>
      <c r="AV1088" s="38"/>
      <c r="AW1088" s="38"/>
      <c r="AX1088" s="38"/>
      <c r="AY1088" s="38"/>
      <c r="AZ1088" s="38"/>
      <c r="BA1088" s="38"/>
      <c r="BB1088" s="38"/>
      <c r="BC1088" s="38"/>
      <c r="BD1088" s="38"/>
      <c r="BE1088" s="38"/>
      <c r="BF1088" s="38"/>
      <c r="BG1088" s="38"/>
      <c r="BH1088" s="38"/>
      <c r="BI1088" s="38"/>
      <c r="BJ1088" s="38"/>
      <c r="BK1088" s="38"/>
      <c r="BL1088" s="38"/>
      <c r="BM1088" s="38"/>
      <c r="BN1088" s="38"/>
      <c r="BO1088" s="38"/>
      <c r="BP1088" s="38"/>
      <c r="BQ1088" s="38"/>
    </row>
    <row r="1089">
      <c r="A1089" s="91"/>
      <c r="B1089" s="383"/>
      <c r="C1089" s="146"/>
      <c r="D1089" s="146"/>
      <c r="E1089" s="91"/>
      <c r="F1089" s="91"/>
      <c r="G1089" s="91"/>
      <c r="H1089" s="33" t="str">
        <f t="shared" si="33"/>
        <v/>
      </c>
      <c r="I1089" s="91"/>
      <c r="J1089" s="91"/>
      <c r="K1089" s="91"/>
      <c r="L1089" s="91"/>
      <c r="M1089" s="95"/>
      <c r="N1089" s="15"/>
      <c r="O1089" s="58"/>
      <c r="P1089" s="58"/>
      <c r="Q1089" s="84"/>
      <c r="R1089" s="62"/>
      <c r="S1089" s="37" t="str">
        <f>IFERROR(__xludf.DUMMYFUNCTION("if(not(iserror(index(split(C1089, "" ""),2))), index(split(C1089, "" ""),1),"""")"),"")</f>
        <v/>
      </c>
      <c r="T1089" s="315" t="str">
        <f>IFERROR(__xludf.DUMMYFUNCTION("if(S1089="""",C1089,if(not(iserror(index(split(C1089, "" ""),3))), index(split(C1089, "" ""),3),index(split(C1089, "" ""),2)))"),"")</f>
        <v/>
      </c>
      <c r="U1089" s="38" t="b">
        <f t="shared" si="34"/>
        <v>0</v>
      </c>
      <c r="V1089" s="38"/>
      <c r="W1089" s="40"/>
      <c r="X1089" s="40"/>
      <c r="Y1089" s="38"/>
      <c r="Z1089" s="38"/>
      <c r="AA1089" s="38"/>
      <c r="AB1089" s="38"/>
      <c r="AC1089" s="38"/>
      <c r="AD1089" s="38"/>
      <c r="AE1089" s="38"/>
      <c r="AF1089" s="38"/>
      <c r="AG1089" s="38"/>
      <c r="AH1089" s="38"/>
      <c r="AI1089" s="38"/>
      <c r="AJ1089" s="38"/>
      <c r="AK1089" s="38"/>
      <c r="AL1089" s="38"/>
      <c r="AM1089" s="38"/>
      <c r="AN1089" s="38"/>
      <c r="AO1089" s="38"/>
      <c r="AP1089" s="38"/>
      <c r="AQ1089" s="38"/>
      <c r="AR1089" s="38"/>
      <c r="AS1089" s="38"/>
      <c r="AT1089" s="38"/>
      <c r="AU1089" s="38"/>
      <c r="AV1089" s="38"/>
      <c r="AW1089" s="38"/>
      <c r="AX1089" s="38"/>
      <c r="AY1089" s="38"/>
      <c r="AZ1089" s="38"/>
      <c r="BA1089" s="38"/>
      <c r="BB1089" s="38"/>
      <c r="BC1089" s="38"/>
      <c r="BD1089" s="38"/>
      <c r="BE1089" s="38"/>
      <c r="BF1089" s="38"/>
      <c r="BG1089" s="38"/>
      <c r="BH1089" s="38"/>
      <c r="BI1089" s="38"/>
      <c r="BJ1089" s="38"/>
      <c r="BK1089" s="38"/>
      <c r="BL1089" s="38"/>
      <c r="BM1089" s="38"/>
      <c r="BN1089" s="38"/>
      <c r="BO1089" s="38"/>
      <c r="BP1089" s="38"/>
      <c r="BQ1089" s="38"/>
    </row>
    <row r="1090">
      <c r="A1090" s="58"/>
      <c r="B1090" s="341"/>
      <c r="C1090" s="60"/>
      <c r="D1090" s="60"/>
      <c r="E1090" s="58"/>
      <c r="F1090" s="58"/>
      <c r="G1090" s="58"/>
      <c r="H1090" s="33" t="str">
        <f t="shared" si="33"/>
        <v/>
      </c>
      <c r="I1090" s="58"/>
      <c r="J1090" s="58"/>
      <c r="K1090" s="58"/>
      <c r="L1090" s="58"/>
      <c r="M1090" s="80"/>
      <c r="N1090" s="77"/>
      <c r="O1090" s="62"/>
      <c r="P1090" s="62"/>
      <c r="Q1090" s="62"/>
      <c r="R1090" s="62"/>
      <c r="S1090" s="37" t="str">
        <f>IFERROR(__xludf.DUMMYFUNCTION("if(not(iserror(index(split(C1090, "" ""),2))), index(split(C1090, "" ""),1),"""")"),"")</f>
        <v/>
      </c>
      <c r="T1090" s="315" t="str">
        <f>IFERROR(__xludf.DUMMYFUNCTION("if(S1090="""",C1090,if(not(iserror(index(split(C1090, "" ""),3))), index(split(C1090, "" ""),3),index(split(C1090, "" ""),2)))"),"")</f>
        <v/>
      </c>
      <c r="U1090" s="38" t="b">
        <f t="shared" si="34"/>
        <v>0</v>
      </c>
      <c r="V1090" s="38"/>
      <c r="W1090" s="40"/>
      <c r="X1090" s="40"/>
      <c r="Y1090" s="38"/>
      <c r="Z1090" s="38"/>
      <c r="AA1090" s="38"/>
      <c r="AB1090" s="38"/>
      <c r="AC1090" s="38"/>
      <c r="AD1090" s="38"/>
      <c r="AE1090" s="38"/>
      <c r="AF1090" s="38"/>
      <c r="AG1090" s="38"/>
      <c r="AH1090" s="38"/>
      <c r="AI1090" s="38"/>
      <c r="AJ1090" s="38"/>
      <c r="AK1090" s="38"/>
      <c r="AL1090" s="38"/>
      <c r="AM1090" s="38"/>
      <c r="AN1090" s="38"/>
      <c r="AO1090" s="38"/>
      <c r="AP1090" s="38"/>
      <c r="AQ1090" s="38"/>
      <c r="AR1090" s="38"/>
      <c r="AS1090" s="38"/>
      <c r="AT1090" s="38"/>
      <c r="AU1090" s="38"/>
      <c r="AV1090" s="38"/>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row>
    <row r="1091">
      <c r="A1091" s="58"/>
      <c r="B1091" s="341"/>
      <c r="C1091" s="60"/>
      <c r="D1091" s="60"/>
      <c r="E1091" s="58"/>
      <c r="F1091" s="58"/>
      <c r="G1091" s="58"/>
      <c r="H1091" s="33" t="str">
        <f t="shared" si="33"/>
        <v/>
      </c>
      <c r="I1091" s="58"/>
      <c r="J1091" s="58"/>
      <c r="K1091" s="58"/>
      <c r="L1091" s="58"/>
      <c r="M1091" s="80"/>
      <c r="N1091" s="77"/>
      <c r="O1091" s="62"/>
      <c r="P1091" s="62"/>
      <c r="Q1091" s="62"/>
      <c r="R1091" s="62"/>
      <c r="S1091" s="37" t="str">
        <f>IFERROR(__xludf.DUMMYFUNCTION("if(not(iserror(index(split(C1091, "" ""),2))), index(split(C1091, "" ""),1),"""")"),"")</f>
        <v/>
      </c>
      <c r="T1091" s="315" t="str">
        <f>IFERROR(__xludf.DUMMYFUNCTION("if(S1091="""",C1091,if(not(iserror(index(split(C1091, "" ""),3))), index(split(C1091, "" ""),3),index(split(C1091, "" ""),2)))"),"")</f>
        <v/>
      </c>
      <c r="U1091" s="38" t="b">
        <f t="shared" si="34"/>
        <v>0</v>
      </c>
      <c r="V1091" s="38"/>
      <c r="W1091" s="40"/>
      <c r="X1091" s="40"/>
      <c r="Y1091" s="38"/>
      <c r="Z1091" s="38"/>
      <c r="AA1091" s="38"/>
      <c r="AB1091" s="38"/>
      <c r="AC1091" s="38"/>
      <c r="AD1091" s="38"/>
      <c r="AE1091" s="38"/>
      <c r="AF1091" s="38"/>
      <c r="AG1091" s="38"/>
      <c r="AH1091" s="38"/>
      <c r="AI1091" s="38"/>
      <c r="AJ1091" s="38"/>
      <c r="AK1091" s="38"/>
      <c r="AL1091" s="38"/>
      <c r="AM1091" s="38"/>
      <c r="AN1091" s="38"/>
      <c r="AO1091" s="38"/>
      <c r="AP1091" s="38"/>
      <c r="AQ1091" s="38"/>
      <c r="AR1091" s="38"/>
      <c r="AS1091" s="38"/>
      <c r="AT1091" s="38"/>
      <c r="AU1091" s="38"/>
      <c r="AV1091" s="38"/>
      <c r="AW1091" s="38"/>
      <c r="AX1091" s="38"/>
      <c r="AY1091" s="38"/>
      <c r="AZ1091" s="38"/>
      <c r="BA1091" s="38"/>
      <c r="BB1091" s="38"/>
      <c r="BC1091" s="38"/>
      <c r="BD1091" s="38"/>
      <c r="BE1091" s="38"/>
      <c r="BF1091" s="38"/>
      <c r="BG1091" s="38"/>
      <c r="BH1091" s="38"/>
      <c r="BI1091" s="38"/>
      <c r="BJ1091" s="38"/>
      <c r="BK1091" s="38"/>
      <c r="BL1091" s="38"/>
      <c r="BM1091" s="38"/>
      <c r="BN1091" s="38"/>
      <c r="BO1091" s="38"/>
      <c r="BP1091" s="38"/>
      <c r="BQ1091" s="38"/>
    </row>
    <row r="1092">
      <c r="A1092" s="58"/>
      <c r="B1092" s="341"/>
      <c r="C1092" s="60"/>
      <c r="D1092" s="60"/>
      <c r="E1092" s="58"/>
      <c r="F1092" s="58"/>
      <c r="G1092" s="58"/>
      <c r="H1092" s="33" t="str">
        <f t="shared" si="33"/>
        <v/>
      </c>
      <c r="I1092" s="58"/>
      <c r="J1092" s="58"/>
      <c r="K1092" s="58"/>
      <c r="L1092" s="58"/>
      <c r="M1092" s="80"/>
      <c r="N1092" s="77"/>
      <c r="O1092" s="62"/>
      <c r="P1092" s="62"/>
      <c r="Q1092" s="62"/>
      <c r="R1092" s="62"/>
      <c r="S1092" s="37" t="str">
        <f>IFERROR(__xludf.DUMMYFUNCTION("if(not(iserror(index(split(C1092, "" ""),2))), index(split(C1092, "" ""),1),"""")"),"")</f>
        <v/>
      </c>
      <c r="T1092" s="315" t="str">
        <f>IFERROR(__xludf.DUMMYFUNCTION("if(S1092="""",C1092,if(not(iserror(index(split(C1092, "" ""),3))), index(split(C1092, "" ""),3),index(split(C1092, "" ""),2)))"),"")</f>
        <v/>
      </c>
      <c r="U1092" s="38" t="b">
        <f t="shared" si="34"/>
        <v>0</v>
      </c>
      <c r="V1092" s="38"/>
      <c r="W1092" s="40"/>
      <c r="X1092" s="40"/>
      <c r="Y1092" s="38"/>
      <c r="Z1092" s="38"/>
      <c r="AA1092" s="38"/>
      <c r="AB1092" s="38"/>
      <c r="AC1092" s="38"/>
      <c r="AD1092" s="38"/>
      <c r="AE1092" s="38"/>
      <c r="AF1092" s="38"/>
      <c r="AG1092" s="38"/>
      <c r="AH1092" s="38"/>
      <c r="AI1092" s="38"/>
      <c r="AJ1092" s="38"/>
      <c r="AK1092" s="38"/>
      <c r="AL1092" s="38"/>
      <c r="AM1092" s="38"/>
      <c r="AN1092" s="38"/>
      <c r="AO1092" s="38"/>
      <c r="AP1092" s="38"/>
      <c r="AQ1092" s="38"/>
      <c r="AR1092" s="38"/>
      <c r="AS1092" s="38"/>
      <c r="AT1092" s="38"/>
      <c r="AU1092" s="38"/>
      <c r="AV1092" s="38"/>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row>
    <row r="1093">
      <c r="A1093" s="58"/>
      <c r="B1093" s="341"/>
      <c r="C1093" s="60"/>
      <c r="D1093" s="60"/>
      <c r="E1093" s="58"/>
      <c r="F1093" s="58"/>
      <c r="G1093" s="58"/>
      <c r="H1093" s="33" t="str">
        <f t="shared" si="33"/>
        <v/>
      </c>
      <c r="I1093" s="58"/>
      <c r="J1093" s="58"/>
      <c r="K1093" s="58"/>
      <c r="L1093" s="58"/>
      <c r="M1093" s="80"/>
      <c r="N1093" s="77"/>
      <c r="O1093" s="62"/>
      <c r="P1093" s="62"/>
      <c r="Q1093" s="62"/>
      <c r="R1093" s="62"/>
      <c r="S1093" s="37" t="str">
        <f>IFERROR(__xludf.DUMMYFUNCTION("if(not(iserror(index(split(C1093, "" ""),2))), index(split(C1093, "" ""),1),"""")"),"")</f>
        <v/>
      </c>
      <c r="T1093" s="315" t="str">
        <f>IFERROR(__xludf.DUMMYFUNCTION("if(S1093="""",C1093,if(not(iserror(index(split(C1093, "" ""),3))), index(split(C1093, "" ""),3),index(split(C1093, "" ""),2)))"),"")</f>
        <v/>
      </c>
      <c r="U1093" s="38" t="b">
        <f t="shared" si="34"/>
        <v>0</v>
      </c>
      <c r="V1093" s="38"/>
      <c r="W1093" s="40"/>
      <c r="X1093" s="40"/>
      <c r="Y1093" s="38"/>
      <c r="Z1093" s="38"/>
      <c r="AA1093" s="38"/>
      <c r="AB1093" s="38"/>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row>
    <row r="1094">
      <c r="A1094" s="58"/>
      <c r="B1094" s="341"/>
      <c r="C1094" s="60"/>
      <c r="D1094" s="60"/>
      <c r="E1094" s="58"/>
      <c r="F1094" s="58"/>
      <c r="G1094" s="58"/>
      <c r="H1094" s="33" t="str">
        <f t="shared" si="33"/>
        <v/>
      </c>
      <c r="I1094" s="58"/>
      <c r="J1094" s="58"/>
      <c r="K1094" s="58"/>
      <c r="L1094" s="58"/>
      <c r="M1094" s="80"/>
      <c r="N1094" s="77"/>
      <c r="O1094" s="62"/>
      <c r="P1094" s="62"/>
      <c r="Q1094" s="62"/>
      <c r="R1094" s="62"/>
      <c r="S1094" s="37" t="str">
        <f>IFERROR(__xludf.DUMMYFUNCTION("if(not(iserror(index(split(C1094, "" ""),2))), index(split(C1094, "" ""),1),"""")"),"")</f>
        <v/>
      </c>
      <c r="T1094" s="315" t="str">
        <f>IFERROR(__xludf.DUMMYFUNCTION("if(S1094="""",C1094,if(not(iserror(index(split(C1094, "" ""),3))), index(split(C1094, "" ""),3),index(split(C1094, "" ""),2)))"),"")</f>
        <v/>
      </c>
      <c r="U1094" s="38" t="b">
        <f t="shared" si="34"/>
        <v>0</v>
      </c>
      <c r="V1094" s="38"/>
      <c r="W1094" s="40"/>
      <c r="X1094" s="40"/>
      <c r="Y1094" s="38"/>
      <c r="Z1094" s="38"/>
      <c r="AA1094" s="38"/>
      <c r="AB1094" s="38"/>
      <c r="AC1094" s="38"/>
      <c r="AD1094" s="38"/>
      <c r="AE1094" s="38"/>
      <c r="AF1094" s="38"/>
      <c r="AG1094" s="38"/>
      <c r="AH1094" s="38"/>
      <c r="AI1094" s="38"/>
      <c r="AJ1094" s="38"/>
      <c r="AK1094" s="38"/>
      <c r="AL1094" s="38"/>
      <c r="AM1094" s="38"/>
      <c r="AN1094" s="38"/>
      <c r="AO1094" s="38"/>
      <c r="AP1094" s="38"/>
      <c r="AQ1094" s="38"/>
      <c r="AR1094" s="38"/>
      <c r="AS1094" s="38"/>
      <c r="AT1094" s="38"/>
      <c r="AU1094" s="38"/>
      <c r="AV1094" s="38"/>
      <c r="AW1094" s="38"/>
      <c r="AX1094" s="38"/>
      <c r="AY1094" s="38"/>
      <c r="AZ1094" s="38"/>
      <c r="BA1094" s="38"/>
      <c r="BB1094" s="38"/>
      <c r="BC1094" s="38"/>
      <c r="BD1094" s="38"/>
      <c r="BE1094" s="38"/>
      <c r="BF1094" s="38"/>
      <c r="BG1094" s="38"/>
      <c r="BH1094" s="38"/>
      <c r="BI1094" s="38"/>
      <c r="BJ1094" s="38"/>
      <c r="BK1094" s="38"/>
      <c r="BL1094" s="38"/>
      <c r="BM1094" s="38"/>
      <c r="BN1094" s="38"/>
      <c r="BO1094" s="38"/>
      <c r="BP1094" s="38"/>
      <c r="BQ1094" s="38"/>
    </row>
    <row r="1095">
      <c r="A1095" s="37"/>
      <c r="B1095" s="341"/>
      <c r="C1095" s="60"/>
      <c r="D1095" s="60"/>
      <c r="E1095" s="58"/>
      <c r="F1095" s="58"/>
      <c r="G1095" s="58"/>
      <c r="H1095" s="33" t="str">
        <f t="shared" si="33"/>
        <v/>
      </c>
      <c r="I1095" s="58"/>
      <c r="J1095" s="58"/>
      <c r="K1095" s="58"/>
      <c r="L1095" s="58"/>
      <c r="M1095" s="80"/>
      <c r="N1095" s="77"/>
      <c r="O1095" s="62"/>
      <c r="P1095" s="62"/>
      <c r="Q1095" s="62"/>
      <c r="R1095" s="62"/>
      <c r="S1095" s="37" t="str">
        <f>IFERROR(__xludf.DUMMYFUNCTION("if(not(iserror(index(split(C1095, "" ""),2))), index(split(C1095, "" ""),1),"""")"),"")</f>
        <v/>
      </c>
      <c r="T1095" s="315" t="str">
        <f>IFERROR(__xludf.DUMMYFUNCTION("if(S1095="""",C1095,if(not(iserror(index(split(C1095, "" ""),3))), index(split(C1095, "" ""),3),index(split(C1095, "" ""),2)))"),"")</f>
        <v/>
      </c>
      <c r="U1095" s="38" t="b">
        <f t="shared" si="34"/>
        <v>0</v>
      </c>
      <c r="V1095" s="38"/>
      <c r="W1095" s="40"/>
      <c r="X1095" s="40"/>
      <c r="Y1095" s="38"/>
      <c r="Z1095" s="38"/>
      <c r="AA1095" s="38"/>
      <c r="AB1095" s="38"/>
      <c r="AC1095" s="38"/>
      <c r="AD1095" s="38"/>
      <c r="AE1095" s="38"/>
      <c r="AF1095" s="38"/>
      <c r="AG1095" s="38"/>
      <c r="AH1095" s="38"/>
      <c r="AI1095" s="38"/>
      <c r="AJ1095" s="38"/>
      <c r="AK1095" s="38"/>
      <c r="AL1095" s="38"/>
      <c r="AM1095" s="38"/>
      <c r="AN1095" s="38"/>
      <c r="AO1095" s="38"/>
      <c r="AP1095" s="38"/>
      <c r="AQ1095" s="38"/>
      <c r="AR1095" s="38"/>
      <c r="AS1095" s="38"/>
      <c r="AT1095" s="38"/>
      <c r="AU1095" s="38"/>
      <c r="AV1095" s="38"/>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row>
    <row r="1096">
      <c r="A1096" s="58"/>
      <c r="B1096" s="341"/>
      <c r="C1096" s="60"/>
      <c r="D1096" s="60"/>
      <c r="E1096" s="58"/>
      <c r="F1096" s="58"/>
      <c r="G1096" s="58"/>
      <c r="H1096" s="33" t="str">
        <f t="shared" si="33"/>
        <v/>
      </c>
      <c r="I1096" s="58"/>
      <c r="J1096" s="58"/>
      <c r="K1096" s="58"/>
      <c r="L1096" s="58"/>
      <c r="M1096" s="80"/>
      <c r="N1096" s="77"/>
      <c r="O1096" s="62"/>
      <c r="P1096" s="62"/>
      <c r="Q1096" s="62"/>
      <c r="R1096" s="62"/>
      <c r="S1096" s="37" t="str">
        <f>IFERROR(__xludf.DUMMYFUNCTION("if(not(iserror(index(split(C1096, "" ""),2))), index(split(C1096, "" ""),1),"""")"),"")</f>
        <v/>
      </c>
      <c r="T1096" s="315" t="str">
        <f>IFERROR(__xludf.DUMMYFUNCTION("if(S1096="""",C1096,if(not(iserror(index(split(C1096, "" ""),3))), index(split(C1096, "" ""),3),index(split(C1096, "" ""),2)))"),"")</f>
        <v/>
      </c>
      <c r="U1096" s="38" t="b">
        <f t="shared" si="34"/>
        <v>0</v>
      </c>
      <c r="V1096" s="38"/>
      <c r="W1096" s="40"/>
      <c r="X1096" s="40"/>
      <c r="Y1096" s="38"/>
      <c r="Z1096" s="38"/>
      <c r="AA1096" s="38"/>
      <c r="AB1096" s="38"/>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c r="AW1096" s="38"/>
      <c r="AX1096" s="38"/>
      <c r="AY1096" s="38"/>
      <c r="AZ1096" s="38"/>
      <c r="BA1096" s="38"/>
      <c r="BB1096" s="38"/>
      <c r="BC1096" s="38"/>
      <c r="BD1096" s="38"/>
      <c r="BE1096" s="38"/>
      <c r="BF1096" s="38"/>
      <c r="BG1096" s="38"/>
      <c r="BH1096" s="38"/>
      <c r="BI1096" s="38"/>
      <c r="BJ1096" s="38"/>
      <c r="BK1096" s="38"/>
      <c r="BL1096" s="38"/>
      <c r="BM1096" s="38"/>
      <c r="BN1096" s="38"/>
      <c r="BO1096" s="38"/>
      <c r="BP1096" s="38"/>
      <c r="BQ1096" s="38"/>
    </row>
    <row r="1097">
      <c r="A1097" s="58"/>
      <c r="B1097" s="341"/>
      <c r="C1097" s="60"/>
      <c r="D1097" s="60"/>
      <c r="E1097" s="58"/>
      <c r="F1097" s="58"/>
      <c r="G1097" s="58"/>
      <c r="H1097" s="33" t="str">
        <f t="shared" si="33"/>
        <v/>
      </c>
      <c r="I1097" s="58"/>
      <c r="J1097" s="58"/>
      <c r="K1097" s="58"/>
      <c r="L1097" s="58"/>
      <c r="M1097" s="80"/>
      <c r="N1097" s="77"/>
      <c r="O1097" s="58"/>
      <c r="P1097" s="58"/>
      <c r="Q1097" s="84"/>
      <c r="R1097" s="62"/>
      <c r="S1097" s="37" t="str">
        <f>IFERROR(__xludf.DUMMYFUNCTION("if(not(iserror(index(split(C1097, "" ""),2))), index(split(C1097, "" ""),1),"""")"),"")</f>
        <v/>
      </c>
      <c r="T1097" s="315" t="str">
        <f>IFERROR(__xludf.DUMMYFUNCTION("if(S1097="""",C1097,if(not(iserror(index(split(C1097, "" ""),3))), index(split(C1097, "" ""),3),index(split(C1097, "" ""),2)))"),"")</f>
        <v/>
      </c>
      <c r="U1097" s="38" t="b">
        <f t="shared" si="34"/>
        <v>0</v>
      </c>
      <c r="V1097" s="38"/>
      <c r="W1097" s="40"/>
      <c r="X1097" s="40"/>
      <c r="Y1097" s="38"/>
      <c r="Z1097" s="38"/>
      <c r="AA1097" s="38"/>
      <c r="AB1097" s="38"/>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c r="AW1097" s="38"/>
      <c r="AX1097" s="38"/>
      <c r="AY1097" s="38"/>
      <c r="AZ1097" s="38"/>
      <c r="BA1097" s="38"/>
      <c r="BB1097" s="38"/>
      <c r="BC1097" s="38"/>
      <c r="BD1097" s="38"/>
      <c r="BE1097" s="38"/>
      <c r="BF1097" s="38"/>
      <c r="BG1097" s="38"/>
      <c r="BH1097" s="38"/>
      <c r="BI1097" s="38"/>
      <c r="BJ1097" s="38"/>
      <c r="BK1097" s="38"/>
      <c r="BL1097" s="38"/>
      <c r="BM1097" s="38"/>
      <c r="BN1097" s="38"/>
      <c r="BO1097" s="38"/>
      <c r="BP1097" s="38"/>
      <c r="BQ1097" s="38"/>
    </row>
    <row r="1098">
      <c r="A1098" s="58"/>
      <c r="B1098" s="341"/>
      <c r="C1098" s="60"/>
      <c r="D1098" s="60"/>
      <c r="E1098" s="58"/>
      <c r="F1098" s="58"/>
      <c r="G1098" s="58"/>
      <c r="H1098" s="33" t="str">
        <f t="shared" si="33"/>
        <v/>
      </c>
      <c r="I1098" s="58"/>
      <c r="J1098" s="58"/>
      <c r="K1098" s="58"/>
      <c r="L1098" s="58"/>
      <c r="M1098" s="80"/>
      <c r="N1098" s="77"/>
      <c r="O1098" s="58"/>
      <c r="P1098" s="58"/>
      <c r="Q1098" s="58"/>
      <c r="R1098" s="62"/>
      <c r="S1098" s="37" t="str">
        <f>IFERROR(__xludf.DUMMYFUNCTION("if(not(iserror(index(split(C1098, "" ""),2))), index(split(C1098, "" ""),1),"""")"),"")</f>
        <v/>
      </c>
      <c r="T1098" s="315" t="str">
        <f>IFERROR(__xludf.DUMMYFUNCTION("if(S1098="""",C1098,if(not(iserror(index(split(C1098, "" ""),3))), index(split(C1098, "" ""),3),index(split(C1098, "" ""),2)))"),"")</f>
        <v/>
      </c>
      <c r="U1098" s="38" t="b">
        <f t="shared" si="34"/>
        <v>0</v>
      </c>
      <c r="V1098" s="38"/>
      <c r="W1098" s="40"/>
      <c r="X1098" s="40"/>
      <c r="Y1098" s="38"/>
      <c r="Z1098" s="38"/>
      <c r="AA1098" s="38"/>
      <c r="AB1098" s="38"/>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c r="AW1098" s="38"/>
      <c r="AX1098" s="38"/>
      <c r="AY1098" s="38"/>
      <c r="AZ1098" s="38"/>
      <c r="BA1098" s="38"/>
      <c r="BB1098" s="38"/>
      <c r="BC1098" s="38"/>
      <c r="BD1098" s="38"/>
      <c r="BE1098" s="38"/>
      <c r="BF1098" s="38"/>
      <c r="BG1098" s="38"/>
      <c r="BH1098" s="38"/>
      <c r="BI1098" s="38"/>
      <c r="BJ1098" s="38"/>
      <c r="BK1098" s="38"/>
      <c r="BL1098" s="38"/>
      <c r="BM1098" s="38"/>
      <c r="BN1098" s="38"/>
      <c r="BO1098" s="38"/>
      <c r="BP1098" s="38"/>
      <c r="BQ1098" s="38"/>
    </row>
    <row r="1099">
      <c r="A1099" s="91"/>
      <c r="B1099" s="383"/>
      <c r="C1099" s="146"/>
      <c r="D1099" s="146"/>
      <c r="E1099" s="91"/>
      <c r="F1099" s="91"/>
      <c r="G1099" s="91"/>
      <c r="H1099" s="33" t="str">
        <f t="shared" si="33"/>
        <v/>
      </c>
      <c r="I1099" s="91"/>
      <c r="J1099" s="91"/>
      <c r="K1099" s="91"/>
      <c r="L1099" s="91"/>
      <c r="M1099" s="95"/>
      <c r="N1099" s="15"/>
      <c r="O1099" s="58"/>
      <c r="P1099" s="62"/>
      <c r="Q1099" s="84"/>
      <c r="R1099" s="62"/>
      <c r="S1099" s="37" t="str">
        <f>IFERROR(__xludf.DUMMYFUNCTION("if(not(iserror(index(split(C1099, "" ""),2))), index(split(C1099, "" ""),1),"""")"),"")</f>
        <v/>
      </c>
      <c r="T1099" s="315" t="str">
        <f>IFERROR(__xludf.DUMMYFUNCTION("if(S1099="""",C1099,if(not(iserror(index(split(C1099, "" ""),3))), index(split(C1099, "" ""),3),index(split(C1099, "" ""),2)))"),"")</f>
        <v/>
      </c>
      <c r="U1099" s="38" t="b">
        <f t="shared" si="34"/>
        <v>0</v>
      </c>
      <c r="V1099" s="38"/>
      <c r="W1099" s="40"/>
      <c r="X1099" s="40"/>
      <c r="Y1099" s="38"/>
      <c r="Z1099" s="38"/>
      <c r="AA1099" s="38"/>
      <c r="AB1099" s="38"/>
      <c r="AC1099" s="38"/>
      <c r="AD1099" s="38"/>
      <c r="AE1099" s="38"/>
      <c r="AF1099" s="38"/>
      <c r="AG1099" s="38"/>
      <c r="AH1099" s="38"/>
      <c r="AI1099" s="38"/>
      <c r="AJ1099" s="38"/>
      <c r="AK1099" s="38"/>
      <c r="AL1099" s="38"/>
      <c r="AM1099" s="38"/>
      <c r="AN1099" s="38"/>
      <c r="AO1099" s="38"/>
      <c r="AP1099" s="38"/>
      <c r="AQ1099" s="38"/>
      <c r="AR1099" s="38"/>
      <c r="AS1099" s="38"/>
      <c r="AT1099" s="38"/>
      <c r="AU1099" s="38"/>
      <c r="AV1099" s="38"/>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row>
    <row r="1100">
      <c r="A1100" s="58"/>
      <c r="B1100" s="341"/>
      <c r="C1100" s="60"/>
      <c r="D1100" s="60"/>
      <c r="E1100" s="58"/>
      <c r="F1100" s="58"/>
      <c r="G1100" s="58"/>
      <c r="H1100" s="33" t="str">
        <f t="shared" si="33"/>
        <v/>
      </c>
      <c r="I1100" s="58"/>
      <c r="J1100" s="58"/>
      <c r="K1100" s="58"/>
      <c r="L1100" s="58"/>
      <c r="M1100" s="80"/>
      <c r="N1100" s="77"/>
      <c r="O1100" s="58"/>
      <c r="P1100" s="62"/>
      <c r="Q1100" s="84"/>
      <c r="R1100" s="62"/>
      <c r="S1100" s="37" t="str">
        <f>IFERROR(__xludf.DUMMYFUNCTION("if(not(iserror(index(split(C1100, "" ""),2))), index(split(C1100, "" ""),1),"""")"),"")</f>
        <v/>
      </c>
      <c r="T1100" s="315" t="str">
        <f>IFERROR(__xludf.DUMMYFUNCTION("if(S1100="""",C1100,if(not(iserror(index(split(C1100, "" ""),3))), index(split(C1100, "" ""),3),index(split(C1100, "" ""),2)))"),"")</f>
        <v/>
      </c>
      <c r="U1100" s="38" t="b">
        <f t="shared" si="34"/>
        <v>0</v>
      </c>
      <c r="V1100" s="38"/>
      <c r="W1100" s="40"/>
      <c r="X1100" s="40"/>
      <c r="Y1100" s="38"/>
      <c r="Z1100" s="38"/>
      <c r="AA1100" s="38"/>
      <c r="AB1100" s="38"/>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c r="AW1100" s="38"/>
      <c r="AX1100" s="38"/>
      <c r="AY1100" s="38"/>
      <c r="AZ1100" s="38"/>
      <c r="BA1100" s="38"/>
      <c r="BB1100" s="38"/>
      <c r="BC1100" s="38"/>
      <c r="BD1100" s="38"/>
      <c r="BE1100" s="38"/>
      <c r="BF1100" s="38"/>
      <c r="BG1100" s="38"/>
      <c r="BH1100" s="38"/>
      <c r="BI1100" s="38"/>
      <c r="BJ1100" s="38"/>
      <c r="BK1100" s="38"/>
      <c r="BL1100" s="38"/>
      <c r="BM1100" s="38"/>
      <c r="BN1100" s="38"/>
      <c r="BO1100" s="38"/>
      <c r="BP1100" s="38"/>
      <c r="BQ1100" s="38"/>
    </row>
    <row r="1101">
      <c r="A1101" s="58"/>
      <c r="B1101" s="341"/>
      <c r="C1101" s="60"/>
      <c r="D1101" s="60"/>
      <c r="E1101" s="58"/>
      <c r="F1101" s="58"/>
      <c r="G1101" s="58"/>
      <c r="H1101" s="33" t="str">
        <f t="shared" si="33"/>
        <v/>
      </c>
      <c r="I1101" s="58"/>
      <c r="J1101" s="58"/>
      <c r="K1101" s="58"/>
      <c r="L1101" s="58"/>
      <c r="M1101" s="80"/>
      <c r="N1101" s="77"/>
      <c r="O1101" s="58"/>
      <c r="P1101" s="62"/>
      <c r="Q1101" s="84"/>
      <c r="R1101" s="62"/>
      <c r="S1101" s="37" t="str">
        <f>IFERROR(__xludf.DUMMYFUNCTION("if(not(iserror(index(split(C1101, "" ""),2))), index(split(C1101, "" ""),1),"""")"),"")</f>
        <v/>
      </c>
      <c r="T1101" s="315" t="str">
        <f>IFERROR(__xludf.DUMMYFUNCTION("if(S1101="""",C1101,if(not(iserror(index(split(C1101, "" ""),3))), index(split(C1101, "" ""),3),index(split(C1101, "" ""),2)))"),"")</f>
        <v/>
      </c>
      <c r="U1101" s="38" t="b">
        <f t="shared" si="34"/>
        <v>0</v>
      </c>
      <c r="V1101" s="38"/>
      <c r="W1101" s="40"/>
      <c r="X1101" s="40"/>
      <c r="Y1101" s="38"/>
      <c r="Z1101" s="38"/>
      <c r="AA1101" s="38"/>
      <c r="AB1101" s="38"/>
      <c r="AC1101" s="38"/>
      <c r="AD1101" s="38"/>
      <c r="AE1101" s="38"/>
      <c r="AF1101" s="38"/>
      <c r="AG1101" s="38"/>
      <c r="AH1101" s="38"/>
      <c r="AI1101" s="38"/>
      <c r="AJ1101" s="38"/>
      <c r="AK1101" s="38"/>
      <c r="AL1101" s="38"/>
      <c r="AM1101" s="38"/>
      <c r="AN1101" s="38"/>
      <c r="AO1101" s="38"/>
      <c r="AP1101" s="38"/>
      <c r="AQ1101" s="38"/>
      <c r="AR1101" s="38"/>
      <c r="AS1101" s="38"/>
      <c r="AT1101" s="38"/>
      <c r="AU1101" s="38"/>
      <c r="AV1101" s="38"/>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row>
    <row r="1102">
      <c r="A1102" s="58"/>
      <c r="B1102" s="341"/>
      <c r="C1102" s="60"/>
      <c r="D1102" s="60"/>
      <c r="E1102" s="58"/>
      <c r="F1102" s="58"/>
      <c r="G1102" s="58"/>
      <c r="H1102" s="33" t="str">
        <f t="shared" si="33"/>
        <v/>
      </c>
      <c r="I1102" s="58"/>
      <c r="J1102" s="58"/>
      <c r="K1102" s="58"/>
      <c r="L1102" s="58"/>
      <c r="M1102" s="80"/>
      <c r="N1102" s="77"/>
      <c r="O1102" s="62"/>
      <c r="P1102" s="62"/>
      <c r="Q1102" s="62"/>
      <c r="R1102" s="62"/>
      <c r="S1102" s="37" t="str">
        <f>IFERROR(__xludf.DUMMYFUNCTION("if(not(iserror(index(split(C1102, "" ""),2))), index(split(C1102, "" ""),1),"""")"),"")</f>
        <v/>
      </c>
      <c r="T1102" s="315" t="str">
        <f>IFERROR(__xludf.DUMMYFUNCTION("if(S1102="""",C1102,if(not(iserror(index(split(C1102, "" ""),3))), index(split(C1102, "" ""),3),index(split(C1102, "" ""),2)))"),"")</f>
        <v/>
      </c>
      <c r="U1102" s="38" t="b">
        <f t="shared" si="34"/>
        <v>0</v>
      </c>
      <c r="V1102" s="38"/>
      <c r="W1102" s="40"/>
      <c r="X1102" s="40"/>
      <c r="Y1102" s="38"/>
      <c r="Z1102" s="38"/>
      <c r="AA1102" s="38"/>
      <c r="AB1102" s="38"/>
      <c r="AC1102" s="38"/>
      <c r="AD1102" s="38"/>
      <c r="AE1102" s="38"/>
      <c r="AF1102" s="38"/>
      <c r="AG1102" s="38"/>
      <c r="AH1102" s="38"/>
      <c r="AI1102" s="38"/>
      <c r="AJ1102" s="38"/>
      <c r="AK1102" s="38"/>
      <c r="AL1102" s="38"/>
      <c r="AM1102" s="38"/>
      <c r="AN1102" s="38"/>
      <c r="AO1102" s="38"/>
      <c r="AP1102" s="38"/>
      <c r="AQ1102" s="38"/>
      <c r="AR1102" s="38"/>
      <c r="AS1102" s="38"/>
      <c r="AT1102" s="38"/>
      <c r="AU1102" s="38"/>
      <c r="AV1102" s="38"/>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row>
    <row r="1103">
      <c r="A1103" s="58"/>
      <c r="B1103" s="341"/>
      <c r="C1103" s="60"/>
      <c r="D1103" s="60"/>
      <c r="E1103" s="58"/>
      <c r="F1103" s="58"/>
      <c r="G1103" s="58"/>
      <c r="H1103" s="33" t="str">
        <f t="shared" si="33"/>
        <v/>
      </c>
      <c r="I1103" s="58"/>
      <c r="J1103" s="58"/>
      <c r="K1103" s="58"/>
      <c r="L1103" s="58"/>
      <c r="M1103" s="80"/>
      <c r="N1103" s="77"/>
      <c r="O1103" s="62"/>
      <c r="P1103" s="62"/>
      <c r="Q1103" s="62"/>
      <c r="R1103" s="62"/>
      <c r="S1103" s="37" t="str">
        <f>IFERROR(__xludf.DUMMYFUNCTION("if(not(iserror(index(split(C1103, "" ""),2))), index(split(C1103, "" ""),1),"""")"),"")</f>
        <v/>
      </c>
      <c r="T1103" s="315" t="str">
        <f>IFERROR(__xludf.DUMMYFUNCTION("if(S1103="""",C1103,if(not(iserror(index(split(C1103, "" ""),3))), index(split(C1103, "" ""),3),index(split(C1103, "" ""),2)))"),"")</f>
        <v/>
      </c>
      <c r="U1103" s="38" t="b">
        <f t="shared" si="34"/>
        <v>0</v>
      </c>
      <c r="V1103" s="38"/>
      <c r="W1103" s="40"/>
      <c r="X1103" s="40"/>
      <c r="Y1103" s="38"/>
      <c r="Z1103" s="38"/>
      <c r="AA1103" s="38"/>
      <c r="AB1103" s="38"/>
      <c r="AC1103" s="38"/>
      <c r="AD1103" s="38"/>
      <c r="AE1103" s="38"/>
      <c r="AF1103" s="38"/>
      <c r="AG1103" s="38"/>
      <c r="AH1103" s="38"/>
      <c r="AI1103" s="38"/>
      <c r="AJ1103" s="38"/>
      <c r="AK1103" s="38"/>
      <c r="AL1103" s="38"/>
      <c r="AM1103" s="38"/>
      <c r="AN1103" s="38"/>
      <c r="AO1103" s="38"/>
      <c r="AP1103" s="38"/>
      <c r="AQ1103" s="38"/>
      <c r="AR1103" s="38"/>
      <c r="AS1103" s="38"/>
      <c r="AT1103" s="38"/>
      <c r="AU1103" s="38"/>
      <c r="AV1103" s="38"/>
      <c r="AW1103" s="38"/>
      <c r="AX1103" s="38"/>
      <c r="AY1103" s="38"/>
      <c r="AZ1103" s="38"/>
      <c r="BA1103" s="38"/>
      <c r="BB1103" s="38"/>
      <c r="BC1103" s="38"/>
      <c r="BD1103" s="38"/>
      <c r="BE1103" s="38"/>
      <c r="BF1103" s="38"/>
      <c r="BG1103" s="38"/>
      <c r="BH1103" s="38"/>
      <c r="BI1103" s="38"/>
      <c r="BJ1103" s="38"/>
      <c r="BK1103" s="38"/>
      <c r="BL1103" s="38"/>
      <c r="BM1103" s="38"/>
      <c r="BN1103" s="38"/>
      <c r="BO1103" s="38"/>
      <c r="BP1103" s="38"/>
      <c r="BQ1103" s="38"/>
    </row>
    <row r="1104">
      <c r="A1104" s="58"/>
      <c r="B1104" s="341"/>
      <c r="C1104" s="60"/>
      <c r="D1104" s="60"/>
      <c r="E1104" s="58"/>
      <c r="F1104" s="58"/>
      <c r="G1104" s="58"/>
      <c r="H1104" s="33" t="str">
        <f t="shared" si="33"/>
        <v/>
      </c>
      <c r="I1104" s="58"/>
      <c r="J1104" s="58"/>
      <c r="K1104" s="58"/>
      <c r="L1104" s="58"/>
      <c r="M1104" s="80"/>
      <c r="N1104" s="77"/>
      <c r="O1104" s="58"/>
      <c r="P1104" s="62"/>
      <c r="Q1104" s="84"/>
      <c r="R1104" s="62"/>
      <c r="S1104" s="37" t="str">
        <f>IFERROR(__xludf.DUMMYFUNCTION("if(not(iserror(index(split(C1104, "" ""),2))), index(split(C1104, "" ""),1),"""")"),"")</f>
        <v/>
      </c>
      <c r="T1104" s="315" t="str">
        <f>IFERROR(__xludf.DUMMYFUNCTION("if(S1104="""",C1104,if(not(iserror(index(split(C1104, "" ""),3))), index(split(C1104, "" ""),3),index(split(C1104, "" ""),2)))"),"")</f>
        <v/>
      </c>
      <c r="U1104" s="38" t="b">
        <f t="shared" si="34"/>
        <v>0</v>
      </c>
      <c r="V1104" s="38"/>
      <c r="W1104" s="40"/>
      <c r="X1104" s="40"/>
      <c r="Y1104" s="38"/>
      <c r="Z1104" s="38"/>
      <c r="AA1104" s="38"/>
      <c r="AB1104" s="38"/>
      <c r="AC1104" s="38"/>
      <c r="AD1104" s="38"/>
      <c r="AE1104" s="38"/>
      <c r="AF1104" s="38"/>
      <c r="AG1104" s="38"/>
      <c r="AH1104" s="38"/>
      <c r="AI1104" s="38"/>
      <c r="AJ1104" s="38"/>
      <c r="AK1104" s="38"/>
      <c r="AL1104" s="38"/>
      <c r="AM1104" s="38"/>
      <c r="AN1104" s="38"/>
      <c r="AO1104" s="38"/>
      <c r="AP1104" s="38"/>
      <c r="AQ1104" s="38"/>
      <c r="AR1104" s="38"/>
      <c r="AS1104" s="38"/>
      <c r="AT1104" s="38"/>
      <c r="AU1104" s="38"/>
      <c r="AV1104" s="38"/>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row>
    <row r="1105">
      <c r="A1105" s="37"/>
      <c r="B1105" s="341"/>
      <c r="C1105" s="60"/>
      <c r="D1105" s="60"/>
      <c r="E1105" s="58"/>
      <c r="F1105" s="58"/>
      <c r="G1105" s="58"/>
      <c r="H1105" s="33" t="str">
        <f t="shared" si="33"/>
        <v/>
      </c>
      <c r="I1105" s="58"/>
      <c r="J1105" s="58"/>
      <c r="K1105" s="58"/>
      <c r="L1105" s="58"/>
      <c r="M1105" s="80"/>
      <c r="N1105" s="77"/>
      <c r="O1105" s="58"/>
      <c r="P1105" s="58"/>
      <c r="Q1105" s="84"/>
      <c r="R1105" s="62"/>
      <c r="S1105" s="37" t="str">
        <f>IFERROR(__xludf.DUMMYFUNCTION("if(not(iserror(index(split(C1105, "" ""),2))), index(split(C1105, "" ""),1),"""")"),"")</f>
        <v/>
      </c>
      <c r="T1105" s="315" t="str">
        <f>IFERROR(__xludf.DUMMYFUNCTION("if(S1105="""",C1105,if(not(iserror(index(split(C1105, "" ""),3))), index(split(C1105, "" ""),3),index(split(C1105, "" ""),2)))"),"")</f>
        <v/>
      </c>
      <c r="U1105" s="38" t="b">
        <f t="shared" si="34"/>
        <v>0</v>
      </c>
      <c r="V1105" s="38"/>
      <c r="W1105" s="40"/>
      <c r="X1105" s="40"/>
      <c r="Y1105" s="38"/>
      <c r="Z1105" s="38"/>
      <c r="AA1105" s="38"/>
      <c r="AB1105" s="38"/>
      <c r="AC1105" s="38"/>
      <c r="AD1105" s="38"/>
      <c r="AE1105" s="38"/>
      <c r="AF1105" s="38"/>
      <c r="AG1105" s="38"/>
      <c r="AH1105" s="38"/>
      <c r="AI1105" s="38"/>
      <c r="AJ1105" s="38"/>
      <c r="AK1105" s="38"/>
      <c r="AL1105" s="38"/>
      <c r="AM1105" s="38"/>
      <c r="AN1105" s="38"/>
      <c r="AO1105" s="38"/>
      <c r="AP1105" s="38"/>
      <c r="AQ1105" s="38"/>
      <c r="AR1105" s="38"/>
      <c r="AS1105" s="38"/>
      <c r="AT1105" s="38"/>
      <c r="AU1105" s="38"/>
      <c r="AV1105" s="38"/>
      <c r="AW1105" s="38"/>
      <c r="AX1105" s="38"/>
      <c r="AY1105" s="38"/>
      <c r="AZ1105" s="38"/>
      <c r="BA1105" s="38"/>
      <c r="BB1105" s="38"/>
      <c r="BC1105" s="38"/>
      <c r="BD1105" s="38"/>
      <c r="BE1105" s="38"/>
      <c r="BF1105" s="38"/>
      <c r="BG1105" s="38"/>
      <c r="BH1105" s="38"/>
      <c r="BI1105" s="38"/>
      <c r="BJ1105" s="38"/>
      <c r="BK1105" s="38"/>
      <c r="BL1105" s="38"/>
      <c r="BM1105" s="38"/>
      <c r="BN1105" s="38"/>
      <c r="BO1105" s="38"/>
      <c r="BP1105" s="38"/>
      <c r="BQ1105" s="38"/>
    </row>
    <row r="1106">
      <c r="A1106" s="37"/>
      <c r="B1106" s="341"/>
      <c r="C1106" s="60"/>
      <c r="D1106" s="60"/>
      <c r="E1106" s="58"/>
      <c r="F1106" s="58"/>
      <c r="G1106" s="58"/>
      <c r="H1106" s="33" t="str">
        <f t="shared" si="33"/>
        <v/>
      </c>
      <c r="I1106" s="58"/>
      <c r="J1106" s="58"/>
      <c r="K1106" s="58"/>
      <c r="L1106" s="58"/>
      <c r="M1106" s="80"/>
      <c r="N1106" s="77"/>
      <c r="O1106" s="58"/>
      <c r="P1106" s="62"/>
      <c r="Q1106" s="84"/>
      <c r="R1106" s="62"/>
      <c r="S1106" s="37" t="str">
        <f>IFERROR(__xludf.DUMMYFUNCTION("if(not(iserror(index(split(C1106, "" ""),2))), index(split(C1106, "" ""),1),"""")"),"")</f>
        <v/>
      </c>
      <c r="T1106" s="315" t="str">
        <f>IFERROR(__xludf.DUMMYFUNCTION("if(S1106="""",C1106,if(not(iserror(index(split(C1106, "" ""),3))), index(split(C1106, "" ""),3),index(split(C1106, "" ""),2)))"),"")</f>
        <v/>
      </c>
      <c r="U1106" s="38" t="b">
        <f t="shared" si="34"/>
        <v>0</v>
      </c>
      <c r="V1106" s="38"/>
      <c r="W1106" s="40"/>
      <c r="X1106" s="40"/>
      <c r="Y1106" s="38"/>
      <c r="Z1106" s="38"/>
      <c r="AA1106" s="38"/>
      <c r="AB1106" s="38"/>
      <c r="AC1106" s="38"/>
      <c r="AD1106" s="38"/>
      <c r="AE1106" s="38"/>
      <c r="AF1106" s="38"/>
      <c r="AG1106" s="38"/>
      <c r="AH1106" s="38"/>
      <c r="AI1106" s="38"/>
      <c r="AJ1106" s="38"/>
      <c r="AK1106" s="38"/>
      <c r="AL1106" s="38"/>
      <c r="AM1106" s="38"/>
      <c r="AN1106" s="38"/>
      <c r="AO1106" s="38"/>
      <c r="AP1106" s="38"/>
      <c r="AQ1106" s="38"/>
      <c r="AR1106" s="38"/>
      <c r="AS1106" s="38"/>
      <c r="AT1106" s="38"/>
      <c r="AU1106" s="38"/>
      <c r="AV1106" s="38"/>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row>
    <row r="1107">
      <c r="A1107" s="58"/>
      <c r="B1107" s="341"/>
      <c r="C1107" s="60"/>
      <c r="D1107" s="60"/>
      <c r="E1107" s="58"/>
      <c r="F1107" s="58"/>
      <c r="G1107" s="58"/>
      <c r="H1107" s="33" t="str">
        <f t="shared" si="33"/>
        <v/>
      </c>
      <c r="I1107" s="58"/>
      <c r="J1107" s="58"/>
      <c r="K1107" s="58"/>
      <c r="L1107" s="58"/>
      <c r="M1107" s="80"/>
      <c r="N1107" s="77"/>
      <c r="O1107" s="62"/>
      <c r="P1107" s="62"/>
      <c r="Q1107" s="62"/>
      <c r="R1107" s="62"/>
      <c r="S1107" s="37" t="str">
        <f>IFERROR(__xludf.DUMMYFUNCTION("if(not(iserror(index(split(C1107, "" ""),2))), index(split(C1107, "" ""),1),"""")"),"")</f>
        <v/>
      </c>
      <c r="T1107" s="315" t="str">
        <f>IFERROR(__xludf.DUMMYFUNCTION("if(S1107="""",C1107,if(not(iserror(index(split(C1107, "" ""),3))), index(split(C1107, "" ""),3),index(split(C1107, "" ""),2)))"),"")</f>
        <v/>
      </c>
      <c r="U1107" s="38" t="b">
        <f t="shared" si="34"/>
        <v>0</v>
      </c>
      <c r="V1107" s="38"/>
      <c r="W1107" s="40"/>
      <c r="X1107" s="40"/>
      <c r="Y1107" s="38"/>
      <c r="Z1107" s="38"/>
      <c r="AA1107" s="38"/>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AY1107" s="38"/>
      <c r="AZ1107" s="38"/>
      <c r="BA1107" s="38"/>
      <c r="BB1107" s="38"/>
      <c r="BC1107" s="38"/>
      <c r="BD1107" s="38"/>
      <c r="BE1107" s="38"/>
      <c r="BF1107" s="38"/>
      <c r="BG1107" s="38"/>
      <c r="BH1107" s="38"/>
      <c r="BI1107" s="38"/>
      <c r="BJ1107" s="38"/>
      <c r="BK1107" s="38"/>
      <c r="BL1107" s="38"/>
      <c r="BM1107" s="38"/>
      <c r="BN1107" s="38"/>
      <c r="BO1107" s="38"/>
      <c r="BP1107" s="38"/>
      <c r="BQ1107" s="38"/>
    </row>
    <row r="1108">
      <c r="A1108" s="37"/>
      <c r="B1108" s="159"/>
      <c r="C1108" s="144"/>
      <c r="D1108" s="144"/>
      <c r="E1108" s="37"/>
      <c r="F1108" s="37"/>
      <c r="G1108" s="37"/>
      <c r="H1108" s="33" t="str">
        <f t="shared" si="33"/>
        <v/>
      </c>
      <c r="I1108" s="37"/>
      <c r="J1108" s="37"/>
      <c r="K1108" s="37"/>
      <c r="L1108" s="37"/>
      <c r="M1108" s="14"/>
      <c r="N1108" s="15"/>
      <c r="O1108" s="16"/>
      <c r="P1108" s="16"/>
      <c r="Q1108" s="16"/>
      <c r="R1108" s="16"/>
      <c r="S1108" s="37" t="str">
        <f>IFERROR(__xludf.DUMMYFUNCTION("if(not(iserror(index(split(C1108, "" ""),2))), index(split(C1108, "" ""),1),"""")"),"")</f>
        <v/>
      </c>
      <c r="T1108" s="315" t="str">
        <f>IFERROR(__xludf.DUMMYFUNCTION("if(S1108="""",C1108,if(not(iserror(index(split(C1108, "" ""),3))), index(split(C1108, "" ""),3),index(split(C1108, "" ""),2)))"),"")</f>
        <v/>
      </c>
      <c r="U1108" s="38" t="b">
        <f t="shared" si="34"/>
        <v>0</v>
      </c>
      <c r="V1108" s="38"/>
      <c r="W1108" s="40"/>
      <c r="X1108" s="40"/>
      <c r="Y1108" s="38"/>
      <c r="Z1108" s="38"/>
      <c r="AA1108" s="38"/>
      <c r="AB1108" s="38"/>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c r="AW1108" s="38"/>
      <c r="AX1108" s="38"/>
      <c r="AY1108" s="38"/>
      <c r="AZ1108" s="38"/>
      <c r="BA1108" s="38"/>
      <c r="BB1108" s="38"/>
      <c r="BC1108" s="38"/>
      <c r="BD1108" s="38"/>
      <c r="BE1108" s="38"/>
      <c r="BF1108" s="38"/>
      <c r="BG1108" s="38"/>
      <c r="BH1108" s="38"/>
      <c r="BI1108" s="38"/>
      <c r="BJ1108" s="38"/>
      <c r="BK1108" s="38"/>
      <c r="BL1108" s="38"/>
      <c r="BM1108" s="38"/>
      <c r="BN1108" s="38"/>
      <c r="BO1108" s="38"/>
      <c r="BP1108" s="38"/>
      <c r="BQ1108" s="38"/>
    </row>
    <row r="1109">
      <c r="A1109" s="58"/>
      <c r="B1109" s="341"/>
      <c r="C1109" s="60"/>
      <c r="D1109" s="60"/>
      <c r="E1109" s="58"/>
      <c r="F1109" s="58"/>
      <c r="G1109" s="58"/>
      <c r="H1109" s="33" t="str">
        <f t="shared" si="33"/>
        <v/>
      </c>
      <c r="I1109" s="58"/>
      <c r="J1109" s="58"/>
      <c r="K1109" s="58"/>
      <c r="L1109" s="58"/>
      <c r="M1109" s="80"/>
      <c r="N1109" s="77"/>
      <c r="O1109" s="62"/>
      <c r="P1109" s="62"/>
      <c r="Q1109" s="62"/>
      <c r="R1109" s="62"/>
      <c r="S1109" s="37" t="str">
        <f>IFERROR(__xludf.DUMMYFUNCTION("if(not(iserror(index(split(C1109, "" ""),2))), index(split(C1109, "" ""),1),"""")"),"")</f>
        <v/>
      </c>
      <c r="T1109" s="315" t="str">
        <f>IFERROR(__xludf.DUMMYFUNCTION("if(S1109="""",C1109,if(not(iserror(index(split(C1109, "" ""),3))), index(split(C1109, "" ""),3),index(split(C1109, "" ""),2)))"),"")</f>
        <v/>
      </c>
      <c r="U1109" s="38" t="b">
        <f t="shared" si="34"/>
        <v>0</v>
      </c>
      <c r="V1109" s="38"/>
      <c r="W1109" s="40"/>
      <c r="X1109" s="40"/>
      <c r="Y1109" s="38"/>
      <c r="Z1109" s="38"/>
      <c r="AA1109" s="38"/>
      <c r="AB1109" s="38"/>
      <c r="AC1109" s="38"/>
      <c r="AD1109" s="38"/>
      <c r="AE1109" s="38"/>
      <c r="AF1109" s="38"/>
      <c r="AG1109" s="38"/>
      <c r="AH1109" s="38"/>
      <c r="AI1109" s="38"/>
      <c r="AJ1109" s="38"/>
      <c r="AK1109" s="38"/>
      <c r="AL1109" s="38"/>
      <c r="AM1109" s="38"/>
      <c r="AN1109" s="38"/>
      <c r="AO1109" s="38"/>
      <c r="AP1109" s="38"/>
      <c r="AQ1109" s="38"/>
      <c r="AR1109" s="38"/>
      <c r="AS1109" s="38"/>
      <c r="AT1109" s="38"/>
      <c r="AU1109" s="38"/>
      <c r="AV1109" s="38"/>
      <c r="AW1109" s="38"/>
      <c r="AX1109" s="38"/>
      <c r="AY1109" s="38"/>
      <c r="AZ1109" s="38"/>
      <c r="BA1109" s="38"/>
      <c r="BB1109" s="38"/>
      <c r="BC1109" s="38"/>
      <c r="BD1109" s="38"/>
      <c r="BE1109" s="38"/>
      <c r="BF1109" s="38"/>
      <c r="BG1109" s="38"/>
      <c r="BH1109" s="38"/>
      <c r="BI1109" s="38"/>
      <c r="BJ1109" s="38"/>
      <c r="BK1109" s="38"/>
      <c r="BL1109" s="38"/>
      <c r="BM1109" s="38"/>
      <c r="BN1109" s="38"/>
      <c r="BO1109" s="38"/>
      <c r="BP1109" s="38"/>
      <c r="BQ1109" s="38"/>
    </row>
    <row r="1110">
      <c r="A1110" s="58"/>
      <c r="B1110" s="341"/>
      <c r="C1110" s="60"/>
      <c r="D1110" s="60"/>
      <c r="E1110" s="58"/>
      <c r="F1110" s="58"/>
      <c r="G1110" s="58"/>
      <c r="H1110" s="33" t="str">
        <f t="shared" si="33"/>
        <v/>
      </c>
      <c r="I1110" s="58"/>
      <c r="J1110" s="58"/>
      <c r="K1110" s="58"/>
      <c r="L1110" s="58"/>
      <c r="M1110" s="80"/>
      <c r="N1110" s="77"/>
      <c r="O1110" s="58"/>
      <c r="P1110" s="62"/>
      <c r="Q1110" s="84"/>
      <c r="R1110" s="62"/>
      <c r="S1110" s="37" t="str">
        <f>IFERROR(__xludf.DUMMYFUNCTION("if(not(iserror(index(split(C1110, "" ""),2))), index(split(C1110, "" ""),1),"""")"),"")</f>
        <v/>
      </c>
      <c r="T1110" s="315" t="str">
        <f>IFERROR(__xludf.DUMMYFUNCTION("if(S1110="""",C1110,if(not(iserror(index(split(C1110, "" ""),3))), index(split(C1110, "" ""),3),index(split(C1110, "" ""),2)))"),"")</f>
        <v/>
      </c>
      <c r="U1110" s="38" t="b">
        <f t="shared" si="34"/>
        <v>0</v>
      </c>
      <c r="V1110" s="38"/>
      <c r="W1110" s="40"/>
      <c r="X1110" s="40"/>
      <c r="Y1110" s="38"/>
      <c r="Z1110" s="38"/>
      <c r="AA1110" s="38"/>
      <c r="AB1110" s="38"/>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row>
    <row r="1111">
      <c r="A1111" s="58"/>
      <c r="B1111" s="341"/>
      <c r="C1111" s="60"/>
      <c r="D1111" s="60"/>
      <c r="E1111" s="58"/>
      <c r="F1111" s="58"/>
      <c r="G1111" s="58"/>
      <c r="H1111" s="33" t="str">
        <f t="shared" si="33"/>
        <v/>
      </c>
      <c r="I1111" s="58"/>
      <c r="J1111" s="58"/>
      <c r="K1111" s="58"/>
      <c r="L1111" s="58"/>
      <c r="M1111" s="80"/>
      <c r="N1111" s="80"/>
      <c r="O1111" s="58"/>
      <c r="P1111" s="62"/>
      <c r="Q1111" s="58"/>
      <c r="R1111" s="62"/>
      <c r="S1111" s="37" t="str">
        <f>IFERROR(__xludf.DUMMYFUNCTION("if(not(iserror(index(split(C1111, "" ""),2))), index(split(C1111, "" ""),1),"""")"),"")</f>
        <v/>
      </c>
      <c r="T1111" s="315" t="str">
        <f>IFERROR(__xludf.DUMMYFUNCTION("if(S1111="""",C1111,if(not(iserror(index(split(C1111, "" ""),3))), index(split(C1111, "" ""),3),index(split(C1111, "" ""),2)))"),"")</f>
        <v/>
      </c>
      <c r="U1111" s="38" t="b">
        <f t="shared" si="34"/>
        <v>0</v>
      </c>
      <c r="V1111" s="38"/>
      <c r="W1111" s="40"/>
      <c r="X1111" s="40"/>
      <c r="Y1111" s="38"/>
      <c r="Z1111" s="38"/>
      <c r="AA1111" s="38"/>
      <c r="AB1111" s="38"/>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c r="AW1111" s="38"/>
      <c r="AX1111" s="38"/>
      <c r="AY1111" s="38"/>
      <c r="AZ1111" s="38"/>
      <c r="BA1111" s="38"/>
      <c r="BB1111" s="38"/>
      <c r="BC1111" s="38"/>
      <c r="BD1111" s="38"/>
      <c r="BE1111" s="38"/>
      <c r="BF1111" s="38"/>
      <c r="BG1111" s="38"/>
      <c r="BH1111" s="38"/>
      <c r="BI1111" s="38"/>
      <c r="BJ1111" s="38"/>
      <c r="BK1111" s="38"/>
      <c r="BL1111" s="38"/>
      <c r="BM1111" s="38"/>
      <c r="BN1111" s="38"/>
      <c r="BO1111" s="38"/>
      <c r="BP1111" s="38"/>
      <c r="BQ1111" s="38"/>
    </row>
    <row r="1112">
      <c r="A1112" s="58"/>
      <c r="B1112" s="341"/>
      <c r="C1112" s="60"/>
      <c r="D1112" s="60"/>
      <c r="E1112" s="58"/>
      <c r="F1112" s="58"/>
      <c r="G1112" s="58"/>
      <c r="H1112" s="33" t="str">
        <f t="shared" si="33"/>
        <v/>
      </c>
      <c r="I1112" s="58"/>
      <c r="J1112" s="58"/>
      <c r="K1112" s="58"/>
      <c r="L1112" s="58"/>
      <c r="M1112" s="80"/>
      <c r="N1112" s="77"/>
      <c r="O1112" s="58"/>
      <c r="P1112" s="62"/>
      <c r="Q1112" s="84"/>
      <c r="R1112" s="62"/>
      <c r="S1112" s="37" t="str">
        <f>IFERROR(__xludf.DUMMYFUNCTION("if(not(iserror(index(split(C1112, "" ""),2))), index(split(C1112, "" ""),1),"""")"),"")</f>
        <v/>
      </c>
      <c r="T1112" s="315" t="str">
        <f>IFERROR(__xludf.DUMMYFUNCTION("if(S1112="""",C1112,if(not(iserror(index(split(C1112, "" ""),3))), index(split(C1112, "" ""),3),index(split(C1112, "" ""),2)))"),"")</f>
        <v/>
      </c>
      <c r="U1112" s="38" t="b">
        <f t="shared" si="34"/>
        <v>0</v>
      </c>
      <c r="V1112" s="38"/>
      <c r="W1112" s="40"/>
      <c r="X1112" s="40"/>
      <c r="Y1112" s="38"/>
      <c r="Z1112" s="38"/>
      <c r="AA1112" s="38"/>
      <c r="AB1112" s="38"/>
      <c r="AC1112" s="38"/>
      <c r="AD1112" s="38"/>
      <c r="AE1112" s="38"/>
      <c r="AF1112" s="38"/>
      <c r="AG1112" s="38"/>
      <c r="AH1112" s="38"/>
      <c r="AI1112" s="38"/>
      <c r="AJ1112" s="38"/>
      <c r="AK1112" s="38"/>
      <c r="AL1112" s="38"/>
      <c r="AM1112" s="38"/>
      <c r="AN1112" s="38"/>
      <c r="AO1112" s="38"/>
      <c r="AP1112" s="38"/>
      <c r="AQ1112" s="38"/>
      <c r="AR1112" s="38"/>
      <c r="AS1112" s="38"/>
      <c r="AT1112" s="38"/>
      <c r="AU1112" s="38"/>
      <c r="AV1112" s="38"/>
      <c r="AW1112" s="38"/>
      <c r="AX1112" s="38"/>
      <c r="AY1112" s="38"/>
      <c r="AZ1112" s="38"/>
      <c r="BA1112" s="38"/>
      <c r="BB1112" s="38"/>
      <c r="BC1112" s="38"/>
      <c r="BD1112" s="38"/>
      <c r="BE1112" s="38"/>
      <c r="BF1112" s="38"/>
      <c r="BG1112" s="38"/>
      <c r="BH1112" s="38"/>
      <c r="BI1112" s="38"/>
      <c r="BJ1112" s="38"/>
      <c r="BK1112" s="38"/>
      <c r="BL1112" s="38"/>
      <c r="BM1112" s="38"/>
      <c r="BN1112" s="38"/>
      <c r="BO1112" s="38"/>
      <c r="BP1112" s="38"/>
      <c r="BQ1112" s="38"/>
    </row>
    <row r="1113">
      <c r="A1113" s="58"/>
      <c r="B1113" s="341"/>
      <c r="C1113" s="60"/>
      <c r="D1113" s="60"/>
      <c r="E1113" s="58"/>
      <c r="F1113" s="58"/>
      <c r="G1113" s="58"/>
      <c r="H1113" s="33" t="str">
        <f t="shared" si="33"/>
        <v/>
      </c>
      <c r="I1113" s="58"/>
      <c r="J1113" s="58"/>
      <c r="K1113" s="58"/>
      <c r="L1113" s="58"/>
      <c r="M1113" s="80"/>
      <c r="N1113" s="77"/>
      <c r="O1113" s="58"/>
      <c r="P1113" s="62"/>
      <c r="Q1113" s="84"/>
      <c r="R1113" s="62"/>
      <c r="S1113" s="37" t="str">
        <f>IFERROR(__xludf.DUMMYFUNCTION("if(not(iserror(index(split(C1113, "" ""),2))), index(split(C1113, "" ""),1),"""")"),"")</f>
        <v/>
      </c>
      <c r="T1113" s="315" t="str">
        <f>IFERROR(__xludf.DUMMYFUNCTION("if(S1113="""",C1113,if(not(iserror(index(split(C1113, "" ""),3))), index(split(C1113, "" ""),3),index(split(C1113, "" ""),2)))"),"")</f>
        <v/>
      </c>
      <c r="U1113" s="38" t="b">
        <f t="shared" si="34"/>
        <v>0</v>
      </c>
      <c r="V1113" s="38"/>
      <c r="W1113" s="40"/>
      <c r="X1113" s="40"/>
      <c r="Y1113" s="38"/>
      <c r="Z1113" s="38"/>
      <c r="AA1113" s="38"/>
      <c r="AB1113" s="38"/>
      <c r="AC1113" s="38"/>
      <c r="AD1113" s="38"/>
      <c r="AE1113" s="38"/>
      <c r="AF1113" s="38"/>
      <c r="AG1113" s="38"/>
      <c r="AH1113" s="38"/>
      <c r="AI1113" s="38"/>
      <c r="AJ1113" s="38"/>
      <c r="AK1113" s="38"/>
      <c r="AL1113" s="38"/>
      <c r="AM1113" s="38"/>
      <c r="AN1113" s="38"/>
      <c r="AO1113" s="38"/>
      <c r="AP1113" s="38"/>
      <c r="AQ1113" s="38"/>
      <c r="AR1113" s="38"/>
      <c r="AS1113" s="38"/>
      <c r="AT1113" s="38"/>
      <c r="AU1113" s="38"/>
      <c r="AV1113" s="38"/>
      <c r="AW1113" s="38"/>
      <c r="AX1113" s="38"/>
      <c r="AY1113" s="38"/>
      <c r="AZ1113" s="38"/>
      <c r="BA1113" s="38"/>
      <c r="BB1113" s="38"/>
      <c r="BC1113" s="38"/>
      <c r="BD1113" s="38"/>
      <c r="BE1113" s="38"/>
      <c r="BF1113" s="38"/>
      <c r="BG1113" s="38"/>
      <c r="BH1113" s="38"/>
      <c r="BI1113" s="38"/>
      <c r="BJ1113" s="38"/>
      <c r="BK1113" s="38"/>
      <c r="BL1113" s="38"/>
      <c r="BM1113" s="38"/>
      <c r="BN1113" s="38"/>
      <c r="BO1113" s="38"/>
      <c r="BP1113" s="38"/>
      <c r="BQ1113" s="38"/>
    </row>
    <row r="1114">
      <c r="A1114" s="58"/>
      <c r="B1114" s="341"/>
      <c r="C1114" s="60"/>
      <c r="D1114" s="60"/>
      <c r="E1114" s="58"/>
      <c r="F1114" s="58"/>
      <c r="G1114" s="58"/>
      <c r="H1114" s="33" t="str">
        <f t="shared" si="33"/>
        <v/>
      </c>
      <c r="I1114" s="58"/>
      <c r="J1114" s="58"/>
      <c r="K1114" s="58"/>
      <c r="L1114" s="58"/>
      <c r="M1114" s="80"/>
      <c r="N1114" s="77"/>
      <c r="O1114" s="62"/>
      <c r="P1114" s="62"/>
      <c r="Q1114" s="62"/>
      <c r="R1114" s="62"/>
      <c r="S1114" s="37" t="str">
        <f>IFERROR(__xludf.DUMMYFUNCTION("if(not(iserror(index(split(C1114, "" ""),2))), index(split(C1114, "" ""),1),"""")"),"")</f>
        <v/>
      </c>
      <c r="T1114" s="315" t="str">
        <f>IFERROR(__xludf.DUMMYFUNCTION("if(S1114="""",C1114,if(not(iserror(index(split(C1114, "" ""),3))), index(split(C1114, "" ""),3),index(split(C1114, "" ""),2)))"),"")</f>
        <v/>
      </c>
      <c r="U1114" s="38" t="b">
        <f t="shared" si="34"/>
        <v>0</v>
      </c>
      <c r="V1114" s="38"/>
      <c r="W1114" s="40"/>
      <c r="X1114" s="40"/>
      <c r="Y1114" s="38"/>
      <c r="Z1114" s="38"/>
      <c r="AA1114" s="38"/>
      <c r="AB1114" s="38"/>
      <c r="AC1114" s="38"/>
      <c r="AD1114" s="38"/>
      <c r="AE1114" s="38"/>
      <c r="AF1114" s="38"/>
      <c r="AG1114" s="38"/>
      <c r="AH1114" s="38"/>
      <c r="AI1114" s="38"/>
      <c r="AJ1114" s="38"/>
      <c r="AK1114" s="38"/>
      <c r="AL1114" s="38"/>
      <c r="AM1114" s="38"/>
      <c r="AN1114" s="38"/>
      <c r="AO1114" s="38"/>
      <c r="AP1114" s="38"/>
      <c r="AQ1114" s="38"/>
      <c r="AR1114" s="38"/>
      <c r="AS1114" s="38"/>
      <c r="AT1114" s="38"/>
      <c r="AU1114" s="38"/>
      <c r="AV1114" s="38"/>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row>
    <row r="1115">
      <c r="A1115" s="58"/>
      <c r="B1115" s="341"/>
      <c r="C1115" s="60"/>
      <c r="D1115" s="60"/>
      <c r="E1115" s="58"/>
      <c r="F1115" s="58"/>
      <c r="G1115" s="58"/>
      <c r="H1115" s="33" t="str">
        <f t="shared" si="33"/>
        <v/>
      </c>
      <c r="I1115" s="58"/>
      <c r="J1115" s="58"/>
      <c r="K1115" s="58"/>
      <c r="L1115" s="58"/>
      <c r="M1115" s="80"/>
      <c r="N1115" s="77"/>
      <c r="O1115" s="62"/>
      <c r="P1115" s="62"/>
      <c r="Q1115" s="62"/>
      <c r="R1115" s="62"/>
      <c r="S1115" s="37" t="str">
        <f>IFERROR(__xludf.DUMMYFUNCTION("if(not(iserror(index(split(C1115, "" ""),2))), index(split(C1115, "" ""),1),"""")"),"")</f>
        <v/>
      </c>
      <c r="T1115" s="315" t="str">
        <f>IFERROR(__xludf.DUMMYFUNCTION("if(S1115="""",C1115,if(not(iserror(index(split(C1115, "" ""),3))), index(split(C1115, "" ""),3),index(split(C1115, "" ""),2)))"),"")</f>
        <v/>
      </c>
      <c r="U1115" s="38" t="b">
        <f t="shared" si="34"/>
        <v>0</v>
      </c>
      <c r="V1115" s="38"/>
      <c r="W1115" s="40"/>
      <c r="X1115" s="40"/>
      <c r="Y1115" s="38"/>
      <c r="Z1115" s="38"/>
      <c r="AA1115" s="38"/>
      <c r="AB1115" s="38"/>
      <c r="AC1115" s="38"/>
      <c r="AD1115" s="38"/>
      <c r="AE1115" s="38"/>
      <c r="AF1115" s="38"/>
      <c r="AG1115" s="38"/>
      <c r="AH1115" s="38"/>
      <c r="AI1115" s="38"/>
      <c r="AJ1115" s="38"/>
      <c r="AK1115" s="38"/>
      <c r="AL1115" s="38"/>
      <c r="AM1115" s="38"/>
      <c r="AN1115" s="38"/>
      <c r="AO1115" s="38"/>
      <c r="AP1115" s="38"/>
      <c r="AQ1115" s="38"/>
      <c r="AR1115" s="38"/>
      <c r="AS1115" s="38"/>
      <c r="AT1115" s="38"/>
      <c r="AU1115" s="38"/>
      <c r="AV1115" s="38"/>
      <c r="AW1115" s="38"/>
      <c r="AX1115" s="38"/>
      <c r="AY1115" s="38"/>
      <c r="AZ1115" s="38"/>
      <c r="BA1115" s="38"/>
      <c r="BB1115" s="38"/>
      <c r="BC1115" s="38"/>
      <c r="BD1115" s="38"/>
      <c r="BE1115" s="38"/>
      <c r="BF1115" s="38"/>
      <c r="BG1115" s="38"/>
      <c r="BH1115" s="38"/>
      <c r="BI1115" s="38"/>
      <c r="BJ1115" s="38"/>
      <c r="BK1115" s="38"/>
      <c r="BL1115" s="38"/>
      <c r="BM1115" s="38"/>
      <c r="BN1115" s="38"/>
      <c r="BO1115" s="38"/>
      <c r="BP1115" s="38"/>
      <c r="BQ1115" s="38"/>
    </row>
    <row r="1116">
      <c r="A1116" s="58"/>
      <c r="B1116" s="341"/>
      <c r="C1116" s="60"/>
      <c r="D1116" s="60"/>
      <c r="E1116" s="58"/>
      <c r="F1116" s="58"/>
      <c r="G1116" s="58"/>
      <c r="H1116" s="33" t="str">
        <f t="shared" si="33"/>
        <v/>
      </c>
      <c r="I1116" s="58"/>
      <c r="J1116" s="58"/>
      <c r="K1116" s="58"/>
      <c r="L1116" s="58"/>
      <c r="M1116" s="80"/>
      <c r="N1116" s="77"/>
      <c r="O1116" s="62"/>
      <c r="P1116" s="62"/>
      <c r="Q1116" s="62"/>
      <c r="R1116" s="62"/>
      <c r="S1116" s="37" t="str">
        <f>IFERROR(__xludf.DUMMYFUNCTION("if(not(iserror(index(split(C1116, "" ""),2))), index(split(C1116, "" ""),1),"""")"),"")</f>
        <v/>
      </c>
      <c r="T1116" s="315" t="str">
        <f>IFERROR(__xludf.DUMMYFUNCTION("if(S1116="""",C1116,if(not(iserror(index(split(C1116, "" ""),3))), index(split(C1116, "" ""),3),index(split(C1116, "" ""),2)))"),"")</f>
        <v/>
      </c>
      <c r="U1116" s="38" t="b">
        <f t="shared" si="34"/>
        <v>0</v>
      </c>
      <c r="V1116" s="38"/>
      <c r="W1116" s="40"/>
      <c r="X1116" s="40"/>
      <c r="Y1116" s="38"/>
      <c r="Z1116" s="38"/>
      <c r="AA1116" s="38"/>
      <c r="AB1116" s="38"/>
      <c r="AC1116" s="38"/>
      <c r="AD1116" s="38"/>
      <c r="AE1116" s="38"/>
      <c r="AF1116" s="38"/>
      <c r="AG1116" s="38"/>
      <c r="AH1116" s="38"/>
      <c r="AI1116" s="38"/>
      <c r="AJ1116" s="38"/>
      <c r="AK1116" s="38"/>
      <c r="AL1116" s="38"/>
      <c r="AM1116" s="38"/>
      <c r="AN1116" s="38"/>
      <c r="AO1116" s="38"/>
      <c r="AP1116" s="38"/>
      <c r="AQ1116" s="38"/>
      <c r="AR1116" s="38"/>
      <c r="AS1116" s="38"/>
      <c r="AT1116" s="38"/>
      <c r="AU1116" s="38"/>
      <c r="AV1116" s="38"/>
      <c r="AW1116" s="38"/>
      <c r="AX1116" s="38"/>
      <c r="AY1116" s="38"/>
      <c r="AZ1116" s="38"/>
      <c r="BA1116" s="38"/>
      <c r="BB1116" s="38"/>
      <c r="BC1116" s="38"/>
      <c r="BD1116" s="38"/>
      <c r="BE1116" s="38"/>
      <c r="BF1116" s="38"/>
      <c r="BG1116" s="38"/>
      <c r="BH1116" s="38"/>
      <c r="BI1116" s="38"/>
      <c r="BJ1116" s="38"/>
      <c r="BK1116" s="38"/>
      <c r="BL1116" s="38"/>
      <c r="BM1116" s="38"/>
      <c r="BN1116" s="38"/>
      <c r="BO1116" s="38"/>
      <c r="BP1116" s="38"/>
      <c r="BQ1116" s="38"/>
    </row>
    <row r="1117">
      <c r="A1117" s="58"/>
      <c r="B1117" s="341"/>
      <c r="C1117" s="60"/>
      <c r="D1117" s="60"/>
      <c r="E1117" s="58"/>
      <c r="F1117" s="58"/>
      <c r="G1117" s="58"/>
      <c r="H1117" s="33" t="str">
        <f t="shared" si="33"/>
        <v/>
      </c>
      <c r="I1117" s="58"/>
      <c r="J1117" s="62"/>
      <c r="K1117" s="58"/>
      <c r="L1117" s="58"/>
      <c r="M1117" s="80"/>
      <c r="N1117" s="77"/>
      <c r="O1117" s="58"/>
      <c r="P1117" s="58"/>
      <c r="Q1117" s="62"/>
      <c r="R1117" s="62"/>
      <c r="S1117" s="37" t="str">
        <f>IFERROR(__xludf.DUMMYFUNCTION("if(not(iserror(index(split(C1117, "" ""),2))), index(split(C1117, "" ""),1),"""")"),"")</f>
        <v/>
      </c>
      <c r="T1117" s="315" t="str">
        <f>IFERROR(__xludf.DUMMYFUNCTION("if(S1117="""",C1117,if(not(iserror(index(split(C1117, "" ""),3))), index(split(C1117, "" ""),3),index(split(C1117, "" ""),2)))"),"")</f>
        <v/>
      </c>
      <c r="U1117" s="38" t="b">
        <f t="shared" si="34"/>
        <v>0</v>
      </c>
      <c r="V1117" s="38"/>
      <c r="W1117" s="40"/>
      <c r="X1117" s="40"/>
      <c r="Y1117" s="38"/>
      <c r="Z1117" s="38"/>
      <c r="AA1117" s="38"/>
      <c r="AB1117" s="38"/>
      <c r="AC1117" s="38"/>
      <c r="AD1117" s="38"/>
      <c r="AE1117" s="38"/>
      <c r="AF1117" s="38"/>
      <c r="AG1117" s="38"/>
      <c r="AH1117" s="38"/>
      <c r="AI1117" s="38"/>
      <c r="AJ1117" s="38"/>
      <c r="AK1117" s="38"/>
      <c r="AL1117" s="38"/>
      <c r="AM1117" s="38"/>
      <c r="AN1117" s="38"/>
      <c r="AO1117" s="38"/>
      <c r="AP1117" s="38"/>
      <c r="AQ1117" s="38"/>
      <c r="AR1117" s="38"/>
      <c r="AS1117" s="38"/>
      <c r="AT1117" s="38"/>
      <c r="AU1117" s="38"/>
      <c r="AV1117" s="38"/>
      <c r="AW1117" s="38"/>
      <c r="AX1117" s="38"/>
      <c r="AY1117" s="38"/>
      <c r="AZ1117" s="38"/>
      <c r="BA1117" s="38"/>
      <c r="BB1117" s="38"/>
      <c r="BC1117" s="38"/>
      <c r="BD1117" s="38"/>
      <c r="BE1117" s="38"/>
      <c r="BF1117" s="38"/>
      <c r="BG1117" s="38"/>
      <c r="BH1117" s="38"/>
      <c r="BI1117" s="38"/>
      <c r="BJ1117" s="38"/>
      <c r="BK1117" s="38"/>
      <c r="BL1117" s="38"/>
      <c r="BM1117" s="38"/>
      <c r="BN1117" s="38"/>
      <c r="BO1117" s="38"/>
      <c r="BP1117" s="38"/>
      <c r="BQ1117" s="38"/>
    </row>
    <row r="1118">
      <c r="A1118" s="58"/>
      <c r="B1118" s="341"/>
      <c r="C1118" s="60"/>
      <c r="D1118" s="60"/>
      <c r="E1118" s="58"/>
      <c r="F1118" s="58"/>
      <c r="G1118" s="58"/>
      <c r="H1118" s="33" t="str">
        <f t="shared" si="33"/>
        <v/>
      </c>
      <c r="I1118" s="58"/>
      <c r="J1118" s="62"/>
      <c r="K1118" s="58"/>
      <c r="L1118" s="58"/>
      <c r="M1118" s="80"/>
      <c r="N1118" s="77"/>
      <c r="O1118" s="62"/>
      <c r="P1118" s="62"/>
      <c r="Q1118" s="62"/>
      <c r="R1118" s="62"/>
      <c r="S1118" s="37" t="str">
        <f>IFERROR(__xludf.DUMMYFUNCTION("if(not(iserror(index(split(C1118, "" ""),2))), index(split(C1118, "" ""),1),"""")"),"")</f>
        <v/>
      </c>
      <c r="T1118" s="315" t="str">
        <f>IFERROR(__xludf.DUMMYFUNCTION("if(S1118="""",C1118,if(not(iserror(index(split(C1118, "" ""),3))), index(split(C1118, "" ""),3),index(split(C1118, "" ""),2)))"),"")</f>
        <v/>
      </c>
      <c r="U1118" s="38" t="b">
        <f t="shared" si="34"/>
        <v>0</v>
      </c>
      <c r="V1118" s="38"/>
      <c r="W1118" s="40"/>
      <c r="X1118" s="40"/>
      <c r="Y1118" s="38"/>
      <c r="Z1118" s="38"/>
      <c r="AA1118" s="38"/>
      <c r="AB1118" s="38"/>
      <c r="AC1118" s="38"/>
      <c r="AD1118" s="38"/>
      <c r="AE1118" s="38"/>
      <c r="AF1118" s="38"/>
      <c r="AG1118" s="38"/>
      <c r="AH1118" s="38"/>
      <c r="AI1118" s="38"/>
      <c r="AJ1118" s="38"/>
      <c r="AK1118" s="38"/>
      <c r="AL1118" s="38"/>
      <c r="AM1118" s="38"/>
      <c r="AN1118" s="38"/>
      <c r="AO1118" s="38"/>
      <c r="AP1118" s="38"/>
      <c r="AQ1118" s="38"/>
      <c r="AR1118" s="38"/>
      <c r="AS1118" s="38"/>
      <c r="AT1118" s="38"/>
      <c r="AU1118" s="38"/>
      <c r="AV1118" s="38"/>
      <c r="AW1118" s="38"/>
      <c r="AX1118" s="38"/>
      <c r="AY1118" s="38"/>
      <c r="AZ1118" s="38"/>
      <c r="BA1118" s="38"/>
      <c r="BB1118" s="38"/>
      <c r="BC1118" s="38"/>
      <c r="BD1118" s="38"/>
      <c r="BE1118" s="38"/>
      <c r="BF1118" s="38"/>
      <c r="BG1118" s="38"/>
      <c r="BH1118" s="38"/>
      <c r="BI1118" s="38"/>
      <c r="BJ1118" s="38"/>
      <c r="BK1118" s="38"/>
      <c r="BL1118" s="38"/>
      <c r="BM1118" s="38"/>
      <c r="BN1118" s="38"/>
      <c r="BO1118" s="38"/>
      <c r="BP1118" s="38"/>
      <c r="BQ1118" s="38"/>
    </row>
    <row r="1119">
      <c r="A1119" s="58"/>
      <c r="B1119" s="341"/>
      <c r="C1119" s="60"/>
      <c r="D1119" s="60"/>
      <c r="E1119" s="58"/>
      <c r="F1119" s="58"/>
      <c r="G1119" s="58"/>
      <c r="H1119" s="33" t="str">
        <f t="shared" si="33"/>
        <v/>
      </c>
      <c r="I1119" s="58"/>
      <c r="J1119" s="58"/>
      <c r="K1119" s="58"/>
      <c r="L1119" s="58"/>
      <c r="M1119" s="80"/>
      <c r="N1119" s="77"/>
      <c r="O1119" s="62"/>
      <c r="P1119" s="62"/>
      <c r="Q1119" s="62"/>
      <c r="R1119" s="62"/>
      <c r="S1119" s="37" t="str">
        <f>IFERROR(__xludf.DUMMYFUNCTION("if(not(iserror(index(split(C1119, "" ""),2))), index(split(C1119, "" ""),1),"""")"),"")</f>
        <v/>
      </c>
      <c r="T1119" s="315" t="str">
        <f>IFERROR(__xludf.DUMMYFUNCTION("if(S1119="""",C1119,if(not(iserror(index(split(C1119, "" ""),3))), index(split(C1119, "" ""),3),index(split(C1119, "" ""),2)))"),"")</f>
        <v/>
      </c>
      <c r="U1119" s="38" t="b">
        <f t="shared" si="34"/>
        <v>0</v>
      </c>
      <c r="V1119" s="38"/>
      <c r="W1119" s="40"/>
      <c r="X1119" s="40"/>
      <c r="Y1119" s="38"/>
      <c r="Z1119" s="38"/>
      <c r="AA1119" s="38"/>
      <c r="AB1119" s="38"/>
      <c r="AC1119" s="38"/>
      <c r="AD1119" s="38"/>
      <c r="AE1119" s="38"/>
      <c r="AF1119" s="38"/>
      <c r="AG1119" s="38"/>
      <c r="AH1119" s="38"/>
      <c r="AI1119" s="38"/>
      <c r="AJ1119" s="38"/>
      <c r="AK1119" s="38"/>
      <c r="AL1119" s="38"/>
      <c r="AM1119" s="38"/>
      <c r="AN1119" s="38"/>
      <c r="AO1119" s="38"/>
      <c r="AP1119" s="38"/>
      <c r="AQ1119" s="38"/>
      <c r="AR1119" s="38"/>
      <c r="AS1119" s="38"/>
      <c r="AT1119" s="38"/>
      <c r="AU1119" s="38"/>
      <c r="AV1119" s="38"/>
      <c r="AW1119" s="38"/>
      <c r="AX1119" s="38"/>
      <c r="AY1119" s="38"/>
      <c r="AZ1119" s="38"/>
      <c r="BA1119" s="38"/>
      <c r="BB1119" s="38"/>
      <c r="BC1119" s="38"/>
      <c r="BD1119" s="38"/>
      <c r="BE1119" s="38"/>
      <c r="BF1119" s="38"/>
      <c r="BG1119" s="38"/>
      <c r="BH1119" s="38"/>
      <c r="BI1119" s="38"/>
      <c r="BJ1119" s="38"/>
      <c r="BK1119" s="38"/>
      <c r="BL1119" s="38"/>
      <c r="BM1119" s="38"/>
      <c r="BN1119" s="38"/>
      <c r="BO1119" s="38"/>
      <c r="BP1119" s="38"/>
      <c r="BQ1119" s="38"/>
    </row>
    <row r="1120">
      <c r="A1120" s="58"/>
      <c r="B1120" s="341"/>
      <c r="C1120" s="60"/>
      <c r="D1120" s="60"/>
      <c r="E1120" s="58"/>
      <c r="F1120" s="58"/>
      <c r="G1120" s="58"/>
      <c r="H1120" s="33" t="str">
        <f t="shared" si="33"/>
        <v/>
      </c>
      <c r="I1120" s="58"/>
      <c r="J1120" s="58"/>
      <c r="K1120" s="58"/>
      <c r="L1120" s="58"/>
      <c r="M1120" s="80"/>
      <c r="N1120" s="77"/>
      <c r="O1120" s="62"/>
      <c r="P1120" s="62"/>
      <c r="Q1120" s="62"/>
      <c r="R1120" s="62"/>
      <c r="S1120" s="37" t="str">
        <f>IFERROR(__xludf.DUMMYFUNCTION("if(not(iserror(index(split(C1120, "" ""),2))), index(split(C1120, "" ""),1),"""")"),"")</f>
        <v/>
      </c>
      <c r="T1120" s="315" t="str">
        <f>IFERROR(__xludf.DUMMYFUNCTION("if(S1120="""",C1120,if(not(iserror(index(split(C1120, "" ""),3))), index(split(C1120, "" ""),3),index(split(C1120, "" ""),2)))"),"")</f>
        <v/>
      </c>
      <c r="U1120" s="38" t="b">
        <f t="shared" si="34"/>
        <v>0</v>
      </c>
      <c r="V1120" s="38"/>
      <c r="W1120" s="40"/>
      <c r="X1120" s="40"/>
      <c r="Y1120" s="38"/>
      <c r="Z1120" s="38"/>
      <c r="AA1120" s="38"/>
      <c r="AB1120" s="38"/>
      <c r="AC1120" s="38"/>
      <c r="AD1120" s="38"/>
      <c r="AE1120" s="38"/>
      <c r="AF1120" s="38"/>
      <c r="AG1120" s="38"/>
      <c r="AH1120" s="38"/>
      <c r="AI1120" s="38"/>
      <c r="AJ1120" s="38"/>
      <c r="AK1120" s="38"/>
      <c r="AL1120" s="38"/>
      <c r="AM1120" s="38"/>
      <c r="AN1120" s="38"/>
      <c r="AO1120" s="38"/>
      <c r="AP1120" s="38"/>
      <c r="AQ1120" s="38"/>
      <c r="AR1120" s="38"/>
      <c r="AS1120" s="38"/>
      <c r="AT1120" s="38"/>
      <c r="AU1120" s="38"/>
      <c r="AV1120" s="38"/>
      <c r="AW1120" s="38"/>
      <c r="AX1120" s="38"/>
      <c r="AY1120" s="38"/>
      <c r="AZ1120" s="38"/>
      <c r="BA1120" s="38"/>
      <c r="BB1120" s="38"/>
      <c r="BC1120" s="38"/>
      <c r="BD1120" s="38"/>
      <c r="BE1120" s="38"/>
      <c r="BF1120" s="38"/>
      <c r="BG1120" s="38"/>
      <c r="BH1120" s="38"/>
      <c r="BI1120" s="38"/>
      <c r="BJ1120" s="38"/>
      <c r="BK1120" s="38"/>
      <c r="BL1120" s="38"/>
      <c r="BM1120" s="38"/>
      <c r="BN1120" s="38"/>
      <c r="BO1120" s="38"/>
      <c r="BP1120" s="38"/>
      <c r="BQ1120" s="38"/>
    </row>
    <row r="1121">
      <c r="A1121" s="58"/>
      <c r="B1121" s="341"/>
      <c r="C1121" s="60"/>
      <c r="D1121" s="60"/>
      <c r="E1121" s="58"/>
      <c r="F1121" s="58"/>
      <c r="G1121" s="58"/>
      <c r="H1121" s="33" t="str">
        <f t="shared" si="33"/>
        <v/>
      </c>
      <c r="I1121" s="58"/>
      <c r="J1121" s="58"/>
      <c r="K1121" s="58"/>
      <c r="L1121" s="58"/>
      <c r="M1121" s="80"/>
      <c r="N1121" s="77"/>
      <c r="O1121" s="62"/>
      <c r="P1121" s="62"/>
      <c r="Q1121" s="62"/>
      <c r="R1121" s="62"/>
      <c r="S1121" s="37" t="str">
        <f>IFERROR(__xludf.DUMMYFUNCTION("if(not(iserror(index(split(C1121, "" ""),2))), index(split(C1121, "" ""),1),"""")"),"")</f>
        <v/>
      </c>
      <c r="T1121" s="315" t="str">
        <f>IFERROR(__xludf.DUMMYFUNCTION("if(S1121="""",C1121,if(not(iserror(index(split(C1121, "" ""),3))), index(split(C1121, "" ""),3),index(split(C1121, "" ""),2)))"),"")</f>
        <v/>
      </c>
      <c r="U1121" s="38" t="b">
        <f t="shared" si="34"/>
        <v>0</v>
      </c>
      <c r="V1121" s="38"/>
      <c r="W1121" s="40"/>
      <c r="X1121" s="40"/>
      <c r="Y1121" s="38"/>
      <c r="Z1121" s="38"/>
      <c r="AA1121" s="38"/>
      <c r="AB1121" s="38"/>
      <c r="AC1121" s="38"/>
      <c r="AD1121" s="38"/>
      <c r="AE1121" s="38"/>
      <c r="AF1121" s="38"/>
      <c r="AG1121" s="38"/>
      <c r="AH1121" s="38"/>
      <c r="AI1121" s="38"/>
      <c r="AJ1121" s="38"/>
      <c r="AK1121" s="38"/>
      <c r="AL1121" s="38"/>
      <c r="AM1121" s="38"/>
      <c r="AN1121" s="38"/>
      <c r="AO1121" s="38"/>
      <c r="AP1121" s="38"/>
      <c r="AQ1121" s="38"/>
      <c r="AR1121" s="38"/>
      <c r="AS1121" s="38"/>
      <c r="AT1121" s="38"/>
      <c r="AU1121" s="38"/>
      <c r="AV1121" s="38"/>
      <c r="AW1121" s="38"/>
      <c r="AX1121" s="38"/>
      <c r="AY1121" s="38"/>
      <c r="AZ1121" s="38"/>
      <c r="BA1121" s="38"/>
      <c r="BB1121" s="38"/>
      <c r="BC1121" s="38"/>
      <c r="BD1121" s="38"/>
      <c r="BE1121" s="38"/>
      <c r="BF1121" s="38"/>
      <c r="BG1121" s="38"/>
      <c r="BH1121" s="38"/>
      <c r="BI1121" s="38"/>
      <c r="BJ1121" s="38"/>
      <c r="BK1121" s="38"/>
      <c r="BL1121" s="38"/>
      <c r="BM1121" s="38"/>
      <c r="BN1121" s="38"/>
      <c r="BO1121" s="38"/>
      <c r="BP1121" s="38"/>
      <c r="BQ1121" s="38"/>
    </row>
    <row r="1122">
      <c r="A1122" s="58"/>
      <c r="B1122" s="341"/>
      <c r="C1122" s="60"/>
      <c r="D1122" s="60"/>
      <c r="E1122" s="58"/>
      <c r="F1122" s="58"/>
      <c r="G1122" s="58"/>
      <c r="H1122" s="33" t="str">
        <f t="shared" si="33"/>
        <v/>
      </c>
      <c r="I1122" s="58"/>
      <c r="J1122" s="58"/>
      <c r="K1122" s="58"/>
      <c r="L1122" s="58"/>
      <c r="M1122" s="80"/>
      <c r="N1122" s="77"/>
      <c r="O1122" s="62"/>
      <c r="P1122" s="62"/>
      <c r="Q1122" s="62"/>
      <c r="R1122" s="62"/>
      <c r="S1122" s="37" t="str">
        <f>IFERROR(__xludf.DUMMYFUNCTION("if(not(iserror(index(split(C1122, "" ""),2))), index(split(C1122, "" ""),1),"""")"),"")</f>
        <v/>
      </c>
      <c r="T1122" s="315" t="str">
        <f>IFERROR(__xludf.DUMMYFUNCTION("if(S1122="""",C1122,if(not(iserror(index(split(C1122, "" ""),3))), index(split(C1122, "" ""),3),index(split(C1122, "" ""),2)))"),"")</f>
        <v/>
      </c>
      <c r="U1122" s="38" t="b">
        <f t="shared" si="34"/>
        <v>0</v>
      </c>
      <c r="V1122" s="38"/>
      <c r="W1122" s="40"/>
      <c r="X1122" s="40"/>
      <c r="Y1122" s="38"/>
      <c r="Z1122" s="38"/>
      <c r="AA1122" s="38"/>
      <c r="AB1122" s="38"/>
      <c r="AC1122" s="38"/>
      <c r="AD1122" s="38"/>
      <c r="AE1122" s="38"/>
      <c r="AF1122" s="38"/>
      <c r="AG1122" s="38"/>
      <c r="AH1122" s="38"/>
      <c r="AI1122" s="38"/>
      <c r="AJ1122" s="38"/>
      <c r="AK1122" s="38"/>
      <c r="AL1122" s="38"/>
      <c r="AM1122" s="38"/>
      <c r="AN1122" s="38"/>
      <c r="AO1122" s="38"/>
      <c r="AP1122" s="38"/>
      <c r="AQ1122" s="38"/>
      <c r="AR1122" s="38"/>
      <c r="AS1122" s="38"/>
      <c r="AT1122" s="38"/>
      <c r="AU1122" s="38"/>
      <c r="AV1122" s="38"/>
      <c r="AW1122" s="38"/>
      <c r="AX1122" s="38"/>
      <c r="AY1122" s="38"/>
      <c r="AZ1122" s="38"/>
      <c r="BA1122" s="38"/>
      <c r="BB1122" s="38"/>
      <c r="BC1122" s="38"/>
      <c r="BD1122" s="38"/>
      <c r="BE1122" s="38"/>
      <c r="BF1122" s="38"/>
      <c r="BG1122" s="38"/>
      <c r="BH1122" s="38"/>
      <c r="BI1122" s="38"/>
      <c r="BJ1122" s="38"/>
      <c r="BK1122" s="38"/>
      <c r="BL1122" s="38"/>
      <c r="BM1122" s="38"/>
      <c r="BN1122" s="38"/>
      <c r="BO1122" s="38"/>
      <c r="BP1122" s="38"/>
      <c r="BQ1122" s="38"/>
    </row>
    <row r="1123">
      <c r="A1123" s="58"/>
      <c r="B1123" s="341"/>
      <c r="C1123" s="60"/>
      <c r="D1123" s="60"/>
      <c r="E1123" s="58"/>
      <c r="F1123" s="58"/>
      <c r="G1123" s="58"/>
      <c r="H1123" s="33" t="str">
        <f t="shared" si="33"/>
        <v/>
      </c>
      <c r="I1123" s="58"/>
      <c r="J1123" s="58"/>
      <c r="K1123" s="58"/>
      <c r="L1123" s="58"/>
      <c r="M1123" s="80"/>
      <c r="N1123" s="77"/>
      <c r="O1123" s="62"/>
      <c r="P1123" s="62"/>
      <c r="Q1123" s="62"/>
      <c r="R1123" s="62"/>
      <c r="S1123" s="37" t="str">
        <f>IFERROR(__xludf.DUMMYFUNCTION("if(not(iserror(index(split(C1123, "" ""),2))), index(split(C1123, "" ""),1),"""")"),"")</f>
        <v/>
      </c>
      <c r="T1123" s="315" t="str">
        <f>IFERROR(__xludf.DUMMYFUNCTION("if(S1123="""",C1123,if(not(iserror(index(split(C1123, "" ""),3))), index(split(C1123, "" ""),3),index(split(C1123, "" ""),2)))"),"")</f>
        <v/>
      </c>
      <c r="U1123" s="38" t="b">
        <f t="shared" si="34"/>
        <v>0</v>
      </c>
      <c r="V1123" s="38"/>
      <c r="W1123" s="40"/>
      <c r="X1123" s="40"/>
      <c r="Y1123" s="38"/>
      <c r="Z1123" s="38"/>
      <c r="AA1123" s="38"/>
      <c r="AB1123" s="38"/>
      <c r="AC1123" s="38"/>
      <c r="AD1123" s="38"/>
      <c r="AE1123" s="38"/>
      <c r="AF1123" s="38"/>
      <c r="AG1123" s="38"/>
      <c r="AH1123" s="38"/>
      <c r="AI1123" s="38"/>
      <c r="AJ1123" s="38"/>
      <c r="AK1123" s="38"/>
      <c r="AL1123" s="38"/>
      <c r="AM1123" s="38"/>
      <c r="AN1123" s="38"/>
      <c r="AO1123" s="38"/>
      <c r="AP1123" s="38"/>
      <c r="AQ1123" s="38"/>
      <c r="AR1123" s="38"/>
      <c r="AS1123" s="38"/>
      <c r="AT1123" s="38"/>
      <c r="AU1123" s="38"/>
      <c r="AV1123" s="38"/>
      <c r="AW1123" s="38"/>
      <c r="AX1123" s="38"/>
      <c r="AY1123" s="38"/>
      <c r="AZ1123" s="38"/>
      <c r="BA1123" s="38"/>
      <c r="BB1123" s="38"/>
      <c r="BC1123" s="38"/>
      <c r="BD1123" s="38"/>
      <c r="BE1123" s="38"/>
      <c r="BF1123" s="38"/>
      <c r="BG1123" s="38"/>
      <c r="BH1123" s="38"/>
      <c r="BI1123" s="38"/>
      <c r="BJ1123" s="38"/>
      <c r="BK1123" s="38"/>
      <c r="BL1123" s="38"/>
      <c r="BM1123" s="38"/>
      <c r="BN1123" s="38"/>
      <c r="BO1123" s="38"/>
      <c r="BP1123" s="38"/>
      <c r="BQ1123" s="38"/>
    </row>
    <row r="1124">
      <c r="A1124" s="58"/>
      <c r="B1124" s="341"/>
      <c r="C1124" s="60"/>
      <c r="D1124" s="60"/>
      <c r="E1124" s="58"/>
      <c r="F1124" s="58"/>
      <c r="G1124" s="58"/>
      <c r="H1124" s="33" t="str">
        <f t="shared" si="33"/>
        <v/>
      </c>
      <c r="I1124" s="58"/>
      <c r="J1124" s="58"/>
      <c r="K1124" s="58"/>
      <c r="L1124" s="58"/>
      <c r="M1124" s="80"/>
      <c r="N1124" s="77"/>
      <c r="O1124" s="62"/>
      <c r="P1124" s="62"/>
      <c r="Q1124" s="58"/>
      <c r="R1124" s="62"/>
      <c r="S1124" s="37" t="str">
        <f>IFERROR(__xludf.DUMMYFUNCTION("if(not(iserror(index(split(C1124, "" ""),2))), index(split(C1124, "" ""),1),"""")"),"")</f>
        <v/>
      </c>
      <c r="T1124" s="315" t="str">
        <f>IFERROR(__xludf.DUMMYFUNCTION("if(S1124="""",C1124,if(not(iserror(index(split(C1124, "" ""),3))), index(split(C1124, "" ""),3),index(split(C1124, "" ""),2)))"),"")</f>
        <v/>
      </c>
      <c r="U1124" s="38" t="b">
        <f t="shared" si="34"/>
        <v>0</v>
      </c>
      <c r="V1124" s="38"/>
      <c r="W1124" s="40"/>
      <c r="X1124" s="40"/>
      <c r="Y1124" s="38"/>
      <c r="Z1124" s="38"/>
      <c r="AA1124" s="38"/>
      <c r="AB1124" s="38"/>
      <c r="AC1124" s="38"/>
      <c r="AD1124" s="38"/>
      <c r="AE1124" s="38"/>
      <c r="AF1124" s="38"/>
      <c r="AG1124" s="38"/>
      <c r="AH1124" s="38"/>
      <c r="AI1124" s="38"/>
      <c r="AJ1124" s="38"/>
      <c r="AK1124" s="38"/>
      <c r="AL1124" s="38"/>
      <c r="AM1124" s="38"/>
      <c r="AN1124" s="38"/>
      <c r="AO1124" s="38"/>
      <c r="AP1124" s="38"/>
      <c r="AQ1124" s="38"/>
      <c r="AR1124" s="38"/>
      <c r="AS1124" s="38"/>
      <c r="AT1124" s="38"/>
      <c r="AU1124" s="38"/>
      <c r="AV1124" s="38"/>
      <c r="AW1124" s="38"/>
      <c r="AX1124" s="38"/>
      <c r="AY1124" s="38"/>
      <c r="AZ1124" s="38"/>
      <c r="BA1124" s="38"/>
      <c r="BB1124" s="38"/>
      <c r="BC1124" s="38"/>
      <c r="BD1124" s="38"/>
      <c r="BE1124" s="38"/>
      <c r="BF1124" s="38"/>
      <c r="BG1124" s="38"/>
      <c r="BH1124" s="38"/>
      <c r="BI1124" s="38"/>
      <c r="BJ1124" s="38"/>
      <c r="BK1124" s="38"/>
      <c r="BL1124" s="38"/>
      <c r="BM1124" s="38"/>
      <c r="BN1124" s="38"/>
      <c r="BO1124" s="38"/>
      <c r="BP1124" s="38"/>
      <c r="BQ1124" s="38"/>
    </row>
    <row r="1125">
      <c r="A1125" s="58"/>
      <c r="B1125" s="341"/>
      <c r="C1125" s="60"/>
      <c r="D1125" s="60"/>
      <c r="E1125" s="58"/>
      <c r="F1125" s="58"/>
      <c r="G1125" s="58"/>
      <c r="H1125" s="33" t="str">
        <f t="shared" si="33"/>
        <v/>
      </c>
      <c r="I1125" s="58"/>
      <c r="J1125" s="58"/>
      <c r="K1125" s="58"/>
      <c r="L1125" s="58"/>
      <c r="M1125" s="80"/>
      <c r="N1125" s="77"/>
      <c r="O1125" s="62"/>
      <c r="P1125" s="62"/>
      <c r="Q1125" s="62"/>
      <c r="R1125" s="62"/>
      <c r="S1125" s="37" t="str">
        <f>IFERROR(__xludf.DUMMYFUNCTION("if(not(iserror(index(split(C1125, "" ""),2))), index(split(C1125, "" ""),1),"""")"),"")</f>
        <v/>
      </c>
      <c r="T1125" s="315" t="str">
        <f>IFERROR(__xludf.DUMMYFUNCTION("if(S1125="""",C1125,if(not(iserror(index(split(C1125, "" ""),3))), index(split(C1125, "" ""),3),index(split(C1125, "" ""),2)))"),"")</f>
        <v/>
      </c>
      <c r="U1125" s="38" t="b">
        <f t="shared" si="34"/>
        <v>0</v>
      </c>
      <c r="V1125" s="38"/>
      <c r="W1125" s="40"/>
      <c r="X1125" s="40"/>
      <c r="Y1125" s="38"/>
      <c r="Z1125" s="38"/>
      <c r="AA1125" s="38"/>
      <c r="AB1125" s="38"/>
      <c r="AC1125" s="38"/>
      <c r="AD1125" s="38"/>
      <c r="AE1125" s="38"/>
      <c r="AF1125" s="38"/>
      <c r="AG1125" s="38"/>
      <c r="AH1125" s="38"/>
      <c r="AI1125" s="38"/>
      <c r="AJ1125" s="38"/>
      <c r="AK1125" s="38"/>
      <c r="AL1125" s="38"/>
      <c r="AM1125" s="38"/>
      <c r="AN1125" s="38"/>
      <c r="AO1125" s="38"/>
      <c r="AP1125" s="38"/>
      <c r="AQ1125" s="38"/>
      <c r="AR1125" s="38"/>
      <c r="AS1125" s="38"/>
      <c r="AT1125" s="38"/>
      <c r="AU1125" s="38"/>
      <c r="AV1125" s="38"/>
      <c r="AW1125" s="38"/>
      <c r="AX1125" s="38"/>
      <c r="AY1125" s="38"/>
      <c r="AZ1125" s="38"/>
      <c r="BA1125" s="38"/>
      <c r="BB1125" s="38"/>
      <c r="BC1125" s="38"/>
      <c r="BD1125" s="38"/>
      <c r="BE1125" s="38"/>
      <c r="BF1125" s="38"/>
      <c r="BG1125" s="38"/>
      <c r="BH1125" s="38"/>
      <c r="BI1125" s="38"/>
      <c r="BJ1125" s="38"/>
      <c r="BK1125" s="38"/>
      <c r="BL1125" s="38"/>
      <c r="BM1125" s="38"/>
      <c r="BN1125" s="38"/>
      <c r="BO1125" s="38"/>
      <c r="BP1125" s="38"/>
      <c r="BQ1125" s="38"/>
    </row>
    <row r="1126">
      <c r="A1126" s="58"/>
      <c r="B1126" s="341"/>
      <c r="C1126" s="60"/>
      <c r="D1126" s="60"/>
      <c r="E1126" s="58"/>
      <c r="F1126" s="58"/>
      <c r="G1126" s="58"/>
      <c r="H1126" s="33" t="str">
        <f t="shared" si="33"/>
        <v/>
      </c>
      <c r="I1126" s="58"/>
      <c r="J1126" s="58"/>
      <c r="K1126" s="58"/>
      <c r="L1126" s="58"/>
      <c r="M1126" s="80"/>
      <c r="N1126" s="77"/>
      <c r="O1126" s="62"/>
      <c r="P1126" s="62"/>
      <c r="Q1126" s="62"/>
      <c r="R1126" s="62"/>
      <c r="S1126" s="37" t="str">
        <f>IFERROR(__xludf.DUMMYFUNCTION("if(not(iserror(index(split(C1126, "" ""),2))), index(split(C1126, "" ""),1),"""")"),"")</f>
        <v/>
      </c>
      <c r="T1126" s="315" t="str">
        <f>IFERROR(__xludf.DUMMYFUNCTION("if(S1126="""",C1126,if(not(iserror(index(split(C1126, "" ""),3))), index(split(C1126, "" ""),3),index(split(C1126, "" ""),2)))"),"")</f>
        <v/>
      </c>
      <c r="U1126" s="38" t="b">
        <f t="shared" si="34"/>
        <v>0</v>
      </c>
      <c r="V1126" s="38"/>
      <c r="W1126" s="40"/>
      <c r="X1126" s="40"/>
      <c r="Y1126" s="38"/>
      <c r="Z1126" s="38"/>
      <c r="AA1126" s="38"/>
      <c r="AB1126" s="38"/>
      <c r="AC1126" s="38"/>
      <c r="AD1126" s="38"/>
      <c r="AE1126" s="38"/>
      <c r="AF1126" s="38"/>
      <c r="AG1126" s="38"/>
      <c r="AH1126" s="38"/>
      <c r="AI1126" s="38"/>
      <c r="AJ1126" s="38"/>
      <c r="AK1126" s="38"/>
      <c r="AL1126" s="38"/>
      <c r="AM1126" s="38"/>
      <c r="AN1126" s="38"/>
      <c r="AO1126" s="38"/>
      <c r="AP1126" s="38"/>
      <c r="AQ1126" s="38"/>
      <c r="AR1126" s="38"/>
      <c r="AS1126" s="38"/>
      <c r="AT1126" s="38"/>
      <c r="AU1126" s="38"/>
      <c r="AV1126" s="38"/>
      <c r="AW1126" s="38"/>
      <c r="AX1126" s="38"/>
      <c r="AY1126" s="38"/>
      <c r="AZ1126" s="38"/>
      <c r="BA1126" s="38"/>
      <c r="BB1126" s="38"/>
      <c r="BC1126" s="38"/>
      <c r="BD1126" s="38"/>
      <c r="BE1126" s="38"/>
      <c r="BF1126" s="38"/>
      <c r="BG1126" s="38"/>
      <c r="BH1126" s="38"/>
      <c r="BI1126" s="38"/>
      <c r="BJ1126" s="38"/>
      <c r="BK1126" s="38"/>
      <c r="BL1126" s="38"/>
      <c r="BM1126" s="38"/>
      <c r="BN1126" s="38"/>
      <c r="BO1126" s="38"/>
      <c r="BP1126" s="38"/>
      <c r="BQ1126" s="38"/>
    </row>
    <row r="1127">
      <c r="A1127" s="58"/>
      <c r="B1127" s="341"/>
      <c r="C1127" s="60"/>
      <c r="D1127" s="60"/>
      <c r="E1127" s="58"/>
      <c r="F1127" s="58"/>
      <c r="G1127" s="58"/>
      <c r="H1127" s="33" t="str">
        <f t="shared" si="33"/>
        <v/>
      </c>
      <c r="I1127" s="58"/>
      <c r="J1127" s="58"/>
      <c r="K1127" s="58"/>
      <c r="L1127" s="58"/>
      <c r="M1127" s="80"/>
      <c r="N1127" s="77"/>
      <c r="O1127" s="58"/>
      <c r="P1127" s="58"/>
      <c r="Q1127" s="84"/>
      <c r="R1127" s="62"/>
      <c r="S1127" s="37" t="str">
        <f>IFERROR(__xludf.DUMMYFUNCTION("if(not(iserror(index(split(C1127, "" ""),2))), index(split(C1127, "" ""),1),"""")"),"")</f>
        <v/>
      </c>
      <c r="T1127" s="315" t="str">
        <f>IFERROR(__xludf.DUMMYFUNCTION("if(S1127="""",C1127,if(not(iserror(index(split(C1127, "" ""),3))), index(split(C1127, "" ""),3),index(split(C1127, "" ""),2)))"),"")</f>
        <v/>
      </c>
      <c r="U1127" s="38" t="b">
        <f t="shared" si="34"/>
        <v>0</v>
      </c>
      <c r="V1127" s="38"/>
      <c r="W1127" s="40"/>
      <c r="X1127" s="40"/>
      <c r="Y1127" s="38"/>
      <c r="Z1127" s="38"/>
      <c r="AA1127" s="38"/>
      <c r="AB1127" s="38"/>
      <c r="AC1127" s="38"/>
      <c r="AD1127" s="38"/>
      <c r="AE1127" s="38"/>
      <c r="AF1127" s="38"/>
      <c r="AG1127" s="38"/>
      <c r="AH1127" s="38"/>
      <c r="AI1127" s="38"/>
      <c r="AJ1127" s="38"/>
      <c r="AK1127" s="38"/>
      <c r="AL1127" s="38"/>
      <c r="AM1127" s="38"/>
      <c r="AN1127" s="38"/>
      <c r="AO1127" s="38"/>
      <c r="AP1127" s="38"/>
      <c r="AQ1127" s="38"/>
      <c r="AR1127" s="38"/>
      <c r="AS1127" s="38"/>
      <c r="AT1127" s="38"/>
      <c r="AU1127" s="38"/>
      <c r="AV1127" s="38"/>
      <c r="AW1127" s="38"/>
      <c r="AX1127" s="38"/>
      <c r="AY1127" s="38"/>
      <c r="AZ1127" s="38"/>
      <c r="BA1127" s="38"/>
      <c r="BB1127" s="38"/>
      <c r="BC1127" s="38"/>
      <c r="BD1127" s="38"/>
      <c r="BE1127" s="38"/>
      <c r="BF1127" s="38"/>
      <c r="BG1127" s="38"/>
      <c r="BH1127" s="38"/>
      <c r="BI1127" s="38"/>
      <c r="BJ1127" s="38"/>
      <c r="BK1127" s="38"/>
      <c r="BL1127" s="38"/>
      <c r="BM1127" s="38"/>
      <c r="BN1127" s="38"/>
      <c r="BO1127" s="38"/>
      <c r="BP1127" s="38"/>
      <c r="BQ1127" s="38"/>
    </row>
    <row r="1128">
      <c r="A1128" s="58"/>
      <c r="B1128" s="341"/>
      <c r="C1128" s="60"/>
      <c r="D1128" s="60"/>
      <c r="E1128" s="58"/>
      <c r="F1128" s="58"/>
      <c r="G1128" s="58"/>
      <c r="H1128" s="33" t="str">
        <f t="shared" si="33"/>
        <v/>
      </c>
      <c r="I1128" s="58"/>
      <c r="J1128" s="58"/>
      <c r="K1128" s="58"/>
      <c r="L1128" s="58"/>
      <c r="M1128" s="80"/>
      <c r="N1128" s="77"/>
      <c r="O1128" s="58"/>
      <c r="P1128" s="58"/>
      <c r="Q1128" s="84"/>
      <c r="R1128" s="62"/>
      <c r="S1128" s="37" t="str">
        <f>IFERROR(__xludf.DUMMYFUNCTION("if(not(iserror(index(split(C1128, "" ""),2))), index(split(C1128, "" ""),1),"""")"),"")</f>
        <v/>
      </c>
      <c r="T1128" s="315" t="str">
        <f>IFERROR(__xludf.DUMMYFUNCTION("if(S1128="""",C1128,if(not(iserror(index(split(C1128, "" ""),3))), index(split(C1128, "" ""),3),index(split(C1128, "" ""),2)))"),"")</f>
        <v/>
      </c>
      <c r="U1128" s="38" t="b">
        <f t="shared" si="34"/>
        <v>0</v>
      </c>
      <c r="V1128" s="38"/>
      <c r="W1128" s="40"/>
      <c r="X1128" s="40"/>
      <c r="Y1128" s="38"/>
      <c r="Z1128" s="38"/>
      <c r="AA1128" s="38"/>
      <c r="AB1128" s="38"/>
      <c r="AC1128" s="38"/>
      <c r="AD1128" s="38"/>
      <c r="AE1128" s="38"/>
      <c r="AF1128" s="38"/>
      <c r="AG1128" s="38"/>
      <c r="AH1128" s="38"/>
      <c r="AI1128" s="38"/>
      <c r="AJ1128" s="38"/>
      <c r="AK1128" s="38"/>
      <c r="AL1128" s="38"/>
      <c r="AM1128" s="38"/>
      <c r="AN1128" s="38"/>
      <c r="AO1128" s="38"/>
      <c r="AP1128" s="38"/>
      <c r="AQ1128" s="38"/>
      <c r="AR1128" s="38"/>
      <c r="AS1128" s="38"/>
      <c r="AT1128" s="38"/>
      <c r="AU1128" s="38"/>
      <c r="AV1128" s="38"/>
      <c r="AW1128" s="38"/>
      <c r="AX1128" s="38"/>
      <c r="AY1128" s="38"/>
      <c r="AZ1128" s="38"/>
      <c r="BA1128" s="38"/>
      <c r="BB1128" s="38"/>
      <c r="BC1128" s="38"/>
      <c r="BD1128" s="38"/>
      <c r="BE1128" s="38"/>
      <c r="BF1128" s="38"/>
      <c r="BG1128" s="38"/>
      <c r="BH1128" s="38"/>
      <c r="BI1128" s="38"/>
      <c r="BJ1128" s="38"/>
      <c r="BK1128" s="38"/>
      <c r="BL1128" s="38"/>
      <c r="BM1128" s="38"/>
      <c r="BN1128" s="38"/>
      <c r="BO1128" s="38"/>
      <c r="BP1128" s="38"/>
      <c r="BQ1128" s="38"/>
    </row>
    <row r="1129">
      <c r="A1129" s="58"/>
      <c r="B1129" s="341"/>
      <c r="C1129" s="60"/>
      <c r="D1129" s="60"/>
      <c r="E1129" s="58"/>
      <c r="F1129" s="58"/>
      <c r="G1129" s="58"/>
      <c r="H1129" s="33" t="str">
        <f t="shared" si="33"/>
        <v/>
      </c>
      <c r="I1129" s="58"/>
      <c r="J1129" s="58"/>
      <c r="K1129" s="58"/>
      <c r="L1129" s="58"/>
      <c r="M1129" s="80"/>
      <c r="N1129" s="77"/>
      <c r="O1129" s="62"/>
      <c r="P1129" s="62"/>
      <c r="Q1129" s="62"/>
      <c r="R1129" s="62"/>
      <c r="S1129" s="37" t="str">
        <f>IFERROR(__xludf.DUMMYFUNCTION("if(not(iserror(index(split(C1129, "" ""),2))), index(split(C1129, "" ""),1),"""")"),"")</f>
        <v/>
      </c>
      <c r="T1129" s="315" t="str">
        <f>IFERROR(__xludf.DUMMYFUNCTION("if(S1129="""",C1129,if(not(iserror(index(split(C1129, "" ""),3))), index(split(C1129, "" ""),3),index(split(C1129, "" ""),2)))"),"")</f>
        <v/>
      </c>
      <c r="U1129" s="38" t="b">
        <f t="shared" si="34"/>
        <v>0</v>
      </c>
      <c r="V1129" s="38"/>
      <c r="W1129" s="40"/>
      <c r="X1129" s="40"/>
      <c r="Y1129" s="38"/>
      <c r="Z1129" s="38"/>
      <c r="AA1129" s="38"/>
      <c r="AB1129" s="38"/>
      <c r="AC1129" s="38"/>
      <c r="AD1129" s="38"/>
      <c r="AE1129" s="38"/>
      <c r="AF1129" s="38"/>
      <c r="AG1129" s="38"/>
      <c r="AH1129" s="38"/>
      <c r="AI1129" s="38"/>
      <c r="AJ1129" s="38"/>
      <c r="AK1129" s="38"/>
      <c r="AL1129" s="38"/>
      <c r="AM1129" s="38"/>
      <c r="AN1129" s="38"/>
      <c r="AO1129" s="38"/>
      <c r="AP1129" s="38"/>
      <c r="AQ1129" s="38"/>
      <c r="AR1129" s="38"/>
      <c r="AS1129" s="38"/>
      <c r="AT1129" s="38"/>
      <c r="AU1129" s="38"/>
      <c r="AV1129" s="38"/>
      <c r="AW1129" s="38"/>
      <c r="AX1129" s="38"/>
      <c r="AY1129" s="38"/>
      <c r="AZ1129" s="38"/>
      <c r="BA1129" s="38"/>
      <c r="BB1129" s="38"/>
      <c r="BC1129" s="38"/>
      <c r="BD1129" s="38"/>
      <c r="BE1129" s="38"/>
      <c r="BF1129" s="38"/>
      <c r="BG1129" s="38"/>
      <c r="BH1129" s="38"/>
      <c r="BI1129" s="38"/>
      <c r="BJ1129" s="38"/>
      <c r="BK1129" s="38"/>
      <c r="BL1129" s="38"/>
      <c r="BM1129" s="38"/>
      <c r="BN1129" s="38"/>
      <c r="BO1129" s="38"/>
      <c r="BP1129" s="38"/>
      <c r="BQ1129" s="38"/>
    </row>
    <row r="1130">
      <c r="A1130" s="58"/>
      <c r="B1130" s="341"/>
      <c r="C1130" s="60"/>
      <c r="D1130" s="60"/>
      <c r="E1130" s="58"/>
      <c r="F1130" s="58"/>
      <c r="G1130" s="58"/>
      <c r="H1130" s="33" t="str">
        <f t="shared" si="33"/>
        <v/>
      </c>
      <c r="I1130" s="58"/>
      <c r="J1130" s="58"/>
      <c r="K1130" s="58"/>
      <c r="L1130" s="58"/>
      <c r="M1130" s="80"/>
      <c r="N1130" s="77"/>
      <c r="O1130" s="62"/>
      <c r="P1130" s="62"/>
      <c r="Q1130" s="62"/>
      <c r="R1130" s="62"/>
      <c r="S1130" s="37" t="str">
        <f>IFERROR(__xludf.DUMMYFUNCTION("if(not(iserror(index(split(C1130, "" ""),2))), index(split(C1130, "" ""),1),"""")"),"")</f>
        <v/>
      </c>
      <c r="T1130" s="315" t="str">
        <f>IFERROR(__xludf.DUMMYFUNCTION("if(S1130="""",C1130,if(not(iserror(index(split(C1130, "" ""),3))), index(split(C1130, "" ""),3),index(split(C1130, "" ""),2)))"),"")</f>
        <v/>
      </c>
      <c r="U1130" s="38" t="b">
        <f t="shared" si="34"/>
        <v>0</v>
      </c>
      <c r="V1130" s="38"/>
      <c r="W1130" s="40"/>
      <c r="X1130" s="40"/>
      <c r="Y1130" s="38"/>
      <c r="Z1130" s="38"/>
      <c r="AA1130" s="38"/>
      <c r="AB1130" s="38"/>
      <c r="AC1130" s="38"/>
      <c r="AD1130" s="38"/>
      <c r="AE1130" s="38"/>
      <c r="AF1130" s="38"/>
      <c r="AG1130" s="38"/>
      <c r="AH1130" s="38"/>
      <c r="AI1130" s="38"/>
      <c r="AJ1130" s="38"/>
      <c r="AK1130" s="38"/>
      <c r="AL1130" s="38"/>
      <c r="AM1130" s="38"/>
      <c r="AN1130" s="38"/>
      <c r="AO1130" s="38"/>
      <c r="AP1130" s="38"/>
      <c r="AQ1130" s="38"/>
      <c r="AR1130" s="38"/>
      <c r="AS1130" s="38"/>
      <c r="AT1130" s="38"/>
      <c r="AU1130" s="38"/>
      <c r="AV1130" s="38"/>
      <c r="AW1130" s="38"/>
      <c r="AX1130" s="38"/>
      <c r="AY1130" s="38"/>
      <c r="AZ1130" s="38"/>
      <c r="BA1130" s="38"/>
      <c r="BB1130" s="38"/>
      <c r="BC1130" s="38"/>
      <c r="BD1130" s="38"/>
      <c r="BE1130" s="38"/>
      <c r="BF1130" s="38"/>
      <c r="BG1130" s="38"/>
      <c r="BH1130" s="38"/>
      <c r="BI1130" s="38"/>
      <c r="BJ1130" s="38"/>
      <c r="BK1130" s="38"/>
      <c r="BL1130" s="38"/>
      <c r="BM1130" s="38"/>
      <c r="BN1130" s="38"/>
      <c r="BO1130" s="38"/>
      <c r="BP1130" s="38"/>
      <c r="BQ1130" s="38"/>
    </row>
    <row r="1131">
      <c r="A1131" s="58"/>
      <c r="B1131" s="341"/>
      <c r="C1131" s="60"/>
      <c r="D1131" s="60"/>
      <c r="E1131" s="58"/>
      <c r="F1131" s="58"/>
      <c r="G1131" s="58"/>
      <c r="H1131" s="33" t="str">
        <f t="shared" si="33"/>
        <v/>
      </c>
      <c r="I1131" s="58"/>
      <c r="J1131" s="58"/>
      <c r="K1131" s="58"/>
      <c r="L1131" s="58"/>
      <c r="M1131" s="80"/>
      <c r="N1131" s="77"/>
      <c r="O1131" s="62"/>
      <c r="P1131" s="62"/>
      <c r="Q1131" s="62"/>
      <c r="R1131" s="62"/>
      <c r="S1131" s="37" t="str">
        <f>IFERROR(__xludf.DUMMYFUNCTION("if(not(iserror(index(split(C1131, "" ""),2))), index(split(C1131, "" ""),1),"""")"),"")</f>
        <v/>
      </c>
      <c r="T1131" s="315" t="str">
        <f>IFERROR(__xludf.DUMMYFUNCTION("if(S1131="""",C1131,if(not(iserror(index(split(C1131, "" ""),3))), index(split(C1131, "" ""),3),index(split(C1131, "" ""),2)))"),"")</f>
        <v/>
      </c>
      <c r="U1131" s="38" t="b">
        <f t="shared" si="34"/>
        <v>0</v>
      </c>
      <c r="V1131" s="38"/>
      <c r="W1131" s="40"/>
      <c r="X1131" s="40"/>
      <c r="Y1131" s="38"/>
      <c r="Z1131" s="38"/>
      <c r="AA1131" s="38"/>
      <c r="AB1131" s="38"/>
      <c r="AC1131" s="38"/>
      <c r="AD1131" s="38"/>
      <c r="AE1131" s="38"/>
      <c r="AF1131" s="38"/>
      <c r="AG1131" s="38"/>
      <c r="AH1131" s="38"/>
      <c r="AI1131" s="38"/>
      <c r="AJ1131" s="38"/>
      <c r="AK1131" s="38"/>
      <c r="AL1131" s="38"/>
      <c r="AM1131" s="38"/>
      <c r="AN1131" s="38"/>
      <c r="AO1131" s="38"/>
      <c r="AP1131" s="38"/>
      <c r="AQ1131" s="38"/>
      <c r="AR1131" s="38"/>
      <c r="AS1131" s="38"/>
      <c r="AT1131" s="38"/>
      <c r="AU1131" s="38"/>
      <c r="AV1131" s="38"/>
      <c r="AW1131" s="38"/>
      <c r="AX1131" s="38"/>
      <c r="AY1131" s="38"/>
      <c r="AZ1131" s="38"/>
      <c r="BA1131" s="38"/>
      <c r="BB1131" s="38"/>
      <c r="BC1131" s="38"/>
      <c r="BD1131" s="38"/>
      <c r="BE1131" s="38"/>
      <c r="BF1131" s="38"/>
      <c r="BG1131" s="38"/>
      <c r="BH1131" s="38"/>
      <c r="BI1131" s="38"/>
      <c r="BJ1131" s="38"/>
      <c r="BK1131" s="38"/>
      <c r="BL1131" s="38"/>
      <c r="BM1131" s="38"/>
      <c r="BN1131" s="38"/>
      <c r="BO1131" s="38"/>
      <c r="BP1131" s="38"/>
      <c r="BQ1131" s="38"/>
    </row>
    <row r="1132">
      <c r="A1132" s="58"/>
      <c r="B1132" s="341"/>
      <c r="C1132" s="60"/>
      <c r="D1132" s="60"/>
      <c r="E1132" s="58"/>
      <c r="F1132" s="58"/>
      <c r="G1132" s="58"/>
      <c r="H1132" s="33" t="str">
        <f t="shared" si="33"/>
        <v/>
      </c>
      <c r="I1132" s="58"/>
      <c r="J1132" s="58"/>
      <c r="K1132" s="58"/>
      <c r="L1132" s="58"/>
      <c r="M1132" s="80"/>
      <c r="N1132" s="77"/>
      <c r="O1132" s="62"/>
      <c r="P1132" s="62"/>
      <c r="Q1132" s="62"/>
      <c r="R1132" s="62"/>
      <c r="S1132" s="37" t="str">
        <f>IFERROR(__xludf.DUMMYFUNCTION("if(not(iserror(index(split(C1132, "" ""),2))), index(split(C1132, "" ""),1),"""")"),"")</f>
        <v/>
      </c>
      <c r="T1132" s="315" t="str">
        <f>IFERROR(__xludf.DUMMYFUNCTION("if(S1132="""",C1132,if(not(iserror(index(split(C1132, "" ""),3))), index(split(C1132, "" ""),3),index(split(C1132, "" ""),2)))"),"")</f>
        <v/>
      </c>
      <c r="U1132" s="38" t="b">
        <f t="shared" si="34"/>
        <v>0</v>
      </c>
      <c r="V1132" s="38"/>
      <c r="W1132" s="40"/>
      <c r="X1132" s="40"/>
      <c r="Y1132" s="38"/>
      <c r="Z1132" s="38"/>
      <c r="AA1132" s="38"/>
      <c r="AB1132" s="38"/>
      <c r="AC1132" s="38"/>
      <c r="AD1132" s="38"/>
      <c r="AE1132" s="38"/>
      <c r="AF1132" s="38"/>
      <c r="AG1132" s="38"/>
      <c r="AH1132" s="38"/>
      <c r="AI1132" s="38"/>
      <c r="AJ1132" s="38"/>
      <c r="AK1132" s="38"/>
      <c r="AL1132" s="38"/>
      <c r="AM1132" s="38"/>
      <c r="AN1132" s="38"/>
      <c r="AO1132" s="38"/>
      <c r="AP1132" s="38"/>
      <c r="AQ1132" s="38"/>
      <c r="AR1132" s="38"/>
      <c r="AS1132" s="38"/>
      <c r="AT1132" s="38"/>
      <c r="AU1132" s="38"/>
      <c r="AV1132" s="38"/>
      <c r="AW1132" s="38"/>
      <c r="AX1132" s="38"/>
      <c r="AY1132" s="38"/>
      <c r="AZ1132" s="38"/>
      <c r="BA1132" s="38"/>
      <c r="BB1132" s="38"/>
      <c r="BC1132" s="38"/>
      <c r="BD1132" s="38"/>
      <c r="BE1132" s="38"/>
      <c r="BF1132" s="38"/>
      <c r="BG1132" s="38"/>
      <c r="BH1132" s="38"/>
      <c r="BI1132" s="38"/>
      <c r="BJ1132" s="38"/>
      <c r="BK1132" s="38"/>
      <c r="BL1132" s="38"/>
      <c r="BM1132" s="38"/>
      <c r="BN1132" s="38"/>
      <c r="BO1132" s="38"/>
      <c r="BP1132" s="38"/>
      <c r="BQ1132" s="38"/>
    </row>
    <row r="1133">
      <c r="A1133" s="58"/>
      <c r="B1133" s="341"/>
      <c r="C1133" s="60"/>
      <c r="D1133" s="60"/>
      <c r="E1133" s="58"/>
      <c r="F1133" s="58"/>
      <c r="G1133" s="58"/>
      <c r="H1133" s="33" t="str">
        <f t="shared" si="33"/>
        <v/>
      </c>
      <c r="I1133" s="58"/>
      <c r="J1133" s="58"/>
      <c r="K1133" s="58"/>
      <c r="L1133" s="58"/>
      <c r="M1133" s="80"/>
      <c r="N1133" s="77"/>
      <c r="O1133" s="62"/>
      <c r="P1133" s="62"/>
      <c r="Q1133" s="62"/>
      <c r="R1133" s="62"/>
      <c r="S1133" s="37" t="str">
        <f>IFERROR(__xludf.DUMMYFUNCTION("if(not(iserror(index(split(C1133, "" ""),2))), index(split(C1133, "" ""),1),"""")"),"")</f>
        <v/>
      </c>
      <c r="T1133" s="315" t="str">
        <f>IFERROR(__xludf.DUMMYFUNCTION("if(S1133="""",C1133,if(not(iserror(index(split(C1133, "" ""),3))), index(split(C1133, "" ""),3),index(split(C1133, "" ""),2)))"),"")</f>
        <v/>
      </c>
      <c r="U1133" s="38" t="b">
        <f t="shared" si="34"/>
        <v>0</v>
      </c>
      <c r="V1133" s="38"/>
      <c r="W1133" s="40"/>
      <c r="X1133" s="40"/>
      <c r="Y1133" s="38"/>
      <c r="Z1133" s="38"/>
      <c r="AA1133" s="38"/>
      <c r="AB1133" s="38"/>
      <c r="AC1133" s="38"/>
      <c r="AD1133" s="38"/>
      <c r="AE1133" s="38"/>
      <c r="AF1133" s="38"/>
      <c r="AG1133" s="38"/>
      <c r="AH1133" s="38"/>
      <c r="AI1133" s="38"/>
      <c r="AJ1133" s="38"/>
      <c r="AK1133" s="38"/>
      <c r="AL1133" s="38"/>
      <c r="AM1133" s="38"/>
      <c r="AN1133" s="38"/>
      <c r="AO1133" s="38"/>
      <c r="AP1133" s="38"/>
      <c r="AQ1133" s="38"/>
      <c r="AR1133" s="38"/>
      <c r="AS1133" s="38"/>
      <c r="AT1133" s="38"/>
      <c r="AU1133" s="38"/>
      <c r="AV1133" s="38"/>
      <c r="AW1133" s="38"/>
      <c r="AX1133" s="38"/>
      <c r="AY1133" s="38"/>
      <c r="AZ1133" s="38"/>
      <c r="BA1133" s="38"/>
      <c r="BB1133" s="38"/>
      <c r="BC1133" s="38"/>
      <c r="BD1133" s="38"/>
      <c r="BE1133" s="38"/>
      <c r="BF1133" s="38"/>
      <c r="BG1133" s="38"/>
      <c r="BH1133" s="38"/>
      <c r="BI1133" s="38"/>
      <c r="BJ1133" s="38"/>
      <c r="BK1133" s="38"/>
      <c r="BL1133" s="38"/>
      <c r="BM1133" s="38"/>
      <c r="BN1133" s="38"/>
      <c r="BO1133" s="38"/>
      <c r="BP1133" s="38"/>
      <c r="BQ1133" s="38"/>
    </row>
    <row r="1134">
      <c r="A1134" s="58"/>
      <c r="B1134" s="341"/>
      <c r="C1134" s="60"/>
      <c r="D1134" s="60"/>
      <c r="E1134" s="58"/>
      <c r="F1134" s="58"/>
      <c r="G1134" s="58"/>
      <c r="H1134" s="33" t="str">
        <f t="shared" si="33"/>
        <v/>
      </c>
      <c r="I1134" s="58"/>
      <c r="J1134" s="58"/>
      <c r="K1134" s="58"/>
      <c r="L1134" s="58"/>
      <c r="M1134" s="80"/>
      <c r="N1134" s="77"/>
      <c r="O1134" s="62"/>
      <c r="P1134" s="62"/>
      <c r="Q1134" s="62"/>
      <c r="R1134" s="62"/>
      <c r="S1134" s="37" t="str">
        <f>IFERROR(__xludf.DUMMYFUNCTION("if(not(iserror(index(split(C1134, "" ""),2))), index(split(C1134, "" ""),1),"""")"),"")</f>
        <v/>
      </c>
      <c r="T1134" s="315" t="str">
        <f>IFERROR(__xludf.DUMMYFUNCTION("if(S1134="""",C1134,if(not(iserror(index(split(C1134, "" ""),3))), index(split(C1134, "" ""),3),index(split(C1134, "" ""),2)))"),"")</f>
        <v/>
      </c>
      <c r="U1134" s="38" t="b">
        <f t="shared" si="34"/>
        <v>0</v>
      </c>
      <c r="V1134" s="38"/>
      <c r="W1134" s="40"/>
      <c r="X1134" s="40"/>
      <c r="Y1134" s="38"/>
      <c r="Z1134" s="38"/>
      <c r="AA1134" s="38"/>
      <c r="AB1134" s="38"/>
      <c r="AC1134" s="38"/>
      <c r="AD1134" s="38"/>
      <c r="AE1134" s="38"/>
      <c r="AF1134" s="38"/>
      <c r="AG1134" s="38"/>
      <c r="AH1134" s="38"/>
      <c r="AI1134" s="38"/>
      <c r="AJ1134" s="38"/>
      <c r="AK1134" s="38"/>
      <c r="AL1134" s="38"/>
      <c r="AM1134" s="38"/>
      <c r="AN1134" s="38"/>
      <c r="AO1134" s="38"/>
      <c r="AP1134" s="38"/>
      <c r="AQ1134" s="38"/>
      <c r="AR1134" s="38"/>
      <c r="AS1134" s="38"/>
      <c r="AT1134" s="38"/>
      <c r="AU1134" s="38"/>
      <c r="AV1134" s="38"/>
      <c r="AW1134" s="38"/>
      <c r="AX1134" s="38"/>
      <c r="AY1134" s="38"/>
      <c r="AZ1134" s="38"/>
      <c r="BA1134" s="38"/>
      <c r="BB1134" s="38"/>
      <c r="BC1134" s="38"/>
      <c r="BD1134" s="38"/>
      <c r="BE1134" s="38"/>
      <c r="BF1134" s="38"/>
      <c r="BG1134" s="38"/>
      <c r="BH1134" s="38"/>
      <c r="BI1134" s="38"/>
      <c r="BJ1134" s="38"/>
      <c r="BK1134" s="38"/>
      <c r="BL1134" s="38"/>
      <c r="BM1134" s="38"/>
      <c r="BN1134" s="38"/>
      <c r="BO1134" s="38"/>
      <c r="BP1134" s="38"/>
      <c r="BQ1134" s="38"/>
    </row>
    <row r="1135">
      <c r="A1135" s="58"/>
      <c r="B1135" s="341"/>
      <c r="C1135" s="60"/>
      <c r="D1135" s="60"/>
      <c r="E1135" s="58"/>
      <c r="F1135" s="58"/>
      <c r="G1135" s="58"/>
      <c r="H1135" s="33" t="str">
        <f t="shared" si="33"/>
        <v/>
      </c>
      <c r="I1135" s="58"/>
      <c r="J1135" s="58"/>
      <c r="K1135" s="58"/>
      <c r="L1135" s="58"/>
      <c r="M1135" s="80"/>
      <c r="N1135" s="77"/>
      <c r="O1135" s="62"/>
      <c r="P1135" s="62"/>
      <c r="Q1135" s="62"/>
      <c r="R1135" s="62"/>
      <c r="S1135" s="37" t="str">
        <f>IFERROR(__xludf.DUMMYFUNCTION("if(not(iserror(index(split(C1135, "" ""),2))), index(split(C1135, "" ""),1),"""")"),"")</f>
        <v/>
      </c>
      <c r="T1135" s="315" t="str">
        <f>IFERROR(__xludf.DUMMYFUNCTION("if(S1135="""",C1135,if(not(iserror(index(split(C1135, "" ""),3))), index(split(C1135, "" ""),3),index(split(C1135, "" ""),2)))"),"")</f>
        <v/>
      </c>
      <c r="U1135" s="38" t="b">
        <f t="shared" si="34"/>
        <v>0</v>
      </c>
      <c r="V1135" s="38"/>
      <c r="W1135" s="40"/>
      <c r="X1135" s="40"/>
      <c r="Y1135" s="38"/>
      <c r="Z1135" s="38"/>
      <c r="AA1135" s="38"/>
      <c r="AB1135" s="38"/>
      <c r="AC1135" s="38"/>
      <c r="AD1135" s="38"/>
      <c r="AE1135" s="38"/>
      <c r="AF1135" s="38"/>
      <c r="AG1135" s="38"/>
      <c r="AH1135" s="38"/>
      <c r="AI1135" s="38"/>
      <c r="AJ1135" s="38"/>
      <c r="AK1135" s="38"/>
      <c r="AL1135" s="38"/>
      <c r="AM1135" s="38"/>
      <c r="AN1135" s="38"/>
      <c r="AO1135" s="38"/>
      <c r="AP1135" s="38"/>
      <c r="AQ1135" s="38"/>
      <c r="AR1135" s="38"/>
      <c r="AS1135" s="38"/>
      <c r="AT1135" s="38"/>
      <c r="AU1135" s="38"/>
      <c r="AV1135" s="38"/>
      <c r="AW1135" s="38"/>
      <c r="AX1135" s="38"/>
      <c r="AY1135" s="38"/>
      <c r="AZ1135" s="38"/>
      <c r="BA1135" s="38"/>
      <c r="BB1135" s="38"/>
      <c r="BC1135" s="38"/>
      <c r="BD1135" s="38"/>
      <c r="BE1135" s="38"/>
      <c r="BF1135" s="38"/>
      <c r="BG1135" s="38"/>
      <c r="BH1135" s="38"/>
      <c r="BI1135" s="38"/>
      <c r="BJ1135" s="38"/>
      <c r="BK1135" s="38"/>
      <c r="BL1135" s="38"/>
      <c r="BM1135" s="38"/>
      <c r="BN1135" s="38"/>
      <c r="BO1135" s="38"/>
      <c r="BP1135" s="38"/>
      <c r="BQ1135" s="38"/>
    </row>
    <row r="1136">
      <c r="A1136" s="58"/>
      <c r="B1136" s="341"/>
      <c r="C1136" s="60"/>
      <c r="D1136" s="60"/>
      <c r="E1136" s="58"/>
      <c r="F1136" s="58"/>
      <c r="G1136" s="58"/>
      <c r="H1136" s="33" t="str">
        <f t="shared" si="33"/>
        <v/>
      </c>
      <c r="I1136" s="58"/>
      <c r="J1136" s="58"/>
      <c r="K1136" s="58"/>
      <c r="L1136" s="58"/>
      <c r="M1136" s="80"/>
      <c r="N1136" s="77"/>
      <c r="O1136" s="62"/>
      <c r="P1136" s="62"/>
      <c r="Q1136" s="62"/>
      <c r="R1136" s="62"/>
      <c r="S1136" s="37" t="str">
        <f>IFERROR(__xludf.DUMMYFUNCTION("if(not(iserror(index(split(C1136, "" ""),2))), index(split(C1136, "" ""),1),"""")"),"")</f>
        <v/>
      </c>
      <c r="T1136" s="315" t="str">
        <f>IFERROR(__xludf.DUMMYFUNCTION("if(S1136="""",C1136,if(not(iserror(index(split(C1136, "" ""),3))), index(split(C1136, "" ""),3),index(split(C1136, "" ""),2)))"),"")</f>
        <v/>
      </c>
      <c r="U1136" s="38" t="b">
        <f t="shared" si="34"/>
        <v>0</v>
      </c>
      <c r="V1136" s="38"/>
      <c r="W1136" s="40"/>
      <c r="X1136" s="40"/>
      <c r="Y1136" s="38"/>
      <c r="Z1136" s="38"/>
      <c r="AA1136" s="38"/>
      <c r="AB1136" s="38"/>
      <c r="AC1136" s="38"/>
      <c r="AD1136" s="38"/>
      <c r="AE1136" s="38"/>
      <c r="AF1136" s="38"/>
      <c r="AG1136" s="38"/>
      <c r="AH1136" s="38"/>
      <c r="AI1136" s="38"/>
      <c r="AJ1136" s="38"/>
      <c r="AK1136" s="38"/>
      <c r="AL1136" s="38"/>
      <c r="AM1136" s="38"/>
      <c r="AN1136" s="38"/>
      <c r="AO1136" s="38"/>
      <c r="AP1136" s="38"/>
      <c r="AQ1136" s="38"/>
      <c r="AR1136" s="38"/>
      <c r="AS1136" s="38"/>
      <c r="AT1136" s="38"/>
      <c r="AU1136" s="38"/>
      <c r="AV1136" s="38"/>
      <c r="AW1136" s="38"/>
      <c r="AX1136" s="38"/>
      <c r="AY1136" s="38"/>
      <c r="AZ1136" s="38"/>
      <c r="BA1136" s="38"/>
      <c r="BB1136" s="38"/>
      <c r="BC1136" s="38"/>
      <c r="BD1136" s="38"/>
      <c r="BE1136" s="38"/>
      <c r="BF1136" s="38"/>
      <c r="BG1136" s="38"/>
      <c r="BH1136" s="38"/>
      <c r="BI1136" s="38"/>
      <c r="BJ1136" s="38"/>
      <c r="BK1136" s="38"/>
      <c r="BL1136" s="38"/>
      <c r="BM1136" s="38"/>
      <c r="BN1136" s="38"/>
      <c r="BO1136" s="38"/>
      <c r="BP1136" s="38"/>
      <c r="BQ1136" s="38"/>
    </row>
    <row r="1137">
      <c r="A1137" s="58"/>
      <c r="B1137" s="341"/>
      <c r="C1137" s="60"/>
      <c r="D1137" s="60"/>
      <c r="E1137" s="58"/>
      <c r="F1137" s="58"/>
      <c r="G1137" s="58"/>
      <c r="H1137" s="33" t="str">
        <f t="shared" si="33"/>
        <v/>
      </c>
      <c r="I1137" s="58"/>
      <c r="J1137" s="58"/>
      <c r="K1137" s="58"/>
      <c r="L1137" s="58"/>
      <c r="M1137" s="80"/>
      <c r="N1137" s="80"/>
      <c r="Q1137" s="84"/>
      <c r="R1137" s="62"/>
      <c r="S1137" s="37" t="str">
        <f>IFERROR(__xludf.DUMMYFUNCTION("if(not(iserror(index(split(C1137, "" ""),2))), index(split(C1137, "" ""),1),"""")"),"")</f>
        <v/>
      </c>
      <c r="T1137" s="315" t="str">
        <f>IFERROR(__xludf.DUMMYFUNCTION("if(S1137="""",C1137,if(not(iserror(index(split(C1137, "" ""),3))), index(split(C1137, "" ""),3),index(split(C1137, "" ""),2)))"),"")</f>
        <v/>
      </c>
      <c r="U1137" s="38" t="b">
        <f t="shared" si="34"/>
        <v>0</v>
      </c>
      <c r="V1137" s="38"/>
      <c r="W1137" s="40"/>
      <c r="X1137" s="40"/>
      <c r="Y1137" s="38"/>
      <c r="Z1137" s="38"/>
      <c r="AA1137" s="38"/>
      <c r="AB1137" s="38"/>
      <c r="AC1137" s="38"/>
      <c r="AD1137" s="38"/>
      <c r="AE1137" s="38"/>
      <c r="AF1137" s="38"/>
      <c r="AG1137" s="38"/>
      <c r="AH1137" s="38"/>
      <c r="AI1137" s="38"/>
      <c r="AJ1137" s="38"/>
      <c r="AK1137" s="38"/>
      <c r="AL1137" s="38"/>
      <c r="AM1137" s="38"/>
      <c r="AN1137" s="38"/>
      <c r="AO1137" s="38"/>
      <c r="AP1137" s="38"/>
      <c r="AQ1137" s="38"/>
      <c r="AR1137" s="38"/>
      <c r="AS1137" s="38"/>
      <c r="AT1137" s="38"/>
      <c r="AU1137" s="38"/>
      <c r="AV1137" s="38"/>
      <c r="AW1137" s="38"/>
      <c r="AX1137" s="38"/>
      <c r="AY1137" s="38"/>
      <c r="AZ1137" s="38"/>
      <c r="BA1137" s="38"/>
      <c r="BB1137" s="38"/>
      <c r="BC1137" s="38"/>
      <c r="BD1137" s="38"/>
      <c r="BE1137" s="38"/>
      <c r="BF1137" s="38"/>
      <c r="BG1137" s="38"/>
      <c r="BH1137" s="38"/>
      <c r="BI1137" s="38"/>
      <c r="BJ1137" s="38"/>
      <c r="BK1137" s="38"/>
      <c r="BL1137" s="38"/>
      <c r="BM1137" s="38"/>
      <c r="BN1137" s="38"/>
      <c r="BO1137" s="38"/>
      <c r="BP1137" s="38"/>
      <c r="BQ1137" s="38"/>
    </row>
    <row r="1138">
      <c r="A1138" s="37"/>
      <c r="B1138" s="341"/>
      <c r="C1138" s="60"/>
      <c r="D1138" s="60"/>
      <c r="E1138" s="58"/>
      <c r="F1138" s="58"/>
      <c r="G1138" s="58"/>
      <c r="H1138" s="33" t="str">
        <f t="shared" si="33"/>
        <v/>
      </c>
      <c r="I1138" s="58"/>
      <c r="J1138" s="58"/>
      <c r="K1138" s="58"/>
      <c r="L1138" s="58"/>
      <c r="M1138" s="80"/>
      <c r="N1138" s="77"/>
      <c r="O1138" s="62"/>
      <c r="P1138" s="62"/>
      <c r="Q1138" s="62"/>
      <c r="R1138" s="62"/>
      <c r="S1138" s="37" t="str">
        <f>IFERROR(__xludf.DUMMYFUNCTION("if(not(iserror(index(split(C1138, "" ""),2))), index(split(C1138, "" ""),1),"""")"),"")</f>
        <v/>
      </c>
      <c r="T1138" s="315" t="str">
        <f>IFERROR(__xludf.DUMMYFUNCTION("if(S1138="""",C1138,if(not(iserror(index(split(C1138, "" ""),3))), index(split(C1138, "" ""),3),index(split(C1138, "" ""),2)))"),"")</f>
        <v/>
      </c>
      <c r="U1138" s="38" t="b">
        <f t="shared" si="34"/>
        <v>0</v>
      </c>
      <c r="V1138" s="38"/>
      <c r="W1138" s="40"/>
      <c r="X1138" s="40"/>
      <c r="Y1138" s="38"/>
      <c r="Z1138" s="38"/>
      <c r="AA1138" s="38"/>
      <c r="AB1138" s="38"/>
      <c r="AC1138" s="38"/>
      <c r="AD1138" s="38"/>
      <c r="AE1138" s="38"/>
      <c r="AF1138" s="38"/>
      <c r="AG1138" s="38"/>
      <c r="AH1138" s="38"/>
      <c r="AI1138" s="38"/>
      <c r="AJ1138" s="38"/>
      <c r="AK1138" s="38"/>
      <c r="AL1138" s="38"/>
      <c r="AM1138" s="38"/>
      <c r="AN1138" s="38"/>
      <c r="AO1138" s="38"/>
      <c r="AP1138" s="38"/>
      <c r="AQ1138" s="38"/>
      <c r="AR1138" s="38"/>
      <c r="AS1138" s="38"/>
      <c r="AT1138" s="38"/>
      <c r="AU1138" s="38"/>
      <c r="AV1138" s="38"/>
      <c r="AW1138" s="38"/>
      <c r="AX1138" s="38"/>
      <c r="AY1138" s="38"/>
      <c r="AZ1138" s="38"/>
      <c r="BA1138" s="38"/>
      <c r="BB1138" s="38"/>
      <c r="BC1138" s="38"/>
      <c r="BD1138" s="38"/>
      <c r="BE1138" s="38"/>
      <c r="BF1138" s="38"/>
      <c r="BG1138" s="38"/>
      <c r="BH1138" s="38"/>
      <c r="BI1138" s="38"/>
      <c r="BJ1138" s="38"/>
      <c r="BK1138" s="38"/>
      <c r="BL1138" s="38"/>
      <c r="BM1138" s="38"/>
      <c r="BN1138" s="38"/>
      <c r="BO1138" s="38"/>
      <c r="BP1138" s="38"/>
      <c r="BQ1138" s="38"/>
    </row>
    <row r="1139">
      <c r="A1139" s="58"/>
      <c r="B1139" s="341"/>
      <c r="C1139" s="60"/>
      <c r="D1139" s="60"/>
      <c r="E1139" s="58"/>
      <c r="F1139" s="58"/>
      <c r="G1139" s="58"/>
      <c r="H1139" s="33" t="str">
        <f t="shared" si="33"/>
        <v/>
      </c>
      <c r="I1139" s="58"/>
      <c r="J1139" s="58"/>
      <c r="K1139" s="58"/>
      <c r="L1139" s="58"/>
      <c r="M1139" s="80"/>
      <c r="N1139" s="77"/>
      <c r="O1139" s="62"/>
      <c r="P1139" s="62"/>
      <c r="Q1139" s="62"/>
      <c r="R1139" s="62"/>
      <c r="S1139" s="37" t="str">
        <f>IFERROR(__xludf.DUMMYFUNCTION("if(not(iserror(index(split(C1139, "" ""),2))), index(split(C1139, "" ""),1),"""")"),"")</f>
        <v/>
      </c>
      <c r="T1139" s="315" t="str">
        <f>IFERROR(__xludf.DUMMYFUNCTION("if(S1139="""",C1139,if(not(iserror(index(split(C1139, "" ""),3))), index(split(C1139, "" ""),3),index(split(C1139, "" ""),2)))"),"")</f>
        <v/>
      </c>
      <c r="U1139" s="38" t="b">
        <f t="shared" si="34"/>
        <v>0</v>
      </c>
      <c r="V1139" s="38"/>
      <c r="W1139" s="40"/>
      <c r="X1139" s="40"/>
      <c r="Y1139" s="38"/>
      <c r="Z1139" s="38"/>
      <c r="AA1139" s="38"/>
      <c r="AB1139" s="38"/>
      <c r="AC1139" s="38"/>
      <c r="AD1139" s="38"/>
      <c r="AE1139" s="38"/>
      <c r="AF1139" s="38"/>
      <c r="AG1139" s="38"/>
      <c r="AH1139" s="38"/>
      <c r="AI1139" s="38"/>
      <c r="AJ1139" s="38"/>
      <c r="AK1139" s="38"/>
      <c r="AL1139" s="38"/>
      <c r="AM1139" s="38"/>
      <c r="AN1139" s="38"/>
      <c r="AO1139" s="38"/>
      <c r="AP1139" s="38"/>
      <c r="AQ1139" s="38"/>
      <c r="AR1139" s="38"/>
      <c r="AS1139" s="38"/>
      <c r="AT1139" s="38"/>
      <c r="AU1139" s="38"/>
      <c r="AV1139" s="38"/>
      <c r="AW1139" s="38"/>
      <c r="AX1139" s="38"/>
      <c r="AY1139" s="38"/>
      <c r="AZ1139" s="38"/>
      <c r="BA1139" s="38"/>
      <c r="BB1139" s="38"/>
      <c r="BC1139" s="38"/>
      <c r="BD1139" s="38"/>
      <c r="BE1139" s="38"/>
      <c r="BF1139" s="38"/>
      <c r="BG1139" s="38"/>
      <c r="BH1139" s="38"/>
      <c r="BI1139" s="38"/>
      <c r="BJ1139" s="38"/>
      <c r="BK1139" s="38"/>
      <c r="BL1139" s="38"/>
      <c r="BM1139" s="38"/>
      <c r="BN1139" s="38"/>
      <c r="BO1139" s="38"/>
      <c r="BP1139" s="38"/>
      <c r="BQ1139" s="38"/>
    </row>
    <row r="1140">
      <c r="A1140" s="58"/>
      <c r="B1140" s="341"/>
      <c r="C1140" s="60"/>
      <c r="D1140" s="60"/>
      <c r="E1140" s="58"/>
      <c r="F1140" s="58"/>
      <c r="G1140" s="58"/>
      <c r="H1140" s="33" t="str">
        <f t="shared" si="33"/>
        <v/>
      </c>
      <c r="I1140" s="58"/>
      <c r="J1140" s="58"/>
      <c r="K1140" s="58"/>
      <c r="L1140" s="58"/>
      <c r="M1140" s="80"/>
      <c r="N1140" s="77"/>
      <c r="O1140" s="62"/>
      <c r="P1140" s="62"/>
      <c r="Q1140" s="62"/>
      <c r="R1140" s="62"/>
      <c r="S1140" s="37" t="str">
        <f>IFERROR(__xludf.DUMMYFUNCTION("if(not(iserror(index(split(C1140, "" ""),2))), index(split(C1140, "" ""),1),"""")"),"")</f>
        <v/>
      </c>
      <c r="T1140" s="315" t="str">
        <f>IFERROR(__xludf.DUMMYFUNCTION("if(S1140="""",C1140,if(not(iserror(index(split(C1140, "" ""),3))), index(split(C1140, "" ""),3),index(split(C1140, "" ""),2)))"),"")</f>
        <v/>
      </c>
      <c r="U1140" s="38" t="b">
        <f t="shared" si="34"/>
        <v>0</v>
      </c>
      <c r="V1140" s="38"/>
      <c r="W1140" s="40"/>
      <c r="X1140" s="40"/>
      <c r="Y1140" s="38"/>
      <c r="Z1140" s="38"/>
      <c r="AA1140" s="38"/>
      <c r="AB1140" s="38"/>
      <c r="AC1140" s="38"/>
      <c r="AD1140" s="38"/>
      <c r="AE1140" s="38"/>
      <c r="AF1140" s="38"/>
      <c r="AG1140" s="38"/>
      <c r="AH1140" s="38"/>
      <c r="AI1140" s="38"/>
      <c r="AJ1140" s="38"/>
      <c r="AK1140" s="38"/>
      <c r="AL1140" s="38"/>
      <c r="AM1140" s="38"/>
      <c r="AN1140" s="38"/>
      <c r="AO1140" s="38"/>
      <c r="AP1140" s="38"/>
      <c r="AQ1140" s="38"/>
      <c r="AR1140" s="38"/>
      <c r="AS1140" s="38"/>
      <c r="AT1140" s="38"/>
      <c r="AU1140" s="38"/>
      <c r="AV1140" s="38"/>
      <c r="AW1140" s="38"/>
      <c r="AX1140" s="38"/>
      <c r="AY1140" s="38"/>
      <c r="AZ1140" s="38"/>
      <c r="BA1140" s="38"/>
      <c r="BB1140" s="38"/>
      <c r="BC1140" s="38"/>
      <c r="BD1140" s="38"/>
      <c r="BE1140" s="38"/>
      <c r="BF1140" s="38"/>
      <c r="BG1140" s="38"/>
      <c r="BH1140" s="38"/>
      <c r="BI1140" s="38"/>
      <c r="BJ1140" s="38"/>
      <c r="BK1140" s="38"/>
      <c r="BL1140" s="38"/>
      <c r="BM1140" s="38"/>
      <c r="BN1140" s="38"/>
      <c r="BO1140" s="38"/>
      <c r="BP1140" s="38"/>
      <c r="BQ1140" s="38"/>
    </row>
    <row r="1141">
      <c r="A1141" s="37"/>
      <c r="B1141" s="341"/>
      <c r="C1141" s="60"/>
      <c r="D1141" s="60"/>
      <c r="E1141" s="58"/>
      <c r="F1141" s="58"/>
      <c r="G1141" s="58"/>
      <c r="H1141" s="33" t="str">
        <f t="shared" si="33"/>
        <v/>
      </c>
      <c r="I1141" s="58"/>
      <c r="J1141" s="58"/>
      <c r="K1141" s="58"/>
      <c r="L1141" s="58"/>
      <c r="M1141" s="80"/>
      <c r="N1141" s="77"/>
      <c r="O1141" s="62"/>
      <c r="P1141" s="62"/>
      <c r="Q1141" s="62"/>
      <c r="R1141" s="62"/>
      <c r="S1141" s="37" t="str">
        <f>IFERROR(__xludf.DUMMYFUNCTION("if(not(iserror(index(split(C1141, "" ""),2))), index(split(C1141, "" ""),1),"""")"),"")</f>
        <v/>
      </c>
      <c r="T1141" s="315" t="str">
        <f>IFERROR(__xludf.DUMMYFUNCTION("if(S1141="""",C1141,if(not(iserror(index(split(C1141, "" ""),3))), index(split(C1141, "" ""),3),index(split(C1141, "" ""),2)))"),"")</f>
        <v/>
      </c>
      <c r="U1141" s="38" t="b">
        <f t="shared" si="34"/>
        <v>0</v>
      </c>
      <c r="V1141" s="38"/>
      <c r="W1141" s="40"/>
      <c r="X1141" s="40"/>
      <c r="Y1141" s="38"/>
      <c r="Z1141" s="38"/>
      <c r="AA1141" s="38"/>
      <c r="AB1141" s="38"/>
      <c r="AC1141" s="38"/>
      <c r="AD1141" s="38"/>
      <c r="AE1141" s="38"/>
      <c r="AF1141" s="38"/>
      <c r="AG1141" s="38"/>
      <c r="AH1141" s="38"/>
      <c r="AI1141" s="38"/>
      <c r="AJ1141" s="38"/>
      <c r="AK1141" s="38"/>
      <c r="AL1141" s="38"/>
      <c r="AM1141" s="38"/>
      <c r="AN1141" s="38"/>
      <c r="AO1141" s="38"/>
      <c r="AP1141" s="38"/>
      <c r="AQ1141" s="38"/>
      <c r="AR1141" s="38"/>
      <c r="AS1141" s="38"/>
      <c r="AT1141" s="38"/>
      <c r="AU1141" s="38"/>
      <c r="AV1141" s="38"/>
      <c r="AW1141" s="38"/>
      <c r="AX1141" s="38"/>
      <c r="AY1141" s="38"/>
      <c r="AZ1141" s="38"/>
      <c r="BA1141" s="38"/>
      <c r="BB1141" s="38"/>
      <c r="BC1141" s="38"/>
      <c r="BD1141" s="38"/>
      <c r="BE1141" s="38"/>
      <c r="BF1141" s="38"/>
      <c r="BG1141" s="38"/>
      <c r="BH1141" s="38"/>
      <c r="BI1141" s="38"/>
      <c r="BJ1141" s="38"/>
      <c r="BK1141" s="38"/>
      <c r="BL1141" s="38"/>
      <c r="BM1141" s="38"/>
      <c r="BN1141" s="38"/>
      <c r="BO1141" s="38"/>
      <c r="BP1141" s="38"/>
      <c r="BQ1141" s="38"/>
    </row>
    <row r="1142">
      <c r="A1142" s="37"/>
      <c r="B1142" s="341"/>
      <c r="C1142" s="60"/>
      <c r="D1142" s="60"/>
      <c r="E1142" s="58"/>
      <c r="F1142" s="58"/>
      <c r="G1142" s="58"/>
      <c r="H1142" s="33" t="str">
        <f t="shared" si="33"/>
        <v/>
      </c>
      <c r="I1142" s="58"/>
      <c r="J1142" s="58"/>
      <c r="K1142" s="58"/>
      <c r="L1142" s="58"/>
      <c r="M1142" s="80"/>
      <c r="N1142" s="80"/>
      <c r="O1142" s="62"/>
      <c r="P1142" s="58"/>
      <c r="Q1142" s="58"/>
      <c r="R1142" s="62"/>
      <c r="S1142" s="37" t="str">
        <f>IFERROR(__xludf.DUMMYFUNCTION("if(not(iserror(index(split(C1142, "" ""),2))), index(split(C1142, "" ""),1),"""")"),"")</f>
        <v/>
      </c>
      <c r="T1142" s="315" t="str">
        <f>IFERROR(__xludf.DUMMYFUNCTION("if(S1142="""",C1142,if(not(iserror(index(split(C1142, "" ""),3))), index(split(C1142, "" ""),3),index(split(C1142, "" ""),2)))"),"")</f>
        <v/>
      </c>
      <c r="U1142" s="38" t="b">
        <f t="shared" si="34"/>
        <v>0</v>
      </c>
      <c r="V1142" s="38"/>
      <c r="W1142" s="40"/>
      <c r="X1142" s="40"/>
      <c r="Y1142" s="38"/>
      <c r="Z1142" s="38"/>
      <c r="AA1142" s="38"/>
      <c r="AB1142" s="38"/>
      <c r="AC1142" s="38"/>
      <c r="AD1142" s="38"/>
      <c r="AE1142" s="38"/>
      <c r="AF1142" s="38"/>
      <c r="AG1142" s="38"/>
      <c r="AH1142" s="38"/>
      <c r="AI1142" s="38"/>
      <c r="AJ1142" s="38"/>
      <c r="AK1142" s="38"/>
      <c r="AL1142" s="38"/>
      <c r="AM1142" s="38"/>
      <c r="AN1142" s="38"/>
      <c r="AO1142" s="38"/>
      <c r="AP1142" s="38"/>
      <c r="AQ1142" s="38"/>
      <c r="AR1142" s="38"/>
      <c r="AS1142" s="38"/>
      <c r="AT1142" s="38"/>
      <c r="AU1142" s="38"/>
      <c r="AV1142" s="38"/>
      <c r="AW1142" s="38"/>
      <c r="AX1142" s="38"/>
      <c r="AY1142" s="38"/>
      <c r="AZ1142" s="38"/>
      <c r="BA1142" s="38"/>
      <c r="BB1142" s="38"/>
      <c r="BC1142" s="38"/>
      <c r="BD1142" s="38"/>
      <c r="BE1142" s="38"/>
      <c r="BF1142" s="38"/>
      <c r="BG1142" s="38"/>
      <c r="BH1142" s="38"/>
      <c r="BI1142" s="38"/>
      <c r="BJ1142" s="38"/>
      <c r="BK1142" s="38"/>
      <c r="BL1142" s="38"/>
      <c r="BM1142" s="38"/>
      <c r="BN1142" s="38"/>
      <c r="BO1142" s="38"/>
      <c r="BP1142" s="38"/>
      <c r="BQ1142" s="38"/>
    </row>
    <row r="1143">
      <c r="A1143" s="58"/>
      <c r="B1143" s="341"/>
      <c r="C1143" s="60"/>
      <c r="D1143" s="60"/>
      <c r="E1143" s="58"/>
      <c r="F1143" s="58"/>
      <c r="G1143" s="58"/>
      <c r="H1143" s="33" t="str">
        <f t="shared" si="33"/>
        <v/>
      </c>
      <c r="I1143" s="58"/>
      <c r="J1143" s="58"/>
      <c r="K1143" s="58"/>
      <c r="L1143" s="58"/>
      <c r="M1143" s="80"/>
      <c r="N1143" s="77"/>
      <c r="O1143" s="62"/>
      <c r="P1143" s="62"/>
      <c r="Q1143" s="62"/>
      <c r="R1143" s="62"/>
      <c r="S1143" s="37" t="str">
        <f>IFERROR(__xludf.DUMMYFUNCTION("if(not(iserror(index(split(C1143, "" ""),2))), index(split(C1143, "" ""),1),"""")"),"")</f>
        <v/>
      </c>
      <c r="T1143" s="315" t="str">
        <f>IFERROR(__xludf.DUMMYFUNCTION("if(S1143="""",C1143,if(not(iserror(index(split(C1143, "" ""),3))), index(split(C1143, "" ""),3),index(split(C1143, "" ""),2)))"),"")</f>
        <v/>
      </c>
      <c r="U1143" s="38" t="b">
        <f t="shared" si="34"/>
        <v>0</v>
      </c>
      <c r="V1143" s="38"/>
      <c r="W1143" s="40"/>
      <c r="X1143" s="40"/>
      <c r="Y1143" s="38"/>
      <c r="Z1143" s="38"/>
      <c r="AA1143" s="38"/>
      <c r="AB1143" s="38"/>
      <c r="AC1143" s="38"/>
      <c r="AD1143" s="38"/>
      <c r="AE1143" s="38"/>
      <c r="AF1143" s="38"/>
      <c r="AG1143" s="38"/>
      <c r="AH1143" s="38"/>
      <c r="AI1143" s="38"/>
      <c r="AJ1143" s="38"/>
      <c r="AK1143" s="38"/>
      <c r="AL1143" s="38"/>
      <c r="AM1143" s="38"/>
      <c r="AN1143" s="38"/>
      <c r="AO1143" s="38"/>
      <c r="AP1143" s="38"/>
      <c r="AQ1143" s="38"/>
      <c r="AR1143" s="38"/>
      <c r="AS1143" s="38"/>
      <c r="AT1143" s="38"/>
      <c r="AU1143" s="38"/>
      <c r="AV1143" s="38"/>
      <c r="AW1143" s="38"/>
      <c r="AX1143" s="38"/>
      <c r="AY1143" s="38"/>
      <c r="AZ1143" s="38"/>
      <c r="BA1143" s="38"/>
      <c r="BB1143" s="38"/>
      <c r="BC1143" s="38"/>
      <c r="BD1143" s="38"/>
      <c r="BE1143" s="38"/>
      <c r="BF1143" s="38"/>
      <c r="BG1143" s="38"/>
      <c r="BH1143" s="38"/>
      <c r="BI1143" s="38"/>
      <c r="BJ1143" s="38"/>
      <c r="BK1143" s="38"/>
      <c r="BL1143" s="38"/>
      <c r="BM1143" s="38"/>
      <c r="BN1143" s="38"/>
      <c r="BO1143" s="38"/>
      <c r="BP1143" s="38"/>
      <c r="BQ1143" s="38"/>
    </row>
    <row r="1144">
      <c r="A1144" s="58"/>
      <c r="B1144" s="341"/>
      <c r="C1144" s="60"/>
      <c r="D1144" s="60"/>
      <c r="E1144" s="58"/>
      <c r="F1144" s="58"/>
      <c r="G1144" s="58"/>
      <c r="H1144" s="33" t="str">
        <f t="shared" si="33"/>
        <v/>
      </c>
      <c r="I1144" s="58"/>
      <c r="J1144" s="58"/>
      <c r="K1144" s="58"/>
      <c r="L1144" s="58"/>
      <c r="M1144" s="80"/>
      <c r="N1144" s="77"/>
      <c r="O1144" s="62"/>
      <c r="P1144" s="62"/>
      <c r="Q1144" s="62"/>
      <c r="R1144" s="62"/>
      <c r="S1144" s="37" t="str">
        <f>IFERROR(__xludf.DUMMYFUNCTION("if(not(iserror(index(split(C1144, "" ""),2))), index(split(C1144, "" ""),1),"""")"),"")</f>
        <v/>
      </c>
      <c r="T1144" s="315" t="str">
        <f>IFERROR(__xludf.DUMMYFUNCTION("if(S1144="""",C1144,if(not(iserror(index(split(C1144, "" ""),3))), index(split(C1144, "" ""),3),index(split(C1144, "" ""),2)))"),"")</f>
        <v/>
      </c>
      <c r="U1144" s="38" t="b">
        <f t="shared" si="34"/>
        <v>0</v>
      </c>
      <c r="V1144" s="38"/>
      <c r="W1144" s="40"/>
      <c r="X1144" s="40"/>
      <c r="Y1144" s="38"/>
      <c r="Z1144" s="38"/>
      <c r="AA1144" s="38"/>
      <c r="AB1144" s="38"/>
      <c r="AC1144" s="38"/>
      <c r="AD1144" s="38"/>
      <c r="AE1144" s="38"/>
      <c r="AF1144" s="38"/>
      <c r="AG1144" s="38"/>
      <c r="AH1144" s="38"/>
      <c r="AI1144" s="38"/>
      <c r="AJ1144" s="38"/>
      <c r="AK1144" s="38"/>
      <c r="AL1144" s="38"/>
      <c r="AM1144" s="38"/>
      <c r="AN1144" s="38"/>
      <c r="AO1144" s="38"/>
      <c r="AP1144" s="38"/>
      <c r="AQ1144" s="38"/>
      <c r="AR1144" s="38"/>
      <c r="AS1144" s="38"/>
      <c r="AT1144" s="38"/>
      <c r="AU1144" s="38"/>
      <c r="AV1144" s="38"/>
      <c r="AW1144" s="38"/>
      <c r="AX1144" s="38"/>
      <c r="AY1144" s="38"/>
      <c r="AZ1144" s="38"/>
      <c r="BA1144" s="38"/>
      <c r="BB1144" s="38"/>
      <c r="BC1144" s="38"/>
      <c r="BD1144" s="38"/>
      <c r="BE1144" s="38"/>
      <c r="BF1144" s="38"/>
      <c r="BG1144" s="38"/>
      <c r="BH1144" s="38"/>
      <c r="BI1144" s="38"/>
      <c r="BJ1144" s="38"/>
      <c r="BK1144" s="38"/>
      <c r="BL1144" s="38"/>
      <c r="BM1144" s="38"/>
      <c r="BN1144" s="38"/>
      <c r="BO1144" s="38"/>
      <c r="BP1144" s="38"/>
      <c r="BQ1144" s="38"/>
    </row>
    <row r="1145">
      <c r="A1145" s="58"/>
      <c r="B1145" s="341"/>
      <c r="C1145" s="60"/>
      <c r="D1145" s="60"/>
      <c r="E1145" s="58"/>
      <c r="F1145" s="58"/>
      <c r="G1145" s="58"/>
      <c r="H1145" s="33" t="str">
        <f t="shared" si="33"/>
        <v/>
      </c>
      <c r="I1145" s="58"/>
      <c r="J1145" s="58"/>
      <c r="K1145" s="58"/>
      <c r="L1145" s="58"/>
      <c r="M1145" s="80"/>
      <c r="N1145" s="77"/>
      <c r="O1145" s="62"/>
      <c r="P1145" s="62"/>
      <c r="Q1145" s="62"/>
      <c r="R1145" s="62"/>
      <c r="S1145" s="37" t="str">
        <f>IFERROR(__xludf.DUMMYFUNCTION("if(not(iserror(index(split(C1145, "" ""),2))), index(split(C1145, "" ""),1),"""")"),"")</f>
        <v/>
      </c>
      <c r="T1145" s="315" t="str">
        <f>IFERROR(__xludf.DUMMYFUNCTION("if(S1145="""",C1145,if(not(iserror(index(split(C1145, "" ""),3))), index(split(C1145, "" ""),3),index(split(C1145, "" ""),2)))"),"")</f>
        <v/>
      </c>
      <c r="U1145" s="38" t="b">
        <f t="shared" si="34"/>
        <v>0</v>
      </c>
      <c r="V1145" s="38"/>
      <c r="W1145" s="40"/>
      <c r="X1145" s="40"/>
      <c r="Y1145" s="38"/>
      <c r="Z1145" s="38"/>
      <c r="AA1145" s="38"/>
      <c r="AB1145" s="38"/>
      <c r="AC1145" s="38"/>
      <c r="AD1145" s="38"/>
      <c r="AE1145" s="38"/>
      <c r="AF1145" s="38"/>
      <c r="AG1145" s="38"/>
      <c r="AH1145" s="38"/>
      <c r="AI1145" s="38"/>
      <c r="AJ1145" s="38"/>
      <c r="AK1145" s="38"/>
      <c r="AL1145" s="38"/>
      <c r="AM1145" s="38"/>
      <c r="AN1145" s="38"/>
      <c r="AO1145" s="38"/>
      <c r="AP1145" s="38"/>
      <c r="AQ1145" s="38"/>
      <c r="AR1145" s="38"/>
      <c r="AS1145" s="38"/>
      <c r="AT1145" s="38"/>
      <c r="AU1145" s="38"/>
      <c r="AV1145" s="38"/>
      <c r="AW1145" s="38"/>
      <c r="AX1145" s="38"/>
      <c r="AY1145" s="38"/>
      <c r="AZ1145" s="38"/>
      <c r="BA1145" s="38"/>
      <c r="BB1145" s="38"/>
      <c r="BC1145" s="38"/>
      <c r="BD1145" s="38"/>
      <c r="BE1145" s="38"/>
      <c r="BF1145" s="38"/>
      <c r="BG1145" s="38"/>
      <c r="BH1145" s="38"/>
      <c r="BI1145" s="38"/>
      <c r="BJ1145" s="38"/>
      <c r="BK1145" s="38"/>
      <c r="BL1145" s="38"/>
      <c r="BM1145" s="38"/>
      <c r="BN1145" s="38"/>
      <c r="BO1145" s="38"/>
      <c r="BP1145" s="38"/>
      <c r="BQ1145" s="38"/>
    </row>
    <row r="1146">
      <c r="A1146" s="58"/>
      <c r="B1146" s="341"/>
      <c r="C1146" s="60"/>
      <c r="D1146" s="60"/>
      <c r="E1146" s="58"/>
      <c r="F1146" s="58"/>
      <c r="G1146" s="58"/>
      <c r="H1146" s="33" t="str">
        <f t="shared" si="33"/>
        <v/>
      </c>
      <c r="I1146" s="58"/>
      <c r="J1146" s="58"/>
      <c r="K1146" s="58"/>
      <c r="L1146" s="58"/>
      <c r="M1146" s="80"/>
      <c r="N1146" s="77"/>
      <c r="O1146" s="62"/>
      <c r="P1146" s="62"/>
      <c r="Q1146" s="62"/>
      <c r="R1146" s="62"/>
      <c r="S1146" s="37" t="str">
        <f>IFERROR(__xludf.DUMMYFUNCTION("if(not(iserror(index(split(C1146, "" ""),2))), index(split(C1146, "" ""),1),"""")"),"")</f>
        <v/>
      </c>
      <c r="T1146" s="315" t="str">
        <f>IFERROR(__xludf.DUMMYFUNCTION("if(S1146="""",C1146,if(not(iserror(index(split(C1146, "" ""),3))), index(split(C1146, "" ""),3),index(split(C1146, "" ""),2)))"),"")</f>
        <v/>
      </c>
      <c r="U1146" s="38" t="b">
        <f t="shared" si="34"/>
        <v>0</v>
      </c>
      <c r="V1146" s="38"/>
      <c r="W1146" s="40"/>
      <c r="X1146" s="40"/>
      <c r="Y1146" s="38"/>
      <c r="Z1146" s="38"/>
      <c r="AA1146" s="38"/>
      <c r="AB1146" s="38"/>
      <c r="AC1146" s="38"/>
      <c r="AD1146" s="38"/>
      <c r="AE1146" s="38"/>
      <c r="AF1146" s="38"/>
      <c r="AG1146" s="38"/>
      <c r="AH1146" s="38"/>
      <c r="AI1146" s="38"/>
      <c r="AJ1146" s="38"/>
      <c r="AK1146" s="38"/>
      <c r="AL1146" s="38"/>
      <c r="AM1146" s="38"/>
      <c r="AN1146" s="38"/>
      <c r="AO1146" s="38"/>
      <c r="AP1146" s="38"/>
      <c r="AQ1146" s="38"/>
      <c r="AR1146" s="38"/>
      <c r="AS1146" s="38"/>
      <c r="AT1146" s="38"/>
      <c r="AU1146" s="38"/>
      <c r="AV1146" s="38"/>
      <c r="AW1146" s="38"/>
      <c r="AX1146" s="38"/>
      <c r="AY1146" s="38"/>
      <c r="AZ1146" s="38"/>
      <c r="BA1146" s="38"/>
      <c r="BB1146" s="38"/>
      <c r="BC1146" s="38"/>
      <c r="BD1146" s="38"/>
      <c r="BE1146" s="38"/>
      <c r="BF1146" s="38"/>
      <c r="BG1146" s="38"/>
      <c r="BH1146" s="38"/>
      <c r="BI1146" s="38"/>
      <c r="BJ1146" s="38"/>
      <c r="BK1146" s="38"/>
      <c r="BL1146" s="38"/>
      <c r="BM1146" s="38"/>
      <c r="BN1146" s="38"/>
      <c r="BO1146" s="38"/>
      <c r="BP1146" s="38"/>
      <c r="BQ1146" s="38"/>
    </row>
    <row r="1147">
      <c r="A1147" s="58"/>
      <c r="B1147" s="341"/>
      <c r="C1147" s="60"/>
      <c r="D1147" s="60"/>
      <c r="E1147" s="58"/>
      <c r="F1147" s="58"/>
      <c r="G1147" s="58"/>
      <c r="H1147" s="33" t="str">
        <f t="shared" si="33"/>
        <v/>
      </c>
      <c r="I1147" s="58"/>
      <c r="J1147" s="58"/>
      <c r="K1147" s="58"/>
      <c r="L1147" s="58"/>
      <c r="M1147" s="80"/>
      <c r="N1147" s="77"/>
      <c r="O1147" s="58"/>
      <c r="P1147" s="58"/>
      <c r="Q1147" s="84"/>
      <c r="R1147" s="62"/>
      <c r="S1147" s="37" t="str">
        <f>IFERROR(__xludf.DUMMYFUNCTION("if(not(iserror(index(split(C1147, "" ""),2))), index(split(C1147, "" ""),1),"""")"),"")</f>
        <v/>
      </c>
      <c r="T1147" s="315" t="str">
        <f>IFERROR(__xludf.DUMMYFUNCTION("if(S1147="""",C1147,if(not(iserror(index(split(C1147, "" ""),3))), index(split(C1147, "" ""),3),index(split(C1147, "" ""),2)))"),"")</f>
        <v/>
      </c>
      <c r="U1147" s="38" t="b">
        <f t="shared" si="34"/>
        <v>0</v>
      </c>
      <c r="V1147" s="38"/>
      <c r="W1147" s="40"/>
      <c r="X1147" s="40"/>
      <c r="Y1147" s="38"/>
      <c r="Z1147" s="38"/>
      <c r="AA1147" s="38"/>
      <c r="AB1147" s="38"/>
      <c r="AC1147" s="38"/>
      <c r="AD1147" s="38"/>
      <c r="AE1147" s="38"/>
      <c r="AF1147" s="38"/>
      <c r="AG1147" s="38"/>
      <c r="AH1147" s="38"/>
      <c r="AI1147" s="38"/>
      <c r="AJ1147" s="38"/>
      <c r="AK1147" s="38"/>
      <c r="AL1147" s="38"/>
      <c r="AM1147" s="38"/>
      <c r="AN1147" s="38"/>
      <c r="AO1147" s="38"/>
      <c r="AP1147" s="38"/>
      <c r="AQ1147" s="38"/>
      <c r="AR1147" s="38"/>
      <c r="AS1147" s="38"/>
      <c r="AT1147" s="38"/>
      <c r="AU1147" s="38"/>
      <c r="AV1147" s="38"/>
      <c r="AW1147" s="38"/>
      <c r="AX1147" s="38"/>
      <c r="AY1147" s="38"/>
      <c r="AZ1147" s="38"/>
      <c r="BA1147" s="38"/>
      <c r="BB1147" s="38"/>
      <c r="BC1147" s="38"/>
      <c r="BD1147" s="38"/>
      <c r="BE1147" s="38"/>
      <c r="BF1147" s="38"/>
      <c r="BG1147" s="38"/>
      <c r="BH1147" s="38"/>
      <c r="BI1147" s="38"/>
      <c r="BJ1147" s="38"/>
      <c r="BK1147" s="38"/>
      <c r="BL1147" s="38"/>
      <c r="BM1147" s="38"/>
      <c r="BN1147" s="38"/>
      <c r="BO1147" s="38"/>
      <c r="BP1147" s="38"/>
      <c r="BQ1147" s="38"/>
    </row>
    <row r="1148">
      <c r="A1148" s="58"/>
      <c r="B1148" s="341"/>
      <c r="C1148" s="60"/>
      <c r="D1148" s="60"/>
      <c r="E1148" s="58"/>
      <c r="F1148" s="58"/>
      <c r="G1148" s="58"/>
      <c r="H1148" s="33" t="str">
        <f t="shared" si="33"/>
        <v/>
      </c>
      <c r="I1148" s="58"/>
      <c r="J1148" s="58"/>
      <c r="K1148" s="58"/>
      <c r="L1148" s="58"/>
      <c r="M1148" s="80"/>
      <c r="N1148" s="80"/>
      <c r="O1148" s="58"/>
      <c r="P1148" s="62"/>
      <c r="Q1148" s="84"/>
      <c r="R1148" s="62"/>
      <c r="S1148" s="37" t="str">
        <f>IFERROR(__xludf.DUMMYFUNCTION("if(not(iserror(index(split(C1148, "" ""),2))), index(split(C1148, "" ""),1),"""")"),"")</f>
        <v/>
      </c>
      <c r="T1148" s="315" t="str">
        <f>IFERROR(__xludf.DUMMYFUNCTION("if(S1148="""",C1148,if(not(iserror(index(split(C1148, "" ""),3))), index(split(C1148, "" ""),3),index(split(C1148, "" ""),2)))"),"")</f>
        <v/>
      </c>
      <c r="U1148" s="38" t="b">
        <f t="shared" si="34"/>
        <v>0</v>
      </c>
      <c r="V1148" s="38"/>
      <c r="W1148" s="40"/>
      <c r="X1148" s="40"/>
      <c r="Y1148" s="38"/>
      <c r="Z1148" s="38"/>
      <c r="AA1148" s="38"/>
      <c r="AB1148" s="38"/>
      <c r="AC1148" s="38"/>
      <c r="AD1148" s="38"/>
      <c r="AE1148" s="38"/>
      <c r="AF1148" s="38"/>
      <c r="AG1148" s="38"/>
      <c r="AH1148" s="38"/>
      <c r="AI1148" s="38"/>
      <c r="AJ1148" s="38"/>
      <c r="AK1148" s="38"/>
      <c r="AL1148" s="38"/>
      <c r="AM1148" s="38"/>
      <c r="AN1148" s="38"/>
      <c r="AO1148" s="38"/>
      <c r="AP1148" s="38"/>
      <c r="AQ1148" s="38"/>
      <c r="AR1148" s="38"/>
      <c r="AS1148" s="38"/>
      <c r="AT1148" s="38"/>
      <c r="AU1148" s="38"/>
      <c r="AV1148" s="38"/>
      <c r="AW1148" s="38"/>
      <c r="AX1148" s="38"/>
      <c r="AY1148" s="38"/>
      <c r="AZ1148" s="38"/>
      <c r="BA1148" s="38"/>
      <c r="BB1148" s="38"/>
      <c r="BC1148" s="38"/>
      <c r="BD1148" s="38"/>
      <c r="BE1148" s="38"/>
      <c r="BF1148" s="38"/>
      <c r="BG1148" s="38"/>
      <c r="BH1148" s="38"/>
      <c r="BI1148" s="38"/>
      <c r="BJ1148" s="38"/>
      <c r="BK1148" s="38"/>
      <c r="BL1148" s="38"/>
      <c r="BM1148" s="38"/>
      <c r="BN1148" s="38"/>
      <c r="BO1148" s="38"/>
      <c r="BP1148" s="38"/>
      <c r="BQ1148" s="38"/>
    </row>
    <row r="1149">
      <c r="A1149" s="58"/>
      <c r="B1149" s="341"/>
      <c r="C1149" s="60"/>
      <c r="D1149" s="60"/>
      <c r="E1149" s="58"/>
      <c r="F1149" s="58"/>
      <c r="G1149" s="58"/>
      <c r="H1149" s="33" t="str">
        <f t="shared" si="33"/>
        <v/>
      </c>
      <c r="I1149" s="58"/>
      <c r="J1149" s="58"/>
      <c r="K1149" s="58"/>
      <c r="L1149" s="58"/>
      <c r="M1149" s="80"/>
      <c r="N1149" s="77"/>
      <c r="O1149" s="62"/>
      <c r="P1149" s="62"/>
      <c r="Q1149" s="62"/>
      <c r="R1149" s="62"/>
      <c r="S1149" s="37" t="str">
        <f>IFERROR(__xludf.DUMMYFUNCTION("if(not(iserror(index(split(C1149, "" ""),2))), index(split(C1149, "" ""),1),"""")"),"")</f>
        <v/>
      </c>
      <c r="T1149" s="315" t="str">
        <f>IFERROR(__xludf.DUMMYFUNCTION("if(S1149="""",C1149,if(not(iserror(index(split(C1149, "" ""),3))), index(split(C1149, "" ""),3),index(split(C1149, "" ""),2)))"),"")</f>
        <v/>
      </c>
      <c r="U1149" s="38" t="b">
        <f t="shared" si="34"/>
        <v>0</v>
      </c>
      <c r="V1149" s="38"/>
      <c r="W1149" s="40"/>
      <c r="X1149" s="40"/>
      <c r="Y1149" s="38"/>
      <c r="Z1149" s="38"/>
      <c r="AA1149" s="38"/>
      <c r="AB1149" s="38"/>
      <c r="AC1149" s="38"/>
      <c r="AD1149" s="38"/>
      <c r="AE1149" s="38"/>
      <c r="AF1149" s="38"/>
      <c r="AG1149" s="38"/>
      <c r="AH1149" s="38"/>
      <c r="AI1149" s="38"/>
      <c r="AJ1149" s="38"/>
      <c r="AK1149" s="38"/>
      <c r="AL1149" s="38"/>
      <c r="AM1149" s="38"/>
      <c r="AN1149" s="38"/>
      <c r="AO1149" s="38"/>
      <c r="AP1149" s="38"/>
      <c r="AQ1149" s="38"/>
      <c r="AR1149" s="38"/>
      <c r="AS1149" s="38"/>
      <c r="AT1149" s="38"/>
      <c r="AU1149" s="38"/>
      <c r="AV1149" s="38"/>
      <c r="AW1149" s="38"/>
      <c r="AX1149" s="38"/>
      <c r="AY1149" s="38"/>
      <c r="AZ1149" s="38"/>
      <c r="BA1149" s="38"/>
      <c r="BB1149" s="38"/>
      <c r="BC1149" s="38"/>
      <c r="BD1149" s="38"/>
      <c r="BE1149" s="38"/>
      <c r="BF1149" s="38"/>
      <c r="BG1149" s="38"/>
      <c r="BH1149" s="38"/>
      <c r="BI1149" s="38"/>
      <c r="BJ1149" s="38"/>
      <c r="BK1149" s="38"/>
      <c r="BL1149" s="38"/>
      <c r="BM1149" s="38"/>
      <c r="BN1149" s="38"/>
      <c r="BO1149" s="38"/>
      <c r="BP1149" s="38"/>
      <c r="BQ1149" s="38"/>
    </row>
    <row r="1150">
      <c r="A1150" s="58"/>
      <c r="B1150" s="341"/>
      <c r="C1150" s="60"/>
      <c r="D1150" s="60"/>
      <c r="E1150" s="58"/>
      <c r="F1150" s="58"/>
      <c r="G1150" s="58"/>
      <c r="H1150" s="33" t="str">
        <f t="shared" si="33"/>
        <v/>
      </c>
      <c r="I1150" s="58"/>
      <c r="J1150" s="58"/>
      <c r="K1150" s="58"/>
      <c r="L1150" s="58"/>
      <c r="M1150" s="80"/>
      <c r="N1150" s="77"/>
      <c r="O1150" s="62"/>
      <c r="P1150" s="62"/>
      <c r="Q1150" s="62"/>
      <c r="R1150" s="62"/>
      <c r="S1150" s="37" t="str">
        <f>IFERROR(__xludf.DUMMYFUNCTION("if(not(iserror(index(split(C1150, "" ""),2))), index(split(C1150, "" ""),1),"""")"),"")</f>
        <v/>
      </c>
      <c r="T1150" s="315" t="str">
        <f>IFERROR(__xludf.DUMMYFUNCTION("if(S1150="""",C1150,if(not(iserror(index(split(C1150, "" ""),3))), index(split(C1150, "" ""),3),index(split(C1150, "" ""),2)))"),"")</f>
        <v/>
      </c>
      <c r="U1150" s="38" t="b">
        <f t="shared" si="34"/>
        <v>0</v>
      </c>
      <c r="V1150" s="38"/>
      <c r="W1150" s="40"/>
      <c r="X1150" s="40"/>
      <c r="Y1150" s="38"/>
      <c r="Z1150" s="38"/>
      <c r="AA1150" s="38"/>
      <c r="AB1150" s="38"/>
      <c r="AC1150" s="38"/>
      <c r="AD1150" s="38"/>
      <c r="AE1150" s="38"/>
      <c r="AF1150" s="38"/>
      <c r="AG1150" s="38"/>
      <c r="AH1150" s="38"/>
      <c r="AI1150" s="38"/>
      <c r="AJ1150" s="38"/>
      <c r="AK1150" s="38"/>
      <c r="AL1150" s="38"/>
      <c r="AM1150" s="38"/>
      <c r="AN1150" s="38"/>
      <c r="AO1150" s="38"/>
      <c r="AP1150" s="38"/>
      <c r="AQ1150" s="38"/>
      <c r="AR1150" s="38"/>
      <c r="AS1150" s="38"/>
      <c r="AT1150" s="38"/>
      <c r="AU1150" s="38"/>
      <c r="AV1150" s="38"/>
      <c r="AW1150" s="38"/>
      <c r="AX1150" s="38"/>
      <c r="AY1150" s="38"/>
      <c r="AZ1150" s="38"/>
      <c r="BA1150" s="38"/>
      <c r="BB1150" s="38"/>
      <c r="BC1150" s="38"/>
      <c r="BD1150" s="38"/>
      <c r="BE1150" s="38"/>
      <c r="BF1150" s="38"/>
      <c r="BG1150" s="38"/>
      <c r="BH1150" s="38"/>
      <c r="BI1150" s="38"/>
      <c r="BJ1150" s="38"/>
      <c r="BK1150" s="38"/>
      <c r="BL1150" s="38"/>
      <c r="BM1150" s="38"/>
      <c r="BN1150" s="38"/>
      <c r="BO1150" s="38"/>
      <c r="BP1150" s="38"/>
      <c r="BQ1150" s="38"/>
    </row>
    <row r="1151">
      <c r="A1151" s="58"/>
      <c r="B1151" s="341"/>
      <c r="C1151" s="60"/>
      <c r="D1151" s="60"/>
      <c r="E1151" s="58"/>
      <c r="F1151" s="58"/>
      <c r="G1151" s="58"/>
      <c r="H1151" s="33" t="str">
        <f t="shared" si="33"/>
        <v/>
      </c>
      <c r="I1151" s="58"/>
      <c r="J1151" s="58"/>
      <c r="K1151" s="58"/>
      <c r="L1151" s="58"/>
      <c r="M1151" s="80"/>
      <c r="N1151" s="77"/>
      <c r="O1151" s="62"/>
      <c r="P1151" s="62"/>
      <c r="Q1151" s="62"/>
      <c r="R1151" s="62"/>
      <c r="S1151" s="37" t="str">
        <f>IFERROR(__xludf.DUMMYFUNCTION("if(not(iserror(index(split(C1151, "" ""),2))), index(split(C1151, "" ""),1),"""")"),"")</f>
        <v/>
      </c>
      <c r="T1151" s="315" t="str">
        <f>IFERROR(__xludf.DUMMYFUNCTION("if(S1151="""",C1151,if(not(iserror(index(split(C1151, "" ""),3))), index(split(C1151, "" ""),3),index(split(C1151, "" ""),2)))"),"")</f>
        <v/>
      </c>
      <c r="U1151" s="38" t="b">
        <f t="shared" si="34"/>
        <v>0</v>
      </c>
      <c r="V1151" s="38"/>
      <c r="W1151" s="40"/>
      <c r="X1151" s="40"/>
      <c r="Y1151" s="38"/>
      <c r="Z1151" s="38"/>
      <c r="AA1151" s="38"/>
      <c r="AB1151" s="38"/>
      <c r="AC1151" s="38"/>
      <c r="AD1151" s="38"/>
      <c r="AE1151" s="38"/>
      <c r="AF1151" s="38"/>
      <c r="AG1151" s="38"/>
      <c r="AH1151" s="38"/>
      <c r="AI1151" s="38"/>
      <c r="AJ1151" s="38"/>
      <c r="AK1151" s="38"/>
      <c r="AL1151" s="38"/>
      <c r="AM1151" s="38"/>
      <c r="AN1151" s="38"/>
      <c r="AO1151" s="38"/>
      <c r="AP1151" s="38"/>
      <c r="AQ1151" s="38"/>
      <c r="AR1151" s="38"/>
      <c r="AS1151" s="38"/>
      <c r="AT1151" s="38"/>
      <c r="AU1151" s="38"/>
      <c r="AV1151" s="38"/>
      <c r="AW1151" s="38"/>
      <c r="AX1151" s="38"/>
      <c r="AY1151" s="38"/>
      <c r="AZ1151" s="38"/>
      <c r="BA1151" s="38"/>
      <c r="BB1151" s="38"/>
      <c r="BC1151" s="38"/>
      <c r="BD1151" s="38"/>
      <c r="BE1151" s="38"/>
      <c r="BF1151" s="38"/>
      <c r="BG1151" s="38"/>
      <c r="BH1151" s="38"/>
      <c r="BI1151" s="38"/>
      <c r="BJ1151" s="38"/>
      <c r="BK1151" s="38"/>
      <c r="BL1151" s="38"/>
      <c r="BM1151" s="38"/>
      <c r="BN1151" s="38"/>
      <c r="BO1151" s="38"/>
      <c r="BP1151" s="38"/>
      <c r="BQ1151" s="38"/>
    </row>
    <row r="1152">
      <c r="A1152" s="58"/>
      <c r="B1152" s="341"/>
      <c r="C1152" s="60"/>
      <c r="D1152" s="60"/>
      <c r="E1152" s="58"/>
      <c r="F1152" s="58"/>
      <c r="G1152" s="58"/>
      <c r="H1152" s="33" t="str">
        <f t="shared" si="33"/>
        <v/>
      </c>
      <c r="I1152" s="58"/>
      <c r="J1152" s="58"/>
      <c r="K1152" s="58"/>
      <c r="L1152" s="58"/>
      <c r="M1152" s="80"/>
      <c r="N1152" s="77"/>
      <c r="O1152" s="62"/>
      <c r="P1152" s="62"/>
      <c r="Q1152" s="62"/>
      <c r="R1152" s="62"/>
      <c r="S1152" s="37" t="str">
        <f>IFERROR(__xludf.DUMMYFUNCTION("if(not(iserror(index(split(C1152, "" ""),2))), index(split(C1152, "" ""),1),"""")"),"")</f>
        <v/>
      </c>
      <c r="T1152" s="315" t="str">
        <f>IFERROR(__xludf.DUMMYFUNCTION("if(S1152="""",C1152,if(not(iserror(index(split(C1152, "" ""),3))), index(split(C1152, "" ""),3),index(split(C1152, "" ""),2)))"),"")</f>
        <v/>
      </c>
      <c r="U1152" s="38" t="b">
        <f t="shared" si="34"/>
        <v>0</v>
      </c>
      <c r="V1152" s="38"/>
      <c r="W1152" s="40"/>
      <c r="X1152" s="40"/>
      <c r="Y1152" s="38"/>
      <c r="Z1152" s="38"/>
      <c r="AA1152" s="38"/>
      <c r="AB1152" s="38"/>
      <c r="AC1152" s="38"/>
      <c r="AD1152" s="38"/>
      <c r="AE1152" s="38"/>
      <c r="AF1152" s="38"/>
      <c r="AG1152" s="38"/>
      <c r="AH1152" s="38"/>
      <c r="AI1152" s="38"/>
      <c r="AJ1152" s="38"/>
      <c r="AK1152" s="38"/>
      <c r="AL1152" s="38"/>
      <c r="AM1152" s="38"/>
      <c r="AN1152" s="38"/>
      <c r="AO1152" s="38"/>
      <c r="AP1152" s="38"/>
      <c r="AQ1152" s="38"/>
      <c r="AR1152" s="38"/>
      <c r="AS1152" s="38"/>
      <c r="AT1152" s="38"/>
      <c r="AU1152" s="38"/>
      <c r="AV1152" s="38"/>
      <c r="AW1152" s="38"/>
      <c r="AX1152" s="38"/>
      <c r="AY1152" s="38"/>
      <c r="AZ1152" s="38"/>
      <c r="BA1152" s="38"/>
      <c r="BB1152" s="38"/>
      <c r="BC1152" s="38"/>
      <c r="BD1152" s="38"/>
      <c r="BE1152" s="38"/>
      <c r="BF1152" s="38"/>
      <c r="BG1152" s="38"/>
      <c r="BH1152" s="38"/>
      <c r="BI1152" s="38"/>
      <c r="BJ1152" s="38"/>
      <c r="BK1152" s="38"/>
      <c r="BL1152" s="38"/>
      <c r="BM1152" s="38"/>
      <c r="BN1152" s="38"/>
      <c r="BO1152" s="38"/>
      <c r="BP1152" s="38"/>
      <c r="BQ1152" s="38"/>
    </row>
    <row r="1153">
      <c r="A1153" s="58"/>
      <c r="B1153" s="341"/>
      <c r="C1153" s="60"/>
      <c r="D1153" s="60"/>
      <c r="E1153" s="58"/>
      <c r="F1153" s="58"/>
      <c r="G1153" s="58"/>
      <c r="H1153" s="33" t="str">
        <f t="shared" si="33"/>
        <v/>
      </c>
      <c r="I1153" s="58"/>
      <c r="J1153" s="58"/>
      <c r="K1153" s="58"/>
      <c r="L1153" s="58"/>
      <c r="M1153" s="80"/>
      <c r="N1153" s="77"/>
      <c r="O1153" s="62"/>
      <c r="P1153" s="62"/>
      <c r="Q1153" s="62"/>
      <c r="R1153" s="62"/>
      <c r="S1153" s="37" t="str">
        <f>IFERROR(__xludf.DUMMYFUNCTION("if(not(iserror(index(split(C1153, "" ""),2))), index(split(C1153, "" ""),1),"""")"),"")</f>
        <v/>
      </c>
      <c r="T1153" s="315" t="str">
        <f>IFERROR(__xludf.DUMMYFUNCTION("if(S1153="""",C1153,if(not(iserror(index(split(C1153, "" ""),3))), index(split(C1153, "" ""),3),index(split(C1153, "" ""),2)))"),"")</f>
        <v/>
      </c>
      <c r="U1153" s="38" t="b">
        <f t="shared" si="34"/>
        <v>0</v>
      </c>
      <c r="V1153" s="38"/>
      <c r="W1153" s="40"/>
      <c r="X1153" s="40"/>
      <c r="Y1153" s="38"/>
      <c r="Z1153" s="38"/>
      <c r="AA1153" s="38"/>
      <c r="AB1153" s="38"/>
      <c r="AC1153" s="38"/>
      <c r="AD1153" s="38"/>
      <c r="AE1153" s="38"/>
      <c r="AF1153" s="38"/>
      <c r="AG1153" s="38"/>
      <c r="AH1153" s="38"/>
      <c r="AI1153" s="38"/>
      <c r="AJ1153" s="38"/>
      <c r="AK1153" s="38"/>
      <c r="AL1153" s="38"/>
      <c r="AM1153" s="38"/>
      <c r="AN1153" s="38"/>
      <c r="AO1153" s="38"/>
      <c r="AP1153" s="38"/>
      <c r="AQ1153" s="38"/>
      <c r="AR1153" s="38"/>
      <c r="AS1153" s="38"/>
      <c r="AT1153" s="38"/>
      <c r="AU1153" s="38"/>
      <c r="AV1153" s="38"/>
      <c r="AW1153" s="38"/>
      <c r="AX1153" s="38"/>
      <c r="AY1153" s="38"/>
      <c r="AZ1153" s="38"/>
      <c r="BA1153" s="38"/>
      <c r="BB1153" s="38"/>
      <c r="BC1153" s="38"/>
      <c r="BD1153" s="38"/>
      <c r="BE1153" s="38"/>
      <c r="BF1153" s="38"/>
      <c r="BG1153" s="38"/>
      <c r="BH1153" s="38"/>
      <c r="BI1153" s="38"/>
      <c r="BJ1153" s="38"/>
      <c r="BK1153" s="38"/>
      <c r="BL1153" s="38"/>
      <c r="BM1153" s="38"/>
      <c r="BN1153" s="38"/>
      <c r="BO1153" s="38"/>
      <c r="BP1153" s="38"/>
      <c r="BQ1153" s="38"/>
    </row>
    <row r="1154">
      <c r="A1154" s="58"/>
      <c r="B1154" s="341"/>
      <c r="C1154" s="60"/>
      <c r="D1154" s="60"/>
      <c r="E1154" s="58"/>
      <c r="F1154" s="58"/>
      <c r="G1154" s="58"/>
      <c r="H1154" s="33" t="str">
        <f t="shared" si="33"/>
        <v/>
      </c>
      <c r="I1154" s="58"/>
      <c r="J1154" s="58"/>
      <c r="K1154" s="58"/>
      <c r="L1154" s="58"/>
      <c r="M1154" s="80"/>
      <c r="N1154" s="77"/>
      <c r="O1154" s="62"/>
      <c r="P1154" s="62"/>
      <c r="Q1154" s="62"/>
      <c r="R1154" s="62"/>
      <c r="S1154" s="37" t="str">
        <f>IFERROR(__xludf.DUMMYFUNCTION("if(not(iserror(index(split(C1154, "" ""),2))), index(split(C1154, "" ""),1),"""")"),"")</f>
        <v/>
      </c>
      <c r="T1154" s="315" t="str">
        <f>IFERROR(__xludf.DUMMYFUNCTION("if(S1154="""",C1154,if(not(iserror(index(split(C1154, "" ""),3))), index(split(C1154, "" ""),3),index(split(C1154, "" ""),2)))"),"")</f>
        <v/>
      </c>
      <c r="U1154" s="38" t="b">
        <f t="shared" si="34"/>
        <v>0</v>
      </c>
      <c r="V1154" s="38"/>
      <c r="W1154" s="40"/>
      <c r="X1154" s="40"/>
      <c r="Y1154" s="38"/>
      <c r="Z1154" s="38"/>
      <c r="AA1154" s="38"/>
      <c r="AB1154" s="38"/>
      <c r="AC1154" s="38"/>
      <c r="AD1154" s="38"/>
      <c r="AE1154" s="38"/>
      <c r="AF1154" s="38"/>
      <c r="AG1154" s="38"/>
      <c r="AH1154" s="38"/>
      <c r="AI1154" s="38"/>
      <c r="AJ1154" s="38"/>
      <c r="AK1154" s="38"/>
      <c r="AL1154" s="38"/>
      <c r="AM1154" s="38"/>
      <c r="AN1154" s="38"/>
      <c r="AO1154" s="38"/>
      <c r="AP1154" s="38"/>
      <c r="AQ1154" s="38"/>
      <c r="AR1154" s="38"/>
      <c r="AS1154" s="38"/>
      <c r="AT1154" s="38"/>
      <c r="AU1154" s="38"/>
      <c r="AV1154" s="38"/>
      <c r="AW1154" s="38"/>
      <c r="AX1154" s="38"/>
      <c r="AY1154" s="38"/>
      <c r="AZ1154" s="38"/>
      <c r="BA1154" s="38"/>
      <c r="BB1154" s="38"/>
      <c r="BC1154" s="38"/>
      <c r="BD1154" s="38"/>
      <c r="BE1154" s="38"/>
      <c r="BF1154" s="38"/>
      <c r="BG1154" s="38"/>
      <c r="BH1154" s="38"/>
      <c r="BI1154" s="38"/>
      <c r="BJ1154" s="38"/>
      <c r="BK1154" s="38"/>
      <c r="BL1154" s="38"/>
      <c r="BM1154" s="38"/>
      <c r="BN1154" s="38"/>
      <c r="BO1154" s="38"/>
      <c r="BP1154" s="38"/>
      <c r="BQ1154" s="38"/>
    </row>
    <row r="1155">
      <c r="A1155" s="58"/>
      <c r="B1155" s="341"/>
      <c r="C1155" s="60"/>
      <c r="D1155" s="60"/>
      <c r="E1155" s="58"/>
      <c r="F1155" s="58"/>
      <c r="G1155" s="58"/>
      <c r="H1155" s="33" t="str">
        <f t="shared" si="33"/>
        <v/>
      </c>
      <c r="I1155" s="58"/>
      <c r="J1155" s="58"/>
      <c r="K1155" s="58"/>
      <c r="L1155" s="58"/>
      <c r="M1155" s="80"/>
      <c r="N1155" s="77"/>
      <c r="O1155" s="62"/>
      <c r="P1155" s="62"/>
      <c r="Q1155" s="62"/>
      <c r="R1155" s="62"/>
      <c r="S1155" s="37" t="str">
        <f>IFERROR(__xludf.DUMMYFUNCTION("if(not(iserror(index(split(C1155, "" ""),2))), index(split(C1155, "" ""),1),"""")"),"")</f>
        <v/>
      </c>
      <c r="T1155" s="315" t="str">
        <f>IFERROR(__xludf.DUMMYFUNCTION("if(S1155="""",C1155,if(not(iserror(index(split(C1155, "" ""),3))), index(split(C1155, "" ""),3),index(split(C1155, "" ""),2)))"),"")</f>
        <v/>
      </c>
      <c r="U1155" s="38" t="b">
        <f t="shared" si="34"/>
        <v>0</v>
      </c>
      <c r="V1155" s="38"/>
      <c r="W1155" s="40"/>
      <c r="X1155" s="40"/>
      <c r="Y1155" s="38"/>
      <c r="Z1155" s="38"/>
      <c r="AA1155" s="38"/>
      <c r="AB1155" s="38"/>
      <c r="AC1155" s="38"/>
      <c r="AD1155" s="38"/>
      <c r="AE1155" s="38"/>
      <c r="AF1155" s="38"/>
      <c r="AG1155" s="38"/>
      <c r="AH1155" s="38"/>
      <c r="AI1155" s="38"/>
      <c r="AJ1155" s="38"/>
      <c r="AK1155" s="38"/>
      <c r="AL1155" s="38"/>
      <c r="AM1155" s="38"/>
      <c r="AN1155" s="38"/>
      <c r="AO1155" s="38"/>
      <c r="AP1155" s="38"/>
      <c r="AQ1155" s="38"/>
      <c r="AR1155" s="38"/>
      <c r="AS1155" s="38"/>
      <c r="AT1155" s="38"/>
      <c r="AU1155" s="38"/>
      <c r="AV1155" s="38"/>
      <c r="AW1155" s="38"/>
      <c r="AX1155" s="38"/>
      <c r="AY1155" s="38"/>
      <c r="AZ1155" s="38"/>
      <c r="BA1155" s="38"/>
      <c r="BB1155" s="38"/>
      <c r="BC1155" s="38"/>
      <c r="BD1155" s="38"/>
      <c r="BE1155" s="38"/>
      <c r="BF1155" s="38"/>
      <c r="BG1155" s="38"/>
      <c r="BH1155" s="38"/>
      <c r="BI1155" s="38"/>
      <c r="BJ1155" s="38"/>
      <c r="BK1155" s="38"/>
      <c r="BL1155" s="38"/>
      <c r="BM1155" s="38"/>
      <c r="BN1155" s="38"/>
      <c r="BO1155" s="38"/>
      <c r="BP1155" s="38"/>
      <c r="BQ1155" s="38"/>
    </row>
    <row r="1156">
      <c r="A1156" s="58"/>
      <c r="B1156" s="387"/>
      <c r="C1156" s="60"/>
      <c r="D1156" s="60"/>
      <c r="E1156" s="58"/>
      <c r="F1156" s="58"/>
      <c r="G1156" s="58"/>
      <c r="H1156" s="33" t="str">
        <f t="shared" si="33"/>
        <v/>
      </c>
      <c r="I1156" s="58"/>
      <c r="J1156" s="58"/>
      <c r="K1156" s="58"/>
      <c r="L1156" s="58"/>
      <c r="M1156" s="14"/>
      <c r="N1156" s="77"/>
      <c r="O1156" s="62"/>
      <c r="P1156" s="62"/>
      <c r="Q1156" s="62"/>
      <c r="R1156" s="62"/>
      <c r="S1156" s="37" t="str">
        <f>IFERROR(__xludf.DUMMYFUNCTION("if(not(iserror(index(split(C1156, "" ""),2))), index(split(C1156, "" ""),1),"""")"),"")</f>
        <v/>
      </c>
      <c r="T1156" s="315" t="str">
        <f>IFERROR(__xludf.DUMMYFUNCTION("if(S1156="""",C1156,if(not(iserror(index(split(C1156, "" ""),3))), index(split(C1156, "" ""),3),index(split(C1156, "" ""),2)))"),"")</f>
        <v/>
      </c>
      <c r="U1156" s="38" t="b">
        <f t="shared" si="34"/>
        <v>0</v>
      </c>
      <c r="V1156" s="38"/>
      <c r="W1156" s="40"/>
      <c r="X1156" s="40"/>
      <c r="Y1156" s="38"/>
      <c r="Z1156" s="38"/>
      <c r="AA1156" s="38"/>
      <c r="AB1156" s="38"/>
      <c r="AC1156" s="38"/>
      <c r="AD1156" s="38"/>
      <c r="AE1156" s="38"/>
      <c r="AF1156" s="38"/>
      <c r="AG1156" s="38"/>
      <c r="AH1156" s="38"/>
      <c r="AI1156" s="38"/>
      <c r="AJ1156" s="38"/>
      <c r="AK1156" s="38"/>
      <c r="AL1156" s="38"/>
      <c r="AM1156" s="38"/>
      <c r="AN1156" s="38"/>
      <c r="AO1156" s="38"/>
      <c r="AP1156" s="38"/>
      <c r="AQ1156" s="38"/>
      <c r="AR1156" s="38"/>
      <c r="AS1156" s="38"/>
      <c r="AT1156" s="38"/>
      <c r="AU1156" s="38"/>
      <c r="AV1156" s="38"/>
      <c r="AW1156" s="38"/>
      <c r="AX1156" s="38"/>
      <c r="AY1156" s="38"/>
      <c r="AZ1156" s="38"/>
      <c r="BA1156" s="38"/>
      <c r="BB1156" s="38"/>
      <c r="BC1156" s="38"/>
      <c r="BD1156" s="38"/>
      <c r="BE1156" s="38"/>
      <c r="BF1156" s="38"/>
      <c r="BG1156" s="38"/>
      <c r="BH1156" s="38"/>
      <c r="BI1156" s="38"/>
      <c r="BJ1156" s="38"/>
      <c r="BK1156" s="38"/>
      <c r="BL1156" s="38"/>
      <c r="BM1156" s="38"/>
      <c r="BN1156" s="38"/>
      <c r="BO1156" s="38"/>
      <c r="BP1156" s="38"/>
      <c r="BQ1156" s="38"/>
    </row>
    <row r="1157">
      <c r="A1157" s="58"/>
      <c r="B1157" s="387"/>
      <c r="C1157" s="60"/>
      <c r="D1157" s="60"/>
      <c r="E1157" s="58"/>
      <c r="F1157" s="58"/>
      <c r="G1157" s="58"/>
      <c r="H1157" s="33" t="str">
        <f t="shared" si="33"/>
        <v/>
      </c>
      <c r="I1157" s="58"/>
      <c r="J1157" s="58"/>
      <c r="K1157" s="58"/>
      <c r="L1157" s="58"/>
      <c r="M1157" s="14"/>
      <c r="N1157" s="77"/>
      <c r="O1157" s="62"/>
      <c r="P1157" s="62"/>
      <c r="Q1157" s="62"/>
      <c r="R1157" s="62"/>
      <c r="S1157" s="37" t="str">
        <f>IFERROR(__xludf.DUMMYFUNCTION("if(not(iserror(index(split(C1157, "" ""),2))), index(split(C1157, "" ""),1),"""")"),"")</f>
        <v/>
      </c>
      <c r="T1157" s="315" t="str">
        <f>IFERROR(__xludf.DUMMYFUNCTION("if(S1157="""",C1157,if(not(iserror(index(split(C1157, "" ""),3))), index(split(C1157, "" ""),3),index(split(C1157, "" ""),2)))"),"")</f>
        <v/>
      </c>
      <c r="U1157" s="38" t="b">
        <f t="shared" si="34"/>
        <v>0</v>
      </c>
      <c r="V1157" s="38"/>
      <c r="W1157" s="40"/>
      <c r="X1157" s="40"/>
      <c r="Y1157" s="38"/>
      <c r="Z1157" s="38"/>
      <c r="AA1157" s="38"/>
      <c r="AB1157" s="38"/>
      <c r="AC1157" s="38"/>
      <c r="AD1157" s="38"/>
      <c r="AE1157" s="38"/>
      <c r="AF1157" s="38"/>
      <c r="AG1157" s="38"/>
      <c r="AH1157" s="38"/>
      <c r="AI1157" s="38"/>
      <c r="AJ1157" s="38"/>
      <c r="AK1157" s="38"/>
      <c r="AL1157" s="38"/>
      <c r="AM1157" s="38"/>
      <c r="AN1157" s="38"/>
      <c r="AO1157" s="38"/>
      <c r="AP1157" s="38"/>
      <c r="AQ1157" s="38"/>
      <c r="AR1157" s="38"/>
      <c r="AS1157" s="38"/>
      <c r="AT1157" s="38"/>
      <c r="AU1157" s="38"/>
      <c r="AV1157" s="38"/>
      <c r="AW1157" s="38"/>
      <c r="AX1157" s="38"/>
      <c r="AY1157" s="38"/>
      <c r="AZ1157" s="38"/>
      <c r="BA1157" s="38"/>
      <c r="BB1157" s="38"/>
      <c r="BC1157" s="38"/>
      <c r="BD1157" s="38"/>
      <c r="BE1157" s="38"/>
      <c r="BF1157" s="38"/>
      <c r="BG1157" s="38"/>
      <c r="BH1157" s="38"/>
      <c r="BI1157" s="38"/>
      <c r="BJ1157" s="38"/>
      <c r="BK1157" s="38"/>
      <c r="BL1157" s="38"/>
      <c r="BM1157" s="38"/>
      <c r="BN1157" s="38"/>
      <c r="BO1157" s="38"/>
      <c r="BP1157" s="38"/>
      <c r="BQ1157" s="38"/>
    </row>
    <row r="1158">
      <c r="A1158" s="58"/>
      <c r="B1158" s="387"/>
      <c r="C1158" s="60"/>
      <c r="D1158" s="60"/>
      <c r="E1158" s="58"/>
      <c r="F1158" s="58"/>
      <c r="G1158" s="58"/>
      <c r="H1158" s="33" t="str">
        <f t="shared" si="33"/>
        <v/>
      </c>
      <c r="I1158" s="58"/>
      <c r="J1158" s="58"/>
      <c r="K1158" s="58"/>
      <c r="L1158" s="58"/>
      <c r="M1158" s="14"/>
      <c r="N1158" s="77"/>
      <c r="O1158" s="62"/>
      <c r="P1158" s="62"/>
      <c r="Q1158" s="62"/>
      <c r="R1158" s="62"/>
      <c r="S1158" s="37" t="str">
        <f>IFERROR(__xludf.DUMMYFUNCTION("if(not(iserror(index(split(C1158, "" ""),2))), index(split(C1158, "" ""),1),"""")"),"")</f>
        <v/>
      </c>
      <c r="T1158" s="315" t="str">
        <f>IFERROR(__xludf.DUMMYFUNCTION("if(S1158="""",C1158,if(not(iserror(index(split(C1158, "" ""),3))), index(split(C1158, "" ""),3),index(split(C1158, "" ""),2)))"),"")</f>
        <v/>
      </c>
      <c r="U1158" s="38" t="b">
        <f t="shared" si="34"/>
        <v>0</v>
      </c>
      <c r="V1158" s="38"/>
      <c r="W1158" s="40"/>
      <c r="X1158" s="40"/>
      <c r="Y1158" s="38"/>
      <c r="Z1158" s="38"/>
      <c r="AA1158" s="38"/>
      <c r="AB1158" s="38"/>
      <c r="AC1158" s="38"/>
      <c r="AD1158" s="38"/>
      <c r="AE1158" s="38"/>
      <c r="AF1158" s="38"/>
      <c r="AG1158" s="38"/>
      <c r="AH1158" s="38"/>
      <c r="AI1158" s="38"/>
      <c r="AJ1158" s="38"/>
      <c r="AK1158" s="38"/>
      <c r="AL1158" s="38"/>
      <c r="AM1158" s="38"/>
      <c r="AN1158" s="38"/>
      <c r="AO1158" s="38"/>
      <c r="AP1158" s="38"/>
      <c r="AQ1158" s="38"/>
      <c r="AR1158" s="38"/>
      <c r="AS1158" s="38"/>
      <c r="AT1158" s="38"/>
      <c r="AU1158" s="38"/>
      <c r="AV1158" s="38"/>
      <c r="AW1158" s="38"/>
      <c r="AX1158" s="38"/>
      <c r="AY1158" s="38"/>
      <c r="AZ1158" s="38"/>
      <c r="BA1158" s="38"/>
      <c r="BB1158" s="38"/>
      <c r="BC1158" s="38"/>
      <c r="BD1158" s="38"/>
      <c r="BE1158" s="38"/>
      <c r="BF1158" s="38"/>
      <c r="BG1158" s="38"/>
      <c r="BH1158" s="38"/>
      <c r="BI1158" s="38"/>
      <c r="BJ1158" s="38"/>
      <c r="BK1158" s="38"/>
      <c r="BL1158" s="38"/>
      <c r="BM1158" s="38"/>
      <c r="BN1158" s="38"/>
      <c r="BO1158" s="38"/>
      <c r="BP1158" s="38"/>
      <c r="BQ1158" s="38"/>
    </row>
    <row r="1159">
      <c r="A1159" s="58"/>
      <c r="B1159" s="387"/>
      <c r="C1159" s="60"/>
      <c r="D1159" s="60"/>
      <c r="E1159" s="58"/>
      <c r="F1159" s="58"/>
      <c r="G1159" s="58"/>
      <c r="H1159" s="33" t="str">
        <f t="shared" si="33"/>
        <v/>
      </c>
      <c r="I1159" s="58"/>
      <c r="J1159" s="58"/>
      <c r="K1159" s="58"/>
      <c r="L1159" s="58"/>
      <c r="M1159" s="14"/>
      <c r="N1159" s="77"/>
      <c r="O1159" s="58"/>
      <c r="P1159" s="58"/>
      <c r="Q1159" s="84"/>
      <c r="R1159" s="62"/>
      <c r="S1159" s="37" t="str">
        <f>IFERROR(__xludf.DUMMYFUNCTION("if(not(iserror(index(split(C1159, "" ""),2))), index(split(C1159, "" ""),1),"""")"),"")</f>
        <v/>
      </c>
      <c r="T1159" s="315" t="str">
        <f>IFERROR(__xludf.DUMMYFUNCTION("if(S1159="""",C1159,if(not(iserror(index(split(C1159, "" ""),3))), index(split(C1159, "" ""),3),index(split(C1159, "" ""),2)))"),"")</f>
        <v/>
      </c>
      <c r="U1159" s="38" t="b">
        <f t="shared" si="34"/>
        <v>0</v>
      </c>
      <c r="V1159" s="38"/>
      <c r="W1159" s="40"/>
      <c r="X1159" s="40"/>
      <c r="Y1159" s="38"/>
      <c r="Z1159" s="38"/>
      <c r="AA1159" s="38"/>
      <c r="AB1159" s="38"/>
      <c r="AC1159" s="38"/>
      <c r="AD1159" s="38"/>
      <c r="AE1159" s="38"/>
      <c r="AF1159" s="38"/>
      <c r="AG1159" s="38"/>
      <c r="AH1159" s="38"/>
      <c r="AI1159" s="38"/>
      <c r="AJ1159" s="38"/>
      <c r="AK1159" s="38"/>
      <c r="AL1159" s="38"/>
      <c r="AM1159" s="38"/>
      <c r="AN1159" s="38"/>
      <c r="AO1159" s="38"/>
      <c r="AP1159" s="38"/>
      <c r="AQ1159" s="38"/>
      <c r="AR1159" s="38"/>
      <c r="AS1159" s="38"/>
      <c r="AT1159" s="38"/>
      <c r="AU1159" s="38"/>
      <c r="AV1159" s="38"/>
      <c r="AW1159" s="38"/>
      <c r="AX1159" s="38"/>
      <c r="AY1159" s="38"/>
      <c r="AZ1159" s="38"/>
      <c r="BA1159" s="38"/>
      <c r="BB1159" s="38"/>
      <c r="BC1159" s="38"/>
      <c r="BD1159" s="38"/>
      <c r="BE1159" s="38"/>
      <c r="BF1159" s="38"/>
      <c r="BG1159" s="38"/>
      <c r="BH1159" s="38"/>
      <c r="BI1159" s="38"/>
      <c r="BJ1159" s="38"/>
      <c r="BK1159" s="38"/>
      <c r="BL1159" s="38"/>
      <c r="BM1159" s="38"/>
      <c r="BN1159" s="38"/>
      <c r="BO1159" s="38"/>
      <c r="BP1159" s="38"/>
      <c r="BQ1159" s="38"/>
    </row>
    <row r="1160">
      <c r="A1160" s="58"/>
      <c r="B1160" s="387"/>
      <c r="C1160" s="60"/>
      <c r="D1160" s="60"/>
      <c r="E1160" s="58"/>
      <c r="F1160" s="58"/>
      <c r="G1160" s="58"/>
      <c r="H1160" s="33" t="str">
        <f t="shared" si="33"/>
        <v/>
      </c>
      <c r="I1160" s="58"/>
      <c r="J1160" s="58"/>
      <c r="K1160" s="58"/>
      <c r="L1160" s="58"/>
      <c r="M1160" s="14"/>
      <c r="N1160" s="77"/>
      <c r="O1160" s="58"/>
      <c r="P1160" s="58"/>
      <c r="Q1160" s="58"/>
      <c r="R1160" s="62"/>
      <c r="S1160" s="37" t="str">
        <f>IFERROR(__xludf.DUMMYFUNCTION("if(not(iserror(index(split(C1160, "" ""),2))), index(split(C1160, "" ""),1),"""")"),"")</f>
        <v/>
      </c>
      <c r="T1160" s="315" t="str">
        <f>IFERROR(__xludf.DUMMYFUNCTION("if(S1160="""",C1160,if(not(iserror(index(split(C1160, "" ""),3))), index(split(C1160, "" ""),3),index(split(C1160, "" ""),2)))"),"")</f>
        <v/>
      </c>
      <c r="U1160" s="38" t="b">
        <f t="shared" si="34"/>
        <v>0</v>
      </c>
      <c r="V1160" s="38"/>
      <c r="W1160" s="40"/>
      <c r="X1160" s="40"/>
      <c r="Y1160" s="38"/>
      <c r="Z1160" s="38"/>
      <c r="AA1160" s="38"/>
      <c r="AB1160" s="38"/>
      <c r="AC1160" s="38"/>
      <c r="AD1160" s="38"/>
      <c r="AE1160" s="38"/>
      <c r="AF1160" s="38"/>
      <c r="AG1160" s="38"/>
      <c r="AH1160" s="38"/>
      <c r="AI1160" s="38"/>
      <c r="AJ1160" s="38"/>
      <c r="AK1160" s="38"/>
      <c r="AL1160" s="38"/>
      <c r="AM1160" s="38"/>
      <c r="AN1160" s="38"/>
      <c r="AO1160" s="38"/>
      <c r="AP1160" s="38"/>
      <c r="AQ1160" s="38"/>
      <c r="AR1160" s="38"/>
      <c r="AS1160" s="38"/>
      <c r="AT1160" s="38"/>
      <c r="AU1160" s="38"/>
      <c r="AV1160" s="38"/>
      <c r="AW1160" s="38"/>
      <c r="AX1160" s="38"/>
      <c r="AY1160" s="38"/>
      <c r="AZ1160" s="38"/>
      <c r="BA1160" s="38"/>
      <c r="BB1160" s="38"/>
      <c r="BC1160" s="38"/>
      <c r="BD1160" s="38"/>
      <c r="BE1160" s="38"/>
      <c r="BF1160" s="38"/>
      <c r="BG1160" s="38"/>
      <c r="BH1160" s="38"/>
      <c r="BI1160" s="38"/>
      <c r="BJ1160" s="38"/>
      <c r="BK1160" s="38"/>
      <c r="BL1160" s="38"/>
      <c r="BM1160" s="38"/>
      <c r="BN1160" s="38"/>
      <c r="BO1160" s="38"/>
      <c r="BP1160" s="38"/>
      <c r="BQ1160" s="38"/>
    </row>
    <row r="1161">
      <c r="A1161" s="58"/>
      <c r="B1161" s="387"/>
      <c r="C1161" s="60"/>
      <c r="D1161" s="60"/>
      <c r="E1161" s="58"/>
      <c r="F1161" s="58"/>
      <c r="G1161" s="58"/>
      <c r="H1161" s="33" t="str">
        <f t="shared" si="33"/>
        <v/>
      </c>
      <c r="I1161" s="58"/>
      <c r="J1161" s="58"/>
      <c r="K1161" s="58"/>
      <c r="L1161" s="58"/>
      <c r="M1161" s="14"/>
      <c r="N1161" s="77"/>
      <c r="O1161" s="62"/>
      <c r="P1161" s="62"/>
      <c r="Q1161" s="62"/>
      <c r="R1161" s="62"/>
      <c r="S1161" s="37" t="str">
        <f>IFERROR(__xludf.DUMMYFUNCTION("if(not(iserror(index(split(C1161, "" ""),2))), index(split(C1161, "" ""),1),"""")"),"")</f>
        <v/>
      </c>
      <c r="T1161" s="315" t="str">
        <f>IFERROR(__xludf.DUMMYFUNCTION("if(S1161="""",C1161,if(not(iserror(index(split(C1161, "" ""),3))), index(split(C1161, "" ""),3),index(split(C1161, "" ""),2)))"),"")</f>
        <v/>
      </c>
      <c r="U1161" s="38" t="b">
        <f t="shared" si="34"/>
        <v>0</v>
      </c>
      <c r="V1161" s="38"/>
      <c r="W1161" s="40"/>
      <c r="X1161" s="40"/>
      <c r="Y1161" s="38"/>
      <c r="Z1161" s="38"/>
      <c r="AA1161" s="38"/>
      <c r="AB1161" s="38"/>
      <c r="AC1161" s="38"/>
      <c r="AD1161" s="38"/>
      <c r="AE1161" s="38"/>
      <c r="AF1161" s="38"/>
      <c r="AG1161" s="38"/>
      <c r="AH1161" s="38"/>
      <c r="AI1161" s="38"/>
      <c r="AJ1161" s="38"/>
      <c r="AK1161" s="38"/>
      <c r="AL1161" s="38"/>
      <c r="AM1161" s="38"/>
      <c r="AN1161" s="38"/>
      <c r="AO1161" s="38"/>
      <c r="AP1161" s="38"/>
      <c r="AQ1161" s="38"/>
      <c r="AR1161" s="38"/>
      <c r="AS1161" s="38"/>
      <c r="AT1161" s="38"/>
      <c r="AU1161" s="38"/>
      <c r="AV1161" s="38"/>
      <c r="AW1161" s="38"/>
      <c r="AX1161" s="38"/>
      <c r="AY1161" s="38"/>
      <c r="AZ1161" s="38"/>
      <c r="BA1161" s="38"/>
      <c r="BB1161" s="38"/>
      <c r="BC1161" s="38"/>
      <c r="BD1161" s="38"/>
      <c r="BE1161" s="38"/>
      <c r="BF1161" s="38"/>
      <c r="BG1161" s="38"/>
      <c r="BH1161" s="38"/>
      <c r="BI1161" s="38"/>
      <c r="BJ1161" s="38"/>
      <c r="BK1161" s="38"/>
      <c r="BL1161" s="38"/>
      <c r="BM1161" s="38"/>
      <c r="BN1161" s="38"/>
      <c r="BO1161" s="38"/>
      <c r="BP1161" s="38"/>
      <c r="BQ1161" s="38"/>
    </row>
    <row r="1162">
      <c r="A1162" s="58"/>
      <c r="B1162" s="387"/>
      <c r="C1162" s="60"/>
      <c r="D1162" s="60"/>
      <c r="E1162" s="58"/>
      <c r="F1162" s="58"/>
      <c r="G1162" s="58"/>
      <c r="H1162" s="33" t="str">
        <f t="shared" si="33"/>
        <v/>
      </c>
      <c r="I1162" s="58"/>
      <c r="J1162" s="58"/>
      <c r="K1162" s="58"/>
      <c r="L1162" s="58"/>
      <c r="M1162" s="14"/>
      <c r="N1162" s="77"/>
      <c r="O1162" s="62"/>
      <c r="P1162" s="62"/>
      <c r="Q1162" s="62"/>
      <c r="R1162" s="62"/>
      <c r="S1162" s="37" t="str">
        <f>IFERROR(__xludf.DUMMYFUNCTION("if(not(iserror(index(split(C1162, "" ""),2))), index(split(C1162, "" ""),1),"""")"),"")</f>
        <v/>
      </c>
      <c r="T1162" s="315" t="str">
        <f>IFERROR(__xludf.DUMMYFUNCTION("if(S1162="""",C1162,if(not(iserror(index(split(C1162, "" ""),3))), index(split(C1162, "" ""),3),index(split(C1162, "" ""),2)))"),"")</f>
        <v/>
      </c>
      <c r="U1162" s="38" t="b">
        <f t="shared" si="34"/>
        <v>0</v>
      </c>
      <c r="V1162" s="38"/>
      <c r="W1162" s="40"/>
      <c r="X1162" s="40"/>
      <c r="Y1162" s="38"/>
      <c r="Z1162" s="38"/>
      <c r="AA1162" s="38"/>
      <c r="AB1162" s="38"/>
      <c r="AC1162" s="38"/>
      <c r="AD1162" s="38"/>
      <c r="AE1162" s="38"/>
      <c r="AF1162" s="38"/>
      <c r="AG1162" s="38"/>
      <c r="AH1162" s="38"/>
      <c r="AI1162" s="38"/>
      <c r="AJ1162" s="38"/>
      <c r="AK1162" s="38"/>
      <c r="AL1162" s="38"/>
      <c r="AM1162" s="38"/>
      <c r="AN1162" s="38"/>
      <c r="AO1162" s="38"/>
      <c r="AP1162" s="38"/>
      <c r="AQ1162" s="38"/>
      <c r="AR1162" s="38"/>
      <c r="AS1162" s="38"/>
      <c r="AT1162" s="38"/>
      <c r="AU1162" s="38"/>
      <c r="AV1162" s="38"/>
      <c r="AW1162" s="38"/>
      <c r="AX1162" s="38"/>
      <c r="AY1162" s="38"/>
      <c r="AZ1162" s="38"/>
      <c r="BA1162" s="38"/>
      <c r="BB1162" s="38"/>
      <c r="BC1162" s="38"/>
      <c r="BD1162" s="38"/>
      <c r="BE1162" s="38"/>
      <c r="BF1162" s="38"/>
      <c r="BG1162" s="38"/>
      <c r="BH1162" s="38"/>
      <c r="BI1162" s="38"/>
      <c r="BJ1162" s="38"/>
      <c r="BK1162" s="38"/>
      <c r="BL1162" s="38"/>
      <c r="BM1162" s="38"/>
      <c r="BN1162" s="38"/>
      <c r="BO1162" s="38"/>
      <c r="BP1162" s="38"/>
      <c r="BQ1162" s="38"/>
    </row>
    <row r="1163">
      <c r="A1163" s="58"/>
      <c r="B1163" s="387"/>
      <c r="C1163" s="60"/>
      <c r="D1163" s="60"/>
      <c r="E1163" s="58"/>
      <c r="F1163" s="58"/>
      <c r="G1163" s="58"/>
      <c r="H1163" s="33" t="str">
        <f t="shared" si="33"/>
        <v/>
      </c>
      <c r="I1163" s="58"/>
      <c r="J1163" s="58"/>
      <c r="K1163" s="58"/>
      <c r="L1163" s="58"/>
      <c r="M1163" s="14"/>
      <c r="N1163" s="77"/>
      <c r="O1163" s="62"/>
      <c r="P1163" s="62"/>
      <c r="Q1163" s="62"/>
      <c r="R1163" s="62"/>
      <c r="S1163" s="37" t="str">
        <f>IFERROR(__xludf.DUMMYFUNCTION("if(not(iserror(index(split(C1163, "" ""),2))), index(split(C1163, "" ""),1),"""")"),"")</f>
        <v/>
      </c>
      <c r="T1163" s="315" t="str">
        <f>IFERROR(__xludf.DUMMYFUNCTION("if(S1163="""",C1163,if(not(iserror(index(split(C1163, "" ""),3))), index(split(C1163, "" ""),3),index(split(C1163, "" ""),2)))"),"")</f>
        <v/>
      </c>
      <c r="U1163" s="38" t="b">
        <f t="shared" si="34"/>
        <v>0</v>
      </c>
      <c r="V1163" s="38"/>
      <c r="W1163" s="40"/>
      <c r="X1163" s="40"/>
      <c r="Y1163" s="38"/>
      <c r="Z1163" s="38"/>
      <c r="AA1163" s="38"/>
      <c r="AB1163" s="38"/>
      <c r="AC1163" s="38"/>
      <c r="AD1163" s="38"/>
      <c r="AE1163" s="38"/>
      <c r="AF1163" s="38"/>
      <c r="AG1163" s="38"/>
      <c r="AH1163" s="38"/>
      <c r="AI1163" s="38"/>
      <c r="AJ1163" s="38"/>
      <c r="AK1163" s="38"/>
      <c r="AL1163" s="38"/>
      <c r="AM1163" s="38"/>
      <c r="AN1163" s="38"/>
      <c r="AO1163" s="38"/>
      <c r="AP1163" s="38"/>
      <c r="AQ1163" s="38"/>
      <c r="AR1163" s="38"/>
      <c r="AS1163" s="38"/>
      <c r="AT1163" s="38"/>
      <c r="AU1163" s="38"/>
      <c r="AV1163" s="38"/>
      <c r="AW1163" s="38"/>
      <c r="AX1163" s="38"/>
      <c r="AY1163" s="38"/>
      <c r="AZ1163" s="38"/>
      <c r="BA1163" s="38"/>
      <c r="BB1163" s="38"/>
      <c r="BC1163" s="38"/>
      <c r="BD1163" s="38"/>
      <c r="BE1163" s="38"/>
      <c r="BF1163" s="38"/>
      <c r="BG1163" s="38"/>
      <c r="BH1163" s="38"/>
      <c r="BI1163" s="38"/>
      <c r="BJ1163" s="38"/>
      <c r="BK1163" s="38"/>
      <c r="BL1163" s="38"/>
      <c r="BM1163" s="38"/>
      <c r="BN1163" s="38"/>
      <c r="BO1163" s="38"/>
      <c r="BP1163" s="38"/>
      <c r="BQ1163" s="38"/>
    </row>
    <row r="1164">
      <c r="A1164" s="58"/>
      <c r="B1164" s="387"/>
      <c r="C1164" s="60"/>
      <c r="D1164" s="60"/>
      <c r="E1164" s="58"/>
      <c r="F1164" s="58"/>
      <c r="G1164" s="58"/>
      <c r="H1164" s="33" t="str">
        <f t="shared" si="33"/>
        <v/>
      </c>
      <c r="I1164" s="58"/>
      <c r="J1164" s="58"/>
      <c r="K1164" s="58"/>
      <c r="L1164" s="58"/>
      <c r="M1164" s="14"/>
      <c r="N1164" s="77"/>
      <c r="O1164" s="62"/>
      <c r="P1164" s="62"/>
      <c r="Q1164" s="62"/>
      <c r="R1164" s="62"/>
      <c r="S1164" s="37" t="str">
        <f>IFERROR(__xludf.DUMMYFUNCTION("if(not(iserror(index(split(C1164, "" ""),2))), index(split(C1164, "" ""),1),"""")"),"")</f>
        <v/>
      </c>
      <c r="T1164" s="315" t="str">
        <f>IFERROR(__xludf.DUMMYFUNCTION("if(S1164="""",C1164,if(not(iserror(index(split(C1164, "" ""),3))), index(split(C1164, "" ""),3),index(split(C1164, "" ""),2)))"),"")</f>
        <v/>
      </c>
      <c r="U1164" s="38" t="b">
        <f t="shared" si="34"/>
        <v>0</v>
      </c>
      <c r="V1164" s="38"/>
      <c r="W1164" s="40"/>
      <c r="X1164" s="40"/>
      <c r="Y1164" s="38"/>
      <c r="Z1164" s="38"/>
      <c r="AA1164" s="38"/>
      <c r="AB1164" s="38"/>
      <c r="AC1164" s="38"/>
      <c r="AD1164" s="38"/>
      <c r="AE1164" s="38"/>
      <c r="AF1164" s="38"/>
      <c r="AG1164" s="38"/>
      <c r="AH1164" s="38"/>
      <c r="AI1164" s="38"/>
      <c r="AJ1164" s="38"/>
      <c r="AK1164" s="38"/>
      <c r="AL1164" s="38"/>
      <c r="AM1164" s="38"/>
      <c r="AN1164" s="38"/>
      <c r="AO1164" s="38"/>
      <c r="AP1164" s="38"/>
      <c r="AQ1164" s="38"/>
      <c r="AR1164" s="38"/>
      <c r="AS1164" s="38"/>
      <c r="AT1164" s="38"/>
      <c r="AU1164" s="38"/>
      <c r="AV1164" s="38"/>
      <c r="AW1164" s="38"/>
      <c r="AX1164" s="38"/>
      <c r="AY1164" s="38"/>
      <c r="AZ1164" s="38"/>
      <c r="BA1164" s="38"/>
      <c r="BB1164" s="38"/>
      <c r="BC1164" s="38"/>
      <c r="BD1164" s="38"/>
      <c r="BE1164" s="38"/>
      <c r="BF1164" s="38"/>
      <c r="BG1164" s="38"/>
      <c r="BH1164" s="38"/>
      <c r="BI1164" s="38"/>
      <c r="BJ1164" s="38"/>
      <c r="BK1164" s="38"/>
      <c r="BL1164" s="38"/>
      <c r="BM1164" s="38"/>
      <c r="BN1164" s="38"/>
      <c r="BO1164" s="38"/>
      <c r="BP1164" s="38"/>
      <c r="BQ1164" s="38"/>
    </row>
    <row r="1165">
      <c r="A1165" s="58"/>
      <c r="B1165" s="387"/>
      <c r="C1165" s="60"/>
      <c r="D1165" s="60"/>
      <c r="E1165" s="58"/>
      <c r="F1165" s="58"/>
      <c r="G1165" s="58"/>
      <c r="H1165" s="33" t="str">
        <f t="shared" si="33"/>
        <v/>
      </c>
      <c r="I1165" s="58"/>
      <c r="J1165" s="58"/>
      <c r="K1165" s="58"/>
      <c r="L1165" s="58"/>
      <c r="M1165" s="14"/>
      <c r="N1165" s="77"/>
      <c r="O1165" s="62"/>
      <c r="P1165" s="62"/>
      <c r="Q1165" s="62"/>
      <c r="R1165" s="62"/>
      <c r="S1165" s="37" t="str">
        <f>IFERROR(__xludf.DUMMYFUNCTION("if(not(iserror(index(split(C1165, "" ""),2))), index(split(C1165, "" ""),1),"""")"),"")</f>
        <v/>
      </c>
      <c r="T1165" s="315" t="str">
        <f>IFERROR(__xludf.DUMMYFUNCTION("if(S1165="""",C1165,if(not(iserror(index(split(C1165, "" ""),3))), index(split(C1165, "" ""),3),index(split(C1165, "" ""),2)))"),"")</f>
        <v/>
      </c>
      <c r="U1165" s="38" t="b">
        <f t="shared" si="34"/>
        <v>0</v>
      </c>
      <c r="V1165" s="38"/>
      <c r="W1165" s="40"/>
      <c r="X1165" s="40"/>
      <c r="Y1165" s="38"/>
      <c r="Z1165" s="38"/>
      <c r="AA1165" s="38"/>
      <c r="AB1165" s="38"/>
      <c r="AC1165" s="38"/>
      <c r="AD1165" s="38"/>
      <c r="AE1165" s="38"/>
      <c r="AF1165" s="38"/>
      <c r="AG1165" s="38"/>
      <c r="AH1165" s="38"/>
      <c r="AI1165" s="38"/>
      <c r="AJ1165" s="38"/>
      <c r="AK1165" s="38"/>
      <c r="AL1165" s="38"/>
      <c r="AM1165" s="38"/>
      <c r="AN1165" s="38"/>
      <c r="AO1165" s="38"/>
      <c r="AP1165" s="38"/>
      <c r="AQ1165" s="38"/>
      <c r="AR1165" s="38"/>
      <c r="AS1165" s="38"/>
      <c r="AT1165" s="38"/>
      <c r="AU1165" s="38"/>
      <c r="AV1165" s="38"/>
      <c r="AW1165" s="38"/>
      <c r="AX1165" s="38"/>
      <c r="AY1165" s="38"/>
      <c r="AZ1165" s="38"/>
      <c r="BA1165" s="38"/>
      <c r="BB1165" s="38"/>
      <c r="BC1165" s="38"/>
      <c r="BD1165" s="38"/>
      <c r="BE1165" s="38"/>
      <c r="BF1165" s="38"/>
      <c r="BG1165" s="38"/>
      <c r="BH1165" s="38"/>
      <c r="BI1165" s="38"/>
      <c r="BJ1165" s="38"/>
      <c r="BK1165" s="38"/>
      <c r="BL1165" s="38"/>
      <c r="BM1165" s="38"/>
      <c r="BN1165" s="38"/>
      <c r="BO1165" s="38"/>
      <c r="BP1165" s="38"/>
      <c r="BQ1165" s="38"/>
    </row>
    <row r="1166">
      <c r="A1166" s="58"/>
      <c r="B1166" s="387"/>
      <c r="C1166" s="60"/>
      <c r="D1166" s="60"/>
      <c r="E1166" s="58"/>
      <c r="F1166" s="58"/>
      <c r="G1166" s="58"/>
      <c r="H1166" s="33" t="str">
        <f t="shared" si="33"/>
        <v/>
      </c>
      <c r="I1166" s="58"/>
      <c r="J1166" s="58"/>
      <c r="K1166" s="58"/>
      <c r="L1166" s="58"/>
      <c r="M1166" s="14"/>
      <c r="N1166" s="77"/>
      <c r="O1166" s="58"/>
      <c r="P1166" s="58"/>
      <c r="Q1166" s="84"/>
      <c r="R1166" s="62"/>
      <c r="S1166" s="37" t="str">
        <f>IFERROR(__xludf.DUMMYFUNCTION("if(not(iserror(index(split(C1166, "" ""),2))), index(split(C1166, "" ""),1),"""")"),"")</f>
        <v/>
      </c>
      <c r="T1166" s="315" t="str">
        <f>IFERROR(__xludf.DUMMYFUNCTION("if(S1166="""",C1166,if(not(iserror(index(split(C1166, "" ""),3))), index(split(C1166, "" ""),3),index(split(C1166, "" ""),2)))"),"")</f>
        <v/>
      </c>
      <c r="U1166" s="38" t="b">
        <f t="shared" si="34"/>
        <v>0</v>
      </c>
      <c r="V1166" s="38"/>
      <c r="W1166" s="40"/>
      <c r="X1166" s="40"/>
      <c r="Y1166" s="38"/>
      <c r="Z1166" s="38"/>
      <c r="AA1166" s="38"/>
      <c r="AB1166" s="38"/>
      <c r="AC1166" s="38"/>
      <c r="AD1166" s="38"/>
      <c r="AE1166" s="38"/>
      <c r="AF1166" s="38"/>
      <c r="AG1166" s="38"/>
      <c r="AH1166" s="38"/>
      <c r="AI1166" s="38"/>
      <c r="AJ1166" s="38"/>
      <c r="AK1166" s="38"/>
      <c r="AL1166" s="38"/>
      <c r="AM1166" s="38"/>
      <c r="AN1166" s="38"/>
      <c r="AO1166" s="38"/>
      <c r="AP1166" s="38"/>
      <c r="AQ1166" s="38"/>
      <c r="AR1166" s="38"/>
      <c r="AS1166" s="38"/>
      <c r="AT1166" s="38"/>
      <c r="AU1166" s="38"/>
      <c r="AV1166" s="38"/>
      <c r="AW1166" s="38"/>
      <c r="AX1166" s="38"/>
      <c r="AY1166" s="38"/>
      <c r="AZ1166" s="38"/>
      <c r="BA1166" s="38"/>
      <c r="BB1166" s="38"/>
      <c r="BC1166" s="38"/>
      <c r="BD1166" s="38"/>
      <c r="BE1166" s="38"/>
      <c r="BF1166" s="38"/>
      <c r="BG1166" s="38"/>
      <c r="BH1166" s="38"/>
      <c r="BI1166" s="38"/>
      <c r="BJ1166" s="38"/>
      <c r="BK1166" s="38"/>
      <c r="BL1166" s="38"/>
      <c r="BM1166" s="38"/>
      <c r="BN1166" s="38"/>
      <c r="BO1166" s="38"/>
      <c r="BP1166" s="38"/>
      <c r="BQ1166" s="38"/>
    </row>
    <row r="1167">
      <c r="A1167" s="91"/>
      <c r="B1167" s="146"/>
      <c r="C1167" s="146"/>
      <c r="D1167" s="146"/>
      <c r="E1167" s="91"/>
      <c r="F1167" s="91"/>
      <c r="G1167" s="91"/>
      <c r="H1167" s="33" t="str">
        <f t="shared" si="33"/>
        <v/>
      </c>
      <c r="I1167" s="91"/>
      <c r="J1167" s="91"/>
      <c r="K1167" s="91"/>
      <c r="L1167" s="91"/>
      <c r="M1167" s="14"/>
      <c r="N1167" s="95"/>
      <c r="O1167" s="58"/>
      <c r="P1167" s="58"/>
      <c r="Q1167" s="84"/>
      <c r="R1167" s="62"/>
      <c r="S1167" s="37" t="str">
        <f>IFERROR(__xludf.DUMMYFUNCTION("if(not(iserror(index(split(C1167, "" ""),2))), index(split(C1167, "" ""),1),"""")"),"")</f>
        <v/>
      </c>
      <c r="T1167" s="315" t="str">
        <f>IFERROR(__xludf.DUMMYFUNCTION("if(S1167="""",C1167,if(not(iserror(index(split(C1167, "" ""),3))), index(split(C1167, "" ""),3),index(split(C1167, "" ""),2)))"),"")</f>
        <v/>
      </c>
      <c r="U1167" s="38" t="b">
        <f t="shared" si="34"/>
        <v>0</v>
      </c>
      <c r="V1167" s="38"/>
      <c r="W1167" s="40"/>
      <c r="X1167" s="40"/>
      <c r="Y1167" s="38"/>
      <c r="Z1167" s="38"/>
      <c r="AA1167" s="38"/>
      <c r="AB1167" s="38"/>
      <c r="AC1167" s="38"/>
      <c r="AD1167" s="38"/>
      <c r="AE1167" s="38"/>
      <c r="AF1167" s="38"/>
      <c r="AG1167" s="38"/>
      <c r="AH1167" s="38"/>
      <c r="AI1167" s="38"/>
      <c r="AJ1167" s="38"/>
      <c r="AK1167" s="38"/>
      <c r="AL1167" s="38"/>
      <c r="AM1167" s="38"/>
      <c r="AN1167" s="38"/>
      <c r="AO1167" s="38"/>
      <c r="AP1167" s="38"/>
      <c r="AQ1167" s="38"/>
      <c r="AR1167" s="38"/>
      <c r="AS1167" s="38"/>
      <c r="AT1167" s="38"/>
      <c r="AU1167" s="38"/>
      <c r="AV1167" s="38"/>
      <c r="AW1167" s="38"/>
      <c r="AX1167" s="38"/>
      <c r="AY1167" s="38"/>
      <c r="AZ1167" s="38"/>
      <c r="BA1167" s="38"/>
      <c r="BB1167" s="38"/>
      <c r="BC1167" s="38"/>
      <c r="BD1167" s="38"/>
      <c r="BE1167" s="38"/>
      <c r="BF1167" s="38"/>
      <c r="BG1167" s="38"/>
      <c r="BH1167" s="38"/>
      <c r="BI1167" s="38"/>
      <c r="BJ1167" s="38"/>
      <c r="BK1167" s="38"/>
      <c r="BL1167" s="38"/>
      <c r="BM1167" s="38"/>
      <c r="BN1167" s="38"/>
      <c r="BO1167" s="38"/>
      <c r="BP1167" s="38"/>
      <c r="BQ1167" s="38"/>
    </row>
    <row r="1168">
      <c r="A1168" s="58"/>
      <c r="B1168" s="60"/>
      <c r="C1168" s="60"/>
      <c r="D1168" s="60"/>
      <c r="E1168" s="58"/>
      <c r="F1168" s="58"/>
      <c r="G1168" s="58"/>
      <c r="H1168" s="33" t="str">
        <f t="shared" si="33"/>
        <v/>
      </c>
      <c r="I1168" s="58"/>
      <c r="J1168" s="58"/>
      <c r="K1168" s="58"/>
      <c r="L1168" s="58"/>
      <c r="M1168" s="14"/>
      <c r="N1168" s="77"/>
      <c r="O1168" s="62"/>
      <c r="P1168" s="62"/>
      <c r="Q1168" s="62"/>
      <c r="R1168" s="62"/>
      <c r="S1168" s="37" t="str">
        <f>IFERROR(__xludf.DUMMYFUNCTION("if(not(iserror(index(split(C1168, "" ""),2))), index(split(C1168, "" ""),1),"""")"),"")</f>
        <v/>
      </c>
      <c r="T1168" s="315" t="str">
        <f>IFERROR(__xludf.DUMMYFUNCTION("if(S1168="""",C1168,if(not(iserror(index(split(C1168, "" ""),3))), index(split(C1168, "" ""),3),index(split(C1168, "" ""),2)))"),"")</f>
        <v/>
      </c>
      <c r="U1168" s="38" t="b">
        <f t="shared" si="34"/>
        <v>0</v>
      </c>
      <c r="V1168" s="38"/>
      <c r="W1168" s="40"/>
      <c r="X1168" s="40"/>
      <c r="Y1168" s="38"/>
      <c r="Z1168" s="38"/>
      <c r="AA1168" s="38"/>
      <c r="AB1168" s="38"/>
      <c r="AC1168" s="38"/>
      <c r="AD1168" s="38"/>
      <c r="AE1168" s="38"/>
      <c r="AF1168" s="38"/>
      <c r="AG1168" s="38"/>
      <c r="AH1168" s="38"/>
      <c r="AI1168" s="38"/>
      <c r="AJ1168" s="38"/>
      <c r="AK1168" s="38"/>
      <c r="AL1168" s="38"/>
      <c r="AM1168" s="38"/>
      <c r="AN1168" s="38"/>
      <c r="AO1168" s="38"/>
      <c r="AP1168" s="38"/>
      <c r="AQ1168" s="38"/>
      <c r="AR1168" s="38"/>
      <c r="AS1168" s="38"/>
      <c r="AT1168" s="38"/>
      <c r="AU1168" s="38"/>
      <c r="AV1168" s="38"/>
      <c r="AW1168" s="38"/>
      <c r="AX1168" s="38"/>
      <c r="AY1168" s="38"/>
      <c r="AZ1168" s="38"/>
      <c r="BA1168" s="38"/>
      <c r="BB1168" s="38"/>
      <c r="BC1168" s="38"/>
      <c r="BD1168" s="38"/>
      <c r="BE1168" s="38"/>
      <c r="BF1168" s="38"/>
      <c r="BG1168" s="38"/>
      <c r="BH1168" s="38"/>
      <c r="BI1168" s="38"/>
      <c r="BJ1168" s="38"/>
      <c r="BK1168" s="38"/>
      <c r="BL1168" s="38"/>
      <c r="BM1168" s="38"/>
      <c r="BN1168" s="38"/>
      <c r="BO1168" s="38"/>
      <c r="BP1168" s="38"/>
      <c r="BQ1168" s="38"/>
    </row>
    <row r="1169">
      <c r="A1169" s="58"/>
      <c r="B1169" s="60"/>
      <c r="C1169" s="60"/>
      <c r="D1169" s="60"/>
      <c r="E1169" s="58"/>
      <c r="F1169" s="58"/>
      <c r="G1169" s="58"/>
      <c r="H1169" s="33" t="str">
        <f t="shared" si="33"/>
        <v/>
      </c>
      <c r="I1169" s="58"/>
      <c r="J1169" s="58"/>
      <c r="K1169" s="58"/>
      <c r="L1169" s="58"/>
      <c r="M1169" s="14"/>
      <c r="N1169" s="77"/>
      <c r="O1169" s="62"/>
      <c r="P1169" s="62"/>
      <c r="Q1169" s="62"/>
      <c r="R1169" s="62"/>
      <c r="S1169" s="37" t="str">
        <f>IFERROR(__xludf.DUMMYFUNCTION("if(not(iserror(index(split(C1169, "" ""),2))), index(split(C1169, "" ""),1),"""")"),"")</f>
        <v/>
      </c>
      <c r="T1169" s="315" t="str">
        <f>IFERROR(__xludf.DUMMYFUNCTION("if(S1169="""",C1169,if(not(iserror(index(split(C1169, "" ""),3))), index(split(C1169, "" ""),3),index(split(C1169, "" ""),2)))"),"")</f>
        <v/>
      </c>
      <c r="U1169" s="38" t="b">
        <f t="shared" si="34"/>
        <v>0</v>
      </c>
      <c r="V1169" s="38"/>
      <c r="W1169" s="40"/>
      <c r="X1169" s="40"/>
      <c r="Y1169" s="38"/>
      <c r="Z1169" s="38"/>
      <c r="AA1169" s="38"/>
      <c r="AB1169" s="38"/>
      <c r="AC1169" s="38"/>
      <c r="AD1169" s="38"/>
      <c r="AE1169" s="38"/>
      <c r="AF1169" s="38"/>
      <c r="AG1169" s="38"/>
      <c r="AH1169" s="38"/>
      <c r="AI1169" s="38"/>
      <c r="AJ1169" s="38"/>
      <c r="AK1169" s="38"/>
      <c r="AL1169" s="38"/>
      <c r="AM1169" s="38"/>
      <c r="AN1169" s="38"/>
      <c r="AO1169" s="38"/>
      <c r="AP1169" s="38"/>
      <c r="AQ1169" s="38"/>
      <c r="AR1169" s="38"/>
      <c r="AS1169" s="38"/>
      <c r="AT1169" s="38"/>
      <c r="AU1169" s="38"/>
      <c r="AV1169" s="38"/>
      <c r="AW1169" s="38"/>
      <c r="AX1169" s="38"/>
      <c r="AY1169" s="38"/>
      <c r="AZ1169" s="38"/>
      <c r="BA1169" s="38"/>
      <c r="BB1169" s="38"/>
      <c r="BC1169" s="38"/>
      <c r="BD1169" s="38"/>
      <c r="BE1169" s="38"/>
      <c r="BF1169" s="38"/>
      <c r="BG1169" s="38"/>
      <c r="BH1169" s="38"/>
      <c r="BI1169" s="38"/>
      <c r="BJ1169" s="38"/>
      <c r="BK1169" s="38"/>
      <c r="BL1169" s="38"/>
      <c r="BM1169" s="38"/>
      <c r="BN1169" s="38"/>
      <c r="BO1169" s="38"/>
      <c r="BP1169" s="38"/>
      <c r="BQ1169" s="38"/>
    </row>
    <row r="1170">
      <c r="A1170" s="58"/>
      <c r="B1170" s="60"/>
      <c r="C1170" s="60"/>
      <c r="D1170" s="60"/>
      <c r="E1170" s="58"/>
      <c r="F1170" s="58"/>
      <c r="G1170" s="58"/>
      <c r="H1170" s="33" t="str">
        <f t="shared" si="33"/>
        <v/>
      </c>
      <c r="I1170" s="58"/>
      <c r="J1170" s="58"/>
      <c r="K1170" s="58"/>
      <c r="L1170" s="58"/>
      <c r="M1170" s="14"/>
      <c r="N1170" s="77"/>
      <c r="O1170" s="62"/>
      <c r="P1170" s="62"/>
      <c r="Q1170" s="84"/>
      <c r="R1170" s="62"/>
      <c r="S1170" s="37" t="str">
        <f>IFERROR(__xludf.DUMMYFUNCTION("if(not(iserror(index(split(C1170, "" ""),2))), index(split(C1170, "" ""),1),"""")"),"")</f>
        <v/>
      </c>
      <c r="T1170" s="315" t="str">
        <f>IFERROR(__xludf.DUMMYFUNCTION("if(S1170="""",C1170,if(not(iserror(index(split(C1170, "" ""),3))), index(split(C1170, "" ""),3),index(split(C1170, "" ""),2)))"),"")</f>
        <v/>
      </c>
      <c r="U1170" s="38" t="b">
        <f t="shared" si="34"/>
        <v>0</v>
      </c>
      <c r="V1170" s="38"/>
      <c r="W1170" s="40"/>
      <c r="X1170" s="40"/>
      <c r="Y1170" s="38"/>
      <c r="Z1170" s="38"/>
      <c r="AA1170" s="38"/>
      <c r="AB1170" s="38"/>
      <c r="AC1170" s="38"/>
      <c r="AD1170" s="38"/>
      <c r="AE1170" s="38"/>
      <c r="AF1170" s="38"/>
      <c r="AG1170" s="38"/>
      <c r="AH1170" s="38"/>
      <c r="AI1170" s="38"/>
      <c r="AJ1170" s="38"/>
      <c r="AK1170" s="38"/>
      <c r="AL1170" s="38"/>
      <c r="AM1170" s="38"/>
      <c r="AN1170" s="38"/>
      <c r="AO1170" s="38"/>
      <c r="AP1170" s="38"/>
      <c r="AQ1170" s="38"/>
      <c r="AR1170" s="38"/>
      <c r="AS1170" s="38"/>
      <c r="AT1170" s="38"/>
      <c r="AU1170" s="38"/>
      <c r="AV1170" s="38"/>
      <c r="AW1170" s="38"/>
      <c r="AX1170" s="38"/>
      <c r="AY1170" s="38"/>
      <c r="AZ1170" s="38"/>
      <c r="BA1170" s="38"/>
      <c r="BB1170" s="38"/>
      <c r="BC1170" s="38"/>
      <c r="BD1170" s="38"/>
      <c r="BE1170" s="38"/>
      <c r="BF1170" s="38"/>
      <c r="BG1170" s="38"/>
      <c r="BH1170" s="38"/>
      <c r="BI1170" s="38"/>
      <c r="BJ1170" s="38"/>
      <c r="BK1170" s="38"/>
      <c r="BL1170" s="38"/>
      <c r="BM1170" s="38"/>
      <c r="BN1170" s="38"/>
      <c r="BO1170" s="38"/>
      <c r="BP1170" s="38"/>
      <c r="BQ1170" s="38"/>
    </row>
    <row r="1171">
      <c r="A1171" s="58"/>
      <c r="B1171" s="60"/>
      <c r="C1171" s="60"/>
      <c r="D1171" s="60"/>
      <c r="E1171" s="58"/>
      <c r="F1171" s="58"/>
      <c r="G1171" s="58"/>
      <c r="H1171" s="33" t="str">
        <f t="shared" si="33"/>
        <v/>
      </c>
      <c r="I1171" s="58"/>
      <c r="J1171" s="58"/>
      <c r="K1171" s="58"/>
      <c r="L1171" s="58"/>
      <c r="M1171" s="14"/>
      <c r="N1171" s="77"/>
      <c r="O1171" s="62"/>
      <c r="P1171" s="62"/>
      <c r="Q1171" s="62"/>
      <c r="R1171" s="62"/>
      <c r="S1171" s="37" t="str">
        <f>IFERROR(__xludf.DUMMYFUNCTION("if(not(iserror(index(split(C1171, "" ""),2))), index(split(C1171, "" ""),1),"""")"),"")</f>
        <v/>
      </c>
      <c r="T1171" s="315" t="str">
        <f>IFERROR(__xludf.DUMMYFUNCTION("if(S1171="""",C1171,if(not(iserror(index(split(C1171, "" ""),3))), index(split(C1171, "" ""),3),index(split(C1171, "" ""),2)))"),"")</f>
        <v/>
      </c>
      <c r="U1171" s="38" t="b">
        <f t="shared" si="34"/>
        <v>0</v>
      </c>
      <c r="V1171" s="38"/>
      <c r="W1171" s="40"/>
      <c r="X1171" s="40"/>
      <c r="Y1171" s="38"/>
      <c r="Z1171" s="38"/>
      <c r="AA1171" s="38"/>
      <c r="AB1171" s="38"/>
      <c r="AC1171" s="38"/>
      <c r="AD1171" s="38"/>
      <c r="AE1171" s="38"/>
      <c r="AF1171" s="38"/>
      <c r="AG1171" s="38"/>
      <c r="AH1171" s="38"/>
      <c r="AI1171" s="38"/>
      <c r="AJ1171" s="38"/>
      <c r="AK1171" s="38"/>
      <c r="AL1171" s="38"/>
      <c r="AM1171" s="38"/>
      <c r="AN1171" s="38"/>
      <c r="AO1171" s="38"/>
      <c r="AP1171" s="38"/>
      <c r="AQ1171" s="38"/>
      <c r="AR1171" s="38"/>
      <c r="AS1171" s="38"/>
      <c r="AT1171" s="38"/>
      <c r="AU1171" s="38"/>
      <c r="AV1171" s="38"/>
      <c r="AW1171" s="38"/>
      <c r="AX1171" s="38"/>
      <c r="AY1171" s="38"/>
      <c r="AZ1171" s="38"/>
      <c r="BA1171" s="38"/>
      <c r="BB1171" s="38"/>
      <c r="BC1171" s="38"/>
      <c r="BD1171" s="38"/>
      <c r="BE1171" s="38"/>
      <c r="BF1171" s="38"/>
      <c r="BG1171" s="38"/>
      <c r="BH1171" s="38"/>
      <c r="BI1171" s="38"/>
      <c r="BJ1171" s="38"/>
      <c r="BK1171" s="38"/>
      <c r="BL1171" s="38"/>
      <c r="BM1171" s="38"/>
      <c r="BN1171" s="38"/>
      <c r="BO1171" s="38"/>
      <c r="BP1171" s="38"/>
      <c r="BQ1171" s="38"/>
    </row>
    <row r="1172">
      <c r="A1172" s="58"/>
      <c r="B1172" s="60"/>
      <c r="C1172" s="60"/>
      <c r="D1172" s="60"/>
      <c r="E1172" s="58"/>
      <c r="F1172" s="58"/>
      <c r="G1172" s="58"/>
      <c r="H1172" s="33" t="str">
        <f t="shared" si="33"/>
        <v/>
      </c>
      <c r="I1172" s="58"/>
      <c r="J1172" s="58"/>
      <c r="K1172" s="58"/>
      <c r="L1172" s="58"/>
      <c r="M1172" s="14"/>
      <c r="N1172" s="77"/>
      <c r="O1172" s="62"/>
      <c r="P1172" s="62"/>
      <c r="Q1172" s="62"/>
      <c r="R1172" s="62"/>
      <c r="S1172" s="37" t="str">
        <f>IFERROR(__xludf.DUMMYFUNCTION("if(not(iserror(index(split(C1172, "" ""),2))), index(split(C1172, "" ""),1),"""")"),"")</f>
        <v/>
      </c>
      <c r="T1172" s="315" t="str">
        <f>IFERROR(__xludf.DUMMYFUNCTION("if(S1172="""",C1172,if(not(iserror(index(split(C1172, "" ""),3))), index(split(C1172, "" ""),3),index(split(C1172, "" ""),2)))"),"")</f>
        <v/>
      </c>
      <c r="U1172" s="38" t="b">
        <f t="shared" si="34"/>
        <v>0</v>
      </c>
      <c r="V1172" s="38"/>
      <c r="W1172" s="40"/>
      <c r="X1172" s="40"/>
      <c r="Y1172" s="38"/>
      <c r="Z1172" s="38"/>
      <c r="AA1172" s="38"/>
      <c r="AB1172" s="38"/>
      <c r="AC1172" s="38"/>
      <c r="AD1172" s="38"/>
      <c r="AE1172" s="38"/>
      <c r="AF1172" s="38"/>
      <c r="AG1172" s="38"/>
      <c r="AH1172" s="38"/>
      <c r="AI1172" s="38"/>
      <c r="AJ1172" s="38"/>
      <c r="AK1172" s="38"/>
      <c r="AL1172" s="38"/>
      <c r="AM1172" s="38"/>
      <c r="AN1172" s="38"/>
      <c r="AO1172" s="38"/>
      <c r="AP1172" s="38"/>
      <c r="AQ1172" s="38"/>
      <c r="AR1172" s="38"/>
      <c r="AS1172" s="38"/>
      <c r="AT1172" s="38"/>
      <c r="AU1172" s="38"/>
      <c r="AV1172" s="38"/>
      <c r="AW1172" s="38"/>
      <c r="AX1172" s="38"/>
      <c r="AY1172" s="38"/>
      <c r="AZ1172" s="38"/>
      <c r="BA1172" s="38"/>
      <c r="BB1172" s="38"/>
      <c r="BC1172" s="38"/>
      <c r="BD1172" s="38"/>
      <c r="BE1172" s="38"/>
      <c r="BF1172" s="38"/>
      <c r="BG1172" s="38"/>
      <c r="BH1172" s="38"/>
      <c r="BI1172" s="38"/>
      <c r="BJ1172" s="38"/>
      <c r="BK1172" s="38"/>
      <c r="BL1172" s="38"/>
      <c r="BM1172" s="38"/>
      <c r="BN1172" s="38"/>
      <c r="BO1172" s="38"/>
      <c r="BP1172" s="38"/>
      <c r="BQ1172" s="38"/>
    </row>
    <row r="1173">
      <c r="A1173" s="37"/>
      <c r="B1173" s="341"/>
      <c r="C1173" s="60"/>
      <c r="D1173" s="60"/>
      <c r="E1173" s="58"/>
      <c r="F1173" s="58"/>
      <c r="G1173" s="58"/>
      <c r="H1173" s="33" t="str">
        <f t="shared" si="33"/>
        <v/>
      </c>
      <c r="I1173" s="58"/>
      <c r="J1173" s="58"/>
      <c r="K1173" s="58"/>
      <c r="L1173" s="58"/>
      <c r="M1173" s="80"/>
      <c r="N1173" s="77"/>
      <c r="O1173" s="62"/>
      <c r="P1173" s="58"/>
      <c r="Q1173" s="84"/>
      <c r="R1173" s="62"/>
      <c r="S1173" s="37" t="str">
        <f>IFERROR(__xludf.DUMMYFUNCTION("if(not(iserror(index(split(C1173, "" ""),2))), index(split(C1173, "" ""),1),"""")"),"")</f>
        <v/>
      </c>
      <c r="T1173" s="315" t="str">
        <f>IFERROR(__xludf.DUMMYFUNCTION("if(S1173="""",C1173,if(not(iserror(index(split(C1173, "" ""),3))), index(split(C1173, "" ""),3),index(split(C1173, "" ""),2)))"),"")</f>
        <v/>
      </c>
      <c r="U1173" s="38" t="b">
        <f t="shared" si="34"/>
        <v>0</v>
      </c>
      <c r="V1173" s="38"/>
      <c r="W1173" s="40"/>
      <c r="X1173" s="40"/>
      <c r="Y1173" s="38"/>
      <c r="Z1173" s="38"/>
      <c r="AA1173" s="38"/>
      <c r="AB1173" s="38"/>
      <c r="AC1173" s="38"/>
      <c r="AD1173" s="38"/>
      <c r="AE1173" s="38"/>
      <c r="AF1173" s="38"/>
      <c r="AG1173" s="38"/>
      <c r="AH1173" s="38"/>
      <c r="AI1173" s="38"/>
      <c r="AJ1173" s="38"/>
      <c r="AK1173" s="38"/>
      <c r="AL1173" s="38"/>
      <c r="AM1173" s="38"/>
      <c r="AN1173" s="38"/>
      <c r="AO1173" s="38"/>
      <c r="AP1173" s="38"/>
      <c r="AQ1173" s="38"/>
      <c r="AR1173" s="38"/>
      <c r="AS1173" s="38"/>
      <c r="AT1173" s="38"/>
      <c r="AU1173" s="38"/>
      <c r="AV1173" s="38"/>
      <c r="AW1173" s="38"/>
      <c r="AX1173" s="38"/>
      <c r="AY1173" s="38"/>
      <c r="AZ1173" s="38"/>
      <c r="BA1173" s="38"/>
      <c r="BB1173" s="38"/>
      <c r="BC1173" s="38"/>
      <c r="BD1173" s="38"/>
      <c r="BE1173" s="38"/>
      <c r="BF1173" s="38"/>
      <c r="BG1173" s="38"/>
      <c r="BH1173" s="38"/>
      <c r="BI1173" s="38"/>
      <c r="BJ1173" s="38"/>
      <c r="BK1173" s="38"/>
      <c r="BL1173" s="38"/>
      <c r="BM1173" s="38"/>
      <c r="BN1173" s="38"/>
      <c r="BO1173" s="38"/>
      <c r="BP1173" s="38"/>
      <c r="BQ1173" s="38"/>
    </row>
    <row r="1174">
      <c r="A1174" s="37"/>
      <c r="B1174" s="341"/>
      <c r="C1174" s="60"/>
      <c r="D1174" s="60"/>
      <c r="E1174" s="58"/>
      <c r="F1174" s="58"/>
      <c r="G1174" s="58"/>
      <c r="H1174" s="33" t="str">
        <f t="shared" si="33"/>
        <v/>
      </c>
      <c r="I1174" s="58"/>
      <c r="J1174" s="58"/>
      <c r="K1174" s="58"/>
      <c r="L1174" s="58"/>
      <c r="M1174" s="80"/>
      <c r="N1174" s="77"/>
      <c r="O1174" s="62"/>
      <c r="P1174" s="62"/>
      <c r="Q1174" s="62"/>
      <c r="R1174" s="62"/>
      <c r="S1174" s="37" t="str">
        <f>IFERROR(__xludf.DUMMYFUNCTION("if(not(iserror(index(split(C1174, "" ""),2))), index(split(C1174, "" ""),1),"""")"),"")</f>
        <v/>
      </c>
      <c r="T1174" s="315" t="str">
        <f>IFERROR(__xludf.DUMMYFUNCTION("if(S1174="""",C1174,if(not(iserror(index(split(C1174, "" ""),3))), index(split(C1174, "" ""),3),index(split(C1174, "" ""),2)))"),"")</f>
        <v/>
      </c>
      <c r="U1174" s="38" t="b">
        <f t="shared" si="34"/>
        <v>0</v>
      </c>
      <c r="V1174" s="38"/>
      <c r="W1174" s="40"/>
      <c r="X1174" s="40"/>
      <c r="Y1174" s="38"/>
      <c r="Z1174" s="38"/>
      <c r="AA1174" s="38"/>
      <c r="AB1174" s="38"/>
      <c r="AC1174" s="38"/>
      <c r="AD1174" s="38"/>
      <c r="AE1174" s="38"/>
      <c r="AF1174" s="38"/>
      <c r="AG1174" s="38"/>
      <c r="AH1174" s="38"/>
      <c r="AI1174" s="38"/>
      <c r="AJ1174" s="38"/>
      <c r="AK1174" s="38"/>
      <c r="AL1174" s="38"/>
      <c r="AM1174" s="38"/>
      <c r="AN1174" s="38"/>
      <c r="AO1174" s="38"/>
      <c r="AP1174" s="38"/>
      <c r="AQ1174" s="38"/>
      <c r="AR1174" s="38"/>
      <c r="AS1174" s="38"/>
      <c r="AT1174" s="38"/>
      <c r="AU1174" s="38"/>
      <c r="AV1174" s="38"/>
      <c r="AW1174" s="38"/>
      <c r="AX1174" s="38"/>
      <c r="AY1174" s="38"/>
      <c r="AZ1174" s="38"/>
      <c r="BA1174" s="38"/>
      <c r="BB1174" s="38"/>
      <c r="BC1174" s="38"/>
      <c r="BD1174" s="38"/>
      <c r="BE1174" s="38"/>
      <c r="BF1174" s="38"/>
      <c r="BG1174" s="38"/>
      <c r="BH1174" s="38"/>
      <c r="BI1174" s="38"/>
      <c r="BJ1174" s="38"/>
      <c r="BK1174" s="38"/>
      <c r="BL1174" s="38"/>
      <c r="BM1174" s="38"/>
      <c r="BN1174" s="38"/>
      <c r="BO1174" s="38"/>
      <c r="BP1174" s="38"/>
      <c r="BQ1174" s="38"/>
    </row>
    <row r="1175">
      <c r="A1175" s="37"/>
      <c r="B1175" s="341"/>
      <c r="C1175" s="60"/>
      <c r="D1175" s="60"/>
      <c r="E1175" s="58"/>
      <c r="F1175" s="58"/>
      <c r="G1175" s="58"/>
      <c r="H1175" s="33" t="str">
        <f t="shared" si="33"/>
        <v/>
      </c>
      <c r="I1175" s="58"/>
      <c r="J1175" s="58"/>
      <c r="K1175" s="58"/>
      <c r="L1175" s="58"/>
      <c r="M1175" s="80"/>
      <c r="N1175" s="77"/>
      <c r="O1175" s="62"/>
      <c r="P1175" s="62"/>
      <c r="Q1175" s="62"/>
      <c r="R1175" s="62"/>
      <c r="S1175" s="37" t="str">
        <f>IFERROR(__xludf.DUMMYFUNCTION("if(not(iserror(index(split(C1175, "" ""),2))), index(split(C1175, "" ""),1),"""")"),"")</f>
        <v/>
      </c>
      <c r="T1175" s="315" t="str">
        <f>IFERROR(__xludf.DUMMYFUNCTION("if(S1175="""",C1175,if(not(iserror(index(split(C1175, "" ""),3))), index(split(C1175, "" ""),3),index(split(C1175, "" ""),2)))"),"")</f>
        <v/>
      </c>
      <c r="U1175" s="38" t="b">
        <f t="shared" si="34"/>
        <v>0</v>
      </c>
      <c r="V1175" s="38"/>
      <c r="W1175" s="40"/>
      <c r="X1175" s="40"/>
      <c r="Y1175" s="38"/>
      <c r="Z1175" s="38"/>
      <c r="AA1175" s="38"/>
      <c r="AB1175" s="38"/>
      <c r="AC1175" s="38"/>
      <c r="AD1175" s="38"/>
      <c r="AE1175" s="38"/>
      <c r="AF1175" s="38"/>
      <c r="AG1175" s="38"/>
      <c r="AH1175" s="38"/>
      <c r="AI1175" s="38"/>
      <c r="AJ1175" s="38"/>
      <c r="AK1175" s="38"/>
      <c r="AL1175" s="38"/>
      <c r="AM1175" s="38"/>
      <c r="AN1175" s="38"/>
      <c r="AO1175" s="38"/>
      <c r="AP1175" s="38"/>
      <c r="AQ1175" s="38"/>
      <c r="AR1175" s="38"/>
      <c r="AS1175" s="38"/>
      <c r="AT1175" s="38"/>
      <c r="AU1175" s="38"/>
      <c r="AV1175" s="38"/>
      <c r="AW1175" s="38"/>
      <c r="AX1175" s="38"/>
      <c r="AY1175" s="38"/>
      <c r="AZ1175" s="38"/>
      <c r="BA1175" s="38"/>
      <c r="BB1175" s="38"/>
      <c r="BC1175" s="38"/>
      <c r="BD1175" s="38"/>
      <c r="BE1175" s="38"/>
      <c r="BF1175" s="38"/>
      <c r="BG1175" s="38"/>
      <c r="BH1175" s="38"/>
      <c r="BI1175" s="38"/>
      <c r="BJ1175" s="38"/>
      <c r="BK1175" s="38"/>
      <c r="BL1175" s="38"/>
      <c r="BM1175" s="38"/>
      <c r="BN1175" s="38"/>
      <c r="BO1175" s="38"/>
      <c r="BP1175" s="38"/>
      <c r="BQ1175" s="38"/>
    </row>
    <row r="1176">
      <c r="A1176" s="37"/>
      <c r="B1176" s="341"/>
      <c r="C1176" s="60"/>
      <c r="D1176" s="60"/>
      <c r="E1176" s="58"/>
      <c r="F1176" s="58"/>
      <c r="G1176" s="58"/>
      <c r="H1176" s="33" t="str">
        <f t="shared" si="33"/>
        <v/>
      </c>
      <c r="I1176" s="58"/>
      <c r="J1176" s="58"/>
      <c r="K1176" s="58"/>
      <c r="L1176" s="58"/>
      <c r="M1176" s="80"/>
      <c r="N1176" s="77"/>
      <c r="O1176" s="62"/>
      <c r="P1176" s="62"/>
      <c r="Q1176" s="62"/>
      <c r="R1176" s="62"/>
      <c r="S1176" s="37" t="str">
        <f>IFERROR(__xludf.DUMMYFUNCTION("if(not(iserror(index(split(C1176, "" ""),2))), index(split(C1176, "" ""),1),"""")"),"")</f>
        <v/>
      </c>
      <c r="T1176" s="315" t="str">
        <f>IFERROR(__xludf.DUMMYFUNCTION("if(S1176="""",C1176,if(not(iserror(index(split(C1176, "" ""),3))), index(split(C1176, "" ""),3),index(split(C1176, "" ""),2)))"),"")</f>
        <v/>
      </c>
      <c r="U1176" s="38" t="b">
        <f t="shared" si="34"/>
        <v>0</v>
      </c>
      <c r="V1176" s="38"/>
      <c r="W1176" s="40"/>
      <c r="X1176" s="40"/>
      <c r="Y1176" s="38"/>
      <c r="Z1176" s="38"/>
      <c r="AA1176" s="38"/>
      <c r="AB1176" s="38"/>
      <c r="AC1176" s="38"/>
      <c r="AD1176" s="38"/>
      <c r="AE1176" s="38"/>
      <c r="AF1176" s="38"/>
      <c r="AG1176" s="38"/>
      <c r="AH1176" s="38"/>
      <c r="AI1176" s="38"/>
      <c r="AJ1176" s="38"/>
      <c r="AK1176" s="38"/>
      <c r="AL1176" s="38"/>
      <c r="AM1176" s="38"/>
      <c r="AN1176" s="38"/>
      <c r="AO1176" s="38"/>
      <c r="AP1176" s="38"/>
      <c r="AQ1176" s="38"/>
      <c r="AR1176" s="38"/>
      <c r="AS1176" s="38"/>
      <c r="AT1176" s="38"/>
      <c r="AU1176" s="38"/>
      <c r="AV1176" s="38"/>
      <c r="AW1176" s="38"/>
      <c r="AX1176" s="38"/>
      <c r="AY1176" s="38"/>
      <c r="AZ1176" s="38"/>
      <c r="BA1176" s="38"/>
      <c r="BB1176" s="38"/>
      <c r="BC1176" s="38"/>
      <c r="BD1176" s="38"/>
      <c r="BE1176" s="38"/>
      <c r="BF1176" s="38"/>
      <c r="BG1176" s="38"/>
      <c r="BH1176" s="38"/>
      <c r="BI1176" s="38"/>
      <c r="BJ1176" s="38"/>
      <c r="BK1176" s="38"/>
      <c r="BL1176" s="38"/>
      <c r="BM1176" s="38"/>
      <c r="BN1176" s="38"/>
      <c r="BO1176" s="38"/>
      <c r="BP1176" s="38"/>
      <c r="BQ1176" s="38"/>
    </row>
    <row r="1177">
      <c r="A1177" s="37"/>
      <c r="B1177" s="341"/>
      <c r="C1177" s="60"/>
      <c r="D1177" s="60"/>
      <c r="E1177" s="58"/>
      <c r="F1177" s="58"/>
      <c r="G1177" s="58"/>
      <c r="H1177" s="33" t="str">
        <f t="shared" si="33"/>
        <v/>
      </c>
      <c r="I1177" s="58"/>
      <c r="J1177" s="58"/>
      <c r="K1177" s="58"/>
      <c r="L1177" s="58"/>
      <c r="M1177" s="80"/>
      <c r="N1177" s="77"/>
      <c r="O1177" s="62"/>
      <c r="P1177" s="62"/>
      <c r="Q1177" s="62"/>
      <c r="R1177" s="62"/>
      <c r="S1177" s="37" t="str">
        <f>IFERROR(__xludf.DUMMYFUNCTION("if(not(iserror(index(split(C1177, "" ""),2))), index(split(C1177, "" ""),1),"""")"),"")</f>
        <v/>
      </c>
      <c r="T1177" s="315" t="str">
        <f>IFERROR(__xludf.DUMMYFUNCTION("if(S1177="""",C1177,if(not(iserror(index(split(C1177, "" ""),3))), index(split(C1177, "" ""),3),index(split(C1177, "" ""),2)))"),"")</f>
        <v/>
      </c>
      <c r="U1177" s="38" t="b">
        <f t="shared" si="34"/>
        <v>0</v>
      </c>
      <c r="V1177" s="38"/>
      <c r="W1177" s="40"/>
      <c r="X1177" s="40"/>
      <c r="Y1177" s="38"/>
      <c r="Z1177" s="38"/>
      <c r="AA1177" s="38"/>
      <c r="AB1177" s="38"/>
      <c r="AC1177" s="38"/>
      <c r="AD1177" s="38"/>
      <c r="AE1177" s="38"/>
      <c r="AF1177" s="38"/>
      <c r="AG1177" s="38"/>
      <c r="AH1177" s="38"/>
      <c r="AI1177" s="38"/>
      <c r="AJ1177" s="38"/>
      <c r="AK1177" s="38"/>
      <c r="AL1177" s="38"/>
      <c r="AM1177" s="38"/>
      <c r="AN1177" s="38"/>
      <c r="AO1177" s="38"/>
      <c r="AP1177" s="38"/>
      <c r="AQ1177" s="38"/>
      <c r="AR1177" s="38"/>
      <c r="AS1177" s="38"/>
      <c r="AT1177" s="38"/>
      <c r="AU1177" s="38"/>
      <c r="AV1177" s="38"/>
      <c r="AW1177" s="38"/>
      <c r="AX1177" s="38"/>
      <c r="AY1177" s="38"/>
      <c r="AZ1177" s="38"/>
      <c r="BA1177" s="38"/>
      <c r="BB1177" s="38"/>
      <c r="BC1177" s="38"/>
      <c r="BD1177" s="38"/>
      <c r="BE1177" s="38"/>
      <c r="BF1177" s="38"/>
      <c r="BG1177" s="38"/>
      <c r="BH1177" s="38"/>
      <c r="BI1177" s="38"/>
      <c r="BJ1177" s="38"/>
      <c r="BK1177" s="38"/>
      <c r="BL1177" s="38"/>
      <c r="BM1177" s="38"/>
      <c r="BN1177" s="38"/>
      <c r="BO1177" s="38"/>
      <c r="BP1177" s="38"/>
      <c r="BQ1177" s="38"/>
    </row>
    <row r="1178">
      <c r="A1178" s="37"/>
      <c r="B1178" s="341"/>
      <c r="C1178" s="60"/>
      <c r="D1178" s="60"/>
      <c r="E1178" s="58"/>
      <c r="F1178" s="58"/>
      <c r="G1178" s="58"/>
      <c r="H1178" s="33" t="str">
        <f t="shared" si="33"/>
        <v/>
      </c>
      <c r="I1178" s="58"/>
      <c r="J1178" s="58"/>
      <c r="K1178" s="58"/>
      <c r="L1178" s="58"/>
      <c r="M1178" s="80"/>
      <c r="N1178" s="77"/>
      <c r="O1178" s="62"/>
      <c r="P1178" s="62"/>
      <c r="Q1178" s="62"/>
      <c r="R1178" s="62"/>
      <c r="S1178" s="37" t="str">
        <f>IFERROR(__xludf.DUMMYFUNCTION("if(not(iserror(index(split(C1178, "" ""),2))), index(split(C1178, "" ""),1),"""")"),"")</f>
        <v/>
      </c>
      <c r="T1178" s="315" t="str">
        <f>IFERROR(__xludf.DUMMYFUNCTION("if(S1178="""",C1178,if(not(iserror(index(split(C1178, "" ""),3))), index(split(C1178, "" ""),3),index(split(C1178, "" ""),2)))"),"")</f>
        <v/>
      </c>
      <c r="U1178" s="38" t="b">
        <f t="shared" si="34"/>
        <v>0</v>
      </c>
      <c r="V1178" s="38"/>
      <c r="W1178" s="40"/>
      <c r="X1178" s="40"/>
      <c r="Y1178" s="38"/>
      <c r="Z1178" s="38"/>
      <c r="AA1178" s="38"/>
      <c r="AB1178" s="38"/>
      <c r="AC1178" s="38"/>
      <c r="AD1178" s="38"/>
      <c r="AE1178" s="38"/>
      <c r="AF1178" s="38"/>
      <c r="AG1178" s="38"/>
      <c r="AH1178" s="38"/>
      <c r="AI1178" s="38"/>
      <c r="AJ1178" s="38"/>
      <c r="AK1178" s="38"/>
      <c r="AL1178" s="38"/>
      <c r="AM1178" s="38"/>
      <c r="AN1178" s="38"/>
      <c r="AO1178" s="38"/>
      <c r="AP1178" s="38"/>
      <c r="AQ1178" s="38"/>
      <c r="AR1178" s="38"/>
      <c r="AS1178" s="38"/>
      <c r="AT1178" s="38"/>
      <c r="AU1178" s="38"/>
      <c r="AV1178" s="38"/>
      <c r="AW1178" s="38"/>
      <c r="AX1178" s="38"/>
      <c r="AY1178" s="38"/>
      <c r="AZ1178" s="38"/>
      <c r="BA1178" s="38"/>
      <c r="BB1178" s="38"/>
      <c r="BC1178" s="38"/>
      <c r="BD1178" s="38"/>
      <c r="BE1178" s="38"/>
      <c r="BF1178" s="38"/>
      <c r="BG1178" s="38"/>
      <c r="BH1178" s="38"/>
      <c r="BI1178" s="38"/>
      <c r="BJ1178" s="38"/>
      <c r="BK1178" s="38"/>
      <c r="BL1178" s="38"/>
      <c r="BM1178" s="38"/>
      <c r="BN1178" s="38"/>
      <c r="BO1178" s="38"/>
      <c r="BP1178" s="38"/>
      <c r="BQ1178" s="38"/>
    </row>
    <row r="1179">
      <c r="A1179" s="37"/>
      <c r="B1179" s="341"/>
      <c r="C1179" s="60"/>
      <c r="D1179" s="60"/>
      <c r="E1179" s="58"/>
      <c r="F1179" s="58"/>
      <c r="G1179" s="58"/>
      <c r="H1179" s="33" t="str">
        <f t="shared" si="33"/>
        <v/>
      </c>
      <c r="I1179" s="58"/>
      <c r="J1179" s="58"/>
      <c r="K1179" s="58"/>
      <c r="L1179" s="58"/>
      <c r="M1179" s="80"/>
      <c r="N1179" s="77"/>
      <c r="O1179" s="62"/>
      <c r="P1179" s="62"/>
      <c r="Q1179" s="62"/>
      <c r="R1179" s="62"/>
      <c r="S1179" s="37" t="str">
        <f>IFERROR(__xludf.DUMMYFUNCTION("if(not(iserror(index(split(C1179, "" ""),2))), index(split(C1179, "" ""),1),"""")"),"")</f>
        <v/>
      </c>
      <c r="T1179" s="315" t="str">
        <f>IFERROR(__xludf.DUMMYFUNCTION("if(S1179="""",C1179,if(not(iserror(index(split(C1179, "" ""),3))), index(split(C1179, "" ""),3),index(split(C1179, "" ""),2)))"),"")</f>
        <v/>
      </c>
      <c r="U1179" s="38" t="b">
        <f t="shared" si="34"/>
        <v>0</v>
      </c>
      <c r="V1179" s="38"/>
      <c r="W1179" s="40"/>
      <c r="X1179" s="40"/>
      <c r="Y1179" s="38"/>
      <c r="Z1179" s="38"/>
      <c r="AA1179" s="38"/>
      <c r="AB1179" s="38"/>
      <c r="AC1179" s="38"/>
      <c r="AD1179" s="38"/>
      <c r="AE1179" s="38"/>
      <c r="AF1179" s="38"/>
      <c r="AG1179" s="38"/>
      <c r="AH1179" s="38"/>
      <c r="AI1179" s="38"/>
      <c r="AJ1179" s="38"/>
      <c r="AK1179" s="38"/>
      <c r="AL1179" s="38"/>
      <c r="AM1179" s="38"/>
      <c r="AN1179" s="38"/>
      <c r="AO1179" s="38"/>
      <c r="AP1179" s="38"/>
      <c r="AQ1179" s="38"/>
      <c r="AR1179" s="38"/>
      <c r="AS1179" s="38"/>
      <c r="AT1179" s="38"/>
      <c r="AU1179" s="38"/>
      <c r="AV1179" s="38"/>
      <c r="AW1179" s="38"/>
      <c r="AX1179" s="38"/>
      <c r="AY1179" s="38"/>
      <c r="AZ1179" s="38"/>
      <c r="BA1179" s="38"/>
      <c r="BB1179" s="38"/>
      <c r="BC1179" s="38"/>
      <c r="BD1179" s="38"/>
      <c r="BE1179" s="38"/>
      <c r="BF1179" s="38"/>
      <c r="BG1179" s="38"/>
      <c r="BH1179" s="38"/>
      <c r="BI1179" s="38"/>
      <c r="BJ1179" s="38"/>
      <c r="BK1179" s="38"/>
      <c r="BL1179" s="38"/>
      <c r="BM1179" s="38"/>
      <c r="BN1179" s="38"/>
      <c r="BO1179" s="38"/>
      <c r="BP1179" s="38"/>
      <c r="BQ1179" s="38"/>
    </row>
    <row r="1180">
      <c r="A1180" s="37"/>
      <c r="B1180" s="341"/>
      <c r="C1180" s="60"/>
      <c r="D1180" s="60"/>
      <c r="E1180" s="58"/>
      <c r="F1180" s="58"/>
      <c r="G1180" s="58"/>
      <c r="H1180" s="33" t="str">
        <f t="shared" si="33"/>
        <v/>
      </c>
      <c r="I1180" s="58"/>
      <c r="J1180" s="58"/>
      <c r="K1180" s="58"/>
      <c r="L1180" s="58"/>
      <c r="M1180" s="80"/>
      <c r="N1180" s="77"/>
      <c r="O1180" s="62"/>
      <c r="P1180" s="62"/>
      <c r="Q1180" s="62"/>
      <c r="R1180" s="62"/>
      <c r="S1180" s="37" t="str">
        <f>IFERROR(__xludf.DUMMYFUNCTION("if(not(iserror(index(split(C1180, "" ""),2))), index(split(C1180, "" ""),1),"""")"),"")</f>
        <v/>
      </c>
      <c r="T1180" s="315" t="str">
        <f>IFERROR(__xludf.DUMMYFUNCTION("if(S1180="""",C1180,if(not(iserror(index(split(C1180, "" ""),3))), index(split(C1180, "" ""),3),index(split(C1180, "" ""),2)))"),"")</f>
        <v/>
      </c>
      <c r="U1180" s="38" t="b">
        <f t="shared" si="34"/>
        <v>0</v>
      </c>
      <c r="V1180" s="38"/>
      <c r="W1180" s="40"/>
      <c r="X1180" s="40"/>
      <c r="Y1180" s="38"/>
      <c r="Z1180" s="38"/>
      <c r="AA1180" s="38"/>
      <c r="AB1180" s="38"/>
      <c r="AC1180" s="38"/>
      <c r="AD1180" s="38"/>
      <c r="AE1180" s="38"/>
      <c r="AF1180" s="38"/>
      <c r="AG1180" s="38"/>
      <c r="AH1180" s="38"/>
      <c r="AI1180" s="38"/>
      <c r="AJ1180" s="38"/>
      <c r="AK1180" s="38"/>
      <c r="AL1180" s="38"/>
      <c r="AM1180" s="38"/>
      <c r="AN1180" s="38"/>
      <c r="AO1180" s="38"/>
      <c r="AP1180" s="38"/>
      <c r="AQ1180" s="38"/>
      <c r="AR1180" s="38"/>
      <c r="AS1180" s="38"/>
      <c r="AT1180" s="38"/>
      <c r="AU1180" s="38"/>
      <c r="AV1180" s="38"/>
      <c r="AW1180" s="38"/>
      <c r="AX1180" s="38"/>
      <c r="AY1180" s="38"/>
      <c r="AZ1180" s="38"/>
      <c r="BA1180" s="38"/>
      <c r="BB1180" s="38"/>
      <c r="BC1180" s="38"/>
      <c r="BD1180" s="38"/>
      <c r="BE1180" s="38"/>
      <c r="BF1180" s="38"/>
      <c r="BG1180" s="38"/>
      <c r="BH1180" s="38"/>
      <c r="BI1180" s="38"/>
      <c r="BJ1180" s="38"/>
      <c r="BK1180" s="38"/>
      <c r="BL1180" s="38"/>
      <c r="BM1180" s="38"/>
      <c r="BN1180" s="38"/>
      <c r="BO1180" s="38"/>
      <c r="BP1180" s="38"/>
      <c r="BQ1180" s="38"/>
    </row>
    <row r="1181">
      <c r="A1181" s="37"/>
      <c r="B1181" s="341"/>
      <c r="C1181" s="60"/>
      <c r="D1181" s="60"/>
      <c r="E1181" s="58"/>
      <c r="F1181" s="58"/>
      <c r="G1181" s="58"/>
      <c r="H1181" s="33" t="str">
        <f t="shared" si="33"/>
        <v/>
      </c>
      <c r="I1181" s="58"/>
      <c r="J1181" s="58"/>
      <c r="K1181" s="58"/>
      <c r="L1181" s="58"/>
      <c r="M1181" s="80"/>
      <c r="N1181" s="77"/>
      <c r="O1181" s="62"/>
      <c r="P1181" s="62"/>
      <c r="Q1181" s="62"/>
      <c r="R1181" s="62"/>
      <c r="S1181" s="37" t="str">
        <f>IFERROR(__xludf.DUMMYFUNCTION("if(not(iserror(index(split(C1181, "" ""),2))), index(split(C1181, "" ""),1),"""")"),"")</f>
        <v/>
      </c>
      <c r="T1181" s="315" t="str">
        <f>IFERROR(__xludf.DUMMYFUNCTION("if(S1181="""",C1181,if(not(iserror(index(split(C1181, "" ""),3))), index(split(C1181, "" ""),3),index(split(C1181, "" ""),2)))"),"")</f>
        <v/>
      </c>
      <c r="U1181" s="38" t="b">
        <f t="shared" si="34"/>
        <v>0</v>
      </c>
      <c r="V1181" s="38"/>
      <c r="W1181" s="40"/>
      <c r="X1181" s="40"/>
      <c r="Y1181" s="38"/>
      <c r="Z1181" s="38"/>
      <c r="AA1181" s="38"/>
      <c r="AB1181" s="38"/>
      <c r="AC1181" s="38"/>
      <c r="AD1181" s="38"/>
      <c r="AE1181" s="38"/>
      <c r="AF1181" s="38"/>
      <c r="AG1181" s="38"/>
      <c r="AH1181" s="38"/>
      <c r="AI1181" s="38"/>
      <c r="AJ1181" s="38"/>
      <c r="AK1181" s="38"/>
      <c r="AL1181" s="38"/>
      <c r="AM1181" s="38"/>
      <c r="AN1181" s="38"/>
      <c r="AO1181" s="38"/>
      <c r="AP1181" s="38"/>
      <c r="AQ1181" s="38"/>
      <c r="AR1181" s="38"/>
      <c r="AS1181" s="38"/>
      <c r="AT1181" s="38"/>
      <c r="AU1181" s="38"/>
      <c r="AV1181" s="38"/>
      <c r="AW1181" s="38"/>
      <c r="AX1181" s="38"/>
      <c r="AY1181" s="38"/>
      <c r="AZ1181" s="38"/>
      <c r="BA1181" s="38"/>
      <c r="BB1181" s="38"/>
      <c r="BC1181" s="38"/>
      <c r="BD1181" s="38"/>
      <c r="BE1181" s="38"/>
      <c r="BF1181" s="38"/>
      <c r="BG1181" s="38"/>
      <c r="BH1181" s="38"/>
      <c r="BI1181" s="38"/>
      <c r="BJ1181" s="38"/>
      <c r="BK1181" s="38"/>
      <c r="BL1181" s="38"/>
      <c r="BM1181" s="38"/>
      <c r="BN1181" s="38"/>
      <c r="BO1181" s="38"/>
      <c r="BP1181" s="38"/>
      <c r="BQ1181" s="38"/>
    </row>
    <row r="1182">
      <c r="A1182" s="37"/>
      <c r="B1182" s="341"/>
      <c r="C1182" s="60"/>
      <c r="D1182" s="60"/>
      <c r="E1182" s="58"/>
      <c r="F1182" s="58"/>
      <c r="G1182" s="58"/>
      <c r="H1182" s="33" t="str">
        <f t="shared" si="33"/>
        <v/>
      </c>
      <c r="I1182" s="58"/>
      <c r="J1182" s="58"/>
      <c r="K1182" s="58"/>
      <c r="L1182" s="58"/>
      <c r="M1182" s="80"/>
      <c r="N1182" s="77"/>
      <c r="O1182" s="62"/>
      <c r="P1182" s="62"/>
      <c r="Q1182" s="62"/>
      <c r="R1182" s="62"/>
      <c r="S1182" s="37" t="str">
        <f>IFERROR(__xludf.DUMMYFUNCTION("if(not(iserror(index(split(C1182, "" ""),2))), index(split(C1182, "" ""),1),"""")"),"")</f>
        <v/>
      </c>
      <c r="T1182" s="315" t="str">
        <f>IFERROR(__xludf.DUMMYFUNCTION("if(S1182="""",C1182,if(not(iserror(index(split(C1182, "" ""),3))), index(split(C1182, "" ""),3),index(split(C1182, "" ""),2)))"),"")</f>
        <v/>
      </c>
      <c r="U1182" s="38" t="b">
        <f t="shared" si="34"/>
        <v>0</v>
      </c>
      <c r="V1182" s="38"/>
      <c r="W1182" s="40"/>
      <c r="X1182" s="40"/>
      <c r="Y1182" s="38"/>
      <c r="Z1182" s="38"/>
      <c r="AA1182" s="38"/>
      <c r="AB1182" s="38"/>
      <c r="AC1182" s="38"/>
      <c r="AD1182" s="38"/>
      <c r="AE1182" s="38"/>
      <c r="AF1182" s="38"/>
      <c r="AG1182" s="38"/>
      <c r="AH1182" s="38"/>
      <c r="AI1182" s="38"/>
      <c r="AJ1182" s="38"/>
      <c r="AK1182" s="38"/>
      <c r="AL1182" s="38"/>
      <c r="AM1182" s="38"/>
      <c r="AN1182" s="38"/>
      <c r="AO1182" s="38"/>
      <c r="AP1182" s="38"/>
      <c r="AQ1182" s="38"/>
      <c r="AR1182" s="38"/>
      <c r="AS1182" s="38"/>
      <c r="AT1182" s="38"/>
      <c r="AU1182" s="38"/>
      <c r="AV1182" s="38"/>
      <c r="AW1182" s="38"/>
      <c r="AX1182" s="38"/>
      <c r="AY1182" s="38"/>
      <c r="AZ1182" s="38"/>
      <c r="BA1182" s="38"/>
      <c r="BB1182" s="38"/>
      <c r="BC1182" s="38"/>
      <c r="BD1182" s="38"/>
      <c r="BE1182" s="38"/>
      <c r="BF1182" s="38"/>
      <c r="BG1182" s="38"/>
      <c r="BH1182" s="38"/>
      <c r="BI1182" s="38"/>
      <c r="BJ1182" s="38"/>
      <c r="BK1182" s="38"/>
      <c r="BL1182" s="38"/>
      <c r="BM1182" s="38"/>
      <c r="BN1182" s="38"/>
      <c r="BO1182" s="38"/>
      <c r="BP1182" s="38"/>
      <c r="BQ1182" s="38"/>
    </row>
    <row r="1183">
      <c r="A1183" s="37"/>
      <c r="B1183" s="341"/>
      <c r="C1183" s="60"/>
      <c r="D1183" s="60"/>
      <c r="E1183" s="58"/>
      <c r="F1183" s="58"/>
      <c r="G1183" s="58"/>
      <c r="H1183" s="33" t="str">
        <f t="shared" si="33"/>
        <v/>
      </c>
      <c r="I1183" s="58"/>
      <c r="J1183" s="58"/>
      <c r="K1183" s="58"/>
      <c r="L1183" s="58"/>
      <c r="M1183" s="14"/>
      <c r="N1183" s="77"/>
      <c r="O1183" s="62"/>
      <c r="P1183" s="62"/>
      <c r="Q1183" s="62"/>
      <c r="R1183" s="62"/>
      <c r="S1183" s="37" t="str">
        <f>IFERROR(__xludf.DUMMYFUNCTION("if(not(iserror(index(split(C1183, "" ""),2))), index(split(C1183, "" ""),1),"""")"),"")</f>
        <v/>
      </c>
      <c r="T1183" s="315" t="str">
        <f>IFERROR(__xludf.DUMMYFUNCTION("if(S1183="""",C1183,if(not(iserror(index(split(C1183, "" ""),3))), index(split(C1183, "" ""),3),index(split(C1183, "" ""),2)))"),"")</f>
        <v/>
      </c>
      <c r="U1183" s="38" t="b">
        <f t="shared" si="34"/>
        <v>0</v>
      </c>
      <c r="V1183" s="38"/>
      <c r="W1183" s="40"/>
      <c r="X1183" s="40"/>
      <c r="Y1183" s="38"/>
      <c r="Z1183" s="38"/>
      <c r="AA1183" s="38"/>
      <c r="AB1183" s="38"/>
      <c r="AC1183" s="38"/>
      <c r="AD1183" s="38"/>
      <c r="AE1183" s="38"/>
      <c r="AF1183" s="38"/>
      <c r="AG1183" s="38"/>
      <c r="AH1183" s="38"/>
      <c r="AI1183" s="38"/>
      <c r="AJ1183" s="38"/>
      <c r="AK1183" s="38"/>
      <c r="AL1183" s="38"/>
      <c r="AM1183" s="38"/>
      <c r="AN1183" s="38"/>
      <c r="AO1183" s="38"/>
      <c r="AP1183" s="38"/>
      <c r="AQ1183" s="38"/>
      <c r="AR1183" s="38"/>
      <c r="AS1183" s="38"/>
      <c r="AT1183" s="38"/>
      <c r="AU1183" s="38"/>
      <c r="AV1183" s="38"/>
      <c r="AW1183" s="38"/>
      <c r="AX1183" s="38"/>
      <c r="AY1183" s="38"/>
      <c r="AZ1183" s="38"/>
      <c r="BA1183" s="38"/>
      <c r="BB1183" s="38"/>
      <c r="BC1183" s="38"/>
      <c r="BD1183" s="38"/>
      <c r="BE1183" s="38"/>
      <c r="BF1183" s="38"/>
      <c r="BG1183" s="38"/>
      <c r="BH1183" s="38"/>
      <c r="BI1183" s="38"/>
      <c r="BJ1183" s="38"/>
      <c r="BK1183" s="38"/>
      <c r="BL1183" s="38"/>
      <c r="BM1183" s="38"/>
      <c r="BN1183" s="38"/>
      <c r="BO1183" s="38"/>
      <c r="BP1183" s="38"/>
      <c r="BQ1183" s="38"/>
    </row>
    <row r="1184">
      <c r="A1184" s="58"/>
      <c r="B1184" s="341"/>
      <c r="C1184" s="60"/>
      <c r="D1184" s="60"/>
      <c r="E1184" s="58"/>
      <c r="F1184" s="58"/>
      <c r="G1184" s="58"/>
      <c r="H1184" s="33" t="str">
        <f t="shared" si="33"/>
        <v/>
      </c>
      <c r="I1184" s="58"/>
      <c r="J1184" s="58"/>
      <c r="K1184" s="58"/>
      <c r="L1184" s="58"/>
      <c r="M1184" s="80"/>
      <c r="N1184" s="77"/>
      <c r="O1184" s="62"/>
      <c r="P1184" s="62"/>
      <c r="Q1184" s="62"/>
      <c r="R1184" s="62"/>
      <c r="S1184" s="37" t="str">
        <f>IFERROR(__xludf.DUMMYFUNCTION("if(not(iserror(index(split(C1184, "" ""),2))), index(split(C1184, "" ""),1),"""")"),"")</f>
        <v/>
      </c>
      <c r="T1184" s="315" t="str">
        <f>IFERROR(__xludf.DUMMYFUNCTION("if(S1184="""",C1184,if(not(iserror(index(split(C1184, "" ""),3))), index(split(C1184, "" ""),3),index(split(C1184, "" ""),2)))"),"")</f>
        <v/>
      </c>
      <c r="U1184" s="38" t="b">
        <f t="shared" si="34"/>
        <v>0</v>
      </c>
      <c r="V1184" s="38"/>
      <c r="W1184" s="40"/>
      <c r="X1184" s="40"/>
      <c r="Y1184" s="38"/>
      <c r="Z1184" s="38"/>
      <c r="AA1184" s="38"/>
      <c r="AB1184" s="38"/>
      <c r="AC1184" s="38"/>
      <c r="AD1184" s="38"/>
      <c r="AE1184" s="38"/>
      <c r="AF1184" s="38"/>
      <c r="AG1184" s="38"/>
      <c r="AH1184" s="38"/>
      <c r="AI1184" s="38"/>
      <c r="AJ1184" s="38"/>
      <c r="AK1184" s="38"/>
      <c r="AL1184" s="38"/>
      <c r="AM1184" s="38"/>
      <c r="AN1184" s="38"/>
      <c r="AO1184" s="38"/>
      <c r="AP1184" s="38"/>
      <c r="AQ1184" s="38"/>
      <c r="AR1184" s="38"/>
      <c r="AS1184" s="38"/>
      <c r="AT1184" s="38"/>
      <c r="AU1184" s="38"/>
      <c r="AV1184" s="38"/>
      <c r="AW1184" s="38"/>
      <c r="AX1184" s="38"/>
      <c r="AY1184" s="38"/>
      <c r="AZ1184" s="38"/>
      <c r="BA1184" s="38"/>
      <c r="BB1184" s="38"/>
      <c r="BC1184" s="38"/>
      <c r="BD1184" s="38"/>
      <c r="BE1184" s="38"/>
      <c r="BF1184" s="38"/>
      <c r="BG1184" s="38"/>
      <c r="BH1184" s="38"/>
      <c r="BI1184" s="38"/>
      <c r="BJ1184" s="38"/>
      <c r="BK1184" s="38"/>
      <c r="BL1184" s="38"/>
      <c r="BM1184" s="38"/>
      <c r="BN1184" s="38"/>
      <c r="BO1184" s="38"/>
      <c r="BP1184" s="38"/>
      <c r="BQ1184" s="38"/>
    </row>
    <row r="1185">
      <c r="A1185" s="58"/>
      <c r="B1185" s="341"/>
      <c r="C1185" s="60"/>
      <c r="D1185" s="60"/>
      <c r="E1185" s="58"/>
      <c r="F1185" s="58"/>
      <c r="G1185" s="58"/>
      <c r="H1185" s="33" t="str">
        <f t="shared" si="33"/>
        <v/>
      </c>
      <c r="I1185" s="58"/>
      <c r="J1185" s="58"/>
      <c r="K1185" s="58"/>
      <c r="L1185" s="58"/>
      <c r="M1185" s="80"/>
      <c r="N1185" s="77"/>
      <c r="O1185" s="62"/>
      <c r="P1185" s="62"/>
      <c r="Q1185" s="62"/>
      <c r="R1185" s="62"/>
      <c r="S1185" s="37" t="str">
        <f>IFERROR(__xludf.DUMMYFUNCTION("if(not(iserror(index(split(C1185, "" ""),2))), index(split(C1185, "" ""),1),"""")"),"")</f>
        <v/>
      </c>
      <c r="T1185" s="315" t="str">
        <f>IFERROR(__xludf.DUMMYFUNCTION("if(S1185="""",C1185,if(not(iserror(index(split(C1185, "" ""),3))), index(split(C1185, "" ""),3),index(split(C1185, "" ""),2)))"),"")</f>
        <v/>
      </c>
      <c r="U1185" s="38" t="b">
        <f t="shared" si="34"/>
        <v>0</v>
      </c>
      <c r="V1185" s="38"/>
      <c r="W1185" s="40"/>
      <c r="X1185" s="40"/>
      <c r="Y1185" s="38"/>
      <c r="Z1185" s="38"/>
      <c r="AA1185" s="38"/>
      <c r="AB1185" s="38"/>
      <c r="AC1185" s="38"/>
      <c r="AD1185" s="38"/>
      <c r="AE1185" s="38"/>
      <c r="AF1185" s="38"/>
      <c r="AG1185" s="38"/>
      <c r="AH1185" s="38"/>
      <c r="AI1185" s="38"/>
      <c r="AJ1185" s="38"/>
      <c r="AK1185" s="38"/>
      <c r="AL1185" s="38"/>
      <c r="AM1185" s="38"/>
      <c r="AN1185" s="38"/>
      <c r="AO1185" s="38"/>
      <c r="AP1185" s="38"/>
      <c r="AQ1185" s="38"/>
      <c r="AR1185" s="38"/>
      <c r="AS1185" s="38"/>
      <c r="AT1185" s="38"/>
      <c r="AU1185" s="38"/>
      <c r="AV1185" s="38"/>
      <c r="AW1185" s="38"/>
      <c r="AX1185" s="38"/>
      <c r="AY1185" s="38"/>
      <c r="AZ1185" s="38"/>
      <c r="BA1185" s="38"/>
      <c r="BB1185" s="38"/>
      <c r="BC1185" s="38"/>
      <c r="BD1185" s="38"/>
      <c r="BE1185" s="38"/>
      <c r="BF1185" s="38"/>
      <c r="BG1185" s="38"/>
      <c r="BH1185" s="38"/>
      <c r="BI1185" s="38"/>
      <c r="BJ1185" s="38"/>
      <c r="BK1185" s="38"/>
      <c r="BL1185" s="38"/>
      <c r="BM1185" s="38"/>
      <c r="BN1185" s="38"/>
      <c r="BO1185" s="38"/>
      <c r="BP1185" s="38"/>
      <c r="BQ1185" s="38"/>
    </row>
    <row r="1186">
      <c r="A1186" s="37"/>
      <c r="B1186" s="341"/>
      <c r="C1186" s="60"/>
      <c r="D1186" s="60"/>
      <c r="E1186" s="58"/>
      <c r="F1186" s="58"/>
      <c r="G1186" s="58"/>
      <c r="H1186" s="33" t="str">
        <f t="shared" si="33"/>
        <v/>
      </c>
      <c r="I1186" s="58"/>
      <c r="J1186" s="58"/>
      <c r="K1186" s="58"/>
      <c r="L1186" s="58"/>
      <c r="M1186" s="80"/>
      <c r="N1186" s="77"/>
      <c r="O1186" s="62"/>
      <c r="P1186" s="62"/>
      <c r="Q1186" s="62"/>
      <c r="R1186" s="62"/>
      <c r="S1186" s="37" t="str">
        <f>IFERROR(__xludf.DUMMYFUNCTION("if(not(iserror(index(split(C1186, "" ""),2))), index(split(C1186, "" ""),1),"""")"),"")</f>
        <v/>
      </c>
      <c r="T1186" s="315" t="str">
        <f>IFERROR(__xludf.DUMMYFUNCTION("if(S1186="""",C1186,if(not(iserror(index(split(C1186, "" ""),3))), index(split(C1186, "" ""),3),index(split(C1186, "" ""),2)))"),"")</f>
        <v/>
      </c>
      <c r="U1186" s="38" t="b">
        <f t="shared" si="34"/>
        <v>0</v>
      </c>
      <c r="V1186" s="38"/>
      <c r="W1186" s="40"/>
      <c r="X1186" s="40"/>
      <c r="Y1186" s="38"/>
      <c r="Z1186" s="38"/>
      <c r="AA1186" s="38"/>
      <c r="AB1186" s="38"/>
      <c r="AC1186" s="38"/>
      <c r="AD1186" s="38"/>
      <c r="AE1186" s="38"/>
      <c r="AF1186" s="38"/>
      <c r="AG1186" s="38"/>
      <c r="AH1186" s="38"/>
      <c r="AI1186" s="38"/>
      <c r="AJ1186" s="38"/>
      <c r="AK1186" s="38"/>
      <c r="AL1186" s="38"/>
      <c r="AM1186" s="38"/>
      <c r="AN1186" s="38"/>
      <c r="AO1186" s="38"/>
      <c r="AP1186" s="38"/>
      <c r="AQ1186" s="38"/>
      <c r="AR1186" s="38"/>
      <c r="AS1186" s="38"/>
      <c r="AT1186" s="38"/>
      <c r="AU1186" s="38"/>
      <c r="AV1186" s="38"/>
      <c r="AW1186" s="38"/>
      <c r="AX1186" s="38"/>
      <c r="AY1186" s="38"/>
      <c r="AZ1186" s="38"/>
      <c r="BA1186" s="38"/>
      <c r="BB1186" s="38"/>
      <c r="BC1186" s="38"/>
      <c r="BD1186" s="38"/>
      <c r="BE1186" s="38"/>
      <c r="BF1186" s="38"/>
      <c r="BG1186" s="38"/>
      <c r="BH1186" s="38"/>
      <c r="BI1186" s="38"/>
      <c r="BJ1186" s="38"/>
      <c r="BK1186" s="38"/>
      <c r="BL1186" s="38"/>
      <c r="BM1186" s="38"/>
      <c r="BN1186" s="38"/>
      <c r="BO1186" s="38"/>
      <c r="BP1186" s="38"/>
      <c r="BQ1186" s="38"/>
    </row>
    <row r="1187">
      <c r="A1187" s="37"/>
      <c r="B1187" s="341"/>
      <c r="C1187" s="60"/>
      <c r="D1187" s="60"/>
      <c r="E1187" s="58"/>
      <c r="F1187" s="58"/>
      <c r="G1187" s="58"/>
      <c r="H1187" s="33" t="str">
        <f t="shared" si="33"/>
        <v/>
      </c>
      <c r="I1187" s="58"/>
      <c r="J1187" s="58"/>
      <c r="K1187" s="58"/>
      <c r="L1187" s="58"/>
      <c r="M1187" s="14"/>
      <c r="N1187" s="77"/>
      <c r="O1187" s="58"/>
      <c r="P1187" s="58"/>
      <c r="Q1187" s="84"/>
      <c r="R1187" s="62"/>
      <c r="S1187" s="37" t="str">
        <f>IFERROR(__xludf.DUMMYFUNCTION("if(not(iserror(index(split(C1187, "" ""),2))), index(split(C1187, "" ""),1),"""")"),"")</f>
        <v/>
      </c>
      <c r="T1187" s="315" t="str">
        <f>IFERROR(__xludf.DUMMYFUNCTION("if(S1187="""",C1187,if(not(iserror(index(split(C1187, "" ""),3))), index(split(C1187, "" ""),3),index(split(C1187, "" ""),2)))"),"")</f>
        <v/>
      </c>
      <c r="U1187" s="38" t="b">
        <f t="shared" si="34"/>
        <v>0</v>
      </c>
      <c r="V1187" s="38"/>
      <c r="W1187" s="40"/>
      <c r="X1187" s="40"/>
      <c r="Y1187" s="38"/>
      <c r="Z1187" s="38"/>
      <c r="AA1187" s="38"/>
      <c r="AB1187" s="38"/>
      <c r="AC1187" s="38"/>
      <c r="AD1187" s="38"/>
      <c r="AE1187" s="38"/>
      <c r="AF1187" s="38"/>
      <c r="AG1187" s="38"/>
      <c r="AH1187" s="38"/>
      <c r="AI1187" s="38"/>
      <c r="AJ1187" s="38"/>
      <c r="AK1187" s="38"/>
      <c r="AL1187" s="38"/>
      <c r="AM1187" s="38"/>
      <c r="AN1187" s="38"/>
      <c r="AO1187" s="38"/>
      <c r="AP1187" s="38"/>
      <c r="AQ1187" s="38"/>
      <c r="AR1187" s="38"/>
      <c r="AS1187" s="38"/>
      <c r="AT1187" s="38"/>
      <c r="AU1187" s="38"/>
      <c r="AV1187" s="38"/>
      <c r="AW1187" s="38"/>
      <c r="AX1187" s="38"/>
      <c r="AY1187" s="38"/>
      <c r="AZ1187" s="38"/>
      <c r="BA1187" s="38"/>
      <c r="BB1187" s="38"/>
      <c r="BC1187" s="38"/>
      <c r="BD1187" s="38"/>
      <c r="BE1187" s="38"/>
      <c r="BF1187" s="38"/>
      <c r="BG1187" s="38"/>
      <c r="BH1187" s="38"/>
      <c r="BI1187" s="38"/>
      <c r="BJ1187" s="38"/>
      <c r="BK1187" s="38"/>
      <c r="BL1187" s="38"/>
      <c r="BM1187" s="38"/>
      <c r="BN1187" s="38"/>
      <c r="BO1187" s="38"/>
      <c r="BP1187" s="38"/>
      <c r="BQ1187" s="38"/>
    </row>
    <row r="1188">
      <c r="A1188" s="58"/>
      <c r="B1188" s="341"/>
      <c r="C1188" s="60"/>
      <c r="D1188" s="60"/>
      <c r="E1188" s="58"/>
      <c r="F1188" s="58"/>
      <c r="G1188" s="58"/>
      <c r="H1188" s="33" t="str">
        <f t="shared" si="33"/>
        <v/>
      </c>
      <c r="I1188" s="58"/>
      <c r="J1188" s="58"/>
      <c r="K1188" s="58"/>
      <c r="L1188" s="58"/>
      <c r="M1188" s="80"/>
      <c r="N1188" s="77"/>
      <c r="O1188" s="58"/>
      <c r="P1188" s="58"/>
      <c r="Q1188" s="84"/>
      <c r="R1188" s="62"/>
      <c r="S1188" s="37" t="str">
        <f>IFERROR(__xludf.DUMMYFUNCTION("if(not(iserror(index(split(C1188, "" ""),2))), index(split(C1188, "" ""),1),"""")"),"")</f>
        <v/>
      </c>
      <c r="T1188" s="315" t="str">
        <f>IFERROR(__xludf.DUMMYFUNCTION("if(S1188="""",C1188,if(not(iserror(index(split(C1188, "" ""),3))), index(split(C1188, "" ""),3),index(split(C1188, "" ""),2)))"),"")</f>
        <v/>
      </c>
      <c r="U1188" s="38" t="b">
        <f t="shared" si="34"/>
        <v>0</v>
      </c>
      <c r="V1188" s="38"/>
      <c r="W1188" s="40"/>
      <c r="X1188" s="40"/>
      <c r="Y1188" s="38"/>
      <c r="Z1188" s="38"/>
      <c r="AA1188" s="38"/>
      <c r="AB1188" s="38"/>
      <c r="AC1188" s="38"/>
      <c r="AD1188" s="38"/>
      <c r="AE1188" s="38"/>
      <c r="AF1188" s="38"/>
      <c r="AG1188" s="38"/>
      <c r="AH1188" s="38"/>
      <c r="AI1188" s="38"/>
      <c r="AJ1188" s="38"/>
      <c r="AK1188" s="38"/>
      <c r="AL1188" s="38"/>
      <c r="AM1188" s="38"/>
      <c r="AN1188" s="38"/>
      <c r="AO1188" s="38"/>
      <c r="AP1188" s="38"/>
      <c r="AQ1188" s="38"/>
      <c r="AR1188" s="38"/>
      <c r="AS1188" s="38"/>
      <c r="AT1188" s="38"/>
      <c r="AU1188" s="38"/>
      <c r="AV1188" s="38"/>
      <c r="AW1188" s="38"/>
      <c r="AX1188" s="38"/>
      <c r="AY1188" s="38"/>
      <c r="AZ1188" s="38"/>
      <c r="BA1188" s="38"/>
      <c r="BB1188" s="38"/>
      <c r="BC1188" s="38"/>
      <c r="BD1188" s="38"/>
      <c r="BE1188" s="38"/>
      <c r="BF1188" s="38"/>
      <c r="BG1188" s="38"/>
      <c r="BH1188" s="38"/>
      <c r="BI1188" s="38"/>
      <c r="BJ1188" s="38"/>
      <c r="BK1188" s="38"/>
      <c r="BL1188" s="38"/>
      <c r="BM1188" s="38"/>
      <c r="BN1188" s="38"/>
      <c r="BO1188" s="38"/>
      <c r="BP1188" s="38"/>
      <c r="BQ1188" s="38"/>
    </row>
    <row r="1189">
      <c r="A1189" s="58"/>
      <c r="B1189" s="341"/>
      <c r="C1189" s="60"/>
      <c r="D1189" s="60"/>
      <c r="E1189" s="58"/>
      <c r="F1189" s="58"/>
      <c r="G1189" s="58"/>
      <c r="H1189" s="33" t="str">
        <f t="shared" si="33"/>
        <v/>
      </c>
      <c r="I1189" s="58"/>
      <c r="J1189" s="58"/>
      <c r="K1189" s="58"/>
      <c r="L1189" s="58"/>
      <c r="M1189" s="80"/>
      <c r="N1189" s="77"/>
      <c r="O1189" s="62"/>
      <c r="P1189" s="62"/>
      <c r="Q1189" s="62"/>
      <c r="R1189" s="62"/>
      <c r="S1189" s="37" t="str">
        <f>IFERROR(__xludf.DUMMYFUNCTION("if(not(iserror(index(split(C1189, "" ""),2))), index(split(C1189, "" ""),1),"""")"),"")</f>
        <v/>
      </c>
      <c r="T1189" s="315" t="str">
        <f>IFERROR(__xludf.DUMMYFUNCTION("if(S1189="""",C1189,if(not(iserror(index(split(C1189, "" ""),3))), index(split(C1189, "" ""),3),index(split(C1189, "" ""),2)))"),"")</f>
        <v/>
      </c>
      <c r="U1189" s="38" t="b">
        <f t="shared" si="34"/>
        <v>0</v>
      </c>
      <c r="V1189" s="38"/>
      <c r="W1189" s="40"/>
      <c r="X1189" s="40"/>
      <c r="Y1189" s="38"/>
      <c r="Z1189" s="38"/>
      <c r="AA1189" s="38"/>
      <c r="AB1189" s="38"/>
      <c r="AC1189" s="38"/>
      <c r="AD1189" s="38"/>
      <c r="AE1189" s="38"/>
      <c r="AF1189" s="38"/>
      <c r="AG1189" s="38"/>
      <c r="AH1189" s="38"/>
      <c r="AI1189" s="38"/>
      <c r="AJ1189" s="38"/>
      <c r="AK1189" s="38"/>
      <c r="AL1189" s="38"/>
      <c r="AM1189" s="38"/>
      <c r="AN1189" s="38"/>
      <c r="AO1189" s="38"/>
      <c r="AP1189" s="38"/>
      <c r="AQ1189" s="38"/>
      <c r="AR1189" s="38"/>
      <c r="AS1189" s="38"/>
      <c r="AT1189" s="38"/>
      <c r="AU1189" s="38"/>
      <c r="AV1189" s="38"/>
      <c r="AW1189" s="38"/>
      <c r="AX1189" s="38"/>
      <c r="AY1189" s="38"/>
      <c r="AZ1189" s="38"/>
      <c r="BA1189" s="38"/>
      <c r="BB1189" s="38"/>
      <c r="BC1189" s="38"/>
      <c r="BD1189" s="38"/>
      <c r="BE1189" s="38"/>
      <c r="BF1189" s="38"/>
      <c r="BG1189" s="38"/>
      <c r="BH1189" s="38"/>
      <c r="BI1189" s="38"/>
      <c r="BJ1189" s="38"/>
      <c r="BK1189" s="38"/>
      <c r="BL1189" s="38"/>
      <c r="BM1189" s="38"/>
      <c r="BN1189" s="38"/>
      <c r="BO1189" s="38"/>
      <c r="BP1189" s="38"/>
      <c r="BQ1189" s="38"/>
    </row>
    <row r="1190">
      <c r="A1190" s="37"/>
      <c r="B1190" s="341"/>
      <c r="C1190" s="60"/>
      <c r="D1190" s="60"/>
      <c r="E1190" s="58"/>
      <c r="F1190" s="58"/>
      <c r="G1190" s="58"/>
      <c r="H1190" s="33" t="str">
        <f t="shared" si="33"/>
        <v/>
      </c>
      <c r="I1190" s="58"/>
      <c r="J1190" s="58"/>
      <c r="K1190" s="58"/>
      <c r="L1190" s="58"/>
      <c r="M1190" s="80"/>
      <c r="N1190" s="77"/>
      <c r="O1190" s="62"/>
      <c r="P1190" s="62"/>
      <c r="Q1190" s="62"/>
      <c r="R1190" s="62"/>
      <c r="S1190" s="37" t="str">
        <f>IFERROR(__xludf.DUMMYFUNCTION("if(not(iserror(index(split(C1190, "" ""),2))), index(split(C1190, "" ""),1),"""")"),"")</f>
        <v/>
      </c>
      <c r="T1190" s="315" t="str">
        <f>IFERROR(__xludf.DUMMYFUNCTION("if(S1190="""",C1190,if(not(iserror(index(split(C1190, "" ""),3))), index(split(C1190, "" ""),3),index(split(C1190, "" ""),2)))"),"")</f>
        <v/>
      </c>
      <c r="U1190" s="38" t="b">
        <f t="shared" si="34"/>
        <v>0</v>
      </c>
      <c r="V1190" s="38"/>
      <c r="W1190" s="40"/>
      <c r="X1190" s="40"/>
      <c r="Y1190" s="38"/>
      <c r="Z1190" s="38"/>
      <c r="AA1190" s="38"/>
      <c r="AB1190" s="38"/>
      <c r="AC1190" s="38"/>
      <c r="AD1190" s="38"/>
      <c r="AE1190" s="38"/>
      <c r="AF1190" s="38"/>
      <c r="AG1190" s="38"/>
      <c r="AH1190" s="38"/>
      <c r="AI1190" s="38"/>
      <c r="AJ1190" s="38"/>
      <c r="AK1190" s="38"/>
      <c r="AL1190" s="38"/>
      <c r="AM1190" s="38"/>
      <c r="AN1190" s="38"/>
      <c r="AO1190" s="38"/>
      <c r="AP1190" s="38"/>
      <c r="AQ1190" s="38"/>
      <c r="AR1190" s="38"/>
      <c r="AS1190" s="38"/>
      <c r="AT1190" s="38"/>
      <c r="AU1190" s="38"/>
      <c r="AV1190" s="38"/>
      <c r="AW1190" s="38"/>
      <c r="AX1190" s="38"/>
      <c r="AY1190" s="38"/>
      <c r="AZ1190" s="38"/>
      <c r="BA1190" s="38"/>
      <c r="BB1190" s="38"/>
      <c r="BC1190" s="38"/>
      <c r="BD1190" s="38"/>
      <c r="BE1190" s="38"/>
      <c r="BF1190" s="38"/>
      <c r="BG1190" s="38"/>
      <c r="BH1190" s="38"/>
      <c r="BI1190" s="38"/>
      <c r="BJ1190" s="38"/>
      <c r="BK1190" s="38"/>
      <c r="BL1190" s="38"/>
      <c r="BM1190" s="38"/>
      <c r="BN1190" s="38"/>
      <c r="BO1190" s="38"/>
      <c r="BP1190" s="38"/>
      <c r="BQ1190" s="38"/>
    </row>
    <row r="1191">
      <c r="A1191" s="58"/>
      <c r="B1191" s="341"/>
      <c r="C1191" s="60"/>
      <c r="D1191" s="60"/>
      <c r="E1191" s="58"/>
      <c r="F1191" s="58"/>
      <c r="G1191" s="58"/>
      <c r="H1191" s="33" t="str">
        <f t="shared" si="33"/>
        <v/>
      </c>
      <c r="I1191" s="58"/>
      <c r="J1191" s="58"/>
      <c r="K1191" s="58"/>
      <c r="L1191" s="58"/>
      <c r="M1191" s="80"/>
      <c r="N1191" s="77"/>
      <c r="O1191" s="62"/>
      <c r="P1191" s="62"/>
      <c r="Q1191" s="62"/>
      <c r="R1191" s="62"/>
      <c r="S1191" s="37" t="str">
        <f>IFERROR(__xludf.DUMMYFUNCTION("if(not(iserror(index(split(C1191, "" ""),2))), index(split(C1191, "" ""),1),"""")"),"")</f>
        <v/>
      </c>
      <c r="T1191" s="315" t="str">
        <f>IFERROR(__xludf.DUMMYFUNCTION("if(S1191="""",C1191,if(not(iserror(index(split(C1191, "" ""),3))), index(split(C1191, "" ""),3),index(split(C1191, "" ""),2)))"),"")</f>
        <v/>
      </c>
      <c r="U1191" s="38" t="b">
        <f t="shared" si="34"/>
        <v>0</v>
      </c>
      <c r="V1191" s="38"/>
      <c r="W1191" s="40"/>
      <c r="X1191" s="40"/>
      <c r="Y1191" s="38"/>
      <c r="Z1191" s="38"/>
      <c r="AA1191" s="38"/>
      <c r="AB1191" s="38"/>
      <c r="AC1191" s="38"/>
      <c r="AD1191" s="38"/>
      <c r="AE1191" s="38"/>
      <c r="AF1191" s="38"/>
      <c r="AG1191" s="38"/>
      <c r="AH1191" s="38"/>
      <c r="AI1191" s="38"/>
      <c r="AJ1191" s="38"/>
      <c r="AK1191" s="38"/>
      <c r="AL1191" s="38"/>
      <c r="AM1191" s="38"/>
      <c r="AN1191" s="38"/>
      <c r="AO1191" s="38"/>
      <c r="AP1191" s="38"/>
      <c r="AQ1191" s="38"/>
      <c r="AR1191" s="38"/>
      <c r="AS1191" s="38"/>
      <c r="AT1191" s="38"/>
      <c r="AU1191" s="38"/>
      <c r="AV1191" s="38"/>
      <c r="AW1191" s="38"/>
      <c r="AX1191" s="38"/>
      <c r="AY1191" s="38"/>
      <c r="AZ1191" s="38"/>
      <c r="BA1191" s="38"/>
      <c r="BB1191" s="38"/>
      <c r="BC1191" s="38"/>
      <c r="BD1191" s="38"/>
      <c r="BE1191" s="38"/>
      <c r="BF1191" s="38"/>
      <c r="BG1191" s="38"/>
      <c r="BH1191" s="38"/>
      <c r="BI1191" s="38"/>
      <c r="BJ1191" s="38"/>
      <c r="BK1191" s="38"/>
      <c r="BL1191" s="38"/>
      <c r="BM1191" s="38"/>
      <c r="BN1191" s="38"/>
      <c r="BO1191" s="38"/>
      <c r="BP1191" s="38"/>
      <c r="BQ1191" s="38"/>
    </row>
    <row r="1192">
      <c r="B1192" s="341"/>
      <c r="C1192" s="60"/>
      <c r="D1192" s="60"/>
      <c r="E1192" s="58"/>
      <c r="F1192" s="58"/>
      <c r="G1192" s="58"/>
      <c r="H1192" s="33" t="str">
        <f t="shared" si="33"/>
        <v/>
      </c>
      <c r="I1192" s="58"/>
      <c r="J1192" s="58"/>
      <c r="K1192" s="58"/>
      <c r="L1192" s="58"/>
      <c r="M1192" s="14"/>
      <c r="N1192" s="77"/>
      <c r="O1192" s="62"/>
      <c r="P1192" s="62"/>
      <c r="Q1192" s="62"/>
      <c r="R1192" s="62"/>
      <c r="S1192" s="37" t="str">
        <f>IFERROR(__xludf.DUMMYFUNCTION("if(not(iserror(index(split(C1192, "" ""),2))), index(split(C1192, "" ""),1),"""")"),"")</f>
        <v/>
      </c>
      <c r="T1192" s="315" t="str">
        <f>IFERROR(__xludf.DUMMYFUNCTION("if(S1192="""",C1192,if(not(iserror(index(split(C1192, "" ""),3))), index(split(C1192, "" ""),3),index(split(C1192, "" ""),2)))"),"")</f>
        <v/>
      </c>
      <c r="U1192" s="38" t="b">
        <f t="shared" si="34"/>
        <v>0</v>
      </c>
      <c r="V1192" s="38"/>
      <c r="W1192" s="40"/>
      <c r="X1192" s="40"/>
      <c r="Y1192" s="38"/>
      <c r="Z1192" s="38"/>
      <c r="AA1192" s="38"/>
      <c r="AB1192" s="38"/>
      <c r="AC1192" s="38"/>
      <c r="AD1192" s="38"/>
      <c r="AE1192" s="38"/>
      <c r="AF1192" s="38"/>
      <c r="AG1192" s="38"/>
      <c r="AH1192" s="38"/>
      <c r="AI1192" s="38"/>
      <c r="AJ1192" s="38"/>
      <c r="AK1192" s="38"/>
      <c r="AL1192" s="38"/>
      <c r="AM1192" s="38"/>
      <c r="AN1192" s="38"/>
      <c r="AO1192" s="38"/>
      <c r="AP1192" s="38"/>
      <c r="AQ1192" s="38"/>
      <c r="AR1192" s="38"/>
      <c r="AS1192" s="38"/>
      <c r="AT1192" s="38"/>
      <c r="AU1192" s="38"/>
      <c r="AV1192" s="38"/>
      <c r="AW1192" s="38"/>
      <c r="AX1192" s="38"/>
      <c r="AY1192" s="38"/>
      <c r="AZ1192" s="38"/>
      <c r="BA1192" s="38"/>
      <c r="BB1192" s="38"/>
      <c r="BC1192" s="38"/>
      <c r="BD1192" s="38"/>
      <c r="BE1192" s="38"/>
      <c r="BF1192" s="38"/>
      <c r="BG1192" s="38"/>
      <c r="BH1192" s="38"/>
      <c r="BI1192" s="38"/>
      <c r="BJ1192" s="38"/>
      <c r="BK1192" s="38"/>
      <c r="BL1192" s="38"/>
      <c r="BM1192" s="38"/>
      <c r="BN1192" s="38"/>
      <c r="BO1192" s="38"/>
      <c r="BP1192" s="38"/>
      <c r="BQ1192" s="38"/>
    </row>
    <row r="1193">
      <c r="A1193" s="37"/>
      <c r="B1193" s="341"/>
      <c r="C1193" s="60"/>
      <c r="D1193" s="60"/>
      <c r="E1193" s="58"/>
      <c r="F1193" s="58"/>
      <c r="G1193" s="58"/>
      <c r="H1193" s="33" t="str">
        <f t="shared" si="33"/>
        <v/>
      </c>
      <c r="I1193" s="58"/>
      <c r="J1193" s="58"/>
      <c r="K1193" s="58"/>
      <c r="L1193" s="58"/>
      <c r="M1193" s="14"/>
      <c r="N1193" s="77"/>
      <c r="O1193" s="62"/>
      <c r="P1193" s="62"/>
      <c r="Q1193" s="62"/>
      <c r="R1193" s="62"/>
      <c r="S1193" s="37" t="str">
        <f>IFERROR(__xludf.DUMMYFUNCTION("if(not(iserror(index(split(C1193, "" ""),2))), index(split(C1193, "" ""),1),"""")"),"")</f>
        <v/>
      </c>
      <c r="T1193" s="315" t="str">
        <f>IFERROR(__xludf.DUMMYFUNCTION("if(S1193="""",C1193,if(not(iserror(index(split(C1193, "" ""),3))), index(split(C1193, "" ""),3),index(split(C1193, "" ""),2)))"),"")</f>
        <v/>
      </c>
      <c r="U1193" s="38" t="b">
        <f t="shared" si="34"/>
        <v>0</v>
      </c>
      <c r="V1193" s="38"/>
      <c r="W1193" s="40"/>
      <c r="X1193" s="40"/>
      <c r="Y1193" s="38"/>
      <c r="Z1193" s="38"/>
      <c r="AA1193" s="38"/>
      <c r="AB1193" s="38"/>
      <c r="AC1193" s="38"/>
      <c r="AD1193" s="38"/>
      <c r="AE1193" s="38"/>
      <c r="AF1193" s="38"/>
      <c r="AG1193" s="38"/>
      <c r="AH1193" s="38"/>
      <c r="AI1193" s="38"/>
      <c r="AJ1193" s="38"/>
      <c r="AK1193" s="38"/>
      <c r="AL1193" s="38"/>
      <c r="AM1193" s="38"/>
      <c r="AN1193" s="38"/>
      <c r="AO1193" s="38"/>
      <c r="AP1193" s="38"/>
      <c r="AQ1193" s="38"/>
      <c r="AR1193" s="38"/>
      <c r="AS1193" s="38"/>
      <c r="AT1193" s="38"/>
      <c r="AU1193" s="38"/>
      <c r="AV1193" s="38"/>
      <c r="AW1193" s="38"/>
      <c r="AX1193" s="38"/>
      <c r="AY1193" s="38"/>
      <c r="AZ1193" s="38"/>
      <c r="BA1193" s="38"/>
      <c r="BB1193" s="38"/>
      <c r="BC1193" s="38"/>
      <c r="BD1193" s="38"/>
      <c r="BE1193" s="38"/>
      <c r="BF1193" s="38"/>
      <c r="BG1193" s="38"/>
      <c r="BH1193" s="38"/>
      <c r="BI1193" s="38"/>
      <c r="BJ1193" s="38"/>
      <c r="BK1193" s="38"/>
      <c r="BL1193" s="38"/>
      <c r="BM1193" s="38"/>
      <c r="BN1193" s="38"/>
      <c r="BO1193" s="38"/>
      <c r="BP1193" s="38"/>
      <c r="BQ1193" s="38"/>
    </row>
    <row r="1194">
      <c r="A1194" s="58"/>
      <c r="B1194" s="341"/>
      <c r="C1194" s="60"/>
      <c r="D1194" s="60"/>
      <c r="E1194" s="58"/>
      <c r="F1194" s="58"/>
      <c r="G1194" s="58"/>
      <c r="H1194" s="33" t="str">
        <f t="shared" si="33"/>
        <v/>
      </c>
      <c r="I1194" s="58"/>
      <c r="J1194" s="58"/>
      <c r="K1194" s="58"/>
      <c r="L1194" s="58"/>
      <c r="M1194" s="80"/>
      <c r="N1194" s="77"/>
      <c r="O1194" s="62"/>
      <c r="P1194" s="62"/>
      <c r="Q1194" s="62"/>
      <c r="R1194" s="62"/>
      <c r="S1194" s="37" t="str">
        <f>IFERROR(__xludf.DUMMYFUNCTION("if(not(iserror(index(split(C1194, "" ""),2))), index(split(C1194, "" ""),1),"""")"),"")</f>
        <v/>
      </c>
      <c r="T1194" s="315" t="str">
        <f>IFERROR(__xludf.DUMMYFUNCTION("if(S1194="""",C1194,if(not(iserror(index(split(C1194, "" ""),3))), index(split(C1194, "" ""),3),index(split(C1194, "" ""),2)))"),"")</f>
        <v/>
      </c>
      <c r="U1194" s="38" t="b">
        <f t="shared" si="34"/>
        <v>0</v>
      </c>
      <c r="V1194" s="38"/>
      <c r="W1194" s="40"/>
      <c r="X1194" s="40"/>
      <c r="Y1194" s="38"/>
      <c r="Z1194" s="38"/>
      <c r="AA1194" s="38"/>
      <c r="AB1194" s="38"/>
      <c r="AC1194" s="38"/>
      <c r="AD1194" s="38"/>
      <c r="AE1194" s="38"/>
      <c r="AF1194" s="38"/>
      <c r="AG1194" s="38"/>
      <c r="AH1194" s="38"/>
      <c r="AI1194" s="38"/>
      <c r="AJ1194" s="38"/>
      <c r="AK1194" s="38"/>
      <c r="AL1194" s="38"/>
      <c r="AM1194" s="38"/>
      <c r="AN1194" s="38"/>
      <c r="AO1194" s="38"/>
      <c r="AP1194" s="38"/>
      <c r="AQ1194" s="38"/>
      <c r="AR1194" s="38"/>
      <c r="AS1194" s="38"/>
      <c r="AT1194" s="38"/>
      <c r="AU1194" s="38"/>
      <c r="AV1194" s="38"/>
      <c r="AW1194" s="38"/>
      <c r="AX1194" s="38"/>
      <c r="AY1194" s="38"/>
      <c r="AZ1194" s="38"/>
      <c r="BA1194" s="38"/>
      <c r="BB1194" s="38"/>
      <c r="BC1194" s="38"/>
      <c r="BD1194" s="38"/>
      <c r="BE1194" s="38"/>
      <c r="BF1194" s="38"/>
      <c r="BG1194" s="38"/>
      <c r="BH1194" s="38"/>
      <c r="BI1194" s="38"/>
      <c r="BJ1194" s="38"/>
      <c r="BK1194" s="38"/>
      <c r="BL1194" s="38"/>
      <c r="BM1194" s="38"/>
      <c r="BN1194" s="38"/>
      <c r="BO1194" s="38"/>
      <c r="BP1194" s="38"/>
      <c r="BQ1194" s="38"/>
    </row>
    <row r="1195">
      <c r="A1195" s="58"/>
      <c r="B1195" s="341"/>
      <c r="C1195" s="60"/>
      <c r="D1195" s="60"/>
      <c r="E1195" s="58"/>
      <c r="F1195" s="58"/>
      <c r="G1195" s="58"/>
      <c r="H1195" s="33" t="str">
        <f t="shared" si="33"/>
        <v/>
      </c>
      <c r="I1195" s="58"/>
      <c r="J1195" s="58"/>
      <c r="K1195" s="58"/>
      <c r="L1195" s="58"/>
      <c r="M1195" s="80"/>
      <c r="N1195" s="77"/>
      <c r="O1195" s="62"/>
      <c r="P1195" s="62"/>
      <c r="Q1195" s="62"/>
      <c r="R1195" s="62"/>
      <c r="S1195" s="37" t="str">
        <f>IFERROR(__xludf.DUMMYFUNCTION("if(not(iserror(index(split(C1195, "" ""),2))), index(split(C1195, "" ""),1),"""")"),"")</f>
        <v/>
      </c>
      <c r="T1195" s="315" t="str">
        <f>IFERROR(__xludf.DUMMYFUNCTION("if(S1195="""",C1195,if(not(iserror(index(split(C1195, "" ""),3))), index(split(C1195, "" ""),3),index(split(C1195, "" ""),2)))"),"")</f>
        <v/>
      </c>
      <c r="U1195" s="38" t="b">
        <f t="shared" si="34"/>
        <v>0</v>
      </c>
      <c r="V1195" s="38"/>
      <c r="W1195" s="40"/>
      <c r="X1195" s="40"/>
      <c r="Y1195" s="38"/>
      <c r="Z1195" s="38"/>
      <c r="AA1195" s="38"/>
      <c r="AB1195" s="38"/>
      <c r="AC1195" s="38"/>
      <c r="AD1195" s="38"/>
      <c r="AE1195" s="38"/>
      <c r="AF1195" s="38"/>
      <c r="AG1195" s="38"/>
      <c r="AH1195" s="38"/>
      <c r="AI1195" s="38"/>
      <c r="AJ1195" s="38"/>
      <c r="AK1195" s="38"/>
      <c r="AL1195" s="38"/>
      <c r="AM1195" s="38"/>
      <c r="AN1195" s="38"/>
      <c r="AO1195" s="38"/>
      <c r="AP1195" s="38"/>
      <c r="AQ1195" s="38"/>
      <c r="AR1195" s="38"/>
      <c r="AS1195" s="38"/>
      <c r="AT1195" s="38"/>
      <c r="AU1195" s="38"/>
      <c r="AV1195" s="38"/>
      <c r="AW1195" s="38"/>
      <c r="AX1195" s="38"/>
      <c r="AY1195" s="38"/>
      <c r="AZ1195" s="38"/>
      <c r="BA1195" s="38"/>
      <c r="BB1195" s="38"/>
      <c r="BC1195" s="38"/>
      <c r="BD1195" s="38"/>
      <c r="BE1195" s="38"/>
      <c r="BF1195" s="38"/>
      <c r="BG1195" s="38"/>
      <c r="BH1195" s="38"/>
      <c r="BI1195" s="38"/>
      <c r="BJ1195" s="38"/>
      <c r="BK1195" s="38"/>
      <c r="BL1195" s="38"/>
      <c r="BM1195" s="38"/>
      <c r="BN1195" s="38"/>
      <c r="BO1195" s="38"/>
      <c r="BP1195" s="38"/>
      <c r="BQ1195" s="38"/>
    </row>
    <row r="1196">
      <c r="A1196" s="58"/>
      <c r="B1196" s="341"/>
      <c r="C1196" s="60"/>
      <c r="D1196" s="60"/>
      <c r="E1196" s="58"/>
      <c r="F1196" s="58"/>
      <c r="G1196" s="58"/>
      <c r="H1196" s="33" t="str">
        <f t="shared" si="33"/>
        <v/>
      </c>
      <c r="I1196" s="58"/>
      <c r="J1196" s="58"/>
      <c r="K1196" s="58"/>
      <c r="L1196" s="58"/>
      <c r="M1196" s="80"/>
      <c r="N1196" s="77"/>
      <c r="O1196" s="62"/>
      <c r="P1196" s="62"/>
      <c r="Q1196" s="62"/>
      <c r="R1196" s="62"/>
      <c r="S1196" s="37" t="str">
        <f>IFERROR(__xludf.DUMMYFUNCTION("if(not(iserror(index(split(C1196, "" ""),2))), index(split(C1196, "" ""),1),"""")"),"")</f>
        <v/>
      </c>
      <c r="T1196" s="315" t="str">
        <f>IFERROR(__xludf.DUMMYFUNCTION("if(S1196="""",C1196,if(not(iserror(index(split(C1196, "" ""),3))), index(split(C1196, "" ""),3),index(split(C1196, "" ""),2)))"),"")</f>
        <v/>
      </c>
      <c r="U1196" s="38" t="b">
        <f t="shared" si="34"/>
        <v>0</v>
      </c>
      <c r="V1196" s="38"/>
      <c r="W1196" s="40"/>
      <c r="X1196" s="40"/>
      <c r="Y1196" s="38"/>
      <c r="Z1196" s="38"/>
      <c r="AA1196" s="38"/>
      <c r="AB1196" s="38"/>
      <c r="AC1196" s="38"/>
      <c r="AD1196" s="38"/>
      <c r="AE1196" s="38"/>
      <c r="AF1196" s="38"/>
      <c r="AG1196" s="38"/>
      <c r="AH1196" s="38"/>
      <c r="AI1196" s="38"/>
      <c r="AJ1196" s="38"/>
      <c r="AK1196" s="38"/>
      <c r="AL1196" s="38"/>
      <c r="AM1196" s="38"/>
      <c r="AN1196" s="38"/>
      <c r="AO1196" s="38"/>
      <c r="AP1196" s="38"/>
      <c r="AQ1196" s="38"/>
      <c r="AR1196" s="38"/>
      <c r="AS1196" s="38"/>
      <c r="AT1196" s="38"/>
      <c r="AU1196" s="38"/>
      <c r="AV1196" s="38"/>
      <c r="AW1196" s="38"/>
      <c r="AX1196" s="38"/>
      <c r="AY1196" s="38"/>
      <c r="AZ1196" s="38"/>
      <c r="BA1196" s="38"/>
      <c r="BB1196" s="38"/>
      <c r="BC1196" s="38"/>
      <c r="BD1196" s="38"/>
      <c r="BE1196" s="38"/>
      <c r="BF1196" s="38"/>
      <c r="BG1196" s="38"/>
      <c r="BH1196" s="38"/>
      <c r="BI1196" s="38"/>
      <c r="BJ1196" s="38"/>
      <c r="BK1196" s="38"/>
      <c r="BL1196" s="38"/>
      <c r="BM1196" s="38"/>
      <c r="BN1196" s="38"/>
      <c r="BO1196" s="38"/>
      <c r="BP1196" s="38"/>
      <c r="BQ1196" s="38"/>
    </row>
    <row r="1197">
      <c r="A1197" s="58"/>
      <c r="B1197" s="341"/>
      <c r="C1197" s="60"/>
      <c r="D1197" s="60"/>
      <c r="E1197" s="58"/>
      <c r="F1197" s="58"/>
      <c r="G1197" s="58"/>
      <c r="H1197" s="33" t="str">
        <f t="shared" si="33"/>
        <v/>
      </c>
      <c r="I1197" s="58"/>
      <c r="J1197" s="58"/>
      <c r="K1197" s="58"/>
      <c r="L1197" s="58"/>
      <c r="M1197" s="80"/>
      <c r="N1197" s="77"/>
      <c r="O1197" s="62"/>
      <c r="P1197" s="62"/>
      <c r="Q1197" s="62"/>
      <c r="R1197" s="62"/>
      <c r="S1197" s="37" t="str">
        <f>IFERROR(__xludf.DUMMYFUNCTION("if(not(iserror(index(split(C1197, "" ""),2))), index(split(C1197, "" ""),1),"""")"),"")</f>
        <v/>
      </c>
      <c r="T1197" s="315" t="str">
        <f>IFERROR(__xludf.DUMMYFUNCTION("if(S1197="""",C1197,if(not(iserror(index(split(C1197, "" ""),3))), index(split(C1197, "" ""),3),index(split(C1197, "" ""),2)))"),"")</f>
        <v/>
      </c>
      <c r="U1197" s="38" t="b">
        <f t="shared" si="34"/>
        <v>0</v>
      </c>
      <c r="V1197" s="38"/>
      <c r="W1197" s="40"/>
      <c r="X1197" s="40"/>
      <c r="Y1197" s="38"/>
      <c r="Z1197" s="38"/>
      <c r="AA1197" s="38"/>
      <c r="AB1197" s="38"/>
      <c r="AC1197" s="38"/>
      <c r="AD1197" s="38"/>
      <c r="AE1197" s="38"/>
      <c r="AF1197" s="38"/>
      <c r="AG1197" s="38"/>
      <c r="AH1197" s="38"/>
      <c r="AI1197" s="38"/>
      <c r="AJ1197" s="38"/>
      <c r="AK1197" s="38"/>
      <c r="AL1197" s="38"/>
      <c r="AM1197" s="38"/>
      <c r="AN1197" s="38"/>
      <c r="AO1197" s="38"/>
      <c r="AP1197" s="38"/>
      <c r="AQ1197" s="38"/>
      <c r="AR1197" s="38"/>
      <c r="AS1197" s="38"/>
      <c r="AT1197" s="38"/>
      <c r="AU1197" s="38"/>
      <c r="AV1197" s="38"/>
      <c r="AW1197" s="38"/>
      <c r="AX1197" s="38"/>
      <c r="AY1197" s="38"/>
      <c r="AZ1197" s="38"/>
      <c r="BA1197" s="38"/>
      <c r="BB1197" s="38"/>
      <c r="BC1197" s="38"/>
      <c r="BD1197" s="38"/>
      <c r="BE1197" s="38"/>
      <c r="BF1197" s="38"/>
      <c r="BG1197" s="38"/>
      <c r="BH1197" s="38"/>
      <c r="BI1197" s="38"/>
      <c r="BJ1197" s="38"/>
      <c r="BK1197" s="38"/>
      <c r="BL1197" s="38"/>
      <c r="BM1197" s="38"/>
      <c r="BN1197" s="38"/>
      <c r="BO1197" s="38"/>
      <c r="BP1197" s="38"/>
      <c r="BQ1197" s="38"/>
    </row>
    <row r="1198">
      <c r="A1198" s="58"/>
      <c r="B1198" s="341"/>
      <c r="C1198" s="60"/>
      <c r="D1198" s="60"/>
      <c r="E1198" s="58"/>
      <c r="F1198" s="58"/>
      <c r="G1198" s="58"/>
      <c r="H1198" s="33" t="str">
        <f t="shared" si="33"/>
        <v/>
      </c>
      <c r="I1198" s="58"/>
      <c r="J1198" s="58"/>
      <c r="K1198" s="58"/>
      <c r="L1198" s="58"/>
      <c r="M1198" s="80"/>
      <c r="N1198" s="77"/>
      <c r="O1198" s="62"/>
      <c r="P1198" s="62"/>
      <c r="Q1198" s="62"/>
      <c r="R1198" s="62"/>
      <c r="S1198" s="37" t="str">
        <f>IFERROR(__xludf.DUMMYFUNCTION("if(not(iserror(index(split(C1198, "" ""),2))), index(split(C1198, "" ""),1),"""")"),"")</f>
        <v/>
      </c>
      <c r="T1198" s="315" t="str">
        <f>IFERROR(__xludf.DUMMYFUNCTION("if(S1198="""",C1198,if(not(iserror(index(split(C1198, "" ""),3))), index(split(C1198, "" ""),3),index(split(C1198, "" ""),2)))"),"")</f>
        <v/>
      </c>
      <c r="U1198" s="38" t="b">
        <f t="shared" si="34"/>
        <v>0</v>
      </c>
      <c r="V1198" s="38"/>
      <c r="W1198" s="40"/>
      <c r="X1198" s="40"/>
      <c r="Y1198" s="38"/>
      <c r="Z1198" s="38"/>
      <c r="AA1198" s="38"/>
      <c r="AB1198" s="38"/>
      <c r="AC1198" s="38"/>
      <c r="AD1198" s="38"/>
      <c r="AE1198" s="38"/>
      <c r="AF1198" s="38"/>
      <c r="AG1198" s="38"/>
      <c r="AH1198" s="38"/>
      <c r="AI1198" s="38"/>
      <c r="AJ1198" s="38"/>
      <c r="AK1198" s="38"/>
      <c r="AL1198" s="38"/>
      <c r="AM1198" s="38"/>
      <c r="AN1198" s="38"/>
      <c r="AO1198" s="38"/>
      <c r="AP1198" s="38"/>
      <c r="AQ1198" s="38"/>
      <c r="AR1198" s="38"/>
      <c r="AS1198" s="38"/>
      <c r="AT1198" s="38"/>
      <c r="AU1198" s="38"/>
      <c r="AV1198" s="38"/>
      <c r="AW1198" s="38"/>
      <c r="AX1198" s="38"/>
      <c r="AY1198" s="38"/>
      <c r="AZ1198" s="38"/>
      <c r="BA1198" s="38"/>
      <c r="BB1198" s="38"/>
      <c r="BC1198" s="38"/>
      <c r="BD1198" s="38"/>
      <c r="BE1198" s="38"/>
      <c r="BF1198" s="38"/>
      <c r="BG1198" s="38"/>
      <c r="BH1198" s="38"/>
      <c r="BI1198" s="38"/>
      <c r="BJ1198" s="38"/>
      <c r="BK1198" s="38"/>
      <c r="BL1198" s="38"/>
      <c r="BM1198" s="38"/>
      <c r="BN1198" s="38"/>
      <c r="BO1198" s="38"/>
      <c r="BP1198" s="38"/>
      <c r="BQ1198" s="38"/>
    </row>
    <row r="1199">
      <c r="A1199" s="58"/>
      <c r="B1199" s="341"/>
      <c r="C1199" s="60"/>
      <c r="D1199" s="60"/>
      <c r="E1199" s="58"/>
      <c r="F1199" s="58"/>
      <c r="G1199" s="58"/>
      <c r="H1199" s="33" t="str">
        <f t="shared" si="33"/>
        <v/>
      </c>
      <c r="I1199" s="58"/>
      <c r="J1199" s="58"/>
      <c r="K1199" s="58"/>
      <c r="L1199" s="58"/>
      <c r="M1199" s="80"/>
      <c r="N1199" s="77"/>
      <c r="O1199" s="62"/>
      <c r="P1199" s="62"/>
      <c r="Q1199" s="62"/>
      <c r="R1199" s="62"/>
      <c r="S1199" s="37" t="str">
        <f>IFERROR(__xludf.DUMMYFUNCTION("if(not(iserror(index(split(C1199, "" ""),2))), index(split(C1199, "" ""),1),"""")"),"")</f>
        <v/>
      </c>
      <c r="T1199" s="315" t="str">
        <f>IFERROR(__xludf.DUMMYFUNCTION("if(S1199="""",C1199,if(not(iserror(index(split(C1199, "" ""),3))), index(split(C1199, "" ""),3),index(split(C1199, "" ""),2)))"),"")</f>
        <v/>
      </c>
      <c r="U1199" s="38" t="b">
        <f t="shared" si="34"/>
        <v>0</v>
      </c>
      <c r="V1199" s="38"/>
      <c r="W1199" s="40"/>
      <c r="X1199" s="40"/>
      <c r="Y1199" s="38"/>
      <c r="Z1199" s="38"/>
      <c r="AA1199" s="38"/>
      <c r="AB1199" s="38"/>
      <c r="AC1199" s="38"/>
      <c r="AD1199" s="38"/>
      <c r="AE1199" s="38"/>
      <c r="AF1199" s="38"/>
      <c r="AG1199" s="38"/>
      <c r="AH1199" s="38"/>
      <c r="AI1199" s="38"/>
      <c r="AJ1199" s="38"/>
      <c r="AK1199" s="38"/>
      <c r="AL1199" s="38"/>
      <c r="AM1199" s="38"/>
      <c r="AN1199" s="38"/>
      <c r="AO1199" s="38"/>
      <c r="AP1199" s="38"/>
      <c r="AQ1199" s="38"/>
      <c r="AR1199" s="38"/>
      <c r="AS1199" s="38"/>
      <c r="AT1199" s="38"/>
      <c r="AU1199" s="38"/>
      <c r="AV1199" s="38"/>
      <c r="AW1199" s="38"/>
      <c r="AX1199" s="38"/>
      <c r="AY1199" s="38"/>
      <c r="AZ1199" s="38"/>
      <c r="BA1199" s="38"/>
      <c r="BB1199" s="38"/>
      <c r="BC1199" s="38"/>
      <c r="BD1199" s="38"/>
      <c r="BE1199" s="38"/>
      <c r="BF1199" s="38"/>
      <c r="BG1199" s="38"/>
      <c r="BH1199" s="38"/>
      <c r="BI1199" s="38"/>
      <c r="BJ1199" s="38"/>
      <c r="BK1199" s="38"/>
      <c r="BL1199" s="38"/>
      <c r="BM1199" s="38"/>
      <c r="BN1199" s="38"/>
      <c r="BO1199" s="38"/>
      <c r="BP1199" s="38"/>
      <c r="BQ1199" s="38"/>
    </row>
    <row r="1200">
      <c r="A1200" s="58"/>
      <c r="B1200" s="341"/>
      <c r="C1200" s="60"/>
      <c r="D1200" s="60"/>
      <c r="E1200" s="58"/>
      <c r="F1200" s="58"/>
      <c r="G1200" s="58"/>
      <c r="H1200" s="33" t="str">
        <f t="shared" si="33"/>
        <v/>
      </c>
      <c r="I1200" s="58"/>
      <c r="J1200" s="58"/>
      <c r="K1200" s="58"/>
      <c r="L1200" s="58"/>
      <c r="M1200" s="80"/>
      <c r="N1200" s="77"/>
      <c r="O1200" s="62"/>
      <c r="P1200" s="62"/>
      <c r="Q1200" s="62"/>
      <c r="R1200" s="62"/>
      <c r="S1200" s="37" t="str">
        <f>IFERROR(__xludf.DUMMYFUNCTION("if(not(iserror(index(split(C1200, "" ""),2))), index(split(C1200, "" ""),1),"""")"),"")</f>
        <v/>
      </c>
      <c r="T1200" s="315" t="str">
        <f>IFERROR(__xludf.DUMMYFUNCTION("if(S1200="""",C1200,if(not(iserror(index(split(C1200, "" ""),3))), index(split(C1200, "" ""),3),index(split(C1200, "" ""),2)))"),"")</f>
        <v/>
      </c>
      <c r="U1200" s="38" t="b">
        <f t="shared" si="34"/>
        <v>0</v>
      </c>
      <c r="V1200" s="38"/>
      <c r="W1200" s="40"/>
      <c r="X1200" s="40"/>
      <c r="Y1200" s="38"/>
      <c r="Z1200" s="38"/>
      <c r="AA1200" s="38"/>
      <c r="AB1200" s="38"/>
      <c r="AC1200" s="38"/>
      <c r="AD1200" s="38"/>
      <c r="AE1200" s="38"/>
      <c r="AF1200" s="38"/>
      <c r="AG1200" s="38"/>
      <c r="AH1200" s="38"/>
      <c r="AI1200" s="38"/>
      <c r="AJ1200" s="38"/>
      <c r="AK1200" s="38"/>
      <c r="AL1200" s="38"/>
      <c r="AM1200" s="38"/>
      <c r="AN1200" s="38"/>
      <c r="AO1200" s="38"/>
      <c r="AP1200" s="38"/>
      <c r="AQ1200" s="38"/>
      <c r="AR1200" s="38"/>
      <c r="AS1200" s="38"/>
      <c r="AT1200" s="38"/>
      <c r="AU1200" s="38"/>
      <c r="AV1200" s="38"/>
      <c r="AW1200" s="38"/>
      <c r="AX1200" s="38"/>
      <c r="AY1200" s="38"/>
      <c r="AZ1200" s="38"/>
      <c r="BA1200" s="38"/>
      <c r="BB1200" s="38"/>
      <c r="BC1200" s="38"/>
      <c r="BD1200" s="38"/>
      <c r="BE1200" s="38"/>
      <c r="BF1200" s="38"/>
      <c r="BG1200" s="38"/>
      <c r="BH1200" s="38"/>
      <c r="BI1200" s="38"/>
      <c r="BJ1200" s="38"/>
      <c r="BK1200" s="38"/>
      <c r="BL1200" s="38"/>
      <c r="BM1200" s="38"/>
      <c r="BN1200" s="38"/>
      <c r="BO1200" s="38"/>
      <c r="BP1200" s="38"/>
      <c r="BQ1200" s="38"/>
    </row>
    <row r="1201">
      <c r="A1201" s="58"/>
      <c r="B1201" s="341"/>
      <c r="C1201" s="60"/>
      <c r="D1201" s="60"/>
      <c r="E1201" s="58"/>
      <c r="F1201" s="58"/>
      <c r="G1201" s="58"/>
      <c r="H1201" s="33" t="str">
        <f t="shared" si="33"/>
        <v/>
      </c>
      <c r="I1201" s="58"/>
      <c r="J1201" s="58"/>
      <c r="K1201" s="58"/>
      <c r="L1201" s="58"/>
      <c r="M1201" s="80"/>
      <c r="N1201" s="77"/>
      <c r="O1201" s="62"/>
      <c r="P1201" s="62"/>
      <c r="Q1201" s="62"/>
      <c r="R1201" s="62"/>
      <c r="S1201" s="37" t="str">
        <f>IFERROR(__xludf.DUMMYFUNCTION("if(not(iserror(index(split(C1201, "" ""),2))), index(split(C1201, "" ""),1),"""")"),"")</f>
        <v/>
      </c>
      <c r="T1201" s="315" t="str">
        <f>IFERROR(__xludf.DUMMYFUNCTION("if(S1201="""",C1201,if(not(iserror(index(split(C1201, "" ""),3))), index(split(C1201, "" ""),3),index(split(C1201, "" ""),2)))"),"")</f>
        <v/>
      </c>
      <c r="U1201" s="38" t="b">
        <f t="shared" si="34"/>
        <v>0</v>
      </c>
      <c r="V1201" s="38"/>
      <c r="W1201" s="40"/>
      <c r="X1201" s="40"/>
      <c r="Y1201" s="38"/>
      <c r="Z1201" s="38"/>
      <c r="AA1201" s="38"/>
      <c r="AB1201" s="38"/>
      <c r="AC1201" s="38"/>
      <c r="AD1201" s="38"/>
      <c r="AE1201" s="38"/>
      <c r="AF1201" s="38"/>
      <c r="AG1201" s="38"/>
      <c r="AH1201" s="38"/>
      <c r="AI1201" s="38"/>
      <c r="AJ1201" s="38"/>
      <c r="AK1201" s="38"/>
      <c r="AL1201" s="38"/>
      <c r="AM1201" s="38"/>
      <c r="AN1201" s="38"/>
      <c r="AO1201" s="38"/>
      <c r="AP1201" s="38"/>
      <c r="AQ1201" s="38"/>
      <c r="AR1201" s="38"/>
      <c r="AS1201" s="38"/>
      <c r="AT1201" s="38"/>
      <c r="AU1201" s="38"/>
      <c r="AV1201" s="38"/>
      <c r="AW1201" s="38"/>
      <c r="AX1201" s="38"/>
      <c r="AY1201" s="38"/>
      <c r="AZ1201" s="38"/>
      <c r="BA1201" s="38"/>
      <c r="BB1201" s="38"/>
      <c r="BC1201" s="38"/>
      <c r="BD1201" s="38"/>
      <c r="BE1201" s="38"/>
      <c r="BF1201" s="38"/>
      <c r="BG1201" s="38"/>
      <c r="BH1201" s="38"/>
      <c r="BI1201" s="38"/>
      <c r="BJ1201" s="38"/>
      <c r="BK1201" s="38"/>
      <c r="BL1201" s="38"/>
      <c r="BM1201" s="38"/>
      <c r="BN1201" s="38"/>
      <c r="BO1201" s="38"/>
      <c r="BP1201" s="38"/>
      <c r="BQ1201" s="38"/>
    </row>
    <row r="1202">
      <c r="A1202" s="58"/>
      <c r="B1202" s="341"/>
      <c r="C1202" s="60"/>
      <c r="D1202" s="60"/>
      <c r="E1202" s="58"/>
      <c r="F1202" s="58"/>
      <c r="G1202" s="58"/>
      <c r="H1202" s="33" t="str">
        <f t="shared" si="33"/>
        <v/>
      </c>
      <c r="I1202" s="58"/>
      <c r="J1202" s="58"/>
      <c r="K1202" s="58"/>
      <c r="L1202" s="58"/>
      <c r="M1202" s="80"/>
      <c r="N1202" s="77"/>
      <c r="O1202" s="62"/>
      <c r="P1202" s="62"/>
      <c r="Q1202" s="62"/>
      <c r="R1202" s="62"/>
      <c r="S1202" s="37" t="str">
        <f>IFERROR(__xludf.DUMMYFUNCTION("if(not(iserror(index(split(C1202, "" ""),2))), index(split(C1202, "" ""),1),"""")"),"")</f>
        <v/>
      </c>
      <c r="T1202" s="315" t="str">
        <f>IFERROR(__xludf.DUMMYFUNCTION("if(S1202="""",C1202,if(not(iserror(index(split(C1202, "" ""),3))), index(split(C1202, "" ""),3),index(split(C1202, "" ""),2)))"),"")</f>
        <v/>
      </c>
      <c r="U1202" s="38" t="b">
        <f t="shared" si="34"/>
        <v>0</v>
      </c>
      <c r="V1202" s="38"/>
      <c r="W1202" s="40"/>
      <c r="X1202" s="40"/>
      <c r="Y1202" s="38"/>
      <c r="Z1202" s="38"/>
      <c r="AA1202" s="38"/>
      <c r="AB1202" s="38"/>
      <c r="AC1202" s="38"/>
      <c r="AD1202" s="38"/>
      <c r="AE1202" s="38"/>
      <c r="AF1202" s="38"/>
      <c r="AG1202" s="38"/>
      <c r="AH1202" s="38"/>
      <c r="AI1202" s="38"/>
      <c r="AJ1202" s="38"/>
      <c r="AK1202" s="38"/>
      <c r="AL1202" s="38"/>
      <c r="AM1202" s="38"/>
      <c r="AN1202" s="38"/>
      <c r="AO1202" s="38"/>
      <c r="AP1202" s="38"/>
      <c r="AQ1202" s="38"/>
      <c r="AR1202" s="38"/>
      <c r="AS1202" s="38"/>
      <c r="AT1202" s="38"/>
      <c r="AU1202" s="38"/>
      <c r="AV1202" s="38"/>
      <c r="AW1202" s="38"/>
      <c r="AX1202" s="38"/>
      <c r="AY1202" s="38"/>
      <c r="AZ1202" s="38"/>
      <c r="BA1202" s="38"/>
      <c r="BB1202" s="38"/>
      <c r="BC1202" s="38"/>
      <c r="BD1202" s="38"/>
      <c r="BE1202" s="38"/>
      <c r="BF1202" s="38"/>
      <c r="BG1202" s="38"/>
      <c r="BH1202" s="38"/>
      <c r="BI1202" s="38"/>
      <c r="BJ1202" s="38"/>
      <c r="BK1202" s="38"/>
      <c r="BL1202" s="38"/>
      <c r="BM1202" s="38"/>
      <c r="BN1202" s="38"/>
      <c r="BO1202" s="38"/>
      <c r="BP1202" s="38"/>
      <c r="BQ1202" s="38"/>
    </row>
    <row r="1203">
      <c r="A1203" s="58"/>
      <c r="B1203" s="341"/>
      <c r="C1203" s="60"/>
      <c r="D1203" s="60"/>
      <c r="E1203" s="58"/>
      <c r="F1203" s="58"/>
      <c r="G1203" s="58"/>
      <c r="H1203" s="33" t="str">
        <f t="shared" si="33"/>
        <v/>
      </c>
      <c r="I1203" s="58"/>
      <c r="J1203" s="58"/>
      <c r="K1203" s="58"/>
      <c r="L1203" s="58"/>
      <c r="M1203" s="80"/>
      <c r="N1203" s="77"/>
      <c r="O1203" s="62"/>
      <c r="P1203" s="62"/>
      <c r="Q1203" s="62"/>
      <c r="R1203" s="62"/>
      <c r="S1203" s="37" t="str">
        <f>IFERROR(__xludf.DUMMYFUNCTION("if(not(iserror(index(split(C1203, "" ""),2))), index(split(C1203, "" ""),1),"""")"),"")</f>
        <v/>
      </c>
      <c r="T1203" s="315" t="str">
        <f>IFERROR(__xludf.DUMMYFUNCTION("if(S1203="""",C1203,if(not(iserror(index(split(C1203, "" ""),3))), index(split(C1203, "" ""),3),index(split(C1203, "" ""),2)))"),"")</f>
        <v/>
      </c>
      <c r="U1203" s="38" t="b">
        <f t="shared" si="34"/>
        <v>0</v>
      </c>
      <c r="V1203" s="38"/>
      <c r="W1203" s="40"/>
      <c r="X1203" s="40"/>
      <c r="Y1203" s="38"/>
      <c r="Z1203" s="38"/>
      <c r="AA1203" s="38"/>
      <c r="AB1203" s="38"/>
      <c r="AC1203" s="38"/>
      <c r="AD1203" s="38"/>
      <c r="AE1203" s="38"/>
      <c r="AF1203" s="38"/>
      <c r="AG1203" s="38"/>
      <c r="AH1203" s="38"/>
      <c r="AI1203" s="38"/>
      <c r="AJ1203" s="38"/>
      <c r="AK1203" s="38"/>
      <c r="AL1203" s="38"/>
      <c r="AM1203" s="38"/>
      <c r="AN1203" s="38"/>
      <c r="AO1203" s="38"/>
      <c r="AP1203" s="38"/>
      <c r="AQ1203" s="38"/>
      <c r="AR1203" s="38"/>
      <c r="AS1203" s="38"/>
      <c r="AT1203" s="38"/>
      <c r="AU1203" s="38"/>
      <c r="AV1203" s="38"/>
      <c r="AW1203" s="38"/>
      <c r="AX1203" s="38"/>
      <c r="AY1203" s="38"/>
      <c r="AZ1203" s="38"/>
      <c r="BA1203" s="38"/>
      <c r="BB1203" s="38"/>
      <c r="BC1203" s="38"/>
      <c r="BD1203" s="38"/>
      <c r="BE1203" s="38"/>
      <c r="BF1203" s="38"/>
      <c r="BG1203" s="38"/>
      <c r="BH1203" s="38"/>
      <c r="BI1203" s="38"/>
      <c r="BJ1203" s="38"/>
      <c r="BK1203" s="38"/>
      <c r="BL1203" s="38"/>
      <c r="BM1203" s="38"/>
      <c r="BN1203" s="38"/>
      <c r="BO1203" s="38"/>
      <c r="BP1203" s="38"/>
      <c r="BQ1203" s="38"/>
    </row>
    <row r="1204">
      <c r="A1204" s="58"/>
      <c r="B1204" s="341"/>
      <c r="C1204" s="60"/>
      <c r="D1204" s="60"/>
      <c r="E1204" s="58"/>
      <c r="F1204" s="58"/>
      <c r="G1204" s="58"/>
      <c r="H1204" s="33" t="str">
        <f t="shared" si="33"/>
        <v/>
      </c>
      <c r="I1204" s="58"/>
      <c r="J1204" s="58"/>
      <c r="K1204" s="58"/>
      <c r="L1204" s="58"/>
      <c r="M1204" s="80"/>
      <c r="N1204" s="77"/>
      <c r="O1204" s="62"/>
      <c r="P1204" s="62"/>
      <c r="Q1204" s="62"/>
      <c r="R1204" s="62"/>
      <c r="S1204" s="37" t="str">
        <f>IFERROR(__xludf.DUMMYFUNCTION("if(not(iserror(index(split(C1204, "" ""),2))), index(split(C1204, "" ""),1),"""")"),"")</f>
        <v/>
      </c>
      <c r="T1204" s="315" t="str">
        <f>IFERROR(__xludf.DUMMYFUNCTION("if(S1204="""",C1204,if(not(iserror(index(split(C1204, "" ""),3))), index(split(C1204, "" ""),3),index(split(C1204, "" ""),2)))"),"")</f>
        <v/>
      </c>
      <c r="U1204" s="38" t="b">
        <f t="shared" si="34"/>
        <v>0</v>
      </c>
      <c r="V1204" s="38"/>
      <c r="W1204" s="40"/>
      <c r="X1204" s="40"/>
      <c r="Y1204" s="38"/>
      <c r="Z1204" s="38"/>
      <c r="AA1204" s="38"/>
      <c r="AB1204" s="38"/>
      <c r="AC1204" s="38"/>
      <c r="AD1204" s="38"/>
      <c r="AE1204" s="38"/>
      <c r="AF1204" s="38"/>
      <c r="AG1204" s="38"/>
      <c r="AH1204" s="38"/>
      <c r="AI1204" s="38"/>
      <c r="AJ1204" s="38"/>
      <c r="AK1204" s="38"/>
      <c r="AL1204" s="38"/>
      <c r="AM1204" s="38"/>
      <c r="AN1204" s="38"/>
      <c r="AO1204" s="38"/>
      <c r="AP1204" s="38"/>
      <c r="AQ1204" s="38"/>
      <c r="AR1204" s="38"/>
      <c r="AS1204" s="38"/>
      <c r="AT1204" s="38"/>
      <c r="AU1204" s="38"/>
      <c r="AV1204" s="38"/>
      <c r="AW1204" s="38"/>
      <c r="AX1204" s="38"/>
      <c r="AY1204" s="38"/>
      <c r="AZ1204" s="38"/>
      <c r="BA1204" s="38"/>
      <c r="BB1204" s="38"/>
      <c r="BC1204" s="38"/>
      <c r="BD1204" s="38"/>
      <c r="BE1204" s="38"/>
      <c r="BF1204" s="38"/>
      <c r="BG1204" s="38"/>
      <c r="BH1204" s="38"/>
      <c r="BI1204" s="38"/>
      <c r="BJ1204" s="38"/>
      <c r="BK1204" s="38"/>
      <c r="BL1204" s="38"/>
      <c r="BM1204" s="38"/>
      <c r="BN1204" s="38"/>
      <c r="BO1204" s="38"/>
      <c r="BP1204" s="38"/>
      <c r="BQ1204" s="38"/>
    </row>
    <row r="1205">
      <c r="A1205" s="58"/>
      <c r="B1205" s="341"/>
      <c r="C1205" s="60"/>
      <c r="D1205" s="60"/>
      <c r="E1205" s="58"/>
      <c r="F1205" s="58"/>
      <c r="G1205" s="58"/>
      <c r="H1205" s="33" t="str">
        <f t="shared" si="33"/>
        <v/>
      </c>
      <c r="I1205" s="58"/>
      <c r="J1205" s="58"/>
      <c r="K1205" s="58"/>
      <c r="L1205" s="58"/>
      <c r="M1205" s="80"/>
      <c r="N1205" s="77"/>
      <c r="O1205" s="62"/>
      <c r="P1205" s="62"/>
      <c r="Q1205" s="62"/>
      <c r="R1205" s="62"/>
      <c r="S1205" s="37" t="str">
        <f>IFERROR(__xludf.DUMMYFUNCTION("if(not(iserror(index(split(C1205, "" ""),2))), index(split(C1205, "" ""),1),"""")"),"")</f>
        <v/>
      </c>
      <c r="T1205" s="315" t="str">
        <f>IFERROR(__xludf.DUMMYFUNCTION("if(S1205="""",C1205,if(not(iserror(index(split(C1205, "" ""),3))), index(split(C1205, "" ""),3),index(split(C1205, "" ""),2)))"),"")</f>
        <v/>
      </c>
      <c r="U1205" s="38" t="b">
        <f t="shared" si="34"/>
        <v>0</v>
      </c>
      <c r="V1205" s="38"/>
      <c r="W1205" s="40"/>
      <c r="X1205" s="40"/>
      <c r="Y1205" s="38"/>
      <c r="Z1205" s="38"/>
      <c r="AA1205" s="38"/>
      <c r="AB1205" s="38"/>
      <c r="AC1205" s="38"/>
      <c r="AD1205" s="38"/>
      <c r="AE1205" s="38"/>
      <c r="AF1205" s="38"/>
      <c r="AG1205" s="38"/>
      <c r="AH1205" s="38"/>
      <c r="AI1205" s="38"/>
      <c r="AJ1205" s="38"/>
      <c r="AK1205" s="38"/>
      <c r="AL1205" s="38"/>
      <c r="AM1205" s="38"/>
      <c r="AN1205" s="38"/>
      <c r="AO1205" s="38"/>
      <c r="AP1205" s="38"/>
      <c r="AQ1205" s="38"/>
      <c r="AR1205" s="38"/>
      <c r="AS1205" s="38"/>
      <c r="AT1205" s="38"/>
      <c r="AU1205" s="38"/>
      <c r="AV1205" s="38"/>
      <c r="AW1205" s="38"/>
      <c r="AX1205" s="38"/>
      <c r="AY1205" s="38"/>
      <c r="AZ1205" s="38"/>
      <c r="BA1205" s="38"/>
      <c r="BB1205" s="38"/>
      <c r="BC1205" s="38"/>
      <c r="BD1205" s="38"/>
      <c r="BE1205" s="38"/>
      <c r="BF1205" s="38"/>
      <c r="BG1205" s="38"/>
      <c r="BH1205" s="38"/>
      <c r="BI1205" s="38"/>
      <c r="BJ1205" s="38"/>
      <c r="BK1205" s="38"/>
      <c r="BL1205" s="38"/>
      <c r="BM1205" s="38"/>
      <c r="BN1205" s="38"/>
      <c r="BO1205" s="38"/>
      <c r="BP1205" s="38"/>
      <c r="BQ1205" s="38"/>
    </row>
    <row r="1206">
      <c r="A1206" s="58"/>
      <c r="B1206" s="341"/>
      <c r="C1206" s="60"/>
      <c r="D1206" s="60"/>
      <c r="E1206" s="58"/>
      <c r="F1206" s="58"/>
      <c r="G1206" s="58"/>
      <c r="H1206" s="33" t="str">
        <f t="shared" si="33"/>
        <v/>
      </c>
      <c r="I1206" s="58"/>
      <c r="J1206" s="58"/>
      <c r="K1206" s="58"/>
      <c r="L1206" s="58"/>
      <c r="M1206" s="80"/>
      <c r="N1206" s="77"/>
      <c r="O1206" s="62"/>
      <c r="P1206" s="62"/>
      <c r="Q1206" s="62"/>
      <c r="R1206" s="62"/>
      <c r="S1206" s="37" t="str">
        <f>IFERROR(__xludf.DUMMYFUNCTION("if(not(iserror(index(split(C1206, "" ""),2))), index(split(C1206, "" ""),1),"""")"),"")</f>
        <v/>
      </c>
      <c r="T1206" s="315" t="str">
        <f>IFERROR(__xludf.DUMMYFUNCTION("if(S1206="""",C1206,if(not(iserror(index(split(C1206, "" ""),3))), index(split(C1206, "" ""),3),index(split(C1206, "" ""),2)))"),"")</f>
        <v/>
      </c>
      <c r="U1206" s="38" t="b">
        <f t="shared" si="34"/>
        <v>0</v>
      </c>
      <c r="V1206" s="38"/>
      <c r="W1206" s="40"/>
      <c r="X1206" s="40"/>
      <c r="Y1206" s="38"/>
      <c r="Z1206" s="38"/>
      <c r="AA1206" s="38"/>
      <c r="AB1206" s="38"/>
      <c r="AC1206" s="38"/>
      <c r="AD1206" s="38"/>
      <c r="AE1206" s="38"/>
      <c r="AF1206" s="38"/>
      <c r="AG1206" s="38"/>
      <c r="AH1206" s="38"/>
      <c r="AI1206" s="38"/>
      <c r="AJ1206" s="38"/>
      <c r="AK1206" s="38"/>
      <c r="AL1206" s="38"/>
      <c r="AM1206" s="38"/>
      <c r="AN1206" s="38"/>
      <c r="AO1206" s="38"/>
      <c r="AP1206" s="38"/>
      <c r="AQ1206" s="38"/>
      <c r="AR1206" s="38"/>
      <c r="AS1206" s="38"/>
      <c r="AT1206" s="38"/>
      <c r="AU1206" s="38"/>
      <c r="AV1206" s="38"/>
      <c r="AW1206" s="38"/>
      <c r="AX1206" s="38"/>
      <c r="AY1206" s="38"/>
      <c r="AZ1206" s="38"/>
      <c r="BA1206" s="38"/>
      <c r="BB1206" s="38"/>
      <c r="BC1206" s="38"/>
      <c r="BD1206" s="38"/>
      <c r="BE1206" s="38"/>
      <c r="BF1206" s="38"/>
      <c r="BG1206" s="38"/>
      <c r="BH1206" s="38"/>
      <c r="BI1206" s="38"/>
      <c r="BJ1206" s="38"/>
      <c r="BK1206" s="38"/>
      <c r="BL1206" s="38"/>
      <c r="BM1206" s="38"/>
      <c r="BN1206" s="38"/>
      <c r="BO1206" s="38"/>
      <c r="BP1206" s="38"/>
      <c r="BQ1206" s="38"/>
    </row>
    <row r="1207">
      <c r="A1207" s="58"/>
      <c r="B1207" s="341"/>
      <c r="C1207" s="60"/>
      <c r="D1207" s="60"/>
      <c r="E1207" s="58"/>
      <c r="F1207" s="58"/>
      <c r="G1207" s="58"/>
      <c r="H1207" s="33" t="str">
        <f t="shared" si="33"/>
        <v/>
      </c>
      <c r="I1207" s="58"/>
      <c r="J1207" s="58"/>
      <c r="K1207" s="58"/>
      <c r="L1207" s="58"/>
      <c r="M1207" s="80"/>
      <c r="N1207" s="77"/>
      <c r="O1207" s="62"/>
      <c r="P1207" s="58"/>
      <c r="Q1207" s="84"/>
      <c r="R1207" s="62"/>
      <c r="S1207" s="37" t="str">
        <f>IFERROR(__xludf.DUMMYFUNCTION("if(not(iserror(index(split(C1207, "" ""),2))), index(split(C1207, "" ""),1),"""")"),"")</f>
        <v/>
      </c>
      <c r="T1207" s="315" t="str">
        <f>IFERROR(__xludf.DUMMYFUNCTION("if(S1207="""",C1207,if(not(iserror(index(split(C1207, "" ""),3))), index(split(C1207, "" ""),3),index(split(C1207, "" ""),2)))"),"")</f>
        <v/>
      </c>
      <c r="U1207" s="38" t="b">
        <f t="shared" si="34"/>
        <v>0</v>
      </c>
      <c r="V1207" s="38"/>
      <c r="W1207" s="40"/>
      <c r="X1207" s="40"/>
      <c r="Y1207" s="38"/>
      <c r="Z1207" s="38"/>
      <c r="AA1207" s="38"/>
      <c r="AB1207" s="38"/>
      <c r="AC1207" s="38"/>
      <c r="AD1207" s="38"/>
      <c r="AE1207" s="38"/>
      <c r="AF1207" s="38"/>
      <c r="AG1207" s="38"/>
      <c r="AH1207" s="38"/>
      <c r="AI1207" s="38"/>
      <c r="AJ1207" s="38"/>
      <c r="AK1207" s="38"/>
      <c r="AL1207" s="38"/>
      <c r="AM1207" s="38"/>
      <c r="AN1207" s="38"/>
      <c r="AO1207" s="38"/>
      <c r="AP1207" s="38"/>
      <c r="AQ1207" s="38"/>
      <c r="AR1207" s="38"/>
      <c r="AS1207" s="38"/>
      <c r="AT1207" s="38"/>
      <c r="AU1207" s="38"/>
      <c r="AV1207" s="38"/>
      <c r="AW1207" s="38"/>
      <c r="AX1207" s="38"/>
      <c r="AY1207" s="38"/>
      <c r="AZ1207" s="38"/>
      <c r="BA1207" s="38"/>
      <c r="BB1207" s="38"/>
      <c r="BC1207" s="38"/>
      <c r="BD1207" s="38"/>
      <c r="BE1207" s="38"/>
      <c r="BF1207" s="38"/>
      <c r="BG1207" s="38"/>
      <c r="BH1207" s="38"/>
      <c r="BI1207" s="38"/>
      <c r="BJ1207" s="38"/>
      <c r="BK1207" s="38"/>
      <c r="BL1207" s="38"/>
      <c r="BM1207" s="38"/>
      <c r="BN1207" s="38"/>
      <c r="BO1207" s="38"/>
      <c r="BP1207" s="38"/>
      <c r="BQ1207" s="38"/>
    </row>
    <row r="1208">
      <c r="A1208" s="37"/>
      <c r="B1208" s="341"/>
      <c r="C1208" s="60"/>
      <c r="D1208" s="60"/>
      <c r="E1208" s="58"/>
      <c r="F1208" s="58"/>
      <c r="G1208" s="58"/>
      <c r="H1208" s="33" t="str">
        <f t="shared" si="33"/>
        <v/>
      </c>
      <c r="I1208" s="58"/>
      <c r="J1208" s="58"/>
      <c r="K1208" s="58"/>
      <c r="L1208" s="58"/>
      <c r="M1208" s="80"/>
      <c r="N1208" s="77"/>
      <c r="O1208" s="62"/>
      <c r="P1208" s="62"/>
      <c r="Q1208" s="62"/>
      <c r="R1208" s="62"/>
      <c r="S1208" s="37" t="str">
        <f>IFERROR(__xludf.DUMMYFUNCTION("if(not(iserror(index(split(C1208, "" ""),2))), index(split(C1208, "" ""),1),"""")"),"")</f>
        <v/>
      </c>
      <c r="T1208" s="315" t="str">
        <f>IFERROR(__xludf.DUMMYFUNCTION("if(S1208="""",C1208,if(not(iserror(index(split(C1208, "" ""),3))), index(split(C1208, "" ""),3),index(split(C1208, "" ""),2)))"),"")</f>
        <v/>
      </c>
      <c r="U1208" s="38" t="b">
        <f t="shared" si="34"/>
        <v>0</v>
      </c>
      <c r="V1208" s="38"/>
      <c r="W1208" s="40"/>
      <c r="X1208" s="40"/>
      <c r="Y1208" s="38"/>
      <c r="Z1208" s="38"/>
      <c r="AA1208" s="38"/>
      <c r="AB1208" s="38"/>
      <c r="AC1208" s="38"/>
      <c r="AD1208" s="38"/>
      <c r="AE1208" s="38"/>
      <c r="AF1208" s="38"/>
      <c r="AG1208" s="38"/>
      <c r="AH1208" s="38"/>
      <c r="AI1208" s="38"/>
      <c r="AJ1208" s="38"/>
      <c r="AK1208" s="38"/>
      <c r="AL1208" s="38"/>
      <c r="AM1208" s="38"/>
      <c r="AN1208" s="38"/>
      <c r="AO1208" s="38"/>
      <c r="AP1208" s="38"/>
      <c r="AQ1208" s="38"/>
      <c r="AR1208" s="38"/>
      <c r="AS1208" s="38"/>
      <c r="AT1208" s="38"/>
      <c r="AU1208" s="38"/>
      <c r="AV1208" s="38"/>
      <c r="AW1208" s="38"/>
      <c r="AX1208" s="38"/>
      <c r="AY1208" s="38"/>
      <c r="AZ1208" s="38"/>
      <c r="BA1208" s="38"/>
      <c r="BB1208" s="38"/>
      <c r="BC1208" s="38"/>
      <c r="BD1208" s="38"/>
      <c r="BE1208" s="38"/>
      <c r="BF1208" s="38"/>
      <c r="BG1208" s="38"/>
      <c r="BH1208" s="38"/>
      <c r="BI1208" s="38"/>
      <c r="BJ1208" s="38"/>
      <c r="BK1208" s="38"/>
      <c r="BL1208" s="38"/>
      <c r="BM1208" s="38"/>
      <c r="BN1208" s="38"/>
      <c r="BO1208" s="38"/>
      <c r="BP1208" s="38"/>
      <c r="BQ1208" s="38"/>
    </row>
    <row r="1209">
      <c r="A1209" s="37"/>
      <c r="B1209" s="341"/>
      <c r="C1209" s="60"/>
      <c r="D1209" s="60"/>
      <c r="E1209" s="58"/>
      <c r="F1209" s="58"/>
      <c r="G1209" s="58"/>
      <c r="H1209" s="33" t="str">
        <f t="shared" si="33"/>
        <v/>
      </c>
      <c r="I1209" s="58"/>
      <c r="J1209" s="58"/>
      <c r="K1209" s="58"/>
      <c r="L1209" s="58"/>
      <c r="M1209" s="80"/>
      <c r="N1209" s="77"/>
      <c r="O1209" s="62"/>
      <c r="P1209" s="62"/>
      <c r="Q1209" s="62"/>
      <c r="R1209" s="62"/>
      <c r="S1209" s="37" t="str">
        <f>IFERROR(__xludf.DUMMYFUNCTION("if(not(iserror(index(split(C1209, "" ""),2))), index(split(C1209, "" ""),1),"""")"),"")</f>
        <v/>
      </c>
      <c r="T1209" s="315" t="str">
        <f>IFERROR(__xludf.DUMMYFUNCTION("if(S1209="""",C1209,if(not(iserror(index(split(C1209, "" ""),3))), index(split(C1209, "" ""),3),index(split(C1209, "" ""),2)))"),"")</f>
        <v/>
      </c>
      <c r="U1209" s="38" t="b">
        <f t="shared" si="34"/>
        <v>0</v>
      </c>
      <c r="V1209" s="38"/>
      <c r="W1209" s="40"/>
      <c r="X1209" s="40"/>
      <c r="Y1209" s="38"/>
      <c r="Z1209" s="38"/>
      <c r="AA1209" s="38"/>
      <c r="AB1209" s="38"/>
      <c r="AC1209" s="38"/>
      <c r="AD1209" s="38"/>
      <c r="AE1209" s="38"/>
      <c r="AF1209" s="38"/>
      <c r="AG1209" s="38"/>
      <c r="AH1209" s="38"/>
      <c r="AI1209" s="38"/>
      <c r="AJ1209" s="38"/>
      <c r="AK1209" s="38"/>
      <c r="AL1209" s="38"/>
      <c r="AM1209" s="38"/>
      <c r="AN1209" s="38"/>
      <c r="AO1209" s="38"/>
      <c r="AP1209" s="38"/>
      <c r="AQ1209" s="38"/>
      <c r="AR1209" s="38"/>
      <c r="AS1209" s="38"/>
      <c r="AT1209" s="38"/>
      <c r="AU1209" s="38"/>
      <c r="AV1209" s="38"/>
      <c r="AW1209" s="38"/>
      <c r="AX1209" s="38"/>
      <c r="AY1209" s="38"/>
      <c r="AZ1209" s="38"/>
      <c r="BA1209" s="38"/>
      <c r="BB1209" s="38"/>
      <c r="BC1209" s="38"/>
      <c r="BD1209" s="38"/>
      <c r="BE1209" s="38"/>
      <c r="BF1209" s="38"/>
      <c r="BG1209" s="38"/>
      <c r="BH1209" s="38"/>
      <c r="BI1209" s="38"/>
      <c r="BJ1209" s="38"/>
      <c r="BK1209" s="38"/>
      <c r="BL1209" s="38"/>
      <c r="BM1209" s="38"/>
      <c r="BN1209" s="38"/>
      <c r="BO1209" s="38"/>
      <c r="BP1209" s="38"/>
      <c r="BQ1209" s="38"/>
    </row>
    <row r="1210">
      <c r="A1210" s="37"/>
      <c r="B1210" s="341"/>
      <c r="C1210" s="60"/>
      <c r="D1210" s="60"/>
      <c r="E1210" s="58"/>
      <c r="F1210" s="58"/>
      <c r="G1210" s="58"/>
      <c r="H1210" s="33" t="str">
        <f t="shared" si="33"/>
        <v/>
      </c>
      <c r="I1210" s="58"/>
      <c r="J1210" s="58"/>
      <c r="K1210" s="58"/>
      <c r="L1210" s="58"/>
      <c r="M1210" s="80"/>
      <c r="N1210" s="77"/>
      <c r="O1210" s="62"/>
      <c r="P1210" s="62"/>
      <c r="Q1210" s="62"/>
      <c r="R1210" s="62"/>
      <c r="S1210" s="37" t="str">
        <f>IFERROR(__xludf.DUMMYFUNCTION("if(not(iserror(index(split(C1210, "" ""),2))), index(split(C1210, "" ""),1),"""")"),"")</f>
        <v/>
      </c>
      <c r="T1210" s="315" t="str">
        <f>IFERROR(__xludf.DUMMYFUNCTION("if(S1210="""",C1210,if(not(iserror(index(split(C1210, "" ""),3))), index(split(C1210, "" ""),3),index(split(C1210, "" ""),2)))"),"")</f>
        <v/>
      </c>
      <c r="U1210" s="38" t="b">
        <f t="shared" si="34"/>
        <v>0</v>
      </c>
      <c r="V1210" s="38"/>
      <c r="W1210" s="40"/>
      <c r="X1210" s="40"/>
      <c r="Y1210" s="38"/>
      <c r="Z1210" s="38"/>
      <c r="AA1210" s="38"/>
      <c r="AB1210" s="38"/>
      <c r="AC1210" s="38"/>
      <c r="AD1210" s="38"/>
      <c r="AE1210" s="38"/>
      <c r="AF1210" s="38"/>
      <c r="AG1210" s="38"/>
      <c r="AH1210" s="38"/>
      <c r="AI1210" s="38"/>
      <c r="AJ1210" s="38"/>
      <c r="AK1210" s="38"/>
      <c r="AL1210" s="38"/>
      <c r="AM1210" s="38"/>
      <c r="AN1210" s="38"/>
      <c r="AO1210" s="38"/>
      <c r="AP1210" s="38"/>
      <c r="AQ1210" s="38"/>
      <c r="AR1210" s="38"/>
      <c r="AS1210" s="38"/>
      <c r="AT1210" s="38"/>
      <c r="AU1210" s="38"/>
      <c r="AV1210" s="38"/>
      <c r="AW1210" s="38"/>
      <c r="AX1210" s="38"/>
      <c r="AY1210" s="38"/>
      <c r="AZ1210" s="38"/>
      <c r="BA1210" s="38"/>
      <c r="BB1210" s="38"/>
      <c r="BC1210" s="38"/>
      <c r="BD1210" s="38"/>
      <c r="BE1210" s="38"/>
      <c r="BF1210" s="38"/>
      <c r="BG1210" s="38"/>
      <c r="BH1210" s="38"/>
      <c r="BI1210" s="38"/>
      <c r="BJ1210" s="38"/>
      <c r="BK1210" s="38"/>
      <c r="BL1210" s="38"/>
      <c r="BM1210" s="38"/>
      <c r="BN1210" s="38"/>
      <c r="BO1210" s="38"/>
      <c r="BP1210" s="38"/>
      <c r="BQ1210" s="38"/>
    </row>
    <row r="1211">
      <c r="A1211" s="37"/>
      <c r="B1211" s="341"/>
      <c r="C1211" s="60"/>
      <c r="D1211" s="60"/>
      <c r="E1211" s="58"/>
      <c r="F1211" s="58"/>
      <c r="G1211" s="58"/>
      <c r="H1211" s="33" t="str">
        <f t="shared" si="33"/>
        <v/>
      </c>
      <c r="I1211" s="58"/>
      <c r="J1211" s="58"/>
      <c r="K1211" s="58"/>
      <c r="L1211" s="58"/>
      <c r="M1211" s="80"/>
      <c r="N1211" s="77"/>
      <c r="O1211" s="62"/>
      <c r="P1211" s="62"/>
      <c r="Q1211" s="62"/>
      <c r="R1211" s="62"/>
      <c r="S1211" s="37" t="str">
        <f>IFERROR(__xludf.DUMMYFUNCTION("if(not(iserror(index(split(C1211, "" ""),2))), index(split(C1211, "" ""),1),"""")"),"")</f>
        <v/>
      </c>
      <c r="T1211" s="315" t="str">
        <f>IFERROR(__xludf.DUMMYFUNCTION("if(S1211="""",C1211,if(not(iserror(index(split(C1211, "" ""),3))), index(split(C1211, "" ""),3),index(split(C1211, "" ""),2)))"),"")</f>
        <v/>
      </c>
      <c r="U1211" s="38" t="b">
        <f t="shared" si="34"/>
        <v>0</v>
      </c>
      <c r="V1211" s="38"/>
      <c r="W1211" s="40"/>
      <c r="X1211" s="40"/>
      <c r="Y1211" s="38"/>
      <c r="Z1211" s="38"/>
      <c r="AA1211" s="38"/>
      <c r="AB1211" s="38"/>
      <c r="AC1211" s="38"/>
      <c r="AD1211" s="38"/>
      <c r="AE1211" s="38"/>
      <c r="AF1211" s="38"/>
      <c r="AG1211" s="38"/>
      <c r="AH1211" s="38"/>
      <c r="AI1211" s="38"/>
      <c r="AJ1211" s="38"/>
      <c r="AK1211" s="38"/>
      <c r="AL1211" s="38"/>
      <c r="AM1211" s="38"/>
      <c r="AN1211" s="38"/>
      <c r="AO1211" s="38"/>
      <c r="AP1211" s="38"/>
      <c r="AQ1211" s="38"/>
      <c r="AR1211" s="38"/>
      <c r="AS1211" s="38"/>
      <c r="AT1211" s="38"/>
      <c r="AU1211" s="38"/>
      <c r="AV1211" s="38"/>
      <c r="AW1211" s="38"/>
      <c r="AX1211" s="38"/>
      <c r="AY1211" s="38"/>
      <c r="AZ1211" s="38"/>
      <c r="BA1211" s="38"/>
      <c r="BB1211" s="38"/>
      <c r="BC1211" s="38"/>
      <c r="BD1211" s="38"/>
      <c r="BE1211" s="38"/>
      <c r="BF1211" s="38"/>
      <c r="BG1211" s="38"/>
      <c r="BH1211" s="38"/>
      <c r="BI1211" s="38"/>
      <c r="BJ1211" s="38"/>
      <c r="BK1211" s="38"/>
      <c r="BL1211" s="38"/>
      <c r="BM1211" s="38"/>
      <c r="BN1211" s="38"/>
      <c r="BO1211" s="38"/>
      <c r="BP1211" s="38"/>
      <c r="BQ1211" s="38"/>
    </row>
    <row r="1212">
      <c r="A1212" s="37"/>
      <c r="B1212" s="341"/>
      <c r="C1212" s="60"/>
      <c r="D1212" s="60"/>
      <c r="E1212" s="58"/>
      <c r="F1212" s="58"/>
      <c r="G1212" s="58"/>
      <c r="H1212" s="33" t="str">
        <f t="shared" si="33"/>
        <v/>
      </c>
      <c r="I1212" s="58"/>
      <c r="J1212" s="58"/>
      <c r="K1212" s="58"/>
      <c r="L1212" s="58"/>
      <c r="M1212" s="80"/>
      <c r="N1212" s="77"/>
      <c r="O1212" s="58"/>
      <c r="P1212" s="58"/>
      <c r="Q1212" s="84"/>
      <c r="R1212" s="62"/>
      <c r="S1212" s="37" t="str">
        <f>IFERROR(__xludf.DUMMYFUNCTION("if(not(iserror(index(split(C1212, "" ""),2))), index(split(C1212, "" ""),1),"""")"),"")</f>
        <v/>
      </c>
      <c r="T1212" s="315" t="str">
        <f>IFERROR(__xludf.DUMMYFUNCTION("if(S1212="""",C1212,if(not(iserror(index(split(C1212, "" ""),3))), index(split(C1212, "" ""),3),index(split(C1212, "" ""),2)))"),"")</f>
        <v/>
      </c>
      <c r="U1212" s="38" t="b">
        <f t="shared" si="34"/>
        <v>0</v>
      </c>
      <c r="V1212" s="38"/>
      <c r="W1212" s="40"/>
      <c r="X1212" s="40"/>
      <c r="Y1212" s="38"/>
      <c r="Z1212" s="38"/>
      <c r="AA1212" s="38"/>
      <c r="AB1212" s="38"/>
      <c r="AC1212" s="38"/>
      <c r="AD1212" s="38"/>
      <c r="AE1212" s="38"/>
      <c r="AF1212" s="38"/>
      <c r="AG1212" s="38"/>
      <c r="AH1212" s="38"/>
      <c r="AI1212" s="38"/>
      <c r="AJ1212" s="38"/>
      <c r="AK1212" s="38"/>
      <c r="AL1212" s="38"/>
      <c r="AM1212" s="38"/>
      <c r="AN1212" s="38"/>
      <c r="AO1212" s="38"/>
      <c r="AP1212" s="38"/>
      <c r="AQ1212" s="38"/>
      <c r="AR1212" s="38"/>
      <c r="AS1212" s="38"/>
      <c r="AT1212" s="38"/>
      <c r="AU1212" s="38"/>
      <c r="AV1212" s="38"/>
      <c r="AW1212" s="38"/>
      <c r="AX1212" s="38"/>
      <c r="AY1212" s="38"/>
      <c r="AZ1212" s="38"/>
      <c r="BA1212" s="38"/>
      <c r="BB1212" s="38"/>
      <c r="BC1212" s="38"/>
      <c r="BD1212" s="38"/>
      <c r="BE1212" s="38"/>
      <c r="BF1212" s="38"/>
      <c r="BG1212" s="38"/>
      <c r="BH1212" s="38"/>
      <c r="BI1212" s="38"/>
      <c r="BJ1212" s="38"/>
      <c r="BK1212" s="38"/>
      <c r="BL1212" s="38"/>
      <c r="BM1212" s="38"/>
      <c r="BN1212" s="38"/>
      <c r="BO1212" s="38"/>
      <c r="BP1212" s="38"/>
      <c r="BQ1212" s="38"/>
    </row>
    <row r="1213">
      <c r="A1213" s="58"/>
      <c r="B1213" s="341"/>
      <c r="C1213" s="60"/>
      <c r="D1213" s="60"/>
      <c r="E1213" s="58"/>
      <c r="F1213" s="58"/>
      <c r="G1213" s="58"/>
      <c r="H1213" s="33" t="str">
        <f t="shared" si="33"/>
        <v/>
      </c>
      <c r="I1213" s="58"/>
      <c r="J1213" s="58"/>
      <c r="K1213" s="58"/>
      <c r="L1213" s="58"/>
      <c r="M1213" s="80"/>
      <c r="N1213" s="80"/>
      <c r="O1213" s="120"/>
      <c r="P1213" s="120"/>
      <c r="Q1213" s="58"/>
      <c r="R1213" s="62"/>
      <c r="S1213" s="37" t="str">
        <f>IFERROR(__xludf.DUMMYFUNCTION("if(not(iserror(index(split(C1213, "" ""),2))), index(split(C1213, "" ""),1),"""")"),"")</f>
        <v/>
      </c>
      <c r="T1213" s="315" t="str">
        <f>IFERROR(__xludf.DUMMYFUNCTION("if(S1213="""",C1213,if(not(iserror(index(split(C1213, "" ""),3))), index(split(C1213, "" ""),3),index(split(C1213, "" ""),2)))"),"")</f>
        <v/>
      </c>
      <c r="U1213" s="38" t="b">
        <f t="shared" si="34"/>
        <v>0</v>
      </c>
      <c r="V1213" s="38"/>
      <c r="W1213" s="40"/>
      <c r="X1213" s="40"/>
      <c r="Y1213" s="38"/>
      <c r="Z1213" s="38"/>
      <c r="AA1213" s="38"/>
      <c r="AB1213" s="38"/>
      <c r="AC1213" s="38"/>
      <c r="AD1213" s="38"/>
      <c r="AE1213" s="38"/>
      <c r="AF1213" s="38"/>
      <c r="AG1213" s="38"/>
      <c r="AH1213" s="38"/>
      <c r="AI1213" s="38"/>
      <c r="AJ1213" s="38"/>
      <c r="AK1213" s="38"/>
      <c r="AL1213" s="38"/>
      <c r="AM1213" s="38"/>
      <c r="AN1213" s="38"/>
      <c r="AO1213" s="38"/>
      <c r="AP1213" s="38"/>
      <c r="AQ1213" s="38"/>
      <c r="AR1213" s="38"/>
      <c r="AS1213" s="38"/>
      <c r="AT1213" s="38"/>
      <c r="AU1213" s="38"/>
      <c r="AV1213" s="38"/>
      <c r="AW1213" s="38"/>
      <c r="AX1213" s="38"/>
      <c r="AY1213" s="38"/>
      <c r="AZ1213" s="38"/>
      <c r="BA1213" s="38"/>
      <c r="BB1213" s="38"/>
      <c r="BC1213" s="38"/>
      <c r="BD1213" s="38"/>
      <c r="BE1213" s="38"/>
      <c r="BF1213" s="38"/>
      <c r="BG1213" s="38"/>
      <c r="BH1213" s="38"/>
      <c r="BI1213" s="38"/>
      <c r="BJ1213" s="38"/>
      <c r="BK1213" s="38"/>
      <c r="BL1213" s="38"/>
      <c r="BM1213" s="38"/>
      <c r="BN1213" s="38"/>
      <c r="BO1213" s="38"/>
      <c r="BP1213" s="38"/>
      <c r="BQ1213" s="38"/>
    </row>
    <row r="1214">
      <c r="A1214" s="58"/>
      <c r="B1214" s="341"/>
      <c r="C1214" s="60"/>
      <c r="D1214" s="60"/>
      <c r="E1214" s="58"/>
      <c r="F1214" s="58"/>
      <c r="G1214" s="58"/>
      <c r="H1214" s="33" t="str">
        <f t="shared" si="33"/>
        <v/>
      </c>
      <c r="I1214" s="58"/>
      <c r="J1214" s="58"/>
      <c r="K1214" s="58"/>
      <c r="L1214" s="58"/>
      <c r="M1214" s="80"/>
      <c r="N1214" s="14"/>
      <c r="O1214" s="62"/>
      <c r="P1214" s="58"/>
      <c r="Q1214" s="84"/>
      <c r="R1214" s="62"/>
      <c r="S1214" s="37" t="str">
        <f>IFERROR(__xludf.DUMMYFUNCTION("if(not(iserror(index(split(C1214, "" ""),2))), index(split(C1214, "" ""),1),"""")"),"")</f>
        <v/>
      </c>
      <c r="T1214" s="315" t="str">
        <f>IFERROR(__xludf.DUMMYFUNCTION("if(S1214="""",C1214,if(not(iserror(index(split(C1214, "" ""),3))), index(split(C1214, "" ""),3),index(split(C1214, "" ""),2)))"),"")</f>
        <v/>
      </c>
      <c r="U1214" s="38" t="b">
        <f t="shared" si="34"/>
        <v>0</v>
      </c>
      <c r="V1214" s="38"/>
      <c r="W1214" s="40"/>
      <c r="X1214" s="40"/>
      <c r="Y1214" s="38"/>
      <c r="Z1214" s="38"/>
      <c r="AA1214" s="38"/>
      <c r="AB1214" s="38"/>
      <c r="AC1214" s="38"/>
      <c r="AD1214" s="38"/>
      <c r="AE1214" s="38"/>
      <c r="AF1214" s="38"/>
      <c r="AG1214" s="38"/>
      <c r="AH1214" s="38"/>
      <c r="AI1214" s="38"/>
      <c r="AJ1214" s="38"/>
      <c r="AK1214" s="38"/>
      <c r="AL1214" s="38"/>
      <c r="AM1214" s="38"/>
      <c r="AN1214" s="38"/>
      <c r="AO1214" s="38"/>
      <c r="AP1214" s="38"/>
      <c r="AQ1214" s="38"/>
      <c r="AR1214" s="38"/>
      <c r="AS1214" s="38"/>
      <c r="AT1214" s="38"/>
      <c r="AU1214" s="38"/>
      <c r="AV1214" s="38"/>
      <c r="AW1214" s="38"/>
      <c r="AX1214" s="38"/>
      <c r="AY1214" s="38"/>
      <c r="AZ1214" s="38"/>
      <c r="BA1214" s="38"/>
      <c r="BB1214" s="38"/>
      <c r="BC1214" s="38"/>
      <c r="BD1214" s="38"/>
      <c r="BE1214" s="38"/>
      <c r="BF1214" s="38"/>
      <c r="BG1214" s="38"/>
      <c r="BH1214" s="38"/>
      <c r="BI1214" s="38"/>
      <c r="BJ1214" s="38"/>
      <c r="BK1214" s="38"/>
      <c r="BL1214" s="38"/>
      <c r="BM1214" s="38"/>
      <c r="BN1214" s="38"/>
      <c r="BO1214" s="38"/>
      <c r="BP1214" s="38"/>
      <c r="BQ1214" s="38"/>
    </row>
    <row r="1215">
      <c r="A1215" s="58"/>
      <c r="B1215" s="341"/>
      <c r="C1215" s="60"/>
      <c r="D1215" s="60"/>
      <c r="E1215" s="58"/>
      <c r="F1215" s="58"/>
      <c r="G1215" s="58"/>
      <c r="H1215" s="33" t="str">
        <f t="shared" si="33"/>
        <v/>
      </c>
      <c r="I1215" s="58"/>
      <c r="J1215" s="58"/>
      <c r="K1215" s="58"/>
      <c r="L1215" s="58"/>
      <c r="M1215" s="80"/>
      <c r="N1215" s="77"/>
      <c r="O1215" s="62"/>
      <c r="P1215" s="62"/>
      <c r="Q1215" s="62"/>
      <c r="R1215" s="62"/>
      <c r="S1215" s="37" t="str">
        <f>IFERROR(__xludf.DUMMYFUNCTION("if(not(iserror(index(split(C1215, "" ""),2))), index(split(C1215, "" ""),1),"""")"),"")</f>
        <v/>
      </c>
      <c r="T1215" s="315" t="str">
        <f>IFERROR(__xludf.DUMMYFUNCTION("if(S1215="""",C1215,if(not(iserror(index(split(C1215, "" ""),3))), index(split(C1215, "" ""),3),index(split(C1215, "" ""),2)))"),"")</f>
        <v/>
      </c>
      <c r="U1215" s="38" t="b">
        <f t="shared" si="34"/>
        <v>0</v>
      </c>
      <c r="V1215" s="38"/>
      <c r="W1215" s="40"/>
      <c r="X1215" s="40"/>
      <c r="Y1215" s="38"/>
      <c r="Z1215" s="38"/>
      <c r="AA1215" s="38"/>
      <c r="AB1215" s="38"/>
      <c r="AC1215" s="38"/>
      <c r="AD1215" s="38"/>
      <c r="AE1215" s="38"/>
      <c r="AF1215" s="38"/>
      <c r="AG1215" s="38"/>
      <c r="AH1215" s="38"/>
      <c r="AI1215" s="38"/>
      <c r="AJ1215" s="38"/>
      <c r="AK1215" s="38"/>
      <c r="AL1215" s="38"/>
      <c r="AM1215" s="38"/>
      <c r="AN1215" s="38"/>
      <c r="AO1215" s="38"/>
      <c r="AP1215" s="38"/>
      <c r="AQ1215" s="38"/>
      <c r="AR1215" s="38"/>
      <c r="AS1215" s="38"/>
      <c r="AT1215" s="38"/>
      <c r="AU1215" s="38"/>
      <c r="AV1215" s="38"/>
      <c r="AW1215" s="38"/>
      <c r="AX1215" s="38"/>
      <c r="AY1215" s="38"/>
      <c r="AZ1215" s="38"/>
      <c r="BA1215" s="38"/>
      <c r="BB1215" s="38"/>
      <c r="BC1215" s="38"/>
      <c r="BD1215" s="38"/>
      <c r="BE1215" s="38"/>
      <c r="BF1215" s="38"/>
      <c r="BG1215" s="38"/>
      <c r="BH1215" s="38"/>
      <c r="BI1215" s="38"/>
      <c r="BJ1215" s="38"/>
      <c r="BK1215" s="38"/>
      <c r="BL1215" s="38"/>
      <c r="BM1215" s="38"/>
      <c r="BN1215" s="38"/>
      <c r="BO1215" s="38"/>
      <c r="BP1215" s="38"/>
      <c r="BQ1215" s="38"/>
    </row>
    <row r="1216">
      <c r="A1216" s="58"/>
      <c r="B1216" s="341"/>
      <c r="C1216" s="60"/>
      <c r="D1216" s="60"/>
      <c r="E1216" s="58"/>
      <c r="F1216" s="58"/>
      <c r="G1216" s="58"/>
      <c r="H1216" s="33" t="str">
        <f t="shared" si="33"/>
        <v/>
      </c>
      <c r="I1216" s="58"/>
      <c r="J1216" s="58"/>
      <c r="K1216" s="58"/>
      <c r="L1216" s="58"/>
      <c r="M1216" s="80"/>
      <c r="N1216" s="77"/>
      <c r="O1216" s="62"/>
      <c r="P1216" s="62"/>
      <c r="Q1216" s="62"/>
      <c r="R1216" s="62"/>
      <c r="S1216" s="37" t="str">
        <f>IFERROR(__xludf.DUMMYFUNCTION("if(not(iserror(index(split(C1216, "" ""),2))), index(split(C1216, "" ""),1),"""")"),"")</f>
        <v/>
      </c>
      <c r="T1216" s="315" t="str">
        <f>IFERROR(__xludf.DUMMYFUNCTION("if(S1216="""",C1216,if(not(iserror(index(split(C1216, "" ""),3))), index(split(C1216, "" ""),3),index(split(C1216, "" ""),2)))"),"")</f>
        <v/>
      </c>
      <c r="U1216" s="38" t="b">
        <f t="shared" si="34"/>
        <v>0</v>
      </c>
      <c r="V1216" s="38"/>
      <c r="W1216" s="40"/>
      <c r="X1216" s="40"/>
      <c r="Y1216" s="38"/>
      <c r="Z1216" s="38"/>
      <c r="AA1216" s="38"/>
      <c r="AB1216" s="38"/>
      <c r="AC1216" s="38"/>
      <c r="AD1216" s="38"/>
      <c r="AE1216" s="38"/>
      <c r="AF1216" s="38"/>
      <c r="AG1216" s="38"/>
      <c r="AH1216" s="38"/>
      <c r="AI1216" s="38"/>
      <c r="AJ1216" s="38"/>
      <c r="AK1216" s="38"/>
      <c r="AL1216" s="38"/>
      <c r="AM1216" s="38"/>
      <c r="AN1216" s="38"/>
      <c r="AO1216" s="38"/>
      <c r="AP1216" s="38"/>
      <c r="AQ1216" s="38"/>
      <c r="AR1216" s="38"/>
      <c r="AS1216" s="38"/>
      <c r="AT1216" s="38"/>
      <c r="AU1216" s="38"/>
      <c r="AV1216" s="38"/>
      <c r="AW1216" s="38"/>
      <c r="AX1216" s="38"/>
      <c r="AY1216" s="38"/>
      <c r="AZ1216" s="38"/>
      <c r="BA1216" s="38"/>
      <c r="BB1216" s="38"/>
      <c r="BC1216" s="38"/>
      <c r="BD1216" s="38"/>
      <c r="BE1216" s="38"/>
      <c r="BF1216" s="38"/>
      <c r="BG1216" s="38"/>
      <c r="BH1216" s="38"/>
      <c r="BI1216" s="38"/>
      <c r="BJ1216" s="38"/>
      <c r="BK1216" s="38"/>
      <c r="BL1216" s="38"/>
      <c r="BM1216" s="38"/>
      <c r="BN1216" s="38"/>
      <c r="BO1216" s="38"/>
      <c r="BP1216" s="38"/>
      <c r="BQ1216" s="38"/>
    </row>
    <row r="1217">
      <c r="A1217" s="58"/>
      <c r="B1217" s="341"/>
      <c r="C1217" s="60"/>
      <c r="D1217" s="60"/>
      <c r="E1217" s="58"/>
      <c r="F1217" s="58"/>
      <c r="G1217" s="58"/>
      <c r="H1217" s="33" t="str">
        <f t="shared" si="33"/>
        <v/>
      </c>
      <c r="I1217" s="58"/>
      <c r="J1217" s="58"/>
      <c r="K1217" s="58"/>
      <c r="L1217" s="58"/>
      <c r="M1217" s="80"/>
      <c r="N1217" s="77"/>
      <c r="O1217" s="58"/>
      <c r="P1217" s="62"/>
      <c r="Q1217" s="84"/>
      <c r="R1217" s="62"/>
      <c r="S1217" s="37" t="str">
        <f>IFERROR(__xludf.DUMMYFUNCTION("if(not(iserror(index(split(C1217, "" ""),2))), index(split(C1217, "" ""),1),"""")"),"")</f>
        <v/>
      </c>
      <c r="T1217" s="315" t="str">
        <f>IFERROR(__xludf.DUMMYFUNCTION("if(S1217="""",C1217,if(not(iserror(index(split(C1217, "" ""),3))), index(split(C1217, "" ""),3),index(split(C1217, "" ""),2)))"),"")</f>
        <v/>
      </c>
      <c r="U1217" s="38" t="b">
        <f t="shared" si="34"/>
        <v>0</v>
      </c>
      <c r="V1217" s="38"/>
      <c r="W1217" s="40"/>
      <c r="X1217" s="40"/>
      <c r="Y1217" s="38"/>
      <c r="Z1217" s="38"/>
      <c r="AA1217" s="38"/>
      <c r="AB1217" s="38"/>
      <c r="AC1217" s="38"/>
      <c r="AD1217" s="38"/>
      <c r="AE1217" s="38"/>
      <c r="AF1217" s="38"/>
      <c r="AG1217" s="38"/>
      <c r="AH1217" s="38"/>
      <c r="AI1217" s="38"/>
      <c r="AJ1217" s="38"/>
      <c r="AK1217" s="38"/>
      <c r="AL1217" s="38"/>
      <c r="AM1217" s="38"/>
      <c r="AN1217" s="38"/>
      <c r="AO1217" s="38"/>
      <c r="AP1217" s="38"/>
      <c r="AQ1217" s="38"/>
      <c r="AR1217" s="38"/>
      <c r="AS1217" s="38"/>
      <c r="AT1217" s="38"/>
      <c r="AU1217" s="38"/>
      <c r="AV1217" s="38"/>
      <c r="AW1217" s="38"/>
      <c r="AX1217" s="38"/>
      <c r="AY1217" s="38"/>
      <c r="AZ1217" s="38"/>
      <c r="BA1217" s="38"/>
      <c r="BB1217" s="38"/>
      <c r="BC1217" s="38"/>
      <c r="BD1217" s="38"/>
      <c r="BE1217" s="38"/>
      <c r="BF1217" s="38"/>
      <c r="BG1217" s="38"/>
      <c r="BH1217" s="38"/>
      <c r="BI1217" s="38"/>
      <c r="BJ1217" s="38"/>
      <c r="BK1217" s="38"/>
      <c r="BL1217" s="38"/>
      <c r="BM1217" s="38"/>
      <c r="BN1217" s="38"/>
      <c r="BO1217" s="38"/>
      <c r="BP1217" s="38"/>
      <c r="BQ1217" s="38"/>
    </row>
    <row r="1218">
      <c r="A1218" s="37"/>
      <c r="B1218" s="341"/>
      <c r="C1218" s="60"/>
      <c r="D1218" s="60"/>
      <c r="E1218" s="58"/>
      <c r="F1218" s="58"/>
      <c r="G1218" s="58"/>
      <c r="H1218" s="33" t="str">
        <f t="shared" si="33"/>
        <v/>
      </c>
      <c r="I1218" s="58"/>
      <c r="J1218" s="58"/>
      <c r="K1218" s="58"/>
      <c r="L1218" s="58"/>
      <c r="M1218" s="80"/>
      <c r="N1218" s="77"/>
      <c r="O1218" s="58"/>
      <c r="P1218" s="62"/>
      <c r="Q1218" s="58"/>
      <c r="R1218" s="62"/>
      <c r="S1218" s="37" t="str">
        <f>IFERROR(__xludf.DUMMYFUNCTION("if(not(iserror(index(split(C1218, "" ""),2))), index(split(C1218, "" ""),1),"""")"),"")</f>
        <v/>
      </c>
      <c r="T1218" s="315" t="str">
        <f>IFERROR(__xludf.DUMMYFUNCTION("if(S1218="""",C1218,if(not(iserror(index(split(C1218, "" ""),3))), index(split(C1218, "" ""),3),index(split(C1218, "" ""),2)))"),"")</f>
        <v/>
      </c>
      <c r="U1218" s="38" t="b">
        <f t="shared" si="34"/>
        <v>0</v>
      </c>
      <c r="V1218" s="38"/>
      <c r="W1218" s="40"/>
      <c r="X1218" s="40"/>
      <c r="Y1218" s="38"/>
      <c r="Z1218" s="38"/>
      <c r="AA1218" s="38"/>
      <c r="AB1218" s="38"/>
      <c r="AC1218" s="38"/>
      <c r="AD1218" s="38"/>
      <c r="AE1218" s="38"/>
      <c r="AF1218" s="38"/>
      <c r="AG1218" s="38"/>
      <c r="AH1218" s="38"/>
      <c r="AI1218" s="38"/>
      <c r="AJ1218" s="38"/>
      <c r="AK1218" s="38"/>
      <c r="AL1218" s="38"/>
      <c r="AM1218" s="38"/>
      <c r="AN1218" s="38"/>
      <c r="AO1218" s="38"/>
      <c r="AP1218" s="38"/>
      <c r="AQ1218" s="38"/>
      <c r="AR1218" s="38"/>
      <c r="AS1218" s="38"/>
      <c r="AT1218" s="38"/>
      <c r="AU1218" s="38"/>
      <c r="AV1218" s="38"/>
      <c r="AW1218" s="38"/>
      <c r="AX1218" s="38"/>
      <c r="AY1218" s="38"/>
      <c r="AZ1218" s="38"/>
      <c r="BA1218" s="38"/>
      <c r="BB1218" s="38"/>
      <c r="BC1218" s="38"/>
      <c r="BD1218" s="38"/>
      <c r="BE1218" s="38"/>
      <c r="BF1218" s="38"/>
      <c r="BG1218" s="38"/>
      <c r="BH1218" s="38"/>
      <c r="BI1218" s="38"/>
      <c r="BJ1218" s="38"/>
      <c r="BK1218" s="38"/>
      <c r="BL1218" s="38"/>
      <c r="BM1218" s="38"/>
      <c r="BN1218" s="38"/>
      <c r="BO1218" s="38"/>
      <c r="BP1218" s="38"/>
      <c r="BQ1218" s="38"/>
    </row>
    <row r="1219">
      <c r="A1219" s="37"/>
      <c r="B1219" s="341"/>
      <c r="C1219" s="60"/>
      <c r="D1219" s="60"/>
      <c r="E1219" s="58"/>
      <c r="F1219" s="58"/>
      <c r="G1219" s="58"/>
      <c r="H1219" s="33" t="str">
        <f t="shared" si="33"/>
        <v/>
      </c>
      <c r="I1219" s="58"/>
      <c r="J1219" s="58"/>
      <c r="K1219" s="58"/>
      <c r="L1219" s="58"/>
      <c r="M1219" s="80"/>
      <c r="N1219" s="77"/>
      <c r="O1219" s="62"/>
      <c r="P1219" s="62"/>
      <c r="Q1219" s="62"/>
      <c r="R1219" s="62"/>
      <c r="S1219" s="37" t="str">
        <f>IFERROR(__xludf.DUMMYFUNCTION("if(not(iserror(index(split(C1219, "" ""),2))), index(split(C1219, "" ""),1),"""")"),"")</f>
        <v/>
      </c>
      <c r="T1219" s="315" t="str">
        <f>IFERROR(__xludf.DUMMYFUNCTION("if(S1219="""",C1219,if(not(iserror(index(split(C1219, "" ""),3))), index(split(C1219, "" ""),3),index(split(C1219, "" ""),2)))"),"")</f>
        <v/>
      </c>
      <c r="U1219" s="38" t="b">
        <f t="shared" si="34"/>
        <v>0</v>
      </c>
      <c r="V1219" s="38"/>
      <c r="W1219" s="40"/>
      <c r="X1219" s="40"/>
      <c r="Y1219" s="38"/>
      <c r="Z1219" s="38"/>
      <c r="AA1219" s="38"/>
      <c r="AB1219" s="38"/>
      <c r="AC1219" s="38"/>
      <c r="AD1219" s="38"/>
      <c r="AE1219" s="38"/>
      <c r="AF1219" s="38"/>
      <c r="AG1219" s="38"/>
      <c r="AH1219" s="38"/>
      <c r="AI1219" s="38"/>
      <c r="AJ1219" s="38"/>
      <c r="AK1219" s="38"/>
      <c r="AL1219" s="38"/>
      <c r="AM1219" s="38"/>
      <c r="AN1219" s="38"/>
      <c r="AO1219" s="38"/>
      <c r="AP1219" s="38"/>
      <c r="AQ1219" s="38"/>
      <c r="AR1219" s="38"/>
      <c r="AS1219" s="38"/>
      <c r="AT1219" s="38"/>
      <c r="AU1219" s="38"/>
      <c r="AV1219" s="38"/>
      <c r="AW1219" s="38"/>
      <c r="AX1219" s="38"/>
      <c r="AY1219" s="38"/>
      <c r="AZ1219" s="38"/>
      <c r="BA1219" s="38"/>
      <c r="BB1219" s="38"/>
      <c r="BC1219" s="38"/>
      <c r="BD1219" s="38"/>
      <c r="BE1219" s="38"/>
      <c r="BF1219" s="38"/>
      <c r="BG1219" s="38"/>
      <c r="BH1219" s="38"/>
      <c r="BI1219" s="38"/>
      <c r="BJ1219" s="38"/>
      <c r="BK1219" s="38"/>
      <c r="BL1219" s="38"/>
      <c r="BM1219" s="38"/>
      <c r="BN1219" s="38"/>
      <c r="BO1219" s="38"/>
      <c r="BP1219" s="38"/>
      <c r="BQ1219" s="38"/>
    </row>
    <row r="1220">
      <c r="A1220" s="37"/>
      <c r="B1220" s="341"/>
      <c r="C1220" s="60"/>
      <c r="D1220" s="60"/>
      <c r="E1220" s="58"/>
      <c r="F1220" s="58"/>
      <c r="G1220" s="58"/>
      <c r="H1220" s="33" t="str">
        <f t="shared" si="33"/>
        <v/>
      </c>
      <c r="I1220" s="58"/>
      <c r="J1220" s="58"/>
      <c r="K1220" s="58"/>
      <c r="L1220" s="58"/>
      <c r="M1220" s="80"/>
      <c r="N1220" s="77"/>
      <c r="O1220" s="62"/>
      <c r="P1220" s="62"/>
      <c r="Q1220" s="62"/>
      <c r="R1220" s="62"/>
      <c r="S1220" s="37" t="str">
        <f>IFERROR(__xludf.DUMMYFUNCTION("if(not(iserror(index(split(C1220, "" ""),2))), index(split(C1220, "" ""),1),"""")"),"")</f>
        <v/>
      </c>
      <c r="T1220" s="315" t="str">
        <f>IFERROR(__xludf.DUMMYFUNCTION("if(S1220="""",C1220,if(not(iserror(index(split(C1220, "" ""),3))), index(split(C1220, "" ""),3),index(split(C1220, "" ""),2)))"),"")</f>
        <v/>
      </c>
      <c r="U1220" s="38" t="b">
        <f t="shared" si="34"/>
        <v>0</v>
      </c>
      <c r="V1220" s="38"/>
      <c r="W1220" s="40"/>
      <c r="X1220" s="40"/>
      <c r="Y1220" s="38"/>
      <c r="Z1220" s="38"/>
      <c r="AA1220" s="38"/>
      <c r="AB1220" s="38"/>
      <c r="AC1220" s="38"/>
      <c r="AD1220" s="38"/>
      <c r="AE1220" s="38"/>
      <c r="AF1220" s="38"/>
      <c r="AG1220" s="38"/>
      <c r="AH1220" s="38"/>
      <c r="AI1220" s="38"/>
      <c r="AJ1220" s="38"/>
      <c r="AK1220" s="38"/>
      <c r="AL1220" s="38"/>
      <c r="AM1220" s="38"/>
      <c r="AN1220" s="38"/>
      <c r="AO1220" s="38"/>
      <c r="AP1220" s="38"/>
      <c r="AQ1220" s="38"/>
      <c r="AR1220" s="38"/>
      <c r="AS1220" s="38"/>
      <c r="AT1220" s="38"/>
      <c r="AU1220" s="38"/>
      <c r="AV1220" s="38"/>
      <c r="AW1220" s="38"/>
      <c r="AX1220" s="38"/>
      <c r="AY1220" s="38"/>
      <c r="AZ1220" s="38"/>
      <c r="BA1220" s="38"/>
      <c r="BB1220" s="38"/>
      <c r="BC1220" s="38"/>
      <c r="BD1220" s="38"/>
      <c r="BE1220" s="38"/>
      <c r="BF1220" s="38"/>
      <c r="BG1220" s="38"/>
      <c r="BH1220" s="38"/>
      <c r="BI1220" s="38"/>
      <c r="BJ1220" s="38"/>
      <c r="BK1220" s="38"/>
      <c r="BL1220" s="38"/>
      <c r="BM1220" s="38"/>
      <c r="BN1220" s="38"/>
      <c r="BO1220" s="38"/>
      <c r="BP1220" s="38"/>
      <c r="BQ1220" s="38"/>
    </row>
    <row r="1221">
      <c r="A1221" s="37"/>
      <c r="B1221" s="341"/>
      <c r="C1221" s="60"/>
      <c r="D1221" s="60"/>
      <c r="E1221" s="58"/>
      <c r="F1221" s="58"/>
      <c r="G1221" s="58"/>
      <c r="H1221" s="33" t="str">
        <f t="shared" si="33"/>
        <v/>
      </c>
      <c r="I1221" s="58"/>
      <c r="J1221" s="58"/>
      <c r="K1221" s="58"/>
      <c r="L1221" s="58"/>
      <c r="M1221" s="80"/>
      <c r="N1221" s="77"/>
      <c r="O1221" s="62"/>
      <c r="P1221" s="62"/>
      <c r="Q1221" s="62"/>
      <c r="R1221" s="62"/>
      <c r="S1221" s="37" t="str">
        <f>IFERROR(__xludf.DUMMYFUNCTION("if(not(iserror(index(split(C1221, "" ""),2))), index(split(C1221, "" ""),1),"""")"),"")</f>
        <v/>
      </c>
      <c r="T1221" s="315" t="str">
        <f>IFERROR(__xludf.DUMMYFUNCTION("if(S1221="""",C1221,if(not(iserror(index(split(C1221, "" ""),3))), index(split(C1221, "" ""),3),index(split(C1221, "" ""),2)))"),"")</f>
        <v/>
      </c>
      <c r="U1221" s="38" t="b">
        <f t="shared" si="34"/>
        <v>0</v>
      </c>
      <c r="V1221" s="38"/>
      <c r="W1221" s="40"/>
      <c r="X1221" s="40"/>
      <c r="Y1221" s="38"/>
      <c r="Z1221" s="38"/>
      <c r="AA1221" s="38"/>
      <c r="AB1221" s="38"/>
      <c r="AC1221" s="38"/>
      <c r="AD1221" s="38"/>
      <c r="AE1221" s="38"/>
      <c r="AF1221" s="38"/>
      <c r="AG1221" s="38"/>
      <c r="AH1221" s="38"/>
      <c r="AI1221" s="38"/>
      <c r="AJ1221" s="38"/>
      <c r="AK1221" s="38"/>
      <c r="AL1221" s="38"/>
      <c r="AM1221" s="38"/>
      <c r="AN1221" s="38"/>
      <c r="AO1221" s="38"/>
      <c r="AP1221" s="38"/>
      <c r="AQ1221" s="38"/>
      <c r="AR1221" s="38"/>
      <c r="AS1221" s="38"/>
      <c r="AT1221" s="38"/>
      <c r="AU1221" s="38"/>
      <c r="AV1221" s="38"/>
      <c r="AW1221" s="38"/>
      <c r="AX1221" s="38"/>
      <c r="AY1221" s="38"/>
      <c r="AZ1221" s="38"/>
      <c r="BA1221" s="38"/>
      <c r="BB1221" s="38"/>
      <c r="BC1221" s="38"/>
      <c r="BD1221" s="38"/>
      <c r="BE1221" s="38"/>
      <c r="BF1221" s="38"/>
      <c r="BG1221" s="38"/>
      <c r="BH1221" s="38"/>
      <c r="BI1221" s="38"/>
      <c r="BJ1221" s="38"/>
      <c r="BK1221" s="38"/>
      <c r="BL1221" s="38"/>
      <c r="BM1221" s="38"/>
      <c r="BN1221" s="38"/>
      <c r="BO1221" s="38"/>
      <c r="BP1221" s="38"/>
      <c r="BQ1221" s="38"/>
    </row>
    <row r="1222">
      <c r="A1222" s="37"/>
      <c r="B1222" s="341"/>
      <c r="C1222" s="60"/>
      <c r="D1222" s="60"/>
      <c r="E1222" s="58"/>
      <c r="F1222" s="58"/>
      <c r="G1222" s="58"/>
      <c r="H1222" s="33" t="str">
        <f t="shared" si="33"/>
        <v/>
      </c>
      <c r="I1222" s="58"/>
      <c r="J1222" s="58"/>
      <c r="K1222" s="58"/>
      <c r="L1222" s="58"/>
      <c r="M1222" s="80"/>
      <c r="N1222" s="77"/>
      <c r="O1222" s="62"/>
      <c r="P1222" s="58"/>
      <c r="Q1222" s="84"/>
      <c r="R1222" s="62"/>
      <c r="S1222" s="37" t="str">
        <f>IFERROR(__xludf.DUMMYFUNCTION("if(not(iserror(index(split(C1222, "" ""),2))), index(split(C1222, "" ""),1),"""")"),"")</f>
        <v/>
      </c>
      <c r="T1222" s="315" t="str">
        <f>IFERROR(__xludf.DUMMYFUNCTION("if(S1222="""",C1222,if(not(iserror(index(split(C1222, "" ""),3))), index(split(C1222, "" ""),3),index(split(C1222, "" ""),2)))"),"")</f>
        <v/>
      </c>
      <c r="U1222" s="38" t="b">
        <f t="shared" si="34"/>
        <v>0</v>
      </c>
      <c r="V1222" s="38"/>
      <c r="W1222" s="40"/>
      <c r="X1222" s="40"/>
      <c r="Y1222" s="38"/>
      <c r="Z1222" s="38"/>
      <c r="AA1222" s="38"/>
      <c r="AB1222" s="38"/>
      <c r="AC1222" s="38"/>
      <c r="AD1222" s="38"/>
      <c r="AE1222" s="38"/>
      <c r="AF1222" s="38"/>
      <c r="AG1222" s="38"/>
      <c r="AH1222" s="38"/>
      <c r="AI1222" s="38"/>
      <c r="AJ1222" s="38"/>
      <c r="AK1222" s="38"/>
      <c r="AL1222" s="38"/>
      <c r="AM1222" s="38"/>
      <c r="AN1222" s="38"/>
      <c r="AO1222" s="38"/>
      <c r="AP1222" s="38"/>
      <c r="AQ1222" s="38"/>
      <c r="AR1222" s="38"/>
      <c r="AS1222" s="38"/>
      <c r="AT1222" s="38"/>
      <c r="AU1222" s="38"/>
      <c r="AV1222" s="38"/>
      <c r="AW1222" s="38"/>
      <c r="AX1222" s="38"/>
      <c r="AY1222" s="38"/>
      <c r="AZ1222" s="38"/>
      <c r="BA1222" s="38"/>
      <c r="BB1222" s="38"/>
      <c r="BC1222" s="38"/>
      <c r="BD1222" s="38"/>
      <c r="BE1222" s="38"/>
      <c r="BF1222" s="38"/>
      <c r="BG1222" s="38"/>
      <c r="BH1222" s="38"/>
      <c r="BI1222" s="38"/>
      <c r="BJ1222" s="38"/>
      <c r="BK1222" s="38"/>
      <c r="BL1222" s="38"/>
      <c r="BM1222" s="38"/>
      <c r="BN1222" s="38"/>
      <c r="BO1222" s="38"/>
      <c r="BP1222" s="38"/>
      <c r="BQ1222" s="38"/>
    </row>
    <row r="1223">
      <c r="A1223" s="37"/>
      <c r="B1223" s="159"/>
      <c r="C1223" s="159"/>
      <c r="D1223" s="159"/>
      <c r="E1223" s="37"/>
      <c r="F1223" s="37"/>
      <c r="G1223" s="37"/>
      <c r="H1223" s="33" t="str">
        <f t="shared" si="33"/>
        <v/>
      </c>
      <c r="I1223" s="37"/>
      <c r="J1223" s="37"/>
      <c r="K1223" s="37"/>
      <c r="L1223" s="37"/>
      <c r="M1223" s="14"/>
      <c r="N1223" s="102"/>
      <c r="Q1223" s="16"/>
      <c r="S1223" s="37" t="str">
        <f>IFERROR(__xludf.DUMMYFUNCTION("if(not(iserror(index(split(C1223, "" ""),2))), index(split(C1223, "" ""),1),"""")"),"")</f>
        <v/>
      </c>
      <c r="T1223" s="384" t="str">
        <f>IFERROR(__xludf.DUMMYFUNCTION("if(S1223="""",C1223,if(not(iserror(index(split(C1223, "" ""),3))), index(split(C1223, "" ""),3),index(split(C1223, "" ""),2)))"),"")</f>
        <v/>
      </c>
      <c r="U1223" s="38" t="b">
        <f t="shared" si="34"/>
        <v>0</v>
      </c>
      <c r="V1223" s="38"/>
      <c r="W1223" s="40"/>
      <c r="X1223" s="40"/>
      <c r="Y1223" s="38"/>
      <c r="Z1223" s="38"/>
      <c r="AA1223" s="38"/>
      <c r="AB1223" s="38"/>
      <c r="AC1223" s="38"/>
      <c r="AD1223" s="38"/>
      <c r="AE1223" s="38"/>
      <c r="AF1223" s="38"/>
      <c r="AG1223" s="38"/>
      <c r="AH1223" s="38"/>
      <c r="AI1223" s="38"/>
      <c r="AJ1223" s="38"/>
      <c r="AK1223" s="38"/>
      <c r="AL1223" s="38"/>
      <c r="AM1223" s="38"/>
      <c r="AN1223" s="38"/>
      <c r="AO1223" s="38"/>
      <c r="AP1223" s="38"/>
      <c r="AQ1223" s="38"/>
      <c r="AR1223" s="38"/>
      <c r="AS1223" s="38"/>
      <c r="AT1223" s="38"/>
      <c r="AU1223" s="38"/>
      <c r="AV1223" s="38"/>
      <c r="AW1223" s="38"/>
      <c r="AX1223" s="38"/>
      <c r="AY1223" s="38"/>
      <c r="AZ1223" s="38"/>
      <c r="BA1223" s="38"/>
      <c r="BB1223" s="38"/>
      <c r="BC1223" s="38"/>
      <c r="BD1223" s="38"/>
      <c r="BE1223" s="38"/>
      <c r="BF1223" s="38"/>
      <c r="BG1223" s="38"/>
      <c r="BH1223" s="38"/>
      <c r="BI1223" s="38"/>
      <c r="BJ1223" s="38"/>
      <c r="BK1223" s="38"/>
      <c r="BL1223" s="38"/>
      <c r="BM1223" s="38"/>
      <c r="BN1223" s="38"/>
      <c r="BO1223" s="38"/>
      <c r="BP1223" s="38"/>
      <c r="BQ1223" s="38"/>
    </row>
    <row r="1224">
      <c r="B1224" s="341"/>
      <c r="C1224" s="60"/>
      <c r="D1224" s="60"/>
      <c r="E1224" s="58"/>
      <c r="F1224" s="58"/>
      <c r="G1224" s="58"/>
      <c r="H1224" s="33" t="str">
        <f t="shared" si="33"/>
        <v/>
      </c>
      <c r="I1224" s="58"/>
      <c r="J1224" s="58"/>
      <c r="K1224" s="58"/>
      <c r="L1224" s="58"/>
      <c r="M1224" s="80"/>
      <c r="N1224" s="80"/>
      <c r="O1224" s="62"/>
      <c r="P1224" s="62"/>
      <c r="Q1224" s="62"/>
      <c r="R1224" s="62"/>
      <c r="S1224" s="37" t="str">
        <f>IFERROR(__xludf.DUMMYFUNCTION("if(not(iserror(index(split(C1224, "" ""),2))), index(split(C1224, "" ""),1),"""")"),"")</f>
        <v/>
      </c>
      <c r="T1224" s="315" t="str">
        <f>IFERROR(__xludf.DUMMYFUNCTION("if(S1224="""",C1224,if(not(iserror(index(split(C1224, "" ""),3))), index(split(C1224, "" ""),3),index(split(C1224, "" ""),2)))"),"")</f>
        <v/>
      </c>
      <c r="U1224" s="38" t="b">
        <f t="shared" si="34"/>
        <v>0</v>
      </c>
      <c r="V1224" s="38"/>
      <c r="W1224" s="40"/>
      <c r="X1224" s="40"/>
      <c r="Y1224" s="38"/>
      <c r="Z1224" s="38"/>
      <c r="AA1224" s="38"/>
      <c r="AB1224" s="38"/>
      <c r="AC1224" s="38"/>
      <c r="AD1224" s="38"/>
      <c r="AE1224" s="38"/>
      <c r="AF1224" s="38"/>
      <c r="AG1224" s="38"/>
      <c r="AH1224" s="38"/>
      <c r="AI1224" s="38"/>
      <c r="AJ1224" s="38"/>
      <c r="AK1224" s="38"/>
      <c r="AL1224" s="38"/>
      <c r="AM1224" s="38"/>
      <c r="AN1224" s="38"/>
      <c r="AO1224" s="38"/>
      <c r="AP1224" s="38"/>
      <c r="AQ1224" s="38"/>
      <c r="AR1224" s="38"/>
      <c r="AS1224" s="38"/>
      <c r="AT1224" s="38"/>
      <c r="AU1224" s="38"/>
      <c r="AV1224" s="38"/>
      <c r="AW1224" s="38"/>
      <c r="AX1224" s="38"/>
      <c r="AY1224" s="38"/>
      <c r="AZ1224" s="38"/>
      <c r="BA1224" s="38"/>
      <c r="BB1224" s="38"/>
      <c r="BC1224" s="38"/>
      <c r="BD1224" s="38"/>
      <c r="BE1224" s="38"/>
      <c r="BF1224" s="38"/>
      <c r="BG1224" s="38"/>
      <c r="BH1224" s="38"/>
      <c r="BI1224" s="38"/>
      <c r="BJ1224" s="38"/>
      <c r="BK1224" s="38"/>
      <c r="BL1224" s="38"/>
      <c r="BM1224" s="38"/>
      <c r="BN1224" s="38"/>
      <c r="BO1224" s="38"/>
      <c r="BP1224" s="38"/>
      <c r="BQ1224" s="38"/>
    </row>
    <row r="1225">
      <c r="B1225" s="341"/>
      <c r="C1225" s="60"/>
      <c r="D1225" s="60"/>
      <c r="E1225" s="58"/>
      <c r="F1225" s="58"/>
      <c r="G1225" s="58"/>
      <c r="H1225" s="33" t="str">
        <f t="shared" si="33"/>
        <v/>
      </c>
      <c r="I1225" s="58"/>
      <c r="J1225" s="58"/>
      <c r="K1225" s="58"/>
      <c r="L1225" s="58"/>
      <c r="M1225" s="80"/>
      <c r="N1225" s="77"/>
      <c r="O1225" s="62"/>
      <c r="P1225" s="62"/>
      <c r="Q1225" s="62"/>
      <c r="R1225" s="62"/>
      <c r="S1225" s="37" t="str">
        <f>IFERROR(__xludf.DUMMYFUNCTION("if(not(iserror(index(split(C1225, "" ""),2))), index(split(C1225, "" ""),1),"""")"),"")</f>
        <v/>
      </c>
      <c r="T1225" s="315" t="str">
        <f>IFERROR(__xludf.DUMMYFUNCTION("if(S1225="""",C1225,if(not(iserror(index(split(C1225, "" ""),3))), index(split(C1225, "" ""),3),index(split(C1225, "" ""),2)))"),"")</f>
        <v/>
      </c>
      <c r="U1225" s="38" t="b">
        <f t="shared" si="34"/>
        <v>0</v>
      </c>
      <c r="V1225" s="38"/>
      <c r="W1225" s="40"/>
      <c r="X1225" s="40"/>
      <c r="Y1225" s="38"/>
      <c r="Z1225" s="38"/>
      <c r="AA1225" s="38"/>
      <c r="AB1225" s="38"/>
      <c r="AC1225" s="38"/>
      <c r="AD1225" s="38"/>
      <c r="AE1225" s="38"/>
      <c r="AF1225" s="38"/>
      <c r="AG1225" s="38"/>
      <c r="AH1225" s="38"/>
      <c r="AI1225" s="38"/>
      <c r="AJ1225" s="38"/>
      <c r="AK1225" s="38"/>
      <c r="AL1225" s="38"/>
      <c r="AM1225" s="38"/>
      <c r="AN1225" s="38"/>
      <c r="AO1225" s="38"/>
      <c r="AP1225" s="38"/>
      <c r="AQ1225" s="38"/>
      <c r="AR1225" s="38"/>
      <c r="AS1225" s="38"/>
      <c r="AT1225" s="38"/>
      <c r="AU1225" s="38"/>
      <c r="AV1225" s="38"/>
      <c r="AW1225" s="38"/>
      <c r="AX1225" s="38"/>
      <c r="AY1225" s="38"/>
      <c r="AZ1225" s="38"/>
      <c r="BA1225" s="38"/>
      <c r="BB1225" s="38"/>
      <c r="BC1225" s="38"/>
      <c r="BD1225" s="38"/>
      <c r="BE1225" s="38"/>
      <c r="BF1225" s="38"/>
      <c r="BG1225" s="38"/>
      <c r="BH1225" s="38"/>
      <c r="BI1225" s="38"/>
      <c r="BJ1225" s="38"/>
      <c r="BK1225" s="38"/>
      <c r="BL1225" s="38"/>
      <c r="BM1225" s="38"/>
      <c r="BN1225" s="38"/>
      <c r="BO1225" s="38"/>
      <c r="BP1225" s="38"/>
      <c r="BQ1225" s="38"/>
    </row>
    <row r="1226">
      <c r="B1226" s="341"/>
      <c r="C1226" s="60"/>
      <c r="D1226" s="60"/>
      <c r="E1226" s="58"/>
      <c r="F1226" s="58"/>
      <c r="G1226" s="58"/>
      <c r="H1226" s="33" t="str">
        <f t="shared" si="33"/>
        <v/>
      </c>
      <c r="I1226" s="58"/>
      <c r="J1226" s="58"/>
      <c r="K1226" s="58"/>
      <c r="L1226" s="58"/>
      <c r="M1226" s="80"/>
      <c r="N1226" s="77"/>
      <c r="O1226" s="62"/>
      <c r="P1226" s="62"/>
      <c r="Q1226" s="62"/>
      <c r="R1226" s="62"/>
      <c r="S1226" s="37" t="str">
        <f>IFERROR(__xludf.DUMMYFUNCTION("if(not(iserror(index(split(C1226, "" ""),2))), index(split(C1226, "" ""),1),"""")"),"")</f>
        <v/>
      </c>
      <c r="T1226" s="315" t="str">
        <f>IFERROR(__xludf.DUMMYFUNCTION("if(S1226="""",C1226,if(not(iserror(index(split(C1226, "" ""),3))), index(split(C1226, "" ""),3),index(split(C1226, "" ""),2)))"),"")</f>
        <v/>
      </c>
      <c r="U1226" s="38" t="b">
        <f t="shared" si="34"/>
        <v>0</v>
      </c>
      <c r="V1226" s="38"/>
      <c r="W1226" s="40"/>
      <c r="X1226" s="40"/>
      <c r="Y1226" s="38"/>
      <c r="Z1226" s="38"/>
      <c r="AA1226" s="38"/>
      <c r="AB1226" s="38"/>
      <c r="AC1226" s="38"/>
      <c r="AD1226" s="38"/>
      <c r="AE1226" s="38"/>
      <c r="AF1226" s="38"/>
      <c r="AG1226" s="38"/>
      <c r="AH1226" s="38"/>
      <c r="AI1226" s="38"/>
      <c r="AJ1226" s="38"/>
      <c r="AK1226" s="38"/>
      <c r="AL1226" s="38"/>
      <c r="AM1226" s="38"/>
      <c r="AN1226" s="38"/>
      <c r="AO1226" s="38"/>
      <c r="AP1226" s="38"/>
      <c r="AQ1226" s="38"/>
      <c r="AR1226" s="38"/>
      <c r="AS1226" s="38"/>
      <c r="AT1226" s="38"/>
      <c r="AU1226" s="38"/>
      <c r="AV1226" s="38"/>
      <c r="AW1226" s="38"/>
      <c r="AX1226" s="38"/>
      <c r="AY1226" s="38"/>
      <c r="AZ1226" s="38"/>
      <c r="BA1226" s="38"/>
      <c r="BB1226" s="38"/>
      <c r="BC1226" s="38"/>
      <c r="BD1226" s="38"/>
      <c r="BE1226" s="38"/>
      <c r="BF1226" s="38"/>
      <c r="BG1226" s="38"/>
      <c r="BH1226" s="38"/>
      <c r="BI1226" s="38"/>
      <c r="BJ1226" s="38"/>
      <c r="BK1226" s="38"/>
      <c r="BL1226" s="38"/>
      <c r="BM1226" s="38"/>
      <c r="BN1226" s="38"/>
      <c r="BO1226" s="38"/>
      <c r="BP1226" s="38"/>
      <c r="BQ1226" s="38"/>
    </row>
    <row r="1227">
      <c r="B1227" s="341"/>
      <c r="C1227" s="60"/>
      <c r="D1227" s="60"/>
      <c r="E1227" s="58"/>
      <c r="F1227" s="58"/>
      <c r="G1227" s="58"/>
      <c r="H1227" s="33" t="str">
        <f t="shared" si="33"/>
        <v/>
      </c>
      <c r="I1227" s="58"/>
      <c r="J1227" s="58"/>
      <c r="K1227" s="58"/>
      <c r="L1227" s="58"/>
      <c r="M1227" s="80"/>
      <c r="N1227" s="77"/>
      <c r="O1227" s="62"/>
      <c r="P1227" s="62"/>
      <c r="Q1227" s="62"/>
      <c r="R1227" s="62"/>
      <c r="S1227" s="37" t="str">
        <f>IFERROR(__xludf.DUMMYFUNCTION("if(not(iserror(index(split(C1227, "" ""),2))), index(split(C1227, "" ""),1),"""")"),"")</f>
        <v/>
      </c>
      <c r="T1227" s="315" t="str">
        <f>IFERROR(__xludf.DUMMYFUNCTION("if(S1227="""",C1227,if(not(iserror(index(split(C1227, "" ""),3))), index(split(C1227, "" ""),3),index(split(C1227, "" ""),2)))"),"")</f>
        <v/>
      </c>
      <c r="U1227" s="38" t="b">
        <f t="shared" si="34"/>
        <v>0</v>
      </c>
      <c r="V1227" s="38"/>
      <c r="W1227" s="40"/>
      <c r="X1227" s="40"/>
      <c r="Y1227" s="38"/>
      <c r="Z1227" s="38"/>
      <c r="AA1227" s="38"/>
      <c r="AB1227" s="38"/>
      <c r="AC1227" s="38"/>
      <c r="AD1227" s="38"/>
      <c r="AE1227" s="38"/>
      <c r="AF1227" s="38"/>
      <c r="AG1227" s="38"/>
      <c r="AH1227" s="38"/>
      <c r="AI1227" s="38"/>
      <c r="AJ1227" s="38"/>
      <c r="AK1227" s="38"/>
      <c r="AL1227" s="38"/>
      <c r="AM1227" s="38"/>
      <c r="AN1227" s="38"/>
      <c r="AO1227" s="38"/>
      <c r="AP1227" s="38"/>
      <c r="AQ1227" s="38"/>
      <c r="AR1227" s="38"/>
      <c r="AS1227" s="38"/>
      <c r="AT1227" s="38"/>
      <c r="AU1227" s="38"/>
      <c r="AV1227" s="38"/>
      <c r="AW1227" s="38"/>
      <c r="AX1227" s="38"/>
      <c r="AY1227" s="38"/>
      <c r="AZ1227" s="38"/>
      <c r="BA1227" s="38"/>
      <c r="BB1227" s="38"/>
      <c r="BC1227" s="38"/>
      <c r="BD1227" s="38"/>
      <c r="BE1227" s="38"/>
      <c r="BF1227" s="38"/>
      <c r="BG1227" s="38"/>
      <c r="BH1227" s="38"/>
      <c r="BI1227" s="38"/>
      <c r="BJ1227" s="38"/>
      <c r="BK1227" s="38"/>
      <c r="BL1227" s="38"/>
      <c r="BM1227" s="38"/>
      <c r="BN1227" s="38"/>
      <c r="BO1227" s="38"/>
      <c r="BP1227" s="38"/>
      <c r="BQ1227" s="38"/>
    </row>
    <row r="1228">
      <c r="B1228" s="341"/>
      <c r="C1228" s="60"/>
      <c r="D1228" s="60"/>
      <c r="E1228" s="58"/>
      <c r="F1228" s="58"/>
      <c r="G1228" s="58"/>
      <c r="H1228" s="33" t="str">
        <f t="shared" si="33"/>
        <v/>
      </c>
      <c r="I1228" s="58"/>
      <c r="J1228" s="58"/>
      <c r="K1228" s="58"/>
      <c r="L1228" s="58"/>
      <c r="M1228" s="80"/>
      <c r="N1228" s="77"/>
      <c r="O1228" s="62"/>
      <c r="P1228" s="62"/>
      <c r="Q1228" s="62"/>
      <c r="R1228" s="62"/>
      <c r="S1228" s="37" t="str">
        <f>IFERROR(__xludf.DUMMYFUNCTION("if(not(iserror(index(split(C1228, "" ""),2))), index(split(C1228, "" ""),1),"""")"),"")</f>
        <v/>
      </c>
      <c r="T1228" s="315" t="str">
        <f>IFERROR(__xludf.DUMMYFUNCTION("if(S1228="""",C1228,if(not(iserror(index(split(C1228, "" ""),3))), index(split(C1228, "" ""),3),index(split(C1228, "" ""),2)))"),"")</f>
        <v/>
      </c>
      <c r="U1228" s="38" t="b">
        <f t="shared" si="34"/>
        <v>0</v>
      </c>
      <c r="V1228" s="38"/>
      <c r="W1228" s="40"/>
      <c r="X1228" s="40"/>
      <c r="Y1228" s="38"/>
      <c r="Z1228" s="38"/>
      <c r="AA1228" s="38"/>
      <c r="AB1228" s="38"/>
      <c r="AC1228" s="38"/>
      <c r="AD1228" s="38"/>
      <c r="AE1228" s="38"/>
      <c r="AF1228" s="38"/>
      <c r="AG1228" s="38"/>
      <c r="AH1228" s="38"/>
      <c r="AI1228" s="38"/>
      <c r="AJ1228" s="38"/>
      <c r="AK1228" s="38"/>
      <c r="AL1228" s="38"/>
      <c r="AM1228" s="38"/>
      <c r="AN1228" s="38"/>
      <c r="AO1228" s="38"/>
      <c r="AP1228" s="38"/>
      <c r="AQ1228" s="38"/>
      <c r="AR1228" s="38"/>
      <c r="AS1228" s="38"/>
      <c r="AT1228" s="38"/>
      <c r="AU1228" s="38"/>
      <c r="AV1228" s="38"/>
      <c r="AW1228" s="38"/>
      <c r="AX1228" s="38"/>
      <c r="AY1228" s="38"/>
      <c r="AZ1228" s="38"/>
      <c r="BA1228" s="38"/>
      <c r="BB1228" s="38"/>
      <c r="BC1228" s="38"/>
      <c r="BD1228" s="38"/>
      <c r="BE1228" s="38"/>
      <c r="BF1228" s="38"/>
      <c r="BG1228" s="38"/>
      <c r="BH1228" s="38"/>
      <c r="BI1228" s="38"/>
      <c r="BJ1228" s="38"/>
      <c r="BK1228" s="38"/>
      <c r="BL1228" s="38"/>
      <c r="BM1228" s="38"/>
      <c r="BN1228" s="38"/>
      <c r="BO1228" s="38"/>
      <c r="BP1228" s="38"/>
      <c r="BQ1228" s="38"/>
    </row>
    <row r="1229">
      <c r="B1229" s="341"/>
      <c r="C1229" s="60"/>
      <c r="D1229" s="60"/>
      <c r="E1229" s="58"/>
      <c r="F1229" s="58"/>
      <c r="G1229" s="58"/>
      <c r="H1229" s="33" t="str">
        <f t="shared" si="33"/>
        <v/>
      </c>
      <c r="I1229" s="58"/>
      <c r="J1229" s="58"/>
      <c r="K1229" s="58"/>
      <c r="L1229" s="58"/>
      <c r="M1229" s="80"/>
      <c r="N1229" s="77"/>
      <c r="O1229" s="62"/>
      <c r="P1229" s="62"/>
      <c r="Q1229" s="62"/>
      <c r="R1229" s="62"/>
      <c r="S1229" s="37" t="str">
        <f>IFERROR(__xludf.DUMMYFUNCTION("if(not(iserror(index(split(C1229, "" ""),2))), index(split(C1229, "" ""),1),"""")"),"")</f>
        <v/>
      </c>
      <c r="T1229" s="315" t="str">
        <f>IFERROR(__xludf.DUMMYFUNCTION("if(S1229="""",C1229,if(not(iserror(index(split(C1229, "" ""),3))), index(split(C1229, "" ""),3),index(split(C1229, "" ""),2)))"),"")</f>
        <v/>
      </c>
      <c r="U1229" s="38" t="b">
        <f t="shared" si="34"/>
        <v>0</v>
      </c>
      <c r="V1229" s="38"/>
      <c r="W1229" s="40"/>
      <c r="X1229" s="40"/>
      <c r="Y1229" s="38"/>
      <c r="Z1229" s="38"/>
      <c r="AA1229" s="38"/>
      <c r="AB1229" s="38"/>
      <c r="AC1229" s="38"/>
      <c r="AD1229" s="38"/>
      <c r="AE1229" s="38"/>
      <c r="AF1229" s="38"/>
      <c r="AG1229" s="38"/>
      <c r="AH1229" s="38"/>
      <c r="AI1229" s="38"/>
      <c r="AJ1229" s="38"/>
      <c r="AK1229" s="38"/>
      <c r="AL1229" s="38"/>
      <c r="AM1229" s="38"/>
      <c r="AN1229" s="38"/>
      <c r="AO1229" s="38"/>
      <c r="AP1229" s="38"/>
      <c r="AQ1229" s="38"/>
      <c r="AR1229" s="38"/>
      <c r="AS1229" s="38"/>
      <c r="AT1229" s="38"/>
      <c r="AU1229" s="38"/>
      <c r="AV1229" s="38"/>
      <c r="AW1229" s="38"/>
      <c r="AX1229" s="38"/>
      <c r="AY1229" s="38"/>
      <c r="AZ1229" s="38"/>
      <c r="BA1229" s="38"/>
      <c r="BB1229" s="38"/>
      <c r="BC1229" s="38"/>
      <c r="BD1229" s="38"/>
      <c r="BE1229" s="38"/>
      <c r="BF1229" s="38"/>
      <c r="BG1229" s="38"/>
      <c r="BH1229" s="38"/>
      <c r="BI1229" s="38"/>
      <c r="BJ1229" s="38"/>
      <c r="BK1229" s="38"/>
      <c r="BL1229" s="38"/>
      <c r="BM1229" s="38"/>
      <c r="BN1229" s="38"/>
      <c r="BO1229" s="38"/>
      <c r="BP1229" s="38"/>
      <c r="BQ1229" s="38"/>
    </row>
    <row r="1230">
      <c r="B1230" s="341"/>
      <c r="C1230" s="60"/>
      <c r="D1230" s="60"/>
      <c r="E1230" s="58"/>
      <c r="F1230" s="58"/>
      <c r="G1230" s="58"/>
      <c r="H1230" s="33" t="str">
        <f t="shared" si="33"/>
        <v/>
      </c>
      <c r="I1230" s="58"/>
      <c r="J1230" s="58"/>
      <c r="K1230" s="58"/>
      <c r="L1230" s="58"/>
      <c r="M1230" s="80"/>
      <c r="N1230" s="77"/>
      <c r="O1230" s="62"/>
      <c r="P1230" s="62"/>
      <c r="Q1230" s="62"/>
      <c r="R1230" s="62"/>
      <c r="S1230" s="37" t="str">
        <f>IFERROR(__xludf.DUMMYFUNCTION("if(not(iserror(index(split(C1230, "" ""),2))), index(split(C1230, "" ""),1),"""")"),"")</f>
        <v/>
      </c>
      <c r="T1230" s="315" t="str">
        <f>IFERROR(__xludf.DUMMYFUNCTION("if(S1230="""",C1230,if(not(iserror(index(split(C1230, "" ""),3))), index(split(C1230, "" ""),3),index(split(C1230, "" ""),2)))"),"")</f>
        <v/>
      </c>
      <c r="U1230" s="38" t="b">
        <f t="shared" si="34"/>
        <v>0</v>
      </c>
      <c r="V1230" s="38"/>
      <c r="W1230" s="40"/>
      <c r="X1230" s="40"/>
      <c r="Y1230" s="38"/>
      <c r="Z1230" s="38"/>
      <c r="AA1230" s="38"/>
      <c r="AB1230" s="38"/>
      <c r="AC1230" s="38"/>
      <c r="AD1230" s="38"/>
      <c r="AE1230" s="38"/>
      <c r="AF1230" s="38"/>
      <c r="AG1230" s="38"/>
      <c r="AH1230" s="38"/>
      <c r="AI1230" s="38"/>
      <c r="AJ1230" s="38"/>
      <c r="AK1230" s="38"/>
      <c r="AL1230" s="38"/>
      <c r="AM1230" s="38"/>
      <c r="AN1230" s="38"/>
      <c r="AO1230" s="38"/>
      <c r="AP1230" s="38"/>
      <c r="AQ1230" s="38"/>
      <c r="AR1230" s="38"/>
      <c r="AS1230" s="38"/>
      <c r="AT1230" s="38"/>
      <c r="AU1230" s="38"/>
      <c r="AV1230" s="38"/>
      <c r="AW1230" s="38"/>
      <c r="AX1230" s="38"/>
      <c r="AY1230" s="38"/>
      <c r="AZ1230" s="38"/>
      <c r="BA1230" s="38"/>
      <c r="BB1230" s="38"/>
      <c r="BC1230" s="38"/>
      <c r="BD1230" s="38"/>
      <c r="BE1230" s="38"/>
      <c r="BF1230" s="38"/>
      <c r="BG1230" s="38"/>
      <c r="BH1230" s="38"/>
      <c r="BI1230" s="38"/>
      <c r="BJ1230" s="38"/>
      <c r="BK1230" s="38"/>
      <c r="BL1230" s="38"/>
      <c r="BM1230" s="38"/>
      <c r="BN1230" s="38"/>
      <c r="BO1230" s="38"/>
      <c r="BP1230" s="38"/>
      <c r="BQ1230" s="38"/>
    </row>
    <row r="1231">
      <c r="B1231" s="341"/>
      <c r="C1231" s="60"/>
      <c r="D1231" s="60"/>
      <c r="E1231" s="58"/>
      <c r="F1231" s="58"/>
      <c r="G1231" s="58"/>
      <c r="H1231" s="33" t="str">
        <f t="shared" si="33"/>
        <v/>
      </c>
      <c r="I1231" s="58"/>
      <c r="J1231" s="58"/>
      <c r="K1231" s="58"/>
      <c r="L1231" s="58"/>
      <c r="M1231" s="80"/>
      <c r="N1231" s="77"/>
      <c r="O1231" s="62"/>
      <c r="P1231" s="62"/>
      <c r="Q1231" s="62"/>
      <c r="R1231" s="62"/>
      <c r="S1231" s="37" t="str">
        <f>IFERROR(__xludf.DUMMYFUNCTION("if(not(iserror(index(split(C1231, "" ""),2))), index(split(C1231, "" ""),1),"""")"),"")</f>
        <v/>
      </c>
      <c r="T1231" s="315" t="str">
        <f>IFERROR(__xludf.DUMMYFUNCTION("if(S1231="""",C1231,if(not(iserror(index(split(C1231, "" ""),3))), index(split(C1231, "" ""),3),index(split(C1231, "" ""),2)))"),"")</f>
        <v/>
      </c>
      <c r="U1231" s="38" t="b">
        <f t="shared" si="34"/>
        <v>0</v>
      </c>
      <c r="V1231" s="38"/>
      <c r="W1231" s="40"/>
      <c r="X1231" s="40"/>
      <c r="Y1231" s="38"/>
      <c r="Z1231" s="38"/>
      <c r="AA1231" s="38"/>
      <c r="AB1231" s="38"/>
      <c r="AC1231" s="38"/>
      <c r="AD1231" s="38"/>
      <c r="AE1231" s="38"/>
      <c r="AF1231" s="38"/>
      <c r="AG1231" s="38"/>
      <c r="AH1231" s="38"/>
      <c r="AI1231" s="38"/>
      <c r="AJ1231" s="38"/>
      <c r="AK1231" s="38"/>
      <c r="AL1231" s="38"/>
      <c r="AM1231" s="38"/>
      <c r="AN1231" s="38"/>
      <c r="AO1231" s="38"/>
      <c r="AP1231" s="38"/>
      <c r="AQ1231" s="38"/>
      <c r="AR1231" s="38"/>
      <c r="AS1231" s="38"/>
      <c r="AT1231" s="38"/>
      <c r="AU1231" s="38"/>
      <c r="AV1231" s="38"/>
      <c r="AW1231" s="38"/>
      <c r="AX1231" s="38"/>
      <c r="AY1231" s="38"/>
      <c r="AZ1231" s="38"/>
      <c r="BA1231" s="38"/>
      <c r="BB1231" s="38"/>
      <c r="BC1231" s="38"/>
      <c r="BD1231" s="38"/>
      <c r="BE1231" s="38"/>
      <c r="BF1231" s="38"/>
      <c r="BG1231" s="38"/>
      <c r="BH1231" s="38"/>
      <c r="BI1231" s="38"/>
      <c r="BJ1231" s="38"/>
      <c r="BK1231" s="38"/>
      <c r="BL1231" s="38"/>
      <c r="BM1231" s="38"/>
      <c r="BN1231" s="38"/>
      <c r="BO1231" s="38"/>
      <c r="BP1231" s="38"/>
      <c r="BQ1231" s="38"/>
    </row>
    <row r="1232">
      <c r="A1232" s="58"/>
      <c r="B1232" s="341"/>
      <c r="C1232" s="60"/>
      <c r="D1232" s="60"/>
      <c r="E1232" s="58"/>
      <c r="F1232" s="58"/>
      <c r="G1232" s="58"/>
      <c r="H1232" s="33" t="str">
        <f t="shared" si="33"/>
        <v/>
      </c>
      <c r="I1232" s="58"/>
      <c r="J1232" s="58"/>
      <c r="K1232" s="58"/>
      <c r="L1232" s="58"/>
      <c r="M1232" s="80"/>
      <c r="N1232" s="77"/>
      <c r="O1232" s="62"/>
      <c r="P1232" s="62"/>
      <c r="Q1232" s="62"/>
      <c r="R1232" s="62"/>
      <c r="S1232" s="37" t="str">
        <f>IFERROR(__xludf.DUMMYFUNCTION("if(not(iserror(index(split(C1232, "" ""),2))), index(split(C1232, "" ""),1),"""")"),"")</f>
        <v/>
      </c>
      <c r="T1232" s="315" t="str">
        <f>IFERROR(__xludf.DUMMYFUNCTION("if(S1232="""",C1232,if(not(iserror(index(split(C1232, "" ""),3))), index(split(C1232, "" ""),3),index(split(C1232, "" ""),2)))"),"")</f>
        <v/>
      </c>
      <c r="U1232" s="38" t="b">
        <f t="shared" si="34"/>
        <v>0</v>
      </c>
      <c r="V1232" s="38"/>
      <c r="W1232" s="40"/>
      <c r="X1232" s="40"/>
      <c r="Y1232" s="38"/>
      <c r="Z1232" s="38"/>
      <c r="AA1232" s="38"/>
      <c r="AB1232" s="38"/>
      <c r="AC1232" s="38"/>
      <c r="AD1232" s="38"/>
      <c r="AE1232" s="38"/>
      <c r="AF1232" s="38"/>
      <c r="AG1232" s="38"/>
      <c r="AH1232" s="38"/>
      <c r="AI1232" s="38"/>
      <c r="AJ1232" s="38"/>
      <c r="AK1232" s="38"/>
      <c r="AL1232" s="38"/>
      <c r="AM1232" s="38"/>
      <c r="AN1232" s="38"/>
      <c r="AO1232" s="38"/>
      <c r="AP1232" s="38"/>
      <c r="AQ1232" s="38"/>
      <c r="AR1232" s="38"/>
      <c r="AS1232" s="38"/>
      <c r="AT1232" s="38"/>
      <c r="AU1232" s="38"/>
      <c r="AV1232" s="38"/>
      <c r="AW1232" s="38"/>
      <c r="AX1232" s="38"/>
      <c r="AY1232" s="38"/>
      <c r="AZ1232" s="38"/>
      <c r="BA1232" s="38"/>
      <c r="BB1232" s="38"/>
      <c r="BC1232" s="38"/>
      <c r="BD1232" s="38"/>
      <c r="BE1232" s="38"/>
      <c r="BF1232" s="38"/>
      <c r="BG1232" s="38"/>
      <c r="BH1232" s="38"/>
      <c r="BI1232" s="38"/>
      <c r="BJ1232" s="38"/>
      <c r="BK1232" s="38"/>
      <c r="BL1232" s="38"/>
      <c r="BM1232" s="38"/>
      <c r="BN1232" s="38"/>
      <c r="BO1232" s="38"/>
      <c r="BP1232" s="38"/>
      <c r="BQ1232" s="38"/>
    </row>
    <row r="1233">
      <c r="B1233" s="341"/>
      <c r="C1233" s="60"/>
      <c r="D1233" s="60"/>
      <c r="E1233" s="58"/>
      <c r="F1233" s="58"/>
      <c r="G1233" s="58"/>
      <c r="H1233" s="33" t="str">
        <f t="shared" si="33"/>
        <v/>
      </c>
      <c r="I1233" s="58"/>
      <c r="J1233" s="58"/>
      <c r="K1233" s="58"/>
      <c r="L1233" s="58"/>
      <c r="M1233" s="80"/>
      <c r="N1233" s="77"/>
      <c r="O1233" s="62"/>
      <c r="P1233" s="58"/>
      <c r="Q1233" s="84"/>
      <c r="R1233" s="62"/>
      <c r="S1233" s="37" t="str">
        <f>IFERROR(__xludf.DUMMYFUNCTION("if(not(iserror(index(split(C1233, "" ""),2))), index(split(C1233, "" ""),1),"""")"),"")</f>
        <v/>
      </c>
      <c r="T1233" s="315" t="str">
        <f>IFERROR(__xludf.DUMMYFUNCTION("if(S1233="""",C1233,if(not(iserror(index(split(C1233, "" ""),3))), index(split(C1233, "" ""),3),index(split(C1233, "" ""),2)))"),"")</f>
        <v/>
      </c>
      <c r="U1233" s="38" t="b">
        <f t="shared" si="34"/>
        <v>0</v>
      </c>
      <c r="V1233" s="38"/>
      <c r="W1233" s="40"/>
      <c r="X1233" s="40"/>
      <c r="Y1233" s="38"/>
      <c r="Z1233" s="38"/>
      <c r="AA1233" s="38"/>
      <c r="AB1233" s="38"/>
      <c r="AC1233" s="38"/>
      <c r="AD1233" s="38"/>
      <c r="AE1233" s="38"/>
      <c r="AF1233" s="38"/>
      <c r="AG1233" s="38"/>
      <c r="AH1233" s="38"/>
      <c r="AI1233" s="38"/>
      <c r="AJ1233" s="38"/>
      <c r="AK1233" s="38"/>
      <c r="AL1233" s="38"/>
      <c r="AM1233" s="38"/>
      <c r="AN1233" s="38"/>
      <c r="AO1233" s="38"/>
      <c r="AP1233" s="38"/>
      <c r="AQ1233" s="38"/>
      <c r="AR1233" s="38"/>
      <c r="AS1233" s="38"/>
      <c r="AT1233" s="38"/>
      <c r="AU1233" s="38"/>
      <c r="AV1233" s="38"/>
      <c r="AW1233" s="38"/>
      <c r="AX1233" s="38"/>
      <c r="AY1233" s="38"/>
      <c r="AZ1233" s="38"/>
      <c r="BA1233" s="38"/>
      <c r="BB1233" s="38"/>
      <c r="BC1233" s="38"/>
      <c r="BD1233" s="38"/>
      <c r="BE1233" s="38"/>
      <c r="BF1233" s="38"/>
      <c r="BG1233" s="38"/>
      <c r="BH1233" s="38"/>
      <c r="BI1233" s="38"/>
      <c r="BJ1233" s="38"/>
      <c r="BK1233" s="38"/>
      <c r="BL1233" s="38"/>
      <c r="BM1233" s="38"/>
      <c r="BN1233" s="38"/>
      <c r="BO1233" s="38"/>
      <c r="BP1233" s="38"/>
      <c r="BQ1233" s="38"/>
    </row>
    <row r="1234">
      <c r="B1234" s="341"/>
      <c r="C1234" s="60"/>
      <c r="D1234" s="60"/>
      <c r="E1234" s="58"/>
      <c r="F1234" s="58"/>
      <c r="G1234" s="58"/>
      <c r="H1234" s="33" t="str">
        <f t="shared" si="33"/>
        <v/>
      </c>
      <c r="I1234" s="58"/>
      <c r="J1234" s="58"/>
      <c r="K1234" s="58"/>
      <c r="L1234" s="58"/>
      <c r="M1234" s="80"/>
      <c r="N1234" s="77"/>
      <c r="O1234" s="62"/>
      <c r="P1234" s="62"/>
      <c r="Q1234" s="62"/>
      <c r="R1234" s="62"/>
      <c r="S1234" s="37" t="str">
        <f>IFERROR(__xludf.DUMMYFUNCTION("if(not(iserror(index(split(C1234, "" ""),2))), index(split(C1234, "" ""),1),"""")"),"")</f>
        <v/>
      </c>
      <c r="T1234" s="315" t="str">
        <f>IFERROR(__xludf.DUMMYFUNCTION("if(S1234="""",C1234,if(not(iserror(index(split(C1234, "" ""),3))), index(split(C1234, "" ""),3),index(split(C1234, "" ""),2)))"),"")</f>
        <v/>
      </c>
      <c r="U1234" s="38" t="b">
        <f t="shared" si="34"/>
        <v>0</v>
      </c>
      <c r="V1234" s="38"/>
      <c r="W1234" s="40"/>
      <c r="X1234" s="40"/>
      <c r="Y1234" s="38"/>
      <c r="Z1234" s="38"/>
      <c r="AA1234" s="38"/>
      <c r="AB1234" s="38"/>
      <c r="AC1234" s="38"/>
      <c r="AD1234" s="38"/>
      <c r="AE1234" s="38"/>
      <c r="AF1234" s="38"/>
      <c r="AG1234" s="38"/>
      <c r="AH1234" s="38"/>
      <c r="AI1234" s="38"/>
      <c r="AJ1234" s="38"/>
      <c r="AK1234" s="38"/>
      <c r="AL1234" s="38"/>
      <c r="AM1234" s="38"/>
      <c r="AN1234" s="38"/>
      <c r="AO1234" s="38"/>
      <c r="AP1234" s="38"/>
      <c r="AQ1234" s="38"/>
      <c r="AR1234" s="38"/>
      <c r="AS1234" s="38"/>
      <c r="AT1234" s="38"/>
      <c r="AU1234" s="38"/>
      <c r="AV1234" s="38"/>
      <c r="AW1234" s="38"/>
      <c r="AX1234" s="38"/>
      <c r="AY1234" s="38"/>
      <c r="AZ1234" s="38"/>
      <c r="BA1234" s="38"/>
      <c r="BB1234" s="38"/>
      <c r="BC1234" s="38"/>
      <c r="BD1234" s="38"/>
      <c r="BE1234" s="38"/>
      <c r="BF1234" s="38"/>
      <c r="BG1234" s="38"/>
      <c r="BH1234" s="38"/>
      <c r="BI1234" s="38"/>
      <c r="BJ1234" s="38"/>
      <c r="BK1234" s="38"/>
      <c r="BL1234" s="38"/>
      <c r="BM1234" s="38"/>
      <c r="BN1234" s="38"/>
      <c r="BO1234" s="38"/>
      <c r="BP1234" s="38"/>
      <c r="BQ1234" s="38"/>
    </row>
    <row r="1235">
      <c r="A1235" s="58"/>
      <c r="B1235" s="341"/>
      <c r="C1235" s="60"/>
      <c r="D1235" s="60"/>
      <c r="E1235" s="58"/>
      <c r="F1235" s="58"/>
      <c r="G1235" s="58"/>
      <c r="H1235" s="33" t="str">
        <f t="shared" si="33"/>
        <v/>
      </c>
      <c r="I1235" s="58"/>
      <c r="J1235" s="58"/>
      <c r="K1235" s="58"/>
      <c r="L1235" s="58"/>
      <c r="M1235" s="80"/>
      <c r="N1235" s="77"/>
      <c r="O1235" s="62"/>
      <c r="P1235" s="62"/>
      <c r="Q1235" s="62"/>
      <c r="R1235" s="62"/>
      <c r="S1235" s="37" t="str">
        <f>IFERROR(__xludf.DUMMYFUNCTION("if(not(iserror(index(split(C1235, "" ""),2))), index(split(C1235, "" ""),1),"""")"),"")</f>
        <v/>
      </c>
      <c r="T1235" s="315" t="str">
        <f>IFERROR(__xludf.DUMMYFUNCTION("if(S1235="""",C1235,if(not(iserror(index(split(C1235, "" ""),3))), index(split(C1235, "" ""),3),index(split(C1235, "" ""),2)))"),"")</f>
        <v/>
      </c>
      <c r="U1235" s="38" t="b">
        <f t="shared" si="34"/>
        <v>0</v>
      </c>
      <c r="V1235" s="38"/>
      <c r="W1235" s="40"/>
      <c r="X1235" s="40"/>
      <c r="Y1235" s="38"/>
      <c r="Z1235" s="38"/>
      <c r="AA1235" s="38"/>
      <c r="AB1235" s="38"/>
      <c r="AC1235" s="38"/>
      <c r="AD1235" s="38"/>
      <c r="AE1235" s="38"/>
      <c r="AF1235" s="38"/>
      <c r="AG1235" s="38"/>
      <c r="AH1235" s="38"/>
      <c r="AI1235" s="38"/>
      <c r="AJ1235" s="38"/>
      <c r="AK1235" s="38"/>
      <c r="AL1235" s="38"/>
      <c r="AM1235" s="38"/>
      <c r="AN1235" s="38"/>
      <c r="AO1235" s="38"/>
      <c r="AP1235" s="38"/>
      <c r="AQ1235" s="38"/>
      <c r="AR1235" s="38"/>
      <c r="AS1235" s="38"/>
      <c r="AT1235" s="38"/>
      <c r="AU1235" s="38"/>
      <c r="AV1235" s="38"/>
      <c r="AW1235" s="38"/>
      <c r="AX1235" s="38"/>
      <c r="AY1235" s="38"/>
      <c r="AZ1235" s="38"/>
      <c r="BA1235" s="38"/>
      <c r="BB1235" s="38"/>
      <c r="BC1235" s="38"/>
      <c r="BD1235" s="38"/>
      <c r="BE1235" s="38"/>
      <c r="BF1235" s="38"/>
      <c r="BG1235" s="38"/>
      <c r="BH1235" s="38"/>
      <c r="BI1235" s="38"/>
      <c r="BJ1235" s="38"/>
      <c r="BK1235" s="38"/>
      <c r="BL1235" s="38"/>
      <c r="BM1235" s="38"/>
      <c r="BN1235" s="38"/>
      <c r="BO1235" s="38"/>
      <c r="BP1235" s="38"/>
      <c r="BQ1235" s="38"/>
    </row>
    <row r="1236">
      <c r="A1236" s="58"/>
      <c r="B1236" s="341"/>
      <c r="C1236" s="60"/>
      <c r="D1236" s="60"/>
      <c r="E1236" s="58"/>
      <c r="F1236" s="58"/>
      <c r="G1236" s="58"/>
      <c r="H1236" s="33" t="str">
        <f t="shared" si="33"/>
        <v/>
      </c>
      <c r="I1236" s="58"/>
      <c r="J1236" s="58"/>
      <c r="K1236" s="58"/>
      <c r="L1236" s="58"/>
      <c r="M1236" s="80"/>
      <c r="N1236" s="80"/>
      <c r="O1236" s="58"/>
      <c r="P1236" s="58"/>
      <c r="Q1236" s="84"/>
      <c r="R1236" s="62"/>
      <c r="S1236" s="37" t="str">
        <f>IFERROR(__xludf.DUMMYFUNCTION("if(not(iserror(index(split(C1236, "" ""),2))), index(split(C1236, "" ""),1),"""")"),"")</f>
        <v/>
      </c>
      <c r="T1236" s="315" t="str">
        <f>IFERROR(__xludf.DUMMYFUNCTION("if(S1236="""",C1236,if(not(iserror(index(split(C1236, "" ""),3))), index(split(C1236, "" ""),3),index(split(C1236, "" ""),2)))"),"")</f>
        <v/>
      </c>
      <c r="U1236" s="38" t="b">
        <f t="shared" si="34"/>
        <v>0</v>
      </c>
      <c r="V1236" s="38"/>
      <c r="W1236" s="40"/>
      <c r="X1236" s="40"/>
      <c r="Y1236" s="38"/>
      <c r="Z1236" s="38"/>
      <c r="AA1236" s="38"/>
      <c r="AB1236" s="38"/>
      <c r="AC1236" s="38"/>
      <c r="AD1236" s="38"/>
      <c r="AE1236" s="38"/>
      <c r="AF1236" s="38"/>
      <c r="AG1236" s="38"/>
      <c r="AH1236" s="38"/>
      <c r="AI1236" s="38"/>
      <c r="AJ1236" s="38"/>
      <c r="AK1236" s="38"/>
      <c r="AL1236" s="38"/>
      <c r="AM1236" s="38"/>
      <c r="AN1236" s="38"/>
      <c r="AO1236" s="38"/>
      <c r="AP1236" s="38"/>
      <c r="AQ1236" s="38"/>
      <c r="AR1236" s="38"/>
      <c r="AS1236" s="38"/>
      <c r="AT1236" s="38"/>
      <c r="AU1236" s="38"/>
      <c r="AV1236" s="38"/>
      <c r="AW1236" s="38"/>
      <c r="AX1236" s="38"/>
      <c r="AY1236" s="38"/>
      <c r="AZ1236" s="38"/>
      <c r="BA1236" s="38"/>
      <c r="BB1236" s="38"/>
      <c r="BC1236" s="38"/>
      <c r="BD1236" s="38"/>
      <c r="BE1236" s="38"/>
      <c r="BF1236" s="38"/>
      <c r="BG1236" s="38"/>
      <c r="BH1236" s="38"/>
      <c r="BI1236" s="38"/>
      <c r="BJ1236" s="38"/>
      <c r="BK1236" s="38"/>
      <c r="BL1236" s="38"/>
      <c r="BM1236" s="38"/>
      <c r="BN1236" s="38"/>
      <c r="BO1236" s="38"/>
      <c r="BP1236" s="38"/>
      <c r="BQ1236" s="38"/>
    </row>
    <row r="1237">
      <c r="A1237" s="91"/>
      <c r="B1237" s="383"/>
      <c r="C1237" s="146"/>
      <c r="D1237" s="146"/>
      <c r="E1237" s="91"/>
      <c r="F1237" s="91"/>
      <c r="G1237" s="91"/>
      <c r="H1237" s="33" t="str">
        <f t="shared" si="33"/>
        <v/>
      </c>
      <c r="I1237" s="91"/>
      <c r="J1237" s="91"/>
      <c r="K1237" s="91"/>
      <c r="L1237" s="91"/>
      <c r="M1237" s="95"/>
      <c r="N1237" s="95"/>
      <c r="O1237" s="58"/>
      <c r="P1237" s="58"/>
      <c r="Q1237" s="84"/>
      <c r="R1237" s="62"/>
      <c r="S1237" s="37" t="str">
        <f>IFERROR(__xludf.DUMMYFUNCTION("if(not(iserror(index(split(C1237, "" ""),2))), index(split(C1237, "" ""),1),"""")"),"")</f>
        <v/>
      </c>
      <c r="T1237" s="315" t="str">
        <f>IFERROR(__xludf.DUMMYFUNCTION("if(S1237="""",C1237,if(not(iserror(index(split(C1237, "" ""),3))), index(split(C1237, "" ""),3),index(split(C1237, "" ""),2)))"),"")</f>
        <v/>
      </c>
      <c r="U1237" s="38" t="b">
        <f t="shared" si="34"/>
        <v>0</v>
      </c>
      <c r="V1237" s="38"/>
      <c r="W1237" s="40"/>
      <c r="X1237" s="40"/>
      <c r="Y1237" s="38"/>
      <c r="Z1237" s="38"/>
      <c r="AA1237" s="38"/>
      <c r="AB1237" s="38"/>
      <c r="AC1237" s="38"/>
      <c r="AD1237" s="38"/>
      <c r="AE1237" s="38"/>
      <c r="AF1237" s="38"/>
      <c r="AG1237" s="38"/>
      <c r="AH1237" s="38"/>
      <c r="AI1237" s="38"/>
      <c r="AJ1237" s="38"/>
      <c r="AK1237" s="38"/>
      <c r="AL1237" s="38"/>
      <c r="AM1237" s="38"/>
      <c r="AN1237" s="38"/>
      <c r="AO1237" s="38"/>
      <c r="AP1237" s="38"/>
      <c r="AQ1237" s="38"/>
      <c r="AR1237" s="38"/>
      <c r="AS1237" s="38"/>
      <c r="AT1237" s="38"/>
      <c r="AU1237" s="38"/>
      <c r="AV1237" s="38"/>
      <c r="AW1237" s="38"/>
      <c r="AX1237" s="38"/>
      <c r="AY1237" s="38"/>
      <c r="AZ1237" s="38"/>
      <c r="BA1237" s="38"/>
      <c r="BB1237" s="38"/>
      <c r="BC1237" s="38"/>
      <c r="BD1237" s="38"/>
      <c r="BE1237" s="38"/>
      <c r="BF1237" s="38"/>
      <c r="BG1237" s="38"/>
      <c r="BH1237" s="38"/>
      <c r="BI1237" s="38"/>
      <c r="BJ1237" s="38"/>
      <c r="BK1237" s="38"/>
      <c r="BL1237" s="38"/>
      <c r="BM1237" s="38"/>
      <c r="BN1237" s="38"/>
      <c r="BO1237" s="38"/>
      <c r="BP1237" s="38"/>
      <c r="BQ1237" s="38"/>
    </row>
    <row r="1238">
      <c r="A1238" s="58"/>
      <c r="B1238" s="341"/>
      <c r="C1238" s="60"/>
      <c r="D1238" s="60"/>
      <c r="E1238" s="58"/>
      <c r="F1238" s="58"/>
      <c r="G1238" s="58"/>
      <c r="H1238" s="33" t="str">
        <f t="shared" si="33"/>
        <v/>
      </c>
      <c r="I1238" s="58"/>
      <c r="J1238" s="58"/>
      <c r="K1238" s="58"/>
      <c r="L1238" s="58"/>
      <c r="M1238" s="80"/>
      <c r="N1238" s="77"/>
      <c r="O1238" s="62"/>
      <c r="P1238" s="62"/>
      <c r="Q1238" s="62"/>
      <c r="R1238" s="62"/>
      <c r="S1238" s="37" t="str">
        <f>IFERROR(__xludf.DUMMYFUNCTION("if(not(iserror(index(split(C1238, "" ""),2))), index(split(C1238, "" ""),1),"""")"),"")</f>
        <v/>
      </c>
      <c r="T1238" s="315" t="str">
        <f>IFERROR(__xludf.DUMMYFUNCTION("if(S1238="""",C1238,if(not(iserror(index(split(C1238, "" ""),3))), index(split(C1238, "" ""),3),index(split(C1238, "" ""),2)))"),"")</f>
        <v/>
      </c>
      <c r="U1238" s="38" t="b">
        <f t="shared" si="34"/>
        <v>0</v>
      </c>
      <c r="V1238" s="38"/>
      <c r="W1238" s="40"/>
      <c r="X1238" s="40"/>
      <c r="Y1238" s="38"/>
      <c r="Z1238" s="38"/>
      <c r="AA1238" s="38"/>
      <c r="AB1238" s="38"/>
      <c r="AC1238" s="38"/>
      <c r="AD1238" s="38"/>
      <c r="AE1238" s="38"/>
      <c r="AF1238" s="38"/>
      <c r="AG1238" s="38"/>
      <c r="AH1238" s="38"/>
      <c r="AI1238" s="38"/>
      <c r="AJ1238" s="38"/>
      <c r="AK1238" s="38"/>
      <c r="AL1238" s="38"/>
      <c r="AM1238" s="38"/>
      <c r="AN1238" s="38"/>
      <c r="AO1238" s="38"/>
      <c r="AP1238" s="38"/>
      <c r="AQ1238" s="38"/>
      <c r="AR1238" s="38"/>
      <c r="AS1238" s="38"/>
      <c r="AT1238" s="38"/>
      <c r="AU1238" s="38"/>
      <c r="AV1238" s="38"/>
      <c r="AW1238" s="38"/>
      <c r="AX1238" s="38"/>
      <c r="AY1238" s="38"/>
      <c r="AZ1238" s="38"/>
      <c r="BA1238" s="38"/>
      <c r="BB1238" s="38"/>
      <c r="BC1238" s="38"/>
      <c r="BD1238" s="38"/>
      <c r="BE1238" s="38"/>
      <c r="BF1238" s="38"/>
      <c r="BG1238" s="38"/>
      <c r="BH1238" s="38"/>
      <c r="BI1238" s="38"/>
      <c r="BJ1238" s="38"/>
      <c r="BK1238" s="38"/>
      <c r="BL1238" s="38"/>
      <c r="BM1238" s="38"/>
      <c r="BN1238" s="38"/>
      <c r="BO1238" s="38"/>
      <c r="BP1238" s="38"/>
      <c r="BQ1238" s="38"/>
    </row>
    <row r="1239">
      <c r="B1239" s="341"/>
      <c r="C1239" s="60"/>
      <c r="D1239" s="60"/>
      <c r="E1239" s="58"/>
      <c r="F1239" s="58"/>
      <c r="G1239" s="58"/>
      <c r="H1239" s="33" t="str">
        <f t="shared" si="33"/>
        <v/>
      </c>
      <c r="I1239" s="58"/>
      <c r="J1239" s="58"/>
      <c r="K1239" s="58"/>
      <c r="L1239" s="58"/>
      <c r="M1239" s="106"/>
      <c r="N1239" s="77"/>
      <c r="O1239" s="62"/>
      <c r="P1239" s="62"/>
      <c r="Q1239" s="62"/>
      <c r="R1239" s="62"/>
      <c r="S1239" s="37" t="str">
        <f>IFERROR(__xludf.DUMMYFUNCTION("if(not(iserror(index(split(C1239, "" ""),2))), index(split(C1239, "" ""),1),"""")"),"")</f>
        <v/>
      </c>
      <c r="T1239" s="315" t="str">
        <f>IFERROR(__xludf.DUMMYFUNCTION("if(S1239="""",C1239,if(not(iserror(index(split(C1239, "" ""),3))), index(split(C1239, "" ""),3),index(split(C1239, "" ""),2)))"),"")</f>
        <v/>
      </c>
      <c r="U1239" s="38" t="b">
        <f t="shared" si="34"/>
        <v>0</v>
      </c>
      <c r="V1239" s="38"/>
      <c r="W1239" s="40"/>
      <c r="X1239" s="40"/>
      <c r="Y1239" s="38"/>
      <c r="Z1239" s="38"/>
      <c r="AA1239" s="38"/>
      <c r="AB1239" s="38"/>
      <c r="AC1239" s="38"/>
      <c r="AD1239" s="38"/>
      <c r="AE1239" s="38"/>
      <c r="AF1239" s="38"/>
      <c r="AG1239" s="38"/>
      <c r="AH1239" s="38"/>
      <c r="AI1239" s="38"/>
      <c r="AJ1239" s="38"/>
      <c r="AK1239" s="38"/>
      <c r="AL1239" s="38"/>
      <c r="AM1239" s="38"/>
      <c r="AN1239" s="38"/>
      <c r="AO1239" s="38"/>
      <c r="AP1239" s="38"/>
      <c r="AQ1239" s="38"/>
      <c r="AR1239" s="38"/>
      <c r="AS1239" s="38"/>
      <c r="AT1239" s="38"/>
      <c r="AU1239" s="38"/>
      <c r="AV1239" s="38"/>
      <c r="AW1239" s="38"/>
      <c r="AX1239" s="38"/>
      <c r="AY1239" s="38"/>
      <c r="AZ1239" s="38"/>
      <c r="BA1239" s="38"/>
      <c r="BB1239" s="38"/>
      <c r="BC1239" s="38"/>
      <c r="BD1239" s="38"/>
      <c r="BE1239" s="38"/>
      <c r="BF1239" s="38"/>
      <c r="BG1239" s="38"/>
      <c r="BH1239" s="38"/>
      <c r="BI1239" s="38"/>
      <c r="BJ1239" s="38"/>
      <c r="BK1239" s="38"/>
      <c r="BL1239" s="38"/>
      <c r="BM1239" s="38"/>
      <c r="BN1239" s="38"/>
      <c r="BO1239" s="38"/>
      <c r="BP1239" s="38"/>
      <c r="BQ1239" s="38"/>
    </row>
    <row r="1240">
      <c r="A1240" s="58"/>
      <c r="B1240" s="341"/>
      <c r="C1240" s="60"/>
      <c r="D1240" s="60"/>
      <c r="E1240" s="58"/>
      <c r="F1240" s="58"/>
      <c r="G1240" s="58"/>
      <c r="H1240" s="33" t="str">
        <f t="shared" si="33"/>
        <v/>
      </c>
      <c r="I1240" s="58"/>
      <c r="J1240" s="58"/>
      <c r="K1240" s="58"/>
      <c r="L1240" s="58"/>
      <c r="M1240" s="80"/>
      <c r="N1240" s="77"/>
      <c r="O1240" s="62"/>
      <c r="P1240" s="62"/>
      <c r="Q1240" s="62"/>
      <c r="R1240" s="62"/>
      <c r="S1240" s="37" t="str">
        <f>IFERROR(__xludf.DUMMYFUNCTION("if(not(iserror(index(split(C1240, "" ""),2))), index(split(C1240, "" ""),1),"""")"),"")</f>
        <v/>
      </c>
      <c r="T1240" s="315" t="str">
        <f>IFERROR(__xludf.DUMMYFUNCTION("if(S1240="""",C1240,if(not(iserror(index(split(C1240, "" ""),3))), index(split(C1240, "" ""),3),index(split(C1240, "" ""),2)))"),"")</f>
        <v/>
      </c>
      <c r="U1240" s="38" t="b">
        <f t="shared" si="34"/>
        <v>0</v>
      </c>
      <c r="V1240" s="38"/>
      <c r="W1240" s="40"/>
      <c r="X1240" s="40"/>
      <c r="Y1240" s="38"/>
      <c r="Z1240" s="38"/>
      <c r="AA1240" s="38"/>
      <c r="AB1240" s="38"/>
      <c r="AC1240" s="38"/>
      <c r="AD1240" s="38"/>
      <c r="AE1240" s="38"/>
      <c r="AF1240" s="38"/>
      <c r="AG1240" s="38"/>
      <c r="AH1240" s="38"/>
      <c r="AI1240" s="38"/>
      <c r="AJ1240" s="38"/>
      <c r="AK1240" s="38"/>
      <c r="AL1240" s="38"/>
      <c r="AM1240" s="38"/>
      <c r="AN1240" s="38"/>
      <c r="AO1240" s="38"/>
      <c r="AP1240" s="38"/>
      <c r="AQ1240" s="38"/>
      <c r="AR1240" s="38"/>
      <c r="AS1240" s="38"/>
      <c r="AT1240" s="38"/>
      <c r="AU1240" s="38"/>
      <c r="AV1240" s="38"/>
      <c r="AW1240" s="38"/>
      <c r="AX1240" s="38"/>
      <c r="AY1240" s="38"/>
      <c r="AZ1240" s="38"/>
      <c r="BA1240" s="38"/>
      <c r="BB1240" s="38"/>
      <c r="BC1240" s="38"/>
      <c r="BD1240" s="38"/>
      <c r="BE1240" s="38"/>
      <c r="BF1240" s="38"/>
      <c r="BG1240" s="38"/>
      <c r="BH1240" s="38"/>
      <c r="BI1240" s="38"/>
      <c r="BJ1240" s="38"/>
      <c r="BK1240" s="38"/>
      <c r="BL1240" s="38"/>
      <c r="BM1240" s="38"/>
      <c r="BN1240" s="38"/>
      <c r="BO1240" s="38"/>
      <c r="BP1240" s="38"/>
      <c r="BQ1240" s="38"/>
    </row>
    <row r="1241">
      <c r="A1241" s="58"/>
      <c r="B1241" s="341"/>
      <c r="C1241" s="60"/>
      <c r="D1241" s="60"/>
      <c r="E1241" s="58"/>
      <c r="F1241" s="58"/>
      <c r="G1241" s="58"/>
      <c r="H1241" s="33" t="str">
        <f t="shared" si="33"/>
        <v/>
      </c>
      <c r="I1241" s="58"/>
      <c r="J1241" s="58"/>
      <c r="K1241" s="58"/>
      <c r="L1241" s="58"/>
      <c r="M1241" s="80"/>
      <c r="N1241" s="77"/>
      <c r="O1241" s="62"/>
      <c r="P1241" s="62"/>
      <c r="Q1241" s="62"/>
      <c r="R1241" s="62"/>
      <c r="S1241" s="37" t="str">
        <f>IFERROR(__xludf.DUMMYFUNCTION("if(not(iserror(index(split(C1241, "" ""),2))), index(split(C1241, "" ""),1),"""")"),"")</f>
        <v/>
      </c>
      <c r="T1241" s="315" t="str">
        <f>IFERROR(__xludf.DUMMYFUNCTION("if(S1241="""",C1241,if(not(iserror(index(split(C1241, "" ""),3))), index(split(C1241, "" ""),3),index(split(C1241, "" ""),2)))"),"")</f>
        <v/>
      </c>
      <c r="U1241" s="38" t="b">
        <f t="shared" si="34"/>
        <v>0</v>
      </c>
      <c r="V1241" s="38"/>
      <c r="W1241" s="40"/>
      <c r="X1241" s="40"/>
      <c r="Y1241" s="38"/>
      <c r="Z1241" s="38"/>
      <c r="AA1241" s="38"/>
      <c r="AB1241" s="38"/>
      <c r="AC1241" s="38"/>
      <c r="AD1241" s="38"/>
      <c r="AE1241" s="38"/>
      <c r="AF1241" s="38"/>
      <c r="AG1241" s="38"/>
      <c r="AH1241" s="38"/>
      <c r="AI1241" s="38"/>
      <c r="AJ1241" s="38"/>
      <c r="AK1241" s="38"/>
      <c r="AL1241" s="38"/>
      <c r="AM1241" s="38"/>
      <c r="AN1241" s="38"/>
      <c r="AO1241" s="38"/>
      <c r="AP1241" s="38"/>
      <c r="AQ1241" s="38"/>
      <c r="AR1241" s="38"/>
      <c r="AS1241" s="38"/>
      <c r="AT1241" s="38"/>
      <c r="AU1241" s="38"/>
      <c r="AV1241" s="38"/>
      <c r="AW1241" s="38"/>
      <c r="AX1241" s="38"/>
      <c r="AY1241" s="38"/>
      <c r="AZ1241" s="38"/>
      <c r="BA1241" s="38"/>
      <c r="BB1241" s="38"/>
      <c r="BC1241" s="38"/>
      <c r="BD1241" s="38"/>
      <c r="BE1241" s="38"/>
      <c r="BF1241" s="38"/>
      <c r="BG1241" s="38"/>
      <c r="BH1241" s="38"/>
      <c r="BI1241" s="38"/>
      <c r="BJ1241" s="38"/>
      <c r="BK1241" s="38"/>
      <c r="BL1241" s="38"/>
      <c r="BM1241" s="38"/>
      <c r="BN1241" s="38"/>
      <c r="BO1241" s="38"/>
      <c r="BP1241" s="38"/>
      <c r="BQ1241" s="38"/>
    </row>
    <row r="1242">
      <c r="B1242" s="341"/>
      <c r="C1242" s="60"/>
      <c r="D1242" s="60"/>
      <c r="E1242" s="58"/>
      <c r="F1242" s="58"/>
      <c r="G1242" s="58"/>
      <c r="H1242" s="33" t="str">
        <f t="shared" si="33"/>
        <v/>
      </c>
      <c r="I1242" s="58"/>
      <c r="J1242" s="58"/>
      <c r="K1242" s="58"/>
      <c r="L1242" s="58"/>
      <c r="M1242" s="80"/>
      <c r="N1242" s="77"/>
      <c r="O1242" s="62"/>
      <c r="P1242" s="62"/>
      <c r="Q1242" s="62"/>
      <c r="R1242" s="62"/>
      <c r="S1242" s="37" t="str">
        <f>IFERROR(__xludf.DUMMYFUNCTION("if(not(iserror(index(split(C1242, "" ""),2))), index(split(C1242, "" ""),1),"""")"),"")</f>
        <v/>
      </c>
      <c r="T1242" s="315" t="str">
        <f>IFERROR(__xludf.DUMMYFUNCTION("if(S1242="""",C1242,if(not(iserror(index(split(C1242, "" ""),3))), index(split(C1242, "" ""),3),index(split(C1242, "" ""),2)))"),"")</f>
        <v/>
      </c>
      <c r="U1242" s="38" t="b">
        <f t="shared" si="34"/>
        <v>0</v>
      </c>
      <c r="V1242" s="38"/>
      <c r="W1242" s="40"/>
      <c r="X1242" s="40"/>
      <c r="Y1242" s="38"/>
      <c r="Z1242" s="38"/>
      <c r="AA1242" s="38"/>
      <c r="AB1242" s="38"/>
      <c r="AC1242" s="38"/>
      <c r="AD1242" s="38"/>
      <c r="AE1242" s="38"/>
      <c r="AF1242" s="38"/>
      <c r="AG1242" s="38"/>
      <c r="AH1242" s="38"/>
      <c r="AI1242" s="38"/>
      <c r="AJ1242" s="38"/>
      <c r="AK1242" s="38"/>
      <c r="AL1242" s="38"/>
      <c r="AM1242" s="38"/>
      <c r="AN1242" s="38"/>
      <c r="AO1242" s="38"/>
      <c r="AP1242" s="38"/>
      <c r="AQ1242" s="38"/>
      <c r="AR1242" s="38"/>
      <c r="AS1242" s="38"/>
      <c r="AT1242" s="38"/>
      <c r="AU1242" s="38"/>
      <c r="AV1242" s="38"/>
      <c r="AW1242" s="38"/>
      <c r="AX1242" s="38"/>
      <c r="AY1242" s="38"/>
      <c r="AZ1242" s="38"/>
      <c r="BA1242" s="38"/>
      <c r="BB1242" s="38"/>
      <c r="BC1242" s="38"/>
      <c r="BD1242" s="38"/>
      <c r="BE1242" s="38"/>
      <c r="BF1242" s="38"/>
      <c r="BG1242" s="38"/>
      <c r="BH1242" s="38"/>
      <c r="BI1242" s="38"/>
      <c r="BJ1242" s="38"/>
      <c r="BK1242" s="38"/>
      <c r="BL1242" s="38"/>
      <c r="BM1242" s="38"/>
      <c r="BN1242" s="38"/>
      <c r="BO1242" s="38"/>
      <c r="BP1242" s="38"/>
      <c r="BQ1242" s="38"/>
    </row>
    <row r="1243">
      <c r="A1243" s="58"/>
      <c r="B1243" s="341"/>
      <c r="C1243" s="60"/>
      <c r="D1243" s="60"/>
      <c r="E1243" s="58"/>
      <c r="F1243" s="58"/>
      <c r="G1243" s="58"/>
      <c r="H1243" s="33" t="str">
        <f t="shared" si="33"/>
        <v/>
      </c>
      <c r="I1243" s="58"/>
      <c r="J1243" s="58"/>
      <c r="K1243" s="58"/>
      <c r="L1243" s="58"/>
      <c r="M1243" s="80"/>
      <c r="N1243" s="77"/>
      <c r="O1243" s="62"/>
      <c r="P1243" s="62"/>
      <c r="Q1243" s="62"/>
      <c r="R1243" s="62"/>
      <c r="S1243" s="37" t="str">
        <f>IFERROR(__xludf.DUMMYFUNCTION("if(not(iserror(index(split(C1243, "" ""),2))), index(split(C1243, "" ""),1),"""")"),"")</f>
        <v/>
      </c>
      <c r="T1243" s="315" t="str">
        <f>IFERROR(__xludf.DUMMYFUNCTION("if(S1243="""",C1243,if(not(iserror(index(split(C1243, "" ""),3))), index(split(C1243, "" ""),3),index(split(C1243, "" ""),2)))"),"")</f>
        <v/>
      </c>
      <c r="U1243" s="38" t="b">
        <f t="shared" si="34"/>
        <v>0</v>
      </c>
      <c r="V1243" s="38"/>
      <c r="W1243" s="40"/>
      <c r="X1243" s="40"/>
      <c r="Y1243" s="38"/>
      <c r="Z1243" s="38"/>
      <c r="AA1243" s="38"/>
      <c r="AB1243" s="38"/>
      <c r="AC1243" s="38"/>
      <c r="AD1243" s="38"/>
      <c r="AE1243" s="38"/>
      <c r="AF1243" s="38"/>
      <c r="AG1243" s="38"/>
      <c r="AH1243" s="38"/>
      <c r="AI1243" s="38"/>
      <c r="AJ1243" s="38"/>
      <c r="AK1243" s="38"/>
      <c r="AL1243" s="38"/>
      <c r="AM1243" s="38"/>
      <c r="AN1243" s="38"/>
      <c r="AO1243" s="38"/>
      <c r="AP1243" s="38"/>
      <c r="AQ1243" s="38"/>
      <c r="AR1243" s="38"/>
      <c r="AS1243" s="38"/>
      <c r="AT1243" s="38"/>
      <c r="AU1243" s="38"/>
      <c r="AV1243" s="38"/>
      <c r="AW1243" s="38"/>
      <c r="AX1243" s="38"/>
      <c r="AY1243" s="38"/>
      <c r="AZ1243" s="38"/>
      <c r="BA1243" s="38"/>
      <c r="BB1243" s="38"/>
      <c r="BC1243" s="38"/>
      <c r="BD1243" s="38"/>
      <c r="BE1243" s="38"/>
      <c r="BF1243" s="38"/>
      <c r="BG1243" s="38"/>
      <c r="BH1243" s="38"/>
      <c r="BI1243" s="38"/>
      <c r="BJ1243" s="38"/>
      <c r="BK1243" s="38"/>
      <c r="BL1243" s="38"/>
      <c r="BM1243" s="38"/>
      <c r="BN1243" s="38"/>
      <c r="BO1243" s="38"/>
      <c r="BP1243" s="38"/>
      <c r="BQ1243" s="38"/>
    </row>
    <row r="1244">
      <c r="A1244" s="58"/>
      <c r="B1244" s="341"/>
      <c r="C1244" s="60"/>
      <c r="D1244" s="60"/>
      <c r="E1244" s="58"/>
      <c r="F1244" s="58"/>
      <c r="G1244" s="58"/>
      <c r="H1244" s="33" t="str">
        <f t="shared" si="33"/>
        <v/>
      </c>
      <c r="I1244" s="58"/>
      <c r="J1244" s="58"/>
      <c r="K1244" s="58"/>
      <c r="L1244" s="58"/>
      <c r="M1244" s="80"/>
      <c r="N1244" s="77"/>
      <c r="O1244" s="62"/>
      <c r="P1244" s="62"/>
      <c r="Q1244" s="62"/>
      <c r="R1244" s="62"/>
      <c r="S1244" s="37" t="str">
        <f>IFERROR(__xludf.DUMMYFUNCTION("if(not(iserror(index(split(C1244, "" ""),2))), index(split(C1244, "" ""),1),"""")"),"")</f>
        <v/>
      </c>
      <c r="T1244" s="315" t="str">
        <f>IFERROR(__xludf.DUMMYFUNCTION("if(S1244="""",C1244,if(not(iserror(index(split(C1244, "" ""),3))), index(split(C1244, "" ""),3),index(split(C1244, "" ""),2)))"),"")</f>
        <v/>
      </c>
      <c r="U1244" s="38" t="b">
        <f t="shared" si="34"/>
        <v>0</v>
      </c>
      <c r="V1244" s="38"/>
      <c r="W1244" s="40"/>
      <c r="X1244" s="40"/>
      <c r="Y1244" s="38"/>
      <c r="Z1244" s="38"/>
      <c r="AA1244" s="38"/>
      <c r="AB1244" s="38"/>
      <c r="AC1244" s="38"/>
      <c r="AD1244" s="38"/>
      <c r="AE1244" s="38"/>
      <c r="AF1244" s="38"/>
      <c r="AG1244" s="38"/>
      <c r="AH1244" s="38"/>
      <c r="AI1244" s="38"/>
      <c r="AJ1244" s="38"/>
      <c r="AK1244" s="38"/>
      <c r="AL1244" s="38"/>
      <c r="AM1244" s="38"/>
      <c r="AN1244" s="38"/>
      <c r="AO1244" s="38"/>
      <c r="AP1244" s="38"/>
      <c r="AQ1244" s="38"/>
      <c r="AR1244" s="38"/>
      <c r="AS1244" s="38"/>
      <c r="AT1244" s="38"/>
      <c r="AU1244" s="38"/>
      <c r="AV1244" s="38"/>
      <c r="AW1244" s="38"/>
      <c r="AX1244" s="38"/>
      <c r="AY1244" s="38"/>
      <c r="AZ1244" s="38"/>
      <c r="BA1244" s="38"/>
      <c r="BB1244" s="38"/>
      <c r="BC1244" s="38"/>
      <c r="BD1244" s="38"/>
      <c r="BE1244" s="38"/>
      <c r="BF1244" s="38"/>
      <c r="BG1244" s="38"/>
      <c r="BH1244" s="38"/>
      <c r="BI1244" s="38"/>
      <c r="BJ1244" s="38"/>
      <c r="BK1244" s="38"/>
      <c r="BL1244" s="38"/>
      <c r="BM1244" s="38"/>
      <c r="BN1244" s="38"/>
      <c r="BO1244" s="38"/>
      <c r="BP1244" s="38"/>
      <c r="BQ1244" s="38"/>
    </row>
    <row r="1245">
      <c r="B1245" s="341"/>
      <c r="C1245" s="60"/>
      <c r="D1245" s="60"/>
      <c r="E1245" s="58"/>
      <c r="F1245" s="58"/>
      <c r="G1245" s="58"/>
      <c r="H1245" s="33" t="str">
        <f t="shared" si="33"/>
        <v/>
      </c>
      <c r="I1245" s="58"/>
      <c r="J1245" s="58"/>
      <c r="K1245" s="58"/>
      <c r="L1245" s="58"/>
      <c r="M1245" s="80"/>
      <c r="N1245" s="77"/>
      <c r="O1245" s="62"/>
      <c r="P1245" s="62"/>
      <c r="Q1245" s="62"/>
      <c r="R1245" s="62"/>
      <c r="S1245" s="37" t="str">
        <f>IFERROR(__xludf.DUMMYFUNCTION("if(not(iserror(index(split(C1245, "" ""),2))), index(split(C1245, "" ""),1),"""")"),"")</f>
        <v/>
      </c>
      <c r="T1245" s="315" t="str">
        <f>IFERROR(__xludf.DUMMYFUNCTION("if(S1245="""",C1245,if(not(iserror(index(split(C1245, "" ""),3))), index(split(C1245, "" ""),3),index(split(C1245, "" ""),2)))"),"")</f>
        <v/>
      </c>
      <c r="U1245" s="38" t="b">
        <f t="shared" si="34"/>
        <v>0</v>
      </c>
      <c r="V1245" s="38"/>
      <c r="W1245" s="40"/>
      <c r="X1245" s="40"/>
      <c r="Y1245" s="38"/>
      <c r="Z1245" s="38"/>
      <c r="AA1245" s="38"/>
      <c r="AB1245" s="38"/>
      <c r="AC1245" s="38"/>
      <c r="AD1245" s="38"/>
      <c r="AE1245" s="38"/>
      <c r="AF1245" s="38"/>
      <c r="AG1245" s="38"/>
      <c r="AH1245" s="38"/>
      <c r="AI1245" s="38"/>
      <c r="AJ1245" s="38"/>
      <c r="AK1245" s="38"/>
      <c r="AL1245" s="38"/>
      <c r="AM1245" s="38"/>
      <c r="AN1245" s="38"/>
      <c r="AO1245" s="38"/>
      <c r="AP1245" s="38"/>
      <c r="AQ1245" s="38"/>
      <c r="AR1245" s="38"/>
      <c r="AS1245" s="38"/>
      <c r="AT1245" s="38"/>
      <c r="AU1245" s="38"/>
      <c r="AV1245" s="38"/>
      <c r="AW1245" s="38"/>
      <c r="AX1245" s="38"/>
      <c r="AY1245" s="38"/>
      <c r="AZ1245" s="38"/>
      <c r="BA1245" s="38"/>
      <c r="BB1245" s="38"/>
      <c r="BC1245" s="38"/>
      <c r="BD1245" s="38"/>
      <c r="BE1245" s="38"/>
      <c r="BF1245" s="38"/>
      <c r="BG1245" s="38"/>
      <c r="BH1245" s="38"/>
      <c r="BI1245" s="38"/>
      <c r="BJ1245" s="38"/>
      <c r="BK1245" s="38"/>
      <c r="BL1245" s="38"/>
      <c r="BM1245" s="38"/>
      <c r="BN1245" s="38"/>
      <c r="BO1245" s="38"/>
      <c r="BP1245" s="38"/>
      <c r="BQ1245" s="38"/>
    </row>
    <row r="1246">
      <c r="B1246" s="341"/>
      <c r="C1246" s="60"/>
      <c r="D1246" s="60"/>
      <c r="E1246" s="58"/>
      <c r="F1246" s="58"/>
      <c r="G1246" s="58"/>
      <c r="H1246" s="33" t="str">
        <f t="shared" si="33"/>
        <v/>
      </c>
      <c r="I1246" s="58"/>
      <c r="J1246" s="58"/>
      <c r="K1246" s="58"/>
      <c r="L1246" s="58"/>
      <c r="M1246" s="80"/>
      <c r="N1246" s="77"/>
      <c r="O1246" s="62"/>
      <c r="P1246" s="62"/>
      <c r="Q1246" s="62"/>
      <c r="R1246" s="62"/>
      <c r="S1246" s="37" t="str">
        <f>IFERROR(__xludf.DUMMYFUNCTION("if(not(iserror(index(split(C1246, "" ""),2))), index(split(C1246, "" ""),1),"""")"),"")</f>
        <v/>
      </c>
      <c r="T1246" s="315" t="str">
        <f>IFERROR(__xludf.DUMMYFUNCTION("if(S1246="""",C1246,if(not(iserror(index(split(C1246, "" ""),3))), index(split(C1246, "" ""),3),index(split(C1246, "" ""),2)))"),"")</f>
        <v/>
      </c>
      <c r="U1246" s="38" t="b">
        <f t="shared" si="34"/>
        <v>0</v>
      </c>
      <c r="V1246" s="38"/>
      <c r="W1246" s="40"/>
      <c r="X1246" s="40"/>
      <c r="Y1246" s="38"/>
      <c r="Z1246" s="38"/>
      <c r="AA1246" s="38"/>
      <c r="AB1246" s="38"/>
      <c r="AC1246" s="38"/>
      <c r="AD1246" s="38"/>
      <c r="AE1246" s="38"/>
      <c r="AF1246" s="38"/>
      <c r="AG1246" s="38"/>
      <c r="AH1246" s="38"/>
      <c r="AI1246" s="38"/>
      <c r="AJ1246" s="38"/>
      <c r="AK1246" s="38"/>
      <c r="AL1246" s="38"/>
      <c r="AM1246" s="38"/>
      <c r="AN1246" s="38"/>
      <c r="AO1246" s="38"/>
      <c r="AP1246" s="38"/>
      <c r="AQ1246" s="38"/>
      <c r="AR1246" s="38"/>
      <c r="AS1246" s="38"/>
      <c r="AT1246" s="38"/>
      <c r="AU1246" s="38"/>
      <c r="AV1246" s="38"/>
      <c r="AW1246" s="38"/>
      <c r="AX1246" s="38"/>
      <c r="AY1246" s="38"/>
      <c r="AZ1246" s="38"/>
      <c r="BA1246" s="38"/>
      <c r="BB1246" s="38"/>
      <c r="BC1246" s="38"/>
      <c r="BD1246" s="38"/>
      <c r="BE1246" s="38"/>
      <c r="BF1246" s="38"/>
      <c r="BG1246" s="38"/>
      <c r="BH1246" s="38"/>
      <c r="BI1246" s="38"/>
      <c r="BJ1246" s="38"/>
      <c r="BK1246" s="38"/>
      <c r="BL1246" s="38"/>
      <c r="BM1246" s="38"/>
      <c r="BN1246" s="38"/>
      <c r="BO1246" s="38"/>
      <c r="BP1246" s="38"/>
      <c r="BQ1246" s="38"/>
    </row>
    <row r="1247">
      <c r="B1247" s="341"/>
      <c r="C1247" s="60"/>
      <c r="D1247" s="60"/>
      <c r="E1247" s="58"/>
      <c r="F1247" s="58"/>
      <c r="G1247" s="58"/>
      <c r="H1247" s="33" t="str">
        <f t="shared" si="33"/>
        <v/>
      </c>
      <c r="I1247" s="58"/>
      <c r="J1247" s="58"/>
      <c r="K1247" s="58"/>
      <c r="L1247" s="58"/>
      <c r="M1247" s="80"/>
      <c r="N1247" s="77"/>
      <c r="O1247" s="62"/>
      <c r="P1247" s="62"/>
      <c r="Q1247" s="62"/>
      <c r="R1247" s="62"/>
      <c r="S1247" s="37" t="str">
        <f>IFERROR(__xludf.DUMMYFUNCTION("if(not(iserror(index(split(C1247, "" ""),2))), index(split(C1247, "" ""),1),"""")"),"")</f>
        <v/>
      </c>
      <c r="T1247" s="315" t="str">
        <f>IFERROR(__xludf.DUMMYFUNCTION("if(S1247="""",C1247,if(not(iserror(index(split(C1247, "" ""),3))), index(split(C1247, "" ""),3),index(split(C1247, "" ""),2)))"),"")</f>
        <v/>
      </c>
      <c r="U1247" s="38" t="b">
        <f t="shared" si="34"/>
        <v>0</v>
      </c>
      <c r="V1247" s="38"/>
      <c r="W1247" s="40"/>
      <c r="X1247" s="40"/>
      <c r="Y1247" s="38"/>
      <c r="Z1247" s="38"/>
      <c r="AA1247" s="38"/>
      <c r="AB1247" s="38"/>
      <c r="AC1247" s="38"/>
      <c r="AD1247" s="38"/>
      <c r="AE1247" s="38"/>
      <c r="AF1247" s="38"/>
      <c r="AG1247" s="38"/>
      <c r="AH1247" s="38"/>
      <c r="AI1247" s="38"/>
      <c r="AJ1247" s="38"/>
      <c r="AK1247" s="38"/>
      <c r="AL1247" s="38"/>
      <c r="AM1247" s="38"/>
      <c r="AN1247" s="38"/>
      <c r="AO1247" s="38"/>
      <c r="AP1247" s="38"/>
      <c r="AQ1247" s="38"/>
      <c r="AR1247" s="38"/>
      <c r="AS1247" s="38"/>
      <c r="AT1247" s="38"/>
      <c r="AU1247" s="38"/>
      <c r="AV1247" s="38"/>
      <c r="AW1247" s="38"/>
      <c r="AX1247" s="38"/>
      <c r="AY1247" s="38"/>
      <c r="AZ1247" s="38"/>
      <c r="BA1247" s="38"/>
      <c r="BB1247" s="38"/>
      <c r="BC1247" s="38"/>
      <c r="BD1247" s="38"/>
      <c r="BE1247" s="38"/>
      <c r="BF1247" s="38"/>
      <c r="BG1247" s="38"/>
      <c r="BH1247" s="38"/>
      <c r="BI1247" s="38"/>
      <c r="BJ1247" s="38"/>
      <c r="BK1247" s="38"/>
      <c r="BL1247" s="38"/>
      <c r="BM1247" s="38"/>
      <c r="BN1247" s="38"/>
      <c r="BO1247" s="38"/>
      <c r="BP1247" s="38"/>
      <c r="BQ1247" s="38"/>
    </row>
    <row r="1248">
      <c r="A1248" s="58"/>
      <c r="B1248" s="341"/>
      <c r="C1248" s="60"/>
      <c r="D1248" s="60"/>
      <c r="E1248" s="58"/>
      <c r="F1248" s="58"/>
      <c r="G1248" s="58"/>
      <c r="H1248" s="33" t="str">
        <f t="shared" si="33"/>
        <v/>
      </c>
      <c r="I1248" s="58"/>
      <c r="J1248" s="58"/>
      <c r="K1248" s="58"/>
      <c r="L1248" s="58"/>
      <c r="M1248" s="80"/>
      <c r="N1248" s="77"/>
      <c r="O1248" s="62"/>
      <c r="P1248" s="62"/>
      <c r="Q1248" s="62"/>
      <c r="R1248" s="62"/>
      <c r="S1248" s="37" t="str">
        <f>IFERROR(__xludf.DUMMYFUNCTION("if(not(iserror(index(split(C1248, "" ""),2))), index(split(C1248, "" ""),1),"""")"),"")</f>
        <v/>
      </c>
      <c r="T1248" s="315" t="str">
        <f>IFERROR(__xludf.DUMMYFUNCTION("if(S1248="""",C1248,if(not(iserror(index(split(C1248, "" ""),3))), index(split(C1248, "" ""),3),index(split(C1248, "" ""),2)))"),"")</f>
        <v/>
      </c>
      <c r="U1248" s="38" t="b">
        <f t="shared" si="34"/>
        <v>0</v>
      </c>
      <c r="V1248" s="38"/>
      <c r="W1248" s="40"/>
      <c r="X1248" s="40"/>
      <c r="Y1248" s="38"/>
      <c r="Z1248" s="38"/>
      <c r="AA1248" s="38"/>
      <c r="AB1248" s="38"/>
      <c r="AC1248" s="38"/>
      <c r="AD1248" s="38"/>
      <c r="AE1248" s="38"/>
      <c r="AF1248" s="38"/>
      <c r="AG1248" s="38"/>
      <c r="AH1248" s="38"/>
      <c r="AI1248" s="38"/>
      <c r="AJ1248" s="38"/>
      <c r="AK1248" s="38"/>
      <c r="AL1248" s="38"/>
      <c r="AM1248" s="38"/>
      <c r="AN1248" s="38"/>
      <c r="AO1248" s="38"/>
      <c r="AP1248" s="38"/>
      <c r="AQ1248" s="38"/>
      <c r="AR1248" s="38"/>
      <c r="AS1248" s="38"/>
      <c r="AT1248" s="38"/>
      <c r="AU1248" s="38"/>
      <c r="AV1248" s="38"/>
      <c r="AW1248" s="38"/>
      <c r="AX1248" s="38"/>
      <c r="AY1248" s="38"/>
      <c r="AZ1248" s="38"/>
      <c r="BA1248" s="38"/>
      <c r="BB1248" s="38"/>
      <c r="BC1248" s="38"/>
      <c r="BD1248" s="38"/>
      <c r="BE1248" s="38"/>
      <c r="BF1248" s="38"/>
      <c r="BG1248" s="38"/>
      <c r="BH1248" s="38"/>
      <c r="BI1248" s="38"/>
      <c r="BJ1248" s="38"/>
      <c r="BK1248" s="38"/>
      <c r="BL1248" s="38"/>
      <c r="BM1248" s="38"/>
      <c r="BN1248" s="38"/>
      <c r="BO1248" s="38"/>
      <c r="BP1248" s="38"/>
      <c r="BQ1248" s="38"/>
    </row>
    <row r="1249">
      <c r="A1249" s="58"/>
      <c r="B1249" s="341"/>
      <c r="C1249" s="60"/>
      <c r="D1249" s="60"/>
      <c r="E1249" s="58"/>
      <c r="F1249" s="58"/>
      <c r="G1249" s="58"/>
      <c r="H1249" s="33" t="str">
        <f t="shared" si="33"/>
        <v/>
      </c>
      <c r="I1249" s="58"/>
      <c r="J1249" s="58"/>
      <c r="K1249" s="58"/>
      <c r="L1249" s="58"/>
      <c r="M1249" s="80"/>
      <c r="N1249" s="77"/>
      <c r="O1249" s="62"/>
      <c r="P1249" s="62"/>
      <c r="Q1249" s="62"/>
      <c r="R1249" s="62"/>
      <c r="S1249" s="37" t="str">
        <f>IFERROR(__xludf.DUMMYFUNCTION("if(not(iserror(index(split(C1249, "" ""),2))), index(split(C1249, "" ""),1),"""")"),"")</f>
        <v/>
      </c>
      <c r="T1249" s="315" t="str">
        <f>IFERROR(__xludf.DUMMYFUNCTION("if(S1249="""",C1249,if(not(iserror(index(split(C1249, "" ""),3))), index(split(C1249, "" ""),3),index(split(C1249, "" ""),2)))"),"")</f>
        <v/>
      </c>
      <c r="U1249" s="38" t="b">
        <f t="shared" si="34"/>
        <v>0</v>
      </c>
      <c r="V1249" s="38"/>
      <c r="W1249" s="40"/>
      <c r="X1249" s="40"/>
      <c r="Y1249" s="38"/>
      <c r="Z1249" s="38"/>
      <c r="AA1249" s="38"/>
      <c r="AB1249" s="38"/>
      <c r="AC1249" s="38"/>
      <c r="AD1249" s="38"/>
      <c r="AE1249" s="38"/>
      <c r="AF1249" s="38"/>
      <c r="AG1249" s="38"/>
      <c r="AH1249" s="38"/>
      <c r="AI1249" s="38"/>
      <c r="AJ1249" s="38"/>
      <c r="AK1249" s="38"/>
      <c r="AL1249" s="38"/>
      <c r="AM1249" s="38"/>
      <c r="AN1249" s="38"/>
      <c r="AO1249" s="38"/>
      <c r="AP1249" s="38"/>
      <c r="AQ1249" s="38"/>
      <c r="AR1249" s="38"/>
      <c r="AS1249" s="38"/>
      <c r="AT1249" s="38"/>
      <c r="AU1249" s="38"/>
      <c r="AV1249" s="38"/>
      <c r="AW1249" s="38"/>
      <c r="AX1249" s="38"/>
      <c r="AY1249" s="38"/>
      <c r="AZ1249" s="38"/>
      <c r="BA1249" s="38"/>
      <c r="BB1249" s="38"/>
      <c r="BC1249" s="38"/>
      <c r="BD1249" s="38"/>
      <c r="BE1249" s="38"/>
      <c r="BF1249" s="38"/>
      <c r="BG1249" s="38"/>
      <c r="BH1249" s="38"/>
      <c r="BI1249" s="38"/>
      <c r="BJ1249" s="38"/>
      <c r="BK1249" s="38"/>
      <c r="BL1249" s="38"/>
      <c r="BM1249" s="38"/>
      <c r="BN1249" s="38"/>
      <c r="BO1249" s="38"/>
      <c r="BP1249" s="38"/>
      <c r="BQ1249" s="38"/>
    </row>
    <row r="1250">
      <c r="A1250" s="58"/>
      <c r="B1250" s="341"/>
      <c r="C1250" s="60"/>
      <c r="D1250" s="60"/>
      <c r="E1250" s="58"/>
      <c r="F1250" s="58"/>
      <c r="G1250" s="58"/>
      <c r="H1250" s="33" t="str">
        <f t="shared" si="33"/>
        <v/>
      </c>
      <c r="I1250" s="58"/>
      <c r="J1250" s="58"/>
      <c r="K1250" s="58"/>
      <c r="L1250" s="58"/>
      <c r="M1250" s="80"/>
      <c r="N1250" s="77"/>
      <c r="O1250" s="62"/>
      <c r="P1250" s="62"/>
      <c r="Q1250" s="62"/>
      <c r="R1250" s="62"/>
      <c r="S1250" s="37" t="str">
        <f>IFERROR(__xludf.DUMMYFUNCTION("if(not(iserror(index(split(C1250, "" ""),2))), index(split(C1250, "" ""),1),"""")"),"")</f>
        <v/>
      </c>
      <c r="T1250" s="315" t="str">
        <f>IFERROR(__xludf.DUMMYFUNCTION("if(S1250="""",C1250,if(not(iserror(index(split(C1250, "" ""),3))), index(split(C1250, "" ""),3),index(split(C1250, "" ""),2)))"),"")</f>
        <v/>
      </c>
      <c r="U1250" s="38" t="b">
        <f t="shared" si="34"/>
        <v>0</v>
      </c>
      <c r="V1250" s="38"/>
      <c r="W1250" s="40"/>
      <c r="X1250" s="40"/>
      <c r="Y1250" s="38"/>
      <c r="Z1250" s="38"/>
      <c r="AA1250" s="38"/>
      <c r="AB1250" s="38"/>
      <c r="AC1250" s="38"/>
      <c r="AD1250" s="38"/>
      <c r="AE1250" s="38"/>
      <c r="AF1250" s="38"/>
      <c r="AG1250" s="38"/>
      <c r="AH1250" s="38"/>
      <c r="AI1250" s="38"/>
      <c r="AJ1250" s="38"/>
      <c r="AK1250" s="38"/>
      <c r="AL1250" s="38"/>
      <c r="AM1250" s="38"/>
      <c r="AN1250" s="38"/>
      <c r="AO1250" s="38"/>
      <c r="AP1250" s="38"/>
      <c r="AQ1250" s="38"/>
      <c r="AR1250" s="38"/>
      <c r="AS1250" s="38"/>
      <c r="AT1250" s="38"/>
      <c r="AU1250" s="38"/>
      <c r="AV1250" s="38"/>
      <c r="AW1250" s="38"/>
      <c r="AX1250" s="38"/>
      <c r="AY1250" s="38"/>
      <c r="AZ1250" s="38"/>
      <c r="BA1250" s="38"/>
      <c r="BB1250" s="38"/>
      <c r="BC1250" s="38"/>
      <c r="BD1250" s="38"/>
      <c r="BE1250" s="38"/>
      <c r="BF1250" s="38"/>
      <c r="BG1250" s="38"/>
      <c r="BH1250" s="38"/>
      <c r="BI1250" s="38"/>
      <c r="BJ1250" s="38"/>
      <c r="BK1250" s="38"/>
      <c r="BL1250" s="38"/>
      <c r="BM1250" s="38"/>
      <c r="BN1250" s="38"/>
      <c r="BO1250" s="38"/>
      <c r="BP1250" s="38"/>
      <c r="BQ1250" s="38"/>
    </row>
    <row r="1251">
      <c r="B1251" s="341"/>
      <c r="C1251" s="60"/>
      <c r="D1251" s="60"/>
      <c r="E1251" s="58"/>
      <c r="F1251" s="58"/>
      <c r="G1251" s="58"/>
      <c r="H1251" s="33" t="str">
        <f t="shared" si="33"/>
        <v/>
      </c>
      <c r="I1251" s="58"/>
      <c r="J1251" s="58"/>
      <c r="K1251" s="58"/>
      <c r="L1251" s="58"/>
      <c r="M1251" s="80"/>
      <c r="N1251" s="77"/>
      <c r="O1251" s="62"/>
      <c r="P1251" s="62"/>
      <c r="Q1251" s="62"/>
      <c r="R1251" s="62"/>
      <c r="S1251" s="37" t="str">
        <f>IFERROR(__xludf.DUMMYFUNCTION("if(not(iserror(index(split(C1251, "" ""),2))), index(split(C1251, "" ""),1),"""")"),"")</f>
        <v/>
      </c>
      <c r="T1251" s="315" t="str">
        <f>IFERROR(__xludf.DUMMYFUNCTION("if(S1251="""",C1251,if(not(iserror(index(split(C1251, "" ""),3))), index(split(C1251, "" ""),3),index(split(C1251, "" ""),2)))"),"")</f>
        <v/>
      </c>
      <c r="U1251" s="38" t="b">
        <f t="shared" si="34"/>
        <v>0</v>
      </c>
      <c r="V1251" s="38"/>
      <c r="W1251" s="40"/>
      <c r="X1251" s="40"/>
      <c r="Y1251" s="38"/>
      <c r="Z1251" s="38"/>
      <c r="AA1251" s="38"/>
      <c r="AB1251" s="38"/>
      <c r="AC1251" s="38"/>
      <c r="AD1251" s="38"/>
      <c r="AE1251" s="38"/>
      <c r="AF1251" s="38"/>
      <c r="AG1251" s="38"/>
      <c r="AH1251" s="38"/>
      <c r="AI1251" s="38"/>
      <c r="AJ1251" s="38"/>
      <c r="AK1251" s="38"/>
      <c r="AL1251" s="38"/>
      <c r="AM1251" s="38"/>
      <c r="AN1251" s="38"/>
      <c r="AO1251" s="38"/>
      <c r="AP1251" s="38"/>
      <c r="AQ1251" s="38"/>
      <c r="AR1251" s="38"/>
      <c r="AS1251" s="38"/>
      <c r="AT1251" s="38"/>
      <c r="AU1251" s="38"/>
      <c r="AV1251" s="38"/>
      <c r="AW1251" s="38"/>
      <c r="AX1251" s="38"/>
      <c r="AY1251" s="38"/>
      <c r="AZ1251" s="38"/>
      <c r="BA1251" s="38"/>
      <c r="BB1251" s="38"/>
      <c r="BC1251" s="38"/>
      <c r="BD1251" s="38"/>
      <c r="BE1251" s="38"/>
      <c r="BF1251" s="38"/>
      <c r="BG1251" s="38"/>
      <c r="BH1251" s="38"/>
      <c r="BI1251" s="38"/>
      <c r="BJ1251" s="38"/>
      <c r="BK1251" s="38"/>
      <c r="BL1251" s="38"/>
      <c r="BM1251" s="38"/>
      <c r="BN1251" s="38"/>
      <c r="BO1251" s="38"/>
      <c r="BP1251" s="38"/>
      <c r="BQ1251" s="38"/>
    </row>
    <row r="1252">
      <c r="A1252" s="58"/>
      <c r="B1252" s="341"/>
      <c r="C1252" s="60"/>
      <c r="D1252" s="60"/>
      <c r="E1252" s="58"/>
      <c r="F1252" s="58"/>
      <c r="G1252" s="58"/>
      <c r="H1252" s="33" t="str">
        <f t="shared" si="33"/>
        <v/>
      </c>
      <c r="I1252" s="58"/>
      <c r="J1252" s="58"/>
      <c r="K1252" s="58"/>
      <c r="L1252" s="58"/>
      <c r="M1252" s="80"/>
      <c r="N1252" s="77"/>
      <c r="O1252" s="62"/>
      <c r="P1252" s="62"/>
      <c r="Q1252" s="62"/>
      <c r="R1252" s="62"/>
      <c r="S1252" s="37" t="str">
        <f>IFERROR(__xludf.DUMMYFUNCTION("if(not(iserror(index(split(C1252, "" ""),2))), index(split(C1252, "" ""),1),"""")"),"")</f>
        <v/>
      </c>
      <c r="T1252" s="315" t="str">
        <f>IFERROR(__xludf.DUMMYFUNCTION("if(S1252="""",C1252,if(not(iserror(index(split(C1252, "" ""),3))), index(split(C1252, "" ""),3),index(split(C1252, "" ""),2)))"),"")</f>
        <v/>
      </c>
      <c r="U1252" s="38" t="b">
        <f t="shared" si="34"/>
        <v>0</v>
      </c>
      <c r="V1252" s="38"/>
      <c r="W1252" s="40"/>
      <c r="X1252" s="40"/>
      <c r="Y1252" s="38"/>
      <c r="Z1252" s="38"/>
      <c r="AA1252" s="38"/>
      <c r="AB1252" s="38"/>
      <c r="AC1252" s="38"/>
      <c r="AD1252" s="38"/>
      <c r="AE1252" s="38"/>
      <c r="AF1252" s="38"/>
      <c r="AG1252" s="38"/>
      <c r="AH1252" s="38"/>
      <c r="AI1252" s="38"/>
      <c r="AJ1252" s="38"/>
      <c r="AK1252" s="38"/>
      <c r="AL1252" s="38"/>
      <c r="AM1252" s="38"/>
      <c r="AN1252" s="38"/>
      <c r="AO1252" s="38"/>
      <c r="AP1252" s="38"/>
      <c r="AQ1252" s="38"/>
      <c r="AR1252" s="38"/>
      <c r="AS1252" s="38"/>
      <c r="AT1252" s="38"/>
      <c r="AU1252" s="38"/>
      <c r="AV1252" s="38"/>
      <c r="AW1252" s="38"/>
      <c r="AX1252" s="38"/>
      <c r="AY1252" s="38"/>
      <c r="AZ1252" s="38"/>
      <c r="BA1252" s="38"/>
      <c r="BB1252" s="38"/>
      <c r="BC1252" s="38"/>
      <c r="BD1252" s="38"/>
      <c r="BE1252" s="38"/>
      <c r="BF1252" s="38"/>
      <c r="BG1252" s="38"/>
      <c r="BH1252" s="38"/>
      <c r="BI1252" s="38"/>
      <c r="BJ1252" s="38"/>
      <c r="BK1252" s="38"/>
      <c r="BL1252" s="38"/>
      <c r="BM1252" s="38"/>
      <c r="BN1252" s="38"/>
      <c r="BO1252" s="38"/>
      <c r="BP1252" s="38"/>
      <c r="BQ1252" s="38"/>
    </row>
    <row r="1253">
      <c r="A1253" s="58"/>
      <c r="B1253" s="341"/>
      <c r="C1253" s="60"/>
      <c r="D1253" s="60"/>
      <c r="E1253" s="58"/>
      <c r="F1253" s="58"/>
      <c r="G1253" s="58"/>
      <c r="H1253" s="33" t="str">
        <f t="shared" si="33"/>
        <v/>
      </c>
      <c r="I1253" s="58"/>
      <c r="J1253" s="58"/>
      <c r="K1253" s="58"/>
      <c r="L1253" s="58"/>
      <c r="M1253" s="80"/>
      <c r="N1253" s="77"/>
      <c r="O1253" s="62"/>
      <c r="P1253" s="62"/>
      <c r="Q1253" s="62"/>
      <c r="R1253" s="62"/>
      <c r="S1253" s="37" t="str">
        <f>IFERROR(__xludf.DUMMYFUNCTION("if(not(iserror(index(split(C1253, "" ""),2))), index(split(C1253, "" ""),1),"""")"),"")</f>
        <v/>
      </c>
      <c r="T1253" s="315" t="str">
        <f>IFERROR(__xludf.DUMMYFUNCTION("if(S1253="""",C1253,if(not(iserror(index(split(C1253, "" ""),3))), index(split(C1253, "" ""),3),index(split(C1253, "" ""),2)))"),"")</f>
        <v/>
      </c>
      <c r="U1253" s="38" t="b">
        <f t="shared" si="34"/>
        <v>0</v>
      </c>
      <c r="V1253" s="38"/>
      <c r="W1253" s="40"/>
      <c r="X1253" s="40"/>
      <c r="Y1253" s="38"/>
      <c r="Z1253" s="38"/>
      <c r="AA1253" s="38"/>
      <c r="AB1253" s="38"/>
      <c r="AC1253" s="38"/>
      <c r="AD1253" s="38"/>
      <c r="AE1253" s="38"/>
      <c r="AF1253" s="38"/>
      <c r="AG1253" s="38"/>
      <c r="AH1253" s="38"/>
      <c r="AI1253" s="38"/>
      <c r="AJ1253" s="38"/>
      <c r="AK1253" s="38"/>
      <c r="AL1253" s="38"/>
      <c r="AM1253" s="38"/>
      <c r="AN1253" s="38"/>
      <c r="AO1253" s="38"/>
      <c r="AP1253" s="38"/>
      <c r="AQ1253" s="38"/>
      <c r="AR1253" s="38"/>
      <c r="AS1253" s="38"/>
      <c r="AT1253" s="38"/>
      <c r="AU1253" s="38"/>
      <c r="AV1253" s="38"/>
      <c r="AW1253" s="38"/>
      <c r="AX1253" s="38"/>
      <c r="AY1253" s="38"/>
      <c r="AZ1253" s="38"/>
      <c r="BA1253" s="38"/>
      <c r="BB1253" s="38"/>
      <c r="BC1253" s="38"/>
      <c r="BD1253" s="38"/>
      <c r="BE1253" s="38"/>
      <c r="BF1253" s="38"/>
      <c r="BG1253" s="38"/>
      <c r="BH1253" s="38"/>
      <c r="BI1253" s="38"/>
      <c r="BJ1253" s="38"/>
      <c r="BK1253" s="38"/>
      <c r="BL1253" s="38"/>
      <c r="BM1253" s="38"/>
      <c r="BN1253" s="38"/>
      <c r="BO1253" s="38"/>
      <c r="BP1253" s="38"/>
      <c r="BQ1253" s="38"/>
    </row>
    <row r="1254">
      <c r="A1254" s="58"/>
      <c r="B1254" s="341"/>
      <c r="C1254" s="60"/>
      <c r="D1254" s="60"/>
      <c r="E1254" s="58"/>
      <c r="F1254" s="58"/>
      <c r="G1254" s="58"/>
      <c r="H1254" s="33" t="str">
        <f t="shared" si="33"/>
        <v/>
      </c>
      <c r="I1254" s="58"/>
      <c r="J1254" s="58"/>
      <c r="K1254" s="58"/>
      <c r="L1254" s="58"/>
      <c r="M1254" s="106"/>
      <c r="N1254" s="77"/>
      <c r="O1254" s="62"/>
      <c r="P1254" s="62"/>
      <c r="Q1254" s="62"/>
      <c r="R1254" s="62"/>
      <c r="S1254" s="37" t="str">
        <f>IFERROR(__xludf.DUMMYFUNCTION("if(not(iserror(index(split(C1254, "" ""),2))), index(split(C1254, "" ""),1),"""")"),"")</f>
        <v/>
      </c>
      <c r="T1254" s="315" t="str">
        <f>IFERROR(__xludf.DUMMYFUNCTION("if(S1254="""",C1254,if(not(iserror(index(split(C1254, "" ""),3))), index(split(C1254, "" ""),3),index(split(C1254, "" ""),2)))"),"")</f>
        <v/>
      </c>
      <c r="U1254" s="38" t="b">
        <f t="shared" si="34"/>
        <v>0</v>
      </c>
      <c r="V1254" s="38"/>
      <c r="W1254" s="40"/>
      <c r="X1254" s="40"/>
      <c r="Y1254" s="38"/>
      <c r="Z1254" s="38"/>
      <c r="AA1254" s="38"/>
      <c r="AB1254" s="38"/>
      <c r="AC1254" s="38"/>
      <c r="AD1254" s="38"/>
      <c r="AE1254" s="38"/>
      <c r="AF1254" s="38"/>
      <c r="AG1254" s="38"/>
      <c r="AH1254" s="38"/>
      <c r="AI1254" s="38"/>
      <c r="AJ1254" s="38"/>
      <c r="AK1254" s="38"/>
      <c r="AL1254" s="38"/>
      <c r="AM1254" s="38"/>
      <c r="AN1254" s="38"/>
      <c r="AO1254" s="38"/>
      <c r="AP1254" s="38"/>
      <c r="AQ1254" s="38"/>
      <c r="AR1254" s="38"/>
      <c r="AS1254" s="38"/>
      <c r="AT1254" s="38"/>
      <c r="AU1254" s="38"/>
      <c r="AV1254" s="38"/>
      <c r="AW1254" s="38"/>
      <c r="AX1254" s="38"/>
      <c r="AY1254" s="38"/>
      <c r="AZ1254" s="38"/>
      <c r="BA1254" s="38"/>
      <c r="BB1254" s="38"/>
      <c r="BC1254" s="38"/>
      <c r="BD1254" s="38"/>
      <c r="BE1254" s="38"/>
      <c r="BF1254" s="38"/>
      <c r="BG1254" s="38"/>
      <c r="BH1254" s="38"/>
      <c r="BI1254" s="38"/>
      <c r="BJ1254" s="38"/>
      <c r="BK1254" s="38"/>
      <c r="BL1254" s="38"/>
      <c r="BM1254" s="38"/>
      <c r="BN1254" s="38"/>
      <c r="BO1254" s="38"/>
      <c r="BP1254" s="38"/>
      <c r="BQ1254" s="38"/>
    </row>
    <row r="1255">
      <c r="A1255" s="58"/>
      <c r="B1255" s="341"/>
      <c r="C1255" s="60"/>
      <c r="D1255" s="60"/>
      <c r="E1255" s="58"/>
      <c r="F1255" s="58"/>
      <c r="G1255" s="58"/>
      <c r="H1255" s="33" t="str">
        <f t="shared" si="33"/>
        <v/>
      </c>
      <c r="I1255" s="58"/>
      <c r="J1255" s="58"/>
      <c r="K1255" s="58"/>
      <c r="L1255" s="58"/>
      <c r="M1255" s="106"/>
      <c r="N1255" s="77"/>
      <c r="O1255" s="62"/>
      <c r="P1255" s="62"/>
      <c r="Q1255" s="62"/>
      <c r="R1255" s="62"/>
      <c r="S1255" s="37" t="str">
        <f>IFERROR(__xludf.DUMMYFUNCTION("if(not(iserror(index(split(C1255, "" ""),2))), index(split(C1255, "" ""),1),"""")"),"")</f>
        <v/>
      </c>
      <c r="T1255" s="315" t="str">
        <f>IFERROR(__xludf.DUMMYFUNCTION("if(S1255="""",C1255,if(not(iserror(index(split(C1255, "" ""),3))), index(split(C1255, "" ""),3),index(split(C1255, "" ""),2)))"),"")</f>
        <v/>
      </c>
      <c r="U1255" s="38" t="b">
        <f t="shared" si="34"/>
        <v>0</v>
      </c>
      <c r="V1255" s="38"/>
      <c r="W1255" s="40"/>
      <c r="X1255" s="40"/>
      <c r="Y1255" s="38"/>
      <c r="Z1255" s="38"/>
      <c r="AA1255" s="38"/>
      <c r="AB1255" s="38"/>
      <c r="AC1255" s="38"/>
      <c r="AD1255" s="38"/>
      <c r="AE1255" s="38"/>
      <c r="AF1255" s="38"/>
      <c r="AG1255" s="38"/>
      <c r="AH1255" s="38"/>
      <c r="AI1255" s="38"/>
      <c r="AJ1255" s="38"/>
      <c r="AK1255" s="38"/>
      <c r="AL1255" s="38"/>
      <c r="AM1255" s="38"/>
      <c r="AN1255" s="38"/>
      <c r="AO1255" s="38"/>
      <c r="AP1255" s="38"/>
      <c r="AQ1255" s="38"/>
      <c r="AR1255" s="38"/>
      <c r="AS1255" s="38"/>
      <c r="AT1255" s="38"/>
      <c r="AU1255" s="38"/>
      <c r="AV1255" s="38"/>
      <c r="AW1255" s="38"/>
      <c r="AX1255" s="38"/>
      <c r="AY1255" s="38"/>
      <c r="AZ1255" s="38"/>
      <c r="BA1255" s="38"/>
      <c r="BB1255" s="38"/>
      <c r="BC1255" s="38"/>
      <c r="BD1255" s="38"/>
      <c r="BE1255" s="38"/>
      <c r="BF1255" s="38"/>
      <c r="BG1255" s="38"/>
      <c r="BH1255" s="38"/>
      <c r="BI1255" s="38"/>
      <c r="BJ1255" s="38"/>
      <c r="BK1255" s="38"/>
      <c r="BL1255" s="38"/>
      <c r="BM1255" s="38"/>
      <c r="BN1255" s="38"/>
      <c r="BO1255" s="38"/>
      <c r="BP1255" s="38"/>
      <c r="BQ1255" s="38"/>
    </row>
    <row r="1256">
      <c r="A1256" s="58"/>
      <c r="B1256" s="341"/>
      <c r="C1256" s="60"/>
      <c r="D1256" s="60"/>
      <c r="E1256" s="58"/>
      <c r="F1256" s="58"/>
      <c r="G1256" s="58"/>
      <c r="H1256" s="33" t="str">
        <f t="shared" si="33"/>
        <v/>
      </c>
      <c r="I1256" s="58"/>
      <c r="J1256" s="58"/>
      <c r="K1256" s="58"/>
      <c r="L1256" s="58"/>
      <c r="M1256" s="106"/>
      <c r="N1256" s="77"/>
      <c r="O1256" s="62"/>
      <c r="P1256" s="62"/>
      <c r="Q1256" s="62"/>
      <c r="R1256" s="62"/>
      <c r="S1256" s="37" t="str">
        <f>IFERROR(__xludf.DUMMYFUNCTION("if(not(iserror(index(split(C1256, "" ""),2))), index(split(C1256, "" ""),1),"""")"),"")</f>
        <v/>
      </c>
      <c r="T1256" s="315" t="str">
        <f>IFERROR(__xludf.DUMMYFUNCTION("if(S1256="""",C1256,if(not(iserror(index(split(C1256, "" ""),3))), index(split(C1256, "" ""),3),index(split(C1256, "" ""),2)))"),"")</f>
        <v/>
      </c>
      <c r="U1256" s="38" t="b">
        <f t="shared" si="34"/>
        <v>0</v>
      </c>
      <c r="V1256" s="38"/>
      <c r="W1256" s="40"/>
      <c r="X1256" s="40"/>
      <c r="Y1256" s="38"/>
      <c r="Z1256" s="38"/>
      <c r="AA1256" s="38"/>
      <c r="AB1256" s="38"/>
      <c r="AC1256" s="38"/>
      <c r="AD1256" s="38"/>
      <c r="AE1256" s="38"/>
      <c r="AF1256" s="38"/>
      <c r="AG1256" s="38"/>
      <c r="AH1256" s="38"/>
      <c r="AI1256" s="38"/>
      <c r="AJ1256" s="38"/>
      <c r="AK1256" s="38"/>
      <c r="AL1256" s="38"/>
      <c r="AM1256" s="38"/>
      <c r="AN1256" s="38"/>
      <c r="AO1256" s="38"/>
      <c r="AP1256" s="38"/>
      <c r="AQ1256" s="38"/>
      <c r="AR1256" s="38"/>
      <c r="AS1256" s="38"/>
      <c r="AT1256" s="38"/>
      <c r="AU1256" s="38"/>
      <c r="AV1256" s="38"/>
      <c r="AW1256" s="38"/>
      <c r="AX1256" s="38"/>
      <c r="AY1256" s="38"/>
      <c r="AZ1256" s="38"/>
      <c r="BA1256" s="38"/>
      <c r="BB1256" s="38"/>
      <c r="BC1256" s="38"/>
      <c r="BD1256" s="38"/>
      <c r="BE1256" s="38"/>
      <c r="BF1256" s="38"/>
      <c r="BG1256" s="38"/>
      <c r="BH1256" s="38"/>
      <c r="BI1256" s="38"/>
      <c r="BJ1256" s="38"/>
      <c r="BK1256" s="38"/>
      <c r="BL1256" s="38"/>
      <c r="BM1256" s="38"/>
      <c r="BN1256" s="38"/>
      <c r="BO1256" s="38"/>
      <c r="BP1256" s="38"/>
      <c r="BQ1256" s="38"/>
    </row>
    <row r="1257">
      <c r="A1257" s="58"/>
      <c r="B1257" s="341"/>
      <c r="C1257" s="60"/>
      <c r="D1257" s="60"/>
      <c r="E1257" s="58"/>
      <c r="F1257" s="58"/>
      <c r="G1257" s="58"/>
      <c r="H1257" s="33" t="str">
        <f t="shared" si="33"/>
        <v/>
      </c>
      <c r="I1257" s="58"/>
      <c r="J1257" s="58"/>
      <c r="K1257" s="58"/>
      <c r="L1257" s="58"/>
      <c r="M1257" s="80"/>
      <c r="N1257" s="77"/>
      <c r="O1257" s="62"/>
      <c r="P1257" s="62"/>
      <c r="Q1257" s="62"/>
      <c r="R1257" s="62"/>
      <c r="S1257" s="37" t="str">
        <f>IFERROR(__xludf.DUMMYFUNCTION("if(not(iserror(index(split(C1257, "" ""),2))), index(split(C1257, "" ""),1),"""")"),"")</f>
        <v/>
      </c>
      <c r="T1257" s="315" t="str">
        <f>IFERROR(__xludf.DUMMYFUNCTION("if(S1257="""",C1257,if(not(iserror(index(split(C1257, "" ""),3))), index(split(C1257, "" ""),3),index(split(C1257, "" ""),2)))"),"")</f>
        <v/>
      </c>
      <c r="U1257" s="38" t="b">
        <f t="shared" si="34"/>
        <v>0</v>
      </c>
      <c r="V1257" s="38"/>
      <c r="W1257" s="40"/>
      <c r="X1257" s="40"/>
      <c r="Y1257" s="38"/>
      <c r="Z1257" s="38"/>
      <c r="AA1257" s="38"/>
      <c r="AB1257" s="38"/>
      <c r="AC1257" s="38"/>
      <c r="AD1257" s="38"/>
      <c r="AE1257" s="38"/>
      <c r="AF1257" s="38"/>
      <c r="AG1257" s="38"/>
      <c r="AH1257" s="38"/>
      <c r="AI1257" s="38"/>
      <c r="AJ1257" s="38"/>
      <c r="AK1257" s="38"/>
      <c r="AL1257" s="38"/>
      <c r="AM1257" s="38"/>
      <c r="AN1257" s="38"/>
      <c r="AO1257" s="38"/>
      <c r="AP1257" s="38"/>
      <c r="AQ1257" s="38"/>
      <c r="AR1257" s="38"/>
      <c r="AS1257" s="38"/>
      <c r="AT1257" s="38"/>
      <c r="AU1257" s="38"/>
      <c r="AV1257" s="38"/>
      <c r="AW1257" s="38"/>
      <c r="AX1257" s="38"/>
      <c r="AY1257" s="38"/>
      <c r="AZ1257" s="38"/>
      <c r="BA1257" s="38"/>
      <c r="BB1257" s="38"/>
      <c r="BC1257" s="38"/>
      <c r="BD1257" s="38"/>
      <c r="BE1257" s="38"/>
      <c r="BF1257" s="38"/>
      <c r="BG1257" s="38"/>
      <c r="BH1257" s="38"/>
      <c r="BI1257" s="38"/>
      <c r="BJ1257" s="38"/>
      <c r="BK1257" s="38"/>
      <c r="BL1257" s="38"/>
      <c r="BM1257" s="38"/>
      <c r="BN1257" s="38"/>
      <c r="BO1257" s="38"/>
      <c r="BP1257" s="38"/>
      <c r="BQ1257" s="38"/>
    </row>
    <row r="1258">
      <c r="A1258" s="58"/>
      <c r="B1258" s="341"/>
      <c r="C1258" s="60"/>
      <c r="D1258" s="60"/>
      <c r="E1258" s="58"/>
      <c r="F1258" s="58"/>
      <c r="G1258" s="58"/>
      <c r="H1258" s="33" t="str">
        <f t="shared" si="33"/>
        <v/>
      </c>
      <c r="I1258" s="58"/>
      <c r="J1258" s="58"/>
      <c r="K1258" s="58"/>
      <c r="L1258" s="58"/>
      <c r="M1258" s="80"/>
      <c r="N1258" s="77"/>
      <c r="O1258" s="58"/>
      <c r="P1258" s="62"/>
      <c r="Q1258" s="84"/>
      <c r="R1258" s="62"/>
      <c r="S1258" s="37" t="str">
        <f>IFERROR(__xludf.DUMMYFUNCTION("if(not(iserror(index(split(C1258, "" ""),2))), index(split(C1258, "" ""),1),"""")"),"")</f>
        <v/>
      </c>
      <c r="T1258" s="315" t="str">
        <f>IFERROR(__xludf.DUMMYFUNCTION("if(S1258="""",C1258,if(not(iserror(index(split(C1258, "" ""),3))), index(split(C1258, "" ""),3),index(split(C1258, "" ""),2)))"),"")</f>
        <v/>
      </c>
      <c r="U1258" s="38" t="b">
        <f t="shared" si="34"/>
        <v>0</v>
      </c>
      <c r="V1258" s="38"/>
      <c r="W1258" s="40"/>
      <c r="X1258" s="40"/>
      <c r="Y1258" s="38"/>
      <c r="Z1258" s="38"/>
      <c r="AA1258" s="38"/>
      <c r="AB1258" s="38"/>
      <c r="AC1258" s="38"/>
      <c r="AD1258" s="38"/>
      <c r="AE1258" s="38"/>
      <c r="AF1258" s="38"/>
      <c r="AG1258" s="38"/>
      <c r="AH1258" s="38"/>
      <c r="AI1258" s="38"/>
      <c r="AJ1258" s="38"/>
      <c r="AK1258" s="38"/>
      <c r="AL1258" s="38"/>
      <c r="AM1258" s="38"/>
      <c r="AN1258" s="38"/>
      <c r="AO1258" s="38"/>
      <c r="AP1258" s="38"/>
      <c r="AQ1258" s="38"/>
      <c r="AR1258" s="38"/>
      <c r="AS1258" s="38"/>
      <c r="AT1258" s="38"/>
      <c r="AU1258" s="38"/>
      <c r="AV1258" s="38"/>
      <c r="AW1258" s="38"/>
      <c r="AX1258" s="38"/>
      <c r="AY1258" s="38"/>
      <c r="AZ1258" s="38"/>
      <c r="BA1258" s="38"/>
      <c r="BB1258" s="38"/>
      <c r="BC1258" s="38"/>
      <c r="BD1258" s="38"/>
      <c r="BE1258" s="38"/>
      <c r="BF1258" s="38"/>
      <c r="BG1258" s="38"/>
      <c r="BH1258" s="38"/>
      <c r="BI1258" s="38"/>
      <c r="BJ1258" s="38"/>
      <c r="BK1258" s="38"/>
      <c r="BL1258" s="38"/>
      <c r="BM1258" s="38"/>
      <c r="BN1258" s="38"/>
      <c r="BO1258" s="38"/>
      <c r="BP1258" s="38"/>
      <c r="BQ1258" s="38"/>
    </row>
    <row r="1259">
      <c r="A1259" s="58"/>
      <c r="B1259" s="341"/>
      <c r="C1259" s="60"/>
      <c r="D1259" s="60"/>
      <c r="E1259" s="58"/>
      <c r="F1259" s="58"/>
      <c r="G1259" s="58"/>
      <c r="H1259" s="33" t="str">
        <f t="shared" si="33"/>
        <v/>
      </c>
      <c r="I1259" s="58"/>
      <c r="J1259" s="58"/>
      <c r="K1259" s="58"/>
      <c r="L1259" s="58"/>
      <c r="M1259" s="80"/>
      <c r="N1259" s="80"/>
      <c r="O1259" s="58"/>
      <c r="P1259" s="62"/>
      <c r="Q1259" s="58"/>
      <c r="R1259" s="62"/>
      <c r="S1259" s="37" t="str">
        <f>IFERROR(__xludf.DUMMYFUNCTION("if(not(iserror(index(split(C1259, "" ""),2))), index(split(C1259, "" ""),1),"""")"),"")</f>
        <v/>
      </c>
      <c r="T1259" s="315" t="str">
        <f>IFERROR(__xludf.DUMMYFUNCTION("if(S1259="""",C1259,if(not(iserror(index(split(C1259, "" ""),3))), index(split(C1259, "" ""),3),index(split(C1259, "" ""),2)))"),"")</f>
        <v/>
      </c>
      <c r="U1259" s="38" t="b">
        <f t="shared" si="34"/>
        <v>0</v>
      </c>
      <c r="V1259" s="38"/>
      <c r="W1259" s="40"/>
      <c r="X1259" s="40"/>
      <c r="Y1259" s="38"/>
      <c r="Z1259" s="38"/>
      <c r="AA1259" s="38"/>
      <c r="AB1259" s="38"/>
      <c r="AC1259" s="38"/>
      <c r="AD1259" s="38"/>
      <c r="AE1259" s="38"/>
      <c r="AF1259" s="38"/>
      <c r="AG1259" s="38"/>
      <c r="AH1259" s="38"/>
      <c r="AI1259" s="38"/>
      <c r="AJ1259" s="38"/>
      <c r="AK1259" s="38"/>
      <c r="AL1259" s="38"/>
      <c r="AM1259" s="38"/>
      <c r="AN1259" s="38"/>
      <c r="AO1259" s="38"/>
      <c r="AP1259" s="38"/>
      <c r="AQ1259" s="38"/>
      <c r="AR1259" s="38"/>
      <c r="AS1259" s="38"/>
      <c r="AT1259" s="38"/>
      <c r="AU1259" s="38"/>
      <c r="AV1259" s="38"/>
      <c r="AW1259" s="38"/>
      <c r="AX1259" s="38"/>
      <c r="AY1259" s="38"/>
      <c r="AZ1259" s="38"/>
      <c r="BA1259" s="38"/>
      <c r="BB1259" s="38"/>
      <c r="BC1259" s="38"/>
      <c r="BD1259" s="38"/>
      <c r="BE1259" s="38"/>
      <c r="BF1259" s="38"/>
      <c r="BG1259" s="38"/>
      <c r="BH1259" s="38"/>
      <c r="BI1259" s="38"/>
      <c r="BJ1259" s="38"/>
      <c r="BK1259" s="38"/>
      <c r="BL1259" s="38"/>
      <c r="BM1259" s="38"/>
      <c r="BN1259" s="38"/>
      <c r="BO1259" s="38"/>
      <c r="BP1259" s="38"/>
      <c r="BQ1259" s="38"/>
    </row>
    <row r="1260">
      <c r="A1260" s="58"/>
      <c r="B1260" s="341"/>
      <c r="C1260" s="60"/>
      <c r="D1260" s="60"/>
      <c r="E1260" s="58"/>
      <c r="F1260" s="58"/>
      <c r="G1260" s="58"/>
      <c r="H1260" s="33" t="str">
        <f t="shared" si="33"/>
        <v/>
      </c>
      <c r="I1260" s="58"/>
      <c r="J1260" s="58"/>
      <c r="K1260" s="58"/>
      <c r="L1260" s="58"/>
      <c r="M1260" s="80"/>
      <c r="N1260" s="77"/>
      <c r="O1260" s="62"/>
      <c r="P1260" s="62"/>
      <c r="Q1260" s="62"/>
      <c r="R1260" s="62"/>
      <c r="S1260" s="37" t="str">
        <f>IFERROR(__xludf.DUMMYFUNCTION("if(not(iserror(index(split(C1260, "" ""),2))), index(split(C1260, "" ""),1),"""")"),"")</f>
        <v/>
      </c>
      <c r="T1260" s="315" t="str">
        <f>IFERROR(__xludf.DUMMYFUNCTION("if(S1260="""",C1260,if(not(iserror(index(split(C1260, "" ""),3))), index(split(C1260, "" ""),3),index(split(C1260, "" ""),2)))"),"")</f>
        <v/>
      </c>
      <c r="U1260" s="38" t="b">
        <f t="shared" si="34"/>
        <v>0</v>
      </c>
      <c r="V1260" s="38"/>
      <c r="W1260" s="40"/>
      <c r="X1260" s="40"/>
      <c r="Y1260" s="38"/>
      <c r="Z1260" s="38"/>
      <c r="AA1260" s="38"/>
      <c r="AB1260" s="38"/>
      <c r="AC1260" s="38"/>
      <c r="AD1260" s="38"/>
      <c r="AE1260" s="38"/>
      <c r="AF1260" s="38"/>
      <c r="AG1260" s="38"/>
      <c r="AH1260" s="38"/>
      <c r="AI1260" s="38"/>
      <c r="AJ1260" s="38"/>
      <c r="AK1260" s="38"/>
      <c r="AL1260" s="38"/>
      <c r="AM1260" s="38"/>
      <c r="AN1260" s="38"/>
      <c r="AO1260" s="38"/>
      <c r="AP1260" s="38"/>
      <c r="AQ1260" s="38"/>
      <c r="AR1260" s="38"/>
      <c r="AS1260" s="38"/>
      <c r="AT1260" s="38"/>
      <c r="AU1260" s="38"/>
      <c r="AV1260" s="38"/>
      <c r="AW1260" s="38"/>
      <c r="AX1260" s="38"/>
      <c r="AY1260" s="38"/>
      <c r="AZ1260" s="38"/>
      <c r="BA1260" s="38"/>
      <c r="BB1260" s="38"/>
      <c r="BC1260" s="38"/>
      <c r="BD1260" s="38"/>
      <c r="BE1260" s="38"/>
      <c r="BF1260" s="38"/>
      <c r="BG1260" s="38"/>
      <c r="BH1260" s="38"/>
      <c r="BI1260" s="38"/>
      <c r="BJ1260" s="38"/>
      <c r="BK1260" s="38"/>
      <c r="BL1260" s="38"/>
      <c r="BM1260" s="38"/>
      <c r="BN1260" s="38"/>
      <c r="BO1260" s="38"/>
      <c r="BP1260" s="38"/>
      <c r="BQ1260" s="38"/>
    </row>
    <row r="1261">
      <c r="A1261" s="58"/>
      <c r="B1261" s="341"/>
      <c r="C1261" s="60"/>
      <c r="D1261" s="60"/>
      <c r="E1261" s="58"/>
      <c r="F1261" s="58"/>
      <c r="G1261" s="58"/>
      <c r="H1261" s="33" t="str">
        <f t="shared" si="33"/>
        <v/>
      </c>
      <c r="I1261" s="58"/>
      <c r="J1261" s="58"/>
      <c r="K1261" s="58"/>
      <c r="L1261" s="58"/>
      <c r="M1261" s="80"/>
      <c r="N1261" s="77"/>
      <c r="O1261" s="62"/>
      <c r="P1261" s="62"/>
      <c r="Q1261" s="62"/>
      <c r="R1261" s="62"/>
      <c r="S1261" s="37" t="str">
        <f>IFERROR(__xludf.DUMMYFUNCTION("if(not(iserror(index(split(C1261, "" ""),2))), index(split(C1261, "" ""),1),"""")"),"")</f>
        <v/>
      </c>
      <c r="T1261" s="315" t="str">
        <f>IFERROR(__xludf.DUMMYFUNCTION("if(S1261="""",C1261,if(not(iserror(index(split(C1261, "" ""),3))), index(split(C1261, "" ""),3),index(split(C1261, "" ""),2)))"),"")</f>
        <v/>
      </c>
      <c r="U1261" s="38" t="b">
        <f t="shared" si="34"/>
        <v>0</v>
      </c>
      <c r="V1261" s="38"/>
      <c r="W1261" s="40"/>
      <c r="X1261" s="40"/>
      <c r="Y1261" s="38"/>
      <c r="Z1261" s="38"/>
      <c r="AA1261" s="38"/>
      <c r="AB1261" s="38"/>
      <c r="AC1261" s="38"/>
      <c r="AD1261" s="38"/>
      <c r="AE1261" s="38"/>
      <c r="AF1261" s="38"/>
      <c r="AG1261" s="38"/>
      <c r="AH1261" s="38"/>
      <c r="AI1261" s="38"/>
      <c r="AJ1261" s="38"/>
      <c r="AK1261" s="38"/>
      <c r="AL1261" s="38"/>
      <c r="AM1261" s="38"/>
      <c r="AN1261" s="38"/>
      <c r="AO1261" s="38"/>
      <c r="AP1261" s="38"/>
      <c r="AQ1261" s="38"/>
      <c r="AR1261" s="38"/>
      <c r="AS1261" s="38"/>
      <c r="AT1261" s="38"/>
      <c r="AU1261" s="38"/>
      <c r="AV1261" s="38"/>
      <c r="AW1261" s="38"/>
      <c r="AX1261" s="38"/>
      <c r="AY1261" s="38"/>
      <c r="AZ1261" s="38"/>
      <c r="BA1261" s="38"/>
      <c r="BB1261" s="38"/>
      <c r="BC1261" s="38"/>
      <c r="BD1261" s="38"/>
      <c r="BE1261" s="38"/>
      <c r="BF1261" s="38"/>
      <c r="BG1261" s="38"/>
      <c r="BH1261" s="38"/>
      <c r="BI1261" s="38"/>
      <c r="BJ1261" s="38"/>
      <c r="BK1261" s="38"/>
      <c r="BL1261" s="38"/>
      <c r="BM1261" s="38"/>
      <c r="BN1261" s="38"/>
      <c r="BO1261" s="38"/>
      <c r="BP1261" s="38"/>
      <c r="BQ1261" s="38"/>
    </row>
    <row r="1262">
      <c r="A1262" s="58"/>
      <c r="B1262" s="341"/>
      <c r="C1262" s="60"/>
      <c r="D1262" s="60"/>
      <c r="E1262" s="58"/>
      <c r="F1262" s="58"/>
      <c r="G1262" s="58"/>
      <c r="H1262" s="33" t="str">
        <f t="shared" si="33"/>
        <v/>
      </c>
      <c r="I1262" s="58"/>
      <c r="J1262" s="58"/>
      <c r="K1262" s="58"/>
      <c r="L1262" s="58"/>
      <c r="M1262" s="80"/>
      <c r="N1262" s="77"/>
      <c r="O1262" s="62"/>
      <c r="P1262" s="62"/>
      <c r="Q1262" s="62"/>
      <c r="R1262" s="62"/>
      <c r="S1262" s="37" t="str">
        <f>IFERROR(__xludf.DUMMYFUNCTION("if(not(iserror(index(split(C1262, "" ""),2))), index(split(C1262, "" ""),1),"""")"),"")</f>
        <v/>
      </c>
      <c r="T1262" s="315" t="str">
        <f>IFERROR(__xludf.DUMMYFUNCTION("if(S1262="""",C1262,if(not(iserror(index(split(C1262, "" ""),3))), index(split(C1262, "" ""),3),index(split(C1262, "" ""),2)))"),"")</f>
        <v/>
      </c>
      <c r="U1262" s="38" t="b">
        <f t="shared" si="34"/>
        <v>0</v>
      </c>
      <c r="V1262" s="38"/>
      <c r="W1262" s="40"/>
      <c r="X1262" s="40"/>
      <c r="Y1262" s="38"/>
      <c r="Z1262" s="38"/>
      <c r="AA1262" s="38"/>
      <c r="AB1262" s="38"/>
      <c r="AC1262" s="38"/>
      <c r="AD1262" s="38"/>
      <c r="AE1262" s="38"/>
      <c r="AF1262" s="38"/>
      <c r="AG1262" s="38"/>
      <c r="AH1262" s="38"/>
      <c r="AI1262" s="38"/>
      <c r="AJ1262" s="38"/>
      <c r="AK1262" s="38"/>
      <c r="AL1262" s="38"/>
      <c r="AM1262" s="38"/>
      <c r="AN1262" s="38"/>
      <c r="AO1262" s="38"/>
      <c r="AP1262" s="38"/>
      <c r="AQ1262" s="38"/>
      <c r="AR1262" s="38"/>
      <c r="AS1262" s="38"/>
      <c r="AT1262" s="38"/>
      <c r="AU1262" s="38"/>
      <c r="AV1262" s="38"/>
      <c r="AW1262" s="38"/>
      <c r="AX1262" s="38"/>
      <c r="AY1262" s="38"/>
      <c r="AZ1262" s="38"/>
      <c r="BA1262" s="38"/>
      <c r="BB1262" s="38"/>
      <c r="BC1262" s="38"/>
      <c r="BD1262" s="38"/>
      <c r="BE1262" s="38"/>
      <c r="BF1262" s="38"/>
      <c r="BG1262" s="38"/>
      <c r="BH1262" s="38"/>
      <c r="BI1262" s="38"/>
      <c r="BJ1262" s="38"/>
      <c r="BK1262" s="38"/>
      <c r="BL1262" s="38"/>
      <c r="BM1262" s="38"/>
      <c r="BN1262" s="38"/>
      <c r="BO1262" s="38"/>
      <c r="BP1262" s="38"/>
      <c r="BQ1262" s="38"/>
    </row>
    <row r="1263">
      <c r="A1263" s="58"/>
      <c r="B1263" s="341"/>
      <c r="C1263" s="60"/>
      <c r="D1263" s="60"/>
      <c r="E1263" s="58"/>
      <c r="F1263" s="58"/>
      <c r="G1263" s="58"/>
      <c r="H1263" s="33" t="str">
        <f t="shared" si="33"/>
        <v/>
      </c>
      <c r="I1263" s="58"/>
      <c r="J1263" s="58"/>
      <c r="K1263" s="58"/>
      <c r="L1263" s="58"/>
      <c r="M1263" s="80"/>
      <c r="N1263" s="77"/>
      <c r="O1263" s="62"/>
      <c r="P1263" s="62"/>
      <c r="Q1263" s="62"/>
      <c r="R1263" s="62"/>
      <c r="S1263" s="37" t="str">
        <f>IFERROR(__xludf.DUMMYFUNCTION("if(not(iserror(index(split(C1263, "" ""),2))), index(split(C1263, "" ""),1),"""")"),"")</f>
        <v/>
      </c>
      <c r="T1263" s="315" t="str">
        <f>IFERROR(__xludf.DUMMYFUNCTION("if(S1263="""",C1263,if(not(iserror(index(split(C1263, "" ""),3))), index(split(C1263, "" ""),3),index(split(C1263, "" ""),2)))"),"")</f>
        <v/>
      </c>
      <c r="U1263" s="38" t="b">
        <f t="shared" si="34"/>
        <v>0</v>
      </c>
      <c r="V1263" s="38"/>
      <c r="W1263" s="40"/>
      <c r="X1263" s="40"/>
      <c r="Y1263" s="38"/>
      <c r="Z1263" s="38"/>
      <c r="AA1263" s="38"/>
      <c r="AB1263" s="38"/>
      <c r="AC1263" s="38"/>
      <c r="AD1263" s="38"/>
      <c r="AE1263" s="38"/>
      <c r="AF1263" s="38"/>
      <c r="AG1263" s="38"/>
      <c r="AH1263" s="38"/>
      <c r="AI1263" s="38"/>
      <c r="AJ1263" s="38"/>
      <c r="AK1263" s="38"/>
      <c r="AL1263" s="38"/>
      <c r="AM1263" s="38"/>
      <c r="AN1263" s="38"/>
      <c r="AO1263" s="38"/>
      <c r="AP1263" s="38"/>
      <c r="AQ1263" s="38"/>
      <c r="AR1263" s="38"/>
      <c r="AS1263" s="38"/>
      <c r="AT1263" s="38"/>
      <c r="AU1263" s="38"/>
      <c r="AV1263" s="38"/>
      <c r="AW1263" s="38"/>
      <c r="AX1263" s="38"/>
      <c r="AY1263" s="38"/>
      <c r="AZ1263" s="38"/>
      <c r="BA1263" s="38"/>
      <c r="BB1263" s="38"/>
      <c r="BC1263" s="38"/>
      <c r="BD1263" s="38"/>
      <c r="BE1263" s="38"/>
      <c r="BF1263" s="38"/>
      <c r="BG1263" s="38"/>
      <c r="BH1263" s="38"/>
      <c r="BI1263" s="38"/>
      <c r="BJ1263" s="38"/>
      <c r="BK1263" s="38"/>
      <c r="BL1263" s="38"/>
      <c r="BM1263" s="38"/>
      <c r="BN1263" s="38"/>
      <c r="BO1263" s="38"/>
      <c r="BP1263" s="38"/>
      <c r="BQ1263" s="38"/>
    </row>
    <row r="1264">
      <c r="A1264" s="58"/>
      <c r="B1264" s="341"/>
      <c r="C1264" s="60"/>
      <c r="D1264" s="60"/>
      <c r="E1264" s="58"/>
      <c r="F1264" s="58"/>
      <c r="G1264" s="58"/>
      <c r="H1264" s="33" t="str">
        <f t="shared" si="33"/>
        <v/>
      </c>
      <c r="I1264" s="58"/>
      <c r="J1264" s="58"/>
      <c r="K1264" s="58"/>
      <c r="L1264" s="58"/>
      <c r="M1264" s="80"/>
      <c r="N1264" s="77"/>
      <c r="O1264" s="62"/>
      <c r="P1264" s="62"/>
      <c r="Q1264" s="62"/>
      <c r="R1264" s="62"/>
      <c r="S1264" s="37" t="str">
        <f>IFERROR(__xludf.DUMMYFUNCTION("if(not(iserror(index(split(C1264, "" ""),2))), index(split(C1264, "" ""),1),"""")"),"")</f>
        <v/>
      </c>
      <c r="T1264" s="315" t="str">
        <f>IFERROR(__xludf.DUMMYFUNCTION("if(S1264="""",C1264,if(not(iserror(index(split(C1264, "" ""),3))), index(split(C1264, "" ""),3),index(split(C1264, "" ""),2)))"),"")</f>
        <v/>
      </c>
      <c r="U1264" s="38" t="b">
        <f t="shared" si="34"/>
        <v>0</v>
      </c>
      <c r="V1264" s="38"/>
      <c r="W1264" s="40"/>
      <c r="X1264" s="40"/>
      <c r="Y1264" s="38"/>
      <c r="Z1264" s="38"/>
      <c r="AA1264" s="38"/>
      <c r="AB1264" s="38"/>
      <c r="AC1264" s="38"/>
      <c r="AD1264" s="38"/>
      <c r="AE1264" s="38"/>
      <c r="AF1264" s="38"/>
      <c r="AG1264" s="38"/>
      <c r="AH1264" s="38"/>
      <c r="AI1264" s="38"/>
      <c r="AJ1264" s="38"/>
      <c r="AK1264" s="38"/>
      <c r="AL1264" s="38"/>
      <c r="AM1264" s="38"/>
      <c r="AN1264" s="38"/>
      <c r="AO1264" s="38"/>
      <c r="AP1264" s="38"/>
      <c r="AQ1264" s="38"/>
      <c r="AR1264" s="38"/>
      <c r="AS1264" s="38"/>
      <c r="AT1264" s="38"/>
      <c r="AU1264" s="38"/>
      <c r="AV1264" s="38"/>
      <c r="AW1264" s="38"/>
      <c r="AX1264" s="38"/>
      <c r="AY1264" s="38"/>
      <c r="AZ1264" s="38"/>
      <c r="BA1264" s="38"/>
      <c r="BB1264" s="38"/>
      <c r="BC1264" s="38"/>
      <c r="BD1264" s="38"/>
      <c r="BE1264" s="38"/>
      <c r="BF1264" s="38"/>
      <c r="BG1264" s="38"/>
      <c r="BH1264" s="38"/>
      <c r="BI1264" s="38"/>
      <c r="BJ1264" s="38"/>
      <c r="BK1264" s="38"/>
      <c r="BL1264" s="38"/>
      <c r="BM1264" s="38"/>
      <c r="BN1264" s="38"/>
      <c r="BO1264" s="38"/>
      <c r="BP1264" s="38"/>
      <c r="BQ1264" s="38"/>
    </row>
    <row r="1265">
      <c r="A1265" s="58"/>
      <c r="B1265" s="341"/>
      <c r="C1265" s="60"/>
      <c r="D1265" s="60"/>
      <c r="E1265" s="58"/>
      <c r="F1265" s="58"/>
      <c r="G1265" s="58"/>
      <c r="H1265" s="33" t="str">
        <f t="shared" si="33"/>
        <v/>
      </c>
      <c r="I1265" s="58"/>
      <c r="J1265" s="58"/>
      <c r="K1265" s="58"/>
      <c r="L1265" s="58"/>
      <c r="M1265" s="80"/>
      <c r="N1265" s="77"/>
      <c r="O1265" s="62"/>
      <c r="P1265" s="62"/>
      <c r="Q1265" s="62"/>
      <c r="R1265" s="62"/>
      <c r="S1265" s="37" t="str">
        <f>IFERROR(__xludf.DUMMYFUNCTION("if(not(iserror(index(split(C1265, "" ""),2))), index(split(C1265, "" ""),1),"""")"),"")</f>
        <v/>
      </c>
      <c r="T1265" s="315" t="str">
        <f>IFERROR(__xludf.DUMMYFUNCTION("if(S1265="""",C1265,if(not(iserror(index(split(C1265, "" ""),3))), index(split(C1265, "" ""),3),index(split(C1265, "" ""),2)))"),"")</f>
        <v/>
      </c>
      <c r="U1265" s="38" t="b">
        <f t="shared" si="34"/>
        <v>0</v>
      </c>
      <c r="V1265" s="38"/>
      <c r="W1265" s="40"/>
      <c r="X1265" s="40"/>
      <c r="Y1265" s="38"/>
      <c r="Z1265" s="38"/>
      <c r="AA1265" s="38"/>
      <c r="AB1265" s="38"/>
      <c r="AC1265" s="38"/>
      <c r="AD1265" s="38"/>
      <c r="AE1265" s="38"/>
      <c r="AF1265" s="38"/>
      <c r="AG1265" s="38"/>
      <c r="AH1265" s="38"/>
      <c r="AI1265" s="38"/>
      <c r="AJ1265" s="38"/>
      <c r="AK1265" s="38"/>
      <c r="AL1265" s="38"/>
      <c r="AM1265" s="38"/>
      <c r="AN1265" s="38"/>
      <c r="AO1265" s="38"/>
      <c r="AP1265" s="38"/>
      <c r="AQ1265" s="38"/>
      <c r="AR1265" s="38"/>
      <c r="AS1265" s="38"/>
      <c r="AT1265" s="38"/>
      <c r="AU1265" s="38"/>
      <c r="AV1265" s="38"/>
      <c r="AW1265" s="38"/>
      <c r="AX1265" s="38"/>
      <c r="AY1265" s="38"/>
      <c r="AZ1265" s="38"/>
      <c r="BA1265" s="38"/>
      <c r="BB1265" s="38"/>
      <c r="BC1265" s="38"/>
      <c r="BD1265" s="38"/>
      <c r="BE1265" s="38"/>
      <c r="BF1265" s="38"/>
      <c r="BG1265" s="38"/>
      <c r="BH1265" s="38"/>
      <c r="BI1265" s="38"/>
      <c r="BJ1265" s="38"/>
      <c r="BK1265" s="38"/>
      <c r="BL1265" s="38"/>
      <c r="BM1265" s="38"/>
      <c r="BN1265" s="38"/>
      <c r="BO1265" s="38"/>
      <c r="BP1265" s="38"/>
      <c r="BQ1265" s="38"/>
    </row>
    <row r="1266">
      <c r="A1266" s="58"/>
      <c r="B1266" s="341"/>
      <c r="C1266" s="60"/>
      <c r="D1266" s="60"/>
      <c r="E1266" s="58"/>
      <c r="F1266" s="58"/>
      <c r="G1266" s="58"/>
      <c r="H1266" s="33" t="str">
        <f t="shared" si="33"/>
        <v/>
      </c>
      <c r="I1266" s="58"/>
      <c r="J1266" s="58"/>
      <c r="K1266" s="58"/>
      <c r="L1266" s="58"/>
      <c r="M1266" s="80"/>
      <c r="N1266" s="77"/>
      <c r="O1266" s="62"/>
      <c r="P1266" s="62"/>
      <c r="Q1266" s="62"/>
      <c r="R1266" s="62"/>
      <c r="S1266" s="37" t="str">
        <f>IFERROR(__xludf.DUMMYFUNCTION("if(not(iserror(index(split(C1266, "" ""),2))), index(split(C1266, "" ""),1),"""")"),"")</f>
        <v/>
      </c>
      <c r="T1266" s="315" t="str">
        <f>IFERROR(__xludf.DUMMYFUNCTION("if(S1266="""",C1266,if(not(iserror(index(split(C1266, "" ""),3))), index(split(C1266, "" ""),3),index(split(C1266, "" ""),2)))"),"")</f>
        <v/>
      </c>
      <c r="U1266" s="38" t="b">
        <f t="shared" si="34"/>
        <v>0</v>
      </c>
      <c r="V1266" s="38"/>
      <c r="W1266" s="40"/>
      <c r="X1266" s="40"/>
      <c r="Y1266" s="38"/>
      <c r="Z1266" s="38"/>
      <c r="AA1266" s="38"/>
      <c r="AB1266" s="38"/>
      <c r="AC1266" s="38"/>
      <c r="AD1266" s="38"/>
      <c r="AE1266" s="38"/>
      <c r="AF1266" s="38"/>
      <c r="AG1266" s="38"/>
      <c r="AH1266" s="38"/>
      <c r="AI1266" s="38"/>
      <c r="AJ1266" s="38"/>
      <c r="AK1266" s="38"/>
      <c r="AL1266" s="38"/>
      <c r="AM1266" s="38"/>
      <c r="AN1266" s="38"/>
      <c r="AO1266" s="38"/>
      <c r="AP1266" s="38"/>
      <c r="AQ1266" s="38"/>
      <c r="AR1266" s="38"/>
      <c r="AS1266" s="38"/>
      <c r="AT1266" s="38"/>
      <c r="AU1266" s="38"/>
      <c r="AV1266" s="38"/>
      <c r="AW1266" s="38"/>
      <c r="AX1266" s="38"/>
      <c r="AY1266" s="38"/>
      <c r="AZ1266" s="38"/>
      <c r="BA1266" s="38"/>
      <c r="BB1266" s="38"/>
      <c r="BC1266" s="38"/>
      <c r="BD1266" s="38"/>
      <c r="BE1266" s="38"/>
      <c r="BF1266" s="38"/>
      <c r="BG1266" s="38"/>
      <c r="BH1266" s="38"/>
      <c r="BI1266" s="38"/>
      <c r="BJ1266" s="38"/>
      <c r="BK1266" s="38"/>
      <c r="BL1266" s="38"/>
      <c r="BM1266" s="38"/>
      <c r="BN1266" s="38"/>
      <c r="BO1266" s="38"/>
      <c r="BP1266" s="38"/>
      <c r="BQ1266" s="38"/>
    </row>
    <row r="1267">
      <c r="A1267" s="58"/>
      <c r="B1267" s="341"/>
      <c r="C1267" s="60"/>
      <c r="D1267" s="60"/>
      <c r="E1267" s="58"/>
      <c r="F1267" s="58"/>
      <c r="G1267" s="58"/>
      <c r="H1267" s="33" t="str">
        <f t="shared" si="33"/>
        <v/>
      </c>
      <c r="I1267" s="58"/>
      <c r="J1267" s="58"/>
      <c r="K1267" s="58"/>
      <c r="L1267" s="58"/>
      <c r="M1267" s="80"/>
      <c r="N1267" s="77"/>
      <c r="O1267" s="62"/>
      <c r="P1267" s="62"/>
      <c r="Q1267" s="62"/>
      <c r="R1267" s="62"/>
      <c r="S1267" s="37" t="str">
        <f>IFERROR(__xludf.DUMMYFUNCTION("if(not(iserror(index(split(C1267, "" ""),2))), index(split(C1267, "" ""),1),"""")"),"")</f>
        <v/>
      </c>
      <c r="T1267" s="315" t="str">
        <f>IFERROR(__xludf.DUMMYFUNCTION("if(S1267="""",C1267,if(not(iserror(index(split(C1267, "" ""),3))), index(split(C1267, "" ""),3),index(split(C1267, "" ""),2)))"),"")</f>
        <v/>
      </c>
      <c r="U1267" s="38" t="b">
        <f t="shared" si="34"/>
        <v>0</v>
      </c>
      <c r="V1267" s="38"/>
      <c r="W1267" s="40"/>
      <c r="X1267" s="40"/>
      <c r="Y1267" s="38"/>
      <c r="Z1267" s="38"/>
      <c r="AA1267" s="38"/>
      <c r="AB1267" s="38"/>
      <c r="AC1267" s="38"/>
      <c r="AD1267" s="38"/>
      <c r="AE1267" s="38"/>
      <c r="AF1267" s="38"/>
      <c r="AG1267" s="38"/>
      <c r="AH1267" s="38"/>
      <c r="AI1267" s="38"/>
      <c r="AJ1267" s="38"/>
      <c r="AK1267" s="38"/>
      <c r="AL1267" s="38"/>
      <c r="AM1267" s="38"/>
      <c r="AN1267" s="38"/>
      <c r="AO1267" s="38"/>
      <c r="AP1267" s="38"/>
      <c r="AQ1267" s="38"/>
      <c r="AR1267" s="38"/>
      <c r="AS1267" s="38"/>
      <c r="AT1267" s="38"/>
      <c r="AU1267" s="38"/>
      <c r="AV1267" s="38"/>
      <c r="AW1267" s="38"/>
      <c r="AX1267" s="38"/>
      <c r="AY1267" s="38"/>
      <c r="AZ1267" s="38"/>
      <c r="BA1267" s="38"/>
      <c r="BB1267" s="38"/>
      <c r="BC1267" s="38"/>
      <c r="BD1267" s="38"/>
      <c r="BE1267" s="38"/>
      <c r="BF1267" s="38"/>
      <c r="BG1267" s="38"/>
      <c r="BH1267" s="38"/>
      <c r="BI1267" s="38"/>
      <c r="BJ1267" s="38"/>
      <c r="BK1267" s="38"/>
      <c r="BL1267" s="38"/>
      <c r="BM1267" s="38"/>
      <c r="BN1267" s="38"/>
      <c r="BO1267" s="38"/>
      <c r="BP1267" s="38"/>
      <c r="BQ1267" s="38"/>
    </row>
    <row r="1268">
      <c r="B1268" s="341"/>
      <c r="C1268" s="60"/>
      <c r="D1268" s="60"/>
      <c r="E1268" s="58"/>
      <c r="F1268" s="58"/>
      <c r="G1268" s="58"/>
      <c r="H1268" s="33" t="str">
        <f t="shared" si="33"/>
        <v/>
      </c>
      <c r="I1268" s="58"/>
      <c r="J1268" s="58"/>
      <c r="K1268" s="58"/>
      <c r="L1268" s="58"/>
      <c r="M1268" s="80"/>
      <c r="N1268" s="77"/>
      <c r="O1268" s="62"/>
      <c r="P1268" s="62"/>
      <c r="Q1268" s="62"/>
      <c r="R1268" s="62"/>
      <c r="S1268" s="37" t="str">
        <f>IFERROR(__xludf.DUMMYFUNCTION("if(not(iserror(index(split(C1268, "" ""),2))), index(split(C1268, "" ""),1),"""")"),"")</f>
        <v/>
      </c>
      <c r="T1268" s="315" t="str">
        <f>IFERROR(__xludf.DUMMYFUNCTION("if(S1268="""",C1268,if(not(iserror(index(split(C1268, "" ""),3))), index(split(C1268, "" ""),3),index(split(C1268, "" ""),2)))"),"")</f>
        <v/>
      </c>
      <c r="U1268" s="38" t="b">
        <f t="shared" si="34"/>
        <v>0</v>
      </c>
      <c r="V1268" s="38"/>
      <c r="W1268" s="40"/>
      <c r="X1268" s="40"/>
      <c r="Y1268" s="38"/>
      <c r="Z1268" s="38"/>
      <c r="AA1268" s="38"/>
      <c r="AB1268" s="38"/>
      <c r="AC1268" s="38"/>
      <c r="AD1268" s="38"/>
      <c r="AE1268" s="38"/>
      <c r="AF1268" s="38"/>
      <c r="AG1268" s="38"/>
      <c r="AH1268" s="38"/>
      <c r="AI1268" s="38"/>
      <c r="AJ1268" s="38"/>
      <c r="AK1268" s="38"/>
      <c r="AL1268" s="38"/>
      <c r="AM1268" s="38"/>
      <c r="AN1268" s="38"/>
      <c r="AO1268" s="38"/>
      <c r="AP1268" s="38"/>
      <c r="AQ1268" s="38"/>
      <c r="AR1268" s="38"/>
      <c r="AS1268" s="38"/>
      <c r="AT1268" s="38"/>
      <c r="AU1268" s="38"/>
      <c r="AV1268" s="38"/>
      <c r="AW1268" s="38"/>
      <c r="AX1268" s="38"/>
      <c r="AY1268" s="38"/>
      <c r="AZ1268" s="38"/>
      <c r="BA1268" s="38"/>
      <c r="BB1268" s="38"/>
      <c r="BC1268" s="38"/>
      <c r="BD1268" s="38"/>
      <c r="BE1268" s="38"/>
      <c r="BF1268" s="38"/>
      <c r="BG1268" s="38"/>
      <c r="BH1268" s="38"/>
      <c r="BI1268" s="38"/>
      <c r="BJ1268" s="38"/>
      <c r="BK1268" s="38"/>
      <c r="BL1268" s="38"/>
      <c r="BM1268" s="38"/>
      <c r="BN1268" s="38"/>
      <c r="BO1268" s="38"/>
      <c r="BP1268" s="38"/>
      <c r="BQ1268" s="38"/>
    </row>
    <row r="1269">
      <c r="B1269" s="341"/>
      <c r="C1269" s="60"/>
      <c r="D1269" s="60"/>
      <c r="E1269" s="58"/>
      <c r="F1269" s="58"/>
      <c r="G1269" s="58"/>
      <c r="H1269" s="33" t="str">
        <f t="shared" si="33"/>
        <v/>
      </c>
      <c r="I1269" s="58"/>
      <c r="J1269" s="58"/>
      <c r="K1269" s="58"/>
      <c r="L1269" s="58"/>
      <c r="M1269" s="80"/>
      <c r="N1269" s="77"/>
      <c r="O1269" s="62"/>
      <c r="P1269" s="58"/>
      <c r="Q1269" s="84"/>
      <c r="R1269" s="62"/>
      <c r="S1269" s="37" t="str">
        <f>IFERROR(__xludf.DUMMYFUNCTION("if(not(iserror(index(split(C1269, "" ""),2))), index(split(C1269, "" ""),1),"""")"),"")</f>
        <v/>
      </c>
      <c r="T1269" s="315" t="str">
        <f>IFERROR(__xludf.DUMMYFUNCTION("if(S1269="""",C1269,if(not(iserror(index(split(C1269, "" ""),3))), index(split(C1269, "" ""),3),index(split(C1269, "" ""),2)))"),"")</f>
        <v/>
      </c>
      <c r="U1269" s="38" t="b">
        <f t="shared" si="34"/>
        <v>0</v>
      </c>
      <c r="V1269" s="38"/>
      <c r="W1269" s="40"/>
      <c r="X1269" s="40"/>
      <c r="Y1269" s="38"/>
      <c r="Z1269" s="38"/>
      <c r="AA1269" s="38"/>
      <c r="AB1269" s="38"/>
      <c r="AC1269" s="38"/>
      <c r="AD1269" s="38"/>
      <c r="AE1269" s="38"/>
      <c r="AF1269" s="38"/>
      <c r="AG1269" s="38"/>
      <c r="AH1269" s="38"/>
      <c r="AI1269" s="38"/>
      <c r="AJ1269" s="38"/>
      <c r="AK1269" s="38"/>
      <c r="AL1269" s="38"/>
      <c r="AM1269" s="38"/>
      <c r="AN1269" s="38"/>
      <c r="AO1269" s="38"/>
      <c r="AP1269" s="38"/>
      <c r="AQ1269" s="38"/>
      <c r="AR1269" s="38"/>
      <c r="AS1269" s="38"/>
      <c r="AT1269" s="38"/>
      <c r="AU1269" s="38"/>
      <c r="AV1269" s="38"/>
      <c r="AW1269" s="38"/>
      <c r="AX1269" s="38"/>
      <c r="AY1269" s="38"/>
      <c r="AZ1269" s="38"/>
      <c r="BA1269" s="38"/>
      <c r="BB1269" s="38"/>
      <c r="BC1269" s="38"/>
      <c r="BD1269" s="38"/>
      <c r="BE1269" s="38"/>
      <c r="BF1269" s="38"/>
      <c r="BG1269" s="38"/>
      <c r="BH1269" s="38"/>
      <c r="BI1269" s="38"/>
      <c r="BJ1269" s="38"/>
      <c r="BK1269" s="38"/>
      <c r="BL1269" s="38"/>
      <c r="BM1269" s="38"/>
      <c r="BN1269" s="38"/>
      <c r="BO1269" s="38"/>
      <c r="BP1269" s="38"/>
      <c r="BQ1269" s="38"/>
    </row>
    <row r="1270">
      <c r="B1270" s="341"/>
      <c r="C1270" s="60"/>
      <c r="D1270" s="60"/>
      <c r="E1270" s="58"/>
      <c r="F1270" s="58"/>
      <c r="G1270" s="58"/>
      <c r="H1270" s="33" t="str">
        <f t="shared" si="33"/>
        <v/>
      </c>
      <c r="I1270" s="58"/>
      <c r="J1270" s="58"/>
      <c r="K1270" s="58"/>
      <c r="L1270" s="58"/>
      <c r="M1270" s="80"/>
      <c r="N1270" s="77"/>
      <c r="O1270" s="62"/>
      <c r="P1270" s="62"/>
      <c r="Q1270" s="62"/>
      <c r="R1270" s="62"/>
      <c r="S1270" s="37" t="str">
        <f>IFERROR(__xludf.DUMMYFUNCTION("if(not(iserror(index(split(C1270, "" ""),2))), index(split(C1270, "" ""),1),"""")"),"")</f>
        <v/>
      </c>
      <c r="T1270" s="315" t="str">
        <f>IFERROR(__xludf.DUMMYFUNCTION("if(S1270="""",C1270,if(not(iserror(index(split(C1270, "" ""),3))), index(split(C1270, "" ""),3),index(split(C1270, "" ""),2)))"),"")</f>
        <v/>
      </c>
      <c r="U1270" s="38" t="b">
        <f t="shared" si="34"/>
        <v>0</v>
      </c>
      <c r="V1270" s="38"/>
      <c r="W1270" s="40"/>
      <c r="X1270" s="40"/>
      <c r="Y1270" s="38"/>
      <c r="Z1270" s="38"/>
      <c r="AA1270" s="38"/>
      <c r="AB1270" s="38"/>
      <c r="AC1270" s="38"/>
      <c r="AD1270" s="38"/>
      <c r="AE1270" s="38"/>
      <c r="AF1270" s="38"/>
      <c r="AG1270" s="38"/>
      <c r="AH1270" s="38"/>
      <c r="AI1270" s="38"/>
      <c r="AJ1270" s="38"/>
      <c r="AK1270" s="38"/>
      <c r="AL1270" s="38"/>
      <c r="AM1270" s="38"/>
      <c r="AN1270" s="38"/>
      <c r="AO1270" s="38"/>
      <c r="AP1270" s="38"/>
      <c r="AQ1270" s="38"/>
      <c r="AR1270" s="38"/>
      <c r="AS1270" s="38"/>
      <c r="AT1270" s="38"/>
      <c r="AU1270" s="38"/>
      <c r="AV1270" s="38"/>
      <c r="AW1270" s="38"/>
      <c r="AX1270" s="38"/>
      <c r="AY1270" s="38"/>
      <c r="AZ1270" s="38"/>
      <c r="BA1270" s="38"/>
      <c r="BB1270" s="38"/>
      <c r="BC1270" s="38"/>
      <c r="BD1270" s="38"/>
      <c r="BE1270" s="38"/>
      <c r="BF1270" s="38"/>
      <c r="BG1270" s="38"/>
      <c r="BH1270" s="38"/>
      <c r="BI1270" s="38"/>
      <c r="BJ1270" s="38"/>
      <c r="BK1270" s="38"/>
      <c r="BL1270" s="38"/>
      <c r="BM1270" s="38"/>
      <c r="BN1270" s="38"/>
      <c r="BO1270" s="38"/>
      <c r="BP1270" s="38"/>
      <c r="BQ1270" s="38"/>
    </row>
    <row r="1271">
      <c r="B1271" s="341"/>
      <c r="C1271" s="60"/>
      <c r="D1271" s="60"/>
      <c r="E1271" s="58"/>
      <c r="F1271" s="58"/>
      <c r="G1271" s="58"/>
      <c r="H1271" s="33" t="str">
        <f t="shared" si="33"/>
        <v/>
      </c>
      <c r="I1271" s="58"/>
      <c r="J1271" s="58"/>
      <c r="K1271" s="58"/>
      <c r="L1271" s="58"/>
      <c r="M1271" s="80"/>
      <c r="N1271" s="77"/>
      <c r="O1271" s="62"/>
      <c r="P1271" s="62"/>
      <c r="Q1271" s="62"/>
      <c r="R1271" s="62"/>
      <c r="S1271" s="37" t="str">
        <f>IFERROR(__xludf.DUMMYFUNCTION("if(not(iserror(index(split(C1271, "" ""),2))), index(split(C1271, "" ""),1),"""")"),"")</f>
        <v/>
      </c>
      <c r="T1271" s="315" t="str">
        <f>IFERROR(__xludf.DUMMYFUNCTION("if(S1271="""",C1271,if(not(iserror(index(split(C1271, "" ""),3))), index(split(C1271, "" ""),3),index(split(C1271, "" ""),2)))"),"")</f>
        <v/>
      </c>
      <c r="U1271" s="38" t="b">
        <f t="shared" si="34"/>
        <v>0</v>
      </c>
      <c r="V1271" s="38"/>
      <c r="W1271" s="40"/>
      <c r="X1271" s="40"/>
      <c r="Y1271" s="38"/>
      <c r="Z1271" s="38"/>
      <c r="AA1271" s="38"/>
      <c r="AB1271" s="38"/>
      <c r="AC1271" s="38"/>
      <c r="AD1271" s="38"/>
      <c r="AE1271" s="38"/>
      <c r="AF1271" s="38"/>
      <c r="AG1271" s="38"/>
      <c r="AH1271" s="38"/>
      <c r="AI1271" s="38"/>
      <c r="AJ1271" s="38"/>
      <c r="AK1271" s="38"/>
      <c r="AL1271" s="38"/>
      <c r="AM1271" s="38"/>
      <c r="AN1271" s="38"/>
      <c r="AO1271" s="38"/>
      <c r="AP1271" s="38"/>
      <c r="AQ1271" s="38"/>
      <c r="AR1271" s="38"/>
      <c r="AS1271" s="38"/>
      <c r="AT1271" s="38"/>
      <c r="AU1271" s="38"/>
      <c r="AV1271" s="38"/>
      <c r="AW1271" s="38"/>
      <c r="AX1271" s="38"/>
      <c r="AY1271" s="38"/>
      <c r="AZ1271" s="38"/>
      <c r="BA1271" s="38"/>
      <c r="BB1271" s="38"/>
      <c r="BC1271" s="38"/>
      <c r="BD1271" s="38"/>
      <c r="BE1271" s="38"/>
      <c r="BF1271" s="38"/>
      <c r="BG1271" s="38"/>
      <c r="BH1271" s="38"/>
      <c r="BI1271" s="38"/>
      <c r="BJ1271" s="38"/>
      <c r="BK1271" s="38"/>
      <c r="BL1271" s="38"/>
      <c r="BM1271" s="38"/>
      <c r="BN1271" s="38"/>
      <c r="BO1271" s="38"/>
      <c r="BP1271" s="38"/>
      <c r="BQ1271" s="38"/>
    </row>
    <row r="1272">
      <c r="B1272" s="341"/>
      <c r="C1272" s="60"/>
      <c r="D1272" s="60"/>
      <c r="E1272" s="58"/>
      <c r="F1272" s="58"/>
      <c r="G1272" s="58"/>
      <c r="H1272" s="33" t="str">
        <f t="shared" si="33"/>
        <v/>
      </c>
      <c r="I1272" s="58"/>
      <c r="J1272" s="58"/>
      <c r="K1272" s="58"/>
      <c r="L1272" s="58"/>
      <c r="M1272" s="80"/>
      <c r="N1272" s="77"/>
      <c r="O1272" s="62"/>
      <c r="P1272" s="62"/>
      <c r="Q1272" s="62"/>
      <c r="R1272" s="62"/>
      <c r="S1272" s="37" t="str">
        <f>IFERROR(__xludf.DUMMYFUNCTION("if(not(iserror(index(split(C1272, "" ""),2))), index(split(C1272, "" ""),1),"""")"),"")</f>
        <v/>
      </c>
      <c r="T1272" s="315" t="str">
        <f>IFERROR(__xludf.DUMMYFUNCTION("if(S1272="""",C1272,if(not(iserror(index(split(C1272, "" ""),3))), index(split(C1272, "" ""),3),index(split(C1272, "" ""),2)))"),"")</f>
        <v/>
      </c>
      <c r="U1272" s="38" t="b">
        <f t="shared" si="34"/>
        <v>0</v>
      </c>
      <c r="V1272" s="38"/>
      <c r="W1272" s="40"/>
      <c r="X1272" s="40"/>
      <c r="Y1272" s="38"/>
      <c r="Z1272" s="38"/>
      <c r="AA1272" s="38"/>
      <c r="AB1272" s="38"/>
      <c r="AC1272" s="38"/>
      <c r="AD1272" s="38"/>
      <c r="AE1272" s="38"/>
      <c r="AF1272" s="38"/>
      <c r="AG1272" s="38"/>
      <c r="AH1272" s="38"/>
      <c r="AI1272" s="38"/>
      <c r="AJ1272" s="38"/>
      <c r="AK1272" s="38"/>
      <c r="AL1272" s="38"/>
      <c r="AM1272" s="38"/>
      <c r="AN1272" s="38"/>
      <c r="AO1272" s="38"/>
      <c r="AP1272" s="38"/>
      <c r="AQ1272" s="38"/>
      <c r="AR1272" s="38"/>
      <c r="AS1272" s="38"/>
      <c r="AT1272" s="38"/>
      <c r="AU1272" s="38"/>
      <c r="AV1272" s="38"/>
      <c r="AW1272" s="38"/>
      <c r="AX1272" s="38"/>
      <c r="AY1272" s="38"/>
      <c r="AZ1272" s="38"/>
      <c r="BA1272" s="38"/>
      <c r="BB1272" s="38"/>
      <c r="BC1272" s="38"/>
      <c r="BD1272" s="38"/>
      <c r="BE1272" s="38"/>
      <c r="BF1272" s="38"/>
      <c r="BG1272" s="38"/>
      <c r="BH1272" s="38"/>
      <c r="BI1272" s="38"/>
      <c r="BJ1272" s="38"/>
      <c r="BK1272" s="38"/>
      <c r="BL1272" s="38"/>
      <c r="BM1272" s="38"/>
      <c r="BN1272" s="38"/>
      <c r="BO1272" s="38"/>
      <c r="BP1272" s="38"/>
      <c r="BQ1272" s="38"/>
    </row>
    <row r="1273">
      <c r="B1273" s="341"/>
      <c r="C1273" s="60"/>
      <c r="D1273" s="60"/>
      <c r="E1273" s="58"/>
      <c r="F1273" s="58"/>
      <c r="G1273" s="58"/>
      <c r="H1273" s="33" t="str">
        <f t="shared" si="33"/>
        <v/>
      </c>
      <c r="I1273" s="58"/>
      <c r="J1273" s="58"/>
      <c r="K1273" s="58"/>
      <c r="L1273" s="58"/>
      <c r="M1273" s="80"/>
      <c r="N1273" s="77"/>
      <c r="O1273" s="62"/>
      <c r="P1273" s="62"/>
      <c r="Q1273" s="62"/>
      <c r="R1273" s="62"/>
      <c r="S1273" s="37" t="str">
        <f>IFERROR(__xludf.DUMMYFUNCTION("if(not(iserror(index(split(C1273, "" ""),2))), index(split(C1273, "" ""),1),"""")"),"")</f>
        <v/>
      </c>
      <c r="T1273" s="315" t="str">
        <f>IFERROR(__xludf.DUMMYFUNCTION("if(S1273="""",C1273,if(not(iserror(index(split(C1273, "" ""),3))), index(split(C1273, "" ""),3),index(split(C1273, "" ""),2)))"),"")</f>
        <v/>
      </c>
      <c r="U1273" s="38" t="b">
        <f t="shared" si="34"/>
        <v>0</v>
      </c>
      <c r="V1273" s="38"/>
      <c r="W1273" s="40"/>
      <c r="X1273" s="40"/>
      <c r="Y1273" s="38"/>
      <c r="Z1273" s="38"/>
      <c r="AA1273" s="38"/>
      <c r="AB1273" s="38"/>
      <c r="AC1273" s="38"/>
      <c r="AD1273" s="38"/>
      <c r="AE1273" s="38"/>
      <c r="AF1273" s="38"/>
      <c r="AG1273" s="38"/>
      <c r="AH1273" s="38"/>
      <c r="AI1273" s="38"/>
      <c r="AJ1273" s="38"/>
      <c r="AK1273" s="38"/>
      <c r="AL1273" s="38"/>
      <c r="AM1273" s="38"/>
      <c r="AN1273" s="38"/>
      <c r="AO1273" s="38"/>
      <c r="AP1273" s="38"/>
      <c r="AQ1273" s="38"/>
      <c r="AR1273" s="38"/>
      <c r="AS1273" s="38"/>
      <c r="AT1273" s="38"/>
      <c r="AU1273" s="38"/>
      <c r="AV1273" s="38"/>
      <c r="AW1273" s="38"/>
      <c r="AX1273" s="38"/>
      <c r="AY1273" s="38"/>
      <c r="AZ1273" s="38"/>
      <c r="BA1273" s="38"/>
      <c r="BB1273" s="38"/>
      <c r="BC1273" s="38"/>
      <c r="BD1273" s="38"/>
      <c r="BE1273" s="38"/>
      <c r="BF1273" s="38"/>
      <c r="BG1273" s="38"/>
      <c r="BH1273" s="38"/>
      <c r="BI1273" s="38"/>
      <c r="BJ1273" s="38"/>
      <c r="BK1273" s="38"/>
      <c r="BL1273" s="38"/>
      <c r="BM1273" s="38"/>
      <c r="BN1273" s="38"/>
      <c r="BO1273" s="38"/>
      <c r="BP1273" s="38"/>
      <c r="BQ1273" s="38"/>
    </row>
    <row r="1274">
      <c r="B1274" s="341"/>
      <c r="C1274" s="60"/>
      <c r="D1274" s="60"/>
      <c r="E1274" s="58"/>
      <c r="F1274" s="58"/>
      <c r="G1274" s="58"/>
      <c r="H1274" s="33" t="str">
        <f t="shared" si="33"/>
        <v/>
      </c>
      <c r="I1274" s="58"/>
      <c r="J1274" s="58"/>
      <c r="K1274" s="58"/>
      <c r="L1274" s="58"/>
      <c r="M1274" s="80"/>
      <c r="N1274" s="77"/>
      <c r="O1274" s="62"/>
      <c r="P1274" s="62"/>
      <c r="Q1274" s="62"/>
      <c r="R1274" s="62"/>
      <c r="S1274" s="37" t="str">
        <f>IFERROR(__xludf.DUMMYFUNCTION("if(not(iserror(index(split(C1274, "" ""),2))), index(split(C1274, "" ""),1),"""")"),"")</f>
        <v/>
      </c>
      <c r="T1274" s="315" t="str">
        <f>IFERROR(__xludf.DUMMYFUNCTION("if(S1274="""",C1274,if(not(iserror(index(split(C1274, "" ""),3))), index(split(C1274, "" ""),3),index(split(C1274, "" ""),2)))"),"")</f>
        <v/>
      </c>
      <c r="U1274" s="38" t="b">
        <f t="shared" si="34"/>
        <v>0</v>
      </c>
      <c r="V1274" s="38"/>
      <c r="W1274" s="40"/>
      <c r="X1274" s="40"/>
      <c r="Y1274" s="38"/>
      <c r="Z1274" s="38"/>
      <c r="AA1274" s="38"/>
      <c r="AB1274" s="38"/>
      <c r="AC1274" s="38"/>
      <c r="AD1274" s="38"/>
      <c r="AE1274" s="38"/>
      <c r="AF1274" s="38"/>
      <c r="AG1274" s="38"/>
      <c r="AH1274" s="38"/>
      <c r="AI1274" s="38"/>
      <c r="AJ1274" s="38"/>
      <c r="AK1274" s="38"/>
      <c r="AL1274" s="38"/>
      <c r="AM1274" s="38"/>
      <c r="AN1274" s="38"/>
      <c r="AO1274" s="38"/>
      <c r="AP1274" s="38"/>
      <c r="AQ1274" s="38"/>
      <c r="AR1274" s="38"/>
      <c r="AS1274" s="38"/>
      <c r="AT1274" s="38"/>
      <c r="AU1274" s="38"/>
      <c r="AV1274" s="38"/>
      <c r="AW1274" s="38"/>
      <c r="AX1274" s="38"/>
      <c r="AY1274" s="38"/>
      <c r="AZ1274" s="38"/>
      <c r="BA1274" s="38"/>
      <c r="BB1274" s="38"/>
      <c r="BC1274" s="38"/>
      <c r="BD1274" s="38"/>
      <c r="BE1274" s="38"/>
      <c r="BF1274" s="38"/>
      <c r="BG1274" s="38"/>
      <c r="BH1274" s="38"/>
      <c r="BI1274" s="38"/>
      <c r="BJ1274" s="38"/>
      <c r="BK1274" s="38"/>
      <c r="BL1274" s="38"/>
      <c r="BM1274" s="38"/>
      <c r="BN1274" s="38"/>
      <c r="BO1274" s="38"/>
      <c r="BP1274" s="38"/>
      <c r="BQ1274" s="38"/>
    </row>
    <row r="1275">
      <c r="B1275" s="341"/>
      <c r="C1275" s="60"/>
      <c r="D1275" s="60"/>
      <c r="E1275" s="58"/>
      <c r="F1275" s="58"/>
      <c r="G1275" s="58"/>
      <c r="H1275" s="33" t="str">
        <f t="shared" si="33"/>
        <v/>
      </c>
      <c r="I1275" s="58"/>
      <c r="J1275" s="58"/>
      <c r="K1275" s="58"/>
      <c r="L1275" s="58"/>
      <c r="M1275" s="80"/>
      <c r="N1275" s="77"/>
      <c r="O1275" s="62"/>
      <c r="P1275" s="62"/>
      <c r="Q1275" s="62"/>
      <c r="R1275" s="62"/>
      <c r="S1275" s="37" t="str">
        <f>IFERROR(__xludf.DUMMYFUNCTION("if(not(iserror(index(split(C1275, "" ""),2))), index(split(C1275, "" ""),1),"""")"),"")</f>
        <v/>
      </c>
      <c r="T1275" s="315" t="str">
        <f>IFERROR(__xludf.DUMMYFUNCTION("if(S1275="""",C1275,if(not(iserror(index(split(C1275, "" ""),3))), index(split(C1275, "" ""),3),index(split(C1275, "" ""),2)))"),"")</f>
        <v/>
      </c>
      <c r="U1275" s="38" t="b">
        <f t="shared" si="34"/>
        <v>0</v>
      </c>
      <c r="V1275" s="38"/>
      <c r="W1275" s="40"/>
      <c r="X1275" s="40"/>
      <c r="Y1275" s="38"/>
      <c r="Z1275" s="38"/>
      <c r="AA1275" s="38"/>
      <c r="AB1275" s="38"/>
      <c r="AC1275" s="38"/>
      <c r="AD1275" s="38"/>
      <c r="AE1275" s="38"/>
      <c r="AF1275" s="38"/>
      <c r="AG1275" s="38"/>
      <c r="AH1275" s="38"/>
      <c r="AI1275" s="38"/>
      <c r="AJ1275" s="38"/>
      <c r="AK1275" s="38"/>
      <c r="AL1275" s="38"/>
      <c r="AM1275" s="38"/>
      <c r="AN1275" s="38"/>
      <c r="AO1275" s="38"/>
      <c r="AP1275" s="38"/>
      <c r="AQ1275" s="38"/>
      <c r="AR1275" s="38"/>
      <c r="AS1275" s="38"/>
      <c r="AT1275" s="38"/>
      <c r="AU1275" s="38"/>
      <c r="AV1275" s="38"/>
      <c r="AW1275" s="38"/>
      <c r="AX1275" s="38"/>
      <c r="AY1275" s="38"/>
      <c r="AZ1275" s="38"/>
      <c r="BA1275" s="38"/>
      <c r="BB1275" s="38"/>
      <c r="BC1275" s="38"/>
      <c r="BD1275" s="38"/>
      <c r="BE1275" s="38"/>
      <c r="BF1275" s="38"/>
      <c r="BG1275" s="38"/>
      <c r="BH1275" s="38"/>
      <c r="BI1275" s="38"/>
      <c r="BJ1275" s="38"/>
      <c r="BK1275" s="38"/>
      <c r="BL1275" s="38"/>
      <c r="BM1275" s="38"/>
      <c r="BN1275" s="38"/>
      <c r="BO1275" s="38"/>
      <c r="BP1275" s="38"/>
      <c r="BQ1275" s="38"/>
    </row>
    <row r="1276">
      <c r="B1276" s="341"/>
      <c r="C1276" s="60"/>
      <c r="D1276" s="60"/>
      <c r="E1276" s="58"/>
      <c r="F1276" s="58"/>
      <c r="G1276" s="58"/>
      <c r="H1276" s="33" t="str">
        <f t="shared" si="33"/>
        <v/>
      </c>
      <c r="I1276" s="58"/>
      <c r="J1276" s="58"/>
      <c r="K1276" s="58"/>
      <c r="L1276" s="58"/>
      <c r="M1276" s="80"/>
      <c r="N1276" s="77"/>
      <c r="O1276" s="62"/>
      <c r="P1276" s="62"/>
      <c r="Q1276" s="62"/>
      <c r="R1276" s="62"/>
      <c r="S1276" s="37" t="str">
        <f>IFERROR(__xludf.DUMMYFUNCTION("if(not(iserror(index(split(C1276, "" ""),2))), index(split(C1276, "" ""),1),"""")"),"")</f>
        <v/>
      </c>
      <c r="T1276" s="315" t="str">
        <f>IFERROR(__xludf.DUMMYFUNCTION("if(S1276="""",C1276,if(not(iserror(index(split(C1276, "" ""),3))), index(split(C1276, "" ""),3),index(split(C1276, "" ""),2)))"),"")</f>
        <v/>
      </c>
      <c r="U1276" s="38" t="b">
        <f t="shared" si="34"/>
        <v>0</v>
      </c>
      <c r="V1276" s="38"/>
      <c r="W1276" s="40"/>
      <c r="X1276" s="40"/>
      <c r="Y1276" s="38"/>
      <c r="Z1276" s="38"/>
      <c r="AA1276" s="38"/>
      <c r="AB1276" s="38"/>
      <c r="AC1276" s="38"/>
      <c r="AD1276" s="38"/>
      <c r="AE1276" s="38"/>
      <c r="AF1276" s="38"/>
      <c r="AG1276" s="38"/>
      <c r="AH1276" s="38"/>
      <c r="AI1276" s="38"/>
      <c r="AJ1276" s="38"/>
      <c r="AK1276" s="38"/>
      <c r="AL1276" s="38"/>
      <c r="AM1276" s="38"/>
      <c r="AN1276" s="38"/>
      <c r="AO1276" s="38"/>
      <c r="AP1276" s="38"/>
      <c r="AQ1276" s="38"/>
      <c r="AR1276" s="38"/>
      <c r="AS1276" s="38"/>
      <c r="AT1276" s="38"/>
      <c r="AU1276" s="38"/>
      <c r="AV1276" s="38"/>
      <c r="AW1276" s="38"/>
      <c r="AX1276" s="38"/>
      <c r="AY1276" s="38"/>
      <c r="AZ1276" s="38"/>
      <c r="BA1276" s="38"/>
      <c r="BB1276" s="38"/>
      <c r="BC1276" s="38"/>
      <c r="BD1276" s="38"/>
      <c r="BE1276" s="38"/>
      <c r="BF1276" s="38"/>
      <c r="BG1276" s="38"/>
      <c r="BH1276" s="38"/>
      <c r="BI1276" s="38"/>
      <c r="BJ1276" s="38"/>
      <c r="BK1276" s="38"/>
      <c r="BL1276" s="38"/>
      <c r="BM1276" s="38"/>
      <c r="BN1276" s="38"/>
      <c r="BO1276" s="38"/>
      <c r="BP1276" s="38"/>
      <c r="BQ1276" s="38"/>
    </row>
    <row r="1277">
      <c r="B1277" s="341"/>
      <c r="C1277" s="60"/>
      <c r="D1277" s="60"/>
      <c r="E1277" s="58"/>
      <c r="F1277" s="58"/>
      <c r="G1277" s="58"/>
      <c r="H1277" s="33" t="str">
        <f t="shared" si="33"/>
        <v/>
      </c>
      <c r="I1277" s="58"/>
      <c r="J1277" s="58"/>
      <c r="K1277" s="58"/>
      <c r="L1277" s="58"/>
      <c r="M1277" s="80"/>
      <c r="N1277" s="77"/>
      <c r="O1277" s="62"/>
      <c r="P1277" s="62"/>
      <c r="Q1277" s="62"/>
      <c r="R1277" s="62"/>
      <c r="S1277" s="37" t="str">
        <f>IFERROR(__xludf.DUMMYFUNCTION("if(not(iserror(index(split(C1277, "" ""),2))), index(split(C1277, "" ""),1),"""")"),"")</f>
        <v/>
      </c>
      <c r="T1277" s="315" t="str">
        <f>IFERROR(__xludf.DUMMYFUNCTION("if(S1277="""",C1277,if(not(iserror(index(split(C1277, "" ""),3))), index(split(C1277, "" ""),3),index(split(C1277, "" ""),2)))"),"")</f>
        <v/>
      </c>
      <c r="U1277" s="38" t="b">
        <f t="shared" si="34"/>
        <v>0</v>
      </c>
      <c r="V1277" s="38"/>
      <c r="W1277" s="40"/>
      <c r="X1277" s="40"/>
      <c r="Y1277" s="38"/>
      <c r="Z1277" s="38"/>
      <c r="AA1277" s="38"/>
      <c r="AB1277" s="38"/>
      <c r="AC1277" s="38"/>
      <c r="AD1277" s="38"/>
      <c r="AE1277" s="38"/>
      <c r="AF1277" s="38"/>
      <c r="AG1277" s="38"/>
      <c r="AH1277" s="38"/>
      <c r="AI1277" s="38"/>
      <c r="AJ1277" s="38"/>
      <c r="AK1277" s="38"/>
      <c r="AL1277" s="38"/>
      <c r="AM1277" s="38"/>
      <c r="AN1277" s="38"/>
      <c r="AO1277" s="38"/>
      <c r="AP1277" s="38"/>
      <c r="AQ1277" s="38"/>
      <c r="AR1277" s="38"/>
      <c r="AS1277" s="38"/>
      <c r="AT1277" s="38"/>
      <c r="AU1277" s="38"/>
      <c r="AV1277" s="38"/>
      <c r="AW1277" s="38"/>
      <c r="AX1277" s="38"/>
      <c r="AY1277" s="38"/>
      <c r="AZ1277" s="38"/>
      <c r="BA1277" s="38"/>
      <c r="BB1277" s="38"/>
      <c r="BC1277" s="38"/>
      <c r="BD1277" s="38"/>
      <c r="BE1277" s="38"/>
      <c r="BF1277" s="38"/>
      <c r="BG1277" s="38"/>
      <c r="BH1277" s="38"/>
      <c r="BI1277" s="38"/>
      <c r="BJ1277" s="38"/>
      <c r="BK1277" s="38"/>
      <c r="BL1277" s="38"/>
      <c r="BM1277" s="38"/>
      <c r="BN1277" s="38"/>
      <c r="BO1277" s="38"/>
      <c r="BP1277" s="38"/>
      <c r="BQ1277" s="38"/>
    </row>
    <row r="1278">
      <c r="B1278" s="341"/>
      <c r="C1278" s="60"/>
      <c r="D1278" s="60"/>
      <c r="E1278" s="58"/>
      <c r="F1278" s="58"/>
      <c r="G1278" s="58"/>
      <c r="H1278" s="33" t="str">
        <f t="shared" si="33"/>
        <v/>
      </c>
      <c r="I1278" s="58"/>
      <c r="J1278" s="58"/>
      <c r="K1278" s="58"/>
      <c r="L1278" s="58"/>
      <c r="M1278" s="80"/>
      <c r="N1278" s="77"/>
      <c r="O1278" s="62"/>
      <c r="P1278" s="62"/>
      <c r="Q1278" s="62"/>
      <c r="R1278" s="62"/>
      <c r="S1278" s="37" t="str">
        <f>IFERROR(__xludf.DUMMYFUNCTION("if(not(iserror(index(split(C1278, "" ""),2))), index(split(C1278, "" ""),1),"""")"),"")</f>
        <v/>
      </c>
      <c r="T1278" s="315" t="str">
        <f>IFERROR(__xludf.DUMMYFUNCTION("if(S1278="""",C1278,if(not(iserror(index(split(C1278, "" ""),3))), index(split(C1278, "" ""),3),index(split(C1278, "" ""),2)))"),"")</f>
        <v/>
      </c>
      <c r="U1278" s="38" t="b">
        <f t="shared" si="34"/>
        <v>0</v>
      </c>
      <c r="V1278" s="38"/>
      <c r="W1278" s="40"/>
      <c r="X1278" s="40"/>
      <c r="Y1278" s="38"/>
      <c r="Z1278" s="38"/>
      <c r="AA1278" s="38"/>
      <c r="AB1278" s="38"/>
      <c r="AC1278" s="38"/>
      <c r="AD1278" s="38"/>
      <c r="AE1278" s="38"/>
      <c r="AF1278" s="38"/>
      <c r="AG1278" s="38"/>
      <c r="AH1278" s="38"/>
      <c r="AI1278" s="38"/>
      <c r="AJ1278" s="38"/>
      <c r="AK1278" s="38"/>
      <c r="AL1278" s="38"/>
      <c r="AM1278" s="38"/>
      <c r="AN1278" s="38"/>
      <c r="AO1278" s="38"/>
      <c r="AP1278" s="38"/>
      <c r="AQ1278" s="38"/>
      <c r="AR1278" s="38"/>
      <c r="AS1278" s="38"/>
      <c r="AT1278" s="38"/>
      <c r="AU1278" s="38"/>
      <c r="AV1278" s="38"/>
      <c r="AW1278" s="38"/>
      <c r="AX1278" s="38"/>
      <c r="AY1278" s="38"/>
      <c r="AZ1278" s="38"/>
      <c r="BA1278" s="38"/>
      <c r="BB1278" s="38"/>
      <c r="BC1278" s="38"/>
      <c r="BD1278" s="38"/>
      <c r="BE1278" s="38"/>
      <c r="BF1278" s="38"/>
      <c r="BG1278" s="38"/>
      <c r="BH1278" s="38"/>
      <c r="BI1278" s="38"/>
      <c r="BJ1278" s="38"/>
      <c r="BK1278" s="38"/>
      <c r="BL1278" s="38"/>
      <c r="BM1278" s="38"/>
      <c r="BN1278" s="38"/>
      <c r="BO1278" s="38"/>
      <c r="BP1278" s="38"/>
      <c r="BQ1278" s="38"/>
    </row>
    <row r="1279">
      <c r="B1279" s="341"/>
      <c r="C1279" s="60"/>
      <c r="D1279" s="60"/>
      <c r="E1279" s="58"/>
      <c r="F1279" s="58"/>
      <c r="G1279" s="58"/>
      <c r="H1279" s="33" t="str">
        <f t="shared" si="33"/>
        <v/>
      </c>
      <c r="I1279" s="58"/>
      <c r="J1279" s="58"/>
      <c r="K1279" s="58"/>
      <c r="L1279" s="58"/>
      <c r="M1279" s="80"/>
      <c r="N1279" s="77"/>
      <c r="O1279" s="62"/>
      <c r="P1279" s="62"/>
      <c r="Q1279" s="62"/>
      <c r="R1279" s="62"/>
      <c r="S1279" s="37" t="str">
        <f>IFERROR(__xludf.DUMMYFUNCTION("if(not(iserror(index(split(C1279, "" ""),2))), index(split(C1279, "" ""),1),"""")"),"")</f>
        <v/>
      </c>
      <c r="T1279" s="315" t="str">
        <f>IFERROR(__xludf.DUMMYFUNCTION("if(S1279="""",C1279,if(not(iserror(index(split(C1279, "" ""),3))), index(split(C1279, "" ""),3),index(split(C1279, "" ""),2)))"),"")</f>
        <v/>
      </c>
      <c r="U1279" s="38" t="b">
        <f t="shared" si="34"/>
        <v>0</v>
      </c>
      <c r="V1279" s="38"/>
      <c r="W1279" s="40"/>
      <c r="X1279" s="40"/>
      <c r="Y1279" s="38"/>
      <c r="Z1279" s="38"/>
      <c r="AA1279" s="38"/>
      <c r="AB1279" s="38"/>
      <c r="AC1279" s="38"/>
      <c r="AD1279" s="38"/>
      <c r="AE1279" s="38"/>
      <c r="AF1279" s="38"/>
      <c r="AG1279" s="38"/>
      <c r="AH1279" s="38"/>
      <c r="AI1279" s="38"/>
      <c r="AJ1279" s="38"/>
      <c r="AK1279" s="38"/>
      <c r="AL1279" s="38"/>
      <c r="AM1279" s="38"/>
      <c r="AN1279" s="38"/>
      <c r="AO1279" s="38"/>
      <c r="AP1279" s="38"/>
      <c r="AQ1279" s="38"/>
      <c r="AR1279" s="38"/>
      <c r="AS1279" s="38"/>
      <c r="AT1279" s="38"/>
      <c r="AU1279" s="38"/>
      <c r="AV1279" s="38"/>
      <c r="AW1279" s="38"/>
      <c r="AX1279" s="38"/>
      <c r="AY1279" s="38"/>
      <c r="AZ1279" s="38"/>
      <c r="BA1279" s="38"/>
      <c r="BB1279" s="38"/>
      <c r="BC1279" s="38"/>
      <c r="BD1279" s="38"/>
      <c r="BE1279" s="38"/>
      <c r="BF1279" s="38"/>
      <c r="BG1279" s="38"/>
      <c r="BH1279" s="38"/>
      <c r="BI1279" s="38"/>
      <c r="BJ1279" s="38"/>
      <c r="BK1279" s="38"/>
      <c r="BL1279" s="38"/>
      <c r="BM1279" s="38"/>
      <c r="BN1279" s="38"/>
      <c r="BO1279" s="38"/>
      <c r="BP1279" s="38"/>
      <c r="BQ1279" s="38"/>
    </row>
    <row r="1280">
      <c r="B1280" s="341"/>
      <c r="C1280" s="60"/>
      <c r="D1280" s="60"/>
      <c r="E1280" s="58"/>
      <c r="F1280" s="58"/>
      <c r="G1280" s="58"/>
      <c r="H1280" s="33" t="str">
        <f t="shared" si="33"/>
        <v/>
      </c>
      <c r="I1280" s="58"/>
      <c r="J1280" s="58"/>
      <c r="K1280" s="58"/>
      <c r="L1280" s="58"/>
      <c r="M1280" s="80"/>
      <c r="N1280" s="77"/>
      <c r="O1280" s="62"/>
      <c r="P1280" s="62"/>
      <c r="Q1280" s="62"/>
      <c r="R1280" s="62"/>
      <c r="S1280" s="37" t="str">
        <f>IFERROR(__xludf.DUMMYFUNCTION("if(not(iserror(index(split(C1280, "" ""),2))), index(split(C1280, "" ""),1),"""")"),"")</f>
        <v/>
      </c>
      <c r="T1280" s="315" t="str">
        <f>IFERROR(__xludf.DUMMYFUNCTION("if(S1280="""",C1280,if(not(iserror(index(split(C1280, "" ""),3))), index(split(C1280, "" ""),3),index(split(C1280, "" ""),2)))"),"")</f>
        <v/>
      </c>
      <c r="U1280" s="38" t="b">
        <f t="shared" si="34"/>
        <v>0</v>
      </c>
      <c r="V1280" s="38"/>
      <c r="W1280" s="40"/>
      <c r="X1280" s="40"/>
      <c r="Y1280" s="38"/>
      <c r="Z1280" s="38"/>
      <c r="AA1280" s="38"/>
      <c r="AB1280" s="38"/>
      <c r="AC1280" s="38"/>
      <c r="AD1280" s="38"/>
      <c r="AE1280" s="38"/>
      <c r="AF1280" s="38"/>
      <c r="AG1280" s="38"/>
      <c r="AH1280" s="38"/>
      <c r="AI1280" s="38"/>
      <c r="AJ1280" s="38"/>
      <c r="AK1280" s="38"/>
      <c r="AL1280" s="38"/>
      <c r="AM1280" s="38"/>
      <c r="AN1280" s="38"/>
      <c r="AO1280" s="38"/>
      <c r="AP1280" s="38"/>
      <c r="AQ1280" s="38"/>
      <c r="AR1280" s="38"/>
      <c r="AS1280" s="38"/>
      <c r="AT1280" s="38"/>
      <c r="AU1280" s="38"/>
      <c r="AV1280" s="38"/>
      <c r="AW1280" s="38"/>
      <c r="AX1280" s="38"/>
      <c r="AY1280" s="38"/>
      <c r="AZ1280" s="38"/>
      <c r="BA1280" s="38"/>
      <c r="BB1280" s="38"/>
      <c r="BC1280" s="38"/>
      <c r="BD1280" s="38"/>
      <c r="BE1280" s="38"/>
      <c r="BF1280" s="38"/>
      <c r="BG1280" s="38"/>
      <c r="BH1280" s="38"/>
      <c r="BI1280" s="38"/>
      <c r="BJ1280" s="38"/>
      <c r="BK1280" s="38"/>
      <c r="BL1280" s="38"/>
      <c r="BM1280" s="38"/>
      <c r="BN1280" s="38"/>
      <c r="BO1280" s="38"/>
      <c r="BP1280" s="38"/>
      <c r="BQ1280" s="38"/>
    </row>
    <row r="1281">
      <c r="B1281" s="341"/>
      <c r="C1281" s="60"/>
      <c r="D1281" s="60"/>
      <c r="E1281" s="58"/>
      <c r="F1281" s="58"/>
      <c r="G1281" s="58"/>
      <c r="H1281" s="33" t="str">
        <f t="shared" si="33"/>
        <v/>
      </c>
      <c r="I1281" s="58"/>
      <c r="J1281" s="58"/>
      <c r="K1281" s="58"/>
      <c r="L1281" s="58"/>
      <c r="M1281" s="80"/>
      <c r="N1281" s="77"/>
      <c r="O1281" s="62"/>
      <c r="P1281" s="62"/>
      <c r="Q1281" s="62"/>
      <c r="R1281" s="62"/>
      <c r="S1281" s="37" t="str">
        <f>IFERROR(__xludf.DUMMYFUNCTION("if(not(iserror(index(split(C1281, "" ""),2))), index(split(C1281, "" ""),1),"""")"),"")</f>
        <v/>
      </c>
      <c r="T1281" s="315" t="str">
        <f>IFERROR(__xludf.DUMMYFUNCTION("if(S1281="""",C1281,if(not(iserror(index(split(C1281, "" ""),3))), index(split(C1281, "" ""),3),index(split(C1281, "" ""),2)))"),"")</f>
        <v/>
      </c>
      <c r="U1281" s="38" t="b">
        <f t="shared" si="34"/>
        <v>0</v>
      </c>
      <c r="V1281" s="38"/>
      <c r="W1281" s="40"/>
      <c r="X1281" s="40"/>
      <c r="Y1281" s="38"/>
      <c r="Z1281" s="38"/>
      <c r="AA1281" s="38"/>
      <c r="AB1281" s="38"/>
      <c r="AC1281" s="38"/>
      <c r="AD1281" s="38"/>
      <c r="AE1281" s="38"/>
      <c r="AF1281" s="38"/>
      <c r="AG1281" s="38"/>
      <c r="AH1281" s="38"/>
      <c r="AI1281" s="38"/>
      <c r="AJ1281" s="38"/>
      <c r="AK1281" s="38"/>
      <c r="AL1281" s="38"/>
      <c r="AM1281" s="38"/>
      <c r="AN1281" s="38"/>
      <c r="AO1281" s="38"/>
      <c r="AP1281" s="38"/>
      <c r="AQ1281" s="38"/>
      <c r="AR1281" s="38"/>
      <c r="AS1281" s="38"/>
      <c r="AT1281" s="38"/>
      <c r="AU1281" s="38"/>
      <c r="AV1281" s="38"/>
      <c r="AW1281" s="38"/>
      <c r="AX1281" s="38"/>
      <c r="AY1281" s="38"/>
      <c r="AZ1281" s="38"/>
      <c r="BA1281" s="38"/>
      <c r="BB1281" s="38"/>
      <c r="BC1281" s="38"/>
      <c r="BD1281" s="38"/>
      <c r="BE1281" s="38"/>
      <c r="BF1281" s="38"/>
      <c r="BG1281" s="38"/>
      <c r="BH1281" s="38"/>
      <c r="BI1281" s="38"/>
      <c r="BJ1281" s="38"/>
      <c r="BK1281" s="38"/>
      <c r="BL1281" s="38"/>
      <c r="BM1281" s="38"/>
      <c r="BN1281" s="38"/>
      <c r="BO1281" s="38"/>
      <c r="BP1281" s="38"/>
      <c r="BQ1281" s="38"/>
    </row>
    <row r="1282">
      <c r="B1282" s="341"/>
      <c r="C1282" s="60"/>
      <c r="D1282" s="60"/>
      <c r="E1282" s="58"/>
      <c r="F1282" s="58"/>
      <c r="G1282" s="58"/>
      <c r="H1282" s="33" t="str">
        <f t="shared" si="33"/>
        <v/>
      </c>
      <c r="I1282" s="58"/>
      <c r="J1282" s="58"/>
      <c r="K1282" s="58"/>
      <c r="L1282" s="58"/>
      <c r="M1282" s="80"/>
      <c r="N1282" s="77"/>
      <c r="O1282" s="62"/>
      <c r="P1282" s="62"/>
      <c r="Q1282" s="62"/>
      <c r="R1282" s="62"/>
      <c r="S1282" s="37" t="str">
        <f>IFERROR(__xludf.DUMMYFUNCTION("if(not(iserror(index(split(C1282, "" ""),2))), index(split(C1282, "" ""),1),"""")"),"")</f>
        <v/>
      </c>
      <c r="T1282" s="315" t="str">
        <f>IFERROR(__xludf.DUMMYFUNCTION("if(S1282="""",C1282,if(not(iserror(index(split(C1282, "" ""),3))), index(split(C1282, "" ""),3),index(split(C1282, "" ""),2)))"),"")</f>
        <v/>
      </c>
      <c r="U1282" s="38" t="b">
        <f t="shared" si="34"/>
        <v>0</v>
      </c>
      <c r="V1282" s="38"/>
      <c r="W1282" s="40"/>
      <c r="X1282" s="40"/>
      <c r="Y1282" s="38"/>
      <c r="Z1282" s="38"/>
      <c r="AA1282" s="38"/>
      <c r="AB1282" s="38"/>
      <c r="AC1282" s="38"/>
      <c r="AD1282" s="38"/>
      <c r="AE1282" s="38"/>
      <c r="AF1282" s="38"/>
      <c r="AG1282" s="38"/>
      <c r="AH1282" s="38"/>
      <c r="AI1282" s="38"/>
      <c r="AJ1282" s="38"/>
      <c r="AK1282" s="38"/>
      <c r="AL1282" s="38"/>
      <c r="AM1282" s="38"/>
      <c r="AN1282" s="38"/>
      <c r="AO1282" s="38"/>
      <c r="AP1282" s="38"/>
      <c r="AQ1282" s="38"/>
      <c r="AR1282" s="38"/>
      <c r="AS1282" s="38"/>
      <c r="AT1282" s="38"/>
      <c r="AU1282" s="38"/>
      <c r="AV1282" s="38"/>
      <c r="AW1282" s="38"/>
      <c r="AX1282" s="38"/>
      <c r="AY1282" s="38"/>
      <c r="AZ1282" s="38"/>
      <c r="BA1282" s="38"/>
      <c r="BB1282" s="38"/>
      <c r="BC1282" s="38"/>
      <c r="BD1282" s="38"/>
      <c r="BE1282" s="38"/>
      <c r="BF1282" s="38"/>
      <c r="BG1282" s="38"/>
      <c r="BH1282" s="38"/>
      <c r="BI1282" s="38"/>
      <c r="BJ1282" s="38"/>
      <c r="BK1282" s="38"/>
      <c r="BL1282" s="38"/>
      <c r="BM1282" s="38"/>
      <c r="BN1282" s="38"/>
      <c r="BO1282" s="38"/>
      <c r="BP1282" s="38"/>
      <c r="BQ1282" s="38"/>
    </row>
    <row r="1283">
      <c r="B1283" s="341"/>
      <c r="C1283" s="60"/>
      <c r="D1283" s="60"/>
      <c r="E1283" s="58"/>
      <c r="F1283" s="58"/>
      <c r="G1283" s="58"/>
      <c r="H1283" s="33" t="str">
        <f t="shared" si="33"/>
        <v/>
      </c>
      <c r="I1283" s="58"/>
      <c r="J1283" s="58"/>
      <c r="K1283" s="58"/>
      <c r="L1283" s="58"/>
      <c r="M1283" s="80"/>
      <c r="N1283" s="77"/>
      <c r="O1283" s="62"/>
      <c r="P1283" s="62"/>
      <c r="Q1283" s="62"/>
      <c r="R1283" s="62"/>
      <c r="S1283" s="37" t="str">
        <f>IFERROR(__xludf.DUMMYFUNCTION("if(not(iserror(index(split(C1283, "" ""),2))), index(split(C1283, "" ""),1),"""")"),"")</f>
        <v/>
      </c>
      <c r="T1283" s="315" t="str">
        <f>IFERROR(__xludf.DUMMYFUNCTION("if(S1283="""",C1283,if(not(iserror(index(split(C1283, "" ""),3))), index(split(C1283, "" ""),3),index(split(C1283, "" ""),2)))"),"")</f>
        <v/>
      </c>
      <c r="U1283" s="38" t="b">
        <f t="shared" si="34"/>
        <v>0</v>
      </c>
      <c r="V1283" s="38"/>
      <c r="W1283" s="40"/>
      <c r="X1283" s="40"/>
      <c r="Y1283" s="38"/>
      <c r="Z1283" s="38"/>
      <c r="AA1283" s="38"/>
      <c r="AB1283" s="38"/>
      <c r="AC1283" s="38"/>
      <c r="AD1283" s="38"/>
      <c r="AE1283" s="38"/>
      <c r="AF1283" s="38"/>
      <c r="AG1283" s="38"/>
      <c r="AH1283" s="38"/>
      <c r="AI1283" s="38"/>
      <c r="AJ1283" s="38"/>
      <c r="AK1283" s="38"/>
      <c r="AL1283" s="38"/>
      <c r="AM1283" s="38"/>
      <c r="AN1283" s="38"/>
      <c r="AO1283" s="38"/>
      <c r="AP1283" s="38"/>
      <c r="AQ1283" s="38"/>
      <c r="AR1283" s="38"/>
      <c r="AS1283" s="38"/>
      <c r="AT1283" s="38"/>
      <c r="AU1283" s="38"/>
      <c r="AV1283" s="38"/>
      <c r="AW1283" s="38"/>
      <c r="AX1283" s="38"/>
      <c r="AY1283" s="38"/>
      <c r="AZ1283" s="38"/>
      <c r="BA1283" s="38"/>
      <c r="BB1283" s="38"/>
      <c r="BC1283" s="38"/>
      <c r="BD1283" s="38"/>
      <c r="BE1283" s="38"/>
      <c r="BF1283" s="38"/>
      <c r="BG1283" s="38"/>
      <c r="BH1283" s="38"/>
      <c r="BI1283" s="38"/>
      <c r="BJ1283" s="38"/>
      <c r="BK1283" s="38"/>
      <c r="BL1283" s="38"/>
      <c r="BM1283" s="38"/>
      <c r="BN1283" s="38"/>
      <c r="BO1283" s="38"/>
      <c r="BP1283" s="38"/>
      <c r="BQ1283" s="38"/>
    </row>
    <row r="1284">
      <c r="B1284" s="341"/>
      <c r="C1284" s="60"/>
      <c r="D1284" s="60"/>
      <c r="E1284" s="58"/>
      <c r="F1284" s="58"/>
      <c r="G1284" s="58"/>
      <c r="H1284" s="33" t="str">
        <f t="shared" si="33"/>
        <v/>
      </c>
      <c r="I1284" s="58"/>
      <c r="J1284" s="58"/>
      <c r="K1284" s="58"/>
      <c r="L1284" s="58"/>
      <c r="M1284" s="80"/>
      <c r="N1284" s="77"/>
      <c r="O1284" s="62"/>
      <c r="P1284" s="62"/>
      <c r="Q1284" s="62"/>
      <c r="R1284" s="62"/>
      <c r="S1284" s="37" t="str">
        <f>IFERROR(__xludf.DUMMYFUNCTION("if(not(iserror(index(split(C1284, "" ""),2))), index(split(C1284, "" ""),1),"""")"),"")</f>
        <v/>
      </c>
      <c r="T1284" s="315" t="str">
        <f>IFERROR(__xludf.DUMMYFUNCTION("if(S1284="""",C1284,if(not(iserror(index(split(C1284, "" ""),3))), index(split(C1284, "" ""),3),index(split(C1284, "" ""),2)))"),"")</f>
        <v/>
      </c>
      <c r="U1284" s="38" t="b">
        <f t="shared" si="34"/>
        <v>0</v>
      </c>
      <c r="V1284" s="38"/>
      <c r="W1284" s="40"/>
      <c r="X1284" s="40"/>
      <c r="Y1284" s="38"/>
      <c r="Z1284" s="38"/>
      <c r="AA1284" s="38"/>
      <c r="AB1284" s="38"/>
      <c r="AC1284" s="38"/>
      <c r="AD1284" s="38"/>
      <c r="AE1284" s="38"/>
      <c r="AF1284" s="38"/>
      <c r="AG1284" s="38"/>
      <c r="AH1284" s="38"/>
      <c r="AI1284" s="38"/>
      <c r="AJ1284" s="38"/>
      <c r="AK1284" s="38"/>
      <c r="AL1284" s="38"/>
      <c r="AM1284" s="38"/>
      <c r="AN1284" s="38"/>
      <c r="AO1284" s="38"/>
      <c r="AP1284" s="38"/>
      <c r="AQ1284" s="38"/>
      <c r="AR1284" s="38"/>
      <c r="AS1284" s="38"/>
      <c r="AT1284" s="38"/>
      <c r="AU1284" s="38"/>
      <c r="AV1284" s="38"/>
      <c r="AW1284" s="38"/>
      <c r="AX1284" s="38"/>
      <c r="AY1284" s="38"/>
      <c r="AZ1284" s="38"/>
      <c r="BA1284" s="38"/>
      <c r="BB1284" s="38"/>
      <c r="BC1284" s="38"/>
      <c r="BD1284" s="38"/>
      <c r="BE1284" s="38"/>
      <c r="BF1284" s="38"/>
      <c r="BG1284" s="38"/>
      <c r="BH1284" s="38"/>
      <c r="BI1284" s="38"/>
      <c r="BJ1284" s="38"/>
      <c r="BK1284" s="38"/>
      <c r="BL1284" s="38"/>
      <c r="BM1284" s="38"/>
      <c r="BN1284" s="38"/>
      <c r="BO1284" s="38"/>
      <c r="BP1284" s="38"/>
      <c r="BQ1284" s="38"/>
    </row>
    <row r="1285">
      <c r="B1285" s="341"/>
      <c r="C1285" s="60"/>
      <c r="D1285" s="60"/>
      <c r="E1285" s="58"/>
      <c r="F1285" s="58"/>
      <c r="G1285" s="58"/>
      <c r="H1285" s="33" t="str">
        <f t="shared" si="33"/>
        <v/>
      </c>
      <c r="I1285" s="58"/>
      <c r="J1285" s="58"/>
      <c r="K1285" s="58"/>
      <c r="L1285" s="58"/>
      <c r="M1285" s="80"/>
      <c r="N1285" s="77"/>
      <c r="O1285" s="62"/>
      <c r="P1285" s="58"/>
      <c r="Q1285" s="84"/>
      <c r="R1285" s="62"/>
      <c r="S1285" s="37" t="str">
        <f>IFERROR(__xludf.DUMMYFUNCTION("if(not(iserror(index(split(C1285, "" ""),2))), index(split(C1285, "" ""),1),"""")"),"")</f>
        <v/>
      </c>
      <c r="T1285" s="315" t="str">
        <f>IFERROR(__xludf.DUMMYFUNCTION("if(S1285="""",C1285,if(not(iserror(index(split(C1285, "" ""),3))), index(split(C1285, "" ""),3),index(split(C1285, "" ""),2)))"),"")</f>
        <v/>
      </c>
      <c r="U1285" s="38" t="b">
        <f t="shared" si="34"/>
        <v>0</v>
      </c>
      <c r="V1285" s="38"/>
      <c r="W1285" s="40"/>
      <c r="X1285" s="40"/>
      <c r="Y1285" s="38"/>
      <c r="Z1285" s="38"/>
      <c r="AA1285" s="38"/>
      <c r="AB1285" s="38"/>
      <c r="AC1285" s="38"/>
      <c r="AD1285" s="38"/>
      <c r="AE1285" s="38"/>
      <c r="AF1285" s="38"/>
      <c r="AG1285" s="38"/>
      <c r="AH1285" s="38"/>
      <c r="AI1285" s="38"/>
      <c r="AJ1285" s="38"/>
      <c r="AK1285" s="38"/>
      <c r="AL1285" s="38"/>
      <c r="AM1285" s="38"/>
      <c r="AN1285" s="38"/>
      <c r="AO1285" s="38"/>
      <c r="AP1285" s="38"/>
      <c r="AQ1285" s="38"/>
      <c r="AR1285" s="38"/>
      <c r="AS1285" s="38"/>
      <c r="AT1285" s="38"/>
      <c r="AU1285" s="38"/>
      <c r="AV1285" s="38"/>
      <c r="AW1285" s="38"/>
      <c r="AX1285" s="38"/>
      <c r="AY1285" s="38"/>
      <c r="AZ1285" s="38"/>
      <c r="BA1285" s="38"/>
      <c r="BB1285" s="38"/>
      <c r="BC1285" s="38"/>
      <c r="BD1285" s="38"/>
      <c r="BE1285" s="38"/>
      <c r="BF1285" s="38"/>
      <c r="BG1285" s="38"/>
      <c r="BH1285" s="38"/>
      <c r="BI1285" s="38"/>
      <c r="BJ1285" s="38"/>
      <c r="BK1285" s="38"/>
      <c r="BL1285" s="38"/>
      <c r="BM1285" s="38"/>
      <c r="BN1285" s="38"/>
      <c r="BO1285" s="38"/>
      <c r="BP1285" s="38"/>
      <c r="BQ1285" s="38"/>
    </row>
    <row r="1286">
      <c r="B1286" s="341"/>
      <c r="C1286" s="60"/>
      <c r="D1286" s="60"/>
      <c r="E1286" s="58"/>
      <c r="F1286" s="58"/>
      <c r="G1286" s="58"/>
      <c r="H1286" s="33" t="str">
        <f t="shared" si="33"/>
        <v/>
      </c>
      <c r="I1286" s="58"/>
      <c r="J1286" s="58"/>
      <c r="K1286" s="58"/>
      <c r="L1286" s="58"/>
      <c r="M1286" s="80"/>
      <c r="N1286" s="77"/>
      <c r="O1286" s="62"/>
      <c r="P1286" s="62"/>
      <c r="Q1286" s="62"/>
      <c r="R1286" s="62"/>
      <c r="S1286" s="37" t="str">
        <f>IFERROR(__xludf.DUMMYFUNCTION("if(not(iserror(index(split(C1286, "" ""),2))), index(split(C1286, "" ""),1),"""")"),"")</f>
        <v/>
      </c>
      <c r="T1286" s="315" t="str">
        <f>IFERROR(__xludf.DUMMYFUNCTION("if(S1286="""",C1286,if(not(iserror(index(split(C1286, "" ""),3))), index(split(C1286, "" ""),3),index(split(C1286, "" ""),2)))"),"")</f>
        <v/>
      </c>
      <c r="U1286" s="38" t="b">
        <f t="shared" si="34"/>
        <v>0</v>
      </c>
      <c r="V1286" s="38"/>
      <c r="W1286" s="40"/>
      <c r="X1286" s="40"/>
      <c r="Y1286" s="38"/>
      <c r="Z1286" s="38"/>
      <c r="AA1286" s="38"/>
      <c r="AB1286" s="38"/>
      <c r="AC1286" s="38"/>
      <c r="AD1286" s="38"/>
      <c r="AE1286" s="38"/>
      <c r="AF1286" s="38"/>
      <c r="AG1286" s="38"/>
      <c r="AH1286" s="38"/>
      <c r="AI1286" s="38"/>
      <c r="AJ1286" s="38"/>
      <c r="AK1286" s="38"/>
      <c r="AL1286" s="38"/>
      <c r="AM1286" s="38"/>
      <c r="AN1286" s="38"/>
      <c r="AO1286" s="38"/>
      <c r="AP1286" s="38"/>
      <c r="AQ1286" s="38"/>
      <c r="AR1286" s="38"/>
      <c r="AS1286" s="38"/>
      <c r="AT1286" s="38"/>
      <c r="AU1286" s="38"/>
      <c r="AV1286" s="38"/>
      <c r="AW1286" s="38"/>
      <c r="AX1286" s="38"/>
      <c r="AY1286" s="38"/>
      <c r="AZ1286" s="38"/>
      <c r="BA1286" s="38"/>
      <c r="BB1286" s="38"/>
      <c r="BC1286" s="38"/>
      <c r="BD1286" s="38"/>
      <c r="BE1286" s="38"/>
      <c r="BF1286" s="38"/>
      <c r="BG1286" s="38"/>
      <c r="BH1286" s="38"/>
      <c r="BI1286" s="38"/>
      <c r="BJ1286" s="38"/>
      <c r="BK1286" s="38"/>
      <c r="BL1286" s="38"/>
      <c r="BM1286" s="38"/>
      <c r="BN1286" s="38"/>
      <c r="BO1286" s="38"/>
      <c r="BP1286" s="38"/>
      <c r="BQ1286" s="38"/>
    </row>
    <row r="1287">
      <c r="B1287" s="341"/>
      <c r="C1287" s="60"/>
      <c r="D1287" s="60"/>
      <c r="E1287" s="58"/>
      <c r="F1287" s="58"/>
      <c r="G1287" s="58"/>
      <c r="H1287" s="33" t="str">
        <f t="shared" si="33"/>
        <v/>
      </c>
      <c r="I1287" s="58"/>
      <c r="J1287" s="58"/>
      <c r="K1287" s="58"/>
      <c r="L1287" s="58"/>
      <c r="M1287" s="80"/>
      <c r="N1287" s="77"/>
      <c r="O1287" s="62"/>
      <c r="P1287" s="58"/>
      <c r="Q1287" s="84"/>
      <c r="R1287" s="62"/>
      <c r="S1287" s="37" t="str">
        <f>IFERROR(__xludf.DUMMYFUNCTION("if(not(iserror(index(split(C1287, "" ""),2))), index(split(C1287, "" ""),1),"""")"),"")</f>
        <v/>
      </c>
      <c r="T1287" s="315" t="str">
        <f>IFERROR(__xludf.DUMMYFUNCTION("if(S1287="""",C1287,if(not(iserror(index(split(C1287, "" ""),3))), index(split(C1287, "" ""),3),index(split(C1287, "" ""),2)))"),"")</f>
        <v/>
      </c>
      <c r="U1287" s="38" t="b">
        <f t="shared" si="34"/>
        <v>0</v>
      </c>
      <c r="V1287" s="38"/>
      <c r="W1287" s="40"/>
      <c r="X1287" s="40"/>
      <c r="Y1287" s="38"/>
      <c r="Z1287" s="38"/>
      <c r="AA1287" s="38"/>
      <c r="AB1287" s="38"/>
      <c r="AC1287" s="38"/>
      <c r="AD1287" s="38"/>
      <c r="AE1287" s="38"/>
      <c r="AF1287" s="38"/>
      <c r="AG1287" s="38"/>
      <c r="AH1287" s="38"/>
      <c r="AI1287" s="38"/>
      <c r="AJ1287" s="38"/>
      <c r="AK1287" s="38"/>
      <c r="AL1287" s="38"/>
      <c r="AM1287" s="38"/>
      <c r="AN1287" s="38"/>
      <c r="AO1287" s="38"/>
      <c r="AP1287" s="38"/>
      <c r="AQ1287" s="38"/>
      <c r="AR1287" s="38"/>
      <c r="AS1287" s="38"/>
      <c r="AT1287" s="38"/>
      <c r="AU1287" s="38"/>
      <c r="AV1287" s="38"/>
      <c r="AW1287" s="38"/>
      <c r="AX1287" s="38"/>
      <c r="AY1287" s="38"/>
      <c r="AZ1287" s="38"/>
      <c r="BA1287" s="38"/>
      <c r="BB1287" s="38"/>
      <c r="BC1287" s="38"/>
      <c r="BD1287" s="38"/>
      <c r="BE1287" s="38"/>
      <c r="BF1287" s="38"/>
      <c r="BG1287" s="38"/>
      <c r="BH1287" s="38"/>
      <c r="BI1287" s="38"/>
      <c r="BJ1287" s="38"/>
      <c r="BK1287" s="38"/>
      <c r="BL1287" s="38"/>
      <c r="BM1287" s="38"/>
      <c r="BN1287" s="38"/>
      <c r="BO1287" s="38"/>
      <c r="BP1287" s="38"/>
      <c r="BQ1287" s="38"/>
    </row>
    <row r="1288">
      <c r="B1288" s="341"/>
      <c r="C1288" s="60"/>
      <c r="D1288" s="60"/>
      <c r="E1288" s="58"/>
      <c r="F1288" s="58"/>
      <c r="G1288" s="58"/>
      <c r="H1288" s="33" t="str">
        <f t="shared" si="33"/>
        <v/>
      </c>
      <c r="I1288" s="58"/>
      <c r="J1288" s="58"/>
      <c r="K1288" s="58"/>
      <c r="L1288" s="58"/>
      <c r="M1288" s="80"/>
      <c r="N1288" s="77"/>
      <c r="O1288" s="62"/>
      <c r="P1288" s="62"/>
      <c r="Q1288" s="62"/>
      <c r="R1288" s="62"/>
      <c r="S1288" s="37" t="str">
        <f>IFERROR(__xludf.DUMMYFUNCTION("if(not(iserror(index(split(C1288, "" ""),2))), index(split(C1288, "" ""),1),"""")"),"")</f>
        <v/>
      </c>
      <c r="T1288" s="315" t="str">
        <f>IFERROR(__xludf.DUMMYFUNCTION("if(S1288="""",C1288,if(not(iserror(index(split(C1288, "" ""),3))), index(split(C1288, "" ""),3),index(split(C1288, "" ""),2)))"),"")</f>
        <v/>
      </c>
      <c r="U1288" s="38" t="b">
        <f t="shared" si="34"/>
        <v>0</v>
      </c>
      <c r="V1288" s="38"/>
      <c r="W1288" s="40"/>
      <c r="X1288" s="40"/>
      <c r="Y1288" s="38"/>
      <c r="Z1288" s="38"/>
      <c r="AA1288" s="38"/>
      <c r="AB1288" s="38"/>
      <c r="AC1288" s="38"/>
      <c r="AD1288" s="38"/>
      <c r="AE1288" s="38"/>
      <c r="AF1288" s="38"/>
      <c r="AG1288" s="38"/>
      <c r="AH1288" s="38"/>
      <c r="AI1288" s="38"/>
      <c r="AJ1288" s="38"/>
      <c r="AK1288" s="38"/>
      <c r="AL1288" s="38"/>
      <c r="AM1288" s="38"/>
      <c r="AN1288" s="38"/>
      <c r="AO1288" s="38"/>
      <c r="AP1288" s="38"/>
      <c r="AQ1288" s="38"/>
      <c r="AR1288" s="38"/>
      <c r="AS1288" s="38"/>
      <c r="AT1288" s="38"/>
      <c r="AU1288" s="38"/>
      <c r="AV1288" s="38"/>
      <c r="AW1288" s="38"/>
      <c r="AX1288" s="38"/>
      <c r="AY1288" s="38"/>
      <c r="AZ1288" s="38"/>
      <c r="BA1288" s="38"/>
      <c r="BB1288" s="38"/>
      <c r="BC1288" s="38"/>
      <c r="BD1288" s="38"/>
      <c r="BE1288" s="38"/>
      <c r="BF1288" s="38"/>
      <c r="BG1288" s="38"/>
      <c r="BH1288" s="38"/>
      <c r="BI1288" s="38"/>
      <c r="BJ1288" s="38"/>
      <c r="BK1288" s="38"/>
      <c r="BL1288" s="38"/>
      <c r="BM1288" s="38"/>
      <c r="BN1288" s="38"/>
      <c r="BO1288" s="38"/>
      <c r="BP1288" s="38"/>
      <c r="BQ1288" s="38"/>
    </row>
    <row r="1289">
      <c r="B1289" s="341"/>
      <c r="C1289" s="60"/>
      <c r="D1289" s="60"/>
      <c r="E1289" s="58"/>
      <c r="F1289" s="58"/>
      <c r="G1289" s="58"/>
      <c r="H1289" s="33" t="str">
        <f t="shared" si="33"/>
        <v/>
      </c>
      <c r="I1289" s="58"/>
      <c r="J1289" s="58"/>
      <c r="K1289" s="58"/>
      <c r="L1289" s="58"/>
      <c r="M1289" s="80"/>
      <c r="N1289" s="77"/>
      <c r="O1289" s="62"/>
      <c r="P1289" s="62"/>
      <c r="Q1289" s="62"/>
      <c r="R1289" s="62"/>
      <c r="S1289" s="37" t="str">
        <f>IFERROR(__xludf.DUMMYFUNCTION("if(not(iserror(index(split(C1289, "" ""),2))), index(split(C1289, "" ""),1),"""")"),"")</f>
        <v/>
      </c>
      <c r="T1289" s="315" t="str">
        <f>IFERROR(__xludf.DUMMYFUNCTION("if(S1289="""",C1289,if(not(iserror(index(split(C1289, "" ""),3))), index(split(C1289, "" ""),3),index(split(C1289, "" ""),2)))"),"")</f>
        <v/>
      </c>
      <c r="U1289" s="38" t="b">
        <f t="shared" si="34"/>
        <v>0</v>
      </c>
      <c r="V1289" s="38"/>
      <c r="W1289" s="40"/>
      <c r="X1289" s="40"/>
      <c r="Y1289" s="38"/>
      <c r="Z1289" s="38"/>
      <c r="AA1289" s="38"/>
      <c r="AB1289" s="38"/>
      <c r="AC1289" s="38"/>
      <c r="AD1289" s="38"/>
      <c r="AE1289" s="38"/>
      <c r="AF1289" s="38"/>
      <c r="AG1289" s="38"/>
      <c r="AH1289" s="38"/>
      <c r="AI1289" s="38"/>
      <c r="AJ1289" s="38"/>
      <c r="AK1289" s="38"/>
      <c r="AL1289" s="38"/>
      <c r="AM1289" s="38"/>
      <c r="AN1289" s="38"/>
      <c r="AO1289" s="38"/>
      <c r="AP1289" s="38"/>
      <c r="AQ1289" s="38"/>
      <c r="AR1289" s="38"/>
      <c r="AS1289" s="38"/>
      <c r="AT1289" s="38"/>
      <c r="AU1289" s="38"/>
      <c r="AV1289" s="38"/>
      <c r="AW1289" s="38"/>
      <c r="AX1289" s="38"/>
      <c r="AY1289" s="38"/>
      <c r="AZ1289" s="38"/>
      <c r="BA1289" s="38"/>
      <c r="BB1289" s="38"/>
      <c r="BC1289" s="38"/>
      <c r="BD1289" s="38"/>
      <c r="BE1289" s="38"/>
      <c r="BF1289" s="38"/>
      <c r="BG1289" s="38"/>
      <c r="BH1289" s="38"/>
      <c r="BI1289" s="38"/>
      <c r="BJ1289" s="38"/>
      <c r="BK1289" s="38"/>
      <c r="BL1289" s="38"/>
      <c r="BM1289" s="38"/>
      <c r="BN1289" s="38"/>
      <c r="BO1289" s="38"/>
      <c r="BP1289" s="38"/>
      <c r="BQ1289" s="38"/>
    </row>
    <row r="1290">
      <c r="B1290" s="341"/>
      <c r="C1290" s="60"/>
      <c r="D1290" s="60"/>
      <c r="E1290" s="58"/>
      <c r="F1290" s="58"/>
      <c r="G1290" s="58"/>
      <c r="H1290" s="33" t="str">
        <f t="shared" si="33"/>
        <v/>
      </c>
      <c r="I1290" s="58"/>
      <c r="J1290" s="58"/>
      <c r="K1290" s="58"/>
      <c r="L1290" s="58"/>
      <c r="M1290" s="80"/>
      <c r="N1290" s="77"/>
      <c r="O1290" s="62"/>
      <c r="P1290" s="62"/>
      <c r="Q1290" s="62"/>
      <c r="R1290" s="62"/>
      <c r="S1290" s="37" t="str">
        <f>IFERROR(__xludf.DUMMYFUNCTION("if(not(iserror(index(split(C1290, "" ""),2))), index(split(C1290, "" ""),1),"""")"),"")</f>
        <v/>
      </c>
      <c r="T1290" s="315" t="str">
        <f>IFERROR(__xludf.DUMMYFUNCTION("if(S1290="""",C1290,if(not(iserror(index(split(C1290, "" ""),3))), index(split(C1290, "" ""),3),index(split(C1290, "" ""),2)))"),"")</f>
        <v/>
      </c>
      <c r="U1290" s="38" t="b">
        <f t="shared" si="34"/>
        <v>0</v>
      </c>
      <c r="V1290" s="38"/>
      <c r="W1290" s="40"/>
      <c r="X1290" s="40"/>
      <c r="Y1290" s="38"/>
      <c r="Z1290" s="38"/>
      <c r="AA1290" s="38"/>
      <c r="AB1290" s="38"/>
      <c r="AC1290" s="38"/>
      <c r="AD1290" s="38"/>
      <c r="AE1290" s="38"/>
      <c r="AF1290" s="38"/>
      <c r="AG1290" s="38"/>
      <c r="AH1290" s="38"/>
      <c r="AI1290" s="38"/>
      <c r="AJ1290" s="38"/>
      <c r="AK1290" s="38"/>
      <c r="AL1290" s="38"/>
      <c r="AM1290" s="38"/>
      <c r="AN1290" s="38"/>
      <c r="AO1290" s="38"/>
      <c r="AP1290" s="38"/>
      <c r="AQ1290" s="38"/>
      <c r="AR1290" s="38"/>
      <c r="AS1290" s="38"/>
      <c r="AT1290" s="38"/>
      <c r="AU1290" s="38"/>
      <c r="AV1290" s="38"/>
      <c r="AW1290" s="38"/>
      <c r="AX1290" s="38"/>
      <c r="AY1290" s="38"/>
      <c r="AZ1290" s="38"/>
      <c r="BA1290" s="38"/>
      <c r="BB1290" s="38"/>
      <c r="BC1290" s="38"/>
      <c r="BD1290" s="38"/>
      <c r="BE1290" s="38"/>
      <c r="BF1290" s="38"/>
      <c r="BG1290" s="38"/>
      <c r="BH1290" s="38"/>
      <c r="BI1290" s="38"/>
      <c r="BJ1290" s="38"/>
      <c r="BK1290" s="38"/>
      <c r="BL1290" s="38"/>
      <c r="BM1290" s="38"/>
      <c r="BN1290" s="38"/>
      <c r="BO1290" s="38"/>
      <c r="BP1290" s="38"/>
      <c r="BQ1290" s="38"/>
    </row>
    <row r="1291">
      <c r="B1291" s="341"/>
      <c r="C1291" s="60"/>
      <c r="D1291" s="60"/>
      <c r="E1291" s="58"/>
      <c r="F1291" s="58"/>
      <c r="G1291" s="58"/>
      <c r="H1291" s="33" t="str">
        <f t="shared" si="33"/>
        <v/>
      </c>
      <c r="I1291" s="58"/>
      <c r="J1291" s="58"/>
      <c r="K1291" s="58"/>
      <c r="L1291" s="58"/>
      <c r="M1291" s="80"/>
      <c r="N1291" s="77"/>
      <c r="O1291" s="62"/>
      <c r="P1291" s="62"/>
      <c r="Q1291" s="62"/>
      <c r="R1291" s="62"/>
      <c r="S1291" s="37" t="str">
        <f>IFERROR(__xludf.DUMMYFUNCTION("if(not(iserror(index(split(C1291, "" ""),2))), index(split(C1291, "" ""),1),"""")"),"")</f>
        <v/>
      </c>
      <c r="T1291" s="315" t="str">
        <f>IFERROR(__xludf.DUMMYFUNCTION("if(S1291="""",C1291,if(not(iserror(index(split(C1291, "" ""),3))), index(split(C1291, "" ""),3),index(split(C1291, "" ""),2)))"),"")</f>
        <v/>
      </c>
      <c r="U1291" s="38" t="b">
        <f t="shared" si="34"/>
        <v>0</v>
      </c>
      <c r="V1291" s="38"/>
      <c r="W1291" s="40"/>
      <c r="X1291" s="40"/>
      <c r="Y1291" s="38"/>
      <c r="Z1291" s="38"/>
      <c r="AA1291" s="38"/>
      <c r="AB1291" s="38"/>
      <c r="AC1291" s="38"/>
      <c r="AD1291" s="38"/>
      <c r="AE1291" s="38"/>
      <c r="AF1291" s="38"/>
      <c r="AG1291" s="38"/>
      <c r="AH1291" s="38"/>
      <c r="AI1291" s="38"/>
      <c r="AJ1291" s="38"/>
      <c r="AK1291" s="38"/>
      <c r="AL1291" s="38"/>
      <c r="AM1291" s="38"/>
      <c r="AN1291" s="38"/>
      <c r="AO1291" s="38"/>
      <c r="AP1291" s="38"/>
      <c r="AQ1291" s="38"/>
      <c r="AR1291" s="38"/>
      <c r="AS1291" s="38"/>
      <c r="AT1291" s="38"/>
      <c r="AU1291" s="38"/>
      <c r="AV1291" s="38"/>
      <c r="AW1291" s="38"/>
      <c r="AX1291" s="38"/>
      <c r="AY1291" s="38"/>
      <c r="AZ1291" s="38"/>
      <c r="BA1291" s="38"/>
      <c r="BB1291" s="38"/>
      <c r="BC1291" s="38"/>
      <c r="BD1291" s="38"/>
      <c r="BE1291" s="38"/>
      <c r="BF1291" s="38"/>
      <c r="BG1291" s="38"/>
      <c r="BH1291" s="38"/>
      <c r="BI1291" s="38"/>
      <c r="BJ1291" s="38"/>
      <c r="BK1291" s="38"/>
      <c r="BL1291" s="38"/>
      <c r="BM1291" s="38"/>
      <c r="BN1291" s="38"/>
      <c r="BO1291" s="38"/>
      <c r="BP1291" s="38"/>
      <c r="BQ1291" s="38"/>
    </row>
    <row r="1292">
      <c r="B1292" s="341"/>
      <c r="C1292" s="60"/>
      <c r="D1292" s="60"/>
      <c r="E1292" s="58"/>
      <c r="F1292" s="58"/>
      <c r="G1292" s="58"/>
      <c r="H1292" s="33" t="str">
        <f t="shared" si="33"/>
        <v/>
      </c>
      <c r="I1292" s="58"/>
      <c r="J1292" s="58"/>
      <c r="K1292" s="58"/>
      <c r="L1292" s="58"/>
      <c r="M1292" s="80"/>
      <c r="N1292" s="77"/>
      <c r="O1292" s="62"/>
      <c r="P1292" s="62"/>
      <c r="Q1292" s="62"/>
      <c r="R1292" s="62"/>
      <c r="S1292" s="37" t="str">
        <f>IFERROR(__xludf.DUMMYFUNCTION("if(not(iserror(index(split(C1292, "" ""),2))), index(split(C1292, "" ""),1),"""")"),"")</f>
        <v/>
      </c>
      <c r="T1292" s="315" t="str">
        <f>IFERROR(__xludf.DUMMYFUNCTION("if(S1292="""",C1292,if(not(iserror(index(split(C1292, "" ""),3))), index(split(C1292, "" ""),3),index(split(C1292, "" ""),2)))"),"")</f>
        <v/>
      </c>
      <c r="U1292" s="38" t="b">
        <f t="shared" si="34"/>
        <v>0</v>
      </c>
      <c r="V1292" s="38"/>
      <c r="W1292" s="40"/>
      <c r="X1292" s="40"/>
      <c r="Y1292" s="38"/>
      <c r="Z1292" s="38"/>
      <c r="AA1292" s="38"/>
      <c r="AB1292" s="38"/>
      <c r="AC1292" s="38"/>
      <c r="AD1292" s="38"/>
      <c r="AE1292" s="38"/>
      <c r="AF1292" s="38"/>
      <c r="AG1292" s="38"/>
      <c r="AH1292" s="38"/>
      <c r="AI1292" s="38"/>
      <c r="AJ1292" s="38"/>
      <c r="AK1292" s="38"/>
      <c r="AL1292" s="38"/>
      <c r="AM1292" s="38"/>
      <c r="AN1292" s="38"/>
      <c r="AO1292" s="38"/>
      <c r="AP1292" s="38"/>
      <c r="AQ1292" s="38"/>
      <c r="AR1292" s="38"/>
      <c r="AS1292" s="38"/>
      <c r="AT1292" s="38"/>
      <c r="AU1292" s="38"/>
      <c r="AV1292" s="38"/>
      <c r="AW1292" s="38"/>
      <c r="AX1292" s="38"/>
      <c r="AY1292" s="38"/>
      <c r="AZ1292" s="38"/>
      <c r="BA1292" s="38"/>
      <c r="BB1292" s="38"/>
      <c r="BC1292" s="38"/>
      <c r="BD1292" s="38"/>
      <c r="BE1292" s="38"/>
      <c r="BF1292" s="38"/>
      <c r="BG1292" s="38"/>
      <c r="BH1292" s="38"/>
      <c r="BI1292" s="38"/>
      <c r="BJ1292" s="38"/>
      <c r="BK1292" s="38"/>
      <c r="BL1292" s="38"/>
      <c r="BM1292" s="38"/>
      <c r="BN1292" s="38"/>
      <c r="BO1292" s="38"/>
      <c r="BP1292" s="38"/>
      <c r="BQ1292" s="38"/>
    </row>
    <row r="1293">
      <c r="B1293" s="341"/>
      <c r="C1293" s="60"/>
      <c r="D1293" s="60"/>
      <c r="E1293" s="58"/>
      <c r="F1293" s="58"/>
      <c r="G1293" s="58"/>
      <c r="H1293" s="33" t="str">
        <f t="shared" si="33"/>
        <v/>
      </c>
      <c r="I1293" s="58"/>
      <c r="J1293" s="58"/>
      <c r="K1293" s="58"/>
      <c r="L1293" s="58"/>
      <c r="M1293" s="80"/>
      <c r="N1293" s="77"/>
      <c r="O1293" s="58"/>
      <c r="P1293" s="58"/>
      <c r="Q1293" s="84"/>
      <c r="R1293" s="62"/>
      <c r="S1293" s="37" t="str">
        <f>IFERROR(__xludf.DUMMYFUNCTION("if(not(iserror(index(split(C1293, "" ""),2))), index(split(C1293, "" ""),1),"""")"),"")</f>
        <v/>
      </c>
      <c r="T1293" s="315" t="str">
        <f>IFERROR(__xludf.DUMMYFUNCTION("if(S1293="""",C1293,if(not(iserror(index(split(C1293, "" ""),3))), index(split(C1293, "" ""),3),index(split(C1293, "" ""),2)))"),"")</f>
        <v/>
      </c>
      <c r="U1293" s="38" t="b">
        <f t="shared" si="34"/>
        <v>0</v>
      </c>
      <c r="V1293" s="38"/>
      <c r="W1293" s="40"/>
      <c r="X1293" s="40"/>
      <c r="Y1293" s="38"/>
      <c r="Z1293" s="38"/>
      <c r="AA1293" s="38"/>
      <c r="AB1293" s="38"/>
      <c r="AC1293" s="38"/>
      <c r="AD1293" s="38"/>
      <c r="AE1293" s="38"/>
      <c r="AF1293" s="38"/>
      <c r="AG1293" s="38"/>
      <c r="AH1293" s="38"/>
      <c r="AI1293" s="38"/>
      <c r="AJ1293" s="38"/>
      <c r="AK1293" s="38"/>
      <c r="AL1293" s="38"/>
      <c r="AM1293" s="38"/>
      <c r="AN1293" s="38"/>
      <c r="AO1293" s="38"/>
      <c r="AP1293" s="38"/>
      <c r="AQ1293" s="38"/>
      <c r="AR1293" s="38"/>
      <c r="AS1293" s="38"/>
      <c r="AT1293" s="38"/>
      <c r="AU1293" s="38"/>
      <c r="AV1293" s="38"/>
      <c r="AW1293" s="38"/>
      <c r="AX1293" s="38"/>
      <c r="AY1293" s="38"/>
      <c r="AZ1293" s="38"/>
      <c r="BA1293" s="38"/>
      <c r="BB1293" s="38"/>
      <c r="BC1293" s="38"/>
      <c r="BD1293" s="38"/>
      <c r="BE1293" s="38"/>
      <c r="BF1293" s="38"/>
      <c r="BG1293" s="38"/>
      <c r="BH1293" s="38"/>
      <c r="BI1293" s="38"/>
      <c r="BJ1293" s="38"/>
      <c r="BK1293" s="38"/>
      <c r="BL1293" s="38"/>
      <c r="BM1293" s="38"/>
      <c r="BN1293" s="38"/>
      <c r="BO1293" s="38"/>
      <c r="BP1293" s="38"/>
      <c r="BQ1293" s="38"/>
    </row>
    <row r="1294">
      <c r="B1294" s="341"/>
      <c r="C1294" s="60"/>
      <c r="D1294" s="60"/>
      <c r="E1294" s="58"/>
      <c r="F1294" s="58"/>
      <c r="G1294" s="58"/>
      <c r="H1294" s="33" t="str">
        <f t="shared" si="33"/>
        <v/>
      </c>
      <c r="I1294" s="58"/>
      <c r="J1294" s="58"/>
      <c r="K1294" s="58"/>
      <c r="L1294" s="58"/>
      <c r="M1294" s="80"/>
      <c r="N1294" s="80"/>
      <c r="Q1294" s="84"/>
      <c r="R1294" s="62"/>
      <c r="S1294" s="37" t="str">
        <f>IFERROR(__xludf.DUMMYFUNCTION("if(not(iserror(index(split(C1294, "" ""),2))), index(split(C1294, "" ""),1),"""")"),"")</f>
        <v/>
      </c>
      <c r="T1294" s="315" t="str">
        <f>IFERROR(__xludf.DUMMYFUNCTION("if(S1294="""",C1294,if(not(iserror(index(split(C1294, "" ""),3))), index(split(C1294, "" ""),3),index(split(C1294, "" ""),2)))"),"")</f>
        <v/>
      </c>
      <c r="U1294" s="38" t="b">
        <f t="shared" si="34"/>
        <v>0</v>
      </c>
      <c r="V1294" s="38"/>
      <c r="W1294" s="40"/>
      <c r="X1294" s="40"/>
      <c r="Y1294" s="38"/>
      <c r="Z1294" s="38"/>
      <c r="AA1294" s="38"/>
      <c r="AB1294" s="38"/>
      <c r="AC1294" s="38"/>
      <c r="AD1294" s="38"/>
      <c r="AE1294" s="38"/>
      <c r="AF1294" s="38"/>
      <c r="AG1294" s="38"/>
      <c r="AH1294" s="38"/>
      <c r="AI1294" s="38"/>
      <c r="AJ1294" s="38"/>
      <c r="AK1294" s="38"/>
      <c r="AL1294" s="38"/>
      <c r="AM1294" s="38"/>
      <c r="AN1294" s="38"/>
      <c r="AO1294" s="38"/>
      <c r="AP1294" s="38"/>
      <c r="AQ1294" s="38"/>
      <c r="AR1294" s="38"/>
      <c r="AS1294" s="38"/>
      <c r="AT1294" s="38"/>
      <c r="AU1294" s="38"/>
      <c r="AV1294" s="38"/>
      <c r="AW1294" s="38"/>
      <c r="AX1294" s="38"/>
      <c r="AY1294" s="38"/>
      <c r="AZ1294" s="38"/>
      <c r="BA1294" s="38"/>
      <c r="BB1294" s="38"/>
      <c r="BC1294" s="38"/>
      <c r="BD1294" s="38"/>
      <c r="BE1294" s="38"/>
      <c r="BF1294" s="38"/>
      <c r="BG1294" s="38"/>
      <c r="BH1294" s="38"/>
      <c r="BI1294" s="38"/>
      <c r="BJ1294" s="38"/>
      <c r="BK1294" s="38"/>
      <c r="BL1294" s="38"/>
      <c r="BM1294" s="38"/>
      <c r="BN1294" s="38"/>
      <c r="BO1294" s="38"/>
      <c r="BP1294" s="38"/>
      <c r="BQ1294" s="38"/>
    </row>
    <row r="1295">
      <c r="B1295" s="341"/>
      <c r="C1295" s="60"/>
      <c r="D1295" s="60"/>
      <c r="E1295" s="58"/>
      <c r="F1295" s="58"/>
      <c r="G1295" s="58"/>
      <c r="H1295" s="33" t="str">
        <f t="shared" si="33"/>
        <v/>
      </c>
      <c r="I1295" s="58"/>
      <c r="J1295" s="58"/>
      <c r="K1295" s="58"/>
      <c r="L1295" s="58"/>
      <c r="M1295" s="80"/>
      <c r="N1295" s="77"/>
      <c r="O1295" s="62"/>
      <c r="P1295" s="62"/>
      <c r="Q1295" s="62"/>
      <c r="R1295" s="62"/>
      <c r="S1295" s="37" t="str">
        <f>IFERROR(__xludf.DUMMYFUNCTION("if(not(iserror(index(split(C1295, "" ""),2))), index(split(C1295, "" ""),1),"""")"),"")</f>
        <v/>
      </c>
      <c r="T1295" s="315" t="str">
        <f>IFERROR(__xludf.DUMMYFUNCTION("if(S1295="""",C1295,if(not(iserror(index(split(C1295, "" ""),3))), index(split(C1295, "" ""),3),index(split(C1295, "" ""),2)))"),"")</f>
        <v/>
      </c>
      <c r="U1295" s="38" t="b">
        <f t="shared" si="34"/>
        <v>0</v>
      </c>
      <c r="V1295" s="38"/>
      <c r="W1295" s="40"/>
      <c r="X1295" s="40"/>
      <c r="Y1295" s="38"/>
      <c r="Z1295" s="38"/>
      <c r="AA1295" s="38"/>
      <c r="AB1295" s="38"/>
      <c r="AC1295" s="38"/>
      <c r="AD1295" s="38"/>
      <c r="AE1295" s="38"/>
      <c r="AF1295" s="38"/>
      <c r="AG1295" s="38"/>
      <c r="AH1295" s="38"/>
      <c r="AI1295" s="38"/>
      <c r="AJ1295" s="38"/>
      <c r="AK1295" s="38"/>
      <c r="AL1295" s="38"/>
      <c r="AM1295" s="38"/>
      <c r="AN1295" s="38"/>
      <c r="AO1295" s="38"/>
      <c r="AP1295" s="38"/>
      <c r="AQ1295" s="38"/>
      <c r="AR1295" s="38"/>
      <c r="AS1295" s="38"/>
      <c r="AT1295" s="38"/>
      <c r="AU1295" s="38"/>
      <c r="AV1295" s="38"/>
      <c r="AW1295" s="38"/>
      <c r="AX1295" s="38"/>
      <c r="AY1295" s="38"/>
      <c r="AZ1295" s="38"/>
      <c r="BA1295" s="38"/>
      <c r="BB1295" s="38"/>
      <c r="BC1295" s="38"/>
      <c r="BD1295" s="38"/>
      <c r="BE1295" s="38"/>
      <c r="BF1295" s="38"/>
      <c r="BG1295" s="38"/>
      <c r="BH1295" s="38"/>
      <c r="BI1295" s="38"/>
      <c r="BJ1295" s="38"/>
      <c r="BK1295" s="38"/>
      <c r="BL1295" s="38"/>
      <c r="BM1295" s="38"/>
      <c r="BN1295" s="38"/>
      <c r="BO1295" s="38"/>
      <c r="BP1295" s="38"/>
      <c r="BQ1295" s="38"/>
    </row>
    <row r="1296">
      <c r="B1296" s="341"/>
      <c r="C1296" s="60"/>
      <c r="D1296" s="60"/>
      <c r="E1296" s="58"/>
      <c r="F1296" s="58"/>
      <c r="G1296" s="58"/>
      <c r="H1296" s="33" t="str">
        <f t="shared" si="33"/>
        <v/>
      </c>
      <c r="I1296" s="58"/>
      <c r="J1296" s="58"/>
      <c r="K1296" s="58"/>
      <c r="L1296" s="58"/>
      <c r="M1296" s="80"/>
      <c r="N1296" s="77"/>
      <c r="O1296" s="62"/>
      <c r="P1296" s="62"/>
      <c r="Q1296" s="62"/>
      <c r="R1296" s="62"/>
      <c r="S1296" s="37" t="str">
        <f>IFERROR(__xludf.DUMMYFUNCTION("if(not(iserror(index(split(C1296, "" ""),2))), index(split(C1296, "" ""),1),"""")"),"")</f>
        <v/>
      </c>
      <c r="T1296" s="315" t="str">
        <f>IFERROR(__xludf.DUMMYFUNCTION("if(S1296="""",C1296,if(not(iserror(index(split(C1296, "" ""),3))), index(split(C1296, "" ""),3),index(split(C1296, "" ""),2)))"),"")</f>
        <v/>
      </c>
      <c r="U1296" s="38" t="b">
        <f t="shared" si="34"/>
        <v>0</v>
      </c>
      <c r="V1296" s="38"/>
      <c r="W1296" s="40"/>
      <c r="X1296" s="40"/>
      <c r="Y1296" s="38"/>
      <c r="Z1296" s="38"/>
      <c r="AA1296" s="38"/>
      <c r="AB1296" s="38"/>
      <c r="AC1296" s="38"/>
      <c r="AD1296" s="38"/>
      <c r="AE1296" s="38"/>
      <c r="AF1296" s="38"/>
      <c r="AG1296" s="38"/>
      <c r="AH1296" s="38"/>
      <c r="AI1296" s="38"/>
      <c r="AJ1296" s="38"/>
      <c r="AK1296" s="38"/>
      <c r="AL1296" s="38"/>
      <c r="AM1296" s="38"/>
      <c r="AN1296" s="38"/>
      <c r="AO1296" s="38"/>
      <c r="AP1296" s="38"/>
      <c r="AQ1296" s="38"/>
      <c r="AR1296" s="38"/>
      <c r="AS1296" s="38"/>
      <c r="AT1296" s="38"/>
      <c r="AU1296" s="38"/>
      <c r="AV1296" s="38"/>
      <c r="AW1296" s="38"/>
      <c r="AX1296" s="38"/>
      <c r="AY1296" s="38"/>
      <c r="AZ1296" s="38"/>
      <c r="BA1296" s="38"/>
      <c r="BB1296" s="38"/>
      <c r="BC1296" s="38"/>
      <c r="BD1296" s="38"/>
      <c r="BE1296" s="38"/>
      <c r="BF1296" s="38"/>
      <c r="BG1296" s="38"/>
      <c r="BH1296" s="38"/>
      <c r="BI1296" s="38"/>
      <c r="BJ1296" s="38"/>
      <c r="BK1296" s="38"/>
      <c r="BL1296" s="38"/>
      <c r="BM1296" s="38"/>
      <c r="BN1296" s="38"/>
      <c r="BO1296" s="38"/>
      <c r="BP1296" s="38"/>
      <c r="BQ1296" s="38"/>
    </row>
    <row r="1297">
      <c r="B1297" s="341"/>
      <c r="C1297" s="60"/>
      <c r="D1297" s="60"/>
      <c r="E1297" s="58"/>
      <c r="F1297" s="58"/>
      <c r="G1297" s="58"/>
      <c r="H1297" s="33" t="str">
        <f t="shared" si="33"/>
        <v/>
      </c>
      <c r="I1297" s="58"/>
      <c r="J1297" s="58"/>
      <c r="K1297" s="58"/>
      <c r="L1297" s="58"/>
      <c r="M1297" s="80"/>
      <c r="N1297" s="77"/>
      <c r="O1297" s="62"/>
      <c r="P1297" s="62"/>
      <c r="Q1297" s="62"/>
      <c r="R1297" s="62"/>
      <c r="S1297" s="37" t="str">
        <f>IFERROR(__xludf.DUMMYFUNCTION("if(not(iserror(index(split(C1297, "" ""),2))), index(split(C1297, "" ""),1),"""")"),"")</f>
        <v/>
      </c>
      <c r="T1297" s="315" t="str">
        <f>IFERROR(__xludf.DUMMYFUNCTION("if(S1297="""",C1297,if(not(iserror(index(split(C1297, "" ""),3))), index(split(C1297, "" ""),3),index(split(C1297, "" ""),2)))"),"")</f>
        <v/>
      </c>
      <c r="U1297" s="38" t="b">
        <f t="shared" si="34"/>
        <v>0</v>
      </c>
      <c r="V1297" s="38"/>
      <c r="W1297" s="40"/>
      <c r="X1297" s="40"/>
      <c r="Y1297" s="38"/>
      <c r="Z1297" s="38"/>
      <c r="AA1297" s="38"/>
      <c r="AB1297" s="38"/>
      <c r="AC1297" s="38"/>
      <c r="AD1297" s="38"/>
      <c r="AE1297" s="38"/>
      <c r="AF1297" s="38"/>
      <c r="AG1297" s="38"/>
      <c r="AH1297" s="38"/>
      <c r="AI1297" s="38"/>
      <c r="AJ1297" s="38"/>
      <c r="AK1297" s="38"/>
      <c r="AL1297" s="38"/>
      <c r="AM1297" s="38"/>
      <c r="AN1297" s="38"/>
      <c r="AO1297" s="38"/>
      <c r="AP1297" s="38"/>
      <c r="AQ1297" s="38"/>
      <c r="AR1297" s="38"/>
      <c r="AS1297" s="38"/>
      <c r="AT1297" s="38"/>
      <c r="AU1297" s="38"/>
      <c r="AV1297" s="38"/>
      <c r="AW1297" s="38"/>
      <c r="AX1297" s="38"/>
      <c r="AY1297" s="38"/>
      <c r="AZ1297" s="38"/>
      <c r="BA1297" s="38"/>
      <c r="BB1297" s="38"/>
      <c r="BC1297" s="38"/>
      <c r="BD1297" s="38"/>
      <c r="BE1297" s="38"/>
      <c r="BF1297" s="38"/>
      <c r="BG1297" s="38"/>
      <c r="BH1297" s="38"/>
      <c r="BI1297" s="38"/>
      <c r="BJ1297" s="38"/>
      <c r="BK1297" s="38"/>
      <c r="BL1297" s="38"/>
      <c r="BM1297" s="38"/>
      <c r="BN1297" s="38"/>
      <c r="BO1297" s="38"/>
      <c r="BP1297" s="38"/>
      <c r="BQ1297" s="38"/>
    </row>
    <row r="1298">
      <c r="B1298" s="341"/>
      <c r="C1298" s="60"/>
      <c r="D1298" s="60"/>
      <c r="E1298" s="58"/>
      <c r="F1298" s="58"/>
      <c r="G1298" s="58"/>
      <c r="H1298" s="33" t="str">
        <f t="shared" si="33"/>
        <v/>
      </c>
      <c r="I1298" s="58"/>
      <c r="J1298" s="58"/>
      <c r="K1298" s="58"/>
      <c r="L1298" s="58"/>
      <c r="M1298" s="80"/>
      <c r="N1298" s="77"/>
      <c r="O1298" s="62"/>
      <c r="P1298" s="62"/>
      <c r="Q1298" s="62"/>
      <c r="R1298" s="62"/>
      <c r="S1298" s="37" t="str">
        <f>IFERROR(__xludf.DUMMYFUNCTION("if(not(iserror(index(split(C1298, "" ""),2))), index(split(C1298, "" ""),1),"""")"),"")</f>
        <v/>
      </c>
      <c r="T1298" s="315" t="str">
        <f>IFERROR(__xludf.DUMMYFUNCTION("if(S1298="""",C1298,if(not(iserror(index(split(C1298, "" ""),3))), index(split(C1298, "" ""),3),index(split(C1298, "" ""),2)))"),"")</f>
        <v/>
      </c>
      <c r="U1298" s="38" t="b">
        <f t="shared" si="34"/>
        <v>0</v>
      </c>
      <c r="V1298" s="38"/>
      <c r="W1298" s="40"/>
      <c r="X1298" s="40"/>
      <c r="Y1298" s="38"/>
      <c r="Z1298" s="38"/>
      <c r="AA1298" s="38"/>
      <c r="AB1298" s="38"/>
      <c r="AC1298" s="38"/>
      <c r="AD1298" s="38"/>
      <c r="AE1298" s="38"/>
      <c r="AF1298" s="38"/>
      <c r="AG1298" s="38"/>
      <c r="AH1298" s="38"/>
      <c r="AI1298" s="38"/>
      <c r="AJ1298" s="38"/>
      <c r="AK1298" s="38"/>
      <c r="AL1298" s="38"/>
      <c r="AM1298" s="38"/>
      <c r="AN1298" s="38"/>
      <c r="AO1298" s="38"/>
      <c r="AP1298" s="38"/>
      <c r="AQ1298" s="38"/>
      <c r="AR1298" s="38"/>
      <c r="AS1298" s="38"/>
      <c r="AT1298" s="38"/>
      <c r="AU1298" s="38"/>
      <c r="AV1298" s="38"/>
      <c r="AW1298" s="38"/>
      <c r="AX1298" s="38"/>
      <c r="AY1298" s="38"/>
      <c r="AZ1298" s="38"/>
      <c r="BA1298" s="38"/>
      <c r="BB1298" s="38"/>
      <c r="BC1298" s="38"/>
      <c r="BD1298" s="38"/>
      <c r="BE1298" s="38"/>
      <c r="BF1298" s="38"/>
      <c r="BG1298" s="38"/>
      <c r="BH1298" s="38"/>
      <c r="BI1298" s="38"/>
      <c r="BJ1298" s="38"/>
      <c r="BK1298" s="38"/>
      <c r="BL1298" s="38"/>
      <c r="BM1298" s="38"/>
      <c r="BN1298" s="38"/>
      <c r="BO1298" s="38"/>
      <c r="BP1298" s="38"/>
      <c r="BQ1298" s="38"/>
    </row>
    <row r="1299">
      <c r="B1299" s="341"/>
      <c r="C1299" s="60"/>
      <c r="D1299" s="60"/>
      <c r="E1299" s="58"/>
      <c r="F1299" s="58"/>
      <c r="G1299" s="58"/>
      <c r="H1299" s="33" t="str">
        <f t="shared" si="33"/>
        <v/>
      </c>
      <c r="I1299" s="58"/>
      <c r="J1299" s="58"/>
      <c r="K1299" s="58"/>
      <c r="L1299" s="58"/>
      <c r="M1299" s="80"/>
      <c r="N1299" s="77"/>
      <c r="O1299" s="62"/>
      <c r="P1299" s="62"/>
      <c r="Q1299" s="62"/>
      <c r="R1299" s="62"/>
      <c r="S1299" s="37" t="str">
        <f>IFERROR(__xludf.DUMMYFUNCTION("if(not(iserror(index(split(C1299, "" ""),2))), index(split(C1299, "" ""),1),"""")"),"")</f>
        <v/>
      </c>
      <c r="T1299" s="315" t="str">
        <f>IFERROR(__xludf.DUMMYFUNCTION("if(S1299="""",C1299,if(not(iserror(index(split(C1299, "" ""),3))), index(split(C1299, "" ""),3),index(split(C1299, "" ""),2)))"),"")</f>
        <v/>
      </c>
      <c r="U1299" s="38" t="b">
        <f t="shared" si="34"/>
        <v>0</v>
      </c>
      <c r="V1299" s="38"/>
      <c r="W1299" s="40"/>
      <c r="X1299" s="40"/>
      <c r="Y1299" s="38"/>
      <c r="Z1299" s="38"/>
      <c r="AA1299" s="38"/>
      <c r="AB1299" s="38"/>
      <c r="AC1299" s="38"/>
      <c r="AD1299" s="38"/>
      <c r="AE1299" s="38"/>
      <c r="AF1299" s="38"/>
      <c r="AG1299" s="38"/>
      <c r="AH1299" s="38"/>
      <c r="AI1299" s="38"/>
      <c r="AJ1299" s="38"/>
      <c r="AK1299" s="38"/>
      <c r="AL1299" s="38"/>
      <c r="AM1299" s="38"/>
      <c r="AN1299" s="38"/>
      <c r="AO1299" s="38"/>
      <c r="AP1299" s="38"/>
      <c r="AQ1299" s="38"/>
      <c r="AR1299" s="38"/>
      <c r="AS1299" s="38"/>
      <c r="AT1299" s="38"/>
      <c r="AU1299" s="38"/>
      <c r="AV1299" s="38"/>
      <c r="AW1299" s="38"/>
      <c r="AX1299" s="38"/>
      <c r="AY1299" s="38"/>
      <c r="AZ1299" s="38"/>
      <c r="BA1299" s="38"/>
      <c r="BB1299" s="38"/>
      <c r="BC1299" s="38"/>
      <c r="BD1299" s="38"/>
      <c r="BE1299" s="38"/>
      <c r="BF1299" s="38"/>
      <c r="BG1299" s="38"/>
      <c r="BH1299" s="38"/>
      <c r="BI1299" s="38"/>
      <c r="BJ1299" s="38"/>
      <c r="BK1299" s="38"/>
      <c r="BL1299" s="38"/>
      <c r="BM1299" s="38"/>
      <c r="BN1299" s="38"/>
      <c r="BO1299" s="38"/>
      <c r="BP1299" s="38"/>
      <c r="BQ1299" s="38"/>
    </row>
    <row r="1300">
      <c r="B1300" s="341"/>
      <c r="C1300" s="60"/>
      <c r="D1300" s="60"/>
      <c r="E1300" s="58"/>
      <c r="F1300" s="58"/>
      <c r="G1300" s="58"/>
      <c r="H1300" s="33" t="str">
        <f t="shared" si="33"/>
        <v/>
      </c>
      <c r="I1300" s="58"/>
      <c r="J1300" s="58"/>
      <c r="K1300" s="58"/>
      <c r="L1300" s="58"/>
      <c r="M1300" s="80"/>
      <c r="N1300" s="77"/>
      <c r="O1300" s="62"/>
      <c r="P1300" s="62"/>
      <c r="Q1300" s="62"/>
      <c r="R1300" s="62"/>
      <c r="S1300" s="37" t="str">
        <f>IFERROR(__xludf.DUMMYFUNCTION("if(not(iserror(index(split(C1300, "" ""),2))), index(split(C1300, "" ""),1),"""")"),"")</f>
        <v/>
      </c>
      <c r="T1300" s="315" t="str">
        <f>IFERROR(__xludf.DUMMYFUNCTION("if(S1300="""",C1300,if(not(iserror(index(split(C1300, "" ""),3))), index(split(C1300, "" ""),3),index(split(C1300, "" ""),2)))"),"")</f>
        <v/>
      </c>
      <c r="U1300" s="38" t="b">
        <f t="shared" si="34"/>
        <v>0</v>
      </c>
      <c r="V1300" s="38"/>
      <c r="W1300" s="40"/>
      <c r="X1300" s="40"/>
      <c r="Y1300" s="38"/>
      <c r="Z1300" s="38"/>
      <c r="AA1300" s="38"/>
      <c r="AB1300" s="38"/>
      <c r="AC1300" s="38"/>
      <c r="AD1300" s="38"/>
      <c r="AE1300" s="38"/>
      <c r="AF1300" s="38"/>
      <c r="AG1300" s="38"/>
      <c r="AH1300" s="38"/>
      <c r="AI1300" s="38"/>
      <c r="AJ1300" s="38"/>
      <c r="AK1300" s="38"/>
      <c r="AL1300" s="38"/>
      <c r="AM1300" s="38"/>
      <c r="AN1300" s="38"/>
      <c r="AO1300" s="38"/>
      <c r="AP1300" s="38"/>
      <c r="AQ1300" s="38"/>
      <c r="AR1300" s="38"/>
      <c r="AS1300" s="38"/>
      <c r="AT1300" s="38"/>
      <c r="AU1300" s="38"/>
      <c r="AV1300" s="38"/>
      <c r="AW1300" s="38"/>
      <c r="AX1300" s="38"/>
      <c r="AY1300" s="38"/>
      <c r="AZ1300" s="38"/>
      <c r="BA1300" s="38"/>
      <c r="BB1300" s="38"/>
      <c r="BC1300" s="38"/>
      <c r="BD1300" s="38"/>
      <c r="BE1300" s="38"/>
      <c r="BF1300" s="38"/>
      <c r="BG1300" s="38"/>
      <c r="BH1300" s="38"/>
      <c r="BI1300" s="38"/>
      <c r="BJ1300" s="38"/>
      <c r="BK1300" s="38"/>
      <c r="BL1300" s="38"/>
      <c r="BM1300" s="38"/>
      <c r="BN1300" s="38"/>
      <c r="BO1300" s="38"/>
      <c r="BP1300" s="38"/>
      <c r="BQ1300" s="38"/>
    </row>
    <row r="1301">
      <c r="B1301" s="341"/>
      <c r="C1301" s="60"/>
      <c r="D1301" s="60"/>
      <c r="E1301" s="58"/>
      <c r="F1301" s="58"/>
      <c r="G1301" s="58"/>
      <c r="H1301" s="33" t="str">
        <f t="shared" si="33"/>
        <v/>
      </c>
      <c r="I1301" s="58"/>
      <c r="J1301" s="58"/>
      <c r="K1301" s="58"/>
      <c r="L1301" s="58"/>
      <c r="M1301" s="80"/>
      <c r="N1301" s="77"/>
      <c r="O1301" s="62"/>
      <c r="P1301" s="62"/>
      <c r="Q1301" s="62"/>
      <c r="R1301" s="62"/>
      <c r="S1301" s="37" t="str">
        <f>IFERROR(__xludf.DUMMYFUNCTION("if(not(iserror(index(split(C1301, "" ""),2))), index(split(C1301, "" ""),1),"""")"),"")</f>
        <v/>
      </c>
      <c r="T1301" s="315" t="str">
        <f>IFERROR(__xludf.DUMMYFUNCTION("if(S1301="""",C1301,if(not(iserror(index(split(C1301, "" ""),3))), index(split(C1301, "" ""),3),index(split(C1301, "" ""),2)))"),"")</f>
        <v/>
      </c>
      <c r="U1301" s="38" t="b">
        <f t="shared" si="34"/>
        <v>0</v>
      </c>
      <c r="V1301" s="38"/>
      <c r="W1301" s="40"/>
      <c r="X1301" s="40"/>
      <c r="Y1301" s="38"/>
      <c r="Z1301" s="38"/>
      <c r="AA1301" s="38"/>
      <c r="AB1301" s="38"/>
      <c r="AC1301" s="38"/>
      <c r="AD1301" s="38"/>
      <c r="AE1301" s="38"/>
      <c r="AF1301" s="38"/>
      <c r="AG1301" s="38"/>
      <c r="AH1301" s="38"/>
      <c r="AI1301" s="38"/>
      <c r="AJ1301" s="38"/>
      <c r="AK1301" s="38"/>
      <c r="AL1301" s="38"/>
      <c r="AM1301" s="38"/>
      <c r="AN1301" s="38"/>
      <c r="AO1301" s="38"/>
      <c r="AP1301" s="38"/>
      <c r="AQ1301" s="38"/>
      <c r="AR1301" s="38"/>
      <c r="AS1301" s="38"/>
      <c r="AT1301" s="38"/>
      <c r="AU1301" s="38"/>
      <c r="AV1301" s="38"/>
      <c r="AW1301" s="38"/>
      <c r="AX1301" s="38"/>
      <c r="AY1301" s="38"/>
      <c r="AZ1301" s="38"/>
      <c r="BA1301" s="38"/>
      <c r="BB1301" s="38"/>
      <c r="BC1301" s="38"/>
      <c r="BD1301" s="38"/>
      <c r="BE1301" s="38"/>
      <c r="BF1301" s="38"/>
      <c r="BG1301" s="38"/>
      <c r="BH1301" s="38"/>
      <c r="BI1301" s="38"/>
      <c r="BJ1301" s="38"/>
      <c r="BK1301" s="38"/>
      <c r="BL1301" s="38"/>
      <c r="BM1301" s="38"/>
      <c r="BN1301" s="38"/>
      <c r="BO1301" s="38"/>
      <c r="BP1301" s="38"/>
      <c r="BQ1301" s="38"/>
    </row>
    <row r="1302">
      <c r="B1302" s="341"/>
      <c r="C1302" s="60"/>
      <c r="D1302" s="60"/>
      <c r="E1302" s="58"/>
      <c r="F1302" s="58"/>
      <c r="G1302" s="58"/>
      <c r="H1302" s="33" t="str">
        <f t="shared" si="33"/>
        <v/>
      </c>
      <c r="I1302" s="58"/>
      <c r="J1302" s="58"/>
      <c r="K1302" s="58"/>
      <c r="L1302" s="58"/>
      <c r="M1302" s="80"/>
      <c r="N1302" s="77"/>
      <c r="O1302" s="62"/>
      <c r="P1302" s="62"/>
      <c r="Q1302" s="62"/>
      <c r="R1302" s="62"/>
      <c r="S1302" s="37" t="str">
        <f>IFERROR(__xludf.DUMMYFUNCTION("if(not(iserror(index(split(C1302, "" ""),2))), index(split(C1302, "" ""),1),"""")"),"")</f>
        <v/>
      </c>
      <c r="T1302" s="315" t="str">
        <f>IFERROR(__xludf.DUMMYFUNCTION("if(S1302="""",C1302,if(not(iserror(index(split(C1302, "" ""),3))), index(split(C1302, "" ""),3),index(split(C1302, "" ""),2)))"),"")</f>
        <v/>
      </c>
      <c r="U1302" s="38" t="b">
        <f t="shared" si="34"/>
        <v>0</v>
      </c>
      <c r="V1302" s="38"/>
      <c r="W1302" s="40"/>
      <c r="X1302" s="40"/>
      <c r="Y1302" s="38"/>
      <c r="Z1302" s="38"/>
      <c r="AA1302" s="38"/>
      <c r="AB1302" s="38"/>
      <c r="AC1302" s="38"/>
      <c r="AD1302" s="38"/>
      <c r="AE1302" s="38"/>
      <c r="AF1302" s="38"/>
      <c r="AG1302" s="38"/>
      <c r="AH1302" s="38"/>
      <c r="AI1302" s="38"/>
      <c r="AJ1302" s="38"/>
      <c r="AK1302" s="38"/>
      <c r="AL1302" s="38"/>
      <c r="AM1302" s="38"/>
      <c r="AN1302" s="38"/>
      <c r="AO1302" s="38"/>
      <c r="AP1302" s="38"/>
      <c r="AQ1302" s="38"/>
      <c r="AR1302" s="38"/>
      <c r="AS1302" s="38"/>
      <c r="AT1302" s="38"/>
      <c r="AU1302" s="38"/>
      <c r="AV1302" s="38"/>
      <c r="AW1302" s="38"/>
      <c r="AX1302" s="38"/>
      <c r="AY1302" s="38"/>
      <c r="AZ1302" s="38"/>
      <c r="BA1302" s="38"/>
      <c r="BB1302" s="38"/>
      <c r="BC1302" s="38"/>
      <c r="BD1302" s="38"/>
      <c r="BE1302" s="38"/>
      <c r="BF1302" s="38"/>
      <c r="BG1302" s="38"/>
      <c r="BH1302" s="38"/>
      <c r="BI1302" s="38"/>
      <c r="BJ1302" s="38"/>
      <c r="BK1302" s="38"/>
      <c r="BL1302" s="38"/>
      <c r="BM1302" s="38"/>
      <c r="BN1302" s="38"/>
      <c r="BO1302" s="38"/>
      <c r="BP1302" s="38"/>
      <c r="BQ1302" s="38"/>
    </row>
    <row r="1303">
      <c r="B1303" s="341"/>
      <c r="C1303" s="60"/>
      <c r="D1303" s="60"/>
      <c r="E1303" s="58"/>
      <c r="F1303" s="58"/>
      <c r="G1303" s="58"/>
      <c r="H1303" s="33" t="str">
        <f t="shared" si="33"/>
        <v/>
      </c>
      <c r="I1303" s="58"/>
      <c r="J1303" s="58"/>
      <c r="K1303" s="58"/>
      <c r="L1303" s="58"/>
      <c r="M1303" s="80"/>
      <c r="N1303" s="77"/>
      <c r="O1303" s="62"/>
      <c r="P1303" s="62"/>
      <c r="Q1303" s="62"/>
      <c r="R1303" s="62"/>
      <c r="S1303" s="37" t="str">
        <f>IFERROR(__xludf.DUMMYFUNCTION("if(not(iserror(index(split(C1303, "" ""),2))), index(split(C1303, "" ""),1),"""")"),"")</f>
        <v/>
      </c>
      <c r="T1303" s="315" t="str">
        <f>IFERROR(__xludf.DUMMYFUNCTION("if(S1303="""",C1303,if(not(iserror(index(split(C1303, "" ""),3))), index(split(C1303, "" ""),3),index(split(C1303, "" ""),2)))"),"")</f>
        <v/>
      </c>
      <c r="U1303" s="38" t="b">
        <f t="shared" si="34"/>
        <v>0</v>
      </c>
      <c r="V1303" s="38"/>
      <c r="W1303" s="40"/>
      <c r="X1303" s="40"/>
      <c r="Y1303" s="38"/>
      <c r="Z1303" s="38"/>
      <c r="AA1303" s="38"/>
      <c r="AB1303" s="38"/>
      <c r="AC1303" s="38"/>
      <c r="AD1303" s="38"/>
      <c r="AE1303" s="38"/>
      <c r="AF1303" s="38"/>
      <c r="AG1303" s="38"/>
      <c r="AH1303" s="38"/>
      <c r="AI1303" s="38"/>
      <c r="AJ1303" s="38"/>
      <c r="AK1303" s="38"/>
      <c r="AL1303" s="38"/>
      <c r="AM1303" s="38"/>
      <c r="AN1303" s="38"/>
      <c r="AO1303" s="38"/>
      <c r="AP1303" s="38"/>
      <c r="AQ1303" s="38"/>
      <c r="AR1303" s="38"/>
      <c r="AS1303" s="38"/>
      <c r="AT1303" s="38"/>
      <c r="AU1303" s="38"/>
      <c r="AV1303" s="38"/>
      <c r="AW1303" s="38"/>
      <c r="AX1303" s="38"/>
      <c r="AY1303" s="38"/>
      <c r="AZ1303" s="38"/>
      <c r="BA1303" s="38"/>
      <c r="BB1303" s="38"/>
      <c r="BC1303" s="38"/>
      <c r="BD1303" s="38"/>
      <c r="BE1303" s="38"/>
      <c r="BF1303" s="38"/>
      <c r="BG1303" s="38"/>
      <c r="BH1303" s="38"/>
      <c r="BI1303" s="38"/>
      <c r="BJ1303" s="38"/>
      <c r="BK1303" s="38"/>
      <c r="BL1303" s="38"/>
      <c r="BM1303" s="38"/>
      <c r="BN1303" s="38"/>
      <c r="BO1303" s="38"/>
      <c r="BP1303" s="38"/>
      <c r="BQ1303" s="38"/>
    </row>
    <row r="1304">
      <c r="B1304" s="341"/>
      <c r="C1304" s="60"/>
      <c r="D1304" s="60"/>
      <c r="E1304" s="58"/>
      <c r="F1304" s="58"/>
      <c r="G1304" s="58"/>
      <c r="H1304" s="33" t="str">
        <f t="shared" si="33"/>
        <v/>
      </c>
      <c r="I1304" s="58"/>
      <c r="J1304" s="58"/>
      <c r="K1304" s="58"/>
      <c r="L1304" s="58"/>
      <c r="M1304" s="80"/>
      <c r="N1304" s="77"/>
      <c r="O1304" s="62"/>
      <c r="P1304" s="62"/>
      <c r="Q1304" s="62"/>
      <c r="R1304" s="62"/>
      <c r="S1304" s="37" t="str">
        <f>IFERROR(__xludf.DUMMYFUNCTION("if(not(iserror(index(split(C1304, "" ""),2))), index(split(C1304, "" ""),1),"""")"),"")</f>
        <v/>
      </c>
      <c r="T1304" s="315" t="str">
        <f>IFERROR(__xludf.DUMMYFUNCTION("if(S1304="""",C1304,if(not(iserror(index(split(C1304, "" ""),3))), index(split(C1304, "" ""),3),index(split(C1304, "" ""),2)))"),"")</f>
        <v/>
      </c>
      <c r="U1304" s="38" t="b">
        <f t="shared" si="34"/>
        <v>0</v>
      </c>
      <c r="V1304" s="38"/>
      <c r="W1304" s="40"/>
      <c r="X1304" s="40"/>
      <c r="Y1304" s="38"/>
      <c r="Z1304" s="38"/>
      <c r="AA1304" s="38"/>
      <c r="AB1304" s="38"/>
      <c r="AC1304" s="38"/>
      <c r="AD1304" s="38"/>
      <c r="AE1304" s="38"/>
      <c r="AF1304" s="38"/>
      <c r="AG1304" s="38"/>
      <c r="AH1304" s="38"/>
      <c r="AI1304" s="38"/>
      <c r="AJ1304" s="38"/>
      <c r="AK1304" s="38"/>
      <c r="AL1304" s="38"/>
      <c r="AM1304" s="38"/>
      <c r="AN1304" s="38"/>
      <c r="AO1304" s="38"/>
      <c r="AP1304" s="38"/>
      <c r="AQ1304" s="38"/>
      <c r="AR1304" s="38"/>
      <c r="AS1304" s="38"/>
      <c r="AT1304" s="38"/>
      <c r="AU1304" s="38"/>
      <c r="AV1304" s="38"/>
      <c r="AW1304" s="38"/>
      <c r="AX1304" s="38"/>
      <c r="AY1304" s="38"/>
      <c r="AZ1304" s="38"/>
      <c r="BA1304" s="38"/>
      <c r="BB1304" s="38"/>
      <c r="BC1304" s="38"/>
      <c r="BD1304" s="38"/>
      <c r="BE1304" s="38"/>
      <c r="BF1304" s="38"/>
      <c r="BG1304" s="38"/>
      <c r="BH1304" s="38"/>
      <c r="BI1304" s="38"/>
      <c r="BJ1304" s="38"/>
      <c r="BK1304" s="38"/>
      <c r="BL1304" s="38"/>
      <c r="BM1304" s="38"/>
      <c r="BN1304" s="38"/>
      <c r="BO1304" s="38"/>
      <c r="BP1304" s="38"/>
      <c r="BQ1304" s="38"/>
    </row>
    <row r="1305">
      <c r="B1305" s="341"/>
      <c r="C1305" s="60"/>
      <c r="D1305" s="60"/>
      <c r="E1305" s="58"/>
      <c r="F1305" s="58"/>
      <c r="G1305" s="58"/>
      <c r="H1305" s="33" t="str">
        <f t="shared" si="33"/>
        <v/>
      </c>
      <c r="I1305" s="58"/>
      <c r="J1305" s="58"/>
      <c r="K1305" s="58"/>
      <c r="L1305" s="58"/>
      <c r="M1305" s="80"/>
      <c r="N1305" s="77"/>
      <c r="O1305" s="62"/>
      <c r="P1305" s="62"/>
      <c r="Q1305" s="62"/>
      <c r="R1305" s="62"/>
      <c r="S1305" s="37" t="str">
        <f>IFERROR(__xludf.DUMMYFUNCTION("if(not(iserror(index(split(C1305, "" ""),2))), index(split(C1305, "" ""),1),"""")"),"")</f>
        <v/>
      </c>
      <c r="T1305" s="315" t="str">
        <f>IFERROR(__xludf.DUMMYFUNCTION("if(S1305="""",C1305,if(not(iserror(index(split(C1305, "" ""),3))), index(split(C1305, "" ""),3),index(split(C1305, "" ""),2)))"),"")</f>
        <v/>
      </c>
      <c r="U1305" s="38" t="b">
        <f t="shared" si="34"/>
        <v>0</v>
      </c>
      <c r="V1305" s="38"/>
      <c r="W1305" s="40"/>
      <c r="X1305" s="40"/>
      <c r="Y1305" s="38"/>
      <c r="Z1305" s="38"/>
      <c r="AA1305" s="38"/>
      <c r="AB1305" s="38"/>
      <c r="AC1305" s="38"/>
      <c r="AD1305" s="38"/>
      <c r="AE1305" s="38"/>
      <c r="AF1305" s="38"/>
      <c r="AG1305" s="38"/>
      <c r="AH1305" s="38"/>
      <c r="AI1305" s="38"/>
      <c r="AJ1305" s="38"/>
      <c r="AK1305" s="38"/>
      <c r="AL1305" s="38"/>
      <c r="AM1305" s="38"/>
      <c r="AN1305" s="38"/>
      <c r="AO1305" s="38"/>
      <c r="AP1305" s="38"/>
      <c r="AQ1305" s="38"/>
      <c r="AR1305" s="38"/>
      <c r="AS1305" s="38"/>
      <c r="AT1305" s="38"/>
      <c r="AU1305" s="38"/>
      <c r="AV1305" s="38"/>
      <c r="AW1305" s="38"/>
      <c r="AX1305" s="38"/>
      <c r="AY1305" s="38"/>
      <c r="AZ1305" s="38"/>
      <c r="BA1305" s="38"/>
      <c r="BB1305" s="38"/>
      <c r="BC1305" s="38"/>
      <c r="BD1305" s="38"/>
      <c r="BE1305" s="38"/>
      <c r="BF1305" s="38"/>
      <c r="BG1305" s="38"/>
      <c r="BH1305" s="38"/>
      <c r="BI1305" s="38"/>
      <c r="BJ1305" s="38"/>
      <c r="BK1305" s="38"/>
      <c r="BL1305" s="38"/>
      <c r="BM1305" s="38"/>
      <c r="BN1305" s="38"/>
      <c r="BO1305" s="38"/>
      <c r="BP1305" s="38"/>
      <c r="BQ1305" s="38"/>
    </row>
    <row r="1306">
      <c r="B1306" s="341"/>
      <c r="C1306" s="60"/>
      <c r="D1306" s="60"/>
      <c r="E1306" s="58"/>
      <c r="F1306" s="58"/>
      <c r="G1306" s="58"/>
      <c r="H1306" s="33" t="str">
        <f t="shared" si="33"/>
        <v/>
      </c>
      <c r="I1306" s="58"/>
      <c r="J1306" s="58"/>
      <c r="K1306" s="58"/>
      <c r="L1306" s="58"/>
      <c r="M1306" s="80"/>
      <c r="N1306" s="77"/>
      <c r="O1306" s="62"/>
      <c r="P1306" s="62"/>
      <c r="Q1306" s="62"/>
      <c r="R1306" s="62"/>
      <c r="S1306" s="37" t="str">
        <f>IFERROR(__xludf.DUMMYFUNCTION("if(not(iserror(index(split(C1306, "" ""),2))), index(split(C1306, "" ""),1),"""")"),"")</f>
        <v/>
      </c>
      <c r="T1306" s="315" t="str">
        <f>IFERROR(__xludf.DUMMYFUNCTION("if(S1306="""",C1306,if(not(iserror(index(split(C1306, "" ""),3))), index(split(C1306, "" ""),3),index(split(C1306, "" ""),2)))"),"")</f>
        <v/>
      </c>
      <c r="U1306" s="38" t="b">
        <f t="shared" si="34"/>
        <v>0</v>
      </c>
      <c r="V1306" s="38"/>
      <c r="W1306" s="40"/>
      <c r="X1306" s="40"/>
      <c r="Y1306" s="38"/>
      <c r="Z1306" s="38"/>
      <c r="AA1306" s="38"/>
      <c r="AB1306" s="38"/>
      <c r="AC1306" s="38"/>
      <c r="AD1306" s="38"/>
      <c r="AE1306" s="38"/>
      <c r="AF1306" s="38"/>
      <c r="AG1306" s="38"/>
      <c r="AH1306" s="38"/>
      <c r="AI1306" s="38"/>
      <c r="AJ1306" s="38"/>
      <c r="AK1306" s="38"/>
      <c r="AL1306" s="38"/>
      <c r="AM1306" s="38"/>
      <c r="AN1306" s="38"/>
      <c r="AO1306" s="38"/>
      <c r="AP1306" s="38"/>
      <c r="AQ1306" s="38"/>
      <c r="AR1306" s="38"/>
      <c r="AS1306" s="38"/>
      <c r="AT1306" s="38"/>
      <c r="AU1306" s="38"/>
      <c r="AV1306" s="38"/>
      <c r="AW1306" s="38"/>
      <c r="AX1306" s="38"/>
      <c r="AY1306" s="38"/>
      <c r="AZ1306" s="38"/>
      <c r="BA1306" s="38"/>
      <c r="BB1306" s="38"/>
      <c r="BC1306" s="38"/>
      <c r="BD1306" s="38"/>
      <c r="BE1306" s="38"/>
      <c r="BF1306" s="38"/>
      <c r="BG1306" s="38"/>
      <c r="BH1306" s="38"/>
      <c r="BI1306" s="38"/>
      <c r="BJ1306" s="38"/>
      <c r="BK1306" s="38"/>
      <c r="BL1306" s="38"/>
      <c r="BM1306" s="38"/>
      <c r="BN1306" s="38"/>
      <c r="BO1306" s="38"/>
      <c r="BP1306" s="38"/>
      <c r="BQ1306" s="38"/>
    </row>
    <row r="1307">
      <c r="B1307" s="341"/>
      <c r="C1307" s="60"/>
      <c r="D1307" s="60"/>
      <c r="E1307" s="58"/>
      <c r="F1307" s="58"/>
      <c r="G1307" s="58"/>
      <c r="H1307" s="33" t="str">
        <f t="shared" si="33"/>
        <v/>
      </c>
      <c r="I1307" s="58"/>
      <c r="J1307" s="58"/>
      <c r="K1307" s="58"/>
      <c r="L1307" s="58"/>
      <c r="M1307" s="106"/>
      <c r="N1307" s="77"/>
      <c r="O1307" s="62"/>
      <c r="P1307" s="62"/>
      <c r="Q1307" s="62"/>
      <c r="R1307" s="62"/>
      <c r="S1307" s="37" t="str">
        <f>IFERROR(__xludf.DUMMYFUNCTION("if(not(iserror(index(split(C1307, "" ""),2))), index(split(C1307, "" ""),1),"""")"),"")</f>
        <v/>
      </c>
      <c r="T1307" s="315" t="str">
        <f>IFERROR(__xludf.DUMMYFUNCTION("if(S1307="""",C1307,if(not(iserror(index(split(C1307, "" ""),3))), index(split(C1307, "" ""),3),index(split(C1307, "" ""),2)))"),"")</f>
        <v/>
      </c>
      <c r="U1307" s="38" t="b">
        <f t="shared" si="34"/>
        <v>0</v>
      </c>
      <c r="V1307" s="38"/>
      <c r="W1307" s="40"/>
      <c r="X1307" s="40"/>
      <c r="Y1307" s="38"/>
      <c r="Z1307" s="38"/>
      <c r="AA1307" s="38"/>
      <c r="AB1307" s="38"/>
      <c r="AC1307" s="38"/>
      <c r="AD1307" s="38"/>
      <c r="AE1307" s="38"/>
      <c r="AF1307" s="38"/>
      <c r="AG1307" s="38"/>
      <c r="AH1307" s="38"/>
      <c r="AI1307" s="38"/>
      <c r="AJ1307" s="38"/>
      <c r="AK1307" s="38"/>
      <c r="AL1307" s="38"/>
      <c r="AM1307" s="38"/>
      <c r="AN1307" s="38"/>
      <c r="AO1307" s="38"/>
      <c r="AP1307" s="38"/>
      <c r="AQ1307" s="38"/>
      <c r="AR1307" s="38"/>
      <c r="AS1307" s="38"/>
      <c r="AT1307" s="38"/>
      <c r="AU1307" s="38"/>
      <c r="AV1307" s="38"/>
      <c r="AW1307" s="38"/>
      <c r="AX1307" s="38"/>
      <c r="AY1307" s="38"/>
      <c r="AZ1307" s="38"/>
      <c r="BA1307" s="38"/>
      <c r="BB1307" s="38"/>
      <c r="BC1307" s="38"/>
      <c r="BD1307" s="38"/>
      <c r="BE1307" s="38"/>
      <c r="BF1307" s="38"/>
      <c r="BG1307" s="38"/>
      <c r="BH1307" s="38"/>
      <c r="BI1307" s="38"/>
      <c r="BJ1307" s="38"/>
      <c r="BK1307" s="38"/>
      <c r="BL1307" s="38"/>
      <c r="BM1307" s="38"/>
      <c r="BN1307" s="38"/>
      <c r="BO1307" s="38"/>
      <c r="BP1307" s="38"/>
      <c r="BQ1307" s="38"/>
    </row>
    <row r="1308">
      <c r="B1308" s="341"/>
      <c r="C1308" s="60"/>
      <c r="D1308" s="60"/>
      <c r="E1308" s="58"/>
      <c r="F1308" s="58"/>
      <c r="G1308" s="58"/>
      <c r="H1308" s="33" t="str">
        <f t="shared" si="33"/>
        <v/>
      </c>
      <c r="I1308" s="58"/>
      <c r="J1308" s="58"/>
      <c r="K1308" s="58"/>
      <c r="L1308" s="58"/>
      <c r="M1308" s="80"/>
      <c r="N1308" s="77"/>
      <c r="O1308" s="58"/>
      <c r="P1308" s="58"/>
      <c r="Q1308" s="84"/>
      <c r="R1308" s="62"/>
      <c r="S1308" s="37" t="str">
        <f>IFERROR(__xludf.DUMMYFUNCTION("if(not(iserror(index(split(C1308, "" ""),2))), index(split(C1308, "" ""),1),"""")"),"")</f>
        <v/>
      </c>
      <c r="T1308" s="315" t="str">
        <f>IFERROR(__xludf.DUMMYFUNCTION("if(S1308="""",C1308,if(not(iserror(index(split(C1308, "" ""),3))), index(split(C1308, "" ""),3),index(split(C1308, "" ""),2)))"),"")</f>
        <v/>
      </c>
      <c r="U1308" s="38" t="b">
        <f t="shared" si="34"/>
        <v>0</v>
      </c>
      <c r="V1308" s="38"/>
      <c r="W1308" s="40"/>
      <c r="X1308" s="40"/>
      <c r="Y1308" s="38"/>
      <c r="Z1308" s="38"/>
      <c r="AA1308" s="38"/>
      <c r="AB1308" s="38"/>
      <c r="AC1308" s="38"/>
      <c r="AD1308" s="38"/>
      <c r="AE1308" s="38"/>
      <c r="AF1308" s="38"/>
      <c r="AG1308" s="38"/>
      <c r="AH1308" s="38"/>
      <c r="AI1308" s="38"/>
      <c r="AJ1308" s="38"/>
      <c r="AK1308" s="38"/>
      <c r="AL1308" s="38"/>
      <c r="AM1308" s="38"/>
      <c r="AN1308" s="38"/>
      <c r="AO1308" s="38"/>
      <c r="AP1308" s="38"/>
      <c r="AQ1308" s="38"/>
      <c r="AR1308" s="38"/>
      <c r="AS1308" s="38"/>
      <c r="AT1308" s="38"/>
      <c r="AU1308" s="38"/>
      <c r="AV1308" s="38"/>
      <c r="AW1308" s="38"/>
      <c r="AX1308" s="38"/>
      <c r="AY1308" s="38"/>
      <c r="AZ1308" s="38"/>
      <c r="BA1308" s="38"/>
      <c r="BB1308" s="38"/>
      <c r="BC1308" s="38"/>
      <c r="BD1308" s="38"/>
      <c r="BE1308" s="38"/>
      <c r="BF1308" s="38"/>
      <c r="BG1308" s="38"/>
      <c r="BH1308" s="38"/>
      <c r="BI1308" s="38"/>
      <c r="BJ1308" s="38"/>
      <c r="BK1308" s="38"/>
      <c r="BL1308" s="38"/>
      <c r="BM1308" s="38"/>
      <c r="BN1308" s="38"/>
      <c r="BO1308" s="38"/>
      <c r="BP1308" s="38"/>
      <c r="BQ1308" s="38"/>
    </row>
    <row r="1309">
      <c r="B1309" s="341"/>
      <c r="C1309" s="60"/>
      <c r="D1309" s="60"/>
      <c r="E1309" s="58"/>
      <c r="F1309" s="58"/>
      <c r="G1309" s="58"/>
      <c r="H1309" s="33" t="str">
        <f t="shared" si="33"/>
        <v/>
      </c>
      <c r="I1309" s="58"/>
      <c r="J1309" s="58"/>
      <c r="K1309" s="58"/>
      <c r="L1309" s="58"/>
      <c r="M1309" s="80"/>
      <c r="N1309" s="77"/>
      <c r="O1309" s="58"/>
      <c r="P1309" s="58"/>
      <c r="Q1309" s="84"/>
      <c r="R1309" s="62"/>
      <c r="S1309" s="37" t="str">
        <f>IFERROR(__xludf.DUMMYFUNCTION("if(not(iserror(index(split(C1309, "" ""),2))), index(split(C1309, "" ""),1),"""")"),"")</f>
        <v/>
      </c>
      <c r="T1309" s="315" t="str">
        <f>IFERROR(__xludf.DUMMYFUNCTION("if(S1309="""",C1309,if(not(iserror(index(split(C1309, "" ""),3))), index(split(C1309, "" ""),3),index(split(C1309, "" ""),2)))"),"")</f>
        <v/>
      </c>
      <c r="U1309" s="38" t="b">
        <f t="shared" si="34"/>
        <v>0</v>
      </c>
      <c r="V1309" s="38"/>
      <c r="W1309" s="40"/>
      <c r="X1309" s="40"/>
      <c r="Y1309" s="38"/>
      <c r="Z1309" s="38"/>
      <c r="AA1309" s="38"/>
      <c r="AB1309" s="38"/>
      <c r="AC1309" s="38"/>
      <c r="AD1309" s="38"/>
      <c r="AE1309" s="38"/>
      <c r="AF1309" s="38"/>
      <c r="AG1309" s="38"/>
      <c r="AH1309" s="38"/>
      <c r="AI1309" s="38"/>
      <c r="AJ1309" s="38"/>
      <c r="AK1309" s="38"/>
      <c r="AL1309" s="38"/>
      <c r="AM1309" s="38"/>
      <c r="AN1309" s="38"/>
      <c r="AO1309" s="38"/>
      <c r="AP1309" s="38"/>
      <c r="AQ1309" s="38"/>
      <c r="AR1309" s="38"/>
      <c r="AS1309" s="38"/>
      <c r="AT1309" s="38"/>
      <c r="AU1309" s="38"/>
      <c r="AV1309" s="38"/>
      <c r="AW1309" s="38"/>
      <c r="AX1309" s="38"/>
      <c r="AY1309" s="38"/>
      <c r="AZ1309" s="38"/>
      <c r="BA1309" s="38"/>
      <c r="BB1309" s="38"/>
      <c r="BC1309" s="38"/>
      <c r="BD1309" s="38"/>
      <c r="BE1309" s="38"/>
      <c r="BF1309" s="38"/>
      <c r="BG1309" s="38"/>
      <c r="BH1309" s="38"/>
      <c r="BI1309" s="38"/>
      <c r="BJ1309" s="38"/>
      <c r="BK1309" s="38"/>
      <c r="BL1309" s="38"/>
      <c r="BM1309" s="38"/>
      <c r="BN1309" s="38"/>
      <c r="BO1309" s="38"/>
      <c r="BP1309" s="38"/>
      <c r="BQ1309" s="38"/>
    </row>
    <row r="1310">
      <c r="B1310" s="341"/>
      <c r="C1310" s="60"/>
      <c r="D1310" s="60"/>
      <c r="E1310" s="58"/>
      <c r="F1310" s="58"/>
      <c r="G1310" s="58"/>
      <c r="H1310" s="33" t="str">
        <f t="shared" si="33"/>
        <v/>
      </c>
      <c r="I1310" s="58"/>
      <c r="J1310" s="58"/>
      <c r="K1310" s="58"/>
      <c r="L1310" s="58"/>
      <c r="M1310" s="80"/>
      <c r="N1310" s="77"/>
      <c r="O1310" s="58"/>
      <c r="P1310" s="58"/>
      <c r="Q1310" s="84"/>
      <c r="R1310" s="62"/>
      <c r="S1310" s="37" t="str">
        <f>IFERROR(__xludf.DUMMYFUNCTION("if(not(iserror(index(split(C1310, "" ""),2))), index(split(C1310, "" ""),1),"""")"),"")</f>
        <v/>
      </c>
      <c r="T1310" s="315" t="str">
        <f>IFERROR(__xludf.DUMMYFUNCTION("if(S1310="""",C1310,if(not(iserror(index(split(C1310, "" ""),3))), index(split(C1310, "" ""),3),index(split(C1310, "" ""),2)))"),"")</f>
        <v/>
      </c>
      <c r="U1310" s="38" t="b">
        <f t="shared" si="34"/>
        <v>0</v>
      </c>
      <c r="V1310" s="38"/>
      <c r="W1310" s="40"/>
      <c r="X1310" s="40"/>
      <c r="Y1310" s="38"/>
      <c r="Z1310" s="38"/>
      <c r="AA1310" s="38"/>
      <c r="AB1310" s="38"/>
      <c r="AC1310" s="38"/>
      <c r="AD1310" s="38"/>
      <c r="AE1310" s="38"/>
      <c r="AF1310" s="38"/>
      <c r="AG1310" s="38"/>
      <c r="AH1310" s="38"/>
      <c r="AI1310" s="38"/>
      <c r="AJ1310" s="38"/>
      <c r="AK1310" s="38"/>
      <c r="AL1310" s="38"/>
      <c r="AM1310" s="38"/>
      <c r="AN1310" s="38"/>
      <c r="AO1310" s="38"/>
      <c r="AP1310" s="38"/>
      <c r="AQ1310" s="38"/>
      <c r="AR1310" s="38"/>
      <c r="AS1310" s="38"/>
      <c r="AT1310" s="38"/>
      <c r="AU1310" s="38"/>
      <c r="AV1310" s="38"/>
      <c r="AW1310" s="38"/>
      <c r="AX1310" s="38"/>
      <c r="AY1310" s="38"/>
      <c r="AZ1310" s="38"/>
      <c r="BA1310" s="38"/>
      <c r="BB1310" s="38"/>
      <c r="BC1310" s="38"/>
      <c r="BD1310" s="38"/>
      <c r="BE1310" s="38"/>
      <c r="BF1310" s="38"/>
      <c r="BG1310" s="38"/>
      <c r="BH1310" s="38"/>
      <c r="BI1310" s="38"/>
      <c r="BJ1310" s="38"/>
      <c r="BK1310" s="38"/>
      <c r="BL1310" s="38"/>
      <c r="BM1310" s="38"/>
      <c r="BN1310" s="38"/>
      <c r="BO1310" s="38"/>
      <c r="BP1310" s="38"/>
      <c r="BQ1310" s="38"/>
    </row>
    <row r="1311">
      <c r="B1311" s="341"/>
      <c r="C1311" s="60"/>
      <c r="D1311" s="60"/>
      <c r="E1311" s="58"/>
      <c r="F1311" s="58"/>
      <c r="G1311" s="58"/>
      <c r="H1311" s="33" t="str">
        <f t="shared" si="33"/>
        <v/>
      </c>
      <c r="I1311" s="58"/>
      <c r="J1311" s="58"/>
      <c r="K1311" s="58"/>
      <c r="L1311" s="58"/>
      <c r="M1311" s="80"/>
      <c r="N1311" s="77"/>
      <c r="O1311" s="58"/>
      <c r="P1311" s="58"/>
      <c r="Q1311" s="84"/>
      <c r="R1311" s="62"/>
      <c r="S1311" s="37" t="str">
        <f>IFERROR(__xludf.DUMMYFUNCTION("if(not(iserror(index(split(C1311, "" ""),2))), index(split(C1311, "" ""),1),"""")"),"")</f>
        <v/>
      </c>
      <c r="T1311" s="315" t="str">
        <f>IFERROR(__xludf.DUMMYFUNCTION("if(S1311="""",C1311,if(not(iserror(index(split(C1311, "" ""),3))), index(split(C1311, "" ""),3),index(split(C1311, "" ""),2)))"),"")</f>
        <v/>
      </c>
      <c r="U1311" s="38" t="b">
        <f t="shared" si="34"/>
        <v>0</v>
      </c>
      <c r="V1311" s="38"/>
      <c r="W1311" s="40"/>
      <c r="X1311" s="40"/>
      <c r="Y1311" s="38"/>
      <c r="Z1311" s="38"/>
      <c r="AA1311" s="38"/>
      <c r="AB1311" s="38"/>
      <c r="AC1311" s="38"/>
      <c r="AD1311" s="38"/>
      <c r="AE1311" s="38"/>
      <c r="AF1311" s="38"/>
      <c r="AG1311" s="38"/>
      <c r="AH1311" s="38"/>
      <c r="AI1311" s="38"/>
      <c r="AJ1311" s="38"/>
      <c r="AK1311" s="38"/>
      <c r="AL1311" s="38"/>
      <c r="AM1311" s="38"/>
      <c r="AN1311" s="38"/>
      <c r="AO1311" s="38"/>
      <c r="AP1311" s="38"/>
      <c r="AQ1311" s="38"/>
      <c r="AR1311" s="38"/>
      <c r="AS1311" s="38"/>
      <c r="AT1311" s="38"/>
      <c r="AU1311" s="38"/>
      <c r="AV1311" s="38"/>
      <c r="AW1311" s="38"/>
      <c r="AX1311" s="38"/>
      <c r="AY1311" s="38"/>
      <c r="AZ1311" s="38"/>
      <c r="BA1311" s="38"/>
      <c r="BB1311" s="38"/>
      <c r="BC1311" s="38"/>
      <c r="BD1311" s="38"/>
      <c r="BE1311" s="38"/>
      <c r="BF1311" s="38"/>
      <c r="BG1311" s="38"/>
      <c r="BH1311" s="38"/>
      <c r="BI1311" s="38"/>
      <c r="BJ1311" s="38"/>
      <c r="BK1311" s="38"/>
      <c r="BL1311" s="38"/>
      <c r="BM1311" s="38"/>
      <c r="BN1311" s="38"/>
      <c r="BO1311" s="38"/>
      <c r="BP1311" s="38"/>
      <c r="BQ1311" s="38"/>
    </row>
    <row r="1312">
      <c r="B1312" s="341"/>
      <c r="C1312" s="60"/>
      <c r="D1312" s="60"/>
      <c r="E1312" s="58"/>
      <c r="F1312" s="58"/>
      <c r="G1312" s="58"/>
      <c r="H1312" s="33" t="str">
        <f t="shared" si="33"/>
        <v/>
      </c>
      <c r="I1312" s="58"/>
      <c r="J1312" s="58"/>
      <c r="K1312" s="58"/>
      <c r="L1312" s="58"/>
      <c r="M1312" s="80"/>
      <c r="N1312" s="77"/>
      <c r="O1312" s="58"/>
      <c r="P1312" s="58"/>
      <c r="Q1312" s="84"/>
      <c r="R1312" s="62"/>
      <c r="S1312" s="37" t="str">
        <f>IFERROR(__xludf.DUMMYFUNCTION("if(not(iserror(index(split(C1312, "" ""),2))), index(split(C1312, "" ""),1),"""")"),"")</f>
        <v/>
      </c>
      <c r="T1312" s="315" t="str">
        <f>IFERROR(__xludf.DUMMYFUNCTION("if(S1312="""",C1312,if(not(iserror(index(split(C1312, "" ""),3))), index(split(C1312, "" ""),3),index(split(C1312, "" ""),2)))"),"")</f>
        <v/>
      </c>
      <c r="U1312" s="38" t="b">
        <f t="shared" si="34"/>
        <v>0</v>
      </c>
      <c r="V1312" s="38"/>
      <c r="W1312" s="40"/>
      <c r="X1312" s="40"/>
      <c r="Y1312" s="38"/>
      <c r="Z1312" s="38"/>
      <c r="AA1312" s="38"/>
      <c r="AB1312" s="38"/>
      <c r="AC1312" s="38"/>
      <c r="AD1312" s="38"/>
      <c r="AE1312" s="38"/>
      <c r="AF1312" s="38"/>
      <c r="AG1312" s="38"/>
      <c r="AH1312" s="38"/>
      <c r="AI1312" s="38"/>
      <c r="AJ1312" s="38"/>
      <c r="AK1312" s="38"/>
      <c r="AL1312" s="38"/>
      <c r="AM1312" s="38"/>
      <c r="AN1312" s="38"/>
      <c r="AO1312" s="38"/>
      <c r="AP1312" s="38"/>
      <c r="AQ1312" s="38"/>
      <c r="AR1312" s="38"/>
      <c r="AS1312" s="38"/>
      <c r="AT1312" s="38"/>
      <c r="AU1312" s="38"/>
      <c r="AV1312" s="38"/>
      <c r="AW1312" s="38"/>
      <c r="AX1312" s="38"/>
      <c r="AY1312" s="38"/>
      <c r="AZ1312" s="38"/>
      <c r="BA1312" s="38"/>
      <c r="BB1312" s="38"/>
      <c r="BC1312" s="38"/>
      <c r="BD1312" s="38"/>
      <c r="BE1312" s="38"/>
      <c r="BF1312" s="38"/>
      <c r="BG1312" s="38"/>
      <c r="BH1312" s="38"/>
      <c r="BI1312" s="38"/>
      <c r="BJ1312" s="38"/>
      <c r="BK1312" s="38"/>
      <c r="BL1312" s="38"/>
      <c r="BM1312" s="38"/>
      <c r="BN1312" s="38"/>
      <c r="BO1312" s="38"/>
      <c r="BP1312" s="38"/>
      <c r="BQ1312" s="38"/>
    </row>
    <row r="1313">
      <c r="B1313" s="341"/>
      <c r="C1313" s="60"/>
      <c r="D1313" s="60"/>
      <c r="E1313" s="58"/>
      <c r="F1313" s="58"/>
      <c r="G1313" s="58"/>
      <c r="H1313" s="33" t="str">
        <f t="shared" si="33"/>
        <v/>
      </c>
      <c r="I1313" s="58"/>
      <c r="J1313" s="58"/>
      <c r="K1313" s="58"/>
      <c r="L1313" s="58"/>
      <c r="M1313" s="80"/>
      <c r="N1313" s="77"/>
      <c r="O1313" s="58"/>
      <c r="P1313" s="58"/>
      <c r="Q1313" s="84"/>
      <c r="R1313" s="62"/>
      <c r="S1313" s="37" t="str">
        <f>IFERROR(__xludf.DUMMYFUNCTION("if(not(iserror(index(split(C1313, "" ""),2))), index(split(C1313, "" ""),1),"""")"),"")</f>
        <v/>
      </c>
      <c r="T1313" s="315" t="str">
        <f>IFERROR(__xludf.DUMMYFUNCTION("if(S1313="""",C1313,if(not(iserror(index(split(C1313, "" ""),3))), index(split(C1313, "" ""),3),index(split(C1313, "" ""),2)))"),"")</f>
        <v/>
      </c>
      <c r="U1313" s="38" t="b">
        <f t="shared" si="34"/>
        <v>0</v>
      </c>
      <c r="V1313" s="38"/>
      <c r="W1313" s="40"/>
      <c r="X1313" s="40"/>
      <c r="Y1313" s="38"/>
      <c r="Z1313" s="38"/>
      <c r="AA1313" s="38"/>
      <c r="AB1313" s="38"/>
      <c r="AC1313" s="38"/>
      <c r="AD1313" s="38"/>
      <c r="AE1313" s="38"/>
      <c r="AF1313" s="38"/>
      <c r="AG1313" s="38"/>
      <c r="AH1313" s="38"/>
      <c r="AI1313" s="38"/>
      <c r="AJ1313" s="38"/>
      <c r="AK1313" s="38"/>
      <c r="AL1313" s="38"/>
      <c r="AM1313" s="38"/>
      <c r="AN1313" s="38"/>
      <c r="AO1313" s="38"/>
      <c r="AP1313" s="38"/>
      <c r="AQ1313" s="38"/>
      <c r="AR1313" s="38"/>
      <c r="AS1313" s="38"/>
      <c r="AT1313" s="38"/>
      <c r="AU1313" s="38"/>
      <c r="AV1313" s="38"/>
      <c r="AW1313" s="38"/>
      <c r="AX1313" s="38"/>
      <c r="AY1313" s="38"/>
      <c r="AZ1313" s="38"/>
      <c r="BA1313" s="38"/>
      <c r="BB1313" s="38"/>
      <c r="BC1313" s="38"/>
      <c r="BD1313" s="38"/>
      <c r="BE1313" s="38"/>
      <c r="BF1313" s="38"/>
      <c r="BG1313" s="38"/>
      <c r="BH1313" s="38"/>
      <c r="BI1313" s="38"/>
      <c r="BJ1313" s="38"/>
      <c r="BK1313" s="38"/>
      <c r="BL1313" s="38"/>
      <c r="BM1313" s="38"/>
      <c r="BN1313" s="38"/>
      <c r="BO1313" s="38"/>
      <c r="BP1313" s="38"/>
      <c r="BQ1313" s="38"/>
    </row>
    <row r="1314">
      <c r="B1314" s="341"/>
      <c r="C1314" s="60"/>
      <c r="D1314" s="60"/>
      <c r="E1314" s="58"/>
      <c r="F1314" s="58"/>
      <c r="G1314" s="58"/>
      <c r="H1314" s="33" t="str">
        <f t="shared" si="33"/>
        <v/>
      </c>
      <c r="I1314" s="58"/>
      <c r="J1314" s="58"/>
      <c r="K1314" s="58"/>
      <c r="L1314" s="58"/>
      <c r="M1314" s="80"/>
      <c r="N1314" s="77"/>
      <c r="O1314" s="58"/>
      <c r="P1314" s="58"/>
      <c r="Q1314" s="84"/>
      <c r="R1314" s="62"/>
      <c r="S1314" s="37" t="str">
        <f>IFERROR(__xludf.DUMMYFUNCTION("if(not(iserror(index(split(C1314, "" ""),2))), index(split(C1314, "" ""),1),"""")"),"")</f>
        <v/>
      </c>
      <c r="T1314" s="315" t="str">
        <f>IFERROR(__xludf.DUMMYFUNCTION("if(S1314="""",C1314,if(not(iserror(index(split(C1314, "" ""),3))), index(split(C1314, "" ""),3),index(split(C1314, "" ""),2)))"),"")</f>
        <v/>
      </c>
      <c r="U1314" s="38" t="b">
        <f t="shared" si="34"/>
        <v>0</v>
      </c>
      <c r="V1314" s="38"/>
      <c r="W1314" s="40"/>
      <c r="X1314" s="40"/>
      <c r="Y1314" s="38"/>
      <c r="Z1314" s="38"/>
      <c r="AA1314" s="38"/>
      <c r="AB1314" s="38"/>
      <c r="AC1314" s="38"/>
      <c r="AD1314" s="38"/>
      <c r="AE1314" s="38"/>
      <c r="AF1314" s="38"/>
      <c r="AG1314" s="38"/>
      <c r="AH1314" s="38"/>
      <c r="AI1314" s="38"/>
      <c r="AJ1314" s="38"/>
      <c r="AK1314" s="38"/>
      <c r="AL1314" s="38"/>
      <c r="AM1314" s="38"/>
      <c r="AN1314" s="38"/>
      <c r="AO1314" s="38"/>
      <c r="AP1314" s="38"/>
      <c r="AQ1314" s="38"/>
      <c r="AR1314" s="38"/>
      <c r="AS1314" s="38"/>
      <c r="AT1314" s="38"/>
      <c r="AU1314" s="38"/>
      <c r="AV1314" s="38"/>
      <c r="AW1314" s="38"/>
      <c r="AX1314" s="38"/>
      <c r="AY1314" s="38"/>
      <c r="AZ1314" s="38"/>
      <c r="BA1314" s="38"/>
      <c r="BB1314" s="38"/>
      <c r="BC1314" s="38"/>
      <c r="BD1314" s="38"/>
      <c r="BE1314" s="38"/>
      <c r="BF1314" s="38"/>
      <c r="BG1314" s="38"/>
      <c r="BH1314" s="38"/>
      <c r="BI1314" s="38"/>
      <c r="BJ1314" s="38"/>
      <c r="BK1314" s="38"/>
      <c r="BL1314" s="38"/>
      <c r="BM1314" s="38"/>
      <c r="BN1314" s="38"/>
      <c r="BO1314" s="38"/>
      <c r="BP1314" s="38"/>
      <c r="BQ1314" s="38"/>
    </row>
    <row r="1315">
      <c r="B1315" s="341"/>
      <c r="C1315" s="60"/>
      <c r="D1315" s="60"/>
      <c r="E1315" s="58"/>
      <c r="F1315" s="58"/>
      <c r="G1315" s="58"/>
      <c r="H1315" s="33" t="str">
        <f t="shared" si="33"/>
        <v/>
      </c>
      <c r="I1315" s="58"/>
      <c r="J1315" s="58"/>
      <c r="K1315" s="58"/>
      <c r="L1315" s="58"/>
      <c r="M1315" s="80"/>
      <c r="N1315" s="77"/>
      <c r="O1315" s="58"/>
      <c r="P1315" s="58"/>
      <c r="Q1315" s="84"/>
      <c r="R1315" s="62"/>
      <c r="S1315" s="37" t="str">
        <f>IFERROR(__xludf.DUMMYFUNCTION("if(not(iserror(index(split(C1315, "" ""),2))), index(split(C1315, "" ""),1),"""")"),"")</f>
        <v/>
      </c>
      <c r="T1315" s="315" t="str">
        <f>IFERROR(__xludf.DUMMYFUNCTION("if(S1315="""",C1315,if(not(iserror(index(split(C1315, "" ""),3))), index(split(C1315, "" ""),3),index(split(C1315, "" ""),2)))"),"")</f>
        <v/>
      </c>
      <c r="U1315" s="38" t="b">
        <f t="shared" si="34"/>
        <v>0</v>
      </c>
      <c r="V1315" s="38"/>
      <c r="W1315" s="40"/>
      <c r="X1315" s="40"/>
      <c r="Y1315" s="38"/>
      <c r="Z1315" s="38"/>
      <c r="AA1315" s="38"/>
      <c r="AB1315" s="38"/>
      <c r="AC1315" s="38"/>
      <c r="AD1315" s="38"/>
      <c r="AE1315" s="38"/>
      <c r="AF1315" s="38"/>
      <c r="AG1315" s="38"/>
      <c r="AH1315" s="38"/>
      <c r="AI1315" s="38"/>
      <c r="AJ1315" s="38"/>
      <c r="AK1315" s="38"/>
      <c r="AL1315" s="38"/>
      <c r="AM1315" s="38"/>
      <c r="AN1315" s="38"/>
      <c r="AO1315" s="38"/>
      <c r="AP1315" s="38"/>
      <c r="AQ1315" s="38"/>
      <c r="AR1315" s="38"/>
      <c r="AS1315" s="38"/>
      <c r="AT1315" s="38"/>
      <c r="AU1315" s="38"/>
      <c r="AV1315" s="38"/>
      <c r="AW1315" s="38"/>
      <c r="AX1315" s="38"/>
      <c r="AY1315" s="38"/>
      <c r="AZ1315" s="38"/>
      <c r="BA1315" s="38"/>
      <c r="BB1315" s="38"/>
      <c r="BC1315" s="38"/>
      <c r="BD1315" s="38"/>
      <c r="BE1315" s="38"/>
      <c r="BF1315" s="38"/>
      <c r="BG1315" s="38"/>
      <c r="BH1315" s="38"/>
      <c r="BI1315" s="38"/>
      <c r="BJ1315" s="38"/>
      <c r="BK1315" s="38"/>
      <c r="BL1315" s="38"/>
      <c r="BM1315" s="38"/>
      <c r="BN1315" s="38"/>
      <c r="BO1315" s="38"/>
      <c r="BP1315" s="38"/>
      <c r="BQ1315" s="38"/>
    </row>
    <row r="1316">
      <c r="B1316" s="341"/>
      <c r="C1316" s="60"/>
      <c r="D1316" s="60"/>
      <c r="E1316" s="58"/>
      <c r="F1316" s="58"/>
      <c r="G1316" s="58"/>
      <c r="H1316" s="33" t="str">
        <f t="shared" si="33"/>
        <v/>
      </c>
      <c r="I1316" s="58"/>
      <c r="J1316" s="58"/>
      <c r="K1316" s="58"/>
      <c r="L1316" s="58"/>
      <c r="M1316" s="80"/>
      <c r="N1316" s="77"/>
      <c r="O1316" s="62"/>
      <c r="P1316" s="62"/>
      <c r="Q1316" s="62"/>
      <c r="R1316" s="62"/>
      <c r="S1316" s="37" t="str">
        <f>IFERROR(__xludf.DUMMYFUNCTION("if(not(iserror(index(split(C1316, "" ""),2))), index(split(C1316, "" ""),1),"""")"),"")</f>
        <v/>
      </c>
      <c r="T1316" s="315" t="str">
        <f>IFERROR(__xludf.DUMMYFUNCTION("if(S1316="""",C1316,if(not(iserror(index(split(C1316, "" ""),3))), index(split(C1316, "" ""),3),index(split(C1316, "" ""),2)))"),"")</f>
        <v/>
      </c>
      <c r="U1316" s="38" t="b">
        <f t="shared" si="34"/>
        <v>0</v>
      </c>
      <c r="V1316" s="38"/>
      <c r="W1316" s="40"/>
      <c r="X1316" s="40"/>
      <c r="Y1316" s="38"/>
      <c r="Z1316" s="38"/>
      <c r="AA1316" s="38"/>
      <c r="AB1316" s="38"/>
      <c r="AC1316" s="38"/>
      <c r="AD1316" s="38"/>
      <c r="AE1316" s="38"/>
      <c r="AF1316" s="38"/>
      <c r="AG1316" s="38"/>
      <c r="AH1316" s="38"/>
      <c r="AI1316" s="38"/>
      <c r="AJ1316" s="38"/>
      <c r="AK1316" s="38"/>
      <c r="AL1316" s="38"/>
      <c r="AM1316" s="38"/>
      <c r="AN1316" s="38"/>
      <c r="AO1316" s="38"/>
      <c r="AP1316" s="38"/>
      <c r="AQ1316" s="38"/>
      <c r="AR1316" s="38"/>
      <c r="AS1316" s="38"/>
      <c r="AT1316" s="38"/>
      <c r="AU1316" s="38"/>
      <c r="AV1316" s="38"/>
      <c r="AW1316" s="38"/>
      <c r="AX1316" s="38"/>
      <c r="AY1316" s="38"/>
      <c r="AZ1316" s="38"/>
      <c r="BA1316" s="38"/>
      <c r="BB1316" s="38"/>
      <c r="BC1316" s="38"/>
      <c r="BD1316" s="38"/>
      <c r="BE1316" s="38"/>
      <c r="BF1316" s="38"/>
      <c r="BG1316" s="38"/>
      <c r="BH1316" s="38"/>
      <c r="BI1316" s="38"/>
      <c r="BJ1316" s="38"/>
      <c r="BK1316" s="38"/>
      <c r="BL1316" s="38"/>
      <c r="BM1316" s="38"/>
      <c r="BN1316" s="38"/>
      <c r="BO1316" s="38"/>
      <c r="BP1316" s="38"/>
      <c r="BQ1316" s="38"/>
    </row>
    <row r="1317">
      <c r="B1317" s="341"/>
      <c r="C1317" s="60"/>
      <c r="D1317" s="60"/>
      <c r="E1317" s="58"/>
      <c r="F1317" s="58"/>
      <c r="G1317" s="58"/>
      <c r="H1317" s="33" t="str">
        <f t="shared" si="33"/>
        <v/>
      </c>
      <c r="I1317" s="58"/>
      <c r="J1317" s="58"/>
      <c r="K1317" s="58"/>
      <c r="L1317" s="58"/>
      <c r="M1317" s="80"/>
      <c r="N1317" s="77"/>
      <c r="O1317" s="62"/>
      <c r="P1317" s="62"/>
      <c r="Q1317" s="84"/>
      <c r="R1317" s="62"/>
      <c r="S1317" s="37" t="str">
        <f>IFERROR(__xludf.DUMMYFUNCTION("if(not(iserror(index(split(C1317, "" ""),2))), index(split(C1317, "" ""),1),"""")"),"")</f>
        <v/>
      </c>
      <c r="T1317" s="315" t="str">
        <f>IFERROR(__xludf.DUMMYFUNCTION("if(S1317="""",C1317,if(not(iserror(index(split(C1317, "" ""),3))), index(split(C1317, "" ""),3),index(split(C1317, "" ""),2)))"),"")</f>
        <v/>
      </c>
      <c r="U1317" s="38" t="b">
        <f t="shared" si="34"/>
        <v>0</v>
      </c>
      <c r="V1317" s="38"/>
      <c r="W1317" s="40"/>
      <c r="X1317" s="40"/>
      <c r="Y1317" s="38"/>
      <c r="Z1317" s="38"/>
      <c r="AA1317" s="38"/>
      <c r="AB1317" s="38"/>
      <c r="AC1317" s="38"/>
      <c r="AD1317" s="38"/>
      <c r="AE1317" s="38"/>
      <c r="AF1317" s="38"/>
      <c r="AG1317" s="38"/>
      <c r="AH1317" s="38"/>
      <c r="AI1317" s="38"/>
      <c r="AJ1317" s="38"/>
      <c r="AK1317" s="38"/>
      <c r="AL1317" s="38"/>
      <c r="AM1317" s="38"/>
      <c r="AN1317" s="38"/>
      <c r="AO1317" s="38"/>
      <c r="AP1317" s="38"/>
      <c r="AQ1317" s="38"/>
      <c r="AR1317" s="38"/>
      <c r="AS1317" s="38"/>
      <c r="AT1317" s="38"/>
      <c r="AU1317" s="38"/>
      <c r="AV1317" s="38"/>
      <c r="AW1317" s="38"/>
      <c r="AX1317" s="38"/>
      <c r="AY1317" s="38"/>
      <c r="AZ1317" s="38"/>
      <c r="BA1317" s="38"/>
      <c r="BB1317" s="38"/>
      <c r="BC1317" s="38"/>
      <c r="BD1317" s="38"/>
      <c r="BE1317" s="38"/>
      <c r="BF1317" s="38"/>
      <c r="BG1317" s="38"/>
      <c r="BH1317" s="38"/>
      <c r="BI1317" s="38"/>
      <c r="BJ1317" s="38"/>
      <c r="BK1317" s="38"/>
      <c r="BL1317" s="38"/>
      <c r="BM1317" s="38"/>
      <c r="BN1317" s="38"/>
      <c r="BO1317" s="38"/>
      <c r="BP1317" s="38"/>
      <c r="BQ1317" s="38"/>
    </row>
    <row r="1318">
      <c r="B1318" s="341"/>
      <c r="C1318" s="60"/>
      <c r="D1318" s="60"/>
      <c r="E1318" s="58"/>
      <c r="F1318" s="58"/>
      <c r="G1318" s="58"/>
      <c r="H1318" s="33" t="str">
        <f t="shared" si="33"/>
        <v/>
      </c>
      <c r="I1318" s="58"/>
      <c r="J1318" s="58"/>
      <c r="K1318" s="58"/>
      <c r="L1318" s="58"/>
      <c r="M1318" s="80"/>
      <c r="N1318" s="77"/>
      <c r="O1318" s="62"/>
      <c r="P1318" s="62"/>
      <c r="Q1318" s="62"/>
      <c r="R1318" s="62"/>
      <c r="S1318" s="37" t="str">
        <f>IFERROR(__xludf.DUMMYFUNCTION("if(not(iserror(index(split(C1318, "" ""),2))), index(split(C1318, "" ""),1),"""")"),"")</f>
        <v/>
      </c>
      <c r="T1318" s="315" t="str">
        <f>IFERROR(__xludf.DUMMYFUNCTION("if(S1318="""",C1318,if(not(iserror(index(split(C1318, "" ""),3))), index(split(C1318, "" ""),3),index(split(C1318, "" ""),2)))"),"")</f>
        <v/>
      </c>
      <c r="U1318" s="38" t="b">
        <f t="shared" si="34"/>
        <v>0</v>
      </c>
      <c r="V1318" s="38"/>
      <c r="W1318" s="40"/>
      <c r="X1318" s="40"/>
      <c r="Y1318" s="38"/>
      <c r="Z1318" s="38"/>
      <c r="AA1318" s="38"/>
      <c r="AB1318" s="38"/>
      <c r="AC1318" s="38"/>
      <c r="AD1318" s="38"/>
      <c r="AE1318" s="38"/>
      <c r="AF1318" s="38"/>
      <c r="AG1318" s="38"/>
      <c r="AH1318" s="38"/>
      <c r="AI1318" s="38"/>
      <c r="AJ1318" s="38"/>
      <c r="AK1318" s="38"/>
      <c r="AL1318" s="38"/>
      <c r="AM1318" s="38"/>
      <c r="AN1318" s="38"/>
      <c r="AO1318" s="38"/>
      <c r="AP1318" s="38"/>
      <c r="AQ1318" s="38"/>
      <c r="AR1318" s="38"/>
      <c r="AS1318" s="38"/>
      <c r="AT1318" s="38"/>
      <c r="AU1318" s="38"/>
      <c r="AV1318" s="38"/>
      <c r="AW1318" s="38"/>
      <c r="AX1318" s="38"/>
      <c r="AY1318" s="38"/>
      <c r="AZ1318" s="38"/>
      <c r="BA1318" s="38"/>
      <c r="BB1318" s="38"/>
      <c r="BC1318" s="38"/>
      <c r="BD1318" s="38"/>
      <c r="BE1318" s="38"/>
      <c r="BF1318" s="38"/>
      <c r="BG1318" s="38"/>
      <c r="BH1318" s="38"/>
      <c r="BI1318" s="38"/>
      <c r="BJ1318" s="38"/>
      <c r="BK1318" s="38"/>
      <c r="BL1318" s="38"/>
      <c r="BM1318" s="38"/>
      <c r="BN1318" s="38"/>
      <c r="BO1318" s="38"/>
      <c r="BP1318" s="38"/>
      <c r="BQ1318" s="38"/>
    </row>
    <row r="1319">
      <c r="B1319" s="341"/>
      <c r="C1319" s="60"/>
      <c r="D1319" s="60"/>
      <c r="E1319" s="58"/>
      <c r="F1319" s="58"/>
      <c r="G1319" s="58"/>
      <c r="H1319" s="33" t="str">
        <f t="shared" si="33"/>
        <v/>
      </c>
      <c r="I1319" s="58"/>
      <c r="J1319" s="58"/>
      <c r="K1319" s="58"/>
      <c r="L1319" s="58"/>
      <c r="M1319" s="80"/>
      <c r="N1319" s="77"/>
      <c r="O1319" s="62"/>
      <c r="P1319" s="62"/>
      <c r="Q1319" s="62"/>
      <c r="R1319" s="62"/>
      <c r="S1319" s="37" t="str">
        <f>IFERROR(__xludf.DUMMYFUNCTION("if(not(iserror(index(split(C1319, "" ""),2))), index(split(C1319, "" ""),1),"""")"),"")</f>
        <v/>
      </c>
      <c r="T1319" s="315" t="str">
        <f>IFERROR(__xludf.DUMMYFUNCTION("if(S1319="""",C1319,if(not(iserror(index(split(C1319, "" ""),3))), index(split(C1319, "" ""),3),index(split(C1319, "" ""),2)))"),"")</f>
        <v/>
      </c>
      <c r="U1319" s="38" t="b">
        <f t="shared" si="34"/>
        <v>0</v>
      </c>
      <c r="V1319" s="38"/>
      <c r="W1319" s="40"/>
      <c r="X1319" s="40"/>
      <c r="Y1319" s="38"/>
      <c r="Z1319" s="38"/>
      <c r="AA1319" s="38"/>
      <c r="AB1319" s="38"/>
      <c r="AC1319" s="38"/>
      <c r="AD1319" s="38"/>
      <c r="AE1319" s="38"/>
      <c r="AF1319" s="38"/>
      <c r="AG1319" s="38"/>
      <c r="AH1319" s="38"/>
      <c r="AI1319" s="38"/>
      <c r="AJ1319" s="38"/>
      <c r="AK1319" s="38"/>
      <c r="AL1319" s="38"/>
      <c r="AM1319" s="38"/>
      <c r="AN1319" s="38"/>
      <c r="AO1319" s="38"/>
      <c r="AP1319" s="38"/>
      <c r="AQ1319" s="38"/>
      <c r="AR1319" s="38"/>
      <c r="AS1319" s="38"/>
      <c r="AT1319" s="38"/>
      <c r="AU1319" s="38"/>
      <c r="AV1319" s="38"/>
      <c r="AW1319" s="38"/>
      <c r="AX1319" s="38"/>
      <c r="AY1319" s="38"/>
      <c r="AZ1319" s="38"/>
      <c r="BA1319" s="38"/>
      <c r="BB1319" s="38"/>
      <c r="BC1319" s="38"/>
      <c r="BD1319" s="38"/>
      <c r="BE1319" s="38"/>
      <c r="BF1319" s="38"/>
      <c r="BG1319" s="38"/>
      <c r="BH1319" s="38"/>
      <c r="BI1319" s="38"/>
      <c r="BJ1319" s="38"/>
      <c r="BK1319" s="38"/>
      <c r="BL1319" s="38"/>
      <c r="BM1319" s="38"/>
      <c r="BN1319" s="38"/>
      <c r="BO1319" s="38"/>
      <c r="BP1319" s="38"/>
      <c r="BQ1319" s="38"/>
    </row>
    <row r="1320">
      <c r="A1320" s="58"/>
      <c r="B1320" s="341"/>
      <c r="C1320" s="60"/>
      <c r="D1320" s="60"/>
      <c r="E1320" s="58"/>
      <c r="F1320" s="58"/>
      <c r="G1320" s="58"/>
      <c r="H1320" s="33" t="str">
        <f t="shared" si="33"/>
        <v/>
      </c>
      <c r="I1320" s="58"/>
      <c r="J1320" s="58"/>
      <c r="K1320" s="58"/>
      <c r="L1320" s="58"/>
      <c r="M1320" s="80"/>
      <c r="N1320" s="77"/>
      <c r="O1320" s="62"/>
      <c r="P1320" s="62"/>
      <c r="Q1320" s="62"/>
      <c r="R1320" s="62"/>
      <c r="S1320" s="37" t="str">
        <f>IFERROR(__xludf.DUMMYFUNCTION("if(not(iserror(index(split(C1320, "" ""),2))), index(split(C1320, "" ""),1),"""")"),"")</f>
        <v/>
      </c>
      <c r="T1320" s="315" t="str">
        <f>IFERROR(__xludf.DUMMYFUNCTION("if(S1320="""",C1320,if(not(iserror(index(split(C1320, "" ""),3))), index(split(C1320, "" ""),3),index(split(C1320, "" ""),2)))"),"")</f>
        <v/>
      </c>
      <c r="U1320" s="38" t="b">
        <f t="shared" si="34"/>
        <v>0</v>
      </c>
      <c r="V1320" s="38"/>
      <c r="W1320" s="40"/>
      <c r="X1320" s="40"/>
      <c r="Y1320" s="38"/>
      <c r="Z1320" s="38"/>
      <c r="AA1320" s="38"/>
      <c r="AB1320" s="38"/>
      <c r="AC1320" s="38"/>
      <c r="AD1320" s="38"/>
      <c r="AE1320" s="38"/>
      <c r="AF1320" s="38"/>
      <c r="AG1320" s="38"/>
      <c r="AH1320" s="38"/>
      <c r="AI1320" s="38"/>
      <c r="AJ1320" s="38"/>
      <c r="AK1320" s="38"/>
      <c r="AL1320" s="38"/>
      <c r="AM1320" s="38"/>
      <c r="AN1320" s="38"/>
      <c r="AO1320" s="38"/>
      <c r="AP1320" s="38"/>
      <c r="AQ1320" s="38"/>
      <c r="AR1320" s="38"/>
      <c r="AS1320" s="38"/>
      <c r="AT1320" s="38"/>
      <c r="AU1320" s="38"/>
      <c r="AV1320" s="38"/>
      <c r="AW1320" s="38"/>
      <c r="AX1320" s="38"/>
      <c r="AY1320" s="38"/>
      <c r="AZ1320" s="38"/>
      <c r="BA1320" s="38"/>
      <c r="BB1320" s="38"/>
      <c r="BC1320" s="38"/>
      <c r="BD1320" s="38"/>
      <c r="BE1320" s="38"/>
      <c r="BF1320" s="38"/>
      <c r="BG1320" s="38"/>
      <c r="BH1320" s="38"/>
      <c r="BI1320" s="38"/>
      <c r="BJ1320" s="38"/>
      <c r="BK1320" s="38"/>
      <c r="BL1320" s="38"/>
      <c r="BM1320" s="38"/>
      <c r="BN1320" s="38"/>
      <c r="BO1320" s="38"/>
      <c r="BP1320" s="38"/>
      <c r="BQ1320" s="38"/>
    </row>
    <row r="1321">
      <c r="A1321" s="58"/>
      <c r="B1321" s="341"/>
      <c r="C1321" s="60"/>
      <c r="D1321" s="60"/>
      <c r="E1321" s="58"/>
      <c r="F1321" s="58"/>
      <c r="G1321" s="58"/>
      <c r="H1321" s="33" t="str">
        <f t="shared" si="33"/>
        <v/>
      </c>
      <c r="I1321" s="58"/>
      <c r="J1321" s="58"/>
      <c r="K1321" s="58"/>
      <c r="L1321" s="58"/>
      <c r="M1321" s="80"/>
      <c r="N1321" s="77"/>
      <c r="O1321" s="62"/>
      <c r="P1321" s="62"/>
      <c r="Q1321" s="62"/>
      <c r="R1321" s="62"/>
      <c r="S1321" s="37" t="str">
        <f>IFERROR(__xludf.DUMMYFUNCTION("if(not(iserror(index(split(C1321, "" ""),2))), index(split(C1321, "" ""),1),"""")"),"")</f>
        <v/>
      </c>
      <c r="T1321" s="315" t="str">
        <f>IFERROR(__xludf.DUMMYFUNCTION("if(S1321="""",C1321,if(not(iserror(index(split(C1321, "" ""),3))), index(split(C1321, "" ""),3),index(split(C1321, "" ""),2)))"),"")</f>
        <v/>
      </c>
      <c r="U1321" s="38" t="b">
        <f t="shared" si="34"/>
        <v>0</v>
      </c>
      <c r="V1321" s="38"/>
      <c r="W1321" s="40"/>
      <c r="X1321" s="40"/>
      <c r="Y1321" s="38"/>
      <c r="Z1321" s="38"/>
      <c r="AA1321" s="38"/>
      <c r="AB1321" s="38"/>
      <c r="AC1321" s="38"/>
      <c r="AD1321" s="38"/>
      <c r="AE1321" s="38"/>
      <c r="AF1321" s="38"/>
      <c r="AG1321" s="38"/>
      <c r="AH1321" s="38"/>
      <c r="AI1321" s="38"/>
      <c r="AJ1321" s="38"/>
      <c r="AK1321" s="38"/>
      <c r="AL1321" s="38"/>
      <c r="AM1321" s="38"/>
      <c r="AN1321" s="38"/>
      <c r="AO1321" s="38"/>
      <c r="AP1321" s="38"/>
      <c r="AQ1321" s="38"/>
      <c r="AR1321" s="38"/>
      <c r="AS1321" s="38"/>
      <c r="AT1321" s="38"/>
      <c r="AU1321" s="38"/>
      <c r="AV1321" s="38"/>
      <c r="AW1321" s="38"/>
      <c r="AX1321" s="38"/>
      <c r="AY1321" s="38"/>
      <c r="AZ1321" s="38"/>
      <c r="BA1321" s="38"/>
      <c r="BB1321" s="38"/>
      <c r="BC1321" s="38"/>
      <c r="BD1321" s="38"/>
      <c r="BE1321" s="38"/>
      <c r="BF1321" s="38"/>
      <c r="BG1321" s="38"/>
      <c r="BH1321" s="38"/>
      <c r="BI1321" s="38"/>
      <c r="BJ1321" s="38"/>
      <c r="BK1321" s="38"/>
      <c r="BL1321" s="38"/>
      <c r="BM1321" s="38"/>
      <c r="BN1321" s="38"/>
      <c r="BO1321" s="38"/>
      <c r="BP1321" s="38"/>
      <c r="BQ1321" s="38"/>
    </row>
    <row r="1322">
      <c r="A1322" s="58"/>
      <c r="B1322" s="341"/>
      <c r="C1322" s="60"/>
      <c r="D1322" s="60"/>
      <c r="E1322" s="58"/>
      <c r="F1322" s="58"/>
      <c r="G1322" s="58"/>
      <c r="H1322" s="33" t="str">
        <f t="shared" si="33"/>
        <v/>
      </c>
      <c r="I1322" s="58"/>
      <c r="J1322" s="58"/>
      <c r="K1322" s="58"/>
      <c r="L1322" s="58"/>
      <c r="M1322" s="80"/>
      <c r="N1322" s="77"/>
      <c r="O1322" s="62"/>
      <c r="P1322" s="62"/>
      <c r="Q1322" s="62"/>
      <c r="R1322" s="62"/>
      <c r="S1322" s="37" t="str">
        <f>IFERROR(__xludf.DUMMYFUNCTION("if(not(iserror(index(split(C1322, "" ""),2))), index(split(C1322, "" ""),1),"""")"),"")</f>
        <v/>
      </c>
      <c r="T1322" s="315" t="str">
        <f>IFERROR(__xludf.DUMMYFUNCTION("if(S1322="""",C1322,if(not(iserror(index(split(C1322, "" ""),3))), index(split(C1322, "" ""),3),index(split(C1322, "" ""),2)))"),"")</f>
        <v/>
      </c>
      <c r="U1322" s="38" t="b">
        <f t="shared" si="34"/>
        <v>0</v>
      </c>
      <c r="V1322" s="38"/>
      <c r="W1322" s="40"/>
      <c r="X1322" s="40"/>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row>
    <row r="1323">
      <c r="A1323" s="58"/>
      <c r="B1323" s="341"/>
      <c r="C1323" s="60"/>
      <c r="D1323" s="60"/>
      <c r="E1323" s="58"/>
      <c r="F1323" s="58"/>
      <c r="G1323" s="58"/>
      <c r="H1323" s="33" t="str">
        <f t="shared" si="33"/>
        <v/>
      </c>
      <c r="I1323" s="58"/>
      <c r="J1323" s="58"/>
      <c r="K1323" s="58"/>
      <c r="L1323" s="58"/>
      <c r="M1323" s="80"/>
      <c r="N1323" s="77"/>
      <c r="O1323" s="62"/>
      <c r="P1323" s="62"/>
      <c r="Q1323" s="62"/>
      <c r="R1323" s="62"/>
      <c r="S1323" s="37" t="str">
        <f>IFERROR(__xludf.DUMMYFUNCTION("if(not(iserror(index(split(C1323, "" ""),2))), index(split(C1323, "" ""),1),"""")"),"")</f>
        <v/>
      </c>
      <c r="T1323" s="315" t="str">
        <f>IFERROR(__xludf.DUMMYFUNCTION("if(S1323="""",C1323,if(not(iserror(index(split(C1323, "" ""),3))), index(split(C1323, "" ""),3),index(split(C1323, "" ""),2)))"),"")</f>
        <v/>
      </c>
      <c r="U1323" s="38" t="b">
        <f t="shared" si="34"/>
        <v>0</v>
      </c>
      <c r="V1323" s="38"/>
      <c r="W1323" s="40"/>
      <c r="X1323" s="40"/>
      <c r="Y1323" s="38"/>
      <c r="Z1323" s="38"/>
      <c r="AA1323" s="38"/>
      <c r="AB1323" s="38"/>
      <c r="AC1323" s="38"/>
      <c r="AD1323" s="38"/>
      <c r="AE1323" s="38"/>
      <c r="AF1323" s="38"/>
      <c r="AG1323" s="38"/>
      <c r="AH1323" s="38"/>
      <c r="AI1323" s="38"/>
      <c r="AJ1323" s="38"/>
      <c r="AK1323" s="38"/>
      <c r="AL1323" s="38"/>
      <c r="AM1323" s="38"/>
      <c r="AN1323" s="38"/>
      <c r="AO1323" s="38"/>
      <c r="AP1323" s="38"/>
      <c r="AQ1323" s="38"/>
      <c r="AR1323" s="38"/>
      <c r="AS1323" s="38"/>
      <c r="AT1323" s="38"/>
      <c r="AU1323" s="38"/>
      <c r="AV1323" s="38"/>
      <c r="AW1323" s="38"/>
      <c r="AX1323" s="38"/>
      <c r="AY1323" s="38"/>
      <c r="AZ1323" s="38"/>
      <c r="BA1323" s="38"/>
      <c r="BB1323" s="38"/>
      <c r="BC1323" s="38"/>
      <c r="BD1323" s="38"/>
      <c r="BE1323" s="38"/>
      <c r="BF1323" s="38"/>
      <c r="BG1323" s="38"/>
      <c r="BH1323" s="38"/>
      <c r="BI1323" s="38"/>
      <c r="BJ1323" s="38"/>
      <c r="BK1323" s="38"/>
      <c r="BL1323" s="38"/>
      <c r="BM1323" s="38"/>
      <c r="BN1323" s="38"/>
      <c r="BO1323" s="38"/>
      <c r="BP1323" s="38"/>
      <c r="BQ1323" s="38"/>
    </row>
    <row r="1324">
      <c r="A1324" s="58"/>
      <c r="B1324" s="341"/>
      <c r="C1324" s="60"/>
      <c r="D1324" s="60"/>
      <c r="E1324" s="58"/>
      <c r="F1324" s="58"/>
      <c r="G1324" s="58"/>
      <c r="H1324" s="33" t="str">
        <f t="shared" si="33"/>
        <v/>
      </c>
      <c r="I1324" s="58"/>
      <c r="J1324" s="58"/>
      <c r="K1324" s="58"/>
      <c r="L1324" s="58"/>
      <c r="M1324" s="80"/>
      <c r="N1324" s="77"/>
      <c r="O1324" s="58"/>
      <c r="P1324" s="58"/>
      <c r="Q1324" s="84"/>
      <c r="R1324" s="62"/>
      <c r="S1324" s="37" t="str">
        <f>IFERROR(__xludf.DUMMYFUNCTION("if(not(iserror(index(split(C1324, "" ""),2))), index(split(C1324, "" ""),1),"""")"),"")</f>
        <v/>
      </c>
      <c r="T1324" s="315" t="str">
        <f>IFERROR(__xludf.DUMMYFUNCTION("if(S1324="""",C1324,if(not(iserror(index(split(C1324, "" ""),3))), index(split(C1324, "" ""),3),index(split(C1324, "" ""),2)))"),"")</f>
        <v/>
      </c>
      <c r="U1324" s="38" t="b">
        <f t="shared" si="34"/>
        <v>0</v>
      </c>
      <c r="V1324" s="38"/>
      <c r="W1324" s="40"/>
      <c r="X1324" s="40"/>
      <c r="Y1324" s="38"/>
      <c r="Z1324" s="38"/>
      <c r="AA1324" s="38"/>
      <c r="AB1324" s="38"/>
      <c r="AC1324" s="38"/>
      <c r="AD1324" s="38"/>
      <c r="AE1324" s="38"/>
      <c r="AF1324" s="38"/>
      <c r="AG1324" s="38"/>
      <c r="AH1324" s="38"/>
      <c r="AI1324" s="38"/>
      <c r="AJ1324" s="38"/>
      <c r="AK1324" s="38"/>
      <c r="AL1324" s="38"/>
      <c r="AM1324" s="38"/>
      <c r="AN1324" s="38"/>
      <c r="AO1324" s="38"/>
      <c r="AP1324" s="38"/>
      <c r="AQ1324" s="38"/>
      <c r="AR1324" s="38"/>
      <c r="AS1324" s="38"/>
      <c r="AT1324" s="38"/>
      <c r="AU1324" s="38"/>
      <c r="AV1324" s="38"/>
      <c r="AW1324" s="38"/>
      <c r="AX1324" s="38"/>
      <c r="AY1324" s="38"/>
      <c r="AZ1324" s="38"/>
      <c r="BA1324" s="38"/>
      <c r="BB1324" s="38"/>
      <c r="BC1324" s="38"/>
      <c r="BD1324" s="38"/>
      <c r="BE1324" s="38"/>
      <c r="BF1324" s="38"/>
      <c r="BG1324" s="38"/>
      <c r="BH1324" s="38"/>
      <c r="BI1324" s="38"/>
      <c r="BJ1324" s="38"/>
      <c r="BK1324" s="38"/>
      <c r="BL1324" s="38"/>
      <c r="BM1324" s="38"/>
      <c r="BN1324" s="38"/>
      <c r="BO1324" s="38"/>
      <c r="BP1324" s="38"/>
      <c r="BQ1324" s="38"/>
    </row>
    <row r="1325">
      <c r="A1325" s="58"/>
      <c r="B1325" s="341"/>
      <c r="C1325" s="60"/>
      <c r="D1325" s="60"/>
      <c r="E1325" s="58"/>
      <c r="F1325" s="58"/>
      <c r="G1325" s="58"/>
      <c r="H1325" s="33" t="str">
        <f t="shared" si="33"/>
        <v/>
      </c>
      <c r="I1325" s="58"/>
      <c r="J1325" s="58"/>
      <c r="K1325" s="58"/>
      <c r="L1325" s="58"/>
      <c r="M1325" s="102"/>
      <c r="N1325" s="80"/>
      <c r="O1325" s="120"/>
      <c r="P1325" s="120"/>
      <c r="Q1325" s="84"/>
      <c r="R1325" s="62"/>
      <c r="S1325" s="37" t="str">
        <f>IFERROR(__xludf.DUMMYFUNCTION("if(not(iserror(index(split(C1325, "" ""),2))), index(split(C1325, "" ""),1),"""")"),"")</f>
        <v/>
      </c>
      <c r="T1325" s="315" t="str">
        <f>IFERROR(__xludf.DUMMYFUNCTION("if(S1325="""",C1325,if(not(iserror(index(split(C1325, "" ""),3))), index(split(C1325, "" ""),3),index(split(C1325, "" ""),2)))"),"")</f>
        <v/>
      </c>
      <c r="U1325" s="38" t="b">
        <f t="shared" si="34"/>
        <v>0</v>
      </c>
      <c r="V1325" s="38"/>
      <c r="W1325" s="40"/>
      <c r="X1325" s="40"/>
      <c r="Y1325" s="38"/>
      <c r="Z1325" s="38"/>
      <c r="AA1325" s="38"/>
      <c r="AB1325" s="38"/>
      <c r="AC1325" s="38"/>
      <c r="AD1325" s="38"/>
      <c r="AE1325" s="38"/>
      <c r="AF1325" s="38"/>
      <c r="AG1325" s="38"/>
      <c r="AH1325" s="38"/>
      <c r="AI1325" s="38"/>
      <c r="AJ1325" s="38"/>
      <c r="AK1325" s="38"/>
      <c r="AL1325" s="38"/>
      <c r="AM1325" s="38"/>
      <c r="AN1325" s="38"/>
      <c r="AO1325" s="38"/>
      <c r="AP1325" s="38"/>
      <c r="AQ1325" s="38"/>
      <c r="AR1325" s="38"/>
      <c r="AS1325" s="38"/>
      <c r="AT1325" s="38"/>
      <c r="AU1325" s="38"/>
      <c r="AV1325" s="38"/>
      <c r="AW1325" s="38"/>
      <c r="AX1325" s="38"/>
      <c r="AY1325" s="38"/>
      <c r="AZ1325" s="38"/>
      <c r="BA1325" s="38"/>
      <c r="BB1325" s="38"/>
      <c r="BC1325" s="38"/>
      <c r="BD1325" s="38"/>
      <c r="BE1325" s="38"/>
      <c r="BF1325" s="38"/>
      <c r="BG1325" s="38"/>
      <c r="BH1325" s="38"/>
      <c r="BI1325" s="38"/>
      <c r="BJ1325" s="38"/>
      <c r="BK1325" s="38"/>
      <c r="BL1325" s="38"/>
      <c r="BM1325" s="38"/>
      <c r="BN1325" s="38"/>
      <c r="BO1325" s="38"/>
      <c r="BP1325" s="38"/>
      <c r="BQ1325" s="38"/>
    </row>
    <row r="1326">
      <c r="B1326" s="341"/>
      <c r="C1326" s="60"/>
      <c r="D1326" s="60"/>
      <c r="E1326" s="58"/>
      <c r="F1326" s="58"/>
      <c r="G1326" s="58"/>
      <c r="H1326" s="33" t="str">
        <f t="shared" si="33"/>
        <v/>
      </c>
      <c r="I1326" s="58"/>
      <c r="J1326" s="58"/>
      <c r="K1326" s="58"/>
      <c r="L1326" s="58"/>
      <c r="M1326" s="106"/>
      <c r="N1326" s="77"/>
      <c r="O1326" s="62"/>
      <c r="P1326" s="62"/>
      <c r="Q1326" s="62"/>
      <c r="R1326" s="62"/>
      <c r="S1326" s="37" t="str">
        <f>IFERROR(__xludf.DUMMYFUNCTION("if(not(iserror(index(split(C1326, "" ""),2))), index(split(C1326, "" ""),1),"""")"),"")</f>
        <v/>
      </c>
      <c r="T1326" s="315" t="str">
        <f>IFERROR(__xludf.DUMMYFUNCTION("if(S1326="""",C1326,if(not(iserror(index(split(C1326, "" ""),3))), index(split(C1326, "" ""),3),index(split(C1326, "" ""),2)))"),"")</f>
        <v/>
      </c>
      <c r="U1326" s="38" t="b">
        <f t="shared" si="34"/>
        <v>0</v>
      </c>
      <c r="V1326" s="38"/>
      <c r="W1326" s="40"/>
      <c r="X1326" s="40"/>
      <c r="Y1326" s="38"/>
      <c r="Z1326" s="38"/>
      <c r="AA1326" s="38"/>
      <c r="AB1326" s="38"/>
      <c r="AC1326" s="38"/>
      <c r="AD1326" s="38"/>
      <c r="AE1326" s="38"/>
      <c r="AF1326" s="38"/>
      <c r="AG1326" s="38"/>
      <c r="AH1326" s="38"/>
      <c r="AI1326" s="38"/>
      <c r="AJ1326" s="38"/>
      <c r="AK1326" s="38"/>
      <c r="AL1326" s="38"/>
      <c r="AM1326" s="38"/>
      <c r="AN1326" s="38"/>
      <c r="AO1326" s="38"/>
      <c r="AP1326" s="38"/>
      <c r="AQ1326" s="38"/>
      <c r="AR1326" s="38"/>
      <c r="AS1326" s="38"/>
      <c r="AT1326" s="38"/>
      <c r="AU1326" s="38"/>
      <c r="AV1326" s="38"/>
      <c r="AW1326" s="38"/>
      <c r="AX1326" s="38"/>
      <c r="AY1326" s="38"/>
      <c r="AZ1326" s="38"/>
      <c r="BA1326" s="38"/>
      <c r="BB1326" s="38"/>
      <c r="BC1326" s="38"/>
      <c r="BD1326" s="38"/>
      <c r="BE1326" s="38"/>
      <c r="BF1326" s="38"/>
      <c r="BG1326" s="38"/>
      <c r="BH1326" s="38"/>
      <c r="BI1326" s="38"/>
      <c r="BJ1326" s="38"/>
      <c r="BK1326" s="38"/>
      <c r="BL1326" s="38"/>
      <c r="BM1326" s="38"/>
      <c r="BN1326" s="38"/>
      <c r="BO1326" s="38"/>
      <c r="BP1326" s="38"/>
      <c r="BQ1326" s="38"/>
    </row>
    <row r="1327">
      <c r="B1327" s="341"/>
      <c r="C1327" s="60"/>
      <c r="D1327" s="60"/>
      <c r="E1327" s="58"/>
      <c r="F1327" s="58"/>
      <c r="G1327" s="58"/>
      <c r="H1327" s="33" t="str">
        <f t="shared" si="33"/>
        <v/>
      </c>
      <c r="I1327" s="58"/>
      <c r="J1327" s="58"/>
      <c r="K1327" s="58"/>
      <c r="L1327" s="58"/>
      <c r="M1327" s="106"/>
      <c r="N1327" s="77"/>
      <c r="O1327" s="62"/>
      <c r="P1327" s="62"/>
      <c r="Q1327" s="62"/>
      <c r="R1327" s="62"/>
      <c r="S1327" s="37" t="str">
        <f>IFERROR(__xludf.DUMMYFUNCTION("if(not(iserror(index(split(C1327, "" ""),2))), index(split(C1327, "" ""),1),"""")"),"")</f>
        <v/>
      </c>
      <c r="T1327" s="315" t="str">
        <f>IFERROR(__xludf.DUMMYFUNCTION("if(S1327="""",C1327,if(not(iserror(index(split(C1327, "" ""),3))), index(split(C1327, "" ""),3),index(split(C1327, "" ""),2)))"),"")</f>
        <v/>
      </c>
      <c r="U1327" s="38" t="b">
        <f t="shared" si="34"/>
        <v>0</v>
      </c>
      <c r="V1327" s="38"/>
      <c r="W1327" s="40"/>
      <c r="X1327" s="40"/>
      <c r="Y1327" s="38"/>
      <c r="Z1327" s="38"/>
      <c r="AA1327" s="38"/>
      <c r="AB1327" s="38"/>
      <c r="AC1327" s="38"/>
      <c r="AD1327" s="38"/>
      <c r="AE1327" s="38"/>
      <c r="AF1327" s="38"/>
      <c r="AG1327" s="38"/>
      <c r="AH1327" s="38"/>
      <c r="AI1327" s="38"/>
      <c r="AJ1327" s="38"/>
      <c r="AK1327" s="38"/>
      <c r="AL1327" s="38"/>
      <c r="AM1327" s="38"/>
      <c r="AN1327" s="38"/>
      <c r="AO1327" s="38"/>
      <c r="AP1327" s="38"/>
      <c r="AQ1327" s="38"/>
      <c r="AR1327" s="38"/>
      <c r="AS1327" s="38"/>
      <c r="AT1327" s="38"/>
      <c r="AU1327" s="38"/>
      <c r="AV1327" s="38"/>
      <c r="AW1327" s="38"/>
      <c r="AX1327" s="38"/>
      <c r="AY1327" s="38"/>
      <c r="AZ1327" s="38"/>
      <c r="BA1327" s="38"/>
      <c r="BB1327" s="38"/>
      <c r="BC1327" s="38"/>
      <c r="BD1327" s="38"/>
      <c r="BE1327" s="38"/>
      <c r="BF1327" s="38"/>
      <c r="BG1327" s="38"/>
      <c r="BH1327" s="38"/>
      <c r="BI1327" s="38"/>
      <c r="BJ1327" s="38"/>
      <c r="BK1327" s="38"/>
      <c r="BL1327" s="38"/>
      <c r="BM1327" s="38"/>
      <c r="BN1327" s="38"/>
      <c r="BO1327" s="38"/>
      <c r="BP1327" s="38"/>
      <c r="BQ1327" s="38"/>
    </row>
    <row r="1328">
      <c r="B1328" s="341"/>
      <c r="C1328" s="60"/>
      <c r="D1328" s="60"/>
      <c r="E1328" s="58"/>
      <c r="F1328" s="58"/>
      <c r="G1328" s="58"/>
      <c r="H1328" s="33" t="str">
        <f t="shared" si="33"/>
        <v/>
      </c>
      <c r="I1328" s="58"/>
      <c r="J1328" s="58"/>
      <c r="K1328" s="58"/>
      <c r="L1328" s="58"/>
      <c r="M1328" s="106"/>
      <c r="N1328" s="77"/>
      <c r="O1328" s="62"/>
      <c r="P1328" s="62"/>
      <c r="Q1328" s="62"/>
      <c r="R1328" s="62"/>
      <c r="S1328" s="37" t="str">
        <f>IFERROR(__xludf.DUMMYFUNCTION("if(not(iserror(index(split(C1328, "" ""),2))), index(split(C1328, "" ""),1),"""")"),"")</f>
        <v/>
      </c>
      <c r="T1328" s="315" t="str">
        <f>IFERROR(__xludf.DUMMYFUNCTION("if(S1328="""",C1328,if(not(iserror(index(split(C1328, "" ""),3))), index(split(C1328, "" ""),3),index(split(C1328, "" ""),2)))"),"")</f>
        <v/>
      </c>
      <c r="U1328" s="38" t="b">
        <f t="shared" si="34"/>
        <v>0</v>
      </c>
      <c r="V1328" s="38"/>
      <c r="W1328" s="40"/>
      <c r="X1328" s="40"/>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row>
    <row r="1329">
      <c r="B1329" s="341"/>
      <c r="C1329" s="60"/>
      <c r="D1329" s="60"/>
      <c r="E1329" s="58"/>
      <c r="F1329" s="58"/>
      <c r="G1329" s="58"/>
      <c r="H1329" s="33" t="str">
        <f t="shared" si="33"/>
        <v/>
      </c>
      <c r="I1329" s="58"/>
      <c r="J1329" s="58"/>
      <c r="K1329" s="58"/>
      <c r="L1329" s="58"/>
      <c r="M1329" s="106"/>
      <c r="N1329" s="77"/>
      <c r="O1329" s="62"/>
      <c r="P1329" s="62"/>
      <c r="Q1329" s="62"/>
      <c r="R1329" s="62"/>
      <c r="S1329" s="37" t="str">
        <f>IFERROR(__xludf.DUMMYFUNCTION("if(not(iserror(index(split(C1329, "" ""),2))), index(split(C1329, "" ""),1),"""")"),"")</f>
        <v/>
      </c>
      <c r="T1329" s="315" t="str">
        <f>IFERROR(__xludf.DUMMYFUNCTION("if(S1329="""",C1329,if(not(iserror(index(split(C1329, "" ""),3))), index(split(C1329, "" ""),3),index(split(C1329, "" ""),2)))"),"")</f>
        <v/>
      </c>
      <c r="U1329" s="38" t="b">
        <f t="shared" si="34"/>
        <v>0</v>
      </c>
      <c r="V1329" s="38"/>
      <c r="W1329" s="40"/>
      <c r="X1329" s="40"/>
      <c r="Y1329" s="38"/>
      <c r="Z1329" s="38"/>
      <c r="AA1329" s="38"/>
      <c r="AB1329" s="38"/>
      <c r="AC1329" s="38"/>
      <c r="AD1329" s="38"/>
      <c r="AE1329" s="38"/>
      <c r="AF1329" s="38"/>
      <c r="AG1329" s="38"/>
      <c r="AH1329" s="38"/>
      <c r="AI1329" s="38"/>
      <c r="AJ1329" s="38"/>
      <c r="AK1329" s="38"/>
      <c r="AL1329" s="38"/>
      <c r="AM1329" s="38"/>
      <c r="AN1329" s="38"/>
      <c r="AO1329" s="38"/>
      <c r="AP1329" s="38"/>
      <c r="AQ1329" s="38"/>
      <c r="AR1329" s="38"/>
      <c r="AS1329" s="38"/>
      <c r="AT1329" s="38"/>
      <c r="AU1329" s="38"/>
      <c r="AV1329" s="38"/>
      <c r="AW1329" s="38"/>
      <c r="AX1329" s="38"/>
      <c r="AY1329" s="38"/>
      <c r="AZ1329" s="38"/>
      <c r="BA1329" s="38"/>
      <c r="BB1329" s="38"/>
      <c r="BC1329" s="38"/>
      <c r="BD1329" s="38"/>
      <c r="BE1329" s="38"/>
      <c r="BF1329" s="38"/>
      <c r="BG1329" s="38"/>
      <c r="BH1329" s="38"/>
      <c r="BI1329" s="38"/>
      <c r="BJ1329" s="38"/>
      <c r="BK1329" s="38"/>
      <c r="BL1329" s="38"/>
      <c r="BM1329" s="38"/>
      <c r="BN1329" s="38"/>
      <c r="BO1329" s="38"/>
      <c r="BP1329" s="38"/>
      <c r="BQ1329" s="38"/>
    </row>
    <row r="1330">
      <c r="B1330" s="341"/>
      <c r="C1330" s="60"/>
      <c r="D1330" s="60"/>
      <c r="E1330" s="58"/>
      <c r="F1330" s="58"/>
      <c r="G1330" s="58"/>
      <c r="H1330" s="33" t="str">
        <f t="shared" si="33"/>
        <v/>
      </c>
      <c r="I1330" s="58"/>
      <c r="J1330" s="58"/>
      <c r="K1330" s="58"/>
      <c r="L1330" s="58"/>
      <c r="M1330" s="106"/>
      <c r="N1330" s="77"/>
      <c r="O1330" s="62"/>
      <c r="P1330" s="62"/>
      <c r="Q1330" s="62"/>
      <c r="R1330" s="62"/>
      <c r="S1330" s="37" t="str">
        <f>IFERROR(__xludf.DUMMYFUNCTION("if(not(iserror(index(split(C1330, "" ""),2))), index(split(C1330, "" ""),1),"""")"),"")</f>
        <v/>
      </c>
      <c r="T1330" s="315" t="str">
        <f>IFERROR(__xludf.DUMMYFUNCTION("if(S1330="""",C1330,if(not(iserror(index(split(C1330, "" ""),3))), index(split(C1330, "" ""),3),index(split(C1330, "" ""),2)))"),"")</f>
        <v/>
      </c>
      <c r="U1330" s="38" t="b">
        <f t="shared" si="34"/>
        <v>0</v>
      </c>
      <c r="V1330" s="38"/>
      <c r="W1330" s="40"/>
      <c r="X1330" s="40"/>
      <c r="Y1330" s="38"/>
      <c r="Z1330" s="38"/>
      <c r="AA1330" s="38"/>
      <c r="AB1330" s="38"/>
      <c r="AC1330" s="38"/>
      <c r="AD1330" s="38"/>
      <c r="AE1330" s="38"/>
      <c r="AF1330" s="38"/>
      <c r="AG1330" s="38"/>
      <c r="AH1330" s="38"/>
      <c r="AI1330" s="38"/>
      <c r="AJ1330" s="38"/>
      <c r="AK1330" s="38"/>
      <c r="AL1330" s="38"/>
      <c r="AM1330" s="38"/>
      <c r="AN1330" s="38"/>
      <c r="AO1330" s="38"/>
      <c r="AP1330" s="38"/>
      <c r="AQ1330" s="38"/>
      <c r="AR1330" s="38"/>
      <c r="AS1330" s="38"/>
      <c r="AT1330" s="38"/>
      <c r="AU1330" s="38"/>
      <c r="AV1330" s="38"/>
      <c r="AW1330" s="38"/>
      <c r="AX1330" s="38"/>
      <c r="AY1330" s="38"/>
      <c r="AZ1330" s="38"/>
      <c r="BA1330" s="38"/>
      <c r="BB1330" s="38"/>
      <c r="BC1330" s="38"/>
      <c r="BD1330" s="38"/>
      <c r="BE1330" s="38"/>
      <c r="BF1330" s="38"/>
      <c r="BG1330" s="38"/>
      <c r="BH1330" s="38"/>
      <c r="BI1330" s="38"/>
      <c r="BJ1330" s="38"/>
      <c r="BK1330" s="38"/>
      <c r="BL1330" s="38"/>
      <c r="BM1330" s="38"/>
      <c r="BN1330" s="38"/>
      <c r="BO1330" s="38"/>
      <c r="BP1330" s="38"/>
      <c r="BQ1330" s="38"/>
    </row>
    <row r="1331">
      <c r="B1331" s="341"/>
      <c r="C1331" s="60"/>
      <c r="D1331" s="60"/>
      <c r="E1331" s="58"/>
      <c r="F1331" s="58"/>
      <c r="G1331" s="58"/>
      <c r="H1331" s="33" t="str">
        <f t="shared" si="33"/>
        <v/>
      </c>
      <c r="I1331" s="58"/>
      <c r="J1331" s="58"/>
      <c r="K1331" s="58"/>
      <c r="L1331" s="58"/>
      <c r="M1331" s="106"/>
      <c r="N1331" s="77"/>
      <c r="O1331" s="62"/>
      <c r="P1331" s="62"/>
      <c r="Q1331" s="62"/>
      <c r="R1331" s="62"/>
      <c r="S1331" s="37" t="str">
        <f>IFERROR(__xludf.DUMMYFUNCTION("if(not(iserror(index(split(C1331, "" ""),2))), index(split(C1331, "" ""),1),"""")"),"")</f>
        <v/>
      </c>
      <c r="T1331" s="315" t="str">
        <f>IFERROR(__xludf.DUMMYFUNCTION("if(S1331="""",C1331,if(not(iserror(index(split(C1331, "" ""),3))), index(split(C1331, "" ""),3),index(split(C1331, "" ""),2)))"),"")</f>
        <v/>
      </c>
      <c r="U1331" s="38" t="b">
        <f t="shared" si="34"/>
        <v>0</v>
      </c>
      <c r="V1331" s="38"/>
      <c r="W1331" s="40"/>
      <c r="X1331" s="40"/>
      <c r="Y1331" s="38"/>
      <c r="Z1331" s="38"/>
      <c r="AA1331" s="38"/>
      <c r="AB1331" s="38"/>
      <c r="AC1331" s="38"/>
      <c r="AD1331" s="38"/>
      <c r="AE1331" s="38"/>
      <c r="AF1331" s="38"/>
      <c r="AG1331" s="38"/>
      <c r="AH1331" s="38"/>
      <c r="AI1331" s="38"/>
      <c r="AJ1331" s="38"/>
      <c r="AK1331" s="38"/>
      <c r="AL1331" s="38"/>
      <c r="AM1331" s="38"/>
      <c r="AN1331" s="38"/>
      <c r="AO1331" s="38"/>
      <c r="AP1331" s="38"/>
      <c r="AQ1331" s="38"/>
      <c r="AR1331" s="38"/>
      <c r="AS1331" s="38"/>
      <c r="AT1331" s="38"/>
      <c r="AU1331" s="38"/>
      <c r="AV1331" s="38"/>
      <c r="AW1331" s="38"/>
      <c r="AX1331" s="38"/>
      <c r="AY1331" s="38"/>
      <c r="AZ1331" s="38"/>
      <c r="BA1331" s="38"/>
      <c r="BB1331" s="38"/>
      <c r="BC1331" s="38"/>
      <c r="BD1331" s="38"/>
      <c r="BE1331" s="38"/>
      <c r="BF1331" s="38"/>
      <c r="BG1331" s="38"/>
      <c r="BH1331" s="38"/>
      <c r="BI1331" s="38"/>
      <c r="BJ1331" s="38"/>
      <c r="BK1331" s="38"/>
      <c r="BL1331" s="38"/>
      <c r="BM1331" s="38"/>
      <c r="BN1331" s="38"/>
      <c r="BO1331" s="38"/>
      <c r="BP1331" s="38"/>
      <c r="BQ1331" s="38"/>
    </row>
    <row r="1332">
      <c r="B1332" s="341"/>
      <c r="C1332" s="60"/>
      <c r="D1332" s="60"/>
      <c r="E1332" s="58"/>
      <c r="F1332" s="58"/>
      <c r="G1332" s="58"/>
      <c r="H1332" s="33" t="str">
        <f t="shared" si="33"/>
        <v/>
      </c>
      <c r="I1332" s="58"/>
      <c r="J1332" s="58"/>
      <c r="K1332" s="58"/>
      <c r="L1332" s="58"/>
      <c r="M1332" s="106"/>
      <c r="N1332" s="77"/>
      <c r="O1332" s="62"/>
      <c r="P1332" s="62"/>
      <c r="Q1332" s="62"/>
      <c r="R1332" s="62"/>
      <c r="S1332" s="37" t="str">
        <f>IFERROR(__xludf.DUMMYFUNCTION("if(not(iserror(index(split(C1332, "" ""),2))), index(split(C1332, "" ""),1),"""")"),"")</f>
        <v/>
      </c>
      <c r="T1332" s="315" t="str">
        <f>IFERROR(__xludf.DUMMYFUNCTION("if(S1332="""",C1332,if(not(iserror(index(split(C1332, "" ""),3))), index(split(C1332, "" ""),3),index(split(C1332, "" ""),2)))"),"")</f>
        <v/>
      </c>
      <c r="U1332" s="38" t="b">
        <f t="shared" si="34"/>
        <v>0</v>
      </c>
      <c r="V1332" s="38"/>
      <c r="W1332" s="40"/>
      <c r="X1332" s="40"/>
      <c r="Y1332" s="38"/>
      <c r="Z1332" s="38"/>
      <c r="AA1332" s="38"/>
      <c r="AB1332" s="38"/>
      <c r="AC1332" s="38"/>
      <c r="AD1332" s="38"/>
      <c r="AE1332" s="38"/>
      <c r="AF1332" s="38"/>
      <c r="AG1332" s="38"/>
      <c r="AH1332" s="38"/>
      <c r="AI1332" s="38"/>
      <c r="AJ1332" s="38"/>
      <c r="AK1332" s="38"/>
      <c r="AL1332" s="38"/>
      <c r="AM1332" s="38"/>
      <c r="AN1332" s="38"/>
      <c r="AO1332" s="38"/>
      <c r="AP1332" s="38"/>
      <c r="AQ1332" s="38"/>
      <c r="AR1332" s="38"/>
      <c r="AS1332" s="38"/>
      <c r="AT1332" s="38"/>
      <c r="AU1332" s="38"/>
      <c r="AV1332" s="38"/>
      <c r="AW1332" s="38"/>
      <c r="AX1332" s="38"/>
      <c r="AY1332" s="38"/>
      <c r="AZ1332" s="38"/>
      <c r="BA1332" s="38"/>
      <c r="BB1332" s="38"/>
      <c r="BC1332" s="38"/>
      <c r="BD1332" s="38"/>
      <c r="BE1332" s="38"/>
      <c r="BF1332" s="38"/>
      <c r="BG1332" s="38"/>
      <c r="BH1332" s="38"/>
      <c r="BI1332" s="38"/>
      <c r="BJ1332" s="38"/>
      <c r="BK1332" s="38"/>
      <c r="BL1332" s="38"/>
      <c r="BM1332" s="38"/>
      <c r="BN1332" s="38"/>
      <c r="BO1332" s="38"/>
      <c r="BP1332" s="38"/>
      <c r="BQ1332" s="38"/>
    </row>
    <row r="1333">
      <c r="A1333" s="58"/>
      <c r="B1333" s="341"/>
      <c r="C1333" s="60"/>
      <c r="D1333" s="60"/>
      <c r="E1333" s="58"/>
      <c r="F1333" s="58"/>
      <c r="G1333" s="58"/>
      <c r="H1333" s="33" t="str">
        <f t="shared" si="33"/>
        <v/>
      </c>
      <c r="I1333" s="58"/>
      <c r="J1333" s="58"/>
      <c r="K1333" s="58"/>
      <c r="L1333" s="58"/>
      <c r="M1333" s="106"/>
      <c r="N1333" s="77"/>
      <c r="O1333" s="62"/>
      <c r="P1333" s="62"/>
      <c r="Q1333" s="62"/>
      <c r="R1333" s="62"/>
      <c r="S1333" s="37" t="str">
        <f>IFERROR(__xludf.DUMMYFUNCTION("if(not(iserror(index(split(C1333, "" ""),2))), index(split(C1333, "" ""),1),"""")"),"")</f>
        <v/>
      </c>
      <c r="T1333" s="315" t="str">
        <f>IFERROR(__xludf.DUMMYFUNCTION("if(S1333="""",C1333,if(not(iserror(index(split(C1333, "" ""),3))), index(split(C1333, "" ""),3),index(split(C1333, "" ""),2)))"),"")</f>
        <v/>
      </c>
      <c r="U1333" s="38" t="b">
        <f t="shared" si="34"/>
        <v>0</v>
      </c>
      <c r="V1333" s="38"/>
      <c r="W1333" s="40"/>
      <c r="X1333" s="40"/>
      <c r="Y1333" s="38"/>
      <c r="Z1333" s="38"/>
      <c r="AA1333" s="38"/>
      <c r="AB1333" s="38"/>
      <c r="AC1333" s="38"/>
      <c r="AD1333" s="38"/>
      <c r="AE1333" s="38"/>
      <c r="AF1333" s="38"/>
      <c r="AG1333" s="38"/>
      <c r="AH1333" s="38"/>
      <c r="AI1333" s="38"/>
      <c r="AJ1333" s="38"/>
      <c r="AK1333" s="38"/>
      <c r="AL1333" s="38"/>
      <c r="AM1333" s="38"/>
      <c r="AN1333" s="38"/>
      <c r="AO1333" s="38"/>
      <c r="AP1333" s="38"/>
      <c r="AQ1333" s="38"/>
      <c r="AR1333" s="38"/>
      <c r="AS1333" s="38"/>
      <c r="AT1333" s="38"/>
      <c r="AU1333" s="38"/>
      <c r="AV1333" s="38"/>
      <c r="AW1333" s="38"/>
      <c r="AX1333" s="38"/>
      <c r="AY1333" s="38"/>
      <c r="AZ1333" s="38"/>
      <c r="BA1333" s="38"/>
      <c r="BB1333" s="38"/>
      <c r="BC1333" s="38"/>
      <c r="BD1333" s="38"/>
      <c r="BE1333" s="38"/>
      <c r="BF1333" s="38"/>
      <c r="BG1333" s="38"/>
      <c r="BH1333" s="38"/>
      <c r="BI1333" s="38"/>
      <c r="BJ1333" s="38"/>
      <c r="BK1333" s="38"/>
      <c r="BL1333" s="38"/>
      <c r="BM1333" s="38"/>
      <c r="BN1333" s="38"/>
      <c r="BO1333" s="38"/>
      <c r="BP1333" s="38"/>
      <c r="BQ1333" s="38"/>
    </row>
    <row r="1334">
      <c r="B1334" s="341"/>
      <c r="C1334" s="60"/>
      <c r="D1334" s="60"/>
      <c r="E1334" s="58"/>
      <c r="F1334" s="58"/>
      <c r="G1334" s="58"/>
      <c r="H1334" s="33" t="str">
        <f t="shared" si="33"/>
        <v/>
      </c>
      <c r="I1334" s="58"/>
      <c r="J1334" s="58"/>
      <c r="K1334" s="58"/>
      <c r="L1334" s="58"/>
      <c r="M1334" s="106"/>
      <c r="N1334" s="77"/>
      <c r="O1334" s="62"/>
      <c r="P1334" s="62"/>
      <c r="Q1334" s="62"/>
      <c r="R1334" s="62"/>
      <c r="S1334" s="37" t="str">
        <f>IFERROR(__xludf.DUMMYFUNCTION("if(not(iserror(index(split(C1334, "" ""),2))), index(split(C1334, "" ""),1),"""")"),"")</f>
        <v/>
      </c>
      <c r="T1334" s="315" t="str">
        <f>IFERROR(__xludf.DUMMYFUNCTION("if(S1334="""",C1334,if(not(iserror(index(split(C1334, "" ""),3))), index(split(C1334, "" ""),3),index(split(C1334, "" ""),2)))"),"")</f>
        <v/>
      </c>
      <c r="U1334" s="38" t="b">
        <f t="shared" si="34"/>
        <v>0</v>
      </c>
      <c r="V1334" s="38"/>
      <c r="W1334" s="40"/>
      <c r="X1334" s="40"/>
      <c r="Y1334" s="38"/>
      <c r="Z1334" s="38"/>
      <c r="AA1334" s="38"/>
      <c r="AB1334" s="38"/>
      <c r="AC1334" s="38"/>
      <c r="AD1334" s="38"/>
      <c r="AE1334" s="38"/>
      <c r="AF1334" s="38"/>
      <c r="AG1334" s="38"/>
      <c r="AH1334" s="38"/>
      <c r="AI1334" s="38"/>
      <c r="AJ1334" s="38"/>
      <c r="AK1334" s="38"/>
      <c r="AL1334" s="38"/>
      <c r="AM1334" s="38"/>
      <c r="AN1334" s="38"/>
      <c r="AO1334" s="38"/>
      <c r="AP1334" s="38"/>
      <c r="AQ1334" s="38"/>
      <c r="AR1334" s="38"/>
      <c r="AS1334" s="38"/>
      <c r="AT1334" s="38"/>
      <c r="AU1334" s="38"/>
      <c r="AV1334" s="38"/>
      <c r="AW1334" s="38"/>
      <c r="AX1334" s="38"/>
      <c r="AY1334" s="38"/>
      <c r="AZ1334" s="38"/>
      <c r="BA1334" s="38"/>
      <c r="BB1334" s="38"/>
      <c r="BC1334" s="38"/>
      <c r="BD1334" s="38"/>
      <c r="BE1334" s="38"/>
      <c r="BF1334" s="38"/>
      <c r="BG1334" s="38"/>
      <c r="BH1334" s="38"/>
      <c r="BI1334" s="38"/>
      <c r="BJ1334" s="38"/>
      <c r="BK1334" s="38"/>
      <c r="BL1334" s="38"/>
      <c r="BM1334" s="38"/>
      <c r="BN1334" s="38"/>
      <c r="BO1334" s="38"/>
      <c r="BP1334" s="38"/>
      <c r="BQ1334" s="38"/>
    </row>
    <row r="1335">
      <c r="B1335" s="341"/>
      <c r="C1335" s="60"/>
      <c r="D1335" s="60"/>
      <c r="E1335" s="58"/>
      <c r="F1335" s="58"/>
      <c r="G1335" s="58"/>
      <c r="H1335" s="33" t="str">
        <f t="shared" si="33"/>
        <v/>
      </c>
      <c r="I1335" s="58"/>
      <c r="J1335" s="58"/>
      <c r="K1335" s="58"/>
      <c r="L1335" s="58"/>
      <c r="M1335" s="106"/>
      <c r="N1335" s="77"/>
      <c r="O1335" s="58"/>
      <c r="P1335" s="58"/>
      <c r="Q1335" s="84"/>
      <c r="R1335" s="62"/>
      <c r="S1335" s="37" t="str">
        <f>IFERROR(__xludf.DUMMYFUNCTION("if(not(iserror(index(split(C1335, "" ""),2))), index(split(C1335, "" ""),1),"""")"),"")</f>
        <v/>
      </c>
      <c r="T1335" s="315" t="str">
        <f>IFERROR(__xludf.DUMMYFUNCTION("if(S1335="""",C1335,if(not(iserror(index(split(C1335, "" ""),3))), index(split(C1335, "" ""),3),index(split(C1335, "" ""),2)))"),"")</f>
        <v/>
      </c>
      <c r="U1335" s="38" t="b">
        <f t="shared" si="34"/>
        <v>0</v>
      </c>
      <c r="V1335" s="38"/>
      <c r="W1335" s="40"/>
      <c r="X1335" s="40"/>
      <c r="Y1335" s="38"/>
      <c r="Z1335" s="38"/>
      <c r="AA1335" s="38"/>
      <c r="AB1335" s="38"/>
      <c r="AC1335" s="38"/>
      <c r="AD1335" s="38"/>
      <c r="AE1335" s="38"/>
      <c r="AF1335" s="38"/>
      <c r="AG1335" s="38"/>
      <c r="AH1335" s="38"/>
      <c r="AI1335" s="38"/>
      <c r="AJ1335" s="38"/>
      <c r="AK1335" s="38"/>
      <c r="AL1335" s="38"/>
      <c r="AM1335" s="38"/>
      <c r="AN1335" s="38"/>
      <c r="AO1335" s="38"/>
      <c r="AP1335" s="38"/>
      <c r="AQ1335" s="38"/>
      <c r="AR1335" s="38"/>
      <c r="AS1335" s="38"/>
      <c r="AT1335" s="38"/>
      <c r="AU1335" s="38"/>
      <c r="AV1335" s="38"/>
      <c r="AW1335" s="38"/>
      <c r="AX1335" s="38"/>
      <c r="AY1335" s="38"/>
      <c r="AZ1335" s="38"/>
      <c r="BA1335" s="38"/>
      <c r="BB1335" s="38"/>
      <c r="BC1335" s="38"/>
      <c r="BD1335" s="38"/>
      <c r="BE1335" s="38"/>
      <c r="BF1335" s="38"/>
      <c r="BG1335" s="38"/>
      <c r="BH1335" s="38"/>
      <c r="BI1335" s="38"/>
      <c r="BJ1335" s="38"/>
      <c r="BK1335" s="38"/>
      <c r="BL1335" s="38"/>
      <c r="BM1335" s="38"/>
      <c r="BN1335" s="38"/>
      <c r="BO1335" s="38"/>
      <c r="BP1335" s="38"/>
      <c r="BQ1335" s="38"/>
    </row>
    <row r="1336">
      <c r="B1336" s="341"/>
      <c r="C1336" s="60"/>
      <c r="D1336" s="60"/>
      <c r="E1336" s="58"/>
      <c r="F1336" s="58"/>
      <c r="G1336" s="58"/>
      <c r="H1336" s="33" t="str">
        <f t="shared" si="33"/>
        <v/>
      </c>
      <c r="I1336" s="58"/>
      <c r="J1336" s="58"/>
      <c r="K1336" s="58"/>
      <c r="L1336" s="58"/>
      <c r="M1336" s="106"/>
      <c r="N1336" s="80"/>
      <c r="O1336" s="58"/>
      <c r="P1336" s="58"/>
      <c r="Q1336" s="58"/>
      <c r="R1336" s="62"/>
      <c r="S1336" s="37" t="str">
        <f>IFERROR(__xludf.DUMMYFUNCTION("if(not(iserror(index(split(C1336, "" ""),2))), index(split(C1336, "" ""),1),"""")"),"")</f>
        <v/>
      </c>
      <c r="T1336" s="315" t="str">
        <f>IFERROR(__xludf.DUMMYFUNCTION("if(S1336="""",C1336,if(not(iserror(index(split(C1336, "" ""),3))), index(split(C1336, "" ""),3),index(split(C1336, "" ""),2)))"),"")</f>
        <v/>
      </c>
      <c r="U1336" s="38" t="b">
        <f t="shared" si="34"/>
        <v>0</v>
      </c>
      <c r="V1336" s="38"/>
      <c r="W1336" s="40"/>
      <c r="X1336" s="40"/>
      <c r="Y1336" s="38"/>
      <c r="Z1336" s="38"/>
      <c r="AA1336" s="38"/>
      <c r="AB1336" s="38"/>
      <c r="AC1336" s="38"/>
      <c r="AD1336" s="38"/>
      <c r="AE1336" s="38"/>
      <c r="AF1336" s="38"/>
      <c r="AG1336" s="38"/>
      <c r="AH1336" s="38"/>
      <c r="AI1336" s="38"/>
      <c r="AJ1336" s="38"/>
      <c r="AK1336" s="38"/>
      <c r="AL1336" s="38"/>
      <c r="AM1336" s="38"/>
      <c r="AN1336" s="38"/>
      <c r="AO1336" s="38"/>
      <c r="AP1336" s="38"/>
      <c r="AQ1336" s="38"/>
      <c r="AR1336" s="38"/>
      <c r="AS1336" s="38"/>
      <c r="AT1336" s="38"/>
      <c r="AU1336" s="38"/>
      <c r="AV1336" s="38"/>
      <c r="AW1336" s="38"/>
      <c r="AX1336" s="38"/>
      <c r="AY1336" s="38"/>
      <c r="AZ1336" s="38"/>
      <c r="BA1336" s="38"/>
      <c r="BB1336" s="38"/>
      <c r="BC1336" s="38"/>
      <c r="BD1336" s="38"/>
      <c r="BE1336" s="38"/>
      <c r="BF1336" s="38"/>
      <c r="BG1336" s="38"/>
      <c r="BH1336" s="38"/>
      <c r="BI1336" s="38"/>
      <c r="BJ1336" s="38"/>
      <c r="BK1336" s="38"/>
      <c r="BL1336" s="38"/>
      <c r="BM1336" s="38"/>
      <c r="BN1336" s="38"/>
      <c r="BO1336" s="38"/>
      <c r="BP1336" s="38"/>
      <c r="BQ1336" s="38"/>
    </row>
    <row r="1337">
      <c r="B1337" s="341"/>
      <c r="C1337" s="60"/>
      <c r="D1337" s="60"/>
      <c r="E1337" s="58"/>
      <c r="F1337" s="58"/>
      <c r="G1337" s="58"/>
      <c r="H1337" s="33" t="str">
        <f t="shared" si="33"/>
        <v/>
      </c>
      <c r="I1337" s="58"/>
      <c r="J1337" s="58"/>
      <c r="K1337" s="58"/>
      <c r="L1337" s="58"/>
      <c r="M1337" s="106"/>
      <c r="N1337" s="77"/>
      <c r="O1337" s="62"/>
      <c r="P1337" s="58"/>
      <c r="Q1337" s="58"/>
      <c r="R1337" s="62"/>
      <c r="S1337" s="37" t="str">
        <f>IFERROR(__xludf.DUMMYFUNCTION("if(not(iserror(index(split(C1337, "" ""),2))), index(split(C1337, "" ""),1),"""")"),"")</f>
        <v/>
      </c>
      <c r="T1337" s="315" t="str">
        <f>IFERROR(__xludf.DUMMYFUNCTION("if(S1337="""",C1337,if(not(iserror(index(split(C1337, "" ""),3))), index(split(C1337, "" ""),3),index(split(C1337, "" ""),2)))"),"")</f>
        <v/>
      </c>
      <c r="U1337" s="38" t="b">
        <f t="shared" si="34"/>
        <v>0</v>
      </c>
      <c r="V1337" s="38"/>
      <c r="W1337" s="40"/>
      <c r="X1337" s="40"/>
      <c r="Y1337" s="38"/>
      <c r="Z1337" s="38"/>
      <c r="AA1337" s="38"/>
      <c r="AB1337" s="38"/>
      <c r="AC1337" s="38"/>
      <c r="AD1337" s="38"/>
      <c r="AE1337" s="38"/>
      <c r="AF1337" s="38"/>
      <c r="AG1337" s="38"/>
      <c r="AH1337" s="38"/>
      <c r="AI1337" s="38"/>
      <c r="AJ1337" s="38"/>
      <c r="AK1337" s="38"/>
      <c r="AL1337" s="38"/>
      <c r="AM1337" s="38"/>
      <c r="AN1337" s="38"/>
      <c r="AO1337" s="38"/>
      <c r="AP1337" s="38"/>
      <c r="AQ1337" s="38"/>
      <c r="AR1337" s="38"/>
      <c r="AS1337" s="38"/>
      <c r="AT1337" s="38"/>
      <c r="AU1337" s="38"/>
      <c r="AV1337" s="38"/>
      <c r="AW1337" s="38"/>
      <c r="AX1337" s="38"/>
      <c r="AY1337" s="38"/>
      <c r="AZ1337" s="38"/>
      <c r="BA1337" s="38"/>
      <c r="BB1337" s="38"/>
      <c r="BC1337" s="38"/>
      <c r="BD1337" s="38"/>
      <c r="BE1337" s="38"/>
      <c r="BF1337" s="38"/>
      <c r="BG1337" s="38"/>
      <c r="BH1337" s="38"/>
      <c r="BI1337" s="38"/>
      <c r="BJ1337" s="38"/>
      <c r="BK1337" s="38"/>
      <c r="BL1337" s="38"/>
      <c r="BM1337" s="38"/>
      <c r="BN1337" s="38"/>
      <c r="BO1337" s="38"/>
      <c r="BP1337" s="38"/>
      <c r="BQ1337" s="38"/>
    </row>
    <row r="1338">
      <c r="B1338" s="341"/>
      <c r="C1338" s="60"/>
      <c r="D1338" s="60"/>
      <c r="E1338" s="58"/>
      <c r="F1338" s="58"/>
      <c r="G1338" s="58"/>
      <c r="H1338" s="33" t="str">
        <f t="shared" si="33"/>
        <v/>
      </c>
      <c r="I1338" s="58"/>
      <c r="J1338" s="58"/>
      <c r="K1338" s="58"/>
      <c r="L1338" s="58"/>
      <c r="M1338" s="106"/>
      <c r="N1338" s="77"/>
      <c r="O1338" s="62"/>
      <c r="P1338" s="62"/>
      <c r="Q1338" s="62"/>
      <c r="R1338" s="62"/>
      <c r="S1338" s="37" t="str">
        <f>IFERROR(__xludf.DUMMYFUNCTION("if(not(iserror(index(split(C1338, "" ""),2))), index(split(C1338, "" ""),1),"""")"),"")</f>
        <v/>
      </c>
      <c r="T1338" s="315" t="str">
        <f>IFERROR(__xludf.DUMMYFUNCTION("if(S1338="""",C1338,if(not(iserror(index(split(C1338, "" ""),3))), index(split(C1338, "" ""),3),index(split(C1338, "" ""),2)))"),"")</f>
        <v/>
      </c>
      <c r="U1338" s="38" t="b">
        <f t="shared" si="34"/>
        <v>0</v>
      </c>
      <c r="V1338" s="38"/>
      <c r="W1338" s="40"/>
      <c r="X1338" s="40"/>
      <c r="Y1338" s="38"/>
      <c r="Z1338" s="38"/>
      <c r="AA1338" s="38"/>
      <c r="AB1338" s="38"/>
      <c r="AC1338" s="38"/>
      <c r="AD1338" s="38"/>
      <c r="AE1338" s="38"/>
      <c r="AF1338" s="38"/>
      <c r="AG1338" s="38"/>
      <c r="AH1338" s="38"/>
      <c r="AI1338" s="38"/>
      <c r="AJ1338" s="38"/>
      <c r="AK1338" s="38"/>
      <c r="AL1338" s="38"/>
      <c r="AM1338" s="38"/>
      <c r="AN1338" s="38"/>
      <c r="AO1338" s="38"/>
      <c r="AP1338" s="38"/>
      <c r="AQ1338" s="38"/>
      <c r="AR1338" s="38"/>
      <c r="AS1338" s="38"/>
      <c r="AT1338" s="38"/>
      <c r="AU1338" s="38"/>
      <c r="AV1338" s="38"/>
      <c r="AW1338" s="38"/>
      <c r="AX1338" s="38"/>
      <c r="AY1338" s="38"/>
      <c r="AZ1338" s="38"/>
      <c r="BA1338" s="38"/>
      <c r="BB1338" s="38"/>
      <c r="BC1338" s="38"/>
      <c r="BD1338" s="38"/>
      <c r="BE1338" s="38"/>
      <c r="BF1338" s="38"/>
      <c r="BG1338" s="38"/>
      <c r="BH1338" s="38"/>
      <c r="BI1338" s="38"/>
      <c r="BJ1338" s="38"/>
      <c r="BK1338" s="38"/>
      <c r="BL1338" s="38"/>
      <c r="BM1338" s="38"/>
      <c r="BN1338" s="38"/>
      <c r="BO1338" s="38"/>
      <c r="BP1338" s="38"/>
      <c r="BQ1338" s="38"/>
    </row>
    <row r="1339">
      <c r="B1339" s="341"/>
      <c r="C1339" s="60"/>
      <c r="D1339" s="60"/>
      <c r="E1339" s="58"/>
      <c r="F1339" s="58"/>
      <c r="G1339" s="58"/>
      <c r="H1339" s="33" t="str">
        <f t="shared" si="33"/>
        <v/>
      </c>
      <c r="I1339" s="58"/>
      <c r="J1339" s="58"/>
      <c r="K1339" s="58"/>
      <c r="L1339" s="58"/>
      <c r="M1339" s="106"/>
      <c r="N1339" s="77"/>
      <c r="O1339" s="62"/>
      <c r="P1339" s="62"/>
      <c r="Q1339" s="62"/>
      <c r="R1339" s="62"/>
      <c r="S1339" s="37" t="str">
        <f>IFERROR(__xludf.DUMMYFUNCTION("if(not(iserror(index(split(C1339, "" ""),2))), index(split(C1339, "" ""),1),"""")"),"")</f>
        <v/>
      </c>
      <c r="T1339" s="315" t="str">
        <f>IFERROR(__xludf.DUMMYFUNCTION("if(S1339="""",C1339,if(not(iserror(index(split(C1339, "" ""),3))), index(split(C1339, "" ""),3),index(split(C1339, "" ""),2)))"),"")</f>
        <v/>
      </c>
      <c r="U1339" s="38" t="b">
        <f t="shared" si="34"/>
        <v>0</v>
      </c>
      <c r="V1339" s="38"/>
      <c r="W1339" s="40"/>
      <c r="X1339" s="40"/>
      <c r="Y1339" s="38"/>
      <c r="Z1339" s="38"/>
      <c r="AA1339" s="38"/>
      <c r="AB1339" s="38"/>
      <c r="AC1339" s="38"/>
      <c r="AD1339" s="38"/>
      <c r="AE1339" s="38"/>
      <c r="AF1339" s="38"/>
      <c r="AG1339" s="38"/>
      <c r="AH1339" s="38"/>
      <c r="AI1339" s="38"/>
      <c r="AJ1339" s="38"/>
      <c r="AK1339" s="38"/>
      <c r="AL1339" s="38"/>
      <c r="AM1339" s="38"/>
      <c r="AN1339" s="38"/>
      <c r="AO1339" s="38"/>
      <c r="AP1339" s="38"/>
      <c r="AQ1339" s="38"/>
      <c r="AR1339" s="38"/>
      <c r="AS1339" s="38"/>
      <c r="AT1339" s="38"/>
      <c r="AU1339" s="38"/>
      <c r="AV1339" s="38"/>
      <c r="AW1339" s="38"/>
      <c r="AX1339" s="38"/>
      <c r="AY1339" s="38"/>
      <c r="AZ1339" s="38"/>
      <c r="BA1339" s="38"/>
      <c r="BB1339" s="38"/>
      <c r="BC1339" s="38"/>
      <c r="BD1339" s="38"/>
      <c r="BE1339" s="38"/>
      <c r="BF1339" s="38"/>
      <c r="BG1339" s="38"/>
      <c r="BH1339" s="38"/>
      <c r="BI1339" s="38"/>
      <c r="BJ1339" s="38"/>
      <c r="BK1339" s="38"/>
      <c r="BL1339" s="38"/>
      <c r="BM1339" s="38"/>
      <c r="BN1339" s="38"/>
      <c r="BO1339" s="38"/>
      <c r="BP1339" s="38"/>
      <c r="BQ1339" s="38"/>
    </row>
    <row r="1340">
      <c r="B1340" s="341"/>
      <c r="C1340" s="60"/>
      <c r="D1340" s="60"/>
      <c r="E1340" s="58"/>
      <c r="F1340" s="58"/>
      <c r="G1340" s="58"/>
      <c r="H1340" s="33" t="str">
        <f t="shared" si="33"/>
        <v/>
      </c>
      <c r="I1340" s="58"/>
      <c r="J1340" s="58"/>
      <c r="K1340" s="58"/>
      <c r="L1340" s="58"/>
      <c r="M1340" s="106"/>
      <c r="N1340" s="77"/>
      <c r="O1340" s="62"/>
      <c r="P1340" s="62"/>
      <c r="Q1340" s="62"/>
      <c r="R1340" s="62"/>
      <c r="S1340" s="37" t="str">
        <f>IFERROR(__xludf.DUMMYFUNCTION("if(not(iserror(index(split(C1340, "" ""),2))), index(split(C1340, "" ""),1),"""")"),"")</f>
        <v/>
      </c>
      <c r="T1340" s="315" t="str">
        <f>IFERROR(__xludf.DUMMYFUNCTION("if(S1340="""",C1340,if(not(iserror(index(split(C1340, "" ""),3))), index(split(C1340, "" ""),3),index(split(C1340, "" ""),2)))"),"")</f>
        <v/>
      </c>
      <c r="U1340" s="38" t="b">
        <f t="shared" si="34"/>
        <v>0</v>
      </c>
      <c r="V1340" s="38"/>
      <c r="W1340" s="40"/>
      <c r="X1340" s="40"/>
      <c r="Y1340" s="38"/>
      <c r="Z1340" s="38"/>
      <c r="AA1340" s="38"/>
      <c r="AB1340" s="38"/>
      <c r="AC1340" s="38"/>
      <c r="AD1340" s="38"/>
      <c r="AE1340" s="38"/>
      <c r="AF1340" s="38"/>
      <c r="AG1340" s="38"/>
      <c r="AH1340" s="38"/>
      <c r="AI1340" s="38"/>
      <c r="AJ1340" s="38"/>
      <c r="AK1340" s="38"/>
      <c r="AL1340" s="38"/>
      <c r="AM1340" s="38"/>
      <c r="AN1340" s="38"/>
      <c r="AO1340" s="38"/>
      <c r="AP1340" s="38"/>
      <c r="AQ1340" s="38"/>
      <c r="AR1340" s="38"/>
      <c r="AS1340" s="38"/>
      <c r="AT1340" s="38"/>
      <c r="AU1340" s="38"/>
      <c r="AV1340" s="38"/>
      <c r="AW1340" s="38"/>
      <c r="AX1340" s="38"/>
      <c r="AY1340" s="38"/>
      <c r="AZ1340" s="38"/>
      <c r="BA1340" s="38"/>
      <c r="BB1340" s="38"/>
      <c r="BC1340" s="38"/>
      <c r="BD1340" s="38"/>
      <c r="BE1340" s="38"/>
      <c r="BF1340" s="38"/>
      <c r="BG1340" s="38"/>
      <c r="BH1340" s="38"/>
      <c r="BI1340" s="38"/>
      <c r="BJ1340" s="38"/>
      <c r="BK1340" s="38"/>
      <c r="BL1340" s="38"/>
      <c r="BM1340" s="38"/>
      <c r="BN1340" s="38"/>
      <c r="BO1340" s="38"/>
      <c r="BP1340" s="38"/>
      <c r="BQ1340" s="38"/>
    </row>
    <row r="1341">
      <c r="B1341" s="159"/>
      <c r="C1341" s="60"/>
      <c r="D1341" s="60"/>
      <c r="E1341" s="58"/>
      <c r="F1341" s="58"/>
      <c r="G1341" s="58"/>
      <c r="H1341" s="33" t="str">
        <f t="shared" si="33"/>
        <v/>
      </c>
      <c r="I1341" s="58"/>
      <c r="J1341" s="58"/>
      <c r="K1341" s="58"/>
      <c r="L1341" s="58"/>
      <c r="M1341" s="106"/>
      <c r="N1341" s="77"/>
      <c r="O1341" s="62"/>
      <c r="P1341" s="62"/>
      <c r="Q1341" s="62"/>
      <c r="R1341" s="62"/>
      <c r="S1341" s="37" t="str">
        <f>IFERROR(__xludf.DUMMYFUNCTION("if(not(iserror(index(split(C1341, "" ""),2))), index(split(C1341, "" ""),1),"""")"),"")</f>
        <v/>
      </c>
      <c r="T1341" s="315" t="str">
        <f>IFERROR(__xludf.DUMMYFUNCTION("if(S1341="""",C1341,if(not(iserror(index(split(C1341, "" ""),3))), index(split(C1341, "" ""),3),index(split(C1341, "" ""),2)))"),"")</f>
        <v/>
      </c>
      <c r="U1341" s="38" t="b">
        <f t="shared" si="34"/>
        <v>0</v>
      </c>
      <c r="V1341" s="38"/>
      <c r="W1341" s="40"/>
      <c r="X1341" s="40"/>
      <c r="Y1341" s="38"/>
      <c r="Z1341" s="38"/>
      <c r="AA1341" s="38"/>
      <c r="AB1341" s="38"/>
      <c r="AC1341" s="38"/>
      <c r="AD1341" s="38"/>
      <c r="AE1341" s="38"/>
      <c r="AF1341" s="38"/>
      <c r="AG1341" s="38"/>
      <c r="AH1341" s="38"/>
      <c r="AI1341" s="38"/>
      <c r="AJ1341" s="38"/>
      <c r="AK1341" s="38"/>
      <c r="AL1341" s="38"/>
      <c r="AM1341" s="38"/>
      <c r="AN1341" s="38"/>
      <c r="AO1341" s="38"/>
      <c r="AP1341" s="38"/>
      <c r="AQ1341" s="38"/>
      <c r="AR1341" s="38"/>
      <c r="AS1341" s="38"/>
      <c r="AT1341" s="38"/>
      <c r="AU1341" s="38"/>
      <c r="AV1341" s="38"/>
      <c r="AW1341" s="38"/>
      <c r="AX1341" s="38"/>
      <c r="AY1341" s="38"/>
      <c r="AZ1341" s="38"/>
      <c r="BA1341" s="38"/>
      <c r="BB1341" s="38"/>
      <c r="BC1341" s="38"/>
      <c r="BD1341" s="38"/>
      <c r="BE1341" s="38"/>
      <c r="BF1341" s="38"/>
      <c r="BG1341" s="38"/>
      <c r="BH1341" s="38"/>
      <c r="BI1341" s="38"/>
      <c r="BJ1341" s="38"/>
      <c r="BK1341" s="38"/>
      <c r="BL1341" s="38"/>
      <c r="BM1341" s="38"/>
      <c r="BN1341" s="38"/>
      <c r="BO1341" s="38"/>
      <c r="BP1341" s="38"/>
      <c r="BQ1341" s="38"/>
    </row>
    <row r="1342">
      <c r="B1342" s="159"/>
      <c r="C1342" s="60"/>
      <c r="D1342" s="60"/>
      <c r="E1342" s="58"/>
      <c r="F1342" s="58"/>
      <c r="G1342" s="58"/>
      <c r="H1342" s="33" t="str">
        <f t="shared" si="33"/>
        <v/>
      </c>
      <c r="I1342" s="58"/>
      <c r="J1342" s="58"/>
      <c r="K1342" s="58"/>
      <c r="L1342" s="58"/>
      <c r="M1342" s="106"/>
      <c r="N1342" s="77"/>
      <c r="O1342" s="62"/>
      <c r="P1342" s="62"/>
      <c r="Q1342" s="62"/>
      <c r="R1342" s="62"/>
      <c r="S1342" s="37" t="str">
        <f>IFERROR(__xludf.DUMMYFUNCTION("if(not(iserror(index(split(C1342, "" ""),2))), index(split(C1342, "" ""),1),"""")"),"")</f>
        <v/>
      </c>
      <c r="T1342" s="315" t="str">
        <f>IFERROR(__xludf.DUMMYFUNCTION("if(S1342="""",C1342,if(not(iserror(index(split(C1342, "" ""),3))), index(split(C1342, "" ""),3),index(split(C1342, "" ""),2)))"),"")</f>
        <v/>
      </c>
      <c r="U1342" s="38" t="b">
        <f t="shared" si="34"/>
        <v>0</v>
      </c>
      <c r="V1342" s="38"/>
      <c r="W1342" s="40"/>
      <c r="X1342" s="40"/>
      <c r="Y1342" s="38"/>
      <c r="Z1342" s="38"/>
      <c r="AA1342" s="38"/>
      <c r="AB1342" s="38"/>
      <c r="AC1342" s="38"/>
      <c r="AD1342" s="38"/>
      <c r="AE1342" s="38"/>
      <c r="AF1342" s="38"/>
      <c r="AG1342" s="38"/>
      <c r="AH1342" s="38"/>
      <c r="AI1342" s="38"/>
      <c r="AJ1342" s="38"/>
      <c r="AK1342" s="38"/>
      <c r="AL1342" s="38"/>
      <c r="AM1342" s="38"/>
      <c r="AN1342" s="38"/>
      <c r="AO1342" s="38"/>
      <c r="AP1342" s="38"/>
      <c r="AQ1342" s="38"/>
      <c r="AR1342" s="38"/>
      <c r="AS1342" s="38"/>
      <c r="AT1342" s="38"/>
      <c r="AU1342" s="38"/>
      <c r="AV1342" s="38"/>
      <c r="AW1342" s="38"/>
      <c r="AX1342" s="38"/>
      <c r="AY1342" s="38"/>
      <c r="AZ1342" s="38"/>
      <c r="BA1342" s="38"/>
      <c r="BB1342" s="38"/>
      <c r="BC1342" s="38"/>
      <c r="BD1342" s="38"/>
      <c r="BE1342" s="38"/>
      <c r="BF1342" s="38"/>
      <c r="BG1342" s="38"/>
      <c r="BH1342" s="38"/>
      <c r="BI1342" s="38"/>
      <c r="BJ1342" s="38"/>
      <c r="BK1342" s="38"/>
      <c r="BL1342" s="38"/>
      <c r="BM1342" s="38"/>
      <c r="BN1342" s="38"/>
      <c r="BO1342" s="38"/>
      <c r="BP1342" s="38"/>
      <c r="BQ1342" s="38"/>
    </row>
    <row r="1343">
      <c r="B1343" s="159"/>
      <c r="C1343" s="60"/>
      <c r="D1343" s="60"/>
      <c r="E1343" s="58"/>
      <c r="F1343" s="58"/>
      <c r="G1343" s="58"/>
      <c r="H1343" s="33" t="str">
        <f t="shared" si="33"/>
        <v/>
      </c>
      <c r="I1343" s="58"/>
      <c r="J1343" s="58"/>
      <c r="K1343" s="58"/>
      <c r="L1343" s="58"/>
      <c r="M1343" s="106"/>
      <c r="N1343" s="77"/>
      <c r="O1343" s="62"/>
      <c r="P1343" s="62"/>
      <c r="Q1343" s="62"/>
      <c r="R1343" s="62"/>
      <c r="S1343" s="37" t="str">
        <f>IFERROR(__xludf.DUMMYFUNCTION("if(not(iserror(index(split(C1343, "" ""),2))), index(split(C1343, "" ""),1),"""")"),"")</f>
        <v/>
      </c>
      <c r="T1343" s="315" t="str">
        <f>IFERROR(__xludf.DUMMYFUNCTION("if(S1343="""",C1343,if(not(iserror(index(split(C1343, "" ""),3))), index(split(C1343, "" ""),3),index(split(C1343, "" ""),2)))"),"")</f>
        <v/>
      </c>
      <c r="U1343" s="38" t="b">
        <f t="shared" si="34"/>
        <v>0</v>
      </c>
      <c r="V1343" s="38"/>
      <c r="W1343" s="40"/>
      <c r="X1343" s="40"/>
      <c r="Y1343" s="38"/>
      <c r="Z1343" s="38"/>
      <c r="AA1343" s="38"/>
      <c r="AB1343" s="38"/>
      <c r="AC1343" s="38"/>
      <c r="AD1343" s="38"/>
      <c r="AE1343" s="38"/>
      <c r="AF1343" s="38"/>
      <c r="AG1343" s="38"/>
      <c r="AH1343" s="38"/>
      <c r="AI1343" s="38"/>
      <c r="AJ1343" s="38"/>
      <c r="AK1343" s="38"/>
      <c r="AL1343" s="38"/>
      <c r="AM1343" s="38"/>
      <c r="AN1343" s="38"/>
      <c r="AO1343" s="38"/>
      <c r="AP1343" s="38"/>
      <c r="AQ1343" s="38"/>
      <c r="AR1343" s="38"/>
      <c r="AS1343" s="38"/>
      <c r="AT1343" s="38"/>
      <c r="AU1343" s="38"/>
      <c r="AV1343" s="38"/>
      <c r="AW1343" s="38"/>
      <c r="AX1343" s="38"/>
      <c r="AY1343" s="38"/>
      <c r="AZ1343" s="38"/>
      <c r="BA1343" s="38"/>
      <c r="BB1343" s="38"/>
      <c r="BC1343" s="38"/>
      <c r="BD1343" s="38"/>
      <c r="BE1343" s="38"/>
      <c r="BF1343" s="38"/>
      <c r="BG1343" s="38"/>
      <c r="BH1343" s="38"/>
      <c r="BI1343" s="38"/>
      <c r="BJ1343" s="38"/>
      <c r="BK1343" s="38"/>
      <c r="BL1343" s="38"/>
      <c r="BM1343" s="38"/>
      <c r="BN1343" s="38"/>
      <c r="BO1343" s="38"/>
      <c r="BP1343" s="38"/>
      <c r="BQ1343" s="38"/>
    </row>
    <row r="1344">
      <c r="A1344" s="58"/>
      <c r="B1344" s="341"/>
      <c r="C1344" s="60"/>
      <c r="D1344" s="60"/>
      <c r="E1344" s="58"/>
      <c r="F1344" s="58"/>
      <c r="G1344" s="58"/>
      <c r="H1344" s="33" t="str">
        <f t="shared" si="33"/>
        <v/>
      </c>
      <c r="I1344" s="58"/>
      <c r="J1344" s="58"/>
      <c r="K1344" s="58"/>
      <c r="L1344" s="58"/>
      <c r="M1344" s="106"/>
      <c r="N1344" s="77"/>
      <c r="O1344" s="62"/>
      <c r="P1344" s="62"/>
      <c r="Q1344" s="62"/>
      <c r="R1344" s="62"/>
      <c r="S1344" s="37" t="str">
        <f>IFERROR(__xludf.DUMMYFUNCTION("if(not(iserror(index(split(C1344, "" ""),2))), index(split(C1344, "" ""),1),"""")"),"")</f>
        <v/>
      </c>
      <c r="T1344" s="315" t="str">
        <f>IFERROR(__xludf.DUMMYFUNCTION("if(S1344="""",C1344,if(not(iserror(index(split(C1344, "" ""),3))), index(split(C1344, "" ""),3),index(split(C1344, "" ""),2)))"),"")</f>
        <v/>
      </c>
      <c r="U1344" s="38" t="b">
        <f t="shared" si="34"/>
        <v>0</v>
      </c>
      <c r="V1344" s="38"/>
      <c r="W1344" s="40"/>
      <c r="X1344" s="40"/>
      <c r="Y1344" s="38"/>
      <c r="Z1344" s="38"/>
      <c r="AA1344" s="38"/>
      <c r="AB1344" s="38"/>
      <c r="AC1344" s="38"/>
      <c r="AD1344" s="38"/>
      <c r="AE1344" s="38"/>
      <c r="AF1344" s="38"/>
      <c r="AG1344" s="38"/>
      <c r="AH1344" s="38"/>
      <c r="AI1344" s="38"/>
      <c r="AJ1344" s="38"/>
      <c r="AK1344" s="38"/>
      <c r="AL1344" s="38"/>
      <c r="AM1344" s="38"/>
      <c r="AN1344" s="38"/>
      <c r="AO1344" s="38"/>
      <c r="AP1344" s="38"/>
      <c r="AQ1344" s="38"/>
      <c r="AR1344" s="38"/>
      <c r="AS1344" s="38"/>
      <c r="AT1344" s="38"/>
      <c r="AU1344" s="38"/>
      <c r="AV1344" s="38"/>
      <c r="AW1344" s="38"/>
      <c r="AX1344" s="38"/>
      <c r="AY1344" s="38"/>
      <c r="AZ1344" s="38"/>
      <c r="BA1344" s="38"/>
      <c r="BB1344" s="38"/>
      <c r="BC1344" s="38"/>
      <c r="BD1344" s="38"/>
      <c r="BE1344" s="38"/>
      <c r="BF1344" s="38"/>
      <c r="BG1344" s="38"/>
      <c r="BH1344" s="38"/>
      <c r="BI1344" s="38"/>
      <c r="BJ1344" s="38"/>
      <c r="BK1344" s="38"/>
      <c r="BL1344" s="38"/>
      <c r="BM1344" s="38"/>
      <c r="BN1344" s="38"/>
      <c r="BO1344" s="38"/>
      <c r="BP1344" s="38"/>
      <c r="BQ1344" s="38"/>
    </row>
    <row r="1345">
      <c r="A1345" s="58"/>
      <c r="B1345" s="341"/>
      <c r="C1345" s="60"/>
      <c r="D1345" s="60"/>
      <c r="E1345" s="58"/>
      <c r="F1345" s="58"/>
      <c r="G1345" s="58"/>
      <c r="H1345" s="33" t="str">
        <f t="shared" si="33"/>
        <v/>
      </c>
      <c r="I1345" s="58"/>
      <c r="J1345" s="58"/>
      <c r="K1345" s="58"/>
      <c r="L1345" s="58"/>
      <c r="M1345" s="106"/>
      <c r="N1345" s="77"/>
      <c r="O1345" s="62"/>
      <c r="P1345" s="62"/>
      <c r="Q1345" s="62"/>
      <c r="R1345" s="62"/>
      <c r="S1345" s="37" t="str">
        <f>IFERROR(__xludf.DUMMYFUNCTION("if(not(iserror(index(split(C1345, "" ""),2))), index(split(C1345, "" ""),1),"""")"),"")</f>
        <v/>
      </c>
      <c r="T1345" s="315" t="str">
        <f>IFERROR(__xludf.DUMMYFUNCTION("if(S1345="""",C1345,if(not(iserror(index(split(C1345, "" ""),3))), index(split(C1345, "" ""),3),index(split(C1345, "" ""),2)))"),"")</f>
        <v/>
      </c>
      <c r="U1345" s="38" t="b">
        <f t="shared" si="34"/>
        <v>0</v>
      </c>
      <c r="V1345" s="38"/>
      <c r="W1345" s="40"/>
      <c r="X1345" s="40"/>
      <c r="Y1345" s="38"/>
      <c r="Z1345" s="38"/>
      <c r="AA1345" s="38"/>
      <c r="AB1345" s="38"/>
      <c r="AC1345" s="38"/>
      <c r="AD1345" s="38"/>
      <c r="AE1345" s="38"/>
      <c r="AF1345" s="38"/>
      <c r="AG1345" s="38"/>
      <c r="AH1345" s="38"/>
      <c r="AI1345" s="38"/>
      <c r="AJ1345" s="38"/>
      <c r="AK1345" s="38"/>
      <c r="AL1345" s="38"/>
      <c r="AM1345" s="38"/>
      <c r="AN1345" s="38"/>
      <c r="AO1345" s="38"/>
      <c r="AP1345" s="38"/>
      <c r="AQ1345" s="38"/>
      <c r="AR1345" s="38"/>
      <c r="AS1345" s="38"/>
      <c r="AT1345" s="38"/>
      <c r="AU1345" s="38"/>
      <c r="AV1345" s="38"/>
      <c r="AW1345" s="38"/>
      <c r="AX1345" s="38"/>
      <c r="AY1345" s="38"/>
      <c r="AZ1345" s="38"/>
      <c r="BA1345" s="38"/>
      <c r="BB1345" s="38"/>
      <c r="BC1345" s="38"/>
      <c r="BD1345" s="38"/>
      <c r="BE1345" s="38"/>
      <c r="BF1345" s="38"/>
      <c r="BG1345" s="38"/>
      <c r="BH1345" s="38"/>
      <c r="BI1345" s="38"/>
      <c r="BJ1345" s="38"/>
      <c r="BK1345" s="38"/>
      <c r="BL1345" s="38"/>
      <c r="BM1345" s="38"/>
      <c r="BN1345" s="38"/>
      <c r="BO1345" s="38"/>
      <c r="BP1345" s="38"/>
      <c r="BQ1345" s="38"/>
    </row>
    <row r="1346">
      <c r="A1346" s="58"/>
      <c r="B1346" s="341"/>
      <c r="C1346" s="60"/>
      <c r="D1346" s="60"/>
      <c r="E1346" s="58"/>
      <c r="F1346" s="58"/>
      <c r="G1346" s="58"/>
      <c r="H1346" s="33" t="str">
        <f t="shared" si="33"/>
        <v/>
      </c>
      <c r="I1346" s="58"/>
      <c r="J1346" s="58"/>
      <c r="K1346" s="58"/>
      <c r="L1346" s="58"/>
      <c r="M1346" s="106"/>
      <c r="N1346" s="77"/>
      <c r="O1346" s="62"/>
      <c r="P1346" s="62"/>
      <c r="Q1346" s="62"/>
      <c r="R1346" s="62"/>
      <c r="S1346" s="37" t="str">
        <f>IFERROR(__xludf.DUMMYFUNCTION("if(not(iserror(index(split(C1346, "" ""),2))), index(split(C1346, "" ""),1),"""")"),"")</f>
        <v/>
      </c>
      <c r="T1346" s="315" t="str">
        <f>IFERROR(__xludf.DUMMYFUNCTION("if(S1346="""",C1346,if(not(iserror(index(split(C1346, "" ""),3))), index(split(C1346, "" ""),3),index(split(C1346, "" ""),2)))"),"")</f>
        <v/>
      </c>
      <c r="U1346" s="38" t="b">
        <f t="shared" si="34"/>
        <v>0</v>
      </c>
      <c r="V1346" s="38"/>
      <c r="W1346" s="40"/>
      <c r="X1346" s="40"/>
      <c r="Y1346" s="38"/>
      <c r="Z1346" s="38"/>
      <c r="AA1346" s="38"/>
      <c r="AB1346" s="38"/>
      <c r="AC1346" s="38"/>
      <c r="AD1346" s="38"/>
      <c r="AE1346" s="38"/>
      <c r="AF1346" s="38"/>
      <c r="AG1346" s="38"/>
      <c r="AH1346" s="38"/>
      <c r="AI1346" s="38"/>
      <c r="AJ1346" s="38"/>
      <c r="AK1346" s="38"/>
      <c r="AL1346" s="38"/>
      <c r="AM1346" s="38"/>
      <c r="AN1346" s="38"/>
      <c r="AO1346" s="38"/>
      <c r="AP1346" s="38"/>
      <c r="AQ1346" s="38"/>
      <c r="AR1346" s="38"/>
      <c r="AS1346" s="38"/>
      <c r="AT1346" s="38"/>
      <c r="AU1346" s="38"/>
      <c r="AV1346" s="38"/>
      <c r="AW1346" s="38"/>
      <c r="AX1346" s="38"/>
      <c r="AY1346" s="38"/>
      <c r="AZ1346" s="38"/>
      <c r="BA1346" s="38"/>
      <c r="BB1346" s="38"/>
      <c r="BC1346" s="38"/>
      <c r="BD1346" s="38"/>
      <c r="BE1346" s="38"/>
      <c r="BF1346" s="38"/>
      <c r="BG1346" s="38"/>
      <c r="BH1346" s="38"/>
      <c r="BI1346" s="38"/>
      <c r="BJ1346" s="38"/>
      <c r="BK1346" s="38"/>
      <c r="BL1346" s="38"/>
      <c r="BM1346" s="38"/>
      <c r="BN1346" s="38"/>
      <c r="BO1346" s="38"/>
      <c r="BP1346" s="38"/>
      <c r="BQ1346" s="38"/>
    </row>
    <row r="1347">
      <c r="B1347" s="341"/>
      <c r="C1347" s="60"/>
      <c r="D1347" s="60"/>
      <c r="E1347" s="58"/>
      <c r="F1347" s="58"/>
      <c r="G1347" s="58"/>
      <c r="H1347" s="33" t="str">
        <f t="shared" si="33"/>
        <v/>
      </c>
      <c r="I1347" s="58"/>
      <c r="J1347" s="58"/>
      <c r="K1347" s="58"/>
      <c r="L1347" s="58"/>
      <c r="M1347" s="80"/>
      <c r="N1347" s="77"/>
      <c r="O1347" s="62"/>
      <c r="P1347" s="62"/>
      <c r="Q1347" s="62"/>
      <c r="R1347" s="62"/>
      <c r="S1347" s="37" t="str">
        <f>IFERROR(__xludf.DUMMYFUNCTION("if(not(iserror(index(split(C1347, "" ""),2))), index(split(C1347, "" ""),1),"""")"),"")</f>
        <v/>
      </c>
      <c r="T1347" s="315" t="str">
        <f>IFERROR(__xludf.DUMMYFUNCTION("if(S1347="""",C1347,if(not(iserror(index(split(C1347, "" ""),3))), index(split(C1347, "" ""),3),index(split(C1347, "" ""),2)))"),"")</f>
        <v/>
      </c>
      <c r="U1347" s="38" t="b">
        <f t="shared" si="34"/>
        <v>0</v>
      </c>
      <c r="V1347" s="38"/>
      <c r="W1347" s="40"/>
      <c r="X1347" s="40"/>
      <c r="Y1347" s="38"/>
      <c r="Z1347" s="38"/>
      <c r="AA1347" s="38"/>
      <c r="AB1347" s="38"/>
      <c r="AC1347" s="38"/>
      <c r="AD1347" s="38"/>
      <c r="AE1347" s="38"/>
      <c r="AF1347" s="38"/>
      <c r="AG1347" s="38"/>
      <c r="AH1347" s="38"/>
      <c r="AI1347" s="38"/>
      <c r="AJ1347" s="38"/>
      <c r="AK1347" s="38"/>
      <c r="AL1347" s="38"/>
      <c r="AM1347" s="38"/>
      <c r="AN1347" s="38"/>
      <c r="AO1347" s="38"/>
      <c r="AP1347" s="38"/>
      <c r="AQ1347" s="38"/>
      <c r="AR1347" s="38"/>
      <c r="AS1347" s="38"/>
      <c r="AT1347" s="38"/>
      <c r="AU1347" s="38"/>
      <c r="AV1347" s="38"/>
      <c r="AW1347" s="38"/>
      <c r="AX1347" s="38"/>
      <c r="AY1347" s="38"/>
      <c r="AZ1347" s="38"/>
      <c r="BA1347" s="38"/>
      <c r="BB1347" s="38"/>
      <c r="BC1347" s="38"/>
      <c r="BD1347" s="38"/>
      <c r="BE1347" s="38"/>
      <c r="BF1347" s="38"/>
      <c r="BG1347" s="38"/>
      <c r="BH1347" s="38"/>
      <c r="BI1347" s="38"/>
      <c r="BJ1347" s="38"/>
      <c r="BK1347" s="38"/>
      <c r="BL1347" s="38"/>
      <c r="BM1347" s="38"/>
      <c r="BN1347" s="38"/>
      <c r="BO1347" s="38"/>
      <c r="BP1347" s="38"/>
      <c r="BQ1347" s="38"/>
    </row>
    <row r="1348">
      <c r="B1348" s="341"/>
      <c r="C1348" s="60"/>
      <c r="D1348" s="60"/>
      <c r="E1348" s="58"/>
      <c r="F1348" s="58"/>
      <c r="G1348" s="58"/>
      <c r="H1348" s="33" t="str">
        <f t="shared" si="33"/>
        <v/>
      </c>
      <c r="I1348" s="58"/>
      <c r="J1348" s="58"/>
      <c r="K1348" s="58"/>
      <c r="L1348" s="58"/>
      <c r="M1348" s="80"/>
      <c r="N1348" s="77"/>
      <c r="O1348" s="58"/>
      <c r="P1348" s="58"/>
      <c r="Q1348" s="84"/>
      <c r="R1348" s="62"/>
      <c r="S1348" s="37" t="str">
        <f>IFERROR(__xludf.DUMMYFUNCTION("if(not(iserror(index(split(C1348, "" ""),2))), index(split(C1348, "" ""),1),"""")"),"")</f>
        <v/>
      </c>
      <c r="T1348" s="315" t="str">
        <f>IFERROR(__xludf.DUMMYFUNCTION("if(S1348="""",C1348,if(not(iserror(index(split(C1348, "" ""),3))), index(split(C1348, "" ""),3),index(split(C1348, "" ""),2)))"),"")</f>
        <v/>
      </c>
      <c r="U1348" s="38" t="b">
        <f t="shared" si="34"/>
        <v>0</v>
      </c>
      <c r="V1348" s="38"/>
      <c r="W1348" s="40"/>
      <c r="X1348" s="40"/>
      <c r="Y1348" s="38"/>
      <c r="Z1348" s="38"/>
      <c r="AA1348" s="38"/>
      <c r="AB1348" s="38"/>
      <c r="AC1348" s="38"/>
      <c r="AD1348" s="38"/>
      <c r="AE1348" s="38"/>
      <c r="AF1348" s="38"/>
      <c r="AG1348" s="38"/>
      <c r="AH1348" s="38"/>
      <c r="AI1348" s="38"/>
      <c r="AJ1348" s="38"/>
      <c r="AK1348" s="38"/>
      <c r="AL1348" s="38"/>
      <c r="AM1348" s="38"/>
      <c r="AN1348" s="38"/>
      <c r="AO1348" s="38"/>
      <c r="AP1348" s="38"/>
      <c r="AQ1348" s="38"/>
      <c r="AR1348" s="38"/>
      <c r="AS1348" s="38"/>
      <c r="AT1348" s="38"/>
      <c r="AU1348" s="38"/>
      <c r="AV1348" s="38"/>
      <c r="AW1348" s="38"/>
      <c r="AX1348" s="38"/>
      <c r="AY1348" s="38"/>
      <c r="AZ1348" s="38"/>
      <c r="BA1348" s="38"/>
      <c r="BB1348" s="38"/>
      <c r="BC1348" s="38"/>
      <c r="BD1348" s="38"/>
      <c r="BE1348" s="38"/>
      <c r="BF1348" s="38"/>
      <c r="BG1348" s="38"/>
      <c r="BH1348" s="38"/>
      <c r="BI1348" s="38"/>
      <c r="BJ1348" s="38"/>
      <c r="BK1348" s="38"/>
      <c r="BL1348" s="38"/>
      <c r="BM1348" s="38"/>
      <c r="BN1348" s="38"/>
      <c r="BO1348" s="38"/>
      <c r="BP1348" s="38"/>
      <c r="BQ1348" s="38"/>
    </row>
    <row r="1349">
      <c r="B1349" s="341"/>
      <c r="C1349" s="60"/>
      <c r="D1349" s="60"/>
      <c r="E1349" s="58"/>
      <c r="F1349" s="58"/>
      <c r="G1349" s="58"/>
      <c r="H1349" s="33" t="str">
        <f t="shared" si="33"/>
        <v/>
      </c>
      <c r="I1349" s="58"/>
      <c r="J1349" s="58"/>
      <c r="K1349" s="58"/>
      <c r="L1349" s="58"/>
      <c r="M1349" s="80"/>
      <c r="N1349" s="77"/>
      <c r="O1349" s="58"/>
      <c r="P1349" s="58"/>
      <c r="Q1349" s="58"/>
      <c r="R1349" s="62"/>
      <c r="S1349" s="37" t="str">
        <f>IFERROR(__xludf.DUMMYFUNCTION("if(not(iserror(index(split(C1349, "" ""),2))), index(split(C1349, "" ""),1),"""")"),"")</f>
        <v/>
      </c>
      <c r="T1349" s="315" t="str">
        <f>IFERROR(__xludf.DUMMYFUNCTION("if(S1349="""",C1349,if(not(iserror(index(split(C1349, "" ""),3))), index(split(C1349, "" ""),3),index(split(C1349, "" ""),2)))"),"")</f>
        <v/>
      </c>
      <c r="U1349" s="38" t="b">
        <f t="shared" si="34"/>
        <v>0</v>
      </c>
      <c r="V1349" s="38"/>
      <c r="W1349" s="40"/>
      <c r="X1349" s="40"/>
      <c r="Y1349" s="38"/>
      <c r="Z1349" s="38"/>
      <c r="AA1349" s="38"/>
      <c r="AB1349" s="38"/>
      <c r="AC1349" s="38"/>
      <c r="AD1349" s="38"/>
      <c r="AE1349" s="38"/>
      <c r="AF1349" s="38"/>
      <c r="AG1349" s="38"/>
      <c r="AH1349" s="38"/>
      <c r="AI1349" s="38"/>
      <c r="AJ1349" s="38"/>
      <c r="AK1349" s="38"/>
      <c r="AL1349" s="38"/>
      <c r="AM1349" s="38"/>
      <c r="AN1349" s="38"/>
      <c r="AO1349" s="38"/>
      <c r="AP1349" s="38"/>
      <c r="AQ1349" s="38"/>
      <c r="AR1349" s="38"/>
      <c r="AS1349" s="38"/>
      <c r="AT1349" s="38"/>
      <c r="AU1349" s="38"/>
      <c r="AV1349" s="38"/>
      <c r="AW1349" s="38"/>
      <c r="AX1349" s="38"/>
      <c r="AY1349" s="38"/>
      <c r="AZ1349" s="38"/>
      <c r="BA1349" s="38"/>
      <c r="BB1349" s="38"/>
      <c r="BC1349" s="38"/>
      <c r="BD1349" s="38"/>
      <c r="BE1349" s="38"/>
      <c r="BF1349" s="38"/>
      <c r="BG1349" s="38"/>
      <c r="BH1349" s="38"/>
      <c r="BI1349" s="38"/>
      <c r="BJ1349" s="38"/>
      <c r="BK1349" s="38"/>
      <c r="BL1349" s="38"/>
      <c r="BM1349" s="38"/>
      <c r="BN1349" s="38"/>
      <c r="BO1349" s="38"/>
      <c r="BP1349" s="38"/>
      <c r="BQ1349" s="38"/>
    </row>
    <row r="1350">
      <c r="B1350" s="341"/>
      <c r="C1350" s="60"/>
      <c r="D1350" s="60"/>
      <c r="E1350" s="58"/>
      <c r="F1350" s="58"/>
      <c r="G1350" s="58"/>
      <c r="H1350" s="33" t="str">
        <f t="shared" si="33"/>
        <v/>
      </c>
      <c r="I1350" s="58"/>
      <c r="J1350" s="58"/>
      <c r="K1350" s="58"/>
      <c r="L1350" s="58"/>
      <c r="M1350" s="80"/>
      <c r="N1350" s="80"/>
      <c r="O1350" s="62"/>
      <c r="P1350" s="58"/>
      <c r="Q1350" s="84"/>
      <c r="R1350" s="62"/>
      <c r="S1350" s="37" t="str">
        <f>IFERROR(__xludf.DUMMYFUNCTION("if(not(iserror(index(split(C1350, "" ""),2))), index(split(C1350, "" ""),1),"""")"),"")</f>
        <v/>
      </c>
      <c r="T1350" s="315" t="str">
        <f>IFERROR(__xludf.DUMMYFUNCTION("if(S1350="""",C1350,if(not(iserror(index(split(C1350, "" ""),3))), index(split(C1350, "" ""),3),index(split(C1350, "" ""),2)))"),"")</f>
        <v/>
      </c>
      <c r="U1350" s="38" t="b">
        <f t="shared" si="34"/>
        <v>0</v>
      </c>
      <c r="V1350" s="38"/>
      <c r="W1350" s="40"/>
      <c r="X1350" s="40"/>
      <c r="Y1350" s="38"/>
      <c r="Z1350" s="38"/>
      <c r="AA1350" s="38"/>
      <c r="AB1350" s="38"/>
      <c r="AC1350" s="38"/>
      <c r="AD1350" s="38"/>
      <c r="AE1350" s="38"/>
      <c r="AF1350" s="38"/>
      <c r="AG1350" s="38"/>
      <c r="AH1350" s="38"/>
      <c r="AI1350" s="38"/>
      <c r="AJ1350" s="38"/>
      <c r="AK1350" s="38"/>
      <c r="AL1350" s="38"/>
      <c r="AM1350" s="38"/>
      <c r="AN1350" s="38"/>
      <c r="AO1350" s="38"/>
      <c r="AP1350" s="38"/>
      <c r="AQ1350" s="38"/>
      <c r="AR1350" s="38"/>
      <c r="AS1350" s="38"/>
      <c r="AT1350" s="38"/>
      <c r="AU1350" s="38"/>
      <c r="AV1350" s="38"/>
      <c r="AW1350" s="38"/>
      <c r="AX1350" s="38"/>
      <c r="AY1350" s="38"/>
      <c r="AZ1350" s="38"/>
      <c r="BA1350" s="38"/>
      <c r="BB1350" s="38"/>
      <c r="BC1350" s="38"/>
      <c r="BD1350" s="38"/>
      <c r="BE1350" s="38"/>
      <c r="BF1350" s="38"/>
      <c r="BG1350" s="38"/>
      <c r="BH1350" s="38"/>
      <c r="BI1350" s="38"/>
      <c r="BJ1350" s="38"/>
      <c r="BK1350" s="38"/>
      <c r="BL1350" s="38"/>
      <c r="BM1350" s="38"/>
      <c r="BN1350" s="38"/>
      <c r="BO1350" s="38"/>
      <c r="BP1350" s="38"/>
      <c r="BQ1350" s="38"/>
    </row>
    <row r="1351">
      <c r="B1351" s="341"/>
      <c r="C1351" s="60"/>
      <c r="D1351" s="60"/>
      <c r="E1351" s="58"/>
      <c r="F1351" s="58"/>
      <c r="G1351" s="58"/>
      <c r="H1351" s="33" t="str">
        <f t="shared" si="33"/>
        <v/>
      </c>
      <c r="I1351" s="58"/>
      <c r="J1351" s="58"/>
      <c r="K1351" s="58"/>
      <c r="L1351" s="58"/>
      <c r="M1351" s="80"/>
      <c r="N1351" s="80"/>
      <c r="O1351" s="58"/>
      <c r="P1351" s="58"/>
      <c r="Q1351" s="84"/>
      <c r="R1351" s="62"/>
      <c r="S1351" s="37" t="str">
        <f>IFERROR(__xludf.DUMMYFUNCTION("if(not(iserror(index(split(C1351, "" ""),2))), index(split(C1351, "" ""),1),"""")"),"")</f>
        <v/>
      </c>
      <c r="T1351" s="315" t="str">
        <f>IFERROR(__xludf.DUMMYFUNCTION("if(S1351="""",C1351,if(not(iserror(index(split(C1351, "" ""),3))), index(split(C1351, "" ""),3),index(split(C1351, "" ""),2)))"),"")</f>
        <v/>
      </c>
      <c r="U1351" s="38" t="b">
        <f t="shared" si="34"/>
        <v>0</v>
      </c>
      <c r="V1351" s="38"/>
      <c r="W1351" s="40"/>
      <c r="X1351" s="40"/>
      <c r="Y1351" s="38"/>
      <c r="Z1351" s="38"/>
      <c r="AA1351" s="38"/>
      <c r="AB1351" s="38"/>
      <c r="AC1351" s="38"/>
      <c r="AD1351" s="38"/>
      <c r="AE1351" s="38"/>
      <c r="AF1351" s="38"/>
      <c r="AG1351" s="38"/>
      <c r="AH1351" s="38"/>
      <c r="AI1351" s="38"/>
      <c r="AJ1351" s="38"/>
      <c r="AK1351" s="38"/>
      <c r="AL1351" s="38"/>
      <c r="AM1351" s="38"/>
      <c r="AN1351" s="38"/>
      <c r="AO1351" s="38"/>
      <c r="AP1351" s="38"/>
      <c r="AQ1351" s="38"/>
      <c r="AR1351" s="38"/>
      <c r="AS1351" s="38"/>
      <c r="AT1351" s="38"/>
      <c r="AU1351" s="38"/>
      <c r="AV1351" s="38"/>
      <c r="AW1351" s="38"/>
      <c r="AX1351" s="38"/>
      <c r="AY1351" s="38"/>
      <c r="AZ1351" s="38"/>
      <c r="BA1351" s="38"/>
      <c r="BB1351" s="38"/>
      <c r="BC1351" s="38"/>
      <c r="BD1351" s="38"/>
      <c r="BE1351" s="38"/>
      <c r="BF1351" s="38"/>
      <c r="BG1351" s="38"/>
      <c r="BH1351" s="38"/>
      <c r="BI1351" s="38"/>
      <c r="BJ1351" s="38"/>
      <c r="BK1351" s="38"/>
      <c r="BL1351" s="38"/>
      <c r="BM1351" s="38"/>
      <c r="BN1351" s="38"/>
      <c r="BO1351" s="38"/>
      <c r="BP1351" s="38"/>
      <c r="BQ1351" s="38"/>
    </row>
    <row r="1352">
      <c r="B1352" s="341"/>
      <c r="C1352" s="60"/>
      <c r="D1352" s="60"/>
      <c r="E1352" s="58"/>
      <c r="F1352" s="58"/>
      <c r="G1352" s="58"/>
      <c r="H1352" s="33" t="str">
        <f t="shared" si="33"/>
        <v/>
      </c>
      <c r="I1352" s="58"/>
      <c r="J1352" s="58"/>
      <c r="K1352" s="58"/>
      <c r="L1352" s="58"/>
      <c r="M1352" s="80"/>
      <c r="N1352" s="80"/>
      <c r="O1352" s="62"/>
      <c r="P1352" s="62"/>
      <c r="Q1352" s="62"/>
      <c r="R1352" s="62"/>
      <c r="S1352" s="37" t="str">
        <f>IFERROR(__xludf.DUMMYFUNCTION("if(not(iserror(index(split(C1352, "" ""),2))), index(split(C1352, "" ""),1),"""")"),"")</f>
        <v/>
      </c>
      <c r="T1352" s="315" t="str">
        <f>IFERROR(__xludf.DUMMYFUNCTION("if(S1352="""",C1352,if(not(iserror(index(split(C1352, "" ""),3))), index(split(C1352, "" ""),3),index(split(C1352, "" ""),2)))"),"")</f>
        <v/>
      </c>
      <c r="U1352" s="38" t="b">
        <f t="shared" si="34"/>
        <v>0</v>
      </c>
      <c r="V1352" s="38"/>
      <c r="W1352" s="40"/>
      <c r="X1352" s="40"/>
      <c r="Y1352" s="38"/>
      <c r="Z1352" s="38"/>
      <c r="AA1352" s="38"/>
      <c r="AB1352" s="38"/>
      <c r="AC1352" s="38"/>
      <c r="AD1352" s="38"/>
      <c r="AE1352" s="38"/>
      <c r="AF1352" s="38"/>
      <c r="AG1352" s="38"/>
      <c r="AH1352" s="38"/>
      <c r="AI1352" s="38"/>
      <c r="AJ1352" s="38"/>
      <c r="AK1352" s="38"/>
      <c r="AL1352" s="38"/>
      <c r="AM1352" s="38"/>
      <c r="AN1352" s="38"/>
      <c r="AO1352" s="38"/>
      <c r="AP1352" s="38"/>
      <c r="AQ1352" s="38"/>
      <c r="AR1352" s="38"/>
      <c r="AS1352" s="38"/>
      <c r="AT1352" s="38"/>
      <c r="AU1352" s="38"/>
      <c r="AV1352" s="38"/>
      <c r="AW1352" s="38"/>
      <c r="AX1352" s="38"/>
      <c r="AY1352" s="38"/>
      <c r="AZ1352" s="38"/>
      <c r="BA1352" s="38"/>
      <c r="BB1352" s="38"/>
      <c r="BC1352" s="38"/>
      <c r="BD1352" s="38"/>
      <c r="BE1352" s="38"/>
      <c r="BF1352" s="38"/>
      <c r="BG1352" s="38"/>
      <c r="BH1352" s="38"/>
      <c r="BI1352" s="38"/>
      <c r="BJ1352" s="38"/>
      <c r="BK1352" s="38"/>
      <c r="BL1352" s="38"/>
      <c r="BM1352" s="38"/>
      <c r="BN1352" s="38"/>
      <c r="BO1352" s="38"/>
      <c r="BP1352" s="38"/>
      <c r="BQ1352" s="38"/>
    </row>
    <row r="1353">
      <c r="B1353" s="341"/>
      <c r="C1353" s="60"/>
      <c r="D1353" s="60"/>
      <c r="E1353" s="58"/>
      <c r="F1353" s="58"/>
      <c r="G1353" s="58"/>
      <c r="H1353" s="33" t="str">
        <f t="shared" si="33"/>
        <v/>
      </c>
      <c r="I1353" s="58"/>
      <c r="J1353" s="58"/>
      <c r="K1353" s="58"/>
      <c r="L1353" s="58"/>
      <c r="M1353" s="80"/>
      <c r="N1353" s="80"/>
      <c r="O1353" s="62"/>
      <c r="P1353" s="62"/>
      <c r="Q1353" s="62"/>
      <c r="R1353" s="62"/>
      <c r="S1353" s="37" t="str">
        <f>IFERROR(__xludf.DUMMYFUNCTION("if(not(iserror(index(split(C1353, "" ""),2))), index(split(C1353, "" ""),1),"""")"),"")</f>
        <v/>
      </c>
      <c r="T1353" s="315" t="str">
        <f>IFERROR(__xludf.DUMMYFUNCTION("if(S1353="""",C1353,if(not(iserror(index(split(C1353, "" ""),3))), index(split(C1353, "" ""),3),index(split(C1353, "" ""),2)))"),"")</f>
        <v/>
      </c>
      <c r="U1353" s="38" t="b">
        <f t="shared" si="34"/>
        <v>0</v>
      </c>
      <c r="V1353" s="38"/>
      <c r="W1353" s="40"/>
      <c r="X1353" s="40"/>
      <c r="Y1353" s="38"/>
      <c r="Z1353" s="38"/>
      <c r="AA1353" s="38"/>
      <c r="AB1353" s="38"/>
      <c r="AC1353" s="38"/>
      <c r="AD1353" s="38"/>
      <c r="AE1353" s="38"/>
      <c r="AF1353" s="38"/>
      <c r="AG1353" s="38"/>
      <c r="AH1353" s="38"/>
      <c r="AI1353" s="38"/>
      <c r="AJ1353" s="38"/>
      <c r="AK1353" s="38"/>
      <c r="AL1353" s="38"/>
      <c r="AM1353" s="38"/>
      <c r="AN1353" s="38"/>
      <c r="AO1353" s="38"/>
      <c r="AP1353" s="38"/>
      <c r="AQ1353" s="38"/>
      <c r="AR1353" s="38"/>
      <c r="AS1353" s="38"/>
      <c r="AT1353" s="38"/>
      <c r="AU1353" s="38"/>
      <c r="AV1353" s="38"/>
      <c r="AW1353" s="38"/>
      <c r="AX1353" s="38"/>
      <c r="AY1353" s="38"/>
      <c r="AZ1353" s="38"/>
      <c r="BA1353" s="38"/>
      <c r="BB1353" s="38"/>
      <c r="BC1353" s="38"/>
      <c r="BD1353" s="38"/>
      <c r="BE1353" s="38"/>
      <c r="BF1353" s="38"/>
      <c r="BG1353" s="38"/>
      <c r="BH1353" s="38"/>
      <c r="BI1353" s="38"/>
      <c r="BJ1353" s="38"/>
      <c r="BK1353" s="38"/>
      <c r="BL1353" s="38"/>
      <c r="BM1353" s="38"/>
      <c r="BN1353" s="38"/>
      <c r="BO1353" s="38"/>
      <c r="BP1353" s="38"/>
      <c r="BQ1353" s="38"/>
    </row>
    <row r="1354">
      <c r="A1354" s="58"/>
      <c r="B1354" s="341"/>
      <c r="C1354" s="60"/>
      <c r="D1354" s="60"/>
      <c r="E1354" s="58"/>
      <c r="F1354" s="58"/>
      <c r="G1354" s="58"/>
      <c r="H1354" s="33" t="str">
        <f t="shared" si="33"/>
        <v/>
      </c>
      <c r="I1354" s="58"/>
      <c r="J1354" s="58"/>
      <c r="K1354" s="58"/>
      <c r="L1354" s="58"/>
      <c r="M1354" s="80"/>
      <c r="N1354" s="77"/>
      <c r="O1354" s="62"/>
      <c r="P1354" s="62"/>
      <c r="Q1354" s="62"/>
      <c r="R1354" s="62"/>
      <c r="S1354" s="37" t="str">
        <f>IFERROR(__xludf.DUMMYFUNCTION("if(not(iserror(index(split(C1354, "" ""),2))), index(split(C1354, "" ""),1),"""")"),"")</f>
        <v/>
      </c>
      <c r="T1354" s="315" t="str">
        <f>IFERROR(__xludf.DUMMYFUNCTION("if(S1354="""",C1354,if(not(iserror(index(split(C1354, "" ""),3))), index(split(C1354, "" ""),3),index(split(C1354, "" ""),2)))"),"")</f>
        <v/>
      </c>
      <c r="U1354" s="38" t="b">
        <f t="shared" si="34"/>
        <v>0</v>
      </c>
      <c r="V1354" s="38"/>
      <c r="W1354" s="40"/>
      <c r="X1354" s="40"/>
      <c r="Y1354" s="38"/>
      <c r="Z1354" s="38"/>
      <c r="AA1354" s="38"/>
      <c r="AB1354" s="38"/>
      <c r="AC1354" s="38"/>
      <c r="AD1354" s="38"/>
      <c r="AE1354" s="38"/>
      <c r="AF1354" s="38"/>
      <c r="AG1354" s="38"/>
      <c r="AH1354" s="38"/>
      <c r="AI1354" s="38"/>
      <c r="AJ1354" s="38"/>
      <c r="AK1354" s="38"/>
      <c r="AL1354" s="38"/>
      <c r="AM1354" s="38"/>
      <c r="AN1354" s="38"/>
      <c r="AO1354" s="38"/>
      <c r="AP1354" s="38"/>
      <c r="AQ1354" s="38"/>
      <c r="AR1354" s="38"/>
      <c r="AS1354" s="38"/>
      <c r="AT1354" s="38"/>
      <c r="AU1354" s="38"/>
      <c r="AV1354" s="38"/>
      <c r="AW1354" s="38"/>
      <c r="AX1354" s="38"/>
      <c r="AY1354" s="38"/>
      <c r="AZ1354" s="38"/>
      <c r="BA1354" s="38"/>
      <c r="BB1354" s="38"/>
      <c r="BC1354" s="38"/>
      <c r="BD1354" s="38"/>
      <c r="BE1354" s="38"/>
      <c r="BF1354" s="38"/>
      <c r="BG1354" s="38"/>
      <c r="BH1354" s="38"/>
      <c r="BI1354" s="38"/>
      <c r="BJ1354" s="38"/>
      <c r="BK1354" s="38"/>
      <c r="BL1354" s="38"/>
      <c r="BM1354" s="38"/>
      <c r="BN1354" s="38"/>
      <c r="BO1354" s="38"/>
      <c r="BP1354" s="38"/>
      <c r="BQ1354" s="38"/>
    </row>
    <row r="1355">
      <c r="A1355" s="238"/>
      <c r="B1355" s="341"/>
      <c r="C1355" s="60"/>
      <c r="D1355" s="60"/>
      <c r="E1355" s="58"/>
      <c r="F1355" s="58"/>
      <c r="G1355" s="58"/>
      <c r="H1355" s="33" t="str">
        <f t="shared" si="33"/>
        <v/>
      </c>
      <c r="I1355" s="58"/>
      <c r="J1355" s="58"/>
      <c r="K1355" s="58"/>
      <c r="L1355" s="58"/>
      <c r="M1355" s="80"/>
      <c r="N1355" s="77"/>
      <c r="O1355" s="62"/>
      <c r="P1355" s="62"/>
      <c r="Q1355" s="62"/>
      <c r="R1355" s="62"/>
      <c r="S1355" s="37" t="str">
        <f>IFERROR(__xludf.DUMMYFUNCTION("if(not(iserror(index(split(C1355, "" ""),2))), index(split(C1355, "" ""),1),"""")"),"")</f>
        <v/>
      </c>
      <c r="T1355" s="315" t="str">
        <f>IFERROR(__xludf.DUMMYFUNCTION("if(S1355="""",C1355,if(not(iserror(index(split(C1355, "" ""),3))), index(split(C1355, "" ""),3),index(split(C1355, "" ""),2)))"),"")</f>
        <v/>
      </c>
      <c r="U1355" s="38" t="b">
        <f t="shared" si="34"/>
        <v>0</v>
      </c>
      <c r="V1355" s="38"/>
      <c r="W1355" s="40"/>
      <c r="X1355" s="40"/>
      <c r="Y1355" s="38"/>
      <c r="Z1355" s="38"/>
      <c r="AA1355" s="38"/>
      <c r="AB1355" s="38"/>
      <c r="AC1355" s="38"/>
      <c r="AD1355" s="38"/>
      <c r="AE1355" s="38"/>
      <c r="AF1355" s="38"/>
      <c r="AG1355" s="38"/>
      <c r="AH1355" s="38"/>
      <c r="AI1355" s="38"/>
      <c r="AJ1355" s="38"/>
      <c r="AK1355" s="38"/>
      <c r="AL1355" s="38"/>
      <c r="AM1355" s="38"/>
      <c r="AN1355" s="38"/>
      <c r="AO1355" s="38"/>
      <c r="AP1355" s="38"/>
      <c r="AQ1355" s="38"/>
      <c r="AR1355" s="38"/>
      <c r="AS1355" s="38"/>
      <c r="AT1355" s="38"/>
      <c r="AU1355" s="38"/>
      <c r="AV1355" s="38"/>
      <c r="AW1355" s="38"/>
      <c r="AX1355" s="38"/>
      <c r="AY1355" s="38"/>
      <c r="AZ1355" s="38"/>
      <c r="BA1355" s="38"/>
      <c r="BB1355" s="38"/>
      <c r="BC1355" s="38"/>
      <c r="BD1355" s="38"/>
      <c r="BE1355" s="38"/>
      <c r="BF1355" s="38"/>
      <c r="BG1355" s="38"/>
      <c r="BH1355" s="38"/>
      <c r="BI1355" s="38"/>
      <c r="BJ1355" s="38"/>
      <c r="BK1355" s="38"/>
      <c r="BL1355" s="38"/>
      <c r="BM1355" s="38"/>
      <c r="BN1355" s="38"/>
      <c r="BO1355" s="38"/>
      <c r="BP1355" s="38"/>
      <c r="BQ1355" s="38"/>
    </row>
    <row r="1356">
      <c r="A1356" s="58"/>
      <c r="B1356" s="341"/>
      <c r="C1356" s="60"/>
      <c r="D1356" s="60"/>
      <c r="E1356" s="58"/>
      <c r="F1356" s="58"/>
      <c r="G1356" s="58"/>
      <c r="H1356" s="33" t="str">
        <f t="shared" si="33"/>
        <v/>
      </c>
      <c r="I1356" s="58"/>
      <c r="J1356" s="58"/>
      <c r="K1356" s="58"/>
      <c r="L1356" s="58"/>
      <c r="M1356" s="80"/>
      <c r="N1356" s="77"/>
      <c r="O1356" s="62"/>
      <c r="P1356" s="62"/>
      <c r="Q1356" s="62"/>
      <c r="R1356" s="62"/>
      <c r="S1356" s="37" t="str">
        <f>IFERROR(__xludf.DUMMYFUNCTION("if(not(iserror(index(split(C1356, "" ""),2))), index(split(C1356, "" ""),1),"""")"),"")</f>
        <v/>
      </c>
      <c r="T1356" s="315" t="str">
        <f>IFERROR(__xludf.DUMMYFUNCTION("if(S1356="""",C1356,if(not(iserror(index(split(C1356, "" ""),3))), index(split(C1356, "" ""),3),index(split(C1356, "" ""),2)))"),"")</f>
        <v/>
      </c>
      <c r="U1356" s="38" t="b">
        <f t="shared" si="34"/>
        <v>0</v>
      </c>
      <c r="V1356" s="38"/>
      <c r="W1356" s="40"/>
      <c r="X1356" s="40"/>
      <c r="Y1356" s="38"/>
      <c r="Z1356" s="38"/>
      <c r="AA1356" s="38"/>
      <c r="AB1356" s="38"/>
      <c r="AC1356" s="38"/>
      <c r="AD1356" s="38"/>
      <c r="AE1356" s="38"/>
      <c r="AF1356" s="38"/>
      <c r="AG1356" s="38"/>
      <c r="AH1356" s="38"/>
      <c r="AI1356" s="38"/>
      <c r="AJ1356" s="38"/>
      <c r="AK1356" s="38"/>
      <c r="AL1356" s="38"/>
      <c r="AM1356" s="38"/>
      <c r="AN1356" s="38"/>
      <c r="AO1356" s="38"/>
      <c r="AP1356" s="38"/>
      <c r="AQ1356" s="38"/>
      <c r="AR1356" s="38"/>
      <c r="AS1356" s="38"/>
      <c r="AT1356" s="38"/>
      <c r="AU1356" s="38"/>
      <c r="AV1356" s="38"/>
      <c r="AW1356" s="38"/>
      <c r="AX1356" s="38"/>
      <c r="AY1356" s="38"/>
      <c r="AZ1356" s="38"/>
      <c r="BA1356" s="38"/>
      <c r="BB1356" s="38"/>
      <c r="BC1356" s="38"/>
      <c r="BD1356" s="38"/>
      <c r="BE1356" s="38"/>
      <c r="BF1356" s="38"/>
      <c r="BG1356" s="38"/>
      <c r="BH1356" s="38"/>
      <c r="BI1356" s="38"/>
      <c r="BJ1356" s="38"/>
      <c r="BK1356" s="38"/>
      <c r="BL1356" s="38"/>
      <c r="BM1356" s="38"/>
      <c r="BN1356" s="38"/>
      <c r="BO1356" s="38"/>
      <c r="BP1356" s="38"/>
      <c r="BQ1356" s="38"/>
    </row>
    <row r="1357">
      <c r="B1357" s="341"/>
      <c r="C1357" s="60"/>
      <c r="D1357" s="60"/>
      <c r="E1357" s="58"/>
      <c r="F1357" s="58"/>
      <c r="G1357" s="58"/>
      <c r="H1357" s="33" t="str">
        <f t="shared" si="33"/>
        <v/>
      </c>
      <c r="I1357" s="58"/>
      <c r="J1357" s="58"/>
      <c r="K1357" s="58"/>
      <c r="L1357" s="58"/>
      <c r="M1357" s="80"/>
      <c r="N1357" s="77"/>
      <c r="O1357" s="62"/>
      <c r="P1357" s="62"/>
      <c r="Q1357" s="62"/>
      <c r="R1357" s="62"/>
      <c r="S1357" s="37" t="str">
        <f>IFERROR(__xludf.DUMMYFUNCTION("if(not(iserror(index(split(C1357, "" ""),2))), index(split(C1357, "" ""),1),"""")"),"")</f>
        <v/>
      </c>
      <c r="T1357" s="315" t="str">
        <f>IFERROR(__xludf.DUMMYFUNCTION("if(S1357="""",C1357,if(not(iserror(index(split(C1357, "" ""),3))), index(split(C1357, "" ""),3),index(split(C1357, "" ""),2)))"),"")</f>
        <v/>
      </c>
      <c r="U1357" s="38" t="b">
        <f t="shared" si="34"/>
        <v>0</v>
      </c>
      <c r="V1357" s="38"/>
      <c r="W1357" s="40"/>
      <c r="X1357" s="40"/>
      <c r="Y1357" s="38"/>
      <c r="Z1357" s="38"/>
      <c r="AA1357" s="38"/>
      <c r="AB1357" s="38"/>
      <c r="AC1357" s="38"/>
      <c r="AD1357" s="38"/>
      <c r="AE1357" s="38"/>
      <c r="AF1357" s="38"/>
      <c r="AG1357" s="38"/>
      <c r="AH1357" s="38"/>
      <c r="AI1357" s="38"/>
      <c r="AJ1357" s="38"/>
      <c r="AK1357" s="38"/>
      <c r="AL1357" s="38"/>
      <c r="AM1357" s="38"/>
      <c r="AN1357" s="38"/>
      <c r="AO1357" s="38"/>
      <c r="AP1357" s="38"/>
      <c r="AQ1357" s="38"/>
      <c r="AR1357" s="38"/>
      <c r="AS1357" s="38"/>
      <c r="AT1357" s="38"/>
      <c r="AU1357" s="38"/>
      <c r="AV1357" s="38"/>
      <c r="AW1357" s="38"/>
      <c r="AX1357" s="38"/>
      <c r="AY1357" s="38"/>
      <c r="AZ1357" s="38"/>
      <c r="BA1357" s="38"/>
      <c r="BB1357" s="38"/>
      <c r="BC1357" s="38"/>
      <c r="BD1357" s="38"/>
      <c r="BE1357" s="38"/>
      <c r="BF1357" s="38"/>
      <c r="BG1357" s="38"/>
      <c r="BH1357" s="38"/>
      <c r="BI1357" s="38"/>
      <c r="BJ1357" s="38"/>
      <c r="BK1357" s="38"/>
      <c r="BL1357" s="38"/>
      <c r="BM1357" s="38"/>
      <c r="BN1357" s="38"/>
      <c r="BO1357" s="38"/>
      <c r="BP1357" s="38"/>
      <c r="BQ1357" s="38"/>
    </row>
    <row r="1358">
      <c r="B1358" s="341"/>
      <c r="C1358" s="60"/>
      <c r="D1358" s="60"/>
      <c r="E1358" s="58"/>
      <c r="F1358" s="58"/>
      <c r="G1358" s="58"/>
      <c r="H1358" s="33" t="str">
        <f t="shared" si="33"/>
        <v/>
      </c>
      <c r="I1358" s="58"/>
      <c r="J1358" s="58"/>
      <c r="K1358" s="58"/>
      <c r="L1358" s="58"/>
      <c r="M1358" s="80"/>
      <c r="N1358" s="77"/>
      <c r="O1358" s="62"/>
      <c r="P1358" s="62"/>
      <c r="Q1358" s="62"/>
      <c r="R1358" s="62"/>
      <c r="S1358" s="37" t="str">
        <f>IFERROR(__xludf.DUMMYFUNCTION("if(not(iserror(index(split(C1358, "" ""),2))), index(split(C1358, "" ""),1),"""")"),"")</f>
        <v/>
      </c>
      <c r="T1358" s="315" t="str">
        <f>IFERROR(__xludf.DUMMYFUNCTION("if(S1358="""",C1358,if(not(iserror(index(split(C1358, "" ""),3))), index(split(C1358, "" ""),3),index(split(C1358, "" ""),2)))"),"")</f>
        <v/>
      </c>
      <c r="U1358" s="38" t="b">
        <f t="shared" si="34"/>
        <v>0</v>
      </c>
      <c r="V1358" s="38"/>
      <c r="W1358" s="40"/>
      <c r="X1358" s="40"/>
      <c r="Y1358" s="38"/>
      <c r="Z1358" s="38"/>
      <c r="AA1358" s="38"/>
      <c r="AB1358" s="38"/>
      <c r="AC1358" s="38"/>
      <c r="AD1358" s="38"/>
      <c r="AE1358" s="38"/>
      <c r="AF1358" s="38"/>
      <c r="AG1358" s="38"/>
      <c r="AH1358" s="38"/>
      <c r="AI1358" s="38"/>
      <c r="AJ1358" s="38"/>
      <c r="AK1358" s="38"/>
      <c r="AL1358" s="38"/>
      <c r="AM1358" s="38"/>
      <c r="AN1358" s="38"/>
      <c r="AO1358" s="38"/>
      <c r="AP1358" s="38"/>
      <c r="AQ1358" s="38"/>
      <c r="AR1358" s="38"/>
      <c r="AS1358" s="38"/>
      <c r="AT1358" s="38"/>
      <c r="AU1358" s="38"/>
      <c r="AV1358" s="38"/>
      <c r="AW1358" s="38"/>
      <c r="AX1358" s="38"/>
      <c r="AY1358" s="38"/>
      <c r="AZ1358" s="38"/>
      <c r="BA1358" s="38"/>
      <c r="BB1358" s="38"/>
      <c r="BC1358" s="38"/>
      <c r="BD1358" s="38"/>
      <c r="BE1358" s="38"/>
      <c r="BF1358" s="38"/>
      <c r="BG1358" s="38"/>
      <c r="BH1358" s="38"/>
      <c r="BI1358" s="38"/>
      <c r="BJ1358" s="38"/>
      <c r="BK1358" s="38"/>
      <c r="BL1358" s="38"/>
      <c r="BM1358" s="38"/>
      <c r="BN1358" s="38"/>
      <c r="BO1358" s="38"/>
      <c r="BP1358" s="38"/>
      <c r="BQ1358" s="38"/>
    </row>
    <row r="1359">
      <c r="B1359" s="341"/>
      <c r="C1359" s="60"/>
      <c r="D1359" s="60"/>
      <c r="E1359" s="58"/>
      <c r="F1359" s="58"/>
      <c r="G1359" s="58"/>
      <c r="H1359" s="33" t="str">
        <f t="shared" si="33"/>
        <v/>
      </c>
      <c r="I1359" s="58"/>
      <c r="J1359" s="58"/>
      <c r="K1359" s="58"/>
      <c r="L1359" s="58"/>
      <c r="M1359" s="80"/>
      <c r="N1359" s="77"/>
      <c r="O1359" s="62"/>
      <c r="P1359" s="62"/>
      <c r="Q1359" s="62"/>
      <c r="R1359" s="62"/>
      <c r="S1359" s="37" t="str">
        <f>IFERROR(__xludf.DUMMYFUNCTION("if(not(iserror(index(split(C1359, "" ""),2))), index(split(C1359, "" ""),1),"""")"),"")</f>
        <v/>
      </c>
      <c r="T1359" s="315" t="str">
        <f>IFERROR(__xludf.DUMMYFUNCTION("if(S1359="""",C1359,if(not(iserror(index(split(C1359, "" ""),3))), index(split(C1359, "" ""),3),index(split(C1359, "" ""),2)))"),"")</f>
        <v/>
      </c>
      <c r="U1359" s="38" t="b">
        <f t="shared" si="34"/>
        <v>0</v>
      </c>
      <c r="V1359" s="38"/>
      <c r="W1359" s="40"/>
      <c r="X1359" s="40"/>
      <c r="Y1359" s="38"/>
      <c r="Z1359" s="38"/>
      <c r="AA1359" s="38"/>
      <c r="AB1359" s="38"/>
      <c r="AC1359" s="38"/>
      <c r="AD1359" s="38"/>
      <c r="AE1359" s="38"/>
      <c r="AF1359" s="38"/>
      <c r="AG1359" s="38"/>
      <c r="AH1359" s="38"/>
      <c r="AI1359" s="38"/>
      <c r="AJ1359" s="38"/>
      <c r="AK1359" s="38"/>
      <c r="AL1359" s="38"/>
      <c r="AM1359" s="38"/>
      <c r="AN1359" s="38"/>
      <c r="AO1359" s="38"/>
      <c r="AP1359" s="38"/>
      <c r="AQ1359" s="38"/>
      <c r="AR1359" s="38"/>
      <c r="AS1359" s="38"/>
      <c r="AT1359" s="38"/>
      <c r="AU1359" s="38"/>
      <c r="AV1359" s="38"/>
      <c r="AW1359" s="38"/>
      <c r="AX1359" s="38"/>
      <c r="AY1359" s="38"/>
      <c r="AZ1359" s="38"/>
      <c r="BA1359" s="38"/>
      <c r="BB1359" s="38"/>
      <c r="BC1359" s="38"/>
      <c r="BD1359" s="38"/>
      <c r="BE1359" s="38"/>
      <c r="BF1359" s="38"/>
      <c r="BG1359" s="38"/>
      <c r="BH1359" s="38"/>
      <c r="BI1359" s="38"/>
      <c r="BJ1359" s="38"/>
      <c r="BK1359" s="38"/>
      <c r="BL1359" s="38"/>
      <c r="BM1359" s="38"/>
      <c r="BN1359" s="38"/>
      <c r="BO1359" s="38"/>
      <c r="BP1359" s="38"/>
      <c r="BQ1359" s="38"/>
    </row>
    <row r="1360">
      <c r="B1360" s="341"/>
      <c r="C1360" s="60"/>
      <c r="D1360" s="60"/>
      <c r="E1360" s="58"/>
      <c r="F1360" s="58"/>
      <c r="G1360" s="58"/>
      <c r="H1360" s="33" t="str">
        <f t="shared" si="33"/>
        <v/>
      </c>
      <c r="I1360" s="58"/>
      <c r="J1360" s="58"/>
      <c r="K1360" s="58"/>
      <c r="L1360" s="58"/>
      <c r="M1360" s="80"/>
      <c r="N1360" s="77"/>
      <c r="O1360" s="62"/>
      <c r="P1360" s="62"/>
      <c r="Q1360" s="62"/>
      <c r="R1360" s="62"/>
      <c r="S1360" s="37" t="str">
        <f>IFERROR(__xludf.DUMMYFUNCTION("if(not(iserror(index(split(C1360, "" ""),2))), index(split(C1360, "" ""),1),"""")"),"")</f>
        <v/>
      </c>
      <c r="T1360" s="315" t="str">
        <f>IFERROR(__xludf.DUMMYFUNCTION("if(S1360="""",C1360,if(not(iserror(index(split(C1360, "" ""),3))), index(split(C1360, "" ""),3),index(split(C1360, "" ""),2)))"),"")</f>
        <v/>
      </c>
      <c r="U1360" s="38" t="b">
        <f t="shared" si="34"/>
        <v>0</v>
      </c>
      <c r="V1360" s="38"/>
      <c r="W1360" s="40"/>
      <c r="X1360" s="40"/>
      <c r="Y1360" s="38"/>
      <c r="Z1360" s="38"/>
      <c r="AA1360" s="38"/>
      <c r="AB1360" s="38"/>
      <c r="AC1360" s="38"/>
      <c r="AD1360" s="38"/>
      <c r="AE1360" s="38"/>
      <c r="AF1360" s="38"/>
      <c r="AG1360" s="38"/>
      <c r="AH1360" s="38"/>
      <c r="AI1360" s="38"/>
      <c r="AJ1360" s="38"/>
      <c r="AK1360" s="38"/>
      <c r="AL1360" s="38"/>
      <c r="AM1360" s="38"/>
      <c r="AN1360" s="38"/>
      <c r="AO1360" s="38"/>
      <c r="AP1360" s="38"/>
      <c r="AQ1360" s="38"/>
      <c r="AR1360" s="38"/>
      <c r="AS1360" s="38"/>
      <c r="AT1360" s="38"/>
      <c r="AU1360" s="38"/>
      <c r="AV1360" s="38"/>
      <c r="AW1360" s="38"/>
      <c r="AX1360" s="38"/>
      <c r="AY1360" s="38"/>
      <c r="AZ1360" s="38"/>
      <c r="BA1360" s="38"/>
      <c r="BB1360" s="38"/>
      <c r="BC1360" s="38"/>
      <c r="BD1360" s="38"/>
      <c r="BE1360" s="38"/>
      <c r="BF1360" s="38"/>
      <c r="BG1360" s="38"/>
      <c r="BH1360" s="38"/>
      <c r="BI1360" s="38"/>
      <c r="BJ1360" s="38"/>
      <c r="BK1360" s="38"/>
      <c r="BL1360" s="38"/>
      <c r="BM1360" s="38"/>
      <c r="BN1360" s="38"/>
      <c r="BO1360" s="38"/>
      <c r="BP1360" s="38"/>
      <c r="BQ1360" s="38"/>
    </row>
    <row r="1361">
      <c r="B1361" s="341"/>
      <c r="C1361" s="60"/>
      <c r="D1361" s="60"/>
      <c r="E1361" s="58"/>
      <c r="F1361" s="58"/>
      <c r="G1361" s="58"/>
      <c r="H1361" s="33" t="str">
        <f t="shared" si="33"/>
        <v/>
      </c>
      <c r="I1361" s="58"/>
      <c r="J1361" s="58"/>
      <c r="K1361" s="58"/>
      <c r="L1361" s="58"/>
      <c r="M1361" s="80"/>
      <c r="N1361" s="77"/>
      <c r="O1361" s="62"/>
      <c r="P1361" s="62"/>
      <c r="Q1361" s="62"/>
      <c r="R1361" s="62"/>
      <c r="S1361" s="37" t="str">
        <f>IFERROR(__xludf.DUMMYFUNCTION("if(not(iserror(index(split(C1361, "" ""),2))), index(split(C1361, "" ""),1),"""")"),"")</f>
        <v/>
      </c>
      <c r="T1361" s="315" t="str">
        <f>IFERROR(__xludf.DUMMYFUNCTION("if(S1361="""",C1361,if(not(iserror(index(split(C1361, "" ""),3))), index(split(C1361, "" ""),3),index(split(C1361, "" ""),2)))"),"")</f>
        <v/>
      </c>
      <c r="U1361" s="38" t="b">
        <f t="shared" si="34"/>
        <v>0</v>
      </c>
      <c r="V1361" s="38"/>
      <c r="W1361" s="40"/>
      <c r="X1361" s="40"/>
      <c r="Y1361" s="38"/>
      <c r="Z1361" s="38"/>
      <c r="AA1361" s="38"/>
      <c r="AB1361" s="38"/>
      <c r="AC1361" s="38"/>
      <c r="AD1361" s="38"/>
      <c r="AE1361" s="38"/>
      <c r="AF1361" s="38"/>
      <c r="AG1361" s="38"/>
      <c r="AH1361" s="38"/>
      <c r="AI1361" s="38"/>
      <c r="AJ1361" s="38"/>
      <c r="AK1361" s="38"/>
      <c r="AL1361" s="38"/>
      <c r="AM1361" s="38"/>
      <c r="AN1361" s="38"/>
      <c r="AO1361" s="38"/>
      <c r="AP1361" s="38"/>
      <c r="AQ1361" s="38"/>
      <c r="AR1361" s="38"/>
      <c r="AS1361" s="38"/>
      <c r="AT1361" s="38"/>
      <c r="AU1361" s="38"/>
      <c r="AV1361" s="38"/>
      <c r="AW1361" s="38"/>
      <c r="AX1361" s="38"/>
      <c r="AY1361" s="38"/>
      <c r="AZ1361" s="38"/>
      <c r="BA1361" s="38"/>
      <c r="BB1361" s="38"/>
      <c r="BC1361" s="38"/>
      <c r="BD1361" s="38"/>
      <c r="BE1361" s="38"/>
      <c r="BF1361" s="38"/>
      <c r="BG1361" s="38"/>
      <c r="BH1361" s="38"/>
      <c r="BI1361" s="38"/>
      <c r="BJ1361" s="38"/>
      <c r="BK1361" s="38"/>
      <c r="BL1361" s="38"/>
      <c r="BM1361" s="38"/>
      <c r="BN1361" s="38"/>
      <c r="BO1361" s="38"/>
      <c r="BP1361" s="38"/>
      <c r="BQ1361" s="38"/>
    </row>
    <row r="1362">
      <c r="B1362" s="341"/>
      <c r="C1362" s="60"/>
      <c r="D1362" s="60"/>
      <c r="E1362" s="58"/>
      <c r="F1362" s="58"/>
      <c r="G1362" s="58"/>
      <c r="H1362" s="33" t="str">
        <f t="shared" si="33"/>
        <v/>
      </c>
      <c r="I1362" s="58"/>
      <c r="J1362" s="58"/>
      <c r="K1362" s="58"/>
      <c r="L1362" s="58"/>
      <c r="M1362" s="80"/>
      <c r="N1362" s="77"/>
      <c r="O1362" s="62"/>
      <c r="P1362" s="62"/>
      <c r="Q1362" s="62"/>
      <c r="R1362" s="62"/>
      <c r="S1362" s="37" t="str">
        <f>IFERROR(__xludf.DUMMYFUNCTION("if(not(iserror(index(split(C1362, "" ""),2))), index(split(C1362, "" ""),1),"""")"),"")</f>
        <v/>
      </c>
      <c r="T1362" s="315" t="str">
        <f>IFERROR(__xludf.DUMMYFUNCTION("if(S1362="""",C1362,if(not(iserror(index(split(C1362, "" ""),3))), index(split(C1362, "" ""),3),index(split(C1362, "" ""),2)))"),"")</f>
        <v/>
      </c>
      <c r="U1362" s="38" t="b">
        <f t="shared" si="34"/>
        <v>0</v>
      </c>
      <c r="V1362" s="38"/>
      <c r="W1362" s="40"/>
      <c r="X1362" s="40"/>
      <c r="Y1362" s="38"/>
      <c r="Z1362" s="38"/>
      <c r="AA1362" s="38"/>
      <c r="AB1362" s="38"/>
      <c r="AC1362" s="38"/>
      <c r="AD1362" s="38"/>
      <c r="AE1362" s="38"/>
      <c r="AF1362" s="38"/>
      <c r="AG1362" s="38"/>
      <c r="AH1362" s="38"/>
      <c r="AI1362" s="38"/>
      <c r="AJ1362" s="38"/>
      <c r="AK1362" s="38"/>
      <c r="AL1362" s="38"/>
      <c r="AM1362" s="38"/>
      <c r="AN1362" s="38"/>
      <c r="AO1362" s="38"/>
      <c r="AP1362" s="38"/>
      <c r="AQ1362" s="38"/>
      <c r="AR1362" s="38"/>
      <c r="AS1362" s="38"/>
      <c r="AT1362" s="38"/>
      <c r="AU1362" s="38"/>
      <c r="AV1362" s="38"/>
      <c r="AW1362" s="38"/>
      <c r="AX1362" s="38"/>
      <c r="AY1362" s="38"/>
      <c r="AZ1362" s="38"/>
      <c r="BA1362" s="38"/>
      <c r="BB1362" s="38"/>
      <c r="BC1362" s="38"/>
      <c r="BD1362" s="38"/>
      <c r="BE1362" s="38"/>
      <c r="BF1362" s="38"/>
      <c r="BG1362" s="38"/>
      <c r="BH1362" s="38"/>
      <c r="BI1362" s="38"/>
      <c r="BJ1362" s="38"/>
      <c r="BK1362" s="38"/>
      <c r="BL1362" s="38"/>
      <c r="BM1362" s="38"/>
      <c r="BN1362" s="38"/>
      <c r="BO1362" s="38"/>
      <c r="BP1362" s="38"/>
      <c r="BQ1362" s="38"/>
    </row>
    <row r="1363">
      <c r="A1363" s="58"/>
      <c r="B1363" s="341"/>
      <c r="C1363" s="60"/>
      <c r="D1363" s="60"/>
      <c r="E1363" s="58"/>
      <c r="F1363" s="58"/>
      <c r="G1363" s="58"/>
      <c r="H1363" s="33" t="str">
        <f t="shared" si="33"/>
        <v/>
      </c>
      <c r="I1363" s="58"/>
      <c r="J1363" s="58"/>
      <c r="K1363" s="58"/>
      <c r="L1363" s="58"/>
      <c r="M1363" s="80"/>
      <c r="N1363" s="77"/>
      <c r="O1363" s="62"/>
      <c r="P1363" s="62"/>
      <c r="Q1363" s="62"/>
      <c r="R1363" s="62"/>
      <c r="S1363" s="37" t="str">
        <f>IFERROR(__xludf.DUMMYFUNCTION("if(not(iserror(index(split(C1363, "" ""),2))), index(split(C1363, "" ""),1),"""")"),"")</f>
        <v/>
      </c>
      <c r="T1363" s="315" t="str">
        <f>IFERROR(__xludf.DUMMYFUNCTION("if(S1363="""",C1363,if(not(iserror(index(split(C1363, "" ""),3))), index(split(C1363, "" ""),3),index(split(C1363, "" ""),2)))"),"")</f>
        <v/>
      </c>
      <c r="U1363" s="38" t="b">
        <f t="shared" si="34"/>
        <v>0</v>
      </c>
      <c r="V1363" s="38"/>
      <c r="W1363" s="40"/>
      <c r="X1363" s="40"/>
      <c r="Y1363" s="38"/>
      <c r="Z1363" s="38"/>
      <c r="AA1363" s="38"/>
      <c r="AB1363" s="38"/>
      <c r="AC1363" s="38"/>
      <c r="AD1363" s="38"/>
      <c r="AE1363" s="38"/>
      <c r="AF1363" s="38"/>
      <c r="AG1363" s="38"/>
      <c r="AH1363" s="38"/>
      <c r="AI1363" s="38"/>
      <c r="AJ1363" s="38"/>
      <c r="AK1363" s="38"/>
      <c r="AL1363" s="38"/>
      <c r="AM1363" s="38"/>
      <c r="AN1363" s="38"/>
      <c r="AO1363" s="38"/>
      <c r="AP1363" s="38"/>
      <c r="AQ1363" s="38"/>
      <c r="AR1363" s="38"/>
      <c r="AS1363" s="38"/>
      <c r="AT1363" s="38"/>
      <c r="AU1363" s="38"/>
      <c r="AV1363" s="38"/>
      <c r="AW1363" s="38"/>
      <c r="AX1363" s="38"/>
      <c r="AY1363" s="38"/>
      <c r="AZ1363" s="38"/>
      <c r="BA1363" s="38"/>
      <c r="BB1363" s="38"/>
      <c r="BC1363" s="38"/>
      <c r="BD1363" s="38"/>
      <c r="BE1363" s="38"/>
      <c r="BF1363" s="38"/>
      <c r="BG1363" s="38"/>
      <c r="BH1363" s="38"/>
      <c r="BI1363" s="38"/>
      <c r="BJ1363" s="38"/>
      <c r="BK1363" s="38"/>
      <c r="BL1363" s="38"/>
      <c r="BM1363" s="38"/>
      <c r="BN1363" s="38"/>
      <c r="BO1363" s="38"/>
      <c r="BP1363" s="38"/>
      <c r="BQ1363" s="38"/>
    </row>
    <row r="1364">
      <c r="A1364" s="58"/>
      <c r="B1364" s="341"/>
      <c r="C1364" s="60"/>
      <c r="D1364" s="60"/>
      <c r="E1364" s="58"/>
      <c r="F1364" s="58"/>
      <c r="G1364" s="58"/>
      <c r="H1364" s="33" t="str">
        <f t="shared" si="33"/>
        <v/>
      </c>
      <c r="I1364" s="58"/>
      <c r="J1364" s="58"/>
      <c r="K1364" s="58"/>
      <c r="L1364" s="58"/>
      <c r="M1364" s="80"/>
      <c r="N1364" s="77"/>
      <c r="O1364" s="62"/>
      <c r="P1364" s="62"/>
      <c r="Q1364" s="62"/>
      <c r="R1364" s="62"/>
      <c r="S1364" s="37" t="str">
        <f>IFERROR(__xludf.DUMMYFUNCTION("if(not(iserror(index(split(C1364, "" ""),2))), index(split(C1364, "" ""),1),"""")"),"")</f>
        <v/>
      </c>
      <c r="T1364" s="315" t="str">
        <f>IFERROR(__xludf.DUMMYFUNCTION("if(S1364="""",C1364,if(not(iserror(index(split(C1364, "" ""),3))), index(split(C1364, "" ""),3),index(split(C1364, "" ""),2)))"),"")</f>
        <v/>
      </c>
      <c r="U1364" s="38" t="b">
        <f t="shared" si="34"/>
        <v>0</v>
      </c>
      <c r="V1364" s="38"/>
      <c r="W1364" s="40"/>
      <c r="X1364" s="40"/>
      <c r="Y1364" s="38"/>
      <c r="Z1364" s="38"/>
      <c r="AA1364" s="38"/>
      <c r="AB1364" s="38"/>
      <c r="AC1364" s="38"/>
      <c r="AD1364" s="38"/>
      <c r="AE1364" s="38"/>
      <c r="AF1364" s="38"/>
      <c r="AG1364" s="38"/>
      <c r="AH1364" s="38"/>
      <c r="AI1364" s="38"/>
      <c r="AJ1364" s="38"/>
      <c r="AK1364" s="38"/>
      <c r="AL1364" s="38"/>
      <c r="AM1364" s="38"/>
      <c r="AN1364" s="38"/>
      <c r="AO1364" s="38"/>
      <c r="AP1364" s="38"/>
      <c r="AQ1364" s="38"/>
      <c r="AR1364" s="38"/>
      <c r="AS1364" s="38"/>
      <c r="AT1364" s="38"/>
      <c r="AU1364" s="38"/>
      <c r="AV1364" s="38"/>
      <c r="AW1364" s="38"/>
      <c r="AX1364" s="38"/>
      <c r="AY1364" s="38"/>
      <c r="AZ1364" s="38"/>
      <c r="BA1364" s="38"/>
      <c r="BB1364" s="38"/>
      <c r="BC1364" s="38"/>
      <c r="BD1364" s="38"/>
      <c r="BE1364" s="38"/>
      <c r="BF1364" s="38"/>
      <c r="BG1364" s="38"/>
      <c r="BH1364" s="38"/>
      <c r="BI1364" s="38"/>
      <c r="BJ1364" s="38"/>
      <c r="BK1364" s="38"/>
      <c r="BL1364" s="38"/>
      <c r="BM1364" s="38"/>
      <c r="BN1364" s="38"/>
      <c r="BO1364" s="38"/>
      <c r="BP1364" s="38"/>
      <c r="BQ1364" s="38"/>
    </row>
    <row r="1365">
      <c r="A1365" s="58"/>
      <c r="B1365" s="341"/>
      <c r="C1365" s="60"/>
      <c r="D1365" s="60"/>
      <c r="E1365" s="58"/>
      <c r="F1365" s="58"/>
      <c r="G1365" s="58"/>
      <c r="H1365" s="33" t="str">
        <f t="shared" si="33"/>
        <v/>
      </c>
      <c r="I1365" s="58"/>
      <c r="J1365" s="58"/>
      <c r="K1365" s="58"/>
      <c r="L1365" s="58"/>
      <c r="M1365" s="80"/>
      <c r="N1365" s="77"/>
      <c r="O1365" s="62"/>
      <c r="P1365" s="62"/>
      <c r="Q1365" s="62"/>
      <c r="R1365" s="62"/>
      <c r="S1365" s="37" t="str">
        <f>IFERROR(__xludf.DUMMYFUNCTION("if(not(iserror(index(split(C1365, "" ""),2))), index(split(C1365, "" ""),1),"""")"),"")</f>
        <v/>
      </c>
      <c r="T1365" s="315" t="str">
        <f>IFERROR(__xludf.DUMMYFUNCTION("if(S1365="""",C1365,if(not(iserror(index(split(C1365, "" ""),3))), index(split(C1365, "" ""),3),index(split(C1365, "" ""),2)))"),"")</f>
        <v/>
      </c>
      <c r="U1365" s="38" t="b">
        <f t="shared" si="34"/>
        <v>0</v>
      </c>
      <c r="V1365" s="38"/>
      <c r="W1365" s="40"/>
      <c r="X1365" s="40"/>
      <c r="Y1365" s="38"/>
      <c r="Z1365" s="38"/>
      <c r="AA1365" s="38"/>
      <c r="AB1365" s="38"/>
      <c r="AC1365" s="38"/>
      <c r="AD1365" s="38"/>
      <c r="AE1365" s="38"/>
      <c r="AF1365" s="38"/>
      <c r="AG1365" s="38"/>
      <c r="AH1365" s="38"/>
      <c r="AI1365" s="38"/>
      <c r="AJ1365" s="38"/>
      <c r="AK1365" s="38"/>
      <c r="AL1365" s="38"/>
      <c r="AM1365" s="38"/>
      <c r="AN1365" s="38"/>
      <c r="AO1365" s="38"/>
      <c r="AP1365" s="38"/>
      <c r="AQ1365" s="38"/>
      <c r="AR1365" s="38"/>
      <c r="AS1365" s="38"/>
      <c r="AT1365" s="38"/>
      <c r="AU1365" s="38"/>
      <c r="AV1365" s="38"/>
      <c r="AW1365" s="38"/>
      <c r="AX1365" s="38"/>
      <c r="AY1365" s="38"/>
      <c r="AZ1365" s="38"/>
      <c r="BA1365" s="38"/>
      <c r="BB1365" s="38"/>
      <c r="BC1365" s="38"/>
      <c r="BD1365" s="38"/>
      <c r="BE1365" s="38"/>
      <c r="BF1365" s="38"/>
      <c r="BG1365" s="38"/>
      <c r="BH1365" s="38"/>
      <c r="BI1365" s="38"/>
      <c r="BJ1365" s="38"/>
      <c r="BK1365" s="38"/>
      <c r="BL1365" s="38"/>
      <c r="BM1365" s="38"/>
      <c r="BN1365" s="38"/>
      <c r="BO1365" s="38"/>
      <c r="BP1365" s="38"/>
      <c r="BQ1365" s="38"/>
    </row>
    <row r="1366">
      <c r="A1366" s="58"/>
      <c r="B1366" s="341"/>
      <c r="C1366" s="60"/>
      <c r="D1366" s="60"/>
      <c r="E1366" s="58"/>
      <c r="F1366" s="58"/>
      <c r="G1366" s="58"/>
      <c r="H1366" s="33" t="str">
        <f t="shared" si="33"/>
        <v/>
      </c>
      <c r="I1366" s="58"/>
      <c r="J1366" s="58"/>
      <c r="K1366" s="58"/>
      <c r="L1366" s="58"/>
      <c r="M1366" s="80"/>
      <c r="N1366" s="77"/>
      <c r="O1366" s="62"/>
      <c r="P1366" s="62"/>
      <c r="Q1366" s="62"/>
      <c r="R1366" s="62"/>
      <c r="S1366" s="37" t="str">
        <f>IFERROR(__xludf.DUMMYFUNCTION("if(not(iserror(index(split(C1366, "" ""),2))), index(split(C1366, "" ""),1),"""")"),"")</f>
        <v/>
      </c>
      <c r="T1366" s="315" t="str">
        <f>IFERROR(__xludf.DUMMYFUNCTION("if(S1366="""",C1366,if(not(iserror(index(split(C1366, "" ""),3))), index(split(C1366, "" ""),3),index(split(C1366, "" ""),2)))"),"")</f>
        <v/>
      </c>
      <c r="U1366" s="38" t="b">
        <f t="shared" si="34"/>
        <v>0</v>
      </c>
      <c r="V1366" s="38"/>
      <c r="W1366" s="40"/>
      <c r="X1366" s="40"/>
      <c r="Y1366" s="38"/>
      <c r="Z1366" s="38"/>
      <c r="AA1366" s="38"/>
      <c r="AB1366" s="38"/>
      <c r="AC1366" s="38"/>
      <c r="AD1366" s="38"/>
      <c r="AE1366" s="38"/>
      <c r="AF1366" s="38"/>
      <c r="AG1366" s="38"/>
      <c r="AH1366" s="38"/>
      <c r="AI1366" s="38"/>
      <c r="AJ1366" s="38"/>
      <c r="AK1366" s="38"/>
      <c r="AL1366" s="38"/>
      <c r="AM1366" s="38"/>
      <c r="AN1366" s="38"/>
      <c r="AO1366" s="38"/>
      <c r="AP1366" s="38"/>
      <c r="AQ1366" s="38"/>
      <c r="AR1366" s="38"/>
      <c r="AS1366" s="38"/>
      <c r="AT1366" s="38"/>
      <c r="AU1366" s="38"/>
      <c r="AV1366" s="38"/>
      <c r="AW1366" s="38"/>
      <c r="AX1366" s="38"/>
      <c r="AY1366" s="38"/>
      <c r="AZ1366" s="38"/>
      <c r="BA1366" s="38"/>
      <c r="BB1366" s="38"/>
      <c r="BC1366" s="38"/>
      <c r="BD1366" s="38"/>
      <c r="BE1366" s="38"/>
      <c r="BF1366" s="38"/>
      <c r="BG1366" s="38"/>
      <c r="BH1366" s="38"/>
      <c r="BI1366" s="38"/>
      <c r="BJ1366" s="38"/>
      <c r="BK1366" s="38"/>
      <c r="BL1366" s="38"/>
      <c r="BM1366" s="38"/>
      <c r="BN1366" s="38"/>
      <c r="BO1366" s="38"/>
      <c r="BP1366" s="38"/>
      <c r="BQ1366" s="38"/>
    </row>
    <row r="1367">
      <c r="A1367" s="58"/>
      <c r="B1367" s="341"/>
      <c r="C1367" s="60"/>
      <c r="D1367" s="60"/>
      <c r="E1367" s="58"/>
      <c r="F1367" s="58"/>
      <c r="G1367" s="58"/>
      <c r="H1367" s="33" t="str">
        <f t="shared" si="33"/>
        <v/>
      </c>
      <c r="I1367" s="58"/>
      <c r="J1367" s="58"/>
      <c r="K1367" s="58"/>
      <c r="L1367" s="58"/>
      <c r="M1367" s="80"/>
      <c r="N1367" s="77"/>
      <c r="O1367" s="62"/>
      <c r="P1367" s="62"/>
      <c r="Q1367" s="62"/>
      <c r="R1367" s="62"/>
      <c r="S1367" s="37" t="str">
        <f>IFERROR(__xludf.DUMMYFUNCTION("if(not(iserror(index(split(C1367, "" ""),2))), index(split(C1367, "" ""),1),"""")"),"")</f>
        <v/>
      </c>
      <c r="T1367" s="315" t="str">
        <f>IFERROR(__xludf.DUMMYFUNCTION("if(S1367="""",C1367,if(not(iserror(index(split(C1367, "" ""),3))), index(split(C1367, "" ""),3),index(split(C1367, "" ""),2)))"),"")</f>
        <v/>
      </c>
      <c r="U1367" s="38" t="b">
        <f t="shared" si="34"/>
        <v>0</v>
      </c>
      <c r="V1367" s="38"/>
      <c r="W1367" s="40"/>
      <c r="X1367" s="40"/>
      <c r="Y1367" s="38"/>
      <c r="Z1367" s="38"/>
      <c r="AA1367" s="38"/>
      <c r="AB1367" s="38"/>
      <c r="AC1367" s="38"/>
      <c r="AD1367" s="38"/>
      <c r="AE1367" s="38"/>
      <c r="AF1367" s="38"/>
      <c r="AG1367" s="38"/>
      <c r="AH1367" s="38"/>
      <c r="AI1367" s="38"/>
      <c r="AJ1367" s="38"/>
      <c r="AK1367" s="38"/>
      <c r="AL1367" s="38"/>
      <c r="AM1367" s="38"/>
      <c r="AN1367" s="38"/>
      <c r="AO1367" s="38"/>
      <c r="AP1367" s="38"/>
      <c r="AQ1367" s="38"/>
      <c r="AR1367" s="38"/>
      <c r="AS1367" s="38"/>
      <c r="AT1367" s="38"/>
      <c r="AU1367" s="38"/>
      <c r="AV1367" s="38"/>
      <c r="AW1367" s="38"/>
      <c r="AX1367" s="38"/>
      <c r="AY1367" s="38"/>
      <c r="AZ1367" s="38"/>
      <c r="BA1367" s="38"/>
      <c r="BB1367" s="38"/>
      <c r="BC1367" s="38"/>
      <c r="BD1367" s="38"/>
      <c r="BE1367" s="38"/>
      <c r="BF1367" s="38"/>
      <c r="BG1367" s="38"/>
      <c r="BH1367" s="38"/>
      <c r="BI1367" s="38"/>
      <c r="BJ1367" s="38"/>
      <c r="BK1367" s="38"/>
      <c r="BL1367" s="38"/>
      <c r="BM1367" s="38"/>
      <c r="BN1367" s="38"/>
      <c r="BO1367" s="38"/>
      <c r="BP1367" s="38"/>
      <c r="BQ1367" s="38"/>
    </row>
    <row r="1368">
      <c r="B1368" s="341"/>
      <c r="C1368" s="60"/>
      <c r="D1368" s="60"/>
      <c r="E1368" s="58"/>
      <c r="F1368" s="58"/>
      <c r="G1368" s="58"/>
      <c r="H1368" s="33" t="str">
        <f t="shared" si="33"/>
        <v/>
      </c>
      <c r="I1368" s="58"/>
      <c r="J1368" s="58"/>
      <c r="K1368" s="58"/>
      <c r="L1368" s="58"/>
      <c r="M1368" s="80"/>
      <c r="N1368" s="77"/>
      <c r="O1368" s="62"/>
      <c r="P1368" s="62"/>
      <c r="Q1368" s="62"/>
      <c r="R1368" s="62"/>
      <c r="S1368" s="37" t="str">
        <f>IFERROR(__xludf.DUMMYFUNCTION("if(not(iserror(index(split(C1368, "" ""),2))), index(split(C1368, "" ""),1),"""")"),"")</f>
        <v/>
      </c>
      <c r="T1368" s="315" t="str">
        <f>IFERROR(__xludf.DUMMYFUNCTION("if(S1368="""",C1368,if(not(iserror(index(split(C1368, "" ""),3))), index(split(C1368, "" ""),3),index(split(C1368, "" ""),2)))"),"")</f>
        <v/>
      </c>
      <c r="U1368" s="38" t="b">
        <f t="shared" si="34"/>
        <v>0</v>
      </c>
      <c r="V1368" s="38"/>
      <c r="W1368" s="40"/>
      <c r="X1368" s="40"/>
      <c r="Y1368" s="38"/>
      <c r="Z1368" s="38"/>
      <c r="AA1368" s="38"/>
      <c r="AB1368" s="38"/>
      <c r="AC1368" s="38"/>
      <c r="AD1368" s="38"/>
      <c r="AE1368" s="38"/>
      <c r="AF1368" s="38"/>
      <c r="AG1368" s="38"/>
      <c r="AH1368" s="38"/>
      <c r="AI1368" s="38"/>
      <c r="AJ1368" s="38"/>
      <c r="AK1368" s="38"/>
      <c r="AL1368" s="38"/>
      <c r="AM1368" s="38"/>
      <c r="AN1368" s="38"/>
      <c r="AO1368" s="38"/>
      <c r="AP1368" s="38"/>
      <c r="AQ1368" s="38"/>
      <c r="AR1368" s="38"/>
      <c r="AS1368" s="38"/>
      <c r="AT1368" s="38"/>
      <c r="AU1368" s="38"/>
      <c r="AV1368" s="38"/>
      <c r="AW1368" s="38"/>
      <c r="AX1368" s="38"/>
      <c r="AY1368" s="38"/>
      <c r="AZ1368" s="38"/>
      <c r="BA1368" s="38"/>
      <c r="BB1368" s="38"/>
      <c r="BC1368" s="38"/>
      <c r="BD1368" s="38"/>
      <c r="BE1368" s="38"/>
      <c r="BF1368" s="38"/>
      <c r="BG1368" s="38"/>
      <c r="BH1368" s="38"/>
      <c r="BI1368" s="38"/>
      <c r="BJ1368" s="38"/>
      <c r="BK1368" s="38"/>
      <c r="BL1368" s="38"/>
      <c r="BM1368" s="38"/>
      <c r="BN1368" s="38"/>
      <c r="BO1368" s="38"/>
      <c r="BP1368" s="38"/>
      <c r="BQ1368" s="38"/>
    </row>
    <row r="1369">
      <c r="B1369" s="341"/>
      <c r="C1369" s="60"/>
      <c r="D1369" s="60"/>
      <c r="E1369" s="58"/>
      <c r="F1369" s="58"/>
      <c r="G1369" s="58"/>
      <c r="H1369" s="33" t="str">
        <f t="shared" si="33"/>
        <v/>
      </c>
      <c r="I1369" s="58"/>
      <c r="J1369" s="58"/>
      <c r="K1369" s="58"/>
      <c r="L1369" s="58"/>
      <c r="M1369" s="80"/>
      <c r="N1369" s="77"/>
      <c r="O1369" s="62"/>
      <c r="P1369" s="62"/>
      <c r="Q1369" s="62"/>
      <c r="R1369" s="62"/>
      <c r="S1369" s="37" t="str">
        <f>IFERROR(__xludf.DUMMYFUNCTION("if(not(iserror(index(split(C1369, "" ""),2))), index(split(C1369, "" ""),1),"""")"),"")</f>
        <v/>
      </c>
      <c r="T1369" s="315" t="str">
        <f>IFERROR(__xludf.DUMMYFUNCTION("if(S1369="""",C1369,if(not(iserror(index(split(C1369, "" ""),3))), index(split(C1369, "" ""),3),index(split(C1369, "" ""),2)))"),"")</f>
        <v/>
      </c>
      <c r="U1369" s="38" t="b">
        <f t="shared" si="34"/>
        <v>0</v>
      </c>
      <c r="V1369" s="38"/>
      <c r="W1369" s="40"/>
      <c r="X1369" s="40"/>
      <c r="Y1369" s="38"/>
      <c r="Z1369" s="38"/>
      <c r="AA1369" s="38"/>
      <c r="AB1369" s="38"/>
      <c r="AC1369" s="38"/>
      <c r="AD1369" s="38"/>
      <c r="AE1369" s="38"/>
      <c r="AF1369" s="38"/>
      <c r="AG1369" s="38"/>
      <c r="AH1369" s="38"/>
      <c r="AI1369" s="38"/>
      <c r="AJ1369" s="38"/>
      <c r="AK1369" s="38"/>
      <c r="AL1369" s="38"/>
      <c r="AM1369" s="38"/>
      <c r="AN1369" s="38"/>
      <c r="AO1369" s="38"/>
      <c r="AP1369" s="38"/>
      <c r="AQ1369" s="38"/>
      <c r="AR1369" s="38"/>
      <c r="AS1369" s="38"/>
      <c r="AT1369" s="38"/>
      <c r="AU1369" s="38"/>
      <c r="AV1369" s="38"/>
      <c r="AW1369" s="38"/>
      <c r="AX1369" s="38"/>
      <c r="AY1369" s="38"/>
      <c r="AZ1369" s="38"/>
      <c r="BA1369" s="38"/>
      <c r="BB1369" s="38"/>
      <c r="BC1369" s="38"/>
      <c r="BD1369" s="38"/>
      <c r="BE1369" s="38"/>
      <c r="BF1369" s="38"/>
      <c r="BG1369" s="38"/>
      <c r="BH1369" s="38"/>
      <c r="BI1369" s="38"/>
      <c r="BJ1369" s="38"/>
      <c r="BK1369" s="38"/>
      <c r="BL1369" s="38"/>
      <c r="BM1369" s="38"/>
      <c r="BN1369" s="38"/>
      <c r="BO1369" s="38"/>
      <c r="BP1369" s="38"/>
      <c r="BQ1369" s="38"/>
    </row>
    <row r="1370">
      <c r="A1370" s="58"/>
      <c r="B1370" s="341"/>
      <c r="C1370" s="60"/>
      <c r="D1370" s="60"/>
      <c r="E1370" s="58"/>
      <c r="F1370" s="58"/>
      <c r="G1370" s="58"/>
      <c r="H1370" s="33" t="str">
        <f t="shared" si="33"/>
        <v/>
      </c>
      <c r="I1370" s="58"/>
      <c r="J1370" s="58"/>
      <c r="K1370" s="58"/>
      <c r="L1370" s="58"/>
      <c r="M1370" s="80"/>
      <c r="N1370" s="77"/>
      <c r="O1370" s="62"/>
      <c r="P1370" s="62"/>
      <c r="Q1370" s="62"/>
      <c r="R1370" s="62"/>
      <c r="S1370" s="37" t="str">
        <f>IFERROR(__xludf.DUMMYFUNCTION("if(not(iserror(index(split(C1370, "" ""),2))), index(split(C1370, "" ""),1),"""")"),"")</f>
        <v/>
      </c>
      <c r="T1370" s="315" t="str">
        <f>IFERROR(__xludf.DUMMYFUNCTION("if(S1370="""",C1370,if(not(iserror(index(split(C1370, "" ""),3))), index(split(C1370, "" ""),3),index(split(C1370, "" ""),2)))"),"")</f>
        <v/>
      </c>
      <c r="U1370" s="38" t="b">
        <f t="shared" si="34"/>
        <v>0</v>
      </c>
      <c r="V1370" s="38"/>
      <c r="W1370" s="40"/>
      <c r="X1370" s="40"/>
      <c r="Y1370" s="38"/>
      <c r="Z1370" s="38"/>
      <c r="AA1370" s="38"/>
      <c r="AB1370" s="38"/>
      <c r="AC1370" s="38"/>
      <c r="AD1370" s="38"/>
      <c r="AE1370" s="38"/>
      <c r="AF1370" s="38"/>
      <c r="AG1370" s="38"/>
      <c r="AH1370" s="38"/>
      <c r="AI1370" s="38"/>
      <c r="AJ1370" s="38"/>
      <c r="AK1370" s="38"/>
      <c r="AL1370" s="38"/>
      <c r="AM1370" s="38"/>
      <c r="AN1370" s="38"/>
      <c r="AO1370" s="38"/>
      <c r="AP1370" s="38"/>
      <c r="AQ1370" s="38"/>
      <c r="AR1370" s="38"/>
      <c r="AS1370" s="38"/>
      <c r="AT1370" s="38"/>
      <c r="AU1370" s="38"/>
      <c r="AV1370" s="38"/>
      <c r="AW1370" s="38"/>
      <c r="AX1370" s="38"/>
      <c r="AY1370" s="38"/>
      <c r="AZ1370" s="38"/>
      <c r="BA1370" s="38"/>
      <c r="BB1370" s="38"/>
      <c r="BC1370" s="38"/>
      <c r="BD1370" s="38"/>
      <c r="BE1370" s="38"/>
      <c r="BF1370" s="38"/>
      <c r="BG1370" s="38"/>
      <c r="BH1370" s="38"/>
      <c r="BI1370" s="38"/>
      <c r="BJ1370" s="38"/>
      <c r="BK1370" s="38"/>
      <c r="BL1370" s="38"/>
      <c r="BM1370" s="38"/>
      <c r="BN1370" s="38"/>
      <c r="BO1370" s="38"/>
      <c r="BP1370" s="38"/>
      <c r="BQ1370" s="38"/>
    </row>
    <row r="1371">
      <c r="A1371" s="58"/>
      <c r="B1371" s="341"/>
      <c r="C1371" s="60"/>
      <c r="D1371" s="209"/>
      <c r="E1371" s="58"/>
      <c r="F1371" s="58"/>
      <c r="G1371" s="58"/>
      <c r="H1371" s="33" t="str">
        <f t="shared" si="33"/>
        <v/>
      </c>
      <c r="I1371" s="58"/>
      <c r="J1371" s="58"/>
      <c r="K1371" s="58"/>
      <c r="L1371" s="58"/>
      <c r="M1371" s="80"/>
      <c r="N1371" s="77"/>
      <c r="O1371" s="62"/>
      <c r="P1371" s="62"/>
      <c r="Q1371" s="62"/>
      <c r="R1371" s="62"/>
      <c r="S1371" s="37" t="str">
        <f>IFERROR(__xludf.DUMMYFUNCTION("if(not(iserror(index(split(C1371, "" ""),2))), index(split(C1371, "" ""),1),"""")"),"")</f>
        <v/>
      </c>
      <c r="T1371" s="315" t="str">
        <f>IFERROR(__xludf.DUMMYFUNCTION("if(S1371="""",C1371,if(not(iserror(index(split(C1371, "" ""),3))), index(split(C1371, "" ""),3),index(split(C1371, "" ""),2)))"),"")</f>
        <v/>
      </c>
      <c r="U1371" s="38" t="b">
        <f t="shared" si="34"/>
        <v>0</v>
      </c>
      <c r="V1371" s="38"/>
      <c r="W1371" s="40"/>
      <c r="X1371" s="40"/>
      <c r="Y1371" s="38"/>
      <c r="Z1371" s="38"/>
      <c r="AA1371" s="38"/>
      <c r="AB1371" s="38"/>
      <c r="AC1371" s="38"/>
      <c r="AD1371" s="38"/>
      <c r="AE1371" s="38"/>
      <c r="AF1371" s="38"/>
      <c r="AG1371" s="38"/>
      <c r="AH1371" s="38"/>
      <c r="AI1371" s="38"/>
      <c r="AJ1371" s="38"/>
      <c r="AK1371" s="38"/>
      <c r="AL1371" s="38"/>
      <c r="AM1371" s="38"/>
      <c r="AN1371" s="38"/>
      <c r="AO1371" s="38"/>
      <c r="AP1371" s="38"/>
      <c r="AQ1371" s="38"/>
      <c r="AR1371" s="38"/>
      <c r="AS1371" s="38"/>
      <c r="AT1371" s="38"/>
      <c r="AU1371" s="38"/>
      <c r="AV1371" s="38"/>
      <c r="AW1371" s="38"/>
      <c r="AX1371" s="38"/>
      <c r="AY1371" s="38"/>
      <c r="AZ1371" s="38"/>
      <c r="BA1371" s="38"/>
      <c r="BB1371" s="38"/>
      <c r="BC1371" s="38"/>
      <c r="BD1371" s="38"/>
      <c r="BE1371" s="38"/>
      <c r="BF1371" s="38"/>
      <c r="BG1371" s="38"/>
      <c r="BH1371" s="38"/>
      <c r="BI1371" s="38"/>
      <c r="BJ1371" s="38"/>
      <c r="BK1371" s="38"/>
      <c r="BL1371" s="38"/>
      <c r="BM1371" s="38"/>
      <c r="BN1371" s="38"/>
      <c r="BO1371" s="38"/>
      <c r="BP1371" s="38"/>
      <c r="BQ1371" s="38"/>
    </row>
    <row r="1372">
      <c r="A1372" s="58"/>
      <c r="B1372" s="341"/>
      <c r="C1372" s="60"/>
      <c r="D1372" s="60"/>
      <c r="E1372" s="58"/>
      <c r="F1372" s="58"/>
      <c r="G1372" s="58"/>
      <c r="H1372" s="33" t="str">
        <f t="shared" si="33"/>
        <v/>
      </c>
      <c r="I1372" s="58"/>
      <c r="J1372" s="58"/>
      <c r="K1372" s="58"/>
      <c r="L1372" s="58"/>
      <c r="M1372" s="80"/>
      <c r="N1372" s="77"/>
      <c r="O1372" s="62"/>
      <c r="P1372" s="62"/>
      <c r="Q1372" s="62"/>
      <c r="R1372" s="62"/>
      <c r="S1372" s="37" t="str">
        <f>IFERROR(__xludf.DUMMYFUNCTION("if(not(iserror(index(split(C1372, "" ""),2))), index(split(C1372, "" ""),1),"""")"),"")</f>
        <v/>
      </c>
      <c r="T1372" s="315" t="str">
        <f>IFERROR(__xludf.DUMMYFUNCTION("if(S1372="""",C1372,if(not(iserror(index(split(C1372, "" ""),3))), index(split(C1372, "" ""),3),index(split(C1372, "" ""),2)))"),"")</f>
        <v/>
      </c>
      <c r="U1372" s="38" t="b">
        <f t="shared" si="34"/>
        <v>0</v>
      </c>
      <c r="V1372" s="38"/>
      <c r="W1372" s="40"/>
      <c r="X1372" s="40"/>
      <c r="Y1372" s="38"/>
      <c r="Z1372" s="38"/>
      <c r="AA1372" s="38"/>
      <c r="AB1372" s="38"/>
      <c r="AC1372" s="38"/>
      <c r="AD1372" s="38"/>
      <c r="AE1372" s="38"/>
      <c r="AF1372" s="38"/>
      <c r="AG1372" s="38"/>
      <c r="AH1372" s="38"/>
      <c r="AI1372" s="38"/>
      <c r="AJ1372" s="38"/>
      <c r="AK1372" s="38"/>
      <c r="AL1372" s="38"/>
      <c r="AM1372" s="38"/>
      <c r="AN1372" s="38"/>
      <c r="AO1372" s="38"/>
      <c r="AP1372" s="38"/>
      <c r="AQ1372" s="38"/>
      <c r="AR1372" s="38"/>
      <c r="AS1372" s="38"/>
      <c r="AT1372" s="38"/>
      <c r="AU1372" s="38"/>
      <c r="AV1372" s="38"/>
      <c r="AW1372" s="38"/>
      <c r="AX1372" s="38"/>
      <c r="AY1372" s="38"/>
      <c r="AZ1372" s="38"/>
      <c r="BA1372" s="38"/>
      <c r="BB1372" s="38"/>
      <c r="BC1372" s="38"/>
      <c r="BD1372" s="38"/>
      <c r="BE1372" s="38"/>
      <c r="BF1372" s="38"/>
      <c r="BG1372" s="38"/>
      <c r="BH1372" s="38"/>
      <c r="BI1372" s="38"/>
      <c r="BJ1372" s="38"/>
      <c r="BK1372" s="38"/>
      <c r="BL1372" s="38"/>
      <c r="BM1372" s="38"/>
      <c r="BN1372" s="38"/>
      <c r="BO1372" s="38"/>
      <c r="BP1372" s="38"/>
      <c r="BQ1372" s="38"/>
    </row>
    <row r="1373">
      <c r="A1373" s="58"/>
      <c r="B1373" s="341"/>
      <c r="C1373" s="60"/>
      <c r="D1373" s="60"/>
      <c r="E1373" s="58"/>
      <c r="F1373" s="58"/>
      <c r="G1373" s="58"/>
      <c r="H1373" s="33" t="str">
        <f t="shared" si="33"/>
        <v/>
      </c>
      <c r="I1373" s="58"/>
      <c r="J1373" s="58"/>
      <c r="K1373" s="58"/>
      <c r="L1373" s="58"/>
      <c r="M1373" s="80"/>
      <c r="N1373" s="77"/>
      <c r="O1373" s="62"/>
      <c r="P1373" s="62"/>
      <c r="Q1373" s="62"/>
      <c r="R1373" s="62"/>
      <c r="S1373" s="37" t="str">
        <f>IFERROR(__xludf.DUMMYFUNCTION("if(not(iserror(index(split(C1373, "" ""),2))), index(split(C1373, "" ""),1),"""")"),"")</f>
        <v/>
      </c>
      <c r="T1373" s="315" t="str">
        <f>IFERROR(__xludf.DUMMYFUNCTION("if(S1373="""",C1373,if(not(iserror(index(split(C1373, "" ""),3))), index(split(C1373, "" ""),3),index(split(C1373, "" ""),2)))"),"")</f>
        <v/>
      </c>
      <c r="U1373" s="38" t="b">
        <f t="shared" si="34"/>
        <v>0</v>
      </c>
      <c r="V1373" s="38"/>
      <c r="W1373" s="40"/>
      <c r="X1373" s="40"/>
      <c r="Y1373" s="38"/>
      <c r="Z1373" s="38"/>
      <c r="AA1373" s="38"/>
      <c r="AB1373" s="38"/>
      <c r="AC1373" s="38"/>
      <c r="AD1373" s="38"/>
      <c r="AE1373" s="38"/>
      <c r="AF1373" s="38"/>
      <c r="AG1373" s="38"/>
      <c r="AH1373" s="38"/>
      <c r="AI1373" s="38"/>
      <c r="AJ1373" s="38"/>
      <c r="AK1373" s="38"/>
      <c r="AL1373" s="38"/>
      <c r="AM1373" s="38"/>
      <c r="AN1373" s="38"/>
      <c r="AO1373" s="38"/>
      <c r="AP1373" s="38"/>
      <c r="AQ1373" s="38"/>
      <c r="AR1373" s="38"/>
      <c r="AS1373" s="38"/>
      <c r="AT1373" s="38"/>
      <c r="AU1373" s="38"/>
      <c r="AV1373" s="38"/>
      <c r="AW1373" s="38"/>
      <c r="AX1373" s="38"/>
      <c r="AY1373" s="38"/>
      <c r="AZ1373" s="38"/>
      <c r="BA1373" s="38"/>
      <c r="BB1373" s="38"/>
      <c r="BC1373" s="38"/>
      <c r="BD1373" s="38"/>
      <c r="BE1373" s="38"/>
      <c r="BF1373" s="38"/>
      <c r="BG1373" s="38"/>
      <c r="BH1373" s="38"/>
      <c r="BI1373" s="38"/>
      <c r="BJ1373" s="38"/>
      <c r="BK1373" s="38"/>
      <c r="BL1373" s="38"/>
      <c r="BM1373" s="38"/>
      <c r="BN1373" s="38"/>
      <c r="BO1373" s="38"/>
      <c r="BP1373" s="38"/>
      <c r="BQ1373" s="38"/>
    </row>
    <row r="1374">
      <c r="B1374" s="341"/>
      <c r="C1374" s="60"/>
      <c r="D1374" s="60"/>
      <c r="E1374" s="58"/>
      <c r="F1374" s="58"/>
      <c r="G1374" s="58"/>
      <c r="H1374" s="33" t="str">
        <f t="shared" si="33"/>
        <v/>
      </c>
      <c r="I1374" s="58"/>
      <c r="J1374" s="58"/>
      <c r="K1374" s="58"/>
      <c r="L1374" s="58"/>
      <c r="M1374" s="80"/>
      <c r="N1374" s="77"/>
      <c r="O1374" s="62"/>
      <c r="P1374" s="62"/>
      <c r="Q1374" s="84"/>
      <c r="R1374" s="62"/>
      <c r="S1374" s="37" t="str">
        <f>IFERROR(__xludf.DUMMYFUNCTION("if(not(iserror(index(split(C1374, "" ""),2))), index(split(C1374, "" ""),1),"""")"),"")</f>
        <v/>
      </c>
      <c r="T1374" s="315" t="str">
        <f>IFERROR(__xludf.DUMMYFUNCTION("if(S1374="""",C1374,if(not(iserror(index(split(C1374, "" ""),3))), index(split(C1374, "" ""),3),index(split(C1374, "" ""),2)))"),"")</f>
        <v/>
      </c>
      <c r="U1374" s="38" t="b">
        <f t="shared" si="34"/>
        <v>0</v>
      </c>
      <c r="V1374" s="38"/>
      <c r="W1374" s="40"/>
      <c r="X1374" s="40"/>
      <c r="Y1374" s="38"/>
      <c r="Z1374" s="38"/>
      <c r="AA1374" s="38"/>
      <c r="AB1374" s="38"/>
      <c r="AC1374" s="38"/>
      <c r="AD1374" s="38"/>
      <c r="AE1374" s="38"/>
      <c r="AF1374" s="38"/>
      <c r="AG1374" s="38"/>
      <c r="AH1374" s="38"/>
      <c r="AI1374" s="38"/>
      <c r="AJ1374" s="38"/>
      <c r="AK1374" s="38"/>
      <c r="AL1374" s="38"/>
      <c r="AM1374" s="38"/>
      <c r="AN1374" s="38"/>
      <c r="AO1374" s="38"/>
      <c r="AP1374" s="38"/>
      <c r="AQ1374" s="38"/>
      <c r="AR1374" s="38"/>
      <c r="AS1374" s="38"/>
      <c r="AT1374" s="38"/>
      <c r="AU1374" s="38"/>
      <c r="AV1374" s="38"/>
      <c r="AW1374" s="38"/>
      <c r="AX1374" s="38"/>
      <c r="AY1374" s="38"/>
      <c r="AZ1374" s="38"/>
      <c r="BA1374" s="38"/>
      <c r="BB1374" s="38"/>
      <c r="BC1374" s="38"/>
      <c r="BD1374" s="38"/>
      <c r="BE1374" s="38"/>
      <c r="BF1374" s="38"/>
      <c r="BG1374" s="38"/>
      <c r="BH1374" s="38"/>
      <c r="BI1374" s="38"/>
      <c r="BJ1374" s="38"/>
      <c r="BK1374" s="38"/>
      <c r="BL1374" s="38"/>
      <c r="BM1374" s="38"/>
      <c r="BN1374" s="38"/>
      <c r="BO1374" s="38"/>
      <c r="BP1374" s="38"/>
      <c r="BQ1374" s="38"/>
    </row>
    <row r="1375">
      <c r="B1375" s="341"/>
      <c r="C1375" s="60"/>
      <c r="D1375" s="60"/>
      <c r="E1375" s="58"/>
      <c r="F1375" s="58"/>
      <c r="G1375" s="58"/>
      <c r="H1375" s="33" t="str">
        <f t="shared" si="33"/>
        <v/>
      </c>
      <c r="I1375" s="58"/>
      <c r="J1375" s="58"/>
      <c r="K1375" s="58"/>
      <c r="L1375" s="58"/>
      <c r="M1375" s="80"/>
      <c r="N1375" s="80"/>
      <c r="O1375" s="62"/>
      <c r="P1375" s="58"/>
      <c r="Q1375" s="58"/>
      <c r="R1375" s="62"/>
      <c r="S1375" s="37" t="str">
        <f>IFERROR(__xludf.DUMMYFUNCTION("if(not(iserror(index(split(C1375, "" ""),2))), index(split(C1375, "" ""),1),"""")"),"")</f>
        <v/>
      </c>
      <c r="T1375" s="315" t="str">
        <f>IFERROR(__xludf.DUMMYFUNCTION("if(S1375="""",C1375,if(not(iserror(index(split(C1375, "" ""),3))), index(split(C1375, "" ""),3),index(split(C1375, "" ""),2)))"),"")</f>
        <v/>
      </c>
      <c r="U1375" s="38" t="b">
        <f t="shared" si="34"/>
        <v>0</v>
      </c>
      <c r="V1375" s="38"/>
      <c r="W1375" s="40"/>
      <c r="X1375" s="40"/>
      <c r="Y1375" s="38"/>
      <c r="Z1375" s="38"/>
      <c r="AA1375" s="38"/>
      <c r="AB1375" s="38"/>
      <c r="AC1375" s="38"/>
      <c r="AD1375" s="38"/>
      <c r="AE1375" s="38"/>
      <c r="AF1375" s="38"/>
      <c r="AG1375" s="38"/>
      <c r="AH1375" s="38"/>
      <c r="AI1375" s="38"/>
      <c r="AJ1375" s="38"/>
      <c r="AK1375" s="38"/>
      <c r="AL1375" s="38"/>
      <c r="AM1375" s="38"/>
      <c r="AN1375" s="38"/>
      <c r="AO1375" s="38"/>
      <c r="AP1375" s="38"/>
      <c r="AQ1375" s="38"/>
      <c r="AR1375" s="38"/>
      <c r="AS1375" s="38"/>
      <c r="AT1375" s="38"/>
      <c r="AU1375" s="38"/>
      <c r="AV1375" s="38"/>
      <c r="AW1375" s="38"/>
      <c r="AX1375" s="38"/>
      <c r="AY1375" s="38"/>
      <c r="AZ1375" s="38"/>
      <c r="BA1375" s="38"/>
      <c r="BB1375" s="38"/>
      <c r="BC1375" s="38"/>
      <c r="BD1375" s="38"/>
      <c r="BE1375" s="38"/>
      <c r="BF1375" s="38"/>
      <c r="BG1375" s="38"/>
      <c r="BH1375" s="38"/>
      <c r="BI1375" s="38"/>
      <c r="BJ1375" s="38"/>
      <c r="BK1375" s="38"/>
      <c r="BL1375" s="38"/>
      <c r="BM1375" s="38"/>
      <c r="BN1375" s="38"/>
      <c r="BO1375" s="38"/>
      <c r="BP1375" s="38"/>
      <c r="BQ1375" s="38"/>
    </row>
    <row r="1376">
      <c r="A1376" s="58"/>
      <c r="B1376" s="341"/>
      <c r="C1376" s="60"/>
      <c r="D1376" s="60"/>
      <c r="E1376" s="58"/>
      <c r="F1376" s="58"/>
      <c r="G1376" s="58"/>
      <c r="H1376" s="33" t="str">
        <f t="shared" si="33"/>
        <v/>
      </c>
      <c r="I1376" s="58"/>
      <c r="J1376" s="58"/>
      <c r="K1376" s="58"/>
      <c r="L1376" s="58"/>
      <c r="M1376" s="80"/>
      <c r="N1376" s="80"/>
      <c r="O1376" s="62"/>
      <c r="P1376" s="58"/>
      <c r="Q1376" s="58"/>
      <c r="R1376" s="62"/>
      <c r="S1376" s="37" t="str">
        <f>IFERROR(__xludf.DUMMYFUNCTION("if(not(iserror(index(split(C1376, "" ""),2))), index(split(C1376, "" ""),1),"""")"),"")</f>
        <v/>
      </c>
      <c r="T1376" s="315" t="str">
        <f>IFERROR(__xludf.DUMMYFUNCTION("if(S1376="""",C1376,if(not(iserror(index(split(C1376, "" ""),3))), index(split(C1376, "" ""),3),index(split(C1376, "" ""),2)))"),"")</f>
        <v/>
      </c>
      <c r="U1376" s="38" t="b">
        <f t="shared" si="34"/>
        <v>0</v>
      </c>
      <c r="V1376" s="38"/>
      <c r="W1376" s="40"/>
      <c r="X1376" s="40"/>
      <c r="Y1376" s="38"/>
      <c r="Z1376" s="38"/>
      <c r="AA1376" s="38"/>
      <c r="AB1376" s="38"/>
      <c r="AC1376" s="38"/>
      <c r="AD1376" s="38"/>
      <c r="AE1376" s="38"/>
      <c r="AF1376" s="38"/>
      <c r="AG1376" s="38"/>
      <c r="AH1376" s="38"/>
      <c r="AI1376" s="38"/>
      <c r="AJ1376" s="38"/>
      <c r="AK1376" s="38"/>
      <c r="AL1376" s="38"/>
      <c r="AM1376" s="38"/>
      <c r="AN1376" s="38"/>
      <c r="AO1376" s="38"/>
      <c r="AP1376" s="38"/>
      <c r="AQ1376" s="38"/>
      <c r="AR1376" s="38"/>
      <c r="AS1376" s="38"/>
      <c r="AT1376" s="38"/>
      <c r="AU1376" s="38"/>
      <c r="AV1376" s="38"/>
      <c r="AW1376" s="38"/>
      <c r="AX1376" s="38"/>
      <c r="AY1376" s="38"/>
      <c r="AZ1376" s="38"/>
      <c r="BA1376" s="38"/>
      <c r="BB1376" s="38"/>
      <c r="BC1376" s="38"/>
      <c r="BD1376" s="38"/>
      <c r="BE1376" s="38"/>
      <c r="BF1376" s="38"/>
      <c r="BG1376" s="38"/>
      <c r="BH1376" s="38"/>
      <c r="BI1376" s="38"/>
      <c r="BJ1376" s="38"/>
      <c r="BK1376" s="38"/>
      <c r="BL1376" s="38"/>
      <c r="BM1376" s="38"/>
      <c r="BN1376" s="38"/>
      <c r="BO1376" s="38"/>
      <c r="BP1376" s="38"/>
      <c r="BQ1376" s="38"/>
    </row>
    <row r="1377">
      <c r="A1377" s="58"/>
      <c r="B1377" s="341"/>
      <c r="C1377" s="60"/>
      <c r="D1377" s="60"/>
      <c r="E1377" s="58"/>
      <c r="F1377" s="58"/>
      <c r="G1377" s="58"/>
      <c r="H1377" s="33" t="str">
        <f t="shared" si="33"/>
        <v/>
      </c>
      <c r="I1377" s="58"/>
      <c r="J1377" s="58"/>
      <c r="K1377" s="58"/>
      <c r="L1377" s="58"/>
      <c r="M1377" s="80"/>
      <c r="N1377" s="80"/>
      <c r="O1377" s="62"/>
      <c r="P1377" s="58"/>
      <c r="Q1377" s="58"/>
      <c r="R1377" s="62"/>
      <c r="S1377" s="37" t="str">
        <f>IFERROR(__xludf.DUMMYFUNCTION("if(not(iserror(index(split(C1377, "" ""),2))), index(split(C1377, "" ""),1),"""")"),"")</f>
        <v/>
      </c>
      <c r="T1377" s="315" t="str">
        <f>IFERROR(__xludf.DUMMYFUNCTION("if(S1377="""",C1377,if(not(iserror(index(split(C1377, "" ""),3))), index(split(C1377, "" ""),3),index(split(C1377, "" ""),2)))"),"")</f>
        <v/>
      </c>
      <c r="U1377" s="38" t="b">
        <f t="shared" si="34"/>
        <v>0</v>
      </c>
      <c r="V1377" s="38"/>
      <c r="W1377" s="40"/>
      <c r="X1377" s="40"/>
      <c r="Y1377" s="38"/>
      <c r="Z1377" s="38"/>
      <c r="AA1377" s="38"/>
      <c r="AB1377" s="38"/>
      <c r="AC1377" s="38"/>
      <c r="AD1377" s="38"/>
      <c r="AE1377" s="38"/>
      <c r="AF1377" s="38"/>
      <c r="AG1377" s="38"/>
      <c r="AH1377" s="38"/>
      <c r="AI1377" s="38"/>
      <c r="AJ1377" s="38"/>
      <c r="AK1377" s="38"/>
      <c r="AL1377" s="38"/>
      <c r="AM1377" s="38"/>
      <c r="AN1377" s="38"/>
      <c r="AO1377" s="38"/>
      <c r="AP1377" s="38"/>
      <c r="AQ1377" s="38"/>
      <c r="AR1377" s="38"/>
      <c r="AS1377" s="38"/>
      <c r="AT1377" s="38"/>
      <c r="AU1377" s="38"/>
      <c r="AV1377" s="38"/>
      <c r="AW1377" s="38"/>
      <c r="AX1377" s="38"/>
      <c r="AY1377" s="38"/>
      <c r="AZ1377" s="38"/>
      <c r="BA1377" s="38"/>
      <c r="BB1377" s="38"/>
      <c r="BC1377" s="38"/>
      <c r="BD1377" s="38"/>
      <c r="BE1377" s="38"/>
      <c r="BF1377" s="38"/>
      <c r="BG1377" s="38"/>
      <c r="BH1377" s="38"/>
      <c r="BI1377" s="38"/>
      <c r="BJ1377" s="38"/>
      <c r="BK1377" s="38"/>
      <c r="BL1377" s="38"/>
      <c r="BM1377" s="38"/>
      <c r="BN1377" s="38"/>
      <c r="BO1377" s="38"/>
      <c r="BP1377" s="38"/>
      <c r="BQ1377" s="38"/>
    </row>
    <row r="1378">
      <c r="A1378" s="58"/>
      <c r="B1378" s="341"/>
      <c r="C1378" s="60"/>
      <c r="D1378" s="60"/>
      <c r="E1378" s="58"/>
      <c r="F1378" s="58"/>
      <c r="G1378" s="58"/>
      <c r="H1378" s="33" t="str">
        <f t="shared" si="33"/>
        <v/>
      </c>
      <c r="I1378" s="58"/>
      <c r="J1378" s="58"/>
      <c r="K1378" s="58"/>
      <c r="L1378" s="58"/>
      <c r="M1378" s="80"/>
      <c r="N1378" s="80"/>
      <c r="O1378" s="62"/>
      <c r="P1378" s="58"/>
      <c r="Q1378" s="58"/>
      <c r="R1378" s="62"/>
      <c r="S1378" s="37" t="str">
        <f>IFERROR(__xludf.DUMMYFUNCTION("if(not(iserror(index(split(C1378, "" ""),2))), index(split(C1378, "" ""),1),"""")"),"")</f>
        <v/>
      </c>
      <c r="T1378" s="315" t="str">
        <f>IFERROR(__xludf.DUMMYFUNCTION("if(S1378="""",C1378,if(not(iserror(index(split(C1378, "" ""),3))), index(split(C1378, "" ""),3),index(split(C1378, "" ""),2)))"),"")</f>
        <v/>
      </c>
      <c r="U1378" s="38" t="b">
        <f t="shared" si="34"/>
        <v>0</v>
      </c>
      <c r="V1378" s="38"/>
      <c r="W1378" s="40"/>
      <c r="X1378" s="40"/>
      <c r="Y1378" s="38"/>
      <c r="Z1378" s="38"/>
      <c r="AA1378" s="38"/>
      <c r="AB1378" s="38"/>
      <c r="AC1378" s="38"/>
      <c r="AD1378" s="38"/>
      <c r="AE1378" s="38"/>
      <c r="AF1378" s="38"/>
      <c r="AG1378" s="38"/>
      <c r="AH1378" s="38"/>
      <c r="AI1378" s="38"/>
      <c r="AJ1378" s="38"/>
      <c r="AK1378" s="38"/>
      <c r="AL1378" s="38"/>
      <c r="AM1378" s="38"/>
      <c r="AN1378" s="38"/>
      <c r="AO1378" s="38"/>
      <c r="AP1378" s="38"/>
      <c r="AQ1378" s="38"/>
      <c r="AR1378" s="38"/>
      <c r="AS1378" s="38"/>
      <c r="AT1378" s="38"/>
      <c r="AU1378" s="38"/>
      <c r="AV1378" s="38"/>
      <c r="AW1378" s="38"/>
      <c r="AX1378" s="38"/>
      <c r="AY1378" s="38"/>
      <c r="AZ1378" s="38"/>
      <c r="BA1378" s="38"/>
      <c r="BB1378" s="38"/>
      <c r="BC1378" s="38"/>
      <c r="BD1378" s="38"/>
      <c r="BE1378" s="38"/>
      <c r="BF1378" s="38"/>
      <c r="BG1378" s="38"/>
      <c r="BH1378" s="38"/>
      <c r="BI1378" s="38"/>
      <c r="BJ1378" s="38"/>
      <c r="BK1378" s="38"/>
      <c r="BL1378" s="38"/>
      <c r="BM1378" s="38"/>
      <c r="BN1378" s="38"/>
      <c r="BO1378" s="38"/>
      <c r="BP1378" s="38"/>
      <c r="BQ1378" s="38"/>
    </row>
    <row r="1379">
      <c r="A1379" s="58"/>
      <c r="B1379" s="341"/>
      <c r="C1379" s="60"/>
      <c r="D1379" s="60"/>
      <c r="E1379" s="58"/>
      <c r="F1379" s="58"/>
      <c r="G1379" s="58"/>
      <c r="H1379" s="33" t="str">
        <f t="shared" si="33"/>
        <v/>
      </c>
      <c r="I1379" s="58"/>
      <c r="J1379" s="58"/>
      <c r="K1379" s="58"/>
      <c r="L1379" s="58"/>
      <c r="M1379" s="80"/>
      <c r="N1379" s="77"/>
      <c r="O1379" s="62"/>
      <c r="P1379" s="62"/>
      <c r="Q1379" s="62"/>
      <c r="R1379" s="62"/>
      <c r="S1379" s="37" t="str">
        <f>IFERROR(__xludf.DUMMYFUNCTION("if(not(iserror(index(split(C1379, "" ""),2))), index(split(C1379, "" ""),1),"""")"),"")</f>
        <v/>
      </c>
      <c r="T1379" s="315" t="str">
        <f>IFERROR(__xludf.DUMMYFUNCTION("if(S1379="""",C1379,if(not(iserror(index(split(C1379, "" ""),3))), index(split(C1379, "" ""),3),index(split(C1379, "" ""),2)))"),"")</f>
        <v/>
      </c>
      <c r="U1379" s="38" t="b">
        <f t="shared" si="34"/>
        <v>0</v>
      </c>
      <c r="V1379" s="38"/>
      <c r="W1379" s="40"/>
      <c r="X1379" s="40"/>
      <c r="Y1379" s="38"/>
      <c r="Z1379" s="38"/>
      <c r="AA1379" s="38"/>
      <c r="AB1379" s="38"/>
      <c r="AC1379" s="38"/>
      <c r="AD1379" s="38"/>
      <c r="AE1379" s="38"/>
      <c r="AF1379" s="38"/>
      <c r="AG1379" s="38"/>
      <c r="AH1379" s="38"/>
      <c r="AI1379" s="38"/>
      <c r="AJ1379" s="38"/>
      <c r="AK1379" s="38"/>
      <c r="AL1379" s="38"/>
      <c r="AM1379" s="38"/>
      <c r="AN1379" s="38"/>
      <c r="AO1379" s="38"/>
      <c r="AP1379" s="38"/>
      <c r="AQ1379" s="38"/>
      <c r="AR1379" s="38"/>
      <c r="AS1379" s="38"/>
      <c r="AT1379" s="38"/>
      <c r="AU1379" s="38"/>
      <c r="AV1379" s="38"/>
      <c r="AW1379" s="38"/>
      <c r="AX1379" s="38"/>
      <c r="AY1379" s="38"/>
      <c r="AZ1379" s="38"/>
      <c r="BA1379" s="38"/>
      <c r="BB1379" s="38"/>
      <c r="BC1379" s="38"/>
      <c r="BD1379" s="38"/>
      <c r="BE1379" s="38"/>
      <c r="BF1379" s="38"/>
      <c r="BG1379" s="38"/>
      <c r="BH1379" s="38"/>
      <c r="BI1379" s="38"/>
      <c r="BJ1379" s="38"/>
      <c r="BK1379" s="38"/>
      <c r="BL1379" s="38"/>
      <c r="BM1379" s="38"/>
      <c r="BN1379" s="38"/>
      <c r="BO1379" s="38"/>
      <c r="BP1379" s="38"/>
      <c r="BQ1379" s="38"/>
    </row>
    <row r="1380">
      <c r="A1380" s="58"/>
      <c r="B1380" s="341"/>
      <c r="C1380" s="60"/>
      <c r="D1380" s="60"/>
      <c r="E1380" s="58"/>
      <c r="F1380" s="58"/>
      <c r="G1380" s="58"/>
      <c r="H1380" s="33" t="str">
        <f t="shared" si="33"/>
        <v/>
      </c>
      <c r="I1380" s="58"/>
      <c r="J1380" s="58"/>
      <c r="K1380" s="58"/>
      <c r="L1380" s="58"/>
      <c r="M1380" s="80"/>
      <c r="N1380" s="77"/>
      <c r="O1380" s="62"/>
      <c r="P1380" s="62"/>
      <c r="Q1380" s="62"/>
      <c r="R1380" s="62"/>
      <c r="S1380" s="37" t="str">
        <f>IFERROR(__xludf.DUMMYFUNCTION("if(not(iserror(index(split(C1380, "" ""),2))), index(split(C1380, "" ""),1),"""")"),"")</f>
        <v/>
      </c>
      <c r="T1380" s="315" t="str">
        <f>IFERROR(__xludf.DUMMYFUNCTION("if(S1380="""",C1380,if(not(iserror(index(split(C1380, "" ""),3))), index(split(C1380, "" ""),3),index(split(C1380, "" ""),2)))"),"")</f>
        <v/>
      </c>
      <c r="U1380" s="38" t="b">
        <f t="shared" si="34"/>
        <v>0</v>
      </c>
      <c r="V1380" s="38"/>
      <c r="W1380" s="40"/>
      <c r="X1380" s="40"/>
      <c r="Y1380" s="38"/>
      <c r="Z1380" s="38"/>
      <c r="AA1380" s="38"/>
      <c r="AB1380" s="38"/>
      <c r="AC1380" s="38"/>
      <c r="AD1380" s="38"/>
      <c r="AE1380" s="38"/>
      <c r="AF1380" s="38"/>
      <c r="AG1380" s="38"/>
      <c r="AH1380" s="38"/>
      <c r="AI1380" s="38"/>
      <c r="AJ1380" s="38"/>
      <c r="AK1380" s="38"/>
      <c r="AL1380" s="38"/>
      <c r="AM1380" s="38"/>
      <c r="AN1380" s="38"/>
      <c r="AO1380" s="38"/>
      <c r="AP1380" s="38"/>
      <c r="AQ1380" s="38"/>
      <c r="AR1380" s="38"/>
      <c r="AS1380" s="38"/>
      <c r="AT1380" s="38"/>
      <c r="AU1380" s="38"/>
      <c r="AV1380" s="38"/>
      <c r="AW1380" s="38"/>
      <c r="AX1380" s="38"/>
      <c r="AY1380" s="38"/>
      <c r="AZ1380" s="38"/>
      <c r="BA1380" s="38"/>
      <c r="BB1380" s="38"/>
      <c r="BC1380" s="38"/>
      <c r="BD1380" s="38"/>
      <c r="BE1380" s="38"/>
      <c r="BF1380" s="38"/>
      <c r="BG1380" s="38"/>
      <c r="BH1380" s="38"/>
      <c r="BI1380" s="38"/>
      <c r="BJ1380" s="38"/>
      <c r="BK1380" s="38"/>
      <c r="BL1380" s="38"/>
      <c r="BM1380" s="38"/>
      <c r="BN1380" s="38"/>
      <c r="BO1380" s="38"/>
      <c r="BP1380" s="38"/>
      <c r="BQ1380" s="38"/>
    </row>
    <row r="1381">
      <c r="A1381" s="58"/>
      <c r="B1381" s="341"/>
      <c r="C1381" s="60"/>
      <c r="D1381" s="60"/>
      <c r="E1381" s="58"/>
      <c r="F1381" s="58"/>
      <c r="G1381" s="58"/>
      <c r="H1381" s="33" t="str">
        <f t="shared" si="33"/>
        <v/>
      </c>
      <c r="I1381" s="58"/>
      <c r="J1381" s="58"/>
      <c r="K1381" s="58"/>
      <c r="L1381" s="58"/>
      <c r="M1381" s="80"/>
      <c r="N1381" s="77"/>
      <c r="O1381" s="62"/>
      <c r="P1381" s="62"/>
      <c r="Q1381" s="62"/>
      <c r="R1381" s="62"/>
      <c r="S1381" s="37" t="str">
        <f>IFERROR(__xludf.DUMMYFUNCTION("if(not(iserror(index(split(C1381, "" ""),2))), index(split(C1381, "" ""),1),"""")"),"")</f>
        <v/>
      </c>
      <c r="T1381" s="315" t="str">
        <f>IFERROR(__xludf.DUMMYFUNCTION("if(S1381="""",C1381,if(not(iserror(index(split(C1381, "" ""),3))), index(split(C1381, "" ""),3),index(split(C1381, "" ""),2)))"),"")</f>
        <v/>
      </c>
      <c r="U1381" s="38" t="b">
        <f t="shared" si="34"/>
        <v>0</v>
      </c>
      <c r="V1381" s="38"/>
      <c r="W1381" s="40"/>
      <c r="X1381" s="40"/>
      <c r="Y1381" s="38"/>
      <c r="Z1381" s="38"/>
      <c r="AA1381" s="38"/>
      <c r="AB1381" s="38"/>
      <c r="AC1381" s="38"/>
      <c r="AD1381" s="38"/>
      <c r="AE1381" s="38"/>
      <c r="AF1381" s="38"/>
      <c r="AG1381" s="38"/>
      <c r="AH1381" s="38"/>
      <c r="AI1381" s="38"/>
      <c r="AJ1381" s="38"/>
      <c r="AK1381" s="38"/>
      <c r="AL1381" s="38"/>
      <c r="AM1381" s="38"/>
      <c r="AN1381" s="38"/>
      <c r="AO1381" s="38"/>
      <c r="AP1381" s="38"/>
      <c r="AQ1381" s="38"/>
      <c r="AR1381" s="38"/>
      <c r="AS1381" s="38"/>
      <c r="AT1381" s="38"/>
      <c r="AU1381" s="38"/>
      <c r="AV1381" s="38"/>
      <c r="AW1381" s="38"/>
      <c r="AX1381" s="38"/>
      <c r="AY1381" s="38"/>
      <c r="AZ1381" s="38"/>
      <c r="BA1381" s="38"/>
      <c r="BB1381" s="38"/>
      <c r="BC1381" s="38"/>
      <c r="BD1381" s="38"/>
      <c r="BE1381" s="38"/>
      <c r="BF1381" s="38"/>
      <c r="BG1381" s="38"/>
      <c r="BH1381" s="38"/>
      <c r="BI1381" s="38"/>
      <c r="BJ1381" s="38"/>
      <c r="BK1381" s="38"/>
      <c r="BL1381" s="38"/>
      <c r="BM1381" s="38"/>
      <c r="BN1381" s="38"/>
      <c r="BO1381" s="38"/>
      <c r="BP1381" s="38"/>
      <c r="BQ1381" s="38"/>
    </row>
    <row r="1382">
      <c r="A1382" s="58"/>
      <c r="B1382" s="341"/>
      <c r="C1382" s="60"/>
      <c r="D1382" s="60"/>
      <c r="E1382" s="58"/>
      <c r="F1382" s="58"/>
      <c r="G1382" s="58"/>
      <c r="H1382" s="33" t="str">
        <f t="shared" si="33"/>
        <v/>
      </c>
      <c r="I1382" s="58"/>
      <c r="J1382" s="58"/>
      <c r="K1382" s="58"/>
      <c r="L1382" s="58"/>
      <c r="M1382" s="80"/>
      <c r="N1382" s="77"/>
      <c r="O1382" s="62"/>
      <c r="P1382" s="62"/>
      <c r="Q1382" s="62"/>
      <c r="R1382" s="62"/>
      <c r="S1382" s="37" t="str">
        <f>IFERROR(__xludf.DUMMYFUNCTION("if(not(iserror(index(split(C1382, "" ""),2))), index(split(C1382, "" ""),1),"""")"),"")</f>
        <v/>
      </c>
      <c r="T1382" s="315" t="str">
        <f>IFERROR(__xludf.DUMMYFUNCTION("if(S1382="""",C1382,if(not(iserror(index(split(C1382, "" ""),3))), index(split(C1382, "" ""),3),index(split(C1382, "" ""),2)))"),"")</f>
        <v/>
      </c>
      <c r="U1382" s="38" t="b">
        <f t="shared" si="34"/>
        <v>0</v>
      </c>
      <c r="V1382" s="38"/>
      <c r="W1382" s="40"/>
      <c r="X1382" s="40"/>
      <c r="Y1382" s="38"/>
      <c r="Z1382" s="38"/>
      <c r="AA1382" s="38"/>
      <c r="AB1382" s="38"/>
      <c r="AC1382" s="38"/>
      <c r="AD1382" s="38"/>
      <c r="AE1382" s="38"/>
      <c r="AF1382" s="38"/>
      <c r="AG1382" s="38"/>
      <c r="AH1382" s="38"/>
      <c r="AI1382" s="38"/>
      <c r="AJ1382" s="38"/>
      <c r="AK1382" s="38"/>
      <c r="AL1382" s="38"/>
      <c r="AM1382" s="38"/>
      <c r="AN1382" s="38"/>
      <c r="AO1382" s="38"/>
      <c r="AP1382" s="38"/>
      <c r="AQ1382" s="38"/>
      <c r="AR1382" s="38"/>
      <c r="AS1382" s="38"/>
      <c r="AT1382" s="38"/>
      <c r="AU1382" s="38"/>
      <c r="AV1382" s="38"/>
      <c r="AW1382" s="38"/>
      <c r="AX1382" s="38"/>
      <c r="AY1382" s="38"/>
      <c r="AZ1382" s="38"/>
      <c r="BA1382" s="38"/>
      <c r="BB1382" s="38"/>
      <c r="BC1382" s="38"/>
      <c r="BD1382" s="38"/>
      <c r="BE1382" s="38"/>
      <c r="BF1382" s="38"/>
      <c r="BG1382" s="38"/>
      <c r="BH1382" s="38"/>
      <c r="BI1382" s="38"/>
      <c r="BJ1382" s="38"/>
      <c r="BK1382" s="38"/>
      <c r="BL1382" s="38"/>
      <c r="BM1382" s="38"/>
      <c r="BN1382" s="38"/>
      <c r="BO1382" s="38"/>
      <c r="BP1382" s="38"/>
      <c r="BQ1382" s="38"/>
    </row>
    <row r="1383">
      <c r="A1383" s="58"/>
      <c r="B1383" s="341"/>
      <c r="C1383" s="60"/>
      <c r="D1383" s="60"/>
      <c r="E1383" s="58"/>
      <c r="F1383" s="58"/>
      <c r="G1383" s="58"/>
      <c r="H1383" s="33" t="str">
        <f t="shared" si="33"/>
        <v/>
      </c>
      <c r="I1383" s="58"/>
      <c r="J1383" s="58"/>
      <c r="K1383" s="58"/>
      <c r="L1383" s="58"/>
      <c r="M1383" s="80"/>
      <c r="N1383" s="77"/>
      <c r="O1383" s="62"/>
      <c r="P1383" s="62"/>
      <c r="Q1383" s="62"/>
      <c r="R1383" s="62"/>
      <c r="S1383" s="37" t="str">
        <f>IFERROR(__xludf.DUMMYFUNCTION("if(not(iserror(index(split(C1383, "" ""),2))), index(split(C1383, "" ""),1),"""")"),"")</f>
        <v/>
      </c>
      <c r="T1383" s="315" t="str">
        <f>IFERROR(__xludf.DUMMYFUNCTION("if(S1383="""",C1383,if(not(iserror(index(split(C1383, "" ""),3))), index(split(C1383, "" ""),3),index(split(C1383, "" ""),2)))"),"")</f>
        <v/>
      </c>
      <c r="U1383" s="38" t="b">
        <f t="shared" si="34"/>
        <v>0</v>
      </c>
      <c r="V1383" s="38"/>
      <c r="W1383" s="40"/>
      <c r="X1383" s="40"/>
      <c r="Y1383" s="38"/>
      <c r="Z1383" s="38"/>
      <c r="AA1383" s="38"/>
      <c r="AB1383" s="38"/>
      <c r="AC1383" s="38"/>
      <c r="AD1383" s="38"/>
      <c r="AE1383" s="38"/>
      <c r="AF1383" s="38"/>
      <c r="AG1383" s="38"/>
      <c r="AH1383" s="38"/>
      <c r="AI1383" s="38"/>
      <c r="AJ1383" s="38"/>
      <c r="AK1383" s="38"/>
      <c r="AL1383" s="38"/>
      <c r="AM1383" s="38"/>
      <c r="AN1383" s="38"/>
      <c r="AO1383" s="38"/>
      <c r="AP1383" s="38"/>
      <c r="AQ1383" s="38"/>
      <c r="AR1383" s="38"/>
      <c r="AS1383" s="38"/>
      <c r="AT1383" s="38"/>
      <c r="AU1383" s="38"/>
      <c r="AV1383" s="38"/>
      <c r="AW1383" s="38"/>
      <c r="AX1383" s="38"/>
      <c r="AY1383" s="38"/>
      <c r="AZ1383" s="38"/>
      <c r="BA1383" s="38"/>
      <c r="BB1383" s="38"/>
      <c r="BC1383" s="38"/>
      <c r="BD1383" s="38"/>
      <c r="BE1383" s="38"/>
      <c r="BF1383" s="38"/>
      <c r="BG1383" s="38"/>
      <c r="BH1383" s="38"/>
      <c r="BI1383" s="38"/>
      <c r="BJ1383" s="38"/>
      <c r="BK1383" s="38"/>
      <c r="BL1383" s="38"/>
      <c r="BM1383" s="38"/>
      <c r="BN1383" s="38"/>
      <c r="BO1383" s="38"/>
      <c r="BP1383" s="38"/>
      <c r="BQ1383" s="38"/>
    </row>
    <row r="1384">
      <c r="A1384" s="58"/>
      <c r="B1384" s="341"/>
      <c r="C1384" s="60"/>
      <c r="D1384" s="60"/>
      <c r="E1384" s="58"/>
      <c r="F1384" s="58"/>
      <c r="G1384" s="58"/>
      <c r="H1384" s="33" t="str">
        <f t="shared" si="33"/>
        <v/>
      </c>
      <c r="I1384" s="58"/>
      <c r="J1384" s="58"/>
      <c r="K1384" s="58"/>
      <c r="L1384" s="58"/>
      <c r="M1384" s="80"/>
      <c r="N1384" s="77"/>
      <c r="O1384" s="62"/>
      <c r="P1384" s="62"/>
      <c r="Q1384" s="62"/>
      <c r="R1384" s="62"/>
      <c r="S1384" s="37" t="str">
        <f>IFERROR(__xludf.DUMMYFUNCTION("if(not(iserror(index(split(C1384, "" ""),2))), index(split(C1384, "" ""),1),"""")"),"")</f>
        <v/>
      </c>
      <c r="T1384" s="315" t="str">
        <f>IFERROR(__xludf.DUMMYFUNCTION("if(S1384="""",C1384,if(not(iserror(index(split(C1384, "" ""),3))), index(split(C1384, "" ""),3),index(split(C1384, "" ""),2)))"),"")</f>
        <v/>
      </c>
      <c r="U1384" s="38" t="b">
        <f t="shared" si="34"/>
        <v>0</v>
      </c>
      <c r="V1384" s="38"/>
      <c r="W1384" s="40"/>
      <c r="X1384" s="40"/>
      <c r="Y1384" s="38"/>
      <c r="Z1384" s="38"/>
      <c r="AA1384" s="38"/>
      <c r="AB1384" s="38"/>
      <c r="AC1384" s="38"/>
      <c r="AD1384" s="38"/>
      <c r="AE1384" s="38"/>
      <c r="AF1384" s="38"/>
      <c r="AG1384" s="38"/>
      <c r="AH1384" s="38"/>
      <c r="AI1384" s="38"/>
      <c r="AJ1384" s="38"/>
      <c r="AK1384" s="38"/>
      <c r="AL1384" s="38"/>
      <c r="AM1384" s="38"/>
      <c r="AN1384" s="38"/>
      <c r="AO1384" s="38"/>
      <c r="AP1384" s="38"/>
      <c r="AQ1384" s="38"/>
      <c r="AR1384" s="38"/>
      <c r="AS1384" s="38"/>
      <c r="AT1384" s="38"/>
      <c r="AU1384" s="38"/>
      <c r="AV1384" s="38"/>
      <c r="AW1384" s="38"/>
      <c r="AX1384" s="38"/>
      <c r="AY1384" s="38"/>
      <c r="AZ1384" s="38"/>
      <c r="BA1384" s="38"/>
      <c r="BB1384" s="38"/>
      <c r="BC1384" s="38"/>
      <c r="BD1384" s="38"/>
      <c r="BE1384" s="38"/>
      <c r="BF1384" s="38"/>
      <c r="BG1384" s="38"/>
      <c r="BH1384" s="38"/>
      <c r="BI1384" s="38"/>
      <c r="BJ1384" s="38"/>
      <c r="BK1384" s="38"/>
      <c r="BL1384" s="38"/>
      <c r="BM1384" s="38"/>
      <c r="BN1384" s="38"/>
      <c r="BO1384" s="38"/>
      <c r="BP1384" s="38"/>
      <c r="BQ1384" s="38"/>
    </row>
    <row r="1385">
      <c r="A1385" s="58"/>
      <c r="B1385" s="341"/>
      <c r="C1385" s="60"/>
      <c r="D1385" s="60"/>
      <c r="E1385" s="58"/>
      <c r="F1385" s="58"/>
      <c r="G1385" s="58"/>
      <c r="H1385" s="33" t="str">
        <f t="shared" si="33"/>
        <v/>
      </c>
      <c r="I1385" s="58"/>
      <c r="J1385" s="58"/>
      <c r="K1385" s="58"/>
      <c r="L1385" s="58"/>
      <c r="M1385" s="80"/>
      <c r="N1385" s="77"/>
      <c r="O1385" s="62"/>
      <c r="P1385" s="62"/>
      <c r="Q1385" s="62"/>
      <c r="R1385" s="62"/>
      <c r="S1385" s="37" t="str">
        <f>IFERROR(__xludf.DUMMYFUNCTION("if(not(iserror(index(split(C1385, "" ""),2))), index(split(C1385, "" ""),1),"""")"),"")</f>
        <v/>
      </c>
      <c r="T1385" s="315" t="str">
        <f>IFERROR(__xludf.DUMMYFUNCTION("if(S1385="""",C1385,if(not(iserror(index(split(C1385, "" ""),3))), index(split(C1385, "" ""),3),index(split(C1385, "" ""),2)))"),"")</f>
        <v/>
      </c>
      <c r="U1385" s="38" t="b">
        <f t="shared" si="34"/>
        <v>0</v>
      </c>
      <c r="V1385" s="38"/>
      <c r="W1385" s="40"/>
      <c r="X1385" s="40"/>
      <c r="Y1385" s="38"/>
      <c r="Z1385" s="38"/>
      <c r="AA1385" s="38"/>
      <c r="AB1385" s="38"/>
      <c r="AC1385" s="38"/>
      <c r="AD1385" s="38"/>
      <c r="AE1385" s="38"/>
      <c r="AF1385" s="38"/>
      <c r="AG1385" s="38"/>
      <c r="AH1385" s="38"/>
      <c r="AI1385" s="38"/>
      <c r="AJ1385" s="38"/>
      <c r="AK1385" s="38"/>
      <c r="AL1385" s="38"/>
      <c r="AM1385" s="38"/>
      <c r="AN1385" s="38"/>
      <c r="AO1385" s="38"/>
      <c r="AP1385" s="38"/>
      <c r="AQ1385" s="38"/>
      <c r="AR1385" s="38"/>
      <c r="AS1385" s="38"/>
      <c r="AT1385" s="38"/>
      <c r="AU1385" s="38"/>
      <c r="AV1385" s="38"/>
      <c r="AW1385" s="38"/>
      <c r="AX1385" s="38"/>
      <c r="AY1385" s="38"/>
      <c r="AZ1385" s="38"/>
      <c r="BA1385" s="38"/>
      <c r="BB1385" s="38"/>
      <c r="BC1385" s="38"/>
      <c r="BD1385" s="38"/>
      <c r="BE1385" s="38"/>
      <c r="BF1385" s="38"/>
      <c r="BG1385" s="38"/>
      <c r="BH1385" s="38"/>
      <c r="BI1385" s="38"/>
      <c r="BJ1385" s="38"/>
      <c r="BK1385" s="38"/>
      <c r="BL1385" s="38"/>
      <c r="BM1385" s="38"/>
      <c r="BN1385" s="38"/>
      <c r="BO1385" s="38"/>
      <c r="BP1385" s="38"/>
      <c r="BQ1385" s="38"/>
    </row>
    <row r="1386">
      <c r="A1386" s="58"/>
      <c r="B1386" s="341"/>
      <c r="C1386" s="60"/>
      <c r="D1386" s="60"/>
      <c r="E1386" s="58"/>
      <c r="F1386" s="58"/>
      <c r="G1386" s="58"/>
      <c r="H1386" s="33" t="str">
        <f t="shared" si="33"/>
        <v/>
      </c>
      <c r="I1386" s="58"/>
      <c r="J1386" s="58"/>
      <c r="K1386" s="58"/>
      <c r="L1386" s="58"/>
      <c r="M1386" s="80"/>
      <c r="N1386" s="77"/>
      <c r="O1386" s="62"/>
      <c r="P1386" s="62"/>
      <c r="Q1386" s="62"/>
      <c r="R1386" s="62"/>
      <c r="S1386" s="37" t="str">
        <f>IFERROR(__xludf.DUMMYFUNCTION("if(not(iserror(index(split(C1386, "" ""),2))), index(split(C1386, "" ""),1),"""")"),"")</f>
        <v/>
      </c>
      <c r="T1386" s="315" t="str">
        <f>IFERROR(__xludf.DUMMYFUNCTION("if(S1386="""",C1386,if(not(iserror(index(split(C1386, "" ""),3))), index(split(C1386, "" ""),3),index(split(C1386, "" ""),2)))"),"")</f>
        <v/>
      </c>
      <c r="U1386" s="38" t="b">
        <f t="shared" si="34"/>
        <v>0</v>
      </c>
      <c r="V1386" s="38"/>
      <c r="W1386" s="40"/>
      <c r="X1386" s="40"/>
      <c r="Y1386" s="38"/>
      <c r="Z1386" s="38"/>
      <c r="AA1386" s="38"/>
      <c r="AB1386" s="38"/>
      <c r="AC1386" s="38"/>
      <c r="AD1386" s="38"/>
      <c r="AE1386" s="38"/>
      <c r="AF1386" s="38"/>
      <c r="AG1386" s="38"/>
      <c r="AH1386" s="38"/>
      <c r="AI1386" s="38"/>
      <c r="AJ1386" s="38"/>
      <c r="AK1386" s="38"/>
      <c r="AL1386" s="38"/>
      <c r="AM1386" s="38"/>
      <c r="AN1386" s="38"/>
      <c r="AO1386" s="38"/>
      <c r="AP1386" s="38"/>
      <c r="AQ1386" s="38"/>
      <c r="AR1386" s="38"/>
      <c r="AS1386" s="38"/>
      <c r="AT1386" s="38"/>
      <c r="AU1386" s="38"/>
      <c r="AV1386" s="38"/>
      <c r="AW1386" s="38"/>
      <c r="AX1386" s="38"/>
      <c r="AY1386" s="38"/>
      <c r="AZ1386" s="38"/>
      <c r="BA1386" s="38"/>
      <c r="BB1386" s="38"/>
      <c r="BC1386" s="38"/>
      <c r="BD1386" s="38"/>
      <c r="BE1386" s="38"/>
      <c r="BF1386" s="38"/>
      <c r="BG1386" s="38"/>
      <c r="BH1386" s="38"/>
      <c r="BI1386" s="38"/>
      <c r="BJ1386" s="38"/>
      <c r="BK1386" s="38"/>
      <c r="BL1386" s="38"/>
      <c r="BM1386" s="38"/>
      <c r="BN1386" s="38"/>
      <c r="BO1386" s="38"/>
      <c r="BP1386" s="38"/>
      <c r="BQ1386" s="38"/>
    </row>
    <row r="1387">
      <c r="B1387" s="341"/>
      <c r="C1387" s="60"/>
      <c r="D1387" s="60"/>
      <c r="E1387" s="58"/>
      <c r="F1387" s="58"/>
      <c r="G1387" s="58"/>
      <c r="H1387" s="33" t="str">
        <f t="shared" si="33"/>
        <v/>
      </c>
      <c r="I1387" s="58"/>
      <c r="J1387" s="58"/>
      <c r="K1387" s="58"/>
      <c r="L1387" s="58"/>
      <c r="M1387" s="80"/>
      <c r="N1387" s="77"/>
      <c r="O1387" s="62"/>
      <c r="P1387" s="62"/>
      <c r="Q1387" s="62"/>
      <c r="R1387" s="62"/>
      <c r="S1387" s="37" t="str">
        <f>IFERROR(__xludf.DUMMYFUNCTION("if(not(iserror(index(split(C1387, "" ""),2))), index(split(C1387, "" ""),1),"""")"),"")</f>
        <v/>
      </c>
      <c r="T1387" s="315" t="str">
        <f>IFERROR(__xludf.DUMMYFUNCTION("if(S1387="""",C1387,if(not(iserror(index(split(C1387, "" ""),3))), index(split(C1387, "" ""),3),index(split(C1387, "" ""),2)))"),"")</f>
        <v/>
      </c>
      <c r="U1387" s="38" t="b">
        <f t="shared" si="34"/>
        <v>0</v>
      </c>
      <c r="V1387" s="38"/>
      <c r="W1387" s="40"/>
      <c r="X1387" s="40"/>
      <c r="Y1387" s="38"/>
      <c r="Z1387" s="38"/>
      <c r="AA1387" s="38"/>
      <c r="AB1387" s="38"/>
      <c r="AC1387" s="38"/>
      <c r="AD1387" s="38"/>
      <c r="AE1387" s="38"/>
      <c r="AF1387" s="38"/>
      <c r="AG1387" s="38"/>
      <c r="AH1387" s="38"/>
      <c r="AI1387" s="38"/>
      <c r="AJ1387" s="38"/>
      <c r="AK1387" s="38"/>
      <c r="AL1387" s="38"/>
      <c r="AM1387" s="38"/>
      <c r="AN1387" s="38"/>
      <c r="AO1387" s="38"/>
      <c r="AP1387" s="38"/>
      <c r="AQ1387" s="38"/>
      <c r="AR1387" s="38"/>
      <c r="AS1387" s="38"/>
      <c r="AT1387" s="38"/>
      <c r="AU1387" s="38"/>
      <c r="AV1387" s="38"/>
      <c r="AW1387" s="38"/>
      <c r="AX1387" s="38"/>
      <c r="AY1387" s="38"/>
      <c r="AZ1387" s="38"/>
      <c r="BA1387" s="38"/>
      <c r="BB1387" s="38"/>
      <c r="BC1387" s="38"/>
      <c r="BD1387" s="38"/>
      <c r="BE1387" s="38"/>
      <c r="BF1387" s="38"/>
      <c r="BG1387" s="38"/>
      <c r="BH1387" s="38"/>
      <c r="BI1387" s="38"/>
      <c r="BJ1387" s="38"/>
      <c r="BK1387" s="38"/>
      <c r="BL1387" s="38"/>
      <c r="BM1387" s="38"/>
      <c r="BN1387" s="38"/>
      <c r="BO1387" s="38"/>
      <c r="BP1387" s="38"/>
      <c r="BQ1387" s="38"/>
    </row>
    <row r="1388">
      <c r="A1388" s="58"/>
      <c r="B1388" s="341"/>
      <c r="C1388" s="60"/>
      <c r="D1388" s="60"/>
      <c r="E1388" s="58"/>
      <c r="F1388" s="58"/>
      <c r="G1388" s="58"/>
      <c r="H1388" s="33" t="str">
        <f t="shared" si="33"/>
        <v/>
      </c>
      <c r="I1388" s="58"/>
      <c r="J1388" s="58"/>
      <c r="K1388" s="58"/>
      <c r="L1388" s="58"/>
      <c r="M1388" s="80"/>
      <c r="N1388" s="77"/>
      <c r="O1388" s="62"/>
      <c r="P1388" s="62"/>
      <c r="Q1388" s="62"/>
      <c r="R1388" s="62"/>
      <c r="S1388" s="37" t="str">
        <f>IFERROR(__xludf.DUMMYFUNCTION("if(not(iserror(index(split(C1388, "" ""),2))), index(split(C1388, "" ""),1),"""")"),"")</f>
        <v/>
      </c>
      <c r="T1388" s="315" t="str">
        <f>IFERROR(__xludf.DUMMYFUNCTION("if(S1388="""",C1388,if(not(iserror(index(split(C1388, "" ""),3))), index(split(C1388, "" ""),3),index(split(C1388, "" ""),2)))"),"")</f>
        <v/>
      </c>
      <c r="U1388" s="38" t="b">
        <f t="shared" si="34"/>
        <v>0</v>
      </c>
      <c r="V1388" s="38"/>
      <c r="W1388" s="40"/>
      <c r="X1388" s="40"/>
      <c r="Y1388" s="38"/>
      <c r="Z1388" s="38"/>
      <c r="AA1388" s="38"/>
      <c r="AB1388" s="38"/>
      <c r="AC1388" s="38"/>
      <c r="AD1388" s="38"/>
      <c r="AE1388" s="38"/>
      <c r="AF1388" s="38"/>
      <c r="AG1388" s="38"/>
      <c r="AH1388" s="38"/>
      <c r="AI1388" s="38"/>
      <c r="AJ1388" s="38"/>
      <c r="AK1388" s="38"/>
      <c r="AL1388" s="38"/>
      <c r="AM1388" s="38"/>
      <c r="AN1388" s="38"/>
      <c r="AO1388" s="38"/>
      <c r="AP1388" s="38"/>
      <c r="AQ1388" s="38"/>
      <c r="AR1388" s="38"/>
      <c r="AS1388" s="38"/>
      <c r="AT1388" s="38"/>
      <c r="AU1388" s="38"/>
      <c r="AV1388" s="38"/>
      <c r="AW1388" s="38"/>
      <c r="AX1388" s="38"/>
      <c r="AY1388" s="38"/>
      <c r="AZ1388" s="38"/>
      <c r="BA1388" s="38"/>
      <c r="BB1388" s="38"/>
      <c r="BC1388" s="38"/>
      <c r="BD1388" s="38"/>
      <c r="BE1388" s="38"/>
      <c r="BF1388" s="38"/>
      <c r="BG1388" s="38"/>
      <c r="BH1388" s="38"/>
      <c r="BI1388" s="38"/>
      <c r="BJ1388" s="38"/>
      <c r="BK1388" s="38"/>
      <c r="BL1388" s="38"/>
      <c r="BM1388" s="38"/>
      <c r="BN1388" s="38"/>
      <c r="BO1388" s="38"/>
      <c r="BP1388" s="38"/>
      <c r="BQ1388" s="38"/>
    </row>
    <row r="1389">
      <c r="A1389" s="58"/>
      <c r="B1389" s="341"/>
      <c r="C1389" s="60"/>
      <c r="D1389" s="60"/>
      <c r="E1389" s="58"/>
      <c r="F1389" s="58"/>
      <c r="G1389" s="58"/>
      <c r="H1389" s="33" t="str">
        <f t="shared" si="33"/>
        <v/>
      </c>
      <c r="I1389" s="58"/>
      <c r="J1389" s="58"/>
      <c r="K1389" s="58"/>
      <c r="L1389" s="58"/>
      <c r="M1389" s="80"/>
      <c r="N1389" s="77"/>
      <c r="O1389" s="58"/>
      <c r="P1389" s="62"/>
      <c r="Q1389" s="84"/>
      <c r="R1389" s="62"/>
      <c r="S1389" s="37" t="str">
        <f>IFERROR(__xludf.DUMMYFUNCTION("if(not(iserror(index(split(C1389, "" ""),2))), index(split(C1389, "" ""),1),"""")"),"")</f>
        <v/>
      </c>
      <c r="T1389" s="315" t="str">
        <f>IFERROR(__xludf.DUMMYFUNCTION("if(S1389="""",C1389,if(not(iserror(index(split(C1389, "" ""),3))), index(split(C1389, "" ""),3),index(split(C1389, "" ""),2)))"),"")</f>
        <v/>
      </c>
      <c r="U1389" s="38" t="b">
        <f t="shared" si="34"/>
        <v>0</v>
      </c>
      <c r="V1389" s="38"/>
      <c r="W1389" s="40"/>
      <c r="X1389" s="40"/>
      <c r="Y1389" s="38"/>
      <c r="Z1389" s="38"/>
      <c r="AA1389" s="38"/>
      <c r="AB1389" s="38"/>
      <c r="AC1389" s="38"/>
      <c r="AD1389" s="38"/>
      <c r="AE1389" s="38"/>
      <c r="AF1389" s="38"/>
      <c r="AG1389" s="38"/>
      <c r="AH1389" s="38"/>
      <c r="AI1389" s="38"/>
      <c r="AJ1389" s="38"/>
      <c r="AK1389" s="38"/>
      <c r="AL1389" s="38"/>
      <c r="AM1389" s="38"/>
      <c r="AN1389" s="38"/>
      <c r="AO1389" s="38"/>
      <c r="AP1389" s="38"/>
      <c r="AQ1389" s="38"/>
      <c r="AR1389" s="38"/>
      <c r="AS1389" s="38"/>
      <c r="AT1389" s="38"/>
      <c r="AU1389" s="38"/>
      <c r="AV1389" s="38"/>
      <c r="AW1389" s="38"/>
      <c r="AX1389" s="38"/>
      <c r="AY1389" s="38"/>
      <c r="AZ1389" s="38"/>
      <c r="BA1389" s="38"/>
      <c r="BB1389" s="38"/>
      <c r="BC1389" s="38"/>
      <c r="BD1389" s="38"/>
      <c r="BE1389" s="38"/>
      <c r="BF1389" s="38"/>
      <c r="BG1389" s="38"/>
      <c r="BH1389" s="38"/>
      <c r="BI1389" s="38"/>
      <c r="BJ1389" s="38"/>
      <c r="BK1389" s="38"/>
      <c r="BL1389" s="38"/>
      <c r="BM1389" s="38"/>
      <c r="BN1389" s="38"/>
      <c r="BO1389" s="38"/>
      <c r="BP1389" s="38"/>
      <c r="BQ1389" s="38"/>
    </row>
    <row r="1390">
      <c r="A1390" s="58"/>
      <c r="B1390" s="341"/>
      <c r="C1390" s="60"/>
      <c r="D1390" s="60"/>
      <c r="E1390" s="58"/>
      <c r="F1390" s="58"/>
      <c r="G1390" s="58"/>
      <c r="H1390" s="33" t="str">
        <f t="shared" si="33"/>
        <v/>
      </c>
      <c r="I1390" s="58"/>
      <c r="J1390" s="58"/>
      <c r="K1390" s="58"/>
      <c r="L1390" s="58"/>
      <c r="M1390" s="80"/>
      <c r="N1390" s="77"/>
      <c r="O1390" s="58"/>
      <c r="P1390" s="62"/>
      <c r="Q1390" s="58"/>
      <c r="R1390" s="62"/>
      <c r="S1390" s="37" t="str">
        <f>IFERROR(__xludf.DUMMYFUNCTION("if(not(iserror(index(split(C1390, "" ""),2))), index(split(C1390, "" ""),1),"""")"),"")</f>
        <v/>
      </c>
      <c r="T1390" s="315" t="str">
        <f>IFERROR(__xludf.DUMMYFUNCTION("if(S1390="""",C1390,if(not(iserror(index(split(C1390, "" ""),3))), index(split(C1390, "" ""),3),index(split(C1390, "" ""),2)))"),"")</f>
        <v/>
      </c>
      <c r="U1390" s="38" t="b">
        <f t="shared" si="34"/>
        <v>0</v>
      </c>
      <c r="V1390" s="38"/>
      <c r="W1390" s="40"/>
      <c r="X1390" s="40"/>
      <c r="Y1390" s="38"/>
      <c r="Z1390" s="38"/>
      <c r="AA1390" s="38"/>
      <c r="AB1390" s="38"/>
      <c r="AC1390" s="38"/>
      <c r="AD1390" s="38"/>
      <c r="AE1390" s="38"/>
      <c r="AF1390" s="38"/>
      <c r="AG1390" s="38"/>
      <c r="AH1390" s="38"/>
      <c r="AI1390" s="38"/>
      <c r="AJ1390" s="38"/>
      <c r="AK1390" s="38"/>
      <c r="AL1390" s="38"/>
      <c r="AM1390" s="38"/>
      <c r="AN1390" s="38"/>
      <c r="AO1390" s="38"/>
      <c r="AP1390" s="38"/>
      <c r="AQ1390" s="38"/>
      <c r="AR1390" s="38"/>
      <c r="AS1390" s="38"/>
      <c r="AT1390" s="38"/>
      <c r="AU1390" s="38"/>
      <c r="AV1390" s="38"/>
      <c r="AW1390" s="38"/>
      <c r="AX1390" s="38"/>
      <c r="AY1390" s="38"/>
      <c r="AZ1390" s="38"/>
      <c r="BA1390" s="38"/>
      <c r="BB1390" s="38"/>
      <c r="BC1390" s="38"/>
      <c r="BD1390" s="38"/>
      <c r="BE1390" s="38"/>
      <c r="BF1390" s="38"/>
      <c r="BG1390" s="38"/>
      <c r="BH1390" s="38"/>
      <c r="BI1390" s="38"/>
      <c r="BJ1390" s="38"/>
      <c r="BK1390" s="38"/>
      <c r="BL1390" s="38"/>
      <c r="BM1390" s="38"/>
      <c r="BN1390" s="38"/>
      <c r="BO1390" s="38"/>
      <c r="BP1390" s="38"/>
      <c r="BQ1390" s="38"/>
    </row>
    <row r="1391">
      <c r="A1391" s="58"/>
      <c r="B1391" s="341"/>
      <c r="C1391" s="60"/>
      <c r="D1391" s="60"/>
      <c r="E1391" s="58"/>
      <c r="F1391" s="58"/>
      <c r="G1391" s="58"/>
      <c r="H1391" s="33" t="str">
        <f t="shared" si="33"/>
        <v/>
      </c>
      <c r="I1391" s="58"/>
      <c r="J1391" s="58"/>
      <c r="K1391" s="58"/>
      <c r="L1391" s="58"/>
      <c r="M1391" s="80"/>
      <c r="N1391" s="77"/>
      <c r="O1391" s="62"/>
      <c r="P1391" s="62"/>
      <c r="Q1391" s="62"/>
      <c r="R1391" s="62"/>
      <c r="S1391" s="37" t="str">
        <f>IFERROR(__xludf.DUMMYFUNCTION("if(not(iserror(index(split(C1391, "" ""),2))), index(split(C1391, "" ""),1),"""")"),"")</f>
        <v/>
      </c>
      <c r="T1391" s="315" t="str">
        <f>IFERROR(__xludf.DUMMYFUNCTION("if(S1391="""",C1391,if(not(iserror(index(split(C1391, "" ""),3))), index(split(C1391, "" ""),3),index(split(C1391, "" ""),2)))"),"")</f>
        <v/>
      </c>
      <c r="U1391" s="38" t="b">
        <f t="shared" si="34"/>
        <v>0</v>
      </c>
      <c r="V1391" s="38"/>
      <c r="W1391" s="40"/>
      <c r="X1391" s="40"/>
      <c r="Y1391" s="38"/>
      <c r="Z1391" s="38"/>
      <c r="AA1391" s="38"/>
      <c r="AB1391" s="38"/>
      <c r="AC1391" s="38"/>
      <c r="AD1391" s="38"/>
      <c r="AE1391" s="38"/>
      <c r="AF1391" s="38"/>
      <c r="AG1391" s="38"/>
      <c r="AH1391" s="38"/>
      <c r="AI1391" s="38"/>
      <c r="AJ1391" s="38"/>
      <c r="AK1391" s="38"/>
      <c r="AL1391" s="38"/>
      <c r="AM1391" s="38"/>
      <c r="AN1391" s="38"/>
      <c r="AO1391" s="38"/>
      <c r="AP1391" s="38"/>
      <c r="AQ1391" s="38"/>
      <c r="AR1391" s="38"/>
      <c r="AS1391" s="38"/>
      <c r="AT1391" s="38"/>
      <c r="AU1391" s="38"/>
      <c r="AV1391" s="38"/>
      <c r="AW1391" s="38"/>
      <c r="AX1391" s="38"/>
      <c r="AY1391" s="38"/>
      <c r="AZ1391" s="38"/>
      <c r="BA1391" s="38"/>
      <c r="BB1391" s="38"/>
      <c r="BC1391" s="38"/>
      <c r="BD1391" s="38"/>
      <c r="BE1391" s="38"/>
      <c r="BF1391" s="38"/>
      <c r="BG1391" s="38"/>
      <c r="BH1391" s="38"/>
      <c r="BI1391" s="38"/>
      <c r="BJ1391" s="38"/>
      <c r="BK1391" s="38"/>
      <c r="BL1391" s="38"/>
      <c r="BM1391" s="38"/>
      <c r="BN1391" s="38"/>
      <c r="BO1391" s="38"/>
      <c r="BP1391" s="38"/>
      <c r="BQ1391" s="38"/>
    </row>
    <row r="1392">
      <c r="A1392" s="58"/>
      <c r="B1392" s="341"/>
      <c r="C1392" s="60"/>
      <c r="D1392" s="60"/>
      <c r="E1392" s="58"/>
      <c r="F1392" s="58"/>
      <c r="G1392" s="58"/>
      <c r="H1392" s="33" t="str">
        <f t="shared" si="33"/>
        <v/>
      </c>
      <c r="I1392" s="58"/>
      <c r="J1392" s="58"/>
      <c r="K1392" s="58"/>
      <c r="L1392" s="58"/>
      <c r="M1392" s="80"/>
      <c r="N1392" s="77"/>
      <c r="O1392" s="62"/>
      <c r="P1392" s="58"/>
      <c r="Q1392" s="84"/>
      <c r="R1392" s="62"/>
      <c r="S1392" s="37" t="str">
        <f>IFERROR(__xludf.DUMMYFUNCTION("if(not(iserror(index(split(C1392, "" ""),2))), index(split(C1392, "" ""),1),"""")"),"")</f>
        <v/>
      </c>
      <c r="T1392" s="315" t="str">
        <f>IFERROR(__xludf.DUMMYFUNCTION("if(S1392="""",C1392,if(not(iserror(index(split(C1392, "" ""),3))), index(split(C1392, "" ""),3),index(split(C1392, "" ""),2)))"),"")</f>
        <v/>
      </c>
      <c r="U1392" s="38" t="b">
        <f t="shared" si="34"/>
        <v>0</v>
      </c>
      <c r="V1392" s="38"/>
      <c r="W1392" s="40"/>
      <c r="X1392" s="40"/>
      <c r="Y1392" s="38"/>
      <c r="Z1392" s="38"/>
      <c r="AA1392" s="38"/>
      <c r="AB1392" s="38"/>
      <c r="AC1392" s="38"/>
      <c r="AD1392" s="38"/>
      <c r="AE1392" s="38"/>
      <c r="AF1392" s="38"/>
      <c r="AG1392" s="38"/>
      <c r="AH1392" s="38"/>
      <c r="AI1392" s="38"/>
      <c r="AJ1392" s="38"/>
      <c r="AK1392" s="38"/>
      <c r="AL1392" s="38"/>
      <c r="AM1392" s="38"/>
      <c r="AN1392" s="38"/>
      <c r="AO1392" s="38"/>
      <c r="AP1392" s="38"/>
      <c r="AQ1392" s="38"/>
      <c r="AR1392" s="38"/>
      <c r="AS1392" s="38"/>
      <c r="AT1392" s="38"/>
      <c r="AU1392" s="38"/>
      <c r="AV1392" s="38"/>
      <c r="AW1392" s="38"/>
      <c r="AX1392" s="38"/>
      <c r="AY1392" s="38"/>
      <c r="AZ1392" s="38"/>
      <c r="BA1392" s="38"/>
      <c r="BB1392" s="38"/>
      <c r="BC1392" s="38"/>
      <c r="BD1392" s="38"/>
      <c r="BE1392" s="38"/>
      <c r="BF1392" s="38"/>
      <c r="BG1392" s="38"/>
      <c r="BH1392" s="38"/>
      <c r="BI1392" s="38"/>
      <c r="BJ1392" s="38"/>
      <c r="BK1392" s="38"/>
      <c r="BL1392" s="38"/>
      <c r="BM1392" s="38"/>
      <c r="BN1392" s="38"/>
      <c r="BO1392" s="38"/>
      <c r="BP1392" s="38"/>
      <c r="BQ1392" s="38"/>
    </row>
    <row r="1393">
      <c r="A1393" s="58"/>
      <c r="B1393" s="341"/>
      <c r="C1393" s="60"/>
      <c r="D1393" s="60"/>
      <c r="E1393" s="58"/>
      <c r="F1393" s="58"/>
      <c r="G1393" s="58"/>
      <c r="H1393" s="33" t="str">
        <f t="shared" si="33"/>
        <v/>
      </c>
      <c r="I1393" s="58"/>
      <c r="J1393" s="58"/>
      <c r="K1393" s="58"/>
      <c r="L1393" s="58"/>
      <c r="M1393" s="80"/>
      <c r="N1393" s="77"/>
      <c r="O1393" s="62"/>
      <c r="P1393" s="58"/>
      <c r="Q1393" s="84"/>
      <c r="R1393" s="62"/>
      <c r="S1393" s="37" t="str">
        <f>IFERROR(__xludf.DUMMYFUNCTION("if(not(iserror(index(split(C1393, "" ""),2))), index(split(C1393, "" ""),1),"""")"),"")</f>
        <v/>
      </c>
      <c r="T1393" s="315" t="str">
        <f>IFERROR(__xludf.DUMMYFUNCTION("if(S1393="""",C1393,if(not(iserror(index(split(C1393, "" ""),3))), index(split(C1393, "" ""),3),index(split(C1393, "" ""),2)))"),"")</f>
        <v/>
      </c>
      <c r="U1393" s="38" t="b">
        <f t="shared" si="34"/>
        <v>0</v>
      </c>
      <c r="V1393" s="38"/>
      <c r="W1393" s="40"/>
      <c r="X1393" s="40"/>
      <c r="Y1393" s="38"/>
      <c r="Z1393" s="38"/>
      <c r="AA1393" s="38"/>
      <c r="AB1393" s="38"/>
      <c r="AC1393" s="38"/>
      <c r="AD1393" s="38"/>
      <c r="AE1393" s="38"/>
      <c r="AF1393" s="38"/>
      <c r="AG1393" s="38"/>
      <c r="AH1393" s="38"/>
      <c r="AI1393" s="38"/>
      <c r="AJ1393" s="38"/>
      <c r="AK1393" s="38"/>
      <c r="AL1393" s="38"/>
      <c r="AM1393" s="38"/>
      <c r="AN1393" s="38"/>
      <c r="AO1393" s="38"/>
      <c r="AP1393" s="38"/>
      <c r="AQ1393" s="38"/>
      <c r="AR1393" s="38"/>
      <c r="AS1393" s="38"/>
      <c r="AT1393" s="38"/>
      <c r="AU1393" s="38"/>
      <c r="AV1393" s="38"/>
      <c r="AW1393" s="38"/>
      <c r="AX1393" s="38"/>
      <c r="AY1393" s="38"/>
      <c r="AZ1393" s="38"/>
      <c r="BA1393" s="38"/>
      <c r="BB1393" s="38"/>
      <c r="BC1393" s="38"/>
      <c r="BD1393" s="38"/>
      <c r="BE1393" s="38"/>
      <c r="BF1393" s="38"/>
      <c r="BG1393" s="38"/>
      <c r="BH1393" s="38"/>
      <c r="BI1393" s="38"/>
      <c r="BJ1393" s="38"/>
      <c r="BK1393" s="38"/>
      <c r="BL1393" s="38"/>
      <c r="BM1393" s="38"/>
      <c r="BN1393" s="38"/>
      <c r="BO1393" s="38"/>
      <c r="BP1393" s="38"/>
      <c r="BQ1393" s="38"/>
    </row>
    <row r="1394">
      <c r="A1394" s="58"/>
      <c r="B1394" s="341"/>
      <c r="C1394" s="60"/>
      <c r="D1394" s="60"/>
      <c r="E1394" s="58"/>
      <c r="F1394" s="58"/>
      <c r="G1394" s="58"/>
      <c r="H1394" s="33" t="str">
        <f t="shared" si="33"/>
        <v/>
      </c>
      <c r="I1394" s="58"/>
      <c r="J1394" s="58"/>
      <c r="K1394" s="58"/>
      <c r="L1394" s="58"/>
      <c r="M1394" s="80"/>
      <c r="N1394" s="77"/>
      <c r="O1394" s="62"/>
      <c r="P1394" s="62"/>
      <c r="Q1394" s="62"/>
      <c r="R1394" s="62"/>
      <c r="S1394" s="37" t="str">
        <f>IFERROR(__xludf.DUMMYFUNCTION("if(not(iserror(index(split(C1394, "" ""),2))), index(split(C1394, "" ""),1),"""")"),"")</f>
        <v/>
      </c>
      <c r="T1394" s="315" t="str">
        <f>IFERROR(__xludf.DUMMYFUNCTION("if(S1394="""",C1394,if(not(iserror(index(split(C1394, "" ""),3))), index(split(C1394, "" ""),3),index(split(C1394, "" ""),2)))"),"")</f>
        <v/>
      </c>
      <c r="U1394" s="38" t="b">
        <f t="shared" si="34"/>
        <v>0</v>
      </c>
      <c r="V1394" s="38"/>
      <c r="W1394" s="40"/>
      <c r="X1394" s="40"/>
      <c r="Y1394" s="38"/>
      <c r="Z1394" s="38"/>
      <c r="AA1394" s="38"/>
      <c r="AB1394" s="38"/>
      <c r="AC1394" s="38"/>
      <c r="AD1394" s="38"/>
      <c r="AE1394" s="38"/>
      <c r="AF1394" s="38"/>
      <c r="AG1394" s="38"/>
      <c r="AH1394" s="38"/>
      <c r="AI1394" s="38"/>
      <c r="AJ1394" s="38"/>
      <c r="AK1394" s="38"/>
      <c r="AL1394" s="38"/>
      <c r="AM1394" s="38"/>
      <c r="AN1394" s="38"/>
      <c r="AO1394" s="38"/>
      <c r="AP1394" s="38"/>
      <c r="AQ1394" s="38"/>
      <c r="AR1394" s="38"/>
      <c r="AS1394" s="38"/>
      <c r="AT1394" s="38"/>
      <c r="AU1394" s="38"/>
      <c r="AV1394" s="38"/>
      <c r="AW1394" s="38"/>
      <c r="AX1394" s="38"/>
      <c r="AY1394" s="38"/>
      <c r="AZ1394" s="38"/>
      <c r="BA1394" s="38"/>
      <c r="BB1394" s="38"/>
      <c r="BC1394" s="38"/>
      <c r="BD1394" s="38"/>
      <c r="BE1394" s="38"/>
      <c r="BF1394" s="38"/>
      <c r="BG1394" s="38"/>
      <c r="BH1394" s="38"/>
      <c r="BI1394" s="38"/>
      <c r="BJ1394" s="38"/>
      <c r="BK1394" s="38"/>
      <c r="BL1394" s="38"/>
      <c r="BM1394" s="38"/>
      <c r="BN1394" s="38"/>
      <c r="BO1394" s="38"/>
      <c r="BP1394" s="38"/>
      <c r="BQ1394" s="38"/>
    </row>
    <row r="1395">
      <c r="B1395" s="341"/>
      <c r="C1395" s="60"/>
      <c r="D1395" s="60"/>
      <c r="E1395" s="58"/>
      <c r="F1395" s="58"/>
      <c r="G1395" s="58"/>
      <c r="H1395" s="33" t="str">
        <f t="shared" si="33"/>
        <v/>
      </c>
      <c r="I1395" s="58"/>
      <c r="J1395" s="58"/>
      <c r="K1395" s="58"/>
      <c r="L1395" s="58"/>
      <c r="M1395" s="80"/>
      <c r="N1395" s="77"/>
      <c r="O1395" s="62"/>
      <c r="P1395" s="62"/>
      <c r="Q1395" s="62"/>
      <c r="R1395" s="62"/>
      <c r="S1395" s="37" t="str">
        <f>IFERROR(__xludf.DUMMYFUNCTION("if(not(iserror(index(split(C1395, "" ""),2))), index(split(C1395, "" ""),1),"""")"),"")</f>
        <v/>
      </c>
      <c r="T1395" s="315" t="str">
        <f>IFERROR(__xludf.DUMMYFUNCTION("if(S1395="""",C1395,if(not(iserror(index(split(C1395, "" ""),3))), index(split(C1395, "" ""),3),index(split(C1395, "" ""),2)))"),"")</f>
        <v/>
      </c>
      <c r="U1395" s="38" t="b">
        <f t="shared" si="34"/>
        <v>0</v>
      </c>
      <c r="V1395" s="38"/>
      <c r="W1395" s="40"/>
      <c r="X1395" s="40"/>
      <c r="Y1395" s="38"/>
      <c r="Z1395" s="38"/>
      <c r="AA1395" s="38"/>
      <c r="AB1395" s="38"/>
      <c r="AC1395" s="38"/>
      <c r="AD1395" s="38"/>
      <c r="AE1395" s="38"/>
      <c r="AF1395" s="38"/>
      <c r="AG1395" s="38"/>
      <c r="AH1395" s="38"/>
      <c r="AI1395" s="38"/>
      <c r="AJ1395" s="38"/>
      <c r="AK1395" s="38"/>
      <c r="AL1395" s="38"/>
      <c r="AM1395" s="38"/>
      <c r="AN1395" s="38"/>
      <c r="AO1395" s="38"/>
      <c r="AP1395" s="38"/>
      <c r="AQ1395" s="38"/>
      <c r="AR1395" s="38"/>
      <c r="AS1395" s="38"/>
      <c r="AT1395" s="38"/>
      <c r="AU1395" s="38"/>
      <c r="AV1395" s="38"/>
      <c r="AW1395" s="38"/>
      <c r="AX1395" s="38"/>
      <c r="AY1395" s="38"/>
      <c r="AZ1395" s="38"/>
      <c r="BA1395" s="38"/>
      <c r="BB1395" s="38"/>
      <c r="BC1395" s="38"/>
      <c r="BD1395" s="38"/>
      <c r="BE1395" s="38"/>
      <c r="BF1395" s="38"/>
      <c r="BG1395" s="38"/>
      <c r="BH1395" s="38"/>
      <c r="BI1395" s="38"/>
      <c r="BJ1395" s="38"/>
      <c r="BK1395" s="38"/>
      <c r="BL1395" s="38"/>
      <c r="BM1395" s="38"/>
      <c r="BN1395" s="38"/>
      <c r="BO1395" s="38"/>
      <c r="BP1395" s="38"/>
      <c r="BQ1395" s="38"/>
    </row>
    <row r="1396">
      <c r="B1396" s="341"/>
      <c r="C1396" s="60"/>
      <c r="D1396" s="60"/>
      <c r="E1396" s="58"/>
      <c r="F1396" s="58"/>
      <c r="G1396" s="58"/>
      <c r="H1396" s="33" t="str">
        <f t="shared" si="33"/>
        <v/>
      </c>
      <c r="I1396" s="58"/>
      <c r="J1396" s="58"/>
      <c r="K1396" s="58"/>
      <c r="L1396" s="58"/>
      <c r="M1396" s="80"/>
      <c r="N1396" s="77"/>
      <c r="O1396" s="62"/>
      <c r="P1396" s="62"/>
      <c r="Q1396" s="62"/>
      <c r="R1396" s="62"/>
      <c r="S1396" s="37" t="str">
        <f>IFERROR(__xludf.DUMMYFUNCTION("if(not(iserror(index(split(C1396, "" ""),2))), index(split(C1396, "" ""),1),"""")"),"")</f>
        <v/>
      </c>
      <c r="T1396" s="315" t="str">
        <f>IFERROR(__xludf.DUMMYFUNCTION("if(S1396="""",C1396,if(not(iserror(index(split(C1396, "" ""),3))), index(split(C1396, "" ""),3),index(split(C1396, "" ""),2)))"),"")</f>
        <v/>
      </c>
      <c r="U1396" s="38" t="b">
        <f t="shared" si="34"/>
        <v>0</v>
      </c>
      <c r="V1396" s="38"/>
      <c r="W1396" s="40"/>
      <c r="X1396" s="40"/>
      <c r="Y1396" s="38"/>
      <c r="Z1396" s="38"/>
      <c r="AA1396" s="38"/>
      <c r="AB1396" s="38"/>
      <c r="AC1396" s="38"/>
      <c r="AD1396" s="38"/>
      <c r="AE1396" s="38"/>
      <c r="AF1396" s="38"/>
      <c r="AG1396" s="38"/>
      <c r="AH1396" s="38"/>
      <c r="AI1396" s="38"/>
      <c r="AJ1396" s="38"/>
      <c r="AK1396" s="38"/>
      <c r="AL1396" s="38"/>
      <c r="AM1396" s="38"/>
      <c r="AN1396" s="38"/>
      <c r="AO1396" s="38"/>
      <c r="AP1396" s="38"/>
      <c r="AQ1396" s="38"/>
      <c r="AR1396" s="38"/>
      <c r="AS1396" s="38"/>
      <c r="AT1396" s="38"/>
      <c r="AU1396" s="38"/>
      <c r="AV1396" s="38"/>
      <c r="AW1396" s="38"/>
      <c r="AX1396" s="38"/>
      <c r="AY1396" s="38"/>
      <c r="AZ1396" s="38"/>
      <c r="BA1396" s="38"/>
      <c r="BB1396" s="38"/>
      <c r="BC1396" s="38"/>
      <c r="BD1396" s="38"/>
      <c r="BE1396" s="38"/>
      <c r="BF1396" s="38"/>
      <c r="BG1396" s="38"/>
      <c r="BH1396" s="38"/>
      <c r="BI1396" s="38"/>
      <c r="BJ1396" s="38"/>
      <c r="BK1396" s="38"/>
      <c r="BL1396" s="38"/>
      <c r="BM1396" s="38"/>
      <c r="BN1396" s="38"/>
      <c r="BO1396" s="38"/>
      <c r="BP1396" s="38"/>
      <c r="BQ1396" s="38"/>
    </row>
    <row r="1397">
      <c r="B1397" s="341"/>
      <c r="C1397" s="60"/>
      <c r="D1397" s="60"/>
      <c r="E1397" s="58"/>
      <c r="F1397" s="58"/>
      <c r="G1397" s="58"/>
      <c r="H1397" s="33" t="str">
        <f t="shared" si="33"/>
        <v/>
      </c>
      <c r="I1397" s="58"/>
      <c r="J1397" s="58"/>
      <c r="K1397" s="58"/>
      <c r="L1397" s="58"/>
      <c r="M1397" s="80"/>
      <c r="N1397" s="77"/>
      <c r="O1397" s="62"/>
      <c r="P1397" s="62"/>
      <c r="Q1397" s="62"/>
      <c r="R1397" s="62"/>
      <c r="S1397" s="37" t="str">
        <f>IFERROR(__xludf.DUMMYFUNCTION("if(not(iserror(index(split(C1397, "" ""),2))), index(split(C1397, "" ""),1),"""")"),"")</f>
        <v/>
      </c>
      <c r="T1397" s="315" t="str">
        <f>IFERROR(__xludf.DUMMYFUNCTION("if(S1397="""",C1397,if(not(iserror(index(split(C1397, "" ""),3))), index(split(C1397, "" ""),3),index(split(C1397, "" ""),2)))"),"")</f>
        <v/>
      </c>
      <c r="U1397" s="38" t="b">
        <f t="shared" si="34"/>
        <v>0</v>
      </c>
      <c r="V1397" s="38"/>
      <c r="W1397" s="40"/>
      <c r="X1397" s="40"/>
      <c r="Y1397" s="38"/>
      <c r="Z1397" s="38"/>
      <c r="AA1397" s="38"/>
      <c r="AB1397" s="38"/>
      <c r="AC1397" s="38"/>
      <c r="AD1397" s="38"/>
      <c r="AE1397" s="38"/>
      <c r="AF1397" s="38"/>
      <c r="AG1397" s="38"/>
      <c r="AH1397" s="38"/>
      <c r="AI1397" s="38"/>
      <c r="AJ1397" s="38"/>
      <c r="AK1397" s="38"/>
      <c r="AL1397" s="38"/>
      <c r="AM1397" s="38"/>
      <c r="AN1397" s="38"/>
      <c r="AO1397" s="38"/>
      <c r="AP1397" s="38"/>
      <c r="AQ1397" s="38"/>
      <c r="AR1397" s="38"/>
      <c r="AS1397" s="38"/>
      <c r="AT1397" s="38"/>
      <c r="AU1397" s="38"/>
      <c r="AV1397" s="38"/>
      <c r="AW1397" s="38"/>
      <c r="AX1397" s="38"/>
      <c r="AY1397" s="38"/>
      <c r="AZ1397" s="38"/>
      <c r="BA1397" s="38"/>
      <c r="BB1397" s="38"/>
      <c r="BC1397" s="38"/>
      <c r="BD1397" s="38"/>
      <c r="BE1397" s="38"/>
      <c r="BF1397" s="38"/>
      <c r="BG1397" s="38"/>
      <c r="BH1397" s="38"/>
      <c r="BI1397" s="38"/>
      <c r="BJ1397" s="38"/>
      <c r="BK1397" s="38"/>
      <c r="BL1397" s="38"/>
      <c r="BM1397" s="38"/>
      <c r="BN1397" s="38"/>
      <c r="BO1397" s="38"/>
      <c r="BP1397" s="38"/>
      <c r="BQ1397" s="38"/>
    </row>
    <row r="1398">
      <c r="B1398" s="341"/>
      <c r="C1398" s="60"/>
      <c r="D1398" s="60"/>
      <c r="E1398" s="58"/>
      <c r="F1398" s="58"/>
      <c r="G1398" s="58"/>
      <c r="H1398" s="33" t="str">
        <f t="shared" si="33"/>
        <v/>
      </c>
      <c r="I1398" s="58"/>
      <c r="J1398" s="58"/>
      <c r="K1398" s="58"/>
      <c r="L1398" s="58"/>
      <c r="M1398" s="80"/>
      <c r="N1398" s="77"/>
      <c r="O1398" s="62"/>
      <c r="P1398" s="62"/>
      <c r="Q1398" s="62"/>
      <c r="R1398" s="62"/>
      <c r="S1398" s="37" t="str">
        <f>IFERROR(__xludf.DUMMYFUNCTION("if(not(iserror(index(split(C1398, "" ""),2))), index(split(C1398, "" ""),1),"""")"),"")</f>
        <v/>
      </c>
      <c r="T1398" s="315" t="str">
        <f>IFERROR(__xludf.DUMMYFUNCTION("if(S1398="""",C1398,if(not(iserror(index(split(C1398, "" ""),3))), index(split(C1398, "" ""),3),index(split(C1398, "" ""),2)))"),"")</f>
        <v/>
      </c>
      <c r="U1398" s="38" t="b">
        <f t="shared" si="34"/>
        <v>0</v>
      </c>
      <c r="V1398" s="38"/>
      <c r="W1398" s="40"/>
      <c r="X1398" s="40"/>
      <c r="Y1398" s="38"/>
      <c r="Z1398" s="38"/>
      <c r="AA1398" s="38"/>
      <c r="AB1398" s="38"/>
      <c r="AC1398" s="38"/>
      <c r="AD1398" s="38"/>
      <c r="AE1398" s="38"/>
      <c r="AF1398" s="38"/>
      <c r="AG1398" s="38"/>
      <c r="AH1398" s="38"/>
      <c r="AI1398" s="38"/>
      <c r="AJ1398" s="38"/>
      <c r="AK1398" s="38"/>
      <c r="AL1398" s="38"/>
      <c r="AM1398" s="38"/>
      <c r="AN1398" s="38"/>
      <c r="AO1398" s="38"/>
      <c r="AP1398" s="38"/>
      <c r="AQ1398" s="38"/>
      <c r="AR1398" s="38"/>
      <c r="AS1398" s="38"/>
      <c r="AT1398" s="38"/>
      <c r="AU1398" s="38"/>
      <c r="AV1398" s="38"/>
      <c r="AW1398" s="38"/>
      <c r="AX1398" s="38"/>
      <c r="AY1398" s="38"/>
      <c r="AZ1398" s="38"/>
      <c r="BA1398" s="38"/>
      <c r="BB1398" s="38"/>
      <c r="BC1398" s="38"/>
      <c r="BD1398" s="38"/>
      <c r="BE1398" s="38"/>
      <c r="BF1398" s="38"/>
      <c r="BG1398" s="38"/>
      <c r="BH1398" s="38"/>
      <c r="BI1398" s="38"/>
      <c r="BJ1398" s="38"/>
      <c r="BK1398" s="38"/>
      <c r="BL1398" s="38"/>
      <c r="BM1398" s="38"/>
      <c r="BN1398" s="38"/>
      <c r="BO1398" s="38"/>
      <c r="BP1398" s="38"/>
      <c r="BQ1398" s="38"/>
    </row>
    <row r="1399">
      <c r="B1399" s="341"/>
      <c r="C1399" s="60"/>
      <c r="D1399" s="60"/>
      <c r="E1399" s="58"/>
      <c r="F1399" s="58"/>
      <c r="G1399" s="58"/>
      <c r="H1399" s="33" t="str">
        <f t="shared" si="33"/>
        <v/>
      </c>
      <c r="I1399" s="58"/>
      <c r="J1399" s="58"/>
      <c r="K1399" s="58"/>
      <c r="L1399" s="58"/>
      <c r="M1399" s="80"/>
      <c r="N1399" s="80"/>
      <c r="O1399" s="62"/>
      <c r="P1399" s="62"/>
      <c r="Q1399" s="62"/>
      <c r="R1399" s="62"/>
      <c r="S1399" s="37" t="str">
        <f>IFERROR(__xludf.DUMMYFUNCTION("if(not(iserror(index(split(C1399, "" ""),2))), index(split(C1399, "" ""),1),"""")"),"")</f>
        <v/>
      </c>
      <c r="T1399" s="315" t="str">
        <f>IFERROR(__xludf.DUMMYFUNCTION("if(S1399="""",C1399,if(not(iserror(index(split(C1399, "" ""),3))), index(split(C1399, "" ""),3),index(split(C1399, "" ""),2)))"),"")</f>
        <v/>
      </c>
      <c r="U1399" s="38" t="b">
        <f t="shared" si="34"/>
        <v>0</v>
      </c>
      <c r="V1399" s="38"/>
      <c r="W1399" s="40"/>
      <c r="X1399" s="40"/>
      <c r="Y1399" s="38"/>
      <c r="Z1399" s="38"/>
      <c r="AA1399" s="38"/>
      <c r="AB1399" s="38"/>
      <c r="AC1399" s="38"/>
      <c r="AD1399" s="38"/>
      <c r="AE1399" s="38"/>
      <c r="AF1399" s="38"/>
      <c r="AG1399" s="38"/>
      <c r="AH1399" s="38"/>
      <c r="AI1399" s="38"/>
      <c r="AJ1399" s="38"/>
      <c r="AK1399" s="38"/>
      <c r="AL1399" s="38"/>
      <c r="AM1399" s="38"/>
      <c r="AN1399" s="38"/>
      <c r="AO1399" s="38"/>
      <c r="AP1399" s="38"/>
      <c r="AQ1399" s="38"/>
      <c r="AR1399" s="38"/>
      <c r="AS1399" s="38"/>
      <c r="AT1399" s="38"/>
      <c r="AU1399" s="38"/>
      <c r="AV1399" s="38"/>
      <c r="AW1399" s="38"/>
      <c r="AX1399" s="38"/>
      <c r="AY1399" s="38"/>
      <c r="AZ1399" s="38"/>
      <c r="BA1399" s="38"/>
      <c r="BB1399" s="38"/>
      <c r="BC1399" s="38"/>
      <c r="BD1399" s="38"/>
      <c r="BE1399" s="38"/>
      <c r="BF1399" s="38"/>
      <c r="BG1399" s="38"/>
      <c r="BH1399" s="38"/>
      <c r="BI1399" s="38"/>
      <c r="BJ1399" s="38"/>
      <c r="BK1399" s="38"/>
      <c r="BL1399" s="38"/>
      <c r="BM1399" s="38"/>
      <c r="BN1399" s="38"/>
      <c r="BO1399" s="38"/>
      <c r="BP1399" s="38"/>
      <c r="BQ1399" s="38"/>
    </row>
    <row r="1400">
      <c r="B1400" s="341"/>
      <c r="C1400" s="60"/>
      <c r="D1400" s="60"/>
      <c r="E1400" s="58"/>
      <c r="F1400" s="58"/>
      <c r="G1400" s="58"/>
      <c r="H1400" s="33" t="str">
        <f t="shared" si="33"/>
        <v/>
      </c>
      <c r="I1400" s="58"/>
      <c r="J1400" s="58"/>
      <c r="K1400" s="58"/>
      <c r="L1400" s="58"/>
      <c r="M1400" s="80"/>
      <c r="N1400" s="80"/>
      <c r="O1400" s="62"/>
      <c r="P1400" s="62"/>
      <c r="Q1400" s="62"/>
      <c r="R1400" s="62"/>
      <c r="S1400" s="37" t="str">
        <f>IFERROR(__xludf.DUMMYFUNCTION("if(not(iserror(index(split(C1400, "" ""),2))), index(split(C1400, "" ""),1),"""")"),"")</f>
        <v/>
      </c>
      <c r="T1400" s="315" t="str">
        <f>IFERROR(__xludf.DUMMYFUNCTION("if(S1400="""",C1400,if(not(iserror(index(split(C1400, "" ""),3))), index(split(C1400, "" ""),3),index(split(C1400, "" ""),2)))"),"")</f>
        <v/>
      </c>
      <c r="U1400" s="38" t="b">
        <f t="shared" si="34"/>
        <v>0</v>
      </c>
      <c r="V1400" s="38"/>
      <c r="W1400" s="40"/>
      <c r="X1400" s="40"/>
      <c r="Y1400" s="38"/>
      <c r="Z1400" s="38"/>
      <c r="AA1400" s="38"/>
      <c r="AB1400" s="38"/>
      <c r="AC1400" s="38"/>
      <c r="AD1400" s="38"/>
      <c r="AE1400" s="38"/>
      <c r="AF1400" s="38"/>
      <c r="AG1400" s="38"/>
      <c r="AH1400" s="38"/>
      <c r="AI1400" s="38"/>
      <c r="AJ1400" s="38"/>
      <c r="AK1400" s="38"/>
      <c r="AL1400" s="38"/>
      <c r="AM1400" s="38"/>
      <c r="AN1400" s="38"/>
      <c r="AO1400" s="38"/>
      <c r="AP1400" s="38"/>
      <c r="AQ1400" s="38"/>
      <c r="AR1400" s="38"/>
      <c r="AS1400" s="38"/>
      <c r="AT1400" s="38"/>
      <c r="AU1400" s="38"/>
      <c r="AV1400" s="38"/>
      <c r="AW1400" s="38"/>
      <c r="AX1400" s="38"/>
      <c r="AY1400" s="38"/>
      <c r="AZ1400" s="38"/>
      <c r="BA1400" s="38"/>
      <c r="BB1400" s="38"/>
      <c r="BC1400" s="38"/>
      <c r="BD1400" s="38"/>
      <c r="BE1400" s="38"/>
      <c r="BF1400" s="38"/>
      <c r="BG1400" s="38"/>
      <c r="BH1400" s="38"/>
      <c r="BI1400" s="38"/>
      <c r="BJ1400" s="38"/>
      <c r="BK1400" s="38"/>
      <c r="BL1400" s="38"/>
      <c r="BM1400" s="38"/>
      <c r="BN1400" s="38"/>
      <c r="BO1400" s="38"/>
      <c r="BP1400" s="38"/>
      <c r="BQ1400" s="38"/>
    </row>
    <row r="1401">
      <c r="A1401" s="58"/>
      <c r="B1401" s="341"/>
      <c r="C1401" s="60"/>
      <c r="D1401" s="60"/>
      <c r="E1401" s="58"/>
      <c r="F1401" s="58"/>
      <c r="G1401" s="58"/>
      <c r="H1401" s="33" t="str">
        <f t="shared" si="33"/>
        <v/>
      </c>
      <c r="I1401" s="58"/>
      <c r="J1401" s="58"/>
      <c r="K1401" s="58"/>
      <c r="L1401" s="58"/>
      <c r="M1401" s="80"/>
      <c r="N1401" s="77"/>
      <c r="O1401" s="62"/>
      <c r="P1401" s="62"/>
      <c r="Q1401" s="62"/>
      <c r="R1401" s="62"/>
      <c r="S1401" s="37" t="str">
        <f>IFERROR(__xludf.DUMMYFUNCTION("if(not(iserror(index(split(C1401, "" ""),2))), index(split(C1401, "" ""),1),"""")"),"")</f>
        <v/>
      </c>
      <c r="T1401" s="315" t="str">
        <f>IFERROR(__xludf.DUMMYFUNCTION("if(S1401="""",C1401,if(not(iserror(index(split(C1401, "" ""),3))), index(split(C1401, "" ""),3),index(split(C1401, "" ""),2)))"),"")</f>
        <v/>
      </c>
      <c r="U1401" s="38" t="b">
        <f t="shared" si="34"/>
        <v>0</v>
      </c>
      <c r="V1401" s="38"/>
      <c r="W1401" s="40"/>
      <c r="X1401" s="40"/>
      <c r="Y1401" s="38"/>
      <c r="Z1401" s="38"/>
      <c r="AA1401" s="38"/>
      <c r="AB1401" s="38"/>
      <c r="AC1401" s="38"/>
      <c r="AD1401" s="38"/>
      <c r="AE1401" s="38"/>
      <c r="AF1401" s="38"/>
      <c r="AG1401" s="38"/>
      <c r="AH1401" s="38"/>
      <c r="AI1401" s="38"/>
      <c r="AJ1401" s="38"/>
      <c r="AK1401" s="38"/>
      <c r="AL1401" s="38"/>
      <c r="AM1401" s="38"/>
      <c r="AN1401" s="38"/>
      <c r="AO1401" s="38"/>
      <c r="AP1401" s="38"/>
      <c r="AQ1401" s="38"/>
      <c r="AR1401" s="38"/>
      <c r="AS1401" s="38"/>
      <c r="AT1401" s="38"/>
      <c r="AU1401" s="38"/>
      <c r="AV1401" s="38"/>
      <c r="AW1401" s="38"/>
      <c r="AX1401" s="38"/>
      <c r="AY1401" s="38"/>
      <c r="AZ1401" s="38"/>
      <c r="BA1401" s="38"/>
      <c r="BB1401" s="38"/>
      <c r="BC1401" s="38"/>
      <c r="BD1401" s="38"/>
      <c r="BE1401" s="38"/>
      <c r="BF1401" s="38"/>
      <c r="BG1401" s="38"/>
      <c r="BH1401" s="38"/>
      <c r="BI1401" s="38"/>
      <c r="BJ1401" s="38"/>
      <c r="BK1401" s="38"/>
      <c r="BL1401" s="38"/>
      <c r="BM1401" s="38"/>
      <c r="BN1401" s="38"/>
      <c r="BO1401" s="38"/>
      <c r="BP1401" s="38"/>
      <c r="BQ1401" s="38"/>
    </row>
    <row r="1402">
      <c r="A1402" s="58"/>
      <c r="B1402" s="341"/>
      <c r="C1402" s="60"/>
      <c r="D1402" s="60"/>
      <c r="E1402" s="58"/>
      <c r="F1402" s="58"/>
      <c r="G1402" s="58"/>
      <c r="H1402" s="33" t="str">
        <f t="shared" si="33"/>
        <v/>
      </c>
      <c r="I1402" s="58"/>
      <c r="J1402" s="58"/>
      <c r="K1402" s="58"/>
      <c r="L1402" s="58"/>
      <c r="M1402" s="80"/>
      <c r="N1402" s="77"/>
      <c r="O1402" s="62"/>
      <c r="P1402" s="62"/>
      <c r="Q1402" s="62"/>
      <c r="R1402" s="62"/>
      <c r="S1402" s="37" t="str">
        <f>IFERROR(__xludf.DUMMYFUNCTION("if(not(iserror(index(split(C1402, "" ""),2))), index(split(C1402, "" ""),1),"""")"),"")</f>
        <v/>
      </c>
      <c r="T1402" s="315" t="str">
        <f>IFERROR(__xludf.DUMMYFUNCTION("if(S1402="""",C1402,if(not(iserror(index(split(C1402, "" ""),3))), index(split(C1402, "" ""),3),index(split(C1402, "" ""),2)))"),"")</f>
        <v/>
      </c>
      <c r="U1402" s="38" t="b">
        <f t="shared" si="34"/>
        <v>0</v>
      </c>
      <c r="V1402" s="38"/>
      <c r="W1402" s="40"/>
      <c r="X1402" s="40"/>
      <c r="Y1402" s="38"/>
      <c r="Z1402" s="38"/>
      <c r="AA1402" s="38"/>
      <c r="AB1402" s="38"/>
      <c r="AC1402" s="38"/>
      <c r="AD1402" s="38"/>
      <c r="AE1402" s="38"/>
      <c r="AF1402" s="38"/>
      <c r="AG1402" s="38"/>
      <c r="AH1402" s="38"/>
      <c r="AI1402" s="38"/>
      <c r="AJ1402" s="38"/>
      <c r="AK1402" s="38"/>
      <c r="AL1402" s="38"/>
      <c r="AM1402" s="38"/>
      <c r="AN1402" s="38"/>
      <c r="AO1402" s="38"/>
      <c r="AP1402" s="38"/>
      <c r="AQ1402" s="38"/>
      <c r="AR1402" s="38"/>
      <c r="AS1402" s="38"/>
      <c r="AT1402" s="38"/>
      <c r="AU1402" s="38"/>
      <c r="AV1402" s="38"/>
      <c r="AW1402" s="38"/>
      <c r="AX1402" s="38"/>
      <c r="AY1402" s="38"/>
      <c r="AZ1402" s="38"/>
      <c r="BA1402" s="38"/>
      <c r="BB1402" s="38"/>
      <c r="BC1402" s="38"/>
      <c r="BD1402" s="38"/>
      <c r="BE1402" s="38"/>
      <c r="BF1402" s="38"/>
      <c r="BG1402" s="38"/>
      <c r="BH1402" s="38"/>
      <c r="BI1402" s="38"/>
      <c r="BJ1402" s="38"/>
      <c r="BK1402" s="38"/>
      <c r="BL1402" s="38"/>
      <c r="BM1402" s="38"/>
      <c r="BN1402" s="38"/>
      <c r="BO1402" s="38"/>
      <c r="BP1402" s="38"/>
      <c r="BQ1402" s="38"/>
    </row>
    <row r="1403">
      <c r="A1403" s="58"/>
      <c r="B1403" s="341"/>
      <c r="C1403" s="60"/>
      <c r="D1403" s="60"/>
      <c r="E1403" s="58"/>
      <c r="F1403" s="58"/>
      <c r="G1403" s="58"/>
      <c r="H1403" s="33" t="str">
        <f t="shared" si="33"/>
        <v/>
      </c>
      <c r="I1403" s="58"/>
      <c r="J1403" s="58"/>
      <c r="K1403" s="58"/>
      <c r="L1403" s="58"/>
      <c r="M1403" s="80"/>
      <c r="N1403" s="77"/>
      <c r="O1403" s="62"/>
      <c r="P1403" s="62"/>
      <c r="Q1403" s="62"/>
      <c r="R1403" s="62"/>
      <c r="S1403" s="37" t="str">
        <f>IFERROR(__xludf.DUMMYFUNCTION("if(not(iserror(index(split(C1403, "" ""),2))), index(split(C1403, "" ""),1),"""")"),"")</f>
        <v/>
      </c>
      <c r="T1403" s="315" t="str">
        <f>IFERROR(__xludf.DUMMYFUNCTION("if(S1403="""",C1403,if(not(iserror(index(split(C1403, "" ""),3))), index(split(C1403, "" ""),3),index(split(C1403, "" ""),2)))"),"")</f>
        <v/>
      </c>
      <c r="U1403" s="38" t="b">
        <f t="shared" si="34"/>
        <v>0</v>
      </c>
      <c r="V1403" s="38"/>
      <c r="W1403" s="40"/>
      <c r="X1403" s="40"/>
      <c r="Y1403" s="38"/>
      <c r="Z1403" s="38"/>
      <c r="AA1403" s="38"/>
      <c r="AB1403" s="38"/>
      <c r="AC1403" s="38"/>
      <c r="AD1403" s="38"/>
      <c r="AE1403" s="38"/>
      <c r="AF1403" s="38"/>
      <c r="AG1403" s="38"/>
      <c r="AH1403" s="38"/>
      <c r="AI1403" s="38"/>
      <c r="AJ1403" s="38"/>
      <c r="AK1403" s="38"/>
      <c r="AL1403" s="38"/>
      <c r="AM1403" s="38"/>
      <c r="AN1403" s="38"/>
      <c r="AO1403" s="38"/>
      <c r="AP1403" s="38"/>
      <c r="AQ1403" s="38"/>
      <c r="AR1403" s="38"/>
      <c r="AS1403" s="38"/>
      <c r="AT1403" s="38"/>
      <c r="AU1403" s="38"/>
      <c r="AV1403" s="38"/>
      <c r="AW1403" s="38"/>
      <c r="AX1403" s="38"/>
      <c r="AY1403" s="38"/>
      <c r="AZ1403" s="38"/>
      <c r="BA1403" s="38"/>
      <c r="BB1403" s="38"/>
      <c r="BC1403" s="38"/>
      <c r="BD1403" s="38"/>
      <c r="BE1403" s="38"/>
      <c r="BF1403" s="38"/>
      <c r="BG1403" s="38"/>
      <c r="BH1403" s="38"/>
      <c r="BI1403" s="38"/>
      <c r="BJ1403" s="38"/>
      <c r="BK1403" s="38"/>
      <c r="BL1403" s="38"/>
      <c r="BM1403" s="38"/>
      <c r="BN1403" s="38"/>
      <c r="BO1403" s="38"/>
      <c r="BP1403" s="38"/>
      <c r="BQ1403" s="38"/>
    </row>
    <row r="1404">
      <c r="A1404" s="58"/>
      <c r="B1404" s="341"/>
      <c r="C1404" s="60"/>
      <c r="D1404" s="60"/>
      <c r="E1404" s="58"/>
      <c r="F1404" s="58"/>
      <c r="G1404" s="58"/>
      <c r="H1404" s="33" t="str">
        <f t="shared" si="33"/>
        <v/>
      </c>
      <c r="I1404" s="58"/>
      <c r="J1404" s="58"/>
      <c r="K1404" s="58"/>
      <c r="L1404" s="58"/>
      <c r="M1404" s="80"/>
      <c r="N1404" s="77"/>
      <c r="O1404" s="62"/>
      <c r="P1404" s="62"/>
      <c r="Q1404" s="62"/>
      <c r="R1404" s="62"/>
      <c r="S1404" s="37" t="str">
        <f>IFERROR(__xludf.DUMMYFUNCTION("if(not(iserror(index(split(C1404, "" ""),2))), index(split(C1404, "" ""),1),"""")"),"")</f>
        <v/>
      </c>
      <c r="T1404" s="315" t="str">
        <f>IFERROR(__xludf.DUMMYFUNCTION("if(S1404="""",C1404,if(not(iserror(index(split(C1404, "" ""),3))), index(split(C1404, "" ""),3),index(split(C1404, "" ""),2)))"),"")</f>
        <v/>
      </c>
      <c r="U1404" s="38" t="b">
        <f t="shared" si="34"/>
        <v>0</v>
      </c>
      <c r="V1404" s="38"/>
      <c r="W1404" s="40"/>
      <c r="X1404" s="40"/>
      <c r="Y1404" s="38"/>
      <c r="Z1404" s="38"/>
      <c r="AA1404" s="38"/>
      <c r="AB1404" s="38"/>
      <c r="AC1404" s="38"/>
      <c r="AD1404" s="38"/>
      <c r="AE1404" s="38"/>
      <c r="AF1404" s="38"/>
      <c r="AG1404" s="38"/>
      <c r="AH1404" s="38"/>
      <c r="AI1404" s="38"/>
      <c r="AJ1404" s="38"/>
      <c r="AK1404" s="38"/>
      <c r="AL1404" s="38"/>
      <c r="AM1404" s="38"/>
      <c r="AN1404" s="38"/>
      <c r="AO1404" s="38"/>
      <c r="AP1404" s="38"/>
      <c r="AQ1404" s="38"/>
      <c r="AR1404" s="38"/>
      <c r="AS1404" s="38"/>
      <c r="AT1404" s="38"/>
      <c r="AU1404" s="38"/>
      <c r="AV1404" s="38"/>
      <c r="AW1404" s="38"/>
      <c r="AX1404" s="38"/>
      <c r="AY1404" s="38"/>
      <c r="AZ1404" s="38"/>
      <c r="BA1404" s="38"/>
      <c r="BB1404" s="38"/>
      <c r="BC1404" s="38"/>
      <c r="BD1404" s="38"/>
      <c r="BE1404" s="38"/>
      <c r="BF1404" s="38"/>
      <c r="BG1404" s="38"/>
      <c r="BH1404" s="38"/>
      <c r="BI1404" s="38"/>
      <c r="BJ1404" s="38"/>
      <c r="BK1404" s="38"/>
      <c r="BL1404" s="38"/>
      <c r="BM1404" s="38"/>
      <c r="BN1404" s="38"/>
      <c r="BO1404" s="38"/>
      <c r="BP1404" s="38"/>
      <c r="BQ1404" s="38"/>
    </row>
    <row r="1405">
      <c r="A1405" s="58"/>
      <c r="B1405" s="341"/>
      <c r="C1405" s="60"/>
      <c r="D1405" s="60"/>
      <c r="E1405" s="58"/>
      <c r="F1405" s="58"/>
      <c r="G1405" s="58"/>
      <c r="H1405" s="33" t="str">
        <f t="shared" si="33"/>
        <v/>
      </c>
      <c r="I1405" s="58"/>
      <c r="J1405" s="58"/>
      <c r="K1405" s="58"/>
      <c r="L1405" s="58"/>
      <c r="M1405" s="80"/>
      <c r="N1405" s="77"/>
      <c r="O1405" s="62"/>
      <c r="P1405" s="62"/>
      <c r="Q1405" s="62"/>
      <c r="R1405" s="62"/>
      <c r="S1405" s="37" t="str">
        <f>IFERROR(__xludf.DUMMYFUNCTION("if(not(iserror(index(split(C1405, "" ""),2))), index(split(C1405, "" ""),1),"""")"),"")</f>
        <v/>
      </c>
      <c r="T1405" s="315" t="str">
        <f>IFERROR(__xludf.DUMMYFUNCTION("if(S1405="""",C1405,if(not(iserror(index(split(C1405, "" ""),3))), index(split(C1405, "" ""),3),index(split(C1405, "" ""),2)))"),"")</f>
        <v/>
      </c>
      <c r="U1405" s="38" t="b">
        <f t="shared" si="34"/>
        <v>0</v>
      </c>
      <c r="V1405" s="38"/>
      <c r="W1405" s="40"/>
      <c r="X1405" s="40"/>
      <c r="Y1405" s="38"/>
      <c r="Z1405" s="38"/>
      <c r="AA1405" s="38"/>
      <c r="AB1405" s="38"/>
      <c r="AC1405" s="38"/>
      <c r="AD1405" s="38"/>
      <c r="AE1405" s="38"/>
      <c r="AF1405" s="38"/>
      <c r="AG1405" s="38"/>
      <c r="AH1405" s="38"/>
      <c r="AI1405" s="38"/>
      <c r="AJ1405" s="38"/>
      <c r="AK1405" s="38"/>
      <c r="AL1405" s="38"/>
      <c r="AM1405" s="38"/>
      <c r="AN1405" s="38"/>
      <c r="AO1405" s="38"/>
      <c r="AP1405" s="38"/>
      <c r="AQ1405" s="38"/>
      <c r="AR1405" s="38"/>
      <c r="AS1405" s="38"/>
      <c r="AT1405" s="38"/>
      <c r="AU1405" s="38"/>
      <c r="AV1405" s="38"/>
      <c r="AW1405" s="38"/>
      <c r="AX1405" s="38"/>
      <c r="AY1405" s="38"/>
      <c r="AZ1405" s="38"/>
      <c r="BA1405" s="38"/>
      <c r="BB1405" s="38"/>
      <c r="BC1405" s="38"/>
      <c r="BD1405" s="38"/>
      <c r="BE1405" s="38"/>
      <c r="BF1405" s="38"/>
      <c r="BG1405" s="38"/>
      <c r="BH1405" s="38"/>
      <c r="BI1405" s="38"/>
      <c r="BJ1405" s="38"/>
      <c r="BK1405" s="38"/>
      <c r="BL1405" s="38"/>
      <c r="BM1405" s="38"/>
      <c r="BN1405" s="38"/>
      <c r="BO1405" s="38"/>
      <c r="BP1405" s="38"/>
      <c r="BQ1405" s="38"/>
    </row>
    <row r="1406">
      <c r="A1406" s="58"/>
      <c r="B1406" s="341"/>
      <c r="C1406" s="60"/>
      <c r="D1406" s="60"/>
      <c r="E1406" s="58"/>
      <c r="F1406" s="58"/>
      <c r="G1406" s="58"/>
      <c r="H1406" s="33" t="str">
        <f t="shared" si="33"/>
        <v/>
      </c>
      <c r="I1406" s="58"/>
      <c r="J1406" s="58"/>
      <c r="K1406" s="58"/>
      <c r="L1406" s="58"/>
      <c r="M1406" s="80"/>
      <c r="N1406" s="77"/>
      <c r="O1406" s="62"/>
      <c r="P1406" s="62"/>
      <c r="Q1406" s="62"/>
      <c r="R1406" s="62"/>
      <c r="S1406" s="37" t="str">
        <f>IFERROR(__xludf.DUMMYFUNCTION("if(not(iserror(index(split(C1406, "" ""),2))), index(split(C1406, "" ""),1),"""")"),"")</f>
        <v/>
      </c>
      <c r="T1406" s="315" t="str">
        <f>IFERROR(__xludf.DUMMYFUNCTION("if(S1406="""",C1406,if(not(iserror(index(split(C1406, "" ""),3))), index(split(C1406, "" ""),3),index(split(C1406, "" ""),2)))"),"")</f>
        <v/>
      </c>
      <c r="U1406" s="38" t="b">
        <f t="shared" si="34"/>
        <v>0</v>
      </c>
      <c r="V1406" s="38"/>
      <c r="W1406" s="40"/>
      <c r="X1406" s="40"/>
      <c r="Y1406" s="38"/>
      <c r="Z1406" s="38"/>
      <c r="AA1406" s="38"/>
      <c r="AB1406" s="38"/>
      <c r="AC1406" s="38"/>
      <c r="AD1406" s="38"/>
      <c r="AE1406" s="38"/>
      <c r="AF1406" s="38"/>
      <c r="AG1406" s="38"/>
      <c r="AH1406" s="38"/>
      <c r="AI1406" s="38"/>
      <c r="AJ1406" s="38"/>
      <c r="AK1406" s="38"/>
      <c r="AL1406" s="38"/>
      <c r="AM1406" s="38"/>
      <c r="AN1406" s="38"/>
      <c r="AO1406" s="38"/>
      <c r="AP1406" s="38"/>
      <c r="AQ1406" s="38"/>
      <c r="AR1406" s="38"/>
      <c r="AS1406" s="38"/>
      <c r="AT1406" s="38"/>
      <c r="AU1406" s="38"/>
      <c r="AV1406" s="38"/>
      <c r="AW1406" s="38"/>
      <c r="AX1406" s="38"/>
      <c r="AY1406" s="38"/>
      <c r="AZ1406" s="38"/>
      <c r="BA1406" s="38"/>
      <c r="BB1406" s="38"/>
      <c r="BC1406" s="38"/>
      <c r="BD1406" s="38"/>
      <c r="BE1406" s="38"/>
      <c r="BF1406" s="38"/>
      <c r="BG1406" s="38"/>
      <c r="BH1406" s="38"/>
      <c r="BI1406" s="38"/>
      <c r="BJ1406" s="38"/>
      <c r="BK1406" s="38"/>
      <c r="BL1406" s="38"/>
      <c r="BM1406" s="38"/>
      <c r="BN1406" s="38"/>
      <c r="BO1406" s="38"/>
      <c r="BP1406" s="38"/>
      <c r="BQ1406" s="38"/>
    </row>
    <row r="1407">
      <c r="A1407" s="58"/>
      <c r="B1407" s="341"/>
      <c r="C1407" s="60"/>
      <c r="D1407" s="60"/>
      <c r="E1407" s="58"/>
      <c r="F1407" s="58"/>
      <c r="G1407" s="58"/>
      <c r="H1407" s="33" t="str">
        <f t="shared" si="33"/>
        <v/>
      </c>
      <c r="I1407" s="58"/>
      <c r="J1407" s="58"/>
      <c r="K1407" s="58"/>
      <c r="L1407" s="58"/>
      <c r="M1407" s="80"/>
      <c r="N1407" s="77"/>
      <c r="O1407" s="62"/>
      <c r="P1407" s="62"/>
      <c r="Q1407" s="62"/>
      <c r="R1407" s="62"/>
      <c r="S1407" s="37" t="str">
        <f>IFERROR(__xludf.DUMMYFUNCTION("if(not(iserror(index(split(C1407, "" ""),2))), index(split(C1407, "" ""),1),"""")"),"")</f>
        <v/>
      </c>
      <c r="T1407" s="315" t="str">
        <f>IFERROR(__xludf.DUMMYFUNCTION("if(S1407="""",C1407,if(not(iserror(index(split(C1407, "" ""),3))), index(split(C1407, "" ""),3),index(split(C1407, "" ""),2)))"),"")</f>
        <v/>
      </c>
      <c r="U1407" s="38" t="b">
        <f t="shared" si="34"/>
        <v>0</v>
      </c>
      <c r="V1407" s="38"/>
      <c r="W1407" s="40"/>
      <c r="X1407" s="40"/>
      <c r="Y1407" s="38"/>
      <c r="Z1407" s="38"/>
      <c r="AA1407" s="38"/>
      <c r="AB1407" s="38"/>
      <c r="AC1407" s="38"/>
      <c r="AD1407" s="38"/>
      <c r="AE1407" s="38"/>
      <c r="AF1407" s="38"/>
      <c r="AG1407" s="38"/>
      <c r="AH1407" s="38"/>
      <c r="AI1407" s="38"/>
      <c r="AJ1407" s="38"/>
      <c r="AK1407" s="38"/>
      <c r="AL1407" s="38"/>
      <c r="AM1407" s="38"/>
      <c r="AN1407" s="38"/>
      <c r="AO1407" s="38"/>
      <c r="AP1407" s="38"/>
      <c r="AQ1407" s="38"/>
      <c r="AR1407" s="38"/>
      <c r="AS1407" s="38"/>
      <c r="AT1407" s="38"/>
      <c r="AU1407" s="38"/>
      <c r="AV1407" s="38"/>
      <c r="AW1407" s="38"/>
      <c r="AX1407" s="38"/>
      <c r="AY1407" s="38"/>
      <c r="AZ1407" s="38"/>
      <c r="BA1407" s="38"/>
      <c r="BB1407" s="38"/>
      <c r="BC1407" s="38"/>
      <c r="BD1407" s="38"/>
      <c r="BE1407" s="38"/>
      <c r="BF1407" s="38"/>
      <c r="BG1407" s="38"/>
      <c r="BH1407" s="38"/>
      <c r="BI1407" s="38"/>
      <c r="BJ1407" s="38"/>
      <c r="BK1407" s="38"/>
      <c r="BL1407" s="38"/>
      <c r="BM1407" s="38"/>
      <c r="BN1407" s="38"/>
      <c r="BO1407" s="38"/>
      <c r="BP1407" s="38"/>
      <c r="BQ1407" s="38"/>
    </row>
    <row r="1408">
      <c r="A1408" s="58"/>
      <c r="B1408" s="341"/>
      <c r="C1408" s="60"/>
      <c r="D1408" s="60"/>
      <c r="E1408" s="58"/>
      <c r="F1408" s="58"/>
      <c r="G1408" s="58"/>
      <c r="H1408" s="33" t="str">
        <f t="shared" si="33"/>
        <v/>
      </c>
      <c r="I1408" s="58"/>
      <c r="J1408" s="58"/>
      <c r="K1408" s="58"/>
      <c r="L1408" s="58"/>
      <c r="M1408" s="80"/>
      <c r="N1408" s="77"/>
      <c r="O1408" s="62"/>
      <c r="P1408" s="62"/>
      <c r="Q1408" s="62"/>
      <c r="R1408" s="62"/>
      <c r="S1408" s="37" t="str">
        <f>IFERROR(__xludf.DUMMYFUNCTION("if(not(iserror(index(split(C1408, "" ""),2))), index(split(C1408, "" ""),1),"""")"),"")</f>
        <v/>
      </c>
      <c r="T1408" s="315" t="str">
        <f>IFERROR(__xludf.DUMMYFUNCTION("if(S1408="""",C1408,if(not(iserror(index(split(C1408, "" ""),3))), index(split(C1408, "" ""),3),index(split(C1408, "" ""),2)))"),"")</f>
        <v/>
      </c>
      <c r="U1408" s="38" t="b">
        <f t="shared" si="34"/>
        <v>0</v>
      </c>
      <c r="V1408" s="38"/>
      <c r="W1408" s="40"/>
      <c r="X1408" s="40"/>
      <c r="Y1408" s="38"/>
      <c r="Z1408" s="38"/>
      <c r="AA1408" s="38"/>
      <c r="AB1408" s="38"/>
      <c r="AC1408" s="38"/>
      <c r="AD1408" s="38"/>
      <c r="AE1408" s="38"/>
      <c r="AF1408" s="38"/>
      <c r="AG1408" s="38"/>
      <c r="AH1408" s="38"/>
      <c r="AI1408" s="38"/>
      <c r="AJ1408" s="38"/>
      <c r="AK1408" s="38"/>
      <c r="AL1408" s="38"/>
      <c r="AM1408" s="38"/>
      <c r="AN1408" s="38"/>
      <c r="AO1408" s="38"/>
      <c r="AP1408" s="38"/>
      <c r="AQ1408" s="38"/>
      <c r="AR1408" s="38"/>
      <c r="AS1408" s="38"/>
      <c r="AT1408" s="38"/>
      <c r="AU1408" s="38"/>
      <c r="AV1408" s="38"/>
      <c r="AW1408" s="38"/>
      <c r="AX1408" s="38"/>
      <c r="AY1408" s="38"/>
      <c r="AZ1408" s="38"/>
      <c r="BA1408" s="38"/>
      <c r="BB1408" s="38"/>
      <c r="BC1408" s="38"/>
      <c r="BD1408" s="38"/>
      <c r="BE1408" s="38"/>
      <c r="BF1408" s="38"/>
      <c r="BG1408" s="38"/>
      <c r="BH1408" s="38"/>
      <c r="BI1408" s="38"/>
      <c r="BJ1408" s="38"/>
      <c r="BK1408" s="38"/>
      <c r="BL1408" s="38"/>
      <c r="BM1408" s="38"/>
      <c r="BN1408" s="38"/>
      <c r="BO1408" s="38"/>
      <c r="BP1408" s="38"/>
      <c r="BQ1408" s="38"/>
    </row>
    <row r="1409">
      <c r="A1409" s="58"/>
      <c r="B1409" s="341"/>
      <c r="C1409" s="60"/>
      <c r="D1409" s="60"/>
      <c r="E1409" s="58"/>
      <c r="F1409" s="58"/>
      <c r="G1409" s="58"/>
      <c r="H1409" s="33" t="str">
        <f t="shared" si="33"/>
        <v/>
      </c>
      <c r="I1409" s="58"/>
      <c r="J1409" s="58"/>
      <c r="K1409" s="58"/>
      <c r="L1409" s="58"/>
      <c r="M1409" s="80"/>
      <c r="N1409" s="77"/>
      <c r="O1409" s="62"/>
      <c r="P1409" s="62"/>
      <c r="Q1409" s="62"/>
      <c r="R1409" s="62"/>
      <c r="S1409" s="37" t="str">
        <f>IFERROR(__xludf.DUMMYFUNCTION("if(not(iserror(index(split(C1409, "" ""),2))), index(split(C1409, "" ""),1),"""")"),"")</f>
        <v/>
      </c>
      <c r="T1409" s="315" t="str">
        <f>IFERROR(__xludf.DUMMYFUNCTION("if(S1409="""",C1409,if(not(iserror(index(split(C1409, "" ""),3))), index(split(C1409, "" ""),3),index(split(C1409, "" ""),2)))"),"")</f>
        <v/>
      </c>
      <c r="U1409" s="38" t="b">
        <f t="shared" si="34"/>
        <v>0</v>
      </c>
      <c r="V1409" s="38"/>
      <c r="W1409" s="40"/>
      <c r="X1409" s="40"/>
      <c r="Y1409" s="38"/>
      <c r="Z1409" s="38"/>
      <c r="AA1409" s="38"/>
      <c r="AB1409" s="38"/>
      <c r="AC1409" s="38"/>
      <c r="AD1409" s="38"/>
      <c r="AE1409" s="38"/>
      <c r="AF1409" s="38"/>
      <c r="AG1409" s="38"/>
      <c r="AH1409" s="38"/>
      <c r="AI1409" s="38"/>
      <c r="AJ1409" s="38"/>
      <c r="AK1409" s="38"/>
      <c r="AL1409" s="38"/>
      <c r="AM1409" s="38"/>
      <c r="AN1409" s="38"/>
      <c r="AO1409" s="38"/>
      <c r="AP1409" s="38"/>
      <c r="AQ1409" s="38"/>
      <c r="AR1409" s="38"/>
      <c r="AS1409" s="38"/>
      <c r="AT1409" s="38"/>
      <c r="AU1409" s="38"/>
      <c r="AV1409" s="38"/>
      <c r="AW1409" s="38"/>
      <c r="AX1409" s="38"/>
      <c r="AY1409" s="38"/>
      <c r="AZ1409" s="38"/>
      <c r="BA1409" s="38"/>
      <c r="BB1409" s="38"/>
      <c r="BC1409" s="38"/>
      <c r="BD1409" s="38"/>
      <c r="BE1409" s="38"/>
      <c r="BF1409" s="38"/>
      <c r="BG1409" s="38"/>
      <c r="BH1409" s="38"/>
      <c r="BI1409" s="38"/>
      <c r="BJ1409" s="38"/>
      <c r="BK1409" s="38"/>
      <c r="BL1409" s="38"/>
      <c r="BM1409" s="38"/>
      <c r="BN1409" s="38"/>
      <c r="BO1409" s="38"/>
      <c r="BP1409" s="38"/>
      <c r="BQ1409" s="38"/>
    </row>
    <row r="1410">
      <c r="A1410" s="58"/>
      <c r="B1410" s="341"/>
      <c r="C1410" s="60"/>
      <c r="D1410" s="60"/>
      <c r="E1410" s="58"/>
      <c r="F1410" s="58"/>
      <c r="G1410" s="58"/>
      <c r="H1410" s="33" t="str">
        <f t="shared" si="33"/>
        <v/>
      </c>
      <c r="I1410" s="58"/>
      <c r="J1410" s="58"/>
      <c r="K1410" s="58"/>
      <c r="L1410" s="58"/>
      <c r="M1410" s="80"/>
      <c r="N1410" s="77"/>
      <c r="O1410" s="62"/>
      <c r="P1410" s="62"/>
      <c r="Q1410" s="62"/>
      <c r="R1410" s="62"/>
      <c r="S1410" s="37" t="str">
        <f>IFERROR(__xludf.DUMMYFUNCTION("if(not(iserror(index(split(C1410, "" ""),2))), index(split(C1410, "" ""),1),"""")"),"")</f>
        <v/>
      </c>
      <c r="T1410" s="315" t="str">
        <f>IFERROR(__xludf.DUMMYFUNCTION("if(S1410="""",C1410,if(not(iserror(index(split(C1410, "" ""),3))), index(split(C1410, "" ""),3),index(split(C1410, "" ""),2)))"),"")</f>
        <v/>
      </c>
      <c r="U1410" s="38" t="b">
        <f t="shared" si="34"/>
        <v>0</v>
      </c>
      <c r="V1410" s="38"/>
      <c r="W1410" s="40"/>
      <c r="X1410" s="40"/>
      <c r="Y1410" s="38"/>
      <c r="Z1410" s="38"/>
      <c r="AA1410" s="38"/>
      <c r="AB1410" s="38"/>
      <c r="AC1410" s="38"/>
      <c r="AD1410" s="38"/>
      <c r="AE1410" s="38"/>
      <c r="AF1410" s="38"/>
      <c r="AG1410" s="38"/>
      <c r="AH1410" s="38"/>
      <c r="AI1410" s="38"/>
      <c r="AJ1410" s="38"/>
      <c r="AK1410" s="38"/>
      <c r="AL1410" s="38"/>
      <c r="AM1410" s="38"/>
      <c r="AN1410" s="38"/>
      <c r="AO1410" s="38"/>
      <c r="AP1410" s="38"/>
      <c r="AQ1410" s="38"/>
      <c r="AR1410" s="38"/>
      <c r="AS1410" s="38"/>
      <c r="AT1410" s="38"/>
      <c r="AU1410" s="38"/>
      <c r="AV1410" s="38"/>
      <c r="AW1410" s="38"/>
      <c r="AX1410" s="38"/>
      <c r="AY1410" s="38"/>
      <c r="AZ1410" s="38"/>
      <c r="BA1410" s="38"/>
      <c r="BB1410" s="38"/>
      <c r="BC1410" s="38"/>
      <c r="BD1410" s="38"/>
      <c r="BE1410" s="38"/>
      <c r="BF1410" s="38"/>
      <c r="BG1410" s="38"/>
      <c r="BH1410" s="38"/>
      <c r="BI1410" s="38"/>
      <c r="BJ1410" s="38"/>
      <c r="BK1410" s="38"/>
      <c r="BL1410" s="38"/>
      <c r="BM1410" s="38"/>
      <c r="BN1410" s="38"/>
      <c r="BO1410" s="38"/>
      <c r="BP1410" s="38"/>
      <c r="BQ1410" s="38"/>
    </row>
    <row r="1411">
      <c r="A1411" s="58"/>
      <c r="B1411" s="341"/>
      <c r="C1411" s="60"/>
      <c r="D1411" s="60"/>
      <c r="E1411" s="58"/>
      <c r="F1411" s="58"/>
      <c r="G1411" s="58"/>
      <c r="H1411" s="33" t="str">
        <f t="shared" si="33"/>
        <v/>
      </c>
      <c r="I1411" s="58"/>
      <c r="J1411" s="58"/>
      <c r="K1411" s="58"/>
      <c r="L1411" s="58"/>
      <c r="M1411" s="80"/>
      <c r="N1411" s="77"/>
      <c r="O1411" s="62"/>
      <c r="P1411" s="62"/>
      <c r="Q1411" s="62"/>
      <c r="R1411" s="62"/>
      <c r="S1411" s="37" t="str">
        <f>IFERROR(__xludf.DUMMYFUNCTION("if(not(iserror(index(split(C1411, "" ""),2))), index(split(C1411, "" ""),1),"""")"),"")</f>
        <v/>
      </c>
      <c r="T1411" s="315" t="str">
        <f>IFERROR(__xludf.DUMMYFUNCTION("if(S1411="""",C1411,if(not(iserror(index(split(C1411, "" ""),3))), index(split(C1411, "" ""),3),index(split(C1411, "" ""),2)))"),"")</f>
        <v/>
      </c>
      <c r="U1411" s="38" t="b">
        <f t="shared" si="34"/>
        <v>0</v>
      </c>
      <c r="V1411" s="38"/>
      <c r="W1411" s="40"/>
      <c r="X1411" s="40"/>
      <c r="Y1411" s="38"/>
      <c r="Z1411" s="38"/>
      <c r="AA1411" s="38"/>
      <c r="AB1411" s="38"/>
      <c r="AC1411" s="38"/>
      <c r="AD1411" s="38"/>
      <c r="AE1411" s="38"/>
      <c r="AF1411" s="38"/>
      <c r="AG1411" s="38"/>
      <c r="AH1411" s="38"/>
      <c r="AI1411" s="38"/>
      <c r="AJ1411" s="38"/>
      <c r="AK1411" s="38"/>
      <c r="AL1411" s="38"/>
      <c r="AM1411" s="38"/>
      <c r="AN1411" s="38"/>
      <c r="AO1411" s="38"/>
      <c r="AP1411" s="38"/>
      <c r="AQ1411" s="38"/>
      <c r="AR1411" s="38"/>
      <c r="AS1411" s="38"/>
      <c r="AT1411" s="38"/>
      <c r="AU1411" s="38"/>
      <c r="AV1411" s="38"/>
      <c r="AW1411" s="38"/>
      <c r="AX1411" s="38"/>
      <c r="AY1411" s="38"/>
      <c r="AZ1411" s="38"/>
      <c r="BA1411" s="38"/>
      <c r="BB1411" s="38"/>
      <c r="BC1411" s="38"/>
      <c r="BD1411" s="38"/>
      <c r="BE1411" s="38"/>
      <c r="BF1411" s="38"/>
      <c r="BG1411" s="38"/>
      <c r="BH1411" s="38"/>
      <c r="BI1411" s="38"/>
      <c r="BJ1411" s="38"/>
      <c r="BK1411" s="38"/>
      <c r="BL1411" s="38"/>
      <c r="BM1411" s="38"/>
      <c r="BN1411" s="38"/>
      <c r="BO1411" s="38"/>
      <c r="BP1411" s="38"/>
      <c r="BQ1411" s="38"/>
    </row>
    <row r="1412">
      <c r="A1412" s="58"/>
      <c r="B1412" s="341"/>
      <c r="C1412" s="60"/>
      <c r="D1412" s="60"/>
      <c r="E1412" s="58"/>
      <c r="F1412" s="58"/>
      <c r="G1412" s="58"/>
      <c r="H1412" s="33" t="str">
        <f t="shared" si="33"/>
        <v/>
      </c>
      <c r="I1412" s="58"/>
      <c r="J1412" s="58"/>
      <c r="K1412" s="58"/>
      <c r="L1412" s="58"/>
      <c r="M1412" s="80"/>
      <c r="N1412" s="77"/>
      <c r="O1412" s="62"/>
      <c r="P1412" s="62"/>
      <c r="Q1412" s="62"/>
      <c r="R1412" s="62"/>
      <c r="S1412" s="37" t="str">
        <f>IFERROR(__xludf.DUMMYFUNCTION("if(not(iserror(index(split(C1412, "" ""),2))), index(split(C1412, "" ""),1),"""")"),"")</f>
        <v/>
      </c>
      <c r="T1412" s="315" t="str">
        <f>IFERROR(__xludf.DUMMYFUNCTION("if(S1412="""",C1412,if(not(iserror(index(split(C1412, "" ""),3))), index(split(C1412, "" ""),3),index(split(C1412, "" ""),2)))"),"")</f>
        <v/>
      </c>
      <c r="U1412" s="38" t="b">
        <f t="shared" si="34"/>
        <v>0</v>
      </c>
      <c r="V1412" s="38"/>
      <c r="W1412" s="40"/>
      <c r="X1412" s="40"/>
      <c r="Y1412" s="38"/>
      <c r="Z1412" s="38"/>
      <c r="AA1412" s="38"/>
      <c r="AB1412" s="38"/>
      <c r="AC1412" s="38"/>
      <c r="AD1412" s="38"/>
      <c r="AE1412" s="38"/>
      <c r="AF1412" s="38"/>
      <c r="AG1412" s="38"/>
      <c r="AH1412" s="38"/>
      <c r="AI1412" s="38"/>
      <c r="AJ1412" s="38"/>
      <c r="AK1412" s="38"/>
      <c r="AL1412" s="38"/>
      <c r="AM1412" s="38"/>
      <c r="AN1412" s="38"/>
      <c r="AO1412" s="38"/>
      <c r="AP1412" s="38"/>
      <c r="AQ1412" s="38"/>
      <c r="AR1412" s="38"/>
      <c r="AS1412" s="38"/>
      <c r="AT1412" s="38"/>
      <c r="AU1412" s="38"/>
      <c r="AV1412" s="38"/>
      <c r="AW1412" s="38"/>
      <c r="AX1412" s="38"/>
      <c r="AY1412" s="38"/>
      <c r="AZ1412" s="38"/>
      <c r="BA1412" s="38"/>
      <c r="BB1412" s="38"/>
      <c r="BC1412" s="38"/>
      <c r="BD1412" s="38"/>
      <c r="BE1412" s="38"/>
      <c r="BF1412" s="38"/>
      <c r="BG1412" s="38"/>
      <c r="BH1412" s="38"/>
      <c r="BI1412" s="38"/>
      <c r="BJ1412" s="38"/>
      <c r="BK1412" s="38"/>
      <c r="BL1412" s="38"/>
      <c r="BM1412" s="38"/>
      <c r="BN1412" s="38"/>
      <c r="BO1412" s="38"/>
      <c r="BP1412" s="38"/>
      <c r="BQ1412" s="38"/>
    </row>
    <row r="1413">
      <c r="A1413" s="58"/>
      <c r="B1413" s="341"/>
      <c r="C1413" s="60"/>
      <c r="D1413" s="60"/>
      <c r="E1413" s="58"/>
      <c r="F1413" s="58"/>
      <c r="G1413" s="58"/>
      <c r="H1413" s="33" t="str">
        <f t="shared" si="33"/>
        <v/>
      </c>
      <c r="I1413" s="58"/>
      <c r="J1413" s="58"/>
      <c r="K1413" s="58"/>
      <c r="L1413" s="58"/>
      <c r="M1413" s="80"/>
      <c r="N1413" s="77"/>
      <c r="O1413" s="62"/>
      <c r="P1413" s="58"/>
      <c r="Q1413" s="84"/>
      <c r="R1413" s="62"/>
      <c r="S1413" s="37" t="str">
        <f>IFERROR(__xludf.DUMMYFUNCTION("if(not(iserror(index(split(C1413, "" ""),2))), index(split(C1413, "" ""),1),"""")"),"")</f>
        <v/>
      </c>
      <c r="T1413" s="315" t="str">
        <f>IFERROR(__xludf.DUMMYFUNCTION("if(S1413="""",C1413,if(not(iserror(index(split(C1413, "" ""),3))), index(split(C1413, "" ""),3),index(split(C1413, "" ""),2)))"),"")</f>
        <v/>
      </c>
      <c r="U1413" s="38" t="b">
        <f t="shared" si="34"/>
        <v>0</v>
      </c>
      <c r="V1413" s="38"/>
      <c r="W1413" s="40"/>
      <c r="X1413" s="40"/>
      <c r="Y1413" s="38"/>
      <c r="Z1413" s="38"/>
      <c r="AA1413" s="38"/>
      <c r="AB1413" s="38"/>
      <c r="AC1413" s="38"/>
      <c r="AD1413" s="38"/>
      <c r="AE1413" s="38"/>
      <c r="AF1413" s="38"/>
      <c r="AG1413" s="38"/>
      <c r="AH1413" s="38"/>
      <c r="AI1413" s="38"/>
      <c r="AJ1413" s="38"/>
      <c r="AK1413" s="38"/>
      <c r="AL1413" s="38"/>
      <c r="AM1413" s="38"/>
      <c r="AN1413" s="38"/>
      <c r="AO1413" s="38"/>
      <c r="AP1413" s="38"/>
      <c r="AQ1413" s="38"/>
      <c r="AR1413" s="38"/>
      <c r="AS1413" s="38"/>
      <c r="AT1413" s="38"/>
      <c r="AU1413" s="38"/>
      <c r="AV1413" s="38"/>
      <c r="AW1413" s="38"/>
      <c r="AX1413" s="38"/>
      <c r="AY1413" s="38"/>
      <c r="AZ1413" s="38"/>
      <c r="BA1413" s="38"/>
      <c r="BB1413" s="38"/>
      <c r="BC1413" s="38"/>
      <c r="BD1413" s="38"/>
      <c r="BE1413" s="38"/>
      <c r="BF1413" s="38"/>
      <c r="BG1413" s="38"/>
      <c r="BH1413" s="38"/>
      <c r="BI1413" s="38"/>
      <c r="BJ1413" s="38"/>
      <c r="BK1413" s="38"/>
      <c r="BL1413" s="38"/>
      <c r="BM1413" s="38"/>
      <c r="BN1413" s="38"/>
      <c r="BO1413" s="38"/>
      <c r="BP1413" s="38"/>
      <c r="BQ1413" s="38"/>
    </row>
    <row r="1414">
      <c r="B1414" s="341"/>
      <c r="C1414" s="60"/>
      <c r="D1414" s="60"/>
      <c r="E1414" s="58"/>
      <c r="F1414" s="58"/>
      <c r="G1414" s="58"/>
      <c r="H1414" s="33" t="str">
        <f t="shared" si="33"/>
        <v/>
      </c>
      <c r="I1414" s="58"/>
      <c r="J1414" s="58"/>
      <c r="K1414" s="58"/>
      <c r="L1414" s="58"/>
      <c r="M1414" s="80"/>
      <c r="N1414" s="77"/>
      <c r="O1414" s="62"/>
      <c r="P1414" s="62"/>
      <c r="Q1414" s="62"/>
      <c r="R1414" s="62"/>
      <c r="S1414" s="37" t="str">
        <f>IFERROR(__xludf.DUMMYFUNCTION("if(not(iserror(index(split(C1414, "" ""),2))), index(split(C1414, "" ""),1),"""")"),"")</f>
        <v/>
      </c>
      <c r="T1414" s="315" t="str">
        <f>IFERROR(__xludf.DUMMYFUNCTION("if(S1414="""",C1414,if(not(iserror(index(split(C1414, "" ""),3))), index(split(C1414, "" ""),3),index(split(C1414, "" ""),2)))"),"")</f>
        <v/>
      </c>
      <c r="U1414" s="38" t="b">
        <f t="shared" si="34"/>
        <v>0</v>
      </c>
      <c r="V1414" s="38"/>
      <c r="W1414" s="40"/>
      <c r="X1414" s="40"/>
      <c r="Y1414" s="38"/>
      <c r="Z1414" s="38"/>
      <c r="AA1414" s="38"/>
      <c r="AB1414" s="38"/>
      <c r="AC1414" s="38"/>
      <c r="AD1414" s="38"/>
      <c r="AE1414" s="38"/>
      <c r="AF1414" s="38"/>
      <c r="AG1414" s="38"/>
      <c r="AH1414" s="38"/>
      <c r="AI1414" s="38"/>
      <c r="AJ1414" s="38"/>
      <c r="AK1414" s="38"/>
      <c r="AL1414" s="38"/>
      <c r="AM1414" s="38"/>
      <c r="AN1414" s="38"/>
      <c r="AO1414" s="38"/>
      <c r="AP1414" s="38"/>
      <c r="AQ1414" s="38"/>
      <c r="AR1414" s="38"/>
      <c r="AS1414" s="38"/>
      <c r="AT1414" s="38"/>
      <c r="AU1414" s="38"/>
      <c r="AV1414" s="38"/>
      <c r="AW1414" s="38"/>
      <c r="AX1414" s="38"/>
      <c r="AY1414" s="38"/>
      <c r="AZ1414" s="38"/>
      <c r="BA1414" s="38"/>
      <c r="BB1414" s="38"/>
      <c r="BC1414" s="38"/>
      <c r="BD1414" s="38"/>
      <c r="BE1414" s="38"/>
      <c r="BF1414" s="38"/>
      <c r="BG1414" s="38"/>
      <c r="BH1414" s="38"/>
      <c r="BI1414" s="38"/>
      <c r="BJ1414" s="38"/>
      <c r="BK1414" s="38"/>
      <c r="BL1414" s="38"/>
      <c r="BM1414" s="38"/>
      <c r="BN1414" s="38"/>
      <c r="BO1414" s="38"/>
      <c r="BP1414" s="38"/>
      <c r="BQ1414" s="38"/>
    </row>
    <row r="1415">
      <c r="B1415" s="341"/>
      <c r="C1415" s="60"/>
      <c r="D1415" s="60"/>
      <c r="E1415" s="58"/>
      <c r="F1415" s="58"/>
      <c r="G1415" s="58"/>
      <c r="H1415" s="33" t="str">
        <f t="shared" si="33"/>
        <v/>
      </c>
      <c r="I1415" s="58"/>
      <c r="J1415" s="58"/>
      <c r="K1415" s="58"/>
      <c r="L1415" s="58"/>
      <c r="M1415" s="80"/>
      <c r="N1415" s="77"/>
      <c r="O1415" s="62"/>
      <c r="P1415" s="62"/>
      <c r="Q1415" s="62"/>
      <c r="R1415" s="62"/>
      <c r="S1415" s="37" t="str">
        <f>IFERROR(__xludf.DUMMYFUNCTION("if(not(iserror(index(split(C1415, "" ""),2))), index(split(C1415, "" ""),1),"""")"),"")</f>
        <v/>
      </c>
      <c r="T1415" s="315" t="str">
        <f>IFERROR(__xludf.DUMMYFUNCTION("if(S1415="""",C1415,if(not(iserror(index(split(C1415, "" ""),3))), index(split(C1415, "" ""),3),index(split(C1415, "" ""),2)))"),"")</f>
        <v/>
      </c>
      <c r="U1415" s="38" t="b">
        <f t="shared" si="34"/>
        <v>0</v>
      </c>
      <c r="V1415" s="38"/>
      <c r="W1415" s="40"/>
      <c r="X1415" s="40"/>
      <c r="Y1415" s="38"/>
      <c r="Z1415" s="38"/>
      <c r="AA1415" s="38"/>
      <c r="AB1415" s="38"/>
      <c r="AC1415" s="38"/>
      <c r="AD1415" s="38"/>
      <c r="AE1415" s="38"/>
      <c r="AF1415" s="38"/>
      <c r="AG1415" s="38"/>
      <c r="AH1415" s="38"/>
      <c r="AI1415" s="38"/>
      <c r="AJ1415" s="38"/>
      <c r="AK1415" s="38"/>
      <c r="AL1415" s="38"/>
      <c r="AM1415" s="38"/>
      <c r="AN1415" s="38"/>
      <c r="AO1415" s="38"/>
      <c r="AP1415" s="38"/>
      <c r="AQ1415" s="38"/>
      <c r="AR1415" s="38"/>
      <c r="AS1415" s="38"/>
      <c r="AT1415" s="38"/>
      <c r="AU1415" s="38"/>
      <c r="AV1415" s="38"/>
      <c r="AW1415" s="38"/>
      <c r="AX1415" s="38"/>
      <c r="AY1415" s="38"/>
      <c r="AZ1415" s="38"/>
      <c r="BA1415" s="38"/>
      <c r="BB1415" s="38"/>
      <c r="BC1415" s="38"/>
      <c r="BD1415" s="38"/>
      <c r="BE1415" s="38"/>
      <c r="BF1415" s="38"/>
      <c r="BG1415" s="38"/>
      <c r="BH1415" s="38"/>
      <c r="BI1415" s="38"/>
      <c r="BJ1415" s="38"/>
      <c r="BK1415" s="38"/>
      <c r="BL1415" s="38"/>
      <c r="BM1415" s="38"/>
      <c r="BN1415" s="38"/>
      <c r="BO1415" s="38"/>
      <c r="BP1415" s="38"/>
      <c r="BQ1415" s="38"/>
    </row>
    <row r="1416">
      <c r="B1416" s="341"/>
      <c r="C1416" s="60"/>
      <c r="D1416" s="60"/>
      <c r="E1416" s="58"/>
      <c r="F1416" s="58"/>
      <c r="G1416" s="58"/>
      <c r="H1416" s="33" t="str">
        <f t="shared" si="33"/>
        <v/>
      </c>
      <c r="I1416" s="58"/>
      <c r="J1416" s="58"/>
      <c r="K1416" s="58"/>
      <c r="L1416" s="58"/>
      <c r="M1416" s="80"/>
      <c r="N1416" s="77"/>
      <c r="O1416" s="62"/>
      <c r="P1416" s="62"/>
      <c r="Q1416" s="62"/>
      <c r="R1416" s="62"/>
      <c r="S1416" s="37" t="str">
        <f>IFERROR(__xludf.DUMMYFUNCTION("if(not(iserror(index(split(C1416, "" ""),2))), index(split(C1416, "" ""),1),"""")"),"")</f>
        <v/>
      </c>
      <c r="T1416" s="315" t="str">
        <f>IFERROR(__xludf.DUMMYFUNCTION("if(S1416="""",C1416,if(not(iserror(index(split(C1416, "" ""),3))), index(split(C1416, "" ""),3),index(split(C1416, "" ""),2)))"),"")</f>
        <v/>
      </c>
      <c r="U1416" s="38" t="b">
        <f t="shared" si="34"/>
        <v>0</v>
      </c>
      <c r="V1416" s="38"/>
      <c r="W1416" s="40"/>
      <c r="X1416" s="40"/>
      <c r="Y1416" s="38"/>
      <c r="Z1416" s="38"/>
      <c r="AA1416" s="38"/>
      <c r="AB1416" s="38"/>
      <c r="AC1416" s="38"/>
      <c r="AD1416" s="38"/>
      <c r="AE1416" s="38"/>
      <c r="AF1416" s="38"/>
      <c r="AG1416" s="38"/>
      <c r="AH1416" s="38"/>
      <c r="AI1416" s="38"/>
      <c r="AJ1416" s="38"/>
      <c r="AK1416" s="38"/>
      <c r="AL1416" s="38"/>
      <c r="AM1416" s="38"/>
      <c r="AN1416" s="38"/>
      <c r="AO1416" s="38"/>
      <c r="AP1416" s="38"/>
      <c r="AQ1416" s="38"/>
      <c r="AR1416" s="38"/>
      <c r="AS1416" s="38"/>
      <c r="AT1416" s="38"/>
      <c r="AU1416" s="38"/>
      <c r="AV1416" s="38"/>
      <c r="AW1416" s="38"/>
      <c r="AX1416" s="38"/>
      <c r="AY1416" s="38"/>
      <c r="AZ1416" s="38"/>
      <c r="BA1416" s="38"/>
      <c r="BB1416" s="38"/>
      <c r="BC1416" s="38"/>
      <c r="BD1416" s="38"/>
      <c r="BE1416" s="38"/>
      <c r="BF1416" s="38"/>
      <c r="BG1416" s="38"/>
      <c r="BH1416" s="38"/>
      <c r="BI1416" s="38"/>
      <c r="BJ1416" s="38"/>
      <c r="BK1416" s="38"/>
      <c r="BL1416" s="38"/>
      <c r="BM1416" s="38"/>
      <c r="BN1416" s="38"/>
      <c r="BO1416" s="38"/>
      <c r="BP1416" s="38"/>
      <c r="BQ1416" s="38"/>
    </row>
    <row r="1417">
      <c r="B1417" s="341"/>
      <c r="C1417" s="60"/>
      <c r="D1417" s="60"/>
      <c r="E1417" s="58"/>
      <c r="F1417" s="58"/>
      <c r="G1417" s="58"/>
      <c r="H1417" s="33" t="str">
        <f t="shared" si="33"/>
        <v/>
      </c>
      <c r="I1417" s="58"/>
      <c r="J1417" s="58"/>
      <c r="K1417" s="58"/>
      <c r="L1417" s="58"/>
      <c r="M1417" s="80"/>
      <c r="N1417" s="77"/>
      <c r="O1417" s="62"/>
      <c r="P1417" s="58"/>
      <c r="Q1417" s="84"/>
      <c r="R1417" s="62"/>
      <c r="S1417" s="37" t="str">
        <f>IFERROR(__xludf.DUMMYFUNCTION("if(not(iserror(index(split(C1417, "" ""),2))), index(split(C1417, "" ""),1),"""")"),"")</f>
        <v/>
      </c>
      <c r="T1417" s="315" t="str">
        <f>IFERROR(__xludf.DUMMYFUNCTION("if(S1417="""",C1417,if(not(iserror(index(split(C1417, "" ""),3))), index(split(C1417, "" ""),3),index(split(C1417, "" ""),2)))"),"")</f>
        <v/>
      </c>
      <c r="U1417" s="38" t="b">
        <f t="shared" si="34"/>
        <v>0</v>
      </c>
      <c r="V1417" s="38"/>
      <c r="W1417" s="40"/>
      <c r="X1417" s="40"/>
      <c r="Y1417" s="38"/>
      <c r="Z1417" s="38"/>
      <c r="AA1417" s="38"/>
      <c r="AB1417" s="38"/>
      <c r="AC1417" s="38"/>
      <c r="AD1417" s="38"/>
      <c r="AE1417" s="38"/>
      <c r="AF1417" s="38"/>
      <c r="AG1417" s="38"/>
      <c r="AH1417" s="38"/>
      <c r="AI1417" s="38"/>
      <c r="AJ1417" s="38"/>
      <c r="AK1417" s="38"/>
      <c r="AL1417" s="38"/>
      <c r="AM1417" s="38"/>
      <c r="AN1417" s="38"/>
      <c r="AO1417" s="38"/>
      <c r="AP1417" s="38"/>
      <c r="AQ1417" s="38"/>
      <c r="AR1417" s="38"/>
      <c r="AS1417" s="38"/>
      <c r="AT1417" s="38"/>
      <c r="AU1417" s="38"/>
      <c r="AV1417" s="38"/>
      <c r="AW1417" s="38"/>
      <c r="AX1417" s="38"/>
      <c r="AY1417" s="38"/>
      <c r="AZ1417" s="38"/>
      <c r="BA1417" s="38"/>
      <c r="BB1417" s="38"/>
      <c r="BC1417" s="38"/>
      <c r="BD1417" s="38"/>
      <c r="BE1417" s="38"/>
      <c r="BF1417" s="38"/>
      <c r="BG1417" s="38"/>
      <c r="BH1417" s="38"/>
      <c r="BI1417" s="38"/>
      <c r="BJ1417" s="38"/>
      <c r="BK1417" s="38"/>
      <c r="BL1417" s="38"/>
      <c r="BM1417" s="38"/>
      <c r="BN1417" s="38"/>
      <c r="BO1417" s="38"/>
      <c r="BP1417" s="38"/>
      <c r="BQ1417" s="38"/>
    </row>
    <row r="1418">
      <c r="B1418" s="341"/>
      <c r="C1418" s="60"/>
      <c r="D1418" s="60"/>
      <c r="E1418" s="58"/>
      <c r="F1418" s="58"/>
      <c r="G1418" s="58"/>
      <c r="H1418" s="33" t="str">
        <f t="shared" si="33"/>
        <v/>
      </c>
      <c r="I1418" s="58"/>
      <c r="J1418" s="58"/>
      <c r="K1418" s="58"/>
      <c r="L1418" s="58"/>
      <c r="M1418" s="80"/>
      <c r="N1418" s="77"/>
      <c r="O1418" s="62"/>
      <c r="P1418" s="58"/>
      <c r="Q1418" s="84"/>
      <c r="R1418" s="62"/>
      <c r="S1418" s="37" t="str">
        <f>IFERROR(__xludf.DUMMYFUNCTION("if(not(iserror(index(split(C1418, "" ""),2))), index(split(C1418, "" ""),1),"""")"),"")</f>
        <v/>
      </c>
      <c r="T1418" s="315" t="str">
        <f>IFERROR(__xludf.DUMMYFUNCTION("if(S1418="""",C1418,if(not(iserror(index(split(C1418, "" ""),3))), index(split(C1418, "" ""),3),index(split(C1418, "" ""),2)))"),"")</f>
        <v/>
      </c>
      <c r="U1418" s="38" t="b">
        <f t="shared" si="34"/>
        <v>0</v>
      </c>
      <c r="V1418" s="38"/>
      <c r="W1418" s="40"/>
      <c r="X1418" s="40"/>
      <c r="Y1418" s="38"/>
      <c r="Z1418" s="38"/>
      <c r="AA1418" s="38"/>
      <c r="AB1418" s="38"/>
      <c r="AC1418" s="38"/>
      <c r="AD1418" s="38"/>
      <c r="AE1418" s="38"/>
      <c r="AF1418" s="38"/>
      <c r="AG1418" s="38"/>
      <c r="AH1418" s="38"/>
      <c r="AI1418" s="38"/>
      <c r="AJ1418" s="38"/>
      <c r="AK1418" s="38"/>
      <c r="AL1418" s="38"/>
      <c r="AM1418" s="38"/>
      <c r="AN1418" s="38"/>
      <c r="AO1418" s="38"/>
      <c r="AP1418" s="38"/>
      <c r="AQ1418" s="38"/>
      <c r="AR1418" s="38"/>
      <c r="AS1418" s="38"/>
      <c r="AT1418" s="38"/>
      <c r="AU1418" s="38"/>
      <c r="AV1418" s="38"/>
      <c r="AW1418" s="38"/>
      <c r="AX1418" s="38"/>
      <c r="AY1418" s="38"/>
      <c r="AZ1418" s="38"/>
      <c r="BA1418" s="38"/>
      <c r="BB1418" s="38"/>
      <c r="BC1418" s="38"/>
      <c r="BD1418" s="38"/>
      <c r="BE1418" s="38"/>
      <c r="BF1418" s="38"/>
      <c r="BG1418" s="38"/>
      <c r="BH1418" s="38"/>
      <c r="BI1418" s="38"/>
      <c r="BJ1418" s="38"/>
      <c r="BK1418" s="38"/>
      <c r="BL1418" s="38"/>
      <c r="BM1418" s="38"/>
      <c r="BN1418" s="38"/>
      <c r="BO1418" s="38"/>
      <c r="BP1418" s="38"/>
      <c r="BQ1418" s="38"/>
    </row>
    <row r="1419">
      <c r="B1419" s="341"/>
      <c r="C1419" s="60"/>
      <c r="D1419" s="60"/>
      <c r="E1419" s="58"/>
      <c r="F1419" s="58"/>
      <c r="G1419" s="58"/>
      <c r="H1419" s="33" t="str">
        <f t="shared" si="33"/>
        <v/>
      </c>
      <c r="I1419" s="58"/>
      <c r="J1419" s="58"/>
      <c r="K1419" s="58"/>
      <c r="L1419" s="58"/>
      <c r="M1419" s="80"/>
      <c r="N1419" s="77"/>
      <c r="O1419" s="62"/>
      <c r="P1419" s="58"/>
      <c r="Q1419" s="84"/>
      <c r="R1419" s="62"/>
      <c r="S1419" s="37" t="str">
        <f>IFERROR(__xludf.DUMMYFUNCTION("if(not(iserror(index(split(C1419, "" ""),2))), index(split(C1419, "" ""),1),"""")"),"")</f>
        <v/>
      </c>
      <c r="T1419" s="315" t="str">
        <f>IFERROR(__xludf.DUMMYFUNCTION("if(S1419="""",C1419,if(not(iserror(index(split(C1419, "" ""),3))), index(split(C1419, "" ""),3),index(split(C1419, "" ""),2)))"),"")</f>
        <v/>
      </c>
      <c r="U1419" s="38" t="b">
        <f t="shared" si="34"/>
        <v>0</v>
      </c>
      <c r="V1419" s="38"/>
      <c r="W1419" s="40"/>
      <c r="X1419" s="40"/>
      <c r="Y1419" s="38"/>
      <c r="Z1419" s="38"/>
      <c r="AA1419" s="38"/>
      <c r="AB1419" s="38"/>
      <c r="AC1419" s="38"/>
      <c r="AD1419" s="38"/>
      <c r="AE1419" s="38"/>
      <c r="AF1419" s="38"/>
      <c r="AG1419" s="38"/>
      <c r="AH1419" s="38"/>
      <c r="AI1419" s="38"/>
      <c r="AJ1419" s="38"/>
      <c r="AK1419" s="38"/>
      <c r="AL1419" s="38"/>
      <c r="AM1419" s="38"/>
      <c r="AN1419" s="38"/>
      <c r="AO1419" s="38"/>
      <c r="AP1419" s="38"/>
      <c r="AQ1419" s="38"/>
      <c r="AR1419" s="38"/>
      <c r="AS1419" s="38"/>
      <c r="AT1419" s="38"/>
      <c r="AU1419" s="38"/>
      <c r="AV1419" s="38"/>
      <c r="AW1419" s="38"/>
      <c r="AX1419" s="38"/>
      <c r="AY1419" s="38"/>
      <c r="AZ1419" s="38"/>
      <c r="BA1419" s="38"/>
      <c r="BB1419" s="38"/>
      <c r="BC1419" s="38"/>
      <c r="BD1419" s="38"/>
      <c r="BE1419" s="38"/>
      <c r="BF1419" s="38"/>
      <c r="BG1419" s="38"/>
      <c r="BH1419" s="38"/>
      <c r="BI1419" s="38"/>
      <c r="BJ1419" s="38"/>
      <c r="BK1419" s="38"/>
      <c r="BL1419" s="38"/>
      <c r="BM1419" s="38"/>
      <c r="BN1419" s="38"/>
      <c r="BO1419" s="38"/>
      <c r="BP1419" s="38"/>
      <c r="BQ1419" s="38"/>
    </row>
    <row r="1420">
      <c r="B1420" s="341"/>
      <c r="C1420" s="60"/>
      <c r="D1420" s="60"/>
      <c r="E1420" s="58"/>
      <c r="F1420" s="58"/>
      <c r="G1420" s="58"/>
      <c r="H1420" s="33" t="str">
        <f t="shared" si="33"/>
        <v/>
      </c>
      <c r="I1420" s="58"/>
      <c r="J1420" s="58"/>
      <c r="K1420" s="58"/>
      <c r="L1420" s="58"/>
      <c r="M1420" s="80"/>
      <c r="N1420" s="77"/>
      <c r="O1420" s="62"/>
      <c r="P1420" s="62"/>
      <c r="Q1420" s="62"/>
      <c r="R1420" s="62"/>
      <c r="S1420" s="37" t="str">
        <f>IFERROR(__xludf.DUMMYFUNCTION("if(not(iserror(index(split(C1420, "" ""),2))), index(split(C1420, "" ""),1),"""")"),"")</f>
        <v/>
      </c>
      <c r="T1420" s="315" t="str">
        <f>IFERROR(__xludf.DUMMYFUNCTION("if(S1420="""",C1420,if(not(iserror(index(split(C1420, "" ""),3))), index(split(C1420, "" ""),3),index(split(C1420, "" ""),2)))"),"")</f>
        <v/>
      </c>
      <c r="U1420" s="38" t="b">
        <f t="shared" si="34"/>
        <v>0</v>
      </c>
      <c r="V1420" s="38"/>
      <c r="W1420" s="40"/>
      <c r="X1420" s="40"/>
      <c r="Y1420" s="38"/>
      <c r="Z1420" s="38"/>
      <c r="AA1420" s="38"/>
      <c r="AB1420" s="38"/>
      <c r="AC1420" s="38"/>
      <c r="AD1420" s="38"/>
      <c r="AE1420" s="38"/>
      <c r="AF1420" s="38"/>
      <c r="AG1420" s="38"/>
      <c r="AH1420" s="38"/>
      <c r="AI1420" s="38"/>
      <c r="AJ1420" s="38"/>
      <c r="AK1420" s="38"/>
      <c r="AL1420" s="38"/>
      <c r="AM1420" s="38"/>
      <c r="AN1420" s="38"/>
      <c r="AO1420" s="38"/>
      <c r="AP1420" s="38"/>
      <c r="AQ1420" s="38"/>
      <c r="AR1420" s="38"/>
      <c r="AS1420" s="38"/>
      <c r="AT1420" s="38"/>
      <c r="AU1420" s="38"/>
      <c r="AV1420" s="38"/>
      <c r="AW1420" s="38"/>
      <c r="AX1420" s="38"/>
      <c r="AY1420" s="38"/>
      <c r="AZ1420" s="38"/>
      <c r="BA1420" s="38"/>
      <c r="BB1420" s="38"/>
      <c r="BC1420" s="38"/>
      <c r="BD1420" s="38"/>
      <c r="BE1420" s="38"/>
      <c r="BF1420" s="38"/>
      <c r="BG1420" s="38"/>
      <c r="BH1420" s="38"/>
      <c r="BI1420" s="38"/>
      <c r="BJ1420" s="38"/>
      <c r="BK1420" s="38"/>
      <c r="BL1420" s="38"/>
      <c r="BM1420" s="38"/>
      <c r="BN1420" s="38"/>
      <c r="BO1420" s="38"/>
      <c r="BP1420" s="38"/>
      <c r="BQ1420" s="38"/>
    </row>
    <row r="1421">
      <c r="B1421" s="341"/>
      <c r="C1421" s="60"/>
      <c r="D1421" s="60"/>
      <c r="E1421" s="58"/>
      <c r="F1421" s="58"/>
      <c r="G1421" s="58"/>
      <c r="H1421" s="33" t="str">
        <f t="shared" si="33"/>
        <v/>
      </c>
      <c r="I1421" s="58"/>
      <c r="J1421" s="58"/>
      <c r="K1421" s="58"/>
      <c r="L1421" s="58"/>
      <c r="M1421" s="80"/>
      <c r="N1421" s="77"/>
      <c r="O1421" s="62"/>
      <c r="P1421" s="62"/>
      <c r="Q1421" s="62"/>
      <c r="R1421" s="62"/>
      <c r="S1421" s="37" t="str">
        <f>IFERROR(__xludf.DUMMYFUNCTION("if(not(iserror(index(split(C1421, "" ""),2))), index(split(C1421, "" ""),1),"""")"),"")</f>
        <v/>
      </c>
      <c r="T1421" s="315" t="str">
        <f>IFERROR(__xludf.DUMMYFUNCTION("if(S1421="""",C1421,if(not(iserror(index(split(C1421, "" ""),3))), index(split(C1421, "" ""),3),index(split(C1421, "" ""),2)))"),"")</f>
        <v/>
      </c>
      <c r="U1421" s="38" t="b">
        <f t="shared" si="34"/>
        <v>0</v>
      </c>
      <c r="V1421" s="38"/>
      <c r="W1421" s="40"/>
      <c r="X1421" s="40"/>
      <c r="Y1421" s="38"/>
      <c r="Z1421" s="38"/>
      <c r="AA1421" s="38"/>
      <c r="AB1421" s="38"/>
      <c r="AC1421" s="38"/>
      <c r="AD1421" s="38"/>
      <c r="AE1421" s="38"/>
      <c r="AF1421" s="38"/>
      <c r="AG1421" s="38"/>
      <c r="AH1421" s="38"/>
      <c r="AI1421" s="38"/>
      <c r="AJ1421" s="38"/>
      <c r="AK1421" s="38"/>
      <c r="AL1421" s="38"/>
      <c r="AM1421" s="38"/>
      <c r="AN1421" s="38"/>
      <c r="AO1421" s="38"/>
      <c r="AP1421" s="38"/>
      <c r="AQ1421" s="38"/>
      <c r="AR1421" s="38"/>
      <c r="AS1421" s="38"/>
      <c r="AT1421" s="38"/>
      <c r="AU1421" s="38"/>
      <c r="AV1421" s="38"/>
      <c r="AW1421" s="38"/>
      <c r="AX1421" s="38"/>
      <c r="AY1421" s="38"/>
      <c r="AZ1421" s="38"/>
      <c r="BA1421" s="38"/>
      <c r="BB1421" s="38"/>
      <c r="BC1421" s="38"/>
      <c r="BD1421" s="38"/>
      <c r="BE1421" s="38"/>
      <c r="BF1421" s="38"/>
      <c r="BG1421" s="38"/>
      <c r="BH1421" s="38"/>
      <c r="BI1421" s="38"/>
      <c r="BJ1421" s="38"/>
      <c r="BK1421" s="38"/>
      <c r="BL1421" s="38"/>
      <c r="BM1421" s="38"/>
      <c r="BN1421" s="38"/>
      <c r="BO1421" s="38"/>
      <c r="BP1421" s="38"/>
      <c r="BQ1421" s="38"/>
    </row>
    <row r="1422">
      <c r="A1422" s="58"/>
      <c r="B1422" s="341"/>
      <c r="C1422" s="60"/>
      <c r="D1422" s="60"/>
      <c r="E1422" s="58"/>
      <c r="F1422" s="58"/>
      <c r="G1422" s="58"/>
      <c r="H1422" s="33" t="str">
        <f t="shared" si="33"/>
        <v/>
      </c>
      <c r="I1422" s="58"/>
      <c r="J1422" s="58"/>
      <c r="K1422" s="58"/>
      <c r="L1422" s="58"/>
      <c r="M1422" s="80"/>
      <c r="N1422" s="77"/>
      <c r="O1422" s="62"/>
      <c r="P1422" s="62"/>
      <c r="Q1422" s="62"/>
      <c r="R1422" s="62"/>
      <c r="S1422" s="37" t="str">
        <f>IFERROR(__xludf.DUMMYFUNCTION("if(not(iserror(index(split(C1422, "" ""),2))), index(split(C1422, "" ""),1),"""")"),"")</f>
        <v/>
      </c>
      <c r="T1422" s="315" t="str">
        <f>IFERROR(__xludf.DUMMYFUNCTION("if(S1422="""",C1422,if(not(iserror(index(split(C1422, "" ""),3))), index(split(C1422, "" ""),3),index(split(C1422, "" ""),2)))"),"")</f>
        <v/>
      </c>
      <c r="U1422" s="38" t="b">
        <f t="shared" si="34"/>
        <v>0</v>
      </c>
      <c r="V1422" s="38"/>
      <c r="W1422" s="40"/>
      <c r="X1422" s="40"/>
      <c r="Y1422" s="38"/>
      <c r="Z1422" s="38"/>
      <c r="AA1422" s="38"/>
      <c r="AB1422" s="38"/>
      <c r="AC1422" s="38"/>
      <c r="AD1422" s="38"/>
      <c r="AE1422" s="38"/>
      <c r="AF1422" s="38"/>
      <c r="AG1422" s="38"/>
      <c r="AH1422" s="38"/>
      <c r="AI1422" s="38"/>
      <c r="AJ1422" s="38"/>
      <c r="AK1422" s="38"/>
      <c r="AL1422" s="38"/>
      <c r="AM1422" s="38"/>
      <c r="AN1422" s="38"/>
      <c r="AO1422" s="38"/>
      <c r="AP1422" s="38"/>
      <c r="AQ1422" s="38"/>
      <c r="AR1422" s="38"/>
      <c r="AS1422" s="38"/>
      <c r="AT1422" s="38"/>
      <c r="AU1422" s="38"/>
      <c r="AV1422" s="38"/>
      <c r="AW1422" s="38"/>
      <c r="AX1422" s="38"/>
      <c r="AY1422" s="38"/>
      <c r="AZ1422" s="38"/>
      <c r="BA1422" s="38"/>
      <c r="BB1422" s="38"/>
      <c r="BC1422" s="38"/>
      <c r="BD1422" s="38"/>
      <c r="BE1422" s="38"/>
      <c r="BF1422" s="38"/>
      <c r="BG1422" s="38"/>
      <c r="BH1422" s="38"/>
      <c r="BI1422" s="38"/>
      <c r="BJ1422" s="38"/>
      <c r="BK1422" s="38"/>
      <c r="BL1422" s="38"/>
      <c r="BM1422" s="38"/>
      <c r="BN1422" s="38"/>
      <c r="BO1422" s="38"/>
      <c r="BP1422" s="38"/>
      <c r="BQ1422" s="38"/>
    </row>
    <row r="1423">
      <c r="A1423" s="58"/>
      <c r="B1423" s="341"/>
      <c r="C1423" s="60"/>
      <c r="D1423" s="60"/>
      <c r="E1423" s="58"/>
      <c r="F1423" s="58"/>
      <c r="G1423" s="58"/>
      <c r="H1423" s="33" t="str">
        <f t="shared" si="33"/>
        <v/>
      </c>
      <c r="I1423" s="58"/>
      <c r="J1423" s="58"/>
      <c r="K1423" s="58"/>
      <c r="L1423" s="58"/>
      <c r="M1423" s="80"/>
      <c r="N1423" s="77"/>
      <c r="O1423" s="62"/>
      <c r="P1423" s="62"/>
      <c r="Q1423" s="62"/>
      <c r="R1423" s="62"/>
      <c r="S1423" s="37" t="str">
        <f>IFERROR(__xludf.DUMMYFUNCTION("if(not(iserror(index(split(C1423, "" ""),2))), index(split(C1423, "" ""),1),"""")"),"")</f>
        <v/>
      </c>
      <c r="T1423" s="315" t="str">
        <f>IFERROR(__xludf.DUMMYFUNCTION("if(S1423="""",C1423,if(not(iserror(index(split(C1423, "" ""),3))), index(split(C1423, "" ""),3),index(split(C1423, "" ""),2)))"),"")</f>
        <v/>
      </c>
      <c r="U1423" s="38" t="b">
        <f t="shared" si="34"/>
        <v>0</v>
      </c>
      <c r="V1423" s="38"/>
      <c r="W1423" s="40"/>
      <c r="X1423" s="40"/>
      <c r="Y1423" s="38"/>
      <c r="Z1423" s="38"/>
      <c r="AA1423" s="38"/>
      <c r="AB1423" s="38"/>
      <c r="AC1423" s="38"/>
      <c r="AD1423" s="38"/>
      <c r="AE1423" s="38"/>
      <c r="AF1423" s="38"/>
      <c r="AG1423" s="38"/>
      <c r="AH1423" s="38"/>
      <c r="AI1423" s="38"/>
      <c r="AJ1423" s="38"/>
      <c r="AK1423" s="38"/>
      <c r="AL1423" s="38"/>
      <c r="AM1423" s="38"/>
      <c r="AN1423" s="38"/>
      <c r="AO1423" s="38"/>
      <c r="AP1423" s="38"/>
      <c r="AQ1423" s="38"/>
      <c r="AR1423" s="38"/>
      <c r="AS1423" s="38"/>
      <c r="AT1423" s="38"/>
      <c r="AU1423" s="38"/>
      <c r="AV1423" s="38"/>
      <c r="AW1423" s="38"/>
      <c r="AX1423" s="38"/>
      <c r="AY1423" s="38"/>
      <c r="AZ1423" s="38"/>
      <c r="BA1423" s="38"/>
      <c r="BB1423" s="38"/>
      <c r="BC1423" s="38"/>
      <c r="BD1423" s="38"/>
      <c r="BE1423" s="38"/>
      <c r="BF1423" s="38"/>
      <c r="BG1423" s="38"/>
      <c r="BH1423" s="38"/>
      <c r="BI1423" s="38"/>
      <c r="BJ1423" s="38"/>
      <c r="BK1423" s="38"/>
      <c r="BL1423" s="38"/>
      <c r="BM1423" s="38"/>
      <c r="BN1423" s="38"/>
      <c r="BO1423" s="38"/>
      <c r="BP1423" s="38"/>
      <c r="BQ1423" s="38"/>
    </row>
    <row r="1424">
      <c r="B1424" s="341"/>
      <c r="C1424" s="60"/>
      <c r="D1424" s="60"/>
      <c r="E1424" s="58"/>
      <c r="F1424" s="58"/>
      <c r="G1424" s="58"/>
      <c r="H1424" s="33" t="str">
        <f t="shared" si="33"/>
        <v/>
      </c>
      <c r="I1424" s="58"/>
      <c r="J1424" s="58"/>
      <c r="K1424" s="58"/>
      <c r="L1424" s="58"/>
      <c r="M1424" s="80"/>
      <c r="N1424" s="77"/>
      <c r="O1424" s="58"/>
      <c r="P1424" s="62"/>
      <c r="Q1424" s="84"/>
      <c r="R1424" s="62"/>
      <c r="S1424" s="37" t="str">
        <f>IFERROR(__xludf.DUMMYFUNCTION("if(not(iserror(index(split(C1424, "" ""),2))), index(split(C1424, "" ""),1),"""")"),"")</f>
        <v/>
      </c>
      <c r="T1424" s="315" t="str">
        <f>IFERROR(__xludf.DUMMYFUNCTION("if(S1424="""",C1424,if(not(iserror(index(split(C1424, "" ""),3))), index(split(C1424, "" ""),3),index(split(C1424, "" ""),2)))"),"")</f>
        <v/>
      </c>
      <c r="U1424" s="38" t="b">
        <f t="shared" si="34"/>
        <v>0</v>
      </c>
      <c r="V1424" s="38"/>
      <c r="W1424" s="40"/>
      <c r="X1424" s="40"/>
      <c r="Y1424" s="38"/>
      <c r="Z1424" s="38"/>
      <c r="AA1424" s="38"/>
      <c r="AB1424" s="38"/>
      <c r="AC1424" s="38"/>
      <c r="AD1424" s="38"/>
      <c r="AE1424" s="38"/>
      <c r="AF1424" s="38"/>
      <c r="AG1424" s="38"/>
      <c r="AH1424" s="38"/>
      <c r="AI1424" s="38"/>
      <c r="AJ1424" s="38"/>
      <c r="AK1424" s="38"/>
      <c r="AL1424" s="38"/>
      <c r="AM1424" s="38"/>
      <c r="AN1424" s="38"/>
      <c r="AO1424" s="38"/>
      <c r="AP1424" s="38"/>
      <c r="AQ1424" s="38"/>
      <c r="AR1424" s="38"/>
      <c r="AS1424" s="38"/>
      <c r="AT1424" s="38"/>
      <c r="AU1424" s="38"/>
      <c r="AV1424" s="38"/>
      <c r="AW1424" s="38"/>
      <c r="AX1424" s="38"/>
      <c r="AY1424" s="38"/>
      <c r="AZ1424" s="38"/>
      <c r="BA1424" s="38"/>
      <c r="BB1424" s="38"/>
      <c r="BC1424" s="38"/>
      <c r="BD1424" s="38"/>
      <c r="BE1424" s="38"/>
      <c r="BF1424" s="38"/>
      <c r="BG1424" s="38"/>
      <c r="BH1424" s="38"/>
      <c r="BI1424" s="38"/>
      <c r="BJ1424" s="38"/>
      <c r="BK1424" s="38"/>
      <c r="BL1424" s="38"/>
      <c r="BM1424" s="38"/>
      <c r="BN1424" s="38"/>
      <c r="BO1424" s="38"/>
      <c r="BP1424" s="38"/>
      <c r="BQ1424" s="38"/>
    </row>
    <row r="1425">
      <c r="B1425" s="341"/>
      <c r="C1425" s="60"/>
      <c r="D1425" s="60"/>
      <c r="E1425" s="58"/>
      <c r="F1425" s="58"/>
      <c r="G1425" s="58"/>
      <c r="H1425" s="33" t="str">
        <f t="shared" si="33"/>
        <v/>
      </c>
      <c r="I1425" s="58"/>
      <c r="J1425" s="58"/>
      <c r="K1425" s="58"/>
      <c r="L1425" s="58"/>
      <c r="M1425" s="80"/>
      <c r="N1425" s="77"/>
      <c r="O1425" s="58"/>
      <c r="P1425" s="62"/>
      <c r="Q1425" s="84"/>
      <c r="R1425" s="62"/>
      <c r="S1425" s="37" t="str">
        <f>IFERROR(__xludf.DUMMYFUNCTION("if(not(iserror(index(split(C1425, "" ""),2))), index(split(C1425, "" ""),1),"""")"),"")</f>
        <v/>
      </c>
      <c r="T1425" s="315" t="str">
        <f>IFERROR(__xludf.DUMMYFUNCTION("if(S1425="""",C1425,if(not(iserror(index(split(C1425, "" ""),3))), index(split(C1425, "" ""),3),index(split(C1425, "" ""),2)))"),"")</f>
        <v/>
      </c>
      <c r="U1425" s="38" t="b">
        <f t="shared" si="34"/>
        <v>0</v>
      </c>
      <c r="V1425" s="38"/>
      <c r="W1425" s="40"/>
      <c r="X1425" s="40"/>
      <c r="Y1425" s="38"/>
      <c r="Z1425" s="38"/>
      <c r="AA1425" s="38"/>
      <c r="AB1425" s="38"/>
      <c r="AC1425" s="38"/>
      <c r="AD1425" s="38"/>
      <c r="AE1425" s="38"/>
      <c r="AF1425" s="38"/>
      <c r="AG1425" s="38"/>
      <c r="AH1425" s="38"/>
      <c r="AI1425" s="38"/>
      <c r="AJ1425" s="38"/>
      <c r="AK1425" s="38"/>
      <c r="AL1425" s="38"/>
      <c r="AM1425" s="38"/>
      <c r="AN1425" s="38"/>
      <c r="AO1425" s="38"/>
      <c r="AP1425" s="38"/>
      <c r="AQ1425" s="38"/>
      <c r="AR1425" s="38"/>
      <c r="AS1425" s="38"/>
      <c r="AT1425" s="38"/>
      <c r="AU1425" s="38"/>
      <c r="AV1425" s="38"/>
      <c r="AW1425" s="38"/>
      <c r="AX1425" s="38"/>
      <c r="AY1425" s="38"/>
      <c r="AZ1425" s="38"/>
      <c r="BA1425" s="38"/>
      <c r="BB1425" s="38"/>
      <c r="BC1425" s="38"/>
      <c r="BD1425" s="38"/>
      <c r="BE1425" s="38"/>
      <c r="BF1425" s="38"/>
      <c r="BG1425" s="38"/>
      <c r="BH1425" s="38"/>
      <c r="BI1425" s="38"/>
      <c r="BJ1425" s="38"/>
      <c r="BK1425" s="38"/>
      <c r="BL1425" s="38"/>
      <c r="BM1425" s="38"/>
      <c r="BN1425" s="38"/>
      <c r="BO1425" s="38"/>
      <c r="BP1425" s="38"/>
      <c r="BQ1425" s="38"/>
    </row>
    <row r="1426">
      <c r="B1426" s="341"/>
      <c r="C1426" s="60"/>
      <c r="D1426" s="60"/>
      <c r="E1426" s="58"/>
      <c r="F1426" s="58"/>
      <c r="G1426" s="58"/>
      <c r="H1426" s="33" t="str">
        <f t="shared" si="33"/>
        <v/>
      </c>
      <c r="I1426" s="58"/>
      <c r="J1426" s="58"/>
      <c r="K1426" s="58"/>
      <c r="L1426" s="58"/>
      <c r="M1426" s="80"/>
      <c r="N1426" s="77"/>
      <c r="O1426" s="58"/>
      <c r="P1426" s="62"/>
      <c r="Q1426" s="84"/>
      <c r="R1426" s="62"/>
      <c r="S1426" s="37" t="str">
        <f>IFERROR(__xludf.DUMMYFUNCTION("if(not(iserror(index(split(C1426, "" ""),2))), index(split(C1426, "" ""),1),"""")"),"")</f>
        <v/>
      </c>
      <c r="T1426" s="315" t="str">
        <f>IFERROR(__xludf.DUMMYFUNCTION("if(S1426="""",C1426,if(not(iserror(index(split(C1426, "" ""),3))), index(split(C1426, "" ""),3),index(split(C1426, "" ""),2)))"),"")</f>
        <v/>
      </c>
      <c r="U1426" s="38" t="b">
        <f t="shared" si="34"/>
        <v>0</v>
      </c>
      <c r="V1426" s="38"/>
      <c r="W1426" s="40"/>
      <c r="X1426" s="40"/>
      <c r="Y1426" s="38"/>
      <c r="Z1426" s="38"/>
      <c r="AA1426" s="38"/>
      <c r="AB1426" s="38"/>
      <c r="AC1426" s="38"/>
      <c r="AD1426" s="38"/>
      <c r="AE1426" s="38"/>
      <c r="AF1426" s="38"/>
      <c r="AG1426" s="38"/>
      <c r="AH1426" s="38"/>
      <c r="AI1426" s="38"/>
      <c r="AJ1426" s="38"/>
      <c r="AK1426" s="38"/>
      <c r="AL1426" s="38"/>
      <c r="AM1426" s="38"/>
      <c r="AN1426" s="38"/>
      <c r="AO1426" s="38"/>
      <c r="AP1426" s="38"/>
      <c r="AQ1426" s="38"/>
      <c r="AR1426" s="38"/>
      <c r="AS1426" s="38"/>
      <c r="AT1426" s="38"/>
      <c r="AU1426" s="38"/>
      <c r="AV1426" s="38"/>
      <c r="AW1426" s="38"/>
      <c r="AX1426" s="38"/>
      <c r="AY1426" s="38"/>
      <c r="AZ1426" s="38"/>
      <c r="BA1426" s="38"/>
      <c r="BB1426" s="38"/>
      <c r="BC1426" s="38"/>
      <c r="BD1426" s="38"/>
      <c r="BE1426" s="38"/>
      <c r="BF1426" s="38"/>
      <c r="BG1426" s="38"/>
      <c r="BH1426" s="38"/>
      <c r="BI1426" s="38"/>
      <c r="BJ1426" s="38"/>
      <c r="BK1426" s="38"/>
      <c r="BL1426" s="38"/>
      <c r="BM1426" s="38"/>
      <c r="BN1426" s="38"/>
      <c r="BO1426" s="38"/>
      <c r="BP1426" s="38"/>
      <c r="BQ1426" s="38"/>
    </row>
    <row r="1427">
      <c r="A1427" s="91"/>
      <c r="B1427" s="383"/>
      <c r="C1427" s="146"/>
      <c r="D1427" s="146"/>
      <c r="E1427" s="91"/>
      <c r="F1427" s="91"/>
      <c r="G1427" s="91"/>
      <c r="H1427" s="33" t="str">
        <f t="shared" si="33"/>
        <v/>
      </c>
      <c r="I1427" s="91"/>
      <c r="J1427" s="91"/>
      <c r="K1427" s="91"/>
      <c r="L1427" s="91"/>
      <c r="M1427" s="95"/>
      <c r="N1427" s="15"/>
      <c r="O1427" s="58"/>
      <c r="P1427" s="62"/>
      <c r="Q1427" s="84"/>
      <c r="R1427" s="62"/>
      <c r="S1427" s="37" t="str">
        <f>IFERROR(__xludf.DUMMYFUNCTION("if(not(iserror(index(split(C1427, "" ""),2))), index(split(C1427, "" ""),1),"""")"),"")</f>
        <v/>
      </c>
      <c r="T1427" s="315" t="str">
        <f>IFERROR(__xludf.DUMMYFUNCTION("if(S1427="""",C1427,if(not(iserror(index(split(C1427, "" ""),3))), index(split(C1427, "" ""),3),index(split(C1427, "" ""),2)))"),"")</f>
        <v/>
      </c>
      <c r="U1427" s="38" t="b">
        <f t="shared" si="34"/>
        <v>0</v>
      </c>
      <c r="V1427" s="38"/>
      <c r="W1427" s="40"/>
      <c r="X1427" s="40"/>
      <c r="Y1427" s="38"/>
      <c r="Z1427" s="38"/>
      <c r="AA1427" s="38"/>
      <c r="AB1427" s="38"/>
      <c r="AC1427" s="38"/>
      <c r="AD1427" s="38"/>
      <c r="AE1427" s="38"/>
      <c r="AF1427" s="38"/>
      <c r="AG1427" s="38"/>
      <c r="AH1427" s="38"/>
      <c r="AI1427" s="38"/>
      <c r="AJ1427" s="38"/>
      <c r="AK1427" s="38"/>
      <c r="AL1427" s="38"/>
      <c r="AM1427" s="38"/>
      <c r="AN1427" s="38"/>
      <c r="AO1427" s="38"/>
      <c r="AP1427" s="38"/>
      <c r="AQ1427" s="38"/>
      <c r="AR1427" s="38"/>
      <c r="AS1427" s="38"/>
      <c r="AT1427" s="38"/>
      <c r="AU1427" s="38"/>
      <c r="AV1427" s="38"/>
      <c r="AW1427" s="38"/>
      <c r="AX1427" s="38"/>
      <c r="AY1427" s="38"/>
      <c r="AZ1427" s="38"/>
      <c r="BA1427" s="38"/>
      <c r="BB1427" s="38"/>
      <c r="BC1427" s="38"/>
      <c r="BD1427" s="38"/>
      <c r="BE1427" s="38"/>
      <c r="BF1427" s="38"/>
      <c r="BG1427" s="38"/>
      <c r="BH1427" s="38"/>
      <c r="BI1427" s="38"/>
      <c r="BJ1427" s="38"/>
      <c r="BK1427" s="38"/>
      <c r="BL1427" s="38"/>
      <c r="BM1427" s="38"/>
      <c r="BN1427" s="38"/>
      <c r="BO1427" s="38"/>
      <c r="BP1427" s="38"/>
      <c r="BQ1427" s="38"/>
    </row>
    <row r="1428">
      <c r="A1428" s="58"/>
      <c r="B1428" s="341"/>
      <c r="C1428" s="60"/>
      <c r="D1428" s="60"/>
      <c r="E1428" s="58"/>
      <c r="F1428" s="58"/>
      <c r="G1428" s="58"/>
      <c r="H1428" s="33" t="str">
        <f t="shared" si="33"/>
        <v/>
      </c>
      <c r="I1428" s="58"/>
      <c r="J1428" s="58"/>
      <c r="K1428" s="58"/>
      <c r="L1428" s="58"/>
      <c r="M1428" s="80"/>
      <c r="N1428" s="77"/>
      <c r="O1428" s="62"/>
      <c r="P1428" s="62"/>
      <c r="Q1428" s="62"/>
      <c r="R1428" s="62"/>
      <c r="S1428" s="37" t="str">
        <f>IFERROR(__xludf.DUMMYFUNCTION("if(not(iserror(index(split(C1428, "" ""),2))), index(split(C1428, "" ""),1),"""")"),"")</f>
        <v/>
      </c>
      <c r="T1428" s="315" t="str">
        <f>IFERROR(__xludf.DUMMYFUNCTION("if(S1428="""",C1428,if(not(iserror(index(split(C1428, "" ""),3))), index(split(C1428, "" ""),3),index(split(C1428, "" ""),2)))"),"")</f>
        <v/>
      </c>
      <c r="U1428" s="38" t="b">
        <f t="shared" si="34"/>
        <v>0</v>
      </c>
      <c r="V1428" s="38"/>
      <c r="W1428" s="40"/>
      <c r="X1428" s="40"/>
      <c r="Y1428" s="38"/>
      <c r="Z1428" s="38"/>
      <c r="AA1428" s="38"/>
      <c r="AB1428" s="38"/>
      <c r="AC1428" s="38"/>
      <c r="AD1428" s="38"/>
      <c r="AE1428" s="38"/>
      <c r="AF1428" s="38"/>
      <c r="AG1428" s="38"/>
      <c r="AH1428" s="38"/>
      <c r="AI1428" s="38"/>
      <c r="AJ1428" s="38"/>
      <c r="AK1428" s="38"/>
      <c r="AL1428" s="38"/>
      <c r="AM1428" s="38"/>
      <c r="AN1428" s="38"/>
      <c r="AO1428" s="38"/>
      <c r="AP1428" s="38"/>
      <c r="AQ1428" s="38"/>
      <c r="AR1428" s="38"/>
      <c r="AS1428" s="38"/>
      <c r="AT1428" s="38"/>
      <c r="AU1428" s="38"/>
      <c r="AV1428" s="38"/>
      <c r="AW1428" s="38"/>
      <c r="AX1428" s="38"/>
      <c r="AY1428" s="38"/>
      <c r="AZ1428" s="38"/>
      <c r="BA1428" s="38"/>
      <c r="BB1428" s="38"/>
      <c r="BC1428" s="38"/>
      <c r="BD1428" s="38"/>
      <c r="BE1428" s="38"/>
      <c r="BF1428" s="38"/>
      <c r="BG1428" s="38"/>
      <c r="BH1428" s="38"/>
      <c r="BI1428" s="38"/>
      <c r="BJ1428" s="38"/>
      <c r="BK1428" s="38"/>
      <c r="BL1428" s="38"/>
      <c r="BM1428" s="38"/>
      <c r="BN1428" s="38"/>
      <c r="BO1428" s="38"/>
      <c r="BP1428" s="38"/>
      <c r="BQ1428" s="38"/>
    </row>
    <row r="1429">
      <c r="A1429" s="58"/>
      <c r="B1429" s="341"/>
      <c r="C1429" s="60"/>
      <c r="D1429" s="60"/>
      <c r="E1429" s="58"/>
      <c r="F1429" s="58"/>
      <c r="G1429" s="58"/>
      <c r="H1429" s="33" t="str">
        <f t="shared" si="33"/>
        <v/>
      </c>
      <c r="I1429" s="58"/>
      <c r="J1429" s="58"/>
      <c r="K1429" s="58"/>
      <c r="L1429" s="58"/>
      <c r="M1429" s="80"/>
      <c r="N1429" s="77"/>
      <c r="O1429" s="62"/>
      <c r="P1429" s="62"/>
      <c r="Q1429" s="62"/>
      <c r="R1429" s="62"/>
      <c r="S1429" s="37" t="str">
        <f>IFERROR(__xludf.DUMMYFUNCTION("if(not(iserror(index(split(C1429, "" ""),2))), index(split(C1429, "" ""),1),"""")"),"")</f>
        <v/>
      </c>
      <c r="T1429" s="315" t="str">
        <f>IFERROR(__xludf.DUMMYFUNCTION("if(S1429="""",C1429,if(not(iserror(index(split(C1429, "" ""),3))), index(split(C1429, "" ""),3),index(split(C1429, "" ""),2)))"),"")</f>
        <v/>
      </c>
      <c r="U1429" s="38" t="b">
        <f t="shared" si="34"/>
        <v>0</v>
      </c>
      <c r="V1429" s="38"/>
      <c r="W1429" s="40"/>
      <c r="X1429" s="40"/>
      <c r="Y1429" s="38"/>
      <c r="Z1429" s="38"/>
      <c r="AA1429" s="38"/>
      <c r="AB1429" s="38"/>
      <c r="AC1429" s="38"/>
      <c r="AD1429" s="38"/>
      <c r="AE1429" s="38"/>
      <c r="AF1429" s="38"/>
      <c r="AG1429" s="38"/>
      <c r="AH1429" s="38"/>
      <c r="AI1429" s="38"/>
      <c r="AJ1429" s="38"/>
      <c r="AK1429" s="38"/>
      <c r="AL1429" s="38"/>
      <c r="AM1429" s="38"/>
      <c r="AN1429" s="38"/>
      <c r="AO1429" s="38"/>
      <c r="AP1429" s="38"/>
      <c r="AQ1429" s="38"/>
      <c r="AR1429" s="38"/>
      <c r="AS1429" s="38"/>
      <c r="AT1429" s="38"/>
      <c r="AU1429" s="38"/>
      <c r="AV1429" s="38"/>
      <c r="AW1429" s="38"/>
      <c r="AX1429" s="38"/>
      <c r="AY1429" s="38"/>
      <c r="AZ1429" s="38"/>
      <c r="BA1429" s="38"/>
      <c r="BB1429" s="38"/>
      <c r="BC1429" s="38"/>
      <c r="BD1429" s="38"/>
      <c r="BE1429" s="38"/>
      <c r="BF1429" s="38"/>
      <c r="BG1429" s="38"/>
      <c r="BH1429" s="38"/>
      <c r="BI1429" s="38"/>
      <c r="BJ1429" s="38"/>
      <c r="BK1429" s="38"/>
      <c r="BL1429" s="38"/>
      <c r="BM1429" s="38"/>
      <c r="BN1429" s="38"/>
      <c r="BO1429" s="38"/>
      <c r="BP1429" s="38"/>
      <c r="BQ1429" s="38"/>
    </row>
    <row r="1430">
      <c r="B1430" s="341"/>
      <c r="C1430" s="60"/>
      <c r="D1430" s="60"/>
      <c r="E1430" s="58"/>
      <c r="F1430" s="58"/>
      <c r="G1430" s="58"/>
      <c r="H1430" s="33" t="str">
        <f t="shared" si="33"/>
        <v/>
      </c>
      <c r="I1430" s="58"/>
      <c r="J1430" s="58"/>
      <c r="K1430" s="58"/>
      <c r="L1430" s="58"/>
      <c r="M1430" s="80"/>
      <c r="N1430" s="77"/>
      <c r="O1430" s="62"/>
      <c r="P1430" s="62"/>
      <c r="Q1430" s="62"/>
      <c r="R1430" s="62"/>
      <c r="S1430" s="37" t="str">
        <f>IFERROR(__xludf.DUMMYFUNCTION("if(not(iserror(index(split(C1430, "" ""),2))), index(split(C1430, "" ""),1),"""")"),"")</f>
        <v/>
      </c>
      <c r="T1430" s="315" t="str">
        <f>IFERROR(__xludf.DUMMYFUNCTION("if(S1430="""",C1430,if(not(iserror(index(split(C1430, "" ""),3))), index(split(C1430, "" ""),3),index(split(C1430, "" ""),2)))"),"")</f>
        <v/>
      </c>
      <c r="U1430" s="38" t="b">
        <f t="shared" si="34"/>
        <v>0</v>
      </c>
      <c r="V1430" s="38"/>
      <c r="W1430" s="40"/>
      <c r="X1430" s="40"/>
      <c r="Y1430" s="38"/>
      <c r="Z1430" s="38"/>
      <c r="AA1430" s="38"/>
      <c r="AB1430" s="38"/>
      <c r="AC1430" s="38"/>
      <c r="AD1430" s="38"/>
      <c r="AE1430" s="38"/>
      <c r="AF1430" s="38"/>
      <c r="AG1430" s="38"/>
      <c r="AH1430" s="38"/>
      <c r="AI1430" s="38"/>
      <c r="AJ1430" s="38"/>
      <c r="AK1430" s="38"/>
      <c r="AL1430" s="38"/>
      <c r="AM1430" s="38"/>
      <c r="AN1430" s="38"/>
      <c r="AO1430" s="38"/>
      <c r="AP1430" s="38"/>
      <c r="AQ1430" s="38"/>
      <c r="AR1430" s="38"/>
      <c r="AS1430" s="38"/>
      <c r="AT1430" s="38"/>
      <c r="AU1430" s="38"/>
      <c r="AV1430" s="38"/>
      <c r="AW1430" s="38"/>
      <c r="AX1430" s="38"/>
      <c r="AY1430" s="38"/>
      <c r="AZ1430" s="38"/>
      <c r="BA1430" s="38"/>
      <c r="BB1430" s="38"/>
      <c r="BC1430" s="38"/>
      <c r="BD1430" s="38"/>
      <c r="BE1430" s="38"/>
      <c r="BF1430" s="38"/>
      <c r="BG1430" s="38"/>
      <c r="BH1430" s="38"/>
      <c r="BI1430" s="38"/>
      <c r="BJ1430" s="38"/>
      <c r="BK1430" s="38"/>
      <c r="BL1430" s="38"/>
      <c r="BM1430" s="38"/>
      <c r="BN1430" s="38"/>
      <c r="BO1430" s="38"/>
      <c r="BP1430" s="38"/>
      <c r="BQ1430" s="38"/>
    </row>
    <row r="1431">
      <c r="A1431" s="58"/>
      <c r="B1431" s="341"/>
      <c r="C1431" s="60"/>
      <c r="D1431" s="60"/>
      <c r="E1431" s="58"/>
      <c r="F1431" s="58"/>
      <c r="G1431" s="58"/>
      <c r="H1431" s="33" t="str">
        <f t="shared" si="33"/>
        <v/>
      </c>
      <c r="I1431" s="58"/>
      <c r="J1431" s="58"/>
      <c r="K1431" s="58"/>
      <c r="L1431" s="58"/>
      <c r="M1431" s="80"/>
      <c r="N1431" s="77"/>
      <c r="O1431" s="62"/>
      <c r="P1431" s="62"/>
      <c r="Q1431" s="62"/>
      <c r="R1431" s="62"/>
      <c r="S1431" s="37" t="str">
        <f>IFERROR(__xludf.DUMMYFUNCTION("if(not(iserror(index(split(C1431, "" ""),2))), index(split(C1431, "" ""),1),"""")"),"")</f>
        <v/>
      </c>
      <c r="T1431" s="315" t="str">
        <f>IFERROR(__xludf.DUMMYFUNCTION("if(S1431="""",C1431,if(not(iserror(index(split(C1431, "" ""),3))), index(split(C1431, "" ""),3),index(split(C1431, "" ""),2)))"),"")</f>
        <v/>
      </c>
      <c r="U1431" s="38" t="b">
        <f t="shared" si="34"/>
        <v>0</v>
      </c>
      <c r="V1431" s="38"/>
      <c r="W1431" s="40"/>
      <c r="X1431" s="40"/>
      <c r="Y1431" s="38"/>
      <c r="Z1431" s="38"/>
      <c r="AA1431" s="38"/>
      <c r="AB1431" s="38"/>
      <c r="AC1431" s="38"/>
      <c r="AD1431" s="38"/>
      <c r="AE1431" s="38"/>
      <c r="AF1431" s="38"/>
      <c r="AG1431" s="38"/>
      <c r="AH1431" s="38"/>
      <c r="AI1431" s="38"/>
      <c r="AJ1431" s="38"/>
      <c r="AK1431" s="38"/>
      <c r="AL1431" s="38"/>
      <c r="AM1431" s="38"/>
      <c r="AN1431" s="38"/>
      <c r="AO1431" s="38"/>
      <c r="AP1431" s="38"/>
      <c r="AQ1431" s="38"/>
      <c r="AR1431" s="38"/>
      <c r="AS1431" s="38"/>
      <c r="AT1431" s="38"/>
      <c r="AU1431" s="38"/>
      <c r="AV1431" s="38"/>
      <c r="AW1431" s="38"/>
      <c r="AX1431" s="38"/>
      <c r="AY1431" s="38"/>
      <c r="AZ1431" s="38"/>
      <c r="BA1431" s="38"/>
      <c r="BB1431" s="38"/>
      <c r="BC1431" s="38"/>
      <c r="BD1431" s="38"/>
      <c r="BE1431" s="38"/>
      <c r="BF1431" s="38"/>
      <c r="BG1431" s="38"/>
      <c r="BH1431" s="38"/>
      <c r="BI1431" s="38"/>
      <c r="BJ1431" s="38"/>
      <c r="BK1431" s="38"/>
      <c r="BL1431" s="38"/>
      <c r="BM1431" s="38"/>
      <c r="BN1431" s="38"/>
      <c r="BO1431" s="38"/>
      <c r="BP1431" s="38"/>
      <c r="BQ1431" s="38"/>
    </row>
    <row r="1432">
      <c r="A1432" s="58"/>
      <c r="B1432" s="341"/>
      <c r="C1432" s="60"/>
      <c r="D1432" s="60"/>
      <c r="E1432" s="58"/>
      <c r="F1432" s="58"/>
      <c r="G1432" s="58"/>
      <c r="H1432" s="33" t="str">
        <f t="shared" si="33"/>
        <v/>
      </c>
      <c r="I1432" s="58"/>
      <c r="J1432" s="58"/>
      <c r="K1432" s="58"/>
      <c r="L1432" s="58"/>
      <c r="M1432" s="80"/>
      <c r="N1432" s="77"/>
      <c r="O1432" s="62"/>
      <c r="P1432" s="62"/>
      <c r="Q1432" s="62"/>
      <c r="R1432" s="62"/>
      <c r="S1432" s="37" t="str">
        <f>IFERROR(__xludf.DUMMYFUNCTION("if(not(iserror(index(split(C1432, "" ""),2))), index(split(C1432, "" ""),1),"""")"),"")</f>
        <v/>
      </c>
      <c r="T1432" s="315" t="str">
        <f>IFERROR(__xludf.DUMMYFUNCTION("if(S1432="""",C1432,if(not(iserror(index(split(C1432, "" ""),3))), index(split(C1432, "" ""),3),index(split(C1432, "" ""),2)))"),"")</f>
        <v/>
      </c>
      <c r="U1432" s="38" t="b">
        <f t="shared" si="34"/>
        <v>0</v>
      </c>
      <c r="V1432" s="38"/>
      <c r="W1432" s="40"/>
      <c r="X1432" s="40"/>
      <c r="Y1432" s="38"/>
      <c r="Z1432" s="38"/>
      <c r="AA1432" s="38"/>
      <c r="AB1432" s="38"/>
      <c r="AC1432" s="38"/>
      <c r="AD1432" s="38"/>
      <c r="AE1432" s="38"/>
      <c r="AF1432" s="38"/>
      <c r="AG1432" s="38"/>
      <c r="AH1432" s="38"/>
      <c r="AI1432" s="38"/>
      <c r="AJ1432" s="38"/>
      <c r="AK1432" s="38"/>
      <c r="AL1432" s="38"/>
      <c r="AM1432" s="38"/>
      <c r="AN1432" s="38"/>
      <c r="AO1432" s="38"/>
      <c r="AP1432" s="38"/>
      <c r="AQ1432" s="38"/>
      <c r="AR1432" s="38"/>
      <c r="AS1432" s="38"/>
      <c r="AT1432" s="38"/>
      <c r="AU1432" s="38"/>
      <c r="AV1432" s="38"/>
      <c r="AW1432" s="38"/>
      <c r="AX1432" s="38"/>
      <c r="AY1432" s="38"/>
      <c r="AZ1432" s="38"/>
      <c r="BA1432" s="38"/>
      <c r="BB1432" s="38"/>
      <c r="BC1432" s="38"/>
      <c r="BD1432" s="38"/>
      <c r="BE1432" s="38"/>
      <c r="BF1432" s="38"/>
      <c r="BG1432" s="38"/>
      <c r="BH1432" s="38"/>
      <c r="BI1432" s="38"/>
      <c r="BJ1432" s="38"/>
      <c r="BK1432" s="38"/>
      <c r="BL1432" s="38"/>
      <c r="BM1432" s="38"/>
      <c r="BN1432" s="38"/>
      <c r="BO1432" s="38"/>
      <c r="BP1432" s="38"/>
      <c r="BQ1432" s="38"/>
    </row>
    <row r="1433">
      <c r="A1433" s="58"/>
      <c r="B1433" s="341"/>
      <c r="C1433" s="60"/>
      <c r="D1433" s="60"/>
      <c r="E1433" s="58"/>
      <c r="F1433" s="58"/>
      <c r="G1433" s="58"/>
      <c r="H1433" s="33" t="str">
        <f t="shared" si="33"/>
        <v/>
      </c>
      <c r="I1433" s="58"/>
      <c r="J1433" s="58"/>
      <c r="K1433" s="58"/>
      <c r="L1433" s="58"/>
      <c r="M1433" s="80"/>
      <c r="N1433" s="77"/>
      <c r="O1433" s="62"/>
      <c r="P1433" s="62"/>
      <c r="Q1433" s="62"/>
      <c r="R1433" s="62"/>
      <c r="S1433" s="37" t="str">
        <f>IFERROR(__xludf.DUMMYFUNCTION("if(not(iserror(index(split(C1433, "" ""),2))), index(split(C1433, "" ""),1),"""")"),"")</f>
        <v/>
      </c>
      <c r="T1433" s="315" t="str">
        <f>IFERROR(__xludf.DUMMYFUNCTION("if(S1433="""",C1433,if(not(iserror(index(split(C1433, "" ""),3))), index(split(C1433, "" ""),3),index(split(C1433, "" ""),2)))"),"")</f>
        <v/>
      </c>
      <c r="U1433" s="38" t="b">
        <f t="shared" si="34"/>
        <v>0</v>
      </c>
      <c r="V1433" s="38"/>
      <c r="W1433" s="40"/>
      <c r="X1433" s="40"/>
      <c r="Y1433" s="38"/>
      <c r="Z1433" s="38"/>
      <c r="AA1433" s="38"/>
      <c r="AB1433" s="38"/>
      <c r="AC1433" s="38"/>
      <c r="AD1433" s="38"/>
      <c r="AE1433" s="38"/>
      <c r="AF1433" s="38"/>
      <c r="AG1433" s="38"/>
      <c r="AH1433" s="38"/>
      <c r="AI1433" s="38"/>
      <c r="AJ1433" s="38"/>
      <c r="AK1433" s="38"/>
      <c r="AL1433" s="38"/>
      <c r="AM1433" s="38"/>
      <c r="AN1433" s="38"/>
      <c r="AO1433" s="38"/>
      <c r="AP1433" s="38"/>
      <c r="AQ1433" s="38"/>
      <c r="AR1433" s="38"/>
      <c r="AS1433" s="38"/>
      <c r="AT1433" s="38"/>
      <c r="AU1433" s="38"/>
      <c r="AV1433" s="38"/>
      <c r="AW1433" s="38"/>
      <c r="AX1433" s="38"/>
      <c r="AY1433" s="38"/>
      <c r="AZ1433" s="38"/>
      <c r="BA1433" s="38"/>
      <c r="BB1433" s="38"/>
      <c r="BC1433" s="38"/>
      <c r="BD1433" s="38"/>
      <c r="BE1433" s="38"/>
      <c r="BF1433" s="38"/>
      <c r="BG1433" s="38"/>
      <c r="BH1433" s="38"/>
      <c r="BI1433" s="38"/>
      <c r="BJ1433" s="38"/>
      <c r="BK1433" s="38"/>
      <c r="BL1433" s="38"/>
      <c r="BM1433" s="38"/>
      <c r="BN1433" s="38"/>
      <c r="BO1433" s="38"/>
      <c r="BP1433" s="38"/>
      <c r="BQ1433" s="38"/>
    </row>
    <row r="1434">
      <c r="A1434" s="58"/>
      <c r="B1434" s="341"/>
      <c r="C1434" s="60"/>
      <c r="D1434" s="60"/>
      <c r="E1434" s="58"/>
      <c r="F1434" s="58"/>
      <c r="G1434" s="58"/>
      <c r="H1434" s="33" t="str">
        <f t="shared" si="33"/>
        <v/>
      </c>
      <c r="I1434" s="58"/>
      <c r="J1434" s="58"/>
      <c r="K1434" s="58"/>
      <c r="L1434" s="58"/>
      <c r="M1434" s="80"/>
      <c r="N1434" s="77"/>
      <c r="O1434" s="58"/>
      <c r="P1434" s="62"/>
      <c r="Q1434" s="84"/>
      <c r="R1434" s="62"/>
      <c r="S1434" s="37" t="str">
        <f>IFERROR(__xludf.DUMMYFUNCTION("if(not(iserror(index(split(C1434, "" ""),2))), index(split(C1434, "" ""),1),"""")"),"")</f>
        <v/>
      </c>
      <c r="T1434" s="315" t="str">
        <f>IFERROR(__xludf.DUMMYFUNCTION("if(S1434="""",C1434,if(not(iserror(index(split(C1434, "" ""),3))), index(split(C1434, "" ""),3),index(split(C1434, "" ""),2)))"),"")</f>
        <v/>
      </c>
      <c r="U1434" s="38" t="b">
        <f t="shared" si="34"/>
        <v>0</v>
      </c>
      <c r="V1434" s="38"/>
      <c r="W1434" s="40"/>
      <c r="X1434" s="40"/>
      <c r="Y1434" s="38"/>
      <c r="Z1434" s="38"/>
      <c r="AA1434" s="38"/>
      <c r="AB1434" s="38"/>
      <c r="AC1434" s="38"/>
      <c r="AD1434" s="38"/>
      <c r="AE1434" s="38"/>
      <c r="AF1434" s="38"/>
      <c r="AG1434" s="38"/>
      <c r="AH1434" s="38"/>
      <c r="AI1434" s="38"/>
      <c r="AJ1434" s="38"/>
      <c r="AK1434" s="38"/>
      <c r="AL1434" s="38"/>
      <c r="AM1434" s="38"/>
      <c r="AN1434" s="38"/>
      <c r="AO1434" s="38"/>
      <c r="AP1434" s="38"/>
      <c r="AQ1434" s="38"/>
      <c r="AR1434" s="38"/>
      <c r="AS1434" s="38"/>
      <c r="AT1434" s="38"/>
      <c r="AU1434" s="38"/>
      <c r="AV1434" s="38"/>
      <c r="AW1434" s="38"/>
      <c r="AX1434" s="38"/>
      <c r="AY1434" s="38"/>
      <c r="AZ1434" s="38"/>
      <c r="BA1434" s="38"/>
      <c r="BB1434" s="38"/>
      <c r="BC1434" s="38"/>
      <c r="BD1434" s="38"/>
      <c r="BE1434" s="38"/>
      <c r="BF1434" s="38"/>
      <c r="BG1434" s="38"/>
      <c r="BH1434" s="38"/>
      <c r="BI1434" s="38"/>
      <c r="BJ1434" s="38"/>
      <c r="BK1434" s="38"/>
      <c r="BL1434" s="38"/>
      <c r="BM1434" s="38"/>
      <c r="BN1434" s="38"/>
      <c r="BO1434" s="38"/>
      <c r="BP1434" s="38"/>
      <c r="BQ1434" s="38"/>
    </row>
    <row r="1435">
      <c r="B1435" s="341"/>
      <c r="C1435" s="60"/>
      <c r="D1435" s="60"/>
      <c r="E1435" s="58"/>
      <c r="F1435" s="58"/>
      <c r="G1435" s="58"/>
      <c r="H1435" s="33" t="str">
        <f t="shared" si="33"/>
        <v/>
      </c>
      <c r="I1435" s="58"/>
      <c r="J1435" s="58"/>
      <c r="K1435" s="58"/>
      <c r="L1435" s="58"/>
      <c r="M1435" s="80"/>
      <c r="N1435" s="80"/>
      <c r="O1435" s="58"/>
      <c r="P1435" s="58"/>
      <c r="Q1435" s="84"/>
      <c r="R1435" s="62"/>
      <c r="S1435" s="37" t="str">
        <f>IFERROR(__xludf.DUMMYFUNCTION("if(not(iserror(index(split(C1435, "" ""),2))), index(split(C1435, "" ""),1),"""")"),"")</f>
        <v/>
      </c>
      <c r="T1435" s="315" t="str">
        <f>IFERROR(__xludf.DUMMYFUNCTION("if(S1435="""",C1435,if(not(iserror(index(split(C1435, "" ""),3))), index(split(C1435, "" ""),3),index(split(C1435, "" ""),2)))"),"")</f>
        <v/>
      </c>
      <c r="U1435" s="38" t="b">
        <f t="shared" si="34"/>
        <v>0</v>
      </c>
      <c r="V1435" s="38"/>
      <c r="W1435" s="40"/>
      <c r="X1435" s="40"/>
      <c r="Y1435" s="38"/>
      <c r="Z1435" s="38"/>
      <c r="AA1435" s="38"/>
      <c r="AB1435" s="38"/>
      <c r="AC1435" s="38"/>
      <c r="AD1435" s="38"/>
      <c r="AE1435" s="38"/>
      <c r="AF1435" s="38"/>
      <c r="AG1435" s="38"/>
      <c r="AH1435" s="38"/>
      <c r="AI1435" s="38"/>
      <c r="AJ1435" s="38"/>
      <c r="AK1435" s="38"/>
      <c r="AL1435" s="38"/>
      <c r="AM1435" s="38"/>
      <c r="AN1435" s="38"/>
      <c r="AO1435" s="38"/>
      <c r="AP1435" s="38"/>
      <c r="AQ1435" s="38"/>
      <c r="AR1435" s="38"/>
      <c r="AS1435" s="38"/>
      <c r="AT1435" s="38"/>
      <c r="AU1435" s="38"/>
      <c r="AV1435" s="38"/>
      <c r="AW1435" s="38"/>
      <c r="AX1435" s="38"/>
      <c r="AY1435" s="38"/>
      <c r="AZ1435" s="38"/>
      <c r="BA1435" s="38"/>
      <c r="BB1435" s="38"/>
      <c r="BC1435" s="38"/>
      <c r="BD1435" s="38"/>
      <c r="BE1435" s="38"/>
      <c r="BF1435" s="38"/>
      <c r="BG1435" s="38"/>
      <c r="BH1435" s="38"/>
      <c r="BI1435" s="38"/>
      <c r="BJ1435" s="38"/>
      <c r="BK1435" s="38"/>
      <c r="BL1435" s="38"/>
      <c r="BM1435" s="38"/>
      <c r="BN1435" s="38"/>
      <c r="BO1435" s="38"/>
      <c r="BP1435" s="38"/>
      <c r="BQ1435" s="38"/>
    </row>
    <row r="1436">
      <c r="A1436" s="58"/>
      <c r="B1436" s="341"/>
      <c r="C1436" s="60"/>
      <c r="D1436" s="60"/>
      <c r="E1436" s="58"/>
      <c r="F1436" s="58"/>
      <c r="G1436" s="58"/>
      <c r="H1436" s="33" t="str">
        <f t="shared" si="33"/>
        <v/>
      </c>
      <c r="I1436" s="58"/>
      <c r="J1436" s="58"/>
      <c r="K1436" s="58"/>
      <c r="L1436" s="58"/>
      <c r="M1436" s="80"/>
      <c r="N1436" s="77"/>
      <c r="O1436" s="62"/>
      <c r="P1436" s="62"/>
      <c r="Q1436" s="62"/>
      <c r="R1436" s="62"/>
      <c r="S1436" s="37" t="str">
        <f>IFERROR(__xludf.DUMMYFUNCTION("if(not(iserror(index(split(C1436, "" ""),2))), index(split(C1436, "" ""),1),"""")"),"")</f>
        <v/>
      </c>
      <c r="T1436" s="315" t="str">
        <f>IFERROR(__xludf.DUMMYFUNCTION("if(S1436="""",C1436,if(not(iserror(index(split(C1436, "" ""),3))), index(split(C1436, "" ""),3),index(split(C1436, "" ""),2)))"),"")</f>
        <v/>
      </c>
      <c r="U1436" s="38" t="b">
        <f t="shared" si="34"/>
        <v>0</v>
      </c>
      <c r="V1436" s="38"/>
      <c r="W1436" s="40"/>
      <c r="X1436" s="40"/>
      <c r="Y1436" s="38"/>
      <c r="Z1436" s="38"/>
      <c r="AA1436" s="38"/>
      <c r="AB1436" s="38"/>
      <c r="AC1436" s="38"/>
      <c r="AD1436" s="38"/>
      <c r="AE1436" s="38"/>
      <c r="AF1436" s="38"/>
      <c r="AG1436" s="38"/>
      <c r="AH1436" s="38"/>
      <c r="AI1436" s="38"/>
      <c r="AJ1436" s="38"/>
      <c r="AK1436" s="38"/>
      <c r="AL1436" s="38"/>
      <c r="AM1436" s="38"/>
      <c r="AN1436" s="38"/>
      <c r="AO1436" s="38"/>
      <c r="AP1436" s="38"/>
      <c r="AQ1436" s="38"/>
      <c r="AR1436" s="38"/>
      <c r="AS1436" s="38"/>
      <c r="AT1436" s="38"/>
      <c r="AU1436" s="38"/>
      <c r="AV1436" s="38"/>
      <c r="AW1436" s="38"/>
      <c r="AX1436" s="38"/>
      <c r="AY1436" s="38"/>
      <c r="AZ1436" s="38"/>
      <c r="BA1436" s="38"/>
      <c r="BB1436" s="38"/>
      <c r="BC1436" s="38"/>
      <c r="BD1436" s="38"/>
      <c r="BE1436" s="38"/>
      <c r="BF1436" s="38"/>
      <c r="BG1436" s="38"/>
      <c r="BH1436" s="38"/>
      <c r="BI1436" s="38"/>
      <c r="BJ1436" s="38"/>
      <c r="BK1436" s="38"/>
      <c r="BL1436" s="38"/>
      <c r="BM1436" s="38"/>
      <c r="BN1436" s="38"/>
      <c r="BO1436" s="38"/>
      <c r="BP1436" s="38"/>
      <c r="BQ1436" s="38"/>
    </row>
    <row r="1437">
      <c r="A1437" s="58"/>
      <c r="B1437" s="341"/>
      <c r="C1437" s="60"/>
      <c r="D1437" s="60"/>
      <c r="E1437" s="58"/>
      <c r="F1437" s="58"/>
      <c r="G1437" s="58"/>
      <c r="H1437" s="33" t="str">
        <f t="shared" si="33"/>
        <v/>
      </c>
      <c r="I1437" s="58"/>
      <c r="J1437" s="62"/>
      <c r="K1437" s="58"/>
      <c r="L1437" s="58"/>
      <c r="M1437" s="80"/>
      <c r="N1437" s="80"/>
      <c r="O1437" s="62"/>
      <c r="P1437" s="62"/>
      <c r="Q1437" s="62"/>
      <c r="R1437" s="62"/>
      <c r="S1437" s="37" t="str">
        <f>IFERROR(__xludf.DUMMYFUNCTION("if(not(iserror(index(split(C1437, "" ""),2))), index(split(C1437, "" ""),1),"""")"),"")</f>
        <v/>
      </c>
      <c r="T1437" s="315" t="str">
        <f>IFERROR(__xludf.DUMMYFUNCTION("if(S1437="""",C1437,if(not(iserror(index(split(C1437, "" ""),3))), index(split(C1437, "" ""),3),index(split(C1437, "" ""),2)))"),"")</f>
        <v/>
      </c>
      <c r="U1437" s="38" t="b">
        <f t="shared" si="34"/>
        <v>0</v>
      </c>
      <c r="V1437" s="38"/>
      <c r="W1437" s="40"/>
      <c r="X1437" s="40"/>
      <c r="Y1437" s="38"/>
      <c r="Z1437" s="38"/>
      <c r="AA1437" s="38"/>
      <c r="AB1437" s="38"/>
      <c r="AC1437" s="38"/>
      <c r="AD1437" s="38"/>
      <c r="AE1437" s="38"/>
      <c r="AF1437" s="38"/>
      <c r="AG1437" s="38"/>
      <c r="AH1437" s="38"/>
      <c r="AI1437" s="38"/>
      <c r="AJ1437" s="38"/>
      <c r="AK1437" s="38"/>
      <c r="AL1437" s="38"/>
      <c r="AM1437" s="38"/>
      <c r="AN1437" s="38"/>
      <c r="AO1437" s="38"/>
      <c r="AP1437" s="38"/>
      <c r="AQ1437" s="38"/>
      <c r="AR1437" s="38"/>
      <c r="AS1437" s="38"/>
      <c r="AT1437" s="38"/>
      <c r="AU1437" s="38"/>
      <c r="AV1437" s="38"/>
      <c r="AW1437" s="38"/>
      <c r="AX1437" s="38"/>
      <c r="AY1437" s="38"/>
      <c r="AZ1437" s="38"/>
      <c r="BA1437" s="38"/>
      <c r="BB1437" s="38"/>
      <c r="BC1437" s="38"/>
      <c r="BD1437" s="38"/>
      <c r="BE1437" s="38"/>
      <c r="BF1437" s="38"/>
      <c r="BG1437" s="38"/>
      <c r="BH1437" s="38"/>
      <c r="BI1437" s="38"/>
      <c r="BJ1437" s="38"/>
      <c r="BK1437" s="38"/>
      <c r="BL1437" s="38"/>
      <c r="BM1437" s="38"/>
      <c r="BN1437" s="38"/>
      <c r="BO1437" s="38"/>
      <c r="BP1437" s="38"/>
      <c r="BQ1437" s="38"/>
    </row>
    <row r="1438">
      <c r="A1438" s="58"/>
      <c r="B1438" s="341"/>
      <c r="C1438" s="60"/>
      <c r="D1438" s="60"/>
      <c r="E1438" s="58"/>
      <c r="F1438" s="58"/>
      <c r="G1438" s="58"/>
      <c r="H1438" s="33" t="str">
        <f t="shared" si="33"/>
        <v/>
      </c>
      <c r="I1438" s="58"/>
      <c r="J1438" s="58"/>
      <c r="K1438" s="58"/>
      <c r="L1438" s="58"/>
      <c r="M1438" s="80"/>
      <c r="N1438" s="77"/>
      <c r="O1438" s="62"/>
      <c r="P1438" s="62"/>
      <c r="Q1438" s="62"/>
      <c r="R1438" s="62"/>
      <c r="S1438" s="37" t="str">
        <f>IFERROR(__xludf.DUMMYFUNCTION("if(not(iserror(index(split(C1438, "" ""),2))), index(split(C1438, "" ""),1),"""")"),"")</f>
        <v/>
      </c>
      <c r="T1438" s="315" t="str">
        <f>IFERROR(__xludf.DUMMYFUNCTION("if(S1438="""",C1438,if(not(iserror(index(split(C1438, "" ""),3))), index(split(C1438, "" ""),3),index(split(C1438, "" ""),2)))"),"")</f>
        <v/>
      </c>
      <c r="U1438" s="38" t="b">
        <f t="shared" si="34"/>
        <v>0</v>
      </c>
      <c r="V1438" s="38"/>
      <c r="W1438" s="40"/>
      <c r="X1438" s="40"/>
      <c r="Y1438" s="38"/>
      <c r="Z1438" s="38"/>
      <c r="AA1438" s="38"/>
      <c r="AB1438" s="38"/>
      <c r="AC1438" s="38"/>
      <c r="AD1438" s="38"/>
      <c r="AE1438" s="38"/>
      <c r="AF1438" s="38"/>
      <c r="AG1438" s="38"/>
      <c r="AH1438" s="38"/>
      <c r="AI1438" s="38"/>
      <c r="AJ1438" s="38"/>
      <c r="AK1438" s="38"/>
      <c r="AL1438" s="38"/>
      <c r="AM1438" s="38"/>
      <c r="AN1438" s="38"/>
      <c r="AO1438" s="38"/>
      <c r="AP1438" s="38"/>
      <c r="AQ1438" s="38"/>
      <c r="AR1438" s="38"/>
      <c r="AS1438" s="38"/>
      <c r="AT1438" s="38"/>
      <c r="AU1438" s="38"/>
      <c r="AV1438" s="38"/>
      <c r="AW1438" s="38"/>
      <c r="AX1438" s="38"/>
      <c r="AY1438" s="38"/>
      <c r="AZ1438" s="38"/>
      <c r="BA1438" s="38"/>
      <c r="BB1438" s="38"/>
      <c r="BC1438" s="38"/>
      <c r="BD1438" s="38"/>
      <c r="BE1438" s="38"/>
      <c r="BF1438" s="38"/>
      <c r="BG1438" s="38"/>
      <c r="BH1438" s="38"/>
      <c r="BI1438" s="38"/>
      <c r="BJ1438" s="38"/>
      <c r="BK1438" s="38"/>
      <c r="BL1438" s="38"/>
      <c r="BM1438" s="38"/>
      <c r="BN1438" s="38"/>
      <c r="BO1438" s="38"/>
      <c r="BP1438" s="38"/>
      <c r="BQ1438" s="38"/>
    </row>
    <row r="1439">
      <c r="B1439" s="341"/>
      <c r="C1439" s="60"/>
      <c r="D1439" s="60"/>
      <c r="E1439" s="58"/>
      <c r="F1439" s="58"/>
      <c r="G1439" s="58"/>
      <c r="H1439" s="33" t="str">
        <f t="shared" si="33"/>
        <v/>
      </c>
      <c r="I1439" s="58"/>
      <c r="J1439" s="58"/>
      <c r="K1439" s="58"/>
      <c r="L1439" s="58"/>
      <c r="M1439" s="80"/>
      <c r="N1439" s="77"/>
      <c r="O1439" s="62"/>
      <c r="P1439" s="62"/>
      <c r="Q1439" s="62"/>
      <c r="R1439" s="62"/>
      <c r="S1439" s="37" t="str">
        <f>IFERROR(__xludf.DUMMYFUNCTION("if(not(iserror(index(split(C1439, "" ""),2))), index(split(C1439, "" ""),1),"""")"),"")</f>
        <v/>
      </c>
      <c r="T1439" s="315" t="str">
        <f>IFERROR(__xludf.DUMMYFUNCTION("if(S1439="""",C1439,if(not(iserror(index(split(C1439, "" ""),3))), index(split(C1439, "" ""),3),index(split(C1439, "" ""),2)))"),"")</f>
        <v/>
      </c>
      <c r="U1439" s="38" t="b">
        <f t="shared" si="34"/>
        <v>0</v>
      </c>
      <c r="V1439" s="38"/>
      <c r="W1439" s="40"/>
      <c r="X1439" s="40"/>
      <c r="Y1439" s="38"/>
      <c r="Z1439" s="38"/>
      <c r="AA1439" s="38"/>
      <c r="AB1439" s="38"/>
      <c r="AC1439" s="38"/>
      <c r="AD1439" s="38"/>
      <c r="AE1439" s="38"/>
      <c r="AF1439" s="38"/>
      <c r="AG1439" s="38"/>
      <c r="AH1439" s="38"/>
      <c r="AI1439" s="38"/>
      <c r="AJ1439" s="38"/>
      <c r="AK1439" s="38"/>
      <c r="AL1439" s="38"/>
      <c r="AM1439" s="38"/>
      <c r="AN1439" s="38"/>
      <c r="AO1439" s="38"/>
      <c r="AP1439" s="38"/>
      <c r="AQ1439" s="38"/>
      <c r="AR1439" s="38"/>
      <c r="AS1439" s="38"/>
      <c r="AT1439" s="38"/>
      <c r="AU1439" s="38"/>
      <c r="AV1439" s="38"/>
      <c r="AW1439" s="38"/>
      <c r="AX1439" s="38"/>
      <c r="AY1439" s="38"/>
      <c r="AZ1439" s="38"/>
      <c r="BA1439" s="38"/>
      <c r="BB1439" s="38"/>
      <c r="BC1439" s="38"/>
      <c r="BD1439" s="38"/>
      <c r="BE1439" s="38"/>
      <c r="BF1439" s="38"/>
      <c r="BG1439" s="38"/>
      <c r="BH1439" s="38"/>
      <c r="BI1439" s="38"/>
      <c r="BJ1439" s="38"/>
      <c r="BK1439" s="38"/>
      <c r="BL1439" s="38"/>
      <c r="BM1439" s="38"/>
      <c r="BN1439" s="38"/>
      <c r="BO1439" s="38"/>
      <c r="BP1439" s="38"/>
      <c r="BQ1439" s="38"/>
    </row>
    <row r="1440">
      <c r="A1440" s="58"/>
      <c r="B1440" s="341"/>
      <c r="C1440" s="60"/>
      <c r="D1440" s="60"/>
      <c r="E1440" s="58"/>
      <c r="F1440" s="58"/>
      <c r="G1440" s="58"/>
      <c r="H1440" s="33" t="str">
        <f t="shared" si="33"/>
        <v/>
      </c>
      <c r="I1440" s="58"/>
      <c r="J1440" s="58"/>
      <c r="K1440" s="58"/>
      <c r="L1440" s="58"/>
      <c r="M1440" s="80"/>
      <c r="N1440" s="77"/>
      <c r="O1440" s="62"/>
      <c r="P1440" s="62"/>
      <c r="Q1440" s="62"/>
      <c r="R1440" s="62"/>
      <c r="S1440" s="37" t="str">
        <f>IFERROR(__xludf.DUMMYFUNCTION("if(not(iserror(index(split(C1440, "" ""),2))), index(split(C1440, "" ""),1),"""")"),"")</f>
        <v/>
      </c>
      <c r="T1440" s="315" t="str">
        <f>IFERROR(__xludf.DUMMYFUNCTION("if(S1440="""",C1440,if(not(iserror(index(split(C1440, "" ""),3))), index(split(C1440, "" ""),3),index(split(C1440, "" ""),2)))"),"")</f>
        <v/>
      </c>
      <c r="U1440" s="38" t="b">
        <f t="shared" si="34"/>
        <v>0</v>
      </c>
      <c r="V1440" s="38"/>
      <c r="W1440" s="40"/>
      <c r="X1440" s="40"/>
      <c r="Y1440" s="38"/>
      <c r="Z1440" s="38"/>
      <c r="AA1440" s="38"/>
      <c r="AB1440" s="38"/>
      <c r="AC1440" s="38"/>
      <c r="AD1440" s="38"/>
      <c r="AE1440" s="38"/>
      <c r="AF1440" s="38"/>
      <c r="AG1440" s="38"/>
      <c r="AH1440" s="38"/>
      <c r="AI1440" s="38"/>
      <c r="AJ1440" s="38"/>
      <c r="AK1440" s="38"/>
      <c r="AL1440" s="38"/>
      <c r="AM1440" s="38"/>
      <c r="AN1440" s="38"/>
      <c r="AO1440" s="38"/>
      <c r="AP1440" s="38"/>
      <c r="AQ1440" s="38"/>
      <c r="AR1440" s="38"/>
      <c r="AS1440" s="38"/>
      <c r="AT1440" s="38"/>
      <c r="AU1440" s="38"/>
      <c r="AV1440" s="38"/>
      <c r="AW1440" s="38"/>
      <c r="AX1440" s="38"/>
      <c r="AY1440" s="38"/>
      <c r="AZ1440" s="38"/>
      <c r="BA1440" s="38"/>
      <c r="BB1440" s="38"/>
      <c r="BC1440" s="38"/>
      <c r="BD1440" s="38"/>
      <c r="BE1440" s="38"/>
      <c r="BF1440" s="38"/>
      <c r="BG1440" s="38"/>
      <c r="BH1440" s="38"/>
      <c r="BI1440" s="38"/>
      <c r="BJ1440" s="38"/>
      <c r="BK1440" s="38"/>
      <c r="BL1440" s="38"/>
      <c r="BM1440" s="38"/>
      <c r="BN1440" s="38"/>
      <c r="BO1440" s="38"/>
      <c r="BP1440" s="38"/>
      <c r="BQ1440" s="38"/>
    </row>
    <row r="1441">
      <c r="A1441" s="58"/>
      <c r="B1441" s="341"/>
      <c r="C1441" s="60"/>
      <c r="D1441" s="60"/>
      <c r="E1441" s="58"/>
      <c r="F1441" s="58"/>
      <c r="G1441" s="58"/>
      <c r="H1441" s="33" t="str">
        <f t="shared" si="33"/>
        <v/>
      </c>
      <c r="I1441" s="58"/>
      <c r="J1441" s="58"/>
      <c r="K1441" s="58"/>
      <c r="L1441" s="58"/>
      <c r="M1441" s="80"/>
      <c r="N1441" s="80"/>
      <c r="O1441" s="62"/>
      <c r="P1441" s="62"/>
      <c r="Q1441" s="62"/>
      <c r="R1441" s="62"/>
      <c r="S1441" s="37" t="str">
        <f>IFERROR(__xludf.DUMMYFUNCTION("if(not(iserror(index(split(C1441, "" ""),2))), index(split(C1441, "" ""),1),"""")"),"")</f>
        <v/>
      </c>
      <c r="T1441" s="315" t="str">
        <f>IFERROR(__xludf.DUMMYFUNCTION("if(S1441="""",C1441,if(not(iserror(index(split(C1441, "" ""),3))), index(split(C1441, "" ""),3),index(split(C1441, "" ""),2)))"),"")</f>
        <v/>
      </c>
      <c r="U1441" s="38" t="b">
        <f t="shared" si="34"/>
        <v>0</v>
      </c>
      <c r="V1441" s="38"/>
      <c r="W1441" s="40"/>
      <c r="X1441" s="40"/>
      <c r="Y1441" s="38"/>
      <c r="Z1441" s="38"/>
      <c r="AA1441" s="38"/>
      <c r="AB1441" s="38"/>
      <c r="AC1441" s="38"/>
      <c r="AD1441" s="38"/>
      <c r="AE1441" s="38"/>
      <c r="AF1441" s="38"/>
      <c r="AG1441" s="38"/>
      <c r="AH1441" s="38"/>
      <c r="AI1441" s="38"/>
      <c r="AJ1441" s="38"/>
      <c r="AK1441" s="38"/>
      <c r="AL1441" s="38"/>
      <c r="AM1441" s="38"/>
      <c r="AN1441" s="38"/>
      <c r="AO1441" s="38"/>
      <c r="AP1441" s="38"/>
      <c r="AQ1441" s="38"/>
      <c r="AR1441" s="38"/>
      <c r="AS1441" s="38"/>
      <c r="AT1441" s="38"/>
      <c r="AU1441" s="38"/>
      <c r="AV1441" s="38"/>
      <c r="AW1441" s="38"/>
      <c r="AX1441" s="38"/>
      <c r="AY1441" s="38"/>
      <c r="AZ1441" s="38"/>
      <c r="BA1441" s="38"/>
      <c r="BB1441" s="38"/>
      <c r="BC1441" s="38"/>
      <c r="BD1441" s="38"/>
      <c r="BE1441" s="38"/>
      <c r="BF1441" s="38"/>
      <c r="BG1441" s="38"/>
      <c r="BH1441" s="38"/>
      <c r="BI1441" s="38"/>
      <c r="BJ1441" s="38"/>
      <c r="BK1441" s="38"/>
      <c r="BL1441" s="38"/>
      <c r="BM1441" s="38"/>
      <c r="BN1441" s="38"/>
      <c r="BO1441" s="38"/>
      <c r="BP1441" s="38"/>
      <c r="BQ1441" s="38"/>
    </row>
    <row r="1442">
      <c r="A1442" s="58"/>
      <c r="B1442" s="341"/>
      <c r="C1442" s="60"/>
      <c r="D1442" s="60"/>
      <c r="E1442" s="58"/>
      <c r="F1442" s="58"/>
      <c r="G1442" s="58"/>
      <c r="H1442" s="33" t="str">
        <f t="shared" si="33"/>
        <v/>
      </c>
      <c r="I1442" s="58"/>
      <c r="J1442" s="58"/>
      <c r="K1442" s="58"/>
      <c r="L1442" s="58"/>
      <c r="M1442" s="80"/>
      <c r="N1442" s="77"/>
      <c r="O1442" s="58"/>
      <c r="P1442" s="58"/>
      <c r="Q1442" s="84"/>
      <c r="R1442" s="62"/>
      <c r="S1442" s="37" t="str">
        <f>IFERROR(__xludf.DUMMYFUNCTION("if(not(iserror(index(split(C1442, "" ""),2))), index(split(C1442, "" ""),1),"""")"),"")</f>
        <v/>
      </c>
      <c r="T1442" s="315" t="str">
        <f>IFERROR(__xludf.DUMMYFUNCTION("if(S1442="""",C1442,if(not(iserror(index(split(C1442, "" ""),3))), index(split(C1442, "" ""),3),index(split(C1442, "" ""),2)))"),"")</f>
        <v/>
      </c>
      <c r="U1442" s="38" t="b">
        <f t="shared" si="34"/>
        <v>0</v>
      </c>
      <c r="V1442" s="38"/>
      <c r="W1442" s="40"/>
      <c r="X1442" s="40"/>
      <c r="Y1442" s="38"/>
      <c r="Z1442" s="38"/>
      <c r="AA1442" s="38"/>
      <c r="AB1442" s="38"/>
      <c r="AC1442" s="38"/>
      <c r="AD1442" s="38"/>
      <c r="AE1442" s="38"/>
      <c r="AF1442" s="38"/>
      <c r="AG1442" s="38"/>
      <c r="AH1442" s="38"/>
      <c r="AI1442" s="38"/>
      <c r="AJ1442" s="38"/>
      <c r="AK1442" s="38"/>
      <c r="AL1442" s="38"/>
      <c r="AM1442" s="38"/>
      <c r="AN1442" s="38"/>
      <c r="AO1442" s="38"/>
      <c r="AP1442" s="38"/>
      <c r="AQ1442" s="38"/>
      <c r="AR1442" s="38"/>
      <c r="AS1442" s="38"/>
      <c r="AT1442" s="38"/>
      <c r="AU1442" s="38"/>
      <c r="AV1442" s="38"/>
      <c r="AW1442" s="38"/>
      <c r="AX1442" s="38"/>
      <c r="AY1442" s="38"/>
      <c r="AZ1442" s="38"/>
      <c r="BA1442" s="38"/>
      <c r="BB1442" s="38"/>
      <c r="BC1442" s="38"/>
      <c r="BD1442" s="38"/>
      <c r="BE1442" s="38"/>
      <c r="BF1442" s="38"/>
      <c r="BG1442" s="38"/>
      <c r="BH1442" s="38"/>
      <c r="BI1442" s="38"/>
      <c r="BJ1442" s="38"/>
      <c r="BK1442" s="38"/>
      <c r="BL1442" s="38"/>
      <c r="BM1442" s="38"/>
      <c r="BN1442" s="38"/>
      <c r="BO1442" s="38"/>
      <c r="BP1442" s="38"/>
      <c r="BQ1442" s="38"/>
    </row>
    <row r="1443">
      <c r="A1443" s="58"/>
      <c r="B1443" s="341"/>
      <c r="C1443" s="60"/>
      <c r="D1443" s="60"/>
      <c r="E1443" s="58"/>
      <c r="F1443" s="58"/>
      <c r="G1443" s="58"/>
      <c r="H1443" s="33" t="str">
        <f t="shared" si="33"/>
        <v/>
      </c>
      <c r="I1443" s="58"/>
      <c r="J1443" s="58"/>
      <c r="K1443" s="58"/>
      <c r="L1443" s="58"/>
      <c r="M1443" s="80"/>
      <c r="N1443" s="77"/>
      <c r="O1443" s="58"/>
      <c r="P1443" s="58"/>
      <c r="Q1443" s="84"/>
      <c r="R1443" s="62"/>
      <c r="S1443" s="37" t="str">
        <f>IFERROR(__xludf.DUMMYFUNCTION("if(not(iserror(index(split(C1443, "" ""),2))), index(split(C1443, "" ""),1),"""")"),"")</f>
        <v/>
      </c>
      <c r="T1443" s="315" t="str">
        <f>IFERROR(__xludf.DUMMYFUNCTION("if(S1443="""",C1443,if(not(iserror(index(split(C1443, "" ""),3))), index(split(C1443, "" ""),3),index(split(C1443, "" ""),2)))"),"")</f>
        <v/>
      </c>
      <c r="U1443" s="38" t="b">
        <f t="shared" si="34"/>
        <v>0</v>
      </c>
      <c r="V1443" s="38"/>
      <c r="W1443" s="40"/>
      <c r="X1443" s="40"/>
      <c r="Y1443" s="38"/>
      <c r="Z1443" s="38"/>
      <c r="AA1443" s="38"/>
      <c r="AB1443" s="38"/>
      <c r="AC1443" s="38"/>
      <c r="AD1443" s="38"/>
      <c r="AE1443" s="38"/>
      <c r="AF1443" s="38"/>
      <c r="AG1443" s="38"/>
      <c r="AH1443" s="38"/>
      <c r="AI1443" s="38"/>
      <c r="AJ1443" s="38"/>
      <c r="AK1443" s="38"/>
      <c r="AL1443" s="38"/>
      <c r="AM1443" s="38"/>
      <c r="AN1443" s="38"/>
      <c r="AO1443" s="38"/>
      <c r="AP1443" s="38"/>
      <c r="AQ1443" s="38"/>
      <c r="AR1443" s="38"/>
      <c r="AS1443" s="38"/>
      <c r="AT1443" s="38"/>
      <c r="AU1443" s="38"/>
      <c r="AV1443" s="38"/>
      <c r="AW1443" s="38"/>
      <c r="AX1443" s="38"/>
      <c r="AY1443" s="38"/>
      <c r="AZ1443" s="38"/>
      <c r="BA1443" s="38"/>
      <c r="BB1443" s="38"/>
      <c r="BC1443" s="38"/>
      <c r="BD1443" s="38"/>
      <c r="BE1443" s="38"/>
      <c r="BF1443" s="38"/>
      <c r="BG1443" s="38"/>
      <c r="BH1443" s="38"/>
      <c r="BI1443" s="38"/>
      <c r="BJ1443" s="38"/>
      <c r="BK1443" s="38"/>
      <c r="BL1443" s="38"/>
      <c r="BM1443" s="38"/>
      <c r="BN1443" s="38"/>
      <c r="BO1443" s="38"/>
      <c r="BP1443" s="38"/>
      <c r="BQ1443" s="38"/>
    </row>
    <row r="1444">
      <c r="A1444" s="58"/>
      <c r="B1444" s="341"/>
      <c r="C1444" s="60"/>
      <c r="D1444" s="60"/>
      <c r="E1444" s="58"/>
      <c r="F1444" s="58"/>
      <c r="G1444" s="58"/>
      <c r="H1444" s="33" t="str">
        <f t="shared" si="33"/>
        <v/>
      </c>
      <c r="I1444" s="58"/>
      <c r="J1444" s="58"/>
      <c r="K1444" s="58"/>
      <c r="L1444" s="58"/>
      <c r="M1444" s="80"/>
      <c r="N1444" s="77"/>
      <c r="O1444" s="62"/>
      <c r="P1444" s="62"/>
      <c r="Q1444" s="62"/>
      <c r="R1444" s="62"/>
      <c r="S1444" s="37" t="str">
        <f>IFERROR(__xludf.DUMMYFUNCTION("if(not(iserror(index(split(C1444, "" ""),2))), index(split(C1444, "" ""),1),"""")"),"")</f>
        <v/>
      </c>
      <c r="T1444" s="315" t="str">
        <f>IFERROR(__xludf.DUMMYFUNCTION("if(S1444="""",C1444,if(not(iserror(index(split(C1444, "" ""),3))), index(split(C1444, "" ""),3),index(split(C1444, "" ""),2)))"),"")</f>
        <v/>
      </c>
      <c r="U1444" s="38" t="b">
        <f t="shared" si="34"/>
        <v>0</v>
      </c>
      <c r="V1444" s="38"/>
      <c r="W1444" s="40"/>
      <c r="X1444" s="40"/>
      <c r="Y1444" s="38"/>
      <c r="Z1444" s="38"/>
      <c r="AA1444" s="38"/>
      <c r="AB1444" s="38"/>
      <c r="AC1444" s="38"/>
      <c r="AD1444" s="38"/>
      <c r="AE1444" s="38"/>
      <c r="AF1444" s="38"/>
      <c r="AG1444" s="38"/>
      <c r="AH1444" s="38"/>
      <c r="AI1444" s="38"/>
      <c r="AJ1444" s="38"/>
      <c r="AK1444" s="38"/>
      <c r="AL1444" s="38"/>
      <c r="AM1444" s="38"/>
      <c r="AN1444" s="38"/>
      <c r="AO1444" s="38"/>
      <c r="AP1444" s="38"/>
      <c r="AQ1444" s="38"/>
      <c r="AR1444" s="38"/>
      <c r="AS1444" s="38"/>
      <c r="AT1444" s="38"/>
      <c r="AU1444" s="38"/>
      <c r="AV1444" s="38"/>
      <c r="AW1444" s="38"/>
      <c r="AX1444" s="38"/>
      <c r="AY1444" s="38"/>
      <c r="AZ1444" s="38"/>
      <c r="BA1444" s="38"/>
      <c r="BB1444" s="38"/>
      <c r="BC1444" s="38"/>
      <c r="BD1444" s="38"/>
      <c r="BE1444" s="38"/>
      <c r="BF1444" s="38"/>
      <c r="BG1444" s="38"/>
      <c r="BH1444" s="38"/>
      <c r="BI1444" s="38"/>
      <c r="BJ1444" s="38"/>
      <c r="BK1444" s="38"/>
      <c r="BL1444" s="38"/>
      <c r="BM1444" s="38"/>
      <c r="BN1444" s="38"/>
      <c r="BO1444" s="38"/>
      <c r="BP1444" s="38"/>
      <c r="BQ1444" s="38"/>
    </row>
    <row r="1445">
      <c r="A1445" s="58"/>
      <c r="B1445" s="341"/>
      <c r="C1445" s="60"/>
      <c r="D1445" s="60"/>
      <c r="E1445" s="58"/>
      <c r="F1445" s="58"/>
      <c r="G1445" s="58"/>
      <c r="H1445" s="33" t="str">
        <f t="shared" si="33"/>
        <v/>
      </c>
      <c r="I1445" s="58"/>
      <c r="J1445" s="58"/>
      <c r="K1445" s="58"/>
      <c r="L1445" s="58"/>
      <c r="M1445" s="80"/>
      <c r="N1445" s="77"/>
      <c r="O1445" s="62"/>
      <c r="P1445" s="62"/>
      <c r="Q1445" s="62"/>
      <c r="R1445" s="62"/>
      <c r="S1445" s="37" t="str">
        <f>IFERROR(__xludf.DUMMYFUNCTION("if(not(iserror(index(split(C1445, "" ""),2))), index(split(C1445, "" ""),1),"""")"),"")</f>
        <v/>
      </c>
      <c r="T1445" s="315" t="str">
        <f>IFERROR(__xludf.DUMMYFUNCTION("if(S1445="""",C1445,if(not(iserror(index(split(C1445, "" ""),3))), index(split(C1445, "" ""),3),index(split(C1445, "" ""),2)))"),"")</f>
        <v/>
      </c>
      <c r="U1445" s="38" t="b">
        <f t="shared" si="34"/>
        <v>0</v>
      </c>
      <c r="V1445" s="38"/>
      <c r="W1445" s="40"/>
      <c r="X1445" s="40"/>
      <c r="Y1445" s="38"/>
      <c r="Z1445" s="38"/>
      <c r="AA1445" s="38"/>
      <c r="AB1445" s="38"/>
      <c r="AC1445" s="38"/>
      <c r="AD1445" s="38"/>
      <c r="AE1445" s="38"/>
      <c r="AF1445" s="38"/>
      <c r="AG1445" s="38"/>
      <c r="AH1445" s="38"/>
      <c r="AI1445" s="38"/>
      <c r="AJ1445" s="38"/>
      <c r="AK1445" s="38"/>
      <c r="AL1445" s="38"/>
      <c r="AM1445" s="38"/>
      <c r="AN1445" s="38"/>
      <c r="AO1445" s="38"/>
      <c r="AP1445" s="38"/>
      <c r="AQ1445" s="38"/>
      <c r="AR1445" s="38"/>
      <c r="AS1445" s="38"/>
      <c r="AT1445" s="38"/>
      <c r="AU1445" s="38"/>
      <c r="AV1445" s="38"/>
      <c r="AW1445" s="38"/>
      <c r="AX1445" s="38"/>
      <c r="AY1445" s="38"/>
      <c r="AZ1445" s="38"/>
      <c r="BA1445" s="38"/>
      <c r="BB1445" s="38"/>
      <c r="BC1445" s="38"/>
      <c r="BD1445" s="38"/>
      <c r="BE1445" s="38"/>
      <c r="BF1445" s="38"/>
      <c r="BG1445" s="38"/>
      <c r="BH1445" s="38"/>
      <c r="BI1445" s="38"/>
      <c r="BJ1445" s="38"/>
      <c r="BK1445" s="38"/>
      <c r="BL1445" s="38"/>
      <c r="BM1445" s="38"/>
      <c r="BN1445" s="38"/>
      <c r="BO1445" s="38"/>
      <c r="BP1445" s="38"/>
      <c r="BQ1445" s="38"/>
    </row>
    <row r="1446">
      <c r="A1446" s="58"/>
      <c r="B1446" s="341"/>
      <c r="C1446" s="60"/>
      <c r="D1446" s="60"/>
      <c r="E1446" s="58"/>
      <c r="F1446" s="58"/>
      <c r="G1446" s="58"/>
      <c r="H1446" s="33" t="str">
        <f t="shared" si="33"/>
        <v/>
      </c>
      <c r="I1446" s="58"/>
      <c r="J1446" s="58"/>
      <c r="K1446" s="58"/>
      <c r="L1446" s="58"/>
      <c r="M1446" s="80"/>
      <c r="N1446" s="77"/>
      <c r="O1446" s="62"/>
      <c r="P1446" s="62"/>
      <c r="Q1446" s="62"/>
      <c r="R1446" s="62"/>
      <c r="S1446" s="37" t="str">
        <f>IFERROR(__xludf.DUMMYFUNCTION("if(not(iserror(index(split(C1446, "" ""),2))), index(split(C1446, "" ""),1),"""")"),"")</f>
        <v/>
      </c>
      <c r="T1446" s="315" t="str">
        <f>IFERROR(__xludf.DUMMYFUNCTION("if(S1446="""",C1446,if(not(iserror(index(split(C1446, "" ""),3))), index(split(C1446, "" ""),3),index(split(C1446, "" ""),2)))"),"")</f>
        <v/>
      </c>
      <c r="U1446" s="38" t="b">
        <f t="shared" si="34"/>
        <v>0</v>
      </c>
      <c r="V1446" s="38"/>
      <c r="W1446" s="40"/>
      <c r="X1446" s="40"/>
      <c r="Y1446" s="38"/>
      <c r="Z1446" s="38"/>
      <c r="AA1446" s="38"/>
      <c r="AB1446" s="38"/>
      <c r="AC1446" s="38"/>
      <c r="AD1446" s="38"/>
      <c r="AE1446" s="38"/>
      <c r="AF1446" s="38"/>
      <c r="AG1446" s="38"/>
      <c r="AH1446" s="38"/>
      <c r="AI1446" s="38"/>
      <c r="AJ1446" s="38"/>
      <c r="AK1446" s="38"/>
      <c r="AL1446" s="38"/>
      <c r="AM1446" s="38"/>
      <c r="AN1446" s="38"/>
      <c r="AO1446" s="38"/>
      <c r="AP1446" s="38"/>
      <c r="AQ1446" s="38"/>
      <c r="AR1446" s="38"/>
      <c r="AS1446" s="38"/>
      <c r="AT1446" s="38"/>
      <c r="AU1446" s="38"/>
      <c r="AV1446" s="38"/>
      <c r="AW1446" s="38"/>
      <c r="AX1446" s="38"/>
      <c r="AY1446" s="38"/>
      <c r="AZ1446" s="38"/>
      <c r="BA1446" s="38"/>
      <c r="BB1446" s="38"/>
      <c r="BC1446" s="38"/>
      <c r="BD1446" s="38"/>
      <c r="BE1446" s="38"/>
      <c r="BF1446" s="38"/>
      <c r="BG1446" s="38"/>
      <c r="BH1446" s="38"/>
      <c r="BI1446" s="38"/>
      <c r="BJ1446" s="38"/>
      <c r="BK1446" s="38"/>
      <c r="BL1446" s="38"/>
      <c r="BM1446" s="38"/>
      <c r="BN1446" s="38"/>
      <c r="BO1446" s="38"/>
      <c r="BP1446" s="38"/>
      <c r="BQ1446" s="38"/>
    </row>
    <row r="1447">
      <c r="A1447" s="58"/>
      <c r="B1447" s="341"/>
      <c r="C1447" s="60"/>
      <c r="D1447" s="60"/>
      <c r="E1447" s="58"/>
      <c r="F1447" s="58"/>
      <c r="G1447" s="58"/>
      <c r="H1447" s="33" t="str">
        <f t="shared" si="33"/>
        <v/>
      </c>
      <c r="I1447" s="58"/>
      <c r="J1447" s="58"/>
      <c r="K1447" s="58"/>
      <c r="L1447" s="58"/>
      <c r="M1447" s="80"/>
      <c r="N1447" s="77"/>
      <c r="O1447" s="62"/>
      <c r="P1447" s="62"/>
      <c r="Q1447" s="62"/>
      <c r="R1447" s="62"/>
      <c r="S1447" s="37" t="str">
        <f>IFERROR(__xludf.DUMMYFUNCTION("if(not(iserror(index(split(C1447, "" ""),2))), index(split(C1447, "" ""),1),"""")"),"")</f>
        <v/>
      </c>
      <c r="T1447" s="315" t="str">
        <f>IFERROR(__xludf.DUMMYFUNCTION("if(S1447="""",C1447,if(not(iserror(index(split(C1447, "" ""),3))), index(split(C1447, "" ""),3),index(split(C1447, "" ""),2)))"),"")</f>
        <v/>
      </c>
      <c r="U1447" s="38" t="b">
        <f t="shared" si="34"/>
        <v>0</v>
      </c>
      <c r="V1447" s="38"/>
      <c r="W1447" s="40"/>
      <c r="X1447" s="40"/>
      <c r="Y1447" s="38"/>
      <c r="Z1447" s="38"/>
      <c r="AA1447" s="38"/>
      <c r="AB1447" s="38"/>
      <c r="AC1447" s="38"/>
      <c r="AD1447" s="38"/>
      <c r="AE1447" s="38"/>
      <c r="AF1447" s="38"/>
      <c r="AG1447" s="38"/>
      <c r="AH1447" s="38"/>
      <c r="AI1447" s="38"/>
      <c r="AJ1447" s="38"/>
      <c r="AK1447" s="38"/>
      <c r="AL1447" s="38"/>
      <c r="AM1447" s="38"/>
      <c r="AN1447" s="38"/>
      <c r="AO1447" s="38"/>
      <c r="AP1447" s="38"/>
      <c r="AQ1447" s="38"/>
      <c r="AR1447" s="38"/>
      <c r="AS1447" s="38"/>
      <c r="AT1447" s="38"/>
      <c r="AU1447" s="38"/>
      <c r="AV1447" s="38"/>
      <c r="AW1447" s="38"/>
      <c r="AX1447" s="38"/>
      <c r="AY1447" s="38"/>
      <c r="AZ1447" s="38"/>
      <c r="BA1447" s="38"/>
      <c r="BB1447" s="38"/>
      <c r="BC1447" s="38"/>
      <c r="BD1447" s="38"/>
      <c r="BE1447" s="38"/>
      <c r="BF1447" s="38"/>
      <c r="BG1447" s="38"/>
      <c r="BH1447" s="38"/>
      <c r="BI1447" s="38"/>
      <c r="BJ1447" s="38"/>
      <c r="BK1447" s="38"/>
      <c r="BL1447" s="38"/>
      <c r="BM1447" s="38"/>
      <c r="BN1447" s="38"/>
      <c r="BO1447" s="38"/>
      <c r="BP1447" s="38"/>
      <c r="BQ1447" s="38"/>
    </row>
    <row r="1448">
      <c r="A1448" s="58"/>
      <c r="B1448" s="341"/>
      <c r="C1448" s="60"/>
      <c r="D1448" s="60"/>
      <c r="E1448" s="58"/>
      <c r="F1448" s="58"/>
      <c r="G1448" s="58"/>
      <c r="H1448" s="33" t="str">
        <f t="shared" si="33"/>
        <v/>
      </c>
      <c r="I1448" s="58"/>
      <c r="J1448" s="58"/>
      <c r="K1448" s="58"/>
      <c r="L1448" s="58"/>
      <c r="M1448" s="80"/>
      <c r="N1448" s="77"/>
      <c r="O1448" s="58"/>
      <c r="P1448" s="58"/>
      <c r="Q1448" s="84"/>
      <c r="R1448" s="62"/>
      <c r="S1448" s="37" t="str">
        <f>IFERROR(__xludf.DUMMYFUNCTION("if(not(iserror(index(split(C1448, "" ""),2))), index(split(C1448, "" ""),1),"""")"),"")</f>
        <v/>
      </c>
      <c r="T1448" s="315" t="str">
        <f>IFERROR(__xludf.DUMMYFUNCTION("if(S1448="""",C1448,if(not(iserror(index(split(C1448, "" ""),3))), index(split(C1448, "" ""),3),index(split(C1448, "" ""),2)))"),"")</f>
        <v/>
      </c>
      <c r="U1448" s="38" t="b">
        <f t="shared" si="34"/>
        <v>0</v>
      </c>
      <c r="V1448" s="38"/>
      <c r="W1448" s="40"/>
      <c r="X1448" s="40"/>
      <c r="Y1448" s="38"/>
      <c r="Z1448" s="38"/>
      <c r="AA1448" s="38"/>
      <c r="AB1448" s="38"/>
      <c r="AC1448" s="38"/>
      <c r="AD1448" s="38"/>
      <c r="AE1448" s="38"/>
      <c r="AF1448" s="38"/>
      <c r="AG1448" s="38"/>
      <c r="AH1448" s="38"/>
      <c r="AI1448" s="38"/>
      <c r="AJ1448" s="38"/>
      <c r="AK1448" s="38"/>
      <c r="AL1448" s="38"/>
      <c r="AM1448" s="38"/>
      <c r="AN1448" s="38"/>
      <c r="AO1448" s="38"/>
      <c r="AP1448" s="38"/>
      <c r="AQ1448" s="38"/>
      <c r="AR1448" s="38"/>
      <c r="AS1448" s="38"/>
      <c r="AT1448" s="38"/>
      <c r="AU1448" s="38"/>
      <c r="AV1448" s="38"/>
      <c r="AW1448" s="38"/>
      <c r="AX1448" s="38"/>
      <c r="AY1448" s="38"/>
      <c r="AZ1448" s="38"/>
      <c r="BA1448" s="38"/>
      <c r="BB1448" s="38"/>
      <c r="BC1448" s="38"/>
      <c r="BD1448" s="38"/>
      <c r="BE1448" s="38"/>
      <c r="BF1448" s="38"/>
      <c r="BG1448" s="38"/>
      <c r="BH1448" s="38"/>
      <c r="BI1448" s="38"/>
      <c r="BJ1448" s="38"/>
      <c r="BK1448" s="38"/>
      <c r="BL1448" s="38"/>
      <c r="BM1448" s="38"/>
      <c r="BN1448" s="38"/>
      <c r="BO1448" s="38"/>
      <c r="BP1448" s="38"/>
      <c r="BQ1448" s="38"/>
    </row>
    <row r="1449">
      <c r="A1449" s="58"/>
      <c r="B1449" s="341"/>
      <c r="C1449" s="60"/>
      <c r="D1449" s="60"/>
      <c r="E1449" s="58"/>
      <c r="F1449" s="58"/>
      <c r="G1449" s="58"/>
      <c r="H1449" s="33" t="str">
        <f t="shared" si="33"/>
        <v/>
      </c>
      <c r="I1449" s="58"/>
      <c r="J1449" s="58"/>
      <c r="K1449" s="58"/>
      <c r="L1449" s="58"/>
      <c r="M1449" s="80"/>
      <c r="N1449" s="77"/>
      <c r="O1449" s="58"/>
      <c r="P1449" s="58"/>
      <c r="Q1449" s="84"/>
      <c r="R1449" s="62"/>
      <c r="S1449" s="37" t="str">
        <f>IFERROR(__xludf.DUMMYFUNCTION("if(not(iserror(index(split(C1449, "" ""),2))), index(split(C1449, "" ""),1),"""")"),"")</f>
        <v/>
      </c>
      <c r="T1449" s="315" t="str">
        <f>IFERROR(__xludf.DUMMYFUNCTION("if(S1449="""",C1449,if(not(iserror(index(split(C1449, "" ""),3))), index(split(C1449, "" ""),3),index(split(C1449, "" ""),2)))"),"")</f>
        <v/>
      </c>
      <c r="U1449" s="38" t="b">
        <f t="shared" si="34"/>
        <v>0</v>
      </c>
      <c r="V1449" s="38"/>
      <c r="W1449" s="40"/>
      <c r="X1449" s="40"/>
      <c r="Y1449" s="38"/>
      <c r="Z1449" s="38"/>
      <c r="AA1449" s="38"/>
      <c r="AB1449" s="38"/>
      <c r="AC1449" s="38"/>
      <c r="AD1449" s="38"/>
      <c r="AE1449" s="38"/>
      <c r="AF1449" s="38"/>
      <c r="AG1449" s="38"/>
      <c r="AH1449" s="38"/>
      <c r="AI1449" s="38"/>
      <c r="AJ1449" s="38"/>
      <c r="AK1449" s="38"/>
      <c r="AL1449" s="38"/>
      <c r="AM1449" s="38"/>
      <c r="AN1449" s="38"/>
      <c r="AO1449" s="38"/>
      <c r="AP1449" s="38"/>
      <c r="AQ1449" s="38"/>
      <c r="AR1449" s="38"/>
      <c r="AS1449" s="38"/>
      <c r="AT1449" s="38"/>
      <c r="AU1449" s="38"/>
      <c r="AV1449" s="38"/>
      <c r="AW1449" s="38"/>
      <c r="AX1449" s="38"/>
      <c r="AY1449" s="38"/>
      <c r="AZ1449" s="38"/>
      <c r="BA1449" s="38"/>
      <c r="BB1449" s="38"/>
      <c r="BC1449" s="38"/>
      <c r="BD1449" s="38"/>
      <c r="BE1449" s="38"/>
      <c r="BF1449" s="38"/>
      <c r="BG1449" s="38"/>
      <c r="BH1449" s="38"/>
      <c r="BI1449" s="38"/>
      <c r="BJ1449" s="38"/>
      <c r="BK1449" s="38"/>
      <c r="BL1449" s="38"/>
      <c r="BM1449" s="38"/>
      <c r="BN1449" s="38"/>
      <c r="BO1449" s="38"/>
      <c r="BP1449" s="38"/>
      <c r="BQ1449" s="38"/>
    </row>
    <row r="1450">
      <c r="A1450" s="58"/>
      <c r="B1450" s="341"/>
      <c r="C1450" s="60"/>
      <c r="D1450" s="60"/>
      <c r="E1450" s="58"/>
      <c r="F1450" s="58"/>
      <c r="G1450" s="58"/>
      <c r="H1450" s="33" t="str">
        <f t="shared" si="33"/>
        <v/>
      </c>
      <c r="I1450" s="58"/>
      <c r="J1450" s="58"/>
      <c r="K1450" s="58"/>
      <c r="L1450" s="58"/>
      <c r="M1450" s="80"/>
      <c r="N1450" s="77"/>
      <c r="O1450" s="58"/>
      <c r="P1450" s="58"/>
      <c r="Q1450" s="84"/>
      <c r="R1450" s="62"/>
      <c r="S1450" s="37" t="str">
        <f>IFERROR(__xludf.DUMMYFUNCTION("if(not(iserror(index(split(C1450, "" ""),2))), index(split(C1450, "" ""),1),"""")"),"")</f>
        <v/>
      </c>
      <c r="T1450" s="315" t="str">
        <f>IFERROR(__xludf.DUMMYFUNCTION("if(S1450="""",C1450,if(not(iserror(index(split(C1450, "" ""),3))), index(split(C1450, "" ""),3),index(split(C1450, "" ""),2)))"),"")</f>
        <v/>
      </c>
      <c r="U1450" s="38" t="b">
        <f t="shared" si="34"/>
        <v>0</v>
      </c>
      <c r="V1450" s="38"/>
      <c r="W1450" s="40"/>
      <c r="X1450" s="40"/>
      <c r="Y1450" s="38"/>
      <c r="Z1450" s="38"/>
      <c r="AA1450" s="38"/>
      <c r="AB1450" s="38"/>
      <c r="AC1450" s="38"/>
      <c r="AD1450" s="38"/>
      <c r="AE1450" s="38"/>
      <c r="AF1450" s="38"/>
      <c r="AG1450" s="38"/>
      <c r="AH1450" s="38"/>
      <c r="AI1450" s="38"/>
      <c r="AJ1450" s="38"/>
      <c r="AK1450" s="38"/>
      <c r="AL1450" s="38"/>
      <c r="AM1450" s="38"/>
      <c r="AN1450" s="38"/>
      <c r="AO1450" s="38"/>
      <c r="AP1450" s="38"/>
      <c r="AQ1450" s="38"/>
      <c r="AR1450" s="38"/>
      <c r="AS1450" s="38"/>
      <c r="AT1450" s="38"/>
      <c r="AU1450" s="38"/>
      <c r="AV1450" s="38"/>
      <c r="AW1450" s="38"/>
      <c r="AX1450" s="38"/>
      <c r="AY1450" s="38"/>
      <c r="AZ1450" s="38"/>
      <c r="BA1450" s="38"/>
      <c r="BB1450" s="38"/>
      <c r="BC1450" s="38"/>
      <c r="BD1450" s="38"/>
      <c r="BE1450" s="38"/>
      <c r="BF1450" s="38"/>
      <c r="BG1450" s="38"/>
      <c r="BH1450" s="38"/>
      <c r="BI1450" s="38"/>
      <c r="BJ1450" s="38"/>
      <c r="BK1450" s="38"/>
      <c r="BL1450" s="38"/>
      <c r="BM1450" s="38"/>
      <c r="BN1450" s="38"/>
      <c r="BO1450" s="38"/>
      <c r="BP1450" s="38"/>
      <c r="BQ1450" s="38"/>
    </row>
    <row r="1451">
      <c r="A1451" s="58"/>
      <c r="B1451" s="341"/>
      <c r="C1451" s="60"/>
      <c r="D1451" s="60"/>
      <c r="E1451" s="58"/>
      <c r="F1451" s="58"/>
      <c r="G1451" s="58"/>
      <c r="H1451" s="33" t="str">
        <f t="shared" si="33"/>
        <v/>
      </c>
      <c r="I1451" s="58"/>
      <c r="J1451" s="58"/>
      <c r="K1451" s="58"/>
      <c r="L1451" s="58"/>
      <c r="M1451" s="80"/>
      <c r="N1451" s="77"/>
      <c r="O1451" s="58"/>
      <c r="P1451" s="58"/>
      <c r="Q1451" s="84"/>
      <c r="R1451" s="62"/>
      <c r="S1451" s="37" t="str">
        <f>IFERROR(__xludf.DUMMYFUNCTION("if(not(iserror(index(split(C1451, "" ""),2))), index(split(C1451, "" ""),1),"""")"),"")</f>
        <v/>
      </c>
      <c r="T1451" s="315" t="str">
        <f>IFERROR(__xludf.DUMMYFUNCTION("if(S1451="""",C1451,if(not(iserror(index(split(C1451, "" ""),3))), index(split(C1451, "" ""),3),index(split(C1451, "" ""),2)))"),"")</f>
        <v/>
      </c>
      <c r="U1451" s="38" t="b">
        <f t="shared" si="34"/>
        <v>0</v>
      </c>
      <c r="V1451" s="38"/>
      <c r="W1451" s="40"/>
      <c r="X1451" s="40"/>
      <c r="Y1451" s="38"/>
      <c r="Z1451" s="38"/>
      <c r="AA1451" s="38"/>
      <c r="AB1451" s="38"/>
      <c r="AC1451" s="38"/>
      <c r="AD1451" s="38"/>
      <c r="AE1451" s="38"/>
      <c r="AF1451" s="38"/>
      <c r="AG1451" s="38"/>
      <c r="AH1451" s="38"/>
      <c r="AI1451" s="38"/>
      <c r="AJ1451" s="38"/>
      <c r="AK1451" s="38"/>
      <c r="AL1451" s="38"/>
      <c r="AM1451" s="38"/>
      <c r="AN1451" s="38"/>
      <c r="AO1451" s="38"/>
      <c r="AP1451" s="38"/>
      <c r="AQ1451" s="38"/>
      <c r="AR1451" s="38"/>
      <c r="AS1451" s="38"/>
      <c r="AT1451" s="38"/>
      <c r="AU1451" s="38"/>
      <c r="AV1451" s="38"/>
      <c r="AW1451" s="38"/>
      <c r="AX1451" s="38"/>
      <c r="AY1451" s="38"/>
      <c r="AZ1451" s="38"/>
      <c r="BA1451" s="38"/>
      <c r="BB1451" s="38"/>
      <c r="BC1451" s="38"/>
      <c r="BD1451" s="38"/>
      <c r="BE1451" s="38"/>
      <c r="BF1451" s="38"/>
      <c r="BG1451" s="38"/>
      <c r="BH1451" s="38"/>
      <c r="BI1451" s="38"/>
      <c r="BJ1451" s="38"/>
      <c r="BK1451" s="38"/>
      <c r="BL1451" s="38"/>
      <c r="BM1451" s="38"/>
      <c r="BN1451" s="38"/>
      <c r="BO1451" s="38"/>
      <c r="BP1451" s="38"/>
      <c r="BQ1451" s="38"/>
    </row>
    <row r="1452">
      <c r="A1452" s="58"/>
      <c r="B1452" s="341"/>
      <c r="C1452" s="60"/>
      <c r="D1452" s="60"/>
      <c r="E1452" s="58"/>
      <c r="F1452" s="58"/>
      <c r="G1452" s="58"/>
      <c r="H1452" s="33" t="str">
        <f t="shared" si="33"/>
        <v/>
      </c>
      <c r="I1452" s="58"/>
      <c r="J1452" s="58"/>
      <c r="K1452" s="58"/>
      <c r="L1452" s="58"/>
      <c r="M1452" s="80"/>
      <c r="N1452" s="77"/>
      <c r="O1452" s="58"/>
      <c r="P1452" s="58"/>
      <c r="Q1452" s="84"/>
      <c r="R1452" s="62"/>
      <c r="S1452" s="37" t="str">
        <f>IFERROR(__xludf.DUMMYFUNCTION("if(not(iserror(index(split(C1452, "" ""),2))), index(split(C1452, "" ""),1),"""")"),"")</f>
        <v/>
      </c>
      <c r="T1452" s="315" t="str">
        <f>IFERROR(__xludf.DUMMYFUNCTION("if(S1452="""",C1452,if(not(iserror(index(split(C1452, "" ""),3))), index(split(C1452, "" ""),3),index(split(C1452, "" ""),2)))"),"")</f>
        <v/>
      </c>
      <c r="U1452" s="38" t="b">
        <f t="shared" si="34"/>
        <v>0</v>
      </c>
      <c r="V1452" s="38"/>
      <c r="W1452" s="40"/>
      <c r="X1452" s="40"/>
      <c r="Y1452" s="38"/>
      <c r="Z1452" s="38"/>
      <c r="AA1452" s="38"/>
      <c r="AB1452" s="38"/>
      <c r="AC1452" s="38"/>
      <c r="AD1452" s="38"/>
      <c r="AE1452" s="38"/>
      <c r="AF1452" s="38"/>
      <c r="AG1452" s="38"/>
      <c r="AH1452" s="38"/>
      <c r="AI1452" s="38"/>
      <c r="AJ1452" s="38"/>
      <c r="AK1452" s="38"/>
      <c r="AL1452" s="38"/>
      <c r="AM1452" s="38"/>
      <c r="AN1452" s="38"/>
      <c r="AO1452" s="38"/>
      <c r="AP1452" s="38"/>
      <c r="AQ1452" s="38"/>
      <c r="AR1452" s="38"/>
      <c r="AS1452" s="38"/>
      <c r="AT1452" s="38"/>
      <c r="AU1452" s="38"/>
      <c r="AV1452" s="38"/>
      <c r="AW1452" s="38"/>
      <c r="AX1452" s="38"/>
      <c r="AY1452" s="38"/>
      <c r="AZ1452" s="38"/>
      <c r="BA1452" s="38"/>
      <c r="BB1452" s="38"/>
      <c r="BC1452" s="38"/>
      <c r="BD1452" s="38"/>
      <c r="BE1452" s="38"/>
      <c r="BF1452" s="38"/>
      <c r="BG1452" s="38"/>
      <c r="BH1452" s="38"/>
      <c r="BI1452" s="38"/>
      <c r="BJ1452" s="38"/>
      <c r="BK1452" s="38"/>
      <c r="BL1452" s="38"/>
      <c r="BM1452" s="38"/>
      <c r="BN1452" s="38"/>
      <c r="BO1452" s="38"/>
      <c r="BP1452" s="38"/>
      <c r="BQ1452" s="38"/>
    </row>
    <row r="1453">
      <c r="A1453" s="58"/>
      <c r="B1453" s="341"/>
      <c r="C1453" s="60"/>
      <c r="D1453" s="60"/>
      <c r="E1453" s="58"/>
      <c r="F1453" s="58"/>
      <c r="G1453" s="58"/>
      <c r="H1453" s="33" t="str">
        <f t="shared" si="33"/>
        <v/>
      </c>
      <c r="I1453" s="58"/>
      <c r="J1453" s="58"/>
      <c r="K1453" s="58"/>
      <c r="L1453" s="58"/>
      <c r="M1453" s="80"/>
      <c r="N1453" s="80"/>
      <c r="O1453" s="58"/>
      <c r="P1453" s="58"/>
      <c r="Q1453" s="84"/>
      <c r="R1453" s="62"/>
      <c r="S1453" s="37" t="str">
        <f>IFERROR(__xludf.DUMMYFUNCTION("if(not(iserror(index(split(C1453, "" ""),2))), index(split(C1453, "" ""),1),"""")"),"")</f>
        <v/>
      </c>
      <c r="T1453" s="315" t="str">
        <f>IFERROR(__xludf.DUMMYFUNCTION("if(S1453="""",C1453,if(not(iserror(index(split(C1453, "" ""),3))), index(split(C1453, "" ""),3),index(split(C1453, "" ""),2)))"),"")</f>
        <v/>
      </c>
      <c r="U1453" s="38" t="b">
        <f t="shared" si="34"/>
        <v>0</v>
      </c>
      <c r="V1453" s="38"/>
      <c r="W1453" s="40"/>
      <c r="X1453" s="40"/>
      <c r="Y1453" s="38"/>
      <c r="Z1453" s="38"/>
      <c r="AA1453" s="38"/>
      <c r="AB1453" s="38"/>
      <c r="AC1453" s="38"/>
      <c r="AD1453" s="38"/>
      <c r="AE1453" s="38"/>
      <c r="AF1453" s="38"/>
      <c r="AG1453" s="38"/>
      <c r="AH1453" s="38"/>
      <c r="AI1453" s="38"/>
      <c r="AJ1453" s="38"/>
      <c r="AK1453" s="38"/>
      <c r="AL1453" s="38"/>
      <c r="AM1453" s="38"/>
      <c r="AN1453" s="38"/>
      <c r="AO1453" s="38"/>
      <c r="AP1453" s="38"/>
      <c r="AQ1453" s="38"/>
      <c r="AR1453" s="38"/>
      <c r="AS1453" s="38"/>
      <c r="AT1453" s="38"/>
      <c r="AU1453" s="38"/>
      <c r="AV1453" s="38"/>
      <c r="AW1453" s="38"/>
      <c r="AX1453" s="38"/>
      <c r="AY1453" s="38"/>
      <c r="AZ1453" s="38"/>
      <c r="BA1453" s="38"/>
      <c r="BB1453" s="38"/>
      <c r="BC1453" s="38"/>
      <c r="BD1453" s="38"/>
      <c r="BE1453" s="38"/>
      <c r="BF1453" s="38"/>
      <c r="BG1453" s="38"/>
      <c r="BH1453" s="38"/>
      <c r="BI1453" s="38"/>
      <c r="BJ1453" s="38"/>
      <c r="BK1453" s="38"/>
      <c r="BL1453" s="38"/>
      <c r="BM1453" s="38"/>
      <c r="BN1453" s="38"/>
      <c r="BO1453" s="38"/>
      <c r="BP1453" s="38"/>
      <c r="BQ1453" s="38"/>
    </row>
    <row r="1454">
      <c r="A1454" s="58"/>
      <c r="B1454" s="341"/>
      <c r="C1454" s="60"/>
      <c r="D1454" s="60"/>
      <c r="E1454" s="58"/>
      <c r="F1454" s="58"/>
      <c r="G1454" s="58"/>
      <c r="H1454" s="33" t="str">
        <f t="shared" si="33"/>
        <v/>
      </c>
      <c r="I1454" s="58"/>
      <c r="J1454" s="58"/>
      <c r="K1454" s="58"/>
      <c r="L1454" s="58"/>
      <c r="M1454" s="80"/>
      <c r="N1454" s="77"/>
      <c r="O1454" s="58"/>
      <c r="P1454" s="58"/>
      <c r="Q1454" s="84"/>
      <c r="R1454" s="62"/>
      <c r="S1454" s="37" t="str">
        <f>IFERROR(__xludf.DUMMYFUNCTION("if(not(iserror(index(split(C1454, "" ""),2))), index(split(C1454, "" ""),1),"""")"),"")</f>
        <v/>
      </c>
      <c r="T1454" s="315" t="str">
        <f>IFERROR(__xludf.DUMMYFUNCTION("if(S1454="""",C1454,if(not(iserror(index(split(C1454, "" ""),3))), index(split(C1454, "" ""),3),index(split(C1454, "" ""),2)))"),"")</f>
        <v/>
      </c>
      <c r="U1454" s="38" t="b">
        <f t="shared" si="34"/>
        <v>0</v>
      </c>
      <c r="V1454" s="38"/>
      <c r="W1454" s="40"/>
      <c r="X1454" s="40"/>
      <c r="Y1454" s="38"/>
      <c r="Z1454" s="38"/>
      <c r="AA1454" s="38"/>
      <c r="AB1454" s="38"/>
      <c r="AC1454" s="38"/>
      <c r="AD1454" s="38"/>
      <c r="AE1454" s="38"/>
      <c r="AF1454" s="38"/>
      <c r="AG1454" s="38"/>
      <c r="AH1454" s="38"/>
      <c r="AI1454" s="38"/>
      <c r="AJ1454" s="38"/>
      <c r="AK1454" s="38"/>
      <c r="AL1454" s="38"/>
      <c r="AM1454" s="38"/>
      <c r="AN1454" s="38"/>
      <c r="AO1454" s="38"/>
      <c r="AP1454" s="38"/>
      <c r="AQ1454" s="38"/>
      <c r="AR1454" s="38"/>
      <c r="AS1454" s="38"/>
      <c r="AT1454" s="38"/>
      <c r="AU1454" s="38"/>
      <c r="AV1454" s="38"/>
      <c r="AW1454" s="38"/>
      <c r="AX1454" s="38"/>
      <c r="AY1454" s="38"/>
      <c r="AZ1454" s="38"/>
      <c r="BA1454" s="38"/>
      <c r="BB1454" s="38"/>
      <c r="BC1454" s="38"/>
      <c r="BD1454" s="38"/>
      <c r="BE1454" s="38"/>
      <c r="BF1454" s="38"/>
      <c r="BG1454" s="38"/>
      <c r="BH1454" s="38"/>
      <c r="BI1454" s="38"/>
      <c r="BJ1454" s="38"/>
      <c r="BK1454" s="38"/>
      <c r="BL1454" s="38"/>
      <c r="BM1454" s="38"/>
      <c r="BN1454" s="38"/>
      <c r="BO1454" s="38"/>
      <c r="BP1454" s="38"/>
      <c r="BQ1454" s="38"/>
    </row>
    <row r="1455">
      <c r="A1455" s="58"/>
      <c r="B1455" s="341"/>
      <c r="C1455" s="60"/>
      <c r="D1455" s="60"/>
      <c r="E1455" s="58"/>
      <c r="F1455" s="58"/>
      <c r="G1455" s="58"/>
      <c r="H1455" s="33" t="str">
        <f t="shared" si="33"/>
        <v/>
      </c>
      <c r="I1455" s="58"/>
      <c r="J1455" s="58"/>
      <c r="K1455" s="58"/>
      <c r="L1455" s="58"/>
      <c r="M1455" s="80"/>
      <c r="N1455" s="77"/>
      <c r="O1455" s="62"/>
      <c r="P1455" s="62"/>
      <c r="Q1455" s="62"/>
      <c r="R1455" s="62"/>
      <c r="S1455" s="37" t="str">
        <f>IFERROR(__xludf.DUMMYFUNCTION("if(not(iserror(index(split(C1455, "" ""),2))), index(split(C1455, "" ""),1),"""")"),"")</f>
        <v/>
      </c>
      <c r="T1455" s="315" t="str">
        <f>IFERROR(__xludf.DUMMYFUNCTION("if(S1455="""",C1455,if(not(iserror(index(split(C1455, "" ""),3))), index(split(C1455, "" ""),3),index(split(C1455, "" ""),2)))"),"")</f>
        <v/>
      </c>
      <c r="U1455" s="38" t="b">
        <f t="shared" si="34"/>
        <v>0</v>
      </c>
      <c r="V1455" s="38"/>
      <c r="W1455" s="40"/>
      <c r="X1455" s="40"/>
      <c r="Y1455" s="38"/>
      <c r="Z1455" s="38"/>
      <c r="AA1455" s="38"/>
      <c r="AB1455" s="38"/>
      <c r="AC1455" s="38"/>
      <c r="AD1455" s="38"/>
      <c r="AE1455" s="38"/>
      <c r="AF1455" s="38"/>
      <c r="AG1455" s="38"/>
      <c r="AH1455" s="38"/>
      <c r="AI1455" s="38"/>
      <c r="AJ1455" s="38"/>
      <c r="AK1455" s="38"/>
      <c r="AL1455" s="38"/>
      <c r="AM1455" s="38"/>
      <c r="AN1455" s="38"/>
      <c r="AO1455" s="38"/>
      <c r="AP1455" s="38"/>
      <c r="AQ1455" s="38"/>
      <c r="AR1455" s="38"/>
      <c r="AS1455" s="38"/>
      <c r="AT1455" s="38"/>
      <c r="AU1455" s="38"/>
      <c r="AV1455" s="38"/>
      <c r="AW1455" s="38"/>
      <c r="AX1455" s="38"/>
      <c r="AY1455" s="38"/>
      <c r="AZ1455" s="38"/>
      <c r="BA1455" s="38"/>
      <c r="BB1455" s="38"/>
      <c r="BC1455" s="38"/>
      <c r="BD1455" s="38"/>
      <c r="BE1455" s="38"/>
      <c r="BF1455" s="38"/>
      <c r="BG1455" s="38"/>
      <c r="BH1455" s="38"/>
      <c r="BI1455" s="38"/>
      <c r="BJ1455" s="38"/>
      <c r="BK1455" s="38"/>
      <c r="BL1455" s="38"/>
      <c r="BM1455" s="38"/>
      <c r="BN1455" s="38"/>
      <c r="BO1455" s="38"/>
      <c r="BP1455" s="38"/>
      <c r="BQ1455" s="38"/>
    </row>
    <row r="1456">
      <c r="B1456" s="341"/>
      <c r="C1456" s="60"/>
      <c r="D1456" s="60"/>
      <c r="E1456" s="58"/>
      <c r="F1456" s="58"/>
      <c r="G1456" s="58"/>
      <c r="H1456" s="33" t="str">
        <f t="shared" si="33"/>
        <v/>
      </c>
      <c r="I1456" s="58"/>
      <c r="J1456" s="58"/>
      <c r="K1456" s="58"/>
      <c r="L1456" s="58"/>
      <c r="M1456" s="80"/>
      <c r="N1456" s="77"/>
      <c r="O1456" s="62"/>
      <c r="P1456" s="58"/>
      <c r="Q1456" s="84"/>
      <c r="R1456" s="62"/>
      <c r="S1456" s="37" t="str">
        <f>IFERROR(__xludf.DUMMYFUNCTION("if(not(iserror(index(split(C1456, "" ""),2))), index(split(C1456, "" ""),1),"""")"),"")</f>
        <v/>
      </c>
      <c r="T1456" s="315" t="str">
        <f>IFERROR(__xludf.DUMMYFUNCTION("if(S1456="""",C1456,if(not(iserror(index(split(C1456, "" ""),3))), index(split(C1456, "" ""),3),index(split(C1456, "" ""),2)))"),"")</f>
        <v/>
      </c>
      <c r="U1456" s="38" t="b">
        <f t="shared" si="34"/>
        <v>0</v>
      </c>
      <c r="V1456" s="38"/>
      <c r="W1456" s="40"/>
      <c r="X1456" s="40"/>
      <c r="Y1456" s="38"/>
      <c r="Z1456" s="38"/>
      <c r="AA1456" s="38"/>
      <c r="AB1456" s="38"/>
      <c r="AC1456" s="38"/>
      <c r="AD1456" s="38"/>
      <c r="AE1456" s="38"/>
      <c r="AF1456" s="38"/>
      <c r="AG1456" s="38"/>
      <c r="AH1456" s="38"/>
      <c r="AI1456" s="38"/>
      <c r="AJ1456" s="38"/>
      <c r="AK1456" s="38"/>
      <c r="AL1456" s="38"/>
      <c r="AM1456" s="38"/>
      <c r="AN1456" s="38"/>
      <c r="AO1456" s="38"/>
      <c r="AP1456" s="38"/>
      <c r="AQ1456" s="38"/>
      <c r="AR1456" s="38"/>
      <c r="AS1456" s="38"/>
      <c r="AT1456" s="38"/>
      <c r="AU1456" s="38"/>
      <c r="AV1456" s="38"/>
      <c r="AW1456" s="38"/>
      <c r="AX1456" s="38"/>
      <c r="AY1456" s="38"/>
      <c r="AZ1456" s="38"/>
      <c r="BA1456" s="38"/>
      <c r="BB1456" s="38"/>
      <c r="BC1456" s="38"/>
      <c r="BD1456" s="38"/>
      <c r="BE1456" s="38"/>
      <c r="BF1456" s="38"/>
      <c r="BG1456" s="38"/>
      <c r="BH1456" s="38"/>
      <c r="BI1456" s="38"/>
      <c r="BJ1456" s="38"/>
      <c r="BK1456" s="38"/>
      <c r="BL1456" s="38"/>
      <c r="BM1456" s="38"/>
      <c r="BN1456" s="38"/>
      <c r="BO1456" s="38"/>
      <c r="BP1456" s="38"/>
      <c r="BQ1456" s="38"/>
    </row>
    <row r="1457">
      <c r="B1457" s="341"/>
      <c r="C1457" s="60"/>
      <c r="D1457" s="60"/>
      <c r="E1457" s="58"/>
      <c r="F1457" s="58"/>
      <c r="G1457" s="58"/>
      <c r="H1457" s="33" t="str">
        <f t="shared" si="33"/>
        <v/>
      </c>
      <c r="I1457" s="58"/>
      <c r="J1457" s="58"/>
      <c r="K1457" s="58"/>
      <c r="L1457" s="58"/>
      <c r="M1457" s="80"/>
      <c r="N1457" s="77"/>
      <c r="O1457" s="62"/>
      <c r="P1457" s="62"/>
      <c r="Q1457" s="62"/>
      <c r="R1457" s="62"/>
      <c r="S1457" s="37" t="str">
        <f>IFERROR(__xludf.DUMMYFUNCTION("if(not(iserror(index(split(C1457, "" ""),2))), index(split(C1457, "" ""),1),"""")"),"")</f>
        <v/>
      </c>
      <c r="T1457" s="315" t="str">
        <f>IFERROR(__xludf.DUMMYFUNCTION("if(S1457="""",C1457,if(not(iserror(index(split(C1457, "" ""),3))), index(split(C1457, "" ""),3),index(split(C1457, "" ""),2)))"),"")</f>
        <v/>
      </c>
      <c r="U1457" s="38" t="b">
        <f t="shared" si="34"/>
        <v>0</v>
      </c>
      <c r="V1457" s="38"/>
      <c r="W1457" s="40"/>
      <c r="X1457" s="40"/>
      <c r="Y1457" s="38"/>
      <c r="Z1457" s="38"/>
      <c r="AA1457" s="38"/>
      <c r="AB1457" s="38"/>
      <c r="AC1457" s="38"/>
      <c r="AD1457" s="38"/>
      <c r="AE1457" s="38"/>
      <c r="AF1457" s="38"/>
      <c r="AG1457" s="38"/>
      <c r="AH1457" s="38"/>
      <c r="AI1457" s="38"/>
      <c r="AJ1457" s="38"/>
      <c r="AK1457" s="38"/>
      <c r="AL1457" s="38"/>
      <c r="AM1457" s="38"/>
      <c r="AN1457" s="38"/>
      <c r="AO1457" s="38"/>
      <c r="AP1457" s="38"/>
      <c r="AQ1457" s="38"/>
      <c r="AR1457" s="38"/>
      <c r="AS1457" s="38"/>
      <c r="AT1457" s="38"/>
      <c r="AU1457" s="38"/>
      <c r="AV1457" s="38"/>
      <c r="AW1457" s="38"/>
      <c r="AX1457" s="38"/>
      <c r="AY1457" s="38"/>
      <c r="AZ1457" s="38"/>
      <c r="BA1457" s="38"/>
      <c r="BB1457" s="38"/>
      <c r="BC1457" s="38"/>
      <c r="BD1457" s="38"/>
      <c r="BE1457" s="38"/>
      <c r="BF1457" s="38"/>
      <c r="BG1457" s="38"/>
      <c r="BH1457" s="38"/>
      <c r="BI1457" s="38"/>
      <c r="BJ1457" s="38"/>
      <c r="BK1457" s="38"/>
      <c r="BL1457" s="38"/>
      <c r="BM1457" s="38"/>
      <c r="BN1457" s="38"/>
      <c r="BO1457" s="38"/>
      <c r="BP1457" s="38"/>
      <c r="BQ1457" s="38"/>
    </row>
    <row r="1458">
      <c r="B1458" s="341"/>
      <c r="C1458" s="60"/>
      <c r="D1458" s="60"/>
      <c r="E1458" s="58"/>
      <c r="F1458" s="58"/>
      <c r="G1458" s="58"/>
      <c r="H1458" s="33" t="str">
        <f t="shared" si="33"/>
        <v/>
      </c>
      <c r="I1458" s="58"/>
      <c r="J1458" s="58"/>
      <c r="K1458" s="58"/>
      <c r="L1458" s="58"/>
      <c r="M1458" s="80"/>
      <c r="N1458" s="77"/>
      <c r="O1458" s="62"/>
      <c r="P1458" s="62"/>
      <c r="Q1458" s="62"/>
      <c r="R1458" s="62"/>
      <c r="S1458" s="37" t="str">
        <f>IFERROR(__xludf.DUMMYFUNCTION("if(not(iserror(index(split(C1458, "" ""),2))), index(split(C1458, "" ""),1),"""")"),"")</f>
        <v/>
      </c>
      <c r="T1458" s="315" t="str">
        <f>IFERROR(__xludf.DUMMYFUNCTION("if(S1458="""",C1458,if(not(iserror(index(split(C1458, "" ""),3))), index(split(C1458, "" ""),3),index(split(C1458, "" ""),2)))"),"")</f>
        <v/>
      </c>
      <c r="U1458" s="38" t="b">
        <f t="shared" si="34"/>
        <v>0</v>
      </c>
      <c r="V1458" s="38"/>
      <c r="W1458" s="40"/>
      <c r="X1458" s="40"/>
      <c r="Y1458" s="38"/>
      <c r="Z1458" s="38"/>
      <c r="AA1458" s="38"/>
      <c r="AB1458" s="38"/>
      <c r="AC1458" s="38"/>
      <c r="AD1458" s="38"/>
      <c r="AE1458" s="38"/>
      <c r="AF1458" s="38"/>
      <c r="AG1458" s="38"/>
      <c r="AH1458" s="38"/>
      <c r="AI1458" s="38"/>
      <c r="AJ1458" s="38"/>
      <c r="AK1458" s="38"/>
      <c r="AL1458" s="38"/>
      <c r="AM1458" s="38"/>
      <c r="AN1458" s="38"/>
      <c r="AO1458" s="38"/>
      <c r="AP1458" s="38"/>
      <c r="AQ1458" s="38"/>
      <c r="AR1458" s="38"/>
      <c r="AS1458" s="38"/>
      <c r="AT1458" s="38"/>
      <c r="AU1458" s="38"/>
      <c r="AV1458" s="38"/>
      <c r="AW1458" s="38"/>
      <c r="AX1458" s="38"/>
      <c r="AY1458" s="38"/>
      <c r="AZ1458" s="38"/>
      <c r="BA1458" s="38"/>
      <c r="BB1458" s="38"/>
      <c r="BC1458" s="38"/>
      <c r="BD1458" s="38"/>
      <c r="BE1458" s="38"/>
      <c r="BF1458" s="38"/>
      <c r="BG1458" s="38"/>
      <c r="BH1458" s="38"/>
      <c r="BI1458" s="38"/>
      <c r="BJ1458" s="38"/>
      <c r="BK1458" s="38"/>
      <c r="BL1458" s="38"/>
      <c r="BM1458" s="38"/>
      <c r="BN1458" s="38"/>
      <c r="BO1458" s="38"/>
      <c r="BP1458" s="38"/>
      <c r="BQ1458" s="38"/>
    </row>
    <row r="1459">
      <c r="B1459" s="341"/>
      <c r="C1459" s="60"/>
      <c r="D1459" s="60"/>
      <c r="E1459" s="58"/>
      <c r="F1459" s="58"/>
      <c r="G1459" s="58"/>
      <c r="H1459" s="33" t="str">
        <f t="shared" si="33"/>
        <v/>
      </c>
      <c r="I1459" s="58"/>
      <c r="J1459" s="58"/>
      <c r="K1459" s="58"/>
      <c r="L1459" s="58"/>
      <c r="M1459" s="80"/>
      <c r="N1459" s="77"/>
      <c r="O1459" s="62"/>
      <c r="P1459" s="62"/>
      <c r="Q1459" s="62"/>
      <c r="R1459" s="62"/>
      <c r="S1459" s="37" t="str">
        <f>IFERROR(__xludf.DUMMYFUNCTION("if(not(iserror(index(split(C1459, "" ""),2))), index(split(C1459, "" ""),1),"""")"),"")</f>
        <v/>
      </c>
      <c r="T1459" s="315" t="str">
        <f>IFERROR(__xludf.DUMMYFUNCTION("if(S1459="""",C1459,if(not(iserror(index(split(C1459, "" ""),3))), index(split(C1459, "" ""),3),index(split(C1459, "" ""),2)))"),"")</f>
        <v/>
      </c>
      <c r="U1459" s="38" t="b">
        <f t="shared" si="34"/>
        <v>0</v>
      </c>
      <c r="V1459" s="38"/>
      <c r="W1459" s="40"/>
      <c r="X1459" s="40"/>
      <c r="Y1459" s="38"/>
      <c r="Z1459" s="38"/>
      <c r="AA1459" s="38"/>
      <c r="AB1459" s="38"/>
      <c r="AC1459" s="38"/>
      <c r="AD1459" s="38"/>
      <c r="AE1459" s="38"/>
      <c r="AF1459" s="38"/>
      <c r="AG1459" s="38"/>
      <c r="AH1459" s="38"/>
      <c r="AI1459" s="38"/>
      <c r="AJ1459" s="38"/>
      <c r="AK1459" s="38"/>
      <c r="AL1459" s="38"/>
      <c r="AM1459" s="38"/>
      <c r="AN1459" s="38"/>
      <c r="AO1459" s="38"/>
      <c r="AP1459" s="38"/>
      <c r="AQ1459" s="38"/>
      <c r="AR1459" s="38"/>
      <c r="AS1459" s="38"/>
      <c r="AT1459" s="38"/>
      <c r="AU1459" s="38"/>
      <c r="AV1459" s="38"/>
      <c r="AW1459" s="38"/>
      <c r="AX1459" s="38"/>
      <c r="AY1459" s="38"/>
      <c r="AZ1459" s="38"/>
      <c r="BA1459" s="38"/>
      <c r="BB1459" s="38"/>
      <c r="BC1459" s="38"/>
      <c r="BD1459" s="38"/>
      <c r="BE1459" s="38"/>
      <c r="BF1459" s="38"/>
      <c r="BG1459" s="38"/>
      <c r="BH1459" s="38"/>
      <c r="BI1459" s="38"/>
      <c r="BJ1459" s="38"/>
      <c r="BK1459" s="38"/>
      <c r="BL1459" s="38"/>
      <c r="BM1459" s="38"/>
      <c r="BN1459" s="38"/>
      <c r="BO1459" s="38"/>
      <c r="BP1459" s="38"/>
      <c r="BQ1459" s="38"/>
    </row>
    <row r="1460">
      <c r="B1460" s="341"/>
      <c r="C1460" s="60"/>
      <c r="D1460" s="60"/>
      <c r="E1460" s="58"/>
      <c r="F1460" s="58"/>
      <c r="G1460" s="58"/>
      <c r="H1460" s="33" t="str">
        <f t="shared" si="33"/>
        <v/>
      </c>
      <c r="I1460" s="58"/>
      <c r="J1460" s="58"/>
      <c r="K1460" s="58"/>
      <c r="L1460" s="58"/>
      <c r="M1460" s="80"/>
      <c r="N1460" s="77"/>
      <c r="O1460" s="62"/>
      <c r="P1460" s="62"/>
      <c r="Q1460" s="62"/>
      <c r="R1460" s="62"/>
      <c r="S1460" s="37" t="str">
        <f>IFERROR(__xludf.DUMMYFUNCTION("if(not(iserror(index(split(C1460, "" ""),2))), index(split(C1460, "" ""),1),"""")"),"")</f>
        <v/>
      </c>
      <c r="T1460" s="315" t="str">
        <f>IFERROR(__xludf.DUMMYFUNCTION("if(S1460="""",C1460,if(not(iserror(index(split(C1460, "" ""),3))), index(split(C1460, "" ""),3),index(split(C1460, "" ""),2)))"),"")</f>
        <v/>
      </c>
      <c r="U1460" s="38" t="b">
        <f t="shared" si="34"/>
        <v>0</v>
      </c>
      <c r="V1460" s="38"/>
      <c r="W1460" s="40"/>
      <c r="X1460" s="40"/>
      <c r="Y1460" s="38"/>
      <c r="Z1460" s="38"/>
      <c r="AA1460" s="38"/>
      <c r="AB1460" s="38"/>
      <c r="AC1460" s="38"/>
      <c r="AD1460" s="38"/>
      <c r="AE1460" s="38"/>
      <c r="AF1460" s="38"/>
      <c r="AG1460" s="38"/>
      <c r="AH1460" s="38"/>
      <c r="AI1460" s="38"/>
      <c r="AJ1460" s="38"/>
      <c r="AK1460" s="38"/>
      <c r="AL1460" s="38"/>
      <c r="AM1460" s="38"/>
      <c r="AN1460" s="38"/>
      <c r="AO1460" s="38"/>
      <c r="AP1460" s="38"/>
      <c r="AQ1460" s="38"/>
      <c r="AR1460" s="38"/>
      <c r="AS1460" s="38"/>
      <c r="AT1460" s="38"/>
      <c r="AU1460" s="38"/>
      <c r="AV1460" s="38"/>
      <c r="AW1460" s="38"/>
      <c r="AX1460" s="38"/>
      <c r="AY1460" s="38"/>
      <c r="AZ1460" s="38"/>
      <c r="BA1460" s="38"/>
      <c r="BB1460" s="38"/>
      <c r="BC1460" s="38"/>
      <c r="BD1460" s="38"/>
      <c r="BE1460" s="38"/>
      <c r="BF1460" s="38"/>
      <c r="BG1460" s="38"/>
      <c r="BH1460" s="38"/>
      <c r="BI1460" s="38"/>
      <c r="BJ1460" s="38"/>
      <c r="BK1460" s="38"/>
      <c r="BL1460" s="38"/>
      <c r="BM1460" s="38"/>
      <c r="BN1460" s="38"/>
      <c r="BO1460" s="38"/>
      <c r="BP1460" s="38"/>
      <c r="BQ1460" s="38"/>
    </row>
    <row r="1461">
      <c r="A1461" s="58"/>
      <c r="B1461" s="341"/>
      <c r="C1461" s="60"/>
      <c r="D1461" s="60"/>
      <c r="E1461" s="58"/>
      <c r="F1461" s="58"/>
      <c r="G1461" s="58"/>
      <c r="H1461" s="33" t="str">
        <f t="shared" si="33"/>
        <v/>
      </c>
      <c r="I1461" s="58"/>
      <c r="J1461" s="58"/>
      <c r="K1461" s="58"/>
      <c r="L1461" s="58"/>
      <c r="M1461" s="80"/>
      <c r="N1461" s="77"/>
      <c r="O1461" s="62"/>
      <c r="P1461" s="62"/>
      <c r="Q1461" s="62"/>
      <c r="R1461" s="62"/>
      <c r="S1461" s="37" t="str">
        <f>IFERROR(__xludf.DUMMYFUNCTION("if(not(iserror(index(split(C1461, "" ""),2))), index(split(C1461, "" ""),1),"""")"),"")</f>
        <v/>
      </c>
      <c r="T1461" s="315" t="str">
        <f>IFERROR(__xludf.DUMMYFUNCTION("if(S1461="""",C1461,if(not(iserror(index(split(C1461, "" ""),3))), index(split(C1461, "" ""),3),index(split(C1461, "" ""),2)))"),"")</f>
        <v/>
      </c>
      <c r="U1461" s="38" t="b">
        <f t="shared" si="34"/>
        <v>0</v>
      </c>
      <c r="V1461" s="38"/>
      <c r="W1461" s="40"/>
      <c r="X1461" s="40"/>
      <c r="Y1461" s="38"/>
      <c r="Z1461" s="38"/>
      <c r="AA1461" s="38"/>
      <c r="AB1461" s="38"/>
      <c r="AC1461" s="38"/>
      <c r="AD1461" s="38"/>
      <c r="AE1461" s="38"/>
      <c r="AF1461" s="38"/>
      <c r="AG1461" s="38"/>
      <c r="AH1461" s="38"/>
      <c r="AI1461" s="38"/>
      <c r="AJ1461" s="38"/>
      <c r="AK1461" s="38"/>
      <c r="AL1461" s="38"/>
      <c r="AM1461" s="38"/>
      <c r="AN1461" s="38"/>
      <c r="AO1461" s="38"/>
      <c r="AP1461" s="38"/>
      <c r="AQ1461" s="38"/>
      <c r="AR1461" s="38"/>
      <c r="AS1461" s="38"/>
      <c r="AT1461" s="38"/>
      <c r="AU1461" s="38"/>
      <c r="AV1461" s="38"/>
      <c r="AW1461" s="38"/>
      <c r="AX1461" s="38"/>
      <c r="AY1461" s="38"/>
      <c r="AZ1461" s="38"/>
      <c r="BA1461" s="38"/>
      <c r="BB1461" s="38"/>
      <c r="BC1461" s="38"/>
      <c r="BD1461" s="38"/>
      <c r="BE1461" s="38"/>
      <c r="BF1461" s="38"/>
      <c r="BG1461" s="38"/>
      <c r="BH1461" s="38"/>
      <c r="BI1461" s="38"/>
      <c r="BJ1461" s="38"/>
      <c r="BK1461" s="38"/>
      <c r="BL1461" s="38"/>
      <c r="BM1461" s="38"/>
      <c r="BN1461" s="38"/>
      <c r="BO1461" s="38"/>
      <c r="BP1461" s="38"/>
      <c r="BQ1461" s="38"/>
    </row>
    <row r="1462">
      <c r="A1462" s="58"/>
      <c r="B1462" s="341"/>
      <c r="C1462" s="60"/>
      <c r="D1462" s="60"/>
      <c r="E1462" s="58"/>
      <c r="F1462" s="58"/>
      <c r="G1462" s="58"/>
      <c r="H1462" s="33" t="str">
        <f t="shared" si="33"/>
        <v/>
      </c>
      <c r="I1462" s="58"/>
      <c r="J1462" s="58"/>
      <c r="K1462" s="58"/>
      <c r="L1462" s="58"/>
      <c r="M1462" s="80"/>
      <c r="N1462" s="77"/>
      <c r="O1462" s="62"/>
      <c r="P1462" s="62"/>
      <c r="Q1462" s="62"/>
      <c r="R1462" s="62"/>
      <c r="S1462" s="37" t="str">
        <f>IFERROR(__xludf.DUMMYFUNCTION("if(not(iserror(index(split(C1462, "" ""),2))), index(split(C1462, "" ""),1),"""")"),"")</f>
        <v/>
      </c>
      <c r="T1462" s="315" t="str">
        <f>IFERROR(__xludf.DUMMYFUNCTION("if(S1462="""",C1462,if(not(iserror(index(split(C1462, "" ""),3))), index(split(C1462, "" ""),3),index(split(C1462, "" ""),2)))"),"")</f>
        <v/>
      </c>
      <c r="U1462" s="38" t="b">
        <f t="shared" si="34"/>
        <v>0</v>
      </c>
      <c r="V1462" s="38"/>
      <c r="W1462" s="40"/>
      <c r="X1462" s="40"/>
      <c r="Y1462" s="38"/>
      <c r="Z1462" s="38"/>
      <c r="AA1462" s="38"/>
      <c r="AB1462" s="38"/>
      <c r="AC1462" s="38"/>
      <c r="AD1462" s="38"/>
      <c r="AE1462" s="38"/>
      <c r="AF1462" s="38"/>
      <c r="AG1462" s="38"/>
      <c r="AH1462" s="38"/>
      <c r="AI1462" s="38"/>
      <c r="AJ1462" s="38"/>
      <c r="AK1462" s="38"/>
      <c r="AL1462" s="38"/>
      <c r="AM1462" s="38"/>
      <c r="AN1462" s="38"/>
      <c r="AO1462" s="38"/>
      <c r="AP1462" s="38"/>
      <c r="AQ1462" s="38"/>
      <c r="AR1462" s="38"/>
      <c r="AS1462" s="38"/>
      <c r="AT1462" s="38"/>
      <c r="AU1462" s="38"/>
      <c r="AV1462" s="38"/>
      <c r="AW1462" s="38"/>
      <c r="AX1462" s="38"/>
      <c r="AY1462" s="38"/>
      <c r="AZ1462" s="38"/>
      <c r="BA1462" s="38"/>
      <c r="BB1462" s="38"/>
      <c r="BC1462" s="38"/>
      <c r="BD1462" s="38"/>
      <c r="BE1462" s="38"/>
      <c r="BF1462" s="38"/>
      <c r="BG1462" s="38"/>
      <c r="BH1462" s="38"/>
      <c r="BI1462" s="38"/>
      <c r="BJ1462" s="38"/>
      <c r="BK1462" s="38"/>
      <c r="BL1462" s="38"/>
      <c r="BM1462" s="38"/>
      <c r="BN1462" s="38"/>
      <c r="BO1462" s="38"/>
      <c r="BP1462" s="38"/>
      <c r="BQ1462" s="38"/>
    </row>
    <row r="1463">
      <c r="A1463" s="58"/>
      <c r="B1463" s="341"/>
      <c r="C1463" s="60"/>
      <c r="D1463" s="60"/>
      <c r="E1463" s="58"/>
      <c r="F1463" s="58"/>
      <c r="G1463" s="58"/>
      <c r="H1463" s="33" t="str">
        <f t="shared" si="33"/>
        <v/>
      </c>
      <c r="I1463" s="58"/>
      <c r="J1463" s="58"/>
      <c r="K1463" s="58"/>
      <c r="L1463" s="58"/>
      <c r="M1463" s="80"/>
      <c r="N1463" s="77"/>
      <c r="O1463" s="62"/>
      <c r="P1463" s="58"/>
      <c r="Q1463" s="84"/>
      <c r="R1463" s="62"/>
      <c r="S1463" s="37" t="str">
        <f>IFERROR(__xludf.DUMMYFUNCTION("if(not(iserror(index(split(C1463, "" ""),2))), index(split(C1463, "" ""),1),"""")"),"")</f>
        <v/>
      </c>
      <c r="T1463" s="315" t="str">
        <f>IFERROR(__xludf.DUMMYFUNCTION("if(S1463="""",C1463,if(not(iserror(index(split(C1463, "" ""),3))), index(split(C1463, "" ""),3),index(split(C1463, "" ""),2)))"),"")</f>
        <v/>
      </c>
      <c r="U1463" s="38" t="b">
        <f t="shared" si="34"/>
        <v>0</v>
      </c>
      <c r="V1463" s="38"/>
      <c r="W1463" s="40"/>
      <c r="X1463" s="40"/>
      <c r="Y1463" s="38"/>
      <c r="Z1463" s="38"/>
      <c r="AA1463" s="38"/>
      <c r="AB1463" s="38"/>
      <c r="AC1463" s="38"/>
      <c r="AD1463" s="38"/>
      <c r="AE1463" s="38"/>
      <c r="AF1463" s="38"/>
      <c r="AG1463" s="38"/>
      <c r="AH1463" s="38"/>
      <c r="AI1463" s="38"/>
      <c r="AJ1463" s="38"/>
      <c r="AK1463" s="38"/>
      <c r="AL1463" s="38"/>
      <c r="AM1463" s="38"/>
      <c r="AN1463" s="38"/>
      <c r="AO1463" s="38"/>
      <c r="AP1463" s="38"/>
      <c r="AQ1463" s="38"/>
      <c r="AR1463" s="38"/>
      <c r="AS1463" s="38"/>
      <c r="AT1463" s="38"/>
      <c r="AU1463" s="38"/>
      <c r="AV1463" s="38"/>
      <c r="AW1463" s="38"/>
      <c r="AX1463" s="38"/>
      <c r="AY1463" s="38"/>
      <c r="AZ1463" s="38"/>
      <c r="BA1463" s="38"/>
      <c r="BB1463" s="38"/>
      <c r="BC1463" s="38"/>
      <c r="BD1463" s="38"/>
      <c r="BE1463" s="38"/>
      <c r="BF1463" s="38"/>
      <c r="BG1463" s="38"/>
      <c r="BH1463" s="38"/>
      <c r="BI1463" s="38"/>
      <c r="BJ1463" s="38"/>
      <c r="BK1463" s="38"/>
      <c r="BL1463" s="38"/>
      <c r="BM1463" s="38"/>
      <c r="BN1463" s="38"/>
      <c r="BO1463" s="38"/>
      <c r="BP1463" s="38"/>
      <c r="BQ1463" s="38"/>
    </row>
    <row r="1464">
      <c r="B1464" s="341"/>
      <c r="C1464" s="60"/>
      <c r="D1464" s="60"/>
      <c r="E1464" s="58"/>
      <c r="F1464" s="58"/>
      <c r="G1464" s="58"/>
      <c r="H1464" s="33" t="str">
        <f t="shared" si="33"/>
        <v/>
      </c>
      <c r="I1464" s="58"/>
      <c r="J1464" s="58"/>
      <c r="K1464" s="58"/>
      <c r="L1464" s="58"/>
      <c r="M1464" s="106"/>
      <c r="N1464" s="77"/>
      <c r="O1464" s="58"/>
      <c r="P1464" s="58"/>
      <c r="Q1464" s="84"/>
      <c r="R1464" s="62"/>
      <c r="S1464" s="37" t="str">
        <f>IFERROR(__xludf.DUMMYFUNCTION("if(not(iserror(index(split(C1464, "" ""),2))), index(split(C1464, "" ""),1),"""")"),"")</f>
        <v/>
      </c>
      <c r="T1464" s="315" t="str">
        <f>IFERROR(__xludf.DUMMYFUNCTION("if(S1464="""",C1464,if(not(iserror(index(split(C1464, "" ""),3))), index(split(C1464, "" ""),3),index(split(C1464, "" ""),2)))"),"")</f>
        <v/>
      </c>
      <c r="U1464" s="38" t="b">
        <f t="shared" si="34"/>
        <v>0</v>
      </c>
      <c r="V1464" s="38"/>
      <c r="W1464" s="40"/>
      <c r="X1464" s="40"/>
      <c r="Y1464" s="38"/>
      <c r="Z1464" s="38"/>
      <c r="AA1464" s="38"/>
      <c r="AB1464" s="38"/>
      <c r="AC1464" s="38"/>
      <c r="AD1464" s="38"/>
      <c r="AE1464" s="38"/>
      <c r="AF1464" s="38"/>
      <c r="AG1464" s="38"/>
      <c r="AH1464" s="38"/>
      <c r="AI1464" s="38"/>
      <c r="AJ1464" s="38"/>
      <c r="AK1464" s="38"/>
      <c r="AL1464" s="38"/>
      <c r="AM1464" s="38"/>
      <c r="AN1464" s="38"/>
      <c r="AO1464" s="38"/>
      <c r="AP1464" s="38"/>
      <c r="AQ1464" s="38"/>
      <c r="AR1464" s="38"/>
      <c r="AS1464" s="38"/>
      <c r="AT1464" s="38"/>
      <c r="AU1464" s="38"/>
      <c r="AV1464" s="38"/>
      <c r="AW1464" s="38"/>
      <c r="AX1464" s="38"/>
      <c r="AY1464" s="38"/>
      <c r="AZ1464" s="38"/>
      <c r="BA1464" s="38"/>
      <c r="BB1464" s="38"/>
      <c r="BC1464" s="38"/>
      <c r="BD1464" s="38"/>
      <c r="BE1464" s="38"/>
      <c r="BF1464" s="38"/>
      <c r="BG1464" s="38"/>
      <c r="BH1464" s="38"/>
      <c r="BI1464" s="38"/>
      <c r="BJ1464" s="38"/>
      <c r="BK1464" s="38"/>
      <c r="BL1464" s="38"/>
      <c r="BM1464" s="38"/>
      <c r="BN1464" s="38"/>
      <c r="BO1464" s="38"/>
      <c r="BP1464" s="38"/>
      <c r="BQ1464" s="38"/>
    </row>
    <row r="1465">
      <c r="B1465" s="341"/>
      <c r="C1465" s="60"/>
      <c r="D1465" s="60"/>
      <c r="E1465" s="58"/>
      <c r="F1465" s="58"/>
      <c r="G1465" s="58"/>
      <c r="H1465" s="33" t="str">
        <f t="shared" si="33"/>
        <v/>
      </c>
      <c r="I1465" s="58"/>
      <c r="J1465" s="58"/>
      <c r="K1465" s="58"/>
      <c r="L1465" s="58"/>
      <c r="M1465" s="106"/>
      <c r="N1465" s="77"/>
      <c r="O1465" s="58"/>
      <c r="P1465" s="58"/>
      <c r="Q1465" s="84"/>
      <c r="R1465" s="62"/>
      <c r="S1465" s="37" t="str">
        <f>IFERROR(__xludf.DUMMYFUNCTION("if(not(iserror(index(split(C1465, "" ""),2))), index(split(C1465, "" ""),1),"""")"),"")</f>
        <v/>
      </c>
      <c r="T1465" s="315" t="str">
        <f>IFERROR(__xludf.DUMMYFUNCTION("if(S1465="""",C1465,if(not(iserror(index(split(C1465, "" ""),3))), index(split(C1465, "" ""),3),index(split(C1465, "" ""),2)))"),"")</f>
        <v/>
      </c>
      <c r="U1465" s="38" t="b">
        <f t="shared" si="34"/>
        <v>0</v>
      </c>
      <c r="V1465" s="38"/>
      <c r="W1465" s="40"/>
      <c r="X1465" s="40"/>
      <c r="Y1465" s="38"/>
      <c r="Z1465" s="38"/>
      <c r="AA1465" s="38"/>
      <c r="AB1465" s="38"/>
      <c r="AC1465" s="38"/>
      <c r="AD1465" s="38"/>
      <c r="AE1465" s="38"/>
      <c r="AF1465" s="38"/>
      <c r="AG1465" s="38"/>
      <c r="AH1465" s="38"/>
      <c r="AI1465" s="38"/>
      <c r="AJ1465" s="38"/>
      <c r="AK1465" s="38"/>
      <c r="AL1465" s="38"/>
      <c r="AM1465" s="38"/>
      <c r="AN1465" s="38"/>
      <c r="AO1465" s="38"/>
      <c r="AP1465" s="38"/>
      <c r="AQ1465" s="38"/>
      <c r="AR1465" s="38"/>
      <c r="AS1465" s="38"/>
      <c r="AT1465" s="38"/>
      <c r="AU1465" s="38"/>
      <c r="AV1465" s="38"/>
      <c r="AW1465" s="38"/>
      <c r="AX1465" s="38"/>
      <c r="AY1465" s="38"/>
      <c r="AZ1465" s="38"/>
      <c r="BA1465" s="38"/>
      <c r="BB1465" s="38"/>
      <c r="BC1465" s="38"/>
      <c r="BD1465" s="38"/>
      <c r="BE1465" s="38"/>
      <c r="BF1465" s="38"/>
      <c r="BG1465" s="38"/>
      <c r="BH1465" s="38"/>
      <c r="BI1465" s="38"/>
      <c r="BJ1465" s="38"/>
      <c r="BK1465" s="38"/>
      <c r="BL1465" s="38"/>
      <c r="BM1465" s="38"/>
      <c r="BN1465" s="38"/>
      <c r="BO1465" s="38"/>
      <c r="BP1465" s="38"/>
      <c r="BQ1465" s="38"/>
    </row>
    <row r="1466">
      <c r="B1466" s="341"/>
      <c r="C1466" s="60"/>
      <c r="D1466" s="60"/>
      <c r="E1466" s="58"/>
      <c r="F1466" s="58"/>
      <c r="G1466" s="58"/>
      <c r="H1466" s="33" t="str">
        <f t="shared" si="33"/>
        <v/>
      </c>
      <c r="I1466" s="58"/>
      <c r="J1466" s="58"/>
      <c r="K1466" s="58"/>
      <c r="L1466" s="58"/>
      <c r="M1466" s="106"/>
      <c r="N1466" s="77"/>
      <c r="O1466" s="62"/>
      <c r="P1466" s="62"/>
      <c r="Q1466" s="62"/>
      <c r="R1466" s="62"/>
      <c r="S1466" s="37" t="str">
        <f>IFERROR(__xludf.DUMMYFUNCTION("if(not(iserror(index(split(C1466, "" ""),2))), index(split(C1466, "" ""),1),"""")"),"")</f>
        <v/>
      </c>
      <c r="T1466" s="315" t="str">
        <f>IFERROR(__xludf.DUMMYFUNCTION("if(S1466="""",C1466,if(not(iserror(index(split(C1466, "" ""),3))), index(split(C1466, "" ""),3),index(split(C1466, "" ""),2)))"),"")</f>
        <v/>
      </c>
      <c r="U1466" s="38" t="b">
        <f t="shared" si="34"/>
        <v>0</v>
      </c>
      <c r="V1466" s="38"/>
      <c r="W1466" s="40"/>
      <c r="X1466" s="40"/>
      <c r="Y1466" s="38"/>
      <c r="Z1466" s="38"/>
      <c r="AA1466" s="38"/>
      <c r="AB1466" s="38"/>
      <c r="AC1466" s="38"/>
      <c r="AD1466" s="38"/>
      <c r="AE1466" s="38"/>
      <c r="AF1466" s="38"/>
      <c r="AG1466" s="38"/>
      <c r="AH1466" s="38"/>
      <c r="AI1466" s="38"/>
      <c r="AJ1466" s="38"/>
      <c r="AK1466" s="38"/>
      <c r="AL1466" s="38"/>
      <c r="AM1466" s="38"/>
      <c r="AN1466" s="38"/>
      <c r="AO1466" s="38"/>
      <c r="AP1466" s="38"/>
      <c r="AQ1466" s="38"/>
      <c r="AR1466" s="38"/>
      <c r="AS1466" s="38"/>
      <c r="AT1466" s="38"/>
      <c r="AU1466" s="38"/>
      <c r="AV1466" s="38"/>
      <c r="AW1466" s="38"/>
      <c r="AX1466" s="38"/>
      <c r="AY1466" s="38"/>
      <c r="AZ1466" s="38"/>
      <c r="BA1466" s="38"/>
      <c r="BB1466" s="38"/>
      <c r="BC1466" s="38"/>
      <c r="BD1466" s="38"/>
      <c r="BE1466" s="38"/>
      <c r="BF1466" s="38"/>
      <c r="BG1466" s="38"/>
      <c r="BH1466" s="38"/>
      <c r="BI1466" s="38"/>
      <c r="BJ1466" s="38"/>
      <c r="BK1466" s="38"/>
      <c r="BL1466" s="38"/>
      <c r="BM1466" s="38"/>
      <c r="BN1466" s="38"/>
      <c r="BO1466" s="38"/>
      <c r="BP1466" s="38"/>
      <c r="BQ1466" s="38"/>
    </row>
    <row r="1467">
      <c r="A1467" s="58"/>
      <c r="B1467" s="341"/>
      <c r="C1467" s="60"/>
      <c r="D1467" s="60"/>
      <c r="E1467" s="58"/>
      <c r="F1467" s="58"/>
      <c r="G1467" s="58"/>
      <c r="H1467" s="33" t="str">
        <f t="shared" si="33"/>
        <v/>
      </c>
      <c r="I1467" s="58"/>
      <c r="J1467" s="58"/>
      <c r="K1467" s="58"/>
      <c r="L1467" s="58"/>
      <c r="M1467" s="80"/>
      <c r="N1467" s="77"/>
      <c r="O1467" s="62"/>
      <c r="P1467" s="62"/>
      <c r="Q1467" s="84"/>
      <c r="R1467" s="62"/>
      <c r="S1467" s="37" t="str">
        <f>IFERROR(__xludf.DUMMYFUNCTION("if(not(iserror(index(split(C1467, "" ""),2))), index(split(C1467, "" ""),1),"""")"),"")</f>
        <v/>
      </c>
      <c r="T1467" s="315" t="str">
        <f>IFERROR(__xludf.DUMMYFUNCTION("if(S1467="""",C1467,if(not(iserror(index(split(C1467, "" ""),3))), index(split(C1467, "" ""),3),index(split(C1467, "" ""),2)))"),"")</f>
        <v/>
      </c>
      <c r="U1467" s="38" t="b">
        <f t="shared" si="34"/>
        <v>0</v>
      </c>
      <c r="V1467" s="38"/>
      <c r="W1467" s="40"/>
      <c r="X1467" s="40"/>
      <c r="Y1467" s="38"/>
      <c r="Z1467" s="38"/>
      <c r="AA1467" s="38"/>
      <c r="AB1467" s="38"/>
      <c r="AC1467" s="38"/>
      <c r="AD1467" s="38"/>
      <c r="AE1467" s="38"/>
      <c r="AF1467" s="38"/>
      <c r="AG1467" s="38"/>
      <c r="AH1467" s="38"/>
      <c r="AI1467" s="38"/>
      <c r="AJ1467" s="38"/>
      <c r="AK1467" s="38"/>
      <c r="AL1467" s="38"/>
      <c r="AM1467" s="38"/>
      <c r="AN1467" s="38"/>
      <c r="AO1467" s="38"/>
      <c r="AP1467" s="38"/>
      <c r="AQ1467" s="38"/>
      <c r="AR1467" s="38"/>
      <c r="AS1467" s="38"/>
      <c r="AT1467" s="38"/>
      <c r="AU1467" s="38"/>
      <c r="AV1467" s="38"/>
      <c r="AW1467" s="38"/>
      <c r="AX1467" s="38"/>
      <c r="AY1467" s="38"/>
      <c r="AZ1467" s="38"/>
      <c r="BA1467" s="38"/>
      <c r="BB1467" s="38"/>
      <c r="BC1467" s="38"/>
      <c r="BD1467" s="38"/>
      <c r="BE1467" s="38"/>
      <c r="BF1467" s="38"/>
      <c r="BG1467" s="38"/>
      <c r="BH1467" s="38"/>
      <c r="BI1467" s="38"/>
      <c r="BJ1467" s="38"/>
      <c r="BK1467" s="38"/>
      <c r="BL1467" s="38"/>
      <c r="BM1467" s="38"/>
      <c r="BN1467" s="38"/>
      <c r="BO1467" s="38"/>
      <c r="BP1467" s="38"/>
      <c r="BQ1467" s="38"/>
    </row>
    <row r="1468">
      <c r="B1468" s="341"/>
      <c r="C1468" s="60"/>
      <c r="D1468" s="60"/>
      <c r="E1468" s="58"/>
      <c r="F1468" s="58"/>
      <c r="G1468" s="58"/>
      <c r="H1468" s="33" t="str">
        <f t="shared" si="33"/>
        <v/>
      </c>
      <c r="I1468" s="58"/>
      <c r="J1468" s="58"/>
      <c r="K1468" s="58"/>
      <c r="L1468" s="58"/>
      <c r="M1468" s="106"/>
      <c r="N1468" s="77"/>
      <c r="O1468" s="62"/>
      <c r="P1468" s="58"/>
      <c r="Q1468" s="84"/>
      <c r="R1468" s="62"/>
      <c r="S1468" s="37" t="str">
        <f>IFERROR(__xludf.DUMMYFUNCTION("if(not(iserror(index(split(C1468, "" ""),2))), index(split(C1468, "" ""),1),"""")"),"")</f>
        <v/>
      </c>
      <c r="T1468" s="315" t="str">
        <f>IFERROR(__xludf.DUMMYFUNCTION("if(S1468="""",C1468,if(not(iserror(index(split(C1468, "" ""),3))), index(split(C1468, "" ""),3),index(split(C1468, "" ""),2)))"),"")</f>
        <v/>
      </c>
      <c r="U1468" s="38" t="b">
        <f t="shared" si="34"/>
        <v>0</v>
      </c>
      <c r="V1468" s="38"/>
      <c r="W1468" s="40"/>
      <c r="X1468" s="40"/>
      <c r="Y1468" s="38"/>
      <c r="Z1468" s="38"/>
      <c r="AA1468" s="38"/>
      <c r="AB1468" s="38"/>
      <c r="AC1468" s="38"/>
      <c r="AD1468" s="38"/>
      <c r="AE1468" s="38"/>
      <c r="AF1468" s="38"/>
      <c r="AG1468" s="38"/>
      <c r="AH1468" s="38"/>
      <c r="AI1468" s="38"/>
      <c r="AJ1468" s="38"/>
      <c r="AK1468" s="38"/>
      <c r="AL1468" s="38"/>
      <c r="AM1468" s="38"/>
      <c r="AN1468" s="38"/>
      <c r="AO1468" s="38"/>
      <c r="AP1468" s="38"/>
      <c r="AQ1468" s="38"/>
      <c r="AR1468" s="38"/>
      <c r="AS1468" s="38"/>
      <c r="AT1468" s="38"/>
      <c r="AU1468" s="38"/>
      <c r="AV1468" s="38"/>
      <c r="AW1468" s="38"/>
      <c r="AX1468" s="38"/>
      <c r="AY1468" s="38"/>
      <c r="AZ1468" s="38"/>
      <c r="BA1468" s="38"/>
      <c r="BB1468" s="38"/>
      <c r="BC1468" s="38"/>
      <c r="BD1468" s="38"/>
      <c r="BE1468" s="38"/>
      <c r="BF1468" s="38"/>
      <c r="BG1468" s="38"/>
      <c r="BH1468" s="38"/>
      <c r="BI1468" s="38"/>
      <c r="BJ1468" s="38"/>
      <c r="BK1468" s="38"/>
      <c r="BL1468" s="38"/>
      <c r="BM1468" s="38"/>
      <c r="BN1468" s="38"/>
      <c r="BO1468" s="38"/>
      <c r="BP1468" s="38"/>
      <c r="BQ1468" s="38"/>
    </row>
    <row r="1469">
      <c r="B1469" s="341"/>
      <c r="C1469" s="60"/>
      <c r="D1469" s="60"/>
      <c r="E1469" s="58"/>
      <c r="F1469" s="58"/>
      <c r="G1469" s="58"/>
      <c r="H1469" s="33" t="str">
        <f t="shared" si="33"/>
        <v/>
      </c>
      <c r="I1469" s="58"/>
      <c r="J1469" s="58"/>
      <c r="K1469" s="58"/>
      <c r="L1469" s="58"/>
      <c r="M1469" s="80"/>
      <c r="N1469" s="77"/>
      <c r="O1469" s="62"/>
      <c r="P1469" s="62"/>
      <c r="Q1469" s="62"/>
      <c r="R1469" s="62"/>
      <c r="S1469" s="37" t="str">
        <f>IFERROR(__xludf.DUMMYFUNCTION("if(not(iserror(index(split(C1469, "" ""),2))), index(split(C1469, "" ""),1),"""")"),"")</f>
        <v/>
      </c>
      <c r="T1469" s="315" t="str">
        <f>IFERROR(__xludf.DUMMYFUNCTION("if(S1469="""",C1469,if(not(iserror(index(split(C1469, "" ""),3))), index(split(C1469, "" ""),3),index(split(C1469, "" ""),2)))"),"")</f>
        <v/>
      </c>
      <c r="U1469" s="38" t="b">
        <f t="shared" si="34"/>
        <v>0</v>
      </c>
      <c r="V1469" s="38"/>
      <c r="W1469" s="40"/>
      <c r="X1469" s="40"/>
      <c r="Y1469" s="38"/>
      <c r="Z1469" s="38"/>
      <c r="AA1469" s="38"/>
      <c r="AB1469" s="38"/>
      <c r="AC1469" s="38"/>
      <c r="AD1469" s="38"/>
      <c r="AE1469" s="38"/>
      <c r="AF1469" s="38"/>
      <c r="AG1469" s="38"/>
      <c r="AH1469" s="38"/>
      <c r="AI1469" s="38"/>
      <c r="AJ1469" s="38"/>
      <c r="AK1469" s="38"/>
      <c r="AL1469" s="38"/>
      <c r="AM1469" s="38"/>
      <c r="AN1469" s="38"/>
      <c r="AO1469" s="38"/>
      <c r="AP1469" s="38"/>
      <c r="AQ1469" s="38"/>
      <c r="AR1469" s="38"/>
      <c r="AS1469" s="38"/>
      <c r="AT1469" s="38"/>
      <c r="AU1469" s="38"/>
      <c r="AV1469" s="38"/>
      <c r="AW1469" s="38"/>
      <c r="AX1469" s="38"/>
      <c r="AY1469" s="38"/>
      <c r="AZ1469" s="38"/>
      <c r="BA1469" s="38"/>
      <c r="BB1469" s="38"/>
      <c r="BC1469" s="38"/>
      <c r="BD1469" s="38"/>
      <c r="BE1469" s="38"/>
      <c r="BF1469" s="38"/>
      <c r="BG1469" s="38"/>
      <c r="BH1469" s="38"/>
      <c r="BI1469" s="38"/>
      <c r="BJ1469" s="38"/>
      <c r="BK1469" s="38"/>
      <c r="BL1469" s="38"/>
      <c r="BM1469" s="38"/>
      <c r="BN1469" s="38"/>
      <c r="BO1469" s="38"/>
      <c r="BP1469" s="38"/>
      <c r="BQ1469" s="38"/>
    </row>
    <row r="1470">
      <c r="B1470" s="341"/>
      <c r="C1470" s="60"/>
      <c r="D1470" s="60"/>
      <c r="E1470" s="58"/>
      <c r="F1470" s="58"/>
      <c r="G1470" s="58"/>
      <c r="H1470" s="33" t="str">
        <f t="shared" si="33"/>
        <v/>
      </c>
      <c r="I1470" s="58"/>
      <c r="J1470" s="58"/>
      <c r="K1470" s="58"/>
      <c r="L1470" s="58"/>
      <c r="M1470" s="80"/>
      <c r="N1470" s="77"/>
      <c r="O1470" s="62"/>
      <c r="P1470" s="62"/>
      <c r="Q1470" s="62"/>
      <c r="R1470" s="62"/>
      <c r="S1470" s="37" t="str">
        <f>IFERROR(__xludf.DUMMYFUNCTION("if(not(iserror(index(split(C1470, "" ""),2))), index(split(C1470, "" ""),1),"""")"),"")</f>
        <v/>
      </c>
      <c r="T1470" s="315" t="str">
        <f>IFERROR(__xludf.DUMMYFUNCTION("if(S1470="""",C1470,if(not(iserror(index(split(C1470, "" ""),3))), index(split(C1470, "" ""),3),index(split(C1470, "" ""),2)))"),"")</f>
        <v/>
      </c>
      <c r="U1470" s="38" t="b">
        <f t="shared" si="34"/>
        <v>0</v>
      </c>
      <c r="V1470" s="38"/>
      <c r="W1470" s="40"/>
      <c r="X1470" s="40"/>
      <c r="Y1470" s="38"/>
      <c r="Z1470" s="38"/>
      <c r="AA1470" s="38"/>
      <c r="AB1470" s="38"/>
      <c r="AC1470" s="38"/>
      <c r="AD1470" s="38"/>
      <c r="AE1470" s="38"/>
      <c r="AF1470" s="38"/>
      <c r="AG1470" s="38"/>
      <c r="AH1470" s="38"/>
      <c r="AI1470" s="38"/>
      <c r="AJ1470" s="38"/>
      <c r="AK1470" s="38"/>
      <c r="AL1470" s="38"/>
      <c r="AM1470" s="38"/>
      <c r="AN1470" s="38"/>
      <c r="AO1470" s="38"/>
      <c r="AP1470" s="38"/>
      <c r="AQ1470" s="38"/>
      <c r="AR1470" s="38"/>
      <c r="AS1470" s="38"/>
      <c r="AT1470" s="38"/>
      <c r="AU1470" s="38"/>
      <c r="AV1470" s="38"/>
      <c r="AW1470" s="38"/>
      <c r="AX1470" s="38"/>
      <c r="AY1470" s="38"/>
      <c r="AZ1470" s="38"/>
      <c r="BA1470" s="38"/>
      <c r="BB1470" s="38"/>
      <c r="BC1470" s="38"/>
      <c r="BD1470" s="38"/>
      <c r="BE1470" s="38"/>
      <c r="BF1470" s="38"/>
      <c r="BG1470" s="38"/>
      <c r="BH1470" s="38"/>
      <c r="BI1470" s="38"/>
      <c r="BJ1470" s="38"/>
      <c r="BK1470" s="38"/>
      <c r="BL1470" s="38"/>
      <c r="BM1470" s="38"/>
      <c r="BN1470" s="38"/>
      <c r="BO1470" s="38"/>
      <c r="BP1470" s="38"/>
      <c r="BQ1470" s="38"/>
    </row>
    <row r="1471">
      <c r="B1471" s="341"/>
      <c r="C1471" s="60"/>
      <c r="D1471" s="60"/>
      <c r="E1471" s="58"/>
      <c r="F1471" s="58"/>
      <c r="G1471" s="58"/>
      <c r="H1471" s="33" t="str">
        <f t="shared" si="33"/>
        <v/>
      </c>
      <c r="I1471" s="58"/>
      <c r="J1471" s="58"/>
      <c r="K1471" s="58"/>
      <c r="L1471" s="58"/>
      <c r="M1471" s="80"/>
      <c r="N1471" s="77"/>
      <c r="O1471" s="62"/>
      <c r="P1471" s="62"/>
      <c r="Q1471" s="62"/>
      <c r="R1471" s="62"/>
      <c r="S1471" s="37" t="str">
        <f>IFERROR(__xludf.DUMMYFUNCTION("if(not(iserror(index(split(C1471, "" ""),2))), index(split(C1471, "" ""),1),"""")"),"")</f>
        <v/>
      </c>
      <c r="T1471" s="315" t="str">
        <f>IFERROR(__xludf.DUMMYFUNCTION("if(S1471="""",C1471,if(not(iserror(index(split(C1471, "" ""),3))), index(split(C1471, "" ""),3),index(split(C1471, "" ""),2)))"),"")</f>
        <v/>
      </c>
      <c r="U1471" s="38" t="b">
        <f t="shared" si="34"/>
        <v>0</v>
      </c>
      <c r="V1471" s="38"/>
      <c r="W1471" s="40"/>
      <c r="X1471" s="40"/>
      <c r="Y1471" s="38"/>
      <c r="Z1471" s="38"/>
      <c r="AA1471" s="38"/>
      <c r="AB1471" s="38"/>
      <c r="AC1471" s="38"/>
      <c r="AD1471" s="38"/>
      <c r="AE1471" s="38"/>
      <c r="AF1471" s="38"/>
      <c r="AG1471" s="38"/>
      <c r="AH1471" s="38"/>
      <c r="AI1471" s="38"/>
      <c r="AJ1471" s="38"/>
      <c r="AK1471" s="38"/>
      <c r="AL1471" s="38"/>
      <c r="AM1471" s="38"/>
      <c r="AN1471" s="38"/>
      <c r="AO1471" s="38"/>
      <c r="AP1471" s="38"/>
      <c r="AQ1471" s="38"/>
      <c r="AR1471" s="38"/>
      <c r="AS1471" s="38"/>
      <c r="AT1471" s="38"/>
      <c r="AU1471" s="38"/>
      <c r="AV1471" s="38"/>
      <c r="AW1471" s="38"/>
      <c r="AX1471" s="38"/>
      <c r="AY1471" s="38"/>
      <c r="AZ1471" s="38"/>
      <c r="BA1471" s="38"/>
      <c r="BB1471" s="38"/>
      <c r="BC1471" s="38"/>
      <c r="BD1471" s="38"/>
      <c r="BE1471" s="38"/>
      <c r="BF1471" s="38"/>
      <c r="BG1471" s="38"/>
      <c r="BH1471" s="38"/>
      <c r="BI1471" s="38"/>
      <c r="BJ1471" s="38"/>
      <c r="BK1471" s="38"/>
      <c r="BL1471" s="38"/>
      <c r="BM1471" s="38"/>
      <c r="BN1471" s="38"/>
      <c r="BO1471" s="38"/>
      <c r="BP1471" s="38"/>
      <c r="BQ1471" s="38"/>
    </row>
    <row r="1472">
      <c r="B1472" s="341"/>
      <c r="C1472" s="60"/>
      <c r="D1472" s="60"/>
      <c r="E1472" s="58"/>
      <c r="F1472" s="58"/>
      <c r="G1472" s="58"/>
      <c r="H1472" s="33" t="str">
        <f t="shared" si="33"/>
        <v/>
      </c>
      <c r="I1472" s="58"/>
      <c r="J1472" s="58"/>
      <c r="K1472" s="58"/>
      <c r="L1472" s="58"/>
      <c r="M1472" s="80"/>
      <c r="N1472" s="77"/>
      <c r="O1472" s="62"/>
      <c r="P1472" s="62"/>
      <c r="Q1472" s="62"/>
      <c r="R1472" s="62"/>
      <c r="S1472" s="37" t="str">
        <f>IFERROR(__xludf.DUMMYFUNCTION("if(not(iserror(index(split(C1472, "" ""),2))), index(split(C1472, "" ""),1),"""")"),"")</f>
        <v/>
      </c>
      <c r="T1472" s="315" t="str">
        <f>IFERROR(__xludf.DUMMYFUNCTION("if(S1472="""",C1472,if(not(iserror(index(split(C1472, "" ""),3))), index(split(C1472, "" ""),3),index(split(C1472, "" ""),2)))"),"")</f>
        <v/>
      </c>
      <c r="U1472" s="38" t="b">
        <f t="shared" si="34"/>
        <v>0</v>
      </c>
      <c r="V1472" s="38"/>
      <c r="W1472" s="40"/>
      <c r="X1472" s="40"/>
      <c r="Y1472" s="38"/>
      <c r="Z1472" s="38"/>
      <c r="AA1472" s="38"/>
      <c r="AB1472" s="38"/>
      <c r="AC1472" s="38"/>
      <c r="AD1472" s="38"/>
      <c r="AE1472" s="38"/>
      <c r="AF1472" s="38"/>
      <c r="AG1472" s="38"/>
      <c r="AH1472" s="38"/>
      <c r="AI1472" s="38"/>
      <c r="AJ1472" s="38"/>
      <c r="AK1472" s="38"/>
      <c r="AL1472" s="38"/>
      <c r="AM1472" s="38"/>
      <c r="AN1472" s="38"/>
      <c r="AO1472" s="38"/>
      <c r="AP1472" s="38"/>
      <c r="AQ1472" s="38"/>
      <c r="AR1472" s="38"/>
      <c r="AS1472" s="38"/>
      <c r="AT1472" s="38"/>
      <c r="AU1472" s="38"/>
      <c r="AV1472" s="38"/>
      <c r="AW1472" s="38"/>
      <c r="AX1472" s="38"/>
      <c r="AY1472" s="38"/>
      <c r="AZ1472" s="38"/>
      <c r="BA1472" s="38"/>
      <c r="BB1472" s="38"/>
      <c r="BC1472" s="38"/>
      <c r="BD1472" s="38"/>
      <c r="BE1472" s="38"/>
      <c r="BF1472" s="38"/>
      <c r="BG1472" s="38"/>
      <c r="BH1472" s="38"/>
      <c r="BI1472" s="38"/>
      <c r="BJ1472" s="38"/>
      <c r="BK1472" s="38"/>
      <c r="BL1472" s="38"/>
      <c r="BM1472" s="38"/>
      <c r="BN1472" s="38"/>
      <c r="BO1472" s="38"/>
      <c r="BP1472" s="38"/>
      <c r="BQ1472" s="38"/>
    </row>
    <row r="1473">
      <c r="B1473" s="341"/>
      <c r="C1473" s="60"/>
      <c r="D1473" s="60"/>
      <c r="E1473" s="58"/>
      <c r="F1473" s="58"/>
      <c r="G1473" s="58"/>
      <c r="H1473" s="33" t="str">
        <f t="shared" si="33"/>
        <v/>
      </c>
      <c r="I1473" s="58"/>
      <c r="J1473" s="58"/>
      <c r="K1473" s="58"/>
      <c r="L1473" s="58"/>
      <c r="M1473" s="80"/>
      <c r="N1473" s="77"/>
      <c r="O1473" s="62"/>
      <c r="P1473" s="62"/>
      <c r="Q1473" s="62"/>
      <c r="R1473" s="62"/>
      <c r="S1473" s="37" t="str">
        <f>IFERROR(__xludf.DUMMYFUNCTION("if(not(iserror(index(split(C1473, "" ""),2))), index(split(C1473, "" ""),1),"""")"),"")</f>
        <v/>
      </c>
      <c r="T1473" s="315" t="str">
        <f>IFERROR(__xludf.DUMMYFUNCTION("if(S1473="""",C1473,if(not(iserror(index(split(C1473, "" ""),3))), index(split(C1473, "" ""),3),index(split(C1473, "" ""),2)))"),"")</f>
        <v/>
      </c>
      <c r="U1473" s="38" t="b">
        <f t="shared" si="34"/>
        <v>0</v>
      </c>
      <c r="V1473" s="38"/>
      <c r="W1473" s="40"/>
      <c r="X1473" s="40"/>
      <c r="Y1473" s="38"/>
      <c r="Z1473" s="38"/>
      <c r="AA1473" s="38"/>
      <c r="AB1473" s="38"/>
      <c r="AC1473" s="38"/>
      <c r="AD1473" s="38"/>
      <c r="AE1473" s="38"/>
      <c r="AF1473" s="38"/>
      <c r="AG1473" s="38"/>
      <c r="AH1473" s="38"/>
      <c r="AI1473" s="38"/>
      <c r="AJ1473" s="38"/>
      <c r="AK1473" s="38"/>
      <c r="AL1473" s="38"/>
      <c r="AM1473" s="38"/>
      <c r="AN1473" s="38"/>
      <c r="AO1473" s="38"/>
      <c r="AP1473" s="38"/>
      <c r="AQ1473" s="38"/>
      <c r="AR1473" s="38"/>
      <c r="AS1473" s="38"/>
      <c r="AT1473" s="38"/>
      <c r="AU1473" s="38"/>
      <c r="AV1473" s="38"/>
      <c r="AW1473" s="38"/>
      <c r="AX1473" s="38"/>
      <c r="AY1473" s="38"/>
      <c r="AZ1473" s="38"/>
      <c r="BA1473" s="38"/>
      <c r="BB1473" s="38"/>
      <c r="BC1473" s="38"/>
      <c r="BD1473" s="38"/>
      <c r="BE1473" s="38"/>
      <c r="BF1473" s="38"/>
      <c r="BG1473" s="38"/>
      <c r="BH1473" s="38"/>
      <c r="BI1473" s="38"/>
      <c r="BJ1473" s="38"/>
      <c r="BK1473" s="38"/>
      <c r="BL1473" s="38"/>
      <c r="BM1473" s="38"/>
      <c r="BN1473" s="38"/>
      <c r="BO1473" s="38"/>
      <c r="BP1473" s="38"/>
      <c r="BQ1473" s="38"/>
    </row>
    <row r="1474">
      <c r="B1474" s="341"/>
      <c r="C1474" s="60"/>
      <c r="D1474" s="60"/>
      <c r="E1474" s="58"/>
      <c r="F1474" s="58"/>
      <c r="G1474" s="58"/>
      <c r="H1474" s="33" t="str">
        <f t="shared" si="33"/>
        <v/>
      </c>
      <c r="I1474" s="58"/>
      <c r="J1474" s="58"/>
      <c r="K1474" s="58"/>
      <c r="L1474" s="58"/>
      <c r="M1474" s="80"/>
      <c r="N1474" s="77"/>
      <c r="O1474" s="58"/>
      <c r="P1474" s="58"/>
      <c r="Q1474" s="84"/>
      <c r="R1474" s="62"/>
      <c r="S1474" s="37" t="str">
        <f>IFERROR(__xludf.DUMMYFUNCTION("if(not(iserror(index(split(C1474, "" ""),2))), index(split(C1474, "" ""),1),"""")"),"")</f>
        <v/>
      </c>
      <c r="T1474" s="315" t="str">
        <f>IFERROR(__xludf.DUMMYFUNCTION("if(S1474="""",C1474,if(not(iserror(index(split(C1474, "" ""),3))), index(split(C1474, "" ""),3),index(split(C1474, "" ""),2)))"),"")</f>
        <v/>
      </c>
      <c r="U1474" s="38" t="b">
        <f t="shared" si="34"/>
        <v>0</v>
      </c>
      <c r="V1474" s="38"/>
      <c r="W1474" s="40"/>
      <c r="X1474" s="40"/>
      <c r="Y1474" s="38"/>
      <c r="Z1474" s="38"/>
      <c r="AA1474" s="38"/>
      <c r="AB1474" s="38"/>
      <c r="AC1474" s="38"/>
      <c r="AD1474" s="38"/>
      <c r="AE1474" s="38"/>
      <c r="AF1474" s="38"/>
      <c r="AG1474" s="38"/>
      <c r="AH1474" s="38"/>
      <c r="AI1474" s="38"/>
      <c r="AJ1474" s="38"/>
      <c r="AK1474" s="38"/>
      <c r="AL1474" s="38"/>
      <c r="AM1474" s="38"/>
      <c r="AN1474" s="38"/>
      <c r="AO1474" s="38"/>
      <c r="AP1474" s="38"/>
      <c r="AQ1474" s="38"/>
      <c r="AR1474" s="38"/>
      <c r="AS1474" s="38"/>
      <c r="AT1474" s="38"/>
      <c r="AU1474" s="38"/>
      <c r="AV1474" s="38"/>
      <c r="AW1474" s="38"/>
      <c r="AX1474" s="38"/>
      <c r="AY1474" s="38"/>
      <c r="AZ1474" s="38"/>
      <c r="BA1474" s="38"/>
      <c r="BB1474" s="38"/>
      <c r="BC1474" s="38"/>
      <c r="BD1474" s="38"/>
      <c r="BE1474" s="38"/>
      <c r="BF1474" s="38"/>
      <c r="BG1474" s="38"/>
      <c r="BH1474" s="38"/>
      <c r="BI1474" s="38"/>
      <c r="BJ1474" s="38"/>
      <c r="BK1474" s="38"/>
      <c r="BL1474" s="38"/>
      <c r="BM1474" s="38"/>
      <c r="BN1474" s="38"/>
      <c r="BO1474" s="38"/>
      <c r="BP1474" s="38"/>
      <c r="BQ1474" s="38"/>
    </row>
    <row r="1475">
      <c r="B1475" s="341"/>
      <c r="C1475" s="60"/>
      <c r="D1475" s="60"/>
      <c r="E1475" s="58"/>
      <c r="F1475" s="58"/>
      <c r="G1475" s="58"/>
      <c r="H1475" s="33" t="str">
        <f t="shared" si="33"/>
        <v/>
      </c>
      <c r="I1475" s="58"/>
      <c r="J1475" s="58"/>
      <c r="K1475" s="58"/>
      <c r="L1475" s="58"/>
      <c r="M1475" s="80"/>
      <c r="N1475" s="77"/>
      <c r="O1475" s="58"/>
      <c r="P1475" s="58"/>
      <c r="Q1475" s="84"/>
      <c r="R1475" s="62"/>
      <c r="S1475" s="37" t="str">
        <f>IFERROR(__xludf.DUMMYFUNCTION("if(not(iserror(index(split(C1475, "" ""),2))), index(split(C1475, "" ""),1),"""")"),"")</f>
        <v/>
      </c>
      <c r="T1475" s="315" t="str">
        <f>IFERROR(__xludf.DUMMYFUNCTION("if(S1475="""",C1475,if(not(iserror(index(split(C1475, "" ""),3))), index(split(C1475, "" ""),3),index(split(C1475, "" ""),2)))"),"")</f>
        <v/>
      </c>
      <c r="U1475" s="38" t="b">
        <f t="shared" si="34"/>
        <v>0</v>
      </c>
      <c r="V1475" s="38"/>
      <c r="W1475" s="40"/>
      <c r="X1475" s="40"/>
      <c r="Y1475" s="38"/>
      <c r="Z1475" s="38"/>
      <c r="AA1475" s="38"/>
      <c r="AB1475" s="38"/>
      <c r="AC1475" s="38"/>
      <c r="AD1475" s="38"/>
      <c r="AE1475" s="38"/>
      <c r="AF1475" s="38"/>
      <c r="AG1475" s="38"/>
      <c r="AH1475" s="38"/>
      <c r="AI1475" s="38"/>
      <c r="AJ1475" s="38"/>
      <c r="AK1475" s="38"/>
      <c r="AL1475" s="38"/>
      <c r="AM1475" s="38"/>
      <c r="AN1475" s="38"/>
      <c r="AO1475" s="38"/>
      <c r="AP1475" s="38"/>
      <c r="AQ1475" s="38"/>
      <c r="AR1475" s="38"/>
      <c r="AS1475" s="38"/>
      <c r="AT1475" s="38"/>
      <c r="AU1475" s="38"/>
      <c r="AV1475" s="38"/>
      <c r="AW1475" s="38"/>
      <c r="AX1475" s="38"/>
      <c r="AY1475" s="38"/>
      <c r="AZ1475" s="38"/>
      <c r="BA1475" s="38"/>
      <c r="BB1475" s="38"/>
      <c r="BC1475" s="38"/>
      <c r="BD1475" s="38"/>
      <c r="BE1475" s="38"/>
      <c r="BF1475" s="38"/>
      <c r="BG1475" s="38"/>
      <c r="BH1475" s="38"/>
      <c r="BI1475" s="38"/>
      <c r="BJ1475" s="38"/>
      <c r="BK1475" s="38"/>
      <c r="BL1475" s="38"/>
      <c r="BM1475" s="38"/>
      <c r="BN1475" s="38"/>
      <c r="BO1475" s="38"/>
      <c r="BP1475" s="38"/>
      <c r="BQ1475" s="38"/>
    </row>
    <row r="1476">
      <c r="B1476" s="341"/>
      <c r="C1476" s="60"/>
      <c r="D1476" s="60"/>
      <c r="E1476" s="58"/>
      <c r="F1476" s="58"/>
      <c r="G1476" s="58"/>
      <c r="H1476" s="33" t="str">
        <f t="shared" si="33"/>
        <v/>
      </c>
      <c r="I1476" s="58"/>
      <c r="J1476" s="58"/>
      <c r="K1476" s="58"/>
      <c r="L1476" s="58"/>
      <c r="M1476" s="80"/>
      <c r="N1476" s="77"/>
      <c r="O1476" s="58"/>
      <c r="P1476" s="58"/>
      <c r="Q1476" s="84"/>
      <c r="R1476" s="62"/>
      <c r="S1476" s="37" t="str">
        <f>IFERROR(__xludf.DUMMYFUNCTION("if(not(iserror(index(split(C1476, "" ""),2))), index(split(C1476, "" ""),1),"""")"),"")</f>
        <v/>
      </c>
      <c r="T1476" s="315" t="str">
        <f>IFERROR(__xludf.DUMMYFUNCTION("if(S1476="""",C1476,if(not(iserror(index(split(C1476, "" ""),3))), index(split(C1476, "" ""),3),index(split(C1476, "" ""),2)))"),"")</f>
        <v/>
      </c>
      <c r="U1476" s="38" t="b">
        <f t="shared" si="34"/>
        <v>0</v>
      </c>
      <c r="V1476" s="38"/>
      <c r="W1476" s="40"/>
      <c r="X1476" s="40"/>
      <c r="Y1476" s="38"/>
      <c r="Z1476" s="38"/>
      <c r="AA1476" s="38"/>
      <c r="AB1476" s="38"/>
      <c r="AC1476" s="38"/>
      <c r="AD1476" s="38"/>
      <c r="AE1476" s="38"/>
      <c r="AF1476" s="38"/>
      <c r="AG1476" s="38"/>
      <c r="AH1476" s="38"/>
      <c r="AI1476" s="38"/>
      <c r="AJ1476" s="38"/>
      <c r="AK1476" s="38"/>
      <c r="AL1476" s="38"/>
      <c r="AM1476" s="38"/>
      <c r="AN1476" s="38"/>
      <c r="AO1476" s="38"/>
      <c r="AP1476" s="38"/>
      <c r="AQ1476" s="38"/>
      <c r="AR1476" s="38"/>
      <c r="AS1476" s="38"/>
      <c r="AT1476" s="38"/>
      <c r="AU1476" s="38"/>
      <c r="AV1476" s="38"/>
      <c r="AW1476" s="38"/>
      <c r="AX1476" s="38"/>
      <c r="AY1476" s="38"/>
      <c r="AZ1476" s="38"/>
      <c r="BA1476" s="38"/>
      <c r="BB1476" s="38"/>
      <c r="BC1476" s="38"/>
      <c r="BD1476" s="38"/>
      <c r="BE1476" s="38"/>
      <c r="BF1476" s="38"/>
      <c r="BG1476" s="38"/>
      <c r="BH1476" s="38"/>
      <c r="BI1476" s="38"/>
      <c r="BJ1476" s="38"/>
      <c r="BK1476" s="38"/>
      <c r="BL1476" s="38"/>
      <c r="BM1476" s="38"/>
      <c r="BN1476" s="38"/>
      <c r="BO1476" s="38"/>
      <c r="BP1476" s="38"/>
      <c r="BQ1476" s="38"/>
    </row>
    <row r="1477">
      <c r="A1477" s="58"/>
      <c r="B1477" s="341"/>
      <c r="C1477" s="60"/>
      <c r="D1477" s="60"/>
      <c r="E1477" s="58"/>
      <c r="F1477" s="58"/>
      <c r="G1477" s="58"/>
      <c r="H1477" s="33" t="str">
        <f t="shared" si="33"/>
        <v/>
      </c>
      <c r="I1477" s="58"/>
      <c r="J1477" s="58"/>
      <c r="K1477" s="58"/>
      <c r="L1477" s="58"/>
      <c r="M1477" s="80"/>
      <c r="N1477" s="77"/>
      <c r="O1477" s="58"/>
      <c r="P1477" s="58"/>
      <c r="Q1477" s="84"/>
      <c r="R1477" s="62"/>
      <c r="S1477" s="37" t="str">
        <f>IFERROR(__xludf.DUMMYFUNCTION("if(not(iserror(index(split(C1477, "" ""),2))), index(split(C1477, "" ""),1),"""")"),"")</f>
        <v/>
      </c>
      <c r="T1477" s="315" t="str">
        <f>IFERROR(__xludf.DUMMYFUNCTION("if(S1477="""",C1477,if(not(iserror(index(split(C1477, "" ""),3))), index(split(C1477, "" ""),3),index(split(C1477, "" ""),2)))"),"")</f>
        <v/>
      </c>
      <c r="U1477" s="38" t="b">
        <f t="shared" si="34"/>
        <v>0</v>
      </c>
      <c r="V1477" s="38"/>
      <c r="W1477" s="40"/>
      <c r="X1477" s="40"/>
      <c r="Y1477" s="38"/>
      <c r="Z1477" s="38"/>
      <c r="AA1477" s="38"/>
      <c r="AB1477" s="38"/>
      <c r="AC1477" s="38"/>
      <c r="AD1477" s="38"/>
      <c r="AE1477" s="38"/>
      <c r="AF1477" s="38"/>
      <c r="AG1477" s="38"/>
      <c r="AH1477" s="38"/>
      <c r="AI1477" s="38"/>
      <c r="AJ1477" s="38"/>
      <c r="AK1477" s="38"/>
      <c r="AL1477" s="38"/>
      <c r="AM1477" s="38"/>
      <c r="AN1477" s="38"/>
      <c r="AO1477" s="38"/>
      <c r="AP1477" s="38"/>
      <c r="AQ1477" s="38"/>
      <c r="AR1477" s="38"/>
      <c r="AS1477" s="38"/>
      <c r="AT1477" s="38"/>
      <c r="AU1477" s="38"/>
      <c r="AV1477" s="38"/>
      <c r="AW1477" s="38"/>
      <c r="AX1477" s="38"/>
      <c r="AY1477" s="38"/>
      <c r="AZ1477" s="38"/>
      <c r="BA1477" s="38"/>
      <c r="BB1477" s="38"/>
      <c r="BC1477" s="38"/>
      <c r="BD1477" s="38"/>
      <c r="BE1477" s="38"/>
      <c r="BF1477" s="38"/>
      <c r="BG1477" s="38"/>
      <c r="BH1477" s="38"/>
      <c r="BI1477" s="38"/>
      <c r="BJ1477" s="38"/>
      <c r="BK1477" s="38"/>
      <c r="BL1477" s="38"/>
      <c r="BM1477" s="38"/>
      <c r="BN1477" s="38"/>
      <c r="BO1477" s="38"/>
      <c r="BP1477" s="38"/>
      <c r="BQ1477" s="38"/>
    </row>
    <row r="1478">
      <c r="A1478" s="58"/>
      <c r="B1478" s="341"/>
      <c r="C1478" s="60"/>
      <c r="D1478" s="60"/>
      <c r="E1478" s="58"/>
      <c r="F1478" s="58"/>
      <c r="G1478" s="58"/>
      <c r="H1478" s="33" t="str">
        <f t="shared" si="33"/>
        <v/>
      </c>
      <c r="I1478" s="58"/>
      <c r="J1478" s="58"/>
      <c r="K1478" s="58"/>
      <c r="L1478" s="58"/>
      <c r="M1478" s="80"/>
      <c r="N1478" s="77"/>
      <c r="O1478" s="62"/>
      <c r="P1478" s="62"/>
      <c r="Q1478" s="62"/>
      <c r="R1478" s="62"/>
      <c r="S1478" s="37" t="str">
        <f>IFERROR(__xludf.DUMMYFUNCTION("if(not(iserror(index(split(C1478, "" ""),2))), index(split(C1478, "" ""),1),"""")"),"")</f>
        <v/>
      </c>
      <c r="T1478" s="315" t="str">
        <f>IFERROR(__xludf.DUMMYFUNCTION("if(S1478="""",C1478,if(not(iserror(index(split(C1478, "" ""),3))), index(split(C1478, "" ""),3),index(split(C1478, "" ""),2)))"),"")</f>
        <v/>
      </c>
      <c r="U1478" s="38" t="b">
        <f t="shared" si="34"/>
        <v>0</v>
      </c>
      <c r="V1478" s="38"/>
      <c r="W1478" s="40"/>
      <c r="X1478" s="40"/>
      <c r="Y1478" s="38"/>
      <c r="Z1478" s="38"/>
      <c r="AA1478" s="38"/>
      <c r="AB1478" s="38"/>
      <c r="AC1478" s="38"/>
      <c r="AD1478" s="38"/>
      <c r="AE1478" s="38"/>
      <c r="AF1478" s="38"/>
      <c r="AG1478" s="38"/>
      <c r="AH1478" s="38"/>
      <c r="AI1478" s="38"/>
      <c r="AJ1478" s="38"/>
      <c r="AK1478" s="38"/>
      <c r="AL1478" s="38"/>
      <c r="AM1478" s="38"/>
      <c r="AN1478" s="38"/>
      <c r="AO1478" s="38"/>
      <c r="AP1478" s="38"/>
      <c r="AQ1478" s="38"/>
      <c r="AR1478" s="38"/>
      <c r="AS1478" s="38"/>
      <c r="AT1478" s="38"/>
      <c r="AU1478" s="38"/>
      <c r="AV1478" s="38"/>
      <c r="AW1478" s="38"/>
      <c r="AX1478" s="38"/>
      <c r="AY1478" s="38"/>
      <c r="AZ1478" s="38"/>
      <c r="BA1478" s="38"/>
      <c r="BB1478" s="38"/>
      <c r="BC1478" s="38"/>
      <c r="BD1478" s="38"/>
      <c r="BE1478" s="38"/>
      <c r="BF1478" s="38"/>
      <c r="BG1478" s="38"/>
      <c r="BH1478" s="38"/>
      <c r="BI1478" s="38"/>
      <c r="BJ1478" s="38"/>
      <c r="BK1478" s="38"/>
      <c r="BL1478" s="38"/>
      <c r="BM1478" s="38"/>
      <c r="BN1478" s="38"/>
      <c r="BO1478" s="38"/>
      <c r="BP1478" s="38"/>
      <c r="BQ1478" s="38"/>
    </row>
    <row r="1479">
      <c r="A1479" s="58"/>
      <c r="B1479" s="341"/>
      <c r="C1479" s="60"/>
      <c r="D1479" s="60"/>
      <c r="E1479" s="58"/>
      <c r="F1479" s="58"/>
      <c r="G1479" s="58"/>
      <c r="H1479" s="33" t="str">
        <f t="shared" si="33"/>
        <v/>
      </c>
      <c r="I1479" s="58"/>
      <c r="J1479" s="58"/>
      <c r="K1479" s="58"/>
      <c r="L1479" s="58"/>
      <c r="M1479" s="80"/>
      <c r="N1479" s="77"/>
      <c r="O1479" s="62"/>
      <c r="P1479" s="58"/>
      <c r="Q1479" s="84"/>
      <c r="R1479" s="62"/>
      <c r="S1479" s="37" t="str">
        <f>IFERROR(__xludf.DUMMYFUNCTION("if(not(iserror(index(split(C1479, "" ""),2))), index(split(C1479, "" ""),1),"""")"),"")</f>
        <v/>
      </c>
      <c r="T1479" s="315" t="str">
        <f>IFERROR(__xludf.DUMMYFUNCTION("if(S1479="""",C1479,if(not(iserror(index(split(C1479, "" ""),3))), index(split(C1479, "" ""),3),index(split(C1479, "" ""),2)))"),"")</f>
        <v/>
      </c>
      <c r="U1479" s="38" t="b">
        <f t="shared" si="34"/>
        <v>0</v>
      </c>
      <c r="V1479" s="38"/>
      <c r="W1479" s="40"/>
      <c r="X1479" s="40"/>
      <c r="Y1479" s="38"/>
      <c r="Z1479" s="38"/>
      <c r="AA1479" s="38"/>
      <c r="AB1479" s="38"/>
      <c r="AC1479" s="38"/>
      <c r="AD1479" s="38"/>
      <c r="AE1479" s="38"/>
      <c r="AF1479" s="38"/>
      <c r="AG1479" s="38"/>
      <c r="AH1479" s="38"/>
      <c r="AI1479" s="38"/>
      <c r="AJ1479" s="38"/>
      <c r="AK1479" s="38"/>
      <c r="AL1479" s="38"/>
      <c r="AM1479" s="38"/>
      <c r="AN1479" s="38"/>
      <c r="AO1479" s="38"/>
      <c r="AP1479" s="38"/>
      <c r="AQ1479" s="38"/>
      <c r="AR1479" s="38"/>
      <c r="AS1479" s="38"/>
      <c r="AT1479" s="38"/>
      <c r="AU1479" s="38"/>
      <c r="AV1479" s="38"/>
      <c r="AW1479" s="38"/>
      <c r="AX1479" s="38"/>
      <c r="AY1479" s="38"/>
      <c r="AZ1479" s="38"/>
      <c r="BA1479" s="38"/>
      <c r="BB1479" s="38"/>
      <c r="BC1479" s="38"/>
      <c r="BD1479" s="38"/>
      <c r="BE1479" s="38"/>
      <c r="BF1479" s="38"/>
      <c r="BG1479" s="38"/>
      <c r="BH1479" s="38"/>
      <c r="BI1479" s="38"/>
      <c r="BJ1479" s="38"/>
      <c r="BK1479" s="38"/>
      <c r="BL1479" s="38"/>
      <c r="BM1479" s="38"/>
      <c r="BN1479" s="38"/>
      <c r="BO1479" s="38"/>
      <c r="BP1479" s="38"/>
      <c r="BQ1479" s="38"/>
    </row>
    <row r="1480">
      <c r="A1480" s="58"/>
      <c r="B1480" s="341"/>
      <c r="C1480" s="60"/>
      <c r="D1480" s="60"/>
      <c r="E1480" s="58"/>
      <c r="F1480" s="58"/>
      <c r="G1480" s="58"/>
      <c r="H1480" s="33" t="str">
        <f t="shared" si="33"/>
        <v/>
      </c>
      <c r="I1480" s="58"/>
      <c r="J1480" s="58"/>
      <c r="K1480" s="58"/>
      <c r="L1480" s="58"/>
      <c r="M1480" s="80"/>
      <c r="N1480" s="77"/>
      <c r="O1480" s="62"/>
      <c r="P1480" s="58"/>
      <c r="Q1480" s="84"/>
      <c r="R1480" s="62"/>
      <c r="S1480" s="37" t="str">
        <f>IFERROR(__xludf.DUMMYFUNCTION("if(not(iserror(index(split(C1480, "" ""),2))), index(split(C1480, "" ""),1),"""")"),"")</f>
        <v/>
      </c>
      <c r="T1480" s="315" t="str">
        <f>IFERROR(__xludf.DUMMYFUNCTION("if(S1480="""",C1480,if(not(iserror(index(split(C1480, "" ""),3))), index(split(C1480, "" ""),3),index(split(C1480, "" ""),2)))"),"")</f>
        <v/>
      </c>
      <c r="U1480" s="38" t="b">
        <f t="shared" si="34"/>
        <v>0</v>
      </c>
      <c r="V1480" s="38"/>
      <c r="W1480" s="40"/>
      <c r="X1480" s="40"/>
      <c r="Y1480" s="38"/>
      <c r="Z1480" s="38"/>
      <c r="AA1480" s="38"/>
      <c r="AB1480" s="38"/>
      <c r="AC1480" s="38"/>
      <c r="AD1480" s="38"/>
      <c r="AE1480" s="38"/>
      <c r="AF1480" s="38"/>
      <c r="AG1480" s="38"/>
      <c r="AH1480" s="38"/>
      <c r="AI1480" s="38"/>
      <c r="AJ1480" s="38"/>
      <c r="AK1480" s="38"/>
      <c r="AL1480" s="38"/>
      <c r="AM1480" s="38"/>
      <c r="AN1480" s="38"/>
      <c r="AO1480" s="38"/>
      <c r="AP1480" s="38"/>
      <c r="AQ1480" s="38"/>
      <c r="AR1480" s="38"/>
      <c r="AS1480" s="38"/>
      <c r="AT1480" s="38"/>
      <c r="AU1480" s="38"/>
      <c r="AV1480" s="38"/>
      <c r="AW1480" s="38"/>
      <c r="AX1480" s="38"/>
      <c r="AY1480" s="38"/>
      <c r="AZ1480" s="38"/>
      <c r="BA1480" s="38"/>
      <c r="BB1480" s="38"/>
      <c r="BC1480" s="38"/>
      <c r="BD1480" s="38"/>
      <c r="BE1480" s="38"/>
      <c r="BF1480" s="38"/>
      <c r="BG1480" s="38"/>
      <c r="BH1480" s="38"/>
      <c r="BI1480" s="38"/>
      <c r="BJ1480" s="38"/>
      <c r="BK1480" s="38"/>
      <c r="BL1480" s="38"/>
      <c r="BM1480" s="38"/>
      <c r="BN1480" s="38"/>
      <c r="BO1480" s="38"/>
      <c r="BP1480" s="38"/>
      <c r="BQ1480" s="38"/>
    </row>
    <row r="1481">
      <c r="A1481" s="58"/>
      <c r="B1481" s="341"/>
      <c r="C1481" s="60"/>
      <c r="D1481" s="60"/>
      <c r="E1481" s="58"/>
      <c r="F1481" s="58"/>
      <c r="G1481" s="58"/>
      <c r="H1481" s="33" t="str">
        <f t="shared" si="33"/>
        <v/>
      </c>
      <c r="I1481" s="58"/>
      <c r="J1481" s="58"/>
      <c r="K1481" s="58"/>
      <c r="L1481" s="58"/>
      <c r="M1481" s="80"/>
      <c r="N1481" s="77"/>
      <c r="O1481" s="62"/>
      <c r="P1481" s="62"/>
      <c r="Q1481" s="62"/>
      <c r="R1481" s="62"/>
      <c r="S1481" s="37" t="str">
        <f>IFERROR(__xludf.DUMMYFUNCTION("if(not(iserror(index(split(C1481, "" ""),2))), index(split(C1481, "" ""),1),"""")"),"")</f>
        <v/>
      </c>
      <c r="T1481" s="315" t="str">
        <f>IFERROR(__xludf.DUMMYFUNCTION("if(S1481="""",C1481,if(not(iserror(index(split(C1481, "" ""),3))), index(split(C1481, "" ""),3),index(split(C1481, "" ""),2)))"),"")</f>
        <v/>
      </c>
      <c r="U1481" s="38" t="b">
        <f t="shared" si="34"/>
        <v>0</v>
      </c>
      <c r="V1481" s="38"/>
      <c r="W1481" s="40"/>
      <c r="X1481" s="40"/>
      <c r="Y1481" s="38"/>
      <c r="Z1481" s="38"/>
      <c r="AA1481" s="38"/>
      <c r="AB1481" s="38"/>
      <c r="AC1481" s="38"/>
      <c r="AD1481" s="38"/>
      <c r="AE1481" s="38"/>
      <c r="AF1481" s="38"/>
      <c r="AG1481" s="38"/>
      <c r="AH1481" s="38"/>
      <c r="AI1481" s="38"/>
      <c r="AJ1481" s="38"/>
      <c r="AK1481" s="38"/>
      <c r="AL1481" s="38"/>
      <c r="AM1481" s="38"/>
      <c r="AN1481" s="38"/>
      <c r="AO1481" s="38"/>
      <c r="AP1481" s="38"/>
      <c r="AQ1481" s="38"/>
      <c r="AR1481" s="38"/>
      <c r="AS1481" s="38"/>
      <c r="AT1481" s="38"/>
      <c r="AU1481" s="38"/>
      <c r="AV1481" s="38"/>
      <c r="AW1481" s="38"/>
      <c r="AX1481" s="38"/>
      <c r="AY1481" s="38"/>
      <c r="AZ1481" s="38"/>
      <c r="BA1481" s="38"/>
      <c r="BB1481" s="38"/>
      <c r="BC1481" s="38"/>
      <c r="BD1481" s="38"/>
      <c r="BE1481" s="38"/>
      <c r="BF1481" s="38"/>
      <c r="BG1481" s="38"/>
      <c r="BH1481" s="38"/>
      <c r="BI1481" s="38"/>
      <c r="BJ1481" s="38"/>
      <c r="BK1481" s="38"/>
      <c r="BL1481" s="38"/>
      <c r="BM1481" s="38"/>
      <c r="BN1481" s="38"/>
      <c r="BO1481" s="38"/>
      <c r="BP1481" s="38"/>
      <c r="BQ1481" s="38"/>
    </row>
    <row r="1482">
      <c r="A1482" s="58"/>
      <c r="B1482" s="341"/>
      <c r="C1482" s="60"/>
      <c r="D1482" s="60"/>
      <c r="E1482" s="58"/>
      <c r="F1482" s="58"/>
      <c r="G1482" s="58"/>
      <c r="H1482" s="33" t="str">
        <f t="shared" si="33"/>
        <v/>
      </c>
      <c r="I1482" s="58"/>
      <c r="J1482" s="58"/>
      <c r="K1482" s="58"/>
      <c r="L1482" s="58"/>
      <c r="M1482" s="80"/>
      <c r="N1482" s="77"/>
      <c r="O1482" s="62"/>
      <c r="P1482" s="62"/>
      <c r="Q1482" s="62"/>
      <c r="R1482" s="62"/>
      <c r="S1482" s="37" t="str">
        <f>IFERROR(__xludf.DUMMYFUNCTION("if(not(iserror(index(split(C1482, "" ""),2))), index(split(C1482, "" ""),1),"""")"),"")</f>
        <v/>
      </c>
      <c r="T1482" s="315" t="str">
        <f>IFERROR(__xludf.DUMMYFUNCTION("if(S1482="""",C1482,if(not(iserror(index(split(C1482, "" ""),3))), index(split(C1482, "" ""),3),index(split(C1482, "" ""),2)))"),"")</f>
        <v/>
      </c>
      <c r="U1482" s="38" t="b">
        <f t="shared" si="34"/>
        <v>0</v>
      </c>
      <c r="V1482" s="38"/>
      <c r="W1482" s="40"/>
      <c r="X1482" s="40"/>
      <c r="Y1482" s="38"/>
      <c r="Z1482" s="38"/>
      <c r="AA1482" s="38"/>
      <c r="AB1482" s="38"/>
      <c r="AC1482" s="38"/>
      <c r="AD1482" s="38"/>
      <c r="AE1482" s="38"/>
      <c r="AF1482" s="38"/>
      <c r="AG1482" s="38"/>
      <c r="AH1482" s="38"/>
      <c r="AI1482" s="38"/>
      <c r="AJ1482" s="38"/>
      <c r="AK1482" s="38"/>
      <c r="AL1482" s="38"/>
      <c r="AM1482" s="38"/>
      <c r="AN1482" s="38"/>
      <c r="AO1482" s="38"/>
      <c r="AP1482" s="38"/>
      <c r="AQ1482" s="38"/>
      <c r="AR1482" s="38"/>
      <c r="AS1482" s="38"/>
      <c r="AT1482" s="38"/>
      <c r="AU1482" s="38"/>
      <c r="AV1482" s="38"/>
      <c r="AW1482" s="38"/>
      <c r="AX1482" s="38"/>
      <c r="AY1482" s="38"/>
      <c r="AZ1482" s="38"/>
      <c r="BA1482" s="38"/>
      <c r="BB1482" s="38"/>
      <c r="BC1482" s="38"/>
      <c r="BD1482" s="38"/>
      <c r="BE1482" s="38"/>
      <c r="BF1482" s="38"/>
      <c r="BG1482" s="38"/>
      <c r="BH1482" s="38"/>
      <c r="BI1482" s="38"/>
      <c r="BJ1482" s="38"/>
      <c r="BK1482" s="38"/>
      <c r="BL1482" s="38"/>
      <c r="BM1482" s="38"/>
      <c r="BN1482" s="38"/>
      <c r="BO1482" s="38"/>
      <c r="BP1482" s="38"/>
      <c r="BQ1482" s="38"/>
    </row>
    <row r="1483">
      <c r="A1483" s="58"/>
      <c r="B1483" s="341"/>
      <c r="C1483" s="60"/>
      <c r="D1483" s="60"/>
      <c r="E1483" s="58"/>
      <c r="F1483" s="58"/>
      <c r="G1483" s="58"/>
      <c r="H1483" s="33" t="str">
        <f t="shared" si="33"/>
        <v/>
      </c>
      <c r="I1483" s="58"/>
      <c r="J1483" s="58"/>
      <c r="K1483" s="58"/>
      <c r="L1483" s="58"/>
      <c r="M1483" s="80"/>
      <c r="N1483" s="77"/>
      <c r="O1483" s="62"/>
      <c r="P1483" s="62"/>
      <c r="Q1483" s="58"/>
      <c r="R1483" s="62"/>
      <c r="S1483" s="37" t="str">
        <f>IFERROR(__xludf.DUMMYFUNCTION("if(not(iserror(index(split(C1483, "" ""),2))), index(split(C1483, "" ""),1),"""")"),"")</f>
        <v/>
      </c>
      <c r="T1483" s="315" t="str">
        <f>IFERROR(__xludf.DUMMYFUNCTION("if(S1483="""",C1483,if(not(iserror(index(split(C1483, "" ""),3))), index(split(C1483, "" ""),3),index(split(C1483, "" ""),2)))"),"")</f>
        <v/>
      </c>
      <c r="U1483" s="38" t="b">
        <f t="shared" si="34"/>
        <v>0</v>
      </c>
      <c r="V1483" s="38"/>
      <c r="W1483" s="40"/>
      <c r="X1483" s="40"/>
      <c r="Y1483" s="38"/>
      <c r="Z1483" s="38"/>
      <c r="AA1483" s="38"/>
      <c r="AB1483" s="38"/>
      <c r="AC1483" s="38"/>
      <c r="AD1483" s="38"/>
      <c r="AE1483" s="38"/>
      <c r="AF1483" s="38"/>
      <c r="AG1483" s="38"/>
      <c r="AH1483" s="38"/>
      <c r="AI1483" s="38"/>
      <c r="AJ1483" s="38"/>
      <c r="AK1483" s="38"/>
      <c r="AL1483" s="38"/>
      <c r="AM1483" s="38"/>
      <c r="AN1483" s="38"/>
      <c r="AO1483" s="38"/>
      <c r="AP1483" s="38"/>
      <c r="AQ1483" s="38"/>
      <c r="AR1483" s="38"/>
      <c r="AS1483" s="38"/>
      <c r="AT1483" s="38"/>
      <c r="AU1483" s="38"/>
      <c r="AV1483" s="38"/>
      <c r="AW1483" s="38"/>
      <c r="AX1483" s="38"/>
      <c r="AY1483" s="38"/>
      <c r="AZ1483" s="38"/>
      <c r="BA1483" s="38"/>
      <c r="BB1483" s="38"/>
      <c r="BC1483" s="38"/>
      <c r="BD1483" s="38"/>
      <c r="BE1483" s="38"/>
      <c r="BF1483" s="38"/>
      <c r="BG1483" s="38"/>
      <c r="BH1483" s="38"/>
      <c r="BI1483" s="38"/>
      <c r="BJ1483" s="38"/>
      <c r="BK1483" s="38"/>
      <c r="BL1483" s="38"/>
      <c r="BM1483" s="38"/>
      <c r="BN1483" s="38"/>
      <c r="BO1483" s="38"/>
      <c r="BP1483" s="38"/>
      <c r="BQ1483" s="38"/>
    </row>
    <row r="1484">
      <c r="A1484" s="58"/>
      <c r="B1484" s="341"/>
      <c r="C1484" s="60"/>
      <c r="D1484" s="60"/>
      <c r="E1484" s="58"/>
      <c r="F1484" s="58"/>
      <c r="G1484" s="58"/>
      <c r="H1484" s="33" t="str">
        <f t="shared" si="33"/>
        <v/>
      </c>
      <c r="I1484" s="58"/>
      <c r="J1484" s="58"/>
      <c r="K1484" s="58"/>
      <c r="L1484" s="58"/>
      <c r="M1484" s="80"/>
      <c r="N1484" s="77"/>
      <c r="O1484" s="62"/>
      <c r="P1484" s="62"/>
      <c r="Q1484" s="58"/>
      <c r="R1484" s="62"/>
      <c r="S1484" s="37" t="str">
        <f>IFERROR(__xludf.DUMMYFUNCTION("if(not(iserror(index(split(C1484, "" ""),2))), index(split(C1484, "" ""),1),"""")"),"")</f>
        <v/>
      </c>
      <c r="T1484" s="315" t="str">
        <f>IFERROR(__xludf.DUMMYFUNCTION("if(S1484="""",C1484,if(not(iserror(index(split(C1484, "" ""),3))), index(split(C1484, "" ""),3),index(split(C1484, "" ""),2)))"),"")</f>
        <v/>
      </c>
      <c r="U1484" s="38" t="b">
        <f t="shared" si="34"/>
        <v>0</v>
      </c>
      <c r="V1484" s="38"/>
      <c r="W1484" s="40"/>
      <c r="X1484" s="40"/>
      <c r="Y1484" s="38"/>
      <c r="Z1484" s="38"/>
      <c r="AA1484" s="38"/>
      <c r="AB1484" s="38"/>
      <c r="AC1484" s="38"/>
      <c r="AD1484" s="38"/>
      <c r="AE1484" s="38"/>
      <c r="AF1484" s="38"/>
      <c r="AG1484" s="38"/>
      <c r="AH1484" s="38"/>
      <c r="AI1484" s="38"/>
      <c r="AJ1484" s="38"/>
      <c r="AK1484" s="38"/>
      <c r="AL1484" s="38"/>
      <c r="AM1484" s="38"/>
      <c r="AN1484" s="38"/>
      <c r="AO1484" s="38"/>
      <c r="AP1484" s="38"/>
      <c r="AQ1484" s="38"/>
      <c r="AR1484" s="38"/>
      <c r="AS1484" s="38"/>
      <c r="AT1484" s="38"/>
      <c r="AU1484" s="38"/>
      <c r="AV1484" s="38"/>
      <c r="AW1484" s="38"/>
      <c r="AX1484" s="38"/>
      <c r="AY1484" s="38"/>
      <c r="AZ1484" s="38"/>
      <c r="BA1484" s="38"/>
      <c r="BB1484" s="38"/>
      <c r="BC1484" s="38"/>
      <c r="BD1484" s="38"/>
      <c r="BE1484" s="38"/>
      <c r="BF1484" s="38"/>
      <c r="BG1484" s="38"/>
      <c r="BH1484" s="38"/>
      <c r="BI1484" s="38"/>
      <c r="BJ1484" s="38"/>
      <c r="BK1484" s="38"/>
      <c r="BL1484" s="38"/>
      <c r="BM1484" s="38"/>
      <c r="BN1484" s="38"/>
      <c r="BO1484" s="38"/>
      <c r="BP1484" s="38"/>
      <c r="BQ1484" s="38"/>
    </row>
    <row r="1485">
      <c r="A1485" s="124"/>
      <c r="B1485" s="388"/>
      <c r="C1485" s="127"/>
      <c r="D1485" s="127"/>
      <c r="E1485" s="128"/>
      <c r="F1485" s="129"/>
      <c r="G1485" s="128"/>
      <c r="H1485" s="33" t="str">
        <f t="shared" si="33"/>
        <v/>
      </c>
      <c r="I1485" s="128"/>
      <c r="J1485" s="128"/>
      <c r="K1485" s="129"/>
      <c r="L1485" s="128"/>
      <c r="M1485" s="131"/>
      <c r="N1485" s="133"/>
      <c r="O1485" s="133"/>
      <c r="P1485" s="133"/>
      <c r="Q1485" s="198"/>
      <c r="R1485" s="133"/>
      <c r="S1485" s="37" t="str">
        <f>IFERROR(__xludf.DUMMYFUNCTION("if(not(iserror(index(split(C1485, "" ""),2))), index(split(C1485, "" ""),1),"""")"),"")</f>
        <v/>
      </c>
      <c r="T1485" s="315" t="str">
        <f>IFERROR(__xludf.DUMMYFUNCTION("if(S1485="""",C1485,if(not(iserror(index(split(C1485, "" ""),3))), index(split(C1485, "" ""),3),index(split(C1485, "" ""),2)))"),"")</f>
        <v/>
      </c>
      <c r="U1485" s="38" t="b">
        <f t="shared" si="34"/>
        <v>0</v>
      </c>
      <c r="V1485" s="38"/>
      <c r="W1485" s="40"/>
      <c r="X1485" s="40"/>
      <c r="Y1485" s="38"/>
      <c r="Z1485" s="38"/>
      <c r="AA1485" s="38"/>
      <c r="AB1485" s="38"/>
      <c r="AC1485" s="38"/>
      <c r="AD1485" s="38"/>
      <c r="AE1485" s="38"/>
      <c r="AF1485" s="38"/>
      <c r="AG1485" s="38"/>
      <c r="AH1485" s="38"/>
      <c r="AI1485" s="38"/>
      <c r="AJ1485" s="38"/>
      <c r="AK1485" s="38"/>
      <c r="AL1485" s="38"/>
      <c r="AM1485" s="38"/>
      <c r="AN1485" s="38"/>
      <c r="AO1485" s="38"/>
      <c r="AP1485" s="38"/>
      <c r="AQ1485" s="38"/>
      <c r="AR1485" s="38"/>
      <c r="AS1485" s="38"/>
      <c r="AT1485" s="38"/>
      <c r="AU1485" s="38"/>
      <c r="AV1485" s="38"/>
      <c r="AW1485" s="38"/>
      <c r="AX1485" s="38"/>
      <c r="AY1485" s="38"/>
      <c r="AZ1485" s="38"/>
      <c r="BA1485" s="38"/>
      <c r="BB1485" s="38"/>
      <c r="BC1485" s="38"/>
      <c r="BD1485" s="38"/>
      <c r="BE1485" s="38"/>
      <c r="BF1485" s="38"/>
      <c r="BG1485" s="38"/>
      <c r="BH1485" s="38"/>
      <c r="BI1485" s="38"/>
      <c r="BJ1485" s="38"/>
      <c r="BK1485" s="38"/>
      <c r="BL1485" s="38"/>
      <c r="BM1485" s="38"/>
      <c r="BN1485" s="38"/>
      <c r="BO1485" s="38"/>
      <c r="BP1485" s="38"/>
      <c r="BQ1485" s="38"/>
    </row>
    <row r="1486">
      <c r="A1486" s="124"/>
      <c r="B1486" s="388"/>
      <c r="C1486" s="127"/>
      <c r="D1486" s="127"/>
      <c r="E1486" s="128"/>
      <c r="F1486" s="129"/>
      <c r="G1486" s="128"/>
      <c r="H1486" s="33" t="str">
        <f t="shared" si="33"/>
        <v/>
      </c>
      <c r="I1486" s="128"/>
      <c r="J1486" s="128"/>
      <c r="K1486" s="129"/>
      <c r="L1486" s="128"/>
      <c r="M1486" s="131"/>
      <c r="N1486" s="133"/>
      <c r="O1486" s="133"/>
      <c r="P1486" s="133"/>
      <c r="Q1486" s="198"/>
      <c r="R1486" s="133"/>
      <c r="S1486" s="37" t="str">
        <f>IFERROR(__xludf.DUMMYFUNCTION("if(not(iserror(index(split(C1486, "" ""),2))), index(split(C1486, "" ""),1),"""")"),"")</f>
        <v/>
      </c>
      <c r="T1486" s="315" t="str">
        <f>IFERROR(__xludf.DUMMYFUNCTION("if(S1486="""",C1486,if(not(iserror(index(split(C1486, "" ""),3))), index(split(C1486, "" ""),3),index(split(C1486, "" ""),2)))"),"")</f>
        <v/>
      </c>
      <c r="U1486" s="38" t="b">
        <f t="shared" si="34"/>
        <v>0</v>
      </c>
      <c r="V1486" s="38"/>
      <c r="W1486" s="40"/>
      <c r="X1486" s="40"/>
      <c r="Y1486" s="38"/>
      <c r="Z1486" s="38"/>
      <c r="AA1486" s="38"/>
      <c r="AB1486" s="38"/>
      <c r="AC1486" s="38"/>
      <c r="AD1486" s="38"/>
      <c r="AE1486" s="38"/>
      <c r="AF1486" s="38"/>
      <c r="AG1486" s="38"/>
      <c r="AH1486" s="38"/>
      <c r="AI1486" s="38"/>
      <c r="AJ1486" s="38"/>
      <c r="AK1486" s="38"/>
      <c r="AL1486" s="38"/>
      <c r="AM1486" s="38"/>
      <c r="AN1486" s="38"/>
      <c r="AO1486" s="38"/>
      <c r="AP1486" s="38"/>
      <c r="AQ1486" s="38"/>
      <c r="AR1486" s="38"/>
      <c r="AS1486" s="38"/>
      <c r="AT1486" s="38"/>
      <c r="AU1486" s="38"/>
      <c r="AV1486" s="38"/>
      <c r="AW1486" s="38"/>
      <c r="AX1486" s="38"/>
      <c r="AY1486" s="38"/>
      <c r="AZ1486" s="38"/>
      <c r="BA1486" s="38"/>
      <c r="BB1486" s="38"/>
      <c r="BC1486" s="38"/>
      <c r="BD1486" s="38"/>
      <c r="BE1486" s="38"/>
      <c r="BF1486" s="38"/>
      <c r="BG1486" s="38"/>
      <c r="BH1486" s="38"/>
      <c r="BI1486" s="38"/>
      <c r="BJ1486" s="38"/>
      <c r="BK1486" s="38"/>
      <c r="BL1486" s="38"/>
      <c r="BM1486" s="38"/>
      <c r="BN1486" s="38"/>
      <c r="BO1486" s="38"/>
      <c r="BP1486" s="38"/>
      <c r="BQ1486" s="38"/>
    </row>
    <row r="1487">
      <c r="A1487" s="124"/>
      <c r="B1487" s="388"/>
      <c r="C1487" s="127"/>
      <c r="D1487" s="127"/>
      <c r="E1487" s="128"/>
      <c r="F1487" s="129"/>
      <c r="G1487" s="128"/>
      <c r="H1487" s="33" t="str">
        <f t="shared" si="33"/>
        <v/>
      </c>
      <c r="I1487" s="128"/>
      <c r="J1487" s="128"/>
      <c r="K1487" s="129"/>
      <c r="L1487" s="128"/>
      <c r="M1487" s="131"/>
      <c r="N1487" s="133"/>
      <c r="O1487" s="133"/>
      <c r="P1487" s="133"/>
      <c r="Q1487" s="198"/>
      <c r="R1487" s="133"/>
      <c r="S1487" s="37" t="str">
        <f>IFERROR(__xludf.DUMMYFUNCTION("if(not(iserror(index(split(C1487, "" ""),2))), index(split(C1487, "" ""),1),"""")"),"")</f>
        <v/>
      </c>
      <c r="T1487" s="315" t="str">
        <f>IFERROR(__xludf.DUMMYFUNCTION("if(S1487="""",C1487,if(not(iserror(index(split(C1487, "" ""),3))), index(split(C1487, "" ""),3),index(split(C1487, "" ""),2)))"),"")</f>
        <v/>
      </c>
      <c r="U1487" s="38" t="b">
        <f t="shared" si="34"/>
        <v>0</v>
      </c>
      <c r="V1487" s="38"/>
      <c r="W1487" s="40"/>
      <c r="X1487" s="40"/>
      <c r="Y1487" s="38"/>
      <c r="Z1487" s="38"/>
      <c r="AA1487" s="38"/>
      <c r="AB1487" s="38"/>
      <c r="AC1487" s="38"/>
      <c r="AD1487" s="38"/>
      <c r="AE1487" s="38"/>
      <c r="AF1487" s="38"/>
      <c r="AG1487" s="38"/>
      <c r="AH1487" s="38"/>
      <c r="AI1487" s="38"/>
      <c r="AJ1487" s="38"/>
      <c r="AK1487" s="38"/>
      <c r="AL1487" s="38"/>
      <c r="AM1487" s="38"/>
      <c r="AN1487" s="38"/>
      <c r="AO1487" s="38"/>
      <c r="AP1487" s="38"/>
      <c r="AQ1487" s="38"/>
      <c r="AR1487" s="38"/>
      <c r="AS1487" s="38"/>
      <c r="AT1487" s="38"/>
      <c r="AU1487" s="38"/>
      <c r="AV1487" s="38"/>
      <c r="AW1487" s="38"/>
      <c r="AX1487" s="38"/>
      <c r="AY1487" s="38"/>
      <c r="AZ1487" s="38"/>
      <c r="BA1487" s="38"/>
      <c r="BB1487" s="38"/>
      <c r="BC1487" s="38"/>
      <c r="BD1487" s="38"/>
      <c r="BE1487" s="38"/>
      <c r="BF1487" s="38"/>
      <c r="BG1487" s="38"/>
      <c r="BH1487" s="38"/>
      <c r="BI1487" s="38"/>
      <c r="BJ1487" s="38"/>
      <c r="BK1487" s="38"/>
      <c r="BL1487" s="38"/>
      <c r="BM1487" s="38"/>
      <c r="BN1487" s="38"/>
      <c r="BO1487" s="38"/>
      <c r="BP1487" s="38"/>
      <c r="BQ1487" s="38"/>
    </row>
    <row r="1488">
      <c r="A1488" s="124"/>
      <c r="B1488" s="388"/>
      <c r="C1488" s="127"/>
      <c r="D1488" s="127"/>
      <c r="E1488" s="128"/>
      <c r="F1488" s="129"/>
      <c r="G1488" s="128"/>
      <c r="H1488" s="33" t="str">
        <f t="shared" si="33"/>
        <v/>
      </c>
      <c r="I1488" s="128"/>
      <c r="J1488" s="128"/>
      <c r="K1488" s="129"/>
      <c r="L1488" s="128"/>
      <c r="M1488" s="131"/>
      <c r="N1488" s="133"/>
      <c r="O1488" s="133"/>
      <c r="P1488" s="133"/>
      <c r="Q1488" s="198"/>
      <c r="R1488" s="133"/>
      <c r="S1488" s="37" t="str">
        <f>IFERROR(__xludf.DUMMYFUNCTION("if(not(iserror(index(split(C1488, "" ""),2))), index(split(C1488, "" ""),1),"""")"),"")</f>
        <v/>
      </c>
      <c r="T1488" s="315" t="str">
        <f>IFERROR(__xludf.DUMMYFUNCTION("if(S1488="""",C1488,if(not(iserror(index(split(C1488, "" ""),3))), index(split(C1488, "" ""),3),index(split(C1488, "" ""),2)))"),"")</f>
        <v/>
      </c>
      <c r="U1488" s="38" t="b">
        <f t="shared" si="34"/>
        <v>0</v>
      </c>
      <c r="V1488" s="38"/>
      <c r="W1488" s="40"/>
      <c r="X1488" s="40"/>
      <c r="Y1488" s="38"/>
      <c r="Z1488" s="38"/>
      <c r="AA1488" s="38"/>
      <c r="AB1488" s="38"/>
      <c r="AC1488" s="38"/>
      <c r="AD1488" s="38"/>
      <c r="AE1488" s="38"/>
      <c r="AF1488" s="38"/>
      <c r="AG1488" s="38"/>
      <c r="AH1488" s="38"/>
      <c r="AI1488" s="38"/>
      <c r="AJ1488" s="38"/>
      <c r="AK1488" s="38"/>
      <c r="AL1488" s="38"/>
      <c r="AM1488" s="38"/>
      <c r="AN1488" s="38"/>
      <c r="AO1488" s="38"/>
      <c r="AP1488" s="38"/>
      <c r="AQ1488" s="38"/>
      <c r="AR1488" s="38"/>
      <c r="AS1488" s="38"/>
      <c r="AT1488" s="38"/>
      <c r="AU1488" s="38"/>
      <c r="AV1488" s="38"/>
      <c r="AW1488" s="38"/>
      <c r="AX1488" s="38"/>
      <c r="AY1488" s="38"/>
      <c r="AZ1488" s="38"/>
      <c r="BA1488" s="38"/>
      <c r="BB1488" s="38"/>
      <c r="BC1488" s="38"/>
      <c r="BD1488" s="38"/>
      <c r="BE1488" s="38"/>
      <c r="BF1488" s="38"/>
      <c r="BG1488" s="38"/>
      <c r="BH1488" s="38"/>
      <c r="BI1488" s="38"/>
      <c r="BJ1488" s="38"/>
      <c r="BK1488" s="38"/>
      <c r="BL1488" s="38"/>
      <c r="BM1488" s="38"/>
      <c r="BN1488" s="38"/>
      <c r="BO1488" s="38"/>
      <c r="BP1488" s="38"/>
      <c r="BQ1488" s="38"/>
    </row>
    <row r="1489">
      <c r="A1489" s="58"/>
      <c r="B1489" s="341"/>
      <c r="C1489" s="60"/>
      <c r="D1489" s="60"/>
      <c r="E1489" s="58"/>
      <c r="F1489" s="58"/>
      <c r="G1489" s="58"/>
      <c r="H1489" s="33" t="str">
        <f t="shared" si="33"/>
        <v/>
      </c>
      <c r="I1489" s="58"/>
      <c r="J1489" s="58"/>
      <c r="K1489" s="58"/>
      <c r="L1489" s="58"/>
      <c r="M1489" s="80"/>
      <c r="N1489" s="77"/>
      <c r="O1489" s="62"/>
      <c r="P1489" s="62"/>
      <c r="Q1489" s="62"/>
      <c r="R1489" s="62"/>
      <c r="S1489" s="37" t="str">
        <f>IFERROR(__xludf.DUMMYFUNCTION("if(not(iserror(index(split(C1489, "" ""),2))), index(split(C1489, "" ""),1),"""")"),"")</f>
        <v/>
      </c>
      <c r="T1489" s="315" t="str">
        <f>IFERROR(__xludf.DUMMYFUNCTION("if(S1489="""",C1489,if(not(iserror(index(split(C1489, "" ""),3))), index(split(C1489, "" ""),3),index(split(C1489, "" ""),2)))"),"")</f>
        <v/>
      </c>
      <c r="U1489" s="38" t="b">
        <f t="shared" si="34"/>
        <v>0</v>
      </c>
      <c r="V1489" s="38"/>
      <c r="W1489" s="40"/>
      <c r="X1489" s="40"/>
      <c r="Y1489" s="38"/>
      <c r="Z1489" s="38"/>
      <c r="AA1489" s="38"/>
      <c r="AB1489" s="38"/>
      <c r="AC1489" s="38"/>
      <c r="AD1489" s="38"/>
      <c r="AE1489" s="38"/>
      <c r="AF1489" s="38"/>
      <c r="AG1489" s="38"/>
      <c r="AH1489" s="38"/>
      <c r="AI1489" s="38"/>
      <c r="AJ1489" s="38"/>
      <c r="AK1489" s="38"/>
      <c r="AL1489" s="38"/>
      <c r="AM1489" s="38"/>
      <c r="AN1489" s="38"/>
      <c r="AO1489" s="38"/>
      <c r="AP1489" s="38"/>
      <c r="AQ1489" s="38"/>
      <c r="AR1489" s="38"/>
      <c r="AS1489" s="38"/>
      <c r="AT1489" s="38"/>
      <c r="AU1489" s="38"/>
      <c r="AV1489" s="38"/>
      <c r="AW1489" s="38"/>
      <c r="AX1489" s="38"/>
      <c r="AY1489" s="38"/>
      <c r="AZ1489" s="38"/>
      <c r="BA1489" s="38"/>
      <c r="BB1489" s="38"/>
      <c r="BC1489" s="38"/>
      <c r="BD1489" s="38"/>
      <c r="BE1489" s="38"/>
      <c r="BF1489" s="38"/>
      <c r="BG1489" s="38"/>
      <c r="BH1489" s="38"/>
      <c r="BI1489" s="38"/>
      <c r="BJ1489" s="38"/>
      <c r="BK1489" s="38"/>
      <c r="BL1489" s="38"/>
      <c r="BM1489" s="38"/>
      <c r="BN1489" s="38"/>
      <c r="BO1489" s="38"/>
      <c r="BP1489" s="38"/>
      <c r="BQ1489" s="38"/>
    </row>
    <row r="1490">
      <c r="A1490" s="58"/>
      <c r="B1490" s="341"/>
      <c r="C1490" s="60"/>
      <c r="D1490" s="60"/>
      <c r="E1490" s="58"/>
      <c r="F1490" s="58"/>
      <c r="G1490" s="58"/>
      <c r="H1490" s="33" t="str">
        <f t="shared" si="33"/>
        <v/>
      </c>
      <c r="I1490" s="58"/>
      <c r="J1490" s="58"/>
      <c r="K1490" s="58"/>
      <c r="L1490" s="58"/>
      <c r="M1490" s="80"/>
      <c r="N1490" s="77"/>
      <c r="O1490" s="62"/>
      <c r="P1490" s="62"/>
      <c r="Q1490" s="62"/>
      <c r="R1490" s="62"/>
      <c r="S1490" s="37" t="str">
        <f>IFERROR(__xludf.DUMMYFUNCTION("if(not(iserror(index(split(C1490, "" ""),2))), index(split(C1490, "" ""),1),"""")"),"")</f>
        <v/>
      </c>
      <c r="T1490" s="315" t="str">
        <f>IFERROR(__xludf.DUMMYFUNCTION("if(S1490="""",C1490,if(not(iserror(index(split(C1490, "" ""),3))), index(split(C1490, "" ""),3),index(split(C1490, "" ""),2)))"),"")</f>
        <v/>
      </c>
      <c r="U1490" s="38" t="b">
        <f t="shared" si="34"/>
        <v>0</v>
      </c>
      <c r="V1490" s="38"/>
      <c r="W1490" s="40"/>
      <c r="X1490" s="40"/>
      <c r="Y1490" s="38"/>
      <c r="Z1490" s="38"/>
      <c r="AA1490" s="38"/>
      <c r="AB1490" s="38"/>
      <c r="AC1490" s="38"/>
      <c r="AD1490" s="38"/>
      <c r="AE1490" s="38"/>
      <c r="AF1490" s="38"/>
      <c r="AG1490" s="38"/>
      <c r="AH1490" s="38"/>
      <c r="AI1490" s="38"/>
      <c r="AJ1490" s="38"/>
      <c r="AK1490" s="38"/>
      <c r="AL1490" s="38"/>
      <c r="AM1490" s="38"/>
      <c r="AN1490" s="38"/>
      <c r="AO1490" s="38"/>
      <c r="AP1490" s="38"/>
      <c r="AQ1490" s="38"/>
      <c r="AR1490" s="38"/>
      <c r="AS1490" s="38"/>
      <c r="AT1490" s="38"/>
      <c r="AU1490" s="38"/>
      <c r="AV1490" s="38"/>
      <c r="AW1490" s="38"/>
      <c r="AX1490" s="38"/>
      <c r="AY1490" s="38"/>
      <c r="AZ1490" s="38"/>
      <c r="BA1490" s="38"/>
      <c r="BB1490" s="38"/>
      <c r="BC1490" s="38"/>
      <c r="BD1490" s="38"/>
      <c r="BE1490" s="38"/>
      <c r="BF1490" s="38"/>
      <c r="BG1490" s="38"/>
      <c r="BH1490" s="38"/>
      <c r="BI1490" s="38"/>
      <c r="BJ1490" s="38"/>
      <c r="BK1490" s="38"/>
      <c r="BL1490" s="38"/>
      <c r="BM1490" s="38"/>
      <c r="BN1490" s="38"/>
      <c r="BO1490" s="38"/>
      <c r="BP1490" s="38"/>
      <c r="BQ1490" s="38"/>
    </row>
    <row r="1491">
      <c r="A1491" s="58"/>
      <c r="B1491" s="341"/>
      <c r="C1491" s="60"/>
      <c r="D1491" s="60"/>
      <c r="E1491" s="58"/>
      <c r="F1491" s="58"/>
      <c r="G1491" s="58"/>
      <c r="H1491" s="33" t="str">
        <f t="shared" si="33"/>
        <v/>
      </c>
      <c r="I1491" s="58"/>
      <c r="J1491" s="58"/>
      <c r="K1491" s="58"/>
      <c r="L1491" s="58"/>
      <c r="M1491" s="80"/>
      <c r="N1491" s="77"/>
      <c r="O1491" s="62"/>
      <c r="P1491" s="62"/>
      <c r="Q1491" s="62"/>
      <c r="R1491" s="62"/>
      <c r="S1491" s="37" t="str">
        <f>IFERROR(__xludf.DUMMYFUNCTION("if(not(iserror(index(split(C1491, "" ""),2))), index(split(C1491, "" ""),1),"""")"),"")</f>
        <v/>
      </c>
      <c r="T1491" s="315" t="str">
        <f>IFERROR(__xludf.DUMMYFUNCTION("if(S1491="""",C1491,if(not(iserror(index(split(C1491, "" ""),3))), index(split(C1491, "" ""),3),index(split(C1491, "" ""),2)))"),"")</f>
        <v/>
      </c>
      <c r="U1491" s="38" t="b">
        <f t="shared" si="34"/>
        <v>0</v>
      </c>
      <c r="V1491" s="38"/>
      <c r="W1491" s="40"/>
      <c r="X1491" s="40"/>
      <c r="Y1491" s="38"/>
      <c r="Z1491" s="38"/>
      <c r="AA1491" s="38"/>
      <c r="AB1491" s="38"/>
      <c r="AC1491" s="38"/>
      <c r="AD1491" s="38"/>
      <c r="AE1491" s="38"/>
      <c r="AF1491" s="38"/>
      <c r="AG1491" s="38"/>
      <c r="AH1491" s="38"/>
      <c r="AI1491" s="38"/>
      <c r="AJ1491" s="38"/>
      <c r="AK1491" s="38"/>
      <c r="AL1491" s="38"/>
      <c r="AM1491" s="38"/>
      <c r="AN1491" s="38"/>
      <c r="AO1491" s="38"/>
      <c r="AP1491" s="38"/>
      <c r="AQ1491" s="38"/>
      <c r="AR1491" s="38"/>
      <c r="AS1491" s="38"/>
      <c r="AT1491" s="38"/>
      <c r="AU1491" s="38"/>
      <c r="AV1491" s="38"/>
      <c r="AW1491" s="38"/>
      <c r="AX1491" s="38"/>
      <c r="AY1491" s="38"/>
      <c r="AZ1491" s="38"/>
      <c r="BA1491" s="38"/>
      <c r="BB1491" s="38"/>
      <c r="BC1491" s="38"/>
      <c r="BD1491" s="38"/>
      <c r="BE1491" s="38"/>
      <c r="BF1491" s="38"/>
      <c r="BG1491" s="38"/>
      <c r="BH1491" s="38"/>
      <c r="BI1491" s="38"/>
      <c r="BJ1491" s="38"/>
      <c r="BK1491" s="38"/>
      <c r="BL1491" s="38"/>
      <c r="BM1491" s="38"/>
      <c r="BN1491" s="38"/>
      <c r="BO1491" s="38"/>
      <c r="BP1491" s="38"/>
      <c r="BQ1491" s="38"/>
    </row>
    <row r="1492">
      <c r="B1492" s="341"/>
      <c r="C1492" s="60"/>
      <c r="D1492" s="60"/>
      <c r="E1492" s="58"/>
      <c r="F1492" s="58"/>
      <c r="G1492" s="58"/>
      <c r="H1492" s="33" t="str">
        <f t="shared" si="33"/>
        <v/>
      </c>
      <c r="I1492" s="58"/>
      <c r="J1492" s="58"/>
      <c r="K1492" s="58"/>
      <c r="L1492" s="58"/>
      <c r="M1492" s="80"/>
      <c r="N1492" s="77"/>
      <c r="O1492" s="62"/>
      <c r="P1492" s="62"/>
      <c r="Q1492" s="62"/>
      <c r="R1492" s="62"/>
      <c r="S1492" s="37" t="str">
        <f>IFERROR(__xludf.DUMMYFUNCTION("if(not(iserror(index(split(C1492, "" ""),2))), index(split(C1492, "" ""),1),"""")"),"")</f>
        <v/>
      </c>
      <c r="T1492" s="315" t="str">
        <f>IFERROR(__xludf.DUMMYFUNCTION("if(S1492="""",C1492,if(not(iserror(index(split(C1492, "" ""),3))), index(split(C1492, "" ""),3),index(split(C1492, "" ""),2)))"),"")</f>
        <v/>
      </c>
      <c r="U1492" s="38" t="b">
        <f t="shared" si="34"/>
        <v>0</v>
      </c>
      <c r="V1492" s="38"/>
      <c r="W1492" s="40"/>
      <c r="X1492" s="40"/>
      <c r="Y1492" s="38"/>
      <c r="Z1492" s="38"/>
      <c r="AA1492" s="38"/>
      <c r="AB1492" s="38"/>
      <c r="AC1492" s="38"/>
      <c r="AD1492" s="38"/>
      <c r="AE1492" s="38"/>
      <c r="AF1492" s="38"/>
      <c r="AG1492" s="38"/>
      <c r="AH1492" s="38"/>
      <c r="AI1492" s="38"/>
      <c r="AJ1492" s="38"/>
      <c r="AK1492" s="38"/>
      <c r="AL1492" s="38"/>
      <c r="AM1492" s="38"/>
      <c r="AN1492" s="38"/>
      <c r="AO1492" s="38"/>
      <c r="AP1492" s="38"/>
      <c r="AQ1492" s="38"/>
      <c r="AR1492" s="38"/>
      <c r="AS1492" s="38"/>
      <c r="AT1492" s="38"/>
      <c r="AU1492" s="38"/>
      <c r="AV1492" s="38"/>
      <c r="AW1492" s="38"/>
      <c r="AX1492" s="38"/>
      <c r="AY1492" s="38"/>
      <c r="AZ1492" s="38"/>
      <c r="BA1492" s="38"/>
      <c r="BB1492" s="38"/>
      <c r="BC1492" s="38"/>
      <c r="BD1492" s="38"/>
      <c r="BE1492" s="38"/>
      <c r="BF1492" s="38"/>
      <c r="BG1492" s="38"/>
      <c r="BH1492" s="38"/>
      <c r="BI1492" s="38"/>
      <c r="BJ1492" s="38"/>
      <c r="BK1492" s="38"/>
      <c r="BL1492" s="38"/>
      <c r="BM1492" s="38"/>
      <c r="BN1492" s="38"/>
      <c r="BO1492" s="38"/>
      <c r="BP1492" s="38"/>
      <c r="BQ1492" s="38"/>
    </row>
    <row r="1493">
      <c r="A1493" s="58"/>
      <c r="B1493" s="341"/>
      <c r="C1493" s="60"/>
      <c r="D1493" s="60"/>
      <c r="E1493" s="58"/>
      <c r="F1493" s="58"/>
      <c r="G1493" s="58"/>
      <c r="H1493" s="33" t="str">
        <f t="shared" si="33"/>
        <v/>
      </c>
      <c r="I1493" s="58"/>
      <c r="J1493" s="58"/>
      <c r="K1493" s="58"/>
      <c r="L1493" s="58"/>
      <c r="M1493" s="80"/>
      <c r="N1493" s="77"/>
      <c r="O1493" s="62"/>
      <c r="P1493" s="62"/>
      <c r="Q1493" s="62"/>
      <c r="R1493" s="62"/>
      <c r="S1493" s="37" t="str">
        <f>IFERROR(__xludf.DUMMYFUNCTION("if(not(iserror(index(split(C1493, "" ""),2))), index(split(C1493, "" ""),1),"""")"),"")</f>
        <v/>
      </c>
      <c r="T1493" s="315" t="str">
        <f>IFERROR(__xludf.DUMMYFUNCTION("if(S1493="""",C1493,if(not(iserror(index(split(C1493, "" ""),3))), index(split(C1493, "" ""),3),index(split(C1493, "" ""),2)))"),"")</f>
        <v/>
      </c>
      <c r="U1493" s="38" t="b">
        <f t="shared" si="34"/>
        <v>0</v>
      </c>
      <c r="V1493" s="38"/>
      <c r="W1493" s="40"/>
      <c r="X1493" s="40"/>
      <c r="Y1493" s="38"/>
      <c r="Z1493" s="38"/>
      <c r="AA1493" s="38"/>
      <c r="AB1493" s="38"/>
      <c r="AC1493" s="38"/>
      <c r="AD1493" s="38"/>
      <c r="AE1493" s="38"/>
      <c r="AF1493" s="38"/>
      <c r="AG1493" s="38"/>
      <c r="AH1493" s="38"/>
      <c r="AI1493" s="38"/>
      <c r="AJ1493" s="38"/>
      <c r="AK1493" s="38"/>
      <c r="AL1493" s="38"/>
      <c r="AM1493" s="38"/>
      <c r="AN1493" s="38"/>
      <c r="AO1493" s="38"/>
      <c r="AP1493" s="38"/>
      <c r="AQ1493" s="38"/>
      <c r="AR1493" s="38"/>
      <c r="AS1493" s="38"/>
      <c r="AT1493" s="38"/>
      <c r="AU1493" s="38"/>
      <c r="AV1493" s="38"/>
      <c r="AW1493" s="38"/>
      <c r="AX1493" s="38"/>
      <c r="AY1493" s="38"/>
      <c r="AZ1493" s="38"/>
      <c r="BA1493" s="38"/>
      <c r="BB1493" s="38"/>
      <c r="BC1493" s="38"/>
      <c r="BD1493" s="38"/>
      <c r="BE1493" s="38"/>
      <c r="BF1493" s="38"/>
      <c r="BG1493" s="38"/>
      <c r="BH1493" s="38"/>
      <c r="BI1493" s="38"/>
      <c r="BJ1493" s="38"/>
      <c r="BK1493" s="38"/>
      <c r="BL1493" s="38"/>
      <c r="BM1493" s="38"/>
      <c r="BN1493" s="38"/>
      <c r="BO1493" s="38"/>
      <c r="BP1493" s="38"/>
      <c r="BQ1493" s="38"/>
    </row>
    <row r="1494">
      <c r="A1494" s="58"/>
      <c r="B1494" s="341"/>
      <c r="C1494" s="60"/>
      <c r="D1494" s="60"/>
      <c r="E1494" s="58"/>
      <c r="F1494" s="58"/>
      <c r="G1494" s="58"/>
      <c r="H1494" s="33" t="str">
        <f t="shared" si="33"/>
        <v/>
      </c>
      <c r="I1494" s="58"/>
      <c r="J1494" s="58"/>
      <c r="K1494" s="58"/>
      <c r="L1494" s="58"/>
      <c r="M1494" s="80"/>
      <c r="N1494" s="77"/>
      <c r="O1494" s="62"/>
      <c r="P1494" s="58"/>
      <c r="Q1494" s="84"/>
      <c r="R1494" s="62"/>
      <c r="S1494" s="37" t="str">
        <f>IFERROR(__xludf.DUMMYFUNCTION("if(not(iserror(index(split(C1494, "" ""),2))), index(split(C1494, "" ""),1),"""")"),"")</f>
        <v/>
      </c>
      <c r="T1494" s="315" t="str">
        <f>IFERROR(__xludf.DUMMYFUNCTION("if(S1494="""",C1494,if(not(iserror(index(split(C1494, "" ""),3))), index(split(C1494, "" ""),3),index(split(C1494, "" ""),2)))"),"")</f>
        <v/>
      </c>
      <c r="U1494" s="38" t="b">
        <f t="shared" si="34"/>
        <v>0</v>
      </c>
      <c r="V1494" s="38"/>
      <c r="W1494" s="40"/>
      <c r="X1494" s="40"/>
      <c r="Y1494" s="38"/>
      <c r="Z1494" s="38"/>
      <c r="AA1494" s="38"/>
      <c r="AB1494" s="38"/>
      <c r="AC1494" s="38"/>
      <c r="AD1494" s="38"/>
      <c r="AE1494" s="38"/>
      <c r="AF1494" s="38"/>
      <c r="AG1494" s="38"/>
      <c r="AH1494" s="38"/>
      <c r="AI1494" s="38"/>
      <c r="AJ1494" s="38"/>
      <c r="AK1494" s="38"/>
      <c r="AL1494" s="38"/>
      <c r="AM1494" s="38"/>
      <c r="AN1494" s="38"/>
      <c r="AO1494" s="38"/>
      <c r="AP1494" s="38"/>
      <c r="AQ1494" s="38"/>
      <c r="AR1494" s="38"/>
      <c r="AS1494" s="38"/>
      <c r="AT1494" s="38"/>
      <c r="AU1494" s="38"/>
      <c r="AV1494" s="38"/>
      <c r="AW1494" s="38"/>
      <c r="AX1494" s="38"/>
      <c r="AY1494" s="38"/>
      <c r="AZ1494" s="38"/>
      <c r="BA1494" s="38"/>
      <c r="BB1494" s="38"/>
      <c r="BC1494" s="38"/>
      <c r="BD1494" s="38"/>
      <c r="BE1494" s="38"/>
      <c r="BF1494" s="38"/>
      <c r="BG1494" s="38"/>
      <c r="BH1494" s="38"/>
      <c r="BI1494" s="38"/>
      <c r="BJ1494" s="38"/>
      <c r="BK1494" s="38"/>
      <c r="BL1494" s="38"/>
      <c r="BM1494" s="38"/>
      <c r="BN1494" s="38"/>
      <c r="BO1494" s="38"/>
      <c r="BP1494" s="38"/>
      <c r="BQ1494" s="38"/>
    </row>
    <row r="1495">
      <c r="A1495" s="58"/>
      <c r="B1495" s="341"/>
      <c r="C1495" s="60"/>
      <c r="D1495" s="60"/>
      <c r="E1495" s="58"/>
      <c r="F1495" s="58"/>
      <c r="G1495" s="58"/>
      <c r="H1495" s="33" t="str">
        <f t="shared" si="33"/>
        <v/>
      </c>
      <c r="I1495" s="58"/>
      <c r="J1495" s="58"/>
      <c r="K1495" s="58"/>
      <c r="L1495" s="58"/>
      <c r="M1495" s="80"/>
      <c r="N1495" s="77"/>
      <c r="O1495" s="62"/>
      <c r="P1495" s="62"/>
      <c r="Q1495" s="62"/>
      <c r="R1495" s="62"/>
      <c r="S1495" s="37" t="str">
        <f>IFERROR(__xludf.DUMMYFUNCTION("if(not(iserror(index(split(C1495, "" ""),2))), index(split(C1495, "" ""),1),"""")"),"")</f>
        <v/>
      </c>
      <c r="T1495" s="315" t="str">
        <f>IFERROR(__xludf.DUMMYFUNCTION("if(S1495="""",C1495,if(not(iserror(index(split(C1495, "" ""),3))), index(split(C1495, "" ""),3),index(split(C1495, "" ""),2)))"),"")</f>
        <v/>
      </c>
      <c r="U1495" s="38" t="b">
        <f t="shared" si="34"/>
        <v>0</v>
      </c>
      <c r="V1495" s="38"/>
      <c r="W1495" s="40"/>
      <c r="X1495" s="40"/>
      <c r="Y1495" s="38"/>
      <c r="Z1495" s="38"/>
      <c r="AA1495" s="38"/>
      <c r="AB1495" s="38"/>
      <c r="AC1495" s="38"/>
      <c r="AD1495" s="38"/>
      <c r="AE1495" s="38"/>
      <c r="AF1495" s="38"/>
      <c r="AG1495" s="38"/>
      <c r="AH1495" s="38"/>
      <c r="AI1495" s="38"/>
      <c r="AJ1495" s="38"/>
      <c r="AK1495" s="38"/>
      <c r="AL1495" s="38"/>
      <c r="AM1495" s="38"/>
      <c r="AN1495" s="38"/>
      <c r="AO1495" s="38"/>
      <c r="AP1495" s="38"/>
      <c r="AQ1495" s="38"/>
      <c r="AR1495" s="38"/>
      <c r="AS1495" s="38"/>
      <c r="AT1495" s="38"/>
      <c r="AU1495" s="38"/>
      <c r="AV1495" s="38"/>
      <c r="AW1495" s="38"/>
      <c r="AX1495" s="38"/>
      <c r="AY1495" s="38"/>
      <c r="AZ1495" s="38"/>
      <c r="BA1495" s="38"/>
      <c r="BB1495" s="38"/>
      <c r="BC1495" s="38"/>
      <c r="BD1495" s="38"/>
      <c r="BE1495" s="38"/>
      <c r="BF1495" s="38"/>
      <c r="BG1495" s="38"/>
      <c r="BH1495" s="38"/>
      <c r="BI1495" s="38"/>
      <c r="BJ1495" s="38"/>
      <c r="BK1495" s="38"/>
      <c r="BL1495" s="38"/>
      <c r="BM1495" s="38"/>
      <c r="BN1495" s="38"/>
      <c r="BO1495" s="38"/>
      <c r="BP1495" s="38"/>
      <c r="BQ1495" s="38"/>
    </row>
    <row r="1496">
      <c r="A1496" s="58"/>
      <c r="B1496" s="341"/>
      <c r="C1496" s="60"/>
      <c r="D1496" s="60"/>
      <c r="E1496" s="58"/>
      <c r="F1496" s="58"/>
      <c r="G1496" s="58"/>
      <c r="H1496" s="33" t="str">
        <f t="shared" si="33"/>
        <v/>
      </c>
      <c r="I1496" s="58"/>
      <c r="J1496" s="58"/>
      <c r="K1496" s="58"/>
      <c r="L1496" s="58"/>
      <c r="M1496" s="80"/>
      <c r="N1496" s="77"/>
      <c r="O1496" s="62"/>
      <c r="P1496" s="62"/>
      <c r="Q1496" s="62"/>
      <c r="R1496" s="62"/>
      <c r="S1496" s="37" t="str">
        <f>IFERROR(__xludf.DUMMYFUNCTION("if(not(iserror(index(split(C1496, "" ""),2))), index(split(C1496, "" ""),1),"""")"),"")</f>
        <v/>
      </c>
      <c r="T1496" s="315" t="str">
        <f>IFERROR(__xludf.DUMMYFUNCTION("if(S1496="""",C1496,if(not(iserror(index(split(C1496, "" ""),3))), index(split(C1496, "" ""),3),index(split(C1496, "" ""),2)))"),"")</f>
        <v/>
      </c>
      <c r="U1496" s="38" t="b">
        <f t="shared" si="34"/>
        <v>0</v>
      </c>
      <c r="V1496" s="38"/>
      <c r="W1496" s="40"/>
      <c r="X1496" s="40"/>
      <c r="Y1496" s="38"/>
      <c r="Z1496" s="38"/>
      <c r="AA1496" s="38"/>
      <c r="AB1496" s="38"/>
      <c r="AC1496" s="38"/>
      <c r="AD1496" s="38"/>
      <c r="AE1496" s="38"/>
      <c r="AF1496" s="38"/>
      <c r="AG1496" s="38"/>
      <c r="AH1496" s="38"/>
      <c r="AI1496" s="38"/>
      <c r="AJ1496" s="38"/>
      <c r="AK1496" s="38"/>
      <c r="AL1496" s="38"/>
      <c r="AM1496" s="38"/>
      <c r="AN1496" s="38"/>
      <c r="AO1496" s="38"/>
      <c r="AP1496" s="38"/>
      <c r="AQ1496" s="38"/>
      <c r="AR1496" s="38"/>
      <c r="AS1496" s="38"/>
      <c r="AT1496" s="38"/>
      <c r="AU1496" s="38"/>
      <c r="AV1496" s="38"/>
      <c r="AW1496" s="38"/>
      <c r="AX1496" s="38"/>
      <c r="AY1496" s="38"/>
      <c r="AZ1496" s="38"/>
      <c r="BA1496" s="38"/>
      <c r="BB1496" s="38"/>
      <c r="BC1496" s="38"/>
      <c r="BD1496" s="38"/>
      <c r="BE1496" s="38"/>
      <c r="BF1496" s="38"/>
      <c r="BG1496" s="38"/>
      <c r="BH1496" s="38"/>
      <c r="BI1496" s="38"/>
      <c r="BJ1496" s="38"/>
      <c r="BK1496" s="38"/>
      <c r="BL1496" s="38"/>
      <c r="BM1496" s="38"/>
      <c r="BN1496" s="38"/>
      <c r="BO1496" s="38"/>
      <c r="BP1496" s="38"/>
      <c r="BQ1496" s="38"/>
    </row>
    <row r="1497">
      <c r="A1497" s="58"/>
      <c r="B1497" s="341"/>
      <c r="C1497" s="60"/>
      <c r="D1497" s="60"/>
      <c r="E1497" s="58"/>
      <c r="F1497" s="58"/>
      <c r="G1497" s="58"/>
      <c r="H1497" s="33" t="str">
        <f t="shared" si="33"/>
        <v/>
      </c>
      <c r="I1497" s="58"/>
      <c r="J1497" s="58"/>
      <c r="K1497" s="58"/>
      <c r="L1497" s="58"/>
      <c r="M1497" s="80"/>
      <c r="N1497" s="77"/>
      <c r="O1497" s="62"/>
      <c r="P1497" s="62"/>
      <c r="Q1497" s="62"/>
      <c r="R1497" s="62"/>
      <c r="S1497" s="37" t="str">
        <f>IFERROR(__xludf.DUMMYFUNCTION("if(not(iserror(index(split(C1497, "" ""),2))), index(split(C1497, "" ""),1),"""")"),"")</f>
        <v/>
      </c>
      <c r="T1497" s="315" t="str">
        <f>IFERROR(__xludf.DUMMYFUNCTION("if(S1497="""",C1497,if(not(iserror(index(split(C1497, "" ""),3))), index(split(C1497, "" ""),3),index(split(C1497, "" ""),2)))"),"")</f>
        <v/>
      </c>
      <c r="U1497" s="38" t="b">
        <f t="shared" si="34"/>
        <v>0</v>
      </c>
      <c r="V1497" s="38"/>
      <c r="W1497" s="40"/>
      <c r="X1497" s="40"/>
      <c r="Y1497" s="38"/>
      <c r="Z1497" s="38"/>
      <c r="AA1497" s="38"/>
      <c r="AB1497" s="38"/>
      <c r="AC1497" s="38"/>
      <c r="AD1497" s="38"/>
      <c r="AE1497" s="38"/>
      <c r="AF1497" s="38"/>
      <c r="AG1497" s="38"/>
      <c r="AH1497" s="38"/>
      <c r="AI1497" s="38"/>
      <c r="AJ1497" s="38"/>
      <c r="AK1497" s="38"/>
      <c r="AL1497" s="38"/>
      <c r="AM1497" s="38"/>
      <c r="AN1497" s="38"/>
      <c r="AO1497" s="38"/>
      <c r="AP1497" s="38"/>
      <c r="AQ1497" s="38"/>
      <c r="AR1497" s="38"/>
      <c r="AS1497" s="38"/>
      <c r="AT1497" s="38"/>
      <c r="AU1497" s="38"/>
      <c r="AV1497" s="38"/>
      <c r="AW1497" s="38"/>
      <c r="AX1497" s="38"/>
      <c r="AY1497" s="38"/>
      <c r="AZ1497" s="38"/>
      <c r="BA1497" s="38"/>
      <c r="BB1497" s="38"/>
      <c r="BC1497" s="38"/>
      <c r="BD1497" s="38"/>
      <c r="BE1497" s="38"/>
      <c r="BF1497" s="38"/>
      <c r="BG1497" s="38"/>
      <c r="BH1497" s="38"/>
      <c r="BI1497" s="38"/>
      <c r="BJ1497" s="38"/>
      <c r="BK1497" s="38"/>
      <c r="BL1497" s="38"/>
      <c r="BM1497" s="38"/>
      <c r="BN1497" s="38"/>
      <c r="BO1497" s="38"/>
      <c r="BP1497" s="38"/>
      <c r="BQ1497" s="38"/>
    </row>
    <row r="1498">
      <c r="A1498" s="58"/>
      <c r="B1498" s="341"/>
      <c r="C1498" s="60"/>
      <c r="D1498" s="60"/>
      <c r="E1498" s="58"/>
      <c r="F1498" s="58"/>
      <c r="G1498" s="58"/>
      <c r="H1498" s="33" t="str">
        <f t="shared" si="33"/>
        <v/>
      </c>
      <c r="I1498" s="58"/>
      <c r="J1498" s="58"/>
      <c r="K1498" s="58"/>
      <c r="L1498" s="58"/>
      <c r="M1498" s="80"/>
      <c r="N1498" s="77"/>
      <c r="O1498" s="62"/>
      <c r="P1498" s="62"/>
      <c r="Q1498" s="62"/>
      <c r="R1498" s="62"/>
      <c r="S1498" s="37" t="str">
        <f>IFERROR(__xludf.DUMMYFUNCTION("if(not(iserror(index(split(C1498, "" ""),2))), index(split(C1498, "" ""),1),"""")"),"")</f>
        <v/>
      </c>
      <c r="T1498" s="315" t="str">
        <f>IFERROR(__xludf.DUMMYFUNCTION("if(S1498="""",C1498,if(not(iserror(index(split(C1498, "" ""),3))), index(split(C1498, "" ""),3),index(split(C1498, "" ""),2)))"),"")</f>
        <v/>
      </c>
      <c r="U1498" s="38" t="b">
        <f t="shared" si="34"/>
        <v>0</v>
      </c>
      <c r="V1498" s="38"/>
      <c r="W1498" s="40"/>
      <c r="X1498" s="40"/>
      <c r="Y1498" s="38"/>
      <c r="Z1498" s="38"/>
      <c r="AA1498" s="38"/>
      <c r="AB1498" s="38"/>
      <c r="AC1498" s="38"/>
      <c r="AD1498" s="38"/>
      <c r="AE1498" s="38"/>
      <c r="AF1498" s="38"/>
      <c r="AG1498" s="38"/>
      <c r="AH1498" s="38"/>
      <c r="AI1498" s="38"/>
      <c r="AJ1498" s="38"/>
      <c r="AK1498" s="38"/>
      <c r="AL1498" s="38"/>
      <c r="AM1498" s="38"/>
      <c r="AN1498" s="38"/>
      <c r="AO1498" s="38"/>
      <c r="AP1498" s="38"/>
      <c r="AQ1498" s="38"/>
      <c r="AR1498" s="38"/>
      <c r="AS1498" s="38"/>
      <c r="AT1498" s="38"/>
      <c r="AU1498" s="38"/>
      <c r="AV1498" s="38"/>
      <c r="AW1498" s="38"/>
      <c r="AX1498" s="38"/>
      <c r="AY1498" s="38"/>
      <c r="AZ1498" s="38"/>
      <c r="BA1498" s="38"/>
      <c r="BB1498" s="38"/>
      <c r="BC1498" s="38"/>
      <c r="BD1498" s="38"/>
      <c r="BE1498" s="38"/>
      <c r="BF1498" s="38"/>
      <c r="BG1498" s="38"/>
      <c r="BH1498" s="38"/>
      <c r="BI1498" s="38"/>
      <c r="BJ1498" s="38"/>
      <c r="BK1498" s="38"/>
      <c r="BL1498" s="38"/>
      <c r="BM1498" s="38"/>
      <c r="BN1498" s="38"/>
      <c r="BO1498" s="38"/>
      <c r="BP1498" s="38"/>
      <c r="BQ1498" s="38"/>
    </row>
    <row r="1499">
      <c r="A1499" s="58"/>
      <c r="B1499" s="341"/>
      <c r="C1499" s="60"/>
      <c r="D1499" s="60"/>
      <c r="E1499" s="58"/>
      <c r="F1499" s="58"/>
      <c r="G1499" s="58"/>
      <c r="H1499" s="33" t="str">
        <f t="shared" si="33"/>
        <v/>
      </c>
      <c r="I1499" s="58"/>
      <c r="J1499" s="58"/>
      <c r="K1499" s="58"/>
      <c r="L1499" s="58"/>
      <c r="M1499" s="80"/>
      <c r="N1499" s="77"/>
      <c r="O1499" s="62"/>
      <c r="P1499" s="62"/>
      <c r="Q1499" s="62"/>
      <c r="R1499" s="62"/>
      <c r="S1499" s="37" t="str">
        <f>IFERROR(__xludf.DUMMYFUNCTION("if(not(iserror(index(split(C1499, "" ""),2))), index(split(C1499, "" ""),1),"""")"),"")</f>
        <v/>
      </c>
      <c r="T1499" s="315" t="str">
        <f>IFERROR(__xludf.DUMMYFUNCTION("if(S1499="""",C1499,if(not(iserror(index(split(C1499, "" ""),3))), index(split(C1499, "" ""),3),index(split(C1499, "" ""),2)))"),"")</f>
        <v/>
      </c>
      <c r="U1499" s="38" t="b">
        <f t="shared" si="34"/>
        <v>0</v>
      </c>
      <c r="V1499" s="38"/>
      <c r="W1499" s="40"/>
      <c r="X1499" s="40"/>
      <c r="Y1499" s="38"/>
      <c r="Z1499" s="38"/>
      <c r="AA1499" s="38"/>
      <c r="AB1499" s="38"/>
      <c r="AC1499" s="38"/>
      <c r="AD1499" s="38"/>
      <c r="AE1499" s="38"/>
      <c r="AF1499" s="38"/>
      <c r="AG1499" s="38"/>
      <c r="AH1499" s="38"/>
      <c r="AI1499" s="38"/>
      <c r="AJ1499" s="38"/>
      <c r="AK1499" s="38"/>
      <c r="AL1499" s="38"/>
      <c r="AM1499" s="38"/>
      <c r="AN1499" s="38"/>
      <c r="AO1499" s="38"/>
      <c r="AP1499" s="38"/>
      <c r="AQ1499" s="38"/>
      <c r="AR1499" s="38"/>
      <c r="AS1499" s="38"/>
      <c r="AT1499" s="38"/>
      <c r="AU1499" s="38"/>
      <c r="AV1499" s="38"/>
      <c r="AW1499" s="38"/>
      <c r="AX1499" s="38"/>
      <c r="AY1499" s="38"/>
      <c r="AZ1499" s="38"/>
      <c r="BA1499" s="38"/>
      <c r="BB1499" s="38"/>
      <c r="BC1499" s="38"/>
      <c r="BD1499" s="38"/>
      <c r="BE1499" s="38"/>
      <c r="BF1499" s="38"/>
      <c r="BG1499" s="38"/>
      <c r="BH1499" s="38"/>
      <c r="BI1499" s="38"/>
      <c r="BJ1499" s="38"/>
      <c r="BK1499" s="38"/>
      <c r="BL1499" s="38"/>
      <c r="BM1499" s="38"/>
      <c r="BN1499" s="38"/>
      <c r="BO1499" s="38"/>
      <c r="BP1499" s="38"/>
      <c r="BQ1499" s="38"/>
    </row>
    <row r="1500">
      <c r="A1500" s="58"/>
      <c r="B1500" s="341"/>
      <c r="C1500" s="60"/>
      <c r="D1500" s="60"/>
      <c r="E1500" s="58"/>
      <c r="F1500" s="58"/>
      <c r="G1500" s="58"/>
      <c r="H1500" s="33" t="str">
        <f t="shared" si="33"/>
        <v/>
      </c>
      <c r="I1500" s="58"/>
      <c r="J1500" s="58"/>
      <c r="K1500" s="58"/>
      <c r="L1500" s="58"/>
      <c r="M1500" s="80"/>
      <c r="N1500" s="77"/>
      <c r="O1500" s="62"/>
      <c r="P1500" s="62"/>
      <c r="Q1500" s="62"/>
      <c r="R1500" s="62"/>
      <c r="S1500" s="37" t="str">
        <f>IFERROR(__xludf.DUMMYFUNCTION("if(not(iserror(index(split(C1500, "" ""),2))), index(split(C1500, "" ""),1),"""")"),"")</f>
        <v/>
      </c>
      <c r="T1500" s="315" t="str">
        <f>IFERROR(__xludf.DUMMYFUNCTION("if(S1500="""",C1500,if(not(iserror(index(split(C1500, "" ""),3))), index(split(C1500, "" ""),3),index(split(C1500, "" ""),2)))"),"")</f>
        <v/>
      </c>
      <c r="U1500" s="38" t="b">
        <f t="shared" si="34"/>
        <v>0</v>
      </c>
      <c r="V1500" s="38"/>
      <c r="W1500" s="40"/>
      <c r="X1500" s="40"/>
      <c r="Y1500" s="38"/>
      <c r="Z1500" s="38"/>
      <c r="AA1500" s="38"/>
      <c r="AB1500" s="38"/>
      <c r="AC1500" s="38"/>
      <c r="AD1500" s="38"/>
      <c r="AE1500" s="38"/>
      <c r="AF1500" s="38"/>
      <c r="AG1500" s="38"/>
      <c r="AH1500" s="38"/>
      <c r="AI1500" s="38"/>
      <c r="AJ1500" s="38"/>
      <c r="AK1500" s="38"/>
      <c r="AL1500" s="38"/>
      <c r="AM1500" s="38"/>
      <c r="AN1500" s="38"/>
      <c r="AO1500" s="38"/>
      <c r="AP1500" s="38"/>
      <c r="AQ1500" s="38"/>
      <c r="AR1500" s="38"/>
      <c r="AS1500" s="38"/>
      <c r="AT1500" s="38"/>
      <c r="AU1500" s="38"/>
      <c r="AV1500" s="38"/>
      <c r="AW1500" s="38"/>
      <c r="AX1500" s="38"/>
      <c r="AY1500" s="38"/>
      <c r="AZ1500" s="38"/>
      <c r="BA1500" s="38"/>
      <c r="BB1500" s="38"/>
      <c r="BC1500" s="38"/>
      <c r="BD1500" s="38"/>
      <c r="BE1500" s="38"/>
      <c r="BF1500" s="38"/>
      <c r="BG1500" s="38"/>
      <c r="BH1500" s="38"/>
      <c r="BI1500" s="38"/>
      <c r="BJ1500" s="38"/>
      <c r="BK1500" s="38"/>
      <c r="BL1500" s="38"/>
      <c r="BM1500" s="38"/>
      <c r="BN1500" s="38"/>
      <c r="BO1500" s="38"/>
      <c r="BP1500" s="38"/>
      <c r="BQ1500" s="38"/>
    </row>
    <row r="1501">
      <c r="A1501" s="58"/>
      <c r="B1501" s="341"/>
      <c r="C1501" s="60"/>
      <c r="D1501" s="60"/>
      <c r="E1501" s="58"/>
      <c r="F1501" s="58"/>
      <c r="G1501" s="58"/>
      <c r="H1501" s="33" t="str">
        <f t="shared" si="33"/>
        <v/>
      </c>
      <c r="I1501" s="58"/>
      <c r="J1501" s="58"/>
      <c r="K1501" s="58"/>
      <c r="L1501" s="58"/>
      <c r="M1501" s="80"/>
      <c r="N1501" s="77"/>
      <c r="O1501" s="62"/>
      <c r="P1501" s="58"/>
      <c r="Q1501" s="84"/>
      <c r="R1501" s="62"/>
      <c r="S1501" s="37" t="str">
        <f>IFERROR(__xludf.DUMMYFUNCTION("if(not(iserror(index(split(C1501, "" ""),2))), index(split(C1501, "" ""),1),"""")"),"")</f>
        <v/>
      </c>
      <c r="T1501" s="315" t="str">
        <f>IFERROR(__xludf.DUMMYFUNCTION("if(S1501="""",C1501,if(not(iserror(index(split(C1501, "" ""),3))), index(split(C1501, "" ""),3),index(split(C1501, "" ""),2)))"),"")</f>
        <v/>
      </c>
      <c r="U1501" s="38" t="b">
        <f t="shared" si="34"/>
        <v>0</v>
      </c>
      <c r="V1501" s="38"/>
      <c r="W1501" s="40"/>
      <c r="X1501" s="40"/>
      <c r="Y1501" s="38"/>
      <c r="Z1501" s="38"/>
      <c r="AA1501" s="38"/>
      <c r="AB1501" s="38"/>
      <c r="AC1501" s="38"/>
      <c r="AD1501" s="38"/>
      <c r="AE1501" s="38"/>
      <c r="AF1501" s="38"/>
      <c r="AG1501" s="38"/>
      <c r="AH1501" s="38"/>
      <c r="AI1501" s="38"/>
      <c r="AJ1501" s="38"/>
      <c r="AK1501" s="38"/>
      <c r="AL1501" s="38"/>
      <c r="AM1501" s="38"/>
      <c r="AN1501" s="38"/>
      <c r="AO1501" s="38"/>
      <c r="AP1501" s="38"/>
      <c r="AQ1501" s="38"/>
      <c r="AR1501" s="38"/>
      <c r="AS1501" s="38"/>
      <c r="AT1501" s="38"/>
      <c r="AU1501" s="38"/>
      <c r="AV1501" s="38"/>
      <c r="AW1501" s="38"/>
      <c r="AX1501" s="38"/>
      <c r="AY1501" s="38"/>
      <c r="AZ1501" s="38"/>
      <c r="BA1501" s="38"/>
      <c r="BB1501" s="38"/>
      <c r="BC1501" s="38"/>
      <c r="BD1501" s="38"/>
      <c r="BE1501" s="38"/>
      <c r="BF1501" s="38"/>
      <c r="BG1501" s="38"/>
      <c r="BH1501" s="38"/>
      <c r="BI1501" s="38"/>
      <c r="BJ1501" s="38"/>
      <c r="BK1501" s="38"/>
      <c r="BL1501" s="38"/>
      <c r="BM1501" s="38"/>
      <c r="BN1501" s="38"/>
      <c r="BO1501" s="38"/>
      <c r="BP1501" s="38"/>
      <c r="BQ1501" s="38"/>
    </row>
    <row r="1502">
      <c r="A1502" s="58"/>
      <c r="B1502" s="341"/>
      <c r="C1502" s="60"/>
      <c r="D1502" s="60"/>
      <c r="E1502" s="58"/>
      <c r="F1502" s="58"/>
      <c r="G1502" s="58"/>
      <c r="H1502" s="33" t="str">
        <f t="shared" si="33"/>
        <v/>
      </c>
      <c r="I1502" s="58"/>
      <c r="J1502" s="58"/>
      <c r="K1502" s="58"/>
      <c r="L1502" s="58"/>
      <c r="M1502" s="80"/>
      <c r="N1502" s="77"/>
      <c r="O1502" s="62"/>
      <c r="P1502" s="58"/>
      <c r="Q1502" s="84"/>
      <c r="R1502" s="62"/>
      <c r="S1502" s="37" t="str">
        <f>IFERROR(__xludf.DUMMYFUNCTION("if(not(iserror(index(split(C1502, "" ""),2))), index(split(C1502, "" ""),1),"""")"),"")</f>
        <v/>
      </c>
      <c r="T1502" s="315" t="str">
        <f>IFERROR(__xludf.DUMMYFUNCTION("if(S1502="""",C1502,if(not(iserror(index(split(C1502, "" ""),3))), index(split(C1502, "" ""),3),index(split(C1502, "" ""),2)))"),"")</f>
        <v/>
      </c>
      <c r="U1502" s="38" t="b">
        <f t="shared" si="34"/>
        <v>0</v>
      </c>
      <c r="V1502" s="38"/>
      <c r="W1502" s="40"/>
      <c r="X1502" s="40"/>
      <c r="Y1502" s="38"/>
      <c r="Z1502" s="38"/>
      <c r="AA1502" s="38"/>
      <c r="AB1502" s="38"/>
      <c r="AC1502" s="38"/>
      <c r="AD1502" s="38"/>
      <c r="AE1502" s="38"/>
      <c r="AF1502" s="38"/>
      <c r="AG1502" s="38"/>
      <c r="AH1502" s="38"/>
      <c r="AI1502" s="38"/>
      <c r="AJ1502" s="38"/>
      <c r="AK1502" s="38"/>
      <c r="AL1502" s="38"/>
      <c r="AM1502" s="38"/>
      <c r="AN1502" s="38"/>
      <c r="AO1502" s="38"/>
      <c r="AP1502" s="38"/>
      <c r="AQ1502" s="38"/>
      <c r="AR1502" s="38"/>
      <c r="AS1502" s="38"/>
      <c r="AT1502" s="38"/>
      <c r="AU1502" s="38"/>
      <c r="AV1502" s="38"/>
      <c r="AW1502" s="38"/>
      <c r="AX1502" s="38"/>
      <c r="AY1502" s="38"/>
      <c r="AZ1502" s="38"/>
      <c r="BA1502" s="38"/>
      <c r="BB1502" s="38"/>
      <c r="BC1502" s="38"/>
      <c r="BD1502" s="38"/>
      <c r="BE1502" s="38"/>
      <c r="BF1502" s="38"/>
      <c r="BG1502" s="38"/>
      <c r="BH1502" s="38"/>
      <c r="BI1502" s="38"/>
      <c r="BJ1502" s="38"/>
      <c r="BK1502" s="38"/>
      <c r="BL1502" s="38"/>
      <c r="BM1502" s="38"/>
      <c r="BN1502" s="38"/>
      <c r="BO1502" s="38"/>
      <c r="BP1502" s="38"/>
      <c r="BQ1502" s="38"/>
    </row>
    <row r="1503">
      <c r="A1503" s="58"/>
      <c r="B1503" s="341"/>
      <c r="C1503" s="60"/>
      <c r="D1503" s="60"/>
      <c r="E1503" s="58"/>
      <c r="F1503" s="58"/>
      <c r="G1503" s="58"/>
      <c r="H1503" s="33" t="str">
        <f t="shared" si="33"/>
        <v/>
      </c>
      <c r="I1503" s="58"/>
      <c r="J1503" s="58"/>
      <c r="K1503" s="58"/>
      <c r="L1503" s="58"/>
      <c r="M1503" s="80"/>
      <c r="N1503" s="77"/>
      <c r="O1503" s="62"/>
      <c r="P1503" s="62"/>
      <c r="Q1503" s="62"/>
      <c r="R1503" s="62"/>
      <c r="S1503" s="37" t="str">
        <f>IFERROR(__xludf.DUMMYFUNCTION("if(not(iserror(index(split(C1503, "" ""),2))), index(split(C1503, "" ""),1),"""")"),"")</f>
        <v/>
      </c>
      <c r="T1503" s="315" t="str">
        <f>IFERROR(__xludf.DUMMYFUNCTION("if(S1503="""",C1503,if(not(iserror(index(split(C1503, "" ""),3))), index(split(C1503, "" ""),3),index(split(C1503, "" ""),2)))"),"")</f>
        <v/>
      </c>
      <c r="U1503" s="38" t="b">
        <f t="shared" si="34"/>
        <v>0</v>
      </c>
      <c r="V1503" s="38"/>
      <c r="W1503" s="40"/>
      <c r="X1503" s="40"/>
      <c r="Y1503" s="38"/>
      <c r="Z1503" s="38"/>
      <c r="AA1503" s="38"/>
      <c r="AB1503" s="38"/>
      <c r="AC1503" s="38"/>
      <c r="AD1503" s="38"/>
      <c r="AE1503" s="38"/>
      <c r="AF1503" s="38"/>
      <c r="AG1503" s="38"/>
      <c r="AH1503" s="38"/>
      <c r="AI1503" s="38"/>
      <c r="AJ1503" s="38"/>
      <c r="AK1503" s="38"/>
      <c r="AL1503" s="38"/>
      <c r="AM1503" s="38"/>
      <c r="AN1503" s="38"/>
      <c r="AO1503" s="38"/>
      <c r="AP1503" s="38"/>
      <c r="AQ1503" s="38"/>
      <c r="AR1503" s="38"/>
      <c r="AS1503" s="38"/>
      <c r="AT1503" s="38"/>
      <c r="AU1503" s="38"/>
      <c r="AV1503" s="38"/>
      <c r="AW1503" s="38"/>
      <c r="AX1503" s="38"/>
      <c r="AY1503" s="38"/>
      <c r="AZ1503" s="38"/>
      <c r="BA1503" s="38"/>
      <c r="BB1503" s="38"/>
      <c r="BC1503" s="38"/>
      <c r="BD1503" s="38"/>
      <c r="BE1503" s="38"/>
      <c r="BF1503" s="38"/>
      <c r="BG1503" s="38"/>
      <c r="BH1503" s="38"/>
      <c r="BI1503" s="38"/>
      <c r="BJ1503" s="38"/>
      <c r="BK1503" s="38"/>
      <c r="BL1503" s="38"/>
      <c r="BM1503" s="38"/>
      <c r="BN1503" s="38"/>
      <c r="BO1503" s="38"/>
      <c r="BP1503" s="38"/>
      <c r="BQ1503" s="38"/>
    </row>
    <row r="1504">
      <c r="A1504" s="58"/>
      <c r="B1504" s="341"/>
      <c r="C1504" s="60"/>
      <c r="D1504" s="60"/>
      <c r="E1504" s="58"/>
      <c r="F1504" s="58"/>
      <c r="G1504" s="58"/>
      <c r="H1504" s="33" t="str">
        <f t="shared" si="33"/>
        <v/>
      </c>
      <c r="I1504" s="58"/>
      <c r="J1504" s="58"/>
      <c r="K1504" s="58"/>
      <c r="L1504" s="58"/>
      <c r="M1504" s="80"/>
      <c r="N1504" s="77"/>
      <c r="O1504" s="62"/>
      <c r="P1504" s="58"/>
      <c r="Q1504" s="84"/>
      <c r="R1504" s="62"/>
      <c r="S1504" s="37" t="str">
        <f>IFERROR(__xludf.DUMMYFUNCTION("if(not(iserror(index(split(C1504, "" ""),2))), index(split(C1504, "" ""),1),"""")"),"")</f>
        <v/>
      </c>
      <c r="T1504" s="315" t="str">
        <f>IFERROR(__xludf.DUMMYFUNCTION("if(S1504="""",C1504,if(not(iserror(index(split(C1504, "" ""),3))), index(split(C1504, "" ""),3),index(split(C1504, "" ""),2)))"),"")</f>
        <v/>
      </c>
      <c r="U1504" s="38" t="b">
        <f t="shared" si="34"/>
        <v>0</v>
      </c>
      <c r="V1504" s="38"/>
      <c r="W1504" s="40"/>
      <c r="X1504" s="40"/>
      <c r="Y1504" s="38"/>
      <c r="Z1504" s="38"/>
      <c r="AA1504" s="38"/>
      <c r="AB1504" s="38"/>
      <c r="AC1504" s="38"/>
      <c r="AD1504" s="38"/>
      <c r="AE1504" s="38"/>
      <c r="AF1504" s="38"/>
      <c r="AG1504" s="38"/>
      <c r="AH1504" s="38"/>
      <c r="AI1504" s="38"/>
      <c r="AJ1504" s="38"/>
      <c r="AK1504" s="38"/>
      <c r="AL1504" s="38"/>
      <c r="AM1504" s="38"/>
      <c r="AN1504" s="38"/>
      <c r="AO1504" s="38"/>
      <c r="AP1504" s="38"/>
      <c r="AQ1504" s="38"/>
      <c r="AR1504" s="38"/>
      <c r="AS1504" s="38"/>
      <c r="AT1504" s="38"/>
      <c r="AU1504" s="38"/>
      <c r="AV1504" s="38"/>
      <c r="AW1504" s="38"/>
      <c r="AX1504" s="38"/>
      <c r="AY1504" s="38"/>
      <c r="AZ1504" s="38"/>
      <c r="BA1504" s="38"/>
      <c r="BB1504" s="38"/>
      <c r="BC1504" s="38"/>
      <c r="BD1504" s="38"/>
      <c r="BE1504" s="38"/>
      <c r="BF1504" s="38"/>
      <c r="BG1504" s="38"/>
      <c r="BH1504" s="38"/>
      <c r="BI1504" s="38"/>
      <c r="BJ1504" s="38"/>
      <c r="BK1504" s="38"/>
      <c r="BL1504" s="38"/>
      <c r="BM1504" s="38"/>
      <c r="BN1504" s="38"/>
      <c r="BO1504" s="38"/>
      <c r="BP1504" s="38"/>
      <c r="BQ1504" s="38"/>
    </row>
    <row r="1505">
      <c r="A1505" s="58"/>
      <c r="B1505" s="341"/>
      <c r="C1505" s="60"/>
      <c r="D1505" s="60"/>
      <c r="E1505" s="58"/>
      <c r="F1505" s="58"/>
      <c r="G1505" s="58"/>
      <c r="H1505" s="33" t="str">
        <f t="shared" si="33"/>
        <v/>
      </c>
      <c r="I1505" s="58"/>
      <c r="J1505" s="58"/>
      <c r="K1505" s="58"/>
      <c r="L1505" s="58"/>
      <c r="M1505" s="80"/>
      <c r="N1505" s="77"/>
      <c r="O1505" s="58"/>
      <c r="P1505" s="58"/>
      <c r="Q1505" s="84"/>
      <c r="R1505" s="62"/>
      <c r="S1505" s="37" t="str">
        <f>IFERROR(__xludf.DUMMYFUNCTION("if(not(iserror(index(split(C1505, "" ""),2))), index(split(C1505, "" ""),1),"""")"),"")</f>
        <v/>
      </c>
      <c r="T1505" s="315" t="str">
        <f>IFERROR(__xludf.DUMMYFUNCTION("if(S1505="""",C1505,if(not(iserror(index(split(C1505, "" ""),3))), index(split(C1505, "" ""),3),index(split(C1505, "" ""),2)))"),"")</f>
        <v/>
      </c>
      <c r="U1505" s="38" t="b">
        <f t="shared" si="34"/>
        <v>0</v>
      </c>
      <c r="V1505" s="38"/>
      <c r="W1505" s="40"/>
      <c r="X1505" s="40"/>
      <c r="Y1505" s="38"/>
      <c r="Z1505" s="38"/>
      <c r="AA1505" s="38"/>
      <c r="AB1505" s="38"/>
      <c r="AC1505" s="38"/>
      <c r="AD1505" s="38"/>
      <c r="AE1505" s="38"/>
      <c r="AF1505" s="38"/>
      <c r="AG1505" s="38"/>
      <c r="AH1505" s="38"/>
      <c r="AI1505" s="38"/>
      <c r="AJ1505" s="38"/>
      <c r="AK1505" s="38"/>
      <c r="AL1505" s="38"/>
      <c r="AM1505" s="38"/>
      <c r="AN1505" s="38"/>
      <c r="AO1505" s="38"/>
      <c r="AP1505" s="38"/>
      <c r="AQ1505" s="38"/>
      <c r="AR1505" s="38"/>
      <c r="AS1505" s="38"/>
      <c r="AT1505" s="38"/>
      <c r="AU1505" s="38"/>
      <c r="AV1505" s="38"/>
      <c r="AW1505" s="38"/>
      <c r="AX1505" s="38"/>
      <c r="AY1505" s="38"/>
      <c r="AZ1505" s="38"/>
      <c r="BA1505" s="38"/>
      <c r="BB1505" s="38"/>
      <c r="BC1505" s="38"/>
      <c r="BD1505" s="38"/>
      <c r="BE1505" s="38"/>
      <c r="BF1505" s="38"/>
      <c r="BG1505" s="38"/>
      <c r="BH1505" s="38"/>
      <c r="BI1505" s="38"/>
      <c r="BJ1505" s="38"/>
      <c r="BK1505" s="38"/>
      <c r="BL1505" s="38"/>
      <c r="BM1505" s="38"/>
      <c r="BN1505" s="38"/>
      <c r="BO1505" s="38"/>
      <c r="BP1505" s="38"/>
      <c r="BQ1505" s="38"/>
    </row>
    <row r="1506">
      <c r="A1506" s="58"/>
      <c r="B1506" s="341"/>
      <c r="C1506" s="60"/>
      <c r="D1506" s="60"/>
      <c r="E1506" s="58"/>
      <c r="F1506" s="58"/>
      <c r="G1506" s="58"/>
      <c r="H1506" s="33" t="str">
        <f t="shared" si="33"/>
        <v/>
      </c>
      <c r="I1506" s="58"/>
      <c r="J1506" s="58"/>
      <c r="K1506" s="58"/>
      <c r="L1506" s="58"/>
      <c r="M1506" s="80"/>
      <c r="N1506" s="77"/>
      <c r="O1506" s="58"/>
      <c r="P1506" s="58"/>
      <c r="Q1506" s="84"/>
      <c r="R1506" s="62"/>
      <c r="S1506" s="37" t="str">
        <f>IFERROR(__xludf.DUMMYFUNCTION("if(not(iserror(index(split(C1506, "" ""),2))), index(split(C1506, "" ""),1),"""")"),"")</f>
        <v/>
      </c>
      <c r="T1506" s="315" t="str">
        <f>IFERROR(__xludf.DUMMYFUNCTION("if(S1506="""",C1506,if(not(iserror(index(split(C1506, "" ""),3))), index(split(C1506, "" ""),3),index(split(C1506, "" ""),2)))"),"")</f>
        <v/>
      </c>
      <c r="U1506" s="38" t="b">
        <f t="shared" si="34"/>
        <v>0</v>
      </c>
      <c r="V1506" s="38"/>
      <c r="W1506" s="40"/>
      <c r="X1506" s="40"/>
      <c r="Y1506" s="38"/>
      <c r="Z1506" s="38"/>
      <c r="AA1506" s="38"/>
      <c r="AB1506" s="38"/>
      <c r="AC1506" s="38"/>
      <c r="AD1506" s="38"/>
      <c r="AE1506" s="38"/>
      <c r="AF1506" s="38"/>
      <c r="AG1506" s="38"/>
      <c r="AH1506" s="38"/>
      <c r="AI1506" s="38"/>
      <c r="AJ1506" s="38"/>
      <c r="AK1506" s="38"/>
      <c r="AL1506" s="38"/>
      <c r="AM1506" s="38"/>
      <c r="AN1506" s="38"/>
      <c r="AO1506" s="38"/>
      <c r="AP1506" s="38"/>
      <c r="AQ1506" s="38"/>
      <c r="AR1506" s="38"/>
      <c r="AS1506" s="38"/>
      <c r="AT1506" s="38"/>
      <c r="AU1506" s="38"/>
      <c r="AV1506" s="38"/>
      <c r="AW1506" s="38"/>
      <c r="AX1506" s="38"/>
      <c r="AY1506" s="38"/>
      <c r="AZ1506" s="38"/>
      <c r="BA1506" s="38"/>
      <c r="BB1506" s="38"/>
      <c r="BC1506" s="38"/>
      <c r="BD1506" s="38"/>
      <c r="BE1506" s="38"/>
      <c r="BF1506" s="38"/>
      <c r="BG1506" s="38"/>
      <c r="BH1506" s="38"/>
      <c r="BI1506" s="38"/>
      <c r="BJ1506" s="38"/>
      <c r="BK1506" s="38"/>
      <c r="BL1506" s="38"/>
      <c r="BM1506" s="38"/>
      <c r="BN1506" s="38"/>
      <c r="BO1506" s="38"/>
      <c r="BP1506" s="38"/>
      <c r="BQ1506" s="38"/>
    </row>
    <row r="1507">
      <c r="A1507" s="58"/>
      <c r="B1507" s="341"/>
      <c r="C1507" s="60"/>
      <c r="D1507" s="60"/>
      <c r="E1507" s="58"/>
      <c r="F1507" s="58"/>
      <c r="G1507" s="58"/>
      <c r="H1507" s="33" t="str">
        <f t="shared" si="33"/>
        <v/>
      </c>
      <c r="I1507" s="58"/>
      <c r="J1507" s="58"/>
      <c r="K1507" s="58"/>
      <c r="L1507" s="58"/>
      <c r="M1507" s="80"/>
      <c r="N1507" s="77"/>
      <c r="O1507" s="58"/>
      <c r="P1507" s="58"/>
      <c r="Q1507" s="84"/>
      <c r="R1507" s="62"/>
      <c r="S1507" s="37" t="str">
        <f>IFERROR(__xludf.DUMMYFUNCTION("if(not(iserror(index(split(C1507, "" ""),2))), index(split(C1507, "" ""),1),"""")"),"")</f>
        <v/>
      </c>
      <c r="T1507" s="315" t="str">
        <f>IFERROR(__xludf.DUMMYFUNCTION("if(S1507="""",C1507,if(not(iserror(index(split(C1507, "" ""),3))), index(split(C1507, "" ""),3),index(split(C1507, "" ""),2)))"),"")</f>
        <v/>
      </c>
      <c r="U1507" s="38" t="b">
        <f t="shared" si="34"/>
        <v>0</v>
      </c>
      <c r="V1507" s="38"/>
      <c r="W1507" s="40"/>
      <c r="X1507" s="40"/>
      <c r="Y1507" s="38"/>
      <c r="Z1507" s="38"/>
      <c r="AA1507" s="38"/>
      <c r="AB1507" s="38"/>
      <c r="AC1507" s="38"/>
      <c r="AD1507" s="38"/>
      <c r="AE1507" s="38"/>
      <c r="AF1507" s="38"/>
      <c r="AG1507" s="38"/>
      <c r="AH1507" s="38"/>
      <c r="AI1507" s="38"/>
      <c r="AJ1507" s="38"/>
      <c r="AK1507" s="38"/>
      <c r="AL1507" s="38"/>
      <c r="AM1507" s="38"/>
      <c r="AN1507" s="38"/>
      <c r="AO1507" s="38"/>
      <c r="AP1507" s="38"/>
      <c r="AQ1507" s="38"/>
      <c r="AR1507" s="38"/>
      <c r="AS1507" s="38"/>
      <c r="AT1507" s="38"/>
      <c r="AU1507" s="38"/>
      <c r="AV1507" s="38"/>
      <c r="AW1507" s="38"/>
      <c r="AX1507" s="38"/>
      <c r="AY1507" s="38"/>
      <c r="AZ1507" s="38"/>
      <c r="BA1507" s="38"/>
      <c r="BB1507" s="38"/>
      <c r="BC1507" s="38"/>
      <c r="BD1507" s="38"/>
      <c r="BE1507" s="38"/>
      <c r="BF1507" s="38"/>
      <c r="BG1507" s="38"/>
      <c r="BH1507" s="38"/>
      <c r="BI1507" s="38"/>
      <c r="BJ1507" s="38"/>
      <c r="BK1507" s="38"/>
      <c r="BL1507" s="38"/>
      <c r="BM1507" s="38"/>
      <c r="BN1507" s="38"/>
      <c r="BO1507" s="38"/>
      <c r="BP1507" s="38"/>
      <c r="BQ1507" s="38"/>
    </row>
    <row r="1508">
      <c r="A1508" s="58"/>
      <c r="B1508" s="341"/>
      <c r="C1508" s="60"/>
      <c r="D1508" s="60"/>
      <c r="E1508" s="58"/>
      <c r="F1508" s="58"/>
      <c r="G1508" s="58"/>
      <c r="H1508" s="33" t="str">
        <f t="shared" si="33"/>
        <v/>
      </c>
      <c r="I1508" s="58"/>
      <c r="J1508" s="58"/>
      <c r="K1508" s="58"/>
      <c r="L1508" s="58"/>
      <c r="M1508" s="80"/>
      <c r="N1508" s="77"/>
      <c r="O1508" s="62"/>
      <c r="P1508" s="58"/>
      <c r="Q1508" s="84"/>
      <c r="R1508" s="62"/>
      <c r="S1508" s="37" t="str">
        <f>IFERROR(__xludf.DUMMYFUNCTION("if(not(iserror(index(split(C1508, "" ""),2))), index(split(C1508, "" ""),1),"""")"),"")</f>
        <v/>
      </c>
      <c r="T1508" s="315" t="str">
        <f>IFERROR(__xludf.DUMMYFUNCTION("if(S1508="""",C1508,if(not(iserror(index(split(C1508, "" ""),3))), index(split(C1508, "" ""),3),index(split(C1508, "" ""),2)))"),"")</f>
        <v/>
      </c>
      <c r="U1508" s="38" t="b">
        <f t="shared" si="34"/>
        <v>0</v>
      </c>
      <c r="V1508" s="38"/>
      <c r="W1508" s="40"/>
      <c r="X1508" s="40"/>
      <c r="Y1508" s="38"/>
      <c r="Z1508" s="38"/>
      <c r="AA1508" s="38"/>
      <c r="AB1508" s="38"/>
      <c r="AC1508" s="38"/>
      <c r="AD1508" s="38"/>
      <c r="AE1508" s="38"/>
      <c r="AF1508" s="38"/>
      <c r="AG1508" s="38"/>
      <c r="AH1508" s="38"/>
      <c r="AI1508" s="38"/>
      <c r="AJ1508" s="38"/>
      <c r="AK1508" s="38"/>
      <c r="AL1508" s="38"/>
      <c r="AM1508" s="38"/>
      <c r="AN1508" s="38"/>
      <c r="AO1508" s="38"/>
      <c r="AP1508" s="38"/>
      <c r="AQ1508" s="38"/>
      <c r="AR1508" s="38"/>
      <c r="AS1508" s="38"/>
      <c r="AT1508" s="38"/>
      <c r="AU1508" s="38"/>
      <c r="AV1508" s="38"/>
      <c r="AW1508" s="38"/>
      <c r="AX1508" s="38"/>
      <c r="AY1508" s="38"/>
      <c r="AZ1508" s="38"/>
      <c r="BA1508" s="38"/>
      <c r="BB1508" s="38"/>
      <c r="BC1508" s="38"/>
      <c r="BD1508" s="38"/>
      <c r="BE1508" s="38"/>
      <c r="BF1508" s="38"/>
      <c r="BG1508" s="38"/>
      <c r="BH1508" s="38"/>
      <c r="BI1508" s="38"/>
      <c r="BJ1508" s="38"/>
      <c r="BK1508" s="38"/>
      <c r="BL1508" s="38"/>
      <c r="BM1508" s="38"/>
      <c r="BN1508" s="38"/>
      <c r="BO1508" s="38"/>
      <c r="BP1508" s="38"/>
      <c r="BQ1508" s="38"/>
    </row>
    <row r="1509">
      <c r="B1509" s="341"/>
      <c r="C1509" s="60"/>
      <c r="D1509" s="60"/>
      <c r="E1509" s="58"/>
      <c r="F1509" s="58"/>
      <c r="G1509" s="58"/>
      <c r="H1509" s="33" t="str">
        <f t="shared" si="33"/>
        <v/>
      </c>
      <c r="I1509" s="58"/>
      <c r="J1509" s="58"/>
      <c r="K1509" s="58"/>
      <c r="L1509" s="58"/>
      <c r="M1509" s="80"/>
      <c r="N1509" s="77"/>
      <c r="O1509" s="62"/>
      <c r="P1509" s="62"/>
      <c r="Q1509" s="62"/>
      <c r="R1509" s="62"/>
      <c r="S1509" s="37" t="str">
        <f>IFERROR(__xludf.DUMMYFUNCTION("if(not(iserror(index(split(C1509, "" ""),2))), index(split(C1509, "" ""),1),"""")"),"")</f>
        <v/>
      </c>
      <c r="T1509" s="315" t="str">
        <f>IFERROR(__xludf.DUMMYFUNCTION("if(S1509="""",C1509,if(not(iserror(index(split(C1509, "" ""),3))), index(split(C1509, "" ""),3),index(split(C1509, "" ""),2)))"),"")</f>
        <v/>
      </c>
      <c r="U1509" s="38" t="b">
        <f t="shared" si="34"/>
        <v>0</v>
      </c>
      <c r="V1509" s="38"/>
      <c r="W1509" s="40"/>
      <c r="X1509" s="40"/>
      <c r="Y1509" s="38"/>
      <c r="Z1509" s="38"/>
      <c r="AA1509" s="38"/>
      <c r="AB1509" s="38"/>
      <c r="AC1509" s="38"/>
      <c r="AD1509" s="38"/>
      <c r="AE1509" s="38"/>
      <c r="AF1509" s="38"/>
      <c r="AG1509" s="38"/>
      <c r="AH1509" s="38"/>
      <c r="AI1509" s="38"/>
      <c r="AJ1509" s="38"/>
      <c r="AK1509" s="38"/>
      <c r="AL1509" s="38"/>
      <c r="AM1509" s="38"/>
      <c r="AN1509" s="38"/>
      <c r="AO1509" s="38"/>
      <c r="AP1509" s="38"/>
      <c r="AQ1509" s="38"/>
      <c r="AR1509" s="38"/>
      <c r="AS1509" s="38"/>
      <c r="AT1509" s="38"/>
      <c r="AU1509" s="38"/>
      <c r="AV1509" s="38"/>
      <c r="AW1509" s="38"/>
      <c r="AX1509" s="38"/>
      <c r="AY1509" s="38"/>
      <c r="AZ1509" s="38"/>
      <c r="BA1509" s="38"/>
      <c r="BB1509" s="38"/>
      <c r="BC1509" s="38"/>
      <c r="BD1509" s="38"/>
      <c r="BE1509" s="38"/>
      <c r="BF1509" s="38"/>
      <c r="BG1509" s="38"/>
      <c r="BH1509" s="38"/>
      <c r="BI1509" s="38"/>
      <c r="BJ1509" s="38"/>
      <c r="BK1509" s="38"/>
      <c r="BL1509" s="38"/>
      <c r="BM1509" s="38"/>
      <c r="BN1509" s="38"/>
      <c r="BO1509" s="38"/>
      <c r="BP1509" s="38"/>
      <c r="BQ1509" s="38"/>
    </row>
    <row r="1510">
      <c r="B1510" s="341"/>
      <c r="C1510" s="60"/>
      <c r="D1510" s="60"/>
      <c r="E1510" s="58"/>
      <c r="F1510" s="58"/>
      <c r="G1510" s="58"/>
      <c r="H1510" s="33" t="str">
        <f t="shared" si="33"/>
        <v/>
      </c>
      <c r="I1510" s="58"/>
      <c r="J1510" s="58"/>
      <c r="K1510" s="58"/>
      <c r="L1510" s="58"/>
      <c r="M1510" s="80"/>
      <c r="N1510" s="77"/>
      <c r="O1510" s="62"/>
      <c r="P1510" s="62"/>
      <c r="Q1510" s="62"/>
      <c r="R1510" s="62"/>
      <c r="S1510" s="37" t="str">
        <f>IFERROR(__xludf.DUMMYFUNCTION("if(not(iserror(index(split(C1510, "" ""),2))), index(split(C1510, "" ""),1),"""")"),"")</f>
        <v/>
      </c>
      <c r="T1510" s="315" t="str">
        <f>IFERROR(__xludf.DUMMYFUNCTION("if(S1510="""",C1510,if(not(iserror(index(split(C1510, "" ""),3))), index(split(C1510, "" ""),3),index(split(C1510, "" ""),2)))"),"")</f>
        <v/>
      </c>
      <c r="U1510" s="38" t="b">
        <f t="shared" si="34"/>
        <v>0</v>
      </c>
      <c r="V1510" s="38"/>
      <c r="W1510" s="40"/>
      <c r="X1510" s="40"/>
      <c r="Y1510" s="38"/>
      <c r="Z1510" s="38"/>
      <c r="AA1510" s="38"/>
      <c r="AB1510" s="38"/>
      <c r="AC1510" s="38"/>
      <c r="AD1510" s="38"/>
      <c r="AE1510" s="38"/>
      <c r="AF1510" s="38"/>
      <c r="AG1510" s="38"/>
      <c r="AH1510" s="38"/>
      <c r="AI1510" s="38"/>
      <c r="AJ1510" s="38"/>
      <c r="AK1510" s="38"/>
      <c r="AL1510" s="38"/>
      <c r="AM1510" s="38"/>
      <c r="AN1510" s="38"/>
      <c r="AO1510" s="38"/>
      <c r="AP1510" s="38"/>
      <c r="AQ1510" s="38"/>
      <c r="AR1510" s="38"/>
      <c r="AS1510" s="38"/>
      <c r="AT1510" s="38"/>
      <c r="AU1510" s="38"/>
      <c r="AV1510" s="38"/>
      <c r="AW1510" s="38"/>
      <c r="AX1510" s="38"/>
      <c r="AY1510" s="38"/>
      <c r="AZ1510" s="38"/>
      <c r="BA1510" s="38"/>
      <c r="BB1510" s="38"/>
      <c r="BC1510" s="38"/>
      <c r="BD1510" s="38"/>
      <c r="BE1510" s="38"/>
      <c r="BF1510" s="38"/>
      <c r="BG1510" s="38"/>
      <c r="BH1510" s="38"/>
      <c r="BI1510" s="38"/>
      <c r="BJ1510" s="38"/>
      <c r="BK1510" s="38"/>
      <c r="BL1510" s="38"/>
      <c r="BM1510" s="38"/>
      <c r="BN1510" s="38"/>
      <c r="BO1510" s="38"/>
      <c r="BP1510" s="38"/>
      <c r="BQ1510" s="38"/>
    </row>
    <row r="1511">
      <c r="B1511" s="341"/>
      <c r="C1511" s="60"/>
      <c r="D1511" s="60"/>
      <c r="E1511" s="58"/>
      <c r="F1511" s="58"/>
      <c r="G1511" s="58"/>
      <c r="H1511" s="33" t="str">
        <f t="shared" si="33"/>
        <v/>
      </c>
      <c r="I1511" s="58"/>
      <c r="J1511" s="58"/>
      <c r="K1511" s="58"/>
      <c r="L1511" s="58"/>
      <c r="M1511" s="80"/>
      <c r="N1511" s="77"/>
      <c r="O1511" s="58"/>
      <c r="P1511" s="62"/>
      <c r="Q1511" s="84"/>
      <c r="R1511" s="62"/>
      <c r="S1511" s="37" t="str">
        <f>IFERROR(__xludf.DUMMYFUNCTION("if(not(iserror(index(split(C1511, "" ""),2))), index(split(C1511, "" ""),1),"""")"),"")</f>
        <v/>
      </c>
      <c r="T1511" s="315" t="str">
        <f>IFERROR(__xludf.DUMMYFUNCTION("if(S1511="""",C1511,if(not(iserror(index(split(C1511, "" ""),3))), index(split(C1511, "" ""),3),index(split(C1511, "" ""),2)))"),"")</f>
        <v/>
      </c>
      <c r="U1511" s="38" t="b">
        <f t="shared" si="34"/>
        <v>0</v>
      </c>
      <c r="V1511" s="38"/>
      <c r="W1511" s="40"/>
      <c r="X1511" s="40"/>
      <c r="Y1511" s="38"/>
      <c r="Z1511" s="38"/>
      <c r="AA1511" s="38"/>
      <c r="AB1511" s="38"/>
      <c r="AC1511" s="38"/>
      <c r="AD1511" s="38"/>
      <c r="AE1511" s="38"/>
      <c r="AF1511" s="38"/>
      <c r="AG1511" s="38"/>
      <c r="AH1511" s="38"/>
      <c r="AI1511" s="38"/>
      <c r="AJ1511" s="38"/>
      <c r="AK1511" s="38"/>
      <c r="AL1511" s="38"/>
      <c r="AM1511" s="38"/>
      <c r="AN1511" s="38"/>
      <c r="AO1511" s="38"/>
      <c r="AP1511" s="38"/>
      <c r="AQ1511" s="38"/>
      <c r="AR1511" s="38"/>
      <c r="AS1511" s="38"/>
      <c r="AT1511" s="38"/>
      <c r="AU1511" s="38"/>
      <c r="AV1511" s="38"/>
      <c r="AW1511" s="38"/>
      <c r="AX1511" s="38"/>
      <c r="AY1511" s="38"/>
      <c r="AZ1511" s="38"/>
      <c r="BA1511" s="38"/>
      <c r="BB1511" s="38"/>
      <c r="BC1511" s="38"/>
      <c r="BD1511" s="38"/>
      <c r="BE1511" s="38"/>
      <c r="BF1511" s="38"/>
      <c r="BG1511" s="38"/>
      <c r="BH1511" s="38"/>
      <c r="BI1511" s="38"/>
      <c r="BJ1511" s="38"/>
      <c r="BK1511" s="38"/>
      <c r="BL1511" s="38"/>
      <c r="BM1511" s="38"/>
      <c r="BN1511" s="38"/>
      <c r="BO1511" s="38"/>
      <c r="BP1511" s="38"/>
      <c r="BQ1511" s="38"/>
    </row>
    <row r="1512">
      <c r="B1512" s="341"/>
      <c r="C1512" s="60"/>
      <c r="D1512" s="60"/>
      <c r="E1512" s="58"/>
      <c r="F1512" s="58"/>
      <c r="G1512" s="58"/>
      <c r="H1512" s="33" t="str">
        <f t="shared" si="33"/>
        <v/>
      </c>
      <c r="I1512" s="58"/>
      <c r="J1512" s="58"/>
      <c r="K1512" s="58"/>
      <c r="L1512" s="58"/>
      <c r="M1512" s="80"/>
      <c r="N1512" s="77"/>
      <c r="O1512" s="58"/>
      <c r="P1512" s="62"/>
      <c r="Q1512" s="84"/>
      <c r="R1512" s="62"/>
      <c r="S1512" s="37" t="str">
        <f>IFERROR(__xludf.DUMMYFUNCTION("if(not(iserror(index(split(C1512, "" ""),2))), index(split(C1512, "" ""),1),"""")"),"")</f>
        <v/>
      </c>
      <c r="T1512" s="315" t="str">
        <f>IFERROR(__xludf.DUMMYFUNCTION("if(S1512="""",C1512,if(not(iserror(index(split(C1512, "" ""),3))), index(split(C1512, "" ""),3),index(split(C1512, "" ""),2)))"),"")</f>
        <v/>
      </c>
      <c r="U1512" s="38" t="b">
        <f t="shared" si="34"/>
        <v>0</v>
      </c>
      <c r="V1512" s="38"/>
      <c r="W1512" s="40"/>
      <c r="X1512" s="40"/>
      <c r="Y1512" s="38"/>
      <c r="Z1512" s="38"/>
      <c r="AA1512" s="38"/>
      <c r="AB1512" s="38"/>
      <c r="AC1512" s="38"/>
      <c r="AD1512" s="38"/>
      <c r="AE1512" s="38"/>
      <c r="AF1512" s="38"/>
      <c r="AG1512" s="38"/>
      <c r="AH1512" s="38"/>
      <c r="AI1512" s="38"/>
      <c r="AJ1512" s="38"/>
      <c r="AK1512" s="38"/>
      <c r="AL1512" s="38"/>
      <c r="AM1512" s="38"/>
      <c r="AN1512" s="38"/>
      <c r="AO1512" s="38"/>
      <c r="AP1512" s="38"/>
      <c r="AQ1512" s="38"/>
      <c r="AR1512" s="38"/>
      <c r="AS1512" s="38"/>
      <c r="AT1512" s="38"/>
      <c r="AU1512" s="38"/>
      <c r="AV1512" s="38"/>
      <c r="AW1512" s="38"/>
      <c r="AX1512" s="38"/>
      <c r="AY1512" s="38"/>
      <c r="AZ1512" s="38"/>
      <c r="BA1512" s="38"/>
      <c r="BB1512" s="38"/>
      <c r="BC1512" s="38"/>
      <c r="BD1512" s="38"/>
      <c r="BE1512" s="38"/>
      <c r="BF1512" s="38"/>
      <c r="BG1512" s="38"/>
      <c r="BH1512" s="38"/>
      <c r="BI1512" s="38"/>
      <c r="BJ1512" s="38"/>
      <c r="BK1512" s="38"/>
      <c r="BL1512" s="38"/>
      <c r="BM1512" s="38"/>
      <c r="BN1512" s="38"/>
      <c r="BO1512" s="38"/>
      <c r="BP1512" s="38"/>
      <c r="BQ1512" s="38"/>
    </row>
    <row r="1513">
      <c r="A1513" s="58"/>
      <c r="B1513" s="341"/>
      <c r="C1513" s="60"/>
      <c r="D1513" s="60"/>
      <c r="E1513" s="58"/>
      <c r="F1513" s="58"/>
      <c r="G1513" s="58"/>
      <c r="H1513" s="33" t="str">
        <f t="shared" si="33"/>
        <v/>
      </c>
      <c r="I1513" s="58"/>
      <c r="J1513" s="58"/>
      <c r="K1513" s="58"/>
      <c r="L1513" s="58"/>
      <c r="M1513" s="80"/>
      <c r="N1513" s="77"/>
      <c r="O1513" s="58"/>
      <c r="P1513" s="58"/>
      <c r="Q1513" s="84"/>
      <c r="R1513" s="62"/>
      <c r="S1513" s="37" t="str">
        <f>IFERROR(__xludf.DUMMYFUNCTION("if(not(iserror(index(split(C1513, "" ""),2))), index(split(C1513, "" ""),1),"""")"),"")</f>
        <v/>
      </c>
      <c r="T1513" s="315" t="str">
        <f>IFERROR(__xludf.DUMMYFUNCTION("if(S1513="""",C1513,if(not(iserror(index(split(C1513, "" ""),3))), index(split(C1513, "" ""),3),index(split(C1513, "" ""),2)))"),"")</f>
        <v/>
      </c>
      <c r="U1513" s="38" t="b">
        <f t="shared" si="34"/>
        <v>0</v>
      </c>
      <c r="V1513" s="38"/>
      <c r="W1513" s="40"/>
      <c r="X1513" s="40"/>
      <c r="Y1513" s="38"/>
      <c r="Z1513" s="38"/>
      <c r="AA1513" s="38"/>
      <c r="AB1513" s="38"/>
      <c r="AC1513" s="38"/>
      <c r="AD1513" s="38"/>
      <c r="AE1513" s="38"/>
      <c r="AF1513" s="38"/>
      <c r="AG1513" s="38"/>
      <c r="AH1513" s="38"/>
      <c r="AI1513" s="38"/>
      <c r="AJ1513" s="38"/>
      <c r="AK1513" s="38"/>
      <c r="AL1513" s="38"/>
      <c r="AM1513" s="38"/>
      <c r="AN1513" s="38"/>
      <c r="AO1513" s="38"/>
      <c r="AP1513" s="38"/>
      <c r="AQ1513" s="38"/>
      <c r="AR1513" s="38"/>
      <c r="AS1513" s="38"/>
      <c r="AT1513" s="38"/>
      <c r="AU1513" s="38"/>
      <c r="AV1513" s="38"/>
      <c r="AW1513" s="38"/>
      <c r="AX1513" s="38"/>
      <c r="AY1513" s="38"/>
      <c r="AZ1513" s="38"/>
      <c r="BA1513" s="38"/>
      <c r="BB1513" s="38"/>
      <c r="BC1513" s="38"/>
      <c r="BD1513" s="38"/>
      <c r="BE1513" s="38"/>
      <c r="BF1513" s="38"/>
      <c r="BG1513" s="38"/>
      <c r="BH1513" s="38"/>
      <c r="BI1513" s="38"/>
      <c r="BJ1513" s="38"/>
      <c r="BK1513" s="38"/>
      <c r="BL1513" s="38"/>
      <c r="BM1513" s="38"/>
      <c r="BN1513" s="38"/>
      <c r="BO1513" s="38"/>
      <c r="BP1513" s="38"/>
      <c r="BQ1513" s="38"/>
    </row>
    <row r="1514">
      <c r="A1514" s="58"/>
      <c r="B1514" s="341"/>
      <c r="C1514" s="60"/>
      <c r="D1514" s="60"/>
      <c r="E1514" s="58"/>
      <c r="F1514" s="58"/>
      <c r="G1514" s="58"/>
      <c r="H1514" s="33" t="str">
        <f t="shared" si="33"/>
        <v/>
      </c>
      <c r="I1514" s="58"/>
      <c r="J1514" s="58"/>
      <c r="K1514" s="58"/>
      <c r="L1514" s="58"/>
      <c r="M1514" s="80"/>
      <c r="N1514" s="77"/>
      <c r="O1514" s="58"/>
      <c r="P1514" s="62"/>
      <c r="Q1514" s="84"/>
      <c r="R1514" s="62"/>
      <c r="S1514" s="37" t="str">
        <f>IFERROR(__xludf.DUMMYFUNCTION("if(not(iserror(index(split(C1514, "" ""),2))), index(split(C1514, "" ""),1),"""")"),"")</f>
        <v/>
      </c>
      <c r="T1514" s="315" t="str">
        <f>IFERROR(__xludf.DUMMYFUNCTION("if(S1514="""",C1514,if(not(iserror(index(split(C1514, "" ""),3))), index(split(C1514, "" ""),3),index(split(C1514, "" ""),2)))"),"")</f>
        <v/>
      </c>
      <c r="U1514" s="38" t="b">
        <f t="shared" si="34"/>
        <v>0</v>
      </c>
      <c r="V1514" s="38"/>
      <c r="W1514" s="40"/>
      <c r="X1514" s="40"/>
      <c r="Y1514" s="38"/>
      <c r="Z1514" s="38"/>
      <c r="AA1514" s="38"/>
      <c r="AB1514" s="38"/>
      <c r="AC1514" s="38"/>
      <c r="AD1514" s="38"/>
      <c r="AE1514" s="38"/>
      <c r="AF1514" s="38"/>
      <c r="AG1514" s="38"/>
      <c r="AH1514" s="38"/>
      <c r="AI1514" s="38"/>
      <c r="AJ1514" s="38"/>
      <c r="AK1514" s="38"/>
      <c r="AL1514" s="38"/>
      <c r="AM1514" s="38"/>
      <c r="AN1514" s="38"/>
      <c r="AO1514" s="38"/>
      <c r="AP1514" s="38"/>
      <c r="AQ1514" s="38"/>
      <c r="AR1514" s="38"/>
      <c r="AS1514" s="38"/>
      <c r="AT1514" s="38"/>
      <c r="AU1514" s="38"/>
      <c r="AV1514" s="38"/>
      <c r="AW1514" s="38"/>
      <c r="AX1514" s="38"/>
      <c r="AY1514" s="38"/>
      <c r="AZ1514" s="38"/>
      <c r="BA1514" s="38"/>
      <c r="BB1514" s="38"/>
      <c r="BC1514" s="38"/>
      <c r="BD1514" s="38"/>
      <c r="BE1514" s="38"/>
      <c r="BF1514" s="38"/>
      <c r="BG1514" s="38"/>
      <c r="BH1514" s="38"/>
      <c r="BI1514" s="38"/>
      <c r="BJ1514" s="38"/>
      <c r="BK1514" s="38"/>
      <c r="BL1514" s="38"/>
      <c r="BM1514" s="38"/>
      <c r="BN1514" s="38"/>
      <c r="BO1514" s="38"/>
      <c r="BP1514" s="38"/>
      <c r="BQ1514" s="38"/>
    </row>
    <row r="1515">
      <c r="A1515" s="58"/>
      <c r="B1515" s="341"/>
      <c r="C1515" s="60"/>
      <c r="D1515" s="60"/>
      <c r="E1515" s="58"/>
      <c r="F1515" s="58"/>
      <c r="G1515" s="58"/>
      <c r="H1515" s="33" t="str">
        <f t="shared" si="33"/>
        <v/>
      </c>
      <c r="I1515" s="58"/>
      <c r="J1515" s="58"/>
      <c r="K1515" s="58"/>
      <c r="L1515" s="58"/>
      <c r="M1515" s="80"/>
      <c r="N1515" s="77"/>
      <c r="O1515" s="62"/>
      <c r="P1515" s="62"/>
      <c r="Q1515" s="62"/>
      <c r="R1515" s="62"/>
      <c r="S1515" s="37" t="str">
        <f>IFERROR(__xludf.DUMMYFUNCTION("if(not(iserror(index(split(C1515, "" ""),2))), index(split(C1515, "" ""),1),"""")"),"")</f>
        <v/>
      </c>
      <c r="T1515" s="315" t="str">
        <f>IFERROR(__xludf.DUMMYFUNCTION("if(S1515="""",C1515,if(not(iserror(index(split(C1515, "" ""),3))), index(split(C1515, "" ""),3),index(split(C1515, "" ""),2)))"),"")</f>
        <v/>
      </c>
      <c r="U1515" s="38" t="b">
        <f t="shared" si="34"/>
        <v>0</v>
      </c>
      <c r="V1515" s="38"/>
      <c r="W1515" s="40"/>
      <c r="X1515" s="40"/>
      <c r="Y1515" s="38"/>
      <c r="Z1515" s="38"/>
      <c r="AA1515" s="38"/>
      <c r="AB1515" s="38"/>
      <c r="AC1515" s="38"/>
      <c r="AD1515" s="38"/>
      <c r="AE1515" s="38"/>
      <c r="AF1515" s="38"/>
      <c r="AG1515" s="38"/>
      <c r="AH1515" s="38"/>
      <c r="AI1515" s="38"/>
      <c r="AJ1515" s="38"/>
      <c r="AK1515" s="38"/>
      <c r="AL1515" s="38"/>
      <c r="AM1515" s="38"/>
      <c r="AN1515" s="38"/>
      <c r="AO1515" s="38"/>
      <c r="AP1515" s="38"/>
      <c r="AQ1515" s="38"/>
      <c r="AR1515" s="38"/>
      <c r="AS1515" s="38"/>
      <c r="AT1515" s="38"/>
      <c r="AU1515" s="38"/>
      <c r="AV1515" s="38"/>
      <c r="AW1515" s="38"/>
      <c r="AX1515" s="38"/>
      <c r="AY1515" s="38"/>
      <c r="AZ1515" s="38"/>
      <c r="BA1515" s="38"/>
      <c r="BB1515" s="38"/>
      <c r="BC1515" s="38"/>
      <c r="BD1515" s="38"/>
      <c r="BE1515" s="38"/>
      <c r="BF1515" s="38"/>
      <c r="BG1515" s="38"/>
      <c r="BH1515" s="38"/>
      <c r="BI1515" s="38"/>
      <c r="BJ1515" s="38"/>
      <c r="BK1515" s="38"/>
      <c r="BL1515" s="38"/>
      <c r="BM1515" s="38"/>
      <c r="BN1515" s="38"/>
      <c r="BO1515" s="38"/>
      <c r="BP1515" s="38"/>
      <c r="BQ1515" s="38"/>
    </row>
    <row r="1516">
      <c r="A1516" s="58"/>
      <c r="B1516" s="341"/>
      <c r="C1516" s="60"/>
      <c r="D1516" s="60"/>
      <c r="E1516" s="58"/>
      <c r="F1516" s="58"/>
      <c r="G1516" s="58"/>
      <c r="H1516" s="33" t="str">
        <f t="shared" si="33"/>
        <v/>
      </c>
      <c r="I1516" s="58"/>
      <c r="J1516" s="58"/>
      <c r="K1516" s="58"/>
      <c r="L1516" s="58"/>
      <c r="M1516" s="102"/>
      <c r="N1516" s="80"/>
      <c r="O1516" s="62"/>
      <c r="P1516" s="58"/>
      <c r="Q1516" s="84"/>
      <c r="R1516" s="62"/>
      <c r="S1516" s="37" t="str">
        <f>IFERROR(__xludf.DUMMYFUNCTION("if(not(iserror(index(split(C1516, "" ""),2))), index(split(C1516, "" ""),1),"""")"),"")</f>
        <v/>
      </c>
      <c r="T1516" s="315" t="str">
        <f>IFERROR(__xludf.DUMMYFUNCTION("if(S1516="""",C1516,if(not(iserror(index(split(C1516, "" ""),3))), index(split(C1516, "" ""),3),index(split(C1516, "" ""),2)))"),"")</f>
        <v/>
      </c>
      <c r="U1516" s="38" t="b">
        <f t="shared" si="34"/>
        <v>0</v>
      </c>
      <c r="V1516" s="38"/>
      <c r="W1516" s="40"/>
      <c r="X1516" s="40"/>
      <c r="Y1516" s="38"/>
      <c r="Z1516" s="38"/>
      <c r="AA1516" s="38"/>
      <c r="AB1516" s="38"/>
      <c r="AC1516" s="38"/>
      <c r="AD1516" s="38"/>
      <c r="AE1516" s="38"/>
      <c r="AF1516" s="38"/>
      <c r="AG1516" s="38"/>
      <c r="AH1516" s="38"/>
      <c r="AI1516" s="38"/>
      <c r="AJ1516" s="38"/>
      <c r="AK1516" s="38"/>
      <c r="AL1516" s="38"/>
      <c r="AM1516" s="38"/>
      <c r="AN1516" s="38"/>
      <c r="AO1516" s="38"/>
      <c r="AP1516" s="38"/>
      <c r="AQ1516" s="38"/>
      <c r="AR1516" s="38"/>
      <c r="AS1516" s="38"/>
      <c r="AT1516" s="38"/>
      <c r="AU1516" s="38"/>
      <c r="AV1516" s="38"/>
      <c r="AW1516" s="38"/>
      <c r="AX1516" s="38"/>
      <c r="AY1516" s="38"/>
      <c r="AZ1516" s="38"/>
      <c r="BA1516" s="38"/>
      <c r="BB1516" s="38"/>
      <c r="BC1516" s="38"/>
      <c r="BD1516" s="38"/>
      <c r="BE1516" s="38"/>
      <c r="BF1516" s="38"/>
      <c r="BG1516" s="38"/>
      <c r="BH1516" s="38"/>
      <c r="BI1516" s="38"/>
      <c r="BJ1516" s="38"/>
      <c r="BK1516" s="38"/>
      <c r="BL1516" s="38"/>
      <c r="BM1516" s="38"/>
      <c r="BN1516" s="38"/>
      <c r="BO1516" s="38"/>
      <c r="BP1516" s="38"/>
      <c r="BQ1516" s="38"/>
    </row>
    <row r="1517">
      <c r="A1517" s="58"/>
      <c r="B1517" s="341"/>
      <c r="C1517" s="60"/>
      <c r="D1517" s="60"/>
      <c r="E1517" s="58"/>
      <c r="F1517" s="58"/>
      <c r="G1517" s="58"/>
      <c r="H1517" s="33" t="str">
        <f t="shared" si="33"/>
        <v/>
      </c>
      <c r="I1517" s="58"/>
      <c r="J1517" s="58"/>
      <c r="K1517" s="58"/>
      <c r="L1517" s="58"/>
      <c r="M1517" s="80"/>
      <c r="N1517" s="77"/>
      <c r="O1517" s="58"/>
      <c r="P1517" s="58"/>
      <c r="Q1517" s="84"/>
      <c r="R1517" s="62"/>
      <c r="S1517" s="37" t="str">
        <f>IFERROR(__xludf.DUMMYFUNCTION("if(not(iserror(index(split(C1517, "" ""),2))), index(split(C1517, "" ""),1),"""")"),"")</f>
        <v/>
      </c>
      <c r="T1517" s="315" t="str">
        <f>IFERROR(__xludf.DUMMYFUNCTION("if(S1517="""",C1517,if(not(iserror(index(split(C1517, "" ""),3))), index(split(C1517, "" ""),3),index(split(C1517, "" ""),2)))"),"")</f>
        <v/>
      </c>
      <c r="U1517" s="38" t="b">
        <f t="shared" si="34"/>
        <v>0</v>
      </c>
      <c r="V1517" s="38"/>
      <c r="W1517" s="40"/>
      <c r="X1517" s="40"/>
      <c r="Y1517" s="38"/>
      <c r="Z1517" s="38"/>
      <c r="AA1517" s="38"/>
      <c r="AB1517" s="38"/>
      <c r="AC1517" s="38"/>
      <c r="AD1517" s="38"/>
      <c r="AE1517" s="38"/>
      <c r="AF1517" s="38"/>
      <c r="AG1517" s="38"/>
      <c r="AH1517" s="38"/>
      <c r="AI1517" s="38"/>
      <c r="AJ1517" s="38"/>
      <c r="AK1517" s="38"/>
      <c r="AL1517" s="38"/>
      <c r="AM1517" s="38"/>
      <c r="AN1517" s="38"/>
      <c r="AO1517" s="38"/>
      <c r="AP1517" s="38"/>
      <c r="AQ1517" s="38"/>
      <c r="AR1517" s="38"/>
      <c r="AS1517" s="38"/>
      <c r="AT1517" s="38"/>
      <c r="AU1517" s="38"/>
      <c r="AV1517" s="38"/>
      <c r="AW1517" s="38"/>
      <c r="AX1517" s="38"/>
      <c r="AY1517" s="38"/>
      <c r="AZ1517" s="38"/>
      <c r="BA1517" s="38"/>
      <c r="BB1517" s="38"/>
      <c r="BC1517" s="38"/>
      <c r="BD1517" s="38"/>
      <c r="BE1517" s="38"/>
      <c r="BF1517" s="38"/>
      <c r="BG1517" s="38"/>
      <c r="BH1517" s="38"/>
      <c r="BI1517" s="38"/>
      <c r="BJ1517" s="38"/>
      <c r="BK1517" s="38"/>
      <c r="BL1517" s="38"/>
      <c r="BM1517" s="38"/>
      <c r="BN1517" s="38"/>
      <c r="BO1517" s="38"/>
      <c r="BP1517" s="38"/>
      <c r="BQ1517" s="38"/>
    </row>
    <row r="1518">
      <c r="A1518" s="91"/>
      <c r="B1518" s="383"/>
      <c r="C1518" s="146"/>
      <c r="D1518" s="146"/>
      <c r="E1518" s="91"/>
      <c r="F1518" s="91"/>
      <c r="G1518" s="91"/>
      <c r="H1518" s="33" t="str">
        <f t="shared" si="33"/>
        <v/>
      </c>
      <c r="I1518" s="91"/>
      <c r="J1518" s="91"/>
      <c r="K1518" s="91"/>
      <c r="L1518" s="91"/>
      <c r="M1518" s="95"/>
      <c r="N1518" s="95"/>
      <c r="O1518" s="58"/>
      <c r="P1518" s="58"/>
      <c r="Q1518" s="84"/>
      <c r="R1518" s="62"/>
      <c r="S1518" s="37" t="str">
        <f>IFERROR(__xludf.DUMMYFUNCTION("if(not(iserror(index(split(C1518, "" ""),2))), index(split(C1518, "" ""),1),"""")"),"")</f>
        <v/>
      </c>
      <c r="T1518" s="315" t="str">
        <f>IFERROR(__xludf.DUMMYFUNCTION("if(S1518="""",C1518,if(not(iserror(index(split(C1518, "" ""),3))), index(split(C1518, "" ""),3),index(split(C1518, "" ""),2)))"),"")</f>
        <v/>
      </c>
      <c r="U1518" s="38" t="b">
        <f t="shared" si="34"/>
        <v>0</v>
      </c>
      <c r="V1518" s="38"/>
      <c r="W1518" s="40"/>
      <c r="X1518" s="40"/>
      <c r="Y1518" s="38"/>
      <c r="Z1518" s="38"/>
      <c r="AA1518" s="38"/>
      <c r="AB1518" s="38"/>
      <c r="AC1518" s="38"/>
      <c r="AD1518" s="38"/>
      <c r="AE1518" s="38"/>
      <c r="AF1518" s="38"/>
      <c r="AG1518" s="38"/>
      <c r="AH1518" s="38"/>
      <c r="AI1518" s="38"/>
      <c r="AJ1518" s="38"/>
      <c r="AK1518" s="38"/>
      <c r="AL1518" s="38"/>
      <c r="AM1518" s="38"/>
      <c r="AN1518" s="38"/>
      <c r="AO1518" s="38"/>
      <c r="AP1518" s="38"/>
      <c r="AQ1518" s="38"/>
      <c r="AR1518" s="38"/>
      <c r="AS1518" s="38"/>
      <c r="AT1518" s="38"/>
      <c r="AU1518" s="38"/>
      <c r="AV1518" s="38"/>
      <c r="AW1518" s="38"/>
      <c r="AX1518" s="38"/>
      <c r="AY1518" s="38"/>
      <c r="AZ1518" s="38"/>
      <c r="BA1518" s="38"/>
      <c r="BB1518" s="38"/>
      <c r="BC1518" s="38"/>
      <c r="BD1518" s="38"/>
      <c r="BE1518" s="38"/>
      <c r="BF1518" s="38"/>
      <c r="BG1518" s="38"/>
      <c r="BH1518" s="38"/>
      <c r="BI1518" s="38"/>
      <c r="BJ1518" s="38"/>
      <c r="BK1518" s="38"/>
      <c r="BL1518" s="38"/>
      <c r="BM1518" s="38"/>
      <c r="BN1518" s="38"/>
      <c r="BO1518" s="38"/>
      <c r="BP1518" s="38"/>
      <c r="BQ1518" s="38"/>
    </row>
    <row r="1519">
      <c r="A1519" s="58"/>
      <c r="B1519" s="341"/>
      <c r="C1519" s="60"/>
      <c r="D1519" s="60"/>
      <c r="E1519" s="58"/>
      <c r="F1519" s="58"/>
      <c r="G1519" s="58"/>
      <c r="H1519" s="33" t="str">
        <f t="shared" si="33"/>
        <v/>
      </c>
      <c r="I1519" s="58"/>
      <c r="J1519" s="58"/>
      <c r="K1519" s="58"/>
      <c r="L1519" s="58"/>
      <c r="M1519" s="80"/>
      <c r="N1519" s="77"/>
      <c r="O1519" s="62"/>
      <c r="P1519" s="62"/>
      <c r="Q1519" s="62"/>
      <c r="R1519" s="62"/>
      <c r="S1519" s="37" t="str">
        <f>IFERROR(__xludf.DUMMYFUNCTION("if(not(iserror(index(split(C1519, "" ""),2))), index(split(C1519, "" ""),1),"""")"),"")</f>
        <v/>
      </c>
      <c r="T1519" s="315" t="str">
        <f>IFERROR(__xludf.DUMMYFUNCTION("if(S1519="""",C1519,if(not(iserror(index(split(C1519, "" ""),3))), index(split(C1519, "" ""),3),index(split(C1519, "" ""),2)))"),"")</f>
        <v/>
      </c>
      <c r="U1519" s="38" t="b">
        <f t="shared" si="34"/>
        <v>0</v>
      </c>
      <c r="V1519" s="38"/>
      <c r="W1519" s="40"/>
      <c r="X1519" s="40"/>
      <c r="Y1519" s="38"/>
      <c r="Z1519" s="38"/>
      <c r="AA1519" s="38"/>
      <c r="AB1519" s="38"/>
      <c r="AC1519" s="38"/>
      <c r="AD1519" s="38"/>
      <c r="AE1519" s="38"/>
      <c r="AF1519" s="38"/>
      <c r="AG1519" s="38"/>
      <c r="AH1519" s="38"/>
      <c r="AI1519" s="38"/>
      <c r="AJ1519" s="38"/>
      <c r="AK1519" s="38"/>
      <c r="AL1519" s="38"/>
      <c r="AM1519" s="38"/>
      <c r="AN1519" s="38"/>
      <c r="AO1519" s="38"/>
      <c r="AP1519" s="38"/>
      <c r="AQ1519" s="38"/>
      <c r="AR1519" s="38"/>
      <c r="AS1519" s="38"/>
      <c r="AT1519" s="38"/>
      <c r="AU1519" s="38"/>
      <c r="AV1519" s="38"/>
      <c r="AW1519" s="38"/>
      <c r="AX1519" s="38"/>
      <c r="AY1519" s="38"/>
      <c r="AZ1519" s="38"/>
      <c r="BA1519" s="38"/>
      <c r="BB1519" s="38"/>
      <c r="BC1519" s="38"/>
      <c r="BD1519" s="38"/>
      <c r="BE1519" s="38"/>
      <c r="BF1519" s="38"/>
      <c r="BG1519" s="38"/>
      <c r="BH1519" s="38"/>
      <c r="BI1519" s="38"/>
      <c r="BJ1519" s="38"/>
      <c r="BK1519" s="38"/>
      <c r="BL1519" s="38"/>
      <c r="BM1519" s="38"/>
      <c r="BN1519" s="38"/>
      <c r="BO1519" s="38"/>
      <c r="BP1519" s="38"/>
      <c r="BQ1519" s="38"/>
    </row>
    <row r="1520">
      <c r="A1520" s="58"/>
      <c r="B1520" s="341"/>
      <c r="C1520" s="60"/>
      <c r="D1520" s="60"/>
      <c r="E1520" s="58"/>
      <c r="F1520" s="58"/>
      <c r="G1520" s="58"/>
      <c r="H1520" s="33" t="str">
        <f t="shared" si="33"/>
        <v/>
      </c>
      <c r="I1520" s="58"/>
      <c r="J1520" s="58"/>
      <c r="K1520" s="58"/>
      <c r="L1520" s="58"/>
      <c r="M1520" s="80"/>
      <c r="N1520" s="77"/>
      <c r="O1520" s="62"/>
      <c r="P1520" s="62"/>
      <c r="Q1520" s="62"/>
      <c r="R1520" s="62"/>
      <c r="S1520" s="37" t="str">
        <f>IFERROR(__xludf.DUMMYFUNCTION("if(not(iserror(index(split(C1520, "" ""),2))), index(split(C1520, "" ""),1),"""")"),"")</f>
        <v/>
      </c>
      <c r="T1520" s="315" t="str">
        <f>IFERROR(__xludf.DUMMYFUNCTION("if(S1520="""",C1520,if(not(iserror(index(split(C1520, "" ""),3))), index(split(C1520, "" ""),3),index(split(C1520, "" ""),2)))"),"")</f>
        <v/>
      </c>
      <c r="U1520" s="38" t="b">
        <f t="shared" si="34"/>
        <v>0</v>
      </c>
      <c r="V1520" s="38"/>
      <c r="W1520" s="40"/>
      <c r="X1520" s="40"/>
      <c r="Y1520" s="38"/>
      <c r="Z1520" s="38"/>
      <c r="AA1520" s="38"/>
      <c r="AB1520" s="38"/>
      <c r="AC1520" s="38"/>
      <c r="AD1520" s="38"/>
      <c r="AE1520" s="38"/>
      <c r="AF1520" s="38"/>
      <c r="AG1520" s="38"/>
      <c r="AH1520" s="38"/>
      <c r="AI1520" s="38"/>
      <c r="AJ1520" s="38"/>
      <c r="AK1520" s="38"/>
      <c r="AL1520" s="38"/>
      <c r="AM1520" s="38"/>
      <c r="AN1520" s="38"/>
      <c r="AO1520" s="38"/>
      <c r="AP1520" s="38"/>
      <c r="AQ1520" s="38"/>
      <c r="AR1520" s="38"/>
      <c r="AS1520" s="38"/>
      <c r="AT1520" s="38"/>
      <c r="AU1520" s="38"/>
      <c r="AV1520" s="38"/>
      <c r="AW1520" s="38"/>
      <c r="AX1520" s="38"/>
      <c r="AY1520" s="38"/>
      <c r="AZ1520" s="38"/>
      <c r="BA1520" s="38"/>
      <c r="BB1520" s="38"/>
      <c r="BC1520" s="38"/>
      <c r="BD1520" s="38"/>
      <c r="BE1520" s="38"/>
      <c r="BF1520" s="38"/>
      <c r="BG1520" s="38"/>
      <c r="BH1520" s="38"/>
      <c r="BI1520" s="38"/>
      <c r="BJ1520" s="38"/>
      <c r="BK1520" s="38"/>
      <c r="BL1520" s="38"/>
      <c r="BM1520" s="38"/>
      <c r="BN1520" s="38"/>
      <c r="BO1520" s="38"/>
      <c r="BP1520" s="38"/>
      <c r="BQ1520" s="38"/>
    </row>
    <row r="1521">
      <c r="B1521" s="341"/>
      <c r="C1521" s="60"/>
      <c r="D1521" s="60"/>
      <c r="E1521" s="58"/>
      <c r="F1521" s="58"/>
      <c r="G1521" s="58"/>
      <c r="H1521" s="33" t="str">
        <f t="shared" si="33"/>
        <v/>
      </c>
      <c r="I1521" s="58"/>
      <c r="J1521" s="58"/>
      <c r="K1521" s="58"/>
      <c r="L1521" s="58"/>
      <c r="M1521" s="80"/>
      <c r="N1521" s="77"/>
      <c r="O1521" s="62"/>
      <c r="P1521" s="62"/>
      <c r="Q1521" s="62"/>
      <c r="R1521" s="62"/>
      <c r="S1521" s="37" t="str">
        <f>IFERROR(__xludf.DUMMYFUNCTION("if(not(iserror(index(split(C1521, "" ""),2))), index(split(C1521, "" ""),1),"""")"),"")</f>
        <v/>
      </c>
      <c r="T1521" s="315" t="str">
        <f>IFERROR(__xludf.DUMMYFUNCTION("if(S1521="""",C1521,if(not(iserror(index(split(C1521, "" ""),3))), index(split(C1521, "" ""),3),index(split(C1521, "" ""),2)))"),"")</f>
        <v/>
      </c>
      <c r="U1521" s="38" t="b">
        <f t="shared" si="34"/>
        <v>0</v>
      </c>
      <c r="V1521" s="38"/>
      <c r="W1521" s="40"/>
      <c r="X1521" s="40"/>
      <c r="Y1521" s="38"/>
      <c r="Z1521" s="38"/>
      <c r="AA1521" s="38"/>
      <c r="AB1521" s="38"/>
      <c r="AC1521" s="38"/>
      <c r="AD1521" s="38"/>
      <c r="AE1521" s="38"/>
      <c r="AF1521" s="38"/>
      <c r="AG1521" s="38"/>
      <c r="AH1521" s="38"/>
      <c r="AI1521" s="38"/>
      <c r="AJ1521" s="38"/>
      <c r="AK1521" s="38"/>
      <c r="AL1521" s="38"/>
      <c r="AM1521" s="38"/>
      <c r="AN1521" s="38"/>
      <c r="AO1521" s="38"/>
      <c r="AP1521" s="38"/>
      <c r="AQ1521" s="38"/>
      <c r="AR1521" s="38"/>
      <c r="AS1521" s="38"/>
      <c r="AT1521" s="38"/>
      <c r="AU1521" s="38"/>
      <c r="AV1521" s="38"/>
      <c r="AW1521" s="38"/>
      <c r="AX1521" s="38"/>
      <c r="AY1521" s="38"/>
      <c r="AZ1521" s="38"/>
      <c r="BA1521" s="38"/>
      <c r="BB1521" s="38"/>
      <c r="BC1521" s="38"/>
      <c r="BD1521" s="38"/>
      <c r="BE1521" s="38"/>
      <c r="BF1521" s="38"/>
      <c r="BG1521" s="38"/>
      <c r="BH1521" s="38"/>
      <c r="BI1521" s="38"/>
      <c r="BJ1521" s="38"/>
      <c r="BK1521" s="38"/>
      <c r="BL1521" s="38"/>
      <c r="BM1521" s="38"/>
      <c r="BN1521" s="38"/>
      <c r="BO1521" s="38"/>
      <c r="BP1521" s="38"/>
      <c r="BQ1521" s="38"/>
    </row>
    <row r="1522">
      <c r="A1522" s="58"/>
      <c r="B1522" s="341"/>
      <c r="C1522" s="60"/>
      <c r="D1522" s="60"/>
      <c r="E1522" s="58"/>
      <c r="F1522" s="58"/>
      <c r="G1522" s="58"/>
      <c r="H1522" s="33" t="str">
        <f t="shared" si="33"/>
        <v/>
      </c>
      <c r="I1522" s="58"/>
      <c r="J1522" s="58"/>
      <c r="K1522" s="58"/>
      <c r="L1522" s="58"/>
      <c r="M1522" s="80"/>
      <c r="N1522" s="77"/>
      <c r="O1522" s="62"/>
      <c r="P1522" s="62"/>
      <c r="Q1522" s="62"/>
      <c r="R1522" s="62"/>
      <c r="S1522" s="37" t="str">
        <f>IFERROR(__xludf.DUMMYFUNCTION("if(not(iserror(index(split(C1522, "" ""),2))), index(split(C1522, "" ""),1),"""")"),"")</f>
        <v/>
      </c>
      <c r="T1522" s="315" t="str">
        <f>IFERROR(__xludf.DUMMYFUNCTION("if(S1522="""",C1522,if(not(iserror(index(split(C1522, "" ""),3))), index(split(C1522, "" ""),3),index(split(C1522, "" ""),2)))"),"")</f>
        <v/>
      </c>
      <c r="U1522" s="38" t="b">
        <f t="shared" si="34"/>
        <v>0</v>
      </c>
      <c r="V1522" s="38"/>
      <c r="W1522" s="40"/>
      <c r="X1522" s="40"/>
      <c r="Y1522" s="38"/>
      <c r="Z1522" s="38"/>
      <c r="AA1522" s="38"/>
      <c r="AB1522" s="38"/>
      <c r="AC1522" s="38"/>
      <c r="AD1522" s="38"/>
      <c r="AE1522" s="38"/>
      <c r="AF1522" s="38"/>
      <c r="AG1522" s="38"/>
      <c r="AH1522" s="38"/>
      <c r="AI1522" s="38"/>
      <c r="AJ1522" s="38"/>
      <c r="AK1522" s="38"/>
      <c r="AL1522" s="38"/>
      <c r="AM1522" s="38"/>
      <c r="AN1522" s="38"/>
      <c r="AO1522" s="38"/>
      <c r="AP1522" s="38"/>
      <c r="AQ1522" s="38"/>
      <c r="AR1522" s="38"/>
      <c r="AS1522" s="38"/>
      <c r="AT1522" s="38"/>
      <c r="AU1522" s="38"/>
      <c r="AV1522" s="38"/>
      <c r="AW1522" s="38"/>
      <c r="AX1522" s="38"/>
      <c r="AY1522" s="38"/>
      <c r="AZ1522" s="38"/>
      <c r="BA1522" s="38"/>
      <c r="BB1522" s="38"/>
      <c r="BC1522" s="38"/>
      <c r="BD1522" s="38"/>
      <c r="BE1522" s="38"/>
      <c r="BF1522" s="38"/>
      <c r="BG1522" s="38"/>
      <c r="BH1522" s="38"/>
      <c r="BI1522" s="38"/>
      <c r="BJ1522" s="38"/>
      <c r="BK1522" s="38"/>
      <c r="BL1522" s="38"/>
      <c r="BM1522" s="38"/>
      <c r="BN1522" s="38"/>
      <c r="BO1522" s="38"/>
      <c r="BP1522" s="38"/>
      <c r="BQ1522" s="38"/>
    </row>
    <row r="1523">
      <c r="A1523" s="58"/>
      <c r="B1523" s="341"/>
      <c r="C1523" s="60"/>
      <c r="D1523" s="60"/>
      <c r="E1523" s="58"/>
      <c r="F1523" s="58"/>
      <c r="G1523" s="58"/>
      <c r="H1523" s="33" t="str">
        <f t="shared" si="33"/>
        <v/>
      </c>
      <c r="I1523" s="58"/>
      <c r="J1523" s="58"/>
      <c r="K1523" s="58"/>
      <c r="L1523" s="58"/>
      <c r="M1523" s="80"/>
      <c r="N1523" s="77"/>
      <c r="O1523" s="62"/>
      <c r="P1523" s="62"/>
      <c r="Q1523" s="62"/>
      <c r="R1523" s="62"/>
      <c r="S1523" s="37" t="str">
        <f>IFERROR(__xludf.DUMMYFUNCTION("if(not(iserror(index(split(C1523, "" ""),2))), index(split(C1523, "" ""),1),"""")"),"")</f>
        <v/>
      </c>
      <c r="T1523" s="315" t="str">
        <f>IFERROR(__xludf.DUMMYFUNCTION("if(S1523="""",C1523,if(not(iserror(index(split(C1523, "" ""),3))), index(split(C1523, "" ""),3),index(split(C1523, "" ""),2)))"),"")</f>
        <v/>
      </c>
      <c r="U1523" s="38" t="b">
        <f t="shared" si="34"/>
        <v>0</v>
      </c>
      <c r="V1523" s="38"/>
      <c r="W1523" s="40"/>
      <c r="X1523" s="40"/>
      <c r="Y1523" s="38"/>
      <c r="Z1523" s="38"/>
      <c r="AA1523" s="38"/>
      <c r="AB1523" s="38"/>
      <c r="AC1523" s="38"/>
      <c r="AD1523" s="38"/>
      <c r="AE1523" s="38"/>
      <c r="AF1523" s="38"/>
      <c r="AG1523" s="38"/>
      <c r="AH1523" s="38"/>
      <c r="AI1523" s="38"/>
      <c r="AJ1523" s="38"/>
      <c r="AK1523" s="38"/>
      <c r="AL1523" s="38"/>
      <c r="AM1523" s="38"/>
      <c r="AN1523" s="38"/>
      <c r="AO1523" s="38"/>
      <c r="AP1523" s="38"/>
      <c r="AQ1523" s="38"/>
      <c r="AR1523" s="38"/>
      <c r="AS1523" s="38"/>
      <c r="AT1523" s="38"/>
      <c r="AU1523" s="38"/>
      <c r="AV1523" s="38"/>
      <c r="AW1523" s="38"/>
      <c r="AX1523" s="38"/>
      <c r="AY1523" s="38"/>
      <c r="AZ1523" s="38"/>
      <c r="BA1523" s="38"/>
      <c r="BB1523" s="38"/>
      <c r="BC1523" s="38"/>
      <c r="BD1523" s="38"/>
      <c r="BE1523" s="38"/>
      <c r="BF1523" s="38"/>
      <c r="BG1523" s="38"/>
      <c r="BH1523" s="38"/>
      <c r="BI1523" s="38"/>
      <c r="BJ1523" s="38"/>
      <c r="BK1523" s="38"/>
      <c r="BL1523" s="38"/>
      <c r="BM1523" s="38"/>
      <c r="BN1523" s="38"/>
      <c r="BO1523" s="38"/>
      <c r="BP1523" s="38"/>
      <c r="BQ1523" s="38"/>
    </row>
    <row r="1524">
      <c r="A1524" s="58"/>
      <c r="B1524" s="341"/>
      <c r="C1524" s="60"/>
      <c r="D1524" s="60"/>
      <c r="E1524" s="58"/>
      <c r="F1524" s="58"/>
      <c r="G1524" s="58"/>
      <c r="H1524" s="33" t="str">
        <f t="shared" si="33"/>
        <v/>
      </c>
      <c r="I1524" s="58"/>
      <c r="J1524" s="58"/>
      <c r="K1524" s="58"/>
      <c r="L1524" s="58"/>
      <c r="M1524" s="80"/>
      <c r="N1524" s="77"/>
      <c r="O1524" s="62"/>
      <c r="P1524" s="62"/>
      <c r="Q1524" s="62"/>
      <c r="R1524" s="62"/>
      <c r="S1524" s="37" t="str">
        <f>IFERROR(__xludf.DUMMYFUNCTION("if(not(iserror(index(split(C1524, "" ""),2))), index(split(C1524, "" ""),1),"""")"),"")</f>
        <v/>
      </c>
      <c r="T1524" s="315" t="str">
        <f>IFERROR(__xludf.DUMMYFUNCTION("if(S1524="""",C1524,if(not(iserror(index(split(C1524, "" ""),3))), index(split(C1524, "" ""),3),index(split(C1524, "" ""),2)))"),"")</f>
        <v/>
      </c>
      <c r="U1524" s="38" t="b">
        <f t="shared" si="34"/>
        <v>0</v>
      </c>
      <c r="V1524" s="38"/>
      <c r="W1524" s="40"/>
      <c r="X1524" s="40"/>
      <c r="Y1524" s="38"/>
      <c r="Z1524" s="38"/>
      <c r="AA1524" s="38"/>
      <c r="AB1524" s="38"/>
      <c r="AC1524" s="38"/>
      <c r="AD1524" s="38"/>
      <c r="AE1524" s="38"/>
      <c r="AF1524" s="38"/>
      <c r="AG1524" s="38"/>
      <c r="AH1524" s="38"/>
      <c r="AI1524" s="38"/>
      <c r="AJ1524" s="38"/>
      <c r="AK1524" s="38"/>
      <c r="AL1524" s="38"/>
      <c r="AM1524" s="38"/>
      <c r="AN1524" s="38"/>
      <c r="AO1524" s="38"/>
      <c r="AP1524" s="38"/>
      <c r="AQ1524" s="38"/>
      <c r="AR1524" s="38"/>
      <c r="AS1524" s="38"/>
      <c r="AT1524" s="38"/>
      <c r="AU1524" s="38"/>
      <c r="AV1524" s="38"/>
      <c r="AW1524" s="38"/>
      <c r="AX1524" s="38"/>
      <c r="AY1524" s="38"/>
      <c r="AZ1524" s="38"/>
      <c r="BA1524" s="38"/>
      <c r="BB1524" s="38"/>
      <c r="BC1524" s="38"/>
      <c r="BD1524" s="38"/>
      <c r="BE1524" s="38"/>
      <c r="BF1524" s="38"/>
      <c r="BG1524" s="38"/>
      <c r="BH1524" s="38"/>
      <c r="BI1524" s="38"/>
      <c r="BJ1524" s="38"/>
      <c r="BK1524" s="38"/>
      <c r="BL1524" s="38"/>
      <c r="BM1524" s="38"/>
      <c r="BN1524" s="38"/>
      <c r="BO1524" s="38"/>
      <c r="BP1524" s="38"/>
      <c r="BQ1524" s="38"/>
    </row>
    <row r="1525">
      <c r="A1525" s="58"/>
      <c r="B1525" s="341"/>
      <c r="C1525" s="60"/>
      <c r="D1525" s="60"/>
      <c r="E1525" s="58"/>
      <c r="F1525" s="58"/>
      <c r="G1525" s="58"/>
      <c r="H1525" s="33" t="str">
        <f t="shared" si="33"/>
        <v/>
      </c>
      <c r="I1525" s="58"/>
      <c r="J1525" s="58"/>
      <c r="K1525" s="58"/>
      <c r="L1525" s="58"/>
      <c r="M1525" s="80"/>
      <c r="N1525" s="77"/>
      <c r="O1525" s="62"/>
      <c r="P1525" s="62"/>
      <c r="Q1525" s="62"/>
      <c r="R1525" s="62"/>
      <c r="S1525" s="37" t="str">
        <f>IFERROR(__xludf.DUMMYFUNCTION("if(not(iserror(index(split(C1525, "" ""),2))), index(split(C1525, "" ""),1),"""")"),"")</f>
        <v/>
      </c>
      <c r="T1525" s="315" t="str">
        <f>IFERROR(__xludf.DUMMYFUNCTION("if(S1525="""",C1525,if(not(iserror(index(split(C1525, "" ""),3))), index(split(C1525, "" ""),3),index(split(C1525, "" ""),2)))"),"")</f>
        <v/>
      </c>
      <c r="U1525" s="38" t="b">
        <f t="shared" si="34"/>
        <v>0</v>
      </c>
      <c r="V1525" s="38"/>
      <c r="W1525" s="40"/>
      <c r="X1525" s="40"/>
      <c r="Y1525" s="38"/>
      <c r="Z1525" s="38"/>
      <c r="AA1525" s="38"/>
      <c r="AB1525" s="38"/>
      <c r="AC1525" s="38"/>
      <c r="AD1525" s="38"/>
      <c r="AE1525" s="38"/>
      <c r="AF1525" s="38"/>
      <c r="AG1525" s="38"/>
      <c r="AH1525" s="38"/>
      <c r="AI1525" s="38"/>
      <c r="AJ1525" s="38"/>
      <c r="AK1525" s="38"/>
      <c r="AL1525" s="38"/>
      <c r="AM1525" s="38"/>
      <c r="AN1525" s="38"/>
      <c r="AO1525" s="38"/>
      <c r="AP1525" s="38"/>
      <c r="AQ1525" s="38"/>
      <c r="AR1525" s="38"/>
      <c r="AS1525" s="38"/>
      <c r="AT1525" s="38"/>
      <c r="AU1525" s="38"/>
      <c r="AV1525" s="38"/>
      <c r="AW1525" s="38"/>
      <c r="AX1525" s="38"/>
      <c r="AY1525" s="38"/>
      <c r="AZ1525" s="38"/>
      <c r="BA1525" s="38"/>
      <c r="BB1525" s="38"/>
      <c r="BC1525" s="38"/>
      <c r="BD1525" s="38"/>
      <c r="BE1525" s="38"/>
      <c r="BF1525" s="38"/>
      <c r="BG1525" s="38"/>
      <c r="BH1525" s="38"/>
      <c r="BI1525" s="38"/>
      <c r="BJ1525" s="38"/>
      <c r="BK1525" s="38"/>
      <c r="BL1525" s="38"/>
      <c r="BM1525" s="38"/>
      <c r="BN1525" s="38"/>
      <c r="BO1525" s="38"/>
      <c r="BP1525" s="38"/>
      <c r="BQ1525" s="38"/>
    </row>
    <row r="1526">
      <c r="A1526" s="58"/>
      <c r="B1526" s="341"/>
      <c r="C1526" s="60"/>
      <c r="D1526" s="60"/>
      <c r="E1526" s="58"/>
      <c r="F1526" s="58"/>
      <c r="G1526" s="58"/>
      <c r="H1526" s="33" t="str">
        <f t="shared" si="33"/>
        <v/>
      </c>
      <c r="I1526" s="58"/>
      <c r="J1526" s="58"/>
      <c r="K1526" s="58"/>
      <c r="L1526" s="58"/>
      <c r="M1526" s="80"/>
      <c r="N1526" s="77"/>
      <c r="O1526" s="58"/>
      <c r="P1526" s="58"/>
      <c r="Q1526" s="84"/>
      <c r="R1526" s="62"/>
      <c r="S1526" s="37" t="str">
        <f>IFERROR(__xludf.DUMMYFUNCTION("if(not(iserror(index(split(C1526, "" ""),2))), index(split(C1526, "" ""),1),"""")"),"")</f>
        <v/>
      </c>
      <c r="T1526" s="315" t="str">
        <f>IFERROR(__xludf.DUMMYFUNCTION("if(S1526="""",C1526,if(not(iserror(index(split(C1526, "" ""),3))), index(split(C1526, "" ""),3),index(split(C1526, "" ""),2)))"),"")</f>
        <v/>
      </c>
      <c r="U1526" s="38" t="b">
        <f t="shared" si="34"/>
        <v>0</v>
      </c>
      <c r="V1526" s="38"/>
      <c r="W1526" s="40"/>
      <c r="X1526" s="40"/>
      <c r="Y1526" s="38"/>
      <c r="Z1526" s="38"/>
      <c r="AA1526" s="38"/>
      <c r="AB1526" s="38"/>
      <c r="AC1526" s="38"/>
      <c r="AD1526" s="38"/>
      <c r="AE1526" s="38"/>
      <c r="AF1526" s="38"/>
      <c r="AG1526" s="38"/>
      <c r="AH1526" s="38"/>
      <c r="AI1526" s="38"/>
      <c r="AJ1526" s="38"/>
      <c r="AK1526" s="38"/>
      <c r="AL1526" s="38"/>
      <c r="AM1526" s="38"/>
      <c r="AN1526" s="38"/>
      <c r="AO1526" s="38"/>
      <c r="AP1526" s="38"/>
      <c r="AQ1526" s="38"/>
      <c r="AR1526" s="38"/>
      <c r="AS1526" s="38"/>
      <c r="AT1526" s="38"/>
      <c r="AU1526" s="38"/>
      <c r="AV1526" s="38"/>
      <c r="AW1526" s="38"/>
      <c r="AX1526" s="38"/>
      <c r="AY1526" s="38"/>
      <c r="AZ1526" s="38"/>
      <c r="BA1526" s="38"/>
      <c r="BB1526" s="38"/>
      <c r="BC1526" s="38"/>
      <c r="BD1526" s="38"/>
      <c r="BE1526" s="38"/>
      <c r="BF1526" s="38"/>
      <c r="BG1526" s="38"/>
      <c r="BH1526" s="38"/>
      <c r="BI1526" s="38"/>
      <c r="BJ1526" s="38"/>
      <c r="BK1526" s="38"/>
      <c r="BL1526" s="38"/>
      <c r="BM1526" s="38"/>
      <c r="BN1526" s="38"/>
      <c r="BO1526" s="38"/>
      <c r="BP1526" s="38"/>
      <c r="BQ1526" s="38"/>
    </row>
    <row r="1527">
      <c r="A1527" s="58"/>
      <c r="B1527" s="341"/>
      <c r="C1527" s="60"/>
      <c r="D1527" s="60"/>
      <c r="E1527" s="58"/>
      <c r="F1527" s="58"/>
      <c r="G1527" s="58"/>
      <c r="H1527" s="33" t="str">
        <f t="shared" si="33"/>
        <v/>
      </c>
      <c r="I1527" s="58"/>
      <c r="J1527" s="58"/>
      <c r="K1527" s="58"/>
      <c r="L1527" s="91"/>
      <c r="M1527" s="80"/>
      <c r="N1527" s="77"/>
      <c r="O1527" s="58"/>
      <c r="P1527" s="58"/>
      <c r="Q1527" s="58"/>
      <c r="R1527" s="62"/>
      <c r="S1527" s="37" t="str">
        <f>IFERROR(__xludf.DUMMYFUNCTION("if(not(iserror(index(split(C1527, "" ""),2))), index(split(C1527, "" ""),1),"""")"),"")</f>
        <v/>
      </c>
      <c r="T1527" s="315" t="str">
        <f>IFERROR(__xludf.DUMMYFUNCTION("if(S1527="""",C1527,if(not(iserror(index(split(C1527, "" ""),3))), index(split(C1527, "" ""),3),index(split(C1527, "" ""),2)))"),"")</f>
        <v/>
      </c>
      <c r="U1527" s="38" t="b">
        <f t="shared" si="34"/>
        <v>0</v>
      </c>
      <c r="V1527" s="38"/>
      <c r="W1527" s="40"/>
      <c r="X1527" s="40"/>
      <c r="Y1527" s="38"/>
      <c r="Z1527" s="38"/>
      <c r="AA1527" s="38"/>
      <c r="AB1527" s="38"/>
      <c r="AC1527" s="38"/>
      <c r="AD1527" s="38"/>
      <c r="AE1527" s="38"/>
      <c r="AF1527" s="38"/>
      <c r="AG1527" s="38"/>
      <c r="AH1527" s="38"/>
      <c r="AI1527" s="38"/>
      <c r="AJ1527" s="38"/>
      <c r="AK1527" s="38"/>
      <c r="AL1527" s="38"/>
      <c r="AM1527" s="38"/>
      <c r="AN1527" s="38"/>
      <c r="AO1527" s="38"/>
      <c r="AP1527" s="38"/>
      <c r="AQ1527" s="38"/>
      <c r="AR1527" s="38"/>
      <c r="AS1527" s="38"/>
      <c r="AT1527" s="38"/>
      <c r="AU1527" s="38"/>
      <c r="AV1527" s="38"/>
      <c r="AW1527" s="38"/>
      <c r="AX1527" s="38"/>
      <c r="AY1527" s="38"/>
      <c r="AZ1527" s="38"/>
      <c r="BA1527" s="38"/>
      <c r="BB1527" s="38"/>
      <c r="BC1527" s="38"/>
      <c r="BD1527" s="38"/>
      <c r="BE1527" s="38"/>
      <c r="BF1527" s="38"/>
      <c r="BG1527" s="38"/>
      <c r="BH1527" s="38"/>
      <c r="BI1527" s="38"/>
      <c r="BJ1527" s="38"/>
      <c r="BK1527" s="38"/>
      <c r="BL1527" s="38"/>
      <c r="BM1527" s="38"/>
      <c r="BN1527" s="38"/>
      <c r="BO1527" s="38"/>
      <c r="BP1527" s="38"/>
      <c r="BQ1527" s="38"/>
    </row>
    <row r="1528">
      <c r="A1528" s="91"/>
      <c r="B1528" s="383"/>
      <c r="C1528" s="146"/>
      <c r="D1528" s="146"/>
      <c r="E1528" s="91"/>
      <c r="F1528" s="91"/>
      <c r="G1528" s="91"/>
      <c r="H1528" s="33" t="str">
        <f t="shared" si="33"/>
        <v/>
      </c>
      <c r="I1528" s="91"/>
      <c r="J1528" s="91"/>
      <c r="K1528" s="91"/>
      <c r="L1528" s="91"/>
      <c r="M1528" s="95"/>
      <c r="N1528" s="15"/>
      <c r="O1528" s="58"/>
      <c r="P1528" s="58"/>
      <c r="Q1528" s="84"/>
      <c r="R1528" s="62"/>
      <c r="S1528" s="37" t="str">
        <f>IFERROR(__xludf.DUMMYFUNCTION("if(not(iserror(index(split(C1528, "" ""),2))), index(split(C1528, "" ""),1),"""")"),"")</f>
        <v/>
      </c>
      <c r="T1528" s="315" t="str">
        <f>IFERROR(__xludf.DUMMYFUNCTION("if(S1528="""",C1528,if(not(iserror(index(split(C1528, "" ""),3))), index(split(C1528, "" ""),3),index(split(C1528, "" ""),2)))"),"")</f>
        <v/>
      </c>
      <c r="U1528" s="38" t="b">
        <f t="shared" si="34"/>
        <v>0</v>
      </c>
      <c r="V1528" s="38"/>
      <c r="W1528" s="40"/>
      <c r="X1528" s="40"/>
      <c r="Y1528" s="38"/>
      <c r="Z1528" s="38"/>
      <c r="AA1528" s="38"/>
      <c r="AB1528" s="38"/>
      <c r="AC1528" s="38"/>
      <c r="AD1528" s="38"/>
      <c r="AE1528" s="38"/>
      <c r="AF1528" s="38"/>
      <c r="AG1528" s="38"/>
      <c r="AH1528" s="38"/>
      <c r="AI1528" s="38"/>
      <c r="AJ1528" s="38"/>
      <c r="AK1528" s="38"/>
      <c r="AL1528" s="38"/>
      <c r="AM1528" s="38"/>
      <c r="AN1528" s="38"/>
      <c r="AO1528" s="38"/>
      <c r="AP1528" s="38"/>
      <c r="AQ1528" s="38"/>
      <c r="AR1528" s="38"/>
      <c r="AS1528" s="38"/>
      <c r="AT1528" s="38"/>
      <c r="AU1528" s="38"/>
      <c r="AV1528" s="38"/>
      <c r="AW1528" s="38"/>
      <c r="AX1528" s="38"/>
      <c r="AY1528" s="38"/>
      <c r="AZ1528" s="38"/>
      <c r="BA1528" s="38"/>
      <c r="BB1528" s="38"/>
      <c r="BC1528" s="38"/>
      <c r="BD1528" s="38"/>
      <c r="BE1528" s="38"/>
      <c r="BF1528" s="38"/>
      <c r="BG1528" s="38"/>
      <c r="BH1528" s="38"/>
      <c r="BI1528" s="38"/>
      <c r="BJ1528" s="38"/>
      <c r="BK1528" s="38"/>
      <c r="BL1528" s="38"/>
      <c r="BM1528" s="38"/>
      <c r="BN1528" s="38"/>
      <c r="BO1528" s="38"/>
      <c r="BP1528" s="38"/>
      <c r="BQ1528" s="38"/>
    </row>
    <row r="1529">
      <c r="A1529" s="58"/>
      <c r="B1529" s="341"/>
      <c r="C1529" s="60"/>
      <c r="D1529" s="60"/>
      <c r="E1529" s="58"/>
      <c r="F1529" s="58"/>
      <c r="G1529" s="58"/>
      <c r="H1529" s="33" t="str">
        <f t="shared" si="33"/>
        <v/>
      </c>
      <c r="I1529" s="58"/>
      <c r="J1529" s="58"/>
      <c r="K1529" s="58"/>
      <c r="L1529" s="58"/>
      <c r="M1529" s="80"/>
      <c r="N1529" s="77"/>
      <c r="O1529" s="62"/>
      <c r="P1529" s="62"/>
      <c r="Q1529" s="62"/>
      <c r="R1529" s="62"/>
      <c r="S1529" s="37" t="str">
        <f>IFERROR(__xludf.DUMMYFUNCTION("if(not(iserror(index(split(C1529, "" ""),2))), index(split(C1529, "" ""),1),"""")"),"")</f>
        <v/>
      </c>
      <c r="T1529" s="315" t="str">
        <f>IFERROR(__xludf.DUMMYFUNCTION("if(S1529="""",C1529,if(not(iserror(index(split(C1529, "" ""),3))), index(split(C1529, "" ""),3),index(split(C1529, "" ""),2)))"),"")</f>
        <v/>
      </c>
      <c r="U1529" s="38" t="b">
        <f t="shared" si="34"/>
        <v>0</v>
      </c>
      <c r="V1529" s="38"/>
      <c r="W1529" s="40"/>
      <c r="X1529" s="40"/>
      <c r="Y1529" s="38"/>
      <c r="Z1529" s="38"/>
      <c r="AA1529" s="38"/>
      <c r="AB1529" s="38"/>
      <c r="AC1529" s="38"/>
      <c r="AD1529" s="38"/>
      <c r="AE1529" s="38"/>
      <c r="AF1529" s="38"/>
      <c r="AG1529" s="38"/>
      <c r="AH1529" s="38"/>
      <c r="AI1529" s="38"/>
      <c r="AJ1529" s="38"/>
      <c r="AK1529" s="38"/>
      <c r="AL1529" s="38"/>
      <c r="AM1529" s="38"/>
      <c r="AN1529" s="38"/>
      <c r="AO1529" s="38"/>
      <c r="AP1529" s="38"/>
      <c r="AQ1529" s="38"/>
      <c r="AR1529" s="38"/>
      <c r="AS1529" s="38"/>
      <c r="AT1529" s="38"/>
      <c r="AU1529" s="38"/>
      <c r="AV1529" s="38"/>
      <c r="AW1529" s="38"/>
      <c r="AX1529" s="38"/>
      <c r="AY1529" s="38"/>
      <c r="AZ1529" s="38"/>
      <c r="BA1529" s="38"/>
      <c r="BB1529" s="38"/>
      <c r="BC1529" s="38"/>
      <c r="BD1529" s="38"/>
      <c r="BE1529" s="38"/>
      <c r="BF1529" s="38"/>
      <c r="BG1529" s="38"/>
      <c r="BH1529" s="38"/>
      <c r="BI1529" s="38"/>
      <c r="BJ1529" s="38"/>
      <c r="BK1529" s="38"/>
      <c r="BL1529" s="38"/>
      <c r="BM1529" s="38"/>
      <c r="BN1529" s="38"/>
      <c r="BO1529" s="38"/>
      <c r="BP1529" s="38"/>
      <c r="BQ1529" s="38"/>
    </row>
    <row r="1530">
      <c r="A1530" s="58"/>
      <c r="B1530" s="341"/>
      <c r="C1530" s="60"/>
      <c r="D1530" s="60"/>
      <c r="E1530" s="58"/>
      <c r="F1530" s="58"/>
      <c r="G1530" s="58"/>
      <c r="H1530" s="33" t="str">
        <f t="shared" si="33"/>
        <v/>
      </c>
      <c r="I1530" s="58"/>
      <c r="J1530" s="58"/>
      <c r="K1530" s="58"/>
      <c r="L1530" s="58"/>
      <c r="M1530" s="80"/>
      <c r="N1530" s="80"/>
      <c r="O1530" s="62"/>
      <c r="P1530" s="58"/>
      <c r="Q1530" s="84"/>
      <c r="R1530" s="62"/>
      <c r="S1530" s="37" t="str">
        <f>IFERROR(__xludf.DUMMYFUNCTION("if(not(iserror(index(split(C1530, "" ""),2))), index(split(C1530, "" ""),1),"""")"),"")</f>
        <v/>
      </c>
      <c r="T1530" s="315" t="str">
        <f>IFERROR(__xludf.DUMMYFUNCTION("if(S1530="""",C1530,if(not(iserror(index(split(C1530, "" ""),3))), index(split(C1530, "" ""),3),index(split(C1530, "" ""),2)))"),"")</f>
        <v/>
      </c>
      <c r="U1530" s="38" t="b">
        <f t="shared" si="34"/>
        <v>0</v>
      </c>
      <c r="V1530" s="38"/>
      <c r="W1530" s="40"/>
      <c r="X1530" s="40"/>
      <c r="Y1530" s="38"/>
      <c r="Z1530" s="38"/>
      <c r="AA1530" s="38"/>
      <c r="AB1530" s="38"/>
      <c r="AC1530" s="38"/>
      <c r="AD1530" s="38"/>
      <c r="AE1530" s="38"/>
      <c r="AF1530" s="38"/>
      <c r="AG1530" s="38"/>
      <c r="AH1530" s="38"/>
      <c r="AI1530" s="38"/>
      <c r="AJ1530" s="38"/>
      <c r="AK1530" s="38"/>
      <c r="AL1530" s="38"/>
      <c r="AM1530" s="38"/>
      <c r="AN1530" s="38"/>
      <c r="AO1530" s="38"/>
      <c r="AP1530" s="38"/>
      <c r="AQ1530" s="38"/>
      <c r="AR1530" s="38"/>
      <c r="AS1530" s="38"/>
      <c r="AT1530" s="38"/>
      <c r="AU1530" s="38"/>
      <c r="AV1530" s="38"/>
      <c r="AW1530" s="38"/>
      <c r="AX1530" s="38"/>
      <c r="AY1530" s="38"/>
      <c r="AZ1530" s="38"/>
      <c r="BA1530" s="38"/>
      <c r="BB1530" s="38"/>
      <c r="BC1530" s="38"/>
      <c r="BD1530" s="38"/>
      <c r="BE1530" s="38"/>
      <c r="BF1530" s="38"/>
      <c r="BG1530" s="38"/>
      <c r="BH1530" s="38"/>
      <c r="BI1530" s="38"/>
      <c r="BJ1530" s="38"/>
      <c r="BK1530" s="38"/>
      <c r="BL1530" s="38"/>
      <c r="BM1530" s="38"/>
      <c r="BN1530" s="38"/>
      <c r="BO1530" s="38"/>
      <c r="BP1530" s="38"/>
      <c r="BQ1530" s="38"/>
    </row>
    <row r="1531">
      <c r="A1531" s="58"/>
      <c r="B1531" s="341"/>
      <c r="C1531" s="60"/>
      <c r="D1531" s="60"/>
      <c r="E1531" s="58"/>
      <c r="F1531" s="58"/>
      <c r="G1531" s="58"/>
      <c r="H1531" s="33" t="str">
        <f t="shared" si="33"/>
        <v/>
      </c>
      <c r="I1531" s="58"/>
      <c r="J1531" s="58"/>
      <c r="K1531" s="58"/>
      <c r="L1531" s="58"/>
      <c r="M1531" s="80"/>
      <c r="N1531" s="77"/>
      <c r="O1531" s="62"/>
      <c r="P1531" s="62"/>
      <c r="Q1531" s="62"/>
      <c r="R1531" s="62"/>
      <c r="S1531" s="37" t="str">
        <f>IFERROR(__xludf.DUMMYFUNCTION("if(not(iserror(index(split(C1531, "" ""),2))), index(split(C1531, "" ""),1),"""")"),"")</f>
        <v/>
      </c>
      <c r="T1531" s="315" t="str">
        <f>IFERROR(__xludf.DUMMYFUNCTION("if(S1531="""",C1531,if(not(iserror(index(split(C1531, "" ""),3))), index(split(C1531, "" ""),3),index(split(C1531, "" ""),2)))"),"")</f>
        <v/>
      </c>
      <c r="U1531" s="38" t="b">
        <f t="shared" si="34"/>
        <v>0</v>
      </c>
      <c r="V1531" s="38"/>
      <c r="W1531" s="40"/>
      <c r="X1531" s="40"/>
      <c r="Y1531" s="38"/>
      <c r="Z1531" s="38"/>
      <c r="AA1531" s="38"/>
      <c r="AB1531" s="38"/>
      <c r="AC1531" s="38"/>
      <c r="AD1531" s="38"/>
      <c r="AE1531" s="38"/>
      <c r="AF1531" s="38"/>
      <c r="AG1531" s="38"/>
      <c r="AH1531" s="38"/>
      <c r="AI1531" s="38"/>
      <c r="AJ1531" s="38"/>
      <c r="AK1531" s="38"/>
      <c r="AL1531" s="38"/>
      <c r="AM1531" s="38"/>
      <c r="AN1531" s="38"/>
      <c r="AO1531" s="38"/>
      <c r="AP1531" s="38"/>
      <c r="AQ1531" s="38"/>
      <c r="AR1531" s="38"/>
      <c r="AS1531" s="38"/>
      <c r="AT1531" s="38"/>
      <c r="AU1531" s="38"/>
      <c r="AV1531" s="38"/>
      <c r="AW1531" s="38"/>
      <c r="AX1531" s="38"/>
      <c r="AY1531" s="38"/>
      <c r="AZ1531" s="38"/>
      <c r="BA1531" s="38"/>
      <c r="BB1531" s="38"/>
      <c r="BC1531" s="38"/>
      <c r="BD1531" s="38"/>
      <c r="BE1531" s="38"/>
      <c r="BF1531" s="38"/>
      <c r="BG1531" s="38"/>
      <c r="BH1531" s="38"/>
      <c r="BI1531" s="38"/>
      <c r="BJ1531" s="38"/>
      <c r="BK1531" s="38"/>
      <c r="BL1531" s="38"/>
      <c r="BM1531" s="38"/>
      <c r="BN1531" s="38"/>
      <c r="BO1531" s="38"/>
      <c r="BP1531" s="38"/>
      <c r="BQ1531" s="38"/>
    </row>
    <row r="1532">
      <c r="A1532" s="58"/>
      <c r="B1532" s="341"/>
      <c r="C1532" s="60"/>
      <c r="D1532" s="60"/>
      <c r="E1532" s="58"/>
      <c r="F1532" s="58"/>
      <c r="G1532" s="58"/>
      <c r="H1532" s="33" t="str">
        <f t="shared" si="33"/>
        <v/>
      </c>
      <c r="I1532" s="58"/>
      <c r="J1532" s="58"/>
      <c r="K1532" s="58"/>
      <c r="L1532" s="58"/>
      <c r="M1532" s="80"/>
      <c r="N1532" s="77"/>
      <c r="O1532" s="62"/>
      <c r="P1532" s="62"/>
      <c r="Q1532" s="62"/>
      <c r="R1532" s="62"/>
      <c r="S1532" s="37" t="str">
        <f>IFERROR(__xludf.DUMMYFUNCTION("if(not(iserror(index(split(C1532, "" ""),2))), index(split(C1532, "" ""),1),"""")"),"")</f>
        <v/>
      </c>
      <c r="T1532" s="315" t="str">
        <f>IFERROR(__xludf.DUMMYFUNCTION("if(S1532="""",C1532,if(not(iserror(index(split(C1532, "" ""),3))), index(split(C1532, "" ""),3),index(split(C1532, "" ""),2)))"),"")</f>
        <v/>
      </c>
      <c r="U1532" s="38" t="b">
        <f t="shared" si="34"/>
        <v>0</v>
      </c>
      <c r="V1532" s="38"/>
      <c r="W1532" s="40"/>
      <c r="X1532" s="40"/>
      <c r="Y1532" s="38"/>
      <c r="Z1532" s="38"/>
      <c r="AA1532" s="38"/>
      <c r="AB1532" s="38"/>
      <c r="AC1532" s="38"/>
      <c r="AD1532" s="38"/>
      <c r="AE1532" s="38"/>
      <c r="AF1532" s="38"/>
      <c r="AG1532" s="38"/>
      <c r="AH1532" s="38"/>
      <c r="AI1532" s="38"/>
      <c r="AJ1532" s="38"/>
      <c r="AK1532" s="38"/>
      <c r="AL1532" s="38"/>
      <c r="AM1532" s="38"/>
      <c r="AN1532" s="38"/>
      <c r="AO1532" s="38"/>
      <c r="AP1532" s="38"/>
      <c r="AQ1532" s="38"/>
      <c r="AR1532" s="38"/>
      <c r="AS1532" s="38"/>
      <c r="AT1532" s="38"/>
      <c r="AU1532" s="38"/>
      <c r="AV1532" s="38"/>
      <c r="AW1532" s="38"/>
      <c r="AX1532" s="38"/>
      <c r="AY1532" s="38"/>
      <c r="AZ1532" s="38"/>
      <c r="BA1532" s="38"/>
      <c r="BB1532" s="38"/>
      <c r="BC1532" s="38"/>
      <c r="BD1532" s="38"/>
      <c r="BE1532" s="38"/>
      <c r="BF1532" s="38"/>
      <c r="BG1532" s="38"/>
      <c r="BH1532" s="38"/>
      <c r="BI1532" s="38"/>
      <c r="BJ1532" s="38"/>
      <c r="BK1532" s="38"/>
      <c r="BL1532" s="38"/>
      <c r="BM1532" s="38"/>
      <c r="BN1532" s="38"/>
      <c r="BO1532" s="38"/>
      <c r="BP1532" s="38"/>
      <c r="BQ1532" s="38"/>
    </row>
    <row r="1533">
      <c r="B1533" s="341"/>
      <c r="C1533" s="60"/>
      <c r="D1533" s="60"/>
      <c r="E1533" s="58"/>
      <c r="F1533" s="58"/>
      <c r="G1533" s="58"/>
      <c r="H1533" s="33" t="str">
        <f t="shared" si="33"/>
        <v/>
      </c>
      <c r="I1533" s="58"/>
      <c r="J1533" s="58"/>
      <c r="K1533" s="58"/>
      <c r="L1533" s="58"/>
      <c r="M1533" s="80"/>
      <c r="N1533" s="77"/>
      <c r="O1533" s="62"/>
      <c r="P1533" s="62"/>
      <c r="Q1533" s="62"/>
      <c r="R1533" s="62"/>
      <c r="S1533" s="37" t="str">
        <f>IFERROR(__xludf.DUMMYFUNCTION("if(not(iserror(index(split(C1533, "" ""),2))), index(split(C1533, "" ""),1),"""")"),"")</f>
        <v/>
      </c>
      <c r="T1533" s="315" t="str">
        <f>IFERROR(__xludf.DUMMYFUNCTION("if(S1533="""",C1533,if(not(iserror(index(split(C1533, "" ""),3))), index(split(C1533, "" ""),3),index(split(C1533, "" ""),2)))"),"")</f>
        <v/>
      </c>
      <c r="U1533" s="38" t="b">
        <f t="shared" si="34"/>
        <v>0</v>
      </c>
      <c r="V1533" s="38"/>
      <c r="W1533" s="40"/>
      <c r="X1533" s="40"/>
      <c r="Y1533" s="38"/>
      <c r="Z1533" s="38"/>
      <c r="AA1533" s="38"/>
      <c r="AB1533" s="38"/>
      <c r="AC1533" s="38"/>
      <c r="AD1533" s="38"/>
      <c r="AE1533" s="38"/>
      <c r="AF1533" s="38"/>
      <c r="AG1533" s="38"/>
      <c r="AH1533" s="38"/>
      <c r="AI1533" s="38"/>
      <c r="AJ1533" s="38"/>
      <c r="AK1533" s="38"/>
      <c r="AL1533" s="38"/>
      <c r="AM1533" s="38"/>
      <c r="AN1533" s="38"/>
      <c r="AO1533" s="38"/>
      <c r="AP1533" s="38"/>
      <c r="AQ1533" s="38"/>
      <c r="AR1533" s="38"/>
      <c r="AS1533" s="38"/>
      <c r="AT1533" s="38"/>
      <c r="AU1533" s="38"/>
      <c r="AV1533" s="38"/>
      <c r="AW1533" s="38"/>
      <c r="AX1533" s="38"/>
      <c r="AY1533" s="38"/>
      <c r="AZ1533" s="38"/>
      <c r="BA1533" s="38"/>
      <c r="BB1533" s="38"/>
      <c r="BC1533" s="38"/>
      <c r="BD1533" s="38"/>
      <c r="BE1533" s="38"/>
      <c r="BF1533" s="38"/>
      <c r="BG1533" s="38"/>
      <c r="BH1533" s="38"/>
      <c r="BI1533" s="38"/>
      <c r="BJ1533" s="38"/>
      <c r="BK1533" s="38"/>
      <c r="BL1533" s="38"/>
      <c r="BM1533" s="38"/>
      <c r="BN1533" s="38"/>
      <c r="BO1533" s="38"/>
      <c r="BP1533" s="38"/>
      <c r="BQ1533" s="38"/>
    </row>
    <row r="1534">
      <c r="A1534" s="58"/>
      <c r="B1534" s="341"/>
      <c r="C1534" s="60"/>
      <c r="D1534" s="60"/>
      <c r="E1534" s="58"/>
      <c r="F1534" s="58"/>
      <c r="G1534" s="58"/>
      <c r="H1534" s="33" t="str">
        <f t="shared" si="33"/>
        <v/>
      </c>
      <c r="I1534" s="58"/>
      <c r="J1534" s="58"/>
      <c r="K1534" s="58"/>
      <c r="L1534" s="58"/>
      <c r="M1534" s="80"/>
      <c r="N1534" s="77"/>
      <c r="O1534" s="62"/>
      <c r="P1534" s="62"/>
      <c r="Q1534" s="62"/>
      <c r="R1534" s="62"/>
      <c r="S1534" s="37" t="str">
        <f>IFERROR(__xludf.DUMMYFUNCTION("if(not(iserror(index(split(C1534, "" ""),2))), index(split(C1534, "" ""),1),"""")"),"")</f>
        <v/>
      </c>
      <c r="T1534" s="315" t="str">
        <f>IFERROR(__xludf.DUMMYFUNCTION("if(S1534="""",C1534,if(not(iserror(index(split(C1534, "" ""),3))), index(split(C1534, "" ""),3),index(split(C1534, "" ""),2)))"),"")</f>
        <v/>
      </c>
      <c r="U1534" s="38" t="b">
        <f t="shared" si="34"/>
        <v>0</v>
      </c>
      <c r="V1534" s="38"/>
      <c r="W1534" s="40"/>
      <c r="X1534" s="40"/>
      <c r="Y1534" s="38"/>
      <c r="Z1534" s="38"/>
      <c r="AA1534" s="38"/>
      <c r="AB1534" s="38"/>
      <c r="AC1534" s="38"/>
      <c r="AD1534" s="38"/>
      <c r="AE1534" s="38"/>
      <c r="AF1534" s="38"/>
      <c r="AG1534" s="38"/>
      <c r="AH1534" s="38"/>
      <c r="AI1534" s="38"/>
      <c r="AJ1534" s="38"/>
      <c r="AK1534" s="38"/>
      <c r="AL1534" s="38"/>
      <c r="AM1534" s="38"/>
      <c r="AN1534" s="38"/>
      <c r="AO1534" s="38"/>
      <c r="AP1534" s="38"/>
      <c r="AQ1534" s="38"/>
      <c r="AR1534" s="38"/>
      <c r="AS1534" s="38"/>
      <c r="AT1534" s="38"/>
      <c r="AU1534" s="38"/>
      <c r="AV1534" s="38"/>
      <c r="AW1534" s="38"/>
      <c r="AX1534" s="38"/>
      <c r="AY1534" s="38"/>
      <c r="AZ1534" s="38"/>
      <c r="BA1534" s="38"/>
      <c r="BB1534" s="38"/>
      <c r="BC1534" s="38"/>
      <c r="BD1534" s="38"/>
      <c r="BE1534" s="38"/>
      <c r="BF1534" s="38"/>
      <c r="BG1534" s="38"/>
      <c r="BH1534" s="38"/>
      <c r="BI1534" s="38"/>
      <c r="BJ1534" s="38"/>
      <c r="BK1534" s="38"/>
      <c r="BL1534" s="38"/>
      <c r="BM1534" s="38"/>
      <c r="BN1534" s="38"/>
      <c r="BO1534" s="38"/>
      <c r="BP1534" s="38"/>
      <c r="BQ1534" s="38"/>
    </row>
    <row r="1535">
      <c r="A1535" s="58"/>
      <c r="B1535" s="341"/>
      <c r="C1535" s="60"/>
      <c r="D1535" s="60"/>
      <c r="E1535" s="58"/>
      <c r="F1535" s="58"/>
      <c r="G1535" s="58"/>
      <c r="H1535" s="33" t="str">
        <f t="shared" si="33"/>
        <v/>
      </c>
      <c r="I1535" s="58"/>
      <c r="J1535" s="58"/>
      <c r="K1535" s="58"/>
      <c r="L1535" s="58"/>
      <c r="M1535" s="80"/>
      <c r="N1535" s="77"/>
      <c r="O1535" s="62"/>
      <c r="P1535" s="62"/>
      <c r="Q1535" s="62"/>
      <c r="R1535" s="62"/>
      <c r="S1535" s="37" t="str">
        <f>IFERROR(__xludf.DUMMYFUNCTION("if(not(iserror(index(split(C1535, "" ""),2))), index(split(C1535, "" ""),1),"""")"),"")</f>
        <v/>
      </c>
      <c r="T1535" s="315" t="str">
        <f>IFERROR(__xludf.DUMMYFUNCTION("if(S1535="""",C1535,if(not(iserror(index(split(C1535, "" ""),3))), index(split(C1535, "" ""),3),index(split(C1535, "" ""),2)))"),"")</f>
        <v/>
      </c>
      <c r="U1535" s="38" t="b">
        <f t="shared" si="34"/>
        <v>0</v>
      </c>
      <c r="V1535" s="38"/>
      <c r="W1535" s="40"/>
      <c r="X1535" s="40"/>
      <c r="Y1535" s="38"/>
      <c r="Z1535" s="38"/>
      <c r="AA1535" s="38"/>
      <c r="AB1535" s="38"/>
      <c r="AC1535" s="38"/>
      <c r="AD1535" s="38"/>
      <c r="AE1535" s="38"/>
      <c r="AF1535" s="38"/>
      <c r="AG1535" s="38"/>
      <c r="AH1535" s="38"/>
      <c r="AI1535" s="38"/>
      <c r="AJ1535" s="38"/>
      <c r="AK1535" s="38"/>
      <c r="AL1535" s="38"/>
      <c r="AM1535" s="38"/>
      <c r="AN1535" s="38"/>
      <c r="AO1535" s="38"/>
      <c r="AP1535" s="38"/>
      <c r="AQ1535" s="38"/>
      <c r="AR1535" s="38"/>
      <c r="AS1535" s="38"/>
      <c r="AT1535" s="38"/>
      <c r="AU1535" s="38"/>
      <c r="AV1535" s="38"/>
      <c r="AW1535" s="38"/>
      <c r="AX1535" s="38"/>
      <c r="AY1535" s="38"/>
      <c r="AZ1535" s="38"/>
      <c r="BA1535" s="38"/>
      <c r="BB1535" s="38"/>
      <c r="BC1535" s="38"/>
      <c r="BD1535" s="38"/>
      <c r="BE1535" s="38"/>
      <c r="BF1535" s="38"/>
      <c r="BG1535" s="38"/>
      <c r="BH1535" s="38"/>
      <c r="BI1535" s="38"/>
      <c r="BJ1535" s="38"/>
      <c r="BK1535" s="38"/>
      <c r="BL1535" s="38"/>
      <c r="BM1535" s="38"/>
      <c r="BN1535" s="38"/>
      <c r="BO1535" s="38"/>
      <c r="BP1535" s="38"/>
      <c r="BQ1535" s="38"/>
    </row>
    <row r="1536">
      <c r="A1536" s="58"/>
      <c r="B1536" s="341"/>
      <c r="C1536" s="60"/>
      <c r="D1536" s="60"/>
      <c r="E1536" s="58"/>
      <c r="F1536" s="58"/>
      <c r="G1536" s="58"/>
      <c r="H1536" s="33" t="str">
        <f t="shared" si="33"/>
        <v/>
      </c>
      <c r="I1536" s="58"/>
      <c r="J1536" s="58"/>
      <c r="K1536" s="58"/>
      <c r="L1536" s="58"/>
      <c r="M1536" s="80"/>
      <c r="N1536" s="77"/>
      <c r="O1536" s="62"/>
      <c r="P1536" s="62"/>
      <c r="Q1536" s="62"/>
      <c r="R1536" s="62"/>
      <c r="S1536" s="37" t="str">
        <f>IFERROR(__xludf.DUMMYFUNCTION("if(not(iserror(index(split(C1536, "" ""),2))), index(split(C1536, "" ""),1),"""")"),"")</f>
        <v/>
      </c>
      <c r="T1536" s="315" t="str">
        <f>IFERROR(__xludf.DUMMYFUNCTION("if(S1536="""",C1536,if(not(iserror(index(split(C1536, "" ""),3))), index(split(C1536, "" ""),3),index(split(C1536, "" ""),2)))"),"")</f>
        <v/>
      </c>
      <c r="U1536" s="38" t="b">
        <f t="shared" si="34"/>
        <v>0</v>
      </c>
      <c r="V1536" s="38"/>
      <c r="W1536" s="40"/>
      <c r="X1536" s="40"/>
      <c r="Y1536" s="38"/>
      <c r="Z1536" s="38"/>
      <c r="AA1536" s="38"/>
      <c r="AB1536" s="38"/>
      <c r="AC1536" s="38"/>
      <c r="AD1536" s="38"/>
      <c r="AE1536" s="38"/>
      <c r="AF1536" s="38"/>
      <c r="AG1536" s="38"/>
      <c r="AH1536" s="38"/>
      <c r="AI1536" s="38"/>
      <c r="AJ1536" s="38"/>
      <c r="AK1536" s="38"/>
      <c r="AL1536" s="38"/>
      <c r="AM1536" s="38"/>
      <c r="AN1536" s="38"/>
      <c r="AO1536" s="38"/>
      <c r="AP1536" s="38"/>
      <c r="AQ1536" s="38"/>
      <c r="AR1536" s="38"/>
      <c r="AS1536" s="38"/>
      <c r="AT1536" s="38"/>
      <c r="AU1536" s="38"/>
      <c r="AV1536" s="38"/>
      <c r="AW1536" s="38"/>
      <c r="AX1536" s="38"/>
      <c r="AY1536" s="38"/>
      <c r="AZ1536" s="38"/>
      <c r="BA1536" s="38"/>
      <c r="BB1536" s="38"/>
      <c r="BC1536" s="38"/>
      <c r="BD1536" s="38"/>
      <c r="BE1536" s="38"/>
      <c r="BF1536" s="38"/>
      <c r="BG1536" s="38"/>
      <c r="BH1536" s="38"/>
      <c r="BI1536" s="38"/>
      <c r="BJ1536" s="38"/>
      <c r="BK1536" s="38"/>
      <c r="BL1536" s="38"/>
      <c r="BM1536" s="38"/>
      <c r="BN1536" s="38"/>
      <c r="BO1536" s="38"/>
      <c r="BP1536" s="38"/>
      <c r="BQ1536" s="38"/>
    </row>
    <row r="1537">
      <c r="A1537" s="58"/>
      <c r="B1537" s="341"/>
      <c r="C1537" s="60"/>
      <c r="D1537" s="60"/>
      <c r="E1537" s="58"/>
      <c r="F1537" s="58"/>
      <c r="G1537" s="58"/>
      <c r="H1537" s="33" t="str">
        <f t="shared" si="33"/>
        <v/>
      </c>
      <c r="I1537" s="58"/>
      <c r="J1537" s="58"/>
      <c r="K1537" s="58"/>
      <c r="L1537" s="58"/>
      <c r="M1537" s="80"/>
      <c r="N1537" s="77"/>
      <c r="O1537" s="62"/>
      <c r="P1537" s="62"/>
      <c r="Q1537" s="62"/>
      <c r="R1537" s="62"/>
      <c r="S1537" s="37" t="str">
        <f>IFERROR(__xludf.DUMMYFUNCTION("if(not(iserror(index(split(C1537, "" ""),2))), index(split(C1537, "" ""),1),"""")"),"")</f>
        <v/>
      </c>
      <c r="T1537" s="315" t="str">
        <f>IFERROR(__xludf.DUMMYFUNCTION("if(S1537="""",C1537,if(not(iserror(index(split(C1537, "" ""),3))), index(split(C1537, "" ""),3),index(split(C1537, "" ""),2)))"),"")</f>
        <v/>
      </c>
      <c r="U1537" s="38" t="b">
        <f t="shared" si="34"/>
        <v>0</v>
      </c>
      <c r="V1537" s="38"/>
      <c r="W1537" s="40"/>
      <c r="X1537" s="40"/>
      <c r="Y1537" s="38"/>
      <c r="Z1537" s="38"/>
      <c r="AA1537" s="38"/>
      <c r="AB1537" s="38"/>
      <c r="AC1537" s="38"/>
      <c r="AD1537" s="38"/>
      <c r="AE1537" s="38"/>
      <c r="AF1537" s="38"/>
      <c r="AG1537" s="38"/>
      <c r="AH1537" s="38"/>
      <c r="AI1537" s="38"/>
      <c r="AJ1537" s="38"/>
      <c r="AK1537" s="38"/>
      <c r="AL1537" s="38"/>
      <c r="AM1537" s="38"/>
      <c r="AN1537" s="38"/>
      <c r="AO1537" s="38"/>
      <c r="AP1537" s="38"/>
      <c r="AQ1537" s="38"/>
      <c r="AR1537" s="38"/>
      <c r="AS1537" s="38"/>
      <c r="AT1537" s="38"/>
      <c r="AU1537" s="38"/>
      <c r="AV1537" s="38"/>
      <c r="AW1537" s="38"/>
      <c r="AX1537" s="38"/>
      <c r="AY1537" s="38"/>
      <c r="AZ1537" s="38"/>
      <c r="BA1537" s="38"/>
      <c r="BB1537" s="38"/>
      <c r="BC1537" s="38"/>
      <c r="BD1537" s="38"/>
      <c r="BE1537" s="38"/>
      <c r="BF1537" s="38"/>
      <c r="BG1537" s="38"/>
      <c r="BH1537" s="38"/>
      <c r="BI1537" s="38"/>
      <c r="BJ1537" s="38"/>
      <c r="BK1537" s="38"/>
      <c r="BL1537" s="38"/>
      <c r="BM1537" s="38"/>
      <c r="BN1537" s="38"/>
      <c r="BO1537" s="38"/>
      <c r="BP1537" s="38"/>
      <c r="BQ1537" s="38"/>
    </row>
    <row r="1538">
      <c r="A1538" s="58"/>
      <c r="B1538" s="341"/>
      <c r="C1538" s="60"/>
      <c r="D1538" s="60"/>
      <c r="E1538" s="58"/>
      <c r="F1538" s="58"/>
      <c r="G1538" s="58"/>
      <c r="H1538" s="33" t="str">
        <f t="shared" si="33"/>
        <v/>
      </c>
      <c r="I1538" s="58"/>
      <c r="J1538" s="58"/>
      <c r="K1538" s="58"/>
      <c r="L1538" s="58"/>
      <c r="M1538" s="80"/>
      <c r="N1538" s="77"/>
      <c r="O1538" s="62"/>
      <c r="P1538" s="62"/>
      <c r="Q1538" s="62"/>
      <c r="R1538" s="62"/>
      <c r="S1538" s="37" t="str">
        <f>IFERROR(__xludf.DUMMYFUNCTION("if(not(iserror(index(split(C1538, "" ""),2))), index(split(C1538, "" ""),1),"""")"),"")</f>
        <v/>
      </c>
      <c r="T1538" s="315" t="str">
        <f>IFERROR(__xludf.DUMMYFUNCTION("if(S1538="""",C1538,if(not(iserror(index(split(C1538, "" ""),3))), index(split(C1538, "" ""),3),index(split(C1538, "" ""),2)))"),"")</f>
        <v/>
      </c>
      <c r="U1538" s="38" t="b">
        <f t="shared" si="34"/>
        <v>0</v>
      </c>
      <c r="V1538" s="38"/>
      <c r="W1538" s="40"/>
      <c r="X1538" s="40"/>
      <c r="Y1538" s="38"/>
      <c r="Z1538" s="38"/>
      <c r="AA1538" s="38"/>
      <c r="AB1538" s="38"/>
      <c r="AC1538" s="38"/>
      <c r="AD1538" s="38"/>
      <c r="AE1538" s="38"/>
      <c r="AF1538" s="38"/>
      <c r="AG1538" s="38"/>
      <c r="AH1538" s="38"/>
      <c r="AI1538" s="38"/>
      <c r="AJ1538" s="38"/>
      <c r="AK1538" s="38"/>
      <c r="AL1538" s="38"/>
      <c r="AM1538" s="38"/>
      <c r="AN1538" s="38"/>
      <c r="AO1538" s="38"/>
      <c r="AP1538" s="38"/>
      <c r="AQ1538" s="38"/>
      <c r="AR1538" s="38"/>
      <c r="AS1538" s="38"/>
      <c r="AT1538" s="38"/>
      <c r="AU1538" s="38"/>
      <c r="AV1538" s="38"/>
      <c r="AW1538" s="38"/>
      <c r="AX1538" s="38"/>
      <c r="AY1538" s="38"/>
      <c r="AZ1538" s="38"/>
      <c r="BA1538" s="38"/>
      <c r="BB1538" s="38"/>
      <c r="BC1538" s="38"/>
      <c r="BD1538" s="38"/>
      <c r="BE1538" s="38"/>
      <c r="BF1538" s="38"/>
      <c r="BG1538" s="38"/>
      <c r="BH1538" s="38"/>
      <c r="BI1538" s="38"/>
      <c r="BJ1538" s="38"/>
      <c r="BK1538" s="38"/>
      <c r="BL1538" s="38"/>
      <c r="BM1538" s="38"/>
      <c r="BN1538" s="38"/>
      <c r="BO1538" s="38"/>
      <c r="BP1538" s="38"/>
      <c r="BQ1538" s="38"/>
    </row>
    <row r="1539">
      <c r="A1539" s="58"/>
      <c r="B1539" s="341"/>
      <c r="C1539" s="60"/>
      <c r="D1539" s="60"/>
      <c r="E1539" s="58"/>
      <c r="F1539" s="58"/>
      <c r="G1539" s="58"/>
      <c r="H1539" s="33" t="str">
        <f t="shared" si="33"/>
        <v/>
      </c>
      <c r="I1539" s="58"/>
      <c r="J1539" s="58"/>
      <c r="K1539" s="58"/>
      <c r="L1539" s="58"/>
      <c r="M1539" s="80"/>
      <c r="N1539" s="77"/>
      <c r="O1539" s="62"/>
      <c r="P1539" s="62"/>
      <c r="Q1539" s="62"/>
      <c r="R1539" s="62"/>
      <c r="S1539" s="37" t="str">
        <f>IFERROR(__xludf.DUMMYFUNCTION("if(not(iserror(index(split(C1539, "" ""),2))), index(split(C1539, "" ""),1),"""")"),"")</f>
        <v/>
      </c>
      <c r="T1539" s="315" t="str">
        <f>IFERROR(__xludf.DUMMYFUNCTION("if(S1539="""",C1539,if(not(iserror(index(split(C1539, "" ""),3))), index(split(C1539, "" ""),3),index(split(C1539, "" ""),2)))"),"")</f>
        <v/>
      </c>
      <c r="U1539" s="38" t="b">
        <f t="shared" si="34"/>
        <v>0</v>
      </c>
      <c r="V1539" s="38"/>
      <c r="W1539" s="40"/>
      <c r="X1539" s="40"/>
      <c r="Y1539" s="38"/>
      <c r="Z1539" s="38"/>
      <c r="AA1539" s="38"/>
      <c r="AB1539" s="38"/>
      <c r="AC1539" s="38"/>
      <c r="AD1539" s="38"/>
      <c r="AE1539" s="38"/>
      <c r="AF1539" s="38"/>
      <c r="AG1539" s="38"/>
      <c r="AH1539" s="38"/>
      <c r="AI1539" s="38"/>
      <c r="AJ1539" s="38"/>
      <c r="AK1539" s="38"/>
      <c r="AL1539" s="38"/>
      <c r="AM1539" s="38"/>
      <c r="AN1539" s="38"/>
      <c r="AO1539" s="38"/>
      <c r="AP1539" s="38"/>
      <c r="AQ1539" s="38"/>
      <c r="AR1539" s="38"/>
      <c r="AS1539" s="38"/>
      <c r="AT1539" s="38"/>
      <c r="AU1539" s="38"/>
      <c r="AV1539" s="38"/>
      <c r="AW1539" s="38"/>
      <c r="AX1539" s="38"/>
      <c r="AY1539" s="38"/>
      <c r="AZ1539" s="38"/>
      <c r="BA1539" s="38"/>
      <c r="BB1539" s="38"/>
      <c r="BC1539" s="38"/>
      <c r="BD1539" s="38"/>
      <c r="BE1539" s="38"/>
      <c r="BF1539" s="38"/>
      <c r="BG1539" s="38"/>
      <c r="BH1539" s="38"/>
      <c r="BI1539" s="38"/>
      <c r="BJ1539" s="38"/>
      <c r="BK1539" s="38"/>
      <c r="BL1539" s="38"/>
      <c r="BM1539" s="38"/>
      <c r="BN1539" s="38"/>
      <c r="BO1539" s="38"/>
      <c r="BP1539" s="38"/>
      <c r="BQ1539" s="38"/>
    </row>
    <row r="1540">
      <c r="B1540" s="341"/>
      <c r="C1540" s="60"/>
      <c r="D1540" s="60"/>
      <c r="E1540" s="58"/>
      <c r="F1540" s="58"/>
      <c r="G1540" s="58"/>
      <c r="H1540" s="33" t="str">
        <f t="shared" si="33"/>
        <v/>
      </c>
      <c r="I1540" s="58"/>
      <c r="J1540" s="58"/>
      <c r="K1540" s="58"/>
      <c r="L1540" s="58"/>
      <c r="M1540" s="80"/>
      <c r="N1540" s="77"/>
      <c r="O1540" s="58"/>
      <c r="P1540" s="58"/>
      <c r="Q1540" s="84"/>
      <c r="R1540" s="62"/>
      <c r="S1540" s="37" t="str">
        <f>IFERROR(__xludf.DUMMYFUNCTION("if(not(iserror(index(split(C1540, "" ""),2))), index(split(C1540, "" ""),1),"""")"),"")</f>
        <v/>
      </c>
      <c r="T1540" s="315" t="str">
        <f>IFERROR(__xludf.DUMMYFUNCTION("if(S1540="""",C1540,if(not(iserror(index(split(C1540, "" ""),3))), index(split(C1540, "" ""),3),index(split(C1540, "" ""),2)))"),"")</f>
        <v/>
      </c>
      <c r="U1540" s="38" t="b">
        <f t="shared" si="34"/>
        <v>0</v>
      </c>
      <c r="V1540" s="38"/>
      <c r="W1540" s="40"/>
      <c r="X1540" s="40"/>
      <c r="Y1540" s="38"/>
      <c r="Z1540" s="38"/>
      <c r="AA1540" s="38"/>
      <c r="AB1540" s="38"/>
      <c r="AC1540" s="38"/>
      <c r="AD1540" s="38"/>
      <c r="AE1540" s="38"/>
      <c r="AF1540" s="38"/>
      <c r="AG1540" s="38"/>
      <c r="AH1540" s="38"/>
      <c r="AI1540" s="38"/>
      <c r="AJ1540" s="38"/>
      <c r="AK1540" s="38"/>
      <c r="AL1540" s="38"/>
      <c r="AM1540" s="38"/>
      <c r="AN1540" s="38"/>
      <c r="AO1540" s="38"/>
      <c r="AP1540" s="38"/>
      <c r="AQ1540" s="38"/>
      <c r="AR1540" s="38"/>
      <c r="AS1540" s="38"/>
      <c r="AT1540" s="38"/>
      <c r="AU1540" s="38"/>
      <c r="AV1540" s="38"/>
      <c r="AW1540" s="38"/>
      <c r="AX1540" s="38"/>
      <c r="AY1540" s="38"/>
      <c r="AZ1540" s="38"/>
      <c r="BA1540" s="38"/>
      <c r="BB1540" s="38"/>
      <c r="BC1540" s="38"/>
      <c r="BD1540" s="38"/>
      <c r="BE1540" s="38"/>
      <c r="BF1540" s="38"/>
      <c r="BG1540" s="38"/>
      <c r="BH1540" s="38"/>
      <c r="BI1540" s="38"/>
      <c r="BJ1540" s="38"/>
      <c r="BK1540" s="38"/>
      <c r="BL1540" s="38"/>
      <c r="BM1540" s="38"/>
      <c r="BN1540" s="38"/>
      <c r="BO1540" s="38"/>
      <c r="BP1540" s="38"/>
      <c r="BQ1540" s="38"/>
    </row>
    <row r="1541">
      <c r="B1541" s="341"/>
      <c r="C1541" s="60"/>
      <c r="D1541" s="60"/>
      <c r="E1541" s="58"/>
      <c r="F1541" s="58"/>
      <c r="G1541" s="58"/>
      <c r="H1541" s="33" t="str">
        <f t="shared" si="33"/>
        <v/>
      </c>
      <c r="I1541" s="58"/>
      <c r="J1541" s="58"/>
      <c r="K1541" s="58"/>
      <c r="L1541" s="58"/>
      <c r="M1541" s="80"/>
      <c r="N1541" s="77"/>
      <c r="O1541" s="58"/>
      <c r="P1541" s="58"/>
      <c r="Q1541" s="84"/>
      <c r="R1541" s="62"/>
      <c r="S1541" s="37" t="str">
        <f>IFERROR(__xludf.DUMMYFUNCTION("if(not(iserror(index(split(C1541, "" ""),2))), index(split(C1541, "" ""),1),"""")"),"")</f>
        <v/>
      </c>
      <c r="T1541" s="315" t="str">
        <f>IFERROR(__xludf.DUMMYFUNCTION("if(S1541="""",C1541,if(not(iserror(index(split(C1541, "" ""),3))), index(split(C1541, "" ""),3),index(split(C1541, "" ""),2)))"),"")</f>
        <v/>
      </c>
      <c r="U1541" s="38" t="b">
        <f t="shared" si="34"/>
        <v>0</v>
      </c>
      <c r="V1541" s="38"/>
      <c r="W1541" s="40"/>
      <c r="X1541" s="40"/>
      <c r="Y1541" s="38"/>
      <c r="Z1541" s="38"/>
      <c r="AA1541" s="38"/>
      <c r="AB1541" s="38"/>
      <c r="AC1541" s="38"/>
      <c r="AD1541" s="38"/>
      <c r="AE1541" s="38"/>
      <c r="AF1541" s="38"/>
      <c r="AG1541" s="38"/>
      <c r="AH1541" s="38"/>
      <c r="AI1541" s="38"/>
      <c r="AJ1541" s="38"/>
      <c r="AK1541" s="38"/>
      <c r="AL1541" s="38"/>
      <c r="AM1541" s="38"/>
      <c r="AN1541" s="38"/>
      <c r="AO1541" s="38"/>
      <c r="AP1541" s="38"/>
      <c r="AQ1541" s="38"/>
      <c r="AR1541" s="38"/>
      <c r="AS1541" s="38"/>
      <c r="AT1541" s="38"/>
      <c r="AU1541" s="38"/>
      <c r="AV1541" s="38"/>
      <c r="AW1541" s="38"/>
      <c r="AX1541" s="38"/>
      <c r="AY1541" s="38"/>
      <c r="AZ1541" s="38"/>
      <c r="BA1541" s="38"/>
      <c r="BB1541" s="38"/>
      <c r="BC1541" s="38"/>
      <c r="BD1541" s="38"/>
      <c r="BE1541" s="38"/>
      <c r="BF1541" s="38"/>
      <c r="BG1541" s="38"/>
      <c r="BH1541" s="38"/>
      <c r="BI1541" s="38"/>
      <c r="BJ1541" s="38"/>
      <c r="BK1541" s="38"/>
      <c r="BL1541" s="38"/>
      <c r="BM1541" s="38"/>
      <c r="BN1541" s="38"/>
      <c r="BO1541" s="38"/>
      <c r="BP1541" s="38"/>
      <c r="BQ1541" s="38"/>
    </row>
    <row r="1542">
      <c r="B1542" s="341"/>
      <c r="C1542" s="60"/>
      <c r="D1542" s="60"/>
      <c r="E1542" s="58"/>
      <c r="F1542" s="58"/>
      <c r="G1542" s="58"/>
      <c r="H1542" s="33" t="str">
        <f t="shared" si="33"/>
        <v/>
      </c>
      <c r="I1542" s="58"/>
      <c r="J1542" s="58"/>
      <c r="K1542" s="58"/>
      <c r="L1542" s="58"/>
      <c r="M1542" s="80"/>
      <c r="N1542" s="77"/>
      <c r="O1542" s="58"/>
      <c r="P1542" s="58"/>
      <c r="Q1542" s="84"/>
      <c r="R1542" s="62"/>
      <c r="S1542" s="37" t="str">
        <f>IFERROR(__xludf.DUMMYFUNCTION("if(not(iserror(index(split(C1542, "" ""),2))), index(split(C1542, "" ""),1),"""")"),"")</f>
        <v/>
      </c>
      <c r="T1542" s="315" t="str">
        <f>IFERROR(__xludf.DUMMYFUNCTION("if(S1542="""",C1542,if(not(iserror(index(split(C1542, "" ""),3))), index(split(C1542, "" ""),3),index(split(C1542, "" ""),2)))"),"")</f>
        <v/>
      </c>
      <c r="U1542" s="38" t="b">
        <f t="shared" si="34"/>
        <v>0</v>
      </c>
      <c r="V1542" s="38"/>
      <c r="W1542" s="40"/>
      <c r="X1542" s="40"/>
      <c r="Y1542" s="38"/>
      <c r="Z1542" s="38"/>
      <c r="AA1542" s="38"/>
      <c r="AB1542" s="38"/>
      <c r="AC1542" s="38"/>
      <c r="AD1542" s="38"/>
      <c r="AE1542" s="38"/>
      <c r="AF1542" s="38"/>
      <c r="AG1542" s="38"/>
      <c r="AH1542" s="38"/>
      <c r="AI1542" s="38"/>
      <c r="AJ1542" s="38"/>
      <c r="AK1542" s="38"/>
      <c r="AL1542" s="38"/>
      <c r="AM1542" s="38"/>
      <c r="AN1542" s="38"/>
      <c r="AO1542" s="38"/>
      <c r="AP1542" s="38"/>
      <c r="AQ1542" s="38"/>
      <c r="AR1542" s="38"/>
      <c r="AS1542" s="38"/>
      <c r="AT1542" s="38"/>
      <c r="AU1542" s="38"/>
      <c r="AV1542" s="38"/>
      <c r="AW1542" s="38"/>
      <c r="AX1542" s="38"/>
      <c r="AY1542" s="38"/>
      <c r="AZ1542" s="38"/>
      <c r="BA1542" s="38"/>
      <c r="BB1542" s="38"/>
      <c r="BC1542" s="38"/>
      <c r="BD1542" s="38"/>
      <c r="BE1542" s="38"/>
      <c r="BF1542" s="38"/>
      <c r="BG1542" s="38"/>
      <c r="BH1542" s="38"/>
      <c r="BI1542" s="38"/>
      <c r="BJ1542" s="38"/>
      <c r="BK1542" s="38"/>
      <c r="BL1542" s="38"/>
      <c r="BM1542" s="38"/>
      <c r="BN1542" s="38"/>
      <c r="BO1542" s="38"/>
      <c r="BP1542" s="38"/>
      <c r="BQ1542" s="38"/>
    </row>
    <row r="1543">
      <c r="B1543" s="341"/>
      <c r="C1543" s="60"/>
      <c r="D1543" s="60"/>
      <c r="E1543" s="58"/>
      <c r="F1543" s="58"/>
      <c r="G1543" s="58"/>
      <c r="H1543" s="33" t="str">
        <f t="shared" si="33"/>
        <v/>
      </c>
      <c r="I1543" s="58"/>
      <c r="J1543" s="58"/>
      <c r="K1543" s="58"/>
      <c r="L1543" s="58"/>
      <c r="M1543" s="80"/>
      <c r="N1543" s="80"/>
      <c r="O1543" s="58"/>
      <c r="P1543" s="58"/>
      <c r="Q1543" s="58"/>
      <c r="R1543" s="62"/>
      <c r="S1543" s="37" t="str">
        <f>IFERROR(__xludf.DUMMYFUNCTION("if(not(iserror(index(split(C1543, "" ""),2))), index(split(C1543, "" ""),1),"""")"),"")</f>
        <v/>
      </c>
      <c r="T1543" s="315" t="str">
        <f>IFERROR(__xludf.DUMMYFUNCTION("if(S1543="""",C1543,if(not(iserror(index(split(C1543, "" ""),3))), index(split(C1543, "" ""),3),index(split(C1543, "" ""),2)))"),"")</f>
        <v/>
      </c>
      <c r="U1543" s="38" t="b">
        <f t="shared" si="34"/>
        <v>0</v>
      </c>
      <c r="V1543" s="38"/>
      <c r="W1543" s="40"/>
      <c r="X1543" s="40"/>
      <c r="Y1543" s="38"/>
      <c r="Z1543" s="38"/>
      <c r="AA1543" s="38"/>
      <c r="AB1543" s="38"/>
      <c r="AC1543" s="38"/>
      <c r="AD1543" s="38"/>
      <c r="AE1543" s="38"/>
      <c r="AF1543" s="38"/>
      <c r="AG1543" s="38"/>
      <c r="AH1543" s="38"/>
      <c r="AI1543" s="38"/>
      <c r="AJ1543" s="38"/>
      <c r="AK1543" s="38"/>
      <c r="AL1543" s="38"/>
      <c r="AM1543" s="38"/>
      <c r="AN1543" s="38"/>
      <c r="AO1543" s="38"/>
      <c r="AP1543" s="38"/>
      <c r="AQ1543" s="38"/>
      <c r="AR1543" s="38"/>
      <c r="AS1543" s="38"/>
      <c r="AT1543" s="38"/>
      <c r="AU1543" s="38"/>
      <c r="AV1543" s="38"/>
      <c r="AW1543" s="38"/>
      <c r="AX1543" s="38"/>
      <c r="AY1543" s="38"/>
      <c r="AZ1543" s="38"/>
      <c r="BA1543" s="38"/>
      <c r="BB1543" s="38"/>
      <c r="BC1543" s="38"/>
      <c r="BD1543" s="38"/>
      <c r="BE1543" s="38"/>
      <c r="BF1543" s="38"/>
      <c r="BG1543" s="38"/>
      <c r="BH1543" s="38"/>
      <c r="BI1543" s="38"/>
      <c r="BJ1543" s="38"/>
      <c r="BK1543" s="38"/>
      <c r="BL1543" s="38"/>
      <c r="BM1543" s="38"/>
      <c r="BN1543" s="38"/>
      <c r="BO1543" s="38"/>
      <c r="BP1543" s="38"/>
      <c r="BQ1543" s="38"/>
    </row>
    <row r="1544">
      <c r="A1544" s="91"/>
      <c r="B1544" s="383"/>
      <c r="C1544" s="146"/>
      <c r="D1544" s="146"/>
      <c r="E1544" s="91"/>
      <c r="F1544" s="91"/>
      <c r="G1544" s="91"/>
      <c r="H1544" s="33" t="str">
        <f t="shared" si="33"/>
        <v/>
      </c>
      <c r="I1544" s="91"/>
      <c r="J1544" s="91"/>
      <c r="K1544" s="91"/>
      <c r="L1544" s="91"/>
      <c r="M1544" s="95"/>
      <c r="N1544" s="95"/>
      <c r="O1544" s="58"/>
      <c r="P1544" s="58"/>
      <c r="Q1544" s="84"/>
      <c r="R1544" s="62"/>
      <c r="S1544" s="37" t="str">
        <f>IFERROR(__xludf.DUMMYFUNCTION("if(not(iserror(index(split(C1544, "" ""),2))), index(split(C1544, "" ""),1),"""")"),"")</f>
        <v/>
      </c>
      <c r="T1544" s="315" t="str">
        <f>IFERROR(__xludf.DUMMYFUNCTION("if(S1544="""",C1544,if(not(iserror(index(split(C1544, "" ""),3))), index(split(C1544, "" ""),3),index(split(C1544, "" ""),2)))"),"")</f>
        <v/>
      </c>
      <c r="U1544" s="38" t="b">
        <f t="shared" si="34"/>
        <v>0</v>
      </c>
      <c r="V1544" s="38"/>
      <c r="W1544" s="40"/>
      <c r="X1544" s="40"/>
      <c r="Y1544" s="38"/>
      <c r="Z1544" s="38"/>
      <c r="AA1544" s="38"/>
      <c r="AB1544" s="38"/>
      <c r="AC1544" s="38"/>
      <c r="AD1544" s="38"/>
      <c r="AE1544" s="38"/>
      <c r="AF1544" s="38"/>
      <c r="AG1544" s="38"/>
      <c r="AH1544" s="38"/>
      <c r="AI1544" s="38"/>
      <c r="AJ1544" s="38"/>
      <c r="AK1544" s="38"/>
      <c r="AL1544" s="38"/>
      <c r="AM1544" s="38"/>
      <c r="AN1544" s="38"/>
      <c r="AO1544" s="38"/>
      <c r="AP1544" s="38"/>
      <c r="AQ1544" s="38"/>
      <c r="AR1544" s="38"/>
      <c r="AS1544" s="38"/>
      <c r="AT1544" s="38"/>
      <c r="AU1544" s="38"/>
      <c r="AV1544" s="38"/>
      <c r="AW1544" s="38"/>
      <c r="AX1544" s="38"/>
      <c r="AY1544" s="38"/>
      <c r="AZ1544" s="38"/>
      <c r="BA1544" s="38"/>
      <c r="BB1544" s="38"/>
      <c r="BC1544" s="38"/>
      <c r="BD1544" s="38"/>
      <c r="BE1544" s="38"/>
      <c r="BF1544" s="38"/>
      <c r="BG1544" s="38"/>
      <c r="BH1544" s="38"/>
      <c r="BI1544" s="38"/>
      <c r="BJ1544" s="38"/>
      <c r="BK1544" s="38"/>
      <c r="BL1544" s="38"/>
      <c r="BM1544" s="38"/>
      <c r="BN1544" s="38"/>
      <c r="BO1544" s="38"/>
      <c r="BP1544" s="38"/>
      <c r="BQ1544" s="38"/>
    </row>
    <row r="1545">
      <c r="B1545" s="341"/>
      <c r="C1545" s="60"/>
      <c r="D1545" s="60"/>
      <c r="E1545" s="58"/>
      <c r="F1545" s="58"/>
      <c r="G1545" s="58"/>
      <c r="H1545" s="33" t="str">
        <f t="shared" si="33"/>
        <v/>
      </c>
      <c r="I1545" s="58"/>
      <c r="J1545" s="58"/>
      <c r="K1545" s="58"/>
      <c r="L1545" s="58"/>
      <c r="M1545" s="80"/>
      <c r="N1545" s="77"/>
      <c r="O1545" s="58"/>
      <c r="P1545" s="58"/>
      <c r="Q1545" s="84"/>
      <c r="R1545" s="62"/>
      <c r="S1545" s="37" t="str">
        <f>IFERROR(__xludf.DUMMYFUNCTION("if(not(iserror(index(split(C1545, "" ""),2))), index(split(C1545, "" ""),1),"""")"),"")</f>
        <v/>
      </c>
      <c r="T1545" s="315" t="str">
        <f>IFERROR(__xludf.DUMMYFUNCTION("if(S1545="""",C1545,if(not(iserror(index(split(C1545, "" ""),3))), index(split(C1545, "" ""),3),index(split(C1545, "" ""),2)))"),"")</f>
        <v/>
      </c>
      <c r="U1545" s="38" t="b">
        <f t="shared" si="34"/>
        <v>0</v>
      </c>
      <c r="V1545" s="38"/>
      <c r="W1545" s="40"/>
      <c r="X1545" s="40"/>
      <c r="Y1545" s="38"/>
      <c r="Z1545" s="38"/>
      <c r="AA1545" s="38"/>
      <c r="AB1545" s="38"/>
      <c r="AC1545" s="38"/>
      <c r="AD1545" s="38"/>
      <c r="AE1545" s="38"/>
      <c r="AF1545" s="38"/>
      <c r="AG1545" s="38"/>
      <c r="AH1545" s="38"/>
      <c r="AI1545" s="38"/>
      <c r="AJ1545" s="38"/>
      <c r="AK1545" s="38"/>
      <c r="AL1545" s="38"/>
      <c r="AM1545" s="38"/>
      <c r="AN1545" s="38"/>
      <c r="AO1545" s="38"/>
      <c r="AP1545" s="38"/>
      <c r="AQ1545" s="38"/>
      <c r="AR1545" s="38"/>
      <c r="AS1545" s="38"/>
      <c r="AT1545" s="38"/>
      <c r="AU1545" s="38"/>
      <c r="AV1545" s="38"/>
      <c r="AW1545" s="38"/>
      <c r="AX1545" s="38"/>
      <c r="AY1545" s="38"/>
      <c r="AZ1545" s="38"/>
      <c r="BA1545" s="38"/>
      <c r="BB1545" s="38"/>
      <c r="BC1545" s="38"/>
      <c r="BD1545" s="38"/>
      <c r="BE1545" s="38"/>
      <c r="BF1545" s="38"/>
      <c r="BG1545" s="38"/>
      <c r="BH1545" s="38"/>
      <c r="BI1545" s="38"/>
      <c r="BJ1545" s="38"/>
      <c r="BK1545" s="38"/>
      <c r="BL1545" s="38"/>
      <c r="BM1545" s="38"/>
      <c r="BN1545" s="38"/>
      <c r="BO1545" s="38"/>
      <c r="BP1545" s="38"/>
      <c r="BQ1545" s="38"/>
    </row>
    <row r="1546">
      <c r="B1546" s="341"/>
      <c r="C1546" s="60"/>
      <c r="D1546" s="60"/>
      <c r="E1546" s="58"/>
      <c r="F1546" s="58"/>
      <c r="G1546" s="58"/>
      <c r="H1546" s="33" t="str">
        <f t="shared" si="33"/>
        <v/>
      </c>
      <c r="I1546" s="58"/>
      <c r="J1546" s="58"/>
      <c r="K1546" s="58"/>
      <c r="L1546" s="58"/>
      <c r="M1546" s="80"/>
      <c r="N1546" s="80"/>
      <c r="O1546" s="58"/>
      <c r="P1546" s="58"/>
      <c r="Q1546" s="84"/>
      <c r="R1546" s="62"/>
      <c r="S1546" s="37" t="str">
        <f>IFERROR(__xludf.DUMMYFUNCTION("if(not(iserror(index(split(C1546, "" ""),2))), index(split(C1546, "" ""),1),"""")"),"")</f>
        <v/>
      </c>
      <c r="T1546" s="315" t="str">
        <f>IFERROR(__xludf.DUMMYFUNCTION("if(S1546="""",C1546,if(not(iserror(index(split(C1546, "" ""),3))), index(split(C1546, "" ""),3),index(split(C1546, "" ""),2)))"),"")</f>
        <v/>
      </c>
      <c r="U1546" s="38" t="b">
        <f t="shared" si="34"/>
        <v>0</v>
      </c>
      <c r="V1546" s="38"/>
      <c r="W1546" s="40"/>
      <c r="X1546" s="40"/>
      <c r="Y1546" s="38"/>
      <c r="Z1546" s="38"/>
      <c r="AA1546" s="38"/>
      <c r="AB1546" s="38"/>
      <c r="AC1546" s="38"/>
      <c r="AD1546" s="38"/>
      <c r="AE1546" s="38"/>
      <c r="AF1546" s="38"/>
      <c r="AG1546" s="38"/>
      <c r="AH1546" s="38"/>
      <c r="AI1546" s="38"/>
      <c r="AJ1546" s="38"/>
      <c r="AK1546" s="38"/>
      <c r="AL1546" s="38"/>
      <c r="AM1546" s="38"/>
      <c r="AN1546" s="38"/>
      <c r="AO1546" s="38"/>
      <c r="AP1546" s="38"/>
      <c r="AQ1546" s="38"/>
      <c r="AR1546" s="38"/>
      <c r="AS1546" s="38"/>
      <c r="AT1546" s="38"/>
      <c r="AU1546" s="38"/>
      <c r="AV1546" s="38"/>
      <c r="AW1546" s="38"/>
      <c r="AX1546" s="38"/>
      <c r="AY1546" s="38"/>
      <c r="AZ1546" s="38"/>
      <c r="BA1546" s="38"/>
      <c r="BB1546" s="38"/>
      <c r="BC1546" s="38"/>
      <c r="BD1546" s="38"/>
      <c r="BE1546" s="38"/>
      <c r="BF1546" s="38"/>
      <c r="BG1546" s="38"/>
      <c r="BH1546" s="38"/>
      <c r="BI1546" s="38"/>
      <c r="BJ1546" s="38"/>
      <c r="BK1546" s="38"/>
      <c r="BL1546" s="38"/>
      <c r="BM1546" s="38"/>
      <c r="BN1546" s="38"/>
      <c r="BO1546" s="38"/>
      <c r="BP1546" s="38"/>
      <c r="BQ1546" s="38"/>
    </row>
    <row r="1547">
      <c r="B1547" s="341"/>
      <c r="C1547" s="60"/>
      <c r="D1547" s="60"/>
      <c r="E1547" s="58"/>
      <c r="F1547" s="58"/>
      <c r="G1547" s="58"/>
      <c r="H1547" s="33" t="str">
        <f t="shared" si="33"/>
        <v/>
      </c>
      <c r="I1547" s="58"/>
      <c r="J1547" s="58"/>
      <c r="K1547" s="58"/>
      <c r="L1547" s="58"/>
      <c r="M1547" s="80"/>
      <c r="N1547" s="77"/>
      <c r="O1547" s="62"/>
      <c r="P1547" s="62"/>
      <c r="Q1547" s="62"/>
      <c r="R1547" s="62"/>
      <c r="S1547" s="37" t="str">
        <f>IFERROR(__xludf.DUMMYFUNCTION("if(not(iserror(index(split(C1547, "" ""),2))), index(split(C1547, "" ""),1),"""")"),"")</f>
        <v/>
      </c>
      <c r="T1547" s="315" t="str">
        <f>IFERROR(__xludf.DUMMYFUNCTION("if(S1547="""",C1547,if(not(iserror(index(split(C1547, "" ""),3))), index(split(C1547, "" ""),3),index(split(C1547, "" ""),2)))"),"")</f>
        <v/>
      </c>
      <c r="U1547" s="38" t="b">
        <f t="shared" si="34"/>
        <v>0</v>
      </c>
      <c r="V1547" s="38"/>
      <c r="W1547" s="40"/>
      <c r="X1547" s="40"/>
      <c r="Y1547" s="38"/>
      <c r="Z1547" s="38"/>
      <c r="AA1547" s="38"/>
      <c r="AB1547" s="38"/>
      <c r="AC1547" s="38"/>
      <c r="AD1547" s="38"/>
      <c r="AE1547" s="38"/>
      <c r="AF1547" s="38"/>
      <c r="AG1547" s="38"/>
      <c r="AH1547" s="38"/>
      <c r="AI1547" s="38"/>
      <c r="AJ1547" s="38"/>
      <c r="AK1547" s="38"/>
      <c r="AL1547" s="38"/>
      <c r="AM1547" s="38"/>
      <c r="AN1547" s="38"/>
      <c r="AO1547" s="38"/>
      <c r="AP1547" s="38"/>
      <c r="AQ1547" s="38"/>
      <c r="AR1547" s="38"/>
      <c r="AS1547" s="38"/>
      <c r="AT1547" s="38"/>
      <c r="AU1547" s="38"/>
      <c r="AV1547" s="38"/>
      <c r="AW1547" s="38"/>
      <c r="AX1547" s="38"/>
      <c r="AY1547" s="38"/>
      <c r="AZ1547" s="38"/>
      <c r="BA1547" s="38"/>
      <c r="BB1547" s="38"/>
      <c r="BC1547" s="38"/>
      <c r="BD1547" s="38"/>
      <c r="BE1547" s="38"/>
      <c r="BF1547" s="38"/>
      <c r="BG1547" s="38"/>
      <c r="BH1547" s="38"/>
      <c r="BI1547" s="38"/>
      <c r="BJ1547" s="38"/>
      <c r="BK1547" s="38"/>
      <c r="BL1547" s="38"/>
      <c r="BM1547" s="38"/>
      <c r="BN1547" s="38"/>
      <c r="BO1547" s="38"/>
      <c r="BP1547" s="38"/>
      <c r="BQ1547" s="38"/>
    </row>
    <row r="1548">
      <c r="B1548" s="341"/>
      <c r="C1548" s="60"/>
      <c r="D1548" s="60"/>
      <c r="E1548" s="58"/>
      <c r="F1548" s="58"/>
      <c r="G1548" s="58"/>
      <c r="H1548" s="33" t="str">
        <f t="shared" si="33"/>
        <v/>
      </c>
      <c r="I1548" s="58"/>
      <c r="J1548" s="58"/>
      <c r="K1548" s="58"/>
      <c r="L1548" s="58"/>
      <c r="M1548" s="80"/>
      <c r="N1548" s="77"/>
      <c r="O1548" s="62"/>
      <c r="P1548" s="62"/>
      <c r="Q1548" s="62"/>
      <c r="R1548" s="62"/>
      <c r="S1548" s="37" t="str">
        <f>IFERROR(__xludf.DUMMYFUNCTION("if(not(iserror(index(split(C1548, "" ""),2))), index(split(C1548, "" ""),1),"""")"),"")</f>
        <v/>
      </c>
      <c r="T1548" s="315" t="str">
        <f>IFERROR(__xludf.DUMMYFUNCTION("if(S1548="""",C1548,if(not(iserror(index(split(C1548, "" ""),3))), index(split(C1548, "" ""),3),index(split(C1548, "" ""),2)))"),"")</f>
        <v/>
      </c>
      <c r="U1548" s="38" t="b">
        <f t="shared" si="34"/>
        <v>0</v>
      </c>
      <c r="V1548" s="38"/>
      <c r="W1548" s="40"/>
      <c r="X1548" s="40"/>
      <c r="Y1548" s="38"/>
      <c r="Z1548" s="38"/>
      <c r="AA1548" s="38"/>
      <c r="AB1548" s="38"/>
      <c r="AC1548" s="38"/>
      <c r="AD1548" s="38"/>
      <c r="AE1548" s="38"/>
      <c r="AF1548" s="38"/>
      <c r="AG1548" s="38"/>
      <c r="AH1548" s="38"/>
      <c r="AI1548" s="38"/>
      <c r="AJ1548" s="38"/>
      <c r="AK1548" s="38"/>
      <c r="AL1548" s="38"/>
      <c r="AM1548" s="38"/>
      <c r="AN1548" s="38"/>
      <c r="AO1548" s="38"/>
      <c r="AP1548" s="38"/>
      <c r="AQ1548" s="38"/>
      <c r="AR1548" s="38"/>
      <c r="AS1548" s="38"/>
      <c r="AT1548" s="38"/>
      <c r="AU1548" s="38"/>
      <c r="AV1548" s="38"/>
      <c r="AW1548" s="38"/>
      <c r="AX1548" s="38"/>
      <c r="AY1548" s="38"/>
      <c r="AZ1548" s="38"/>
      <c r="BA1548" s="38"/>
      <c r="BB1548" s="38"/>
      <c r="BC1548" s="38"/>
      <c r="BD1548" s="38"/>
      <c r="BE1548" s="38"/>
      <c r="BF1548" s="38"/>
      <c r="BG1548" s="38"/>
      <c r="BH1548" s="38"/>
      <c r="BI1548" s="38"/>
      <c r="BJ1548" s="38"/>
      <c r="BK1548" s="38"/>
      <c r="BL1548" s="38"/>
      <c r="BM1548" s="38"/>
      <c r="BN1548" s="38"/>
      <c r="BO1548" s="38"/>
      <c r="BP1548" s="38"/>
      <c r="BQ1548" s="38"/>
    </row>
    <row r="1549">
      <c r="B1549" s="341"/>
      <c r="C1549" s="60"/>
      <c r="D1549" s="60"/>
      <c r="E1549" s="58"/>
      <c r="F1549" s="58"/>
      <c r="G1549" s="58"/>
      <c r="H1549" s="33" t="str">
        <f t="shared" si="33"/>
        <v/>
      </c>
      <c r="I1549" s="58"/>
      <c r="J1549" s="58"/>
      <c r="K1549" s="58"/>
      <c r="L1549" s="58"/>
      <c r="M1549" s="80"/>
      <c r="N1549" s="77"/>
      <c r="O1549" s="62"/>
      <c r="P1549" s="62"/>
      <c r="Q1549" s="62"/>
      <c r="R1549" s="62"/>
      <c r="S1549" s="37" t="str">
        <f>IFERROR(__xludf.DUMMYFUNCTION("if(not(iserror(index(split(C1549, "" ""),2))), index(split(C1549, "" ""),1),"""")"),"")</f>
        <v/>
      </c>
      <c r="T1549" s="315" t="str">
        <f>IFERROR(__xludf.DUMMYFUNCTION("if(S1549="""",C1549,if(not(iserror(index(split(C1549, "" ""),3))), index(split(C1549, "" ""),3),index(split(C1549, "" ""),2)))"),"")</f>
        <v/>
      </c>
      <c r="U1549" s="38" t="b">
        <f t="shared" si="34"/>
        <v>0</v>
      </c>
      <c r="V1549" s="38"/>
      <c r="W1549" s="40"/>
      <c r="X1549" s="40"/>
      <c r="Y1549" s="38"/>
      <c r="Z1549" s="38"/>
      <c r="AA1549" s="38"/>
      <c r="AB1549" s="38"/>
      <c r="AC1549" s="38"/>
      <c r="AD1549" s="38"/>
      <c r="AE1549" s="38"/>
      <c r="AF1549" s="38"/>
      <c r="AG1549" s="38"/>
      <c r="AH1549" s="38"/>
      <c r="AI1549" s="38"/>
      <c r="AJ1549" s="38"/>
      <c r="AK1549" s="38"/>
      <c r="AL1549" s="38"/>
      <c r="AM1549" s="38"/>
      <c r="AN1549" s="38"/>
      <c r="AO1549" s="38"/>
      <c r="AP1549" s="38"/>
      <c r="AQ1549" s="38"/>
      <c r="AR1549" s="38"/>
      <c r="AS1549" s="38"/>
      <c r="AT1549" s="38"/>
      <c r="AU1549" s="38"/>
      <c r="AV1549" s="38"/>
      <c r="AW1549" s="38"/>
      <c r="AX1549" s="38"/>
      <c r="AY1549" s="38"/>
      <c r="AZ1549" s="38"/>
      <c r="BA1549" s="38"/>
      <c r="BB1549" s="38"/>
      <c r="BC1549" s="38"/>
      <c r="BD1549" s="38"/>
      <c r="BE1549" s="38"/>
      <c r="BF1549" s="38"/>
      <c r="BG1549" s="38"/>
      <c r="BH1549" s="38"/>
      <c r="BI1549" s="38"/>
      <c r="BJ1549" s="38"/>
      <c r="BK1549" s="38"/>
      <c r="BL1549" s="38"/>
      <c r="BM1549" s="38"/>
      <c r="BN1549" s="38"/>
      <c r="BO1549" s="38"/>
      <c r="BP1549" s="38"/>
      <c r="BQ1549" s="38"/>
    </row>
    <row r="1550">
      <c r="A1550" s="58"/>
      <c r="B1550" s="341"/>
      <c r="C1550" s="60"/>
      <c r="D1550" s="60"/>
      <c r="E1550" s="58"/>
      <c r="F1550" s="58"/>
      <c r="G1550" s="58"/>
      <c r="H1550" s="33" t="str">
        <f t="shared" si="33"/>
        <v/>
      </c>
      <c r="I1550" s="58"/>
      <c r="J1550" s="58"/>
      <c r="K1550" s="58"/>
      <c r="L1550" s="58"/>
      <c r="M1550" s="80"/>
      <c r="N1550" s="77"/>
      <c r="O1550" s="62"/>
      <c r="P1550" s="62"/>
      <c r="Q1550" s="62"/>
      <c r="R1550" s="62"/>
      <c r="S1550" s="37" t="str">
        <f>IFERROR(__xludf.DUMMYFUNCTION("if(not(iserror(index(split(C1550, "" ""),2))), index(split(C1550, "" ""),1),"""")"),"")</f>
        <v/>
      </c>
      <c r="T1550" s="315" t="str">
        <f>IFERROR(__xludf.DUMMYFUNCTION("if(S1550="""",C1550,if(not(iserror(index(split(C1550, "" ""),3))), index(split(C1550, "" ""),3),index(split(C1550, "" ""),2)))"),"")</f>
        <v/>
      </c>
      <c r="U1550" s="38" t="b">
        <f t="shared" si="34"/>
        <v>0</v>
      </c>
      <c r="V1550" s="38"/>
      <c r="W1550" s="40"/>
      <c r="X1550" s="40"/>
      <c r="Y1550" s="38"/>
      <c r="Z1550" s="38"/>
      <c r="AA1550" s="38"/>
      <c r="AB1550" s="38"/>
      <c r="AC1550" s="38"/>
      <c r="AD1550" s="38"/>
      <c r="AE1550" s="38"/>
      <c r="AF1550" s="38"/>
      <c r="AG1550" s="38"/>
      <c r="AH1550" s="38"/>
      <c r="AI1550" s="38"/>
      <c r="AJ1550" s="38"/>
      <c r="AK1550" s="38"/>
      <c r="AL1550" s="38"/>
      <c r="AM1550" s="38"/>
      <c r="AN1550" s="38"/>
      <c r="AO1550" s="38"/>
      <c r="AP1550" s="38"/>
      <c r="AQ1550" s="38"/>
      <c r="AR1550" s="38"/>
      <c r="AS1550" s="38"/>
      <c r="AT1550" s="38"/>
      <c r="AU1550" s="38"/>
      <c r="AV1550" s="38"/>
      <c r="AW1550" s="38"/>
      <c r="AX1550" s="38"/>
      <c r="AY1550" s="38"/>
      <c r="AZ1550" s="38"/>
      <c r="BA1550" s="38"/>
      <c r="BB1550" s="38"/>
      <c r="BC1550" s="38"/>
      <c r="BD1550" s="38"/>
      <c r="BE1550" s="38"/>
      <c r="BF1550" s="38"/>
      <c r="BG1550" s="38"/>
      <c r="BH1550" s="38"/>
      <c r="BI1550" s="38"/>
      <c r="BJ1550" s="38"/>
      <c r="BK1550" s="38"/>
      <c r="BL1550" s="38"/>
      <c r="BM1550" s="38"/>
      <c r="BN1550" s="38"/>
      <c r="BO1550" s="38"/>
      <c r="BP1550" s="38"/>
      <c r="BQ1550" s="38"/>
    </row>
    <row r="1551">
      <c r="A1551" s="58"/>
      <c r="B1551" s="341"/>
      <c r="C1551" s="60"/>
      <c r="D1551" s="60"/>
      <c r="E1551" s="58"/>
      <c r="F1551" s="58"/>
      <c r="G1551" s="58"/>
      <c r="H1551" s="33" t="str">
        <f t="shared" si="33"/>
        <v/>
      </c>
      <c r="I1551" s="58"/>
      <c r="J1551" s="58"/>
      <c r="K1551" s="58"/>
      <c r="L1551" s="58"/>
      <c r="M1551" s="80"/>
      <c r="N1551" s="77"/>
      <c r="O1551" s="58"/>
      <c r="P1551" s="58"/>
      <c r="Q1551" s="84"/>
      <c r="R1551" s="62"/>
      <c r="S1551" s="37" t="str">
        <f>IFERROR(__xludf.DUMMYFUNCTION("if(not(iserror(index(split(C1551, "" ""),2))), index(split(C1551, "" ""),1),"""")"),"")</f>
        <v/>
      </c>
      <c r="T1551" s="315" t="str">
        <f>IFERROR(__xludf.DUMMYFUNCTION("if(S1551="""",C1551,if(not(iserror(index(split(C1551, "" ""),3))), index(split(C1551, "" ""),3),index(split(C1551, "" ""),2)))"),"")</f>
        <v/>
      </c>
      <c r="U1551" s="38" t="b">
        <f t="shared" si="34"/>
        <v>0</v>
      </c>
      <c r="V1551" s="38"/>
      <c r="W1551" s="40"/>
      <c r="X1551" s="40"/>
      <c r="Y1551" s="38"/>
      <c r="Z1551" s="38"/>
      <c r="AA1551" s="38"/>
      <c r="AB1551" s="38"/>
      <c r="AC1551" s="38"/>
      <c r="AD1551" s="38"/>
      <c r="AE1551" s="38"/>
      <c r="AF1551" s="38"/>
      <c r="AG1551" s="38"/>
      <c r="AH1551" s="38"/>
      <c r="AI1551" s="38"/>
      <c r="AJ1551" s="38"/>
      <c r="AK1551" s="38"/>
      <c r="AL1551" s="38"/>
      <c r="AM1551" s="38"/>
      <c r="AN1551" s="38"/>
      <c r="AO1551" s="38"/>
      <c r="AP1551" s="38"/>
      <c r="AQ1551" s="38"/>
      <c r="AR1551" s="38"/>
      <c r="AS1551" s="38"/>
      <c r="AT1551" s="38"/>
      <c r="AU1551" s="38"/>
      <c r="AV1551" s="38"/>
      <c r="AW1551" s="38"/>
      <c r="AX1551" s="38"/>
      <c r="AY1551" s="38"/>
      <c r="AZ1551" s="38"/>
      <c r="BA1551" s="38"/>
      <c r="BB1551" s="38"/>
      <c r="BC1551" s="38"/>
      <c r="BD1551" s="38"/>
      <c r="BE1551" s="38"/>
      <c r="BF1551" s="38"/>
      <c r="BG1551" s="38"/>
      <c r="BH1551" s="38"/>
      <c r="BI1551" s="38"/>
      <c r="BJ1551" s="38"/>
      <c r="BK1551" s="38"/>
      <c r="BL1551" s="38"/>
      <c r="BM1551" s="38"/>
      <c r="BN1551" s="38"/>
      <c r="BO1551" s="38"/>
      <c r="BP1551" s="38"/>
      <c r="BQ1551" s="38"/>
    </row>
    <row r="1552">
      <c r="A1552" s="58"/>
      <c r="B1552" s="341"/>
      <c r="C1552" s="60"/>
      <c r="D1552" s="60"/>
      <c r="E1552" s="58"/>
      <c r="F1552" s="58"/>
      <c r="G1552" s="58"/>
      <c r="H1552" s="33" t="str">
        <f t="shared" si="33"/>
        <v/>
      </c>
      <c r="I1552" s="58"/>
      <c r="J1552" s="58"/>
      <c r="K1552" s="58"/>
      <c r="L1552" s="58"/>
      <c r="M1552" s="80"/>
      <c r="N1552" s="77"/>
      <c r="O1552" s="58"/>
      <c r="P1552" s="58"/>
      <c r="Q1552" s="84"/>
      <c r="R1552" s="62"/>
      <c r="S1552" s="37" t="str">
        <f>IFERROR(__xludf.DUMMYFUNCTION("if(not(iserror(index(split(C1552, "" ""),2))), index(split(C1552, "" ""),1),"""")"),"")</f>
        <v/>
      </c>
      <c r="T1552" s="315" t="str">
        <f>IFERROR(__xludf.DUMMYFUNCTION("if(S1552="""",C1552,if(not(iserror(index(split(C1552, "" ""),3))), index(split(C1552, "" ""),3),index(split(C1552, "" ""),2)))"),"")</f>
        <v/>
      </c>
      <c r="U1552" s="38" t="b">
        <f t="shared" si="34"/>
        <v>0</v>
      </c>
      <c r="V1552" s="38"/>
      <c r="W1552" s="40"/>
      <c r="X1552" s="40"/>
      <c r="Y1552" s="38"/>
      <c r="Z1552" s="38"/>
      <c r="AA1552" s="38"/>
      <c r="AB1552" s="38"/>
      <c r="AC1552" s="38"/>
      <c r="AD1552" s="38"/>
      <c r="AE1552" s="38"/>
      <c r="AF1552" s="38"/>
      <c r="AG1552" s="38"/>
      <c r="AH1552" s="38"/>
      <c r="AI1552" s="38"/>
      <c r="AJ1552" s="38"/>
      <c r="AK1552" s="38"/>
      <c r="AL1552" s="38"/>
      <c r="AM1552" s="38"/>
      <c r="AN1552" s="38"/>
      <c r="AO1552" s="38"/>
      <c r="AP1552" s="38"/>
      <c r="AQ1552" s="38"/>
      <c r="AR1552" s="38"/>
      <c r="AS1552" s="38"/>
      <c r="AT1552" s="38"/>
      <c r="AU1552" s="38"/>
      <c r="AV1552" s="38"/>
      <c r="AW1552" s="38"/>
      <c r="AX1552" s="38"/>
      <c r="AY1552" s="38"/>
      <c r="AZ1552" s="38"/>
      <c r="BA1552" s="38"/>
      <c r="BB1552" s="38"/>
      <c r="BC1552" s="38"/>
      <c r="BD1552" s="38"/>
      <c r="BE1552" s="38"/>
      <c r="BF1552" s="38"/>
      <c r="BG1552" s="38"/>
      <c r="BH1552" s="38"/>
      <c r="BI1552" s="38"/>
      <c r="BJ1552" s="38"/>
      <c r="BK1552" s="38"/>
      <c r="BL1552" s="38"/>
      <c r="BM1552" s="38"/>
      <c r="BN1552" s="38"/>
      <c r="BO1552" s="38"/>
      <c r="BP1552" s="38"/>
      <c r="BQ1552" s="38"/>
    </row>
    <row r="1553">
      <c r="A1553" s="58"/>
      <c r="B1553" s="341"/>
      <c r="C1553" s="60"/>
      <c r="D1553" s="60"/>
      <c r="E1553" s="58"/>
      <c r="F1553" s="58"/>
      <c r="G1553" s="58"/>
      <c r="H1553" s="33" t="str">
        <f t="shared" si="33"/>
        <v/>
      </c>
      <c r="I1553" s="58"/>
      <c r="J1553" s="58"/>
      <c r="K1553" s="58"/>
      <c r="L1553" s="58"/>
      <c r="M1553" s="80"/>
      <c r="N1553" s="77"/>
      <c r="O1553" s="58"/>
      <c r="P1553" s="58"/>
      <c r="Q1553" s="84"/>
      <c r="R1553" s="62"/>
      <c r="S1553" s="37" t="str">
        <f>IFERROR(__xludf.DUMMYFUNCTION("if(not(iserror(index(split(C1553, "" ""),2))), index(split(C1553, "" ""),1),"""")"),"")</f>
        <v/>
      </c>
      <c r="T1553" s="315" t="str">
        <f>IFERROR(__xludf.DUMMYFUNCTION("if(S1553="""",C1553,if(not(iserror(index(split(C1553, "" ""),3))), index(split(C1553, "" ""),3),index(split(C1553, "" ""),2)))"),"")</f>
        <v/>
      </c>
      <c r="U1553" s="38" t="b">
        <f t="shared" si="34"/>
        <v>0</v>
      </c>
      <c r="V1553" s="38"/>
      <c r="W1553" s="40"/>
      <c r="X1553" s="40"/>
      <c r="Y1553" s="38"/>
      <c r="Z1553" s="38"/>
      <c r="AA1553" s="38"/>
      <c r="AB1553" s="38"/>
      <c r="AC1553" s="38"/>
      <c r="AD1553" s="38"/>
      <c r="AE1553" s="38"/>
      <c r="AF1553" s="38"/>
      <c r="AG1553" s="38"/>
      <c r="AH1553" s="38"/>
      <c r="AI1553" s="38"/>
      <c r="AJ1553" s="38"/>
      <c r="AK1553" s="38"/>
      <c r="AL1553" s="38"/>
      <c r="AM1553" s="38"/>
      <c r="AN1553" s="38"/>
      <c r="AO1553" s="38"/>
      <c r="AP1553" s="38"/>
      <c r="AQ1553" s="38"/>
      <c r="AR1553" s="38"/>
      <c r="AS1553" s="38"/>
      <c r="AT1553" s="38"/>
      <c r="AU1553" s="38"/>
      <c r="AV1553" s="38"/>
      <c r="AW1553" s="38"/>
      <c r="AX1553" s="38"/>
      <c r="AY1553" s="38"/>
      <c r="AZ1553" s="38"/>
      <c r="BA1553" s="38"/>
      <c r="BB1553" s="38"/>
      <c r="BC1553" s="38"/>
      <c r="BD1553" s="38"/>
      <c r="BE1553" s="38"/>
      <c r="BF1553" s="38"/>
      <c r="BG1553" s="38"/>
      <c r="BH1553" s="38"/>
      <c r="BI1553" s="38"/>
      <c r="BJ1553" s="38"/>
      <c r="BK1553" s="38"/>
      <c r="BL1553" s="38"/>
      <c r="BM1553" s="38"/>
      <c r="BN1553" s="38"/>
      <c r="BO1553" s="38"/>
      <c r="BP1553" s="38"/>
      <c r="BQ1553" s="38"/>
    </row>
    <row r="1554">
      <c r="A1554" s="58"/>
      <c r="B1554" s="341"/>
      <c r="C1554" s="60"/>
      <c r="D1554" s="60"/>
      <c r="E1554" s="58"/>
      <c r="F1554" s="58"/>
      <c r="G1554" s="58"/>
      <c r="H1554" s="33" t="str">
        <f t="shared" si="33"/>
        <v/>
      </c>
      <c r="I1554" s="58"/>
      <c r="J1554" s="58"/>
      <c r="K1554" s="58"/>
      <c r="L1554" s="58"/>
      <c r="M1554" s="80"/>
      <c r="N1554" s="77"/>
      <c r="O1554" s="58"/>
      <c r="P1554" s="58"/>
      <c r="Q1554" s="84"/>
      <c r="R1554" s="62"/>
      <c r="S1554" s="37" t="str">
        <f>IFERROR(__xludf.DUMMYFUNCTION("if(not(iserror(index(split(C1554, "" ""),2))), index(split(C1554, "" ""),1),"""")"),"")</f>
        <v/>
      </c>
      <c r="T1554" s="315" t="str">
        <f>IFERROR(__xludf.DUMMYFUNCTION("if(S1554="""",C1554,if(not(iserror(index(split(C1554, "" ""),3))), index(split(C1554, "" ""),3),index(split(C1554, "" ""),2)))"),"")</f>
        <v/>
      </c>
      <c r="U1554" s="38" t="b">
        <f t="shared" si="34"/>
        <v>0</v>
      </c>
      <c r="V1554" s="38"/>
      <c r="W1554" s="40"/>
      <c r="X1554" s="40"/>
      <c r="Y1554" s="38"/>
      <c r="Z1554" s="38"/>
      <c r="AA1554" s="38"/>
      <c r="AB1554" s="38"/>
      <c r="AC1554" s="38"/>
      <c r="AD1554" s="38"/>
      <c r="AE1554" s="38"/>
      <c r="AF1554" s="38"/>
      <c r="AG1554" s="38"/>
      <c r="AH1554" s="38"/>
      <c r="AI1554" s="38"/>
      <c r="AJ1554" s="38"/>
      <c r="AK1554" s="38"/>
      <c r="AL1554" s="38"/>
      <c r="AM1554" s="38"/>
      <c r="AN1554" s="38"/>
      <c r="AO1554" s="38"/>
      <c r="AP1554" s="38"/>
      <c r="AQ1554" s="38"/>
      <c r="AR1554" s="38"/>
      <c r="AS1554" s="38"/>
      <c r="AT1554" s="38"/>
      <c r="AU1554" s="38"/>
      <c r="AV1554" s="38"/>
      <c r="AW1554" s="38"/>
      <c r="AX1554" s="38"/>
      <c r="AY1554" s="38"/>
      <c r="AZ1554" s="38"/>
      <c r="BA1554" s="38"/>
      <c r="BB1554" s="38"/>
      <c r="BC1554" s="38"/>
      <c r="BD1554" s="38"/>
      <c r="BE1554" s="38"/>
      <c r="BF1554" s="38"/>
      <c r="BG1554" s="38"/>
      <c r="BH1554" s="38"/>
      <c r="BI1554" s="38"/>
      <c r="BJ1554" s="38"/>
      <c r="BK1554" s="38"/>
      <c r="BL1554" s="38"/>
      <c r="BM1554" s="38"/>
      <c r="BN1554" s="38"/>
      <c r="BO1554" s="38"/>
      <c r="BP1554" s="38"/>
      <c r="BQ1554" s="38"/>
    </row>
    <row r="1555">
      <c r="A1555" s="58"/>
      <c r="B1555" s="341"/>
      <c r="C1555" s="60"/>
      <c r="D1555" s="60"/>
      <c r="E1555" s="58"/>
      <c r="F1555" s="58"/>
      <c r="G1555" s="58"/>
      <c r="H1555" s="33" t="str">
        <f t="shared" si="33"/>
        <v/>
      </c>
      <c r="I1555" s="58"/>
      <c r="J1555" s="58"/>
      <c r="K1555" s="58"/>
      <c r="L1555" s="58"/>
      <c r="M1555" s="80"/>
      <c r="N1555" s="80"/>
      <c r="O1555" s="58"/>
      <c r="P1555" s="58"/>
      <c r="Q1555" s="84"/>
      <c r="R1555" s="62"/>
      <c r="S1555" s="37" t="str">
        <f>IFERROR(__xludf.DUMMYFUNCTION("if(not(iserror(index(split(C1555, "" ""),2))), index(split(C1555, "" ""),1),"""")"),"")</f>
        <v/>
      </c>
      <c r="T1555" s="315" t="str">
        <f>IFERROR(__xludf.DUMMYFUNCTION("if(S1555="""",C1555,if(not(iserror(index(split(C1555, "" ""),3))), index(split(C1555, "" ""),3),index(split(C1555, "" ""),2)))"),"")</f>
        <v/>
      </c>
      <c r="U1555" s="38" t="b">
        <f t="shared" si="34"/>
        <v>0</v>
      </c>
      <c r="V1555" s="38"/>
      <c r="W1555" s="40"/>
      <c r="X1555" s="40"/>
      <c r="Y1555" s="38"/>
      <c r="Z1555" s="38"/>
      <c r="AA1555" s="38"/>
      <c r="AB1555" s="38"/>
      <c r="AC1555" s="38"/>
      <c r="AD1555" s="38"/>
      <c r="AE1555" s="38"/>
      <c r="AF1555" s="38"/>
      <c r="AG1555" s="38"/>
      <c r="AH1555" s="38"/>
      <c r="AI1555" s="38"/>
      <c r="AJ1555" s="38"/>
      <c r="AK1555" s="38"/>
      <c r="AL1555" s="38"/>
      <c r="AM1555" s="38"/>
      <c r="AN1555" s="38"/>
      <c r="AO1555" s="38"/>
      <c r="AP1555" s="38"/>
      <c r="AQ1555" s="38"/>
      <c r="AR1555" s="38"/>
      <c r="AS1555" s="38"/>
      <c r="AT1555" s="38"/>
      <c r="AU1555" s="38"/>
      <c r="AV1555" s="38"/>
      <c r="AW1555" s="38"/>
      <c r="AX1555" s="38"/>
      <c r="AY1555" s="38"/>
      <c r="AZ1555" s="38"/>
      <c r="BA1555" s="38"/>
      <c r="BB1555" s="38"/>
      <c r="BC1555" s="38"/>
      <c r="BD1555" s="38"/>
      <c r="BE1555" s="38"/>
      <c r="BF1555" s="38"/>
      <c r="BG1555" s="38"/>
      <c r="BH1555" s="38"/>
      <c r="BI1555" s="38"/>
      <c r="BJ1555" s="38"/>
      <c r="BK1555" s="38"/>
      <c r="BL1555" s="38"/>
      <c r="BM1555" s="38"/>
      <c r="BN1555" s="38"/>
      <c r="BO1555" s="38"/>
      <c r="BP1555" s="38"/>
      <c r="BQ1555" s="38"/>
    </row>
    <row r="1556">
      <c r="A1556" s="58"/>
      <c r="B1556" s="341"/>
      <c r="C1556" s="60"/>
      <c r="D1556" s="60"/>
      <c r="E1556" s="58"/>
      <c r="F1556" s="58"/>
      <c r="G1556" s="58"/>
      <c r="H1556" s="33" t="str">
        <f t="shared" si="33"/>
        <v/>
      </c>
      <c r="I1556" s="58"/>
      <c r="J1556" s="58"/>
      <c r="K1556" s="58"/>
      <c r="L1556" s="58"/>
      <c r="M1556" s="80"/>
      <c r="N1556" s="77"/>
      <c r="O1556" s="58"/>
      <c r="P1556" s="58"/>
      <c r="Q1556" s="84"/>
      <c r="R1556" s="62"/>
      <c r="S1556" s="37" t="str">
        <f>IFERROR(__xludf.DUMMYFUNCTION("if(not(iserror(index(split(C1556, "" ""),2))), index(split(C1556, "" ""),1),"""")"),"")</f>
        <v/>
      </c>
      <c r="T1556" s="315" t="str">
        <f>IFERROR(__xludf.DUMMYFUNCTION("if(S1556="""",C1556,if(not(iserror(index(split(C1556, "" ""),3))), index(split(C1556, "" ""),3),index(split(C1556, "" ""),2)))"),"")</f>
        <v/>
      </c>
      <c r="U1556" s="38" t="b">
        <f t="shared" si="34"/>
        <v>0</v>
      </c>
      <c r="V1556" s="38"/>
      <c r="W1556" s="40"/>
      <c r="X1556" s="40"/>
      <c r="Y1556" s="38"/>
      <c r="Z1556" s="38"/>
      <c r="AA1556" s="38"/>
      <c r="AB1556" s="38"/>
      <c r="AC1556" s="38"/>
      <c r="AD1556" s="38"/>
      <c r="AE1556" s="38"/>
      <c r="AF1556" s="38"/>
      <c r="AG1556" s="38"/>
      <c r="AH1556" s="38"/>
      <c r="AI1556" s="38"/>
      <c r="AJ1556" s="38"/>
      <c r="AK1556" s="38"/>
      <c r="AL1556" s="38"/>
      <c r="AM1556" s="38"/>
      <c r="AN1556" s="38"/>
      <c r="AO1556" s="38"/>
      <c r="AP1556" s="38"/>
      <c r="AQ1556" s="38"/>
      <c r="AR1556" s="38"/>
      <c r="AS1556" s="38"/>
      <c r="AT1556" s="38"/>
      <c r="AU1556" s="38"/>
      <c r="AV1556" s="38"/>
      <c r="AW1556" s="38"/>
      <c r="AX1556" s="38"/>
      <c r="AY1556" s="38"/>
      <c r="AZ1556" s="38"/>
      <c r="BA1556" s="38"/>
      <c r="BB1556" s="38"/>
      <c r="BC1556" s="38"/>
      <c r="BD1556" s="38"/>
      <c r="BE1556" s="38"/>
      <c r="BF1556" s="38"/>
      <c r="BG1556" s="38"/>
      <c r="BH1556" s="38"/>
      <c r="BI1556" s="38"/>
      <c r="BJ1556" s="38"/>
      <c r="BK1556" s="38"/>
      <c r="BL1556" s="38"/>
      <c r="BM1556" s="38"/>
      <c r="BN1556" s="38"/>
      <c r="BO1556" s="38"/>
      <c r="BP1556" s="38"/>
      <c r="BQ1556" s="38"/>
    </row>
    <row r="1557">
      <c r="A1557" s="58"/>
      <c r="B1557" s="341"/>
      <c r="C1557" s="60"/>
      <c r="D1557" s="60"/>
      <c r="E1557" s="58"/>
      <c r="F1557" s="58"/>
      <c r="G1557" s="58"/>
      <c r="H1557" s="33" t="str">
        <f t="shared" si="33"/>
        <v/>
      </c>
      <c r="I1557" s="58"/>
      <c r="J1557" s="58"/>
      <c r="K1557" s="58"/>
      <c r="L1557" s="58"/>
      <c r="M1557" s="80"/>
      <c r="N1557" s="77"/>
      <c r="O1557" s="58"/>
      <c r="P1557" s="58"/>
      <c r="Q1557" s="84"/>
      <c r="R1557" s="62"/>
      <c r="S1557" s="37" t="str">
        <f>IFERROR(__xludf.DUMMYFUNCTION("if(not(iserror(index(split(C1557, "" ""),2))), index(split(C1557, "" ""),1),"""")"),"")</f>
        <v/>
      </c>
      <c r="T1557" s="315" t="str">
        <f>IFERROR(__xludf.DUMMYFUNCTION("if(S1557="""",C1557,if(not(iserror(index(split(C1557, "" ""),3))), index(split(C1557, "" ""),3),index(split(C1557, "" ""),2)))"),"")</f>
        <v/>
      </c>
      <c r="U1557" s="38" t="b">
        <f t="shared" si="34"/>
        <v>0</v>
      </c>
      <c r="V1557" s="38"/>
      <c r="W1557" s="40"/>
      <c r="X1557" s="40"/>
      <c r="Y1557" s="38"/>
      <c r="Z1557" s="38"/>
      <c r="AA1557" s="38"/>
      <c r="AB1557" s="38"/>
      <c r="AC1557" s="38"/>
      <c r="AD1557" s="38"/>
      <c r="AE1557" s="38"/>
      <c r="AF1557" s="38"/>
      <c r="AG1557" s="38"/>
      <c r="AH1557" s="38"/>
      <c r="AI1557" s="38"/>
      <c r="AJ1557" s="38"/>
      <c r="AK1557" s="38"/>
      <c r="AL1557" s="38"/>
      <c r="AM1557" s="38"/>
      <c r="AN1557" s="38"/>
      <c r="AO1557" s="38"/>
      <c r="AP1557" s="38"/>
      <c r="AQ1557" s="38"/>
      <c r="AR1557" s="38"/>
      <c r="AS1557" s="38"/>
      <c r="AT1557" s="38"/>
      <c r="AU1557" s="38"/>
      <c r="AV1557" s="38"/>
      <c r="AW1557" s="38"/>
      <c r="AX1557" s="38"/>
      <c r="AY1557" s="38"/>
      <c r="AZ1557" s="38"/>
      <c r="BA1557" s="38"/>
      <c r="BB1557" s="38"/>
      <c r="BC1557" s="38"/>
      <c r="BD1557" s="38"/>
      <c r="BE1557" s="38"/>
      <c r="BF1557" s="38"/>
      <c r="BG1557" s="38"/>
      <c r="BH1557" s="38"/>
      <c r="BI1557" s="38"/>
      <c r="BJ1557" s="38"/>
      <c r="BK1557" s="38"/>
      <c r="BL1557" s="38"/>
      <c r="BM1557" s="38"/>
      <c r="BN1557" s="38"/>
      <c r="BO1557" s="38"/>
      <c r="BP1557" s="38"/>
      <c r="BQ1557" s="38"/>
    </row>
    <row r="1558">
      <c r="A1558" s="58"/>
      <c r="B1558" s="341"/>
      <c r="C1558" s="60"/>
      <c r="D1558" s="60"/>
      <c r="E1558" s="58"/>
      <c r="F1558" s="58"/>
      <c r="G1558" s="58"/>
      <c r="H1558" s="33" t="str">
        <f t="shared" si="33"/>
        <v/>
      </c>
      <c r="I1558" s="58"/>
      <c r="J1558" s="58"/>
      <c r="K1558" s="58"/>
      <c r="L1558" s="58"/>
      <c r="M1558" s="80"/>
      <c r="N1558" s="77"/>
      <c r="O1558" s="58"/>
      <c r="P1558" s="58"/>
      <c r="Q1558" s="84"/>
      <c r="R1558" s="62"/>
      <c r="S1558" s="37" t="str">
        <f>IFERROR(__xludf.DUMMYFUNCTION("if(not(iserror(index(split(C1558, "" ""),2))), index(split(C1558, "" ""),1),"""")"),"")</f>
        <v/>
      </c>
      <c r="T1558" s="315" t="str">
        <f>IFERROR(__xludf.DUMMYFUNCTION("if(S1558="""",C1558,if(not(iserror(index(split(C1558, "" ""),3))), index(split(C1558, "" ""),3),index(split(C1558, "" ""),2)))"),"")</f>
        <v/>
      </c>
      <c r="U1558" s="38" t="b">
        <f t="shared" si="34"/>
        <v>0</v>
      </c>
      <c r="V1558" s="38"/>
      <c r="W1558" s="40"/>
      <c r="X1558" s="40"/>
      <c r="Y1558" s="38"/>
      <c r="Z1558" s="38"/>
      <c r="AA1558" s="38"/>
      <c r="AB1558" s="38"/>
      <c r="AC1558" s="38"/>
      <c r="AD1558" s="38"/>
      <c r="AE1558" s="38"/>
      <c r="AF1558" s="38"/>
      <c r="AG1558" s="38"/>
      <c r="AH1558" s="38"/>
      <c r="AI1558" s="38"/>
      <c r="AJ1558" s="38"/>
      <c r="AK1558" s="38"/>
      <c r="AL1558" s="38"/>
      <c r="AM1558" s="38"/>
      <c r="AN1558" s="38"/>
      <c r="AO1558" s="38"/>
      <c r="AP1558" s="38"/>
      <c r="AQ1558" s="38"/>
      <c r="AR1558" s="38"/>
      <c r="AS1558" s="38"/>
      <c r="AT1558" s="38"/>
      <c r="AU1558" s="38"/>
      <c r="AV1558" s="38"/>
      <c r="AW1558" s="38"/>
      <c r="AX1558" s="38"/>
      <c r="AY1558" s="38"/>
      <c r="AZ1558" s="38"/>
      <c r="BA1558" s="38"/>
      <c r="BB1558" s="38"/>
      <c r="BC1558" s="38"/>
      <c r="BD1558" s="38"/>
      <c r="BE1558" s="38"/>
      <c r="BF1558" s="38"/>
      <c r="BG1558" s="38"/>
      <c r="BH1558" s="38"/>
      <c r="BI1558" s="38"/>
      <c r="BJ1558" s="38"/>
      <c r="BK1558" s="38"/>
      <c r="BL1558" s="38"/>
      <c r="BM1558" s="38"/>
      <c r="BN1558" s="38"/>
      <c r="BO1558" s="38"/>
      <c r="BP1558" s="38"/>
      <c r="BQ1558" s="38"/>
    </row>
    <row r="1559">
      <c r="A1559" s="58"/>
      <c r="B1559" s="341"/>
      <c r="C1559" s="60"/>
      <c r="D1559" s="60"/>
      <c r="E1559" s="58"/>
      <c r="F1559" s="58"/>
      <c r="G1559" s="58"/>
      <c r="H1559" s="33" t="str">
        <f t="shared" si="33"/>
        <v/>
      </c>
      <c r="I1559" s="58"/>
      <c r="J1559" s="58"/>
      <c r="K1559" s="58"/>
      <c r="L1559" s="58"/>
      <c r="M1559" s="80"/>
      <c r="N1559" s="77"/>
      <c r="O1559" s="58"/>
      <c r="P1559" s="58"/>
      <c r="Q1559" s="84"/>
      <c r="R1559" s="62"/>
      <c r="S1559" s="37" t="str">
        <f>IFERROR(__xludf.DUMMYFUNCTION("if(not(iserror(index(split(C1559, "" ""),2))), index(split(C1559, "" ""),1),"""")"),"")</f>
        <v/>
      </c>
      <c r="T1559" s="315" t="str">
        <f>IFERROR(__xludf.DUMMYFUNCTION("if(S1559="""",C1559,if(not(iserror(index(split(C1559, "" ""),3))), index(split(C1559, "" ""),3),index(split(C1559, "" ""),2)))"),"")</f>
        <v/>
      </c>
      <c r="U1559" s="38" t="b">
        <f t="shared" si="34"/>
        <v>0</v>
      </c>
      <c r="V1559" s="38"/>
      <c r="W1559" s="40"/>
      <c r="X1559" s="40"/>
      <c r="Y1559" s="38"/>
      <c r="Z1559" s="38"/>
      <c r="AA1559" s="38"/>
      <c r="AB1559" s="38"/>
      <c r="AC1559" s="38"/>
      <c r="AD1559" s="38"/>
      <c r="AE1559" s="38"/>
      <c r="AF1559" s="38"/>
      <c r="AG1559" s="38"/>
      <c r="AH1559" s="38"/>
      <c r="AI1559" s="38"/>
      <c r="AJ1559" s="38"/>
      <c r="AK1559" s="38"/>
      <c r="AL1559" s="38"/>
      <c r="AM1559" s="38"/>
      <c r="AN1559" s="38"/>
      <c r="AO1559" s="38"/>
      <c r="AP1559" s="38"/>
      <c r="AQ1559" s="38"/>
      <c r="AR1559" s="38"/>
      <c r="AS1559" s="38"/>
      <c r="AT1559" s="38"/>
      <c r="AU1559" s="38"/>
      <c r="AV1559" s="38"/>
      <c r="AW1559" s="38"/>
      <c r="AX1559" s="38"/>
      <c r="AY1559" s="38"/>
      <c r="AZ1559" s="38"/>
      <c r="BA1559" s="38"/>
      <c r="BB1559" s="38"/>
      <c r="BC1559" s="38"/>
      <c r="BD1559" s="38"/>
      <c r="BE1559" s="38"/>
      <c r="BF1559" s="38"/>
      <c r="BG1559" s="38"/>
      <c r="BH1559" s="38"/>
      <c r="BI1559" s="38"/>
      <c r="BJ1559" s="38"/>
      <c r="BK1559" s="38"/>
      <c r="BL1559" s="38"/>
      <c r="BM1559" s="38"/>
      <c r="BN1559" s="38"/>
      <c r="BO1559" s="38"/>
      <c r="BP1559" s="38"/>
      <c r="BQ1559" s="38"/>
    </row>
    <row r="1560">
      <c r="A1560" s="58"/>
      <c r="B1560" s="341"/>
      <c r="C1560" s="60"/>
      <c r="D1560" s="60"/>
      <c r="E1560" s="58"/>
      <c r="F1560" s="58"/>
      <c r="G1560" s="58"/>
      <c r="H1560" s="33" t="str">
        <f t="shared" si="33"/>
        <v/>
      </c>
      <c r="I1560" s="58"/>
      <c r="J1560" s="58"/>
      <c r="K1560" s="58"/>
      <c r="L1560" s="58"/>
      <c r="M1560" s="80"/>
      <c r="N1560" s="80"/>
      <c r="O1560" s="58"/>
      <c r="P1560" s="58"/>
      <c r="Q1560" s="84"/>
      <c r="R1560" s="62"/>
      <c r="S1560" s="37" t="str">
        <f>IFERROR(__xludf.DUMMYFUNCTION("if(not(iserror(index(split(C1560, "" ""),2))), index(split(C1560, "" ""),1),"""")"),"")</f>
        <v/>
      </c>
      <c r="T1560" s="315" t="str">
        <f>IFERROR(__xludf.DUMMYFUNCTION("if(S1560="""",C1560,if(not(iserror(index(split(C1560, "" ""),3))), index(split(C1560, "" ""),3),index(split(C1560, "" ""),2)))"),"")</f>
        <v/>
      </c>
      <c r="U1560" s="38" t="b">
        <f t="shared" si="34"/>
        <v>0</v>
      </c>
      <c r="V1560" s="38"/>
      <c r="W1560" s="40"/>
      <c r="X1560" s="40"/>
      <c r="Y1560" s="38"/>
      <c r="Z1560" s="38"/>
      <c r="AA1560" s="38"/>
      <c r="AB1560" s="38"/>
      <c r="AC1560" s="38"/>
      <c r="AD1560" s="38"/>
      <c r="AE1560" s="38"/>
      <c r="AF1560" s="38"/>
      <c r="AG1560" s="38"/>
      <c r="AH1560" s="38"/>
      <c r="AI1560" s="38"/>
      <c r="AJ1560" s="38"/>
      <c r="AK1560" s="38"/>
      <c r="AL1560" s="38"/>
      <c r="AM1560" s="38"/>
      <c r="AN1560" s="38"/>
      <c r="AO1560" s="38"/>
      <c r="AP1560" s="38"/>
      <c r="AQ1560" s="38"/>
      <c r="AR1560" s="38"/>
      <c r="AS1560" s="38"/>
      <c r="AT1560" s="38"/>
      <c r="AU1560" s="38"/>
      <c r="AV1560" s="38"/>
      <c r="AW1560" s="38"/>
      <c r="AX1560" s="38"/>
      <c r="AY1560" s="38"/>
      <c r="AZ1560" s="38"/>
      <c r="BA1560" s="38"/>
      <c r="BB1560" s="38"/>
      <c r="BC1560" s="38"/>
      <c r="BD1560" s="38"/>
      <c r="BE1560" s="38"/>
      <c r="BF1560" s="38"/>
      <c r="BG1560" s="38"/>
      <c r="BH1560" s="38"/>
      <c r="BI1560" s="38"/>
      <c r="BJ1560" s="38"/>
      <c r="BK1560" s="38"/>
      <c r="BL1560" s="38"/>
      <c r="BM1560" s="38"/>
      <c r="BN1560" s="38"/>
      <c r="BO1560" s="38"/>
      <c r="BP1560" s="38"/>
      <c r="BQ1560" s="38"/>
    </row>
    <row r="1561">
      <c r="A1561" s="58"/>
      <c r="B1561" s="341"/>
      <c r="C1561" s="60"/>
      <c r="D1561" s="60"/>
      <c r="E1561" s="58"/>
      <c r="F1561" s="58"/>
      <c r="G1561" s="58"/>
      <c r="H1561" s="33" t="str">
        <f t="shared" si="33"/>
        <v/>
      </c>
      <c r="I1561" s="58"/>
      <c r="J1561" s="58"/>
      <c r="K1561" s="58"/>
      <c r="L1561" s="58"/>
      <c r="M1561" s="80"/>
      <c r="N1561" s="77"/>
      <c r="O1561" s="62"/>
      <c r="P1561" s="62"/>
      <c r="Q1561" s="62"/>
      <c r="R1561" s="62"/>
      <c r="S1561" s="37" t="str">
        <f>IFERROR(__xludf.DUMMYFUNCTION("if(not(iserror(index(split(C1561, "" ""),2))), index(split(C1561, "" ""),1),"""")"),"")</f>
        <v/>
      </c>
      <c r="T1561" s="315" t="str">
        <f>IFERROR(__xludf.DUMMYFUNCTION("if(S1561="""",C1561,if(not(iserror(index(split(C1561, "" ""),3))), index(split(C1561, "" ""),3),index(split(C1561, "" ""),2)))"),"")</f>
        <v/>
      </c>
      <c r="U1561" s="38" t="b">
        <f t="shared" si="34"/>
        <v>0</v>
      </c>
      <c r="V1561" s="38"/>
      <c r="W1561" s="40"/>
      <c r="X1561" s="40"/>
      <c r="Y1561" s="38"/>
      <c r="Z1561" s="38"/>
      <c r="AA1561" s="38"/>
      <c r="AB1561" s="38"/>
      <c r="AC1561" s="38"/>
      <c r="AD1561" s="38"/>
      <c r="AE1561" s="38"/>
      <c r="AF1561" s="38"/>
      <c r="AG1561" s="38"/>
      <c r="AH1561" s="38"/>
      <c r="AI1561" s="38"/>
      <c r="AJ1561" s="38"/>
      <c r="AK1561" s="38"/>
      <c r="AL1561" s="38"/>
      <c r="AM1561" s="38"/>
      <c r="AN1561" s="38"/>
      <c r="AO1561" s="38"/>
      <c r="AP1561" s="38"/>
      <c r="AQ1561" s="38"/>
      <c r="AR1561" s="38"/>
      <c r="AS1561" s="38"/>
      <c r="AT1561" s="38"/>
      <c r="AU1561" s="38"/>
      <c r="AV1561" s="38"/>
      <c r="AW1561" s="38"/>
      <c r="AX1561" s="38"/>
      <c r="AY1561" s="38"/>
      <c r="AZ1561" s="38"/>
      <c r="BA1561" s="38"/>
      <c r="BB1561" s="38"/>
      <c r="BC1561" s="38"/>
      <c r="BD1561" s="38"/>
      <c r="BE1561" s="38"/>
      <c r="BF1561" s="38"/>
      <c r="BG1561" s="38"/>
      <c r="BH1561" s="38"/>
      <c r="BI1561" s="38"/>
      <c r="BJ1561" s="38"/>
      <c r="BK1561" s="38"/>
      <c r="BL1561" s="38"/>
      <c r="BM1561" s="38"/>
      <c r="BN1561" s="38"/>
      <c r="BO1561" s="38"/>
      <c r="BP1561" s="38"/>
      <c r="BQ1561" s="38"/>
    </row>
    <row r="1562">
      <c r="B1562" s="341"/>
      <c r="C1562" s="60"/>
      <c r="D1562" s="60"/>
      <c r="E1562" s="58"/>
      <c r="F1562" s="58"/>
      <c r="G1562" s="58"/>
      <c r="H1562" s="33" t="str">
        <f t="shared" si="33"/>
        <v/>
      </c>
      <c r="I1562" s="58"/>
      <c r="J1562" s="58"/>
      <c r="K1562" s="58"/>
      <c r="L1562" s="58"/>
      <c r="M1562" s="106"/>
      <c r="N1562" s="77"/>
      <c r="O1562" s="62"/>
      <c r="P1562" s="62"/>
      <c r="Q1562" s="62"/>
      <c r="R1562" s="62"/>
      <c r="S1562" s="37" t="str">
        <f>IFERROR(__xludf.DUMMYFUNCTION("if(not(iserror(index(split(C1562, "" ""),2))), index(split(C1562, "" ""),1),"""")"),"")</f>
        <v/>
      </c>
      <c r="T1562" s="315" t="str">
        <f>IFERROR(__xludf.DUMMYFUNCTION("if(S1562="""",C1562,if(not(iserror(index(split(C1562, "" ""),3))), index(split(C1562, "" ""),3),index(split(C1562, "" ""),2)))"),"")</f>
        <v/>
      </c>
      <c r="U1562" s="38" t="b">
        <f t="shared" si="34"/>
        <v>0</v>
      </c>
      <c r="V1562" s="38"/>
      <c r="W1562" s="40"/>
      <c r="X1562" s="40"/>
      <c r="Y1562" s="38"/>
      <c r="Z1562" s="38"/>
      <c r="AA1562" s="38"/>
      <c r="AB1562" s="38"/>
      <c r="AC1562" s="38"/>
      <c r="AD1562" s="38"/>
      <c r="AE1562" s="38"/>
      <c r="AF1562" s="38"/>
      <c r="AG1562" s="38"/>
      <c r="AH1562" s="38"/>
      <c r="AI1562" s="38"/>
      <c r="AJ1562" s="38"/>
      <c r="AK1562" s="38"/>
      <c r="AL1562" s="38"/>
      <c r="AM1562" s="38"/>
      <c r="AN1562" s="38"/>
      <c r="AO1562" s="38"/>
      <c r="AP1562" s="38"/>
      <c r="AQ1562" s="38"/>
      <c r="AR1562" s="38"/>
      <c r="AS1562" s="38"/>
      <c r="AT1562" s="38"/>
      <c r="AU1562" s="38"/>
      <c r="AV1562" s="38"/>
      <c r="AW1562" s="38"/>
      <c r="AX1562" s="38"/>
      <c r="AY1562" s="38"/>
      <c r="AZ1562" s="38"/>
      <c r="BA1562" s="38"/>
      <c r="BB1562" s="38"/>
      <c r="BC1562" s="38"/>
      <c r="BD1562" s="38"/>
      <c r="BE1562" s="38"/>
      <c r="BF1562" s="38"/>
      <c r="BG1562" s="38"/>
      <c r="BH1562" s="38"/>
      <c r="BI1562" s="38"/>
      <c r="BJ1562" s="38"/>
      <c r="BK1562" s="38"/>
      <c r="BL1562" s="38"/>
      <c r="BM1562" s="38"/>
      <c r="BN1562" s="38"/>
      <c r="BO1562" s="38"/>
      <c r="BP1562" s="38"/>
      <c r="BQ1562" s="38"/>
    </row>
    <row r="1563">
      <c r="A1563" s="58"/>
      <c r="B1563" s="341"/>
      <c r="C1563" s="60"/>
      <c r="D1563" s="60"/>
      <c r="E1563" s="58"/>
      <c r="F1563" s="58"/>
      <c r="G1563" s="58"/>
      <c r="H1563" s="33" t="str">
        <f t="shared" si="33"/>
        <v/>
      </c>
      <c r="I1563" s="58"/>
      <c r="J1563" s="58"/>
      <c r="K1563" s="58"/>
      <c r="L1563" s="58"/>
      <c r="M1563" s="80"/>
      <c r="N1563" s="77"/>
      <c r="O1563" s="62"/>
      <c r="P1563" s="62"/>
      <c r="Q1563" s="62"/>
      <c r="R1563" s="62"/>
      <c r="S1563" s="37" t="str">
        <f>IFERROR(__xludf.DUMMYFUNCTION("if(not(iserror(index(split(C1563, "" ""),2))), index(split(C1563, "" ""),1),"""")"),"")</f>
        <v/>
      </c>
      <c r="T1563" s="315" t="str">
        <f>IFERROR(__xludf.DUMMYFUNCTION("if(S1563="""",C1563,if(not(iserror(index(split(C1563, "" ""),3))), index(split(C1563, "" ""),3),index(split(C1563, "" ""),2)))"),"")</f>
        <v/>
      </c>
      <c r="U1563" s="38" t="b">
        <f t="shared" si="34"/>
        <v>0</v>
      </c>
      <c r="V1563" s="38"/>
      <c r="W1563" s="40"/>
      <c r="X1563" s="40"/>
      <c r="Y1563" s="38"/>
      <c r="Z1563" s="38"/>
      <c r="AA1563" s="38"/>
      <c r="AB1563" s="38"/>
      <c r="AC1563" s="38"/>
      <c r="AD1563" s="38"/>
      <c r="AE1563" s="38"/>
      <c r="AF1563" s="38"/>
      <c r="AG1563" s="38"/>
      <c r="AH1563" s="38"/>
      <c r="AI1563" s="38"/>
      <c r="AJ1563" s="38"/>
      <c r="AK1563" s="38"/>
      <c r="AL1563" s="38"/>
      <c r="AM1563" s="38"/>
      <c r="AN1563" s="38"/>
      <c r="AO1563" s="38"/>
      <c r="AP1563" s="38"/>
      <c r="AQ1563" s="38"/>
      <c r="AR1563" s="38"/>
      <c r="AS1563" s="38"/>
      <c r="AT1563" s="38"/>
      <c r="AU1563" s="38"/>
      <c r="AV1563" s="38"/>
      <c r="AW1563" s="38"/>
      <c r="AX1563" s="38"/>
      <c r="AY1563" s="38"/>
      <c r="AZ1563" s="38"/>
      <c r="BA1563" s="38"/>
      <c r="BB1563" s="38"/>
      <c r="BC1563" s="38"/>
      <c r="BD1563" s="38"/>
      <c r="BE1563" s="38"/>
      <c r="BF1563" s="38"/>
      <c r="BG1563" s="38"/>
      <c r="BH1563" s="38"/>
      <c r="BI1563" s="38"/>
      <c r="BJ1563" s="38"/>
      <c r="BK1563" s="38"/>
      <c r="BL1563" s="38"/>
      <c r="BM1563" s="38"/>
      <c r="BN1563" s="38"/>
      <c r="BO1563" s="38"/>
      <c r="BP1563" s="38"/>
      <c r="BQ1563" s="38"/>
    </row>
    <row r="1564">
      <c r="A1564" s="58"/>
      <c r="B1564" s="341"/>
      <c r="C1564" s="60"/>
      <c r="D1564" s="60"/>
      <c r="E1564" s="58"/>
      <c r="F1564" s="58"/>
      <c r="G1564" s="58"/>
      <c r="H1564" s="33" t="str">
        <f t="shared" si="33"/>
        <v/>
      </c>
      <c r="I1564" s="58"/>
      <c r="J1564" s="58"/>
      <c r="K1564" s="58"/>
      <c r="L1564" s="58"/>
      <c r="M1564" s="80"/>
      <c r="N1564" s="77"/>
      <c r="O1564" s="62"/>
      <c r="P1564" s="62"/>
      <c r="Q1564" s="62"/>
      <c r="R1564" s="62"/>
      <c r="S1564" s="37" t="str">
        <f>IFERROR(__xludf.DUMMYFUNCTION("if(not(iserror(index(split(C1564, "" ""),2))), index(split(C1564, "" ""),1),"""")"),"")</f>
        <v/>
      </c>
      <c r="T1564" s="315" t="str">
        <f>IFERROR(__xludf.DUMMYFUNCTION("if(S1564="""",C1564,if(not(iserror(index(split(C1564, "" ""),3))), index(split(C1564, "" ""),3),index(split(C1564, "" ""),2)))"),"")</f>
        <v/>
      </c>
      <c r="U1564" s="38" t="b">
        <f t="shared" si="34"/>
        <v>0</v>
      </c>
      <c r="V1564" s="38"/>
      <c r="W1564" s="40"/>
      <c r="X1564" s="40"/>
      <c r="Y1564" s="38"/>
      <c r="Z1564" s="38"/>
      <c r="AA1564" s="38"/>
      <c r="AB1564" s="38"/>
      <c r="AC1564" s="38"/>
      <c r="AD1564" s="38"/>
      <c r="AE1564" s="38"/>
      <c r="AF1564" s="38"/>
      <c r="AG1564" s="38"/>
      <c r="AH1564" s="38"/>
      <c r="AI1564" s="38"/>
      <c r="AJ1564" s="38"/>
      <c r="AK1564" s="38"/>
      <c r="AL1564" s="38"/>
      <c r="AM1564" s="38"/>
      <c r="AN1564" s="38"/>
      <c r="AO1564" s="38"/>
      <c r="AP1564" s="38"/>
      <c r="AQ1564" s="38"/>
      <c r="AR1564" s="38"/>
      <c r="AS1564" s="38"/>
      <c r="AT1564" s="38"/>
      <c r="AU1564" s="38"/>
      <c r="AV1564" s="38"/>
      <c r="AW1564" s="38"/>
      <c r="AX1564" s="38"/>
      <c r="AY1564" s="38"/>
      <c r="AZ1564" s="38"/>
      <c r="BA1564" s="38"/>
      <c r="BB1564" s="38"/>
      <c r="BC1564" s="38"/>
      <c r="BD1564" s="38"/>
      <c r="BE1564" s="38"/>
      <c r="BF1564" s="38"/>
      <c r="BG1564" s="38"/>
      <c r="BH1564" s="38"/>
      <c r="BI1564" s="38"/>
      <c r="BJ1564" s="38"/>
      <c r="BK1564" s="38"/>
      <c r="BL1564" s="38"/>
      <c r="BM1564" s="38"/>
      <c r="BN1564" s="38"/>
      <c r="BO1564" s="38"/>
      <c r="BP1564" s="38"/>
      <c r="BQ1564" s="38"/>
    </row>
    <row r="1565">
      <c r="A1565" s="58"/>
      <c r="B1565" s="341"/>
      <c r="C1565" s="60"/>
      <c r="D1565" s="60"/>
      <c r="E1565" s="58"/>
      <c r="F1565" s="58"/>
      <c r="G1565" s="58"/>
      <c r="H1565" s="33" t="str">
        <f t="shared" si="33"/>
        <v/>
      </c>
      <c r="I1565" s="58"/>
      <c r="J1565" s="58"/>
      <c r="K1565" s="58"/>
      <c r="L1565" s="58"/>
      <c r="M1565" s="80"/>
      <c r="N1565" s="77"/>
      <c r="O1565" s="62"/>
      <c r="P1565" s="62"/>
      <c r="Q1565" s="62"/>
      <c r="R1565" s="62"/>
      <c r="S1565" s="37" t="str">
        <f>IFERROR(__xludf.DUMMYFUNCTION("if(not(iserror(index(split(C1565, "" ""),2))), index(split(C1565, "" ""),1),"""")"),"")</f>
        <v/>
      </c>
      <c r="T1565" s="315" t="str">
        <f>IFERROR(__xludf.DUMMYFUNCTION("if(S1565="""",C1565,if(not(iserror(index(split(C1565, "" ""),3))), index(split(C1565, "" ""),3),index(split(C1565, "" ""),2)))"),"")</f>
        <v/>
      </c>
      <c r="U1565" s="38" t="b">
        <f t="shared" si="34"/>
        <v>0</v>
      </c>
      <c r="V1565" s="38"/>
      <c r="W1565" s="40"/>
      <c r="X1565" s="40"/>
      <c r="Y1565" s="38"/>
      <c r="Z1565" s="38"/>
      <c r="AA1565" s="38"/>
      <c r="AB1565" s="38"/>
      <c r="AC1565" s="38"/>
      <c r="AD1565" s="38"/>
      <c r="AE1565" s="38"/>
      <c r="AF1565" s="38"/>
      <c r="AG1565" s="38"/>
      <c r="AH1565" s="38"/>
      <c r="AI1565" s="38"/>
      <c r="AJ1565" s="38"/>
      <c r="AK1565" s="38"/>
      <c r="AL1565" s="38"/>
      <c r="AM1565" s="38"/>
      <c r="AN1565" s="38"/>
      <c r="AO1565" s="38"/>
      <c r="AP1565" s="38"/>
      <c r="AQ1565" s="38"/>
      <c r="AR1565" s="38"/>
      <c r="AS1565" s="38"/>
      <c r="AT1565" s="38"/>
      <c r="AU1565" s="38"/>
      <c r="AV1565" s="38"/>
      <c r="AW1565" s="38"/>
      <c r="AX1565" s="38"/>
      <c r="AY1565" s="38"/>
      <c r="AZ1565" s="38"/>
      <c r="BA1565" s="38"/>
      <c r="BB1565" s="38"/>
      <c r="BC1565" s="38"/>
      <c r="BD1565" s="38"/>
      <c r="BE1565" s="38"/>
      <c r="BF1565" s="38"/>
      <c r="BG1565" s="38"/>
      <c r="BH1565" s="38"/>
      <c r="BI1565" s="38"/>
      <c r="BJ1565" s="38"/>
      <c r="BK1565" s="38"/>
      <c r="BL1565" s="38"/>
      <c r="BM1565" s="38"/>
      <c r="BN1565" s="38"/>
      <c r="BO1565" s="38"/>
      <c r="BP1565" s="38"/>
      <c r="BQ1565" s="38"/>
    </row>
    <row r="1566">
      <c r="A1566" s="58"/>
      <c r="B1566" s="341"/>
      <c r="C1566" s="60"/>
      <c r="D1566" s="60"/>
      <c r="E1566" s="58"/>
      <c r="F1566" s="58"/>
      <c r="G1566" s="58"/>
      <c r="H1566" s="33" t="str">
        <f t="shared" si="33"/>
        <v/>
      </c>
      <c r="I1566" s="58"/>
      <c r="J1566" s="58"/>
      <c r="K1566" s="58"/>
      <c r="L1566" s="58"/>
      <c r="M1566" s="80"/>
      <c r="N1566" s="77"/>
      <c r="O1566" s="62"/>
      <c r="P1566" s="62"/>
      <c r="Q1566" s="62"/>
      <c r="R1566" s="62"/>
      <c r="S1566" s="37" t="str">
        <f>IFERROR(__xludf.DUMMYFUNCTION("if(not(iserror(index(split(C1566, "" ""),2))), index(split(C1566, "" ""),1),"""")"),"")</f>
        <v/>
      </c>
      <c r="T1566" s="315" t="str">
        <f>IFERROR(__xludf.DUMMYFUNCTION("if(S1566="""",C1566,if(not(iserror(index(split(C1566, "" ""),3))), index(split(C1566, "" ""),3),index(split(C1566, "" ""),2)))"),"")</f>
        <v/>
      </c>
      <c r="U1566" s="38" t="b">
        <f t="shared" si="34"/>
        <v>0</v>
      </c>
      <c r="V1566" s="38"/>
      <c r="W1566" s="40"/>
      <c r="X1566" s="40"/>
      <c r="Y1566" s="38"/>
      <c r="Z1566" s="38"/>
      <c r="AA1566" s="38"/>
      <c r="AB1566" s="38"/>
      <c r="AC1566" s="38"/>
      <c r="AD1566" s="38"/>
      <c r="AE1566" s="38"/>
      <c r="AF1566" s="38"/>
      <c r="AG1566" s="38"/>
      <c r="AH1566" s="38"/>
      <c r="AI1566" s="38"/>
      <c r="AJ1566" s="38"/>
      <c r="AK1566" s="38"/>
      <c r="AL1566" s="38"/>
      <c r="AM1566" s="38"/>
      <c r="AN1566" s="38"/>
      <c r="AO1566" s="38"/>
      <c r="AP1566" s="38"/>
      <c r="AQ1566" s="38"/>
      <c r="AR1566" s="38"/>
      <c r="AS1566" s="38"/>
      <c r="AT1566" s="38"/>
      <c r="AU1566" s="38"/>
      <c r="AV1566" s="38"/>
      <c r="AW1566" s="38"/>
      <c r="AX1566" s="38"/>
      <c r="AY1566" s="38"/>
      <c r="AZ1566" s="38"/>
      <c r="BA1566" s="38"/>
      <c r="BB1566" s="38"/>
      <c r="BC1566" s="38"/>
      <c r="BD1566" s="38"/>
      <c r="BE1566" s="38"/>
      <c r="BF1566" s="38"/>
      <c r="BG1566" s="38"/>
      <c r="BH1566" s="38"/>
      <c r="BI1566" s="38"/>
      <c r="BJ1566" s="38"/>
      <c r="BK1566" s="38"/>
      <c r="BL1566" s="38"/>
      <c r="BM1566" s="38"/>
      <c r="BN1566" s="38"/>
      <c r="BO1566" s="38"/>
      <c r="BP1566" s="38"/>
      <c r="BQ1566" s="38"/>
    </row>
    <row r="1567">
      <c r="A1567" s="58"/>
      <c r="B1567" s="341"/>
      <c r="C1567" s="60"/>
      <c r="D1567" s="60"/>
      <c r="E1567" s="58"/>
      <c r="F1567" s="58"/>
      <c r="G1567" s="58"/>
      <c r="H1567" s="33" t="str">
        <f t="shared" si="33"/>
        <v/>
      </c>
      <c r="I1567" s="58"/>
      <c r="J1567" s="58"/>
      <c r="K1567" s="58"/>
      <c r="L1567" s="58"/>
      <c r="M1567" s="80"/>
      <c r="N1567" s="77"/>
      <c r="O1567" s="62"/>
      <c r="P1567" s="62"/>
      <c r="Q1567" s="62"/>
      <c r="R1567" s="62"/>
      <c r="S1567" s="37" t="str">
        <f>IFERROR(__xludf.DUMMYFUNCTION("if(not(iserror(index(split(C1567, "" ""),2))), index(split(C1567, "" ""),1),"""")"),"")</f>
        <v/>
      </c>
      <c r="T1567" s="315" t="str">
        <f>IFERROR(__xludf.DUMMYFUNCTION("if(S1567="""",C1567,if(not(iserror(index(split(C1567, "" ""),3))), index(split(C1567, "" ""),3),index(split(C1567, "" ""),2)))"),"")</f>
        <v/>
      </c>
      <c r="U1567" s="38" t="b">
        <f t="shared" si="34"/>
        <v>0</v>
      </c>
      <c r="V1567" s="38"/>
      <c r="W1567" s="40"/>
      <c r="X1567" s="40"/>
      <c r="Y1567" s="38"/>
      <c r="Z1567" s="38"/>
      <c r="AA1567" s="38"/>
      <c r="AB1567" s="38"/>
      <c r="AC1567" s="38"/>
      <c r="AD1567" s="38"/>
      <c r="AE1567" s="38"/>
      <c r="AF1567" s="38"/>
      <c r="AG1567" s="38"/>
      <c r="AH1567" s="38"/>
      <c r="AI1567" s="38"/>
      <c r="AJ1567" s="38"/>
      <c r="AK1567" s="38"/>
      <c r="AL1567" s="38"/>
      <c r="AM1567" s="38"/>
      <c r="AN1567" s="38"/>
      <c r="AO1567" s="38"/>
      <c r="AP1567" s="38"/>
      <c r="AQ1567" s="38"/>
      <c r="AR1567" s="38"/>
      <c r="AS1567" s="38"/>
      <c r="AT1567" s="38"/>
      <c r="AU1567" s="38"/>
      <c r="AV1567" s="38"/>
      <c r="AW1567" s="38"/>
      <c r="AX1567" s="38"/>
      <c r="AY1567" s="38"/>
      <c r="AZ1567" s="38"/>
      <c r="BA1567" s="38"/>
      <c r="BB1567" s="38"/>
      <c r="BC1567" s="38"/>
      <c r="BD1567" s="38"/>
      <c r="BE1567" s="38"/>
      <c r="BF1567" s="38"/>
      <c r="BG1567" s="38"/>
      <c r="BH1567" s="38"/>
      <c r="BI1567" s="38"/>
      <c r="BJ1567" s="38"/>
      <c r="BK1567" s="38"/>
      <c r="BL1567" s="38"/>
      <c r="BM1567" s="38"/>
      <c r="BN1567" s="38"/>
      <c r="BO1567" s="38"/>
      <c r="BP1567" s="38"/>
      <c r="BQ1567" s="38"/>
    </row>
    <row r="1568">
      <c r="A1568" s="58"/>
      <c r="B1568" s="341"/>
      <c r="C1568" s="60"/>
      <c r="D1568" s="60"/>
      <c r="E1568" s="58"/>
      <c r="F1568" s="58"/>
      <c r="G1568" s="58"/>
      <c r="H1568" s="33" t="str">
        <f t="shared" si="33"/>
        <v/>
      </c>
      <c r="I1568" s="58"/>
      <c r="J1568" s="58"/>
      <c r="K1568" s="58"/>
      <c r="L1568" s="58"/>
      <c r="M1568" s="80"/>
      <c r="N1568" s="77"/>
      <c r="O1568" s="62"/>
      <c r="P1568" s="62"/>
      <c r="Q1568" s="62"/>
      <c r="R1568" s="62"/>
      <c r="S1568" s="37" t="str">
        <f>IFERROR(__xludf.DUMMYFUNCTION("if(not(iserror(index(split(C1568, "" ""),2))), index(split(C1568, "" ""),1),"""")"),"")</f>
        <v/>
      </c>
      <c r="T1568" s="315" t="str">
        <f>IFERROR(__xludf.DUMMYFUNCTION("if(S1568="""",C1568,if(not(iserror(index(split(C1568, "" ""),3))), index(split(C1568, "" ""),3),index(split(C1568, "" ""),2)))"),"")</f>
        <v/>
      </c>
      <c r="U1568" s="38" t="b">
        <f t="shared" si="34"/>
        <v>0</v>
      </c>
      <c r="V1568" s="38"/>
      <c r="W1568" s="40"/>
      <c r="X1568" s="40"/>
      <c r="Y1568" s="38"/>
      <c r="Z1568" s="38"/>
      <c r="AA1568" s="38"/>
      <c r="AB1568" s="38"/>
      <c r="AC1568" s="38"/>
      <c r="AD1568" s="38"/>
      <c r="AE1568" s="38"/>
      <c r="AF1568" s="38"/>
      <c r="AG1568" s="38"/>
      <c r="AH1568" s="38"/>
      <c r="AI1568" s="38"/>
      <c r="AJ1568" s="38"/>
      <c r="AK1568" s="38"/>
      <c r="AL1568" s="38"/>
      <c r="AM1568" s="38"/>
      <c r="AN1568" s="38"/>
      <c r="AO1568" s="38"/>
      <c r="AP1568" s="38"/>
      <c r="AQ1568" s="38"/>
      <c r="AR1568" s="38"/>
      <c r="AS1568" s="38"/>
      <c r="AT1568" s="38"/>
      <c r="AU1568" s="38"/>
      <c r="AV1568" s="38"/>
      <c r="AW1568" s="38"/>
      <c r="AX1568" s="38"/>
      <c r="AY1568" s="38"/>
      <c r="AZ1568" s="38"/>
      <c r="BA1568" s="38"/>
      <c r="BB1568" s="38"/>
      <c r="BC1568" s="38"/>
      <c r="BD1568" s="38"/>
      <c r="BE1568" s="38"/>
      <c r="BF1568" s="38"/>
      <c r="BG1568" s="38"/>
      <c r="BH1568" s="38"/>
      <c r="BI1568" s="38"/>
      <c r="BJ1568" s="38"/>
      <c r="BK1568" s="38"/>
      <c r="BL1568" s="38"/>
      <c r="BM1568" s="38"/>
      <c r="BN1568" s="38"/>
      <c r="BO1568" s="38"/>
      <c r="BP1568" s="38"/>
      <c r="BQ1568" s="38"/>
    </row>
    <row r="1569">
      <c r="B1569" s="341"/>
      <c r="C1569" s="60"/>
      <c r="D1569" s="60"/>
      <c r="E1569" s="58"/>
      <c r="F1569" s="58"/>
      <c r="G1569" s="58"/>
      <c r="H1569" s="33" t="str">
        <f t="shared" si="33"/>
        <v/>
      </c>
      <c r="I1569" s="58"/>
      <c r="J1569" s="58"/>
      <c r="K1569" s="58"/>
      <c r="L1569" s="58"/>
      <c r="M1569" s="80"/>
      <c r="N1569" s="77"/>
      <c r="O1569" s="58"/>
      <c r="P1569" s="62"/>
      <c r="Q1569" s="84"/>
      <c r="R1569" s="62"/>
      <c r="S1569" s="37" t="str">
        <f>IFERROR(__xludf.DUMMYFUNCTION("if(not(iserror(index(split(C1569, "" ""),2))), index(split(C1569, "" ""),1),"""")"),"")</f>
        <v/>
      </c>
      <c r="T1569" s="315" t="str">
        <f>IFERROR(__xludf.DUMMYFUNCTION("if(S1569="""",C1569,if(not(iserror(index(split(C1569, "" ""),3))), index(split(C1569, "" ""),3),index(split(C1569, "" ""),2)))"),"")</f>
        <v/>
      </c>
      <c r="U1569" s="38" t="b">
        <f t="shared" si="34"/>
        <v>0</v>
      </c>
      <c r="V1569" s="38"/>
      <c r="W1569" s="40"/>
      <c r="X1569" s="40"/>
      <c r="Y1569" s="38"/>
      <c r="Z1569" s="38"/>
      <c r="AA1569" s="38"/>
      <c r="AB1569" s="38"/>
      <c r="AC1569" s="38"/>
      <c r="AD1569" s="38"/>
      <c r="AE1569" s="38"/>
      <c r="AF1569" s="38"/>
      <c r="AG1569" s="38"/>
      <c r="AH1569" s="38"/>
      <c r="AI1569" s="38"/>
      <c r="AJ1569" s="38"/>
      <c r="AK1569" s="38"/>
      <c r="AL1569" s="38"/>
      <c r="AM1569" s="38"/>
      <c r="AN1569" s="38"/>
      <c r="AO1569" s="38"/>
      <c r="AP1569" s="38"/>
      <c r="AQ1569" s="38"/>
      <c r="AR1569" s="38"/>
      <c r="AS1569" s="38"/>
      <c r="AT1569" s="38"/>
      <c r="AU1569" s="38"/>
      <c r="AV1569" s="38"/>
      <c r="AW1569" s="38"/>
      <c r="AX1569" s="38"/>
      <c r="AY1569" s="38"/>
      <c r="AZ1569" s="38"/>
      <c r="BA1569" s="38"/>
      <c r="BB1569" s="38"/>
      <c r="BC1569" s="38"/>
      <c r="BD1569" s="38"/>
      <c r="BE1569" s="38"/>
      <c r="BF1569" s="38"/>
      <c r="BG1569" s="38"/>
      <c r="BH1569" s="38"/>
      <c r="BI1569" s="38"/>
      <c r="BJ1569" s="38"/>
      <c r="BK1569" s="38"/>
      <c r="BL1569" s="38"/>
      <c r="BM1569" s="38"/>
      <c r="BN1569" s="38"/>
      <c r="BO1569" s="38"/>
      <c r="BP1569" s="38"/>
      <c r="BQ1569" s="38"/>
    </row>
    <row r="1570">
      <c r="A1570" s="58"/>
      <c r="B1570" s="341"/>
      <c r="C1570" s="60"/>
      <c r="D1570" s="60"/>
      <c r="E1570" s="58"/>
      <c r="F1570" s="58"/>
      <c r="G1570" s="58"/>
      <c r="H1570" s="33" t="str">
        <f t="shared" si="33"/>
        <v/>
      </c>
      <c r="I1570" s="58"/>
      <c r="J1570" s="58"/>
      <c r="K1570" s="58"/>
      <c r="L1570" s="58"/>
      <c r="M1570" s="80"/>
      <c r="N1570" s="77"/>
      <c r="O1570" s="58"/>
      <c r="P1570" s="62"/>
      <c r="Q1570" s="84"/>
      <c r="R1570" s="62"/>
      <c r="S1570" s="37" t="str">
        <f>IFERROR(__xludf.DUMMYFUNCTION("if(not(iserror(index(split(C1570, "" ""),2))), index(split(C1570, "" ""),1),"""")"),"")</f>
        <v/>
      </c>
      <c r="T1570" s="315" t="str">
        <f>IFERROR(__xludf.DUMMYFUNCTION("if(S1570="""",C1570,if(not(iserror(index(split(C1570, "" ""),3))), index(split(C1570, "" ""),3),index(split(C1570, "" ""),2)))"),"")</f>
        <v/>
      </c>
      <c r="U1570" s="38" t="b">
        <f t="shared" si="34"/>
        <v>0</v>
      </c>
      <c r="V1570" s="38"/>
      <c r="W1570" s="40"/>
      <c r="X1570" s="40"/>
      <c r="Y1570" s="38"/>
      <c r="Z1570" s="38"/>
      <c r="AA1570" s="38"/>
      <c r="AB1570" s="38"/>
      <c r="AC1570" s="38"/>
      <c r="AD1570" s="38"/>
      <c r="AE1570" s="38"/>
      <c r="AF1570" s="38"/>
      <c r="AG1570" s="38"/>
      <c r="AH1570" s="38"/>
      <c r="AI1570" s="38"/>
      <c r="AJ1570" s="38"/>
      <c r="AK1570" s="38"/>
      <c r="AL1570" s="38"/>
      <c r="AM1570" s="38"/>
      <c r="AN1570" s="38"/>
      <c r="AO1570" s="38"/>
      <c r="AP1570" s="38"/>
      <c r="AQ1570" s="38"/>
      <c r="AR1570" s="38"/>
      <c r="AS1570" s="38"/>
      <c r="AT1570" s="38"/>
      <c r="AU1570" s="38"/>
      <c r="AV1570" s="38"/>
      <c r="AW1570" s="38"/>
      <c r="AX1570" s="38"/>
      <c r="AY1570" s="38"/>
      <c r="AZ1570" s="38"/>
      <c r="BA1570" s="38"/>
      <c r="BB1570" s="38"/>
      <c r="BC1570" s="38"/>
      <c r="BD1570" s="38"/>
      <c r="BE1570" s="38"/>
      <c r="BF1570" s="38"/>
      <c r="BG1570" s="38"/>
      <c r="BH1570" s="38"/>
      <c r="BI1570" s="38"/>
      <c r="BJ1570" s="38"/>
      <c r="BK1570" s="38"/>
      <c r="BL1570" s="38"/>
      <c r="BM1570" s="38"/>
      <c r="BN1570" s="38"/>
      <c r="BO1570" s="38"/>
      <c r="BP1570" s="38"/>
      <c r="BQ1570" s="38"/>
    </row>
    <row r="1571">
      <c r="A1571" s="58"/>
      <c r="B1571" s="341"/>
      <c r="C1571" s="60"/>
      <c r="D1571" s="60"/>
      <c r="E1571" s="58"/>
      <c r="F1571" s="58"/>
      <c r="G1571" s="58"/>
      <c r="H1571" s="33" t="str">
        <f t="shared" si="33"/>
        <v/>
      </c>
      <c r="I1571" s="58"/>
      <c r="J1571" s="58"/>
      <c r="K1571" s="58"/>
      <c r="L1571" s="58"/>
      <c r="M1571" s="80"/>
      <c r="N1571" s="77"/>
      <c r="O1571" s="58"/>
      <c r="P1571" s="62"/>
      <c r="Q1571" s="84"/>
      <c r="R1571" s="62"/>
      <c r="S1571" s="37" t="str">
        <f>IFERROR(__xludf.DUMMYFUNCTION("if(not(iserror(index(split(C1571, "" ""),2))), index(split(C1571, "" ""),1),"""")"),"")</f>
        <v/>
      </c>
      <c r="T1571" s="315" t="str">
        <f>IFERROR(__xludf.DUMMYFUNCTION("if(S1571="""",C1571,if(not(iserror(index(split(C1571, "" ""),3))), index(split(C1571, "" ""),3),index(split(C1571, "" ""),2)))"),"")</f>
        <v/>
      </c>
      <c r="U1571" s="38" t="b">
        <f t="shared" si="34"/>
        <v>0</v>
      </c>
      <c r="V1571" s="38"/>
      <c r="W1571" s="40"/>
      <c r="X1571" s="40"/>
      <c r="Y1571" s="38"/>
      <c r="Z1571" s="38"/>
      <c r="AA1571" s="38"/>
      <c r="AB1571" s="38"/>
      <c r="AC1571" s="38"/>
      <c r="AD1571" s="38"/>
      <c r="AE1571" s="38"/>
      <c r="AF1571" s="38"/>
      <c r="AG1571" s="38"/>
      <c r="AH1571" s="38"/>
      <c r="AI1571" s="38"/>
      <c r="AJ1571" s="38"/>
      <c r="AK1571" s="38"/>
      <c r="AL1571" s="38"/>
      <c r="AM1571" s="38"/>
      <c r="AN1571" s="38"/>
      <c r="AO1571" s="38"/>
      <c r="AP1571" s="38"/>
      <c r="AQ1571" s="38"/>
      <c r="AR1571" s="38"/>
      <c r="AS1571" s="38"/>
      <c r="AT1571" s="38"/>
      <c r="AU1571" s="38"/>
      <c r="AV1571" s="38"/>
      <c r="AW1571" s="38"/>
      <c r="AX1571" s="38"/>
      <c r="AY1571" s="38"/>
      <c r="AZ1571" s="38"/>
      <c r="BA1571" s="38"/>
      <c r="BB1571" s="38"/>
      <c r="BC1571" s="38"/>
      <c r="BD1571" s="38"/>
      <c r="BE1571" s="38"/>
      <c r="BF1571" s="38"/>
      <c r="BG1571" s="38"/>
      <c r="BH1571" s="38"/>
      <c r="BI1571" s="38"/>
      <c r="BJ1571" s="38"/>
      <c r="BK1571" s="38"/>
      <c r="BL1571" s="38"/>
      <c r="BM1571" s="38"/>
      <c r="BN1571" s="38"/>
      <c r="BO1571" s="38"/>
      <c r="BP1571" s="38"/>
      <c r="BQ1571" s="38"/>
    </row>
    <row r="1572">
      <c r="A1572" s="58"/>
      <c r="B1572" s="341"/>
      <c r="C1572" s="60"/>
      <c r="D1572" s="60"/>
      <c r="E1572" s="58"/>
      <c r="F1572" s="58"/>
      <c r="G1572" s="58"/>
      <c r="H1572" s="33" t="str">
        <f t="shared" si="33"/>
        <v/>
      </c>
      <c r="I1572" s="58"/>
      <c r="J1572" s="58"/>
      <c r="K1572" s="58"/>
      <c r="L1572" s="58"/>
      <c r="M1572" s="80"/>
      <c r="N1572" s="77"/>
      <c r="O1572" s="58"/>
      <c r="P1572" s="62"/>
      <c r="Q1572" s="84"/>
      <c r="R1572" s="62"/>
      <c r="S1572" s="37" t="str">
        <f>IFERROR(__xludf.DUMMYFUNCTION("if(not(iserror(index(split(C1572, "" ""),2))), index(split(C1572, "" ""),1),"""")"),"")</f>
        <v/>
      </c>
      <c r="T1572" s="315" t="str">
        <f>IFERROR(__xludf.DUMMYFUNCTION("if(S1572="""",C1572,if(not(iserror(index(split(C1572, "" ""),3))), index(split(C1572, "" ""),3),index(split(C1572, "" ""),2)))"),"")</f>
        <v/>
      </c>
      <c r="U1572" s="38" t="b">
        <f t="shared" si="34"/>
        <v>0</v>
      </c>
      <c r="V1572" s="38"/>
      <c r="W1572" s="40"/>
      <c r="X1572" s="40"/>
      <c r="Y1572" s="38"/>
      <c r="Z1572" s="38"/>
      <c r="AA1572" s="38"/>
      <c r="AB1572" s="38"/>
      <c r="AC1572" s="38"/>
      <c r="AD1572" s="38"/>
      <c r="AE1572" s="38"/>
      <c r="AF1572" s="38"/>
      <c r="AG1572" s="38"/>
      <c r="AH1572" s="38"/>
      <c r="AI1572" s="38"/>
      <c r="AJ1572" s="38"/>
      <c r="AK1572" s="38"/>
      <c r="AL1572" s="38"/>
      <c r="AM1572" s="38"/>
      <c r="AN1572" s="38"/>
      <c r="AO1572" s="38"/>
      <c r="AP1572" s="38"/>
      <c r="AQ1572" s="38"/>
      <c r="AR1572" s="38"/>
      <c r="AS1572" s="38"/>
      <c r="AT1572" s="38"/>
      <c r="AU1572" s="38"/>
      <c r="AV1572" s="38"/>
      <c r="AW1572" s="38"/>
      <c r="AX1572" s="38"/>
      <c r="AY1572" s="38"/>
      <c r="AZ1572" s="38"/>
      <c r="BA1572" s="38"/>
      <c r="BB1572" s="38"/>
      <c r="BC1572" s="38"/>
      <c r="BD1572" s="38"/>
      <c r="BE1572" s="38"/>
      <c r="BF1572" s="38"/>
      <c r="BG1572" s="38"/>
      <c r="BH1572" s="38"/>
      <c r="BI1572" s="38"/>
      <c r="BJ1572" s="38"/>
      <c r="BK1572" s="38"/>
      <c r="BL1572" s="38"/>
      <c r="BM1572" s="38"/>
      <c r="BN1572" s="38"/>
      <c r="BO1572" s="38"/>
      <c r="BP1572" s="38"/>
      <c r="BQ1572" s="38"/>
    </row>
    <row r="1573">
      <c r="A1573" s="58"/>
      <c r="B1573" s="341"/>
      <c r="C1573" s="60"/>
      <c r="D1573" s="60"/>
      <c r="E1573" s="58"/>
      <c r="F1573" s="58"/>
      <c r="G1573" s="58"/>
      <c r="H1573" s="33" t="str">
        <f t="shared" si="33"/>
        <v/>
      </c>
      <c r="I1573" s="58"/>
      <c r="J1573" s="58"/>
      <c r="K1573" s="58"/>
      <c r="L1573" s="58"/>
      <c r="M1573" s="80"/>
      <c r="N1573" s="77"/>
      <c r="O1573" s="58"/>
      <c r="P1573" s="62"/>
      <c r="Q1573" s="84"/>
      <c r="R1573" s="62"/>
      <c r="S1573" s="37" t="str">
        <f>IFERROR(__xludf.DUMMYFUNCTION("if(not(iserror(index(split(C1573, "" ""),2))), index(split(C1573, "" ""),1),"""")"),"")</f>
        <v/>
      </c>
      <c r="T1573" s="315" t="str">
        <f>IFERROR(__xludf.DUMMYFUNCTION("if(S1573="""",C1573,if(not(iserror(index(split(C1573, "" ""),3))), index(split(C1573, "" ""),3),index(split(C1573, "" ""),2)))"),"")</f>
        <v/>
      </c>
      <c r="U1573" s="38" t="b">
        <f t="shared" si="34"/>
        <v>0</v>
      </c>
      <c r="V1573" s="38"/>
      <c r="W1573" s="40"/>
      <c r="X1573" s="40"/>
      <c r="Y1573" s="38"/>
      <c r="Z1573" s="38"/>
      <c r="AA1573" s="38"/>
      <c r="AB1573" s="38"/>
      <c r="AC1573" s="38"/>
      <c r="AD1573" s="38"/>
      <c r="AE1573" s="38"/>
      <c r="AF1573" s="38"/>
      <c r="AG1573" s="38"/>
      <c r="AH1573" s="38"/>
      <c r="AI1573" s="38"/>
      <c r="AJ1573" s="38"/>
      <c r="AK1573" s="38"/>
      <c r="AL1573" s="38"/>
      <c r="AM1573" s="38"/>
      <c r="AN1573" s="38"/>
      <c r="AO1573" s="38"/>
      <c r="AP1573" s="38"/>
      <c r="AQ1573" s="38"/>
      <c r="AR1573" s="38"/>
      <c r="AS1573" s="38"/>
      <c r="AT1573" s="38"/>
      <c r="AU1573" s="38"/>
      <c r="AV1573" s="38"/>
      <c r="AW1573" s="38"/>
      <c r="AX1573" s="38"/>
      <c r="AY1573" s="38"/>
      <c r="AZ1573" s="38"/>
      <c r="BA1573" s="38"/>
      <c r="BB1573" s="38"/>
      <c r="BC1573" s="38"/>
      <c r="BD1573" s="38"/>
      <c r="BE1573" s="38"/>
      <c r="BF1573" s="38"/>
      <c r="BG1573" s="38"/>
      <c r="BH1573" s="38"/>
      <c r="BI1573" s="38"/>
      <c r="BJ1573" s="38"/>
      <c r="BK1573" s="38"/>
      <c r="BL1573" s="38"/>
      <c r="BM1573" s="38"/>
      <c r="BN1573" s="38"/>
      <c r="BO1573" s="38"/>
      <c r="BP1573" s="38"/>
      <c r="BQ1573" s="38"/>
    </row>
    <row r="1574">
      <c r="A1574" s="58"/>
      <c r="B1574" s="341"/>
      <c r="C1574" s="60"/>
      <c r="D1574" s="60"/>
      <c r="E1574" s="58"/>
      <c r="F1574" s="58"/>
      <c r="G1574" s="58"/>
      <c r="H1574" s="33" t="str">
        <f t="shared" si="33"/>
        <v/>
      </c>
      <c r="I1574" s="58"/>
      <c r="J1574" s="58"/>
      <c r="K1574" s="58"/>
      <c r="L1574" s="58"/>
      <c r="M1574" s="80"/>
      <c r="N1574" s="77"/>
      <c r="O1574" s="58"/>
      <c r="P1574" s="62"/>
      <c r="Q1574" s="84"/>
      <c r="R1574" s="62"/>
      <c r="S1574" s="37" t="str">
        <f>IFERROR(__xludf.DUMMYFUNCTION("if(not(iserror(index(split(C1574, "" ""),2))), index(split(C1574, "" ""),1),"""")"),"")</f>
        <v/>
      </c>
      <c r="T1574" s="315" t="str">
        <f>IFERROR(__xludf.DUMMYFUNCTION("if(S1574="""",C1574,if(not(iserror(index(split(C1574, "" ""),3))), index(split(C1574, "" ""),3),index(split(C1574, "" ""),2)))"),"")</f>
        <v/>
      </c>
      <c r="U1574" s="38" t="b">
        <f t="shared" si="34"/>
        <v>0</v>
      </c>
      <c r="V1574" s="38"/>
      <c r="W1574" s="40"/>
      <c r="X1574" s="40"/>
      <c r="Y1574" s="38"/>
      <c r="Z1574" s="38"/>
      <c r="AA1574" s="38"/>
      <c r="AB1574" s="38"/>
      <c r="AC1574" s="38"/>
      <c r="AD1574" s="38"/>
      <c r="AE1574" s="38"/>
      <c r="AF1574" s="38"/>
      <c r="AG1574" s="38"/>
      <c r="AH1574" s="38"/>
      <c r="AI1574" s="38"/>
      <c r="AJ1574" s="38"/>
      <c r="AK1574" s="38"/>
      <c r="AL1574" s="38"/>
      <c r="AM1574" s="38"/>
      <c r="AN1574" s="38"/>
      <c r="AO1574" s="38"/>
      <c r="AP1574" s="38"/>
      <c r="AQ1574" s="38"/>
      <c r="AR1574" s="38"/>
      <c r="AS1574" s="38"/>
      <c r="AT1574" s="38"/>
      <c r="AU1574" s="38"/>
      <c r="AV1574" s="38"/>
      <c r="AW1574" s="38"/>
      <c r="AX1574" s="38"/>
      <c r="AY1574" s="38"/>
      <c r="AZ1574" s="38"/>
      <c r="BA1574" s="38"/>
      <c r="BB1574" s="38"/>
      <c r="BC1574" s="38"/>
      <c r="BD1574" s="38"/>
      <c r="BE1574" s="38"/>
      <c r="BF1574" s="38"/>
      <c r="BG1574" s="38"/>
      <c r="BH1574" s="38"/>
      <c r="BI1574" s="38"/>
      <c r="BJ1574" s="38"/>
      <c r="BK1574" s="38"/>
      <c r="BL1574" s="38"/>
      <c r="BM1574" s="38"/>
      <c r="BN1574" s="38"/>
      <c r="BO1574" s="38"/>
      <c r="BP1574" s="38"/>
      <c r="BQ1574" s="38"/>
    </row>
    <row r="1575">
      <c r="A1575" s="58"/>
      <c r="B1575" s="341"/>
      <c r="C1575" s="60"/>
      <c r="D1575" s="60"/>
      <c r="E1575" s="58"/>
      <c r="F1575" s="58"/>
      <c r="G1575" s="58"/>
      <c r="H1575" s="33" t="str">
        <f t="shared" si="33"/>
        <v/>
      </c>
      <c r="I1575" s="58"/>
      <c r="J1575" s="58"/>
      <c r="K1575" s="58"/>
      <c r="L1575" s="58"/>
      <c r="M1575" s="80"/>
      <c r="N1575" s="77"/>
      <c r="O1575" s="58"/>
      <c r="P1575" s="58"/>
      <c r="Q1575" s="84"/>
      <c r="R1575" s="62"/>
      <c r="S1575" s="37" t="str">
        <f>IFERROR(__xludf.DUMMYFUNCTION("if(not(iserror(index(split(C1575, "" ""),2))), index(split(C1575, "" ""),1),"""")"),"")</f>
        <v/>
      </c>
      <c r="T1575" s="315" t="str">
        <f>IFERROR(__xludf.DUMMYFUNCTION("if(S1575="""",C1575,if(not(iserror(index(split(C1575, "" ""),3))), index(split(C1575, "" ""),3),index(split(C1575, "" ""),2)))"),"")</f>
        <v/>
      </c>
      <c r="U1575" s="38" t="b">
        <f t="shared" si="34"/>
        <v>0</v>
      </c>
      <c r="V1575" s="38"/>
      <c r="W1575" s="40"/>
      <c r="X1575" s="40"/>
      <c r="Y1575" s="38"/>
      <c r="Z1575" s="38"/>
      <c r="AA1575" s="38"/>
      <c r="AB1575" s="38"/>
      <c r="AC1575" s="38"/>
      <c r="AD1575" s="38"/>
      <c r="AE1575" s="38"/>
      <c r="AF1575" s="38"/>
      <c r="AG1575" s="38"/>
      <c r="AH1575" s="38"/>
      <c r="AI1575" s="38"/>
      <c r="AJ1575" s="38"/>
      <c r="AK1575" s="38"/>
      <c r="AL1575" s="38"/>
      <c r="AM1575" s="38"/>
      <c r="AN1575" s="38"/>
      <c r="AO1575" s="38"/>
      <c r="AP1575" s="38"/>
      <c r="AQ1575" s="38"/>
      <c r="AR1575" s="38"/>
      <c r="AS1575" s="38"/>
      <c r="AT1575" s="38"/>
      <c r="AU1575" s="38"/>
      <c r="AV1575" s="38"/>
      <c r="AW1575" s="38"/>
      <c r="AX1575" s="38"/>
      <c r="AY1575" s="38"/>
      <c r="AZ1575" s="38"/>
      <c r="BA1575" s="38"/>
      <c r="BB1575" s="38"/>
      <c r="BC1575" s="38"/>
      <c r="BD1575" s="38"/>
      <c r="BE1575" s="38"/>
      <c r="BF1575" s="38"/>
      <c r="BG1575" s="38"/>
      <c r="BH1575" s="38"/>
      <c r="BI1575" s="38"/>
      <c r="BJ1575" s="38"/>
      <c r="BK1575" s="38"/>
      <c r="BL1575" s="38"/>
      <c r="BM1575" s="38"/>
      <c r="BN1575" s="38"/>
      <c r="BO1575" s="38"/>
      <c r="BP1575" s="38"/>
      <c r="BQ1575" s="38"/>
    </row>
    <row r="1576">
      <c r="A1576" s="58"/>
      <c r="B1576" s="341"/>
      <c r="C1576" s="60"/>
      <c r="D1576" s="60"/>
      <c r="E1576" s="58"/>
      <c r="F1576" s="58"/>
      <c r="G1576" s="58"/>
      <c r="H1576" s="33" t="str">
        <f t="shared" si="33"/>
        <v/>
      </c>
      <c r="I1576" s="58"/>
      <c r="J1576" s="58"/>
      <c r="K1576" s="58"/>
      <c r="L1576" s="58"/>
      <c r="M1576" s="80"/>
      <c r="N1576" s="77"/>
      <c r="O1576" s="58"/>
      <c r="P1576" s="58"/>
      <c r="Q1576" s="84"/>
      <c r="R1576" s="62"/>
      <c r="S1576" s="37" t="str">
        <f>IFERROR(__xludf.DUMMYFUNCTION("if(not(iserror(index(split(C1576, "" ""),2))), index(split(C1576, "" ""),1),"""")"),"")</f>
        <v/>
      </c>
      <c r="T1576" s="315" t="str">
        <f>IFERROR(__xludf.DUMMYFUNCTION("if(S1576="""",C1576,if(not(iserror(index(split(C1576, "" ""),3))), index(split(C1576, "" ""),3),index(split(C1576, "" ""),2)))"),"")</f>
        <v/>
      </c>
      <c r="U1576" s="38" t="b">
        <f t="shared" si="34"/>
        <v>0</v>
      </c>
      <c r="V1576" s="38"/>
      <c r="W1576" s="40"/>
      <c r="X1576" s="40"/>
      <c r="Y1576" s="38"/>
      <c r="Z1576" s="38"/>
      <c r="AA1576" s="38"/>
      <c r="AB1576" s="38"/>
      <c r="AC1576" s="38"/>
      <c r="AD1576" s="38"/>
      <c r="AE1576" s="38"/>
      <c r="AF1576" s="38"/>
      <c r="AG1576" s="38"/>
      <c r="AH1576" s="38"/>
      <c r="AI1576" s="38"/>
      <c r="AJ1576" s="38"/>
      <c r="AK1576" s="38"/>
      <c r="AL1576" s="38"/>
      <c r="AM1576" s="38"/>
      <c r="AN1576" s="38"/>
      <c r="AO1576" s="38"/>
      <c r="AP1576" s="38"/>
      <c r="AQ1576" s="38"/>
      <c r="AR1576" s="38"/>
      <c r="AS1576" s="38"/>
      <c r="AT1576" s="38"/>
      <c r="AU1576" s="38"/>
      <c r="AV1576" s="38"/>
      <c r="AW1576" s="38"/>
      <c r="AX1576" s="38"/>
      <c r="AY1576" s="38"/>
      <c r="AZ1576" s="38"/>
      <c r="BA1576" s="38"/>
      <c r="BB1576" s="38"/>
      <c r="BC1576" s="38"/>
      <c r="BD1576" s="38"/>
      <c r="BE1576" s="38"/>
      <c r="BF1576" s="38"/>
      <c r="BG1576" s="38"/>
      <c r="BH1576" s="38"/>
      <c r="BI1576" s="38"/>
      <c r="BJ1576" s="38"/>
      <c r="BK1576" s="38"/>
      <c r="BL1576" s="38"/>
      <c r="BM1576" s="38"/>
      <c r="BN1576" s="38"/>
      <c r="BO1576" s="38"/>
      <c r="BP1576" s="38"/>
      <c r="BQ1576" s="38"/>
    </row>
    <row r="1577">
      <c r="A1577" s="58"/>
      <c r="B1577" s="341"/>
      <c r="C1577" s="60"/>
      <c r="D1577" s="60"/>
      <c r="E1577" s="58"/>
      <c r="F1577" s="58"/>
      <c r="G1577" s="58"/>
      <c r="H1577" s="33" t="str">
        <f t="shared" si="33"/>
        <v/>
      </c>
      <c r="I1577" s="58"/>
      <c r="J1577" s="58"/>
      <c r="K1577" s="58"/>
      <c r="L1577" s="58"/>
      <c r="M1577" s="80"/>
      <c r="N1577" s="77"/>
      <c r="O1577" s="58"/>
      <c r="P1577" s="58"/>
      <c r="Q1577" s="84"/>
      <c r="R1577" s="62"/>
      <c r="S1577" s="37" t="str">
        <f>IFERROR(__xludf.DUMMYFUNCTION("if(not(iserror(index(split(C1577, "" ""),2))), index(split(C1577, "" ""),1),"""")"),"")</f>
        <v/>
      </c>
      <c r="T1577" s="315" t="str">
        <f>IFERROR(__xludf.DUMMYFUNCTION("if(S1577="""",C1577,if(not(iserror(index(split(C1577, "" ""),3))), index(split(C1577, "" ""),3),index(split(C1577, "" ""),2)))"),"")</f>
        <v/>
      </c>
      <c r="U1577" s="38" t="b">
        <f t="shared" si="34"/>
        <v>0</v>
      </c>
      <c r="V1577" s="38"/>
      <c r="W1577" s="40"/>
      <c r="X1577" s="40"/>
      <c r="Y1577" s="38"/>
      <c r="Z1577" s="38"/>
      <c r="AA1577" s="38"/>
      <c r="AB1577" s="38"/>
      <c r="AC1577" s="38"/>
      <c r="AD1577" s="38"/>
      <c r="AE1577" s="38"/>
      <c r="AF1577" s="38"/>
      <c r="AG1577" s="38"/>
      <c r="AH1577" s="38"/>
      <c r="AI1577" s="38"/>
      <c r="AJ1577" s="38"/>
      <c r="AK1577" s="38"/>
      <c r="AL1577" s="38"/>
      <c r="AM1577" s="38"/>
      <c r="AN1577" s="38"/>
      <c r="AO1577" s="38"/>
      <c r="AP1577" s="38"/>
      <c r="AQ1577" s="38"/>
      <c r="AR1577" s="38"/>
      <c r="AS1577" s="38"/>
      <c r="AT1577" s="38"/>
      <c r="AU1577" s="38"/>
      <c r="AV1577" s="38"/>
      <c r="AW1577" s="38"/>
      <c r="AX1577" s="38"/>
      <c r="AY1577" s="38"/>
      <c r="AZ1577" s="38"/>
      <c r="BA1577" s="38"/>
      <c r="BB1577" s="38"/>
      <c r="BC1577" s="38"/>
      <c r="BD1577" s="38"/>
      <c r="BE1577" s="38"/>
      <c r="BF1577" s="38"/>
      <c r="BG1577" s="38"/>
      <c r="BH1577" s="38"/>
      <c r="BI1577" s="38"/>
      <c r="BJ1577" s="38"/>
      <c r="BK1577" s="38"/>
      <c r="BL1577" s="38"/>
      <c r="BM1577" s="38"/>
      <c r="BN1577" s="38"/>
      <c r="BO1577" s="38"/>
      <c r="BP1577" s="38"/>
      <c r="BQ1577" s="38"/>
    </row>
    <row r="1578">
      <c r="A1578" s="58"/>
      <c r="B1578" s="341"/>
      <c r="C1578" s="60"/>
      <c r="D1578" s="60"/>
      <c r="E1578" s="58"/>
      <c r="F1578" s="58"/>
      <c r="G1578" s="58"/>
      <c r="H1578" s="33" t="str">
        <f t="shared" si="33"/>
        <v/>
      </c>
      <c r="I1578" s="58"/>
      <c r="J1578" s="58"/>
      <c r="K1578" s="58"/>
      <c r="L1578" s="58"/>
      <c r="M1578" s="80"/>
      <c r="N1578" s="77"/>
      <c r="O1578" s="58"/>
      <c r="P1578" s="58"/>
      <c r="Q1578" s="84"/>
      <c r="R1578" s="62"/>
      <c r="S1578" s="37" t="str">
        <f>IFERROR(__xludf.DUMMYFUNCTION("if(not(iserror(index(split(C1578, "" ""),2))), index(split(C1578, "" ""),1),"""")"),"")</f>
        <v/>
      </c>
      <c r="T1578" s="315" t="str">
        <f>IFERROR(__xludf.DUMMYFUNCTION("if(S1578="""",C1578,if(not(iserror(index(split(C1578, "" ""),3))), index(split(C1578, "" ""),3),index(split(C1578, "" ""),2)))"),"")</f>
        <v/>
      </c>
      <c r="U1578" s="38" t="b">
        <f t="shared" si="34"/>
        <v>0</v>
      </c>
      <c r="V1578" s="38"/>
      <c r="W1578" s="40"/>
      <c r="X1578" s="40"/>
      <c r="Y1578" s="38"/>
      <c r="Z1578" s="38"/>
      <c r="AA1578" s="38"/>
      <c r="AB1578" s="38"/>
      <c r="AC1578" s="38"/>
      <c r="AD1578" s="38"/>
      <c r="AE1578" s="38"/>
      <c r="AF1578" s="38"/>
      <c r="AG1578" s="38"/>
      <c r="AH1578" s="38"/>
      <c r="AI1578" s="38"/>
      <c r="AJ1578" s="38"/>
      <c r="AK1578" s="38"/>
      <c r="AL1578" s="38"/>
      <c r="AM1578" s="38"/>
      <c r="AN1578" s="38"/>
      <c r="AO1578" s="38"/>
      <c r="AP1578" s="38"/>
      <c r="AQ1578" s="38"/>
      <c r="AR1578" s="38"/>
      <c r="AS1578" s="38"/>
      <c r="AT1578" s="38"/>
      <c r="AU1578" s="38"/>
      <c r="AV1578" s="38"/>
      <c r="AW1578" s="38"/>
      <c r="AX1578" s="38"/>
      <c r="AY1578" s="38"/>
      <c r="AZ1578" s="38"/>
      <c r="BA1578" s="38"/>
      <c r="BB1578" s="38"/>
      <c r="BC1578" s="38"/>
      <c r="BD1578" s="38"/>
      <c r="BE1578" s="38"/>
      <c r="BF1578" s="38"/>
      <c r="BG1578" s="38"/>
      <c r="BH1578" s="38"/>
      <c r="BI1578" s="38"/>
      <c r="BJ1578" s="38"/>
      <c r="BK1578" s="38"/>
      <c r="BL1578" s="38"/>
      <c r="BM1578" s="38"/>
      <c r="BN1578" s="38"/>
      <c r="BO1578" s="38"/>
      <c r="BP1578" s="38"/>
      <c r="BQ1578" s="38"/>
    </row>
    <row r="1579">
      <c r="A1579" s="58"/>
      <c r="B1579" s="341"/>
      <c r="C1579" s="60"/>
      <c r="D1579" s="60"/>
      <c r="E1579" s="58"/>
      <c r="F1579" s="58"/>
      <c r="G1579" s="58"/>
      <c r="H1579" s="33" t="str">
        <f t="shared" si="33"/>
        <v/>
      </c>
      <c r="I1579" s="58"/>
      <c r="J1579" s="58"/>
      <c r="K1579" s="58"/>
      <c r="L1579" s="58"/>
      <c r="M1579" s="80"/>
      <c r="N1579" s="77"/>
      <c r="O1579" s="58"/>
      <c r="P1579" s="58"/>
      <c r="Q1579" s="84"/>
      <c r="R1579" s="62"/>
      <c r="S1579" s="37" t="str">
        <f>IFERROR(__xludf.DUMMYFUNCTION("if(not(iserror(index(split(C1579, "" ""),2))), index(split(C1579, "" ""),1),"""")"),"")</f>
        <v/>
      </c>
      <c r="T1579" s="315" t="str">
        <f>IFERROR(__xludf.DUMMYFUNCTION("if(S1579="""",C1579,if(not(iserror(index(split(C1579, "" ""),3))), index(split(C1579, "" ""),3),index(split(C1579, "" ""),2)))"),"")</f>
        <v/>
      </c>
      <c r="U1579" s="38" t="b">
        <f t="shared" si="34"/>
        <v>0</v>
      </c>
      <c r="V1579" s="38"/>
      <c r="W1579" s="40"/>
      <c r="X1579" s="40"/>
      <c r="Y1579" s="38"/>
      <c r="Z1579" s="38"/>
      <c r="AA1579" s="38"/>
      <c r="AB1579" s="38"/>
      <c r="AC1579" s="38"/>
      <c r="AD1579" s="38"/>
      <c r="AE1579" s="38"/>
      <c r="AF1579" s="38"/>
      <c r="AG1579" s="38"/>
      <c r="AH1579" s="38"/>
      <c r="AI1579" s="38"/>
      <c r="AJ1579" s="38"/>
      <c r="AK1579" s="38"/>
      <c r="AL1579" s="38"/>
      <c r="AM1579" s="38"/>
      <c r="AN1579" s="38"/>
      <c r="AO1579" s="38"/>
      <c r="AP1579" s="38"/>
      <c r="AQ1579" s="38"/>
      <c r="AR1579" s="38"/>
      <c r="AS1579" s="38"/>
      <c r="AT1579" s="38"/>
      <c r="AU1579" s="38"/>
      <c r="AV1579" s="38"/>
      <c r="AW1579" s="38"/>
      <c r="AX1579" s="38"/>
      <c r="AY1579" s="38"/>
      <c r="AZ1579" s="38"/>
      <c r="BA1579" s="38"/>
      <c r="BB1579" s="38"/>
      <c r="BC1579" s="38"/>
      <c r="BD1579" s="38"/>
      <c r="BE1579" s="38"/>
      <c r="BF1579" s="38"/>
      <c r="BG1579" s="38"/>
      <c r="BH1579" s="38"/>
      <c r="BI1579" s="38"/>
      <c r="BJ1579" s="38"/>
      <c r="BK1579" s="38"/>
      <c r="BL1579" s="38"/>
      <c r="BM1579" s="38"/>
      <c r="BN1579" s="38"/>
      <c r="BO1579" s="38"/>
      <c r="BP1579" s="38"/>
      <c r="BQ1579" s="38"/>
    </row>
    <row r="1580">
      <c r="A1580" s="58"/>
      <c r="B1580" s="341"/>
      <c r="C1580" s="60"/>
      <c r="D1580" s="60"/>
      <c r="E1580" s="58"/>
      <c r="F1580" s="58"/>
      <c r="G1580" s="58"/>
      <c r="H1580" s="33" t="str">
        <f t="shared" si="33"/>
        <v/>
      </c>
      <c r="I1580" s="58"/>
      <c r="J1580" s="58"/>
      <c r="K1580" s="58"/>
      <c r="L1580" s="58"/>
      <c r="M1580" s="80"/>
      <c r="N1580" s="77"/>
      <c r="O1580" s="58"/>
      <c r="P1580" s="58"/>
      <c r="Q1580" s="84"/>
      <c r="R1580" s="62"/>
      <c r="S1580" s="37" t="str">
        <f>IFERROR(__xludf.DUMMYFUNCTION("if(not(iserror(index(split(C1580, "" ""),2))), index(split(C1580, "" ""),1),"""")"),"")</f>
        <v/>
      </c>
      <c r="T1580" s="315" t="str">
        <f>IFERROR(__xludf.DUMMYFUNCTION("if(S1580="""",C1580,if(not(iserror(index(split(C1580, "" ""),3))), index(split(C1580, "" ""),3),index(split(C1580, "" ""),2)))"),"")</f>
        <v/>
      </c>
      <c r="U1580" s="38" t="b">
        <f t="shared" si="34"/>
        <v>0</v>
      </c>
      <c r="V1580" s="38"/>
      <c r="W1580" s="40"/>
      <c r="X1580" s="40"/>
      <c r="Y1580" s="38"/>
      <c r="Z1580" s="38"/>
      <c r="AA1580" s="38"/>
      <c r="AB1580" s="38"/>
      <c r="AC1580" s="38"/>
      <c r="AD1580" s="38"/>
      <c r="AE1580" s="38"/>
      <c r="AF1580" s="38"/>
      <c r="AG1580" s="38"/>
      <c r="AH1580" s="38"/>
      <c r="AI1580" s="38"/>
      <c r="AJ1580" s="38"/>
      <c r="AK1580" s="38"/>
      <c r="AL1580" s="38"/>
      <c r="AM1580" s="38"/>
      <c r="AN1580" s="38"/>
      <c r="AO1580" s="38"/>
      <c r="AP1580" s="38"/>
      <c r="AQ1580" s="38"/>
      <c r="AR1580" s="38"/>
      <c r="AS1580" s="38"/>
      <c r="AT1580" s="38"/>
      <c r="AU1580" s="38"/>
      <c r="AV1580" s="38"/>
      <c r="AW1580" s="38"/>
      <c r="AX1580" s="38"/>
      <c r="AY1580" s="38"/>
      <c r="AZ1580" s="38"/>
      <c r="BA1580" s="38"/>
      <c r="BB1580" s="38"/>
      <c r="BC1580" s="38"/>
      <c r="BD1580" s="38"/>
      <c r="BE1580" s="38"/>
      <c r="BF1580" s="38"/>
      <c r="BG1580" s="38"/>
      <c r="BH1580" s="38"/>
      <c r="BI1580" s="38"/>
      <c r="BJ1580" s="38"/>
      <c r="BK1580" s="38"/>
      <c r="BL1580" s="38"/>
      <c r="BM1580" s="38"/>
      <c r="BN1580" s="38"/>
      <c r="BO1580" s="38"/>
      <c r="BP1580" s="38"/>
      <c r="BQ1580" s="38"/>
    </row>
    <row r="1581">
      <c r="A1581" s="91"/>
      <c r="B1581" s="383"/>
      <c r="C1581" s="146"/>
      <c r="D1581" s="146"/>
      <c r="E1581" s="91"/>
      <c r="F1581" s="91"/>
      <c r="G1581" s="91"/>
      <c r="H1581" s="33" t="str">
        <f t="shared" si="33"/>
        <v/>
      </c>
      <c r="I1581" s="91"/>
      <c r="J1581" s="91"/>
      <c r="K1581" s="91"/>
      <c r="L1581" s="91"/>
      <c r="M1581" s="95"/>
      <c r="N1581" s="95"/>
      <c r="O1581" s="58"/>
      <c r="P1581" s="62"/>
      <c r="Q1581" s="84"/>
      <c r="R1581" s="62"/>
      <c r="S1581" s="37" t="str">
        <f>IFERROR(__xludf.DUMMYFUNCTION("if(not(iserror(index(split(C1581, "" ""),2))), index(split(C1581, "" ""),1),"""")"),"")</f>
        <v/>
      </c>
      <c r="T1581" s="315" t="str">
        <f>IFERROR(__xludf.DUMMYFUNCTION("if(S1581="""",C1581,if(not(iserror(index(split(C1581, "" ""),3))), index(split(C1581, "" ""),3),index(split(C1581, "" ""),2)))"),"")</f>
        <v/>
      </c>
      <c r="U1581" s="38" t="b">
        <f t="shared" si="34"/>
        <v>0</v>
      </c>
      <c r="V1581" s="38"/>
      <c r="W1581" s="40"/>
      <c r="X1581" s="40"/>
      <c r="Y1581" s="38"/>
      <c r="Z1581" s="38"/>
      <c r="AA1581" s="38"/>
      <c r="AB1581" s="38"/>
      <c r="AC1581" s="38"/>
      <c r="AD1581" s="38"/>
      <c r="AE1581" s="38"/>
      <c r="AF1581" s="38"/>
      <c r="AG1581" s="38"/>
      <c r="AH1581" s="38"/>
      <c r="AI1581" s="38"/>
      <c r="AJ1581" s="38"/>
      <c r="AK1581" s="38"/>
      <c r="AL1581" s="38"/>
      <c r="AM1581" s="38"/>
      <c r="AN1581" s="38"/>
      <c r="AO1581" s="38"/>
      <c r="AP1581" s="38"/>
      <c r="AQ1581" s="38"/>
      <c r="AR1581" s="38"/>
      <c r="AS1581" s="38"/>
      <c r="AT1581" s="38"/>
      <c r="AU1581" s="38"/>
      <c r="AV1581" s="38"/>
      <c r="AW1581" s="38"/>
      <c r="AX1581" s="38"/>
      <c r="AY1581" s="38"/>
      <c r="AZ1581" s="38"/>
      <c r="BA1581" s="38"/>
      <c r="BB1581" s="38"/>
      <c r="BC1581" s="38"/>
      <c r="BD1581" s="38"/>
      <c r="BE1581" s="38"/>
      <c r="BF1581" s="38"/>
      <c r="BG1581" s="38"/>
      <c r="BH1581" s="38"/>
      <c r="BI1581" s="38"/>
      <c r="BJ1581" s="38"/>
      <c r="BK1581" s="38"/>
      <c r="BL1581" s="38"/>
      <c r="BM1581" s="38"/>
      <c r="BN1581" s="38"/>
      <c r="BO1581" s="38"/>
      <c r="BP1581" s="38"/>
      <c r="BQ1581" s="38"/>
    </row>
    <row r="1582">
      <c r="A1582" s="58"/>
      <c r="B1582" s="341"/>
      <c r="C1582" s="60"/>
      <c r="D1582" s="60"/>
      <c r="E1582" s="58"/>
      <c r="F1582" s="58"/>
      <c r="G1582" s="58"/>
      <c r="H1582" s="33" t="str">
        <f t="shared" si="33"/>
        <v/>
      </c>
      <c r="I1582" s="58"/>
      <c r="J1582" s="58"/>
      <c r="K1582" s="58"/>
      <c r="L1582" s="58"/>
      <c r="M1582" s="80"/>
      <c r="N1582" s="77"/>
      <c r="O1582" s="62"/>
      <c r="P1582" s="62"/>
      <c r="Q1582" s="62"/>
      <c r="R1582" s="62"/>
      <c r="S1582" s="37" t="str">
        <f>IFERROR(__xludf.DUMMYFUNCTION("if(not(iserror(index(split(C1582, "" ""),2))), index(split(C1582, "" ""),1),"""")"),"")</f>
        <v/>
      </c>
      <c r="T1582" s="315" t="str">
        <f>IFERROR(__xludf.DUMMYFUNCTION("if(S1582="""",C1582,if(not(iserror(index(split(C1582, "" ""),3))), index(split(C1582, "" ""),3),index(split(C1582, "" ""),2)))"),"")</f>
        <v/>
      </c>
      <c r="U1582" s="38" t="b">
        <f t="shared" si="34"/>
        <v>0</v>
      </c>
      <c r="V1582" s="38"/>
      <c r="W1582" s="40"/>
      <c r="X1582" s="40"/>
      <c r="Y1582" s="38"/>
      <c r="Z1582" s="38"/>
      <c r="AA1582" s="38"/>
      <c r="AB1582" s="38"/>
      <c r="AC1582" s="38"/>
      <c r="AD1582" s="38"/>
      <c r="AE1582" s="38"/>
      <c r="AF1582" s="38"/>
      <c r="AG1582" s="38"/>
      <c r="AH1582" s="38"/>
      <c r="AI1582" s="38"/>
      <c r="AJ1582" s="38"/>
      <c r="AK1582" s="38"/>
      <c r="AL1582" s="38"/>
      <c r="AM1582" s="38"/>
      <c r="AN1582" s="38"/>
      <c r="AO1582" s="38"/>
      <c r="AP1582" s="38"/>
      <c r="AQ1582" s="38"/>
      <c r="AR1582" s="38"/>
      <c r="AS1582" s="38"/>
      <c r="AT1582" s="38"/>
      <c r="AU1582" s="38"/>
      <c r="AV1582" s="38"/>
      <c r="AW1582" s="38"/>
      <c r="AX1582" s="38"/>
      <c r="AY1582" s="38"/>
      <c r="AZ1582" s="38"/>
      <c r="BA1582" s="38"/>
      <c r="BB1582" s="38"/>
      <c r="BC1582" s="38"/>
      <c r="BD1582" s="38"/>
      <c r="BE1582" s="38"/>
      <c r="BF1582" s="38"/>
      <c r="BG1582" s="38"/>
      <c r="BH1582" s="38"/>
      <c r="BI1582" s="38"/>
      <c r="BJ1582" s="38"/>
      <c r="BK1582" s="38"/>
      <c r="BL1582" s="38"/>
      <c r="BM1582" s="38"/>
      <c r="BN1582" s="38"/>
      <c r="BO1582" s="38"/>
      <c r="BP1582" s="38"/>
      <c r="BQ1582" s="38"/>
    </row>
    <row r="1583">
      <c r="A1583" s="58"/>
      <c r="B1583" s="341"/>
      <c r="C1583" s="60"/>
      <c r="D1583" s="60"/>
      <c r="E1583" s="58"/>
      <c r="F1583" s="58"/>
      <c r="G1583" s="58"/>
      <c r="H1583" s="33" t="str">
        <f t="shared" si="33"/>
        <v/>
      </c>
      <c r="I1583" s="58"/>
      <c r="J1583" s="58"/>
      <c r="K1583" s="58"/>
      <c r="L1583" s="58"/>
      <c r="M1583" s="389"/>
      <c r="N1583" s="77"/>
      <c r="O1583" s="62"/>
      <c r="P1583" s="62"/>
      <c r="Q1583" s="62"/>
      <c r="R1583" s="62"/>
      <c r="S1583" s="37" t="str">
        <f>IFERROR(__xludf.DUMMYFUNCTION("if(not(iserror(index(split(C1583, "" ""),2))), index(split(C1583, "" ""),1),"""")"),"")</f>
        <v/>
      </c>
      <c r="T1583" s="315" t="str">
        <f>IFERROR(__xludf.DUMMYFUNCTION("if(S1583="""",C1583,if(not(iserror(index(split(C1583, "" ""),3))), index(split(C1583, "" ""),3),index(split(C1583, "" ""),2)))"),"")</f>
        <v/>
      </c>
      <c r="U1583" s="38" t="b">
        <f t="shared" si="34"/>
        <v>0</v>
      </c>
      <c r="V1583" s="38"/>
      <c r="W1583" s="40"/>
      <c r="X1583" s="40"/>
      <c r="Y1583" s="38"/>
      <c r="Z1583" s="38"/>
      <c r="AA1583" s="38"/>
      <c r="AB1583" s="38"/>
      <c r="AC1583" s="38"/>
      <c r="AD1583" s="38"/>
      <c r="AE1583" s="38"/>
      <c r="AF1583" s="38"/>
      <c r="AG1583" s="38"/>
      <c r="AH1583" s="38"/>
      <c r="AI1583" s="38"/>
      <c r="AJ1583" s="38"/>
      <c r="AK1583" s="38"/>
      <c r="AL1583" s="38"/>
      <c r="AM1583" s="38"/>
      <c r="AN1583" s="38"/>
      <c r="AO1583" s="38"/>
      <c r="AP1583" s="38"/>
      <c r="AQ1583" s="38"/>
      <c r="AR1583" s="38"/>
      <c r="AS1583" s="38"/>
      <c r="AT1583" s="38"/>
      <c r="AU1583" s="38"/>
      <c r="AV1583" s="38"/>
      <c r="AW1583" s="38"/>
      <c r="AX1583" s="38"/>
      <c r="AY1583" s="38"/>
      <c r="AZ1583" s="38"/>
      <c r="BA1583" s="38"/>
      <c r="BB1583" s="38"/>
      <c r="BC1583" s="38"/>
      <c r="BD1583" s="38"/>
      <c r="BE1583" s="38"/>
      <c r="BF1583" s="38"/>
      <c r="BG1583" s="38"/>
      <c r="BH1583" s="38"/>
      <c r="BI1583" s="38"/>
      <c r="BJ1583" s="38"/>
      <c r="BK1583" s="38"/>
      <c r="BL1583" s="38"/>
      <c r="BM1583" s="38"/>
      <c r="BN1583" s="38"/>
      <c r="BO1583" s="38"/>
      <c r="BP1583" s="38"/>
      <c r="BQ1583" s="38"/>
    </row>
    <row r="1584">
      <c r="A1584" s="58"/>
      <c r="B1584" s="341"/>
      <c r="C1584" s="60"/>
      <c r="D1584" s="60"/>
      <c r="E1584" s="58"/>
      <c r="F1584" s="58"/>
      <c r="G1584" s="58"/>
      <c r="H1584" s="33" t="str">
        <f t="shared" si="33"/>
        <v/>
      </c>
      <c r="I1584" s="58"/>
      <c r="J1584" s="58"/>
      <c r="K1584" s="58"/>
      <c r="L1584" s="58"/>
      <c r="M1584" s="389"/>
      <c r="N1584" s="77"/>
      <c r="O1584" s="62"/>
      <c r="P1584" s="62"/>
      <c r="Q1584" s="62"/>
      <c r="R1584" s="62"/>
      <c r="S1584" s="37" t="str">
        <f>IFERROR(__xludf.DUMMYFUNCTION("if(not(iserror(index(split(C1584, "" ""),2))), index(split(C1584, "" ""),1),"""")"),"")</f>
        <v/>
      </c>
      <c r="T1584" s="315" t="str">
        <f>IFERROR(__xludf.DUMMYFUNCTION("if(S1584="""",C1584,if(not(iserror(index(split(C1584, "" ""),3))), index(split(C1584, "" ""),3),index(split(C1584, "" ""),2)))"),"")</f>
        <v/>
      </c>
      <c r="U1584" s="38" t="b">
        <f t="shared" si="34"/>
        <v>0</v>
      </c>
      <c r="V1584" s="38"/>
      <c r="W1584" s="40"/>
      <c r="X1584" s="40"/>
      <c r="Y1584" s="38"/>
      <c r="Z1584" s="38"/>
      <c r="AA1584" s="38"/>
      <c r="AB1584" s="38"/>
      <c r="AC1584" s="38"/>
      <c r="AD1584" s="38"/>
      <c r="AE1584" s="38"/>
      <c r="AF1584" s="38"/>
      <c r="AG1584" s="38"/>
      <c r="AH1584" s="38"/>
      <c r="AI1584" s="38"/>
      <c r="AJ1584" s="38"/>
      <c r="AK1584" s="38"/>
      <c r="AL1584" s="38"/>
      <c r="AM1584" s="38"/>
      <c r="AN1584" s="38"/>
      <c r="AO1584" s="38"/>
      <c r="AP1584" s="38"/>
      <c r="AQ1584" s="38"/>
      <c r="AR1584" s="38"/>
      <c r="AS1584" s="38"/>
      <c r="AT1584" s="38"/>
      <c r="AU1584" s="38"/>
      <c r="AV1584" s="38"/>
      <c r="AW1584" s="38"/>
      <c r="AX1584" s="38"/>
      <c r="AY1584" s="38"/>
      <c r="AZ1584" s="38"/>
      <c r="BA1584" s="38"/>
      <c r="BB1584" s="38"/>
      <c r="BC1584" s="38"/>
      <c r="BD1584" s="38"/>
      <c r="BE1584" s="38"/>
      <c r="BF1584" s="38"/>
      <c r="BG1584" s="38"/>
      <c r="BH1584" s="38"/>
      <c r="BI1584" s="38"/>
      <c r="BJ1584" s="38"/>
      <c r="BK1584" s="38"/>
      <c r="BL1584" s="38"/>
      <c r="BM1584" s="38"/>
      <c r="BN1584" s="38"/>
      <c r="BO1584" s="38"/>
      <c r="BP1584" s="38"/>
      <c r="BQ1584" s="38"/>
    </row>
    <row r="1585">
      <c r="A1585" s="58"/>
      <c r="B1585" s="341"/>
      <c r="C1585" s="60"/>
      <c r="D1585" s="60"/>
      <c r="E1585" s="58"/>
      <c r="F1585" s="58"/>
      <c r="G1585" s="58"/>
      <c r="H1585" s="33" t="str">
        <f t="shared" si="33"/>
        <v/>
      </c>
      <c r="I1585" s="58"/>
      <c r="J1585" s="58"/>
      <c r="K1585" s="58"/>
      <c r="L1585" s="58"/>
      <c r="M1585" s="80"/>
      <c r="N1585" s="77"/>
      <c r="O1585" s="58"/>
      <c r="P1585" s="58"/>
      <c r="Q1585" s="84"/>
      <c r="R1585" s="62"/>
      <c r="S1585" s="37" t="str">
        <f>IFERROR(__xludf.DUMMYFUNCTION("if(not(iserror(index(split(C1585, "" ""),2))), index(split(C1585, "" ""),1),"""")"),"")</f>
        <v/>
      </c>
      <c r="T1585" s="315" t="str">
        <f>IFERROR(__xludf.DUMMYFUNCTION("if(S1585="""",C1585,if(not(iserror(index(split(C1585, "" ""),3))), index(split(C1585, "" ""),3),index(split(C1585, "" ""),2)))"),"")</f>
        <v/>
      </c>
      <c r="U1585" s="38" t="b">
        <f t="shared" si="34"/>
        <v>0</v>
      </c>
      <c r="V1585" s="38"/>
      <c r="W1585" s="40"/>
      <c r="X1585" s="40"/>
      <c r="Y1585" s="38"/>
      <c r="Z1585" s="38"/>
      <c r="AA1585" s="38"/>
      <c r="AB1585" s="38"/>
      <c r="AC1585" s="38"/>
      <c r="AD1585" s="38"/>
      <c r="AE1585" s="38"/>
      <c r="AF1585" s="38"/>
      <c r="AG1585" s="38"/>
      <c r="AH1585" s="38"/>
      <c r="AI1585" s="38"/>
      <c r="AJ1585" s="38"/>
      <c r="AK1585" s="38"/>
      <c r="AL1585" s="38"/>
      <c r="AM1585" s="38"/>
      <c r="AN1585" s="38"/>
      <c r="AO1585" s="38"/>
      <c r="AP1585" s="38"/>
      <c r="AQ1585" s="38"/>
      <c r="AR1585" s="38"/>
      <c r="AS1585" s="38"/>
      <c r="AT1585" s="38"/>
      <c r="AU1585" s="38"/>
      <c r="AV1585" s="38"/>
      <c r="AW1585" s="38"/>
      <c r="AX1585" s="38"/>
      <c r="AY1585" s="38"/>
      <c r="AZ1585" s="38"/>
      <c r="BA1585" s="38"/>
      <c r="BB1585" s="38"/>
      <c r="BC1585" s="38"/>
      <c r="BD1585" s="38"/>
      <c r="BE1585" s="38"/>
      <c r="BF1585" s="38"/>
      <c r="BG1585" s="38"/>
      <c r="BH1585" s="38"/>
      <c r="BI1585" s="38"/>
      <c r="BJ1585" s="38"/>
      <c r="BK1585" s="38"/>
      <c r="BL1585" s="38"/>
      <c r="BM1585" s="38"/>
      <c r="BN1585" s="38"/>
      <c r="BO1585" s="38"/>
      <c r="BP1585" s="38"/>
      <c r="BQ1585" s="38"/>
    </row>
    <row r="1586">
      <c r="A1586" s="58"/>
      <c r="B1586" s="341"/>
      <c r="C1586" s="60"/>
      <c r="D1586" s="60"/>
      <c r="E1586" s="58"/>
      <c r="F1586" s="58"/>
      <c r="G1586" s="58"/>
      <c r="H1586" s="33" t="str">
        <f t="shared" si="33"/>
        <v/>
      </c>
      <c r="I1586" s="58"/>
      <c r="J1586" s="58"/>
      <c r="K1586" s="58"/>
      <c r="L1586" s="58"/>
      <c r="M1586" s="80"/>
      <c r="N1586" s="77"/>
      <c r="O1586" s="58"/>
      <c r="P1586" s="58"/>
      <c r="Q1586" s="84"/>
      <c r="R1586" s="62"/>
      <c r="S1586" s="37" t="str">
        <f>IFERROR(__xludf.DUMMYFUNCTION("if(not(iserror(index(split(C1586, "" ""),2))), index(split(C1586, "" ""),1),"""")"),"")</f>
        <v/>
      </c>
      <c r="T1586" s="315" t="str">
        <f>IFERROR(__xludf.DUMMYFUNCTION("if(S1586="""",C1586,if(not(iserror(index(split(C1586, "" ""),3))), index(split(C1586, "" ""),3),index(split(C1586, "" ""),2)))"),"")</f>
        <v/>
      </c>
      <c r="U1586" s="38" t="b">
        <f t="shared" si="34"/>
        <v>0</v>
      </c>
      <c r="V1586" s="38"/>
      <c r="W1586" s="40"/>
      <c r="X1586" s="40"/>
      <c r="Y1586" s="38"/>
      <c r="Z1586" s="38"/>
      <c r="AA1586" s="38"/>
      <c r="AB1586" s="38"/>
      <c r="AC1586" s="38"/>
      <c r="AD1586" s="38"/>
      <c r="AE1586" s="38"/>
      <c r="AF1586" s="38"/>
      <c r="AG1586" s="38"/>
      <c r="AH1586" s="38"/>
      <c r="AI1586" s="38"/>
      <c r="AJ1586" s="38"/>
      <c r="AK1586" s="38"/>
      <c r="AL1586" s="38"/>
      <c r="AM1586" s="38"/>
      <c r="AN1586" s="38"/>
      <c r="AO1586" s="38"/>
      <c r="AP1586" s="38"/>
      <c r="AQ1586" s="38"/>
      <c r="AR1586" s="38"/>
      <c r="AS1586" s="38"/>
      <c r="AT1586" s="38"/>
      <c r="AU1586" s="38"/>
      <c r="AV1586" s="38"/>
      <c r="AW1586" s="38"/>
      <c r="AX1586" s="38"/>
      <c r="AY1586" s="38"/>
      <c r="AZ1586" s="38"/>
      <c r="BA1586" s="38"/>
      <c r="BB1586" s="38"/>
      <c r="BC1586" s="38"/>
      <c r="BD1586" s="38"/>
      <c r="BE1586" s="38"/>
      <c r="BF1586" s="38"/>
      <c r="BG1586" s="38"/>
      <c r="BH1586" s="38"/>
      <c r="BI1586" s="38"/>
      <c r="BJ1586" s="38"/>
      <c r="BK1586" s="38"/>
      <c r="BL1586" s="38"/>
      <c r="BM1586" s="38"/>
      <c r="BN1586" s="38"/>
      <c r="BO1586" s="38"/>
      <c r="BP1586" s="38"/>
      <c r="BQ1586" s="38"/>
    </row>
    <row r="1587">
      <c r="A1587" s="58"/>
      <c r="B1587" s="341"/>
      <c r="C1587" s="60"/>
      <c r="D1587" s="60"/>
      <c r="E1587" s="58"/>
      <c r="F1587" s="58"/>
      <c r="G1587" s="58"/>
      <c r="H1587" s="33" t="str">
        <f t="shared" si="33"/>
        <v/>
      </c>
      <c r="I1587" s="58"/>
      <c r="J1587" s="58"/>
      <c r="K1587" s="58"/>
      <c r="L1587" s="58"/>
      <c r="M1587" s="80"/>
      <c r="N1587" s="77"/>
      <c r="O1587" s="62"/>
      <c r="P1587" s="62"/>
      <c r="Q1587" s="62"/>
      <c r="R1587" s="62"/>
      <c r="S1587" s="37" t="str">
        <f>IFERROR(__xludf.DUMMYFUNCTION("if(not(iserror(index(split(C1587, "" ""),2))), index(split(C1587, "" ""),1),"""")"),"")</f>
        <v/>
      </c>
      <c r="T1587" s="315" t="str">
        <f>IFERROR(__xludf.DUMMYFUNCTION("if(S1587="""",C1587,if(not(iserror(index(split(C1587, "" ""),3))), index(split(C1587, "" ""),3),index(split(C1587, "" ""),2)))"),"")</f>
        <v/>
      </c>
      <c r="U1587" s="38" t="b">
        <f t="shared" si="34"/>
        <v>0</v>
      </c>
      <c r="V1587" s="38"/>
      <c r="W1587" s="40"/>
      <c r="X1587" s="40"/>
      <c r="Y1587" s="38"/>
      <c r="Z1587" s="38"/>
      <c r="AA1587" s="38"/>
      <c r="AB1587" s="38"/>
      <c r="AC1587" s="38"/>
      <c r="AD1587" s="38"/>
      <c r="AE1587" s="38"/>
      <c r="AF1587" s="38"/>
      <c r="AG1587" s="38"/>
      <c r="AH1587" s="38"/>
      <c r="AI1587" s="38"/>
      <c r="AJ1587" s="38"/>
      <c r="AK1587" s="38"/>
      <c r="AL1587" s="38"/>
      <c r="AM1587" s="38"/>
      <c r="AN1587" s="38"/>
      <c r="AO1587" s="38"/>
      <c r="AP1587" s="38"/>
      <c r="AQ1587" s="38"/>
      <c r="AR1587" s="38"/>
      <c r="AS1587" s="38"/>
      <c r="AT1587" s="38"/>
      <c r="AU1587" s="38"/>
      <c r="AV1587" s="38"/>
      <c r="AW1587" s="38"/>
      <c r="AX1587" s="38"/>
      <c r="AY1587" s="38"/>
      <c r="AZ1587" s="38"/>
      <c r="BA1587" s="38"/>
      <c r="BB1587" s="38"/>
      <c r="BC1587" s="38"/>
      <c r="BD1587" s="38"/>
      <c r="BE1587" s="38"/>
      <c r="BF1587" s="38"/>
      <c r="BG1587" s="38"/>
      <c r="BH1587" s="38"/>
      <c r="BI1587" s="38"/>
      <c r="BJ1587" s="38"/>
      <c r="BK1587" s="38"/>
      <c r="BL1587" s="38"/>
      <c r="BM1587" s="38"/>
      <c r="BN1587" s="38"/>
      <c r="BO1587" s="38"/>
      <c r="BP1587" s="38"/>
      <c r="BQ1587" s="38"/>
    </row>
    <row r="1588">
      <c r="A1588" s="58"/>
      <c r="B1588" s="341"/>
      <c r="C1588" s="60"/>
      <c r="D1588" s="60"/>
      <c r="E1588" s="58"/>
      <c r="F1588" s="58"/>
      <c r="G1588" s="58"/>
      <c r="H1588" s="33" t="str">
        <f t="shared" si="33"/>
        <v/>
      </c>
      <c r="I1588" s="58"/>
      <c r="J1588" s="58"/>
      <c r="K1588" s="58"/>
      <c r="L1588" s="58"/>
      <c r="M1588" s="80"/>
      <c r="N1588" s="77"/>
      <c r="O1588" s="62"/>
      <c r="P1588" s="62"/>
      <c r="Q1588" s="62"/>
      <c r="R1588" s="62"/>
      <c r="S1588" s="37" t="str">
        <f>IFERROR(__xludf.DUMMYFUNCTION("if(not(iserror(index(split(C1588, "" ""),2))), index(split(C1588, "" ""),1),"""")"),"")</f>
        <v/>
      </c>
      <c r="T1588" s="315" t="str">
        <f>IFERROR(__xludf.DUMMYFUNCTION("if(S1588="""",C1588,if(not(iserror(index(split(C1588, "" ""),3))), index(split(C1588, "" ""),3),index(split(C1588, "" ""),2)))"),"")</f>
        <v/>
      </c>
      <c r="U1588" s="38" t="b">
        <f t="shared" si="34"/>
        <v>0</v>
      </c>
      <c r="V1588" s="38"/>
      <c r="W1588" s="40"/>
      <c r="X1588" s="40"/>
      <c r="Y1588" s="38"/>
      <c r="Z1588" s="38"/>
      <c r="AA1588" s="38"/>
      <c r="AB1588" s="38"/>
      <c r="AC1588" s="38"/>
      <c r="AD1588" s="38"/>
      <c r="AE1588" s="38"/>
      <c r="AF1588" s="38"/>
      <c r="AG1588" s="38"/>
      <c r="AH1588" s="38"/>
      <c r="AI1588" s="38"/>
      <c r="AJ1588" s="38"/>
      <c r="AK1588" s="38"/>
      <c r="AL1588" s="38"/>
      <c r="AM1588" s="38"/>
      <c r="AN1588" s="38"/>
      <c r="AO1588" s="38"/>
      <c r="AP1588" s="38"/>
      <c r="AQ1588" s="38"/>
      <c r="AR1588" s="38"/>
      <c r="AS1588" s="38"/>
      <c r="AT1588" s="38"/>
      <c r="AU1588" s="38"/>
      <c r="AV1588" s="38"/>
      <c r="AW1588" s="38"/>
      <c r="AX1588" s="38"/>
      <c r="AY1588" s="38"/>
      <c r="AZ1588" s="38"/>
      <c r="BA1588" s="38"/>
      <c r="BB1588" s="38"/>
      <c r="BC1588" s="38"/>
      <c r="BD1588" s="38"/>
      <c r="BE1588" s="38"/>
      <c r="BF1588" s="38"/>
      <c r="BG1588" s="38"/>
      <c r="BH1588" s="38"/>
      <c r="BI1588" s="38"/>
      <c r="BJ1588" s="38"/>
      <c r="BK1588" s="38"/>
      <c r="BL1588" s="38"/>
      <c r="BM1588" s="38"/>
      <c r="BN1588" s="38"/>
      <c r="BO1588" s="38"/>
      <c r="BP1588" s="38"/>
      <c r="BQ1588" s="38"/>
    </row>
    <row r="1589">
      <c r="A1589" s="58"/>
      <c r="B1589" s="341"/>
      <c r="C1589" s="60"/>
      <c r="D1589" s="60"/>
      <c r="E1589" s="58"/>
      <c r="F1589" s="58"/>
      <c r="G1589" s="58"/>
      <c r="H1589" s="33" t="str">
        <f t="shared" si="33"/>
        <v/>
      </c>
      <c r="I1589" s="58"/>
      <c r="J1589" s="58"/>
      <c r="K1589" s="58"/>
      <c r="L1589" s="58"/>
      <c r="M1589" s="80"/>
      <c r="N1589" s="77"/>
      <c r="O1589" s="62"/>
      <c r="P1589" s="62"/>
      <c r="Q1589" s="62"/>
      <c r="R1589" s="62"/>
      <c r="S1589" s="37" t="str">
        <f>IFERROR(__xludf.DUMMYFUNCTION("if(not(iserror(index(split(C1589, "" ""),2))), index(split(C1589, "" ""),1),"""")"),"")</f>
        <v/>
      </c>
      <c r="T1589" s="315" t="str">
        <f>IFERROR(__xludf.DUMMYFUNCTION("if(S1589="""",C1589,if(not(iserror(index(split(C1589, "" ""),3))), index(split(C1589, "" ""),3),index(split(C1589, "" ""),2)))"),"")</f>
        <v/>
      </c>
      <c r="U1589" s="38" t="b">
        <f t="shared" si="34"/>
        <v>0</v>
      </c>
      <c r="V1589" s="38"/>
      <c r="W1589" s="40"/>
      <c r="X1589" s="40"/>
      <c r="Y1589" s="38"/>
      <c r="Z1589" s="38"/>
      <c r="AA1589" s="38"/>
      <c r="AB1589" s="38"/>
      <c r="AC1589" s="38"/>
      <c r="AD1589" s="38"/>
      <c r="AE1589" s="38"/>
      <c r="AF1589" s="38"/>
      <c r="AG1589" s="38"/>
      <c r="AH1589" s="38"/>
      <c r="AI1589" s="38"/>
      <c r="AJ1589" s="38"/>
      <c r="AK1589" s="38"/>
      <c r="AL1589" s="38"/>
      <c r="AM1589" s="38"/>
      <c r="AN1589" s="38"/>
      <c r="AO1589" s="38"/>
      <c r="AP1589" s="38"/>
      <c r="AQ1589" s="38"/>
      <c r="AR1589" s="38"/>
      <c r="AS1589" s="38"/>
      <c r="AT1589" s="38"/>
      <c r="AU1589" s="38"/>
      <c r="AV1589" s="38"/>
      <c r="AW1589" s="38"/>
      <c r="AX1589" s="38"/>
      <c r="AY1589" s="38"/>
      <c r="AZ1589" s="38"/>
      <c r="BA1589" s="38"/>
      <c r="BB1589" s="38"/>
      <c r="BC1589" s="38"/>
      <c r="BD1589" s="38"/>
      <c r="BE1589" s="38"/>
      <c r="BF1589" s="38"/>
      <c r="BG1589" s="38"/>
      <c r="BH1589" s="38"/>
      <c r="BI1589" s="38"/>
      <c r="BJ1589" s="38"/>
      <c r="BK1589" s="38"/>
      <c r="BL1589" s="38"/>
      <c r="BM1589" s="38"/>
      <c r="BN1589" s="38"/>
      <c r="BO1589" s="38"/>
      <c r="BP1589" s="38"/>
      <c r="BQ1589" s="38"/>
    </row>
    <row r="1590">
      <c r="A1590" s="58"/>
      <c r="B1590" s="341"/>
      <c r="C1590" s="60"/>
      <c r="D1590" s="60"/>
      <c r="E1590" s="58"/>
      <c r="F1590" s="58"/>
      <c r="G1590" s="58"/>
      <c r="H1590" s="33" t="str">
        <f t="shared" si="33"/>
        <v/>
      </c>
      <c r="I1590" s="58"/>
      <c r="J1590" s="58"/>
      <c r="K1590" s="58"/>
      <c r="L1590" s="58"/>
      <c r="M1590" s="80"/>
      <c r="N1590" s="77"/>
      <c r="O1590" s="62"/>
      <c r="P1590" s="62"/>
      <c r="Q1590" s="62"/>
      <c r="R1590" s="62"/>
      <c r="S1590" s="37" t="str">
        <f>IFERROR(__xludf.DUMMYFUNCTION("if(not(iserror(index(split(C1590, "" ""),2))), index(split(C1590, "" ""),1),"""")"),"")</f>
        <v/>
      </c>
      <c r="T1590" s="315" t="str">
        <f>IFERROR(__xludf.DUMMYFUNCTION("if(S1590="""",C1590,if(not(iserror(index(split(C1590, "" ""),3))), index(split(C1590, "" ""),3),index(split(C1590, "" ""),2)))"),"")</f>
        <v/>
      </c>
      <c r="U1590" s="38" t="b">
        <f t="shared" si="34"/>
        <v>0</v>
      </c>
      <c r="V1590" s="38"/>
      <c r="W1590" s="40"/>
      <c r="X1590" s="40"/>
      <c r="Y1590" s="38"/>
      <c r="Z1590" s="38"/>
      <c r="AA1590" s="38"/>
      <c r="AB1590" s="38"/>
      <c r="AC1590" s="38"/>
      <c r="AD1590" s="38"/>
      <c r="AE1590" s="38"/>
      <c r="AF1590" s="38"/>
      <c r="AG1590" s="38"/>
      <c r="AH1590" s="38"/>
      <c r="AI1590" s="38"/>
      <c r="AJ1590" s="38"/>
      <c r="AK1590" s="38"/>
      <c r="AL1590" s="38"/>
      <c r="AM1590" s="38"/>
      <c r="AN1590" s="38"/>
      <c r="AO1590" s="38"/>
      <c r="AP1590" s="38"/>
      <c r="AQ1590" s="38"/>
      <c r="AR1590" s="38"/>
      <c r="AS1590" s="38"/>
      <c r="AT1590" s="38"/>
      <c r="AU1590" s="38"/>
      <c r="AV1590" s="38"/>
      <c r="AW1590" s="38"/>
      <c r="AX1590" s="38"/>
      <c r="AY1590" s="38"/>
      <c r="AZ1590" s="38"/>
      <c r="BA1590" s="38"/>
      <c r="BB1590" s="38"/>
      <c r="BC1590" s="38"/>
      <c r="BD1590" s="38"/>
      <c r="BE1590" s="38"/>
      <c r="BF1590" s="38"/>
      <c r="BG1590" s="38"/>
      <c r="BH1590" s="38"/>
      <c r="BI1590" s="38"/>
      <c r="BJ1590" s="38"/>
      <c r="BK1590" s="38"/>
      <c r="BL1590" s="38"/>
      <c r="BM1590" s="38"/>
      <c r="BN1590" s="38"/>
      <c r="BO1590" s="38"/>
      <c r="BP1590" s="38"/>
      <c r="BQ1590" s="38"/>
    </row>
    <row r="1591">
      <c r="A1591" s="58"/>
      <c r="B1591" s="341"/>
      <c r="C1591" s="60"/>
      <c r="D1591" s="60"/>
      <c r="E1591" s="58"/>
      <c r="F1591" s="58"/>
      <c r="G1591" s="58"/>
      <c r="H1591" s="33" t="str">
        <f t="shared" si="33"/>
        <v/>
      </c>
      <c r="I1591" s="58"/>
      <c r="J1591" s="58"/>
      <c r="K1591" s="58"/>
      <c r="L1591" s="58"/>
      <c r="M1591" s="80"/>
      <c r="N1591" s="77"/>
      <c r="O1591" s="62"/>
      <c r="P1591" s="62"/>
      <c r="Q1591" s="62"/>
      <c r="R1591" s="62"/>
      <c r="S1591" s="37" t="str">
        <f>IFERROR(__xludf.DUMMYFUNCTION("if(not(iserror(index(split(C1591, "" ""),2))), index(split(C1591, "" ""),1),"""")"),"")</f>
        <v/>
      </c>
      <c r="T1591" s="315" t="str">
        <f>IFERROR(__xludf.DUMMYFUNCTION("if(S1591="""",C1591,if(not(iserror(index(split(C1591, "" ""),3))), index(split(C1591, "" ""),3),index(split(C1591, "" ""),2)))"),"")</f>
        <v/>
      </c>
      <c r="U1591" s="38" t="b">
        <f t="shared" si="34"/>
        <v>0</v>
      </c>
      <c r="V1591" s="38"/>
      <c r="W1591" s="40"/>
      <c r="X1591" s="40"/>
      <c r="Y1591" s="38"/>
      <c r="Z1591" s="38"/>
      <c r="AA1591" s="38"/>
      <c r="AB1591" s="38"/>
      <c r="AC1591" s="38"/>
      <c r="AD1591" s="38"/>
      <c r="AE1591" s="38"/>
      <c r="AF1591" s="38"/>
      <c r="AG1591" s="38"/>
      <c r="AH1591" s="38"/>
      <c r="AI1591" s="38"/>
      <c r="AJ1591" s="38"/>
      <c r="AK1591" s="38"/>
      <c r="AL1591" s="38"/>
      <c r="AM1591" s="38"/>
      <c r="AN1591" s="38"/>
      <c r="AO1591" s="38"/>
      <c r="AP1591" s="38"/>
      <c r="AQ1591" s="38"/>
      <c r="AR1591" s="38"/>
      <c r="AS1591" s="38"/>
      <c r="AT1591" s="38"/>
      <c r="AU1591" s="38"/>
      <c r="AV1591" s="38"/>
      <c r="AW1591" s="38"/>
      <c r="AX1591" s="38"/>
      <c r="AY1591" s="38"/>
      <c r="AZ1591" s="38"/>
      <c r="BA1591" s="38"/>
      <c r="BB1591" s="38"/>
      <c r="BC1591" s="38"/>
      <c r="BD1591" s="38"/>
      <c r="BE1591" s="38"/>
      <c r="BF1591" s="38"/>
      <c r="BG1591" s="38"/>
      <c r="BH1591" s="38"/>
      <c r="BI1591" s="38"/>
      <c r="BJ1591" s="38"/>
      <c r="BK1591" s="38"/>
      <c r="BL1591" s="38"/>
      <c r="BM1591" s="38"/>
      <c r="BN1591" s="38"/>
      <c r="BO1591" s="38"/>
      <c r="BP1591" s="38"/>
      <c r="BQ1591" s="38"/>
    </row>
    <row r="1592">
      <c r="A1592" s="58"/>
      <c r="B1592" s="341"/>
      <c r="C1592" s="60"/>
      <c r="D1592" s="60"/>
      <c r="E1592" s="58"/>
      <c r="F1592" s="58"/>
      <c r="G1592" s="58"/>
      <c r="H1592" s="33" t="str">
        <f t="shared" si="33"/>
        <v/>
      </c>
      <c r="I1592" s="58"/>
      <c r="J1592" s="58"/>
      <c r="K1592" s="58"/>
      <c r="L1592" s="58"/>
      <c r="M1592" s="80"/>
      <c r="N1592" s="77"/>
      <c r="O1592" s="62"/>
      <c r="P1592" s="62"/>
      <c r="Q1592" s="62"/>
      <c r="R1592" s="62"/>
      <c r="S1592" s="37" t="str">
        <f>IFERROR(__xludf.DUMMYFUNCTION("if(not(iserror(index(split(C1592, "" ""),2))), index(split(C1592, "" ""),1),"""")"),"")</f>
        <v/>
      </c>
      <c r="T1592" s="315" t="str">
        <f>IFERROR(__xludf.DUMMYFUNCTION("if(S1592="""",C1592,if(not(iserror(index(split(C1592, "" ""),3))), index(split(C1592, "" ""),3),index(split(C1592, "" ""),2)))"),"")</f>
        <v/>
      </c>
      <c r="U1592" s="38" t="b">
        <f t="shared" si="34"/>
        <v>0</v>
      </c>
      <c r="V1592" s="38"/>
      <c r="W1592" s="40"/>
      <c r="X1592" s="40"/>
      <c r="Y1592" s="38"/>
      <c r="Z1592" s="38"/>
      <c r="AA1592" s="38"/>
      <c r="AB1592" s="38"/>
      <c r="AC1592" s="38"/>
      <c r="AD1592" s="38"/>
      <c r="AE1592" s="38"/>
      <c r="AF1592" s="38"/>
      <c r="AG1592" s="38"/>
      <c r="AH1592" s="38"/>
      <c r="AI1592" s="38"/>
      <c r="AJ1592" s="38"/>
      <c r="AK1592" s="38"/>
      <c r="AL1592" s="38"/>
      <c r="AM1592" s="38"/>
      <c r="AN1592" s="38"/>
      <c r="AO1592" s="38"/>
      <c r="AP1592" s="38"/>
      <c r="AQ1592" s="38"/>
      <c r="AR1592" s="38"/>
      <c r="AS1592" s="38"/>
      <c r="AT1592" s="38"/>
      <c r="AU1592" s="38"/>
      <c r="AV1592" s="38"/>
      <c r="AW1592" s="38"/>
      <c r="AX1592" s="38"/>
      <c r="AY1592" s="38"/>
      <c r="AZ1592" s="38"/>
      <c r="BA1592" s="38"/>
      <c r="BB1592" s="38"/>
      <c r="BC1592" s="38"/>
      <c r="BD1592" s="38"/>
      <c r="BE1592" s="38"/>
      <c r="BF1592" s="38"/>
      <c r="BG1592" s="38"/>
      <c r="BH1592" s="38"/>
      <c r="BI1592" s="38"/>
      <c r="BJ1592" s="38"/>
      <c r="BK1592" s="38"/>
      <c r="BL1592" s="38"/>
      <c r="BM1592" s="38"/>
      <c r="BN1592" s="38"/>
      <c r="BO1592" s="38"/>
      <c r="BP1592" s="38"/>
      <c r="BQ1592" s="38"/>
    </row>
    <row r="1593">
      <c r="A1593" s="58"/>
      <c r="B1593" s="341"/>
      <c r="C1593" s="60"/>
      <c r="D1593" s="60"/>
      <c r="E1593" s="58"/>
      <c r="F1593" s="58"/>
      <c r="G1593" s="58"/>
      <c r="H1593" s="33" t="str">
        <f t="shared" si="33"/>
        <v/>
      </c>
      <c r="I1593" s="58"/>
      <c r="J1593" s="58"/>
      <c r="K1593" s="58"/>
      <c r="L1593" s="58"/>
      <c r="M1593" s="80"/>
      <c r="N1593" s="77"/>
      <c r="O1593" s="62"/>
      <c r="P1593" s="62"/>
      <c r="Q1593" s="62"/>
      <c r="R1593" s="62"/>
      <c r="S1593" s="37" t="str">
        <f>IFERROR(__xludf.DUMMYFUNCTION("if(not(iserror(index(split(C1593, "" ""),2))), index(split(C1593, "" ""),1),"""")"),"")</f>
        <v/>
      </c>
      <c r="T1593" s="315" t="str">
        <f>IFERROR(__xludf.DUMMYFUNCTION("if(S1593="""",C1593,if(not(iserror(index(split(C1593, "" ""),3))), index(split(C1593, "" ""),3),index(split(C1593, "" ""),2)))"),"")</f>
        <v/>
      </c>
      <c r="U1593" s="38" t="b">
        <f t="shared" si="34"/>
        <v>0</v>
      </c>
      <c r="V1593" s="38"/>
      <c r="W1593" s="40"/>
      <c r="X1593" s="40"/>
      <c r="Y1593" s="38"/>
      <c r="Z1593" s="38"/>
      <c r="AA1593" s="38"/>
      <c r="AB1593" s="38"/>
      <c r="AC1593" s="38"/>
      <c r="AD1593" s="38"/>
      <c r="AE1593" s="38"/>
      <c r="AF1593" s="38"/>
      <c r="AG1593" s="38"/>
      <c r="AH1593" s="38"/>
      <c r="AI1593" s="38"/>
      <c r="AJ1593" s="38"/>
      <c r="AK1593" s="38"/>
      <c r="AL1593" s="38"/>
      <c r="AM1593" s="38"/>
      <c r="AN1593" s="38"/>
      <c r="AO1593" s="38"/>
      <c r="AP1593" s="38"/>
      <c r="AQ1593" s="38"/>
      <c r="AR1593" s="38"/>
      <c r="AS1593" s="38"/>
      <c r="AT1593" s="38"/>
      <c r="AU1593" s="38"/>
      <c r="AV1593" s="38"/>
      <c r="AW1593" s="38"/>
      <c r="AX1593" s="38"/>
      <c r="AY1593" s="38"/>
      <c r="AZ1593" s="38"/>
      <c r="BA1593" s="38"/>
      <c r="BB1593" s="38"/>
      <c r="BC1593" s="38"/>
      <c r="BD1593" s="38"/>
      <c r="BE1593" s="38"/>
      <c r="BF1593" s="38"/>
      <c r="BG1593" s="38"/>
      <c r="BH1593" s="38"/>
      <c r="BI1593" s="38"/>
      <c r="BJ1593" s="38"/>
      <c r="BK1593" s="38"/>
      <c r="BL1593" s="38"/>
      <c r="BM1593" s="38"/>
      <c r="BN1593" s="38"/>
      <c r="BO1593" s="38"/>
      <c r="BP1593" s="38"/>
      <c r="BQ1593" s="38"/>
    </row>
    <row r="1594">
      <c r="A1594" s="58"/>
      <c r="B1594" s="341"/>
      <c r="C1594" s="60"/>
      <c r="D1594" s="60"/>
      <c r="E1594" s="58"/>
      <c r="F1594" s="58"/>
      <c r="G1594" s="58"/>
      <c r="H1594" s="33" t="str">
        <f t="shared" si="33"/>
        <v/>
      </c>
      <c r="I1594" s="58"/>
      <c r="J1594" s="58"/>
      <c r="K1594" s="58"/>
      <c r="L1594" s="58"/>
      <c r="M1594" s="80"/>
      <c r="N1594" s="77"/>
      <c r="O1594" s="62"/>
      <c r="P1594" s="62"/>
      <c r="Q1594" s="62"/>
      <c r="R1594" s="62"/>
      <c r="S1594" s="37" t="str">
        <f>IFERROR(__xludf.DUMMYFUNCTION("if(not(iserror(index(split(C1594, "" ""),2))), index(split(C1594, "" ""),1),"""")"),"")</f>
        <v/>
      </c>
      <c r="T1594" s="315" t="str">
        <f>IFERROR(__xludf.DUMMYFUNCTION("if(S1594="""",C1594,if(not(iserror(index(split(C1594, "" ""),3))), index(split(C1594, "" ""),3),index(split(C1594, "" ""),2)))"),"")</f>
        <v/>
      </c>
      <c r="U1594" s="38" t="b">
        <f t="shared" si="34"/>
        <v>0</v>
      </c>
      <c r="V1594" s="38"/>
      <c r="W1594" s="40"/>
      <c r="X1594" s="40"/>
      <c r="Y1594" s="38"/>
      <c r="Z1594" s="38"/>
      <c r="AA1594" s="38"/>
      <c r="AB1594" s="38"/>
      <c r="AC1594" s="38"/>
      <c r="AD1594" s="38"/>
      <c r="AE1594" s="38"/>
      <c r="AF1594" s="38"/>
      <c r="AG1594" s="38"/>
      <c r="AH1594" s="38"/>
      <c r="AI1594" s="38"/>
      <c r="AJ1594" s="38"/>
      <c r="AK1594" s="38"/>
      <c r="AL1594" s="38"/>
      <c r="AM1594" s="38"/>
      <c r="AN1594" s="38"/>
      <c r="AO1594" s="38"/>
      <c r="AP1594" s="38"/>
      <c r="AQ1594" s="38"/>
      <c r="AR1594" s="38"/>
      <c r="AS1594" s="38"/>
      <c r="AT1594" s="38"/>
      <c r="AU1594" s="38"/>
      <c r="AV1594" s="38"/>
      <c r="AW1594" s="38"/>
      <c r="AX1594" s="38"/>
      <c r="AY1594" s="38"/>
      <c r="AZ1594" s="38"/>
      <c r="BA1594" s="38"/>
      <c r="BB1594" s="38"/>
      <c r="BC1594" s="38"/>
      <c r="BD1594" s="38"/>
      <c r="BE1594" s="38"/>
      <c r="BF1594" s="38"/>
      <c r="BG1594" s="38"/>
      <c r="BH1594" s="38"/>
      <c r="BI1594" s="38"/>
      <c r="BJ1594" s="38"/>
      <c r="BK1594" s="38"/>
      <c r="BL1594" s="38"/>
      <c r="BM1594" s="38"/>
      <c r="BN1594" s="38"/>
      <c r="BO1594" s="38"/>
      <c r="BP1594" s="38"/>
      <c r="BQ1594" s="38"/>
    </row>
    <row r="1595">
      <c r="B1595" s="341"/>
      <c r="C1595" s="60"/>
      <c r="D1595" s="60"/>
      <c r="E1595" s="58"/>
      <c r="F1595" s="58"/>
      <c r="G1595" s="58"/>
      <c r="H1595" s="33" t="str">
        <f t="shared" si="33"/>
        <v/>
      </c>
      <c r="I1595" s="58"/>
      <c r="J1595" s="58"/>
      <c r="K1595" s="58"/>
      <c r="L1595" s="58"/>
      <c r="M1595" s="80"/>
      <c r="N1595" s="77"/>
      <c r="O1595" s="62"/>
      <c r="P1595" s="62"/>
      <c r="Q1595" s="62"/>
      <c r="R1595" s="62"/>
      <c r="S1595" s="37" t="str">
        <f>IFERROR(__xludf.DUMMYFUNCTION("if(not(iserror(index(split(C1595, "" ""),2))), index(split(C1595, "" ""),1),"""")"),"")</f>
        <v/>
      </c>
      <c r="T1595" s="315" t="str">
        <f>IFERROR(__xludf.DUMMYFUNCTION("if(S1595="""",C1595,if(not(iserror(index(split(C1595, "" ""),3))), index(split(C1595, "" ""),3),index(split(C1595, "" ""),2)))"),"")</f>
        <v/>
      </c>
      <c r="U1595" s="38" t="b">
        <f t="shared" si="34"/>
        <v>0</v>
      </c>
      <c r="V1595" s="38"/>
      <c r="W1595" s="40"/>
      <c r="X1595" s="40"/>
      <c r="Y1595" s="38"/>
      <c r="Z1595" s="38"/>
      <c r="AA1595" s="38"/>
      <c r="AB1595" s="38"/>
      <c r="AC1595" s="38"/>
      <c r="AD1595" s="38"/>
      <c r="AE1595" s="38"/>
      <c r="AF1595" s="38"/>
      <c r="AG1595" s="38"/>
      <c r="AH1595" s="38"/>
      <c r="AI1595" s="38"/>
      <c r="AJ1595" s="38"/>
      <c r="AK1595" s="38"/>
      <c r="AL1595" s="38"/>
      <c r="AM1595" s="38"/>
      <c r="AN1595" s="38"/>
      <c r="AO1595" s="38"/>
      <c r="AP1595" s="38"/>
      <c r="AQ1595" s="38"/>
      <c r="AR1595" s="38"/>
      <c r="AS1595" s="38"/>
      <c r="AT1595" s="38"/>
      <c r="AU1595" s="38"/>
      <c r="AV1595" s="38"/>
      <c r="AW1595" s="38"/>
      <c r="AX1595" s="38"/>
      <c r="AY1595" s="38"/>
      <c r="AZ1595" s="38"/>
      <c r="BA1595" s="38"/>
      <c r="BB1595" s="38"/>
      <c r="BC1595" s="38"/>
      <c r="BD1595" s="38"/>
      <c r="BE1595" s="38"/>
      <c r="BF1595" s="38"/>
      <c r="BG1595" s="38"/>
      <c r="BH1595" s="38"/>
      <c r="BI1595" s="38"/>
      <c r="BJ1595" s="38"/>
      <c r="BK1595" s="38"/>
      <c r="BL1595" s="38"/>
      <c r="BM1595" s="38"/>
      <c r="BN1595" s="38"/>
      <c r="BO1595" s="38"/>
      <c r="BP1595" s="38"/>
      <c r="BQ1595" s="38"/>
    </row>
    <row r="1596">
      <c r="B1596" s="341"/>
      <c r="C1596" s="60"/>
      <c r="D1596" s="60"/>
      <c r="E1596" s="58"/>
      <c r="F1596" s="58"/>
      <c r="G1596" s="58"/>
      <c r="H1596" s="33" t="str">
        <f t="shared" si="33"/>
        <v/>
      </c>
      <c r="I1596" s="58"/>
      <c r="J1596" s="58"/>
      <c r="K1596" s="58"/>
      <c r="L1596" s="58"/>
      <c r="M1596" s="80"/>
      <c r="N1596" s="77"/>
      <c r="O1596" s="62"/>
      <c r="P1596" s="62"/>
      <c r="Q1596" s="62"/>
      <c r="R1596" s="62"/>
      <c r="S1596" s="37" t="str">
        <f>IFERROR(__xludf.DUMMYFUNCTION("if(not(iserror(index(split(C1596, "" ""),2))), index(split(C1596, "" ""),1),"""")"),"")</f>
        <v/>
      </c>
      <c r="T1596" s="315" t="str">
        <f>IFERROR(__xludf.DUMMYFUNCTION("if(S1596="""",C1596,if(not(iserror(index(split(C1596, "" ""),3))), index(split(C1596, "" ""),3),index(split(C1596, "" ""),2)))"),"")</f>
        <v/>
      </c>
      <c r="U1596" s="38" t="b">
        <f t="shared" si="34"/>
        <v>0</v>
      </c>
      <c r="V1596" s="38"/>
      <c r="W1596" s="40"/>
      <c r="X1596" s="40"/>
      <c r="Y1596" s="38"/>
      <c r="Z1596" s="38"/>
      <c r="AA1596" s="38"/>
      <c r="AB1596" s="38"/>
      <c r="AC1596" s="38"/>
      <c r="AD1596" s="38"/>
      <c r="AE1596" s="38"/>
      <c r="AF1596" s="38"/>
      <c r="AG1596" s="38"/>
      <c r="AH1596" s="38"/>
      <c r="AI1596" s="38"/>
      <c r="AJ1596" s="38"/>
      <c r="AK1596" s="38"/>
      <c r="AL1596" s="38"/>
      <c r="AM1596" s="38"/>
      <c r="AN1596" s="38"/>
      <c r="AO1596" s="38"/>
      <c r="AP1596" s="38"/>
      <c r="AQ1596" s="38"/>
      <c r="AR1596" s="38"/>
      <c r="AS1596" s="38"/>
      <c r="AT1596" s="38"/>
      <c r="AU1596" s="38"/>
      <c r="AV1596" s="38"/>
      <c r="AW1596" s="38"/>
      <c r="AX1596" s="38"/>
      <c r="AY1596" s="38"/>
      <c r="AZ1596" s="38"/>
      <c r="BA1596" s="38"/>
      <c r="BB1596" s="38"/>
      <c r="BC1596" s="38"/>
      <c r="BD1596" s="38"/>
      <c r="BE1596" s="38"/>
      <c r="BF1596" s="38"/>
      <c r="BG1596" s="38"/>
      <c r="BH1596" s="38"/>
      <c r="BI1596" s="38"/>
      <c r="BJ1596" s="38"/>
      <c r="BK1596" s="38"/>
      <c r="BL1596" s="38"/>
      <c r="BM1596" s="38"/>
      <c r="BN1596" s="38"/>
      <c r="BO1596" s="38"/>
      <c r="BP1596" s="38"/>
      <c r="BQ1596" s="38"/>
    </row>
    <row r="1597">
      <c r="B1597" s="341"/>
      <c r="C1597" s="60"/>
      <c r="D1597" s="60"/>
      <c r="E1597" s="58"/>
      <c r="F1597" s="58"/>
      <c r="G1597" s="58"/>
      <c r="H1597" s="33" t="str">
        <f t="shared" si="33"/>
        <v/>
      </c>
      <c r="I1597" s="58"/>
      <c r="J1597" s="58"/>
      <c r="K1597" s="58"/>
      <c r="L1597" s="58"/>
      <c r="M1597" s="80"/>
      <c r="N1597" s="77"/>
      <c r="O1597" s="62"/>
      <c r="P1597" s="62"/>
      <c r="Q1597" s="62"/>
      <c r="R1597" s="62"/>
      <c r="S1597" s="37" t="str">
        <f>IFERROR(__xludf.DUMMYFUNCTION("if(not(iserror(index(split(C1597, "" ""),2))), index(split(C1597, "" ""),1),"""")"),"")</f>
        <v/>
      </c>
      <c r="T1597" s="315" t="str">
        <f>IFERROR(__xludf.DUMMYFUNCTION("if(S1597="""",C1597,if(not(iserror(index(split(C1597, "" ""),3))), index(split(C1597, "" ""),3),index(split(C1597, "" ""),2)))"),"")</f>
        <v/>
      </c>
      <c r="U1597" s="38" t="b">
        <f t="shared" si="34"/>
        <v>0</v>
      </c>
      <c r="V1597" s="38"/>
      <c r="W1597" s="40"/>
      <c r="X1597" s="40"/>
      <c r="Y1597" s="38"/>
      <c r="Z1597" s="38"/>
      <c r="AA1597" s="38"/>
      <c r="AB1597" s="38"/>
      <c r="AC1597" s="38"/>
      <c r="AD1597" s="38"/>
      <c r="AE1597" s="38"/>
      <c r="AF1597" s="38"/>
      <c r="AG1597" s="38"/>
      <c r="AH1597" s="38"/>
      <c r="AI1597" s="38"/>
      <c r="AJ1597" s="38"/>
      <c r="AK1597" s="38"/>
      <c r="AL1597" s="38"/>
      <c r="AM1597" s="38"/>
      <c r="AN1597" s="38"/>
      <c r="AO1597" s="38"/>
      <c r="AP1597" s="38"/>
      <c r="AQ1597" s="38"/>
      <c r="AR1597" s="38"/>
      <c r="AS1597" s="38"/>
      <c r="AT1597" s="38"/>
      <c r="AU1597" s="38"/>
      <c r="AV1597" s="38"/>
      <c r="AW1597" s="38"/>
      <c r="AX1597" s="38"/>
      <c r="AY1597" s="38"/>
      <c r="AZ1597" s="38"/>
      <c r="BA1597" s="38"/>
      <c r="BB1597" s="38"/>
      <c r="BC1597" s="38"/>
      <c r="BD1597" s="38"/>
      <c r="BE1597" s="38"/>
      <c r="BF1597" s="38"/>
      <c r="BG1597" s="38"/>
      <c r="BH1597" s="38"/>
      <c r="BI1597" s="38"/>
      <c r="BJ1597" s="38"/>
      <c r="BK1597" s="38"/>
      <c r="BL1597" s="38"/>
      <c r="BM1597" s="38"/>
      <c r="BN1597" s="38"/>
      <c r="BO1597" s="38"/>
      <c r="BP1597" s="38"/>
      <c r="BQ1597" s="38"/>
    </row>
    <row r="1598">
      <c r="B1598" s="341"/>
      <c r="C1598" s="60"/>
      <c r="D1598" s="60"/>
      <c r="E1598" s="58"/>
      <c r="F1598" s="58"/>
      <c r="G1598" s="58"/>
      <c r="H1598" s="33" t="str">
        <f t="shared" si="33"/>
        <v/>
      </c>
      <c r="I1598" s="58"/>
      <c r="J1598" s="58"/>
      <c r="K1598" s="58"/>
      <c r="L1598" s="58"/>
      <c r="M1598" s="80"/>
      <c r="N1598" s="77"/>
      <c r="O1598" s="62"/>
      <c r="P1598" s="62"/>
      <c r="Q1598" s="62"/>
      <c r="R1598" s="62"/>
      <c r="S1598" s="37" t="str">
        <f>IFERROR(__xludf.DUMMYFUNCTION("if(not(iserror(index(split(C1598, "" ""),2))), index(split(C1598, "" ""),1),"""")"),"")</f>
        <v/>
      </c>
      <c r="T1598" s="315" t="str">
        <f>IFERROR(__xludf.DUMMYFUNCTION("if(S1598="""",C1598,if(not(iserror(index(split(C1598, "" ""),3))), index(split(C1598, "" ""),3),index(split(C1598, "" ""),2)))"),"")</f>
        <v/>
      </c>
      <c r="U1598" s="38" t="b">
        <f t="shared" si="34"/>
        <v>0</v>
      </c>
      <c r="V1598" s="38"/>
      <c r="W1598" s="40"/>
      <c r="X1598" s="40"/>
      <c r="Y1598" s="38"/>
      <c r="Z1598" s="38"/>
      <c r="AA1598" s="38"/>
      <c r="AB1598" s="38"/>
      <c r="AC1598" s="38"/>
      <c r="AD1598" s="38"/>
      <c r="AE1598" s="38"/>
      <c r="AF1598" s="38"/>
      <c r="AG1598" s="38"/>
      <c r="AH1598" s="38"/>
      <c r="AI1598" s="38"/>
      <c r="AJ1598" s="38"/>
      <c r="AK1598" s="38"/>
      <c r="AL1598" s="38"/>
      <c r="AM1598" s="38"/>
      <c r="AN1598" s="38"/>
      <c r="AO1598" s="38"/>
      <c r="AP1598" s="38"/>
      <c r="AQ1598" s="38"/>
      <c r="AR1598" s="38"/>
      <c r="AS1598" s="38"/>
      <c r="AT1598" s="38"/>
      <c r="AU1598" s="38"/>
      <c r="AV1598" s="38"/>
      <c r="AW1598" s="38"/>
      <c r="AX1598" s="38"/>
      <c r="AY1598" s="38"/>
      <c r="AZ1598" s="38"/>
      <c r="BA1598" s="38"/>
      <c r="BB1598" s="38"/>
      <c r="BC1598" s="38"/>
      <c r="BD1598" s="38"/>
      <c r="BE1598" s="38"/>
      <c r="BF1598" s="38"/>
      <c r="BG1598" s="38"/>
      <c r="BH1598" s="38"/>
      <c r="BI1598" s="38"/>
      <c r="BJ1598" s="38"/>
      <c r="BK1598" s="38"/>
      <c r="BL1598" s="38"/>
      <c r="BM1598" s="38"/>
      <c r="BN1598" s="38"/>
      <c r="BO1598" s="38"/>
      <c r="BP1598" s="38"/>
      <c r="BQ1598" s="38"/>
    </row>
    <row r="1599">
      <c r="A1599" s="58"/>
      <c r="B1599" s="341"/>
      <c r="C1599" s="60"/>
      <c r="D1599" s="60"/>
      <c r="E1599" s="58"/>
      <c r="F1599" s="58"/>
      <c r="G1599" s="58"/>
      <c r="H1599" s="33" t="str">
        <f t="shared" si="33"/>
        <v/>
      </c>
      <c r="I1599" s="58"/>
      <c r="J1599" s="58"/>
      <c r="K1599" s="58"/>
      <c r="L1599" s="58"/>
      <c r="M1599" s="80"/>
      <c r="N1599" s="77"/>
      <c r="O1599" s="62"/>
      <c r="P1599" s="62"/>
      <c r="Q1599" s="62"/>
      <c r="R1599" s="62"/>
      <c r="S1599" s="37" t="str">
        <f>IFERROR(__xludf.DUMMYFUNCTION("if(not(iserror(index(split(C1599, "" ""),2))), index(split(C1599, "" ""),1),"""")"),"")</f>
        <v/>
      </c>
      <c r="T1599" s="315" t="str">
        <f>IFERROR(__xludf.DUMMYFUNCTION("if(S1599="""",C1599,if(not(iserror(index(split(C1599, "" ""),3))), index(split(C1599, "" ""),3),index(split(C1599, "" ""),2)))"),"")</f>
        <v/>
      </c>
      <c r="U1599" s="38" t="b">
        <f t="shared" si="34"/>
        <v>0</v>
      </c>
      <c r="V1599" s="38"/>
      <c r="W1599" s="40"/>
      <c r="X1599" s="40"/>
      <c r="Y1599" s="38"/>
      <c r="Z1599" s="38"/>
      <c r="AA1599" s="38"/>
      <c r="AB1599" s="38"/>
      <c r="AC1599" s="38"/>
      <c r="AD1599" s="38"/>
      <c r="AE1599" s="38"/>
      <c r="AF1599" s="38"/>
      <c r="AG1599" s="38"/>
      <c r="AH1599" s="38"/>
      <c r="AI1599" s="38"/>
      <c r="AJ1599" s="38"/>
      <c r="AK1599" s="38"/>
      <c r="AL1599" s="38"/>
      <c r="AM1599" s="38"/>
      <c r="AN1599" s="38"/>
      <c r="AO1599" s="38"/>
      <c r="AP1599" s="38"/>
      <c r="AQ1599" s="38"/>
      <c r="AR1599" s="38"/>
      <c r="AS1599" s="38"/>
      <c r="AT1599" s="38"/>
      <c r="AU1599" s="38"/>
      <c r="AV1599" s="38"/>
      <c r="AW1599" s="38"/>
      <c r="AX1599" s="38"/>
      <c r="AY1599" s="38"/>
      <c r="AZ1599" s="38"/>
      <c r="BA1599" s="38"/>
      <c r="BB1599" s="38"/>
      <c r="BC1599" s="38"/>
      <c r="BD1599" s="38"/>
      <c r="BE1599" s="38"/>
      <c r="BF1599" s="38"/>
      <c r="BG1599" s="38"/>
      <c r="BH1599" s="38"/>
      <c r="BI1599" s="38"/>
      <c r="BJ1599" s="38"/>
      <c r="BK1599" s="38"/>
      <c r="BL1599" s="38"/>
      <c r="BM1599" s="38"/>
      <c r="BN1599" s="38"/>
      <c r="BO1599" s="38"/>
      <c r="BP1599" s="38"/>
      <c r="BQ1599" s="38"/>
    </row>
    <row r="1600">
      <c r="A1600" s="58"/>
      <c r="B1600" s="341"/>
      <c r="C1600" s="60"/>
      <c r="D1600" s="60"/>
      <c r="E1600" s="58"/>
      <c r="F1600" s="58"/>
      <c r="G1600" s="58"/>
      <c r="H1600" s="33" t="str">
        <f t="shared" si="33"/>
        <v/>
      </c>
      <c r="I1600" s="58"/>
      <c r="J1600" s="58"/>
      <c r="K1600" s="58"/>
      <c r="L1600" s="58"/>
      <c r="M1600" s="80"/>
      <c r="N1600" s="77"/>
      <c r="O1600" s="62"/>
      <c r="P1600" s="62"/>
      <c r="Q1600" s="62"/>
      <c r="R1600" s="62"/>
      <c r="S1600" s="37" t="str">
        <f>IFERROR(__xludf.DUMMYFUNCTION("if(not(iserror(index(split(C1600, "" ""),2))), index(split(C1600, "" ""),1),"""")"),"")</f>
        <v/>
      </c>
      <c r="T1600" s="315" t="str">
        <f>IFERROR(__xludf.DUMMYFUNCTION("if(S1600="""",C1600,if(not(iserror(index(split(C1600, "" ""),3))), index(split(C1600, "" ""),3),index(split(C1600, "" ""),2)))"),"")</f>
        <v/>
      </c>
      <c r="U1600" s="38" t="b">
        <f t="shared" si="34"/>
        <v>0</v>
      </c>
      <c r="V1600" s="38"/>
      <c r="W1600" s="40"/>
      <c r="X1600" s="40"/>
      <c r="Y1600" s="38"/>
      <c r="Z1600" s="38"/>
      <c r="AA1600" s="38"/>
      <c r="AB1600" s="38"/>
      <c r="AC1600" s="38"/>
      <c r="AD1600" s="38"/>
      <c r="AE1600" s="38"/>
      <c r="AF1600" s="38"/>
      <c r="AG1600" s="38"/>
      <c r="AH1600" s="38"/>
      <c r="AI1600" s="38"/>
      <c r="AJ1600" s="38"/>
      <c r="AK1600" s="38"/>
      <c r="AL1600" s="38"/>
      <c r="AM1600" s="38"/>
      <c r="AN1600" s="38"/>
      <c r="AO1600" s="38"/>
      <c r="AP1600" s="38"/>
      <c r="AQ1600" s="38"/>
      <c r="AR1600" s="38"/>
      <c r="AS1600" s="38"/>
      <c r="AT1600" s="38"/>
      <c r="AU1600" s="38"/>
      <c r="AV1600" s="38"/>
      <c r="AW1600" s="38"/>
      <c r="AX1600" s="38"/>
      <c r="AY1600" s="38"/>
      <c r="AZ1600" s="38"/>
      <c r="BA1600" s="38"/>
      <c r="BB1600" s="38"/>
      <c r="BC1600" s="38"/>
      <c r="BD1600" s="38"/>
      <c r="BE1600" s="38"/>
      <c r="BF1600" s="38"/>
      <c r="BG1600" s="38"/>
      <c r="BH1600" s="38"/>
      <c r="BI1600" s="38"/>
      <c r="BJ1600" s="38"/>
      <c r="BK1600" s="38"/>
      <c r="BL1600" s="38"/>
      <c r="BM1600" s="38"/>
      <c r="BN1600" s="38"/>
      <c r="BO1600" s="38"/>
      <c r="BP1600" s="38"/>
      <c r="BQ1600" s="38"/>
    </row>
    <row r="1601">
      <c r="A1601" s="58"/>
      <c r="B1601" s="341"/>
      <c r="C1601" s="60"/>
      <c r="D1601" s="60"/>
      <c r="E1601" s="58"/>
      <c r="F1601" s="58"/>
      <c r="G1601" s="58"/>
      <c r="H1601" s="33" t="str">
        <f t="shared" si="33"/>
        <v/>
      </c>
      <c r="I1601" s="58"/>
      <c r="J1601" s="58"/>
      <c r="K1601" s="58"/>
      <c r="L1601" s="58"/>
      <c r="M1601" s="80"/>
      <c r="N1601" s="77"/>
      <c r="O1601" s="62"/>
      <c r="P1601" s="62"/>
      <c r="Q1601" s="62"/>
      <c r="R1601" s="62"/>
      <c r="S1601" s="37" t="str">
        <f>IFERROR(__xludf.DUMMYFUNCTION("if(not(iserror(index(split(C1601, "" ""),2))), index(split(C1601, "" ""),1),"""")"),"")</f>
        <v/>
      </c>
      <c r="T1601" s="315" t="str">
        <f>IFERROR(__xludf.DUMMYFUNCTION("if(S1601="""",C1601,if(not(iserror(index(split(C1601, "" ""),3))), index(split(C1601, "" ""),3),index(split(C1601, "" ""),2)))"),"")</f>
        <v/>
      </c>
      <c r="U1601" s="38" t="b">
        <f t="shared" si="34"/>
        <v>0</v>
      </c>
      <c r="V1601" s="38"/>
      <c r="W1601" s="40"/>
      <c r="X1601" s="40"/>
      <c r="Y1601" s="38"/>
      <c r="Z1601" s="38"/>
      <c r="AA1601" s="38"/>
      <c r="AB1601" s="38"/>
      <c r="AC1601" s="38"/>
      <c r="AD1601" s="38"/>
      <c r="AE1601" s="38"/>
      <c r="AF1601" s="38"/>
      <c r="AG1601" s="38"/>
      <c r="AH1601" s="38"/>
      <c r="AI1601" s="38"/>
      <c r="AJ1601" s="38"/>
      <c r="AK1601" s="38"/>
      <c r="AL1601" s="38"/>
      <c r="AM1601" s="38"/>
      <c r="AN1601" s="38"/>
      <c r="AO1601" s="38"/>
      <c r="AP1601" s="38"/>
      <c r="AQ1601" s="38"/>
      <c r="AR1601" s="38"/>
      <c r="AS1601" s="38"/>
      <c r="AT1601" s="38"/>
      <c r="AU1601" s="38"/>
      <c r="AV1601" s="38"/>
      <c r="AW1601" s="38"/>
      <c r="AX1601" s="38"/>
      <c r="AY1601" s="38"/>
      <c r="AZ1601" s="38"/>
      <c r="BA1601" s="38"/>
      <c r="BB1601" s="38"/>
      <c r="BC1601" s="38"/>
      <c r="BD1601" s="38"/>
      <c r="BE1601" s="38"/>
      <c r="BF1601" s="38"/>
      <c r="BG1601" s="38"/>
      <c r="BH1601" s="38"/>
      <c r="BI1601" s="38"/>
      <c r="BJ1601" s="38"/>
      <c r="BK1601" s="38"/>
      <c r="BL1601" s="38"/>
      <c r="BM1601" s="38"/>
      <c r="BN1601" s="38"/>
      <c r="BO1601" s="38"/>
      <c r="BP1601" s="38"/>
      <c r="BQ1601" s="38"/>
    </row>
    <row r="1602">
      <c r="A1602" s="128"/>
      <c r="B1602" s="388"/>
      <c r="C1602" s="127"/>
      <c r="D1602" s="127"/>
      <c r="E1602" s="128"/>
      <c r="F1602" s="129"/>
      <c r="G1602" s="198"/>
      <c r="H1602" s="33" t="str">
        <f t="shared" si="33"/>
        <v/>
      </c>
      <c r="I1602" s="128"/>
      <c r="J1602" s="128"/>
      <c r="K1602" s="129"/>
      <c r="L1602" s="128"/>
      <c r="M1602" s="131"/>
      <c r="N1602" s="133"/>
      <c r="O1602" s="133"/>
      <c r="P1602" s="133"/>
      <c r="Q1602" s="133"/>
      <c r="R1602" s="133"/>
      <c r="S1602" s="37" t="str">
        <f>IFERROR(__xludf.DUMMYFUNCTION("if(not(iserror(index(split(C1602, "" ""),2))), index(split(C1602, "" ""),1),"""")"),"")</f>
        <v/>
      </c>
      <c r="T1602" s="315" t="str">
        <f>IFERROR(__xludf.DUMMYFUNCTION("if(S1602="""",C1602,if(not(iserror(index(split(C1602, "" ""),3))), index(split(C1602, "" ""),3),index(split(C1602, "" ""),2)))"),"")</f>
        <v/>
      </c>
      <c r="U1602" s="38" t="b">
        <f t="shared" si="34"/>
        <v>0</v>
      </c>
      <c r="V1602" s="38"/>
      <c r="W1602" s="40"/>
      <c r="X1602" s="40"/>
      <c r="Y1602" s="38"/>
      <c r="Z1602" s="38"/>
      <c r="AA1602" s="38"/>
      <c r="AB1602" s="38"/>
      <c r="AC1602" s="38"/>
      <c r="AD1602" s="38"/>
      <c r="AE1602" s="38"/>
      <c r="AF1602" s="38"/>
      <c r="AG1602" s="38"/>
      <c r="AH1602" s="38"/>
      <c r="AI1602" s="38"/>
      <c r="AJ1602" s="38"/>
      <c r="AK1602" s="38"/>
      <c r="AL1602" s="38"/>
      <c r="AM1602" s="38"/>
      <c r="AN1602" s="38"/>
      <c r="AO1602" s="38"/>
      <c r="AP1602" s="38"/>
      <c r="AQ1602" s="38"/>
      <c r="AR1602" s="38"/>
      <c r="AS1602" s="38"/>
      <c r="AT1602" s="38"/>
      <c r="AU1602" s="38"/>
      <c r="AV1602" s="38"/>
      <c r="AW1602" s="38"/>
      <c r="AX1602" s="38"/>
      <c r="AY1602" s="38"/>
      <c r="AZ1602" s="38"/>
      <c r="BA1602" s="38"/>
      <c r="BB1602" s="38"/>
      <c r="BC1602" s="38"/>
      <c r="BD1602" s="38"/>
      <c r="BE1602" s="38"/>
      <c r="BF1602" s="38"/>
      <c r="BG1602" s="38"/>
      <c r="BH1602" s="38"/>
      <c r="BI1602" s="38"/>
      <c r="BJ1602" s="38"/>
      <c r="BK1602" s="38"/>
      <c r="BL1602" s="38"/>
      <c r="BM1602" s="38"/>
      <c r="BN1602" s="38"/>
      <c r="BO1602" s="38"/>
      <c r="BP1602" s="38"/>
      <c r="BQ1602" s="38"/>
    </row>
    <row r="1603">
      <c r="A1603" s="58"/>
      <c r="B1603" s="341"/>
      <c r="C1603" s="60"/>
      <c r="D1603" s="60"/>
      <c r="E1603" s="58"/>
      <c r="F1603" s="58"/>
      <c r="G1603" s="58"/>
      <c r="H1603" s="33" t="str">
        <f t="shared" si="33"/>
        <v/>
      </c>
      <c r="I1603" s="58"/>
      <c r="J1603" s="58"/>
      <c r="K1603" s="58"/>
      <c r="L1603" s="58"/>
      <c r="M1603" s="80"/>
      <c r="N1603" s="77"/>
      <c r="O1603" s="62"/>
      <c r="P1603" s="62"/>
      <c r="Q1603" s="62"/>
      <c r="R1603" s="62"/>
      <c r="S1603" s="37" t="str">
        <f>IFERROR(__xludf.DUMMYFUNCTION("if(not(iserror(index(split(C1603, "" ""),2))), index(split(C1603, "" ""),1),"""")"),"")</f>
        <v/>
      </c>
      <c r="T1603" s="315" t="str">
        <f>IFERROR(__xludf.DUMMYFUNCTION("if(S1603="""",C1603,if(not(iserror(index(split(C1603, "" ""),3))), index(split(C1603, "" ""),3),index(split(C1603, "" ""),2)))"),"")</f>
        <v/>
      </c>
      <c r="U1603" s="38" t="b">
        <f t="shared" si="34"/>
        <v>0</v>
      </c>
      <c r="V1603" s="38"/>
      <c r="W1603" s="40"/>
      <c r="X1603" s="40"/>
      <c r="Y1603" s="38"/>
      <c r="Z1603" s="38"/>
      <c r="AA1603" s="38"/>
      <c r="AB1603" s="38"/>
      <c r="AC1603" s="38"/>
      <c r="AD1603" s="38"/>
      <c r="AE1603" s="38"/>
      <c r="AF1603" s="38"/>
      <c r="AG1603" s="38"/>
      <c r="AH1603" s="38"/>
      <c r="AI1603" s="38"/>
      <c r="AJ1603" s="38"/>
      <c r="AK1603" s="38"/>
      <c r="AL1603" s="38"/>
      <c r="AM1603" s="38"/>
      <c r="AN1603" s="38"/>
      <c r="AO1603" s="38"/>
      <c r="AP1603" s="38"/>
      <c r="AQ1603" s="38"/>
      <c r="AR1603" s="38"/>
      <c r="AS1603" s="38"/>
      <c r="AT1603" s="38"/>
      <c r="AU1603" s="38"/>
      <c r="AV1603" s="38"/>
      <c r="AW1603" s="38"/>
      <c r="AX1603" s="38"/>
      <c r="AY1603" s="38"/>
      <c r="AZ1603" s="38"/>
      <c r="BA1603" s="38"/>
      <c r="BB1603" s="38"/>
      <c r="BC1603" s="38"/>
      <c r="BD1603" s="38"/>
      <c r="BE1603" s="38"/>
      <c r="BF1603" s="38"/>
      <c r="BG1603" s="38"/>
      <c r="BH1603" s="38"/>
      <c r="BI1603" s="38"/>
      <c r="BJ1603" s="38"/>
      <c r="BK1603" s="38"/>
      <c r="BL1603" s="38"/>
      <c r="BM1603" s="38"/>
      <c r="BN1603" s="38"/>
      <c r="BO1603" s="38"/>
      <c r="BP1603" s="38"/>
      <c r="BQ1603" s="38"/>
    </row>
    <row r="1604">
      <c r="A1604" s="58"/>
      <c r="B1604" s="341"/>
      <c r="C1604" s="60"/>
      <c r="D1604" s="60"/>
      <c r="E1604" s="58"/>
      <c r="F1604" s="58"/>
      <c r="G1604" s="58"/>
      <c r="H1604" s="33" t="str">
        <f t="shared" si="33"/>
        <v/>
      </c>
      <c r="I1604" s="58"/>
      <c r="J1604" s="58"/>
      <c r="K1604" s="58"/>
      <c r="L1604" s="58"/>
      <c r="M1604" s="80"/>
      <c r="N1604" s="77"/>
      <c r="O1604" s="62"/>
      <c r="P1604" s="62"/>
      <c r="Q1604" s="62"/>
      <c r="R1604" s="62"/>
      <c r="S1604" s="37" t="str">
        <f>IFERROR(__xludf.DUMMYFUNCTION("if(not(iserror(index(split(C1604, "" ""),2))), index(split(C1604, "" ""),1),"""")"),"")</f>
        <v/>
      </c>
      <c r="T1604" s="315" t="str">
        <f>IFERROR(__xludf.DUMMYFUNCTION("if(S1604="""",C1604,if(not(iserror(index(split(C1604, "" ""),3))), index(split(C1604, "" ""),3),index(split(C1604, "" ""),2)))"),"")</f>
        <v/>
      </c>
      <c r="U1604" s="38" t="b">
        <f t="shared" si="34"/>
        <v>0</v>
      </c>
      <c r="V1604" s="38"/>
      <c r="W1604" s="40"/>
      <c r="X1604" s="40"/>
      <c r="Y1604" s="38"/>
      <c r="Z1604" s="38"/>
      <c r="AA1604" s="38"/>
      <c r="AB1604" s="38"/>
      <c r="AC1604" s="38"/>
      <c r="AD1604" s="38"/>
      <c r="AE1604" s="38"/>
      <c r="AF1604" s="38"/>
      <c r="AG1604" s="38"/>
      <c r="AH1604" s="38"/>
      <c r="AI1604" s="38"/>
      <c r="AJ1604" s="38"/>
      <c r="AK1604" s="38"/>
      <c r="AL1604" s="38"/>
      <c r="AM1604" s="38"/>
      <c r="AN1604" s="38"/>
      <c r="AO1604" s="38"/>
      <c r="AP1604" s="38"/>
      <c r="AQ1604" s="38"/>
      <c r="AR1604" s="38"/>
      <c r="AS1604" s="38"/>
      <c r="AT1604" s="38"/>
      <c r="AU1604" s="38"/>
      <c r="AV1604" s="38"/>
      <c r="AW1604" s="38"/>
      <c r="AX1604" s="38"/>
      <c r="AY1604" s="38"/>
      <c r="AZ1604" s="38"/>
      <c r="BA1604" s="38"/>
      <c r="BB1604" s="38"/>
      <c r="BC1604" s="38"/>
      <c r="BD1604" s="38"/>
      <c r="BE1604" s="38"/>
      <c r="BF1604" s="38"/>
      <c r="BG1604" s="38"/>
      <c r="BH1604" s="38"/>
      <c r="BI1604" s="38"/>
      <c r="BJ1604" s="38"/>
      <c r="BK1604" s="38"/>
      <c r="BL1604" s="38"/>
      <c r="BM1604" s="38"/>
      <c r="BN1604" s="38"/>
      <c r="BO1604" s="38"/>
      <c r="BP1604" s="38"/>
      <c r="BQ1604" s="38"/>
    </row>
    <row r="1605">
      <c r="A1605" s="58"/>
      <c r="B1605" s="341"/>
      <c r="C1605" s="60"/>
      <c r="D1605" s="60"/>
      <c r="E1605" s="58"/>
      <c r="F1605" s="58"/>
      <c r="G1605" s="58"/>
      <c r="H1605" s="33" t="str">
        <f t="shared" si="33"/>
        <v/>
      </c>
      <c r="I1605" s="58"/>
      <c r="J1605" s="58"/>
      <c r="K1605" s="58"/>
      <c r="L1605" s="58"/>
      <c r="M1605" s="80"/>
      <c r="N1605" s="77"/>
      <c r="O1605" s="58"/>
      <c r="P1605" s="58"/>
      <c r="Q1605" s="84"/>
      <c r="R1605" s="62"/>
      <c r="S1605" s="37" t="str">
        <f>IFERROR(__xludf.DUMMYFUNCTION("if(not(iserror(index(split(C1605, "" ""),2))), index(split(C1605, "" ""),1),"""")"),"")</f>
        <v/>
      </c>
      <c r="T1605" s="315" t="str">
        <f>IFERROR(__xludf.DUMMYFUNCTION("if(S1605="""",C1605,if(not(iserror(index(split(C1605, "" ""),3))), index(split(C1605, "" ""),3),index(split(C1605, "" ""),2)))"),"")</f>
        <v/>
      </c>
      <c r="U1605" s="38" t="b">
        <f t="shared" si="34"/>
        <v>0</v>
      </c>
      <c r="V1605" s="38"/>
      <c r="W1605" s="40"/>
      <c r="X1605" s="40"/>
      <c r="Y1605" s="38"/>
      <c r="Z1605" s="38"/>
      <c r="AA1605" s="38"/>
      <c r="AB1605" s="38"/>
      <c r="AC1605" s="38"/>
      <c r="AD1605" s="38"/>
      <c r="AE1605" s="38"/>
      <c r="AF1605" s="38"/>
      <c r="AG1605" s="38"/>
      <c r="AH1605" s="38"/>
      <c r="AI1605" s="38"/>
      <c r="AJ1605" s="38"/>
      <c r="AK1605" s="38"/>
      <c r="AL1605" s="38"/>
      <c r="AM1605" s="38"/>
      <c r="AN1605" s="38"/>
      <c r="AO1605" s="38"/>
      <c r="AP1605" s="38"/>
      <c r="AQ1605" s="38"/>
      <c r="AR1605" s="38"/>
      <c r="AS1605" s="38"/>
      <c r="AT1605" s="38"/>
      <c r="AU1605" s="38"/>
      <c r="AV1605" s="38"/>
      <c r="AW1605" s="38"/>
      <c r="AX1605" s="38"/>
      <c r="AY1605" s="38"/>
      <c r="AZ1605" s="38"/>
      <c r="BA1605" s="38"/>
      <c r="BB1605" s="38"/>
      <c r="BC1605" s="38"/>
      <c r="BD1605" s="38"/>
      <c r="BE1605" s="38"/>
      <c r="BF1605" s="38"/>
      <c r="BG1605" s="38"/>
      <c r="BH1605" s="38"/>
      <c r="BI1605" s="38"/>
      <c r="BJ1605" s="38"/>
      <c r="BK1605" s="38"/>
      <c r="BL1605" s="38"/>
      <c r="BM1605" s="38"/>
      <c r="BN1605" s="38"/>
      <c r="BO1605" s="38"/>
      <c r="BP1605" s="38"/>
      <c r="BQ1605" s="38"/>
    </row>
    <row r="1606">
      <c r="A1606" s="58"/>
      <c r="B1606" s="341"/>
      <c r="C1606" s="60"/>
      <c r="D1606" s="60"/>
      <c r="E1606" s="58"/>
      <c r="F1606" s="58"/>
      <c r="G1606" s="58"/>
      <c r="H1606" s="33" t="str">
        <f t="shared" si="33"/>
        <v/>
      </c>
      <c r="I1606" s="58"/>
      <c r="J1606" s="58"/>
      <c r="K1606" s="58"/>
      <c r="L1606" s="58"/>
      <c r="M1606" s="80"/>
      <c r="N1606" s="80"/>
      <c r="O1606" s="58"/>
      <c r="P1606" s="58"/>
      <c r="Q1606" s="84"/>
      <c r="R1606" s="62"/>
      <c r="S1606" s="37" t="str">
        <f>IFERROR(__xludf.DUMMYFUNCTION("if(not(iserror(index(split(C1606, "" ""),2))), index(split(C1606, "" ""),1),"""")"),"")</f>
        <v/>
      </c>
      <c r="T1606" s="315" t="str">
        <f>IFERROR(__xludf.DUMMYFUNCTION("if(S1606="""",C1606,if(not(iserror(index(split(C1606, "" ""),3))), index(split(C1606, "" ""),3),index(split(C1606, "" ""),2)))"),"")</f>
        <v/>
      </c>
      <c r="U1606" s="38" t="b">
        <f t="shared" si="34"/>
        <v>0</v>
      </c>
      <c r="V1606" s="38"/>
      <c r="W1606" s="40"/>
      <c r="X1606" s="40"/>
      <c r="Y1606" s="38"/>
      <c r="Z1606" s="38"/>
      <c r="AA1606" s="38"/>
      <c r="AB1606" s="38"/>
      <c r="AC1606" s="38"/>
      <c r="AD1606" s="38"/>
      <c r="AE1606" s="38"/>
      <c r="AF1606" s="38"/>
      <c r="AG1606" s="38"/>
      <c r="AH1606" s="38"/>
      <c r="AI1606" s="38"/>
      <c r="AJ1606" s="38"/>
      <c r="AK1606" s="38"/>
      <c r="AL1606" s="38"/>
      <c r="AM1606" s="38"/>
      <c r="AN1606" s="38"/>
      <c r="AO1606" s="38"/>
      <c r="AP1606" s="38"/>
      <c r="AQ1606" s="38"/>
      <c r="AR1606" s="38"/>
      <c r="AS1606" s="38"/>
      <c r="AT1606" s="38"/>
      <c r="AU1606" s="38"/>
      <c r="AV1606" s="38"/>
      <c r="AW1606" s="38"/>
      <c r="AX1606" s="38"/>
      <c r="AY1606" s="38"/>
      <c r="AZ1606" s="38"/>
      <c r="BA1606" s="38"/>
      <c r="BB1606" s="38"/>
      <c r="BC1606" s="38"/>
      <c r="BD1606" s="38"/>
      <c r="BE1606" s="38"/>
      <c r="BF1606" s="38"/>
      <c r="BG1606" s="38"/>
      <c r="BH1606" s="38"/>
      <c r="BI1606" s="38"/>
      <c r="BJ1606" s="38"/>
      <c r="BK1606" s="38"/>
      <c r="BL1606" s="38"/>
      <c r="BM1606" s="38"/>
      <c r="BN1606" s="38"/>
      <c r="BO1606" s="38"/>
      <c r="BP1606" s="38"/>
      <c r="BQ1606" s="38"/>
    </row>
    <row r="1607">
      <c r="A1607" s="58"/>
      <c r="B1607" s="341"/>
      <c r="C1607" s="60"/>
      <c r="D1607" s="60"/>
      <c r="E1607" s="58"/>
      <c r="F1607" s="58"/>
      <c r="G1607" s="58"/>
      <c r="H1607" s="33" t="str">
        <f t="shared" si="33"/>
        <v/>
      </c>
      <c r="I1607" s="58"/>
      <c r="J1607" s="58"/>
      <c r="K1607" s="58"/>
      <c r="L1607" s="58"/>
      <c r="M1607" s="80"/>
      <c r="N1607" s="77"/>
      <c r="O1607" s="58"/>
      <c r="P1607" s="62"/>
      <c r="Q1607" s="84"/>
      <c r="R1607" s="62"/>
      <c r="S1607" s="37" t="str">
        <f>IFERROR(__xludf.DUMMYFUNCTION("if(not(iserror(index(split(C1607, "" ""),2))), index(split(C1607, "" ""),1),"""")"),"")</f>
        <v/>
      </c>
      <c r="T1607" s="315" t="str">
        <f>IFERROR(__xludf.DUMMYFUNCTION("if(S1607="""",C1607,if(not(iserror(index(split(C1607, "" ""),3))), index(split(C1607, "" ""),3),index(split(C1607, "" ""),2)))"),"")</f>
        <v/>
      </c>
      <c r="U1607" s="38" t="b">
        <f t="shared" si="34"/>
        <v>0</v>
      </c>
      <c r="V1607" s="38"/>
      <c r="W1607" s="40"/>
      <c r="X1607" s="40"/>
      <c r="Y1607" s="38"/>
      <c r="Z1607" s="38"/>
      <c r="AA1607" s="38"/>
      <c r="AB1607" s="38"/>
      <c r="AC1607" s="38"/>
      <c r="AD1607" s="38"/>
      <c r="AE1607" s="38"/>
      <c r="AF1607" s="38"/>
      <c r="AG1607" s="38"/>
      <c r="AH1607" s="38"/>
      <c r="AI1607" s="38"/>
      <c r="AJ1607" s="38"/>
      <c r="AK1607" s="38"/>
      <c r="AL1607" s="38"/>
      <c r="AM1607" s="38"/>
      <c r="AN1607" s="38"/>
      <c r="AO1607" s="38"/>
      <c r="AP1607" s="38"/>
      <c r="AQ1607" s="38"/>
      <c r="AR1607" s="38"/>
      <c r="AS1607" s="38"/>
      <c r="AT1607" s="38"/>
      <c r="AU1607" s="38"/>
      <c r="AV1607" s="38"/>
      <c r="AW1607" s="38"/>
      <c r="AX1607" s="38"/>
      <c r="AY1607" s="38"/>
      <c r="AZ1607" s="38"/>
      <c r="BA1607" s="38"/>
      <c r="BB1607" s="38"/>
      <c r="BC1607" s="38"/>
      <c r="BD1607" s="38"/>
      <c r="BE1607" s="38"/>
      <c r="BF1607" s="38"/>
      <c r="BG1607" s="38"/>
      <c r="BH1607" s="38"/>
      <c r="BI1607" s="38"/>
      <c r="BJ1607" s="38"/>
      <c r="BK1607" s="38"/>
      <c r="BL1607" s="38"/>
      <c r="BM1607" s="38"/>
      <c r="BN1607" s="38"/>
      <c r="BO1607" s="38"/>
      <c r="BP1607" s="38"/>
      <c r="BQ1607" s="38"/>
    </row>
    <row r="1608">
      <c r="A1608" s="58"/>
      <c r="B1608" s="341"/>
      <c r="C1608" s="60"/>
      <c r="D1608" s="60"/>
      <c r="E1608" s="58"/>
      <c r="F1608" s="58"/>
      <c r="G1608" s="58"/>
      <c r="H1608" s="33" t="str">
        <f t="shared" si="33"/>
        <v/>
      </c>
      <c r="I1608" s="58"/>
      <c r="J1608" s="58"/>
      <c r="K1608" s="58"/>
      <c r="L1608" s="58"/>
      <c r="M1608" s="80"/>
      <c r="N1608" s="77"/>
      <c r="O1608" s="58"/>
      <c r="P1608" s="62"/>
      <c r="Q1608" s="58"/>
      <c r="R1608" s="62"/>
      <c r="S1608" s="37" t="str">
        <f>IFERROR(__xludf.DUMMYFUNCTION("if(not(iserror(index(split(C1608, "" ""),2))), index(split(C1608, "" ""),1),"""")"),"")</f>
        <v/>
      </c>
      <c r="T1608" s="315" t="str">
        <f>IFERROR(__xludf.DUMMYFUNCTION("if(S1608="""",C1608,if(not(iserror(index(split(C1608, "" ""),3))), index(split(C1608, "" ""),3),index(split(C1608, "" ""),2)))"),"")</f>
        <v/>
      </c>
      <c r="U1608" s="38" t="b">
        <f t="shared" si="34"/>
        <v>0</v>
      </c>
      <c r="V1608" s="38"/>
      <c r="W1608" s="40"/>
      <c r="X1608" s="40"/>
      <c r="Y1608" s="38"/>
      <c r="Z1608" s="38"/>
      <c r="AA1608" s="38"/>
      <c r="AB1608" s="38"/>
      <c r="AC1608" s="38"/>
      <c r="AD1608" s="38"/>
      <c r="AE1608" s="38"/>
      <c r="AF1608" s="38"/>
      <c r="AG1608" s="38"/>
      <c r="AH1608" s="38"/>
      <c r="AI1608" s="38"/>
      <c r="AJ1608" s="38"/>
      <c r="AK1608" s="38"/>
      <c r="AL1608" s="38"/>
      <c r="AM1608" s="38"/>
      <c r="AN1608" s="38"/>
      <c r="AO1608" s="38"/>
      <c r="AP1608" s="38"/>
      <c r="AQ1608" s="38"/>
      <c r="AR1608" s="38"/>
      <c r="AS1608" s="38"/>
      <c r="AT1608" s="38"/>
      <c r="AU1608" s="38"/>
      <c r="AV1608" s="38"/>
      <c r="AW1608" s="38"/>
      <c r="AX1608" s="38"/>
      <c r="AY1608" s="38"/>
      <c r="AZ1608" s="38"/>
      <c r="BA1608" s="38"/>
      <c r="BB1608" s="38"/>
      <c r="BC1608" s="38"/>
      <c r="BD1608" s="38"/>
      <c r="BE1608" s="38"/>
      <c r="BF1608" s="38"/>
      <c r="BG1608" s="38"/>
      <c r="BH1608" s="38"/>
      <c r="BI1608" s="38"/>
      <c r="BJ1608" s="38"/>
      <c r="BK1608" s="38"/>
      <c r="BL1608" s="38"/>
      <c r="BM1608" s="38"/>
      <c r="BN1608" s="38"/>
      <c r="BO1608" s="38"/>
      <c r="BP1608" s="38"/>
      <c r="BQ1608" s="38"/>
    </row>
    <row r="1609">
      <c r="A1609" s="58"/>
      <c r="B1609" s="341"/>
      <c r="C1609" s="60"/>
      <c r="D1609" s="60"/>
      <c r="E1609" s="58"/>
      <c r="F1609" s="58"/>
      <c r="G1609" s="58"/>
      <c r="H1609" s="33" t="str">
        <f t="shared" si="33"/>
        <v/>
      </c>
      <c r="I1609" s="58"/>
      <c r="J1609" s="58"/>
      <c r="K1609" s="58"/>
      <c r="L1609" s="58"/>
      <c r="M1609" s="80"/>
      <c r="N1609" s="77"/>
      <c r="O1609" s="58"/>
      <c r="P1609" s="58"/>
      <c r="Q1609" s="84"/>
      <c r="R1609" s="62"/>
      <c r="S1609" s="37" t="str">
        <f>IFERROR(__xludf.DUMMYFUNCTION("if(not(iserror(index(split(C1609, "" ""),2))), index(split(C1609, "" ""),1),"""")"),"")</f>
        <v/>
      </c>
      <c r="T1609" s="315" t="str">
        <f>IFERROR(__xludf.DUMMYFUNCTION("if(S1609="""",C1609,if(not(iserror(index(split(C1609, "" ""),3))), index(split(C1609, "" ""),3),index(split(C1609, "" ""),2)))"),"")</f>
        <v/>
      </c>
      <c r="U1609" s="38" t="b">
        <f t="shared" si="34"/>
        <v>0</v>
      </c>
      <c r="V1609" s="38"/>
      <c r="W1609" s="40"/>
      <c r="X1609" s="40"/>
      <c r="Y1609" s="38"/>
      <c r="Z1609" s="38"/>
      <c r="AA1609" s="38"/>
      <c r="AB1609" s="38"/>
      <c r="AC1609" s="38"/>
      <c r="AD1609" s="38"/>
      <c r="AE1609" s="38"/>
      <c r="AF1609" s="38"/>
      <c r="AG1609" s="38"/>
      <c r="AH1609" s="38"/>
      <c r="AI1609" s="38"/>
      <c r="AJ1609" s="38"/>
      <c r="AK1609" s="38"/>
      <c r="AL1609" s="38"/>
      <c r="AM1609" s="38"/>
      <c r="AN1609" s="38"/>
      <c r="AO1609" s="38"/>
      <c r="AP1609" s="38"/>
      <c r="AQ1609" s="38"/>
      <c r="AR1609" s="38"/>
      <c r="AS1609" s="38"/>
      <c r="AT1609" s="38"/>
      <c r="AU1609" s="38"/>
      <c r="AV1609" s="38"/>
      <c r="AW1609" s="38"/>
      <c r="AX1609" s="38"/>
      <c r="AY1609" s="38"/>
      <c r="AZ1609" s="38"/>
      <c r="BA1609" s="38"/>
      <c r="BB1609" s="38"/>
      <c r="BC1609" s="38"/>
      <c r="BD1609" s="38"/>
      <c r="BE1609" s="38"/>
      <c r="BF1609" s="38"/>
      <c r="BG1609" s="38"/>
      <c r="BH1609" s="38"/>
      <c r="BI1609" s="38"/>
      <c r="BJ1609" s="38"/>
      <c r="BK1609" s="38"/>
      <c r="BL1609" s="38"/>
      <c r="BM1609" s="38"/>
      <c r="BN1609" s="38"/>
      <c r="BO1609" s="38"/>
      <c r="BP1609" s="38"/>
      <c r="BQ1609" s="38"/>
    </row>
    <row r="1610">
      <c r="A1610" s="91"/>
      <c r="B1610" s="383"/>
      <c r="C1610" s="146"/>
      <c r="D1610" s="146"/>
      <c r="E1610" s="91"/>
      <c r="F1610" s="91"/>
      <c r="G1610" s="91"/>
      <c r="H1610" s="33" t="str">
        <f t="shared" si="33"/>
        <v/>
      </c>
      <c r="I1610" s="91"/>
      <c r="J1610" s="91"/>
      <c r="K1610" s="91"/>
      <c r="L1610" s="91"/>
      <c r="M1610" s="95"/>
      <c r="N1610" s="15"/>
      <c r="O1610" s="58"/>
      <c r="P1610" s="58"/>
      <c r="Q1610" s="84"/>
      <c r="R1610" s="62"/>
      <c r="S1610" s="37" t="str">
        <f>IFERROR(__xludf.DUMMYFUNCTION("if(not(iserror(index(split(C1610, "" ""),2))), index(split(C1610, "" ""),1),"""")"),"")</f>
        <v/>
      </c>
      <c r="T1610" s="315" t="str">
        <f>IFERROR(__xludf.DUMMYFUNCTION("if(S1610="""",C1610,if(not(iserror(index(split(C1610, "" ""),3))), index(split(C1610, "" ""),3),index(split(C1610, "" ""),2)))"),"")</f>
        <v/>
      </c>
      <c r="U1610" s="38" t="b">
        <f t="shared" si="34"/>
        <v>0</v>
      </c>
      <c r="V1610" s="38"/>
      <c r="W1610" s="40"/>
      <c r="X1610" s="40"/>
      <c r="Y1610" s="38"/>
      <c r="Z1610" s="38"/>
      <c r="AA1610" s="38"/>
      <c r="AB1610" s="38"/>
      <c r="AC1610" s="38"/>
      <c r="AD1610" s="38"/>
      <c r="AE1610" s="38"/>
      <c r="AF1610" s="38"/>
      <c r="AG1610" s="38"/>
      <c r="AH1610" s="38"/>
      <c r="AI1610" s="38"/>
      <c r="AJ1610" s="38"/>
      <c r="AK1610" s="38"/>
      <c r="AL1610" s="38"/>
      <c r="AM1610" s="38"/>
      <c r="AN1610" s="38"/>
      <c r="AO1610" s="38"/>
      <c r="AP1610" s="38"/>
      <c r="AQ1610" s="38"/>
      <c r="AR1610" s="38"/>
      <c r="AS1610" s="38"/>
      <c r="AT1610" s="38"/>
      <c r="AU1610" s="38"/>
      <c r="AV1610" s="38"/>
      <c r="AW1610" s="38"/>
      <c r="AX1610" s="38"/>
      <c r="AY1610" s="38"/>
      <c r="AZ1610" s="38"/>
      <c r="BA1610" s="38"/>
      <c r="BB1610" s="38"/>
      <c r="BC1610" s="38"/>
      <c r="BD1610" s="38"/>
      <c r="BE1610" s="38"/>
      <c r="BF1610" s="38"/>
      <c r="BG1610" s="38"/>
      <c r="BH1610" s="38"/>
      <c r="BI1610" s="38"/>
      <c r="BJ1610" s="38"/>
      <c r="BK1610" s="38"/>
      <c r="BL1610" s="38"/>
      <c r="BM1610" s="38"/>
      <c r="BN1610" s="38"/>
      <c r="BO1610" s="38"/>
      <c r="BP1610" s="38"/>
      <c r="BQ1610" s="38"/>
    </row>
    <row r="1611">
      <c r="A1611" s="58"/>
      <c r="B1611" s="341"/>
      <c r="C1611" s="60"/>
      <c r="D1611" s="60"/>
      <c r="E1611" s="58"/>
      <c r="F1611" s="58"/>
      <c r="G1611" s="58"/>
      <c r="H1611" s="33" t="str">
        <f t="shared" si="33"/>
        <v/>
      </c>
      <c r="I1611" s="58"/>
      <c r="J1611" s="58"/>
      <c r="K1611" s="58"/>
      <c r="L1611" s="58"/>
      <c r="M1611" s="80"/>
      <c r="N1611" s="77"/>
      <c r="O1611" s="62"/>
      <c r="P1611" s="62"/>
      <c r="Q1611" s="84"/>
      <c r="R1611" s="62"/>
      <c r="S1611" s="37" t="str">
        <f>IFERROR(__xludf.DUMMYFUNCTION("if(not(iserror(index(split(C1611, "" ""),2))), index(split(C1611, "" ""),1),"""")"),"")</f>
        <v/>
      </c>
      <c r="T1611" s="315" t="str">
        <f>IFERROR(__xludf.DUMMYFUNCTION("if(S1611="""",C1611,if(not(iserror(index(split(C1611, "" ""),3))), index(split(C1611, "" ""),3),index(split(C1611, "" ""),2)))"),"")</f>
        <v/>
      </c>
      <c r="U1611" s="38" t="b">
        <f t="shared" si="34"/>
        <v>0</v>
      </c>
      <c r="V1611" s="38"/>
      <c r="W1611" s="40"/>
      <c r="X1611" s="40"/>
      <c r="Y1611" s="38"/>
      <c r="Z1611" s="38"/>
      <c r="AA1611" s="38"/>
      <c r="AB1611" s="38"/>
      <c r="AC1611" s="38"/>
      <c r="AD1611" s="38"/>
      <c r="AE1611" s="38"/>
      <c r="AF1611" s="38"/>
      <c r="AG1611" s="38"/>
      <c r="AH1611" s="38"/>
      <c r="AI1611" s="38"/>
      <c r="AJ1611" s="38"/>
      <c r="AK1611" s="38"/>
      <c r="AL1611" s="38"/>
      <c r="AM1611" s="38"/>
      <c r="AN1611" s="38"/>
      <c r="AO1611" s="38"/>
      <c r="AP1611" s="38"/>
      <c r="AQ1611" s="38"/>
      <c r="AR1611" s="38"/>
      <c r="AS1611" s="38"/>
      <c r="AT1611" s="38"/>
      <c r="AU1611" s="38"/>
      <c r="AV1611" s="38"/>
      <c r="AW1611" s="38"/>
      <c r="AX1611" s="38"/>
      <c r="AY1611" s="38"/>
      <c r="AZ1611" s="38"/>
      <c r="BA1611" s="38"/>
      <c r="BB1611" s="38"/>
      <c r="BC1611" s="38"/>
      <c r="BD1611" s="38"/>
      <c r="BE1611" s="38"/>
      <c r="BF1611" s="38"/>
      <c r="BG1611" s="38"/>
      <c r="BH1611" s="38"/>
      <c r="BI1611" s="38"/>
      <c r="BJ1611" s="38"/>
      <c r="BK1611" s="38"/>
      <c r="BL1611" s="38"/>
      <c r="BM1611" s="38"/>
      <c r="BN1611" s="38"/>
      <c r="BO1611" s="38"/>
      <c r="BP1611" s="38"/>
      <c r="BQ1611" s="38"/>
    </row>
    <row r="1612">
      <c r="A1612" s="58"/>
      <c r="B1612" s="341"/>
      <c r="C1612" s="60"/>
      <c r="D1612" s="60"/>
      <c r="E1612" s="58"/>
      <c r="F1612" s="58"/>
      <c r="G1612" s="58"/>
      <c r="H1612" s="33" t="str">
        <f t="shared" si="33"/>
        <v/>
      </c>
      <c r="I1612" s="58"/>
      <c r="J1612" s="58"/>
      <c r="K1612" s="58"/>
      <c r="L1612" s="58"/>
      <c r="M1612" s="80"/>
      <c r="N1612" s="77"/>
      <c r="O1612" s="62"/>
      <c r="P1612" s="58"/>
      <c r="Q1612" s="84"/>
      <c r="R1612" s="62"/>
      <c r="S1612" s="37" t="str">
        <f>IFERROR(__xludf.DUMMYFUNCTION("if(not(iserror(index(split(C1612, "" ""),2))), index(split(C1612, "" ""),1),"""")"),"")</f>
        <v/>
      </c>
      <c r="T1612" s="315" t="str">
        <f>IFERROR(__xludf.DUMMYFUNCTION("if(S1612="""",C1612,if(not(iserror(index(split(C1612, "" ""),3))), index(split(C1612, "" ""),3),index(split(C1612, "" ""),2)))"),"")</f>
        <v/>
      </c>
      <c r="U1612" s="38" t="b">
        <f t="shared" si="34"/>
        <v>0</v>
      </c>
      <c r="V1612" s="38"/>
      <c r="W1612" s="40"/>
      <c r="X1612" s="40"/>
      <c r="Y1612" s="38"/>
      <c r="Z1612" s="38"/>
      <c r="AA1612" s="38"/>
      <c r="AB1612" s="38"/>
      <c r="AC1612" s="38"/>
      <c r="AD1612" s="38"/>
      <c r="AE1612" s="38"/>
      <c r="AF1612" s="38"/>
      <c r="AG1612" s="38"/>
      <c r="AH1612" s="38"/>
      <c r="AI1612" s="38"/>
      <c r="AJ1612" s="38"/>
      <c r="AK1612" s="38"/>
      <c r="AL1612" s="38"/>
      <c r="AM1612" s="38"/>
      <c r="AN1612" s="38"/>
      <c r="AO1612" s="38"/>
      <c r="AP1612" s="38"/>
      <c r="AQ1612" s="38"/>
      <c r="AR1612" s="38"/>
      <c r="AS1612" s="38"/>
      <c r="AT1612" s="38"/>
      <c r="AU1612" s="38"/>
      <c r="AV1612" s="38"/>
      <c r="AW1612" s="38"/>
      <c r="AX1612" s="38"/>
      <c r="AY1612" s="38"/>
      <c r="AZ1612" s="38"/>
      <c r="BA1612" s="38"/>
      <c r="BB1612" s="38"/>
      <c r="BC1612" s="38"/>
      <c r="BD1612" s="38"/>
      <c r="BE1612" s="38"/>
      <c r="BF1612" s="38"/>
      <c r="BG1612" s="38"/>
      <c r="BH1612" s="38"/>
      <c r="BI1612" s="38"/>
      <c r="BJ1612" s="38"/>
      <c r="BK1612" s="38"/>
      <c r="BL1612" s="38"/>
      <c r="BM1612" s="38"/>
      <c r="BN1612" s="38"/>
      <c r="BO1612" s="38"/>
      <c r="BP1612" s="38"/>
      <c r="BQ1612" s="38"/>
    </row>
    <row r="1613">
      <c r="A1613" s="58"/>
      <c r="B1613" s="341"/>
      <c r="C1613" s="60"/>
      <c r="D1613" s="60"/>
      <c r="E1613" s="58"/>
      <c r="F1613" s="58"/>
      <c r="G1613" s="58"/>
      <c r="H1613" s="33" t="str">
        <f t="shared" si="33"/>
        <v/>
      </c>
      <c r="I1613" s="58"/>
      <c r="J1613" s="58"/>
      <c r="K1613" s="58"/>
      <c r="L1613" s="58"/>
      <c r="M1613" s="80"/>
      <c r="N1613" s="77"/>
      <c r="O1613" s="62"/>
      <c r="P1613" s="62"/>
      <c r="Q1613" s="62"/>
      <c r="R1613" s="62"/>
      <c r="S1613" s="37" t="str">
        <f>IFERROR(__xludf.DUMMYFUNCTION("if(not(iserror(index(split(C1613, "" ""),2))), index(split(C1613, "" ""),1),"""")"),"")</f>
        <v/>
      </c>
      <c r="T1613" s="315" t="str">
        <f>IFERROR(__xludf.DUMMYFUNCTION("if(S1613="""",C1613,if(not(iserror(index(split(C1613, "" ""),3))), index(split(C1613, "" ""),3),index(split(C1613, "" ""),2)))"),"")</f>
        <v/>
      </c>
      <c r="U1613" s="38" t="b">
        <f t="shared" si="34"/>
        <v>0</v>
      </c>
      <c r="V1613" s="38"/>
      <c r="W1613" s="40"/>
      <c r="X1613" s="40"/>
      <c r="Y1613" s="38"/>
      <c r="Z1613" s="38"/>
      <c r="AA1613" s="38"/>
      <c r="AB1613" s="38"/>
      <c r="AC1613" s="38"/>
      <c r="AD1613" s="38"/>
      <c r="AE1613" s="38"/>
      <c r="AF1613" s="38"/>
      <c r="AG1613" s="38"/>
      <c r="AH1613" s="38"/>
      <c r="AI1613" s="38"/>
      <c r="AJ1613" s="38"/>
      <c r="AK1613" s="38"/>
      <c r="AL1613" s="38"/>
      <c r="AM1613" s="38"/>
      <c r="AN1613" s="38"/>
      <c r="AO1613" s="38"/>
      <c r="AP1613" s="38"/>
      <c r="AQ1613" s="38"/>
      <c r="AR1613" s="38"/>
      <c r="AS1613" s="38"/>
      <c r="AT1613" s="38"/>
      <c r="AU1613" s="38"/>
      <c r="AV1613" s="38"/>
      <c r="AW1613" s="38"/>
      <c r="AX1613" s="38"/>
      <c r="AY1613" s="38"/>
      <c r="AZ1613" s="38"/>
      <c r="BA1613" s="38"/>
      <c r="BB1613" s="38"/>
      <c r="BC1613" s="38"/>
      <c r="BD1613" s="38"/>
      <c r="BE1613" s="38"/>
      <c r="BF1613" s="38"/>
      <c r="BG1613" s="38"/>
      <c r="BH1613" s="38"/>
      <c r="BI1613" s="38"/>
      <c r="BJ1613" s="38"/>
      <c r="BK1613" s="38"/>
      <c r="BL1613" s="38"/>
      <c r="BM1613" s="38"/>
      <c r="BN1613" s="38"/>
      <c r="BO1613" s="38"/>
      <c r="BP1613" s="38"/>
      <c r="BQ1613" s="38"/>
    </row>
    <row r="1614">
      <c r="A1614" s="58"/>
      <c r="B1614" s="341"/>
      <c r="C1614" s="60"/>
      <c r="D1614" s="60"/>
      <c r="E1614" s="58"/>
      <c r="F1614" s="58"/>
      <c r="G1614" s="58"/>
      <c r="H1614" s="33" t="str">
        <f t="shared" si="33"/>
        <v/>
      </c>
      <c r="I1614" s="58"/>
      <c r="J1614" s="58"/>
      <c r="K1614" s="58"/>
      <c r="L1614" s="58"/>
      <c r="M1614" s="80"/>
      <c r="N1614" s="77"/>
      <c r="O1614" s="62"/>
      <c r="P1614" s="62"/>
      <c r="Q1614" s="62"/>
      <c r="R1614" s="62"/>
      <c r="S1614" s="37" t="str">
        <f>IFERROR(__xludf.DUMMYFUNCTION("if(not(iserror(index(split(C1614, "" ""),2))), index(split(C1614, "" ""),1),"""")"),"")</f>
        <v/>
      </c>
      <c r="T1614" s="315" t="str">
        <f>IFERROR(__xludf.DUMMYFUNCTION("if(S1614="""",C1614,if(not(iserror(index(split(C1614, "" ""),3))), index(split(C1614, "" ""),3),index(split(C1614, "" ""),2)))"),"")</f>
        <v/>
      </c>
      <c r="U1614" s="38" t="b">
        <f t="shared" si="34"/>
        <v>0</v>
      </c>
      <c r="V1614" s="38"/>
      <c r="W1614" s="40"/>
      <c r="X1614" s="40"/>
      <c r="Y1614" s="38"/>
      <c r="Z1614" s="38"/>
      <c r="AA1614" s="38"/>
      <c r="AB1614" s="38"/>
      <c r="AC1614" s="38"/>
      <c r="AD1614" s="38"/>
      <c r="AE1614" s="38"/>
      <c r="AF1614" s="38"/>
      <c r="AG1614" s="38"/>
      <c r="AH1614" s="38"/>
      <c r="AI1614" s="38"/>
      <c r="AJ1614" s="38"/>
      <c r="AK1614" s="38"/>
      <c r="AL1614" s="38"/>
      <c r="AM1614" s="38"/>
      <c r="AN1614" s="38"/>
      <c r="AO1614" s="38"/>
      <c r="AP1614" s="38"/>
      <c r="AQ1614" s="38"/>
      <c r="AR1614" s="38"/>
      <c r="AS1614" s="38"/>
      <c r="AT1614" s="38"/>
      <c r="AU1614" s="38"/>
      <c r="AV1614" s="38"/>
      <c r="AW1614" s="38"/>
      <c r="AX1614" s="38"/>
      <c r="AY1614" s="38"/>
      <c r="AZ1614" s="38"/>
      <c r="BA1614" s="38"/>
      <c r="BB1614" s="38"/>
      <c r="BC1614" s="38"/>
      <c r="BD1614" s="38"/>
      <c r="BE1614" s="38"/>
      <c r="BF1614" s="38"/>
      <c r="BG1614" s="38"/>
      <c r="BH1614" s="38"/>
      <c r="BI1614" s="38"/>
      <c r="BJ1614" s="38"/>
      <c r="BK1614" s="38"/>
      <c r="BL1614" s="38"/>
      <c r="BM1614" s="38"/>
      <c r="BN1614" s="38"/>
      <c r="BO1614" s="38"/>
      <c r="BP1614" s="38"/>
      <c r="BQ1614" s="38"/>
    </row>
    <row r="1615">
      <c r="B1615" s="341"/>
      <c r="C1615" s="60"/>
      <c r="D1615" s="60"/>
      <c r="E1615" s="58"/>
      <c r="F1615" s="58"/>
      <c r="G1615" s="58"/>
      <c r="H1615" s="33" t="str">
        <f t="shared" si="33"/>
        <v/>
      </c>
      <c r="I1615" s="58"/>
      <c r="J1615" s="58"/>
      <c r="K1615" s="58"/>
      <c r="L1615" s="58"/>
      <c r="M1615" s="80"/>
      <c r="N1615" s="77"/>
      <c r="O1615" s="62"/>
      <c r="P1615" s="62"/>
      <c r="Q1615" s="62"/>
      <c r="R1615" s="62"/>
      <c r="S1615" s="37" t="str">
        <f>IFERROR(__xludf.DUMMYFUNCTION("if(not(iserror(index(split(C1615, "" ""),2))), index(split(C1615, "" ""),1),"""")"),"")</f>
        <v/>
      </c>
      <c r="T1615" s="315" t="str">
        <f>IFERROR(__xludf.DUMMYFUNCTION("if(S1615="""",C1615,if(not(iserror(index(split(C1615, "" ""),3))), index(split(C1615, "" ""),3),index(split(C1615, "" ""),2)))"),"")</f>
        <v/>
      </c>
      <c r="U1615" s="38" t="b">
        <f t="shared" si="34"/>
        <v>0</v>
      </c>
      <c r="V1615" s="38"/>
      <c r="W1615" s="40"/>
      <c r="X1615" s="40"/>
      <c r="Y1615" s="38"/>
      <c r="Z1615" s="38"/>
      <c r="AA1615" s="38"/>
      <c r="AB1615" s="38"/>
      <c r="AC1615" s="38"/>
      <c r="AD1615" s="38"/>
      <c r="AE1615" s="38"/>
      <c r="AF1615" s="38"/>
      <c r="AG1615" s="38"/>
      <c r="AH1615" s="38"/>
      <c r="AI1615" s="38"/>
      <c r="AJ1615" s="38"/>
      <c r="AK1615" s="38"/>
      <c r="AL1615" s="38"/>
      <c r="AM1615" s="38"/>
      <c r="AN1615" s="38"/>
      <c r="AO1615" s="38"/>
      <c r="AP1615" s="38"/>
      <c r="AQ1615" s="38"/>
      <c r="AR1615" s="38"/>
      <c r="AS1615" s="38"/>
      <c r="AT1615" s="38"/>
      <c r="AU1615" s="38"/>
      <c r="AV1615" s="38"/>
      <c r="AW1615" s="38"/>
      <c r="AX1615" s="38"/>
      <c r="AY1615" s="38"/>
      <c r="AZ1615" s="38"/>
      <c r="BA1615" s="38"/>
      <c r="BB1615" s="38"/>
      <c r="BC1615" s="38"/>
      <c r="BD1615" s="38"/>
      <c r="BE1615" s="38"/>
      <c r="BF1615" s="38"/>
      <c r="BG1615" s="38"/>
      <c r="BH1615" s="38"/>
      <c r="BI1615" s="38"/>
      <c r="BJ1615" s="38"/>
      <c r="BK1615" s="38"/>
      <c r="BL1615" s="38"/>
      <c r="BM1615" s="38"/>
      <c r="BN1615" s="38"/>
      <c r="BO1615" s="38"/>
      <c r="BP1615" s="38"/>
      <c r="BQ1615" s="38"/>
    </row>
    <row r="1616">
      <c r="B1616" s="341"/>
      <c r="C1616" s="60"/>
      <c r="D1616" s="60"/>
      <c r="E1616" s="58"/>
      <c r="F1616" s="58"/>
      <c r="G1616" s="58"/>
      <c r="H1616" s="33" t="str">
        <f t="shared" si="33"/>
        <v/>
      </c>
      <c r="I1616" s="58"/>
      <c r="J1616" s="58"/>
      <c r="K1616" s="58"/>
      <c r="L1616" s="58"/>
      <c r="M1616" s="80"/>
      <c r="N1616" s="77"/>
      <c r="O1616" s="62"/>
      <c r="P1616" s="62"/>
      <c r="Q1616" s="62"/>
      <c r="R1616" s="62"/>
      <c r="S1616" s="37" t="str">
        <f>IFERROR(__xludf.DUMMYFUNCTION("if(not(iserror(index(split(C1616, "" ""),2))), index(split(C1616, "" ""),1),"""")"),"")</f>
        <v/>
      </c>
      <c r="T1616" s="315" t="str">
        <f>IFERROR(__xludf.DUMMYFUNCTION("if(S1616="""",C1616,if(not(iserror(index(split(C1616, "" ""),3))), index(split(C1616, "" ""),3),index(split(C1616, "" ""),2)))"),"")</f>
        <v/>
      </c>
      <c r="U1616" s="38" t="b">
        <f t="shared" si="34"/>
        <v>0</v>
      </c>
      <c r="V1616" s="38"/>
      <c r="W1616" s="40"/>
      <c r="X1616" s="40"/>
      <c r="Y1616" s="38"/>
      <c r="Z1616" s="38"/>
      <c r="AA1616" s="38"/>
      <c r="AB1616" s="38"/>
      <c r="AC1616" s="38"/>
      <c r="AD1616" s="38"/>
      <c r="AE1616" s="38"/>
      <c r="AF1616" s="38"/>
      <c r="AG1616" s="38"/>
      <c r="AH1616" s="38"/>
      <c r="AI1616" s="38"/>
      <c r="AJ1616" s="38"/>
      <c r="AK1616" s="38"/>
      <c r="AL1616" s="38"/>
      <c r="AM1616" s="38"/>
      <c r="AN1616" s="38"/>
      <c r="AO1616" s="38"/>
      <c r="AP1616" s="38"/>
      <c r="AQ1616" s="38"/>
      <c r="AR1616" s="38"/>
      <c r="AS1616" s="38"/>
      <c r="AT1616" s="38"/>
      <c r="AU1616" s="38"/>
      <c r="AV1616" s="38"/>
      <c r="AW1616" s="38"/>
      <c r="AX1616" s="38"/>
      <c r="AY1616" s="38"/>
      <c r="AZ1616" s="38"/>
      <c r="BA1616" s="38"/>
      <c r="BB1616" s="38"/>
      <c r="BC1616" s="38"/>
      <c r="BD1616" s="38"/>
      <c r="BE1616" s="38"/>
      <c r="BF1616" s="38"/>
      <c r="BG1616" s="38"/>
      <c r="BH1616" s="38"/>
      <c r="BI1616" s="38"/>
      <c r="BJ1616" s="38"/>
      <c r="BK1616" s="38"/>
      <c r="BL1616" s="38"/>
      <c r="BM1616" s="38"/>
      <c r="BN1616" s="38"/>
      <c r="BO1616" s="38"/>
      <c r="BP1616" s="38"/>
      <c r="BQ1616" s="38"/>
    </row>
    <row r="1617">
      <c r="B1617" s="341"/>
      <c r="C1617" s="60"/>
      <c r="D1617" s="60"/>
      <c r="E1617" s="58"/>
      <c r="F1617" s="58"/>
      <c r="G1617" s="58"/>
      <c r="H1617" s="33" t="str">
        <f t="shared" si="33"/>
        <v/>
      </c>
      <c r="I1617" s="58"/>
      <c r="J1617" s="58"/>
      <c r="K1617" s="58"/>
      <c r="L1617" s="58"/>
      <c r="M1617" s="80"/>
      <c r="N1617" s="77"/>
      <c r="O1617" s="58"/>
      <c r="P1617" s="58"/>
      <c r="Q1617" s="84"/>
      <c r="R1617" s="62"/>
      <c r="S1617" s="37" t="str">
        <f>IFERROR(__xludf.DUMMYFUNCTION("if(not(iserror(index(split(C1617, "" ""),2))), index(split(C1617, "" ""),1),"""")"),"")</f>
        <v/>
      </c>
      <c r="T1617" s="315" t="str">
        <f>IFERROR(__xludf.DUMMYFUNCTION("if(S1617="""",C1617,if(not(iserror(index(split(C1617, "" ""),3))), index(split(C1617, "" ""),3),index(split(C1617, "" ""),2)))"),"")</f>
        <v/>
      </c>
      <c r="U1617" s="38" t="b">
        <f t="shared" si="34"/>
        <v>0</v>
      </c>
      <c r="V1617" s="38"/>
      <c r="W1617" s="40"/>
      <c r="X1617" s="40"/>
      <c r="Y1617" s="38"/>
      <c r="Z1617" s="38"/>
      <c r="AA1617" s="38"/>
      <c r="AB1617" s="38"/>
      <c r="AC1617" s="38"/>
      <c r="AD1617" s="38"/>
      <c r="AE1617" s="38"/>
      <c r="AF1617" s="38"/>
      <c r="AG1617" s="38"/>
      <c r="AH1617" s="38"/>
      <c r="AI1617" s="38"/>
      <c r="AJ1617" s="38"/>
      <c r="AK1617" s="38"/>
      <c r="AL1617" s="38"/>
      <c r="AM1617" s="38"/>
      <c r="AN1617" s="38"/>
      <c r="AO1617" s="38"/>
      <c r="AP1617" s="38"/>
      <c r="AQ1617" s="38"/>
      <c r="AR1617" s="38"/>
      <c r="AS1617" s="38"/>
      <c r="AT1617" s="38"/>
      <c r="AU1617" s="38"/>
      <c r="AV1617" s="38"/>
      <c r="AW1617" s="38"/>
      <c r="AX1617" s="38"/>
      <c r="AY1617" s="38"/>
      <c r="AZ1617" s="38"/>
      <c r="BA1617" s="38"/>
      <c r="BB1617" s="38"/>
      <c r="BC1617" s="38"/>
      <c r="BD1617" s="38"/>
      <c r="BE1617" s="38"/>
      <c r="BF1617" s="38"/>
      <c r="BG1617" s="38"/>
      <c r="BH1617" s="38"/>
      <c r="BI1617" s="38"/>
      <c r="BJ1617" s="38"/>
      <c r="BK1617" s="38"/>
      <c r="BL1617" s="38"/>
      <c r="BM1617" s="38"/>
      <c r="BN1617" s="38"/>
      <c r="BO1617" s="38"/>
      <c r="BP1617" s="38"/>
      <c r="BQ1617" s="38"/>
    </row>
    <row r="1618">
      <c r="A1618" s="58"/>
      <c r="B1618" s="341"/>
      <c r="C1618" s="60"/>
      <c r="D1618" s="60"/>
      <c r="E1618" s="58"/>
      <c r="F1618" s="58"/>
      <c r="G1618" s="58"/>
      <c r="H1618" s="33" t="str">
        <f t="shared" si="33"/>
        <v/>
      </c>
      <c r="I1618" s="58"/>
      <c r="J1618" s="58"/>
      <c r="K1618" s="58"/>
      <c r="L1618" s="58"/>
      <c r="M1618" s="80"/>
      <c r="N1618" s="77"/>
      <c r="O1618" s="58"/>
      <c r="P1618" s="58"/>
      <c r="Q1618" s="84"/>
      <c r="R1618" s="62"/>
      <c r="S1618" s="37" t="str">
        <f>IFERROR(__xludf.DUMMYFUNCTION("if(not(iserror(index(split(C1618, "" ""),2))), index(split(C1618, "" ""),1),"""")"),"")</f>
        <v/>
      </c>
      <c r="T1618" s="315" t="str">
        <f>IFERROR(__xludf.DUMMYFUNCTION("if(S1618="""",C1618,if(not(iserror(index(split(C1618, "" ""),3))), index(split(C1618, "" ""),3),index(split(C1618, "" ""),2)))"),"")</f>
        <v/>
      </c>
      <c r="U1618" s="38" t="b">
        <f t="shared" si="34"/>
        <v>0</v>
      </c>
      <c r="V1618" s="38"/>
      <c r="W1618" s="40"/>
      <c r="X1618" s="40"/>
      <c r="Y1618" s="38"/>
      <c r="Z1618" s="38"/>
      <c r="AA1618" s="38"/>
      <c r="AB1618" s="38"/>
      <c r="AC1618" s="38"/>
      <c r="AD1618" s="38"/>
      <c r="AE1618" s="38"/>
      <c r="AF1618" s="38"/>
      <c r="AG1618" s="38"/>
      <c r="AH1618" s="38"/>
      <c r="AI1618" s="38"/>
      <c r="AJ1618" s="38"/>
      <c r="AK1618" s="38"/>
      <c r="AL1618" s="38"/>
      <c r="AM1618" s="38"/>
      <c r="AN1618" s="38"/>
      <c r="AO1618" s="38"/>
      <c r="AP1618" s="38"/>
      <c r="AQ1618" s="38"/>
      <c r="AR1618" s="38"/>
      <c r="AS1618" s="38"/>
      <c r="AT1618" s="38"/>
      <c r="AU1618" s="38"/>
      <c r="AV1618" s="38"/>
      <c r="AW1618" s="38"/>
      <c r="AX1618" s="38"/>
      <c r="AY1618" s="38"/>
      <c r="AZ1618" s="38"/>
      <c r="BA1618" s="38"/>
      <c r="BB1618" s="38"/>
      <c r="BC1618" s="38"/>
      <c r="BD1618" s="38"/>
      <c r="BE1618" s="38"/>
      <c r="BF1618" s="38"/>
      <c r="BG1618" s="38"/>
      <c r="BH1618" s="38"/>
      <c r="BI1618" s="38"/>
      <c r="BJ1618" s="38"/>
      <c r="BK1618" s="38"/>
      <c r="BL1618" s="38"/>
      <c r="BM1618" s="38"/>
      <c r="BN1618" s="38"/>
      <c r="BO1618" s="38"/>
      <c r="BP1618" s="38"/>
      <c r="BQ1618" s="38"/>
    </row>
    <row r="1619">
      <c r="A1619" s="58"/>
      <c r="B1619" s="341"/>
      <c r="C1619" s="60"/>
      <c r="D1619" s="60"/>
      <c r="E1619" s="58"/>
      <c r="F1619" s="58"/>
      <c r="G1619" s="58"/>
      <c r="H1619" s="33" t="str">
        <f t="shared" si="33"/>
        <v/>
      </c>
      <c r="I1619" s="58"/>
      <c r="J1619" s="58"/>
      <c r="K1619" s="58"/>
      <c r="L1619" s="58"/>
      <c r="M1619" s="80"/>
      <c r="N1619" s="77"/>
      <c r="O1619" s="62"/>
      <c r="P1619" s="62"/>
      <c r="Q1619" s="62"/>
      <c r="R1619" s="62"/>
      <c r="S1619" s="37" t="str">
        <f>IFERROR(__xludf.DUMMYFUNCTION("if(not(iserror(index(split(C1619, "" ""),2))), index(split(C1619, "" ""),1),"""")"),"")</f>
        <v/>
      </c>
      <c r="T1619" s="315" t="str">
        <f>IFERROR(__xludf.DUMMYFUNCTION("if(S1619="""",C1619,if(not(iserror(index(split(C1619, "" ""),3))), index(split(C1619, "" ""),3),index(split(C1619, "" ""),2)))"),"")</f>
        <v/>
      </c>
      <c r="U1619" s="38" t="b">
        <f t="shared" si="34"/>
        <v>0</v>
      </c>
      <c r="V1619" s="38"/>
      <c r="W1619" s="40"/>
      <c r="X1619" s="40"/>
      <c r="Y1619" s="38"/>
      <c r="Z1619" s="38"/>
      <c r="AA1619" s="38"/>
      <c r="AB1619" s="38"/>
      <c r="AC1619" s="38"/>
      <c r="AD1619" s="38"/>
      <c r="AE1619" s="38"/>
      <c r="AF1619" s="38"/>
      <c r="AG1619" s="38"/>
      <c r="AH1619" s="38"/>
      <c r="AI1619" s="38"/>
      <c r="AJ1619" s="38"/>
      <c r="AK1619" s="38"/>
      <c r="AL1619" s="38"/>
      <c r="AM1619" s="38"/>
      <c r="AN1619" s="38"/>
      <c r="AO1619" s="38"/>
      <c r="AP1619" s="38"/>
      <c r="AQ1619" s="38"/>
      <c r="AR1619" s="38"/>
      <c r="AS1619" s="38"/>
      <c r="AT1619" s="38"/>
      <c r="AU1619" s="38"/>
      <c r="AV1619" s="38"/>
      <c r="AW1619" s="38"/>
      <c r="AX1619" s="38"/>
      <c r="AY1619" s="38"/>
      <c r="AZ1619" s="38"/>
      <c r="BA1619" s="38"/>
      <c r="BB1619" s="38"/>
      <c r="BC1619" s="38"/>
      <c r="BD1619" s="38"/>
      <c r="BE1619" s="38"/>
      <c r="BF1619" s="38"/>
      <c r="BG1619" s="38"/>
      <c r="BH1619" s="38"/>
      <c r="BI1619" s="38"/>
      <c r="BJ1619" s="38"/>
      <c r="BK1619" s="38"/>
      <c r="BL1619" s="38"/>
      <c r="BM1619" s="38"/>
      <c r="BN1619" s="38"/>
      <c r="BO1619" s="38"/>
      <c r="BP1619" s="38"/>
      <c r="BQ1619" s="38"/>
    </row>
    <row r="1620">
      <c r="A1620" s="58"/>
      <c r="B1620" s="341"/>
      <c r="C1620" s="60"/>
      <c r="D1620" s="60"/>
      <c r="E1620" s="58"/>
      <c r="F1620" s="58"/>
      <c r="G1620" s="58"/>
      <c r="H1620" s="33" t="str">
        <f t="shared" si="33"/>
        <v/>
      </c>
      <c r="I1620" s="58"/>
      <c r="J1620" s="58"/>
      <c r="K1620" s="58"/>
      <c r="L1620" s="58"/>
      <c r="M1620" s="80"/>
      <c r="N1620" s="77"/>
      <c r="O1620" s="62"/>
      <c r="P1620" s="62"/>
      <c r="Q1620" s="62"/>
      <c r="R1620" s="62"/>
      <c r="S1620" s="37" t="str">
        <f>IFERROR(__xludf.DUMMYFUNCTION("if(not(iserror(index(split(C1620, "" ""),2))), index(split(C1620, "" ""),1),"""")"),"")</f>
        <v/>
      </c>
      <c r="T1620" s="315" t="str">
        <f>IFERROR(__xludf.DUMMYFUNCTION("if(S1620="""",C1620,if(not(iserror(index(split(C1620, "" ""),3))), index(split(C1620, "" ""),3),index(split(C1620, "" ""),2)))"),"")</f>
        <v/>
      </c>
      <c r="U1620" s="38" t="b">
        <f t="shared" si="34"/>
        <v>0</v>
      </c>
      <c r="V1620" s="38"/>
      <c r="W1620" s="40"/>
      <c r="X1620" s="40"/>
      <c r="Y1620" s="38"/>
      <c r="Z1620" s="38"/>
      <c r="AA1620" s="38"/>
      <c r="AB1620" s="38"/>
      <c r="AC1620" s="38"/>
      <c r="AD1620" s="38"/>
      <c r="AE1620" s="38"/>
      <c r="AF1620" s="38"/>
      <c r="AG1620" s="38"/>
      <c r="AH1620" s="38"/>
      <c r="AI1620" s="38"/>
      <c r="AJ1620" s="38"/>
      <c r="AK1620" s="38"/>
      <c r="AL1620" s="38"/>
      <c r="AM1620" s="38"/>
      <c r="AN1620" s="38"/>
      <c r="AO1620" s="38"/>
      <c r="AP1620" s="38"/>
      <c r="AQ1620" s="38"/>
      <c r="AR1620" s="38"/>
      <c r="AS1620" s="38"/>
      <c r="AT1620" s="38"/>
      <c r="AU1620" s="38"/>
      <c r="AV1620" s="38"/>
      <c r="AW1620" s="38"/>
      <c r="AX1620" s="38"/>
      <c r="AY1620" s="38"/>
      <c r="AZ1620" s="38"/>
      <c r="BA1620" s="38"/>
      <c r="BB1620" s="38"/>
      <c r="BC1620" s="38"/>
      <c r="BD1620" s="38"/>
      <c r="BE1620" s="38"/>
      <c r="BF1620" s="38"/>
      <c r="BG1620" s="38"/>
      <c r="BH1620" s="38"/>
      <c r="BI1620" s="38"/>
      <c r="BJ1620" s="38"/>
      <c r="BK1620" s="38"/>
      <c r="BL1620" s="38"/>
      <c r="BM1620" s="38"/>
      <c r="BN1620" s="38"/>
      <c r="BO1620" s="38"/>
      <c r="BP1620" s="38"/>
      <c r="BQ1620" s="38"/>
    </row>
    <row r="1621">
      <c r="B1621" s="341"/>
      <c r="C1621" s="60"/>
      <c r="D1621" s="60"/>
      <c r="E1621" s="58"/>
      <c r="F1621" s="58"/>
      <c r="G1621" s="58"/>
      <c r="H1621" s="33" t="str">
        <f t="shared" si="33"/>
        <v/>
      </c>
      <c r="I1621" s="58"/>
      <c r="J1621" s="58"/>
      <c r="K1621" s="58"/>
      <c r="L1621" s="58"/>
      <c r="M1621" s="80"/>
      <c r="N1621" s="77"/>
      <c r="O1621" s="62"/>
      <c r="P1621" s="62"/>
      <c r="Q1621" s="62"/>
      <c r="R1621" s="62"/>
      <c r="S1621" s="37" t="str">
        <f>IFERROR(__xludf.DUMMYFUNCTION("if(not(iserror(index(split(C1621, "" ""),2))), index(split(C1621, "" ""),1),"""")"),"")</f>
        <v/>
      </c>
      <c r="T1621" s="315" t="str">
        <f>IFERROR(__xludf.DUMMYFUNCTION("if(S1621="""",C1621,if(not(iserror(index(split(C1621, "" ""),3))), index(split(C1621, "" ""),3),index(split(C1621, "" ""),2)))"),"")</f>
        <v/>
      </c>
      <c r="U1621" s="38" t="b">
        <f t="shared" si="34"/>
        <v>0</v>
      </c>
      <c r="V1621" s="38"/>
      <c r="W1621" s="40"/>
      <c r="X1621" s="40"/>
      <c r="Y1621" s="38"/>
      <c r="Z1621" s="38"/>
      <c r="AA1621" s="38"/>
      <c r="AB1621" s="38"/>
      <c r="AC1621" s="38"/>
      <c r="AD1621" s="38"/>
      <c r="AE1621" s="38"/>
      <c r="AF1621" s="38"/>
      <c r="AG1621" s="38"/>
      <c r="AH1621" s="38"/>
      <c r="AI1621" s="38"/>
      <c r="AJ1621" s="38"/>
      <c r="AK1621" s="38"/>
      <c r="AL1621" s="38"/>
      <c r="AM1621" s="38"/>
      <c r="AN1621" s="38"/>
      <c r="AO1621" s="38"/>
      <c r="AP1621" s="38"/>
      <c r="AQ1621" s="38"/>
      <c r="AR1621" s="38"/>
      <c r="AS1621" s="38"/>
      <c r="AT1621" s="38"/>
      <c r="AU1621" s="38"/>
      <c r="AV1621" s="38"/>
      <c r="AW1621" s="38"/>
      <c r="AX1621" s="38"/>
      <c r="AY1621" s="38"/>
      <c r="AZ1621" s="38"/>
      <c r="BA1621" s="38"/>
      <c r="BB1621" s="38"/>
      <c r="BC1621" s="38"/>
      <c r="BD1621" s="38"/>
      <c r="BE1621" s="38"/>
      <c r="BF1621" s="38"/>
      <c r="BG1621" s="38"/>
      <c r="BH1621" s="38"/>
      <c r="BI1621" s="38"/>
      <c r="BJ1621" s="38"/>
      <c r="BK1621" s="38"/>
      <c r="BL1621" s="38"/>
      <c r="BM1621" s="38"/>
      <c r="BN1621" s="38"/>
      <c r="BO1621" s="38"/>
      <c r="BP1621" s="38"/>
      <c r="BQ1621" s="38"/>
    </row>
    <row r="1622">
      <c r="B1622" s="341"/>
      <c r="C1622" s="60"/>
      <c r="D1622" s="60"/>
      <c r="E1622" s="58"/>
      <c r="F1622" s="58"/>
      <c r="G1622" s="58"/>
      <c r="H1622" s="33" t="str">
        <f t="shared" si="33"/>
        <v/>
      </c>
      <c r="I1622" s="58"/>
      <c r="J1622" s="58"/>
      <c r="K1622" s="58"/>
      <c r="L1622" s="58"/>
      <c r="M1622" s="80"/>
      <c r="N1622" s="77"/>
      <c r="O1622" s="62"/>
      <c r="P1622" s="62"/>
      <c r="Q1622" s="62"/>
      <c r="R1622" s="62"/>
      <c r="S1622" s="37" t="str">
        <f>IFERROR(__xludf.DUMMYFUNCTION("if(not(iserror(index(split(C1622, "" ""),2))), index(split(C1622, "" ""),1),"""")"),"")</f>
        <v/>
      </c>
      <c r="T1622" s="315" t="str">
        <f>IFERROR(__xludf.DUMMYFUNCTION("if(S1622="""",C1622,if(not(iserror(index(split(C1622, "" ""),3))), index(split(C1622, "" ""),3),index(split(C1622, "" ""),2)))"),"")</f>
        <v/>
      </c>
      <c r="U1622" s="38" t="b">
        <f t="shared" si="34"/>
        <v>0</v>
      </c>
      <c r="V1622" s="38"/>
      <c r="W1622" s="40"/>
      <c r="X1622" s="40"/>
      <c r="Y1622" s="38"/>
      <c r="Z1622" s="38"/>
      <c r="AA1622" s="38"/>
      <c r="AB1622" s="38"/>
      <c r="AC1622" s="38"/>
      <c r="AD1622" s="38"/>
      <c r="AE1622" s="38"/>
      <c r="AF1622" s="38"/>
      <c r="AG1622" s="38"/>
      <c r="AH1622" s="38"/>
      <c r="AI1622" s="38"/>
      <c r="AJ1622" s="38"/>
      <c r="AK1622" s="38"/>
      <c r="AL1622" s="38"/>
      <c r="AM1622" s="38"/>
      <c r="AN1622" s="38"/>
      <c r="AO1622" s="38"/>
      <c r="AP1622" s="38"/>
      <c r="AQ1622" s="38"/>
      <c r="AR1622" s="38"/>
      <c r="AS1622" s="38"/>
      <c r="AT1622" s="38"/>
      <c r="AU1622" s="38"/>
      <c r="AV1622" s="38"/>
      <c r="AW1622" s="38"/>
      <c r="AX1622" s="38"/>
      <c r="AY1622" s="38"/>
      <c r="AZ1622" s="38"/>
      <c r="BA1622" s="38"/>
      <c r="BB1622" s="38"/>
      <c r="BC1622" s="38"/>
      <c r="BD1622" s="38"/>
      <c r="BE1622" s="38"/>
      <c r="BF1622" s="38"/>
      <c r="BG1622" s="38"/>
      <c r="BH1622" s="38"/>
      <c r="BI1622" s="38"/>
      <c r="BJ1622" s="38"/>
      <c r="BK1622" s="38"/>
      <c r="BL1622" s="38"/>
      <c r="BM1622" s="38"/>
      <c r="BN1622" s="38"/>
      <c r="BO1622" s="38"/>
      <c r="BP1622" s="38"/>
      <c r="BQ1622" s="38"/>
    </row>
    <row r="1623">
      <c r="A1623" s="58"/>
      <c r="B1623" s="341"/>
      <c r="C1623" s="60"/>
      <c r="D1623" s="60"/>
      <c r="E1623" s="58"/>
      <c r="F1623" s="58"/>
      <c r="G1623" s="58"/>
      <c r="H1623" s="33" t="str">
        <f t="shared" si="33"/>
        <v/>
      </c>
      <c r="I1623" s="58"/>
      <c r="J1623" s="58"/>
      <c r="K1623" s="58"/>
      <c r="L1623" s="58"/>
      <c r="M1623" s="80"/>
      <c r="N1623" s="77"/>
      <c r="O1623" s="58"/>
      <c r="P1623" s="58"/>
      <c r="Q1623" s="84"/>
      <c r="R1623" s="62"/>
      <c r="S1623" s="37" t="str">
        <f>IFERROR(__xludf.DUMMYFUNCTION("if(not(iserror(index(split(C1623, "" ""),2))), index(split(C1623, "" ""),1),"""")"),"")</f>
        <v/>
      </c>
      <c r="T1623" s="315" t="str">
        <f>IFERROR(__xludf.DUMMYFUNCTION("if(S1623="""",C1623,if(not(iserror(index(split(C1623, "" ""),3))), index(split(C1623, "" ""),3),index(split(C1623, "" ""),2)))"),"")</f>
        <v/>
      </c>
      <c r="U1623" s="38" t="b">
        <f t="shared" si="34"/>
        <v>0</v>
      </c>
      <c r="V1623" s="38"/>
      <c r="W1623" s="40"/>
      <c r="X1623" s="40"/>
      <c r="Y1623" s="38"/>
      <c r="Z1623" s="38"/>
      <c r="AA1623" s="38"/>
      <c r="AB1623" s="38"/>
      <c r="AC1623" s="38"/>
      <c r="AD1623" s="38"/>
      <c r="AE1623" s="38"/>
      <c r="AF1623" s="38"/>
      <c r="AG1623" s="38"/>
      <c r="AH1623" s="38"/>
      <c r="AI1623" s="38"/>
      <c r="AJ1623" s="38"/>
      <c r="AK1623" s="38"/>
      <c r="AL1623" s="38"/>
      <c r="AM1623" s="38"/>
      <c r="AN1623" s="38"/>
      <c r="AO1623" s="38"/>
      <c r="AP1623" s="38"/>
      <c r="AQ1623" s="38"/>
      <c r="AR1623" s="38"/>
      <c r="AS1623" s="38"/>
      <c r="AT1623" s="38"/>
      <c r="AU1623" s="38"/>
      <c r="AV1623" s="38"/>
      <c r="AW1623" s="38"/>
      <c r="AX1623" s="38"/>
      <c r="AY1623" s="38"/>
      <c r="AZ1623" s="38"/>
      <c r="BA1623" s="38"/>
      <c r="BB1623" s="38"/>
      <c r="BC1623" s="38"/>
      <c r="BD1623" s="38"/>
      <c r="BE1623" s="38"/>
      <c r="BF1623" s="38"/>
      <c r="BG1623" s="38"/>
      <c r="BH1623" s="38"/>
      <c r="BI1623" s="38"/>
      <c r="BJ1623" s="38"/>
      <c r="BK1623" s="38"/>
      <c r="BL1623" s="38"/>
      <c r="BM1623" s="38"/>
      <c r="BN1623" s="38"/>
      <c r="BO1623" s="38"/>
      <c r="BP1623" s="38"/>
      <c r="BQ1623" s="38"/>
    </row>
    <row r="1624">
      <c r="A1624" s="58"/>
      <c r="B1624" s="341"/>
      <c r="C1624" s="60"/>
      <c r="D1624" s="60"/>
      <c r="E1624" s="58"/>
      <c r="F1624" s="58"/>
      <c r="G1624" s="58"/>
      <c r="H1624" s="33" t="str">
        <f t="shared" si="33"/>
        <v/>
      </c>
      <c r="I1624" s="58"/>
      <c r="J1624" s="58"/>
      <c r="K1624" s="58"/>
      <c r="L1624" s="58"/>
      <c r="M1624" s="80"/>
      <c r="N1624" s="77"/>
      <c r="O1624" s="58"/>
      <c r="P1624" s="58"/>
      <c r="Q1624" s="84"/>
      <c r="R1624" s="62"/>
      <c r="S1624" s="37" t="str">
        <f>IFERROR(__xludf.DUMMYFUNCTION("if(not(iserror(index(split(C1624, "" ""),2))), index(split(C1624, "" ""),1),"""")"),"")</f>
        <v/>
      </c>
      <c r="T1624" s="315" t="str">
        <f>IFERROR(__xludf.DUMMYFUNCTION("if(S1624="""",C1624,if(not(iserror(index(split(C1624, "" ""),3))), index(split(C1624, "" ""),3),index(split(C1624, "" ""),2)))"),"")</f>
        <v/>
      </c>
      <c r="U1624" s="38" t="b">
        <f t="shared" si="34"/>
        <v>0</v>
      </c>
      <c r="V1624" s="38"/>
      <c r="W1624" s="40"/>
      <c r="X1624" s="40"/>
      <c r="Y1624" s="38"/>
      <c r="Z1624" s="38"/>
      <c r="AA1624" s="38"/>
      <c r="AB1624" s="38"/>
      <c r="AC1624" s="38"/>
      <c r="AD1624" s="38"/>
      <c r="AE1624" s="38"/>
      <c r="AF1624" s="38"/>
      <c r="AG1624" s="38"/>
      <c r="AH1624" s="38"/>
      <c r="AI1624" s="38"/>
      <c r="AJ1624" s="38"/>
      <c r="AK1624" s="38"/>
      <c r="AL1624" s="38"/>
      <c r="AM1624" s="38"/>
      <c r="AN1624" s="38"/>
      <c r="AO1624" s="38"/>
      <c r="AP1624" s="38"/>
      <c r="AQ1624" s="38"/>
      <c r="AR1624" s="38"/>
      <c r="AS1624" s="38"/>
      <c r="AT1624" s="38"/>
      <c r="AU1624" s="38"/>
      <c r="AV1624" s="38"/>
      <c r="AW1624" s="38"/>
      <c r="AX1624" s="38"/>
      <c r="AY1624" s="38"/>
      <c r="AZ1624" s="38"/>
      <c r="BA1624" s="38"/>
      <c r="BB1624" s="38"/>
      <c r="BC1624" s="38"/>
      <c r="BD1624" s="38"/>
      <c r="BE1624" s="38"/>
      <c r="BF1624" s="38"/>
      <c r="BG1624" s="38"/>
      <c r="BH1624" s="38"/>
      <c r="BI1624" s="38"/>
      <c r="BJ1624" s="38"/>
      <c r="BK1624" s="38"/>
      <c r="BL1624" s="38"/>
      <c r="BM1624" s="38"/>
      <c r="BN1624" s="38"/>
      <c r="BO1624" s="38"/>
      <c r="BP1624" s="38"/>
      <c r="BQ1624" s="38"/>
    </row>
    <row r="1625">
      <c r="A1625" s="58"/>
      <c r="B1625" s="341"/>
      <c r="C1625" s="60"/>
      <c r="D1625" s="60"/>
      <c r="E1625" s="58"/>
      <c r="F1625" s="58"/>
      <c r="G1625" s="58"/>
      <c r="H1625" s="33" t="str">
        <f t="shared" si="33"/>
        <v/>
      </c>
      <c r="I1625" s="58"/>
      <c r="J1625" s="58"/>
      <c r="K1625" s="58"/>
      <c r="L1625" s="58"/>
      <c r="M1625" s="80"/>
      <c r="N1625" s="77"/>
      <c r="O1625" s="62"/>
      <c r="P1625" s="62"/>
      <c r="Q1625" s="84"/>
      <c r="R1625" s="62"/>
      <c r="S1625" s="37" t="str">
        <f>IFERROR(__xludf.DUMMYFUNCTION("if(not(iserror(index(split(C1625, "" ""),2))), index(split(C1625, "" ""),1),"""")"),"")</f>
        <v/>
      </c>
      <c r="T1625" s="315" t="str">
        <f>IFERROR(__xludf.DUMMYFUNCTION("if(S1625="""",C1625,if(not(iserror(index(split(C1625, "" ""),3))), index(split(C1625, "" ""),3),index(split(C1625, "" ""),2)))"),"")</f>
        <v/>
      </c>
      <c r="U1625" s="38" t="b">
        <f t="shared" si="34"/>
        <v>0</v>
      </c>
      <c r="V1625" s="38"/>
      <c r="W1625" s="40"/>
      <c r="X1625" s="40"/>
      <c r="Y1625" s="38"/>
      <c r="Z1625" s="38"/>
      <c r="AA1625" s="38"/>
      <c r="AB1625" s="38"/>
      <c r="AC1625" s="38"/>
      <c r="AD1625" s="38"/>
      <c r="AE1625" s="38"/>
      <c r="AF1625" s="38"/>
      <c r="AG1625" s="38"/>
      <c r="AH1625" s="38"/>
      <c r="AI1625" s="38"/>
      <c r="AJ1625" s="38"/>
      <c r="AK1625" s="38"/>
      <c r="AL1625" s="38"/>
      <c r="AM1625" s="38"/>
      <c r="AN1625" s="38"/>
      <c r="AO1625" s="38"/>
      <c r="AP1625" s="38"/>
      <c r="AQ1625" s="38"/>
      <c r="AR1625" s="38"/>
      <c r="AS1625" s="38"/>
      <c r="AT1625" s="38"/>
      <c r="AU1625" s="38"/>
      <c r="AV1625" s="38"/>
      <c r="AW1625" s="38"/>
      <c r="AX1625" s="38"/>
      <c r="AY1625" s="38"/>
      <c r="AZ1625" s="38"/>
      <c r="BA1625" s="38"/>
      <c r="BB1625" s="38"/>
      <c r="BC1625" s="38"/>
      <c r="BD1625" s="38"/>
      <c r="BE1625" s="38"/>
      <c r="BF1625" s="38"/>
      <c r="BG1625" s="38"/>
      <c r="BH1625" s="38"/>
      <c r="BI1625" s="38"/>
      <c r="BJ1625" s="38"/>
      <c r="BK1625" s="38"/>
      <c r="BL1625" s="38"/>
      <c r="BM1625" s="38"/>
      <c r="BN1625" s="38"/>
      <c r="BO1625" s="38"/>
      <c r="BP1625" s="38"/>
      <c r="BQ1625" s="38"/>
    </row>
    <row r="1626">
      <c r="A1626" s="58"/>
      <c r="B1626" s="341"/>
      <c r="C1626" s="60"/>
      <c r="D1626" s="60"/>
      <c r="E1626" s="58"/>
      <c r="F1626" s="58"/>
      <c r="G1626" s="58"/>
      <c r="H1626" s="33" t="str">
        <f t="shared" si="33"/>
        <v/>
      </c>
      <c r="I1626" s="58"/>
      <c r="J1626" s="58"/>
      <c r="K1626" s="58"/>
      <c r="L1626" s="58"/>
      <c r="M1626" s="80"/>
      <c r="N1626" s="80"/>
      <c r="O1626" s="62"/>
      <c r="P1626" s="62"/>
      <c r="Q1626" s="84"/>
      <c r="R1626" s="62"/>
      <c r="S1626" s="37" t="str">
        <f>IFERROR(__xludf.DUMMYFUNCTION("if(not(iserror(index(split(C1626, "" ""),2))), index(split(C1626, "" ""),1),"""")"),"")</f>
        <v/>
      </c>
      <c r="T1626" s="315" t="str">
        <f>IFERROR(__xludf.DUMMYFUNCTION("if(S1626="""",C1626,if(not(iserror(index(split(C1626, "" ""),3))), index(split(C1626, "" ""),3),index(split(C1626, "" ""),2)))"),"")</f>
        <v/>
      </c>
      <c r="U1626" s="38" t="b">
        <f t="shared" si="34"/>
        <v>0</v>
      </c>
      <c r="V1626" s="38"/>
      <c r="W1626" s="40"/>
      <c r="X1626" s="40"/>
      <c r="Y1626" s="38"/>
      <c r="Z1626" s="38"/>
      <c r="AA1626" s="38"/>
      <c r="AB1626" s="38"/>
      <c r="AC1626" s="38"/>
      <c r="AD1626" s="38"/>
      <c r="AE1626" s="38"/>
      <c r="AF1626" s="38"/>
      <c r="AG1626" s="38"/>
      <c r="AH1626" s="38"/>
      <c r="AI1626" s="38"/>
      <c r="AJ1626" s="38"/>
      <c r="AK1626" s="38"/>
      <c r="AL1626" s="38"/>
      <c r="AM1626" s="38"/>
      <c r="AN1626" s="38"/>
      <c r="AO1626" s="38"/>
      <c r="AP1626" s="38"/>
      <c r="AQ1626" s="38"/>
      <c r="AR1626" s="38"/>
      <c r="AS1626" s="38"/>
      <c r="AT1626" s="38"/>
      <c r="AU1626" s="38"/>
      <c r="AV1626" s="38"/>
      <c r="AW1626" s="38"/>
      <c r="AX1626" s="38"/>
      <c r="AY1626" s="38"/>
      <c r="AZ1626" s="38"/>
      <c r="BA1626" s="38"/>
      <c r="BB1626" s="38"/>
      <c r="BC1626" s="38"/>
      <c r="BD1626" s="38"/>
      <c r="BE1626" s="38"/>
      <c r="BF1626" s="38"/>
      <c r="BG1626" s="38"/>
      <c r="BH1626" s="38"/>
      <c r="BI1626" s="38"/>
      <c r="BJ1626" s="38"/>
      <c r="BK1626" s="38"/>
      <c r="BL1626" s="38"/>
      <c r="BM1626" s="38"/>
      <c r="BN1626" s="38"/>
      <c r="BO1626" s="38"/>
      <c r="BP1626" s="38"/>
      <c r="BQ1626" s="38"/>
    </row>
    <row r="1627">
      <c r="A1627" s="58"/>
      <c r="B1627" s="341"/>
      <c r="C1627" s="60"/>
      <c r="D1627" s="60"/>
      <c r="E1627" s="58"/>
      <c r="F1627" s="58"/>
      <c r="G1627" s="58"/>
      <c r="H1627" s="33" t="str">
        <f t="shared" si="33"/>
        <v/>
      </c>
      <c r="I1627" s="58"/>
      <c r="J1627" s="58"/>
      <c r="K1627" s="58"/>
      <c r="L1627" s="58"/>
      <c r="M1627" s="80"/>
      <c r="N1627" s="77"/>
      <c r="O1627" s="62"/>
      <c r="P1627" s="62"/>
      <c r="Q1627" s="62"/>
      <c r="R1627" s="62"/>
      <c r="S1627" s="37" t="str">
        <f>IFERROR(__xludf.DUMMYFUNCTION("if(not(iserror(index(split(C1627, "" ""),2))), index(split(C1627, "" ""),1),"""")"),"")</f>
        <v/>
      </c>
      <c r="T1627" s="315" t="str">
        <f>IFERROR(__xludf.DUMMYFUNCTION("if(S1627="""",C1627,if(not(iserror(index(split(C1627, "" ""),3))), index(split(C1627, "" ""),3),index(split(C1627, "" ""),2)))"),"")</f>
        <v/>
      </c>
      <c r="U1627" s="38" t="b">
        <f t="shared" si="34"/>
        <v>0</v>
      </c>
      <c r="V1627" s="38"/>
      <c r="W1627" s="40"/>
      <c r="X1627" s="40"/>
      <c r="Y1627" s="38"/>
      <c r="Z1627" s="38"/>
      <c r="AA1627" s="38"/>
      <c r="AB1627" s="38"/>
      <c r="AC1627" s="38"/>
      <c r="AD1627" s="38"/>
      <c r="AE1627" s="38"/>
      <c r="AF1627" s="38"/>
      <c r="AG1627" s="38"/>
      <c r="AH1627" s="38"/>
      <c r="AI1627" s="38"/>
      <c r="AJ1627" s="38"/>
      <c r="AK1627" s="38"/>
      <c r="AL1627" s="38"/>
      <c r="AM1627" s="38"/>
      <c r="AN1627" s="38"/>
      <c r="AO1627" s="38"/>
      <c r="AP1627" s="38"/>
      <c r="AQ1627" s="38"/>
      <c r="AR1627" s="38"/>
      <c r="AS1627" s="38"/>
      <c r="AT1627" s="38"/>
      <c r="AU1627" s="38"/>
      <c r="AV1627" s="38"/>
      <c r="AW1627" s="38"/>
      <c r="AX1627" s="38"/>
      <c r="AY1627" s="38"/>
      <c r="AZ1627" s="38"/>
      <c r="BA1627" s="38"/>
      <c r="BB1627" s="38"/>
      <c r="BC1627" s="38"/>
      <c r="BD1627" s="38"/>
      <c r="BE1627" s="38"/>
      <c r="BF1627" s="38"/>
      <c r="BG1627" s="38"/>
      <c r="BH1627" s="38"/>
      <c r="BI1627" s="38"/>
      <c r="BJ1627" s="38"/>
      <c r="BK1627" s="38"/>
      <c r="BL1627" s="38"/>
      <c r="BM1627" s="38"/>
      <c r="BN1627" s="38"/>
      <c r="BO1627" s="38"/>
      <c r="BP1627" s="38"/>
      <c r="BQ1627" s="38"/>
    </row>
    <row r="1628">
      <c r="A1628" s="58"/>
      <c r="B1628" s="341"/>
      <c r="C1628" s="60"/>
      <c r="D1628" s="60"/>
      <c r="E1628" s="58"/>
      <c r="F1628" s="58"/>
      <c r="G1628" s="58"/>
      <c r="H1628" s="33" t="str">
        <f t="shared" si="33"/>
        <v/>
      </c>
      <c r="I1628" s="58"/>
      <c r="J1628" s="58"/>
      <c r="K1628" s="58"/>
      <c r="L1628" s="58"/>
      <c r="M1628" s="80"/>
      <c r="N1628" s="77"/>
      <c r="O1628" s="62"/>
      <c r="P1628" s="62"/>
      <c r="Q1628" s="62"/>
      <c r="R1628" s="62"/>
      <c r="S1628" s="37" t="str">
        <f>IFERROR(__xludf.DUMMYFUNCTION("if(not(iserror(index(split(C1628, "" ""),2))), index(split(C1628, "" ""),1),"""")"),"")</f>
        <v/>
      </c>
      <c r="T1628" s="315" t="str">
        <f>IFERROR(__xludf.DUMMYFUNCTION("if(S1628="""",C1628,if(not(iserror(index(split(C1628, "" ""),3))), index(split(C1628, "" ""),3),index(split(C1628, "" ""),2)))"),"")</f>
        <v/>
      </c>
      <c r="U1628" s="38" t="b">
        <f t="shared" si="34"/>
        <v>0</v>
      </c>
      <c r="V1628" s="38"/>
      <c r="W1628" s="40"/>
      <c r="X1628" s="40"/>
      <c r="Y1628" s="38"/>
      <c r="Z1628" s="38"/>
      <c r="AA1628" s="38"/>
      <c r="AB1628" s="38"/>
      <c r="AC1628" s="38"/>
      <c r="AD1628" s="38"/>
      <c r="AE1628" s="38"/>
      <c r="AF1628" s="38"/>
      <c r="AG1628" s="38"/>
      <c r="AH1628" s="38"/>
      <c r="AI1628" s="38"/>
      <c r="AJ1628" s="38"/>
      <c r="AK1628" s="38"/>
      <c r="AL1628" s="38"/>
      <c r="AM1628" s="38"/>
      <c r="AN1628" s="38"/>
      <c r="AO1628" s="38"/>
      <c r="AP1628" s="38"/>
      <c r="AQ1628" s="38"/>
      <c r="AR1628" s="38"/>
      <c r="AS1628" s="38"/>
      <c r="AT1628" s="38"/>
      <c r="AU1628" s="38"/>
      <c r="AV1628" s="38"/>
      <c r="AW1628" s="38"/>
      <c r="AX1628" s="38"/>
      <c r="AY1628" s="38"/>
      <c r="AZ1628" s="38"/>
      <c r="BA1628" s="38"/>
      <c r="BB1628" s="38"/>
      <c r="BC1628" s="38"/>
      <c r="BD1628" s="38"/>
      <c r="BE1628" s="38"/>
      <c r="BF1628" s="38"/>
      <c r="BG1628" s="38"/>
      <c r="BH1628" s="38"/>
      <c r="BI1628" s="38"/>
      <c r="BJ1628" s="38"/>
      <c r="BK1628" s="38"/>
      <c r="BL1628" s="38"/>
      <c r="BM1628" s="38"/>
      <c r="BN1628" s="38"/>
      <c r="BO1628" s="38"/>
      <c r="BP1628" s="38"/>
      <c r="BQ1628" s="38"/>
    </row>
    <row r="1629">
      <c r="A1629" s="58"/>
      <c r="B1629" s="341"/>
      <c r="C1629" s="60"/>
      <c r="D1629" s="60"/>
      <c r="E1629" s="58"/>
      <c r="F1629" s="58"/>
      <c r="G1629" s="58"/>
      <c r="H1629" s="33" t="str">
        <f t="shared" si="33"/>
        <v/>
      </c>
      <c r="I1629" s="58"/>
      <c r="J1629" s="58"/>
      <c r="K1629" s="58"/>
      <c r="L1629" s="58"/>
      <c r="M1629" s="80"/>
      <c r="N1629" s="77"/>
      <c r="O1629" s="62"/>
      <c r="P1629" s="62"/>
      <c r="Q1629" s="62"/>
      <c r="R1629" s="62"/>
      <c r="S1629" s="37" t="str">
        <f>IFERROR(__xludf.DUMMYFUNCTION("if(not(iserror(index(split(C1629, "" ""),2))), index(split(C1629, "" ""),1),"""")"),"")</f>
        <v/>
      </c>
      <c r="T1629" s="315" t="str">
        <f>IFERROR(__xludf.DUMMYFUNCTION("if(S1629="""",C1629,if(not(iserror(index(split(C1629, "" ""),3))), index(split(C1629, "" ""),3),index(split(C1629, "" ""),2)))"),"")</f>
        <v/>
      </c>
      <c r="U1629" s="38" t="b">
        <f t="shared" si="34"/>
        <v>0</v>
      </c>
      <c r="V1629" s="38"/>
      <c r="W1629" s="40"/>
      <c r="X1629" s="40"/>
      <c r="Y1629" s="38"/>
      <c r="Z1629" s="38"/>
      <c r="AA1629" s="38"/>
      <c r="AB1629" s="38"/>
      <c r="AC1629" s="38"/>
      <c r="AD1629" s="38"/>
      <c r="AE1629" s="38"/>
      <c r="AF1629" s="38"/>
      <c r="AG1629" s="38"/>
      <c r="AH1629" s="38"/>
      <c r="AI1629" s="38"/>
      <c r="AJ1629" s="38"/>
      <c r="AK1629" s="38"/>
      <c r="AL1629" s="38"/>
      <c r="AM1629" s="38"/>
      <c r="AN1629" s="38"/>
      <c r="AO1629" s="38"/>
      <c r="AP1629" s="38"/>
      <c r="AQ1629" s="38"/>
      <c r="AR1629" s="38"/>
      <c r="AS1629" s="38"/>
      <c r="AT1629" s="38"/>
      <c r="AU1629" s="38"/>
      <c r="AV1629" s="38"/>
      <c r="AW1629" s="38"/>
      <c r="AX1629" s="38"/>
      <c r="AY1629" s="38"/>
      <c r="AZ1629" s="38"/>
      <c r="BA1629" s="38"/>
      <c r="BB1629" s="38"/>
      <c r="BC1629" s="38"/>
      <c r="BD1629" s="38"/>
      <c r="BE1629" s="38"/>
      <c r="BF1629" s="38"/>
      <c r="BG1629" s="38"/>
      <c r="BH1629" s="38"/>
      <c r="BI1629" s="38"/>
      <c r="BJ1629" s="38"/>
      <c r="BK1629" s="38"/>
      <c r="BL1629" s="38"/>
      <c r="BM1629" s="38"/>
      <c r="BN1629" s="38"/>
      <c r="BO1629" s="38"/>
      <c r="BP1629" s="38"/>
      <c r="BQ1629" s="38"/>
    </row>
    <row r="1630">
      <c r="A1630" s="58"/>
      <c r="B1630" s="341"/>
      <c r="C1630" s="60"/>
      <c r="D1630" s="60"/>
      <c r="E1630" s="58"/>
      <c r="F1630" s="58"/>
      <c r="G1630" s="58"/>
      <c r="H1630" s="33" t="str">
        <f t="shared" si="33"/>
        <v/>
      </c>
      <c r="I1630" s="58"/>
      <c r="J1630" s="58"/>
      <c r="K1630" s="58"/>
      <c r="L1630" s="58"/>
      <c r="M1630" s="80"/>
      <c r="N1630" s="77"/>
      <c r="O1630" s="62"/>
      <c r="P1630" s="62"/>
      <c r="Q1630" s="62"/>
      <c r="R1630" s="62"/>
      <c r="S1630" s="37" t="str">
        <f>IFERROR(__xludf.DUMMYFUNCTION("if(not(iserror(index(split(C1630, "" ""),2))), index(split(C1630, "" ""),1),"""")"),"")</f>
        <v/>
      </c>
      <c r="T1630" s="315" t="str">
        <f>IFERROR(__xludf.DUMMYFUNCTION("if(S1630="""",C1630,if(not(iserror(index(split(C1630, "" ""),3))), index(split(C1630, "" ""),3),index(split(C1630, "" ""),2)))"),"")</f>
        <v/>
      </c>
      <c r="U1630" s="38" t="b">
        <f t="shared" si="34"/>
        <v>0</v>
      </c>
      <c r="V1630" s="38"/>
      <c r="W1630" s="40"/>
      <c r="X1630" s="40"/>
      <c r="Y1630" s="38"/>
      <c r="Z1630" s="38"/>
      <c r="AA1630" s="38"/>
      <c r="AB1630" s="38"/>
      <c r="AC1630" s="38"/>
      <c r="AD1630" s="38"/>
      <c r="AE1630" s="38"/>
      <c r="AF1630" s="38"/>
      <c r="AG1630" s="38"/>
      <c r="AH1630" s="38"/>
      <c r="AI1630" s="38"/>
      <c r="AJ1630" s="38"/>
      <c r="AK1630" s="38"/>
      <c r="AL1630" s="38"/>
      <c r="AM1630" s="38"/>
      <c r="AN1630" s="38"/>
      <c r="AO1630" s="38"/>
      <c r="AP1630" s="38"/>
      <c r="AQ1630" s="38"/>
      <c r="AR1630" s="38"/>
      <c r="AS1630" s="38"/>
      <c r="AT1630" s="38"/>
      <c r="AU1630" s="38"/>
      <c r="AV1630" s="38"/>
      <c r="AW1630" s="38"/>
      <c r="AX1630" s="38"/>
      <c r="AY1630" s="38"/>
      <c r="AZ1630" s="38"/>
      <c r="BA1630" s="38"/>
      <c r="BB1630" s="38"/>
      <c r="BC1630" s="38"/>
      <c r="BD1630" s="38"/>
      <c r="BE1630" s="38"/>
      <c r="BF1630" s="38"/>
      <c r="BG1630" s="38"/>
      <c r="BH1630" s="38"/>
      <c r="BI1630" s="38"/>
      <c r="BJ1630" s="38"/>
      <c r="BK1630" s="38"/>
      <c r="BL1630" s="38"/>
      <c r="BM1630" s="38"/>
      <c r="BN1630" s="38"/>
      <c r="BO1630" s="38"/>
      <c r="BP1630" s="38"/>
      <c r="BQ1630" s="38"/>
    </row>
    <row r="1631">
      <c r="B1631" s="341"/>
      <c r="C1631" s="60"/>
      <c r="D1631" s="60"/>
      <c r="E1631" s="58"/>
      <c r="F1631" s="58"/>
      <c r="G1631" s="58"/>
      <c r="H1631" s="33" t="str">
        <f t="shared" si="33"/>
        <v/>
      </c>
      <c r="I1631" s="58"/>
      <c r="J1631" s="58"/>
      <c r="K1631" s="58"/>
      <c r="L1631" s="58"/>
      <c r="M1631" s="106"/>
      <c r="N1631" s="77"/>
      <c r="O1631" s="62"/>
      <c r="P1631" s="62"/>
      <c r="Q1631" s="62"/>
      <c r="R1631" s="62"/>
      <c r="S1631" s="37" t="str">
        <f>IFERROR(__xludf.DUMMYFUNCTION("if(not(iserror(index(split(C1631, "" ""),2))), index(split(C1631, "" ""),1),"""")"),"")</f>
        <v/>
      </c>
      <c r="T1631" s="315" t="str">
        <f>IFERROR(__xludf.DUMMYFUNCTION("if(S1631="""",C1631,if(not(iserror(index(split(C1631, "" ""),3))), index(split(C1631, "" ""),3),index(split(C1631, "" ""),2)))"),"")</f>
        <v/>
      </c>
      <c r="U1631" s="38" t="b">
        <f t="shared" si="34"/>
        <v>0</v>
      </c>
      <c r="V1631" s="38"/>
      <c r="W1631" s="40"/>
      <c r="X1631" s="40"/>
      <c r="Y1631" s="38"/>
      <c r="Z1631" s="38"/>
      <c r="AA1631" s="38"/>
      <c r="AB1631" s="38"/>
      <c r="AC1631" s="38"/>
      <c r="AD1631" s="38"/>
      <c r="AE1631" s="38"/>
      <c r="AF1631" s="38"/>
      <c r="AG1631" s="38"/>
      <c r="AH1631" s="38"/>
      <c r="AI1631" s="38"/>
      <c r="AJ1631" s="38"/>
      <c r="AK1631" s="38"/>
      <c r="AL1631" s="38"/>
      <c r="AM1631" s="38"/>
      <c r="AN1631" s="38"/>
      <c r="AO1631" s="38"/>
      <c r="AP1631" s="38"/>
      <c r="AQ1631" s="38"/>
      <c r="AR1631" s="38"/>
      <c r="AS1631" s="38"/>
      <c r="AT1631" s="38"/>
      <c r="AU1631" s="38"/>
      <c r="AV1631" s="38"/>
      <c r="AW1631" s="38"/>
      <c r="AX1631" s="38"/>
      <c r="AY1631" s="38"/>
      <c r="AZ1631" s="38"/>
      <c r="BA1631" s="38"/>
      <c r="BB1631" s="38"/>
      <c r="BC1631" s="38"/>
      <c r="BD1631" s="38"/>
      <c r="BE1631" s="38"/>
      <c r="BF1631" s="38"/>
      <c r="BG1631" s="38"/>
      <c r="BH1631" s="38"/>
      <c r="BI1631" s="38"/>
      <c r="BJ1631" s="38"/>
      <c r="BK1631" s="38"/>
      <c r="BL1631" s="38"/>
      <c r="BM1631" s="38"/>
      <c r="BN1631" s="38"/>
      <c r="BO1631" s="38"/>
      <c r="BP1631" s="38"/>
      <c r="BQ1631" s="38"/>
    </row>
    <row r="1632">
      <c r="A1632" s="58"/>
      <c r="B1632" s="341"/>
      <c r="C1632" s="60"/>
      <c r="D1632" s="60"/>
      <c r="E1632" s="58"/>
      <c r="F1632" s="58"/>
      <c r="G1632" s="58"/>
      <c r="H1632" s="33" t="str">
        <f t="shared" si="33"/>
        <v/>
      </c>
      <c r="I1632" s="58"/>
      <c r="J1632" s="58"/>
      <c r="K1632" s="58"/>
      <c r="L1632" s="58"/>
      <c r="M1632" s="80"/>
      <c r="N1632" s="77"/>
      <c r="O1632" s="62"/>
      <c r="P1632" s="62"/>
      <c r="Q1632" s="62"/>
      <c r="R1632" s="62"/>
      <c r="S1632" s="37" t="str">
        <f>IFERROR(__xludf.DUMMYFUNCTION("if(not(iserror(index(split(C1632, "" ""),2))), index(split(C1632, "" ""),1),"""")"),"")</f>
        <v/>
      </c>
      <c r="T1632" s="315" t="str">
        <f>IFERROR(__xludf.DUMMYFUNCTION("if(S1632="""",C1632,if(not(iserror(index(split(C1632, "" ""),3))), index(split(C1632, "" ""),3),index(split(C1632, "" ""),2)))"),"")</f>
        <v/>
      </c>
      <c r="U1632" s="38" t="b">
        <f t="shared" si="34"/>
        <v>0</v>
      </c>
      <c r="V1632" s="38"/>
      <c r="W1632" s="40"/>
      <c r="X1632" s="40"/>
      <c r="Y1632" s="38"/>
      <c r="Z1632" s="38"/>
      <c r="AA1632" s="38"/>
      <c r="AB1632" s="38"/>
      <c r="AC1632" s="38"/>
      <c r="AD1632" s="38"/>
      <c r="AE1632" s="38"/>
      <c r="AF1632" s="38"/>
      <c r="AG1632" s="38"/>
      <c r="AH1632" s="38"/>
      <c r="AI1632" s="38"/>
      <c r="AJ1632" s="38"/>
      <c r="AK1632" s="38"/>
      <c r="AL1632" s="38"/>
      <c r="AM1632" s="38"/>
      <c r="AN1632" s="38"/>
      <c r="AO1632" s="38"/>
      <c r="AP1632" s="38"/>
      <c r="AQ1632" s="38"/>
      <c r="AR1632" s="38"/>
      <c r="AS1632" s="38"/>
      <c r="AT1632" s="38"/>
      <c r="AU1632" s="38"/>
      <c r="AV1632" s="38"/>
      <c r="AW1632" s="38"/>
      <c r="AX1632" s="38"/>
      <c r="AY1632" s="38"/>
      <c r="AZ1632" s="38"/>
      <c r="BA1632" s="38"/>
      <c r="BB1632" s="38"/>
      <c r="BC1632" s="38"/>
      <c r="BD1632" s="38"/>
      <c r="BE1632" s="38"/>
      <c r="BF1632" s="38"/>
      <c r="BG1632" s="38"/>
      <c r="BH1632" s="38"/>
      <c r="BI1632" s="38"/>
      <c r="BJ1632" s="38"/>
      <c r="BK1632" s="38"/>
      <c r="BL1632" s="38"/>
      <c r="BM1632" s="38"/>
      <c r="BN1632" s="38"/>
      <c r="BO1632" s="38"/>
      <c r="BP1632" s="38"/>
      <c r="BQ1632" s="38"/>
    </row>
    <row r="1633">
      <c r="A1633" s="58"/>
      <c r="B1633" s="341"/>
      <c r="C1633" s="60"/>
      <c r="D1633" s="60"/>
      <c r="E1633" s="58"/>
      <c r="F1633" s="58"/>
      <c r="G1633" s="58"/>
      <c r="H1633" s="33" t="str">
        <f t="shared" si="33"/>
        <v/>
      </c>
      <c r="I1633" s="58"/>
      <c r="J1633" s="58"/>
      <c r="K1633" s="58"/>
      <c r="L1633" s="58"/>
      <c r="M1633" s="80"/>
      <c r="N1633" s="77"/>
      <c r="O1633" s="62"/>
      <c r="P1633" s="62"/>
      <c r="Q1633" s="62"/>
      <c r="R1633" s="62"/>
      <c r="S1633" s="37" t="str">
        <f>IFERROR(__xludf.DUMMYFUNCTION("if(not(iserror(index(split(C1633, "" ""),2))), index(split(C1633, "" ""),1),"""")"),"")</f>
        <v/>
      </c>
      <c r="T1633" s="315" t="str">
        <f>IFERROR(__xludf.DUMMYFUNCTION("if(S1633="""",C1633,if(not(iserror(index(split(C1633, "" ""),3))), index(split(C1633, "" ""),3),index(split(C1633, "" ""),2)))"),"")</f>
        <v/>
      </c>
      <c r="U1633" s="38" t="b">
        <f t="shared" si="34"/>
        <v>0</v>
      </c>
      <c r="V1633" s="38"/>
      <c r="W1633" s="40"/>
      <c r="X1633" s="40"/>
      <c r="Y1633" s="38"/>
      <c r="Z1633" s="38"/>
      <c r="AA1633" s="38"/>
      <c r="AB1633" s="38"/>
      <c r="AC1633" s="38"/>
      <c r="AD1633" s="38"/>
      <c r="AE1633" s="38"/>
      <c r="AF1633" s="38"/>
      <c r="AG1633" s="38"/>
      <c r="AH1633" s="38"/>
      <c r="AI1633" s="38"/>
      <c r="AJ1633" s="38"/>
      <c r="AK1633" s="38"/>
      <c r="AL1633" s="38"/>
      <c r="AM1633" s="38"/>
      <c r="AN1633" s="38"/>
      <c r="AO1633" s="38"/>
      <c r="AP1633" s="38"/>
      <c r="AQ1633" s="38"/>
      <c r="AR1633" s="38"/>
      <c r="AS1633" s="38"/>
      <c r="AT1633" s="38"/>
      <c r="AU1633" s="38"/>
      <c r="AV1633" s="38"/>
      <c r="AW1633" s="38"/>
      <c r="AX1633" s="38"/>
      <c r="AY1633" s="38"/>
      <c r="AZ1633" s="38"/>
      <c r="BA1633" s="38"/>
      <c r="BB1633" s="38"/>
      <c r="BC1633" s="38"/>
      <c r="BD1633" s="38"/>
      <c r="BE1633" s="38"/>
      <c r="BF1633" s="38"/>
      <c r="BG1633" s="38"/>
      <c r="BH1633" s="38"/>
      <c r="BI1633" s="38"/>
      <c r="BJ1633" s="38"/>
      <c r="BK1633" s="38"/>
      <c r="BL1633" s="38"/>
      <c r="BM1633" s="38"/>
      <c r="BN1633" s="38"/>
      <c r="BO1633" s="38"/>
      <c r="BP1633" s="38"/>
      <c r="BQ1633" s="38"/>
    </row>
    <row r="1634">
      <c r="A1634" s="58"/>
      <c r="B1634" s="341"/>
      <c r="C1634" s="60"/>
      <c r="D1634" s="60"/>
      <c r="E1634" s="58"/>
      <c r="F1634" s="58"/>
      <c r="G1634" s="58"/>
      <c r="H1634" s="33" t="str">
        <f t="shared" si="33"/>
        <v/>
      </c>
      <c r="I1634" s="58"/>
      <c r="J1634" s="58"/>
      <c r="K1634" s="58"/>
      <c r="L1634" s="58"/>
      <c r="M1634" s="80"/>
      <c r="N1634" s="77"/>
      <c r="O1634" s="62"/>
      <c r="P1634" s="58"/>
      <c r="Q1634" s="84"/>
      <c r="R1634" s="62"/>
      <c r="S1634" s="37" t="str">
        <f>IFERROR(__xludf.DUMMYFUNCTION("if(not(iserror(index(split(C1634, "" ""),2))), index(split(C1634, "" ""),1),"""")"),"")</f>
        <v/>
      </c>
      <c r="T1634" s="315" t="str">
        <f>IFERROR(__xludf.DUMMYFUNCTION("if(S1634="""",C1634,if(not(iserror(index(split(C1634, "" ""),3))), index(split(C1634, "" ""),3),index(split(C1634, "" ""),2)))"),"")</f>
        <v/>
      </c>
      <c r="U1634" s="38" t="b">
        <f t="shared" si="34"/>
        <v>0</v>
      </c>
      <c r="V1634" s="38"/>
      <c r="W1634" s="40"/>
      <c r="X1634" s="40"/>
      <c r="Y1634" s="38"/>
      <c r="Z1634" s="38"/>
      <c r="AA1634" s="38"/>
      <c r="AB1634" s="38"/>
      <c r="AC1634" s="38"/>
      <c r="AD1634" s="38"/>
      <c r="AE1634" s="38"/>
      <c r="AF1634" s="38"/>
      <c r="AG1634" s="38"/>
      <c r="AH1634" s="38"/>
      <c r="AI1634" s="38"/>
      <c r="AJ1634" s="38"/>
      <c r="AK1634" s="38"/>
      <c r="AL1634" s="38"/>
      <c r="AM1634" s="38"/>
      <c r="AN1634" s="38"/>
      <c r="AO1634" s="38"/>
      <c r="AP1634" s="38"/>
      <c r="AQ1634" s="38"/>
      <c r="AR1634" s="38"/>
      <c r="AS1634" s="38"/>
      <c r="AT1634" s="38"/>
      <c r="AU1634" s="38"/>
      <c r="AV1634" s="38"/>
      <c r="AW1634" s="38"/>
      <c r="AX1634" s="38"/>
      <c r="AY1634" s="38"/>
      <c r="AZ1634" s="38"/>
      <c r="BA1634" s="38"/>
      <c r="BB1634" s="38"/>
      <c r="BC1634" s="38"/>
      <c r="BD1634" s="38"/>
      <c r="BE1634" s="38"/>
      <c r="BF1634" s="38"/>
      <c r="BG1634" s="38"/>
      <c r="BH1634" s="38"/>
      <c r="BI1634" s="38"/>
      <c r="BJ1634" s="38"/>
      <c r="BK1634" s="38"/>
      <c r="BL1634" s="38"/>
      <c r="BM1634" s="38"/>
      <c r="BN1634" s="38"/>
      <c r="BO1634" s="38"/>
      <c r="BP1634" s="38"/>
      <c r="BQ1634" s="38"/>
    </row>
    <row r="1635">
      <c r="A1635" s="58"/>
      <c r="B1635" s="341"/>
      <c r="C1635" s="60"/>
      <c r="D1635" s="60"/>
      <c r="E1635" s="58"/>
      <c r="F1635" s="58"/>
      <c r="G1635" s="58"/>
      <c r="H1635" s="33" t="str">
        <f t="shared" si="33"/>
        <v/>
      </c>
      <c r="I1635" s="58"/>
      <c r="J1635" s="58"/>
      <c r="K1635" s="58"/>
      <c r="L1635" s="58"/>
      <c r="M1635" s="80"/>
      <c r="N1635" s="77"/>
      <c r="O1635" s="62"/>
      <c r="P1635" s="58"/>
      <c r="Q1635" s="84"/>
      <c r="R1635" s="62"/>
      <c r="S1635" s="37" t="str">
        <f>IFERROR(__xludf.DUMMYFUNCTION("if(not(iserror(index(split(C1635, "" ""),2))), index(split(C1635, "" ""),1),"""")"),"")</f>
        <v/>
      </c>
      <c r="T1635" s="315" t="str">
        <f>IFERROR(__xludf.DUMMYFUNCTION("if(S1635="""",C1635,if(not(iserror(index(split(C1635, "" ""),3))), index(split(C1635, "" ""),3),index(split(C1635, "" ""),2)))"),"")</f>
        <v/>
      </c>
      <c r="U1635" s="38" t="b">
        <f t="shared" si="34"/>
        <v>0</v>
      </c>
      <c r="V1635" s="38"/>
      <c r="W1635" s="40"/>
      <c r="X1635" s="40"/>
      <c r="Y1635" s="38"/>
      <c r="Z1635" s="38"/>
      <c r="AA1635" s="38"/>
      <c r="AB1635" s="38"/>
      <c r="AC1635" s="38"/>
      <c r="AD1635" s="38"/>
      <c r="AE1635" s="38"/>
      <c r="AF1635" s="38"/>
      <c r="AG1635" s="38"/>
      <c r="AH1635" s="38"/>
      <c r="AI1635" s="38"/>
      <c r="AJ1635" s="38"/>
      <c r="AK1635" s="38"/>
      <c r="AL1635" s="38"/>
      <c r="AM1635" s="38"/>
      <c r="AN1635" s="38"/>
      <c r="AO1635" s="38"/>
      <c r="AP1635" s="38"/>
      <c r="AQ1635" s="38"/>
      <c r="AR1635" s="38"/>
      <c r="AS1635" s="38"/>
      <c r="AT1635" s="38"/>
      <c r="AU1635" s="38"/>
      <c r="AV1635" s="38"/>
      <c r="AW1635" s="38"/>
      <c r="AX1635" s="38"/>
      <c r="AY1635" s="38"/>
      <c r="AZ1635" s="38"/>
      <c r="BA1635" s="38"/>
      <c r="BB1635" s="38"/>
      <c r="BC1635" s="38"/>
      <c r="BD1635" s="38"/>
      <c r="BE1635" s="38"/>
      <c r="BF1635" s="38"/>
      <c r="BG1635" s="38"/>
      <c r="BH1635" s="38"/>
      <c r="BI1635" s="38"/>
      <c r="BJ1635" s="38"/>
      <c r="BK1635" s="38"/>
      <c r="BL1635" s="38"/>
      <c r="BM1635" s="38"/>
      <c r="BN1635" s="38"/>
      <c r="BO1635" s="38"/>
      <c r="BP1635" s="38"/>
      <c r="BQ1635" s="38"/>
    </row>
    <row r="1636">
      <c r="A1636" s="58"/>
      <c r="B1636" s="341"/>
      <c r="C1636" s="60"/>
      <c r="D1636" s="60"/>
      <c r="E1636" s="58"/>
      <c r="F1636" s="58"/>
      <c r="G1636" s="58"/>
      <c r="H1636" s="33" t="str">
        <f t="shared" si="33"/>
        <v/>
      </c>
      <c r="I1636" s="58"/>
      <c r="J1636" s="58"/>
      <c r="K1636" s="58"/>
      <c r="L1636" s="58"/>
      <c r="M1636" s="80"/>
      <c r="N1636" s="77"/>
      <c r="O1636" s="58"/>
      <c r="P1636" s="58"/>
      <c r="Q1636" s="84"/>
      <c r="R1636" s="62"/>
      <c r="S1636" s="37" t="str">
        <f>IFERROR(__xludf.DUMMYFUNCTION("if(not(iserror(index(split(C1636, "" ""),2))), index(split(C1636, "" ""),1),"""")"),"")</f>
        <v/>
      </c>
      <c r="T1636" s="315" t="str">
        <f>IFERROR(__xludf.DUMMYFUNCTION("if(S1636="""",C1636,if(not(iserror(index(split(C1636, "" ""),3))), index(split(C1636, "" ""),3),index(split(C1636, "" ""),2)))"),"")</f>
        <v/>
      </c>
      <c r="U1636" s="38" t="b">
        <f t="shared" si="34"/>
        <v>0</v>
      </c>
      <c r="V1636" s="38"/>
      <c r="W1636" s="40"/>
      <c r="X1636" s="40"/>
      <c r="Y1636" s="38"/>
      <c r="Z1636" s="38"/>
      <c r="AA1636" s="38"/>
      <c r="AB1636" s="38"/>
      <c r="AC1636" s="38"/>
      <c r="AD1636" s="38"/>
      <c r="AE1636" s="38"/>
      <c r="AF1636" s="38"/>
      <c r="AG1636" s="38"/>
      <c r="AH1636" s="38"/>
      <c r="AI1636" s="38"/>
      <c r="AJ1636" s="38"/>
      <c r="AK1636" s="38"/>
      <c r="AL1636" s="38"/>
      <c r="AM1636" s="38"/>
      <c r="AN1636" s="38"/>
      <c r="AO1636" s="38"/>
      <c r="AP1636" s="38"/>
      <c r="AQ1636" s="38"/>
      <c r="AR1636" s="38"/>
      <c r="AS1636" s="38"/>
      <c r="AT1636" s="38"/>
      <c r="AU1636" s="38"/>
      <c r="AV1636" s="38"/>
      <c r="AW1636" s="38"/>
      <c r="AX1636" s="38"/>
      <c r="AY1636" s="38"/>
      <c r="AZ1636" s="38"/>
      <c r="BA1636" s="38"/>
      <c r="BB1636" s="38"/>
      <c r="BC1636" s="38"/>
      <c r="BD1636" s="38"/>
      <c r="BE1636" s="38"/>
      <c r="BF1636" s="38"/>
      <c r="BG1636" s="38"/>
      <c r="BH1636" s="38"/>
      <c r="BI1636" s="38"/>
      <c r="BJ1636" s="38"/>
      <c r="BK1636" s="38"/>
      <c r="BL1636" s="38"/>
      <c r="BM1636" s="38"/>
      <c r="BN1636" s="38"/>
      <c r="BO1636" s="38"/>
      <c r="BP1636" s="38"/>
      <c r="BQ1636" s="38"/>
    </row>
    <row r="1637">
      <c r="A1637" s="58"/>
      <c r="B1637" s="341"/>
      <c r="C1637" s="60"/>
      <c r="D1637" s="60"/>
      <c r="E1637" s="58"/>
      <c r="F1637" s="58"/>
      <c r="G1637" s="58"/>
      <c r="H1637" s="33" t="str">
        <f t="shared" si="33"/>
        <v/>
      </c>
      <c r="I1637" s="58"/>
      <c r="J1637" s="58"/>
      <c r="K1637" s="58"/>
      <c r="L1637" s="58"/>
      <c r="M1637" s="80"/>
      <c r="N1637" s="77"/>
      <c r="O1637" s="58"/>
      <c r="P1637" s="58"/>
      <c r="Q1637" s="84"/>
      <c r="R1637" s="62"/>
      <c r="S1637" s="37" t="str">
        <f>IFERROR(__xludf.DUMMYFUNCTION("if(not(iserror(index(split(C1637, "" ""),2))), index(split(C1637, "" ""),1),"""")"),"")</f>
        <v/>
      </c>
      <c r="T1637" s="315" t="str">
        <f>IFERROR(__xludf.DUMMYFUNCTION("if(S1637="""",C1637,if(not(iserror(index(split(C1637, "" ""),3))), index(split(C1637, "" ""),3),index(split(C1637, "" ""),2)))"),"")</f>
        <v/>
      </c>
      <c r="U1637" s="38" t="b">
        <f t="shared" si="34"/>
        <v>0</v>
      </c>
      <c r="V1637" s="38"/>
      <c r="W1637" s="40"/>
      <c r="X1637" s="40"/>
      <c r="Y1637" s="38"/>
      <c r="Z1637" s="38"/>
      <c r="AA1637" s="38"/>
      <c r="AB1637" s="38"/>
      <c r="AC1637" s="38"/>
      <c r="AD1637" s="38"/>
      <c r="AE1637" s="38"/>
      <c r="AF1637" s="38"/>
      <c r="AG1637" s="38"/>
      <c r="AH1637" s="38"/>
      <c r="AI1637" s="38"/>
      <c r="AJ1637" s="38"/>
      <c r="AK1637" s="38"/>
      <c r="AL1637" s="38"/>
      <c r="AM1637" s="38"/>
      <c r="AN1637" s="38"/>
      <c r="AO1637" s="38"/>
      <c r="AP1637" s="38"/>
      <c r="AQ1637" s="38"/>
      <c r="AR1637" s="38"/>
      <c r="AS1637" s="38"/>
      <c r="AT1637" s="38"/>
      <c r="AU1637" s="38"/>
      <c r="AV1637" s="38"/>
      <c r="AW1637" s="38"/>
      <c r="AX1637" s="38"/>
      <c r="AY1637" s="38"/>
      <c r="AZ1637" s="38"/>
      <c r="BA1637" s="38"/>
      <c r="BB1637" s="38"/>
      <c r="BC1637" s="38"/>
      <c r="BD1637" s="38"/>
      <c r="BE1637" s="38"/>
      <c r="BF1637" s="38"/>
      <c r="BG1637" s="38"/>
      <c r="BH1637" s="38"/>
      <c r="BI1637" s="38"/>
      <c r="BJ1637" s="38"/>
      <c r="BK1637" s="38"/>
      <c r="BL1637" s="38"/>
      <c r="BM1637" s="38"/>
      <c r="BN1637" s="38"/>
      <c r="BO1637" s="38"/>
      <c r="BP1637" s="38"/>
      <c r="BQ1637" s="38"/>
    </row>
    <row r="1638">
      <c r="A1638" s="58"/>
      <c r="B1638" s="341"/>
      <c r="C1638" s="60"/>
      <c r="D1638" s="60"/>
      <c r="E1638" s="58"/>
      <c r="F1638" s="58"/>
      <c r="G1638" s="58"/>
      <c r="H1638" s="33" t="str">
        <f t="shared" si="33"/>
        <v/>
      </c>
      <c r="I1638" s="58"/>
      <c r="J1638" s="58"/>
      <c r="K1638" s="58"/>
      <c r="L1638" s="58"/>
      <c r="M1638" s="80"/>
      <c r="N1638" s="77"/>
      <c r="O1638" s="58"/>
      <c r="P1638" s="58"/>
      <c r="Q1638" s="84"/>
      <c r="R1638" s="62"/>
      <c r="S1638" s="37" t="str">
        <f>IFERROR(__xludf.DUMMYFUNCTION("if(not(iserror(index(split(C1638, "" ""),2))), index(split(C1638, "" ""),1),"""")"),"")</f>
        <v/>
      </c>
      <c r="T1638" s="315" t="str">
        <f>IFERROR(__xludf.DUMMYFUNCTION("if(S1638="""",C1638,if(not(iserror(index(split(C1638, "" ""),3))), index(split(C1638, "" ""),3),index(split(C1638, "" ""),2)))"),"")</f>
        <v/>
      </c>
      <c r="U1638" s="38" t="b">
        <f t="shared" si="34"/>
        <v>0</v>
      </c>
      <c r="V1638" s="38"/>
      <c r="W1638" s="40"/>
      <c r="X1638" s="40"/>
      <c r="Y1638" s="38"/>
      <c r="Z1638" s="38"/>
      <c r="AA1638" s="38"/>
      <c r="AB1638" s="38"/>
      <c r="AC1638" s="38"/>
      <c r="AD1638" s="38"/>
      <c r="AE1638" s="38"/>
      <c r="AF1638" s="38"/>
      <c r="AG1638" s="38"/>
      <c r="AH1638" s="38"/>
      <c r="AI1638" s="38"/>
      <c r="AJ1638" s="38"/>
      <c r="AK1638" s="38"/>
      <c r="AL1638" s="38"/>
      <c r="AM1638" s="38"/>
      <c r="AN1638" s="38"/>
      <c r="AO1638" s="38"/>
      <c r="AP1638" s="38"/>
      <c r="AQ1638" s="38"/>
      <c r="AR1638" s="38"/>
      <c r="AS1638" s="38"/>
      <c r="AT1638" s="38"/>
      <c r="AU1638" s="38"/>
      <c r="AV1638" s="38"/>
      <c r="AW1638" s="38"/>
      <c r="AX1638" s="38"/>
      <c r="AY1638" s="38"/>
      <c r="AZ1638" s="38"/>
      <c r="BA1638" s="38"/>
      <c r="BB1638" s="38"/>
      <c r="BC1638" s="38"/>
      <c r="BD1638" s="38"/>
      <c r="BE1638" s="38"/>
      <c r="BF1638" s="38"/>
      <c r="BG1638" s="38"/>
      <c r="BH1638" s="38"/>
      <c r="BI1638" s="38"/>
      <c r="BJ1638" s="38"/>
      <c r="BK1638" s="38"/>
      <c r="BL1638" s="38"/>
      <c r="BM1638" s="38"/>
      <c r="BN1638" s="38"/>
      <c r="BO1638" s="38"/>
      <c r="BP1638" s="38"/>
      <c r="BQ1638" s="38"/>
    </row>
    <row r="1639">
      <c r="A1639" s="58"/>
      <c r="B1639" s="341"/>
      <c r="C1639" s="60"/>
      <c r="D1639" s="60"/>
      <c r="E1639" s="58"/>
      <c r="F1639" s="58"/>
      <c r="G1639" s="58"/>
      <c r="H1639" s="33" t="str">
        <f t="shared" si="33"/>
        <v/>
      </c>
      <c r="I1639" s="58"/>
      <c r="J1639" s="58"/>
      <c r="K1639" s="58"/>
      <c r="L1639" s="58"/>
      <c r="M1639" s="80"/>
      <c r="N1639" s="77"/>
      <c r="O1639" s="58"/>
      <c r="P1639" s="58"/>
      <c r="Q1639" s="84"/>
      <c r="R1639" s="62"/>
      <c r="S1639" s="37" t="str">
        <f>IFERROR(__xludf.DUMMYFUNCTION("if(not(iserror(index(split(C1639, "" ""),2))), index(split(C1639, "" ""),1),"""")"),"")</f>
        <v/>
      </c>
      <c r="T1639" s="315" t="str">
        <f>IFERROR(__xludf.DUMMYFUNCTION("if(S1639="""",C1639,if(not(iserror(index(split(C1639, "" ""),3))), index(split(C1639, "" ""),3),index(split(C1639, "" ""),2)))"),"")</f>
        <v/>
      </c>
      <c r="U1639" s="38" t="b">
        <f t="shared" si="34"/>
        <v>0</v>
      </c>
      <c r="V1639" s="38"/>
      <c r="W1639" s="40"/>
      <c r="X1639" s="40"/>
      <c r="Y1639" s="38"/>
      <c r="Z1639" s="38"/>
      <c r="AA1639" s="38"/>
      <c r="AB1639" s="38"/>
      <c r="AC1639" s="38"/>
      <c r="AD1639" s="38"/>
      <c r="AE1639" s="38"/>
      <c r="AF1639" s="38"/>
      <c r="AG1639" s="38"/>
      <c r="AH1639" s="38"/>
      <c r="AI1639" s="38"/>
      <c r="AJ1639" s="38"/>
      <c r="AK1639" s="38"/>
      <c r="AL1639" s="38"/>
      <c r="AM1639" s="38"/>
      <c r="AN1639" s="38"/>
      <c r="AO1639" s="38"/>
      <c r="AP1639" s="38"/>
      <c r="AQ1639" s="38"/>
      <c r="AR1639" s="38"/>
      <c r="AS1639" s="38"/>
      <c r="AT1639" s="38"/>
      <c r="AU1639" s="38"/>
      <c r="AV1639" s="38"/>
      <c r="AW1639" s="38"/>
      <c r="AX1639" s="38"/>
      <c r="AY1639" s="38"/>
      <c r="AZ1639" s="38"/>
      <c r="BA1639" s="38"/>
      <c r="BB1639" s="38"/>
      <c r="BC1639" s="38"/>
      <c r="BD1639" s="38"/>
      <c r="BE1639" s="38"/>
      <c r="BF1639" s="38"/>
      <c r="BG1639" s="38"/>
      <c r="BH1639" s="38"/>
      <c r="BI1639" s="38"/>
      <c r="BJ1639" s="38"/>
      <c r="BK1639" s="38"/>
      <c r="BL1639" s="38"/>
      <c r="BM1639" s="38"/>
      <c r="BN1639" s="38"/>
      <c r="BO1639" s="38"/>
      <c r="BP1639" s="38"/>
      <c r="BQ1639" s="38"/>
    </row>
    <row r="1640">
      <c r="A1640" s="58"/>
      <c r="B1640" s="341"/>
      <c r="C1640" s="60"/>
      <c r="D1640" s="60"/>
      <c r="E1640" s="58"/>
      <c r="F1640" s="58"/>
      <c r="G1640" s="58"/>
      <c r="H1640" s="33" t="str">
        <f t="shared" si="33"/>
        <v/>
      </c>
      <c r="I1640" s="58"/>
      <c r="J1640" s="58"/>
      <c r="K1640" s="58"/>
      <c r="L1640" s="58"/>
      <c r="M1640" s="80"/>
      <c r="N1640" s="77"/>
      <c r="O1640" s="62"/>
      <c r="P1640" s="62"/>
      <c r="Q1640" s="62"/>
      <c r="R1640" s="62"/>
      <c r="S1640" s="37" t="str">
        <f>IFERROR(__xludf.DUMMYFUNCTION("if(not(iserror(index(split(C1640, "" ""),2))), index(split(C1640, "" ""),1),"""")"),"")</f>
        <v/>
      </c>
      <c r="T1640" s="315" t="str">
        <f>IFERROR(__xludf.DUMMYFUNCTION("if(S1640="""",C1640,if(not(iserror(index(split(C1640, "" ""),3))), index(split(C1640, "" ""),3),index(split(C1640, "" ""),2)))"),"")</f>
        <v/>
      </c>
      <c r="U1640" s="38" t="b">
        <f t="shared" si="34"/>
        <v>0</v>
      </c>
      <c r="V1640" s="38"/>
      <c r="W1640" s="40"/>
      <c r="X1640" s="40"/>
      <c r="Y1640" s="38"/>
      <c r="Z1640" s="38"/>
      <c r="AA1640" s="38"/>
      <c r="AB1640" s="38"/>
      <c r="AC1640" s="38"/>
      <c r="AD1640" s="38"/>
      <c r="AE1640" s="38"/>
      <c r="AF1640" s="38"/>
      <c r="AG1640" s="38"/>
      <c r="AH1640" s="38"/>
      <c r="AI1640" s="38"/>
      <c r="AJ1640" s="38"/>
      <c r="AK1640" s="38"/>
      <c r="AL1640" s="38"/>
      <c r="AM1640" s="38"/>
      <c r="AN1640" s="38"/>
      <c r="AO1640" s="38"/>
      <c r="AP1640" s="38"/>
      <c r="AQ1640" s="38"/>
      <c r="AR1640" s="38"/>
      <c r="AS1640" s="38"/>
      <c r="AT1640" s="38"/>
      <c r="AU1640" s="38"/>
      <c r="AV1640" s="38"/>
      <c r="AW1640" s="38"/>
      <c r="AX1640" s="38"/>
      <c r="AY1640" s="38"/>
      <c r="AZ1640" s="38"/>
      <c r="BA1640" s="38"/>
      <c r="BB1640" s="38"/>
      <c r="BC1640" s="38"/>
      <c r="BD1640" s="38"/>
      <c r="BE1640" s="38"/>
      <c r="BF1640" s="38"/>
      <c r="BG1640" s="38"/>
      <c r="BH1640" s="38"/>
      <c r="BI1640" s="38"/>
      <c r="BJ1640" s="38"/>
      <c r="BK1640" s="38"/>
      <c r="BL1640" s="38"/>
      <c r="BM1640" s="38"/>
      <c r="BN1640" s="38"/>
      <c r="BO1640" s="38"/>
      <c r="BP1640" s="38"/>
      <c r="BQ1640" s="38"/>
    </row>
    <row r="1641">
      <c r="A1641" s="81"/>
      <c r="B1641" s="341"/>
      <c r="C1641" s="60"/>
      <c r="D1641" s="60"/>
      <c r="E1641" s="58"/>
      <c r="F1641" s="58"/>
      <c r="G1641" s="58"/>
      <c r="H1641" s="33" t="str">
        <f t="shared" si="33"/>
        <v/>
      </c>
      <c r="I1641" s="58"/>
      <c r="J1641" s="58"/>
      <c r="K1641" s="58"/>
      <c r="L1641" s="58"/>
      <c r="M1641" s="80"/>
      <c r="N1641" s="77"/>
      <c r="O1641" s="62"/>
      <c r="P1641" s="62"/>
      <c r="Q1641" s="62"/>
      <c r="R1641" s="62"/>
      <c r="S1641" s="37" t="str">
        <f>IFERROR(__xludf.DUMMYFUNCTION("if(not(iserror(index(split(C1641, "" ""),2))), index(split(C1641, "" ""),1),"""")"),"")</f>
        <v/>
      </c>
      <c r="T1641" s="315" t="str">
        <f>IFERROR(__xludf.DUMMYFUNCTION("if(S1641="""",C1641,if(not(iserror(index(split(C1641, "" ""),3))), index(split(C1641, "" ""),3),index(split(C1641, "" ""),2)))"),"")</f>
        <v/>
      </c>
      <c r="U1641" s="38" t="b">
        <f t="shared" si="34"/>
        <v>0</v>
      </c>
      <c r="V1641" s="38"/>
      <c r="W1641" s="40"/>
      <c r="X1641" s="40"/>
      <c r="Y1641" s="38"/>
      <c r="Z1641" s="38"/>
      <c r="AA1641" s="38"/>
      <c r="AB1641" s="38"/>
      <c r="AC1641" s="38"/>
      <c r="AD1641" s="38"/>
      <c r="AE1641" s="38"/>
      <c r="AF1641" s="38"/>
      <c r="AG1641" s="38"/>
      <c r="AH1641" s="38"/>
      <c r="AI1641" s="38"/>
      <c r="AJ1641" s="38"/>
      <c r="AK1641" s="38"/>
      <c r="AL1641" s="38"/>
      <c r="AM1641" s="38"/>
      <c r="AN1641" s="38"/>
      <c r="AO1641" s="38"/>
      <c r="AP1641" s="38"/>
      <c r="AQ1641" s="38"/>
      <c r="AR1641" s="38"/>
      <c r="AS1641" s="38"/>
      <c r="AT1641" s="38"/>
      <c r="AU1641" s="38"/>
      <c r="AV1641" s="38"/>
      <c r="AW1641" s="38"/>
      <c r="AX1641" s="38"/>
      <c r="AY1641" s="38"/>
      <c r="AZ1641" s="38"/>
      <c r="BA1641" s="38"/>
      <c r="BB1641" s="38"/>
      <c r="BC1641" s="38"/>
      <c r="BD1641" s="38"/>
      <c r="BE1641" s="38"/>
      <c r="BF1641" s="38"/>
      <c r="BG1641" s="38"/>
      <c r="BH1641" s="38"/>
      <c r="BI1641" s="38"/>
      <c r="BJ1641" s="38"/>
      <c r="BK1641" s="38"/>
      <c r="BL1641" s="38"/>
      <c r="BM1641" s="38"/>
      <c r="BN1641" s="38"/>
      <c r="BO1641" s="38"/>
      <c r="BP1641" s="38"/>
      <c r="BQ1641" s="38"/>
    </row>
    <row r="1642">
      <c r="A1642" s="58"/>
      <c r="B1642" s="341"/>
      <c r="C1642" s="60"/>
      <c r="D1642" s="60"/>
      <c r="E1642" s="58"/>
      <c r="F1642" s="58"/>
      <c r="G1642" s="58"/>
      <c r="H1642" s="33" t="str">
        <f t="shared" si="33"/>
        <v/>
      </c>
      <c r="I1642" s="58"/>
      <c r="J1642" s="58"/>
      <c r="K1642" s="58"/>
      <c r="L1642" s="58"/>
      <c r="M1642" s="80"/>
      <c r="N1642" s="77"/>
      <c r="O1642" s="62"/>
      <c r="P1642" s="62"/>
      <c r="Q1642" s="62"/>
      <c r="R1642" s="62"/>
      <c r="S1642" s="37" t="str">
        <f>IFERROR(__xludf.DUMMYFUNCTION("if(not(iserror(index(split(C1642, "" ""),2))), index(split(C1642, "" ""),1),"""")"),"")</f>
        <v/>
      </c>
      <c r="T1642" s="315" t="str">
        <f>IFERROR(__xludf.DUMMYFUNCTION("if(S1642="""",C1642,if(not(iserror(index(split(C1642, "" ""),3))), index(split(C1642, "" ""),3),index(split(C1642, "" ""),2)))"),"")</f>
        <v/>
      </c>
      <c r="U1642" s="38" t="b">
        <f t="shared" si="34"/>
        <v>0</v>
      </c>
      <c r="V1642" s="38"/>
      <c r="W1642" s="40"/>
      <c r="X1642" s="40"/>
      <c r="Y1642" s="38"/>
      <c r="Z1642" s="38"/>
      <c r="AA1642" s="38"/>
      <c r="AB1642" s="38"/>
      <c r="AC1642" s="38"/>
      <c r="AD1642" s="38"/>
      <c r="AE1642" s="38"/>
      <c r="AF1642" s="38"/>
      <c r="AG1642" s="38"/>
      <c r="AH1642" s="38"/>
      <c r="AI1642" s="38"/>
      <c r="AJ1642" s="38"/>
      <c r="AK1642" s="38"/>
      <c r="AL1642" s="38"/>
      <c r="AM1642" s="38"/>
      <c r="AN1642" s="38"/>
      <c r="AO1642" s="38"/>
      <c r="AP1642" s="38"/>
      <c r="AQ1642" s="38"/>
      <c r="AR1642" s="38"/>
      <c r="AS1642" s="38"/>
      <c r="AT1642" s="38"/>
      <c r="AU1642" s="38"/>
      <c r="AV1642" s="38"/>
      <c r="AW1642" s="38"/>
      <c r="AX1642" s="38"/>
      <c r="AY1642" s="38"/>
      <c r="AZ1642" s="38"/>
      <c r="BA1642" s="38"/>
      <c r="BB1642" s="38"/>
      <c r="BC1642" s="38"/>
      <c r="BD1642" s="38"/>
      <c r="BE1642" s="38"/>
      <c r="BF1642" s="38"/>
      <c r="BG1642" s="38"/>
      <c r="BH1642" s="38"/>
      <c r="BI1642" s="38"/>
      <c r="BJ1642" s="38"/>
      <c r="BK1642" s="38"/>
      <c r="BL1642" s="38"/>
      <c r="BM1642" s="38"/>
      <c r="BN1642" s="38"/>
      <c r="BO1642" s="38"/>
      <c r="BP1642" s="38"/>
      <c r="BQ1642" s="38"/>
    </row>
    <row r="1643">
      <c r="A1643" s="58"/>
      <c r="B1643" s="341"/>
      <c r="C1643" s="60"/>
      <c r="D1643" s="60"/>
      <c r="E1643" s="58"/>
      <c r="F1643" s="58"/>
      <c r="G1643" s="58"/>
      <c r="H1643" s="33" t="str">
        <f t="shared" si="33"/>
        <v/>
      </c>
      <c r="I1643" s="58"/>
      <c r="J1643" s="58"/>
      <c r="K1643" s="58"/>
      <c r="L1643" s="58"/>
      <c r="M1643" s="80"/>
      <c r="N1643" s="77"/>
      <c r="O1643" s="62"/>
      <c r="P1643" s="62"/>
      <c r="Q1643" s="62"/>
      <c r="R1643" s="62"/>
      <c r="S1643" s="37" t="str">
        <f>IFERROR(__xludf.DUMMYFUNCTION("if(not(iserror(index(split(C1643, "" ""),2))), index(split(C1643, "" ""),1),"""")"),"")</f>
        <v/>
      </c>
      <c r="T1643" s="315" t="str">
        <f>IFERROR(__xludf.DUMMYFUNCTION("if(S1643="""",C1643,if(not(iserror(index(split(C1643, "" ""),3))), index(split(C1643, "" ""),3),index(split(C1643, "" ""),2)))"),"")</f>
        <v/>
      </c>
      <c r="U1643" s="38" t="b">
        <f t="shared" si="34"/>
        <v>0</v>
      </c>
      <c r="V1643" s="38"/>
      <c r="W1643" s="40"/>
      <c r="X1643" s="40"/>
      <c r="Y1643" s="38"/>
      <c r="Z1643" s="38"/>
      <c r="AA1643" s="38"/>
      <c r="AB1643" s="38"/>
      <c r="AC1643" s="38"/>
      <c r="AD1643" s="38"/>
      <c r="AE1643" s="38"/>
      <c r="AF1643" s="38"/>
      <c r="AG1643" s="38"/>
      <c r="AH1643" s="38"/>
      <c r="AI1643" s="38"/>
      <c r="AJ1643" s="38"/>
      <c r="AK1643" s="38"/>
      <c r="AL1643" s="38"/>
      <c r="AM1643" s="38"/>
      <c r="AN1643" s="38"/>
      <c r="AO1643" s="38"/>
      <c r="AP1643" s="38"/>
      <c r="AQ1643" s="38"/>
      <c r="AR1643" s="38"/>
      <c r="AS1643" s="38"/>
      <c r="AT1643" s="38"/>
      <c r="AU1643" s="38"/>
      <c r="AV1643" s="38"/>
      <c r="AW1643" s="38"/>
      <c r="AX1643" s="38"/>
      <c r="AY1643" s="38"/>
      <c r="AZ1643" s="38"/>
      <c r="BA1643" s="38"/>
      <c r="BB1643" s="38"/>
      <c r="BC1643" s="38"/>
      <c r="BD1643" s="38"/>
      <c r="BE1643" s="38"/>
      <c r="BF1643" s="38"/>
      <c r="BG1643" s="38"/>
      <c r="BH1643" s="38"/>
      <c r="BI1643" s="38"/>
      <c r="BJ1643" s="38"/>
      <c r="BK1643" s="38"/>
      <c r="BL1643" s="38"/>
      <c r="BM1643" s="38"/>
      <c r="BN1643" s="38"/>
      <c r="BO1643" s="38"/>
      <c r="BP1643" s="38"/>
      <c r="BQ1643" s="38"/>
    </row>
    <row r="1644">
      <c r="A1644" s="58"/>
      <c r="B1644" s="341"/>
      <c r="C1644" s="60"/>
      <c r="D1644" s="60"/>
      <c r="E1644" s="58"/>
      <c r="F1644" s="58"/>
      <c r="G1644" s="58"/>
      <c r="H1644" s="33" t="str">
        <f t="shared" si="33"/>
        <v/>
      </c>
      <c r="I1644" s="58"/>
      <c r="J1644" s="58"/>
      <c r="K1644" s="58"/>
      <c r="L1644" s="58"/>
      <c r="M1644" s="80"/>
      <c r="N1644" s="77"/>
      <c r="O1644" s="62"/>
      <c r="P1644" s="62"/>
      <c r="Q1644" s="62"/>
      <c r="R1644" s="62"/>
      <c r="S1644" s="37" t="str">
        <f>IFERROR(__xludf.DUMMYFUNCTION("if(not(iserror(index(split(C1644, "" ""),2))), index(split(C1644, "" ""),1),"""")"),"")</f>
        <v/>
      </c>
      <c r="T1644" s="315" t="str">
        <f>IFERROR(__xludf.DUMMYFUNCTION("if(S1644="""",C1644,if(not(iserror(index(split(C1644, "" ""),3))), index(split(C1644, "" ""),3),index(split(C1644, "" ""),2)))"),"")</f>
        <v/>
      </c>
      <c r="U1644" s="38" t="b">
        <f t="shared" si="34"/>
        <v>0</v>
      </c>
      <c r="V1644" s="38"/>
      <c r="W1644" s="40"/>
      <c r="X1644" s="40"/>
      <c r="Y1644" s="38"/>
      <c r="Z1644" s="38"/>
      <c r="AA1644" s="38"/>
      <c r="AB1644" s="38"/>
      <c r="AC1644" s="38"/>
      <c r="AD1644" s="38"/>
      <c r="AE1644" s="38"/>
      <c r="AF1644" s="38"/>
      <c r="AG1644" s="38"/>
      <c r="AH1644" s="38"/>
      <c r="AI1644" s="38"/>
      <c r="AJ1644" s="38"/>
      <c r="AK1644" s="38"/>
      <c r="AL1644" s="38"/>
      <c r="AM1644" s="38"/>
      <c r="AN1644" s="38"/>
      <c r="AO1644" s="38"/>
      <c r="AP1644" s="38"/>
      <c r="AQ1644" s="38"/>
      <c r="AR1644" s="38"/>
      <c r="AS1644" s="38"/>
      <c r="AT1644" s="38"/>
      <c r="AU1644" s="38"/>
      <c r="AV1644" s="38"/>
      <c r="AW1644" s="38"/>
      <c r="AX1644" s="38"/>
      <c r="AY1644" s="38"/>
      <c r="AZ1644" s="38"/>
      <c r="BA1644" s="38"/>
      <c r="BB1644" s="38"/>
      <c r="BC1644" s="38"/>
      <c r="BD1644" s="38"/>
      <c r="BE1644" s="38"/>
      <c r="BF1644" s="38"/>
      <c r="BG1644" s="38"/>
      <c r="BH1644" s="38"/>
      <c r="BI1644" s="38"/>
      <c r="BJ1644" s="38"/>
      <c r="BK1644" s="38"/>
      <c r="BL1644" s="38"/>
      <c r="BM1644" s="38"/>
      <c r="BN1644" s="38"/>
      <c r="BO1644" s="38"/>
      <c r="BP1644" s="38"/>
      <c r="BQ1644" s="38"/>
    </row>
    <row r="1645">
      <c r="A1645" s="81"/>
      <c r="B1645" s="341"/>
      <c r="C1645" s="60"/>
      <c r="D1645" s="60"/>
      <c r="E1645" s="58"/>
      <c r="F1645" s="58"/>
      <c r="G1645" s="58"/>
      <c r="H1645" s="33" t="str">
        <f t="shared" si="33"/>
        <v/>
      </c>
      <c r="I1645" s="58"/>
      <c r="J1645" s="58"/>
      <c r="K1645" s="58"/>
      <c r="L1645" s="58"/>
      <c r="M1645" s="80"/>
      <c r="N1645" s="77"/>
      <c r="O1645" s="62"/>
      <c r="P1645" s="62"/>
      <c r="Q1645" s="62"/>
      <c r="R1645" s="62"/>
      <c r="S1645" s="37" t="str">
        <f>IFERROR(__xludf.DUMMYFUNCTION("if(not(iserror(index(split(C1645, "" ""),2))), index(split(C1645, "" ""),1),"""")"),"")</f>
        <v/>
      </c>
      <c r="T1645" s="315" t="str">
        <f>IFERROR(__xludf.DUMMYFUNCTION("if(S1645="""",C1645,if(not(iserror(index(split(C1645, "" ""),3))), index(split(C1645, "" ""),3),index(split(C1645, "" ""),2)))"),"")</f>
        <v/>
      </c>
      <c r="U1645" s="38" t="b">
        <f t="shared" si="34"/>
        <v>0</v>
      </c>
      <c r="V1645" s="38"/>
      <c r="W1645" s="40"/>
      <c r="X1645" s="40"/>
      <c r="Y1645" s="38"/>
      <c r="Z1645" s="38"/>
      <c r="AA1645" s="38"/>
      <c r="AB1645" s="38"/>
      <c r="AC1645" s="38"/>
      <c r="AD1645" s="38"/>
      <c r="AE1645" s="38"/>
      <c r="AF1645" s="38"/>
      <c r="AG1645" s="38"/>
      <c r="AH1645" s="38"/>
      <c r="AI1645" s="38"/>
      <c r="AJ1645" s="38"/>
      <c r="AK1645" s="38"/>
      <c r="AL1645" s="38"/>
      <c r="AM1645" s="38"/>
      <c r="AN1645" s="38"/>
      <c r="AO1645" s="38"/>
      <c r="AP1645" s="38"/>
      <c r="AQ1645" s="38"/>
      <c r="AR1645" s="38"/>
      <c r="AS1645" s="38"/>
      <c r="AT1645" s="38"/>
      <c r="AU1645" s="38"/>
      <c r="AV1645" s="38"/>
      <c r="AW1645" s="38"/>
      <c r="AX1645" s="38"/>
      <c r="AY1645" s="38"/>
      <c r="AZ1645" s="38"/>
      <c r="BA1645" s="38"/>
      <c r="BB1645" s="38"/>
      <c r="BC1645" s="38"/>
      <c r="BD1645" s="38"/>
      <c r="BE1645" s="38"/>
      <c r="BF1645" s="38"/>
      <c r="BG1645" s="38"/>
      <c r="BH1645" s="38"/>
      <c r="BI1645" s="38"/>
      <c r="BJ1645" s="38"/>
      <c r="BK1645" s="38"/>
      <c r="BL1645" s="38"/>
      <c r="BM1645" s="38"/>
      <c r="BN1645" s="38"/>
      <c r="BO1645" s="38"/>
      <c r="BP1645" s="38"/>
      <c r="BQ1645" s="38"/>
    </row>
    <row r="1646">
      <c r="A1646" s="58"/>
      <c r="B1646" s="341"/>
      <c r="C1646" s="60"/>
      <c r="D1646" s="60"/>
      <c r="E1646" s="58"/>
      <c r="F1646" s="58"/>
      <c r="G1646" s="58"/>
      <c r="H1646" s="33" t="str">
        <f t="shared" si="33"/>
        <v/>
      </c>
      <c r="I1646" s="58"/>
      <c r="J1646" s="58"/>
      <c r="K1646" s="58"/>
      <c r="L1646" s="58"/>
      <c r="M1646" s="80"/>
      <c r="N1646" s="77"/>
      <c r="O1646" s="62"/>
      <c r="P1646" s="62"/>
      <c r="Q1646" s="62"/>
      <c r="R1646" s="62"/>
      <c r="S1646" s="37" t="str">
        <f>IFERROR(__xludf.DUMMYFUNCTION("if(not(iserror(index(split(C1646, "" ""),2))), index(split(C1646, "" ""),1),"""")"),"")</f>
        <v/>
      </c>
      <c r="T1646" s="315" t="str">
        <f>IFERROR(__xludf.DUMMYFUNCTION("if(S1646="""",C1646,if(not(iserror(index(split(C1646, "" ""),3))), index(split(C1646, "" ""),3),index(split(C1646, "" ""),2)))"),"")</f>
        <v/>
      </c>
      <c r="U1646" s="38" t="b">
        <f t="shared" si="34"/>
        <v>0</v>
      </c>
      <c r="V1646" s="38"/>
      <c r="W1646" s="40"/>
      <c r="X1646" s="40"/>
      <c r="Y1646" s="38"/>
      <c r="Z1646" s="38"/>
      <c r="AA1646" s="38"/>
      <c r="AB1646" s="38"/>
      <c r="AC1646" s="38"/>
      <c r="AD1646" s="38"/>
      <c r="AE1646" s="38"/>
      <c r="AF1646" s="38"/>
      <c r="AG1646" s="38"/>
      <c r="AH1646" s="38"/>
      <c r="AI1646" s="38"/>
      <c r="AJ1646" s="38"/>
      <c r="AK1646" s="38"/>
      <c r="AL1646" s="38"/>
      <c r="AM1646" s="38"/>
      <c r="AN1646" s="38"/>
      <c r="AO1646" s="38"/>
      <c r="AP1646" s="38"/>
      <c r="AQ1646" s="38"/>
      <c r="AR1646" s="38"/>
      <c r="AS1646" s="38"/>
      <c r="AT1646" s="38"/>
      <c r="AU1646" s="38"/>
      <c r="AV1646" s="38"/>
      <c r="AW1646" s="38"/>
      <c r="AX1646" s="38"/>
      <c r="AY1646" s="38"/>
      <c r="AZ1646" s="38"/>
      <c r="BA1646" s="38"/>
      <c r="BB1646" s="38"/>
      <c r="BC1646" s="38"/>
      <c r="BD1646" s="38"/>
      <c r="BE1646" s="38"/>
      <c r="BF1646" s="38"/>
      <c r="BG1646" s="38"/>
      <c r="BH1646" s="38"/>
      <c r="BI1646" s="38"/>
      <c r="BJ1646" s="38"/>
      <c r="BK1646" s="38"/>
      <c r="BL1646" s="38"/>
      <c r="BM1646" s="38"/>
      <c r="BN1646" s="38"/>
      <c r="BO1646" s="38"/>
      <c r="BP1646" s="38"/>
      <c r="BQ1646" s="38"/>
    </row>
    <row r="1647">
      <c r="A1647" s="58"/>
      <c r="B1647" s="341"/>
      <c r="C1647" s="60"/>
      <c r="D1647" s="60"/>
      <c r="E1647" s="58"/>
      <c r="F1647" s="58"/>
      <c r="G1647" s="58"/>
      <c r="H1647" s="33" t="str">
        <f t="shared" si="33"/>
        <v/>
      </c>
      <c r="I1647" s="58"/>
      <c r="J1647" s="58"/>
      <c r="K1647" s="58"/>
      <c r="L1647" s="58"/>
      <c r="M1647" s="80"/>
      <c r="N1647" s="77"/>
      <c r="O1647" s="62"/>
      <c r="P1647" s="62"/>
      <c r="Q1647" s="62"/>
      <c r="R1647" s="62"/>
      <c r="S1647" s="37" t="str">
        <f>IFERROR(__xludf.DUMMYFUNCTION("if(not(iserror(index(split(C1647, "" ""),2))), index(split(C1647, "" ""),1),"""")"),"")</f>
        <v/>
      </c>
      <c r="T1647" s="315" t="str">
        <f>IFERROR(__xludf.DUMMYFUNCTION("if(S1647="""",C1647,if(not(iserror(index(split(C1647, "" ""),3))), index(split(C1647, "" ""),3),index(split(C1647, "" ""),2)))"),"")</f>
        <v/>
      </c>
      <c r="U1647" s="38" t="b">
        <f t="shared" si="34"/>
        <v>0</v>
      </c>
      <c r="V1647" s="38"/>
      <c r="W1647" s="40"/>
      <c r="X1647" s="40"/>
      <c r="Y1647" s="38"/>
      <c r="Z1647" s="38"/>
      <c r="AA1647" s="38"/>
      <c r="AB1647" s="38"/>
      <c r="AC1647" s="38"/>
      <c r="AD1647" s="38"/>
      <c r="AE1647" s="38"/>
      <c r="AF1647" s="38"/>
      <c r="AG1647" s="38"/>
      <c r="AH1647" s="38"/>
      <c r="AI1647" s="38"/>
      <c r="AJ1647" s="38"/>
      <c r="AK1647" s="38"/>
      <c r="AL1647" s="38"/>
      <c r="AM1647" s="38"/>
      <c r="AN1647" s="38"/>
      <c r="AO1647" s="38"/>
      <c r="AP1647" s="38"/>
      <c r="AQ1647" s="38"/>
      <c r="AR1647" s="38"/>
      <c r="AS1647" s="38"/>
      <c r="AT1647" s="38"/>
      <c r="AU1647" s="38"/>
      <c r="AV1647" s="38"/>
      <c r="AW1647" s="38"/>
      <c r="AX1647" s="38"/>
      <c r="AY1647" s="38"/>
      <c r="AZ1647" s="38"/>
      <c r="BA1647" s="38"/>
      <c r="BB1647" s="38"/>
      <c r="BC1647" s="38"/>
      <c r="BD1647" s="38"/>
      <c r="BE1647" s="38"/>
      <c r="BF1647" s="38"/>
      <c r="BG1647" s="38"/>
      <c r="BH1647" s="38"/>
      <c r="BI1647" s="38"/>
      <c r="BJ1647" s="38"/>
      <c r="BK1647" s="38"/>
      <c r="BL1647" s="38"/>
      <c r="BM1647" s="38"/>
      <c r="BN1647" s="38"/>
      <c r="BO1647" s="38"/>
      <c r="BP1647" s="38"/>
      <c r="BQ1647" s="38"/>
    </row>
    <row r="1648">
      <c r="A1648" s="58"/>
      <c r="B1648" s="341"/>
      <c r="C1648" s="60"/>
      <c r="D1648" s="60"/>
      <c r="E1648" s="58"/>
      <c r="F1648" s="58"/>
      <c r="G1648" s="58"/>
      <c r="H1648" s="33" t="str">
        <f t="shared" si="33"/>
        <v/>
      </c>
      <c r="I1648" s="58"/>
      <c r="J1648" s="58"/>
      <c r="K1648" s="58"/>
      <c r="L1648" s="58"/>
      <c r="M1648" s="80"/>
      <c r="N1648" s="77"/>
      <c r="O1648" s="62"/>
      <c r="P1648" s="58"/>
      <c r="Q1648" s="84"/>
      <c r="R1648" s="62"/>
      <c r="S1648" s="37" t="str">
        <f>IFERROR(__xludf.DUMMYFUNCTION("if(not(iserror(index(split(C1648, "" ""),2))), index(split(C1648, "" ""),1),"""")"),"")</f>
        <v/>
      </c>
      <c r="T1648" s="315" t="str">
        <f>IFERROR(__xludf.DUMMYFUNCTION("if(S1648="""",C1648,if(not(iserror(index(split(C1648, "" ""),3))), index(split(C1648, "" ""),3),index(split(C1648, "" ""),2)))"),"")</f>
        <v/>
      </c>
      <c r="U1648" s="38" t="b">
        <f t="shared" si="34"/>
        <v>0</v>
      </c>
      <c r="V1648" s="38"/>
      <c r="W1648" s="40"/>
      <c r="X1648" s="40"/>
      <c r="Y1648" s="38"/>
      <c r="Z1648" s="38"/>
      <c r="AA1648" s="38"/>
      <c r="AB1648" s="38"/>
      <c r="AC1648" s="38"/>
      <c r="AD1648" s="38"/>
      <c r="AE1648" s="38"/>
      <c r="AF1648" s="38"/>
      <c r="AG1648" s="38"/>
      <c r="AH1648" s="38"/>
      <c r="AI1648" s="38"/>
      <c r="AJ1648" s="38"/>
      <c r="AK1648" s="38"/>
      <c r="AL1648" s="38"/>
      <c r="AM1648" s="38"/>
      <c r="AN1648" s="38"/>
      <c r="AO1648" s="38"/>
      <c r="AP1648" s="38"/>
      <c r="AQ1648" s="38"/>
      <c r="AR1648" s="38"/>
      <c r="AS1648" s="38"/>
      <c r="AT1648" s="38"/>
      <c r="AU1648" s="38"/>
      <c r="AV1648" s="38"/>
      <c r="AW1648" s="38"/>
      <c r="AX1648" s="38"/>
      <c r="AY1648" s="38"/>
      <c r="AZ1648" s="38"/>
      <c r="BA1648" s="38"/>
      <c r="BB1648" s="38"/>
      <c r="BC1648" s="38"/>
      <c r="BD1648" s="38"/>
      <c r="BE1648" s="38"/>
      <c r="BF1648" s="38"/>
      <c r="BG1648" s="38"/>
      <c r="BH1648" s="38"/>
      <c r="BI1648" s="38"/>
      <c r="BJ1648" s="38"/>
      <c r="BK1648" s="38"/>
      <c r="BL1648" s="38"/>
      <c r="BM1648" s="38"/>
      <c r="BN1648" s="38"/>
      <c r="BO1648" s="38"/>
      <c r="BP1648" s="38"/>
      <c r="BQ1648" s="38"/>
    </row>
    <row r="1649">
      <c r="A1649" s="58"/>
      <c r="B1649" s="341"/>
      <c r="C1649" s="60"/>
      <c r="D1649" s="60"/>
      <c r="E1649" s="58"/>
      <c r="F1649" s="58"/>
      <c r="G1649" s="58"/>
      <c r="H1649" s="33" t="str">
        <f t="shared" si="33"/>
        <v/>
      </c>
      <c r="I1649" s="58"/>
      <c r="J1649" s="58"/>
      <c r="K1649" s="58"/>
      <c r="L1649" s="58"/>
      <c r="M1649" s="80"/>
      <c r="N1649" s="77"/>
      <c r="O1649" s="58"/>
      <c r="P1649" s="62"/>
      <c r="Q1649" s="84"/>
      <c r="R1649" s="62"/>
      <c r="S1649" s="37" t="str">
        <f>IFERROR(__xludf.DUMMYFUNCTION("if(not(iserror(index(split(C1649, "" ""),2))), index(split(C1649, "" ""),1),"""")"),"")</f>
        <v/>
      </c>
      <c r="T1649" s="315" t="str">
        <f>IFERROR(__xludf.DUMMYFUNCTION("if(S1649="""",C1649,if(not(iserror(index(split(C1649, "" ""),3))), index(split(C1649, "" ""),3),index(split(C1649, "" ""),2)))"),"")</f>
        <v/>
      </c>
      <c r="U1649" s="38" t="b">
        <f t="shared" si="34"/>
        <v>0</v>
      </c>
      <c r="V1649" s="38"/>
      <c r="W1649" s="40"/>
      <c r="X1649" s="40"/>
      <c r="Y1649" s="38"/>
      <c r="Z1649" s="38"/>
      <c r="AA1649" s="38"/>
      <c r="AB1649" s="38"/>
      <c r="AC1649" s="38"/>
      <c r="AD1649" s="38"/>
      <c r="AE1649" s="38"/>
      <c r="AF1649" s="38"/>
      <c r="AG1649" s="38"/>
      <c r="AH1649" s="38"/>
      <c r="AI1649" s="38"/>
      <c r="AJ1649" s="38"/>
      <c r="AK1649" s="38"/>
      <c r="AL1649" s="38"/>
      <c r="AM1649" s="38"/>
      <c r="AN1649" s="38"/>
      <c r="AO1649" s="38"/>
      <c r="AP1649" s="38"/>
      <c r="AQ1649" s="38"/>
      <c r="AR1649" s="38"/>
      <c r="AS1649" s="38"/>
      <c r="AT1649" s="38"/>
      <c r="AU1649" s="38"/>
      <c r="AV1649" s="38"/>
      <c r="AW1649" s="38"/>
      <c r="AX1649" s="38"/>
      <c r="AY1649" s="38"/>
      <c r="AZ1649" s="38"/>
      <c r="BA1649" s="38"/>
      <c r="BB1649" s="38"/>
      <c r="BC1649" s="38"/>
      <c r="BD1649" s="38"/>
      <c r="BE1649" s="38"/>
      <c r="BF1649" s="38"/>
      <c r="BG1649" s="38"/>
      <c r="BH1649" s="38"/>
      <c r="BI1649" s="38"/>
      <c r="BJ1649" s="38"/>
      <c r="BK1649" s="38"/>
      <c r="BL1649" s="38"/>
      <c r="BM1649" s="38"/>
      <c r="BN1649" s="38"/>
      <c r="BO1649" s="38"/>
      <c r="BP1649" s="38"/>
      <c r="BQ1649" s="38"/>
    </row>
    <row r="1650">
      <c r="A1650" s="58"/>
      <c r="B1650" s="341"/>
      <c r="C1650" s="60"/>
      <c r="D1650" s="60"/>
      <c r="E1650" s="58"/>
      <c r="F1650" s="58"/>
      <c r="G1650" s="58"/>
      <c r="H1650" s="33" t="str">
        <f t="shared" si="33"/>
        <v/>
      </c>
      <c r="I1650" s="58"/>
      <c r="J1650" s="58"/>
      <c r="K1650" s="58"/>
      <c r="L1650" s="58"/>
      <c r="M1650" s="80"/>
      <c r="N1650" s="77"/>
      <c r="O1650" s="62"/>
      <c r="P1650" s="62"/>
      <c r="Q1650" s="62"/>
      <c r="R1650" s="62"/>
      <c r="S1650" s="37" t="str">
        <f>IFERROR(__xludf.DUMMYFUNCTION("if(not(iserror(index(split(C1650, "" ""),2))), index(split(C1650, "" ""),1),"""")"),"")</f>
        <v/>
      </c>
      <c r="T1650" s="315" t="str">
        <f>IFERROR(__xludf.DUMMYFUNCTION("if(S1650="""",C1650,if(not(iserror(index(split(C1650, "" ""),3))), index(split(C1650, "" ""),3),index(split(C1650, "" ""),2)))"),"")</f>
        <v/>
      </c>
      <c r="U1650" s="38" t="b">
        <f t="shared" si="34"/>
        <v>0</v>
      </c>
      <c r="V1650" s="38"/>
      <c r="W1650" s="40"/>
      <c r="X1650" s="40"/>
      <c r="Y1650" s="38"/>
      <c r="Z1650" s="38"/>
      <c r="AA1650" s="38"/>
      <c r="AB1650" s="38"/>
      <c r="AC1650" s="38"/>
      <c r="AD1650" s="38"/>
      <c r="AE1650" s="38"/>
      <c r="AF1650" s="38"/>
      <c r="AG1650" s="38"/>
      <c r="AH1650" s="38"/>
      <c r="AI1650" s="38"/>
      <c r="AJ1650" s="38"/>
      <c r="AK1650" s="38"/>
      <c r="AL1650" s="38"/>
      <c r="AM1650" s="38"/>
      <c r="AN1650" s="38"/>
      <c r="AO1650" s="38"/>
      <c r="AP1650" s="38"/>
      <c r="AQ1650" s="38"/>
      <c r="AR1650" s="38"/>
      <c r="AS1650" s="38"/>
      <c r="AT1650" s="38"/>
      <c r="AU1650" s="38"/>
      <c r="AV1650" s="38"/>
      <c r="AW1650" s="38"/>
      <c r="AX1650" s="38"/>
      <c r="AY1650" s="38"/>
      <c r="AZ1650" s="38"/>
      <c r="BA1650" s="38"/>
      <c r="BB1650" s="38"/>
      <c r="BC1650" s="38"/>
      <c r="BD1650" s="38"/>
      <c r="BE1650" s="38"/>
      <c r="BF1650" s="38"/>
      <c r="BG1650" s="38"/>
      <c r="BH1650" s="38"/>
      <c r="BI1650" s="38"/>
      <c r="BJ1650" s="38"/>
      <c r="BK1650" s="38"/>
      <c r="BL1650" s="38"/>
      <c r="BM1650" s="38"/>
      <c r="BN1650" s="38"/>
      <c r="BO1650" s="38"/>
      <c r="BP1650" s="38"/>
      <c r="BQ1650" s="38"/>
    </row>
    <row r="1651">
      <c r="A1651" s="58"/>
      <c r="B1651" s="341"/>
      <c r="C1651" s="60"/>
      <c r="D1651" s="60"/>
      <c r="E1651" s="58"/>
      <c r="F1651" s="58"/>
      <c r="G1651" s="58"/>
      <c r="H1651" s="33" t="str">
        <f t="shared" si="33"/>
        <v/>
      </c>
      <c r="I1651" s="58"/>
      <c r="J1651" s="58"/>
      <c r="K1651" s="58"/>
      <c r="L1651" s="58"/>
      <c r="M1651" s="80"/>
      <c r="N1651" s="77"/>
      <c r="O1651" s="62"/>
      <c r="P1651" s="62"/>
      <c r="Q1651" s="62"/>
      <c r="R1651" s="62"/>
      <c r="S1651" s="37" t="str">
        <f>IFERROR(__xludf.DUMMYFUNCTION("if(not(iserror(index(split(C1651, "" ""),2))), index(split(C1651, "" ""),1),"""")"),"")</f>
        <v/>
      </c>
      <c r="T1651" s="315" t="str">
        <f>IFERROR(__xludf.DUMMYFUNCTION("if(S1651="""",C1651,if(not(iserror(index(split(C1651, "" ""),3))), index(split(C1651, "" ""),3),index(split(C1651, "" ""),2)))"),"")</f>
        <v/>
      </c>
      <c r="U1651" s="38" t="b">
        <f t="shared" si="34"/>
        <v>0</v>
      </c>
      <c r="V1651" s="38"/>
      <c r="W1651" s="40"/>
      <c r="X1651" s="40"/>
      <c r="Y1651" s="38"/>
      <c r="Z1651" s="38"/>
      <c r="AA1651" s="38"/>
      <c r="AB1651" s="38"/>
      <c r="AC1651" s="38"/>
      <c r="AD1651" s="38"/>
      <c r="AE1651" s="38"/>
      <c r="AF1651" s="38"/>
      <c r="AG1651" s="38"/>
      <c r="AH1651" s="38"/>
      <c r="AI1651" s="38"/>
      <c r="AJ1651" s="38"/>
      <c r="AK1651" s="38"/>
      <c r="AL1651" s="38"/>
      <c r="AM1651" s="38"/>
      <c r="AN1651" s="38"/>
      <c r="AO1651" s="38"/>
      <c r="AP1651" s="38"/>
      <c r="AQ1651" s="38"/>
      <c r="AR1651" s="38"/>
      <c r="AS1651" s="38"/>
      <c r="AT1651" s="38"/>
      <c r="AU1651" s="38"/>
      <c r="AV1651" s="38"/>
      <c r="AW1651" s="38"/>
      <c r="AX1651" s="38"/>
      <c r="AY1651" s="38"/>
      <c r="AZ1651" s="38"/>
      <c r="BA1651" s="38"/>
      <c r="BB1651" s="38"/>
      <c r="BC1651" s="38"/>
      <c r="BD1651" s="38"/>
      <c r="BE1651" s="38"/>
      <c r="BF1651" s="38"/>
      <c r="BG1651" s="38"/>
      <c r="BH1651" s="38"/>
      <c r="BI1651" s="38"/>
      <c r="BJ1651" s="38"/>
      <c r="BK1651" s="38"/>
      <c r="BL1651" s="38"/>
      <c r="BM1651" s="38"/>
      <c r="BN1651" s="38"/>
      <c r="BO1651" s="38"/>
      <c r="BP1651" s="38"/>
      <c r="BQ1651" s="38"/>
    </row>
    <row r="1652">
      <c r="A1652" s="58"/>
      <c r="B1652" s="341"/>
      <c r="C1652" s="60"/>
      <c r="D1652" s="60"/>
      <c r="E1652" s="58"/>
      <c r="F1652" s="58"/>
      <c r="G1652" s="58"/>
      <c r="H1652" s="33" t="str">
        <f t="shared" si="33"/>
        <v/>
      </c>
      <c r="I1652" s="58"/>
      <c r="J1652" s="58"/>
      <c r="K1652" s="58"/>
      <c r="L1652" s="58"/>
      <c r="M1652" s="80"/>
      <c r="N1652" s="77"/>
      <c r="O1652" s="62"/>
      <c r="P1652" s="62"/>
      <c r="Q1652" s="62"/>
      <c r="R1652" s="62"/>
      <c r="S1652" s="37" t="str">
        <f>IFERROR(__xludf.DUMMYFUNCTION("if(not(iserror(index(split(C1652, "" ""),2))), index(split(C1652, "" ""),1),"""")"),"")</f>
        <v/>
      </c>
      <c r="T1652" s="315" t="str">
        <f>IFERROR(__xludf.DUMMYFUNCTION("if(S1652="""",C1652,if(not(iserror(index(split(C1652, "" ""),3))), index(split(C1652, "" ""),3),index(split(C1652, "" ""),2)))"),"")</f>
        <v/>
      </c>
      <c r="U1652" s="38" t="b">
        <f t="shared" si="34"/>
        <v>0</v>
      </c>
      <c r="V1652" s="38"/>
      <c r="W1652" s="40"/>
      <c r="X1652" s="40"/>
      <c r="Y1652" s="38"/>
      <c r="Z1652" s="38"/>
      <c r="AA1652" s="38"/>
      <c r="AB1652" s="38"/>
      <c r="AC1652" s="38"/>
      <c r="AD1652" s="38"/>
      <c r="AE1652" s="38"/>
      <c r="AF1652" s="38"/>
      <c r="AG1652" s="38"/>
      <c r="AH1652" s="38"/>
      <c r="AI1652" s="38"/>
      <c r="AJ1652" s="38"/>
      <c r="AK1652" s="38"/>
      <c r="AL1652" s="38"/>
      <c r="AM1652" s="38"/>
      <c r="AN1652" s="38"/>
      <c r="AO1652" s="38"/>
      <c r="AP1652" s="38"/>
      <c r="AQ1652" s="38"/>
      <c r="AR1652" s="38"/>
      <c r="AS1652" s="38"/>
      <c r="AT1652" s="38"/>
      <c r="AU1652" s="38"/>
      <c r="AV1652" s="38"/>
      <c r="AW1652" s="38"/>
      <c r="AX1652" s="38"/>
      <c r="AY1652" s="38"/>
      <c r="AZ1652" s="38"/>
      <c r="BA1652" s="38"/>
      <c r="BB1652" s="38"/>
      <c r="BC1652" s="38"/>
      <c r="BD1652" s="38"/>
      <c r="BE1652" s="38"/>
      <c r="BF1652" s="38"/>
      <c r="BG1652" s="38"/>
      <c r="BH1652" s="38"/>
      <c r="BI1652" s="38"/>
      <c r="BJ1652" s="38"/>
      <c r="BK1652" s="38"/>
      <c r="BL1652" s="38"/>
      <c r="BM1652" s="38"/>
      <c r="BN1652" s="38"/>
      <c r="BO1652" s="38"/>
      <c r="BP1652" s="38"/>
      <c r="BQ1652" s="38"/>
    </row>
    <row r="1653">
      <c r="A1653" s="390"/>
      <c r="B1653" s="341"/>
      <c r="C1653" s="60"/>
      <c r="D1653" s="60"/>
      <c r="E1653" s="58"/>
      <c r="F1653" s="58"/>
      <c r="G1653" s="58"/>
      <c r="H1653" s="33" t="str">
        <f t="shared" si="33"/>
        <v/>
      </c>
      <c r="I1653" s="58"/>
      <c r="J1653" s="58"/>
      <c r="K1653" s="58"/>
      <c r="L1653" s="58"/>
      <c r="M1653" s="80"/>
      <c r="N1653" s="77"/>
      <c r="O1653" s="58"/>
      <c r="P1653" s="62"/>
      <c r="Q1653" s="84"/>
      <c r="R1653" s="62"/>
      <c r="S1653" s="37" t="str">
        <f>IFERROR(__xludf.DUMMYFUNCTION("if(not(iserror(index(split(C1653, "" ""),2))), index(split(C1653, "" ""),1),"""")"),"")</f>
        <v/>
      </c>
      <c r="T1653" s="315" t="str">
        <f>IFERROR(__xludf.DUMMYFUNCTION("if(S1653="""",C1653,if(not(iserror(index(split(C1653, "" ""),3))), index(split(C1653, "" ""),3),index(split(C1653, "" ""),2)))"),"")</f>
        <v/>
      </c>
      <c r="U1653" s="38" t="b">
        <f t="shared" si="34"/>
        <v>0</v>
      </c>
      <c r="V1653" s="38"/>
      <c r="W1653" s="40"/>
      <c r="X1653" s="40"/>
      <c r="Y1653" s="38"/>
      <c r="Z1653" s="38"/>
      <c r="AA1653" s="38"/>
      <c r="AB1653" s="38"/>
      <c r="AC1653" s="38"/>
      <c r="AD1653" s="38"/>
      <c r="AE1653" s="38"/>
      <c r="AF1653" s="38"/>
      <c r="AG1653" s="38"/>
      <c r="AH1653" s="38"/>
      <c r="AI1653" s="38"/>
      <c r="AJ1653" s="38"/>
      <c r="AK1653" s="38"/>
      <c r="AL1653" s="38"/>
      <c r="AM1653" s="38"/>
      <c r="AN1653" s="38"/>
      <c r="AO1653" s="38"/>
      <c r="AP1653" s="38"/>
      <c r="AQ1653" s="38"/>
      <c r="AR1653" s="38"/>
      <c r="AS1653" s="38"/>
      <c r="AT1653" s="38"/>
      <c r="AU1653" s="38"/>
      <c r="AV1653" s="38"/>
      <c r="AW1653" s="38"/>
      <c r="AX1653" s="38"/>
      <c r="AY1653" s="38"/>
      <c r="AZ1653" s="38"/>
      <c r="BA1653" s="38"/>
      <c r="BB1653" s="38"/>
      <c r="BC1653" s="38"/>
      <c r="BD1653" s="38"/>
      <c r="BE1653" s="38"/>
      <c r="BF1653" s="38"/>
      <c r="BG1653" s="38"/>
      <c r="BH1653" s="38"/>
      <c r="BI1653" s="38"/>
      <c r="BJ1653" s="38"/>
      <c r="BK1653" s="38"/>
      <c r="BL1653" s="38"/>
      <c r="BM1653" s="38"/>
      <c r="BN1653" s="38"/>
      <c r="BO1653" s="38"/>
      <c r="BP1653" s="38"/>
      <c r="BQ1653" s="38"/>
    </row>
    <row r="1654">
      <c r="A1654" s="58"/>
      <c r="B1654" s="341"/>
      <c r="C1654" s="60"/>
      <c r="D1654" s="60"/>
      <c r="E1654" s="58"/>
      <c r="F1654" s="58"/>
      <c r="G1654" s="58"/>
      <c r="H1654" s="33" t="str">
        <f t="shared" si="33"/>
        <v/>
      </c>
      <c r="I1654" s="58"/>
      <c r="J1654" s="58"/>
      <c r="K1654" s="58"/>
      <c r="L1654" s="58"/>
      <c r="M1654" s="80"/>
      <c r="N1654" s="77"/>
      <c r="O1654" s="58"/>
      <c r="P1654" s="58"/>
      <c r="Q1654" s="84"/>
      <c r="R1654" s="62"/>
      <c r="S1654" s="37" t="str">
        <f>IFERROR(__xludf.DUMMYFUNCTION("if(not(iserror(index(split(C1654, "" ""),2))), index(split(C1654, "" ""),1),"""")"),"")</f>
        <v/>
      </c>
      <c r="T1654" s="315" t="str">
        <f>IFERROR(__xludf.DUMMYFUNCTION("if(S1654="""",C1654,if(not(iserror(index(split(C1654, "" ""),3))), index(split(C1654, "" ""),3),index(split(C1654, "" ""),2)))"),"")</f>
        <v/>
      </c>
      <c r="U1654" s="38" t="b">
        <f t="shared" si="34"/>
        <v>0</v>
      </c>
      <c r="V1654" s="38"/>
      <c r="W1654" s="40"/>
      <c r="X1654" s="40"/>
      <c r="Y1654" s="38"/>
      <c r="Z1654" s="38"/>
      <c r="AA1654" s="38"/>
      <c r="AB1654" s="38"/>
      <c r="AC1654" s="38"/>
      <c r="AD1654" s="38"/>
      <c r="AE1654" s="38"/>
      <c r="AF1654" s="38"/>
      <c r="AG1654" s="38"/>
      <c r="AH1654" s="38"/>
      <c r="AI1654" s="38"/>
      <c r="AJ1654" s="38"/>
      <c r="AK1654" s="38"/>
      <c r="AL1654" s="38"/>
      <c r="AM1654" s="38"/>
      <c r="AN1654" s="38"/>
      <c r="AO1654" s="38"/>
      <c r="AP1654" s="38"/>
      <c r="AQ1654" s="38"/>
      <c r="AR1654" s="38"/>
      <c r="AS1654" s="38"/>
      <c r="AT1654" s="38"/>
      <c r="AU1654" s="38"/>
      <c r="AV1654" s="38"/>
      <c r="AW1654" s="38"/>
      <c r="AX1654" s="38"/>
      <c r="AY1654" s="38"/>
      <c r="AZ1654" s="38"/>
      <c r="BA1654" s="38"/>
      <c r="BB1654" s="38"/>
      <c r="BC1654" s="38"/>
      <c r="BD1654" s="38"/>
      <c r="BE1654" s="38"/>
      <c r="BF1654" s="38"/>
      <c r="BG1654" s="38"/>
      <c r="BH1654" s="38"/>
      <c r="BI1654" s="38"/>
      <c r="BJ1654" s="38"/>
      <c r="BK1654" s="38"/>
      <c r="BL1654" s="38"/>
      <c r="BM1654" s="38"/>
      <c r="BN1654" s="38"/>
      <c r="BO1654" s="38"/>
      <c r="BP1654" s="38"/>
      <c r="BQ1654" s="38"/>
    </row>
    <row r="1655">
      <c r="A1655" s="91"/>
      <c r="B1655" s="383"/>
      <c r="C1655" s="146"/>
      <c r="D1655" s="146"/>
      <c r="E1655" s="91"/>
      <c r="F1655" s="91"/>
      <c r="G1655" s="91"/>
      <c r="H1655" s="33" t="str">
        <f t="shared" si="33"/>
        <v/>
      </c>
      <c r="I1655" s="91"/>
      <c r="J1655" s="91"/>
      <c r="K1655" s="91"/>
      <c r="L1655" s="91"/>
      <c r="M1655" s="95"/>
      <c r="N1655" s="14"/>
      <c r="O1655" s="58"/>
      <c r="P1655" s="58"/>
      <c r="Q1655" s="84"/>
      <c r="R1655" s="62"/>
      <c r="S1655" s="37" t="str">
        <f>IFERROR(__xludf.DUMMYFUNCTION("if(not(iserror(index(split(C1655, "" ""),2))), index(split(C1655, "" ""),1),"""")"),"")</f>
        <v/>
      </c>
      <c r="T1655" s="315" t="str">
        <f>IFERROR(__xludf.DUMMYFUNCTION("if(S1655="""",C1655,if(not(iserror(index(split(C1655, "" ""),3))), index(split(C1655, "" ""),3),index(split(C1655, "" ""),2)))"),"")</f>
        <v/>
      </c>
      <c r="U1655" s="38" t="b">
        <f t="shared" si="34"/>
        <v>0</v>
      </c>
      <c r="V1655" s="38"/>
      <c r="W1655" s="40"/>
      <c r="X1655" s="40"/>
      <c r="Y1655" s="38"/>
      <c r="Z1655" s="38"/>
      <c r="AA1655" s="38"/>
      <c r="AB1655" s="38"/>
      <c r="AC1655" s="38"/>
      <c r="AD1655" s="38"/>
      <c r="AE1655" s="38"/>
      <c r="AF1655" s="38"/>
      <c r="AG1655" s="38"/>
      <c r="AH1655" s="38"/>
      <c r="AI1655" s="38"/>
      <c r="AJ1655" s="38"/>
      <c r="AK1655" s="38"/>
      <c r="AL1655" s="38"/>
      <c r="AM1655" s="38"/>
      <c r="AN1655" s="38"/>
      <c r="AO1655" s="38"/>
      <c r="AP1655" s="38"/>
      <c r="AQ1655" s="38"/>
      <c r="AR1655" s="38"/>
      <c r="AS1655" s="38"/>
      <c r="AT1655" s="38"/>
      <c r="AU1655" s="38"/>
      <c r="AV1655" s="38"/>
      <c r="AW1655" s="38"/>
      <c r="AX1655" s="38"/>
      <c r="AY1655" s="38"/>
      <c r="AZ1655" s="38"/>
      <c r="BA1655" s="38"/>
      <c r="BB1655" s="38"/>
      <c r="BC1655" s="38"/>
      <c r="BD1655" s="38"/>
      <c r="BE1655" s="38"/>
      <c r="BF1655" s="38"/>
      <c r="BG1655" s="38"/>
      <c r="BH1655" s="38"/>
      <c r="BI1655" s="38"/>
      <c r="BJ1655" s="38"/>
      <c r="BK1655" s="38"/>
      <c r="BL1655" s="38"/>
      <c r="BM1655" s="38"/>
      <c r="BN1655" s="38"/>
      <c r="BO1655" s="38"/>
      <c r="BP1655" s="38"/>
      <c r="BQ1655" s="38"/>
    </row>
    <row r="1656">
      <c r="A1656" s="91"/>
      <c r="B1656" s="383"/>
      <c r="C1656" s="146"/>
      <c r="D1656" s="146"/>
      <c r="E1656" s="91"/>
      <c r="F1656" s="91"/>
      <c r="G1656" s="91"/>
      <c r="H1656" s="33" t="str">
        <f t="shared" si="33"/>
        <v/>
      </c>
      <c r="I1656" s="91"/>
      <c r="J1656" s="91"/>
      <c r="K1656" s="91"/>
      <c r="L1656" s="91"/>
      <c r="M1656" s="95"/>
      <c r="N1656" s="15"/>
      <c r="O1656" s="58"/>
      <c r="P1656" s="58"/>
      <c r="Q1656" s="84"/>
      <c r="R1656" s="62"/>
      <c r="S1656" s="37" t="str">
        <f>IFERROR(__xludf.DUMMYFUNCTION("if(not(iserror(index(split(C1656, "" ""),2))), index(split(C1656, "" ""),1),"""")"),"")</f>
        <v/>
      </c>
      <c r="T1656" s="315" t="str">
        <f>IFERROR(__xludf.DUMMYFUNCTION("if(S1656="""",C1656,if(not(iserror(index(split(C1656, "" ""),3))), index(split(C1656, "" ""),3),index(split(C1656, "" ""),2)))"),"")</f>
        <v/>
      </c>
      <c r="U1656" s="38" t="b">
        <f t="shared" si="34"/>
        <v>0</v>
      </c>
      <c r="V1656" s="38"/>
      <c r="W1656" s="40"/>
      <c r="X1656" s="40"/>
      <c r="Y1656" s="38"/>
      <c r="Z1656" s="38"/>
      <c r="AA1656" s="38"/>
      <c r="AB1656" s="38"/>
      <c r="AC1656" s="38"/>
      <c r="AD1656" s="38"/>
      <c r="AE1656" s="38"/>
      <c r="AF1656" s="38"/>
      <c r="AG1656" s="38"/>
      <c r="AH1656" s="38"/>
      <c r="AI1656" s="38"/>
      <c r="AJ1656" s="38"/>
      <c r="AK1656" s="38"/>
      <c r="AL1656" s="38"/>
      <c r="AM1656" s="38"/>
      <c r="AN1656" s="38"/>
      <c r="AO1656" s="38"/>
      <c r="AP1656" s="38"/>
      <c r="AQ1656" s="38"/>
      <c r="AR1656" s="38"/>
      <c r="AS1656" s="38"/>
      <c r="AT1656" s="38"/>
      <c r="AU1656" s="38"/>
      <c r="AV1656" s="38"/>
      <c r="AW1656" s="38"/>
      <c r="AX1656" s="38"/>
      <c r="AY1656" s="38"/>
      <c r="AZ1656" s="38"/>
      <c r="BA1656" s="38"/>
      <c r="BB1656" s="38"/>
      <c r="BC1656" s="38"/>
      <c r="BD1656" s="38"/>
      <c r="BE1656" s="38"/>
      <c r="BF1656" s="38"/>
      <c r="BG1656" s="38"/>
      <c r="BH1656" s="38"/>
      <c r="BI1656" s="38"/>
      <c r="BJ1656" s="38"/>
      <c r="BK1656" s="38"/>
      <c r="BL1656" s="38"/>
      <c r="BM1656" s="38"/>
      <c r="BN1656" s="38"/>
      <c r="BO1656" s="38"/>
      <c r="BP1656" s="38"/>
      <c r="BQ1656" s="38"/>
    </row>
    <row r="1657">
      <c r="A1657" s="58"/>
      <c r="B1657" s="341"/>
      <c r="C1657" s="60"/>
      <c r="D1657" s="60"/>
      <c r="E1657" s="58"/>
      <c r="F1657" s="58"/>
      <c r="G1657" s="58"/>
      <c r="H1657" s="33" t="str">
        <f t="shared" si="33"/>
        <v/>
      </c>
      <c r="I1657" s="58"/>
      <c r="J1657" s="58"/>
      <c r="K1657" s="58"/>
      <c r="L1657" s="58"/>
      <c r="M1657" s="80"/>
      <c r="N1657" s="80"/>
      <c r="O1657" s="62"/>
      <c r="P1657" s="62"/>
      <c r="Q1657" s="62"/>
      <c r="R1657" s="62"/>
      <c r="S1657" s="37" t="str">
        <f>IFERROR(__xludf.DUMMYFUNCTION("if(not(iserror(index(split(C1657, "" ""),2))), index(split(C1657, "" ""),1),"""")"),"")</f>
        <v/>
      </c>
      <c r="T1657" s="315" t="str">
        <f>IFERROR(__xludf.DUMMYFUNCTION("if(S1657="""",C1657,if(not(iserror(index(split(C1657, "" ""),3))), index(split(C1657, "" ""),3),index(split(C1657, "" ""),2)))"),"")</f>
        <v/>
      </c>
      <c r="U1657" s="38" t="b">
        <f t="shared" si="34"/>
        <v>0</v>
      </c>
      <c r="V1657" s="38"/>
      <c r="W1657" s="40"/>
      <c r="X1657" s="40"/>
      <c r="Y1657" s="38"/>
      <c r="Z1657" s="38"/>
      <c r="AA1657" s="38"/>
      <c r="AB1657" s="38"/>
      <c r="AC1657" s="38"/>
      <c r="AD1657" s="38"/>
      <c r="AE1657" s="38"/>
      <c r="AF1657" s="38"/>
      <c r="AG1657" s="38"/>
      <c r="AH1657" s="38"/>
      <c r="AI1657" s="38"/>
      <c r="AJ1657" s="38"/>
      <c r="AK1657" s="38"/>
      <c r="AL1657" s="38"/>
      <c r="AM1657" s="38"/>
      <c r="AN1657" s="38"/>
      <c r="AO1657" s="38"/>
      <c r="AP1657" s="38"/>
      <c r="AQ1657" s="38"/>
      <c r="AR1657" s="38"/>
      <c r="AS1657" s="38"/>
      <c r="AT1657" s="38"/>
      <c r="AU1657" s="38"/>
      <c r="AV1657" s="38"/>
      <c r="AW1657" s="38"/>
      <c r="AX1657" s="38"/>
      <c r="AY1657" s="38"/>
      <c r="AZ1657" s="38"/>
      <c r="BA1657" s="38"/>
      <c r="BB1657" s="38"/>
      <c r="BC1657" s="38"/>
      <c r="BD1657" s="38"/>
      <c r="BE1657" s="38"/>
      <c r="BF1657" s="38"/>
      <c r="BG1657" s="38"/>
      <c r="BH1657" s="38"/>
      <c r="BI1657" s="38"/>
      <c r="BJ1657" s="38"/>
      <c r="BK1657" s="38"/>
      <c r="BL1657" s="38"/>
      <c r="BM1657" s="38"/>
      <c r="BN1657" s="38"/>
      <c r="BO1657" s="38"/>
      <c r="BP1657" s="38"/>
      <c r="BQ1657" s="38"/>
    </row>
    <row r="1658">
      <c r="A1658" s="58"/>
      <c r="B1658" s="341"/>
      <c r="C1658" s="60"/>
      <c r="D1658" s="60"/>
      <c r="E1658" s="58"/>
      <c r="F1658" s="58"/>
      <c r="G1658" s="58"/>
      <c r="H1658" s="33" t="str">
        <f t="shared" si="33"/>
        <v/>
      </c>
      <c r="I1658" s="58"/>
      <c r="J1658" s="58"/>
      <c r="K1658" s="58"/>
      <c r="L1658" s="58"/>
      <c r="M1658" s="80"/>
      <c r="N1658" s="80"/>
      <c r="O1658" s="62"/>
      <c r="P1658" s="62"/>
      <c r="Q1658" s="62"/>
      <c r="R1658" s="62"/>
      <c r="S1658" s="37" t="str">
        <f>IFERROR(__xludf.DUMMYFUNCTION("if(not(iserror(index(split(C1658, "" ""),2))), index(split(C1658, "" ""),1),"""")"),"")</f>
        <v/>
      </c>
      <c r="T1658" s="315" t="str">
        <f>IFERROR(__xludf.DUMMYFUNCTION("if(S1658="""",C1658,if(not(iserror(index(split(C1658, "" ""),3))), index(split(C1658, "" ""),3),index(split(C1658, "" ""),2)))"),"")</f>
        <v/>
      </c>
      <c r="U1658" s="38" t="b">
        <f t="shared" si="34"/>
        <v>0</v>
      </c>
      <c r="V1658" s="38"/>
      <c r="W1658" s="40"/>
      <c r="X1658" s="40"/>
      <c r="Y1658" s="38"/>
      <c r="Z1658" s="38"/>
      <c r="AA1658" s="38"/>
      <c r="AB1658" s="38"/>
      <c r="AC1658" s="38"/>
      <c r="AD1658" s="38"/>
      <c r="AE1658" s="38"/>
      <c r="AF1658" s="38"/>
      <c r="AG1658" s="38"/>
      <c r="AH1658" s="38"/>
      <c r="AI1658" s="38"/>
      <c r="AJ1658" s="38"/>
      <c r="AK1658" s="38"/>
      <c r="AL1658" s="38"/>
      <c r="AM1658" s="38"/>
      <c r="AN1658" s="38"/>
      <c r="AO1658" s="38"/>
      <c r="AP1658" s="38"/>
      <c r="AQ1658" s="38"/>
      <c r="AR1658" s="38"/>
      <c r="AS1658" s="38"/>
      <c r="AT1658" s="38"/>
      <c r="AU1658" s="38"/>
      <c r="AV1658" s="38"/>
      <c r="AW1658" s="38"/>
      <c r="AX1658" s="38"/>
      <c r="AY1658" s="38"/>
      <c r="AZ1658" s="38"/>
      <c r="BA1658" s="38"/>
      <c r="BB1658" s="38"/>
      <c r="BC1658" s="38"/>
      <c r="BD1658" s="38"/>
      <c r="BE1658" s="38"/>
      <c r="BF1658" s="38"/>
      <c r="BG1658" s="38"/>
      <c r="BH1658" s="38"/>
      <c r="BI1658" s="38"/>
      <c r="BJ1658" s="38"/>
      <c r="BK1658" s="38"/>
      <c r="BL1658" s="38"/>
      <c r="BM1658" s="38"/>
      <c r="BN1658" s="38"/>
      <c r="BO1658" s="38"/>
      <c r="BP1658" s="38"/>
      <c r="BQ1658" s="38"/>
    </row>
    <row r="1659">
      <c r="A1659" s="58"/>
      <c r="B1659" s="341"/>
      <c r="C1659" s="60"/>
      <c r="D1659" s="60"/>
      <c r="E1659" s="58"/>
      <c r="F1659" s="58"/>
      <c r="G1659" s="58"/>
      <c r="H1659" s="33" t="str">
        <f t="shared" si="33"/>
        <v/>
      </c>
      <c r="I1659" s="58"/>
      <c r="J1659" s="58"/>
      <c r="K1659" s="58"/>
      <c r="L1659" s="58"/>
      <c r="M1659" s="80"/>
      <c r="N1659" s="77"/>
      <c r="O1659" s="62"/>
      <c r="P1659" s="62"/>
      <c r="Q1659" s="62"/>
      <c r="R1659" s="62"/>
      <c r="S1659" s="37" t="str">
        <f>IFERROR(__xludf.DUMMYFUNCTION("if(not(iserror(index(split(C1659, "" ""),2))), index(split(C1659, "" ""),1),"""")"),"")</f>
        <v/>
      </c>
      <c r="T1659" s="315" t="str">
        <f>IFERROR(__xludf.DUMMYFUNCTION("if(S1659="""",C1659,if(not(iserror(index(split(C1659, "" ""),3))), index(split(C1659, "" ""),3),index(split(C1659, "" ""),2)))"),"")</f>
        <v/>
      </c>
      <c r="U1659" s="38" t="b">
        <f t="shared" si="34"/>
        <v>0</v>
      </c>
      <c r="V1659" s="38"/>
      <c r="W1659" s="40"/>
      <c r="X1659" s="40"/>
      <c r="Y1659" s="38"/>
      <c r="Z1659" s="38"/>
      <c r="AA1659" s="38"/>
      <c r="AB1659" s="38"/>
      <c r="AC1659" s="38"/>
      <c r="AD1659" s="38"/>
      <c r="AE1659" s="38"/>
      <c r="AF1659" s="38"/>
      <c r="AG1659" s="38"/>
      <c r="AH1659" s="38"/>
      <c r="AI1659" s="38"/>
      <c r="AJ1659" s="38"/>
      <c r="AK1659" s="38"/>
      <c r="AL1659" s="38"/>
      <c r="AM1659" s="38"/>
      <c r="AN1659" s="38"/>
      <c r="AO1659" s="38"/>
      <c r="AP1659" s="38"/>
      <c r="AQ1659" s="38"/>
      <c r="AR1659" s="38"/>
      <c r="AS1659" s="38"/>
      <c r="AT1659" s="38"/>
      <c r="AU1659" s="38"/>
      <c r="AV1659" s="38"/>
      <c r="AW1659" s="38"/>
      <c r="AX1659" s="38"/>
      <c r="AY1659" s="38"/>
      <c r="AZ1659" s="38"/>
      <c r="BA1659" s="38"/>
      <c r="BB1659" s="38"/>
      <c r="BC1659" s="38"/>
      <c r="BD1659" s="38"/>
      <c r="BE1659" s="38"/>
      <c r="BF1659" s="38"/>
      <c r="BG1659" s="38"/>
      <c r="BH1659" s="38"/>
      <c r="BI1659" s="38"/>
      <c r="BJ1659" s="38"/>
      <c r="BK1659" s="38"/>
      <c r="BL1659" s="38"/>
      <c r="BM1659" s="38"/>
      <c r="BN1659" s="38"/>
      <c r="BO1659" s="38"/>
      <c r="BP1659" s="38"/>
      <c r="BQ1659" s="38"/>
    </row>
    <row r="1660">
      <c r="A1660" s="58"/>
      <c r="B1660" s="341"/>
      <c r="C1660" s="60"/>
      <c r="D1660" s="60"/>
      <c r="E1660" s="58"/>
      <c r="F1660" s="58"/>
      <c r="G1660" s="58"/>
      <c r="H1660" s="33" t="str">
        <f t="shared" si="33"/>
        <v/>
      </c>
      <c r="I1660" s="58"/>
      <c r="J1660" s="58"/>
      <c r="K1660" s="58"/>
      <c r="L1660" s="58"/>
      <c r="M1660" s="80"/>
      <c r="N1660" s="77"/>
      <c r="O1660" s="62"/>
      <c r="P1660" s="62"/>
      <c r="Q1660" s="62"/>
      <c r="R1660" s="62"/>
      <c r="S1660" s="37" t="str">
        <f>IFERROR(__xludf.DUMMYFUNCTION("if(not(iserror(index(split(C1660, "" ""),2))), index(split(C1660, "" ""),1),"""")"),"")</f>
        <v/>
      </c>
      <c r="T1660" s="315" t="str">
        <f>IFERROR(__xludf.DUMMYFUNCTION("if(S1660="""",C1660,if(not(iserror(index(split(C1660, "" ""),3))), index(split(C1660, "" ""),3),index(split(C1660, "" ""),2)))"),"")</f>
        <v/>
      </c>
      <c r="U1660" s="38" t="b">
        <f t="shared" si="34"/>
        <v>0</v>
      </c>
      <c r="V1660" s="38"/>
      <c r="W1660" s="40"/>
      <c r="X1660" s="40"/>
      <c r="Y1660" s="38"/>
      <c r="Z1660" s="38"/>
      <c r="AA1660" s="38"/>
      <c r="AB1660" s="38"/>
      <c r="AC1660" s="38"/>
      <c r="AD1660" s="38"/>
      <c r="AE1660" s="38"/>
      <c r="AF1660" s="38"/>
      <c r="AG1660" s="38"/>
      <c r="AH1660" s="38"/>
      <c r="AI1660" s="38"/>
      <c r="AJ1660" s="38"/>
      <c r="AK1660" s="38"/>
      <c r="AL1660" s="38"/>
      <c r="AM1660" s="38"/>
      <c r="AN1660" s="38"/>
      <c r="AO1660" s="38"/>
      <c r="AP1660" s="38"/>
      <c r="AQ1660" s="38"/>
      <c r="AR1660" s="38"/>
      <c r="AS1660" s="38"/>
      <c r="AT1660" s="38"/>
      <c r="AU1660" s="38"/>
      <c r="AV1660" s="38"/>
      <c r="AW1660" s="38"/>
      <c r="AX1660" s="38"/>
      <c r="AY1660" s="38"/>
      <c r="AZ1660" s="38"/>
      <c r="BA1660" s="38"/>
      <c r="BB1660" s="38"/>
      <c r="BC1660" s="38"/>
      <c r="BD1660" s="38"/>
      <c r="BE1660" s="38"/>
      <c r="BF1660" s="38"/>
      <c r="BG1660" s="38"/>
      <c r="BH1660" s="38"/>
      <c r="BI1660" s="38"/>
      <c r="BJ1660" s="38"/>
      <c r="BK1660" s="38"/>
      <c r="BL1660" s="38"/>
      <c r="BM1660" s="38"/>
      <c r="BN1660" s="38"/>
      <c r="BO1660" s="38"/>
      <c r="BP1660" s="38"/>
      <c r="BQ1660" s="38"/>
    </row>
    <row r="1661">
      <c r="A1661" s="58"/>
      <c r="B1661" s="341"/>
      <c r="C1661" s="60"/>
      <c r="D1661" s="60"/>
      <c r="E1661" s="58"/>
      <c r="F1661" s="58"/>
      <c r="G1661" s="58"/>
      <c r="H1661" s="33" t="str">
        <f t="shared" si="33"/>
        <v/>
      </c>
      <c r="I1661" s="58"/>
      <c r="J1661" s="58"/>
      <c r="K1661" s="58"/>
      <c r="L1661" s="58"/>
      <c r="M1661" s="80"/>
      <c r="N1661" s="77"/>
      <c r="O1661" s="58"/>
      <c r="P1661" s="62"/>
      <c r="Q1661" s="84"/>
      <c r="R1661" s="62"/>
      <c r="S1661" s="37" t="str">
        <f>IFERROR(__xludf.DUMMYFUNCTION("if(not(iserror(index(split(C1661, "" ""),2))), index(split(C1661, "" ""),1),"""")"),"")</f>
        <v/>
      </c>
      <c r="T1661" s="315" t="str">
        <f>IFERROR(__xludf.DUMMYFUNCTION("if(S1661="""",C1661,if(not(iserror(index(split(C1661, "" ""),3))), index(split(C1661, "" ""),3),index(split(C1661, "" ""),2)))"),"")</f>
        <v/>
      </c>
      <c r="U1661" s="38" t="b">
        <f t="shared" si="34"/>
        <v>0</v>
      </c>
      <c r="V1661" s="38"/>
      <c r="W1661" s="40"/>
      <c r="X1661" s="40"/>
      <c r="Y1661" s="38"/>
      <c r="Z1661" s="38"/>
      <c r="AA1661" s="38"/>
      <c r="AB1661" s="38"/>
      <c r="AC1661" s="38"/>
      <c r="AD1661" s="38"/>
      <c r="AE1661" s="38"/>
      <c r="AF1661" s="38"/>
      <c r="AG1661" s="38"/>
      <c r="AH1661" s="38"/>
      <c r="AI1661" s="38"/>
      <c r="AJ1661" s="38"/>
      <c r="AK1661" s="38"/>
      <c r="AL1661" s="38"/>
      <c r="AM1661" s="38"/>
      <c r="AN1661" s="38"/>
      <c r="AO1661" s="38"/>
      <c r="AP1661" s="38"/>
      <c r="AQ1661" s="38"/>
      <c r="AR1661" s="38"/>
      <c r="AS1661" s="38"/>
      <c r="AT1661" s="38"/>
      <c r="AU1661" s="38"/>
      <c r="AV1661" s="38"/>
      <c r="AW1661" s="38"/>
      <c r="AX1661" s="38"/>
      <c r="AY1661" s="38"/>
      <c r="AZ1661" s="38"/>
      <c r="BA1661" s="38"/>
      <c r="BB1661" s="38"/>
      <c r="BC1661" s="38"/>
      <c r="BD1661" s="38"/>
      <c r="BE1661" s="38"/>
      <c r="BF1661" s="38"/>
      <c r="BG1661" s="38"/>
      <c r="BH1661" s="38"/>
      <c r="BI1661" s="38"/>
      <c r="BJ1661" s="38"/>
      <c r="BK1661" s="38"/>
      <c r="BL1661" s="38"/>
      <c r="BM1661" s="38"/>
      <c r="BN1661" s="38"/>
      <c r="BO1661" s="38"/>
      <c r="BP1661" s="38"/>
      <c r="BQ1661" s="38"/>
    </row>
    <row r="1662">
      <c r="A1662" s="58"/>
      <c r="B1662" s="341"/>
      <c r="C1662" s="60"/>
      <c r="D1662" s="60"/>
      <c r="E1662" s="58"/>
      <c r="F1662" s="58"/>
      <c r="G1662" s="58"/>
      <c r="H1662" s="33" t="str">
        <f t="shared" si="33"/>
        <v/>
      </c>
      <c r="I1662" s="58"/>
      <c r="J1662" s="58"/>
      <c r="K1662" s="58"/>
      <c r="L1662" s="58"/>
      <c r="M1662" s="80"/>
      <c r="N1662" s="77"/>
      <c r="O1662" s="58"/>
      <c r="P1662" s="62"/>
      <c r="Q1662" s="84"/>
      <c r="R1662" s="62"/>
      <c r="S1662" s="37" t="str">
        <f>IFERROR(__xludf.DUMMYFUNCTION("if(not(iserror(index(split(C1662, "" ""),2))), index(split(C1662, "" ""),1),"""")"),"")</f>
        <v/>
      </c>
      <c r="T1662" s="315" t="str">
        <f>IFERROR(__xludf.DUMMYFUNCTION("if(S1662="""",C1662,if(not(iserror(index(split(C1662, "" ""),3))), index(split(C1662, "" ""),3),index(split(C1662, "" ""),2)))"),"")</f>
        <v/>
      </c>
      <c r="U1662" s="38" t="b">
        <f t="shared" si="34"/>
        <v>0</v>
      </c>
      <c r="V1662" s="38"/>
      <c r="W1662" s="40"/>
      <c r="X1662" s="40"/>
      <c r="Y1662" s="38"/>
      <c r="Z1662" s="38"/>
      <c r="AA1662" s="38"/>
      <c r="AB1662" s="38"/>
      <c r="AC1662" s="38"/>
      <c r="AD1662" s="38"/>
      <c r="AE1662" s="38"/>
      <c r="AF1662" s="38"/>
      <c r="AG1662" s="38"/>
      <c r="AH1662" s="38"/>
      <c r="AI1662" s="38"/>
      <c r="AJ1662" s="38"/>
      <c r="AK1662" s="38"/>
      <c r="AL1662" s="38"/>
      <c r="AM1662" s="38"/>
      <c r="AN1662" s="38"/>
      <c r="AO1662" s="38"/>
      <c r="AP1662" s="38"/>
      <c r="AQ1662" s="38"/>
      <c r="AR1662" s="38"/>
      <c r="AS1662" s="38"/>
      <c r="AT1662" s="38"/>
      <c r="AU1662" s="38"/>
      <c r="AV1662" s="38"/>
      <c r="AW1662" s="38"/>
      <c r="AX1662" s="38"/>
      <c r="AY1662" s="38"/>
      <c r="AZ1662" s="38"/>
      <c r="BA1662" s="38"/>
      <c r="BB1662" s="38"/>
      <c r="BC1662" s="38"/>
      <c r="BD1662" s="38"/>
      <c r="BE1662" s="38"/>
      <c r="BF1662" s="38"/>
      <c r="BG1662" s="38"/>
      <c r="BH1662" s="38"/>
      <c r="BI1662" s="38"/>
      <c r="BJ1662" s="38"/>
      <c r="BK1662" s="38"/>
      <c r="BL1662" s="38"/>
      <c r="BM1662" s="38"/>
      <c r="BN1662" s="38"/>
      <c r="BO1662" s="38"/>
      <c r="BP1662" s="38"/>
      <c r="BQ1662" s="38"/>
    </row>
    <row r="1663">
      <c r="A1663" s="91"/>
      <c r="B1663" s="383"/>
      <c r="C1663" s="146"/>
      <c r="D1663" s="146"/>
      <c r="E1663" s="91"/>
      <c r="F1663" s="91"/>
      <c r="G1663" s="91"/>
      <c r="H1663" s="33" t="str">
        <f t="shared" si="33"/>
        <v/>
      </c>
      <c r="I1663" s="91"/>
      <c r="J1663" s="91"/>
      <c r="K1663" s="91"/>
      <c r="L1663" s="91"/>
      <c r="M1663" s="95"/>
      <c r="N1663" s="15"/>
      <c r="O1663" s="58"/>
      <c r="P1663" s="58"/>
      <c r="Q1663" s="84"/>
      <c r="R1663" s="62"/>
      <c r="S1663" s="37" t="str">
        <f>IFERROR(__xludf.DUMMYFUNCTION("if(not(iserror(index(split(C1663, "" ""),2))), index(split(C1663, "" ""),1),"""")"),"")</f>
        <v/>
      </c>
      <c r="T1663" s="315" t="str">
        <f>IFERROR(__xludf.DUMMYFUNCTION("if(S1663="""",C1663,if(not(iserror(index(split(C1663, "" ""),3))), index(split(C1663, "" ""),3),index(split(C1663, "" ""),2)))"),"")</f>
        <v/>
      </c>
      <c r="U1663" s="38" t="b">
        <f t="shared" si="34"/>
        <v>0</v>
      </c>
      <c r="V1663" s="38"/>
      <c r="W1663" s="40"/>
      <c r="X1663" s="40"/>
      <c r="Y1663" s="38"/>
      <c r="Z1663" s="38"/>
      <c r="AA1663" s="38"/>
      <c r="AB1663" s="38"/>
      <c r="AC1663" s="38"/>
      <c r="AD1663" s="38"/>
      <c r="AE1663" s="38"/>
      <c r="AF1663" s="38"/>
      <c r="AG1663" s="38"/>
      <c r="AH1663" s="38"/>
      <c r="AI1663" s="38"/>
      <c r="AJ1663" s="38"/>
      <c r="AK1663" s="38"/>
      <c r="AL1663" s="38"/>
      <c r="AM1663" s="38"/>
      <c r="AN1663" s="38"/>
      <c r="AO1663" s="38"/>
      <c r="AP1663" s="38"/>
      <c r="AQ1663" s="38"/>
      <c r="AR1663" s="38"/>
      <c r="AS1663" s="38"/>
      <c r="AT1663" s="38"/>
      <c r="AU1663" s="38"/>
      <c r="AV1663" s="38"/>
      <c r="AW1663" s="38"/>
      <c r="AX1663" s="38"/>
      <c r="AY1663" s="38"/>
      <c r="AZ1663" s="38"/>
      <c r="BA1663" s="38"/>
      <c r="BB1663" s="38"/>
      <c r="BC1663" s="38"/>
      <c r="BD1663" s="38"/>
      <c r="BE1663" s="38"/>
      <c r="BF1663" s="38"/>
      <c r="BG1663" s="38"/>
      <c r="BH1663" s="38"/>
      <c r="BI1663" s="38"/>
      <c r="BJ1663" s="38"/>
      <c r="BK1663" s="38"/>
      <c r="BL1663" s="38"/>
      <c r="BM1663" s="38"/>
      <c r="BN1663" s="38"/>
      <c r="BO1663" s="38"/>
      <c r="BP1663" s="38"/>
      <c r="BQ1663" s="38"/>
    </row>
    <row r="1664">
      <c r="A1664" s="58"/>
      <c r="B1664" s="341"/>
      <c r="C1664" s="60"/>
      <c r="D1664" s="60"/>
      <c r="E1664" s="58"/>
      <c r="F1664" s="58"/>
      <c r="G1664" s="58"/>
      <c r="H1664" s="33" t="str">
        <f t="shared" si="33"/>
        <v/>
      </c>
      <c r="I1664" s="58"/>
      <c r="J1664" s="58"/>
      <c r="K1664" s="58"/>
      <c r="L1664" s="58"/>
      <c r="M1664" s="80"/>
      <c r="N1664" s="77"/>
      <c r="O1664" s="58"/>
      <c r="P1664" s="58"/>
      <c r="Q1664" s="84"/>
      <c r="R1664" s="62"/>
      <c r="S1664" s="37" t="str">
        <f>IFERROR(__xludf.DUMMYFUNCTION("if(not(iserror(index(split(C1664, "" ""),2))), index(split(C1664, "" ""),1),"""")"),"")</f>
        <v/>
      </c>
      <c r="T1664" s="315" t="str">
        <f>IFERROR(__xludf.DUMMYFUNCTION("if(S1664="""",C1664,if(not(iserror(index(split(C1664, "" ""),3))), index(split(C1664, "" ""),3),index(split(C1664, "" ""),2)))"),"")</f>
        <v/>
      </c>
      <c r="U1664" s="38" t="b">
        <f t="shared" si="34"/>
        <v>0</v>
      </c>
      <c r="V1664" s="38"/>
      <c r="W1664" s="40"/>
      <c r="X1664" s="40"/>
      <c r="Y1664" s="38"/>
      <c r="Z1664" s="38"/>
      <c r="AA1664" s="38"/>
      <c r="AB1664" s="38"/>
      <c r="AC1664" s="38"/>
      <c r="AD1664" s="38"/>
      <c r="AE1664" s="38"/>
      <c r="AF1664" s="38"/>
      <c r="AG1664" s="38"/>
      <c r="AH1664" s="38"/>
      <c r="AI1664" s="38"/>
      <c r="AJ1664" s="38"/>
      <c r="AK1664" s="38"/>
      <c r="AL1664" s="38"/>
      <c r="AM1664" s="38"/>
      <c r="AN1664" s="38"/>
      <c r="AO1664" s="38"/>
      <c r="AP1664" s="38"/>
      <c r="AQ1664" s="38"/>
      <c r="AR1664" s="38"/>
      <c r="AS1664" s="38"/>
      <c r="AT1664" s="38"/>
      <c r="AU1664" s="38"/>
      <c r="AV1664" s="38"/>
      <c r="AW1664" s="38"/>
      <c r="AX1664" s="38"/>
      <c r="AY1664" s="38"/>
      <c r="AZ1664" s="38"/>
      <c r="BA1664" s="38"/>
      <c r="BB1664" s="38"/>
      <c r="BC1664" s="38"/>
      <c r="BD1664" s="38"/>
      <c r="BE1664" s="38"/>
      <c r="BF1664" s="38"/>
      <c r="BG1664" s="38"/>
      <c r="BH1664" s="38"/>
      <c r="BI1664" s="38"/>
      <c r="BJ1664" s="38"/>
      <c r="BK1664" s="38"/>
      <c r="BL1664" s="38"/>
      <c r="BM1664" s="38"/>
      <c r="BN1664" s="38"/>
      <c r="BO1664" s="38"/>
      <c r="BP1664" s="38"/>
      <c r="BQ1664" s="38"/>
    </row>
    <row r="1665">
      <c r="A1665" s="58"/>
      <c r="B1665" s="341"/>
      <c r="C1665" s="60"/>
      <c r="D1665" s="60"/>
      <c r="E1665" s="58"/>
      <c r="F1665" s="58"/>
      <c r="G1665" s="58"/>
      <c r="H1665" s="33" t="str">
        <f t="shared" si="33"/>
        <v/>
      </c>
      <c r="I1665" s="58"/>
      <c r="J1665" s="58"/>
      <c r="K1665" s="58"/>
      <c r="L1665" s="58"/>
      <c r="M1665" s="80"/>
      <c r="N1665" s="77"/>
      <c r="O1665" s="58"/>
      <c r="P1665" s="62"/>
      <c r="Q1665" s="84"/>
      <c r="R1665" s="62"/>
      <c r="S1665" s="37" t="str">
        <f>IFERROR(__xludf.DUMMYFUNCTION("if(not(iserror(index(split(C1665, "" ""),2))), index(split(C1665, "" ""),1),"""")"),"")</f>
        <v/>
      </c>
      <c r="T1665" s="315" t="str">
        <f>IFERROR(__xludf.DUMMYFUNCTION("if(S1665="""",C1665,if(not(iserror(index(split(C1665, "" ""),3))), index(split(C1665, "" ""),3),index(split(C1665, "" ""),2)))"),"")</f>
        <v/>
      </c>
      <c r="U1665" s="38" t="b">
        <f t="shared" si="34"/>
        <v>0</v>
      </c>
      <c r="V1665" s="38"/>
      <c r="W1665" s="40"/>
      <c r="X1665" s="40"/>
      <c r="Y1665" s="38"/>
      <c r="Z1665" s="38"/>
      <c r="AA1665" s="38"/>
      <c r="AB1665" s="38"/>
      <c r="AC1665" s="38"/>
      <c r="AD1665" s="38"/>
      <c r="AE1665" s="38"/>
      <c r="AF1665" s="38"/>
      <c r="AG1665" s="38"/>
      <c r="AH1665" s="38"/>
      <c r="AI1665" s="38"/>
      <c r="AJ1665" s="38"/>
      <c r="AK1665" s="38"/>
      <c r="AL1665" s="38"/>
      <c r="AM1665" s="38"/>
      <c r="AN1665" s="38"/>
      <c r="AO1665" s="38"/>
      <c r="AP1665" s="38"/>
      <c r="AQ1665" s="38"/>
      <c r="AR1665" s="38"/>
      <c r="AS1665" s="38"/>
      <c r="AT1665" s="38"/>
      <c r="AU1665" s="38"/>
      <c r="AV1665" s="38"/>
      <c r="AW1665" s="38"/>
      <c r="AX1665" s="38"/>
      <c r="AY1665" s="38"/>
      <c r="AZ1665" s="38"/>
      <c r="BA1665" s="38"/>
      <c r="BB1665" s="38"/>
      <c r="BC1665" s="38"/>
      <c r="BD1665" s="38"/>
      <c r="BE1665" s="38"/>
      <c r="BF1665" s="38"/>
      <c r="BG1665" s="38"/>
      <c r="BH1665" s="38"/>
      <c r="BI1665" s="38"/>
      <c r="BJ1665" s="38"/>
      <c r="BK1665" s="38"/>
      <c r="BL1665" s="38"/>
      <c r="BM1665" s="38"/>
      <c r="BN1665" s="38"/>
      <c r="BO1665" s="38"/>
      <c r="BP1665" s="38"/>
      <c r="BQ1665" s="38"/>
    </row>
    <row r="1666">
      <c r="A1666" s="375"/>
      <c r="B1666" s="341"/>
      <c r="C1666" s="60"/>
      <c r="D1666" s="60"/>
      <c r="E1666" s="58"/>
      <c r="F1666" s="58"/>
      <c r="G1666" s="58"/>
      <c r="H1666" s="33" t="str">
        <f t="shared" si="33"/>
        <v/>
      </c>
      <c r="I1666" s="58"/>
      <c r="J1666" s="58"/>
      <c r="K1666" s="58"/>
      <c r="L1666" s="58"/>
      <c r="M1666" s="80"/>
      <c r="N1666" s="77"/>
      <c r="O1666" s="58"/>
      <c r="P1666" s="58"/>
      <c r="Q1666" s="84"/>
      <c r="R1666" s="62"/>
      <c r="S1666" s="37" t="str">
        <f>IFERROR(__xludf.DUMMYFUNCTION("if(not(iserror(index(split(C1666, "" ""),2))), index(split(C1666, "" ""),1),"""")"),"")</f>
        <v/>
      </c>
      <c r="T1666" s="315" t="str">
        <f>IFERROR(__xludf.DUMMYFUNCTION("if(S1666="""",C1666,if(not(iserror(index(split(C1666, "" ""),3))), index(split(C1666, "" ""),3),index(split(C1666, "" ""),2)))"),"")</f>
        <v/>
      </c>
      <c r="U1666" s="38" t="b">
        <f t="shared" si="34"/>
        <v>0</v>
      </c>
      <c r="V1666" s="38"/>
      <c r="W1666" s="40"/>
      <c r="X1666" s="40"/>
      <c r="Y1666" s="38"/>
      <c r="Z1666" s="38"/>
      <c r="AA1666" s="38"/>
      <c r="AB1666" s="38"/>
      <c r="AC1666" s="38"/>
      <c r="AD1666" s="38"/>
      <c r="AE1666" s="38"/>
      <c r="AF1666" s="38"/>
      <c r="AG1666" s="38"/>
      <c r="AH1666" s="38"/>
      <c r="AI1666" s="38"/>
      <c r="AJ1666" s="38"/>
      <c r="AK1666" s="38"/>
      <c r="AL1666" s="38"/>
      <c r="AM1666" s="38"/>
      <c r="AN1666" s="38"/>
      <c r="AO1666" s="38"/>
      <c r="AP1666" s="38"/>
      <c r="AQ1666" s="38"/>
      <c r="AR1666" s="38"/>
      <c r="AS1666" s="38"/>
      <c r="AT1666" s="38"/>
      <c r="AU1666" s="38"/>
      <c r="AV1666" s="38"/>
      <c r="AW1666" s="38"/>
      <c r="AX1666" s="38"/>
      <c r="AY1666" s="38"/>
      <c r="AZ1666" s="38"/>
      <c r="BA1666" s="38"/>
      <c r="BB1666" s="38"/>
      <c r="BC1666" s="38"/>
      <c r="BD1666" s="38"/>
      <c r="BE1666" s="38"/>
      <c r="BF1666" s="38"/>
      <c r="BG1666" s="38"/>
      <c r="BH1666" s="38"/>
      <c r="BI1666" s="38"/>
      <c r="BJ1666" s="38"/>
      <c r="BK1666" s="38"/>
      <c r="BL1666" s="38"/>
      <c r="BM1666" s="38"/>
      <c r="BN1666" s="38"/>
      <c r="BO1666" s="38"/>
      <c r="BP1666" s="38"/>
      <c r="BQ1666" s="38"/>
    </row>
    <row r="1667">
      <c r="A1667" s="91"/>
      <c r="B1667" s="383"/>
      <c r="C1667" s="146"/>
      <c r="D1667" s="146"/>
      <c r="E1667" s="91"/>
      <c r="F1667" s="91"/>
      <c r="G1667" s="91"/>
      <c r="H1667" s="33" t="str">
        <f t="shared" si="33"/>
        <v/>
      </c>
      <c r="I1667" s="91"/>
      <c r="J1667" s="91"/>
      <c r="K1667" s="91"/>
      <c r="L1667" s="91"/>
      <c r="M1667" s="14"/>
      <c r="N1667" s="95"/>
      <c r="O1667" s="58"/>
      <c r="P1667" s="58"/>
      <c r="Q1667" s="84"/>
      <c r="R1667" s="62"/>
      <c r="S1667" s="37" t="str">
        <f>IFERROR(__xludf.DUMMYFUNCTION("if(not(iserror(index(split(C1667, "" ""),2))), index(split(C1667, "" ""),1),"""")"),"")</f>
        <v/>
      </c>
      <c r="T1667" s="315" t="str">
        <f>IFERROR(__xludf.DUMMYFUNCTION("if(S1667="""",C1667,if(not(iserror(index(split(C1667, "" ""),3))), index(split(C1667, "" ""),3),index(split(C1667, "" ""),2)))"),"")</f>
        <v/>
      </c>
      <c r="U1667" s="38" t="b">
        <f t="shared" si="34"/>
        <v>0</v>
      </c>
      <c r="V1667" s="38"/>
      <c r="W1667" s="40"/>
      <c r="X1667" s="40"/>
      <c r="Y1667" s="38"/>
      <c r="Z1667" s="38"/>
      <c r="AA1667" s="38"/>
      <c r="AB1667" s="38"/>
      <c r="AC1667" s="38"/>
      <c r="AD1667" s="38"/>
      <c r="AE1667" s="38"/>
      <c r="AF1667" s="38"/>
      <c r="AG1667" s="38"/>
      <c r="AH1667" s="38"/>
      <c r="AI1667" s="38"/>
      <c r="AJ1667" s="38"/>
      <c r="AK1667" s="38"/>
      <c r="AL1667" s="38"/>
      <c r="AM1667" s="38"/>
      <c r="AN1667" s="38"/>
      <c r="AO1667" s="38"/>
      <c r="AP1667" s="38"/>
      <c r="AQ1667" s="38"/>
      <c r="AR1667" s="38"/>
      <c r="AS1667" s="38"/>
      <c r="AT1667" s="38"/>
      <c r="AU1667" s="38"/>
      <c r="AV1667" s="38"/>
      <c r="AW1667" s="38"/>
      <c r="AX1667" s="38"/>
      <c r="AY1667" s="38"/>
      <c r="AZ1667" s="38"/>
      <c r="BA1667" s="38"/>
      <c r="BB1667" s="38"/>
      <c r="BC1667" s="38"/>
      <c r="BD1667" s="38"/>
      <c r="BE1667" s="38"/>
      <c r="BF1667" s="38"/>
      <c r="BG1667" s="38"/>
      <c r="BH1667" s="38"/>
      <c r="BI1667" s="38"/>
      <c r="BJ1667" s="38"/>
      <c r="BK1667" s="38"/>
      <c r="BL1667" s="38"/>
      <c r="BM1667" s="38"/>
      <c r="BN1667" s="38"/>
      <c r="BO1667" s="38"/>
      <c r="BP1667" s="38"/>
      <c r="BQ1667" s="38"/>
    </row>
    <row r="1668">
      <c r="A1668" s="58"/>
      <c r="B1668" s="341"/>
      <c r="C1668" s="60"/>
      <c r="D1668" s="60"/>
      <c r="E1668" s="58"/>
      <c r="F1668" s="58"/>
      <c r="G1668" s="58"/>
      <c r="H1668" s="33" t="str">
        <f t="shared" si="33"/>
        <v/>
      </c>
      <c r="I1668" s="58"/>
      <c r="J1668" s="58"/>
      <c r="K1668" s="58"/>
      <c r="L1668" s="58"/>
      <c r="M1668" s="80"/>
      <c r="N1668" s="77"/>
      <c r="O1668" s="62"/>
      <c r="P1668" s="62"/>
      <c r="Q1668" s="62"/>
      <c r="R1668" s="62"/>
      <c r="S1668" s="37" t="str">
        <f>IFERROR(__xludf.DUMMYFUNCTION("if(not(iserror(index(split(C1668, "" ""),2))), index(split(C1668, "" ""),1),"""")"),"")</f>
        <v/>
      </c>
      <c r="T1668" s="315" t="str">
        <f>IFERROR(__xludf.DUMMYFUNCTION("if(S1668="""",C1668,if(not(iserror(index(split(C1668, "" ""),3))), index(split(C1668, "" ""),3),index(split(C1668, "" ""),2)))"),"")</f>
        <v/>
      </c>
      <c r="U1668" s="38" t="b">
        <f t="shared" si="34"/>
        <v>0</v>
      </c>
      <c r="V1668" s="38"/>
      <c r="W1668" s="40"/>
      <c r="X1668" s="40"/>
      <c r="Y1668" s="38"/>
      <c r="Z1668" s="38"/>
      <c r="AA1668" s="38"/>
      <c r="AB1668" s="38"/>
      <c r="AC1668" s="38"/>
      <c r="AD1668" s="38"/>
      <c r="AE1668" s="38"/>
      <c r="AF1668" s="38"/>
      <c r="AG1668" s="38"/>
      <c r="AH1668" s="38"/>
      <c r="AI1668" s="38"/>
      <c r="AJ1668" s="38"/>
      <c r="AK1668" s="38"/>
      <c r="AL1668" s="38"/>
      <c r="AM1668" s="38"/>
      <c r="AN1668" s="38"/>
      <c r="AO1668" s="38"/>
      <c r="AP1668" s="38"/>
      <c r="AQ1668" s="38"/>
      <c r="AR1668" s="38"/>
      <c r="AS1668" s="38"/>
      <c r="AT1668" s="38"/>
      <c r="AU1668" s="38"/>
      <c r="AV1668" s="38"/>
      <c r="AW1668" s="38"/>
      <c r="AX1668" s="38"/>
      <c r="AY1668" s="38"/>
      <c r="AZ1668" s="38"/>
      <c r="BA1668" s="38"/>
      <c r="BB1668" s="38"/>
      <c r="BC1668" s="38"/>
      <c r="BD1668" s="38"/>
      <c r="BE1668" s="38"/>
      <c r="BF1668" s="38"/>
      <c r="BG1668" s="38"/>
      <c r="BH1668" s="38"/>
      <c r="BI1668" s="38"/>
      <c r="BJ1668" s="38"/>
      <c r="BK1668" s="38"/>
      <c r="BL1668" s="38"/>
      <c r="BM1668" s="38"/>
      <c r="BN1668" s="38"/>
      <c r="BO1668" s="38"/>
      <c r="BP1668" s="38"/>
      <c r="BQ1668" s="38"/>
    </row>
    <row r="1669">
      <c r="A1669" s="58"/>
      <c r="B1669" s="341"/>
      <c r="C1669" s="60"/>
      <c r="D1669" s="60"/>
      <c r="E1669" s="58"/>
      <c r="F1669" s="58"/>
      <c r="G1669" s="58"/>
      <c r="H1669" s="33" t="str">
        <f t="shared" si="33"/>
        <v/>
      </c>
      <c r="I1669" s="58"/>
      <c r="J1669" s="58"/>
      <c r="K1669" s="58"/>
      <c r="L1669" s="58"/>
      <c r="M1669" s="80"/>
      <c r="N1669" s="77"/>
      <c r="O1669" s="62"/>
      <c r="P1669" s="62"/>
      <c r="Q1669" s="62"/>
      <c r="R1669" s="62"/>
      <c r="S1669" s="37" t="str">
        <f>IFERROR(__xludf.DUMMYFUNCTION("if(not(iserror(index(split(C1669, "" ""),2))), index(split(C1669, "" ""),1),"""")"),"")</f>
        <v/>
      </c>
      <c r="T1669" s="315" t="str">
        <f>IFERROR(__xludf.DUMMYFUNCTION("if(S1669="""",C1669,if(not(iserror(index(split(C1669, "" ""),3))), index(split(C1669, "" ""),3),index(split(C1669, "" ""),2)))"),"")</f>
        <v/>
      </c>
      <c r="U1669" s="38" t="b">
        <f t="shared" si="34"/>
        <v>0</v>
      </c>
      <c r="V1669" s="38"/>
      <c r="W1669" s="40"/>
      <c r="X1669" s="40"/>
      <c r="Y1669" s="38"/>
      <c r="Z1669" s="38"/>
      <c r="AA1669" s="38"/>
      <c r="AB1669" s="38"/>
      <c r="AC1669" s="38"/>
      <c r="AD1669" s="38"/>
      <c r="AE1669" s="38"/>
      <c r="AF1669" s="38"/>
      <c r="AG1669" s="38"/>
      <c r="AH1669" s="38"/>
      <c r="AI1669" s="38"/>
      <c r="AJ1669" s="38"/>
      <c r="AK1669" s="38"/>
      <c r="AL1669" s="38"/>
      <c r="AM1669" s="38"/>
      <c r="AN1669" s="38"/>
      <c r="AO1669" s="38"/>
      <c r="AP1669" s="38"/>
      <c r="AQ1669" s="38"/>
      <c r="AR1669" s="38"/>
      <c r="AS1669" s="38"/>
      <c r="AT1669" s="38"/>
      <c r="AU1669" s="38"/>
      <c r="AV1669" s="38"/>
      <c r="AW1669" s="38"/>
      <c r="AX1669" s="38"/>
      <c r="AY1669" s="38"/>
      <c r="AZ1669" s="38"/>
      <c r="BA1669" s="38"/>
      <c r="BB1669" s="38"/>
      <c r="BC1669" s="38"/>
      <c r="BD1669" s="38"/>
      <c r="BE1669" s="38"/>
      <c r="BF1669" s="38"/>
      <c r="BG1669" s="38"/>
      <c r="BH1669" s="38"/>
      <c r="BI1669" s="38"/>
      <c r="BJ1669" s="38"/>
      <c r="BK1669" s="38"/>
      <c r="BL1669" s="38"/>
      <c r="BM1669" s="38"/>
      <c r="BN1669" s="38"/>
      <c r="BO1669" s="38"/>
      <c r="BP1669" s="38"/>
      <c r="BQ1669" s="38"/>
    </row>
    <row r="1670">
      <c r="A1670" s="58"/>
      <c r="B1670" s="341"/>
      <c r="C1670" s="60"/>
      <c r="D1670" s="60"/>
      <c r="E1670" s="58"/>
      <c r="F1670" s="58"/>
      <c r="G1670" s="58"/>
      <c r="H1670" s="33" t="str">
        <f t="shared" si="33"/>
        <v/>
      </c>
      <c r="I1670" s="58"/>
      <c r="J1670" s="58"/>
      <c r="K1670" s="58"/>
      <c r="L1670" s="58"/>
      <c r="M1670" s="80"/>
      <c r="N1670" s="77"/>
      <c r="O1670" s="62"/>
      <c r="P1670" s="62"/>
      <c r="Q1670" s="62"/>
      <c r="R1670" s="62"/>
      <c r="S1670" s="37" t="str">
        <f>IFERROR(__xludf.DUMMYFUNCTION("if(not(iserror(index(split(C1670, "" ""),2))), index(split(C1670, "" ""),1),"""")"),"")</f>
        <v/>
      </c>
      <c r="T1670" s="315" t="str">
        <f>IFERROR(__xludf.DUMMYFUNCTION("if(S1670="""",C1670,if(not(iserror(index(split(C1670, "" ""),3))), index(split(C1670, "" ""),3),index(split(C1670, "" ""),2)))"),"")</f>
        <v/>
      </c>
      <c r="U1670" s="38" t="b">
        <f t="shared" si="34"/>
        <v>0</v>
      </c>
      <c r="V1670" s="38"/>
      <c r="W1670" s="40"/>
      <c r="X1670" s="40"/>
      <c r="Y1670" s="38"/>
      <c r="Z1670" s="38"/>
      <c r="AA1670" s="38"/>
      <c r="AB1670" s="38"/>
      <c r="AC1670" s="38"/>
      <c r="AD1670" s="38"/>
      <c r="AE1670" s="38"/>
      <c r="AF1670" s="38"/>
      <c r="AG1670" s="38"/>
      <c r="AH1670" s="38"/>
      <c r="AI1670" s="38"/>
      <c r="AJ1670" s="38"/>
      <c r="AK1670" s="38"/>
      <c r="AL1670" s="38"/>
      <c r="AM1670" s="38"/>
      <c r="AN1670" s="38"/>
      <c r="AO1670" s="38"/>
      <c r="AP1670" s="38"/>
      <c r="AQ1670" s="38"/>
      <c r="AR1670" s="38"/>
      <c r="AS1670" s="38"/>
      <c r="AT1670" s="38"/>
      <c r="AU1670" s="38"/>
      <c r="AV1670" s="38"/>
      <c r="AW1670" s="38"/>
      <c r="AX1670" s="38"/>
      <c r="AY1670" s="38"/>
      <c r="AZ1670" s="38"/>
      <c r="BA1670" s="38"/>
      <c r="BB1670" s="38"/>
      <c r="BC1670" s="38"/>
      <c r="BD1670" s="38"/>
      <c r="BE1670" s="38"/>
      <c r="BF1670" s="38"/>
      <c r="BG1670" s="38"/>
      <c r="BH1670" s="38"/>
      <c r="BI1670" s="38"/>
      <c r="BJ1670" s="38"/>
      <c r="BK1670" s="38"/>
      <c r="BL1670" s="38"/>
      <c r="BM1670" s="38"/>
      <c r="BN1670" s="38"/>
      <c r="BO1670" s="38"/>
      <c r="BP1670" s="38"/>
      <c r="BQ1670" s="38"/>
    </row>
    <row r="1671">
      <c r="A1671" s="58"/>
      <c r="B1671" s="341"/>
      <c r="C1671" s="60"/>
      <c r="D1671" s="60"/>
      <c r="E1671" s="58"/>
      <c r="F1671" s="58"/>
      <c r="G1671" s="58"/>
      <c r="H1671" s="33" t="str">
        <f t="shared" si="33"/>
        <v/>
      </c>
      <c r="I1671" s="58"/>
      <c r="J1671" s="58"/>
      <c r="K1671" s="58"/>
      <c r="L1671" s="58"/>
      <c r="M1671" s="80"/>
      <c r="N1671" s="77"/>
      <c r="O1671" s="62"/>
      <c r="P1671" s="62"/>
      <c r="Q1671" s="62"/>
      <c r="R1671" s="62"/>
      <c r="S1671" s="37" t="str">
        <f>IFERROR(__xludf.DUMMYFUNCTION("if(not(iserror(index(split(C1671, "" ""),2))), index(split(C1671, "" ""),1),"""")"),"")</f>
        <v/>
      </c>
      <c r="T1671" s="315" t="str">
        <f>IFERROR(__xludf.DUMMYFUNCTION("if(S1671="""",C1671,if(not(iserror(index(split(C1671, "" ""),3))), index(split(C1671, "" ""),3),index(split(C1671, "" ""),2)))"),"")</f>
        <v/>
      </c>
      <c r="U1671" s="38" t="b">
        <f t="shared" si="34"/>
        <v>0</v>
      </c>
      <c r="V1671" s="38"/>
      <c r="W1671" s="40"/>
      <c r="X1671" s="40"/>
      <c r="Y1671" s="38"/>
      <c r="Z1671" s="38"/>
      <c r="AA1671" s="38"/>
      <c r="AB1671" s="38"/>
      <c r="AC1671" s="38"/>
      <c r="AD1671" s="38"/>
      <c r="AE1671" s="38"/>
      <c r="AF1671" s="38"/>
      <c r="AG1671" s="38"/>
      <c r="AH1671" s="38"/>
      <c r="AI1671" s="38"/>
      <c r="AJ1671" s="38"/>
      <c r="AK1671" s="38"/>
      <c r="AL1671" s="38"/>
      <c r="AM1671" s="38"/>
      <c r="AN1671" s="38"/>
      <c r="AO1671" s="38"/>
      <c r="AP1671" s="38"/>
      <c r="AQ1671" s="38"/>
      <c r="AR1671" s="38"/>
      <c r="AS1671" s="38"/>
      <c r="AT1671" s="38"/>
      <c r="AU1671" s="38"/>
      <c r="AV1671" s="38"/>
      <c r="AW1671" s="38"/>
      <c r="AX1671" s="38"/>
      <c r="AY1671" s="38"/>
      <c r="AZ1671" s="38"/>
      <c r="BA1671" s="38"/>
      <c r="BB1671" s="38"/>
      <c r="BC1671" s="38"/>
      <c r="BD1671" s="38"/>
      <c r="BE1671" s="38"/>
      <c r="BF1671" s="38"/>
      <c r="BG1671" s="38"/>
      <c r="BH1671" s="38"/>
      <c r="BI1671" s="38"/>
      <c r="BJ1671" s="38"/>
      <c r="BK1671" s="38"/>
      <c r="BL1671" s="38"/>
      <c r="BM1671" s="38"/>
      <c r="BN1671" s="38"/>
      <c r="BO1671" s="38"/>
      <c r="BP1671" s="38"/>
      <c r="BQ1671" s="38"/>
    </row>
    <row r="1672">
      <c r="A1672" s="58"/>
      <c r="B1672" s="341"/>
      <c r="C1672" s="60"/>
      <c r="D1672" s="60"/>
      <c r="E1672" s="58"/>
      <c r="F1672" s="58"/>
      <c r="G1672" s="58"/>
      <c r="H1672" s="33" t="str">
        <f t="shared" si="33"/>
        <v/>
      </c>
      <c r="I1672" s="58"/>
      <c r="J1672" s="58"/>
      <c r="K1672" s="58"/>
      <c r="L1672" s="58"/>
      <c r="M1672" s="80"/>
      <c r="N1672" s="77"/>
      <c r="O1672" s="62"/>
      <c r="P1672" s="62"/>
      <c r="Q1672" s="62"/>
      <c r="R1672" s="62"/>
      <c r="S1672" s="37" t="str">
        <f>IFERROR(__xludf.DUMMYFUNCTION("if(not(iserror(index(split(C1672, "" ""),2))), index(split(C1672, "" ""),1),"""")"),"")</f>
        <v/>
      </c>
      <c r="T1672" s="315" t="str">
        <f>IFERROR(__xludf.DUMMYFUNCTION("if(S1672="""",C1672,if(not(iserror(index(split(C1672, "" ""),3))), index(split(C1672, "" ""),3),index(split(C1672, "" ""),2)))"),"")</f>
        <v/>
      </c>
      <c r="U1672" s="38" t="b">
        <f t="shared" si="34"/>
        <v>0</v>
      </c>
      <c r="V1672" s="38"/>
      <c r="W1672" s="40"/>
      <c r="X1672" s="40"/>
      <c r="Y1672" s="38"/>
      <c r="Z1672" s="38"/>
      <c r="AA1672" s="38"/>
      <c r="AB1672" s="38"/>
      <c r="AC1672" s="38"/>
      <c r="AD1672" s="38"/>
      <c r="AE1672" s="38"/>
      <c r="AF1672" s="38"/>
      <c r="AG1672" s="38"/>
      <c r="AH1672" s="38"/>
      <c r="AI1672" s="38"/>
      <c r="AJ1672" s="38"/>
      <c r="AK1672" s="38"/>
      <c r="AL1672" s="38"/>
      <c r="AM1672" s="38"/>
      <c r="AN1672" s="38"/>
      <c r="AO1672" s="38"/>
      <c r="AP1672" s="38"/>
      <c r="AQ1672" s="38"/>
      <c r="AR1672" s="38"/>
      <c r="AS1672" s="38"/>
      <c r="AT1672" s="38"/>
      <c r="AU1672" s="38"/>
      <c r="AV1672" s="38"/>
      <c r="AW1672" s="38"/>
      <c r="AX1672" s="38"/>
      <c r="AY1672" s="38"/>
      <c r="AZ1672" s="38"/>
      <c r="BA1672" s="38"/>
      <c r="BB1672" s="38"/>
      <c r="BC1672" s="38"/>
      <c r="BD1672" s="38"/>
      <c r="BE1672" s="38"/>
      <c r="BF1672" s="38"/>
      <c r="BG1672" s="38"/>
      <c r="BH1672" s="38"/>
      <c r="BI1672" s="38"/>
      <c r="BJ1672" s="38"/>
      <c r="BK1672" s="38"/>
      <c r="BL1672" s="38"/>
      <c r="BM1672" s="38"/>
      <c r="BN1672" s="38"/>
      <c r="BO1672" s="38"/>
      <c r="BP1672" s="38"/>
      <c r="BQ1672" s="38"/>
    </row>
    <row r="1673">
      <c r="A1673" s="58"/>
      <c r="B1673" s="341"/>
      <c r="C1673" s="60"/>
      <c r="D1673" s="60"/>
      <c r="E1673" s="58"/>
      <c r="F1673" s="58"/>
      <c r="G1673" s="58"/>
      <c r="H1673" s="33" t="str">
        <f t="shared" si="33"/>
        <v/>
      </c>
      <c r="I1673" s="58"/>
      <c r="J1673" s="58"/>
      <c r="K1673" s="58"/>
      <c r="L1673" s="58"/>
      <c r="M1673" s="80"/>
      <c r="N1673" s="77"/>
      <c r="O1673" s="62"/>
      <c r="P1673" s="62"/>
      <c r="Q1673" s="62"/>
      <c r="R1673" s="62"/>
      <c r="S1673" s="37" t="str">
        <f>IFERROR(__xludf.DUMMYFUNCTION("if(not(iserror(index(split(C1673, "" ""),2))), index(split(C1673, "" ""),1),"""")"),"")</f>
        <v/>
      </c>
      <c r="T1673" s="315" t="str">
        <f>IFERROR(__xludf.DUMMYFUNCTION("if(S1673="""",C1673,if(not(iserror(index(split(C1673, "" ""),3))), index(split(C1673, "" ""),3),index(split(C1673, "" ""),2)))"),"")</f>
        <v/>
      </c>
      <c r="U1673" s="38" t="b">
        <f t="shared" si="34"/>
        <v>0</v>
      </c>
      <c r="V1673" s="38"/>
      <c r="W1673" s="40"/>
      <c r="X1673" s="40"/>
      <c r="Y1673" s="38"/>
      <c r="Z1673" s="38"/>
      <c r="AA1673" s="38"/>
      <c r="AB1673" s="38"/>
      <c r="AC1673" s="38"/>
      <c r="AD1673" s="38"/>
      <c r="AE1673" s="38"/>
      <c r="AF1673" s="38"/>
      <c r="AG1673" s="38"/>
      <c r="AH1673" s="38"/>
      <c r="AI1673" s="38"/>
      <c r="AJ1673" s="38"/>
      <c r="AK1673" s="38"/>
      <c r="AL1673" s="38"/>
      <c r="AM1673" s="38"/>
      <c r="AN1673" s="38"/>
      <c r="AO1673" s="38"/>
      <c r="AP1673" s="38"/>
      <c r="AQ1673" s="38"/>
      <c r="AR1673" s="38"/>
      <c r="AS1673" s="38"/>
      <c r="AT1673" s="38"/>
      <c r="AU1673" s="38"/>
      <c r="AV1673" s="38"/>
      <c r="AW1673" s="38"/>
      <c r="AX1673" s="38"/>
      <c r="AY1673" s="38"/>
      <c r="AZ1673" s="38"/>
      <c r="BA1673" s="38"/>
      <c r="BB1673" s="38"/>
      <c r="BC1673" s="38"/>
      <c r="BD1673" s="38"/>
      <c r="BE1673" s="38"/>
      <c r="BF1673" s="38"/>
      <c r="BG1673" s="38"/>
      <c r="BH1673" s="38"/>
      <c r="BI1673" s="38"/>
      <c r="BJ1673" s="38"/>
      <c r="BK1673" s="38"/>
      <c r="BL1673" s="38"/>
      <c r="BM1673" s="38"/>
      <c r="BN1673" s="38"/>
      <c r="BO1673" s="38"/>
      <c r="BP1673" s="38"/>
      <c r="BQ1673" s="38"/>
    </row>
    <row r="1674">
      <c r="A1674" s="58"/>
      <c r="B1674" s="341"/>
      <c r="C1674" s="60"/>
      <c r="D1674" s="60"/>
      <c r="E1674" s="58"/>
      <c r="F1674" s="58"/>
      <c r="G1674" s="58"/>
      <c r="H1674" s="33" t="str">
        <f t="shared" si="33"/>
        <v/>
      </c>
      <c r="I1674" s="58"/>
      <c r="J1674" s="58"/>
      <c r="K1674" s="58"/>
      <c r="L1674" s="58"/>
      <c r="M1674" s="80"/>
      <c r="N1674" s="77"/>
      <c r="O1674" s="62"/>
      <c r="P1674" s="62"/>
      <c r="Q1674" s="62"/>
      <c r="R1674" s="62"/>
      <c r="S1674" s="37" t="str">
        <f>IFERROR(__xludf.DUMMYFUNCTION("if(not(iserror(index(split(C1674, "" ""),2))), index(split(C1674, "" ""),1),"""")"),"")</f>
        <v/>
      </c>
      <c r="T1674" s="315" t="str">
        <f>IFERROR(__xludf.DUMMYFUNCTION("if(S1674="""",C1674,if(not(iserror(index(split(C1674, "" ""),3))), index(split(C1674, "" ""),3),index(split(C1674, "" ""),2)))"),"")</f>
        <v/>
      </c>
      <c r="U1674" s="38" t="b">
        <f t="shared" si="34"/>
        <v>0</v>
      </c>
      <c r="V1674" s="38"/>
      <c r="W1674" s="40"/>
      <c r="X1674" s="40"/>
      <c r="Y1674" s="38"/>
      <c r="Z1674" s="38"/>
      <c r="AA1674" s="38"/>
      <c r="AB1674" s="38"/>
      <c r="AC1674" s="38"/>
      <c r="AD1674" s="38"/>
      <c r="AE1674" s="38"/>
      <c r="AF1674" s="38"/>
      <c r="AG1674" s="38"/>
      <c r="AH1674" s="38"/>
      <c r="AI1674" s="38"/>
      <c r="AJ1674" s="38"/>
      <c r="AK1674" s="38"/>
      <c r="AL1674" s="38"/>
      <c r="AM1674" s="38"/>
      <c r="AN1674" s="38"/>
      <c r="AO1674" s="38"/>
      <c r="AP1674" s="38"/>
      <c r="AQ1674" s="38"/>
      <c r="AR1674" s="38"/>
      <c r="AS1674" s="38"/>
      <c r="AT1674" s="38"/>
      <c r="AU1674" s="38"/>
      <c r="AV1674" s="38"/>
      <c r="AW1674" s="38"/>
      <c r="AX1674" s="38"/>
      <c r="AY1674" s="38"/>
      <c r="AZ1674" s="38"/>
      <c r="BA1674" s="38"/>
      <c r="BB1674" s="38"/>
      <c r="BC1674" s="38"/>
      <c r="BD1674" s="38"/>
      <c r="BE1674" s="38"/>
      <c r="BF1674" s="38"/>
      <c r="BG1674" s="38"/>
      <c r="BH1674" s="38"/>
      <c r="BI1674" s="38"/>
      <c r="BJ1674" s="38"/>
      <c r="BK1674" s="38"/>
      <c r="BL1674" s="38"/>
      <c r="BM1674" s="38"/>
      <c r="BN1674" s="38"/>
      <c r="BO1674" s="38"/>
      <c r="BP1674" s="38"/>
      <c r="BQ1674" s="38"/>
    </row>
    <row r="1675">
      <c r="A1675" s="375"/>
      <c r="B1675" s="341"/>
      <c r="C1675" s="60"/>
      <c r="D1675" s="60"/>
      <c r="E1675" s="58"/>
      <c r="F1675" s="58"/>
      <c r="G1675" s="58"/>
      <c r="H1675" s="33" t="str">
        <f t="shared" si="33"/>
        <v/>
      </c>
      <c r="I1675" s="58"/>
      <c r="J1675" s="58"/>
      <c r="K1675" s="58"/>
      <c r="L1675" s="58"/>
      <c r="M1675" s="80"/>
      <c r="N1675" s="77"/>
      <c r="O1675" s="62"/>
      <c r="P1675" s="62"/>
      <c r="Q1675" s="62"/>
      <c r="R1675" s="62"/>
      <c r="S1675" s="37" t="str">
        <f>IFERROR(__xludf.DUMMYFUNCTION("if(not(iserror(index(split(C1675, "" ""),2))), index(split(C1675, "" ""),1),"""")"),"")</f>
        <v/>
      </c>
      <c r="T1675" s="315" t="str">
        <f>IFERROR(__xludf.DUMMYFUNCTION("if(S1675="""",C1675,if(not(iserror(index(split(C1675, "" ""),3))), index(split(C1675, "" ""),3),index(split(C1675, "" ""),2)))"),"")</f>
        <v/>
      </c>
      <c r="U1675" s="38" t="b">
        <f t="shared" si="34"/>
        <v>0</v>
      </c>
      <c r="V1675" s="38"/>
      <c r="W1675" s="40"/>
      <c r="X1675" s="40"/>
      <c r="Y1675" s="38"/>
      <c r="Z1675" s="38"/>
      <c r="AA1675" s="38"/>
      <c r="AB1675" s="38"/>
      <c r="AC1675" s="38"/>
      <c r="AD1675" s="38"/>
      <c r="AE1675" s="38"/>
      <c r="AF1675" s="38"/>
      <c r="AG1675" s="38"/>
      <c r="AH1675" s="38"/>
      <c r="AI1675" s="38"/>
      <c r="AJ1675" s="38"/>
      <c r="AK1675" s="38"/>
      <c r="AL1675" s="38"/>
      <c r="AM1675" s="38"/>
      <c r="AN1675" s="38"/>
      <c r="AO1675" s="38"/>
      <c r="AP1675" s="38"/>
      <c r="AQ1675" s="38"/>
      <c r="AR1675" s="38"/>
      <c r="AS1675" s="38"/>
      <c r="AT1675" s="38"/>
      <c r="AU1675" s="38"/>
      <c r="AV1675" s="38"/>
      <c r="AW1675" s="38"/>
      <c r="AX1675" s="38"/>
      <c r="AY1675" s="38"/>
      <c r="AZ1675" s="38"/>
      <c r="BA1675" s="38"/>
      <c r="BB1675" s="38"/>
      <c r="BC1675" s="38"/>
      <c r="BD1675" s="38"/>
      <c r="BE1675" s="38"/>
      <c r="BF1675" s="38"/>
      <c r="BG1675" s="38"/>
      <c r="BH1675" s="38"/>
      <c r="BI1675" s="38"/>
      <c r="BJ1675" s="38"/>
      <c r="BK1675" s="38"/>
      <c r="BL1675" s="38"/>
      <c r="BM1675" s="38"/>
      <c r="BN1675" s="38"/>
      <c r="BO1675" s="38"/>
      <c r="BP1675" s="38"/>
      <c r="BQ1675" s="38"/>
    </row>
    <row r="1676">
      <c r="A1676" s="375"/>
      <c r="B1676" s="341"/>
      <c r="C1676" s="60"/>
      <c r="D1676" s="60"/>
      <c r="E1676" s="58"/>
      <c r="F1676" s="58"/>
      <c r="G1676" s="58"/>
      <c r="H1676" s="33" t="str">
        <f t="shared" si="33"/>
        <v/>
      </c>
      <c r="I1676" s="58"/>
      <c r="J1676" s="58"/>
      <c r="K1676" s="58"/>
      <c r="L1676" s="58"/>
      <c r="M1676" s="80"/>
      <c r="N1676" s="77"/>
      <c r="O1676" s="62"/>
      <c r="P1676" s="62"/>
      <c r="Q1676" s="62"/>
      <c r="R1676" s="62"/>
      <c r="S1676" s="37" t="str">
        <f>IFERROR(__xludf.DUMMYFUNCTION("if(not(iserror(index(split(C1676, "" ""),2))), index(split(C1676, "" ""),1),"""")"),"")</f>
        <v/>
      </c>
      <c r="T1676" s="315" t="str">
        <f>IFERROR(__xludf.DUMMYFUNCTION("if(S1676="""",C1676,if(not(iserror(index(split(C1676, "" ""),3))), index(split(C1676, "" ""),3),index(split(C1676, "" ""),2)))"),"")</f>
        <v/>
      </c>
      <c r="U1676" s="38" t="b">
        <f t="shared" si="34"/>
        <v>0</v>
      </c>
      <c r="V1676" s="38"/>
      <c r="W1676" s="40"/>
      <c r="X1676" s="40"/>
      <c r="Y1676" s="38"/>
      <c r="Z1676" s="38"/>
      <c r="AA1676" s="38"/>
      <c r="AB1676" s="38"/>
      <c r="AC1676" s="38"/>
      <c r="AD1676" s="38"/>
      <c r="AE1676" s="38"/>
      <c r="AF1676" s="38"/>
      <c r="AG1676" s="38"/>
      <c r="AH1676" s="38"/>
      <c r="AI1676" s="38"/>
      <c r="AJ1676" s="38"/>
      <c r="AK1676" s="38"/>
      <c r="AL1676" s="38"/>
      <c r="AM1676" s="38"/>
      <c r="AN1676" s="38"/>
      <c r="AO1676" s="38"/>
      <c r="AP1676" s="38"/>
      <c r="AQ1676" s="38"/>
      <c r="AR1676" s="38"/>
      <c r="AS1676" s="38"/>
      <c r="AT1676" s="38"/>
      <c r="AU1676" s="38"/>
      <c r="AV1676" s="38"/>
      <c r="AW1676" s="38"/>
      <c r="AX1676" s="38"/>
      <c r="AY1676" s="38"/>
      <c r="AZ1676" s="38"/>
      <c r="BA1676" s="38"/>
      <c r="BB1676" s="38"/>
      <c r="BC1676" s="38"/>
      <c r="BD1676" s="38"/>
      <c r="BE1676" s="38"/>
      <c r="BF1676" s="38"/>
      <c r="BG1676" s="38"/>
      <c r="BH1676" s="38"/>
      <c r="BI1676" s="38"/>
      <c r="BJ1676" s="38"/>
      <c r="BK1676" s="38"/>
      <c r="BL1676" s="38"/>
      <c r="BM1676" s="38"/>
      <c r="BN1676" s="38"/>
      <c r="BO1676" s="38"/>
      <c r="BP1676" s="38"/>
      <c r="BQ1676" s="38"/>
    </row>
    <row r="1677">
      <c r="A1677" s="375"/>
      <c r="B1677" s="341"/>
      <c r="C1677" s="60"/>
      <c r="D1677" s="60"/>
      <c r="E1677" s="58"/>
      <c r="F1677" s="58"/>
      <c r="G1677" s="58"/>
      <c r="H1677" s="33" t="str">
        <f t="shared" si="33"/>
        <v/>
      </c>
      <c r="I1677" s="58"/>
      <c r="J1677" s="58"/>
      <c r="K1677" s="58"/>
      <c r="L1677" s="58"/>
      <c r="M1677" s="80"/>
      <c r="N1677" s="77"/>
      <c r="O1677" s="62"/>
      <c r="P1677" s="62"/>
      <c r="Q1677" s="62"/>
      <c r="R1677" s="62"/>
      <c r="S1677" s="37" t="str">
        <f>IFERROR(__xludf.DUMMYFUNCTION("if(not(iserror(index(split(C1677, "" ""),2))), index(split(C1677, "" ""),1),"""")"),"")</f>
        <v/>
      </c>
      <c r="T1677" s="315" t="str">
        <f>IFERROR(__xludf.DUMMYFUNCTION("if(S1677="""",C1677,if(not(iserror(index(split(C1677, "" ""),3))), index(split(C1677, "" ""),3),index(split(C1677, "" ""),2)))"),"")</f>
        <v/>
      </c>
      <c r="U1677" s="38" t="b">
        <f t="shared" si="34"/>
        <v>0</v>
      </c>
      <c r="V1677" s="38"/>
      <c r="W1677" s="40"/>
      <c r="X1677" s="40"/>
      <c r="Y1677" s="38"/>
      <c r="Z1677" s="38"/>
      <c r="AA1677" s="38"/>
      <c r="AB1677" s="38"/>
      <c r="AC1677" s="38"/>
      <c r="AD1677" s="38"/>
      <c r="AE1677" s="38"/>
      <c r="AF1677" s="38"/>
      <c r="AG1677" s="38"/>
      <c r="AH1677" s="38"/>
      <c r="AI1677" s="38"/>
      <c r="AJ1677" s="38"/>
      <c r="AK1677" s="38"/>
      <c r="AL1677" s="38"/>
      <c r="AM1677" s="38"/>
      <c r="AN1677" s="38"/>
      <c r="AO1677" s="38"/>
      <c r="AP1677" s="38"/>
      <c r="AQ1677" s="38"/>
      <c r="AR1677" s="38"/>
      <c r="AS1677" s="38"/>
      <c r="AT1677" s="38"/>
      <c r="AU1677" s="38"/>
      <c r="AV1677" s="38"/>
      <c r="AW1677" s="38"/>
      <c r="AX1677" s="38"/>
      <c r="AY1677" s="38"/>
      <c r="AZ1677" s="38"/>
      <c r="BA1677" s="38"/>
      <c r="BB1677" s="38"/>
      <c r="BC1677" s="38"/>
      <c r="BD1677" s="38"/>
      <c r="BE1677" s="38"/>
      <c r="BF1677" s="38"/>
      <c r="BG1677" s="38"/>
      <c r="BH1677" s="38"/>
      <c r="BI1677" s="38"/>
      <c r="BJ1677" s="38"/>
      <c r="BK1677" s="38"/>
      <c r="BL1677" s="38"/>
      <c r="BM1677" s="38"/>
      <c r="BN1677" s="38"/>
      <c r="BO1677" s="38"/>
      <c r="BP1677" s="38"/>
      <c r="BQ1677" s="38"/>
    </row>
    <row r="1678">
      <c r="A1678" s="375"/>
      <c r="B1678" s="341"/>
      <c r="C1678" s="60"/>
      <c r="D1678" s="60"/>
      <c r="E1678" s="58"/>
      <c r="F1678" s="58"/>
      <c r="G1678" s="58"/>
      <c r="H1678" s="33" t="str">
        <f t="shared" si="33"/>
        <v/>
      </c>
      <c r="I1678" s="58"/>
      <c r="J1678" s="58"/>
      <c r="K1678" s="58"/>
      <c r="L1678" s="58"/>
      <c r="M1678" s="80"/>
      <c r="N1678" s="77"/>
      <c r="O1678" s="62"/>
      <c r="P1678" s="62"/>
      <c r="Q1678" s="62"/>
      <c r="R1678" s="62"/>
      <c r="S1678" s="37" t="str">
        <f>IFERROR(__xludf.DUMMYFUNCTION("if(not(iserror(index(split(C1678, "" ""),2))), index(split(C1678, "" ""),1),"""")"),"")</f>
        <v/>
      </c>
      <c r="T1678" s="315" t="str">
        <f>IFERROR(__xludf.DUMMYFUNCTION("if(S1678="""",C1678,if(not(iserror(index(split(C1678, "" ""),3))), index(split(C1678, "" ""),3),index(split(C1678, "" ""),2)))"),"")</f>
        <v/>
      </c>
      <c r="U1678" s="38" t="b">
        <f t="shared" si="34"/>
        <v>0</v>
      </c>
      <c r="V1678" s="38"/>
      <c r="W1678" s="40"/>
      <c r="X1678" s="40"/>
      <c r="Y1678" s="38"/>
      <c r="Z1678" s="38"/>
      <c r="AA1678" s="38"/>
      <c r="AB1678" s="38"/>
      <c r="AC1678" s="38"/>
      <c r="AD1678" s="38"/>
      <c r="AE1678" s="38"/>
      <c r="AF1678" s="38"/>
      <c r="AG1678" s="38"/>
      <c r="AH1678" s="38"/>
      <c r="AI1678" s="38"/>
      <c r="AJ1678" s="38"/>
      <c r="AK1678" s="38"/>
      <c r="AL1678" s="38"/>
      <c r="AM1678" s="38"/>
      <c r="AN1678" s="38"/>
      <c r="AO1678" s="38"/>
      <c r="AP1678" s="38"/>
      <c r="AQ1678" s="38"/>
      <c r="AR1678" s="38"/>
      <c r="AS1678" s="38"/>
      <c r="AT1678" s="38"/>
      <c r="AU1678" s="38"/>
      <c r="AV1678" s="38"/>
      <c r="AW1678" s="38"/>
      <c r="AX1678" s="38"/>
      <c r="AY1678" s="38"/>
      <c r="AZ1678" s="38"/>
      <c r="BA1678" s="38"/>
      <c r="BB1678" s="38"/>
      <c r="BC1678" s="38"/>
      <c r="BD1678" s="38"/>
      <c r="BE1678" s="38"/>
      <c r="BF1678" s="38"/>
      <c r="BG1678" s="38"/>
      <c r="BH1678" s="38"/>
      <c r="BI1678" s="38"/>
      <c r="BJ1678" s="38"/>
      <c r="BK1678" s="38"/>
      <c r="BL1678" s="38"/>
      <c r="BM1678" s="38"/>
      <c r="BN1678" s="38"/>
      <c r="BO1678" s="38"/>
      <c r="BP1678" s="38"/>
      <c r="BQ1678" s="38"/>
    </row>
    <row r="1679">
      <c r="A1679" s="375"/>
      <c r="B1679" s="341"/>
      <c r="C1679" s="60"/>
      <c r="D1679" s="60"/>
      <c r="E1679" s="58"/>
      <c r="F1679" s="58"/>
      <c r="G1679" s="58"/>
      <c r="H1679" s="33" t="str">
        <f t="shared" si="33"/>
        <v/>
      </c>
      <c r="I1679" s="58"/>
      <c r="J1679" s="58"/>
      <c r="K1679" s="58"/>
      <c r="L1679" s="58"/>
      <c r="M1679" s="80"/>
      <c r="N1679" s="77"/>
      <c r="O1679" s="62"/>
      <c r="P1679" s="58"/>
      <c r="Q1679" s="84"/>
      <c r="R1679" s="62"/>
      <c r="S1679" s="37" t="str">
        <f>IFERROR(__xludf.DUMMYFUNCTION("if(not(iserror(index(split(C1679, "" ""),2))), index(split(C1679, "" ""),1),"""")"),"")</f>
        <v/>
      </c>
      <c r="T1679" s="315" t="str">
        <f>IFERROR(__xludf.DUMMYFUNCTION("if(S1679="""",C1679,if(not(iserror(index(split(C1679, "" ""),3))), index(split(C1679, "" ""),3),index(split(C1679, "" ""),2)))"),"")</f>
        <v/>
      </c>
      <c r="U1679" s="38" t="b">
        <f t="shared" si="34"/>
        <v>0</v>
      </c>
      <c r="V1679" s="38"/>
      <c r="W1679" s="40"/>
      <c r="X1679" s="40"/>
      <c r="Y1679" s="38"/>
      <c r="Z1679" s="38"/>
      <c r="AA1679" s="38"/>
      <c r="AB1679" s="38"/>
      <c r="AC1679" s="38"/>
      <c r="AD1679" s="38"/>
      <c r="AE1679" s="38"/>
      <c r="AF1679" s="38"/>
      <c r="AG1679" s="38"/>
      <c r="AH1679" s="38"/>
      <c r="AI1679" s="38"/>
      <c r="AJ1679" s="38"/>
      <c r="AK1679" s="38"/>
      <c r="AL1679" s="38"/>
      <c r="AM1679" s="38"/>
      <c r="AN1679" s="38"/>
      <c r="AO1679" s="38"/>
      <c r="AP1679" s="38"/>
      <c r="AQ1679" s="38"/>
      <c r="AR1679" s="38"/>
      <c r="AS1679" s="38"/>
      <c r="AT1679" s="38"/>
      <c r="AU1679" s="38"/>
      <c r="AV1679" s="38"/>
      <c r="AW1679" s="38"/>
      <c r="AX1679" s="38"/>
      <c r="AY1679" s="38"/>
      <c r="AZ1679" s="38"/>
      <c r="BA1679" s="38"/>
      <c r="BB1679" s="38"/>
      <c r="BC1679" s="38"/>
      <c r="BD1679" s="38"/>
      <c r="BE1679" s="38"/>
      <c r="BF1679" s="38"/>
      <c r="BG1679" s="38"/>
      <c r="BH1679" s="38"/>
      <c r="BI1679" s="38"/>
      <c r="BJ1679" s="38"/>
      <c r="BK1679" s="38"/>
      <c r="BL1679" s="38"/>
      <c r="BM1679" s="38"/>
      <c r="BN1679" s="38"/>
      <c r="BO1679" s="38"/>
      <c r="BP1679" s="38"/>
      <c r="BQ1679" s="38"/>
    </row>
    <row r="1680">
      <c r="A1680" s="58"/>
      <c r="B1680" s="341"/>
      <c r="C1680" s="60"/>
      <c r="D1680" s="60"/>
      <c r="E1680" s="58"/>
      <c r="F1680" s="58"/>
      <c r="G1680" s="58"/>
      <c r="H1680" s="33" t="str">
        <f t="shared" si="33"/>
        <v/>
      </c>
      <c r="I1680" s="58"/>
      <c r="J1680" s="58"/>
      <c r="K1680" s="58"/>
      <c r="L1680" s="58"/>
      <c r="M1680" s="80"/>
      <c r="N1680" s="77"/>
      <c r="O1680" s="62"/>
      <c r="P1680" s="62"/>
      <c r="Q1680" s="62"/>
      <c r="R1680" s="62"/>
      <c r="S1680" s="37" t="str">
        <f>IFERROR(__xludf.DUMMYFUNCTION("if(not(iserror(index(split(C1680, "" ""),2))), index(split(C1680, "" ""),1),"""")"),"")</f>
        <v/>
      </c>
      <c r="T1680" s="315" t="str">
        <f>IFERROR(__xludf.DUMMYFUNCTION("if(S1680="""",C1680,if(not(iserror(index(split(C1680, "" ""),3))), index(split(C1680, "" ""),3),index(split(C1680, "" ""),2)))"),"")</f>
        <v/>
      </c>
      <c r="U1680" s="38" t="b">
        <f t="shared" si="34"/>
        <v>0</v>
      </c>
      <c r="V1680" s="38"/>
      <c r="W1680" s="40"/>
      <c r="X1680" s="40"/>
      <c r="Y1680" s="38"/>
      <c r="Z1680" s="38"/>
      <c r="AA1680" s="38"/>
      <c r="AB1680" s="38"/>
      <c r="AC1680" s="38"/>
      <c r="AD1680" s="38"/>
      <c r="AE1680" s="38"/>
      <c r="AF1680" s="38"/>
      <c r="AG1680" s="38"/>
      <c r="AH1680" s="38"/>
      <c r="AI1680" s="38"/>
      <c r="AJ1680" s="38"/>
      <c r="AK1680" s="38"/>
      <c r="AL1680" s="38"/>
      <c r="AM1680" s="38"/>
      <c r="AN1680" s="38"/>
      <c r="AO1680" s="38"/>
      <c r="AP1680" s="38"/>
      <c r="AQ1680" s="38"/>
      <c r="AR1680" s="38"/>
      <c r="AS1680" s="38"/>
      <c r="AT1680" s="38"/>
      <c r="AU1680" s="38"/>
      <c r="AV1680" s="38"/>
      <c r="AW1680" s="38"/>
      <c r="AX1680" s="38"/>
      <c r="AY1680" s="38"/>
      <c r="AZ1680" s="38"/>
      <c r="BA1680" s="38"/>
      <c r="BB1680" s="38"/>
      <c r="BC1680" s="38"/>
      <c r="BD1680" s="38"/>
      <c r="BE1680" s="38"/>
      <c r="BF1680" s="38"/>
      <c r="BG1680" s="38"/>
      <c r="BH1680" s="38"/>
      <c r="BI1680" s="38"/>
      <c r="BJ1680" s="38"/>
      <c r="BK1680" s="38"/>
      <c r="BL1680" s="38"/>
      <c r="BM1680" s="38"/>
      <c r="BN1680" s="38"/>
      <c r="BO1680" s="38"/>
      <c r="BP1680" s="38"/>
      <c r="BQ1680" s="38"/>
    </row>
    <row r="1681">
      <c r="A1681" s="58"/>
      <c r="B1681" s="341"/>
      <c r="C1681" s="60"/>
      <c r="D1681" s="60"/>
      <c r="E1681" s="58"/>
      <c r="F1681" s="58"/>
      <c r="G1681" s="58"/>
      <c r="H1681" s="33" t="str">
        <f t="shared" si="33"/>
        <v/>
      </c>
      <c r="I1681" s="58"/>
      <c r="J1681" s="58"/>
      <c r="K1681" s="58"/>
      <c r="L1681" s="58"/>
      <c r="M1681" s="389"/>
      <c r="N1681" s="77"/>
      <c r="O1681" s="62"/>
      <c r="P1681" s="62"/>
      <c r="Q1681" s="62"/>
      <c r="R1681" s="62"/>
      <c r="S1681" s="37" t="str">
        <f>IFERROR(__xludf.DUMMYFUNCTION("if(not(iserror(index(split(C1681, "" ""),2))), index(split(C1681, "" ""),1),"""")"),"")</f>
        <v/>
      </c>
      <c r="T1681" s="315" t="str">
        <f>IFERROR(__xludf.DUMMYFUNCTION("if(S1681="""",C1681,if(not(iserror(index(split(C1681, "" ""),3))), index(split(C1681, "" ""),3),index(split(C1681, "" ""),2)))"),"")</f>
        <v/>
      </c>
      <c r="U1681" s="38" t="b">
        <f t="shared" si="34"/>
        <v>0</v>
      </c>
      <c r="V1681" s="38"/>
      <c r="W1681" s="40"/>
      <c r="X1681" s="40"/>
      <c r="Y1681" s="38"/>
      <c r="Z1681" s="38"/>
      <c r="AA1681" s="38"/>
      <c r="AB1681" s="38"/>
      <c r="AC1681" s="38"/>
      <c r="AD1681" s="38"/>
      <c r="AE1681" s="38"/>
      <c r="AF1681" s="38"/>
      <c r="AG1681" s="38"/>
      <c r="AH1681" s="38"/>
      <c r="AI1681" s="38"/>
      <c r="AJ1681" s="38"/>
      <c r="AK1681" s="38"/>
      <c r="AL1681" s="38"/>
      <c r="AM1681" s="38"/>
      <c r="AN1681" s="38"/>
      <c r="AO1681" s="38"/>
      <c r="AP1681" s="38"/>
      <c r="AQ1681" s="38"/>
      <c r="AR1681" s="38"/>
      <c r="AS1681" s="38"/>
      <c r="AT1681" s="38"/>
      <c r="AU1681" s="38"/>
      <c r="AV1681" s="38"/>
      <c r="AW1681" s="38"/>
      <c r="AX1681" s="38"/>
      <c r="AY1681" s="38"/>
      <c r="AZ1681" s="38"/>
      <c r="BA1681" s="38"/>
      <c r="BB1681" s="38"/>
      <c r="BC1681" s="38"/>
      <c r="BD1681" s="38"/>
      <c r="BE1681" s="38"/>
      <c r="BF1681" s="38"/>
      <c r="BG1681" s="38"/>
      <c r="BH1681" s="38"/>
      <c r="BI1681" s="38"/>
      <c r="BJ1681" s="38"/>
      <c r="BK1681" s="38"/>
      <c r="BL1681" s="38"/>
      <c r="BM1681" s="38"/>
      <c r="BN1681" s="38"/>
      <c r="BO1681" s="38"/>
      <c r="BP1681" s="38"/>
      <c r="BQ1681" s="38"/>
    </row>
    <row r="1682">
      <c r="A1682" s="58"/>
      <c r="B1682" s="341"/>
      <c r="C1682" s="60"/>
      <c r="D1682" s="60"/>
      <c r="E1682" s="58"/>
      <c r="F1682" s="58"/>
      <c r="G1682" s="58"/>
      <c r="H1682" s="33" t="str">
        <f t="shared" si="33"/>
        <v/>
      </c>
      <c r="I1682" s="58"/>
      <c r="J1682" s="58"/>
      <c r="K1682" s="58"/>
      <c r="L1682" s="58"/>
      <c r="M1682" s="80"/>
      <c r="N1682" s="77"/>
      <c r="O1682" s="58"/>
      <c r="P1682" s="58"/>
      <c r="Q1682" s="84"/>
      <c r="R1682" s="62"/>
      <c r="S1682" s="37" t="str">
        <f>IFERROR(__xludf.DUMMYFUNCTION("if(not(iserror(index(split(C1682, "" ""),2))), index(split(C1682, "" ""),1),"""")"),"")</f>
        <v/>
      </c>
      <c r="T1682" s="315" t="str">
        <f>IFERROR(__xludf.DUMMYFUNCTION("if(S1682="""",C1682,if(not(iserror(index(split(C1682, "" ""),3))), index(split(C1682, "" ""),3),index(split(C1682, "" ""),2)))"),"")</f>
        <v/>
      </c>
      <c r="U1682" s="38" t="b">
        <f t="shared" si="34"/>
        <v>0</v>
      </c>
      <c r="V1682" s="38"/>
      <c r="W1682" s="40"/>
      <c r="X1682" s="40"/>
      <c r="Y1682" s="38"/>
      <c r="Z1682" s="38"/>
      <c r="AA1682" s="38"/>
      <c r="AB1682" s="38"/>
      <c r="AC1682" s="38"/>
      <c r="AD1682" s="38"/>
      <c r="AE1682" s="38"/>
      <c r="AF1682" s="38"/>
      <c r="AG1682" s="38"/>
      <c r="AH1682" s="38"/>
      <c r="AI1682" s="38"/>
      <c r="AJ1682" s="38"/>
      <c r="AK1682" s="38"/>
      <c r="AL1682" s="38"/>
      <c r="AM1682" s="38"/>
      <c r="AN1682" s="38"/>
      <c r="AO1682" s="38"/>
      <c r="AP1682" s="38"/>
      <c r="AQ1682" s="38"/>
      <c r="AR1682" s="38"/>
      <c r="AS1682" s="38"/>
      <c r="AT1682" s="38"/>
      <c r="AU1682" s="38"/>
      <c r="AV1682" s="38"/>
      <c r="AW1682" s="38"/>
      <c r="AX1682" s="38"/>
      <c r="AY1682" s="38"/>
      <c r="AZ1682" s="38"/>
      <c r="BA1682" s="38"/>
      <c r="BB1682" s="38"/>
      <c r="BC1682" s="38"/>
      <c r="BD1682" s="38"/>
      <c r="BE1682" s="38"/>
      <c r="BF1682" s="38"/>
      <c r="BG1682" s="38"/>
      <c r="BH1682" s="38"/>
      <c r="BI1682" s="38"/>
      <c r="BJ1682" s="38"/>
      <c r="BK1682" s="38"/>
      <c r="BL1682" s="38"/>
      <c r="BM1682" s="38"/>
      <c r="BN1682" s="38"/>
      <c r="BO1682" s="38"/>
      <c r="BP1682" s="38"/>
      <c r="BQ1682" s="38"/>
    </row>
    <row r="1683">
      <c r="A1683" s="375"/>
      <c r="B1683" s="341"/>
      <c r="C1683" s="60"/>
      <c r="D1683" s="60"/>
      <c r="E1683" s="58"/>
      <c r="F1683" s="58"/>
      <c r="G1683" s="58"/>
      <c r="H1683" s="33" t="str">
        <f t="shared" si="33"/>
        <v/>
      </c>
      <c r="I1683" s="58"/>
      <c r="J1683" s="58"/>
      <c r="K1683" s="58"/>
      <c r="L1683" s="58"/>
      <c r="M1683" s="80"/>
      <c r="N1683" s="77"/>
      <c r="O1683" s="58"/>
      <c r="P1683" s="58"/>
      <c r="Q1683" s="84"/>
      <c r="R1683" s="62"/>
      <c r="S1683" s="37" t="str">
        <f>IFERROR(__xludf.DUMMYFUNCTION("if(not(iserror(index(split(C1683, "" ""),2))), index(split(C1683, "" ""),1),"""")"),"")</f>
        <v/>
      </c>
      <c r="T1683" s="315" t="str">
        <f>IFERROR(__xludf.DUMMYFUNCTION("if(S1683="""",C1683,if(not(iserror(index(split(C1683, "" ""),3))), index(split(C1683, "" ""),3),index(split(C1683, "" ""),2)))"),"")</f>
        <v/>
      </c>
      <c r="U1683" s="38" t="b">
        <f t="shared" si="34"/>
        <v>0</v>
      </c>
      <c r="V1683" s="38"/>
      <c r="W1683" s="40"/>
      <c r="X1683" s="40"/>
      <c r="Y1683" s="38"/>
      <c r="Z1683" s="38"/>
      <c r="AA1683" s="38"/>
      <c r="AB1683" s="38"/>
      <c r="AC1683" s="38"/>
      <c r="AD1683" s="38"/>
      <c r="AE1683" s="38"/>
      <c r="AF1683" s="38"/>
      <c r="AG1683" s="38"/>
      <c r="AH1683" s="38"/>
      <c r="AI1683" s="38"/>
      <c r="AJ1683" s="38"/>
      <c r="AK1683" s="38"/>
      <c r="AL1683" s="38"/>
      <c r="AM1683" s="38"/>
      <c r="AN1683" s="38"/>
      <c r="AO1683" s="38"/>
      <c r="AP1683" s="38"/>
      <c r="AQ1683" s="38"/>
      <c r="AR1683" s="38"/>
      <c r="AS1683" s="38"/>
      <c r="AT1683" s="38"/>
      <c r="AU1683" s="38"/>
      <c r="AV1683" s="38"/>
      <c r="AW1683" s="38"/>
      <c r="AX1683" s="38"/>
      <c r="AY1683" s="38"/>
      <c r="AZ1683" s="38"/>
      <c r="BA1683" s="38"/>
      <c r="BB1683" s="38"/>
      <c r="BC1683" s="38"/>
      <c r="BD1683" s="38"/>
      <c r="BE1683" s="38"/>
      <c r="BF1683" s="38"/>
      <c r="BG1683" s="38"/>
      <c r="BH1683" s="38"/>
      <c r="BI1683" s="38"/>
      <c r="BJ1683" s="38"/>
      <c r="BK1683" s="38"/>
      <c r="BL1683" s="38"/>
      <c r="BM1683" s="38"/>
      <c r="BN1683" s="38"/>
      <c r="BO1683" s="38"/>
      <c r="BP1683" s="38"/>
      <c r="BQ1683" s="38"/>
    </row>
    <row r="1684">
      <c r="A1684" s="58"/>
      <c r="B1684" s="341"/>
      <c r="C1684" s="60"/>
      <c r="D1684" s="60"/>
      <c r="E1684" s="58"/>
      <c r="F1684" s="58"/>
      <c r="G1684" s="58"/>
      <c r="H1684" s="33" t="str">
        <f t="shared" si="33"/>
        <v/>
      </c>
      <c r="I1684" s="58"/>
      <c r="J1684" s="58"/>
      <c r="K1684" s="58"/>
      <c r="L1684" s="58"/>
      <c r="M1684" s="80"/>
      <c r="N1684" s="77"/>
      <c r="O1684" s="62"/>
      <c r="P1684" s="62"/>
      <c r="Q1684" s="62"/>
      <c r="R1684" s="62"/>
      <c r="S1684" s="37" t="str">
        <f>IFERROR(__xludf.DUMMYFUNCTION("if(not(iserror(index(split(C1684, "" ""),2))), index(split(C1684, "" ""),1),"""")"),"")</f>
        <v/>
      </c>
      <c r="T1684" s="315" t="str">
        <f>IFERROR(__xludf.DUMMYFUNCTION("if(S1684="""",C1684,if(not(iserror(index(split(C1684, "" ""),3))), index(split(C1684, "" ""),3),index(split(C1684, "" ""),2)))"),"")</f>
        <v/>
      </c>
      <c r="U1684" s="38" t="b">
        <f t="shared" si="34"/>
        <v>0</v>
      </c>
      <c r="V1684" s="38"/>
      <c r="W1684" s="40"/>
      <c r="X1684" s="40"/>
      <c r="Y1684" s="38"/>
      <c r="Z1684" s="38"/>
      <c r="AA1684" s="38"/>
      <c r="AB1684" s="38"/>
      <c r="AC1684" s="38"/>
      <c r="AD1684" s="38"/>
      <c r="AE1684" s="38"/>
      <c r="AF1684" s="38"/>
      <c r="AG1684" s="38"/>
      <c r="AH1684" s="38"/>
      <c r="AI1684" s="38"/>
      <c r="AJ1684" s="38"/>
      <c r="AK1684" s="38"/>
      <c r="AL1684" s="38"/>
      <c r="AM1684" s="38"/>
      <c r="AN1684" s="38"/>
      <c r="AO1684" s="38"/>
      <c r="AP1684" s="38"/>
      <c r="AQ1684" s="38"/>
      <c r="AR1684" s="38"/>
      <c r="AS1684" s="38"/>
      <c r="AT1684" s="38"/>
      <c r="AU1684" s="38"/>
      <c r="AV1684" s="38"/>
      <c r="AW1684" s="38"/>
      <c r="AX1684" s="38"/>
      <c r="AY1684" s="38"/>
      <c r="AZ1684" s="38"/>
      <c r="BA1684" s="38"/>
      <c r="BB1684" s="38"/>
      <c r="BC1684" s="38"/>
      <c r="BD1684" s="38"/>
      <c r="BE1684" s="38"/>
      <c r="BF1684" s="38"/>
      <c r="BG1684" s="38"/>
      <c r="BH1684" s="38"/>
      <c r="BI1684" s="38"/>
      <c r="BJ1684" s="38"/>
      <c r="BK1684" s="38"/>
      <c r="BL1684" s="38"/>
      <c r="BM1684" s="38"/>
      <c r="BN1684" s="38"/>
      <c r="BO1684" s="38"/>
      <c r="BP1684" s="38"/>
      <c r="BQ1684" s="38"/>
    </row>
    <row r="1685">
      <c r="A1685" s="58"/>
      <c r="B1685" s="341"/>
      <c r="C1685" s="60"/>
      <c r="D1685" s="60"/>
      <c r="E1685" s="58"/>
      <c r="F1685" s="58"/>
      <c r="G1685" s="58"/>
      <c r="H1685" s="33" t="str">
        <f t="shared" si="33"/>
        <v/>
      </c>
      <c r="I1685" s="58"/>
      <c r="J1685" s="58"/>
      <c r="K1685" s="58"/>
      <c r="L1685" s="58"/>
      <c r="M1685" s="80"/>
      <c r="N1685" s="77"/>
      <c r="O1685" s="58"/>
      <c r="P1685" s="58"/>
      <c r="Q1685" s="84"/>
      <c r="R1685" s="62"/>
      <c r="S1685" s="37" t="str">
        <f>IFERROR(__xludf.DUMMYFUNCTION("if(not(iserror(index(split(C1685, "" ""),2))), index(split(C1685, "" ""),1),"""")"),"")</f>
        <v/>
      </c>
      <c r="T1685" s="315" t="str">
        <f>IFERROR(__xludf.DUMMYFUNCTION("if(S1685="""",C1685,if(not(iserror(index(split(C1685, "" ""),3))), index(split(C1685, "" ""),3),index(split(C1685, "" ""),2)))"),"")</f>
        <v/>
      </c>
      <c r="U1685" s="38" t="b">
        <f t="shared" si="34"/>
        <v>0</v>
      </c>
      <c r="V1685" s="38"/>
      <c r="W1685" s="40"/>
      <c r="X1685" s="40"/>
      <c r="Y1685" s="38"/>
      <c r="Z1685" s="38"/>
      <c r="AA1685" s="38"/>
      <c r="AB1685" s="38"/>
      <c r="AC1685" s="38"/>
      <c r="AD1685" s="38"/>
      <c r="AE1685" s="38"/>
      <c r="AF1685" s="38"/>
      <c r="AG1685" s="38"/>
      <c r="AH1685" s="38"/>
      <c r="AI1685" s="38"/>
      <c r="AJ1685" s="38"/>
      <c r="AK1685" s="38"/>
      <c r="AL1685" s="38"/>
      <c r="AM1685" s="38"/>
      <c r="AN1685" s="38"/>
      <c r="AO1685" s="38"/>
      <c r="AP1685" s="38"/>
      <c r="AQ1685" s="38"/>
      <c r="AR1685" s="38"/>
      <c r="AS1685" s="38"/>
      <c r="AT1685" s="38"/>
      <c r="AU1685" s="38"/>
      <c r="AV1685" s="38"/>
      <c r="AW1685" s="38"/>
      <c r="AX1685" s="38"/>
      <c r="AY1685" s="38"/>
      <c r="AZ1685" s="38"/>
      <c r="BA1685" s="38"/>
      <c r="BB1685" s="38"/>
      <c r="BC1685" s="38"/>
      <c r="BD1685" s="38"/>
      <c r="BE1685" s="38"/>
      <c r="BF1685" s="38"/>
      <c r="BG1685" s="38"/>
      <c r="BH1685" s="38"/>
      <c r="BI1685" s="38"/>
      <c r="BJ1685" s="38"/>
      <c r="BK1685" s="38"/>
      <c r="BL1685" s="38"/>
      <c r="BM1685" s="38"/>
      <c r="BN1685" s="38"/>
      <c r="BO1685" s="38"/>
      <c r="BP1685" s="38"/>
      <c r="BQ1685" s="38"/>
    </row>
    <row r="1686">
      <c r="A1686" s="58"/>
      <c r="B1686" s="341"/>
      <c r="C1686" s="60"/>
      <c r="D1686" s="60"/>
      <c r="E1686" s="58"/>
      <c r="F1686" s="58"/>
      <c r="G1686" s="58"/>
      <c r="H1686" s="33" t="str">
        <f t="shared" si="33"/>
        <v/>
      </c>
      <c r="I1686" s="58"/>
      <c r="J1686" s="58"/>
      <c r="K1686" s="58"/>
      <c r="L1686" s="58"/>
      <c r="M1686" s="80"/>
      <c r="N1686" s="77"/>
      <c r="O1686" s="58"/>
      <c r="P1686" s="58"/>
      <c r="Q1686" s="84"/>
      <c r="R1686" s="62"/>
      <c r="S1686" s="37" t="str">
        <f>IFERROR(__xludf.DUMMYFUNCTION("if(not(iserror(index(split(C1686, "" ""),2))), index(split(C1686, "" ""),1),"""")"),"")</f>
        <v/>
      </c>
      <c r="T1686" s="315" t="str">
        <f>IFERROR(__xludf.DUMMYFUNCTION("if(S1686="""",C1686,if(not(iserror(index(split(C1686, "" ""),3))), index(split(C1686, "" ""),3),index(split(C1686, "" ""),2)))"),"")</f>
        <v/>
      </c>
      <c r="U1686" s="38" t="b">
        <f t="shared" si="34"/>
        <v>0</v>
      </c>
      <c r="V1686" s="38"/>
      <c r="W1686" s="40"/>
      <c r="X1686" s="40"/>
      <c r="Y1686" s="38"/>
      <c r="Z1686" s="38"/>
      <c r="AA1686" s="38"/>
      <c r="AB1686" s="38"/>
      <c r="AC1686" s="38"/>
      <c r="AD1686" s="38"/>
      <c r="AE1686" s="38"/>
      <c r="AF1686" s="38"/>
      <c r="AG1686" s="38"/>
      <c r="AH1686" s="38"/>
      <c r="AI1686" s="38"/>
      <c r="AJ1686" s="38"/>
      <c r="AK1686" s="38"/>
      <c r="AL1686" s="38"/>
      <c r="AM1686" s="38"/>
      <c r="AN1686" s="38"/>
      <c r="AO1686" s="38"/>
      <c r="AP1686" s="38"/>
      <c r="AQ1686" s="38"/>
      <c r="AR1686" s="38"/>
      <c r="AS1686" s="38"/>
      <c r="AT1686" s="38"/>
      <c r="AU1686" s="38"/>
      <c r="AV1686" s="38"/>
      <c r="AW1686" s="38"/>
      <c r="AX1686" s="38"/>
      <c r="AY1686" s="38"/>
      <c r="AZ1686" s="38"/>
      <c r="BA1686" s="38"/>
      <c r="BB1686" s="38"/>
      <c r="BC1686" s="38"/>
      <c r="BD1686" s="38"/>
      <c r="BE1686" s="38"/>
      <c r="BF1686" s="38"/>
      <c r="BG1686" s="38"/>
      <c r="BH1686" s="38"/>
      <c r="BI1686" s="38"/>
      <c r="BJ1686" s="38"/>
      <c r="BK1686" s="38"/>
      <c r="BL1686" s="38"/>
      <c r="BM1686" s="38"/>
      <c r="BN1686" s="38"/>
      <c r="BO1686" s="38"/>
      <c r="BP1686" s="38"/>
      <c r="BQ1686" s="38"/>
    </row>
    <row r="1687">
      <c r="A1687" s="58"/>
      <c r="B1687" s="341"/>
      <c r="C1687" s="60"/>
      <c r="D1687" s="60"/>
      <c r="E1687" s="58"/>
      <c r="F1687" s="58"/>
      <c r="G1687" s="58"/>
      <c r="H1687" s="33" t="str">
        <f t="shared" si="33"/>
        <v/>
      </c>
      <c r="I1687" s="58"/>
      <c r="J1687" s="58"/>
      <c r="K1687" s="58"/>
      <c r="L1687" s="58"/>
      <c r="M1687" s="80"/>
      <c r="N1687" s="77"/>
      <c r="O1687" s="58"/>
      <c r="P1687" s="58"/>
      <c r="Q1687" s="84"/>
      <c r="R1687" s="62"/>
      <c r="S1687" s="37" t="str">
        <f>IFERROR(__xludf.DUMMYFUNCTION("if(not(iserror(index(split(C1687, "" ""),2))), index(split(C1687, "" ""),1),"""")"),"")</f>
        <v/>
      </c>
      <c r="T1687" s="315" t="str">
        <f>IFERROR(__xludf.DUMMYFUNCTION("if(S1687="""",C1687,if(not(iserror(index(split(C1687, "" ""),3))), index(split(C1687, "" ""),3),index(split(C1687, "" ""),2)))"),"")</f>
        <v/>
      </c>
      <c r="U1687" s="38" t="b">
        <f t="shared" si="34"/>
        <v>0</v>
      </c>
      <c r="V1687" s="38"/>
      <c r="W1687" s="40"/>
      <c r="X1687" s="40"/>
      <c r="Y1687" s="38"/>
      <c r="Z1687" s="38"/>
      <c r="AA1687" s="38"/>
      <c r="AB1687" s="38"/>
      <c r="AC1687" s="38"/>
      <c r="AD1687" s="38"/>
      <c r="AE1687" s="38"/>
      <c r="AF1687" s="38"/>
      <c r="AG1687" s="38"/>
      <c r="AH1687" s="38"/>
      <c r="AI1687" s="38"/>
      <c r="AJ1687" s="38"/>
      <c r="AK1687" s="38"/>
      <c r="AL1687" s="38"/>
      <c r="AM1687" s="38"/>
      <c r="AN1687" s="38"/>
      <c r="AO1687" s="38"/>
      <c r="AP1687" s="38"/>
      <c r="AQ1687" s="38"/>
      <c r="AR1687" s="38"/>
      <c r="AS1687" s="38"/>
      <c r="AT1687" s="38"/>
      <c r="AU1687" s="38"/>
      <c r="AV1687" s="38"/>
      <c r="AW1687" s="38"/>
      <c r="AX1687" s="38"/>
      <c r="AY1687" s="38"/>
      <c r="AZ1687" s="38"/>
      <c r="BA1687" s="38"/>
      <c r="BB1687" s="38"/>
      <c r="BC1687" s="38"/>
      <c r="BD1687" s="38"/>
      <c r="BE1687" s="38"/>
      <c r="BF1687" s="38"/>
      <c r="BG1687" s="38"/>
      <c r="BH1687" s="38"/>
      <c r="BI1687" s="38"/>
      <c r="BJ1687" s="38"/>
      <c r="BK1687" s="38"/>
      <c r="BL1687" s="38"/>
      <c r="BM1687" s="38"/>
      <c r="BN1687" s="38"/>
      <c r="BO1687" s="38"/>
      <c r="BP1687" s="38"/>
      <c r="BQ1687" s="38"/>
    </row>
    <row r="1688">
      <c r="A1688" s="58"/>
      <c r="B1688" s="341"/>
      <c r="C1688" s="60"/>
      <c r="D1688" s="60"/>
      <c r="E1688" s="58"/>
      <c r="F1688" s="58"/>
      <c r="G1688" s="58"/>
      <c r="H1688" s="33" t="str">
        <f t="shared" si="33"/>
        <v/>
      </c>
      <c r="I1688" s="58"/>
      <c r="J1688" s="58"/>
      <c r="K1688" s="58"/>
      <c r="L1688" s="58"/>
      <c r="M1688" s="80"/>
      <c r="N1688" s="77"/>
      <c r="O1688" s="58"/>
      <c r="P1688" s="58"/>
      <c r="Q1688" s="84"/>
      <c r="R1688" s="62"/>
      <c r="S1688" s="37" t="str">
        <f>IFERROR(__xludf.DUMMYFUNCTION("if(not(iserror(index(split(C1688, "" ""),2))), index(split(C1688, "" ""),1),"""")"),"")</f>
        <v/>
      </c>
      <c r="T1688" s="315" t="str">
        <f>IFERROR(__xludf.DUMMYFUNCTION("if(S1688="""",C1688,if(not(iserror(index(split(C1688, "" ""),3))), index(split(C1688, "" ""),3),index(split(C1688, "" ""),2)))"),"")</f>
        <v/>
      </c>
      <c r="U1688" s="38" t="b">
        <f t="shared" si="34"/>
        <v>0</v>
      </c>
      <c r="V1688" s="38"/>
      <c r="W1688" s="40"/>
      <c r="X1688" s="40"/>
      <c r="Y1688" s="38"/>
      <c r="Z1688" s="38"/>
      <c r="AA1688" s="38"/>
      <c r="AB1688" s="38"/>
      <c r="AC1688" s="38"/>
      <c r="AD1688" s="38"/>
      <c r="AE1688" s="38"/>
      <c r="AF1688" s="38"/>
      <c r="AG1688" s="38"/>
      <c r="AH1688" s="38"/>
      <c r="AI1688" s="38"/>
      <c r="AJ1688" s="38"/>
      <c r="AK1688" s="38"/>
      <c r="AL1688" s="38"/>
      <c r="AM1688" s="38"/>
      <c r="AN1688" s="38"/>
      <c r="AO1688" s="38"/>
      <c r="AP1688" s="38"/>
      <c r="AQ1688" s="38"/>
      <c r="AR1688" s="38"/>
      <c r="AS1688" s="38"/>
      <c r="AT1688" s="38"/>
      <c r="AU1688" s="38"/>
      <c r="AV1688" s="38"/>
      <c r="AW1688" s="38"/>
      <c r="AX1688" s="38"/>
      <c r="AY1688" s="38"/>
      <c r="AZ1688" s="38"/>
      <c r="BA1688" s="38"/>
      <c r="BB1688" s="38"/>
      <c r="BC1688" s="38"/>
      <c r="BD1688" s="38"/>
      <c r="BE1688" s="38"/>
      <c r="BF1688" s="38"/>
      <c r="BG1688" s="38"/>
      <c r="BH1688" s="38"/>
      <c r="BI1688" s="38"/>
      <c r="BJ1688" s="38"/>
      <c r="BK1688" s="38"/>
      <c r="BL1688" s="38"/>
      <c r="BM1688" s="38"/>
      <c r="BN1688" s="38"/>
      <c r="BO1688" s="38"/>
      <c r="BP1688" s="38"/>
      <c r="BQ1688" s="38"/>
    </row>
    <row r="1689">
      <c r="A1689" s="58"/>
      <c r="B1689" s="341"/>
      <c r="C1689" s="60"/>
      <c r="D1689" s="60"/>
      <c r="E1689" s="58"/>
      <c r="F1689" s="58"/>
      <c r="G1689" s="58"/>
      <c r="H1689" s="33" t="str">
        <f t="shared" si="33"/>
        <v/>
      </c>
      <c r="I1689" s="58"/>
      <c r="J1689" s="58"/>
      <c r="K1689" s="58"/>
      <c r="L1689" s="58"/>
      <c r="M1689" s="80"/>
      <c r="N1689" s="77"/>
      <c r="O1689" s="58"/>
      <c r="P1689" s="58"/>
      <c r="Q1689" s="84"/>
      <c r="R1689" s="62"/>
      <c r="S1689" s="37" t="str">
        <f>IFERROR(__xludf.DUMMYFUNCTION("if(not(iserror(index(split(C1689, "" ""),2))), index(split(C1689, "" ""),1),"""")"),"")</f>
        <v/>
      </c>
      <c r="T1689" s="315" t="str">
        <f>IFERROR(__xludf.DUMMYFUNCTION("if(S1689="""",C1689,if(not(iserror(index(split(C1689, "" ""),3))), index(split(C1689, "" ""),3),index(split(C1689, "" ""),2)))"),"")</f>
        <v/>
      </c>
      <c r="U1689" s="38" t="b">
        <f t="shared" si="34"/>
        <v>0</v>
      </c>
      <c r="V1689" s="38"/>
      <c r="W1689" s="40"/>
      <c r="X1689" s="40"/>
      <c r="Y1689" s="38"/>
      <c r="Z1689" s="38"/>
      <c r="AA1689" s="38"/>
      <c r="AB1689" s="38"/>
      <c r="AC1689" s="38"/>
      <c r="AD1689" s="38"/>
      <c r="AE1689" s="38"/>
      <c r="AF1689" s="38"/>
      <c r="AG1689" s="38"/>
      <c r="AH1689" s="38"/>
      <c r="AI1689" s="38"/>
      <c r="AJ1689" s="38"/>
      <c r="AK1689" s="38"/>
      <c r="AL1689" s="38"/>
      <c r="AM1689" s="38"/>
      <c r="AN1689" s="38"/>
      <c r="AO1689" s="38"/>
      <c r="AP1689" s="38"/>
      <c r="AQ1689" s="38"/>
      <c r="AR1689" s="38"/>
      <c r="AS1689" s="38"/>
      <c r="AT1689" s="38"/>
      <c r="AU1689" s="38"/>
      <c r="AV1689" s="38"/>
      <c r="AW1689" s="38"/>
      <c r="AX1689" s="38"/>
      <c r="AY1689" s="38"/>
      <c r="AZ1689" s="38"/>
      <c r="BA1689" s="38"/>
      <c r="BB1689" s="38"/>
      <c r="BC1689" s="38"/>
      <c r="BD1689" s="38"/>
      <c r="BE1689" s="38"/>
      <c r="BF1689" s="38"/>
      <c r="BG1689" s="38"/>
      <c r="BH1689" s="38"/>
      <c r="BI1689" s="38"/>
      <c r="BJ1689" s="38"/>
      <c r="BK1689" s="38"/>
      <c r="BL1689" s="38"/>
      <c r="BM1689" s="38"/>
      <c r="BN1689" s="38"/>
      <c r="BO1689" s="38"/>
      <c r="BP1689" s="38"/>
      <c r="BQ1689" s="38"/>
    </row>
    <row r="1690">
      <c r="A1690" s="58"/>
      <c r="B1690" s="341"/>
      <c r="C1690" s="60"/>
      <c r="D1690" s="60"/>
      <c r="E1690" s="58"/>
      <c r="F1690" s="58"/>
      <c r="G1690" s="58"/>
      <c r="H1690" s="33" t="str">
        <f t="shared" si="33"/>
        <v/>
      </c>
      <c r="I1690" s="58"/>
      <c r="J1690" s="58"/>
      <c r="K1690" s="58"/>
      <c r="L1690" s="58"/>
      <c r="M1690" s="80"/>
      <c r="N1690" s="77"/>
      <c r="O1690" s="58"/>
      <c r="P1690" s="58"/>
      <c r="Q1690" s="84"/>
      <c r="R1690" s="62"/>
      <c r="S1690" s="37" t="str">
        <f>IFERROR(__xludf.DUMMYFUNCTION("if(not(iserror(index(split(C1690, "" ""),2))), index(split(C1690, "" ""),1),"""")"),"")</f>
        <v/>
      </c>
      <c r="T1690" s="315" t="str">
        <f>IFERROR(__xludf.DUMMYFUNCTION("if(S1690="""",C1690,if(not(iserror(index(split(C1690, "" ""),3))), index(split(C1690, "" ""),3),index(split(C1690, "" ""),2)))"),"")</f>
        <v/>
      </c>
      <c r="U1690" s="38" t="b">
        <f t="shared" si="34"/>
        <v>0</v>
      </c>
      <c r="V1690" s="38"/>
      <c r="W1690" s="40"/>
      <c r="X1690" s="40"/>
      <c r="Y1690" s="38"/>
      <c r="Z1690" s="38"/>
      <c r="AA1690" s="38"/>
      <c r="AB1690" s="38"/>
      <c r="AC1690" s="38"/>
      <c r="AD1690" s="38"/>
      <c r="AE1690" s="38"/>
      <c r="AF1690" s="38"/>
      <c r="AG1690" s="38"/>
      <c r="AH1690" s="38"/>
      <c r="AI1690" s="38"/>
      <c r="AJ1690" s="38"/>
      <c r="AK1690" s="38"/>
      <c r="AL1690" s="38"/>
      <c r="AM1690" s="38"/>
      <c r="AN1690" s="38"/>
      <c r="AO1690" s="38"/>
      <c r="AP1690" s="38"/>
      <c r="AQ1690" s="38"/>
      <c r="AR1690" s="38"/>
      <c r="AS1690" s="38"/>
      <c r="AT1690" s="38"/>
      <c r="AU1690" s="38"/>
      <c r="AV1690" s="38"/>
      <c r="AW1690" s="38"/>
      <c r="AX1690" s="38"/>
      <c r="AY1690" s="38"/>
      <c r="AZ1690" s="38"/>
      <c r="BA1690" s="38"/>
      <c r="BB1690" s="38"/>
      <c r="BC1690" s="38"/>
      <c r="BD1690" s="38"/>
      <c r="BE1690" s="38"/>
      <c r="BF1690" s="38"/>
      <c r="BG1690" s="38"/>
      <c r="BH1690" s="38"/>
      <c r="BI1690" s="38"/>
      <c r="BJ1690" s="38"/>
      <c r="BK1690" s="38"/>
      <c r="BL1690" s="38"/>
      <c r="BM1690" s="38"/>
      <c r="BN1690" s="38"/>
      <c r="BO1690" s="38"/>
      <c r="BP1690" s="38"/>
      <c r="BQ1690" s="38"/>
    </row>
    <row r="1691">
      <c r="A1691" s="391"/>
      <c r="B1691" s="341"/>
      <c r="C1691" s="60"/>
      <c r="D1691" s="60"/>
      <c r="E1691" s="58"/>
      <c r="F1691" s="58"/>
      <c r="G1691" s="58"/>
      <c r="H1691" s="33" t="str">
        <f t="shared" si="33"/>
        <v/>
      </c>
      <c r="I1691" s="58"/>
      <c r="J1691" s="58"/>
      <c r="K1691" s="58"/>
      <c r="L1691" s="58"/>
      <c r="M1691" s="392"/>
      <c r="N1691" s="77"/>
      <c r="O1691" s="62"/>
      <c r="P1691" s="62"/>
      <c r="Q1691" s="62"/>
      <c r="R1691" s="62"/>
      <c r="S1691" s="37" t="str">
        <f>IFERROR(__xludf.DUMMYFUNCTION("if(not(iserror(index(split(C1691, "" ""),2))), index(split(C1691, "" ""),1),"""")"),"")</f>
        <v/>
      </c>
      <c r="T1691" s="315" t="str">
        <f>IFERROR(__xludf.DUMMYFUNCTION("if(S1691="""",C1691,if(not(iserror(index(split(C1691, "" ""),3))), index(split(C1691, "" ""),3),index(split(C1691, "" ""),2)))"),"")</f>
        <v/>
      </c>
      <c r="U1691" s="38" t="b">
        <f t="shared" si="34"/>
        <v>0</v>
      </c>
      <c r="V1691" s="38"/>
      <c r="W1691" s="40"/>
      <c r="X1691" s="40"/>
      <c r="Y1691" s="38"/>
      <c r="Z1691" s="38"/>
      <c r="AA1691" s="38"/>
      <c r="AB1691" s="38"/>
      <c r="AC1691" s="38"/>
      <c r="AD1691" s="38"/>
      <c r="AE1691" s="38"/>
      <c r="AF1691" s="38"/>
      <c r="AG1691" s="38"/>
      <c r="AH1691" s="38"/>
      <c r="AI1691" s="38"/>
      <c r="AJ1691" s="38"/>
      <c r="AK1691" s="38"/>
      <c r="AL1691" s="38"/>
      <c r="AM1691" s="38"/>
      <c r="AN1691" s="38"/>
      <c r="AO1691" s="38"/>
      <c r="AP1691" s="38"/>
      <c r="AQ1691" s="38"/>
      <c r="AR1691" s="38"/>
      <c r="AS1691" s="38"/>
      <c r="AT1691" s="38"/>
      <c r="AU1691" s="38"/>
      <c r="AV1691" s="38"/>
      <c r="AW1691" s="38"/>
      <c r="AX1691" s="38"/>
      <c r="AY1691" s="38"/>
      <c r="AZ1691" s="38"/>
      <c r="BA1691" s="38"/>
      <c r="BB1691" s="38"/>
      <c r="BC1691" s="38"/>
      <c r="BD1691" s="38"/>
      <c r="BE1691" s="38"/>
      <c r="BF1691" s="38"/>
      <c r="BG1691" s="38"/>
      <c r="BH1691" s="38"/>
      <c r="BI1691" s="38"/>
      <c r="BJ1691" s="38"/>
      <c r="BK1691" s="38"/>
      <c r="BL1691" s="38"/>
      <c r="BM1691" s="38"/>
      <c r="BN1691" s="38"/>
      <c r="BO1691" s="38"/>
      <c r="BP1691" s="38"/>
      <c r="BQ1691" s="38"/>
    </row>
    <row r="1692">
      <c r="A1692" s="391"/>
      <c r="B1692" s="341"/>
      <c r="C1692" s="60"/>
      <c r="D1692" s="60"/>
      <c r="E1692" s="58"/>
      <c r="F1692" s="58"/>
      <c r="G1692" s="58"/>
      <c r="H1692" s="33" t="str">
        <f t="shared" si="33"/>
        <v/>
      </c>
      <c r="I1692" s="58"/>
      <c r="J1692" s="58"/>
      <c r="K1692" s="58"/>
      <c r="L1692" s="58"/>
      <c r="M1692" s="392"/>
      <c r="N1692" s="77"/>
      <c r="O1692" s="62"/>
      <c r="P1692" s="62"/>
      <c r="Q1692" s="62"/>
      <c r="R1692" s="62"/>
      <c r="S1692" s="37" t="str">
        <f>IFERROR(__xludf.DUMMYFUNCTION("if(not(iserror(index(split(C1692, "" ""),2))), index(split(C1692, "" ""),1),"""")"),"")</f>
        <v/>
      </c>
      <c r="T1692" s="315" t="str">
        <f>IFERROR(__xludf.DUMMYFUNCTION("if(S1692="""",C1692,if(not(iserror(index(split(C1692, "" ""),3))), index(split(C1692, "" ""),3),index(split(C1692, "" ""),2)))"),"")</f>
        <v/>
      </c>
      <c r="U1692" s="38" t="b">
        <f t="shared" si="34"/>
        <v>0</v>
      </c>
      <c r="V1692" s="38"/>
      <c r="W1692" s="40"/>
      <c r="X1692" s="40"/>
      <c r="Y1692" s="38"/>
      <c r="Z1692" s="38"/>
      <c r="AA1692" s="38"/>
      <c r="AB1692" s="38"/>
      <c r="AC1692" s="38"/>
      <c r="AD1692" s="38"/>
      <c r="AE1692" s="38"/>
      <c r="AF1692" s="38"/>
      <c r="AG1692" s="38"/>
      <c r="AH1692" s="38"/>
      <c r="AI1692" s="38"/>
      <c r="AJ1692" s="38"/>
      <c r="AK1692" s="38"/>
      <c r="AL1692" s="38"/>
      <c r="AM1692" s="38"/>
      <c r="AN1692" s="38"/>
      <c r="AO1692" s="38"/>
      <c r="AP1692" s="38"/>
      <c r="AQ1692" s="38"/>
      <c r="AR1692" s="38"/>
      <c r="AS1692" s="38"/>
      <c r="AT1692" s="38"/>
      <c r="AU1692" s="38"/>
      <c r="AV1692" s="38"/>
      <c r="AW1692" s="38"/>
      <c r="AX1692" s="38"/>
      <c r="AY1692" s="38"/>
      <c r="AZ1692" s="38"/>
      <c r="BA1692" s="38"/>
      <c r="BB1692" s="38"/>
      <c r="BC1692" s="38"/>
      <c r="BD1692" s="38"/>
      <c r="BE1692" s="38"/>
      <c r="BF1692" s="38"/>
      <c r="BG1692" s="38"/>
      <c r="BH1692" s="38"/>
      <c r="BI1692" s="38"/>
      <c r="BJ1692" s="38"/>
      <c r="BK1692" s="38"/>
      <c r="BL1692" s="38"/>
      <c r="BM1692" s="38"/>
      <c r="BN1692" s="38"/>
      <c r="BO1692" s="38"/>
      <c r="BP1692" s="38"/>
      <c r="BQ1692" s="38"/>
    </row>
    <row r="1693">
      <c r="A1693" s="391"/>
      <c r="B1693" s="341"/>
      <c r="C1693" s="60"/>
      <c r="D1693" s="60"/>
      <c r="E1693" s="58"/>
      <c r="F1693" s="58"/>
      <c r="G1693" s="58"/>
      <c r="H1693" s="33" t="str">
        <f t="shared" si="33"/>
        <v/>
      </c>
      <c r="I1693" s="58"/>
      <c r="J1693" s="58"/>
      <c r="K1693" s="58"/>
      <c r="L1693" s="58"/>
      <c r="M1693" s="392"/>
      <c r="N1693" s="77"/>
      <c r="O1693" s="62"/>
      <c r="P1693" s="62"/>
      <c r="Q1693" s="62"/>
      <c r="R1693" s="62"/>
      <c r="S1693" s="37" t="str">
        <f>IFERROR(__xludf.DUMMYFUNCTION("if(not(iserror(index(split(C1693, "" ""),2))), index(split(C1693, "" ""),1),"""")"),"")</f>
        <v/>
      </c>
      <c r="T1693" s="315" t="str">
        <f>IFERROR(__xludf.DUMMYFUNCTION("if(S1693="""",C1693,if(not(iserror(index(split(C1693, "" ""),3))), index(split(C1693, "" ""),3),index(split(C1693, "" ""),2)))"),"")</f>
        <v/>
      </c>
      <c r="U1693" s="38" t="b">
        <f t="shared" si="34"/>
        <v>0</v>
      </c>
      <c r="V1693" s="38"/>
      <c r="W1693" s="40"/>
      <c r="X1693" s="40"/>
      <c r="Y1693" s="38"/>
      <c r="Z1693" s="38"/>
      <c r="AA1693" s="38"/>
      <c r="AB1693" s="38"/>
      <c r="AC1693" s="38"/>
      <c r="AD1693" s="38"/>
      <c r="AE1693" s="38"/>
      <c r="AF1693" s="38"/>
      <c r="AG1693" s="38"/>
      <c r="AH1693" s="38"/>
      <c r="AI1693" s="38"/>
      <c r="AJ1693" s="38"/>
      <c r="AK1693" s="38"/>
      <c r="AL1693" s="38"/>
      <c r="AM1693" s="38"/>
      <c r="AN1693" s="38"/>
      <c r="AO1693" s="38"/>
      <c r="AP1693" s="38"/>
      <c r="AQ1693" s="38"/>
      <c r="AR1693" s="38"/>
      <c r="AS1693" s="38"/>
      <c r="AT1693" s="38"/>
      <c r="AU1693" s="38"/>
      <c r="AV1693" s="38"/>
      <c r="AW1693" s="38"/>
      <c r="AX1693" s="38"/>
      <c r="AY1693" s="38"/>
      <c r="AZ1693" s="38"/>
      <c r="BA1693" s="38"/>
      <c r="BB1693" s="38"/>
      <c r="BC1693" s="38"/>
      <c r="BD1693" s="38"/>
      <c r="BE1693" s="38"/>
      <c r="BF1693" s="38"/>
      <c r="BG1693" s="38"/>
      <c r="BH1693" s="38"/>
      <c r="BI1693" s="38"/>
      <c r="BJ1693" s="38"/>
      <c r="BK1693" s="38"/>
      <c r="BL1693" s="38"/>
      <c r="BM1693" s="38"/>
      <c r="BN1693" s="38"/>
      <c r="BO1693" s="38"/>
      <c r="BP1693" s="38"/>
      <c r="BQ1693" s="38"/>
    </row>
    <row r="1694">
      <c r="A1694" s="391"/>
      <c r="B1694" s="341"/>
      <c r="C1694" s="60"/>
      <c r="D1694" s="60"/>
      <c r="E1694" s="58"/>
      <c r="F1694" s="58"/>
      <c r="G1694" s="58"/>
      <c r="H1694" s="33" t="str">
        <f t="shared" si="33"/>
        <v/>
      </c>
      <c r="I1694" s="58"/>
      <c r="J1694" s="58"/>
      <c r="K1694" s="58"/>
      <c r="L1694" s="58"/>
      <c r="M1694" s="392"/>
      <c r="N1694" s="77"/>
      <c r="O1694" s="62"/>
      <c r="P1694" s="62"/>
      <c r="Q1694" s="62"/>
      <c r="R1694" s="62"/>
      <c r="S1694" s="37" t="str">
        <f>IFERROR(__xludf.DUMMYFUNCTION("if(not(iserror(index(split(C1694, "" ""),2))), index(split(C1694, "" ""),1),"""")"),"")</f>
        <v/>
      </c>
      <c r="T1694" s="315" t="str">
        <f>IFERROR(__xludf.DUMMYFUNCTION("if(S1694="""",C1694,if(not(iserror(index(split(C1694, "" ""),3))), index(split(C1694, "" ""),3),index(split(C1694, "" ""),2)))"),"")</f>
        <v/>
      </c>
      <c r="U1694" s="38" t="b">
        <f t="shared" si="34"/>
        <v>0</v>
      </c>
      <c r="V1694" s="38"/>
      <c r="W1694" s="40"/>
      <c r="X1694" s="40"/>
      <c r="Y1694" s="38"/>
      <c r="Z1694" s="38"/>
      <c r="AA1694" s="38"/>
      <c r="AB1694" s="38"/>
      <c r="AC1694" s="38"/>
      <c r="AD1694" s="38"/>
      <c r="AE1694" s="38"/>
      <c r="AF1694" s="38"/>
      <c r="AG1694" s="38"/>
      <c r="AH1694" s="38"/>
      <c r="AI1694" s="38"/>
      <c r="AJ1694" s="38"/>
      <c r="AK1694" s="38"/>
      <c r="AL1694" s="38"/>
      <c r="AM1694" s="38"/>
      <c r="AN1694" s="38"/>
      <c r="AO1694" s="38"/>
      <c r="AP1694" s="38"/>
      <c r="AQ1694" s="38"/>
      <c r="AR1694" s="38"/>
      <c r="AS1694" s="38"/>
      <c r="AT1694" s="38"/>
      <c r="AU1694" s="38"/>
      <c r="AV1694" s="38"/>
      <c r="AW1694" s="38"/>
      <c r="AX1694" s="38"/>
      <c r="AY1694" s="38"/>
      <c r="AZ1694" s="38"/>
      <c r="BA1694" s="38"/>
      <c r="BB1694" s="38"/>
      <c r="BC1694" s="38"/>
      <c r="BD1694" s="38"/>
      <c r="BE1694" s="38"/>
      <c r="BF1694" s="38"/>
      <c r="BG1694" s="38"/>
      <c r="BH1694" s="38"/>
      <c r="BI1694" s="38"/>
      <c r="BJ1694" s="38"/>
      <c r="BK1694" s="38"/>
      <c r="BL1694" s="38"/>
      <c r="BM1694" s="38"/>
      <c r="BN1694" s="38"/>
      <c r="BO1694" s="38"/>
      <c r="BP1694" s="38"/>
      <c r="BQ1694" s="38"/>
    </row>
    <row r="1695">
      <c r="A1695" s="391"/>
      <c r="B1695" s="341"/>
      <c r="C1695" s="60"/>
      <c r="D1695" s="60"/>
      <c r="E1695" s="58"/>
      <c r="F1695" s="58"/>
      <c r="G1695" s="58"/>
      <c r="H1695" s="33" t="str">
        <f t="shared" si="33"/>
        <v/>
      </c>
      <c r="I1695" s="58"/>
      <c r="J1695" s="58"/>
      <c r="K1695" s="58"/>
      <c r="L1695" s="58"/>
      <c r="M1695" s="392"/>
      <c r="N1695" s="77"/>
      <c r="O1695" s="62"/>
      <c r="P1695" s="62"/>
      <c r="Q1695" s="62"/>
      <c r="R1695" s="62"/>
      <c r="S1695" s="37" t="str">
        <f>IFERROR(__xludf.DUMMYFUNCTION("if(not(iserror(index(split(C1695, "" ""),2))), index(split(C1695, "" ""),1),"""")"),"")</f>
        <v/>
      </c>
      <c r="T1695" s="315" t="str">
        <f>IFERROR(__xludf.DUMMYFUNCTION("if(S1695="""",C1695,if(not(iserror(index(split(C1695, "" ""),3))), index(split(C1695, "" ""),3),index(split(C1695, "" ""),2)))"),"")</f>
        <v/>
      </c>
      <c r="U1695" s="38" t="b">
        <f t="shared" si="34"/>
        <v>0</v>
      </c>
      <c r="V1695" s="38"/>
      <c r="W1695" s="40"/>
      <c r="X1695" s="40"/>
      <c r="Y1695" s="38"/>
      <c r="Z1695" s="38"/>
      <c r="AA1695" s="38"/>
      <c r="AB1695" s="38"/>
      <c r="AC1695" s="38"/>
      <c r="AD1695" s="38"/>
      <c r="AE1695" s="38"/>
      <c r="AF1695" s="38"/>
      <c r="AG1695" s="38"/>
      <c r="AH1695" s="38"/>
      <c r="AI1695" s="38"/>
      <c r="AJ1695" s="38"/>
      <c r="AK1695" s="38"/>
      <c r="AL1695" s="38"/>
      <c r="AM1695" s="38"/>
      <c r="AN1695" s="38"/>
      <c r="AO1695" s="38"/>
      <c r="AP1695" s="38"/>
      <c r="AQ1695" s="38"/>
      <c r="AR1695" s="38"/>
      <c r="AS1695" s="38"/>
      <c r="AT1695" s="38"/>
      <c r="AU1695" s="38"/>
      <c r="AV1695" s="38"/>
      <c r="AW1695" s="38"/>
      <c r="AX1695" s="38"/>
      <c r="AY1695" s="38"/>
      <c r="AZ1695" s="38"/>
      <c r="BA1695" s="38"/>
      <c r="BB1695" s="38"/>
      <c r="BC1695" s="38"/>
      <c r="BD1695" s="38"/>
      <c r="BE1695" s="38"/>
      <c r="BF1695" s="38"/>
      <c r="BG1695" s="38"/>
      <c r="BH1695" s="38"/>
      <c r="BI1695" s="38"/>
      <c r="BJ1695" s="38"/>
      <c r="BK1695" s="38"/>
      <c r="BL1695" s="38"/>
      <c r="BM1695" s="38"/>
      <c r="BN1695" s="38"/>
      <c r="BO1695" s="38"/>
      <c r="BP1695" s="38"/>
      <c r="BQ1695" s="38"/>
    </row>
    <row r="1696">
      <c r="A1696" s="391"/>
      <c r="B1696" s="341"/>
      <c r="C1696" s="60"/>
      <c r="D1696" s="60"/>
      <c r="E1696" s="58"/>
      <c r="F1696" s="58"/>
      <c r="G1696" s="58"/>
      <c r="H1696" s="33" t="str">
        <f t="shared" si="33"/>
        <v/>
      </c>
      <c r="I1696" s="58"/>
      <c r="J1696" s="58"/>
      <c r="K1696" s="58"/>
      <c r="L1696" s="58"/>
      <c r="M1696" s="392"/>
      <c r="N1696" s="77"/>
      <c r="O1696" s="62"/>
      <c r="P1696" s="62"/>
      <c r="Q1696" s="62"/>
      <c r="R1696" s="62"/>
      <c r="S1696" s="37" t="str">
        <f>IFERROR(__xludf.DUMMYFUNCTION("if(not(iserror(index(split(C1696, "" ""),2))), index(split(C1696, "" ""),1),"""")"),"")</f>
        <v/>
      </c>
      <c r="T1696" s="315" t="str">
        <f>IFERROR(__xludf.DUMMYFUNCTION("if(S1696="""",C1696,if(not(iserror(index(split(C1696, "" ""),3))), index(split(C1696, "" ""),3),index(split(C1696, "" ""),2)))"),"")</f>
        <v/>
      </c>
      <c r="U1696" s="38" t="b">
        <f t="shared" si="34"/>
        <v>0</v>
      </c>
      <c r="V1696" s="38"/>
      <c r="W1696" s="40"/>
      <c r="X1696" s="40"/>
      <c r="Y1696" s="38"/>
      <c r="Z1696" s="38"/>
      <c r="AA1696" s="38"/>
      <c r="AB1696" s="38"/>
      <c r="AC1696" s="38"/>
      <c r="AD1696" s="38"/>
      <c r="AE1696" s="38"/>
      <c r="AF1696" s="38"/>
      <c r="AG1696" s="38"/>
      <c r="AH1696" s="38"/>
      <c r="AI1696" s="38"/>
      <c r="AJ1696" s="38"/>
      <c r="AK1696" s="38"/>
      <c r="AL1696" s="38"/>
      <c r="AM1696" s="38"/>
      <c r="AN1696" s="38"/>
      <c r="AO1696" s="38"/>
      <c r="AP1696" s="38"/>
      <c r="AQ1696" s="38"/>
      <c r="AR1696" s="38"/>
      <c r="AS1696" s="38"/>
      <c r="AT1696" s="38"/>
      <c r="AU1696" s="38"/>
      <c r="AV1696" s="38"/>
      <c r="AW1696" s="38"/>
      <c r="AX1696" s="38"/>
      <c r="AY1696" s="38"/>
      <c r="AZ1696" s="38"/>
      <c r="BA1696" s="38"/>
      <c r="BB1696" s="38"/>
      <c r="BC1696" s="38"/>
      <c r="BD1696" s="38"/>
      <c r="BE1696" s="38"/>
      <c r="BF1696" s="38"/>
      <c r="BG1696" s="38"/>
      <c r="BH1696" s="38"/>
      <c r="BI1696" s="38"/>
      <c r="BJ1696" s="38"/>
      <c r="BK1696" s="38"/>
      <c r="BL1696" s="38"/>
      <c r="BM1696" s="38"/>
      <c r="BN1696" s="38"/>
      <c r="BO1696" s="38"/>
      <c r="BP1696" s="38"/>
      <c r="BQ1696" s="38"/>
    </row>
    <row r="1697">
      <c r="A1697" s="391"/>
      <c r="B1697" s="341"/>
      <c r="C1697" s="60"/>
      <c r="D1697" s="60"/>
      <c r="E1697" s="58"/>
      <c r="F1697" s="58"/>
      <c r="G1697" s="58"/>
      <c r="H1697" s="33" t="str">
        <f t="shared" si="33"/>
        <v/>
      </c>
      <c r="I1697" s="58"/>
      <c r="J1697" s="58"/>
      <c r="K1697" s="58"/>
      <c r="L1697" s="58"/>
      <c r="M1697" s="392"/>
      <c r="N1697" s="77"/>
      <c r="O1697" s="62"/>
      <c r="P1697" s="62"/>
      <c r="Q1697" s="62"/>
      <c r="R1697" s="62"/>
      <c r="S1697" s="37" t="str">
        <f>IFERROR(__xludf.DUMMYFUNCTION("if(not(iserror(index(split(C1697, "" ""),2))), index(split(C1697, "" ""),1),"""")"),"")</f>
        <v/>
      </c>
      <c r="T1697" s="315" t="str">
        <f>IFERROR(__xludf.DUMMYFUNCTION("if(S1697="""",C1697,if(not(iserror(index(split(C1697, "" ""),3))), index(split(C1697, "" ""),3),index(split(C1697, "" ""),2)))"),"")</f>
        <v/>
      </c>
      <c r="U1697" s="38" t="b">
        <f t="shared" si="34"/>
        <v>0</v>
      </c>
      <c r="V1697" s="38"/>
      <c r="W1697" s="40"/>
      <c r="X1697" s="40"/>
      <c r="Y1697" s="38"/>
      <c r="Z1697" s="38"/>
      <c r="AA1697" s="38"/>
      <c r="AB1697" s="38"/>
      <c r="AC1697" s="38"/>
      <c r="AD1697" s="38"/>
      <c r="AE1697" s="38"/>
      <c r="AF1697" s="38"/>
      <c r="AG1697" s="38"/>
      <c r="AH1697" s="38"/>
      <c r="AI1697" s="38"/>
      <c r="AJ1697" s="38"/>
      <c r="AK1697" s="38"/>
      <c r="AL1697" s="38"/>
      <c r="AM1697" s="38"/>
      <c r="AN1697" s="38"/>
      <c r="AO1697" s="38"/>
      <c r="AP1697" s="38"/>
      <c r="AQ1697" s="38"/>
      <c r="AR1697" s="38"/>
      <c r="AS1697" s="38"/>
      <c r="AT1697" s="38"/>
      <c r="AU1697" s="38"/>
      <c r="AV1697" s="38"/>
      <c r="AW1697" s="38"/>
      <c r="AX1697" s="38"/>
      <c r="AY1697" s="38"/>
      <c r="AZ1697" s="38"/>
      <c r="BA1697" s="38"/>
      <c r="BB1697" s="38"/>
      <c r="BC1697" s="38"/>
      <c r="BD1697" s="38"/>
      <c r="BE1697" s="38"/>
      <c r="BF1697" s="38"/>
      <c r="BG1697" s="38"/>
      <c r="BH1697" s="38"/>
      <c r="BI1697" s="38"/>
      <c r="BJ1697" s="38"/>
      <c r="BK1697" s="38"/>
      <c r="BL1697" s="38"/>
      <c r="BM1697" s="38"/>
      <c r="BN1697" s="38"/>
      <c r="BO1697" s="38"/>
      <c r="BP1697" s="38"/>
      <c r="BQ1697" s="38"/>
    </row>
    <row r="1698">
      <c r="A1698" s="391"/>
      <c r="B1698" s="341"/>
      <c r="C1698" s="60"/>
      <c r="D1698" s="60"/>
      <c r="E1698" s="58"/>
      <c r="F1698" s="58"/>
      <c r="G1698" s="58"/>
      <c r="H1698" s="33" t="str">
        <f t="shared" si="33"/>
        <v/>
      </c>
      <c r="I1698" s="58"/>
      <c r="J1698" s="58"/>
      <c r="K1698" s="58"/>
      <c r="L1698" s="58"/>
      <c r="M1698" s="392"/>
      <c r="N1698" s="77"/>
      <c r="O1698" s="62"/>
      <c r="P1698" s="62"/>
      <c r="Q1698" s="62"/>
      <c r="R1698" s="62"/>
      <c r="S1698" s="37" t="str">
        <f>IFERROR(__xludf.DUMMYFUNCTION("if(not(iserror(index(split(C1698, "" ""),2))), index(split(C1698, "" ""),1),"""")"),"")</f>
        <v/>
      </c>
      <c r="T1698" s="315" t="str">
        <f>IFERROR(__xludf.DUMMYFUNCTION("if(S1698="""",C1698,if(not(iserror(index(split(C1698, "" ""),3))), index(split(C1698, "" ""),3),index(split(C1698, "" ""),2)))"),"")</f>
        <v/>
      </c>
      <c r="U1698" s="38" t="b">
        <f t="shared" si="34"/>
        <v>0</v>
      </c>
      <c r="V1698" s="38"/>
      <c r="W1698" s="40"/>
      <c r="X1698" s="40"/>
      <c r="Y1698" s="38"/>
      <c r="Z1698" s="38"/>
      <c r="AA1698" s="38"/>
      <c r="AB1698" s="38"/>
      <c r="AC1698" s="38"/>
      <c r="AD1698" s="38"/>
      <c r="AE1698" s="38"/>
      <c r="AF1698" s="38"/>
      <c r="AG1698" s="38"/>
      <c r="AH1698" s="38"/>
      <c r="AI1698" s="38"/>
      <c r="AJ1698" s="38"/>
      <c r="AK1698" s="38"/>
      <c r="AL1698" s="38"/>
      <c r="AM1698" s="38"/>
      <c r="AN1698" s="38"/>
      <c r="AO1698" s="38"/>
      <c r="AP1698" s="38"/>
      <c r="AQ1698" s="38"/>
      <c r="AR1698" s="38"/>
      <c r="AS1698" s="38"/>
      <c r="AT1698" s="38"/>
      <c r="AU1698" s="38"/>
      <c r="AV1698" s="38"/>
      <c r="AW1698" s="38"/>
      <c r="AX1698" s="38"/>
      <c r="AY1698" s="38"/>
      <c r="AZ1698" s="38"/>
      <c r="BA1698" s="38"/>
      <c r="BB1698" s="38"/>
      <c r="BC1698" s="38"/>
      <c r="BD1698" s="38"/>
      <c r="BE1698" s="38"/>
      <c r="BF1698" s="38"/>
      <c r="BG1698" s="38"/>
      <c r="BH1698" s="38"/>
      <c r="BI1698" s="38"/>
      <c r="BJ1698" s="38"/>
      <c r="BK1698" s="38"/>
      <c r="BL1698" s="38"/>
      <c r="BM1698" s="38"/>
      <c r="BN1698" s="38"/>
      <c r="BO1698" s="38"/>
      <c r="BP1698" s="38"/>
      <c r="BQ1698" s="38"/>
    </row>
    <row r="1699">
      <c r="A1699" s="391"/>
      <c r="B1699" s="341"/>
      <c r="C1699" s="60"/>
      <c r="D1699" s="60"/>
      <c r="E1699" s="58"/>
      <c r="F1699" s="58"/>
      <c r="G1699" s="58"/>
      <c r="H1699" s="33" t="str">
        <f t="shared" si="33"/>
        <v/>
      </c>
      <c r="I1699" s="58"/>
      <c r="J1699" s="58"/>
      <c r="K1699" s="58"/>
      <c r="L1699" s="58"/>
      <c r="M1699" s="392"/>
      <c r="N1699" s="77"/>
      <c r="O1699" s="62"/>
      <c r="P1699" s="62"/>
      <c r="Q1699" s="62"/>
      <c r="R1699" s="62"/>
      <c r="S1699" s="37" t="str">
        <f>IFERROR(__xludf.DUMMYFUNCTION("if(not(iserror(index(split(C1699, "" ""),2))), index(split(C1699, "" ""),1),"""")"),"")</f>
        <v/>
      </c>
      <c r="T1699" s="315" t="str">
        <f>IFERROR(__xludf.DUMMYFUNCTION("if(S1699="""",C1699,if(not(iserror(index(split(C1699, "" ""),3))), index(split(C1699, "" ""),3),index(split(C1699, "" ""),2)))"),"")</f>
        <v/>
      </c>
      <c r="U1699" s="38" t="b">
        <f t="shared" si="34"/>
        <v>0</v>
      </c>
      <c r="V1699" s="38"/>
      <c r="W1699" s="40"/>
      <c r="X1699" s="40"/>
      <c r="Y1699" s="38"/>
      <c r="Z1699" s="38"/>
      <c r="AA1699" s="38"/>
      <c r="AB1699" s="38"/>
      <c r="AC1699" s="38"/>
      <c r="AD1699" s="38"/>
      <c r="AE1699" s="38"/>
      <c r="AF1699" s="38"/>
      <c r="AG1699" s="38"/>
      <c r="AH1699" s="38"/>
      <c r="AI1699" s="38"/>
      <c r="AJ1699" s="38"/>
      <c r="AK1699" s="38"/>
      <c r="AL1699" s="38"/>
      <c r="AM1699" s="38"/>
      <c r="AN1699" s="38"/>
      <c r="AO1699" s="38"/>
      <c r="AP1699" s="38"/>
      <c r="AQ1699" s="38"/>
      <c r="AR1699" s="38"/>
      <c r="AS1699" s="38"/>
      <c r="AT1699" s="38"/>
      <c r="AU1699" s="38"/>
      <c r="AV1699" s="38"/>
      <c r="AW1699" s="38"/>
      <c r="AX1699" s="38"/>
      <c r="AY1699" s="38"/>
      <c r="AZ1699" s="38"/>
      <c r="BA1699" s="38"/>
      <c r="BB1699" s="38"/>
      <c r="BC1699" s="38"/>
      <c r="BD1699" s="38"/>
      <c r="BE1699" s="38"/>
      <c r="BF1699" s="38"/>
      <c r="BG1699" s="38"/>
      <c r="BH1699" s="38"/>
      <c r="BI1699" s="38"/>
      <c r="BJ1699" s="38"/>
      <c r="BK1699" s="38"/>
      <c r="BL1699" s="38"/>
      <c r="BM1699" s="38"/>
      <c r="BN1699" s="38"/>
      <c r="BO1699" s="38"/>
      <c r="BP1699" s="38"/>
      <c r="BQ1699" s="38"/>
    </row>
    <row r="1700">
      <c r="A1700" s="391"/>
      <c r="B1700" s="341"/>
      <c r="C1700" s="60"/>
      <c r="D1700" s="60"/>
      <c r="E1700" s="58"/>
      <c r="F1700" s="58"/>
      <c r="G1700" s="58"/>
      <c r="H1700" s="33" t="str">
        <f t="shared" si="33"/>
        <v/>
      </c>
      <c r="I1700" s="58"/>
      <c r="J1700" s="58"/>
      <c r="K1700" s="58"/>
      <c r="L1700" s="58"/>
      <c r="M1700" s="392"/>
      <c r="N1700" s="77"/>
      <c r="O1700" s="62"/>
      <c r="P1700" s="62"/>
      <c r="Q1700" s="62"/>
      <c r="R1700" s="62"/>
      <c r="S1700" s="37" t="str">
        <f>IFERROR(__xludf.DUMMYFUNCTION("if(not(iserror(index(split(C1700, "" ""),2))), index(split(C1700, "" ""),1),"""")"),"")</f>
        <v/>
      </c>
      <c r="T1700" s="315" t="str">
        <f>IFERROR(__xludf.DUMMYFUNCTION("if(S1700="""",C1700,if(not(iserror(index(split(C1700, "" ""),3))), index(split(C1700, "" ""),3),index(split(C1700, "" ""),2)))"),"")</f>
        <v/>
      </c>
      <c r="U1700" s="38" t="b">
        <f t="shared" si="34"/>
        <v>0</v>
      </c>
      <c r="V1700" s="38"/>
      <c r="W1700" s="40"/>
      <c r="X1700" s="40"/>
      <c r="Y1700" s="38"/>
      <c r="Z1700" s="38"/>
      <c r="AA1700" s="38"/>
      <c r="AB1700" s="38"/>
      <c r="AC1700" s="38"/>
      <c r="AD1700" s="38"/>
      <c r="AE1700" s="38"/>
      <c r="AF1700" s="38"/>
      <c r="AG1700" s="38"/>
      <c r="AH1700" s="38"/>
      <c r="AI1700" s="38"/>
      <c r="AJ1700" s="38"/>
      <c r="AK1700" s="38"/>
      <c r="AL1700" s="38"/>
      <c r="AM1700" s="38"/>
      <c r="AN1700" s="38"/>
      <c r="AO1700" s="38"/>
      <c r="AP1700" s="38"/>
      <c r="AQ1700" s="38"/>
      <c r="AR1700" s="38"/>
      <c r="AS1700" s="38"/>
      <c r="AT1700" s="38"/>
      <c r="AU1700" s="38"/>
      <c r="AV1700" s="38"/>
      <c r="AW1700" s="38"/>
      <c r="AX1700" s="38"/>
      <c r="AY1700" s="38"/>
      <c r="AZ1700" s="38"/>
      <c r="BA1700" s="38"/>
      <c r="BB1700" s="38"/>
      <c r="BC1700" s="38"/>
      <c r="BD1700" s="38"/>
      <c r="BE1700" s="38"/>
      <c r="BF1700" s="38"/>
      <c r="BG1700" s="38"/>
      <c r="BH1700" s="38"/>
      <c r="BI1700" s="38"/>
      <c r="BJ1700" s="38"/>
      <c r="BK1700" s="38"/>
      <c r="BL1700" s="38"/>
      <c r="BM1700" s="38"/>
      <c r="BN1700" s="38"/>
      <c r="BO1700" s="38"/>
      <c r="BP1700" s="38"/>
      <c r="BQ1700" s="38"/>
    </row>
    <row r="1701">
      <c r="A1701" s="391"/>
      <c r="B1701" s="341"/>
      <c r="C1701" s="60"/>
      <c r="D1701" s="60"/>
      <c r="E1701" s="58"/>
      <c r="F1701" s="58"/>
      <c r="G1701" s="58"/>
      <c r="H1701" s="33" t="str">
        <f t="shared" si="33"/>
        <v/>
      </c>
      <c r="I1701" s="58"/>
      <c r="J1701" s="58"/>
      <c r="K1701" s="58"/>
      <c r="L1701" s="58"/>
      <c r="M1701" s="392"/>
      <c r="N1701" s="77"/>
      <c r="O1701" s="62"/>
      <c r="P1701" s="62"/>
      <c r="Q1701" s="62"/>
      <c r="R1701" s="62"/>
      <c r="S1701" s="37" t="str">
        <f>IFERROR(__xludf.DUMMYFUNCTION("if(not(iserror(index(split(C1701, "" ""),2))), index(split(C1701, "" ""),1),"""")"),"")</f>
        <v/>
      </c>
      <c r="T1701" s="315" t="str">
        <f>IFERROR(__xludf.DUMMYFUNCTION("if(S1701="""",C1701,if(not(iserror(index(split(C1701, "" ""),3))), index(split(C1701, "" ""),3),index(split(C1701, "" ""),2)))"),"")</f>
        <v/>
      </c>
      <c r="U1701" s="38" t="b">
        <f t="shared" si="34"/>
        <v>0</v>
      </c>
      <c r="V1701" s="38"/>
      <c r="W1701" s="40"/>
      <c r="X1701" s="40"/>
      <c r="Y1701" s="38"/>
      <c r="Z1701" s="38"/>
      <c r="AA1701" s="38"/>
      <c r="AB1701" s="38"/>
      <c r="AC1701" s="38"/>
      <c r="AD1701" s="38"/>
      <c r="AE1701" s="38"/>
      <c r="AF1701" s="38"/>
      <c r="AG1701" s="38"/>
      <c r="AH1701" s="38"/>
      <c r="AI1701" s="38"/>
      <c r="AJ1701" s="38"/>
      <c r="AK1701" s="38"/>
      <c r="AL1701" s="38"/>
      <c r="AM1701" s="38"/>
      <c r="AN1701" s="38"/>
      <c r="AO1701" s="38"/>
      <c r="AP1701" s="38"/>
      <c r="AQ1701" s="38"/>
      <c r="AR1701" s="38"/>
      <c r="AS1701" s="38"/>
      <c r="AT1701" s="38"/>
      <c r="AU1701" s="38"/>
      <c r="AV1701" s="38"/>
      <c r="AW1701" s="38"/>
      <c r="AX1701" s="38"/>
      <c r="AY1701" s="38"/>
      <c r="AZ1701" s="38"/>
      <c r="BA1701" s="38"/>
      <c r="BB1701" s="38"/>
      <c r="BC1701" s="38"/>
      <c r="BD1701" s="38"/>
      <c r="BE1701" s="38"/>
      <c r="BF1701" s="38"/>
      <c r="BG1701" s="38"/>
      <c r="BH1701" s="38"/>
      <c r="BI1701" s="38"/>
      <c r="BJ1701" s="38"/>
      <c r="BK1701" s="38"/>
      <c r="BL1701" s="38"/>
      <c r="BM1701" s="38"/>
      <c r="BN1701" s="38"/>
      <c r="BO1701" s="38"/>
      <c r="BP1701" s="38"/>
      <c r="BQ1701" s="38"/>
    </row>
    <row r="1702">
      <c r="A1702" s="58"/>
      <c r="B1702" s="341"/>
      <c r="C1702" s="60"/>
      <c r="D1702" s="60"/>
      <c r="E1702" s="58"/>
      <c r="F1702" s="58"/>
      <c r="G1702" s="58"/>
      <c r="H1702" s="33" t="str">
        <f t="shared" si="33"/>
        <v/>
      </c>
      <c r="I1702" s="58"/>
      <c r="J1702" s="58"/>
      <c r="K1702" s="58"/>
      <c r="L1702" s="58"/>
      <c r="M1702" s="80"/>
      <c r="N1702" s="77"/>
      <c r="O1702" s="62"/>
      <c r="P1702" s="62"/>
      <c r="Q1702" s="62"/>
      <c r="R1702" s="62"/>
      <c r="S1702" s="37" t="str">
        <f>IFERROR(__xludf.DUMMYFUNCTION("if(not(iserror(index(split(C1702, "" ""),2))), index(split(C1702, "" ""),1),"""")"),"")</f>
        <v/>
      </c>
      <c r="T1702" s="315" t="str">
        <f>IFERROR(__xludf.DUMMYFUNCTION("if(S1702="""",C1702,if(not(iserror(index(split(C1702, "" ""),3))), index(split(C1702, "" ""),3),index(split(C1702, "" ""),2)))"),"")</f>
        <v/>
      </c>
      <c r="U1702" s="38" t="b">
        <f t="shared" si="34"/>
        <v>0</v>
      </c>
      <c r="V1702" s="38"/>
      <c r="W1702" s="40"/>
      <c r="X1702" s="40"/>
      <c r="Y1702" s="38"/>
      <c r="Z1702" s="38"/>
      <c r="AA1702" s="38"/>
      <c r="AB1702" s="38"/>
      <c r="AC1702" s="38"/>
      <c r="AD1702" s="38"/>
      <c r="AE1702" s="38"/>
      <c r="AF1702" s="38"/>
      <c r="AG1702" s="38"/>
      <c r="AH1702" s="38"/>
      <c r="AI1702" s="38"/>
      <c r="AJ1702" s="38"/>
      <c r="AK1702" s="38"/>
      <c r="AL1702" s="38"/>
      <c r="AM1702" s="38"/>
      <c r="AN1702" s="38"/>
      <c r="AO1702" s="38"/>
      <c r="AP1702" s="38"/>
      <c r="AQ1702" s="38"/>
      <c r="AR1702" s="38"/>
      <c r="AS1702" s="38"/>
      <c r="AT1702" s="38"/>
      <c r="AU1702" s="38"/>
      <c r="AV1702" s="38"/>
      <c r="AW1702" s="38"/>
      <c r="AX1702" s="38"/>
      <c r="AY1702" s="38"/>
      <c r="AZ1702" s="38"/>
      <c r="BA1702" s="38"/>
      <c r="BB1702" s="38"/>
      <c r="BC1702" s="38"/>
      <c r="BD1702" s="38"/>
      <c r="BE1702" s="38"/>
      <c r="BF1702" s="38"/>
      <c r="BG1702" s="38"/>
      <c r="BH1702" s="38"/>
      <c r="BI1702" s="38"/>
      <c r="BJ1702" s="38"/>
      <c r="BK1702" s="38"/>
      <c r="BL1702" s="38"/>
      <c r="BM1702" s="38"/>
      <c r="BN1702" s="38"/>
      <c r="BO1702" s="38"/>
      <c r="BP1702" s="38"/>
      <c r="BQ1702" s="38"/>
    </row>
    <row r="1703">
      <c r="A1703" s="58"/>
      <c r="B1703" s="341"/>
      <c r="C1703" s="60"/>
      <c r="D1703" s="60"/>
      <c r="E1703" s="58"/>
      <c r="F1703" s="58"/>
      <c r="G1703" s="58"/>
      <c r="H1703" s="33" t="str">
        <f t="shared" si="33"/>
        <v/>
      </c>
      <c r="I1703" s="58"/>
      <c r="J1703" s="58"/>
      <c r="K1703" s="58"/>
      <c r="L1703" s="58"/>
      <c r="M1703" s="80"/>
      <c r="N1703" s="77"/>
      <c r="O1703" s="62"/>
      <c r="P1703" s="62"/>
      <c r="Q1703" s="62"/>
      <c r="R1703" s="62"/>
      <c r="S1703" s="37" t="str">
        <f>IFERROR(__xludf.DUMMYFUNCTION("if(not(iserror(index(split(C1703, "" ""),2))), index(split(C1703, "" ""),1),"""")"),"")</f>
        <v/>
      </c>
      <c r="T1703" s="315" t="str">
        <f>IFERROR(__xludf.DUMMYFUNCTION("if(S1703="""",C1703,if(not(iserror(index(split(C1703, "" ""),3))), index(split(C1703, "" ""),3),index(split(C1703, "" ""),2)))"),"")</f>
        <v/>
      </c>
      <c r="U1703" s="38" t="b">
        <f t="shared" si="34"/>
        <v>0</v>
      </c>
      <c r="V1703" s="38"/>
      <c r="W1703" s="40"/>
      <c r="X1703" s="40"/>
      <c r="Y1703" s="38"/>
      <c r="Z1703" s="38"/>
      <c r="AA1703" s="38"/>
      <c r="AB1703" s="38"/>
      <c r="AC1703" s="38"/>
      <c r="AD1703" s="38"/>
      <c r="AE1703" s="38"/>
      <c r="AF1703" s="38"/>
      <c r="AG1703" s="38"/>
      <c r="AH1703" s="38"/>
      <c r="AI1703" s="38"/>
      <c r="AJ1703" s="38"/>
      <c r="AK1703" s="38"/>
      <c r="AL1703" s="38"/>
      <c r="AM1703" s="38"/>
      <c r="AN1703" s="38"/>
      <c r="AO1703" s="38"/>
      <c r="AP1703" s="38"/>
      <c r="AQ1703" s="38"/>
      <c r="AR1703" s="38"/>
      <c r="AS1703" s="38"/>
      <c r="AT1703" s="38"/>
      <c r="AU1703" s="38"/>
      <c r="AV1703" s="38"/>
      <c r="AW1703" s="38"/>
      <c r="AX1703" s="38"/>
      <c r="AY1703" s="38"/>
      <c r="AZ1703" s="38"/>
      <c r="BA1703" s="38"/>
      <c r="BB1703" s="38"/>
      <c r="BC1703" s="38"/>
      <c r="BD1703" s="38"/>
      <c r="BE1703" s="38"/>
      <c r="BF1703" s="38"/>
      <c r="BG1703" s="38"/>
      <c r="BH1703" s="38"/>
      <c r="BI1703" s="38"/>
      <c r="BJ1703" s="38"/>
      <c r="BK1703" s="38"/>
      <c r="BL1703" s="38"/>
      <c r="BM1703" s="38"/>
      <c r="BN1703" s="38"/>
      <c r="BO1703" s="38"/>
      <c r="BP1703" s="38"/>
      <c r="BQ1703" s="38"/>
    </row>
    <row r="1704">
      <c r="A1704" s="58"/>
      <c r="B1704" s="341"/>
      <c r="C1704" s="60"/>
      <c r="D1704" s="60"/>
      <c r="E1704" s="58"/>
      <c r="F1704" s="58"/>
      <c r="G1704" s="58"/>
      <c r="H1704" s="33" t="str">
        <f t="shared" si="33"/>
        <v/>
      </c>
      <c r="I1704" s="58"/>
      <c r="J1704" s="58"/>
      <c r="K1704" s="58"/>
      <c r="L1704" s="58"/>
      <c r="M1704" s="80"/>
      <c r="N1704" s="77"/>
      <c r="O1704" s="58"/>
      <c r="P1704" s="58"/>
      <c r="Q1704" s="84"/>
      <c r="R1704" s="62"/>
      <c r="S1704" s="37" t="str">
        <f>IFERROR(__xludf.DUMMYFUNCTION("if(not(iserror(index(split(C1704, "" ""),2))), index(split(C1704, "" ""),1),"""")"),"")</f>
        <v/>
      </c>
      <c r="T1704" s="315" t="str">
        <f>IFERROR(__xludf.DUMMYFUNCTION("if(S1704="""",C1704,if(not(iserror(index(split(C1704, "" ""),3))), index(split(C1704, "" ""),3),index(split(C1704, "" ""),2)))"),"")</f>
        <v/>
      </c>
      <c r="U1704" s="38" t="b">
        <f t="shared" si="34"/>
        <v>0</v>
      </c>
      <c r="V1704" s="38"/>
      <c r="W1704" s="40"/>
      <c r="X1704" s="40"/>
      <c r="Y1704" s="38"/>
      <c r="Z1704" s="38"/>
      <c r="AA1704" s="38"/>
      <c r="AB1704" s="38"/>
      <c r="AC1704" s="38"/>
      <c r="AD1704" s="38"/>
      <c r="AE1704" s="38"/>
      <c r="AF1704" s="38"/>
      <c r="AG1704" s="38"/>
      <c r="AH1704" s="38"/>
      <c r="AI1704" s="38"/>
      <c r="AJ1704" s="38"/>
      <c r="AK1704" s="38"/>
      <c r="AL1704" s="38"/>
      <c r="AM1704" s="38"/>
      <c r="AN1704" s="38"/>
      <c r="AO1704" s="38"/>
      <c r="AP1704" s="38"/>
      <c r="AQ1704" s="38"/>
      <c r="AR1704" s="38"/>
      <c r="AS1704" s="38"/>
      <c r="AT1704" s="38"/>
      <c r="AU1704" s="38"/>
      <c r="AV1704" s="38"/>
      <c r="AW1704" s="38"/>
      <c r="AX1704" s="38"/>
      <c r="AY1704" s="38"/>
      <c r="AZ1704" s="38"/>
      <c r="BA1704" s="38"/>
      <c r="BB1704" s="38"/>
      <c r="BC1704" s="38"/>
      <c r="BD1704" s="38"/>
      <c r="BE1704" s="38"/>
      <c r="BF1704" s="38"/>
      <c r="BG1704" s="38"/>
      <c r="BH1704" s="38"/>
      <c r="BI1704" s="38"/>
      <c r="BJ1704" s="38"/>
      <c r="BK1704" s="38"/>
      <c r="BL1704" s="38"/>
      <c r="BM1704" s="38"/>
      <c r="BN1704" s="38"/>
      <c r="BO1704" s="38"/>
      <c r="BP1704" s="38"/>
      <c r="BQ1704" s="38"/>
    </row>
    <row r="1705">
      <c r="A1705" s="58"/>
      <c r="B1705" s="341"/>
      <c r="C1705" s="60"/>
      <c r="D1705" s="60"/>
      <c r="E1705" s="58"/>
      <c r="F1705" s="58"/>
      <c r="G1705" s="58"/>
      <c r="H1705" s="33" t="str">
        <f t="shared" si="33"/>
        <v/>
      </c>
      <c r="I1705" s="58"/>
      <c r="J1705" s="58"/>
      <c r="K1705" s="58"/>
      <c r="L1705" s="58"/>
      <c r="M1705" s="80"/>
      <c r="N1705" s="77"/>
      <c r="O1705" s="58"/>
      <c r="P1705" s="58"/>
      <c r="Q1705" s="84"/>
      <c r="R1705" s="62"/>
      <c r="S1705" s="37" t="str">
        <f>IFERROR(__xludf.DUMMYFUNCTION("if(not(iserror(index(split(C1705, "" ""),2))), index(split(C1705, "" ""),1),"""")"),"")</f>
        <v/>
      </c>
      <c r="T1705" s="315" t="str">
        <f>IFERROR(__xludf.DUMMYFUNCTION("if(S1705="""",C1705,if(not(iserror(index(split(C1705, "" ""),3))), index(split(C1705, "" ""),3),index(split(C1705, "" ""),2)))"),"")</f>
        <v/>
      </c>
      <c r="U1705" s="38" t="b">
        <f t="shared" si="34"/>
        <v>0</v>
      </c>
      <c r="V1705" s="38"/>
      <c r="W1705" s="40"/>
      <c r="X1705" s="40"/>
      <c r="Y1705" s="38"/>
      <c r="Z1705" s="38"/>
      <c r="AA1705" s="38"/>
      <c r="AB1705" s="38"/>
      <c r="AC1705" s="38"/>
      <c r="AD1705" s="38"/>
      <c r="AE1705" s="38"/>
      <c r="AF1705" s="38"/>
      <c r="AG1705" s="38"/>
      <c r="AH1705" s="38"/>
      <c r="AI1705" s="38"/>
      <c r="AJ1705" s="38"/>
      <c r="AK1705" s="38"/>
      <c r="AL1705" s="38"/>
      <c r="AM1705" s="38"/>
      <c r="AN1705" s="38"/>
      <c r="AO1705" s="38"/>
      <c r="AP1705" s="38"/>
      <c r="AQ1705" s="38"/>
      <c r="AR1705" s="38"/>
      <c r="AS1705" s="38"/>
      <c r="AT1705" s="38"/>
      <c r="AU1705" s="38"/>
      <c r="AV1705" s="38"/>
      <c r="AW1705" s="38"/>
      <c r="AX1705" s="38"/>
      <c r="AY1705" s="38"/>
      <c r="AZ1705" s="38"/>
      <c r="BA1705" s="38"/>
      <c r="BB1705" s="38"/>
      <c r="BC1705" s="38"/>
      <c r="BD1705" s="38"/>
      <c r="BE1705" s="38"/>
      <c r="BF1705" s="38"/>
      <c r="BG1705" s="38"/>
      <c r="BH1705" s="38"/>
      <c r="BI1705" s="38"/>
      <c r="BJ1705" s="38"/>
      <c r="BK1705" s="38"/>
      <c r="BL1705" s="38"/>
      <c r="BM1705" s="38"/>
      <c r="BN1705" s="38"/>
      <c r="BO1705" s="38"/>
      <c r="BP1705" s="38"/>
      <c r="BQ1705" s="38"/>
    </row>
    <row r="1706">
      <c r="A1706" s="58"/>
      <c r="B1706" s="341"/>
      <c r="C1706" s="60"/>
      <c r="D1706" s="60"/>
      <c r="E1706" s="58"/>
      <c r="F1706" s="58"/>
      <c r="G1706" s="58"/>
      <c r="H1706" s="33" t="str">
        <f t="shared" si="33"/>
        <v/>
      </c>
      <c r="I1706" s="58"/>
      <c r="J1706" s="58"/>
      <c r="K1706" s="58"/>
      <c r="L1706" s="58"/>
      <c r="M1706" s="80"/>
      <c r="N1706" s="77"/>
      <c r="O1706" s="62"/>
      <c r="P1706" s="62"/>
      <c r="Q1706" s="62"/>
      <c r="R1706" s="62"/>
      <c r="S1706" s="37" t="str">
        <f>IFERROR(__xludf.DUMMYFUNCTION("if(not(iserror(index(split(C1706, "" ""),2))), index(split(C1706, "" ""),1),"""")"),"")</f>
        <v/>
      </c>
      <c r="T1706" s="315" t="str">
        <f>IFERROR(__xludf.DUMMYFUNCTION("if(S1706="""",C1706,if(not(iserror(index(split(C1706, "" ""),3))), index(split(C1706, "" ""),3),index(split(C1706, "" ""),2)))"),"")</f>
        <v/>
      </c>
      <c r="U1706" s="38" t="b">
        <f t="shared" si="34"/>
        <v>0</v>
      </c>
      <c r="V1706" s="38"/>
      <c r="W1706" s="40"/>
      <c r="X1706" s="40"/>
      <c r="Y1706" s="38"/>
      <c r="Z1706" s="38"/>
      <c r="AA1706" s="38"/>
      <c r="AB1706" s="38"/>
      <c r="AC1706" s="38"/>
      <c r="AD1706" s="38"/>
      <c r="AE1706" s="38"/>
      <c r="AF1706" s="38"/>
      <c r="AG1706" s="38"/>
      <c r="AH1706" s="38"/>
      <c r="AI1706" s="38"/>
      <c r="AJ1706" s="38"/>
      <c r="AK1706" s="38"/>
      <c r="AL1706" s="38"/>
      <c r="AM1706" s="38"/>
      <c r="AN1706" s="38"/>
      <c r="AO1706" s="38"/>
      <c r="AP1706" s="38"/>
      <c r="AQ1706" s="38"/>
      <c r="AR1706" s="38"/>
      <c r="AS1706" s="38"/>
      <c r="AT1706" s="38"/>
      <c r="AU1706" s="38"/>
      <c r="AV1706" s="38"/>
      <c r="AW1706" s="38"/>
      <c r="AX1706" s="38"/>
      <c r="AY1706" s="38"/>
      <c r="AZ1706" s="38"/>
      <c r="BA1706" s="38"/>
      <c r="BB1706" s="38"/>
      <c r="BC1706" s="38"/>
      <c r="BD1706" s="38"/>
      <c r="BE1706" s="38"/>
      <c r="BF1706" s="38"/>
      <c r="BG1706" s="38"/>
      <c r="BH1706" s="38"/>
      <c r="BI1706" s="38"/>
      <c r="BJ1706" s="38"/>
      <c r="BK1706" s="38"/>
      <c r="BL1706" s="38"/>
      <c r="BM1706" s="38"/>
      <c r="BN1706" s="38"/>
      <c r="BO1706" s="38"/>
      <c r="BP1706" s="38"/>
      <c r="BQ1706" s="38"/>
    </row>
    <row r="1707">
      <c r="A1707" s="58"/>
      <c r="B1707" s="341"/>
      <c r="C1707" s="60"/>
      <c r="D1707" s="60"/>
      <c r="E1707" s="58"/>
      <c r="F1707" s="58"/>
      <c r="G1707" s="58"/>
      <c r="H1707" s="33" t="str">
        <f t="shared" si="33"/>
        <v/>
      </c>
      <c r="I1707" s="58"/>
      <c r="J1707" s="58"/>
      <c r="K1707" s="58"/>
      <c r="L1707" s="58"/>
      <c r="M1707" s="80"/>
      <c r="N1707" s="77"/>
      <c r="O1707" s="62"/>
      <c r="P1707" s="62"/>
      <c r="Q1707" s="62"/>
      <c r="R1707" s="62"/>
      <c r="S1707" s="37" t="str">
        <f>IFERROR(__xludf.DUMMYFUNCTION("if(not(iserror(index(split(C1707, "" ""),2))), index(split(C1707, "" ""),1),"""")"),"")</f>
        <v/>
      </c>
      <c r="T1707" s="315" t="str">
        <f>IFERROR(__xludf.DUMMYFUNCTION("if(S1707="""",C1707,if(not(iserror(index(split(C1707, "" ""),3))), index(split(C1707, "" ""),3),index(split(C1707, "" ""),2)))"),"")</f>
        <v/>
      </c>
      <c r="U1707" s="38" t="b">
        <f t="shared" si="34"/>
        <v>0</v>
      </c>
      <c r="V1707" s="38"/>
      <c r="W1707" s="40"/>
      <c r="X1707" s="40"/>
      <c r="Y1707" s="38"/>
      <c r="Z1707" s="38"/>
      <c r="AA1707" s="38"/>
      <c r="AB1707" s="38"/>
      <c r="AC1707" s="38"/>
      <c r="AD1707" s="38"/>
      <c r="AE1707" s="38"/>
      <c r="AF1707" s="38"/>
      <c r="AG1707" s="38"/>
      <c r="AH1707" s="38"/>
      <c r="AI1707" s="38"/>
      <c r="AJ1707" s="38"/>
      <c r="AK1707" s="38"/>
      <c r="AL1707" s="38"/>
      <c r="AM1707" s="38"/>
      <c r="AN1707" s="38"/>
      <c r="AO1707" s="38"/>
      <c r="AP1707" s="38"/>
      <c r="AQ1707" s="38"/>
      <c r="AR1707" s="38"/>
      <c r="AS1707" s="38"/>
      <c r="AT1707" s="38"/>
      <c r="AU1707" s="38"/>
      <c r="AV1707" s="38"/>
      <c r="AW1707" s="38"/>
      <c r="AX1707" s="38"/>
      <c r="AY1707" s="38"/>
      <c r="AZ1707" s="38"/>
      <c r="BA1707" s="38"/>
      <c r="BB1707" s="38"/>
      <c r="BC1707" s="38"/>
      <c r="BD1707" s="38"/>
      <c r="BE1707" s="38"/>
      <c r="BF1707" s="38"/>
      <c r="BG1707" s="38"/>
      <c r="BH1707" s="38"/>
      <c r="BI1707" s="38"/>
      <c r="BJ1707" s="38"/>
      <c r="BK1707" s="38"/>
      <c r="BL1707" s="38"/>
      <c r="BM1707" s="38"/>
      <c r="BN1707" s="38"/>
      <c r="BO1707" s="38"/>
      <c r="BP1707" s="38"/>
      <c r="BQ1707" s="38"/>
    </row>
    <row r="1708">
      <c r="A1708" s="58"/>
      <c r="B1708" s="341"/>
      <c r="C1708" s="60"/>
      <c r="D1708" s="60"/>
      <c r="E1708" s="58"/>
      <c r="F1708" s="58"/>
      <c r="G1708" s="58"/>
      <c r="H1708" s="33" t="str">
        <f t="shared" si="33"/>
        <v/>
      </c>
      <c r="I1708" s="58"/>
      <c r="J1708" s="58"/>
      <c r="K1708" s="58"/>
      <c r="L1708" s="58"/>
      <c r="M1708" s="80"/>
      <c r="N1708" s="77"/>
      <c r="O1708" s="62"/>
      <c r="P1708" s="62"/>
      <c r="Q1708" s="62"/>
      <c r="R1708" s="62"/>
      <c r="S1708" s="37" t="str">
        <f>IFERROR(__xludf.DUMMYFUNCTION("if(not(iserror(index(split(C1708, "" ""),2))), index(split(C1708, "" ""),1),"""")"),"")</f>
        <v/>
      </c>
      <c r="T1708" s="315" t="str">
        <f>IFERROR(__xludf.DUMMYFUNCTION("if(S1708="""",C1708,if(not(iserror(index(split(C1708, "" ""),3))), index(split(C1708, "" ""),3),index(split(C1708, "" ""),2)))"),"")</f>
        <v/>
      </c>
      <c r="U1708" s="38" t="b">
        <f t="shared" si="34"/>
        <v>0</v>
      </c>
      <c r="V1708" s="38"/>
      <c r="W1708" s="40"/>
      <c r="X1708" s="40"/>
      <c r="Y1708" s="38"/>
      <c r="Z1708" s="38"/>
      <c r="AA1708" s="38"/>
      <c r="AB1708" s="38"/>
      <c r="AC1708" s="38"/>
      <c r="AD1708" s="38"/>
      <c r="AE1708" s="38"/>
      <c r="AF1708" s="38"/>
      <c r="AG1708" s="38"/>
      <c r="AH1708" s="38"/>
      <c r="AI1708" s="38"/>
      <c r="AJ1708" s="38"/>
      <c r="AK1708" s="38"/>
      <c r="AL1708" s="38"/>
      <c r="AM1708" s="38"/>
      <c r="AN1708" s="38"/>
      <c r="AO1708" s="38"/>
      <c r="AP1708" s="38"/>
      <c r="AQ1708" s="38"/>
      <c r="AR1708" s="38"/>
      <c r="AS1708" s="38"/>
      <c r="AT1708" s="38"/>
      <c r="AU1708" s="38"/>
      <c r="AV1708" s="38"/>
      <c r="AW1708" s="38"/>
      <c r="AX1708" s="38"/>
      <c r="AY1708" s="38"/>
      <c r="AZ1708" s="38"/>
      <c r="BA1708" s="38"/>
      <c r="BB1708" s="38"/>
      <c r="BC1708" s="38"/>
      <c r="BD1708" s="38"/>
      <c r="BE1708" s="38"/>
      <c r="BF1708" s="38"/>
      <c r="BG1708" s="38"/>
      <c r="BH1708" s="38"/>
      <c r="BI1708" s="38"/>
      <c r="BJ1708" s="38"/>
      <c r="BK1708" s="38"/>
      <c r="BL1708" s="38"/>
      <c r="BM1708" s="38"/>
      <c r="BN1708" s="38"/>
      <c r="BO1708" s="38"/>
      <c r="BP1708" s="38"/>
      <c r="BQ1708" s="38"/>
    </row>
    <row r="1709">
      <c r="A1709" s="58"/>
      <c r="B1709" s="341"/>
      <c r="C1709" s="60"/>
      <c r="D1709" s="60"/>
      <c r="E1709" s="58"/>
      <c r="F1709" s="58"/>
      <c r="G1709" s="58"/>
      <c r="H1709" s="33" t="str">
        <f t="shared" si="33"/>
        <v/>
      </c>
      <c r="I1709" s="58"/>
      <c r="J1709" s="58"/>
      <c r="K1709" s="58"/>
      <c r="L1709" s="58"/>
      <c r="M1709" s="80"/>
      <c r="N1709" s="77"/>
      <c r="O1709" s="58"/>
      <c r="P1709" s="58"/>
      <c r="Q1709" s="84"/>
      <c r="R1709" s="62"/>
      <c r="S1709" s="37" t="str">
        <f>IFERROR(__xludf.DUMMYFUNCTION("if(not(iserror(index(split(C1709, "" ""),2))), index(split(C1709, "" ""),1),"""")"),"")</f>
        <v/>
      </c>
      <c r="T1709" s="315" t="str">
        <f>IFERROR(__xludf.DUMMYFUNCTION("if(S1709="""",C1709,if(not(iserror(index(split(C1709, "" ""),3))), index(split(C1709, "" ""),3),index(split(C1709, "" ""),2)))"),"")</f>
        <v/>
      </c>
      <c r="U1709" s="38" t="b">
        <f t="shared" si="34"/>
        <v>0</v>
      </c>
      <c r="V1709" s="38"/>
      <c r="W1709" s="40"/>
      <c r="X1709" s="40"/>
      <c r="Y1709" s="38"/>
      <c r="Z1709" s="38"/>
      <c r="AA1709" s="38"/>
      <c r="AB1709" s="38"/>
      <c r="AC1709" s="38"/>
      <c r="AD1709" s="38"/>
      <c r="AE1709" s="38"/>
      <c r="AF1709" s="38"/>
      <c r="AG1709" s="38"/>
      <c r="AH1709" s="38"/>
      <c r="AI1709" s="38"/>
      <c r="AJ1709" s="38"/>
      <c r="AK1709" s="38"/>
      <c r="AL1709" s="38"/>
      <c r="AM1709" s="38"/>
      <c r="AN1709" s="38"/>
      <c r="AO1709" s="38"/>
      <c r="AP1709" s="38"/>
      <c r="AQ1709" s="38"/>
      <c r="AR1709" s="38"/>
      <c r="AS1709" s="38"/>
      <c r="AT1709" s="38"/>
      <c r="AU1709" s="38"/>
      <c r="AV1709" s="38"/>
      <c r="AW1709" s="38"/>
      <c r="AX1709" s="38"/>
      <c r="AY1709" s="38"/>
      <c r="AZ1709" s="38"/>
      <c r="BA1709" s="38"/>
      <c r="BB1709" s="38"/>
      <c r="BC1709" s="38"/>
      <c r="BD1709" s="38"/>
      <c r="BE1709" s="38"/>
      <c r="BF1709" s="38"/>
      <c r="BG1709" s="38"/>
      <c r="BH1709" s="38"/>
      <c r="BI1709" s="38"/>
      <c r="BJ1709" s="38"/>
      <c r="BK1709" s="38"/>
      <c r="BL1709" s="38"/>
      <c r="BM1709" s="38"/>
      <c r="BN1709" s="38"/>
      <c r="BO1709" s="38"/>
      <c r="BP1709" s="38"/>
      <c r="BQ1709" s="38"/>
    </row>
    <row r="1710">
      <c r="A1710" s="91"/>
      <c r="B1710" s="383"/>
      <c r="C1710" s="146"/>
      <c r="D1710" s="146"/>
      <c r="E1710" s="91"/>
      <c r="F1710" s="91"/>
      <c r="G1710" s="91"/>
      <c r="H1710" s="33" t="str">
        <f t="shared" si="33"/>
        <v/>
      </c>
      <c r="I1710" s="91"/>
      <c r="J1710" s="91"/>
      <c r="K1710" s="91"/>
      <c r="L1710" s="91"/>
      <c r="M1710" s="95"/>
      <c r="N1710" s="95"/>
      <c r="O1710" s="58"/>
      <c r="P1710" s="58"/>
      <c r="Q1710" s="84"/>
      <c r="R1710" s="62"/>
      <c r="S1710" s="37" t="str">
        <f>IFERROR(__xludf.DUMMYFUNCTION("if(not(iserror(index(split(C1710, "" ""),2))), index(split(C1710, "" ""),1),"""")"),"")</f>
        <v/>
      </c>
      <c r="T1710" s="315" t="str">
        <f>IFERROR(__xludf.DUMMYFUNCTION("if(S1710="""",C1710,if(not(iserror(index(split(C1710, "" ""),3))), index(split(C1710, "" ""),3),index(split(C1710, "" ""),2)))"),"")</f>
        <v/>
      </c>
      <c r="U1710" s="38" t="b">
        <f t="shared" si="34"/>
        <v>0</v>
      </c>
      <c r="V1710" s="38"/>
      <c r="W1710" s="40"/>
      <c r="X1710" s="40"/>
      <c r="Y1710" s="38"/>
      <c r="Z1710" s="38"/>
      <c r="AA1710" s="38"/>
      <c r="AB1710" s="38"/>
      <c r="AC1710" s="38"/>
      <c r="AD1710" s="38"/>
      <c r="AE1710" s="38"/>
      <c r="AF1710" s="38"/>
      <c r="AG1710" s="38"/>
      <c r="AH1710" s="38"/>
      <c r="AI1710" s="38"/>
      <c r="AJ1710" s="38"/>
      <c r="AK1710" s="38"/>
      <c r="AL1710" s="38"/>
      <c r="AM1710" s="38"/>
      <c r="AN1710" s="38"/>
      <c r="AO1710" s="38"/>
      <c r="AP1710" s="38"/>
      <c r="AQ1710" s="38"/>
      <c r="AR1710" s="38"/>
      <c r="AS1710" s="38"/>
      <c r="AT1710" s="38"/>
      <c r="AU1710" s="38"/>
      <c r="AV1710" s="38"/>
      <c r="AW1710" s="38"/>
      <c r="AX1710" s="38"/>
      <c r="AY1710" s="38"/>
      <c r="AZ1710" s="38"/>
      <c r="BA1710" s="38"/>
      <c r="BB1710" s="38"/>
      <c r="BC1710" s="38"/>
      <c r="BD1710" s="38"/>
      <c r="BE1710" s="38"/>
      <c r="BF1710" s="38"/>
      <c r="BG1710" s="38"/>
      <c r="BH1710" s="38"/>
      <c r="BI1710" s="38"/>
      <c r="BJ1710" s="38"/>
      <c r="BK1710" s="38"/>
      <c r="BL1710" s="38"/>
      <c r="BM1710" s="38"/>
      <c r="BN1710" s="38"/>
      <c r="BO1710" s="38"/>
      <c r="BP1710" s="38"/>
      <c r="BQ1710" s="38"/>
    </row>
    <row r="1711">
      <c r="A1711" s="58"/>
      <c r="B1711" s="341"/>
      <c r="C1711" s="60"/>
      <c r="D1711" s="60"/>
      <c r="E1711" s="58"/>
      <c r="F1711" s="58"/>
      <c r="G1711" s="58"/>
      <c r="H1711" s="33" t="str">
        <f t="shared" si="33"/>
        <v/>
      </c>
      <c r="I1711" s="58"/>
      <c r="J1711" s="58"/>
      <c r="K1711" s="58"/>
      <c r="L1711" s="58"/>
      <c r="M1711" s="80"/>
      <c r="N1711" s="77"/>
      <c r="O1711" s="62"/>
      <c r="P1711" s="62"/>
      <c r="Q1711" s="62"/>
      <c r="R1711" s="62"/>
      <c r="S1711" s="37" t="str">
        <f>IFERROR(__xludf.DUMMYFUNCTION("if(not(iserror(index(split(C1711, "" ""),2))), index(split(C1711, "" ""),1),"""")"),"")</f>
        <v/>
      </c>
      <c r="T1711" s="315" t="str">
        <f>IFERROR(__xludf.DUMMYFUNCTION("if(S1711="""",C1711,if(not(iserror(index(split(C1711, "" ""),3))), index(split(C1711, "" ""),3),index(split(C1711, "" ""),2)))"),"")</f>
        <v/>
      </c>
      <c r="U1711" s="38" t="b">
        <f t="shared" si="34"/>
        <v>0</v>
      </c>
      <c r="V1711" s="38"/>
      <c r="W1711" s="40"/>
      <c r="X1711" s="40"/>
      <c r="Y1711" s="38"/>
      <c r="Z1711" s="38"/>
      <c r="AA1711" s="38"/>
      <c r="AB1711" s="38"/>
      <c r="AC1711" s="38"/>
      <c r="AD1711" s="38"/>
      <c r="AE1711" s="38"/>
      <c r="AF1711" s="38"/>
      <c r="AG1711" s="38"/>
      <c r="AH1711" s="38"/>
      <c r="AI1711" s="38"/>
      <c r="AJ1711" s="38"/>
      <c r="AK1711" s="38"/>
      <c r="AL1711" s="38"/>
      <c r="AM1711" s="38"/>
      <c r="AN1711" s="38"/>
      <c r="AO1711" s="38"/>
      <c r="AP1711" s="38"/>
      <c r="AQ1711" s="38"/>
      <c r="AR1711" s="38"/>
      <c r="AS1711" s="38"/>
      <c r="AT1711" s="38"/>
      <c r="AU1711" s="38"/>
      <c r="AV1711" s="38"/>
      <c r="AW1711" s="38"/>
      <c r="AX1711" s="38"/>
      <c r="AY1711" s="38"/>
      <c r="AZ1711" s="38"/>
      <c r="BA1711" s="38"/>
      <c r="BB1711" s="38"/>
      <c r="BC1711" s="38"/>
      <c r="BD1711" s="38"/>
      <c r="BE1711" s="38"/>
      <c r="BF1711" s="38"/>
      <c r="BG1711" s="38"/>
      <c r="BH1711" s="38"/>
      <c r="BI1711" s="38"/>
      <c r="BJ1711" s="38"/>
      <c r="BK1711" s="38"/>
      <c r="BL1711" s="38"/>
      <c r="BM1711" s="38"/>
      <c r="BN1711" s="38"/>
      <c r="BO1711" s="38"/>
      <c r="BP1711" s="38"/>
      <c r="BQ1711" s="38"/>
    </row>
    <row r="1712">
      <c r="A1712" s="58"/>
      <c r="B1712" s="341"/>
      <c r="C1712" s="60"/>
      <c r="D1712" s="60"/>
      <c r="E1712" s="58"/>
      <c r="F1712" s="58"/>
      <c r="G1712" s="58"/>
      <c r="H1712" s="33" t="str">
        <f t="shared" si="33"/>
        <v/>
      </c>
      <c r="I1712" s="58"/>
      <c r="J1712" s="58"/>
      <c r="K1712" s="58"/>
      <c r="L1712" s="58"/>
      <c r="M1712" s="80"/>
      <c r="N1712" s="80"/>
      <c r="O1712" s="62"/>
      <c r="P1712" s="58"/>
      <c r="Q1712" s="84"/>
      <c r="R1712" s="62"/>
      <c r="S1712" s="37" t="str">
        <f>IFERROR(__xludf.DUMMYFUNCTION("if(not(iserror(index(split(C1712, "" ""),2))), index(split(C1712, "" ""),1),"""")"),"")</f>
        <v/>
      </c>
      <c r="T1712" s="315" t="str">
        <f>IFERROR(__xludf.DUMMYFUNCTION("if(S1712="""",C1712,if(not(iserror(index(split(C1712, "" ""),3))), index(split(C1712, "" ""),3),index(split(C1712, "" ""),2)))"),"")</f>
        <v/>
      </c>
      <c r="U1712" s="38" t="b">
        <f t="shared" si="34"/>
        <v>0</v>
      </c>
      <c r="V1712" s="38"/>
      <c r="W1712" s="40"/>
      <c r="X1712" s="40"/>
      <c r="Y1712" s="38"/>
      <c r="Z1712" s="38"/>
      <c r="AA1712" s="38"/>
      <c r="AB1712" s="38"/>
      <c r="AC1712" s="38"/>
      <c r="AD1712" s="38"/>
      <c r="AE1712" s="38"/>
      <c r="AF1712" s="38"/>
      <c r="AG1712" s="38"/>
      <c r="AH1712" s="38"/>
      <c r="AI1712" s="38"/>
      <c r="AJ1712" s="38"/>
      <c r="AK1712" s="38"/>
      <c r="AL1712" s="38"/>
      <c r="AM1712" s="38"/>
      <c r="AN1712" s="38"/>
      <c r="AO1712" s="38"/>
      <c r="AP1712" s="38"/>
      <c r="AQ1712" s="38"/>
      <c r="AR1712" s="38"/>
      <c r="AS1712" s="38"/>
      <c r="AT1712" s="38"/>
      <c r="AU1712" s="38"/>
      <c r="AV1712" s="38"/>
      <c r="AW1712" s="38"/>
      <c r="AX1712" s="38"/>
      <c r="AY1712" s="38"/>
      <c r="AZ1712" s="38"/>
      <c r="BA1712" s="38"/>
      <c r="BB1712" s="38"/>
      <c r="BC1712" s="38"/>
      <c r="BD1712" s="38"/>
      <c r="BE1712" s="38"/>
      <c r="BF1712" s="38"/>
      <c r="BG1712" s="38"/>
      <c r="BH1712" s="38"/>
      <c r="BI1712" s="38"/>
      <c r="BJ1712" s="38"/>
      <c r="BK1712" s="38"/>
      <c r="BL1712" s="38"/>
      <c r="BM1712" s="38"/>
      <c r="BN1712" s="38"/>
      <c r="BO1712" s="38"/>
      <c r="BP1712" s="38"/>
      <c r="BQ1712" s="38"/>
    </row>
    <row r="1713">
      <c r="A1713" s="124"/>
      <c r="B1713" s="393"/>
      <c r="C1713" s="127"/>
      <c r="D1713" s="127"/>
      <c r="E1713" s="128"/>
      <c r="F1713" s="129"/>
      <c r="G1713" s="128"/>
      <c r="H1713" s="33" t="str">
        <f t="shared" si="33"/>
        <v/>
      </c>
      <c r="I1713" s="128"/>
      <c r="J1713" s="128"/>
      <c r="K1713" s="129"/>
      <c r="L1713" s="128"/>
      <c r="M1713" s="120"/>
      <c r="N1713" s="133"/>
      <c r="O1713" s="133"/>
      <c r="P1713" s="133"/>
      <c r="Q1713" s="302"/>
      <c r="R1713" s="133"/>
      <c r="S1713" s="37" t="str">
        <f>IFERROR(__xludf.DUMMYFUNCTION("if(not(iserror(index(split(C1713, "" ""),2))), index(split(C1713, "" ""),1),"""")"),"")</f>
        <v/>
      </c>
      <c r="T1713" s="315" t="str">
        <f>IFERROR(__xludf.DUMMYFUNCTION("if(S1713="""",C1713,if(not(iserror(index(split(C1713, "" ""),3))), index(split(C1713, "" ""),3),index(split(C1713, "" ""),2)))"),"")</f>
        <v/>
      </c>
      <c r="U1713" s="38" t="b">
        <f t="shared" si="34"/>
        <v>0</v>
      </c>
      <c r="V1713" s="38"/>
      <c r="W1713" s="40"/>
      <c r="X1713" s="40"/>
      <c r="Y1713" s="38"/>
      <c r="Z1713" s="38"/>
      <c r="AA1713" s="38"/>
      <c r="AB1713" s="38"/>
      <c r="AC1713" s="38"/>
      <c r="AD1713" s="38"/>
      <c r="AE1713" s="38"/>
      <c r="AF1713" s="38"/>
      <c r="AG1713" s="38"/>
      <c r="AH1713" s="38"/>
      <c r="AI1713" s="38"/>
      <c r="AJ1713" s="38"/>
      <c r="AK1713" s="38"/>
      <c r="AL1713" s="38"/>
      <c r="AM1713" s="38"/>
      <c r="AN1713" s="38"/>
      <c r="AO1713" s="38"/>
      <c r="AP1713" s="38"/>
      <c r="AQ1713" s="38"/>
      <c r="AR1713" s="38"/>
      <c r="AS1713" s="38"/>
      <c r="AT1713" s="38"/>
      <c r="AU1713" s="38"/>
      <c r="AV1713" s="38"/>
      <c r="AW1713" s="38"/>
      <c r="AX1713" s="38"/>
      <c r="AY1713" s="38"/>
      <c r="AZ1713" s="38"/>
      <c r="BA1713" s="38"/>
      <c r="BB1713" s="38"/>
      <c r="BC1713" s="38"/>
      <c r="BD1713" s="38"/>
      <c r="BE1713" s="38"/>
      <c r="BF1713" s="38"/>
      <c r="BG1713" s="38"/>
      <c r="BH1713" s="38"/>
      <c r="BI1713" s="38"/>
      <c r="BJ1713" s="38"/>
      <c r="BK1713" s="38"/>
      <c r="BL1713" s="38"/>
      <c r="BM1713" s="38"/>
      <c r="BN1713" s="38"/>
      <c r="BO1713" s="38"/>
      <c r="BP1713" s="38"/>
      <c r="BQ1713" s="38"/>
    </row>
    <row r="1714">
      <c r="A1714" s="58"/>
      <c r="B1714" s="341"/>
      <c r="C1714" s="60"/>
      <c r="D1714" s="60"/>
      <c r="E1714" s="58"/>
      <c r="F1714" s="58"/>
      <c r="G1714" s="58"/>
      <c r="H1714" s="33" t="str">
        <f t="shared" si="33"/>
        <v/>
      </c>
      <c r="I1714" s="58"/>
      <c r="J1714" s="58"/>
      <c r="K1714" s="58"/>
      <c r="L1714" s="58"/>
      <c r="M1714" s="80"/>
      <c r="N1714" s="77"/>
      <c r="O1714" s="62"/>
      <c r="P1714" s="62"/>
      <c r="Q1714" s="62"/>
      <c r="R1714" s="62"/>
      <c r="S1714" s="37" t="str">
        <f>IFERROR(__xludf.DUMMYFUNCTION("if(not(iserror(index(split(C1714, "" ""),2))), index(split(C1714, "" ""),1),"""")"),"")</f>
        <v/>
      </c>
      <c r="T1714" s="315" t="str">
        <f>IFERROR(__xludf.DUMMYFUNCTION("if(S1714="""",C1714,if(not(iserror(index(split(C1714, "" ""),3))), index(split(C1714, "" ""),3),index(split(C1714, "" ""),2)))"),"")</f>
        <v/>
      </c>
      <c r="U1714" s="38" t="b">
        <f t="shared" si="34"/>
        <v>0</v>
      </c>
      <c r="V1714" s="38"/>
      <c r="W1714" s="40"/>
      <c r="X1714" s="40"/>
      <c r="Y1714" s="38"/>
      <c r="Z1714" s="38"/>
      <c r="AA1714" s="38"/>
      <c r="AB1714" s="38"/>
      <c r="AC1714" s="38"/>
      <c r="AD1714" s="38"/>
      <c r="AE1714" s="38"/>
      <c r="AF1714" s="38"/>
      <c r="AG1714" s="38"/>
      <c r="AH1714" s="38"/>
      <c r="AI1714" s="38"/>
      <c r="AJ1714" s="38"/>
      <c r="AK1714" s="38"/>
      <c r="AL1714" s="38"/>
      <c r="AM1714" s="38"/>
      <c r="AN1714" s="38"/>
      <c r="AO1714" s="38"/>
      <c r="AP1714" s="38"/>
      <c r="AQ1714" s="38"/>
      <c r="AR1714" s="38"/>
      <c r="AS1714" s="38"/>
      <c r="AT1714" s="38"/>
      <c r="AU1714" s="38"/>
      <c r="AV1714" s="38"/>
      <c r="AW1714" s="38"/>
      <c r="AX1714" s="38"/>
      <c r="AY1714" s="38"/>
      <c r="AZ1714" s="38"/>
      <c r="BA1714" s="38"/>
      <c r="BB1714" s="38"/>
      <c r="BC1714" s="38"/>
      <c r="BD1714" s="38"/>
      <c r="BE1714" s="38"/>
      <c r="BF1714" s="38"/>
      <c r="BG1714" s="38"/>
      <c r="BH1714" s="38"/>
      <c r="BI1714" s="38"/>
      <c r="BJ1714" s="38"/>
      <c r="BK1714" s="38"/>
      <c r="BL1714" s="38"/>
      <c r="BM1714" s="38"/>
      <c r="BN1714" s="38"/>
      <c r="BO1714" s="38"/>
      <c r="BP1714" s="38"/>
      <c r="BQ1714" s="38"/>
    </row>
    <row r="1715">
      <c r="A1715" s="58"/>
      <c r="B1715" s="341"/>
      <c r="C1715" s="60"/>
      <c r="D1715" s="60"/>
      <c r="E1715" s="58"/>
      <c r="F1715" s="58"/>
      <c r="G1715" s="58"/>
      <c r="H1715" s="33" t="str">
        <f t="shared" si="33"/>
        <v/>
      </c>
      <c r="I1715" s="58"/>
      <c r="J1715" s="58"/>
      <c r="K1715" s="58"/>
      <c r="L1715" s="58"/>
      <c r="M1715" s="80"/>
      <c r="N1715" s="77"/>
      <c r="O1715" s="58"/>
      <c r="P1715" s="58"/>
      <c r="Q1715" s="84"/>
      <c r="R1715" s="62"/>
      <c r="S1715" s="37" t="str">
        <f>IFERROR(__xludf.DUMMYFUNCTION("if(not(iserror(index(split(C1715, "" ""),2))), index(split(C1715, "" ""),1),"""")"),"")</f>
        <v/>
      </c>
      <c r="T1715" s="315" t="str">
        <f>IFERROR(__xludf.DUMMYFUNCTION("if(S1715="""",C1715,if(not(iserror(index(split(C1715, "" ""),3))), index(split(C1715, "" ""),3),index(split(C1715, "" ""),2)))"),"")</f>
        <v/>
      </c>
      <c r="U1715" s="38" t="b">
        <f t="shared" si="34"/>
        <v>0</v>
      </c>
      <c r="V1715" s="38"/>
      <c r="W1715" s="40"/>
      <c r="X1715" s="40"/>
      <c r="Y1715" s="38"/>
      <c r="Z1715" s="38"/>
      <c r="AA1715" s="38"/>
      <c r="AB1715" s="38"/>
      <c r="AC1715" s="38"/>
      <c r="AD1715" s="38"/>
      <c r="AE1715" s="38"/>
      <c r="AF1715" s="38"/>
      <c r="AG1715" s="38"/>
      <c r="AH1715" s="38"/>
      <c r="AI1715" s="38"/>
      <c r="AJ1715" s="38"/>
      <c r="AK1715" s="38"/>
      <c r="AL1715" s="38"/>
      <c r="AM1715" s="38"/>
      <c r="AN1715" s="38"/>
      <c r="AO1715" s="38"/>
      <c r="AP1715" s="38"/>
      <c r="AQ1715" s="38"/>
      <c r="AR1715" s="38"/>
      <c r="AS1715" s="38"/>
      <c r="AT1715" s="38"/>
      <c r="AU1715" s="38"/>
      <c r="AV1715" s="38"/>
      <c r="AW1715" s="38"/>
      <c r="AX1715" s="38"/>
      <c r="AY1715" s="38"/>
      <c r="AZ1715" s="38"/>
      <c r="BA1715" s="38"/>
      <c r="BB1715" s="38"/>
      <c r="BC1715" s="38"/>
      <c r="BD1715" s="38"/>
      <c r="BE1715" s="38"/>
      <c r="BF1715" s="38"/>
      <c r="BG1715" s="38"/>
      <c r="BH1715" s="38"/>
      <c r="BI1715" s="38"/>
      <c r="BJ1715" s="38"/>
      <c r="BK1715" s="38"/>
      <c r="BL1715" s="38"/>
      <c r="BM1715" s="38"/>
      <c r="BN1715" s="38"/>
      <c r="BO1715" s="38"/>
      <c r="BP1715" s="38"/>
      <c r="BQ1715" s="38"/>
    </row>
    <row r="1716">
      <c r="A1716" s="58"/>
      <c r="B1716" s="341"/>
      <c r="C1716" s="60"/>
      <c r="D1716" s="60"/>
      <c r="E1716" s="58"/>
      <c r="F1716" s="58"/>
      <c r="G1716" s="58"/>
      <c r="H1716" s="33" t="str">
        <f t="shared" si="33"/>
        <v/>
      </c>
      <c r="I1716" s="58"/>
      <c r="J1716" s="58"/>
      <c r="K1716" s="58"/>
      <c r="L1716" s="58"/>
      <c r="M1716" s="80"/>
      <c r="N1716" s="77"/>
      <c r="O1716" s="58"/>
      <c r="P1716" s="58"/>
      <c r="Q1716" s="84"/>
      <c r="R1716" s="62"/>
      <c r="S1716" s="37" t="str">
        <f>IFERROR(__xludf.DUMMYFUNCTION("if(not(iserror(index(split(C1716, "" ""),2))), index(split(C1716, "" ""),1),"""")"),"")</f>
        <v/>
      </c>
      <c r="T1716" s="315" t="str">
        <f>IFERROR(__xludf.DUMMYFUNCTION("if(S1716="""",C1716,if(not(iserror(index(split(C1716, "" ""),3))), index(split(C1716, "" ""),3),index(split(C1716, "" ""),2)))"),"")</f>
        <v/>
      </c>
      <c r="U1716" s="38" t="b">
        <f t="shared" si="34"/>
        <v>0</v>
      </c>
      <c r="V1716" s="38"/>
      <c r="W1716" s="40"/>
      <c r="X1716" s="40"/>
      <c r="Y1716" s="38"/>
      <c r="Z1716" s="38"/>
      <c r="AA1716" s="38"/>
      <c r="AB1716" s="38"/>
      <c r="AC1716" s="38"/>
      <c r="AD1716" s="38"/>
      <c r="AE1716" s="38"/>
      <c r="AF1716" s="38"/>
      <c r="AG1716" s="38"/>
      <c r="AH1716" s="38"/>
      <c r="AI1716" s="38"/>
      <c r="AJ1716" s="38"/>
      <c r="AK1716" s="38"/>
      <c r="AL1716" s="38"/>
      <c r="AM1716" s="38"/>
      <c r="AN1716" s="38"/>
      <c r="AO1716" s="38"/>
      <c r="AP1716" s="38"/>
      <c r="AQ1716" s="38"/>
      <c r="AR1716" s="38"/>
      <c r="AS1716" s="38"/>
      <c r="AT1716" s="38"/>
      <c r="AU1716" s="38"/>
      <c r="AV1716" s="38"/>
      <c r="AW1716" s="38"/>
      <c r="AX1716" s="38"/>
      <c r="AY1716" s="38"/>
      <c r="AZ1716" s="38"/>
      <c r="BA1716" s="38"/>
      <c r="BB1716" s="38"/>
      <c r="BC1716" s="38"/>
      <c r="BD1716" s="38"/>
      <c r="BE1716" s="38"/>
      <c r="BF1716" s="38"/>
      <c r="BG1716" s="38"/>
      <c r="BH1716" s="38"/>
      <c r="BI1716" s="38"/>
      <c r="BJ1716" s="38"/>
      <c r="BK1716" s="38"/>
      <c r="BL1716" s="38"/>
      <c r="BM1716" s="38"/>
      <c r="BN1716" s="38"/>
      <c r="BO1716" s="38"/>
      <c r="BP1716" s="38"/>
      <c r="BQ1716" s="38"/>
    </row>
    <row r="1717">
      <c r="A1717" s="58"/>
      <c r="B1717" s="341"/>
      <c r="C1717" s="60"/>
      <c r="D1717" s="60"/>
      <c r="E1717" s="58"/>
      <c r="F1717" s="58"/>
      <c r="G1717" s="58"/>
      <c r="H1717" s="33" t="str">
        <f t="shared" si="33"/>
        <v/>
      </c>
      <c r="I1717" s="58"/>
      <c r="J1717" s="58"/>
      <c r="K1717" s="58"/>
      <c r="L1717" s="58"/>
      <c r="M1717" s="80"/>
      <c r="N1717" s="77"/>
      <c r="O1717" s="58"/>
      <c r="P1717" s="58"/>
      <c r="Q1717" s="84"/>
      <c r="R1717" s="62"/>
      <c r="S1717" s="37" t="str">
        <f>IFERROR(__xludf.DUMMYFUNCTION("if(not(iserror(index(split(C1717, "" ""),2))), index(split(C1717, "" ""),1),"""")"),"")</f>
        <v/>
      </c>
      <c r="T1717" s="315" t="str">
        <f>IFERROR(__xludf.DUMMYFUNCTION("if(S1717="""",C1717,if(not(iserror(index(split(C1717, "" ""),3))), index(split(C1717, "" ""),3),index(split(C1717, "" ""),2)))"),"")</f>
        <v/>
      </c>
      <c r="U1717" s="38" t="b">
        <f t="shared" si="34"/>
        <v>0</v>
      </c>
      <c r="V1717" s="38"/>
      <c r="W1717" s="40"/>
      <c r="X1717" s="40"/>
      <c r="Y1717" s="38"/>
      <c r="Z1717" s="38"/>
      <c r="AA1717" s="38"/>
      <c r="AB1717" s="38"/>
      <c r="AC1717" s="38"/>
      <c r="AD1717" s="38"/>
      <c r="AE1717" s="38"/>
      <c r="AF1717" s="38"/>
      <c r="AG1717" s="38"/>
      <c r="AH1717" s="38"/>
      <c r="AI1717" s="38"/>
      <c r="AJ1717" s="38"/>
      <c r="AK1717" s="38"/>
      <c r="AL1717" s="38"/>
      <c r="AM1717" s="38"/>
      <c r="AN1717" s="38"/>
      <c r="AO1717" s="38"/>
      <c r="AP1717" s="38"/>
      <c r="AQ1717" s="38"/>
      <c r="AR1717" s="38"/>
      <c r="AS1717" s="38"/>
      <c r="AT1717" s="38"/>
      <c r="AU1717" s="38"/>
      <c r="AV1717" s="38"/>
      <c r="AW1717" s="38"/>
      <c r="AX1717" s="38"/>
      <c r="AY1717" s="38"/>
      <c r="AZ1717" s="38"/>
      <c r="BA1717" s="38"/>
      <c r="BB1717" s="38"/>
      <c r="BC1717" s="38"/>
      <c r="BD1717" s="38"/>
      <c r="BE1717" s="38"/>
      <c r="BF1717" s="38"/>
      <c r="BG1717" s="38"/>
      <c r="BH1717" s="38"/>
      <c r="BI1717" s="38"/>
      <c r="BJ1717" s="38"/>
      <c r="BK1717" s="38"/>
      <c r="BL1717" s="38"/>
      <c r="BM1717" s="38"/>
      <c r="BN1717" s="38"/>
      <c r="BO1717" s="38"/>
      <c r="BP1717" s="38"/>
      <c r="BQ1717" s="38"/>
    </row>
    <row r="1718">
      <c r="A1718" s="58"/>
      <c r="B1718" s="341"/>
      <c r="C1718" s="60"/>
      <c r="D1718" s="60"/>
      <c r="E1718" s="58"/>
      <c r="F1718" s="58"/>
      <c r="G1718" s="58"/>
      <c r="H1718" s="33" t="str">
        <f t="shared" si="33"/>
        <v/>
      </c>
      <c r="I1718" s="58"/>
      <c r="J1718" s="58"/>
      <c r="K1718" s="58"/>
      <c r="L1718" s="58"/>
      <c r="M1718" s="80"/>
      <c r="N1718" s="77"/>
      <c r="O1718" s="58"/>
      <c r="P1718" s="58"/>
      <c r="Q1718" s="84"/>
      <c r="R1718" s="62"/>
      <c r="S1718" s="37" t="str">
        <f>IFERROR(__xludf.DUMMYFUNCTION("if(not(iserror(index(split(C1718, "" ""),2))), index(split(C1718, "" ""),1),"""")"),"")</f>
        <v/>
      </c>
      <c r="T1718" s="315" t="str">
        <f>IFERROR(__xludf.DUMMYFUNCTION("if(S1718="""",C1718,if(not(iserror(index(split(C1718, "" ""),3))), index(split(C1718, "" ""),3),index(split(C1718, "" ""),2)))"),"")</f>
        <v/>
      </c>
      <c r="U1718" s="38" t="b">
        <f t="shared" si="34"/>
        <v>0</v>
      </c>
      <c r="V1718" s="38"/>
      <c r="W1718" s="40"/>
      <c r="X1718" s="40"/>
      <c r="Y1718" s="38"/>
      <c r="Z1718" s="38"/>
      <c r="AA1718" s="38"/>
      <c r="AB1718" s="38"/>
      <c r="AC1718" s="38"/>
      <c r="AD1718" s="38"/>
      <c r="AE1718" s="38"/>
      <c r="AF1718" s="38"/>
      <c r="AG1718" s="38"/>
      <c r="AH1718" s="38"/>
      <c r="AI1718" s="38"/>
      <c r="AJ1718" s="38"/>
      <c r="AK1718" s="38"/>
      <c r="AL1718" s="38"/>
      <c r="AM1718" s="38"/>
      <c r="AN1718" s="38"/>
      <c r="AO1718" s="38"/>
      <c r="AP1718" s="38"/>
      <c r="AQ1718" s="38"/>
      <c r="AR1718" s="38"/>
      <c r="AS1718" s="38"/>
      <c r="AT1718" s="38"/>
      <c r="AU1718" s="38"/>
      <c r="AV1718" s="38"/>
      <c r="AW1718" s="38"/>
      <c r="AX1718" s="38"/>
      <c r="AY1718" s="38"/>
      <c r="AZ1718" s="38"/>
      <c r="BA1718" s="38"/>
      <c r="BB1718" s="38"/>
      <c r="BC1718" s="38"/>
      <c r="BD1718" s="38"/>
      <c r="BE1718" s="38"/>
      <c r="BF1718" s="38"/>
      <c r="BG1718" s="38"/>
      <c r="BH1718" s="38"/>
      <c r="BI1718" s="38"/>
      <c r="BJ1718" s="38"/>
      <c r="BK1718" s="38"/>
      <c r="BL1718" s="38"/>
      <c r="BM1718" s="38"/>
      <c r="BN1718" s="38"/>
      <c r="BO1718" s="38"/>
      <c r="BP1718" s="38"/>
      <c r="BQ1718" s="38"/>
    </row>
    <row r="1719">
      <c r="A1719" s="58"/>
      <c r="B1719" s="341"/>
      <c r="C1719" s="60"/>
      <c r="D1719" s="60"/>
      <c r="E1719" s="58"/>
      <c r="F1719" s="58"/>
      <c r="G1719" s="58"/>
      <c r="H1719" s="33" t="str">
        <f t="shared" si="33"/>
        <v/>
      </c>
      <c r="I1719" s="58"/>
      <c r="J1719" s="58"/>
      <c r="K1719" s="58"/>
      <c r="L1719" s="58"/>
      <c r="M1719" s="80"/>
      <c r="N1719" s="77"/>
      <c r="O1719" s="58"/>
      <c r="P1719" s="58"/>
      <c r="Q1719" s="84"/>
      <c r="R1719" s="62"/>
      <c r="S1719" s="37" t="str">
        <f>IFERROR(__xludf.DUMMYFUNCTION("if(not(iserror(index(split(C1719, "" ""),2))), index(split(C1719, "" ""),1),"""")"),"")</f>
        <v/>
      </c>
      <c r="T1719" s="315" t="str">
        <f>IFERROR(__xludf.DUMMYFUNCTION("if(S1719="""",C1719,if(not(iserror(index(split(C1719, "" ""),3))), index(split(C1719, "" ""),3),index(split(C1719, "" ""),2)))"),"")</f>
        <v/>
      </c>
      <c r="U1719" s="38" t="b">
        <f t="shared" si="34"/>
        <v>0</v>
      </c>
      <c r="V1719" s="38"/>
      <c r="W1719" s="40"/>
      <c r="X1719" s="40"/>
      <c r="Y1719" s="38"/>
      <c r="Z1719" s="38"/>
      <c r="AA1719" s="38"/>
      <c r="AB1719" s="38"/>
      <c r="AC1719" s="38"/>
      <c r="AD1719" s="38"/>
      <c r="AE1719" s="38"/>
      <c r="AF1719" s="38"/>
      <c r="AG1719" s="38"/>
      <c r="AH1719" s="38"/>
      <c r="AI1719" s="38"/>
      <c r="AJ1719" s="38"/>
      <c r="AK1719" s="38"/>
      <c r="AL1719" s="38"/>
      <c r="AM1719" s="38"/>
      <c r="AN1719" s="38"/>
      <c r="AO1719" s="38"/>
      <c r="AP1719" s="38"/>
      <c r="AQ1719" s="38"/>
      <c r="AR1719" s="38"/>
      <c r="AS1719" s="38"/>
      <c r="AT1719" s="38"/>
      <c r="AU1719" s="38"/>
      <c r="AV1719" s="38"/>
      <c r="AW1719" s="38"/>
      <c r="AX1719" s="38"/>
      <c r="AY1719" s="38"/>
      <c r="AZ1719" s="38"/>
      <c r="BA1719" s="38"/>
      <c r="BB1719" s="38"/>
      <c r="BC1719" s="38"/>
      <c r="BD1719" s="38"/>
      <c r="BE1719" s="38"/>
      <c r="BF1719" s="38"/>
      <c r="BG1719" s="38"/>
      <c r="BH1719" s="38"/>
      <c r="BI1719" s="38"/>
      <c r="BJ1719" s="38"/>
      <c r="BK1719" s="38"/>
      <c r="BL1719" s="38"/>
      <c r="BM1719" s="38"/>
      <c r="BN1719" s="38"/>
      <c r="BO1719" s="38"/>
      <c r="BP1719" s="38"/>
      <c r="BQ1719" s="38"/>
    </row>
    <row r="1720">
      <c r="A1720" s="58"/>
      <c r="B1720" s="341"/>
      <c r="C1720" s="60"/>
      <c r="D1720" s="60"/>
      <c r="E1720" s="58"/>
      <c r="F1720" s="58"/>
      <c r="G1720" s="58"/>
      <c r="H1720" s="33" t="str">
        <f t="shared" si="33"/>
        <v/>
      </c>
      <c r="I1720" s="58"/>
      <c r="J1720" s="58"/>
      <c r="K1720" s="58"/>
      <c r="L1720" s="58"/>
      <c r="M1720" s="80"/>
      <c r="N1720" s="77"/>
      <c r="O1720" s="58"/>
      <c r="P1720" s="58"/>
      <c r="Q1720" s="84"/>
      <c r="R1720" s="62"/>
      <c r="S1720" s="37" t="str">
        <f>IFERROR(__xludf.DUMMYFUNCTION("if(not(iserror(index(split(C1720, "" ""),2))), index(split(C1720, "" ""),1),"""")"),"")</f>
        <v/>
      </c>
      <c r="T1720" s="315" t="str">
        <f>IFERROR(__xludf.DUMMYFUNCTION("if(S1720="""",C1720,if(not(iserror(index(split(C1720, "" ""),3))), index(split(C1720, "" ""),3),index(split(C1720, "" ""),2)))"),"")</f>
        <v/>
      </c>
      <c r="U1720" s="38" t="b">
        <f t="shared" si="34"/>
        <v>0</v>
      </c>
      <c r="V1720" s="38"/>
      <c r="W1720" s="40"/>
      <c r="X1720" s="40"/>
      <c r="Y1720" s="38"/>
      <c r="Z1720" s="38"/>
      <c r="AA1720" s="38"/>
      <c r="AB1720" s="38"/>
      <c r="AC1720" s="38"/>
      <c r="AD1720" s="38"/>
      <c r="AE1720" s="38"/>
      <c r="AF1720" s="38"/>
      <c r="AG1720" s="38"/>
      <c r="AH1720" s="38"/>
      <c r="AI1720" s="38"/>
      <c r="AJ1720" s="38"/>
      <c r="AK1720" s="38"/>
      <c r="AL1720" s="38"/>
      <c r="AM1720" s="38"/>
      <c r="AN1720" s="38"/>
      <c r="AO1720" s="38"/>
      <c r="AP1720" s="38"/>
      <c r="AQ1720" s="38"/>
      <c r="AR1720" s="38"/>
      <c r="AS1720" s="38"/>
      <c r="AT1720" s="38"/>
      <c r="AU1720" s="38"/>
      <c r="AV1720" s="38"/>
      <c r="AW1720" s="38"/>
      <c r="AX1720" s="38"/>
      <c r="AY1720" s="38"/>
      <c r="AZ1720" s="38"/>
      <c r="BA1720" s="38"/>
      <c r="BB1720" s="38"/>
      <c r="BC1720" s="38"/>
      <c r="BD1720" s="38"/>
      <c r="BE1720" s="38"/>
      <c r="BF1720" s="38"/>
      <c r="BG1720" s="38"/>
      <c r="BH1720" s="38"/>
      <c r="BI1720" s="38"/>
      <c r="BJ1720" s="38"/>
      <c r="BK1720" s="38"/>
      <c r="BL1720" s="38"/>
      <c r="BM1720" s="38"/>
      <c r="BN1720" s="38"/>
      <c r="BO1720" s="38"/>
      <c r="BP1720" s="38"/>
      <c r="BQ1720" s="38"/>
    </row>
    <row r="1721">
      <c r="A1721" s="394"/>
      <c r="B1721" s="341"/>
      <c r="C1721" s="60"/>
      <c r="D1721" s="60"/>
      <c r="E1721" s="58"/>
      <c r="F1721" s="58"/>
      <c r="G1721" s="58"/>
      <c r="H1721" s="33" t="str">
        <f t="shared" si="33"/>
        <v/>
      </c>
      <c r="I1721" s="58"/>
      <c r="J1721" s="58"/>
      <c r="K1721" s="58"/>
      <c r="L1721" s="58"/>
      <c r="M1721" s="120"/>
      <c r="N1721" s="80"/>
      <c r="O1721" s="58"/>
      <c r="P1721" s="58"/>
      <c r="Q1721" s="58"/>
      <c r="R1721" s="62"/>
      <c r="S1721" s="37" t="str">
        <f>IFERROR(__xludf.DUMMYFUNCTION("if(not(iserror(index(split(C1721, "" ""),2))), index(split(C1721, "" ""),1),"""")"),"")</f>
        <v/>
      </c>
      <c r="T1721" s="315" t="str">
        <f>IFERROR(__xludf.DUMMYFUNCTION("if(S1721="""",C1721,if(not(iserror(index(split(C1721, "" ""),3))), index(split(C1721, "" ""),3),index(split(C1721, "" ""),2)))"),"")</f>
        <v/>
      </c>
      <c r="U1721" s="38" t="b">
        <f t="shared" si="34"/>
        <v>0</v>
      </c>
      <c r="V1721" s="38"/>
      <c r="W1721" s="40"/>
      <c r="X1721" s="40"/>
      <c r="Y1721" s="38"/>
      <c r="Z1721" s="38"/>
      <c r="AA1721" s="38"/>
      <c r="AB1721" s="38"/>
      <c r="AC1721" s="38"/>
      <c r="AD1721" s="38"/>
      <c r="AE1721" s="38"/>
      <c r="AF1721" s="38"/>
      <c r="AG1721" s="38"/>
      <c r="AH1721" s="38"/>
      <c r="AI1721" s="38"/>
      <c r="AJ1721" s="38"/>
      <c r="AK1721" s="38"/>
      <c r="AL1721" s="38"/>
      <c r="AM1721" s="38"/>
      <c r="AN1721" s="38"/>
      <c r="AO1721" s="38"/>
      <c r="AP1721" s="38"/>
      <c r="AQ1721" s="38"/>
      <c r="AR1721" s="38"/>
      <c r="AS1721" s="38"/>
      <c r="AT1721" s="38"/>
      <c r="AU1721" s="38"/>
      <c r="AV1721" s="38"/>
      <c r="AW1721" s="38"/>
      <c r="AX1721" s="38"/>
      <c r="AY1721" s="38"/>
      <c r="AZ1721" s="38"/>
      <c r="BA1721" s="38"/>
      <c r="BB1721" s="38"/>
      <c r="BC1721" s="38"/>
      <c r="BD1721" s="38"/>
      <c r="BE1721" s="38"/>
      <c r="BF1721" s="38"/>
      <c r="BG1721" s="38"/>
      <c r="BH1721" s="38"/>
      <c r="BI1721" s="38"/>
      <c r="BJ1721" s="38"/>
      <c r="BK1721" s="38"/>
      <c r="BL1721" s="38"/>
      <c r="BM1721" s="38"/>
      <c r="BN1721" s="38"/>
      <c r="BO1721" s="38"/>
      <c r="BP1721" s="38"/>
      <c r="BQ1721" s="38"/>
    </row>
    <row r="1722">
      <c r="A1722" s="58"/>
      <c r="B1722" s="341"/>
      <c r="C1722" s="60"/>
      <c r="D1722" s="60"/>
      <c r="E1722" s="58"/>
      <c r="F1722" s="58"/>
      <c r="G1722" s="58"/>
      <c r="H1722" s="33" t="str">
        <f t="shared" si="33"/>
        <v/>
      </c>
      <c r="I1722" s="58"/>
      <c r="J1722" s="58"/>
      <c r="K1722" s="58"/>
      <c r="L1722" s="58"/>
      <c r="M1722" s="80"/>
      <c r="N1722" s="77"/>
      <c r="O1722" s="62"/>
      <c r="P1722" s="62"/>
      <c r="Q1722" s="62"/>
      <c r="R1722" s="62"/>
      <c r="S1722" s="37" t="str">
        <f>IFERROR(__xludf.DUMMYFUNCTION("if(not(iserror(index(split(C1722, "" ""),2))), index(split(C1722, "" ""),1),"""")"),"")</f>
        <v/>
      </c>
      <c r="T1722" s="315" t="str">
        <f>IFERROR(__xludf.DUMMYFUNCTION("if(S1722="""",C1722,if(not(iserror(index(split(C1722, "" ""),3))), index(split(C1722, "" ""),3),index(split(C1722, "" ""),2)))"),"")</f>
        <v/>
      </c>
      <c r="U1722" s="38" t="b">
        <f t="shared" si="34"/>
        <v>0</v>
      </c>
      <c r="V1722" s="38"/>
      <c r="W1722" s="40"/>
      <c r="X1722" s="40"/>
      <c r="Y1722" s="38"/>
      <c r="Z1722" s="38"/>
      <c r="AA1722" s="38"/>
      <c r="AB1722" s="38"/>
      <c r="AC1722" s="38"/>
      <c r="AD1722" s="38"/>
      <c r="AE1722" s="38"/>
      <c r="AF1722" s="38"/>
      <c r="AG1722" s="38"/>
      <c r="AH1722" s="38"/>
      <c r="AI1722" s="38"/>
      <c r="AJ1722" s="38"/>
      <c r="AK1722" s="38"/>
      <c r="AL1722" s="38"/>
      <c r="AM1722" s="38"/>
      <c r="AN1722" s="38"/>
      <c r="AO1722" s="38"/>
      <c r="AP1722" s="38"/>
      <c r="AQ1722" s="38"/>
      <c r="AR1722" s="38"/>
      <c r="AS1722" s="38"/>
      <c r="AT1722" s="38"/>
      <c r="AU1722" s="38"/>
      <c r="AV1722" s="38"/>
      <c r="AW1722" s="38"/>
      <c r="AX1722" s="38"/>
      <c r="AY1722" s="38"/>
      <c r="AZ1722" s="38"/>
      <c r="BA1722" s="38"/>
      <c r="BB1722" s="38"/>
      <c r="BC1722" s="38"/>
      <c r="BD1722" s="38"/>
      <c r="BE1722" s="38"/>
      <c r="BF1722" s="38"/>
      <c r="BG1722" s="38"/>
      <c r="BH1722" s="38"/>
      <c r="BI1722" s="38"/>
      <c r="BJ1722" s="38"/>
      <c r="BK1722" s="38"/>
      <c r="BL1722" s="38"/>
      <c r="BM1722" s="38"/>
      <c r="BN1722" s="38"/>
      <c r="BO1722" s="38"/>
      <c r="BP1722" s="38"/>
      <c r="BQ1722" s="38"/>
    </row>
    <row r="1723">
      <c r="A1723" s="58"/>
      <c r="B1723" s="341"/>
      <c r="C1723" s="60"/>
      <c r="D1723" s="60"/>
      <c r="E1723" s="58"/>
      <c r="F1723" s="58"/>
      <c r="G1723" s="58"/>
      <c r="H1723" s="33" t="str">
        <f t="shared" si="33"/>
        <v/>
      </c>
      <c r="I1723" s="58"/>
      <c r="J1723" s="58"/>
      <c r="K1723" s="58"/>
      <c r="L1723" s="58"/>
      <c r="M1723" s="80"/>
      <c r="N1723" s="77"/>
      <c r="O1723" s="62"/>
      <c r="P1723" s="62"/>
      <c r="Q1723" s="62"/>
      <c r="R1723" s="62"/>
      <c r="S1723" s="37" t="str">
        <f>IFERROR(__xludf.DUMMYFUNCTION("if(not(iserror(index(split(C1723, "" ""),2))), index(split(C1723, "" ""),1),"""")"),"")</f>
        <v/>
      </c>
      <c r="T1723" s="315" t="str">
        <f>IFERROR(__xludf.DUMMYFUNCTION("if(S1723="""",C1723,if(not(iserror(index(split(C1723, "" ""),3))), index(split(C1723, "" ""),3),index(split(C1723, "" ""),2)))"),"")</f>
        <v/>
      </c>
      <c r="U1723" s="38" t="b">
        <f t="shared" si="34"/>
        <v>0</v>
      </c>
      <c r="V1723" s="38"/>
      <c r="W1723" s="40"/>
      <c r="X1723" s="40"/>
      <c r="Y1723" s="38"/>
      <c r="Z1723" s="38"/>
      <c r="AA1723" s="38"/>
      <c r="AB1723" s="38"/>
      <c r="AC1723" s="38"/>
      <c r="AD1723" s="38"/>
      <c r="AE1723" s="38"/>
      <c r="AF1723" s="38"/>
      <c r="AG1723" s="38"/>
      <c r="AH1723" s="38"/>
      <c r="AI1723" s="38"/>
      <c r="AJ1723" s="38"/>
      <c r="AK1723" s="38"/>
      <c r="AL1723" s="38"/>
      <c r="AM1723" s="38"/>
      <c r="AN1723" s="38"/>
      <c r="AO1723" s="38"/>
      <c r="AP1723" s="38"/>
      <c r="AQ1723" s="38"/>
      <c r="AR1723" s="38"/>
      <c r="AS1723" s="38"/>
      <c r="AT1723" s="38"/>
      <c r="AU1723" s="38"/>
      <c r="AV1723" s="38"/>
      <c r="AW1723" s="38"/>
      <c r="AX1723" s="38"/>
      <c r="AY1723" s="38"/>
      <c r="AZ1723" s="38"/>
      <c r="BA1723" s="38"/>
      <c r="BB1723" s="38"/>
      <c r="BC1723" s="38"/>
      <c r="BD1723" s="38"/>
      <c r="BE1723" s="38"/>
      <c r="BF1723" s="38"/>
      <c r="BG1723" s="38"/>
      <c r="BH1723" s="38"/>
      <c r="BI1723" s="38"/>
      <c r="BJ1723" s="38"/>
      <c r="BK1723" s="38"/>
      <c r="BL1723" s="38"/>
      <c r="BM1723" s="38"/>
      <c r="BN1723" s="38"/>
      <c r="BO1723" s="38"/>
      <c r="BP1723" s="38"/>
      <c r="BQ1723" s="38"/>
    </row>
    <row r="1724">
      <c r="A1724" s="58"/>
      <c r="B1724" s="341"/>
      <c r="C1724" s="60"/>
      <c r="D1724" s="60"/>
      <c r="E1724" s="58"/>
      <c r="F1724" s="58"/>
      <c r="G1724" s="58"/>
      <c r="H1724" s="33" t="str">
        <f t="shared" si="33"/>
        <v/>
      </c>
      <c r="I1724" s="58"/>
      <c r="J1724" s="58"/>
      <c r="K1724" s="58"/>
      <c r="L1724" s="58"/>
      <c r="M1724" s="80"/>
      <c r="N1724" s="77"/>
      <c r="O1724" s="62"/>
      <c r="P1724" s="62"/>
      <c r="Q1724" s="62"/>
      <c r="R1724" s="62"/>
      <c r="S1724" s="37" t="str">
        <f>IFERROR(__xludf.DUMMYFUNCTION("if(not(iserror(index(split(C1724, "" ""),2))), index(split(C1724, "" ""),1),"""")"),"")</f>
        <v/>
      </c>
      <c r="T1724" s="315" t="str">
        <f>IFERROR(__xludf.DUMMYFUNCTION("if(S1724="""",C1724,if(not(iserror(index(split(C1724, "" ""),3))), index(split(C1724, "" ""),3),index(split(C1724, "" ""),2)))"),"")</f>
        <v/>
      </c>
      <c r="U1724" s="38" t="b">
        <f t="shared" si="34"/>
        <v>0</v>
      </c>
      <c r="V1724" s="38"/>
      <c r="W1724" s="40"/>
      <c r="X1724" s="40"/>
      <c r="Y1724" s="38"/>
      <c r="Z1724" s="38"/>
      <c r="AA1724" s="38"/>
      <c r="AB1724" s="38"/>
      <c r="AC1724" s="38"/>
      <c r="AD1724" s="38"/>
      <c r="AE1724" s="38"/>
      <c r="AF1724" s="38"/>
      <c r="AG1724" s="38"/>
      <c r="AH1724" s="38"/>
      <c r="AI1724" s="38"/>
      <c r="AJ1724" s="38"/>
      <c r="AK1724" s="38"/>
      <c r="AL1724" s="38"/>
      <c r="AM1724" s="38"/>
      <c r="AN1724" s="38"/>
      <c r="AO1724" s="38"/>
      <c r="AP1724" s="38"/>
      <c r="AQ1724" s="38"/>
      <c r="AR1724" s="38"/>
      <c r="AS1724" s="38"/>
      <c r="AT1724" s="38"/>
      <c r="AU1724" s="38"/>
      <c r="AV1724" s="38"/>
      <c r="AW1724" s="38"/>
      <c r="AX1724" s="38"/>
      <c r="AY1724" s="38"/>
      <c r="AZ1724" s="38"/>
      <c r="BA1724" s="38"/>
      <c r="BB1724" s="38"/>
      <c r="BC1724" s="38"/>
      <c r="BD1724" s="38"/>
      <c r="BE1724" s="38"/>
      <c r="BF1724" s="38"/>
      <c r="BG1724" s="38"/>
      <c r="BH1724" s="38"/>
      <c r="BI1724" s="38"/>
      <c r="BJ1724" s="38"/>
      <c r="BK1724" s="38"/>
      <c r="BL1724" s="38"/>
      <c r="BM1724" s="38"/>
      <c r="BN1724" s="38"/>
      <c r="BO1724" s="38"/>
      <c r="BP1724" s="38"/>
      <c r="BQ1724" s="38"/>
    </row>
    <row r="1725">
      <c r="A1725" s="58"/>
      <c r="B1725" s="341"/>
      <c r="C1725" s="60"/>
      <c r="D1725" s="60"/>
      <c r="E1725" s="58"/>
      <c r="F1725" s="58"/>
      <c r="G1725" s="58"/>
      <c r="H1725" s="33" t="str">
        <f t="shared" si="33"/>
        <v/>
      </c>
      <c r="I1725" s="58"/>
      <c r="J1725" s="58"/>
      <c r="K1725" s="58"/>
      <c r="L1725" s="58"/>
      <c r="M1725" s="80"/>
      <c r="N1725" s="77"/>
      <c r="O1725" s="62"/>
      <c r="P1725" s="62"/>
      <c r="Q1725" s="62"/>
      <c r="R1725" s="62"/>
      <c r="S1725" s="37" t="str">
        <f>IFERROR(__xludf.DUMMYFUNCTION("if(not(iserror(index(split(C1725, "" ""),2))), index(split(C1725, "" ""),1),"""")"),"")</f>
        <v/>
      </c>
      <c r="T1725" s="315" t="str">
        <f>IFERROR(__xludf.DUMMYFUNCTION("if(S1725="""",C1725,if(not(iserror(index(split(C1725, "" ""),3))), index(split(C1725, "" ""),3),index(split(C1725, "" ""),2)))"),"")</f>
        <v/>
      </c>
      <c r="U1725" s="38" t="b">
        <f t="shared" si="34"/>
        <v>0</v>
      </c>
      <c r="V1725" s="38"/>
      <c r="W1725" s="40"/>
      <c r="X1725" s="40"/>
      <c r="Y1725" s="38"/>
      <c r="Z1725" s="38"/>
      <c r="AA1725" s="38"/>
      <c r="AB1725" s="38"/>
      <c r="AC1725" s="38"/>
      <c r="AD1725" s="38"/>
      <c r="AE1725" s="38"/>
      <c r="AF1725" s="38"/>
      <c r="AG1725" s="38"/>
      <c r="AH1725" s="38"/>
      <c r="AI1725" s="38"/>
      <c r="AJ1725" s="38"/>
      <c r="AK1725" s="38"/>
      <c r="AL1725" s="38"/>
      <c r="AM1725" s="38"/>
      <c r="AN1725" s="38"/>
      <c r="AO1725" s="38"/>
      <c r="AP1725" s="38"/>
      <c r="AQ1725" s="38"/>
      <c r="AR1725" s="38"/>
      <c r="AS1725" s="38"/>
      <c r="AT1725" s="38"/>
      <c r="AU1725" s="38"/>
      <c r="AV1725" s="38"/>
      <c r="AW1725" s="38"/>
      <c r="AX1725" s="38"/>
      <c r="AY1725" s="38"/>
      <c r="AZ1725" s="38"/>
      <c r="BA1725" s="38"/>
      <c r="BB1725" s="38"/>
      <c r="BC1725" s="38"/>
      <c r="BD1725" s="38"/>
      <c r="BE1725" s="38"/>
      <c r="BF1725" s="38"/>
      <c r="BG1725" s="38"/>
      <c r="BH1725" s="38"/>
      <c r="BI1725" s="38"/>
      <c r="BJ1725" s="38"/>
      <c r="BK1725" s="38"/>
      <c r="BL1725" s="38"/>
      <c r="BM1725" s="38"/>
      <c r="BN1725" s="38"/>
      <c r="BO1725" s="38"/>
      <c r="BP1725" s="38"/>
      <c r="BQ1725" s="38"/>
    </row>
    <row r="1726">
      <c r="A1726" s="58"/>
      <c r="B1726" s="341"/>
      <c r="C1726" s="60"/>
      <c r="D1726" s="60"/>
      <c r="E1726" s="58"/>
      <c r="F1726" s="58"/>
      <c r="G1726" s="58"/>
      <c r="H1726" s="33" t="str">
        <f t="shared" si="33"/>
        <v/>
      </c>
      <c r="I1726" s="58"/>
      <c r="J1726" s="58"/>
      <c r="K1726" s="58"/>
      <c r="L1726" s="58"/>
      <c r="M1726" s="80"/>
      <c r="N1726" s="77"/>
      <c r="O1726" s="62"/>
      <c r="P1726" s="62"/>
      <c r="Q1726" s="62"/>
      <c r="R1726" s="62"/>
      <c r="S1726" s="37" t="str">
        <f>IFERROR(__xludf.DUMMYFUNCTION("if(not(iserror(index(split(C1726, "" ""),2))), index(split(C1726, "" ""),1),"""")"),"")</f>
        <v/>
      </c>
      <c r="T1726" s="315" t="str">
        <f>IFERROR(__xludf.DUMMYFUNCTION("if(S1726="""",C1726,if(not(iserror(index(split(C1726, "" ""),3))), index(split(C1726, "" ""),3),index(split(C1726, "" ""),2)))"),"")</f>
        <v/>
      </c>
      <c r="U1726" s="38" t="b">
        <f t="shared" si="34"/>
        <v>0</v>
      </c>
      <c r="V1726" s="38"/>
      <c r="W1726" s="40"/>
      <c r="X1726" s="40"/>
      <c r="Y1726" s="38"/>
      <c r="Z1726" s="38"/>
      <c r="AA1726" s="38"/>
      <c r="AB1726" s="38"/>
      <c r="AC1726" s="38"/>
      <c r="AD1726" s="38"/>
      <c r="AE1726" s="38"/>
      <c r="AF1726" s="38"/>
      <c r="AG1726" s="38"/>
      <c r="AH1726" s="38"/>
      <c r="AI1726" s="38"/>
      <c r="AJ1726" s="38"/>
      <c r="AK1726" s="38"/>
      <c r="AL1726" s="38"/>
      <c r="AM1726" s="38"/>
      <c r="AN1726" s="38"/>
      <c r="AO1726" s="38"/>
      <c r="AP1726" s="38"/>
      <c r="AQ1726" s="38"/>
      <c r="AR1726" s="38"/>
      <c r="AS1726" s="38"/>
      <c r="AT1726" s="38"/>
      <c r="AU1726" s="38"/>
      <c r="AV1726" s="38"/>
      <c r="AW1726" s="38"/>
      <c r="AX1726" s="38"/>
      <c r="AY1726" s="38"/>
      <c r="AZ1726" s="38"/>
      <c r="BA1726" s="38"/>
      <c r="BB1726" s="38"/>
      <c r="BC1726" s="38"/>
      <c r="BD1726" s="38"/>
      <c r="BE1726" s="38"/>
      <c r="BF1726" s="38"/>
      <c r="BG1726" s="38"/>
      <c r="BH1726" s="38"/>
      <c r="BI1726" s="38"/>
      <c r="BJ1726" s="38"/>
      <c r="BK1726" s="38"/>
      <c r="BL1726" s="38"/>
      <c r="BM1726" s="38"/>
      <c r="BN1726" s="38"/>
      <c r="BO1726" s="38"/>
      <c r="BP1726" s="38"/>
      <c r="BQ1726" s="38"/>
    </row>
    <row r="1727">
      <c r="A1727" s="58"/>
      <c r="B1727" s="341"/>
      <c r="C1727" s="60"/>
      <c r="D1727" s="60"/>
      <c r="E1727" s="58"/>
      <c r="F1727" s="58"/>
      <c r="G1727" s="58"/>
      <c r="H1727" s="33" t="str">
        <f t="shared" si="33"/>
        <v/>
      </c>
      <c r="I1727" s="58"/>
      <c r="J1727" s="58"/>
      <c r="K1727" s="58"/>
      <c r="L1727" s="58"/>
      <c r="M1727" s="389"/>
      <c r="N1727" s="80"/>
      <c r="O1727" s="58"/>
      <c r="P1727" s="58"/>
      <c r="Q1727" s="84"/>
      <c r="R1727" s="62"/>
      <c r="S1727" s="37" t="str">
        <f>IFERROR(__xludf.DUMMYFUNCTION("if(not(iserror(index(split(C1727, "" ""),2))), index(split(C1727, "" ""),1),"""")"),"")</f>
        <v/>
      </c>
      <c r="T1727" s="315" t="str">
        <f>IFERROR(__xludf.DUMMYFUNCTION("if(S1727="""",C1727,if(not(iserror(index(split(C1727, "" ""),3))), index(split(C1727, "" ""),3),index(split(C1727, "" ""),2)))"),"")</f>
        <v/>
      </c>
      <c r="U1727" s="38" t="b">
        <f t="shared" si="34"/>
        <v>0</v>
      </c>
      <c r="V1727" s="38"/>
      <c r="W1727" s="40"/>
      <c r="X1727" s="40"/>
      <c r="Y1727" s="38"/>
      <c r="Z1727" s="38"/>
      <c r="AA1727" s="38"/>
      <c r="AB1727" s="38"/>
      <c r="AC1727" s="38"/>
      <c r="AD1727" s="38"/>
      <c r="AE1727" s="38"/>
      <c r="AF1727" s="38"/>
      <c r="AG1727" s="38"/>
      <c r="AH1727" s="38"/>
      <c r="AI1727" s="38"/>
      <c r="AJ1727" s="38"/>
      <c r="AK1727" s="38"/>
      <c r="AL1727" s="38"/>
      <c r="AM1727" s="38"/>
      <c r="AN1727" s="38"/>
      <c r="AO1727" s="38"/>
      <c r="AP1727" s="38"/>
      <c r="AQ1727" s="38"/>
      <c r="AR1727" s="38"/>
      <c r="AS1727" s="38"/>
      <c r="AT1727" s="38"/>
      <c r="AU1727" s="38"/>
      <c r="AV1727" s="38"/>
      <c r="AW1727" s="38"/>
      <c r="AX1727" s="38"/>
      <c r="AY1727" s="38"/>
      <c r="AZ1727" s="38"/>
      <c r="BA1727" s="38"/>
      <c r="BB1727" s="38"/>
      <c r="BC1727" s="38"/>
      <c r="BD1727" s="38"/>
      <c r="BE1727" s="38"/>
      <c r="BF1727" s="38"/>
      <c r="BG1727" s="38"/>
      <c r="BH1727" s="38"/>
      <c r="BI1727" s="38"/>
      <c r="BJ1727" s="38"/>
      <c r="BK1727" s="38"/>
      <c r="BL1727" s="38"/>
      <c r="BM1727" s="38"/>
      <c r="BN1727" s="38"/>
      <c r="BO1727" s="38"/>
      <c r="BP1727" s="38"/>
      <c r="BQ1727" s="38"/>
    </row>
    <row r="1728">
      <c r="A1728" s="58"/>
      <c r="B1728" s="341"/>
      <c r="C1728" s="60"/>
      <c r="D1728" s="60"/>
      <c r="E1728" s="58"/>
      <c r="F1728" s="58"/>
      <c r="G1728" s="58"/>
      <c r="H1728" s="33" t="str">
        <f t="shared" si="33"/>
        <v/>
      </c>
      <c r="I1728" s="58"/>
      <c r="J1728" s="58"/>
      <c r="K1728" s="58"/>
      <c r="L1728" s="58"/>
      <c r="M1728" s="80"/>
      <c r="N1728" s="80"/>
      <c r="O1728" s="58"/>
      <c r="P1728" s="58"/>
      <c r="Q1728" s="84"/>
      <c r="R1728" s="62"/>
      <c r="S1728" s="37" t="str">
        <f>IFERROR(__xludf.DUMMYFUNCTION("if(not(iserror(index(split(C1728, "" ""),2))), index(split(C1728, "" ""),1),"""")"),"")</f>
        <v/>
      </c>
      <c r="T1728" s="315" t="str">
        <f>IFERROR(__xludf.DUMMYFUNCTION("if(S1728="""",C1728,if(not(iserror(index(split(C1728, "" ""),3))), index(split(C1728, "" ""),3),index(split(C1728, "" ""),2)))"),"")</f>
        <v/>
      </c>
      <c r="U1728" s="38" t="b">
        <f t="shared" si="34"/>
        <v>0</v>
      </c>
      <c r="V1728" s="38"/>
      <c r="W1728" s="40"/>
      <c r="X1728" s="40"/>
      <c r="Y1728" s="38"/>
      <c r="Z1728" s="38"/>
      <c r="AA1728" s="38"/>
      <c r="AB1728" s="38"/>
      <c r="AC1728" s="38"/>
      <c r="AD1728" s="38"/>
      <c r="AE1728" s="38"/>
      <c r="AF1728" s="38"/>
      <c r="AG1728" s="38"/>
      <c r="AH1728" s="38"/>
      <c r="AI1728" s="38"/>
      <c r="AJ1728" s="38"/>
      <c r="AK1728" s="38"/>
      <c r="AL1728" s="38"/>
      <c r="AM1728" s="38"/>
      <c r="AN1728" s="38"/>
      <c r="AO1728" s="38"/>
      <c r="AP1728" s="38"/>
      <c r="AQ1728" s="38"/>
      <c r="AR1728" s="38"/>
      <c r="AS1728" s="38"/>
      <c r="AT1728" s="38"/>
      <c r="AU1728" s="38"/>
      <c r="AV1728" s="38"/>
      <c r="AW1728" s="38"/>
      <c r="AX1728" s="38"/>
      <c r="AY1728" s="38"/>
      <c r="AZ1728" s="38"/>
      <c r="BA1728" s="38"/>
      <c r="BB1728" s="38"/>
      <c r="BC1728" s="38"/>
      <c r="BD1728" s="38"/>
      <c r="BE1728" s="38"/>
      <c r="BF1728" s="38"/>
      <c r="BG1728" s="38"/>
      <c r="BH1728" s="38"/>
      <c r="BI1728" s="38"/>
      <c r="BJ1728" s="38"/>
      <c r="BK1728" s="38"/>
      <c r="BL1728" s="38"/>
      <c r="BM1728" s="38"/>
      <c r="BN1728" s="38"/>
      <c r="BO1728" s="38"/>
      <c r="BP1728" s="38"/>
      <c r="BQ1728" s="38"/>
    </row>
    <row r="1729">
      <c r="A1729" s="58"/>
      <c r="B1729" s="341"/>
      <c r="C1729" s="60"/>
      <c r="D1729" s="60"/>
      <c r="E1729" s="58"/>
      <c r="F1729" s="58"/>
      <c r="G1729" s="58"/>
      <c r="H1729" s="33" t="str">
        <f t="shared" si="33"/>
        <v/>
      </c>
      <c r="I1729" s="58"/>
      <c r="J1729" s="58"/>
      <c r="K1729" s="58"/>
      <c r="L1729" s="58"/>
      <c r="M1729" s="80"/>
      <c r="N1729" s="77"/>
      <c r="O1729" s="62"/>
      <c r="P1729" s="62"/>
      <c r="Q1729" s="62"/>
      <c r="R1729" s="62"/>
      <c r="S1729" s="37" t="str">
        <f>IFERROR(__xludf.DUMMYFUNCTION("if(not(iserror(index(split(C1729, "" ""),2))), index(split(C1729, "" ""),1),"""")"),"")</f>
        <v/>
      </c>
      <c r="T1729" s="315" t="str">
        <f>IFERROR(__xludf.DUMMYFUNCTION("if(S1729="""",C1729,if(not(iserror(index(split(C1729, "" ""),3))), index(split(C1729, "" ""),3),index(split(C1729, "" ""),2)))"),"")</f>
        <v/>
      </c>
      <c r="U1729" s="38" t="b">
        <f t="shared" si="34"/>
        <v>0</v>
      </c>
      <c r="V1729" s="38"/>
      <c r="W1729" s="40"/>
      <c r="X1729" s="40"/>
      <c r="Y1729" s="38"/>
      <c r="Z1729" s="38"/>
      <c r="AA1729" s="38"/>
      <c r="AB1729" s="38"/>
      <c r="AC1729" s="38"/>
      <c r="AD1729" s="38"/>
      <c r="AE1729" s="38"/>
      <c r="AF1729" s="38"/>
      <c r="AG1729" s="38"/>
      <c r="AH1729" s="38"/>
      <c r="AI1729" s="38"/>
      <c r="AJ1729" s="38"/>
      <c r="AK1729" s="38"/>
      <c r="AL1729" s="38"/>
      <c r="AM1729" s="38"/>
      <c r="AN1729" s="38"/>
      <c r="AO1729" s="38"/>
      <c r="AP1729" s="38"/>
      <c r="AQ1729" s="38"/>
      <c r="AR1729" s="38"/>
      <c r="AS1729" s="38"/>
      <c r="AT1729" s="38"/>
      <c r="AU1729" s="38"/>
      <c r="AV1729" s="38"/>
      <c r="AW1729" s="38"/>
      <c r="AX1729" s="38"/>
      <c r="AY1729" s="38"/>
      <c r="AZ1729" s="38"/>
      <c r="BA1729" s="38"/>
      <c r="BB1729" s="38"/>
      <c r="BC1729" s="38"/>
      <c r="BD1729" s="38"/>
      <c r="BE1729" s="38"/>
      <c r="BF1729" s="38"/>
      <c r="BG1729" s="38"/>
      <c r="BH1729" s="38"/>
      <c r="BI1729" s="38"/>
      <c r="BJ1729" s="38"/>
      <c r="BK1729" s="38"/>
      <c r="BL1729" s="38"/>
      <c r="BM1729" s="38"/>
      <c r="BN1729" s="38"/>
      <c r="BO1729" s="38"/>
      <c r="BP1729" s="38"/>
      <c r="BQ1729" s="38"/>
    </row>
    <row r="1730">
      <c r="A1730" s="58"/>
      <c r="B1730" s="341"/>
      <c r="C1730" s="60"/>
      <c r="D1730" s="60"/>
      <c r="E1730" s="58"/>
      <c r="F1730" s="58"/>
      <c r="G1730" s="58"/>
      <c r="H1730" s="33" t="str">
        <f t="shared" si="33"/>
        <v/>
      </c>
      <c r="I1730" s="58"/>
      <c r="J1730" s="58"/>
      <c r="K1730" s="58"/>
      <c r="L1730" s="58"/>
      <c r="M1730" s="80"/>
      <c r="N1730" s="77"/>
      <c r="O1730" s="58"/>
      <c r="P1730" s="58"/>
      <c r="Q1730" s="84"/>
      <c r="R1730" s="62"/>
      <c r="S1730" s="37" t="str">
        <f>IFERROR(__xludf.DUMMYFUNCTION("if(not(iserror(index(split(C1730, "" ""),2))), index(split(C1730, "" ""),1),"""")"),"")</f>
        <v/>
      </c>
      <c r="T1730" s="315" t="str">
        <f>IFERROR(__xludf.DUMMYFUNCTION("if(S1730="""",C1730,if(not(iserror(index(split(C1730, "" ""),3))), index(split(C1730, "" ""),3),index(split(C1730, "" ""),2)))"),"")</f>
        <v/>
      </c>
      <c r="U1730" s="38" t="b">
        <f t="shared" si="34"/>
        <v>0</v>
      </c>
      <c r="V1730" s="38"/>
      <c r="W1730" s="40"/>
      <c r="X1730" s="40"/>
      <c r="Y1730" s="38"/>
      <c r="Z1730" s="38"/>
      <c r="AA1730" s="38"/>
      <c r="AB1730" s="38"/>
      <c r="AC1730" s="38"/>
      <c r="AD1730" s="38"/>
      <c r="AE1730" s="38"/>
      <c r="AF1730" s="38"/>
      <c r="AG1730" s="38"/>
      <c r="AH1730" s="38"/>
      <c r="AI1730" s="38"/>
      <c r="AJ1730" s="38"/>
      <c r="AK1730" s="38"/>
      <c r="AL1730" s="38"/>
      <c r="AM1730" s="38"/>
      <c r="AN1730" s="38"/>
      <c r="AO1730" s="38"/>
      <c r="AP1730" s="38"/>
      <c r="AQ1730" s="38"/>
      <c r="AR1730" s="38"/>
      <c r="AS1730" s="38"/>
      <c r="AT1730" s="38"/>
      <c r="AU1730" s="38"/>
      <c r="AV1730" s="38"/>
      <c r="AW1730" s="38"/>
      <c r="AX1730" s="38"/>
      <c r="AY1730" s="38"/>
      <c r="AZ1730" s="38"/>
      <c r="BA1730" s="38"/>
      <c r="BB1730" s="38"/>
      <c r="BC1730" s="38"/>
      <c r="BD1730" s="38"/>
      <c r="BE1730" s="38"/>
      <c r="BF1730" s="38"/>
      <c r="BG1730" s="38"/>
      <c r="BH1730" s="38"/>
      <c r="BI1730" s="38"/>
      <c r="BJ1730" s="38"/>
      <c r="BK1730" s="38"/>
      <c r="BL1730" s="38"/>
      <c r="BM1730" s="38"/>
      <c r="BN1730" s="38"/>
      <c r="BO1730" s="38"/>
      <c r="BP1730" s="38"/>
      <c r="BQ1730" s="38"/>
    </row>
    <row r="1731">
      <c r="A1731" s="58"/>
      <c r="B1731" s="341"/>
      <c r="C1731" s="60"/>
      <c r="D1731" s="60"/>
      <c r="E1731" s="58"/>
      <c r="F1731" s="58"/>
      <c r="G1731" s="58"/>
      <c r="H1731" s="33" t="str">
        <f t="shared" si="33"/>
        <v/>
      </c>
      <c r="I1731" s="58"/>
      <c r="J1731" s="58"/>
      <c r="K1731" s="58"/>
      <c r="L1731" s="58"/>
      <c r="M1731" s="80"/>
      <c r="N1731" s="77"/>
      <c r="O1731" s="58"/>
      <c r="P1731" s="58"/>
      <c r="Q1731" s="84"/>
      <c r="R1731" s="62"/>
      <c r="S1731" s="37" t="str">
        <f>IFERROR(__xludf.DUMMYFUNCTION("if(not(iserror(index(split(C1731, "" ""),2))), index(split(C1731, "" ""),1),"""")"),"")</f>
        <v/>
      </c>
      <c r="T1731" s="315" t="str">
        <f>IFERROR(__xludf.DUMMYFUNCTION("if(S1731="""",C1731,if(not(iserror(index(split(C1731, "" ""),3))), index(split(C1731, "" ""),3),index(split(C1731, "" ""),2)))"),"")</f>
        <v/>
      </c>
      <c r="U1731" s="38" t="b">
        <f t="shared" si="34"/>
        <v>0</v>
      </c>
      <c r="V1731" s="38"/>
      <c r="W1731" s="40"/>
      <c r="X1731" s="40"/>
      <c r="Y1731" s="38"/>
      <c r="Z1731" s="38"/>
      <c r="AA1731" s="38"/>
      <c r="AB1731" s="38"/>
      <c r="AC1731" s="38"/>
      <c r="AD1731" s="38"/>
      <c r="AE1731" s="38"/>
      <c r="AF1731" s="38"/>
      <c r="AG1731" s="38"/>
      <c r="AH1731" s="38"/>
      <c r="AI1731" s="38"/>
      <c r="AJ1731" s="38"/>
      <c r="AK1731" s="38"/>
      <c r="AL1731" s="38"/>
      <c r="AM1731" s="38"/>
      <c r="AN1731" s="38"/>
      <c r="AO1731" s="38"/>
      <c r="AP1731" s="38"/>
      <c r="AQ1731" s="38"/>
      <c r="AR1731" s="38"/>
      <c r="AS1731" s="38"/>
      <c r="AT1731" s="38"/>
      <c r="AU1731" s="38"/>
      <c r="AV1731" s="38"/>
      <c r="AW1731" s="38"/>
      <c r="AX1731" s="38"/>
      <c r="AY1731" s="38"/>
      <c r="AZ1731" s="38"/>
      <c r="BA1731" s="38"/>
      <c r="BB1731" s="38"/>
      <c r="BC1731" s="38"/>
      <c r="BD1731" s="38"/>
      <c r="BE1731" s="38"/>
      <c r="BF1731" s="38"/>
      <c r="BG1731" s="38"/>
      <c r="BH1731" s="38"/>
      <c r="BI1731" s="38"/>
      <c r="BJ1731" s="38"/>
      <c r="BK1731" s="38"/>
      <c r="BL1731" s="38"/>
      <c r="BM1731" s="38"/>
      <c r="BN1731" s="38"/>
      <c r="BO1731" s="38"/>
      <c r="BP1731" s="38"/>
      <c r="BQ1731" s="38"/>
    </row>
    <row r="1732">
      <c r="A1732" s="395"/>
      <c r="B1732" s="341"/>
      <c r="C1732" s="60"/>
      <c r="D1732" s="60"/>
      <c r="E1732" s="58"/>
      <c r="F1732" s="58"/>
      <c r="G1732" s="58"/>
      <c r="H1732" s="33" t="str">
        <f t="shared" si="33"/>
        <v/>
      </c>
      <c r="I1732" s="58"/>
      <c r="J1732" s="58"/>
      <c r="K1732" s="58"/>
      <c r="L1732" s="58"/>
      <c r="M1732" s="80"/>
      <c r="N1732" s="80"/>
      <c r="O1732" s="58"/>
      <c r="P1732" s="58"/>
      <c r="Q1732" s="84"/>
      <c r="R1732" s="62"/>
      <c r="S1732" s="37" t="str">
        <f>IFERROR(__xludf.DUMMYFUNCTION("if(not(iserror(index(split(C1732, "" ""),2))), index(split(C1732, "" ""),1),"""")"),"")</f>
        <v/>
      </c>
      <c r="T1732" s="315" t="str">
        <f>IFERROR(__xludf.DUMMYFUNCTION("if(S1732="""",C1732,if(not(iserror(index(split(C1732, "" ""),3))), index(split(C1732, "" ""),3),index(split(C1732, "" ""),2)))"),"")</f>
        <v/>
      </c>
      <c r="U1732" s="38" t="b">
        <f t="shared" si="34"/>
        <v>0</v>
      </c>
      <c r="V1732" s="38"/>
      <c r="W1732" s="40"/>
      <c r="X1732" s="40"/>
      <c r="Y1732" s="38"/>
      <c r="Z1732" s="38"/>
      <c r="AA1732" s="38"/>
      <c r="AB1732" s="38"/>
      <c r="AC1732" s="38"/>
      <c r="AD1732" s="38"/>
      <c r="AE1732" s="38"/>
      <c r="AF1732" s="38"/>
      <c r="AG1732" s="38"/>
      <c r="AH1732" s="38"/>
      <c r="AI1732" s="38"/>
      <c r="AJ1732" s="38"/>
      <c r="AK1732" s="38"/>
      <c r="AL1732" s="38"/>
      <c r="AM1732" s="38"/>
      <c r="AN1732" s="38"/>
      <c r="AO1732" s="38"/>
      <c r="AP1732" s="38"/>
      <c r="AQ1732" s="38"/>
      <c r="AR1732" s="38"/>
      <c r="AS1732" s="38"/>
      <c r="AT1732" s="38"/>
      <c r="AU1732" s="38"/>
      <c r="AV1732" s="38"/>
      <c r="AW1732" s="38"/>
      <c r="AX1732" s="38"/>
      <c r="AY1732" s="38"/>
      <c r="AZ1732" s="38"/>
      <c r="BA1732" s="38"/>
      <c r="BB1732" s="38"/>
      <c r="BC1732" s="38"/>
      <c r="BD1732" s="38"/>
      <c r="BE1732" s="38"/>
      <c r="BF1732" s="38"/>
      <c r="BG1732" s="38"/>
      <c r="BH1732" s="38"/>
      <c r="BI1732" s="38"/>
      <c r="BJ1732" s="38"/>
      <c r="BK1732" s="38"/>
      <c r="BL1732" s="38"/>
      <c r="BM1732" s="38"/>
      <c r="BN1732" s="38"/>
      <c r="BO1732" s="38"/>
      <c r="BP1732" s="38"/>
      <c r="BQ1732" s="38"/>
    </row>
    <row r="1733">
      <c r="A1733" s="58"/>
      <c r="B1733" s="341"/>
      <c r="C1733" s="60"/>
      <c r="D1733" s="60"/>
      <c r="E1733" s="58"/>
      <c r="F1733" s="58"/>
      <c r="G1733" s="58"/>
      <c r="H1733" s="33" t="str">
        <f t="shared" si="33"/>
        <v/>
      </c>
      <c r="I1733" s="58"/>
      <c r="J1733" s="58"/>
      <c r="K1733" s="58"/>
      <c r="L1733" s="58"/>
      <c r="M1733" s="80"/>
      <c r="N1733" s="80"/>
      <c r="O1733" s="58"/>
      <c r="P1733" s="58"/>
      <c r="Q1733" s="58"/>
      <c r="R1733" s="62"/>
      <c r="S1733" s="37" t="str">
        <f>IFERROR(__xludf.DUMMYFUNCTION("if(not(iserror(index(split(C1733, "" ""),2))), index(split(C1733, "" ""),1),"""")"),"")</f>
        <v/>
      </c>
      <c r="T1733" s="315" t="str">
        <f>IFERROR(__xludf.DUMMYFUNCTION("if(S1733="""",C1733,if(not(iserror(index(split(C1733, "" ""),3))), index(split(C1733, "" ""),3),index(split(C1733, "" ""),2)))"),"")</f>
        <v/>
      </c>
      <c r="U1733" s="38" t="b">
        <f t="shared" si="34"/>
        <v>0</v>
      </c>
      <c r="V1733" s="38"/>
      <c r="W1733" s="40"/>
      <c r="X1733" s="40"/>
      <c r="Y1733" s="38"/>
      <c r="Z1733" s="38"/>
      <c r="AA1733" s="38"/>
      <c r="AB1733" s="38"/>
      <c r="AC1733" s="38"/>
      <c r="AD1733" s="38"/>
      <c r="AE1733" s="38"/>
      <c r="AF1733" s="38"/>
      <c r="AG1733" s="38"/>
      <c r="AH1733" s="38"/>
      <c r="AI1733" s="38"/>
      <c r="AJ1733" s="38"/>
      <c r="AK1733" s="38"/>
      <c r="AL1733" s="38"/>
      <c r="AM1733" s="38"/>
      <c r="AN1733" s="38"/>
      <c r="AO1733" s="38"/>
      <c r="AP1733" s="38"/>
      <c r="AQ1733" s="38"/>
      <c r="AR1733" s="38"/>
      <c r="AS1733" s="38"/>
      <c r="AT1733" s="38"/>
      <c r="AU1733" s="38"/>
      <c r="AV1733" s="38"/>
      <c r="AW1733" s="38"/>
      <c r="AX1733" s="38"/>
      <c r="AY1733" s="38"/>
      <c r="AZ1733" s="38"/>
      <c r="BA1733" s="38"/>
      <c r="BB1733" s="38"/>
      <c r="BC1733" s="38"/>
      <c r="BD1733" s="38"/>
      <c r="BE1733" s="38"/>
      <c r="BF1733" s="38"/>
      <c r="BG1733" s="38"/>
      <c r="BH1733" s="38"/>
      <c r="BI1733" s="38"/>
      <c r="BJ1733" s="38"/>
      <c r="BK1733" s="38"/>
      <c r="BL1733" s="38"/>
      <c r="BM1733" s="38"/>
      <c r="BN1733" s="38"/>
      <c r="BO1733" s="38"/>
      <c r="BP1733" s="38"/>
      <c r="BQ1733" s="38"/>
    </row>
    <row r="1734">
      <c r="A1734" s="58"/>
      <c r="B1734" s="341"/>
      <c r="C1734" s="60"/>
      <c r="D1734" s="60"/>
      <c r="E1734" s="58"/>
      <c r="F1734" s="58"/>
      <c r="G1734" s="58"/>
      <c r="H1734" s="33" t="str">
        <f t="shared" si="33"/>
        <v/>
      </c>
      <c r="I1734" s="58"/>
      <c r="J1734" s="58"/>
      <c r="K1734" s="58"/>
      <c r="L1734" s="58"/>
      <c r="M1734" s="80"/>
      <c r="N1734" s="80"/>
      <c r="O1734" s="62"/>
      <c r="P1734" s="62"/>
      <c r="Q1734" s="62"/>
      <c r="R1734" s="62"/>
      <c r="S1734" s="37" t="str">
        <f>IFERROR(__xludf.DUMMYFUNCTION("if(not(iserror(index(split(C1734, "" ""),2))), index(split(C1734, "" ""),1),"""")"),"")</f>
        <v/>
      </c>
      <c r="T1734" s="315" t="str">
        <f>IFERROR(__xludf.DUMMYFUNCTION("if(S1734="""",C1734,if(not(iserror(index(split(C1734, "" ""),3))), index(split(C1734, "" ""),3),index(split(C1734, "" ""),2)))"),"")</f>
        <v/>
      </c>
      <c r="U1734" s="38" t="b">
        <f t="shared" si="34"/>
        <v>0</v>
      </c>
      <c r="V1734" s="38"/>
      <c r="W1734" s="40"/>
      <c r="X1734" s="40"/>
      <c r="Y1734" s="38"/>
      <c r="Z1734" s="38"/>
      <c r="AA1734" s="38"/>
      <c r="AB1734" s="38"/>
      <c r="AC1734" s="38"/>
      <c r="AD1734" s="38"/>
      <c r="AE1734" s="38"/>
      <c r="AF1734" s="38"/>
      <c r="AG1734" s="38"/>
      <c r="AH1734" s="38"/>
      <c r="AI1734" s="38"/>
      <c r="AJ1734" s="38"/>
      <c r="AK1734" s="38"/>
      <c r="AL1734" s="38"/>
      <c r="AM1734" s="38"/>
      <c r="AN1734" s="38"/>
      <c r="AO1734" s="38"/>
      <c r="AP1734" s="38"/>
      <c r="AQ1734" s="38"/>
      <c r="AR1734" s="38"/>
      <c r="AS1734" s="38"/>
      <c r="AT1734" s="38"/>
      <c r="AU1734" s="38"/>
      <c r="AV1734" s="38"/>
      <c r="AW1734" s="38"/>
      <c r="AX1734" s="38"/>
      <c r="AY1734" s="38"/>
      <c r="AZ1734" s="38"/>
      <c r="BA1734" s="38"/>
      <c r="BB1734" s="38"/>
      <c r="BC1734" s="38"/>
      <c r="BD1734" s="38"/>
      <c r="BE1734" s="38"/>
      <c r="BF1734" s="38"/>
      <c r="BG1734" s="38"/>
      <c r="BH1734" s="38"/>
      <c r="BI1734" s="38"/>
      <c r="BJ1734" s="38"/>
      <c r="BK1734" s="38"/>
      <c r="BL1734" s="38"/>
      <c r="BM1734" s="38"/>
      <c r="BN1734" s="38"/>
      <c r="BO1734" s="38"/>
      <c r="BP1734" s="38"/>
      <c r="BQ1734" s="38"/>
    </row>
    <row r="1735">
      <c r="A1735" s="58"/>
      <c r="B1735" s="341"/>
      <c r="C1735" s="60"/>
      <c r="D1735" s="60"/>
      <c r="E1735" s="58"/>
      <c r="F1735" s="58"/>
      <c r="G1735" s="58"/>
      <c r="H1735" s="33" t="str">
        <f t="shared" si="33"/>
        <v/>
      </c>
      <c r="I1735" s="58"/>
      <c r="J1735" s="58"/>
      <c r="K1735" s="58"/>
      <c r="L1735" s="58"/>
      <c r="M1735" s="80"/>
      <c r="N1735" s="80"/>
      <c r="O1735" s="62"/>
      <c r="P1735" s="62"/>
      <c r="Q1735" s="62"/>
      <c r="R1735" s="62"/>
      <c r="S1735" s="37" t="str">
        <f>IFERROR(__xludf.DUMMYFUNCTION("if(not(iserror(index(split(C1735, "" ""),2))), index(split(C1735, "" ""),1),"""")"),"")</f>
        <v/>
      </c>
      <c r="T1735" s="315" t="str">
        <f>IFERROR(__xludf.DUMMYFUNCTION("if(S1735="""",C1735,if(not(iserror(index(split(C1735, "" ""),3))), index(split(C1735, "" ""),3),index(split(C1735, "" ""),2)))"),"")</f>
        <v/>
      </c>
      <c r="U1735" s="38" t="b">
        <f t="shared" si="34"/>
        <v>0</v>
      </c>
      <c r="V1735" s="38"/>
      <c r="W1735" s="40"/>
      <c r="X1735" s="40"/>
      <c r="Y1735" s="38"/>
      <c r="Z1735" s="38"/>
      <c r="AA1735" s="38"/>
      <c r="AB1735" s="38"/>
      <c r="AC1735" s="38"/>
      <c r="AD1735" s="38"/>
      <c r="AE1735" s="38"/>
      <c r="AF1735" s="38"/>
      <c r="AG1735" s="38"/>
      <c r="AH1735" s="38"/>
      <c r="AI1735" s="38"/>
      <c r="AJ1735" s="38"/>
      <c r="AK1735" s="38"/>
      <c r="AL1735" s="38"/>
      <c r="AM1735" s="38"/>
      <c r="AN1735" s="38"/>
      <c r="AO1735" s="38"/>
      <c r="AP1735" s="38"/>
      <c r="AQ1735" s="38"/>
      <c r="AR1735" s="38"/>
      <c r="AS1735" s="38"/>
      <c r="AT1735" s="38"/>
      <c r="AU1735" s="38"/>
      <c r="AV1735" s="38"/>
      <c r="AW1735" s="38"/>
      <c r="AX1735" s="38"/>
      <c r="AY1735" s="38"/>
      <c r="AZ1735" s="38"/>
      <c r="BA1735" s="38"/>
      <c r="BB1735" s="38"/>
      <c r="BC1735" s="38"/>
      <c r="BD1735" s="38"/>
      <c r="BE1735" s="38"/>
      <c r="BF1735" s="38"/>
      <c r="BG1735" s="38"/>
      <c r="BH1735" s="38"/>
      <c r="BI1735" s="38"/>
      <c r="BJ1735" s="38"/>
      <c r="BK1735" s="38"/>
      <c r="BL1735" s="38"/>
      <c r="BM1735" s="38"/>
      <c r="BN1735" s="38"/>
      <c r="BO1735" s="38"/>
      <c r="BP1735" s="38"/>
      <c r="BQ1735" s="38"/>
    </row>
    <row r="1736">
      <c r="A1736" s="58"/>
      <c r="B1736" s="341"/>
      <c r="C1736" s="60"/>
      <c r="D1736" s="60"/>
      <c r="E1736" s="58"/>
      <c r="F1736" s="58"/>
      <c r="G1736" s="58"/>
      <c r="H1736" s="33" t="str">
        <f t="shared" si="33"/>
        <v/>
      </c>
      <c r="I1736" s="58"/>
      <c r="J1736" s="58"/>
      <c r="K1736" s="58"/>
      <c r="L1736" s="58"/>
      <c r="M1736" s="80"/>
      <c r="N1736" s="80"/>
      <c r="O1736" s="58"/>
      <c r="P1736" s="58"/>
      <c r="Q1736" s="84"/>
      <c r="R1736" s="62"/>
      <c r="S1736" s="37" t="str">
        <f>IFERROR(__xludf.DUMMYFUNCTION("if(not(iserror(index(split(C1736, "" ""),2))), index(split(C1736, "" ""),1),"""")"),"")</f>
        <v/>
      </c>
      <c r="T1736" s="315" t="str">
        <f>IFERROR(__xludf.DUMMYFUNCTION("if(S1736="""",C1736,if(not(iserror(index(split(C1736, "" ""),3))), index(split(C1736, "" ""),3),index(split(C1736, "" ""),2)))"),"")</f>
        <v/>
      </c>
      <c r="U1736" s="38" t="b">
        <f t="shared" si="34"/>
        <v>0</v>
      </c>
      <c r="V1736" s="38"/>
      <c r="W1736" s="40"/>
      <c r="X1736" s="40"/>
      <c r="Y1736" s="38"/>
      <c r="Z1736" s="38"/>
      <c r="AA1736" s="38"/>
      <c r="AB1736" s="38"/>
      <c r="AC1736" s="38"/>
      <c r="AD1736" s="38"/>
      <c r="AE1736" s="38"/>
      <c r="AF1736" s="38"/>
      <c r="AG1736" s="38"/>
      <c r="AH1736" s="38"/>
      <c r="AI1736" s="38"/>
      <c r="AJ1736" s="38"/>
      <c r="AK1736" s="38"/>
      <c r="AL1736" s="38"/>
      <c r="AM1736" s="38"/>
      <c r="AN1736" s="38"/>
      <c r="AO1736" s="38"/>
      <c r="AP1736" s="38"/>
      <c r="AQ1736" s="38"/>
      <c r="AR1736" s="38"/>
      <c r="AS1736" s="38"/>
      <c r="AT1736" s="38"/>
      <c r="AU1736" s="38"/>
      <c r="AV1736" s="38"/>
      <c r="AW1736" s="38"/>
      <c r="AX1736" s="38"/>
      <c r="AY1736" s="38"/>
      <c r="AZ1736" s="38"/>
      <c r="BA1736" s="38"/>
      <c r="BB1736" s="38"/>
      <c r="BC1736" s="38"/>
      <c r="BD1736" s="38"/>
      <c r="BE1736" s="38"/>
      <c r="BF1736" s="38"/>
      <c r="BG1736" s="38"/>
      <c r="BH1736" s="38"/>
      <c r="BI1736" s="38"/>
      <c r="BJ1736" s="38"/>
      <c r="BK1736" s="38"/>
      <c r="BL1736" s="38"/>
      <c r="BM1736" s="38"/>
      <c r="BN1736" s="38"/>
      <c r="BO1736" s="38"/>
      <c r="BP1736" s="38"/>
      <c r="BQ1736" s="38"/>
    </row>
    <row r="1737">
      <c r="A1737" s="91"/>
      <c r="B1737" s="383"/>
      <c r="C1737" s="146"/>
      <c r="D1737" s="146"/>
      <c r="E1737" s="91"/>
      <c r="F1737" s="91"/>
      <c r="G1737" s="91"/>
      <c r="H1737" s="33" t="str">
        <f t="shared" si="33"/>
        <v/>
      </c>
      <c r="I1737" s="91"/>
      <c r="J1737" s="91"/>
      <c r="K1737" s="91"/>
      <c r="L1737" s="91"/>
      <c r="M1737" s="95"/>
      <c r="N1737" s="95"/>
      <c r="O1737" s="58"/>
      <c r="P1737" s="58"/>
      <c r="Q1737" s="84"/>
      <c r="R1737" s="62"/>
      <c r="S1737" s="37" t="str">
        <f>IFERROR(__xludf.DUMMYFUNCTION("if(not(iserror(index(split(C1737, "" ""),2))), index(split(C1737, "" ""),1),"""")"),"")</f>
        <v/>
      </c>
      <c r="T1737" s="315" t="str">
        <f>IFERROR(__xludf.DUMMYFUNCTION("if(S1737="""",C1737,if(not(iserror(index(split(C1737, "" ""),3))), index(split(C1737, "" ""),3),index(split(C1737, "" ""),2)))"),"")</f>
        <v/>
      </c>
      <c r="U1737" s="38" t="b">
        <f t="shared" si="34"/>
        <v>0</v>
      </c>
      <c r="V1737" s="38"/>
      <c r="W1737" s="40"/>
      <c r="X1737" s="40"/>
      <c r="Y1737" s="38"/>
      <c r="Z1737" s="38"/>
      <c r="AA1737" s="38"/>
      <c r="AB1737" s="38"/>
      <c r="AC1737" s="38"/>
      <c r="AD1737" s="38"/>
      <c r="AE1737" s="38"/>
      <c r="AF1737" s="38"/>
      <c r="AG1737" s="38"/>
      <c r="AH1737" s="38"/>
      <c r="AI1737" s="38"/>
      <c r="AJ1737" s="38"/>
      <c r="AK1737" s="38"/>
      <c r="AL1737" s="38"/>
      <c r="AM1737" s="38"/>
      <c r="AN1737" s="38"/>
      <c r="AO1737" s="38"/>
      <c r="AP1737" s="38"/>
      <c r="AQ1737" s="38"/>
      <c r="AR1737" s="38"/>
      <c r="AS1737" s="38"/>
      <c r="AT1737" s="38"/>
      <c r="AU1737" s="38"/>
      <c r="AV1737" s="38"/>
      <c r="AW1737" s="38"/>
      <c r="AX1737" s="38"/>
      <c r="AY1737" s="38"/>
      <c r="AZ1737" s="38"/>
      <c r="BA1737" s="38"/>
      <c r="BB1737" s="38"/>
      <c r="BC1737" s="38"/>
      <c r="BD1737" s="38"/>
      <c r="BE1737" s="38"/>
      <c r="BF1737" s="38"/>
      <c r="BG1737" s="38"/>
      <c r="BH1737" s="38"/>
      <c r="BI1737" s="38"/>
      <c r="BJ1737" s="38"/>
      <c r="BK1737" s="38"/>
      <c r="BL1737" s="38"/>
      <c r="BM1737" s="38"/>
      <c r="BN1737" s="38"/>
      <c r="BO1737" s="38"/>
      <c r="BP1737" s="38"/>
      <c r="BQ1737" s="38"/>
    </row>
    <row r="1738">
      <c r="A1738" s="58"/>
      <c r="B1738" s="341"/>
      <c r="C1738" s="60"/>
      <c r="D1738" s="60"/>
      <c r="E1738" s="58"/>
      <c r="F1738" s="58"/>
      <c r="G1738" s="58"/>
      <c r="H1738" s="33" t="str">
        <f t="shared" si="33"/>
        <v/>
      </c>
      <c r="I1738" s="58"/>
      <c r="J1738" s="58"/>
      <c r="K1738" s="58"/>
      <c r="L1738" s="58"/>
      <c r="M1738" s="80"/>
      <c r="N1738" s="77"/>
      <c r="O1738" s="62"/>
      <c r="P1738" s="62"/>
      <c r="Q1738" s="62"/>
      <c r="R1738" s="62"/>
      <c r="S1738" s="37" t="str">
        <f>IFERROR(__xludf.DUMMYFUNCTION("if(not(iserror(index(split(C1738, "" ""),2))), index(split(C1738, "" ""),1),"""")"),"")</f>
        <v/>
      </c>
      <c r="T1738" s="315" t="str">
        <f>IFERROR(__xludf.DUMMYFUNCTION("if(S1738="""",C1738,if(not(iserror(index(split(C1738, "" ""),3))), index(split(C1738, "" ""),3),index(split(C1738, "" ""),2)))"),"")</f>
        <v/>
      </c>
      <c r="U1738" s="38" t="b">
        <f t="shared" si="34"/>
        <v>0</v>
      </c>
      <c r="V1738" s="38"/>
      <c r="W1738" s="40"/>
      <c r="X1738" s="40"/>
      <c r="Y1738" s="38"/>
      <c r="Z1738" s="38"/>
      <c r="AA1738" s="38"/>
      <c r="AB1738" s="38"/>
      <c r="AC1738" s="38"/>
      <c r="AD1738" s="38"/>
      <c r="AE1738" s="38"/>
      <c r="AF1738" s="38"/>
      <c r="AG1738" s="38"/>
      <c r="AH1738" s="38"/>
      <c r="AI1738" s="38"/>
      <c r="AJ1738" s="38"/>
      <c r="AK1738" s="38"/>
      <c r="AL1738" s="38"/>
      <c r="AM1738" s="38"/>
      <c r="AN1738" s="38"/>
      <c r="AO1738" s="38"/>
      <c r="AP1738" s="38"/>
      <c r="AQ1738" s="38"/>
      <c r="AR1738" s="38"/>
      <c r="AS1738" s="38"/>
      <c r="AT1738" s="38"/>
      <c r="AU1738" s="38"/>
      <c r="AV1738" s="38"/>
      <c r="AW1738" s="38"/>
      <c r="AX1738" s="38"/>
      <c r="AY1738" s="38"/>
      <c r="AZ1738" s="38"/>
      <c r="BA1738" s="38"/>
      <c r="BB1738" s="38"/>
      <c r="BC1738" s="38"/>
      <c r="BD1738" s="38"/>
      <c r="BE1738" s="38"/>
      <c r="BF1738" s="38"/>
      <c r="BG1738" s="38"/>
      <c r="BH1738" s="38"/>
      <c r="BI1738" s="38"/>
      <c r="BJ1738" s="38"/>
      <c r="BK1738" s="38"/>
      <c r="BL1738" s="38"/>
      <c r="BM1738" s="38"/>
      <c r="BN1738" s="38"/>
      <c r="BO1738" s="38"/>
      <c r="BP1738" s="38"/>
      <c r="BQ1738" s="38"/>
    </row>
    <row r="1739">
      <c r="A1739" s="58"/>
      <c r="B1739" s="341"/>
      <c r="C1739" s="60"/>
      <c r="D1739" s="60"/>
      <c r="E1739" s="58"/>
      <c r="F1739" s="58"/>
      <c r="G1739" s="58"/>
      <c r="H1739" s="33" t="str">
        <f t="shared" si="33"/>
        <v/>
      </c>
      <c r="I1739" s="58"/>
      <c r="J1739" s="58"/>
      <c r="K1739" s="58"/>
      <c r="L1739" s="58"/>
      <c r="M1739" s="80"/>
      <c r="N1739" s="77"/>
      <c r="O1739" s="58"/>
      <c r="P1739" s="62"/>
      <c r="Q1739" s="84"/>
      <c r="R1739" s="62"/>
      <c r="S1739" s="37" t="str">
        <f>IFERROR(__xludf.DUMMYFUNCTION("if(not(iserror(index(split(C1739, "" ""),2))), index(split(C1739, "" ""),1),"""")"),"")</f>
        <v/>
      </c>
      <c r="T1739" s="315" t="str">
        <f>IFERROR(__xludf.DUMMYFUNCTION("if(S1739="""",C1739,if(not(iserror(index(split(C1739, "" ""),3))), index(split(C1739, "" ""),3),index(split(C1739, "" ""),2)))"),"")</f>
        <v/>
      </c>
      <c r="U1739" s="38" t="b">
        <f t="shared" si="34"/>
        <v>0</v>
      </c>
      <c r="V1739" s="38"/>
      <c r="W1739" s="40"/>
      <c r="X1739" s="40"/>
      <c r="Y1739" s="38"/>
      <c r="Z1739" s="38"/>
      <c r="AA1739" s="38"/>
      <c r="AB1739" s="38"/>
      <c r="AC1739" s="38"/>
      <c r="AD1739" s="38"/>
      <c r="AE1739" s="38"/>
      <c r="AF1739" s="38"/>
      <c r="AG1739" s="38"/>
      <c r="AH1739" s="38"/>
      <c r="AI1739" s="38"/>
      <c r="AJ1739" s="38"/>
      <c r="AK1739" s="38"/>
      <c r="AL1739" s="38"/>
      <c r="AM1739" s="38"/>
      <c r="AN1739" s="38"/>
      <c r="AO1739" s="38"/>
      <c r="AP1739" s="38"/>
      <c r="AQ1739" s="38"/>
      <c r="AR1739" s="38"/>
      <c r="AS1739" s="38"/>
      <c r="AT1739" s="38"/>
      <c r="AU1739" s="38"/>
      <c r="AV1739" s="38"/>
      <c r="AW1739" s="38"/>
      <c r="AX1739" s="38"/>
      <c r="AY1739" s="38"/>
      <c r="AZ1739" s="38"/>
      <c r="BA1739" s="38"/>
      <c r="BB1739" s="38"/>
      <c r="BC1739" s="38"/>
      <c r="BD1739" s="38"/>
      <c r="BE1739" s="38"/>
      <c r="BF1739" s="38"/>
      <c r="BG1739" s="38"/>
      <c r="BH1739" s="38"/>
      <c r="BI1739" s="38"/>
      <c r="BJ1739" s="38"/>
      <c r="BK1739" s="38"/>
      <c r="BL1739" s="38"/>
      <c r="BM1739" s="38"/>
      <c r="BN1739" s="38"/>
      <c r="BO1739" s="38"/>
      <c r="BP1739" s="38"/>
      <c r="BQ1739" s="38"/>
    </row>
    <row r="1740">
      <c r="A1740" s="58"/>
      <c r="B1740" s="341"/>
      <c r="C1740" s="60"/>
      <c r="D1740" s="60"/>
      <c r="E1740" s="58"/>
      <c r="F1740" s="58"/>
      <c r="G1740" s="58"/>
      <c r="H1740" s="33" t="str">
        <f t="shared" si="33"/>
        <v/>
      </c>
      <c r="I1740" s="58"/>
      <c r="J1740" s="58"/>
      <c r="K1740" s="58"/>
      <c r="L1740" s="58"/>
      <c r="M1740" s="80"/>
      <c r="N1740" s="77"/>
      <c r="O1740" s="58"/>
      <c r="P1740" s="62"/>
      <c r="Q1740" s="84"/>
      <c r="R1740" s="62"/>
      <c r="S1740" s="37" t="str">
        <f>IFERROR(__xludf.DUMMYFUNCTION("if(not(iserror(index(split(C1740, "" ""),2))), index(split(C1740, "" ""),1),"""")"),"")</f>
        <v/>
      </c>
      <c r="T1740" s="315" t="str">
        <f>IFERROR(__xludf.DUMMYFUNCTION("if(S1740="""",C1740,if(not(iserror(index(split(C1740, "" ""),3))), index(split(C1740, "" ""),3),index(split(C1740, "" ""),2)))"),"")</f>
        <v/>
      </c>
      <c r="U1740" s="38" t="b">
        <f t="shared" si="34"/>
        <v>0</v>
      </c>
      <c r="V1740" s="38"/>
      <c r="W1740" s="40"/>
      <c r="X1740" s="40"/>
      <c r="Y1740" s="38"/>
      <c r="Z1740" s="38"/>
      <c r="AA1740" s="38"/>
      <c r="AB1740" s="38"/>
      <c r="AC1740" s="38"/>
      <c r="AD1740" s="38"/>
      <c r="AE1740" s="38"/>
      <c r="AF1740" s="38"/>
      <c r="AG1740" s="38"/>
      <c r="AH1740" s="38"/>
      <c r="AI1740" s="38"/>
      <c r="AJ1740" s="38"/>
      <c r="AK1740" s="38"/>
      <c r="AL1740" s="38"/>
      <c r="AM1740" s="38"/>
      <c r="AN1740" s="38"/>
      <c r="AO1740" s="38"/>
      <c r="AP1740" s="38"/>
      <c r="AQ1740" s="38"/>
      <c r="AR1740" s="38"/>
      <c r="AS1740" s="38"/>
      <c r="AT1740" s="38"/>
      <c r="AU1740" s="38"/>
      <c r="AV1740" s="38"/>
      <c r="AW1740" s="38"/>
      <c r="AX1740" s="38"/>
      <c r="AY1740" s="38"/>
      <c r="AZ1740" s="38"/>
      <c r="BA1740" s="38"/>
      <c r="BB1740" s="38"/>
      <c r="BC1740" s="38"/>
      <c r="BD1740" s="38"/>
      <c r="BE1740" s="38"/>
      <c r="BF1740" s="38"/>
      <c r="BG1740" s="38"/>
      <c r="BH1740" s="38"/>
      <c r="BI1740" s="38"/>
      <c r="BJ1740" s="38"/>
      <c r="BK1740" s="38"/>
      <c r="BL1740" s="38"/>
      <c r="BM1740" s="38"/>
      <c r="BN1740" s="38"/>
      <c r="BO1740" s="38"/>
      <c r="BP1740" s="38"/>
      <c r="BQ1740" s="38"/>
    </row>
    <row r="1741">
      <c r="A1741" s="58"/>
      <c r="B1741" s="341"/>
      <c r="C1741" s="60"/>
      <c r="D1741" s="60"/>
      <c r="E1741" s="58"/>
      <c r="F1741" s="58"/>
      <c r="G1741" s="58"/>
      <c r="H1741" s="33" t="str">
        <f t="shared" si="33"/>
        <v/>
      </c>
      <c r="I1741" s="58"/>
      <c r="J1741" s="58"/>
      <c r="K1741" s="58"/>
      <c r="L1741" s="58"/>
      <c r="M1741" s="80"/>
      <c r="N1741" s="77"/>
      <c r="O1741" s="58"/>
      <c r="P1741" s="62"/>
      <c r="Q1741" s="84"/>
      <c r="R1741" s="62"/>
      <c r="S1741" s="37" t="str">
        <f>IFERROR(__xludf.DUMMYFUNCTION("if(not(iserror(index(split(C1741, "" ""),2))), index(split(C1741, "" ""),1),"""")"),"")</f>
        <v/>
      </c>
      <c r="T1741" s="315" t="str">
        <f>IFERROR(__xludf.DUMMYFUNCTION("if(S1741="""",C1741,if(not(iserror(index(split(C1741, "" ""),3))), index(split(C1741, "" ""),3),index(split(C1741, "" ""),2)))"),"")</f>
        <v/>
      </c>
      <c r="U1741" s="38" t="b">
        <f t="shared" si="34"/>
        <v>0</v>
      </c>
      <c r="V1741" s="38"/>
      <c r="W1741" s="40"/>
      <c r="X1741" s="40"/>
      <c r="Y1741" s="38"/>
      <c r="Z1741" s="38"/>
      <c r="AA1741" s="38"/>
      <c r="AB1741" s="38"/>
      <c r="AC1741" s="38"/>
      <c r="AD1741" s="38"/>
      <c r="AE1741" s="38"/>
      <c r="AF1741" s="38"/>
      <c r="AG1741" s="38"/>
      <c r="AH1741" s="38"/>
      <c r="AI1741" s="38"/>
      <c r="AJ1741" s="38"/>
      <c r="AK1741" s="38"/>
      <c r="AL1741" s="38"/>
      <c r="AM1741" s="38"/>
      <c r="AN1741" s="38"/>
      <c r="AO1741" s="38"/>
      <c r="AP1741" s="38"/>
      <c r="AQ1741" s="38"/>
      <c r="AR1741" s="38"/>
      <c r="AS1741" s="38"/>
      <c r="AT1741" s="38"/>
      <c r="AU1741" s="38"/>
      <c r="AV1741" s="38"/>
      <c r="AW1741" s="38"/>
      <c r="AX1741" s="38"/>
      <c r="AY1741" s="38"/>
      <c r="AZ1741" s="38"/>
      <c r="BA1741" s="38"/>
      <c r="BB1741" s="38"/>
      <c r="BC1741" s="38"/>
      <c r="BD1741" s="38"/>
      <c r="BE1741" s="38"/>
      <c r="BF1741" s="38"/>
      <c r="BG1741" s="38"/>
      <c r="BH1741" s="38"/>
      <c r="BI1741" s="38"/>
      <c r="BJ1741" s="38"/>
      <c r="BK1741" s="38"/>
      <c r="BL1741" s="38"/>
      <c r="BM1741" s="38"/>
      <c r="BN1741" s="38"/>
      <c r="BO1741" s="38"/>
      <c r="BP1741" s="38"/>
      <c r="BQ1741" s="38"/>
    </row>
    <row r="1742">
      <c r="A1742" s="58"/>
      <c r="B1742" s="341"/>
      <c r="C1742" s="60"/>
      <c r="D1742" s="60"/>
      <c r="E1742" s="58"/>
      <c r="F1742" s="58"/>
      <c r="G1742" s="58"/>
      <c r="H1742" s="33" t="str">
        <f t="shared" si="33"/>
        <v/>
      </c>
      <c r="I1742" s="58"/>
      <c r="J1742" s="58"/>
      <c r="K1742" s="58"/>
      <c r="L1742" s="58"/>
      <c r="M1742" s="80"/>
      <c r="N1742" s="80"/>
      <c r="O1742" s="62"/>
      <c r="P1742" s="62"/>
      <c r="Q1742" s="62"/>
      <c r="R1742" s="62"/>
      <c r="S1742" s="37" t="str">
        <f>IFERROR(__xludf.DUMMYFUNCTION("if(not(iserror(index(split(C1742, "" ""),2))), index(split(C1742, "" ""),1),"""")"),"")</f>
        <v/>
      </c>
      <c r="T1742" s="315" t="str">
        <f>IFERROR(__xludf.DUMMYFUNCTION("if(S1742="""",C1742,if(not(iserror(index(split(C1742, "" ""),3))), index(split(C1742, "" ""),3),index(split(C1742, "" ""),2)))"),"")</f>
        <v/>
      </c>
      <c r="U1742" s="38" t="b">
        <f t="shared" si="34"/>
        <v>0</v>
      </c>
      <c r="V1742" s="38"/>
      <c r="W1742" s="40"/>
      <c r="X1742" s="40"/>
      <c r="Y1742" s="38"/>
      <c r="Z1742" s="38"/>
      <c r="AA1742" s="38"/>
      <c r="AB1742" s="38"/>
      <c r="AC1742" s="38"/>
      <c r="AD1742" s="38"/>
      <c r="AE1742" s="38"/>
      <c r="AF1742" s="38"/>
      <c r="AG1742" s="38"/>
      <c r="AH1742" s="38"/>
      <c r="AI1742" s="38"/>
      <c r="AJ1742" s="38"/>
      <c r="AK1742" s="38"/>
      <c r="AL1742" s="38"/>
      <c r="AM1742" s="38"/>
      <c r="AN1742" s="38"/>
      <c r="AO1742" s="38"/>
      <c r="AP1742" s="38"/>
      <c r="AQ1742" s="38"/>
      <c r="AR1742" s="38"/>
      <c r="AS1742" s="38"/>
      <c r="AT1742" s="38"/>
      <c r="AU1742" s="38"/>
      <c r="AV1742" s="38"/>
      <c r="AW1742" s="38"/>
      <c r="AX1742" s="38"/>
      <c r="AY1742" s="38"/>
      <c r="AZ1742" s="38"/>
      <c r="BA1742" s="38"/>
      <c r="BB1742" s="38"/>
      <c r="BC1742" s="38"/>
      <c r="BD1742" s="38"/>
      <c r="BE1742" s="38"/>
      <c r="BF1742" s="38"/>
      <c r="BG1742" s="38"/>
      <c r="BH1742" s="38"/>
      <c r="BI1742" s="38"/>
      <c r="BJ1742" s="38"/>
      <c r="BK1742" s="38"/>
      <c r="BL1742" s="38"/>
      <c r="BM1742" s="38"/>
      <c r="BN1742" s="38"/>
      <c r="BO1742" s="38"/>
      <c r="BP1742" s="38"/>
      <c r="BQ1742" s="38"/>
    </row>
    <row r="1743">
      <c r="A1743" s="58"/>
      <c r="B1743" s="341"/>
      <c r="C1743" s="60"/>
      <c r="D1743" s="60"/>
      <c r="E1743" s="58"/>
      <c r="F1743" s="58"/>
      <c r="G1743" s="58"/>
      <c r="H1743" s="33" t="str">
        <f t="shared" si="33"/>
        <v/>
      </c>
      <c r="I1743" s="58"/>
      <c r="J1743" s="58"/>
      <c r="K1743" s="58"/>
      <c r="L1743" s="58"/>
      <c r="M1743" s="80"/>
      <c r="N1743" s="80"/>
      <c r="O1743" s="62"/>
      <c r="P1743" s="62"/>
      <c r="Q1743" s="62"/>
      <c r="R1743" s="62"/>
      <c r="S1743" s="37" t="str">
        <f>IFERROR(__xludf.DUMMYFUNCTION("if(not(iserror(index(split(C1743, "" ""),2))), index(split(C1743, "" ""),1),"""")"),"")</f>
        <v/>
      </c>
      <c r="T1743" s="315" t="str">
        <f>IFERROR(__xludf.DUMMYFUNCTION("if(S1743="""",C1743,if(not(iserror(index(split(C1743, "" ""),3))), index(split(C1743, "" ""),3),index(split(C1743, "" ""),2)))"),"")</f>
        <v/>
      </c>
      <c r="U1743" s="38" t="b">
        <f t="shared" si="34"/>
        <v>0</v>
      </c>
      <c r="V1743" s="38"/>
      <c r="W1743" s="40"/>
      <c r="X1743" s="40"/>
      <c r="Y1743" s="38"/>
      <c r="Z1743" s="38"/>
      <c r="AA1743" s="38"/>
      <c r="AB1743" s="38"/>
      <c r="AC1743" s="38"/>
      <c r="AD1743" s="38"/>
      <c r="AE1743" s="38"/>
      <c r="AF1743" s="38"/>
      <c r="AG1743" s="38"/>
      <c r="AH1743" s="38"/>
      <c r="AI1743" s="38"/>
      <c r="AJ1743" s="38"/>
      <c r="AK1743" s="38"/>
      <c r="AL1743" s="38"/>
      <c r="AM1743" s="38"/>
      <c r="AN1743" s="38"/>
      <c r="AO1743" s="38"/>
      <c r="AP1743" s="38"/>
      <c r="AQ1743" s="38"/>
      <c r="AR1743" s="38"/>
      <c r="AS1743" s="38"/>
      <c r="AT1743" s="38"/>
      <c r="AU1743" s="38"/>
      <c r="AV1743" s="38"/>
      <c r="AW1743" s="38"/>
      <c r="AX1743" s="38"/>
      <c r="AY1743" s="38"/>
      <c r="AZ1743" s="38"/>
      <c r="BA1743" s="38"/>
      <c r="BB1743" s="38"/>
      <c r="BC1743" s="38"/>
      <c r="BD1743" s="38"/>
      <c r="BE1743" s="38"/>
      <c r="BF1743" s="38"/>
      <c r="BG1743" s="38"/>
      <c r="BH1743" s="38"/>
      <c r="BI1743" s="38"/>
      <c r="BJ1743" s="38"/>
      <c r="BK1743" s="38"/>
      <c r="BL1743" s="38"/>
      <c r="BM1743" s="38"/>
      <c r="BN1743" s="38"/>
      <c r="BO1743" s="38"/>
      <c r="BP1743" s="38"/>
      <c r="BQ1743" s="38"/>
    </row>
    <row r="1744">
      <c r="A1744" s="58"/>
      <c r="B1744" s="341"/>
      <c r="C1744" s="60"/>
      <c r="D1744" s="60"/>
      <c r="E1744" s="58"/>
      <c r="F1744" s="58"/>
      <c r="G1744" s="58"/>
      <c r="H1744" s="33" t="str">
        <f t="shared" si="33"/>
        <v/>
      </c>
      <c r="I1744" s="58"/>
      <c r="J1744" s="58"/>
      <c r="K1744" s="58"/>
      <c r="L1744" s="58"/>
      <c r="M1744" s="80"/>
      <c r="N1744" s="80"/>
      <c r="O1744" s="62"/>
      <c r="P1744" s="62"/>
      <c r="Q1744" s="62"/>
      <c r="R1744" s="62"/>
      <c r="S1744" s="37" t="str">
        <f>IFERROR(__xludf.DUMMYFUNCTION("if(not(iserror(index(split(C1744, "" ""),2))), index(split(C1744, "" ""),1),"""")"),"")</f>
        <v/>
      </c>
      <c r="T1744" s="315" t="str">
        <f>IFERROR(__xludf.DUMMYFUNCTION("if(S1744="""",C1744,if(not(iserror(index(split(C1744, "" ""),3))), index(split(C1744, "" ""),3),index(split(C1744, "" ""),2)))"),"")</f>
        <v/>
      </c>
      <c r="U1744" s="38" t="b">
        <f t="shared" si="34"/>
        <v>0</v>
      </c>
      <c r="V1744" s="38"/>
      <c r="W1744" s="40"/>
      <c r="X1744" s="40"/>
      <c r="Y1744" s="38"/>
      <c r="Z1744" s="38"/>
      <c r="AA1744" s="38"/>
      <c r="AB1744" s="38"/>
      <c r="AC1744" s="38"/>
      <c r="AD1744" s="38"/>
      <c r="AE1744" s="38"/>
      <c r="AF1744" s="38"/>
      <c r="AG1744" s="38"/>
      <c r="AH1744" s="38"/>
      <c r="AI1744" s="38"/>
      <c r="AJ1744" s="38"/>
      <c r="AK1744" s="38"/>
      <c r="AL1744" s="38"/>
      <c r="AM1744" s="38"/>
      <c r="AN1744" s="38"/>
      <c r="AO1744" s="38"/>
      <c r="AP1744" s="38"/>
      <c r="AQ1744" s="38"/>
      <c r="AR1744" s="38"/>
      <c r="AS1744" s="38"/>
      <c r="AT1744" s="38"/>
      <c r="AU1744" s="38"/>
      <c r="AV1744" s="38"/>
      <c r="AW1744" s="38"/>
      <c r="AX1744" s="38"/>
      <c r="AY1744" s="38"/>
      <c r="AZ1744" s="38"/>
      <c r="BA1744" s="38"/>
      <c r="BB1744" s="38"/>
      <c r="BC1744" s="38"/>
      <c r="BD1744" s="38"/>
      <c r="BE1744" s="38"/>
      <c r="BF1744" s="38"/>
      <c r="BG1744" s="38"/>
      <c r="BH1744" s="38"/>
      <c r="BI1744" s="38"/>
      <c r="BJ1744" s="38"/>
      <c r="BK1744" s="38"/>
      <c r="BL1744" s="38"/>
      <c r="BM1744" s="38"/>
      <c r="BN1744" s="38"/>
      <c r="BO1744" s="38"/>
      <c r="BP1744" s="38"/>
      <c r="BQ1744" s="38"/>
    </row>
    <row r="1745">
      <c r="A1745" s="58"/>
      <c r="B1745" s="341"/>
      <c r="C1745" s="60"/>
      <c r="D1745" s="60"/>
      <c r="E1745" s="58"/>
      <c r="F1745" s="58"/>
      <c r="G1745" s="58"/>
      <c r="H1745" s="33" t="str">
        <f t="shared" si="33"/>
        <v/>
      </c>
      <c r="I1745" s="58"/>
      <c r="J1745" s="58"/>
      <c r="K1745" s="58"/>
      <c r="L1745" s="58"/>
      <c r="M1745" s="80"/>
      <c r="N1745" s="80"/>
      <c r="O1745" s="62"/>
      <c r="P1745" s="62"/>
      <c r="Q1745" s="62"/>
      <c r="R1745" s="62"/>
      <c r="S1745" s="37" t="str">
        <f>IFERROR(__xludf.DUMMYFUNCTION("if(not(iserror(index(split(C1745, "" ""),2))), index(split(C1745, "" ""),1),"""")"),"")</f>
        <v/>
      </c>
      <c r="T1745" s="315" t="str">
        <f>IFERROR(__xludf.DUMMYFUNCTION("if(S1745="""",C1745,if(not(iserror(index(split(C1745, "" ""),3))), index(split(C1745, "" ""),3),index(split(C1745, "" ""),2)))"),"")</f>
        <v/>
      </c>
      <c r="U1745" s="38" t="b">
        <f t="shared" si="34"/>
        <v>0</v>
      </c>
      <c r="V1745" s="38"/>
      <c r="W1745" s="40"/>
      <c r="X1745" s="40"/>
      <c r="Y1745" s="38"/>
      <c r="Z1745" s="38"/>
      <c r="AA1745" s="38"/>
      <c r="AB1745" s="38"/>
      <c r="AC1745" s="38"/>
      <c r="AD1745" s="38"/>
      <c r="AE1745" s="38"/>
      <c r="AF1745" s="38"/>
      <c r="AG1745" s="38"/>
      <c r="AH1745" s="38"/>
      <c r="AI1745" s="38"/>
      <c r="AJ1745" s="38"/>
      <c r="AK1745" s="38"/>
      <c r="AL1745" s="38"/>
      <c r="AM1745" s="38"/>
      <c r="AN1745" s="38"/>
      <c r="AO1745" s="38"/>
      <c r="AP1745" s="38"/>
      <c r="AQ1745" s="38"/>
      <c r="AR1745" s="38"/>
      <c r="AS1745" s="38"/>
      <c r="AT1745" s="38"/>
      <c r="AU1745" s="38"/>
      <c r="AV1745" s="38"/>
      <c r="AW1745" s="38"/>
      <c r="AX1745" s="38"/>
      <c r="AY1745" s="38"/>
      <c r="AZ1745" s="38"/>
      <c r="BA1745" s="38"/>
      <c r="BB1745" s="38"/>
      <c r="BC1745" s="38"/>
      <c r="BD1745" s="38"/>
      <c r="BE1745" s="38"/>
      <c r="BF1745" s="38"/>
      <c r="BG1745" s="38"/>
      <c r="BH1745" s="38"/>
      <c r="BI1745" s="38"/>
      <c r="BJ1745" s="38"/>
      <c r="BK1745" s="38"/>
      <c r="BL1745" s="38"/>
      <c r="BM1745" s="38"/>
      <c r="BN1745" s="38"/>
      <c r="BO1745" s="38"/>
      <c r="BP1745" s="38"/>
      <c r="BQ1745" s="38"/>
    </row>
    <row r="1746">
      <c r="A1746" s="58"/>
      <c r="B1746" s="341"/>
      <c r="C1746" s="60"/>
      <c r="D1746" s="60"/>
      <c r="E1746" s="58"/>
      <c r="F1746" s="58"/>
      <c r="G1746" s="58"/>
      <c r="H1746" s="33" t="str">
        <f t="shared" si="33"/>
        <v/>
      </c>
      <c r="I1746" s="58"/>
      <c r="J1746" s="58"/>
      <c r="K1746" s="58"/>
      <c r="L1746" s="58"/>
      <c r="M1746" s="80"/>
      <c r="N1746" s="77"/>
      <c r="O1746" s="62"/>
      <c r="P1746" s="62"/>
      <c r="Q1746" s="62"/>
      <c r="R1746" s="62"/>
      <c r="S1746" s="37" t="str">
        <f>IFERROR(__xludf.DUMMYFUNCTION("if(not(iserror(index(split(C1746, "" ""),2))), index(split(C1746, "" ""),1),"""")"),"")</f>
        <v/>
      </c>
      <c r="T1746" s="315" t="str">
        <f>IFERROR(__xludf.DUMMYFUNCTION("if(S1746="""",C1746,if(not(iserror(index(split(C1746, "" ""),3))), index(split(C1746, "" ""),3),index(split(C1746, "" ""),2)))"),"")</f>
        <v/>
      </c>
      <c r="U1746" s="38" t="b">
        <f t="shared" si="34"/>
        <v>0</v>
      </c>
      <c r="V1746" s="38"/>
      <c r="W1746" s="40"/>
      <c r="X1746" s="40"/>
      <c r="Y1746" s="38"/>
      <c r="Z1746" s="38"/>
      <c r="AA1746" s="38"/>
      <c r="AB1746" s="38"/>
      <c r="AC1746" s="38"/>
      <c r="AD1746" s="38"/>
      <c r="AE1746" s="38"/>
      <c r="AF1746" s="38"/>
      <c r="AG1746" s="38"/>
      <c r="AH1746" s="38"/>
      <c r="AI1746" s="38"/>
      <c r="AJ1746" s="38"/>
      <c r="AK1746" s="38"/>
      <c r="AL1746" s="38"/>
      <c r="AM1746" s="38"/>
      <c r="AN1746" s="38"/>
      <c r="AO1746" s="38"/>
      <c r="AP1746" s="38"/>
      <c r="AQ1746" s="38"/>
      <c r="AR1746" s="38"/>
      <c r="AS1746" s="38"/>
      <c r="AT1746" s="38"/>
      <c r="AU1746" s="38"/>
      <c r="AV1746" s="38"/>
      <c r="AW1746" s="38"/>
      <c r="AX1746" s="38"/>
      <c r="AY1746" s="38"/>
      <c r="AZ1746" s="38"/>
      <c r="BA1746" s="38"/>
      <c r="BB1746" s="38"/>
      <c r="BC1746" s="38"/>
      <c r="BD1746" s="38"/>
      <c r="BE1746" s="38"/>
      <c r="BF1746" s="38"/>
      <c r="BG1746" s="38"/>
      <c r="BH1746" s="38"/>
      <c r="BI1746" s="38"/>
      <c r="BJ1746" s="38"/>
      <c r="BK1746" s="38"/>
      <c r="BL1746" s="38"/>
      <c r="BM1746" s="38"/>
      <c r="BN1746" s="38"/>
      <c r="BO1746" s="38"/>
      <c r="BP1746" s="38"/>
      <c r="BQ1746" s="38"/>
    </row>
    <row r="1747">
      <c r="A1747" s="58"/>
      <c r="B1747" s="341"/>
      <c r="C1747" s="60"/>
      <c r="D1747" s="60"/>
      <c r="E1747" s="58"/>
      <c r="F1747" s="58"/>
      <c r="G1747" s="58"/>
      <c r="H1747" s="33" t="str">
        <f t="shared" si="33"/>
        <v/>
      </c>
      <c r="I1747" s="58"/>
      <c r="J1747" s="58"/>
      <c r="K1747" s="58"/>
      <c r="L1747" s="58"/>
      <c r="M1747" s="80"/>
      <c r="N1747" s="77"/>
      <c r="O1747" s="58"/>
      <c r="P1747" s="62"/>
      <c r="Q1747" s="84"/>
      <c r="R1747" s="62"/>
      <c r="S1747" s="37" t="str">
        <f>IFERROR(__xludf.DUMMYFUNCTION("if(not(iserror(index(split(C1747, "" ""),2))), index(split(C1747, "" ""),1),"""")"),"")</f>
        <v/>
      </c>
      <c r="T1747" s="315" t="str">
        <f>IFERROR(__xludf.DUMMYFUNCTION("if(S1747="""",C1747,if(not(iserror(index(split(C1747, "" ""),3))), index(split(C1747, "" ""),3),index(split(C1747, "" ""),2)))"),"")</f>
        <v/>
      </c>
      <c r="U1747" s="38" t="b">
        <f t="shared" si="34"/>
        <v>0</v>
      </c>
      <c r="V1747" s="38"/>
      <c r="W1747" s="40"/>
      <c r="X1747" s="40"/>
      <c r="Y1747" s="38"/>
      <c r="Z1747" s="38"/>
      <c r="AA1747" s="38"/>
      <c r="AB1747" s="38"/>
      <c r="AC1747" s="38"/>
      <c r="AD1747" s="38"/>
      <c r="AE1747" s="38"/>
      <c r="AF1747" s="38"/>
      <c r="AG1747" s="38"/>
      <c r="AH1747" s="38"/>
      <c r="AI1747" s="38"/>
      <c r="AJ1747" s="38"/>
      <c r="AK1747" s="38"/>
      <c r="AL1747" s="38"/>
      <c r="AM1747" s="38"/>
      <c r="AN1747" s="38"/>
      <c r="AO1747" s="38"/>
      <c r="AP1747" s="38"/>
      <c r="AQ1747" s="38"/>
      <c r="AR1747" s="38"/>
      <c r="AS1747" s="38"/>
      <c r="AT1747" s="38"/>
      <c r="AU1747" s="38"/>
      <c r="AV1747" s="38"/>
      <c r="AW1747" s="38"/>
      <c r="AX1747" s="38"/>
      <c r="AY1747" s="38"/>
      <c r="AZ1747" s="38"/>
      <c r="BA1747" s="38"/>
      <c r="BB1747" s="38"/>
      <c r="BC1747" s="38"/>
      <c r="BD1747" s="38"/>
      <c r="BE1747" s="38"/>
      <c r="BF1747" s="38"/>
      <c r="BG1747" s="38"/>
      <c r="BH1747" s="38"/>
      <c r="BI1747" s="38"/>
      <c r="BJ1747" s="38"/>
      <c r="BK1747" s="38"/>
      <c r="BL1747" s="38"/>
      <c r="BM1747" s="38"/>
      <c r="BN1747" s="38"/>
      <c r="BO1747" s="38"/>
      <c r="BP1747" s="38"/>
      <c r="BQ1747" s="38"/>
    </row>
    <row r="1748">
      <c r="A1748" s="58"/>
      <c r="B1748" s="341"/>
      <c r="C1748" s="60"/>
      <c r="D1748" s="60"/>
      <c r="E1748" s="58"/>
      <c r="F1748" s="58"/>
      <c r="G1748" s="58"/>
      <c r="H1748" s="33" t="str">
        <f t="shared" si="33"/>
        <v/>
      </c>
      <c r="I1748" s="58"/>
      <c r="J1748" s="58"/>
      <c r="K1748" s="58"/>
      <c r="L1748" s="58"/>
      <c r="M1748" s="80"/>
      <c r="N1748" s="77"/>
      <c r="O1748" s="58"/>
      <c r="P1748" s="62"/>
      <c r="Q1748" s="84"/>
      <c r="R1748" s="62"/>
      <c r="S1748" s="37" t="str">
        <f>IFERROR(__xludf.DUMMYFUNCTION("if(not(iserror(index(split(C1748, "" ""),2))), index(split(C1748, "" ""),1),"""")"),"")</f>
        <v/>
      </c>
      <c r="T1748" s="315" t="str">
        <f>IFERROR(__xludf.DUMMYFUNCTION("if(S1748="""",C1748,if(not(iserror(index(split(C1748, "" ""),3))), index(split(C1748, "" ""),3),index(split(C1748, "" ""),2)))"),"")</f>
        <v/>
      </c>
      <c r="U1748" s="38" t="b">
        <f t="shared" si="34"/>
        <v>0</v>
      </c>
      <c r="V1748" s="38"/>
      <c r="W1748" s="40"/>
      <c r="X1748" s="40"/>
      <c r="Y1748" s="38"/>
      <c r="Z1748" s="38"/>
      <c r="AA1748" s="38"/>
      <c r="AB1748" s="38"/>
      <c r="AC1748" s="38"/>
      <c r="AD1748" s="38"/>
      <c r="AE1748" s="38"/>
      <c r="AF1748" s="38"/>
      <c r="AG1748" s="38"/>
      <c r="AH1748" s="38"/>
      <c r="AI1748" s="38"/>
      <c r="AJ1748" s="38"/>
      <c r="AK1748" s="38"/>
      <c r="AL1748" s="38"/>
      <c r="AM1748" s="38"/>
      <c r="AN1748" s="38"/>
      <c r="AO1748" s="38"/>
      <c r="AP1748" s="38"/>
      <c r="AQ1748" s="38"/>
      <c r="AR1748" s="38"/>
      <c r="AS1748" s="38"/>
      <c r="AT1748" s="38"/>
      <c r="AU1748" s="38"/>
      <c r="AV1748" s="38"/>
      <c r="AW1748" s="38"/>
      <c r="AX1748" s="38"/>
      <c r="AY1748" s="38"/>
      <c r="AZ1748" s="38"/>
      <c r="BA1748" s="38"/>
      <c r="BB1748" s="38"/>
      <c r="BC1748" s="38"/>
      <c r="BD1748" s="38"/>
      <c r="BE1748" s="38"/>
      <c r="BF1748" s="38"/>
      <c r="BG1748" s="38"/>
      <c r="BH1748" s="38"/>
      <c r="BI1748" s="38"/>
      <c r="BJ1748" s="38"/>
      <c r="BK1748" s="38"/>
      <c r="BL1748" s="38"/>
      <c r="BM1748" s="38"/>
      <c r="BN1748" s="38"/>
      <c r="BO1748" s="38"/>
      <c r="BP1748" s="38"/>
      <c r="BQ1748" s="38"/>
    </row>
    <row r="1749">
      <c r="A1749" s="58"/>
      <c r="B1749" s="341"/>
      <c r="C1749" s="60"/>
      <c r="D1749" s="60"/>
      <c r="E1749" s="58"/>
      <c r="F1749" s="58"/>
      <c r="G1749" s="58"/>
      <c r="H1749" s="33" t="str">
        <f t="shared" si="33"/>
        <v/>
      </c>
      <c r="I1749" s="58"/>
      <c r="J1749" s="58"/>
      <c r="K1749" s="58"/>
      <c r="L1749" s="58"/>
      <c r="M1749" s="80"/>
      <c r="N1749" s="80"/>
      <c r="O1749" s="62"/>
      <c r="P1749" s="62"/>
      <c r="Q1749" s="62"/>
      <c r="R1749" s="62"/>
      <c r="S1749" s="37" t="str">
        <f>IFERROR(__xludf.DUMMYFUNCTION("if(not(iserror(index(split(C1749, "" ""),2))), index(split(C1749, "" ""),1),"""")"),"")</f>
        <v/>
      </c>
      <c r="T1749" s="315" t="str">
        <f>IFERROR(__xludf.DUMMYFUNCTION("if(S1749="""",C1749,if(not(iserror(index(split(C1749, "" ""),3))), index(split(C1749, "" ""),3),index(split(C1749, "" ""),2)))"),"")</f>
        <v/>
      </c>
      <c r="U1749" s="38" t="b">
        <f t="shared" si="34"/>
        <v>0</v>
      </c>
      <c r="V1749" s="38"/>
      <c r="W1749" s="40"/>
      <c r="X1749" s="40"/>
      <c r="Y1749" s="38"/>
      <c r="Z1749" s="38"/>
      <c r="AA1749" s="38"/>
      <c r="AB1749" s="38"/>
      <c r="AC1749" s="38"/>
      <c r="AD1749" s="38"/>
      <c r="AE1749" s="38"/>
      <c r="AF1749" s="38"/>
      <c r="AG1749" s="38"/>
      <c r="AH1749" s="38"/>
      <c r="AI1749" s="38"/>
      <c r="AJ1749" s="38"/>
      <c r="AK1749" s="38"/>
      <c r="AL1749" s="38"/>
      <c r="AM1749" s="38"/>
      <c r="AN1749" s="38"/>
      <c r="AO1749" s="38"/>
      <c r="AP1749" s="38"/>
      <c r="AQ1749" s="38"/>
      <c r="AR1749" s="38"/>
      <c r="AS1749" s="38"/>
      <c r="AT1749" s="38"/>
      <c r="AU1749" s="38"/>
      <c r="AV1749" s="38"/>
      <c r="AW1749" s="38"/>
      <c r="AX1749" s="38"/>
      <c r="AY1749" s="38"/>
      <c r="AZ1749" s="38"/>
      <c r="BA1749" s="38"/>
      <c r="BB1749" s="38"/>
      <c r="BC1749" s="38"/>
      <c r="BD1749" s="38"/>
      <c r="BE1749" s="38"/>
      <c r="BF1749" s="38"/>
      <c r="BG1749" s="38"/>
      <c r="BH1749" s="38"/>
      <c r="BI1749" s="38"/>
      <c r="BJ1749" s="38"/>
      <c r="BK1749" s="38"/>
      <c r="BL1749" s="38"/>
      <c r="BM1749" s="38"/>
      <c r="BN1749" s="38"/>
      <c r="BO1749" s="38"/>
      <c r="BP1749" s="38"/>
      <c r="BQ1749" s="38"/>
    </row>
    <row r="1750">
      <c r="A1750" s="58"/>
      <c r="B1750" s="341"/>
      <c r="C1750" s="60"/>
      <c r="D1750" s="60"/>
      <c r="E1750" s="58"/>
      <c r="F1750" s="58"/>
      <c r="G1750" s="58"/>
      <c r="H1750" s="33" t="str">
        <f t="shared" si="33"/>
        <v/>
      </c>
      <c r="I1750" s="58"/>
      <c r="J1750" s="58"/>
      <c r="K1750" s="58"/>
      <c r="L1750" s="58"/>
      <c r="M1750" s="80"/>
      <c r="N1750" s="77"/>
      <c r="O1750" s="62"/>
      <c r="P1750" s="62"/>
      <c r="Q1750" s="62"/>
      <c r="R1750" s="62"/>
      <c r="S1750" s="37" t="str">
        <f>IFERROR(__xludf.DUMMYFUNCTION("if(not(iserror(index(split(C1750, "" ""),2))), index(split(C1750, "" ""),1),"""")"),"")</f>
        <v/>
      </c>
      <c r="T1750" s="315" t="str">
        <f>IFERROR(__xludf.DUMMYFUNCTION("if(S1750="""",C1750,if(not(iserror(index(split(C1750, "" ""),3))), index(split(C1750, "" ""),3),index(split(C1750, "" ""),2)))"),"")</f>
        <v/>
      </c>
      <c r="U1750" s="38" t="b">
        <f t="shared" si="34"/>
        <v>0</v>
      </c>
      <c r="V1750" s="38"/>
      <c r="W1750" s="40"/>
      <c r="X1750" s="40"/>
      <c r="Y1750" s="38"/>
      <c r="Z1750" s="38"/>
      <c r="AA1750" s="38"/>
      <c r="AB1750" s="38"/>
      <c r="AC1750" s="38"/>
      <c r="AD1750" s="38"/>
      <c r="AE1750" s="38"/>
      <c r="AF1750" s="38"/>
      <c r="AG1750" s="38"/>
      <c r="AH1750" s="38"/>
      <c r="AI1750" s="38"/>
      <c r="AJ1750" s="38"/>
      <c r="AK1750" s="38"/>
      <c r="AL1750" s="38"/>
      <c r="AM1750" s="38"/>
      <c r="AN1750" s="38"/>
      <c r="AO1750" s="38"/>
      <c r="AP1750" s="38"/>
      <c r="AQ1750" s="38"/>
      <c r="AR1750" s="38"/>
      <c r="AS1750" s="38"/>
      <c r="AT1750" s="38"/>
      <c r="AU1750" s="38"/>
      <c r="AV1750" s="38"/>
      <c r="AW1750" s="38"/>
      <c r="AX1750" s="38"/>
      <c r="AY1750" s="38"/>
      <c r="AZ1750" s="38"/>
      <c r="BA1750" s="38"/>
      <c r="BB1750" s="38"/>
      <c r="BC1750" s="38"/>
      <c r="BD1750" s="38"/>
      <c r="BE1750" s="38"/>
      <c r="BF1750" s="38"/>
      <c r="BG1750" s="38"/>
      <c r="BH1750" s="38"/>
      <c r="BI1750" s="38"/>
      <c r="BJ1750" s="38"/>
      <c r="BK1750" s="38"/>
      <c r="BL1750" s="38"/>
      <c r="BM1750" s="38"/>
      <c r="BN1750" s="38"/>
      <c r="BO1750" s="38"/>
      <c r="BP1750" s="38"/>
      <c r="BQ1750" s="38"/>
    </row>
    <row r="1751">
      <c r="A1751" s="58"/>
      <c r="B1751" s="341"/>
      <c r="C1751" s="60"/>
      <c r="D1751" s="60"/>
      <c r="E1751" s="58"/>
      <c r="F1751" s="58"/>
      <c r="G1751" s="58"/>
      <c r="H1751" s="33" t="str">
        <f t="shared" si="33"/>
        <v/>
      </c>
      <c r="I1751" s="58"/>
      <c r="J1751" s="58"/>
      <c r="K1751" s="58"/>
      <c r="L1751" s="58"/>
      <c r="M1751" s="80"/>
      <c r="N1751" s="77"/>
      <c r="O1751" s="62"/>
      <c r="P1751" s="62"/>
      <c r="Q1751" s="62"/>
      <c r="R1751" s="62"/>
      <c r="S1751" s="37" t="str">
        <f>IFERROR(__xludf.DUMMYFUNCTION("if(not(iserror(index(split(C1751, "" ""),2))), index(split(C1751, "" ""),1),"""")"),"")</f>
        <v/>
      </c>
      <c r="T1751" s="315" t="str">
        <f>IFERROR(__xludf.DUMMYFUNCTION("if(S1751="""",C1751,if(not(iserror(index(split(C1751, "" ""),3))), index(split(C1751, "" ""),3),index(split(C1751, "" ""),2)))"),"")</f>
        <v/>
      </c>
      <c r="U1751" s="38" t="b">
        <f t="shared" si="34"/>
        <v>0</v>
      </c>
      <c r="V1751" s="38"/>
      <c r="W1751" s="40"/>
      <c r="X1751" s="40"/>
      <c r="Y1751" s="38"/>
      <c r="Z1751" s="38"/>
      <c r="AA1751" s="38"/>
      <c r="AB1751" s="38"/>
      <c r="AC1751" s="38"/>
      <c r="AD1751" s="38"/>
      <c r="AE1751" s="38"/>
      <c r="AF1751" s="38"/>
      <c r="AG1751" s="38"/>
      <c r="AH1751" s="38"/>
      <c r="AI1751" s="38"/>
      <c r="AJ1751" s="38"/>
      <c r="AK1751" s="38"/>
      <c r="AL1751" s="38"/>
      <c r="AM1751" s="38"/>
      <c r="AN1751" s="38"/>
      <c r="AO1751" s="38"/>
      <c r="AP1751" s="38"/>
      <c r="AQ1751" s="38"/>
      <c r="AR1751" s="38"/>
      <c r="AS1751" s="38"/>
      <c r="AT1751" s="38"/>
      <c r="AU1751" s="38"/>
      <c r="AV1751" s="38"/>
      <c r="AW1751" s="38"/>
      <c r="AX1751" s="38"/>
      <c r="AY1751" s="38"/>
      <c r="AZ1751" s="38"/>
      <c r="BA1751" s="38"/>
      <c r="BB1751" s="38"/>
      <c r="BC1751" s="38"/>
      <c r="BD1751" s="38"/>
      <c r="BE1751" s="38"/>
      <c r="BF1751" s="38"/>
      <c r="BG1751" s="38"/>
      <c r="BH1751" s="38"/>
      <c r="BI1751" s="38"/>
      <c r="BJ1751" s="38"/>
      <c r="BK1751" s="38"/>
      <c r="BL1751" s="38"/>
      <c r="BM1751" s="38"/>
      <c r="BN1751" s="38"/>
      <c r="BO1751" s="38"/>
      <c r="BP1751" s="38"/>
      <c r="BQ1751" s="38"/>
    </row>
    <row r="1752">
      <c r="A1752" s="58"/>
      <c r="B1752" s="341"/>
      <c r="C1752" s="60"/>
      <c r="D1752" s="60"/>
      <c r="E1752" s="58"/>
      <c r="F1752" s="58"/>
      <c r="G1752" s="58"/>
      <c r="H1752" s="33" t="str">
        <f t="shared" si="33"/>
        <v/>
      </c>
      <c r="I1752" s="58"/>
      <c r="J1752" s="58"/>
      <c r="K1752" s="58"/>
      <c r="L1752" s="58"/>
      <c r="M1752" s="80"/>
      <c r="N1752" s="77"/>
      <c r="O1752" s="62"/>
      <c r="P1752" s="62"/>
      <c r="Q1752" s="84"/>
      <c r="R1752" s="62"/>
      <c r="S1752" s="37" t="str">
        <f>IFERROR(__xludf.DUMMYFUNCTION("if(not(iserror(index(split(C1752, "" ""),2))), index(split(C1752, "" ""),1),"""")"),"")</f>
        <v/>
      </c>
      <c r="T1752" s="315" t="str">
        <f>IFERROR(__xludf.DUMMYFUNCTION("if(S1752="""",C1752,if(not(iserror(index(split(C1752, "" ""),3))), index(split(C1752, "" ""),3),index(split(C1752, "" ""),2)))"),"")</f>
        <v/>
      </c>
      <c r="U1752" s="38" t="b">
        <f t="shared" si="34"/>
        <v>0</v>
      </c>
      <c r="V1752" s="38"/>
      <c r="W1752" s="40"/>
      <c r="X1752" s="40"/>
      <c r="Y1752" s="38"/>
      <c r="Z1752" s="38"/>
      <c r="AA1752" s="38"/>
      <c r="AB1752" s="38"/>
      <c r="AC1752" s="38"/>
      <c r="AD1752" s="38"/>
      <c r="AE1752" s="38"/>
      <c r="AF1752" s="38"/>
      <c r="AG1752" s="38"/>
      <c r="AH1752" s="38"/>
      <c r="AI1752" s="38"/>
      <c r="AJ1752" s="38"/>
      <c r="AK1752" s="38"/>
      <c r="AL1752" s="38"/>
      <c r="AM1752" s="38"/>
      <c r="AN1752" s="38"/>
      <c r="AO1752" s="38"/>
      <c r="AP1752" s="38"/>
      <c r="AQ1752" s="38"/>
      <c r="AR1752" s="38"/>
      <c r="AS1752" s="38"/>
      <c r="AT1752" s="38"/>
      <c r="AU1752" s="38"/>
      <c r="AV1752" s="38"/>
      <c r="AW1752" s="38"/>
      <c r="AX1752" s="38"/>
      <c r="AY1752" s="38"/>
      <c r="AZ1752" s="38"/>
      <c r="BA1752" s="38"/>
      <c r="BB1752" s="38"/>
      <c r="BC1752" s="38"/>
      <c r="BD1752" s="38"/>
      <c r="BE1752" s="38"/>
      <c r="BF1752" s="38"/>
      <c r="BG1752" s="38"/>
      <c r="BH1752" s="38"/>
      <c r="BI1752" s="38"/>
      <c r="BJ1752" s="38"/>
      <c r="BK1752" s="38"/>
      <c r="BL1752" s="38"/>
      <c r="BM1752" s="38"/>
      <c r="BN1752" s="38"/>
      <c r="BO1752" s="38"/>
      <c r="BP1752" s="38"/>
      <c r="BQ1752" s="38"/>
    </row>
    <row r="1753">
      <c r="A1753" s="58"/>
      <c r="B1753" s="341"/>
      <c r="C1753" s="60"/>
      <c r="D1753" s="60"/>
      <c r="E1753" s="58"/>
      <c r="F1753" s="58"/>
      <c r="G1753" s="58"/>
      <c r="H1753" s="33" t="str">
        <f t="shared" si="33"/>
        <v/>
      </c>
      <c r="I1753" s="58"/>
      <c r="J1753" s="58"/>
      <c r="K1753" s="58"/>
      <c r="L1753" s="58"/>
      <c r="M1753" s="80"/>
      <c r="N1753" s="77"/>
      <c r="O1753" s="62"/>
      <c r="P1753" s="62"/>
      <c r="Q1753" s="62"/>
      <c r="R1753" s="62"/>
      <c r="S1753" s="37" t="str">
        <f>IFERROR(__xludf.DUMMYFUNCTION("if(not(iserror(index(split(C1753, "" ""),2))), index(split(C1753, "" ""),1),"""")"),"")</f>
        <v/>
      </c>
      <c r="T1753" s="315" t="str">
        <f>IFERROR(__xludf.DUMMYFUNCTION("if(S1753="""",C1753,if(not(iserror(index(split(C1753, "" ""),3))), index(split(C1753, "" ""),3),index(split(C1753, "" ""),2)))"),"")</f>
        <v/>
      </c>
      <c r="U1753" s="38" t="b">
        <f t="shared" si="34"/>
        <v>0</v>
      </c>
      <c r="V1753" s="38"/>
      <c r="W1753" s="40"/>
      <c r="X1753" s="40"/>
      <c r="Y1753" s="38"/>
      <c r="Z1753" s="38"/>
      <c r="AA1753" s="38"/>
      <c r="AB1753" s="38"/>
      <c r="AC1753" s="38"/>
      <c r="AD1753" s="38"/>
      <c r="AE1753" s="38"/>
      <c r="AF1753" s="38"/>
      <c r="AG1753" s="38"/>
      <c r="AH1753" s="38"/>
      <c r="AI1753" s="38"/>
      <c r="AJ1753" s="38"/>
      <c r="AK1753" s="38"/>
      <c r="AL1753" s="38"/>
      <c r="AM1753" s="38"/>
      <c r="AN1753" s="38"/>
      <c r="AO1753" s="38"/>
      <c r="AP1753" s="38"/>
      <c r="AQ1753" s="38"/>
      <c r="AR1753" s="38"/>
      <c r="AS1753" s="38"/>
      <c r="AT1753" s="38"/>
      <c r="AU1753" s="38"/>
      <c r="AV1753" s="38"/>
      <c r="AW1753" s="38"/>
      <c r="AX1753" s="38"/>
      <c r="AY1753" s="38"/>
      <c r="AZ1753" s="38"/>
      <c r="BA1753" s="38"/>
      <c r="BB1753" s="38"/>
      <c r="BC1753" s="38"/>
      <c r="BD1753" s="38"/>
      <c r="BE1753" s="38"/>
      <c r="BF1753" s="38"/>
      <c r="BG1753" s="38"/>
      <c r="BH1753" s="38"/>
      <c r="BI1753" s="38"/>
      <c r="BJ1753" s="38"/>
      <c r="BK1753" s="38"/>
      <c r="BL1753" s="38"/>
      <c r="BM1753" s="38"/>
      <c r="BN1753" s="38"/>
      <c r="BO1753" s="38"/>
      <c r="BP1753" s="38"/>
      <c r="BQ1753" s="38"/>
    </row>
    <row r="1754">
      <c r="A1754" s="58"/>
      <c r="B1754" s="341"/>
      <c r="C1754" s="60"/>
      <c r="D1754" s="60"/>
      <c r="E1754" s="58"/>
      <c r="F1754" s="58"/>
      <c r="G1754" s="58"/>
      <c r="H1754" s="33" t="str">
        <f t="shared" si="33"/>
        <v/>
      </c>
      <c r="I1754" s="58"/>
      <c r="J1754" s="58"/>
      <c r="K1754" s="58"/>
      <c r="L1754" s="58"/>
      <c r="M1754" s="80"/>
      <c r="N1754" s="77"/>
      <c r="O1754" s="62"/>
      <c r="P1754" s="62"/>
      <c r="Q1754" s="62"/>
      <c r="R1754" s="62"/>
      <c r="S1754" s="37" t="str">
        <f>IFERROR(__xludf.DUMMYFUNCTION("if(not(iserror(index(split(C1754, "" ""),2))), index(split(C1754, "" ""),1),"""")"),"")</f>
        <v/>
      </c>
      <c r="T1754" s="315" t="str">
        <f>IFERROR(__xludf.DUMMYFUNCTION("if(S1754="""",C1754,if(not(iserror(index(split(C1754, "" ""),3))), index(split(C1754, "" ""),3),index(split(C1754, "" ""),2)))"),"")</f>
        <v/>
      </c>
      <c r="U1754" s="38" t="b">
        <f t="shared" si="34"/>
        <v>0</v>
      </c>
      <c r="V1754" s="38"/>
      <c r="W1754" s="40"/>
      <c r="X1754" s="40"/>
      <c r="Y1754" s="38"/>
      <c r="Z1754" s="38"/>
      <c r="AA1754" s="38"/>
      <c r="AB1754" s="38"/>
      <c r="AC1754" s="38"/>
      <c r="AD1754" s="38"/>
      <c r="AE1754" s="38"/>
      <c r="AF1754" s="38"/>
      <c r="AG1754" s="38"/>
      <c r="AH1754" s="38"/>
      <c r="AI1754" s="38"/>
      <c r="AJ1754" s="38"/>
      <c r="AK1754" s="38"/>
      <c r="AL1754" s="38"/>
      <c r="AM1754" s="38"/>
      <c r="AN1754" s="38"/>
      <c r="AO1754" s="38"/>
      <c r="AP1754" s="38"/>
      <c r="AQ1754" s="38"/>
      <c r="AR1754" s="38"/>
      <c r="AS1754" s="38"/>
      <c r="AT1754" s="38"/>
      <c r="AU1754" s="38"/>
      <c r="AV1754" s="38"/>
      <c r="AW1754" s="38"/>
      <c r="AX1754" s="38"/>
      <c r="AY1754" s="38"/>
      <c r="AZ1754" s="38"/>
      <c r="BA1754" s="38"/>
      <c r="BB1754" s="38"/>
      <c r="BC1754" s="38"/>
      <c r="BD1754" s="38"/>
      <c r="BE1754" s="38"/>
      <c r="BF1754" s="38"/>
      <c r="BG1754" s="38"/>
      <c r="BH1754" s="38"/>
      <c r="BI1754" s="38"/>
      <c r="BJ1754" s="38"/>
      <c r="BK1754" s="38"/>
      <c r="BL1754" s="38"/>
      <c r="BM1754" s="38"/>
      <c r="BN1754" s="38"/>
      <c r="BO1754" s="38"/>
      <c r="BP1754" s="38"/>
      <c r="BQ1754" s="38"/>
    </row>
    <row r="1755">
      <c r="A1755" s="394"/>
      <c r="B1755" s="341"/>
      <c r="C1755" s="60"/>
      <c r="D1755" s="60"/>
      <c r="E1755" s="58"/>
      <c r="F1755" s="58"/>
      <c r="G1755" s="58"/>
      <c r="H1755" s="33" t="str">
        <f t="shared" si="33"/>
        <v/>
      </c>
      <c r="I1755" s="58"/>
      <c r="J1755" s="58"/>
      <c r="K1755" s="58"/>
      <c r="L1755" s="58"/>
      <c r="M1755" s="389"/>
      <c r="N1755" s="77"/>
      <c r="O1755" s="58"/>
      <c r="P1755" s="58"/>
      <c r="Q1755" s="84"/>
      <c r="R1755" s="62"/>
      <c r="S1755" s="37" t="str">
        <f>IFERROR(__xludf.DUMMYFUNCTION("if(not(iserror(index(split(C1755, "" ""),2))), index(split(C1755, "" ""),1),"""")"),"")</f>
        <v/>
      </c>
      <c r="T1755" s="315" t="str">
        <f>IFERROR(__xludf.DUMMYFUNCTION("if(S1755="""",C1755,if(not(iserror(index(split(C1755, "" ""),3))), index(split(C1755, "" ""),3),index(split(C1755, "" ""),2)))"),"")</f>
        <v/>
      </c>
      <c r="U1755" s="38" t="b">
        <f t="shared" si="34"/>
        <v>0</v>
      </c>
      <c r="V1755" s="38"/>
      <c r="W1755" s="40"/>
      <c r="X1755" s="40"/>
      <c r="Y1755" s="38"/>
      <c r="Z1755" s="38"/>
      <c r="AA1755" s="38"/>
      <c r="AB1755" s="38"/>
      <c r="AC1755" s="38"/>
      <c r="AD1755" s="38"/>
      <c r="AE1755" s="38"/>
      <c r="AF1755" s="38"/>
      <c r="AG1755" s="38"/>
      <c r="AH1755" s="38"/>
      <c r="AI1755" s="38"/>
      <c r="AJ1755" s="38"/>
      <c r="AK1755" s="38"/>
      <c r="AL1755" s="38"/>
      <c r="AM1755" s="38"/>
      <c r="AN1755" s="38"/>
      <c r="AO1755" s="38"/>
      <c r="AP1755" s="38"/>
      <c r="AQ1755" s="38"/>
      <c r="AR1755" s="38"/>
      <c r="AS1755" s="38"/>
      <c r="AT1755" s="38"/>
      <c r="AU1755" s="38"/>
      <c r="AV1755" s="38"/>
      <c r="AW1755" s="38"/>
      <c r="AX1755" s="38"/>
      <c r="AY1755" s="38"/>
      <c r="AZ1755" s="38"/>
      <c r="BA1755" s="38"/>
      <c r="BB1755" s="38"/>
      <c r="BC1755" s="38"/>
      <c r="BD1755" s="38"/>
      <c r="BE1755" s="38"/>
      <c r="BF1755" s="38"/>
      <c r="BG1755" s="38"/>
      <c r="BH1755" s="38"/>
      <c r="BI1755" s="38"/>
      <c r="BJ1755" s="38"/>
      <c r="BK1755" s="38"/>
      <c r="BL1755" s="38"/>
      <c r="BM1755" s="38"/>
      <c r="BN1755" s="38"/>
      <c r="BO1755" s="38"/>
      <c r="BP1755" s="38"/>
      <c r="BQ1755" s="38"/>
    </row>
    <row r="1756">
      <c r="A1756" s="394"/>
      <c r="B1756" s="341"/>
      <c r="C1756" s="60"/>
      <c r="D1756" s="60"/>
      <c r="E1756" s="58"/>
      <c r="F1756" s="58"/>
      <c r="G1756" s="58"/>
      <c r="H1756" s="33" t="str">
        <f t="shared" si="33"/>
        <v/>
      </c>
      <c r="I1756" s="58"/>
      <c r="J1756" s="58"/>
      <c r="K1756" s="58"/>
      <c r="L1756" s="58"/>
      <c r="M1756" s="80"/>
      <c r="N1756" s="77"/>
      <c r="O1756" s="58"/>
      <c r="P1756" s="58"/>
      <c r="Q1756" s="58"/>
      <c r="R1756" s="62"/>
      <c r="S1756" s="37" t="str">
        <f>IFERROR(__xludf.DUMMYFUNCTION("if(not(iserror(index(split(C1756, "" ""),2))), index(split(C1756, "" ""),1),"""")"),"")</f>
        <v/>
      </c>
      <c r="T1756" s="315" t="str">
        <f>IFERROR(__xludf.DUMMYFUNCTION("if(S1756="""",C1756,if(not(iserror(index(split(C1756, "" ""),3))), index(split(C1756, "" ""),3),index(split(C1756, "" ""),2)))"),"")</f>
        <v/>
      </c>
      <c r="U1756" s="38" t="b">
        <f t="shared" si="34"/>
        <v>0</v>
      </c>
      <c r="V1756" s="38"/>
      <c r="W1756" s="40"/>
      <c r="X1756" s="40"/>
      <c r="Y1756" s="38"/>
      <c r="Z1756" s="38"/>
      <c r="AA1756" s="38"/>
      <c r="AB1756" s="38"/>
      <c r="AC1756" s="38"/>
      <c r="AD1756" s="38"/>
      <c r="AE1756" s="38"/>
      <c r="AF1756" s="38"/>
      <c r="AG1756" s="38"/>
      <c r="AH1756" s="38"/>
      <c r="AI1756" s="38"/>
      <c r="AJ1756" s="38"/>
      <c r="AK1756" s="38"/>
      <c r="AL1756" s="38"/>
      <c r="AM1756" s="38"/>
      <c r="AN1756" s="38"/>
      <c r="AO1756" s="38"/>
      <c r="AP1756" s="38"/>
      <c r="AQ1756" s="38"/>
      <c r="AR1756" s="38"/>
      <c r="AS1756" s="38"/>
      <c r="AT1756" s="38"/>
      <c r="AU1756" s="38"/>
      <c r="AV1756" s="38"/>
      <c r="AW1756" s="38"/>
      <c r="AX1756" s="38"/>
      <c r="AY1756" s="38"/>
      <c r="AZ1756" s="38"/>
      <c r="BA1756" s="38"/>
      <c r="BB1756" s="38"/>
      <c r="BC1756" s="38"/>
      <c r="BD1756" s="38"/>
      <c r="BE1756" s="38"/>
      <c r="BF1756" s="38"/>
      <c r="BG1756" s="38"/>
      <c r="BH1756" s="38"/>
      <c r="BI1756" s="38"/>
      <c r="BJ1756" s="38"/>
      <c r="BK1756" s="38"/>
      <c r="BL1756" s="38"/>
      <c r="BM1756" s="38"/>
      <c r="BN1756" s="38"/>
      <c r="BO1756" s="38"/>
      <c r="BP1756" s="38"/>
      <c r="BQ1756" s="38"/>
    </row>
    <row r="1757">
      <c r="A1757" s="394"/>
      <c r="B1757" s="341"/>
      <c r="C1757" s="60"/>
      <c r="D1757" s="60"/>
      <c r="E1757" s="58"/>
      <c r="F1757" s="58"/>
      <c r="G1757" s="58"/>
      <c r="H1757" s="33" t="str">
        <f t="shared" si="33"/>
        <v/>
      </c>
      <c r="I1757" s="58"/>
      <c r="J1757" s="58"/>
      <c r="K1757" s="58"/>
      <c r="L1757" s="58"/>
      <c r="M1757" s="80"/>
      <c r="N1757" s="77"/>
      <c r="O1757" s="62"/>
      <c r="P1757" s="62"/>
      <c r="Q1757" s="62"/>
      <c r="R1757" s="62"/>
      <c r="S1757" s="37" t="str">
        <f>IFERROR(__xludf.DUMMYFUNCTION("if(not(iserror(index(split(C1757, "" ""),2))), index(split(C1757, "" ""),1),"""")"),"")</f>
        <v/>
      </c>
      <c r="T1757" s="315" t="str">
        <f>IFERROR(__xludf.DUMMYFUNCTION("if(S1757="""",C1757,if(not(iserror(index(split(C1757, "" ""),3))), index(split(C1757, "" ""),3),index(split(C1757, "" ""),2)))"),"")</f>
        <v/>
      </c>
      <c r="U1757" s="38" t="b">
        <f t="shared" si="34"/>
        <v>0</v>
      </c>
      <c r="V1757" s="38"/>
      <c r="W1757" s="40"/>
      <c r="X1757" s="40"/>
      <c r="Y1757" s="38"/>
      <c r="Z1757" s="38"/>
      <c r="AA1757" s="38"/>
      <c r="AB1757" s="38"/>
      <c r="AC1757" s="38"/>
      <c r="AD1757" s="38"/>
      <c r="AE1757" s="38"/>
      <c r="AF1757" s="38"/>
      <c r="AG1757" s="38"/>
      <c r="AH1757" s="38"/>
      <c r="AI1757" s="38"/>
      <c r="AJ1757" s="38"/>
      <c r="AK1757" s="38"/>
      <c r="AL1757" s="38"/>
      <c r="AM1757" s="38"/>
      <c r="AN1757" s="38"/>
      <c r="AO1757" s="38"/>
      <c r="AP1757" s="38"/>
      <c r="AQ1757" s="38"/>
      <c r="AR1757" s="38"/>
      <c r="AS1757" s="38"/>
      <c r="AT1757" s="38"/>
      <c r="AU1757" s="38"/>
      <c r="AV1757" s="38"/>
      <c r="AW1757" s="38"/>
      <c r="AX1757" s="38"/>
      <c r="AY1757" s="38"/>
      <c r="AZ1757" s="38"/>
      <c r="BA1757" s="38"/>
      <c r="BB1757" s="38"/>
      <c r="BC1757" s="38"/>
      <c r="BD1757" s="38"/>
      <c r="BE1757" s="38"/>
      <c r="BF1757" s="38"/>
      <c r="BG1757" s="38"/>
      <c r="BH1757" s="38"/>
      <c r="BI1757" s="38"/>
      <c r="BJ1757" s="38"/>
      <c r="BK1757" s="38"/>
      <c r="BL1757" s="38"/>
      <c r="BM1757" s="38"/>
      <c r="BN1757" s="38"/>
      <c r="BO1757" s="38"/>
      <c r="BP1757" s="38"/>
      <c r="BQ1757" s="38"/>
    </row>
    <row r="1758">
      <c r="A1758" s="394"/>
      <c r="B1758" s="341"/>
      <c r="C1758" s="60"/>
      <c r="D1758" s="60"/>
      <c r="E1758" s="58"/>
      <c r="F1758" s="58"/>
      <c r="G1758" s="58"/>
      <c r="H1758" s="33" t="str">
        <f t="shared" si="33"/>
        <v/>
      </c>
      <c r="I1758" s="58"/>
      <c r="J1758" s="58"/>
      <c r="K1758" s="58"/>
      <c r="L1758" s="58"/>
      <c r="M1758" s="80"/>
      <c r="N1758" s="77"/>
      <c r="O1758" s="62"/>
      <c r="P1758" s="62"/>
      <c r="Q1758" s="62"/>
      <c r="R1758" s="62"/>
      <c r="S1758" s="37" t="str">
        <f>IFERROR(__xludf.DUMMYFUNCTION("if(not(iserror(index(split(C1758, "" ""),2))), index(split(C1758, "" ""),1),"""")"),"")</f>
        <v/>
      </c>
      <c r="T1758" s="315" t="str">
        <f>IFERROR(__xludf.DUMMYFUNCTION("if(S1758="""",C1758,if(not(iserror(index(split(C1758, "" ""),3))), index(split(C1758, "" ""),3),index(split(C1758, "" ""),2)))"),"")</f>
        <v/>
      </c>
      <c r="U1758" s="38" t="b">
        <f t="shared" si="34"/>
        <v>0</v>
      </c>
      <c r="V1758" s="38"/>
      <c r="W1758" s="40"/>
      <c r="X1758" s="40"/>
      <c r="Y1758" s="38"/>
      <c r="Z1758" s="38"/>
      <c r="AA1758" s="38"/>
      <c r="AB1758" s="38"/>
      <c r="AC1758" s="38"/>
      <c r="AD1758" s="38"/>
      <c r="AE1758" s="38"/>
      <c r="AF1758" s="38"/>
      <c r="AG1758" s="38"/>
      <c r="AH1758" s="38"/>
      <c r="AI1758" s="38"/>
      <c r="AJ1758" s="38"/>
      <c r="AK1758" s="38"/>
      <c r="AL1758" s="38"/>
      <c r="AM1758" s="38"/>
      <c r="AN1758" s="38"/>
      <c r="AO1758" s="38"/>
      <c r="AP1758" s="38"/>
      <c r="AQ1758" s="38"/>
      <c r="AR1758" s="38"/>
      <c r="AS1758" s="38"/>
      <c r="AT1758" s="38"/>
      <c r="AU1758" s="38"/>
      <c r="AV1758" s="38"/>
      <c r="AW1758" s="38"/>
      <c r="AX1758" s="38"/>
      <c r="AY1758" s="38"/>
      <c r="AZ1758" s="38"/>
      <c r="BA1758" s="38"/>
      <c r="BB1758" s="38"/>
      <c r="BC1758" s="38"/>
      <c r="BD1758" s="38"/>
      <c r="BE1758" s="38"/>
      <c r="BF1758" s="38"/>
      <c r="BG1758" s="38"/>
      <c r="BH1758" s="38"/>
      <c r="BI1758" s="38"/>
      <c r="BJ1758" s="38"/>
      <c r="BK1758" s="38"/>
      <c r="BL1758" s="38"/>
      <c r="BM1758" s="38"/>
      <c r="BN1758" s="38"/>
      <c r="BO1758" s="38"/>
      <c r="BP1758" s="38"/>
      <c r="BQ1758" s="38"/>
    </row>
    <row r="1759">
      <c r="A1759" s="394"/>
      <c r="B1759" s="341"/>
      <c r="C1759" s="60"/>
      <c r="D1759" s="60"/>
      <c r="E1759" s="58"/>
      <c r="F1759" s="58"/>
      <c r="G1759" s="58"/>
      <c r="H1759" s="33" t="str">
        <f t="shared" si="33"/>
        <v/>
      </c>
      <c r="I1759" s="58"/>
      <c r="J1759" s="58"/>
      <c r="K1759" s="58"/>
      <c r="L1759" s="58"/>
      <c r="M1759" s="80"/>
      <c r="N1759" s="77"/>
      <c r="O1759" s="62"/>
      <c r="P1759" s="62"/>
      <c r="Q1759" s="62"/>
      <c r="R1759" s="62"/>
      <c r="S1759" s="37" t="str">
        <f>IFERROR(__xludf.DUMMYFUNCTION("if(not(iserror(index(split(C1759, "" ""),2))), index(split(C1759, "" ""),1),"""")"),"")</f>
        <v/>
      </c>
      <c r="T1759" s="315" t="str">
        <f>IFERROR(__xludf.DUMMYFUNCTION("if(S1759="""",C1759,if(not(iserror(index(split(C1759, "" ""),3))), index(split(C1759, "" ""),3),index(split(C1759, "" ""),2)))"),"")</f>
        <v/>
      </c>
      <c r="U1759" s="38" t="b">
        <f t="shared" si="34"/>
        <v>0</v>
      </c>
      <c r="V1759" s="38"/>
      <c r="W1759" s="40"/>
      <c r="X1759" s="40"/>
      <c r="Y1759" s="38"/>
      <c r="Z1759" s="38"/>
      <c r="AA1759" s="38"/>
      <c r="AB1759" s="38"/>
      <c r="AC1759" s="38"/>
      <c r="AD1759" s="38"/>
      <c r="AE1759" s="38"/>
      <c r="AF1759" s="38"/>
      <c r="AG1759" s="38"/>
      <c r="AH1759" s="38"/>
      <c r="AI1759" s="38"/>
      <c r="AJ1759" s="38"/>
      <c r="AK1759" s="38"/>
      <c r="AL1759" s="38"/>
      <c r="AM1759" s="38"/>
      <c r="AN1759" s="38"/>
      <c r="AO1759" s="38"/>
      <c r="AP1759" s="38"/>
      <c r="AQ1759" s="38"/>
      <c r="AR1759" s="38"/>
      <c r="AS1759" s="38"/>
      <c r="AT1759" s="38"/>
      <c r="AU1759" s="38"/>
      <c r="AV1759" s="38"/>
      <c r="AW1759" s="38"/>
      <c r="AX1759" s="38"/>
      <c r="AY1759" s="38"/>
      <c r="AZ1759" s="38"/>
      <c r="BA1759" s="38"/>
      <c r="BB1759" s="38"/>
      <c r="BC1759" s="38"/>
      <c r="BD1759" s="38"/>
      <c r="BE1759" s="38"/>
      <c r="BF1759" s="38"/>
      <c r="BG1759" s="38"/>
      <c r="BH1759" s="38"/>
      <c r="BI1759" s="38"/>
      <c r="BJ1759" s="38"/>
      <c r="BK1759" s="38"/>
      <c r="BL1759" s="38"/>
      <c r="BM1759" s="38"/>
      <c r="BN1759" s="38"/>
      <c r="BO1759" s="38"/>
      <c r="BP1759" s="38"/>
      <c r="BQ1759" s="38"/>
    </row>
    <row r="1760">
      <c r="A1760" s="58"/>
      <c r="B1760" s="341"/>
      <c r="C1760" s="60"/>
      <c r="D1760" s="60"/>
      <c r="E1760" s="58"/>
      <c r="F1760" s="58"/>
      <c r="G1760" s="58"/>
      <c r="H1760" s="33" t="str">
        <f t="shared" si="33"/>
        <v/>
      </c>
      <c r="I1760" s="58"/>
      <c r="J1760" s="58"/>
      <c r="K1760" s="58"/>
      <c r="L1760" s="58"/>
      <c r="M1760" s="80"/>
      <c r="N1760" s="77"/>
      <c r="O1760" s="58"/>
      <c r="P1760" s="62"/>
      <c r="Q1760" s="84"/>
      <c r="R1760" s="62"/>
      <c r="S1760" s="37" t="str">
        <f>IFERROR(__xludf.DUMMYFUNCTION("if(not(iserror(index(split(C1760, "" ""),2))), index(split(C1760, "" ""),1),"""")"),"")</f>
        <v/>
      </c>
      <c r="T1760" s="315" t="str">
        <f>IFERROR(__xludf.DUMMYFUNCTION("if(S1760="""",C1760,if(not(iserror(index(split(C1760, "" ""),3))), index(split(C1760, "" ""),3),index(split(C1760, "" ""),2)))"),"")</f>
        <v/>
      </c>
      <c r="U1760" s="38" t="b">
        <f t="shared" si="34"/>
        <v>0</v>
      </c>
      <c r="V1760" s="38"/>
      <c r="W1760" s="40"/>
      <c r="X1760" s="40"/>
      <c r="Y1760" s="38"/>
      <c r="Z1760" s="38"/>
      <c r="AA1760" s="38"/>
      <c r="AB1760" s="38"/>
      <c r="AC1760" s="38"/>
      <c r="AD1760" s="38"/>
      <c r="AE1760" s="38"/>
      <c r="AF1760" s="38"/>
      <c r="AG1760" s="38"/>
      <c r="AH1760" s="38"/>
      <c r="AI1760" s="38"/>
      <c r="AJ1760" s="38"/>
      <c r="AK1760" s="38"/>
      <c r="AL1760" s="38"/>
      <c r="AM1760" s="38"/>
      <c r="AN1760" s="38"/>
      <c r="AO1760" s="38"/>
      <c r="AP1760" s="38"/>
      <c r="AQ1760" s="38"/>
      <c r="AR1760" s="38"/>
      <c r="AS1760" s="38"/>
      <c r="AT1760" s="38"/>
      <c r="AU1760" s="38"/>
      <c r="AV1760" s="38"/>
      <c r="AW1760" s="38"/>
      <c r="AX1760" s="38"/>
      <c r="AY1760" s="38"/>
      <c r="AZ1760" s="38"/>
      <c r="BA1760" s="38"/>
      <c r="BB1760" s="38"/>
      <c r="BC1760" s="38"/>
      <c r="BD1760" s="38"/>
      <c r="BE1760" s="38"/>
      <c r="BF1760" s="38"/>
      <c r="BG1760" s="38"/>
      <c r="BH1760" s="38"/>
      <c r="BI1760" s="38"/>
      <c r="BJ1760" s="38"/>
      <c r="BK1760" s="38"/>
      <c r="BL1760" s="38"/>
      <c r="BM1760" s="38"/>
      <c r="BN1760" s="38"/>
      <c r="BO1760" s="38"/>
      <c r="BP1760" s="38"/>
      <c r="BQ1760" s="38"/>
    </row>
    <row r="1761">
      <c r="A1761" s="58"/>
      <c r="B1761" s="341"/>
      <c r="C1761" s="60"/>
      <c r="D1761" s="60"/>
      <c r="E1761" s="58"/>
      <c r="F1761" s="58"/>
      <c r="G1761" s="58"/>
      <c r="H1761" s="33" t="str">
        <f t="shared" si="33"/>
        <v/>
      </c>
      <c r="I1761" s="58"/>
      <c r="J1761" s="58"/>
      <c r="K1761" s="58"/>
      <c r="L1761" s="58"/>
      <c r="M1761" s="80"/>
      <c r="N1761" s="77"/>
      <c r="O1761" s="58"/>
      <c r="P1761" s="58"/>
      <c r="Q1761" s="84"/>
      <c r="R1761" s="62"/>
      <c r="S1761" s="37" t="str">
        <f>IFERROR(__xludf.DUMMYFUNCTION("if(not(iserror(index(split(C1761, "" ""),2))), index(split(C1761, "" ""),1),"""")"),"")</f>
        <v/>
      </c>
      <c r="T1761" s="315" t="str">
        <f>IFERROR(__xludf.DUMMYFUNCTION("if(S1761="""",C1761,if(not(iserror(index(split(C1761, "" ""),3))), index(split(C1761, "" ""),3),index(split(C1761, "" ""),2)))"),"")</f>
        <v/>
      </c>
      <c r="U1761" s="38" t="b">
        <f t="shared" si="34"/>
        <v>0</v>
      </c>
      <c r="V1761" s="38"/>
      <c r="W1761" s="40"/>
      <c r="X1761" s="40"/>
      <c r="Y1761" s="38"/>
      <c r="Z1761" s="38"/>
      <c r="AA1761" s="38"/>
      <c r="AB1761" s="38"/>
      <c r="AC1761" s="38"/>
      <c r="AD1761" s="38"/>
      <c r="AE1761" s="38"/>
      <c r="AF1761" s="38"/>
      <c r="AG1761" s="38"/>
      <c r="AH1761" s="38"/>
      <c r="AI1761" s="38"/>
      <c r="AJ1761" s="38"/>
      <c r="AK1761" s="38"/>
      <c r="AL1761" s="38"/>
      <c r="AM1761" s="38"/>
      <c r="AN1761" s="38"/>
      <c r="AO1761" s="38"/>
      <c r="AP1761" s="38"/>
      <c r="AQ1761" s="38"/>
      <c r="AR1761" s="38"/>
      <c r="AS1761" s="38"/>
      <c r="AT1761" s="38"/>
      <c r="AU1761" s="38"/>
      <c r="AV1761" s="38"/>
      <c r="AW1761" s="38"/>
      <c r="AX1761" s="38"/>
      <c r="AY1761" s="38"/>
      <c r="AZ1761" s="38"/>
      <c r="BA1761" s="38"/>
      <c r="BB1761" s="38"/>
      <c r="BC1761" s="38"/>
      <c r="BD1761" s="38"/>
      <c r="BE1761" s="38"/>
      <c r="BF1761" s="38"/>
      <c r="BG1761" s="38"/>
      <c r="BH1761" s="38"/>
      <c r="BI1761" s="38"/>
      <c r="BJ1761" s="38"/>
      <c r="BK1761" s="38"/>
      <c r="BL1761" s="38"/>
      <c r="BM1761" s="38"/>
      <c r="BN1761" s="38"/>
      <c r="BO1761" s="38"/>
      <c r="BP1761" s="38"/>
      <c r="BQ1761" s="38"/>
    </row>
    <row r="1762">
      <c r="A1762" s="91"/>
      <c r="B1762" s="383"/>
      <c r="C1762" s="146"/>
      <c r="D1762" s="146"/>
      <c r="E1762" s="91"/>
      <c r="F1762" s="91"/>
      <c r="G1762" s="91"/>
      <c r="H1762" s="33" t="str">
        <f t="shared" si="33"/>
        <v/>
      </c>
      <c r="I1762" s="91"/>
      <c r="J1762" s="91"/>
      <c r="K1762" s="91"/>
      <c r="L1762" s="37"/>
      <c r="M1762" s="95"/>
      <c r="N1762" s="14"/>
      <c r="O1762" s="120"/>
      <c r="P1762" s="120"/>
      <c r="Q1762" s="58"/>
      <c r="R1762" s="62"/>
      <c r="S1762" s="37" t="str">
        <f>IFERROR(__xludf.DUMMYFUNCTION("if(not(iserror(index(split(C1762, "" ""),2))), index(split(C1762, "" ""),1),"""")"),"")</f>
        <v/>
      </c>
      <c r="T1762" s="315" t="str">
        <f>IFERROR(__xludf.DUMMYFUNCTION("if(S1762="""",C1762,if(not(iserror(index(split(C1762, "" ""),3))), index(split(C1762, "" ""),3),index(split(C1762, "" ""),2)))"),"")</f>
        <v/>
      </c>
      <c r="U1762" s="38" t="b">
        <f t="shared" si="34"/>
        <v>0</v>
      </c>
      <c r="V1762" s="38"/>
      <c r="W1762" s="40"/>
      <c r="X1762" s="40"/>
      <c r="Y1762" s="38"/>
      <c r="Z1762" s="38"/>
      <c r="AA1762" s="38"/>
      <c r="AB1762" s="38"/>
      <c r="AC1762" s="38"/>
      <c r="AD1762" s="38"/>
      <c r="AE1762" s="38"/>
      <c r="AF1762" s="38"/>
      <c r="AG1762" s="38"/>
      <c r="AH1762" s="38"/>
      <c r="AI1762" s="38"/>
      <c r="AJ1762" s="38"/>
      <c r="AK1762" s="38"/>
      <c r="AL1762" s="38"/>
      <c r="AM1762" s="38"/>
      <c r="AN1762" s="38"/>
      <c r="AO1762" s="38"/>
      <c r="AP1762" s="38"/>
      <c r="AQ1762" s="38"/>
      <c r="AR1762" s="38"/>
      <c r="AS1762" s="38"/>
      <c r="AT1762" s="38"/>
      <c r="AU1762" s="38"/>
      <c r="AV1762" s="38"/>
      <c r="AW1762" s="38"/>
      <c r="AX1762" s="38"/>
      <c r="AY1762" s="38"/>
      <c r="AZ1762" s="38"/>
      <c r="BA1762" s="38"/>
      <c r="BB1762" s="38"/>
      <c r="BC1762" s="38"/>
      <c r="BD1762" s="38"/>
      <c r="BE1762" s="38"/>
      <c r="BF1762" s="38"/>
      <c r="BG1762" s="38"/>
      <c r="BH1762" s="38"/>
      <c r="BI1762" s="38"/>
      <c r="BJ1762" s="38"/>
      <c r="BK1762" s="38"/>
      <c r="BL1762" s="38"/>
      <c r="BM1762" s="38"/>
      <c r="BN1762" s="38"/>
      <c r="BO1762" s="38"/>
      <c r="BP1762" s="38"/>
      <c r="BQ1762" s="38"/>
    </row>
    <row r="1763">
      <c r="A1763" s="396"/>
      <c r="B1763" s="341"/>
      <c r="C1763" s="60"/>
      <c r="D1763" s="60"/>
      <c r="E1763" s="58"/>
      <c r="F1763" s="58"/>
      <c r="G1763" s="58"/>
      <c r="H1763" s="33" t="str">
        <f t="shared" si="33"/>
        <v/>
      </c>
      <c r="I1763" s="58"/>
      <c r="J1763" s="58"/>
      <c r="K1763" s="58"/>
      <c r="L1763" s="58"/>
      <c r="M1763" s="80"/>
      <c r="N1763" s="77"/>
      <c r="O1763" s="62"/>
      <c r="P1763" s="62"/>
      <c r="Q1763" s="62"/>
      <c r="R1763" s="62"/>
      <c r="S1763" s="37" t="str">
        <f>IFERROR(__xludf.DUMMYFUNCTION("if(not(iserror(index(split(C1763, "" ""),2))), index(split(C1763, "" ""),1),"""")"),"")</f>
        <v/>
      </c>
      <c r="T1763" s="315" t="str">
        <f>IFERROR(__xludf.DUMMYFUNCTION("if(S1763="""",C1763,if(not(iserror(index(split(C1763, "" ""),3))), index(split(C1763, "" ""),3),index(split(C1763, "" ""),2)))"),"")</f>
        <v/>
      </c>
      <c r="U1763" s="38" t="b">
        <f t="shared" si="34"/>
        <v>0</v>
      </c>
      <c r="V1763" s="38"/>
      <c r="W1763" s="40"/>
      <c r="X1763" s="40"/>
      <c r="Y1763" s="38"/>
      <c r="Z1763" s="38"/>
      <c r="AA1763" s="38"/>
      <c r="AB1763" s="38"/>
      <c r="AC1763" s="38"/>
      <c r="AD1763" s="38"/>
      <c r="AE1763" s="38"/>
      <c r="AF1763" s="38"/>
      <c r="AG1763" s="38"/>
      <c r="AH1763" s="38"/>
      <c r="AI1763" s="38"/>
      <c r="AJ1763" s="38"/>
      <c r="AK1763" s="38"/>
      <c r="AL1763" s="38"/>
      <c r="AM1763" s="38"/>
      <c r="AN1763" s="38"/>
      <c r="AO1763" s="38"/>
      <c r="AP1763" s="38"/>
      <c r="AQ1763" s="38"/>
      <c r="AR1763" s="38"/>
      <c r="AS1763" s="38"/>
      <c r="AT1763" s="38"/>
      <c r="AU1763" s="38"/>
      <c r="AV1763" s="38"/>
      <c r="AW1763" s="38"/>
      <c r="AX1763" s="38"/>
      <c r="AY1763" s="38"/>
      <c r="AZ1763" s="38"/>
      <c r="BA1763" s="38"/>
      <c r="BB1763" s="38"/>
      <c r="BC1763" s="38"/>
      <c r="BD1763" s="38"/>
      <c r="BE1763" s="38"/>
      <c r="BF1763" s="38"/>
      <c r="BG1763" s="38"/>
      <c r="BH1763" s="38"/>
      <c r="BI1763" s="38"/>
      <c r="BJ1763" s="38"/>
      <c r="BK1763" s="38"/>
      <c r="BL1763" s="38"/>
      <c r="BM1763" s="38"/>
      <c r="BN1763" s="38"/>
      <c r="BO1763" s="38"/>
      <c r="BP1763" s="38"/>
      <c r="BQ1763" s="38"/>
    </row>
    <row r="1764">
      <c r="A1764" s="58"/>
      <c r="B1764" s="341"/>
      <c r="C1764" s="60"/>
      <c r="D1764" s="60"/>
      <c r="E1764" s="58"/>
      <c r="F1764" s="58"/>
      <c r="G1764" s="58"/>
      <c r="H1764" s="33" t="str">
        <f t="shared" si="33"/>
        <v/>
      </c>
      <c r="I1764" s="58"/>
      <c r="J1764" s="58"/>
      <c r="K1764" s="58"/>
      <c r="L1764" s="58"/>
      <c r="M1764" s="80"/>
      <c r="N1764" s="77"/>
      <c r="O1764" s="62"/>
      <c r="P1764" s="62"/>
      <c r="Q1764" s="62"/>
      <c r="R1764" s="62"/>
      <c r="S1764" s="37" t="str">
        <f>IFERROR(__xludf.DUMMYFUNCTION("if(not(iserror(index(split(C1764, "" ""),2))), index(split(C1764, "" ""),1),"""")"),"")</f>
        <v/>
      </c>
      <c r="T1764" s="315" t="str">
        <f>IFERROR(__xludf.DUMMYFUNCTION("if(S1764="""",C1764,if(not(iserror(index(split(C1764, "" ""),3))), index(split(C1764, "" ""),3),index(split(C1764, "" ""),2)))"),"")</f>
        <v/>
      </c>
      <c r="U1764" s="38" t="b">
        <f t="shared" si="34"/>
        <v>0</v>
      </c>
      <c r="V1764" s="38"/>
      <c r="W1764" s="40"/>
      <c r="X1764" s="40"/>
      <c r="Y1764" s="38"/>
      <c r="Z1764" s="38"/>
      <c r="AA1764" s="38"/>
      <c r="AB1764" s="38"/>
      <c r="AC1764" s="38"/>
      <c r="AD1764" s="38"/>
      <c r="AE1764" s="38"/>
      <c r="AF1764" s="38"/>
      <c r="AG1764" s="38"/>
      <c r="AH1764" s="38"/>
      <c r="AI1764" s="38"/>
      <c r="AJ1764" s="38"/>
      <c r="AK1764" s="38"/>
      <c r="AL1764" s="38"/>
      <c r="AM1764" s="38"/>
      <c r="AN1764" s="38"/>
      <c r="AO1764" s="38"/>
      <c r="AP1764" s="38"/>
      <c r="AQ1764" s="38"/>
      <c r="AR1764" s="38"/>
      <c r="AS1764" s="38"/>
      <c r="AT1764" s="38"/>
      <c r="AU1764" s="38"/>
      <c r="AV1764" s="38"/>
      <c r="AW1764" s="38"/>
      <c r="AX1764" s="38"/>
      <c r="AY1764" s="38"/>
      <c r="AZ1764" s="38"/>
      <c r="BA1764" s="38"/>
      <c r="BB1764" s="38"/>
      <c r="BC1764" s="38"/>
      <c r="BD1764" s="38"/>
      <c r="BE1764" s="38"/>
      <c r="BF1764" s="38"/>
      <c r="BG1764" s="38"/>
      <c r="BH1764" s="38"/>
      <c r="BI1764" s="38"/>
      <c r="BJ1764" s="38"/>
      <c r="BK1764" s="38"/>
      <c r="BL1764" s="38"/>
      <c r="BM1764" s="38"/>
      <c r="BN1764" s="38"/>
      <c r="BO1764" s="38"/>
      <c r="BP1764" s="38"/>
      <c r="BQ1764" s="38"/>
    </row>
    <row r="1765">
      <c r="A1765" s="58"/>
      <c r="B1765" s="341"/>
      <c r="C1765" s="60"/>
      <c r="D1765" s="60"/>
      <c r="E1765" s="58"/>
      <c r="F1765" s="58"/>
      <c r="G1765" s="58"/>
      <c r="H1765" s="33" t="str">
        <f t="shared" si="33"/>
        <v/>
      </c>
      <c r="I1765" s="58"/>
      <c r="J1765" s="58"/>
      <c r="K1765" s="58"/>
      <c r="L1765" s="58"/>
      <c r="M1765" s="80"/>
      <c r="N1765" s="77"/>
      <c r="O1765" s="62"/>
      <c r="P1765" s="62"/>
      <c r="Q1765" s="62"/>
      <c r="R1765" s="62"/>
      <c r="S1765" s="37" t="str">
        <f>IFERROR(__xludf.DUMMYFUNCTION("if(not(iserror(index(split(C1765, "" ""),2))), index(split(C1765, "" ""),1),"""")"),"")</f>
        <v/>
      </c>
      <c r="T1765" s="315" t="str">
        <f>IFERROR(__xludf.DUMMYFUNCTION("if(S1765="""",C1765,if(not(iserror(index(split(C1765, "" ""),3))), index(split(C1765, "" ""),3),index(split(C1765, "" ""),2)))"),"")</f>
        <v/>
      </c>
      <c r="U1765" s="38" t="b">
        <f t="shared" si="34"/>
        <v>0</v>
      </c>
      <c r="V1765" s="38"/>
      <c r="W1765" s="40"/>
      <c r="X1765" s="40"/>
      <c r="Y1765" s="38"/>
      <c r="Z1765" s="38"/>
      <c r="AA1765" s="38"/>
      <c r="AB1765" s="38"/>
      <c r="AC1765" s="38"/>
      <c r="AD1765" s="38"/>
      <c r="AE1765" s="38"/>
      <c r="AF1765" s="38"/>
      <c r="AG1765" s="38"/>
      <c r="AH1765" s="38"/>
      <c r="AI1765" s="38"/>
      <c r="AJ1765" s="38"/>
      <c r="AK1765" s="38"/>
      <c r="AL1765" s="38"/>
      <c r="AM1765" s="38"/>
      <c r="AN1765" s="38"/>
      <c r="AO1765" s="38"/>
      <c r="AP1765" s="38"/>
      <c r="AQ1765" s="38"/>
      <c r="AR1765" s="38"/>
      <c r="AS1765" s="38"/>
      <c r="AT1765" s="38"/>
      <c r="AU1765" s="38"/>
      <c r="AV1765" s="38"/>
      <c r="AW1765" s="38"/>
      <c r="AX1765" s="38"/>
      <c r="AY1765" s="38"/>
      <c r="AZ1765" s="38"/>
      <c r="BA1765" s="38"/>
      <c r="BB1765" s="38"/>
      <c r="BC1765" s="38"/>
      <c r="BD1765" s="38"/>
      <c r="BE1765" s="38"/>
      <c r="BF1765" s="38"/>
      <c r="BG1765" s="38"/>
      <c r="BH1765" s="38"/>
      <c r="BI1765" s="38"/>
      <c r="BJ1765" s="38"/>
      <c r="BK1765" s="38"/>
      <c r="BL1765" s="38"/>
      <c r="BM1765" s="38"/>
      <c r="BN1765" s="38"/>
      <c r="BO1765" s="38"/>
      <c r="BP1765" s="38"/>
      <c r="BQ1765" s="38"/>
    </row>
    <row r="1766">
      <c r="A1766" s="58"/>
      <c r="B1766" s="341"/>
      <c r="C1766" s="60"/>
      <c r="D1766" s="60"/>
      <c r="E1766" s="58"/>
      <c r="F1766" s="58"/>
      <c r="G1766" s="58"/>
      <c r="H1766" s="33" t="str">
        <f t="shared" si="33"/>
        <v/>
      </c>
      <c r="I1766" s="58"/>
      <c r="J1766" s="58"/>
      <c r="K1766" s="58"/>
      <c r="L1766" s="58"/>
      <c r="M1766" s="80"/>
      <c r="N1766" s="77"/>
      <c r="O1766" s="62"/>
      <c r="P1766" s="58"/>
      <c r="Q1766" s="84"/>
      <c r="R1766" s="62"/>
      <c r="S1766" s="37" t="str">
        <f>IFERROR(__xludf.DUMMYFUNCTION("if(not(iserror(index(split(C1766, "" ""),2))), index(split(C1766, "" ""),1),"""")"),"")</f>
        <v/>
      </c>
      <c r="T1766" s="315" t="str">
        <f>IFERROR(__xludf.DUMMYFUNCTION("if(S1766="""",C1766,if(not(iserror(index(split(C1766, "" ""),3))), index(split(C1766, "" ""),3),index(split(C1766, "" ""),2)))"),"")</f>
        <v/>
      </c>
      <c r="U1766" s="38" t="b">
        <f t="shared" si="34"/>
        <v>0</v>
      </c>
      <c r="V1766" s="38"/>
      <c r="W1766" s="40"/>
      <c r="X1766" s="40"/>
      <c r="Y1766" s="38"/>
      <c r="Z1766" s="38"/>
      <c r="AA1766" s="38"/>
      <c r="AB1766" s="38"/>
      <c r="AC1766" s="38"/>
      <c r="AD1766" s="38"/>
      <c r="AE1766" s="38"/>
      <c r="AF1766" s="38"/>
      <c r="AG1766" s="38"/>
      <c r="AH1766" s="38"/>
      <c r="AI1766" s="38"/>
      <c r="AJ1766" s="38"/>
      <c r="AK1766" s="38"/>
      <c r="AL1766" s="38"/>
      <c r="AM1766" s="38"/>
      <c r="AN1766" s="38"/>
      <c r="AO1766" s="38"/>
      <c r="AP1766" s="38"/>
      <c r="AQ1766" s="38"/>
      <c r="AR1766" s="38"/>
      <c r="AS1766" s="38"/>
      <c r="AT1766" s="38"/>
      <c r="AU1766" s="38"/>
      <c r="AV1766" s="38"/>
      <c r="AW1766" s="38"/>
      <c r="AX1766" s="38"/>
      <c r="AY1766" s="38"/>
      <c r="AZ1766" s="38"/>
      <c r="BA1766" s="38"/>
      <c r="BB1766" s="38"/>
      <c r="BC1766" s="38"/>
      <c r="BD1766" s="38"/>
      <c r="BE1766" s="38"/>
      <c r="BF1766" s="38"/>
      <c r="BG1766" s="38"/>
      <c r="BH1766" s="38"/>
      <c r="BI1766" s="38"/>
      <c r="BJ1766" s="38"/>
      <c r="BK1766" s="38"/>
      <c r="BL1766" s="38"/>
      <c r="BM1766" s="38"/>
      <c r="BN1766" s="38"/>
      <c r="BO1766" s="38"/>
      <c r="BP1766" s="38"/>
      <c r="BQ1766" s="38"/>
    </row>
    <row r="1767">
      <c r="A1767" s="58"/>
      <c r="B1767" s="341"/>
      <c r="C1767" s="60"/>
      <c r="D1767" s="60"/>
      <c r="E1767" s="58"/>
      <c r="F1767" s="58"/>
      <c r="G1767" s="58"/>
      <c r="H1767" s="33" t="str">
        <f t="shared" si="33"/>
        <v/>
      </c>
      <c r="I1767" s="58"/>
      <c r="J1767" s="58"/>
      <c r="K1767" s="58"/>
      <c r="L1767" s="58"/>
      <c r="M1767" s="397"/>
      <c r="N1767" s="77"/>
      <c r="O1767" s="58"/>
      <c r="P1767" s="58"/>
      <c r="Q1767" s="84"/>
      <c r="R1767" s="62"/>
      <c r="S1767" s="37" t="str">
        <f>IFERROR(__xludf.DUMMYFUNCTION("if(not(iserror(index(split(C1767, "" ""),2))), index(split(C1767, "" ""),1),"""")"),"")</f>
        <v/>
      </c>
      <c r="T1767" s="315" t="str">
        <f>IFERROR(__xludf.DUMMYFUNCTION("if(S1767="""",C1767,if(not(iserror(index(split(C1767, "" ""),3))), index(split(C1767, "" ""),3),index(split(C1767, "" ""),2)))"),"")</f>
        <v/>
      </c>
      <c r="U1767" s="38" t="b">
        <f t="shared" si="34"/>
        <v>0</v>
      </c>
      <c r="V1767" s="38"/>
      <c r="W1767" s="40"/>
      <c r="X1767" s="40"/>
      <c r="Y1767" s="38"/>
      <c r="Z1767" s="38"/>
      <c r="AA1767" s="38"/>
      <c r="AB1767" s="38"/>
      <c r="AC1767" s="38"/>
      <c r="AD1767" s="38"/>
      <c r="AE1767" s="38"/>
      <c r="AF1767" s="38"/>
      <c r="AG1767" s="38"/>
      <c r="AH1767" s="38"/>
      <c r="AI1767" s="38"/>
      <c r="AJ1767" s="38"/>
      <c r="AK1767" s="38"/>
      <c r="AL1767" s="38"/>
      <c r="AM1767" s="38"/>
      <c r="AN1767" s="38"/>
      <c r="AO1767" s="38"/>
      <c r="AP1767" s="38"/>
      <c r="AQ1767" s="38"/>
      <c r="AR1767" s="38"/>
      <c r="AS1767" s="38"/>
      <c r="AT1767" s="38"/>
      <c r="AU1767" s="38"/>
      <c r="AV1767" s="38"/>
      <c r="AW1767" s="38"/>
      <c r="AX1767" s="38"/>
      <c r="AY1767" s="38"/>
      <c r="AZ1767" s="38"/>
      <c r="BA1767" s="38"/>
      <c r="BB1767" s="38"/>
      <c r="BC1767" s="38"/>
      <c r="BD1767" s="38"/>
      <c r="BE1767" s="38"/>
      <c r="BF1767" s="38"/>
      <c r="BG1767" s="38"/>
      <c r="BH1767" s="38"/>
      <c r="BI1767" s="38"/>
      <c r="BJ1767" s="38"/>
      <c r="BK1767" s="38"/>
      <c r="BL1767" s="38"/>
      <c r="BM1767" s="38"/>
      <c r="BN1767" s="38"/>
      <c r="BO1767" s="38"/>
      <c r="BP1767" s="38"/>
      <c r="BQ1767" s="38"/>
    </row>
    <row r="1768">
      <c r="A1768" s="58"/>
      <c r="B1768" s="341"/>
      <c r="C1768" s="60"/>
      <c r="D1768" s="60"/>
      <c r="E1768" s="58"/>
      <c r="F1768" s="58"/>
      <c r="G1768" s="58"/>
      <c r="H1768" s="33" t="str">
        <f t="shared" si="33"/>
        <v/>
      </c>
      <c r="I1768" s="58"/>
      <c r="J1768" s="58"/>
      <c r="K1768" s="58"/>
      <c r="L1768" s="58"/>
      <c r="M1768" s="80"/>
      <c r="N1768" s="77"/>
      <c r="O1768" s="58"/>
      <c r="P1768" s="58"/>
      <c r="Q1768" s="84"/>
      <c r="R1768" s="62"/>
      <c r="S1768" s="37" t="str">
        <f>IFERROR(__xludf.DUMMYFUNCTION("if(not(iserror(index(split(C1768, "" ""),2))), index(split(C1768, "" ""),1),"""")"),"")</f>
        <v/>
      </c>
      <c r="T1768" s="315" t="str">
        <f>IFERROR(__xludf.DUMMYFUNCTION("if(S1768="""",C1768,if(not(iserror(index(split(C1768, "" ""),3))), index(split(C1768, "" ""),3),index(split(C1768, "" ""),2)))"),"")</f>
        <v/>
      </c>
      <c r="U1768" s="38" t="b">
        <f t="shared" si="34"/>
        <v>0</v>
      </c>
      <c r="V1768" s="38"/>
      <c r="W1768" s="40"/>
      <c r="X1768" s="40"/>
      <c r="Y1768" s="38"/>
      <c r="Z1768" s="38"/>
      <c r="AA1768" s="38"/>
      <c r="AB1768" s="38"/>
      <c r="AC1768" s="38"/>
      <c r="AD1768" s="38"/>
      <c r="AE1768" s="38"/>
      <c r="AF1768" s="38"/>
      <c r="AG1768" s="38"/>
      <c r="AH1768" s="38"/>
      <c r="AI1768" s="38"/>
      <c r="AJ1768" s="38"/>
      <c r="AK1768" s="38"/>
      <c r="AL1768" s="38"/>
      <c r="AM1768" s="38"/>
      <c r="AN1768" s="38"/>
      <c r="AO1768" s="38"/>
      <c r="AP1768" s="38"/>
      <c r="AQ1768" s="38"/>
      <c r="AR1768" s="38"/>
      <c r="AS1768" s="38"/>
      <c r="AT1768" s="38"/>
      <c r="AU1768" s="38"/>
      <c r="AV1768" s="38"/>
      <c r="AW1768" s="38"/>
      <c r="AX1768" s="38"/>
      <c r="AY1768" s="38"/>
      <c r="AZ1768" s="38"/>
      <c r="BA1768" s="38"/>
      <c r="BB1768" s="38"/>
      <c r="BC1768" s="38"/>
      <c r="BD1768" s="38"/>
      <c r="BE1768" s="38"/>
      <c r="BF1768" s="38"/>
      <c r="BG1768" s="38"/>
      <c r="BH1768" s="38"/>
      <c r="BI1768" s="38"/>
      <c r="BJ1768" s="38"/>
      <c r="BK1768" s="38"/>
      <c r="BL1768" s="38"/>
      <c r="BM1768" s="38"/>
      <c r="BN1768" s="38"/>
      <c r="BO1768" s="38"/>
      <c r="BP1768" s="38"/>
      <c r="BQ1768" s="38"/>
    </row>
    <row r="1769">
      <c r="A1769" s="58"/>
      <c r="B1769" s="341"/>
      <c r="C1769" s="60"/>
      <c r="D1769" s="60"/>
      <c r="E1769" s="58"/>
      <c r="F1769" s="58"/>
      <c r="G1769" s="58"/>
      <c r="H1769" s="33" t="str">
        <f t="shared" si="33"/>
        <v/>
      </c>
      <c r="I1769" s="58"/>
      <c r="J1769" s="58"/>
      <c r="K1769" s="58"/>
      <c r="L1769" s="58"/>
      <c r="M1769" s="80"/>
      <c r="N1769" s="77"/>
      <c r="O1769" s="62"/>
      <c r="P1769" s="62"/>
      <c r="Q1769" s="62"/>
      <c r="R1769" s="62"/>
      <c r="S1769" s="37" t="str">
        <f>IFERROR(__xludf.DUMMYFUNCTION("if(not(iserror(index(split(C1769, "" ""),2))), index(split(C1769, "" ""),1),"""")"),"")</f>
        <v/>
      </c>
      <c r="T1769" s="315" t="str">
        <f>IFERROR(__xludf.DUMMYFUNCTION("if(S1769="""",C1769,if(not(iserror(index(split(C1769, "" ""),3))), index(split(C1769, "" ""),3),index(split(C1769, "" ""),2)))"),"")</f>
        <v/>
      </c>
      <c r="U1769" s="38" t="b">
        <f t="shared" si="34"/>
        <v>0</v>
      </c>
      <c r="V1769" s="38"/>
      <c r="W1769" s="40"/>
      <c r="X1769" s="40"/>
      <c r="Y1769" s="38"/>
      <c r="Z1769" s="38"/>
      <c r="AA1769" s="38"/>
      <c r="AB1769" s="38"/>
      <c r="AC1769" s="38"/>
      <c r="AD1769" s="38"/>
      <c r="AE1769" s="38"/>
      <c r="AF1769" s="38"/>
      <c r="AG1769" s="38"/>
      <c r="AH1769" s="38"/>
      <c r="AI1769" s="38"/>
      <c r="AJ1769" s="38"/>
      <c r="AK1769" s="38"/>
      <c r="AL1769" s="38"/>
      <c r="AM1769" s="38"/>
      <c r="AN1769" s="38"/>
      <c r="AO1769" s="38"/>
      <c r="AP1769" s="38"/>
      <c r="AQ1769" s="38"/>
      <c r="AR1769" s="38"/>
      <c r="AS1769" s="38"/>
      <c r="AT1769" s="38"/>
      <c r="AU1769" s="38"/>
      <c r="AV1769" s="38"/>
      <c r="AW1769" s="38"/>
      <c r="AX1769" s="38"/>
      <c r="AY1769" s="38"/>
      <c r="AZ1769" s="38"/>
      <c r="BA1769" s="38"/>
      <c r="BB1769" s="38"/>
      <c r="BC1769" s="38"/>
      <c r="BD1769" s="38"/>
      <c r="BE1769" s="38"/>
      <c r="BF1769" s="38"/>
      <c r="BG1769" s="38"/>
      <c r="BH1769" s="38"/>
      <c r="BI1769" s="38"/>
      <c r="BJ1769" s="38"/>
      <c r="BK1769" s="38"/>
      <c r="BL1769" s="38"/>
      <c r="BM1769" s="38"/>
      <c r="BN1769" s="38"/>
      <c r="BO1769" s="38"/>
      <c r="BP1769" s="38"/>
      <c r="BQ1769" s="38"/>
    </row>
    <row r="1770">
      <c r="A1770" s="58"/>
      <c r="B1770" s="341"/>
      <c r="C1770" s="60"/>
      <c r="D1770" s="60"/>
      <c r="E1770" s="58"/>
      <c r="F1770" s="58"/>
      <c r="G1770" s="58"/>
      <c r="H1770" s="33" t="str">
        <f t="shared" si="33"/>
        <v/>
      </c>
      <c r="I1770" s="58"/>
      <c r="J1770" s="58"/>
      <c r="K1770" s="58"/>
      <c r="L1770" s="58"/>
      <c r="M1770" s="80"/>
      <c r="N1770" s="77"/>
      <c r="O1770" s="62"/>
      <c r="P1770" s="62"/>
      <c r="Q1770" s="62"/>
      <c r="R1770" s="62"/>
      <c r="S1770" s="37" t="str">
        <f>IFERROR(__xludf.DUMMYFUNCTION("if(not(iserror(index(split(C1770, "" ""),2))), index(split(C1770, "" ""),1),"""")"),"")</f>
        <v/>
      </c>
      <c r="T1770" s="315" t="str">
        <f>IFERROR(__xludf.DUMMYFUNCTION("if(S1770="""",C1770,if(not(iserror(index(split(C1770, "" ""),3))), index(split(C1770, "" ""),3),index(split(C1770, "" ""),2)))"),"")</f>
        <v/>
      </c>
      <c r="U1770" s="38" t="b">
        <f t="shared" si="34"/>
        <v>0</v>
      </c>
      <c r="V1770" s="38"/>
      <c r="W1770" s="40"/>
      <c r="X1770" s="40"/>
      <c r="Y1770" s="38"/>
      <c r="Z1770" s="38"/>
      <c r="AA1770" s="38"/>
      <c r="AB1770" s="38"/>
      <c r="AC1770" s="38"/>
      <c r="AD1770" s="38"/>
      <c r="AE1770" s="38"/>
      <c r="AF1770" s="38"/>
      <c r="AG1770" s="38"/>
      <c r="AH1770" s="38"/>
      <c r="AI1770" s="38"/>
      <c r="AJ1770" s="38"/>
      <c r="AK1770" s="38"/>
      <c r="AL1770" s="38"/>
      <c r="AM1770" s="38"/>
      <c r="AN1770" s="38"/>
      <c r="AO1770" s="38"/>
      <c r="AP1770" s="38"/>
      <c r="AQ1770" s="38"/>
      <c r="AR1770" s="38"/>
      <c r="AS1770" s="38"/>
      <c r="AT1770" s="38"/>
      <c r="AU1770" s="38"/>
      <c r="AV1770" s="38"/>
      <c r="AW1770" s="38"/>
      <c r="AX1770" s="38"/>
      <c r="AY1770" s="38"/>
      <c r="AZ1770" s="38"/>
      <c r="BA1770" s="38"/>
      <c r="BB1770" s="38"/>
      <c r="BC1770" s="38"/>
      <c r="BD1770" s="38"/>
      <c r="BE1770" s="38"/>
      <c r="BF1770" s="38"/>
      <c r="BG1770" s="38"/>
      <c r="BH1770" s="38"/>
      <c r="BI1770" s="38"/>
      <c r="BJ1770" s="38"/>
      <c r="BK1770" s="38"/>
      <c r="BL1770" s="38"/>
      <c r="BM1770" s="38"/>
      <c r="BN1770" s="38"/>
      <c r="BO1770" s="38"/>
      <c r="BP1770" s="38"/>
      <c r="BQ1770" s="38"/>
    </row>
    <row r="1771">
      <c r="A1771" s="58"/>
      <c r="B1771" s="341"/>
      <c r="C1771" s="60"/>
      <c r="D1771" s="60"/>
      <c r="E1771" s="58"/>
      <c r="F1771" s="58"/>
      <c r="G1771" s="58"/>
      <c r="H1771" s="33" t="str">
        <f t="shared" si="33"/>
        <v/>
      </c>
      <c r="I1771" s="58"/>
      <c r="J1771" s="58"/>
      <c r="K1771" s="58"/>
      <c r="L1771" s="58"/>
      <c r="M1771" s="80"/>
      <c r="N1771" s="77"/>
      <c r="O1771" s="62"/>
      <c r="P1771" s="62"/>
      <c r="Q1771" s="62"/>
      <c r="R1771" s="62"/>
      <c r="S1771" s="37" t="str">
        <f>IFERROR(__xludf.DUMMYFUNCTION("if(not(iserror(index(split(C1771, "" ""),2))), index(split(C1771, "" ""),1),"""")"),"")</f>
        <v/>
      </c>
      <c r="T1771" s="315" t="str">
        <f>IFERROR(__xludf.DUMMYFUNCTION("if(S1771="""",C1771,if(not(iserror(index(split(C1771, "" ""),3))), index(split(C1771, "" ""),3),index(split(C1771, "" ""),2)))"),"")</f>
        <v/>
      </c>
      <c r="U1771" s="38" t="b">
        <f t="shared" si="34"/>
        <v>0</v>
      </c>
      <c r="V1771" s="38"/>
      <c r="W1771" s="40"/>
      <c r="X1771" s="40"/>
      <c r="Y1771" s="38"/>
      <c r="Z1771" s="38"/>
      <c r="AA1771" s="38"/>
      <c r="AB1771" s="38"/>
      <c r="AC1771" s="38"/>
      <c r="AD1771" s="38"/>
      <c r="AE1771" s="38"/>
      <c r="AF1771" s="38"/>
      <c r="AG1771" s="38"/>
      <c r="AH1771" s="38"/>
      <c r="AI1771" s="38"/>
      <c r="AJ1771" s="38"/>
      <c r="AK1771" s="38"/>
      <c r="AL1771" s="38"/>
      <c r="AM1771" s="38"/>
      <c r="AN1771" s="38"/>
      <c r="AO1771" s="38"/>
      <c r="AP1771" s="38"/>
      <c r="AQ1771" s="38"/>
      <c r="AR1771" s="38"/>
      <c r="AS1771" s="38"/>
      <c r="AT1771" s="38"/>
      <c r="AU1771" s="38"/>
      <c r="AV1771" s="38"/>
      <c r="AW1771" s="38"/>
      <c r="AX1771" s="38"/>
      <c r="AY1771" s="38"/>
      <c r="AZ1771" s="38"/>
      <c r="BA1771" s="38"/>
      <c r="BB1771" s="38"/>
      <c r="BC1771" s="38"/>
      <c r="BD1771" s="38"/>
      <c r="BE1771" s="38"/>
      <c r="BF1771" s="38"/>
      <c r="BG1771" s="38"/>
      <c r="BH1771" s="38"/>
      <c r="BI1771" s="38"/>
      <c r="BJ1771" s="38"/>
      <c r="BK1771" s="38"/>
      <c r="BL1771" s="38"/>
      <c r="BM1771" s="38"/>
      <c r="BN1771" s="38"/>
      <c r="BO1771" s="38"/>
      <c r="BP1771" s="38"/>
      <c r="BQ1771" s="38"/>
    </row>
    <row r="1772">
      <c r="A1772" s="58"/>
      <c r="B1772" s="341"/>
      <c r="C1772" s="60"/>
      <c r="D1772" s="60"/>
      <c r="E1772" s="58"/>
      <c r="F1772" s="58"/>
      <c r="G1772" s="58"/>
      <c r="H1772" s="33" t="str">
        <f t="shared" si="33"/>
        <v/>
      </c>
      <c r="I1772" s="58"/>
      <c r="J1772" s="58"/>
      <c r="K1772" s="58"/>
      <c r="L1772" s="58"/>
      <c r="M1772" s="80"/>
      <c r="N1772" s="77"/>
      <c r="O1772" s="62"/>
      <c r="P1772" s="62"/>
      <c r="Q1772" s="62"/>
      <c r="R1772" s="62"/>
      <c r="S1772" s="37" t="str">
        <f>IFERROR(__xludf.DUMMYFUNCTION("if(not(iserror(index(split(C1772, "" ""),2))), index(split(C1772, "" ""),1),"""")"),"")</f>
        <v/>
      </c>
      <c r="T1772" s="315" t="str">
        <f>IFERROR(__xludf.DUMMYFUNCTION("if(S1772="""",C1772,if(not(iserror(index(split(C1772, "" ""),3))), index(split(C1772, "" ""),3),index(split(C1772, "" ""),2)))"),"")</f>
        <v/>
      </c>
      <c r="U1772" s="38" t="b">
        <f t="shared" si="34"/>
        <v>0</v>
      </c>
      <c r="V1772" s="38"/>
      <c r="W1772" s="40"/>
      <c r="X1772" s="40"/>
      <c r="Y1772" s="38"/>
      <c r="Z1772" s="38"/>
      <c r="AA1772" s="38"/>
      <c r="AB1772" s="38"/>
      <c r="AC1772" s="38"/>
      <c r="AD1772" s="38"/>
      <c r="AE1772" s="38"/>
      <c r="AF1772" s="38"/>
      <c r="AG1772" s="38"/>
      <c r="AH1772" s="38"/>
      <c r="AI1772" s="38"/>
      <c r="AJ1772" s="38"/>
      <c r="AK1772" s="38"/>
      <c r="AL1772" s="38"/>
      <c r="AM1772" s="38"/>
      <c r="AN1772" s="38"/>
      <c r="AO1772" s="38"/>
      <c r="AP1772" s="38"/>
      <c r="AQ1772" s="38"/>
      <c r="AR1772" s="38"/>
      <c r="AS1772" s="38"/>
      <c r="AT1772" s="38"/>
      <c r="AU1772" s="38"/>
      <c r="AV1772" s="38"/>
      <c r="AW1772" s="38"/>
      <c r="AX1772" s="38"/>
      <c r="AY1772" s="38"/>
      <c r="AZ1772" s="38"/>
      <c r="BA1772" s="38"/>
      <c r="BB1772" s="38"/>
      <c r="BC1772" s="38"/>
      <c r="BD1772" s="38"/>
      <c r="BE1772" s="38"/>
      <c r="BF1772" s="38"/>
      <c r="BG1772" s="38"/>
      <c r="BH1772" s="38"/>
      <c r="BI1772" s="38"/>
      <c r="BJ1772" s="38"/>
      <c r="BK1772" s="38"/>
      <c r="BL1772" s="38"/>
      <c r="BM1772" s="38"/>
      <c r="BN1772" s="38"/>
      <c r="BO1772" s="38"/>
      <c r="BP1772" s="38"/>
      <c r="BQ1772" s="38"/>
    </row>
    <row r="1773">
      <c r="A1773" s="58"/>
      <c r="B1773" s="341"/>
      <c r="C1773" s="60"/>
      <c r="D1773" s="60"/>
      <c r="E1773" s="58"/>
      <c r="F1773" s="58"/>
      <c r="G1773" s="58"/>
      <c r="H1773" s="33" t="str">
        <f t="shared" si="33"/>
        <v/>
      </c>
      <c r="I1773" s="58"/>
      <c r="J1773" s="58"/>
      <c r="K1773" s="58"/>
      <c r="L1773" s="58"/>
      <c r="M1773" s="80"/>
      <c r="N1773" s="77"/>
      <c r="O1773" s="62"/>
      <c r="P1773" s="62"/>
      <c r="Q1773" s="62"/>
      <c r="R1773" s="62"/>
      <c r="S1773" s="37" t="str">
        <f>IFERROR(__xludf.DUMMYFUNCTION("if(not(iserror(index(split(C1773, "" ""),2))), index(split(C1773, "" ""),1),"""")"),"")</f>
        <v/>
      </c>
      <c r="T1773" s="315" t="str">
        <f>IFERROR(__xludf.DUMMYFUNCTION("if(S1773="""",C1773,if(not(iserror(index(split(C1773, "" ""),3))), index(split(C1773, "" ""),3),index(split(C1773, "" ""),2)))"),"")</f>
        <v/>
      </c>
      <c r="U1773" s="38" t="b">
        <f t="shared" si="34"/>
        <v>0</v>
      </c>
      <c r="V1773" s="38"/>
      <c r="W1773" s="40"/>
      <c r="X1773" s="40"/>
      <c r="Y1773" s="38"/>
      <c r="Z1773" s="38"/>
      <c r="AA1773" s="38"/>
      <c r="AB1773" s="38"/>
      <c r="AC1773" s="38"/>
      <c r="AD1773" s="38"/>
      <c r="AE1773" s="38"/>
      <c r="AF1773" s="38"/>
      <c r="AG1773" s="38"/>
      <c r="AH1773" s="38"/>
      <c r="AI1773" s="38"/>
      <c r="AJ1773" s="38"/>
      <c r="AK1773" s="38"/>
      <c r="AL1773" s="38"/>
      <c r="AM1773" s="38"/>
      <c r="AN1773" s="38"/>
      <c r="AO1773" s="38"/>
      <c r="AP1773" s="38"/>
      <c r="AQ1773" s="38"/>
      <c r="AR1773" s="38"/>
      <c r="AS1773" s="38"/>
      <c r="AT1773" s="38"/>
      <c r="AU1773" s="38"/>
      <c r="AV1773" s="38"/>
      <c r="AW1773" s="38"/>
      <c r="AX1773" s="38"/>
      <c r="AY1773" s="38"/>
      <c r="AZ1773" s="38"/>
      <c r="BA1773" s="38"/>
      <c r="BB1773" s="38"/>
      <c r="BC1773" s="38"/>
      <c r="BD1773" s="38"/>
      <c r="BE1773" s="38"/>
      <c r="BF1773" s="38"/>
      <c r="BG1773" s="38"/>
      <c r="BH1773" s="38"/>
      <c r="BI1773" s="38"/>
      <c r="BJ1773" s="38"/>
      <c r="BK1773" s="38"/>
      <c r="BL1773" s="38"/>
      <c r="BM1773" s="38"/>
      <c r="BN1773" s="38"/>
      <c r="BO1773" s="38"/>
      <c r="BP1773" s="38"/>
      <c r="BQ1773" s="38"/>
    </row>
    <row r="1774">
      <c r="A1774" s="375"/>
      <c r="B1774" s="341"/>
      <c r="C1774" s="60"/>
      <c r="D1774" s="60"/>
      <c r="E1774" s="58"/>
      <c r="F1774" s="58"/>
      <c r="G1774" s="58"/>
      <c r="H1774" s="33" t="str">
        <f t="shared" si="33"/>
        <v/>
      </c>
      <c r="I1774" s="58"/>
      <c r="J1774" s="58"/>
      <c r="K1774" s="58"/>
      <c r="L1774" s="58"/>
      <c r="M1774" s="80"/>
      <c r="N1774" s="77"/>
      <c r="O1774" s="62"/>
      <c r="P1774" s="62"/>
      <c r="Q1774" s="84"/>
      <c r="R1774" s="62"/>
      <c r="S1774" s="37" t="str">
        <f>IFERROR(__xludf.DUMMYFUNCTION("if(not(iserror(index(split(C1774, "" ""),2))), index(split(C1774, "" ""),1),"""")"),"")</f>
        <v/>
      </c>
      <c r="T1774" s="315" t="str">
        <f>IFERROR(__xludf.DUMMYFUNCTION("if(S1774="""",C1774,if(not(iserror(index(split(C1774, "" ""),3))), index(split(C1774, "" ""),3),index(split(C1774, "" ""),2)))"),"")</f>
        <v/>
      </c>
      <c r="U1774" s="38" t="b">
        <f t="shared" si="34"/>
        <v>0</v>
      </c>
      <c r="V1774" s="38"/>
      <c r="W1774" s="40"/>
      <c r="X1774" s="40"/>
      <c r="Y1774" s="38"/>
      <c r="Z1774" s="38"/>
      <c r="AA1774" s="38"/>
      <c r="AB1774" s="38"/>
      <c r="AC1774" s="38"/>
      <c r="AD1774" s="38"/>
      <c r="AE1774" s="38"/>
      <c r="AF1774" s="38"/>
      <c r="AG1774" s="38"/>
      <c r="AH1774" s="38"/>
      <c r="AI1774" s="38"/>
      <c r="AJ1774" s="38"/>
      <c r="AK1774" s="38"/>
      <c r="AL1774" s="38"/>
      <c r="AM1774" s="38"/>
      <c r="AN1774" s="38"/>
      <c r="AO1774" s="38"/>
      <c r="AP1774" s="38"/>
      <c r="AQ1774" s="38"/>
      <c r="AR1774" s="38"/>
      <c r="AS1774" s="38"/>
      <c r="AT1774" s="38"/>
      <c r="AU1774" s="38"/>
      <c r="AV1774" s="38"/>
      <c r="AW1774" s="38"/>
      <c r="AX1774" s="38"/>
      <c r="AY1774" s="38"/>
      <c r="AZ1774" s="38"/>
      <c r="BA1774" s="38"/>
      <c r="BB1774" s="38"/>
      <c r="BC1774" s="38"/>
      <c r="BD1774" s="38"/>
      <c r="BE1774" s="38"/>
      <c r="BF1774" s="38"/>
      <c r="BG1774" s="38"/>
      <c r="BH1774" s="38"/>
      <c r="BI1774" s="38"/>
      <c r="BJ1774" s="38"/>
      <c r="BK1774" s="38"/>
      <c r="BL1774" s="38"/>
      <c r="BM1774" s="38"/>
      <c r="BN1774" s="38"/>
      <c r="BO1774" s="38"/>
      <c r="BP1774" s="38"/>
      <c r="BQ1774" s="38"/>
    </row>
    <row r="1775">
      <c r="A1775" s="58"/>
      <c r="B1775" s="341"/>
      <c r="C1775" s="60"/>
      <c r="D1775" s="60"/>
      <c r="E1775" s="58"/>
      <c r="F1775" s="58"/>
      <c r="G1775" s="58"/>
      <c r="H1775" s="33" t="str">
        <f t="shared" si="33"/>
        <v/>
      </c>
      <c r="I1775" s="58"/>
      <c r="J1775" s="58"/>
      <c r="K1775" s="58"/>
      <c r="L1775" s="58"/>
      <c r="M1775" s="80"/>
      <c r="N1775" s="77"/>
      <c r="O1775" s="62"/>
      <c r="P1775" s="62"/>
      <c r="Q1775" s="84"/>
      <c r="R1775" s="62"/>
      <c r="S1775" s="37" t="str">
        <f>IFERROR(__xludf.DUMMYFUNCTION("if(not(iserror(index(split(C1775, "" ""),2))), index(split(C1775, "" ""),1),"""")"),"")</f>
        <v/>
      </c>
      <c r="T1775" s="315" t="str">
        <f>IFERROR(__xludf.DUMMYFUNCTION("if(S1775="""",C1775,if(not(iserror(index(split(C1775, "" ""),3))), index(split(C1775, "" ""),3),index(split(C1775, "" ""),2)))"),"")</f>
        <v/>
      </c>
      <c r="U1775" s="38" t="b">
        <f t="shared" si="34"/>
        <v>0</v>
      </c>
      <c r="V1775" s="38"/>
      <c r="W1775" s="40"/>
      <c r="X1775" s="40"/>
      <c r="Y1775" s="38"/>
      <c r="Z1775" s="38"/>
      <c r="AA1775" s="38"/>
      <c r="AB1775" s="38"/>
      <c r="AC1775" s="38"/>
      <c r="AD1775" s="38"/>
      <c r="AE1775" s="38"/>
      <c r="AF1775" s="38"/>
      <c r="AG1775" s="38"/>
      <c r="AH1775" s="38"/>
      <c r="AI1775" s="38"/>
      <c r="AJ1775" s="38"/>
      <c r="AK1775" s="38"/>
      <c r="AL1775" s="38"/>
      <c r="AM1775" s="38"/>
      <c r="AN1775" s="38"/>
      <c r="AO1775" s="38"/>
      <c r="AP1775" s="38"/>
      <c r="AQ1775" s="38"/>
      <c r="AR1775" s="38"/>
      <c r="AS1775" s="38"/>
      <c r="AT1775" s="38"/>
      <c r="AU1775" s="38"/>
      <c r="AV1775" s="38"/>
      <c r="AW1775" s="38"/>
      <c r="AX1775" s="38"/>
      <c r="AY1775" s="38"/>
      <c r="AZ1775" s="38"/>
      <c r="BA1775" s="38"/>
      <c r="BB1775" s="38"/>
      <c r="BC1775" s="38"/>
      <c r="BD1775" s="38"/>
      <c r="BE1775" s="38"/>
      <c r="BF1775" s="38"/>
      <c r="BG1775" s="38"/>
      <c r="BH1775" s="38"/>
      <c r="BI1775" s="38"/>
      <c r="BJ1775" s="38"/>
      <c r="BK1775" s="38"/>
      <c r="BL1775" s="38"/>
      <c r="BM1775" s="38"/>
      <c r="BN1775" s="38"/>
      <c r="BO1775" s="38"/>
      <c r="BP1775" s="38"/>
      <c r="BQ1775" s="38"/>
    </row>
    <row r="1776">
      <c r="A1776" s="375"/>
      <c r="B1776" s="341"/>
      <c r="C1776" s="60"/>
      <c r="D1776" s="60"/>
      <c r="E1776" s="58"/>
      <c r="F1776" s="58"/>
      <c r="G1776" s="58"/>
      <c r="H1776" s="33" t="str">
        <f t="shared" si="33"/>
        <v/>
      </c>
      <c r="I1776" s="58"/>
      <c r="J1776" s="58"/>
      <c r="K1776" s="58"/>
      <c r="L1776" s="58"/>
      <c r="M1776" s="389"/>
      <c r="N1776" s="77"/>
      <c r="O1776" s="58"/>
      <c r="P1776" s="62"/>
      <c r="Q1776" s="84"/>
      <c r="R1776" s="62"/>
      <c r="S1776" s="37" t="str">
        <f>IFERROR(__xludf.DUMMYFUNCTION("if(not(iserror(index(split(C1776, "" ""),2))), index(split(C1776, "" ""),1),"""")"),"")</f>
        <v/>
      </c>
      <c r="T1776" s="315" t="str">
        <f>IFERROR(__xludf.DUMMYFUNCTION("if(S1776="""",C1776,if(not(iserror(index(split(C1776, "" ""),3))), index(split(C1776, "" ""),3),index(split(C1776, "" ""),2)))"),"")</f>
        <v/>
      </c>
      <c r="U1776" s="38" t="b">
        <f t="shared" si="34"/>
        <v>0</v>
      </c>
      <c r="V1776" s="38"/>
      <c r="W1776" s="40"/>
      <c r="X1776" s="40"/>
      <c r="Y1776" s="38"/>
      <c r="Z1776" s="38"/>
      <c r="AA1776" s="38"/>
      <c r="AB1776" s="38"/>
      <c r="AC1776" s="38"/>
      <c r="AD1776" s="38"/>
      <c r="AE1776" s="38"/>
      <c r="AF1776" s="38"/>
      <c r="AG1776" s="38"/>
      <c r="AH1776" s="38"/>
      <c r="AI1776" s="38"/>
      <c r="AJ1776" s="38"/>
      <c r="AK1776" s="38"/>
      <c r="AL1776" s="38"/>
      <c r="AM1776" s="38"/>
      <c r="AN1776" s="38"/>
      <c r="AO1776" s="38"/>
      <c r="AP1776" s="38"/>
      <c r="AQ1776" s="38"/>
      <c r="AR1776" s="38"/>
      <c r="AS1776" s="38"/>
      <c r="AT1776" s="38"/>
      <c r="AU1776" s="38"/>
      <c r="AV1776" s="38"/>
      <c r="AW1776" s="38"/>
      <c r="AX1776" s="38"/>
      <c r="AY1776" s="38"/>
      <c r="AZ1776" s="38"/>
      <c r="BA1776" s="38"/>
      <c r="BB1776" s="38"/>
      <c r="BC1776" s="38"/>
      <c r="BD1776" s="38"/>
      <c r="BE1776" s="38"/>
      <c r="BF1776" s="38"/>
      <c r="BG1776" s="38"/>
      <c r="BH1776" s="38"/>
      <c r="BI1776" s="38"/>
      <c r="BJ1776" s="38"/>
      <c r="BK1776" s="38"/>
      <c r="BL1776" s="38"/>
      <c r="BM1776" s="38"/>
      <c r="BN1776" s="38"/>
      <c r="BO1776" s="38"/>
      <c r="BP1776" s="38"/>
      <c r="BQ1776" s="38"/>
    </row>
    <row r="1777">
      <c r="A1777" s="58"/>
      <c r="B1777" s="341"/>
      <c r="C1777" s="60"/>
      <c r="D1777" s="60"/>
      <c r="E1777" s="58"/>
      <c r="F1777" s="58"/>
      <c r="G1777" s="58"/>
      <c r="H1777" s="33" t="str">
        <f t="shared" si="33"/>
        <v/>
      </c>
      <c r="I1777" s="58"/>
      <c r="J1777" s="58"/>
      <c r="K1777" s="58"/>
      <c r="L1777" s="58"/>
      <c r="M1777" s="80"/>
      <c r="N1777" s="77"/>
      <c r="O1777" s="62"/>
      <c r="P1777" s="62"/>
      <c r="Q1777" s="58"/>
      <c r="R1777" s="62"/>
      <c r="S1777" s="37" t="str">
        <f>IFERROR(__xludf.DUMMYFUNCTION("if(not(iserror(index(split(C1777, "" ""),2))), index(split(C1777, "" ""),1),"""")"),"")</f>
        <v/>
      </c>
      <c r="T1777" s="315" t="str">
        <f>IFERROR(__xludf.DUMMYFUNCTION("if(S1777="""",C1777,if(not(iserror(index(split(C1777, "" ""),3))), index(split(C1777, "" ""),3),index(split(C1777, "" ""),2)))"),"")</f>
        <v/>
      </c>
      <c r="U1777" s="38" t="b">
        <f t="shared" si="34"/>
        <v>0</v>
      </c>
      <c r="V1777" s="38"/>
      <c r="W1777" s="40"/>
      <c r="X1777" s="40"/>
      <c r="Y1777" s="38"/>
      <c r="Z1777" s="38"/>
      <c r="AA1777" s="38"/>
      <c r="AB1777" s="38"/>
      <c r="AC1777" s="38"/>
      <c r="AD1777" s="38"/>
      <c r="AE1777" s="38"/>
      <c r="AF1777" s="38"/>
      <c r="AG1777" s="38"/>
      <c r="AH1777" s="38"/>
      <c r="AI1777" s="38"/>
      <c r="AJ1777" s="38"/>
      <c r="AK1777" s="38"/>
      <c r="AL1777" s="38"/>
      <c r="AM1777" s="38"/>
      <c r="AN1777" s="38"/>
      <c r="AO1777" s="38"/>
      <c r="AP1777" s="38"/>
      <c r="AQ1777" s="38"/>
      <c r="AR1777" s="38"/>
      <c r="AS1777" s="38"/>
      <c r="AT1777" s="38"/>
      <c r="AU1777" s="38"/>
      <c r="AV1777" s="38"/>
      <c r="AW1777" s="38"/>
      <c r="AX1777" s="38"/>
      <c r="AY1777" s="38"/>
      <c r="AZ1777" s="38"/>
      <c r="BA1777" s="38"/>
      <c r="BB1777" s="38"/>
      <c r="BC1777" s="38"/>
      <c r="BD1777" s="38"/>
      <c r="BE1777" s="38"/>
      <c r="BF1777" s="38"/>
      <c r="BG1777" s="38"/>
      <c r="BH1777" s="38"/>
      <c r="BI1777" s="38"/>
      <c r="BJ1777" s="38"/>
      <c r="BK1777" s="38"/>
      <c r="BL1777" s="38"/>
      <c r="BM1777" s="38"/>
      <c r="BN1777" s="38"/>
      <c r="BO1777" s="38"/>
      <c r="BP1777" s="38"/>
      <c r="BQ1777" s="38"/>
    </row>
    <row r="1778">
      <c r="A1778" s="375"/>
      <c r="B1778" s="341"/>
      <c r="C1778" s="60"/>
      <c r="D1778" s="60"/>
      <c r="E1778" s="58"/>
      <c r="F1778" s="58"/>
      <c r="G1778" s="58"/>
      <c r="H1778" s="33" t="str">
        <f t="shared" si="33"/>
        <v/>
      </c>
      <c r="I1778" s="58"/>
      <c r="J1778" s="58"/>
      <c r="K1778" s="58"/>
      <c r="L1778" s="58"/>
      <c r="M1778" s="389"/>
      <c r="N1778" s="77"/>
      <c r="O1778" s="62"/>
      <c r="P1778" s="58"/>
      <c r="Q1778" s="58"/>
      <c r="R1778" s="62"/>
      <c r="S1778" s="37" t="str">
        <f>IFERROR(__xludf.DUMMYFUNCTION("if(not(iserror(index(split(C1778, "" ""),2))), index(split(C1778, "" ""),1),"""")"),"")</f>
        <v/>
      </c>
      <c r="T1778" s="315" t="str">
        <f>IFERROR(__xludf.DUMMYFUNCTION("if(S1778="""",C1778,if(not(iserror(index(split(C1778, "" ""),3))), index(split(C1778, "" ""),3),index(split(C1778, "" ""),2)))"),"")</f>
        <v/>
      </c>
      <c r="U1778" s="38" t="b">
        <f t="shared" si="34"/>
        <v>0</v>
      </c>
      <c r="V1778" s="38"/>
      <c r="W1778" s="40"/>
      <c r="X1778" s="40"/>
      <c r="Y1778" s="38"/>
      <c r="Z1778" s="38"/>
      <c r="AA1778" s="38"/>
      <c r="AB1778" s="38"/>
      <c r="AC1778" s="38"/>
      <c r="AD1778" s="38"/>
      <c r="AE1778" s="38"/>
      <c r="AF1778" s="38"/>
      <c r="AG1778" s="38"/>
      <c r="AH1778" s="38"/>
      <c r="AI1778" s="38"/>
      <c r="AJ1778" s="38"/>
      <c r="AK1778" s="38"/>
      <c r="AL1778" s="38"/>
      <c r="AM1778" s="38"/>
      <c r="AN1778" s="38"/>
      <c r="AO1778" s="38"/>
      <c r="AP1778" s="38"/>
      <c r="AQ1778" s="38"/>
      <c r="AR1778" s="38"/>
      <c r="AS1778" s="38"/>
      <c r="AT1778" s="38"/>
      <c r="AU1778" s="38"/>
      <c r="AV1778" s="38"/>
      <c r="AW1778" s="38"/>
      <c r="AX1778" s="38"/>
      <c r="AY1778" s="38"/>
      <c r="AZ1778" s="38"/>
      <c r="BA1778" s="38"/>
      <c r="BB1778" s="38"/>
      <c r="BC1778" s="38"/>
      <c r="BD1778" s="38"/>
      <c r="BE1778" s="38"/>
      <c r="BF1778" s="38"/>
      <c r="BG1778" s="38"/>
      <c r="BH1778" s="38"/>
      <c r="BI1778" s="38"/>
      <c r="BJ1778" s="38"/>
      <c r="BK1778" s="38"/>
      <c r="BL1778" s="38"/>
      <c r="BM1778" s="38"/>
      <c r="BN1778" s="38"/>
      <c r="BO1778" s="38"/>
      <c r="BP1778" s="38"/>
      <c r="BQ1778" s="38"/>
    </row>
    <row r="1779">
      <c r="A1779" s="58"/>
      <c r="B1779" s="341"/>
      <c r="C1779" s="60"/>
      <c r="D1779" s="60"/>
      <c r="E1779" s="58"/>
      <c r="F1779" s="58"/>
      <c r="G1779" s="58"/>
      <c r="H1779" s="33" t="str">
        <f t="shared" si="33"/>
        <v/>
      </c>
      <c r="I1779" s="58"/>
      <c r="J1779" s="58"/>
      <c r="K1779" s="58"/>
      <c r="L1779" s="58"/>
      <c r="M1779" s="80"/>
      <c r="N1779" s="80"/>
      <c r="O1779" s="62"/>
      <c r="P1779" s="58"/>
      <c r="Q1779" s="58"/>
      <c r="R1779" s="62"/>
      <c r="S1779" s="37" t="str">
        <f>IFERROR(__xludf.DUMMYFUNCTION("if(not(iserror(index(split(C1779, "" ""),2))), index(split(C1779, "" ""),1),"""")"),"")</f>
        <v/>
      </c>
      <c r="T1779" s="315" t="str">
        <f>IFERROR(__xludf.DUMMYFUNCTION("if(S1779="""",C1779,if(not(iserror(index(split(C1779, "" ""),3))), index(split(C1779, "" ""),3),index(split(C1779, "" ""),2)))"),"")</f>
        <v/>
      </c>
      <c r="U1779" s="38" t="b">
        <f t="shared" si="34"/>
        <v>0</v>
      </c>
      <c r="V1779" s="38"/>
      <c r="W1779" s="40"/>
      <c r="X1779" s="40"/>
      <c r="Y1779" s="38"/>
      <c r="Z1779" s="38"/>
      <c r="AA1779" s="38"/>
      <c r="AB1779" s="38"/>
      <c r="AC1779" s="38"/>
      <c r="AD1779" s="38"/>
      <c r="AE1779" s="38"/>
      <c r="AF1779" s="38"/>
      <c r="AG1779" s="38"/>
      <c r="AH1779" s="38"/>
      <c r="AI1779" s="38"/>
      <c r="AJ1779" s="38"/>
      <c r="AK1779" s="38"/>
      <c r="AL1779" s="38"/>
      <c r="AM1779" s="38"/>
      <c r="AN1779" s="38"/>
      <c r="AO1779" s="38"/>
      <c r="AP1779" s="38"/>
      <c r="AQ1779" s="38"/>
      <c r="AR1779" s="38"/>
      <c r="AS1779" s="38"/>
      <c r="AT1779" s="38"/>
      <c r="AU1779" s="38"/>
      <c r="AV1779" s="38"/>
      <c r="AW1779" s="38"/>
      <c r="AX1779" s="38"/>
      <c r="AY1779" s="38"/>
      <c r="AZ1779" s="38"/>
      <c r="BA1779" s="38"/>
      <c r="BB1779" s="38"/>
      <c r="BC1779" s="38"/>
      <c r="BD1779" s="38"/>
      <c r="BE1779" s="38"/>
      <c r="BF1779" s="38"/>
      <c r="BG1779" s="38"/>
      <c r="BH1779" s="38"/>
      <c r="BI1779" s="38"/>
      <c r="BJ1779" s="38"/>
      <c r="BK1779" s="38"/>
      <c r="BL1779" s="38"/>
      <c r="BM1779" s="38"/>
      <c r="BN1779" s="38"/>
      <c r="BO1779" s="38"/>
      <c r="BP1779" s="38"/>
      <c r="BQ1779" s="38"/>
    </row>
    <row r="1780">
      <c r="A1780" s="375"/>
      <c r="B1780" s="341"/>
      <c r="C1780" s="60"/>
      <c r="D1780" s="60"/>
      <c r="E1780" s="58"/>
      <c r="F1780" s="58"/>
      <c r="G1780" s="58"/>
      <c r="H1780" s="33" t="str">
        <f t="shared" si="33"/>
        <v/>
      </c>
      <c r="I1780" s="58"/>
      <c r="J1780" s="58"/>
      <c r="K1780" s="58"/>
      <c r="L1780" s="58"/>
      <c r="M1780" s="389"/>
      <c r="N1780" s="77"/>
      <c r="O1780" s="58"/>
      <c r="P1780" s="58"/>
      <c r="Q1780" s="58"/>
      <c r="R1780" s="62"/>
      <c r="S1780" s="37" t="str">
        <f>IFERROR(__xludf.DUMMYFUNCTION("if(not(iserror(index(split(C1780, "" ""),2))), index(split(C1780, "" ""),1),"""")"),"")</f>
        <v/>
      </c>
      <c r="T1780" s="315" t="str">
        <f>IFERROR(__xludf.DUMMYFUNCTION("if(S1780="""",C1780,if(not(iserror(index(split(C1780, "" ""),3))), index(split(C1780, "" ""),3),index(split(C1780, "" ""),2)))"),"")</f>
        <v/>
      </c>
      <c r="U1780" s="38" t="b">
        <f t="shared" si="34"/>
        <v>0</v>
      </c>
      <c r="V1780" s="38"/>
      <c r="W1780" s="40"/>
      <c r="X1780" s="40"/>
      <c r="Y1780" s="38"/>
      <c r="Z1780" s="38"/>
      <c r="AA1780" s="38"/>
      <c r="AB1780" s="38"/>
      <c r="AC1780" s="38"/>
      <c r="AD1780" s="38"/>
      <c r="AE1780" s="38"/>
      <c r="AF1780" s="38"/>
      <c r="AG1780" s="38"/>
      <c r="AH1780" s="38"/>
      <c r="AI1780" s="38"/>
      <c r="AJ1780" s="38"/>
      <c r="AK1780" s="38"/>
      <c r="AL1780" s="38"/>
      <c r="AM1780" s="38"/>
      <c r="AN1780" s="38"/>
      <c r="AO1780" s="38"/>
      <c r="AP1780" s="38"/>
      <c r="AQ1780" s="38"/>
      <c r="AR1780" s="38"/>
      <c r="AS1780" s="38"/>
      <c r="AT1780" s="38"/>
      <c r="AU1780" s="38"/>
      <c r="AV1780" s="38"/>
      <c r="AW1780" s="38"/>
      <c r="AX1780" s="38"/>
      <c r="AY1780" s="38"/>
      <c r="AZ1780" s="38"/>
      <c r="BA1780" s="38"/>
      <c r="BB1780" s="38"/>
      <c r="BC1780" s="38"/>
      <c r="BD1780" s="38"/>
      <c r="BE1780" s="38"/>
      <c r="BF1780" s="38"/>
      <c r="BG1780" s="38"/>
      <c r="BH1780" s="38"/>
      <c r="BI1780" s="38"/>
      <c r="BJ1780" s="38"/>
      <c r="BK1780" s="38"/>
      <c r="BL1780" s="38"/>
      <c r="BM1780" s="38"/>
      <c r="BN1780" s="38"/>
      <c r="BO1780" s="38"/>
      <c r="BP1780" s="38"/>
      <c r="BQ1780" s="38"/>
    </row>
    <row r="1781">
      <c r="A1781" s="398"/>
      <c r="B1781" s="388"/>
      <c r="C1781" s="127"/>
      <c r="D1781" s="127"/>
      <c r="E1781" s="128"/>
      <c r="F1781" s="129"/>
      <c r="G1781" s="128"/>
      <c r="H1781" s="33" t="str">
        <f t="shared" si="33"/>
        <v/>
      </c>
      <c r="I1781" s="128"/>
      <c r="J1781" s="128"/>
      <c r="K1781" s="58"/>
      <c r="L1781" s="124"/>
      <c r="M1781" s="399"/>
      <c r="N1781" s="133"/>
      <c r="O1781" s="133"/>
      <c r="P1781" s="133"/>
      <c r="Q1781" s="198"/>
      <c r="R1781" s="133"/>
      <c r="S1781" s="37" t="str">
        <f>IFERROR(__xludf.DUMMYFUNCTION("if(not(iserror(index(split(C1781, "" ""),2))), index(split(C1781, "" ""),1),"""")"),"")</f>
        <v/>
      </c>
      <c r="T1781" s="315" t="str">
        <f>IFERROR(__xludf.DUMMYFUNCTION("if(S1781="""",C1781,if(not(iserror(index(split(C1781, "" ""),3))), index(split(C1781, "" ""),3),index(split(C1781, "" ""),2)))"),"")</f>
        <v/>
      </c>
      <c r="U1781" s="38" t="b">
        <f t="shared" si="34"/>
        <v>0</v>
      </c>
      <c r="V1781" s="38"/>
      <c r="W1781" s="40"/>
      <c r="X1781" s="40"/>
      <c r="Y1781" s="38"/>
      <c r="Z1781" s="38"/>
      <c r="AA1781" s="38"/>
      <c r="AB1781" s="38"/>
      <c r="AC1781" s="38"/>
      <c r="AD1781" s="38"/>
      <c r="AE1781" s="38"/>
      <c r="AF1781" s="38"/>
      <c r="AG1781" s="38"/>
      <c r="AH1781" s="38"/>
      <c r="AI1781" s="38"/>
      <c r="AJ1781" s="38"/>
      <c r="AK1781" s="38"/>
      <c r="AL1781" s="38"/>
      <c r="AM1781" s="38"/>
      <c r="AN1781" s="38"/>
      <c r="AO1781" s="38"/>
      <c r="AP1781" s="38"/>
      <c r="AQ1781" s="38"/>
      <c r="AR1781" s="38"/>
      <c r="AS1781" s="38"/>
      <c r="AT1781" s="38"/>
      <c r="AU1781" s="38"/>
      <c r="AV1781" s="38"/>
      <c r="AW1781" s="38"/>
      <c r="AX1781" s="38"/>
      <c r="AY1781" s="38"/>
      <c r="AZ1781" s="38"/>
      <c r="BA1781" s="38"/>
      <c r="BB1781" s="38"/>
      <c r="BC1781" s="38"/>
      <c r="BD1781" s="38"/>
      <c r="BE1781" s="38"/>
      <c r="BF1781" s="38"/>
      <c r="BG1781" s="38"/>
      <c r="BH1781" s="38"/>
      <c r="BI1781" s="38"/>
      <c r="BJ1781" s="38"/>
      <c r="BK1781" s="38"/>
      <c r="BL1781" s="38"/>
      <c r="BM1781" s="38"/>
      <c r="BN1781" s="38"/>
      <c r="BO1781" s="38"/>
      <c r="BP1781" s="38"/>
      <c r="BQ1781" s="38"/>
    </row>
    <row r="1782">
      <c r="A1782" s="398"/>
      <c r="B1782" s="388"/>
      <c r="C1782" s="127"/>
      <c r="D1782" s="127"/>
      <c r="E1782" s="128"/>
      <c r="F1782" s="129"/>
      <c r="G1782" s="128"/>
      <c r="H1782" s="33" t="str">
        <f t="shared" si="33"/>
        <v/>
      </c>
      <c r="I1782" s="128"/>
      <c r="J1782" s="128"/>
      <c r="K1782" s="58"/>
      <c r="L1782" s="128"/>
      <c r="M1782" s="399"/>
      <c r="N1782" s="133"/>
      <c r="O1782" s="124"/>
      <c r="P1782" s="124"/>
      <c r="Q1782" s="198"/>
      <c r="R1782" s="133"/>
      <c r="S1782" s="37" t="str">
        <f>IFERROR(__xludf.DUMMYFUNCTION("if(not(iserror(index(split(C1782, "" ""),2))), index(split(C1782, "" ""),1),"""")"),"")</f>
        <v/>
      </c>
      <c r="T1782" s="315" t="str">
        <f>IFERROR(__xludf.DUMMYFUNCTION("if(S1782="""",C1782,if(not(iserror(index(split(C1782, "" ""),3))), index(split(C1782, "" ""),3),index(split(C1782, "" ""),2)))"),"")</f>
        <v/>
      </c>
      <c r="U1782" s="38" t="b">
        <f t="shared" si="34"/>
        <v>0</v>
      </c>
      <c r="V1782" s="38"/>
      <c r="W1782" s="40"/>
      <c r="X1782" s="40"/>
      <c r="Y1782" s="38"/>
      <c r="Z1782" s="38"/>
      <c r="AA1782" s="38"/>
      <c r="AB1782" s="38"/>
      <c r="AC1782" s="38"/>
      <c r="AD1782" s="38"/>
      <c r="AE1782" s="38"/>
      <c r="AF1782" s="38"/>
      <c r="AG1782" s="38"/>
      <c r="AH1782" s="38"/>
      <c r="AI1782" s="38"/>
      <c r="AJ1782" s="38"/>
      <c r="AK1782" s="38"/>
      <c r="AL1782" s="38"/>
      <c r="AM1782" s="38"/>
      <c r="AN1782" s="38"/>
      <c r="AO1782" s="38"/>
      <c r="AP1782" s="38"/>
      <c r="AQ1782" s="38"/>
      <c r="AR1782" s="38"/>
      <c r="AS1782" s="38"/>
      <c r="AT1782" s="38"/>
      <c r="AU1782" s="38"/>
      <c r="AV1782" s="38"/>
      <c r="AW1782" s="38"/>
      <c r="AX1782" s="38"/>
      <c r="AY1782" s="38"/>
      <c r="AZ1782" s="38"/>
      <c r="BA1782" s="38"/>
      <c r="BB1782" s="38"/>
      <c r="BC1782" s="38"/>
      <c r="BD1782" s="38"/>
      <c r="BE1782" s="38"/>
      <c r="BF1782" s="38"/>
      <c r="BG1782" s="38"/>
      <c r="BH1782" s="38"/>
      <c r="BI1782" s="38"/>
      <c r="BJ1782" s="38"/>
      <c r="BK1782" s="38"/>
      <c r="BL1782" s="38"/>
      <c r="BM1782" s="38"/>
      <c r="BN1782" s="38"/>
      <c r="BO1782" s="38"/>
      <c r="BP1782" s="38"/>
      <c r="BQ1782" s="38"/>
    </row>
    <row r="1783">
      <c r="A1783" s="398"/>
      <c r="B1783" s="388"/>
      <c r="C1783" s="127"/>
      <c r="D1783" s="127"/>
      <c r="E1783" s="128"/>
      <c r="F1783" s="129"/>
      <c r="G1783" s="128"/>
      <c r="H1783" s="33" t="str">
        <f t="shared" si="33"/>
        <v/>
      </c>
      <c r="I1783" s="128"/>
      <c r="J1783" s="128"/>
      <c r="K1783" s="58"/>
      <c r="L1783" s="128"/>
      <c r="M1783" s="399"/>
      <c r="N1783" s="133"/>
      <c r="O1783" s="124"/>
      <c r="P1783" s="124"/>
      <c r="Q1783" s="198"/>
      <c r="R1783" s="133"/>
      <c r="S1783" s="37" t="str">
        <f>IFERROR(__xludf.DUMMYFUNCTION("if(not(iserror(index(split(C1783, "" ""),2))), index(split(C1783, "" ""),1),"""")"),"")</f>
        <v/>
      </c>
      <c r="T1783" s="315" t="str">
        <f>IFERROR(__xludf.DUMMYFUNCTION("if(S1783="""",C1783,if(not(iserror(index(split(C1783, "" ""),3))), index(split(C1783, "" ""),3),index(split(C1783, "" ""),2)))"),"")</f>
        <v/>
      </c>
      <c r="U1783" s="38" t="b">
        <f t="shared" si="34"/>
        <v>0</v>
      </c>
      <c r="V1783" s="38"/>
      <c r="W1783" s="40"/>
      <c r="X1783" s="40"/>
      <c r="Y1783" s="38"/>
      <c r="Z1783" s="38"/>
      <c r="AA1783" s="38"/>
      <c r="AB1783" s="38"/>
      <c r="AC1783" s="38"/>
      <c r="AD1783" s="38"/>
      <c r="AE1783" s="38"/>
      <c r="AF1783" s="38"/>
      <c r="AG1783" s="38"/>
      <c r="AH1783" s="38"/>
      <c r="AI1783" s="38"/>
      <c r="AJ1783" s="38"/>
      <c r="AK1783" s="38"/>
      <c r="AL1783" s="38"/>
      <c r="AM1783" s="38"/>
      <c r="AN1783" s="38"/>
      <c r="AO1783" s="38"/>
      <c r="AP1783" s="38"/>
      <c r="AQ1783" s="38"/>
      <c r="AR1783" s="38"/>
      <c r="AS1783" s="38"/>
      <c r="AT1783" s="38"/>
      <c r="AU1783" s="38"/>
      <c r="AV1783" s="38"/>
      <c r="AW1783" s="38"/>
      <c r="AX1783" s="38"/>
      <c r="AY1783" s="38"/>
      <c r="AZ1783" s="38"/>
      <c r="BA1783" s="38"/>
      <c r="BB1783" s="38"/>
      <c r="BC1783" s="38"/>
      <c r="BD1783" s="38"/>
      <c r="BE1783" s="38"/>
      <c r="BF1783" s="38"/>
      <c r="BG1783" s="38"/>
      <c r="BH1783" s="38"/>
      <c r="BI1783" s="38"/>
      <c r="BJ1783" s="38"/>
      <c r="BK1783" s="38"/>
      <c r="BL1783" s="38"/>
      <c r="BM1783" s="38"/>
      <c r="BN1783" s="38"/>
      <c r="BO1783" s="38"/>
      <c r="BP1783" s="38"/>
      <c r="BQ1783" s="38"/>
    </row>
    <row r="1784">
      <c r="A1784" s="398"/>
      <c r="B1784" s="388"/>
      <c r="C1784" s="127"/>
      <c r="D1784" s="127"/>
      <c r="E1784" s="128"/>
      <c r="F1784" s="129"/>
      <c r="G1784" s="128"/>
      <c r="H1784" s="33" t="str">
        <f t="shared" si="33"/>
        <v/>
      </c>
      <c r="I1784" s="128"/>
      <c r="J1784" s="128"/>
      <c r="K1784" s="58"/>
      <c r="L1784" s="128"/>
      <c r="M1784" s="399"/>
      <c r="N1784" s="133"/>
      <c r="O1784" s="124"/>
      <c r="P1784" s="124"/>
      <c r="Q1784" s="198"/>
      <c r="R1784" s="133"/>
      <c r="S1784" s="37" t="str">
        <f>IFERROR(__xludf.DUMMYFUNCTION("if(not(iserror(index(split(C1784, "" ""),2))), index(split(C1784, "" ""),1),"""")"),"")</f>
        <v/>
      </c>
      <c r="T1784" s="315" t="str">
        <f>IFERROR(__xludf.DUMMYFUNCTION("if(S1784="""",C1784,if(not(iserror(index(split(C1784, "" ""),3))), index(split(C1784, "" ""),3),index(split(C1784, "" ""),2)))"),"")</f>
        <v/>
      </c>
      <c r="U1784" s="38" t="b">
        <f t="shared" si="34"/>
        <v>0</v>
      </c>
      <c r="V1784" s="38"/>
      <c r="W1784" s="40"/>
      <c r="X1784" s="40"/>
      <c r="Y1784" s="38"/>
      <c r="Z1784" s="38"/>
      <c r="AA1784" s="38"/>
      <c r="AB1784" s="38"/>
      <c r="AC1784" s="38"/>
      <c r="AD1784" s="38"/>
      <c r="AE1784" s="38"/>
      <c r="AF1784" s="38"/>
      <c r="AG1784" s="38"/>
      <c r="AH1784" s="38"/>
      <c r="AI1784" s="38"/>
      <c r="AJ1784" s="38"/>
      <c r="AK1784" s="38"/>
      <c r="AL1784" s="38"/>
      <c r="AM1784" s="38"/>
      <c r="AN1784" s="38"/>
      <c r="AO1784" s="38"/>
      <c r="AP1784" s="38"/>
      <c r="AQ1784" s="38"/>
      <c r="AR1784" s="38"/>
      <c r="AS1784" s="38"/>
      <c r="AT1784" s="38"/>
      <c r="AU1784" s="38"/>
      <c r="AV1784" s="38"/>
      <c r="AW1784" s="38"/>
      <c r="AX1784" s="38"/>
      <c r="AY1784" s="38"/>
      <c r="AZ1784" s="38"/>
      <c r="BA1784" s="38"/>
      <c r="BB1784" s="38"/>
      <c r="BC1784" s="38"/>
      <c r="BD1784" s="38"/>
      <c r="BE1784" s="38"/>
      <c r="BF1784" s="38"/>
      <c r="BG1784" s="38"/>
      <c r="BH1784" s="38"/>
      <c r="BI1784" s="38"/>
      <c r="BJ1784" s="38"/>
      <c r="BK1784" s="38"/>
      <c r="BL1784" s="38"/>
      <c r="BM1784" s="38"/>
      <c r="BN1784" s="38"/>
      <c r="BO1784" s="38"/>
      <c r="BP1784" s="38"/>
      <c r="BQ1784" s="38"/>
    </row>
    <row r="1785">
      <c r="A1785" s="398"/>
      <c r="B1785" s="388"/>
      <c r="C1785" s="127"/>
      <c r="D1785" s="127"/>
      <c r="E1785" s="128"/>
      <c r="F1785" s="129"/>
      <c r="G1785" s="128"/>
      <c r="H1785" s="33" t="str">
        <f t="shared" si="33"/>
        <v/>
      </c>
      <c r="I1785" s="128"/>
      <c r="J1785" s="128"/>
      <c r="K1785" s="58"/>
      <c r="L1785" s="128"/>
      <c r="M1785" s="399"/>
      <c r="N1785" s="133"/>
      <c r="O1785" s="124"/>
      <c r="P1785" s="124"/>
      <c r="Q1785" s="198"/>
      <c r="R1785" s="133"/>
      <c r="S1785" s="37" t="str">
        <f>IFERROR(__xludf.DUMMYFUNCTION("if(not(iserror(index(split(C1785, "" ""),2))), index(split(C1785, "" ""),1),"""")"),"")</f>
        <v/>
      </c>
      <c r="T1785" s="315" t="str">
        <f>IFERROR(__xludf.DUMMYFUNCTION("if(S1785="""",C1785,if(not(iserror(index(split(C1785, "" ""),3))), index(split(C1785, "" ""),3),index(split(C1785, "" ""),2)))"),"")</f>
        <v/>
      </c>
      <c r="U1785" s="38" t="b">
        <f t="shared" si="34"/>
        <v>0</v>
      </c>
      <c r="V1785" s="38"/>
      <c r="W1785" s="40"/>
      <c r="X1785" s="40"/>
      <c r="Y1785" s="38"/>
      <c r="Z1785" s="38"/>
      <c r="AA1785" s="38"/>
      <c r="AB1785" s="38"/>
      <c r="AC1785" s="38"/>
      <c r="AD1785" s="38"/>
      <c r="AE1785" s="38"/>
      <c r="AF1785" s="38"/>
      <c r="AG1785" s="38"/>
      <c r="AH1785" s="38"/>
      <c r="AI1785" s="38"/>
      <c r="AJ1785" s="38"/>
      <c r="AK1785" s="38"/>
      <c r="AL1785" s="38"/>
      <c r="AM1785" s="38"/>
      <c r="AN1785" s="38"/>
      <c r="AO1785" s="38"/>
      <c r="AP1785" s="38"/>
      <c r="AQ1785" s="38"/>
      <c r="AR1785" s="38"/>
      <c r="AS1785" s="38"/>
      <c r="AT1785" s="38"/>
      <c r="AU1785" s="38"/>
      <c r="AV1785" s="38"/>
      <c r="AW1785" s="38"/>
      <c r="AX1785" s="38"/>
      <c r="AY1785" s="38"/>
      <c r="AZ1785" s="38"/>
      <c r="BA1785" s="38"/>
      <c r="BB1785" s="38"/>
      <c r="BC1785" s="38"/>
      <c r="BD1785" s="38"/>
      <c r="BE1785" s="38"/>
      <c r="BF1785" s="38"/>
      <c r="BG1785" s="38"/>
      <c r="BH1785" s="38"/>
      <c r="BI1785" s="38"/>
      <c r="BJ1785" s="38"/>
      <c r="BK1785" s="38"/>
      <c r="BL1785" s="38"/>
      <c r="BM1785" s="38"/>
      <c r="BN1785" s="38"/>
      <c r="BO1785" s="38"/>
      <c r="BP1785" s="38"/>
      <c r="BQ1785" s="38"/>
    </row>
    <row r="1786">
      <c r="A1786" s="398"/>
      <c r="B1786" s="388"/>
      <c r="C1786" s="196"/>
      <c r="D1786" s="196"/>
      <c r="E1786" s="128"/>
      <c r="F1786" s="129"/>
      <c r="G1786" s="128"/>
      <c r="H1786" s="33" t="str">
        <f t="shared" si="33"/>
        <v/>
      </c>
      <c r="I1786" s="128"/>
      <c r="J1786" s="128"/>
      <c r="K1786" s="58"/>
      <c r="L1786" s="128"/>
      <c r="M1786" s="399"/>
      <c r="N1786" s="133"/>
      <c r="O1786" s="124"/>
      <c r="P1786" s="124"/>
      <c r="Q1786" s="198"/>
      <c r="R1786" s="133"/>
      <c r="S1786" s="37" t="str">
        <f>IFERROR(__xludf.DUMMYFUNCTION("if(not(iserror(index(split(C1786, "" ""),2))), index(split(C1786, "" ""),1),"""")"),"")</f>
        <v/>
      </c>
      <c r="T1786" s="315" t="str">
        <f>IFERROR(__xludf.DUMMYFUNCTION("if(S1786="""",C1786,if(not(iserror(index(split(C1786, "" ""),3))), index(split(C1786, "" ""),3),index(split(C1786, "" ""),2)))"),"")</f>
        <v/>
      </c>
      <c r="U1786" s="38" t="b">
        <f t="shared" si="34"/>
        <v>0</v>
      </c>
      <c r="V1786" s="38"/>
      <c r="W1786" s="40"/>
      <c r="X1786" s="40"/>
      <c r="Y1786" s="38"/>
      <c r="Z1786" s="38"/>
      <c r="AA1786" s="38"/>
      <c r="AB1786" s="38"/>
      <c r="AC1786" s="38"/>
      <c r="AD1786" s="38"/>
      <c r="AE1786" s="38"/>
      <c r="AF1786" s="38"/>
      <c r="AG1786" s="38"/>
      <c r="AH1786" s="38"/>
      <c r="AI1786" s="38"/>
      <c r="AJ1786" s="38"/>
      <c r="AK1786" s="38"/>
      <c r="AL1786" s="38"/>
      <c r="AM1786" s="38"/>
      <c r="AN1786" s="38"/>
      <c r="AO1786" s="38"/>
      <c r="AP1786" s="38"/>
      <c r="AQ1786" s="38"/>
      <c r="AR1786" s="38"/>
      <c r="AS1786" s="38"/>
      <c r="AT1786" s="38"/>
      <c r="AU1786" s="38"/>
      <c r="AV1786" s="38"/>
      <c r="AW1786" s="38"/>
      <c r="AX1786" s="38"/>
      <c r="AY1786" s="38"/>
      <c r="AZ1786" s="38"/>
      <c r="BA1786" s="38"/>
      <c r="BB1786" s="38"/>
      <c r="BC1786" s="38"/>
      <c r="BD1786" s="38"/>
      <c r="BE1786" s="38"/>
      <c r="BF1786" s="38"/>
      <c r="BG1786" s="38"/>
      <c r="BH1786" s="38"/>
      <c r="BI1786" s="38"/>
      <c r="BJ1786" s="38"/>
      <c r="BK1786" s="38"/>
      <c r="BL1786" s="38"/>
      <c r="BM1786" s="38"/>
      <c r="BN1786" s="38"/>
      <c r="BO1786" s="38"/>
      <c r="BP1786" s="38"/>
      <c r="BQ1786" s="38"/>
    </row>
    <row r="1787">
      <c r="A1787" s="398"/>
      <c r="B1787" s="388"/>
      <c r="C1787" s="196"/>
      <c r="D1787" s="196"/>
      <c r="E1787" s="128"/>
      <c r="F1787" s="129"/>
      <c r="G1787" s="128"/>
      <c r="H1787" s="33" t="str">
        <f t="shared" si="33"/>
        <v/>
      </c>
      <c r="I1787" s="128"/>
      <c r="J1787" s="128"/>
      <c r="K1787" s="58"/>
      <c r="L1787" s="124"/>
      <c r="M1787" s="399"/>
      <c r="N1787" s="133"/>
      <c r="O1787" s="124"/>
      <c r="P1787" s="124"/>
      <c r="Q1787" s="198"/>
      <c r="R1787" s="133"/>
      <c r="S1787" s="37" t="str">
        <f>IFERROR(__xludf.DUMMYFUNCTION("if(not(iserror(index(split(C1787, "" ""),2))), index(split(C1787, "" ""),1),"""")"),"")</f>
        <v/>
      </c>
      <c r="T1787" s="315" t="str">
        <f>IFERROR(__xludf.DUMMYFUNCTION("if(S1787="""",C1787,if(not(iserror(index(split(C1787, "" ""),3))), index(split(C1787, "" ""),3),index(split(C1787, "" ""),2)))"),"")</f>
        <v/>
      </c>
      <c r="U1787" s="38" t="b">
        <f t="shared" si="34"/>
        <v>0</v>
      </c>
      <c r="V1787" s="38"/>
      <c r="W1787" s="40"/>
      <c r="X1787" s="40"/>
      <c r="Y1787" s="38"/>
      <c r="Z1787" s="38"/>
      <c r="AA1787" s="38"/>
      <c r="AB1787" s="38"/>
      <c r="AC1787" s="38"/>
      <c r="AD1787" s="38"/>
      <c r="AE1787" s="38"/>
      <c r="AF1787" s="38"/>
      <c r="AG1787" s="38"/>
      <c r="AH1787" s="38"/>
      <c r="AI1787" s="38"/>
      <c r="AJ1787" s="38"/>
      <c r="AK1787" s="38"/>
      <c r="AL1787" s="38"/>
      <c r="AM1787" s="38"/>
      <c r="AN1787" s="38"/>
      <c r="AO1787" s="38"/>
      <c r="AP1787" s="38"/>
      <c r="AQ1787" s="38"/>
      <c r="AR1787" s="38"/>
      <c r="AS1787" s="38"/>
      <c r="AT1787" s="38"/>
      <c r="AU1787" s="38"/>
      <c r="AV1787" s="38"/>
      <c r="AW1787" s="38"/>
      <c r="AX1787" s="38"/>
      <c r="AY1787" s="38"/>
      <c r="AZ1787" s="38"/>
      <c r="BA1787" s="38"/>
      <c r="BB1787" s="38"/>
      <c r="BC1787" s="38"/>
      <c r="BD1787" s="38"/>
      <c r="BE1787" s="38"/>
      <c r="BF1787" s="38"/>
      <c r="BG1787" s="38"/>
      <c r="BH1787" s="38"/>
      <c r="BI1787" s="38"/>
      <c r="BJ1787" s="38"/>
      <c r="BK1787" s="38"/>
      <c r="BL1787" s="38"/>
      <c r="BM1787" s="38"/>
      <c r="BN1787" s="38"/>
      <c r="BO1787" s="38"/>
      <c r="BP1787" s="38"/>
      <c r="BQ1787" s="38"/>
    </row>
    <row r="1788">
      <c r="A1788" s="398"/>
      <c r="B1788" s="388"/>
      <c r="C1788" s="196"/>
      <c r="D1788" s="196"/>
      <c r="E1788" s="128"/>
      <c r="F1788" s="129"/>
      <c r="G1788" s="128"/>
      <c r="H1788" s="33" t="str">
        <f t="shared" si="33"/>
        <v/>
      </c>
      <c r="I1788" s="128"/>
      <c r="J1788" s="128"/>
      <c r="K1788" s="58"/>
      <c r="L1788" s="128"/>
      <c r="M1788" s="399"/>
      <c r="N1788" s="133"/>
      <c r="O1788" s="124"/>
      <c r="P1788" s="124"/>
      <c r="Q1788" s="198"/>
      <c r="R1788" s="133"/>
      <c r="S1788" s="37" t="str">
        <f>IFERROR(__xludf.DUMMYFUNCTION("if(not(iserror(index(split(C1788, "" ""),2))), index(split(C1788, "" ""),1),"""")"),"")</f>
        <v/>
      </c>
      <c r="T1788" s="315" t="str">
        <f>IFERROR(__xludf.DUMMYFUNCTION("if(S1788="""",C1788,if(not(iserror(index(split(C1788, "" ""),3))), index(split(C1788, "" ""),3),index(split(C1788, "" ""),2)))"),"")</f>
        <v/>
      </c>
      <c r="U1788" s="38" t="b">
        <f t="shared" si="34"/>
        <v>0</v>
      </c>
      <c r="V1788" s="38"/>
      <c r="W1788" s="40"/>
      <c r="X1788" s="40"/>
      <c r="Y1788" s="38"/>
      <c r="Z1788" s="38"/>
      <c r="AA1788" s="38"/>
      <c r="AB1788" s="38"/>
      <c r="AC1788" s="38"/>
      <c r="AD1788" s="38"/>
      <c r="AE1788" s="38"/>
      <c r="AF1788" s="38"/>
      <c r="AG1788" s="38"/>
      <c r="AH1788" s="38"/>
      <c r="AI1788" s="38"/>
      <c r="AJ1788" s="38"/>
      <c r="AK1788" s="38"/>
      <c r="AL1788" s="38"/>
      <c r="AM1788" s="38"/>
      <c r="AN1788" s="38"/>
      <c r="AO1788" s="38"/>
      <c r="AP1788" s="38"/>
      <c r="AQ1788" s="38"/>
      <c r="AR1788" s="38"/>
      <c r="AS1788" s="38"/>
      <c r="AT1788" s="38"/>
      <c r="AU1788" s="38"/>
      <c r="AV1788" s="38"/>
      <c r="AW1788" s="38"/>
      <c r="AX1788" s="38"/>
      <c r="AY1788" s="38"/>
      <c r="AZ1788" s="38"/>
      <c r="BA1788" s="38"/>
      <c r="BB1788" s="38"/>
      <c r="BC1788" s="38"/>
      <c r="BD1788" s="38"/>
      <c r="BE1788" s="38"/>
      <c r="BF1788" s="38"/>
      <c r="BG1788" s="38"/>
      <c r="BH1788" s="38"/>
      <c r="BI1788" s="38"/>
      <c r="BJ1788" s="38"/>
      <c r="BK1788" s="38"/>
      <c r="BL1788" s="38"/>
      <c r="BM1788" s="38"/>
      <c r="BN1788" s="38"/>
      <c r="BO1788" s="38"/>
      <c r="BP1788" s="38"/>
      <c r="BQ1788" s="38"/>
    </row>
    <row r="1789">
      <c r="A1789" s="398"/>
      <c r="B1789" s="388"/>
      <c r="C1789" s="196"/>
      <c r="D1789" s="196"/>
      <c r="E1789" s="128"/>
      <c r="F1789" s="129"/>
      <c r="G1789" s="128"/>
      <c r="H1789" s="33" t="str">
        <f t="shared" si="33"/>
        <v/>
      </c>
      <c r="I1789" s="128"/>
      <c r="J1789" s="128"/>
      <c r="K1789" s="58"/>
      <c r="L1789" s="124"/>
      <c r="M1789" s="399"/>
      <c r="N1789" s="133"/>
      <c r="O1789" s="124"/>
      <c r="P1789" s="124"/>
      <c r="Q1789" s="198"/>
      <c r="R1789" s="133"/>
      <c r="S1789" s="37" t="str">
        <f>IFERROR(__xludf.DUMMYFUNCTION("if(not(iserror(index(split(C1789, "" ""),2))), index(split(C1789, "" ""),1),"""")"),"")</f>
        <v/>
      </c>
      <c r="T1789" s="315" t="str">
        <f>IFERROR(__xludf.DUMMYFUNCTION("if(S1789="""",C1789,if(not(iserror(index(split(C1789, "" ""),3))), index(split(C1789, "" ""),3),index(split(C1789, "" ""),2)))"),"")</f>
        <v/>
      </c>
      <c r="U1789" s="38" t="b">
        <f t="shared" si="34"/>
        <v>0</v>
      </c>
      <c r="V1789" s="38"/>
      <c r="W1789" s="40"/>
      <c r="X1789" s="40"/>
      <c r="Y1789" s="38"/>
      <c r="Z1789" s="38"/>
      <c r="AA1789" s="38"/>
      <c r="AB1789" s="38"/>
      <c r="AC1789" s="38"/>
      <c r="AD1789" s="38"/>
      <c r="AE1789" s="38"/>
      <c r="AF1789" s="38"/>
      <c r="AG1789" s="38"/>
      <c r="AH1789" s="38"/>
      <c r="AI1789" s="38"/>
      <c r="AJ1789" s="38"/>
      <c r="AK1789" s="38"/>
      <c r="AL1789" s="38"/>
      <c r="AM1789" s="38"/>
      <c r="AN1789" s="38"/>
      <c r="AO1789" s="38"/>
      <c r="AP1789" s="38"/>
      <c r="AQ1789" s="38"/>
      <c r="AR1789" s="38"/>
      <c r="AS1789" s="38"/>
      <c r="AT1789" s="38"/>
      <c r="AU1789" s="38"/>
      <c r="AV1789" s="38"/>
      <c r="AW1789" s="38"/>
      <c r="AX1789" s="38"/>
      <c r="AY1789" s="38"/>
      <c r="AZ1789" s="38"/>
      <c r="BA1789" s="38"/>
      <c r="BB1789" s="38"/>
      <c r="BC1789" s="38"/>
      <c r="BD1789" s="38"/>
      <c r="BE1789" s="38"/>
      <c r="BF1789" s="38"/>
      <c r="BG1789" s="38"/>
      <c r="BH1789" s="38"/>
      <c r="BI1789" s="38"/>
      <c r="BJ1789" s="38"/>
      <c r="BK1789" s="38"/>
      <c r="BL1789" s="38"/>
      <c r="BM1789" s="38"/>
      <c r="BN1789" s="38"/>
      <c r="BO1789" s="38"/>
      <c r="BP1789" s="38"/>
      <c r="BQ1789" s="38"/>
    </row>
    <row r="1790">
      <c r="A1790" s="400"/>
      <c r="B1790" s="388"/>
      <c r="C1790" s="196"/>
      <c r="D1790" s="196"/>
      <c r="E1790" s="128"/>
      <c r="F1790" s="129"/>
      <c r="G1790" s="128"/>
      <c r="H1790" s="33" t="str">
        <f t="shared" si="33"/>
        <v/>
      </c>
      <c r="I1790" s="128"/>
      <c r="J1790" s="128"/>
      <c r="K1790" s="58"/>
      <c r="L1790" s="124"/>
      <c r="M1790" s="399"/>
      <c r="N1790" s="124"/>
      <c r="O1790" s="124"/>
      <c r="P1790" s="124"/>
      <c r="Q1790" s="198"/>
      <c r="R1790" s="133"/>
      <c r="S1790" s="37" t="str">
        <f>IFERROR(__xludf.DUMMYFUNCTION("if(not(iserror(index(split(C1790, "" ""),2))), index(split(C1790, "" ""),1),"""")"),"")</f>
        <v/>
      </c>
      <c r="T1790" s="315" t="str">
        <f>IFERROR(__xludf.DUMMYFUNCTION("if(S1790="""",C1790,if(not(iserror(index(split(C1790, "" ""),3))), index(split(C1790, "" ""),3),index(split(C1790, "" ""),2)))"),"")</f>
        <v/>
      </c>
      <c r="U1790" s="38" t="b">
        <f t="shared" si="34"/>
        <v>0</v>
      </c>
      <c r="V1790" s="38"/>
      <c r="W1790" s="40"/>
      <c r="X1790" s="40"/>
      <c r="Y1790" s="38"/>
      <c r="Z1790" s="38"/>
      <c r="AA1790" s="38"/>
      <c r="AB1790" s="38"/>
      <c r="AC1790" s="38"/>
      <c r="AD1790" s="38"/>
      <c r="AE1790" s="38"/>
      <c r="AF1790" s="38"/>
      <c r="AG1790" s="38"/>
      <c r="AH1790" s="38"/>
      <c r="AI1790" s="38"/>
      <c r="AJ1790" s="38"/>
      <c r="AK1790" s="38"/>
      <c r="AL1790" s="38"/>
      <c r="AM1790" s="38"/>
      <c r="AN1790" s="38"/>
      <c r="AO1790" s="38"/>
      <c r="AP1790" s="38"/>
      <c r="AQ1790" s="38"/>
      <c r="AR1790" s="38"/>
      <c r="AS1790" s="38"/>
      <c r="AT1790" s="38"/>
      <c r="AU1790" s="38"/>
      <c r="AV1790" s="38"/>
      <c r="AW1790" s="38"/>
      <c r="AX1790" s="38"/>
      <c r="AY1790" s="38"/>
      <c r="AZ1790" s="38"/>
      <c r="BA1790" s="38"/>
      <c r="BB1790" s="38"/>
      <c r="BC1790" s="38"/>
      <c r="BD1790" s="38"/>
      <c r="BE1790" s="38"/>
      <c r="BF1790" s="38"/>
      <c r="BG1790" s="38"/>
      <c r="BH1790" s="38"/>
      <c r="BI1790" s="38"/>
      <c r="BJ1790" s="38"/>
      <c r="BK1790" s="38"/>
      <c r="BL1790" s="38"/>
      <c r="BM1790" s="38"/>
      <c r="BN1790" s="38"/>
      <c r="BO1790" s="38"/>
      <c r="BP1790" s="38"/>
      <c r="BQ1790" s="38"/>
    </row>
    <row r="1791">
      <c r="A1791" s="398"/>
      <c r="B1791" s="388"/>
      <c r="C1791" s="196"/>
      <c r="D1791" s="196"/>
      <c r="E1791" s="128"/>
      <c r="F1791" s="129"/>
      <c r="G1791" s="128"/>
      <c r="H1791" s="33" t="str">
        <f t="shared" si="33"/>
        <v/>
      </c>
      <c r="I1791" s="128"/>
      <c r="J1791" s="128"/>
      <c r="K1791" s="58"/>
      <c r="L1791" s="124"/>
      <c r="M1791" s="399"/>
      <c r="N1791" s="401"/>
      <c r="O1791" s="124"/>
      <c r="P1791" s="124"/>
      <c r="Q1791" s="198"/>
      <c r="R1791" s="133"/>
      <c r="S1791" s="37" t="str">
        <f>IFERROR(__xludf.DUMMYFUNCTION("if(not(iserror(index(split(C1791, "" ""),2))), index(split(C1791, "" ""),1),"""")"),"")</f>
        <v/>
      </c>
      <c r="T1791" s="315" t="str">
        <f>IFERROR(__xludf.DUMMYFUNCTION("if(S1791="""",C1791,if(not(iserror(index(split(C1791, "" ""),3))), index(split(C1791, "" ""),3),index(split(C1791, "" ""),2)))"),"")</f>
        <v/>
      </c>
      <c r="U1791" s="38" t="b">
        <f t="shared" si="34"/>
        <v>0</v>
      </c>
      <c r="V1791" s="38"/>
      <c r="W1791" s="40"/>
      <c r="X1791" s="40"/>
      <c r="Y1791" s="38"/>
      <c r="Z1791" s="38"/>
      <c r="AA1791" s="38"/>
      <c r="AB1791" s="38"/>
      <c r="AC1791" s="38"/>
      <c r="AD1791" s="38"/>
      <c r="AE1791" s="38"/>
      <c r="AF1791" s="38"/>
      <c r="AG1791" s="38"/>
      <c r="AH1791" s="38"/>
      <c r="AI1791" s="38"/>
      <c r="AJ1791" s="38"/>
      <c r="AK1791" s="38"/>
      <c r="AL1791" s="38"/>
      <c r="AM1791" s="38"/>
      <c r="AN1791" s="38"/>
      <c r="AO1791" s="38"/>
      <c r="AP1791" s="38"/>
      <c r="AQ1791" s="38"/>
      <c r="AR1791" s="38"/>
      <c r="AS1791" s="38"/>
      <c r="AT1791" s="38"/>
      <c r="AU1791" s="38"/>
      <c r="AV1791" s="38"/>
      <c r="AW1791" s="38"/>
      <c r="AX1791" s="38"/>
      <c r="AY1791" s="38"/>
      <c r="AZ1791" s="38"/>
      <c r="BA1791" s="38"/>
      <c r="BB1791" s="38"/>
      <c r="BC1791" s="38"/>
      <c r="BD1791" s="38"/>
      <c r="BE1791" s="38"/>
      <c r="BF1791" s="38"/>
      <c r="BG1791" s="38"/>
      <c r="BH1791" s="38"/>
      <c r="BI1791" s="38"/>
      <c r="BJ1791" s="38"/>
      <c r="BK1791" s="38"/>
      <c r="BL1791" s="38"/>
      <c r="BM1791" s="38"/>
      <c r="BN1791" s="38"/>
      <c r="BO1791" s="38"/>
      <c r="BP1791" s="38"/>
      <c r="BQ1791" s="38"/>
    </row>
    <row r="1792">
      <c r="A1792" s="398"/>
      <c r="B1792" s="388"/>
      <c r="C1792" s="196"/>
      <c r="D1792" s="196"/>
      <c r="E1792" s="128"/>
      <c r="F1792" s="129"/>
      <c r="G1792" s="128"/>
      <c r="H1792" s="33" t="str">
        <f t="shared" si="33"/>
        <v/>
      </c>
      <c r="I1792" s="128"/>
      <c r="J1792" s="128"/>
      <c r="K1792" s="58"/>
      <c r="L1792" s="124"/>
      <c r="M1792" s="399"/>
      <c r="N1792" s="402"/>
      <c r="O1792" s="124"/>
      <c r="P1792" s="124"/>
      <c r="Q1792" s="198"/>
      <c r="R1792" s="133"/>
      <c r="S1792" s="37" t="str">
        <f>IFERROR(__xludf.DUMMYFUNCTION("if(not(iserror(index(split(C1792, "" ""),2))), index(split(C1792, "" ""),1),"""")"),"")</f>
        <v/>
      </c>
      <c r="T1792" s="315" t="str">
        <f>IFERROR(__xludf.DUMMYFUNCTION("if(S1792="""",C1792,if(not(iserror(index(split(C1792, "" ""),3))), index(split(C1792, "" ""),3),index(split(C1792, "" ""),2)))"),"")</f>
        <v/>
      </c>
      <c r="U1792" s="38" t="b">
        <f t="shared" si="34"/>
        <v>0</v>
      </c>
      <c r="V1792" s="38"/>
      <c r="W1792" s="40"/>
      <c r="X1792" s="40"/>
      <c r="Y1792" s="38"/>
      <c r="Z1792" s="38"/>
      <c r="AA1792" s="38"/>
      <c r="AB1792" s="38"/>
      <c r="AC1792" s="38"/>
      <c r="AD1792" s="38"/>
      <c r="AE1792" s="38"/>
      <c r="AF1792" s="38"/>
      <c r="AG1792" s="38"/>
      <c r="AH1792" s="38"/>
      <c r="AI1792" s="38"/>
      <c r="AJ1792" s="38"/>
      <c r="AK1792" s="38"/>
      <c r="AL1792" s="38"/>
      <c r="AM1792" s="38"/>
      <c r="AN1792" s="38"/>
      <c r="AO1792" s="38"/>
      <c r="AP1792" s="38"/>
      <c r="AQ1792" s="38"/>
      <c r="AR1792" s="38"/>
      <c r="AS1792" s="38"/>
      <c r="AT1792" s="38"/>
      <c r="AU1792" s="38"/>
      <c r="AV1792" s="38"/>
      <c r="AW1792" s="38"/>
      <c r="AX1792" s="38"/>
      <c r="AY1792" s="38"/>
      <c r="AZ1792" s="38"/>
      <c r="BA1792" s="38"/>
      <c r="BB1792" s="38"/>
      <c r="BC1792" s="38"/>
      <c r="BD1792" s="38"/>
      <c r="BE1792" s="38"/>
      <c r="BF1792" s="38"/>
      <c r="BG1792" s="38"/>
      <c r="BH1792" s="38"/>
      <c r="BI1792" s="38"/>
      <c r="BJ1792" s="38"/>
      <c r="BK1792" s="38"/>
      <c r="BL1792" s="38"/>
      <c r="BM1792" s="38"/>
      <c r="BN1792" s="38"/>
      <c r="BO1792" s="38"/>
      <c r="BP1792" s="38"/>
      <c r="BQ1792" s="38"/>
    </row>
    <row r="1793">
      <c r="A1793" s="398"/>
      <c r="B1793" s="388"/>
      <c r="C1793" s="196"/>
      <c r="D1793" s="196"/>
      <c r="E1793" s="128"/>
      <c r="F1793" s="129"/>
      <c r="G1793" s="128"/>
      <c r="H1793" s="33" t="str">
        <f t="shared" si="33"/>
        <v/>
      </c>
      <c r="I1793" s="128"/>
      <c r="J1793" s="128"/>
      <c r="K1793" s="58"/>
      <c r="L1793" s="124"/>
      <c r="M1793" s="399"/>
      <c r="N1793" s="403"/>
      <c r="O1793" s="124"/>
      <c r="P1793" s="124"/>
      <c r="Q1793" s="198"/>
      <c r="R1793" s="133"/>
      <c r="S1793" s="37" t="str">
        <f>IFERROR(__xludf.DUMMYFUNCTION("if(not(iserror(index(split(C1793, "" ""),2))), index(split(C1793, "" ""),1),"""")"),"")</f>
        <v/>
      </c>
      <c r="T1793" s="315" t="str">
        <f>IFERROR(__xludf.DUMMYFUNCTION("if(S1793="""",C1793,if(not(iserror(index(split(C1793, "" ""),3))), index(split(C1793, "" ""),3),index(split(C1793, "" ""),2)))"),"")</f>
        <v/>
      </c>
      <c r="U1793" s="38" t="b">
        <f t="shared" si="34"/>
        <v>0</v>
      </c>
      <c r="V1793" s="38"/>
      <c r="W1793" s="40"/>
      <c r="X1793" s="40"/>
      <c r="Y1793" s="38"/>
      <c r="Z1793" s="38"/>
      <c r="AA1793" s="38"/>
      <c r="AB1793" s="38"/>
      <c r="AC1793" s="38"/>
      <c r="AD1793" s="38"/>
      <c r="AE1793" s="38"/>
      <c r="AF1793" s="38"/>
      <c r="AG1793" s="38"/>
      <c r="AH1793" s="38"/>
      <c r="AI1793" s="38"/>
      <c r="AJ1793" s="38"/>
      <c r="AK1793" s="38"/>
      <c r="AL1793" s="38"/>
      <c r="AM1793" s="38"/>
      <c r="AN1793" s="38"/>
      <c r="AO1793" s="38"/>
      <c r="AP1793" s="38"/>
      <c r="AQ1793" s="38"/>
      <c r="AR1793" s="38"/>
      <c r="AS1793" s="38"/>
      <c r="AT1793" s="38"/>
      <c r="AU1793" s="38"/>
      <c r="AV1793" s="38"/>
      <c r="AW1793" s="38"/>
      <c r="AX1793" s="38"/>
      <c r="AY1793" s="38"/>
      <c r="AZ1793" s="38"/>
      <c r="BA1793" s="38"/>
      <c r="BB1793" s="38"/>
      <c r="BC1793" s="38"/>
      <c r="BD1793" s="38"/>
      <c r="BE1793" s="38"/>
      <c r="BF1793" s="38"/>
      <c r="BG1793" s="38"/>
      <c r="BH1793" s="38"/>
      <c r="BI1793" s="38"/>
      <c r="BJ1793" s="38"/>
      <c r="BK1793" s="38"/>
      <c r="BL1793" s="38"/>
      <c r="BM1793" s="38"/>
      <c r="BN1793" s="38"/>
      <c r="BO1793" s="38"/>
      <c r="BP1793" s="38"/>
      <c r="BQ1793" s="38"/>
    </row>
    <row r="1794">
      <c r="A1794" s="58"/>
      <c r="B1794" s="341"/>
      <c r="C1794" s="60"/>
      <c r="D1794" s="60"/>
      <c r="E1794" s="58"/>
      <c r="F1794" s="58"/>
      <c r="G1794" s="58"/>
      <c r="H1794" s="33" t="str">
        <f t="shared" si="33"/>
        <v/>
      </c>
      <c r="I1794" s="58"/>
      <c r="J1794" s="58"/>
      <c r="K1794" s="58"/>
      <c r="L1794" s="58"/>
      <c r="M1794" s="80"/>
      <c r="N1794" s="77"/>
      <c r="O1794" s="62"/>
      <c r="P1794" s="62"/>
      <c r="Q1794" s="84"/>
      <c r="R1794" s="62"/>
      <c r="S1794" s="37" t="str">
        <f>IFERROR(__xludf.DUMMYFUNCTION("if(not(iserror(index(split(C1794, "" ""),2))), index(split(C1794, "" ""),1),"""")"),"")</f>
        <v/>
      </c>
      <c r="T1794" s="315" t="str">
        <f>IFERROR(__xludf.DUMMYFUNCTION("if(S1794="""",C1794,if(not(iserror(index(split(C1794, "" ""),3))), index(split(C1794, "" ""),3),index(split(C1794, "" ""),2)))"),"")</f>
        <v/>
      </c>
      <c r="U1794" s="38" t="b">
        <f t="shared" si="34"/>
        <v>0</v>
      </c>
      <c r="V1794" s="38"/>
      <c r="W1794" s="40"/>
      <c r="X1794" s="40"/>
      <c r="Y1794" s="38"/>
      <c r="Z1794" s="38"/>
      <c r="AA1794" s="38"/>
      <c r="AB1794" s="38"/>
      <c r="AC1794" s="38"/>
      <c r="AD1794" s="38"/>
      <c r="AE1794" s="38"/>
      <c r="AF1794" s="38"/>
      <c r="AG1794" s="38"/>
      <c r="AH1794" s="38"/>
      <c r="AI1794" s="38"/>
      <c r="AJ1794" s="38"/>
      <c r="AK1794" s="38"/>
      <c r="AL1794" s="38"/>
      <c r="AM1794" s="38"/>
      <c r="AN1794" s="38"/>
      <c r="AO1794" s="38"/>
      <c r="AP1794" s="38"/>
      <c r="AQ1794" s="38"/>
      <c r="AR1794" s="38"/>
      <c r="AS1794" s="38"/>
      <c r="AT1794" s="38"/>
      <c r="AU1794" s="38"/>
      <c r="AV1794" s="38"/>
      <c r="AW1794" s="38"/>
      <c r="AX1794" s="38"/>
      <c r="AY1794" s="38"/>
      <c r="AZ1794" s="38"/>
      <c r="BA1794" s="38"/>
      <c r="BB1794" s="38"/>
      <c r="BC1794" s="38"/>
      <c r="BD1794" s="38"/>
      <c r="BE1794" s="38"/>
      <c r="BF1794" s="38"/>
      <c r="BG1794" s="38"/>
      <c r="BH1794" s="38"/>
      <c r="BI1794" s="38"/>
      <c r="BJ1794" s="38"/>
      <c r="BK1794" s="38"/>
      <c r="BL1794" s="38"/>
      <c r="BM1794" s="38"/>
      <c r="BN1794" s="38"/>
      <c r="BO1794" s="38"/>
      <c r="BP1794" s="38"/>
      <c r="BQ1794" s="38"/>
    </row>
    <row r="1795">
      <c r="A1795" s="58"/>
      <c r="B1795" s="341"/>
      <c r="C1795" s="60"/>
      <c r="D1795" s="60"/>
      <c r="E1795" s="58"/>
      <c r="F1795" s="58"/>
      <c r="G1795" s="58"/>
      <c r="H1795" s="33" t="str">
        <f t="shared" si="33"/>
        <v/>
      </c>
      <c r="I1795" s="58"/>
      <c r="J1795" s="58"/>
      <c r="K1795" s="58"/>
      <c r="L1795" s="58"/>
      <c r="M1795" s="80"/>
      <c r="N1795" s="77"/>
      <c r="O1795" s="62"/>
      <c r="P1795" s="62"/>
      <c r="Q1795" s="62"/>
      <c r="R1795" s="62"/>
      <c r="S1795" s="37" t="str">
        <f>IFERROR(__xludf.DUMMYFUNCTION("if(not(iserror(index(split(C1795, "" ""),2))), index(split(C1795, "" ""),1),"""")"),"")</f>
        <v/>
      </c>
      <c r="T1795" s="315" t="str">
        <f>IFERROR(__xludf.DUMMYFUNCTION("if(S1795="""",C1795,if(not(iserror(index(split(C1795, "" ""),3))), index(split(C1795, "" ""),3),index(split(C1795, "" ""),2)))"),"")</f>
        <v/>
      </c>
      <c r="U1795" s="38" t="b">
        <f t="shared" si="34"/>
        <v>0</v>
      </c>
      <c r="V1795" s="38"/>
      <c r="W1795" s="40"/>
      <c r="X1795" s="40"/>
      <c r="Y1795" s="38"/>
      <c r="Z1795" s="38"/>
      <c r="AA1795" s="38"/>
      <c r="AB1795" s="38"/>
      <c r="AC1795" s="38"/>
      <c r="AD1795" s="38"/>
      <c r="AE1795" s="38"/>
      <c r="AF1795" s="38"/>
      <c r="AG1795" s="38"/>
      <c r="AH1795" s="38"/>
      <c r="AI1795" s="38"/>
      <c r="AJ1795" s="38"/>
      <c r="AK1795" s="38"/>
      <c r="AL1795" s="38"/>
      <c r="AM1795" s="38"/>
      <c r="AN1795" s="38"/>
      <c r="AO1795" s="38"/>
      <c r="AP1795" s="38"/>
      <c r="AQ1795" s="38"/>
      <c r="AR1795" s="38"/>
      <c r="AS1795" s="38"/>
      <c r="AT1795" s="38"/>
      <c r="AU1795" s="38"/>
      <c r="AV1795" s="38"/>
      <c r="AW1795" s="38"/>
      <c r="AX1795" s="38"/>
      <c r="AY1795" s="38"/>
      <c r="AZ1795" s="38"/>
      <c r="BA1795" s="38"/>
      <c r="BB1795" s="38"/>
      <c r="BC1795" s="38"/>
      <c r="BD1795" s="38"/>
      <c r="BE1795" s="38"/>
      <c r="BF1795" s="38"/>
      <c r="BG1795" s="38"/>
      <c r="BH1795" s="38"/>
      <c r="BI1795" s="38"/>
      <c r="BJ1795" s="38"/>
      <c r="BK1795" s="38"/>
      <c r="BL1795" s="38"/>
      <c r="BM1795" s="38"/>
      <c r="BN1795" s="38"/>
      <c r="BO1795" s="38"/>
      <c r="BP1795" s="38"/>
      <c r="BQ1795" s="38"/>
    </row>
    <row r="1796">
      <c r="A1796" s="58"/>
      <c r="B1796" s="341"/>
      <c r="C1796" s="60"/>
      <c r="D1796" s="60"/>
      <c r="E1796" s="58"/>
      <c r="F1796" s="58"/>
      <c r="G1796" s="58"/>
      <c r="H1796" s="33" t="str">
        <f t="shared" si="33"/>
        <v/>
      </c>
      <c r="I1796" s="58"/>
      <c r="J1796" s="58"/>
      <c r="K1796" s="58"/>
      <c r="L1796" s="58"/>
      <c r="M1796" s="80"/>
      <c r="N1796" s="77"/>
      <c r="O1796" s="62"/>
      <c r="P1796" s="62"/>
      <c r="Q1796" s="62"/>
      <c r="R1796" s="62"/>
      <c r="S1796" s="37" t="str">
        <f>IFERROR(__xludf.DUMMYFUNCTION("if(not(iserror(index(split(C1796, "" ""),2))), index(split(C1796, "" ""),1),"""")"),"")</f>
        <v/>
      </c>
      <c r="T1796" s="315" t="str">
        <f>IFERROR(__xludf.DUMMYFUNCTION("if(S1796="""",C1796,if(not(iserror(index(split(C1796, "" ""),3))), index(split(C1796, "" ""),3),index(split(C1796, "" ""),2)))"),"")</f>
        <v/>
      </c>
      <c r="U1796" s="38" t="b">
        <f t="shared" si="34"/>
        <v>0</v>
      </c>
      <c r="V1796" s="38"/>
      <c r="W1796" s="40"/>
      <c r="X1796" s="40"/>
      <c r="Y1796" s="38"/>
      <c r="Z1796" s="38"/>
      <c r="AA1796" s="38"/>
      <c r="AB1796" s="38"/>
      <c r="AC1796" s="38"/>
      <c r="AD1796" s="38"/>
      <c r="AE1796" s="38"/>
      <c r="AF1796" s="38"/>
      <c r="AG1796" s="38"/>
      <c r="AH1796" s="38"/>
      <c r="AI1796" s="38"/>
      <c r="AJ1796" s="38"/>
      <c r="AK1796" s="38"/>
      <c r="AL1796" s="38"/>
      <c r="AM1796" s="38"/>
      <c r="AN1796" s="38"/>
      <c r="AO1796" s="38"/>
      <c r="AP1796" s="38"/>
      <c r="AQ1796" s="38"/>
      <c r="AR1796" s="38"/>
      <c r="AS1796" s="38"/>
      <c r="AT1796" s="38"/>
      <c r="AU1796" s="38"/>
      <c r="AV1796" s="38"/>
      <c r="AW1796" s="38"/>
      <c r="AX1796" s="38"/>
      <c r="AY1796" s="38"/>
      <c r="AZ1796" s="38"/>
      <c r="BA1796" s="38"/>
      <c r="BB1796" s="38"/>
      <c r="BC1796" s="38"/>
      <c r="BD1796" s="38"/>
      <c r="BE1796" s="38"/>
      <c r="BF1796" s="38"/>
      <c r="BG1796" s="38"/>
      <c r="BH1796" s="38"/>
      <c r="BI1796" s="38"/>
      <c r="BJ1796" s="38"/>
      <c r="BK1796" s="38"/>
      <c r="BL1796" s="38"/>
      <c r="BM1796" s="38"/>
      <c r="BN1796" s="38"/>
      <c r="BO1796" s="38"/>
      <c r="BP1796" s="38"/>
      <c r="BQ1796" s="38"/>
    </row>
    <row r="1797">
      <c r="A1797" s="58"/>
      <c r="B1797" s="341"/>
      <c r="C1797" s="60"/>
      <c r="D1797" s="60"/>
      <c r="E1797" s="58"/>
      <c r="F1797" s="58"/>
      <c r="G1797" s="58"/>
      <c r="H1797" s="33" t="str">
        <f t="shared" si="33"/>
        <v/>
      </c>
      <c r="I1797" s="58"/>
      <c r="J1797" s="58"/>
      <c r="K1797" s="58"/>
      <c r="L1797" s="58"/>
      <c r="M1797" s="80"/>
      <c r="N1797" s="77"/>
      <c r="O1797" s="62"/>
      <c r="P1797" s="62"/>
      <c r="Q1797" s="62"/>
      <c r="R1797" s="62"/>
      <c r="S1797" s="37" t="str">
        <f>IFERROR(__xludf.DUMMYFUNCTION("if(not(iserror(index(split(C1797, "" ""),2))), index(split(C1797, "" ""),1),"""")"),"")</f>
        <v/>
      </c>
      <c r="T1797" s="315" t="str">
        <f>IFERROR(__xludf.DUMMYFUNCTION("if(S1797="""",C1797,if(not(iserror(index(split(C1797, "" ""),3))), index(split(C1797, "" ""),3),index(split(C1797, "" ""),2)))"),"")</f>
        <v/>
      </c>
      <c r="U1797" s="38" t="b">
        <f t="shared" si="34"/>
        <v>0</v>
      </c>
      <c r="V1797" s="38"/>
      <c r="W1797" s="40"/>
      <c r="X1797" s="40"/>
      <c r="Y1797" s="38"/>
      <c r="Z1797" s="38"/>
      <c r="AA1797" s="38"/>
      <c r="AB1797" s="38"/>
      <c r="AC1797" s="38"/>
      <c r="AD1797" s="38"/>
      <c r="AE1797" s="38"/>
      <c r="AF1797" s="38"/>
      <c r="AG1797" s="38"/>
      <c r="AH1797" s="38"/>
      <c r="AI1797" s="38"/>
      <c r="AJ1797" s="38"/>
      <c r="AK1797" s="38"/>
      <c r="AL1797" s="38"/>
      <c r="AM1797" s="38"/>
      <c r="AN1797" s="38"/>
      <c r="AO1797" s="38"/>
      <c r="AP1797" s="38"/>
      <c r="AQ1797" s="38"/>
      <c r="AR1797" s="38"/>
      <c r="AS1797" s="38"/>
      <c r="AT1797" s="38"/>
      <c r="AU1797" s="38"/>
      <c r="AV1797" s="38"/>
      <c r="AW1797" s="38"/>
      <c r="AX1797" s="38"/>
      <c r="AY1797" s="38"/>
      <c r="AZ1797" s="38"/>
      <c r="BA1797" s="38"/>
      <c r="BB1797" s="38"/>
      <c r="BC1797" s="38"/>
      <c r="BD1797" s="38"/>
      <c r="BE1797" s="38"/>
      <c r="BF1797" s="38"/>
      <c r="BG1797" s="38"/>
      <c r="BH1797" s="38"/>
      <c r="BI1797" s="38"/>
      <c r="BJ1797" s="38"/>
      <c r="BK1797" s="38"/>
      <c r="BL1797" s="38"/>
      <c r="BM1797" s="38"/>
      <c r="BN1797" s="38"/>
      <c r="BO1797" s="38"/>
      <c r="BP1797" s="38"/>
      <c r="BQ1797" s="38"/>
    </row>
    <row r="1798">
      <c r="A1798" s="58"/>
      <c r="B1798" s="341"/>
      <c r="C1798" s="60"/>
      <c r="D1798" s="60"/>
      <c r="E1798" s="58"/>
      <c r="F1798" s="58"/>
      <c r="G1798" s="58"/>
      <c r="H1798" s="33" t="str">
        <f t="shared" si="33"/>
        <v/>
      </c>
      <c r="I1798" s="58"/>
      <c r="J1798" s="58"/>
      <c r="K1798" s="58"/>
      <c r="L1798" s="58"/>
      <c r="M1798" s="80"/>
      <c r="N1798" s="77"/>
      <c r="O1798" s="62"/>
      <c r="P1798" s="62"/>
      <c r="Q1798" s="62"/>
      <c r="R1798" s="62"/>
      <c r="S1798" s="37" t="str">
        <f>IFERROR(__xludf.DUMMYFUNCTION("if(not(iserror(index(split(C1798, "" ""),2))), index(split(C1798, "" ""),1),"""")"),"")</f>
        <v/>
      </c>
      <c r="T1798" s="315" t="str">
        <f>IFERROR(__xludf.DUMMYFUNCTION("if(S1798="""",C1798,if(not(iserror(index(split(C1798, "" ""),3))), index(split(C1798, "" ""),3),index(split(C1798, "" ""),2)))"),"")</f>
        <v/>
      </c>
      <c r="U1798" s="38" t="b">
        <f t="shared" si="34"/>
        <v>0</v>
      </c>
      <c r="V1798" s="38"/>
      <c r="W1798" s="40"/>
      <c r="X1798" s="40"/>
      <c r="Y1798" s="38"/>
      <c r="Z1798" s="38"/>
      <c r="AA1798" s="38"/>
      <c r="AB1798" s="38"/>
      <c r="AC1798" s="38"/>
      <c r="AD1798" s="38"/>
      <c r="AE1798" s="38"/>
      <c r="AF1798" s="38"/>
      <c r="AG1798" s="38"/>
      <c r="AH1798" s="38"/>
      <c r="AI1798" s="38"/>
      <c r="AJ1798" s="38"/>
      <c r="AK1798" s="38"/>
      <c r="AL1798" s="38"/>
      <c r="AM1798" s="38"/>
      <c r="AN1798" s="38"/>
      <c r="AO1798" s="38"/>
      <c r="AP1798" s="38"/>
      <c r="AQ1798" s="38"/>
      <c r="AR1798" s="38"/>
      <c r="AS1798" s="38"/>
      <c r="AT1798" s="38"/>
      <c r="AU1798" s="38"/>
      <c r="AV1798" s="38"/>
      <c r="AW1798" s="38"/>
      <c r="AX1798" s="38"/>
      <c r="AY1798" s="38"/>
      <c r="AZ1798" s="38"/>
      <c r="BA1798" s="38"/>
      <c r="BB1798" s="38"/>
      <c r="BC1798" s="38"/>
      <c r="BD1798" s="38"/>
      <c r="BE1798" s="38"/>
      <c r="BF1798" s="38"/>
      <c r="BG1798" s="38"/>
      <c r="BH1798" s="38"/>
      <c r="BI1798" s="38"/>
      <c r="BJ1798" s="38"/>
      <c r="BK1798" s="38"/>
      <c r="BL1798" s="38"/>
      <c r="BM1798" s="38"/>
      <c r="BN1798" s="38"/>
      <c r="BO1798" s="38"/>
      <c r="BP1798" s="38"/>
      <c r="BQ1798" s="38"/>
    </row>
    <row r="1799">
      <c r="A1799" s="58"/>
      <c r="B1799" s="341"/>
      <c r="C1799" s="60"/>
      <c r="D1799" s="60"/>
      <c r="E1799" s="58"/>
      <c r="F1799" s="58"/>
      <c r="G1799" s="58"/>
      <c r="H1799" s="33" t="str">
        <f t="shared" si="33"/>
        <v/>
      </c>
      <c r="I1799" s="58"/>
      <c r="J1799" s="58"/>
      <c r="K1799" s="58"/>
      <c r="L1799" s="58"/>
      <c r="M1799" s="80"/>
      <c r="N1799" s="77"/>
      <c r="O1799" s="62"/>
      <c r="P1799" s="62"/>
      <c r="Q1799" s="62"/>
      <c r="R1799" s="62"/>
      <c r="S1799" s="37" t="str">
        <f>IFERROR(__xludf.DUMMYFUNCTION("if(not(iserror(index(split(C1799, "" ""),2))), index(split(C1799, "" ""),1),"""")"),"")</f>
        <v/>
      </c>
      <c r="T1799" s="315" t="str">
        <f>IFERROR(__xludf.DUMMYFUNCTION("if(S1799="""",C1799,if(not(iserror(index(split(C1799, "" ""),3))), index(split(C1799, "" ""),3),index(split(C1799, "" ""),2)))"),"")</f>
        <v/>
      </c>
      <c r="U1799" s="38" t="b">
        <f t="shared" si="34"/>
        <v>0</v>
      </c>
      <c r="V1799" s="38"/>
      <c r="W1799" s="40"/>
      <c r="X1799" s="40"/>
      <c r="Y1799" s="38"/>
      <c r="Z1799" s="38"/>
      <c r="AA1799" s="38"/>
      <c r="AB1799" s="38"/>
      <c r="AC1799" s="38"/>
      <c r="AD1799" s="38"/>
      <c r="AE1799" s="38"/>
      <c r="AF1799" s="38"/>
      <c r="AG1799" s="38"/>
      <c r="AH1799" s="38"/>
      <c r="AI1799" s="38"/>
      <c r="AJ1799" s="38"/>
      <c r="AK1799" s="38"/>
      <c r="AL1799" s="38"/>
      <c r="AM1799" s="38"/>
      <c r="AN1799" s="38"/>
      <c r="AO1799" s="38"/>
      <c r="AP1799" s="38"/>
      <c r="AQ1799" s="38"/>
      <c r="AR1799" s="38"/>
      <c r="AS1799" s="38"/>
      <c r="AT1799" s="38"/>
      <c r="AU1799" s="38"/>
      <c r="AV1799" s="38"/>
      <c r="AW1799" s="38"/>
      <c r="AX1799" s="38"/>
      <c r="AY1799" s="38"/>
      <c r="AZ1799" s="38"/>
      <c r="BA1799" s="38"/>
      <c r="BB1799" s="38"/>
      <c r="BC1799" s="38"/>
      <c r="BD1799" s="38"/>
      <c r="BE1799" s="38"/>
      <c r="BF1799" s="38"/>
      <c r="BG1799" s="38"/>
      <c r="BH1799" s="38"/>
      <c r="BI1799" s="38"/>
      <c r="BJ1799" s="38"/>
      <c r="BK1799" s="38"/>
      <c r="BL1799" s="38"/>
      <c r="BM1799" s="38"/>
      <c r="BN1799" s="38"/>
      <c r="BO1799" s="38"/>
      <c r="BP1799" s="38"/>
      <c r="BQ1799" s="38"/>
    </row>
    <row r="1800">
      <c r="A1800" s="58"/>
      <c r="B1800" s="341"/>
      <c r="C1800" s="60"/>
      <c r="D1800" s="60"/>
      <c r="E1800" s="58"/>
      <c r="F1800" s="58"/>
      <c r="G1800" s="58"/>
      <c r="H1800" s="33" t="str">
        <f t="shared" si="33"/>
        <v/>
      </c>
      <c r="I1800" s="58"/>
      <c r="J1800" s="58"/>
      <c r="K1800" s="58"/>
      <c r="L1800" s="58"/>
      <c r="M1800" s="80"/>
      <c r="N1800" s="77"/>
      <c r="O1800" s="62"/>
      <c r="P1800" s="62"/>
      <c r="Q1800" s="62"/>
      <c r="R1800" s="62"/>
      <c r="S1800" s="37" t="str">
        <f>IFERROR(__xludf.DUMMYFUNCTION("if(not(iserror(index(split(C1800, "" ""),2))), index(split(C1800, "" ""),1),"""")"),"")</f>
        <v/>
      </c>
      <c r="T1800" s="315" t="str">
        <f>IFERROR(__xludf.DUMMYFUNCTION("if(S1800="""",C1800,if(not(iserror(index(split(C1800, "" ""),3))), index(split(C1800, "" ""),3),index(split(C1800, "" ""),2)))"),"")</f>
        <v/>
      </c>
      <c r="U1800" s="38" t="b">
        <f t="shared" si="34"/>
        <v>0</v>
      </c>
      <c r="V1800" s="38"/>
      <c r="W1800" s="40"/>
      <c r="X1800" s="40"/>
      <c r="Y1800" s="38"/>
      <c r="Z1800" s="38"/>
      <c r="AA1800" s="38"/>
      <c r="AB1800" s="38"/>
      <c r="AC1800" s="38"/>
      <c r="AD1800" s="38"/>
      <c r="AE1800" s="38"/>
      <c r="AF1800" s="38"/>
      <c r="AG1800" s="38"/>
      <c r="AH1800" s="38"/>
      <c r="AI1800" s="38"/>
      <c r="AJ1800" s="38"/>
      <c r="AK1800" s="38"/>
      <c r="AL1800" s="38"/>
      <c r="AM1800" s="38"/>
      <c r="AN1800" s="38"/>
      <c r="AO1800" s="38"/>
      <c r="AP1800" s="38"/>
      <c r="AQ1800" s="38"/>
      <c r="AR1800" s="38"/>
      <c r="AS1800" s="38"/>
      <c r="AT1800" s="38"/>
      <c r="AU1800" s="38"/>
      <c r="AV1800" s="38"/>
      <c r="AW1800" s="38"/>
      <c r="AX1800" s="38"/>
      <c r="AY1800" s="38"/>
      <c r="AZ1800" s="38"/>
      <c r="BA1800" s="38"/>
      <c r="BB1800" s="38"/>
      <c r="BC1800" s="38"/>
      <c r="BD1800" s="38"/>
      <c r="BE1800" s="38"/>
      <c r="BF1800" s="38"/>
      <c r="BG1800" s="38"/>
      <c r="BH1800" s="38"/>
      <c r="BI1800" s="38"/>
      <c r="BJ1800" s="38"/>
      <c r="BK1800" s="38"/>
      <c r="BL1800" s="38"/>
      <c r="BM1800" s="38"/>
      <c r="BN1800" s="38"/>
      <c r="BO1800" s="38"/>
      <c r="BP1800" s="38"/>
      <c r="BQ1800" s="38"/>
    </row>
    <row r="1801">
      <c r="A1801" s="58"/>
      <c r="B1801" s="341"/>
      <c r="C1801" s="60"/>
      <c r="D1801" s="60"/>
      <c r="E1801" s="58"/>
      <c r="F1801" s="58"/>
      <c r="G1801" s="58"/>
      <c r="H1801" s="33" t="str">
        <f t="shared" si="33"/>
        <v/>
      </c>
      <c r="I1801" s="58"/>
      <c r="J1801" s="58"/>
      <c r="K1801" s="58"/>
      <c r="L1801" s="58"/>
      <c r="M1801" s="80"/>
      <c r="N1801" s="77"/>
      <c r="O1801" s="62"/>
      <c r="P1801" s="62"/>
      <c r="Q1801" s="62"/>
      <c r="R1801" s="62"/>
      <c r="S1801" s="37" t="str">
        <f>IFERROR(__xludf.DUMMYFUNCTION("if(not(iserror(index(split(C1801, "" ""),2))), index(split(C1801, "" ""),1),"""")"),"")</f>
        <v/>
      </c>
      <c r="T1801" s="315" t="str">
        <f>IFERROR(__xludf.DUMMYFUNCTION("if(S1801="""",C1801,if(not(iserror(index(split(C1801, "" ""),3))), index(split(C1801, "" ""),3),index(split(C1801, "" ""),2)))"),"")</f>
        <v/>
      </c>
      <c r="U1801" s="38" t="b">
        <f t="shared" si="34"/>
        <v>0</v>
      </c>
      <c r="V1801" s="38"/>
      <c r="W1801" s="40"/>
      <c r="X1801" s="40"/>
      <c r="Y1801" s="38"/>
      <c r="Z1801" s="38"/>
      <c r="AA1801" s="38"/>
      <c r="AB1801" s="38"/>
      <c r="AC1801" s="38"/>
      <c r="AD1801" s="38"/>
      <c r="AE1801" s="38"/>
      <c r="AF1801" s="38"/>
      <c r="AG1801" s="38"/>
      <c r="AH1801" s="38"/>
      <c r="AI1801" s="38"/>
      <c r="AJ1801" s="38"/>
      <c r="AK1801" s="38"/>
      <c r="AL1801" s="38"/>
      <c r="AM1801" s="38"/>
      <c r="AN1801" s="38"/>
      <c r="AO1801" s="38"/>
      <c r="AP1801" s="38"/>
      <c r="AQ1801" s="38"/>
      <c r="AR1801" s="38"/>
      <c r="AS1801" s="38"/>
      <c r="AT1801" s="38"/>
      <c r="AU1801" s="38"/>
      <c r="AV1801" s="38"/>
      <c r="AW1801" s="38"/>
      <c r="AX1801" s="38"/>
      <c r="AY1801" s="38"/>
      <c r="AZ1801" s="38"/>
      <c r="BA1801" s="38"/>
      <c r="BB1801" s="38"/>
      <c r="BC1801" s="38"/>
      <c r="BD1801" s="38"/>
      <c r="BE1801" s="38"/>
      <c r="BF1801" s="38"/>
      <c r="BG1801" s="38"/>
      <c r="BH1801" s="38"/>
      <c r="BI1801" s="38"/>
      <c r="BJ1801" s="38"/>
      <c r="BK1801" s="38"/>
      <c r="BL1801" s="38"/>
      <c r="BM1801" s="38"/>
      <c r="BN1801" s="38"/>
      <c r="BO1801" s="38"/>
      <c r="BP1801" s="38"/>
      <c r="BQ1801" s="38"/>
    </row>
    <row r="1802">
      <c r="A1802" s="58"/>
      <c r="B1802" s="341"/>
      <c r="C1802" s="60"/>
      <c r="D1802" s="60"/>
      <c r="E1802" s="58"/>
      <c r="F1802" s="58"/>
      <c r="G1802" s="58"/>
      <c r="H1802" s="33" t="str">
        <f t="shared" si="33"/>
        <v/>
      </c>
      <c r="I1802" s="58"/>
      <c r="J1802" s="58"/>
      <c r="K1802" s="58"/>
      <c r="L1802" s="58"/>
      <c r="M1802" s="80"/>
      <c r="N1802" s="77"/>
      <c r="O1802" s="62"/>
      <c r="P1802" s="62"/>
      <c r="Q1802" s="62"/>
      <c r="R1802" s="62"/>
      <c r="S1802" s="37" t="str">
        <f>IFERROR(__xludf.DUMMYFUNCTION("if(not(iserror(index(split(C1802, "" ""),2))), index(split(C1802, "" ""),1),"""")"),"")</f>
        <v/>
      </c>
      <c r="T1802" s="315" t="str">
        <f>IFERROR(__xludf.DUMMYFUNCTION("if(S1802="""",C1802,if(not(iserror(index(split(C1802, "" ""),3))), index(split(C1802, "" ""),3),index(split(C1802, "" ""),2)))"),"")</f>
        <v/>
      </c>
      <c r="U1802" s="38" t="b">
        <f t="shared" si="34"/>
        <v>0</v>
      </c>
      <c r="V1802" s="38"/>
      <c r="W1802" s="40"/>
      <c r="X1802" s="40"/>
      <c r="Y1802" s="38"/>
      <c r="Z1802" s="38"/>
      <c r="AA1802" s="38"/>
      <c r="AB1802" s="38"/>
      <c r="AC1802" s="38"/>
      <c r="AD1802" s="38"/>
      <c r="AE1802" s="38"/>
      <c r="AF1802" s="38"/>
      <c r="AG1802" s="38"/>
      <c r="AH1802" s="38"/>
      <c r="AI1802" s="38"/>
      <c r="AJ1802" s="38"/>
      <c r="AK1802" s="38"/>
      <c r="AL1802" s="38"/>
      <c r="AM1802" s="38"/>
      <c r="AN1802" s="38"/>
      <c r="AO1802" s="38"/>
      <c r="AP1802" s="38"/>
      <c r="AQ1802" s="38"/>
      <c r="AR1802" s="38"/>
      <c r="AS1802" s="38"/>
      <c r="AT1802" s="38"/>
      <c r="AU1802" s="38"/>
      <c r="AV1802" s="38"/>
      <c r="AW1802" s="38"/>
      <c r="AX1802" s="38"/>
      <c r="AY1802" s="38"/>
      <c r="AZ1802" s="38"/>
      <c r="BA1802" s="38"/>
      <c r="BB1802" s="38"/>
      <c r="BC1802" s="38"/>
      <c r="BD1802" s="38"/>
      <c r="BE1802" s="38"/>
      <c r="BF1802" s="38"/>
      <c r="BG1802" s="38"/>
      <c r="BH1802" s="38"/>
      <c r="BI1802" s="38"/>
      <c r="BJ1802" s="38"/>
      <c r="BK1802" s="38"/>
      <c r="BL1802" s="38"/>
      <c r="BM1802" s="38"/>
      <c r="BN1802" s="38"/>
      <c r="BO1802" s="38"/>
      <c r="BP1802" s="38"/>
      <c r="BQ1802" s="38"/>
    </row>
    <row r="1803">
      <c r="A1803" s="58"/>
      <c r="B1803" s="341"/>
      <c r="C1803" s="60"/>
      <c r="D1803" s="60"/>
      <c r="E1803" s="58"/>
      <c r="F1803" s="58"/>
      <c r="G1803" s="58"/>
      <c r="H1803" s="33" t="str">
        <f t="shared" si="33"/>
        <v/>
      </c>
      <c r="I1803" s="58"/>
      <c r="J1803" s="58"/>
      <c r="K1803" s="58"/>
      <c r="L1803" s="58"/>
      <c r="M1803" s="80"/>
      <c r="N1803" s="77"/>
      <c r="O1803" s="62"/>
      <c r="P1803" s="62"/>
      <c r="Q1803" s="84"/>
      <c r="R1803" s="62"/>
      <c r="S1803" s="37" t="str">
        <f>IFERROR(__xludf.DUMMYFUNCTION("if(not(iserror(index(split(C1803, "" ""),2))), index(split(C1803, "" ""),1),"""")"),"")</f>
        <v/>
      </c>
      <c r="T1803" s="315" t="str">
        <f>IFERROR(__xludf.DUMMYFUNCTION("if(S1803="""",C1803,if(not(iserror(index(split(C1803, "" ""),3))), index(split(C1803, "" ""),3),index(split(C1803, "" ""),2)))"),"")</f>
        <v/>
      </c>
      <c r="U1803" s="38" t="b">
        <f t="shared" si="34"/>
        <v>0</v>
      </c>
      <c r="V1803" s="38"/>
      <c r="W1803" s="40"/>
      <c r="X1803" s="40"/>
      <c r="Y1803" s="38"/>
      <c r="Z1803" s="38"/>
      <c r="AA1803" s="38"/>
      <c r="AB1803" s="38"/>
      <c r="AC1803" s="38"/>
      <c r="AD1803" s="38"/>
      <c r="AE1803" s="38"/>
      <c r="AF1803" s="38"/>
      <c r="AG1803" s="38"/>
      <c r="AH1803" s="38"/>
      <c r="AI1803" s="38"/>
      <c r="AJ1803" s="38"/>
      <c r="AK1803" s="38"/>
      <c r="AL1803" s="38"/>
      <c r="AM1803" s="38"/>
      <c r="AN1803" s="38"/>
      <c r="AO1803" s="38"/>
      <c r="AP1803" s="38"/>
      <c r="AQ1803" s="38"/>
      <c r="AR1803" s="38"/>
      <c r="AS1803" s="38"/>
      <c r="AT1803" s="38"/>
      <c r="AU1803" s="38"/>
      <c r="AV1803" s="38"/>
      <c r="AW1803" s="38"/>
      <c r="AX1803" s="38"/>
      <c r="AY1803" s="38"/>
      <c r="AZ1803" s="38"/>
      <c r="BA1803" s="38"/>
      <c r="BB1803" s="38"/>
      <c r="BC1803" s="38"/>
      <c r="BD1803" s="38"/>
      <c r="BE1803" s="38"/>
      <c r="BF1803" s="38"/>
      <c r="BG1803" s="38"/>
      <c r="BH1803" s="38"/>
      <c r="BI1803" s="38"/>
      <c r="BJ1803" s="38"/>
      <c r="BK1803" s="38"/>
      <c r="BL1803" s="38"/>
      <c r="BM1803" s="38"/>
      <c r="BN1803" s="38"/>
      <c r="BO1803" s="38"/>
      <c r="BP1803" s="38"/>
      <c r="BQ1803" s="38"/>
    </row>
    <row r="1804">
      <c r="A1804" s="58"/>
      <c r="B1804" s="341"/>
      <c r="C1804" s="60"/>
      <c r="D1804" s="60"/>
      <c r="E1804" s="58"/>
      <c r="F1804" s="58"/>
      <c r="G1804" s="58"/>
      <c r="H1804" s="33" t="str">
        <f t="shared" si="33"/>
        <v/>
      </c>
      <c r="I1804" s="58"/>
      <c r="J1804" s="58"/>
      <c r="K1804" s="58"/>
      <c r="L1804" s="58"/>
      <c r="M1804" s="80"/>
      <c r="N1804" s="80"/>
      <c r="O1804" s="58"/>
      <c r="P1804" s="58"/>
      <c r="Q1804" s="58"/>
      <c r="R1804" s="62"/>
      <c r="S1804" s="37" t="str">
        <f>IFERROR(__xludf.DUMMYFUNCTION("if(not(iserror(index(split(C1804, "" ""),2))), index(split(C1804, "" ""),1),"""")"),"")</f>
        <v/>
      </c>
      <c r="T1804" s="315" t="str">
        <f>IFERROR(__xludf.DUMMYFUNCTION("if(S1804="""",C1804,if(not(iserror(index(split(C1804, "" ""),3))), index(split(C1804, "" ""),3),index(split(C1804, "" ""),2)))"),"")</f>
        <v/>
      </c>
      <c r="U1804" s="38" t="b">
        <f t="shared" si="34"/>
        <v>0</v>
      </c>
      <c r="V1804" s="38"/>
      <c r="W1804" s="40"/>
      <c r="X1804" s="40"/>
      <c r="Y1804" s="38"/>
      <c r="Z1804" s="38"/>
      <c r="AA1804" s="38"/>
      <c r="AB1804" s="38"/>
      <c r="AC1804" s="38"/>
      <c r="AD1804" s="38"/>
      <c r="AE1804" s="38"/>
      <c r="AF1804" s="38"/>
      <c r="AG1804" s="38"/>
      <c r="AH1804" s="38"/>
      <c r="AI1804" s="38"/>
      <c r="AJ1804" s="38"/>
      <c r="AK1804" s="38"/>
      <c r="AL1804" s="38"/>
      <c r="AM1804" s="38"/>
      <c r="AN1804" s="38"/>
      <c r="AO1804" s="38"/>
      <c r="AP1804" s="38"/>
      <c r="AQ1804" s="38"/>
      <c r="AR1804" s="38"/>
      <c r="AS1804" s="38"/>
      <c r="AT1804" s="38"/>
      <c r="AU1804" s="38"/>
      <c r="AV1804" s="38"/>
      <c r="AW1804" s="38"/>
      <c r="AX1804" s="38"/>
      <c r="AY1804" s="38"/>
      <c r="AZ1804" s="38"/>
      <c r="BA1804" s="38"/>
      <c r="BB1804" s="38"/>
      <c r="BC1804" s="38"/>
      <c r="BD1804" s="38"/>
      <c r="BE1804" s="38"/>
      <c r="BF1804" s="38"/>
      <c r="BG1804" s="38"/>
      <c r="BH1804" s="38"/>
      <c r="BI1804" s="38"/>
      <c r="BJ1804" s="38"/>
      <c r="BK1804" s="38"/>
      <c r="BL1804" s="38"/>
      <c r="BM1804" s="38"/>
      <c r="BN1804" s="38"/>
      <c r="BO1804" s="38"/>
      <c r="BP1804" s="38"/>
      <c r="BQ1804" s="38"/>
    </row>
    <row r="1805">
      <c r="A1805" s="58"/>
      <c r="B1805" s="341"/>
      <c r="C1805" s="60"/>
      <c r="D1805" s="60"/>
      <c r="E1805" s="58"/>
      <c r="F1805" s="58"/>
      <c r="G1805" s="58"/>
      <c r="H1805" s="33" t="str">
        <f t="shared" si="33"/>
        <v/>
      </c>
      <c r="I1805" s="58"/>
      <c r="J1805" s="58"/>
      <c r="K1805" s="58"/>
      <c r="L1805" s="58"/>
      <c r="M1805" s="80"/>
      <c r="N1805" s="77"/>
      <c r="O1805" s="58"/>
      <c r="P1805" s="58"/>
      <c r="Q1805" s="84"/>
      <c r="R1805" s="62"/>
      <c r="S1805" s="37" t="str">
        <f>IFERROR(__xludf.DUMMYFUNCTION("if(not(iserror(index(split(C1805, "" ""),2))), index(split(C1805, "" ""),1),"""")"),"")</f>
        <v/>
      </c>
      <c r="T1805" s="315" t="str">
        <f>IFERROR(__xludf.DUMMYFUNCTION("if(S1805="""",C1805,if(not(iserror(index(split(C1805, "" ""),3))), index(split(C1805, "" ""),3),index(split(C1805, "" ""),2)))"),"")</f>
        <v/>
      </c>
      <c r="U1805" s="38" t="b">
        <f t="shared" si="34"/>
        <v>0</v>
      </c>
      <c r="V1805" s="38"/>
      <c r="W1805" s="40"/>
      <c r="X1805" s="40"/>
      <c r="Y1805" s="38"/>
      <c r="Z1805" s="38"/>
      <c r="AA1805" s="38"/>
      <c r="AB1805" s="38"/>
      <c r="AC1805" s="38"/>
      <c r="AD1805" s="38"/>
      <c r="AE1805" s="38"/>
      <c r="AF1805" s="38"/>
      <c r="AG1805" s="38"/>
      <c r="AH1805" s="38"/>
      <c r="AI1805" s="38"/>
      <c r="AJ1805" s="38"/>
      <c r="AK1805" s="38"/>
      <c r="AL1805" s="38"/>
      <c r="AM1805" s="38"/>
      <c r="AN1805" s="38"/>
      <c r="AO1805" s="38"/>
      <c r="AP1805" s="38"/>
      <c r="AQ1805" s="38"/>
      <c r="AR1805" s="38"/>
      <c r="AS1805" s="38"/>
      <c r="AT1805" s="38"/>
      <c r="AU1805" s="38"/>
      <c r="AV1805" s="38"/>
      <c r="AW1805" s="38"/>
      <c r="AX1805" s="38"/>
      <c r="AY1805" s="38"/>
      <c r="AZ1805" s="38"/>
      <c r="BA1805" s="38"/>
      <c r="BB1805" s="38"/>
      <c r="BC1805" s="38"/>
      <c r="BD1805" s="38"/>
      <c r="BE1805" s="38"/>
      <c r="BF1805" s="38"/>
      <c r="BG1805" s="38"/>
      <c r="BH1805" s="38"/>
      <c r="BI1805" s="38"/>
      <c r="BJ1805" s="38"/>
      <c r="BK1805" s="38"/>
      <c r="BL1805" s="38"/>
      <c r="BM1805" s="38"/>
      <c r="BN1805" s="38"/>
      <c r="BO1805" s="38"/>
      <c r="BP1805" s="38"/>
      <c r="BQ1805" s="38"/>
    </row>
    <row r="1806">
      <c r="A1806" s="58"/>
      <c r="B1806" s="341"/>
      <c r="C1806" s="60"/>
      <c r="D1806" s="60"/>
      <c r="E1806" s="58"/>
      <c r="F1806" s="58"/>
      <c r="G1806" s="58"/>
      <c r="H1806" s="33" t="str">
        <f t="shared" si="33"/>
        <v/>
      </c>
      <c r="I1806" s="58"/>
      <c r="J1806" s="58"/>
      <c r="K1806" s="58"/>
      <c r="L1806" s="58"/>
      <c r="M1806" s="80"/>
      <c r="N1806" s="77"/>
      <c r="O1806" s="62"/>
      <c r="P1806" s="62"/>
      <c r="Q1806" s="62"/>
      <c r="R1806" s="62"/>
      <c r="S1806" s="37" t="str">
        <f>IFERROR(__xludf.DUMMYFUNCTION("if(not(iserror(index(split(C1806, "" ""),2))), index(split(C1806, "" ""),1),"""")"),"")</f>
        <v/>
      </c>
      <c r="T1806" s="315" t="str">
        <f>IFERROR(__xludf.DUMMYFUNCTION("if(S1806="""",C1806,if(not(iserror(index(split(C1806, "" ""),3))), index(split(C1806, "" ""),3),index(split(C1806, "" ""),2)))"),"")</f>
        <v/>
      </c>
      <c r="U1806" s="38" t="b">
        <f t="shared" si="34"/>
        <v>0</v>
      </c>
      <c r="V1806" s="38"/>
      <c r="W1806" s="40"/>
      <c r="X1806" s="40"/>
      <c r="Y1806" s="38"/>
      <c r="Z1806" s="38"/>
      <c r="AA1806" s="38"/>
      <c r="AB1806" s="38"/>
      <c r="AC1806" s="38"/>
      <c r="AD1806" s="38"/>
      <c r="AE1806" s="38"/>
      <c r="AF1806" s="38"/>
      <c r="AG1806" s="38"/>
      <c r="AH1806" s="38"/>
      <c r="AI1806" s="38"/>
      <c r="AJ1806" s="38"/>
      <c r="AK1806" s="38"/>
      <c r="AL1806" s="38"/>
      <c r="AM1806" s="38"/>
      <c r="AN1806" s="38"/>
      <c r="AO1806" s="38"/>
      <c r="AP1806" s="38"/>
      <c r="AQ1806" s="38"/>
      <c r="AR1806" s="38"/>
      <c r="AS1806" s="38"/>
      <c r="AT1806" s="38"/>
      <c r="AU1806" s="38"/>
      <c r="AV1806" s="38"/>
      <c r="AW1806" s="38"/>
      <c r="AX1806" s="38"/>
      <c r="AY1806" s="38"/>
      <c r="AZ1806" s="38"/>
      <c r="BA1806" s="38"/>
      <c r="BB1806" s="38"/>
      <c r="BC1806" s="38"/>
      <c r="BD1806" s="38"/>
      <c r="BE1806" s="38"/>
      <c r="BF1806" s="38"/>
      <c r="BG1806" s="38"/>
      <c r="BH1806" s="38"/>
      <c r="BI1806" s="38"/>
      <c r="BJ1806" s="38"/>
      <c r="BK1806" s="38"/>
      <c r="BL1806" s="38"/>
      <c r="BM1806" s="38"/>
      <c r="BN1806" s="38"/>
      <c r="BO1806" s="38"/>
      <c r="BP1806" s="38"/>
      <c r="BQ1806" s="38"/>
    </row>
    <row r="1807">
      <c r="A1807" s="58"/>
      <c r="B1807" s="341"/>
      <c r="C1807" s="60"/>
      <c r="D1807" s="60"/>
      <c r="E1807" s="58"/>
      <c r="F1807" s="58"/>
      <c r="G1807" s="58"/>
      <c r="H1807" s="33" t="str">
        <f t="shared" si="33"/>
        <v/>
      </c>
      <c r="I1807" s="58"/>
      <c r="J1807" s="58"/>
      <c r="K1807" s="58"/>
      <c r="L1807" s="58"/>
      <c r="M1807" s="80"/>
      <c r="N1807" s="77"/>
      <c r="O1807" s="62"/>
      <c r="P1807" s="62"/>
      <c r="Q1807" s="62"/>
      <c r="R1807" s="62"/>
      <c r="S1807" s="37" t="str">
        <f>IFERROR(__xludf.DUMMYFUNCTION("if(not(iserror(index(split(C1807, "" ""),2))), index(split(C1807, "" ""),1),"""")"),"")</f>
        <v/>
      </c>
      <c r="T1807" s="315" t="str">
        <f>IFERROR(__xludf.DUMMYFUNCTION("if(S1807="""",C1807,if(not(iserror(index(split(C1807, "" ""),3))), index(split(C1807, "" ""),3),index(split(C1807, "" ""),2)))"),"")</f>
        <v/>
      </c>
      <c r="U1807" s="38" t="b">
        <f t="shared" si="34"/>
        <v>0</v>
      </c>
      <c r="V1807" s="38"/>
      <c r="W1807" s="40"/>
      <c r="X1807" s="40"/>
      <c r="Y1807" s="38"/>
      <c r="Z1807" s="38"/>
      <c r="AA1807" s="38"/>
      <c r="AB1807" s="38"/>
      <c r="AC1807" s="38"/>
      <c r="AD1807" s="38"/>
      <c r="AE1807" s="38"/>
      <c r="AF1807" s="38"/>
      <c r="AG1807" s="38"/>
      <c r="AH1807" s="38"/>
      <c r="AI1807" s="38"/>
      <c r="AJ1807" s="38"/>
      <c r="AK1807" s="38"/>
      <c r="AL1807" s="38"/>
      <c r="AM1807" s="38"/>
      <c r="AN1807" s="38"/>
      <c r="AO1807" s="38"/>
      <c r="AP1807" s="38"/>
      <c r="AQ1807" s="38"/>
      <c r="AR1807" s="38"/>
      <c r="AS1807" s="38"/>
      <c r="AT1807" s="38"/>
      <c r="AU1807" s="38"/>
      <c r="AV1807" s="38"/>
      <c r="AW1807" s="38"/>
      <c r="AX1807" s="38"/>
      <c r="AY1807" s="38"/>
      <c r="AZ1807" s="38"/>
      <c r="BA1807" s="38"/>
      <c r="BB1807" s="38"/>
      <c r="BC1807" s="38"/>
      <c r="BD1807" s="38"/>
      <c r="BE1807" s="38"/>
      <c r="BF1807" s="38"/>
      <c r="BG1807" s="38"/>
      <c r="BH1807" s="38"/>
      <c r="BI1807" s="38"/>
      <c r="BJ1807" s="38"/>
      <c r="BK1807" s="38"/>
      <c r="BL1807" s="38"/>
      <c r="BM1807" s="38"/>
      <c r="BN1807" s="38"/>
      <c r="BO1807" s="38"/>
      <c r="BP1807" s="38"/>
      <c r="BQ1807" s="38"/>
    </row>
    <row r="1808">
      <c r="A1808" s="58"/>
      <c r="B1808" s="341"/>
      <c r="C1808" s="60"/>
      <c r="D1808" s="60"/>
      <c r="E1808" s="58"/>
      <c r="F1808" s="58"/>
      <c r="G1808" s="58"/>
      <c r="H1808" s="33" t="str">
        <f t="shared" si="33"/>
        <v/>
      </c>
      <c r="I1808" s="58"/>
      <c r="J1808" s="58"/>
      <c r="K1808" s="58"/>
      <c r="L1808" s="58"/>
      <c r="M1808" s="80"/>
      <c r="N1808" s="80"/>
      <c r="O1808" s="62"/>
      <c r="P1808" s="62"/>
      <c r="Q1808" s="62"/>
      <c r="R1808" s="62"/>
      <c r="S1808" s="37" t="str">
        <f>IFERROR(__xludf.DUMMYFUNCTION("if(not(iserror(index(split(C1808, "" ""),2))), index(split(C1808, "" ""),1),"""")"),"")</f>
        <v/>
      </c>
      <c r="T1808" s="315" t="str">
        <f>IFERROR(__xludf.DUMMYFUNCTION("if(S1808="""",C1808,if(not(iserror(index(split(C1808, "" ""),3))), index(split(C1808, "" ""),3),index(split(C1808, "" ""),2)))"),"")</f>
        <v/>
      </c>
      <c r="U1808" s="38" t="b">
        <f t="shared" si="34"/>
        <v>0</v>
      </c>
      <c r="V1808" s="38"/>
      <c r="W1808" s="40"/>
      <c r="X1808" s="40"/>
      <c r="Y1808" s="38"/>
      <c r="Z1808" s="38"/>
      <c r="AA1808" s="38"/>
      <c r="AB1808" s="38"/>
      <c r="AC1808" s="38"/>
      <c r="AD1808" s="38"/>
      <c r="AE1808" s="38"/>
      <c r="AF1808" s="38"/>
      <c r="AG1808" s="38"/>
      <c r="AH1808" s="38"/>
      <c r="AI1808" s="38"/>
      <c r="AJ1808" s="38"/>
      <c r="AK1808" s="38"/>
      <c r="AL1808" s="38"/>
      <c r="AM1808" s="38"/>
      <c r="AN1808" s="38"/>
      <c r="AO1808" s="38"/>
      <c r="AP1808" s="38"/>
      <c r="AQ1808" s="38"/>
      <c r="AR1808" s="38"/>
      <c r="AS1808" s="38"/>
      <c r="AT1808" s="38"/>
      <c r="AU1808" s="38"/>
      <c r="AV1808" s="38"/>
      <c r="AW1808" s="38"/>
      <c r="AX1808" s="38"/>
      <c r="AY1808" s="38"/>
      <c r="AZ1808" s="38"/>
      <c r="BA1808" s="38"/>
      <c r="BB1808" s="38"/>
      <c r="BC1808" s="38"/>
      <c r="BD1808" s="38"/>
      <c r="BE1808" s="38"/>
      <c r="BF1808" s="38"/>
      <c r="BG1808" s="38"/>
      <c r="BH1808" s="38"/>
      <c r="BI1808" s="38"/>
      <c r="BJ1808" s="38"/>
      <c r="BK1808" s="38"/>
      <c r="BL1808" s="38"/>
      <c r="BM1808" s="38"/>
      <c r="BN1808" s="38"/>
      <c r="BO1808" s="38"/>
      <c r="BP1808" s="38"/>
      <c r="BQ1808" s="38"/>
    </row>
    <row r="1809">
      <c r="A1809" s="58"/>
      <c r="B1809" s="341"/>
      <c r="C1809" s="60"/>
      <c r="D1809" s="60"/>
      <c r="E1809" s="58"/>
      <c r="F1809" s="58"/>
      <c r="G1809" s="58"/>
      <c r="H1809" s="33" t="str">
        <f t="shared" si="33"/>
        <v/>
      </c>
      <c r="I1809" s="58"/>
      <c r="J1809" s="58"/>
      <c r="K1809" s="58"/>
      <c r="L1809" s="58"/>
      <c r="M1809" s="80"/>
      <c r="N1809" s="14"/>
      <c r="O1809" s="58"/>
      <c r="P1809" s="58"/>
      <c r="Q1809" s="84"/>
      <c r="R1809" s="62"/>
      <c r="S1809" s="37" t="str">
        <f>IFERROR(__xludf.DUMMYFUNCTION("if(not(iserror(index(split(C1809, "" ""),2))), index(split(C1809, "" ""),1),"""")"),"")</f>
        <v/>
      </c>
      <c r="T1809" s="315" t="str">
        <f>IFERROR(__xludf.DUMMYFUNCTION("if(S1809="""",C1809,if(not(iserror(index(split(C1809, "" ""),3))), index(split(C1809, "" ""),3),index(split(C1809, "" ""),2)))"),"")</f>
        <v/>
      </c>
      <c r="U1809" s="38" t="b">
        <f t="shared" si="34"/>
        <v>0</v>
      </c>
      <c r="V1809" s="38"/>
      <c r="W1809" s="40"/>
      <c r="X1809" s="40"/>
      <c r="Y1809" s="38"/>
      <c r="Z1809" s="38"/>
      <c r="AA1809" s="38"/>
      <c r="AB1809" s="38"/>
      <c r="AC1809" s="38"/>
      <c r="AD1809" s="38"/>
      <c r="AE1809" s="38"/>
      <c r="AF1809" s="38"/>
      <c r="AG1809" s="38"/>
      <c r="AH1809" s="38"/>
      <c r="AI1809" s="38"/>
      <c r="AJ1809" s="38"/>
      <c r="AK1809" s="38"/>
      <c r="AL1809" s="38"/>
      <c r="AM1809" s="38"/>
      <c r="AN1809" s="38"/>
      <c r="AO1809" s="38"/>
      <c r="AP1809" s="38"/>
      <c r="AQ1809" s="38"/>
      <c r="AR1809" s="38"/>
      <c r="AS1809" s="38"/>
      <c r="AT1809" s="38"/>
      <c r="AU1809" s="38"/>
      <c r="AV1809" s="38"/>
      <c r="AW1809" s="38"/>
      <c r="AX1809" s="38"/>
      <c r="AY1809" s="38"/>
      <c r="AZ1809" s="38"/>
      <c r="BA1809" s="38"/>
      <c r="BB1809" s="38"/>
      <c r="BC1809" s="38"/>
      <c r="BD1809" s="38"/>
      <c r="BE1809" s="38"/>
      <c r="BF1809" s="38"/>
      <c r="BG1809" s="38"/>
      <c r="BH1809" s="38"/>
      <c r="BI1809" s="38"/>
      <c r="BJ1809" s="38"/>
      <c r="BK1809" s="38"/>
      <c r="BL1809" s="38"/>
      <c r="BM1809" s="38"/>
      <c r="BN1809" s="38"/>
      <c r="BO1809" s="38"/>
      <c r="BP1809" s="38"/>
      <c r="BQ1809" s="38"/>
    </row>
    <row r="1810">
      <c r="A1810" s="58"/>
      <c r="B1810" s="341"/>
      <c r="C1810" s="60"/>
      <c r="D1810" s="60"/>
      <c r="E1810" s="58"/>
      <c r="F1810" s="58"/>
      <c r="G1810" s="58"/>
      <c r="H1810" s="33" t="str">
        <f t="shared" si="33"/>
        <v/>
      </c>
      <c r="I1810" s="58"/>
      <c r="J1810" s="58"/>
      <c r="K1810" s="58"/>
      <c r="L1810" s="58"/>
      <c r="M1810" s="80"/>
      <c r="N1810" s="77"/>
      <c r="O1810" s="58"/>
      <c r="P1810" s="58"/>
      <c r="Q1810" s="84"/>
      <c r="R1810" s="62"/>
      <c r="S1810" s="37" t="str">
        <f>IFERROR(__xludf.DUMMYFUNCTION("if(not(iserror(index(split(C1810, "" ""),2))), index(split(C1810, "" ""),1),"""")"),"")</f>
        <v/>
      </c>
      <c r="T1810" s="315" t="str">
        <f>IFERROR(__xludf.DUMMYFUNCTION("if(S1810="""",C1810,if(not(iserror(index(split(C1810, "" ""),3))), index(split(C1810, "" ""),3),index(split(C1810, "" ""),2)))"),"")</f>
        <v/>
      </c>
      <c r="U1810" s="38" t="b">
        <f t="shared" si="34"/>
        <v>0</v>
      </c>
      <c r="V1810" s="38"/>
      <c r="W1810" s="40"/>
      <c r="X1810" s="40"/>
      <c r="Y1810" s="38"/>
      <c r="Z1810" s="38"/>
      <c r="AA1810" s="38"/>
      <c r="AB1810" s="38"/>
      <c r="AC1810" s="38"/>
      <c r="AD1810" s="38"/>
      <c r="AE1810" s="38"/>
      <c r="AF1810" s="38"/>
      <c r="AG1810" s="38"/>
      <c r="AH1810" s="38"/>
      <c r="AI1810" s="38"/>
      <c r="AJ1810" s="38"/>
      <c r="AK1810" s="38"/>
      <c r="AL1810" s="38"/>
      <c r="AM1810" s="38"/>
      <c r="AN1810" s="38"/>
      <c r="AO1810" s="38"/>
      <c r="AP1810" s="38"/>
      <c r="AQ1810" s="38"/>
      <c r="AR1810" s="38"/>
      <c r="AS1810" s="38"/>
      <c r="AT1810" s="38"/>
      <c r="AU1810" s="38"/>
      <c r="AV1810" s="38"/>
      <c r="AW1810" s="38"/>
      <c r="AX1810" s="38"/>
      <c r="AY1810" s="38"/>
      <c r="AZ1810" s="38"/>
      <c r="BA1810" s="38"/>
      <c r="BB1810" s="38"/>
      <c r="BC1810" s="38"/>
      <c r="BD1810" s="38"/>
      <c r="BE1810" s="38"/>
      <c r="BF1810" s="38"/>
      <c r="BG1810" s="38"/>
      <c r="BH1810" s="38"/>
      <c r="BI1810" s="38"/>
      <c r="BJ1810" s="38"/>
      <c r="BK1810" s="38"/>
      <c r="BL1810" s="38"/>
      <c r="BM1810" s="38"/>
      <c r="BN1810" s="38"/>
      <c r="BO1810" s="38"/>
      <c r="BP1810" s="38"/>
      <c r="BQ1810" s="38"/>
    </row>
    <row r="1811">
      <c r="A1811" s="58"/>
      <c r="B1811" s="341"/>
      <c r="C1811" s="60"/>
      <c r="D1811" s="60"/>
      <c r="E1811" s="58"/>
      <c r="F1811" s="58"/>
      <c r="G1811" s="58"/>
      <c r="H1811" s="33" t="str">
        <f t="shared" si="33"/>
        <v/>
      </c>
      <c r="I1811" s="58"/>
      <c r="J1811" s="58"/>
      <c r="K1811" s="58"/>
      <c r="L1811" s="58"/>
      <c r="M1811" s="404"/>
      <c r="N1811" s="77"/>
      <c r="O1811" s="62"/>
      <c r="P1811" s="62"/>
      <c r="Q1811" s="62"/>
      <c r="R1811" s="62"/>
      <c r="S1811" s="37" t="str">
        <f>IFERROR(__xludf.DUMMYFUNCTION("if(not(iserror(index(split(C1811, "" ""),2))), index(split(C1811, "" ""),1),"""")"),"")</f>
        <v/>
      </c>
      <c r="T1811" s="315" t="str">
        <f>IFERROR(__xludf.DUMMYFUNCTION("if(S1811="""",C1811,if(not(iserror(index(split(C1811, "" ""),3))), index(split(C1811, "" ""),3),index(split(C1811, "" ""),2)))"),"")</f>
        <v/>
      </c>
      <c r="U1811" s="38" t="b">
        <f t="shared" si="34"/>
        <v>0</v>
      </c>
      <c r="V1811" s="38"/>
      <c r="W1811" s="40"/>
      <c r="X1811" s="40"/>
      <c r="Y1811" s="38"/>
      <c r="Z1811" s="38"/>
      <c r="AA1811" s="38"/>
      <c r="AB1811" s="38"/>
      <c r="AC1811" s="38"/>
      <c r="AD1811" s="38"/>
      <c r="AE1811" s="38"/>
      <c r="AF1811" s="38"/>
      <c r="AG1811" s="38"/>
      <c r="AH1811" s="38"/>
      <c r="AI1811" s="38"/>
      <c r="AJ1811" s="38"/>
      <c r="AK1811" s="38"/>
      <c r="AL1811" s="38"/>
      <c r="AM1811" s="38"/>
      <c r="AN1811" s="38"/>
      <c r="AO1811" s="38"/>
      <c r="AP1811" s="38"/>
      <c r="AQ1811" s="38"/>
      <c r="AR1811" s="38"/>
      <c r="AS1811" s="38"/>
      <c r="AT1811" s="38"/>
      <c r="AU1811" s="38"/>
      <c r="AV1811" s="38"/>
      <c r="AW1811" s="38"/>
      <c r="AX1811" s="38"/>
      <c r="AY1811" s="38"/>
      <c r="AZ1811" s="38"/>
      <c r="BA1811" s="38"/>
      <c r="BB1811" s="38"/>
      <c r="BC1811" s="38"/>
      <c r="BD1811" s="38"/>
      <c r="BE1811" s="38"/>
      <c r="BF1811" s="38"/>
      <c r="BG1811" s="38"/>
      <c r="BH1811" s="38"/>
      <c r="BI1811" s="38"/>
      <c r="BJ1811" s="38"/>
      <c r="BK1811" s="38"/>
      <c r="BL1811" s="38"/>
      <c r="BM1811" s="38"/>
      <c r="BN1811" s="38"/>
      <c r="BO1811" s="38"/>
      <c r="BP1811" s="38"/>
      <c r="BQ1811" s="38"/>
    </row>
    <row r="1812">
      <c r="A1812" s="58"/>
      <c r="B1812" s="341"/>
      <c r="C1812" s="60"/>
      <c r="D1812" s="60"/>
      <c r="E1812" s="58"/>
      <c r="F1812" s="58"/>
      <c r="G1812" s="58"/>
      <c r="H1812" s="33" t="str">
        <f t="shared" si="33"/>
        <v/>
      </c>
      <c r="I1812" s="58"/>
      <c r="J1812" s="58"/>
      <c r="K1812" s="58"/>
      <c r="L1812" s="58"/>
      <c r="M1812" s="80"/>
      <c r="N1812" s="77"/>
      <c r="O1812" s="62"/>
      <c r="P1812" s="58"/>
      <c r="Q1812" s="84"/>
      <c r="R1812" s="62"/>
      <c r="S1812" s="37" t="str">
        <f>IFERROR(__xludf.DUMMYFUNCTION("if(not(iserror(index(split(C1812, "" ""),2))), index(split(C1812, "" ""),1),"""")"),"")</f>
        <v/>
      </c>
      <c r="T1812" s="315" t="str">
        <f>IFERROR(__xludf.DUMMYFUNCTION("if(S1812="""",C1812,if(not(iserror(index(split(C1812, "" ""),3))), index(split(C1812, "" ""),3),index(split(C1812, "" ""),2)))"),"")</f>
        <v/>
      </c>
      <c r="U1812" s="38" t="b">
        <f t="shared" si="34"/>
        <v>0</v>
      </c>
      <c r="V1812" s="38"/>
      <c r="W1812" s="40"/>
      <c r="X1812" s="40"/>
      <c r="Y1812" s="38"/>
      <c r="Z1812" s="38"/>
      <c r="AA1812" s="38"/>
      <c r="AB1812" s="38"/>
      <c r="AC1812" s="38"/>
      <c r="AD1812" s="38"/>
      <c r="AE1812" s="38"/>
      <c r="AF1812" s="38"/>
      <c r="AG1812" s="38"/>
      <c r="AH1812" s="38"/>
      <c r="AI1812" s="38"/>
      <c r="AJ1812" s="38"/>
      <c r="AK1812" s="38"/>
      <c r="AL1812" s="38"/>
      <c r="AM1812" s="38"/>
      <c r="AN1812" s="38"/>
      <c r="AO1812" s="38"/>
      <c r="AP1812" s="38"/>
      <c r="AQ1812" s="38"/>
      <c r="AR1812" s="38"/>
      <c r="AS1812" s="38"/>
      <c r="AT1812" s="38"/>
      <c r="AU1812" s="38"/>
      <c r="AV1812" s="38"/>
      <c r="AW1812" s="38"/>
      <c r="AX1812" s="38"/>
      <c r="AY1812" s="38"/>
      <c r="AZ1812" s="38"/>
      <c r="BA1812" s="38"/>
      <c r="BB1812" s="38"/>
      <c r="BC1812" s="38"/>
      <c r="BD1812" s="38"/>
      <c r="BE1812" s="38"/>
      <c r="BF1812" s="38"/>
      <c r="BG1812" s="38"/>
      <c r="BH1812" s="38"/>
      <c r="BI1812" s="38"/>
      <c r="BJ1812" s="38"/>
      <c r="BK1812" s="38"/>
      <c r="BL1812" s="38"/>
      <c r="BM1812" s="38"/>
      <c r="BN1812" s="38"/>
      <c r="BO1812" s="38"/>
      <c r="BP1812" s="38"/>
      <c r="BQ1812" s="38"/>
    </row>
    <row r="1813">
      <c r="A1813" s="58"/>
      <c r="B1813" s="341"/>
      <c r="C1813" s="60"/>
      <c r="D1813" s="60"/>
      <c r="E1813" s="58"/>
      <c r="F1813" s="58"/>
      <c r="G1813" s="58"/>
      <c r="H1813" s="33" t="str">
        <f t="shared" si="33"/>
        <v/>
      </c>
      <c r="I1813" s="58"/>
      <c r="J1813" s="58"/>
      <c r="K1813" s="58"/>
      <c r="L1813" s="58"/>
      <c r="M1813" s="80"/>
      <c r="N1813" s="77"/>
      <c r="O1813" s="62"/>
      <c r="P1813" s="58"/>
      <c r="Q1813" s="84"/>
      <c r="R1813" s="62"/>
      <c r="S1813" s="37" t="str">
        <f>IFERROR(__xludf.DUMMYFUNCTION("if(not(iserror(index(split(C1813, "" ""),2))), index(split(C1813, "" ""),1),"""")"),"")</f>
        <v/>
      </c>
      <c r="T1813" s="315" t="str">
        <f>IFERROR(__xludf.DUMMYFUNCTION("if(S1813="""",C1813,if(not(iserror(index(split(C1813, "" ""),3))), index(split(C1813, "" ""),3),index(split(C1813, "" ""),2)))"),"")</f>
        <v/>
      </c>
      <c r="U1813" s="38" t="b">
        <f t="shared" si="34"/>
        <v>0</v>
      </c>
      <c r="V1813" s="38"/>
      <c r="W1813" s="40"/>
      <c r="X1813" s="40"/>
      <c r="Y1813" s="38"/>
      <c r="Z1813" s="38"/>
      <c r="AA1813" s="38"/>
      <c r="AB1813" s="38"/>
      <c r="AC1813" s="38"/>
      <c r="AD1813" s="38"/>
      <c r="AE1813" s="38"/>
      <c r="AF1813" s="38"/>
      <c r="AG1813" s="38"/>
      <c r="AH1813" s="38"/>
      <c r="AI1813" s="38"/>
      <c r="AJ1813" s="38"/>
      <c r="AK1813" s="38"/>
      <c r="AL1813" s="38"/>
      <c r="AM1813" s="38"/>
      <c r="AN1813" s="38"/>
      <c r="AO1813" s="38"/>
      <c r="AP1813" s="38"/>
      <c r="AQ1813" s="38"/>
      <c r="AR1813" s="38"/>
      <c r="AS1813" s="38"/>
      <c r="AT1813" s="38"/>
      <c r="AU1813" s="38"/>
      <c r="AV1813" s="38"/>
      <c r="AW1813" s="38"/>
      <c r="AX1813" s="38"/>
      <c r="AY1813" s="38"/>
      <c r="AZ1813" s="38"/>
      <c r="BA1813" s="38"/>
      <c r="BB1813" s="38"/>
      <c r="BC1813" s="38"/>
      <c r="BD1813" s="38"/>
      <c r="BE1813" s="38"/>
      <c r="BF1813" s="38"/>
      <c r="BG1813" s="38"/>
      <c r="BH1813" s="38"/>
      <c r="BI1813" s="38"/>
      <c r="BJ1813" s="38"/>
      <c r="BK1813" s="38"/>
      <c r="BL1813" s="38"/>
      <c r="BM1813" s="38"/>
      <c r="BN1813" s="38"/>
      <c r="BO1813" s="38"/>
      <c r="BP1813" s="38"/>
      <c r="BQ1813" s="38"/>
    </row>
    <row r="1814">
      <c r="A1814" s="58"/>
      <c r="B1814" s="341"/>
      <c r="C1814" s="60"/>
      <c r="D1814" s="60"/>
      <c r="E1814" s="58"/>
      <c r="F1814" s="58"/>
      <c r="G1814" s="58"/>
      <c r="H1814" s="33" t="str">
        <f t="shared" si="33"/>
        <v/>
      </c>
      <c r="I1814" s="58"/>
      <c r="J1814" s="58"/>
      <c r="K1814" s="58"/>
      <c r="L1814" s="58"/>
      <c r="M1814" s="80"/>
      <c r="N1814" s="77"/>
      <c r="O1814" s="62"/>
      <c r="P1814" s="62"/>
      <c r="Q1814" s="62"/>
      <c r="R1814" s="62"/>
      <c r="S1814" s="37" t="str">
        <f>IFERROR(__xludf.DUMMYFUNCTION("if(not(iserror(index(split(C1814, "" ""),2))), index(split(C1814, "" ""),1),"""")"),"")</f>
        <v/>
      </c>
      <c r="T1814" s="315" t="str">
        <f>IFERROR(__xludf.DUMMYFUNCTION("if(S1814="""",C1814,if(not(iserror(index(split(C1814, "" ""),3))), index(split(C1814, "" ""),3),index(split(C1814, "" ""),2)))"),"")</f>
        <v/>
      </c>
      <c r="U1814" s="38" t="b">
        <f t="shared" si="34"/>
        <v>0</v>
      </c>
      <c r="V1814" s="38"/>
      <c r="W1814" s="40"/>
      <c r="X1814" s="40"/>
      <c r="Y1814" s="38"/>
      <c r="Z1814" s="38"/>
      <c r="AA1814" s="38"/>
      <c r="AB1814" s="38"/>
      <c r="AC1814" s="38"/>
      <c r="AD1814" s="38"/>
      <c r="AE1814" s="38"/>
      <c r="AF1814" s="38"/>
      <c r="AG1814" s="38"/>
      <c r="AH1814" s="38"/>
      <c r="AI1814" s="38"/>
      <c r="AJ1814" s="38"/>
      <c r="AK1814" s="38"/>
      <c r="AL1814" s="38"/>
      <c r="AM1814" s="38"/>
      <c r="AN1814" s="38"/>
      <c r="AO1814" s="38"/>
      <c r="AP1814" s="38"/>
      <c r="AQ1814" s="38"/>
      <c r="AR1814" s="38"/>
      <c r="AS1814" s="38"/>
      <c r="AT1814" s="38"/>
      <c r="AU1814" s="38"/>
      <c r="AV1814" s="38"/>
      <c r="AW1814" s="38"/>
      <c r="AX1814" s="38"/>
      <c r="AY1814" s="38"/>
      <c r="AZ1814" s="38"/>
      <c r="BA1814" s="38"/>
      <c r="BB1814" s="38"/>
      <c r="BC1814" s="38"/>
      <c r="BD1814" s="38"/>
      <c r="BE1814" s="38"/>
      <c r="BF1814" s="38"/>
      <c r="BG1814" s="38"/>
      <c r="BH1814" s="38"/>
      <c r="BI1814" s="38"/>
      <c r="BJ1814" s="38"/>
      <c r="BK1814" s="38"/>
      <c r="BL1814" s="38"/>
      <c r="BM1814" s="38"/>
      <c r="BN1814" s="38"/>
      <c r="BO1814" s="38"/>
      <c r="BP1814" s="38"/>
      <c r="BQ1814" s="38"/>
    </row>
    <row r="1815">
      <c r="A1815" s="58"/>
      <c r="B1815" s="341"/>
      <c r="C1815" s="60"/>
      <c r="D1815" s="60"/>
      <c r="E1815" s="58"/>
      <c r="F1815" s="58"/>
      <c r="G1815" s="58"/>
      <c r="H1815" s="33" t="str">
        <f t="shared" si="33"/>
        <v/>
      </c>
      <c r="I1815" s="58"/>
      <c r="J1815" s="58"/>
      <c r="K1815" s="58"/>
      <c r="L1815" s="58"/>
      <c r="M1815" s="80"/>
      <c r="N1815" s="77"/>
      <c r="O1815" s="62"/>
      <c r="P1815" s="62"/>
      <c r="Q1815" s="62"/>
      <c r="R1815" s="62"/>
      <c r="S1815" s="37" t="str">
        <f>IFERROR(__xludf.DUMMYFUNCTION("if(not(iserror(index(split(C1815, "" ""),2))), index(split(C1815, "" ""),1),"""")"),"")</f>
        <v/>
      </c>
      <c r="T1815" s="315" t="str">
        <f>IFERROR(__xludf.DUMMYFUNCTION("if(S1815="""",C1815,if(not(iserror(index(split(C1815, "" ""),3))), index(split(C1815, "" ""),3),index(split(C1815, "" ""),2)))"),"")</f>
        <v/>
      </c>
      <c r="U1815" s="38" t="b">
        <f t="shared" si="34"/>
        <v>0</v>
      </c>
      <c r="V1815" s="38"/>
      <c r="W1815" s="40"/>
      <c r="X1815" s="40"/>
      <c r="Y1815" s="38"/>
      <c r="Z1815" s="38"/>
      <c r="AA1815" s="38"/>
      <c r="AB1815" s="38"/>
      <c r="AC1815" s="38"/>
      <c r="AD1815" s="38"/>
      <c r="AE1815" s="38"/>
      <c r="AF1815" s="38"/>
      <c r="AG1815" s="38"/>
      <c r="AH1815" s="38"/>
      <c r="AI1815" s="38"/>
      <c r="AJ1815" s="38"/>
      <c r="AK1815" s="38"/>
      <c r="AL1815" s="38"/>
      <c r="AM1815" s="38"/>
      <c r="AN1815" s="38"/>
      <c r="AO1815" s="38"/>
      <c r="AP1815" s="38"/>
      <c r="AQ1815" s="38"/>
      <c r="AR1815" s="38"/>
      <c r="AS1815" s="38"/>
      <c r="AT1815" s="38"/>
      <c r="AU1815" s="38"/>
      <c r="AV1815" s="38"/>
      <c r="AW1815" s="38"/>
      <c r="AX1815" s="38"/>
      <c r="AY1815" s="38"/>
      <c r="AZ1815" s="38"/>
      <c r="BA1815" s="38"/>
      <c r="BB1815" s="38"/>
      <c r="BC1815" s="38"/>
      <c r="BD1815" s="38"/>
      <c r="BE1815" s="38"/>
      <c r="BF1815" s="38"/>
      <c r="BG1815" s="38"/>
      <c r="BH1815" s="38"/>
      <c r="BI1815" s="38"/>
      <c r="BJ1815" s="38"/>
      <c r="BK1815" s="38"/>
      <c r="BL1815" s="38"/>
      <c r="BM1815" s="38"/>
      <c r="BN1815" s="38"/>
      <c r="BO1815" s="38"/>
      <c r="BP1815" s="38"/>
      <c r="BQ1815" s="38"/>
    </row>
    <row r="1816">
      <c r="A1816" s="58"/>
      <c r="B1816" s="341"/>
      <c r="C1816" s="60"/>
      <c r="D1816" s="60"/>
      <c r="E1816" s="58"/>
      <c r="F1816" s="58"/>
      <c r="G1816" s="58"/>
      <c r="H1816" s="33" t="str">
        <f t="shared" si="33"/>
        <v/>
      </c>
      <c r="I1816" s="58"/>
      <c r="J1816" s="58"/>
      <c r="K1816" s="58"/>
      <c r="L1816" s="58"/>
      <c r="M1816" s="80"/>
      <c r="N1816" s="77"/>
      <c r="O1816" s="62"/>
      <c r="P1816" s="62"/>
      <c r="Q1816" s="62"/>
      <c r="R1816" s="62"/>
      <c r="S1816" s="37" t="str">
        <f>IFERROR(__xludf.DUMMYFUNCTION("if(not(iserror(index(split(C1816, "" ""),2))), index(split(C1816, "" ""),1),"""")"),"")</f>
        <v/>
      </c>
      <c r="T1816" s="315" t="str">
        <f>IFERROR(__xludf.DUMMYFUNCTION("if(S1816="""",C1816,if(not(iserror(index(split(C1816, "" ""),3))), index(split(C1816, "" ""),3),index(split(C1816, "" ""),2)))"),"")</f>
        <v/>
      </c>
      <c r="U1816" s="38" t="b">
        <f t="shared" si="34"/>
        <v>0</v>
      </c>
      <c r="V1816" s="38"/>
      <c r="W1816" s="40"/>
      <c r="X1816" s="40"/>
      <c r="Y1816" s="38"/>
      <c r="Z1816" s="38"/>
      <c r="AA1816" s="38"/>
      <c r="AB1816" s="38"/>
      <c r="AC1816" s="38"/>
      <c r="AD1816" s="38"/>
      <c r="AE1816" s="38"/>
      <c r="AF1816" s="38"/>
      <c r="AG1816" s="38"/>
      <c r="AH1816" s="38"/>
      <c r="AI1816" s="38"/>
      <c r="AJ1816" s="38"/>
      <c r="AK1816" s="38"/>
      <c r="AL1816" s="38"/>
      <c r="AM1816" s="38"/>
      <c r="AN1816" s="38"/>
      <c r="AO1816" s="38"/>
      <c r="AP1816" s="38"/>
      <c r="AQ1816" s="38"/>
      <c r="AR1816" s="38"/>
      <c r="AS1816" s="38"/>
      <c r="AT1816" s="38"/>
      <c r="AU1816" s="38"/>
      <c r="AV1816" s="38"/>
      <c r="AW1816" s="38"/>
      <c r="AX1816" s="38"/>
      <c r="AY1816" s="38"/>
      <c r="AZ1816" s="38"/>
      <c r="BA1816" s="38"/>
      <c r="BB1816" s="38"/>
      <c r="BC1816" s="38"/>
      <c r="BD1816" s="38"/>
      <c r="BE1816" s="38"/>
      <c r="BF1816" s="38"/>
      <c r="BG1816" s="38"/>
      <c r="BH1816" s="38"/>
      <c r="BI1816" s="38"/>
      <c r="BJ1816" s="38"/>
      <c r="BK1816" s="38"/>
      <c r="BL1816" s="38"/>
      <c r="BM1816" s="38"/>
      <c r="BN1816" s="38"/>
      <c r="BO1816" s="38"/>
      <c r="BP1816" s="38"/>
      <c r="BQ1816" s="38"/>
    </row>
    <row r="1817">
      <c r="A1817" s="58"/>
      <c r="B1817" s="341"/>
      <c r="C1817" s="60"/>
      <c r="D1817" s="60"/>
      <c r="E1817" s="58"/>
      <c r="F1817" s="58"/>
      <c r="G1817" s="58"/>
      <c r="H1817" s="33" t="str">
        <f t="shared" si="33"/>
        <v/>
      </c>
      <c r="I1817" s="58"/>
      <c r="J1817" s="58"/>
      <c r="K1817" s="58"/>
      <c r="L1817" s="58"/>
      <c r="M1817" s="80"/>
      <c r="N1817" s="77"/>
      <c r="O1817" s="62"/>
      <c r="P1817" s="62"/>
      <c r="Q1817" s="62"/>
      <c r="R1817" s="62"/>
      <c r="S1817" s="37" t="str">
        <f>IFERROR(__xludf.DUMMYFUNCTION("if(not(iserror(index(split(C1817, "" ""),2))), index(split(C1817, "" ""),1),"""")"),"")</f>
        <v/>
      </c>
      <c r="T1817" s="315" t="str">
        <f>IFERROR(__xludf.DUMMYFUNCTION("if(S1817="""",C1817,if(not(iserror(index(split(C1817, "" ""),3))), index(split(C1817, "" ""),3),index(split(C1817, "" ""),2)))"),"")</f>
        <v/>
      </c>
      <c r="U1817" s="38" t="b">
        <f t="shared" si="34"/>
        <v>0</v>
      </c>
      <c r="V1817" s="38"/>
      <c r="W1817" s="40"/>
      <c r="X1817" s="40"/>
      <c r="Y1817" s="38"/>
      <c r="Z1817" s="38"/>
      <c r="AA1817" s="38"/>
      <c r="AB1817" s="38"/>
      <c r="AC1817" s="38"/>
      <c r="AD1817" s="38"/>
      <c r="AE1817" s="38"/>
      <c r="AF1817" s="38"/>
      <c r="AG1817" s="38"/>
      <c r="AH1817" s="38"/>
      <c r="AI1817" s="38"/>
      <c r="AJ1817" s="38"/>
      <c r="AK1817" s="38"/>
      <c r="AL1817" s="38"/>
      <c r="AM1817" s="38"/>
      <c r="AN1817" s="38"/>
      <c r="AO1817" s="38"/>
      <c r="AP1817" s="38"/>
      <c r="AQ1817" s="38"/>
      <c r="AR1817" s="38"/>
      <c r="AS1817" s="38"/>
      <c r="AT1817" s="38"/>
      <c r="AU1817" s="38"/>
      <c r="AV1817" s="38"/>
      <c r="AW1817" s="38"/>
      <c r="AX1817" s="38"/>
      <c r="AY1817" s="38"/>
      <c r="AZ1817" s="38"/>
      <c r="BA1817" s="38"/>
      <c r="BB1817" s="38"/>
      <c r="BC1817" s="38"/>
      <c r="BD1817" s="38"/>
      <c r="BE1817" s="38"/>
      <c r="BF1817" s="38"/>
      <c r="BG1817" s="38"/>
      <c r="BH1817" s="38"/>
      <c r="BI1817" s="38"/>
      <c r="BJ1817" s="38"/>
      <c r="BK1817" s="38"/>
      <c r="BL1817" s="38"/>
      <c r="BM1817" s="38"/>
      <c r="BN1817" s="38"/>
      <c r="BO1817" s="38"/>
      <c r="BP1817" s="38"/>
      <c r="BQ1817" s="38"/>
    </row>
    <row r="1818">
      <c r="A1818" s="58"/>
      <c r="B1818" s="341"/>
      <c r="C1818" s="60"/>
      <c r="D1818" s="60"/>
      <c r="E1818" s="58"/>
      <c r="F1818" s="58"/>
      <c r="G1818" s="58"/>
      <c r="H1818" s="33" t="str">
        <f t="shared" si="33"/>
        <v/>
      </c>
      <c r="I1818" s="58"/>
      <c r="J1818" s="58"/>
      <c r="K1818" s="58"/>
      <c r="L1818" s="58"/>
      <c r="M1818" s="80"/>
      <c r="N1818" s="77"/>
      <c r="O1818" s="62"/>
      <c r="P1818" s="62"/>
      <c r="Q1818" s="62"/>
      <c r="R1818" s="62"/>
      <c r="S1818" s="37" t="str">
        <f>IFERROR(__xludf.DUMMYFUNCTION("if(not(iserror(index(split(C1818, "" ""),2))), index(split(C1818, "" ""),1),"""")"),"")</f>
        <v/>
      </c>
      <c r="T1818" s="315" t="str">
        <f>IFERROR(__xludf.DUMMYFUNCTION("if(S1818="""",C1818,if(not(iserror(index(split(C1818, "" ""),3))), index(split(C1818, "" ""),3),index(split(C1818, "" ""),2)))"),"")</f>
        <v/>
      </c>
      <c r="U1818" s="38" t="b">
        <f t="shared" si="34"/>
        <v>0</v>
      </c>
      <c r="V1818" s="38"/>
      <c r="W1818" s="40"/>
      <c r="X1818" s="40"/>
      <c r="Y1818" s="38"/>
      <c r="Z1818" s="38"/>
      <c r="AA1818" s="38"/>
      <c r="AB1818" s="38"/>
      <c r="AC1818" s="38"/>
      <c r="AD1818" s="38"/>
      <c r="AE1818" s="38"/>
      <c r="AF1818" s="38"/>
      <c r="AG1818" s="38"/>
      <c r="AH1818" s="38"/>
      <c r="AI1818" s="38"/>
      <c r="AJ1818" s="38"/>
      <c r="AK1818" s="38"/>
      <c r="AL1818" s="38"/>
      <c r="AM1818" s="38"/>
      <c r="AN1818" s="38"/>
      <c r="AO1818" s="38"/>
      <c r="AP1818" s="38"/>
      <c r="AQ1818" s="38"/>
      <c r="AR1818" s="38"/>
      <c r="AS1818" s="38"/>
      <c r="AT1818" s="38"/>
      <c r="AU1818" s="38"/>
      <c r="AV1818" s="38"/>
      <c r="AW1818" s="38"/>
      <c r="AX1818" s="38"/>
      <c r="AY1818" s="38"/>
      <c r="AZ1818" s="38"/>
      <c r="BA1818" s="38"/>
      <c r="BB1818" s="38"/>
      <c r="BC1818" s="38"/>
      <c r="BD1818" s="38"/>
      <c r="BE1818" s="38"/>
      <c r="BF1818" s="38"/>
      <c r="BG1818" s="38"/>
      <c r="BH1818" s="38"/>
      <c r="BI1818" s="38"/>
      <c r="BJ1818" s="38"/>
      <c r="BK1818" s="38"/>
      <c r="BL1818" s="38"/>
      <c r="BM1818" s="38"/>
      <c r="BN1818" s="38"/>
      <c r="BO1818" s="38"/>
      <c r="BP1818" s="38"/>
      <c r="BQ1818" s="38"/>
    </row>
    <row r="1819">
      <c r="A1819" s="58"/>
      <c r="B1819" s="341"/>
      <c r="C1819" s="60"/>
      <c r="D1819" s="60"/>
      <c r="E1819" s="58"/>
      <c r="F1819" s="58"/>
      <c r="G1819" s="58"/>
      <c r="H1819" s="33" t="str">
        <f t="shared" si="33"/>
        <v/>
      </c>
      <c r="I1819" s="58"/>
      <c r="J1819" s="58"/>
      <c r="K1819" s="58"/>
      <c r="L1819" s="58"/>
      <c r="M1819" s="80"/>
      <c r="N1819" s="77"/>
      <c r="O1819" s="62"/>
      <c r="P1819" s="58"/>
      <c r="Q1819" s="84"/>
      <c r="R1819" s="62"/>
      <c r="S1819" s="37" t="str">
        <f>IFERROR(__xludf.DUMMYFUNCTION("if(not(iserror(index(split(C1819, "" ""),2))), index(split(C1819, "" ""),1),"""")"),"")</f>
        <v/>
      </c>
      <c r="T1819" s="315" t="str">
        <f>IFERROR(__xludf.DUMMYFUNCTION("if(S1819="""",C1819,if(not(iserror(index(split(C1819, "" ""),3))), index(split(C1819, "" ""),3),index(split(C1819, "" ""),2)))"),"")</f>
        <v/>
      </c>
      <c r="U1819" s="38" t="b">
        <f t="shared" si="34"/>
        <v>0</v>
      </c>
      <c r="V1819" s="38"/>
      <c r="W1819" s="40"/>
      <c r="X1819" s="40"/>
      <c r="Y1819" s="38"/>
      <c r="Z1819" s="38"/>
      <c r="AA1819" s="38"/>
      <c r="AB1819" s="38"/>
      <c r="AC1819" s="38"/>
      <c r="AD1819" s="38"/>
      <c r="AE1819" s="38"/>
      <c r="AF1819" s="38"/>
      <c r="AG1819" s="38"/>
      <c r="AH1819" s="38"/>
      <c r="AI1819" s="38"/>
      <c r="AJ1819" s="38"/>
      <c r="AK1819" s="38"/>
      <c r="AL1819" s="38"/>
      <c r="AM1819" s="38"/>
      <c r="AN1819" s="38"/>
      <c r="AO1819" s="38"/>
      <c r="AP1819" s="38"/>
      <c r="AQ1819" s="38"/>
      <c r="AR1819" s="38"/>
      <c r="AS1819" s="38"/>
      <c r="AT1819" s="38"/>
      <c r="AU1819" s="38"/>
      <c r="AV1819" s="38"/>
      <c r="AW1819" s="38"/>
      <c r="AX1819" s="38"/>
      <c r="AY1819" s="38"/>
      <c r="AZ1819" s="38"/>
      <c r="BA1819" s="38"/>
      <c r="BB1819" s="38"/>
      <c r="BC1819" s="38"/>
      <c r="BD1819" s="38"/>
      <c r="BE1819" s="38"/>
      <c r="BF1819" s="38"/>
      <c r="BG1819" s="38"/>
      <c r="BH1819" s="38"/>
      <c r="BI1819" s="38"/>
      <c r="BJ1819" s="38"/>
      <c r="BK1819" s="38"/>
      <c r="BL1819" s="38"/>
      <c r="BM1819" s="38"/>
      <c r="BN1819" s="38"/>
      <c r="BO1819" s="38"/>
      <c r="BP1819" s="38"/>
      <c r="BQ1819" s="38"/>
    </row>
    <row r="1820">
      <c r="A1820" s="58"/>
      <c r="B1820" s="341"/>
      <c r="C1820" s="60"/>
      <c r="D1820" s="60"/>
      <c r="E1820" s="58"/>
      <c r="F1820" s="58"/>
      <c r="G1820" s="58"/>
      <c r="H1820" s="33" t="str">
        <f t="shared" si="33"/>
        <v/>
      </c>
      <c r="I1820" s="58"/>
      <c r="J1820" s="58"/>
      <c r="K1820" s="58"/>
      <c r="L1820" s="58"/>
      <c r="M1820" s="80"/>
      <c r="N1820" s="77"/>
      <c r="O1820" s="62"/>
      <c r="P1820" s="58"/>
      <c r="Q1820" s="84"/>
      <c r="R1820" s="62"/>
      <c r="S1820" s="37" t="str">
        <f>IFERROR(__xludf.DUMMYFUNCTION("if(not(iserror(index(split(C1820, "" ""),2))), index(split(C1820, "" ""),1),"""")"),"")</f>
        <v/>
      </c>
      <c r="T1820" s="315" t="str">
        <f>IFERROR(__xludf.DUMMYFUNCTION("if(S1820="""",C1820,if(not(iserror(index(split(C1820, "" ""),3))), index(split(C1820, "" ""),3),index(split(C1820, "" ""),2)))"),"")</f>
        <v/>
      </c>
      <c r="U1820" s="38" t="b">
        <f t="shared" si="34"/>
        <v>0</v>
      </c>
      <c r="V1820" s="38"/>
      <c r="W1820" s="40"/>
      <c r="X1820" s="40"/>
      <c r="Y1820" s="38"/>
      <c r="Z1820" s="38"/>
      <c r="AA1820" s="38"/>
      <c r="AB1820" s="38"/>
      <c r="AC1820" s="38"/>
      <c r="AD1820" s="38"/>
      <c r="AE1820" s="38"/>
      <c r="AF1820" s="38"/>
      <c r="AG1820" s="38"/>
      <c r="AH1820" s="38"/>
      <c r="AI1820" s="38"/>
      <c r="AJ1820" s="38"/>
      <c r="AK1820" s="38"/>
      <c r="AL1820" s="38"/>
      <c r="AM1820" s="38"/>
      <c r="AN1820" s="38"/>
      <c r="AO1820" s="38"/>
      <c r="AP1820" s="38"/>
      <c r="AQ1820" s="38"/>
      <c r="AR1820" s="38"/>
      <c r="AS1820" s="38"/>
      <c r="AT1820" s="38"/>
      <c r="AU1820" s="38"/>
      <c r="AV1820" s="38"/>
      <c r="AW1820" s="38"/>
      <c r="AX1820" s="38"/>
      <c r="AY1820" s="38"/>
      <c r="AZ1820" s="38"/>
      <c r="BA1820" s="38"/>
      <c r="BB1820" s="38"/>
      <c r="BC1820" s="38"/>
      <c r="BD1820" s="38"/>
      <c r="BE1820" s="38"/>
      <c r="BF1820" s="38"/>
      <c r="BG1820" s="38"/>
      <c r="BH1820" s="38"/>
      <c r="BI1820" s="38"/>
      <c r="BJ1820" s="38"/>
      <c r="BK1820" s="38"/>
      <c r="BL1820" s="38"/>
      <c r="BM1820" s="38"/>
      <c r="BN1820" s="38"/>
      <c r="BO1820" s="38"/>
      <c r="BP1820" s="38"/>
      <c r="BQ1820" s="38"/>
    </row>
    <row r="1821">
      <c r="A1821" s="58"/>
      <c r="B1821" s="341"/>
      <c r="C1821" s="60"/>
      <c r="D1821" s="60"/>
      <c r="E1821" s="58"/>
      <c r="F1821" s="58"/>
      <c r="G1821" s="58"/>
      <c r="H1821" s="33" t="str">
        <f t="shared" si="33"/>
        <v/>
      </c>
      <c r="I1821" s="58"/>
      <c r="J1821" s="58"/>
      <c r="K1821" s="58"/>
      <c r="L1821" s="58"/>
      <c r="M1821" s="80"/>
      <c r="N1821" s="77"/>
      <c r="O1821" s="62"/>
      <c r="P1821" s="62"/>
      <c r="Q1821" s="62"/>
      <c r="R1821" s="62"/>
      <c r="S1821" s="37" t="str">
        <f>IFERROR(__xludf.DUMMYFUNCTION("if(not(iserror(index(split(C1821, "" ""),2))), index(split(C1821, "" ""),1),"""")"),"")</f>
        <v/>
      </c>
      <c r="T1821" s="315" t="str">
        <f>IFERROR(__xludf.DUMMYFUNCTION("if(S1821="""",C1821,if(not(iserror(index(split(C1821, "" ""),3))), index(split(C1821, "" ""),3),index(split(C1821, "" ""),2)))"),"")</f>
        <v/>
      </c>
      <c r="U1821" s="38" t="b">
        <f t="shared" si="34"/>
        <v>0</v>
      </c>
      <c r="V1821" s="38"/>
      <c r="W1821" s="40"/>
      <c r="X1821" s="40"/>
      <c r="Y1821" s="38"/>
      <c r="Z1821" s="38"/>
      <c r="AA1821" s="38"/>
      <c r="AB1821" s="38"/>
      <c r="AC1821" s="38"/>
      <c r="AD1821" s="38"/>
      <c r="AE1821" s="38"/>
      <c r="AF1821" s="38"/>
      <c r="AG1821" s="38"/>
      <c r="AH1821" s="38"/>
      <c r="AI1821" s="38"/>
      <c r="AJ1821" s="38"/>
      <c r="AK1821" s="38"/>
      <c r="AL1821" s="38"/>
      <c r="AM1821" s="38"/>
      <c r="AN1821" s="38"/>
      <c r="AO1821" s="38"/>
      <c r="AP1821" s="38"/>
      <c r="AQ1821" s="38"/>
      <c r="AR1821" s="38"/>
      <c r="AS1821" s="38"/>
      <c r="AT1821" s="38"/>
      <c r="AU1821" s="38"/>
      <c r="AV1821" s="38"/>
      <c r="AW1821" s="38"/>
      <c r="AX1821" s="38"/>
      <c r="AY1821" s="38"/>
      <c r="AZ1821" s="38"/>
      <c r="BA1821" s="38"/>
      <c r="BB1821" s="38"/>
      <c r="BC1821" s="38"/>
      <c r="BD1821" s="38"/>
      <c r="BE1821" s="38"/>
      <c r="BF1821" s="38"/>
      <c r="BG1821" s="38"/>
      <c r="BH1821" s="38"/>
      <c r="BI1821" s="38"/>
      <c r="BJ1821" s="38"/>
      <c r="BK1821" s="38"/>
      <c r="BL1821" s="38"/>
      <c r="BM1821" s="38"/>
      <c r="BN1821" s="38"/>
      <c r="BO1821" s="38"/>
      <c r="BP1821" s="38"/>
      <c r="BQ1821" s="38"/>
    </row>
    <row r="1822">
      <c r="A1822" s="58"/>
      <c r="B1822" s="341"/>
      <c r="C1822" s="60"/>
      <c r="D1822" s="60"/>
      <c r="E1822" s="58"/>
      <c r="F1822" s="58"/>
      <c r="G1822" s="58"/>
      <c r="H1822" s="33" t="str">
        <f t="shared" si="33"/>
        <v/>
      </c>
      <c r="I1822" s="58"/>
      <c r="J1822" s="58"/>
      <c r="K1822" s="58"/>
      <c r="L1822" s="58"/>
      <c r="M1822" s="389"/>
      <c r="N1822" s="77"/>
      <c r="O1822" s="62"/>
      <c r="P1822" s="62"/>
      <c r="Q1822" s="62"/>
      <c r="R1822" s="62"/>
      <c r="S1822" s="37" t="str">
        <f>IFERROR(__xludf.DUMMYFUNCTION("if(not(iserror(index(split(C1822, "" ""),2))), index(split(C1822, "" ""),1),"""")"),"")</f>
        <v/>
      </c>
      <c r="T1822" s="315" t="str">
        <f>IFERROR(__xludf.DUMMYFUNCTION("if(S1822="""",C1822,if(not(iserror(index(split(C1822, "" ""),3))), index(split(C1822, "" ""),3),index(split(C1822, "" ""),2)))"),"")</f>
        <v/>
      </c>
      <c r="U1822" s="38" t="b">
        <f t="shared" si="34"/>
        <v>0</v>
      </c>
      <c r="V1822" s="38"/>
      <c r="W1822" s="40"/>
      <c r="X1822" s="40"/>
      <c r="Y1822" s="38"/>
      <c r="Z1822" s="38"/>
      <c r="AA1822" s="38"/>
      <c r="AB1822" s="38"/>
      <c r="AC1822" s="38"/>
      <c r="AD1822" s="38"/>
      <c r="AE1822" s="38"/>
      <c r="AF1822" s="38"/>
      <c r="AG1822" s="38"/>
      <c r="AH1822" s="38"/>
      <c r="AI1822" s="38"/>
      <c r="AJ1822" s="38"/>
      <c r="AK1822" s="38"/>
      <c r="AL1822" s="38"/>
      <c r="AM1822" s="38"/>
      <c r="AN1822" s="38"/>
      <c r="AO1822" s="38"/>
      <c r="AP1822" s="38"/>
      <c r="AQ1822" s="38"/>
      <c r="AR1822" s="38"/>
      <c r="AS1822" s="38"/>
      <c r="AT1822" s="38"/>
      <c r="AU1822" s="38"/>
      <c r="AV1822" s="38"/>
      <c r="AW1822" s="38"/>
      <c r="AX1822" s="38"/>
      <c r="AY1822" s="38"/>
      <c r="AZ1822" s="38"/>
      <c r="BA1822" s="38"/>
      <c r="BB1822" s="38"/>
      <c r="BC1822" s="38"/>
      <c r="BD1822" s="38"/>
      <c r="BE1822" s="38"/>
      <c r="BF1822" s="38"/>
      <c r="BG1822" s="38"/>
      <c r="BH1822" s="38"/>
      <c r="BI1822" s="38"/>
      <c r="BJ1822" s="38"/>
      <c r="BK1822" s="38"/>
      <c r="BL1822" s="38"/>
      <c r="BM1822" s="38"/>
      <c r="BN1822" s="38"/>
      <c r="BO1822" s="38"/>
      <c r="BP1822" s="38"/>
      <c r="BQ1822" s="38"/>
    </row>
    <row r="1823">
      <c r="A1823" s="58"/>
      <c r="B1823" s="341"/>
      <c r="C1823" s="60"/>
      <c r="D1823" s="60"/>
      <c r="E1823" s="58"/>
      <c r="F1823" s="58"/>
      <c r="G1823" s="58"/>
      <c r="H1823" s="33" t="str">
        <f t="shared" si="33"/>
        <v/>
      </c>
      <c r="I1823" s="58"/>
      <c r="J1823" s="58"/>
      <c r="K1823" s="58"/>
      <c r="L1823" s="58"/>
      <c r="M1823" s="80"/>
      <c r="N1823" s="77"/>
      <c r="O1823" s="62"/>
      <c r="P1823" s="62"/>
      <c r="Q1823" s="62"/>
      <c r="R1823" s="62"/>
      <c r="S1823" s="37" t="str">
        <f>IFERROR(__xludf.DUMMYFUNCTION("if(not(iserror(index(split(C1823, "" ""),2))), index(split(C1823, "" ""),1),"""")"),"")</f>
        <v/>
      </c>
      <c r="T1823" s="315" t="str">
        <f>IFERROR(__xludf.DUMMYFUNCTION("if(S1823="""",C1823,if(not(iserror(index(split(C1823, "" ""),3))), index(split(C1823, "" ""),3),index(split(C1823, "" ""),2)))"),"")</f>
        <v/>
      </c>
      <c r="U1823" s="38" t="b">
        <f t="shared" si="34"/>
        <v>0</v>
      </c>
      <c r="V1823" s="38"/>
      <c r="W1823" s="40"/>
      <c r="X1823" s="40"/>
      <c r="Y1823" s="38"/>
      <c r="Z1823" s="38"/>
      <c r="AA1823" s="38"/>
      <c r="AB1823" s="38"/>
      <c r="AC1823" s="38"/>
      <c r="AD1823" s="38"/>
      <c r="AE1823" s="38"/>
      <c r="AF1823" s="38"/>
      <c r="AG1823" s="38"/>
      <c r="AH1823" s="38"/>
      <c r="AI1823" s="38"/>
      <c r="AJ1823" s="38"/>
      <c r="AK1823" s="38"/>
      <c r="AL1823" s="38"/>
      <c r="AM1823" s="38"/>
      <c r="AN1823" s="38"/>
      <c r="AO1823" s="38"/>
      <c r="AP1823" s="38"/>
      <c r="AQ1823" s="38"/>
      <c r="AR1823" s="38"/>
      <c r="AS1823" s="38"/>
      <c r="AT1823" s="38"/>
      <c r="AU1823" s="38"/>
      <c r="AV1823" s="38"/>
      <c r="AW1823" s="38"/>
      <c r="AX1823" s="38"/>
      <c r="AY1823" s="38"/>
      <c r="AZ1823" s="38"/>
      <c r="BA1823" s="38"/>
      <c r="BB1823" s="38"/>
      <c r="BC1823" s="38"/>
      <c r="BD1823" s="38"/>
      <c r="BE1823" s="38"/>
      <c r="BF1823" s="38"/>
      <c r="BG1823" s="38"/>
      <c r="BH1823" s="38"/>
      <c r="BI1823" s="38"/>
      <c r="BJ1823" s="38"/>
      <c r="BK1823" s="38"/>
      <c r="BL1823" s="38"/>
      <c r="BM1823" s="38"/>
      <c r="BN1823" s="38"/>
      <c r="BO1823" s="38"/>
      <c r="BP1823" s="38"/>
      <c r="BQ1823" s="38"/>
    </row>
    <row r="1824">
      <c r="A1824" s="58"/>
      <c r="B1824" s="341"/>
      <c r="C1824" s="60"/>
      <c r="D1824" s="60"/>
      <c r="E1824" s="58"/>
      <c r="F1824" s="58"/>
      <c r="G1824" s="58"/>
      <c r="H1824" s="33" t="str">
        <f t="shared" si="33"/>
        <v/>
      </c>
      <c r="I1824" s="58"/>
      <c r="J1824" s="58"/>
      <c r="K1824" s="58"/>
      <c r="L1824" s="58"/>
      <c r="M1824" s="80"/>
      <c r="N1824" s="80"/>
      <c r="O1824" s="62"/>
      <c r="P1824" s="62"/>
      <c r="Q1824" s="62"/>
      <c r="R1824" s="62"/>
      <c r="S1824" s="37" t="str">
        <f>IFERROR(__xludf.DUMMYFUNCTION("if(not(iserror(index(split(C1824, "" ""),2))), index(split(C1824, "" ""),1),"""")"),"")</f>
        <v/>
      </c>
      <c r="T1824" s="315" t="str">
        <f>IFERROR(__xludf.DUMMYFUNCTION("if(S1824="""",C1824,if(not(iserror(index(split(C1824, "" ""),3))), index(split(C1824, "" ""),3),index(split(C1824, "" ""),2)))"),"")</f>
        <v/>
      </c>
      <c r="U1824" s="38" t="b">
        <f t="shared" si="34"/>
        <v>0</v>
      </c>
      <c r="V1824" s="38"/>
      <c r="W1824" s="40"/>
      <c r="X1824" s="40"/>
      <c r="Y1824" s="38"/>
      <c r="Z1824" s="38"/>
      <c r="AA1824" s="38"/>
      <c r="AB1824" s="38"/>
      <c r="AC1824" s="38"/>
      <c r="AD1824" s="38"/>
      <c r="AE1824" s="38"/>
      <c r="AF1824" s="38"/>
      <c r="AG1824" s="38"/>
      <c r="AH1824" s="38"/>
      <c r="AI1824" s="38"/>
      <c r="AJ1824" s="38"/>
      <c r="AK1824" s="38"/>
      <c r="AL1824" s="38"/>
      <c r="AM1824" s="38"/>
      <c r="AN1824" s="38"/>
      <c r="AO1824" s="38"/>
      <c r="AP1824" s="38"/>
      <c r="AQ1824" s="38"/>
      <c r="AR1824" s="38"/>
      <c r="AS1824" s="38"/>
      <c r="AT1824" s="38"/>
      <c r="AU1824" s="38"/>
      <c r="AV1824" s="38"/>
      <c r="AW1824" s="38"/>
      <c r="AX1824" s="38"/>
      <c r="AY1824" s="38"/>
      <c r="AZ1824" s="38"/>
      <c r="BA1824" s="38"/>
      <c r="BB1824" s="38"/>
      <c r="BC1824" s="38"/>
      <c r="BD1824" s="38"/>
      <c r="BE1824" s="38"/>
      <c r="BF1824" s="38"/>
      <c r="BG1824" s="38"/>
      <c r="BH1824" s="38"/>
      <c r="BI1824" s="38"/>
      <c r="BJ1824" s="38"/>
      <c r="BK1824" s="38"/>
      <c r="BL1824" s="38"/>
      <c r="BM1824" s="38"/>
      <c r="BN1824" s="38"/>
      <c r="BO1824" s="38"/>
      <c r="BP1824" s="38"/>
      <c r="BQ1824" s="38"/>
    </row>
    <row r="1825">
      <c r="A1825" s="58"/>
      <c r="B1825" s="341"/>
      <c r="C1825" s="60"/>
      <c r="D1825" s="60"/>
      <c r="E1825" s="58"/>
      <c r="F1825" s="58"/>
      <c r="G1825" s="58"/>
      <c r="H1825" s="33" t="str">
        <f t="shared" si="33"/>
        <v/>
      </c>
      <c r="I1825" s="58"/>
      <c r="J1825" s="58"/>
      <c r="K1825" s="58"/>
      <c r="L1825" s="58"/>
      <c r="M1825" s="80"/>
      <c r="N1825" s="80"/>
      <c r="O1825" s="62"/>
      <c r="P1825" s="62"/>
      <c r="Q1825" s="58"/>
      <c r="R1825" s="62"/>
      <c r="S1825" s="37" t="str">
        <f>IFERROR(__xludf.DUMMYFUNCTION("if(not(iserror(index(split(C1825, "" ""),2))), index(split(C1825, "" ""),1),"""")"),"")</f>
        <v/>
      </c>
      <c r="T1825" s="315" t="str">
        <f>IFERROR(__xludf.DUMMYFUNCTION("if(S1825="""",C1825,if(not(iserror(index(split(C1825, "" ""),3))), index(split(C1825, "" ""),3),index(split(C1825, "" ""),2)))"),"")</f>
        <v/>
      </c>
      <c r="U1825" s="38" t="b">
        <f t="shared" si="34"/>
        <v>0</v>
      </c>
      <c r="V1825" s="38"/>
      <c r="W1825" s="40"/>
      <c r="X1825" s="40"/>
      <c r="Y1825" s="38"/>
      <c r="Z1825" s="38"/>
      <c r="AA1825" s="38"/>
      <c r="AB1825" s="38"/>
      <c r="AC1825" s="38"/>
      <c r="AD1825" s="38"/>
      <c r="AE1825" s="38"/>
      <c r="AF1825" s="38"/>
      <c r="AG1825" s="38"/>
      <c r="AH1825" s="38"/>
      <c r="AI1825" s="38"/>
      <c r="AJ1825" s="38"/>
      <c r="AK1825" s="38"/>
      <c r="AL1825" s="38"/>
      <c r="AM1825" s="38"/>
      <c r="AN1825" s="38"/>
      <c r="AO1825" s="38"/>
      <c r="AP1825" s="38"/>
      <c r="AQ1825" s="38"/>
      <c r="AR1825" s="38"/>
      <c r="AS1825" s="38"/>
      <c r="AT1825" s="38"/>
      <c r="AU1825" s="38"/>
      <c r="AV1825" s="38"/>
      <c r="AW1825" s="38"/>
      <c r="AX1825" s="38"/>
      <c r="AY1825" s="38"/>
      <c r="AZ1825" s="38"/>
      <c r="BA1825" s="38"/>
      <c r="BB1825" s="38"/>
      <c r="BC1825" s="38"/>
      <c r="BD1825" s="38"/>
      <c r="BE1825" s="38"/>
      <c r="BF1825" s="38"/>
      <c r="BG1825" s="38"/>
      <c r="BH1825" s="38"/>
      <c r="BI1825" s="38"/>
      <c r="BJ1825" s="38"/>
      <c r="BK1825" s="38"/>
      <c r="BL1825" s="38"/>
      <c r="BM1825" s="38"/>
      <c r="BN1825" s="38"/>
      <c r="BO1825" s="38"/>
      <c r="BP1825" s="38"/>
      <c r="BQ1825" s="38"/>
    </row>
    <row r="1826">
      <c r="A1826" s="58"/>
      <c r="B1826" s="341"/>
      <c r="C1826" s="60"/>
      <c r="D1826" s="60"/>
      <c r="E1826" s="58"/>
      <c r="F1826" s="58"/>
      <c r="G1826" s="58"/>
      <c r="H1826" s="33" t="str">
        <f t="shared" si="33"/>
        <v/>
      </c>
      <c r="I1826" s="58"/>
      <c r="J1826" s="58"/>
      <c r="K1826" s="58"/>
      <c r="L1826" s="58"/>
      <c r="M1826" s="80"/>
      <c r="N1826" s="80"/>
      <c r="O1826" s="62"/>
      <c r="P1826" s="62"/>
      <c r="Q1826" s="62"/>
      <c r="R1826" s="62"/>
      <c r="S1826" s="37" t="str">
        <f>IFERROR(__xludf.DUMMYFUNCTION("if(not(iserror(index(split(C1826, "" ""),2))), index(split(C1826, "" ""),1),"""")"),"")</f>
        <v/>
      </c>
      <c r="T1826" s="315" t="str">
        <f>IFERROR(__xludf.DUMMYFUNCTION("if(S1826="""",C1826,if(not(iserror(index(split(C1826, "" ""),3))), index(split(C1826, "" ""),3),index(split(C1826, "" ""),2)))"),"")</f>
        <v/>
      </c>
      <c r="U1826" s="38" t="b">
        <f t="shared" si="34"/>
        <v>0</v>
      </c>
      <c r="V1826" s="38"/>
      <c r="W1826" s="40"/>
      <c r="X1826" s="40"/>
      <c r="Y1826" s="38"/>
      <c r="Z1826" s="38"/>
      <c r="AA1826" s="38"/>
      <c r="AB1826" s="38"/>
      <c r="AC1826" s="38"/>
      <c r="AD1826" s="38"/>
      <c r="AE1826" s="38"/>
      <c r="AF1826" s="38"/>
      <c r="AG1826" s="38"/>
      <c r="AH1826" s="38"/>
      <c r="AI1826" s="38"/>
      <c r="AJ1826" s="38"/>
      <c r="AK1826" s="38"/>
      <c r="AL1826" s="38"/>
      <c r="AM1826" s="38"/>
      <c r="AN1826" s="38"/>
      <c r="AO1826" s="38"/>
      <c r="AP1826" s="38"/>
      <c r="AQ1826" s="38"/>
      <c r="AR1826" s="38"/>
      <c r="AS1826" s="38"/>
      <c r="AT1826" s="38"/>
      <c r="AU1826" s="38"/>
      <c r="AV1826" s="38"/>
      <c r="AW1826" s="38"/>
      <c r="AX1826" s="38"/>
      <c r="AY1826" s="38"/>
      <c r="AZ1826" s="38"/>
      <c r="BA1826" s="38"/>
      <c r="BB1826" s="38"/>
      <c r="BC1826" s="38"/>
      <c r="BD1826" s="38"/>
      <c r="BE1826" s="38"/>
      <c r="BF1826" s="38"/>
      <c r="BG1826" s="38"/>
      <c r="BH1826" s="38"/>
      <c r="BI1826" s="38"/>
      <c r="BJ1826" s="38"/>
      <c r="BK1826" s="38"/>
      <c r="BL1826" s="38"/>
      <c r="BM1826" s="38"/>
      <c r="BN1826" s="38"/>
      <c r="BO1826" s="38"/>
      <c r="BP1826" s="38"/>
      <c r="BQ1826" s="38"/>
    </row>
    <row r="1827">
      <c r="A1827" s="58"/>
      <c r="B1827" s="341"/>
      <c r="C1827" s="60"/>
      <c r="D1827" s="60"/>
      <c r="E1827" s="58"/>
      <c r="F1827" s="58"/>
      <c r="G1827" s="58"/>
      <c r="H1827" s="33" t="str">
        <f t="shared" si="33"/>
        <v/>
      </c>
      <c r="I1827" s="58"/>
      <c r="J1827" s="58"/>
      <c r="K1827" s="58"/>
      <c r="L1827" s="58"/>
      <c r="M1827" s="80"/>
      <c r="N1827" s="80"/>
      <c r="O1827" s="62"/>
      <c r="P1827" s="62"/>
      <c r="Q1827" s="62"/>
      <c r="R1827" s="62"/>
      <c r="S1827" s="37" t="str">
        <f>IFERROR(__xludf.DUMMYFUNCTION("if(not(iserror(index(split(C1827, "" ""),2))), index(split(C1827, "" ""),1),"""")"),"")</f>
        <v/>
      </c>
      <c r="T1827" s="315" t="str">
        <f>IFERROR(__xludf.DUMMYFUNCTION("if(S1827="""",C1827,if(not(iserror(index(split(C1827, "" ""),3))), index(split(C1827, "" ""),3),index(split(C1827, "" ""),2)))"),"")</f>
        <v/>
      </c>
      <c r="U1827" s="38" t="b">
        <f t="shared" si="34"/>
        <v>0</v>
      </c>
      <c r="V1827" s="38"/>
      <c r="W1827" s="40"/>
      <c r="X1827" s="40"/>
      <c r="Y1827" s="38"/>
      <c r="Z1827" s="38"/>
      <c r="AA1827" s="38"/>
      <c r="AB1827" s="38"/>
      <c r="AC1827" s="38"/>
      <c r="AD1827" s="38"/>
      <c r="AE1827" s="38"/>
      <c r="AF1827" s="38"/>
      <c r="AG1827" s="38"/>
      <c r="AH1827" s="38"/>
      <c r="AI1827" s="38"/>
      <c r="AJ1827" s="38"/>
      <c r="AK1827" s="38"/>
      <c r="AL1827" s="38"/>
      <c r="AM1827" s="38"/>
      <c r="AN1827" s="38"/>
      <c r="AO1827" s="38"/>
      <c r="AP1827" s="38"/>
      <c r="AQ1827" s="38"/>
      <c r="AR1827" s="38"/>
      <c r="AS1827" s="38"/>
      <c r="AT1827" s="38"/>
      <c r="AU1827" s="38"/>
      <c r="AV1827" s="38"/>
      <c r="AW1827" s="38"/>
      <c r="AX1827" s="38"/>
      <c r="AY1827" s="38"/>
      <c r="AZ1827" s="38"/>
      <c r="BA1827" s="38"/>
      <c r="BB1827" s="38"/>
      <c r="BC1827" s="38"/>
      <c r="BD1827" s="38"/>
      <c r="BE1827" s="38"/>
      <c r="BF1827" s="38"/>
      <c r="BG1827" s="38"/>
      <c r="BH1827" s="38"/>
      <c r="BI1827" s="38"/>
      <c r="BJ1827" s="38"/>
      <c r="BK1827" s="38"/>
      <c r="BL1827" s="38"/>
      <c r="BM1827" s="38"/>
      <c r="BN1827" s="38"/>
      <c r="BO1827" s="38"/>
      <c r="BP1827" s="38"/>
      <c r="BQ1827" s="38"/>
    </row>
    <row r="1828">
      <c r="A1828" s="58"/>
      <c r="B1828" s="341"/>
      <c r="C1828" s="60"/>
      <c r="D1828" s="60"/>
      <c r="E1828" s="58"/>
      <c r="F1828" s="58"/>
      <c r="G1828" s="58"/>
      <c r="H1828" s="33" t="str">
        <f t="shared" si="33"/>
        <v/>
      </c>
      <c r="I1828" s="58"/>
      <c r="J1828" s="58"/>
      <c r="K1828" s="58"/>
      <c r="L1828" s="58"/>
      <c r="M1828" s="80"/>
      <c r="N1828" s="80"/>
      <c r="O1828" s="58"/>
      <c r="P1828" s="58"/>
      <c r="Q1828" s="84"/>
      <c r="R1828" s="62"/>
      <c r="S1828" s="37" t="str">
        <f>IFERROR(__xludf.DUMMYFUNCTION("if(not(iserror(index(split(C1828, "" ""),2))), index(split(C1828, "" ""),1),"""")"),"")</f>
        <v/>
      </c>
      <c r="T1828" s="315" t="str">
        <f>IFERROR(__xludf.DUMMYFUNCTION("if(S1828="""",C1828,if(not(iserror(index(split(C1828, "" ""),3))), index(split(C1828, "" ""),3),index(split(C1828, "" ""),2)))"),"")</f>
        <v/>
      </c>
      <c r="U1828" s="38" t="b">
        <f t="shared" si="34"/>
        <v>0</v>
      </c>
      <c r="V1828" s="38"/>
      <c r="W1828" s="40"/>
      <c r="X1828" s="40"/>
      <c r="Y1828" s="38"/>
      <c r="Z1828" s="38"/>
      <c r="AA1828" s="38"/>
      <c r="AB1828" s="38"/>
      <c r="AC1828" s="38"/>
      <c r="AD1828" s="38"/>
      <c r="AE1828" s="38"/>
      <c r="AF1828" s="38"/>
      <c r="AG1828" s="38"/>
      <c r="AH1828" s="38"/>
      <c r="AI1828" s="38"/>
      <c r="AJ1828" s="38"/>
      <c r="AK1828" s="38"/>
      <c r="AL1828" s="38"/>
      <c r="AM1828" s="38"/>
      <c r="AN1828" s="38"/>
      <c r="AO1828" s="38"/>
      <c r="AP1828" s="38"/>
      <c r="AQ1828" s="38"/>
      <c r="AR1828" s="38"/>
      <c r="AS1828" s="38"/>
      <c r="AT1828" s="38"/>
      <c r="AU1828" s="38"/>
      <c r="AV1828" s="38"/>
      <c r="AW1828" s="38"/>
      <c r="AX1828" s="38"/>
      <c r="AY1828" s="38"/>
      <c r="AZ1828" s="38"/>
      <c r="BA1828" s="38"/>
      <c r="BB1828" s="38"/>
      <c r="BC1828" s="38"/>
      <c r="BD1828" s="38"/>
      <c r="BE1828" s="38"/>
      <c r="BF1828" s="38"/>
      <c r="BG1828" s="38"/>
      <c r="BH1828" s="38"/>
      <c r="BI1828" s="38"/>
      <c r="BJ1828" s="38"/>
      <c r="BK1828" s="38"/>
      <c r="BL1828" s="38"/>
      <c r="BM1828" s="38"/>
      <c r="BN1828" s="38"/>
      <c r="BO1828" s="38"/>
      <c r="BP1828" s="38"/>
      <c r="BQ1828" s="38"/>
    </row>
    <row r="1829">
      <c r="A1829" s="58"/>
      <c r="B1829" s="341"/>
      <c r="C1829" s="60"/>
      <c r="D1829" s="60"/>
      <c r="E1829" s="58"/>
      <c r="F1829" s="58"/>
      <c r="G1829" s="58"/>
      <c r="H1829" s="33" t="str">
        <f t="shared" si="33"/>
        <v/>
      </c>
      <c r="I1829" s="58"/>
      <c r="J1829" s="58"/>
      <c r="K1829" s="58"/>
      <c r="L1829" s="58"/>
      <c r="M1829" s="80"/>
      <c r="N1829" s="80"/>
      <c r="O1829" s="58"/>
      <c r="P1829" s="58"/>
      <c r="Q1829" s="84"/>
      <c r="R1829" s="62"/>
      <c r="S1829" s="37" t="str">
        <f>IFERROR(__xludf.DUMMYFUNCTION("if(not(iserror(index(split(C1829, "" ""),2))), index(split(C1829, "" ""),1),"""")"),"")</f>
        <v/>
      </c>
      <c r="T1829" s="315" t="str">
        <f>IFERROR(__xludf.DUMMYFUNCTION("if(S1829="""",C1829,if(not(iserror(index(split(C1829, "" ""),3))), index(split(C1829, "" ""),3),index(split(C1829, "" ""),2)))"),"")</f>
        <v/>
      </c>
      <c r="U1829" s="38" t="b">
        <f t="shared" si="34"/>
        <v>0</v>
      </c>
      <c r="V1829" s="38"/>
      <c r="W1829" s="40"/>
      <c r="X1829" s="40"/>
      <c r="Y1829" s="38"/>
      <c r="Z1829" s="38"/>
      <c r="AA1829" s="38"/>
      <c r="AB1829" s="38"/>
      <c r="AC1829" s="38"/>
      <c r="AD1829" s="38"/>
      <c r="AE1829" s="38"/>
      <c r="AF1829" s="38"/>
      <c r="AG1829" s="38"/>
      <c r="AH1829" s="38"/>
      <c r="AI1829" s="38"/>
      <c r="AJ1829" s="38"/>
      <c r="AK1829" s="38"/>
      <c r="AL1829" s="38"/>
      <c r="AM1829" s="38"/>
      <c r="AN1829" s="38"/>
      <c r="AO1829" s="38"/>
      <c r="AP1829" s="38"/>
      <c r="AQ1829" s="38"/>
      <c r="AR1829" s="38"/>
      <c r="AS1829" s="38"/>
      <c r="AT1829" s="38"/>
      <c r="AU1829" s="38"/>
      <c r="AV1829" s="38"/>
      <c r="AW1829" s="38"/>
      <c r="AX1829" s="38"/>
      <c r="AY1829" s="38"/>
      <c r="AZ1829" s="38"/>
      <c r="BA1829" s="38"/>
      <c r="BB1829" s="38"/>
      <c r="BC1829" s="38"/>
      <c r="BD1829" s="38"/>
      <c r="BE1829" s="38"/>
      <c r="BF1829" s="38"/>
      <c r="BG1829" s="38"/>
      <c r="BH1829" s="38"/>
      <c r="BI1829" s="38"/>
      <c r="BJ1829" s="38"/>
      <c r="BK1829" s="38"/>
      <c r="BL1829" s="38"/>
      <c r="BM1829" s="38"/>
      <c r="BN1829" s="38"/>
      <c r="BO1829" s="38"/>
      <c r="BP1829" s="38"/>
      <c r="BQ1829" s="38"/>
    </row>
    <row r="1830">
      <c r="A1830" s="58"/>
      <c r="B1830" s="341"/>
      <c r="C1830" s="60"/>
      <c r="D1830" s="60"/>
      <c r="E1830" s="58"/>
      <c r="F1830" s="58"/>
      <c r="G1830" s="58"/>
      <c r="H1830" s="33" t="str">
        <f t="shared" si="33"/>
        <v/>
      </c>
      <c r="I1830" s="58"/>
      <c r="J1830" s="58"/>
      <c r="K1830" s="58"/>
      <c r="L1830" s="58"/>
      <c r="M1830" s="80"/>
      <c r="N1830" s="80"/>
      <c r="O1830" s="58"/>
      <c r="P1830" s="58"/>
      <c r="Q1830" s="84"/>
      <c r="R1830" s="62"/>
      <c r="S1830" s="37" t="str">
        <f>IFERROR(__xludf.DUMMYFUNCTION("if(not(iserror(index(split(C1830, "" ""),2))), index(split(C1830, "" ""),1),"""")"),"")</f>
        <v/>
      </c>
      <c r="T1830" s="315" t="str">
        <f>IFERROR(__xludf.DUMMYFUNCTION("if(S1830="""",C1830,if(not(iserror(index(split(C1830, "" ""),3))), index(split(C1830, "" ""),3),index(split(C1830, "" ""),2)))"),"")</f>
        <v/>
      </c>
      <c r="U1830" s="38" t="b">
        <f t="shared" si="34"/>
        <v>0</v>
      </c>
      <c r="V1830" s="38"/>
      <c r="W1830" s="40"/>
      <c r="X1830" s="40"/>
      <c r="Y1830" s="38"/>
      <c r="Z1830" s="38"/>
      <c r="AA1830" s="38"/>
      <c r="AB1830" s="38"/>
      <c r="AC1830" s="38"/>
      <c r="AD1830" s="38"/>
      <c r="AE1830" s="38"/>
      <c r="AF1830" s="38"/>
      <c r="AG1830" s="38"/>
      <c r="AH1830" s="38"/>
      <c r="AI1830" s="38"/>
      <c r="AJ1830" s="38"/>
      <c r="AK1830" s="38"/>
      <c r="AL1830" s="38"/>
      <c r="AM1830" s="38"/>
      <c r="AN1830" s="38"/>
      <c r="AO1830" s="38"/>
      <c r="AP1830" s="38"/>
      <c r="AQ1830" s="38"/>
      <c r="AR1830" s="38"/>
      <c r="AS1830" s="38"/>
      <c r="AT1830" s="38"/>
      <c r="AU1830" s="38"/>
      <c r="AV1830" s="38"/>
      <c r="AW1830" s="38"/>
      <c r="AX1830" s="38"/>
      <c r="AY1830" s="38"/>
      <c r="AZ1830" s="38"/>
      <c r="BA1830" s="38"/>
      <c r="BB1830" s="38"/>
      <c r="BC1830" s="38"/>
      <c r="BD1830" s="38"/>
      <c r="BE1830" s="38"/>
      <c r="BF1830" s="38"/>
      <c r="BG1830" s="38"/>
      <c r="BH1830" s="38"/>
      <c r="BI1830" s="38"/>
      <c r="BJ1830" s="38"/>
      <c r="BK1830" s="38"/>
      <c r="BL1830" s="38"/>
      <c r="BM1830" s="38"/>
      <c r="BN1830" s="38"/>
      <c r="BO1830" s="38"/>
      <c r="BP1830" s="38"/>
      <c r="BQ1830" s="38"/>
    </row>
    <row r="1831">
      <c r="A1831" s="375"/>
      <c r="B1831" s="341"/>
      <c r="C1831" s="60"/>
      <c r="D1831" s="60"/>
      <c r="E1831" s="58"/>
      <c r="F1831" s="58"/>
      <c r="G1831" s="58"/>
      <c r="H1831" s="33" t="str">
        <f t="shared" si="33"/>
        <v/>
      </c>
      <c r="I1831" s="58"/>
      <c r="J1831" s="58"/>
      <c r="K1831" s="58"/>
      <c r="L1831" s="58"/>
      <c r="M1831" s="80"/>
      <c r="N1831" s="80"/>
      <c r="O1831" s="58"/>
      <c r="P1831" s="58"/>
      <c r="Q1831" s="84"/>
      <c r="R1831" s="62"/>
      <c r="S1831" s="37" t="str">
        <f>IFERROR(__xludf.DUMMYFUNCTION("if(not(iserror(index(split(C1831, "" ""),2))), index(split(C1831, "" ""),1),"""")"),"")</f>
        <v/>
      </c>
      <c r="T1831" s="315" t="str">
        <f>IFERROR(__xludf.DUMMYFUNCTION("if(S1831="""",C1831,if(not(iserror(index(split(C1831, "" ""),3))), index(split(C1831, "" ""),3),index(split(C1831, "" ""),2)))"),"")</f>
        <v/>
      </c>
      <c r="U1831" s="38" t="b">
        <f t="shared" si="34"/>
        <v>0</v>
      </c>
      <c r="V1831" s="38"/>
      <c r="W1831" s="40"/>
      <c r="X1831" s="40"/>
      <c r="Y1831" s="38"/>
      <c r="Z1831" s="38"/>
      <c r="AA1831" s="38"/>
      <c r="AB1831" s="38"/>
      <c r="AC1831" s="38"/>
      <c r="AD1831" s="38"/>
      <c r="AE1831" s="38"/>
      <c r="AF1831" s="38"/>
      <c r="AG1831" s="38"/>
      <c r="AH1831" s="38"/>
      <c r="AI1831" s="38"/>
      <c r="AJ1831" s="38"/>
      <c r="AK1831" s="38"/>
      <c r="AL1831" s="38"/>
      <c r="AM1831" s="38"/>
      <c r="AN1831" s="38"/>
      <c r="AO1831" s="38"/>
      <c r="AP1831" s="38"/>
      <c r="AQ1831" s="38"/>
      <c r="AR1831" s="38"/>
      <c r="AS1831" s="38"/>
      <c r="AT1831" s="38"/>
      <c r="AU1831" s="38"/>
      <c r="AV1831" s="38"/>
      <c r="AW1831" s="38"/>
      <c r="AX1831" s="38"/>
      <c r="AY1831" s="38"/>
      <c r="AZ1831" s="38"/>
      <c r="BA1831" s="38"/>
      <c r="BB1831" s="38"/>
      <c r="BC1831" s="38"/>
      <c r="BD1831" s="38"/>
      <c r="BE1831" s="38"/>
      <c r="BF1831" s="38"/>
      <c r="BG1831" s="38"/>
      <c r="BH1831" s="38"/>
      <c r="BI1831" s="38"/>
      <c r="BJ1831" s="38"/>
      <c r="BK1831" s="38"/>
      <c r="BL1831" s="38"/>
      <c r="BM1831" s="38"/>
      <c r="BN1831" s="38"/>
      <c r="BO1831" s="38"/>
      <c r="BP1831" s="38"/>
      <c r="BQ1831" s="38"/>
    </row>
    <row r="1832">
      <c r="A1832" s="375"/>
      <c r="B1832" s="341"/>
      <c r="C1832" s="60"/>
      <c r="D1832" s="60"/>
      <c r="E1832" s="58"/>
      <c r="F1832" s="58"/>
      <c r="G1832" s="58"/>
      <c r="H1832" s="33" t="str">
        <f t="shared" si="33"/>
        <v/>
      </c>
      <c r="I1832" s="58"/>
      <c r="J1832" s="58"/>
      <c r="K1832" s="58"/>
      <c r="L1832" s="58"/>
      <c r="M1832" s="80"/>
      <c r="N1832" s="80"/>
      <c r="O1832" s="58"/>
      <c r="P1832" s="58"/>
      <c r="Q1832" s="84"/>
      <c r="R1832" s="62"/>
      <c r="S1832" s="37" t="str">
        <f>IFERROR(__xludf.DUMMYFUNCTION("if(not(iserror(index(split(C1832, "" ""),2))), index(split(C1832, "" ""),1),"""")"),"")</f>
        <v/>
      </c>
      <c r="T1832" s="315" t="str">
        <f>IFERROR(__xludf.DUMMYFUNCTION("if(S1832="""",C1832,if(not(iserror(index(split(C1832, "" ""),3))), index(split(C1832, "" ""),3),index(split(C1832, "" ""),2)))"),"")</f>
        <v/>
      </c>
      <c r="U1832" s="38" t="b">
        <f t="shared" si="34"/>
        <v>0</v>
      </c>
      <c r="V1832" s="38"/>
      <c r="W1832" s="40"/>
      <c r="X1832" s="40"/>
      <c r="Y1832" s="38"/>
      <c r="Z1832" s="38"/>
      <c r="AA1832" s="38"/>
      <c r="AB1832" s="38"/>
      <c r="AC1832" s="38"/>
      <c r="AD1832" s="38"/>
      <c r="AE1832" s="38"/>
      <c r="AF1832" s="38"/>
      <c r="AG1832" s="38"/>
      <c r="AH1832" s="38"/>
      <c r="AI1832" s="38"/>
      <c r="AJ1832" s="38"/>
      <c r="AK1832" s="38"/>
      <c r="AL1832" s="38"/>
      <c r="AM1832" s="38"/>
      <c r="AN1832" s="38"/>
      <c r="AO1832" s="38"/>
      <c r="AP1832" s="38"/>
      <c r="AQ1832" s="38"/>
      <c r="AR1832" s="38"/>
      <c r="AS1832" s="38"/>
      <c r="AT1832" s="38"/>
      <c r="AU1832" s="38"/>
      <c r="AV1832" s="38"/>
      <c r="AW1832" s="38"/>
      <c r="AX1832" s="38"/>
      <c r="AY1832" s="38"/>
      <c r="AZ1832" s="38"/>
      <c r="BA1832" s="38"/>
      <c r="BB1832" s="38"/>
      <c r="BC1832" s="38"/>
      <c r="BD1832" s="38"/>
      <c r="BE1832" s="38"/>
      <c r="BF1832" s="38"/>
      <c r="BG1832" s="38"/>
      <c r="BH1832" s="38"/>
      <c r="BI1832" s="38"/>
      <c r="BJ1832" s="38"/>
      <c r="BK1832" s="38"/>
      <c r="BL1832" s="38"/>
      <c r="BM1832" s="38"/>
      <c r="BN1832" s="38"/>
      <c r="BO1832" s="38"/>
      <c r="BP1832" s="38"/>
      <c r="BQ1832" s="38"/>
    </row>
    <row r="1833">
      <c r="A1833" s="375"/>
      <c r="B1833" s="341"/>
      <c r="C1833" s="60"/>
      <c r="D1833" s="60"/>
      <c r="E1833" s="58"/>
      <c r="F1833" s="58"/>
      <c r="G1833" s="58"/>
      <c r="H1833" s="33" t="str">
        <f t="shared" si="33"/>
        <v/>
      </c>
      <c r="I1833" s="58"/>
      <c r="J1833" s="58"/>
      <c r="K1833" s="58"/>
      <c r="L1833" s="58"/>
      <c r="M1833" s="80"/>
      <c r="N1833" s="80"/>
      <c r="O1833" s="58"/>
      <c r="P1833" s="58"/>
      <c r="Q1833" s="84"/>
      <c r="R1833" s="62"/>
      <c r="S1833" s="37" t="str">
        <f>IFERROR(__xludf.DUMMYFUNCTION("if(not(iserror(index(split(C1833, "" ""),2))), index(split(C1833, "" ""),1),"""")"),"")</f>
        <v/>
      </c>
      <c r="T1833" s="315" t="str">
        <f>IFERROR(__xludf.DUMMYFUNCTION("if(S1833="""",C1833,if(not(iserror(index(split(C1833, "" ""),3))), index(split(C1833, "" ""),3),index(split(C1833, "" ""),2)))"),"")</f>
        <v/>
      </c>
      <c r="U1833" s="38" t="b">
        <f t="shared" si="34"/>
        <v>0</v>
      </c>
      <c r="V1833" s="38"/>
      <c r="W1833" s="40"/>
      <c r="X1833" s="40"/>
      <c r="Y1833" s="38"/>
      <c r="Z1833" s="38"/>
      <c r="AA1833" s="38"/>
      <c r="AB1833" s="38"/>
      <c r="AC1833" s="38"/>
      <c r="AD1833" s="38"/>
      <c r="AE1833" s="38"/>
      <c r="AF1833" s="38"/>
      <c r="AG1833" s="38"/>
      <c r="AH1833" s="38"/>
      <c r="AI1833" s="38"/>
      <c r="AJ1833" s="38"/>
      <c r="AK1833" s="38"/>
      <c r="AL1833" s="38"/>
      <c r="AM1833" s="38"/>
      <c r="AN1833" s="38"/>
      <c r="AO1833" s="38"/>
      <c r="AP1833" s="38"/>
      <c r="AQ1833" s="38"/>
      <c r="AR1833" s="38"/>
      <c r="AS1833" s="38"/>
      <c r="AT1833" s="38"/>
      <c r="AU1833" s="38"/>
      <c r="AV1833" s="38"/>
      <c r="AW1833" s="38"/>
      <c r="AX1833" s="38"/>
      <c r="AY1833" s="38"/>
      <c r="AZ1833" s="38"/>
      <c r="BA1833" s="38"/>
      <c r="BB1833" s="38"/>
      <c r="BC1833" s="38"/>
      <c r="BD1833" s="38"/>
      <c r="BE1833" s="38"/>
      <c r="BF1833" s="38"/>
      <c r="BG1833" s="38"/>
      <c r="BH1833" s="38"/>
      <c r="BI1833" s="38"/>
      <c r="BJ1833" s="38"/>
      <c r="BK1833" s="38"/>
      <c r="BL1833" s="38"/>
      <c r="BM1833" s="38"/>
      <c r="BN1833" s="38"/>
      <c r="BO1833" s="38"/>
      <c r="BP1833" s="38"/>
      <c r="BQ1833" s="38"/>
    </row>
    <row r="1834">
      <c r="A1834" s="58"/>
      <c r="B1834" s="341"/>
      <c r="C1834" s="60"/>
      <c r="D1834" s="60"/>
      <c r="E1834" s="58"/>
      <c r="F1834" s="58"/>
      <c r="G1834" s="58"/>
      <c r="H1834" s="33" t="str">
        <f t="shared" si="33"/>
        <v/>
      </c>
      <c r="I1834" s="58"/>
      <c r="J1834" s="58"/>
      <c r="K1834" s="58"/>
      <c r="L1834" s="58"/>
      <c r="M1834" s="389"/>
      <c r="N1834" s="80"/>
      <c r="O1834" s="58"/>
      <c r="P1834" s="58"/>
      <c r="Q1834" s="84"/>
      <c r="R1834" s="62"/>
      <c r="S1834" s="37" t="str">
        <f>IFERROR(__xludf.DUMMYFUNCTION("if(not(iserror(index(split(C1834, "" ""),2))), index(split(C1834, "" ""),1),"""")"),"")</f>
        <v/>
      </c>
      <c r="T1834" s="315" t="str">
        <f>IFERROR(__xludf.DUMMYFUNCTION("if(S1834="""",C1834,if(not(iserror(index(split(C1834, "" ""),3))), index(split(C1834, "" ""),3),index(split(C1834, "" ""),2)))"),"")</f>
        <v/>
      </c>
      <c r="U1834" s="38" t="b">
        <f t="shared" si="34"/>
        <v>0</v>
      </c>
      <c r="V1834" s="38"/>
      <c r="W1834" s="40"/>
      <c r="X1834" s="40"/>
      <c r="Y1834" s="38"/>
      <c r="Z1834" s="38"/>
      <c r="AA1834" s="38"/>
      <c r="AB1834" s="38"/>
      <c r="AC1834" s="38"/>
      <c r="AD1834" s="38"/>
      <c r="AE1834" s="38"/>
      <c r="AF1834" s="38"/>
      <c r="AG1834" s="38"/>
      <c r="AH1834" s="38"/>
      <c r="AI1834" s="38"/>
      <c r="AJ1834" s="38"/>
      <c r="AK1834" s="38"/>
      <c r="AL1834" s="38"/>
      <c r="AM1834" s="38"/>
      <c r="AN1834" s="38"/>
      <c r="AO1834" s="38"/>
      <c r="AP1834" s="38"/>
      <c r="AQ1834" s="38"/>
      <c r="AR1834" s="38"/>
      <c r="AS1834" s="38"/>
      <c r="AT1834" s="38"/>
      <c r="AU1834" s="38"/>
      <c r="AV1834" s="38"/>
      <c r="AW1834" s="38"/>
      <c r="AX1834" s="38"/>
      <c r="AY1834" s="38"/>
      <c r="AZ1834" s="38"/>
      <c r="BA1834" s="38"/>
      <c r="BB1834" s="38"/>
      <c r="BC1834" s="38"/>
      <c r="BD1834" s="38"/>
      <c r="BE1834" s="38"/>
      <c r="BF1834" s="38"/>
      <c r="BG1834" s="38"/>
      <c r="BH1834" s="38"/>
      <c r="BI1834" s="38"/>
      <c r="BJ1834" s="38"/>
      <c r="BK1834" s="38"/>
      <c r="BL1834" s="38"/>
      <c r="BM1834" s="38"/>
      <c r="BN1834" s="38"/>
      <c r="BO1834" s="38"/>
      <c r="BP1834" s="38"/>
      <c r="BQ1834" s="38"/>
    </row>
    <row r="1835">
      <c r="A1835" s="58"/>
      <c r="B1835" s="341"/>
      <c r="C1835" s="60"/>
      <c r="D1835" s="60"/>
      <c r="E1835" s="58"/>
      <c r="F1835" s="58"/>
      <c r="G1835" s="58"/>
      <c r="H1835" s="33" t="str">
        <f t="shared" si="33"/>
        <v/>
      </c>
      <c r="I1835" s="58"/>
      <c r="J1835" s="58"/>
      <c r="K1835" s="58"/>
      <c r="L1835" s="58"/>
      <c r="M1835" s="389"/>
      <c r="N1835" s="80"/>
      <c r="O1835" s="58"/>
      <c r="P1835" s="58"/>
      <c r="Q1835" s="58"/>
      <c r="R1835" s="58"/>
      <c r="S1835" s="37" t="str">
        <f>IFERROR(__xludf.DUMMYFUNCTION("if(not(iserror(index(split(C1835, "" ""),2))), index(split(C1835, "" ""),1),"""")"),"")</f>
        <v/>
      </c>
      <c r="T1835" s="315" t="str">
        <f>IFERROR(__xludf.DUMMYFUNCTION("if(S1835="""",C1835,if(not(iserror(index(split(C1835, "" ""),3))), index(split(C1835, "" ""),3),index(split(C1835, "" ""),2)))"),"")</f>
        <v/>
      </c>
      <c r="U1835" s="38" t="b">
        <f t="shared" si="34"/>
        <v>0</v>
      </c>
      <c r="V1835" s="38"/>
      <c r="W1835" s="40"/>
      <c r="X1835" s="40"/>
      <c r="Y1835" s="38"/>
      <c r="Z1835" s="38"/>
      <c r="AA1835" s="38"/>
      <c r="AB1835" s="38"/>
      <c r="AC1835" s="38"/>
      <c r="AD1835" s="38"/>
      <c r="AE1835" s="38"/>
      <c r="AF1835" s="38"/>
      <c r="AG1835" s="38"/>
      <c r="AH1835" s="38"/>
      <c r="AI1835" s="38"/>
      <c r="AJ1835" s="38"/>
      <c r="AK1835" s="38"/>
      <c r="AL1835" s="38"/>
      <c r="AM1835" s="38"/>
      <c r="AN1835" s="38"/>
      <c r="AO1835" s="38"/>
      <c r="AP1835" s="38"/>
      <c r="AQ1835" s="38"/>
      <c r="AR1835" s="38"/>
      <c r="AS1835" s="38"/>
      <c r="AT1835" s="38"/>
      <c r="AU1835" s="38"/>
      <c r="AV1835" s="38"/>
      <c r="AW1835" s="38"/>
      <c r="AX1835" s="38"/>
      <c r="AY1835" s="38"/>
      <c r="AZ1835" s="38"/>
      <c r="BA1835" s="38"/>
      <c r="BB1835" s="38"/>
      <c r="BC1835" s="38"/>
      <c r="BD1835" s="38"/>
      <c r="BE1835" s="38"/>
      <c r="BF1835" s="38"/>
      <c r="BG1835" s="38"/>
      <c r="BH1835" s="38"/>
      <c r="BI1835" s="38"/>
      <c r="BJ1835" s="38"/>
      <c r="BK1835" s="38"/>
      <c r="BL1835" s="38"/>
      <c r="BM1835" s="38"/>
      <c r="BN1835" s="38"/>
      <c r="BO1835" s="38"/>
      <c r="BP1835" s="38"/>
      <c r="BQ1835" s="38"/>
    </row>
    <row r="1836">
      <c r="A1836" s="58"/>
      <c r="B1836" s="341"/>
      <c r="C1836" s="60"/>
      <c r="D1836" s="60"/>
      <c r="E1836" s="58"/>
      <c r="F1836" s="58"/>
      <c r="G1836" s="58"/>
      <c r="H1836" s="33" t="str">
        <f t="shared" si="33"/>
        <v/>
      </c>
      <c r="I1836" s="58"/>
      <c r="J1836" s="58"/>
      <c r="K1836" s="58"/>
      <c r="L1836" s="58"/>
      <c r="M1836" s="389"/>
      <c r="N1836" s="80"/>
      <c r="O1836" s="62"/>
      <c r="P1836" s="62"/>
      <c r="Q1836" s="62"/>
      <c r="R1836" s="62"/>
      <c r="S1836" s="37" t="str">
        <f>IFERROR(__xludf.DUMMYFUNCTION("if(not(iserror(index(split(C1836, "" ""),2))), index(split(C1836, "" ""),1),"""")"),"")</f>
        <v/>
      </c>
      <c r="T1836" s="315" t="str">
        <f>IFERROR(__xludf.DUMMYFUNCTION("if(S1836="""",C1836,if(not(iserror(index(split(C1836, "" ""),3))), index(split(C1836, "" ""),3),index(split(C1836, "" ""),2)))"),"")</f>
        <v/>
      </c>
      <c r="U1836" s="38" t="b">
        <f t="shared" si="34"/>
        <v>0</v>
      </c>
      <c r="V1836" s="38"/>
      <c r="W1836" s="40"/>
      <c r="X1836" s="40"/>
      <c r="Y1836" s="38"/>
      <c r="Z1836" s="38"/>
      <c r="AA1836" s="38"/>
      <c r="AB1836" s="38"/>
      <c r="AC1836" s="38"/>
      <c r="AD1836" s="38"/>
      <c r="AE1836" s="38"/>
      <c r="AF1836" s="38"/>
      <c r="AG1836" s="38"/>
      <c r="AH1836" s="38"/>
      <c r="AI1836" s="38"/>
      <c r="AJ1836" s="38"/>
      <c r="AK1836" s="38"/>
      <c r="AL1836" s="38"/>
      <c r="AM1836" s="38"/>
      <c r="AN1836" s="38"/>
      <c r="AO1836" s="38"/>
      <c r="AP1836" s="38"/>
      <c r="AQ1836" s="38"/>
      <c r="AR1836" s="38"/>
      <c r="AS1836" s="38"/>
      <c r="AT1836" s="38"/>
      <c r="AU1836" s="38"/>
      <c r="AV1836" s="38"/>
      <c r="AW1836" s="38"/>
      <c r="AX1836" s="38"/>
      <c r="AY1836" s="38"/>
      <c r="AZ1836" s="38"/>
      <c r="BA1836" s="38"/>
      <c r="BB1836" s="38"/>
      <c r="BC1836" s="38"/>
      <c r="BD1836" s="38"/>
      <c r="BE1836" s="38"/>
      <c r="BF1836" s="38"/>
      <c r="BG1836" s="38"/>
      <c r="BH1836" s="38"/>
      <c r="BI1836" s="38"/>
      <c r="BJ1836" s="38"/>
      <c r="BK1836" s="38"/>
      <c r="BL1836" s="38"/>
      <c r="BM1836" s="38"/>
      <c r="BN1836" s="38"/>
      <c r="BO1836" s="38"/>
      <c r="BP1836" s="38"/>
      <c r="BQ1836" s="38"/>
    </row>
    <row r="1837">
      <c r="A1837" s="58"/>
      <c r="B1837" s="341"/>
      <c r="C1837" s="60"/>
      <c r="D1837" s="60"/>
      <c r="E1837" s="58"/>
      <c r="F1837" s="58"/>
      <c r="G1837" s="58"/>
      <c r="H1837" s="33" t="str">
        <f t="shared" si="33"/>
        <v/>
      </c>
      <c r="I1837" s="58"/>
      <c r="J1837" s="58"/>
      <c r="K1837" s="58"/>
      <c r="L1837" s="58"/>
      <c r="M1837" s="389"/>
      <c r="N1837" s="80"/>
      <c r="O1837" s="62"/>
      <c r="P1837" s="62"/>
      <c r="Q1837" s="62"/>
      <c r="R1837" s="62"/>
      <c r="S1837" s="37" t="str">
        <f>IFERROR(__xludf.DUMMYFUNCTION("if(not(iserror(index(split(C1837, "" ""),2))), index(split(C1837, "" ""),1),"""")"),"")</f>
        <v/>
      </c>
      <c r="T1837" s="315" t="str">
        <f>IFERROR(__xludf.DUMMYFUNCTION("if(S1837="""",C1837,if(not(iserror(index(split(C1837, "" ""),3))), index(split(C1837, "" ""),3),index(split(C1837, "" ""),2)))"),"")</f>
        <v/>
      </c>
      <c r="U1837" s="38" t="b">
        <f t="shared" si="34"/>
        <v>0</v>
      </c>
      <c r="V1837" s="38"/>
      <c r="W1837" s="40"/>
      <c r="X1837" s="40"/>
      <c r="Y1837" s="38"/>
      <c r="Z1837" s="38"/>
      <c r="AA1837" s="38"/>
      <c r="AB1837" s="38"/>
      <c r="AC1837" s="38"/>
      <c r="AD1837" s="38"/>
      <c r="AE1837" s="38"/>
      <c r="AF1837" s="38"/>
      <c r="AG1837" s="38"/>
      <c r="AH1837" s="38"/>
      <c r="AI1837" s="38"/>
      <c r="AJ1837" s="38"/>
      <c r="AK1837" s="38"/>
      <c r="AL1837" s="38"/>
      <c r="AM1837" s="38"/>
      <c r="AN1837" s="38"/>
      <c r="AO1837" s="38"/>
      <c r="AP1837" s="38"/>
      <c r="AQ1837" s="38"/>
      <c r="AR1837" s="38"/>
      <c r="AS1837" s="38"/>
      <c r="AT1837" s="38"/>
      <c r="AU1837" s="38"/>
      <c r="AV1837" s="38"/>
      <c r="AW1837" s="38"/>
      <c r="AX1837" s="38"/>
      <c r="AY1837" s="38"/>
      <c r="AZ1837" s="38"/>
      <c r="BA1837" s="38"/>
      <c r="BB1837" s="38"/>
      <c r="BC1837" s="38"/>
      <c r="BD1837" s="38"/>
      <c r="BE1837" s="38"/>
      <c r="BF1837" s="38"/>
      <c r="BG1837" s="38"/>
      <c r="BH1837" s="38"/>
      <c r="BI1837" s="38"/>
      <c r="BJ1837" s="38"/>
      <c r="BK1837" s="38"/>
      <c r="BL1837" s="38"/>
      <c r="BM1837" s="38"/>
      <c r="BN1837" s="38"/>
      <c r="BO1837" s="38"/>
      <c r="BP1837" s="38"/>
      <c r="BQ1837" s="38"/>
    </row>
    <row r="1838">
      <c r="A1838" s="58"/>
      <c r="B1838" s="341"/>
      <c r="C1838" s="60"/>
      <c r="D1838" s="60"/>
      <c r="E1838" s="58"/>
      <c r="F1838" s="58"/>
      <c r="G1838" s="58"/>
      <c r="H1838" s="33" t="str">
        <f t="shared" si="33"/>
        <v/>
      </c>
      <c r="I1838" s="58"/>
      <c r="J1838" s="58"/>
      <c r="K1838" s="58"/>
      <c r="L1838" s="58"/>
      <c r="M1838" s="389"/>
      <c r="N1838" s="80"/>
      <c r="O1838" s="62"/>
      <c r="P1838" s="62"/>
      <c r="Q1838" s="62"/>
      <c r="R1838" s="62"/>
      <c r="S1838" s="37" t="str">
        <f>IFERROR(__xludf.DUMMYFUNCTION("if(not(iserror(index(split(C1838, "" ""),2))), index(split(C1838, "" ""),1),"""")"),"")</f>
        <v/>
      </c>
      <c r="T1838" s="315" t="str">
        <f>IFERROR(__xludf.DUMMYFUNCTION("if(S1838="""",C1838,if(not(iserror(index(split(C1838, "" ""),3))), index(split(C1838, "" ""),3),index(split(C1838, "" ""),2)))"),"")</f>
        <v/>
      </c>
      <c r="U1838" s="38" t="b">
        <f t="shared" si="34"/>
        <v>0</v>
      </c>
      <c r="V1838" s="38"/>
      <c r="W1838" s="40"/>
      <c r="X1838" s="40"/>
      <c r="Y1838" s="38"/>
      <c r="Z1838" s="38"/>
      <c r="AA1838" s="38"/>
      <c r="AB1838" s="38"/>
      <c r="AC1838" s="38"/>
      <c r="AD1838" s="38"/>
      <c r="AE1838" s="38"/>
      <c r="AF1838" s="38"/>
      <c r="AG1838" s="38"/>
      <c r="AH1838" s="38"/>
      <c r="AI1838" s="38"/>
      <c r="AJ1838" s="38"/>
      <c r="AK1838" s="38"/>
      <c r="AL1838" s="38"/>
      <c r="AM1838" s="38"/>
      <c r="AN1838" s="38"/>
      <c r="AO1838" s="38"/>
      <c r="AP1838" s="38"/>
      <c r="AQ1838" s="38"/>
      <c r="AR1838" s="38"/>
      <c r="AS1838" s="38"/>
      <c r="AT1838" s="38"/>
      <c r="AU1838" s="38"/>
      <c r="AV1838" s="38"/>
      <c r="AW1838" s="38"/>
      <c r="AX1838" s="38"/>
      <c r="AY1838" s="38"/>
      <c r="AZ1838" s="38"/>
      <c r="BA1838" s="38"/>
      <c r="BB1838" s="38"/>
      <c r="BC1838" s="38"/>
      <c r="BD1838" s="38"/>
      <c r="BE1838" s="38"/>
      <c r="BF1838" s="38"/>
      <c r="BG1838" s="38"/>
      <c r="BH1838" s="38"/>
      <c r="BI1838" s="38"/>
      <c r="BJ1838" s="38"/>
      <c r="BK1838" s="38"/>
      <c r="BL1838" s="38"/>
      <c r="BM1838" s="38"/>
      <c r="BN1838" s="38"/>
      <c r="BO1838" s="38"/>
      <c r="BP1838" s="38"/>
      <c r="BQ1838" s="38"/>
    </row>
    <row r="1839">
      <c r="A1839" s="58"/>
      <c r="B1839" s="341"/>
      <c r="C1839" s="60"/>
      <c r="D1839" s="60"/>
      <c r="E1839" s="58"/>
      <c r="F1839" s="58"/>
      <c r="G1839" s="58"/>
      <c r="H1839" s="33" t="str">
        <f t="shared" si="33"/>
        <v/>
      </c>
      <c r="I1839" s="58"/>
      <c r="J1839" s="58"/>
      <c r="K1839" s="58"/>
      <c r="L1839" s="58"/>
      <c r="M1839" s="389"/>
      <c r="N1839" s="80"/>
      <c r="O1839" s="62"/>
      <c r="P1839" s="62"/>
      <c r="Q1839" s="62"/>
      <c r="R1839" s="62"/>
      <c r="S1839" s="37" t="str">
        <f>IFERROR(__xludf.DUMMYFUNCTION("if(not(iserror(index(split(C1839, "" ""),2))), index(split(C1839, "" ""),1),"""")"),"")</f>
        <v/>
      </c>
      <c r="T1839" s="315" t="str">
        <f>IFERROR(__xludf.DUMMYFUNCTION("if(S1839="""",C1839,if(not(iserror(index(split(C1839, "" ""),3))), index(split(C1839, "" ""),3),index(split(C1839, "" ""),2)))"),"")</f>
        <v/>
      </c>
      <c r="U1839" s="38" t="b">
        <f t="shared" si="34"/>
        <v>0</v>
      </c>
      <c r="V1839" s="38"/>
      <c r="W1839" s="40"/>
      <c r="X1839" s="40"/>
      <c r="Y1839" s="38"/>
      <c r="Z1839" s="38"/>
      <c r="AA1839" s="38"/>
      <c r="AB1839" s="38"/>
      <c r="AC1839" s="38"/>
      <c r="AD1839" s="38"/>
      <c r="AE1839" s="38"/>
      <c r="AF1839" s="38"/>
      <c r="AG1839" s="38"/>
      <c r="AH1839" s="38"/>
      <c r="AI1839" s="38"/>
      <c r="AJ1839" s="38"/>
      <c r="AK1839" s="38"/>
      <c r="AL1839" s="38"/>
      <c r="AM1839" s="38"/>
      <c r="AN1839" s="38"/>
      <c r="AO1839" s="38"/>
      <c r="AP1839" s="38"/>
      <c r="AQ1839" s="38"/>
      <c r="AR1839" s="38"/>
      <c r="AS1839" s="38"/>
      <c r="AT1839" s="38"/>
      <c r="AU1839" s="38"/>
      <c r="AV1839" s="38"/>
      <c r="AW1839" s="38"/>
      <c r="AX1839" s="38"/>
      <c r="AY1839" s="38"/>
      <c r="AZ1839" s="38"/>
      <c r="BA1839" s="38"/>
      <c r="BB1839" s="38"/>
      <c r="BC1839" s="38"/>
      <c r="BD1839" s="38"/>
      <c r="BE1839" s="38"/>
      <c r="BF1839" s="38"/>
      <c r="BG1839" s="38"/>
      <c r="BH1839" s="38"/>
      <c r="BI1839" s="38"/>
      <c r="BJ1839" s="38"/>
      <c r="BK1839" s="38"/>
      <c r="BL1839" s="38"/>
      <c r="BM1839" s="38"/>
      <c r="BN1839" s="38"/>
      <c r="BO1839" s="38"/>
      <c r="BP1839" s="38"/>
      <c r="BQ1839" s="38"/>
    </row>
    <row r="1840">
      <c r="A1840" s="58"/>
      <c r="B1840" s="341"/>
      <c r="C1840" s="60"/>
      <c r="D1840" s="60"/>
      <c r="E1840" s="58"/>
      <c r="F1840" s="58"/>
      <c r="G1840" s="58"/>
      <c r="H1840" s="33" t="str">
        <f t="shared" si="33"/>
        <v/>
      </c>
      <c r="I1840" s="58"/>
      <c r="J1840" s="58"/>
      <c r="K1840" s="58"/>
      <c r="L1840" s="58"/>
      <c r="M1840" s="389"/>
      <c r="N1840" s="80"/>
      <c r="O1840" s="62"/>
      <c r="P1840" s="62"/>
      <c r="Q1840" s="62"/>
      <c r="R1840" s="62"/>
      <c r="S1840" s="37" t="str">
        <f>IFERROR(__xludf.DUMMYFUNCTION("if(not(iserror(index(split(C1840, "" ""),2))), index(split(C1840, "" ""),1),"""")"),"")</f>
        <v/>
      </c>
      <c r="T1840" s="315" t="str">
        <f>IFERROR(__xludf.DUMMYFUNCTION("if(S1840="""",C1840,if(not(iserror(index(split(C1840, "" ""),3))), index(split(C1840, "" ""),3),index(split(C1840, "" ""),2)))"),"")</f>
        <v/>
      </c>
      <c r="U1840" s="38" t="b">
        <f t="shared" si="34"/>
        <v>0</v>
      </c>
      <c r="V1840" s="38"/>
      <c r="W1840" s="40"/>
      <c r="X1840" s="40"/>
      <c r="Y1840" s="38"/>
      <c r="Z1840" s="38"/>
      <c r="AA1840" s="38"/>
      <c r="AB1840" s="38"/>
      <c r="AC1840" s="38"/>
      <c r="AD1840" s="38"/>
      <c r="AE1840" s="38"/>
      <c r="AF1840" s="38"/>
      <c r="AG1840" s="38"/>
      <c r="AH1840" s="38"/>
      <c r="AI1840" s="38"/>
      <c r="AJ1840" s="38"/>
      <c r="AK1840" s="38"/>
      <c r="AL1840" s="38"/>
      <c r="AM1840" s="38"/>
      <c r="AN1840" s="38"/>
      <c r="AO1840" s="38"/>
      <c r="AP1840" s="38"/>
      <c r="AQ1840" s="38"/>
      <c r="AR1840" s="38"/>
      <c r="AS1840" s="38"/>
      <c r="AT1840" s="38"/>
      <c r="AU1840" s="38"/>
      <c r="AV1840" s="38"/>
      <c r="AW1840" s="38"/>
      <c r="AX1840" s="38"/>
      <c r="AY1840" s="38"/>
      <c r="AZ1840" s="38"/>
      <c r="BA1840" s="38"/>
      <c r="BB1840" s="38"/>
      <c r="BC1840" s="38"/>
      <c r="BD1840" s="38"/>
      <c r="BE1840" s="38"/>
      <c r="BF1840" s="38"/>
      <c r="BG1840" s="38"/>
      <c r="BH1840" s="38"/>
      <c r="BI1840" s="38"/>
      <c r="BJ1840" s="38"/>
      <c r="BK1840" s="38"/>
      <c r="BL1840" s="38"/>
      <c r="BM1840" s="38"/>
      <c r="BN1840" s="38"/>
      <c r="BO1840" s="38"/>
      <c r="BP1840" s="38"/>
      <c r="BQ1840" s="38"/>
    </row>
    <row r="1841">
      <c r="A1841" s="58"/>
      <c r="B1841" s="341"/>
      <c r="C1841" s="60"/>
      <c r="D1841" s="60"/>
      <c r="E1841" s="58"/>
      <c r="F1841" s="58"/>
      <c r="G1841" s="58"/>
      <c r="H1841" s="33" t="str">
        <f t="shared" si="33"/>
        <v/>
      </c>
      <c r="I1841" s="58"/>
      <c r="J1841" s="58"/>
      <c r="K1841" s="58"/>
      <c r="L1841" s="58"/>
      <c r="M1841" s="389"/>
      <c r="N1841" s="80"/>
      <c r="O1841" s="62"/>
      <c r="P1841" s="62"/>
      <c r="Q1841" s="62"/>
      <c r="R1841" s="62"/>
      <c r="S1841" s="37" t="str">
        <f>IFERROR(__xludf.DUMMYFUNCTION("if(not(iserror(index(split(C1841, "" ""),2))), index(split(C1841, "" ""),1),"""")"),"")</f>
        <v/>
      </c>
      <c r="T1841" s="315" t="str">
        <f>IFERROR(__xludf.DUMMYFUNCTION("if(S1841="""",C1841,if(not(iserror(index(split(C1841, "" ""),3))), index(split(C1841, "" ""),3),index(split(C1841, "" ""),2)))"),"")</f>
        <v/>
      </c>
      <c r="U1841" s="38" t="b">
        <f t="shared" si="34"/>
        <v>0</v>
      </c>
      <c r="V1841" s="38"/>
      <c r="W1841" s="40"/>
      <c r="X1841" s="40"/>
      <c r="Y1841" s="38"/>
      <c r="Z1841" s="38"/>
      <c r="AA1841" s="38"/>
      <c r="AB1841" s="38"/>
      <c r="AC1841" s="38"/>
      <c r="AD1841" s="38"/>
      <c r="AE1841" s="38"/>
      <c r="AF1841" s="38"/>
      <c r="AG1841" s="38"/>
      <c r="AH1841" s="38"/>
      <c r="AI1841" s="38"/>
      <c r="AJ1841" s="38"/>
      <c r="AK1841" s="38"/>
      <c r="AL1841" s="38"/>
      <c r="AM1841" s="38"/>
      <c r="AN1841" s="38"/>
      <c r="AO1841" s="38"/>
      <c r="AP1841" s="38"/>
      <c r="AQ1841" s="38"/>
      <c r="AR1841" s="38"/>
      <c r="AS1841" s="38"/>
      <c r="AT1841" s="38"/>
      <c r="AU1841" s="38"/>
      <c r="AV1841" s="38"/>
      <c r="AW1841" s="38"/>
      <c r="AX1841" s="38"/>
      <c r="AY1841" s="38"/>
      <c r="AZ1841" s="38"/>
      <c r="BA1841" s="38"/>
      <c r="BB1841" s="38"/>
      <c r="BC1841" s="38"/>
      <c r="BD1841" s="38"/>
      <c r="BE1841" s="38"/>
      <c r="BF1841" s="38"/>
      <c r="BG1841" s="38"/>
      <c r="BH1841" s="38"/>
      <c r="BI1841" s="38"/>
      <c r="BJ1841" s="38"/>
      <c r="BK1841" s="38"/>
      <c r="BL1841" s="38"/>
      <c r="BM1841" s="38"/>
      <c r="BN1841" s="38"/>
      <c r="BO1841" s="38"/>
      <c r="BP1841" s="38"/>
      <c r="BQ1841" s="38"/>
    </row>
    <row r="1842">
      <c r="A1842" s="58"/>
      <c r="B1842" s="341"/>
      <c r="C1842" s="60"/>
      <c r="D1842" s="60"/>
      <c r="E1842" s="58"/>
      <c r="F1842" s="58"/>
      <c r="G1842" s="58"/>
      <c r="H1842" s="33" t="str">
        <f t="shared" si="33"/>
        <v/>
      </c>
      <c r="I1842" s="58"/>
      <c r="J1842" s="58"/>
      <c r="K1842" s="58"/>
      <c r="L1842" s="58"/>
      <c r="M1842" s="389"/>
      <c r="N1842" s="80"/>
      <c r="O1842" s="62"/>
      <c r="P1842" s="62"/>
      <c r="Q1842" s="62"/>
      <c r="R1842" s="62"/>
      <c r="S1842" s="37" t="str">
        <f>IFERROR(__xludf.DUMMYFUNCTION("if(not(iserror(index(split(C1842, "" ""),2))), index(split(C1842, "" ""),1),"""")"),"")</f>
        <v/>
      </c>
      <c r="T1842" s="315" t="str">
        <f>IFERROR(__xludf.DUMMYFUNCTION("if(S1842="""",C1842,if(not(iserror(index(split(C1842, "" ""),3))), index(split(C1842, "" ""),3),index(split(C1842, "" ""),2)))"),"")</f>
        <v/>
      </c>
      <c r="U1842" s="38" t="b">
        <f t="shared" si="34"/>
        <v>0</v>
      </c>
      <c r="V1842" s="38"/>
      <c r="W1842" s="40"/>
      <c r="X1842" s="40"/>
      <c r="Y1842" s="38"/>
      <c r="Z1842" s="38"/>
      <c r="AA1842" s="38"/>
      <c r="AB1842" s="38"/>
      <c r="AC1842" s="38"/>
      <c r="AD1842" s="38"/>
      <c r="AE1842" s="38"/>
      <c r="AF1842" s="38"/>
      <c r="AG1842" s="38"/>
      <c r="AH1842" s="38"/>
      <c r="AI1842" s="38"/>
      <c r="AJ1842" s="38"/>
      <c r="AK1842" s="38"/>
      <c r="AL1842" s="38"/>
      <c r="AM1842" s="38"/>
      <c r="AN1842" s="38"/>
      <c r="AO1842" s="38"/>
      <c r="AP1842" s="38"/>
      <c r="AQ1842" s="38"/>
      <c r="AR1842" s="38"/>
      <c r="AS1842" s="38"/>
      <c r="AT1842" s="38"/>
      <c r="AU1842" s="38"/>
      <c r="AV1842" s="38"/>
      <c r="AW1842" s="38"/>
      <c r="AX1842" s="38"/>
      <c r="AY1842" s="38"/>
      <c r="AZ1842" s="38"/>
      <c r="BA1842" s="38"/>
      <c r="BB1842" s="38"/>
      <c r="BC1842" s="38"/>
      <c r="BD1842" s="38"/>
      <c r="BE1842" s="38"/>
      <c r="BF1842" s="38"/>
      <c r="BG1842" s="38"/>
      <c r="BH1842" s="38"/>
      <c r="BI1842" s="38"/>
      <c r="BJ1842" s="38"/>
      <c r="BK1842" s="38"/>
      <c r="BL1842" s="38"/>
      <c r="BM1842" s="38"/>
      <c r="BN1842" s="38"/>
      <c r="BO1842" s="38"/>
      <c r="BP1842" s="38"/>
      <c r="BQ1842" s="38"/>
    </row>
    <row r="1843">
      <c r="A1843" s="58"/>
      <c r="B1843" s="341"/>
      <c r="C1843" s="60"/>
      <c r="D1843" s="60"/>
      <c r="E1843" s="58"/>
      <c r="F1843" s="58"/>
      <c r="G1843" s="58"/>
      <c r="H1843" s="33" t="str">
        <f t="shared" si="33"/>
        <v/>
      </c>
      <c r="I1843" s="58"/>
      <c r="J1843" s="58"/>
      <c r="K1843" s="58"/>
      <c r="L1843" s="58"/>
      <c r="M1843" s="80"/>
      <c r="N1843" s="80"/>
      <c r="O1843" s="62"/>
      <c r="P1843" s="62"/>
      <c r="Q1843" s="62"/>
      <c r="R1843" s="62"/>
      <c r="S1843" s="37" t="str">
        <f>IFERROR(__xludf.DUMMYFUNCTION("if(not(iserror(index(split(C1843, "" ""),2))), index(split(C1843, "" ""),1),"""")"),"")</f>
        <v/>
      </c>
      <c r="T1843" s="315" t="str">
        <f>IFERROR(__xludf.DUMMYFUNCTION("if(S1843="""",C1843,if(not(iserror(index(split(C1843, "" ""),3))), index(split(C1843, "" ""),3),index(split(C1843, "" ""),2)))"),"")</f>
        <v/>
      </c>
      <c r="U1843" s="38" t="b">
        <f t="shared" si="34"/>
        <v>0</v>
      </c>
      <c r="V1843" s="38"/>
      <c r="W1843" s="40"/>
      <c r="X1843" s="40"/>
      <c r="Y1843" s="38"/>
      <c r="Z1843" s="38"/>
      <c r="AA1843" s="38"/>
      <c r="AB1843" s="38"/>
      <c r="AC1843" s="38"/>
      <c r="AD1843" s="38"/>
      <c r="AE1843" s="38"/>
      <c r="AF1843" s="38"/>
      <c r="AG1843" s="38"/>
      <c r="AH1843" s="38"/>
      <c r="AI1843" s="38"/>
      <c r="AJ1843" s="38"/>
      <c r="AK1843" s="38"/>
      <c r="AL1843" s="38"/>
      <c r="AM1843" s="38"/>
      <c r="AN1843" s="38"/>
      <c r="AO1843" s="38"/>
      <c r="AP1843" s="38"/>
      <c r="AQ1843" s="38"/>
      <c r="AR1843" s="38"/>
      <c r="AS1843" s="38"/>
      <c r="AT1843" s="38"/>
      <c r="AU1843" s="38"/>
      <c r="AV1843" s="38"/>
      <c r="AW1843" s="38"/>
      <c r="AX1843" s="38"/>
      <c r="AY1843" s="38"/>
      <c r="AZ1843" s="38"/>
      <c r="BA1843" s="38"/>
      <c r="BB1843" s="38"/>
      <c r="BC1843" s="38"/>
      <c r="BD1843" s="38"/>
      <c r="BE1843" s="38"/>
      <c r="BF1843" s="38"/>
      <c r="BG1843" s="38"/>
      <c r="BH1843" s="38"/>
      <c r="BI1843" s="38"/>
      <c r="BJ1843" s="38"/>
      <c r="BK1843" s="38"/>
      <c r="BL1843" s="38"/>
      <c r="BM1843" s="38"/>
      <c r="BN1843" s="38"/>
      <c r="BO1843" s="38"/>
      <c r="BP1843" s="38"/>
      <c r="BQ1843" s="38"/>
    </row>
    <row r="1844">
      <c r="A1844" s="58"/>
      <c r="B1844" s="341"/>
      <c r="C1844" s="60"/>
      <c r="D1844" s="60"/>
      <c r="E1844" s="58"/>
      <c r="F1844" s="58"/>
      <c r="G1844" s="58"/>
      <c r="H1844" s="33" t="str">
        <f t="shared" si="33"/>
        <v/>
      </c>
      <c r="I1844" s="58"/>
      <c r="J1844" s="58"/>
      <c r="K1844" s="58"/>
      <c r="L1844" s="58"/>
      <c r="M1844" s="80"/>
      <c r="N1844" s="80"/>
      <c r="O1844" s="62"/>
      <c r="P1844" s="62"/>
      <c r="Q1844" s="62"/>
      <c r="R1844" s="62"/>
      <c r="S1844" s="37" t="str">
        <f>IFERROR(__xludf.DUMMYFUNCTION("if(not(iserror(index(split(C1844, "" ""),2))), index(split(C1844, "" ""),1),"""")"),"")</f>
        <v/>
      </c>
      <c r="T1844" s="315" t="str">
        <f>IFERROR(__xludf.DUMMYFUNCTION("if(S1844="""",C1844,if(not(iserror(index(split(C1844, "" ""),3))), index(split(C1844, "" ""),3),index(split(C1844, "" ""),2)))"),"")</f>
        <v/>
      </c>
      <c r="U1844" s="38" t="b">
        <f t="shared" si="34"/>
        <v>0</v>
      </c>
      <c r="V1844" s="38"/>
      <c r="W1844" s="40"/>
      <c r="X1844" s="40"/>
      <c r="Y1844" s="38"/>
      <c r="Z1844" s="38"/>
      <c r="AA1844" s="38"/>
      <c r="AB1844" s="38"/>
      <c r="AC1844" s="38"/>
      <c r="AD1844" s="38"/>
      <c r="AE1844" s="38"/>
      <c r="AF1844" s="38"/>
      <c r="AG1844" s="38"/>
      <c r="AH1844" s="38"/>
      <c r="AI1844" s="38"/>
      <c r="AJ1844" s="38"/>
      <c r="AK1844" s="38"/>
      <c r="AL1844" s="38"/>
      <c r="AM1844" s="38"/>
      <c r="AN1844" s="38"/>
      <c r="AO1844" s="38"/>
      <c r="AP1844" s="38"/>
      <c r="AQ1844" s="38"/>
      <c r="AR1844" s="38"/>
      <c r="AS1844" s="38"/>
      <c r="AT1844" s="38"/>
      <c r="AU1844" s="38"/>
      <c r="AV1844" s="38"/>
      <c r="AW1844" s="38"/>
      <c r="AX1844" s="38"/>
      <c r="AY1844" s="38"/>
      <c r="AZ1844" s="38"/>
      <c r="BA1844" s="38"/>
      <c r="BB1844" s="38"/>
      <c r="BC1844" s="38"/>
      <c r="BD1844" s="38"/>
      <c r="BE1844" s="38"/>
      <c r="BF1844" s="38"/>
      <c r="BG1844" s="38"/>
      <c r="BH1844" s="38"/>
      <c r="BI1844" s="38"/>
      <c r="BJ1844" s="38"/>
      <c r="BK1844" s="38"/>
      <c r="BL1844" s="38"/>
      <c r="BM1844" s="38"/>
      <c r="BN1844" s="38"/>
      <c r="BO1844" s="38"/>
      <c r="BP1844" s="38"/>
      <c r="BQ1844" s="38"/>
    </row>
    <row r="1845">
      <c r="A1845" s="58"/>
      <c r="B1845" s="341"/>
      <c r="C1845" s="60"/>
      <c r="D1845" s="60"/>
      <c r="E1845" s="58"/>
      <c r="F1845" s="58"/>
      <c r="G1845" s="58"/>
      <c r="H1845" s="33" t="str">
        <f t="shared" si="33"/>
        <v/>
      </c>
      <c r="I1845" s="58"/>
      <c r="J1845" s="58"/>
      <c r="K1845" s="58"/>
      <c r="L1845" s="58"/>
      <c r="M1845" s="80"/>
      <c r="N1845" s="80"/>
      <c r="O1845" s="62"/>
      <c r="P1845" s="62"/>
      <c r="Q1845" s="62"/>
      <c r="R1845" s="62"/>
      <c r="S1845" s="37" t="str">
        <f>IFERROR(__xludf.DUMMYFUNCTION("if(not(iserror(index(split(C1845, "" ""),2))), index(split(C1845, "" ""),1),"""")"),"")</f>
        <v/>
      </c>
      <c r="T1845" s="315" t="str">
        <f>IFERROR(__xludf.DUMMYFUNCTION("if(S1845="""",C1845,if(not(iserror(index(split(C1845, "" ""),3))), index(split(C1845, "" ""),3),index(split(C1845, "" ""),2)))"),"")</f>
        <v/>
      </c>
      <c r="U1845" s="38" t="b">
        <f t="shared" si="34"/>
        <v>0</v>
      </c>
      <c r="V1845" s="38"/>
      <c r="W1845" s="40"/>
      <c r="X1845" s="40"/>
      <c r="Y1845" s="38"/>
      <c r="Z1845" s="38"/>
      <c r="AA1845" s="38"/>
      <c r="AB1845" s="38"/>
      <c r="AC1845" s="38"/>
      <c r="AD1845" s="38"/>
      <c r="AE1845" s="38"/>
      <c r="AF1845" s="38"/>
      <c r="AG1845" s="38"/>
      <c r="AH1845" s="38"/>
      <c r="AI1845" s="38"/>
      <c r="AJ1845" s="38"/>
      <c r="AK1845" s="38"/>
      <c r="AL1845" s="38"/>
      <c r="AM1845" s="38"/>
      <c r="AN1845" s="38"/>
      <c r="AO1845" s="38"/>
      <c r="AP1845" s="38"/>
      <c r="AQ1845" s="38"/>
      <c r="AR1845" s="38"/>
      <c r="AS1845" s="38"/>
      <c r="AT1845" s="38"/>
      <c r="AU1845" s="38"/>
      <c r="AV1845" s="38"/>
      <c r="AW1845" s="38"/>
      <c r="AX1845" s="38"/>
      <c r="AY1845" s="38"/>
      <c r="AZ1845" s="38"/>
      <c r="BA1845" s="38"/>
      <c r="BB1845" s="38"/>
      <c r="BC1845" s="38"/>
      <c r="BD1845" s="38"/>
      <c r="BE1845" s="38"/>
      <c r="BF1845" s="38"/>
      <c r="BG1845" s="38"/>
      <c r="BH1845" s="38"/>
      <c r="BI1845" s="38"/>
      <c r="BJ1845" s="38"/>
      <c r="BK1845" s="38"/>
      <c r="BL1845" s="38"/>
      <c r="BM1845" s="38"/>
      <c r="BN1845" s="38"/>
      <c r="BO1845" s="38"/>
      <c r="BP1845" s="38"/>
      <c r="BQ1845" s="38"/>
    </row>
    <row r="1846">
      <c r="A1846" s="58"/>
      <c r="B1846" s="341"/>
      <c r="C1846" s="60"/>
      <c r="D1846" s="60"/>
      <c r="E1846" s="58"/>
      <c r="F1846" s="58"/>
      <c r="G1846" s="58"/>
      <c r="H1846" s="33" t="str">
        <f t="shared" si="33"/>
        <v/>
      </c>
      <c r="I1846" s="58"/>
      <c r="J1846" s="58"/>
      <c r="K1846" s="58"/>
      <c r="L1846" s="58"/>
      <c r="M1846" s="80"/>
      <c r="N1846" s="80"/>
      <c r="O1846" s="62"/>
      <c r="P1846" s="62"/>
      <c r="Q1846" s="62"/>
      <c r="R1846" s="62"/>
      <c r="S1846" s="37" t="str">
        <f>IFERROR(__xludf.DUMMYFUNCTION("if(not(iserror(index(split(C1846, "" ""),2))), index(split(C1846, "" ""),1),"""")"),"")</f>
        <v/>
      </c>
      <c r="T1846" s="315" t="str">
        <f>IFERROR(__xludf.DUMMYFUNCTION("if(S1846="""",C1846,if(not(iserror(index(split(C1846, "" ""),3))), index(split(C1846, "" ""),3),index(split(C1846, "" ""),2)))"),"")</f>
        <v/>
      </c>
      <c r="U1846" s="38" t="b">
        <f t="shared" si="34"/>
        <v>0</v>
      </c>
      <c r="V1846" s="38"/>
      <c r="W1846" s="40"/>
      <c r="X1846" s="40"/>
      <c r="Y1846" s="38"/>
      <c r="Z1846" s="38"/>
      <c r="AA1846" s="38"/>
      <c r="AB1846" s="38"/>
      <c r="AC1846" s="38"/>
      <c r="AD1846" s="38"/>
      <c r="AE1846" s="38"/>
      <c r="AF1846" s="38"/>
      <c r="AG1846" s="38"/>
      <c r="AH1846" s="38"/>
      <c r="AI1846" s="38"/>
      <c r="AJ1846" s="38"/>
      <c r="AK1846" s="38"/>
      <c r="AL1846" s="38"/>
      <c r="AM1846" s="38"/>
      <c r="AN1846" s="38"/>
      <c r="AO1846" s="38"/>
      <c r="AP1846" s="38"/>
      <c r="AQ1846" s="38"/>
      <c r="AR1846" s="38"/>
      <c r="AS1846" s="38"/>
      <c r="AT1846" s="38"/>
      <c r="AU1846" s="38"/>
      <c r="AV1846" s="38"/>
      <c r="AW1846" s="38"/>
      <c r="AX1846" s="38"/>
      <c r="AY1846" s="38"/>
      <c r="AZ1846" s="38"/>
      <c r="BA1846" s="38"/>
      <c r="BB1846" s="38"/>
      <c r="BC1846" s="38"/>
      <c r="BD1846" s="38"/>
      <c r="BE1846" s="38"/>
      <c r="BF1846" s="38"/>
      <c r="BG1846" s="38"/>
      <c r="BH1846" s="38"/>
      <c r="BI1846" s="38"/>
      <c r="BJ1846" s="38"/>
      <c r="BK1846" s="38"/>
      <c r="BL1846" s="38"/>
      <c r="BM1846" s="38"/>
      <c r="BN1846" s="38"/>
      <c r="BO1846" s="38"/>
      <c r="BP1846" s="38"/>
      <c r="BQ1846" s="38"/>
    </row>
    <row r="1847">
      <c r="A1847" s="58"/>
      <c r="B1847" s="341"/>
      <c r="C1847" s="60"/>
      <c r="D1847" s="60"/>
      <c r="E1847" s="58"/>
      <c r="F1847" s="58"/>
      <c r="G1847" s="58"/>
      <c r="H1847" s="33" t="str">
        <f t="shared" si="33"/>
        <v/>
      </c>
      <c r="I1847" s="58"/>
      <c r="J1847" s="58"/>
      <c r="K1847" s="58"/>
      <c r="L1847" s="58"/>
      <c r="M1847" s="80"/>
      <c r="N1847" s="80"/>
      <c r="O1847" s="62"/>
      <c r="P1847" s="62"/>
      <c r="Q1847" s="62"/>
      <c r="R1847" s="62"/>
      <c r="S1847" s="37" t="str">
        <f>IFERROR(__xludf.DUMMYFUNCTION("if(not(iserror(index(split(C1847, "" ""),2))), index(split(C1847, "" ""),1),"""")"),"")</f>
        <v/>
      </c>
      <c r="T1847" s="315" t="str">
        <f>IFERROR(__xludf.DUMMYFUNCTION("if(S1847="""",C1847,if(not(iserror(index(split(C1847, "" ""),3))), index(split(C1847, "" ""),3),index(split(C1847, "" ""),2)))"),"")</f>
        <v/>
      </c>
      <c r="U1847" s="38" t="b">
        <f t="shared" si="34"/>
        <v>0</v>
      </c>
      <c r="V1847" s="38"/>
      <c r="W1847" s="40"/>
      <c r="X1847" s="40"/>
      <c r="Y1847" s="38"/>
      <c r="Z1847" s="38"/>
      <c r="AA1847" s="38"/>
      <c r="AB1847" s="38"/>
      <c r="AC1847" s="38"/>
      <c r="AD1847" s="38"/>
      <c r="AE1847" s="38"/>
      <c r="AF1847" s="38"/>
      <c r="AG1847" s="38"/>
      <c r="AH1847" s="38"/>
      <c r="AI1847" s="38"/>
      <c r="AJ1847" s="38"/>
      <c r="AK1847" s="38"/>
      <c r="AL1847" s="38"/>
      <c r="AM1847" s="38"/>
      <c r="AN1847" s="38"/>
      <c r="AO1847" s="38"/>
      <c r="AP1847" s="38"/>
      <c r="AQ1847" s="38"/>
      <c r="AR1847" s="38"/>
      <c r="AS1847" s="38"/>
      <c r="AT1847" s="38"/>
      <c r="AU1847" s="38"/>
      <c r="AV1847" s="38"/>
      <c r="AW1847" s="38"/>
      <c r="AX1847" s="38"/>
      <c r="AY1847" s="38"/>
      <c r="AZ1847" s="38"/>
      <c r="BA1847" s="38"/>
      <c r="BB1847" s="38"/>
      <c r="BC1847" s="38"/>
      <c r="BD1847" s="38"/>
      <c r="BE1847" s="38"/>
      <c r="BF1847" s="38"/>
      <c r="BG1847" s="38"/>
      <c r="BH1847" s="38"/>
      <c r="BI1847" s="38"/>
      <c r="BJ1847" s="38"/>
      <c r="BK1847" s="38"/>
      <c r="BL1847" s="38"/>
      <c r="BM1847" s="38"/>
      <c r="BN1847" s="38"/>
      <c r="BO1847" s="38"/>
      <c r="BP1847" s="38"/>
      <c r="BQ1847" s="38"/>
    </row>
    <row r="1848">
      <c r="A1848" s="58"/>
      <c r="B1848" s="341"/>
      <c r="C1848" s="60"/>
      <c r="D1848" s="60"/>
      <c r="E1848" s="58"/>
      <c r="F1848" s="58"/>
      <c r="G1848" s="58"/>
      <c r="H1848" s="33" t="str">
        <f t="shared" si="33"/>
        <v/>
      </c>
      <c r="I1848" s="58"/>
      <c r="J1848" s="58"/>
      <c r="K1848" s="58"/>
      <c r="L1848" s="58"/>
      <c r="M1848" s="80"/>
      <c r="N1848" s="80"/>
      <c r="O1848" s="62"/>
      <c r="P1848" s="62"/>
      <c r="Q1848" s="62"/>
      <c r="R1848" s="62"/>
      <c r="S1848" s="37" t="str">
        <f>IFERROR(__xludf.DUMMYFUNCTION("if(not(iserror(index(split(C1848, "" ""),2))), index(split(C1848, "" ""),1),"""")"),"")</f>
        <v/>
      </c>
      <c r="T1848" s="315" t="str">
        <f>IFERROR(__xludf.DUMMYFUNCTION("if(S1848="""",C1848,if(not(iserror(index(split(C1848, "" ""),3))), index(split(C1848, "" ""),3),index(split(C1848, "" ""),2)))"),"")</f>
        <v/>
      </c>
      <c r="U1848" s="38" t="b">
        <f t="shared" si="34"/>
        <v>0</v>
      </c>
      <c r="V1848" s="38"/>
      <c r="W1848" s="40"/>
      <c r="X1848" s="40"/>
      <c r="Y1848" s="38"/>
      <c r="Z1848" s="38"/>
      <c r="AA1848" s="38"/>
      <c r="AB1848" s="38"/>
      <c r="AC1848" s="38"/>
      <c r="AD1848" s="38"/>
      <c r="AE1848" s="38"/>
      <c r="AF1848" s="38"/>
      <c r="AG1848" s="38"/>
      <c r="AH1848" s="38"/>
      <c r="AI1848" s="38"/>
      <c r="AJ1848" s="38"/>
      <c r="AK1848" s="38"/>
      <c r="AL1848" s="38"/>
      <c r="AM1848" s="38"/>
      <c r="AN1848" s="38"/>
      <c r="AO1848" s="38"/>
      <c r="AP1848" s="38"/>
      <c r="AQ1848" s="38"/>
      <c r="AR1848" s="38"/>
      <c r="AS1848" s="38"/>
      <c r="AT1848" s="38"/>
      <c r="AU1848" s="38"/>
      <c r="AV1848" s="38"/>
      <c r="AW1848" s="38"/>
      <c r="AX1848" s="38"/>
      <c r="AY1848" s="38"/>
      <c r="AZ1848" s="38"/>
      <c r="BA1848" s="38"/>
      <c r="BB1848" s="38"/>
      <c r="BC1848" s="38"/>
      <c r="BD1848" s="38"/>
      <c r="BE1848" s="38"/>
      <c r="BF1848" s="38"/>
      <c r="BG1848" s="38"/>
      <c r="BH1848" s="38"/>
      <c r="BI1848" s="38"/>
      <c r="BJ1848" s="38"/>
      <c r="BK1848" s="38"/>
      <c r="BL1848" s="38"/>
      <c r="BM1848" s="38"/>
      <c r="BN1848" s="38"/>
      <c r="BO1848" s="38"/>
      <c r="BP1848" s="38"/>
      <c r="BQ1848" s="38"/>
    </row>
    <row r="1849">
      <c r="A1849" s="58"/>
      <c r="B1849" s="341"/>
      <c r="C1849" s="60"/>
      <c r="D1849" s="60"/>
      <c r="E1849" s="58"/>
      <c r="F1849" s="58"/>
      <c r="G1849" s="58"/>
      <c r="H1849" s="33" t="str">
        <f t="shared" si="33"/>
        <v/>
      </c>
      <c r="I1849" s="58"/>
      <c r="J1849" s="58"/>
      <c r="K1849" s="58"/>
      <c r="L1849" s="58"/>
      <c r="M1849" s="80"/>
      <c r="N1849" s="80"/>
      <c r="O1849" s="62"/>
      <c r="P1849" s="62"/>
      <c r="Q1849" s="62"/>
      <c r="R1849" s="62"/>
      <c r="S1849" s="37" t="str">
        <f>IFERROR(__xludf.DUMMYFUNCTION("if(not(iserror(index(split(C1849, "" ""),2))), index(split(C1849, "" ""),1),"""")"),"")</f>
        <v/>
      </c>
      <c r="T1849" s="315" t="str">
        <f>IFERROR(__xludf.DUMMYFUNCTION("if(S1849="""",C1849,if(not(iserror(index(split(C1849, "" ""),3))), index(split(C1849, "" ""),3),index(split(C1849, "" ""),2)))"),"")</f>
        <v/>
      </c>
      <c r="U1849" s="38" t="b">
        <f t="shared" si="34"/>
        <v>0</v>
      </c>
      <c r="V1849" s="38"/>
      <c r="W1849" s="40"/>
      <c r="X1849" s="40"/>
      <c r="Y1849" s="38"/>
      <c r="Z1849" s="38"/>
      <c r="AA1849" s="38"/>
      <c r="AB1849" s="38"/>
      <c r="AC1849" s="38"/>
      <c r="AD1849" s="38"/>
      <c r="AE1849" s="38"/>
      <c r="AF1849" s="38"/>
      <c r="AG1849" s="38"/>
      <c r="AH1849" s="38"/>
      <c r="AI1849" s="38"/>
      <c r="AJ1849" s="38"/>
      <c r="AK1849" s="38"/>
      <c r="AL1849" s="38"/>
      <c r="AM1849" s="38"/>
      <c r="AN1849" s="38"/>
      <c r="AO1849" s="38"/>
      <c r="AP1849" s="38"/>
      <c r="AQ1849" s="38"/>
      <c r="AR1849" s="38"/>
      <c r="AS1849" s="38"/>
      <c r="AT1849" s="38"/>
      <c r="AU1849" s="38"/>
      <c r="AV1849" s="38"/>
      <c r="AW1849" s="38"/>
      <c r="AX1849" s="38"/>
      <c r="AY1849" s="38"/>
      <c r="AZ1849" s="38"/>
      <c r="BA1849" s="38"/>
      <c r="BB1849" s="38"/>
      <c r="BC1849" s="38"/>
      <c r="BD1849" s="38"/>
      <c r="BE1849" s="38"/>
      <c r="BF1849" s="38"/>
      <c r="BG1849" s="38"/>
      <c r="BH1849" s="38"/>
      <c r="BI1849" s="38"/>
      <c r="BJ1849" s="38"/>
      <c r="BK1849" s="38"/>
      <c r="BL1849" s="38"/>
      <c r="BM1849" s="38"/>
      <c r="BN1849" s="38"/>
      <c r="BO1849" s="38"/>
      <c r="BP1849" s="38"/>
      <c r="BQ1849" s="38"/>
    </row>
    <row r="1850">
      <c r="A1850" s="58"/>
      <c r="B1850" s="341"/>
      <c r="C1850" s="60"/>
      <c r="D1850" s="60"/>
      <c r="E1850" s="58"/>
      <c r="F1850" s="58"/>
      <c r="G1850" s="58"/>
      <c r="H1850" s="33" t="str">
        <f t="shared" si="33"/>
        <v/>
      </c>
      <c r="I1850" s="58"/>
      <c r="J1850" s="58"/>
      <c r="K1850" s="58"/>
      <c r="L1850" s="58"/>
      <c r="M1850" s="80"/>
      <c r="N1850" s="80"/>
      <c r="O1850" s="62"/>
      <c r="P1850" s="62"/>
      <c r="Q1850" s="62"/>
      <c r="R1850" s="62"/>
      <c r="S1850" s="37" t="str">
        <f>IFERROR(__xludf.DUMMYFUNCTION("if(not(iserror(index(split(C1850, "" ""),2))), index(split(C1850, "" ""),1),"""")"),"")</f>
        <v/>
      </c>
      <c r="T1850" s="315" t="str">
        <f>IFERROR(__xludf.DUMMYFUNCTION("if(S1850="""",C1850,if(not(iserror(index(split(C1850, "" ""),3))), index(split(C1850, "" ""),3),index(split(C1850, "" ""),2)))"),"")</f>
        <v/>
      </c>
      <c r="U1850" s="38" t="b">
        <f t="shared" si="34"/>
        <v>0</v>
      </c>
      <c r="V1850" s="38"/>
      <c r="W1850" s="40"/>
      <c r="X1850" s="40"/>
      <c r="Y1850" s="38"/>
      <c r="Z1850" s="38"/>
      <c r="AA1850" s="38"/>
      <c r="AB1850" s="38"/>
      <c r="AC1850" s="38"/>
      <c r="AD1850" s="38"/>
      <c r="AE1850" s="38"/>
      <c r="AF1850" s="38"/>
      <c r="AG1850" s="38"/>
      <c r="AH1850" s="38"/>
      <c r="AI1850" s="38"/>
      <c r="AJ1850" s="38"/>
      <c r="AK1850" s="38"/>
      <c r="AL1850" s="38"/>
      <c r="AM1850" s="38"/>
      <c r="AN1850" s="38"/>
      <c r="AO1850" s="38"/>
      <c r="AP1850" s="38"/>
      <c r="AQ1850" s="38"/>
      <c r="AR1850" s="38"/>
      <c r="AS1850" s="38"/>
      <c r="AT1850" s="38"/>
      <c r="AU1850" s="38"/>
      <c r="AV1850" s="38"/>
      <c r="AW1850" s="38"/>
      <c r="AX1850" s="38"/>
      <c r="AY1850" s="38"/>
      <c r="AZ1850" s="38"/>
      <c r="BA1850" s="38"/>
      <c r="BB1850" s="38"/>
      <c r="BC1850" s="38"/>
      <c r="BD1850" s="38"/>
      <c r="BE1850" s="38"/>
      <c r="BF1850" s="38"/>
      <c r="BG1850" s="38"/>
      <c r="BH1850" s="38"/>
      <c r="BI1850" s="38"/>
      <c r="BJ1850" s="38"/>
      <c r="BK1850" s="38"/>
      <c r="BL1850" s="38"/>
      <c r="BM1850" s="38"/>
      <c r="BN1850" s="38"/>
      <c r="BO1850" s="38"/>
      <c r="BP1850" s="38"/>
      <c r="BQ1850" s="38"/>
    </row>
    <row r="1851">
      <c r="A1851" s="58"/>
      <c r="B1851" s="341"/>
      <c r="C1851" s="60"/>
      <c r="D1851" s="60"/>
      <c r="E1851" s="58"/>
      <c r="F1851" s="58"/>
      <c r="G1851" s="58"/>
      <c r="H1851" s="33" t="str">
        <f t="shared" si="33"/>
        <v/>
      </c>
      <c r="I1851" s="58"/>
      <c r="J1851" s="58"/>
      <c r="K1851" s="58"/>
      <c r="L1851" s="58"/>
      <c r="M1851" s="80"/>
      <c r="N1851" s="80"/>
      <c r="O1851" s="62"/>
      <c r="P1851" s="62"/>
      <c r="Q1851" s="62"/>
      <c r="R1851" s="62"/>
      <c r="S1851" s="37" t="str">
        <f>IFERROR(__xludf.DUMMYFUNCTION("if(not(iserror(index(split(C1851, "" ""),2))), index(split(C1851, "" ""),1),"""")"),"")</f>
        <v/>
      </c>
      <c r="T1851" s="315" t="str">
        <f>IFERROR(__xludf.DUMMYFUNCTION("if(S1851="""",C1851,if(not(iserror(index(split(C1851, "" ""),3))), index(split(C1851, "" ""),3),index(split(C1851, "" ""),2)))"),"")</f>
        <v/>
      </c>
      <c r="U1851" s="38" t="b">
        <f t="shared" si="34"/>
        <v>0</v>
      </c>
      <c r="V1851" s="38"/>
      <c r="W1851" s="40"/>
      <c r="X1851" s="40"/>
      <c r="Y1851" s="38"/>
      <c r="Z1851" s="38"/>
      <c r="AA1851" s="38"/>
      <c r="AB1851" s="38"/>
      <c r="AC1851" s="38"/>
      <c r="AD1851" s="38"/>
      <c r="AE1851" s="38"/>
      <c r="AF1851" s="38"/>
      <c r="AG1851" s="38"/>
      <c r="AH1851" s="38"/>
      <c r="AI1851" s="38"/>
      <c r="AJ1851" s="38"/>
      <c r="AK1851" s="38"/>
      <c r="AL1851" s="38"/>
      <c r="AM1851" s="38"/>
      <c r="AN1851" s="38"/>
      <c r="AO1851" s="38"/>
      <c r="AP1851" s="38"/>
      <c r="AQ1851" s="38"/>
      <c r="AR1851" s="38"/>
      <c r="AS1851" s="38"/>
      <c r="AT1851" s="38"/>
      <c r="AU1851" s="38"/>
      <c r="AV1851" s="38"/>
      <c r="AW1851" s="38"/>
      <c r="AX1851" s="38"/>
      <c r="AY1851" s="38"/>
      <c r="AZ1851" s="38"/>
      <c r="BA1851" s="38"/>
      <c r="BB1851" s="38"/>
      <c r="BC1851" s="38"/>
      <c r="BD1851" s="38"/>
      <c r="BE1851" s="38"/>
      <c r="BF1851" s="38"/>
      <c r="BG1851" s="38"/>
      <c r="BH1851" s="38"/>
      <c r="BI1851" s="38"/>
      <c r="BJ1851" s="38"/>
      <c r="BK1851" s="38"/>
      <c r="BL1851" s="38"/>
      <c r="BM1851" s="38"/>
      <c r="BN1851" s="38"/>
      <c r="BO1851" s="38"/>
      <c r="BP1851" s="38"/>
      <c r="BQ1851" s="38"/>
    </row>
    <row r="1852">
      <c r="A1852" s="58"/>
      <c r="B1852" s="341"/>
      <c r="C1852" s="60"/>
      <c r="D1852" s="60"/>
      <c r="E1852" s="58"/>
      <c r="F1852" s="58"/>
      <c r="G1852" s="58"/>
      <c r="H1852" s="33" t="str">
        <f t="shared" si="33"/>
        <v/>
      </c>
      <c r="I1852" s="58"/>
      <c r="J1852" s="58"/>
      <c r="K1852" s="58"/>
      <c r="L1852" s="58"/>
      <c r="M1852" s="80"/>
      <c r="N1852" s="80"/>
      <c r="O1852" s="58"/>
      <c r="P1852" s="58"/>
      <c r="Q1852" s="84"/>
      <c r="R1852" s="62"/>
      <c r="S1852" s="37" t="str">
        <f>IFERROR(__xludf.DUMMYFUNCTION("if(not(iserror(index(split(C1852, "" ""),2))), index(split(C1852, "" ""),1),"""")"),"")</f>
        <v/>
      </c>
      <c r="T1852" s="315" t="str">
        <f>IFERROR(__xludf.DUMMYFUNCTION("if(S1852="""",C1852,if(not(iserror(index(split(C1852, "" ""),3))), index(split(C1852, "" ""),3),index(split(C1852, "" ""),2)))"),"")</f>
        <v/>
      </c>
      <c r="U1852" s="38" t="b">
        <f t="shared" si="34"/>
        <v>0</v>
      </c>
      <c r="V1852" s="38"/>
      <c r="W1852" s="40"/>
      <c r="X1852" s="40"/>
      <c r="Y1852" s="38"/>
      <c r="Z1852" s="38"/>
      <c r="AA1852" s="38"/>
      <c r="AB1852" s="38"/>
      <c r="AC1852" s="38"/>
      <c r="AD1852" s="38"/>
      <c r="AE1852" s="38"/>
      <c r="AF1852" s="38"/>
      <c r="AG1852" s="38"/>
      <c r="AH1852" s="38"/>
      <c r="AI1852" s="38"/>
      <c r="AJ1852" s="38"/>
      <c r="AK1852" s="38"/>
      <c r="AL1852" s="38"/>
      <c r="AM1852" s="38"/>
      <c r="AN1852" s="38"/>
      <c r="AO1852" s="38"/>
      <c r="AP1852" s="38"/>
      <c r="AQ1852" s="38"/>
      <c r="AR1852" s="38"/>
      <c r="AS1852" s="38"/>
      <c r="AT1852" s="38"/>
      <c r="AU1852" s="38"/>
      <c r="AV1852" s="38"/>
      <c r="AW1852" s="38"/>
      <c r="AX1852" s="38"/>
      <c r="AY1852" s="38"/>
      <c r="AZ1852" s="38"/>
      <c r="BA1852" s="38"/>
      <c r="BB1852" s="38"/>
      <c r="BC1852" s="38"/>
      <c r="BD1852" s="38"/>
      <c r="BE1852" s="38"/>
      <c r="BF1852" s="38"/>
      <c r="BG1852" s="38"/>
      <c r="BH1852" s="38"/>
      <c r="BI1852" s="38"/>
      <c r="BJ1852" s="38"/>
      <c r="BK1852" s="38"/>
      <c r="BL1852" s="38"/>
      <c r="BM1852" s="38"/>
      <c r="BN1852" s="38"/>
      <c r="BO1852" s="38"/>
      <c r="BP1852" s="38"/>
      <c r="BQ1852" s="38"/>
    </row>
    <row r="1853">
      <c r="A1853" s="58"/>
      <c r="B1853" s="341"/>
      <c r="C1853" s="60"/>
      <c r="D1853" s="60"/>
      <c r="E1853" s="58"/>
      <c r="F1853" s="58"/>
      <c r="G1853" s="58"/>
      <c r="H1853" s="33" t="str">
        <f t="shared" si="33"/>
        <v/>
      </c>
      <c r="I1853" s="58"/>
      <c r="J1853" s="58"/>
      <c r="K1853" s="58"/>
      <c r="L1853" s="58"/>
      <c r="M1853" s="80"/>
      <c r="N1853" s="80"/>
      <c r="O1853" s="58"/>
      <c r="P1853" s="58"/>
      <c r="Q1853" s="84"/>
      <c r="R1853" s="62"/>
      <c r="S1853" s="37" t="str">
        <f>IFERROR(__xludf.DUMMYFUNCTION("if(not(iserror(index(split(C1853, "" ""),2))), index(split(C1853, "" ""),1),"""")"),"")</f>
        <v/>
      </c>
      <c r="T1853" s="315" t="str">
        <f>IFERROR(__xludf.DUMMYFUNCTION("if(S1853="""",C1853,if(not(iserror(index(split(C1853, "" ""),3))), index(split(C1853, "" ""),3),index(split(C1853, "" ""),2)))"),"")</f>
        <v/>
      </c>
      <c r="U1853" s="38" t="b">
        <f t="shared" si="34"/>
        <v>0</v>
      </c>
      <c r="V1853" s="38"/>
      <c r="W1853" s="40"/>
      <c r="X1853" s="40"/>
      <c r="Y1853" s="38"/>
      <c r="Z1853" s="38"/>
      <c r="AA1853" s="38"/>
      <c r="AB1853" s="38"/>
      <c r="AC1853" s="38"/>
      <c r="AD1853" s="38"/>
      <c r="AE1853" s="38"/>
      <c r="AF1853" s="38"/>
      <c r="AG1853" s="38"/>
      <c r="AH1853" s="38"/>
      <c r="AI1853" s="38"/>
      <c r="AJ1853" s="38"/>
      <c r="AK1853" s="38"/>
      <c r="AL1853" s="38"/>
      <c r="AM1853" s="38"/>
      <c r="AN1853" s="38"/>
      <c r="AO1853" s="38"/>
      <c r="AP1853" s="38"/>
      <c r="AQ1853" s="38"/>
      <c r="AR1853" s="38"/>
      <c r="AS1853" s="38"/>
      <c r="AT1853" s="38"/>
      <c r="AU1853" s="38"/>
      <c r="AV1853" s="38"/>
      <c r="AW1853" s="38"/>
      <c r="AX1853" s="38"/>
      <c r="AY1853" s="38"/>
      <c r="AZ1853" s="38"/>
      <c r="BA1853" s="38"/>
      <c r="BB1853" s="38"/>
      <c r="BC1853" s="38"/>
      <c r="BD1853" s="38"/>
      <c r="BE1853" s="38"/>
      <c r="BF1853" s="38"/>
      <c r="BG1853" s="38"/>
      <c r="BH1853" s="38"/>
      <c r="BI1853" s="38"/>
      <c r="BJ1853" s="38"/>
      <c r="BK1853" s="38"/>
      <c r="BL1853" s="38"/>
      <c r="BM1853" s="38"/>
      <c r="BN1853" s="38"/>
      <c r="BO1853" s="38"/>
      <c r="BP1853" s="38"/>
      <c r="BQ1853" s="38"/>
    </row>
    <row r="1854">
      <c r="A1854" s="58"/>
      <c r="B1854" s="341"/>
      <c r="C1854" s="60"/>
      <c r="D1854" s="60"/>
      <c r="E1854" s="58"/>
      <c r="F1854" s="58"/>
      <c r="G1854" s="58"/>
      <c r="H1854" s="33" t="str">
        <f t="shared" si="33"/>
        <v/>
      </c>
      <c r="I1854" s="58"/>
      <c r="J1854" s="58"/>
      <c r="K1854" s="58"/>
      <c r="L1854" s="58"/>
      <c r="M1854" s="80"/>
      <c r="N1854" s="80"/>
      <c r="O1854" s="58"/>
      <c r="P1854" s="58"/>
      <c r="Q1854" s="84"/>
      <c r="R1854" s="62"/>
      <c r="S1854" s="37" t="str">
        <f>IFERROR(__xludf.DUMMYFUNCTION("if(not(iserror(index(split(C1854, "" ""),2))), index(split(C1854, "" ""),1),"""")"),"")</f>
        <v/>
      </c>
      <c r="T1854" s="315" t="str">
        <f>IFERROR(__xludf.DUMMYFUNCTION("if(S1854="""",C1854,if(not(iserror(index(split(C1854, "" ""),3))), index(split(C1854, "" ""),3),index(split(C1854, "" ""),2)))"),"")</f>
        <v/>
      </c>
      <c r="U1854" s="38" t="b">
        <f t="shared" si="34"/>
        <v>0</v>
      </c>
      <c r="V1854" s="38"/>
      <c r="W1854" s="40"/>
      <c r="X1854" s="40"/>
      <c r="Y1854" s="38"/>
      <c r="Z1854" s="38"/>
      <c r="AA1854" s="38"/>
      <c r="AB1854" s="38"/>
      <c r="AC1854" s="38"/>
      <c r="AD1854" s="38"/>
      <c r="AE1854" s="38"/>
      <c r="AF1854" s="38"/>
      <c r="AG1854" s="38"/>
      <c r="AH1854" s="38"/>
      <c r="AI1854" s="38"/>
      <c r="AJ1854" s="38"/>
      <c r="AK1854" s="38"/>
      <c r="AL1854" s="38"/>
      <c r="AM1854" s="38"/>
      <c r="AN1854" s="38"/>
      <c r="AO1854" s="38"/>
      <c r="AP1854" s="38"/>
      <c r="AQ1854" s="38"/>
      <c r="AR1854" s="38"/>
      <c r="AS1854" s="38"/>
      <c r="AT1854" s="38"/>
      <c r="AU1854" s="38"/>
      <c r="AV1854" s="38"/>
      <c r="AW1854" s="38"/>
      <c r="AX1854" s="38"/>
      <c r="AY1854" s="38"/>
      <c r="AZ1854" s="38"/>
      <c r="BA1854" s="38"/>
      <c r="BB1854" s="38"/>
      <c r="BC1854" s="38"/>
      <c r="BD1854" s="38"/>
      <c r="BE1854" s="38"/>
      <c r="BF1854" s="38"/>
      <c r="BG1854" s="38"/>
      <c r="BH1854" s="38"/>
      <c r="BI1854" s="38"/>
      <c r="BJ1854" s="38"/>
      <c r="BK1854" s="38"/>
      <c r="BL1854" s="38"/>
      <c r="BM1854" s="38"/>
      <c r="BN1854" s="38"/>
      <c r="BO1854" s="38"/>
      <c r="BP1854" s="38"/>
      <c r="BQ1854" s="38"/>
    </row>
    <row r="1855">
      <c r="A1855" s="58"/>
      <c r="B1855" s="341"/>
      <c r="C1855" s="60"/>
      <c r="D1855" s="60"/>
      <c r="E1855" s="58"/>
      <c r="F1855" s="58"/>
      <c r="G1855" s="58"/>
      <c r="H1855" s="33" t="str">
        <f t="shared" si="33"/>
        <v/>
      </c>
      <c r="I1855" s="58"/>
      <c r="J1855" s="58"/>
      <c r="K1855" s="58"/>
      <c r="L1855" s="58"/>
      <c r="M1855" s="80"/>
      <c r="N1855" s="77"/>
      <c r="O1855" s="58"/>
      <c r="P1855" s="58"/>
      <c r="Q1855" s="84"/>
      <c r="R1855" s="62"/>
      <c r="S1855" s="37" t="str">
        <f>IFERROR(__xludf.DUMMYFUNCTION("if(not(iserror(index(split(C1855, "" ""),2))), index(split(C1855, "" ""),1),"""")"),"")</f>
        <v/>
      </c>
      <c r="T1855" s="315" t="str">
        <f>IFERROR(__xludf.DUMMYFUNCTION("if(S1855="""",C1855,if(not(iserror(index(split(C1855, "" ""),3))), index(split(C1855, "" ""),3),index(split(C1855, "" ""),2)))"),"")</f>
        <v/>
      </c>
      <c r="U1855" s="38" t="b">
        <f t="shared" si="34"/>
        <v>0</v>
      </c>
      <c r="V1855" s="38"/>
      <c r="W1855" s="40"/>
      <c r="X1855" s="40"/>
      <c r="Y1855" s="38"/>
      <c r="Z1855" s="38"/>
      <c r="AA1855" s="38"/>
      <c r="AB1855" s="38"/>
      <c r="AC1855" s="38"/>
      <c r="AD1855" s="38"/>
      <c r="AE1855" s="38"/>
      <c r="AF1855" s="38"/>
      <c r="AG1855" s="38"/>
      <c r="AH1855" s="38"/>
      <c r="AI1855" s="38"/>
      <c r="AJ1855" s="38"/>
      <c r="AK1855" s="38"/>
      <c r="AL1855" s="38"/>
      <c r="AM1855" s="38"/>
      <c r="AN1855" s="38"/>
      <c r="AO1855" s="38"/>
      <c r="AP1855" s="38"/>
      <c r="AQ1855" s="38"/>
      <c r="AR1855" s="38"/>
      <c r="AS1855" s="38"/>
      <c r="AT1855" s="38"/>
      <c r="AU1855" s="38"/>
      <c r="AV1855" s="38"/>
      <c r="AW1855" s="38"/>
      <c r="AX1855" s="38"/>
      <c r="AY1855" s="38"/>
      <c r="AZ1855" s="38"/>
      <c r="BA1855" s="38"/>
      <c r="BB1855" s="38"/>
      <c r="BC1855" s="38"/>
      <c r="BD1855" s="38"/>
      <c r="BE1855" s="38"/>
      <c r="BF1855" s="38"/>
      <c r="BG1855" s="38"/>
      <c r="BH1855" s="38"/>
      <c r="BI1855" s="38"/>
      <c r="BJ1855" s="38"/>
      <c r="BK1855" s="38"/>
      <c r="BL1855" s="38"/>
      <c r="BM1855" s="38"/>
      <c r="BN1855" s="38"/>
      <c r="BO1855" s="38"/>
      <c r="BP1855" s="38"/>
      <c r="BQ1855" s="38"/>
    </row>
    <row r="1856">
      <c r="A1856" s="58"/>
      <c r="B1856" s="341"/>
      <c r="C1856" s="60"/>
      <c r="D1856" s="60"/>
      <c r="E1856" s="58"/>
      <c r="F1856" s="58"/>
      <c r="G1856" s="58"/>
      <c r="H1856" s="33" t="str">
        <f t="shared" si="33"/>
        <v/>
      </c>
      <c r="I1856" s="58"/>
      <c r="J1856" s="58"/>
      <c r="K1856" s="58"/>
      <c r="L1856" s="58"/>
      <c r="M1856" s="80"/>
      <c r="N1856" s="77"/>
      <c r="O1856" s="62"/>
      <c r="P1856" s="62"/>
      <c r="Q1856" s="62"/>
      <c r="R1856" s="62"/>
      <c r="S1856" s="37" t="str">
        <f>IFERROR(__xludf.DUMMYFUNCTION("if(not(iserror(index(split(C1856, "" ""),2))), index(split(C1856, "" ""),1),"""")"),"")</f>
        <v/>
      </c>
      <c r="T1856" s="315" t="str">
        <f>IFERROR(__xludf.DUMMYFUNCTION("if(S1856="""",C1856,if(not(iserror(index(split(C1856, "" ""),3))), index(split(C1856, "" ""),3),index(split(C1856, "" ""),2)))"),"")</f>
        <v/>
      </c>
      <c r="U1856" s="38" t="b">
        <f t="shared" si="34"/>
        <v>0</v>
      </c>
      <c r="V1856" s="38"/>
      <c r="W1856" s="40"/>
      <c r="X1856" s="40"/>
      <c r="Y1856" s="38"/>
      <c r="Z1856" s="38"/>
      <c r="AA1856" s="38"/>
      <c r="AB1856" s="38"/>
      <c r="AC1856" s="38"/>
      <c r="AD1856" s="38"/>
      <c r="AE1856" s="38"/>
      <c r="AF1856" s="38"/>
      <c r="AG1856" s="38"/>
      <c r="AH1856" s="38"/>
      <c r="AI1856" s="38"/>
      <c r="AJ1856" s="38"/>
      <c r="AK1856" s="38"/>
      <c r="AL1856" s="38"/>
      <c r="AM1856" s="38"/>
      <c r="AN1856" s="38"/>
      <c r="AO1856" s="38"/>
      <c r="AP1856" s="38"/>
      <c r="AQ1856" s="38"/>
      <c r="AR1856" s="38"/>
      <c r="AS1856" s="38"/>
      <c r="AT1856" s="38"/>
      <c r="AU1856" s="38"/>
      <c r="AV1856" s="38"/>
      <c r="AW1856" s="38"/>
      <c r="AX1856" s="38"/>
      <c r="AY1856" s="38"/>
      <c r="AZ1856" s="38"/>
      <c r="BA1856" s="38"/>
      <c r="BB1856" s="38"/>
      <c r="BC1856" s="38"/>
      <c r="BD1856" s="38"/>
      <c r="BE1856" s="38"/>
      <c r="BF1856" s="38"/>
      <c r="BG1856" s="38"/>
      <c r="BH1856" s="38"/>
      <c r="BI1856" s="38"/>
      <c r="BJ1856" s="38"/>
      <c r="BK1856" s="38"/>
      <c r="BL1856" s="38"/>
      <c r="BM1856" s="38"/>
      <c r="BN1856" s="38"/>
      <c r="BO1856" s="38"/>
      <c r="BP1856" s="38"/>
      <c r="BQ1856" s="38"/>
    </row>
    <row r="1857">
      <c r="A1857" s="58"/>
      <c r="B1857" s="405"/>
      <c r="C1857" s="60"/>
      <c r="D1857" s="60"/>
      <c r="E1857" s="58"/>
      <c r="F1857" s="58"/>
      <c r="G1857" s="58"/>
      <c r="H1857" s="33" t="str">
        <f t="shared" si="33"/>
        <v/>
      </c>
      <c r="I1857" s="58"/>
      <c r="J1857" s="58"/>
      <c r="K1857" s="58"/>
      <c r="L1857" s="58"/>
      <c r="M1857" s="80"/>
      <c r="N1857" s="77"/>
      <c r="O1857" s="62"/>
      <c r="P1857" s="62"/>
      <c r="Q1857" s="62"/>
      <c r="R1857" s="62"/>
      <c r="S1857" s="37" t="str">
        <f>IFERROR(__xludf.DUMMYFUNCTION("if(not(iserror(index(split(C1857, "" ""),2))), index(split(C1857, "" ""),1),"""")"),"")</f>
        <v/>
      </c>
      <c r="T1857" s="315" t="str">
        <f>IFERROR(__xludf.DUMMYFUNCTION("if(S1857="""",C1857,if(not(iserror(index(split(C1857, "" ""),3))), index(split(C1857, "" ""),3),index(split(C1857, "" ""),2)))"),"")</f>
        <v/>
      </c>
      <c r="U1857" s="38" t="b">
        <f t="shared" si="34"/>
        <v>0</v>
      </c>
      <c r="V1857" s="38"/>
      <c r="W1857" s="40"/>
      <c r="X1857" s="40"/>
      <c r="Y1857" s="38"/>
      <c r="Z1857" s="38"/>
      <c r="AA1857" s="38"/>
      <c r="AB1857" s="38"/>
      <c r="AC1857" s="38"/>
      <c r="AD1857" s="38"/>
      <c r="AE1857" s="38"/>
      <c r="AF1857" s="38"/>
      <c r="AG1857" s="38"/>
      <c r="AH1857" s="38"/>
      <c r="AI1857" s="38"/>
      <c r="AJ1857" s="38"/>
      <c r="AK1857" s="38"/>
      <c r="AL1857" s="38"/>
      <c r="AM1857" s="38"/>
      <c r="AN1857" s="38"/>
      <c r="AO1857" s="38"/>
      <c r="AP1857" s="38"/>
      <c r="AQ1857" s="38"/>
      <c r="AR1857" s="38"/>
      <c r="AS1857" s="38"/>
      <c r="AT1857" s="38"/>
      <c r="AU1857" s="38"/>
      <c r="AV1857" s="38"/>
      <c r="AW1857" s="38"/>
      <c r="AX1857" s="38"/>
      <c r="AY1857" s="38"/>
      <c r="AZ1857" s="38"/>
      <c r="BA1857" s="38"/>
      <c r="BB1857" s="38"/>
      <c r="BC1857" s="38"/>
      <c r="BD1857" s="38"/>
      <c r="BE1857" s="38"/>
      <c r="BF1857" s="38"/>
      <c r="BG1857" s="38"/>
      <c r="BH1857" s="38"/>
      <c r="BI1857" s="38"/>
      <c r="BJ1857" s="38"/>
      <c r="BK1857" s="38"/>
      <c r="BL1857" s="38"/>
      <c r="BM1857" s="38"/>
      <c r="BN1857" s="38"/>
      <c r="BO1857" s="38"/>
      <c r="BP1857" s="38"/>
      <c r="BQ1857" s="38"/>
    </row>
    <row r="1858">
      <c r="A1858" s="58"/>
      <c r="B1858" s="341"/>
      <c r="C1858" s="60"/>
      <c r="D1858" s="60"/>
      <c r="E1858" s="58"/>
      <c r="F1858" s="58"/>
      <c r="G1858" s="58"/>
      <c r="H1858" s="33" t="str">
        <f t="shared" si="33"/>
        <v/>
      </c>
      <c r="I1858" s="58"/>
      <c r="J1858" s="58"/>
      <c r="K1858" s="58"/>
      <c r="L1858" s="58"/>
      <c r="M1858" s="80"/>
      <c r="N1858" s="77"/>
      <c r="O1858" s="62"/>
      <c r="P1858" s="62"/>
      <c r="Q1858" s="62"/>
      <c r="R1858" s="62"/>
      <c r="S1858" s="37" t="str">
        <f>IFERROR(__xludf.DUMMYFUNCTION("if(not(iserror(index(split(C1858, "" ""),2))), index(split(C1858, "" ""),1),"""")"),"")</f>
        <v/>
      </c>
      <c r="T1858" s="315" t="str">
        <f>IFERROR(__xludf.DUMMYFUNCTION("if(S1858="""",C1858,if(not(iserror(index(split(C1858, "" ""),3))), index(split(C1858, "" ""),3),index(split(C1858, "" ""),2)))"),"")</f>
        <v/>
      </c>
      <c r="U1858" s="38" t="b">
        <f t="shared" si="34"/>
        <v>0</v>
      </c>
      <c r="V1858" s="38"/>
      <c r="W1858" s="40"/>
      <c r="X1858" s="40"/>
      <c r="Y1858" s="38"/>
      <c r="Z1858" s="38"/>
      <c r="AA1858" s="38"/>
      <c r="AB1858" s="38"/>
      <c r="AC1858" s="38"/>
      <c r="AD1858" s="38"/>
      <c r="AE1858" s="38"/>
      <c r="AF1858" s="38"/>
      <c r="AG1858" s="38"/>
      <c r="AH1858" s="38"/>
      <c r="AI1858" s="38"/>
      <c r="AJ1858" s="38"/>
      <c r="AK1858" s="38"/>
      <c r="AL1858" s="38"/>
      <c r="AM1858" s="38"/>
      <c r="AN1858" s="38"/>
      <c r="AO1858" s="38"/>
      <c r="AP1858" s="38"/>
      <c r="AQ1858" s="38"/>
      <c r="AR1858" s="38"/>
      <c r="AS1858" s="38"/>
      <c r="AT1858" s="38"/>
      <c r="AU1858" s="38"/>
      <c r="AV1858" s="38"/>
      <c r="AW1858" s="38"/>
      <c r="AX1858" s="38"/>
      <c r="AY1858" s="38"/>
      <c r="AZ1858" s="38"/>
      <c r="BA1858" s="38"/>
      <c r="BB1858" s="38"/>
      <c r="BC1858" s="38"/>
      <c r="BD1858" s="38"/>
      <c r="BE1858" s="38"/>
      <c r="BF1858" s="38"/>
      <c r="BG1858" s="38"/>
      <c r="BH1858" s="38"/>
      <c r="BI1858" s="38"/>
      <c r="BJ1858" s="38"/>
      <c r="BK1858" s="38"/>
      <c r="BL1858" s="38"/>
      <c r="BM1858" s="38"/>
      <c r="BN1858" s="38"/>
      <c r="BO1858" s="38"/>
      <c r="BP1858" s="38"/>
      <c r="BQ1858" s="38"/>
    </row>
    <row r="1859">
      <c r="A1859" s="58"/>
      <c r="B1859" s="341"/>
      <c r="C1859" s="60"/>
      <c r="D1859" s="60"/>
      <c r="E1859" s="58"/>
      <c r="F1859" s="58"/>
      <c r="G1859" s="58"/>
      <c r="H1859" s="33" t="str">
        <f t="shared" si="33"/>
        <v/>
      </c>
      <c r="I1859" s="58"/>
      <c r="J1859" s="58"/>
      <c r="K1859" s="58"/>
      <c r="L1859" s="58"/>
      <c r="M1859" s="80"/>
      <c r="N1859" s="77"/>
      <c r="O1859" s="62"/>
      <c r="P1859" s="62"/>
      <c r="Q1859" s="62"/>
      <c r="R1859" s="62"/>
      <c r="S1859" s="37" t="str">
        <f>IFERROR(__xludf.DUMMYFUNCTION("if(not(iserror(index(split(C1859, "" ""),2))), index(split(C1859, "" ""),1),"""")"),"")</f>
        <v/>
      </c>
      <c r="T1859" s="315" t="str">
        <f>IFERROR(__xludf.DUMMYFUNCTION("if(S1859="""",C1859,if(not(iserror(index(split(C1859, "" ""),3))), index(split(C1859, "" ""),3),index(split(C1859, "" ""),2)))"),"")</f>
        <v/>
      </c>
      <c r="U1859" s="38" t="b">
        <f t="shared" si="34"/>
        <v>0</v>
      </c>
      <c r="V1859" s="38"/>
      <c r="W1859" s="40"/>
      <c r="X1859" s="40"/>
      <c r="Y1859" s="38"/>
      <c r="Z1859" s="38"/>
      <c r="AA1859" s="38"/>
      <c r="AB1859" s="38"/>
      <c r="AC1859" s="38"/>
      <c r="AD1859" s="38"/>
      <c r="AE1859" s="38"/>
      <c r="AF1859" s="38"/>
      <c r="AG1859" s="38"/>
      <c r="AH1859" s="38"/>
      <c r="AI1859" s="38"/>
      <c r="AJ1859" s="38"/>
      <c r="AK1859" s="38"/>
      <c r="AL1859" s="38"/>
      <c r="AM1859" s="38"/>
      <c r="AN1859" s="38"/>
      <c r="AO1859" s="38"/>
      <c r="AP1859" s="38"/>
      <c r="AQ1859" s="38"/>
      <c r="AR1859" s="38"/>
      <c r="AS1859" s="38"/>
      <c r="AT1859" s="38"/>
      <c r="AU1859" s="38"/>
      <c r="AV1859" s="38"/>
      <c r="AW1859" s="38"/>
      <c r="AX1859" s="38"/>
      <c r="AY1859" s="38"/>
      <c r="AZ1859" s="38"/>
      <c r="BA1859" s="38"/>
      <c r="BB1859" s="38"/>
      <c r="BC1859" s="38"/>
      <c r="BD1859" s="38"/>
      <c r="BE1859" s="38"/>
      <c r="BF1859" s="38"/>
      <c r="BG1859" s="38"/>
      <c r="BH1859" s="38"/>
      <c r="BI1859" s="38"/>
      <c r="BJ1859" s="38"/>
      <c r="BK1859" s="38"/>
      <c r="BL1859" s="38"/>
      <c r="BM1859" s="38"/>
      <c r="BN1859" s="38"/>
      <c r="BO1859" s="38"/>
      <c r="BP1859" s="38"/>
      <c r="BQ1859" s="38"/>
    </row>
    <row r="1860">
      <c r="A1860" s="58"/>
      <c r="B1860" s="341"/>
      <c r="C1860" s="60"/>
      <c r="D1860" s="60"/>
      <c r="E1860" s="58"/>
      <c r="F1860" s="58"/>
      <c r="G1860" s="58"/>
      <c r="H1860" s="33" t="str">
        <f t="shared" si="33"/>
        <v/>
      </c>
      <c r="I1860" s="58"/>
      <c r="J1860" s="58"/>
      <c r="K1860" s="58"/>
      <c r="L1860" s="58"/>
      <c r="M1860" s="80"/>
      <c r="N1860" s="77"/>
      <c r="O1860" s="62"/>
      <c r="P1860" s="62"/>
      <c r="Q1860" s="62"/>
      <c r="R1860" s="62"/>
      <c r="S1860" s="37" t="str">
        <f>IFERROR(__xludf.DUMMYFUNCTION("if(not(iserror(index(split(C1860, "" ""),2))), index(split(C1860, "" ""),1),"""")"),"")</f>
        <v/>
      </c>
      <c r="T1860" s="315" t="str">
        <f>IFERROR(__xludf.DUMMYFUNCTION("if(S1860="""",C1860,if(not(iserror(index(split(C1860, "" ""),3))), index(split(C1860, "" ""),3),index(split(C1860, "" ""),2)))"),"")</f>
        <v/>
      </c>
      <c r="U1860" s="38" t="b">
        <f t="shared" si="34"/>
        <v>0</v>
      </c>
      <c r="V1860" s="38"/>
      <c r="W1860" s="40"/>
      <c r="X1860" s="40"/>
      <c r="Y1860" s="38"/>
      <c r="Z1860" s="38"/>
      <c r="AA1860" s="38"/>
      <c r="AB1860" s="38"/>
      <c r="AC1860" s="38"/>
      <c r="AD1860" s="38"/>
      <c r="AE1860" s="38"/>
      <c r="AF1860" s="38"/>
      <c r="AG1860" s="38"/>
      <c r="AH1860" s="38"/>
      <c r="AI1860" s="38"/>
      <c r="AJ1860" s="38"/>
      <c r="AK1860" s="38"/>
      <c r="AL1860" s="38"/>
      <c r="AM1860" s="38"/>
      <c r="AN1860" s="38"/>
      <c r="AO1860" s="38"/>
      <c r="AP1860" s="38"/>
      <c r="AQ1860" s="38"/>
      <c r="AR1860" s="38"/>
      <c r="AS1860" s="38"/>
      <c r="AT1860" s="38"/>
      <c r="AU1860" s="38"/>
      <c r="AV1860" s="38"/>
      <c r="AW1860" s="38"/>
      <c r="AX1860" s="38"/>
      <c r="AY1860" s="38"/>
      <c r="AZ1860" s="38"/>
      <c r="BA1860" s="38"/>
      <c r="BB1860" s="38"/>
      <c r="BC1860" s="38"/>
      <c r="BD1860" s="38"/>
      <c r="BE1860" s="38"/>
      <c r="BF1860" s="38"/>
      <c r="BG1860" s="38"/>
      <c r="BH1860" s="38"/>
      <c r="BI1860" s="38"/>
      <c r="BJ1860" s="38"/>
      <c r="BK1860" s="38"/>
      <c r="BL1860" s="38"/>
      <c r="BM1860" s="38"/>
      <c r="BN1860" s="38"/>
      <c r="BO1860" s="38"/>
      <c r="BP1860" s="38"/>
      <c r="BQ1860" s="38"/>
    </row>
    <row r="1861">
      <c r="A1861" s="58"/>
      <c r="B1861" s="341"/>
      <c r="C1861" s="60"/>
      <c r="D1861" s="60"/>
      <c r="E1861" s="58"/>
      <c r="F1861" s="58"/>
      <c r="G1861" s="58"/>
      <c r="H1861" s="33" t="str">
        <f t="shared" si="33"/>
        <v/>
      </c>
      <c r="I1861" s="58"/>
      <c r="J1861" s="58"/>
      <c r="K1861" s="58"/>
      <c r="L1861" s="58"/>
      <c r="M1861" s="80"/>
      <c r="N1861" s="77"/>
      <c r="O1861" s="62"/>
      <c r="P1861" s="62"/>
      <c r="Q1861" s="62"/>
      <c r="R1861" s="62"/>
      <c r="S1861" s="37" t="str">
        <f>IFERROR(__xludf.DUMMYFUNCTION("if(not(iserror(index(split(C1861, "" ""),2))), index(split(C1861, "" ""),1),"""")"),"")</f>
        <v/>
      </c>
      <c r="T1861" s="315" t="str">
        <f>IFERROR(__xludf.DUMMYFUNCTION("if(S1861="""",C1861,if(not(iserror(index(split(C1861, "" ""),3))), index(split(C1861, "" ""),3),index(split(C1861, "" ""),2)))"),"")</f>
        <v/>
      </c>
      <c r="U1861" s="38" t="b">
        <f t="shared" si="34"/>
        <v>0</v>
      </c>
      <c r="V1861" s="38"/>
      <c r="W1861" s="40"/>
      <c r="X1861" s="40"/>
      <c r="Y1861" s="38"/>
      <c r="Z1861" s="38"/>
      <c r="AA1861" s="38"/>
      <c r="AB1861" s="38"/>
      <c r="AC1861" s="38"/>
      <c r="AD1861" s="38"/>
      <c r="AE1861" s="38"/>
      <c r="AF1861" s="38"/>
      <c r="AG1861" s="38"/>
      <c r="AH1861" s="38"/>
      <c r="AI1861" s="38"/>
      <c r="AJ1861" s="38"/>
      <c r="AK1861" s="38"/>
      <c r="AL1861" s="38"/>
      <c r="AM1861" s="38"/>
      <c r="AN1861" s="38"/>
      <c r="AO1861" s="38"/>
      <c r="AP1861" s="38"/>
      <c r="AQ1861" s="38"/>
      <c r="AR1861" s="38"/>
      <c r="AS1861" s="38"/>
      <c r="AT1861" s="38"/>
      <c r="AU1861" s="38"/>
      <c r="AV1861" s="38"/>
      <c r="AW1861" s="38"/>
      <c r="AX1861" s="38"/>
      <c r="AY1861" s="38"/>
      <c r="AZ1861" s="38"/>
      <c r="BA1861" s="38"/>
      <c r="BB1861" s="38"/>
      <c r="BC1861" s="38"/>
      <c r="BD1861" s="38"/>
      <c r="BE1861" s="38"/>
      <c r="BF1861" s="38"/>
      <c r="BG1861" s="38"/>
      <c r="BH1861" s="38"/>
      <c r="BI1861" s="38"/>
      <c r="BJ1861" s="38"/>
      <c r="BK1861" s="38"/>
      <c r="BL1861" s="38"/>
      <c r="BM1861" s="38"/>
      <c r="BN1861" s="38"/>
      <c r="BO1861" s="38"/>
      <c r="BP1861" s="38"/>
      <c r="BQ1861" s="38"/>
    </row>
    <row r="1862">
      <c r="A1862" s="58"/>
      <c r="B1862" s="341"/>
      <c r="C1862" s="60"/>
      <c r="D1862" s="60"/>
      <c r="E1862" s="58"/>
      <c r="F1862" s="58"/>
      <c r="G1862" s="58"/>
      <c r="H1862" s="33" t="str">
        <f t="shared" si="33"/>
        <v/>
      </c>
      <c r="I1862" s="58"/>
      <c r="J1862" s="58"/>
      <c r="K1862" s="58"/>
      <c r="L1862" s="58"/>
      <c r="M1862" s="80"/>
      <c r="N1862" s="77"/>
      <c r="O1862" s="62"/>
      <c r="P1862" s="62"/>
      <c r="Q1862" s="62"/>
      <c r="R1862" s="62"/>
      <c r="S1862" s="37" t="str">
        <f>IFERROR(__xludf.DUMMYFUNCTION("if(not(iserror(index(split(C1862, "" ""),2))), index(split(C1862, "" ""),1),"""")"),"")</f>
        <v/>
      </c>
      <c r="T1862" s="315" t="str">
        <f>IFERROR(__xludf.DUMMYFUNCTION("if(S1862="""",C1862,if(not(iserror(index(split(C1862, "" ""),3))), index(split(C1862, "" ""),3),index(split(C1862, "" ""),2)))"),"")</f>
        <v/>
      </c>
      <c r="U1862" s="38" t="b">
        <f t="shared" si="34"/>
        <v>0</v>
      </c>
      <c r="V1862" s="38"/>
      <c r="W1862" s="40"/>
      <c r="X1862" s="40"/>
      <c r="Y1862" s="38"/>
      <c r="Z1862" s="38"/>
      <c r="AA1862" s="38"/>
      <c r="AB1862" s="38"/>
      <c r="AC1862" s="38"/>
      <c r="AD1862" s="38"/>
      <c r="AE1862" s="38"/>
      <c r="AF1862" s="38"/>
      <c r="AG1862" s="38"/>
      <c r="AH1862" s="38"/>
      <c r="AI1862" s="38"/>
      <c r="AJ1862" s="38"/>
      <c r="AK1862" s="38"/>
      <c r="AL1862" s="38"/>
      <c r="AM1862" s="38"/>
      <c r="AN1862" s="38"/>
      <c r="AO1862" s="38"/>
      <c r="AP1862" s="38"/>
      <c r="AQ1862" s="38"/>
      <c r="AR1862" s="38"/>
      <c r="AS1862" s="38"/>
      <c r="AT1862" s="38"/>
      <c r="AU1862" s="38"/>
      <c r="AV1862" s="38"/>
      <c r="AW1862" s="38"/>
      <c r="AX1862" s="38"/>
      <c r="AY1862" s="38"/>
      <c r="AZ1862" s="38"/>
      <c r="BA1862" s="38"/>
      <c r="BB1862" s="38"/>
      <c r="BC1862" s="38"/>
      <c r="BD1862" s="38"/>
      <c r="BE1862" s="38"/>
      <c r="BF1862" s="38"/>
      <c r="BG1862" s="38"/>
      <c r="BH1862" s="38"/>
      <c r="BI1862" s="38"/>
      <c r="BJ1862" s="38"/>
      <c r="BK1862" s="38"/>
      <c r="BL1862" s="38"/>
      <c r="BM1862" s="38"/>
      <c r="BN1862" s="38"/>
      <c r="BO1862" s="38"/>
      <c r="BP1862" s="38"/>
      <c r="BQ1862" s="38"/>
    </row>
    <row r="1863">
      <c r="A1863" s="58"/>
      <c r="B1863" s="341"/>
      <c r="C1863" s="60"/>
      <c r="D1863" s="60"/>
      <c r="E1863" s="58"/>
      <c r="F1863" s="58"/>
      <c r="G1863" s="58"/>
      <c r="H1863" s="33" t="str">
        <f t="shared" si="33"/>
        <v/>
      </c>
      <c r="I1863" s="58"/>
      <c r="J1863" s="58"/>
      <c r="K1863" s="58"/>
      <c r="L1863" s="58"/>
      <c r="M1863" s="80"/>
      <c r="N1863" s="80"/>
      <c r="O1863" s="58"/>
      <c r="P1863" s="58"/>
      <c r="Q1863" s="84"/>
      <c r="R1863" s="62"/>
      <c r="S1863" s="37" t="str">
        <f>IFERROR(__xludf.DUMMYFUNCTION("if(not(iserror(index(split(C1863, "" ""),2))), index(split(C1863, "" ""),1),"""")"),"")</f>
        <v/>
      </c>
      <c r="T1863" s="315" t="str">
        <f>IFERROR(__xludf.DUMMYFUNCTION("if(S1863="""",C1863,if(not(iserror(index(split(C1863, "" ""),3))), index(split(C1863, "" ""),3),index(split(C1863, "" ""),2)))"),"")</f>
        <v/>
      </c>
      <c r="U1863" s="38" t="b">
        <f t="shared" si="34"/>
        <v>0</v>
      </c>
      <c r="V1863" s="38"/>
      <c r="W1863" s="40"/>
      <c r="X1863" s="40"/>
      <c r="Y1863" s="38"/>
      <c r="Z1863" s="38"/>
      <c r="AA1863" s="38"/>
      <c r="AB1863" s="38"/>
      <c r="AC1863" s="38"/>
      <c r="AD1863" s="38"/>
      <c r="AE1863" s="38"/>
      <c r="AF1863" s="38"/>
      <c r="AG1863" s="38"/>
      <c r="AH1863" s="38"/>
      <c r="AI1863" s="38"/>
      <c r="AJ1863" s="38"/>
      <c r="AK1863" s="38"/>
      <c r="AL1863" s="38"/>
      <c r="AM1863" s="38"/>
      <c r="AN1863" s="38"/>
      <c r="AO1863" s="38"/>
      <c r="AP1863" s="38"/>
      <c r="AQ1863" s="38"/>
      <c r="AR1863" s="38"/>
      <c r="AS1863" s="38"/>
      <c r="AT1863" s="38"/>
      <c r="AU1863" s="38"/>
      <c r="AV1863" s="38"/>
      <c r="AW1863" s="38"/>
      <c r="AX1863" s="38"/>
      <c r="AY1863" s="38"/>
      <c r="AZ1863" s="38"/>
      <c r="BA1863" s="38"/>
      <c r="BB1863" s="38"/>
      <c r="BC1863" s="38"/>
      <c r="BD1863" s="38"/>
      <c r="BE1863" s="38"/>
      <c r="BF1863" s="38"/>
      <c r="BG1863" s="38"/>
      <c r="BH1863" s="38"/>
      <c r="BI1863" s="38"/>
      <c r="BJ1863" s="38"/>
      <c r="BK1863" s="38"/>
      <c r="BL1863" s="38"/>
      <c r="BM1863" s="38"/>
      <c r="BN1863" s="38"/>
      <c r="BO1863" s="38"/>
      <c r="BP1863" s="38"/>
      <c r="BQ1863" s="38"/>
    </row>
    <row r="1864">
      <c r="A1864" s="58"/>
      <c r="B1864" s="341"/>
      <c r="C1864" s="60"/>
      <c r="D1864" s="60"/>
      <c r="E1864" s="58"/>
      <c r="F1864" s="58"/>
      <c r="G1864" s="58"/>
      <c r="H1864" s="33" t="str">
        <f t="shared" si="33"/>
        <v/>
      </c>
      <c r="I1864" s="58"/>
      <c r="J1864" s="58"/>
      <c r="K1864" s="58"/>
      <c r="L1864" s="58"/>
      <c r="M1864" s="80"/>
      <c r="N1864" s="80"/>
      <c r="O1864" s="58"/>
      <c r="P1864" s="58"/>
      <c r="Q1864" s="84"/>
      <c r="R1864" s="62"/>
      <c r="S1864" s="37" t="str">
        <f>IFERROR(__xludf.DUMMYFUNCTION("if(not(iserror(index(split(C1864, "" ""),2))), index(split(C1864, "" ""),1),"""")"),"")</f>
        <v/>
      </c>
      <c r="T1864" s="315" t="str">
        <f>IFERROR(__xludf.DUMMYFUNCTION("if(S1864="""",C1864,if(not(iserror(index(split(C1864, "" ""),3))), index(split(C1864, "" ""),3),index(split(C1864, "" ""),2)))"),"")</f>
        <v/>
      </c>
      <c r="U1864" s="38" t="b">
        <f t="shared" si="34"/>
        <v>0</v>
      </c>
      <c r="V1864" s="38"/>
      <c r="W1864" s="40"/>
      <c r="X1864" s="40"/>
      <c r="Y1864" s="38"/>
      <c r="Z1864" s="38"/>
      <c r="AA1864" s="38"/>
      <c r="AB1864" s="38"/>
      <c r="AC1864" s="38"/>
      <c r="AD1864" s="38"/>
      <c r="AE1864" s="38"/>
      <c r="AF1864" s="38"/>
      <c r="AG1864" s="38"/>
      <c r="AH1864" s="38"/>
      <c r="AI1864" s="38"/>
      <c r="AJ1864" s="38"/>
      <c r="AK1864" s="38"/>
      <c r="AL1864" s="38"/>
      <c r="AM1864" s="38"/>
      <c r="AN1864" s="38"/>
      <c r="AO1864" s="38"/>
      <c r="AP1864" s="38"/>
      <c r="AQ1864" s="38"/>
      <c r="AR1864" s="38"/>
      <c r="AS1864" s="38"/>
      <c r="AT1864" s="38"/>
      <c r="AU1864" s="38"/>
      <c r="AV1864" s="38"/>
      <c r="AW1864" s="38"/>
      <c r="AX1864" s="38"/>
      <c r="AY1864" s="38"/>
      <c r="AZ1864" s="38"/>
      <c r="BA1864" s="38"/>
      <c r="BB1864" s="38"/>
      <c r="BC1864" s="38"/>
      <c r="BD1864" s="38"/>
      <c r="BE1864" s="38"/>
      <c r="BF1864" s="38"/>
      <c r="BG1864" s="38"/>
      <c r="BH1864" s="38"/>
      <c r="BI1864" s="38"/>
      <c r="BJ1864" s="38"/>
      <c r="BK1864" s="38"/>
      <c r="BL1864" s="38"/>
      <c r="BM1864" s="38"/>
      <c r="BN1864" s="38"/>
      <c r="BO1864" s="38"/>
      <c r="BP1864" s="38"/>
      <c r="BQ1864" s="38"/>
    </row>
    <row r="1865">
      <c r="A1865" s="58"/>
      <c r="B1865" s="341"/>
      <c r="C1865" s="60"/>
      <c r="D1865" s="60"/>
      <c r="E1865" s="58"/>
      <c r="F1865" s="58"/>
      <c r="G1865" s="58"/>
      <c r="H1865" s="33" t="str">
        <f t="shared" si="33"/>
        <v/>
      </c>
      <c r="I1865" s="58"/>
      <c r="J1865" s="58"/>
      <c r="K1865" s="58"/>
      <c r="L1865" s="58"/>
      <c r="M1865" s="80"/>
      <c r="N1865" s="80"/>
      <c r="O1865" s="58"/>
      <c r="P1865" s="58"/>
      <c r="Q1865" s="84"/>
      <c r="R1865" s="62"/>
      <c r="S1865" s="37" t="str">
        <f>IFERROR(__xludf.DUMMYFUNCTION("if(not(iserror(index(split(C1865, "" ""),2))), index(split(C1865, "" ""),1),"""")"),"")</f>
        <v/>
      </c>
      <c r="T1865" s="315" t="str">
        <f>IFERROR(__xludf.DUMMYFUNCTION("if(S1865="""",C1865,if(not(iserror(index(split(C1865, "" ""),3))), index(split(C1865, "" ""),3),index(split(C1865, "" ""),2)))"),"")</f>
        <v/>
      </c>
      <c r="U1865" s="38" t="b">
        <f t="shared" si="34"/>
        <v>0</v>
      </c>
      <c r="V1865" s="38"/>
      <c r="W1865" s="40"/>
      <c r="X1865" s="40"/>
      <c r="Y1865" s="38"/>
      <c r="Z1865" s="38"/>
      <c r="AA1865" s="38"/>
      <c r="AB1865" s="38"/>
      <c r="AC1865" s="38"/>
      <c r="AD1865" s="38"/>
      <c r="AE1865" s="38"/>
      <c r="AF1865" s="38"/>
      <c r="AG1865" s="38"/>
      <c r="AH1865" s="38"/>
      <c r="AI1865" s="38"/>
      <c r="AJ1865" s="38"/>
      <c r="AK1865" s="38"/>
      <c r="AL1865" s="38"/>
      <c r="AM1865" s="38"/>
      <c r="AN1865" s="38"/>
      <c r="AO1865" s="38"/>
      <c r="AP1865" s="38"/>
      <c r="AQ1865" s="38"/>
      <c r="AR1865" s="38"/>
      <c r="AS1865" s="38"/>
      <c r="AT1865" s="38"/>
      <c r="AU1865" s="38"/>
      <c r="AV1865" s="38"/>
      <c r="AW1865" s="38"/>
      <c r="AX1865" s="38"/>
      <c r="AY1865" s="38"/>
      <c r="AZ1865" s="38"/>
      <c r="BA1865" s="38"/>
      <c r="BB1865" s="38"/>
      <c r="BC1865" s="38"/>
      <c r="BD1865" s="38"/>
      <c r="BE1865" s="38"/>
      <c r="BF1865" s="38"/>
      <c r="BG1865" s="38"/>
      <c r="BH1865" s="38"/>
      <c r="BI1865" s="38"/>
      <c r="BJ1865" s="38"/>
      <c r="BK1865" s="38"/>
      <c r="BL1865" s="38"/>
      <c r="BM1865" s="38"/>
      <c r="BN1865" s="38"/>
      <c r="BO1865" s="38"/>
      <c r="BP1865" s="38"/>
      <c r="BQ1865" s="38"/>
    </row>
    <row r="1866">
      <c r="A1866" s="58"/>
      <c r="B1866" s="341"/>
      <c r="C1866" s="60"/>
      <c r="D1866" s="60"/>
      <c r="E1866" s="58"/>
      <c r="F1866" s="58"/>
      <c r="G1866" s="58"/>
      <c r="H1866" s="33" t="str">
        <f t="shared" si="33"/>
        <v/>
      </c>
      <c r="I1866" s="58"/>
      <c r="J1866" s="58"/>
      <c r="K1866" s="58"/>
      <c r="L1866" s="58"/>
      <c r="M1866" s="80"/>
      <c r="N1866" s="80"/>
      <c r="O1866" s="58"/>
      <c r="P1866" s="58"/>
      <c r="Q1866" s="84"/>
      <c r="R1866" s="62"/>
      <c r="S1866" s="37" t="str">
        <f>IFERROR(__xludf.DUMMYFUNCTION("if(not(iserror(index(split(C1866, "" ""),2))), index(split(C1866, "" ""),1),"""")"),"")</f>
        <v/>
      </c>
      <c r="T1866" s="315" t="str">
        <f>IFERROR(__xludf.DUMMYFUNCTION("if(S1866="""",C1866,if(not(iserror(index(split(C1866, "" ""),3))), index(split(C1866, "" ""),3),index(split(C1866, "" ""),2)))"),"")</f>
        <v/>
      </c>
      <c r="U1866" s="38" t="b">
        <f t="shared" si="34"/>
        <v>0</v>
      </c>
      <c r="V1866" s="38"/>
      <c r="W1866" s="40"/>
      <c r="X1866" s="40"/>
      <c r="Y1866" s="38"/>
      <c r="Z1866" s="38"/>
      <c r="AA1866" s="38"/>
      <c r="AB1866" s="38"/>
      <c r="AC1866" s="38"/>
      <c r="AD1866" s="38"/>
      <c r="AE1866" s="38"/>
      <c r="AF1866" s="38"/>
      <c r="AG1866" s="38"/>
      <c r="AH1866" s="38"/>
      <c r="AI1866" s="38"/>
      <c r="AJ1866" s="38"/>
      <c r="AK1866" s="38"/>
      <c r="AL1866" s="38"/>
      <c r="AM1866" s="38"/>
      <c r="AN1866" s="38"/>
      <c r="AO1866" s="38"/>
      <c r="AP1866" s="38"/>
      <c r="AQ1866" s="38"/>
      <c r="AR1866" s="38"/>
      <c r="AS1866" s="38"/>
      <c r="AT1866" s="38"/>
      <c r="AU1866" s="38"/>
      <c r="AV1866" s="38"/>
      <c r="AW1866" s="38"/>
      <c r="AX1866" s="38"/>
      <c r="AY1866" s="38"/>
      <c r="AZ1866" s="38"/>
      <c r="BA1866" s="38"/>
      <c r="BB1866" s="38"/>
      <c r="BC1866" s="38"/>
      <c r="BD1866" s="38"/>
      <c r="BE1866" s="38"/>
      <c r="BF1866" s="38"/>
      <c r="BG1866" s="38"/>
      <c r="BH1866" s="38"/>
      <c r="BI1866" s="38"/>
      <c r="BJ1866" s="38"/>
      <c r="BK1866" s="38"/>
      <c r="BL1866" s="38"/>
      <c r="BM1866" s="38"/>
      <c r="BN1866" s="38"/>
      <c r="BO1866" s="38"/>
      <c r="BP1866" s="38"/>
      <c r="BQ1866" s="38"/>
    </row>
    <row r="1867">
      <c r="A1867" s="58"/>
      <c r="B1867" s="341"/>
      <c r="C1867" s="60"/>
      <c r="D1867" s="60"/>
      <c r="E1867" s="58"/>
      <c r="F1867" s="58"/>
      <c r="G1867" s="58"/>
      <c r="H1867" s="33" t="str">
        <f t="shared" si="33"/>
        <v/>
      </c>
      <c r="I1867" s="58"/>
      <c r="J1867" s="58"/>
      <c r="K1867" s="58"/>
      <c r="L1867" s="58"/>
      <c r="M1867" s="80"/>
      <c r="N1867" s="80"/>
      <c r="O1867" s="58"/>
      <c r="P1867" s="58"/>
      <c r="Q1867" s="84"/>
      <c r="R1867" s="62"/>
      <c r="S1867" s="37" t="str">
        <f>IFERROR(__xludf.DUMMYFUNCTION("if(not(iserror(index(split(C1867, "" ""),2))), index(split(C1867, "" ""),1),"""")"),"")</f>
        <v/>
      </c>
      <c r="T1867" s="315" t="str">
        <f>IFERROR(__xludf.DUMMYFUNCTION("if(S1867="""",C1867,if(not(iserror(index(split(C1867, "" ""),3))), index(split(C1867, "" ""),3),index(split(C1867, "" ""),2)))"),"")</f>
        <v/>
      </c>
      <c r="U1867" s="38" t="b">
        <f t="shared" si="34"/>
        <v>0</v>
      </c>
      <c r="V1867" s="38"/>
      <c r="W1867" s="40"/>
      <c r="X1867" s="40"/>
      <c r="Y1867" s="38"/>
      <c r="Z1867" s="38"/>
      <c r="AA1867" s="38"/>
      <c r="AB1867" s="38"/>
      <c r="AC1867" s="38"/>
      <c r="AD1867" s="38"/>
      <c r="AE1867" s="38"/>
      <c r="AF1867" s="38"/>
      <c r="AG1867" s="38"/>
      <c r="AH1867" s="38"/>
      <c r="AI1867" s="38"/>
      <c r="AJ1867" s="38"/>
      <c r="AK1867" s="38"/>
      <c r="AL1867" s="38"/>
      <c r="AM1867" s="38"/>
      <c r="AN1867" s="38"/>
      <c r="AO1867" s="38"/>
      <c r="AP1867" s="38"/>
      <c r="AQ1867" s="38"/>
      <c r="AR1867" s="38"/>
      <c r="AS1867" s="38"/>
      <c r="AT1867" s="38"/>
      <c r="AU1867" s="38"/>
      <c r="AV1867" s="38"/>
      <c r="AW1867" s="38"/>
      <c r="AX1867" s="38"/>
      <c r="AY1867" s="38"/>
      <c r="AZ1867" s="38"/>
      <c r="BA1867" s="38"/>
      <c r="BB1867" s="38"/>
      <c r="BC1867" s="38"/>
      <c r="BD1867" s="38"/>
      <c r="BE1867" s="38"/>
      <c r="BF1867" s="38"/>
      <c r="BG1867" s="38"/>
      <c r="BH1867" s="38"/>
      <c r="BI1867" s="38"/>
      <c r="BJ1867" s="38"/>
      <c r="BK1867" s="38"/>
      <c r="BL1867" s="38"/>
      <c r="BM1867" s="38"/>
      <c r="BN1867" s="38"/>
      <c r="BO1867" s="38"/>
      <c r="BP1867" s="38"/>
      <c r="BQ1867" s="38"/>
    </row>
    <row r="1868">
      <c r="A1868" s="58"/>
      <c r="B1868" s="341"/>
      <c r="C1868" s="60"/>
      <c r="D1868" s="60"/>
      <c r="E1868" s="58"/>
      <c r="F1868" s="58"/>
      <c r="G1868" s="58"/>
      <c r="H1868" s="33" t="str">
        <f t="shared" si="33"/>
        <v/>
      </c>
      <c r="I1868" s="58"/>
      <c r="J1868" s="58"/>
      <c r="K1868" s="58"/>
      <c r="L1868" s="58"/>
      <c r="M1868" s="80"/>
      <c r="N1868" s="80"/>
      <c r="O1868" s="58"/>
      <c r="P1868" s="58"/>
      <c r="Q1868" s="84"/>
      <c r="R1868" s="62"/>
      <c r="S1868" s="37" t="str">
        <f>IFERROR(__xludf.DUMMYFUNCTION("if(not(iserror(index(split(C1868, "" ""),2))), index(split(C1868, "" ""),1),"""")"),"")</f>
        <v/>
      </c>
      <c r="T1868" s="315" t="str">
        <f>IFERROR(__xludf.DUMMYFUNCTION("if(S1868="""",C1868,if(not(iserror(index(split(C1868, "" ""),3))), index(split(C1868, "" ""),3),index(split(C1868, "" ""),2)))"),"")</f>
        <v/>
      </c>
      <c r="U1868" s="38" t="b">
        <f t="shared" si="34"/>
        <v>0</v>
      </c>
      <c r="V1868" s="38"/>
      <c r="W1868" s="40"/>
      <c r="X1868" s="40"/>
      <c r="Y1868" s="38"/>
      <c r="Z1868" s="38"/>
      <c r="AA1868" s="38"/>
      <c r="AB1868" s="38"/>
      <c r="AC1868" s="38"/>
      <c r="AD1868" s="38"/>
      <c r="AE1868" s="38"/>
      <c r="AF1868" s="38"/>
      <c r="AG1868" s="38"/>
      <c r="AH1868" s="38"/>
      <c r="AI1868" s="38"/>
      <c r="AJ1868" s="38"/>
      <c r="AK1868" s="38"/>
      <c r="AL1868" s="38"/>
      <c r="AM1868" s="38"/>
      <c r="AN1868" s="38"/>
      <c r="AO1868" s="38"/>
      <c r="AP1868" s="38"/>
      <c r="AQ1868" s="38"/>
      <c r="AR1868" s="38"/>
      <c r="AS1868" s="38"/>
      <c r="AT1868" s="38"/>
      <c r="AU1868" s="38"/>
      <c r="AV1868" s="38"/>
      <c r="AW1868" s="38"/>
      <c r="AX1868" s="38"/>
      <c r="AY1868" s="38"/>
      <c r="AZ1868" s="38"/>
      <c r="BA1868" s="38"/>
      <c r="BB1868" s="38"/>
      <c r="BC1868" s="38"/>
      <c r="BD1868" s="38"/>
      <c r="BE1868" s="38"/>
      <c r="BF1868" s="38"/>
      <c r="BG1868" s="38"/>
      <c r="BH1868" s="38"/>
      <c r="BI1868" s="38"/>
      <c r="BJ1868" s="38"/>
      <c r="BK1868" s="38"/>
      <c r="BL1868" s="38"/>
      <c r="BM1868" s="38"/>
      <c r="BN1868" s="38"/>
      <c r="BO1868" s="38"/>
      <c r="BP1868" s="38"/>
      <c r="BQ1868" s="38"/>
    </row>
    <row r="1869">
      <c r="A1869" s="58"/>
      <c r="B1869" s="341"/>
      <c r="C1869" s="60"/>
      <c r="D1869" s="60"/>
      <c r="E1869" s="58"/>
      <c r="F1869" s="58"/>
      <c r="G1869" s="58"/>
      <c r="H1869" s="33" t="str">
        <f t="shared" si="33"/>
        <v/>
      </c>
      <c r="I1869" s="58"/>
      <c r="J1869" s="58"/>
      <c r="K1869" s="58"/>
      <c r="L1869" s="58"/>
      <c r="M1869" s="80"/>
      <c r="N1869" s="80"/>
      <c r="O1869" s="58"/>
      <c r="P1869" s="58"/>
      <c r="Q1869" s="84"/>
      <c r="R1869" s="62"/>
      <c r="S1869" s="37" t="str">
        <f>IFERROR(__xludf.DUMMYFUNCTION("if(not(iserror(index(split(C1869, "" ""),2))), index(split(C1869, "" ""),1),"""")"),"")</f>
        <v/>
      </c>
      <c r="T1869" s="315" t="str">
        <f>IFERROR(__xludf.DUMMYFUNCTION("if(S1869="""",C1869,if(not(iserror(index(split(C1869, "" ""),3))), index(split(C1869, "" ""),3),index(split(C1869, "" ""),2)))"),"")</f>
        <v/>
      </c>
      <c r="U1869" s="38" t="b">
        <f t="shared" si="34"/>
        <v>0</v>
      </c>
      <c r="V1869" s="38"/>
      <c r="W1869" s="40"/>
      <c r="X1869" s="40"/>
      <c r="Y1869" s="38"/>
      <c r="Z1869" s="38"/>
      <c r="AA1869" s="38"/>
      <c r="AB1869" s="38"/>
      <c r="AC1869" s="38"/>
      <c r="AD1869" s="38"/>
      <c r="AE1869" s="38"/>
      <c r="AF1869" s="38"/>
      <c r="AG1869" s="38"/>
      <c r="AH1869" s="38"/>
      <c r="AI1869" s="38"/>
      <c r="AJ1869" s="38"/>
      <c r="AK1869" s="38"/>
      <c r="AL1869" s="38"/>
      <c r="AM1869" s="38"/>
      <c r="AN1869" s="38"/>
      <c r="AO1869" s="38"/>
      <c r="AP1869" s="38"/>
      <c r="AQ1869" s="38"/>
      <c r="AR1869" s="38"/>
      <c r="AS1869" s="38"/>
      <c r="AT1869" s="38"/>
      <c r="AU1869" s="38"/>
      <c r="AV1869" s="38"/>
      <c r="AW1869" s="38"/>
      <c r="AX1869" s="38"/>
      <c r="AY1869" s="38"/>
      <c r="AZ1869" s="38"/>
      <c r="BA1869" s="38"/>
      <c r="BB1869" s="38"/>
      <c r="BC1869" s="38"/>
      <c r="BD1869" s="38"/>
      <c r="BE1869" s="38"/>
      <c r="BF1869" s="38"/>
      <c r="BG1869" s="38"/>
      <c r="BH1869" s="38"/>
      <c r="BI1869" s="38"/>
      <c r="BJ1869" s="38"/>
      <c r="BK1869" s="38"/>
      <c r="BL1869" s="38"/>
      <c r="BM1869" s="38"/>
      <c r="BN1869" s="38"/>
      <c r="BO1869" s="38"/>
      <c r="BP1869" s="38"/>
      <c r="BQ1869" s="38"/>
    </row>
    <row r="1870">
      <c r="A1870" s="58"/>
      <c r="B1870" s="341"/>
      <c r="C1870" s="60"/>
      <c r="D1870" s="60"/>
      <c r="E1870" s="58"/>
      <c r="F1870" s="58"/>
      <c r="G1870" s="58"/>
      <c r="H1870" s="33" t="str">
        <f t="shared" si="33"/>
        <v/>
      </c>
      <c r="I1870" s="58"/>
      <c r="J1870" s="58"/>
      <c r="K1870" s="58"/>
      <c r="L1870" s="58"/>
      <c r="M1870" s="80"/>
      <c r="N1870" s="80"/>
      <c r="O1870" s="62"/>
      <c r="P1870" s="62"/>
      <c r="Q1870" s="62"/>
      <c r="R1870" s="62"/>
      <c r="S1870" s="37" t="str">
        <f>IFERROR(__xludf.DUMMYFUNCTION("if(not(iserror(index(split(C1870, "" ""),2))), index(split(C1870, "" ""),1),"""")"),"")</f>
        <v/>
      </c>
      <c r="T1870" s="315" t="str">
        <f>IFERROR(__xludf.DUMMYFUNCTION("if(S1870="""",C1870,if(not(iserror(index(split(C1870, "" ""),3))), index(split(C1870, "" ""),3),index(split(C1870, "" ""),2)))"),"")</f>
        <v/>
      </c>
      <c r="U1870" s="38" t="b">
        <f t="shared" si="34"/>
        <v>0</v>
      </c>
      <c r="V1870" s="38"/>
      <c r="W1870" s="40"/>
      <c r="X1870" s="40"/>
      <c r="Y1870" s="38"/>
      <c r="Z1870" s="38"/>
      <c r="AA1870" s="38"/>
      <c r="AB1870" s="38"/>
      <c r="AC1870" s="38"/>
      <c r="AD1870" s="38"/>
      <c r="AE1870" s="38"/>
      <c r="AF1870" s="38"/>
      <c r="AG1870" s="38"/>
      <c r="AH1870" s="38"/>
      <c r="AI1870" s="38"/>
      <c r="AJ1870" s="38"/>
      <c r="AK1870" s="38"/>
      <c r="AL1870" s="38"/>
      <c r="AM1870" s="38"/>
      <c r="AN1870" s="38"/>
      <c r="AO1870" s="38"/>
      <c r="AP1870" s="38"/>
      <c r="AQ1870" s="38"/>
      <c r="AR1870" s="38"/>
      <c r="AS1870" s="38"/>
      <c r="AT1870" s="38"/>
      <c r="AU1870" s="38"/>
      <c r="AV1870" s="38"/>
      <c r="AW1870" s="38"/>
      <c r="AX1870" s="38"/>
      <c r="AY1870" s="38"/>
      <c r="AZ1870" s="38"/>
      <c r="BA1870" s="38"/>
      <c r="BB1870" s="38"/>
      <c r="BC1870" s="38"/>
      <c r="BD1870" s="38"/>
      <c r="BE1870" s="38"/>
      <c r="BF1870" s="38"/>
      <c r="BG1870" s="38"/>
      <c r="BH1870" s="38"/>
      <c r="BI1870" s="38"/>
      <c r="BJ1870" s="38"/>
      <c r="BK1870" s="38"/>
      <c r="BL1870" s="38"/>
      <c r="BM1870" s="38"/>
      <c r="BN1870" s="38"/>
      <c r="BO1870" s="38"/>
      <c r="BP1870" s="38"/>
      <c r="BQ1870" s="38"/>
    </row>
    <row r="1871">
      <c r="A1871" s="58"/>
      <c r="B1871" s="341"/>
      <c r="C1871" s="60"/>
      <c r="D1871" s="60"/>
      <c r="E1871" s="58"/>
      <c r="F1871" s="58"/>
      <c r="G1871" s="58"/>
      <c r="H1871" s="33" t="str">
        <f t="shared" si="33"/>
        <v/>
      </c>
      <c r="I1871" s="58"/>
      <c r="J1871" s="58"/>
      <c r="K1871" s="58"/>
      <c r="L1871" s="58"/>
      <c r="M1871" s="80"/>
      <c r="N1871" s="80"/>
      <c r="O1871" s="58"/>
      <c r="P1871" s="58"/>
      <c r="Q1871" s="84"/>
      <c r="R1871" s="62"/>
      <c r="S1871" s="37" t="str">
        <f>IFERROR(__xludf.DUMMYFUNCTION("if(not(iserror(index(split(C1871, "" ""),2))), index(split(C1871, "" ""),1),"""")"),"")</f>
        <v/>
      </c>
      <c r="T1871" s="315" t="str">
        <f>IFERROR(__xludf.DUMMYFUNCTION("if(S1871="""",C1871,if(not(iserror(index(split(C1871, "" ""),3))), index(split(C1871, "" ""),3),index(split(C1871, "" ""),2)))"),"")</f>
        <v/>
      </c>
      <c r="U1871" s="38" t="b">
        <f t="shared" si="34"/>
        <v>0</v>
      </c>
      <c r="V1871" s="38"/>
      <c r="W1871" s="40"/>
      <c r="X1871" s="40"/>
      <c r="Y1871" s="38"/>
      <c r="Z1871" s="38"/>
      <c r="AA1871" s="38"/>
      <c r="AB1871" s="38"/>
      <c r="AC1871" s="38"/>
      <c r="AD1871" s="38"/>
      <c r="AE1871" s="38"/>
      <c r="AF1871" s="38"/>
      <c r="AG1871" s="38"/>
      <c r="AH1871" s="38"/>
      <c r="AI1871" s="38"/>
      <c r="AJ1871" s="38"/>
      <c r="AK1871" s="38"/>
      <c r="AL1871" s="38"/>
      <c r="AM1871" s="38"/>
      <c r="AN1871" s="38"/>
      <c r="AO1871" s="38"/>
      <c r="AP1871" s="38"/>
      <c r="AQ1871" s="38"/>
      <c r="AR1871" s="38"/>
      <c r="AS1871" s="38"/>
      <c r="AT1871" s="38"/>
      <c r="AU1871" s="38"/>
      <c r="AV1871" s="38"/>
      <c r="AW1871" s="38"/>
      <c r="AX1871" s="38"/>
      <c r="AY1871" s="38"/>
      <c r="AZ1871" s="38"/>
      <c r="BA1871" s="38"/>
      <c r="BB1871" s="38"/>
      <c r="BC1871" s="38"/>
      <c r="BD1871" s="38"/>
      <c r="BE1871" s="38"/>
      <c r="BF1871" s="38"/>
      <c r="BG1871" s="38"/>
      <c r="BH1871" s="38"/>
      <c r="BI1871" s="38"/>
      <c r="BJ1871" s="38"/>
      <c r="BK1871" s="38"/>
      <c r="BL1871" s="38"/>
      <c r="BM1871" s="38"/>
      <c r="BN1871" s="38"/>
      <c r="BO1871" s="38"/>
      <c r="BP1871" s="38"/>
      <c r="BQ1871" s="38"/>
    </row>
    <row r="1872">
      <c r="A1872" s="58"/>
      <c r="B1872" s="341"/>
      <c r="C1872" s="60"/>
      <c r="D1872" s="60"/>
      <c r="E1872" s="58"/>
      <c r="F1872" s="58"/>
      <c r="G1872" s="58"/>
      <c r="H1872" s="33" t="str">
        <f t="shared" si="33"/>
        <v/>
      </c>
      <c r="I1872" s="58"/>
      <c r="J1872" s="58"/>
      <c r="K1872" s="58"/>
      <c r="L1872" s="58"/>
      <c r="M1872" s="80"/>
      <c r="N1872" s="80"/>
      <c r="O1872" s="58"/>
      <c r="P1872" s="58"/>
      <c r="Q1872" s="84"/>
      <c r="R1872" s="62"/>
      <c r="S1872" s="37" t="str">
        <f>IFERROR(__xludf.DUMMYFUNCTION("if(not(iserror(index(split(C1872, "" ""),2))), index(split(C1872, "" ""),1),"""")"),"")</f>
        <v/>
      </c>
      <c r="T1872" s="315" t="str">
        <f>IFERROR(__xludf.DUMMYFUNCTION("if(S1872="""",C1872,if(not(iserror(index(split(C1872, "" ""),3))), index(split(C1872, "" ""),3),index(split(C1872, "" ""),2)))"),"")</f>
        <v/>
      </c>
      <c r="U1872" s="38" t="b">
        <f t="shared" si="34"/>
        <v>0</v>
      </c>
      <c r="V1872" s="38"/>
      <c r="W1872" s="40"/>
      <c r="X1872" s="40"/>
      <c r="Y1872" s="38"/>
      <c r="Z1872" s="38"/>
      <c r="AA1872" s="38"/>
      <c r="AB1872" s="38"/>
      <c r="AC1872" s="38"/>
      <c r="AD1872" s="38"/>
      <c r="AE1872" s="38"/>
      <c r="AF1872" s="38"/>
      <c r="AG1872" s="38"/>
      <c r="AH1872" s="38"/>
      <c r="AI1872" s="38"/>
      <c r="AJ1872" s="38"/>
      <c r="AK1872" s="38"/>
      <c r="AL1872" s="38"/>
      <c r="AM1872" s="38"/>
      <c r="AN1872" s="38"/>
      <c r="AO1872" s="38"/>
      <c r="AP1872" s="38"/>
      <c r="AQ1872" s="38"/>
      <c r="AR1872" s="38"/>
      <c r="AS1872" s="38"/>
      <c r="AT1872" s="38"/>
      <c r="AU1872" s="38"/>
      <c r="AV1872" s="38"/>
      <c r="AW1872" s="38"/>
      <c r="AX1872" s="38"/>
      <c r="AY1872" s="38"/>
      <c r="AZ1872" s="38"/>
      <c r="BA1872" s="38"/>
      <c r="BB1872" s="38"/>
      <c r="BC1872" s="38"/>
      <c r="BD1872" s="38"/>
      <c r="BE1872" s="38"/>
      <c r="BF1872" s="38"/>
      <c r="BG1872" s="38"/>
      <c r="BH1872" s="38"/>
      <c r="BI1872" s="38"/>
      <c r="BJ1872" s="38"/>
      <c r="BK1872" s="38"/>
      <c r="BL1872" s="38"/>
      <c r="BM1872" s="38"/>
      <c r="BN1872" s="38"/>
      <c r="BO1872" s="38"/>
      <c r="BP1872" s="38"/>
      <c r="BQ1872" s="38"/>
    </row>
    <row r="1873">
      <c r="A1873" s="58"/>
      <c r="B1873" s="341"/>
      <c r="C1873" s="60"/>
      <c r="D1873" s="60"/>
      <c r="E1873" s="58"/>
      <c r="F1873" s="58"/>
      <c r="G1873" s="58"/>
      <c r="H1873" s="33" t="str">
        <f t="shared" si="33"/>
        <v/>
      </c>
      <c r="I1873" s="58"/>
      <c r="J1873" s="58"/>
      <c r="K1873" s="58"/>
      <c r="L1873" s="58"/>
      <c r="M1873" s="80"/>
      <c r="N1873" s="80"/>
      <c r="O1873" s="58"/>
      <c r="P1873" s="58"/>
      <c r="Q1873" s="84"/>
      <c r="R1873" s="62"/>
      <c r="S1873" s="37" t="str">
        <f>IFERROR(__xludf.DUMMYFUNCTION("if(not(iserror(index(split(C1873, "" ""),2))), index(split(C1873, "" ""),1),"""")"),"")</f>
        <v/>
      </c>
      <c r="T1873" s="315" t="str">
        <f>IFERROR(__xludf.DUMMYFUNCTION("if(S1873="""",C1873,if(not(iserror(index(split(C1873, "" ""),3))), index(split(C1873, "" ""),3),index(split(C1873, "" ""),2)))"),"")</f>
        <v/>
      </c>
      <c r="U1873" s="38" t="b">
        <f t="shared" si="34"/>
        <v>0</v>
      </c>
      <c r="V1873" s="38"/>
      <c r="W1873" s="40"/>
      <c r="X1873" s="40"/>
      <c r="Y1873" s="38"/>
      <c r="Z1873" s="38"/>
      <c r="AA1873" s="38"/>
      <c r="AB1873" s="38"/>
      <c r="AC1873" s="38"/>
      <c r="AD1873" s="38"/>
      <c r="AE1873" s="38"/>
      <c r="AF1873" s="38"/>
      <c r="AG1873" s="38"/>
      <c r="AH1873" s="38"/>
      <c r="AI1873" s="38"/>
      <c r="AJ1873" s="38"/>
      <c r="AK1873" s="38"/>
      <c r="AL1873" s="38"/>
      <c r="AM1873" s="38"/>
      <c r="AN1873" s="38"/>
      <c r="AO1873" s="38"/>
      <c r="AP1873" s="38"/>
      <c r="AQ1873" s="38"/>
      <c r="AR1873" s="38"/>
      <c r="AS1873" s="38"/>
      <c r="AT1873" s="38"/>
      <c r="AU1873" s="38"/>
      <c r="AV1873" s="38"/>
      <c r="AW1873" s="38"/>
      <c r="AX1873" s="38"/>
      <c r="AY1873" s="38"/>
      <c r="AZ1873" s="38"/>
      <c r="BA1873" s="38"/>
      <c r="BB1873" s="38"/>
      <c r="BC1873" s="38"/>
      <c r="BD1873" s="38"/>
      <c r="BE1873" s="38"/>
      <c r="BF1873" s="38"/>
      <c r="BG1873" s="38"/>
      <c r="BH1873" s="38"/>
      <c r="BI1873" s="38"/>
      <c r="BJ1873" s="38"/>
      <c r="BK1873" s="38"/>
      <c r="BL1873" s="38"/>
      <c r="BM1873" s="38"/>
      <c r="BN1873" s="38"/>
      <c r="BO1873" s="38"/>
      <c r="BP1873" s="38"/>
      <c r="BQ1873" s="38"/>
    </row>
    <row r="1874">
      <c r="A1874" s="58"/>
      <c r="B1874" s="341"/>
      <c r="C1874" s="60"/>
      <c r="D1874" s="60"/>
      <c r="E1874" s="58"/>
      <c r="F1874" s="58"/>
      <c r="G1874" s="58"/>
      <c r="H1874" s="33" t="str">
        <f t="shared" si="33"/>
        <v/>
      </c>
      <c r="I1874" s="58"/>
      <c r="J1874" s="58"/>
      <c r="K1874" s="58"/>
      <c r="L1874" s="58"/>
      <c r="M1874" s="80"/>
      <c r="N1874" s="80"/>
      <c r="O1874" s="58"/>
      <c r="P1874" s="58"/>
      <c r="Q1874" s="84"/>
      <c r="R1874" s="62"/>
      <c r="S1874" s="37" t="str">
        <f>IFERROR(__xludf.DUMMYFUNCTION("if(not(iserror(index(split(C1874, "" ""),2))), index(split(C1874, "" ""),1),"""")"),"")</f>
        <v/>
      </c>
      <c r="T1874" s="315" t="str">
        <f>IFERROR(__xludf.DUMMYFUNCTION("if(S1874="""",C1874,if(not(iserror(index(split(C1874, "" ""),3))), index(split(C1874, "" ""),3),index(split(C1874, "" ""),2)))"),"")</f>
        <v/>
      </c>
      <c r="U1874" s="38" t="b">
        <f t="shared" si="34"/>
        <v>0</v>
      </c>
      <c r="V1874" s="38"/>
      <c r="W1874" s="40"/>
      <c r="X1874" s="40"/>
      <c r="Y1874" s="38"/>
      <c r="Z1874" s="38"/>
      <c r="AA1874" s="38"/>
      <c r="AB1874" s="38"/>
      <c r="AC1874" s="38"/>
      <c r="AD1874" s="38"/>
      <c r="AE1874" s="38"/>
      <c r="AF1874" s="38"/>
      <c r="AG1874" s="38"/>
      <c r="AH1874" s="38"/>
      <c r="AI1874" s="38"/>
      <c r="AJ1874" s="38"/>
      <c r="AK1874" s="38"/>
      <c r="AL1874" s="38"/>
      <c r="AM1874" s="38"/>
      <c r="AN1874" s="38"/>
      <c r="AO1874" s="38"/>
      <c r="AP1874" s="38"/>
      <c r="AQ1874" s="38"/>
      <c r="AR1874" s="38"/>
      <c r="AS1874" s="38"/>
      <c r="AT1874" s="38"/>
      <c r="AU1874" s="38"/>
      <c r="AV1874" s="38"/>
      <c r="AW1874" s="38"/>
      <c r="AX1874" s="38"/>
      <c r="AY1874" s="38"/>
      <c r="AZ1874" s="38"/>
      <c r="BA1874" s="38"/>
      <c r="BB1874" s="38"/>
      <c r="BC1874" s="38"/>
      <c r="BD1874" s="38"/>
      <c r="BE1874" s="38"/>
      <c r="BF1874" s="38"/>
      <c r="BG1874" s="38"/>
      <c r="BH1874" s="38"/>
      <c r="BI1874" s="38"/>
      <c r="BJ1874" s="38"/>
      <c r="BK1874" s="38"/>
      <c r="BL1874" s="38"/>
      <c r="BM1874" s="38"/>
      <c r="BN1874" s="38"/>
      <c r="BO1874" s="38"/>
      <c r="BP1874" s="38"/>
      <c r="BQ1874" s="38"/>
    </row>
    <row r="1875">
      <c r="A1875" s="58"/>
      <c r="B1875" s="341"/>
      <c r="C1875" s="60"/>
      <c r="D1875" s="60"/>
      <c r="E1875" s="58"/>
      <c r="F1875" s="58"/>
      <c r="G1875" s="58"/>
      <c r="H1875" s="33" t="str">
        <f t="shared" si="33"/>
        <v/>
      </c>
      <c r="I1875" s="58"/>
      <c r="J1875" s="58"/>
      <c r="K1875" s="58"/>
      <c r="L1875" s="58"/>
      <c r="M1875" s="80"/>
      <c r="N1875" s="80"/>
      <c r="O1875" s="58"/>
      <c r="P1875" s="62"/>
      <c r="Q1875" s="84"/>
      <c r="R1875" s="62"/>
      <c r="S1875" s="37" t="str">
        <f>IFERROR(__xludf.DUMMYFUNCTION("if(not(iserror(index(split(C1875, "" ""),2))), index(split(C1875, "" ""),1),"""")"),"")</f>
        <v/>
      </c>
      <c r="T1875" s="315" t="str">
        <f>IFERROR(__xludf.DUMMYFUNCTION("if(S1875="""",C1875,if(not(iserror(index(split(C1875, "" ""),3))), index(split(C1875, "" ""),3),index(split(C1875, "" ""),2)))"),"")</f>
        <v/>
      </c>
      <c r="U1875" s="38" t="b">
        <f t="shared" si="34"/>
        <v>0</v>
      </c>
      <c r="V1875" s="38"/>
      <c r="W1875" s="40"/>
      <c r="X1875" s="40"/>
      <c r="Y1875" s="38"/>
      <c r="Z1875" s="38"/>
      <c r="AA1875" s="38"/>
      <c r="AB1875" s="38"/>
      <c r="AC1875" s="38"/>
      <c r="AD1875" s="38"/>
      <c r="AE1875" s="38"/>
      <c r="AF1875" s="38"/>
      <c r="AG1875" s="38"/>
      <c r="AH1875" s="38"/>
      <c r="AI1875" s="38"/>
      <c r="AJ1875" s="38"/>
      <c r="AK1875" s="38"/>
      <c r="AL1875" s="38"/>
      <c r="AM1875" s="38"/>
      <c r="AN1875" s="38"/>
      <c r="AO1875" s="38"/>
      <c r="AP1875" s="38"/>
      <c r="AQ1875" s="38"/>
      <c r="AR1875" s="38"/>
      <c r="AS1875" s="38"/>
      <c r="AT1875" s="38"/>
      <c r="AU1875" s="38"/>
      <c r="AV1875" s="38"/>
      <c r="AW1875" s="38"/>
      <c r="AX1875" s="38"/>
      <c r="AY1875" s="38"/>
      <c r="AZ1875" s="38"/>
      <c r="BA1875" s="38"/>
      <c r="BB1875" s="38"/>
      <c r="BC1875" s="38"/>
      <c r="BD1875" s="38"/>
      <c r="BE1875" s="38"/>
      <c r="BF1875" s="38"/>
      <c r="BG1875" s="38"/>
      <c r="BH1875" s="38"/>
      <c r="BI1875" s="38"/>
      <c r="BJ1875" s="38"/>
      <c r="BK1875" s="38"/>
      <c r="BL1875" s="38"/>
      <c r="BM1875" s="38"/>
      <c r="BN1875" s="38"/>
      <c r="BO1875" s="38"/>
      <c r="BP1875" s="38"/>
      <c r="BQ1875" s="38"/>
    </row>
    <row r="1876">
      <c r="A1876" s="58"/>
      <c r="B1876" s="341"/>
      <c r="C1876" s="60"/>
      <c r="D1876" s="60"/>
      <c r="E1876" s="58"/>
      <c r="F1876" s="58"/>
      <c r="G1876" s="58"/>
      <c r="H1876" s="33" t="str">
        <f t="shared" si="33"/>
        <v/>
      </c>
      <c r="I1876" s="58"/>
      <c r="J1876" s="58"/>
      <c r="K1876" s="58"/>
      <c r="L1876" s="58"/>
      <c r="M1876" s="80"/>
      <c r="N1876" s="80"/>
      <c r="O1876" s="58"/>
      <c r="P1876" s="58"/>
      <c r="Q1876" s="84"/>
      <c r="R1876" s="62"/>
      <c r="S1876" s="37" t="str">
        <f>IFERROR(__xludf.DUMMYFUNCTION("if(not(iserror(index(split(C1876, "" ""),2))), index(split(C1876, "" ""),1),"""")"),"")</f>
        <v/>
      </c>
      <c r="T1876" s="315" t="str">
        <f>IFERROR(__xludf.DUMMYFUNCTION("if(S1876="""",C1876,if(not(iserror(index(split(C1876, "" ""),3))), index(split(C1876, "" ""),3),index(split(C1876, "" ""),2)))"),"")</f>
        <v/>
      </c>
      <c r="U1876" s="38" t="b">
        <f t="shared" si="34"/>
        <v>0</v>
      </c>
      <c r="V1876" s="38"/>
      <c r="W1876" s="40"/>
      <c r="X1876" s="40"/>
      <c r="Y1876" s="38"/>
      <c r="Z1876" s="38"/>
      <c r="AA1876" s="38"/>
      <c r="AB1876" s="38"/>
      <c r="AC1876" s="38"/>
      <c r="AD1876" s="38"/>
      <c r="AE1876" s="38"/>
      <c r="AF1876" s="38"/>
      <c r="AG1876" s="38"/>
      <c r="AH1876" s="38"/>
      <c r="AI1876" s="38"/>
      <c r="AJ1876" s="38"/>
      <c r="AK1876" s="38"/>
      <c r="AL1876" s="38"/>
      <c r="AM1876" s="38"/>
      <c r="AN1876" s="38"/>
      <c r="AO1876" s="38"/>
      <c r="AP1876" s="38"/>
      <c r="AQ1876" s="38"/>
      <c r="AR1876" s="38"/>
      <c r="AS1876" s="38"/>
      <c r="AT1876" s="38"/>
      <c r="AU1876" s="38"/>
      <c r="AV1876" s="38"/>
      <c r="AW1876" s="38"/>
      <c r="AX1876" s="38"/>
      <c r="AY1876" s="38"/>
      <c r="AZ1876" s="38"/>
      <c r="BA1876" s="38"/>
      <c r="BB1876" s="38"/>
      <c r="BC1876" s="38"/>
      <c r="BD1876" s="38"/>
      <c r="BE1876" s="38"/>
      <c r="BF1876" s="38"/>
      <c r="BG1876" s="38"/>
      <c r="BH1876" s="38"/>
      <c r="BI1876" s="38"/>
      <c r="BJ1876" s="38"/>
      <c r="BK1876" s="38"/>
      <c r="BL1876" s="38"/>
      <c r="BM1876" s="38"/>
      <c r="BN1876" s="38"/>
      <c r="BO1876" s="38"/>
      <c r="BP1876" s="38"/>
      <c r="BQ1876" s="38"/>
    </row>
    <row r="1877">
      <c r="A1877" s="58"/>
      <c r="B1877" s="341"/>
      <c r="C1877" s="60"/>
      <c r="D1877" s="60"/>
      <c r="E1877" s="58"/>
      <c r="F1877" s="58"/>
      <c r="G1877" s="58"/>
      <c r="H1877" s="33" t="str">
        <f t="shared" si="33"/>
        <v/>
      </c>
      <c r="I1877" s="58"/>
      <c r="J1877" s="58"/>
      <c r="K1877" s="58"/>
      <c r="L1877" s="58"/>
      <c r="M1877" s="80"/>
      <c r="N1877" s="80"/>
      <c r="O1877" s="58"/>
      <c r="P1877" s="58"/>
      <c r="Q1877" s="84"/>
      <c r="R1877" s="62"/>
      <c r="S1877" s="37" t="str">
        <f>IFERROR(__xludf.DUMMYFUNCTION("if(not(iserror(index(split(C1877, "" ""),2))), index(split(C1877, "" ""),1),"""")"),"")</f>
        <v/>
      </c>
      <c r="T1877" s="315" t="str">
        <f>IFERROR(__xludf.DUMMYFUNCTION("if(S1877="""",C1877,if(not(iserror(index(split(C1877, "" ""),3))), index(split(C1877, "" ""),3),index(split(C1877, "" ""),2)))"),"")</f>
        <v/>
      </c>
      <c r="U1877" s="38" t="b">
        <f t="shared" si="34"/>
        <v>0</v>
      </c>
      <c r="V1877" s="38"/>
      <c r="W1877" s="40"/>
      <c r="X1877" s="40"/>
      <c r="Y1877" s="38"/>
      <c r="Z1877" s="38"/>
      <c r="AA1877" s="38"/>
      <c r="AB1877" s="38"/>
      <c r="AC1877" s="38"/>
      <c r="AD1877" s="38"/>
      <c r="AE1877" s="38"/>
      <c r="AF1877" s="38"/>
      <c r="AG1877" s="38"/>
      <c r="AH1877" s="38"/>
      <c r="AI1877" s="38"/>
      <c r="AJ1877" s="38"/>
      <c r="AK1877" s="38"/>
      <c r="AL1877" s="38"/>
      <c r="AM1877" s="38"/>
      <c r="AN1877" s="38"/>
      <c r="AO1877" s="38"/>
      <c r="AP1877" s="38"/>
      <c r="AQ1877" s="38"/>
      <c r="AR1877" s="38"/>
      <c r="AS1877" s="38"/>
      <c r="AT1877" s="38"/>
      <c r="AU1877" s="38"/>
      <c r="AV1877" s="38"/>
      <c r="AW1877" s="38"/>
      <c r="AX1877" s="38"/>
      <c r="AY1877" s="38"/>
      <c r="AZ1877" s="38"/>
      <c r="BA1877" s="38"/>
      <c r="BB1877" s="38"/>
      <c r="BC1877" s="38"/>
      <c r="BD1877" s="38"/>
      <c r="BE1877" s="38"/>
      <c r="BF1877" s="38"/>
      <c r="BG1877" s="38"/>
      <c r="BH1877" s="38"/>
      <c r="BI1877" s="38"/>
      <c r="BJ1877" s="38"/>
      <c r="BK1877" s="38"/>
      <c r="BL1877" s="38"/>
      <c r="BM1877" s="38"/>
      <c r="BN1877" s="38"/>
      <c r="BO1877" s="38"/>
      <c r="BP1877" s="38"/>
      <c r="BQ1877" s="38"/>
    </row>
    <row r="1878">
      <c r="A1878" s="58"/>
      <c r="B1878" s="341"/>
      <c r="C1878" s="60"/>
      <c r="D1878" s="60"/>
      <c r="E1878" s="58"/>
      <c r="F1878" s="58"/>
      <c r="G1878" s="58"/>
      <c r="H1878" s="33" t="str">
        <f t="shared" si="33"/>
        <v/>
      </c>
      <c r="I1878" s="58"/>
      <c r="J1878" s="58"/>
      <c r="K1878" s="58"/>
      <c r="L1878" s="58"/>
      <c r="M1878" s="80"/>
      <c r="N1878" s="80"/>
      <c r="O1878" s="58"/>
      <c r="P1878" s="58"/>
      <c r="Q1878" s="84"/>
      <c r="R1878" s="62"/>
      <c r="S1878" s="37" t="str">
        <f>IFERROR(__xludf.DUMMYFUNCTION("if(not(iserror(index(split(C1878, "" ""),2))), index(split(C1878, "" ""),1),"""")"),"")</f>
        <v/>
      </c>
      <c r="T1878" s="315" t="str">
        <f>IFERROR(__xludf.DUMMYFUNCTION("if(S1878="""",C1878,if(not(iserror(index(split(C1878, "" ""),3))), index(split(C1878, "" ""),3),index(split(C1878, "" ""),2)))"),"")</f>
        <v/>
      </c>
      <c r="U1878" s="38" t="b">
        <f t="shared" si="34"/>
        <v>0</v>
      </c>
      <c r="V1878" s="38"/>
      <c r="W1878" s="40"/>
      <c r="X1878" s="40"/>
      <c r="Y1878" s="38"/>
      <c r="Z1878" s="38"/>
      <c r="AA1878" s="38"/>
      <c r="AB1878" s="38"/>
      <c r="AC1878" s="38"/>
      <c r="AD1878" s="38"/>
      <c r="AE1878" s="38"/>
      <c r="AF1878" s="38"/>
      <c r="AG1878" s="38"/>
      <c r="AH1878" s="38"/>
      <c r="AI1878" s="38"/>
      <c r="AJ1878" s="38"/>
      <c r="AK1878" s="38"/>
      <c r="AL1878" s="38"/>
      <c r="AM1878" s="38"/>
      <c r="AN1878" s="38"/>
      <c r="AO1878" s="38"/>
      <c r="AP1878" s="38"/>
      <c r="AQ1878" s="38"/>
      <c r="AR1878" s="38"/>
      <c r="AS1878" s="38"/>
      <c r="AT1878" s="38"/>
      <c r="AU1878" s="38"/>
      <c r="AV1878" s="38"/>
      <c r="AW1878" s="38"/>
      <c r="AX1878" s="38"/>
      <c r="AY1878" s="38"/>
      <c r="AZ1878" s="38"/>
      <c r="BA1878" s="38"/>
      <c r="BB1878" s="38"/>
      <c r="BC1878" s="38"/>
      <c r="BD1878" s="38"/>
      <c r="BE1878" s="38"/>
      <c r="BF1878" s="38"/>
      <c r="BG1878" s="38"/>
      <c r="BH1878" s="38"/>
      <c r="BI1878" s="38"/>
      <c r="BJ1878" s="38"/>
      <c r="BK1878" s="38"/>
      <c r="BL1878" s="38"/>
      <c r="BM1878" s="38"/>
      <c r="BN1878" s="38"/>
      <c r="BO1878" s="38"/>
      <c r="BP1878" s="38"/>
      <c r="BQ1878" s="38"/>
    </row>
    <row r="1879">
      <c r="A1879" s="58"/>
      <c r="B1879" s="341"/>
      <c r="C1879" s="60"/>
      <c r="D1879" s="60"/>
      <c r="E1879" s="58"/>
      <c r="F1879" s="58"/>
      <c r="G1879" s="58"/>
      <c r="H1879" s="33" t="str">
        <f t="shared" si="33"/>
        <v/>
      </c>
      <c r="I1879" s="58"/>
      <c r="J1879" s="58"/>
      <c r="K1879" s="58"/>
      <c r="L1879" s="58"/>
      <c r="M1879" s="80"/>
      <c r="N1879" s="80"/>
      <c r="O1879" s="58"/>
      <c r="P1879" s="58"/>
      <c r="Q1879" s="84"/>
      <c r="R1879" s="62"/>
      <c r="S1879" s="37" t="str">
        <f>IFERROR(__xludf.DUMMYFUNCTION("if(not(iserror(index(split(C1879, "" ""),2))), index(split(C1879, "" ""),1),"""")"),"")</f>
        <v/>
      </c>
      <c r="T1879" s="315" t="str">
        <f>IFERROR(__xludf.DUMMYFUNCTION("if(S1879="""",C1879,if(not(iserror(index(split(C1879, "" ""),3))), index(split(C1879, "" ""),3),index(split(C1879, "" ""),2)))"),"")</f>
        <v/>
      </c>
      <c r="U1879" s="38" t="b">
        <f t="shared" si="34"/>
        <v>0</v>
      </c>
      <c r="V1879" s="38"/>
      <c r="W1879" s="40"/>
      <c r="X1879" s="40"/>
      <c r="Y1879" s="38"/>
      <c r="Z1879" s="38"/>
      <c r="AA1879" s="38"/>
      <c r="AB1879" s="38"/>
      <c r="AC1879" s="38"/>
      <c r="AD1879" s="38"/>
      <c r="AE1879" s="38"/>
      <c r="AF1879" s="38"/>
      <c r="AG1879" s="38"/>
      <c r="AH1879" s="38"/>
      <c r="AI1879" s="38"/>
      <c r="AJ1879" s="38"/>
      <c r="AK1879" s="38"/>
      <c r="AL1879" s="38"/>
      <c r="AM1879" s="38"/>
      <c r="AN1879" s="38"/>
      <c r="AO1879" s="38"/>
      <c r="AP1879" s="38"/>
      <c r="AQ1879" s="38"/>
      <c r="AR1879" s="38"/>
      <c r="AS1879" s="38"/>
      <c r="AT1879" s="38"/>
      <c r="AU1879" s="38"/>
      <c r="AV1879" s="38"/>
      <c r="AW1879" s="38"/>
      <c r="AX1879" s="38"/>
      <c r="AY1879" s="38"/>
      <c r="AZ1879" s="38"/>
      <c r="BA1879" s="38"/>
      <c r="BB1879" s="38"/>
      <c r="BC1879" s="38"/>
      <c r="BD1879" s="38"/>
      <c r="BE1879" s="38"/>
      <c r="BF1879" s="38"/>
      <c r="BG1879" s="38"/>
      <c r="BH1879" s="38"/>
      <c r="BI1879" s="38"/>
      <c r="BJ1879" s="38"/>
      <c r="BK1879" s="38"/>
      <c r="BL1879" s="38"/>
      <c r="BM1879" s="38"/>
      <c r="BN1879" s="38"/>
      <c r="BO1879" s="38"/>
      <c r="BP1879" s="38"/>
      <c r="BQ1879" s="38"/>
    </row>
    <row r="1880">
      <c r="A1880" s="58"/>
      <c r="B1880" s="341"/>
      <c r="C1880" s="60"/>
      <c r="D1880" s="60"/>
      <c r="E1880" s="58"/>
      <c r="F1880" s="58"/>
      <c r="G1880" s="58"/>
      <c r="H1880" s="33" t="str">
        <f t="shared" si="33"/>
        <v/>
      </c>
      <c r="I1880" s="58"/>
      <c r="J1880" s="58"/>
      <c r="K1880" s="58"/>
      <c r="L1880" s="58"/>
      <c r="M1880" s="80"/>
      <c r="N1880" s="80"/>
      <c r="O1880" s="58"/>
      <c r="P1880" s="62"/>
      <c r="Q1880" s="84"/>
      <c r="R1880" s="62"/>
      <c r="S1880" s="37" t="str">
        <f>IFERROR(__xludf.DUMMYFUNCTION("if(not(iserror(index(split(C1880, "" ""),2))), index(split(C1880, "" ""),1),"""")"),"")</f>
        <v/>
      </c>
      <c r="T1880" s="315" t="str">
        <f>IFERROR(__xludf.DUMMYFUNCTION("if(S1880="""",C1880,if(not(iserror(index(split(C1880, "" ""),3))), index(split(C1880, "" ""),3),index(split(C1880, "" ""),2)))"),"")</f>
        <v/>
      </c>
      <c r="U1880" s="38" t="b">
        <f t="shared" si="34"/>
        <v>0</v>
      </c>
      <c r="V1880" s="38"/>
      <c r="W1880" s="40"/>
      <c r="X1880" s="40"/>
      <c r="Y1880" s="38"/>
      <c r="Z1880" s="38"/>
      <c r="AA1880" s="38"/>
      <c r="AB1880" s="38"/>
      <c r="AC1880" s="38"/>
      <c r="AD1880" s="38"/>
      <c r="AE1880" s="38"/>
      <c r="AF1880" s="38"/>
      <c r="AG1880" s="38"/>
      <c r="AH1880" s="38"/>
      <c r="AI1880" s="38"/>
      <c r="AJ1880" s="38"/>
      <c r="AK1880" s="38"/>
      <c r="AL1880" s="38"/>
      <c r="AM1880" s="38"/>
      <c r="AN1880" s="38"/>
      <c r="AO1880" s="38"/>
      <c r="AP1880" s="38"/>
      <c r="AQ1880" s="38"/>
      <c r="AR1880" s="38"/>
      <c r="AS1880" s="38"/>
      <c r="AT1880" s="38"/>
      <c r="AU1880" s="38"/>
      <c r="AV1880" s="38"/>
      <c r="AW1880" s="38"/>
      <c r="AX1880" s="38"/>
      <c r="AY1880" s="38"/>
      <c r="AZ1880" s="38"/>
      <c r="BA1880" s="38"/>
      <c r="BB1880" s="38"/>
      <c r="BC1880" s="38"/>
      <c r="BD1880" s="38"/>
      <c r="BE1880" s="38"/>
      <c r="BF1880" s="38"/>
      <c r="BG1880" s="38"/>
      <c r="BH1880" s="38"/>
      <c r="BI1880" s="38"/>
      <c r="BJ1880" s="38"/>
      <c r="BK1880" s="38"/>
      <c r="BL1880" s="38"/>
      <c r="BM1880" s="38"/>
      <c r="BN1880" s="38"/>
      <c r="BO1880" s="38"/>
      <c r="BP1880" s="38"/>
      <c r="BQ1880" s="38"/>
    </row>
    <row r="1881">
      <c r="A1881" s="58"/>
      <c r="B1881" s="341"/>
      <c r="C1881" s="60"/>
      <c r="D1881" s="60"/>
      <c r="E1881" s="58"/>
      <c r="F1881" s="58"/>
      <c r="G1881" s="58"/>
      <c r="H1881" s="33" t="str">
        <f t="shared" si="33"/>
        <v/>
      </c>
      <c r="I1881" s="58"/>
      <c r="J1881" s="58"/>
      <c r="K1881" s="58"/>
      <c r="L1881" s="58"/>
      <c r="M1881" s="80"/>
      <c r="N1881" s="80"/>
      <c r="O1881" s="62"/>
      <c r="P1881" s="58"/>
      <c r="Q1881" s="84"/>
      <c r="R1881" s="62"/>
      <c r="S1881" s="37" t="str">
        <f>IFERROR(__xludf.DUMMYFUNCTION("if(not(iserror(index(split(C1881, "" ""),2))), index(split(C1881, "" ""),1),"""")"),"")</f>
        <v/>
      </c>
      <c r="T1881" s="315" t="str">
        <f>IFERROR(__xludf.DUMMYFUNCTION("if(S1881="""",C1881,if(not(iserror(index(split(C1881, "" ""),3))), index(split(C1881, "" ""),3),index(split(C1881, "" ""),2)))"),"")</f>
        <v/>
      </c>
      <c r="U1881" s="38" t="b">
        <f t="shared" si="34"/>
        <v>0</v>
      </c>
      <c r="V1881" s="38"/>
      <c r="W1881" s="40"/>
      <c r="X1881" s="40"/>
      <c r="Y1881" s="38"/>
      <c r="Z1881" s="38"/>
      <c r="AA1881" s="38"/>
      <c r="AB1881" s="38"/>
      <c r="AC1881" s="38"/>
      <c r="AD1881" s="38"/>
      <c r="AE1881" s="38"/>
      <c r="AF1881" s="38"/>
      <c r="AG1881" s="38"/>
      <c r="AH1881" s="38"/>
      <c r="AI1881" s="38"/>
      <c r="AJ1881" s="38"/>
      <c r="AK1881" s="38"/>
      <c r="AL1881" s="38"/>
      <c r="AM1881" s="38"/>
      <c r="AN1881" s="38"/>
      <c r="AO1881" s="38"/>
      <c r="AP1881" s="38"/>
      <c r="AQ1881" s="38"/>
      <c r="AR1881" s="38"/>
      <c r="AS1881" s="38"/>
      <c r="AT1881" s="38"/>
      <c r="AU1881" s="38"/>
      <c r="AV1881" s="38"/>
      <c r="AW1881" s="38"/>
      <c r="AX1881" s="38"/>
      <c r="AY1881" s="38"/>
      <c r="AZ1881" s="38"/>
      <c r="BA1881" s="38"/>
      <c r="BB1881" s="38"/>
      <c r="BC1881" s="38"/>
      <c r="BD1881" s="38"/>
      <c r="BE1881" s="38"/>
      <c r="BF1881" s="38"/>
      <c r="BG1881" s="38"/>
      <c r="BH1881" s="38"/>
      <c r="BI1881" s="38"/>
      <c r="BJ1881" s="38"/>
      <c r="BK1881" s="38"/>
      <c r="BL1881" s="38"/>
      <c r="BM1881" s="38"/>
      <c r="BN1881" s="38"/>
      <c r="BO1881" s="38"/>
      <c r="BP1881" s="38"/>
      <c r="BQ1881" s="38"/>
    </row>
    <row r="1882">
      <c r="A1882" s="375"/>
      <c r="B1882" s="341"/>
      <c r="C1882" s="60"/>
      <c r="D1882" s="60"/>
      <c r="E1882" s="58"/>
      <c r="F1882" s="58"/>
      <c r="G1882" s="58"/>
      <c r="H1882" s="33" t="str">
        <f t="shared" si="33"/>
        <v/>
      </c>
      <c r="I1882" s="58"/>
      <c r="J1882" s="58"/>
      <c r="K1882" s="58"/>
      <c r="L1882" s="58"/>
      <c r="M1882" s="80"/>
      <c r="N1882" s="80"/>
      <c r="O1882" s="62"/>
      <c r="P1882" s="62"/>
      <c r="Q1882" s="62"/>
      <c r="R1882" s="62"/>
      <c r="S1882" s="37" t="str">
        <f>IFERROR(__xludf.DUMMYFUNCTION("if(not(iserror(index(split(C1882, "" ""),2))), index(split(C1882, "" ""),1),"""")"),"")</f>
        <v/>
      </c>
      <c r="T1882" s="315" t="str">
        <f>IFERROR(__xludf.DUMMYFUNCTION("if(S1882="""",C1882,if(not(iserror(index(split(C1882, "" ""),3))), index(split(C1882, "" ""),3),index(split(C1882, "" ""),2)))"),"")</f>
        <v/>
      </c>
      <c r="U1882" s="38" t="b">
        <f t="shared" si="34"/>
        <v>0</v>
      </c>
      <c r="V1882" s="38"/>
      <c r="W1882" s="40"/>
      <c r="X1882" s="40"/>
      <c r="Y1882" s="38"/>
      <c r="Z1882" s="38"/>
      <c r="AA1882" s="38"/>
      <c r="AB1882" s="38"/>
      <c r="AC1882" s="38"/>
      <c r="AD1882" s="38"/>
      <c r="AE1882" s="38"/>
      <c r="AF1882" s="38"/>
      <c r="AG1882" s="38"/>
      <c r="AH1882" s="38"/>
      <c r="AI1882" s="38"/>
      <c r="AJ1882" s="38"/>
      <c r="AK1882" s="38"/>
      <c r="AL1882" s="38"/>
      <c r="AM1882" s="38"/>
      <c r="AN1882" s="38"/>
      <c r="AO1882" s="38"/>
      <c r="AP1882" s="38"/>
      <c r="AQ1882" s="38"/>
      <c r="AR1882" s="38"/>
      <c r="AS1882" s="38"/>
      <c r="AT1882" s="38"/>
      <c r="AU1882" s="38"/>
      <c r="AV1882" s="38"/>
      <c r="AW1882" s="38"/>
      <c r="AX1882" s="38"/>
      <c r="AY1882" s="38"/>
      <c r="AZ1882" s="38"/>
      <c r="BA1882" s="38"/>
      <c r="BB1882" s="38"/>
      <c r="BC1882" s="38"/>
      <c r="BD1882" s="38"/>
      <c r="BE1882" s="38"/>
      <c r="BF1882" s="38"/>
      <c r="BG1882" s="38"/>
      <c r="BH1882" s="38"/>
      <c r="BI1882" s="38"/>
      <c r="BJ1882" s="38"/>
      <c r="BK1882" s="38"/>
      <c r="BL1882" s="38"/>
      <c r="BM1882" s="38"/>
      <c r="BN1882" s="38"/>
      <c r="BO1882" s="38"/>
      <c r="BP1882" s="38"/>
      <c r="BQ1882" s="38"/>
    </row>
    <row r="1883">
      <c r="A1883" s="375"/>
      <c r="B1883" s="341"/>
      <c r="C1883" s="60"/>
      <c r="D1883" s="60"/>
      <c r="E1883" s="58"/>
      <c r="F1883" s="58"/>
      <c r="G1883" s="58"/>
      <c r="H1883" s="33" t="str">
        <f t="shared" si="33"/>
        <v/>
      </c>
      <c r="I1883" s="58"/>
      <c r="J1883" s="58"/>
      <c r="K1883" s="58"/>
      <c r="L1883" s="58"/>
      <c r="M1883" s="80"/>
      <c r="N1883" s="80"/>
      <c r="O1883" s="62"/>
      <c r="P1883" s="62"/>
      <c r="Q1883" s="84"/>
      <c r="R1883" s="62"/>
      <c r="S1883" s="37" t="str">
        <f>IFERROR(__xludf.DUMMYFUNCTION("if(not(iserror(index(split(C1883, "" ""),2))), index(split(C1883, "" ""),1),"""")"),"")</f>
        <v/>
      </c>
      <c r="T1883" s="315" t="str">
        <f>IFERROR(__xludf.DUMMYFUNCTION("if(S1883="""",C1883,if(not(iserror(index(split(C1883, "" ""),3))), index(split(C1883, "" ""),3),index(split(C1883, "" ""),2)))"),"")</f>
        <v/>
      </c>
      <c r="U1883" s="38" t="b">
        <f t="shared" si="34"/>
        <v>0</v>
      </c>
      <c r="V1883" s="38"/>
      <c r="W1883" s="40"/>
      <c r="X1883" s="40"/>
      <c r="Y1883" s="38"/>
      <c r="Z1883" s="38"/>
      <c r="AA1883" s="38"/>
      <c r="AB1883" s="38"/>
      <c r="AC1883" s="38"/>
      <c r="AD1883" s="38"/>
      <c r="AE1883" s="38"/>
      <c r="AF1883" s="38"/>
      <c r="AG1883" s="38"/>
      <c r="AH1883" s="38"/>
      <c r="AI1883" s="38"/>
      <c r="AJ1883" s="38"/>
      <c r="AK1883" s="38"/>
      <c r="AL1883" s="38"/>
      <c r="AM1883" s="38"/>
      <c r="AN1883" s="38"/>
      <c r="AO1883" s="38"/>
      <c r="AP1883" s="38"/>
      <c r="AQ1883" s="38"/>
      <c r="AR1883" s="38"/>
      <c r="AS1883" s="38"/>
      <c r="AT1883" s="38"/>
      <c r="AU1883" s="38"/>
      <c r="AV1883" s="38"/>
      <c r="AW1883" s="38"/>
      <c r="AX1883" s="38"/>
      <c r="AY1883" s="38"/>
      <c r="AZ1883" s="38"/>
      <c r="BA1883" s="38"/>
      <c r="BB1883" s="38"/>
      <c r="BC1883" s="38"/>
      <c r="BD1883" s="38"/>
      <c r="BE1883" s="38"/>
      <c r="BF1883" s="38"/>
      <c r="BG1883" s="38"/>
      <c r="BH1883" s="38"/>
      <c r="BI1883" s="38"/>
      <c r="BJ1883" s="38"/>
      <c r="BK1883" s="38"/>
      <c r="BL1883" s="38"/>
      <c r="BM1883" s="38"/>
      <c r="BN1883" s="38"/>
      <c r="BO1883" s="38"/>
      <c r="BP1883" s="38"/>
      <c r="BQ1883" s="38"/>
    </row>
    <row r="1884">
      <c r="A1884" s="58"/>
      <c r="B1884" s="341"/>
      <c r="C1884" s="60"/>
      <c r="D1884" s="60"/>
      <c r="E1884" s="58"/>
      <c r="F1884" s="58"/>
      <c r="G1884" s="58"/>
      <c r="H1884" s="33" t="str">
        <f t="shared" si="33"/>
        <v/>
      </c>
      <c r="I1884" s="58"/>
      <c r="J1884" s="58"/>
      <c r="K1884" s="58"/>
      <c r="L1884" s="58"/>
      <c r="M1884" s="80"/>
      <c r="N1884" s="80"/>
      <c r="O1884" s="58"/>
      <c r="P1884" s="58"/>
      <c r="Q1884" s="84"/>
      <c r="R1884" s="62"/>
      <c r="S1884" s="37" t="str">
        <f>IFERROR(__xludf.DUMMYFUNCTION("if(not(iserror(index(split(C1884, "" ""),2))), index(split(C1884, "" ""),1),"""")"),"")</f>
        <v/>
      </c>
      <c r="T1884" s="315" t="str">
        <f>IFERROR(__xludf.DUMMYFUNCTION("if(S1884="""",C1884,if(not(iserror(index(split(C1884, "" ""),3))), index(split(C1884, "" ""),3),index(split(C1884, "" ""),2)))"),"")</f>
        <v/>
      </c>
      <c r="U1884" s="38" t="b">
        <f t="shared" si="34"/>
        <v>0</v>
      </c>
      <c r="V1884" s="38"/>
      <c r="W1884" s="40"/>
      <c r="X1884" s="40"/>
      <c r="Y1884" s="38"/>
      <c r="Z1884" s="38"/>
      <c r="AA1884" s="38"/>
      <c r="AB1884" s="38"/>
      <c r="AC1884" s="38"/>
      <c r="AD1884" s="38"/>
      <c r="AE1884" s="38"/>
      <c r="AF1884" s="38"/>
      <c r="AG1884" s="38"/>
      <c r="AH1884" s="38"/>
      <c r="AI1884" s="38"/>
      <c r="AJ1884" s="38"/>
      <c r="AK1884" s="38"/>
      <c r="AL1884" s="38"/>
      <c r="AM1884" s="38"/>
      <c r="AN1884" s="38"/>
      <c r="AO1884" s="38"/>
      <c r="AP1884" s="38"/>
      <c r="AQ1884" s="38"/>
      <c r="AR1884" s="38"/>
      <c r="AS1884" s="38"/>
      <c r="AT1884" s="38"/>
      <c r="AU1884" s="38"/>
      <c r="AV1884" s="38"/>
      <c r="AW1884" s="38"/>
      <c r="AX1884" s="38"/>
      <c r="AY1884" s="38"/>
      <c r="AZ1884" s="38"/>
      <c r="BA1884" s="38"/>
      <c r="BB1884" s="38"/>
      <c r="BC1884" s="38"/>
      <c r="BD1884" s="38"/>
      <c r="BE1884" s="38"/>
      <c r="BF1884" s="38"/>
      <c r="BG1884" s="38"/>
      <c r="BH1884" s="38"/>
      <c r="BI1884" s="38"/>
      <c r="BJ1884" s="38"/>
      <c r="BK1884" s="38"/>
      <c r="BL1884" s="38"/>
      <c r="BM1884" s="38"/>
      <c r="BN1884" s="38"/>
      <c r="BO1884" s="38"/>
      <c r="BP1884" s="38"/>
      <c r="BQ1884" s="38"/>
    </row>
    <row r="1885">
      <c r="A1885" s="58"/>
      <c r="B1885" s="341"/>
      <c r="C1885" s="60"/>
      <c r="D1885" s="60"/>
      <c r="E1885" s="58"/>
      <c r="F1885" s="58"/>
      <c r="G1885" s="58"/>
      <c r="H1885" s="33" t="str">
        <f t="shared" si="33"/>
        <v/>
      </c>
      <c r="I1885" s="58"/>
      <c r="J1885" s="58"/>
      <c r="K1885" s="58"/>
      <c r="L1885" s="58"/>
      <c r="M1885" s="80"/>
      <c r="N1885" s="80"/>
      <c r="O1885" s="58"/>
      <c r="P1885" s="58"/>
      <c r="Q1885" s="84"/>
      <c r="R1885" s="62"/>
      <c r="S1885" s="37" t="str">
        <f>IFERROR(__xludf.DUMMYFUNCTION("if(not(iserror(index(split(C1885, "" ""),2))), index(split(C1885, "" ""),1),"""")"),"")</f>
        <v/>
      </c>
      <c r="T1885" s="315" t="str">
        <f>IFERROR(__xludf.DUMMYFUNCTION("if(S1885="""",C1885,if(not(iserror(index(split(C1885, "" ""),3))), index(split(C1885, "" ""),3),index(split(C1885, "" ""),2)))"),"")</f>
        <v/>
      </c>
      <c r="U1885" s="38" t="b">
        <f t="shared" si="34"/>
        <v>0</v>
      </c>
      <c r="V1885" s="38"/>
      <c r="W1885" s="40"/>
      <c r="X1885" s="40"/>
      <c r="Y1885" s="38"/>
      <c r="Z1885" s="38"/>
      <c r="AA1885" s="38"/>
      <c r="AB1885" s="38"/>
      <c r="AC1885" s="38"/>
      <c r="AD1885" s="38"/>
      <c r="AE1885" s="38"/>
      <c r="AF1885" s="38"/>
      <c r="AG1885" s="38"/>
      <c r="AH1885" s="38"/>
      <c r="AI1885" s="38"/>
      <c r="AJ1885" s="38"/>
      <c r="AK1885" s="38"/>
      <c r="AL1885" s="38"/>
      <c r="AM1885" s="38"/>
      <c r="AN1885" s="38"/>
      <c r="AO1885" s="38"/>
      <c r="AP1885" s="38"/>
      <c r="AQ1885" s="38"/>
      <c r="AR1885" s="38"/>
      <c r="AS1885" s="38"/>
      <c r="AT1885" s="38"/>
      <c r="AU1885" s="38"/>
      <c r="AV1885" s="38"/>
      <c r="AW1885" s="38"/>
      <c r="AX1885" s="38"/>
      <c r="AY1885" s="38"/>
      <c r="AZ1885" s="38"/>
      <c r="BA1885" s="38"/>
      <c r="BB1885" s="38"/>
      <c r="BC1885" s="38"/>
      <c r="BD1885" s="38"/>
      <c r="BE1885" s="38"/>
      <c r="BF1885" s="38"/>
      <c r="BG1885" s="38"/>
      <c r="BH1885" s="38"/>
      <c r="BI1885" s="38"/>
      <c r="BJ1885" s="38"/>
      <c r="BK1885" s="38"/>
      <c r="BL1885" s="38"/>
      <c r="BM1885" s="38"/>
      <c r="BN1885" s="38"/>
      <c r="BO1885" s="38"/>
      <c r="BP1885" s="38"/>
      <c r="BQ1885" s="38"/>
    </row>
    <row r="1886">
      <c r="A1886" s="58"/>
      <c r="B1886" s="341"/>
      <c r="C1886" s="60"/>
      <c r="D1886" s="60"/>
      <c r="E1886" s="58"/>
      <c r="F1886" s="58"/>
      <c r="G1886" s="58"/>
      <c r="H1886" s="33" t="str">
        <f t="shared" si="33"/>
        <v/>
      </c>
      <c r="I1886" s="58"/>
      <c r="J1886" s="58"/>
      <c r="K1886" s="58"/>
      <c r="L1886" s="58"/>
      <c r="M1886" s="80"/>
      <c r="N1886" s="80"/>
      <c r="O1886" s="58"/>
      <c r="P1886" s="58"/>
      <c r="Q1886" s="84"/>
      <c r="R1886" s="62"/>
      <c r="S1886" s="37" t="str">
        <f>IFERROR(__xludf.DUMMYFUNCTION("if(not(iserror(index(split(C1886, "" ""),2))), index(split(C1886, "" ""),1),"""")"),"")</f>
        <v/>
      </c>
      <c r="T1886" s="315" t="str">
        <f>IFERROR(__xludf.DUMMYFUNCTION("if(S1886="""",C1886,if(not(iserror(index(split(C1886, "" ""),3))), index(split(C1886, "" ""),3),index(split(C1886, "" ""),2)))"),"")</f>
        <v/>
      </c>
      <c r="U1886" s="38" t="b">
        <f t="shared" si="34"/>
        <v>0</v>
      </c>
      <c r="V1886" s="38"/>
      <c r="W1886" s="40"/>
      <c r="X1886" s="40"/>
      <c r="Y1886" s="38"/>
      <c r="Z1886" s="38"/>
      <c r="AA1886" s="38"/>
      <c r="AB1886" s="38"/>
      <c r="AC1886" s="38"/>
      <c r="AD1886" s="38"/>
      <c r="AE1886" s="38"/>
      <c r="AF1886" s="38"/>
      <c r="AG1886" s="38"/>
      <c r="AH1886" s="38"/>
      <c r="AI1886" s="38"/>
      <c r="AJ1886" s="38"/>
      <c r="AK1886" s="38"/>
      <c r="AL1886" s="38"/>
      <c r="AM1886" s="38"/>
      <c r="AN1886" s="38"/>
      <c r="AO1886" s="38"/>
      <c r="AP1886" s="38"/>
      <c r="AQ1886" s="38"/>
      <c r="AR1886" s="38"/>
      <c r="AS1886" s="38"/>
      <c r="AT1886" s="38"/>
      <c r="AU1886" s="38"/>
      <c r="AV1886" s="38"/>
      <c r="AW1886" s="38"/>
      <c r="AX1886" s="38"/>
      <c r="AY1886" s="38"/>
      <c r="AZ1886" s="38"/>
      <c r="BA1886" s="38"/>
      <c r="BB1886" s="38"/>
      <c r="BC1886" s="38"/>
      <c r="BD1886" s="38"/>
      <c r="BE1886" s="38"/>
      <c r="BF1886" s="38"/>
      <c r="BG1886" s="38"/>
      <c r="BH1886" s="38"/>
      <c r="BI1886" s="38"/>
      <c r="BJ1886" s="38"/>
      <c r="BK1886" s="38"/>
      <c r="BL1886" s="38"/>
      <c r="BM1886" s="38"/>
      <c r="BN1886" s="38"/>
      <c r="BO1886" s="38"/>
      <c r="BP1886" s="38"/>
      <c r="BQ1886" s="38"/>
    </row>
    <row r="1887">
      <c r="A1887" s="58"/>
      <c r="B1887" s="341"/>
      <c r="C1887" s="60"/>
      <c r="D1887" s="60"/>
      <c r="E1887" s="58"/>
      <c r="F1887" s="58"/>
      <c r="G1887" s="58"/>
      <c r="H1887" s="33" t="str">
        <f t="shared" si="33"/>
        <v/>
      </c>
      <c r="I1887" s="58"/>
      <c r="J1887" s="58"/>
      <c r="K1887" s="58"/>
      <c r="L1887" s="58"/>
      <c r="M1887" s="80"/>
      <c r="N1887" s="80"/>
      <c r="O1887" s="58"/>
      <c r="P1887" s="58"/>
      <c r="Q1887" s="84"/>
      <c r="R1887" s="62"/>
      <c r="S1887" s="37" t="str">
        <f>IFERROR(__xludf.DUMMYFUNCTION("if(not(iserror(index(split(C1887, "" ""),2))), index(split(C1887, "" ""),1),"""")"),"")</f>
        <v/>
      </c>
      <c r="T1887" s="315" t="str">
        <f>IFERROR(__xludf.DUMMYFUNCTION("if(S1887="""",C1887,if(not(iserror(index(split(C1887, "" ""),3))), index(split(C1887, "" ""),3),index(split(C1887, "" ""),2)))"),"")</f>
        <v/>
      </c>
      <c r="U1887" s="38" t="b">
        <f t="shared" si="34"/>
        <v>0</v>
      </c>
      <c r="V1887" s="38"/>
      <c r="W1887" s="40"/>
      <c r="X1887" s="40"/>
      <c r="Y1887" s="38"/>
      <c r="Z1887" s="38"/>
      <c r="AA1887" s="38"/>
      <c r="AB1887" s="38"/>
      <c r="AC1887" s="38"/>
      <c r="AD1887" s="38"/>
      <c r="AE1887" s="38"/>
      <c r="AF1887" s="38"/>
      <c r="AG1887" s="38"/>
      <c r="AH1887" s="38"/>
      <c r="AI1887" s="38"/>
      <c r="AJ1887" s="38"/>
      <c r="AK1887" s="38"/>
      <c r="AL1887" s="38"/>
      <c r="AM1887" s="38"/>
      <c r="AN1887" s="38"/>
      <c r="AO1887" s="38"/>
      <c r="AP1887" s="38"/>
      <c r="AQ1887" s="38"/>
      <c r="AR1887" s="38"/>
      <c r="AS1887" s="38"/>
      <c r="AT1887" s="38"/>
      <c r="AU1887" s="38"/>
      <c r="AV1887" s="38"/>
      <c r="AW1887" s="38"/>
      <c r="AX1887" s="38"/>
      <c r="AY1887" s="38"/>
      <c r="AZ1887" s="38"/>
      <c r="BA1887" s="38"/>
      <c r="BB1887" s="38"/>
      <c r="BC1887" s="38"/>
      <c r="BD1887" s="38"/>
      <c r="BE1887" s="38"/>
      <c r="BF1887" s="38"/>
      <c r="BG1887" s="38"/>
      <c r="BH1887" s="38"/>
      <c r="BI1887" s="38"/>
      <c r="BJ1887" s="38"/>
      <c r="BK1887" s="38"/>
      <c r="BL1887" s="38"/>
      <c r="BM1887" s="38"/>
      <c r="BN1887" s="38"/>
      <c r="BO1887" s="38"/>
      <c r="BP1887" s="38"/>
      <c r="BQ1887" s="38"/>
    </row>
    <row r="1888">
      <c r="A1888" s="58"/>
      <c r="B1888" s="341"/>
      <c r="C1888" s="60"/>
      <c r="D1888" s="60"/>
      <c r="E1888" s="58"/>
      <c r="F1888" s="58"/>
      <c r="G1888" s="58"/>
      <c r="H1888" s="33" t="str">
        <f t="shared" si="33"/>
        <v/>
      </c>
      <c r="I1888" s="58"/>
      <c r="J1888" s="58"/>
      <c r="K1888" s="58"/>
      <c r="L1888" s="58"/>
      <c r="M1888" s="80"/>
      <c r="N1888" s="80"/>
      <c r="O1888" s="58"/>
      <c r="P1888" s="58"/>
      <c r="Q1888" s="84"/>
      <c r="R1888" s="62"/>
      <c r="S1888" s="37" t="str">
        <f>IFERROR(__xludf.DUMMYFUNCTION("if(not(iserror(index(split(C1888, "" ""),2))), index(split(C1888, "" ""),1),"""")"),"")</f>
        <v/>
      </c>
      <c r="T1888" s="315" t="str">
        <f>IFERROR(__xludf.DUMMYFUNCTION("if(S1888="""",C1888,if(not(iserror(index(split(C1888, "" ""),3))), index(split(C1888, "" ""),3),index(split(C1888, "" ""),2)))"),"")</f>
        <v/>
      </c>
      <c r="U1888" s="38" t="b">
        <f t="shared" si="34"/>
        <v>0</v>
      </c>
      <c r="V1888" s="38"/>
      <c r="W1888" s="40"/>
      <c r="X1888" s="40"/>
      <c r="Y1888" s="38"/>
      <c r="Z1888" s="38"/>
      <c r="AA1888" s="38"/>
      <c r="AB1888" s="38"/>
      <c r="AC1888" s="38"/>
      <c r="AD1888" s="38"/>
      <c r="AE1888" s="38"/>
      <c r="AF1888" s="38"/>
      <c r="AG1888" s="38"/>
      <c r="AH1888" s="38"/>
      <c r="AI1888" s="38"/>
      <c r="AJ1888" s="38"/>
      <c r="AK1888" s="38"/>
      <c r="AL1888" s="38"/>
      <c r="AM1888" s="38"/>
      <c r="AN1888" s="38"/>
      <c r="AO1888" s="38"/>
      <c r="AP1888" s="38"/>
      <c r="AQ1888" s="38"/>
      <c r="AR1888" s="38"/>
      <c r="AS1888" s="38"/>
      <c r="AT1888" s="38"/>
      <c r="AU1888" s="38"/>
      <c r="AV1888" s="38"/>
      <c r="AW1888" s="38"/>
      <c r="AX1888" s="38"/>
      <c r="AY1888" s="38"/>
      <c r="AZ1888" s="38"/>
      <c r="BA1888" s="38"/>
      <c r="BB1888" s="38"/>
      <c r="BC1888" s="38"/>
      <c r="BD1888" s="38"/>
      <c r="BE1888" s="38"/>
      <c r="BF1888" s="38"/>
      <c r="BG1888" s="38"/>
      <c r="BH1888" s="38"/>
      <c r="BI1888" s="38"/>
      <c r="BJ1888" s="38"/>
      <c r="BK1888" s="38"/>
      <c r="BL1888" s="38"/>
      <c r="BM1888" s="38"/>
      <c r="BN1888" s="38"/>
      <c r="BO1888" s="38"/>
      <c r="BP1888" s="38"/>
      <c r="BQ1888" s="38"/>
    </row>
    <row r="1889">
      <c r="A1889" s="58"/>
      <c r="B1889" s="341"/>
      <c r="C1889" s="60"/>
      <c r="D1889" s="60"/>
      <c r="E1889" s="58"/>
      <c r="F1889" s="58"/>
      <c r="G1889" s="58"/>
      <c r="H1889" s="33" t="str">
        <f t="shared" si="33"/>
        <v/>
      </c>
      <c r="I1889" s="58"/>
      <c r="J1889" s="58"/>
      <c r="K1889" s="58"/>
      <c r="L1889" s="58"/>
      <c r="M1889" s="80"/>
      <c r="N1889" s="80"/>
      <c r="O1889" s="58"/>
      <c r="P1889" s="58"/>
      <c r="Q1889" s="84"/>
      <c r="R1889" s="62"/>
      <c r="S1889" s="37" t="str">
        <f>IFERROR(__xludf.DUMMYFUNCTION("if(not(iserror(index(split(C1889, "" ""),2))), index(split(C1889, "" ""),1),"""")"),"")</f>
        <v/>
      </c>
      <c r="T1889" s="315" t="str">
        <f>IFERROR(__xludf.DUMMYFUNCTION("if(S1889="""",C1889,if(not(iserror(index(split(C1889, "" ""),3))), index(split(C1889, "" ""),3),index(split(C1889, "" ""),2)))"),"")</f>
        <v/>
      </c>
      <c r="U1889" s="38" t="b">
        <f t="shared" si="34"/>
        <v>0</v>
      </c>
      <c r="V1889" s="38"/>
      <c r="W1889" s="40"/>
      <c r="X1889" s="40"/>
      <c r="Y1889" s="38"/>
      <c r="Z1889" s="38"/>
      <c r="AA1889" s="38"/>
      <c r="AB1889" s="38"/>
      <c r="AC1889" s="38"/>
      <c r="AD1889" s="38"/>
      <c r="AE1889" s="38"/>
      <c r="AF1889" s="38"/>
      <c r="AG1889" s="38"/>
      <c r="AH1889" s="38"/>
      <c r="AI1889" s="38"/>
      <c r="AJ1889" s="38"/>
      <c r="AK1889" s="38"/>
      <c r="AL1889" s="38"/>
      <c r="AM1889" s="38"/>
      <c r="AN1889" s="38"/>
      <c r="AO1889" s="38"/>
      <c r="AP1889" s="38"/>
      <c r="AQ1889" s="38"/>
      <c r="AR1889" s="38"/>
      <c r="AS1889" s="38"/>
      <c r="AT1889" s="38"/>
      <c r="AU1889" s="38"/>
      <c r="AV1889" s="38"/>
      <c r="AW1889" s="38"/>
      <c r="AX1889" s="38"/>
      <c r="AY1889" s="38"/>
      <c r="AZ1889" s="38"/>
      <c r="BA1889" s="38"/>
      <c r="BB1889" s="38"/>
      <c r="BC1889" s="38"/>
      <c r="BD1889" s="38"/>
      <c r="BE1889" s="38"/>
      <c r="BF1889" s="38"/>
      <c r="BG1889" s="38"/>
      <c r="BH1889" s="38"/>
      <c r="BI1889" s="38"/>
      <c r="BJ1889" s="38"/>
      <c r="BK1889" s="38"/>
      <c r="BL1889" s="38"/>
      <c r="BM1889" s="38"/>
      <c r="BN1889" s="38"/>
      <c r="BO1889" s="38"/>
      <c r="BP1889" s="38"/>
      <c r="BQ1889" s="38"/>
    </row>
    <row r="1890">
      <c r="A1890" s="58"/>
      <c r="B1890" s="341"/>
      <c r="C1890" s="60"/>
      <c r="D1890" s="60"/>
      <c r="E1890" s="58"/>
      <c r="F1890" s="58"/>
      <c r="G1890" s="58"/>
      <c r="H1890" s="33" t="str">
        <f t="shared" si="33"/>
        <v/>
      </c>
      <c r="I1890" s="58"/>
      <c r="J1890" s="58"/>
      <c r="K1890" s="58"/>
      <c r="L1890" s="58"/>
      <c r="M1890" s="80"/>
      <c r="N1890" s="80"/>
      <c r="O1890" s="58"/>
      <c r="P1890" s="58"/>
      <c r="Q1890" s="84"/>
      <c r="R1890" s="62"/>
      <c r="S1890" s="37" t="str">
        <f>IFERROR(__xludf.DUMMYFUNCTION("if(not(iserror(index(split(C1890, "" ""),2))), index(split(C1890, "" ""),1),"""")"),"")</f>
        <v/>
      </c>
      <c r="T1890" s="315" t="str">
        <f>IFERROR(__xludf.DUMMYFUNCTION("if(S1890="""",C1890,if(not(iserror(index(split(C1890, "" ""),3))), index(split(C1890, "" ""),3),index(split(C1890, "" ""),2)))"),"")</f>
        <v/>
      </c>
      <c r="U1890" s="38" t="b">
        <f t="shared" si="34"/>
        <v>0</v>
      </c>
      <c r="V1890" s="38"/>
      <c r="W1890" s="40"/>
      <c r="X1890" s="40"/>
      <c r="Y1890" s="38"/>
      <c r="Z1890" s="38"/>
      <c r="AA1890" s="38"/>
      <c r="AB1890" s="38"/>
      <c r="AC1890" s="38"/>
      <c r="AD1890" s="38"/>
      <c r="AE1890" s="38"/>
      <c r="AF1890" s="38"/>
      <c r="AG1890" s="38"/>
      <c r="AH1890" s="38"/>
      <c r="AI1890" s="38"/>
      <c r="AJ1890" s="38"/>
      <c r="AK1890" s="38"/>
      <c r="AL1890" s="38"/>
      <c r="AM1890" s="38"/>
      <c r="AN1890" s="38"/>
      <c r="AO1890" s="38"/>
      <c r="AP1890" s="38"/>
      <c r="AQ1890" s="38"/>
      <c r="AR1890" s="38"/>
      <c r="AS1890" s="38"/>
      <c r="AT1890" s="38"/>
      <c r="AU1890" s="38"/>
      <c r="AV1890" s="38"/>
      <c r="AW1890" s="38"/>
      <c r="AX1890" s="38"/>
      <c r="AY1890" s="38"/>
      <c r="AZ1890" s="38"/>
      <c r="BA1890" s="38"/>
      <c r="BB1890" s="38"/>
      <c r="BC1890" s="38"/>
      <c r="BD1890" s="38"/>
      <c r="BE1890" s="38"/>
      <c r="BF1890" s="38"/>
      <c r="BG1890" s="38"/>
      <c r="BH1890" s="38"/>
      <c r="BI1890" s="38"/>
      <c r="BJ1890" s="38"/>
      <c r="BK1890" s="38"/>
      <c r="BL1890" s="38"/>
      <c r="BM1890" s="38"/>
      <c r="BN1890" s="38"/>
      <c r="BO1890" s="38"/>
      <c r="BP1890" s="38"/>
      <c r="BQ1890" s="38"/>
    </row>
    <row r="1891">
      <c r="A1891" s="58"/>
      <c r="B1891" s="341"/>
      <c r="C1891" s="60"/>
      <c r="D1891" s="60"/>
      <c r="E1891" s="58"/>
      <c r="F1891" s="58"/>
      <c r="G1891" s="58"/>
      <c r="H1891" s="33" t="str">
        <f t="shared" si="33"/>
        <v/>
      </c>
      <c r="I1891" s="58"/>
      <c r="J1891" s="58"/>
      <c r="K1891" s="58"/>
      <c r="L1891" s="58"/>
      <c r="M1891" s="80"/>
      <c r="N1891" s="80"/>
      <c r="O1891" s="58"/>
      <c r="P1891" s="58"/>
      <c r="Q1891" s="84"/>
      <c r="R1891" s="62"/>
      <c r="S1891" s="37" t="str">
        <f>IFERROR(__xludf.DUMMYFUNCTION("if(not(iserror(index(split(C1891, "" ""),2))), index(split(C1891, "" ""),1),"""")"),"")</f>
        <v/>
      </c>
      <c r="T1891" s="315" t="str">
        <f>IFERROR(__xludf.DUMMYFUNCTION("if(S1891="""",C1891,if(not(iserror(index(split(C1891, "" ""),3))), index(split(C1891, "" ""),3),index(split(C1891, "" ""),2)))"),"")</f>
        <v/>
      </c>
      <c r="U1891" s="38" t="b">
        <f t="shared" si="34"/>
        <v>0</v>
      </c>
      <c r="V1891" s="38"/>
      <c r="W1891" s="40"/>
      <c r="X1891" s="40"/>
      <c r="Y1891" s="38"/>
      <c r="Z1891" s="38"/>
      <c r="AA1891" s="38"/>
      <c r="AB1891" s="38"/>
      <c r="AC1891" s="38"/>
      <c r="AD1891" s="38"/>
      <c r="AE1891" s="38"/>
      <c r="AF1891" s="38"/>
      <c r="AG1891" s="38"/>
      <c r="AH1891" s="38"/>
      <c r="AI1891" s="38"/>
      <c r="AJ1891" s="38"/>
      <c r="AK1891" s="38"/>
      <c r="AL1891" s="38"/>
      <c r="AM1891" s="38"/>
      <c r="AN1891" s="38"/>
      <c r="AO1891" s="38"/>
      <c r="AP1891" s="38"/>
      <c r="AQ1891" s="38"/>
      <c r="AR1891" s="38"/>
      <c r="AS1891" s="38"/>
      <c r="AT1891" s="38"/>
      <c r="AU1891" s="38"/>
      <c r="AV1891" s="38"/>
      <c r="AW1891" s="38"/>
      <c r="AX1891" s="38"/>
      <c r="AY1891" s="38"/>
      <c r="AZ1891" s="38"/>
      <c r="BA1891" s="38"/>
      <c r="BB1891" s="38"/>
      <c r="BC1891" s="38"/>
      <c r="BD1891" s="38"/>
      <c r="BE1891" s="38"/>
      <c r="BF1891" s="38"/>
      <c r="BG1891" s="38"/>
      <c r="BH1891" s="38"/>
      <c r="BI1891" s="38"/>
      <c r="BJ1891" s="38"/>
      <c r="BK1891" s="38"/>
      <c r="BL1891" s="38"/>
      <c r="BM1891" s="38"/>
      <c r="BN1891" s="38"/>
      <c r="BO1891" s="38"/>
      <c r="BP1891" s="38"/>
      <c r="BQ1891" s="38"/>
    </row>
    <row r="1892">
      <c r="A1892" s="58"/>
      <c r="B1892" s="341"/>
      <c r="C1892" s="60"/>
      <c r="D1892" s="60"/>
      <c r="E1892" s="58"/>
      <c r="F1892" s="58"/>
      <c r="G1892" s="58"/>
      <c r="H1892" s="33" t="str">
        <f t="shared" si="33"/>
        <v/>
      </c>
      <c r="I1892" s="58"/>
      <c r="J1892" s="58"/>
      <c r="K1892" s="58"/>
      <c r="L1892" s="58"/>
      <c r="M1892" s="80"/>
      <c r="N1892" s="80"/>
      <c r="O1892" s="58"/>
      <c r="P1892" s="58"/>
      <c r="Q1892" s="84"/>
      <c r="R1892" s="62"/>
      <c r="S1892" s="37" t="str">
        <f>IFERROR(__xludf.DUMMYFUNCTION("if(not(iserror(index(split(C1892, "" ""),2))), index(split(C1892, "" ""),1),"""")"),"")</f>
        <v/>
      </c>
      <c r="T1892" s="315" t="str">
        <f>IFERROR(__xludf.DUMMYFUNCTION("if(S1892="""",C1892,if(not(iserror(index(split(C1892, "" ""),3))), index(split(C1892, "" ""),3),index(split(C1892, "" ""),2)))"),"")</f>
        <v/>
      </c>
      <c r="U1892" s="38" t="b">
        <f t="shared" si="34"/>
        <v>0</v>
      </c>
      <c r="V1892" s="38"/>
      <c r="W1892" s="40"/>
      <c r="X1892" s="40"/>
      <c r="Y1892" s="38"/>
      <c r="Z1892" s="38"/>
      <c r="AA1892" s="38"/>
      <c r="AB1892" s="38"/>
      <c r="AC1892" s="38"/>
      <c r="AD1892" s="38"/>
      <c r="AE1892" s="38"/>
      <c r="AF1892" s="38"/>
      <c r="AG1892" s="38"/>
      <c r="AH1892" s="38"/>
      <c r="AI1892" s="38"/>
      <c r="AJ1892" s="38"/>
      <c r="AK1892" s="38"/>
      <c r="AL1892" s="38"/>
      <c r="AM1892" s="38"/>
      <c r="AN1892" s="38"/>
      <c r="AO1892" s="38"/>
      <c r="AP1892" s="38"/>
      <c r="AQ1892" s="38"/>
      <c r="AR1892" s="38"/>
      <c r="AS1892" s="38"/>
      <c r="AT1892" s="38"/>
      <c r="AU1892" s="38"/>
      <c r="AV1892" s="38"/>
      <c r="AW1892" s="38"/>
      <c r="AX1892" s="38"/>
      <c r="AY1892" s="38"/>
      <c r="AZ1892" s="38"/>
      <c r="BA1892" s="38"/>
      <c r="BB1892" s="38"/>
      <c r="BC1892" s="38"/>
      <c r="BD1892" s="38"/>
      <c r="BE1892" s="38"/>
      <c r="BF1892" s="38"/>
      <c r="BG1892" s="38"/>
      <c r="BH1892" s="38"/>
      <c r="BI1892" s="38"/>
      <c r="BJ1892" s="38"/>
      <c r="BK1892" s="38"/>
      <c r="BL1892" s="38"/>
      <c r="BM1892" s="38"/>
      <c r="BN1892" s="38"/>
      <c r="BO1892" s="38"/>
      <c r="BP1892" s="38"/>
      <c r="BQ1892" s="38"/>
    </row>
    <row r="1893">
      <c r="A1893" s="58"/>
      <c r="B1893" s="341"/>
      <c r="C1893" s="60"/>
      <c r="D1893" s="60"/>
      <c r="E1893" s="58"/>
      <c r="F1893" s="58"/>
      <c r="G1893" s="58"/>
      <c r="H1893" s="33" t="str">
        <f t="shared" si="33"/>
        <v/>
      </c>
      <c r="I1893" s="58"/>
      <c r="J1893" s="58"/>
      <c r="K1893" s="58"/>
      <c r="L1893" s="58"/>
      <c r="M1893" s="80"/>
      <c r="N1893" s="80"/>
      <c r="O1893" s="58"/>
      <c r="P1893" s="58"/>
      <c r="Q1893" s="84"/>
      <c r="R1893" s="62"/>
      <c r="S1893" s="37" t="str">
        <f>IFERROR(__xludf.DUMMYFUNCTION("if(not(iserror(index(split(C1893, "" ""),2))), index(split(C1893, "" ""),1),"""")"),"")</f>
        <v/>
      </c>
      <c r="T1893" s="315" t="str">
        <f>IFERROR(__xludf.DUMMYFUNCTION("if(S1893="""",C1893,if(not(iserror(index(split(C1893, "" ""),3))), index(split(C1893, "" ""),3),index(split(C1893, "" ""),2)))"),"")</f>
        <v/>
      </c>
      <c r="U1893" s="38" t="b">
        <f t="shared" si="34"/>
        <v>0</v>
      </c>
      <c r="V1893" s="38"/>
      <c r="W1893" s="40"/>
      <c r="X1893" s="40"/>
      <c r="Y1893" s="38"/>
      <c r="Z1893" s="38"/>
      <c r="AA1893" s="38"/>
      <c r="AB1893" s="38"/>
      <c r="AC1893" s="38"/>
      <c r="AD1893" s="38"/>
      <c r="AE1893" s="38"/>
      <c r="AF1893" s="38"/>
      <c r="AG1893" s="38"/>
      <c r="AH1893" s="38"/>
      <c r="AI1893" s="38"/>
      <c r="AJ1893" s="38"/>
      <c r="AK1893" s="38"/>
      <c r="AL1893" s="38"/>
      <c r="AM1893" s="38"/>
      <c r="AN1893" s="38"/>
      <c r="AO1893" s="38"/>
      <c r="AP1893" s="38"/>
      <c r="AQ1893" s="38"/>
      <c r="AR1893" s="38"/>
      <c r="AS1893" s="38"/>
      <c r="AT1893" s="38"/>
      <c r="AU1893" s="38"/>
      <c r="AV1893" s="38"/>
      <c r="AW1893" s="38"/>
      <c r="AX1893" s="38"/>
      <c r="AY1893" s="38"/>
      <c r="AZ1893" s="38"/>
      <c r="BA1893" s="38"/>
      <c r="BB1893" s="38"/>
      <c r="BC1893" s="38"/>
      <c r="BD1893" s="38"/>
      <c r="BE1893" s="38"/>
      <c r="BF1893" s="38"/>
      <c r="BG1893" s="38"/>
      <c r="BH1893" s="38"/>
      <c r="BI1893" s="38"/>
      <c r="BJ1893" s="38"/>
      <c r="BK1893" s="38"/>
      <c r="BL1893" s="38"/>
      <c r="BM1893" s="38"/>
      <c r="BN1893" s="38"/>
      <c r="BO1893" s="38"/>
      <c r="BP1893" s="38"/>
      <c r="BQ1893" s="38"/>
    </row>
    <row r="1894">
      <c r="A1894" s="58"/>
      <c r="B1894" s="341"/>
      <c r="C1894" s="60"/>
      <c r="D1894" s="60"/>
      <c r="E1894" s="58"/>
      <c r="F1894" s="58"/>
      <c r="G1894" s="58"/>
      <c r="H1894" s="33" t="str">
        <f t="shared" si="33"/>
        <v/>
      </c>
      <c r="I1894" s="58"/>
      <c r="J1894" s="58"/>
      <c r="K1894" s="58"/>
      <c r="L1894" s="58"/>
      <c r="M1894" s="80"/>
      <c r="N1894" s="80"/>
      <c r="O1894" s="58"/>
      <c r="P1894" s="62"/>
      <c r="Q1894" s="84"/>
      <c r="R1894" s="62"/>
      <c r="S1894" s="37" t="str">
        <f>IFERROR(__xludf.DUMMYFUNCTION("if(not(iserror(index(split(C1894, "" ""),2))), index(split(C1894, "" ""),1),"""")"),"")</f>
        <v/>
      </c>
      <c r="T1894" s="315" t="str">
        <f>IFERROR(__xludf.DUMMYFUNCTION("if(S1894="""",C1894,if(not(iserror(index(split(C1894, "" ""),3))), index(split(C1894, "" ""),3),index(split(C1894, "" ""),2)))"),"")</f>
        <v/>
      </c>
      <c r="U1894" s="38" t="b">
        <f t="shared" si="34"/>
        <v>0</v>
      </c>
      <c r="V1894" s="38"/>
      <c r="W1894" s="40"/>
      <c r="X1894" s="40"/>
      <c r="Y1894" s="38"/>
      <c r="Z1894" s="38"/>
      <c r="AA1894" s="38"/>
      <c r="AB1894" s="38"/>
      <c r="AC1894" s="38"/>
      <c r="AD1894" s="38"/>
      <c r="AE1894" s="38"/>
      <c r="AF1894" s="38"/>
      <c r="AG1894" s="38"/>
      <c r="AH1894" s="38"/>
      <c r="AI1894" s="38"/>
      <c r="AJ1894" s="38"/>
      <c r="AK1894" s="38"/>
      <c r="AL1894" s="38"/>
      <c r="AM1894" s="38"/>
      <c r="AN1894" s="38"/>
      <c r="AO1894" s="38"/>
      <c r="AP1894" s="38"/>
      <c r="AQ1894" s="38"/>
      <c r="AR1894" s="38"/>
      <c r="AS1894" s="38"/>
      <c r="AT1894" s="38"/>
      <c r="AU1894" s="38"/>
      <c r="AV1894" s="38"/>
      <c r="AW1894" s="38"/>
      <c r="AX1894" s="38"/>
      <c r="AY1894" s="38"/>
      <c r="AZ1894" s="38"/>
      <c r="BA1894" s="38"/>
      <c r="BB1894" s="38"/>
      <c r="BC1894" s="38"/>
      <c r="BD1894" s="38"/>
      <c r="BE1894" s="38"/>
      <c r="BF1894" s="38"/>
      <c r="BG1894" s="38"/>
      <c r="BH1894" s="38"/>
      <c r="BI1894" s="38"/>
      <c r="BJ1894" s="38"/>
      <c r="BK1894" s="38"/>
      <c r="BL1894" s="38"/>
      <c r="BM1894" s="38"/>
      <c r="BN1894" s="38"/>
      <c r="BO1894" s="38"/>
      <c r="BP1894" s="38"/>
      <c r="BQ1894" s="38"/>
    </row>
    <row r="1895">
      <c r="A1895" s="58"/>
      <c r="B1895" s="341"/>
      <c r="C1895" s="60"/>
      <c r="D1895" s="60"/>
      <c r="E1895" s="58"/>
      <c r="F1895" s="58"/>
      <c r="G1895" s="58"/>
      <c r="H1895" s="33" t="str">
        <f t="shared" si="33"/>
        <v/>
      </c>
      <c r="I1895" s="58"/>
      <c r="J1895" s="58"/>
      <c r="K1895" s="58"/>
      <c r="L1895" s="58"/>
      <c r="M1895" s="80"/>
      <c r="N1895" s="80"/>
      <c r="O1895" s="58"/>
      <c r="P1895" s="58"/>
      <c r="Q1895" s="84"/>
      <c r="R1895" s="62"/>
      <c r="S1895" s="37" t="str">
        <f>IFERROR(__xludf.DUMMYFUNCTION("if(not(iserror(index(split(C1895, "" ""),2))), index(split(C1895, "" ""),1),"""")"),"")</f>
        <v/>
      </c>
      <c r="T1895" s="315" t="str">
        <f>IFERROR(__xludf.DUMMYFUNCTION("if(S1895="""",C1895,if(not(iserror(index(split(C1895, "" ""),3))), index(split(C1895, "" ""),3),index(split(C1895, "" ""),2)))"),"")</f>
        <v/>
      </c>
      <c r="U1895" s="38" t="b">
        <f t="shared" si="34"/>
        <v>0</v>
      </c>
      <c r="V1895" s="38"/>
      <c r="W1895" s="40"/>
      <c r="X1895" s="40"/>
      <c r="Y1895" s="38"/>
      <c r="Z1895" s="38"/>
      <c r="AA1895" s="38"/>
      <c r="AB1895" s="38"/>
      <c r="AC1895" s="38"/>
      <c r="AD1895" s="38"/>
      <c r="AE1895" s="38"/>
      <c r="AF1895" s="38"/>
      <c r="AG1895" s="38"/>
      <c r="AH1895" s="38"/>
      <c r="AI1895" s="38"/>
      <c r="AJ1895" s="38"/>
      <c r="AK1895" s="38"/>
      <c r="AL1895" s="38"/>
      <c r="AM1895" s="38"/>
      <c r="AN1895" s="38"/>
      <c r="AO1895" s="38"/>
      <c r="AP1895" s="38"/>
      <c r="AQ1895" s="38"/>
      <c r="AR1895" s="38"/>
      <c r="AS1895" s="38"/>
      <c r="AT1895" s="38"/>
      <c r="AU1895" s="38"/>
      <c r="AV1895" s="38"/>
      <c r="AW1895" s="38"/>
      <c r="AX1895" s="38"/>
      <c r="AY1895" s="38"/>
      <c r="AZ1895" s="38"/>
      <c r="BA1895" s="38"/>
      <c r="BB1895" s="38"/>
      <c r="BC1895" s="38"/>
      <c r="BD1895" s="38"/>
      <c r="BE1895" s="38"/>
      <c r="BF1895" s="38"/>
      <c r="BG1895" s="38"/>
      <c r="BH1895" s="38"/>
      <c r="BI1895" s="38"/>
      <c r="BJ1895" s="38"/>
      <c r="BK1895" s="38"/>
      <c r="BL1895" s="38"/>
      <c r="BM1895" s="38"/>
      <c r="BN1895" s="38"/>
      <c r="BO1895" s="38"/>
      <c r="BP1895" s="38"/>
      <c r="BQ1895" s="38"/>
    </row>
    <row r="1896">
      <c r="A1896" s="58"/>
      <c r="B1896" s="341"/>
      <c r="C1896" s="60"/>
      <c r="D1896" s="60"/>
      <c r="E1896" s="58"/>
      <c r="F1896" s="58"/>
      <c r="G1896" s="58"/>
      <c r="H1896" s="33" t="str">
        <f t="shared" si="33"/>
        <v/>
      </c>
      <c r="I1896" s="58"/>
      <c r="J1896" s="58"/>
      <c r="K1896" s="58"/>
      <c r="L1896" s="58"/>
      <c r="M1896" s="80"/>
      <c r="N1896" s="80"/>
      <c r="O1896" s="120"/>
      <c r="P1896" s="120"/>
      <c r="Q1896" s="58"/>
      <c r="R1896" s="62"/>
      <c r="S1896" s="37" t="str">
        <f>IFERROR(__xludf.DUMMYFUNCTION("if(not(iserror(index(split(C1896, "" ""),2))), index(split(C1896, "" ""),1),"""")"),"")</f>
        <v/>
      </c>
      <c r="T1896" s="315" t="str">
        <f>IFERROR(__xludf.DUMMYFUNCTION("if(S1896="""",C1896,if(not(iserror(index(split(C1896, "" ""),3))), index(split(C1896, "" ""),3),index(split(C1896, "" ""),2)))"),"")</f>
        <v/>
      </c>
      <c r="U1896" s="38" t="b">
        <f t="shared" si="34"/>
        <v>0</v>
      </c>
      <c r="V1896" s="38"/>
      <c r="W1896" s="40"/>
      <c r="X1896" s="40"/>
      <c r="Y1896" s="38"/>
      <c r="Z1896" s="38"/>
      <c r="AA1896" s="38"/>
      <c r="AB1896" s="38"/>
      <c r="AC1896" s="38"/>
      <c r="AD1896" s="38"/>
      <c r="AE1896" s="38"/>
      <c r="AF1896" s="38"/>
      <c r="AG1896" s="38"/>
      <c r="AH1896" s="38"/>
      <c r="AI1896" s="38"/>
      <c r="AJ1896" s="38"/>
      <c r="AK1896" s="38"/>
      <c r="AL1896" s="38"/>
      <c r="AM1896" s="38"/>
      <c r="AN1896" s="38"/>
      <c r="AO1896" s="38"/>
      <c r="AP1896" s="38"/>
      <c r="AQ1896" s="38"/>
      <c r="AR1896" s="38"/>
      <c r="AS1896" s="38"/>
      <c r="AT1896" s="38"/>
      <c r="AU1896" s="38"/>
      <c r="AV1896" s="38"/>
      <c r="AW1896" s="38"/>
      <c r="AX1896" s="38"/>
      <c r="AY1896" s="38"/>
      <c r="AZ1896" s="38"/>
      <c r="BA1896" s="38"/>
      <c r="BB1896" s="38"/>
      <c r="BC1896" s="38"/>
      <c r="BD1896" s="38"/>
      <c r="BE1896" s="38"/>
      <c r="BF1896" s="38"/>
      <c r="BG1896" s="38"/>
      <c r="BH1896" s="38"/>
      <c r="BI1896" s="38"/>
      <c r="BJ1896" s="38"/>
      <c r="BK1896" s="38"/>
      <c r="BL1896" s="38"/>
      <c r="BM1896" s="38"/>
      <c r="BN1896" s="38"/>
      <c r="BO1896" s="38"/>
      <c r="BP1896" s="38"/>
      <c r="BQ1896" s="38"/>
    </row>
    <row r="1897">
      <c r="A1897" s="58"/>
      <c r="B1897" s="341"/>
      <c r="C1897" s="60"/>
      <c r="D1897" s="60"/>
      <c r="E1897" s="58"/>
      <c r="F1897" s="58"/>
      <c r="G1897" s="58"/>
      <c r="H1897" s="33" t="str">
        <f t="shared" si="33"/>
        <v/>
      </c>
      <c r="I1897" s="58"/>
      <c r="J1897" s="58"/>
      <c r="K1897" s="58"/>
      <c r="L1897" s="58"/>
      <c r="M1897" s="80"/>
      <c r="N1897" s="80"/>
      <c r="O1897" s="58"/>
      <c r="P1897" s="58"/>
      <c r="Q1897" s="84"/>
      <c r="R1897" s="62"/>
      <c r="S1897" s="37" t="str">
        <f>IFERROR(__xludf.DUMMYFUNCTION("if(not(iserror(index(split(C1897, "" ""),2))), index(split(C1897, "" ""),1),"""")"),"")</f>
        <v/>
      </c>
      <c r="T1897" s="315" t="str">
        <f>IFERROR(__xludf.DUMMYFUNCTION("if(S1897="""",C1897,if(not(iserror(index(split(C1897, "" ""),3))), index(split(C1897, "" ""),3),index(split(C1897, "" ""),2)))"),"")</f>
        <v/>
      </c>
      <c r="U1897" s="38" t="b">
        <f t="shared" si="34"/>
        <v>0</v>
      </c>
      <c r="V1897" s="38"/>
      <c r="W1897" s="40"/>
      <c r="X1897" s="40"/>
      <c r="Y1897" s="38"/>
      <c r="Z1897" s="38"/>
      <c r="AA1897" s="38"/>
      <c r="AB1897" s="38"/>
      <c r="AC1897" s="38"/>
      <c r="AD1897" s="38"/>
      <c r="AE1897" s="38"/>
      <c r="AF1897" s="38"/>
      <c r="AG1897" s="38"/>
      <c r="AH1897" s="38"/>
      <c r="AI1897" s="38"/>
      <c r="AJ1897" s="38"/>
      <c r="AK1897" s="38"/>
      <c r="AL1897" s="38"/>
      <c r="AM1897" s="38"/>
      <c r="AN1897" s="38"/>
      <c r="AO1897" s="38"/>
      <c r="AP1897" s="38"/>
      <c r="AQ1897" s="38"/>
      <c r="AR1897" s="38"/>
      <c r="AS1897" s="38"/>
      <c r="AT1897" s="38"/>
      <c r="AU1897" s="38"/>
      <c r="AV1897" s="38"/>
      <c r="AW1897" s="38"/>
      <c r="AX1897" s="38"/>
      <c r="AY1897" s="38"/>
      <c r="AZ1897" s="38"/>
      <c r="BA1897" s="38"/>
      <c r="BB1897" s="38"/>
      <c r="BC1897" s="38"/>
      <c r="BD1897" s="38"/>
      <c r="BE1897" s="38"/>
      <c r="BF1897" s="38"/>
      <c r="BG1897" s="38"/>
      <c r="BH1897" s="38"/>
      <c r="BI1897" s="38"/>
      <c r="BJ1897" s="38"/>
      <c r="BK1897" s="38"/>
      <c r="BL1897" s="38"/>
      <c r="BM1897" s="38"/>
      <c r="BN1897" s="38"/>
      <c r="BO1897" s="38"/>
      <c r="BP1897" s="38"/>
      <c r="BQ1897" s="38"/>
    </row>
    <row r="1898">
      <c r="A1898" s="58"/>
      <c r="B1898" s="341"/>
      <c r="C1898" s="60"/>
      <c r="D1898" s="60"/>
      <c r="E1898" s="58"/>
      <c r="F1898" s="58"/>
      <c r="G1898" s="58"/>
      <c r="H1898" s="33" t="str">
        <f t="shared" si="33"/>
        <v/>
      </c>
      <c r="I1898" s="58"/>
      <c r="J1898" s="58"/>
      <c r="K1898" s="58"/>
      <c r="L1898" s="58"/>
      <c r="M1898" s="80"/>
      <c r="N1898" s="80"/>
      <c r="O1898" s="58"/>
      <c r="P1898" s="58"/>
      <c r="Q1898" s="84"/>
      <c r="R1898" s="62"/>
      <c r="S1898" s="37" t="str">
        <f>IFERROR(__xludf.DUMMYFUNCTION("if(not(iserror(index(split(C1898, "" ""),2))), index(split(C1898, "" ""),1),"""")"),"")</f>
        <v/>
      </c>
      <c r="T1898" s="315" t="str">
        <f>IFERROR(__xludf.DUMMYFUNCTION("if(S1898="""",C1898,if(not(iserror(index(split(C1898, "" ""),3))), index(split(C1898, "" ""),3),index(split(C1898, "" ""),2)))"),"")</f>
        <v/>
      </c>
      <c r="U1898" s="38" t="b">
        <f t="shared" si="34"/>
        <v>0</v>
      </c>
      <c r="V1898" s="38"/>
      <c r="W1898" s="40"/>
      <c r="X1898" s="40"/>
      <c r="Y1898" s="38"/>
      <c r="Z1898" s="38"/>
      <c r="AA1898" s="38"/>
      <c r="AB1898" s="38"/>
      <c r="AC1898" s="38"/>
      <c r="AD1898" s="38"/>
      <c r="AE1898" s="38"/>
      <c r="AF1898" s="38"/>
      <c r="AG1898" s="38"/>
      <c r="AH1898" s="38"/>
      <c r="AI1898" s="38"/>
      <c r="AJ1898" s="38"/>
      <c r="AK1898" s="38"/>
      <c r="AL1898" s="38"/>
      <c r="AM1898" s="38"/>
      <c r="AN1898" s="38"/>
      <c r="AO1898" s="38"/>
      <c r="AP1898" s="38"/>
      <c r="AQ1898" s="38"/>
      <c r="AR1898" s="38"/>
      <c r="AS1898" s="38"/>
      <c r="AT1898" s="38"/>
      <c r="AU1898" s="38"/>
      <c r="AV1898" s="38"/>
      <c r="AW1898" s="38"/>
      <c r="AX1898" s="38"/>
      <c r="AY1898" s="38"/>
      <c r="AZ1898" s="38"/>
      <c r="BA1898" s="38"/>
      <c r="BB1898" s="38"/>
      <c r="BC1898" s="38"/>
      <c r="BD1898" s="38"/>
      <c r="BE1898" s="38"/>
      <c r="BF1898" s="38"/>
      <c r="BG1898" s="38"/>
      <c r="BH1898" s="38"/>
      <c r="BI1898" s="38"/>
      <c r="BJ1898" s="38"/>
      <c r="BK1898" s="38"/>
      <c r="BL1898" s="38"/>
      <c r="BM1898" s="38"/>
      <c r="BN1898" s="38"/>
      <c r="BO1898" s="38"/>
      <c r="BP1898" s="38"/>
      <c r="BQ1898" s="38"/>
    </row>
    <row r="1899">
      <c r="A1899" s="58"/>
      <c r="B1899" s="341"/>
      <c r="C1899" s="60"/>
      <c r="D1899" s="60"/>
      <c r="E1899" s="58"/>
      <c r="F1899" s="58"/>
      <c r="G1899" s="58"/>
      <c r="H1899" s="33" t="str">
        <f t="shared" si="33"/>
        <v/>
      </c>
      <c r="I1899" s="58"/>
      <c r="J1899" s="58"/>
      <c r="K1899" s="58"/>
      <c r="L1899" s="58"/>
      <c r="M1899" s="80"/>
      <c r="N1899" s="80"/>
      <c r="O1899" s="58"/>
      <c r="P1899" s="58"/>
      <c r="Q1899" s="84"/>
      <c r="R1899" s="62"/>
      <c r="S1899" s="37" t="str">
        <f>IFERROR(__xludf.DUMMYFUNCTION("if(not(iserror(index(split(C1899, "" ""),2))), index(split(C1899, "" ""),1),"""")"),"")</f>
        <v/>
      </c>
      <c r="T1899" s="315" t="str">
        <f>IFERROR(__xludf.DUMMYFUNCTION("if(S1899="""",C1899,if(not(iserror(index(split(C1899, "" ""),3))), index(split(C1899, "" ""),3),index(split(C1899, "" ""),2)))"),"")</f>
        <v/>
      </c>
      <c r="U1899" s="38" t="b">
        <f t="shared" si="34"/>
        <v>0</v>
      </c>
      <c r="V1899" s="38"/>
      <c r="W1899" s="40"/>
      <c r="X1899" s="40"/>
      <c r="Y1899" s="38"/>
      <c r="Z1899" s="38"/>
      <c r="AA1899" s="38"/>
      <c r="AB1899" s="38"/>
      <c r="AC1899" s="38"/>
      <c r="AD1899" s="38"/>
      <c r="AE1899" s="38"/>
      <c r="AF1899" s="38"/>
      <c r="AG1899" s="38"/>
      <c r="AH1899" s="38"/>
      <c r="AI1899" s="38"/>
      <c r="AJ1899" s="38"/>
      <c r="AK1899" s="38"/>
      <c r="AL1899" s="38"/>
      <c r="AM1899" s="38"/>
      <c r="AN1899" s="38"/>
      <c r="AO1899" s="38"/>
      <c r="AP1899" s="38"/>
      <c r="AQ1899" s="38"/>
      <c r="AR1899" s="38"/>
      <c r="AS1899" s="38"/>
      <c r="AT1899" s="38"/>
      <c r="AU1899" s="38"/>
      <c r="AV1899" s="38"/>
      <c r="AW1899" s="38"/>
      <c r="AX1899" s="38"/>
      <c r="AY1899" s="38"/>
      <c r="AZ1899" s="38"/>
      <c r="BA1899" s="38"/>
      <c r="BB1899" s="38"/>
      <c r="BC1899" s="38"/>
      <c r="BD1899" s="38"/>
      <c r="BE1899" s="38"/>
      <c r="BF1899" s="38"/>
      <c r="BG1899" s="38"/>
      <c r="BH1899" s="38"/>
      <c r="BI1899" s="38"/>
      <c r="BJ1899" s="38"/>
      <c r="BK1899" s="38"/>
      <c r="BL1899" s="38"/>
      <c r="BM1899" s="38"/>
      <c r="BN1899" s="38"/>
      <c r="BO1899" s="38"/>
      <c r="BP1899" s="38"/>
      <c r="BQ1899" s="38"/>
    </row>
    <row r="1900">
      <c r="A1900" s="58"/>
      <c r="B1900" s="341"/>
      <c r="C1900" s="60"/>
      <c r="D1900" s="60"/>
      <c r="E1900" s="58"/>
      <c r="F1900" s="58"/>
      <c r="G1900" s="58"/>
      <c r="H1900" s="33" t="str">
        <f t="shared" si="33"/>
        <v/>
      </c>
      <c r="I1900" s="58"/>
      <c r="J1900" s="58"/>
      <c r="K1900" s="58"/>
      <c r="L1900" s="58"/>
      <c r="M1900" s="80"/>
      <c r="N1900" s="80"/>
      <c r="O1900" s="58"/>
      <c r="P1900" s="58"/>
      <c r="Q1900" s="84"/>
      <c r="R1900" s="62"/>
      <c r="S1900" s="37" t="str">
        <f>IFERROR(__xludf.DUMMYFUNCTION("if(not(iserror(index(split(C1900, "" ""),2))), index(split(C1900, "" ""),1),"""")"),"")</f>
        <v/>
      </c>
      <c r="T1900" s="315" t="str">
        <f>IFERROR(__xludf.DUMMYFUNCTION("if(S1900="""",C1900,if(not(iserror(index(split(C1900, "" ""),3))), index(split(C1900, "" ""),3),index(split(C1900, "" ""),2)))"),"")</f>
        <v/>
      </c>
      <c r="U1900" s="38" t="b">
        <f t="shared" si="34"/>
        <v>0</v>
      </c>
      <c r="V1900" s="38"/>
      <c r="W1900" s="40"/>
      <c r="X1900" s="40"/>
      <c r="Y1900" s="38"/>
      <c r="Z1900" s="38"/>
      <c r="AA1900" s="38"/>
      <c r="AB1900" s="38"/>
      <c r="AC1900" s="38"/>
      <c r="AD1900" s="38"/>
      <c r="AE1900" s="38"/>
      <c r="AF1900" s="38"/>
      <c r="AG1900" s="38"/>
      <c r="AH1900" s="38"/>
      <c r="AI1900" s="38"/>
      <c r="AJ1900" s="38"/>
      <c r="AK1900" s="38"/>
      <c r="AL1900" s="38"/>
      <c r="AM1900" s="38"/>
      <c r="AN1900" s="38"/>
      <c r="AO1900" s="38"/>
      <c r="AP1900" s="38"/>
      <c r="AQ1900" s="38"/>
      <c r="AR1900" s="38"/>
      <c r="AS1900" s="38"/>
      <c r="AT1900" s="38"/>
      <c r="AU1900" s="38"/>
      <c r="AV1900" s="38"/>
      <c r="AW1900" s="38"/>
      <c r="AX1900" s="38"/>
      <c r="AY1900" s="38"/>
      <c r="AZ1900" s="38"/>
      <c r="BA1900" s="38"/>
      <c r="BB1900" s="38"/>
      <c r="BC1900" s="38"/>
      <c r="BD1900" s="38"/>
      <c r="BE1900" s="38"/>
      <c r="BF1900" s="38"/>
      <c r="BG1900" s="38"/>
      <c r="BH1900" s="38"/>
      <c r="BI1900" s="38"/>
      <c r="BJ1900" s="38"/>
      <c r="BK1900" s="38"/>
      <c r="BL1900" s="38"/>
      <c r="BM1900" s="38"/>
      <c r="BN1900" s="38"/>
      <c r="BO1900" s="38"/>
      <c r="BP1900" s="38"/>
      <c r="BQ1900" s="38"/>
    </row>
    <row r="1901">
      <c r="A1901" s="58"/>
      <c r="B1901" s="341"/>
      <c r="C1901" s="60"/>
      <c r="D1901" s="60"/>
      <c r="E1901" s="58"/>
      <c r="F1901" s="58"/>
      <c r="G1901" s="58"/>
      <c r="H1901" s="33" t="str">
        <f t="shared" si="33"/>
        <v/>
      </c>
      <c r="I1901" s="58"/>
      <c r="J1901" s="58"/>
      <c r="K1901" s="58"/>
      <c r="L1901" s="58"/>
      <c r="M1901" s="80"/>
      <c r="N1901" s="80"/>
      <c r="O1901" s="58"/>
      <c r="P1901" s="58"/>
      <c r="Q1901" s="84"/>
      <c r="R1901" s="62"/>
      <c r="S1901" s="37" t="str">
        <f>IFERROR(__xludf.DUMMYFUNCTION("if(not(iserror(index(split(C1901, "" ""),2))), index(split(C1901, "" ""),1),"""")"),"")</f>
        <v/>
      </c>
      <c r="T1901" s="315" t="str">
        <f>IFERROR(__xludf.DUMMYFUNCTION("if(S1901="""",C1901,if(not(iserror(index(split(C1901, "" ""),3))), index(split(C1901, "" ""),3),index(split(C1901, "" ""),2)))"),"")</f>
        <v/>
      </c>
      <c r="U1901" s="38" t="b">
        <f t="shared" si="34"/>
        <v>0</v>
      </c>
      <c r="V1901" s="38"/>
      <c r="W1901" s="40"/>
      <c r="X1901" s="40"/>
      <c r="Y1901" s="38"/>
      <c r="Z1901" s="38"/>
      <c r="AA1901" s="38"/>
      <c r="AB1901" s="38"/>
      <c r="AC1901" s="38"/>
      <c r="AD1901" s="38"/>
      <c r="AE1901" s="38"/>
      <c r="AF1901" s="38"/>
      <c r="AG1901" s="38"/>
      <c r="AH1901" s="38"/>
      <c r="AI1901" s="38"/>
      <c r="AJ1901" s="38"/>
      <c r="AK1901" s="38"/>
      <c r="AL1901" s="38"/>
      <c r="AM1901" s="38"/>
      <c r="AN1901" s="38"/>
      <c r="AO1901" s="38"/>
      <c r="AP1901" s="38"/>
      <c r="AQ1901" s="38"/>
      <c r="AR1901" s="38"/>
      <c r="AS1901" s="38"/>
      <c r="AT1901" s="38"/>
      <c r="AU1901" s="38"/>
      <c r="AV1901" s="38"/>
      <c r="AW1901" s="38"/>
      <c r="AX1901" s="38"/>
      <c r="AY1901" s="38"/>
      <c r="AZ1901" s="38"/>
      <c r="BA1901" s="38"/>
      <c r="BB1901" s="38"/>
      <c r="BC1901" s="38"/>
      <c r="BD1901" s="38"/>
      <c r="BE1901" s="38"/>
      <c r="BF1901" s="38"/>
      <c r="BG1901" s="38"/>
      <c r="BH1901" s="38"/>
      <c r="BI1901" s="38"/>
      <c r="BJ1901" s="38"/>
      <c r="BK1901" s="38"/>
      <c r="BL1901" s="38"/>
      <c r="BM1901" s="38"/>
      <c r="BN1901" s="38"/>
      <c r="BO1901" s="38"/>
      <c r="BP1901" s="38"/>
      <c r="BQ1901" s="38"/>
    </row>
    <row r="1902">
      <c r="A1902" s="58"/>
      <c r="B1902" s="341"/>
      <c r="C1902" s="60"/>
      <c r="D1902" s="60"/>
      <c r="E1902" s="58"/>
      <c r="F1902" s="58"/>
      <c r="G1902" s="58"/>
      <c r="H1902" s="33" t="str">
        <f t="shared" si="33"/>
        <v/>
      </c>
      <c r="I1902" s="58"/>
      <c r="J1902" s="58"/>
      <c r="K1902" s="58"/>
      <c r="L1902" s="58"/>
      <c r="M1902" s="80"/>
      <c r="N1902" s="80"/>
      <c r="O1902" s="58"/>
      <c r="P1902" s="58"/>
      <c r="Q1902" s="84"/>
      <c r="R1902" s="62"/>
      <c r="S1902" s="37" t="str">
        <f>IFERROR(__xludf.DUMMYFUNCTION("if(not(iserror(index(split(C1902, "" ""),2))), index(split(C1902, "" ""),1),"""")"),"")</f>
        <v/>
      </c>
      <c r="T1902" s="315" t="str">
        <f>IFERROR(__xludf.DUMMYFUNCTION("if(S1902="""",C1902,if(not(iserror(index(split(C1902, "" ""),3))), index(split(C1902, "" ""),3),index(split(C1902, "" ""),2)))"),"")</f>
        <v/>
      </c>
      <c r="U1902" s="38" t="b">
        <f t="shared" si="34"/>
        <v>0</v>
      </c>
      <c r="V1902" s="38"/>
      <c r="W1902" s="40"/>
      <c r="X1902" s="40"/>
      <c r="Y1902" s="38"/>
      <c r="Z1902" s="38"/>
      <c r="AA1902" s="38"/>
      <c r="AB1902" s="38"/>
      <c r="AC1902" s="38"/>
      <c r="AD1902" s="38"/>
      <c r="AE1902" s="38"/>
      <c r="AF1902" s="38"/>
      <c r="AG1902" s="38"/>
      <c r="AH1902" s="38"/>
      <c r="AI1902" s="38"/>
      <c r="AJ1902" s="38"/>
      <c r="AK1902" s="38"/>
      <c r="AL1902" s="38"/>
      <c r="AM1902" s="38"/>
      <c r="AN1902" s="38"/>
      <c r="AO1902" s="38"/>
      <c r="AP1902" s="38"/>
      <c r="AQ1902" s="38"/>
      <c r="AR1902" s="38"/>
      <c r="AS1902" s="38"/>
      <c r="AT1902" s="38"/>
      <c r="AU1902" s="38"/>
      <c r="AV1902" s="38"/>
      <c r="AW1902" s="38"/>
      <c r="AX1902" s="38"/>
      <c r="AY1902" s="38"/>
      <c r="AZ1902" s="38"/>
      <c r="BA1902" s="38"/>
      <c r="BB1902" s="38"/>
      <c r="BC1902" s="38"/>
      <c r="BD1902" s="38"/>
      <c r="BE1902" s="38"/>
      <c r="BF1902" s="38"/>
      <c r="BG1902" s="38"/>
      <c r="BH1902" s="38"/>
      <c r="BI1902" s="38"/>
      <c r="BJ1902" s="38"/>
      <c r="BK1902" s="38"/>
      <c r="BL1902" s="38"/>
      <c r="BM1902" s="38"/>
      <c r="BN1902" s="38"/>
      <c r="BO1902" s="38"/>
      <c r="BP1902" s="38"/>
      <c r="BQ1902" s="38"/>
    </row>
    <row r="1903">
      <c r="A1903" s="375"/>
      <c r="B1903" s="341"/>
      <c r="C1903" s="60"/>
      <c r="D1903" s="60"/>
      <c r="E1903" s="58"/>
      <c r="F1903" s="58"/>
      <c r="G1903" s="58"/>
      <c r="H1903" s="33" t="str">
        <f t="shared" si="33"/>
        <v/>
      </c>
      <c r="I1903" s="58"/>
      <c r="J1903" s="58"/>
      <c r="K1903" s="58"/>
      <c r="L1903" s="58"/>
      <c r="M1903" s="80"/>
      <c r="N1903" s="80"/>
      <c r="O1903" s="58"/>
      <c r="P1903" s="58"/>
      <c r="Q1903" s="58"/>
      <c r="R1903" s="62"/>
      <c r="S1903" s="37" t="str">
        <f>IFERROR(__xludf.DUMMYFUNCTION("if(not(iserror(index(split(C1903, "" ""),2))), index(split(C1903, "" ""),1),"""")"),"")</f>
        <v/>
      </c>
      <c r="T1903" s="315" t="str">
        <f>IFERROR(__xludf.DUMMYFUNCTION("if(S1903="""",C1903,if(not(iserror(index(split(C1903, "" ""),3))), index(split(C1903, "" ""),3),index(split(C1903, "" ""),2)))"),"")</f>
        <v/>
      </c>
      <c r="U1903" s="38" t="b">
        <f t="shared" si="34"/>
        <v>0</v>
      </c>
      <c r="V1903" s="38"/>
      <c r="W1903" s="40"/>
      <c r="X1903" s="40"/>
      <c r="Y1903" s="38"/>
      <c r="Z1903" s="38"/>
      <c r="AA1903" s="38"/>
      <c r="AB1903" s="38"/>
      <c r="AC1903" s="38"/>
      <c r="AD1903" s="38"/>
      <c r="AE1903" s="38"/>
      <c r="AF1903" s="38"/>
      <c r="AG1903" s="38"/>
      <c r="AH1903" s="38"/>
      <c r="AI1903" s="38"/>
      <c r="AJ1903" s="38"/>
      <c r="AK1903" s="38"/>
      <c r="AL1903" s="38"/>
      <c r="AM1903" s="38"/>
      <c r="AN1903" s="38"/>
      <c r="AO1903" s="38"/>
      <c r="AP1903" s="38"/>
      <c r="AQ1903" s="38"/>
      <c r="AR1903" s="38"/>
      <c r="AS1903" s="38"/>
      <c r="AT1903" s="38"/>
      <c r="AU1903" s="38"/>
      <c r="AV1903" s="38"/>
      <c r="AW1903" s="38"/>
      <c r="AX1903" s="38"/>
      <c r="AY1903" s="38"/>
      <c r="AZ1903" s="38"/>
      <c r="BA1903" s="38"/>
      <c r="BB1903" s="38"/>
      <c r="BC1903" s="38"/>
      <c r="BD1903" s="38"/>
      <c r="BE1903" s="38"/>
      <c r="BF1903" s="38"/>
      <c r="BG1903" s="38"/>
      <c r="BH1903" s="38"/>
      <c r="BI1903" s="38"/>
      <c r="BJ1903" s="38"/>
      <c r="BK1903" s="38"/>
      <c r="BL1903" s="38"/>
      <c r="BM1903" s="38"/>
      <c r="BN1903" s="38"/>
      <c r="BO1903" s="38"/>
      <c r="BP1903" s="38"/>
      <c r="BQ1903" s="38"/>
    </row>
    <row r="1904">
      <c r="A1904" s="58"/>
      <c r="B1904" s="341"/>
      <c r="C1904" s="60"/>
      <c r="D1904" s="60"/>
      <c r="E1904" s="58"/>
      <c r="F1904" s="58"/>
      <c r="G1904" s="58"/>
      <c r="H1904" s="33" t="str">
        <f t="shared" si="33"/>
        <v/>
      </c>
      <c r="I1904" s="58"/>
      <c r="J1904" s="58"/>
      <c r="K1904" s="58"/>
      <c r="L1904" s="58"/>
      <c r="M1904" s="80"/>
      <c r="N1904" s="80"/>
      <c r="O1904" s="58"/>
      <c r="P1904" s="58"/>
      <c r="Q1904" s="84"/>
      <c r="R1904" s="62"/>
      <c r="S1904" s="37" t="str">
        <f>IFERROR(__xludf.DUMMYFUNCTION("if(not(iserror(index(split(C1904, "" ""),2))), index(split(C1904, "" ""),1),"""")"),"")</f>
        <v/>
      </c>
      <c r="T1904" s="315" t="str">
        <f>IFERROR(__xludf.DUMMYFUNCTION("if(S1904="""",C1904,if(not(iserror(index(split(C1904, "" ""),3))), index(split(C1904, "" ""),3),index(split(C1904, "" ""),2)))"),"")</f>
        <v/>
      </c>
      <c r="U1904" s="38" t="b">
        <f t="shared" si="34"/>
        <v>0</v>
      </c>
      <c r="V1904" s="38"/>
      <c r="W1904" s="40"/>
      <c r="X1904" s="40"/>
      <c r="Y1904" s="38"/>
      <c r="Z1904" s="38"/>
      <c r="AA1904" s="38"/>
      <c r="AB1904" s="38"/>
      <c r="AC1904" s="38"/>
      <c r="AD1904" s="38"/>
      <c r="AE1904" s="38"/>
      <c r="AF1904" s="38"/>
      <c r="AG1904" s="38"/>
      <c r="AH1904" s="38"/>
      <c r="AI1904" s="38"/>
      <c r="AJ1904" s="38"/>
      <c r="AK1904" s="38"/>
      <c r="AL1904" s="38"/>
      <c r="AM1904" s="38"/>
      <c r="AN1904" s="38"/>
      <c r="AO1904" s="38"/>
      <c r="AP1904" s="38"/>
      <c r="AQ1904" s="38"/>
      <c r="AR1904" s="38"/>
      <c r="AS1904" s="38"/>
      <c r="AT1904" s="38"/>
      <c r="AU1904" s="38"/>
      <c r="AV1904" s="38"/>
      <c r="AW1904" s="38"/>
      <c r="AX1904" s="38"/>
      <c r="AY1904" s="38"/>
      <c r="AZ1904" s="38"/>
      <c r="BA1904" s="38"/>
      <c r="BB1904" s="38"/>
      <c r="BC1904" s="38"/>
      <c r="BD1904" s="38"/>
      <c r="BE1904" s="38"/>
      <c r="BF1904" s="38"/>
      <c r="BG1904" s="38"/>
      <c r="BH1904" s="38"/>
      <c r="BI1904" s="38"/>
      <c r="BJ1904" s="38"/>
      <c r="BK1904" s="38"/>
      <c r="BL1904" s="38"/>
      <c r="BM1904" s="38"/>
      <c r="BN1904" s="38"/>
      <c r="BO1904" s="38"/>
      <c r="BP1904" s="38"/>
      <c r="BQ1904" s="38"/>
    </row>
    <row r="1905">
      <c r="A1905" s="375"/>
      <c r="B1905" s="341"/>
      <c r="C1905" s="60"/>
      <c r="D1905" s="60"/>
      <c r="E1905" s="58"/>
      <c r="F1905" s="58"/>
      <c r="G1905" s="58"/>
      <c r="H1905" s="33" t="str">
        <f t="shared" si="33"/>
        <v/>
      </c>
      <c r="I1905" s="58"/>
      <c r="J1905" s="58"/>
      <c r="K1905" s="58"/>
      <c r="L1905" s="58"/>
      <c r="M1905" s="80"/>
      <c r="N1905" s="80"/>
      <c r="O1905" s="58"/>
      <c r="P1905" s="58"/>
      <c r="Q1905" s="84"/>
      <c r="R1905" s="62"/>
      <c r="S1905" s="37" t="str">
        <f>IFERROR(__xludf.DUMMYFUNCTION("if(not(iserror(index(split(C1905, "" ""),2))), index(split(C1905, "" ""),1),"""")"),"")</f>
        <v/>
      </c>
      <c r="T1905" s="315" t="str">
        <f>IFERROR(__xludf.DUMMYFUNCTION("if(S1905="""",C1905,if(not(iserror(index(split(C1905, "" ""),3))), index(split(C1905, "" ""),3),index(split(C1905, "" ""),2)))"),"")</f>
        <v/>
      </c>
      <c r="U1905" s="38" t="b">
        <f t="shared" si="34"/>
        <v>0</v>
      </c>
      <c r="V1905" s="38"/>
      <c r="W1905" s="40"/>
      <c r="X1905" s="40"/>
      <c r="Y1905" s="38"/>
      <c r="Z1905" s="38"/>
      <c r="AA1905" s="38"/>
      <c r="AB1905" s="38"/>
      <c r="AC1905" s="38"/>
      <c r="AD1905" s="38"/>
      <c r="AE1905" s="38"/>
      <c r="AF1905" s="38"/>
      <c r="AG1905" s="38"/>
      <c r="AH1905" s="38"/>
      <c r="AI1905" s="38"/>
      <c r="AJ1905" s="38"/>
      <c r="AK1905" s="38"/>
      <c r="AL1905" s="38"/>
      <c r="AM1905" s="38"/>
      <c r="AN1905" s="38"/>
      <c r="AO1905" s="38"/>
      <c r="AP1905" s="38"/>
      <c r="AQ1905" s="38"/>
      <c r="AR1905" s="38"/>
      <c r="AS1905" s="38"/>
      <c r="AT1905" s="38"/>
      <c r="AU1905" s="38"/>
      <c r="AV1905" s="38"/>
      <c r="AW1905" s="38"/>
      <c r="AX1905" s="38"/>
      <c r="AY1905" s="38"/>
      <c r="AZ1905" s="38"/>
      <c r="BA1905" s="38"/>
      <c r="BB1905" s="38"/>
      <c r="BC1905" s="38"/>
      <c r="BD1905" s="38"/>
      <c r="BE1905" s="38"/>
      <c r="BF1905" s="38"/>
      <c r="BG1905" s="38"/>
      <c r="BH1905" s="38"/>
      <c r="BI1905" s="38"/>
      <c r="BJ1905" s="38"/>
      <c r="BK1905" s="38"/>
      <c r="BL1905" s="38"/>
      <c r="BM1905" s="38"/>
      <c r="BN1905" s="38"/>
      <c r="BO1905" s="38"/>
      <c r="BP1905" s="38"/>
      <c r="BQ1905" s="38"/>
    </row>
    <row r="1906">
      <c r="A1906" s="58"/>
      <c r="B1906" s="341"/>
      <c r="C1906" s="60"/>
      <c r="D1906" s="60"/>
      <c r="E1906" s="58"/>
      <c r="F1906" s="58"/>
      <c r="G1906" s="58"/>
      <c r="H1906" s="33" t="str">
        <f t="shared" si="33"/>
        <v/>
      </c>
      <c r="I1906" s="58"/>
      <c r="J1906" s="58"/>
      <c r="K1906" s="58"/>
      <c r="L1906" s="58"/>
      <c r="M1906" s="80"/>
      <c r="N1906" s="120"/>
      <c r="O1906" s="58"/>
      <c r="P1906" s="58"/>
      <c r="Q1906" s="84"/>
      <c r="R1906" s="58"/>
      <c r="S1906" s="37" t="str">
        <f>IFERROR(__xludf.DUMMYFUNCTION("if(not(iserror(index(split(C1906, "" ""),2))), index(split(C1906, "" ""),1),"""")"),"")</f>
        <v/>
      </c>
      <c r="T1906" s="315" t="str">
        <f>IFERROR(__xludf.DUMMYFUNCTION("if(S1906="""",C1906,if(not(iserror(index(split(C1906, "" ""),3))), index(split(C1906, "" ""),3),index(split(C1906, "" ""),2)))"),"")</f>
        <v/>
      </c>
      <c r="U1906" s="38" t="b">
        <f t="shared" si="34"/>
        <v>0</v>
      </c>
      <c r="V1906" s="38"/>
      <c r="W1906" s="40"/>
      <c r="X1906" s="40"/>
      <c r="Y1906" s="38"/>
      <c r="Z1906" s="38"/>
      <c r="AA1906" s="38"/>
      <c r="AB1906" s="38"/>
      <c r="AC1906" s="38"/>
      <c r="AD1906" s="38"/>
      <c r="AE1906" s="38"/>
      <c r="AF1906" s="38"/>
      <c r="AG1906" s="38"/>
      <c r="AH1906" s="38"/>
      <c r="AI1906" s="38"/>
      <c r="AJ1906" s="38"/>
      <c r="AK1906" s="38"/>
      <c r="AL1906" s="38"/>
      <c r="AM1906" s="38"/>
      <c r="AN1906" s="38"/>
      <c r="AO1906" s="38"/>
      <c r="AP1906" s="38"/>
      <c r="AQ1906" s="38"/>
      <c r="AR1906" s="38"/>
      <c r="AS1906" s="38"/>
      <c r="AT1906" s="38"/>
      <c r="AU1906" s="38"/>
      <c r="AV1906" s="38"/>
      <c r="AW1906" s="38"/>
      <c r="AX1906" s="38"/>
      <c r="AY1906" s="38"/>
      <c r="AZ1906" s="38"/>
      <c r="BA1906" s="38"/>
      <c r="BB1906" s="38"/>
      <c r="BC1906" s="38"/>
      <c r="BD1906" s="38"/>
      <c r="BE1906" s="38"/>
      <c r="BF1906" s="38"/>
      <c r="BG1906" s="38"/>
      <c r="BH1906" s="38"/>
      <c r="BI1906" s="38"/>
      <c r="BJ1906" s="38"/>
      <c r="BK1906" s="38"/>
      <c r="BL1906" s="38"/>
      <c r="BM1906" s="38"/>
      <c r="BN1906" s="38"/>
      <c r="BO1906" s="38"/>
      <c r="BP1906" s="38"/>
      <c r="BQ1906" s="38"/>
    </row>
    <row r="1907">
      <c r="A1907" s="58"/>
      <c r="B1907" s="341"/>
      <c r="C1907" s="60"/>
      <c r="D1907" s="60"/>
      <c r="E1907" s="58"/>
      <c r="F1907" s="58"/>
      <c r="G1907" s="58"/>
      <c r="H1907" s="33" t="str">
        <f t="shared" si="33"/>
        <v/>
      </c>
      <c r="I1907" s="58"/>
      <c r="J1907" s="58"/>
      <c r="K1907" s="58"/>
      <c r="L1907" s="58"/>
      <c r="M1907" s="80"/>
      <c r="N1907" s="80"/>
      <c r="O1907" s="120"/>
      <c r="P1907" s="120"/>
      <c r="Q1907" s="58"/>
      <c r="R1907" s="62"/>
      <c r="S1907" s="37" t="str">
        <f>IFERROR(__xludf.DUMMYFUNCTION("if(not(iserror(index(split(C1907, "" ""),2))), index(split(C1907, "" ""),1),"""")"),"")</f>
        <v/>
      </c>
      <c r="T1907" s="315" t="str">
        <f>IFERROR(__xludf.DUMMYFUNCTION("if(S1907="""",C1907,if(not(iserror(index(split(C1907, "" ""),3))), index(split(C1907, "" ""),3),index(split(C1907, "" ""),2)))"),"")</f>
        <v/>
      </c>
      <c r="U1907" s="38" t="b">
        <f t="shared" si="34"/>
        <v>0</v>
      </c>
      <c r="V1907" s="38"/>
      <c r="W1907" s="40"/>
      <c r="X1907" s="40"/>
      <c r="Y1907" s="38"/>
      <c r="Z1907" s="38"/>
      <c r="AA1907" s="38"/>
      <c r="AB1907" s="38"/>
      <c r="AC1907" s="38"/>
      <c r="AD1907" s="38"/>
      <c r="AE1907" s="38"/>
      <c r="AF1907" s="38"/>
      <c r="AG1907" s="38"/>
      <c r="AH1907" s="38"/>
      <c r="AI1907" s="38"/>
      <c r="AJ1907" s="38"/>
      <c r="AK1907" s="38"/>
      <c r="AL1907" s="38"/>
      <c r="AM1907" s="38"/>
      <c r="AN1907" s="38"/>
      <c r="AO1907" s="38"/>
      <c r="AP1907" s="38"/>
      <c r="AQ1907" s="38"/>
      <c r="AR1907" s="38"/>
      <c r="AS1907" s="38"/>
      <c r="AT1907" s="38"/>
      <c r="AU1907" s="38"/>
      <c r="AV1907" s="38"/>
      <c r="AW1907" s="38"/>
      <c r="AX1907" s="38"/>
      <c r="AY1907" s="38"/>
      <c r="AZ1907" s="38"/>
      <c r="BA1907" s="38"/>
      <c r="BB1907" s="38"/>
      <c r="BC1907" s="38"/>
      <c r="BD1907" s="38"/>
      <c r="BE1907" s="38"/>
      <c r="BF1907" s="38"/>
      <c r="BG1907" s="38"/>
      <c r="BH1907" s="38"/>
      <c r="BI1907" s="38"/>
      <c r="BJ1907" s="38"/>
      <c r="BK1907" s="38"/>
      <c r="BL1907" s="38"/>
      <c r="BM1907" s="38"/>
      <c r="BN1907" s="38"/>
      <c r="BO1907" s="38"/>
      <c r="BP1907" s="38"/>
      <c r="BQ1907" s="38"/>
    </row>
    <row r="1908">
      <c r="A1908" s="58"/>
      <c r="B1908" s="341"/>
      <c r="C1908" s="60"/>
      <c r="D1908" s="60"/>
      <c r="E1908" s="58"/>
      <c r="F1908" s="58"/>
      <c r="G1908" s="58"/>
      <c r="H1908" s="33" t="str">
        <f t="shared" si="33"/>
        <v/>
      </c>
      <c r="I1908" s="58"/>
      <c r="J1908" s="58"/>
      <c r="K1908" s="58"/>
      <c r="L1908" s="58"/>
      <c r="M1908" s="80"/>
      <c r="N1908" s="80"/>
      <c r="O1908" s="58"/>
      <c r="P1908" s="58"/>
      <c r="Q1908" s="84"/>
      <c r="R1908" s="62"/>
      <c r="S1908" s="37" t="str">
        <f>IFERROR(__xludf.DUMMYFUNCTION("if(not(iserror(index(split(C1908, "" ""),2))), index(split(C1908, "" ""),1),"""")"),"")</f>
        <v/>
      </c>
      <c r="T1908" s="315" t="str">
        <f>IFERROR(__xludf.DUMMYFUNCTION("if(S1908="""",C1908,if(not(iserror(index(split(C1908, "" ""),3))), index(split(C1908, "" ""),3),index(split(C1908, "" ""),2)))"),"")</f>
        <v/>
      </c>
      <c r="U1908" s="38" t="b">
        <f t="shared" si="34"/>
        <v>0</v>
      </c>
      <c r="V1908" s="38"/>
      <c r="W1908" s="40"/>
      <c r="X1908" s="40"/>
      <c r="Y1908" s="38"/>
      <c r="Z1908" s="38"/>
      <c r="AA1908" s="38"/>
      <c r="AB1908" s="38"/>
      <c r="AC1908" s="38"/>
      <c r="AD1908" s="38"/>
      <c r="AE1908" s="38"/>
      <c r="AF1908" s="38"/>
      <c r="AG1908" s="38"/>
      <c r="AH1908" s="38"/>
      <c r="AI1908" s="38"/>
      <c r="AJ1908" s="38"/>
      <c r="AK1908" s="38"/>
      <c r="AL1908" s="38"/>
      <c r="AM1908" s="38"/>
      <c r="AN1908" s="38"/>
      <c r="AO1908" s="38"/>
      <c r="AP1908" s="38"/>
      <c r="AQ1908" s="38"/>
      <c r="AR1908" s="38"/>
      <c r="AS1908" s="38"/>
      <c r="AT1908" s="38"/>
      <c r="AU1908" s="38"/>
      <c r="AV1908" s="38"/>
      <c r="AW1908" s="38"/>
      <c r="AX1908" s="38"/>
      <c r="AY1908" s="38"/>
      <c r="AZ1908" s="38"/>
      <c r="BA1908" s="38"/>
      <c r="BB1908" s="38"/>
      <c r="BC1908" s="38"/>
      <c r="BD1908" s="38"/>
      <c r="BE1908" s="38"/>
      <c r="BF1908" s="38"/>
      <c r="BG1908" s="38"/>
      <c r="BH1908" s="38"/>
      <c r="BI1908" s="38"/>
      <c r="BJ1908" s="38"/>
      <c r="BK1908" s="38"/>
      <c r="BL1908" s="38"/>
      <c r="BM1908" s="38"/>
      <c r="BN1908" s="38"/>
      <c r="BO1908" s="38"/>
      <c r="BP1908" s="38"/>
      <c r="BQ1908" s="38"/>
    </row>
    <row r="1909">
      <c r="A1909" s="58"/>
      <c r="B1909" s="341"/>
      <c r="C1909" s="60"/>
      <c r="D1909" s="60"/>
      <c r="E1909" s="58"/>
      <c r="F1909" s="58"/>
      <c r="G1909" s="58"/>
      <c r="H1909" s="33" t="str">
        <f t="shared" si="33"/>
        <v/>
      </c>
      <c r="I1909" s="58"/>
      <c r="J1909" s="58"/>
      <c r="K1909" s="58"/>
      <c r="L1909" s="58"/>
      <c r="M1909" s="80"/>
      <c r="N1909" s="80"/>
      <c r="O1909" s="58"/>
      <c r="P1909" s="58"/>
      <c r="Q1909" s="84"/>
      <c r="R1909" s="62"/>
      <c r="S1909" s="37" t="str">
        <f>IFERROR(__xludf.DUMMYFUNCTION("if(not(iserror(index(split(C1909, "" ""),2))), index(split(C1909, "" ""),1),"""")"),"")</f>
        <v/>
      </c>
      <c r="T1909" s="315" t="str">
        <f>IFERROR(__xludf.DUMMYFUNCTION("if(S1909="""",C1909,if(not(iserror(index(split(C1909, "" ""),3))), index(split(C1909, "" ""),3),index(split(C1909, "" ""),2)))"),"")</f>
        <v/>
      </c>
      <c r="U1909" s="38" t="b">
        <f t="shared" si="34"/>
        <v>0</v>
      </c>
      <c r="V1909" s="38"/>
      <c r="W1909" s="40"/>
      <c r="X1909" s="40"/>
      <c r="Y1909" s="38"/>
      <c r="Z1909" s="38"/>
      <c r="AA1909" s="38"/>
      <c r="AB1909" s="38"/>
      <c r="AC1909" s="38"/>
      <c r="AD1909" s="38"/>
      <c r="AE1909" s="38"/>
      <c r="AF1909" s="38"/>
      <c r="AG1909" s="38"/>
      <c r="AH1909" s="38"/>
      <c r="AI1909" s="38"/>
      <c r="AJ1909" s="38"/>
      <c r="AK1909" s="38"/>
      <c r="AL1909" s="38"/>
      <c r="AM1909" s="38"/>
      <c r="AN1909" s="38"/>
      <c r="AO1909" s="38"/>
      <c r="AP1909" s="38"/>
      <c r="AQ1909" s="38"/>
      <c r="AR1909" s="38"/>
      <c r="AS1909" s="38"/>
      <c r="AT1909" s="38"/>
      <c r="AU1909" s="38"/>
      <c r="AV1909" s="38"/>
      <c r="AW1909" s="38"/>
      <c r="AX1909" s="38"/>
      <c r="AY1909" s="38"/>
      <c r="AZ1909" s="38"/>
      <c r="BA1909" s="38"/>
      <c r="BB1909" s="38"/>
      <c r="BC1909" s="38"/>
      <c r="BD1909" s="38"/>
      <c r="BE1909" s="38"/>
      <c r="BF1909" s="38"/>
      <c r="BG1909" s="38"/>
      <c r="BH1909" s="38"/>
      <c r="BI1909" s="38"/>
      <c r="BJ1909" s="38"/>
      <c r="BK1909" s="38"/>
      <c r="BL1909" s="38"/>
      <c r="BM1909" s="38"/>
      <c r="BN1909" s="38"/>
      <c r="BO1909" s="38"/>
      <c r="BP1909" s="38"/>
      <c r="BQ1909" s="38"/>
    </row>
    <row r="1910">
      <c r="A1910" s="58"/>
      <c r="B1910" s="341"/>
      <c r="C1910" s="60"/>
      <c r="D1910" s="60"/>
      <c r="E1910" s="58"/>
      <c r="F1910" s="58"/>
      <c r="G1910" s="58"/>
      <c r="H1910" s="33" t="str">
        <f t="shared" si="33"/>
        <v/>
      </c>
      <c r="I1910" s="58"/>
      <c r="J1910" s="58"/>
      <c r="K1910" s="58"/>
      <c r="L1910" s="58"/>
      <c r="M1910" s="80"/>
      <c r="N1910" s="80"/>
      <c r="O1910" s="58"/>
      <c r="P1910" s="58"/>
      <c r="Q1910" s="84"/>
      <c r="R1910" s="62"/>
      <c r="S1910" s="37" t="str">
        <f>IFERROR(__xludf.DUMMYFUNCTION("if(not(iserror(index(split(C1910, "" ""),2))), index(split(C1910, "" ""),1),"""")"),"")</f>
        <v/>
      </c>
      <c r="T1910" s="315" t="str">
        <f>IFERROR(__xludf.DUMMYFUNCTION("if(S1910="""",C1910,if(not(iserror(index(split(C1910, "" ""),3))), index(split(C1910, "" ""),3),index(split(C1910, "" ""),2)))"),"")</f>
        <v/>
      </c>
      <c r="U1910" s="38" t="b">
        <f t="shared" si="34"/>
        <v>0</v>
      </c>
      <c r="V1910" s="38"/>
      <c r="W1910" s="40"/>
      <c r="X1910" s="40"/>
      <c r="Y1910" s="38"/>
      <c r="Z1910" s="38"/>
      <c r="AA1910" s="38"/>
      <c r="AB1910" s="38"/>
      <c r="AC1910" s="38"/>
      <c r="AD1910" s="38"/>
      <c r="AE1910" s="38"/>
      <c r="AF1910" s="38"/>
      <c r="AG1910" s="38"/>
      <c r="AH1910" s="38"/>
      <c r="AI1910" s="38"/>
      <c r="AJ1910" s="38"/>
      <c r="AK1910" s="38"/>
      <c r="AL1910" s="38"/>
      <c r="AM1910" s="38"/>
      <c r="AN1910" s="38"/>
      <c r="AO1910" s="38"/>
      <c r="AP1910" s="38"/>
      <c r="AQ1910" s="38"/>
      <c r="AR1910" s="38"/>
      <c r="AS1910" s="38"/>
      <c r="AT1910" s="38"/>
      <c r="AU1910" s="38"/>
      <c r="AV1910" s="38"/>
      <c r="AW1910" s="38"/>
      <c r="AX1910" s="38"/>
      <c r="AY1910" s="38"/>
      <c r="AZ1910" s="38"/>
      <c r="BA1910" s="38"/>
      <c r="BB1910" s="38"/>
      <c r="BC1910" s="38"/>
      <c r="BD1910" s="38"/>
      <c r="BE1910" s="38"/>
      <c r="BF1910" s="38"/>
      <c r="BG1910" s="38"/>
      <c r="BH1910" s="38"/>
      <c r="BI1910" s="38"/>
      <c r="BJ1910" s="38"/>
      <c r="BK1910" s="38"/>
      <c r="BL1910" s="38"/>
      <c r="BM1910" s="38"/>
      <c r="BN1910" s="38"/>
      <c r="BO1910" s="38"/>
      <c r="BP1910" s="38"/>
      <c r="BQ1910" s="38"/>
    </row>
    <row r="1911">
      <c r="A1911" s="58"/>
      <c r="B1911" s="341"/>
      <c r="C1911" s="60"/>
      <c r="D1911" s="60"/>
      <c r="E1911" s="58"/>
      <c r="F1911" s="58"/>
      <c r="G1911" s="58"/>
      <c r="H1911" s="33" t="str">
        <f t="shared" si="33"/>
        <v/>
      </c>
      <c r="I1911" s="58"/>
      <c r="J1911" s="58"/>
      <c r="K1911" s="58"/>
      <c r="L1911" s="58"/>
      <c r="M1911" s="80"/>
      <c r="N1911" s="80"/>
      <c r="O1911" s="58"/>
      <c r="P1911" s="58"/>
      <c r="Q1911" s="84"/>
      <c r="R1911" s="62"/>
      <c r="S1911" s="37" t="str">
        <f>IFERROR(__xludf.DUMMYFUNCTION("if(not(iserror(index(split(C1911, "" ""),2))), index(split(C1911, "" ""),1),"""")"),"")</f>
        <v/>
      </c>
      <c r="T1911" s="315" t="str">
        <f>IFERROR(__xludf.DUMMYFUNCTION("if(S1911="""",C1911,if(not(iserror(index(split(C1911, "" ""),3))), index(split(C1911, "" ""),3),index(split(C1911, "" ""),2)))"),"")</f>
        <v/>
      </c>
      <c r="U1911" s="38" t="b">
        <f t="shared" si="34"/>
        <v>0</v>
      </c>
      <c r="V1911" s="38"/>
      <c r="W1911" s="40"/>
      <c r="X1911" s="40"/>
      <c r="Y1911" s="38"/>
      <c r="Z1911" s="38"/>
      <c r="AA1911" s="38"/>
      <c r="AB1911" s="38"/>
      <c r="AC1911" s="38"/>
      <c r="AD1911" s="38"/>
      <c r="AE1911" s="38"/>
      <c r="AF1911" s="38"/>
      <c r="AG1911" s="38"/>
      <c r="AH1911" s="38"/>
      <c r="AI1911" s="38"/>
      <c r="AJ1911" s="38"/>
      <c r="AK1911" s="38"/>
      <c r="AL1911" s="38"/>
      <c r="AM1911" s="38"/>
      <c r="AN1911" s="38"/>
      <c r="AO1911" s="38"/>
      <c r="AP1911" s="38"/>
      <c r="AQ1911" s="38"/>
      <c r="AR1911" s="38"/>
      <c r="AS1911" s="38"/>
      <c r="AT1911" s="38"/>
      <c r="AU1911" s="38"/>
      <c r="AV1911" s="38"/>
      <c r="AW1911" s="38"/>
      <c r="AX1911" s="38"/>
      <c r="AY1911" s="38"/>
      <c r="AZ1911" s="38"/>
      <c r="BA1911" s="38"/>
      <c r="BB1911" s="38"/>
      <c r="BC1911" s="38"/>
      <c r="BD1911" s="38"/>
      <c r="BE1911" s="38"/>
      <c r="BF1911" s="38"/>
      <c r="BG1911" s="38"/>
      <c r="BH1911" s="38"/>
      <c r="BI1911" s="38"/>
      <c r="BJ1911" s="38"/>
      <c r="BK1911" s="38"/>
      <c r="BL1911" s="38"/>
      <c r="BM1911" s="38"/>
      <c r="BN1911" s="38"/>
      <c r="BO1911" s="38"/>
      <c r="BP1911" s="38"/>
      <c r="BQ1911" s="38"/>
    </row>
    <row r="1912">
      <c r="A1912" s="58"/>
      <c r="B1912" s="341"/>
      <c r="C1912" s="60"/>
      <c r="D1912" s="60"/>
      <c r="E1912" s="58"/>
      <c r="F1912" s="58"/>
      <c r="G1912" s="58"/>
      <c r="H1912" s="33" t="str">
        <f t="shared" si="33"/>
        <v/>
      </c>
      <c r="I1912" s="58"/>
      <c r="J1912" s="58"/>
      <c r="K1912" s="58"/>
      <c r="L1912" s="58"/>
      <c r="M1912" s="80"/>
      <c r="N1912" s="80"/>
      <c r="O1912" s="58"/>
      <c r="P1912" s="58"/>
      <c r="Q1912" s="84"/>
      <c r="R1912" s="62"/>
      <c r="S1912" s="37" t="str">
        <f>IFERROR(__xludf.DUMMYFUNCTION("if(not(iserror(index(split(C1912, "" ""),2))), index(split(C1912, "" ""),1),"""")"),"")</f>
        <v/>
      </c>
      <c r="T1912" s="315" t="str">
        <f>IFERROR(__xludf.DUMMYFUNCTION("if(S1912="""",C1912,if(not(iserror(index(split(C1912, "" ""),3))), index(split(C1912, "" ""),3),index(split(C1912, "" ""),2)))"),"")</f>
        <v/>
      </c>
      <c r="U1912" s="38" t="b">
        <f t="shared" si="34"/>
        <v>0</v>
      </c>
      <c r="V1912" s="38"/>
      <c r="W1912" s="40"/>
      <c r="X1912" s="40"/>
      <c r="Y1912" s="38"/>
      <c r="Z1912" s="38"/>
      <c r="AA1912" s="38"/>
      <c r="AB1912" s="38"/>
      <c r="AC1912" s="38"/>
      <c r="AD1912" s="38"/>
      <c r="AE1912" s="38"/>
      <c r="AF1912" s="38"/>
      <c r="AG1912" s="38"/>
      <c r="AH1912" s="38"/>
      <c r="AI1912" s="38"/>
      <c r="AJ1912" s="38"/>
      <c r="AK1912" s="38"/>
      <c r="AL1912" s="38"/>
      <c r="AM1912" s="38"/>
      <c r="AN1912" s="38"/>
      <c r="AO1912" s="38"/>
      <c r="AP1912" s="38"/>
      <c r="AQ1912" s="38"/>
      <c r="AR1912" s="38"/>
      <c r="AS1912" s="38"/>
      <c r="AT1912" s="38"/>
      <c r="AU1912" s="38"/>
      <c r="AV1912" s="38"/>
      <c r="AW1912" s="38"/>
      <c r="AX1912" s="38"/>
      <c r="AY1912" s="38"/>
      <c r="AZ1912" s="38"/>
      <c r="BA1912" s="38"/>
      <c r="BB1912" s="38"/>
      <c r="BC1912" s="38"/>
      <c r="BD1912" s="38"/>
      <c r="BE1912" s="38"/>
      <c r="BF1912" s="38"/>
      <c r="BG1912" s="38"/>
      <c r="BH1912" s="38"/>
      <c r="BI1912" s="38"/>
      <c r="BJ1912" s="38"/>
      <c r="BK1912" s="38"/>
      <c r="BL1912" s="38"/>
      <c r="BM1912" s="38"/>
      <c r="BN1912" s="38"/>
      <c r="BO1912" s="38"/>
      <c r="BP1912" s="38"/>
      <c r="BQ1912" s="38"/>
    </row>
    <row r="1913">
      <c r="A1913" s="58"/>
      <c r="B1913" s="341"/>
      <c r="C1913" s="60"/>
      <c r="D1913" s="60"/>
      <c r="E1913" s="58"/>
      <c r="F1913" s="58"/>
      <c r="G1913" s="58"/>
      <c r="H1913" s="33" t="str">
        <f t="shared" si="33"/>
        <v/>
      </c>
      <c r="I1913" s="58"/>
      <c r="J1913" s="58"/>
      <c r="K1913" s="58"/>
      <c r="L1913" s="58"/>
      <c r="M1913" s="80"/>
      <c r="N1913" s="80"/>
      <c r="O1913" s="58"/>
      <c r="P1913" s="58"/>
      <c r="Q1913" s="84"/>
      <c r="R1913" s="62"/>
      <c r="S1913" s="37" t="str">
        <f>IFERROR(__xludf.DUMMYFUNCTION("if(not(iserror(index(split(C1913, "" ""),2))), index(split(C1913, "" ""),1),"""")"),"")</f>
        <v/>
      </c>
      <c r="T1913" s="315" t="str">
        <f>IFERROR(__xludf.DUMMYFUNCTION("if(S1913="""",C1913,if(not(iserror(index(split(C1913, "" ""),3))), index(split(C1913, "" ""),3),index(split(C1913, "" ""),2)))"),"")</f>
        <v/>
      </c>
      <c r="U1913" s="38" t="b">
        <f t="shared" si="34"/>
        <v>0</v>
      </c>
      <c r="V1913" s="38"/>
      <c r="W1913" s="40"/>
      <c r="X1913" s="40"/>
      <c r="Y1913" s="38"/>
      <c r="Z1913" s="38"/>
      <c r="AA1913" s="38"/>
      <c r="AB1913" s="38"/>
      <c r="AC1913" s="38"/>
      <c r="AD1913" s="38"/>
      <c r="AE1913" s="38"/>
      <c r="AF1913" s="38"/>
      <c r="AG1913" s="38"/>
      <c r="AH1913" s="38"/>
      <c r="AI1913" s="38"/>
      <c r="AJ1913" s="38"/>
      <c r="AK1913" s="38"/>
      <c r="AL1913" s="38"/>
      <c r="AM1913" s="38"/>
      <c r="AN1913" s="38"/>
      <c r="AO1913" s="38"/>
      <c r="AP1913" s="38"/>
      <c r="AQ1913" s="38"/>
      <c r="AR1913" s="38"/>
      <c r="AS1913" s="38"/>
      <c r="AT1913" s="38"/>
      <c r="AU1913" s="38"/>
      <c r="AV1913" s="38"/>
      <c r="AW1913" s="38"/>
      <c r="AX1913" s="38"/>
      <c r="AY1913" s="38"/>
      <c r="AZ1913" s="38"/>
      <c r="BA1913" s="38"/>
      <c r="BB1913" s="38"/>
      <c r="BC1913" s="38"/>
      <c r="BD1913" s="38"/>
      <c r="BE1913" s="38"/>
      <c r="BF1913" s="38"/>
      <c r="BG1913" s="38"/>
      <c r="BH1913" s="38"/>
      <c r="BI1913" s="38"/>
      <c r="BJ1913" s="38"/>
      <c r="BK1913" s="38"/>
      <c r="BL1913" s="38"/>
      <c r="BM1913" s="38"/>
      <c r="BN1913" s="38"/>
      <c r="BO1913" s="38"/>
      <c r="BP1913" s="38"/>
      <c r="BQ1913" s="38"/>
    </row>
    <row r="1914">
      <c r="A1914" s="58"/>
      <c r="B1914" s="341"/>
      <c r="C1914" s="60"/>
      <c r="D1914" s="60"/>
      <c r="E1914" s="58"/>
      <c r="F1914" s="58"/>
      <c r="G1914" s="58"/>
      <c r="H1914" s="33" t="str">
        <f t="shared" si="33"/>
        <v/>
      </c>
      <c r="I1914" s="58"/>
      <c r="J1914" s="58"/>
      <c r="K1914" s="58"/>
      <c r="L1914" s="58"/>
      <c r="M1914" s="80"/>
      <c r="N1914" s="80"/>
      <c r="O1914" s="58"/>
      <c r="P1914" s="58"/>
      <c r="Q1914" s="84"/>
      <c r="R1914" s="62"/>
      <c r="S1914" s="37" t="str">
        <f>IFERROR(__xludf.DUMMYFUNCTION("if(not(iserror(index(split(C1914, "" ""),2))), index(split(C1914, "" ""),1),"""")"),"")</f>
        <v/>
      </c>
      <c r="T1914" s="315" t="str">
        <f>IFERROR(__xludf.DUMMYFUNCTION("if(S1914="""",C1914,if(not(iserror(index(split(C1914, "" ""),3))), index(split(C1914, "" ""),3),index(split(C1914, "" ""),2)))"),"")</f>
        <v/>
      </c>
      <c r="U1914" s="38" t="b">
        <f t="shared" si="34"/>
        <v>0</v>
      </c>
      <c r="V1914" s="38"/>
      <c r="W1914" s="40"/>
      <c r="X1914" s="40"/>
      <c r="Y1914" s="38"/>
      <c r="Z1914" s="38"/>
      <c r="AA1914" s="38"/>
      <c r="AB1914" s="38"/>
      <c r="AC1914" s="38"/>
      <c r="AD1914" s="38"/>
      <c r="AE1914" s="38"/>
      <c r="AF1914" s="38"/>
      <c r="AG1914" s="38"/>
      <c r="AH1914" s="38"/>
      <c r="AI1914" s="38"/>
      <c r="AJ1914" s="38"/>
      <c r="AK1914" s="38"/>
      <c r="AL1914" s="38"/>
      <c r="AM1914" s="38"/>
      <c r="AN1914" s="38"/>
      <c r="AO1914" s="38"/>
      <c r="AP1914" s="38"/>
      <c r="AQ1914" s="38"/>
      <c r="AR1914" s="38"/>
      <c r="AS1914" s="38"/>
      <c r="AT1914" s="38"/>
      <c r="AU1914" s="38"/>
      <c r="AV1914" s="38"/>
      <c r="AW1914" s="38"/>
      <c r="AX1914" s="38"/>
      <c r="AY1914" s="38"/>
      <c r="AZ1914" s="38"/>
      <c r="BA1914" s="38"/>
      <c r="BB1914" s="38"/>
      <c r="BC1914" s="38"/>
      <c r="BD1914" s="38"/>
      <c r="BE1914" s="38"/>
      <c r="BF1914" s="38"/>
      <c r="BG1914" s="38"/>
      <c r="BH1914" s="38"/>
      <c r="BI1914" s="38"/>
      <c r="BJ1914" s="38"/>
      <c r="BK1914" s="38"/>
      <c r="BL1914" s="38"/>
      <c r="BM1914" s="38"/>
      <c r="BN1914" s="38"/>
      <c r="BO1914" s="38"/>
      <c r="BP1914" s="38"/>
      <c r="BQ1914" s="38"/>
    </row>
    <row r="1915">
      <c r="A1915" s="58"/>
      <c r="B1915" s="341"/>
      <c r="C1915" s="60"/>
      <c r="D1915" s="60"/>
      <c r="E1915" s="58"/>
      <c r="F1915" s="58"/>
      <c r="G1915" s="58"/>
      <c r="H1915" s="33" t="str">
        <f t="shared" si="33"/>
        <v/>
      </c>
      <c r="I1915" s="58"/>
      <c r="J1915" s="58"/>
      <c r="K1915" s="58"/>
      <c r="L1915" s="58"/>
      <c r="M1915" s="80"/>
      <c r="N1915" s="80"/>
      <c r="O1915" s="58"/>
      <c r="P1915" s="58"/>
      <c r="Q1915" s="84"/>
      <c r="R1915" s="62"/>
      <c r="S1915" s="37" t="str">
        <f>IFERROR(__xludf.DUMMYFUNCTION("if(not(iserror(index(split(C1915, "" ""),2))), index(split(C1915, "" ""),1),"""")"),"")</f>
        <v/>
      </c>
      <c r="T1915" s="315" t="str">
        <f>IFERROR(__xludf.DUMMYFUNCTION("if(S1915="""",C1915,if(not(iserror(index(split(C1915, "" ""),3))), index(split(C1915, "" ""),3),index(split(C1915, "" ""),2)))"),"")</f>
        <v/>
      </c>
      <c r="U1915" s="38" t="b">
        <f t="shared" si="34"/>
        <v>0</v>
      </c>
      <c r="V1915" s="38"/>
      <c r="W1915" s="40"/>
      <c r="X1915" s="40"/>
      <c r="Y1915" s="38"/>
      <c r="Z1915" s="38"/>
      <c r="AA1915" s="38"/>
      <c r="AB1915" s="38"/>
      <c r="AC1915" s="38"/>
      <c r="AD1915" s="38"/>
      <c r="AE1915" s="38"/>
      <c r="AF1915" s="38"/>
      <c r="AG1915" s="38"/>
      <c r="AH1915" s="38"/>
      <c r="AI1915" s="38"/>
      <c r="AJ1915" s="38"/>
      <c r="AK1915" s="38"/>
      <c r="AL1915" s="38"/>
      <c r="AM1915" s="38"/>
      <c r="AN1915" s="38"/>
      <c r="AO1915" s="38"/>
      <c r="AP1915" s="38"/>
      <c r="AQ1915" s="38"/>
      <c r="AR1915" s="38"/>
      <c r="AS1915" s="38"/>
      <c r="AT1915" s="38"/>
      <c r="AU1915" s="38"/>
      <c r="AV1915" s="38"/>
      <c r="AW1915" s="38"/>
      <c r="AX1915" s="38"/>
      <c r="AY1915" s="38"/>
      <c r="AZ1915" s="38"/>
      <c r="BA1915" s="38"/>
      <c r="BB1915" s="38"/>
      <c r="BC1915" s="38"/>
      <c r="BD1915" s="38"/>
      <c r="BE1915" s="38"/>
      <c r="BF1915" s="38"/>
      <c r="BG1915" s="38"/>
      <c r="BH1915" s="38"/>
      <c r="BI1915" s="38"/>
      <c r="BJ1915" s="38"/>
      <c r="BK1915" s="38"/>
      <c r="BL1915" s="38"/>
      <c r="BM1915" s="38"/>
      <c r="BN1915" s="38"/>
      <c r="BO1915" s="38"/>
      <c r="BP1915" s="38"/>
      <c r="BQ1915" s="38"/>
    </row>
    <row r="1916">
      <c r="A1916" s="58"/>
      <c r="B1916" s="341"/>
      <c r="C1916" s="60"/>
      <c r="D1916" s="60"/>
      <c r="E1916" s="58"/>
      <c r="F1916" s="58"/>
      <c r="G1916" s="58"/>
      <c r="H1916" s="33" t="str">
        <f t="shared" si="33"/>
        <v/>
      </c>
      <c r="I1916" s="58"/>
      <c r="J1916" s="58"/>
      <c r="K1916" s="58"/>
      <c r="L1916" s="58"/>
      <c r="M1916" s="80"/>
      <c r="N1916" s="80"/>
      <c r="O1916" s="58"/>
      <c r="P1916" s="58"/>
      <c r="Q1916" s="58"/>
      <c r="R1916" s="62"/>
      <c r="S1916" s="37" t="str">
        <f>IFERROR(__xludf.DUMMYFUNCTION("if(not(iserror(index(split(C1916, "" ""),2))), index(split(C1916, "" ""),1),"""")"),"")</f>
        <v/>
      </c>
      <c r="T1916" s="315" t="str">
        <f>IFERROR(__xludf.DUMMYFUNCTION("if(S1916="""",C1916,if(not(iserror(index(split(C1916, "" ""),3))), index(split(C1916, "" ""),3),index(split(C1916, "" ""),2)))"),"")</f>
        <v/>
      </c>
      <c r="U1916" s="38" t="b">
        <f t="shared" si="34"/>
        <v>0</v>
      </c>
      <c r="V1916" s="38"/>
      <c r="W1916" s="40"/>
      <c r="X1916" s="40"/>
      <c r="Y1916" s="38"/>
      <c r="Z1916" s="38"/>
      <c r="AA1916" s="38"/>
      <c r="AB1916" s="38"/>
      <c r="AC1916" s="38"/>
      <c r="AD1916" s="38"/>
      <c r="AE1916" s="38"/>
      <c r="AF1916" s="38"/>
      <c r="AG1916" s="38"/>
      <c r="AH1916" s="38"/>
      <c r="AI1916" s="38"/>
      <c r="AJ1916" s="38"/>
      <c r="AK1916" s="38"/>
      <c r="AL1916" s="38"/>
      <c r="AM1916" s="38"/>
      <c r="AN1916" s="38"/>
      <c r="AO1916" s="38"/>
      <c r="AP1916" s="38"/>
      <c r="AQ1916" s="38"/>
      <c r="AR1916" s="38"/>
      <c r="AS1916" s="38"/>
      <c r="AT1916" s="38"/>
      <c r="AU1916" s="38"/>
      <c r="AV1916" s="38"/>
      <c r="AW1916" s="38"/>
      <c r="AX1916" s="38"/>
      <c r="AY1916" s="38"/>
      <c r="AZ1916" s="38"/>
      <c r="BA1916" s="38"/>
      <c r="BB1916" s="38"/>
      <c r="BC1916" s="38"/>
      <c r="BD1916" s="38"/>
      <c r="BE1916" s="38"/>
      <c r="BF1916" s="38"/>
      <c r="BG1916" s="38"/>
      <c r="BH1916" s="38"/>
      <c r="BI1916" s="38"/>
      <c r="BJ1916" s="38"/>
      <c r="BK1916" s="38"/>
      <c r="BL1916" s="38"/>
      <c r="BM1916" s="38"/>
      <c r="BN1916" s="38"/>
      <c r="BO1916" s="38"/>
      <c r="BP1916" s="38"/>
      <c r="BQ1916" s="38"/>
    </row>
    <row r="1917">
      <c r="A1917" s="58"/>
      <c r="B1917" s="341"/>
      <c r="C1917" s="60"/>
      <c r="D1917" s="60"/>
      <c r="E1917" s="58"/>
      <c r="F1917" s="58"/>
      <c r="G1917" s="58"/>
      <c r="H1917" s="33" t="str">
        <f t="shared" si="33"/>
        <v/>
      </c>
      <c r="I1917" s="58"/>
      <c r="J1917" s="58"/>
      <c r="K1917" s="58"/>
      <c r="L1917" s="58"/>
      <c r="M1917" s="80"/>
      <c r="N1917" s="80"/>
      <c r="O1917" s="58"/>
      <c r="P1917" s="58"/>
      <c r="Q1917" s="58"/>
      <c r="R1917" s="58"/>
      <c r="S1917" s="37" t="str">
        <f>IFERROR(__xludf.DUMMYFUNCTION("if(not(iserror(index(split(C1917, "" ""),2))), index(split(C1917, "" ""),1),"""")"),"")</f>
        <v/>
      </c>
      <c r="T1917" s="315" t="str">
        <f>IFERROR(__xludf.DUMMYFUNCTION("if(S1917="""",C1917,if(not(iserror(index(split(C1917, "" ""),3))), index(split(C1917, "" ""),3),index(split(C1917, "" ""),2)))"),"")</f>
        <v/>
      </c>
      <c r="U1917" s="38" t="b">
        <f t="shared" si="34"/>
        <v>0</v>
      </c>
      <c r="V1917" s="38"/>
      <c r="W1917" s="40"/>
      <c r="X1917" s="40"/>
      <c r="Y1917" s="38"/>
      <c r="Z1917" s="38"/>
      <c r="AA1917" s="38"/>
      <c r="AB1917" s="38"/>
      <c r="AC1917" s="38"/>
      <c r="AD1917" s="38"/>
      <c r="AE1917" s="38"/>
      <c r="AF1917" s="38"/>
      <c r="AG1917" s="38"/>
      <c r="AH1917" s="38"/>
      <c r="AI1917" s="38"/>
      <c r="AJ1917" s="38"/>
      <c r="AK1917" s="38"/>
      <c r="AL1917" s="38"/>
      <c r="AM1917" s="38"/>
      <c r="AN1917" s="38"/>
      <c r="AO1917" s="38"/>
      <c r="AP1917" s="38"/>
      <c r="AQ1917" s="38"/>
      <c r="AR1917" s="38"/>
      <c r="AS1917" s="38"/>
      <c r="AT1917" s="38"/>
      <c r="AU1917" s="38"/>
      <c r="AV1917" s="38"/>
      <c r="AW1917" s="38"/>
      <c r="AX1917" s="38"/>
      <c r="AY1917" s="38"/>
      <c r="AZ1917" s="38"/>
      <c r="BA1917" s="38"/>
      <c r="BB1917" s="38"/>
      <c r="BC1917" s="38"/>
      <c r="BD1917" s="38"/>
      <c r="BE1917" s="38"/>
      <c r="BF1917" s="38"/>
      <c r="BG1917" s="38"/>
      <c r="BH1917" s="38"/>
      <c r="BI1917" s="38"/>
      <c r="BJ1917" s="38"/>
      <c r="BK1917" s="38"/>
      <c r="BL1917" s="38"/>
      <c r="BM1917" s="38"/>
      <c r="BN1917" s="38"/>
      <c r="BO1917" s="38"/>
      <c r="BP1917" s="38"/>
      <c r="BQ1917" s="38"/>
    </row>
    <row r="1918">
      <c r="A1918" s="58"/>
      <c r="B1918" s="341"/>
      <c r="C1918" s="60"/>
      <c r="D1918" s="60"/>
      <c r="E1918" s="58"/>
      <c r="F1918" s="58"/>
      <c r="G1918" s="58"/>
      <c r="H1918" s="33" t="str">
        <f t="shared" si="33"/>
        <v/>
      </c>
      <c r="I1918" s="58"/>
      <c r="J1918" s="58"/>
      <c r="K1918" s="58"/>
      <c r="L1918" s="58"/>
      <c r="M1918" s="80"/>
      <c r="N1918" s="80"/>
      <c r="O1918" s="58"/>
      <c r="P1918" s="58"/>
      <c r="Q1918" s="84"/>
      <c r="R1918" s="62"/>
      <c r="S1918" s="37" t="str">
        <f>IFERROR(__xludf.DUMMYFUNCTION("if(not(iserror(index(split(C1918, "" ""),2))), index(split(C1918, "" ""),1),"""")"),"")</f>
        <v/>
      </c>
      <c r="T1918" s="315" t="str">
        <f>IFERROR(__xludf.DUMMYFUNCTION("if(S1918="""",C1918,if(not(iserror(index(split(C1918, "" ""),3))), index(split(C1918, "" ""),3),index(split(C1918, "" ""),2)))"),"")</f>
        <v/>
      </c>
      <c r="U1918" s="38" t="b">
        <f t="shared" si="34"/>
        <v>0</v>
      </c>
      <c r="V1918" s="38"/>
      <c r="W1918" s="40"/>
      <c r="X1918" s="40"/>
      <c r="Y1918" s="38"/>
      <c r="Z1918" s="38"/>
      <c r="AA1918" s="38"/>
      <c r="AB1918" s="38"/>
      <c r="AC1918" s="38"/>
      <c r="AD1918" s="38"/>
      <c r="AE1918" s="38"/>
      <c r="AF1918" s="38"/>
      <c r="AG1918" s="38"/>
      <c r="AH1918" s="38"/>
      <c r="AI1918" s="38"/>
      <c r="AJ1918" s="38"/>
      <c r="AK1918" s="38"/>
      <c r="AL1918" s="38"/>
      <c r="AM1918" s="38"/>
      <c r="AN1918" s="38"/>
      <c r="AO1918" s="38"/>
      <c r="AP1918" s="38"/>
      <c r="AQ1918" s="38"/>
      <c r="AR1918" s="38"/>
      <c r="AS1918" s="38"/>
      <c r="AT1918" s="38"/>
      <c r="AU1918" s="38"/>
      <c r="AV1918" s="38"/>
      <c r="AW1918" s="38"/>
      <c r="AX1918" s="38"/>
      <c r="AY1918" s="38"/>
      <c r="AZ1918" s="38"/>
      <c r="BA1918" s="38"/>
      <c r="BB1918" s="38"/>
      <c r="BC1918" s="38"/>
      <c r="BD1918" s="38"/>
      <c r="BE1918" s="38"/>
      <c r="BF1918" s="38"/>
      <c r="BG1918" s="38"/>
      <c r="BH1918" s="38"/>
      <c r="BI1918" s="38"/>
      <c r="BJ1918" s="38"/>
      <c r="BK1918" s="38"/>
      <c r="BL1918" s="38"/>
      <c r="BM1918" s="38"/>
      <c r="BN1918" s="38"/>
      <c r="BO1918" s="38"/>
      <c r="BP1918" s="38"/>
      <c r="BQ1918" s="38"/>
    </row>
    <row r="1919">
      <c r="A1919" s="58"/>
      <c r="B1919" s="341"/>
      <c r="C1919" s="60"/>
      <c r="D1919" s="60"/>
      <c r="E1919" s="58"/>
      <c r="F1919" s="58"/>
      <c r="G1919" s="58"/>
      <c r="H1919" s="33" t="str">
        <f t="shared" si="33"/>
        <v/>
      </c>
      <c r="I1919" s="58"/>
      <c r="J1919" s="58"/>
      <c r="K1919" s="58"/>
      <c r="L1919" s="58"/>
      <c r="M1919" s="80"/>
      <c r="N1919" s="80"/>
      <c r="O1919" s="58"/>
      <c r="P1919" s="58"/>
      <c r="Q1919" s="84"/>
      <c r="R1919" s="62"/>
      <c r="S1919" s="37" t="str">
        <f>IFERROR(__xludf.DUMMYFUNCTION("if(not(iserror(index(split(C1919, "" ""),2))), index(split(C1919, "" ""),1),"""")"),"")</f>
        <v/>
      </c>
      <c r="T1919" s="315" t="str">
        <f>IFERROR(__xludf.DUMMYFUNCTION("if(S1919="""",C1919,if(not(iserror(index(split(C1919, "" ""),3))), index(split(C1919, "" ""),3),index(split(C1919, "" ""),2)))"),"")</f>
        <v/>
      </c>
      <c r="U1919" s="38" t="b">
        <f t="shared" si="34"/>
        <v>0</v>
      </c>
      <c r="V1919" s="38"/>
      <c r="W1919" s="40"/>
      <c r="X1919" s="40"/>
      <c r="Y1919" s="38"/>
      <c r="Z1919" s="38"/>
      <c r="AA1919" s="38"/>
      <c r="AB1919" s="38"/>
      <c r="AC1919" s="38"/>
      <c r="AD1919" s="38"/>
      <c r="AE1919" s="38"/>
      <c r="AF1919" s="38"/>
      <c r="AG1919" s="38"/>
      <c r="AH1919" s="38"/>
      <c r="AI1919" s="38"/>
      <c r="AJ1919" s="38"/>
      <c r="AK1919" s="38"/>
      <c r="AL1919" s="38"/>
      <c r="AM1919" s="38"/>
      <c r="AN1919" s="38"/>
      <c r="AO1919" s="38"/>
      <c r="AP1919" s="38"/>
      <c r="AQ1919" s="38"/>
      <c r="AR1919" s="38"/>
      <c r="AS1919" s="38"/>
      <c r="AT1919" s="38"/>
      <c r="AU1919" s="38"/>
      <c r="AV1919" s="38"/>
      <c r="AW1919" s="38"/>
      <c r="AX1919" s="38"/>
      <c r="AY1919" s="38"/>
      <c r="AZ1919" s="38"/>
      <c r="BA1919" s="38"/>
      <c r="BB1919" s="38"/>
      <c r="BC1919" s="38"/>
      <c r="BD1919" s="38"/>
      <c r="BE1919" s="38"/>
      <c r="BF1919" s="38"/>
      <c r="BG1919" s="38"/>
      <c r="BH1919" s="38"/>
      <c r="BI1919" s="38"/>
      <c r="BJ1919" s="38"/>
      <c r="BK1919" s="38"/>
      <c r="BL1919" s="38"/>
      <c r="BM1919" s="38"/>
      <c r="BN1919" s="38"/>
      <c r="BO1919" s="38"/>
      <c r="BP1919" s="38"/>
      <c r="BQ1919" s="38"/>
    </row>
    <row r="1920">
      <c r="A1920" s="58"/>
      <c r="B1920" s="341"/>
      <c r="C1920" s="60"/>
      <c r="D1920" s="60"/>
      <c r="E1920" s="58"/>
      <c r="F1920" s="58"/>
      <c r="G1920" s="58"/>
      <c r="H1920" s="33" t="str">
        <f t="shared" si="33"/>
        <v/>
      </c>
      <c r="I1920" s="58"/>
      <c r="J1920" s="58"/>
      <c r="K1920" s="58"/>
      <c r="L1920" s="58"/>
      <c r="M1920" s="80"/>
      <c r="N1920" s="80"/>
      <c r="O1920" s="58"/>
      <c r="P1920" s="62"/>
      <c r="Q1920" s="84"/>
      <c r="R1920" s="62"/>
      <c r="S1920" s="37" t="str">
        <f>IFERROR(__xludf.DUMMYFUNCTION("if(not(iserror(index(split(C1920, "" ""),2))), index(split(C1920, "" ""),1),"""")"),"")</f>
        <v/>
      </c>
      <c r="T1920" s="315" t="str">
        <f>IFERROR(__xludf.DUMMYFUNCTION("if(S1920="""",C1920,if(not(iserror(index(split(C1920, "" ""),3))), index(split(C1920, "" ""),3),index(split(C1920, "" ""),2)))"),"")</f>
        <v/>
      </c>
      <c r="U1920" s="38" t="b">
        <f t="shared" si="34"/>
        <v>0</v>
      </c>
      <c r="V1920" s="38"/>
      <c r="W1920" s="40"/>
      <c r="X1920" s="40"/>
      <c r="Y1920" s="38"/>
      <c r="Z1920" s="38"/>
      <c r="AA1920" s="38"/>
      <c r="AB1920" s="38"/>
      <c r="AC1920" s="38"/>
      <c r="AD1920" s="38"/>
      <c r="AE1920" s="38"/>
      <c r="AF1920" s="38"/>
      <c r="AG1920" s="38"/>
      <c r="AH1920" s="38"/>
      <c r="AI1920" s="38"/>
      <c r="AJ1920" s="38"/>
      <c r="AK1920" s="38"/>
      <c r="AL1920" s="38"/>
      <c r="AM1920" s="38"/>
      <c r="AN1920" s="38"/>
      <c r="AO1920" s="38"/>
      <c r="AP1920" s="38"/>
      <c r="AQ1920" s="38"/>
      <c r="AR1920" s="38"/>
      <c r="AS1920" s="38"/>
      <c r="AT1920" s="38"/>
      <c r="AU1920" s="38"/>
      <c r="AV1920" s="38"/>
      <c r="AW1920" s="38"/>
      <c r="AX1920" s="38"/>
      <c r="AY1920" s="38"/>
      <c r="AZ1920" s="38"/>
      <c r="BA1920" s="38"/>
      <c r="BB1920" s="38"/>
      <c r="BC1920" s="38"/>
      <c r="BD1920" s="38"/>
      <c r="BE1920" s="38"/>
      <c r="BF1920" s="38"/>
      <c r="BG1920" s="38"/>
      <c r="BH1920" s="38"/>
      <c r="BI1920" s="38"/>
      <c r="BJ1920" s="38"/>
      <c r="BK1920" s="38"/>
      <c r="BL1920" s="38"/>
      <c r="BM1920" s="38"/>
      <c r="BN1920" s="38"/>
      <c r="BO1920" s="38"/>
      <c r="BP1920" s="38"/>
      <c r="BQ1920" s="38"/>
    </row>
    <row r="1921">
      <c r="A1921" s="58"/>
      <c r="B1921" s="341"/>
      <c r="C1921" s="60"/>
      <c r="D1921" s="60"/>
      <c r="E1921" s="58"/>
      <c r="F1921" s="58"/>
      <c r="G1921" s="58"/>
      <c r="H1921" s="33" t="str">
        <f t="shared" si="33"/>
        <v/>
      </c>
      <c r="I1921" s="58"/>
      <c r="J1921" s="58"/>
      <c r="K1921" s="58"/>
      <c r="L1921" s="58"/>
      <c r="M1921" s="80"/>
      <c r="N1921" s="80"/>
      <c r="O1921" s="58"/>
      <c r="P1921" s="58"/>
      <c r="Q1921" s="58"/>
      <c r="R1921" s="62"/>
      <c r="S1921" s="37" t="str">
        <f>IFERROR(__xludf.DUMMYFUNCTION("if(not(iserror(index(split(C1921, "" ""),2))), index(split(C1921, "" ""),1),"""")"),"")</f>
        <v/>
      </c>
      <c r="T1921" s="315" t="str">
        <f>IFERROR(__xludf.DUMMYFUNCTION("if(S1921="""",C1921,if(not(iserror(index(split(C1921, "" ""),3))), index(split(C1921, "" ""),3),index(split(C1921, "" ""),2)))"),"")</f>
        <v/>
      </c>
      <c r="U1921" s="38" t="b">
        <f t="shared" si="34"/>
        <v>0</v>
      </c>
      <c r="V1921" s="38"/>
      <c r="W1921" s="40"/>
      <c r="X1921" s="40"/>
      <c r="Y1921" s="38"/>
      <c r="Z1921" s="38"/>
      <c r="AA1921" s="38"/>
      <c r="AB1921" s="38"/>
      <c r="AC1921" s="38"/>
      <c r="AD1921" s="38"/>
      <c r="AE1921" s="38"/>
      <c r="AF1921" s="38"/>
      <c r="AG1921" s="38"/>
      <c r="AH1921" s="38"/>
      <c r="AI1921" s="38"/>
      <c r="AJ1921" s="38"/>
      <c r="AK1921" s="38"/>
      <c r="AL1921" s="38"/>
      <c r="AM1921" s="38"/>
      <c r="AN1921" s="38"/>
      <c r="AO1921" s="38"/>
      <c r="AP1921" s="38"/>
      <c r="AQ1921" s="38"/>
      <c r="AR1921" s="38"/>
      <c r="AS1921" s="38"/>
      <c r="AT1921" s="38"/>
      <c r="AU1921" s="38"/>
      <c r="AV1921" s="38"/>
      <c r="AW1921" s="38"/>
      <c r="AX1921" s="38"/>
      <c r="AY1921" s="38"/>
      <c r="AZ1921" s="38"/>
      <c r="BA1921" s="38"/>
      <c r="BB1921" s="38"/>
      <c r="BC1921" s="38"/>
      <c r="BD1921" s="38"/>
      <c r="BE1921" s="38"/>
      <c r="BF1921" s="38"/>
      <c r="BG1921" s="38"/>
      <c r="BH1921" s="38"/>
      <c r="BI1921" s="38"/>
      <c r="BJ1921" s="38"/>
      <c r="BK1921" s="38"/>
      <c r="BL1921" s="38"/>
      <c r="BM1921" s="38"/>
      <c r="BN1921" s="38"/>
      <c r="BO1921" s="38"/>
      <c r="BP1921" s="38"/>
      <c r="BQ1921" s="38"/>
    </row>
    <row r="1922">
      <c r="A1922" s="58"/>
      <c r="B1922" s="341"/>
      <c r="C1922" s="60"/>
      <c r="D1922" s="60"/>
      <c r="E1922" s="58"/>
      <c r="F1922" s="58"/>
      <c r="G1922" s="58"/>
      <c r="H1922" s="33" t="str">
        <f t="shared" si="33"/>
        <v/>
      </c>
      <c r="I1922" s="58"/>
      <c r="J1922" s="58"/>
      <c r="K1922" s="58"/>
      <c r="L1922" s="58"/>
      <c r="M1922" s="80"/>
      <c r="N1922" s="80"/>
      <c r="O1922" s="58"/>
      <c r="P1922" s="58"/>
      <c r="Q1922" s="58"/>
      <c r="R1922" s="62"/>
      <c r="S1922" s="37" t="str">
        <f>IFERROR(__xludf.DUMMYFUNCTION("if(not(iserror(index(split(C1922, "" ""),2))), index(split(C1922, "" ""),1),"""")"),"")</f>
        <v/>
      </c>
      <c r="T1922" s="315" t="str">
        <f>IFERROR(__xludf.DUMMYFUNCTION("if(S1922="""",C1922,if(not(iserror(index(split(C1922, "" ""),3))), index(split(C1922, "" ""),3),index(split(C1922, "" ""),2)))"),"")</f>
        <v/>
      </c>
      <c r="U1922" s="38" t="b">
        <f t="shared" si="34"/>
        <v>0</v>
      </c>
      <c r="V1922" s="38"/>
      <c r="W1922" s="40"/>
      <c r="X1922" s="40"/>
      <c r="Y1922" s="38"/>
      <c r="Z1922" s="38"/>
      <c r="AA1922" s="38"/>
      <c r="AB1922" s="38"/>
      <c r="AC1922" s="38"/>
      <c r="AD1922" s="38"/>
      <c r="AE1922" s="38"/>
      <c r="AF1922" s="38"/>
      <c r="AG1922" s="38"/>
      <c r="AH1922" s="38"/>
      <c r="AI1922" s="38"/>
      <c r="AJ1922" s="38"/>
      <c r="AK1922" s="38"/>
      <c r="AL1922" s="38"/>
      <c r="AM1922" s="38"/>
      <c r="AN1922" s="38"/>
      <c r="AO1922" s="38"/>
      <c r="AP1922" s="38"/>
      <c r="AQ1922" s="38"/>
      <c r="AR1922" s="38"/>
      <c r="AS1922" s="38"/>
      <c r="AT1922" s="38"/>
      <c r="AU1922" s="38"/>
      <c r="AV1922" s="38"/>
      <c r="AW1922" s="38"/>
      <c r="AX1922" s="38"/>
      <c r="AY1922" s="38"/>
      <c r="AZ1922" s="38"/>
      <c r="BA1922" s="38"/>
      <c r="BB1922" s="38"/>
      <c r="BC1922" s="38"/>
      <c r="BD1922" s="38"/>
      <c r="BE1922" s="38"/>
      <c r="BF1922" s="38"/>
      <c r="BG1922" s="38"/>
      <c r="BH1922" s="38"/>
      <c r="BI1922" s="38"/>
      <c r="BJ1922" s="38"/>
      <c r="BK1922" s="38"/>
      <c r="BL1922" s="38"/>
      <c r="BM1922" s="38"/>
      <c r="BN1922" s="38"/>
      <c r="BO1922" s="38"/>
      <c r="BP1922" s="38"/>
      <c r="BQ1922" s="38"/>
    </row>
    <row r="1923">
      <c r="A1923" s="58"/>
      <c r="B1923" s="341"/>
      <c r="C1923" s="60"/>
      <c r="D1923" s="60"/>
      <c r="E1923" s="58"/>
      <c r="F1923" s="58"/>
      <c r="G1923" s="58"/>
      <c r="H1923" s="33" t="str">
        <f t="shared" si="33"/>
        <v/>
      </c>
      <c r="I1923" s="58"/>
      <c r="J1923" s="58"/>
      <c r="K1923" s="58"/>
      <c r="L1923" s="58"/>
      <c r="M1923" s="80"/>
      <c r="N1923" s="80"/>
      <c r="O1923" s="58"/>
      <c r="P1923" s="58"/>
      <c r="Q1923" s="58"/>
      <c r="R1923" s="62"/>
      <c r="S1923" s="37" t="str">
        <f>IFERROR(__xludf.DUMMYFUNCTION("if(not(iserror(index(split(C1923, "" ""),2))), index(split(C1923, "" ""),1),"""")"),"")</f>
        <v/>
      </c>
      <c r="T1923" s="315" t="str">
        <f>IFERROR(__xludf.DUMMYFUNCTION("if(S1923="""",C1923,if(not(iserror(index(split(C1923, "" ""),3))), index(split(C1923, "" ""),3),index(split(C1923, "" ""),2)))"),"")</f>
        <v/>
      </c>
      <c r="U1923" s="38" t="b">
        <f t="shared" si="34"/>
        <v>0</v>
      </c>
      <c r="V1923" s="38"/>
      <c r="W1923" s="40"/>
      <c r="X1923" s="40"/>
      <c r="Y1923" s="38"/>
      <c r="Z1923" s="38"/>
      <c r="AA1923" s="38"/>
      <c r="AB1923" s="38"/>
      <c r="AC1923" s="38"/>
      <c r="AD1923" s="38"/>
      <c r="AE1923" s="38"/>
      <c r="AF1923" s="38"/>
      <c r="AG1923" s="38"/>
      <c r="AH1923" s="38"/>
      <c r="AI1923" s="38"/>
      <c r="AJ1923" s="38"/>
      <c r="AK1923" s="38"/>
      <c r="AL1923" s="38"/>
      <c r="AM1923" s="38"/>
      <c r="AN1923" s="38"/>
      <c r="AO1923" s="38"/>
      <c r="AP1923" s="38"/>
      <c r="AQ1923" s="38"/>
      <c r="AR1923" s="38"/>
      <c r="AS1923" s="38"/>
      <c r="AT1923" s="38"/>
      <c r="AU1923" s="38"/>
      <c r="AV1923" s="38"/>
      <c r="AW1923" s="38"/>
      <c r="AX1923" s="38"/>
      <c r="AY1923" s="38"/>
      <c r="AZ1923" s="38"/>
      <c r="BA1923" s="38"/>
      <c r="BB1923" s="38"/>
      <c r="BC1923" s="38"/>
      <c r="BD1923" s="38"/>
      <c r="BE1923" s="38"/>
      <c r="BF1923" s="38"/>
      <c r="BG1923" s="38"/>
      <c r="BH1923" s="38"/>
      <c r="BI1923" s="38"/>
      <c r="BJ1923" s="38"/>
      <c r="BK1923" s="38"/>
      <c r="BL1923" s="38"/>
      <c r="BM1923" s="38"/>
      <c r="BN1923" s="38"/>
      <c r="BO1923" s="38"/>
      <c r="BP1923" s="38"/>
      <c r="BQ1923" s="38"/>
    </row>
    <row r="1924">
      <c r="A1924" s="58"/>
      <c r="B1924" s="341"/>
      <c r="C1924" s="60"/>
      <c r="D1924" s="60"/>
      <c r="E1924" s="58"/>
      <c r="F1924" s="58"/>
      <c r="G1924" s="58"/>
      <c r="H1924" s="33" t="str">
        <f t="shared" si="33"/>
        <v/>
      </c>
      <c r="I1924" s="58"/>
      <c r="J1924" s="58"/>
      <c r="K1924" s="58"/>
      <c r="L1924" s="58"/>
      <c r="M1924" s="80"/>
      <c r="N1924" s="80"/>
      <c r="O1924" s="58"/>
      <c r="P1924" s="58"/>
      <c r="Q1924" s="58"/>
      <c r="R1924" s="62"/>
      <c r="S1924" s="37" t="str">
        <f>IFERROR(__xludf.DUMMYFUNCTION("if(not(iserror(index(split(C1924, "" ""),2))), index(split(C1924, "" ""),1),"""")"),"")</f>
        <v/>
      </c>
      <c r="T1924" s="315" t="str">
        <f>IFERROR(__xludf.DUMMYFUNCTION("if(S1924="""",C1924,if(not(iserror(index(split(C1924, "" ""),3))), index(split(C1924, "" ""),3),index(split(C1924, "" ""),2)))"),"")</f>
        <v/>
      </c>
      <c r="U1924" s="38" t="b">
        <f t="shared" si="34"/>
        <v>0</v>
      </c>
      <c r="V1924" s="38"/>
      <c r="W1924" s="40"/>
      <c r="X1924" s="40"/>
      <c r="Y1924" s="38"/>
      <c r="Z1924" s="38"/>
      <c r="AA1924" s="38"/>
      <c r="AB1924" s="38"/>
      <c r="AC1924" s="38"/>
      <c r="AD1924" s="38"/>
      <c r="AE1924" s="38"/>
      <c r="AF1924" s="38"/>
      <c r="AG1924" s="38"/>
      <c r="AH1924" s="38"/>
      <c r="AI1924" s="38"/>
      <c r="AJ1924" s="38"/>
      <c r="AK1924" s="38"/>
      <c r="AL1924" s="38"/>
      <c r="AM1924" s="38"/>
      <c r="AN1924" s="38"/>
      <c r="AO1924" s="38"/>
      <c r="AP1924" s="38"/>
      <c r="AQ1924" s="38"/>
      <c r="AR1924" s="38"/>
      <c r="AS1924" s="38"/>
      <c r="AT1924" s="38"/>
      <c r="AU1924" s="38"/>
      <c r="AV1924" s="38"/>
      <c r="AW1924" s="38"/>
      <c r="AX1924" s="38"/>
      <c r="AY1924" s="38"/>
      <c r="AZ1924" s="38"/>
      <c r="BA1924" s="38"/>
      <c r="BB1924" s="38"/>
      <c r="BC1924" s="38"/>
      <c r="BD1924" s="38"/>
      <c r="BE1924" s="38"/>
      <c r="BF1924" s="38"/>
      <c r="BG1924" s="38"/>
      <c r="BH1924" s="38"/>
      <c r="BI1924" s="38"/>
      <c r="BJ1924" s="38"/>
      <c r="BK1924" s="38"/>
      <c r="BL1924" s="38"/>
      <c r="BM1924" s="38"/>
      <c r="BN1924" s="38"/>
      <c r="BO1924" s="38"/>
      <c r="BP1924" s="38"/>
      <c r="BQ1924" s="38"/>
    </row>
    <row r="1925">
      <c r="A1925" s="58"/>
      <c r="B1925" s="341"/>
      <c r="C1925" s="60"/>
      <c r="D1925" s="60"/>
      <c r="E1925" s="58"/>
      <c r="F1925" s="58"/>
      <c r="G1925" s="58"/>
      <c r="H1925" s="33" t="str">
        <f t="shared" si="33"/>
        <v/>
      </c>
      <c r="I1925" s="58"/>
      <c r="J1925" s="58"/>
      <c r="K1925" s="58"/>
      <c r="L1925" s="58"/>
      <c r="M1925" s="80"/>
      <c r="N1925" s="80"/>
      <c r="O1925" s="58"/>
      <c r="P1925" s="58"/>
      <c r="Q1925" s="84"/>
      <c r="R1925" s="62"/>
      <c r="S1925" s="37" t="str">
        <f>IFERROR(__xludf.DUMMYFUNCTION("if(not(iserror(index(split(C1925, "" ""),2))), index(split(C1925, "" ""),1),"""")"),"")</f>
        <v/>
      </c>
      <c r="T1925" s="315" t="str">
        <f>IFERROR(__xludf.DUMMYFUNCTION("if(S1925="""",C1925,if(not(iserror(index(split(C1925, "" ""),3))), index(split(C1925, "" ""),3),index(split(C1925, "" ""),2)))"),"")</f>
        <v/>
      </c>
      <c r="U1925" s="38" t="b">
        <f t="shared" si="34"/>
        <v>0</v>
      </c>
      <c r="V1925" s="38"/>
      <c r="W1925" s="40"/>
      <c r="X1925" s="40"/>
      <c r="Y1925" s="38"/>
      <c r="Z1925" s="38"/>
      <c r="AA1925" s="38"/>
      <c r="AB1925" s="38"/>
      <c r="AC1925" s="38"/>
      <c r="AD1925" s="38"/>
      <c r="AE1925" s="38"/>
      <c r="AF1925" s="38"/>
      <c r="AG1925" s="38"/>
      <c r="AH1925" s="38"/>
      <c r="AI1925" s="38"/>
      <c r="AJ1925" s="38"/>
      <c r="AK1925" s="38"/>
      <c r="AL1925" s="38"/>
      <c r="AM1925" s="38"/>
      <c r="AN1925" s="38"/>
      <c r="AO1925" s="38"/>
      <c r="AP1925" s="38"/>
      <c r="AQ1925" s="38"/>
      <c r="AR1925" s="38"/>
      <c r="AS1925" s="38"/>
      <c r="AT1925" s="38"/>
      <c r="AU1925" s="38"/>
      <c r="AV1925" s="38"/>
      <c r="AW1925" s="38"/>
      <c r="AX1925" s="38"/>
      <c r="AY1925" s="38"/>
      <c r="AZ1925" s="38"/>
      <c r="BA1925" s="38"/>
      <c r="BB1925" s="38"/>
      <c r="BC1925" s="38"/>
      <c r="BD1925" s="38"/>
      <c r="BE1925" s="38"/>
      <c r="BF1925" s="38"/>
      <c r="BG1925" s="38"/>
      <c r="BH1925" s="38"/>
      <c r="BI1925" s="38"/>
      <c r="BJ1925" s="38"/>
      <c r="BK1925" s="38"/>
      <c r="BL1925" s="38"/>
      <c r="BM1925" s="38"/>
      <c r="BN1925" s="38"/>
      <c r="BO1925" s="38"/>
      <c r="BP1925" s="38"/>
      <c r="BQ1925" s="38"/>
    </row>
    <row r="1926">
      <c r="A1926" s="58"/>
      <c r="B1926" s="341"/>
      <c r="C1926" s="60"/>
      <c r="D1926" s="60"/>
      <c r="E1926" s="58"/>
      <c r="F1926" s="58"/>
      <c r="G1926" s="58"/>
      <c r="H1926" s="33" t="str">
        <f t="shared" si="33"/>
        <v/>
      </c>
      <c r="I1926" s="58"/>
      <c r="J1926" s="58"/>
      <c r="K1926" s="58"/>
      <c r="L1926" s="58"/>
      <c r="M1926" s="80"/>
      <c r="N1926" s="80"/>
      <c r="O1926" s="62"/>
      <c r="P1926" s="62"/>
      <c r="Q1926" s="84"/>
      <c r="R1926" s="62"/>
      <c r="S1926" s="37" t="str">
        <f>IFERROR(__xludf.DUMMYFUNCTION("if(not(iserror(index(split(C1926, "" ""),2))), index(split(C1926, "" ""),1),"""")"),"")</f>
        <v/>
      </c>
      <c r="T1926" s="315" t="str">
        <f>IFERROR(__xludf.DUMMYFUNCTION("if(S1926="""",C1926,if(not(iserror(index(split(C1926, "" ""),3))), index(split(C1926, "" ""),3),index(split(C1926, "" ""),2)))"),"")</f>
        <v/>
      </c>
      <c r="U1926" s="38" t="b">
        <f t="shared" si="34"/>
        <v>0</v>
      </c>
      <c r="V1926" s="38"/>
      <c r="W1926" s="40"/>
      <c r="X1926" s="40"/>
      <c r="Y1926" s="38"/>
      <c r="Z1926" s="38"/>
      <c r="AA1926" s="38"/>
      <c r="AB1926" s="38"/>
      <c r="AC1926" s="38"/>
      <c r="AD1926" s="38"/>
      <c r="AE1926" s="38"/>
      <c r="AF1926" s="38"/>
      <c r="AG1926" s="38"/>
      <c r="AH1926" s="38"/>
      <c r="AI1926" s="38"/>
      <c r="AJ1926" s="38"/>
      <c r="AK1926" s="38"/>
      <c r="AL1926" s="38"/>
      <c r="AM1926" s="38"/>
      <c r="AN1926" s="38"/>
      <c r="AO1926" s="38"/>
      <c r="AP1926" s="38"/>
      <c r="AQ1926" s="38"/>
      <c r="AR1926" s="38"/>
      <c r="AS1926" s="38"/>
      <c r="AT1926" s="38"/>
      <c r="AU1926" s="38"/>
      <c r="AV1926" s="38"/>
      <c r="AW1926" s="38"/>
      <c r="AX1926" s="38"/>
      <c r="AY1926" s="38"/>
      <c r="AZ1926" s="38"/>
      <c r="BA1926" s="38"/>
      <c r="BB1926" s="38"/>
      <c r="BC1926" s="38"/>
      <c r="BD1926" s="38"/>
      <c r="BE1926" s="38"/>
      <c r="BF1926" s="38"/>
      <c r="BG1926" s="38"/>
      <c r="BH1926" s="38"/>
      <c r="BI1926" s="38"/>
      <c r="BJ1926" s="38"/>
      <c r="BK1926" s="38"/>
      <c r="BL1926" s="38"/>
      <c r="BM1926" s="38"/>
      <c r="BN1926" s="38"/>
      <c r="BO1926" s="38"/>
      <c r="BP1926" s="38"/>
      <c r="BQ1926" s="38"/>
    </row>
    <row r="1927">
      <c r="A1927" s="58"/>
      <c r="B1927" s="341"/>
      <c r="C1927" s="60"/>
      <c r="D1927" s="60"/>
      <c r="E1927" s="58"/>
      <c r="F1927" s="58"/>
      <c r="G1927" s="58"/>
      <c r="H1927" s="33" t="str">
        <f t="shared" si="33"/>
        <v/>
      </c>
      <c r="I1927" s="58"/>
      <c r="J1927" s="58"/>
      <c r="K1927" s="58"/>
      <c r="L1927" s="58"/>
      <c r="M1927" s="80"/>
      <c r="N1927" s="80"/>
      <c r="O1927" s="58"/>
      <c r="P1927" s="62"/>
      <c r="Q1927" s="84"/>
      <c r="R1927" s="62"/>
      <c r="S1927" s="37" t="str">
        <f>IFERROR(__xludf.DUMMYFUNCTION("if(not(iserror(index(split(C1927, "" ""),2))), index(split(C1927, "" ""),1),"""")"),"")</f>
        <v/>
      </c>
      <c r="T1927" s="315" t="str">
        <f>IFERROR(__xludf.DUMMYFUNCTION("if(S1927="""",C1927,if(not(iserror(index(split(C1927, "" ""),3))), index(split(C1927, "" ""),3),index(split(C1927, "" ""),2)))"),"")</f>
        <v/>
      </c>
      <c r="U1927" s="38" t="b">
        <f t="shared" si="34"/>
        <v>0</v>
      </c>
      <c r="V1927" s="38"/>
      <c r="W1927" s="40"/>
      <c r="X1927" s="40"/>
      <c r="Y1927" s="38"/>
      <c r="Z1927" s="38"/>
      <c r="AA1927" s="38"/>
      <c r="AB1927" s="38"/>
      <c r="AC1927" s="38"/>
      <c r="AD1927" s="38"/>
      <c r="AE1927" s="38"/>
      <c r="AF1927" s="38"/>
      <c r="AG1927" s="38"/>
      <c r="AH1927" s="38"/>
      <c r="AI1927" s="38"/>
      <c r="AJ1927" s="38"/>
      <c r="AK1927" s="38"/>
      <c r="AL1927" s="38"/>
      <c r="AM1927" s="38"/>
      <c r="AN1927" s="38"/>
      <c r="AO1927" s="38"/>
      <c r="AP1927" s="38"/>
      <c r="AQ1927" s="38"/>
      <c r="AR1927" s="38"/>
      <c r="AS1927" s="38"/>
      <c r="AT1927" s="38"/>
      <c r="AU1927" s="38"/>
      <c r="AV1927" s="38"/>
      <c r="AW1927" s="38"/>
      <c r="AX1927" s="38"/>
      <c r="AY1927" s="38"/>
      <c r="AZ1927" s="38"/>
      <c r="BA1927" s="38"/>
      <c r="BB1927" s="38"/>
      <c r="BC1927" s="38"/>
      <c r="BD1927" s="38"/>
      <c r="BE1927" s="38"/>
      <c r="BF1927" s="38"/>
      <c r="BG1927" s="38"/>
      <c r="BH1927" s="38"/>
      <c r="BI1927" s="38"/>
      <c r="BJ1927" s="38"/>
      <c r="BK1927" s="38"/>
      <c r="BL1927" s="38"/>
      <c r="BM1927" s="38"/>
      <c r="BN1927" s="38"/>
      <c r="BO1927" s="38"/>
      <c r="BP1927" s="38"/>
      <c r="BQ1927" s="38"/>
    </row>
    <row r="1928">
      <c r="A1928" s="58"/>
      <c r="B1928" s="341"/>
      <c r="C1928" s="60"/>
      <c r="D1928" s="60"/>
      <c r="E1928" s="58"/>
      <c r="F1928" s="58"/>
      <c r="G1928" s="58"/>
      <c r="H1928" s="33" t="str">
        <f t="shared" si="33"/>
        <v/>
      </c>
      <c r="I1928" s="58"/>
      <c r="J1928" s="58"/>
      <c r="K1928" s="58"/>
      <c r="L1928" s="58"/>
      <c r="M1928" s="80"/>
      <c r="N1928" s="80"/>
      <c r="O1928" s="58"/>
      <c r="P1928" s="62"/>
      <c r="Q1928" s="84"/>
      <c r="R1928" s="62"/>
      <c r="S1928" s="37" t="str">
        <f>IFERROR(__xludf.DUMMYFUNCTION("if(not(iserror(index(split(C1928, "" ""),2))), index(split(C1928, "" ""),1),"""")"),"")</f>
        <v/>
      </c>
      <c r="T1928" s="315" t="str">
        <f>IFERROR(__xludf.DUMMYFUNCTION("if(S1928="""",C1928,if(not(iserror(index(split(C1928, "" ""),3))), index(split(C1928, "" ""),3),index(split(C1928, "" ""),2)))"),"")</f>
        <v/>
      </c>
      <c r="U1928" s="38" t="b">
        <f t="shared" si="34"/>
        <v>0</v>
      </c>
      <c r="V1928" s="38"/>
      <c r="W1928" s="40"/>
      <c r="X1928" s="40"/>
      <c r="Y1928" s="38"/>
      <c r="Z1928" s="38"/>
      <c r="AA1928" s="38"/>
      <c r="AB1928" s="38"/>
      <c r="AC1928" s="38"/>
      <c r="AD1928" s="38"/>
      <c r="AE1928" s="38"/>
      <c r="AF1928" s="38"/>
      <c r="AG1928" s="38"/>
      <c r="AH1928" s="38"/>
      <c r="AI1928" s="38"/>
      <c r="AJ1928" s="38"/>
      <c r="AK1928" s="38"/>
      <c r="AL1928" s="38"/>
      <c r="AM1928" s="38"/>
      <c r="AN1928" s="38"/>
      <c r="AO1928" s="38"/>
      <c r="AP1928" s="38"/>
      <c r="AQ1928" s="38"/>
      <c r="AR1928" s="38"/>
      <c r="AS1928" s="38"/>
      <c r="AT1928" s="38"/>
      <c r="AU1928" s="38"/>
      <c r="AV1928" s="38"/>
      <c r="AW1928" s="38"/>
      <c r="AX1928" s="38"/>
      <c r="AY1928" s="38"/>
      <c r="AZ1928" s="38"/>
      <c r="BA1928" s="38"/>
      <c r="BB1928" s="38"/>
      <c r="BC1928" s="38"/>
      <c r="BD1928" s="38"/>
      <c r="BE1928" s="38"/>
      <c r="BF1928" s="38"/>
      <c r="BG1928" s="38"/>
      <c r="BH1928" s="38"/>
      <c r="BI1928" s="38"/>
      <c r="BJ1928" s="38"/>
      <c r="BK1928" s="38"/>
      <c r="BL1928" s="38"/>
      <c r="BM1928" s="38"/>
      <c r="BN1928" s="38"/>
      <c r="BO1928" s="38"/>
      <c r="BP1928" s="38"/>
      <c r="BQ1928" s="38"/>
    </row>
    <row r="1929">
      <c r="A1929" s="58"/>
      <c r="B1929" s="341"/>
      <c r="C1929" s="60"/>
      <c r="D1929" s="60"/>
      <c r="E1929" s="58"/>
      <c r="F1929" s="58"/>
      <c r="G1929" s="58"/>
      <c r="H1929" s="33" t="str">
        <f t="shared" si="33"/>
        <v/>
      </c>
      <c r="I1929" s="58"/>
      <c r="J1929" s="58"/>
      <c r="K1929" s="58"/>
      <c r="L1929" s="58"/>
      <c r="M1929" s="80"/>
      <c r="N1929" s="80"/>
      <c r="O1929" s="62"/>
      <c r="P1929" s="62"/>
      <c r="Q1929" s="62"/>
      <c r="R1929" s="62"/>
      <c r="S1929" s="37" t="str">
        <f>IFERROR(__xludf.DUMMYFUNCTION("if(not(iserror(index(split(C1929, "" ""),2))), index(split(C1929, "" ""),1),"""")"),"")</f>
        <v/>
      </c>
      <c r="T1929" s="315" t="str">
        <f>IFERROR(__xludf.DUMMYFUNCTION("if(S1929="""",C1929,if(not(iserror(index(split(C1929, "" ""),3))), index(split(C1929, "" ""),3),index(split(C1929, "" ""),2)))"),"")</f>
        <v/>
      </c>
      <c r="U1929" s="38" t="b">
        <f t="shared" si="34"/>
        <v>0</v>
      </c>
      <c r="V1929" s="38"/>
      <c r="W1929" s="40"/>
      <c r="X1929" s="40"/>
      <c r="Y1929" s="38"/>
      <c r="Z1929" s="38"/>
      <c r="AA1929" s="38"/>
      <c r="AB1929" s="38"/>
      <c r="AC1929" s="38"/>
      <c r="AD1929" s="38"/>
      <c r="AE1929" s="38"/>
      <c r="AF1929" s="38"/>
      <c r="AG1929" s="38"/>
      <c r="AH1929" s="38"/>
      <c r="AI1929" s="38"/>
      <c r="AJ1929" s="38"/>
      <c r="AK1929" s="38"/>
      <c r="AL1929" s="38"/>
      <c r="AM1929" s="38"/>
      <c r="AN1929" s="38"/>
      <c r="AO1929" s="38"/>
      <c r="AP1929" s="38"/>
      <c r="AQ1929" s="38"/>
      <c r="AR1929" s="38"/>
      <c r="AS1929" s="38"/>
      <c r="AT1929" s="38"/>
      <c r="AU1929" s="38"/>
      <c r="AV1929" s="38"/>
      <c r="AW1929" s="38"/>
      <c r="AX1929" s="38"/>
      <c r="AY1929" s="38"/>
      <c r="AZ1929" s="38"/>
      <c r="BA1929" s="38"/>
      <c r="BB1929" s="38"/>
      <c r="BC1929" s="38"/>
      <c r="BD1929" s="38"/>
      <c r="BE1929" s="38"/>
      <c r="BF1929" s="38"/>
      <c r="BG1929" s="38"/>
      <c r="BH1929" s="38"/>
      <c r="BI1929" s="38"/>
      <c r="BJ1929" s="38"/>
      <c r="BK1929" s="38"/>
      <c r="BL1929" s="38"/>
      <c r="BM1929" s="38"/>
      <c r="BN1929" s="38"/>
      <c r="BO1929" s="38"/>
      <c r="BP1929" s="38"/>
      <c r="BQ1929" s="38"/>
    </row>
    <row r="1930">
      <c r="A1930" s="58"/>
      <c r="B1930" s="341"/>
      <c r="C1930" s="60"/>
      <c r="D1930" s="60"/>
      <c r="E1930" s="58"/>
      <c r="F1930" s="58"/>
      <c r="G1930" s="58"/>
      <c r="H1930" s="33" t="str">
        <f t="shared" si="33"/>
        <v/>
      </c>
      <c r="I1930" s="58"/>
      <c r="J1930" s="58"/>
      <c r="K1930" s="58"/>
      <c r="L1930" s="58"/>
      <c r="M1930" s="80"/>
      <c r="N1930" s="80"/>
      <c r="O1930" s="62"/>
      <c r="P1930" s="58"/>
      <c r="Q1930" s="84"/>
      <c r="R1930" s="62"/>
      <c r="S1930" s="37" t="str">
        <f>IFERROR(__xludf.DUMMYFUNCTION("if(not(iserror(index(split(C1930, "" ""),2))), index(split(C1930, "" ""),1),"""")"),"")</f>
        <v/>
      </c>
      <c r="T1930" s="315" t="str">
        <f>IFERROR(__xludf.DUMMYFUNCTION("if(S1930="""",C1930,if(not(iserror(index(split(C1930, "" ""),3))), index(split(C1930, "" ""),3),index(split(C1930, "" ""),2)))"),"")</f>
        <v/>
      </c>
      <c r="U1930" s="38" t="b">
        <f t="shared" si="34"/>
        <v>0</v>
      </c>
      <c r="V1930" s="38"/>
      <c r="W1930" s="40"/>
      <c r="X1930" s="40"/>
      <c r="Y1930" s="38"/>
      <c r="Z1930" s="38"/>
      <c r="AA1930" s="38"/>
      <c r="AB1930" s="38"/>
      <c r="AC1930" s="38"/>
      <c r="AD1930" s="38"/>
      <c r="AE1930" s="38"/>
      <c r="AF1930" s="38"/>
      <c r="AG1930" s="38"/>
      <c r="AH1930" s="38"/>
      <c r="AI1930" s="38"/>
      <c r="AJ1930" s="38"/>
      <c r="AK1930" s="38"/>
      <c r="AL1930" s="38"/>
      <c r="AM1930" s="38"/>
      <c r="AN1930" s="38"/>
      <c r="AO1930" s="38"/>
      <c r="AP1930" s="38"/>
      <c r="AQ1930" s="38"/>
      <c r="AR1930" s="38"/>
      <c r="AS1930" s="38"/>
      <c r="AT1930" s="38"/>
      <c r="AU1930" s="38"/>
      <c r="AV1930" s="38"/>
      <c r="AW1930" s="38"/>
      <c r="AX1930" s="38"/>
      <c r="AY1930" s="38"/>
      <c r="AZ1930" s="38"/>
      <c r="BA1930" s="38"/>
      <c r="BB1930" s="38"/>
      <c r="BC1930" s="38"/>
      <c r="BD1930" s="38"/>
      <c r="BE1930" s="38"/>
      <c r="BF1930" s="38"/>
      <c r="BG1930" s="38"/>
      <c r="BH1930" s="38"/>
      <c r="BI1930" s="38"/>
      <c r="BJ1930" s="38"/>
      <c r="BK1930" s="38"/>
      <c r="BL1930" s="38"/>
      <c r="BM1930" s="38"/>
      <c r="BN1930" s="38"/>
      <c r="BO1930" s="38"/>
      <c r="BP1930" s="38"/>
      <c r="BQ1930" s="38"/>
    </row>
    <row r="1931">
      <c r="A1931" s="58"/>
      <c r="B1931" s="341"/>
      <c r="C1931" s="60"/>
      <c r="D1931" s="60"/>
      <c r="E1931" s="58"/>
      <c r="F1931" s="58"/>
      <c r="G1931" s="58"/>
      <c r="H1931" s="33" t="str">
        <f t="shared" si="33"/>
        <v/>
      </c>
      <c r="I1931" s="58"/>
      <c r="J1931" s="58"/>
      <c r="K1931" s="58"/>
      <c r="L1931" s="58"/>
      <c r="M1931" s="80"/>
      <c r="N1931" s="80"/>
      <c r="O1931" s="58"/>
      <c r="P1931" s="58"/>
      <c r="Q1931" s="84"/>
      <c r="R1931" s="62"/>
      <c r="S1931" s="37" t="str">
        <f>IFERROR(__xludf.DUMMYFUNCTION("if(not(iserror(index(split(C1931, "" ""),2))), index(split(C1931, "" ""),1),"""")"),"")</f>
        <v/>
      </c>
      <c r="T1931" s="315" t="str">
        <f>IFERROR(__xludf.DUMMYFUNCTION("if(S1931="""",C1931,if(not(iserror(index(split(C1931, "" ""),3))), index(split(C1931, "" ""),3),index(split(C1931, "" ""),2)))"),"")</f>
        <v/>
      </c>
      <c r="U1931" s="38" t="b">
        <f t="shared" si="34"/>
        <v>0</v>
      </c>
      <c r="V1931" s="38"/>
      <c r="W1931" s="40"/>
      <c r="X1931" s="40"/>
      <c r="Y1931" s="38"/>
      <c r="Z1931" s="38"/>
      <c r="AA1931" s="38"/>
      <c r="AB1931" s="38"/>
      <c r="AC1931" s="38"/>
      <c r="AD1931" s="38"/>
      <c r="AE1931" s="38"/>
      <c r="AF1931" s="38"/>
      <c r="AG1931" s="38"/>
      <c r="AH1931" s="38"/>
      <c r="AI1931" s="38"/>
      <c r="AJ1931" s="38"/>
      <c r="AK1931" s="38"/>
      <c r="AL1931" s="38"/>
      <c r="AM1931" s="38"/>
      <c r="AN1931" s="38"/>
      <c r="AO1931" s="38"/>
      <c r="AP1931" s="38"/>
      <c r="AQ1931" s="38"/>
      <c r="AR1931" s="38"/>
      <c r="AS1931" s="38"/>
      <c r="AT1931" s="38"/>
      <c r="AU1931" s="38"/>
      <c r="AV1931" s="38"/>
      <c r="AW1931" s="38"/>
      <c r="AX1931" s="38"/>
      <c r="AY1931" s="38"/>
      <c r="AZ1931" s="38"/>
      <c r="BA1931" s="38"/>
      <c r="BB1931" s="38"/>
      <c r="BC1931" s="38"/>
      <c r="BD1931" s="38"/>
      <c r="BE1931" s="38"/>
      <c r="BF1931" s="38"/>
      <c r="BG1931" s="38"/>
      <c r="BH1931" s="38"/>
      <c r="BI1931" s="38"/>
      <c r="BJ1931" s="38"/>
      <c r="BK1931" s="38"/>
      <c r="BL1931" s="38"/>
      <c r="BM1931" s="38"/>
      <c r="BN1931" s="38"/>
      <c r="BO1931" s="38"/>
      <c r="BP1931" s="38"/>
      <c r="BQ1931" s="38"/>
    </row>
    <row r="1932">
      <c r="A1932" s="58"/>
      <c r="B1932" s="341"/>
      <c r="C1932" s="60"/>
      <c r="D1932" s="60"/>
      <c r="E1932" s="406"/>
      <c r="F1932" s="58"/>
      <c r="G1932" s="58"/>
      <c r="H1932" s="33" t="str">
        <f t="shared" si="33"/>
        <v/>
      </c>
      <c r="I1932" s="58"/>
      <c r="J1932" s="58"/>
      <c r="K1932" s="58"/>
      <c r="L1932" s="58"/>
      <c r="M1932" s="80"/>
      <c r="N1932" s="80"/>
      <c r="O1932" s="58"/>
      <c r="P1932" s="58"/>
      <c r="Q1932" s="84"/>
      <c r="R1932" s="62"/>
      <c r="S1932" s="37" t="str">
        <f>IFERROR(__xludf.DUMMYFUNCTION("if(not(iserror(index(split(C1932, "" ""),2))), index(split(C1932, "" ""),1),"""")"),"")</f>
        <v/>
      </c>
      <c r="T1932" s="315" t="str">
        <f>IFERROR(__xludf.DUMMYFUNCTION("if(S1932="""",C1932,if(not(iserror(index(split(C1932, "" ""),3))), index(split(C1932, "" ""),3),index(split(C1932, "" ""),2)))"),"")</f>
        <v/>
      </c>
      <c r="U1932" s="38" t="b">
        <f t="shared" si="34"/>
        <v>0</v>
      </c>
      <c r="V1932" s="38"/>
      <c r="W1932" s="40"/>
      <c r="X1932" s="40"/>
      <c r="Y1932" s="38"/>
      <c r="Z1932" s="38"/>
      <c r="AA1932" s="38"/>
      <c r="AB1932" s="38"/>
      <c r="AC1932" s="38"/>
      <c r="AD1932" s="38"/>
      <c r="AE1932" s="38"/>
      <c r="AF1932" s="38"/>
      <c r="AG1932" s="38"/>
      <c r="AH1932" s="38"/>
      <c r="AI1932" s="38"/>
      <c r="AJ1932" s="38"/>
      <c r="AK1932" s="38"/>
      <c r="AL1932" s="38"/>
      <c r="AM1932" s="38"/>
      <c r="AN1932" s="38"/>
      <c r="AO1932" s="38"/>
      <c r="AP1932" s="38"/>
      <c r="AQ1932" s="38"/>
      <c r="AR1932" s="38"/>
      <c r="AS1932" s="38"/>
      <c r="AT1932" s="38"/>
      <c r="AU1932" s="38"/>
      <c r="AV1932" s="38"/>
      <c r="AW1932" s="38"/>
      <c r="AX1932" s="38"/>
      <c r="AY1932" s="38"/>
      <c r="AZ1932" s="38"/>
      <c r="BA1932" s="38"/>
      <c r="BB1932" s="38"/>
      <c r="BC1932" s="38"/>
      <c r="BD1932" s="38"/>
      <c r="BE1932" s="38"/>
      <c r="BF1932" s="38"/>
      <c r="BG1932" s="38"/>
      <c r="BH1932" s="38"/>
      <c r="BI1932" s="38"/>
      <c r="BJ1932" s="38"/>
      <c r="BK1932" s="38"/>
      <c r="BL1932" s="38"/>
      <c r="BM1932" s="38"/>
      <c r="BN1932" s="38"/>
      <c r="BO1932" s="38"/>
      <c r="BP1932" s="38"/>
      <c r="BQ1932" s="38"/>
    </row>
    <row r="1933">
      <c r="A1933" s="58"/>
      <c r="B1933" s="341"/>
      <c r="C1933" s="60"/>
      <c r="D1933" s="60"/>
      <c r="E1933" s="58"/>
      <c r="F1933" s="58"/>
      <c r="G1933" s="58"/>
      <c r="H1933" s="33" t="str">
        <f t="shared" si="33"/>
        <v/>
      </c>
      <c r="I1933" s="58"/>
      <c r="J1933" s="58"/>
      <c r="K1933" s="58"/>
      <c r="L1933" s="58"/>
      <c r="M1933" s="80"/>
      <c r="N1933" s="80"/>
      <c r="O1933" s="58"/>
      <c r="P1933" s="58"/>
      <c r="Q1933" s="84"/>
      <c r="R1933" s="62"/>
      <c r="S1933" s="37" t="str">
        <f>IFERROR(__xludf.DUMMYFUNCTION("if(not(iserror(index(split(C1933, "" ""),2))), index(split(C1933, "" ""),1),"""")"),"")</f>
        <v/>
      </c>
      <c r="T1933" s="315" t="str">
        <f>IFERROR(__xludf.DUMMYFUNCTION("if(S1933="""",C1933,if(not(iserror(index(split(C1933, "" ""),3))), index(split(C1933, "" ""),3),index(split(C1933, "" ""),2)))"),"")</f>
        <v/>
      </c>
      <c r="U1933" s="38" t="b">
        <f t="shared" si="34"/>
        <v>0</v>
      </c>
      <c r="V1933" s="38"/>
      <c r="W1933" s="40"/>
      <c r="X1933" s="40"/>
      <c r="Y1933" s="38"/>
      <c r="Z1933" s="38"/>
      <c r="AA1933" s="38"/>
      <c r="AB1933" s="38"/>
      <c r="AC1933" s="38"/>
      <c r="AD1933" s="38"/>
      <c r="AE1933" s="38"/>
      <c r="AF1933" s="38"/>
      <c r="AG1933" s="38"/>
      <c r="AH1933" s="38"/>
      <c r="AI1933" s="38"/>
      <c r="AJ1933" s="38"/>
      <c r="AK1933" s="38"/>
      <c r="AL1933" s="38"/>
      <c r="AM1933" s="38"/>
      <c r="AN1933" s="38"/>
      <c r="AO1933" s="38"/>
      <c r="AP1933" s="38"/>
      <c r="AQ1933" s="38"/>
      <c r="AR1933" s="38"/>
      <c r="AS1933" s="38"/>
      <c r="AT1933" s="38"/>
      <c r="AU1933" s="38"/>
      <c r="AV1933" s="38"/>
      <c r="AW1933" s="38"/>
      <c r="AX1933" s="38"/>
      <c r="AY1933" s="38"/>
      <c r="AZ1933" s="38"/>
      <c r="BA1933" s="38"/>
      <c r="BB1933" s="38"/>
      <c r="BC1933" s="38"/>
      <c r="BD1933" s="38"/>
      <c r="BE1933" s="38"/>
      <c r="BF1933" s="38"/>
      <c r="BG1933" s="38"/>
      <c r="BH1933" s="38"/>
      <c r="BI1933" s="38"/>
      <c r="BJ1933" s="38"/>
      <c r="BK1933" s="38"/>
      <c r="BL1933" s="38"/>
      <c r="BM1933" s="38"/>
      <c r="BN1933" s="38"/>
      <c r="BO1933" s="38"/>
      <c r="BP1933" s="38"/>
      <c r="BQ1933" s="38"/>
    </row>
    <row r="1934">
      <c r="A1934" s="58"/>
      <c r="B1934" s="341"/>
      <c r="C1934" s="60"/>
      <c r="D1934" s="60"/>
      <c r="E1934" s="58"/>
      <c r="F1934" s="58"/>
      <c r="G1934" s="58"/>
      <c r="H1934" s="33" t="str">
        <f t="shared" si="33"/>
        <v/>
      </c>
      <c r="I1934" s="58"/>
      <c r="J1934" s="58"/>
      <c r="K1934" s="58"/>
      <c r="L1934" s="58"/>
      <c r="M1934" s="80"/>
      <c r="N1934" s="80"/>
      <c r="O1934" s="58"/>
      <c r="P1934" s="58"/>
      <c r="Q1934" s="84"/>
      <c r="R1934" s="62"/>
      <c r="S1934" s="37" t="str">
        <f>IFERROR(__xludf.DUMMYFUNCTION("if(not(iserror(index(split(C1934, "" ""),2))), index(split(C1934, "" ""),1),"""")"),"")</f>
        <v/>
      </c>
      <c r="T1934" s="315" t="str">
        <f>IFERROR(__xludf.DUMMYFUNCTION("if(S1934="""",C1934,if(not(iserror(index(split(C1934, "" ""),3))), index(split(C1934, "" ""),3),index(split(C1934, "" ""),2)))"),"")</f>
        <v/>
      </c>
      <c r="U1934" s="38" t="b">
        <f t="shared" si="34"/>
        <v>0</v>
      </c>
      <c r="V1934" s="38"/>
      <c r="W1934" s="40"/>
      <c r="X1934" s="40"/>
      <c r="Y1934" s="38"/>
      <c r="Z1934" s="38"/>
      <c r="AA1934" s="38"/>
      <c r="AB1934" s="38"/>
      <c r="AC1934" s="38"/>
      <c r="AD1934" s="38"/>
      <c r="AE1934" s="38"/>
      <c r="AF1934" s="38"/>
      <c r="AG1934" s="38"/>
      <c r="AH1934" s="38"/>
      <c r="AI1934" s="38"/>
      <c r="AJ1934" s="38"/>
      <c r="AK1934" s="38"/>
      <c r="AL1934" s="38"/>
      <c r="AM1934" s="38"/>
      <c r="AN1934" s="38"/>
      <c r="AO1934" s="38"/>
      <c r="AP1934" s="38"/>
      <c r="AQ1934" s="38"/>
      <c r="AR1934" s="38"/>
      <c r="AS1934" s="38"/>
      <c r="AT1934" s="38"/>
      <c r="AU1934" s="38"/>
      <c r="AV1934" s="38"/>
      <c r="AW1934" s="38"/>
      <c r="AX1934" s="38"/>
      <c r="AY1934" s="38"/>
      <c r="AZ1934" s="38"/>
      <c r="BA1934" s="38"/>
      <c r="BB1934" s="38"/>
      <c r="BC1934" s="38"/>
      <c r="BD1934" s="38"/>
      <c r="BE1934" s="38"/>
      <c r="BF1934" s="38"/>
      <c r="BG1934" s="38"/>
      <c r="BH1934" s="38"/>
      <c r="BI1934" s="38"/>
      <c r="BJ1934" s="38"/>
      <c r="BK1934" s="38"/>
      <c r="BL1934" s="38"/>
      <c r="BM1934" s="38"/>
      <c r="BN1934" s="38"/>
      <c r="BO1934" s="38"/>
      <c r="BP1934" s="38"/>
      <c r="BQ1934" s="38"/>
    </row>
    <row r="1935">
      <c r="A1935" s="58"/>
      <c r="B1935" s="341"/>
      <c r="C1935" s="60"/>
      <c r="D1935" s="60"/>
      <c r="E1935" s="58"/>
      <c r="F1935" s="58"/>
      <c r="G1935" s="58"/>
      <c r="H1935" s="33" t="str">
        <f t="shared" si="33"/>
        <v/>
      </c>
      <c r="I1935" s="58"/>
      <c r="J1935" s="58"/>
      <c r="K1935" s="58"/>
      <c r="L1935" s="58"/>
      <c r="M1935" s="80"/>
      <c r="N1935" s="80"/>
      <c r="O1935" s="58"/>
      <c r="P1935" s="58"/>
      <c r="Q1935" s="84"/>
      <c r="R1935" s="62"/>
      <c r="S1935" s="37" t="str">
        <f>IFERROR(__xludf.DUMMYFUNCTION("if(not(iserror(index(split(C1935, "" ""),2))), index(split(C1935, "" ""),1),"""")"),"")</f>
        <v/>
      </c>
      <c r="T1935" s="315" t="str">
        <f>IFERROR(__xludf.DUMMYFUNCTION("if(S1935="""",C1935,if(not(iserror(index(split(C1935, "" ""),3))), index(split(C1935, "" ""),3),index(split(C1935, "" ""),2)))"),"")</f>
        <v/>
      </c>
      <c r="U1935" s="38" t="b">
        <f t="shared" si="34"/>
        <v>0</v>
      </c>
      <c r="V1935" s="38"/>
      <c r="W1935" s="40"/>
      <c r="X1935" s="40"/>
      <c r="Y1935" s="38"/>
      <c r="Z1935" s="38"/>
      <c r="AA1935" s="38"/>
      <c r="AB1935" s="38"/>
      <c r="AC1935" s="38"/>
      <c r="AD1935" s="38"/>
      <c r="AE1935" s="38"/>
      <c r="AF1935" s="38"/>
      <c r="AG1935" s="38"/>
      <c r="AH1935" s="38"/>
      <c r="AI1935" s="38"/>
      <c r="AJ1935" s="38"/>
      <c r="AK1935" s="38"/>
      <c r="AL1935" s="38"/>
      <c r="AM1935" s="38"/>
      <c r="AN1935" s="38"/>
      <c r="AO1935" s="38"/>
      <c r="AP1935" s="38"/>
      <c r="AQ1935" s="38"/>
      <c r="AR1935" s="38"/>
      <c r="AS1935" s="38"/>
      <c r="AT1935" s="38"/>
      <c r="AU1935" s="38"/>
      <c r="AV1935" s="38"/>
      <c r="AW1935" s="38"/>
      <c r="AX1935" s="38"/>
      <c r="AY1935" s="38"/>
      <c r="AZ1935" s="38"/>
      <c r="BA1935" s="38"/>
      <c r="BB1935" s="38"/>
      <c r="BC1935" s="38"/>
      <c r="BD1935" s="38"/>
      <c r="BE1935" s="38"/>
      <c r="BF1935" s="38"/>
      <c r="BG1935" s="38"/>
      <c r="BH1935" s="38"/>
      <c r="BI1935" s="38"/>
      <c r="BJ1935" s="38"/>
      <c r="BK1935" s="38"/>
      <c r="BL1935" s="38"/>
      <c r="BM1935" s="38"/>
      <c r="BN1935" s="38"/>
      <c r="BO1935" s="38"/>
      <c r="BP1935" s="38"/>
      <c r="BQ1935" s="38"/>
    </row>
    <row r="1936">
      <c r="A1936" s="375"/>
      <c r="B1936" s="341"/>
      <c r="C1936" s="60"/>
      <c r="D1936" s="60"/>
      <c r="E1936" s="58"/>
      <c r="F1936" s="58"/>
      <c r="G1936" s="58"/>
      <c r="H1936" s="33" t="str">
        <f t="shared" si="33"/>
        <v/>
      </c>
      <c r="I1936" s="58"/>
      <c r="J1936" s="58"/>
      <c r="K1936" s="58"/>
      <c r="L1936" s="58"/>
      <c r="M1936" s="80"/>
      <c r="N1936" s="80"/>
      <c r="O1936" s="58"/>
      <c r="P1936" s="58"/>
      <c r="Q1936" s="84"/>
      <c r="R1936" s="62"/>
      <c r="S1936" s="37" t="str">
        <f>IFERROR(__xludf.DUMMYFUNCTION("if(not(iserror(index(split(C1936, "" ""),2))), index(split(C1936, "" ""),1),"""")"),"")</f>
        <v/>
      </c>
      <c r="T1936" s="315" t="str">
        <f>IFERROR(__xludf.DUMMYFUNCTION("if(S1936="""",C1936,if(not(iserror(index(split(C1936, "" ""),3))), index(split(C1936, "" ""),3),index(split(C1936, "" ""),2)))"),"")</f>
        <v/>
      </c>
      <c r="U1936" s="38" t="b">
        <f t="shared" si="34"/>
        <v>0</v>
      </c>
      <c r="V1936" s="38"/>
      <c r="W1936" s="40"/>
      <c r="X1936" s="40"/>
      <c r="Y1936" s="38"/>
      <c r="Z1936" s="38"/>
      <c r="AA1936" s="38"/>
      <c r="AB1936" s="38"/>
      <c r="AC1936" s="38"/>
      <c r="AD1936" s="38"/>
      <c r="AE1936" s="38"/>
      <c r="AF1936" s="38"/>
      <c r="AG1936" s="38"/>
      <c r="AH1936" s="38"/>
      <c r="AI1936" s="38"/>
      <c r="AJ1936" s="38"/>
      <c r="AK1936" s="38"/>
      <c r="AL1936" s="38"/>
      <c r="AM1936" s="38"/>
      <c r="AN1936" s="38"/>
      <c r="AO1936" s="38"/>
      <c r="AP1936" s="38"/>
      <c r="AQ1936" s="38"/>
      <c r="AR1936" s="38"/>
      <c r="AS1936" s="38"/>
      <c r="AT1936" s="38"/>
      <c r="AU1936" s="38"/>
      <c r="AV1936" s="38"/>
      <c r="AW1936" s="38"/>
      <c r="AX1936" s="38"/>
      <c r="AY1936" s="38"/>
      <c r="AZ1936" s="38"/>
      <c r="BA1936" s="38"/>
      <c r="BB1936" s="38"/>
      <c r="BC1936" s="38"/>
      <c r="BD1936" s="38"/>
      <c r="BE1936" s="38"/>
      <c r="BF1936" s="38"/>
      <c r="BG1936" s="38"/>
      <c r="BH1936" s="38"/>
      <c r="BI1936" s="38"/>
      <c r="BJ1936" s="38"/>
      <c r="BK1936" s="38"/>
      <c r="BL1936" s="38"/>
      <c r="BM1936" s="38"/>
      <c r="BN1936" s="38"/>
      <c r="BO1936" s="38"/>
      <c r="BP1936" s="38"/>
      <c r="BQ1936" s="38"/>
    </row>
    <row r="1937">
      <c r="A1937" s="58"/>
      <c r="B1937" s="341"/>
      <c r="C1937" s="60"/>
      <c r="D1937" s="60"/>
      <c r="E1937" s="58"/>
      <c r="F1937" s="58"/>
      <c r="G1937" s="58"/>
      <c r="H1937" s="33" t="str">
        <f t="shared" si="33"/>
        <v/>
      </c>
      <c r="I1937" s="58"/>
      <c r="J1937" s="58"/>
      <c r="K1937" s="58"/>
      <c r="L1937" s="58"/>
      <c r="M1937" s="80"/>
      <c r="N1937" s="80"/>
      <c r="O1937" s="58"/>
      <c r="P1937" s="58"/>
      <c r="Q1937" s="58"/>
      <c r="R1937" s="62"/>
      <c r="S1937" s="37" t="str">
        <f>IFERROR(__xludf.DUMMYFUNCTION("if(not(iserror(index(split(C1937, "" ""),2))), index(split(C1937, "" ""),1),"""")"),"")</f>
        <v/>
      </c>
      <c r="T1937" s="315" t="str">
        <f>IFERROR(__xludf.DUMMYFUNCTION("if(S1937="""",C1937,if(not(iserror(index(split(C1937, "" ""),3))), index(split(C1937, "" ""),3),index(split(C1937, "" ""),2)))"),"")</f>
        <v/>
      </c>
      <c r="U1937" s="38" t="b">
        <f t="shared" si="34"/>
        <v>0</v>
      </c>
      <c r="V1937" s="38"/>
      <c r="W1937" s="40"/>
      <c r="X1937" s="40"/>
      <c r="Y1937" s="38"/>
      <c r="Z1937" s="38"/>
      <c r="AA1937" s="38"/>
      <c r="AB1937" s="38"/>
      <c r="AC1937" s="38"/>
      <c r="AD1937" s="38"/>
      <c r="AE1937" s="38"/>
      <c r="AF1937" s="38"/>
      <c r="AG1937" s="38"/>
      <c r="AH1937" s="38"/>
      <c r="AI1937" s="38"/>
      <c r="AJ1937" s="38"/>
      <c r="AK1937" s="38"/>
      <c r="AL1937" s="38"/>
      <c r="AM1937" s="38"/>
      <c r="AN1937" s="38"/>
      <c r="AO1937" s="38"/>
      <c r="AP1937" s="38"/>
      <c r="AQ1937" s="38"/>
      <c r="AR1937" s="38"/>
      <c r="AS1937" s="38"/>
      <c r="AT1937" s="38"/>
      <c r="AU1937" s="38"/>
      <c r="AV1937" s="38"/>
      <c r="AW1937" s="38"/>
      <c r="AX1937" s="38"/>
      <c r="AY1937" s="38"/>
      <c r="AZ1937" s="38"/>
      <c r="BA1937" s="38"/>
      <c r="BB1937" s="38"/>
      <c r="BC1937" s="38"/>
      <c r="BD1937" s="38"/>
      <c r="BE1937" s="38"/>
      <c r="BF1937" s="38"/>
      <c r="BG1937" s="38"/>
      <c r="BH1937" s="38"/>
      <c r="BI1937" s="38"/>
      <c r="BJ1937" s="38"/>
      <c r="BK1937" s="38"/>
      <c r="BL1937" s="38"/>
      <c r="BM1937" s="38"/>
      <c r="BN1937" s="38"/>
      <c r="BO1937" s="38"/>
      <c r="BP1937" s="38"/>
      <c r="BQ1937" s="38"/>
    </row>
    <row r="1938">
      <c r="A1938" s="58"/>
      <c r="B1938" s="341"/>
      <c r="C1938" s="60"/>
      <c r="D1938" s="60"/>
      <c r="E1938" s="58"/>
      <c r="F1938" s="58"/>
      <c r="G1938" s="58"/>
      <c r="H1938" s="33" t="str">
        <f t="shared" si="33"/>
        <v/>
      </c>
      <c r="I1938" s="58"/>
      <c r="J1938" s="58"/>
      <c r="K1938" s="58"/>
      <c r="L1938" s="58"/>
      <c r="M1938" s="80"/>
      <c r="N1938" s="80"/>
      <c r="O1938" s="58"/>
      <c r="P1938" s="62"/>
      <c r="Q1938" s="84"/>
      <c r="R1938" s="62"/>
      <c r="S1938" s="37" t="str">
        <f>IFERROR(__xludf.DUMMYFUNCTION("if(not(iserror(index(split(C1938, "" ""),2))), index(split(C1938, "" ""),1),"""")"),"")</f>
        <v/>
      </c>
      <c r="T1938" s="315" t="str">
        <f>IFERROR(__xludf.DUMMYFUNCTION("if(S1938="""",C1938,if(not(iserror(index(split(C1938, "" ""),3))), index(split(C1938, "" ""),3),index(split(C1938, "" ""),2)))"),"")</f>
        <v/>
      </c>
      <c r="U1938" s="38" t="b">
        <f t="shared" si="34"/>
        <v>0</v>
      </c>
      <c r="V1938" s="38"/>
      <c r="W1938" s="40"/>
      <c r="X1938" s="40"/>
      <c r="Y1938" s="38"/>
      <c r="Z1938" s="38"/>
      <c r="AA1938" s="38"/>
      <c r="AB1938" s="38"/>
      <c r="AC1938" s="38"/>
      <c r="AD1938" s="38"/>
      <c r="AE1938" s="38"/>
      <c r="AF1938" s="38"/>
      <c r="AG1938" s="38"/>
      <c r="AH1938" s="38"/>
      <c r="AI1938" s="38"/>
      <c r="AJ1938" s="38"/>
      <c r="AK1938" s="38"/>
      <c r="AL1938" s="38"/>
      <c r="AM1938" s="38"/>
      <c r="AN1938" s="38"/>
      <c r="AO1938" s="38"/>
      <c r="AP1938" s="38"/>
      <c r="AQ1938" s="38"/>
      <c r="AR1938" s="38"/>
      <c r="AS1938" s="38"/>
      <c r="AT1938" s="38"/>
      <c r="AU1938" s="38"/>
      <c r="AV1938" s="38"/>
      <c r="AW1938" s="38"/>
      <c r="AX1938" s="38"/>
      <c r="AY1938" s="38"/>
      <c r="AZ1938" s="38"/>
      <c r="BA1938" s="38"/>
      <c r="BB1938" s="38"/>
      <c r="BC1938" s="38"/>
      <c r="BD1938" s="38"/>
      <c r="BE1938" s="38"/>
      <c r="BF1938" s="38"/>
      <c r="BG1938" s="38"/>
      <c r="BH1938" s="38"/>
      <c r="BI1938" s="38"/>
      <c r="BJ1938" s="38"/>
      <c r="BK1938" s="38"/>
      <c r="BL1938" s="38"/>
      <c r="BM1938" s="38"/>
      <c r="BN1938" s="38"/>
      <c r="BO1938" s="38"/>
      <c r="BP1938" s="38"/>
      <c r="BQ1938" s="38"/>
    </row>
    <row r="1939">
      <c r="A1939" s="58"/>
      <c r="B1939" s="341"/>
      <c r="C1939" s="60"/>
      <c r="D1939" s="60"/>
      <c r="E1939" s="58"/>
      <c r="F1939" s="58"/>
      <c r="G1939" s="58"/>
      <c r="H1939" s="33" t="str">
        <f t="shared" si="33"/>
        <v/>
      </c>
      <c r="I1939" s="58"/>
      <c r="J1939" s="58"/>
      <c r="K1939" s="58"/>
      <c r="L1939" s="58"/>
      <c r="M1939" s="80"/>
      <c r="N1939" s="80"/>
      <c r="O1939" s="58"/>
      <c r="P1939" s="62"/>
      <c r="Q1939" s="84"/>
      <c r="R1939" s="62"/>
      <c r="S1939" s="37" t="str">
        <f>IFERROR(__xludf.DUMMYFUNCTION("if(not(iserror(index(split(C1939, "" ""),2))), index(split(C1939, "" ""),1),"""")"),"")</f>
        <v/>
      </c>
      <c r="T1939" s="315" t="str">
        <f>IFERROR(__xludf.DUMMYFUNCTION("if(S1939="""",C1939,if(not(iserror(index(split(C1939, "" ""),3))), index(split(C1939, "" ""),3),index(split(C1939, "" ""),2)))"),"")</f>
        <v/>
      </c>
      <c r="U1939" s="38" t="b">
        <f t="shared" si="34"/>
        <v>0</v>
      </c>
      <c r="V1939" s="38"/>
      <c r="W1939" s="40"/>
      <c r="X1939" s="40"/>
      <c r="Y1939" s="38"/>
      <c r="Z1939" s="38"/>
      <c r="AA1939" s="38"/>
      <c r="AB1939" s="38"/>
      <c r="AC1939" s="38"/>
      <c r="AD1939" s="38"/>
      <c r="AE1939" s="38"/>
      <c r="AF1939" s="38"/>
      <c r="AG1939" s="38"/>
      <c r="AH1939" s="38"/>
      <c r="AI1939" s="38"/>
      <c r="AJ1939" s="38"/>
      <c r="AK1939" s="38"/>
      <c r="AL1939" s="38"/>
      <c r="AM1939" s="38"/>
      <c r="AN1939" s="38"/>
      <c r="AO1939" s="38"/>
      <c r="AP1939" s="38"/>
      <c r="AQ1939" s="38"/>
      <c r="AR1939" s="38"/>
      <c r="AS1939" s="38"/>
      <c r="AT1939" s="38"/>
      <c r="AU1939" s="38"/>
      <c r="AV1939" s="38"/>
      <c r="AW1939" s="38"/>
      <c r="AX1939" s="38"/>
      <c r="AY1939" s="38"/>
      <c r="AZ1939" s="38"/>
      <c r="BA1939" s="38"/>
      <c r="BB1939" s="38"/>
      <c r="BC1939" s="38"/>
      <c r="BD1939" s="38"/>
      <c r="BE1939" s="38"/>
      <c r="BF1939" s="38"/>
      <c r="BG1939" s="38"/>
      <c r="BH1939" s="38"/>
      <c r="BI1939" s="38"/>
      <c r="BJ1939" s="38"/>
      <c r="BK1939" s="38"/>
      <c r="BL1939" s="38"/>
      <c r="BM1939" s="38"/>
      <c r="BN1939" s="38"/>
      <c r="BO1939" s="38"/>
      <c r="BP1939" s="38"/>
      <c r="BQ1939" s="38"/>
    </row>
    <row r="1940">
      <c r="A1940" s="58"/>
      <c r="B1940" s="341"/>
      <c r="C1940" s="60"/>
      <c r="D1940" s="60"/>
      <c r="E1940" s="58"/>
      <c r="F1940" s="58"/>
      <c r="G1940" s="58"/>
      <c r="H1940" s="33" t="str">
        <f t="shared" si="33"/>
        <v/>
      </c>
      <c r="I1940" s="58"/>
      <c r="J1940" s="58"/>
      <c r="K1940" s="58"/>
      <c r="L1940" s="58"/>
      <c r="M1940" s="80"/>
      <c r="N1940" s="80"/>
      <c r="O1940" s="58"/>
      <c r="P1940" s="62"/>
      <c r="Q1940" s="84"/>
      <c r="R1940" s="62"/>
      <c r="S1940" s="37" t="str">
        <f>IFERROR(__xludf.DUMMYFUNCTION("if(not(iserror(index(split(C1940, "" ""),2))), index(split(C1940, "" ""),1),"""")"),"")</f>
        <v/>
      </c>
      <c r="T1940" s="315" t="str">
        <f>IFERROR(__xludf.DUMMYFUNCTION("if(S1940="""",C1940,if(not(iserror(index(split(C1940, "" ""),3))), index(split(C1940, "" ""),3),index(split(C1940, "" ""),2)))"),"")</f>
        <v/>
      </c>
      <c r="U1940" s="38" t="b">
        <f t="shared" si="34"/>
        <v>0</v>
      </c>
      <c r="V1940" s="38"/>
      <c r="W1940" s="40"/>
      <c r="X1940" s="40"/>
      <c r="Y1940" s="38"/>
      <c r="Z1940" s="38"/>
      <c r="AA1940" s="38"/>
      <c r="AB1940" s="38"/>
      <c r="AC1940" s="38"/>
      <c r="AD1940" s="38"/>
      <c r="AE1940" s="38"/>
      <c r="AF1940" s="38"/>
      <c r="AG1940" s="38"/>
      <c r="AH1940" s="38"/>
      <c r="AI1940" s="38"/>
      <c r="AJ1940" s="38"/>
      <c r="AK1940" s="38"/>
      <c r="AL1940" s="38"/>
      <c r="AM1940" s="38"/>
      <c r="AN1940" s="38"/>
      <c r="AO1940" s="38"/>
      <c r="AP1940" s="38"/>
      <c r="AQ1940" s="38"/>
      <c r="AR1940" s="38"/>
      <c r="AS1940" s="38"/>
      <c r="AT1940" s="38"/>
      <c r="AU1940" s="38"/>
      <c r="AV1940" s="38"/>
      <c r="AW1940" s="38"/>
      <c r="AX1940" s="38"/>
      <c r="AY1940" s="38"/>
      <c r="AZ1940" s="38"/>
      <c r="BA1940" s="38"/>
      <c r="BB1940" s="38"/>
      <c r="BC1940" s="38"/>
      <c r="BD1940" s="38"/>
      <c r="BE1940" s="38"/>
      <c r="BF1940" s="38"/>
      <c r="BG1940" s="38"/>
      <c r="BH1940" s="38"/>
      <c r="BI1940" s="38"/>
      <c r="BJ1940" s="38"/>
      <c r="BK1940" s="38"/>
      <c r="BL1940" s="38"/>
      <c r="BM1940" s="38"/>
      <c r="BN1940" s="38"/>
      <c r="BO1940" s="38"/>
      <c r="BP1940" s="38"/>
      <c r="BQ1940" s="38"/>
    </row>
    <row r="1941">
      <c r="A1941" s="58"/>
      <c r="B1941" s="341"/>
      <c r="C1941" s="60"/>
      <c r="D1941" s="60"/>
      <c r="E1941" s="58"/>
      <c r="F1941" s="58"/>
      <c r="G1941" s="58"/>
      <c r="H1941" s="33" t="str">
        <f t="shared" si="33"/>
        <v/>
      </c>
      <c r="I1941" s="58"/>
      <c r="J1941" s="58"/>
      <c r="K1941" s="58"/>
      <c r="L1941" s="58"/>
      <c r="M1941" s="80"/>
      <c r="N1941" s="80"/>
      <c r="O1941" s="58"/>
      <c r="P1941" s="58"/>
      <c r="Q1941" s="84"/>
      <c r="R1941" s="62"/>
      <c r="S1941" s="37" t="str">
        <f>IFERROR(__xludf.DUMMYFUNCTION("if(not(iserror(index(split(C1941, "" ""),2))), index(split(C1941, "" ""),1),"""")"),"")</f>
        <v/>
      </c>
      <c r="T1941" s="315" t="str">
        <f>IFERROR(__xludf.DUMMYFUNCTION("if(S1941="""",C1941,if(not(iserror(index(split(C1941, "" ""),3))), index(split(C1941, "" ""),3),index(split(C1941, "" ""),2)))"),"")</f>
        <v/>
      </c>
      <c r="U1941" s="38" t="b">
        <f t="shared" si="34"/>
        <v>0</v>
      </c>
      <c r="V1941" s="38"/>
      <c r="W1941" s="40"/>
      <c r="X1941" s="40"/>
      <c r="Y1941" s="38"/>
      <c r="Z1941" s="38"/>
      <c r="AA1941" s="38"/>
      <c r="AB1941" s="38"/>
      <c r="AC1941" s="38"/>
      <c r="AD1941" s="38"/>
      <c r="AE1941" s="38"/>
      <c r="AF1941" s="38"/>
      <c r="AG1941" s="38"/>
      <c r="AH1941" s="38"/>
      <c r="AI1941" s="38"/>
      <c r="AJ1941" s="38"/>
      <c r="AK1941" s="38"/>
      <c r="AL1941" s="38"/>
      <c r="AM1941" s="38"/>
      <c r="AN1941" s="38"/>
      <c r="AO1941" s="38"/>
      <c r="AP1941" s="38"/>
      <c r="AQ1941" s="38"/>
      <c r="AR1941" s="38"/>
      <c r="AS1941" s="38"/>
      <c r="AT1941" s="38"/>
      <c r="AU1941" s="38"/>
      <c r="AV1941" s="38"/>
      <c r="AW1941" s="38"/>
      <c r="AX1941" s="38"/>
      <c r="AY1941" s="38"/>
      <c r="AZ1941" s="38"/>
      <c r="BA1941" s="38"/>
      <c r="BB1941" s="38"/>
      <c r="BC1941" s="38"/>
      <c r="BD1941" s="38"/>
      <c r="BE1941" s="38"/>
      <c r="BF1941" s="38"/>
      <c r="BG1941" s="38"/>
      <c r="BH1941" s="38"/>
      <c r="BI1941" s="38"/>
      <c r="BJ1941" s="38"/>
      <c r="BK1941" s="38"/>
      <c r="BL1941" s="38"/>
      <c r="BM1941" s="38"/>
      <c r="BN1941" s="38"/>
      <c r="BO1941" s="38"/>
      <c r="BP1941" s="38"/>
      <c r="BQ1941" s="38"/>
    </row>
    <row r="1942">
      <c r="A1942" s="58"/>
      <c r="B1942" s="341"/>
      <c r="C1942" s="60"/>
      <c r="D1942" s="60"/>
      <c r="E1942" s="58"/>
      <c r="F1942" s="58"/>
      <c r="G1942" s="58"/>
      <c r="H1942" s="33" t="str">
        <f t="shared" si="33"/>
        <v/>
      </c>
      <c r="I1942" s="58"/>
      <c r="J1942" s="58"/>
      <c r="K1942" s="58"/>
      <c r="L1942" s="58"/>
      <c r="M1942" s="80"/>
      <c r="N1942" s="80"/>
      <c r="O1942" s="58"/>
      <c r="P1942" s="58"/>
      <c r="Q1942" s="84"/>
      <c r="R1942" s="62"/>
      <c r="S1942" s="37" t="str">
        <f>IFERROR(__xludf.DUMMYFUNCTION("if(not(iserror(index(split(C1942, "" ""),2))), index(split(C1942, "" ""),1),"""")"),"")</f>
        <v/>
      </c>
      <c r="T1942" s="315" t="str">
        <f>IFERROR(__xludf.DUMMYFUNCTION("if(S1942="""",C1942,if(not(iserror(index(split(C1942, "" ""),3))), index(split(C1942, "" ""),3),index(split(C1942, "" ""),2)))"),"")</f>
        <v/>
      </c>
      <c r="U1942" s="38" t="b">
        <f t="shared" si="34"/>
        <v>0</v>
      </c>
      <c r="V1942" s="38"/>
      <c r="W1942" s="40"/>
      <c r="X1942" s="40"/>
      <c r="Y1942" s="38"/>
      <c r="Z1942" s="38"/>
      <c r="AA1942" s="38"/>
      <c r="AB1942" s="38"/>
      <c r="AC1942" s="38"/>
      <c r="AD1942" s="38"/>
      <c r="AE1942" s="38"/>
      <c r="AF1942" s="38"/>
      <c r="AG1942" s="38"/>
      <c r="AH1942" s="38"/>
      <c r="AI1942" s="38"/>
      <c r="AJ1942" s="38"/>
      <c r="AK1942" s="38"/>
      <c r="AL1942" s="38"/>
      <c r="AM1942" s="38"/>
      <c r="AN1942" s="38"/>
      <c r="AO1942" s="38"/>
      <c r="AP1942" s="38"/>
      <c r="AQ1942" s="38"/>
      <c r="AR1942" s="38"/>
      <c r="AS1942" s="38"/>
      <c r="AT1942" s="38"/>
      <c r="AU1942" s="38"/>
      <c r="AV1942" s="38"/>
      <c r="AW1942" s="38"/>
      <c r="AX1942" s="38"/>
      <c r="AY1942" s="38"/>
      <c r="AZ1942" s="38"/>
      <c r="BA1942" s="38"/>
      <c r="BB1942" s="38"/>
      <c r="BC1942" s="38"/>
      <c r="BD1942" s="38"/>
      <c r="BE1942" s="38"/>
      <c r="BF1942" s="38"/>
      <c r="BG1942" s="38"/>
      <c r="BH1942" s="38"/>
      <c r="BI1942" s="38"/>
      <c r="BJ1942" s="38"/>
      <c r="BK1942" s="38"/>
      <c r="BL1942" s="38"/>
      <c r="BM1942" s="38"/>
      <c r="BN1942" s="38"/>
      <c r="BO1942" s="38"/>
      <c r="BP1942" s="38"/>
      <c r="BQ1942" s="38"/>
    </row>
    <row r="1943">
      <c r="A1943" s="58"/>
      <c r="B1943" s="341"/>
      <c r="C1943" s="60"/>
      <c r="D1943" s="60"/>
      <c r="E1943" s="58"/>
      <c r="F1943" s="58"/>
      <c r="G1943" s="58"/>
      <c r="H1943" s="33" t="str">
        <f t="shared" si="33"/>
        <v/>
      </c>
      <c r="I1943" s="58"/>
      <c r="J1943" s="58"/>
      <c r="K1943" s="58"/>
      <c r="L1943" s="58"/>
      <c r="M1943" s="80"/>
      <c r="N1943" s="80"/>
      <c r="O1943" s="58"/>
      <c r="P1943" s="58"/>
      <c r="Q1943" s="84"/>
      <c r="R1943" s="62"/>
      <c r="S1943" s="37" t="str">
        <f>IFERROR(__xludf.DUMMYFUNCTION("if(not(iserror(index(split(C1943, "" ""),2))), index(split(C1943, "" ""),1),"""")"),"")</f>
        <v/>
      </c>
      <c r="T1943" s="315" t="str">
        <f>IFERROR(__xludf.DUMMYFUNCTION("if(S1943="""",C1943,if(not(iserror(index(split(C1943, "" ""),3))), index(split(C1943, "" ""),3),index(split(C1943, "" ""),2)))"),"")</f>
        <v/>
      </c>
      <c r="U1943" s="38" t="b">
        <f t="shared" si="34"/>
        <v>0</v>
      </c>
      <c r="V1943" s="38"/>
      <c r="W1943" s="40"/>
      <c r="X1943" s="40"/>
      <c r="Y1943" s="38"/>
      <c r="Z1943" s="38"/>
      <c r="AA1943" s="38"/>
      <c r="AB1943" s="38"/>
      <c r="AC1943" s="38"/>
      <c r="AD1943" s="38"/>
      <c r="AE1943" s="38"/>
      <c r="AF1943" s="38"/>
      <c r="AG1943" s="38"/>
      <c r="AH1943" s="38"/>
      <c r="AI1943" s="38"/>
      <c r="AJ1943" s="38"/>
      <c r="AK1943" s="38"/>
      <c r="AL1943" s="38"/>
      <c r="AM1943" s="38"/>
      <c r="AN1943" s="38"/>
      <c r="AO1943" s="38"/>
      <c r="AP1943" s="38"/>
      <c r="AQ1943" s="38"/>
      <c r="AR1943" s="38"/>
      <c r="AS1943" s="38"/>
      <c r="AT1943" s="38"/>
      <c r="AU1943" s="38"/>
      <c r="AV1943" s="38"/>
      <c r="AW1943" s="38"/>
      <c r="AX1943" s="38"/>
      <c r="AY1943" s="38"/>
      <c r="AZ1943" s="38"/>
      <c r="BA1943" s="38"/>
      <c r="BB1943" s="38"/>
      <c r="BC1943" s="38"/>
      <c r="BD1943" s="38"/>
      <c r="BE1943" s="38"/>
      <c r="BF1943" s="38"/>
      <c r="BG1943" s="38"/>
      <c r="BH1943" s="38"/>
      <c r="BI1943" s="38"/>
      <c r="BJ1943" s="38"/>
      <c r="BK1943" s="38"/>
      <c r="BL1943" s="38"/>
      <c r="BM1943" s="38"/>
      <c r="BN1943" s="38"/>
      <c r="BO1943" s="38"/>
      <c r="BP1943" s="38"/>
      <c r="BQ1943" s="38"/>
    </row>
    <row r="1944">
      <c r="A1944" s="58"/>
      <c r="B1944" s="341"/>
      <c r="C1944" s="60"/>
      <c r="D1944" s="60"/>
      <c r="E1944" s="58"/>
      <c r="F1944" s="58"/>
      <c r="G1944" s="58"/>
      <c r="H1944" s="33" t="str">
        <f t="shared" si="33"/>
        <v/>
      </c>
      <c r="I1944" s="58"/>
      <c r="J1944" s="58"/>
      <c r="K1944" s="58"/>
      <c r="L1944" s="58"/>
      <c r="M1944" s="80"/>
      <c r="N1944" s="80"/>
      <c r="O1944" s="58"/>
      <c r="P1944" s="62"/>
      <c r="Q1944" s="84"/>
      <c r="R1944" s="62"/>
      <c r="S1944" s="37" t="str">
        <f>IFERROR(__xludf.DUMMYFUNCTION("if(not(iserror(index(split(C1944, "" ""),2))), index(split(C1944, "" ""),1),"""")"),"")</f>
        <v/>
      </c>
      <c r="T1944" s="315" t="str">
        <f>IFERROR(__xludf.DUMMYFUNCTION("if(S1944="""",C1944,if(not(iserror(index(split(C1944, "" ""),3))), index(split(C1944, "" ""),3),index(split(C1944, "" ""),2)))"),"")</f>
        <v/>
      </c>
      <c r="U1944" s="38" t="b">
        <f t="shared" si="34"/>
        <v>0</v>
      </c>
      <c r="V1944" s="38"/>
      <c r="W1944" s="40"/>
      <c r="X1944" s="40"/>
      <c r="Y1944" s="38"/>
      <c r="Z1944" s="38"/>
      <c r="AA1944" s="38"/>
      <c r="AB1944" s="38"/>
      <c r="AC1944" s="38"/>
      <c r="AD1944" s="38"/>
      <c r="AE1944" s="38"/>
      <c r="AF1944" s="38"/>
      <c r="AG1944" s="38"/>
      <c r="AH1944" s="38"/>
      <c r="AI1944" s="38"/>
      <c r="AJ1944" s="38"/>
      <c r="AK1944" s="38"/>
      <c r="AL1944" s="38"/>
      <c r="AM1944" s="38"/>
      <c r="AN1944" s="38"/>
      <c r="AO1944" s="38"/>
      <c r="AP1944" s="38"/>
      <c r="AQ1944" s="38"/>
      <c r="AR1944" s="38"/>
      <c r="AS1944" s="38"/>
      <c r="AT1944" s="38"/>
      <c r="AU1944" s="38"/>
      <c r="AV1944" s="38"/>
      <c r="AW1944" s="38"/>
      <c r="AX1944" s="38"/>
      <c r="AY1944" s="38"/>
      <c r="AZ1944" s="38"/>
      <c r="BA1944" s="38"/>
      <c r="BB1944" s="38"/>
      <c r="BC1944" s="38"/>
      <c r="BD1944" s="38"/>
      <c r="BE1944" s="38"/>
      <c r="BF1944" s="38"/>
      <c r="BG1944" s="38"/>
      <c r="BH1944" s="38"/>
      <c r="BI1944" s="38"/>
      <c r="BJ1944" s="38"/>
      <c r="BK1944" s="38"/>
      <c r="BL1944" s="38"/>
      <c r="BM1944" s="38"/>
      <c r="BN1944" s="38"/>
      <c r="BO1944" s="38"/>
      <c r="BP1944" s="38"/>
      <c r="BQ1944" s="38"/>
    </row>
    <row r="1945">
      <c r="A1945" s="58"/>
      <c r="B1945" s="341"/>
      <c r="C1945" s="60"/>
      <c r="D1945" s="60"/>
      <c r="E1945" s="58"/>
      <c r="F1945" s="58"/>
      <c r="G1945" s="58"/>
      <c r="H1945" s="33" t="str">
        <f t="shared" si="33"/>
        <v/>
      </c>
      <c r="I1945" s="58"/>
      <c r="J1945" s="58"/>
      <c r="K1945" s="58"/>
      <c r="L1945" s="58"/>
      <c r="M1945" s="80"/>
      <c r="N1945" s="80"/>
      <c r="O1945" s="58"/>
      <c r="P1945" s="62"/>
      <c r="Q1945" s="84"/>
      <c r="R1945" s="62"/>
      <c r="S1945" s="37" t="str">
        <f>IFERROR(__xludf.DUMMYFUNCTION("if(not(iserror(index(split(C1945, "" ""),2))), index(split(C1945, "" ""),1),"""")"),"")</f>
        <v/>
      </c>
      <c r="T1945" s="315" t="str">
        <f>IFERROR(__xludf.DUMMYFUNCTION("if(S1945="""",C1945,if(not(iserror(index(split(C1945, "" ""),3))), index(split(C1945, "" ""),3),index(split(C1945, "" ""),2)))"),"")</f>
        <v/>
      </c>
      <c r="U1945" s="38" t="b">
        <f t="shared" si="34"/>
        <v>0</v>
      </c>
      <c r="V1945" s="38"/>
      <c r="W1945" s="40"/>
      <c r="X1945" s="40"/>
      <c r="Y1945" s="38"/>
      <c r="Z1945" s="38"/>
      <c r="AA1945" s="38"/>
      <c r="AB1945" s="38"/>
      <c r="AC1945" s="38"/>
      <c r="AD1945" s="38"/>
      <c r="AE1945" s="38"/>
      <c r="AF1945" s="38"/>
      <c r="AG1945" s="38"/>
      <c r="AH1945" s="38"/>
      <c r="AI1945" s="38"/>
      <c r="AJ1945" s="38"/>
      <c r="AK1945" s="38"/>
      <c r="AL1945" s="38"/>
      <c r="AM1945" s="38"/>
      <c r="AN1945" s="38"/>
      <c r="AO1945" s="38"/>
      <c r="AP1945" s="38"/>
      <c r="AQ1945" s="38"/>
      <c r="AR1945" s="38"/>
      <c r="AS1945" s="38"/>
      <c r="AT1945" s="38"/>
      <c r="AU1945" s="38"/>
      <c r="AV1945" s="38"/>
      <c r="AW1945" s="38"/>
      <c r="AX1945" s="38"/>
      <c r="AY1945" s="38"/>
      <c r="AZ1945" s="38"/>
      <c r="BA1945" s="38"/>
      <c r="BB1945" s="38"/>
      <c r="BC1945" s="38"/>
      <c r="BD1945" s="38"/>
      <c r="BE1945" s="38"/>
      <c r="BF1945" s="38"/>
      <c r="BG1945" s="38"/>
      <c r="BH1945" s="38"/>
      <c r="BI1945" s="38"/>
      <c r="BJ1945" s="38"/>
      <c r="BK1945" s="38"/>
      <c r="BL1945" s="38"/>
      <c r="BM1945" s="38"/>
      <c r="BN1945" s="38"/>
      <c r="BO1945" s="38"/>
      <c r="BP1945" s="38"/>
      <c r="BQ1945" s="38"/>
    </row>
    <row r="1946">
      <c r="A1946" s="58"/>
      <c r="B1946" s="341"/>
      <c r="C1946" s="60"/>
      <c r="D1946" s="60"/>
      <c r="E1946" s="58"/>
      <c r="F1946" s="58"/>
      <c r="G1946" s="58"/>
      <c r="H1946" s="33" t="str">
        <f t="shared" si="33"/>
        <v/>
      </c>
      <c r="I1946" s="58"/>
      <c r="J1946" s="58"/>
      <c r="K1946" s="58"/>
      <c r="L1946" s="58"/>
      <c r="M1946" s="80"/>
      <c r="N1946" s="80"/>
      <c r="O1946" s="58"/>
      <c r="P1946" s="62"/>
      <c r="Q1946" s="84"/>
      <c r="R1946" s="62"/>
      <c r="S1946" s="37" t="str">
        <f>IFERROR(__xludf.DUMMYFUNCTION("if(not(iserror(index(split(C1946, "" ""),2))), index(split(C1946, "" ""),1),"""")"),"")</f>
        <v/>
      </c>
      <c r="T1946" s="315" t="str">
        <f>IFERROR(__xludf.DUMMYFUNCTION("if(S1946="""",C1946,if(not(iserror(index(split(C1946, "" ""),3))), index(split(C1946, "" ""),3),index(split(C1946, "" ""),2)))"),"")</f>
        <v/>
      </c>
      <c r="U1946" s="38" t="b">
        <f t="shared" si="34"/>
        <v>0</v>
      </c>
      <c r="V1946" s="38"/>
      <c r="W1946" s="40"/>
      <c r="X1946" s="40"/>
      <c r="Y1946" s="38"/>
      <c r="Z1946" s="38"/>
      <c r="AA1946" s="38"/>
      <c r="AB1946" s="38"/>
      <c r="AC1946" s="38"/>
      <c r="AD1946" s="38"/>
      <c r="AE1946" s="38"/>
      <c r="AF1946" s="38"/>
      <c r="AG1946" s="38"/>
      <c r="AH1946" s="38"/>
      <c r="AI1946" s="38"/>
      <c r="AJ1946" s="38"/>
      <c r="AK1946" s="38"/>
      <c r="AL1946" s="38"/>
      <c r="AM1946" s="38"/>
      <c r="AN1946" s="38"/>
      <c r="AO1946" s="38"/>
      <c r="AP1946" s="38"/>
      <c r="AQ1946" s="38"/>
      <c r="AR1946" s="38"/>
      <c r="AS1946" s="38"/>
      <c r="AT1946" s="38"/>
      <c r="AU1946" s="38"/>
      <c r="AV1946" s="38"/>
      <c r="AW1946" s="38"/>
      <c r="AX1946" s="38"/>
      <c r="AY1946" s="38"/>
      <c r="AZ1946" s="38"/>
      <c r="BA1946" s="38"/>
      <c r="BB1946" s="38"/>
      <c r="BC1946" s="38"/>
      <c r="BD1946" s="38"/>
      <c r="BE1946" s="38"/>
      <c r="BF1946" s="38"/>
      <c r="BG1946" s="38"/>
      <c r="BH1946" s="38"/>
      <c r="BI1946" s="38"/>
      <c r="BJ1946" s="38"/>
      <c r="BK1946" s="38"/>
      <c r="BL1946" s="38"/>
      <c r="BM1946" s="38"/>
      <c r="BN1946" s="38"/>
      <c r="BO1946" s="38"/>
      <c r="BP1946" s="38"/>
      <c r="BQ1946" s="38"/>
    </row>
    <row r="1947">
      <c r="A1947" s="58"/>
      <c r="B1947" s="341"/>
      <c r="C1947" s="60"/>
      <c r="D1947" s="60"/>
      <c r="E1947" s="58"/>
      <c r="F1947" s="58"/>
      <c r="G1947" s="58"/>
      <c r="H1947" s="33" t="str">
        <f t="shared" si="33"/>
        <v/>
      </c>
      <c r="I1947" s="58"/>
      <c r="J1947" s="58"/>
      <c r="K1947" s="58"/>
      <c r="L1947" s="58"/>
      <c r="M1947" s="80"/>
      <c r="N1947" s="80"/>
      <c r="O1947" s="58"/>
      <c r="P1947" s="62"/>
      <c r="Q1947" s="84"/>
      <c r="R1947" s="62"/>
      <c r="S1947" s="37" t="str">
        <f>IFERROR(__xludf.DUMMYFUNCTION("if(not(iserror(index(split(C1947, "" ""),2))), index(split(C1947, "" ""),1),"""")"),"")</f>
        <v/>
      </c>
      <c r="T1947" s="315" t="str">
        <f>IFERROR(__xludf.DUMMYFUNCTION("if(S1947="""",C1947,if(not(iserror(index(split(C1947, "" ""),3))), index(split(C1947, "" ""),3),index(split(C1947, "" ""),2)))"),"")</f>
        <v/>
      </c>
      <c r="U1947" s="38" t="b">
        <f t="shared" si="34"/>
        <v>0</v>
      </c>
      <c r="V1947" s="38"/>
      <c r="W1947" s="40"/>
      <c r="X1947" s="40"/>
      <c r="Y1947" s="38"/>
      <c r="Z1947" s="38"/>
      <c r="AA1947" s="38"/>
      <c r="AB1947" s="38"/>
      <c r="AC1947" s="38"/>
      <c r="AD1947" s="38"/>
      <c r="AE1947" s="38"/>
      <c r="AF1947" s="38"/>
      <c r="AG1947" s="38"/>
      <c r="AH1947" s="38"/>
      <c r="AI1947" s="38"/>
      <c r="AJ1947" s="38"/>
      <c r="AK1947" s="38"/>
      <c r="AL1947" s="38"/>
      <c r="AM1947" s="38"/>
      <c r="AN1947" s="38"/>
      <c r="AO1947" s="38"/>
      <c r="AP1947" s="38"/>
      <c r="AQ1947" s="38"/>
      <c r="AR1947" s="38"/>
      <c r="AS1947" s="38"/>
      <c r="AT1947" s="38"/>
      <c r="AU1947" s="38"/>
      <c r="AV1947" s="38"/>
      <c r="AW1947" s="38"/>
      <c r="AX1947" s="38"/>
      <c r="AY1947" s="38"/>
      <c r="AZ1947" s="38"/>
      <c r="BA1947" s="38"/>
      <c r="BB1947" s="38"/>
      <c r="BC1947" s="38"/>
      <c r="BD1947" s="38"/>
      <c r="BE1947" s="38"/>
      <c r="BF1947" s="38"/>
      <c r="BG1947" s="38"/>
      <c r="BH1947" s="38"/>
      <c r="BI1947" s="38"/>
      <c r="BJ1947" s="38"/>
      <c r="BK1947" s="38"/>
      <c r="BL1947" s="38"/>
      <c r="BM1947" s="38"/>
      <c r="BN1947" s="38"/>
      <c r="BO1947" s="38"/>
      <c r="BP1947" s="38"/>
      <c r="BQ1947" s="38"/>
    </row>
    <row r="1948">
      <c r="A1948" s="58"/>
      <c r="B1948" s="341"/>
      <c r="C1948" s="60"/>
      <c r="D1948" s="60"/>
      <c r="E1948" s="58"/>
      <c r="F1948" s="58"/>
      <c r="G1948" s="58"/>
      <c r="H1948" s="33" t="str">
        <f t="shared" si="33"/>
        <v/>
      </c>
      <c r="I1948" s="58"/>
      <c r="J1948" s="58"/>
      <c r="K1948" s="58"/>
      <c r="L1948" s="58"/>
      <c r="M1948" s="80"/>
      <c r="N1948" s="80"/>
      <c r="O1948" s="58"/>
      <c r="P1948" s="62"/>
      <c r="Q1948" s="84"/>
      <c r="R1948" s="62"/>
      <c r="S1948" s="37" t="str">
        <f>IFERROR(__xludf.DUMMYFUNCTION("if(not(iserror(index(split(C1948, "" ""),2))), index(split(C1948, "" ""),1),"""")"),"")</f>
        <v/>
      </c>
      <c r="T1948" s="315" t="str">
        <f>IFERROR(__xludf.DUMMYFUNCTION("if(S1948="""",C1948,if(not(iserror(index(split(C1948, "" ""),3))), index(split(C1948, "" ""),3),index(split(C1948, "" ""),2)))"),"")</f>
        <v/>
      </c>
      <c r="U1948" s="38" t="b">
        <f t="shared" si="34"/>
        <v>0</v>
      </c>
      <c r="V1948" s="38"/>
      <c r="W1948" s="40"/>
      <c r="X1948" s="40"/>
      <c r="Y1948" s="38"/>
      <c r="Z1948" s="38"/>
      <c r="AA1948" s="38"/>
      <c r="AB1948" s="38"/>
      <c r="AC1948" s="38"/>
      <c r="AD1948" s="38"/>
      <c r="AE1948" s="38"/>
      <c r="AF1948" s="38"/>
      <c r="AG1948" s="38"/>
      <c r="AH1948" s="38"/>
      <c r="AI1948" s="38"/>
      <c r="AJ1948" s="38"/>
      <c r="AK1948" s="38"/>
      <c r="AL1948" s="38"/>
      <c r="AM1948" s="38"/>
      <c r="AN1948" s="38"/>
      <c r="AO1948" s="38"/>
      <c r="AP1948" s="38"/>
      <c r="AQ1948" s="38"/>
      <c r="AR1948" s="38"/>
      <c r="AS1948" s="38"/>
      <c r="AT1948" s="38"/>
      <c r="AU1948" s="38"/>
      <c r="AV1948" s="38"/>
      <c r="AW1948" s="38"/>
      <c r="AX1948" s="38"/>
      <c r="AY1948" s="38"/>
      <c r="AZ1948" s="38"/>
      <c r="BA1948" s="38"/>
      <c r="BB1948" s="38"/>
      <c r="BC1948" s="38"/>
      <c r="BD1948" s="38"/>
      <c r="BE1948" s="38"/>
      <c r="BF1948" s="38"/>
      <c r="BG1948" s="38"/>
      <c r="BH1948" s="38"/>
      <c r="BI1948" s="38"/>
      <c r="BJ1948" s="38"/>
      <c r="BK1948" s="38"/>
      <c r="BL1948" s="38"/>
      <c r="BM1948" s="38"/>
      <c r="BN1948" s="38"/>
      <c r="BO1948" s="38"/>
      <c r="BP1948" s="38"/>
      <c r="BQ1948" s="38"/>
    </row>
    <row r="1949">
      <c r="A1949" s="375"/>
      <c r="B1949" s="341"/>
      <c r="C1949" s="60"/>
      <c r="D1949" s="60"/>
      <c r="E1949" s="58"/>
      <c r="F1949" s="58"/>
      <c r="G1949" s="58"/>
      <c r="H1949" s="33" t="str">
        <f t="shared" si="33"/>
        <v/>
      </c>
      <c r="I1949" s="58"/>
      <c r="J1949" s="58"/>
      <c r="K1949" s="58"/>
      <c r="L1949" s="58"/>
      <c r="M1949" s="80"/>
      <c r="N1949" s="80"/>
      <c r="O1949" s="58"/>
      <c r="P1949" s="58"/>
      <c r="Q1949" s="84"/>
      <c r="R1949" s="62"/>
      <c r="S1949" s="37" t="str">
        <f>IFERROR(__xludf.DUMMYFUNCTION("if(not(iserror(index(split(C1949, "" ""),2))), index(split(C1949, "" ""),1),"""")"),"")</f>
        <v/>
      </c>
      <c r="T1949" s="315" t="str">
        <f>IFERROR(__xludf.DUMMYFUNCTION("if(S1949="""",C1949,if(not(iserror(index(split(C1949, "" ""),3))), index(split(C1949, "" ""),3),index(split(C1949, "" ""),2)))"),"")</f>
        <v/>
      </c>
      <c r="U1949" s="38" t="b">
        <f t="shared" si="34"/>
        <v>0</v>
      </c>
      <c r="V1949" s="38"/>
      <c r="W1949" s="40"/>
      <c r="X1949" s="40"/>
      <c r="Y1949" s="38"/>
      <c r="Z1949" s="38"/>
      <c r="AA1949" s="38"/>
      <c r="AB1949" s="38"/>
      <c r="AC1949" s="38"/>
      <c r="AD1949" s="38"/>
      <c r="AE1949" s="38"/>
      <c r="AF1949" s="38"/>
      <c r="AG1949" s="38"/>
      <c r="AH1949" s="38"/>
      <c r="AI1949" s="38"/>
      <c r="AJ1949" s="38"/>
      <c r="AK1949" s="38"/>
      <c r="AL1949" s="38"/>
      <c r="AM1949" s="38"/>
      <c r="AN1949" s="38"/>
      <c r="AO1949" s="38"/>
      <c r="AP1949" s="38"/>
      <c r="AQ1949" s="38"/>
      <c r="AR1949" s="38"/>
      <c r="AS1949" s="38"/>
      <c r="AT1949" s="38"/>
      <c r="AU1949" s="38"/>
      <c r="AV1949" s="38"/>
      <c r="AW1949" s="38"/>
      <c r="AX1949" s="38"/>
      <c r="AY1949" s="38"/>
      <c r="AZ1949" s="38"/>
      <c r="BA1949" s="38"/>
      <c r="BB1949" s="38"/>
      <c r="BC1949" s="38"/>
      <c r="BD1949" s="38"/>
      <c r="BE1949" s="38"/>
      <c r="BF1949" s="38"/>
      <c r="BG1949" s="38"/>
      <c r="BH1949" s="38"/>
      <c r="BI1949" s="38"/>
      <c r="BJ1949" s="38"/>
      <c r="BK1949" s="38"/>
      <c r="BL1949" s="38"/>
      <c r="BM1949" s="38"/>
      <c r="BN1949" s="38"/>
      <c r="BO1949" s="38"/>
      <c r="BP1949" s="38"/>
      <c r="BQ1949" s="38"/>
    </row>
    <row r="1950">
      <c r="A1950" s="375"/>
      <c r="B1950" s="341"/>
      <c r="C1950" s="60"/>
      <c r="D1950" s="60"/>
      <c r="E1950" s="58"/>
      <c r="F1950" s="58"/>
      <c r="G1950" s="58"/>
      <c r="H1950" s="33" t="str">
        <f t="shared" si="33"/>
        <v/>
      </c>
      <c r="I1950" s="58"/>
      <c r="J1950" s="58"/>
      <c r="K1950" s="58"/>
      <c r="L1950" s="58"/>
      <c r="M1950" s="80"/>
      <c r="N1950" s="80"/>
      <c r="O1950" s="58"/>
      <c r="P1950" s="58"/>
      <c r="Q1950" s="84"/>
      <c r="R1950" s="62"/>
      <c r="S1950" s="37" t="str">
        <f>IFERROR(__xludf.DUMMYFUNCTION("if(not(iserror(index(split(C1950, "" ""),2))), index(split(C1950, "" ""),1),"""")"),"")</f>
        <v/>
      </c>
      <c r="T1950" s="315" t="str">
        <f>IFERROR(__xludf.DUMMYFUNCTION("if(S1950="""",C1950,if(not(iserror(index(split(C1950, "" ""),3))), index(split(C1950, "" ""),3),index(split(C1950, "" ""),2)))"),"")</f>
        <v/>
      </c>
      <c r="U1950" s="38" t="b">
        <f t="shared" si="34"/>
        <v>0</v>
      </c>
      <c r="V1950" s="38"/>
      <c r="W1950" s="40"/>
      <c r="X1950" s="40"/>
      <c r="Y1950" s="38"/>
      <c r="Z1950" s="38"/>
      <c r="AA1950" s="38"/>
      <c r="AB1950" s="38"/>
      <c r="AC1950" s="38"/>
      <c r="AD1950" s="38"/>
      <c r="AE1950" s="38"/>
      <c r="AF1950" s="38"/>
      <c r="AG1950" s="38"/>
      <c r="AH1950" s="38"/>
      <c r="AI1950" s="38"/>
      <c r="AJ1950" s="38"/>
      <c r="AK1950" s="38"/>
      <c r="AL1950" s="38"/>
      <c r="AM1950" s="38"/>
      <c r="AN1950" s="38"/>
      <c r="AO1950" s="38"/>
      <c r="AP1950" s="38"/>
      <c r="AQ1950" s="38"/>
      <c r="AR1950" s="38"/>
      <c r="AS1950" s="38"/>
      <c r="AT1950" s="38"/>
      <c r="AU1950" s="38"/>
      <c r="AV1950" s="38"/>
      <c r="AW1950" s="38"/>
      <c r="AX1950" s="38"/>
      <c r="AY1950" s="38"/>
      <c r="AZ1950" s="38"/>
      <c r="BA1950" s="38"/>
      <c r="BB1950" s="38"/>
      <c r="BC1950" s="38"/>
      <c r="BD1950" s="38"/>
      <c r="BE1950" s="38"/>
      <c r="BF1950" s="38"/>
      <c r="BG1950" s="38"/>
      <c r="BH1950" s="38"/>
      <c r="BI1950" s="38"/>
      <c r="BJ1950" s="38"/>
      <c r="BK1950" s="38"/>
      <c r="BL1950" s="38"/>
      <c r="BM1950" s="38"/>
      <c r="BN1950" s="38"/>
      <c r="BO1950" s="38"/>
      <c r="BP1950" s="38"/>
      <c r="BQ1950" s="38"/>
    </row>
    <row r="1951">
      <c r="A1951" s="375"/>
      <c r="B1951" s="341"/>
      <c r="C1951" s="60"/>
      <c r="D1951" s="60"/>
      <c r="E1951" s="58"/>
      <c r="F1951" s="58"/>
      <c r="G1951" s="58"/>
      <c r="H1951" s="33" t="str">
        <f t="shared" si="33"/>
        <v/>
      </c>
      <c r="I1951" s="58"/>
      <c r="J1951" s="58"/>
      <c r="K1951" s="58"/>
      <c r="L1951" s="58"/>
      <c r="M1951" s="80"/>
      <c r="N1951" s="80"/>
      <c r="O1951" s="58"/>
      <c r="P1951" s="58"/>
      <c r="Q1951" s="84"/>
      <c r="R1951" s="62"/>
      <c r="S1951" s="37" t="str">
        <f>IFERROR(__xludf.DUMMYFUNCTION("if(not(iserror(index(split(C1951, "" ""),2))), index(split(C1951, "" ""),1),"""")"),"")</f>
        <v/>
      </c>
      <c r="T1951" s="315" t="str">
        <f>IFERROR(__xludf.DUMMYFUNCTION("if(S1951="""",C1951,if(not(iserror(index(split(C1951, "" ""),3))), index(split(C1951, "" ""),3),index(split(C1951, "" ""),2)))"),"")</f>
        <v/>
      </c>
      <c r="U1951" s="38" t="b">
        <f t="shared" si="34"/>
        <v>0</v>
      </c>
      <c r="V1951" s="38"/>
      <c r="W1951" s="40"/>
      <c r="X1951" s="40"/>
      <c r="Y1951" s="38"/>
      <c r="Z1951" s="38"/>
      <c r="AA1951" s="38"/>
      <c r="AB1951" s="38"/>
      <c r="AC1951" s="38"/>
      <c r="AD1951" s="38"/>
      <c r="AE1951" s="38"/>
      <c r="AF1951" s="38"/>
      <c r="AG1951" s="38"/>
      <c r="AH1951" s="38"/>
      <c r="AI1951" s="38"/>
      <c r="AJ1951" s="38"/>
      <c r="AK1951" s="38"/>
      <c r="AL1951" s="38"/>
      <c r="AM1951" s="38"/>
      <c r="AN1951" s="38"/>
      <c r="AO1951" s="38"/>
      <c r="AP1951" s="38"/>
      <c r="AQ1951" s="38"/>
      <c r="AR1951" s="38"/>
      <c r="AS1951" s="38"/>
      <c r="AT1951" s="38"/>
      <c r="AU1951" s="38"/>
      <c r="AV1951" s="38"/>
      <c r="AW1951" s="38"/>
      <c r="AX1951" s="38"/>
      <c r="AY1951" s="38"/>
      <c r="AZ1951" s="38"/>
      <c r="BA1951" s="38"/>
      <c r="BB1951" s="38"/>
      <c r="BC1951" s="38"/>
      <c r="BD1951" s="38"/>
      <c r="BE1951" s="38"/>
      <c r="BF1951" s="38"/>
      <c r="BG1951" s="38"/>
      <c r="BH1951" s="38"/>
      <c r="BI1951" s="38"/>
      <c r="BJ1951" s="38"/>
      <c r="BK1951" s="38"/>
      <c r="BL1951" s="38"/>
      <c r="BM1951" s="38"/>
      <c r="BN1951" s="38"/>
      <c r="BO1951" s="38"/>
      <c r="BP1951" s="38"/>
      <c r="BQ1951" s="38"/>
    </row>
    <row r="1952">
      <c r="A1952" s="375"/>
      <c r="B1952" s="341"/>
      <c r="C1952" s="60"/>
      <c r="D1952" s="60"/>
      <c r="E1952" s="58"/>
      <c r="F1952" s="58"/>
      <c r="G1952" s="58"/>
      <c r="H1952" s="33" t="str">
        <f t="shared" si="33"/>
        <v/>
      </c>
      <c r="I1952" s="58"/>
      <c r="J1952" s="58"/>
      <c r="K1952" s="58"/>
      <c r="L1952" s="58"/>
      <c r="M1952" s="80"/>
      <c r="N1952" s="80"/>
      <c r="O1952" s="58"/>
      <c r="P1952" s="58"/>
      <c r="Q1952" s="84"/>
      <c r="R1952" s="62"/>
      <c r="S1952" s="37" t="str">
        <f>IFERROR(__xludf.DUMMYFUNCTION("if(not(iserror(index(split(C1952, "" ""),2))), index(split(C1952, "" ""),1),"""")"),"")</f>
        <v/>
      </c>
      <c r="T1952" s="315" t="str">
        <f>IFERROR(__xludf.DUMMYFUNCTION("if(S1952="""",C1952,if(not(iserror(index(split(C1952, "" ""),3))), index(split(C1952, "" ""),3),index(split(C1952, "" ""),2)))"),"")</f>
        <v/>
      </c>
      <c r="U1952" s="38" t="b">
        <f t="shared" si="34"/>
        <v>0</v>
      </c>
      <c r="V1952" s="38"/>
      <c r="W1952" s="40"/>
      <c r="X1952" s="40"/>
      <c r="Y1952" s="38"/>
      <c r="Z1952" s="38"/>
      <c r="AA1952" s="38"/>
      <c r="AB1952" s="38"/>
      <c r="AC1952" s="38"/>
      <c r="AD1952" s="38"/>
      <c r="AE1952" s="38"/>
      <c r="AF1952" s="38"/>
      <c r="AG1952" s="38"/>
      <c r="AH1952" s="38"/>
      <c r="AI1952" s="38"/>
      <c r="AJ1952" s="38"/>
      <c r="AK1952" s="38"/>
      <c r="AL1952" s="38"/>
      <c r="AM1952" s="38"/>
      <c r="AN1952" s="38"/>
      <c r="AO1952" s="38"/>
      <c r="AP1952" s="38"/>
      <c r="AQ1952" s="38"/>
      <c r="AR1952" s="38"/>
      <c r="AS1952" s="38"/>
      <c r="AT1952" s="38"/>
      <c r="AU1952" s="38"/>
      <c r="AV1952" s="38"/>
      <c r="AW1952" s="38"/>
      <c r="AX1952" s="38"/>
      <c r="AY1952" s="38"/>
      <c r="AZ1952" s="38"/>
      <c r="BA1952" s="38"/>
      <c r="BB1952" s="38"/>
      <c r="BC1952" s="38"/>
      <c r="BD1952" s="38"/>
      <c r="BE1952" s="38"/>
      <c r="BF1952" s="38"/>
      <c r="BG1952" s="38"/>
      <c r="BH1952" s="38"/>
      <c r="BI1952" s="38"/>
      <c r="BJ1952" s="38"/>
      <c r="BK1952" s="38"/>
      <c r="BL1952" s="38"/>
      <c r="BM1952" s="38"/>
      <c r="BN1952" s="38"/>
      <c r="BO1952" s="38"/>
      <c r="BP1952" s="38"/>
      <c r="BQ1952" s="38"/>
    </row>
    <row r="1953">
      <c r="A1953" s="375"/>
      <c r="B1953" s="341"/>
      <c r="C1953" s="60"/>
      <c r="D1953" s="60"/>
      <c r="E1953" s="58"/>
      <c r="F1953" s="58"/>
      <c r="G1953" s="58"/>
      <c r="H1953" s="33" t="str">
        <f t="shared" si="33"/>
        <v/>
      </c>
      <c r="I1953" s="58"/>
      <c r="J1953" s="58"/>
      <c r="K1953" s="58"/>
      <c r="L1953" s="58"/>
      <c r="M1953" s="80"/>
      <c r="N1953" s="80"/>
      <c r="O1953" s="58"/>
      <c r="P1953" s="58"/>
      <c r="Q1953" s="84"/>
      <c r="R1953" s="62"/>
      <c r="S1953" s="37" t="str">
        <f>IFERROR(__xludf.DUMMYFUNCTION("if(not(iserror(index(split(C1953, "" ""),2))), index(split(C1953, "" ""),1),"""")"),"")</f>
        <v/>
      </c>
      <c r="T1953" s="315" t="str">
        <f>IFERROR(__xludf.DUMMYFUNCTION("if(S1953="""",C1953,if(not(iserror(index(split(C1953, "" ""),3))), index(split(C1953, "" ""),3),index(split(C1953, "" ""),2)))"),"")</f>
        <v/>
      </c>
      <c r="U1953" s="38" t="b">
        <f t="shared" si="34"/>
        <v>0</v>
      </c>
      <c r="V1953" s="38"/>
      <c r="W1953" s="40"/>
      <c r="X1953" s="40"/>
      <c r="Y1953" s="38"/>
      <c r="Z1953" s="38"/>
      <c r="AA1953" s="38"/>
      <c r="AB1953" s="38"/>
      <c r="AC1953" s="38"/>
      <c r="AD1953" s="38"/>
      <c r="AE1953" s="38"/>
      <c r="AF1953" s="38"/>
      <c r="AG1953" s="38"/>
      <c r="AH1953" s="38"/>
      <c r="AI1953" s="38"/>
      <c r="AJ1953" s="38"/>
      <c r="AK1953" s="38"/>
      <c r="AL1953" s="38"/>
      <c r="AM1953" s="38"/>
      <c r="AN1953" s="38"/>
      <c r="AO1953" s="38"/>
      <c r="AP1953" s="38"/>
      <c r="AQ1953" s="38"/>
      <c r="AR1953" s="38"/>
      <c r="AS1953" s="38"/>
      <c r="AT1953" s="38"/>
      <c r="AU1953" s="38"/>
      <c r="AV1953" s="38"/>
      <c r="AW1953" s="38"/>
      <c r="AX1953" s="38"/>
      <c r="AY1953" s="38"/>
      <c r="AZ1953" s="38"/>
      <c r="BA1953" s="38"/>
      <c r="BB1953" s="38"/>
      <c r="BC1953" s="38"/>
      <c r="BD1953" s="38"/>
      <c r="BE1953" s="38"/>
      <c r="BF1953" s="38"/>
      <c r="BG1953" s="38"/>
      <c r="BH1953" s="38"/>
      <c r="BI1953" s="38"/>
      <c r="BJ1953" s="38"/>
      <c r="BK1953" s="38"/>
      <c r="BL1953" s="38"/>
      <c r="BM1953" s="38"/>
      <c r="BN1953" s="38"/>
      <c r="BO1953" s="38"/>
      <c r="BP1953" s="38"/>
      <c r="BQ1953" s="38"/>
    </row>
    <row r="1954">
      <c r="A1954" s="375"/>
      <c r="B1954" s="341"/>
      <c r="C1954" s="60"/>
      <c r="D1954" s="60"/>
      <c r="E1954" s="58"/>
      <c r="F1954" s="58"/>
      <c r="G1954" s="58"/>
      <c r="H1954" s="33" t="str">
        <f t="shared" si="33"/>
        <v/>
      </c>
      <c r="I1954" s="58"/>
      <c r="J1954" s="58"/>
      <c r="K1954" s="58"/>
      <c r="L1954" s="58"/>
      <c r="M1954" s="80"/>
      <c r="N1954" s="80"/>
      <c r="O1954" s="58"/>
      <c r="P1954" s="58"/>
      <c r="Q1954" s="84"/>
      <c r="R1954" s="62"/>
      <c r="S1954" s="37" t="str">
        <f>IFERROR(__xludf.DUMMYFUNCTION("if(not(iserror(index(split(C1954, "" ""),2))), index(split(C1954, "" ""),1),"""")"),"")</f>
        <v/>
      </c>
      <c r="T1954" s="315" t="str">
        <f>IFERROR(__xludf.DUMMYFUNCTION("if(S1954="""",C1954,if(not(iserror(index(split(C1954, "" ""),3))), index(split(C1954, "" ""),3),index(split(C1954, "" ""),2)))"),"")</f>
        <v/>
      </c>
      <c r="U1954" s="38" t="b">
        <f t="shared" si="34"/>
        <v>0</v>
      </c>
      <c r="V1954" s="38"/>
      <c r="W1954" s="40"/>
      <c r="X1954" s="40"/>
      <c r="Y1954" s="38"/>
      <c r="Z1954" s="38"/>
      <c r="AA1954" s="38"/>
      <c r="AB1954" s="38"/>
      <c r="AC1954" s="38"/>
      <c r="AD1954" s="38"/>
      <c r="AE1954" s="38"/>
      <c r="AF1954" s="38"/>
      <c r="AG1954" s="38"/>
      <c r="AH1954" s="38"/>
      <c r="AI1954" s="38"/>
      <c r="AJ1954" s="38"/>
      <c r="AK1954" s="38"/>
      <c r="AL1954" s="38"/>
      <c r="AM1954" s="38"/>
      <c r="AN1954" s="38"/>
      <c r="AO1954" s="38"/>
      <c r="AP1954" s="38"/>
      <c r="AQ1954" s="38"/>
      <c r="AR1954" s="38"/>
      <c r="AS1954" s="38"/>
      <c r="AT1954" s="38"/>
      <c r="AU1954" s="38"/>
      <c r="AV1954" s="38"/>
      <c r="AW1954" s="38"/>
      <c r="AX1954" s="38"/>
      <c r="AY1954" s="38"/>
      <c r="AZ1954" s="38"/>
      <c r="BA1954" s="38"/>
      <c r="BB1954" s="38"/>
      <c r="BC1954" s="38"/>
      <c r="BD1954" s="38"/>
      <c r="BE1954" s="38"/>
      <c r="BF1954" s="38"/>
      <c r="BG1954" s="38"/>
      <c r="BH1954" s="38"/>
      <c r="BI1954" s="38"/>
      <c r="BJ1954" s="38"/>
      <c r="BK1954" s="38"/>
      <c r="BL1954" s="38"/>
      <c r="BM1954" s="38"/>
      <c r="BN1954" s="38"/>
      <c r="BO1954" s="38"/>
      <c r="BP1954" s="38"/>
      <c r="BQ1954" s="38"/>
    </row>
    <row r="1955">
      <c r="A1955" s="375"/>
      <c r="B1955" s="58"/>
      <c r="C1955" s="60"/>
      <c r="D1955" s="60"/>
      <c r="E1955" s="58"/>
      <c r="F1955" s="58"/>
      <c r="G1955" s="58"/>
      <c r="H1955" s="33" t="str">
        <f t="shared" si="33"/>
        <v/>
      </c>
      <c r="I1955" s="58"/>
      <c r="J1955" s="58"/>
      <c r="K1955" s="58"/>
      <c r="L1955" s="58"/>
      <c r="M1955" s="80"/>
      <c r="N1955" s="80"/>
      <c r="O1955" s="58"/>
      <c r="P1955" s="58"/>
      <c r="Q1955" s="84"/>
      <c r="R1955" s="62"/>
      <c r="S1955" s="37" t="str">
        <f>IFERROR(__xludf.DUMMYFUNCTION("if(not(iserror(index(split(C1955, "" ""),2))), index(split(C1955, "" ""),1),"""")"),"")</f>
        <v/>
      </c>
      <c r="T1955" s="315" t="str">
        <f>IFERROR(__xludf.DUMMYFUNCTION("if(S1955="""",C1955,if(not(iserror(index(split(C1955, "" ""),3))), index(split(C1955, "" ""),3),index(split(C1955, "" ""),2)))"),"")</f>
        <v/>
      </c>
      <c r="U1955" s="38" t="b">
        <f t="shared" si="34"/>
        <v>0</v>
      </c>
      <c r="V1955" s="38"/>
      <c r="W1955" s="40"/>
      <c r="X1955" s="40"/>
      <c r="Y1955" s="38"/>
      <c r="Z1955" s="38"/>
      <c r="AA1955" s="38"/>
      <c r="AB1955" s="38"/>
      <c r="AC1955" s="38"/>
      <c r="AD1955" s="38"/>
      <c r="AE1955" s="38"/>
      <c r="AF1955" s="38"/>
      <c r="AG1955" s="38"/>
      <c r="AH1955" s="38"/>
      <c r="AI1955" s="38"/>
      <c r="AJ1955" s="38"/>
      <c r="AK1955" s="38"/>
      <c r="AL1955" s="38"/>
      <c r="AM1955" s="38"/>
      <c r="AN1955" s="38"/>
      <c r="AO1955" s="38"/>
      <c r="AP1955" s="38"/>
      <c r="AQ1955" s="38"/>
      <c r="AR1955" s="38"/>
      <c r="AS1955" s="38"/>
      <c r="AT1955" s="38"/>
      <c r="AU1955" s="38"/>
      <c r="AV1955" s="38"/>
      <c r="AW1955" s="38"/>
      <c r="AX1955" s="38"/>
      <c r="AY1955" s="38"/>
      <c r="AZ1955" s="38"/>
      <c r="BA1955" s="38"/>
      <c r="BB1955" s="38"/>
      <c r="BC1955" s="38"/>
      <c r="BD1955" s="38"/>
      <c r="BE1955" s="38"/>
      <c r="BF1955" s="38"/>
      <c r="BG1955" s="38"/>
      <c r="BH1955" s="38"/>
      <c r="BI1955" s="38"/>
      <c r="BJ1955" s="38"/>
      <c r="BK1955" s="38"/>
      <c r="BL1955" s="38"/>
      <c r="BM1955" s="38"/>
      <c r="BN1955" s="38"/>
      <c r="BO1955" s="38"/>
      <c r="BP1955" s="38"/>
      <c r="BQ1955" s="38"/>
    </row>
    <row r="1956">
      <c r="A1956" s="58"/>
      <c r="B1956" s="341"/>
      <c r="C1956" s="60"/>
      <c r="D1956" s="60"/>
      <c r="E1956" s="58"/>
      <c r="F1956" s="58"/>
      <c r="G1956" s="58"/>
      <c r="H1956" s="33" t="str">
        <f t="shared" si="33"/>
        <v/>
      </c>
      <c r="I1956" s="58"/>
      <c r="J1956" s="58"/>
      <c r="K1956" s="58"/>
      <c r="L1956" s="58"/>
      <c r="M1956" s="80"/>
      <c r="N1956" s="80"/>
      <c r="O1956" s="58"/>
      <c r="P1956" s="62"/>
      <c r="Q1956" s="58"/>
      <c r="R1956" s="62"/>
      <c r="S1956" s="37" t="str">
        <f>IFERROR(__xludf.DUMMYFUNCTION("if(not(iserror(index(split(C1956, "" ""),2))), index(split(C1956, "" ""),1),"""")"),"")</f>
        <v/>
      </c>
      <c r="T1956" s="315" t="str">
        <f>IFERROR(__xludf.DUMMYFUNCTION("if(S1956="""",C1956,if(not(iserror(index(split(C1956, "" ""),3))), index(split(C1956, "" ""),3),index(split(C1956, "" ""),2)))"),"")</f>
        <v/>
      </c>
      <c r="U1956" s="38" t="b">
        <f t="shared" si="34"/>
        <v>0</v>
      </c>
      <c r="V1956" s="38"/>
      <c r="W1956" s="40"/>
      <c r="X1956" s="40"/>
      <c r="Y1956" s="38"/>
      <c r="Z1956" s="38"/>
      <c r="AA1956" s="38"/>
      <c r="AB1956" s="38"/>
      <c r="AC1956" s="38"/>
      <c r="AD1956" s="38"/>
      <c r="AE1956" s="38"/>
      <c r="AF1956" s="38"/>
      <c r="AG1956" s="38"/>
      <c r="AH1956" s="38"/>
      <c r="AI1956" s="38"/>
      <c r="AJ1956" s="38"/>
      <c r="AK1956" s="38"/>
      <c r="AL1956" s="38"/>
      <c r="AM1956" s="38"/>
      <c r="AN1956" s="38"/>
      <c r="AO1956" s="38"/>
      <c r="AP1956" s="38"/>
      <c r="AQ1956" s="38"/>
      <c r="AR1956" s="38"/>
      <c r="AS1956" s="38"/>
      <c r="AT1956" s="38"/>
      <c r="AU1956" s="38"/>
      <c r="AV1956" s="38"/>
      <c r="AW1956" s="38"/>
      <c r="AX1956" s="38"/>
      <c r="AY1956" s="38"/>
      <c r="AZ1956" s="38"/>
      <c r="BA1956" s="38"/>
      <c r="BB1956" s="38"/>
      <c r="BC1956" s="38"/>
      <c r="BD1956" s="38"/>
      <c r="BE1956" s="38"/>
      <c r="BF1956" s="38"/>
      <c r="BG1956" s="38"/>
      <c r="BH1956" s="38"/>
      <c r="BI1956" s="38"/>
      <c r="BJ1956" s="38"/>
      <c r="BK1956" s="38"/>
      <c r="BL1956" s="38"/>
      <c r="BM1956" s="38"/>
      <c r="BN1956" s="38"/>
      <c r="BO1956" s="38"/>
      <c r="BP1956" s="38"/>
      <c r="BQ1956" s="38"/>
    </row>
    <row r="1957">
      <c r="A1957" s="58"/>
      <c r="B1957" s="341"/>
      <c r="C1957" s="60"/>
      <c r="D1957" s="60"/>
      <c r="E1957" s="58"/>
      <c r="F1957" s="58"/>
      <c r="G1957" s="58"/>
      <c r="H1957" s="33" t="str">
        <f t="shared" si="33"/>
        <v/>
      </c>
      <c r="I1957" s="58"/>
      <c r="J1957" s="58"/>
      <c r="K1957" s="58"/>
      <c r="L1957" s="58"/>
      <c r="M1957" s="80"/>
      <c r="N1957" s="80"/>
      <c r="O1957" s="58"/>
      <c r="P1957" s="58"/>
      <c r="Q1957" s="58"/>
      <c r="R1957" s="62"/>
      <c r="S1957" s="37" t="str">
        <f>IFERROR(__xludf.DUMMYFUNCTION("if(not(iserror(index(split(C1957, "" ""),2))), index(split(C1957, "" ""),1),"""")"),"")</f>
        <v/>
      </c>
      <c r="T1957" s="315" t="str">
        <f>IFERROR(__xludf.DUMMYFUNCTION("if(S1957="""",C1957,if(not(iserror(index(split(C1957, "" ""),3))), index(split(C1957, "" ""),3),index(split(C1957, "" ""),2)))"),"")</f>
        <v/>
      </c>
      <c r="U1957" s="38" t="b">
        <f t="shared" si="34"/>
        <v>0</v>
      </c>
      <c r="V1957" s="38"/>
      <c r="W1957" s="40"/>
      <c r="X1957" s="40"/>
      <c r="Y1957" s="38"/>
      <c r="Z1957" s="38"/>
      <c r="AA1957" s="38"/>
      <c r="AB1957" s="38"/>
      <c r="AC1957" s="38"/>
      <c r="AD1957" s="38"/>
      <c r="AE1957" s="38"/>
      <c r="AF1957" s="38"/>
      <c r="AG1957" s="38"/>
      <c r="AH1957" s="38"/>
      <c r="AI1957" s="38"/>
      <c r="AJ1957" s="38"/>
      <c r="AK1957" s="38"/>
      <c r="AL1957" s="38"/>
      <c r="AM1957" s="38"/>
      <c r="AN1957" s="38"/>
      <c r="AO1957" s="38"/>
      <c r="AP1957" s="38"/>
      <c r="AQ1957" s="38"/>
      <c r="AR1957" s="38"/>
      <c r="AS1957" s="38"/>
      <c r="AT1957" s="38"/>
      <c r="AU1957" s="38"/>
      <c r="AV1957" s="38"/>
      <c r="AW1957" s="38"/>
      <c r="AX1957" s="38"/>
      <c r="AY1957" s="38"/>
      <c r="AZ1957" s="38"/>
      <c r="BA1957" s="38"/>
      <c r="BB1957" s="38"/>
      <c r="BC1957" s="38"/>
      <c r="BD1957" s="38"/>
      <c r="BE1957" s="38"/>
      <c r="BF1957" s="38"/>
      <c r="BG1957" s="38"/>
      <c r="BH1957" s="38"/>
      <c r="BI1957" s="38"/>
      <c r="BJ1957" s="38"/>
      <c r="BK1957" s="38"/>
      <c r="BL1957" s="38"/>
      <c r="BM1957" s="38"/>
      <c r="BN1957" s="38"/>
      <c r="BO1957" s="38"/>
      <c r="BP1957" s="38"/>
      <c r="BQ1957" s="38"/>
    </row>
    <row r="1958">
      <c r="A1958" s="58"/>
      <c r="B1958" s="341"/>
      <c r="C1958" s="60"/>
      <c r="D1958" s="60"/>
      <c r="E1958" s="58"/>
      <c r="F1958" s="58"/>
      <c r="G1958" s="58"/>
      <c r="H1958" s="33" t="str">
        <f t="shared" si="33"/>
        <v/>
      </c>
      <c r="I1958" s="58"/>
      <c r="J1958" s="58"/>
      <c r="K1958" s="58"/>
      <c r="L1958" s="58"/>
      <c r="M1958" s="80"/>
      <c r="N1958" s="80"/>
      <c r="O1958" s="58"/>
      <c r="P1958" s="58"/>
      <c r="Q1958" s="58"/>
      <c r="R1958" s="62"/>
      <c r="S1958" s="37" t="str">
        <f>IFERROR(__xludf.DUMMYFUNCTION("if(not(iserror(index(split(C1958, "" ""),2))), index(split(C1958, "" ""),1),"""")"),"")</f>
        <v/>
      </c>
      <c r="T1958" s="315" t="str">
        <f>IFERROR(__xludf.DUMMYFUNCTION("if(S1958="""",C1958,if(not(iserror(index(split(C1958, "" ""),3))), index(split(C1958, "" ""),3),index(split(C1958, "" ""),2)))"),"")</f>
        <v/>
      </c>
      <c r="U1958" s="38" t="b">
        <f t="shared" si="34"/>
        <v>0</v>
      </c>
      <c r="V1958" s="38"/>
      <c r="W1958" s="40"/>
      <c r="X1958" s="40"/>
      <c r="Y1958" s="38"/>
      <c r="Z1958" s="38"/>
      <c r="AA1958" s="38"/>
      <c r="AB1958" s="38"/>
      <c r="AC1958" s="38"/>
      <c r="AD1958" s="38"/>
      <c r="AE1958" s="38"/>
      <c r="AF1958" s="38"/>
      <c r="AG1958" s="38"/>
      <c r="AH1958" s="38"/>
      <c r="AI1958" s="38"/>
      <c r="AJ1958" s="38"/>
      <c r="AK1958" s="38"/>
      <c r="AL1958" s="38"/>
      <c r="AM1958" s="38"/>
      <c r="AN1958" s="38"/>
      <c r="AO1958" s="38"/>
      <c r="AP1958" s="38"/>
      <c r="AQ1958" s="38"/>
      <c r="AR1958" s="38"/>
      <c r="AS1958" s="38"/>
      <c r="AT1958" s="38"/>
      <c r="AU1958" s="38"/>
      <c r="AV1958" s="38"/>
      <c r="AW1958" s="38"/>
      <c r="AX1958" s="38"/>
      <c r="AY1958" s="38"/>
      <c r="AZ1958" s="38"/>
      <c r="BA1958" s="38"/>
      <c r="BB1958" s="38"/>
      <c r="BC1958" s="38"/>
      <c r="BD1958" s="38"/>
      <c r="BE1958" s="38"/>
      <c r="BF1958" s="38"/>
      <c r="BG1958" s="38"/>
      <c r="BH1958" s="38"/>
      <c r="BI1958" s="38"/>
      <c r="BJ1958" s="38"/>
      <c r="BK1958" s="38"/>
      <c r="BL1958" s="38"/>
      <c r="BM1958" s="38"/>
      <c r="BN1958" s="38"/>
      <c r="BO1958" s="38"/>
      <c r="BP1958" s="38"/>
      <c r="BQ1958" s="38"/>
    </row>
    <row r="1959">
      <c r="A1959" s="58"/>
      <c r="B1959" s="341"/>
      <c r="C1959" s="60"/>
      <c r="D1959" s="60"/>
      <c r="E1959" s="58"/>
      <c r="F1959" s="58"/>
      <c r="G1959" s="58"/>
      <c r="H1959" s="33" t="str">
        <f t="shared" si="33"/>
        <v/>
      </c>
      <c r="I1959" s="58"/>
      <c r="J1959" s="58"/>
      <c r="K1959" s="58"/>
      <c r="L1959" s="58"/>
      <c r="M1959" s="80"/>
      <c r="N1959" s="80"/>
      <c r="O1959" s="58"/>
      <c r="P1959" s="58"/>
      <c r="Q1959" s="58"/>
      <c r="R1959" s="62"/>
      <c r="S1959" s="37" t="str">
        <f>IFERROR(__xludf.DUMMYFUNCTION("if(not(iserror(index(split(C1959, "" ""),2))), index(split(C1959, "" ""),1),"""")"),"")</f>
        <v/>
      </c>
      <c r="T1959" s="315" t="str">
        <f>IFERROR(__xludf.DUMMYFUNCTION("if(S1959="""",C1959,if(not(iserror(index(split(C1959, "" ""),3))), index(split(C1959, "" ""),3),index(split(C1959, "" ""),2)))"),"")</f>
        <v/>
      </c>
      <c r="U1959" s="38" t="b">
        <f t="shared" si="34"/>
        <v>0</v>
      </c>
      <c r="V1959" s="38"/>
      <c r="W1959" s="40"/>
      <c r="X1959" s="40"/>
      <c r="Y1959" s="38"/>
      <c r="Z1959" s="38"/>
      <c r="AA1959" s="38"/>
      <c r="AB1959" s="38"/>
      <c r="AC1959" s="38"/>
      <c r="AD1959" s="38"/>
      <c r="AE1959" s="38"/>
      <c r="AF1959" s="38"/>
      <c r="AG1959" s="38"/>
      <c r="AH1959" s="38"/>
      <c r="AI1959" s="38"/>
      <c r="AJ1959" s="38"/>
      <c r="AK1959" s="38"/>
      <c r="AL1959" s="38"/>
      <c r="AM1959" s="38"/>
      <c r="AN1959" s="38"/>
      <c r="AO1959" s="38"/>
      <c r="AP1959" s="38"/>
      <c r="AQ1959" s="38"/>
      <c r="AR1959" s="38"/>
      <c r="AS1959" s="38"/>
      <c r="AT1959" s="38"/>
      <c r="AU1959" s="38"/>
      <c r="AV1959" s="38"/>
      <c r="AW1959" s="38"/>
      <c r="AX1959" s="38"/>
      <c r="AY1959" s="38"/>
      <c r="AZ1959" s="38"/>
      <c r="BA1959" s="38"/>
      <c r="BB1959" s="38"/>
      <c r="BC1959" s="38"/>
      <c r="BD1959" s="38"/>
      <c r="BE1959" s="38"/>
      <c r="BF1959" s="38"/>
      <c r="BG1959" s="38"/>
      <c r="BH1959" s="38"/>
      <c r="BI1959" s="38"/>
      <c r="BJ1959" s="38"/>
      <c r="BK1959" s="38"/>
      <c r="BL1959" s="38"/>
      <c r="BM1959" s="38"/>
      <c r="BN1959" s="38"/>
      <c r="BO1959" s="38"/>
      <c r="BP1959" s="38"/>
      <c r="BQ1959" s="38"/>
    </row>
    <row r="1960">
      <c r="A1960" s="58"/>
      <c r="B1960" s="58"/>
      <c r="C1960" s="60"/>
      <c r="D1960" s="60"/>
      <c r="E1960" s="58"/>
      <c r="F1960" s="58"/>
      <c r="G1960" s="58"/>
      <c r="H1960" s="33" t="str">
        <f t="shared" si="33"/>
        <v/>
      </c>
      <c r="I1960" s="58"/>
      <c r="J1960" s="58"/>
      <c r="K1960" s="58"/>
      <c r="L1960" s="58"/>
      <c r="M1960" s="80"/>
      <c r="N1960" s="80"/>
      <c r="O1960" s="58"/>
      <c r="P1960" s="62"/>
      <c r="Q1960" s="58"/>
      <c r="R1960" s="62"/>
      <c r="S1960" s="37" t="str">
        <f>IFERROR(__xludf.DUMMYFUNCTION("if(not(iserror(index(split(C1960, "" ""),2))), index(split(C1960, "" ""),1),"""")"),"")</f>
        <v/>
      </c>
      <c r="T1960" s="315" t="str">
        <f>IFERROR(__xludf.DUMMYFUNCTION("if(S1960="""",C1960,if(not(iserror(index(split(C1960, "" ""),3))), index(split(C1960, "" ""),3),index(split(C1960, "" ""),2)))"),"")</f>
        <v/>
      </c>
      <c r="U1960" s="38" t="b">
        <f t="shared" si="34"/>
        <v>0</v>
      </c>
      <c r="V1960" s="38"/>
      <c r="W1960" s="40"/>
      <c r="X1960" s="40"/>
      <c r="Y1960" s="38"/>
      <c r="Z1960" s="38"/>
      <c r="AA1960" s="38"/>
      <c r="AB1960" s="38"/>
      <c r="AC1960" s="38"/>
      <c r="AD1960" s="38"/>
      <c r="AE1960" s="38"/>
      <c r="AF1960" s="38"/>
      <c r="AG1960" s="38"/>
      <c r="AH1960" s="38"/>
      <c r="AI1960" s="38"/>
      <c r="AJ1960" s="38"/>
      <c r="AK1960" s="38"/>
      <c r="AL1960" s="38"/>
      <c r="AM1960" s="38"/>
      <c r="AN1960" s="38"/>
      <c r="AO1960" s="38"/>
      <c r="AP1960" s="38"/>
      <c r="AQ1960" s="38"/>
      <c r="AR1960" s="38"/>
      <c r="AS1960" s="38"/>
      <c r="AT1960" s="38"/>
      <c r="AU1960" s="38"/>
      <c r="AV1960" s="38"/>
      <c r="AW1960" s="38"/>
      <c r="AX1960" s="38"/>
      <c r="AY1960" s="38"/>
      <c r="AZ1960" s="38"/>
      <c r="BA1960" s="38"/>
      <c r="BB1960" s="38"/>
      <c r="BC1960" s="38"/>
      <c r="BD1960" s="38"/>
      <c r="BE1960" s="38"/>
      <c r="BF1960" s="38"/>
      <c r="BG1960" s="38"/>
      <c r="BH1960" s="38"/>
      <c r="BI1960" s="38"/>
      <c r="BJ1960" s="38"/>
      <c r="BK1960" s="38"/>
      <c r="BL1960" s="38"/>
      <c r="BM1960" s="38"/>
      <c r="BN1960" s="38"/>
      <c r="BO1960" s="38"/>
      <c r="BP1960" s="38"/>
      <c r="BQ1960" s="38"/>
    </row>
    <row r="1961">
      <c r="A1961" s="58"/>
      <c r="B1961" s="58"/>
      <c r="C1961" s="60"/>
      <c r="D1961" s="60"/>
      <c r="E1961" s="58"/>
      <c r="F1961" s="58"/>
      <c r="G1961" s="58"/>
      <c r="H1961" s="33" t="str">
        <f t="shared" si="33"/>
        <v/>
      </c>
      <c r="I1961" s="58"/>
      <c r="J1961" s="58"/>
      <c r="K1961" s="58"/>
      <c r="L1961" s="58"/>
      <c r="M1961" s="80"/>
      <c r="N1961" s="80"/>
      <c r="O1961" s="58"/>
      <c r="P1961" s="62"/>
      <c r="Q1961" s="58"/>
      <c r="R1961" s="62"/>
      <c r="S1961" s="37" t="str">
        <f>IFERROR(__xludf.DUMMYFUNCTION("if(not(iserror(index(split(C1961, "" ""),2))), index(split(C1961, "" ""),1),"""")"),"")</f>
        <v/>
      </c>
      <c r="T1961" s="315" t="str">
        <f>IFERROR(__xludf.DUMMYFUNCTION("if(S1961="""",C1961,if(not(iserror(index(split(C1961, "" ""),3))), index(split(C1961, "" ""),3),index(split(C1961, "" ""),2)))"),"")</f>
        <v/>
      </c>
      <c r="U1961" s="38" t="b">
        <f t="shared" si="34"/>
        <v>0</v>
      </c>
      <c r="V1961" s="38"/>
      <c r="W1961" s="40"/>
      <c r="X1961" s="40"/>
      <c r="Y1961" s="38"/>
      <c r="Z1961" s="38"/>
      <c r="AA1961" s="38"/>
      <c r="AB1961" s="38"/>
      <c r="AC1961" s="38"/>
      <c r="AD1961" s="38"/>
      <c r="AE1961" s="38"/>
      <c r="AF1961" s="38"/>
      <c r="AG1961" s="38"/>
      <c r="AH1961" s="38"/>
      <c r="AI1961" s="38"/>
      <c r="AJ1961" s="38"/>
      <c r="AK1961" s="38"/>
      <c r="AL1961" s="38"/>
      <c r="AM1961" s="38"/>
      <c r="AN1961" s="38"/>
      <c r="AO1961" s="38"/>
      <c r="AP1961" s="38"/>
      <c r="AQ1961" s="38"/>
      <c r="AR1961" s="38"/>
      <c r="AS1961" s="38"/>
      <c r="AT1961" s="38"/>
      <c r="AU1961" s="38"/>
      <c r="AV1961" s="38"/>
      <c r="AW1961" s="38"/>
      <c r="AX1961" s="38"/>
      <c r="AY1961" s="38"/>
      <c r="AZ1961" s="38"/>
      <c r="BA1961" s="38"/>
      <c r="BB1961" s="38"/>
      <c r="BC1961" s="38"/>
      <c r="BD1961" s="38"/>
      <c r="BE1961" s="38"/>
      <c r="BF1961" s="38"/>
      <c r="BG1961" s="38"/>
      <c r="BH1961" s="38"/>
      <c r="BI1961" s="38"/>
      <c r="BJ1961" s="38"/>
      <c r="BK1961" s="38"/>
      <c r="BL1961" s="38"/>
      <c r="BM1961" s="38"/>
      <c r="BN1961" s="38"/>
      <c r="BO1961" s="38"/>
      <c r="BP1961" s="38"/>
      <c r="BQ1961" s="38"/>
    </row>
    <row r="1962">
      <c r="A1962" s="58"/>
      <c r="B1962" s="341"/>
      <c r="C1962" s="60"/>
      <c r="D1962" s="60"/>
      <c r="E1962" s="58"/>
      <c r="F1962" s="58"/>
      <c r="G1962" s="58"/>
      <c r="H1962" s="33" t="str">
        <f t="shared" si="33"/>
        <v/>
      </c>
      <c r="I1962" s="58"/>
      <c r="J1962" s="58"/>
      <c r="K1962" s="58"/>
      <c r="L1962" s="58"/>
      <c r="M1962" s="80"/>
      <c r="N1962" s="80"/>
      <c r="O1962" s="58"/>
      <c r="P1962" s="62"/>
      <c r="Q1962" s="58"/>
      <c r="R1962" s="62"/>
      <c r="S1962" s="37" t="str">
        <f>IFERROR(__xludf.DUMMYFUNCTION("if(not(iserror(index(split(C1962, "" ""),2))), index(split(C1962, "" ""),1),"""")"),"")</f>
        <v/>
      </c>
      <c r="T1962" s="315" t="str">
        <f>IFERROR(__xludf.DUMMYFUNCTION("if(S1962="""",C1962,if(not(iserror(index(split(C1962, "" ""),3))), index(split(C1962, "" ""),3),index(split(C1962, "" ""),2)))"),"")</f>
        <v/>
      </c>
      <c r="U1962" s="38" t="b">
        <f t="shared" si="34"/>
        <v>0</v>
      </c>
      <c r="V1962" s="38"/>
      <c r="W1962" s="40"/>
      <c r="X1962" s="40"/>
      <c r="Y1962" s="38"/>
      <c r="Z1962" s="38"/>
      <c r="AA1962" s="38"/>
      <c r="AB1962" s="38"/>
      <c r="AC1962" s="38"/>
      <c r="AD1962" s="38"/>
      <c r="AE1962" s="38"/>
      <c r="AF1962" s="38"/>
      <c r="AG1962" s="38"/>
      <c r="AH1962" s="38"/>
      <c r="AI1962" s="38"/>
      <c r="AJ1962" s="38"/>
      <c r="AK1962" s="38"/>
      <c r="AL1962" s="38"/>
      <c r="AM1962" s="38"/>
      <c r="AN1962" s="38"/>
      <c r="AO1962" s="38"/>
      <c r="AP1962" s="38"/>
      <c r="AQ1962" s="38"/>
      <c r="AR1962" s="38"/>
      <c r="AS1962" s="38"/>
      <c r="AT1962" s="38"/>
      <c r="AU1962" s="38"/>
      <c r="AV1962" s="38"/>
      <c r="AW1962" s="38"/>
      <c r="AX1962" s="38"/>
      <c r="AY1962" s="38"/>
      <c r="AZ1962" s="38"/>
      <c r="BA1962" s="38"/>
      <c r="BB1962" s="38"/>
      <c r="BC1962" s="38"/>
      <c r="BD1962" s="38"/>
      <c r="BE1962" s="38"/>
      <c r="BF1962" s="38"/>
      <c r="BG1962" s="38"/>
      <c r="BH1962" s="38"/>
      <c r="BI1962" s="38"/>
      <c r="BJ1962" s="38"/>
      <c r="BK1962" s="38"/>
      <c r="BL1962" s="38"/>
      <c r="BM1962" s="38"/>
      <c r="BN1962" s="38"/>
      <c r="BO1962" s="38"/>
      <c r="BP1962" s="38"/>
      <c r="BQ1962" s="38"/>
    </row>
    <row r="1963">
      <c r="A1963" s="58"/>
      <c r="B1963" s="341"/>
      <c r="C1963" s="60"/>
      <c r="D1963" s="60"/>
      <c r="E1963" s="58"/>
      <c r="F1963" s="58"/>
      <c r="G1963" s="58"/>
      <c r="H1963" s="33" t="str">
        <f t="shared" si="33"/>
        <v/>
      </c>
      <c r="I1963" s="58"/>
      <c r="J1963" s="58"/>
      <c r="K1963" s="58"/>
      <c r="L1963" s="58"/>
      <c r="M1963" s="80"/>
      <c r="N1963" s="80"/>
      <c r="O1963" s="58"/>
      <c r="P1963" s="58"/>
      <c r="Q1963" s="58"/>
      <c r="R1963" s="62"/>
      <c r="S1963" s="37" t="str">
        <f>IFERROR(__xludf.DUMMYFUNCTION("if(not(iserror(index(split(C1963, "" ""),2))), index(split(C1963, "" ""),1),"""")"),"")</f>
        <v/>
      </c>
      <c r="T1963" s="315" t="str">
        <f>IFERROR(__xludf.DUMMYFUNCTION("if(S1963="""",C1963,if(not(iserror(index(split(C1963, "" ""),3))), index(split(C1963, "" ""),3),index(split(C1963, "" ""),2)))"),"")</f>
        <v/>
      </c>
      <c r="U1963" s="38" t="b">
        <f t="shared" si="34"/>
        <v>0</v>
      </c>
      <c r="V1963" s="38"/>
      <c r="W1963" s="40"/>
      <c r="X1963" s="40"/>
      <c r="Y1963" s="38"/>
      <c r="Z1963" s="38"/>
      <c r="AA1963" s="38"/>
      <c r="AB1963" s="38"/>
      <c r="AC1963" s="38"/>
      <c r="AD1963" s="38"/>
      <c r="AE1963" s="38"/>
      <c r="AF1963" s="38"/>
      <c r="AG1963" s="38"/>
      <c r="AH1963" s="38"/>
      <c r="AI1963" s="38"/>
      <c r="AJ1963" s="38"/>
      <c r="AK1963" s="38"/>
      <c r="AL1963" s="38"/>
      <c r="AM1963" s="38"/>
      <c r="AN1963" s="38"/>
      <c r="AO1963" s="38"/>
      <c r="AP1963" s="38"/>
      <c r="AQ1963" s="38"/>
      <c r="AR1963" s="38"/>
      <c r="AS1963" s="38"/>
      <c r="AT1963" s="38"/>
      <c r="AU1963" s="38"/>
      <c r="AV1963" s="38"/>
      <c r="AW1963" s="38"/>
      <c r="AX1963" s="38"/>
      <c r="AY1963" s="38"/>
      <c r="AZ1963" s="38"/>
      <c r="BA1963" s="38"/>
      <c r="BB1963" s="38"/>
      <c r="BC1963" s="38"/>
      <c r="BD1963" s="38"/>
      <c r="BE1963" s="38"/>
      <c r="BF1963" s="38"/>
      <c r="BG1963" s="38"/>
      <c r="BH1963" s="38"/>
      <c r="BI1963" s="38"/>
      <c r="BJ1963" s="38"/>
      <c r="BK1963" s="38"/>
      <c r="BL1963" s="38"/>
      <c r="BM1963" s="38"/>
      <c r="BN1963" s="38"/>
      <c r="BO1963" s="38"/>
      <c r="BP1963" s="38"/>
      <c r="BQ1963" s="38"/>
    </row>
    <row r="1964">
      <c r="A1964" s="58"/>
      <c r="B1964" s="341"/>
      <c r="C1964" s="60"/>
      <c r="D1964" s="60"/>
      <c r="E1964" s="58"/>
      <c r="F1964" s="58"/>
      <c r="G1964" s="58"/>
      <c r="H1964" s="33" t="str">
        <f t="shared" si="33"/>
        <v/>
      </c>
      <c r="I1964" s="58"/>
      <c r="J1964" s="58"/>
      <c r="K1964" s="58"/>
      <c r="L1964" s="58"/>
      <c r="M1964" s="80"/>
      <c r="N1964" s="80"/>
      <c r="O1964" s="58"/>
      <c r="P1964" s="58"/>
      <c r="Q1964" s="58"/>
      <c r="R1964" s="62"/>
      <c r="S1964" s="37" t="str">
        <f>IFERROR(__xludf.DUMMYFUNCTION("if(not(iserror(index(split(C1964, "" ""),2))), index(split(C1964, "" ""),1),"""")"),"")</f>
        <v/>
      </c>
      <c r="T1964" s="315" t="str">
        <f>IFERROR(__xludf.DUMMYFUNCTION("if(S1964="""",C1964,if(not(iserror(index(split(C1964, "" ""),3))), index(split(C1964, "" ""),3),index(split(C1964, "" ""),2)))"),"")</f>
        <v/>
      </c>
      <c r="U1964" s="38" t="b">
        <f t="shared" si="34"/>
        <v>0</v>
      </c>
      <c r="V1964" s="38"/>
      <c r="W1964" s="40"/>
      <c r="X1964" s="40"/>
      <c r="Y1964" s="38"/>
      <c r="Z1964" s="38"/>
      <c r="AA1964" s="38"/>
      <c r="AB1964" s="38"/>
      <c r="AC1964" s="38"/>
      <c r="AD1964" s="38"/>
      <c r="AE1964" s="38"/>
      <c r="AF1964" s="38"/>
      <c r="AG1964" s="38"/>
      <c r="AH1964" s="38"/>
      <c r="AI1964" s="38"/>
      <c r="AJ1964" s="38"/>
      <c r="AK1964" s="38"/>
      <c r="AL1964" s="38"/>
      <c r="AM1964" s="38"/>
      <c r="AN1964" s="38"/>
      <c r="AO1964" s="38"/>
      <c r="AP1964" s="38"/>
      <c r="AQ1964" s="38"/>
      <c r="AR1964" s="38"/>
      <c r="AS1964" s="38"/>
      <c r="AT1964" s="38"/>
      <c r="AU1964" s="38"/>
      <c r="AV1964" s="38"/>
      <c r="AW1964" s="38"/>
      <c r="AX1964" s="38"/>
      <c r="AY1964" s="38"/>
      <c r="AZ1964" s="38"/>
      <c r="BA1964" s="38"/>
      <c r="BB1964" s="38"/>
      <c r="BC1964" s="38"/>
      <c r="BD1964" s="38"/>
      <c r="BE1964" s="38"/>
      <c r="BF1964" s="38"/>
      <c r="BG1964" s="38"/>
      <c r="BH1964" s="38"/>
      <c r="BI1964" s="38"/>
      <c r="BJ1964" s="38"/>
      <c r="BK1964" s="38"/>
      <c r="BL1964" s="38"/>
      <c r="BM1964" s="38"/>
      <c r="BN1964" s="38"/>
      <c r="BO1964" s="38"/>
      <c r="BP1964" s="38"/>
      <c r="BQ1964" s="38"/>
    </row>
    <row r="1965">
      <c r="A1965" s="58"/>
      <c r="B1965" s="341"/>
      <c r="C1965" s="60"/>
      <c r="D1965" s="60"/>
      <c r="E1965" s="58"/>
      <c r="F1965" s="58"/>
      <c r="G1965" s="58"/>
      <c r="H1965" s="33" t="str">
        <f t="shared" si="33"/>
        <v/>
      </c>
      <c r="I1965" s="58"/>
      <c r="J1965" s="58"/>
      <c r="K1965" s="58"/>
      <c r="L1965" s="58"/>
      <c r="M1965" s="80"/>
      <c r="N1965" s="80"/>
      <c r="O1965" s="58"/>
      <c r="P1965" s="58"/>
      <c r="Q1965" s="58"/>
      <c r="R1965" s="62"/>
      <c r="S1965" s="37" t="str">
        <f>IFERROR(__xludf.DUMMYFUNCTION("if(not(iserror(index(split(C1965, "" ""),2))), index(split(C1965, "" ""),1),"""")"),"")</f>
        <v/>
      </c>
      <c r="T1965" s="315" t="str">
        <f>IFERROR(__xludf.DUMMYFUNCTION("if(S1965="""",C1965,if(not(iserror(index(split(C1965, "" ""),3))), index(split(C1965, "" ""),3),index(split(C1965, "" ""),2)))"),"")</f>
        <v/>
      </c>
      <c r="U1965" s="38" t="b">
        <f t="shared" si="34"/>
        <v>0</v>
      </c>
      <c r="V1965" s="38"/>
      <c r="W1965" s="40"/>
      <c r="X1965" s="40"/>
      <c r="Y1965" s="38"/>
      <c r="Z1965" s="38"/>
      <c r="AA1965" s="38"/>
      <c r="AB1965" s="38"/>
      <c r="AC1965" s="38"/>
      <c r="AD1965" s="38"/>
      <c r="AE1965" s="38"/>
      <c r="AF1965" s="38"/>
      <c r="AG1965" s="38"/>
      <c r="AH1965" s="38"/>
      <c r="AI1965" s="38"/>
      <c r="AJ1965" s="38"/>
      <c r="AK1965" s="38"/>
      <c r="AL1965" s="38"/>
      <c r="AM1965" s="38"/>
      <c r="AN1965" s="38"/>
      <c r="AO1965" s="38"/>
      <c r="AP1965" s="38"/>
      <c r="AQ1965" s="38"/>
      <c r="AR1965" s="38"/>
      <c r="AS1965" s="38"/>
      <c r="AT1965" s="38"/>
      <c r="AU1965" s="38"/>
      <c r="AV1965" s="38"/>
      <c r="AW1965" s="38"/>
      <c r="AX1965" s="38"/>
      <c r="AY1965" s="38"/>
      <c r="AZ1965" s="38"/>
      <c r="BA1965" s="38"/>
      <c r="BB1965" s="38"/>
      <c r="BC1965" s="38"/>
      <c r="BD1965" s="38"/>
      <c r="BE1965" s="38"/>
      <c r="BF1965" s="38"/>
      <c r="BG1965" s="38"/>
      <c r="BH1965" s="38"/>
      <c r="BI1965" s="38"/>
      <c r="BJ1965" s="38"/>
      <c r="BK1965" s="38"/>
      <c r="BL1965" s="38"/>
      <c r="BM1965" s="38"/>
      <c r="BN1965" s="38"/>
      <c r="BO1965" s="38"/>
      <c r="BP1965" s="38"/>
      <c r="BQ1965" s="38"/>
    </row>
    <row r="1966">
      <c r="A1966" s="58"/>
      <c r="B1966" s="341"/>
      <c r="C1966" s="60"/>
      <c r="D1966" s="60"/>
      <c r="E1966" s="58"/>
      <c r="F1966" s="58"/>
      <c r="G1966" s="58"/>
      <c r="H1966" s="33" t="str">
        <f t="shared" si="33"/>
        <v/>
      </c>
      <c r="I1966" s="58"/>
      <c r="J1966" s="58"/>
      <c r="K1966" s="58"/>
      <c r="L1966" s="58"/>
      <c r="M1966" s="80"/>
      <c r="N1966" s="80"/>
      <c r="O1966" s="58"/>
      <c r="P1966" s="58"/>
      <c r="Q1966" s="58"/>
      <c r="R1966" s="62"/>
      <c r="S1966" s="37" t="str">
        <f>IFERROR(__xludf.DUMMYFUNCTION("if(not(iserror(index(split(C1966, "" ""),2))), index(split(C1966, "" ""),1),"""")"),"")</f>
        <v/>
      </c>
      <c r="T1966" s="315" t="str">
        <f>IFERROR(__xludf.DUMMYFUNCTION("if(S1966="""",C1966,if(not(iserror(index(split(C1966, "" ""),3))), index(split(C1966, "" ""),3),index(split(C1966, "" ""),2)))"),"")</f>
        <v/>
      </c>
      <c r="U1966" s="38" t="b">
        <f t="shared" si="34"/>
        <v>0</v>
      </c>
      <c r="V1966" s="38"/>
      <c r="W1966" s="40"/>
      <c r="X1966" s="40"/>
      <c r="Y1966" s="38"/>
      <c r="Z1966" s="38"/>
      <c r="AA1966" s="38"/>
      <c r="AB1966" s="38"/>
      <c r="AC1966" s="38"/>
      <c r="AD1966" s="38"/>
      <c r="AE1966" s="38"/>
      <c r="AF1966" s="38"/>
      <c r="AG1966" s="38"/>
      <c r="AH1966" s="38"/>
      <c r="AI1966" s="38"/>
      <c r="AJ1966" s="38"/>
      <c r="AK1966" s="38"/>
      <c r="AL1966" s="38"/>
      <c r="AM1966" s="38"/>
      <c r="AN1966" s="38"/>
      <c r="AO1966" s="38"/>
      <c r="AP1966" s="38"/>
      <c r="AQ1966" s="38"/>
      <c r="AR1966" s="38"/>
      <c r="AS1966" s="38"/>
      <c r="AT1966" s="38"/>
      <c r="AU1966" s="38"/>
      <c r="AV1966" s="38"/>
      <c r="AW1966" s="38"/>
      <c r="AX1966" s="38"/>
      <c r="AY1966" s="38"/>
      <c r="AZ1966" s="38"/>
      <c r="BA1966" s="38"/>
      <c r="BB1966" s="38"/>
      <c r="BC1966" s="38"/>
      <c r="BD1966" s="38"/>
      <c r="BE1966" s="38"/>
      <c r="BF1966" s="38"/>
      <c r="BG1966" s="38"/>
      <c r="BH1966" s="38"/>
      <c r="BI1966" s="38"/>
      <c r="BJ1966" s="38"/>
      <c r="BK1966" s="38"/>
      <c r="BL1966" s="38"/>
      <c r="BM1966" s="38"/>
      <c r="BN1966" s="38"/>
      <c r="BO1966" s="38"/>
      <c r="BP1966" s="38"/>
      <c r="BQ1966" s="38"/>
    </row>
    <row r="1967">
      <c r="A1967" s="58"/>
      <c r="B1967" s="341"/>
      <c r="C1967" s="60"/>
      <c r="D1967" s="60"/>
      <c r="E1967" s="58"/>
      <c r="F1967" s="58"/>
      <c r="G1967" s="58"/>
      <c r="H1967" s="33" t="str">
        <f t="shared" si="33"/>
        <v/>
      </c>
      <c r="I1967" s="58"/>
      <c r="J1967" s="58"/>
      <c r="K1967" s="58"/>
      <c r="L1967" s="58"/>
      <c r="M1967" s="80"/>
      <c r="N1967" s="80"/>
      <c r="O1967" s="58"/>
      <c r="P1967" s="58"/>
      <c r="Q1967" s="58"/>
      <c r="R1967" s="62"/>
      <c r="S1967" s="37" t="str">
        <f>IFERROR(__xludf.DUMMYFUNCTION("if(not(iserror(index(split(C1967, "" ""),2))), index(split(C1967, "" ""),1),"""")"),"")</f>
        <v/>
      </c>
      <c r="T1967" s="315" t="str">
        <f>IFERROR(__xludf.DUMMYFUNCTION("if(S1967="""",C1967,if(not(iserror(index(split(C1967, "" ""),3))), index(split(C1967, "" ""),3),index(split(C1967, "" ""),2)))"),"")</f>
        <v/>
      </c>
      <c r="U1967" s="38" t="b">
        <f t="shared" si="34"/>
        <v>0</v>
      </c>
      <c r="V1967" s="38"/>
      <c r="W1967" s="40"/>
      <c r="X1967" s="40"/>
      <c r="Y1967" s="38"/>
      <c r="Z1967" s="38"/>
      <c r="AA1967" s="38"/>
      <c r="AB1967" s="38"/>
      <c r="AC1967" s="38"/>
      <c r="AD1967" s="38"/>
      <c r="AE1967" s="38"/>
      <c r="AF1967" s="38"/>
      <c r="AG1967" s="38"/>
      <c r="AH1967" s="38"/>
      <c r="AI1967" s="38"/>
      <c r="AJ1967" s="38"/>
      <c r="AK1967" s="38"/>
      <c r="AL1967" s="38"/>
      <c r="AM1967" s="38"/>
      <c r="AN1967" s="38"/>
      <c r="AO1967" s="38"/>
      <c r="AP1967" s="38"/>
      <c r="AQ1967" s="38"/>
      <c r="AR1967" s="38"/>
      <c r="AS1967" s="38"/>
      <c r="AT1967" s="38"/>
      <c r="AU1967" s="38"/>
      <c r="AV1967" s="38"/>
      <c r="AW1967" s="38"/>
      <c r="AX1967" s="38"/>
      <c r="AY1967" s="38"/>
      <c r="AZ1967" s="38"/>
      <c r="BA1967" s="38"/>
      <c r="BB1967" s="38"/>
      <c r="BC1967" s="38"/>
      <c r="BD1967" s="38"/>
      <c r="BE1967" s="38"/>
      <c r="BF1967" s="38"/>
      <c r="BG1967" s="38"/>
      <c r="BH1967" s="38"/>
      <c r="BI1967" s="38"/>
      <c r="BJ1967" s="38"/>
      <c r="BK1967" s="38"/>
      <c r="BL1967" s="38"/>
      <c r="BM1967" s="38"/>
      <c r="BN1967" s="38"/>
      <c r="BO1967" s="38"/>
      <c r="BP1967" s="38"/>
      <c r="BQ1967" s="38"/>
    </row>
    <row r="1968">
      <c r="A1968" s="58"/>
      <c r="B1968" s="341"/>
      <c r="C1968" s="60"/>
      <c r="D1968" s="60"/>
      <c r="E1968" s="58"/>
      <c r="F1968" s="58"/>
      <c r="G1968" s="58"/>
      <c r="H1968" s="33" t="str">
        <f t="shared" si="33"/>
        <v/>
      </c>
      <c r="I1968" s="58"/>
      <c r="J1968" s="58"/>
      <c r="K1968" s="58"/>
      <c r="L1968" s="58"/>
      <c r="M1968" s="80"/>
      <c r="N1968" s="80"/>
      <c r="O1968" s="58"/>
      <c r="P1968" s="58"/>
      <c r="Q1968" s="58"/>
      <c r="R1968" s="62"/>
      <c r="S1968" s="37" t="str">
        <f>IFERROR(__xludf.DUMMYFUNCTION("if(not(iserror(index(split(C1968, "" ""),2))), index(split(C1968, "" ""),1),"""")"),"")</f>
        <v/>
      </c>
      <c r="T1968" s="315" t="str">
        <f>IFERROR(__xludf.DUMMYFUNCTION("if(S1968="""",C1968,if(not(iserror(index(split(C1968, "" ""),3))), index(split(C1968, "" ""),3),index(split(C1968, "" ""),2)))"),"")</f>
        <v/>
      </c>
      <c r="U1968" s="38" t="b">
        <f t="shared" si="34"/>
        <v>0</v>
      </c>
      <c r="V1968" s="38"/>
      <c r="W1968" s="40"/>
      <c r="X1968" s="40"/>
      <c r="Y1968" s="38"/>
      <c r="Z1968" s="38"/>
      <c r="AA1968" s="38"/>
      <c r="AB1968" s="38"/>
      <c r="AC1968" s="38"/>
      <c r="AD1968" s="38"/>
      <c r="AE1968" s="38"/>
      <c r="AF1968" s="38"/>
      <c r="AG1968" s="38"/>
      <c r="AH1968" s="38"/>
      <c r="AI1968" s="38"/>
      <c r="AJ1968" s="38"/>
      <c r="AK1968" s="38"/>
      <c r="AL1968" s="38"/>
      <c r="AM1968" s="38"/>
      <c r="AN1968" s="38"/>
      <c r="AO1968" s="38"/>
      <c r="AP1968" s="38"/>
      <c r="AQ1968" s="38"/>
      <c r="AR1968" s="38"/>
      <c r="AS1968" s="38"/>
      <c r="AT1968" s="38"/>
      <c r="AU1968" s="38"/>
      <c r="AV1968" s="38"/>
      <c r="AW1968" s="38"/>
      <c r="AX1968" s="38"/>
      <c r="AY1968" s="38"/>
      <c r="AZ1968" s="38"/>
      <c r="BA1968" s="38"/>
      <c r="BB1968" s="38"/>
      <c r="BC1968" s="38"/>
      <c r="BD1968" s="38"/>
      <c r="BE1968" s="38"/>
      <c r="BF1968" s="38"/>
      <c r="BG1968" s="38"/>
      <c r="BH1968" s="38"/>
      <c r="BI1968" s="38"/>
      <c r="BJ1968" s="38"/>
      <c r="BK1968" s="38"/>
      <c r="BL1968" s="38"/>
      <c r="BM1968" s="38"/>
      <c r="BN1968" s="38"/>
      <c r="BO1968" s="38"/>
      <c r="BP1968" s="38"/>
      <c r="BQ1968" s="38"/>
    </row>
    <row r="1969">
      <c r="A1969" s="58"/>
      <c r="B1969" s="341"/>
      <c r="C1969" s="60"/>
      <c r="D1969" s="60"/>
      <c r="E1969" s="58"/>
      <c r="F1969" s="58"/>
      <c r="G1969" s="58"/>
      <c r="H1969" s="33" t="str">
        <f t="shared" si="33"/>
        <v/>
      </c>
      <c r="I1969" s="58"/>
      <c r="J1969" s="58"/>
      <c r="K1969" s="58"/>
      <c r="L1969" s="58"/>
      <c r="M1969" s="80"/>
      <c r="N1969" s="80"/>
      <c r="O1969" s="58"/>
      <c r="P1969" s="58"/>
      <c r="Q1969" s="58"/>
      <c r="R1969" s="62"/>
      <c r="S1969" s="37" t="str">
        <f>IFERROR(__xludf.DUMMYFUNCTION("if(not(iserror(index(split(C1969, "" ""),2))), index(split(C1969, "" ""),1),"""")"),"")</f>
        <v/>
      </c>
      <c r="T1969" s="315" t="str">
        <f>IFERROR(__xludf.DUMMYFUNCTION("if(S1969="""",C1969,if(not(iserror(index(split(C1969, "" ""),3))), index(split(C1969, "" ""),3),index(split(C1969, "" ""),2)))"),"")</f>
        <v/>
      </c>
      <c r="U1969" s="38" t="b">
        <f t="shared" si="34"/>
        <v>0</v>
      </c>
      <c r="V1969" s="38"/>
      <c r="W1969" s="40"/>
      <c r="X1969" s="40"/>
      <c r="Y1969" s="38"/>
      <c r="Z1969" s="38"/>
      <c r="AA1969" s="38"/>
      <c r="AB1969" s="38"/>
      <c r="AC1969" s="38"/>
      <c r="AD1969" s="38"/>
      <c r="AE1969" s="38"/>
      <c r="AF1969" s="38"/>
      <c r="AG1969" s="38"/>
      <c r="AH1969" s="38"/>
      <c r="AI1969" s="38"/>
      <c r="AJ1969" s="38"/>
      <c r="AK1969" s="38"/>
      <c r="AL1969" s="38"/>
      <c r="AM1969" s="38"/>
      <c r="AN1969" s="38"/>
      <c r="AO1969" s="38"/>
      <c r="AP1969" s="38"/>
      <c r="AQ1969" s="38"/>
      <c r="AR1969" s="38"/>
      <c r="AS1969" s="38"/>
      <c r="AT1969" s="38"/>
      <c r="AU1969" s="38"/>
      <c r="AV1969" s="38"/>
      <c r="AW1969" s="38"/>
      <c r="AX1969" s="38"/>
      <c r="AY1969" s="38"/>
      <c r="AZ1969" s="38"/>
      <c r="BA1969" s="38"/>
      <c r="BB1969" s="38"/>
      <c r="BC1969" s="38"/>
      <c r="BD1969" s="38"/>
      <c r="BE1969" s="38"/>
      <c r="BF1969" s="38"/>
      <c r="BG1969" s="38"/>
      <c r="BH1969" s="38"/>
      <c r="BI1969" s="38"/>
      <c r="BJ1969" s="38"/>
      <c r="BK1969" s="38"/>
      <c r="BL1969" s="38"/>
      <c r="BM1969" s="38"/>
      <c r="BN1969" s="38"/>
      <c r="BO1969" s="38"/>
      <c r="BP1969" s="38"/>
      <c r="BQ1969" s="38"/>
    </row>
    <row r="1970">
      <c r="A1970" s="58"/>
      <c r="B1970" s="341"/>
      <c r="C1970" s="60"/>
      <c r="D1970" s="60"/>
      <c r="E1970" s="58"/>
      <c r="F1970" s="58"/>
      <c r="G1970" s="58"/>
      <c r="H1970" s="33" t="str">
        <f t="shared" si="33"/>
        <v/>
      </c>
      <c r="I1970" s="58"/>
      <c r="J1970" s="58"/>
      <c r="K1970" s="58"/>
      <c r="L1970" s="58"/>
      <c r="M1970" s="80"/>
      <c r="N1970" s="80"/>
      <c r="O1970" s="58"/>
      <c r="P1970" s="58"/>
      <c r="Q1970" s="58"/>
      <c r="R1970" s="62"/>
      <c r="S1970" s="37" t="str">
        <f>IFERROR(__xludf.DUMMYFUNCTION("if(not(iserror(index(split(C1970, "" ""),2))), index(split(C1970, "" ""),1),"""")"),"")</f>
        <v/>
      </c>
      <c r="T1970" s="315" t="str">
        <f>IFERROR(__xludf.DUMMYFUNCTION("if(S1970="""",C1970,if(not(iserror(index(split(C1970, "" ""),3))), index(split(C1970, "" ""),3),index(split(C1970, "" ""),2)))"),"")</f>
        <v/>
      </c>
      <c r="U1970" s="38" t="b">
        <f t="shared" si="34"/>
        <v>0</v>
      </c>
      <c r="V1970" s="38"/>
      <c r="W1970" s="40"/>
      <c r="X1970" s="40"/>
      <c r="Y1970" s="38"/>
      <c r="Z1970" s="38"/>
      <c r="AA1970" s="38"/>
      <c r="AB1970" s="38"/>
      <c r="AC1970" s="38"/>
      <c r="AD1970" s="38"/>
      <c r="AE1970" s="38"/>
      <c r="AF1970" s="38"/>
      <c r="AG1970" s="38"/>
      <c r="AH1970" s="38"/>
      <c r="AI1970" s="38"/>
      <c r="AJ1970" s="38"/>
      <c r="AK1970" s="38"/>
      <c r="AL1970" s="38"/>
      <c r="AM1970" s="38"/>
      <c r="AN1970" s="38"/>
      <c r="AO1970" s="38"/>
      <c r="AP1970" s="38"/>
      <c r="AQ1970" s="38"/>
      <c r="AR1970" s="38"/>
      <c r="AS1970" s="38"/>
      <c r="AT1970" s="38"/>
      <c r="AU1970" s="38"/>
      <c r="AV1970" s="38"/>
      <c r="AW1970" s="38"/>
      <c r="AX1970" s="38"/>
      <c r="AY1970" s="38"/>
      <c r="AZ1970" s="38"/>
      <c r="BA1970" s="38"/>
      <c r="BB1970" s="38"/>
      <c r="BC1970" s="38"/>
      <c r="BD1970" s="38"/>
      <c r="BE1970" s="38"/>
      <c r="BF1970" s="38"/>
      <c r="BG1970" s="38"/>
      <c r="BH1970" s="38"/>
      <c r="BI1970" s="38"/>
      <c r="BJ1970" s="38"/>
      <c r="BK1970" s="38"/>
      <c r="BL1970" s="38"/>
      <c r="BM1970" s="38"/>
      <c r="BN1970" s="38"/>
      <c r="BO1970" s="38"/>
      <c r="BP1970" s="38"/>
      <c r="BQ1970" s="38"/>
    </row>
    <row r="1971">
      <c r="A1971" s="58"/>
      <c r="B1971" s="341"/>
      <c r="C1971" s="60"/>
      <c r="D1971" s="60"/>
      <c r="E1971" s="58"/>
      <c r="F1971" s="58"/>
      <c r="G1971" s="58"/>
      <c r="H1971" s="33" t="str">
        <f t="shared" si="33"/>
        <v/>
      </c>
      <c r="I1971" s="58"/>
      <c r="J1971" s="58"/>
      <c r="K1971" s="58"/>
      <c r="L1971" s="58"/>
      <c r="M1971" s="80"/>
      <c r="N1971" s="80"/>
      <c r="O1971" s="58"/>
      <c r="P1971" s="58"/>
      <c r="Q1971" s="58"/>
      <c r="R1971" s="62"/>
      <c r="S1971" s="37" t="str">
        <f>IFERROR(__xludf.DUMMYFUNCTION("if(not(iserror(index(split(C1971, "" ""),2))), index(split(C1971, "" ""),1),"""")"),"")</f>
        <v/>
      </c>
      <c r="T1971" s="315" t="str">
        <f>IFERROR(__xludf.DUMMYFUNCTION("if(S1971="""",C1971,if(not(iserror(index(split(C1971, "" ""),3))), index(split(C1971, "" ""),3),index(split(C1971, "" ""),2)))"),"")</f>
        <v/>
      </c>
      <c r="U1971" s="38" t="b">
        <f t="shared" si="34"/>
        <v>0</v>
      </c>
      <c r="V1971" s="38"/>
      <c r="W1971" s="40"/>
      <c r="X1971" s="40"/>
      <c r="Y1971" s="38"/>
      <c r="Z1971" s="38"/>
      <c r="AA1971" s="38"/>
      <c r="AB1971" s="38"/>
      <c r="AC1971" s="38"/>
      <c r="AD1971" s="38"/>
      <c r="AE1971" s="38"/>
      <c r="AF1971" s="38"/>
      <c r="AG1971" s="38"/>
      <c r="AH1971" s="38"/>
      <c r="AI1971" s="38"/>
      <c r="AJ1971" s="38"/>
      <c r="AK1971" s="38"/>
      <c r="AL1971" s="38"/>
      <c r="AM1971" s="38"/>
      <c r="AN1971" s="38"/>
      <c r="AO1971" s="38"/>
      <c r="AP1971" s="38"/>
      <c r="AQ1971" s="38"/>
      <c r="AR1971" s="38"/>
      <c r="AS1971" s="38"/>
      <c r="AT1971" s="38"/>
      <c r="AU1971" s="38"/>
      <c r="AV1971" s="38"/>
      <c r="AW1971" s="38"/>
      <c r="AX1971" s="38"/>
      <c r="AY1971" s="38"/>
      <c r="AZ1971" s="38"/>
      <c r="BA1971" s="38"/>
      <c r="BB1971" s="38"/>
      <c r="BC1971" s="38"/>
      <c r="BD1971" s="38"/>
      <c r="BE1971" s="38"/>
      <c r="BF1971" s="38"/>
      <c r="BG1971" s="38"/>
      <c r="BH1971" s="38"/>
      <c r="BI1971" s="38"/>
      <c r="BJ1971" s="38"/>
      <c r="BK1971" s="38"/>
      <c r="BL1971" s="38"/>
      <c r="BM1971" s="38"/>
      <c r="BN1971" s="38"/>
      <c r="BO1971" s="38"/>
      <c r="BP1971" s="38"/>
      <c r="BQ1971" s="38"/>
    </row>
    <row r="1972">
      <c r="A1972" s="58"/>
      <c r="B1972" s="341"/>
      <c r="C1972" s="60"/>
      <c r="D1972" s="60"/>
      <c r="E1972" s="58"/>
      <c r="F1972" s="58"/>
      <c r="G1972" s="58"/>
      <c r="H1972" s="33" t="str">
        <f t="shared" si="33"/>
        <v/>
      </c>
      <c r="I1972" s="58"/>
      <c r="J1972" s="58"/>
      <c r="K1972" s="58"/>
      <c r="L1972" s="58"/>
      <c r="M1972" s="80"/>
      <c r="N1972" s="80"/>
      <c r="O1972" s="58"/>
      <c r="P1972" s="58"/>
      <c r="Q1972" s="58"/>
      <c r="R1972" s="62"/>
      <c r="S1972" s="37" t="str">
        <f>IFERROR(__xludf.DUMMYFUNCTION("if(not(iserror(index(split(C1972, "" ""),2))), index(split(C1972, "" ""),1),"""")"),"")</f>
        <v/>
      </c>
      <c r="T1972" s="315" t="str">
        <f>IFERROR(__xludf.DUMMYFUNCTION("if(S1972="""",C1972,if(not(iserror(index(split(C1972, "" ""),3))), index(split(C1972, "" ""),3),index(split(C1972, "" ""),2)))"),"")</f>
        <v/>
      </c>
      <c r="U1972" s="38" t="b">
        <f t="shared" si="34"/>
        <v>0</v>
      </c>
      <c r="V1972" s="38"/>
      <c r="W1972" s="40"/>
      <c r="X1972" s="40"/>
      <c r="Y1972" s="38"/>
      <c r="Z1972" s="38"/>
      <c r="AA1972" s="38"/>
      <c r="AB1972" s="38"/>
      <c r="AC1972" s="38"/>
      <c r="AD1972" s="38"/>
      <c r="AE1972" s="38"/>
      <c r="AF1972" s="38"/>
      <c r="AG1972" s="38"/>
      <c r="AH1972" s="38"/>
      <c r="AI1972" s="38"/>
      <c r="AJ1972" s="38"/>
      <c r="AK1972" s="38"/>
      <c r="AL1972" s="38"/>
      <c r="AM1972" s="38"/>
      <c r="AN1972" s="38"/>
      <c r="AO1972" s="38"/>
      <c r="AP1972" s="38"/>
      <c r="AQ1972" s="38"/>
      <c r="AR1972" s="38"/>
      <c r="AS1972" s="38"/>
      <c r="AT1972" s="38"/>
      <c r="AU1972" s="38"/>
      <c r="AV1972" s="38"/>
      <c r="AW1972" s="38"/>
      <c r="AX1972" s="38"/>
      <c r="AY1972" s="38"/>
      <c r="AZ1972" s="38"/>
      <c r="BA1972" s="38"/>
      <c r="BB1972" s="38"/>
      <c r="BC1972" s="38"/>
      <c r="BD1972" s="38"/>
      <c r="BE1972" s="38"/>
      <c r="BF1972" s="38"/>
      <c r="BG1972" s="38"/>
      <c r="BH1972" s="38"/>
      <c r="BI1972" s="38"/>
      <c r="BJ1972" s="38"/>
      <c r="BK1972" s="38"/>
      <c r="BL1972" s="38"/>
      <c r="BM1972" s="38"/>
      <c r="BN1972" s="38"/>
      <c r="BO1972" s="38"/>
      <c r="BP1972" s="38"/>
      <c r="BQ1972" s="38"/>
    </row>
    <row r="1973">
      <c r="A1973" s="407"/>
      <c r="B1973" s="341"/>
      <c r="C1973" s="60"/>
      <c r="D1973" s="60"/>
      <c r="E1973" s="58"/>
      <c r="F1973" s="58"/>
      <c r="G1973" s="58"/>
      <c r="H1973" s="33" t="str">
        <f t="shared" si="33"/>
        <v/>
      </c>
      <c r="I1973" s="58"/>
      <c r="J1973" s="58"/>
      <c r="K1973" s="58"/>
      <c r="L1973" s="58"/>
      <c r="M1973" s="80"/>
      <c r="N1973" s="80"/>
      <c r="O1973" s="58"/>
      <c r="P1973" s="62"/>
      <c r="Q1973" s="84"/>
      <c r="R1973" s="62"/>
      <c r="S1973" s="37" t="str">
        <f>IFERROR(__xludf.DUMMYFUNCTION("if(not(iserror(index(split(C1973, "" ""),2))), index(split(C1973, "" ""),1),"""")"),"")</f>
        <v/>
      </c>
      <c r="T1973" s="315" t="str">
        <f>IFERROR(__xludf.DUMMYFUNCTION("if(S1973="""",C1973,if(not(iserror(index(split(C1973, "" ""),3))), index(split(C1973, "" ""),3),index(split(C1973, "" ""),2)))"),"")</f>
        <v/>
      </c>
      <c r="U1973" s="38" t="b">
        <f t="shared" si="34"/>
        <v>0</v>
      </c>
      <c r="V1973" s="38"/>
      <c r="W1973" s="40"/>
      <c r="X1973" s="40"/>
      <c r="Y1973" s="38"/>
      <c r="Z1973" s="38"/>
      <c r="AA1973" s="38"/>
      <c r="AB1973" s="38"/>
      <c r="AC1973" s="38"/>
      <c r="AD1973" s="38"/>
      <c r="AE1973" s="38"/>
      <c r="AF1973" s="38"/>
      <c r="AG1973" s="38"/>
      <c r="AH1973" s="38"/>
      <c r="AI1973" s="38"/>
      <c r="AJ1973" s="38"/>
      <c r="AK1973" s="38"/>
      <c r="AL1973" s="38"/>
      <c r="AM1973" s="38"/>
      <c r="AN1973" s="38"/>
      <c r="AO1973" s="38"/>
      <c r="AP1973" s="38"/>
      <c r="AQ1973" s="38"/>
      <c r="AR1973" s="38"/>
      <c r="AS1973" s="38"/>
      <c r="AT1973" s="38"/>
      <c r="AU1973" s="38"/>
      <c r="AV1973" s="38"/>
      <c r="AW1973" s="38"/>
      <c r="AX1973" s="38"/>
      <c r="AY1973" s="38"/>
      <c r="AZ1973" s="38"/>
      <c r="BA1973" s="38"/>
      <c r="BB1973" s="38"/>
      <c r="BC1973" s="38"/>
      <c r="BD1973" s="38"/>
      <c r="BE1973" s="38"/>
      <c r="BF1973" s="38"/>
      <c r="BG1973" s="38"/>
      <c r="BH1973" s="38"/>
      <c r="BI1973" s="38"/>
      <c r="BJ1973" s="38"/>
      <c r="BK1973" s="38"/>
      <c r="BL1973" s="38"/>
      <c r="BM1973" s="38"/>
      <c r="BN1973" s="38"/>
      <c r="BO1973" s="38"/>
      <c r="BP1973" s="38"/>
      <c r="BQ1973" s="38"/>
    </row>
    <row r="1974">
      <c r="A1974" s="407"/>
      <c r="B1974" s="341"/>
      <c r="C1974" s="60"/>
      <c r="D1974" s="60"/>
      <c r="E1974" s="58"/>
      <c r="F1974" s="58"/>
      <c r="G1974" s="58"/>
      <c r="H1974" s="33" t="str">
        <f t="shared" si="33"/>
        <v/>
      </c>
      <c r="I1974" s="58"/>
      <c r="J1974" s="58"/>
      <c r="K1974" s="58"/>
      <c r="L1974" s="58"/>
      <c r="M1974" s="80"/>
      <c r="N1974" s="80"/>
      <c r="O1974" s="58"/>
      <c r="P1974" s="62"/>
      <c r="Q1974" s="84"/>
      <c r="R1974" s="62"/>
      <c r="S1974" s="37" t="str">
        <f>IFERROR(__xludf.DUMMYFUNCTION("if(not(iserror(index(split(C1974, "" ""),2))), index(split(C1974, "" ""),1),"""")"),"")</f>
        <v/>
      </c>
      <c r="T1974" s="315" t="str">
        <f>IFERROR(__xludf.DUMMYFUNCTION("if(S1974="""",C1974,if(not(iserror(index(split(C1974, "" ""),3))), index(split(C1974, "" ""),3),index(split(C1974, "" ""),2)))"),"")</f>
        <v/>
      </c>
      <c r="U1974" s="38" t="b">
        <f t="shared" si="34"/>
        <v>0</v>
      </c>
      <c r="V1974" s="38"/>
      <c r="W1974" s="40"/>
      <c r="X1974" s="40"/>
      <c r="Y1974" s="38"/>
      <c r="Z1974" s="38"/>
      <c r="AA1974" s="38"/>
      <c r="AB1974" s="38"/>
      <c r="AC1974" s="38"/>
      <c r="AD1974" s="38"/>
      <c r="AE1974" s="38"/>
      <c r="AF1974" s="38"/>
      <c r="AG1974" s="38"/>
      <c r="AH1974" s="38"/>
      <c r="AI1974" s="38"/>
      <c r="AJ1974" s="38"/>
      <c r="AK1974" s="38"/>
      <c r="AL1974" s="38"/>
      <c r="AM1974" s="38"/>
      <c r="AN1974" s="38"/>
      <c r="AO1974" s="38"/>
      <c r="AP1974" s="38"/>
      <c r="AQ1974" s="38"/>
      <c r="AR1974" s="38"/>
      <c r="AS1974" s="38"/>
      <c r="AT1974" s="38"/>
      <c r="AU1974" s="38"/>
      <c r="AV1974" s="38"/>
      <c r="AW1974" s="38"/>
      <c r="AX1974" s="38"/>
      <c r="AY1974" s="38"/>
      <c r="AZ1974" s="38"/>
      <c r="BA1974" s="38"/>
      <c r="BB1974" s="38"/>
      <c r="BC1974" s="38"/>
      <c r="BD1974" s="38"/>
      <c r="BE1974" s="38"/>
      <c r="BF1974" s="38"/>
      <c r="BG1974" s="38"/>
      <c r="BH1974" s="38"/>
      <c r="BI1974" s="38"/>
      <c r="BJ1974" s="38"/>
      <c r="BK1974" s="38"/>
      <c r="BL1974" s="38"/>
      <c r="BM1974" s="38"/>
      <c r="BN1974" s="38"/>
      <c r="BO1974" s="38"/>
      <c r="BP1974" s="38"/>
      <c r="BQ1974" s="38"/>
    </row>
    <row r="1975">
      <c r="A1975" s="407"/>
      <c r="B1975" s="341"/>
      <c r="C1975" s="60"/>
      <c r="D1975" s="60"/>
      <c r="E1975" s="58"/>
      <c r="F1975" s="58"/>
      <c r="G1975" s="58"/>
      <c r="H1975" s="33" t="str">
        <f t="shared" si="33"/>
        <v/>
      </c>
      <c r="I1975" s="58"/>
      <c r="J1975" s="58"/>
      <c r="K1975" s="58"/>
      <c r="L1975" s="58"/>
      <c r="M1975" s="80"/>
      <c r="N1975" s="77"/>
      <c r="O1975" s="58"/>
      <c r="P1975" s="58"/>
      <c r="Q1975" s="84"/>
      <c r="R1975" s="62"/>
      <c r="S1975" s="37" t="str">
        <f>IFERROR(__xludf.DUMMYFUNCTION("if(not(iserror(index(split(C1975, "" ""),2))), index(split(C1975, "" ""),1),"""")"),"")</f>
        <v/>
      </c>
      <c r="T1975" s="315" t="str">
        <f>IFERROR(__xludf.DUMMYFUNCTION("if(S1975="""",C1975,if(not(iserror(index(split(C1975, "" ""),3))), index(split(C1975, "" ""),3),index(split(C1975, "" ""),2)))"),"")</f>
        <v/>
      </c>
      <c r="U1975" s="38" t="b">
        <f t="shared" si="34"/>
        <v>0</v>
      </c>
      <c r="V1975" s="38"/>
      <c r="W1975" s="40"/>
      <c r="X1975" s="40"/>
      <c r="Y1975" s="38"/>
      <c r="Z1975" s="38"/>
      <c r="AA1975" s="38"/>
      <c r="AB1975" s="38"/>
      <c r="AC1975" s="38"/>
      <c r="AD1975" s="38"/>
      <c r="AE1975" s="38"/>
      <c r="AF1975" s="38"/>
      <c r="AG1975" s="38"/>
      <c r="AH1975" s="38"/>
      <c r="AI1975" s="38"/>
      <c r="AJ1975" s="38"/>
      <c r="AK1975" s="38"/>
      <c r="AL1975" s="38"/>
      <c r="AM1975" s="38"/>
      <c r="AN1975" s="38"/>
      <c r="AO1975" s="38"/>
      <c r="AP1975" s="38"/>
      <c r="AQ1975" s="38"/>
      <c r="AR1975" s="38"/>
      <c r="AS1975" s="38"/>
      <c r="AT1975" s="38"/>
      <c r="AU1975" s="38"/>
      <c r="AV1975" s="38"/>
      <c r="AW1975" s="38"/>
      <c r="AX1975" s="38"/>
      <c r="AY1975" s="38"/>
      <c r="AZ1975" s="38"/>
      <c r="BA1975" s="38"/>
      <c r="BB1975" s="38"/>
      <c r="BC1975" s="38"/>
      <c r="BD1975" s="38"/>
      <c r="BE1975" s="38"/>
      <c r="BF1975" s="38"/>
      <c r="BG1975" s="38"/>
      <c r="BH1975" s="38"/>
      <c r="BI1975" s="38"/>
      <c r="BJ1975" s="38"/>
      <c r="BK1975" s="38"/>
      <c r="BL1975" s="38"/>
      <c r="BM1975" s="38"/>
      <c r="BN1975" s="38"/>
      <c r="BO1975" s="38"/>
      <c r="BP1975" s="38"/>
      <c r="BQ1975" s="38"/>
    </row>
    <row r="1976">
      <c r="A1976" s="407"/>
      <c r="B1976" s="341"/>
      <c r="C1976" s="60"/>
      <c r="D1976" s="60"/>
      <c r="E1976" s="58"/>
      <c r="F1976" s="58"/>
      <c r="G1976" s="58"/>
      <c r="H1976" s="33" t="str">
        <f t="shared" si="33"/>
        <v/>
      </c>
      <c r="I1976" s="58"/>
      <c r="J1976" s="58"/>
      <c r="K1976" s="58"/>
      <c r="L1976" s="58"/>
      <c r="M1976" s="80"/>
      <c r="N1976" s="80"/>
      <c r="O1976" s="58"/>
      <c r="P1976" s="58"/>
      <c r="Q1976" s="84"/>
      <c r="R1976" s="62"/>
      <c r="S1976" s="37" t="str">
        <f>IFERROR(__xludf.DUMMYFUNCTION("if(not(iserror(index(split(C1976, "" ""),2))), index(split(C1976, "" ""),1),"""")"),"")</f>
        <v/>
      </c>
      <c r="T1976" s="315" t="str">
        <f>IFERROR(__xludf.DUMMYFUNCTION("if(S1976="""",C1976,if(not(iserror(index(split(C1976, "" ""),3))), index(split(C1976, "" ""),3),index(split(C1976, "" ""),2)))"),"")</f>
        <v/>
      </c>
      <c r="U1976" s="38" t="b">
        <f t="shared" si="34"/>
        <v>0</v>
      </c>
      <c r="V1976" s="38"/>
      <c r="W1976" s="40"/>
      <c r="X1976" s="40"/>
      <c r="Y1976" s="38"/>
      <c r="Z1976" s="38"/>
      <c r="AA1976" s="38"/>
      <c r="AB1976" s="38"/>
      <c r="AC1976" s="38"/>
      <c r="AD1976" s="38"/>
      <c r="AE1976" s="38"/>
      <c r="AF1976" s="38"/>
      <c r="AG1976" s="38"/>
      <c r="AH1976" s="38"/>
      <c r="AI1976" s="38"/>
      <c r="AJ1976" s="38"/>
      <c r="AK1976" s="38"/>
      <c r="AL1976" s="38"/>
      <c r="AM1976" s="38"/>
      <c r="AN1976" s="38"/>
      <c r="AO1976" s="38"/>
      <c r="AP1976" s="38"/>
      <c r="AQ1976" s="38"/>
      <c r="AR1976" s="38"/>
      <c r="AS1976" s="38"/>
      <c r="AT1976" s="38"/>
      <c r="AU1976" s="38"/>
      <c r="AV1976" s="38"/>
      <c r="AW1976" s="38"/>
      <c r="AX1976" s="38"/>
      <c r="AY1976" s="38"/>
      <c r="AZ1976" s="38"/>
      <c r="BA1976" s="38"/>
      <c r="BB1976" s="38"/>
      <c r="BC1976" s="38"/>
      <c r="BD1976" s="38"/>
      <c r="BE1976" s="38"/>
      <c r="BF1976" s="38"/>
      <c r="BG1976" s="38"/>
      <c r="BH1976" s="38"/>
      <c r="BI1976" s="38"/>
      <c r="BJ1976" s="38"/>
      <c r="BK1976" s="38"/>
      <c r="BL1976" s="38"/>
      <c r="BM1976" s="38"/>
      <c r="BN1976" s="38"/>
      <c r="BO1976" s="38"/>
      <c r="BP1976" s="38"/>
      <c r="BQ1976" s="38"/>
    </row>
    <row r="1977">
      <c r="A1977" s="407"/>
      <c r="B1977" s="341"/>
      <c r="C1977" s="60"/>
      <c r="D1977" s="60"/>
      <c r="E1977" s="58"/>
      <c r="F1977" s="58"/>
      <c r="G1977" s="58"/>
      <c r="H1977" s="33" t="str">
        <f t="shared" si="33"/>
        <v/>
      </c>
      <c r="I1977" s="58"/>
      <c r="J1977" s="58"/>
      <c r="K1977" s="58"/>
      <c r="L1977" s="58"/>
      <c r="M1977" s="80"/>
      <c r="N1977" s="80"/>
      <c r="O1977" s="58"/>
      <c r="P1977" s="58"/>
      <c r="Q1977" s="84"/>
      <c r="R1977" s="62"/>
      <c r="S1977" s="37" t="str">
        <f>IFERROR(__xludf.DUMMYFUNCTION("if(not(iserror(index(split(C1977, "" ""),2))), index(split(C1977, "" ""),1),"""")"),"")</f>
        <v/>
      </c>
      <c r="T1977" s="315" t="str">
        <f>IFERROR(__xludf.DUMMYFUNCTION("if(S1977="""",C1977,if(not(iserror(index(split(C1977, "" ""),3))), index(split(C1977, "" ""),3),index(split(C1977, "" ""),2)))"),"")</f>
        <v/>
      </c>
      <c r="U1977" s="38" t="b">
        <f t="shared" si="34"/>
        <v>0</v>
      </c>
      <c r="V1977" s="38"/>
      <c r="W1977" s="40"/>
      <c r="X1977" s="40"/>
      <c r="Y1977" s="38"/>
      <c r="Z1977" s="38"/>
      <c r="AA1977" s="38"/>
      <c r="AB1977" s="38"/>
      <c r="AC1977" s="38"/>
      <c r="AD1977" s="38"/>
      <c r="AE1977" s="38"/>
      <c r="AF1977" s="38"/>
      <c r="AG1977" s="38"/>
      <c r="AH1977" s="38"/>
      <c r="AI1977" s="38"/>
      <c r="AJ1977" s="38"/>
      <c r="AK1977" s="38"/>
      <c r="AL1977" s="38"/>
      <c r="AM1977" s="38"/>
      <c r="AN1977" s="38"/>
      <c r="AO1977" s="38"/>
      <c r="AP1977" s="38"/>
      <c r="AQ1977" s="38"/>
      <c r="AR1977" s="38"/>
      <c r="AS1977" s="38"/>
      <c r="AT1977" s="38"/>
      <c r="AU1977" s="38"/>
      <c r="AV1977" s="38"/>
      <c r="AW1977" s="38"/>
      <c r="AX1977" s="38"/>
      <c r="AY1977" s="38"/>
      <c r="AZ1977" s="38"/>
      <c r="BA1977" s="38"/>
      <c r="BB1977" s="38"/>
      <c r="BC1977" s="38"/>
      <c r="BD1977" s="38"/>
      <c r="BE1977" s="38"/>
      <c r="BF1977" s="38"/>
      <c r="BG1977" s="38"/>
      <c r="BH1977" s="38"/>
      <c r="BI1977" s="38"/>
      <c r="BJ1977" s="38"/>
      <c r="BK1977" s="38"/>
      <c r="BL1977" s="38"/>
      <c r="BM1977" s="38"/>
      <c r="BN1977" s="38"/>
      <c r="BO1977" s="38"/>
      <c r="BP1977" s="38"/>
      <c r="BQ1977" s="38"/>
    </row>
    <row r="1978">
      <c r="A1978" s="407"/>
      <c r="B1978" s="341"/>
      <c r="C1978" s="60"/>
      <c r="D1978" s="60"/>
      <c r="E1978" s="58"/>
      <c r="F1978" s="58"/>
      <c r="G1978" s="58"/>
      <c r="H1978" s="33" t="str">
        <f t="shared" si="33"/>
        <v/>
      </c>
      <c r="I1978" s="58"/>
      <c r="J1978" s="58"/>
      <c r="K1978" s="58"/>
      <c r="L1978" s="58"/>
      <c r="M1978" s="80"/>
      <c r="N1978" s="80"/>
      <c r="O1978" s="58"/>
      <c r="P1978" s="58"/>
      <c r="Q1978" s="84"/>
      <c r="R1978" s="62"/>
      <c r="S1978" s="37" t="str">
        <f>IFERROR(__xludf.DUMMYFUNCTION("if(not(iserror(index(split(C1978, "" ""),2))), index(split(C1978, "" ""),1),"""")"),"")</f>
        <v/>
      </c>
      <c r="T1978" s="315" t="str">
        <f>IFERROR(__xludf.DUMMYFUNCTION("if(S1978="""",C1978,if(not(iserror(index(split(C1978, "" ""),3))), index(split(C1978, "" ""),3),index(split(C1978, "" ""),2)))"),"")</f>
        <v/>
      </c>
      <c r="U1978" s="38" t="b">
        <f t="shared" si="34"/>
        <v>0</v>
      </c>
      <c r="V1978" s="38"/>
      <c r="W1978" s="40"/>
      <c r="X1978" s="40"/>
      <c r="Y1978" s="38"/>
      <c r="Z1978" s="38"/>
      <c r="AA1978" s="38"/>
      <c r="AB1978" s="38"/>
      <c r="AC1978" s="38"/>
      <c r="AD1978" s="38"/>
      <c r="AE1978" s="38"/>
      <c r="AF1978" s="38"/>
      <c r="AG1978" s="38"/>
      <c r="AH1978" s="38"/>
      <c r="AI1978" s="38"/>
      <c r="AJ1978" s="38"/>
      <c r="AK1978" s="38"/>
      <c r="AL1978" s="38"/>
      <c r="AM1978" s="38"/>
      <c r="AN1978" s="38"/>
      <c r="AO1978" s="38"/>
      <c r="AP1978" s="38"/>
      <c r="AQ1978" s="38"/>
      <c r="AR1978" s="38"/>
      <c r="AS1978" s="38"/>
      <c r="AT1978" s="38"/>
      <c r="AU1978" s="38"/>
      <c r="AV1978" s="38"/>
      <c r="AW1978" s="38"/>
      <c r="AX1978" s="38"/>
      <c r="AY1978" s="38"/>
      <c r="AZ1978" s="38"/>
      <c r="BA1978" s="38"/>
      <c r="BB1978" s="38"/>
      <c r="BC1978" s="38"/>
      <c r="BD1978" s="38"/>
      <c r="BE1978" s="38"/>
      <c r="BF1978" s="38"/>
      <c r="BG1978" s="38"/>
      <c r="BH1978" s="38"/>
      <c r="BI1978" s="38"/>
      <c r="BJ1978" s="38"/>
      <c r="BK1978" s="38"/>
      <c r="BL1978" s="38"/>
      <c r="BM1978" s="38"/>
      <c r="BN1978" s="38"/>
      <c r="BO1978" s="38"/>
      <c r="BP1978" s="38"/>
      <c r="BQ1978" s="38"/>
    </row>
    <row r="1979">
      <c r="A1979" s="407"/>
      <c r="B1979" s="341"/>
      <c r="C1979" s="60"/>
      <c r="D1979" s="60"/>
      <c r="E1979" s="58"/>
      <c r="F1979" s="58"/>
      <c r="G1979" s="58"/>
      <c r="H1979" s="33" t="str">
        <f t="shared" si="33"/>
        <v/>
      </c>
      <c r="I1979" s="58"/>
      <c r="J1979" s="58"/>
      <c r="K1979" s="58"/>
      <c r="L1979" s="58"/>
      <c r="M1979" s="80"/>
      <c r="N1979" s="80"/>
      <c r="O1979" s="58"/>
      <c r="P1979" s="62"/>
      <c r="Q1979" s="84"/>
      <c r="R1979" s="62"/>
      <c r="S1979" s="37" t="str">
        <f>IFERROR(__xludf.DUMMYFUNCTION("if(not(iserror(index(split(C1979, "" ""),2))), index(split(C1979, "" ""),1),"""")"),"")</f>
        <v/>
      </c>
      <c r="T1979" s="315" t="str">
        <f>IFERROR(__xludf.DUMMYFUNCTION("if(S1979="""",C1979,if(not(iserror(index(split(C1979, "" ""),3))), index(split(C1979, "" ""),3),index(split(C1979, "" ""),2)))"),"")</f>
        <v/>
      </c>
      <c r="U1979" s="38" t="b">
        <f t="shared" si="34"/>
        <v>0</v>
      </c>
      <c r="V1979" s="38"/>
      <c r="W1979" s="40"/>
      <c r="X1979" s="40"/>
      <c r="Y1979" s="38"/>
      <c r="Z1979" s="38"/>
      <c r="AA1979" s="38"/>
      <c r="AB1979" s="38"/>
      <c r="AC1979" s="38"/>
      <c r="AD1979" s="38"/>
      <c r="AE1979" s="38"/>
      <c r="AF1979" s="38"/>
      <c r="AG1979" s="38"/>
      <c r="AH1979" s="38"/>
      <c r="AI1979" s="38"/>
      <c r="AJ1979" s="38"/>
      <c r="AK1979" s="38"/>
      <c r="AL1979" s="38"/>
      <c r="AM1979" s="38"/>
      <c r="AN1979" s="38"/>
      <c r="AO1979" s="38"/>
      <c r="AP1979" s="38"/>
      <c r="AQ1979" s="38"/>
      <c r="AR1979" s="38"/>
      <c r="AS1979" s="38"/>
      <c r="AT1979" s="38"/>
      <c r="AU1979" s="38"/>
      <c r="AV1979" s="38"/>
      <c r="AW1979" s="38"/>
      <c r="AX1979" s="38"/>
      <c r="AY1979" s="38"/>
      <c r="AZ1979" s="38"/>
      <c r="BA1979" s="38"/>
      <c r="BB1979" s="38"/>
      <c r="BC1979" s="38"/>
      <c r="BD1979" s="38"/>
      <c r="BE1979" s="38"/>
      <c r="BF1979" s="38"/>
      <c r="BG1979" s="38"/>
      <c r="BH1979" s="38"/>
      <c r="BI1979" s="38"/>
      <c r="BJ1979" s="38"/>
      <c r="BK1979" s="38"/>
      <c r="BL1979" s="38"/>
      <c r="BM1979" s="38"/>
      <c r="BN1979" s="38"/>
      <c r="BO1979" s="38"/>
      <c r="BP1979" s="38"/>
      <c r="BQ1979" s="38"/>
    </row>
    <row r="1980">
      <c r="A1980" s="407"/>
      <c r="B1980" s="341"/>
      <c r="C1980" s="60"/>
      <c r="D1980" s="60"/>
      <c r="E1980" s="58"/>
      <c r="F1980" s="58"/>
      <c r="G1980" s="58"/>
      <c r="H1980" s="33" t="str">
        <f t="shared" si="33"/>
        <v/>
      </c>
      <c r="I1980" s="58"/>
      <c r="J1980" s="58"/>
      <c r="K1980" s="58"/>
      <c r="L1980" s="58"/>
      <c r="M1980" s="80"/>
      <c r="N1980" s="77"/>
      <c r="O1980" s="58"/>
      <c r="P1980" s="62"/>
      <c r="Q1980" s="84"/>
      <c r="R1980" s="62"/>
      <c r="S1980" s="37" t="str">
        <f>IFERROR(__xludf.DUMMYFUNCTION("if(not(iserror(index(split(C1980, "" ""),2))), index(split(C1980, "" ""),1),"""")"),"")</f>
        <v/>
      </c>
      <c r="T1980" s="315" t="str">
        <f>IFERROR(__xludf.DUMMYFUNCTION("if(S1980="""",C1980,if(not(iserror(index(split(C1980, "" ""),3))), index(split(C1980, "" ""),3),index(split(C1980, "" ""),2)))"),"")</f>
        <v/>
      </c>
      <c r="U1980" s="38" t="b">
        <f t="shared" si="34"/>
        <v>0</v>
      </c>
      <c r="V1980" s="38"/>
      <c r="W1980" s="40"/>
      <c r="X1980" s="40"/>
      <c r="Y1980" s="38"/>
      <c r="Z1980" s="38"/>
      <c r="AA1980" s="38"/>
      <c r="AB1980" s="38"/>
      <c r="AC1980" s="38"/>
      <c r="AD1980" s="38"/>
      <c r="AE1980" s="38"/>
      <c r="AF1980" s="38"/>
      <c r="AG1980" s="38"/>
      <c r="AH1980" s="38"/>
      <c r="AI1980" s="38"/>
      <c r="AJ1980" s="38"/>
      <c r="AK1980" s="38"/>
      <c r="AL1980" s="38"/>
      <c r="AM1980" s="38"/>
      <c r="AN1980" s="38"/>
      <c r="AO1980" s="38"/>
      <c r="AP1980" s="38"/>
      <c r="AQ1980" s="38"/>
      <c r="AR1980" s="38"/>
      <c r="AS1980" s="38"/>
      <c r="AT1980" s="38"/>
      <c r="AU1980" s="38"/>
      <c r="AV1980" s="38"/>
      <c r="AW1980" s="38"/>
      <c r="AX1980" s="38"/>
      <c r="AY1980" s="38"/>
      <c r="AZ1980" s="38"/>
      <c r="BA1980" s="38"/>
      <c r="BB1980" s="38"/>
      <c r="BC1980" s="38"/>
      <c r="BD1980" s="38"/>
      <c r="BE1980" s="38"/>
      <c r="BF1980" s="38"/>
      <c r="BG1980" s="38"/>
      <c r="BH1980" s="38"/>
      <c r="BI1980" s="38"/>
      <c r="BJ1980" s="38"/>
      <c r="BK1980" s="38"/>
      <c r="BL1980" s="38"/>
      <c r="BM1980" s="38"/>
      <c r="BN1980" s="38"/>
      <c r="BO1980" s="38"/>
      <c r="BP1980" s="38"/>
      <c r="BQ1980" s="38"/>
    </row>
    <row r="1981">
      <c r="A1981" s="407"/>
      <c r="B1981" s="341"/>
      <c r="C1981" s="60"/>
      <c r="D1981" s="60"/>
      <c r="E1981" s="58"/>
      <c r="F1981" s="58"/>
      <c r="G1981" s="58"/>
      <c r="H1981" s="33" t="str">
        <f t="shared" si="33"/>
        <v/>
      </c>
      <c r="I1981" s="58"/>
      <c r="J1981" s="58"/>
      <c r="K1981" s="58"/>
      <c r="L1981" s="58"/>
      <c r="M1981" s="80"/>
      <c r="N1981" s="77"/>
      <c r="O1981" s="62"/>
      <c r="P1981" s="62"/>
      <c r="Q1981" s="62"/>
      <c r="R1981" s="62"/>
      <c r="S1981" s="37" t="str">
        <f>IFERROR(__xludf.DUMMYFUNCTION("if(not(iserror(index(split(C1981, "" ""),2))), index(split(C1981, "" ""),1),"""")"),"")</f>
        <v/>
      </c>
      <c r="T1981" s="315" t="str">
        <f>IFERROR(__xludf.DUMMYFUNCTION("if(S1981="""",C1981,if(not(iserror(index(split(C1981, "" ""),3))), index(split(C1981, "" ""),3),index(split(C1981, "" ""),2)))"),"")</f>
        <v/>
      </c>
      <c r="U1981" s="38" t="b">
        <f t="shared" si="34"/>
        <v>0</v>
      </c>
      <c r="V1981" s="38"/>
      <c r="W1981" s="40"/>
      <c r="X1981" s="40"/>
      <c r="Y1981" s="38"/>
      <c r="Z1981" s="38"/>
      <c r="AA1981" s="38"/>
      <c r="AB1981" s="38"/>
      <c r="AC1981" s="38"/>
      <c r="AD1981" s="38"/>
      <c r="AE1981" s="38"/>
      <c r="AF1981" s="38"/>
      <c r="AG1981" s="38"/>
      <c r="AH1981" s="38"/>
      <c r="AI1981" s="38"/>
      <c r="AJ1981" s="38"/>
      <c r="AK1981" s="38"/>
      <c r="AL1981" s="38"/>
      <c r="AM1981" s="38"/>
      <c r="AN1981" s="38"/>
      <c r="AO1981" s="38"/>
      <c r="AP1981" s="38"/>
      <c r="AQ1981" s="38"/>
      <c r="AR1981" s="38"/>
      <c r="AS1981" s="38"/>
      <c r="AT1981" s="38"/>
      <c r="AU1981" s="38"/>
      <c r="AV1981" s="38"/>
      <c r="AW1981" s="38"/>
      <c r="AX1981" s="38"/>
      <c r="AY1981" s="38"/>
      <c r="AZ1981" s="38"/>
      <c r="BA1981" s="38"/>
      <c r="BB1981" s="38"/>
      <c r="BC1981" s="38"/>
      <c r="BD1981" s="38"/>
      <c r="BE1981" s="38"/>
      <c r="BF1981" s="38"/>
      <c r="BG1981" s="38"/>
      <c r="BH1981" s="38"/>
      <c r="BI1981" s="38"/>
      <c r="BJ1981" s="38"/>
      <c r="BK1981" s="38"/>
      <c r="BL1981" s="38"/>
      <c r="BM1981" s="38"/>
      <c r="BN1981" s="38"/>
      <c r="BO1981" s="38"/>
      <c r="BP1981" s="38"/>
      <c r="BQ1981" s="38"/>
    </row>
    <row r="1982">
      <c r="A1982" s="58"/>
      <c r="B1982" s="341"/>
      <c r="C1982" s="60"/>
      <c r="D1982" s="60"/>
      <c r="E1982" s="58"/>
      <c r="F1982" s="58"/>
      <c r="G1982" s="58"/>
      <c r="H1982" s="33" t="str">
        <f t="shared" si="33"/>
        <v/>
      </c>
      <c r="I1982" s="58"/>
      <c r="J1982" s="58"/>
      <c r="K1982" s="58"/>
      <c r="L1982" s="58"/>
      <c r="M1982" s="80"/>
      <c r="N1982" s="80"/>
      <c r="Q1982" s="84"/>
      <c r="R1982" s="62"/>
      <c r="S1982" s="37" t="str">
        <f>IFERROR(__xludf.DUMMYFUNCTION("if(not(iserror(index(split(C1982, "" ""),2))), index(split(C1982, "" ""),1),"""")"),"")</f>
        <v/>
      </c>
      <c r="T1982" s="315" t="str">
        <f>IFERROR(__xludf.DUMMYFUNCTION("if(S1982="""",C1982,if(not(iserror(index(split(C1982, "" ""),3))), index(split(C1982, "" ""),3),index(split(C1982, "" ""),2)))"),"")</f>
        <v/>
      </c>
      <c r="U1982" s="38" t="b">
        <f t="shared" si="34"/>
        <v>0</v>
      </c>
      <c r="V1982" s="38"/>
      <c r="W1982" s="40"/>
      <c r="X1982" s="40"/>
      <c r="Y1982" s="38"/>
      <c r="Z1982" s="38"/>
      <c r="AA1982" s="38"/>
      <c r="AB1982" s="38"/>
      <c r="AC1982" s="38"/>
      <c r="AD1982" s="38"/>
      <c r="AE1982" s="38"/>
      <c r="AF1982" s="38"/>
      <c r="AG1982" s="38"/>
      <c r="AH1982" s="38"/>
      <c r="AI1982" s="38"/>
      <c r="AJ1982" s="38"/>
      <c r="AK1982" s="38"/>
      <c r="AL1982" s="38"/>
      <c r="AM1982" s="38"/>
      <c r="AN1982" s="38"/>
      <c r="AO1982" s="38"/>
      <c r="AP1982" s="38"/>
      <c r="AQ1982" s="38"/>
      <c r="AR1982" s="38"/>
      <c r="AS1982" s="38"/>
      <c r="AT1982" s="38"/>
      <c r="AU1982" s="38"/>
      <c r="AV1982" s="38"/>
      <c r="AW1982" s="38"/>
      <c r="AX1982" s="38"/>
      <c r="AY1982" s="38"/>
      <c r="AZ1982" s="38"/>
      <c r="BA1982" s="38"/>
      <c r="BB1982" s="38"/>
      <c r="BC1982" s="38"/>
      <c r="BD1982" s="38"/>
      <c r="BE1982" s="38"/>
      <c r="BF1982" s="38"/>
      <c r="BG1982" s="38"/>
      <c r="BH1982" s="38"/>
      <c r="BI1982" s="38"/>
      <c r="BJ1982" s="38"/>
      <c r="BK1982" s="38"/>
      <c r="BL1982" s="38"/>
      <c r="BM1982" s="38"/>
      <c r="BN1982" s="38"/>
      <c r="BO1982" s="38"/>
      <c r="BP1982" s="38"/>
      <c r="BQ1982" s="38"/>
    </row>
    <row r="1983">
      <c r="A1983" s="58"/>
      <c r="B1983" s="341"/>
      <c r="C1983" s="60"/>
      <c r="D1983" s="60"/>
      <c r="E1983" s="58"/>
      <c r="F1983" s="58"/>
      <c r="G1983" s="58"/>
      <c r="H1983" s="33" t="str">
        <f t="shared" si="33"/>
        <v/>
      </c>
      <c r="I1983" s="58"/>
      <c r="J1983" s="58"/>
      <c r="K1983" s="58"/>
      <c r="L1983" s="58"/>
      <c r="M1983" s="80"/>
      <c r="N1983" s="80"/>
      <c r="Q1983" s="84"/>
      <c r="R1983" s="62"/>
      <c r="S1983" s="37" t="str">
        <f>IFERROR(__xludf.DUMMYFUNCTION("if(not(iserror(index(split(C1983, "" ""),2))), index(split(C1983, "" ""),1),"""")"),"")</f>
        <v/>
      </c>
      <c r="T1983" s="315" t="str">
        <f>IFERROR(__xludf.DUMMYFUNCTION("if(S1983="""",C1983,if(not(iserror(index(split(C1983, "" ""),3))), index(split(C1983, "" ""),3),index(split(C1983, "" ""),2)))"),"")</f>
        <v/>
      </c>
      <c r="U1983" s="38" t="b">
        <f t="shared" si="34"/>
        <v>0</v>
      </c>
      <c r="V1983" s="38"/>
      <c r="W1983" s="40"/>
      <c r="X1983" s="40"/>
      <c r="Y1983" s="38"/>
      <c r="Z1983" s="38"/>
      <c r="AA1983" s="38"/>
      <c r="AB1983" s="38"/>
      <c r="AC1983" s="38"/>
      <c r="AD1983" s="38"/>
      <c r="AE1983" s="38"/>
      <c r="AF1983" s="38"/>
      <c r="AG1983" s="38"/>
      <c r="AH1983" s="38"/>
      <c r="AI1983" s="38"/>
      <c r="AJ1983" s="38"/>
      <c r="AK1983" s="38"/>
      <c r="AL1983" s="38"/>
      <c r="AM1983" s="38"/>
      <c r="AN1983" s="38"/>
      <c r="AO1983" s="38"/>
      <c r="AP1983" s="38"/>
      <c r="AQ1983" s="38"/>
      <c r="AR1983" s="38"/>
      <c r="AS1983" s="38"/>
      <c r="AT1983" s="38"/>
      <c r="AU1983" s="38"/>
      <c r="AV1983" s="38"/>
      <c r="AW1983" s="38"/>
      <c r="AX1983" s="38"/>
      <c r="AY1983" s="38"/>
      <c r="AZ1983" s="38"/>
      <c r="BA1983" s="38"/>
      <c r="BB1983" s="38"/>
      <c r="BC1983" s="38"/>
      <c r="BD1983" s="38"/>
      <c r="BE1983" s="38"/>
      <c r="BF1983" s="38"/>
      <c r="BG1983" s="38"/>
      <c r="BH1983" s="38"/>
      <c r="BI1983" s="38"/>
      <c r="BJ1983" s="38"/>
      <c r="BK1983" s="38"/>
      <c r="BL1983" s="38"/>
      <c r="BM1983" s="38"/>
      <c r="BN1983" s="38"/>
      <c r="BO1983" s="38"/>
      <c r="BP1983" s="38"/>
      <c r="BQ1983" s="38"/>
    </row>
    <row r="1984">
      <c r="A1984" s="58"/>
      <c r="B1984" s="341"/>
      <c r="C1984" s="60"/>
      <c r="D1984" s="60"/>
      <c r="E1984" s="58"/>
      <c r="F1984" s="58"/>
      <c r="G1984" s="58"/>
      <c r="H1984" s="33" t="str">
        <f t="shared" si="33"/>
        <v/>
      </c>
      <c r="I1984" s="58"/>
      <c r="J1984" s="58"/>
      <c r="K1984" s="58"/>
      <c r="L1984" s="58"/>
      <c r="M1984" s="80"/>
      <c r="N1984" s="77"/>
      <c r="O1984" s="58"/>
      <c r="P1984" s="58"/>
      <c r="Q1984" s="84"/>
      <c r="R1984" s="62"/>
      <c r="S1984" s="37" t="str">
        <f>IFERROR(__xludf.DUMMYFUNCTION("if(not(iserror(index(split(C1984, "" ""),2))), index(split(C1984, "" ""),1),"""")"),"")</f>
        <v/>
      </c>
      <c r="T1984" s="315" t="str">
        <f>IFERROR(__xludf.DUMMYFUNCTION("if(S1984="""",C1984,if(not(iserror(index(split(C1984, "" ""),3))), index(split(C1984, "" ""),3),index(split(C1984, "" ""),2)))"),"")</f>
        <v/>
      </c>
      <c r="U1984" s="38" t="b">
        <f t="shared" si="34"/>
        <v>0</v>
      </c>
      <c r="V1984" s="38"/>
      <c r="W1984" s="40"/>
      <c r="X1984" s="40"/>
      <c r="Y1984" s="38"/>
      <c r="Z1984" s="38"/>
      <c r="AA1984" s="38"/>
      <c r="AB1984" s="38"/>
      <c r="AC1984" s="38"/>
      <c r="AD1984" s="38"/>
      <c r="AE1984" s="38"/>
      <c r="AF1984" s="38"/>
      <c r="AG1984" s="38"/>
      <c r="AH1984" s="38"/>
      <c r="AI1984" s="38"/>
      <c r="AJ1984" s="38"/>
      <c r="AK1984" s="38"/>
      <c r="AL1984" s="38"/>
      <c r="AM1984" s="38"/>
      <c r="AN1984" s="38"/>
      <c r="AO1984" s="38"/>
      <c r="AP1984" s="38"/>
      <c r="AQ1984" s="38"/>
      <c r="AR1984" s="38"/>
      <c r="AS1984" s="38"/>
      <c r="AT1984" s="38"/>
      <c r="AU1984" s="38"/>
      <c r="AV1984" s="38"/>
      <c r="AW1984" s="38"/>
      <c r="AX1984" s="38"/>
      <c r="AY1984" s="38"/>
      <c r="AZ1984" s="38"/>
      <c r="BA1984" s="38"/>
      <c r="BB1984" s="38"/>
      <c r="BC1984" s="38"/>
      <c r="BD1984" s="38"/>
      <c r="BE1984" s="38"/>
      <c r="BF1984" s="38"/>
      <c r="BG1984" s="38"/>
      <c r="BH1984" s="38"/>
      <c r="BI1984" s="38"/>
      <c r="BJ1984" s="38"/>
      <c r="BK1984" s="38"/>
      <c r="BL1984" s="38"/>
      <c r="BM1984" s="38"/>
      <c r="BN1984" s="38"/>
      <c r="BO1984" s="38"/>
      <c r="BP1984" s="38"/>
      <c r="BQ1984" s="38"/>
    </row>
    <row r="1985">
      <c r="A1985" s="58"/>
      <c r="B1985" s="341"/>
      <c r="C1985" s="60"/>
      <c r="D1985" s="60"/>
      <c r="E1985" s="58"/>
      <c r="F1985" s="58"/>
      <c r="G1985" s="58"/>
      <c r="H1985" s="33" t="str">
        <f t="shared" si="33"/>
        <v/>
      </c>
      <c r="I1985" s="58"/>
      <c r="J1985" s="58"/>
      <c r="K1985" s="58"/>
      <c r="L1985" s="58"/>
      <c r="M1985" s="80"/>
      <c r="N1985" s="80"/>
      <c r="O1985" s="58"/>
      <c r="P1985" s="58"/>
      <c r="Q1985" s="84"/>
      <c r="R1985" s="62"/>
      <c r="S1985" s="37" t="str">
        <f>IFERROR(__xludf.DUMMYFUNCTION("if(not(iserror(index(split(C1985, "" ""),2))), index(split(C1985, "" ""),1),"""")"),"")</f>
        <v/>
      </c>
      <c r="T1985" s="315" t="str">
        <f>IFERROR(__xludf.DUMMYFUNCTION("if(S1985="""",C1985,if(not(iserror(index(split(C1985, "" ""),3))), index(split(C1985, "" ""),3),index(split(C1985, "" ""),2)))"),"")</f>
        <v/>
      </c>
      <c r="U1985" s="38" t="b">
        <f t="shared" si="34"/>
        <v>0</v>
      </c>
      <c r="V1985" s="38"/>
      <c r="W1985" s="40"/>
      <c r="X1985" s="40"/>
      <c r="Y1985" s="38"/>
      <c r="Z1985" s="38"/>
      <c r="AA1985" s="38"/>
      <c r="AB1985" s="38"/>
      <c r="AC1985" s="38"/>
      <c r="AD1985" s="38"/>
      <c r="AE1985" s="38"/>
      <c r="AF1985" s="38"/>
      <c r="AG1985" s="38"/>
      <c r="AH1985" s="38"/>
      <c r="AI1985" s="38"/>
      <c r="AJ1985" s="38"/>
      <c r="AK1985" s="38"/>
      <c r="AL1985" s="38"/>
      <c r="AM1985" s="38"/>
      <c r="AN1985" s="38"/>
      <c r="AO1985" s="38"/>
      <c r="AP1985" s="38"/>
      <c r="AQ1985" s="38"/>
      <c r="AR1985" s="38"/>
      <c r="AS1985" s="38"/>
      <c r="AT1985" s="38"/>
      <c r="AU1985" s="38"/>
      <c r="AV1985" s="38"/>
      <c r="AW1985" s="38"/>
      <c r="AX1985" s="38"/>
      <c r="AY1985" s="38"/>
      <c r="AZ1985" s="38"/>
      <c r="BA1985" s="38"/>
      <c r="BB1985" s="38"/>
      <c r="BC1985" s="38"/>
      <c r="BD1985" s="38"/>
      <c r="BE1985" s="38"/>
      <c r="BF1985" s="38"/>
      <c r="BG1985" s="38"/>
      <c r="BH1985" s="38"/>
      <c r="BI1985" s="38"/>
      <c r="BJ1985" s="38"/>
      <c r="BK1985" s="38"/>
      <c r="BL1985" s="38"/>
      <c r="BM1985" s="38"/>
      <c r="BN1985" s="38"/>
      <c r="BO1985" s="38"/>
      <c r="BP1985" s="38"/>
      <c r="BQ1985" s="38"/>
    </row>
    <row r="1986">
      <c r="A1986" s="58"/>
      <c r="B1986" s="341"/>
      <c r="C1986" s="60"/>
      <c r="D1986" s="60"/>
      <c r="E1986" s="58"/>
      <c r="F1986" s="58"/>
      <c r="G1986" s="58"/>
      <c r="H1986" s="33" t="str">
        <f t="shared" si="33"/>
        <v/>
      </c>
      <c r="I1986" s="58"/>
      <c r="J1986" s="58"/>
      <c r="K1986" s="58"/>
      <c r="L1986" s="58"/>
      <c r="M1986" s="80"/>
      <c r="N1986" s="80"/>
      <c r="O1986" s="58"/>
      <c r="P1986" s="58"/>
      <c r="Q1986" s="84"/>
      <c r="R1986" s="62"/>
      <c r="S1986" s="37" t="str">
        <f>IFERROR(__xludf.DUMMYFUNCTION("if(not(iserror(index(split(C1986, "" ""),2))), index(split(C1986, "" ""),1),"""")"),"")</f>
        <v/>
      </c>
      <c r="T1986" s="315" t="str">
        <f>IFERROR(__xludf.DUMMYFUNCTION("if(S1986="""",C1986,if(not(iserror(index(split(C1986, "" ""),3))), index(split(C1986, "" ""),3),index(split(C1986, "" ""),2)))"),"")</f>
        <v/>
      </c>
      <c r="U1986" s="38" t="b">
        <f t="shared" si="34"/>
        <v>0</v>
      </c>
      <c r="V1986" s="38"/>
      <c r="W1986" s="40"/>
      <c r="X1986" s="40"/>
      <c r="Y1986" s="38"/>
      <c r="Z1986" s="38"/>
      <c r="AA1986" s="38"/>
      <c r="AB1986" s="38"/>
      <c r="AC1986" s="38"/>
      <c r="AD1986" s="38"/>
      <c r="AE1986" s="38"/>
      <c r="AF1986" s="38"/>
      <c r="AG1986" s="38"/>
      <c r="AH1986" s="38"/>
      <c r="AI1986" s="38"/>
      <c r="AJ1986" s="38"/>
      <c r="AK1986" s="38"/>
      <c r="AL1986" s="38"/>
      <c r="AM1986" s="38"/>
      <c r="AN1986" s="38"/>
      <c r="AO1986" s="38"/>
      <c r="AP1986" s="38"/>
      <c r="AQ1986" s="38"/>
      <c r="AR1986" s="38"/>
      <c r="AS1986" s="38"/>
      <c r="AT1986" s="38"/>
      <c r="AU1986" s="38"/>
      <c r="AV1986" s="38"/>
      <c r="AW1986" s="38"/>
      <c r="AX1986" s="38"/>
      <c r="AY1986" s="38"/>
      <c r="AZ1986" s="38"/>
      <c r="BA1986" s="38"/>
      <c r="BB1986" s="38"/>
      <c r="BC1986" s="38"/>
      <c r="BD1986" s="38"/>
      <c r="BE1986" s="38"/>
      <c r="BF1986" s="38"/>
      <c r="BG1986" s="38"/>
      <c r="BH1986" s="38"/>
      <c r="BI1986" s="38"/>
      <c r="BJ1986" s="38"/>
      <c r="BK1986" s="38"/>
      <c r="BL1986" s="38"/>
      <c r="BM1986" s="38"/>
      <c r="BN1986" s="38"/>
      <c r="BO1986" s="38"/>
      <c r="BP1986" s="38"/>
      <c r="BQ1986" s="38"/>
    </row>
    <row r="1987">
      <c r="A1987" s="58"/>
      <c r="B1987" s="341"/>
      <c r="C1987" s="60"/>
      <c r="D1987" s="60"/>
      <c r="E1987" s="58"/>
      <c r="F1987" s="58"/>
      <c r="G1987" s="58"/>
      <c r="H1987" s="33" t="str">
        <f t="shared" si="33"/>
        <v/>
      </c>
      <c r="I1987" s="58"/>
      <c r="J1987" s="58"/>
      <c r="K1987" s="58"/>
      <c r="L1987" s="58"/>
      <c r="M1987" s="80"/>
      <c r="N1987" s="80"/>
      <c r="O1987" s="58"/>
      <c r="P1987" s="58"/>
      <c r="Q1987" s="84"/>
      <c r="R1987" s="62"/>
      <c r="S1987" s="37" t="str">
        <f>IFERROR(__xludf.DUMMYFUNCTION("if(not(iserror(index(split(C1987, "" ""),2))), index(split(C1987, "" ""),1),"""")"),"")</f>
        <v/>
      </c>
      <c r="T1987" s="315" t="str">
        <f>IFERROR(__xludf.DUMMYFUNCTION("if(S1987="""",C1987,if(not(iserror(index(split(C1987, "" ""),3))), index(split(C1987, "" ""),3),index(split(C1987, "" ""),2)))"),"")</f>
        <v/>
      </c>
      <c r="U1987" s="38" t="b">
        <f t="shared" si="34"/>
        <v>0</v>
      </c>
      <c r="V1987" s="38"/>
      <c r="W1987" s="40"/>
      <c r="X1987" s="40"/>
      <c r="Y1987" s="38"/>
      <c r="Z1987" s="38"/>
      <c r="AA1987" s="38"/>
      <c r="AB1987" s="38"/>
      <c r="AC1987" s="38"/>
      <c r="AD1987" s="38"/>
      <c r="AE1987" s="38"/>
      <c r="AF1987" s="38"/>
      <c r="AG1987" s="38"/>
      <c r="AH1987" s="38"/>
      <c r="AI1987" s="38"/>
      <c r="AJ1987" s="38"/>
      <c r="AK1987" s="38"/>
      <c r="AL1987" s="38"/>
      <c r="AM1987" s="38"/>
      <c r="AN1987" s="38"/>
      <c r="AO1987" s="38"/>
      <c r="AP1987" s="38"/>
      <c r="AQ1987" s="38"/>
      <c r="AR1987" s="38"/>
      <c r="AS1987" s="38"/>
      <c r="AT1987" s="38"/>
      <c r="AU1987" s="38"/>
      <c r="AV1987" s="38"/>
      <c r="AW1987" s="38"/>
      <c r="AX1987" s="38"/>
      <c r="AY1987" s="38"/>
      <c r="AZ1987" s="38"/>
      <c r="BA1987" s="38"/>
      <c r="BB1987" s="38"/>
      <c r="BC1987" s="38"/>
      <c r="BD1987" s="38"/>
      <c r="BE1987" s="38"/>
      <c r="BF1987" s="38"/>
      <c r="BG1987" s="38"/>
      <c r="BH1987" s="38"/>
      <c r="BI1987" s="38"/>
      <c r="BJ1987" s="38"/>
      <c r="BK1987" s="38"/>
      <c r="BL1987" s="38"/>
      <c r="BM1987" s="38"/>
      <c r="BN1987" s="38"/>
      <c r="BO1987" s="38"/>
      <c r="BP1987" s="38"/>
      <c r="BQ1987" s="38"/>
    </row>
    <row r="1988">
      <c r="A1988" s="58"/>
      <c r="B1988" s="341"/>
      <c r="C1988" s="60"/>
      <c r="D1988" s="60"/>
      <c r="E1988" s="58"/>
      <c r="F1988" s="58"/>
      <c r="G1988" s="58"/>
      <c r="H1988" s="33" t="str">
        <f t="shared" si="33"/>
        <v/>
      </c>
      <c r="I1988" s="58"/>
      <c r="J1988" s="58"/>
      <c r="K1988" s="58"/>
      <c r="L1988" s="58"/>
      <c r="M1988" s="80"/>
      <c r="N1988" s="80"/>
      <c r="O1988" s="58"/>
      <c r="P1988" s="62"/>
      <c r="Q1988" s="84"/>
      <c r="R1988" s="62"/>
      <c r="S1988" s="37" t="str">
        <f>IFERROR(__xludf.DUMMYFUNCTION("if(not(iserror(index(split(C1988, "" ""),2))), index(split(C1988, "" ""),1),"""")"),"")</f>
        <v/>
      </c>
      <c r="T1988" s="315" t="str">
        <f>IFERROR(__xludf.DUMMYFUNCTION("if(S1988="""",C1988,if(not(iserror(index(split(C1988, "" ""),3))), index(split(C1988, "" ""),3),index(split(C1988, "" ""),2)))"),"")</f>
        <v/>
      </c>
      <c r="U1988" s="38" t="b">
        <f t="shared" si="34"/>
        <v>0</v>
      </c>
      <c r="V1988" s="38"/>
      <c r="W1988" s="40"/>
      <c r="X1988" s="40"/>
      <c r="Y1988" s="38"/>
      <c r="Z1988" s="38"/>
      <c r="AA1988" s="38"/>
      <c r="AB1988" s="38"/>
      <c r="AC1988" s="38"/>
      <c r="AD1988" s="38"/>
      <c r="AE1988" s="38"/>
      <c r="AF1988" s="38"/>
      <c r="AG1988" s="38"/>
      <c r="AH1988" s="38"/>
      <c r="AI1988" s="38"/>
      <c r="AJ1988" s="38"/>
      <c r="AK1988" s="38"/>
      <c r="AL1988" s="38"/>
      <c r="AM1988" s="38"/>
      <c r="AN1988" s="38"/>
      <c r="AO1988" s="38"/>
      <c r="AP1988" s="38"/>
      <c r="AQ1988" s="38"/>
      <c r="AR1988" s="38"/>
      <c r="AS1988" s="38"/>
      <c r="AT1988" s="38"/>
      <c r="AU1988" s="38"/>
      <c r="AV1988" s="38"/>
      <c r="AW1988" s="38"/>
      <c r="AX1988" s="38"/>
      <c r="AY1988" s="38"/>
      <c r="AZ1988" s="38"/>
      <c r="BA1988" s="38"/>
      <c r="BB1988" s="38"/>
      <c r="BC1988" s="38"/>
      <c r="BD1988" s="38"/>
      <c r="BE1988" s="38"/>
      <c r="BF1988" s="38"/>
      <c r="BG1988" s="38"/>
      <c r="BH1988" s="38"/>
      <c r="BI1988" s="38"/>
      <c r="BJ1988" s="38"/>
      <c r="BK1988" s="38"/>
      <c r="BL1988" s="38"/>
      <c r="BM1988" s="38"/>
      <c r="BN1988" s="38"/>
      <c r="BO1988" s="38"/>
      <c r="BP1988" s="38"/>
      <c r="BQ1988" s="38"/>
    </row>
    <row r="1989">
      <c r="A1989" s="58"/>
      <c r="B1989" s="341"/>
      <c r="C1989" s="60"/>
      <c r="D1989" s="60"/>
      <c r="E1989" s="58"/>
      <c r="F1989" s="58"/>
      <c r="G1989" s="58"/>
      <c r="H1989" s="33" t="str">
        <f t="shared" si="33"/>
        <v/>
      </c>
      <c r="I1989" s="58"/>
      <c r="J1989" s="58"/>
      <c r="K1989" s="58"/>
      <c r="L1989" s="58"/>
      <c r="M1989" s="80"/>
      <c r="N1989" s="77"/>
      <c r="O1989" s="62"/>
      <c r="P1989" s="62"/>
      <c r="Q1989" s="62"/>
      <c r="R1989" s="62"/>
      <c r="S1989" s="37" t="str">
        <f>IFERROR(__xludf.DUMMYFUNCTION("if(not(iserror(index(split(C1989, "" ""),2))), index(split(C1989, "" ""),1),"""")"),"")</f>
        <v/>
      </c>
      <c r="T1989" s="315" t="str">
        <f>IFERROR(__xludf.DUMMYFUNCTION("if(S1989="""",C1989,if(not(iserror(index(split(C1989, "" ""),3))), index(split(C1989, "" ""),3),index(split(C1989, "" ""),2)))"),"")</f>
        <v/>
      </c>
      <c r="U1989" s="38" t="b">
        <f t="shared" si="34"/>
        <v>0</v>
      </c>
      <c r="V1989" s="38"/>
      <c r="W1989" s="40"/>
      <c r="X1989" s="40"/>
      <c r="Y1989" s="38"/>
      <c r="Z1989" s="38"/>
      <c r="AA1989" s="38"/>
      <c r="AB1989" s="38"/>
      <c r="AC1989" s="38"/>
      <c r="AD1989" s="38"/>
      <c r="AE1989" s="38"/>
      <c r="AF1989" s="38"/>
      <c r="AG1989" s="38"/>
      <c r="AH1989" s="38"/>
      <c r="AI1989" s="38"/>
      <c r="AJ1989" s="38"/>
      <c r="AK1989" s="38"/>
      <c r="AL1989" s="38"/>
      <c r="AM1989" s="38"/>
      <c r="AN1989" s="38"/>
      <c r="AO1989" s="38"/>
      <c r="AP1989" s="38"/>
      <c r="AQ1989" s="38"/>
      <c r="AR1989" s="38"/>
      <c r="AS1989" s="38"/>
      <c r="AT1989" s="38"/>
      <c r="AU1989" s="38"/>
      <c r="AV1989" s="38"/>
      <c r="AW1989" s="38"/>
      <c r="AX1989" s="38"/>
      <c r="AY1989" s="38"/>
      <c r="AZ1989" s="38"/>
      <c r="BA1989" s="38"/>
      <c r="BB1989" s="38"/>
      <c r="BC1989" s="38"/>
      <c r="BD1989" s="38"/>
      <c r="BE1989" s="38"/>
      <c r="BF1989" s="38"/>
      <c r="BG1989" s="38"/>
      <c r="BH1989" s="38"/>
      <c r="BI1989" s="38"/>
      <c r="BJ1989" s="38"/>
      <c r="BK1989" s="38"/>
      <c r="BL1989" s="38"/>
      <c r="BM1989" s="38"/>
      <c r="BN1989" s="38"/>
      <c r="BO1989" s="38"/>
      <c r="BP1989" s="38"/>
      <c r="BQ1989" s="38"/>
    </row>
    <row r="1990">
      <c r="A1990" s="58"/>
      <c r="B1990" s="341"/>
      <c r="C1990" s="60"/>
      <c r="D1990" s="60"/>
      <c r="E1990" s="58"/>
      <c r="F1990" s="58"/>
      <c r="G1990" s="58"/>
      <c r="H1990" s="33" t="str">
        <f t="shared" si="33"/>
        <v/>
      </c>
      <c r="I1990" s="58"/>
      <c r="J1990" s="58"/>
      <c r="K1990" s="58"/>
      <c r="L1990" s="58"/>
      <c r="M1990" s="80"/>
      <c r="N1990" s="80"/>
      <c r="O1990" s="62"/>
      <c r="P1990" s="62"/>
      <c r="Q1990" s="62"/>
      <c r="R1990" s="62"/>
      <c r="S1990" s="37" t="str">
        <f>IFERROR(__xludf.DUMMYFUNCTION("if(not(iserror(index(split(C1990, "" ""),2))), index(split(C1990, "" ""),1),"""")"),"")</f>
        <v/>
      </c>
      <c r="T1990" s="315" t="str">
        <f>IFERROR(__xludf.DUMMYFUNCTION("if(S1990="""",C1990,if(not(iserror(index(split(C1990, "" ""),3))), index(split(C1990, "" ""),3),index(split(C1990, "" ""),2)))"),"")</f>
        <v/>
      </c>
      <c r="U1990" s="38" t="b">
        <f t="shared" si="34"/>
        <v>0</v>
      </c>
      <c r="V1990" s="38"/>
      <c r="W1990" s="40"/>
      <c r="X1990" s="40"/>
      <c r="Y1990" s="38"/>
      <c r="Z1990" s="38"/>
      <c r="AA1990" s="38"/>
      <c r="AB1990" s="38"/>
      <c r="AC1990" s="38"/>
      <c r="AD1990" s="38"/>
      <c r="AE1990" s="38"/>
      <c r="AF1990" s="38"/>
      <c r="AG1990" s="38"/>
      <c r="AH1990" s="38"/>
      <c r="AI1990" s="38"/>
      <c r="AJ1990" s="38"/>
      <c r="AK1990" s="38"/>
      <c r="AL1990" s="38"/>
      <c r="AM1990" s="38"/>
      <c r="AN1990" s="38"/>
      <c r="AO1990" s="38"/>
      <c r="AP1990" s="38"/>
      <c r="AQ1990" s="38"/>
      <c r="AR1990" s="38"/>
      <c r="AS1990" s="38"/>
      <c r="AT1990" s="38"/>
      <c r="AU1990" s="38"/>
      <c r="AV1990" s="38"/>
      <c r="AW1990" s="38"/>
      <c r="AX1990" s="38"/>
      <c r="AY1990" s="38"/>
      <c r="AZ1990" s="38"/>
      <c r="BA1990" s="38"/>
      <c r="BB1990" s="38"/>
      <c r="BC1990" s="38"/>
      <c r="BD1990" s="38"/>
      <c r="BE1990" s="38"/>
      <c r="BF1990" s="38"/>
      <c r="BG1990" s="38"/>
      <c r="BH1990" s="38"/>
      <c r="BI1990" s="38"/>
      <c r="BJ1990" s="38"/>
      <c r="BK1990" s="38"/>
      <c r="BL1990" s="38"/>
      <c r="BM1990" s="38"/>
      <c r="BN1990" s="38"/>
      <c r="BO1990" s="38"/>
      <c r="BP1990" s="38"/>
      <c r="BQ1990" s="38"/>
    </row>
    <row r="1991">
      <c r="A1991" s="58"/>
      <c r="B1991" s="341"/>
      <c r="C1991" s="60"/>
      <c r="D1991" s="60"/>
      <c r="E1991" s="58"/>
      <c r="F1991" s="58"/>
      <c r="G1991" s="58"/>
      <c r="H1991" s="33" t="str">
        <f t="shared" si="33"/>
        <v/>
      </c>
      <c r="I1991" s="58"/>
      <c r="J1991" s="58"/>
      <c r="K1991" s="58"/>
      <c r="L1991" s="58"/>
      <c r="M1991" s="80"/>
      <c r="N1991" s="80"/>
      <c r="O1991" s="62"/>
      <c r="P1991" s="58"/>
      <c r="Q1991" s="84"/>
      <c r="R1991" s="62"/>
      <c r="S1991" s="37" t="str">
        <f>IFERROR(__xludf.DUMMYFUNCTION("if(not(iserror(index(split(C1991, "" ""),2))), index(split(C1991, "" ""),1),"""")"),"")</f>
        <v/>
      </c>
      <c r="T1991" s="315" t="str">
        <f>IFERROR(__xludf.DUMMYFUNCTION("if(S1991="""",C1991,if(not(iserror(index(split(C1991, "" ""),3))), index(split(C1991, "" ""),3),index(split(C1991, "" ""),2)))"),"")</f>
        <v/>
      </c>
      <c r="U1991" s="38" t="b">
        <f t="shared" si="34"/>
        <v>0</v>
      </c>
      <c r="V1991" s="38"/>
      <c r="W1991" s="40"/>
      <c r="X1991" s="40"/>
      <c r="Y1991" s="38"/>
      <c r="Z1991" s="38"/>
      <c r="AA1991" s="38"/>
      <c r="AB1991" s="38"/>
      <c r="AC1991" s="38"/>
      <c r="AD1991" s="38"/>
      <c r="AE1991" s="38"/>
      <c r="AF1991" s="38"/>
      <c r="AG1991" s="38"/>
      <c r="AH1991" s="38"/>
      <c r="AI1991" s="38"/>
      <c r="AJ1991" s="38"/>
      <c r="AK1991" s="38"/>
      <c r="AL1991" s="38"/>
      <c r="AM1991" s="38"/>
      <c r="AN1991" s="38"/>
      <c r="AO1991" s="38"/>
      <c r="AP1991" s="38"/>
      <c r="AQ1991" s="38"/>
      <c r="AR1991" s="38"/>
      <c r="AS1991" s="38"/>
      <c r="AT1991" s="38"/>
      <c r="AU1991" s="38"/>
      <c r="AV1991" s="38"/>
      <c r="AW1991" s="38"/>
      <c r="AX1991" s="38"/>
      <c r="AY1991" s="38"/>
      <c r="AZ1991" s="38"/>
      <c r="BA1991" s="38"/>
      <c r="BB1991" s="38"/>
      <c r="BC1991" s="38"/>
      <c r="BD1991" s="38"/>
      <c r="BE1991" s="38"/>
      <c r="BF1991" s="38"/>
      <c r="BG1991" s="38"/>
      <c r="BH1991" s="38"/>
      <c r="BI1991" s="38"/>
      <c r="BJ1991" s="38"/>
      <c r="BK1991" s="38"/>
      <c r="BL1991" s="38"/>
      <c r="BM1991" s="38"/>
      <c r="BN1991" s="38"/>
      <c r="BO1991" s="38"/>
      <c r="BP1991" s="38"/>
      <c r="BQ1991" s="38"/>
    </row>
    <row r="1992">
      <c r="A1992" s="58"/>
      <c r="B1992" s="341"/>
      <c r="C1992" s="60"/>
      <c r="D1992" s="60"/>
      <c r="E1992" s="58"/>
      <c r="F1992" s="58"/>
      <c r="G1992" s="58"/>
      <c r="H1992" s="33" t="str">
        <f t="shared" si="33"/>
        <v/>
      </c>
      <c r="I1992" s="58"/>
      <c r="J1992" s="58"/>
      <c r="K1992" s="58"/>
      <c r="L1992" s="58"/>
      <c r="M1992" s="80"/>
      <c r="N1992" s="80"/>
      <c r="O1992" s="62"/>
      <c r="P1992" s="58"/>
      <c r="Q1992" s="84"/>
      <c r="R1992" s="62"/>
      <c r="S1992" s="37" t="str">
        <f>IFERROR(__xludf.DUMMYFUNCTION("if(not(iserror(index(split(C1992, "" ""),2))), index(split(C1992, "" ""),1),"""")"),"")</f>
        <v/>
      </c>
      <c r="T1992" s="315" t="str">
        <f>IFERROR(__xludf.DUMMYFUNCTION("if(S1992="""",C1992,if(not(iserror(index(split(C1992, "" ""),3))), index(split(C1992, "" ""),3),index(split(C1992, "" ""),2)))"),"")</f>
        <v/>
      </c>
      <c r="U1992" s="38" t="b">
        <f t="shared" si="34"/>
        <v>0</v>
      </c>
      <c r="V1992" s="38"/>
      <c r="W1992" s="40"/>
      <c r="X1992" s="40"/>
      <c r="Y1992" s="38"/>
      <c r="Z1992" s="38"/>
      <c r="AA1992" s="38"/>
      <c r="AB1992" s="38"/>
      <c r="AC1992" s="38"/>
      <c r="AD1992" s="38"/>
      <c r="AE1992" s="38"/>
      <c r="AF1992" s="38"/>
      <c r="AG1992" s="38"/>
      <c r="AH1992" s="38"/>
      <c r="AI1992" s="38"/>
      <c r="AJ1992" s="38"/>
      <c r="AK1992" s="38"/>
      <c r="AL1992" s="38"/>
      <c r="AM1992" s="38"/>
      <c r="AN1992" s="38"/>
      <c r="AO1992" s="38"/>
      <c r="AP1992" s="38"/>
      <c r="AQ1992" s="38"/>
      <c r="AR1992" s="38"/>
      <c r="AS1992" s="38"/>
      <c r="AT1992" s="38"/>
      <c r="AU1992" s="38"/>
      <c r="AV1992" s="38"/>
      <c r="AW1992" s="38"/>
      <c r="AX1992" s="38"/>
      <c r="AY1992" s="38"/>
      <c r="AZ1992" s="38"/>
      <c r="BA1992" s="38"/>
      <c r="BB1992" s="38"/>
      <c r="BC1992" s="38"/>
      <c r="BD1992" s="38"/>
      <c r="BE1992" s="38"/>
      <c r="BF1992" s="38"/>
      <c r="BG1992" s="38"/>
      <c r="BH1992" s="38"/>
      <c r="BI1992" s="38"/>
      <c r="BJ1992" s="38"/>
      <c r="BK1992" s="38"/>
      <c r="BL1992" s="38"/>
      <c r="BM1992" s="38"/>
      <c r="BN1992" s="38"/>
      <c r="BO1992" s="38"/>
      <c r="BP1992" s="38"/>
      <c r="BQ1992" s="38"/>
    </row>
    <row r="1993">
      <c r="A1993" s="58"/>
      <c r="B1993" s="341"/>
      <c r="C1993" s="60"/>
      <c r="D1993" s="60"/>
      <c r="E1993" s="58"/>
      <c r="F1993" s="58"/>
      <c r="G1993" s="58"/>
      <c r="H1993" s="33" t="str">
        <f t="shared" si="33"/>
        <v/>
      </c>
      <c r="I1993" s="58"/>
      <c r="J1993" s="58"/>
      <c r="K1993" s="58"/>
      <c r="L1993" s="58"/>
      <c r="M1993" s="80"/>
      <c r="N1993" s="77"/>
      <c r="O1993" s="58"/>
      <c r="P1993" s="58"/>
      <c r="Q1993" s="84"/>
      <c r="R1993" s="62"/>
      <c r="S1993" s="37" t="str">
        <f>IFERROR(__xludf.DUMMYFUNCTION("if(not(iserror(index(split(C1993, "" ""),2))), index(split(C1993, "" ""),1),"""")"),"")</f>
        <v/>
      </c>
      <c r="T1993" s="315" t="str">
        <f>IFERROR(__xludf.DUMMYFUNCTION("if(S1993="""",C1993,if(not(iserror(index(split(C1993, "" ""),3))), index(split(C1993, "" ""),3),index(split(C1993, "" ""),2)))"),"")</f>
        <v/>
      </c>
      <c r="U1993" s="38" t="b">
        <f t="shared" si="34"/>
        <v>0</v>
      </c>
      <c r="V1993" s="38"/>
      <c r="W1993" s="40"/>
      <c r="X1993" s="40"/>
      <c r="Y1993" s="38"/>
      <c r="Z1993" s="38"/>
      <c r="AA1993" s="38"/>
      <c r="AB1993" s="38"/>
      <c r="AC1993" s="38"/>
      <c r="AD1993" s="38"/>
      <c r="AE1993" s="38"/>
      <c r="AF1993" s="38"/>
      <c r="AG1993" s="38"/>
      <c r="AH1993" s="38"/>
      <c r="AI1993" s="38"/>
      <c r="AJ1993" s="38"/>
      <c r="AK1993" s="38"/>
      <c r="AL1993" s="38"/>
      <c r="AM1993" s="38"/>
      <c r="AN1993" s="38"/>
      <c r="AO1993" s="38"/>
      <c r="AP1993" s="38"/>
      <c r="AQ1993" s="38"/>
      <c r="AR1993" s="38"/>
      <c r="AS1993" s="38"/>
      <c r="AT1993" s="38"/>
      <c r="AU1993" s="38"/>
      <c r="AV1993" s="38"/>
      <c r="AW1993" s="38"/>
      <c r="AX1993" s="38"/>
      <c r="AY1993" s="38"/>
      <c r="AZ1993" s="38"/>
      <c r="BA1993" s="38"/>
      <c r="BB1993" s="38"/>
      <c r="BC1993" s="38"/>
      <c r="BD1993" s="38"/>
      <c r="BE1993" s="38"/>
      <c r="BF1993" s="38"/>
      <c r="BG1993" s="38"/>
      <c r="BH1993" s="38"/>
      <c r="BI1993" s="38"/>
      <c r="BJ1993" s="38"/>
      <c r="BK1993" s="38"/>
      <c r="BL1993" s="38"/>
      <c r="BM1993" s="38"/>
      <c r="BN1993" s="38"/>
      <c r="BO1993" s="38"/>
      <c r="BP1993" s="38"/>
      <c r="BQ1993" s="38"/>
    </row>
    <row r="1994">
      <c r="A1994" s="58"/>
      <c r="B1994" s="341"/>
      <c r="C1994" s="60"/>
      <c r="D1994" s="60"/>
      <c r="E1994" s="58"/>
      <c r="F1994" s="58"/>
      <c r="G1994" s="58"/>
      <c r="H1994" s="33" t="str">
        <f t="shared" si="33"/>
        <v/>
      </c>
      <c r="I1994" s="58"/>
      <c r="J1994" s="58"/>
      <c r="K1994" s="58"/>
      <c r="L1994" s="58"/>
      <c r="M1994" s="80"/>
      <c r="N1994" s="80"/>
      <c r="O1994" s="58"/>
      <c r="P1994" s="58"/>
      <c r="Q1994" s="84"/>
      <c r="R1994" s="62"/>
      <c r="S1994" s="37" t="str">
        <f>IFERROR(__xludf.DUMMYFUNCTION("if(not(iserror(index(split(C1994, "" ""),2))), index(split(C1994, "" ""),1),"""")"),"")</f>
        <v/>
      </c>
      <c r="T1994" s="315" t="str">
        <f>IFERROR(__xludf.DUMMYFUNCTION("if(S1994="""",C1994,if(not(iserror(index(split(C1994, "" ""),3))), index(split(C1994, "" ""),3),index(split(C1994, "" ""),2)))"),"")</f>
        <v/>
      </c>
      <c r="U1994" s="38" t="b">
        <f t="shared" si="34"/>
        <v>0</v>
      </c>
      <c r="V1994" s="38"/>
      <c r="W1994" s="40"/>
      <c r="X1994" s="40"/>
      <c r="Y1994" s="38"/>
      <c r="Z1994" s="38"/>
      <c r="AA1994" s="38"/>
      <c r="AB1994" s="38"/>
      <c r="AC1994" s="38"/>
      <c r="AD1994" s="38"/>
      <c r="AE1994" s="38"/>
      <c r="AF1994" s="38"/>
      <c r="AG1994" s="38"/>
      <c r="AH1994" s="38"/>
      <c r="AI1994" s="38"/>
      <c r="AJ1994" s="38"/>
      <c r="AK1994" s="38"/>
      <c r="AL1994" s="38"/>
      <c r="AM1994" s="38"/>
      <c r="AN1994" s="38"/>
      <c r="AO1994" s="38"/>
      <c r="AP1994" s="38"/>
      <c r="AQ1994" s="38"/>
      <c r="AR1994" s="38"/>
      <c r="AS1994" s="38"/>
      <c r="AT1994" s="38"/>
      <c r="AU1994" s="38"/>
      <c r="AV1994" s="38"/>
      <c r="AW1994" s="38"/>
      <c r="AX1994" s="38"/>
      <c r="AY1994" s="38"/>
      <c r="AZ1994" s="38"/>
      <c r="BA1994" s="38"/>
      <c r="BB1994" s="38"/>
      <c r="BC1994" s="38"/>
      <c r="BD1994" s="38"/>
      <c r="BE1994" s="38"/>
      <c r="BF1994" s="38"/>
      <c r="BG1994" s="38"/>
      <c r="BH1994" s="38"/>
      <c r="BI1994" s="38"/>
      <c r="BJ1994" s="38"/>
      <c r="BK1994" s="38"/>
      <c r="BL1994" s="38"/>
      <c r="BM1994" s="38"/>
      <c r="BN1994" s="38"/>
      <c r="BO1994" s="38"/>
      <c r="BP1994" s="38"/>
      <c r="BQ1994" s="38"/>
    </row>
    <row r="1995">
      <c r="A1995" s="58"/>
      <c r="B1995" s="341"/>
      <c r="C1995" s="60"/>
      <c r="D1995" s="60"/>
      <c r="E1995" s="58"/>
      <c r="F1995" s="58"/>
      <c r="G1995" s="58"/>
      <c r="H1995" s="33" t="str">
        <f t="shared" si="33"/>
        <v/>
      </c>
      <c r="I1995" s="58"/>
      <c r="J1995" s="58"/>
      <c r="K1995" s="58"/>
      <c r="L1995" s="58"/>
      <c r="M1995" s="80"/>
      <c r="N1995" s="77"/>
      <c r="O1995" s="58"/>
      <c r="P1995" s="58"/>
      <c r="Q1995" s="84"/>
      <c r="R1995" s="62"/>
      <c r="S1995" s="37" t="str">
        <f>IFERROR(__xludf.DUMMYFUNCTION("if(not(iserror(index(split(C1995, "" ""),2))), index(split(C1995, "" ""),1),"""")"),"")</f>
        <v/>
      </c>
      <c r="T1995" s="315" t="str">
        <f>IFERROR(__xludf.DUMMYFUNCTION("if(S1995="""",C1995,if(not(iserror(index(split(C1995, "" ""),3))), index(split(C1995, "" ""),3),index(split(C1995, "" ""),2)))"),"")</f>
        <v/>
      </c>
      <c r="U1995" s="38" t="b">
        <f t="shared" si="34"/>
        <v>0</v>
      </c>
      <c r="V1995" s="38"/>
      <c r="W1995" s="40"/>
      <c r="X1995" s="40"/>
      <c r="Y1995" s="38"/>
      <c r="Z1995" s="38"/>
      <c r="AA1995" s="38"/>
      <c r="AB1995" s="38"/>
      <c r="AC1995" s="38"/>
      <c r="AD1995" s="38"/>
      <c r="AE1995" s="38"/>
      <c r="AF1995" s="38"/>
      <c r="AG1995" s="38"/>
      <c r="AH1995" s="38"/>
      <c r="AI1995" s="38"/>
      <c r="AJ1995" s="38"/>
      <c r="AK1995" s="38"/>
      <c r="AL1995" s="38"/>
      <c r="AM1995" s="38"/>
      <c r="AN1995" s="38"/>
      <c r="AO1995" s="38"/>
      <c r="AP1995" s="38"/>
      <c r="AQ1995" s="38"/>
      <c r="AR1995" s="38"/>
      <c r="AS1995" s="38"/>
      <c r="AT1995" s="38"/>
      <c r="AU1995" s="38"/>
      <c r="AV1995" s="38"/>
      <c r="AW1995" s="38"/>
      <c r="AX1995" s="38"/>
      <c r="AY1995" s="38"/>
      <c r="AZ1995" s="38"/>
      <c r="BA1995" s="38"/>
      <c r="BB1995" s="38"/>
      <c r="BC1995" s="38"/>
      <c r="BD1995" s="38"/>
      <c r="BE1995" s="38"/>
      <c r="BF1995" s="38"/>
      <c r="BG1995" s="38"/>
      <c r="BH1995" s="38"/>
      <c r="BI1995" s="38"/>
      <c r="BJ1995" s="38"/>
      <c r="BK1995" s="38"/>
      <c r="BL1995" s="38"/>
      <c r="BM1995" s="38"/>
      <c r="BN1995" s="38"/>
      <c r="BO1995" s="38"/>
      <c r="BP1995" s="38"/>
      <c r="BQ1995" s="38"/>
    </row>
    <row r="1996">
      <c r="A1996" s="58"/>
      <c r="B1996" s="341"/>
      <c r="C1996" s="60"/>
      <c r="D1996" s="60"/>
      <c r="E1996" s="58"/>
      <c r="F1996" s="58"/>
      <c r="G1996" s="58"/>
      <c r="H1996" s="33" t="str">
        <f t="shared" si="33"/>
        <v/>
      </c>
      <c r="I1996" s="58"/>
      <c r="J1996" s="58"/>
      <c r="K1996" s="58"/>
      <c r="L1996" s="58"/>
      <c r="M1996" s="80"/>
      <c r="N1996" s="77"/>
      <c r="O1996" s="58"/>
      <c r="P1996" s="58"/>
      <c r="Q1996" s="84"/>
      <c r="R1996" s="62"/>
      <c r="S1996" s="37" t="str">
        <f>IFERROR(__xludf.DUMMYFUNCTION("if(not(iserror(index(split(C1996, "" ""),2))), index(split(C1996, "" ""),1),"""")"),"")</f>
        <v/>
      </c>
      <c r="T1996" s="315" t="str">
        <f>IFERROR(__xludf.DUMMYFUNCTION("if(S1996="""",C1996,if(not(iserror(index(split(C1996, "" ""),3))), index(split(C1996, "" ""),3),index(split(C1996, "" ""),2)))"),"")</f>
        <v/>
      </c>
      <c r="U1996" s="38" t="b">
        <f t="shared" si="34"/>
        <v>0</v>
      </c>
      <c r="V1996" s="38"/>
      <c r="W1996" s="40"/>
      <c r="X1996" s="40"/>
      <c r="Y1996" s="38"/>
      <c r="Z1996" s="38"/>
      <c r="AA1996" s="38"/>
      <c r="AB1996" s="38"/>
      <c r="AC1996" s="38"/>
      <c r="AD1996" s="38"/>
      <c r="AE1996" s="38"/>
      <c r="AF1996" s="38"/>
      <c r="AG1996" s="38"/>
      <c r="AH1996" s="38"/>
      <c r="AI1996" s="38"/>
      <c r="AJ1996" s="38"/>
      <c r="AK1996" s="38"/>
      <c r="AL1996" s="38"/>
      <c r="AM1996" s="38"/>
      <c r="AN1996" s="38"/>
      <c r="AO1996" s="38"/>
      <c r="AP1996" s="38"/>
      <c r="AQ1996" s="38"/>
      <c r="AR1996" s="38"/>
      <c r="AS1996" s="38"/>
      <c r="AT1996" s="38"/>
      <c r="AU1996" s="38"/>
      <c r="AV1996" s="38"/>
      <c r="AW1996" s="38"/>
      <c r="AX1996" s="38"/>
      <c r="AY1996" s="38"/>
      <c r="AZ1996" s="38"/>
      <c r="BA1996" s="38"/>
      <c r="BB1996" s="38"/>
      <c r="BC1996" s="38"/>
      <c r="BD1996" s="38"/>
      <c r="BE1996" s="38"/>
      <c r="BF1996" s="38"/>
      <c r="BG1996" s="38"/>
      <c r="BH1996" s="38"/>
      <c r="BI1996" s="38"/>
      <c r="BJ1996" s="38"/>
      <c r="BK1996" s="38"/>
      <c r="BL1996" s="38"/>
      <c r="BM1996" s="38"/>
      <c r="BN1996" s="38"/>
      <c r="BO1996" s="38"/>
      <c r="BP1996" s="38"/>
      <c r="BQ1996" s="38"/>
    </row>
    <row r="1997">
      <c r="A1997" s="58"/>
      <c r="B1997" s="341"/>
      <c r="C1997" s="60"/>
      <c r="D1997" s="60"/>
      <c r="E1997" s="58"/>
      <c r="F1997" s="58"/>
      <c r="G1997" s="58"/>
      <c r="H1997" s="33" t="str">
        <f t="shared" si="33"/>
        <v/>
      </c>
      <c r="I1997" s="58"/>
      <c r="J1997" s="58"/>
      <c r="K1997" s="58"/>
      <c r="L1997" s="58"/>
      <c r="M1997" s="80"/>
      <c r="N1997" s="80"/>
      <c r="O1997" s="58"/>
      <c r="P1997" s="58"/>
      <c r="Q1997" s="84"/>
      <c r="R1997" s="62"/>
      <c r="S1997" s="37" t="str">
        <f>IFERROR(__xludf.DUMMYFUNCTION("if(not(iserror(index(split(C1997, "" ""),2))), index(split(C1997, "" ""),1),"""")"),"")</f>
        <v/>
      </c>
      <c r="T1997" s="315" t="str">
        <f>IFERROR(__xludf.DUMMYFUNCTION("if(S1997="""",C1997,if(not(iserror(index(split(C1997, "" ""),3))), index(split(C1997, "" ""),3),index(split(C1997, "" ""),2)))"),"")</f>
        <v/>
      </c>
      <c r="U1997" s="38" t="b">
        <f t="shared" si="34"/>
        <v>0</v>
      </c>
      <c r="V1997" s="38"/>
      <c r="W1997" s="40"/>
      <c r="X1997" s="40"/>
      <c r="Y1997" s="38"/>
      <c r="Z1997" s="38"/>
      <c r="AA1997" s="38"/>
      <c r="AB1997" s="38"/>
      <c r="AC1997" s="38"/>
      <c r="AD1997" s="38"/>
      <c r="AE1997" s="38"/>
      <c r="AF1997" s="38"/>
      <c r="AG1997" s="38"/>
      <c r="AH1997" s="38"/>
      <c r="AI1997" s="38"/>
      <c r="AJ1997" s="38"/>
      <c r="AK1997" s="38"/>
      <c r="AL1997" s="38"/>
      <c r="AM1997" s="38"/>
      <c r="AN1997" s="38"/>
      <c r="AO1997" s="38"/>
      <c r="AP1997" s="38"/>
      <c r="AQ1997" s="38"/>
      <c r="AR1997" s="38"/>
      <c r="AS1997" s="38"/>
      <c r="AT1997" s="38"/>
      <c r="AU1997" s="38"/>
      <c r="AV1997" s="38"/>
      <c r="AW1997" s="38"/>
      <c r="AX1997" s="38"/>
      <c r="AY1997" s="38"/>
      <c r="AZ1997" s="38"/>
      <c r="BA1997" s="38"/>
      <c r="BB1997" s="38"/>
      <c r="BC1997" s="38"/>
      <c r="BD1997" s="38"/>
      <c r="BE1997" s="38"/>
      <c r="BF1997" s="38"/>
      <c r="BG1997" s="38"/>
      <c r="BH1997" s="38"/>
      <c r="BI1997" s="38"/>
      <c r="BJ1997" s="38"/>
      <c r="BK1997" s="38"/>
      <c r="BL1997" s="38"/>
      <c r="BM1997" s="38"/>
      <c r="BN1997" s="38"/>
      <c r="BO1997" s="38"/>
      <c r="BP1997" s="38"/>
      <c r="BQ1997" s="38"/>
    </row>
    <row r="1998">
      <c r="A1998" s="58"/>
      <c r="B1998" s="341"/>
      <c r="C1998" s="60"/>
      <c r="D1998" s="60"/>
      <c r="E1998" s="58"/>
      <c r="F1998" s="58"/>
      <c r="G1998" s="58"/>
      <c r="H1998" s="33" t="str">
        <f t="shared" si="33"/>
        <v/>
      </c>
      <c r="I1998" s="58"/>
      <c r="J1998" s="58"/>
      <c r="K1998" s="58"/>
      <c r="L1998" s="58"/>
      <c r="M1998" s="80"/>
      <c r="N1998" s="77"/>
      <c r="O1998" s="62"/>
      <c r="P1998" s="62"/>
      <c r="Q1998" s="84"/>
      <c r="R1998" s="62"/>
      <c r="S1998" s="37" t="str">
        <f>IFERROR(__xludf.DUMMYFUNCTION("if(not(iserror(index(split(C1998, "" ""),2))), index(split(C1998, "" ""),1),"""")"),"")</f>
        <v/>
      </c>
      <c r="T1998" s="315" t="str">
        <f>IFERROR(__xludf.DUMMYFUNCTION("if(S1998="""",C1998,if(not(iserror(index(split(C1998, "" ""),3))), index(split(C1998, "" ""),3),index(split(C1998, "" ""),2)))"),"")</f>
        <v/>
      </c>
      <c r="U1998" s="38" t="b">
        <f t="shared" si="34"/>
        <v>0</v>
      </c>
      <c r="V1998" s="38"/>
      <c r="W1998" s="40"/>
      <c r="X1998" s="40"/>
      <c r="Y1998" s="38"/>
      <c r="Z1998" s="38"/>
      <c r="AA1998" s="38"/>
      <c r="AB1998" s="38"/>
      <c r="AC1998" s="38"/>
      <c r="AD1998" s="38"/>
      <c r="AE1998" s="38"/>
      <c r="AF1998" s="38"/>
      <c r="AG1998" s="38"/>
      <c r="AH1998" s="38"/>
      <c r="AI1998" s="38"/>
      <c r="AJ1998" s="38"/>
      <c r="AK1998" s="38"/>
      <c r="AL1998" s="38"/>
      <c r="AM1998" s="38"/>
      <c r="AN1998" s="38"/>
      <c r="AO1998" s="38"/>
      <c r="AP1998" s="38"/>
      <c r="AQ1998" s="38"/>
      <c r="AR1998" s="38"/>
      <c r="AS1998" s="38"/>
      <c r="AT1998" s="38"/>
      <c r="AU1998" s="38"/>
      <c r="AV1998" s="38"/>
      <c r="AW1998" s="38"/>
      <c r="AX1998" s="38"/>
      <c r="AY1998" s="38"/>
      <c r="AZ1998" s="38"/>
      <c r="BA1998" s="38"/>
      <c r="BB1998" s="38"/>
      <c r="BC1998" s="38"/>
      <c r="BD1998" s="38"/>
      <c r="BE1998" s="38"/>
      <c r="BF1998" s="38"/>
      <c r="BG1998" s="38"/>
      <c r="BH1998" s="38"/>
      <c r="BI1998" s="38"/>
      <c r="BJ1998" s="38"/>
      <c r="BK1998" s="38"/>
      <c r="BL1998" s="38"/>
      <c r="BM1998" s="38"/>
      <c r="BN1998" s="38"/>
      <c r="BO1998" s="38"/>
      <c r="BP1998" s="38"/>
      <c r="BQ1998" s="38"/>
    </row>
    <row r="1999">
      <c r="A1999" s="58"/>
      <c r="B1999" s="341"/>
      <c r="C1999" s="60"/>
      <c r="D1999" s="60"/>
      <c r="E1999" s="58"/>
      <c r="F1999" s="58"/>
      <c r="G1999" s="58"/>
      <c r="H1999" s="33" t="str">
        <f t="shared" si="33"/>
        <v/>
      </c>
      <c r="I1999" s="58"/>
      <c r="J1999" s="58"/>
      <c r="K1999" s="58"/>
      <c r="L1999" s="58"/>
      <c r="M1999" s="80"/>
      <c r="N1999" s="80"/>
      <c r="O1999" s="62"/>
      <c r="P1999" s="62"/>
      <c r="Q1999" s="84"/>
      <c r="R1999" s="62"/>
      <c r="S1999" s="37" t="str">
        <f>IFERROR(__xludf.DUMMYFUNCTION("if(not(iserror(index(split(C1999, "" ""),2))), index(split(C1999, "" ""),1),"""")"),"")</f>
        <v/>
      </c>
      <c r="T1999" s="315" t="str">
        <f>IFERROR(__xludf.DUMMYFUNCTION("if(S1999="""",C1999,if(not(iserror(index(split(C1999, "" ""),3))), index(split(C1999, "" ""),3),index(split(C1999, "" ""),2)))"),"")</f>
        <v/>
      </c>
      <c r="U1999" s="38" t="b">
        <f t="shared" si="34"/>
        <v>0</v>
      </c>
      <c r="V1999" s="38"/>
      <c r="W1999" s="40"/>
      <c r="X1999" s="40"/>
      <c r="Y1999" s="38"/>
      <c r="Z1999" s="38"/>
      <c r="AA1999" s="38"/>
      <c r="AB1999" s="38"/>
      <c r="AC1999" s="38"/>
      <c r="AD1999" s="38"/>
      <c r="AE1999" s="38"/>
      <c r="AF1999" s="38"/>
      <c r="AG1999" s="38"/>
      <c r="AH1999" s="38"/>
      <c r="AI1999" s="38"/>
      <c r="AJ1999" s="38"/>
      <c r="AK1999" s="38"/>
      <c r="AL1999" s="38"/>
      <c r="AM1999" s="38"/>
      <c r="AN1999" s="38"/>
      <c r="AO1999" s="38"/>
      <c r="AP1999" s="38"/>
      <c r="AQ1999" s="38"/>
      <c r="AR1999" s="38"/>
      <c r="AS1999" s="38"/>
      <c r="AT1999" s="38"/>
      <c r="AU1999" s="38"/>
      <c r="AV1999" s="38"/>
      <c r="AW1999" s="38"/>
      <c r="AX1999" s="38"/>
      <c r="AY1999" s="38"/>
      <c r="AZ1999" s="38"/>
      <c r="BA1999" s="38"/>
      <c r="BB1999" s="38"/>
      <c r="BC1999" s="38"/>
      <c r="BD1999" s="38"/>
      <c r="BE1999" s="38"/>
      <c r="BF1999" s="38"/>
      <c r="BG1999" s="38"/>
      <c r="BH1999" s="38"/>
      <c r="BI1999" s="38"/>
      <c r="BJ1999" s="38"/>
      <c r="BK1999" s="38"/>
      <c r="BL1999" s="38"/>
      <c r="BM1999" s="38"/>
      <c r="BN1999" s="38"/>
      <c r="BO1999" s="38"/>
      <c r="BP1999" s="38"/>
      <c r="BQ1999" s="38"/>
    </row>
    <row r="2000">
      <c r="A2000" s="58"/>
      <c r="B2000" s="341"/>
      <c r="C2000" s="60"/>
      <c r="D2000" s="60"/>
      <c r="E2000" s="58"/>
      <c r="F2000" s="58"/>
      <c r="G2000" s="58"/>
      <c r="H2000" s="33" t="str">
        <f t="shared" si="33"/>
        <v/>
      </c>
      <c r="I2000" s="58"/>
      <c r="J2000" s="58"/>
      <c r="K2000" s="58"/>
      <c r="L2000" s="58"/>
      <c r="M2000" s="80"/>
      <c r="N2000" s="77"/>
      <c r="O2000" s="62"/>
      <c r="P2000" s="58"/>
      <c r="Q2000" s="84"/>
      <c r="R2000" s="62"/>
      <c r="S2000" s="37" t="str">
        <f>IFERROR(__xludf.DUMMYFUNCTION("if(not(iserror(index(split(C2000, "" ""),2))), index(split(C2000, "" ""),1),"""")"),"")</f>
        <v/>
      </c>
      <c r="T2000" s="315" t="str">
        <f>IFERROR(__xludf.DUMMYFUNCTION("if(S2000="""",C2000,if(not(iserror(index(split(C2000, "" ""),3))), index(split(C2000, "" ""),3),index(split(C2000, "" ""),2)))"),"")</f>
        <v/>
      </c>
      <c r="U2000" s="38" t="b">
        <f t="shared" si="34"/>
        <v>0</v>
      </c>
      <c r="V2000" s="38"/>
      <c r="W2000" s="40"/>
      <c r="X2000" s="40"/>
      <c r="Y2000" s="38"/>
      <c r="Z2000" s="38"/>
      <c r="AA2000" s="38"/>
      <c r="AB2000" s="38"/>
      <c r="AC2000" s="38"/>
      <c r="AD2000" s="38"/>
      <c r="AE2000" s="38"/>
      <c r="AF2000" s="38"/>
      <c r="AG2000" s="38"/>
      <c r="AH2000" s="38"/>
      <c r="AI2000" s="38"/>
      <c r="AJ2000" s="38"/>
      <c r="AK2000" s="38"/>
      <c r="AL2000" s="38"/>
      <c r="AM2000" s="38"/>
      <c r="AN2000" s="38"/>
      <c r="AO2000" s="38"/>
      <c r="AP2000" s="38"/>
      <c r="AQ2000" s="38"/>
      <c r="AR2000" s="38"/>
      <c r="AS2000" s="38"/>
      <c r="AT2000" s="38"/>
      <c r="AU2000" s="38"/>
      <c r="AV2000" s="38"/>
      <c r="AW2000" s="38"/>
      <c r="AX2000" s="38"/>
      <c r="AY2000" s="38"/>
      <c r="AZ2000" s="38"/>
      <c r="BA2000" s="38"/>
      <c r="BB2000" s="38"/>
      <c r="BC2000" s="38"/>
      <c r="BD2000" s="38"/>
      <c r="BE2000" s="38"/>
      <c r="BF2000" s="38"/>
      <c r="BG2000" s="38"/>
      <c r="BH2000" s="38"/>
      <c r="BI2000" s="38"/>
      <c r="BJ2000" s="38"/>
      <c r="BK2000" s="38"/>
      <c r="BL2000" s="38"/>
      <c r="BM2000" s="38"/>
      <c r="BN2000" s="38"/>
      <c r="BO2000" s="38"/>
      <c r="BP2000" s="38"/>
      <c r="BQ2000" s="38"/>
    </row>
    <row r="2001">
      <c r="A2001" s="58"/>
      <c r="B2001" s="341"/>
      <c r="C2001" s="60"/>
      <c r="D2001" s="60"/>
      <c r="E2001" s="58"/>
      <c r="F2001" s="58"/>
      <c r="G2001" s="58"/>
      <c r="H2001" s="33" t="str">
        <f t="shared" si="33"/>
        <v/>
      </c>
      <c r="I2001" s="58"/>
      <c r="J2001" s="58"/>
      <c r="K2001" s="58"/>
      <c r="L2001" s="58"/>
      <c r="M2001" s="80"/>
      <c r="N2001" s="77"/>
      <c r="O2001" s="58"/>
      <c r="P2001" s="58"/>
      <c r="Q2001" s="84"/>
      <c r="R2001" s="62"/>
      <c r="S2001" s="37" t="str">
        <f>IFERROR(__xludf.DUMMYFUNCTION("if(not(iserror(index(split(C2001, "" ""),2))), index(split(C2001, "" ""),1),"""")"),"")</f>
        <v/>
      </c>
      <c r="T2001" s="315" t="str">
        <f>IFERROR(__xludf.DUMMYFUNCTION("if(S2001="""",C2001,if(not(iserror(index(split(C2001, "" ""),3))), index(split(C2001, "" ""),3),index(split(C2001, "" ""),2)))"),"")</f>
        <v/>
      </c>
      <c r="U2001" s="38" t="b">
        <f t="shared" si="34"/>
        <v>0</v>
      </c>
      <c r="V2001" s="38"/>
      <c r="W2001" s="40"/>
      <c r="X2001" s="40"/>
      <c r="Y2001" s="38"/>
      <c r="Z2001" s="38"/>
      <c r="AA2001" s="38"/>
      <c r="AB2001" s="38"/>
      <c r="AC2001" s="38"/>
      <c r="AD2001" s="38"/>
      <c r="AE2001" s="38"/>
      <c r="AF2001" s="38"/>
      <c r="AG2001" s="38"/>
      <c r="AH2001" s="38"/>
      <c r="AI2001" s="38"/>
      <c r="AJ2001" s="38"/>
      <c r="AK2001" s="38"/>
      <c r="AL2001" s="38"/>
      <c r="AM2001" s="38"/>
      <c r="AN2001" s="38"/>
      <c r="AO2001" s="38"/>
      <c r="AP2001" s="38"/>
      <c r="AQ2001" s="38"/>
      <c r="AR2001" s="38"/>
      <c r="AS2001" s="38"/>
      <c r="AT2001" s="38"/>
      <c r="AU2001" s="38"/>
      <c r="AV2001" s="38"/>
      <c r="AW2001" s="38"/>
      <c r="AX2001" s="38"/>
      <c r="AY2001" s="38"/>
      <c r="AZ2001" s="38"/>
      <c r="BA2001" s="38"/>
      <c r="BB2001" s="38"/>
      <c r="BC2001" s="38"/>
      <c r="BD2001" s="38"/>
      <c r="BE2001" s="38"/>
      <c r="BF2001" s="38"/>
      <c r="BG2001" s="38"/>
      <c r="BH2001" s="38"/>
      <c r="BI2001" s="38"/>
      <c r="BJ2001" s="38"/>
      <c r="BK2001" s="38"/>
      <c r="BL2001" s="38"/>
      <c r="BM2001" s="38"/>
      <c r="BN2001" s="38"/>
      <c r="BO2001" s="38"/>
      <c r="BP2001" s="38"/>
      <c r="BQ2001" s="38"/>
    </row>
    <row r="2002">
      <c r="A2002" s="375"/>
      <c r="B2002" s="341"/>
      <c r="C2002" s="60"/>
      <c r="D2002" s="60"/>
      <c r="E2002" s="58"/>
      <c r="F2002" s="58"/>
      <c r="G2002" s="58"/>
      <c r="H2002" s="33" t="str">
        <f t="shared" si="33"/>
        <v/>
      </c>
      <c r="I2002" s="58"/>
      <c r="J2002" s="58"/>
      <c r="K2002" s="58"/>
      <c r="L2002" s="58"/>
      <c r="M2002" s="80"/>
      <c r="N2002" s="80"/>
      <c r="O2002" s="58"/>
      <c r="P2002" s="58"/>
      <c r="Q2002" s="84"/>
      <c r="R2002" s="58"/>
      <c r="S2002" s="37" t="str">
        <f>IFERROR(__xludf.DUMMYFUNCTION("if(not(iserror(index(split(C2002, "" ""),2))), index(split(C2002, "" ""),1),"""")"),"")</f>
        <v/>
      </c>
      <c r="T2002" s="315" t="str">
        <f>IFERROR(__xludf.DUMMYFUNCTION("if(S2002="""",C2002,if(not(iserror(index(split(C2002, "" ""),3))), index(split(C2002, "" ""),3),index(split(C2002, "" ""),2)))"),"")</f>
        <v/>
      </c>
      <c r="U2002" s="38" t="b">
        <f t="shared" si="34"/>
        <v>0</v>
      </c>
      <c r="V2002" s="38"/>
      <c r="W2002" s="40"/>
      <c r="X2002" s="40"/>
      <c r="Y2002" s="38"/>
      <c r="Z2002" s="38"/>
      <c r="AA2002" s="38"/>
      <c r="AB2002" s="38"/>
      <c r="AC2002" s="38"/>
      <c r="AD2002" s="38"/>
      <c r="AE2002" s="38"/>
      <c r="AF2002" s="38"/>
      <c r="AG2002" s="38"/>
      <c r="AH2002" s="38"/>
      <c r="AI2002" s="38"/>
      <c r="AJ2002" s="38"/>
      <c r="AK2002" s="38"/>
      <c r="AL2002" s="38"/>
      <c r="AM2002" s="38"/>
      <c r="AN2002" s="38"/>
      <c r="AO2002" s="38"/>
      <c r="AP2002" s="38"/>
      <c r="AQ2002" s="38"/>
      <c r="AR2002" s="38"/>
      <c r="AS2002" s="38"/>
      <c r="AT2002" s="38"/>
      <c r="AU2002" s="38"/>
      <c r="AV2002" s="38"/>
      <c r="AW2002" s="38"/>
      <c r="AX2002" s="38"/>
      <c r="AY2002" s="38"/>
      <c r="AZ2002" s="38"/>
      <c r="BA2002" s="38"/>
      <c r="BB2002" s="38"/>
      <c r="BC2002" s="38"/>
      <c r="BD2002" s="38"/>
      <c r="BE2002" s="38"/>
      <c r="BF2002" s="38"/>
      <c r="BG2002" s="38"/>
      <c r="BH2002" s="38"/>
      <c r="BI2002" s="38"/>
      <c r="BJ2002" s="38"/>
      <c r="BK2002" s="38"/>
      <c r="BL2002" s="38"/>
      <c r="BM2002" s="38"/>
      <c r="BN2002" s="38"/>
      <c r="BO2002" s="38"/>
      <c r="BP2002" s="38"/>
      <c r="BQ2002" s="38"/>
    </row>
    <row r="2003">
      <c r="A2003" s="58"/>
      <c r="B2003" s="341"/>
      <c r="C2003" s="60"/>
      <c r="D2003" s="60"/>
      <c r="E2003" s="58"/>
      <c r="F2003" s="58"/>
      <c r="G2003" s="58"/>
      <c r="H2003" s="33" t="str">
        <f t="shared" si="33"/>
        <v/>
      </c>
      <c r="I2003" s="58"/>
      <c r="J2003" s="58"/>
      <c r="K2003" s="58"/>
      <c r="L2003" s="58"/>
      <c r="M2003" s="80"/>
      <c r="N2003" s="80"/>
      <c r="O2003" s="58"/>
      <c r="P2003" s="58"/>
      <c r="Q2003" s="84"/>
      <c r="R2003" s="62"/>
      <c r="S2003" s="37" t="str">
        <f>IFERROR(__xludf.DUMMYFUNCTION("if(not(iserror(index(split(C2003, "" ""),2))), index(split(C2003, "" ""),1),"""")"),"")</f>
        <v/>
      </c>
      <c r="T2003" s="315" t="str">
        <f>IFERROR(__xludf.DUMMYFUNCTION("if(S2003="""",C2003,if(not(iserror(index(split(C2003, "" ""),3))), index(split(C2003, "" ""),3),index(split(C2003, "" ""),2)))"),"")</f>
        <v/>
      </c>
      <c r="U2003" s="38" t="b">
        <f t="shared" si="34"/>
        <v>0</v>
      </c>
      <c r="V2003" s="38"/>
      <c r="W2003" s="40"/>
      <c r="X2003" s="40"/>
      <c r="Y2003" s="38"/>
      <c r="Z2003" s="38"/>
      <c r="AA2003" s="38"/>
      <c r="AB2003" s="38"/>
      <c r="AC2003" s="38"/>
      <c r="AD2003" s="38"/>
      <c r="AE2003" s="38"/>
      <c r="AF2003" s="38"/>
      <c r="AG2003" s="38"/>
      <c r="AH2003" s="38"/>
      <c r="AI2003" s="38"/>
      <c r="AJ2003" s="38"/>
      <c r="AK2003" s="38"/>
      <c r="AL2003" s="38"/>
      <c r="AM2003" s="38"/>
      <c r="AN2003" s="38"/>
      <c r="AO2003" s="38"/>
      <c r="AP2003" s="38"/>
      <c r="AQ2003" s="38"/>
      <c r="AR2003" s="38"/>
      <c r="AS2003" s="38"/>
      <c r="AT2003" s="38"/>
      <c r="AU2003" s="38"/>
      <c r="AV2003" s="38"/>
      <c r="AW2003" s="38"/>
      <c r="AX2003" s="38"/>
      <c r="AY2003" s="38"/>
      <c r="AZ2003" s="38"/>
      <c r="BA2003" s="38"/>
      <c r="BB2003" s="38"/>
      <c r="BC2003" s="38"/>
      <c r="BD2003" s="38"/>
      <c r="BE2003" s="38"/>
      <c r="BF2003" s="38"/>
      <c r="BG2003" s="38"/>
      <c r="BH2003" s="38"/>
      <c r="BI2003" s="38"/>
      <c r="BJ2003" s="38"/>
      <c r="BK2003" s="38"/>
      <c r="BL2003" s="38"/>
      <c r="BM2003" s="38"/>
      <c r="BN2003" s="38"/>
      <c r="BO2003" s="38"/>
      <c r="BP2003" s="38"/>
      <c r="BQ2003" s="38"/>
    </row>
    <row r="2004">
      <c r="A2004" s="58"/>
      <c r="B2004" s="341"/>
      <c r="C2004" s="60"/>
      <c r="D2004" s="60"/>
      <c r="E2004" s="58"/>
      <c r="F2004" s="58"/>
      <c r="G2004" s="58"/>
      <c r="H2004" s="33" t="str">
        <f t="shared" si="33"/>
        <v/>
      </c>
      <c r="I2004" s="58"/>
      <c r="J2004" s="58"/>
      <c r="K2004" s="58"/>
      <c r="L2004" s="58"/>
      <c r="M2004" s="80"/>
      <c r="N2004" s="80"/>
      <c r="O2004" s="62"/>
      <c r="P2004" s="62"/>
      <c r="Q2004" s="62"/>
      <c r="R2004" s="62"/>
      <c r="S2004" s="37" t="str">
        <f>IFERROR(__xludf.DUMMYFUNCTION("if(not(iserror(index(split(C2004, "" ""),2))), index(split(C2004, "" ""),1),"""")"),"")</f>
        <v/>
      </c>
      <c r="T2004" s="315" t="str">
        <f>IFERROR(__xludf.DUMMYFUNCTION("if(S2004="""",C2004,if(not(iserror(index(split(C2004, "" ""),3))), index(split(C2004, "" ""),3),index(split(C2004, "" ""),2)))"),"")</f>
        <v/>
      </c>
      <c r="U2004" s="38" t="b">
        <f t="shared" si="34"/>
        <v>0</v>
      </c>
      <c r="V2004" s="38"/>
      <c r="W2004" s="40"/>
      <c r="X2004" s="40"/>
      <c r="Y2004" s="38"/>
      <c r="Z2004" s="38"/>
      <c r="AA2004" s="38"/>
      <c r="AB2004" s="38"/>
      <c r="AC2004" s="38"/>
      <c r="AD2004" s="38"/>
      <c r="AE2004" s="38"/>
      <c r="AF2004" s="38"/>
      <c r="AG2004" s="38"/>
      <c r="AH2004" s="38"/>
      <c r="AI2004" s="38"/>
      <c r="AJ2004" s="38"/>
      <c r="AK2004" s="38"/>
      <c r="AL2004" s="38"/>
      <c r="AM2004" s="38"/>
      <c r="AN2004" s="38"/>
      <c r="AO2004" s="38"/>
      <c r="AP2004" s="38"/>
      <c r="AQ2004" s="38"/>
      <c r="AR2004" s="38"/>
      <c r="AS2004" s="38"/>
      <c r="AT2004" s="38"/>
      <c r="AU2004" s="38"/>
      <c r="AV2004" s="38"/>
      <c r="AW2004" s="38"/>
      <c r="AX2004" s="38"/>
      <c r="AY2004" s="38"/>
      <c r="AZ2004" s="38"/>
      <c r="BA2004" s="38"/>
      <c r="BB2004" s="38"/>
      <c r="BC2004" s="38"/>
      <c r="BD2004" s="38"/>
      <c r="BE2004" s="38"/>
      <c r="BF2004" s="38"/>
      <c r="BG2004" s="38"/>
      <c r="BH2004" s="38"/>
      <c r="BI2004" s="38"/>
      <c r="BJ2004" s="38"/>
      <c r="BK2004" s="38"/>
      <c r="BL2004" s="38"/>
      <c r="BM2004" s="38"/>
      <c r="BN2004" s="38"/>
      <c r="BO2004" s="38"/>
      <c r="BP2004" s="38"/>
      <c r="BQ2004" s="38"/>
    </row>
    <row r="2005">
      <c r="A2005" s="58"/>
      <c r="B2005" s="341"/>
      <c r="C2005" s="60"/>
      <c r="D2005" s="60"/>
      <c r="E2005" s="58"/>
      <c r="F2005" s="58"/>
      <c r="G2005" s="58"/>
      <c r="H2005" s="33" t="str">
        <f t="shared" si="33"/>
        <v/>
      </c>
      <c r="I2005" s="58"/>
      <c r="J2005" s="58"/>
      <c r="K2005" s="58"/>
      <c r="L2005" s="58"/>
      <c r="M2005" s="80"/>
      <c r="N2005" s="77"/>
      <c r="O2005" s="62"/>
      <c r="P2005" s="62"/>
      <c r="Q2005" s="62"/>
      <c r="R2005" s="62"/>
      <c r="S2005" s="37" t="str">
        <f>IFERROR(__xludf.DUMMYFUNCTION("if(not(iserror(index(split(C2005, "" ""),2))), index(split(C2005, "" ""),1),"""")"),"")</f>
        <v/>
      </c>
      <c r="T2005" s="315" t="str">
        <f>IFERROR(__xludf.DUMMYFUNCTION("if(S2005="""",C2005,if(not(iserror(index(split(C2005, "" ""),3))), index(split(C2005, "" ""),3),index(split(C2005, "" ""),2)))"),"")</f>
        <v/>
      </c>
      <c r="U2005" s="38" t="b">
        <f t="shared" si="34"/>
        <v>0</v>
      </c>
      <c r="V2005" s="38"/>
      <c r="W2005" s="40"/>
      <c r="X2005" s="40"/>
      <c r="Y2005" s="38"/>
      <c r="Z2005" s="38"/>
      <c r="AA2005" s="38"/>
      <c r="AB2005" s="38"/>
      <c r="AC2005" s="38"/>
      <c r="AD2005" s="38"/>
      <c r="AE2005" s="38"/>
      <c r="AF2005" s="38"/>
      <c r="AG2005" s="38"/>
      <c r="AH2005" s="38"/>
      <c r="AI2005" s="38"/>
      <c r="AJ2005" s="38"/>
      <c r="AK2005" s="38"/>
      <c r="AL2005" s="38"/>
      <c r="AM2005" s="38"/>
      <c r="AN2005" s="38"/>
      <c r="AO2005" s="38"/>
      <c r="AP2005" s="38"/>
      <c r="AQ2005" s="38"/>
      <c r="AR2005" s="38"/>
      <c r="AS2005" s="38"/>
      <c r="AT2005" s="38"/>
      <c r="AU2005" s="38"/>
      <c r="AV2005" s="38"/>
      <c r="AW2005" s="38"/>
      <c r="AX2005" s="38"/>
      <c r="AY2005" s="38"/>
      <c r="AZ2005" s="38"/>
      <c r="BA2005" s="38"/>
      <c r="BB2005" s="38"/>
      <c r="BC2005" s="38"/>
      <c r="BD2005" s="38"/>
      <c r="BE2005" s="38"/>
      <c r="BF2005" s="38"/>
      <c r="BG2005" s="38"/>
      <c r="BH2005" s="38"/>
      <c r="BI2005" s="38"/>
      <c r="BJ2005" s="38"/>
      <c r="BK2005" s="38"/>
      <c r="BL2005" s="38"/>
      <c r="BM2005" s="38"/>
      <c r="BN2005" s="38"/>
      <c r="BO2005" s="38"/>
      <c r="BP2005" s="38"/>
      <c r="BQ2005" s="38"/>
    </row>
    <row r="2006">
      <c r="A2006" s="58"/>
      <c r="B2006" s="341"/>
      <c r="C2006" s="60"/>
      <c r="D2006" s="60"/>
      <c r="E2006" s="58"/>
      <c r="F2006" s="58"/>
      <c r="G2006" s="58"/>
      <c r="H2006" s="33" t="str">
        <f t="shared" si="33"/>
        <v/>
      </c>
      <c r="I2006" s="58"/>
      <c r="J2006" s="58"/>
      <c r="K2006" s="58"/>
      <c r="L2006" s="58"/>
      <c r="M2006" s="80"/>
      <c r="N2006" s="77"/>
      <c r="O2006" s="62"/>
      <c r="P2006" s="58"/>
      <c r="Q2006" s="84"/>
      <c r="R2006" s="62"/>
      <c r="S2006" s="37" t="str">
        <f>IFERROR(__xludf.DUMMYFUNCTION("if(not(iserror(index(split(C2006, "" ""),2))), index(split(C2006, "" ""),1),"""")"),"")</f>
        <v/>
      </c>
      <c r="T2006" s="315" t="str">
        <f>IFERROR(__xludf.DUMMYFUNCTION("if(S2006="""",C2006,if(not(iserror(index(split(C2006, "" ""),3))), index(split(C2006, "" ""),3),index(split(C2006, "" ""),2)))"),"")</f>
        <v/>
      </c>
      <c r="U2006" s="38" t="b">
        <f t="shared" si="34"/>
        <v>0</v>
      </c>
      <c r="V2006" s="38"/>
      <c r="W2006" s="40"/>
      <c r="X2006" s="40"/>
      <c r="Y2006" s="38"/>
      <c r="Z2006" s="38"/>
      <c r="AA2006" s="38"/>
      <c r="AB2006" s="38"/>
      <c r="AC2006" s="38"/>
      <c r="AD2006" s="38"/>
      <c r="AE2006" s="38"/>
      <c r="AF2006" s="38"/>
      <c r="AG2006" s="38"/>
      <c r="AH2006" s="38"/>
      <c r="AI2006" s="38"/>
      <c r="AJ2006" s="38"/>
      <c r="AK2006" s="38"/>
      <c r="AL2006" s="38"/>
      <c r="AM2006" s="38"/>
      <c r="AN2006" s="38"/>
      <c r="AO2006" s="38"/>
      <c r="AP2006" s="38"/>
      <c r="AQ2006" s="38"/>
      <c r="AR2006" s="38"/>
      <c r="AS2006" s="38"/>
      <c r="AT2006" s="38"/>
      <c r="AU2006" s="38"/>
      <c r="AV2006" s="38"/>
      <c r="AW2006" s="38"/>
      <c r="AX2006" s="38"/>
      <c r="AY2006" s="38"/>
      <c r="AZ2006" s="38"/>
      <c r="BA2006" s="38"/>
      <c r="BB2006" s="38"/>
      <c r="BC2006" s="38"/>
      <c r="BD2006" s="38"/>
      <c r="BE2006" s="38"/>
      <c r="BF2006" s="38"/>
      <c r="BG2006" s="38"/>
      <c r="BH2006" s="38"/>
      <c r="BI2006" s="38"/>
      <c r="BJ2006" s="38"/>
      <c r="BK2006" s="38"/>
      <c r="BL2006" s="38"/>
      <c r="BM2006" s="38"/>
      <c r="BN2006" s="38"/>
      <c r="BO2006" s="38"/>
      <c r="BP2006" s="38"/>
      <c r="BQ2006" s="38"/>
    </row>
    <row r="2007">
      <c r="A2007" s="58"/>
      <c r="B2007" s="341"/>
      <c r="C2007" s="60"/>
      <c r="D2007" s="60"/>
      <c r="E2007" s="58"/>
      <c r="F2007" s="58"/>
      <c r="G2007" s="58"/>
      <c r="H2007" s="33" t="str">
        <f t="shared" si="33"/>
        <v/>
      </c>
      <c r="I2007" s="58"/>
      <c r="J2007" s="58"/>
      <c r="K2007" s="58"/>
      <c r="L2007" s="58"/>
      <c r="M2007" s="80"/>
      <c r="N2007" s="80"/>
      <c r="O2007" s="58"/>
      <c r="P2007" s="58"/>
      <c r="Q2007" s="84"/>
      <c r="R2007" s="62"/>
      <c r="S2007" s="37" t="str">
        <f>IFERROR(__xludf.DUMMYFUNCTION("if(not(iserror(index(split(C2007, "" ""),2))), index(split(C2007, "" ""),1),"""")"),"")</f>
        <v/>
      </c>
      <c r="T2007" s="315" t="str">
        <f>IFERROR(__xludf.DUMMYFUNCTION("if(S2007="""",C2007,if(not(iserror(index(split(C2007, "" ""),3))), index(split(C2007, "" ""),3),index(split(C2007, "" ""),2)))"),"")</f>
        <v/>
      </c>
      <c r="U2007" s="38" t="b">
        <f t="shared" si="34"/>
        <v>0</v>
      </c>
      <c r="V2007" s="38"/>
      <c r="W2007" s="40"/>
      <c r="X2007" s="40"/>
      <c r="Y2007" s="38"/>
      <c r="Z2007" s="38"/>
      <c r="AA2007" s="38"/>
      <c r="AB2007" s="38"/>
      <c r="AC2007" s="38"/>
      <c r="AD2007" s="38"/>
      <c r="AE2007" s="38"/>
      <c r="AF2007" s="38"/>
      <c r="AG2007" s="38"/>
      <c r="AH2007" s="38"/>
      <c r="AI2007" s="38"/>
      <c r="AJ2007" s="38"/>
      <c r="AK2007" s="38"/>
      <c r="AL2007" s="38"/>
      <c r="AM2007" s="38"/>
      <c r="AN2007" s="38"/>
      <c r="AO2007" s="38"/>
      <c r="AP2007" s="38"/>
      <c r="AQ2007" s="38"/>
      <c r="AR2007" s="38"/>
      <c r="AS2007" s="38"/>
      <c r="AT2007" s="38"/>
      <c r="AU2007" s="38"/>
      <c r="AV2007" s="38"/>
      <c r="AW2007" s="38"/>
      <c r="AX2007" s="38"/>
      <c r="AY2007" s="38"/>
      <c r="AZ2007" s="38"/>
      <c r="BA2007" s="38"/>
      <c r="BB2007" s="38"/>
      <c r="BC2007" s="38"/>
      <c r="BD2007" s="38"/>
      <c r="BE2007" s="38"/>
      <c r="BF2007" s="38"/>
      <c r="BG2007" s="38"/>
      <c r="BH2007" s="38"/>
      <c r="BI2007" s="38"/>
      <c r="BJ2007" s="38"/>
      <c r="BK2007" s="38"/>
      <c r="BL2007" s="38"/>
      <c r="BM2007" s="38"/>
      <c r="BN2007" s="38"/>
      <c r="BO2007" s="38"/>
      <c r="BP2007" s="38"/>
      <c r="BQ2007" s="38"/>
    </row>
    <row r="2008">
      <c r="A2008" s="58"/>
      <c r="B2008" s="341"/>
      <c r="C2008" s="60"/>
      <c r="D2008" s="60"/>
      <c r="E2008" s="58"/>
      <c r="F2008" s="58"/>
      <c r="G2008" s="58"/>
      <c r="H2008" s="33" t="str">
        <f t="shared" si="33"/>
        <v/>
      </c>
      <c r="I2008" s="58"/>
      <c r="J2008" s="58"/>
      <c r="K2008" s="58"/>
      <c r="L2008" s="58"/>
      <c r="M2008" s="80"/>
      <c r="N2008" s="80"/>
      <c r="O2008" s="58"/>
      <c r="P2008" s="58"/>
      <c r="Q2008" s="84"/>
      <c r="R2008" s="62"/>
      <c r="S2008" s="37" t="str">
        <f>IFERROR(__xludf.DUMMYFUNCTION("if(not(iserror(index(split(C2008, "" ""),2))), index(split(C2008, "" ""),1),"""")"),"")</f>
        <v/>
      </c>
      <c r="T2008" s="315" t="str">
        <f>IFERROR(__xludf.DUMMYFUNCTION("if(S2008="""",C2008,if(not(iserror(index(split(C2008, "" ""),3))), index(split(C2008, "" ""),3),index(split(C2008, "" ""),2)))"),"")</f>
        <v/>
      </c>
      <c r="U2008" s="38" t="b">
        <f t="shared" si="34"/>
        <v>0</v>
      </c>
      <c r="V2008" s="38"/>
      <c r="W2008" s="40"/>
      <c r="X2008" s="40"/>
      <c r="Y2008" s="38"/>
      <c r="Z2008" s="38"/>
      <c r="AA2008" s="38"/>
      <c r="AB2008" s="38"/>
      <c r="AC2008" s="38"/>
      <c r="AD2008" s="38"/>
      <c r="AE2008" s="38"/>
      <c r="AF2008" s="38"/>
      <c r="AG2008" s="38"/>
      <c r="AH2008" s="38"/>
      <c r="AI2008" s="38"/>
      <c r="AJ2008" s="38"/>
      <c r="AK2008" s="38"/>
      <c r="AL2008" s="38"/>
      <c r="AM2008" s="38"/>
      <c r="AN2008" s="38"/>
      <c r="AO2008" s="38"/>
      <c r="AP2008" s="38"/>
      <c r="AQ2008" s="38"/>
      <c r="AR2008" s="38"/>
      <c r="AS2008" s="38"/>
      <c r="AT2008" s="38"/>
      <c r="AU2008" s="38"/>
      <c r="AV2008" s="38"/>
      <c r="AW2008" s="38"/>
      <c r="AX2008" s="38"/>
      <c r="AY2008" s="38"/>
      <c r="AZ2008" s="38"/>
      <c r="BA2008" s="38"/>
      <c r="BB2008" s="38"/>
      <c r="BC2008" s="38"/>
      <c r="BD2008" s="38"/>
      <c r="BE2008" s="38"/>
      <c r="BF2008" s="38"/>
      <c r="BG2008" s="38"/>
      <c r="BH2008" s="38"/>
      <c r="BI2008" s="38"/>
      <c r="BJ2008" s="38"/>
      <c r="BK2008" s="38"/>
      <c r="BL2008" s="38"/>
      <c r="BM2008" s="38"/>
      <c r="BN2008" s="38"/>
      <c r="BO2008" s="38"/>
      <c r="BP2008" s="38"/>
      <c r="BQ2008" s="38"/>
    </row>
    <row r="2009">
      <c r="A2009" s="58"/>
      <c r="B2009" s="341"/>
      <c r="C2009" s="60"/>
      <c r="D2009" s="60"/>
      <c r="E2009" s="58"/>
      <c r="F2009" s="58"/>
      <c r="G2009" s="58"/>
      <c r="H2009" s="33" t="str">
        <f t="shared" si="33"/>
        <v/>
      </c>
      <c r="I2009" s="58"/>
      <c r="J2009" s="58"/>
      <c r="K2009" s="58"/>
      <c r="L2009" s="58"/>
      <c r="M2009" s="80"/>
      <c r="N2009" s="77"/>
      <c r="O2009" s="58"/>
      <c r="P2009" s="58"/>
      <c r="Q2009" s="84"/>
      <c r="R2009" s="62"/>
      <c r="S2009" s="37" t="str">
        <f>IFERROR(__xludf.DUMMYFUNCTION("if(not(iserror(index(split(C2009, "" ""),2))), index(split(C2009, "" ""),1),"""")"),"")</f>
        <v/>
      </c>
      <c r="T2009" s="315" t="str">
        <f>IFERROR(__xludf.DUMMYFUNCTION("if(S2009="""",C2009,if(not(iserror(index(split(C2009, "" ""),3))), index(split(C2009, "" ""),3),index(split(C2009, "" ""),2)))"),"")</f>
        <v/>
      </c>
      <c r="U2009" s="38" t="b">
        <f t="shared" si="34"/>
        <v>0</v>
      </c>
      <c r="V2009" s="38"/>
      <c r="W2009" s="40"/>
      <c r="X2009" s="40"/>
      <c r="Y2009" s="38"/>
      <c r="Z2009" s="38"/>
      <c r="AA2009" s="38"/>
      <c r="AB2009" s="38"/>
      <c r="AC2009" s="38"/>
      <c r="AD2009" s="38"/>
      <c r="AE2009" s="38"/>
      <c r="AF2009" s="38"/>
      <c r="AG2009" s="38"/>
      <c r="AH2009" s="38"/>
      <c r="AI2009" s="38"/>
      <c r="AJ2009" s="38"/>
      <c r="AK2009" s="38"/>
      <c r="AL2009" s="38"/>
      <c r="AM2009" s="38"/>
      <c r="AN2009" s="38"/>
      <c r="AO2009" s="38"/>
      <c r="AP2009" s="38"/>
      <c r="AQ2009" s="38"/>
      <c r="AR2009" s="38"/>
      <c r="AS2009" s="38"/>
      <c r="AT2009" s="38"/>
      <c r="AU2009" s="38"/>
      <c r="AV2009" s="38"/>
      <c r="AW2009" s="38"/>
      <c r="AX2009" s="38"/>
      <c r="AY2009" s="38"/>
      <c r="AZ2009" s="38"/>
      <c r="BA2009" s="38"/>
      <c r="BB2009" s="38"/>
      <c r="BC2009" s="38"/>
      <c r="BD2009" s="38"/>
      <c r="BE2009" s="38"/>
      <c r="BF2009" s="38"/>
      <c r="BG2009" s="38"/>
      <c r="BH2009" s="38"/>
      <c r="BI2009" s="38"/>
      <c r="BJ2009" s="38"/>
      <c r="BK2009" s="38"/>
      <c r="BL2009" s="38"/>
      <c r="BM2009" s="38"/>
      <c r="BN2009" s="38"/>
      <c r="BO2009" s="38"/>
      <c r="BP2009" s="38"/>
      <c r="BQ2009" s="38"/>
    </row>
    <row r="2010">
      <c r="A2010" s="58"/>
      <c r="B2010" s="341"/>
      <c r="C2010" s="60"/>
      <c r="D2010" s="60"/>
      <c r="E2010" s="58"/>
      <c r="F2010" s="58"/>
      <c r="G2010" s="58"/>
      <c r="H2010" s="33" t="str">
        <f t="shared" si="33"/>
        <v/>
      </c>
      <c r="I2010" s="58"/>
      <c r="J2010" s="58"/>
      <c r="K2010" s="58"/>
      <c r="L2010" s="58"/>
      <c r="M2010" s="80"/>
      <c r="N2010" s="77"/>
      <c r="O2010" s="58"/>
      <c r="P2010" s="58"/>
      <c r="Q2010" s="84"/>
      <c r="R2010" s="62"/>
      <c r="S2010" s="37" t="str">
        <f>IFERROR(__xludf.DUMMYFUNCTION("if(not(iserror(index(split(C2010, "" ""),2))), index(split(C2010, "" ""),1),"""")"),"")</f>
        <v/>
      </c>
      <c r="T2010" s="315" t="str">
        <f>IFERROR(__xludf.DUMMYFUNCTION("if(S2010="""",C2010,if(not(iserror(index(split(C2010, "" ""),3))), index(split(C2010, "" ""),3),index(split(C2010, "" ""),2)))"),"")</f>
        <v/>
      </c>
      <c r="U2010" s="38" t="b">
        <f t="shared" si="34"/>
        <v>0</v>
      </c>
      <c r="V2010" s="38"/>
      <c r="W2010" s="40"/>
      <c r="X2010" s="40"/>
      <c r="Y2010" s="38"/>
      <c r="Z2010" s="38"/>
      <c r="AA2010" s="38"/>
      <c r="AB2010" s="38"/>
      <c r="AC2010" s="38"/>
      <c r="AD2010" s="38"/>
      <c r="AE2010" s="38"/>
      <c r="AF2010" s="38"/>
      <c r="AG2010" s="38"/>
      <c r="AH2010" s="38"/>
      <c r="AI2010" s="38"/>
      <c r="AJ2010" s="38"/>
      <c r="AK2010" s="38"/>
      <c r="AL2010" s="38"/>
      <c r="AM2010" s="38"/>
      <c r="AN2010" s="38"/>
      <c r="AO2010" s="38"/>
      <c r="AP2010" s="38"/>
      <c r="AQ2010" s="38"/>
      <c r="AR2010" s="38"/>
      <c r="AS2010" s="38"/>
      <c r="AT2010" s="38"/>
      <c r="AU2010" s="38"/>
      <c r="AV2010" s="38"/>
      <c r="AW2010" s="38"/>
      <c r="AX2010" s="38"/>
      <c r="AY2010" s="38"/>
      <c r="AZ2010" s="38"/>
      <c r="BA2010" s="38"/>
      <c r="BB2010" s="38"/>
      <c r="BC2010" s="38"/>
      <c r="BD2010" s="38"/>
      <c r="BE2010" s="38"/>
      <c r="BF2010" s="38"/>
      <c r="BG2010" s="38"/>
      <c r="BH2010" s="38"/>
      <c r="BI2010" s="38"/>
      <c r="BJ2010" s="38"/>
      <c r="BK2010" s="38"/>
      <c r="BL2010" s="38"/>
      <c r="BM2010" s="38"/>
      <c r="BN2010" s="38"/>
      <c r="BO2010" s="38"/>
      <c r="BP2010" s="38"/>
      <c r="BQ2010" s="38"/>
    </row>
    <row r="2011">
      <c r="A2011" s="58"/>
      <c r="B2011" s="341"/>
      <c r="C2011" s="60"/>
      <c r="D2011" s="60"/>
      <c r="E2011" s="58"/>
      <c r="F2011" s="58"/>
      <c r="G2011" s="58"/>
      <c r="H2011" s="33" t="str">
        <f t="shared" si="33"/>
        <v/>
      </c>
      <c r="I2011" s="58"/>
      <c r="J2011" s="58"/>
      <c r="K2011" s="58"/>
      <c r="L2011" s="58"/>
      <c r="M2011" s="80"/>
      <c r="N2011" s="77"/>
      <c r="O2011" s="58"/>
      <c r="P2011" s="58"/>
      <c r="Q2011" s="84"/>
      <c r="R2011" s="62"/>
      <c r="S2011" s="37" t="str">
        <f>IFERROR(__xludf.DUMMYFUNCTION("if(not(iserror(index(split(C2011, "" ""),2))), index(split(C2011, "" ""),1),"""")"),"")</f>
        <v/>
      </c>
      <c r="T2011" s="315" t="str">
        <f>IFERROR(__xludf.DUMMYFUNCTION("if(S2011="""",C2011,if(not(iserror(index(split(C2011, "" ""),3))), index(split(C2011, "" ""),3),index(split(C2011, "" ""),2)))"),"")</f>
        <v/>
      </c>
      <c r="U2011" s="38" t="b">
        <f t="shared" si="34"/>
        <v>0</v>
      </c>
      <c r="V2011" s="38"/>
      <c r="W2011" s="40"/>
      <c r="X2011" s="40"/>
      <c r="Y2011" s="38"/>
      <c r="Z2011" s="38"/>
      <c r="AA2011" s="38"/>
      <c r="AB2011" s="38"/>
      <c r="AC2011" s="38"/>
      <c r="AD2011" s="38"/>
      <c r="AE2011" s="38"/>
      <c r="AF2011" s="38"/>
      <c r="AG2011" s="38"/>
      <c r="AH2011" s="38"/>
      <c r="AI2011" s="38"/>
      <c r="AJ2011" s="38"/>
      <c r="AK2011" s="38"/>
      <c r="AL2011" s="38"/>
      <c r="AM2011" s="38"/>
      <c r="AN2011" s="38"/>
      <c r="AO2011" s="38"/>
      <c r="AP2011" s="38"/>
      <c r="AQ2011" s="38"/>
      <c r="AR2011" s="38"/>
      <c r="AS2011" s="38"/>
      <c r="AT2011" s="38"/>
      <c r="AU2011" s="38"/>
      <c r="AV2011" s="38"/>
      <c r="AW2011" s="38"/>
      <c r="AX2011" s="38"/>
      <c r="AY2011" s="38"/>
      <c r="AZ2011" s="38"/>
      <c r="BA2011" s="38"/>
      <c r="BB2011" s="38"/>
      <c r="BC2011" s="38"/>
      <c r="BD2011" s="38"/>
      <c r="BE2011" s="38"/>
      <c r="BF2011" s="38"/>
      <c r="BG2011" s="38"/>
      <c r="BH2011" s="38"/>
      <c r="BI2011" s="38"/>
      <c r="BJ2011" s="38"/>
      <c r="BK2011" s="38"/>
      <c r="BL2011" s="38"/>
      <c r="BM2011" s="38"/>
      <c r="BN2011" s="38"/>
      <c r="BO2011" s="38"/>
      <c r="BP2011" s="38"/>
      <c r="BQ2011" s="38"/>
    </row>
    <row r="2012">
      <c r="A2012" s="58"/>
      <c r="B2012" s="341"/>
      <c r="C2012" s="60"/>
      <c r="D2012" s="60"/>
      <c r="E2012" s="58"/>
      <c r="F2012" s="58"/>
      <c r="G2012" s="58"/>
      <c r="H2012" s="33" t="str">
        <f t="shared" si="33"/>
        <v/>
      </c>
      <c r="I2012" s="58"/>
      <c r="J2012" s="58"/>
      <c r="K2012" s="58"/>
      <c r="L2012" s="58"/>
      <c r="M2012" s="80"/>
      <c r="N2012" s="77"/>
      <c r="O2012" s="58"/>
      <c r="P2012" s="58"/>
      <c r="Q2012" s="84"/>
      <c r="R2012" s="62"/>
      <c r="S2012" s="37" t="str">
        <f>IFERROR(__xludf.DUMMYFUNCTION("if(not(iserror(index(split(C2012, "" ""),2))), index(split(C2012, "" ""),1),"""")"),"")</f>
        <v/>
      </c>
      <c r="T2012" s="315" t="str">
        <f>IFERROR(__xludf.DUMMYFUNCTION("if(S2012="""",C2012,if(not(iserror(index(split(C2012, "" ""),3))), index(split(C2012, "" ""),3),index(split(C2012, "" ""),2)))"),"")</f>
        <v/>
      </c>
      <c r="U2012" s="38" t="b">
        <f t="shared" si="34"/>
        <v>0</v>
      </c>
      <c r="V2012" s="38"/>
      <c r="W2012" s="40"/>
      <c r="X2012" s="40"/>
      <c r="Y2012" s="38"/>
      <c r="Z2012" s="38"/>
      <c r="AA2012" s="38"/>
      <c r="AB2012" s="38"/>
      <c r="AC2012" s="38"/>
      <c r="AD2012" s="38"/>
      <c r="AE2012" s="38"/>
      <c r="AF2012" s="38"/>
      <c r="AG2012" s="38"/>
      <c r="AH2012" s="38"/>
      <c r="AI2012" s="38"/>
      <c r="AJ2012" s="38"/>
      <c r="AK2012" s="38"/>
      <c r="AL2012" s="38"/>
      <c r="AM2012" s="38"/>
      <c r="AN2012" s="38"/>
      <c r="AO2012" s="38"/>
      <c r="AP2012" s="38"/>
      <c r="AQ2012" s="38"/>
      <c r="AR2012" s="38"/>
      <c r="AS2012" s="38"/>
      <c r="AT2012" s="38"/>
      <c r="AU2012" s="38"/>
      <c r="AV2012" s="38"/>
      <c r="AW2012" s="38"/>
      <c r="AX2012" s="38"/>
      <c r="AY2012" s="38"/>
      <c r="AZ2012" s="38"/>
      <c r="BA2012" s="38"/>
      <c r="BB2012" s="38"/>
      <c r="BC2012" s="38"/>
      <c r="BD2012" s="38"/>
      <c r="BE2012" s="38"/>
      <c r="BF2012" s="38"/>
      <c r="BG2012" s="38"/>
      <c r="BH2012" s="38"/>
      <c r="BI2012" s="38"/>
      <c r="BJ2012" s="38"/>
      <c r="BK2012" s="38"/>
      <c r="BL2012" s="38"/>
      <c r="BM2012" s="38"/>
      <c r="BN2012" s="38"/>
      <c r="BO2012" s="38"/>
      <c r="BP2012" s="38"/>
      <c r="BQ2012" s="38"/>
    </row>
    <row r="2013">
      <c r="A2013" s="375"/>
      <c r="B2013" s="341"/>
      <c r="C2013" s="60"/>
      <c r="D2013" s="60"/>
      <c r="E2013" s="58"/>
      <c r="F2013" s="58"/>
      <c r="G2013" s="58"/>
      <c r="H2013" s="33" t="str">
        <f t="shared" si="33"/>
        <v/>
      </c>
      <c r="I2013" s="58"/>
      <c r="J2013" s="58"/>
      <c r="K2013" s="58"/>
      <c r="L2013" s="58"/>
      <c r="M2013" s="80"/>
      <c r="N2013" s="80"/>
      <c r="O2013" s="62"/>
      <c r="P2013" s="62"/>
      <c r="Q2013" s="58"/>
      <c r="R2013" s="62"/>
      <c r="S2013" s="37" t="str">
        <f>IFERROR(__xludf.DUMMYFUNCTION("if(not(iserror(index(split(C2013, "" ""),2))), index(split(C2013, "" ""),1),"""")"),"")</f>
        <v/>
      </c>
      <c r="T2013" s="315" t="str">
        <f>IFERROR(__xludf.DUMMYFUNCTION("if(S2013="""",C2013,if(not(iserror(index(split(C2013, "" ""),3))), index(split(C2013, "" ""),3),index(split(C2013, "" ""),2)))"),"")</f>
        <v/>
      </c>
      <c r="U2013" s="38" t="b">
        <f t="shared" si="34"/>
        <v>0</v>
      </c>
      <c r="V2013" s="38"/>
      <c r="W2013" s="40"/>
      <c r="X2013" s="40"/>
      <c r="Y2013" s="38"/>
      <c r="Z2013" s="38"/>
      <c r="AA2013" s="38"/>
      <c r="AB2013" s="38"/>
      <c r="AC2013" s="38"/>
      <c r="AD2013" s="38"/>
      <c r="AE2013" s="38"/>
      <c r="AF2013" s="38"/>
      <c r="AG2013" s="38"/>
      <c r="AH2013" s="38"/>
      <c r="AI2013" s="38"/>
      <c r="AJ2013" s="38"/>
      <c r="AK2013" s="38"/>
      <c r="AL2013" s="38"/>
      <c r="AM2013" s="38"/>
      <c r="AN2013" s="38"/>
      <c r="AO2013" s="38"/>
      <c r="AP2013" s="38"/>
      <c r="AQ2013" s="38"/>
      <c r="AR2013" s="38"/>
      <c r="AS2013" s="38"/>
      <c r="AT2013" s="38"/>
      <c r="AU2013" s="38"/>
      <c r="AV2013" s="38"/>
      <c r="AW2013" s="38"/>
      <c r="AX2013" s="38"/>
      <c r="AY2013" s="38"/>
      <c r="AZ2013" s="38"/>
      <c r="BA2013" s="38"/>
      <c r="BB2013" s="38"/>
      <c r="BC2013" s="38"/>
      <c r="BD2013" s="38"/>
      <c r="BE2013" s="38"/>
      <c r="BF2013" s="38"/>
      <c r="BG2013" s="38"/>
      <c r="BH2013" s="38"/>
      <c r="BI2013" s="38"/>
      <c r="BJ2013" s="38"/>
      <c r="BK2013" s="38"/>
      <c r="BL2013" s="38"/>
      <c r="BM2013" s="38"/>
      <c r="BN2013" s="38"/>
      <c r="BO2013" s="38"/>
      <c r="BP2013" s="38"/>
      <c r="BQ2013" s="38"/>
    </row>
    <row r="2014">
      <c r="A2014" s="375"/>
      <c r="B2014" s="341"/>
      <c r="C2014" s="60"/>
      <c r="D2014" s="60"/>
      <c r="E2014" s="58"/>
      <c r="F2014" s="58"/>
      <c r="G2014" s="58"/>
      <c r="H2014" s="33" t="str">
        <f t="shared" si="33"/>
        <v/>
      </c>
      <c r="I2014" s="58"/>
      <c r="J2014" s="58"/>
      <c r="K2014" s="58"/>
      <c r="L2014" s="58"/>
      <c r="M2014" s="80"/>
      <c r="N2014" s="80"/>
      <c r="O2014" s="62"/>
      <c r="P2014" s="62"/>
      <c r="Q2014" s="58"/>
      <c r="R2014" s="62"/>
      <c r="S2014" s="37" t="str">
        <f>IFERROR(__xludf.DUMMYFUNCTION("if(not(iserror(index(split(C2014, "" ""),2))), index(split(C2014, "" ""),1),"""")"),"")</f>
        <v/>
      </c>
      <c r="T2014" s="315" t="str">
        <f>IFERROR(__xludf.DUMMYFUNCTION("if(S2014="""",C2014,if(not(iserror(index(split(C2014, "" ""),3))), index(split(C2014, "" ""),3),index(split(C2014, "" ""),2)))"),"")</f>
        <v/>
      </c>
      <c r="U2014" s="38" t="b">
        <f t="shared" si="34"/>
        <v>0</v>
      </c>
      <c r="V2014" s="38"/>
      <c r="W2014" s="40"/>
      <c r="X2014" s="40"/>
      <c r="Y2014" s="38"/>
      <c r="Z2014" s="38"/>
      <c r="AA2014" s="38"/>
      <c r="AB2014" s="38"/>
      <c r="AC2014" s="38"/>
      <c r="AD2014" s="38"/>
      <c r="AE2014" s="38"/>
      <c r="AF2014" s="38"/>
      <c r="AG2014" s="38"/>
      <c r="AH2014" s="38"/>
      <c r="AI2014" s="38"/>
      <c r="AJ2014" s="38"/>
      <c r="AK2014" s="38"/>
      <c r="AL2014" s="38"/>
      <c r="AM2014" s="38"/>
      <c r="AN2014" s="38"/>
      <c r="AO2014" s="38"/>
      <c r="AP2014" s="38"/>
      <c r="AQ2014" s="38"/>
      <c r="AR2014" s="38"/>
      <c r="AS2014" s="38"/>
      <c r="AT2014" s="38"/>
      <c r="AU2014" s="38"/>
      <c r="AV2014" s="38"/>
      <c r="AW2014" s="38"/>
      <c r="AX2014" s="38"/>
      <c r="AY2014" s="38"/>
      <c r="AZ2014" s="38"/>
      <c r="BA2014" s="38"/>
      <c r="BB2014" s="38"/>
      <c r="BC2014" s="38"/>
      <c r="BD2014" s="38"/>
      <c r="BE2014" s="38"/>
      <c r="BF2014" s="38"/>
      <c r="BG2014" s="38"/>
      <c r="BH2014" s="38"/>
      <c r="BI2014" s="38"/>
      <c r="BJ2014" s="38"/>
      <c r="BK2014" s="38"/>
      <c r="BL2014" s="38"/>
      <c r="BM2014" s="38"/>
      <c r="BN2014" s="38"/>
      <c r="BO2014" s="38"/>
      <c r="BP2014" s="38"/>
      <c r="BQ2014" s="38"/>
    </row>
    <row r="2015">
      <c r="A2015" s="375"/>
      <c r="B2015" s="341"/>
      <c r="C2015" s="60"/>
      <c r="D2015" s="60"/>
      <c r="E2015" s="58"/>
      <c r="F2015" s="58"/>
      <c r="G2015" s="58"/>
      <c r="H2015" s="33" t="str">
        <f t="shared" si="33"/>
        <v/>
      </c>
      <c r="I2015" s="58"/>
      <c r="J2015" s="58"/>
      <c r="K2015" s="58"/>
      <c r="L2015" s="58"/>
      <c r="M2015" s="80"/>
      <c r="N2015" s="80"/>
      <c r="O2015" s="62"/>
      <c r="P2015" s="62"/>
      <c r="Q2015" s="58"/>
      <c r="R2015" s="62"/>
      <c r="S2015" s="37" t="str">
        <f>IFERROR(__xludf.DUMMYFUNCTION("if(not(iserror(index(split(C2015, "" ""),2))), index(split(C2015, "" ""),1),"""")"),"")</f>
        <v/>
      </c>
      <c r="T2015" s="315" t="str">
        <f>IFERROR(__xludf.DUMMYFUNCTION("if(S2015="""",C2015,if(not(iserror(index(split(C2015, "" ""),3))), index(split(C2015, "" ""),3),index(split(C2015, "" ""),2)))"),"")</f>
        <v/>
      </c>
      <c r="U2015" s="38" t="b">
        <f t="shared" si="34"/>
        <v>0</v>
      </c>
      <c r="V2015" s="38"/>
      <c r="W2015" s="40"/>
      <c r="X2015" s="40"/>
      <c r="Y2015" s="38"/>
      <c r="Z2015" s="38"/>
      <c r="AA2015" s="38"/>
      <c r="AB2015" s="38"/>
      <c r="AC2015" s="38"/>
      <c r="AD2015" s="38"/>
      <c r="AE2015" s="38"/>
      <c r="AF2015" s="38"/>
      <c r="AG2015" s="38"/>
      <c r="AH2015" s="38"/>
      <c r="AI2015" s="38"/>
      <c r="AJ2015" s="38"/>
      <c r="AK2015" s="38"/>
      <c r="AL2015" s="38"/>
      <c r="AM2015" s="38"/>
      <c r="AN2015" s="38"/>
      <c r="AO2015" s="38"/>
      <c r="AP2015" s="38"/>
      <c r="AQ2015" s="38"/>
      <c r="AR2015" s="38"/>
      <c r="AS2015" s="38"/>
      <c r="AT2015" s="38"/>
      <c r="AU2015" s="38"/>
      <c r="AV2015" s="38"/>
      <c r="AW2015" s="38"/>
      <c r="AX2015" s="38"/>
      <c r="AY2015" s="38"/>
      <c r="AZ2015" s="38"/>
      <c r="BA2015" s="38"/>
      <c r="BB2015" s="38"/>
      <c r="BC2015" s="38"/>
      <c r="BD2015" s="38"/>
      <c r="BE2015" s="38"/>
      <c r="BF2015" s="38"/>
      <c r="BG2015" s="38"/>
      <c r="BH2015" s="38"/>
      <c r="BI2015" s="38"/>
      <c r="BJ2015" s="38"/>
      <c r="BK2015" s="38"/>
      <c r="BL2015" s="38"/>
      <c r="BM2015" s="38"/>
      <c r="BN2015" s="38"/>
      <c r="BO2015" s="38"/>
      <c r="BP2015" s="38"/>
      <c r="BQ2015" s="38"/>
    </row>
    <row r="2016">
      <c r="A2016" s="375"/>
      <c r="B2016" s="341"/>
      <c r="C2016" s="60"/>
      <c r="D2016" s="60"/>
      <c r="E2016" s="58"/>
      <c r="F2016" s="58"/>
      <c r="G2016" s="58"/>
      <c r="H2016" s="33" t="str">
        <f t="shared" si="33"/>
        <v/>
      </c>
      <c r="I2016" s="58"/>
      <c r="J2016" s="58"/>
      <c r="K2016" s="58"/>
      <c r="L2016" s="58"/>
      <c r="M2016" s="80"/>
      <c r="N2016" s="80"/>
      <c r="O2016" s="62"/>
      <c r="P2016" s="62"/>
      <c r="Q2016" s="62"/>
      <c r="R2016" s="62"/>
      <c r="S2016" s="37" t="str">
        <f>IFERROR(__xludf.DUMMYFUNCTION("if(not(iserror(index(split(C2016, "" ""),2))), index(split(C2016, "" ""),1),"""")"),"")</f>
        <v/>
      </c>
      <c r="T2016" s="315" t="str">
        <f>IFERROR(__xludf.DUMMYFUNCTION("if(S2016="""",C2016,if(not(iserror(index(split(C2016, "" ""),3))), index(split(C2016, "" ""),3),index(split(C2016, "" ""),2)))"),"")</f>
        <v/>
      </c>
      <c r="U2016" s="38" t="b">
        <f t="shared" si="34"/>
        <v>0</v>
      </c>
      <c r="V2016" s="38"/>
      <c r="W2016" s="40"/>
      <c r="X2016" s="40"/>
      <c r="Y2016" s="38"/>
      <c r="Z2016" s="38"/>
      <c r="AA2016" s="38"/>
      <c r="AB2016" s="38"/>
      <c r="AC2016" s="38"/>
      <c r="AD2016" s="38"/>
      <c r="AE2016" s="38"/>
      <c r="AF2016" s="38"/>
      <c r="AG2016" s="38"/>
      <c r="AH2016" s="38"/>
      <c r="AI2016" s="38"/>
      <c r="AJ2016" s="38"/>
      <c r="AK2016" s="38"/>
      <c r="AL2016" s="38"/>
      <c r="AM2016" s="38"/>
      <c r="AN2016" s="38"/>
      <c r="AO2016" s="38"/>
      <c r="AP2016" s="38"/>
      <c r="AQ2016" s="38"/>
      <c r="AR2016" s="38"/>
      <c r="AS2016" s="38"/>
      <c r="AT2016" s="38"/>
      <c r="AU2016" s="38"/>
      <c r="AV2016" s="38"/>
      <c r="AW2016" s="38"/>
      <c r="AX2016" s="38"/>
      <c r="AY2016" s="38"/>
      <c r="AZ2016" s="38"/>
      <c r="BA2016" s="38"/>
      <c r="BB2016" s="38"/>
      <c r="BC2016" s="38"/>
      <c r="BD2016" s="38"/>
      <c r="BE2016" s="38"/>
      <c r="BF2016" s="38"/>
      <c r="BG2016" s="38"/>
      <c r="BH2016" s="38"/>
      <c r="BI2016" s="38"/>
      <c r="BJ2016" s="38"/>
      <c r="BK2016" s="38"/>
      <c r="BL2016" s="38"/>
      <c r="BM2016" s="38"/>
      <c r="BN2016" s="38"/>
      <c r="BO2016" s="38"/>
      <c r="BP2016" s="38"/>
      <c r="BQ2016" s="38"/>
    </row>
    <row r="2017">
      <c r="A2017" s="375"/>
      <c r="B2017" s="343"/>
      <c r="C2017" s="49"/>
      <c r="D2017" s="49"/>
      <c r="E2017" s="47"/>
      <c r="F2017" s="47"/>
      <c r="G2017" s="47"/>
      <c r="H2017" s="33" t="str">
        <f t="shared" si="33"/>
        <v/>
      </c>
      <c r="I2017" s="47"/>
      <c r="J2017" s="47"/>
      <c r="K2017" s="47"/>
      <c r="L2017" s="47"/>
      <c r="M2017" s="52"/>
      <c r="N2017" s="139"/>
      <c r="O2017" s="55"/>
      <c r="P2017" s="55"/>
      <c r="Q2017" s="47"/>
      <c r="R2017" s="55"/>
      <c r="S2017" s="37" t="str">
        <f>IFERROR(__xludf.DUMMYFUNCTION("if(not(iserror(index(split(C2017, "" ""),2))), index(split(C2017, "" ""),1),"""")"),"")</f>
        <v/>
      </c>
      <c r="T2017" s="315" t="str">
        <f>IFERROR(__xludf.DUMMYFUNCTION("if(S2017="""",C2017,if(not(iserror(index(split(C2017, "" ""),3))), index(split(C2017, "" ""),3),index(split(C2017, "" ""),2)))"),"")</f>
        <v/>
      </c>
      <c r="U2017" s="38" t="b">
        <f t="shared" si="34"/>
        <v>0</v>
      </c>
      <c r="V2017" s="38"/>
      <c r="W2017" s="40"/>
      <c r="X2017" s="40"/>
      <c r="Y2017" s="38"/>
      <c r="Z2017" s="38"/>
      <c r="AA2017" s="38"/>
      <c r="AB2017" s="38"/>
      <c r="AC2017" s="38"/>
      <c r="AD2017" s="38"/>
      <c r="AE2017" s="38"/>
      <c r="AF2017" s="38"/>
      <c r="AG2017" s="38"/>
      <c r="AH2017" s="38"/>
      <c r="AI2017" s="38"/>
      <c r="AJ2017" s="38"/>
      <c r="AK2017" s="38"/>
      <c r="AL2017" s="38"/>
      <c r="AM2017" s="38"/>
      <c r="AN2017" s="38"/>
      <c r="AO2017" s="38"/>
      <c r="AP2017" s="38"/>
      <c r="AQ2017" s="38"/>
      <c r="AR2017" s="38"/>
      <c r="AS2017" s="38"/>
      <c r="AT2017" s="38"/>
      <c r="AU2017" s="38"/>
      <c r="AV2017" s="38"/>
      <c r="AW2017" s="38"/>
      <c r="AX2017" s="38"/>
      <c r="AY2017" s="38"/>
      <c r="AZ2017" s="38"/>
      <c r="BA2017" s="38"/>
      <c r="BB2017" s="38"/>
      <c r="BC2017" s="38"/>
      <c r="BD2017" s="38"/>
      <c r="BE2017" s="38"/>
      <c r="BF2017" s="38"/>
      <c r="BG2017" s="38"/>
      <c r="BH2017" s="38"/>
      <c r="BI2017" s="38"/>
      <c r="BJ2017" s="38"/>
      <c r="BK2017" s="38"/>
      <c r="BL2017" s="38"/>
      <c r="BM2017" s="38"/>
      <c r="BN2017" s="38"/>
      <c r="BO2017" s="38"/>
      <c r="BP2017" s="38"/>
      <c r="BQ2017" s="38"/>
    </row>
    <row r="2018">
      <c r="A2018" s="375"/>
      <c r="B2018" s="343"/>
      <c r="C2018" s="49"/>
      <c r="D2018" s="49"/>
      <c r="E2018" s="47"/>
      <c r="F2018" s="47"/>
      <c r="G2018" s="47"/>
      <c r="H2018" s="33" t="str">
        <f t="shared" si="33"/>
        <v/>
      </c>
      <c r="I2018" s="47"/>
      <c r="J2018" s="47"/>
      <c r="K2018" s="47"/>
      <c r="L2018" s="47"/>
      <c r="M2018" s="52"/>
      <c r="N2018" s="139"/>
      <c r="O2018" s="55"/>
      <c r="P2018" s="55"/>
      <c r="Q2018" s="47"/>
      <c r="R2018" s="55"/>
      <c r="S2018" s="37" t="str">
        <f>IFERROR(__xludf.DUMMYFUNCTION("if(not(iserror(index(split(C2018, "" ""),2))), index(split(C2018, "" ""),1),"""")"),"")</f>
        <v/>
      </c>
      <c r="T2018" s="315" t="str">
        <f>IFERROR(__xludf.DUMMYFUNCTION("if(S2018="""",C2018,if(not(iserror(index(split(C2018, "" ""),3))), index(split(C2018, "" ""),3),index(split(C2018, "" ""),2)))"),"")</f>
        <v/>
      </c>
      <c r="U2018" s="38" t="b">
        <f t="shared" si="34"/>
        <v>0</v>
      </c>
      <c r="V2018" s="38"/>
      <c r="W2018" s="40"/>
      <c r="X2018" s="40"/>
      <c r="Y2018" s="38"/>
      <c r="Z2018" s="38"/>
      <c r="AA2018" s="38"/>
      <c r="AB2018" s="38"/>
      <c r="AC2018" s="38"/>
      <c r="AD2018" s="38"/>
      <c r="AE2018" s="38"/>
      <c r="AF2018" s="38"/>
      <c r="AG2018" s="38"/>
      <c r="AH2018" s="38"/>
      <c r="AI2018" s="38"/>
      <c r="AJ2018" s="38"/>
      <c r="AK2018" s="38"/>
      <c r="AL2018" s="38"/>
      <c r="AM2018" s="38"/>
      <c r="AN2018" s="38"/>
      <c r="AO2018" s="38"/>
      <c r="AP2018" s="38"/>
      <c r="AQ2018" s="38"/>
      <c r="AR2018" s="38"/>
      <c r="AS2018" s="38"/>
      <c r="AT2018" s="38"/>
      <c r="AU2018" s="38"/>
      <c r="AV2018" s="38"/>
      <c r="AW2018" s="38"/>
      <c r="AX2018" s="38"/>
      <c r="AY2018" s="38"/>
      <c r="AZ2018" s="38"/>
      <c r="BA2018" s="38"/>
      <c r="BB2018" s="38"/>
      <c r="BC2018" s="38"/>
      <c r="BD2018" s="38"/>
      <c r="BE2018" s="38"/>
      <c r="BF2018" s="38"/>
      <c r="BG2018" s="38"/>
      <c r="BH2018" s="38"/>
      <c r="BI2018" s="38"/>
      <c r="BJ2018" s="38"/>
      <c r="BK2018" s="38"/>
      <c r="BL2018" s="38"/>
      <c r="BM2018" s="38"/>
      <c r="BN2018" s="38"/>
      <c r="BO2018" s="38"/>
      <c r="BP2018" s="38"/>
      <c r="BQ2018" s="38"/>
    </row>
    <row r="2019">
      <c r="A2019" s="375"/>
      <c r="B2019" s="343"/>
      <c r="C2019" s="49"/>
      <c r="D2019" s="49"/>
      <c r="E2019" s="47"/>
      <c r="F2019" s="47"/>
      <c r="G2019" s="47"/>
      <c r="H2019" s="33" t="str">
        <f t="shared" si="33"/>
        <v/>
      </c>
      <c r="I2019" s="47"/>
      <c r="J2019" s="47"/>
      <c r="K2019" s="47"/>
      <c r="L2019" s="47"/>
      <c r="M2019" s="52"/>
      <c r="N2019" s="139"/>
      <c r="O2019" s="55"/>
      <c r="P2019" s="55"/>
      <c r="Q2019" s="47"/>
      <c r="R2019" s="55"/>
      <c r="S2019" s="37" t="str">
        <f>IFERROR(__xludf.DUMMYFUNCTION("if(not(iserror(index(split(C2019, "" ""),2))), index(split(C2019, "" ""),1),"""")"),"")</f>
        <v/>
      </c>
      <c r="T2019" s="315" t="str">
        <f>IFERROR(__xludf.DUMMYFUNCTION("if(S2019="""",C2019,if(not(iserror(index(split(C2019, "" ""),3))), index(split(C2019, "" ""),3),index(split(C2019, "" ""),2)))"),"")</f>
        <v/>
      </c>
      <c r="U2019" s="38" t="b">
        <f t="shared" si="34"/>
        <v>0</v>
      </c>
      <c r="V2019" s="38"/>
      <c r="W2019" s="40"/>
      <c r="X2019" s="40"/>
      <c r="Y2019" s="38"/>
      <c r="Z2019" s="38"/>
      <c r="AA2019" s="38"/>
      <c r="AB2019" s="38"/>
      <c r="AC2019" s="38"/>
      <c r="AD2019" s="38"/>
      <c r="AE2019" s="38"/>
      <c r="AF2019" s="38"/>
      <c r="AG2019" s="38"/>
      <c r="AH2019" s="38"/>
      <c r="AI2019" s="38"/>
      <c r="AJ2019" s="38"/>
      <c r="AK2019" s="38"/>
      <c r="AL2019" s="38"/>
      <c r="AM2019" s="38"/>
      <c r="AN2019" s="38"/>
      <c r="AO2019" s="38"/>
      <c r="AP2019" s="38"/>
      <c r="AQ2019" s="38"/>
      <c r="AR2019" s="38"/>
      <c r="AS2019" s="38"/>
      <c r="AT2019" s="38"/>
      <c r="AU2019" s="38"/>
      <c r="AV2019" s="38"/>
      <c r="AW2019" s="38"/>
      <c r="AX2019" s="38"/>
      <c r="AY2019" s="38"/>
      <c r="AZ2019" s="38"/>
      <c r="BA2019" s="38"/>
      <c r="BB2019" s="38"/>
      <c r="BC2019" s="38"/>
      <c r="BD2019" s="38"/>
      <c r="BE2019" s="38"/>
      <c r="BF2019" s="38"/>
      <c r="BG2019" s="38"/>
      <c r="BH2019" s="38"/>
      <c r="BI2019" s="38"/>
      <c r="BJ2019" s="38"/>
      <c r="BK2019" s="38"/>
      <c r="BL2019" s="38"/>
      <c r="BM2019" s="38"/>
      <c r="BN2019" s="38"/>
      <c r="BO2019" s="38"/>
      <c r="BP2019" s="38"/>
      <c r="BQ2019" s="38"/>
    </row>
    <row r="2020">
      <c r="A2020" s="375"/>
      <c r="B2020" s="343"/>
      <c r="C2020" s="49"/>
      <c r="D2020" s="49"/>
      <c r="E2020" s="47"/>
      <c r="F2020" s="47"/>
      <c r="G2020" s="47"/>
      <c r="H2020" s="33" t="str">
        <f t="shared" si="33"/>
        <v/>
      </c>
      <c r="I2020" s="47"/>
      <c r="J2020" s="47"/>
      <c r="K2020" s="47"/>
      <c r="L2020" s="47"/>
      <c r="M2020" s="52"/>
      <c r="N2020" s="139"/>
      <c r="O2020" s="55"/>
      <c r="P2020" s="47"/>
      <c r="Q2020" s="47"/>
      <c r="R2020" s="55"/>
      <c r="S2020" s="37" t="str">
        <f>IFERROR(__xludf.DUMMYFUNCTION("if(not(iserror(index(split(C2020, "" ""),2))), index(split(C2020, "" ""),1),"""")"),"")</f>
        <v/>
      </c>
      <c r="T2020" s="315" t="str">
        <f>IFERROR(__xludf.DUMMYFUNCTION("if(S2020="""",C2020,if(not(iserror(index(split(C2020, "" ""),3))), index(split(C2020, "" ""),3),index(split(C2020, "" ""),2)))"),"")</f>
        <v/>
      </c>
      <c r="U2020" s="38" t="b">
        <f t="shared" si="34"/>
        <v>0</v>
      </c>
      <c r="V2020" s="38"/>
      <c r="W2020" s="40"/>
      <c r="X2020" s="40"/>
      <c r="Y2020" s="38"/>
      <c r="Z2020" s="38"/>
      <c r="AA2020" s="38"/>
      <c r="AB2020" s="38"/>
      <c r="AC2020" s="38"/>
      <c r="AD2020" s="38"/>
      <c r="AE2020" s="38"/>
      <c r="AF2020" s="38"/>
      <c r="AG2020" s="38"/>
      <c r="AH2020" s="38"/>
      <c r="AI2020" s="38"/>
      <c r="AJ2020" s="38"/>
      <c r="AK2020" s="38"/>
      <c r="AL2020" s="38"/>
      <c r="AM2020" s="38"/>
      <c r="AN2020" s="38"/>
      <c r="AO2020" s="38"/>
      <c r="AP2020" s="38"/>
      <c r="AQ2020" s="38"/>
      <c r="AR2020" s="38"/>
      <c r="AS2020" s="38"/>
      <c r="AT2020" s="38"/>
      <c r="AU2020" s="38"/>
      <c r="AV2020" s="38"/>
      <c r="AW2020" s="38"/>
      <c r="AX2020" s="38"/>
      <c r="AY2020" s="38"/>
      <c r="AZ2020" s="38"/>
      <c r="BA2020" s="38"/>
      <c r="BB2020" s="38"/>
      <c r="BC2020" s="38"/>
      <c r="BD2020" s="38"/>
      <c r="BE2020" s="38"/>
      <c r="BF2020" s="38"/>
      <c r="BG2020" s="38"/>
      <c r="BH2020" s="38"/>
      <c r="BI2020" s="38"/>
      <c r="BJ2020" s="38"/>
      <c r="BK2020" s="38"/>
      <c r="BL2020" s="38"/>
      <c r="BM2020" s="38"/>
      <c r="BN2020" s="38"/>
      <c r="BO2020" s="38"/>
      <c r="BP2020" s="38"/>
      <c r="BQ2020" s="38"/>
    </row>
    <row r="2021">
      <c r="A2021" s="47"/>
      <c r="B2021" s="343"/>
      <c r="C2021" s="49"/>
      <c r="D2021" s="49"/>
      <c r="E2021" s="47"/>
      <c r="F2021" s="47"/>
      <c r="G2021" s="47"/>
      <c r="H2021" s="33" t="str">
        <f t="shared" si="33"/>
        <v/>
      </c>
      <c r="I2021" s="47"/>
      <c r="J2021" s="47"/>
      <c r="K2021" s="47"/>
      <c r="L2021" s="47"/>
      <c r="M2021" s="52"/>
      <c r="N2021" s="139"/>
      <c r="O2021" s="55"/>
      <c r="P2021" s="47"/>
      <c r="Q2021" s="224"/>
      <c r="R2021" s="55"/>
      <c r="S2021" s="37" t="str">
        <f>IFERROR(__xludf.DUMMYFUNCTION("if(not(iserror(index(split(C2021, "" ""),2))), index(split(C2021, "" ""),1),"""")"),"")</f>
        <v/>
      </c>
      <c r="T2021" s="315" t="str">
        <f>IFERROR(__xludf.DUMMYFUNCTION("if(S2021="""",C2021,if(not(iserror(index(split(C2021, "" ""),3))), index(split(C2021, "" ""),3),index(split(C2021, "" ""),2)))"),"")</f>
        <v/>
      </c>
      <c r="U2021" s="38" t="b">
        <f t="shared" si="34"/>
        <v>0</v>
      </c>
      <c r="V2021" s="38"/>
      <c r="W2021" s="40"/>
      <c r="X2021" s="40"/>
      <c r="Y2021" s="38"/>
      <c r="Z2021" s="38"/>
      <c r="AA2021" s="38"/>
      <c r="AB2021" s="38"/>
      <c r="AC2021" s="38"/>
      <c r="AD2021" s="38"/>
      <c r="AE2021" s="38"/>
      <c r="AF2021" s="38"/>
      <c r="AG2021" s="38"/>
      <c r="AH2021" s="38"/>
      <c r="AI2021" s="38"/>
      <c r="AJ2021" s="38"/>
      <c r="AK2021" s="38"/>
      <c r="AL2021" s="38"/>
      <c r="AM2021" s="38"/>
      <c r="AN2021" s="38"/>
      <c r="AO2021" s="38"/>
      <c r="AP2021" s="38"/>
      <c r="AQ2021" s="38"/>
      <c r="AR2021" s="38"/>
      <c r="AS2021" s="38"/>
      <c r="AT2021" s="38"/>
      <c r="AU2021" s="38"/>
      <c r="AV2021" s="38"/>
      <c r="AW2021" s="38"/>
      <c r="AX2021" s="38"/>
      <c r="AY2021" s="38"/>
      <c r="AZ2021" s="38"/>
      <c r="BA2021" s="38"/>
      <c r="BB2021" s="38"/>
      <c r="BC2021" s="38"/>
      <c r="BD2021" s="38"/>
      <c r="BE2021" s="38"/>
      <c r="BF2021" s="38"/>
      <c r="BG2021" s="38"/>
      <c r="BH2021" s="38"/>
      <c r="BI2021" s="38"/>
      <c r="BJ2021" s="38"/>
      <c r="BK2021" s="38"/>
      <c r="BL2021" s="38"/>
      <c r="BM2021" s="38"/>
      <c r="BN2021" s="38"/>
      <c r="BO2021" s="38"/>
      <c r="BP2021" s="38"/>
      <c r="BQ2021" s="38"/>
    </row>
    <row r="2022">
      <c r="A2022" s="47"/>
      <c r="B2022" s="343"/>
      <c r="C2022" s="49"/>
      <c r="D2022" s="49"/>
      <c r="E2022" s="47"/>
      <c r="F2022" s="47"/>
      <c r="G2022" s="47"/>
      <c r="H2022" s="33" t="str">
        <f t="shared" si="33"/>
        <v/>
      </c>
      <c r="I2022" s="47"/>
      <c r="J2022" s="47"/>
      <c r="K2022" s="47"/>
      <c r="L2022" s="47"/>
      <c r="M2022" s="52"/>
      <c r="N2022" s="80"/>
      <c r="O2022" s="55"/>
      <c r="P2022" s="47"/>
      <c r="Q2022" s="224"/>
      <c r="R2022" s="55"/>
      <c r="S2022" s="37" t="str">
        <f>IFERROR(__xludf.DUMMYFUNCTION("if(not(iserror(index(split(C2022, "" ""),2))), index(split(C2022, "" ""),1),"""")"),"")</f>
        <v/>
      </c>
      <c r="T2022" s="315" t="str">
        <f>IFERROR(__xludf.DUMMYFUNCTION("if(S2022="""",C2022,if(not(iserror(index(split(C2022, "" ""),3))), index(split(C2022, "" ""),3),index(split(C2022, "" ""),2)))"),"")</f>
        <v/>
      </c>
      <c r="U2022" s="38" t="b">
        <f t="shared" si="34"/>
        <v>0</v>
      </c>
      <c r="V2022" s="38"/>
      <c r="W2022" s="40"/>
      <c r="X2022" s="40"/>
      <c r="Y2022" s="38"/>
      <c r="Z2022" s="38"/>
      <c r="AA2022" s="38"/>
      <c r="AB2022" s="38"/>
      <c r="AC2022" s="38"/>
      <c r="AD2022" s="38"/>
      <c r="AE2022" s="38"/>
      <c r="AF2022" s="38"/>
      <c r="AG2022" s="38"/>
      <c r="AH2022" s="38"/>
      <c r="AI2022" s="38"/>
      <c r="AJ2022" s="38"/>
      <c r="AK2022" s="38"/>
      <c r="AL2022" s="38"/>
      <c r="AM2022" s="38"/>
      <c r="AN2022" s="38"/>
      <c r="AO2022" s="38"/>
      <c r="AP2022" s="38"/>
      <c r="AQ2022" s="38"/>
      <c r="AR2022" s="38"/>
      <c r="AS2022" s="38"/>
      <c r="AT2022" s="38"/>
      <c r="AU2022" s="38"/>
      <c r="AV2022" s="38"/>
      <c r="AW2022" s="38"/>
      <c r="AX2022" s="38"/>
      <c r="AY2022" s="38"/>
      <c r="AZ2022" s="38"/>
      <c r="BA2022" s="38"/>
      <c r="BB2022" s="38"/>
      <c r="BC2022" s="38"/>
      <c r="BD2022" s="38"/>
      <c r="BE2022" s="38"/>
      <c r="BF2022" s="38"/>
      <c r="BG2022" s="38"/>
      <c r="BH2022" s="38"/>
      <c r="BI2022" s="38"/>
      <c r="BJ2022" s="38"/>
      <c r="BK2022" s="38"/>
      <c r="BL2022" s="38"/>
      <c r="BM2022" s="38"/>
      <c r="BN2022" s="38"/>
      <c r="BO2022" s="38"/>
      <c r="BP2022" s="38"/>
      <c r="BQ2022" s="38"/>
    </row>
    <row r="2023">
      <c r="A2023" s="47"/>
      <c r="B2023" s="343"/>
      <c r="C2023" s="49"/>
      <c r="D2023" s="49"/>
      <c r="E2023" s="47"/>
      <c r="F2023" s="47"/>
      <c r="G2023" s="47"/>
      <c r="H2023" s="33" t="str">
        <f t="shared" si="33"/>
        <v/>
      </c>
      <c r="I2023" s="47"/>
      <c r="J2023" s="47"/>
      <c r="K2023" s="47"/>
      <c r="L2023" s="47"/>
      <c r="M2023" s="52"/>
      <c r="N2023" s="52"/>
      <c r="O2023" s="55"/>
      <c r="P2023" s="47"/>
      <c r="Q2023" s="47"/>
      <c r="R2023" s="55"/>
      <c r="S2023" s="37" t="str">
        <f>IFERROR(__xludf.DUMMYFUNCTION("if(not(iserror(index(split(C2023, "" ""),2))), index(split(C2023, "" ""),1),"""")"),"")</f>
        <v/>
      </c>
      <c r="T2023" s="315" t="str">
        <f>IFERROR(__xludf.DUMMYFUNCTION("if(S2023="""",C2023,if(not(iserror(index(split(C2023, "" ""),3))), index(split(C2023, "" ""),3),index(split(C2023, "" ""),2)))"),"")</f>
        <v/>
      </c>
      <c r="U2023" s="38" t="b">
        <f t="shared" si="34"/>
        <v>0</v>
      </c>
      <c r="V2023" s="38"/>
      <c r="W2023" s="40"/>
      <c r="X2023" s="40"/>
      <c r="Y2023" s="38"/>
      <c r="Z2023" s="38"/>
      <c r="AA2023" s="38"/>
      <c r="AB2023" s="38"/>
      <c r="AC2023" s="38"/>
      <c r="AD2023" s="38"/>
      <c r="AE2023" s="38"/>
      <c r="AF2023" s="38"/>
      <c r="AG2023" s="38"/>
      <c r="AH2023" s="38"/>
      <c r="AI2023" s="38"/>
      <c r="AJ2023" s="38"/>
      <c r="AK2023" s="38"/>
      <c r="AL2023" s="38"/>
      <c r="AM2023" s="38"/>
      <c r="AN2023" s="38"/>
      <c r="AO2023" s="38"/>
      <c r="AP2023" s="38"/>
      <c r="AQ2023" s="38"/>
      <c r="AR2023" s="38"/>
      <c r="AS2023" s="38"/>
      <c r="AT2023" s="38"/>
      <c r="AU2023" s="38"/>
      <c r="AV2023" s="38"/>
      <c r="AW2023" s="38"/>
      <c r="AX2023" s="38"/>
      <c r="AY2023" s="38"/>
      <c r="AZ2023" s="38"/>
      <c r="BA2023" s="38"/>
      <c r="BB2023" s="38"/>
      <c r="BC2023" s="38"/>
      <c r="BD2023" s="38"/>
      <c r="BE2023" s="38"/>
      <c r="BF2023" s="38"/>
      <c r="BG2023" s="38"/>
      <c r="BH2023" s="38"/>
      <c r="BI2023" s="38"/>
      <c r="BJ2023" s="38"/>
      <c r="BK2023" s="38"/>
      <c r="BL2023" s="38"/>
      <c r="BM2023" s="38"/>
      <c r="BN2023" s="38"/>
      <c r="BO2023" s="38"/>
      <c r="BP2023" s="38"/>
      <c r="BQ2023" s="38"/>
    </row>
    <row r="2024">
      <c r="A2024" s="47"/>
      <c r="B2024" s="343"/>
      <c r="C2024" s="49"/>
      <c r="D2024" s="49"/>
      <c r="E2024" s="47"/>
      <c r="F2024" s="47"/>
      <c r="G2024" s="47"/>
      <c r="H2024" s="33" t="str">
        <f t="shared" si="33"/>
        <v/>
      </c>
      <c r="I2024" s="47"/>
      <c r="J2024" s="47"/>
      <c r="K2024" s="47"/>
      <c r="L2024" s="47"/>
      <c r="M2024" s="52"/>
      <c r="N2024" s="52"/>
      <c r="O2024" s="55"/>
      <c r="P2024" s="47"/>
      <c r="Q2024" s="47"/>
      <c r="R2024" s="55"/>
      <c r="S2024" s="37" t="str">
        <f>IFERROR(__xludf.DUMMYFUNCTION("if(not(iserror(index(split(C2024, "" ""),2))), index(split(C2024, "" ""),1),"""")"),"")</f>
        <v/>
      </c>
      <c r="T2024" s="315" t="str">
        <f>IFERROR(__xludf.DUMMYFUNCTION("if(S2024="""",C2024,if(not(iserror(index(split(C2024, "" ""),3))), index(split(C2024, "" ""),3),index(split(C2024, "" ""),2)))"),"")</f>
        <v/>
      </c>
      <c r="U2024" s="38" t="b">
        <f t="shared" si="34"/>
        <v>0</v>
      </c>
      <c r="V2024" s="38"/>
      <c r="W2024" s="40"/>
      <c r="X2024" s="40"/>
      <c r="Y2024" s="38"/>
      <c r="Z2024" s="38"/>
      <c r="AA2024" s="38"/>
      <c r="AB2024" s="38"/>
      <c r="AC2024" s="38"/>
      <c r="AD2024" s="38"/>
      <c r="AE2024" s="38"/>
      <c r="AF2024" s="38"/>
      <c r="AG2024" s="38"/>
      <c r="AH2024" s="38"/>
      <c r="AI2024" s="38"/>
      <c r="AJ2024" s="38"/>
      <c r="AK2024" s="38"/>
      <c r="AL2024" s="38"/>
      <c r="AM2024" s="38"/>
      <c r="AN2024" s="38"/>
      <c r="AO2024" s="38"/>
      <c r="AP2024" s="38"/>
      <c r="AQ2024" s="38"/>
      <c r="AR2024" s="38"/>
      <c r="AS2024" s="38"/>
      <c r="AT2024" s="38"/>
      <c r="AU2024" s="38"/>
      <c r="AV2024" s="38"/>
      <c r="AW2024" s="38"/>
      <c r="AX2024" s="38"/>
      <c r="AY2024" s="38"/>
      <c r="AZ2024" s="38"/>
      <c r="BA2024" s="38"/>
      <c r="BB2024" s="38"/>
      <c r="BC2024" s="38"/>
      <c r="BD2024" s="38"/>
      <c r="BE2024" s="38"/>
      <c r="BF2024" s="38"/>
      <c r="BG2024" s="38"/>
      <c r="BH2024" s="38"/>
      <c r="BI2024" s="38"/>
      <c r="BJ2024" s="38"/>
      <c r="BK2024" s="38"/>
      <c r="BL2024" s="38"/>
      <c r="BM2024" s="38"/>
      <c r="BN2024" s="38"/>
      <c r="BO2024" s="38"/>
      <c r="BP2024" s="38"/>
      <c r="BQ2024" s="38"/>
    </row>
    <row r="2025">
      <c r="A2025" s="47"/>
      <c r="B2025" s="343"/>
      <c r="C2025" s="49"/>
      <c r="D2025" s="49"/>
      <c r="E2025" s="47"/>
      <c r="F2025" s="47"/>
      <c r="G2025" s="47"/>
      <c r="H2025" s="33" t="str">
        <f t="shared" si="33"/>
        <v/>
      </c>
      <c r="I2025" s="47"/>
      <c r="J2025" s="47"/>
      <c r="K2025" s="47"/>
      <c r="L2025" s="47"/>
      <c r="M2025" s="52"/>
      <c r="N2025" s="52"/>
      <c r="O2025" s="55"/>
      <c r="P2025" s="47"/>
      <c r="Q2025" s="47"/>
      <c r="R2025" s="55"/>
      <c r="S2025" s="37" t="str">
        <f>IFERROR(__xludf.DUMMYFUNCTION("if(not(iserror(index(split(C2025, "" ""),2))), index(split(C2025, "" ""),1),"""")"),"")</f>
        <v/>
      </c>
      <c r="T2025" s="315" t="str">
        <f>IFERROR(__xludf.DUMMYFUNCTION("if(S2025="""",C2025,if(not(iserror(index(split(C2025, "" ""),3))), index(split(C2025, "" ""),3),index(split(C2025, "" ""),2)))"),"")</f>
        <v/>
      </c>
      <c r="U2025" s="38" t="b">
        <f t="shared" si="34"/>
        <v>0</v>
      </c>
      <c r="V2025" s="38"/>
      <c r="W2025" s="40"/>
      <c r="X2025" s="40"/>
      <c r="Y2025" s="38"/>
      <c r="Z2025" s="38"/>
      <c r="AA2025" s="38"/>
      <c r="AB2025" s="38"/>
      <c r="AC2025" s="38"/>
      <c r="AD2025" s="38"/>
      <c r="AE2025" s="38"/>
      <c r="AF2025" s="38"/>
      <c r="AG2025" s="38"/>
      <c r="AH2025" s="38"/>
      <c r="AI2025" s="38"/>
      <c r="AJ2025" s="38"/>
      <c r="AK2025" s="38"/>
      <c r="AL2025" s="38"/>
      <c r="AM2025" s="38"/>
      <c r="AN2025" s="38"/>
      <c r="AO2025" s="38"/>
      <c r="AP2025" s="38"/>
      <c r="AQ2025" s="38"/>
      <c r="AR2025" s="38"/>
      <c r="AS2025" s="38"/>
      <c r="AT2025" s="38"/>
      <c r="AU2025" s="38"/>
      <c r="AV2025" s="38"/>
      <c r="AW2025" s="38"/>
      <c r="AX2025" s="38"/>
      <c r="AY2025" s="38"/>
      <c r="AZ2025" s="38"/>
      <c r="BA2025" s="38"/>
      <c r="BB2025" s="38"/>
      <c r="BC2025" s="38"/>
      <c r="BD2025" s="38"/>
      <c r="BE2025" s="38"/>
      <c r="BF2025" s="38"/>
      <c r="BG2025" s="38"/>
      <c r="BH2025" s="38"/>
      <c r="BI2025" s="38"/>
      <c r="BJ2025" s="38"/>
      <c r="BK2025" s="38"/>
      <c r="BL2025" s="38"/>
      <c r="BM2025" s="38"/>
      <c r="BN2025" s="38"/>
      <c r="BO2025" s="38"/>
      <c r="BP2025" s="38"/>
      <c r="BQ2025" s="38"/>
    </row>
    <row r="2026">
      <c r="A2026" s="47"/>
      <c r="B2026" s="343"/>
      <c r="C2026" s="49"/>
      <c r="D2026" s="49"/>
      <c r="E2026" s="47"/>
      <c r="F2026" s="47"/>
      <c r="G2026" s="47"/>
      <c r="H2026" s="33" t="str">
        <f t="shared" si="33"/>
        <v/>
      </c>
      <c r="I2026" s="47"/>
      <c r="J2026" s="47"/>
      <c r="K2026" s="47"/>
      <c r="L2026" s="47"/>
      <c r="M2026" s="52"/>
      <c r="N2026" s="52"/>
      <c r="O2026" s="55"/>
      <c r="P2026" s="47"/>
      <c r="Q2026" s="47"/>
      <c r="R2026" s="55"/>
      <c r="S2026" s="37" t="str">
        <f>IFERROR(__xludf.DUMMYFUNCTION("if(not(iserror(index(split(C2026, "" ""),2))), index(split(C2026, "" ""),1),"""")"),"")</f>
        <v/>
      </c>
      <c r="T2026" s="315" t="str">
        <f>IFERROR(__xludf.DUMMYFUNCTION("if(S2026="""",C2026,if(not(iserror(index(split(C2026, "" ""),3))), index(split(C2026, "" ""),3),index(split(C2026, "" ""),2)))"),"")</f>
        <v/>
      </c>
      <c r="U2026" s="38" t="b">
        <f t="shared" si="34"/>
        <v>0</v>
      </c>
      <c r="V2026" s="38"/>
      <c r="W2026" s="40"/>
      <c r="X2026" s="40"/>
      <c r="Y2026" s="38"/>
      <c r="Z2026" s="38"/>
      <c r="AA2026" s="38"/>
      <c r="AB2026" s="38"/>
      <c r="AC2026" s="38"/>
      <c r="AD2026" s="38"/>
      <c r="AE2026" s="38"/>
      <c r="AF2026" s="38"/>
      <c r="AG2026" s="38"/>
      <c r="AH2026" s="38"/>
      <c r="AI2026" s="38"/>
      <c r="AJ2026" s="38"/>
      <c r="AK2026" s="38"/>
      <c r="AL2026" s="38"/>
      <c r="AM2026" s="38"/>
      <c r="AN2026" s="38"/>
      <c r="AO2026" s="38"/>
      <c r="AP2026" s="38"/>
      <c r="AQ2026" s="38"/>
      <c r="AR2026" s="38"/>
      <c r="AS2026" s="38"/>
      <c r="AT2026" s="38"/>
      <c r="AU2026" s="38"/>
      <c r="AV2026" s="38"/>
      <c r="AW2026" s="38"/>
      <c r="AX2026" s="38"/>
      <c r="AY2026" s="38"/>
      <c r="AZ2026" s="38"/>
      <c r="BA2026" s="38"/>
      <c r="BB2026" s="38"/>
      <c r="BC2026" s="38"/>
      <c r="BD2026" s="38"/>
      <c r="BE2026" s="38"/>
      <c r="BF2026" s="38"/>
      <c r="BG2026" s="38"/>
      <c r="BH2026" s="38"/>
      <c r="BI2026" s="38"/>
      <c r="BJ2026" s="38"/>
      <c r="BK2026" s="38"/>
      <c r="BL2026" s="38"/>
      <c r="BM2026" s="38"/>
      <c r="BN2026" s="38"/>
      <c r="BO2026" s="38"/>
      <c r="BP2026" s="38"/>
      <c r="BQ2026" s="38"/>
    </row>
    <row r="2027">
      <c r="A2027" s="47"/>
      <c r="B2027" s="343"/>
      <c r="C2027" s="49"/>
      <c r="D2027" s="49"/>
      <c r="E2027" s="47"/>
      <c r="F2027" s="47"/>
      <c r="G2027" s="47"/>
      <c r="H2027" s="33" t="str">
        <f t="shared" si="33"/>
        <v/>
      </c>
      <c r="I2027" s="47"/>
      <c r="J2027" s="47"/>
      <c r="K2027" s="47"/>
      <c r="L2027" s="47"/>
      <c r="M2027" s="52"/>
      <c r="N2027" s="52"/>
      <c r="O2027" s="55"/>
      <c r="P2027" s="47"/>
      <c r="Q2027" s="47"/>
      <c r="R2027" s="55"/>
      <c r="S2027" s="37" t="str">
        <f>IFERROR(__xludf.DUMMYFUNCTION("if(not(iserror(index(split(C2027, "" ""),2))), index(split(C2027, "" ""),1),"""")"),"")</f>
        <v/>
      </c>
      <c r="T2027" s="315" t="str">
        <f>IFERROR(__xludf.DUMMYFUNCTION("if(S2027="""",C2027,if(not(iserror(index(split(C2027, "" ""),3))), index(split(C2027, "" ""),3),index(split(C2027, "" ""),2)))"),"")</f>
        <v/>
      </c>
      <c r="U2027" s="38" t="b">
        <f t="shared" si="34"/>
        <v>0</v>
      </c>
      <c r="V2027" s="38"/>
      <c r="W2027" s="40"/>
      <c r="X2027" s="40"/>
      <c r="Y2027" s="38"/>
      <c r="Z2027" s="38"/>
      <c r="AA2027" s="38"/>
      <c r="AB2027" s="38"/>
      <c r="AC2027" s="38"/>
      <c r="AD2027" s="38"/>
      <c r="AE2027" s="38"/>
      <c r="AF2027" s="38"/>
      <c r="AG2027" s="38"/>
      <c r="AH2027" s="38"/>
      <c r="AI2027" s="38"/>
      <c r="AJ2027" s="38"/>
      <c r="AK2027" s="38"/>
      <c r="AL2027" s="38"/>
      <c r="AM2027" s="38"/>
      <c r="AN2027" s="38"/>
      <c r="AO2027" s="38"/>
      <c r="AP2027" s="38"/>
      <c r="AQ2027" s="38"/>
      <c r="AR2027" s="38"/>
      <c r="AS2027" s="38"/>
      <c r="AT2027" s="38"/>
      <c r="AU2027" s="38"/>
      <c r="AV2027" s="38"/>
      <c r="AW2027" s="38"/>
      <c r="AX2027" s="38"/>
      <c r="AY2027" s="38"/>
      <c r="AZ2027" s="38"/>
      <c r="BA2027" s="38"/>
      <c r="BB2027" s="38"/>
      <c r="BC2027" s="38"/>
      <c r="BD2027" s="38"/>
      <c r="BE2027" s="38"/>
      <c r="BF2027" s="38"/>
      <c r="BG2027" s="38"/>
      <c r="BH2027" s="38"/>
      <c r="BI2027" s="38"/>
      <c r="BJ2027" s="38"/>
      <c r="BK2027" s="38"/>
      <c r="BL2027" s="38"/>
      <c r="BM2027" s="38"/>
      <c r="BN2027" s="38"/>
      <c r="BO2027" s="38"/>
      <c r="BP2027" s="38"/>
      <c r="BQ2027" s="38"/>
    </row>
    <row r="2028">
      <c r="A2028" s="47"/>
      <c r="B2028" s="343"/>
      <c r="C2028" s="49"/>
      <c r="D2028" s="49"/>
      <c r="E2028" s="47"/>
      <c r="F2028" s="47"/>
      <c r="G2028" s="47"/>
      <c r="H2028" s="33" t="str">
        <f t="shared" si="33"/>
        <v/>
      </c>
      <c r="I2028" s="47"/>
      <c r="J2028" s="47"/>
      <c r="K2028" s="47"/>
      <c r="L2028" s="47"/>
      <c r="M2028" s="52"/>
      <c r="N2028" s="52"/>
      <c r="O2028" s="55"/>
      <c r="P2028" s="47"/>
      <c r="Q2028" s="47"/>
      <c r="R2028" s="55"/>
      <c r="S2028" s="37" t="str">
        <f>IFERROR(__xludf.DUMMYFUNCTION("if(not(iserror(index(split(C2028, "" ""),2))), index(split(C2028, "" ""),1),"""")"),"")</f>
        <v/>
      </c>
      <c r="T2028" s="315" t="str">
        <f>IFERROR(__xludf.DUMMYFUNCTION("if(S2028="""",C2028,if(not(iserror(index(split(C2028, "" ""),3))), index(split(C2028, "" ""),3),index(split(C2028, "" ""),2)))"),"")</f>
        <v/>
      </c>
      <c r="U2028" s="38" t="b">
        <f t="shared" si="34"/>
        <v>0</v>
      </c>
      <c r="V2028" s="38"/>
      <c r="W2028" s="40"/>
      <c r="X2028" s="40"/>
      <c r="Y2028" s="38"/>
      <c r="Z2028" s="38"/>
      <c r="AA2028" s="38"/>
      <c r="AB2028" s="38"/>
      <c r="AC2028" s="38"/>
      <c r="AD2028" s="38"/>
      <c r="AE2028" s="38"/>
      <c r="AF2028" s="38"/>
      <c r="AG2028" s="38"/>
      <c r="AH2028" s="38"/>
      <c r="AI2028" s="38"/>
      <c r="AJ2028" s="38"/>
      <c r="AK2028" s="38"/>
      <c r="AL2028" s="38"/>
      <c r="AM2028" s="38"/>
      <c r="AN2028" s="38"/>
      <c r="AO2028" s="38"/>
      <c r="AP2028" s="38"/>
      <c r="AQ2028" s="38"/>
      <c r="AR2028" s="38"/>
      <c r="AS2028" s="38"/>
      <c r="AT2028" s="38"/>
      <c r="AU2028" s="38"/>
      <c r="AV2028" s="38"/>
      <c r="AW2028" s="38"/>
      <c r="AX2028" s="38"/>
      <c r="AY2028" s="38"/>
      <c r="AZ2028" s="38"/>
      <c r="BA2028" s="38"/>
      <c r="BB2028" s="38"/>
      <c r="BC2028" s="38"/>
      <c r="BD2028" s="38"/>
      <c r="BE2028" s="38"/>
      <c r="BF2028" s="38"/>
      <c r="BG2028" s="38"/>
      <c r="BH2028" s="38"/>
      <c r="BI2028" s="38"/>
      <c r="BJ2028" s="38"/>
      <c r="BK2028" s="38"/>
      <c r="BL2028" s="38"/>
      <c r="BM2028" s="38"/>
      <c r="BN2028" s="38"/>
      <c r="BO2028" s="38"/>
      <c r="BP2028" s="38"/>
      <c r="BQ2028" s="38"/>
    </row>
    <row r="2029">
      <c r="A2029" s="47"/>
      <c r="B2029" s="343"/>
      <c r="C2029" s="49"/>
      <c r="D2029" s="49"/>
      <c r="E2029" s="47"/>
      <c r="F2029" s="47"/>
      <c r="G2029" s="47"/>
      <c r="H2029" s="33" t="str">
        <f t="shared" si="33"/>
        <v/>
      </c>
      <c r="I2029" s="47"/>
      <c r="J2029" s="47"/>
      <c r="K2029" s="47"/>
      <c r="L2029" s="47"/>
      <c r="M2029" s="52"/>
      <c r="N2029" s="52"/>
      <c r="O2029" s="55"/>
      <c r="P2029" s="47"/>
      <c r="Q2029" s="47"/>
      <c r="R2029" s="55"/>
      <c r="S2029" s="37" t="str">
        <f>IFERROR(__xludf.DUMMYFUNCTION("if(not(iserror(index(split(C2029, "" ""),2))), index(split(C2029, "" ""),1),"""")"),"")</f>
        <v/>
      </c>
      <c r="T2029" s="315" t="str">
        <f>IFERROR(__xludf.DUMMYFUNCTION("if(S2029="""",C2029,if(not(iserror(index(split(C2029, "" ""),3))), index(split(C2029, "" ""),3),index(split(C2029, "" ""),2)))"),"")</f>
        <v/>
      </c>
      <c r="U2029" s="38" t="b">
        <f t="shared" si="34"/>
        <v>0</v>
      </c>
      <c r="V2029" s="38"/>
      <c r="W2029" s="40"/>
      <c r="X2029" s="40"/>
      <c r="Y2029" s="38"/>
      <c r="Z2029" s="38"/>
      <c r="AA2029" s="38"/>
      <c r="AB2029" s="38"/>
      <c r="AC2029" s="38"/>
      <c r="AD2029" s="38"/>
      <c r="AE2029" s="38"/>
      <c r="AF2029" s="38"/>
      <c r="AG2029" s="38"/>
      <c r="AH2029" s="38"/>
      <c r="AI2029" s="38"/>
      <c r="AJ2029" s="38"/>
      <c r="AK2029" s="38"/>
      <c r="AL2029" s="38"/>
      <c r="AM2029" s="38"/>
      <c r="AN2029" s="38"/>
      <c r="AO2029" s="38"/>
      <c r="AP2029" s="38"/>
      <c r="AQ2029" s="38"/>
      <c r="AR2029" s="38"/>
      <c r="AS2029" s="38"/>
      <c r="AT2029" s="38"/>
      <c r="AU2029" s="38"/>
      <c r="AV2029" s="38"/>
      <c r="AW2029" s="38"/>
      <c r="AX2029" s="38"/>
      <c r="AY2029" s="38"/>
      <c r="AZ2029" s="38"/>
      <c r="BA2029" s="38"/>
      <c r="BB2029" s="38"/>
      <c r="BC2029" s="38"/>
      <c r="BD2029" s="38"/>
      <c r="BE2029" s="38"/>
      <c r="BF2029" s="38"/>
      <c r="BG2029" s="38"/>
      <c r="BH2029" s="38"/>
      <c r="BI2029" s="38"/>
      <c r="BJ2029" s="38"/>
      <c r="BK2029" s="38"/>
      <c r="BL2029" s="38"/>
      <c r="BM2029" s="38"/>
      <c r="BN2029" s="38"/>
      <c r="BO2029" s="38"/>
      <c r="BP2029" s="38"/>
      <c r="BQ2029" s="38"/>
    </row>
    <row r="2030">
      <c r="A2030" s="47"/>
      <c r="B2030" s="343"/>
      <c r="C2030" s="49"/>
      <c r="D2030" s="49"/>
      <c r="E2030" s="47"/>
      <c r="F2030" s="47"/>
      <c r="G2030" s="47"/>
      <c r="H2030" s="33" t="str">
        <f t="shared" si="33"/>
        <v/>
      </c>
      <c r="I2030" s="47"/>
      <c r="J2030" s="47"/>
      <c r="K2030" s="47"/>
      <c r="L2030" s="47"/>
      <c r="M2030" s="52"/>
      <c r="N2030" s="52"/>
      <c r="O2030" s="55"/>
      <c r="P2030" s="47"/>
      <c r="Q2030" s="47"/>
      <c r="R2030" s="55"/>
      <c r="S2030" s="37" t="str">
        <f>IFERROR(__xludf.DUMMYFUNCTION("if(not(iserror(index(split(C2030, "" ""),2))), index(split(C2030, "" ""),1),"""")"),"")</f>
        <v/>
      </c>
      <c r="T2030" s="315" t="str">
        <f>IFERROR(__xludf.DUMMYFUNCTION("if(S2030="""",C2030,if(not(iserror(index(split(C2030, "" ""),3))), index(split(C2030, "" ""),3),index(split(C2030, "" ""),2)))"),"")</f>
        <v/>
      </c>
      <c r="U2030" s="38" t="b">
        <f t="shared" si="34"/>
        <v>0</v>
      </c>
      <c r="V2030" s="38"/>
      <c r="W2030" s="40"/>
      <c r="X2030" s="40"/>
      <c r="Y2030" s="38"/>
      <c r="Z2030" s="38"/>
      <c r="AA2030" s="38"/>
      <c r="AB2030" s="38"/>
      <c r="AC2030" s="38"/>
      <c r="AD2030" s="38"/>
      <c r="AE2030" s="38"/>
      <c r="AF2030" s="38"/>
      <c r="AG2030" s="38"/>
      <c r="AH2030" s="38"/>
      <c r="AI2030" s="38"/>
      <c r="AJ2030" s="38"/>
      <c r="AK2030" s="38"/>
      <c r="AL2030" s="38"/>
      <c r="AM2030" s="38"/>
      <c r="AN2030" s="38"/>
      <c r="AO2030" s="38"/>
      <c r="AP2030" s="38"/>
      <c r="AQ2030" s="38"/>
      <c r="AR2030" s="38"/>
      <c r="AS2030" s="38"/>
      <c r="AT2030" s="38"/>
      <c r="AU2030" s="38"/>
      <c r="AV2030" s="38"/>
      <c r="AW2030" s="38"/>
      <c r="AX2030" s="38"/>
      <c r="AY2030" s="38"/>
      <c r="AZ2030" s="38"/>
      <c r="BA2030" s="38"/>
      <c r="BB2030" s="38"/>
      <c r="BC2030" s="38"/>
      <c r="BD2030" s="38"/>
      <c r="BE2030" s="38"/>
      <c r="BF2030" s="38"/>
      <c r="BG2030" s="38"/>
      <c r="BH2030" s="38"/>
      <c r="BI2030" s="38"/>
      <c r="BJ2030" s="38"/>
      <c r="BK2030" s="38"/>
      <c r="BL2030" s="38"/>
      <c r="BM2030" s="38"/>
      <c r="BN2030" s="38"/>
      <c r="BO2030" s="38"/>
      <c r="BP2030" s="38"/>
      <c r="BQ2030" s="38"/>
    </row>
    <row r="2031">
      <c r="A2031" s="47"/>
      <c r="B2031" s="343"/>
      <c r="C2031" s="49"/>
      <c r="D2031" s="49"/>
      <c r="E2031" s="47"/>
      <c r="F2031" s="47"/>
      <c r="G2031" s="47"/>
      <c r="H2031" s="33" t="str">
        <f t="shared" si="33"/>
        <v/>
      </c>
      <c r="I2031" s="47"/>
      <c r="J2031" s="47"/>
      <c r="K2031" s="47"/>
      <c r="L2031" s="47"/>
      <c r="M2031" s="52"/>
      <c r="N2031" s="52"/>
      <c r="O2031" s="55"/>
      <c r="P2031" s="47"/>
      <c r="Q2031" s="47"/>
      <c r="R2031" s="55"/>
      <c r="S2031" s="37" t="str">
        <f>IFERROR(__xludf.DUMMYFUNCTION("if(not(iserror(index(split(C2031, "" ""),2))), index(split(C2031, "" ""),1),"""")"),"")</f>
        <v/>
      </c>
      <c r="T2031" s="315" t="str">
        <f>IFERROR(__xludf.DUMMYFUNCTION("if(S2031="""",C2031,if(not(iserror(index(split(C2031, "" ""),3))), index(split(C2031, "" ""),3),index(split(C2031, "" ""),2)))"),"")</f>
        <v/>
      </c>
      <c r="U2031" s="38" t="b">
        <f t="shared" si="34"/>
        <v>0</v>
      </c>
      <c r="V2031" s="38"/>
      <c r="W2031" s="40"/>
      <c r="X2031" s="40"/>
      <c r="Y2031" s="38"/>
      <c r="Z2031" s="38"/>
      <c r="AA2031" s="38"/>
      <c r="AB2031" s="38"/>
      <c r="AC2031" s="38"/>
      <c r="AD2031" s="38"/>
      <c r="AE2031" s="38"/>
      <c r="AF2031" s="38"/>
      <c r="AG2031" s="38"/>
      <c r="AH2031" s="38"/>
      <c r="AI2031" s="38"/>
      <c r="AJ2031" s="38"/>
      <c r="AK2031" s="38"/>
      <c r="AL2031" s="38"/>
      <c r="AM2031" s="38"/>
      <c r="AN2031" s="38"/>
      <c r="AO2031" s="38"/>
      <c r="AP2031" s="38"/>
      <c r="AQ2031" s="38"/>
      <c r="AR2031" s="38"/>
      <c r="AS2031" s="38"/>
      <c r="AT2031" s="38"/>
      <c r="AU2031" s="38"/>
      <c r="AV2031" s="38"/>
      <c r="AW2031" s="38"/>
      <c r="AX2031" s="38"/>
      <c r="AY2031" s="38"/>
      <c r="AZ2031" s="38"/>
      <c r="BA2031" s="38"/>
      <c r="BB2031" s="38"/>
      <c r="BC2031" s="38"/>
      <c r="BD2031" s="38"/>
      <c r="BE2031" s="38"/>
      <c r="BF2031" s="38"/>
      <c r="BG2031" s="38"/>
      <c r="BH2031" s="38"/>
      <c r="BI2031" s="38"/>
      <c r="BJ2031" s="38"/>
      <c r="BK2031" s="38"/>
      <c r="BL2031" s="38"/>
      <c r="BM2031" s="38"/>
      <c r="BN2031" s="38"/>
      <c r="BO2031" s="38"/>
      <c r="BP2031" s="38"/>
      <c r="BQ2031" s="38"/>
    </row>
    <row r="2032">
      <c r="A2032" s="47"/>
      <c r="B2032" s="343"/>
      <c r="C2032" s="49"/>
      <c r="D2032" s="49"/>
      <c r="E2032" s="47"/>
      <c r="F2032" s="47"/>
      <c r="G2032" s="47"/>
      <c r="H2032" s="33" t="str">
        <f t="shared" si="33"/>
        <v/>
      </c>
      <c r="I2032" s="47"/>
      <c r="J2032" s="47"/>
      <c r="K2032" s="47"/>
      <c r="L2032" s="47"/>
      <c r="M2032" s="52"/>
      <c r="N2032" s="52"/>
      <c r="O2032" s="55"/>
      <c r="P2032" s="47"/>
      <c r="Q2032" s="47"/>
      <c r="R2032" s="55"/>
      <c r="S2032" s="37" t="str">
        <f>IFERROR(__xludf.DUMMYFUNCTION("if(not(iserror(index(split(C2032, "" ""),2))), index(split(C2032, "" ""),1),"""")"),"")</f>
        <v/>
      </c>
      <c r="T2032" s="315" t="str">
        <f>IFERROR(__xludf.DUMMYFUNCTION("if(S2032="""",C2032,if(not(iserror(index(split(C2032, "" ""),3))), index(split(C2032, "" ""),3),index(split(C2032, "" ""),2)))"),"")</f>
        <v/>
      </c>
      <c r="U2032" s="38" t="b">
        <f t="shared" si="34"/>
        <v>0</v>
      </c>
      <c r="V2032" s="38"/>
      <c r="W2032" s="40"/>
      <c r="X2032" s="40"/>
      <c r="Y2032" s="38"/>
      <c r="Z2032" s="38"/>
      <c r="AA2032" s="38"/>
      <c r="AB2032" s="38"/>
      <c r="AC2032" s="38"/>
      <c r="AD2032" s="38"/>
      <c r="AE2032" s="38"/>
      <c r="AF2032" s="38"/>
      <c r="AG2032" s="38"/>
      <c r="AH2032" s="38"/>
      <c r="AI2032" s="38"/>
      <c r="AJ2032" s="38"/>
      <c r="AK2032" s="38"/>
      <c r="AL2032" s="38"/>
      <c r="AM2032" s="38"/>
      <c r="AN2032" s="38"/>
      <c r="AO2032" s="38"/>
      <c r="AP2032" s="38"/>
      <c r="AQ2032" s="38"/>
      <c r="AR2032" s="38"/>
      <c r="AS2032" s="38"/>
      <c r="AT2032" s="38"/>
      <c r="AU2032" s="38"/>
      <c r="AV2032" s="38"/>
      <c r="AW2032" s="38"/>
      <c r="AX2032" s="38"/>
      <c r="AY2032" s="38"/>
      <c r="AZ2032" s="38"/>
      <c r="BA2032" s="38"/>
      <c r="BB2032" s="38"/>
      <c r="BC2032" s="38"/>
      <c r="BD2032" s="38"/>
      <c r="BE2032" s="38"/>
      <c r="BF2032" s="38"/>
      <c r="BG2032" s="38"/>
      <c r="BH2032" s="38"/>
      <c r="BI2032" s="38"/>
      <c r="BJ2032" s="38"/>
      <c r="BK2032" s="38"/>
      <c r="BL2032" s="38"/>
      <c r="BM2032" s="38"/>
      <c r="BN2032" s="38"/>
      <c r="BO2032" s="38"/>
      <c r="BP2032" s="38"/>
      <c r="BQ2032" s="38"/>
    </row>
    <row r="2033">
      <c r="A2033" s="47"/>
      <c r="B2033" s="343"/>
      <c r="C2033" s="49"/>
      <c r="D2033" s="49"/>
      <c r="E2033" s="47"/>
      <c r="F2033" s="47"/>
      <c r="G2033" s="47"/>
      <c r="H2033" s="33" t="str">
        <f t="shared" si="33"/>
        <v/>
      </c>
      <c r="I2033" s="47"/>
      <c r="J2033" s="47"/>
      <c r="K2033" s="47"/>
      <c r="L2033" s="47"/>
      <c r="M2033" s="52"/>
      <c r="N2033" s="52"/>
      <c r="O2033" s="55"/>
      <c r="P2033" s="47"/>
      <c r="Q2033" s="47"/>
      <c r="R2033" s="55"/>
      <c r="S2033" s="37" t="str">
        <f>IFERROR(__xludf.DUMMYFUNCTION("if(not(iserror(index(split(C2033, "" ""),2))), index(split(C2033, "" ""),1),"""")"),"")</f>
        <v/>
      </c>
      <c r="T2033" s="315" t="str">
        <f>IFERROR(__xludf.DUMMYFUNCTION("if(S2033="""",C2033,if(not(iserror(index(split(C2033, "" ""),3))), index(split(C2033, "" ""),3),index(split(C2033, "" ""),2)))"),"")</f>
        <v/>
      </c>
      <c r="U2033" s="38" t="b">
        <f t="shared" si="34"/>
        <v>0</v>
      </c>
      <c r="V2033" s="38"/>
      <c r="W2033" s="40"/>
      <c r="X2033" s="40"/>
      <c r="Y2033" s="38"/>
      <c r="Z2033" s="38"/>
      <c r="AA2033" s="38"/>
      <c r="AB2033" s="38"/>
      <c r="AC2033" s="38"/>
      <c r="AD2033" s="38"/>
      <c r="AE2033" s="38"/>
      <c r="AF2033" s="38"/>
      <c r="AG2033" s="38"/>
      <c r="AH2033" s="38"/>
      <c r="AI2033" s="38"/>
      <c r="AJ2033" s="38"/>
      <c r="AK2033" s="38"/>
      <c r="AL2033" s="38"/>
      <c r="AM2033" s="38"/>
      <c r="AN2033" s="38"/>
      <c r="AO2033" s="38"/>
      <c r="AP2033" s="38"/>
      <c r="AQ2033" s="38"/>
      <c r="AR2033" s="38"/>
      <c r="AS2033" s="38"/>
      <c r="AT2033" s="38"/>
      <c r="AU2033" s="38"/>
      <c r="AV2033" s="38"/>
      <c r="AW2033" s="38"/>
      <c r="AX2033" s="38"/>
      <c r="AY2033" s="38"/>
      <c r="AZ2033" s="38"/>
      <c r="BA2033" s="38"/>
      <c r="BB2033" s="38"/>
      <c r="BC2033" s="38"/>
      <c r="BD2033" s="38"/>
      <c r="BE2033" s="38"/>
      <c r="BF2033" s="38"/>
      <c r="BG2033" s="38"/>
      <c r="BH2033" s="38"/>
      <c r="BI2033" s="38"/>
      <c r="BJ2033" s="38"/>
      <c r="BK2033" s="38"/>
      <c r="BL2033" s="38"/>
      <c r="BM2033" s="38"/>
      <c r="BN2033" s="38"/>
      <c r="BO2033" s="38"/>
      <c r="BP2033" s="38"/>
      <c r="BQ2033" s="38"/>
    </row>
    <row r="2034">
      <c r="A2034" s="47"/>
      <c r="B2034" s="343"/>
      <c r="C2034" s="49"/>
      <c r="D2034" s="49"/>
      <c r="E2034" s="47"/>
      <c r="F2034" s="47"/>
      <c r="G2034" s="47"/>
      <c r="H2034" s="33" t="str">
        <f t="shared" si="33"/>
        <v/>
      </c>
      <c r="I2034" s="47"/>
      <c r="J2034" s="47"/>
      <c r="K2034" s="47"/>
      <c r="L2034" s="47"/>
      <c r="M2034" s="52"/>
      <c r="N2034" s="52"/>
      <c r="O2034" s="55"/>
      <c r="P2034" s="47"/>
      <c r="Q2034" s="47"/>
      <c r="R2034" s="55"/>
      <c r="S2034" s="37" t="str">
        <f>IFERROR(__xludf.DUMMYFUNCTION("if(not(iserror(index(split(C2034, "" ""),2))), index(split(C2034, "" ""),1),"""")"),"")</f>
        <v/>
      </c>
      <c r="T2034" s="315" t="str">
        <f>IFERROR(__xludf.DUMMYFUNCTION("if(S2034="""",C2034,if(not(iserror(index(split(C2034, "" ""),3))), index(split(C2034, "" ""),3),index(split(C2034, "" ""),2)))"),"")</f>
        <v/>
      </c>
      <c r="U2034" s="38" t="b">
        <f t="shared" si="34"/>
        <v>0</v>
      </c>
      <c r="V2034" s="38"/>
      <c r="W2034" s="40"/>
      <c r="X2034" s="40"/>
      <c r="Y2034" s="38"/>
      <c r="Z2034" s="38"/>
      <c r="AA2034" s="38"/>
      <c r="AB2034" s="38"/>
      <c r="AC2034" s="38"/>
      <c r="AD2034" s="38"/>
      <c r="AE2034" s="38"/>
      <c r="AF2034" s="38"/>
      <c r="AG2034" s="38"/>
      <c r="AH2034" s="38"/>
      <c r="AI2034" s="38"/>
      <c r="AJ2034" s="38"/>
      <c r="AK2034" s="38"/>
      <c r="AL2034" s="38"/>
      <c r="AM2034" s="38"/>
      <c r="AN2034" s="38"/>
      <c r="AO2034" s="38"/>
      <c r="AP2034" s="38"/>
      <c r="AQ2034" s="38"/>
      <c r="AR2034" s="38"/>
      <c r="AS2034" s="38"/>
      <c r="AT2034" s="38"/>
      <c r="AU2034" s="38"/>
      <c r="AV2034" s="38"/>
      <c r="AW2034" s="38"/>
      <c r="AX2034" s="38"/>
      <c r="AY2034" s="38"/>
      <c r="AZ2034" s="38"/>
      <c r="BA2034" s="38"/>
      <c r="BB2034" s="38"/>
      <c r="BC2034" s="38"/>
      <c r="BD2034" s="38"/>
      <c r="BE2034" s="38"/>
      <c r="BF2034" s="38"/>
      <c r="BG2034" s="38"/>
      <c r="BH2034" s="38"/>
      <c r="BI2034" s="38"/>
      <c r="BJ2034" s="38"/>
      <c r="BK2034" s="38"/>
      <c r="BL2034" s="38"/>
      <c r="BM2034" s="38"/>
      <c r="BN2034" s="38"/>
      <c r="BO2034" s="38"/>
      <c r="BP2034" s="38"/>
      <c r="BQ2034" s="38"/>
    </row>
    <row r="2035">
      <c r="A2035" s="16"/>
      <c r="B2035" s="318"/>
      <c r="C2035" s="146"/>
      <c r="D2035" s="146"/>
      <c r="E2035" s="16"/>
      <c r="F2035" s="318"/>
      <c r="G2035" s="319"/>
      <c r="H2035" s="33" t="str">
        <f t="shared" si="33"/>
        <v/>
      </c>
      <c r="I2035" s="16"/>
      <c r="J2035" s="16"/>
      <c r="K2035" s="16"/>
      <c r="L2035" s="16"/>
      <c r="M2035" s="15"/>
      <c r="N2035" s="15"/>
      <c r="O2035" s="16"/>
      <c r="P2035" s="16"/>
      <c r="Q2035" s="16"/>
      <c r="R2035" s="16"/>
      <c r="S2035" s="37" t="str">
        <f>IFERROR(__xludf.DUMMYFUNCTION("if(not(iserror(index(split(C2035, "" ""),2))), index(split(C2035, "" ""),1),"""")"),"")</f>
        <v/>
      </c>
      <c r="T2035" s="315" t="str">
        <f>IFERROR(__xludf.DUMMYFUNCTION("if(S2035="""",C2035,if(not(iserror(index(split(C2035, "" ""),3))), index(split(C2035, "" ""),3),index(split(C2035, "" ""),2)))"),"")</f>
        <v/>
      </c>
      <c r="U2035" s="38" t="b">
        <f t="shared" si="34"/>
        <v>0</v>
      </c>
      <c r="V2035" s="38"/>
      <c r="W2035" s="40"/>
      <c r="X2035" s="40"/>
      <c r="Y2035" s="38"/>
      <c r="Z2035" s="38"/>
      <c r="AA2035" s="38"/>
      <c r="AB2035" s="38"/>
      <c r="AC2035" s="38"/>
      <c r="AD2035" s="38"/>
      <c r="AE2035" s="38"/>
      <c r="AF2035" s="38"/>
      <c r="AG2035" s="38"/>
      <c r="AH2035" s="38"/>
      <c r="AI2035" s="38"/>
      <c r="AJ2035" s="38"/>
      <c r="AK2035" s="38"/>
      <c r="AL2035" s="38"/>
      <c r="AM2035" s="38"/>
      <c r="AN2035" s="38"/>
      <c r="AO2035" s="38"/>
      <c r="AP2035" s="38"/>
      <c r="AQ2035" s="38"/>
      <c r="AR2035" s="38"/>
      <c r="AS2035" s="38"/>
      <c r="AT2035" s="38"/>
      <c r="AU2035" s="38"/>
      <c r="AV2035" s="38"/>
      <c r="AW2035" s="38"/>
      <c r="AX2035" s="38"/>
      <c r="AY2035" s="38"/>
      <c r="AZ2035" s="38"/>
      <c r="BA2035" s="38"/>
      <c r="BB2035" s="38"/>
      <c r="BC2035" s="38"/>
      <c r="BD2035" s="38"/>
      <c r="BE2035" s="38"/>
      <c r="BF2035" s="38"/>
      <c r="BG2035" s="38"/>
      <c r="BH2035" s="38"/>
      <c r="BI2035" s="38"/>
      <c r="BJ2035" s="38"/>
      <c r="BK2035" s="38"/>
      <c r="BL2035" s="38"/>
      <c r="BM2035" s="38"/>
      <c r="BN2035" s="38"/>
      <c r="BO2035" s="38"/>
      <c r="BP2035" s="38"/>
      <c r="BQ2035" s="38"/>
    </row>
    <row r="2036">
      <c r="A2036" s="16"/>
      <c r="B2036" s="380"/>
      <c r="C2036" s="146"/>
      <c r="D2036" s="146"/>
      <c r="E2036" s="16"/>
      <c r="F2036" s="91"/>
      <c r="G2036" s="16"/>
      <c r="H2036" s="320" t="str">
        <f t="shared" si="33"/>
        <v/>
      </c>
      <c r="I2036" s="16"/>
      <c r="J2036" s="16"/>
      <c r="K2036" s="16"/>
      <c r="L2036" s="16"/>
      <c r="M2036" s="15"/>
      <c r="N2036" s="15"/>
      <c r="O2036" s="16"/>
      <c r="P2036" s="16"/>
      <c r="Q2036" s="16"/>
      <c r="R2036" s="16"/>
      <c r="S2036" s="37" t="str">
        <f>IFERROR(__xludf.DUMMYFUNCTION("if(not(iserror(index(split(C2036, "" ""),2))), index(split(C2036, "" ""),1),"""")"),"")</f>
        <v/>
      </c>
      <c r="T2036" s="315" t="str">
        <f>IFERROR(__xludf.DUMMYFUNCTION("if(S2036="""",C2036,if(not(iserror(index(split(C2036, "" ""),3))), index(split(C2036, "" ""),3),index(split(C2036, "" ""),2)))"),"")</f>
        <v/>
      </c>
      <c r="U2036" s="38" t="b">
        <f t="shared" si="34"/>
        <v>0</v>
      </c>
      <c r="V2036" s="38"/>
      <c r="W2036" s="40"/>
      <c r="X2036" s="40"/>
      <c r="Y2036" s="38"/>
      <c r="Z2036" s="38"/>
      <c r="AA2036" s="38"/>
      <c r="AB2036" s="38"/>
      <c r="AC2036" s="38"/>
      <c r="AD2036" s="38"/>
      <c r="AE2036" s="38"/>
      <c r="AF2036" s="38"/>
      <c r="AG2036" s="38"/>
      <c r="AH2036" s="38"/>
      <c r="AI2036" s="38"/>
      <c r="AJ2036" s="38"/>
      <c r="AK2036" s="38"/>
      <c r="AL2036" s="38"/>
      <c r="AM2036" s="38"/>
      <c r="AN2036" s="38"/>
      <c r="AO2036" s="38"/>
      <c r="AP2036" s="38"/>
      <c r="AQ2036" s="38"/>
      <c r="AR2036" s="38"/>
      <c r="AS2036" s="38"/>
      <c r="AT2036" s="38"/>
      <c r="AU2036" s="38"/>
      <c r="AV2036" s="38"/>
      <c r="AW2036" s="38"/>
      <c r="AX2036" s="38"/>
      <c r="AY2036" s="38"/>
      <c r="AZ2036" s="38"/>
      <c r="BA2036" s="38"/>
      <c r="BB2036" s="38"/>
      <c r="BC2036" s="38"/>
      <c r="BD2036" s="38"/>
      <c r="BE2036" s="38"/>
      <c r="BF2036" s="38"/>
      <c r="BG2036" s="38"/>
      <c r="BH2036" s="38"/>
      <c r="BI2036" s="38"/>
      <c r="BJ2036" s="38"/>
      <c r="BK2036" s="38"/>
      <c r="BL2036" s="38"/>
      <c r="BM2036" s="38"/>
      <c r="BN2036" s="38"/>
      <c r="BO2036" s="38"/>
      <c r="BP2036" s="38"/>
      <c r="BQ2036" s="38"/>
    </row>
    <row r="2037">
      <c r="A2037" s="16"/>
      <c r="B2037" s="380"/>
      <c r="C2037" s="146"/>
      <c r="D2037" s="146"/>
      <c r="E2037" s="16"/>
      <c r="F2037" s="91"/>
      <c r="G2037" s="16"/>
      <c r="H2037" s="320" t="str">
        <f t="shared" si="33"/>
        <v/>
      </c>
      <c r="I2037" s="16"/>
      <c r="J2037" s="16"/>
      <c r="K2037" s="16"/>
      <c r="L2037" s="16"/>
      <c r="M2037" s="15"/>
      <c r="N2037" s="15"/>
      <c r="O2037" s="16"/>
      <c r="P2037" s="16"/>
      <c r="Q2037" s="16"/>
      <c r="R2037" s="16"/>
      <c r="S2037" s="37" t="str">
        <f>IFERROR(__xludf.DUMMYFUNCTION("if(not(iserror(index(split(C2037, "" ""),2))), index(split(C2037, "" ""),1),"""")"),"")</f>
        <v/>
      </c>
      <c r="T2037" s="315" t="str">
        <f>IFERROR(__xludf.DUMMYFUNCTION("if(S2037="""",C2037,if(not(iserror(index(split(C2037, "" ""),3))), index(split(C2037, "" ""),3),index(split(C2037, "" ""),2)))"),"")</f>
        <v/>
      </c>
      <c r="U2037" s="38" t="b">
        <f t="shared" si="34"/>
        <v>0</v>
      </c>
      <c r="V2037" s="38"/>
      <c r="W2037" s="40"/>
      <c r="X2037" s="40"/>
      <c r="Y2037" s="38"/>
      <c r="Z2037" s="38"/>
      <c r="AA2037" s="38"/>
      <c r="AB2037" s="38"/>
      <c r="AC2037" s="38"/>
      <c r="AD2037" s="38"/>
      <c r="AE2037" s="38"/>
      <c r="AF2037" s="38"/>
      <c r="AG2037" s="38"/>
      <c r="AH2037" s="38"/>
      <c r="AI2037" s="38"/>
      <c r="AJ2037" s="38"/>
      <c r="AK2037" s="38"/>
      <c r="AL2037" s="38"/>
      <c r="AM2037" s="38"/>
      <c r="AN2037" s="38"/>
      <c r="AO2037" s="38"/>
      <c r="AP2037" s="38"/>
      <c r="AQ2037" s="38"/>
      <c r="AR2037" s="38"/>
      <c r="AS2037" s="38"/>
      <c r="AT2037" s="38"/>
      <c r="AU2037" s="38"/>
      <c r="AV2037" s="38"/>
      <c r="AW2037" s="38"/>
      <c r="AX2037" s="38"/>
      <c r="AY2037" s="38"/>
      <c r="AZ2037" s="38"/>
      <c r="BA2037" s="38"/>
      <c r="BB2037" s="38"/>
      <c r="BC2037" s="38"/>
      <c r="BD2037" s="38"/>
      <c r="BE2037" s="38"/>
      <c r="BF2037" s="38"/>
      <c r="BG2037" s="38"/>
      <c r="BH2037" s="38"/>
      <c r="BI2037" s="38"/>
      <c r="BJ2037" s="38"/>
      <c r="BK2037" s="38"/>
      <c r="BL2037" s="38"/>
      <c r="BM2037" s="38"/>
      <c r="BN2037" s="38"/>
      <c r="BO2037" s="38"/>
      <c r="BP2037" s="38"/>
      <c r="BQ2037" s="38"/>
    </row>
    <row r="2038">
      <c r="A2038" s="16"/>
      <c r="B2038" s="380"/>
      <c r="C2038" s="146"/>
      <c r="D2038" s="146"/>
      <c r="E2038" s="16"/>
      <c r="F2038" s="91"/>
      <c r="G2038" s="16"/>
      <c r="H2038" s="320" t="str">
        <f t="shared" si="33"/>
        <v/>
      </c>
      <c r="I2038" s="16"/>
      <c r="J2038" s="16"/>
      <c r="K2038" s="16"/>
      <c r="L2038" s="16"/>
      <c r="M2038" s="15"/>
      <c r="N2038" s="15"/>
      <c r="O2038" s="16"/>
      <c r="P2038" s="16"/>
      <c r="Q2038" s="16"/>
      <c r="R2038" s="16"/>
      <c r="S2038" s="37" t="str">
        <f>IFERROR(__xludf.DUMMYFUNCTION("if(not(iserror(index(split(C2038, "" ""),2))), index(split(C2038, "" ""),1),"""")"),"")</f>
        <v/>
      </c>
      <c r="T2038" s="315" t="str">
        <f>IFERROR(__xludf.DUMMYFUNCTION("if(S2038="""",C2038,if(not(iserror(index(split(C2038, "" ""),3))), index(split(C2038, "" ""),3),index(split(C2038, "" ""),2)))"),"")</f>
        <v/>
      </c>
      <c r="U2038" s="38" t="b">
        <f t="shared" si="34"/>
        <v>0</v>
      </c>
      <c r="V2038" s="38"/>
      <c r="W2038" s="40"/>
      <c r="X2038" s="40"/>
      <c r="Y2038" s="38"/>
      <c r="Z2038" s="38"/>
      <c r="AA2038" s="38"/>
      <c r="AB2038" s="38"/>
      <c r="AC2038" s="38"/>
      <c r="AD2038" s="38"/>
      <c r="AE2038" s="38"/>
      <c r="AF2038" s="38"/>
      <c r="AG2038" s="38"/>
      <c r="AH2038" s="38"/>
      <c r="AI2038" s="38"/>
      <c r="AJ2038" s="38"/>
      <c r="AK2038" s="38"/>
      <c r="AL2038" s="38"/>
      <c r="AM2038" s="38"/>
      <c r="AN2038" s="38"/>
      <c r="AO2038" s="38"/>
      <c r="AP2038" s="38"/>
      <c r="AQ2038" s="38"/>
      <c r="AR2038" s="38"/>
      <c r="AS2038" s="38"/>
      <c r="AT2038" s="38"/>
      <c r="AU2038" s="38"/>
      <c r="AV2038" s="38"/>
      <c r="AW2038" s="38"/>
      <c r="AX2038" s="38"/>
      <c r="AY2038" s="38"/>
      <c r="AZ2038" s="38"/>
      <c r="BA2038" s="38"/>
      <c r="BB2038" s="38"/>
      <c r="BC2038" s="38"/>
      <c r="BD2038" s="38"/>
      <c r="BE2038" s="38"/>
      <c r="BF2038" s="38"/>
      <c r="BG2038" s="38"/>
      <c r="BH2038" s="38"/>
      <c r="BI2038" s="38"/>
      <c r="BJ2038" s="38"/>
      <c r="BK2038" s="38"/>
      <c r="BL2038" s="38"/>
      <c r="BM2038" s="38"/>
      <c r="BN2038" s="38"/>
      <c r="BO2038" s="38"/>
      <c r="BP2038" s="38"/>
      <c r="BQ2038" s="38"/>
    </row>
    <row r="2039">
      <c r="A2039" s="16"/>
      <c r="B2039" s="380"/>
      <c r="C2039" s="146"/>
      <c r="D2039" s="146"/>
      <c r="E2039" s="16"/>
      <c r="F2039" s="91"/>
      <c r="G2039" s="16"/>
      <c r="H2039" s="320" t="str">
        <f t="shared" si="33"/>
        <v/>
      </c>
      <c r="I2039" s="16"/>
      <c r="J2039" s="16"/>
      <c r="K2039" s="16"/>
      <c r="L2039" s="16"/>
      <c r="M2039" s="15"/>
      <c r="N2039" s="15"/>
      <c r="O2039" s="16"/>
      <c r="P2039" s="16"/>
      <c r="Q2039" s="16"/>
      <c r="R2039" s="16"/>
      <c r="S2039" s="37" t="str">
        <f>IFERROR(__xludf.DUMMYFUNCTION("if(not(iserror(index(split(C2039, "" ""),2))), index(split(C2039, "" ""),1),"""")"),"")</f>
        <v/>
      </c>
      <c r="T2039" s="315" t="str">
        <f>IFERROR(__xludf.DUMMYFUNCTION("if(S2039="""",C2039,if(not(iserror(index(split(C2039, "" ""),3))), index(split(C2039, "" ""),3),index(split(C2039, "" ""),2)))"),"")</f>
        <v/>
      </c>
      <c r="U2039" s="38" t="b">
        <f t="shared" si="34"/>
        <v>0</v>
      </c>
      <c r="V2039" s="38"/>
      <c r="W2039" s="40"/>
      <c r="X2039" s="40"/>
      <c r="Y2039" s="38"/>
      <c r="Z2039" s="38"/>
      <c r="AA2039" s="38"/>
      <c r="AB2039" s="38"/>
      <c r="AC2039" s="38"/>
      <c r="AD2039" s="38"/>
      <c r="AE2039" s="38"/>
      <c r="AF2039" s="38"/>
      <c r="AG2039" s="38"/>
      <c r="AH2039" s="38"/>
      <c r="AI2039" s="38"/>
      <c r="AJ2039" s="38"/>
      <c r="AK2039" s="38"/>
      <c r="AL2039" s="38"/>
      <c r="AM2039" s="38"/>
      <c r="AN2039" s="38"/>
      <c r="AO2039" s="38"/>
      <c r="AP2039" s="38"/>
      <c r="AQ2039" s="38"/>
      <c r="AR2039" s="38"/>
      <c r="AS2039" s="38"/>
      <c r="AT2039" s="38"/>
      <c r="AU2039" s="38"/>
      <c r="AV2039" s="38"/>
      <c r="AW2039" s="38"/>
      <c r="AX2039" s="38"/>
      <c r="AY2039" s="38"/>
      <c r="AZ2039" s="38"/>
      <c r="BA2039" s="38"/>
      <c r="BB2039" s="38"/>
      <c r="BC2039" s="38"/>
      <c r="BD2039" s="38"/>
      <c r="BE2039" s="38"/>
      <c r="BF2039" s="38"/>
      <c r="BG2039" s="38"/>
      <c r="BH2039" s="38"/>
      <c r="BI2039" s="38"/>
      <c r="BJ2039" s="38"/>
      <c r="BK2039" s="38"/>
      <c r="BL2039" s="38"/>
      <c r="BM2039" s="38"/>
      <c r="BN2039" s="38"/>
      <c r="BO2039" s="38"/>
      <c r="BP2039" s="38"/>
      <c r="BQ2039" s="38"/>
    </row>
    <row r="2040">
      <c r="A2040" s="16"/>
      <c r="B2040" s="380"/>
      <c r="C2040" s="146"/>
      <c r="D2040" s="146"/>
      <c r="E2040" s="16"/>
      <c r="F2040" s="91"/>
      <c r="G2040" s="16"/>
      <c r="H2040" s="320" t="str">
        <f t="shared" si="33"/>
        <v/>
      </c>
      <c r="I2040" s="16"/>
      <c r="J2040" s="16"/>
      <c r="K2040" s="16"/>
      <c r="L2040" s="16"/>
      <c r="M2040" s="15"/>
      <c r="N2040" s="15"/>
      <c r="O2040" s="16"/>
      <c r="P2040" s="16"/>
      <c r="Q2040" s="16"/>
      <c r="R2040" s="16"/>
      <c r="S2040" s="37" t="str">
        <f>IFERROR(__xludf.DUMMYFUNCTION("if(not(iserror(index(split(C2040, "" ""),2))), index(split(C2040, "" ""),1),"""")"),"")</f>
        <v/>
      </c>
      <c r="T2040" s="315" t="str">
        <f>IFERROR(__xludf.DUMMYFUNCTION("if(S2040="""",C2040,if(not(iserror(index(split(C2040, "" ""),3))), index(split(C2040, "" ""),3),index(split(C2040, "" ""),2)))"),"")</f>
        <v/>
      </c>
      <c r="U2040" s="38" t="b">
        <f t="shared" si="34"/>
        <v>0</v>
      </c>
      <c r="V2040" s="38"/>
      <c r="W2040" s="40"/>
      <c r="X2040" s="40"/>
      <c r="Y2040" s="38"/>
      <c r="Z2040" s="38"/>
      <c r="AA2040" s="38"/>
      <c r="AB2040" s="38"/>
      <c r="AC2040" s="38"/>
      <c r="AD2040" s="38"/>
      <c r="AE2040" s="38"/>
      <c r="AF2040" s="38"/>
      <c r="AG2040" s="38"/>
      <c r="AH2040" s="38"/>
      <c r="AI2040" s="38"/>
      <c r="AJ2040" s="38"/>
      <c r="AK2040" s="38"/>
      <c r="AL2040" s="38"/>
      <c r="AM2040" s="38"/>
      <c r="AN2040" s="38"/>
      <c r="AO2040" s="38"/>
      <c r="AP2040" s="38"/>
      <c r="AQ2040" s="38"/>
      <c r="AR2040" s="38"/>
      <c r="AS2040" s="38"/>
      <c r="AT2040" s="38"/>
      <c r="AU2040" s="38"/>
      <c r="AV2040" s="38"/>
      <c r="AW2040" s="38"/>
      <c r="AX2040" s="38"/>
      <c r="AY2040" s="38"/>
      <c r="AZ2040" s="38"/>
      <c r="BA2040" s="38"/>
      <c r="BB2040" s="38"/>
      <c r="BC2040" s="38"/>
      <c r="BD2040" s="38"/>
      <c r="BE2040" s="38"/>
      <c r="BF2040" s="38"/>
      <c r="BG2040" s="38"/>
      <c r="BH2040" s="38"/>
      <c r="BI2040" s="38"/>
      <c r="BJ2040" s="38"/>
      <c r="BK2040" s="38"/>
      <c r="BL2040" s="38"/>
      <c r="BM2040" s="38"/>
      <c r="BN2040" s="38"/>
      <c r="BO2040" s="38"/>
      <c r="BP2040" s="38"/>
      <c r="BQ2040" s="38"/>
    </row>
    <row r="2041">
      <c r="A2041" s="16"/>
      <c r="B2041" s="380"/>
      <c r="C2041" s="146"/>
      <c r="D2041" s="146"/>
      <c r="E2041" s="16"/>
      <c r="F2041" s="91"/>
      <c r="G2041" s="16"/>
      <c r="H2041" s="320" t="str">
        <f t="shared" si="33"/>
        <v/>
      </c>
      <c r="I2041" s="16"/>
      <c r="J2041" s="16"/>
      <c r="K2041" s="16"/>
      <c r="L2041" s="16"/>
      <c r="M2041" s="15"/>
      <c r="N2041" s="15"/>
      <c r="O2041" s="16"/>
      <c r="P2041" s="16"/>
      <c r="Q2041" s="16"/>
      <c r="R2041" s="16"/>
      <c r="S2041" s="37" t="str">
        <f>IFERROR(__xludf.DUMMYFUNCTION("if(not(iserror(index(split(C2041, "" ""),2))), index(split(C2041, "" ""),1),"""")"),"")</f>
        <v/>
      </c>
      <c r="T2041" s="315" t="str">
        <f>IFERROR(__xludf.DUMMYFUNCTION("if(S2041="""",C2041,if(not(iserror(index(split(C2041, "" ""),3))), index(split(C2041, "" ""),3),index(split(C2041, "" ""),2)))"),"")</f>
        <v/>
      </c>
      <c r="U2041" s="38" t="b">
        <f t="shared" si="34"/>
        <v>0</v>
      </c>
      <c r="V2041" s="38"/>
      <c r="W2041" s="40"/>
      <c r="X2041" s="40"/>
      <c r="Y2041" s="38"/>
      <c r="Z2041" s="38"/>
      <c r="AA2041" s="38"/>
      <c r="AB2041" s="38"/>
      <c r="AC2041" s="38"/>
      <c r="AD2041" s="38"/>
      <c r="AE2041" s="38"/>
      <c r="AF2041" s="38"/>
      <c r="AG2041" s="38"/>
      <c r="AH2041" s="38"/>
      <c r="AI2041" s="38"/>
      <c r="AJ2041" s="38"/>
      <c r="AK2041" s="38"/>
      <c r="AL2041" s="38"/>
      <c r="AM2041" s="38"/>
      <c r="AN2041" s="38"/>
      <c r="AO2041" s="38"/>
      <c r="AP2041" s="38"/>
      <c r="AQ2041" s="38"/>
      <c r="AR2041" s="38"/>
      <c r="AS2041" s="38"/>
      <c r="AT2041" s="38"/>
      <c r="AU2041" s="38"/>
      <c r="AV2041" s="38"/>
      <c r="AW2041" s="38"/>
      <c r="AX2041" s="38"/>
      <c r="AY2041" s="38"/>
      <c r="AZ2041" s="38"/>
      <c r="BA2041" s="38"/>
      <c r="BB2041" s="38"/>
      <c r="BC2041" s="38"/>
      <c r="BD2041" s="38"/>
      <c r="BE2041" s="38"/>
      <c r="BF2041" s="38"/>
      <c r="BG2041" s="38"/>
      <c r="BH2041" s="38"/>
      <c r="BI2041" s="38"/>
      <c r="BJ2041" s="38"/>
      <c r="BK2041" s="38"/>
      <c r="BL2041" s="38"/>
      <c r="BM2041" s="38"/>
      <c r="BN2041" s="38"/>
      <c r="BO2041" s="38"/>
      <c r="BP2041" s="38"/>
      <c r="BQ2041" s="38"/>
    </row>
    <row r="2042">
      <c r="A2042" s="16"/>
      <c r="B2042" s="380"/>
      <c r="C2042" s="146"/>
      <c r="D2042" s="146"/>
      <c r="E2042" s="16"/>
      <c r="F2042" s="91"/>
      <c r="G2042" s="16"/>
      <c r="H2042" s="320" t="str">
        <f t="shared" si="33"/>
        <v/>
      </c>
      <c r="I2042" s="16"/>
      <c r="J2042" s="16"/>
      <c r="K2042" s="16"/>
      <c r="L2042" s="16"/>
      <c r="M2042" s="15"/>
      <c r="N2042" s="15"/>
      <c r="O2042" s="16"/>
      <c r="P2042" s="16"/>
      <c r="Q2042" s="16"/>
      <c r="R2042" s="16"/>
      <c r="S2042" s="37" t="str">
        <f>IFERROR(__xludf.DUMMYFUNCTION("if(not(iserror(index(split(C2042, "" ""),2))), index(split(C2042, "" ""),1),"""")"),"")</f>
        <v/>
      </c>
      <c r="T2042" s="315" t="str">
        <f>IFERROR(__xludf.DUMMYFUNCTION("if(S2042="""",C2042,if(not(iserror(index(split(C2042, "" ""),3))), index(split(C2042, "" ""),3),index(split(C2042, "" ""),2)))"),"")</f>
        <v/>
      </c>
      <c r="U2042" s="38" t="b">
        <f t="shared" si="34"/>
        <v>0</v>
      </c>
      <c r="V2042" s="38"/>
      <c r="W2042" s="40"/>
      <c r="X2042" s="40"/>
      <c r="Y2042" s="38"/>
      <c r="Z2042" s="38"/>
      <c r="AA2042" s="38"/>
      <c r="AB2042" s="38"/>
      <c r="AC2042" s="38"/>
      <c r="AD2042" s="38"/>
      <c r="AE2042" s="38"/>
      <c r="AF2042" s="38"/>
      <c r="AG2042" s="38"/>
      <c r="AH2042" s="38"/>
      <c r="AI2042" s="38"/>
      <c r="AJ2042" s="38"/>
      <c r="AK2042" s="38"/>
      <c r="AL2042" s="38"/>
      <c r="AM2042" s="38"/>
      <c r="AN2042" s="38"/>
      <c r="AO2042" s="38"/>
      <c r="AP2042" s="38"/>
      <c r="AQ2042" s="38"/>
      <c r="AR2042" s="38"/>
      <c r="AS2042" s="38"/>
      <c r="AT2042" s="38"/>
      <c r="AU2042" s="38"/>
      <c r="AV2042" s="38"/>
      <c r="AW2042" s="38"/>
      <c r="AX2042" s="38"/>
      <c r="AY2042" s="38"/>
      <c r="AZ2042" s="38"/>
      <c r="BA2042" s="38"/>
      <c r="BB2042" s="38"/>
      <c r="BC2042" s="38"/>
      <c r="BD2042" s="38"/>
      <c r="BE2042" s="38"/>
      <c r="BF2042" s="38"/>
      <c r="BG2042" s="38"/>
      <c r="BH2042" s="38"/>
      <c r="BI2042" s="38"/>
      <c r="BJ2042" s="38"/>
      <c r="BK2042" s="38"/>
      <c r="BL2042" s="38"/>
      <c r="BM2042" s="38"/>
      <c r="BN2042" s="38"/>
      <c r="BO2042" s="38"/>
      <c r="BP2042" s="38"/>
      <c r="BQ2042" s="38"/>
    </row>
    <row r="2043">
      <c r="A2043" s="16"/>
      <c r="B2043" s="380"/>
      <c r="C2043" s="146"/>
      <c r="D2043" s="146"/>
      <c r="E2043" s="16"/>
      <c r="F2043" s="91"/>
      <c r="G2043" s="16"/>
      <c r="H2043" s="320" t="str">
        <f t="shared" si="33"/>
        <v/>
      </c>
      <c r="I2043" s="16"/>
      <c r="J2043" s="16"/>
      <c r="K2043" s="16"/>
      <c r="L2043" s="16"/>
      <c r="M2043" s="15"/>
      <c r="N2043" s="15"/>
      <c r="O2043" s="16"/>
      <c r="P2043" s="16"/>
      <c r="Q2043" s="16"/>
      <c r="R2043" s="16"/>
      <c r="S2043" s="37" t="str">
        <f>IFERROR(__xludf.DUMMYFUNCTION("if(not(iserror(index(split(C2043, "" ""),2))), index(split(C2043, "" ""),1),"""")"),"")</f>
        <v/>
      </c>
      <c r="T2043" s="315" t="str">
        <f>IFERROR(__xludf.DUMMYFUNCTION("if(S2043="""",C2043,if(not(iserror(index(split(C2043, "" ""),3))), index(split(C2043, "" ""),3),index(split(C2043, "" ""),2)))"),"")</f>
        <v/>
      </c>
      <c r="U2043" s="38" t="b">
        <f t="shared" si="34"/>
        <v>0</v>
      </c>
      <c r="V2043" s="38"/>
      <c r="W2043" s="40"/>
      <c r="X2043" s="40"/>
      <c r="Y2043" s="38"/>
      <c r="Z2043" s="38"/>
      <c r="AA2043" s="38"/>
      <c r="AB2043" s="38"/>
      <c r="AC2043" s="38"/>
      <c r="AD2043" s="38"/>
      <c r="AE2043" s="38"/>
      <c r="AF2043" s="38"/>
      <c r="AG2043" s="38"/>
      <c r="AH2043" s="38"/>
      <c r="AI2043" s="38"/>
      <c r="AJ2043" s="38"/>
      <c r="AK2043" s="38"/>
      <c r="AL2043" s="38"/>
      <c r="AM2043" s="38"/>
      <c r="AN2043" s="38"/>
      <c r="AO2043" s="38"/>
      <c r="AP2043" s="38"/>
      <c r="AQ2043" s="38"/>
      <c r="AR2043" s="38"/>
      <c r="AS2043" s="38"/>
      <c r="AT2043" s="38"/>
      <c r="AU2043" s="38"/>
      <c r="AV2043" s="38"/>
      <c r="AW2043" s="38"/>
      <c r="AX2043" s="38"/>
      <c r="AY2043" s="38"/>
      <c r="AZ2043" s="38"/>
      <c r="BA2043" s="38"/>
      <c r="BB2043" s="38"/>
      <c r="BC2043" s="38"/>
      <c r="BD2043" s="38"/>
      <c r="BE2043" s="38"/>
      <c r="BF2043" s="38"/>
      <c r="BG2043" s="38"/>
      <c r="BH2043" s="38"/>
      <c r="BI2043" s="38"/>
      <c r="BJ2043" s="38"/>
      <c r="BK2043" s="38"/>
      <c r="BL2043" s="38"/>
      <c r="BM2043" s="38"/>
      <c r="BN2043" s="38"/>
      <c r="BO2043" s="38"/>
      <c r="BP2043" s="38"/>
      <c r="BQ2043" s="38"/>
    </row>
    <row r="2044">
      <c r="A2044" s="16"/>
      <c r="B2044" s="380"/>
      <c r="C2044" s="146"/>
      <c r="D2044" s="146"/>
      <c r="E2044" s="16"/>
      <c r="F2044" s="91"/>
      <c r="G2044" s="16"/>
      <c r="H2044" s="320" t="str">
        <f t="shared" si="33"/>
        <v/>
      </c>
      <c r="I2044" s="16"/>
      <c r="J2044" s="16"/>
      <c r="K2044" s="16"/>
      <c r="L2044" s="16"/>
      <c r="M2044" s="15"/>
      <c r="N2044" s="15"/>
      <c r="O2044" s="16"/>
      <c r="P2044" s="16"/>
      <c r="Q2044" s="16"/>
      <c r="R2044" s="16"/>
      <c r="S2044" s="37" t="str">
        <f>IFERROR(__xludf.DUMMYFUNCTION("if(not(iserror(index(split(C2044, "" ""),2))), index(split(C2044, "" ""),1),"""")"),"")</f>
        <v/>
      </c>
      <c r="T2044" s="315" t="str">
        <f>IFERROR(__xludf.DUMMYFUNCTION("if(S2044="""",C2044,if(not(iserror(index(split(C2044, "" ""),3))), index(split(C2044, "" ""),3),index(split(C2044, "" ""),2)))"),"")</f>
        <v/>
      </c>
      <c r="U2044" s="38" t="b">
        <f t="shared" si="34"/>
        <v>0</v>
      </c>
      <c r="V2044" s="38"/>
      <c r="W2044" s="40"/>
      <c r="X2044" s="40"/>
      <c r="Y2044" s="38"/>
      <c r="Z2044" s="38"/>
      <c r="AA2044" s="38"/>
      <c r="AB2044" s="38"/>
      <c r="AC2044" s="38"/>
      <c r="AD2044" s="38"/>
      <c r="AE2044" s="38"/>
      <c r="AF2044" s="38"/>
      <c r="AG2044" s="38"/>
      <c r="AH2044" s="38"/>
      <c r="AI2044" s="38"/>
      <c r="AJ2044" s="38"/>
      <c r="AK2044" s="38"/>
      <c r="AL2044" s="38"/>
      <c r="AM2044" s="38"/>
      <c r="AN2044" s="38"/>
      <c r="AO2044" s="38"/>
      <c r="AP2044" s="38"/>
      <c r="AQ2044" s="38"/>
      <c r="AR2044" s="38"/>
      <c r="AS2044" s="38"/>
      <c r="AT2044" s="38"/>
      <c r="AU2044" s="38"/>
      <c r="AV2044" s="38"/>
      <c r="AW2044" s="38"/>
      <c r="AX2044" s="38"/>
      <c r="AY2044" s="38"/>
      <c r="AZ2044" s="38"/>
      <c r="BA2044" s="38"/>
      <c r="BB2044" s="38"/>
      <c r="BC2044" s="38"/>
      <c r="BD2044" s="38"/>
      <c r="BE2044" s="38"/>
      <c r="BF2044" s="38"/>
      <c r="BG2044" s="38"/>
      <c r="BH2044" s="38"/>
      <c r="BI2044" s="38"/>
      <c r="BJ2044" s="38"/>
      <c r="BK2044" s="38"/>
      <c r="BL2044" s="38"/>
      <c r="BM2044" s="38"/>
      <c r="BN2044" s="38"/>
      <c r="BO2044" s="38"/>
      <c r="BP2044" s="38"/>
      <c r="BQ2044" s="38"/>
    </row>
    <row r="2045">
      <c r="A2045" s="16"/>
      <c r="B2045" s="380"/>
      <c r="C2045" s="146"/>
      <c r="D2045" s="146"/>
      <c r="E2045" s="16"/>
      <c r="F2045" s="91"/>
      <c r="G2045" s="16"/>
      <c r="H2045" s="320" t="str">
        <f t="shared" si="33"/>
        <v/>
      </c>
      <c r="I2045" s="16"/>
      <c r="J2045" s="16"/>
      <c r="K2045" s="16"/>
      <c r="L2045" s="16"/>
      <c r="M2045" s="15"/>
      <c r="N2045" s="15"/>
      <c r="O2045" s="16"/>
      <c r="P2045" s="16"/>
      <c r="Q2045" s="16"/>
      <c r="R2045" s="16"/>
      <c r="S2045" s="37" t="str">
        <f>IFERROR(__xludf.DUMMYFUNCTION("if(not(iserror(index(split(C2045, "" ""),2))), index(split(C2045, "" ""),1),"""")"),"")</f>
        <v/>
      </c>
      <c r="T2045" s="315" t="str">
        <f>IFERROR(__xludf.DUMMYFUNCTION("if(S2045="""",C2045,if(not(iserror(index(split(C2045, "" ""),3))), index(split(C2045, "" ""),3),index(split(C2045, "" ""),2)))"),"")</f>
        <v/>
      </c>
      <c r="U2045" s="38" t="b">
        <f t="shared" si="34"/>
        <v>0</v>
      </c>
      <c r="V2045" s="38"/>
      <c r="W2045" s="40"/>
      <c r="X2045" s="40"/>
      <c r="Y2045" s="38"/>
      <c r="Z2045" s="38"/>
      <c r="AA2045" s="38"/>
      <c r="AB2045" s="38"/>
      <c r="AC2045" s="38"/>
      <c r="AD2045" s="38"/>
      <c r="AE2045" s="38"/>
      <c r="AF2045" s="38"/>
      <c r="AG2045" s="38"/>
      <c r="AH2045" s="38"/>
      <c r="AI2045" s="38"/>
      <c r="AJ2045" s="38"/>
      <c r="AK2045" s="38"/>
      <c r="AL2045" s="38"/>
      <c r="AM2045" s="38"/>
      <c r="AN2045" s="38"/>
      <c r="AO2045" s="38"/>
      <c r="AP2045" s="38"/>
      <c r="AQ2045" s="38"/>
      <c r="AR2045" s="38"/>
      <c r="AS2045" s="38"/>
      <c r="AT2045" s="38"/>
      <c r="AU2045" s="38"/>
      <c r="AV2045" s="38"/>
      <c r="AW2045" s="38"/>
      <c r="AX2045" s="38"/>
      <c r="AY2045" s="38"/>
      <c r="AZ2045" s="38"/>
      <c r="BA2045" s="38"/>
      <c r="BB2045" s="38"/>
      <c r="BC2045" s="38"/>
      <c r="BD2045" s="38"/>
      <c r="BE2045" s="38"/>
      <c r="BF2045" s="38"/>
      <c r="BG2045" s="38"/>
      <c r="BH2045" s="38"/>
      <c r="BI2045" s="38"/>
      <c r="BJ2045" s="38"/>
      <c r="BK2045" s="38"/>
      <c r="BL2045" s="38"/>
      <c r="BM2045" s="38"/>
      <c r="BN2045" s="38"/>
      <c r="BO2045" s="38"/>
      <c r="BP2045" s="38"/>
      <c r="BQ2045" s="38"/>
    </row>
    <row r="2046">
      <c r="A2046" s="16"/>
      <c r="B2046" s="380"/>
      <c r="C2046" s="146"/>
      <c r="D2046" s="146"/>
      <c r="E2046" s="16"/>
      <c r="F2046" s="91"/>
      <c r="G2046" s="16"/>
      <c r="H2046" s="320" t="str">
        <f t="shared" si="33"/>
        <v/>
      </c>
      <c r="I2046" s="16"/>
      <c r="J2046" s="16"/>
      <c r="K2046" s="16"/>
      <c r="L2046" s="16"/>
      <c r="M2046" s="15"/>
      <c r="N2046" s="15"/>
      <c r="O2046" s="16"/>
      <c r="P2046" s="16"/>
      <c r="Q2046" s="16"/>
      <c r="R2046" s="16"/>
      <c r="S2046" s="37" t="str">
        <f>IFERROR(__xludf.DUMMYFUNCTION("if(not(iserror(index(split(C2046, "" ""),2))), index(split(C2046, "" ""),1),"""")"),"")</f>
        <v/>
      </c>
      <c r="T2046" s="315" t="str">
        <f>IFERROR(__xludf.DUMMYFUNCTION("if(S2046="""",C2046,if(not(iserror(index(split(C2046, "" ""),3))), index(split(C2046, "" ""),3),index(split(C2046, "" ""),2)))"),"")</f>
        <v/>
      </c>
      <c r="U2046" s="38" t="b">
        <f t="shared" si="34"/>
        <v>0</v>
      </c>
      <c r="V2046" s="38"/>
      <c r="W2046" s="40"/>
      <c r="X2046" s="40"/>
      <c r="Y2046" s="38"/>
      <c r="Z2046" s="38"/>
      <c r="AA2046" s="38"/>
      <c r="AB2046" s="38"/>
      <c r="AC2046" s="38"/>
      <c r="AD2046" s="38"/>
      <c r="AE2046" s="38"/>
      <c r="AF2046" s="38"/>
      <c r="AG2046" s="38"/>
      <c r="AH2046" s="38"/>
      <c r="AI2046" s="38"/>
      <c r="AJ2046" s="38"/>
      <c r="AK2046" s="38"/>
      <c r="AL2046" s="38"/>
      <c r="AM2046" s="38"/>
      <c r="AN2046" s="38"/>
      <c r="AO2046" s="38"/>
      <c r="AP2046" s="38"/>
      <c r="AQ2046" s="38"/>
      <c r="AR2046" s="38"/>
      <c r="AS2046" s="38"/>
      <c r="AT2046" s="38"/>
      <c r="AU2046" s="38"/>
      <c r="AV2046" s="38"/>
      <c r="AW2046" s="38"/>
      <c r="AX2046" s="38"/>
      <c r="AY2046" s="38"/>
      <c r="AZ2046" s="38"/>
      <c r="BA2046" s="38"/>
      <c r="BB2046" s="38"/>
      <c r="BC2046" s="38"/>
      <c r="BD2046" s="38"/>
      <c r="BE2046" s="38"/>
      <c r="BF2046" s="38"/>
      <c r="BG2046" s="38"/>
      <c r="BH2046" s="38"/>
      <c r="BI2046" s="38"/>
      <c r="BJ2046" s="38"/>
      <c r="BK2046" s="38"/>
      <c r="BL2046" s="38"/>
      <c r="BM2046" s="38"/>
      <c r="BN2046" s="38"/>
      <c r="BO2046" s="38"/>
      <c r="BP2046" s="38"/>
      <c r="BQ2046" s="38"/>
    </row>
    <row r="2047">
      <c r="A2047" s="16"/>
      <c r="B2047" s="380"/>
      <c r="C2047" s="146"/>
      <c r="D2047" s="146"/>
      <c r="E2047" s="16"/>
      <c r="F2047" s="91"/>
      <c r="G2047" s="16"/>
      <c r="H2047" s="320" t="str">
        <f t="shared" si="33"/>
        <v/>
      </c>
      <c r="I2047" s="16"/>
      <c r="J2047" s="16"/>
      <c r="K2047" s="16"/>
      <c r="L2047" s="16"/>
      <c r="M2047" s="15"/>
      <c r="N2047" s="15"/>
      <c r="O2047" s="16"/>
      <c r="P2047" s="16"/>
      <c r="Q2047" s="16"/>
      <c r="R2047" s="16"/>
      <c r="S2047" s="37" t="str">
        <f>IFERROR(__xludf.DUMMYFUNCTION("if(not(iserror(index(split(C2047, "" ""),2))), index(split(C2047, "" ""),1),"""")"),"")</f>
        <v/>
      </c>
      <c r="T2047" s="315" t="str">
        <f>IFERROR(__xludf.DUMMYFUNCTION("if(S2047="""",C2047,if(not(iserror(index(split(C2047, "" ""),3))), index(split(C2047, "" ""),3),index(split(C2047, "" ""),2)))"),"")</f>
        <v/>
      </c>
      <c r="U2047" s="38" t="b">
        <f t="shared" si="34"/>
        <v>0</v>
      </c>
      <c r="V2047" s="38"/>
      <c r="W2047" s="40"/>
      <c r="X2047" s="40"/>
      <c r="Y2047" s="38"/>
      <c r="Z2047" s="38"/>
      <c r="AA2047" s="38"/>
      <c r="AB2047" s="38"/>
      <c r="AC2047" s="38"/>
      <c r="AD2047" s="38"/>
      <c r="AE2047" s="38"/>
      <c r="AF2047" s="38"/>
      <c r="AG2047" s="38"/>
      <c r="AH2047" s="38"/>
      <c r="AI2047" s="38"/>
      <c r="AJ2047" s="38"/>
      <c r="AK2047" s="38"/>
      <c r="AL2047" s="38"/>
      <c r="AM2047" s="38"/>
      <c r="AN2047" s="38"/>
      <c r="AO2047" s="38"/>
      <c r="AP2047" s="38"/>
      <c r="AQ2047" s="38"/>
      <c r="AR2047" s="38"/>
      <c r="AS2047" s="38"/>
      <c r="AT2047" s="38"/>
      <c r="AU2047" s="38"/>
      <c r="AV2047" s="38"/>
      <c r="AW2047" s="38"/>
      <c r="AX2047" s="38"/>
      <c r="AY2047" s="38"/>
      <c r="AZ2047" s="38"/>
      <c r="BA2047" s="38"/>
      <c r="BB2047" s="38"/>
      <c r="BC2047" s="38"/>
      <c r="BD2047" s="38"/>
      <c r="BE2047" s="38"/>
      <c r="BF2047" s="38"/>
      <c r="BG2047" s="38"/>
      <c r="BH2047" s="38"/>
      <c r="BI2047" s="38"/>
      <c r="BJ2047" s="38"/>
      <c r="BK2047" s="38"/>
      <c r="BL2047" s="38"/>
      <c r="BM2047" s="38"/>
      <c r="BN2047" s="38"/>
      <c r="BO2047" s="38"/>
      <c r="BP2047" s="38"/>
      <c r="BQ2047" s="38"/>
    </row>
    <row r="2048">
      <c r="A2048" s="16"/>
      <c r="B2048" s="380"/>
      <c r="C2048" s="146"/>
      <c r="D2048" s="146"/>
      <c r="E2048" s="16"/>
      <c r="F2048" s="91"/>
      <c r="G2048" s="16"/>
      <c r="H2048" s="320" t="str">
        <f t="shared" si="33"/>
        <v/>
      </c>
      <c r="I2048" s="16"/>
      <c r="J2048" s="16"/>
      <c r="K2048" s="16"/>
      <c r="L2048" s="16"/>
      <c r="M2048" s="15"/>
      <c r="N2048" s="15"/>
      <c r="O2048" s="16"/>
      <c r="P2048" s="16"/>
      <c r="Q2048" s="16"/>
      <c r="R2048" s="16"/>
      <c r="S2048" s="37" t="str">
        <f>IFERROR(__xludf.DUMMYFUNCTION("if(not(iserror(index(split(C2048, "" ""),2))), index(split(C2048, "" ""),1),"""")"),"")</f>
        <v/>
      </c>
      <c r="T2048" s="315" t="str">
        <f>IFERROR(__xludf.DUMMYFUNCTION("if(S2048="""",C2048,if(not(iserror(index(split(C2048, "" ""),3))), index(split(C2048, "" ""),3),index(split(C2048, "" ""),2)))"),"")</f>
        <v/>
      </c>
      <c r="U2048" s="38" t="b">
        <f t="shared" si="34"/>
        <v>0</v>
      </c>
      <c r="V2048" s="38"/>
      <c r="W2048" s="40"/>
      <c r="X2048" s="40"/>
      <c r="Y2048" s="38"/>
      <c r="Z2048" s="38"/>
      <c r="AA2048" s="38"/>
      <c r="AB2048" s="38"/>
      <c r="AC2048" s="38"/>
      <c r="AD2048" s="38"/>
      <c r="AE2048" s="38"/>
      <c r="AF2048" s="38"/>
      <c r="AG2048" s="38"/>
      <c r="AH2048" s="38"/>
      <c r="AI2048" s="38"/>
      <c r="AJ2048" s="38"/>
      <c r="AK2048" s="38"/>
      <c r="AL2048" s="38"/>
      <c r="AM2048" s="38"/>
      <c r="AN2048" s="38"/>
      <c r="AO2048" s="38"/>
      <c r="AP2048" s="38"/>
      <c r="AQ2048" s="38"/>
      <c r="AR2048" s="38"/>
      <c r="AS2048" s="38"/>
      <c r="AT2048" s="38"/>
      <c r="AU2048" s="38"/>
      <c r="AV2048" s="38"/>
      <c r="AW2048" s="38"/>
      <c r="AX2048" s="38"/>
      <c r="AY2048" s="38"/>
      <c r="AZ2048" s="38"/>
      <c r="BA2048" s="38"/>
      <c r="BB2048" s="38"/>
      <c r="BC2048" s="38"/>
      <c r="BD2048" s="38"/>
      <c r="BE2048" s="38"/>
      <c r="BF2048" s="38"/>
      <c r="BG2048" s="38"/>
      <c r="BH2048" s="38"/>
      <c r="BI2048" s="38"/>
      <c r="BJ2048" s="38"/>
      <c r="BK2048" s="38"/>
      <c r="BL2048" s="38"/>
      <c r="BM2048" s="38"/>
      <c r="BN2048" s="38"/>
      <c r="BO2048" s="38"/>
      <c r="BP2048" s="38"/>
      <c r="BQ2048" s="38"/>
    </row>
    <row r="2049">
      <c r="A2049" s="16"/>
      <c r="B2049" s="380"/>
      <c r="C2049" s="146"/>
      <c r="D2049" s="146"/>
      <c r="E2049" s="16"/>
      <c r="F2049" s="91"/>
      <c r="G2049" s="16"/>
      <c r="H2049" s="320" t="str">
        <f t="shared" si="33"/>
        <v/>
      </c>
      <c r="I2049" s="16"/>
      <c r="J2049" s="16"/>
      <c r="K2049" s="16"/>
      <c r="L2049" s="16"/>
      <c r="M2049" s="15"/>
      <c r="N2049" s="15"/>
      <c r="O2049" s="16"/>
      <c r="P2049" s="16"/>
      <c r="Q2049" s="16"/>
      <c r="R2049" s="16"/>
      <c r="S2049" s="37" t="str">
        <f>IFERROR(__xludf.DUMMYFUNCTION("if(not(iserror(index(split(C2049, "" ""),2))), index(split(C2049, "" ""),1),"""")"),"")</f>
        <v/>
      </c>
      <c r="T2049" s="315" t="str">
        <f>IFERROR(__xludf.DUMMYFUNCTION("if(S2049="""",C2049,if(not(iserror(index(split(C2049, "" ""),3))), index(split(C2049, "" ""),3),index(split(C2049, "" ""),2)))"),"")</f>
        <v/>
      </c>
      <c r="U2049" s="38" t="b">
        <f t="shared" si="34"/>
        <v>0</v>
      </c>
      <c r="V2049" s="38"/>
      <c r="W2049" s="40"/>
      <c r="X2049" s="40"/>
      <c r="Y2049" s="38"/>
      <c r="Z2049" s="38"/>
      <c r="AA2049" s="38"/>
      <c r="AB2049" s="38"/>
      <c r="AC2049" s="38"/>
      <c r="AD2049" s="38"/>
      <c r="AE2049" s="38"/>
      <c r="AF2049" s="38"/>
      <c r="AG2049" s="38"/>
      <c r="AH2049" s="38"/>
      <c r="AI2049" s="38"/>
      <c r="AJ2049" s="38"/>
      <c r="AK2049" s="38"/>
      <c r="AL2049" s="38"/>
      <c r="AM2049" s="38"/>
      <c r="AN2049" s="38"/>
      <c r="AO2049" s="38"/>
      <c r="AP2049" s="38"/>
      <c r="AQ2049" s="38"/>
      <c r="AR2049" s="38"/>
      <c r="AS2049" s="38"/>
      <c r="AT2049" s="38"/>
      <c r="AU2049" s="38"/>
      <c r="AV2049" s="38"/>
      <c r="AW2049" s="38"/>
      <c r="AX2049" s="38"/>
      <c r="AY2049" s="38"/>
      <c r="AZ2049" s="38"/>
      <c r="BA2049" s="38"/>
      <c r="BB2049" s="38"/>
      <c r="BC2049" s="38"/>
      <c r="BD2049" s="38"/>
      <c r="BE2049" s="38"/>
      <c r="BF2049" s="38"/>
      <c r="BG2049" s="38"/>
      <c r="BH2049" s="38"/>
      <c r="BI2049" s="38"/>
      <c r="BJ2049" s="38"/>
      <c r="BK2049" s="38"/>
      <c r="BL2049" s="38"/>
      <c r="BM2049" s="38"/>
      <c r="BN2049" s="38"/>
      <c r="BO2049" s="38"/>
      <c r="BP2049" s="38"/>
      <c r="BQ2049" s="38"/>
    </row>
    <row r="2050">
      <c r="A2050" s="16"/>
      <c r="B2050" s="380"/>
      <c r="C2050" s="146"/>
      <c r="D2050" s="146"/>
      <c r="E2050" s="16"/>
      <c r="F2050" s="91"/>
      <c r="G2050" s="16"/>
      <c r="H2050" s="320" t="str">
        <f t="shared" si="33"/>
        <v/>
      </c>
      <c r="I2050" s="16"/>
      <c r="J2050" s="16"/>
      <c r="K2050" s="16"/>
      <c r="L2050" s="16"/>
      <c r="M2050" s="15"/>
      <c r="N2050" s="15"/>
      <c r="O2050" s="16"/>
      <c r="P2050" s="16"/>
      <c r="Q2050" s="16"/>
      <c r="R2050" s="16"/>
      <c r="S2050" s="37" t="str">
        <f>IFERROR(__xludf.DUMMYFUNCTION("if(not(iserror(index(split(C2050, "" ""),2))), index(split(C2050, "" ""),1),"""")"),"")</f>
        <v/>
      </c>
      <c r="T2050" s="315" t="str">
        <f>IFERROR(__xludf.DUMMYFUNCTION("if(S2050="""",C2050,if(not(iserror(index(split(C2050, "" ""),3))), index(split(C2050, "" ""),3),index(split(C2050, "" ""),2)))"),"")</f>
        <v/>
      </c>
      <c r="U2050" s="38" t="b">
        <f t="shared" si="34"/>
        <v>0</v>
      </c>
      <c r="V2050" s="38"/>
      <c r="W2050" s="40"/>
      <c r="X2050" s="40"/>
      <c r="Y2050" s="38"/>
      <c r="Z2050" s="38"/>
      <c r="AA2050" s="38"/>
      <c r="AB2050" s="38"/>
      <c r="AC2050" s="38"/>
      <c r="AD2050" s="38"/>
      <c r="AE2050" s="38"/>
      <c r="AF2050" s="38"/>
      <c r="AG2050" s="38"/>
      <c r="AH2050" s="38"/>
      <c r="AI2050" s="38"/>
      <c r="AJ2050" s="38"/>
      <c r="AK2050" s="38"/>
      <c r="AL2050" s="38"/>
      <c r="AM2050" s="38"/>
      <c r="AN2050" s="38"/>
      <c r="AO2050" s="38"/>
      <c r="AP2050" s="38"/>
      <c r="AQ2050" s="38"/>
      <c r="AR2050" s="38"/>
      <c r="AS2050" s="38"/>
      <c r="AT2050" s="38"/>
      <c r="AU2050" s="38"/>
      <c r="AV2050" s="38"/>
      <c r="AW2050" s="38"/>
      <c r="AX2050" s="38"/>
      <c r="AY2050" s="38"/>
      <c r="AZ2050" s="38"/>
      <c r="BA2050" s="38"/>
      <c r="BB2050" s="38"/>
      <c r="BC2050" s="38"/>
      <c r="BD2050" s="38"/>
      <c r="BE2050" s="38"/>
      <c r="BF2050" s="38"/>
      <c r="BG2050" s="38"/>
      <c r="BH2050" s="38"/>
      <c r="BI2050" s="38"/>
      <c r="BJ2050" s="38"/>
      <c r="BK2050" s="38"/>
      <c r="BL2050" s="38"/>
      <c r="BM2050" s="38"/>
      <c r="BN2050" s="38"/>
      <c r="BO2050" s="38"/>
      <c r="BP2050" s="38"/>
      <c r="BQ2050" s="38"/>
    </row>
    <row r="2051">
      <c r="A2051" s="16"/>
      <c r="B2051" s="380"/>
      <c r="C2051" s="146"/>
      <c r="D2051" s="146"/>
      <c r="E2051" s="16"/>
      <c r="F2051" s="91"/>
      <c r="G2051" s="16"/>
      <c r="H2051" s="320" t="str">
        <f t="shared" si="33"/>
        <v/>
      </c>
      <c r="I2051" s="16"/>
      <c r="J2051" s="16"/>
      <c r="K2051" s="16"/>
      <c r="L2051" s="16"/>
      <c r="M2051" s="15"/>
      <c r="N2051" s="15"/>
      <c r="O2051" s="16"/>
      <c r="P2051" s="16"/>
      <c r="Q2051" s="16"/>
      <c r="R2051" s="16"/>
      <c r="S2051" s="37" t="str">
        <f>IFERROR(__xludf.DUMMYFUNCTION("if(not(iserror(index(split(C2051, "" ""),2))), index(split(C2051, "" ""),1),"""")"),"")</f>
        <v/>
      </c>
      <c r="T2051" s="315" t="str">
        <f>IFERROR(__xludf.DUMMYFUNCTION("if(S2051="""",C2051,if(not(iserror(index(split(C2051, "" ""),3))), index(split(C2051, "" ""),3),index(split(C2051, "" ""),2)))"),"")</f>
        <v/>
      </c>
      <c r="U2051" s="38" t="b">
        <f t="shared" si="34"/>
        <v>0</v>
      </c>
      <c r="V2051" s="38"/>
      <c r="W2051" s="40"/>
      <c r="X2051" s="40"/>
      <c r="Y2051" s="38"/>
      <c r="Z2051" s="38"/>
      <c r="AA2051" s="38"/>
      <c r="AB2051" s="38"/>
      <c r="AC2051" s="38"/>
      <c r="AD2051" s="38"/>
      <c r="AE2051" s="38"/>
      <c r="AF2051" s="38"/>
      <c r="AG2051" s="38"/>
      <c r="AH2051" s="38"/>
      <c r="AI2051" s="38"/>
      <c r="AJ2051" s="38"/>
      <c r="AK2051" s="38"/>
      <c r="AL2051" s="38"/>
      <c r="AM2051" s="38"/>
      <c r="AN2051" s="38"/>
      <c r="AO2051" s="38"/>
      <c r="AP2051" s="38"/>
      <c r="AQ2051" s="38"/>
      <c r="AR2051" s="38"/>
      <c r="AS2051" s="38"/>
      <c r="AT2051" s="38"/>
      <c r="AU2051" s="38"/>
      <c r="AV2051" s="38"/>
      <c r="AW2051" s="38"/>
      <c r="AX2051" s="38"/>
      <c r="AY2051" s="38"/>
      <c r="AZ2051" s="38"/>
      <c r="BA2051" s="38"/>
      <c r="BB2051" s="38"/>
      <c r="BC2051" s="38"/>
      <c r="BD2051" s="38"/>
      <c r="BE2051" s="38"/>
      <c r="BF2051" s="38"/>
      <c r="BG2051" s="38"/>
      <c r="BH2051" s="38"/>
      <c r="BI2051" s="38"/>
      <c r="BJ2051" s="38"/>
      <c r="BK2051" s="38"/>
      <c r="BL2051" s="38"/>
      <c r="BM2051" s="38"/>
      <c r="BN2051" s="38"/>
      <c r="BO2051" s="38"/>
      <c r="BP2051" s="38"/>
      <c r="BQ2051" s="38"/>
    </row>
    <row r="2052">
      <c r="A2052" s="16"/>
      <c r="B2052" s="380"/>
      <c r="C2052" s="146"/>
      <c r="D2052" s="146"/>
      <c r="E2052" s="16"/>
      <c r="F2052" s="91"/>
      <c r="G2052" s="16"/>
      <c r="H2052" s="320" t="str">
        <f t="shared" si="33"/>
        <v/>
      </c>
      <c r="I2052" s="16"/>
      <c r="J2052" s="16"/>
      <c r="K2052" s="16"/>
      <c r="L2052" s="16"/>
      <c r="M2052" s="15"/>
      <c r="N2052" s="15"/>
      <c r="O2052" s="16"/>
      <c r="P2052" s="16"/>
      <c r="Q2052" s="16"/>
      <c r="R2052" s="16"/>
      <c r="S2052" s="37" t="str">
        <f>IFERROR(__xludf.DUMMYFUNCTION("if(not(iserror(index(split(C2052, "" ""),2))), index(split(C2052, "" ""),1),"""")"),"")</f>
        <v/>
      </c>
      <c r="T2052" s="315" t="str">
        <f>IFERROR(__xludf.DUMMYFUNCTION("if(S2052="""",C2052,if(not(iserror(index(split(C2052, "" ""),3))), index(split(C2052, "" ""),3),index(split(C2052, "" ""),2)))"),"")</f>
        <v/>
      </c>
      <c r="U2052" s="38" t="b">
        <f t="shared" si="34"/>
        <v>0</v>
      </c>
      <c r="V2052" s="38"/>
      <c r="W2052" s="40"/>
      <c r="X2052" s="40"/>
      <c r="Y2052" s="38"/>
      <c r="Z2052" s="38"/>
      <c r="AA2052" s="38"/>
      <c r="AB2052" s="38"/>
      <c r="AC2052" s="38"/>
      <c r="AD2052" s="38"/>
      <c r="AE2052" s="38"/>
      <c r="AF2052" s="38"/>
      <c r="AG2052" s="38"/>
      <c r="AH2052" s="38"/>
      <c r="AI2052" s="38"/>
      <c r="AJ2052" s="38"/>
      <c r="AK2052" s="38"/>
      <c r="AL2052" s="38"/>
      <c r="AM2052" s="38"/>
      <c r="AN2052" s="38"/>
      <c r="AO2052" s="38"/>
      <c r="AP2052" s="38"/>
      <c r="AQ2052" s="38"/>
      <c r="AR2052" s="38"/>
      <c r="AS2052" s="38"/>
      <c r="AT2052" s="38"/>
      <c r="AU2052" s="38"/>
      <c r="AV2052" s="38"/>
      <c r="AW2052" s="38"/>
      <c r="AX2052" s="38"/>
      <c r="AY2052" s="38"/>
      <c r="AZ2052" s="38"/>
      <c r="BA2052" s="38"/>
      <c r="BB2052" s="38"/>
      <c r="BC2052" s="38"/>
      <c r="BD2052" s="38"/>
      <c r="BE2052" s="38"/>
      <c r="BF2052" s="38"/>
      <c r="BG2052" s="38"/>
      <c r="BH2052" s="38"/>
      <c r="BI2052" s="38"/>
      <c r="BJ2052" s="38"/>
      <c r="BK2052" s="38"/>
      <c r="BL2052" s="38"/>
      <c r="BM2052" s="38"/>
      <c r="BN2052" s="38"/>
      <c r="BO2052" s="38"/>
      <c r="BP2052" s="38"/>
      <c r="BQ2052" s="38"/>
    </row>
    <row r="2053">
      <c r="A2053" s="16"/>
      <c r="B2053" s="380"/>
      <c r="C2053" s="146"/>
      <c r="D2053" s="146"/>
      <c r="E2053" s="16"/>
      <c r="F2053" s="91"/>
      <c r="G2053" s="16"/>
      <c r="H2053" s="320" t="str">
        <f t="shared" si="33"/>
        <v/>
      </c>
      <c r="I2053" s="16"/>
      <c r="J2053" s="16"/>
      <c r="K2053" s="16"/>
      <c r="L2053" s="16"/>
      <c r="M2053" s="15"/>
      <c r="N2053" s="15"/>
      <c r="O2053" s="16"/>
      <c r="P2053" s="16"/>
      <c r="Q2053" s="16"/>
      <c r="R2053" s="16"/>
      <c r="S2053" s="37" t="str">
        <f>IFERROR(__xludf.DUMMYFUNCTION("if(not(iserror(index(split(C2053, "" ""),2))), index(split(C2053, "" ""),1),"""")"),"")</f>
        <v/>
      </c>
      <c r="T2053" s="315" t="str">
        <f>IFERROR(__xludf.DUMMYFUNCTION("if(S2053="""",C2053,if(not(iserror(index(split(C2053, "" ""),3))), index(split(C2053, "" ""),3),index(split(C2053, "" ""),2)))"),"")</f>
        <v/>
      </c>
      <c r="U2053" s="38" t="b">
        <f t="shared" si="34"/>
        <v>0</v>
      </c>
      <c r="V2053" s="38"/>
      <c r="W2053" s="40"/>
      <c r="X2053" s="40"/>
      <c r="Y2053" s="38"/>
      <c r="Z2053" s="38"/>
      <c r="AA2053" s="38"/>
      <c r="AB2053" s="38"/>
      <c r="AC2053" s="38"/>
      <c r="AD2053" s="38"/>
      <c r="AE2053" s="38"/>
      <c r="AF2053" s="38"/>
      <c r="AG2053" s="38"/>
      <c r="AH2053" s="38"/>
      <c r="AI2053" s="38"/>
      <c r="AJ2053" s="38"/>
      <c r="AK2053" s="38"/>
      <c r="AL2053" s="38"/>
      <c r="AM2053" s="38"/>
      <c r="AN2053" s="38"/>
      <c r="AO2053" s="38"/>
      <c r="AP2053" s="38"/>
      <c r="AQ2053" s="38"/>
      <c r="AR2053" s="38"/>
      <c r="AS2053" s="38"/>
      <c r="AT2053" s="38"/>
      <c r="AU2053" s="38"/>
      <c r="AV2053" s="38"/>
      <c r="AW2053" s="38"/>
      <c r="AX2053" s="38"/>
      <c r="AY2053" s="38"/>
      <c r="AZ2053" s="38"/>
      <c r="BA2053" s="38"/>
      <c r="BB2053" s="38"/>
      <c r="BC2053" s="38"/>
      <c r="BD2053" s="38"/>
      <c r="BE2053" s="38"/>
      <c r="BF2053" s="38"/>
      <c r="BG2053" s="38"/>
      <c r="BH2053" s="38"/>
      <c r="BI2053" s="38"/>
      <c r="BJ2053" s="38"/>
      <c r="BK2053" s="38"/>
      <c r="BL2053" s="38"/>
      <c r="BM2053" s="38"/>
      <c r="BN2053" s="38"/>
      <c r="BO2053" s="38"/>
      <c r="BP2053" s="38"/>
      <c r="BQ2053" s="38"/>
    </row>
    <row r="2054">
      <c r="A2054" s="16"/>
      <c r="B2054" s="380"/>
      <c r="C2054" s="146"/>
      <c r="D2054" s="146"/>
      <c r="E2054" s="16"/>
      <c r="F2054" s="91"/>
      <c r="G2054" s="16"/>
      <c r="H2054" s="320" t="str">
        <f t="shared" si="33"/>
        <v/>
      </c>
      <c r="I2054" s="16"/>
      <c r="J2054" s="16"/>
      <c r="K2054" s="16"/>
      <c r="L2054" s="16"/>
      <c r="M2054" s="15"/>
      <c r="N2054" s="15"/>
      <c r="O2054" s="16"/>
      <c r="P2054" s="16"/>
      <c r="Q2054" s="16"/>
      <c r="R2054" s="16"/>
      <c r="S2054" s="37" t="str">
        <f>IFERROR(__xludf.DUMMYFUNCTION("if(not(iserror(index(split(C2054, "" ""),2))), index(split(C2054, "" ""),1),"""")"),"")</f>
        <v/>
      </c>
      <c r="T2054" s="315" t="str">
        <f>IFERROR(__xludf.DUMMYFUNCTION("if(S2054="""",C2054,if(not(iserror(index(split(C2054, "" ""),3))), index(split(C2054, "" ""),3),index(split(C2054, "" ""),2)))"),"")</f>
        <v/>
      </c>
      <c r="U2054" s="38" t="b">
        <f t="shared" si="34"/>
        <v>0</v>
      </c>
      <c r="V2054" s="38"/>
      <c r="W2054" s="40"/>
      <c r="X2054" s="40"/>
      <c r="Y2054" s="38"/>
      <c r="Z2054" s="38"/>
      <c r="AA2054" s="38"/>
      <c r="AB2054" s="38"/>
      <c r="AC2054" s="38"/>
      <c r="AD2054" s="38"/>
      <c r="AE2054" s="38"/>
      <c r="AF2054" s="38"/>
      <c r="AG2054" s="38"/>
      <c r="AH2054" s="38"/>
      <c r="AI2054" s="38"/>
      <c r="AJ2054" s="38"/>
      <c r="AK2054" s="38"/>
      <c r="AL2054" s="38"/>
      <c r="AM2054" s="38"/>
      <c r="AN2054" s="38"/>
      <c r="AO2054" s="38"/>
      <c r="AP2054" s="38"/>
      <c r="AQ2054" s="38"/>
      <c r="AR2054" s="38"/>
      <c r="AS2054" s="38"/>
      <c r="AT2054" s="38"/>
      <c r="AU2054" s="38"/>
      <c r="AV2054" s="38"/>
      <c r="AW2054" s="38"/>
      <c r="AX2054" s="38"/>
      <c r="AY2054" s="38"/>
      <c r="AZ2054" s="38"/>
      <c r="BA2054" s="38"/>
      <c r="BB2054" s="38"/>
      <c r="BC2054" s="38"/>
      <c r="BD2054" s="38"/>
      <c r="BE2054" s="38"/>
      <c r="BF2054" s="38"/>
      <c r="BG2054" s="38"/>
      <c r="BH2054" s="38"/>
      <c r="BI2054" s="38"/>
      <c r="BJ2054" s="38"/>
      <c r="BK2054" s="38"/>
      <c r="BL2054" s="38"/>
      <c r="BM2054" s="38"/>
      <c r="BN2054" s="38"/>
      <c r="BO2054" s="38"/>
      <c r="BP2054" s="38"/>
      <c r="BQ2054" s="38"/>
    </row>
    <row r="2055">
      <c r="A2055" s="16"/>
      <c r="B2055" s="380"/>
      <c r="C2055" s="146"/>
      <c r="D2055" s="146"/>
      <c r="E2055" s="16"/>
      <c r="F2055" s="91"/>
      <c r="G2055" s="16"/>
      <c r="H2055" s="320" t="str">
        <f t="shared" si="33"/>
        <v/>
      </c>
      <c r="I2055" s="16"/>
      <c r="J2055" s="16"/>
      <c r="K2055" s="16"/>
      <c r="L2055" s="16"/>
      <c r="M2055" s="15"/>
      <c r="N2055" s="15"/>
      <c r="O2055" s="16"/>
      <c r="P2055" s="16"/>
      <c r="Q2055" s="16"/>
      <c r="R2055" s="16"/>
      <c r="S2055" s="37" t="str">
        <f>IFERROR(__xludf.DUMMYFUNCTION("if(not(iserror(index(split(C2055, "" ""),2))), index(split(C2055, "" ""),1),"""")"),"")</f>
        <v/>
      </c>
      <c r="T2055" s="315" t="str">
        <f>IFERROR(__xludf.DUMMYFUNCTION("if(S2055="""",C2055,if(not(iserror(index(split(C2055, "" ""),3))), index(split(C2055, "" ""),3),index(split(C2055, "" ""),2)))"),"")</f>
        <v/>
      </c>
      <c r="U2055" s="38" t="b">
        <f t="shared" si="34"/>
        <v>0</v>
      </c>
      <c r="V2055" s="38"/>
      <c r="W2055" s="40"/>
      <c r="X2055" s="40"/>
      <c r="Y2055" s="38"/>
      <c r="Z2055" s="38"/>
      <c r="AA2055" s="38"/>
      <c r="AB2055" s="38"/>
      <c r="AC2055" s="38"/>
      <c r="AD2055" s="38"/>
      <c r="AE2055" s="38"/>
      <c r="AF2055" s="38"/>
      <c r="AG2055" s="38"/>
      <c r="AH2055" s="38"/>
      <c r="AI2055" s="38"/>
      <c r="AJ2055" s="38"/>
      <c r="AK2055" s="38"/>
      <c r="AL2055" s="38"/>
      <c r="AM2055" s="38"/>
      <c r="AN2055" s="38"/>
      <c r="AO2055" s="38"/>
      <c r="AP2055" s="38"/>
      <c r="AQ2055" s="38"/>
      <c r="AR2055" s="38"/>
      <c r="AS2055" s="38"/>
      <c r="AT2055" s="38"/>
      <c r="AU2055" s="38"/>
      <c r="AV2055" s="38"/>
      <c r="AW2055" s="38"/>
      <c r="AX2055" s="38"/>
      <c r="AY2055" s="38"/>
      <c r="AZ2055" s="38"/>
      <c r="BA2055" s="38"/>
      <c r="BB2055" s="38"/>
      <c r="BC2055" s="38"/>
      <c r="BD2055" s="38"/>
      <c r="BE2055" s="38"/>
      <c r="BF2055" s="38"/>
      <c r="BG2055" s="38"/>
      <c r="BH2055" s="38"/>
      <c r="BI2055" s="38"/>
      <c r="BJ2055" s="38"/>
      <c r="BK2055" s="38"/>
      <c r="BL2055" s="38"/>
      <c r="BM2055" s="38"/>
      <c r="BN2055" s="38"/>
      <c r="BO2055" s="38"/>
      <c r="BP2055" s="38"/>
      <c r="BQ2055" s="38"/>
    </row>
    <row r="2056">
      <c r="A2056" s="16"/>
      <c r="B2056" s="380"/>
      <c r="C2056" s="146"/>
      <c r="D2056" s="146"/>
      <c r="E2056" s="16"/>
      <c r="F2056" s="91"/>
      <c r="G2056" s="16"/>
      <c r="H2056" s="320" t="str">
        <f t="shared" si="33"/>
        <v/>
      </c>
      <c r="I2056" s="16"/>
      <c r="J2056" s="16"/>
      <c r="K2056" s="16"/>
      <c r="L2056" s="16"/>
      <c r="M2056" s="15"/>
      <c r="N2056" s="15"/>
      <c r="O2056" s="16"/>
      <c r="P2056" s="16"/>
      <c r="Q2056" s="16"/>
      <c r="R2056" s="16"/>
      <c r="S2056" s="37" t="str">
        <f>IFERROR(__xludf.DUMMYFUNCTION("if(not(iserror(index(split(C2056, "" ""),2))), index(split(C2056, "" ""),1),"""")"),"")</f>
        <v/>
      </c>
      <c r="T2056" s="315" t="str">
        <f>IFERROR(__xludf.DUMMYFUNCTION("if(S2056="""",C2056,if(not(iserror(index(split(C2056, "" ""),3))), index(split(C2056, "" ""),3),index(split(C2056, "" ""),2)))"),"")</f>
        <v/>
      </c>
      <c r="U2056" s="38" t="b">
        <f t="shared" si="34"/>
        <v>0</v>
      </c>
      <c r="V2056" s="38"/>
      <c r="W2056" s="40"/>
      <c r="X2056" s="40"/>
      <c r="Y2056" s="38"/>
      <c r="Z2056" s="38"/>
      <c r="AA2056" s="38"/>
      <c r="AB2056" s="38"/>
      <c r="AC2056" s="38"/>
      <c r="AD2056" s="38"/>
      <c r="AE2056" s="38"/>
      <c r="AF2056" s="38"/>
      <c r="AG2056" s="38"/>
      <c r="AH2056" s="38"/>
      <c r="AI2056" s="38"/>
      <c r="AJ2056" s="38"/>
      <c r="AK2056" s="38"/>
      <c r="AL2056" s="38"/>
      <c r="AM2056" s="38"/>
      <c r="AN2056" s="38"/>
      <c r="AO2056" s="38"/>
      <c r="AP2056" s="38"/>
      <c r="AQ2056" s="38"/>
      <c r="AR2056" s="38"/>
      <c r="AS2056" s="38"/>
      <c r="AT2056" s="38"/>
      <c r="AU2056" s="38"/>
      <c r="AV2056" s="38"/>
      <c r="AW2056" s="38"/>
      <c r="AX2056" s="38"/>
      <c r="AY2056" s="38"/>
      <c r="AZ2056" s="38"/>
      <c r="BA2056" s="38"/>
      <c r="BB2056" s="38"/>
      <c r="BC2056" s="38"/>
      <c r="BD2056" s="38"/>
      <c r="BE2056" s="38"/>
      <c r="BF2056" s="38"/>
      <c r="BG2056" s="38"/>
      <c r="BH2056" s="38"/>
      <c r="BI2056" s="38"/>
      <c r="BJ2056" s="38"/>
      <c r="BK2056" s="38"/>
      <c r="BL2056" s="38"/>
      <c r="BM2056" s="38"/>
      <c r="BN2056" s="38"/>
      <c r="BO2056" s="38"/>
      <c r="BP2056" s="38"/>
      <c r="BQ2056" s="38"/>
    </row>
    <row r="2057">
      <c r="A2057" s="16"/>
      <c r="B2057" s="380"/>
      <c r="C2057" s="146"/>
      <c r="D2057" s="146"/>
      <c r="E2057" s="16"/>
      <c r="F2057" s="91"/>
      <c r="G2057" s="16"/>
      <c r="H2057" s="320" t="str">
        <f t="shared" si="33"/>
        <v/>
      </c>
      <c r="I2057" s="16"/>
      <c r="J2057" s="16"/>
      <c r="K2057" s="16"/>
      <c r="L2057" s="16"/>
      <c r="M2057" s="15"/>
      <c r="N2057" s="15"/>
      <c r="O2057" s="16"/>
      <c r="P2057" s="16"/>
      <c r="Q2057" s="16"/>
      <c r="R2057" s="16"/>
      <c r="S2057" s="37" t="str">
        <f>IFERROR(__xludf.DUMMYFUNCTION("if(not(iserror(index(split(C2057, "" ""),2))), index(split(C2057, "" ""),1),"""")"),"")</f>
        <v/>
      </c>
      <c r="T2057" s="315" t="str">
        <f>IFERROR(__xludf.DUMMYFUNCTION("if(S2057="""",C2057,if(not(iserror(index(split(C2057, "" ""),3))), index(split(C2057, "" ""),3),index(split(C2057, "" ""),2)))"),"")</f>
        <v/>
      </c>
      <c r="U2057" s="38" t="b">
        <f t="shared" si="34"/>
        <v>0</v>
      </c>
      <c r="V2057" s="38"/>
      <c r="W2057" s="40"/>
      <c r="X2057" s="40"/>
      <c r="Y2057" s="38"/>
      <c r="Z2057" s="38"/>
      <c r="AA2057" s="38"/>
      <c r="AB2057" s="38"/>
      <c r="AC2057" s="38"/>
      <c r="AD2057" s="38"/>
      <c r="AE2057" s="38"/>
      <c r="AF2057" s="38"/>
      <c r="AG2057" s="38"/>
      <c r="AH2057" s="38"/>
      <c r="AI2057" s="38"/>
      <c r="AJ2057" s="38"/>
      <c r="AK2057" s="38"/>
      <c r="AL2057" s="38"/>
      <c r="AM2057" s="38"/>
      <c r="AN2057" s="38"/>
      <c r="AO2057" s="38"/>
      <c r="AP2057" s="38"/>
      <c r="AQ2057" s="38"/>
      <c r="AR2057" s="38"/>
      <c r="AS2057" s="38"/>
      <c r="AT2057" s="38"/>
      <c r="AU2057" s="38"/>
      <c r="AV2057" s="38"/>
      <c r="AW2057" s="38"/>
      <c r="AX2057" s="38"/>
      <c r="AY2057" s="38"/>
      <c r="AZ2057" s="38"/>
      <c r="BA2057" s="38"/>
      <c r="BB2057" s="38"/>
      <c r="BC2057" s="38"/>
      <c r="BD2057" s="38"/>
      <c r="BE2057" s="38"/>
      <c r="BF2057" s="38"/>
      <c r="BG2057" s="38"/>
      <c r="BH2057" s="38"/>
      <c r="BI2057" s="38"/>
      <c r="BJ2057" s="38"/>
      <c r="BK2057" s="38"/>
      <c r="BL2057" s="38"/>
      <c r="BM2057" s="38"/>
      <c r="BN2057" s="38"/>
      <c r="BO2057" s="38"/>
      <c r="BP2057" s="38"/>
      <c r="BQ2057" s="38"/>
    </row>
    <row r="2058">
      <c r="A2058" s="16"/>
      <c r="B2058" s="380"/>
      <c r="C2058" s="146"/>
      <c r="D2058" s="146"/>
      <c r="E2058" s="16"/>
      <c r="F2058" s="91"/>
      <c r="G2058" s="16"/>
      <c r="H2058" s="320" t="str">
        <f t="shared" si="33"/>
        <v/>
      </c>
      <c r="I2058" s="16"/>
      <c r="J2058" s="16"/>
      <c r="K2058" s="16"/>
      <c r="L2058" s="16"/>
      <c r="M2058" s="15"/>
      <c r="N2058" s="15"/>
      <c r="O2058" s="16"/>
      <c r="P2058" s="16"/>
      <c r="Q2058" s="16"/>
      <c r="R2058" s="16"/>
      <c r="S2058" s="37" t="str">
        <f>IFERROR(__xludf.DUMMYFUNCTION("if(not(iserror(index(split(C2058, "" ""),2))), index(split(C2058, "" ""),1),"""")"),"")</f>
        <v/>
      </c>
      <c r="T2058" s="315" t="str">
        <f>IFERROR(__xludf.DUMMYFUNCTION("if(S2058="""",C2058,if(not(iserror(index(split(C2058, "" ""),3))), index(split(C2058, "" ""),3),index(split(C2058, "" ""),2)))"),"")</f>
        <v/>
      </c>
      <c r="U2058" s="38" t="b">
        <f t="shared" si="34"/>
        <v>0</v>
      </c>
      <c r="V2058" s="38"/>
      <c r="W2058" s="40"/>
      <c r="X2058" s="40"/>
      <c r="Y2058" s="38"/>
      <c r="Z2058" s="38"/>
      <c r="AA2058" s="38"/>
      <c r="AB2058" s="38"/>
      <c r="AC2058" s="38"/>
      <c r="AD2058" s="38"/>
      <c r="AE2058" s="38"/>
      <c r="AF2058" s="38"/>
      <c r="AG2058" s="38"/>
      <c r="AH2058" s="38"/>
      <c r="AI2058" s="38"/>
      <c r="AJ2058" s="38"/>
      <c r="AK2058" s="38"/>
      <c r="AL2058" s="38"/>
      <c r="AM2058" s="38"/>
      <c r="AN2058" s="38"/>
      <c r="AO2058" s="38"/>
      <c r="AP2058" s="38"/>
      <c r="AQ2058" s="38"/>
      <c r="AR2058" s="38"/>
      <c r="AS2058" s="38"/>
      <c r="AT2058" s="38"/>
      <c r="AU2058" s="38"/>
      <c r="AV2058" s="38"/>
      <c r="AW2058" s="38"/>
      <c r="AX2058" s="38"/>
      <c r="AY2058" s="38"/>
      <c r="AZ2058" s="38"/>
      <c r="BA2058" s="38"/>
      <c r="BB2058" s="38"/>
      <c r="BC2058" s="38"/>
      <c r="BD2058" s="38"/>
      <c r="BE2058" s="38"/>
      <c r="BF2058" s="38"/>
      <c r="BG2058" s="38"/>
      <c r="BH2058" s="38"/>
      <c r="BI2058" s="38"/>
      <c r="BJ2058" s="38"/>
      <c r="BK2058" s="38"/>
      <c r="BL2058" s="38"/>
      <c r="BM2058" s="38"/>
      <c r="BN2058" s="38"/>
      <c r="BO2058" s="38"/>
      <c r="BP2058" s="38"/>
      <c r="BQ2058" s="38"/>
    </row>
    <row r="2059">
      <c r="A2059" s="16"/>
      <c r="B2059" s="380"/>
      <c r="C2059" s="146"/>
      <c r="D2059" s="146"/>
      <c r="E2059" s="16"/>
      <c r="F2059" s="91"/>
      <c r="G2059" s="16"/>
      <c r="H2059" s="320" t="str">
        <f t="shared" si="33"/>
        <v/>
      </c>
      <c r="I2059" s="16"/>
      <c r="J2059" s="16"/>
      <c r="K2059" s="16"/>
      <c r="L2059" s="16"/>
      <c r="M2059" s="15"/>
      <c r="N2059" s="15"/>
      <c r="O2059" s="16"/>
      <c r="P2059" s="16"/>
      <c r="Q2059" s="16"/>
      <c r="R2059" s="16"/>
      <c r="S2059" s="37" t="str">
        <f>IFERROR(__xludf.DUMMYFUNCTION("if(not(iserror(index(split(C2059, "" ""),2))), index(split(C2059, "" ""),1),"""")"),"")</f>
        <v/>
      </c>
      <c r="T2059" s="315" t="str">
        <f>IFERROR(__xludf.DUMMYFUNCTION("if(S2059="""",C2059,if(not(iserror(index(split(C2059, "" ""),3))), index(split(C2059, "" ""),3),index(split(C2059, "" ""),2)))"),"")</f>
        <v/>
      </c>
      <c r="U2059" s="38" t="b">
        <f t="shared" si="34"/>
        <v>0</v>
      </c>
      <c r="V2059" s="38"/>
      <c r="W2059" s="40"/>
      <c r="X2059" s="40"/>
      <c r="Y2059" s="38"/>
      <c r="Z2059" s="38"/>
      <c r="AA2059" s="38"/>
      <c r="AB2059" s="38"/>
      <c r="AC2059" s="38"/>
      <c r="AD2059" s="38"/>
      <c r="AE2059" s="38"/>
      <c r="AF2059" s="38"/>
      <c r="AG2059" s="38"/>
      <c r="AH2059" s="38"/>
      <c r="AI2059" s="38"/>
      <c r="AJ2059" s="38"/>
      <c r="AK2059" s="38"/>
      <c r="AL2059" s="38"/>
      <c r="AM2059" s="38"/>
      <c r="AN2059" s="38"/>
      <c r="AO2059" s="38"/>
      <c r="AP2059" s="38"/>
      <c r="AQ2059" s="38"/>
      <c r="AR2059" s="38"/>
      <c r="AS2059" s="38"/>
      <c r="AT2059" s="38"/>
      <c r="AU2059" s="38"/>
      <c r="AV2059" s="38"/>
      <c r="AW2059" s="38"/>
      <c r="AX2059" s="38"/>
      <c r="AY2059" s="38"/>
      <c r="AZ2059" s="38"/>
      <c r="BA2059" s="38"/>
      <c r="BB2059" s="38"/>
      <c r="BC2059" s="38"/>
      <c r="BD2059" s="38"/>
      <c r="BE2059" s="38"/>
      <c r="BF2059" s="38"/>
      <c r="BG2059" s="38"/>
      <c r="BH2059" s="38"/>
      <c r="BI2059" s="38"/>
      <c r="BJ2059" s="38"/>
      <c r="BK2059" s="38"/>
      <c r="BL2059" s="38"/>
      <c r="BM2059" s="38"/>
      <c r="BN2059" s="38"/>
      <c r="BO2059" s="38"/>
      <c r="BP2059" s="38"/>
      <c r="BQ2059" s="38"/>
    </row>
    <row r="2060">
      <c r="A2060" s="16"/>
      <c r="B2060" s="380"/>
      <c r="C2060" s="146"/>
      <c r="D2060" s="146"/>
      <c r="E2060" s="16"/>
      <c r="F2060" s="91"/>
      <c r="G2060" s="16"/>
      <c r="H2060" s="320" t="str">
        <f t="shared" si="33"/>
        <v/>
      </c>
      <c r="I2060" s="16"/>
      <c r="J2060" s="16"/>
      <c r="K2060" s="16"/>
      <c r="L2060" s="16"/>
      <c r="M2060" s="15"/>
      <c r="N2060" s="15"/>
      <c r="O2060" s="16"/>
      <c r="P2060" s="16"/>
      <c r="Q2060" s="16"/>
      <c r="R2060" s="16"/>
      <c r="S2060" s="37" t="str">
        <f>IFERROR(__xludf.DUMMYFUNCTION("if(not(iserror(index(split(C2060, "" ""),2))), index(split(C2060, "" ""),1),"""")"),"")</f>
        <v/>
      </c>
      <c r="T2060" s="315" t="str">
        <f>IFERROR(__xludf.DUMMYFUNCTION("if(S2060="""",C2060,if(not(iserror(index(split(C2060, "" ""),3))), index(split(C2060, "" ""),3),index(split(C2060, "" ""),2)))"),"")</f>
        <v/>
      </c>
      <c r="U2060" s="38" t="b">
        <f t="shared" si="34"/>
        <v>0</v>
      </c>
      <c r="V2060" s="38"/>
      <c r="W2060" s="40"/>
      <c r="X2060" s="40"/>
      <c r="Y2060" s="38"/>
      <c r="Z2060" s="38"/>
      <c r="AA2060" s="38"/>
      <c r="AB2060" s="38"/>
      <c r="AC2060" s="38"/>
      <c r="AD2060" s="38"/>
      <c r="AE2060" s="38"/>
      <c r="AF2060" s="38"/>
      <c r="AG2060" s="38"/>
      <c r="AH2060" s="38"/>
      <c r="AI2060" s="38"/>
      <c r="AJ2060" s="38"/>
      <c r="AK2060" s="38"/>
      <c r="AL2060" s="38"/>
      <c r="AM2060" s="38"/>
      <c r="AN2060" s="38"/>
      <c r="AO2060" s="38"/>
      <c r="AP2060" s="38"/>
      <c r="AQ2060" s="38"/>
      <c r="AR2060" s="38"/>
      <c r="AS2060" s="38"/>
      <c r="AT2060" s="38"/>
      <c r="AU2060" s="38"/>
      <c r="AV2060" s="38"/>
      <c r="AW2060" s="38"/>
      <c r="AX2060" s="38"/>
      <c r="AY2060" s="38"/>
      <c r="AZ2060" s="38"/>
      <c r="BA2060" s="38"/>
      <c r="BB2060" s="38"/>
      <c r="BC2060" s="38"/>
      <c r="BD2060" s="38"/>
      <c r="BE2060" s="38"/>
      <c r="BF2060" s="38"/>
      <c r="BG2060" s="38"/>
      <c r="BH2060" s="38"/>
      <c r="BI2060" s="38"/>
      <c r="BJ2060" s="38"/>
      <c r="BK2060" s="38"/>
      <c r="BL2060" s="38"/>
      <c r="BM2060" s="38"/>
      <c r="BN2060" s="38"/>
      <c r="BO2060" s="38"/>
      <c r="BP2060" s="38"/>
      <c r="BQ2060" s="38"/>
    </row>
    <row r="2061">
      <c r="A2061" s="16"/>
      <c r="B2061" s="380"/>
      <c r="C2061" s="146"/>
      <c r="D2061" s="146"/>
      <c r="E2061" s="16"/>
      <c r="F2061" s="91"/>
      <c r="G2061" s="16"/>
      <c r="H2061" s="320" t="str">
        <f t="shared" si="33"/>
        <v/>
      </c>
      <c r="I2061" s="16"/>
      <c r="J2061" s="16"/>
      <c r="K2061" s="16"/>
      <c r="L2061" s="16"/>
      <c r="M2061" s="15"/>
      <c r="N2061" s="15"/>
      <c r="O2061" s="16"/>
      <c r="P2061" s="16"/>
      <c r="Q2061" s="16"/>
      <c r="R2061" s="16"/>
      <c r="S2061" s="37" t="str">
        <f>IFERROR(__xludf.DUMMYFUNCTION("if(not(iserror(index(split(C2061, "" ""),2))), index(split(C2061, "" ""),1),"""")"),"")</f>
        <v/>
      </c>
      <c r="T2061" s="315" t="str">
        <f>IFERROR(__xludf.DUMMYFUNCTION("if(S2061="""",C2061,if(not(iserror(index(split(C2061, "" ""),3))), index(split(C2061, "" ""),3),index(split(C2061, "" ""),2)))"),"")</f>
        <v/>
      </c>
      <c r="U2061" s="38" t="b">
        <f t="shared" si="34"/>
        <v>0</v>
      </c>
      <c r="V2061" s="38"/>
      <c r="W2061" s="40"/>
      <c r="X2061" s="40"/>
      <c r="Y2061" s="38"/>
      <c r="Z2061" s="38"/>
      <c r="AA2061" s="38"/>
      <c r="AB2061" s="38"/>
      <c r="AC2061" s="38"/>
      <c r="AD2061" s="38"/>
      <c r="AE2061" s="38"/>
      <c r="AF2061" s="38"/>
      <c r="AG2061" s="38"/>
      <c r="AH2061" s="38"/>
      <c r="AI2061" s="38"/>
      <c r="AJ2061" s="38"/>
      <c r="AK2061" s="38"/>
      <c r="AL2061" s="38"/>
      <c r="AM2061" s="38"/>
      <c r="AN2061" s="38"/>
      <c r="AO2061" s="38"/>
      <c r="AP2061" s="38"/>
      <c r="AQ2061" s="38"/>
      <c r="AR2061" s="38"/>
      <c r="AS2061" s="38"/>
      <c r="AT2061" s="38"/>
      <c r="AU2061" s="38"/>
      <c r="AV2061" s="38"/>
      <c r="AW2061" s="38"/>
      <c r="AX2061" s="38"/>
      <c r="AY2061" s="38"/>
      <c r="AZ2061" s="38"/>
      <c r="BA2061" s="38"/>
      <c r="BB2061" s="38"/>
      <c r="BC2061" s="38"/>
      <c r="BD2061" s="38"/>
      <c r="BE2061" s="38"/>
      <c r="BF2061" s="38"/>
      <c r="BG2061" s="38"/>
      <c r="BH2061" s="38"/>
      <c r="BI2061" s="38"/>
      <c r="BJ2061" s="38"/>
      <c r="BK2061" s="38"/>
      <c r="BL2061" s="38"/>
      <c r="BM2061" s="38"/>
      <c r="BN2061" s="38"/>
      <c r="BO2061" s="38"/>
      <c r="BP2061" s="38"/>
      <c r="BQ2061" s="38"/>
    </row>
    <row r="2062">
      <c r="A2062" s="16"/>
      <c r="B2062" s="380"/>
      <c r="C2062" s="146"/>
      <c r="D2062" s="146"/>
      <c r="E2062" s="16"/>
      <c r="F2062" s="91"/>
      <c r="G2062" s="16"/>
      <c r="H2062" s="320" t="str">
        <f t="shared" si="33"/>
        <v/>
      </c>
      <c r="I2062" s="16"/>
      <c r="J2062" s="16"/>
      <c r="K2062" s="16"/>
      <c r="L2062" s="16"/>
      <c r="M2062" s="15"/>
      <c r="N2062" s="15"/>
      <c r="O2062" s="16"/>
      <c r="P2062" s="16"/>
      <c r="Q2062" s="16"/>
      <c r="R2062" s="16"/>
      <c r="S2062" s="37" t="str">
        <f>IFERROR(__xludf.DUMMYFUNCTION("if(not(iserror(index(split(C2062, "" ""),2))), index(split(C2062, "" ""),1),"""")"),"")</f>
        <v/>
      </c>
      <c r="T2062" s="315" t="str">
        <f>IFERROR(__xludf.DUMMYFUNCTION("if(S2062="""",C2062,if(not(iserror(index(split(C2062, "" ""),3))), index(split(C2062, "" ""),3),index(split(C2062, "" ""),2)))"),"")</f>
        <v/>
      </c>
      <c r="U2062" s="38" t="b">
        <f t="shared" si="34"/>
        <v>0</v>
      </c>
      <c r="V2062" s="38"/>
      <c r="W2062" s="40"/>
      <c r="X2062" s="40"/>
      <c r="Y2062" s="38"/>
      <c r="Z2062" s="38"/>
      <c r="AA2062" s="38"/>
      <c r="AB2062" s="38"/>
      <c r="AC2062" s="38"/>
      <c r="AD2062" s="38"/>
      <c r="AE2062" s="38"/>
      <c r="AF2062" s="38"/>
      <c r="AG2062" s="38"/>
      <c r="AH2062" s="38"/>
      <c r="AI2062" s="38"/>
      <c r="AJ2062" s="38"/>
      <c r="AK2062" s="38"/>
      <c r="AL2062" s="38"/>
      <c r="AM2062" s="38"/>
      <c r="AN2062" s="38"/>
      <c r="AO2062" s="38"/>
      <c r="AP2062" s="38"/>
      <c r="AQ2062" s="38"/>
      <c r="AR2062" s="38"/>
      <c r="AS2062" s="38"/>
      <c r="AT2062" s="38"/>
      <c r="AU2062" s="38"/>
      <c r="AV2062" s="38"/>
      <c r="AW2062" s="38"/>
      <c r="AX2062" s="38"/>
      <c r="AY2062" s="38"/>
      <c r="AZ2062" s="38"/>
      <c r="BA2062" s="38"/>
      <c r="BB2062" s="38"/>
      <c r="BC2062" s="38"/>
      <c r="BD2062" s="38"/>
      <c r="BE2062" s="38"/>
      <c r="BF2062" s="38"/>
      <c r="BG2062" s="38"/>
      <c r="BH2062" s="38"/>
      <c r="BI2062" s="38"/>
      <c r="BJ2062" s="38"/>
      <c r="BK2062" s="38"/>
      <c r="BL2062" s="38"/>
      <c r="BM2062" s="38"/>
      <c r="BN2062" s="38"/>
      <c r="BO2062" s="38"/>
      <c r="BP2062" s="38"/>
      <c r="BQ2062" s="38"/>
    </row>
    <row r="2063">
      <c r="A2063" s="16"/>
      <c r="B2063" s="380"/>
      <c r="C2063" s="146"/>
      <c r="D2063" s="146"/>
      <c r="E2063" s="16"/>
      <c r="F2063" s="91"/>
      <c r="G2063" s="16"/>
      <c r="H2063" s="320" t="str">
        <f t="shared" si="33"/>
        <v/>
      </c>
      <c r="I2063" s="16"/>
      <c r="J2063" s="16"/>
      <c r="K2063" s="16"/>
      <c r="L2063" s="16"/>
      <c r="M2063" s="15"/>
      <c r="N2063" s="15"/>
      <c r="O2063" s="16"/>
      <c r="P2063" s="16"/>
      <c r="Q2063" s="16"/>
      <c r="R2063" s="16"/>
      <c r="S2063" s="37" t="str">
        <f>IFERROR(__xludf.DUMMYFUNCTION("if(not(iserror(index(split(C2063, "" ""),2))), index(split(C2063, "" ""),1),"""")"),"")</f>
        <v/>
      </c>
      <c r="T2063" s="315" t="str">
        <f>IFERROR(__xludf.DUMMYFUNCTION("if(S2063="""",C2063,if(not(iserror(index(split(C2063, "" ""),3))), index(split(C2063, "" ""),3),index(split(C2063, "" ""),2)))"),"")</f>
        <v/>
      </c>
      <c r="U2063" s="38" t="b">
        <f t="shared" si="34"/>
        <v>0</v>
      </c>
      <c r="V2063" s="38"/>
      <c r="W2063" s="40"/>
      <c r="X2063" s="40"/>
      <c r="Y2063" s="38"/>
      <c r="Z2063" s="38"/>
      <c r="AA2063" s="38"/>
      <c r="AB2063" s="38"/>
      <c r="AC2063" s="38"/>
      <c r="AD2063" s="38"/>
      <c r="AE2063" s="38"/>
      <c r="AF2063" s="38"/>
      <c r="AG2063" s="38"/>
      <c r="AH2063" s="38"/>
      <c r="AI2063" s="38"/>
      <c r="AJ2063" s="38"/>
      <c r="AK2063" s="38"/>
      <c r="AL2063" s="38"/>
      <c r="AM2063" s="38"/>
      <c r="AN2063" s="38"/>
      <c r="AO2063" s="38"/>
      <c r="AP2063" s="38"/>
      <c r="AQ2063" s="38"/>
      <c r="AR2063" s="38"/>
      <c r="AS2063" s="38"/>
      <c r="AT2063" s="38"/>
      <c r="AU2063" s="38"/>
      <c r="AV2063" s="38"/>
      <c r="AW2063" s="38"/>
      <c r="AX2063" s="38"/>
      <c r="AY2063" s="38"/>
      <c r="AZ2063" s="38"/>
      <c r="BA2063" s="38"/>
      <c r="BB2063" s="38"/>
      <c r="BC2063" s="38"/>
      <c r="BD2063" s="38"/>
      <c r="BE2063" s="38"/>
      <c r="BF2063" s="38"/>
      <c r="BG2063" s="38"/>
      <c r="BH2063" s="38"/>
      <c r="BI2063" s="38"/>
      <c r="BJ2063" s="38"/>
      <c r="BK2063" s="38"/>
      <c r="BL2063" s="38"/>
      <c r="BM2063" s="38"/>
      <c r="BN2063" s="38"/>
      <c r="BO2063" s="38"/>
      <c r="BP2063" s="38"/>
      <c r="BQ2063" s="38"/>
    </row>
    <row r="2064">
      <c r="A2064" s="16"/>
      <c r="B2064" s="380"/>
      <c r="C2064" s="146"/>
      <c r="D2064" s="146"/>
      <c r="E2064" s="16"/>
      <c r="F2064" s="91"/>
      <c r="G2064" s="16"/>
      <c r="H2064" s="320" t="str">
        <f t="shared" si="33"/>
        <v/>
      </c>
      <c r="I2064" s="16"/>
      <c r="J2064" s="16"/>
      <c r="K2064" s="16"/>
      <c r="L2064" s="16"/>
      <c r="M2064" s="15"/>
      <c r="N2064" s="15"/>
      <c r="O2064" s="16"/>
      <c r="P2064" s="16"/>
      <c r="Q2064" s="16"/>
      <c r="R2064" s="16"/>
      <c r="S2064" s="37" t="str">
        <f>IFERROR(__xludf.DUMMYFUNCTION("if(not(iserror(index(split(C2064, "" ""),2))), index(split(C2064, "" ""),1),"""")"),"")</f>
        <v/>
      </c>
      <c r="T2064" s="315" t="str">
        <f>IFERROR(__xludf.DUMMYFUNCTION("if(S2064="""",C2064,if(not(iserror(index(split(C2064, "" ""),3))), index(split(C2064, "" ""),3),index(split(C2064, "" ""),2)))"),"")</f>
        <v/>
      </c>
      <c r="U2064" s="38" t="b">
        <f t="shared" si="34"/>
        <v>0</v>
      </c>
      <c r="V2064" s="38"/>
      <c r="W2064" s="40"/>
      <c r="X2064" s="40"/>
      <c r="Y2064" s="38"/>
      <c r="Z2064" s="38"/>
      <c r="AA2064" s="38"/>
      <c r="AB2064" s="38"/>
      <c r="AC2064" s="38"/>
      <c r="AD2064" s="38"/>
      <c r="AE2064" s="38"/>
      <c r="AF2064" s="38"/>
      <c r="AG2064" s="38"/>
      <c r="AH2064" s="38"/>
      <c r="AI2064" s="38"/>
      <c r="AJ2064" s="38"/>
      <c r="AK2064" s="38"/>
      <c r="AL2064" s="38"/>
      <c r="AM2064" s="38"/>
      <c r="AN2064" s="38"/>
      <c r="AO2064" s="38"/>
      <c r="AP2064" s="38"/>
      <c r="AQ2064" s="38"/>
      <c r="AR2064" s="38"/>
      <c r="AS2064" s="38"/>
      <c r="AT2064" s="38"/>
      <c r="AU2064" s="38"/>
      <c r="AV2064" s="38"/>
      <c r="AW2064" s="38"/>
      <c r="AX2064" s="38"/>
      <c r="AY2064" s="38"/>
      <c r="AZ2064" s="38"/>
      <c r="BA2064" s="38"/>
      <c r="BB2064" s="38"/>
      <c r="BC2064" s="38"/>
      <c r="BD2064" s="38"/>
      <c r="BE2064" s="38"/>
      <c r="BF2064" s="38"/>
      <c r="BG2064" s="38"/>
      <c r="BH2064" s="38"/>
      <c r="BI2064" s="38"/>
      <c r="BJ2064" s="38"/>
      <c r="BK2064" s="38"/>
      <c r="BL2064" s="38"/>
      <c r="BM2064" s="38"/>
      <c r="BN2064" s="38"/>
      <c r="BO2064" s="38"/>
      <c r="BP2064" s="38"/>
      <c r="BQ2064" s="38"/>
    </row>
    <row r="2065">
      <c r="A2065" s="16"/>
      <c r="B2065" s="380"/>
      <c r="C2065" s="146"/>
      <c r="D2065" s="146"/>
      <c r="E2065" s="16"/>
      <c r="F2065" s="91"/>
      <c r="G2065" s="16"/>
      <c r="H2065" s="320" t="str">
        <f t="shared" si="33"/>
        <v/>
      </c>
      <c r="I2065" s="16"/>
      <c r="J2065" s="16"/>
      <c r="K2065" s="16"/>
      <c r="L2065" s="16"/>
      <c r="M2065" s="15"/>
      <c r="N2065" s="15"/>
      <c r="O2065" s="16"/>
      <c r="P2065" s="16"/>
      <c r="Q2065" s="16"/>
      <c r="R2065" s="16"/>
      <c r="S2065" s="37" t="str">
        <f>IFERROR(__xludf.DUMMYFUNCTION("if(not(iserror(index(split(C2065, "" ""),2))), index(split(C2065, "" ""),1),"""")"),"")</f>
        <v/>
      </c>
      <c r="T2065" s="315" t="str">
        <f>IFERROR(__xludf.DUMMYFUNCTION("if(S2065="""",C2065,if(not(iserror(index(split(C2065, "" ""),3))), index(split(C2065, "" ""),3),index(split(C2065, "" ""),2)))"),"")</f>
        <v/>
      </c>
      <c r="U2065" s="38" t="b">
        <f t="shared" si="34"/>
        <v>0</v>
      </c>
      <c r="V2065" s="38"/>
      <c r="W2065" s="40"/>
      <c r="X2065" s="40"/>
      <c r="Y2065" s="38"/>
      <c r="Z2065" s="38"/>
      <c r="AA2065" s="38"/>
      <c r="AB2065" s="38"/>
      <c r="AC2065" s="38"/>
      <c r="AD2065" s="38"/>
      <c r="AE2065" s="38"/>
      <c r="AF2065" s="38"/>
      <c r="AG2065" s="38"/>
      <c r="AH2065" s="38"/>
      <c r="AI2065" s="38"/>
      <c r="AJ2065" s="38"/>
      <c r="AK2065" s="38"/>
      <c r="AL2065" s="38"/>
      <c r="AM2065" s="38"/>
      <c r="AN2065" s="38"/>
      <c r="AO2065" s="38"/>
      <c r="AP2065" s="38"/>
      <c r="AQ2065" s="38"/>
      <c r="AR2065" s="38"/>
      <c r="AS2065" s="38"/>
      <c r="AT2065" s="38"/>
      <c r="AU2065" s="38"/>
      <c r="AV2065" s="38"/>
      <c r="AW2065" s="38"/>
      <c r="AX2065" s="38"/>
      <c r="AY2065" s="38"/>
      <c r="AZ2065" s="38"/>
      <c r="BA2065" s="38"/>
      <c r="BB2065" s="38"/>
      <c r="BC2065" s="38"/>
      <c r="BD2065" s="38"/>
      <c r="BE2065" s="38"/>
      <c r="BF2065" s="38"/>
      <c r="BG2065" s="38"/>
      <c r="BH2065" s="38"/>
      <c r="BI2065" s="38"/>
      <c r="BJ2065" s="38"/>
      <c r="BK2065" s="38"/>
      <c r="BL2065" s="38"/>
      <c r="BM2065" s="38"/>
      <c r="BN2065" s="38"/>
      <c r="BO2065" s="38"/>
      <c r="BP2065" s="38"/>
      <c r="BQ2065" s="38"/>
    </row>
    <row r="2066">
      <c r="A2066" s="16"/>
      <c r="B2066" s="380"/>
      <c r="C2066" s="146"/>
      <c r="D2066" s="146"/>
      <c r="E2066" s="16"/>
      <c r="F2066" s="91"/>
      <c r="G2066" s="16"/>
      <c r="H2066" s="320" t="str">
        <f t="shared" si="33"/>
        <v/>
      </c>
      <c r="I2066" s="16"/>
      <c r="J2066" s="16"/>
      <c r="K2066" s="16"/>
      <c r="L2066" s="16"/>
      <c r="M2066" s="15"/>
      <c r="N2066" s="15"/>
      <c r="O2066" s="16"/>
      <c r="P2066" s="16"/>
      <c r="Q2066" s="16"/>
      <c r="R2066" s="16"/>
      <c r="S2066" s="37" t="str">
        <f>IFERROR(__xludf.DUMMYFUNCTION("if(not(iserror(index(split(C2066, "" ""),2))), index(split(C2066, "" ""),1),"""")"),"")</f>
        <v/>
      </c>
      <c r="T2066" s="315" t="str">
        <f>IFERROR(__xludf.DUMMYFUNCTION("if(S2066="""",C2066,if(not(iserror(index(split(C2066, "" ""),3))), index(split(C2066, "" ""),3),index(split(C2066, "" ""),2)))"),"")</f>
        <v/>
      </c>
      <c r="U2066" s="38" t="b">
        <f t="shared" si="34"/>
        <v>0</v>
      </c>
      <c r="V2066" s="38"/>
      <c r="W2066" s="40"/>
      <c r="X2066" s="40"/>
      <c r="Y2066" s="38"/>
      <c r="Z2066" s="38"/>
      <c r="AA2066" s="38"/>
      <c r="AB2066" s="38"/>
      <c r="AC2066" s="38"/>
      <c r="AD2066" s="38"/>
      <c r="AE2066" s="38"/>
      <c r="AF2066" s="38"/>
      <c r="AG2066" s="38"/>
      <c r="AH2066" s="38"/>
      <c r="AI2066" s="38"/>
      <c r="AJ2066" s="38"/>
      <c r="AK2066" s="38"/>
      <c r="AL2066" s="38"/>
      <c r="AM2066" s="38"/>
      <c r="AN2066" s="38"/>
      <c r="AO2066" s="38"/>
      <c r="AP2066" s="38"/>
      <c r="AQ2066" s="38"/>
      <c r="AR2066" s="38"/>
      <c r="AS2066" s="38"/>
      <c r="AT2066" s="38"/>
      <c r="AU2066" s="38"/>
      <c r="AV2066" s="38"/>
      <c r="AW2066" s="38"/>
      <c r="AX2066" s="38"/>
      <c r="AY2066" s="38"/>
      <c r="AZ2066" s="38"/>
      <c r="BA2066" s="38"/>
      <c r="BB2066" s="38"/>
      <c r="BC2066" s="38"/>
      <c r="BD2066" s="38"/>
      <c r="BE2066" s="38"/>
      <c r="BF2066" s="38"/>
      <c r="BG2066" s="38"/>
      <c r="BH2066" s="38"/>
      <c r="BI2066" s="38"/>
      <c r="BJ2066" s="38"/>
      <c r="BK2066" s="38"/>
      <c r="BL2066" s="38"/>
      <c r="BM2066" s="38"/>
      <c r="BN2066" s="38"/>
      <c r="BO2066" s="38"/>
      <c r="BP2066" s="38"/>
      <c r="BQ2066" s="38"/>
    </row>
    <row r="2067">
      <c r="A2067" s="16"/>
      <c r="B2067" s="380"/>
      <c r="C2067" s="146"/>
      <c r="D2067" s="146"/>
      <c r="E2067" s="16"/>
      <c r="F2067" s="91"/>
      <c r="G2067" s="16"/>
      <c r="H2067" s="320" t="str">
        <f t="shared" si="33"/>
        <v/>
      </c>
      <c r="I2067" s="16"/>
      <c r="J2067" s="16"/>
      <c r="K2067" s="16"/>
      <c r="L2067" s="16"/>
      <c r="M2067" s="15"/>
      <c r="N2067" s="15"/>
      <c r="O2067" s="16"/>
      <c r="P2067" s="16"/>
      <c r="Q2067" s="16"/>
      <c r="R2067" s="16"/>
      <c r="S2067" s="37" t="str">
        <f>IFERROR(__xludf.DUMMYFUNCTION("if(not(iserror(index(split(C2067, "" ""),2))), index(split(C2067, "" ""),1),"""")"),"")</f>
        <v/>
      </c>
      <c r="T2067" s="315" t="str">
        <f>IFERROR(__xludf.DUMMYFUNCTION("if(S2067="""",C2067,if(not(iserror(index(split(C2067, "" ""),3))), index(split(C2067, "" ""),3),index(split(C2067, "" ""),2)))"),"")</f>
        <v/>
      </c>
      <c r="U2067" s="38" t="b">
        <f t="shared" si="34"/>
        <v>0</v>
      </c>
      <c r="V2067" s="38"/>
      <c r="W2067" s="40"/>
      <c r="X2067" s="40"/>
      <c r="Y2067" s="38"/>
      <c r="Z2067" s="38"/>
      <c r="AA2067" s="38"/>
      <c r="AB2067" s="38"/>
      <c r="AC2067" s="38"/>
      <c r="AD2067" s="38"/>
      <c r="AE2067" s="38"/>
      <c r="AF2067" s="38"/>
      <c r="AG2067" s="38"/>
      <c r="AH2067" s="38"/>
      <c r="AI2067" s="38"/>
      <c r="AJ2067" s="38"/>
      <c r="AK2067" s="38"/>
      <c r="AL2067" s="38"/>
      <c r="AM2067" s="38"/>
      <c r="AN2067" s="38"/>
      <c r="AO2067" s="38"/>
      <c r="AP2067" s="38"/>
      <c r="AQ2067" s="38"/>
      <c r="AR2067" s="38"/>
      <c r="AS2067" s="38"/>
      <c r="AT2067" s="38"/>
      <c r="AU2067" s="38"/>
      <c r="AV2067" s="38"/>
      <c r="AW2067" s="38"/>
      <c r="AX2067" s="38"/>
      <c r="AY2067" s="38"/>
      <c r="AZ2067" s="38"/>
      <c r="BA2067" s="38"/>
      <c r="BB2067" s="38"/>
      <c r="BC2067" s="38"/>
      <c r="BD2067" s="38"/>
      <c r="BE2067" s="38"/>
      <c r="BF2067" s="38"/>
      <c r="BG2067" s="38"/>
      <c r="BH2067" s="38"/>
      <c r="BI2067" s="38"/>
      <c r="BJ2067" s="38"/>
      <c r="BK2067" s="38"/>
      <c r="BL2067" s="38"/>
      <c r="BM2067" s="38"/>
      <c r="BN2067" s="38"/>
      <c r="BO2067" s="38"/>
      <c r="BP2067" s="38"/>
      <c r="BQ2067" s="38"/>
    </row>
    <row r="2068">
      <c r="A2068" s="16"/>
      <c r="B2068" s="380"/>
      <c r="C2068" s="146"/>
      <c r="D2068" s="146"/>
      <c r="E2068" s="16"/>
      <c r="F2068" s="91"/>
      <c r="G2068" s="16"/>
      <c r="H2068" s="320" t="str">
        <f t="shared" si="33"/>
        <v/>
      </c>
      <c r="I2068" s="16"/>
      <c r="J2068" s="16"/>
      <c r="K2068" s="16"/>
      <c r="L2068" s="16"/>
      <c r="M2068" s="15"/>
      <c r="N2068" s="15"/>
      <c r="O2068" s="16"/>
      <c r="P2068" s="16"/>
      <c r="Q2068" s="16"/>
      <c r="R2068" s="16"/>
      <c r="S2068" s="37" t="str">
        <f>IFERROR(__xludf.DUMMYFUNCTION("if(not(iserror(index(split(C2068, "" ""),2))), index(split(C2068, "" ""),1),"""")"),"")</f>
        <v/>
      </c>
      <c r="T2068" s="315" t="str">
        <f>IFERROR(__xludf.DUMMYFUNCTION("if(S2068="""",C2068,if(not(iserror(index(split(C2068, "" ""),3))), index(split(C2068, "" ""),3),index(split(C2068, "" ""),2)))"),"")</f>
        <v/>
      </c>
      <c r="U2068" s="38" t="b">
        <f t="shared" si="34"/>
        <v>0</v>
      </c>
      <c r="V2068" s="38"/>
      <c r="W2068" s="40"/>
      <c r="X2068" s="40"/>
      <c r="Y2068" s="38"/>
      <c r="Z2068" s="38"/>
      <c r="AA2068" s="38"/>
      <c r="AB2068" s="38"/>
      <c r="AC2068" s="38"/>
      <c r="AD2068" s="38"/>
      <c r="AE2068" s="38"/>
      <c r="AF2068" s="38"/>
      <c r="AG2068" s="38"/>
      <c r="AH2068" s="38"/>
      <c r="AI2068" s="38"/>
      <c r="AJ2068" s="38"/>
      <c r="AK2068" s="38"/>
      <c r="AL2068" s="38"/>
      <c r="AM2068" s="38"/>
      <c r="AN2068" s="38"/>
      <c r="AO2068" s="38"/>
      <c r="AP2068" s="38"/>
      <c r="AQ2068" s="38"/>
      <c r="AR2068" s="38"/>
      <c r="AS2068" s="38"/>
      <c r="AT2068" s="38"/>
      <c r="AU2068" s="38"/>
      <c r="AV2068" s="38"/>
      <c r="AW2068" s="38"/>
      <c r="AX2068" s="38"/>
      <c r="AY2068" s="38"/>
      <c r="AZ2068" s="38"/>
      <c r="BA2068" s="38"/>
      <c r="BB2068" s="38"/>
      <c r="BC2068" s="38"/>
      <c r="BD2068" s="38"/>
      <c r="BE2068" s="38"/>
      <c r="BF2068" s="38"/>
      <c r="BG2068" s="38"/>
      <c r="BH2068" s="38"/>
      <c r="BI2068" s="38"/>
      <c r="BJ2068" s="38"/>
      <c r="BK2068" s="38"/>
      <c r="BL2068" s="38"/>
      <c r="BM2068" s="38"/>
      <c r="BN2068" s="38"/>
      <c r="BO2068" s="38"/>
      <c r="BP2068" s="38"/>
      <c r="BQ2068" s="38"/>
    </row>
    <row r="2069">
      <c r="A2069" s="16"/>
      <c r="B2069" s="380"/>
      <c r="C2069" s="146"/>
      <c r="D2069" s="146"/>
      <c r="E2069" s="16"/>
      <c r="F2069" s="91"/>
      <c r="G2069" s="16"/>
      <c r="H2069" s="320" t="str">
        <f t="shared" si="33"/>
        <v/>
      </c>
      <c r="I2069" s="16"/>
      <c r="J2069" s="16"/>
      <c r="K2069" s="16"/>
      <c r="L2069" s="16"/>
      <c r="M2069" s="15"/>
      <c r="N2069" s="15"/>
      <c r="O2069" s="16"/>
      <c r="P2069" s="16"/>
      <c r="Q2069" s="16"/>
      <c r="R2069" s="16"/>
      <c r="S2069" s="37" t="str">
        <f>IFERROR(__xludf.DUMMYFUNCTION("if(not(iserror(index(split(C2069, "" ""),2))), index(split(C2069, "" ""),1),"""")"),"")</f>
        <v/>
      </c>
      <c r="T2069" s="315" t="str">
        <f>IFERROR(__xludf.DUMMYFUNCTION("if(S2069="""",C2069,if(not(iserror(index(split(C2069, "" ""),3))), index(split(C2069, "" ""),3),index(split(C2069, "" ""),2)))"),"")</f>
        <v/>
      </c>
      <c r="U2069" s="38" t="b">
        <f t="shared" si="34"/>
        <v>0</v>
      </c>
      <c r="V2069" s="38"/>
      <c r="W2069" s="40"/>
      <c r="X2069" s="40"/>
      <c r="Y2069" s="38"/>
      <c r="Z2069" s="38"/>
      <c r="AA2069" s="38"/>
      <c r="AB2069" s="38"/>
      <c r="AC2069" s="38"/>
      <c r="AD2069" s="38"/>
      <c r="AE2069" s="38"/>
      <c r="AF2069" s="38"/>
      <c r="AG2069" s="38"/>
      <c r="AH2069" s="38"/>
      <c r="AI2069" s="38"/>
      <c r="AJ2069" s="38"/>
      <c r="AK2069" s="38"/>
      <c r="AL2069" s="38"/>
      <c r="AM2069" s="38"/>
      <c r="AN2069" s="38"/>
      <c r="AO2069" s="38"/>
      <c r="AP2069" s="38"/>
      <c r="AQ2069" s="38"/>
      <c r="AR2069" s="38"/>
      <c r="AS2069" s="38"/>
      <c r="AT2069" s="38"/>
      <c r="AU2069" s="38"/>
      <c r="AV2069" s="38"/>
      <c r="AW2069" s="38"/>
      <c r="AX2069" s="38"/>
      <c r="AY2069" s="38"/>
      <c r="AZ2069" s="38"/>
      <c r="BA2069" s="38"/>
      <c r="BB2069" s="38"/>
      <c r="BC2069" s="38"/>
      <c r="BD2069" s="38"/>
      <c r="BE2069" s="38"/>
      <c r="BF2069" s="38"/>
      <c r="BG2069" s="38"/>
      <c r="BH2069" s="38"/>
      <c r="BI2069" s="38"/>
      <c r="BJ2069" s="38"/>
      <c r="BK2069" s="38"/>
      <c r="BL2069" s="38"/>
      <c r="BM2069" s="38"/>
      <c r="BN2069" s="38"/>
      <c r="BO2069" s="38"/>
      <c r="BP2069" s="38"/>
      <c r="BQ2069" s="38"/>
    </row>
    <row r="2070">
      <c r="A2070" s="16"/>
      <c r="B2070" s="380"/>
      <c r="C2070" s="146"/>
      <c r="D2070" s="146"/>
      <c r="E2070" s="16"/>
      <c r="F2070" s="91"/>
      <c r="G2070" s="16"/>
      <c r="H2070" s="320" t="str">
        <f t="shared" si="33"/>
        <v/>
      </c>
      <c r="I2070" s="16"/>
      <c r="J2070" s="16"/>
      <c r="K2070" s="16"/>
      <c r="L2070" s="16"/>
      <c r="M2070" s="15"/>
      <c r="N2070" s="15"/>
      <c r="O2070" s="16"/>
      <c r="P2070" s="16"/>
      <c r="Q2070" s="16"/>
      <c r="R2070" s="16"/>
      <c r="S2070" s="37" t="str">
        <f>IFERROR(__xludf.DUMMYFUNCTION("if(not(iserror(index(split(C2070, "" ""),2))), index(split(C2070, "" ""),1),"""")"),"")</f>
        <v/>
      </c>
      <c r="T2070" s="315" t="str">
        <f>IFERROR(__xludf.DUMMYFUNCTION("if(S2070="""",C2070,if(not(iserror(index(split(C2070, "" ""),3))), index(split(C2070, "" ""),3),index(split(C2070, "" ""),2)))"),"")</f>
        <v/>
      </c>
      <c r="U2070" s="38" t="b">
        <f t="shared" si="34"/>
        <v>0</v>
      </c>
      <c r="V2070" s="38"/>
      <c r="W2070" s="40"/>
      <c r="X2070" s="40"/>
      <c r="Y2070" s="38"/>
      <c r="Z2070" s="38"/>
      <c r="AA2070" s="38"/>
      <c r="AB2070" s="38"/>
      <c r="AC2070" s="38"/>
      <c r="AD2070" s="38"/>
      <c r="AE2070" s="38"/>
      <c r="AF2070" s="38"/>
      <c r="AG2070" s="38"/>
      <c r="AH2070" s="38"/>
      <c r="AI2070" s="38"/>
      <c r="AJ2070" s="38"/>
      <c r="AK2070" s="38"/>
      <c r="AL2070" s="38"/>
      <c r="AM2070" s="38"/>
      <c r="AN2070" s="38"/>
      <c r="AO2070" s="38"/>
      <c r="AP2070" s="38"/>
      <c r="AQ2070" s="38"/>
      <c r="AR2070" s="38"/>
      <c r="AS2070" s="38"/>
      <c r="AT2070" s="38"/>
      <c r="AU2070" s="38"/>
      <c r="AV2070" s="38"/>
      <c r="AW2070" s="38"/>
      <c r="AX2070" s="38"/>
      <c r="AY2070" s="38"/>
      <c r="AZ2070" s="38"/>
      <c r="BA2070" s="38"/>
      <c r="BB2070" s="38"/>
      <c r="BC2070" s="38"/>
      <c r="BD2070" s="38"/>
      <c r="BE2070" s="38"/>
      <c r="BF2070" s="38"/>
      <c r="BG2070" s="38"/>
      <c r="BH2070" s="38"/>
      <c r="BI2070" s="38"/>
      <c r="BJ2070" s="38"/>
      <c r="BK2070" s="38"/>
      <c r="BL2070" s="38"/>
      <c r="BM2070" s="38"/>
      <c r="BN2070" s="38"/>
      <c r="BO2070" s="38"/>
      <c r="BP2070" s="38"/>
      <c r="BQ2070" s="38"/>
    </row>
    <row r="2071">
      <c r="A2071" s="16"/>
      <c r="B2071" s="380"/>
      <c r="C2071" s="146"/>
      <c r="D2071" s="146"/>
      <c r="E2071" s="16"/>
      <c r="F2071" s="91"/>
      <c r="G2071" s="16"/>
      <c r="H2071" s="320" t="str">
        <f t="shared" si="33"/>
        <v/>
      </c>
      <c r="I2071" s="16"/>
      <c r="J2071" s="16"/>
      <c r="K2071" s="16"/>
      <c r="L2071" s="16"/>
      <c r="M2071" s="15"/>
      <c r="N2071" s="15"/>
      <c r="O2071" s="16"/>
      <c r="P2071" s="16"/>
      <c r="Q2071" s="16"/>
      <c r="R2071" s="16"/>
      <c r="S2071" s="37" t="str">
        <f>IFERROR(__xludf.DUMMYFUNCTION("if(not(iserror(index(split(C2071, "" ""),2))), index(split(C2071, "" ""),1),"""")"),"")</f>
        <v/>
      </c>
      <c r="T2071" s="315" t="str">
        <f>IFERROR(__xludf.DUMMYFUNCTION("if(S2071="""",C2071,if(not(iserror(index(split(C2071, "" ""),3))), index(split(C2071, "" ""),3),index(split(C2071, "" ""),2)))"),"")</f>
        <v/>
      </c>
      <c r="U2071" s="38" t="b">
        <f t="shared" si="34"/>
        <v>0</v>
      </c>
      <c r="V2071" s="38"/>
      <c r="W2071" s="40"/>
      <c r="X2071" s="40"/>
      <c r="Y2071" s="38"/>
      <c r="Z2071" s="38"/>
      <c r="AA2071" s="38"/>
      <c r="AB2071" s="38"/>
      <c r="AC2071" s="38"/>
      <c r="AD2071" s="38"/>
      <c r="AE2071" s="38"/>
      <c r="AF2071" s="38"/>
      <c r="AG2071" s="38"/>
      <c r="AH2071" s="38"/>
      <c r="AI2071" s="38"/>
      <c r="AJ2071" s="38"/>
      <c r="AK2071" s="38"/>
      <c r="AL2071" s="38"/>
      <c r="AM2071" s="38"/>
      <c r="AN2071" s="38"/>
      <c r="AO2071" s="38"/>
      <c r="AP2071" s="38"/>
      <c r="AQ2071" s="38"/>
      <c r="AR2071" s="38"/>
      <c r="AS2071" s="38"/>
      <c r="AT2071" s="38"/>
      <c r="AU2071" s="38"/>
      <c r="AV2071" s="38"/>
      <c r="AW2071" s="38"/>
      <c r="AX2071" s="38"/>
      <c r="AY2071" s="38"/>
      <c r="AZ2071" s="38"/>
      <c r="BA2071" s="38"/>
      <c r="BB2071" s="38"/>
      <c r="BC2071" s="38"/>
      <c r="BD2071" s="38"/>
      <c r="BE2071" s="38"/>
      <c r="BF2071" s="38"/>
      <c r="BG2071" s="38"/>
      <c r="BH2071" s="38"/>
      <c r="BI2071" s="38"/>
      <c r="BJ2071" s="38"/>
      <c r="BK2071" s="38"/>
      <c r="BL2071" s="38"/>
      <c r="BM2071" s="38"/>
      <c r="BN2071" s="38"/>
      <c r="BO2071" s="38"/>
      <c r="BP2071" s="38"/>
      <c r="BQ2071" s="38"/>
    </row>
    <row r="2072">
      <c r="A2072" s="16"/>
      <c r="B2072" s="380"/>
      <c r="C2072" s="146"/>
      <c r="D2072" s="146"/>
      <c r="E2072" s="16"/>
      <c r="F2072" s="91"/>
      <c r="G2072" s="16"/>
      <c r="H2072" s="320" t="str">
        <f t="shared" si="33"/>
        <v/>
      </c>
      <c r="I2072" s="16"/>
      <c r="J2072" s="16"/>
      <c r="K2072" s="16"/>
      <c r="L2072" s="16"/>
      <c r="M2072" s="15"/>
      <c r="N2072" s="15"/>
      <c r="O2072" s="16"/>
      <c r="P2072" s="16"/>
      <c r="Q2072" s="16"/>
      <c r="R2072" s="16"/>
      <c r="S2072" s="37" t="str">
        <f>IFERROR(__xludf.DUMMYFUNCTION("if(not(iserror(index(split(C2072, "" ""),2))), index(split(C2072, "" ""),1),"""")"),"")</f>
        <v/>
      </c>
      <c r="T2072" s="315" t="str">
        <f>IFERROR(__xludf.DUMMYFUNCTION("if(S2072="""",C2072,if(not(iserror(index(split(C2072, "" ""),3))), index(split(C2072, "" ""),3),index(split(C2072, "" ""),2)))"),"")</f>
        <v/>
      </c>
      <c r="U2072" s="38" t="b">
        <f t="shared" si="34"/>
        <v>0</v>
      </c>
      <c r="V2072" s="38"/>
      <c r="W2072" s="40"/>
      <c r="X2072" s="40"/>
      <c r="Y2072" s="38"/>
      <c r="Z2072" s="38"/>
      <c r="AA2072" s="38"/>
      <c r="AB2072" s="38"/>
      <c r="AC2072" s="38"/>
      <c r="AD2072" s="38"/>
      <c r="AE2072" s="38"/>
      <c r="AF2072" s="38"/>
      <c r="AG2072" s="38"/>
      <c r="AH2072" s="38"/>
      <c r="AI2072" s="38"/>
      <c r="AJ2072" s="38"/>
      <c r="AK2072" s="38"/>
      <c r="AL2072" s="38"/>
      <c r="AM2072" s="38"/>
      <c r="AN2072" s="38"/>
      <c r="AO2072" s="38"/>
      <c r="AP2072" s="38"/>
      <c r="AQ2072" s="38"/>
      <c r="AR2072" s="38"/>
      <c r="AS2072" s="38"/>
      <c r="AT2072" s="38"/>
      <c r="AU2072" s="38"/>
      <c r="AV2072" s="38"/>
      <c r="AW2072" s="38"/>
      <c r="AX2072" s="38"/>
      <c r="AY2072" s="38"/>
      <c r="AZ2072" s="38"/>
      <c r="BA2072" s="38"/>
      <c r="BB2072" s="38"/>
      <c r="BC2072" s="38"/>
      <c r="BD2072" s="38"/>
      <c r="BE2072" s="38"/>
      <c r="BF2072" s="38"/>
      <c r="BG2072" s="38"/>
      <c r="BH2072" s="38"/>
      <c r="BI2072" s="38"/>
      <c r="BJ2072" s="38"/>
      <c r="BK2072" s="38"/>
      <c r="BL2072" s="38"/>
      <c r="BM2072" s="38"/>
      <c r="BN2072" s="38"/>
      <c r="BO2072" s="38"/>
      <c r="BP2072" s="38"/>
      <c r="BQ2072" s="38"/>
    </row>
    <row r="2073">
      <c r="A2073" s="16"/>
      <c r="B2073" s="380"/>
      <c r="C2073" s="146"/>
      <c r="D2073" s="146"/>
      <c r="E2073" s="16"/>
      <c r="F2073" s="91"/>
      <c r="G2073" s="16"/>
      <c r="H2073" s="320" t="str">
        <f t="shared" si="33"/>
        <v/>
      </c>
      <c r="I2073" s="16"/>
      <c r="J2073" s="16"/>
      <c r="K2073" s="16"/>
      <c r="L2073" s="16"/>
      <c r="M2073" s="15"/>
      <c r="N2073" s="15"/>
      <c r="O2073" s="16"/>
      <c r="P2073" s="16"/>
      <c r="Q2073" s="16"/>
      <c r="R2073" s="16"/>
      <c r="S2073" s="37" t="str">
        <f>IFERROR(__xludf.DUMMYFUNCTION("if(not(iserror(index(split(C2073, "" ""),2))), index(split(C2073, "" ""),1),"""")"),"")</f>
        <v/>
      </c>
      <c r="T2073" s="315" t="str">
        <f>IFERROR(__xludf.DUMMYFUNCTION("if(S2073="""",C2073,if(not(iserror(index(split(C2073, "" ""),3))), index(split(C2073, "" ""),3),index(split(C2073, "" ""),2)))"),"")</f>
        <v/>
      </c>
      <c r="U2073" s="38" t="b">
        <f t="shared" si="34"/>
        <v>0</v>
      </c>
      <c r="V2073" s="38"/>
      <c r="W2073" s="40"/>
      <c r="X2073" s="40"/>
      <c r="Y2073" s="38"/>
      <c r="Z2073" s="38"/>
      <c r="AA2073" s="38"/>
      <c r="AB2073" s="38"/>
      <c r="AC2073" s="38"/>
      <c r="AD2073" s="38"/>
      <c r="AE2073" s="38"/>
      <c r="AF2073" s="38"/>
      <c r="AG2073" s="38"/>
      <c r="AH2073" s="38"/>
      <c r="AI2073" s="38"/>
      <c r="AJ2073" s="38"/>
      <c r="AK2073" s="38"/>
      <c r="AL2073" s="38"/>
      <c r="AM2073" s="38"/>
      <c r="AN2073" s="38"/>
      <c r="AO2073" s="38"/>
      <c r="AP2073" s="38"/>
      <c r="AQ2073" s="38"/>
      <c r="AR2073" s="38"/>
      <c r="AS2073" s="38"/>
      <c r="AT2073" s="38"/>
      <c r="AU2073" s="38"/>
      <c r="AV2073" s="38"/>
      <c r="AW2073" s="38"/>
      <c r="AX2073" s="38"/>
      <c r="AY2073" s="38"/>
      <c r="AZ2073" s="38"/>
      <c r="BA2073" s="38"/>
      <c r="BB2073" s="38"/>
      <c r="BC2073" s="38"/>
      <c r="BD2073" s="38"/>
      <c r="BE2073" s="38"/>
      <c r="BF2073" s="38"/>
      <c r="BG2073" s="38"/>
      <c r="BH2073" s="38"/>
      <c r="BI2073" s="38"/>
      <c r="BJ2073" s="38"/>
      <c r="BK2073" s="38"/>
      <c r="BL2073" s="38"/>
      <c r="BM2073" s="38"/>
      <c r="BN2073" s="38"/>
      <c r="BO2073" s="38"/>
      <c r="BP2073" s="38"/>
      <c r="BQ2073" s="38"/>
    </row>
    <row r="2074">
      <c r="A2074" s="16"/>
      <c r="B2074" s="380"/>
      <c r="C2074" s="146"/>
      <c r="D2074" s="146"/>
      <c r="E2074" s="16"/>
      <c r="F2074" s="91"/>
      <c r="G2074" s="16"/>
      <c r="H2074" s="320" t="str">
        <f t="shared" si="33"/>
        <v/>
      </c>
      <c r="I2074" s="16"/>
      <c r="J2074" s="16"/>
      <c r="K2074" s="16"/>
      <c r="L2074" s="16"/>
      <c r="M2074" s="15"/>
      <c r="N2074" s="15"/>
      <c r="O2074" s="16"/>
      <c r="P2074" s="16"/>
      <c r="Q2074" s="16"/>
      <c r="R2074" s="16"/>
      <c r="S2074" s="37" t="str">
        <f>IFERROR(__xludf.DUMMYFUNCTION("if(not(iserror(index(split(C2074, "" ""),2))), index(split(C2074, "" ""),1),"""")"),"")</f>
        <v/>
      </c>
      <c r="T2074" s="315" t="str">
        <f>IFERROR(__xludf.DUMMYFUNCTION("if(S2074="""",C2074,if(not(iserror(index(split(C2074, "" ""),3))), index(split(C2074, "" ""),3),index(split(C2074, "" ""),2)))"),"")</f>
        <v/>
      </c>
      <c r="U2074" s="38" t="b">
        <f t="shared" si="34"/>
        <v>0</v>
      </c>
      <c r="V2074" s="38"/>
      <c r="W2074" s="40"/>
      <c r="X2074" s="40"/>
      <c r="Y2074" s="38"/>
      <c r="Z2074" s="38"/>
      <c r="AA2074" s="38"/>
      <c r="AB2074" s="38"/>
      <c r="AC2074" s="38"/>
      <c r="AD2074" s="38"/>
      <c r="AE2074" s="38"/>
      <c r="AF2074" s="38"/>
      <c r="AG2074" s="38"/>
      <c r="AH2074" s="38"/>
      <c r="AI2074" s="38"/>
      <c r="AJ2074" s="38"/>
      <c r="AK2074" s="38"/>
      <c r="AL2074" s="38"/>
      <c r="AM2074" s="38"/>
      <c r="AN2074" s="38"/>
      <c r="AO2074" s="38"/>
      <c r="AP2074" s="38"/>
      <c r="AQ2074" s="38"/>
      <c r="AR2074" s="38"/>
      <c r="AS2074" s="38"/>
      <c r="AT2074" s="38"/>
      <c r="AU2074" s="38"/>
      <c r="AV2074" s="38"/>
      <c r="AW2074" s="38"/>
      <c r="AX2074" s="38"/>
      <c r="AY2074" s="38"/>
      <c r="AZ2074" s="38"/>
      <c r="BA2074" s="38"/>
      <c r="BB2074" s="38"/>
      <c r="BC2074" s="38"/>
      <c r="BD2074" s="38"/>
      <c r="BE2074" s="38"/>
      <c r="BF2074" s="38"/>
      <c r="BG2074" s="38"/>
      <c r="BH2074" s="38"/>
      <c r="BI2074" s="38"/>
      <c r="BJ2074" s="38"/>
      <c r="BK2074" s="38"/>
      <c r="BL2074" s="38"/>
      <c r="BM2074" s="38"/>
      <c r="BN2074" s="38"/>
      <c r="BO2074" s="38"/>
      <c r="BP2074" s="38"/>
      <c r="BQ2074" s="38"/>
    </row>
    <row r="2075">
      <c r="A2075" s="16"/>
      <c r="B2075" s="380"/>
      <c r="C2075" s="146"/>
      <c r="D2075" s="146"/>
      <c r="E2075" s="16"/>
      <c r="F2075" s="91"/>
      <c r="G2075" s="16"/>
      <c r="H2075" s="320" t="str">
        <f t="shared" si="33"/>
        <v/>
      </c>
      <c r="I2075" s="16"/>
      <c r="J2075" s="16"/>
      <c r="K2075" s="16"/>
      <c r="L2075" s="16"/>
      <c r="M2075" s="15"/>
      <c r="N2075" s="15"/>
      <c r="O2075" s="16"/>
      <c r="P2075" s="16"/>
      <c r="Q2075" s="16"/>
      <c r="R2075" s="16"/>
      <c r="S2075" s="37" t="str">
        <f>IFERROR(__xludf.DUMMYFUNCTION("if(not(iserror(index(split(C2075, "" ""),2))), index(split(C2075, "" ""),1),"""")"),"")</f>
        <v/>
      </c>
      <c r="T2075" s="315" t="str">
        <f>IFERROR(__xludf.DUMMYFUNCTION("if(S2075="""",C2075,if(not(iserror(index(split(C2075, "" ""),3))), index(split(C2075, "" ""),3),index(split(C2075, "" ""),2)))"),"")</f>
        <v/>
      </c>
      <c r="U2075" s="38" t="b">
        <f t="shared" si="34"/>
        <v>0</v>
      </c>
      <c r="V2075" s="38"/>
      <c r="W2075" s="40"/>
      <c r="X2075" s="40"/>
      <c r="Y2075" s="38"/>
      <c r="Z2075" s="38"/>
      <c r="AA2075" s="38"/>
      <c r="AB2075" s="38"/>
      <c r="AC2075" s="38"/>
      <c r="AD2075" s="38"/>
      <c r="AE2075" s="38"/>
      <c r="AF2075" s="38"/>
      <c r="AG2075" s="38"/>
      <c r="AH2075" s="38"/>
      <c r="AI2075" s="38"/>
      <c r="AJ2075" s="38"/>
      <c r="AK2075" s="38"/>
      <c r="AL2075" s="38"/>
      <c r="AM2075" s="38"/>
      <c r="AN2075" s="38"/>
      <c r="AO2075" s="38"/>
      <c r="AP2075" s="38"/>
      <c r="AQ2075" s="38"/>
      <c r="AR2075" s="38"/>
      <c r="AS2075" s="38"/>
      <c r="AT2075" s="38"/>
      <c r="AU2075" s="38"/>
      <c r="AV2075" s="38"/>
      <c r="AW2075" s="38"/>
      <c r="AX2075" s="38"/>
      <c r="AY2075" s="38"/>
      <c r="AZ2075" s="38"/>
      <c r="BA2075" s="38"/>
      <c r="BB2075" s="38"/>
      <c r="BC2075" s="38"/>
      <c r="BD2075" s="38"/>
      <c r="BE2075" s="38"/>
      <c r="BF2075" s="38"/>
      <c r="BG2075" s="38"/>
      <c r="BH2075" s="38"/>
      <c r="BI2075" s="38"/>
      <c r="BJ2075" s="38"/>
      <c r="BK2075" s="38"/>
      <c r="BL2075" s="38"/>
      <c r="BM2075" s="38"/>
      <c r="BN2075" s="38"/>
      <c r="BO2075" s="38"/>
      <c r="BP2075" s="38"/>
      <c r="BQ2075" s="38"/>
    </row>
    <row r="2076">
      <c r="A2076" s="16"/>
      <c r="B2076" s="380"/>
      <c r="C2076" s="146"/>
      <c r="D2076" s="146"/>
      <c r="E2076" s="16"/>
      <c r="F2076" s="91"/>
      <c r="G2076" s="16"/>
      <c r="H2076" s="320" t="str">
        <f t="shared" si="33"/>
        <v/>
      </c>
      <c r="I2076" s="16"/>
      <c r="J2076" s="16"/>
      <c r="K2076" s="16"/>
      <c r="L2076" s="16"/>
      <c r="M2076" s="15"/>
      <c r="N2076" s="15"/>
      <c r="O2076" s="16"/>
      <c r="P2076" s="16"/>
      <c r="Q2076" s="16"/>
      <c r="R2076" s="16"/>
      <c r="S2076" s="37" t="str">
        <f>IFERROR(__xludf.DUMMYFUNCTION("if(not(iserror(index(split(C2076, "" ""),2))), index(split(C2076, "" ""),1),"""")"),"")</f>
        <v/>
      </c>
      <c r="T2076" s="315" t="str">
        <f>IFERROR(__xludf.DUMMYFUNCTION("if(S2076="""",C2076,if(not(iserror(index(split(C2076, "" ""),3))), index(split(C2076, "" ""),3),index(split(C2076, "" ""),2)))"),"")</f>
        <v/>
      </c>
      <c r="U2076" s="38" t="b">
        <f t="shared" si="34"/>
        <v>0</v>
      </c>
      <c r="V2076" s="38"/>
      <c r="W2076" s="40"/>
      <c r="X2076" s="40"/>
      <c r="Y2076" s="38"/>
      <c r="Z2076" s="38"/>
      <c r="AA2076" s="38"/>
      <c r="AB2076" s="38"/>
      <c r="AC2076" s="38"/>
      <c r="AD2076" s="38"/>
      <c r="AE2076" s="38"/>
      <c r="AF2076" s="38"/>
      <c r="AG2076" s="38"/>
      <c r="AH2076" s="38"/>
      <c r="AI2076" s="38"/>
      <c r="AJ2076" s="38"/>
      <c r="AK2076" s="38"/>
      <c r="AL2076" s="38"/>
      <c r="AM2076" s="38"/>
      <c r="AN2076" s="38"/>
      <c r="AO2076" s="38"/>
      <c r="AP2076" s="38"/>
      <c r="AQ2076" s="38"/>
      <c r="AR2076" s="38"/>
      <c r="AS2076" s="38"/>
      <c r="AT2076" s="38"/>
      <c r="AU2076" s="38"/>
      <c r="AV2076" s="38"/>
      <c r="AW2076" s="38"/>
      <c r="AX2076" s="38"/>
      <c r="AY2076" s="38"/>
      <c r="AZ2076" s="38"/>
      <c r="BA2076" s="38"/>
      <c r="BB2076" s="38"/>
      <c r="BC2076" s="38"/>
      <c r="BD2076" s="38"/>
      <c r="BE2076" s="38"/>
      <c r="BF2076" s="38"/>
      <c r="BG2076" s="38"/>
      <c r="BH2076" s="38"/>
      <c r="BI2076" s="38"/>
      <c r="BJ2076" s="38"/>
      <c r="BK2076" s="38"/>
      <c r="BL2076" s="38"/>
      <c r="BM2076" s="38"/>
      <c r="BN2076" s="38"/>
      <c r="BO2076" s="38"/>
      <c r="BP2076" s="38"/>
      <c r="BQ2076" s="38"/>
    </row>
    <row r="2077">
      <c r="A2077" s="16"/>
      <c r="B2077" s="380"/>
      <c r="C2077" s="146"/>
      <c r="D2077" s="146"/>
      <c r="E2077" s="16"/>
      <c r="F2077" s="91"/>
      <c r="G2077" s="16"/>
      <c r="H2077" s="320" t="str">
        <f t="shared" si="33"/>
        <v/>
      </c>
      <c r="I2077" s="16"/>
      <c r="J2077" s="16"/>
      <c r="K2077" s="16"/>
      <c r="L2077" s="16"/>
      <c r="M2077" s="15"/>
      <c r="N2077" s="15"/>
      <c r="O2077" s="16"/>
      <c r="P2077" s="16"/>
      <c r="Q2077" s="16"/>
      <c r="R2077" s="16"/>
      <c r="S2077" s="37" t="str">
        <f>IFERROR(__xludf.DUMMYFUNCTION("if(not(iserror(index(split(C2077, "" ""),2))), index(split(C2077, "" ""),1),"""")"),"")</f>
        <v/>
      </c>
      <c r="T2077" s="315" t="str">
        <f>IFERROR(__xludf.DUMMYFUNCTION("if(S2077="""",C2077,if(not(iserror(index(split(C2077, "" ""),3))), index(split(C2077, "" ""),3),index(split(C2077, "" ""),2)))"),"")</f>
        <v/>
      </c>
      <c r="U2077" s="38" t="b">
        <f t="shared" si="34"/>
        <v>0</v>
      </c>
      <c r="V2077" s="38"/>
      <c r="W2077" s="40"/>
      <c r="X2077" s="40"/>
      <c r="Y2077" s="38"/>
      <c r="Z2077" s="38"/>
      <c r="AA2077" s="38"/>
      <c r="AB2077" s="38"/>
      <c r="AC2077" s="38"/>
      <c r="AD2077" s="38"/>
      <c r="AE2077" s="38"/>
      <c r="AF2077" s="38"/>
      <c r="AG2077" s="38"/>
      <c r="AH2077" s="38"/>
      <c r="AI2077" s="38"/>
      <c r="AJ2077" s="38"/>
      <c r="AK2077" s="38"/>
      <c r="AL2077" s="38"/>
      <c r="AM2077" s="38"/>
      <c r="AN2077" s="38"/>
      <c r="AO2077" s="38"/>
      <c r="AP2077" s="38"/>
      <c r="AQ2077" s="38"/>
      <c r="AR2077" s="38"/>
      <c r="AS2077" s="38"/>
      <c r="AT2077" s="38"/>
      <c r="AU2077" s="38"/>
      <c r="AV2077" s="38"/>
      <c r="AW2077" s="38"/>
      <c r="AX2077" s="38"/>
      <c r="AY2077" s="38"/>
      <c r="AZ2077" s="38"/>
      <c r="BA2077" s="38"/>
      <c r="BB2077" s="38"/>
      <c r="BC2077" s="38"/>
      <c r="BD2077" s="38"/>
      <c r="BE2077" s="38"/>
      <c r="BF2077" s="38"/>
      <c r="BG2077" s="38"/>
      <c r="BH2077" s="38"/>
      <c r="BI2077" s="38"/>
      <c r="BJ2077" s="38"/>
      <c r="BK2077" s="38"/>
      <c r="BL2077" s="38"/>
      <c r="BM2077" s="38"/>
      <c r="BN2077" s="38"/>
      <c r="BO2077" s="38"/>
      <c r="BP2077" s="38"/>
      <c r="BQ2077" s="38"/>
    </row>
    <row r="2078">
      <c r="A2078" s="16"/>
      <c r="B2078" s="380"/>
      <c r="C2078" s="146"/>
      <c r="D2078" s="146"/>
      <c r="E2078" s="16"/>
      <c r="F2078" s="91"/>
      <c r="G2078" s="16"/>
      <c r="H2078" s="320" t="str">
        <f t="shared" si="33"/>
        <v/>
      </c>
      <c r="I2078" s="16"/>
      <c r="J2078" s="16"/>
      <c r="K2078" s="16"/>
      <c r="L2078" s="16"/>
      <c r="M2078" s="15"/>
      <c r="N2078" s="15"/>
      <c r="O2078" s="16"/>
      <c r="P2078" s="16"/>
      <c r="Q2078" s="16"/>
      <c r="R2078" s="16"/>
      <c r="S2078" s="37" t="str">
        <f>IFERROR(__xludf.DUMMYFUNCTION("if(not(iserror(index(split(C2078, "" ""),2))), index(split(C2078, "" ""),1),"""")"),"")</f>
        <v/>
      </c>
      <c r="T2078" s="315" t="str">
        <f>IFERROR(__xludf.DUMMYFUNCTION("if(S2078="""",C2078,if(not(iserror(index(split(C2078, "" ""),3))), index(split(C2078, "" ""),3),index(split(C2078, "" ""),2)))"),"")</f>
        <v/>
      </c>
      <c r="U2078" s="38" t="b">
        <f t="shared" si="34"/>
        <v>0</v>
      </c>
      <c r="V2078" s="38"/>
      <c r="W2078" s="40"/>
      <c r="X2078" s="40"/>
      <c r="Y2078" s="38"/>
      <c r="Z2078" s="38"/>
      <c r="AA2078" s="38"/>
      <c r="AB2078" s="38"/>
      <c r="AC2078" s="38"/>
      <c r="AD2078" s="38"/>
      <c r="AE2078" s="38"/>
      <c r="AF2078" s="38"/>
      <c r="AG2078" s="38"/>
      <c r="AH2078" s="38"/>
      <c r="AI2078" s="38"/>
      <c r="AJ2078" s="38"/>
      <c r="AK2078" s="38"/>
      <c r="AL2078" s="38"/>
      <c r="AM2078" s="38"/>
      <c r="AN2078" s="38"/>
      <c r="AO2078" s="38"/>
      <c r="AP2078" s="38"/>
      <c r="AQ2078" s="38"/>
      <c r="AR2078" s="38"/>
      <c r="AS2078" s="38"/>
      <c r="AT2078" s="38"/>
      <c r="AU2078" s="38"/>
      <c r="AV2078" s="38"/>
      <c r="AW2078" s="38"/>
      <c r="AX2078" s="38"/>
      <c r="AY2078" s="38"/>
      <c r="AZ2078" s="38"/>
      <c r="BA2078" s="38"/>
      <c r="BB2078" s="38"/>
      <c r="BC2078" s="38"/>
      <c r="BD2078" s="38"/>
      <c r="BE2078" s="38"/>
      <c r="BF2078" s="38"/>
      <c r="BG2078" s="38"/>
      <c r="BH2078" s="38"/>
      <c r="BI2078" s="38"/>
      <c r="BJ2078" s="38"/>
      <c r="BK2078" s="38"/>
      <c r="BL2078" s="38"/>
      <c r="BM2078" s="38"/>
      <c r="BN2078" s="38"/>
      <c r="BO2078" s="38"/>
      <c r="BP2078" s="38"/>
      <c r="BQ2078" s="38"/>
    </row>
    <row r="2079">
      <c r="A2079" s="16"/>
      <c r="B2079" s="380"/>
      <c r="C2079" s="146"/>
      <c r="D2079" s="146"/>
      <c r="E2079" s="16"/>
      <c r="F2079" s="91"/>
      <c r="G2079" s="16"/>
      <c r="H2079" s="320" t="str">
        <f t="shared" si="33"/>
        <v/>
      </c>
      <c r="I2079" s="16"/>
      <c r="J2079" s="16"/>
      <c r="K2079" s="16"/>
      <c r="L2079" s="16"/>
      <c r="M2079" s="15"/>
      <c r="N2079" s="15"/>
      <c r="O2079" s="16"/>
      <c r="P2079" s="16"/>
      <c r="Q2079" s="16"/>
      <c r="R2079" s="16"/>
      <c r="S2079" s="37" t="str">
        <f>IFERROR(__xludf.DUMMYFUNCTION("if(not(iserror(index(split(C2079, "" ""),2))), index(split(C2079, "" ""),1),"""")"),"")</f>
        <v/>
      </c>
      <c r="T2079" s="315" t="str">
        <f>IFERROR(__xludf.DUMMYFUNCTION("if(S2079="""",C2079,if(not(iserror(index(split(C2079, "" ""),3))), index(split(C2079, "" ""),3),index(split(C2079, "" ""),2)))"),"")</f>
        <v/>
      </c>
      <c r="U2079" s="38" t="b">
        <f t="shared" si="34"/>
        <v>0</v>
      </c>
      <c r="V2079" s="38"/>
      <c r="W2079" s="40"/>
      <c r="X2079" s="40"/>
      <c r="Y2079" s="38"/>
      <c r="Z2079" s="38"/>
      <c r="AA2079" s="38"/>
      <c r="AB2079" s="38"/>
      <c r="AC2079" s="38"/>
      <c r="AD2079" s="38"/>
      <c r="AE2079" s="38"/>
      <c r="AF2079" s="38"/>
      <c r="AG2079" s="38"/>
      <c r="AH2079" s="38"/>
      <c r="AI2079" s="38"/>
      <c r="AJ2079" s="38"/>
      <c r="AK2079" s="38"/>
      <c r="AL2079" s="38"/>
      <c r="AM2079" s="38"/>
      <c r="AN2079" s="38"/>
      <c r="AO2079" s="38"/>
      <c r="AP2079" s="38"/>
      <c r="AQ2079" s="38"/>
      <c r="AR2079" s="38"/>
      <c r="AS2079" s="38"/>
      <c r="AT2079" s="38"/>
      <c r="AU2079" s="38"/>
      <c r="AV2079" s="38"/>
      <c r="AW2079" s="38"/>
      <c r="AX2079" s="38"/>
      <c r="AY2079" s="38"/>
      <c r="AZ2079" s="38"/>
      <c r="BA2079" s="38"/>
      <c r="BB2079" s="38"/>
      <c r="BC2079" s="38"/>
      <c r="BD2079" s="38"/>
      <c r="BE2079" s="38"/>
      <c r="BF2079" s="38"/>
      <c r="BG2079" s="38"/>
      <c r="BH2079" s="38"/>
      <c r="BI2079" s="38"/>
      <c r="BJ2079" s="38"/>
      <c r="BK2079" s="38"/>
      <c r="BL2079" s="38"/>
      <c r="BM2079" s="38"/>
      <c r="BN2079" s="38"/>
      <c r="BO2079" s="38"/>
      <c r="BP2079" s="38"/>
      <c r="BQ2079" s="38"/>
    </row>
    <row r="2080">
      <c r="A2080" s="16"/>
      <c r="B2080" s="380"/>
      <c r="C2080" s="146"/>
      <c r="D2080" s="146"/>
      <c r="E2080" s="16"/>
      <c r="F2080" s="91"/>
      <c r="G2080" s="16"/>
      <c r="H2080" s="320" t="str">
        <f t="shared" si="33"/>
        <v/>
      </c>
      <c r="I2080" s="16"/>
      <c r="J2080" s="16"/>
      <c r="K2080" s="16"/>
      <c r="L2080" s="16"/>
      <c r="M2080" s="15"/>
      <c r="N2080" s="15"/>
      <c r="O2080" s="16"/>
      <c r="P2080" s="16"/>
      <c r="Q2080" s="16"/>
      <c r="R2080" s="16"/>
      <c r="S2080" s="37" t="str">
        <f>IFERROR(__xludf.DUMMYFUNCTION("if(not(iserror(index(split(C2080, "" ""),2))), index(split(C2080, "" ""),1),"""")"),"")</f>
        <v/>
      </c>
      <c r="T2080" s="315" t="str">
        <f>IFERROR(__xludf.DUMMYFUNCTION("if(S2080="""",C2080,if(not(iserror(index(split(C2080, "" ""),3))), index(split(C2080, "" ""),3),index(split(C2080, "" ""),2)))"),"")</f>
        <v/>
      </c>
      <c r="U2080" s="38" t="b">
        <f t="shared" si="34"/>
        <v>0</v>
      </c>
      <c r="V2080" s="38"/>
      <c r="W2080" s="40"/>
      <c r="X2080" s="40"/>
      <c r="Y2080" s="38"/>
      <c r="Z2080" s="38"/>
      <c r="AA2080" s="38"/>
      <c r="AB2080" s="38"/>
      <c r="AC2080" s="38"/>
      <c r="AD2080" s="38"/>
      <c r="AE2080" s="38"/>
      <c r="AF2080" s="38"/>
      <c r="AG2080" s="38"/>
      <c r="AH2080" s="38"/>
      <c r="AI2080" s="38"/>
      <c r="AJ2080" s="38"/>
      <c r="AK2080" s="38"/>
      <c r="AL2080" s="38"/>
      <c r="AM2080" s="38"/>
      <c r="AN2080" s="38"/>
      <c r="AO2080" s="38"/>
      <c r="AP2080" s="38"/>
      <c r="AQ2080" s="38"/>
      <c r="AR2080" s="38"/>
      <c r="AS2080" s="38"/>
      <c r="AT2080" s="38"/>
      <c r="AU2080" s="38"/>
      <c r="AV2080" s="38"/>
      <c r="AW2080" s="38"/>
      <c r="AX2080" s="38"/>
      <c r="AY2080" s="38"/>
      <c r="AZ2080" s="38"/>
      <c r="BA2080" s="38"/>
      <c r="BB2080" s="38"/>
      <c r="BC2080" s="38"/>
      <c r="BD2080" s="38"/>
      <c r="BE2080" s="38"/>
      <c r="BF2080" s="38"/>
      <c r="BG2080" s="38"/>
      <c r="BH2080" s="38"/>
      <c r="BI2080" s="38"/>
      <c r="BJ2080" s="38"/>
      <c r="BK2080" s="38"/>
      <c r="BL2080" s="38"/>
      <c r="BM2080" s="38"/>
      <c r="BN2080" s="38"/>
      <c r="BO2080" s="38"/>
      <c r="BP2080" s="38"/>
      <c r="BQ2080" s="38"/>
    </row>
    <row r="2081">
      <c r="A2081" s="16"/>
      <c r="B2081" s="380"/>
      <c r="C2081" s="146"/>
      <c r="D2081" s="146"/>
      <c r="E2081" s="16"/>
      <c r="F2081" s="91"/>
      <c r="G2081" s="16"/>
      <c r="H2081" s="320" t="str">
        <f t="shared" si="33"/>
        <v/>
      </c>
      <c r="I2081" s="16"/>
      <c r="J2081" s="16"/>
      <c r="K2081" s="16"/>
      <c r="L2081" s="16"/>
      <c r="M2081" s="15"/>
      <c r="N2081" s="15"/>
      <c r="O2081" s="16"/>
      <c r="P2081" s="16"/>
      <c r="Q2081" s="16"/>
      <c r="R2081" s="16"/>
      <c r="S2081" s="37" t="str">
        <f>IFERROR(__xludf.DUMMYFUNCTION("if(not(iserror(index(split(C2081, "" ""),2))), index(split(C2081, "" ""),1),"""")"),"")</f>
        <v/>
      </c>
      <c r="T2081" s="315" t="str">
        <f>IFERROR(__xludf.DUMMYFUNCTION("if(S2081="""",C2081,if(not(iserror(index(split(C2081, "" ""),3))), index(split(C2081, "" ""),3),index(split(C2081, "" ""),2)))"),"")</f>
        <v/>
      </c>
      <c r="U2081" s="38" t="b">
        <f t="shared" si="34"/>
        <v>0</v>
      </c>
      <c r="V2081" s="38"/>
      <c r="W2081" s="40"/>
      <c r="X2081" s="40"/>
      <c r="Y2081" s="38"/>
      <c r="Z2081" s="38"/>
      <c r="AA2081" s="38"/>
      <c r="AB2081" s="38"/>
      <c r="AC2081" s="38"/>
      <c r="AD2081" s="38"/>
      <c r="AE2081" s="38"/>
      <c r="AF2081" s="38"/>
      <c r="AG2081" s="38"/>
      <c r="AH2081" s="38"/>
      <c r="AI2081" s="38"/>
      <c r="AJ2081" s="38"/>
      <c r="AK2081" s="38"/>
      <c r="AL2081" s="38"/>
      <c r="AM2081" s="38"/>
      <c r="AN2081" s="38"/>
      <c r="AO2081" s="38"/>
      <c r="AP2081" s="38"/>
      <c r="AQ2081" s="38"/>
      <c r="AR2081" s="38"/>
      <c r="AS2081" s="38"/>
      <c r="AT2081" s="38"/>
      <c r="AU2081" s="38"/>
      <c r="AV2081" s="38"/>
      <c r="AW2081" s="38"/>
      <c r="AX2081" s="38"/>
      <c r="AY2081" s="38"/>
      <c r="AZ2081" s="38"/>
      <c r="BA2081" s="38"/>
      <c r="BB2081" s="38"/>
      <c r="BC2081" s="38"/>
      <c r="BD2081" s="38"/>
      <c r="BE2081" s="38"/>
      <c r="BF2081" s="38"/>
      <c r="BG2081" s="38"/>
      <c r="BH2081" s="38"/>
      <c r="BI2081" s="38"/>
      <c r="BJ2081" s="38"/>
      <c r="BK2081" s="38"/>
      <c r="BL2081" s="38"/>
      <c r="BM2081" s="38"/>
      <c r="BN2081" s="38"/>
      <c r="BO2081" s="38"/>
      <c r="BP2081" s="38"/>
      <c r="BQ2081" s="38"/>
    </row>
    <row r="2082">
      <c r="A2082" s="16"/>
      <c r="B2082" s="380"/>
      <c r="C2082" s="146"/>
      <c r="D2082" s="146"/>
      <c r="E2082" s="16"/>
      <c r="F2082" s="91"/>
      <c r="G2082" s="16"/>
      <c r="H2082" s="320" t="str">
        <f t="shared" si="33"/>
        <v/>
      </c>
      <c r="I2082" s="16"/>
      <c r="J2082" s="16"/>
      <c r="K2082" s="16"/>
      <c r="L2082" s="16"/>
      <c r="M2082" s="15"/>
      <c r="N2082" s="15"/>
      <c r="O2082" s="16"/>
      <c r="P2082" s="16"/>
      <c r="Q2082" s="16"/>
      <c r="R2082" s="16"/>
      <c r="S2082" s="37" t="str">
        <f>IFERROR(__xludf.DUMMYFUNCTION("if(not(iserror(index(split(C2082, "" ""),2))), index(split(C2082, "" ""),1),"""")"),"")</f>
        <v/>
      </c>
      <c r="T2082" s="315" t="str">
        <f>IFERROR(__xludf.DUMMYFUNCTION("if(S2082="""",C2082,if(not(iserror(index(split(C2082, "" ""),3))), index(split(C2082, "" ""),3),index(split(C2082, "" ""),2)))"),"")</f>
        <v/>
      </c>
      <c r="U2082" s="38" t="b">
        <f t="shared" si="34"/>
        <v>0</v>
      </c>
      <c r="V2082" s="38"/>
      <c r="W2082" s="40"/>
      <c r="X2082" s="40"/>
      <c r="Y2082" s="38"/>
      <c r="Z2082" s="38"/>
      <c r="AA2082" s="38"/>
      <c r="AB2082" s="38"/>
      <c r="AC2082" s="38"/>
      <c r="AD2082" s="38"/>
      <c r="AE2082" s="38"/>
      <c r="AF2082" s="38"/>
      <c r="AG2082" s="38"/>
      <c r="AH2082" s="38"/>
      <c r="AI2082" s="38"/>
      <c r="AJ2082" s="38"/>
      <c r="AK2082" s="38"/>
      <c r="AL2082" s="38"/>
      <c r="AM2082" s="38"/>
      <c r="AN2082" s="38"/>
      <c r="AO2082" s="38"/>
      <c r="AP2082" s="38"/>
      <c r="AQ2082" s="38"/>
      <c r="AR2082" s="38"/>
      <c r="AS2082" s="38"/>
      <c r="AT2082" s="38"/>
      <c r="AU2082" s="38"/>
      <c r="AV2082" s="38"/>
      <c r="AW2082" s="38"/>
      <c r="AX2082" s="38"/>
      <c r="AY2082" s="38"/>
      <c r="AZ2082" s="38"/>
      <c r="BA2082" s="38"/>
      <c r="BB2082" s="38"/>
      <c r="BC2082" s="38"/>
      <c r="BD2082" s="38"/>
      <c r="BE2082" s="38"/>
      <c r="BF2082" s="38"/>
      <c r="BG2082" s="38"/>
      <c r="BH2082" s="38"/>
      <c r="BI2082" s="38"/>
      <c r="BJ2082" s="38"/>
      <c r="BK2082" s="38"/>
      <c r="BL2082" s="38"/>
      <c r="BM2082" s="38"/>
      <c r="BN2082" s="38"/>
      <c r="BO2082" s="38"/>
      <c r="BP2082" s="38"/>
      <c r="BQ2082" s="38"/>
    </row>
    <row r="2083">
      <c r="A2083" s="16"/>
      <c r="B2083" s="380"/>
      <c r="C2083" s="146"/>
      <c r="D2083" s="146"/>
      <c r="E2083" s="16"/>
      <c r="F2083" s="91"/>
      <c r="G2083" s="16"/>
      <c r="H2083" s="320" t="str">
        <f t="shared" si="33"/>
        <v/>
      </c>
      <c r="I2083" s="16"/>
      <c r="J2083" s="16"/>
      <c r="K2083" s="16"/>
      <c r="L2083" s="16"/>
      <c r="M2083" s="15"/>
      <c r="N2083" s="15"/>
      <c r="O2083" s="16"/>
      <c r="P2083" s="16"/>
      <c r="Q2083" s="16"/>
      <c r="R2083" s="16"/>
      <c r="S2083" s="37" t="str">
        <f>IFERROR(__xludf.DUMMYFUNCTION("if(not(iserror(index(split(C2083, "" ""),2))), index(split(C2083, "" ""),1),"""")"),"")</f>
        <v/>
      </c>
      <c r="T2083" s="315" t="str">
        <f>IFERROR(__xludf.DUMMYFUNCTION("if(S2083="""",C2083,if(not(iserror(index(split(C2083, "" ""),3))), index(split(C2083, "" ""),3),index(split(C2083, "" ""),2)))"),"")</f>
        <v/>
      </c>
      <c r="U2083" s="38" t="b">
        <f t="shared" si="34"/>
        <v>0</v>
      </c>
      <c r="V2083" s="38"/>
      <c r="W2083" s="40"/>
      <c r="X2083" s="40"/>
      <c r="Y2083" s="38"/>
      <c r="Z2083" s="38"/>
      <c r="AA2083" s="38"/>
      <c r="AB2083" s="38"/>
      <c r="AC2083" s="38"/>
      <c r="AD2083" s="38"/>
      <c r="AE2083" s="38"/>
      <c r="AF2083" s="38"/>
      <c r="AG2083" s="38"/>
      <c r="AH2083" s="38"/>
      <c r="AI2083" s="38"/>
      <c r="AJ2083" s="38"/>
      <c r="AK2083" s="38"/>
      <c r="AL2083" s="38"/>
      <c r="AM2083" s="38"/>
      <c r="AN2083" s="38"/>
      <c r="AO2083" s="38"/>
      <c r="AP2083" s="38"/>
      <c r="AQ2083" s="38"/>
      <c r="AR2083" s="38"/>
      <c r="AS2083" s="38"/>
      <c r="AT2083" s="38"/>
      <c r="AU2083" s="38"/>
      <c r="AV2083" s="38"/>
      <c r="AW2083" s="38"/>
      <c r="AX2083" s="38"/>
      <c r="AY2083" s="38"/>
      <c r="AZ2083" s="38"/>
      <c r="BA2083" s="38"/>
      <c r="BB2083" s="38"/>
      <c r="BC2083" s="38"/>
      <c r="BD2083" s="38"/>
      <c r="BE2083" s="38"/>
      <c r="BF2083" s="38"/>
      <c r="BG2083" s="38"/>
      <c r="BH2083" s="38"/>
      <c r="BI2083" s="38"/>
      <c r="BJ2083" s="38"/>
      <c r="BK2083" s="38"/>
      <c r="BL2083" s="38"/>
      <c r="BM2083" s="38"/>
      <c r="BN2083" s="38"/>
      <c r="BO2083" s="38"/>
      <c r="BP2083" s="38"/>
      <c r="BQ2083" s="38"/>
    </row>
    <row r="2084">
      <c r="A2084" s="16"/>
      <c r="B2084" s="380"/>
      <c r="C2084" s="146"/>
      <c r="D2084" s="146"/>
      <c r="E2084" s="16"/>
      <c r="F2084" s="91"/>
      <c r="G2084" s="16"/>
      <c r="H2084" s="320" t="str">
        <f t="shared" si="33"/>
        <v/>
      </c>
      <c r="I2084" s="16"/>
      <c r="J2084" s="16"/>
      <c r="K2084" s="16"/>
      <c r="L2084" s="16"/>
      <c r="M2084" s="15"/>
      <c r="N2084" s="15"/>
      <c r="O2084" s="16"/>
      <c r="P2084" s="16"/>
      <c r="Q2084" s="16"/>
      <c r="R2084" s="16"/>
      <c r="S2084" s="37" t="str">
        <f>IFERROR(__xludf.DUMMYFUNCTION("if(not(iserror(index(split(C2084, "" ""),2))), index(split(C2084, "" ""),1),"""")"),"")</f>
        <v/>
      </c>
      <c r="T2084" s="315" t="str">
        <f>IFERROR(__xludf.DUMMYFUNCTION("if(S2084="""",C2084,if(not(iserror(index(split(C2084, "" ""),3))), index(split(C2084, "" ""),3),index(split(C2084, "" ""),2)))"),"")</f>
        <v/>
      </c>
      <c r="U2084" s="38" t="b">
        <f t="shared" si="34"/>
        <v>0</v>
      </c>
      <c r="V2084" s="38"/>
      <c r="W2084" s="40"/>
      <c r="X2084" s="40"/>
      <c r="Y2084" s="38"/>
      <c r="Z2084" s="38"/>
      <c r="AA2084" s="38"/>
      <c r="AB2084" s="38"/>
      <c r="AC2084" s="38"/>
      <c r="AD2084" s="38"/>
      <c r="AE2084" s="38"/>
      <c r="AF2084" s="38"/>
      <c r="AG2084" s="38"/>
      <c r="AH2084" s="38"/>
      <c r="AI2084" s="38"/>
      <c r="AJ2084" s="38"/>
      <c r="AK2084" s="38"/>
      <c r="AL2084" s="38"/>
      <c r="AM2084" s="38"/>
      <c r="AN2084" s="38"/>
      <c r="AO2084" s="38"/>
      <c r="AP2084" s="38"/>
      <c r="AQ2084" s="38"/>
      <c r="AR2084" s="38"/>
      <c r="AS2084" s="38"/>
      <c r="AT2084" s="38"/>
      <c r="AU2084" s="38"/>
      <c r="AV2084" s="38"/>
      <c r="AW2084" s="38"/>
      <c r="AX2084" s="38"/>
      <c r="AY2084" s="38"/>
      <c r="AZ2084" s="38"/>
      <c r="BA2084" s="38"/>
      <c r="BB2084" s="38"/>
      <c r="BC2084" s="38"/>
      <c r="BD2084" s="38"/>
      <c r="BE2084" s="38"/>
      <c r="BF2084" s="38"/>
      <c r="BG2084" s="38"/>
      <c r="BH2084" s="38"/>
      <c r="BI2084" s="38"/>
      <c r="BJ2084" s="38"/>
      <c r="BK2084" s="38"/>
      <c r="BL2084" s="38"/>
      <c r="BM2084" s="38"/>
      <c r="BN2084" s="38"/>
      <c r="BO2084" s="38"/>
      <c r="BP2084" s="38"/>
      <c r="BQ2084" s="38"/>
    </row>
    <row r="2085">
      <c r="A2085" s="16"/>
      <c r="B2085" s="380"/>
      <c r="C2085" s="146"/>
      <c r="D2085" s="146"/>
      <c r="E2085" s="16"/>
      <c r="F2085" s="91"/>
      <c r="G2085" s="16"/>
      <c r="H2085" s="320" t="str">
        <f t="shared" si="33"/>
        <v/>
      </c>
      <c r="I2085" s="16"/>
      <c r="J2085" s="16"/>
      <c r="K2085" s="16"/>
      <c r="L2085" s="16"/>
      <c r="M2085" s="15"/>
      <c r="N2085" s="15"/>
      <c r="O2085" s="16"/>
      <c r="P2085" s="16"/>
      <c r="Q2085" s="16"/>
      <c r="R2085" s="16"/>
      <c r="S2085" s="37" t="str">
        <f>IFERROR(__xludf.DUMMYFUNCTION("if(not(iserror(index(split(C2085, "" ""),2))), index(split(C2085, "" ""),1),"""")"),"")</f>
        <v/>
      </c>
      <c r="T2085" s="315" t="str">
        <f>IFERROR(__xludf.DUMMYFUNCTION("if(S2085="""",C2085,if(not(iserror(index(split(C2085, "" ""),3))), index(split(C2085, "" ""),3),index(split(C2085, "" ""),2)))"),"")</f>
        <v/>
      </c>
      <c r="U2085" s="38" t="b">
        <f t="shared" si="34"/>
        <v>0</v>
      </c>
      <c r="V2085" s="38"/>
      <c r="W2085" s="40"/>
      <c r="X2085" s="40"/>
      <c r="Y2085" s="38"/>
      <c r="Z2085" s="38"/>
      <c r="AA2085" s="38"/>
      <c r="AB2085" s="38"/>
      <c r="AC2085" s="38"/>
      <c r="AD2085" s="38"/>
      <c r="AE2085" s="38"/>
      <c r="AF2085" s="38"/>
      <c r="AG2085" s="38"/>
      <c r="AH2085" s="38"/>
      <c r="AI2085" s="38"/>
      <c r="AJ2085" s="38"/>
      <c r="AK2085" s="38"/>
      <c r="AL2085" s="38"/>
      <c r="AM2085" s="38"/>
      <c r="AN2085" s="38"/>
      <c r="AO2085" s="38"/>
      <c r="AP2085" s="38"/>
      <c r="AQ2085" s="38"/>
      <c r="AR2085" s="38"/>
      <c r="AS2085" s="38"/>
      <c r="AT2085" s="38"/>
      <c r="AU2085" s="38"/>
      <c r="AV2085" s="38"/>
      <c r="AW2085" s="38"/>
      <c r="AX2085" s="38"/>
      <c r="AY2085" s="38"/>
      <c r="AZ2085" s="38"/>
      <c r="BA2085" s="38"/>
      <c r="BB2085" s="38"/>
      <c r="BC2085" s="38"/>
      <c r="BD2085" s="38"/>
      <c r="BE2085" s="38"/>
      <c r="BF2085" s="38"/>
      <c r="BG2085" s="38"/>
      <c r="BH2085" s="38"/>
      <c r="BI2085" s="38"/>
      <c r="BJ2085" s="38"/>
      <c r="BK2085" s="38"/>
      <c r="BL2085" s="38"/>
      <c r="BM2085" s="38"/>
      <c r="BN2085" s="38"/>
      <c r="BO2085" s="38"/>
      <c r="BP2085" s="38"/>
      <c r="BQ2085" s="38"/>
    </row>
    <row r="2086">
      <c r="A2086" s="16"/>
      <c r="B2086" s="380"/>
      <c r="C2086" s="146"/>
      <c r="D2086" s="146"/>
      <c r="E2086" s="16"/>
      <c r="F2086" s="91"/>
      <c r="G2086" s="16"/>
      <c r="H2086" s="320" t="str">
        <f t="shared" si="33"/>
        <v/>
      </c>
      <c r="I2086" s="16"/>
      <c r="J2086" s="16"/>
      <c r="K2086" s="16"/>
      <c r="L2086" s="16"/>
      <c r="M2086" s="15"/>
      <c r="N2086" s="15"/>
      <c r="O2086" s="16"/>
      <c r="P2086" s="16"/>
      <c r="Q2086" s="16"/>
      <c r="R2086" s="16"/>
      <c r="S2086" s="37" t="str">
        <f>IFERROR(__xludf.DUMMYFUNCTION("if(not(iserror(index(split(C2086, "" ""),2))), index(split(C2086, "" ""),1),"""")"),"")</f>
        <v/>
      </c>
      <c r="T2086" s="315" t="str">
        <f>IFERROR(__xludf.DUMMYFUNCTION("if(S2086="""",C2086,if(not(iserror(index(split(C2086, "" ""),3))), index(split(C2086, "" ""),3),index(split(C2086, "" ""),2)))"),"")</f>
        <v/>
      </c>
      <c r="U2086" s="38" t="b">
        <f t="shared" si="34"/>
        <v>0</v>
      </c>
      <c r="V2086" s="38"/>
      <c r="W2086" s="40"/>
      <c r="X2086" s="40"/>
      <c r="Y2086" s="38"/>
      <c r="Z2086" s="38"/>
      <c r="AA2086" s="38"/>
      <c r="AB2086" s="38"/>
      <c r="AC2086" s="38"/>
      <c r="AD2086" s="38"/>
      <c r="AE2086" s="38"/>
      <c r="AF2086" s="38"/>
      <c r="AG2086" s="38"/>
      <c r="AH2086" s="38"/>
      <c r="AI2086" s="38"/>
      <c r="AJ2086" s="38"/>
      <c r="AK2086" s="38"/>
      <c r="AL2086" s="38"/>
      <c r="AM2086" s="38"/>
      <c r="AN2086" s="38"/>
      <c r="AO2086" s="38"/>
      <c r="AP2086" s="38"/>
      <c r="AQ2086" s="38"/>
      <c r="AR2086" s="38"/>
      <c r="AS2086" s="38"/>
      <c r="AT2086" s="38"/>
      <c r="AU2086" s="38"/>
      <c r="AV2086" s="38"/>
      <c r="AW2086" s="38"/>
      <c r="AX2086" s="38"/>
      <c r="AY2086" s="38"/>
      <c r="AZ2086" s="38"/>
      <c r="BA2086" s="38"/>
      <c r="BB2086" s="38"/>
      <c r="BC2086" s="38"/>
      <c r="BD2086" s="38"/>
      <c r="BE2086" s="38"/>
      <c r="BF2086" s="38"/>
      <c r="BG2086" s="38"/>
      <c r="BH2086" s="38"/>
      <c r="BI2086" s="38"/>
      <c r="BJ2086" s="38"/>
      <c r="BK2086" s="38"/>
      <c r="BL2086" s="38"/>
      <c r="BM2086" s="38"/>
      <c r="BN2086" s="38"/>
      <c r="BO2086" s="38"/>
      <c r="BP2086" s="38"/>
      <c r="BQ2086" s="38"/>
    </row>
    <row r="2087">
      <c r="A2087" s="16"/>
      <c r="B2087" s="380"/>
      <c r="C2087" s="146"/>
      <c r="D2087" s="146"/>
      <c r="E2087" s="16"/>
      <c r="F2087" s="91"/>
      <c r="G2087" s="16"/>
      <c r="H2087" s="320" t="str">
        <f t="shared" si="33"/>
        <v/>
      </c>
      <c r="I2087" s="16"/>
      <c r="J2087" s="16"/>
      <c r="K2087" s="16"/>
      <c r="L2087" s="16"/>
      <c r="M2087" s="15"/>
      <c r="N2087" s="15"/>
      <c r="O2087" s="16"/>
      <c r="P2087" s="16"/>
      <c r="Q2087" s="16"/>
      <c r="R2087" s="16"/>
      <c r="S2087" s="37" t="str">
        <f>IFERROR(__xludf.DUMMYFUNCTION("if(not(iserror(index(split(C2087, "" ""),2))), index(split(C2087, "" ""),1),"""")"),"")</f>
        <v/>
      </c>
      <c r="T2087" s="315" t="str">
        <f>IFERROR(__xludf.DUMMYFUNCTION("if(S2087="""",C2087,if(not(iserror(index(split(C2087, "" ""),3))), index(split(C2087, "" ""),3),index(split(C2087, "" ""),2)))"),"")</f>
        <v/>
      </c>
      <c r="U2087" s="38" t="b">
        <f t="shared" si="34"/>
        <v>0</v>
      </c>
      <c r="V2087" s="38"/>
      <c r="W2087" s="40"/>
      <c r="X2087" s="40"/>
      <c r="Y2087" s="38"/>
      <c r="Z2087" s="38"/>
      <c r="AA2087" s="38"/>
      <c r="AB2087" s="38"/>
      <c r="AC2087" s="38"/>
      <c r="AD2087" s="38"/>
      <c r="AE2087" s="38"/>
      <c r="AF2087" s="38"/>
      <c r="AG2087" s="38"/>
      <c r="AH2087" s="38"/>
      <c r="AI2087" s="38"/>
      <c r="AJ2087" s="38"/>
      <c r="AK2087" s="38"/>
      <c r="AL2087" s="38"/>
      <c r="AM2087" s="38"/>
      <c r="AN2087" s="38"/>
      <c r="AO2087" s="38"/>
      <c r="AP2087" s="38"/>
      <c r="AQ2087" s="38"/>
      <c r="AR2087" s="38"/>
      <c r="AS2087" s="38"/>
      <c r="AT2087" s="38"/>
      <c r="AU2087" s="38"/>
      <c r="AV2087" s="38"/>
      <c r="AW2087" s="38"/>
      <c r="AX2087" s="38"/>
      <c r="AY2087" s="38"/>
      <c r="AZ2087" s="38"/>
      <c r="BA2087" s="38"/>
      <c r="BB2087" s="38"/>
      <c r="BC2087" s="38"/>
      <c r="BD2087" s="38"/>
      <c r="BE2087" s="38"/>
      <c r="BF2087" s="38"/>
      <c r="BG2087" s="38"/>
      <c r="BH2087" s="38"/>
      <c r="BI2087" s="38"/>
      <c r="BJ2087" s="38"/>
      <c r="BK2087" s="38"/>
      <c r="BL2087" s="38"/>
      <c r="BM2087" s="38"/>
      <c r="BN2087" s="38"/>
      <c r="BO2087" s="38"/>
      <c r="BP2087" s="38"/>
      <c r="BQ2087" s="38"/>
    </row>
    <row r="2088">
      <c r="A2088" s="16"/>
      <c r="B2088" s="380"/>
      <c r="C2088" s="146"/>
      <c r="D2088" s="146"/>
      <c r="E2088" s="16"/>
      <c r="F2088" s="91"/>
      <c r="G2088" s="16"/>
      <c r="H2088" s="320" t="str">
        <f t="shared" si="33"/>
        <v/>
      </c>
      <c r="I2088" s="16"/>
      <c r="J2088" s="16"/>
      <c r="K2088" s="16"/>
      <c r="L2088" s="16"/>
      <c r="M2088" s="15"/>
      <c r="N2088" s="15"/>
      <c r="O2088" s="16"/>
      <c r="P2088" s="16"/>
      <c r="Q2088" s="16"/>
      <c r="R2088" s="16"/>
      <c r="S2088" s="37" t="str">
        <f>IFERROR(__xludf.DUMMYFUNCTION("if(not(iserror(index(split(C2088, "" ""),2))), index(split(C2088, "" ""),1),"""")"),"")</f>
        <v/>
      </c>
      <c r="T2088" s="315" t="str">
        <f>IFERROR(__xludf.DUMMYFUNCTION("if(S2088="""",C2088,if(not(iserror(index(split(C2088, "" ""),3))), index(split(C2088, "" ""),3),index(split(C2088, "" ""),2)))"),"")</f>
        <v/>
      </c>
      <c r="U2088" s="38" t="b">
        <f t="shared" si="34"/>
        <v>0</v>
      </c>
      <c r="V2088" s="38"/>
      <c r="W2088" s="40"/>
      <c r="X2088" s="40"/>
      <c r="Y2088" s="38"/>
      <c r="Z2088" s="38"/>
      <c r="AA2088" s="38"/>
      <c r="AB2088" s="38"/>
      <c r="AC2088" s="38"/>
      <c r="AD2088" s="38"/>
      <c r="AE2088" s="38"/>
      <c r="AF2088" s="38"/>
      <c r="AG2088" s="38"/>
      <c r="AH2088" s="38"/>
      <c r="AI2088" s="38"/>
      <c r="AJ2088" s="38"/>
      <c r="AK2088" s="38"/>
      <c r="AL2088" s="38"/>
      <c r="AM2088" s="38"/>
      <c r="AN2088" s="38"/>
      <c r="AO2088" s="38"/>
      <c r="AP2088" s="38"/>
      <c r="AQ2088" s="38"/>
      <c r="AR2088" s="38"/>
      <c r="AS2088" s="38"/>
      <c r="AT2088" s="38"/>
      <c r="AU2088" s="38"/>
      <c r="AV2088" s="38"/>
      <c r="AW2088" s="38"/>
      <c r="AX2088" s="38"/>
      <c r="AY2088" s="38"/>
      <c r="AZ2088" s="38"/>
      <c r="BA2088" s="38"/>
      <c r="BB2088" s="38"/>
      <c r="BC2088" s="38"/>
      <c r="BD2088" s="38"/>
      <c r="BE2088" s="38"/>
      <c r="BF2088" s="38"/>
      <c r="BG2088" s="38"/>
      <c r="BH2088" s="38"/>
      <c r="BI2088" s="38"/>
      <c r="BJ2088" s="38"/>
      <c r="BK2088" s="38"/>
      <c r="BL2088" s="38"/>
      <c r="BM2088" s="38"/>
      <c r="BN2088" s="38"/>
      <c r="BO2088" s="38"/>
      <c r="BP2088" s="38"/>
      <c r="BQ2088" s="38"/>
    </row>
    <row r="2089">
      <c r="A2089" s="16"/>
      <c r="B2089" s="380"/>
      <c r="C2089" s="146"/>
      <c r="D2089" s="146"/>
      <c r="E2089" s="16"/>
      <c r="F2089" s="91"/>
      <c r="G2089" s="16"/>
      <c r="H2089" s="320" t="str">
        <f t="shared" si="33"/>
        <v/>
      </c>
      <c r="I2089" s="16"/>
      <c r="J2089" s="16"/>
      <c r="K2089" s="16"/>
      <c r="L2089" s="16"/>
      <c r="M2089" s="15"/>
      <c r="N2089" s="15"/>
      <c r="O2089" s="16"/>
      <c r="P2089" s="16"/>
      <c r="Q2089" s="16"/>
      <c r="R2089" s="16"/>
      <c r="S2089" s="37" t="str">
        <f>IFERROR(__xludf.DUMMYFUNCTION("if(not(iserror(index(split(C2089, "" ""),2))), index(split(C2089, "" ""),1),"""")"),"")</f>
        <v/>
      </c>
      <c r="T2089" s="315" t="str">
        <f>IFERROR(__xludf.DUMMYFUNCTION("if(S2089="""",C2089,if(not(iserror(index(split(C2089, "" ""),3))), index(split(C2089, "" ""),3),index(split(C2089, "" ""),2)))"),"")</f>
        <v/>
      </c>
      <c r="U2089" s="38" t="b">
        <f t="shared" si="34"/>
        <v>0</v>
      </c>
      <c r="V2089" s="38"/>
      <c r="W2089" s="40"/>
      <c r="X2089" s="40"/>
      <c r="Y2089" s="38"/>
      <c r="Z2089" s="38"/>
      <c r="AA2089" s="38"/>
      <c r="AB2089" s="38"/>
      <c r="AC2089" s="38"/>
      <c r="AD2089" s="38"/>
      <c r="AE2089" s="38"/>
      <c r="AF2089" s="38"/>
      <c r="AG2089" s="38"/>
      <c r="AH2089" s="38"/>
      <c r="AI2089" s="38"/>
      <c r="AJ2089" s="38"/>
      <c r="AK2089" s="38"/>
      <c r="AL2089" s="38"/>
      <c r="AM2089" s="38"/>
      <c r="AN2089" s="38"/>
      <c r="AO2089" s="38"/>
      <c r="AP2089" s="38"/>
      <c r="AQ2089" s="38"/>
      <c r="AR2089" s="38"/>
      <c r="AS2089" s="38"/>
      <c r="AT2089" s="38"/>
      <c r="AU2089" s="38"/>
      <c r="AV2089" s="38"/>
      <c r="AW2089" s="38"/>
      <c r="AX2089" s="38"/>
      <c r="AY2089" s="38"/>
      <c r="AZ2089" s="38"/>
      <c r="BA2089" s="38"/>
      <c r="BB2089" s="38"/>
      <c r="BC2089" s="38"/>
      <c r="BD2089" s="38"/>
      <c r="BE2089" s="38"/>
      <c r="BF2089" s="38"/>
      <c r="BG2089" s="38"/>
      <c r="BH2089" s="38"/>
      <c r="BI2089" s="38"/>
      <c r="BJ2089" s="38"/>
      <c r="BK2089" s="38"/>
      <c r="BL2089" s="38"/>
      <c r="BM2089" s="38"/>
      <c r="BN2089" s="38"/>
      <c r="BO2089" s="38"/>
      <c r="BP2089" s="38"/>
      <c r="BQ2089" s="38"/>
    </row>
    <row r="2090">
      <c r="A2090" s="16"/>
      <c r="B2090" s="380"/>
      <c r="C2090" s="146"/>
      <c r="D2090" s="146"/>
      <c r="E2090" s="16"/>
      <c r="F2090" s="91"/>
      <c r="G2090" s="16"/>
      <c r="H2090" s="320" t="str">
        <f t="shared" si="33"/>
        <v/>
      </c>
      <c r="I2090" s="16"/>
      <c r="J2090" s="16"/>
      <c r="K2090" s="16"/>
      <c r="L2090" s="16"/>
      <c r="M2090" s="15"/>
      <c r="N2090" s="15"/>
      <c r="O2090" s="16"/>
      <c r="P2090" s="16"/>
      <c r="Q2090" s="16"/>
      <c r="R2090" s="16"/>
      <c r="S2090" s="37" t="str">
        <f>IFERROR(__xludf.DUMMYFUNCTION("if(not(iserror(index(split(C2090, "" ""),2))), index(split(C2090, "" ""),1),"""")"),"")</f>
        <v/>
      </c>
      <c r="T2090" s="315" t="str">
        <f>IFERROR(__xludf.DUMMYFUNCTION("if(S2090="""",C2090,if(not(iserror(index(split(C2090, "" ""),3))), index(split(C2090, "" ""),3),index(split(C2090, "" ""),2)))"),"")</f>
        <v/>
      </c>
      <c r="U2090" s="38" t="b">
        <f t="shared" si="34"/>
        <v>0</v>
      </c>
      <c r="V2090" s="38"/>
      <c r="W2090" s="40"/>
      <c r="X2090" s="40"/>
      <c r="Y2090" s="38"/>
      <c r="Z2090" s="38"/>
      <c r="AA2090" s="38"/>
      <c r="AB2090" s="38"/>
      <c r="AC2090" s="38"/>
      <c r="AD2090" s="38"/>
      <c r="AE2090" s="38"/>
      <c r="AF2090" s="38"/>
      <c r="AG2090" s="38"/>
      <c r="AH2090" s="38"/>
      <c r="AI2090" s="38"/>
      <c r="AJ2090" s="38"/>
      <c r="AK2090" s="38"/>
      <c r="AL2090" s="38"/>
      <c r="AM2090" s="38"/>
      <c r="AN2090" s="38"/>
      <c r="AO2090" s="38"/>
      <c r="AP2090" s="38"/>
      <c r="AQ2090" s="38"/>
      <c r="AR2090" s="38"/>
      <c r="AS2090" s="38"/>
      <c r="AT2090" s="38"/>
      <c r="AU2090" s="38"/>
      <c r="AV2090" s="38"/>
      <c r="AW2090" s="38"/>
      <c r="AX2090" s="38"/>
      <c r="AY2090" s="38"/>
      <c r="AZ2090" s="38"/>
      <c r="BA2090" s="38"/>
      <c r="BB2090" s="38"/>
      <c r="BC2090" s="38"/>
      <c r="BD2090" s="38"/>
      <c r="BE2090" s="38"/>
      <c r="BF2090" s="38"/>
      <c r="BG2090" s="38"/>
      <c r="BH2090" s="38"/>
      <c r="BI2090" s="38"/>
      <c r="BJ2090" s="38"/>
      <c r="BK2090" s="38"/>
      <c r="BL2090" s="38"/>
      <c r="BM2090" s="38"/>
      <c r="BN2090" s="38"/>
      <c r="BO2090" s="38"/>
      <c r="BP2090" s="38"/>
      <c r="BQ2090" s="38"/>
    </row>
    <row r="2091">
      <c r="A2091" s="16"/>
      <c r="B2091" s="380"/>
      <c r="C2091" s="146"/>
      <c r="D2091" s="146"/>
      <c r="E2091" s="16"/>
      <c r="F2091" s="91"/>
      <c r="G2091" s="16"/>
      <c r="H2091" s="320" t="str">
        <f t="shared" si="33"/>
        <v/>
      </c>
      <c r="I2091" s="16"/>
      <c r="J2091" s="16"/>
      <c r="K2091" s="16"/>
      <c r="L2091" s="16"/>
      <c r="M2091" s="15"/>
      <c r="N2091" s="15"/>
      <c r="O2091" s="16"/>
      <c r="P2091" s="16"/>
      <c r="Q2091" s="16"/>
      <c r="R2091" s="16"/>
      <c r="S2091" s="37" t="str">
        <f>IFERROR(__xludf.DUMMYFUNCTION("if(not(iserror(index(split(C2091, "" ""),2))), index(split(C2091, "" ""),1),"""")"),"")</f>
        <v/>
      </c>
      <c r="T2091" s="315" t="str">
        <f>IFERROR(__xludf.DUMMYFUNCTION("if(S2091="""",C2091,if(not(iserror(index(split(C2091, "" ""),3))), index(split(C2091, "" ""),3),index(split(C2091, "" ""),2)))"),"")</f>
        <v/>
      </c>
      <c r="U2091" s="38" t="b">
        <f t="shared" si="34"/>
        <v>0</v>
      </c>
      <c r="V2091" s="38"/>
      <c r="W2091" s="40"/>
      <c r="X2091" s="40"/>
      <c r="Y2091" s="38"/>
      <c r="Z2091" s="38"/>
      <c r="AA2091" s="38"/>
      <c r="AB2091" s="38"/>
      <c r="AC2091" s="38"/>
      <c r="AD2091" s="38"/>
      <c r="AE2091" s="38"/>
      <c r="AF2091" s="38"/>
      <c r="AG2091" s="38"/>
      <c r="AH2091" s="38"/>
      <c r="AI2091" s="38"/>
      <c r="AJ2091" s="38"/>
      <c r="AK2091" s="38"/>
      <c r="AL2091" s="38"/>
      <c r="AM2091" s="38"/>
      <c r="AN2091" s="38"/>
      <c r="AO2091" s="38"/>
      <c r="AP2091" s="38"/>
      <c r="AQ2091" s="38"/>
      <c r="AR2091" s="38"/>
      <c r="AS2091" s="38"/>
      <c r="AT2091" s="38"/>
      <c r="AU2091" s="38"/>
      <c r="AV2091" s="38"/>
      <c r="AW2091" s="38"/>
      <c r="AX2091" s="38"/>
      <c r="AY2091" s="38"/>
      <c r="AZ2091" s="38"/>
      <c r="BA2091" s="38"/>
      <c r="BB2091" s="38"/>
      <c r="BC2091" s="38"/>
      <c r="BD2091" s="38"/>
      <c r="BE2091" s="38"/>
      <c r="BF2091" s="38"/>
      <c r="BG2091" s="38"/>
      <c r="BH2091" s="38"/>
      <c r="BI2091" s="38"/>
      <c r="BJ2091" s="38"/>
      <c r="BK2091" s="38"/>
      <c r="BL2091" s="38"/>
      <c r="BM2091" s="38"/>
      <c r="BN2091" s="38"/>
      <c r="BO2091" s="38"/>
      <c r="BP2091" s="38"/>
      <c r="BQ2091" s="38"/>
    </row>
    <row r="2092">
      <c r="A2092" s="16"/>
      <c r="B2092" s="380"/>
      <c r="C2092" s="146"/>
      <c r="D2092" s="146"/>
      <c r="E2092" s="16"/>
      <c r="F2092" s="91"/>
      <c r="G2092" s="16"/>
      <c r="H2092" s="320" t="str">
        <f t="shared" si="33"/>
        <v/>
      </c>
      <c r="I2092" s="16"/>
      <c r="J2092" s="16"/>
      <c r="K2092" s="16"/>
      <c r="L2092" s="16"/>
      <c r="M2092" s="15"/>
      <c r="N2092" s="15"/>
      <c r="O2092" s="16"/>
      <c r="P2092" s="16"/>
      <c r="Q2092" s="16"/>
      <c r="R2092" s="16"/>
      <c r="S2092" s="37" t="str">
        <f>IFERROR(__xludf.DUMMYFUNCTION("if(not(iserror(index(split(C2092, "" ""),2))), index(split(C2092, "" ""),1),"""")"),"")</f>
        <v/>
      </c>
      <c r="T2092" s="315" t="str">
        <f>IFERROR(__xludf.DUMMYFUNCTION("if(S2092="""",C2092,if(not(iserror(index(split(C2092, "" ""),3))), index(split(C2092, "" ""),3),index(split(C2092, "" ""),2)))"),"")</f>
        <v/>
      </c>
      <c r="U2092" s="38" t="b">
        <f t="shared" si="34"/>
        <v>0</v>
      </c>
      <c r="V2092" s="38"/>
      <c r="W2092" s="40"/>
      <c r="X2092" s="40"/>
      <c r="Y2092" s="38"/>
      <c r="Z2092" s="38"/>
      <c r="AA2092" s="38"/>
      <c r="AB2092" s="38"/>
      <c r="AC2092" s="38"/>
      <c r="AD2092" s="38"/>
      <c r="AE2092" s="38"/>
      <c r="AF2092" s="38"/>
      <c r="AG2092" s="38"/>
      <c r="AH2092" s="38"/>
      <c r="AI2092" s="38"/>
      <c r="AJ2092" s="38"/>
      <c r="AK2092" s="38"/>
      <c r="AL2092" s="38"/>
      <c r="AM2092" s="38"/>
      <c r="AN2092" s="38"/>
      <c r="AO2092" s="38"/>
      <c r="AP2092" s="38"/>
      <c r="AQ2092" s="38"/>
      <c r="AR2092" s="38"/>
      <c r="AS2092" s="38"/>
      <c r="AT2092" s="38"/>
      <c r="AU2092" s="38"/>
      <c r="AV2092" s="38"/>
      <c r="AW2092" s="38"/>
      <c r="AX2092" s="38"/>
      <c r="AY2092" s="38"/>
      <c r="AZ2092" s="38"/>
      <c r="BA2092" s="38"/>
      <c r="BB2092" s="38"/>
      <c r="BC2092" s="38"/>
      <c r="BD2092" s="38"/>
      <c r="BE2092" s="38"/>
      <c r="BF2092" s="38"/>
      <c r="BG2092" s="38"/>
      <c r="BH2092" s="38"/>
      <c r="BI2092" s="38"/>
      <c r="BJ2092" s="38"/>
      <c r="BK2092" s="38"/>
      <c r="BL2092" s="38"/>
      <c r="BM2092" s="38"/>
      <c r="BN2092" s="38"/>
      <c r="BO2092" s="38"/>
      <c r="BP2092" s="38"/>
      <c r="BQ2092" s="38"/>
    </row>
    <row r="2093">
      <c r="A2093" s="16"/>
      <c r="B2093" s="380"/>
      <c r="C2093" s="146"/>
      <c r="D2093" s="146"/>
      <c r="E2093" s="16"/>
      <c r="F2093" s="91"/>
      <c r="G2093" s="16"/>
      <c r="H2093" s="320" t="str">
        <f t="shared" si="33"/>
        <v/>
      </c>
      <c r="I2093" s="16"/>
      <c r="J2093" s="16"/>
      <c r="K2093" s="16"/>
      <c r="L2093" s="16"/>
      <c r="M2093" s="15"/>
      <c r="N2093" s="15"/>
      <c r="O2093" s="16"/>
      <c r="P2093" s="16"/>
      <c r="Q2093" s="16"/>
      <c r="R2093" s="16"/>
      <c r="S2093" s="37" t="str">
        <f>IFERROR(__xludf.DUMMYFUNCTION("if(not(iserror(index(split(C2093, "" ""),2))), index(split(C2093, "" ""),1),"""")"),"")</f>
        <v/>
      </c>
      <c r="T2093" s="315" t="str">
        <f>IFERROR(__xludf.DUMMYFUNCTION("if(S2093="""",C2093,if(not(iserror(index(split(C2093, "" ""),3))), index(split(C2093, "" ""),3),index(split(C2093, "" ""),2)))"),"")</f>
        <v/>
      </c>
      <c r="U2093" s="38" t="b">
        <f t="shared" si="34"/>
        <v>0</v>
      </c>
      <c r="V2093" s="38"/>
      <c r="W2093" s="40"/>
      <c r="X2093" s="40"/>
      <c r="Y2093" s="38"/>
      <c r="Z2093" s="38"/>
      <c r="AA2093" s="38"/>
      <c r="AB2093" s="38"/>
      <c r="AC2093" s="38"/>
      <c r="AD2093" s="38"/>
      <c r="AE2093" s="38"/>
      <c r="AF2093" s="38"/>
      <c r="AG2093" s="38"/>
      <c r="AH2093" s="38"/>
      <c r="AI2093" s="38"/>
      <c r="AJ2093" s="38"/>
      <c r="AK2093" s="38"/>
      <c r="AL2093" s="38"/>
      <c r="AM2093" s="38"/>
      <c r="AN2093" s="38"/>
      <c r="AO2093" s="38"/>
      <c r="AP2093" s="38"/>
      <c r="AQ2093" s="38"/>
      <c r="AR2093" s="38"/>
      <c r="AS2093" s="38"/>
      <c r="AT2093" s="38"/>
      <c r="AU2093" s="38"/>
      <c r="AV2093" s="38"/>
      <c r="AW2093" s="38"/>
      <c r="AX2093" s="38"/>
      <c r="AY2093" s="38"/>
      <c r="AZ2093" s="38"/>
      <c r="BA2093" s="38"/>
      <c r="BB2093" s="38"/>
      <c r="BC2093" s="38"/>
      <c r="BD2093" s="38"/>
      <c r="BE2093" s="38"/>
      <c r="BF2093" s="38"/>
      <c r="BG2093" s="38"/>
      <c r="BH2093" s="38"/>
      <c r="BI2093" s="38"/>
      <c r="BJ2093" s="38"/>
      <c r="BK2093" s="38"/>
      <c r="BL2093" s="38"/>
      <c r="BM2093" s="38"/>
      <c r="BN2093" s="38"/>
      <c r="BO2093" s="38"/>
      <c r="BP2093" s="38"/>
      <c r="BQ2093" s="38"/>
    </row>
    <row r="2094">
      <c r="A2094" s="16"/>
      <c r="B2094" s="380"/>
      <c r="C2094" s="146"/>
      <c r="D2094" s="146"/>
      <c r="E2094" s="16"/>
      <c r="F2094" s="91"/>
      <c r="G2094" s="16"/>
      <c r="H2094" s="320" t="str">
        <f t="shared" si="33"/>
        <v/>
      </c>
      <c r="I2094" s="16"/>
      <c r="J2094" s="16"/>
      <c r="K2094" s="16"/>
      <c r="L2094" s="16"/>
      <c r="M2094" s="15"/>
      <c r="N2094" s="15"/>
      <c r="O2094" s="16"/>
      <c r="P2094" s="16"/>
      <c r="Q2094" s="16"/>
      <c r="R2094" s="16"/>
      <c r="S2094" s="37" t="str">
        <f>IFERROR(__xludf.DUMMYFUNCTION("if(not(iserror(index(split(C2094, "" ""),2))), index(split(C2094, "" ""),1),"""")"),"")</f>
        <v/>
      </c>
      <c r="T2094" s="315" t="str">
        <f>IFERROR(__xludf.DUMMYFUNCTION("if(S2094="""",C2094,if(not(iserror(index(split(C2094, "" ""),3))), index(split(C2094, "" ""),3),index(split(C2094, "" ""),2)))"),"")</f>
        <v/>
      </c>
      <c r="U2094" s="38" t="b">
        <f t="shared" si="34"/>
        <v>0</v>
      </c>
      <c r="V2094" s="38"/>
      <c r="W2094" s="40"/>
      <c r="X2094" s="40"/>
      <c r="Y2094" s="38"/>
      <c r="Z2094" s="38"/>
      <c r="AA2094" s="38"/>
      <c r="AB2094" s="38"/>
      <c r="AC2094" s="38"/>
      <c r="AD2094" s="38"/>
      <c r="AE2094" s="38"/>
      <c r="AF2094" s="38"/>
      <c r="AG2094" s="38"/>
      <c r="AH2094" s="38"/>
      <c r="AI2094" s="38"/>
      <c r="AJ2094" s="38"/>
      <c r="AK2094" s="38"/>
      <c r="AL2094" s="38"/>
      <c r="AM2094" s="38"/>
      <c r="AN2094" s="38"/>
      <c r="AO2094" s="38"/>
      <c r="AP2094" s="38"/>
      <c r="AQ2094" s="38"/>
      <c r="AR2094" s="38"/>
      <c r="AS2094" s="38"/>
      <c r="AT2094" s="38"/>
      <c r="AU2094" s="38"/>
      <c r="AV2094" s="38"/>
      <c r="AW2094" s="38"/>
      <c r="AX2094" s="38"/>
      <c r="AY2094" s="38"/>
      <c r="AZ2094" s="38"/>
      <c r="BA2094" s="38"/>
      <c r="BB2094" s="38"/>
      <c r="BC2094" s="38"/>
      <c r="BD2094" s="38"/>
      <c r="BE2094" s="38"/>
      <c r="BF2094" s="38"/>
      <c r="BG2094" s="38"/>
      <c r="BH2094" s="38"/>
      <c r="BI2094" s="38"/>
      <c r="BJ2094" s="38"/>
      <c r="BK2094" s="38"/>
      <c r="BL2094" s="38"/>
      <c r="BM2094" s="38"/>
      <c r="BN2094" s="38"/>
      <c r="BO2094" s="38"/>
      <c r="BP2094" s="38"/>
      <c r="BQ2094" s="38"/>
    </row>
    <row r="2095">
      <c r="A2095" s="16"/>
      <c r="B2095" s="380"/>
      <c r="C2095" s="146"/>
      <c r="D2095" s="146"/>
      <c r="E2095" s="16"/>
      <c r="F2095" s="91"/>
      <c r="G2095" s="16"/>
      <c r="H2095" s="320" t="str">
        <f t="shared" si="33"/>
        <v/>
      </c>
      <c r="I2095" s="16"/>
      <c r="J2095" s="16"/>
      <c r="K2095" s="16"/>
      <c r="L2095" s="16"/>
      <c r="M2095" s="15"/>
      <c r="N2095" s="15"/>
      <c r="O2095" s="16"/>
      <c r="P2095" s="16"/>
      <c r="Q2095" s="16"/>
      <c r="R2095" s="16"/>
      <c r="S2095" s="37" t="str">
        <f>IFERROR(__xludf.DUMMYFUNCTION("if(not(iserror(index(split(C2095, "" ""),2))), index(split(C2095, "" ""),1),"""")"),"")</f>
        <v/>
      </c>
      <c r="T2095" s="315" t="str">
        <f>IFERROR(__xludf.DUMMYFUNCTION("if(S2095="""",C2095,if(not(iserror(index(split(C2095, "" ""),3))), index(split(C2095, "" ""),3),index(split(C2095, "" ""),2)))"),"")</f>
        <v/>
      </c>
      <c r="U2095" s="38" t="b">
        <f t="shared" si="34"/>
        <v>0</v>
      </c>
      <c r="V2095" s="38"/>
      <c r="W2095" s="40"/>
      <c r="X2095" s="40"/>
      <c r="Y2095" s="38"/>
      <c r="Z2095" s="38"/>
      <c r="AA2095" s="38"/>
      <c r="AB2095" s="38"/>
      <c r="AC2095" s="38"/>
      <c r="AD2095" s="38"/>
      <c r="AE2095" s="38"/>
      <c r="AF2095" s="38"/>
      <c r="AG2095" s="38"/>
      <c r="AH2095" s="38"/>
      <c r="AI2095" s="38"/>
      <c r="AJ2095" s="38"/>
      <c r="AK2095" s="38"/>
      <c r="AL2095" s="38"/>
      <c r="AM2095" s="38"/>
      <c r="AN2095" s="38"/>
      <c r="AO2095" s="38"/>
      <c r="AP2095" s="38"/>
      <c r="AQ2095" s="38"/>
      <c r="AR2095" s="38"/>
      <c r="AS2095" s="38"/>
      <c r="AT2095" s="38"/>
      <c r="AU2095" s="38"/>
      <c r="AV2095" s="38"/>
      <c r="AW2095" s="38"/>
      <c r="AX2095" s="38"/>
      <c r="AY2095" s="38"/>
      <c r="AZ2095" s="38"/>
      <c r="BA2095" s="38"/>
      <c r="BB2095" s="38"/>
      <c r="BC2095" s="38"/>
      <c r="BD2095" s="38"/>
      <c r="BE2095" s="38"/>
      <c r="BF2095" s="38"/>
      <c r="BG2095" s="38"/>
      <c r="BH2095" s="38"/>
      <c r="BI2095" s="38"/>
      <c r="BJ2095" s="38"/>
      <c r="BK2095" s="38"/>
      <c r="BL2095" s="38"/>
      <c r="BM2095" s="38"/>
      <c r="BN2095" s="38"/>
      <c r="BO2095" s="38"/>
      <c r="BP2095" s="38"/>
      <c r="BQ2095" s="38"/>
    </row>
    <row r="2096">
      <c r="A2096" s="16"/>
      <c r="B2096" s="380"/>
      <c r="C2096" s="146"/>
      <c r="D2096" s="146"/>
      <c r="E2096" s="16"/>
      <c r="F2096" s="91"/>
      <c r="G2096" s="16"/>
      <c r="H2096" s="320" t="str">
        <f t="shared" si="33"/>
        <v/>
      </c>
      <c r="I2096" s="16"/>
      <c r="J2096" s="16"/>
      <c r="K2096" s="16"/>
      <c r="L2096" s="16"/>
      <c r="M2096" s="15"/>
      <c r="N2096" s="15"/>
      <c r="O2096" s="16"/>
      <c r="P2096" s="16"/>
      <c r="Q2096" s="16"/>
      <c r="R2096" s="16"/>
      <c r="S2096" s="37" t="str">
        <f>IFERROR(__xludf.DUMMYFUNCTION("if(not(iserror(index(split(C2096, "" ""),2))), index(split(C2096, "" ""),1),"""")"),"")</f>
        <v/>
      </c>
      <c r="T2096" s="315" t="str">
        <f>IFERROR(__xludf.DUMMYFUNCTION("if(S2096="""",C2096,if(not(iserror(index(split(C2096, "" ""),3))), index(split(C2096, "" ""),3),index(split(C2096, "" ""),2)))"),"")</f>
        <v/>
      </c>
      <c r="U2096" s="38" t="b">
        <f t="shared" si="34"/>
        <v>0</v>
      </c>
      <c r="V2096" s="38"/>
      <c r="W2096" s="40"/>
      <c r="X2096" s="40"/>
      <c r="Y2096" s="38"/>
      <c r="Z2096" s="38"/>
      <c r="AA2096" s="38"/>
      <c r="AB2096" s="38"/>
      <c r="AC2096" s="38"/>
      <c r="AD2096" s="38"/>
      <c r="AE2096" s="38"/>
      <c r="AF2096" s="38"/>
      <c r="AG2096" s="38"/>
      <c r="AH2096" s="38"/>
      <c r="AI2096" s="38"/>
      <c r="AJ2096" s="38"/>
      <c r="AK2096" s="38"/>
      <c r="AL2096" s="38"/>
      <c r="AM2096" s="38"/>
      <c r="AN2096" s="38"/>
      <c r="AO2096" s="38"/>
      <c r="AP2096" s="38"/>
      <c r="AQ2096" s="38"/>
      <c r="AR2096" s="38"/>
      <c r="AS2096" s="38"/>
      <c r="AT2096" s="38"/>
      <c r="AU2096" s="38"/>
      <c r="AV2096" s="38"/>
      <c r="AW2096" s="38"/>
      <c r="AX2096" s="38"/>
      <c r="AY2096" s="38"/>
      <c r="AZ2096" s="38"/>
      <c r="BA2096" s="38"/>
      <c r="BB2096" s="38"/>
      <c r="BC2096" s="38"/>
      <c r="BD2096" s="38"/>
      <c r="BE2096" s="38"/>
      <c r="BF2096" s="38"/>
      <c r="BG2096" s="38"/>
      <c r="BH2096" s="38"/>
      <c r="BI2096" s="38"/>
      <c r="BJ2096" s="38"/>
      <c r="BK2096" s="38"/>
      <c r="BL2096" s="38"/>
      <c r="BM2096" s="38"/>
      <c r="BN2096" s="38"/>
      <c r="BO2096" s="38"/>
      <c r="BP2096" s="38"/>
      <c r="BQ2096" s="38"/>
    </row>
    <row r="2097">
      <c r="A2097" s="16"/>
      <c r="B2097" s="380"/>
      <c r="C2097" s="146"/>
      <c r="D2097" s="146"/>
      <c r="E2097" s="16"/>
      <c r="F2097" s="91"/>
      <c r="G2097" s="16"/>
      <c r="H2097" s="320" t="str">
        <f t="shared" si="33"/>
        <v/>
      </c>
      <c r="I2097" s="16"/>
      <c r="J2097" s="16"/>
      <c r="K2097" s="16"/>
      <c r="L2097" s="16"/>
      <c r="M2097" s="15"/>
      <c r="N2097" s="15"/>
      <c r="O2097" s="16"/>
      <c r="P2097" s="16"/>
      <c r="Q2097" s="16"/>
      <c r="R2097" s="16"/>
      <c r="S2097" s="37" t="str">
        <f>IFERROR(__xludf.DUMMYFUNCTION("if(not(iserror(index(split(C2097, "" ""),2))), index(split(C2097, "" ""),1),"""")"),"")</f>
        <v/>
      </c>
      <c r="T2097" s="315" t="str">
        <f>IFERROR(__xludf.DUMMYFUNCTION("if(S2097="""",C2097,if(not(iserror(index(split(C2097, "" ""),3))), index(split(C2097, "" ""),3),index(split(C2097, "" ""),2)))"),"")</f>
        <v/>
      </c>
      <c r="U2097" s="38" t="b">
        <f t="shared" si="34"/>
        <v>0</v>
      </c>
      <c r="V2097" s="38"/>
      <c r="W2097" s="40"/>
      <c r="X2097" s="40"/>
      <c r="Y2097" s="38"/>
      <c r="Z2097" s="38"/>
      <c r="AA2097" s="38"/>
      <c r="AB2097" s="38"/>
      <c r="AC2097" s="38"/>
      <c r="AD2097" s="38"/>
      <c r="AE2097" s="38"/>
      <c r="AF2097" s="38"/>
      <c r="AG2097" s="38"/>
      <c r="AH2097" s="38"/>
      <c r="AI2097" s="38"/>
      <c r="AJ2097" s="38"/>
      <c r="AK2097" s="38"/>
      <c r="AL2097" s="38"/>
      <c r="AM2097" s="38"/>
      <c r="AN2097" s="38"/>
      <c r="AO2097" s="38"/>
      <c r="AP2097" s="38"/>
      <c r="AQ2097" s="38"/>
      <c r="AR2097" s="38"/>
      <c r="AS2097" s="38"/>
      <c r="AT2097" s="38"/>
      <c r="AU2097" s="38"/>
      <c r="AV2097" s="38"/>
      <c r="AW2097" s="38"/>
      <c r="AX2097" s="38"/>
      <c r="AY2097" s="38"/>
      <c r="AZ2097" s="38"/>
      <c r="BA2097" s="38"/>
      <c r="BB2097" s="38"/>
      <c r="BC2097" s="38"/>
      <c r="BD2097" s="38"/>
      <c r="BE2097" s="38"/>
      <c r="BF2097" s="38"/>
      <c r="BG2097" s="38"/>
      <c r="BH2097" s="38"/>
      <c r="BI2097" s="38"/>
      <c r="BJ2097" s="38"/>
      <c r="BK2097" s="38"/>
      <c r="BL2097" s="38"/>
      <c r="BM2097" s="38"/>
      <c r="BN2097" s="38"/>
      <c r="BO2097" s="38"/>
      <c r="BP2097" s="38"/>
      <c r="BQ2097" s="38"/>
    </row>
    <row r="2098">
      <c r="A2098" s="16"/>
      <c r="B2098" s="380"/>
      <c r="C2098" s="146"/>
      <c r="D2098" s="146"/>
      <c r="E2098" s="16"/>
      <c r="F2098" s="91"/>
      <c r="G2098" s="16"/>
      <c r="H2098" s="320" t="str">
        <f t="shared" si="33"/>
        <v/>
      </c>
      <c r="I2098" s="16"/>
      <c r="J2098" s="16"/>
      <c r="K2098" s="16"/>
      <c r="L2098" s="16"/>
      <c r="M2098" s="15"/>
      <c r="N2098" s="15"/>
      <c r="O2098" s="16"/>
      <c r="P2098" s="16"/>
      <c r="Q2098" s="16"/>
      <c r="R2098" s="16"/>
      <c r="S2098" s="37" t="str">
        <f>IFERROR(__xludf.DUMMYFUNCTION("if(not(iserror(index(split(C2098, "" ""),2))), index(split(C2098, "" ""),1),"""")"),"")</f>
        <v/>
      </c>
      <c r="T2098" s="315" t="str">
        <f>IFERROR(__xludf.DUMMYFUNCTION("if(S2098="""",C2098,if(not(iserror(index(split(C2098, "" ""),3))), index(split(C2098, "" ""),3),index(split(C2098, "" ""),2)))"),"")</f>
        <v/>
      </c>
      <c r="U2098" s="38" t="b">
        <f t="shared" si="34"/>
        <v>0</v>
      </c>
      <c r="V2098" s="38"/>
      <c r="W2098" s="40"/>
      <c r="X2098" s="40"/>
      <c r="Y2098" s="38"/>
      <c r="Z2098" s="38"/>
      <c r="AA2098" s="38"/>
      <c r="AB2098" s="38"/>
      <c r="AC2098" s="38"/>
      <c r="AD2098" s="38"/>
      <c r="AE2098" s="38"/>
      <c r="AF2098" s="38"/>
      <c r="AG2098" s="38"/>
      <c r="AH2098" s="38"/>
      <c r="AI2098" s="38"/>
      <c r="AJ2098" s="38"/>
      <c r="AK2098" s="38"/>
      <c r="AL2098" s="38"/>
      <c r="AM2098" s="38"/>
      <c r="AN2098" s="38"/>
      <c r="AO2098" s="38"/>
      <c r="AP2098" s="38"/>
      <c r="AQ2098" s="38"/>
      <c r="AR2098" s="38"/>
      <c r="AS2098" s="38"/>
      <c r="AT2098" s="38"/>
      <c r="AU2098" s="38"/>
      <c r="AV2098" s="38"/>
      <c r="AW2098" s="38"/>
      <c r="AX2098" s="38"/>
      <c r="AY2098" s="38"/>
      <c r="AZ2098" s="38"/>
      <c r="BA2098" s="38"/>
      <c r="BB2098" s="38"/>
      <c r="BC2098" s="38"/>
      <c r="BD2098" s="38"/>
      <c r="BE2098" s="38"/>
      <c r="BF2098" s="38"/>
      <c r="BG2098" s="38"/>
      <c r="BH2098" s="38"/>
      <c r="BI2098" s="38"/>
      <c r="BJ2098" s="38"/>
      <c r="BK2098" s="38"/>
      <c r="BL2098" s="38"/>
      <c r="BM2098" s="38"/>
      <c r="BN2098" s="38"/>
      <c r="BO2098" s="38"/>
      <c r="BP2098" s="38"/>
      <c r="BQ2098" s="38"/>
    </row>
    <row r="2099">
      <c r="A2099" s="16"/>
      <c r="B2099" s="380"/>
      <c r="C2099" s="146"/>
      <c r="D2099" s="146"/>
      <c r="E2099" s="16"/>
      <c r="F2099" s="91"/>
      <c r="G2099" s="16"/>
      <c r="H2099" s="320" t="str">
        <f t="shared" si="33"/>
        <v/>
      </c>
      <c r="I2099" s="16"/>
      <c r="J2099" s="16"/>
      <c r="K2099" s="16"/>
      <c r="L2099" s="16"/>
      <c r="M2099" s="15"/>
      <c r="N2099" s="15"/>
      <c r="O2099" s="16"/>
      <c r="P2099" s="16"/>
      <c r="Q2099" s="16"/>
      <c r="R2099" s="16"/>
      <c r="S2099" s="37" t="str">
        <f>IFERROR(__xludf.DUMMYFUNCTION("if(not(iserror(index(split(C2099, "" ""),2))), index(split(C2099, "" ""),1),"""")"),"")</f>
        <v/>
      </c>
      <c r="T2099" s="315" t="str">
        <f>IFERROR(__xludf.DUMMYFUNCTION("if(S2099="""",C2099,if(not(iserror(index(split(C2099, "" ""),3))), index(split(C2099, "" ""),3),index(split(C2099, "" ""),2)))"),"")</f>
        <v/>
      </c>
      <c r="U2099" s="38" t="b">
        <f t="shared" si="34"/>
        <v>0</v>
      </c>
      <c r="V2099" s="38"/>
      <c r="W2099" s="40"/>
      <c r="X2099" s="40"/>
      <c r="Y2099" s="38"/>
      <c r="Z2099" s="38"/>
      <c r="AA2099" s="38"/>
      <c r="AB2099" s="38"/>
      <c r="AC2099" s="38"/>
      <c r="AD2099" s="38"/>
      <c r="AE2099" s="38"/>
      <c r="AF2099" s="38"/>
      <c r="AG2099" s="38"/>
      <c r="AH2099" s="38"/>
      <c r="AI2099" s="38"/>
      <c r="AJ2099" s="38"/>
      <c r="AK2099" s="38"/>
      <c r="AL2099" s="38"/>
      <c r="AM2099" s="38"/>
      <c r="AN2099" s="38"/>
      <c r="AO2099" s="38"/>
      <c r="AP2099" s="38"/>
      <c r="AQ2099" s="38"/>
      <c r="AR2099" s="38"/>
      <c r="AS2099" s="38"/>
      <c r="AT2099" s="38"/>
      <c r="AU2099" s="38"/>
      <c r="AV2099" s="38"/>
      <c r="AW2099" s="38"/>
      <c r="AX2099" s="38"/>
      <c r="AY2099" s="38"/>
      <c r="AZ2099" s="38"/>
      <c r="BA2099" s="38"/>
      <c r="BB2099" s="38"/>
      <c r="BC2099" s="38"/>
      <c r="BD2099" s="38"/>
      <c r="BE2099" s="38"/>
      <c r="BF2099" s="38"/>
      <c r="BG2099" s="38"/>
      <c r="BH2099" s="38"/>
      <c r="BI2099" s="38"/>
      <c r="BJ2099" s="38"/>
      <c r="BK2099" s="38"/>
      <c r="BL2099" s="38"/>
      <c r="BM2099" s="38"/>
      <c r="BN2099" s="38"/>
      <c r="BO2099" s="38"/>
      <c r="BP2099" s="38"/>
      <c r="BQ2099" s="38"/>
    </row>
    <row r="2100">
      <c r="A2100" s="16"/>
      <c r="B2100" s="380"/>
      <c r="C2100" s="146"/>
      <c r="D2100" s="146"/>
      <c r="E2100" s="16"/>
      <c r="F2100" s="91"/>
      <c r="G2100" s="16"/>
      <c r="H2100" s="320" t="str">
        <f t="shared" si="33"/>
        <v/>
      </c>
      <c r="I2100" s="16"/>
      <c r="J2100" s="16"/>
      <c r="K2100" s="16"/>
      <c r="L2100" s="16"/>
      <c r="M2100" s="15"/>
      <c r="N2100" s="15"/>
      <c r="O2100" s="16"/>
      <c r="P2100" s="16"/>
      <c r="Q2100" s="16"/>
      <c r="R2100" s="16"/>
      <c r="S2100" s="37" t="str">
        <f>IFERROR(__xludf.DUMMYFUNCTION("if(not(iserror(index(split(C2100, "" ""),2))), index(split(C2100, "" ""),1),"""")"),"")</f>
        <v/>
      </c>
      <c r="T2100" s="315" t="str">
        <f>IFERROR(__xludf.DUMMYFUNCTION("if(S2100="""",C2100,if(not(iserror(index(split(C2100, "" ""),3))), index(split(C2100, "" ""),3),index(split(C2100, "" ""),2)))"),"")</f>
        <v/>
      </c>
      <c r="U2100" s="38" t="b">
        <f t="shared" si="34"/>
        <v>0</v>
      </c>
      <c r="V2100" s="38"/>
      <c r="W2100" s="40"/>
      <c r="X2100" s="40"/>
      <c r="Y2100" s="38"/>
      <c r="Z2100" s="38"/>
      <c r="AA2100" s="38"/>
      <c r="AB2100" s="38"/>
      <c r="AC2100" s="38"/>
      <c r="AD2100" s="38"/>
      <c r="AE2100" s="38"/>
      <c r="AF2100" s="38"/>
      <c r="AG2100" s="38"/>
      <c r="AH2100" s="38"/>
      <c r="AI2100" s="38"/>
      <c r="AJ2100" s="38"/>
      <c r="AK2100" s="38"/>
      <c r="AL2100" s="38"/>
      <c r="AM2100" s="38"/>
      <c r="AN2100" s="38"/>
      <c r="AO2100" s="38"/>
      <c r="AP2100" s="38"/>
      <c r="AQ2100" s="38"/>
      <c r="AR2100" s="38"/>
      <c r="AS2100" s="38"/>
      <c r="AT2100" s="38"/>
      <c r="AU2100" s="38"/>
      <c r="AV2100" s="38"/>
      <c r="AW2100" s="38"/>
      <c r="AX2100" s="38"/>
      <c r="AY2100" s="38"/>
      <c r="AZ2100" s="38"/>
      <c r="BA2100" s="38"/>
      <c r="BB2100" s="38"/>
      <c r="BC2100" s="38"/>
      <c r="BD2100" s="38"/>
      <c r="BE2100" s="38"/>
      <c r="BF2100" s="38"/>
      <c r="BG2100" s="38"/>
      <c r="BH2100" s="38"/>
      <c r="BI2100" s="38"/>
      <c r="BJ2100" s="38"/>
      <c r="BK2100" s="38"/>
      <c r="BL2100" s="38"/>
      <c r="BM2100" s="38"/>
      <c r="BN2100" s="38"/>
      <c r="BO2100" s="38"/>
      <c r="BP2100" s="38"/>
      <c r="BQ2100" s="38"/>
    </row>
    <row r="2101">
      <c r="A2101" s="16"/>
      <c r="B2101" s="380"/>
      <c r="C2101" s="146"/>
      <c r="D2101" s="146"/>
      <c r="E2101" s="16"/>
      <c r="F2101" s="91"/>
      <c r="G2101" s="16"/>
      <c r="H2101" s="320" t="str">
        <f t="shared" si="33"/>
        <v/>
      </c>
      <c r="I2101" s="16"/>
      <c r="J2101" s="16"/>
      <c r="K2101" s="16"/>
      <c r="L2101" s="16"/>
      <c r="M2101" s="15"/>
      <c r="N2101" s="15"/>
      <c r="O2101" s="16"/>
      <c r="P2101" s="16"/>
      <c r="Q2101" s="16"/>
      <c r="R2101" s="16"/>
      <c r="S2101" s="37" t="str">
        <f>IFERROR(__xludf.DUMMYFUNCTION("if(not(iserror(index(split(C2101, "" ""),2))), index(split(C2101, "" ""),1),"""")"),"")</f>
        <v/>
      </c>
      <c r="T2101" s="315" t="str">
        <f>IFERROR(__xludf.DUMMYFUNCTION("if(S2101="""",C2101,if(not(iserror(index(split(C2101, "" ""),3))), index(split(C2101, "" ""),3),index(split(C2101, "" ""),2)))"),"")</f>
        <v/>
      </c>
      <c r="U2101" s="38" t="b">
        <f t="shared" si="34"/>
        <v>0</v>
      </c>
      <c r="V2101" s="38"/>
      <c r="W2101" s="40"/>
      <c r="X2101" s="40"/>
      <c r="Y2101" s="38"/>
      <c r="Z2101" s="38"/>
      <c r="AA2101" s="38"/>
      <c r="AB2101" s="38"/>
      <c r="AC2101" s="38"/>
      <c r="AD2101" s="38"/>
      <c r="AE2101" s="38"/>
      <c r="AF2101" s="38"/>
      <c r="AG2101" s="38"/>
      <c r="AH2101" s="38"/>
      <c r="AI2101" s="38"/>
      <c r="AJ2101" s="38"/>
      <c r="AK2101" s="38"/>
      <c r="AL2101" s="38"/>
      <c r="AM2101" s="38"/>
      <c r="AN2101" s="38"/>
      <c r="AO2101" s="38"/>
      <c r="AP2101" s="38"/>
      <c r="AQ2101" s="38"/>
      <c r="AR2101" s="38"/>
      <c r="AS2101" s="38"/>
      <c r="AT2101" s="38"/>
      <c r="AU2101" s="38"/>
      <c r="AV2101" s="38"/>
      <c r="AW2101" s="38"/>
      <c r="AX2101" s="38"/>
      <c r="AY2101" s="38"/>
      <c r="AZ2101" s="38"/>
      <c r="BA2101" s="38"/>
      <c r="BB2101" s="38"/>
      <c r="BC2101" s="38"/>
      <c r="BD2101" s="38"/>
      <c r="BE2101" s="38"/>
      <c r="BF2101" s="38"/>
      <c r="BG2101" s="38"/>
      <c r="BH2101" s="38"/>
      <c r="BI2101" s="38"/>
      <c r="BJ2101" s="38"/>
      <c r="BK2101" s="38"/>
      <c r="BL2101" s="38"/>
      <c r="BM2101" s="38"/>
      <c r="BN2101" s="38"/>
      <c r="BO2101" s="38"/>
      <c r="BP2101" s="38"/>
      <c r="BQ2101" s="38"/>
    </row>
    <row r="2102">
      <c r="A2102" s="16"/>
      <c r="B2102" s="16"/>
      <c r="C2102" s="146"/>
      <c r="D2102" s="146"/>
      <c r="E2102" s="16"/>
      <c r="F2102" s="91"/>
      <c r="G2102" s="16"/>
      <c r="H2102" s="320" t="str">
        <f t="shared" si="33"/>
        <v/>
      </c>
      <c r="I2102" s="16"/>
      <c r="J2102" s="16"/>
      <c r="K2102" s="16"/>
      <c r="L2102" s="16"/>
      <c r="M2102" s="15"/>
      <c r="N2102" s="15"/>
      <c r="O2102" s="16"/>
      <c r="P2102" s="16"/>
      <c r="Q2102" s="16"/>
      <c r="R2102" s="16"/>
      <c r="S2102" s="37" t="str">
        <f>IFERROR(__xludf.DUMMYFUNCTION("if(not(iserror(index(split(C2102, "" ""),2))), index(split(C2102, "" ""),1),"""")"),"")</f>
        <v/>
      </c>
      <c r="T2102" s="315" t="str">
        <f>IFERROR(__xludf.DUMMYFUNCTION("if(S2102="""",C2102,if(not(iserror(index(split(C2102, "" ""),3))), index(split(C2102, "" ""),3),index(split(C2102, "" ""),2)))"),"")</f>
        <v/>
      </c>
      <c r="U2102" s="38" t="b">
        <f t="shared" si="34"/>
        <v>0</v>
      </c>
      <c r="V2102" s="38"/>
      <c r="W2102" s="40"/>
      <c r="X2102" s="40"/>
      <c r="Y2102" s="38"/>
      <c r="Z2102" s="38"/>
      <c r="AA2102" s="38"/>
      <c r="AB2102" s="38"/>
      <c r="AC2102" s="38"/>
      <c r="AD2102" s="38"/>
      <c r="AE2102" s="38"/>
      <c r="AF2102" s="38"/>
      <c r="AG2102" s="38"/>
      <c r="AH2102" s="38"/>
      <c r="AI2102" s="38"/>
      <c r="AJ2102" s="38"/>
      <c r="AK2102" s="38"/>
      <c r="AL2102" s="38"/>
      <c r="AM2102" s="38"/>
      <c r="AN2102" s="38"/>
      <c r="AO2102" s="38"/>
      <c r="AP2102" s="38"/>
      <c r="AQ2102" s="38"/>
      <c r="AR2102" s="38"/>
      <c r="AS2102" s="38"/>
      <c r="AT2102" s="38"/>
      <c r="AU2102" s="38"/>
      <c r="AV2102" s="38"/>
      <c r="AW2102" s="38"/>
      <c r="AX2102" s="38"/>
      <c r="AY2102" s="38"/>
      <c r="AZ2102" s="38"/>
      <c r="BA2102" s="38"/>
      <c r="BB2102" s="38"/>
      <c r="BC2102" s="38"/>
      <c r="BD2102" s="38"/>
      <c r="BE2102" s="38"/>
      <c r="BF2102" s="38"/>
      <c r="BG2102" s="38"/>
      <c r="BH2102" s="38"/>
      <c r="BI2102" s="38"/>
      <c r="BJ2102" s="38"/>
      <c r="BK2102" s="38"/>
      <c r="BL2102" s="38"/>
      <c r="BM2102" s="38"/>
      <c r="BN2102" s="38"/>
      <c r="BO2102" s="38"/>
      <c r="BP2102" s="38"/>
      <c r="BQ2102" s="38"/>
    </row>
    <row r="2103">
      <c r="A2103" s="16"/>
      <c r="B2103" s="16"/>
      <c r="C2103" s="146"/>
      <c r="D2103" s="146"/>
      <c r="E2103" s="16"/>
      <c r="F2103" s="91"/>
      <c r="G2103" s="16"/>
      <c r="H2103" s="320" t="str">
        <f t="shared" si="33"/>
        <v/>
      </c>
      <c r="I2103" s="16"/>
      <c r="J2103" s="16"/>
      <c r="K2103" s="16"/>
      <c r="L2103" s="16"/>
      <c r="M2103" s="15"/>
      <c r="N2103" s="15"/>
      <c r="O2103" s="16"/>
      <c r="P2103" s="16"/>
      <c r="Q2103" s="16"/>
      <c r="R2103" s="16"/>
      <c r="S2103" s="37" t="str">
        <f>IFERROR(__xludf.DUMMYFUNCTION("if(not(iserror(index(split(C2103, "" ""),2))), index(split(C2103, "" ""),1),"""")"),"")</f>
        <v/>
      </c>
      <c r="T2103" s="315" t="str">
        <f>IFERROR(__xludf.DUMMYFUNCTION("if(S2103="""",C2103,if(not(iserror(index(split(C2103, "" ""),3))), index(split(C2103, "" ""),3),index(split(C2103, "" ""),2)))"),"")</f>
        <v/>
      </c>
      <c r="U2103" s="38" t="b">
        <f t="shared" si="34"/>
        <v>0</v>
      </c>
      <c r="V2103" s="38"/>
      <c r="W2103" s="40"/>
      <c r="X2103" s="40"/>
      <c r="Y2103" s="38"/>
      <c r="Z2103" s="38"/>
      <c r="AA2103" s="38"/>
      <c r="AB2103" s="38"/>
      <c r="AC2103" s="38"/>
      <c r="AD2103" s="38"/>
      <c r="AE2103" s="38"/>
      <c r="AF2103" s="38"/>
      <c r="AG2103" s="38"/>
      <c r="AH2103" s="38"/>
      <c r="AI2103" s="38"/>
      <c r="AJ2103" s="38"/>
      <c r="AK2103" s="38"/>
      <c r="AL2103" s="38"/>
      <c r="AM2103" s="38"/>
      <c r="AN2103" s="38"/>
      <c r="AO2103" s="38"/>
      <c r="AP2103" s="38"/>
      <c r="AQ2103" s="38"/>
      <c r="AR2103" s="38"/>
      <c r="AS2103" s="38"/>
      <c r="AT2103" s="38"/>
      <c r="AU2103" s="38"/>
      <c r="AV2103" s="38"/>
      <c r="AW2103" s="38"/>
      <c r="AX2103" s="38"/>
      <c r="AY2103" s="38"/>
      <c r="AZ2103" s="38"/>
      <c r="BA2103" s="38"/>
      <c r="BB2103" s="38"/>
      <c r="BC2103" s="38"/>
      <c r="BD2103" s="38"/>
      <c r="BE2103" s="38"/>
      <c r="BF2103" s="38"/>
      <c r="BG2103" s="38"/>
      <c r="BH2103" s="38"/>
      <c r="BI2103" s="38"/>
      <c r="BJ2103" s="38"/>
      <c r="BK2103" s="38"/>
      <c r="BL2103" s="38"/>
      <c r="BM2103" s="38"/>
      <c r="BN2103" s="38"/>
      <c r="BO2103" s="38"/>
      <c r="BP2103" s="38"/>
      <c r="BQ2103" s="38"/>
    </row>
    <row r="2104">
      <c r="A2104" s="16"/>
      <c r="B2104" s="16"/>
      <c r="C2104" s="146"/>
      <c r="D2104" s="146"/>
      <c r="E2104" s="16"/>
      <c r="F2104" s="91"/>
      <c r="G2104" s="16"/>
      <c r="H2104" s="320" t="str">
        <f t="shared" si="33"/>
        <v/>
      </c>
      <c r="I2104" s="16"/>
      <c r="J2104" s="16"/>
      <c r="K2104" s="16"/>
      <c r="L2104" s="16"/>
      <c r="M2104" s="15"/>
      <c r="N2104" s="15"/>
      <c r="O2104" s="16"/>
      <c r="P2104" s="16"/>
      <c r="Q2104" s="16"/>
      <c r="R2104" s="16"/>
      <c r="S2104" s="37" t="str">
        <f>IFERROR(__xludf.DUMMYFUNCTION("if(not(iserror(index(split(C2104, "" ""),2))), index(split(C2104, "" ""),1),"""")"),"")</f>
        <v/>
      </c>
      <c r="T2104" s="315" t="str">
        <f>IFERROR(__xludf.DUMMYFUNCTION("if(S2104="""",C2104,if(not(iserror(index(split(C2104, "" ""),3))), index(split(C2104, "" ""),3),index(split(C2104, "" ""),2)))"),"")</f>
        <v/>
      </c>
      <c r="U2104" s="38" t="b">
        <f t="shared" si="34"/>
        <v>0</v>
      </c>
      <c r="V2104" s="38"/>
      <c r="W2104" s="40"/>
      <c r="X2104" s="40"/>
      <c r="Y2104" s="38"/>
      <c r="Z2104" s="38"/>
      <c r="AA2104" s="38"/>
      <c r="AB2104" s="38"/>
      <c r="AC2104" s="38"/>
      <c r="AD2104" s="38"/>
      <c r="AE2104" s="38"/>
      <c r="AF2104" s="38"/>
      <c r="AG2104" s="38"/>
      <c r="AH2104" s="38"/>
      <c r="AI2104" s="38"/>
      <c r="AJ2104" s="38"/>
      <c r="AK2104" s="38"/>
      <c r="AL2104" s="38"/>
      <c r="AM2104" s="38"/>
      <c r="AN2104" s="38"/>
      <c r="AO2104" s="38"/>
      <c r="AP2104" s="38"/>
      <c r="AQ2104" s="38"/>
      <c r="AR2104" s="38"/>
      <c r="AS2104" s="38"/>
      <c r="AT2104" s="38"/>
      <c r="AU2104" s="38"/>
      <c r="AV2104" s="38"/>
      <c r="AW2104" s="38"/>
      <c r="AX2104" s="38"/>
      <c r="AY2104" s="38"/>
      <c r="AZ2104" s="38"/>
      <c r="BA2104" s="38"/>
      <c r="BB2104" s="38"/>
      <c r="BC2104" s="38"/>
      <c r="BD2104" s="38"/>
      <c r="BE2104" s="38"/>
      <c r="BF2104" s="38"/>
      <c r="BG2104" s="38"/>
      <c r="BH2104" s="38"/>
      <c r="BI2104" s="38"/>
      <c r="BJ2104" s="38"/>
      <c r="BK2104" s="38"/>
      <c r="BL2104" s="38"/>
      <c r="BM2104" s="38"/>
      <c r="BN2104" s="38"/>
      <c r="BO2104" s="38"/>
      <c r="BP2104" s="38"/>
      <c r="BQ2104" s="38"/>
    </row>
    <row r="2105">
      <c r="A2105" s="16"/>
      <c r="B2105" s="16"/>
      <c r="C2105" s="146"/>
      <c r="D2105" s="146"/>
      <c r="E2105" s="16"/>
      <c r="F2105" s="91"/>
      <c r="G2105" s="16"/>
      <c r="H2105" s="320" t="str">
        <f t="shared" si="33"/>
        <v/>
      </c>
      <c r="I2105" s="16"/>
      <c r="J2105" s="16"/>
      <c r="K2105" s="16"/>
      <c r="L2105" s="16"/>
      <c r="M2105" s="15"/>
      <c r="N2105" s="15"/>
      <c r="O2105" s="16"/>
      <c r="P2105" s="16"/>
      <c r="Q2105" s="16"/>
      <c r="R2105" s="16"/>
      <c r="S2105" s="37" t="str">
        <f>IFERROR(__xludf.DUMMYFUNCTION("if(not(iserror(index(split(C2105, "" ""),2))), index(split(C2105, "" ""),1),"""")"),"")</f>
        <v/>
      </c>
      <c r="T2105" s="315" t="str">
        <f>IFERROR(__xludf.DUMMYFUNCTION("if(S2105="""",C2105,if(not(iserror(index(split(C2105, "" ""),3))), index(split(C2105, "" ""),3),index(split(C2105, "" ""),2)))"),"")</f>
        <v/>
      </c>
      <c r="U2105" s="38" t="b">
        <f t="shared" si="34"/>
        <v>0</v>
      </c>
      <c r="V2105" s="38"/>
      <c r="W2105" s="40"/>
      <c r="X2105" s="40"/>
      <c r="Y2105" s="38"/>
      <c r="Z2105" s="38"/>
      <c r="AA2105" s="38"/>
      <c r="AB2105" s="38"/>
      <c r="AC2105" s="38"/>
      <c r="AD2105" s="38"/>
      <c r="AE2105" s="38"/>
      <c r="AF2105" s="38"/>
      <c r="AG2105" s="38"/>
      <c r="AH2105" s="38"/>
      <c r="AI2105" s="38"/>
      <c r="AJ2105" s="38"/>
      <c r="AK2105" s="38"/>
      <c r="AL2105" s="38"/>
      <c r="AM2105" s="38"/>
      <c r="AN2105" s="38"/>
      <c r="AO2105" s="38"/>
      <c r="AP2105" s="38"/>
      <c r="AQ2105" s="38"/>
      <c r="AR2105" s="38"/>
      <c r="AS2105" s="38"/>
      <c r="AT2105" s="38"/>
      <c r="AU2105" s="38"/>
      <c r="AV2105" s="38"/>
      <c r="AW2105" s="38"/>
      <c r="AX2105" s="38"/>
      <c r="AY2105" s="38"/>
      <c r="AZ2105" s="38"/>
      <c r="BA2105" s="38"/>
      <c r="BB2105" s="38"/>
      <c r="BC2105" s="38"/>
      <c r="BD2105" s="38"/>
      <c r="BE2105" s="38"/>
      <c r="BF2105" s="38"/>
      <c r="BG2105" s="38"/>
      <c r="BH2105" s="38"/>
      <c r="BI2105" s="38"/>
      <c r="BJ2105" s="38"/>
      <c r="BK2105" s="38"/>
      <c r="BL2105" s="38"/>
      <c r="BM2105" s="38"/>
      <c r="BN2105" s="38"/>
      <c r="BO2105" s="38"/>
      <c r="BP2105" s="38"/>
      <c r="BQ2105" s="38"/>
    </row>
    <row r="2106">
      <c r="A2106" s="16"/>
      <c r="B2106" s="16"/>
      <c r="C2106" s="146"/>
      <c r="D2106" s="146"/>
      <c r="E2106" s="16"/>
      <c r="F2106" s="91"/>
      <c r="G2106" s="16"/>
      <c r="H2106" s="320" t="str">
        <f t="shared" si="33"/>
        <v/>
      </c>
      <c r="I2106" s="16"/>
      <c r="J2106" s="16"/>
      <c r="K2106" s="16"/>
      <c r="L2106" s="16"/>
      <c r="M2106" s="15"/>
      <c r="N2106" s="15"/>
      <c r="O2106" s="16"/>
      <c r="P2106" s="16"/>
      <c r="Q2106" s="16"/>
      <c r="R2106" s="16"/>
      <c r="S2106" s="37" t="str">
        <f>IFERROR(__xludf.DUMMYFUNCTION("if(not(iserror(index(split(C2106, "" ""),2))), index(split(C2106, "" ""),1),"""")"),"")</f>
        <v/>
      </c>
      <c r="T2106" s="315" t="str">
        <f>IFERROR(__xludf.DUMMYFUNCTION("if(S2106="""",C2106,if(not(iserror(index(split(C2106, "" ""),3))), index(split(C2106, "" ""),3),index(split(C2106, "" ""),2)))"),"")</f>
        <v/>
      </c>
      <c r="U2106" s="38" t="b">
        <f t="shared" si="34"/>
        <v>0</v>
      </c>
      <c r="V2106" s="38"/>
      <c r="W2106" s="40"/>
      <c r="X2106" s="40"/>
      <c r="Y2106" s="38"/>
      <c r="Z2106" s="38"/>
      <c r="AA2106" s="38"/>
      <c r="AB2106" s="38"/>
      <c r="AC2106" s="38"/>
      <c r="AD2106" s="38"/>
      <c r="AE2106" s="38"/>
      <c r="AF2106" s="38"/>
      <c r="AG2106" s="38"/>
      <c r="AH2106" s="38"/>
      <c r="AI2106" s="38"/>
      <c r="AJ2106" s="38"/>
      <c r="AK2106" s="38"/>
      <c r="AL2106" s="38"/>
      <c r="AM2106" s="38"/>
      <c r="AN2106" s="38"/>
      <c r="AO2106" s="38"/>
      <c r="AP2106" s="38"/>
      <c r="AQ2106" s="38"/>
      <c r="AR2106" s="38"/>
      <c r="AS2106" s="38"/>
      <c r="AT2106" s="38"/>
      <c r="AU2106" s="38"/>
      <c r="AV2106" s="38"/>
      <c r="AW2106" s="38"/>
      <c r="AX2106" s="38"/>
      <c r="AY2106" s="38"/>
      <c r="AZ2106" s="38"/>
      <c r="BA2106" s="38"/>
      <c r="BB2106" s="38"/>
      <c r="BC2106" s="38"/>
      <c r="BD2106" s="38"/>
      <c r="BE2106" s="38"/>
      <c r="BF2106" s="38"/>
      <c r="BG2106" s="38"/>
      <c r="BH2106" s="38"/>
      <c r="BI2106" s="38"/>
      <c r="BJ2106" s="38"/>
      <c r="BK2106" s="38"/>
      <c r="BL2106" s="38"/>
      <c r="BM2106" s="38"/>
      <c r="BN2106" s="38"/>
      <c r="BO2106" s="38"/>
      <c r="BP2106" s="38"/>
      <c r="BQ2106" s="38"/>
    </row>
    <row r="2107">
      <c r="A2107" s="16"/>
      <c r="B2107" s="16"/>
      <c r="C2107" s="146"/>
      <c r="D2107" s="146"/>
      <c r="E2107" s="16"/>
      <c r="F2107" s="91"/>
      <c r="G2107" s="16"/>
      <c r="H2107" s="320" t="str">
        <f t="shared" si="33"/>
        <v/>
      </c>
      <c r="I2107" s="16"/>
      <c r="J2107" s="16"/>
      <c r="K2107" s="16"/>
      <c r="L2107" s="16"/>
      <c r="M2107" s="15"/>
      <c r="N2107" s="15"/>
      <c r="O2107" s="16"/>
      <c r="P2107" s="16"/>
      <c r="Q2107" s="16"/>
      <c r="R2107" s="16"/>
      <c r="S2107" s="37" t="str">
        <f>IFERROR(__xludf.DUMMYFUNCTION("if(not(iserror(index(split(C2107, "" ""),2))), index(split(C2107, "" ""),1),"""")"),"")</f>
        <v/>
      </c>
      <c r="T2107" s="315" t="str">
        <f>IFERROR(__xludf.DUMMYFUNCTION("if(S2107="""",C2107,if(not(iserror(index(split(C2107, "" ""),3))), index(split(C2107, "" ""),3),index(split(C2107, "" ""),2)))"),"")</f>
        <v/>
      </c>
      <c r="U2107" s="38" t="b">
        <f t="shared" si="34"/>
        <v>0</v>
      </c>
      <c r="V2107" s="38"/>
      <c r="W2107" s="40"/>
      <c r="X2107" s="40"/>
      <c r="Y2107" s="38"/>
      <c r="Z2107" s="38"/>
      <c r="AA2107" s="38"/>
      <c r="AB2107" s="38"/>
      <c r="AC2107" s="38"/>
      <c r="AD2107" s="38"/>
      <c r="AE2107" s="38"/>
      <c r="AF2107" s="38"/>
      <c r="AG2107" s="38"/>
      <c r="AH2107" s="38"/>
      <c r="AI2107" s="38"/>
      <c r="AJ2107" s="38"/>
      <c r="AK2107" s="38"/>
      <c r="AL2107" s="38"/>
      <c r="AM2107" s="38"/>
      <c r="AN2107" s="38"/>
      <c r="AO2107" s="38"/>
      <c r="AP2107" s="38"/>
      <c r="AQ2107" s="38"/>
      <c r="AR2107" s="38"/>
      <c r="AS2107" s="38"/>
      <c r="AT2107" s="38"/>
      <c r="AU2107" s="38"/>
      <c r="AV2107" s="38"/>
      <c r="AW2107" s="38"/>
      <c r="AX2107" s="38"/>
      <c r="AY2107" s="38"/>
      <c r="AZ2107" s="38"/>
      <c r="BA2107" s="38"/>
      <c r="BB2107" s="38"/>
      <c r="BC2107" s="38"/>
      <c r="BD2107" s="38"/>
      <c r="BE2107" s="38"/>
      <c r="BF2107" s="38"/>
      <c r="BG2107" s="38"/>
      <c r="BH2107" s="38"/>
      <c r="BI2107" s="38"/>
      <c r="BJ2107" s="38"/>
      <c r="BK2107" s="38"/>
      <c r="BL2107" s="38"/>
      <c r="BM2107" s="38"/>
      <c r="BN2107" s="38"/>
      <c r="BO2107" s="38"/>
      <c r="BP2107" s="38"/>
      <c r="BQ2107" s="38"/>
    </row>
    <row r="2108">
      <c r="A2108" s="16"/>
      <c r="B2108" s="16"/>
      <c r="C2108" s="146"/>
      <c r="D2108" s="146"/>
      <c r="E2108" s="16"/>
      <c r="F2108" s="91"/>
      <c r="G2108" s="16"/>
      <c r="H2108" s="320" t="str">
        <f t="shared" si="33"/>
        <v/>
      </c>
      <c r="I2108" s="16"/>
      <c r="J2108" s="16"/>
      <c r="K2108" s="16"/>
      <c r="L2108" s="16"/>
      <c r="M2108" s="15"/>
      <c r="N2108" s="15"/>
      <c r="O2108" s="16"/>
      <c r="P2108" s="16"/>
      <c r="Q2108" s="16"/>
      <c r="R2108" s="16"/>
      <c r="S2108" s="37" t="str">
        <f>IFERROR(__xludf.DUMMYFUNCTION("if(not(iserror(index(split(C2108, "" ""),2))), index(split(C2108, "" ""),1),"""")"),"")</f>
        <v/>
      </c>
      <c r="T2108" s="315" t="str">
        <f>IFERROR(__xludf.DUMMYFUNCTION("if(S2108="""",C2108,if(not(iserror(index(split(C2108, "" ""),3))), index(split(C2108, "" ""),3),index(split(C2108, "" ""),2)))"),"")</f>
        <v/>
      </c>
      <c r="U2108" s="38" t="b">
        <f t="shared" si="34"/>
        <v>0</v>
      </c>
      <c r="V2108" s="38"/>
      <c r="W2108" s="40"/>
      <c r="X2108" s="40"/>
      <c r="Y2108" s="38"/>
      <c r="Z2108" s="38"/>
      <c r="AA2108" s="38"/>
      <c r="AB2108" s="38"/>
      <c r="AC2108" s="38"/>
      <c r="AD2108" s="38"/>
      <c r="AE2108" s="38"/>
      <c r="AF2108" s="38"/>
      <c r="AG2108" s="38"/>
      <c r="AH2108" s="38"/>
      <c r="AI2108" s="38"/>
      <c r="AJ2108" s="38"/>
      <c r="AK2108" s="38"/>
      <c r="AL2108" s="38"/>
      <c r="AM2108" s="38"/>
      <c r="AN2108" s="38"/>
      <c r="AO2108" s="38"/>
      <c r="AP2108" s="38"/>
      <c r="AQ2108" s="38"/>
      <c r="AR2108" s="38"/>
      <c r="AS2108" s="38"/>
      <c r="AT2108" s="38"/>
      <c r="AU2108" s="38"/>
      <c r="AV2108" s="38"/>
      <c r="AW2108" s="38"/>
      <c r="AX2108" s="38"/>
      <c r="AY2108" s="38"/>
      <c r="AZ2108" s="38"/>
      <c r="BA2108" s="38"/>
      <c r="BB2108" s="38"/>
      <c r="BC2108" s="38"/>
      <c r="BD2108" s="38"/>
      <c r="BE2108" s="38"/>
      <c r="BF2108" s="38"/>
      <c r="BG2108" s="38"/>
      <c r="BH2108" s="38"/>
      <c r="BI2108" s="38"/>
      <c r="BJ2108" s="38"/>
      <c r="BK2108" s="38"/>
      <c r="BL2108" s="38"/>
      <c r="BM2108" s="38"/>
      <c r="BN2108" s="38"/>
      <c r="BO2108" s="38"/>
      <c r="BP2108" s="38"/>
      <c r="BQ2108" s="38"/>
    </row>
    <row r="2109">
      <c r="A2109" s="16"/>
      <c r="B2109" s="16"/>
      <c r="C2109" s="146"/>
      <c r="D2109" s="146"/>
      <c r="E2109" s="16"/>
      <c r="F2109" s="91"/>
      <c r="G2109" s="16"/>
      <c r="H2109" s="320" t="str">
        <f t="shared" si="33"/>
        <v/>
      </c>
      <c r="I2109" s="16"/>
      <c r="J2109" s="16"/>
      <c r="K2109" s="16"/>
      <c r="L2109" s="16"/>
      <c r="M2109" s="15"/>
      <c r="N2109" s="15"/>
      <c r="O2109" s="16"/>
      <c r="P2109" s="16"/>
      <c r="Q2109" s="16"/>
      <c r="R2109" s="16"/>
      <c r="S2109" s="37" t="str">
        <f>IFERROR(__xludf.DUMMYFUNCTION("if(not(iserror(index(split(C2109, "" ""),2))), index(split(C2109, "" ""),1),"""")"),"")</f>
        <v/>
      </c>
      <c r="T2109" s="315" t="str">
        <f>IFERROR(__xludf.DUMMYFUNCTION("if(S2109="""",C2109,if(not(iserror(index(split(C2109, "" ""),3))), index(split(C2109, "" ""),3),index(split(C2109, "" ""),2)))"),"")</f>
        <v/>
      </c>
      <c r="U2109" s="38" t="b">
        <f t="shared" si="34"/>
        <v>0</v>
      </c>
      <c r="V2109" s="38"/>
      <c r="W2109" s="40"/>
      <c r="X2109" s="40"/>
      <c r="Y2109" s="38"/>
      <c r="Z2109" s="38"/>
      <c r="AA2109" s="38"/>
      <c r="AB2109" s="38"/>
      <c r="AC2109" s="38"/>
      <c r="AD2109" s="38"/>
      <c r="AE2109" s="38"/>
      <c r="AF2109" s="38"/>
      <c r="AG2109" s="38"/>
      <c r="AH2109" s="38"/>
      <c r="AI2109" s="38"/>
      <c r="AJ2109" s="38"/>
      <c r="AK2109" s="38"/>
      <c r="AL2109" s="38"/>
      <c r="AM2109" s="38"/>
      <c r="AN2109" s="38"/>
      <c r="AO2109" s="38"/>
      <c r="AP2109" s="38"/>
      <c r="AQ2109" s="38"/>
      <c r="AR2109" s="38"/>
      <c r="AS2109" s="38"/>
      <c r="AT2109" s="38"/>
      <c r="AU2109" s="38"/>
      <c r="AV2109" s="38"/>
      <c r="AW2109" s="38"/>
      <c r="AX2109" s="38"/>
      <c r="AY2109" s="38"/>
      <c r="AZ2109" s="38"/>
      <c r="BA2109" s="38"/>
      <c r="BB2109" s="38"/>
      <c r="BC2109" s="38"/>
      <c r="BD2109" s="38"/>
      <c r="BE2109" s="38"/>
      <c r="BF2109" s="38"/>
      <c r="BG2109" s="38"/>
      <c r="BH2109" s="38"/>
      <c r="BI2109" s="38"/>
      <c r="BJ2109" s="38"/>
      <c r="BK2109" s="38"/>
      <c r="BL2109" s="38"/>
      <c r="BM2109" s="38"/>
      <c r="BN2109" s="38"/>
      <c r="BO2109" s="38"/>
      <c r="BP2109" s="38"/>
      <c r="BQ2109" s="38"/>
    </row>
    <row r="2110">
      <c r="A2110" s="16"/>
      <c r="B2110" s="16"/>
      <c r="C2110" s="146"/>
      <c r="D2110" s="146"/>
      <c r="E2110" s="16"/>
      <c r="F2110" s="91"/>
      <c r="G2110" s="16"/>
      <c r="H2110" s="320" t="str">
        <f t="shared" si="33"/>
        <v/>
      </c>
      <c r="I2110" s="16"/>
      <c r="J2110" s="16"/>
      <c r="K2110" s="16"/>
      <c r="L2110" s="16"/>
      <c r="M2110" s="15"/>
      <c r="N2110" s="15"/>
      <c r="O2110" s="16"/>
      <c r="P2110" s="16"/>
      <c r="Q2110" s="16"/>
      <c r="R2110" s="16"/>
      <c r="S2110" s="37" t="str">
        <f>IFERROR(__xludf.DUMMYFUNCTION("if(not(iserror(index(split(C2110, "" ""),2))), index(split(C2110, "" ""),1),"""")"),"")</f>
        <v/>
      </c>
      <c r="T2110" s="315" t="str">
        <f>IFERROR(__xludf.DUMMYFUNCTION("if(S2110="""",C2110,if(not(iserror(index(split(C2110, "" ""),3))), index(split(C2110, "" ""),3),index(split(C2110, "" ""),2)))"),"")</f>
        <v/>
      </c>
      <c r="U2110" s="38" t="b">
        <f t="shared" si="34"/>
        <v>0</v>
      </c>
      <c r="V2110" s="38"/>
      <c r="W2110" s="40"/>
      <c r="X2110" s="40"/>
      <c r="Y2110" s="38"/>
      <c r="Z2110" s="38"/>
      <c r="AA2110" s="38"/>
      <c r="AB2110" s="38"/>
      <c r="AC2110" s="38"/>
      <c r="AD2110" s="38"/>
      <c r="AE2110" s="38"/>
      <c r="AF2110" s="38"/>
      <c r="AG2110" s="38"/>
      <c r="AH2110" s="38"/>
      <c r="AI2110" s="38"/>
      <c r="AJ2110" s="38"/>
      <c r="AK2110" s="38"/>
      <c r="AL2110" s="38"/>
      <c r="AM2110" s="38"/>
      <c r="AN2110" s="38"/>
      <c r="AO2110" s="38"/>
      <c r="AP2110" s="38"/>
      <c r="AQ2110" s="38"/>
      <c r="AR2110" s="38"/>
      <c r="AS2110" s="38"/>
      <c r="AT2110" s="38"/>
      <c r="AU2110" s="38"/>
      <c r="AV2110" s="38"/>
      <c r="AW2110" s="38"/>
      <c r="AX2110" s="38"/>
      <c r="AY2110" s="38"/>
      <c r="AZ2110" s="38"/>
      <c r="BA2110" s="38"/>
      <c r="BB2110" s="38"/>
      <c r="BC2110" s="38"/>
      <c r="BD2110" s="38"/>
      <c r="BE2110" s="38"/>
      <c r="BF2110" s="38"/>
      <c r="BG2110" s="38"/>
      <c r="BH2110" s="38"/>
      <c r="BI2110" s="38"/>
      <c r="BJ2110" s="38"/>
      <c r="BK2110" s="38"/>
      <c r="BL2110" s="38"/>
      <c r="BM2110" s="38"/>
      <c r="BN2110" s="38"/>
      <c r="BO2110" s="38"/>
      <c r="BP2110" s="38"/>
      <c r="BQ2110" s="38"/>
    </row>
    <row r="2111">
      <c r="A2111" s="16"/>
      <c r="B2111" s="16"/>
      <c r="C2111" s="146"/>
      <c r="D2111" s="146"/>
      <c r="E2111" s="16"/>
      <c r="F2111" s="91"/>
      <c r="G2111" s="16"/>
      <c r="H2111" s="320" t="str">
        <f t="shared" si="33"/>
        <v/>
      </c>
      <c r="I2111" s="16"/>
      <c r="J2111" s="16"/>
      <c r="K2111" s="16"/>
      <c r="L2111" s="16"/>
      <c r="M2111" s="15"/>
      <c r="N2111" s="15"/>
      <c r="O2111" s="16"/>
      <c r="P2111" s="16"/>
      <c r="Q2111" s="16"/>
      <c r="R2111" s="16"/>
      <c r="S2111" s="37" t="str">
        <f>IFERROR(__xludf.DUMMYFUNCTION("if(not(iserror(index(split(C2111, "" ""),2))), index(split(C2111, "" ""),1),"""")"),"")</f>
        <v/>
      </c>
      <c r="T2111" s="315" t="str">
        <f>IFERROR(__xludf.DUMMYFUNCTION("if(S2111="""",C2111,if(not(iserror(index(split(C2111, "" ""),3))), index(split(C2111, "" ""),3),index(split(C2111, "" ""),2)))"),"")</f>
        <v/>
      </c>
      <c r="U2111" s="38" t="b">
        <f t="shared" si="34"/>
        <v>0</v>
      </c>
      <c r="V2111" s="38"/>
      <c r="W2111" s="40"/>
      <c r="X2111" s="40"/>
      <c r="Y2111" s="38"/>
      <c r="Z2111" s="38"/>
      <c r="AA2111" s="38"/>
      <c r="AB2111" s="38"/>
      <c r="AC2111" s="38"/>
      <c r="AD2111" s="38"/>
      <c r="AE2111" s="38"/>
      <c r="AF2111" s="38"/>
      <c r="AG2111" s="38"/>
      <c r="AH2111" s="38"/>
      <c r="AI2111" s="38"/>
      <c r="AJ2111" s="38"/>
      <c r="AK2111" s="38"/>
      <c r="AL2111" s="38"/>
      <c r="AM2111" s="38"/>
      <c r="AN2111" s="38"/>
      <c r="AO2111" s="38"/>
      <c r="AP2111" s="38"/>
      <c r="AQ2111" s="38"/>
      <c r="AR2111" s="38"/>
      <c r="AS2111" s="38"/>
      <c r="AT2111" s="38"/>
      <c r="AU2111" s="38"/>
      <c r="AV2111" s="38"/>
      <c r="AW2111" s="38"/>
      <c r="AX2111" s="38"/>
      <c r="AY2111" s="38"/>
      <c r="AZ2111" s="38"/>
      <c r="BA2111" s="38"/>
      <c r="BB2111" s="38"/>
      <c r="BC2111" s="38"/>
      <c r="BD2111" s="38"/>
      <c r="BE2111" s="38"/>
      <c r="BF2111" s="38"/>
      <c r="BG2111" s="38"/>
      <c r="BH2111" s="38"/>
      <c r="BI2111" s="38"/>
      <c r="BJ2111" s="38"/>
      <c r="BK2111" s="38"/>
      <c r="BL2111" s="38"/>
      <c r="BM2111" s="38"/>
      <c r="BN2111" s="38"/>
      <c r="BO2111" s="38"/>
      <c r="BP2111" s="38"/>
      <c r="BQ2111" s="38"/>
    </row>
    <row r="2112">
      <c r="A2112" s="16"/>
      <c r="B2112" s="16"/>
      <c r="C2112" s="146"/>
      <c r="D2112" s="146"/>
      <c r="E2112" s="16"/>
      <c r="F2112" s="91"/>
      <c r="G2112" s="16"/>
      <c r="H2112" s="320" t="str">
        <f t="shared" si="33"/>
        <v/>
      </c>
      <c r="I2112" s="16"/>
      <c r="J2112" s="16"/>
      <c r="K2112" s="16"/>
      <c r="L2112" s="16"/>
      <c r="M2112" s="15"/>
      <c r="N2112" s="15"/>
      <c r="O2112" s="16"/>
      <c r="P2112" s="16"/>
      <c r="Q2112" s="16"/>
      <c r="R2112" s="16"/>
      <c r="S2112" s="37" t="str">
        <f>IFERROR(__xludf.DUMMYFUNCTION("if(not(iserror(index(split(C2112, "" ""),2))), index(split(C2112, "" ""),1),"""")"),"")</f>
        <v/>
      </c>
      <c r="T2112" s="315" t="str">
        <f>IFERROR(__xludf.DUMMYFUNCTION("if(S2112="""",C2112,if(not(iserror(index(split(C2112, "" ""),3))), index(split(C2112, "" ""),3),index(split(C2112, "" ""),2)))"),"")</f>
        <v/>
      </c>
      <c r="U2112" s="38" t="b">
        <f t="shared" si="34"/>
        <v>0</v>
      </c>
      <c r="V2112" s="38"/>
      <c r="W2112" s="40"/>
      <c r="X2112" s="40"/>
      <c r="Y2112" s="38"/>
      <c r="Z2112" s="38"/>
      <c r="AA2112" s="38"/>
      <c r="AB2112" s="38"/>
      <c r="AC2112" s="38"/>
      <c r="AD2112" s="38"/>
      <c r="AE2112" s="38"/>
      <c r="AF2112" s="38"/>
      <c r="AG2112" s="38"/>
      <c r="AH2112" s="38"/>
      <c r="AI2112" s="38"/>
      <c r="AJ2112" s="38"/>
      <c r="AK2112" s="38"/>
      <c r="AL2112" s="38"/>
      <c r="AM2112" s="38"/>
      <c r="AN2112" s="38"/>
      <c r="AO2112" s="38"/>
      <c r="AP2112" s="38"/>
      <c r="AQ2112" s="38"/>
      <c r="AR2112" s="38"/>
      <c r="AS2112" s="38"/>
      <c r="AT2112" s="38"/>
      <c r="AU2112" s="38"/>
      <c r="AV2112" s="38"/>
      <c r="AW2112" s="38"/>
      <c r="AX2112" s="38"/>
      <c r="AY2112" s="38"/>
      <c r="AZ2112" s="38"/>
      <c r="BA2112" s="38"/>
      <c r="BB2112" s="38"/>
      <c r="BC2112" s="38"/>
      <c r="BD2112" s="38"/>
      <c r="BE2112" s="38"/>
      <c r="BF2112" s="38"/>
      <c r="BG2112" s="38"/>
      <c r="BH2112" s="38"/>
      <c r="BI2112" s="38"/>
      <c r="BJ2112" s="38"/>
      <c r="BK2112" s="38"/>
      <c r="BL2112" s="38"/>
      <c r="BM2112" s="38"/>
      <c r="BN2112" s="38"/>
      <c r="BO2112" s="38"/>
      <c r="BP2112" s="38"/>
      <c r="BQ2112" s="38"/>
    </row>
    <row r="2113">
      <c r="A2113" s="16"/>
      <c r="B2113" s="16"/>
      <c r="C2113" s="146"/>
      <c r="D2113" s="146"/>
      <c r="E2113" s="16"/>
      <c r="F2113" s="91"/>
      <c r="G2113" s="16"/>
      <c r="H2113" s="320" t="str">
        <f t="shared" si="33"/>
        <v/>
      </c>
      <c r="I2113" s="16"/>
      <c r="J2113" s="16"/>
      <c r="K2113" s="16"/>
      <c r="L2113" s="16"/>
      <c r="M2113" s="15"/>
      <c r="N2113" s="15"/>
      <c r="O2113" s="16"/>
      <c r="P2113" s="16"/>
      <c r="Q2113" s="16"/>
      <c r="R2113" s="16"/>
      <c r="S2113" s="37" t="str">
        <f>IFERROR(__xludf.DUMMYFUNCTION("if(not(iserror(index(split(C2113, "" ""),2))), index(split(C2113, "" ""),1),"""")"),"")</f>
        <v/>
      </c>
      <c r="T2113" s="315" t="str">
        <f>IFERROR(__xludf.DUMMYFUNCTION("if(S2113="""",C2113,if(not(iserror(index(split(C2113, "" ""),3))), index(split(C2113, "" ""),3),index(split(C2113, "" ""),2)))"),"")</f>
        <v/>
      </c>
      <c r="U2113" s="38" t="b">
        <f t="shared" si="34"/>
        <v>0</v>
      </c>
      <c r="V2113" s="38"/>
      <c r="W2113" s="40"/>
      <c r="X2113" s="40"/>
      <c r="Y2113" s="38"/>
      <c r="Z2113" s="38"/>
      <c r="AA2113" s="38"/>
      <c r="AB2113" s="38"/>
      <c r="AC2113" s="38"/>
      <c r="AD2113" s="38"/>
      <c r="AE2113" s="38"/>
      <c r="AF2113" s="38"/>
      <c r="AG2113" s="38"/>
      <c r="AH2113" s="38"/>
      <c r="AI2113" s="38"/>
      <c r="AJ2113" s="38"/>
      <c r="AK2113" s="38"/>
      <c r="AL2113" s="38"/>
      <c r="AM2113" s="38"/>
      <c r="AN2113" s="38"/>
      <c r="AO2113" s="38"/>
      <c r="AP2113" s="38"/>
      <c r="AQ2113" s="38"/>
      <c r="AR2113" s="38"/>
      <c r="AS2113" s="38"/>
      <c r="AT2113" s="38"/>
      <c r="AU2113" s="38"/>
      <c r="AV2113" s="38"/>
      <c r="AW2113" s="38"/>
      <c r="AX2113" s="38"/>
      <c r="AY2113" s="38"/>
      <c r="AZ2113" s="38"/>
      <c r="BA2113" s="38"/>
      <c r="BB2113" s="38"/>
      <c r="BC2113" s="38"/>
      <c r="BD2113" s="38"/>
      <c r="BE2113" s="38"/>
      <c r="BF2113" s="38"/>
      <c r="BG2113" s="38"/>
      <c r="BH2113" s="38"/>
      <c r="BI2113" s="38"/>
      <c r="BJ2113" s="38"/>
      <c r="BK2113" s="38"/>
      <c r="BL2113" s="38"/>
      <c r="BM2113" s="38"/>
      <c r="BN2113" s="38"/>
      <c r="BO2113" s="38"/>
      <c r="BP2113" s="38"/>
      <c r="BQ2113" s="38"/>
    </row>
    <row r="2114">
      <c r="A2114" s="16"/>
      <c r="B2114" s="16"/>
      <c r="C2114" s="146"/>
      <c r="D2114" s="146"/>
      <c r="E2114" s="16"/>
      <c r="F2114" s="91"/>
      <c r="G2114" s="16"/>
      <c r="H2114" s="320" t="str">
        <f t="shared" si="33"/>
        <v/>
      </c>
      <c r="I2114" s="16"/>
      <c r="J2114" s="16"/>
      <c r="K2114" s="16"/>
      <c r="L2114" s="16"/>
      <c r="M2114" s="15"/>
      <c r="N2114" s="15"/>
      <c r="O2114" s="16"/>
      <c r="P2114" s="16"/>
      <c r="Q2114" s="16"/>
      <c r="R2114" s="16"/>
      <c r="S2114" s="37" t="str">
        <f>IFERROR(__xludf.DUMMYFUNCTION("if(not(iserror(index(split(C2114, "" ""),2))), index(split(C2114, "" ""),1),"""")"),"")</f>
        <v/>
      </c>
      <c r="T2114" s="315" t="str">
        <f>IFERROR(__xludf.DUMMYFUNCTION("if(S2114="""",C2114,if(not(iserror(index(split(C2114, "" ""),3))), index(split(C2114, "" ""),3),index(split(C2114, "" ""),2)))"),"")</f>
        <v/>
      </c>
      <c r="U2114" s="38" t="b">
        <f t="shared" si="34"/>
        <v>0</v>
      </c>
      <c r="V2114" s="38"/>
      <c r="W2114" s="40"/>
      <c r="X2114" s="40"/>
      <c r="Y2114" s="38"/>
      <c r="Z2114" s="38"/>
      <c r="AA2114" s="38"/>
      <c r="AB2114" s="38"/>
      <c r="AC2114" s="38"/>
      <c r="AD2114" s="38"/>
      <c r="AE2114" s="38"/>
      <c r="AF2114" s="38"/>
      <c r="AG2114" s="38"/>
      <c r="AH2114" s="38"/>
      <c r="AI2114" s="38"/>
      <c r="AJ2114" s="38"/>
      <c r="AK2114" s="38"/>
      <c r="AL2114" s="38"/>
      <c r="AM2114" s="38"/>
      <c r="AN2114" s="38"/>
      <c r="AO2114" s="38"/>
      <c r="AP2114" s="38"/>
      <c r="AQ2114" s="38"/>
      <c r="AR2114" s="38"/>
      <c r="AS2114" s="38"/>
      <c r="AT2114" s="38"/>
      <c r="AU2114" s="38"/>
      <c r="AV2114" s="38"/>
      <c r="AW2114" s="38"/>
      <c r="AX2114" s="38"/>
      <c r="AY2114" s="38"/>
      <c r="AZ2114" s="38"/>
      <c r="BA2114" s="38"/>
      <c r="BB2114" s="38"/>
      <c r="BC2114" s="38"/>
      <c r="BD2114" s="38"/>
      <c r="BE2114" s="38"/>
      <c r="BF2114" s="38"/>
      <c r="BG2114" s="38"/>
      <c r="BH2114" s="38"/>
      <c r="BI2114" s="38"/>
      <c r="BJ2114" s="38"/>
      <c r="BK2114" s="38"/>
      <c r="BL2114" s="38"/>
      <c r="BM2114" s="38"/>
      <c r="BN2114" s="38"/>
      <c r="BO2114" s="38"/>
      <c r="BP2114" s="38"/>
      <c r="BQ2114" s="38"/>
    </row>
    <row r="2115">
      <c r="A2115" s="16"/>
      <c r="B2115" s="16"/>
      <c r="C2115" s="146"/>
      <c r="D2115" s="146"/>
      <c r="E2115" s="16"/>
      <c r="F2115" s="91"/>
      <c r="G2115" s="16"/>
      <c r="H2115" s="320" t="str">
        <f t="shared" si="33"/>
        <v/>
      </c>
      <c r="I2115" s="16"/>
      <c r="J2115" s="16"/>
      <c r="K2115" s="16"/>
      <c r="L2115" s="16"/>
      <c r="M2115" s="15"/>
      <c r="N2115" s="15"/>
      <c r="O2115" s="16"/>
      <c r="P2115" s="16"/>
      <c r="Q2115" s="16"/>
      <c r="R2115" s="16"/>
      <c r="S2115" s="37" t="str">
        <f>IFERROR(__xludf.DUMMYFUNCTION("if(not(iserror(index(split(C2115, "" ""),2))), index(split(C2115, "" ""),1),"""")"),"")</f>
        <v/>
      </c>
      <c r="T2115" s="315" t="str">
        <f>IFERROR(__xludf.DUMMYFUNCTION("if(S2115="""",C2115,if(not(iserror(index(split(C2115, "" ""),3))), index(split(C2115, "" ""),3),index(split(C2115, "" ""),2)))"),"")</f>
        <v/>
      </c>
      <c r="U2115" s="38" t="b">
        <f t="shared" si="34"/>
        <v>0</v>
      </c>
      <c r="V2115" s="38"/>
      <c r="W2115" s="40"/>
      <c r="X2115" s="40"/>
      <c r="Y2115" s="38"/>
      <c r="Z2115" s="38"/>
      <c r="AA2115" s="38"/>
      <c r="AB2115" s="38"/>
      <c r="AC2115" s="38"/>
      <c r="AD2115" s="38"/>
      <c r="AE2115" s="38"/>
      <c r="AF2115" s="38"/>
      <c r="AG2115" s="38"/>
      <c r="AH2115" s="38"/>
      <c r="AI2115" s="38"/>
      <c r="AJ2115" s="38"/>
      <c r="AK2115" s="38"/>
      <c r="AL2115" s="38"/>
      <c r="AM2115" s="38"/>
      <c r="AN2115" s="38"/>
      <c r="AO2115" s="38"/>
      <c r="AP2115" s="38"/>
      <c r="AQ2115" s="38"/>
      <c r="AR2115" s="38"/>
      <c r="AS2115" s="38"/>
      <c r="AT2115" s="38"/>
      <c r="AU2115" s="38"/>
      <c r="AV2115" s="38"/>
      <c r="AW2115" s="38"/>
      <c r="AX2115" s="38"/>
      <c r="AY2115" s="38"/>
      <c r="AZ2115" s="38"/>
      <c r="BA2115" s="38"/>
      <c r="BB2115" s="38"/>
      <c r="BC2115" s="38"/>
      <c r="BD2115" s="38"/>
      <c r="BE2115" s="38"/>
      <c r="BF2115" s="38"/>
      <c r="BG2115" s="38"/>
      <c r="BH2115" s="38"/>
      <c r="BI2115" s="38"/>
      <c r="BJ2115" s="38"/>
      <c r="BK2115" s="38"/>
      <c r="BL2115" s="38"/>
      <c r="BM2115" s="38"/>
      <c r="BN2115" s="38"/>
      <c r="BO2115" s="38"/>
      <c r="BP2115" s="38"/>
      <c r="BQ2115" s="38"/>
    </row>
    <row r="2116">
      <c r="A2116" s="16"/>
      <c r="B2116" s="16"/>
      <c r="C2116" s="146"/>
      <c r="D2116" s="146"/>
      <c r="E2116" s="16"/>
      <c r="F2116" s="91"/>
      <c r="G2116" s="16"/>
      <c r="H2116" s="320" t="str">
        <f t="shared" si="33"/>
        <v/>
      </c>
      <c r="I2116" s="16"/>
      <c r="J2116" s="16"/>
      <c r="K2116" s="16"/>
      <c r="L2116" s="16"/>
      <c r="M2116" s="15"/>
      <c r="N2116" s="15"/>
      <c r="O2116" s="16"/>
      <c r="P2116" s="16"/>
      <c r="Q2116" s="16"/>
      <c r="R2116" s="16"/>
      <c r="S2116" s="37" t="str">
        <f>IFERROR(__xludf.DUMMYFUNCTION("if(not(iserror(index(split(C2116, "" ""),2))), index(split(C2116, "" ""),1),"""")"),"")</f>
        <v/>
      </c>
      <c r="T2116" s="315" t="str">
        <f>IFERROR(__xludf.DUMMYFUNCTION("if(S2116="""",C2116,if(not(iserror(index(split(C2116, "" ""),3))), index(split(C2116, "" ""),3),index(split(C2116, "" ""),2)))"),"")</f>
        <v/>
      </c>
      <c r="U2116" s="38" t="b">
        <f t="shared" si="34"/>
        <v>0</v>
      </c>
      <c r="V2116" s="38"/>
      <c r="W2116" s="40"/>
      <c r="X2116" s="40"/>
      <c r="Y2116" s="38"/>
      <c r="Z2116" s="38"/>
      <c r="AA2116" s="38"/>
      <c r="AB2116" s="38"/>
      <c r="AC2116" s="38"/>
      <c r="AD2116" s="38"/>
      <c r="AE2116" s="38"/>
      <c r="AF2116" s="38"/>
      <c r="AG2116" s="38"/>
      <c r="AH2116" s="38"/>
      <c r="AI2116" s="38"/>
      <c r="AJ2116" s="38"/>
      <c r="AK2116" s="38"/>
      <c r="AL2116" s="38"/>
      <c r="AM2116" s="38"/>
      <c r="AN2116" s="38"/>
      <c r="AO2116" s="38"/>
      <c r="AP2116" s="38"/>
      <c r="AQ2116" s="38"/>
      <c r="AR2116" s="38"/>
      <c r="AS2116" s="38"/>
      <c r="AT2116" s="38"/>
      <c r="AU2116" s="38"/>
      <c r="AV2116" s="38"/>
      <c r="AW2116" s="38"/>
      <c r="AX2116" s="38"/>
      <c r="AY2116" s="38"/>
      <c r="AZ2116" s="38"/>
      <c r="BA2116" s="38"/>
      <c r="BB2116" s="38"/>
      <c r="BC2116" s="38"/>
      <c r="BD2116" s="38"/>
      <c r="BE2116" s="38"/>
      <c r="BF2116" s="38"/>
      <c r="BG2116" s="38"/>
      <c r="BH2116" s="38"/>
      <c r="BI2116" s="38"/>
      <c r="BJ2116" s="38"/>
      <c r="BK2116" s="38"/>
      <c r="BL2116" s="38"/>
      <c r="BM2116" s="38"/>
      <c r="BN2116" s="38"/>
      <c r="BO2116" s="38"/>
      <c r="BP2116" s="38"/>
      <c r="BQ2116" s="38"/>
    </row>
    <row r="2117">
      <c r="A2117" s="16"/>
      <c r="B2117" s="16"/>
      <c r="C2117" s="146"/>
      <c r="D2117" s="146"/>
      <c r="E2117" s="16"/>
      <c r="F2117" s="91"/>
      <c r="G2117" s="16"/>
      <c r="H2117" s="320" t="str">
        <f t="shared" si="33"/>
        <v/>
      </c>
      <c r="I2117" s="16"/>
      <c r="J2117" s="16"/>
      <c r="K2117" s="16"/>
      <c r="L2117" s="16"/>
      <c r="M2117" s="15"/>
      <c r="N2117" s="15"/>
      <c r="O2117" s="16"/>
      <c r="P2117" s="16"/>
      <c r="Q2117" s="16"/>
      <c r="R2117" s="16"/>
      <c r="S2117" s="37" t="str">
        <f>IFERROR(__xludf.DUMMYFUNCTION("if(not(iserror(index(split(C2117, "" ""),2))), index(split(C2117, "" ""),1),"""")"),"")</f>
        <v/>
      </c>
      <c r="T2117" s="315" t="str">
        <f>IFERROR(__xludf.DUMMYFUNCTION("if(S2117="""",C2117,if(not(iserror(index(split(C2117, "" ""),3))), index(split(C2117, "" ""),3),index(split(C2117, "" ""),2)))"),"")</f>
        <v/>
      </c>
      <c r="U2117" s="38" t="b">
        <f t="shared" si="34"/>
        <v>0</v>
      </c>
      <c r="V2117" s="38"/>
      <c r="W2117" s="40"/>
      <c r="X2117" s="40"/>
      <c r="Y2117" s="38"/>
      <c r="Z2117" s="38"/>
      <c r="AA2117" s="38"/>
      <c r="AB2117" s="38"/>
      <c r="AC2117" s="38"/>
      <c r="AD2117" s="38"/>
      <c r="AE2117" s="38"/>
      <c r="AF2117" s="38"/>
      <c r="AG2117" s="38"/>
      <c r="AH2117" s="38"/>
      <c r="AI2117" s="38"/>
      <c r="AJ2117" s="38"/>
      <c r="AK2117" s="38"/>
      <c r="AL2117" s="38"/>
      <c r="AM2117" s="38"/>
      <c r="AN2117" s="38"/>
      <c r="AO2117" s="38"/>
      <c r="AP2117" s="38"/>
      <c r="AQ2117" s="38"/>
      <c r="AR2117" s="38"/>
      <c r="AS2117" s="38"/>
      <c r="AT2117" s="38"/>
      <c r="AU2117" s="38"/>
      <c r="AV2117" s="38"/>
      <c r="AW2117" s="38"/>
      <c r="AX2117" s="38"/>
      <c r="AY2117" s="38"/>
      <c r="AZ2117" s="38"/>
      <c r="BA2117" s="38"/>
      <c r="BB2117" s="38"/>
      <c r="BC2117" s="38"/>
      <c r="BD2117" s="38"/>
      <c r="BE2117" s="38"/>
      <c r="BF2117" s="38"/>
      <c r="BG2117" s="38"/>
      <c r="BH2117" s="38"/>
      <c r="BI2117" s="38"/>
      <c r="BJ2117" s="38"/>
      <c r="BK2117" s="38"/>
      <c r="BL2117" s="38"/>
      <c r="BM2117" s="38"/>
      <c r="BN2117" s="38"/>
      <c r="BO2117" s="38"/>
      <c r="BP2117" s="38"/>
      <c r="BQ2117" s="38"/>
    </row>
    <row r="2118">
      <c r="A2118" s="16"/>
      <c r="B2118" s="16"/>
      <c r="C2118" s="146"/>
      <c r="D2118" s="146"/>
      <c r="E2118" s="16"/>
      <c r="F2118" s="91"/>
      <c r="G2118" s="16"/>
      <c r="H2118" s="320" t="str">
        <f t="shared" si="33"/>
        <v/>
      </c>
      <c r="I2118" s="16"/>
      <c r="J2118" s="16"/>
      <c r="K2118" s="16"/>
      <c r="L2118" s="16"/>
      <c r="M2118" s="15"/>
      <c r="N2118" s="15"/>
      <c r="O2118" s="16"/>
      <c r="P2118" s="16"/>
      <c r="Q2118" s="16"/>
      <c r="R2118" s="16"/>
      <c r="S2118" s="37" t="str">
        <f>IFERROR(__xludf.DUMMYFUNCTION("if(not(iserror(index(split(C2118, "" ""),2))), index(split(C2118, "" ""),1),"""")"),"")</f>
        <v/>
      </c>
      <c r="T2118" s="315" t="str">
        <f>IFERROR(__xludf.DUMMYFUNCTION("if(S2118="""",C2118,if(not(iserror(index(split(C2118, "" ""),3))), index(split(C2118, "" ""),3),index(split(C2118, "" ""),2)))"),"")</f>
        <v/>
      </c>
      <c r="U2118" s="38" t="b">
        <f t="shared" si="34"/>
        <v>0</v>
      </c>
      <c r="V2118" s="38"/>
      <c r="W2118" s="40"/>
      <c r="X2118" s="40"/>
      <c r="Y2118" s="38"/>
      <c r="Z2118" s="38"/>
      <c r="AA2118" s="38"/>
      <c r="AB2118" s="38"/>
      <c r="AC2118" s="38"/>
      <c r="AD2118" s="38"/>
      <c r="AE2118" s="38"/>
      <c r="AF2118" s="38"/>
      <c r="AG2118" s="38"/>
      <c r="AH2118" s="38"/>
      <c r="AI2118" s="38"/>
      <c r="AJ2118" s="38"/>
      <c r="AK2118" s="38"/>
      <c r="AL2118" s="38"/>
      <c r="AM2118" s="38"/>
      <c r="AN2118" s="38"/>
      <c r="AO2118" s="38"/>
      <c r="AP2118" s="38"/>
      <c r="AQ2118" s="38"/>
      <c r="AR2118" s="38"/>
      <c r="AS2118" s="38"/>
      <c r="AT2118" s="38"/>
      <c r="AU2118" s="38"/>
      <c r="AV2118" s="38"/>
      <c r="AW2118" s="38"/>
      <c r="AX2118" s="38"/>
      <c r="AY2118" s="38"/>
      <c r="AZ2118" s="38"/>
      <c r="BA2118" s="38"/>
      <c r="BB2118" s="38"/>
      <c r="BC2118" s="38"/>
      <c r="BD2118" s="38"/>
      <c r="BE2118" s="38"/>
      <c r="BF2118" s="38"/>
      <c r="BG2118" s="38"/>
      <c r="BH2118" s="38"/>
      <c r="BI2118" s="38"/>
      <c r="BJ2118" s="38"/>
      <c r="BK2118" s="38"/>
      <c r="BL2118" s="38"/>
      <c r="BM2118" s="38"/>
      <c r="BN2118" s="38"/>
      <c r="BO2118" s="38"/>
      <c r="BP2118" s="38"/>
      <c r="BQ2118" s="38"/>
    </row>
    <row r="2119">
      <c r="A2119" s="16"/>
      <c r="B2119" s="16"/>
      <c r="C2119" s="146"/>
      <c r="D2119" s="146"/>
      <c r="E2119" s="16"/>
      <c r="F2119" s="91"/>
      <c r="G2119" s="16"/>
      <c r="H2119" s="320" t="str">
        <f t="shared" si="33"/>
        <v/>
      </c>
      <c r="I2119" s="16"/>
      <c r="J2119" s="16"/>
      <c r="K2119" s="16"/>
      <c r="L2119" s="16"/>
      <c r="M2119" s="15"/>
      <c r="N2119" s="15"/>
      <c r="O2119" s="16"/>
      <c r="P2119" s="16"/>
      <c r="Q2119" s="16"/>
      <c r="R2119" s="16"/>
      <c r="S2119" s="37" t="str">
        <f>IFERROR(__xludf.DUMMYFUNCTION("if(not(iserror(index(split(C2119, "" ""),2))), index(split(C2119, "" ""),1),"""")"),"")</f>
        <v/>
      </c>
      <c r="T2119" s="315" t="str">
        <f>IFERROR(__xludf.DUMMYFUNCTION("if(S2119="""",C2119,if(not(iserror(index(split(C2119, "" ""),3))), index(split(C2119, "" ""),3),index(split(C2119, "" ""),2)))"),"")</f>
        <v/>
      </c>
      <c r="U2119" s="38" t="b">
        <f t="shared" si="34"/>
        <v>0</v>
      </c>
      <c r="V2119" s="38"/>
      <c r="W2119" s="40"/>
      <c r="X2119" s="40"/>
      <c r="Y2119" s="38"/>
      <c r="Z2119" s="38"/>
      <c r="AA2119" s="38"/>
      <c r="AB2119" s="38"/>
      <c r="AC2119" s="38"/>
      <c r="AD2119" s="38"/>
      <c r="AE2119" s="38"/>
      <c r="AF2119" s="38"/>
      <c r="AG2119" s="38"/>
      <c r="AH2119" s="38"/>
      <c r="AI2119" s="38"/>
      <c r="AJ2119" s="38"/>
      <c r="AK2119" s="38"/>
      <c r="AL2119" s="38"/>
      <c r="AM2119" s="38"/>
      <c r="AN2119" s="38"/>
      <c r="AO2119" s="38"/>
      <c r="AP2119" s="38"/>
      <c r="AQ2119" s="38"/>
      <c r="AR2119" s="38"/>
      <c r="AS2119" s="38"/>
      <c r="AT2119" s="38"/>
      <c r="AU2119" s="38"/>
      <c r="AV2119" s="38"/>
      <c r="AW2119" s="38"/>
      <c r="AX2119" s="38"/>
      <c r="AY2119" s="38"/>
      <c r="AZ2119" s="38"/>
      <c r="BA2119" s="38"/>
      <c r="BB2119" s="38"/>
      <c r="BC2119" s="38"/>
      <c r="BD2119" s="38"/>
      <c r="BE2119" s="38"/>
      <c r="BF2119" s="38"/>
      <c r="BG2119" s="38"/>
      <c r="BH2119" s="38"/>
      <c r="BI2119" s="38"/>
      <c r="BJ2119" s="38"/>
      <c r="BK2119" s="38"/>
      <c r="BL2119" s="38"/>
      <c r="BM2119" s="38"/>
      <c r="BN2119" s="38"/>
      <c r="BO2119" s="38"/>
      <c r="BP2119" s="38"/>
      <c r="BQ2119" s="38"/>
    </row>
    <row r="2120">
      <c r="A2120" s="16"/>
      <c r="B2120" s="16"/>
      <c r="C2120" s="146"/>
      <c r="D2120" s="146"/>
      <c r="E2120" s="16"/>
      <c r="F2120" s="91"/>
      <c r="G2120" s="16"/>
      <c r="H2120" s="320" t="str">
        <f t="shared" si="33"/>
        <v/>
      </c>
      <c r="I2120" s="16"/>
      <c r="J2120" s="16"/>
      <c r="K2120" s="16"/>
      <c r="L2120" s="16"/>
      <c r="M2120" s="15"/>
      <c r="N2120" s="15"/>
      <c r="O2120" s="16"/>
      <c r="P2120" s="16"/>
      <c r="Q2120" s="16"/>
      <c r="R2120" s="16"/>
      <c r="S2120" s="37" t="str">
        <f>IFERROR(__xludf.DUMMYFUNCTION("if(not(iserror(index(split(C2120, "" ""),2))), index(split(C2120, "" ""),1),"""")"),"")</f>
        <v/>
      </c>
      <c r="T2120" s="315" t="str">
        <f>IFERROR(__xludf.DUMMYFUNCTION("if(S2120="""",C2120,if(not(iserror(index(split(C2120, "" ""),3))), index(split(C2120, "" ""),3),index(split(C2120, "" ""),2)))"),"")</f>
        <v/>
      </c>
      <c r="U2120" s="38" t="b">
        <f t="shared" si="34"/>
        <v>0</v>
      </c>
      <c r="V2120" s="38"/>
      <c r="W2120" s="40"/>
      <c r="X2120" s="40"/>
      <c r="Y2120" s="38"/>
      <c r="Z2120" s="38"/>
      <c r="AA2120" s="38"/>
      <c r="AB2120" s="38"/>
      <c r="AC2120" s="38"/>
      <c r="AD2120" s="38"/>
      <c r="AE2120" s="38"/>
      <c r="AF2120" s="38"/>
      <c r="AG2120" s="38"/>
      <c r="AH2120" s="38"/>
      <c r="AI2120" s="38"/>
      <c r="AJ2120" s="38"/>
      <c r="AK2120" s="38"/>
      <c r="AL2120" s="38"/>
      <c r="AM2120" s="38"/>
      <c r="AN2120" s="38"/>
      <c r="AO2120" s="38"/>
      <c r="AP2120" s="38"/>
      <c r="AQ2120" s="38"/>
      <c r="AR2120" s="38"/>
      <c r="AS2120" s="38"/>
      <c r="AT2120" s="38"/>
      <c r="AU2120" s="38"/>
      <c r="AV2120" s="38"/>
      <c r="AW2120" s="38"/>
      <c r="AX2120" s="38"/>
      <c r="AY2120" s="38"/>
      <c r="AZ2120" s="38"/>
      <c r="BA2120" s="38"/>
      <c r="BB2120" s="38"/>
      <c r="BC2120" s="38"/>
      <c r="BD2120" s="38"/>
      <c r="BE2120" s="38"/>
      <c r="BF2120" s="38"/>
      <c r="BG2120" s="38"/>
      <c r="BH2120" s="38"/>
      <c r="BI2120" s="38"/>
      <c r="BJ2120" s="38"/>
      <c r="BK2120" s="38"/>
      <c r="BL2120" s="38"/>
      <c r="BM2120" s="38"/>
      <c r="BN2120" s="38"/>
      <c r="BO2120" s="38"/>
      <c r="BP2120" s="38"/>
      <c r="BQ2120" s="38"/>
    </row>
    <row r="2121">
      <c r="A2121" s="16"/>
      <c r="B2121" s="16"/>
      <c r="C2121" s="146"/>
      <c r="D2121" s="146"/>
      <c r="E2121" s="16"/>
      <c r="F2121" s="91"/>
      <c r="G2121" s="16"/>
      <c r="H2121" s="320" t="str">
        <f t="shared" si="33"/>
        <v/>
      </c>
      <c r="I2121" s="16"/>
      <c r="J2121" s="16"/>
      <c r="K2121" s="16"/>
      <c r="L2121" s="16"/>
      <c r="M2121" s="15"/>
      <c r="N2121" s="15"/>
      <c r="O2121" s="16"/>
      <c r="P2121" s="16"/>
      <c r="Q2121" s="16"/>
      <c r="R2121" s="16"/>
      <c r="S2121" s="37" t="str">
        <f>IFERROR(__xludf.DUMMYFUNCTION("if(not(iserror(index(split(C2121, "" ""),2))), index(split(C2121, "" ""),1),"""")"),"")</f>
        <v/>
      </c>
      <c r="T2121" s="315" t="str">
        <f>IFERROR(__xludf.DUMMYFUNCTION("if(S2121="""",C2121,if(not(iserror(index(split(C2121, "" ""),3))), index(split(C2121, "" ""),3),index(split(C2121, "" ""),2)))"),"")</f>
        <v/>
      </c>
      <c r="U2121" s="38" t="b">
        <f t="shared" si="34"/>
        <v>0</v>
      </c>
      <c r="V2121" s="38"/>
      <c r="W2121" s="40"/>
      <c r="X2121" s="40"/>
      <c r="Y2121" s="38"/>
      <c r="Z2121" s="38"/>
      <c r="AA2121" s="38"/>
      <c r="AB2121" s="38"/>
      <c r="AC2121" s="38"/>
      <c r="AD2121" s="38"/>
      <c r="AE2121" s="38"/>
      <c r="AF2121" s="38"/>
      <c r="AG2121" s="38"/>
      <c r="AH2121" s="38"/>
      <c r="AI2121" s="38"/>
      <c r="AJ2121" s="38"/>
      <c r="AK2121" s="38"/>
      <c r="AL2121" s="38"/>
      <c r="AM2121" s="38"/>
      <c r="AN2121" s="38"/>
      <c r="AO2121" s="38"/>
      <c r="AP2121" s="38"/>
      <c r="AQ2121" s="38"/>
      <c r="AR2121" s="38"/>
      <c r="AS2121" s="38"/>
      <c r="AT2121" s="38"/>
      <c r="AU2121" s="38"/>
      <c r="AV2121" s="38"/>
      <c r="AW2121" s="38"/>
      <c r="AX2121" s="38"/>
      <c r="AY2121" s="38"/>
      <c r="AZ2121" s="38"/>
      <c r="BA2121" s="38"/>
      <c r="BB2121" s="38"/>
      <c r="BC2121" s="38"/>
      <c r="BD2121" s="38"/>
      <c r="BE2121" s="38"/>
      <c r="BF2121" s="38"/>
      <c r="BG2121" s="38"/>
      <c r="BH2121" s="38"/>
      <c r="BI2121" s="38"/>
      <c r="BJ2121" s="38"/>
      <c r="BK2121" s="38"/>
      <c r="BL2121" s="38"/>
      <c r="BM2121" s="38"/>
      <c r="BN2121" s="38"/>
      <c r="BO2121" s="38"/>
      <c r="BP2121" s="38"/>
      <c r="BQ2121" s="38"/>
    </row>
    <row r="2122">
      <c r="A2122" s="16"/>
      <c r="B2122" s="16"/>
      <c r="C2122" s="146"/>
      <c r="D2122" s="146"/>
      <c r="E2122" s="16"/>
      <c r="F2122" s="91"/>
      <c r="G2122" s="16"/>
      <c r="H2122" s="320" t="str">
        <f t="shared" si="33"/>
        <v/>
      </c>
      <c r="I2122" s="16"/>
      <c r="J2122" s="16"/>
      <c r="K2122" s="16"/>
      <c r="L2122" s="16"/>
      <c r="M2122" s="15"/>
      <c r="N2122" s="15"/>
      <c r="O2122" s="16"/>
      <c r="P2122" s="16"/>
      <c r="Q2122" s="16"/>
      <c r="R2122" s="16"/>
      <c r="S2122" s="37" t="str">
        <f>IFERROR(__xludf.DUMMYFUNCTION("if(not(iserror(index(split(C2122, "" ""),2))), index(split(C2122, "" ""),1),"""")"),"")</f>
        <v/>
      </c>
      <c r="T2122" s="315" t="str">
        <f>IFERROR(__xludf.DUMMYFUNCTION("if(S2122="""",C2122,if(not(iserror(index(split(C2122, "" ""),3))), index(split(C2122, "" ""),3),index(split(C2122, "" ""),2)))"),"")</f>
        <v/>
      </c>
      <c r="U2122" s="38" t="b">
        <f t="shared" si="34"/>
        <v>0</v>
      </c>
      <c r="V2122" s="38"/>
      <c r="W2122" s="40"/>
      <c r="X2122" s="40"/>
      <c r="Y2122" s="38"/>
      <c r="Z2122" s="38"/>
      <c r="AA2122" s="38"/>
      <c r="AB2122" s="38"/>
      <c r="AC2122" s="38"/>
      <c r="AD2122" s="38"/>
      <c r="AE2122" s="38"/>
      <c r="AF2122" s="38"/>
      <c r="AG2122" s="38"/>
      <c r="AH2122" s="38"/>
      <c r="AI2122" s="38"/>
      <c r="AJ2122" s="38"/>
      <c r="AK2122" s="38"/>
      <c r="AL2122" s="38"/>
      <c r="AM2122" s="38"/>
      <c r="AN2122" s="38"/>
      <c r="AO2122" s="38"/>
      <c r="AP2122" s="38"/>
      <c r="AQ2122" s="38"/>
      <c r="AR2122" s="38"/>
      <c r="AS2122" s="38"/>
      <c r="AT2122" s="38"/>
      <c r="AU2122" s="38"/>
      <c r="AV2122" s="38"/>
      <c r="AW2122" s="38"/>
      <c r="AX2122" s="38"/>
      <c r="AY2122" s="38"/>
      <c r="AZ2122" s="38"/>
      <c r="BA2122" s="38"/>
      <c r="BB2122" s="38"/>
      <c r="BC2122" s="38"/>
      <c r="BD2122" s="38"/>
      <c r="BE2122" s="38"/>
      <c r="BF2122" s="38"/>
      <c r="BG2122" s="38"/>
      <c r="BH2122" s="38"/>
      <c r="BI2122" s="38"/>
      <c r="BJ2122" s="38"/>
      <c r="BK2122" s="38"/>
      <c r="BL2122" s="38"/>
      <c r="BM2122" s="38"/>
      <c r="BN2122" s="38"/>
      <c r="BO2122" s="38"/>
      <c r="BP2122" s="38"/>
      <c r="BQ2122" s="38"/>
    </row>
    <row r="2123">
      <c r="A2123" s="16"/>
      <c r="B2123" s="16"/>
      <c r="C2123" s="146"/>
      <c r="D2123" s="146"/>
      <c r="E2123" s="16"/>
      <c r="F2123" s="91"/>
      <c r="G2123" s="16"/>
      <c r="H2123" s="320" t="str">
        <f t="shared" si="33"/>
        <v/>
      </c>
      <c r="I2123" s="16"/>
      <c r="J2123" s="16"/>
      <c r="K2123" s="16"/>
      <c r="L2123" s="16"/>
      <c r="M2123" s="15"/>
      <c r="N2123" s="15"/>
      <c r="O2123" s="16"/>
      <c r="P2123" s="16"/>
      <c r="Q2123" s="16"/>
      <c r="R2123" s="16"/>
      <c r="S2123" s="37" t="str">
        <f>IFERROR(__xludf.DUMMYFUNCTION("if(not(iserror(index(split(C2123, "" ""),2))), index(split(C2123, "" ""),1),"""")"),"")</f>
        <v/>
      </c>
      <c r="T2123" s="315" t="str">
        <f>IFERROR(__xludf.DUMMYFUNCTION("if(S2123="""",C2123,if(not(iserror(index(split(C2123, "" ""),3))), index(split(C2123, "" ""),3),index(split(C2123, "" ""),2)))"),"")</f>
        <v/>
      </c>
      <c r="U2123" s="38" t="b">
        <f t="shared" si="34"/>
        <v>0</v>
      </c>
      <c r="V2123" s="38"/>
      <c r="W2123" s="40"/>
      <c r="X2123" s="40"/>
      <c r="Y2123" s="38"/>
      <c r="Z2123" s="38"/>
      <c r="AA2123" s="38"/>
      <c r="AB2123" s="38"/>
      <c r="AC2123" s="38"/>
      <c r="AD2123" s="38"/>
      <c r="AE2123" s="38"/>
      <c r="AF2123" s="38"/>
      <c r="AG2123" s="38"/>
      <c r="AH2123" s="38"/>
      <c r="AI2123" s="38"/>
      <c r="AJ2123" s="38"/>
      <c r="AK2123" s="38"/>
      <c r="AL2123" s="38"/>
      <c r="AM2123" s="38"/>
      <c r="AN2123" s="38"/>
      <c r="AO2123" s="38"/>
      <c r="AP2123" s="38"/>
      <c r="AQ2123" s="38"/>
      <c r="AR2123" s="38"/>
      <c r="AS2123" s="38"/>
      <c r="AT2123" s="38"/>
      <c r="AU2123" s="38"/>
      <c r="AV2123" s="38"/>
      <c r="AW2123" s="38"/>
      <c r="AX2123" s="38"/>
      <c r="AY2123" s="38"/>
      <c r="AZ2123" s="38"/>
      <c r="BA2123" s="38"/>
      <c r="BB2123" s="38"/>
      <c r="BC2123" s="38"/>
      <c r="BD2123" s="38"/>
      <c r="BE2123" s="38"/>
      <c r="BF2123" s="38"/>
      <c r="BG2123" s="38"/>
      <c r="BH2123" s="38"/>
      <c r="BI2123" s="38"/>
      <c r="BJ2123" s="38"/>
      <c r="BK2123" s="38"/>
      <c r="BL2123" s="38"/>
      <c r="BM2123" s="38"/>
      <c r="BN2123" s="38"/>
      <c r="BO2123" s="38"/>
      <c r="BP2123" s="38"/>
      <c r="BQ2123" s="38"/>
    </row>
    <row r="2124">
      <c r="A2124" s="16"/>
      <c r="B2124" s="16"/>
      <c r="C2124" s="146"/>
      <c r="D2124" s="146"/>
      <c r="E2124" s="16"/>
      <c r="F2124" s="91"/>
      <c r="G2124" s="16"/>
      <c r="H2124" s="320" t="str">
        <f t="shared" si="33"/>
        <v/>
      </c>
      <c r="I2124" s="16"/>
      <c r="J2124" s="16"/>
      <c r="K2124" s="16"/>
      <c r="L2124" s="16"/>
      <c r="M2124" s="15"/>
      <c r="N2124" s="15"/>
      <c r="O2124" s="16"/>
      <c r="P2124" s="16"/>
      <c r="Q2124" s="16"/>
      <c r="R2124" s="16"/>
      <c r="S2124" s="37" t="str">
        <f>IFERROR(__xludf.DUMMYFUNCTION("if(not(iserror(index(split(C2124, "" ""),2))), index(split(C2124, "" ""),1),"""")"),"")</f>
        <v/>
      </c>
      <c r="T2124" s="315" t="str">
        <f>IFERROR(__xludf.DUMMYFUNCTION("if(S2124="""",C2124,if(not(iserror(index(split(C2124, "" ""),3))), index(split(C2124, "" ""),3),index(split(C2124, "" ""),2)))"),"")</f>
        <v/>
      </c>
      <c r="U2124" s="38" t="b">
        <f t="shared" si="34"/>
        <v>0</v>
      </c>
      <c r="V2124" s="38"/>
      <c r="W2124" s="40"/>
      <c r="X2124" s="40"/>
      <c r="Y2124" s="38"/>
      <c r="Z2124" s="38"/>
      <c r="AA2124" s="38"/>
      <c r="AB2124" s="38"/>
      <c r="AC2124" s="38"/>
      <c r="AD2124" s="38"/>
      <c r="AE2124" s="38"/>
      <c r="AF2124" s="38"/>
      <c r="AG2124" s="38"/>
      <c r="AH2124" s="38"/>
      <c r="AI2124" s="38"/>
      <c r="AJ2124" s="38"/>
      <c r="AK2124" s="38"/>
      <c r="AL2124" s="38"/>
      <c r="AM2124" s="38"/>
      <c r="AN2124" s="38"/>
      <c r="AO2124" s="38"/>
      <c r="AP2124" s="38"/>
      <c r="AQ2124" s="38"/>
      <c r="AR2124" s="38"/>
      <c r="AS2124" s="38"/>
      <c r="AT2124" s="38"/>
      <c r="AU2124" s="38"/>
      <c r="AV2124" s="38"/>
      <c r="AW2124" s="38"/>
      <c r="AX2124" s="38"/>
      <c r="AY2124" s="38"/>
      <c r="AZ2124" s="38"/>
      <c r="BA2124" s="38"/>
      <c r="BB2124" s="38"/>
      <c r="BC2124" s="38"/>
      <c r="BD2124" s="38"/>
      <c r="BE2124" s="38"/>
      <c r="BF2124" s="38"/>
      <c r="BG2124" s="38"/>
      <c r="BH2124" s="38"/>
      <c r="BI2124" s="38"/>
      <c r="BJ2124" s="38"/>
      <c r="BK2124" s="38"/>
      <c r="BL2124" s="38"/>
      <c r="BM2124" s="38"/>
      <c r="BN2124" s="38"/>
      <c r="BO2124" s="38"/>
      <c r="BP2124" s="38"/>
      <c r="BQ2124" s="38"/>
    </row>
    <row r="2125">
      <c r="A2125" s="16"/>
      <c r="B2125" s="16"/>
      <c r="C2125" s="146"/>
      <c r="D2125" s="146"/>
      <c r="E2125" s="16"/>
      <c r="F2125" s="91"/>
      <c r="G2125" s="16"/>
      <c r="H2125" s="320" t="str">
        <f t="shared" si="33"/>
        <v/>
      </c>
      <c r="I2125" s="16"/>
      <c r="J2125" s="16"/>
      <c r="K2125" s="16"/>
      <c r="L2125" s="16"/>
      <c r="M2125" s="15"/>
      <c r="N2125" s="15"/>
      <c r="O2125" s="16"/>
      <c r="P2125" s="16"/>
      <c r="Q2125" s="16"/>
      <c r="R2125" s="16"/>
      <c r="S2125" s="37" t="str">
        <f>IFERROR(__xludf.DUMMYFUNCTION("if(not(iserror(index(split(C2125, "" ""),2))), index(split(C2125, "" ""),1),"""")"),"")</f>
        <v/>
      </c>
      <c r="T2125" s="315" t="str">
        <f>IFERROR(__xludf.DUMMYFUNCTION("if(S2125="""",C2125,if(not(iserror(index(split(C2125, "" ""),3))), index(split(C2125, "" ""),3),index(split(C2125, "" ""),2)))"),"")</f>
        <v/>
      </c>
      <c r="U2125" s="38" t="b">
        <f t="shared" si="34"/>
        <v>0</v>
      </c>
      <c r="V2125" s="38"/>
      <c r="W2125" s="40"/>
      <c r="X2125" s="40"/>
      <c r="Y2125" s="38"/>
      <c r="Z2125" s="38"/>
      <c r="AA2125" s="38"/>
      <c r="AB2125" s="38"/>
      <c r="AC2125" s="38"/>
      <c r="AD2125" s="38"/>
      <c r="AE2125" s="38"/>
      <c r="AF2125" s="38"/>
      <c r="AG2125" s="38"/>
      <c r="AH2125" s="38"/>
      <c r="AI2125" s="38"/>
      <c r="AJ2125" s="38"/>
      <c r="AK2125" s="38"/>
      <c r="AL2125" s="38"/>
      <c r="AM2125" s="38"/>
      <c r="AN2125" s="38"/>
      <c r="AO2125" s="38"/>
      <c r="AP2125" s="38"/>
      <c r="AQ2125" s="38"/>
      <c r="AR2125" s="38"/>
      <c r="AS2125" s="38"/>
      <c r="AT2125" s="38"/>
      <c r="AU2125" s="38"/>
      <c r="AV2125" s="38"/>
      <c r="AW2125" s="38"/>
      <c r="AX2125" s="38"/>
      <c r="AY2125" s="38"/>
      <c r="AZ2125" s="38"/>
      <c r="BA2125" s="38"/>
      <c r="BB2125" s="38"/>
      <c r="BC2125" s="38"/>
      <c r="BD2125" s="38"/>
      <c r="BE2125" s="38"/>
      <c r="BF2125" s="38"/>
      <c r="BG2125" s="38"/>
      <c r="BH2125" s="38"/>
      <c r="BI2125" s="38"/>
      <c r="BJ2125" s="38"/>
      <c r="BK2125" s="38"/>
      <c r="BL2125" s="38"/>
      <c r="BM2125" s="38"/>
      <c r="BN2125" s="38"/>
      <c r="BO2125" s="38"/>
      <c r="BP2125" s="38"/>
      <c r="BQ2125" s="38"/>
    </row>
    <row r="2126">
      <c r="A2126" s="16"/>
      <c r="B2126" s="16"/>
      <c r="C2126" s="146"/>
      <c r="D2126" s="146"/>
      <c r="E2126" s="16"/>
      <c r="F2126" s="91"/>
      <c r="G2126" s="16"/>
      <c r="H2126" s="320" t="str">
        <f t="shared" si="33"/>
        <v/>
      </c>
      <c r="I2126" s="16"/>
      <c r="J2126" s="16"/>
      <c r="K2126" s="16"/>
      <c r="L2126" s="16"/>
      <c r="M2126" s="15"/>
      <c r="N2126" s="15"/>
      <c r="O2126" s="16"/>
      <c r="P2126" s="16"/>
      <c r="Q2126" s="16"/>
      <c r="R2126" s="16"/>
      <c r="S2126" s="37" t="str">
        <f>IFERROR(__xludf.DUMMYFUNCTION("if(not(iserror(index(split(C2126, "" ""),2))), index(split(C2126, "" ""),1),"""")"),"")</f>
        <v/>
      </c>
      <c r="T2126" s="315" t="str">
        <f>IFERROR(__xludf.DUMMYFUNCTION("if(S2126="""",C2126,if(not(iserror(index(split(C2126, "" ""),3))), index(split(C2126, "" ""),3),index(split(C2126, "" ""),2)))"),"")</f>
        <v/>
      </c>
      <c r="U2126" s="38" t="b">
        <f t="shared" si="34"/>
        <v>0</v>
      </c>
      <c r="V2126" s="38"/>
      <c r="W2126" s="40"/>
      <c r="X2126" s="40"/>
      <c r="Y2126" s="38"/>
      <c r="Z2126" s="38"/>
      <c r="AA2126" s="38"/>
      <c r="AB2126" s="38"/>
      <c r="AC2126" s="38"/>
      <c r="AD2126" s="38"/>
      <c r="AE2126" s="38"/>
      <c r="AF2126" s="38"/>
      <c r="AG2126" s="38"/>
      <c r="AH2126" s="38"/>
      <c r="AI2126" s="38"/>
      <c r="AJ2126" s="38"/>
      <c r="AK2126" s="38"/>
      <c r="AL2126" s="38"/>
      <c r="AM2126" s="38"/>
      <c r="AN2126" s="38"/>
      <c r="AO2126" s="38"/>
      <c r="AP2126" s="38"/>
      <c r="AQ2126" s="38"/>
      <c r="AR2126" s="38"/>
      <c r="AS2126" s="38"/>
      <c r="AT2126" s="38"/>
      <c r="AU2126" s="38"/>
      <c r="AV2126" s="38"/>
      <c r="AW2126" s="38"/>
      <c r="AX2126" s="38"/>
      <c r="AY2126" s="38"/>
      <c r="AZ2126" s="38"/>
      <c r="BA2126" s="38"/>
      <c r="BB2126" s="38"/>
      <c r="BC2126" s="38"/>
      <c r="BD2126" s="38"/>
      <c r="BE2126" s="38"/>
      <c r="BF2126" s="38"/>
      <c r="BG2126" s="38"/>
      <c r="BH2126" s="38"/>
      <c r="BI2126" s="38"/>
      <c r="BJ2126" s="38"/>
      <c r="BK2126" s="38"/>
      <c r="BL2126" s="38"/>
      <c r="BM2126" s="38"/>
      <c r="BN2126" s="38"/>
      <c r="BO2126" s="38"/>
      <c r="BP2126" s="38"/>
      <c r="BQ2126" s="38"/>
    </row>
    <row r="2127">
      <c r="A2127" s="16"/>
      <c r="B2127" s="16"/>
      <c r="C2127" s="146"/>
      <c r="D2127" s="146"/>
      <c r="E2127" s="16"/>
      <c r="F2127" s="91"/>
      <c r="G2127" s="16"/>
      <c r="H2127" s="320" t="str">
        <f t="shared" si="33"/>
        <v/>
      </c>
      <c r="I2127" s="16"/>
      <c r="J2127" s="16"/>
      <c r="K2127" s="16"/>
      <c r="L2127" s="16"/>
      <c r="M2127" s="15"/>
      <c r="N2127" s="15"/>
      <c r="O2127" s="16"/>
      <c r="P2127" s="16"/>
      <c r="Q2127" s="16"/>
      <c r="R2127" s="16"/>
      <c r="S2127" s="37" t="str">
        <f>IFERROR(__xludf.DUMMYFUNCTION("if(not(iserror(index(split(C2127, "" ""),2))), index(split(C2127, "" ""),1),"""")"),"")</f>
        <v/>
      </c>
      <c r="T2127" s="315" t="str">
        <f>IFERROR(__xludf.DUMMYFUNCTION("if(S2127="""",C2127,if(not(iserror(index(split(C2127, "" ""),3))), index(split(C2127, "" ""),3),index(split(C2127, "" ""),2)))"),"")</f>
        <v/>
      </c>
      <c r="U2127" s="38" t="b">
        <f t="shared" si="34"/>
        <v>0</v>
      </c>
      <c r="V2127" s="38"/>
      <c r="W2127" s="40"/>
      <c r="X2127" s="40"/>
      <c r="Y2127" s="38"/>
      <c r="Z2127" s="38"/>
      <c r="AA2127" s="38"/>
      <c r="AB2127" s="38"/>
      <c r="AC2127" s="38"/>
      <c r="AD2127" s="38"/>
      <c r="AE2127" s="38"/>
      <c r="AF2127" s="38"/>
      <c r="AG2127" s="38"/>
      <c r="AH2127" s="38"/>
      <c r="AI2127" s="38"/>
      <c r="AJ2127" s="38"/>
      <c r="AK2127" s="38"/>
      <c r="AL2127" s="38"/>
      <c r="AM2127" s="38"/>
      <c r="AN2127" s="38"/>
      <c r="AO2127" s="38"/>
      <c r="AP2127" s="38"/>
      <c r="AQ2127" s="38"/>
      <c r="AR2127" s="38"/>
      <c r="AS2127" s="38"/>
      <c r="AT2127" s="38"/>
      <c r="AU2127" s="38"/>
      <c r="AV2127" s="38"/>
      <c r="AW2127" s="38"/>
      <c r="AX2127" s="38"/>
      <c r="AY2127" s="38"/>
      <c r="AZ2127" s="38"/>
      <c r="BA2127" s="38"/>
      <c r="BB2127" s="38"/>
      <c r="BC2127" s="38"/>
      <c r="BD2127" s="38"/>
      <c r="BE2127" s="38"/>
      <c r="BF2127" s="38"/>
      <c r="BG2127" s="38"/>
      <c r="BH2127" s="38"/>
      <c r="BI2127" s="38"/>
      <c r="BJ2127" s="38"/>
      <c r="BK2127" s="38"/>
      <c r="BL2127" s="38"/>
      <c r="BM2127" s="38"/>
      <c r="BN2127" s="38"/>
      <c r="BO2127" s="38"/>
      <c r="BP2127" s="38"/>
      <c r="BQ2127" s="38"/>
    </row>
    <row r="2128">
      <c r="A2128" s="16"/>
      <c r="B2128" s="16"/>
      <c r="C2128" s="146"/>
      <c r="D2128" s="146"/>
      <c r="E2128" s="16"/>
      <c r="F2128" s="91"/>
      <c r="G2128" s="16"/>
      <c r="H2128" s="320" t="str">
        <f t="shared" si="33"/>
        <v/>
      </c>
      <c r="I2128" s="16"/>
      <c r="J2128" s="16"/>
      <c r="K2128" s="16"/>
      <c r="L2128" s="16"/>
      <c r="M2128" s="15"/>
      <c r="N2128" s="15"/>
      <c r="O2128" s="16"/>
      <c r="P2128" s="16"/>
      <c r="Q2128" s="16"/>
      <c r="R2128" s="16"/>
      <c r="S2128" s="37" t="str">
        <f>IFERROR(__xludf.DUMMYFUNCTION("if(not(iserror(index(split(C2128, "" ""),2))), index(split(C2128, "" ""),1),"""")"),"")</f>
        <v/>
      </c>
      <c r="T2128" s="315" t="str">
        <f>IFERROR(__xludf.DUMMYFUNCTION("if(S2128="""",C2128,if(not(iserror(index(split(C2128, "" ""),3))), index(split(C2128, "" ""),3),index(split(C2128, "" ""),2)))"),"")</f>
        <v/>
      </c>
      <c r="U2128" s="38" t="b">
        <f t="shared" si="34"/>
        <v>0</v>
      </c>
      <c r="V2128" s="38"/>
      <c r="W2128" s="40"/>
      <c r="X2128" s="40"/>
      <c r="Y2128" s="38"/>
      <c r="Z2128" s="38"/>
      <c r="AA2128" s="38"/>
      <c r="AB2128" s="38"/>
      <c r="AC2128" s="38"/>
      <c r="AD2128" s="38"/>
      <c r="AE2128" s="38"/>
      <c r="AF2128" s="38"/>
      <c r="AG2128" s="38"/>
      <c r="AH2128" s="38"/>
      <c r="AI2128" s="38"/>
      <c r="AJ2128" s="38"/>
      <c r="AK2128" s="38"/>
      <c r="AL2128" s="38"/>
      <c r="AM2128" s="38"/>
      <c r="AN2128" s="38"/>
      <c r="AO2128" s="38"/>
      <c r="AP2128" s="38"/>
      <c r="AQ2128" s="38"/>
      <c r="AR2128" s="38"/>
      <c r="AS2128" s="38"/>
      <c r="AT2128" s="38"/>
      <c r="AU2128" s="38"/>
      <c r="AV2128" s="38"/>
      <c r="AW2128" s="38"/>
      <c r="AX2128" s="38"/>
      <c r="AY2128" s="38"/>
      <c r="AZ2128" s="38"/>
      <c r="BA2128" s="38"/>
      <c r="BB2128" s="38"/>
      <c r="BC2128" s="38"/>
      <c r="BD2128" s="38"/>
      <c r="BE2128" s="38"/>
      <c r="BF2128" s="38"/>
      <c r="BG2128" s="38"/>
      <c r="BH2128" s="38"/>
      <c r="BI2128" s="38"/>
      <c r="BJ2128" s="38"/>
      <c r="BK2128" s="38"/>
      <c r="BL2128" s="38"/>
      <c r="BM2128" s="38"/>
      <c r="BN2128" s="38"/>
      <c r="BO2128" s="38"/>
      <c r="BP2128" s="38"/>
      <c r="BQ2128" s="38"/>
    </row>
    <row r="2129">
      <c r="A2129" s="16"/>
      <c r="B2129" s="16"/>
      <c r="C2129" s="146"/>
      <c r="D2129" s="146"/>
      <c r="E2129" s="16"/>
      <c r="F2129" s="91"/>
      <c r="G2129" s="16"/>
      <c r="H2129" s="320" t="str">
        <f t="shared" si="33"/>
        <v/>
      </c>
      <c r="I2129" s="16"/>
      <c r="J2129" s="16"/>
      <c r="K2129" s="16"/>
      <c r="L2129" s="16"/>
      <c r="M2129" s="15"/>
      <c r="N2129" s="15"/>
      <c r="O2129" s="16"/>
      <c r="P2129" s="16"/>
      <c r="Q2129" s="16"/>
      <c r="R2129" s="16"/>
      <c r="S2129" s="37" t="str">
        <f>IFERROR(__xludf.DUMMYFUNCTION("if(not(iserror(index(split(C2129, "" ""),2))), index(split(C2129, "" ""),1),"""")"),"")</f>
        <v/>
      </c>
      <c r="T2129" s="315" t="str">
        <f>IFERROR(__xludf.DUMMYFUNCTION("if(S2129="""",C2129,if(not(iserror(index(split(C2129, "" ""),3))), index(split(C2129, "" ""),3),index(split(C2129, "" ""),2)))"),"")</f>
        <v/>
      </c>
      <c r="U2129" s="38" t="b">
        <f t="shared" si="34"/>
        <v>0</v>
      </c>
      <c r="V2129" s="38"/>
      <c r="W2129" s="40"/>
      <c r="X2129" s="40"/>
      <c r="Y2129" s="38"/>
      <c r="Z2129" s="38"/>
      <c r="AA2129" s="38"/>
      <c r="AB2129" s="38"/>
      <c r="AC2129" s="38"/>
      <c r="AD2129" s="38"/>
      <c r="AE2129" s="38"/>
      <c r="AF2129" s="38"/>
      <c r="AG2129" s="38"/>
      <c r="AH2129" s="38"/>
      <c r="AI2129" s="38"/>
      <c r="AJ2129" s="38"/>
      <c r="AK2129" s="38"/>
      <c r="AL2129" s="38"/>
      <c r="AM2129" s="38"/>
      <c r="AN2129" s="38"/>
      <c r="AO2129" s="38"/>
      <c r="AP2129" s="38"/>
      <c r="AQ2129" s="38"/>
      <c r="AR2129" s="38"/>
      <c r="AS2129" s="38"/>
      <c r="AT2129" s="38"/>
      <c r="AU2129" s="38"/>
      <c r="AV2129" s="38"/>
      <c r="AW2129" s="38"/>
      <c r="AX2129" s="38"/>
      <c r="AY2129" s="38"/>
      <c r="AZ2129" s="38"/>
      <c r="BA2129" s="38"/>
      <c r="BB2129" s="38"/>
      <c r="BC2129" s="38"/>
      <c r="BD2129" s="38"/>
      <c r="BE2129" s="38"/>
      <c r="BF2129" s="38"/>
      <c r="BG2129" s="38"/>
      <c r="BH2129" s="38"/>
      <c r="BI2129" s="38"/>
      <c r="BJ2129" s="38"/>
      <c r="BK2129" s="38"/>
      <c r="BL2129" s="38"/>
      <c r="BM2129" s="38"/>
      <c r="BN2129" s="38"/>
      <c r="BO2129" s="38"/>
      <c r="BP2129" s="38"/>
      <c r="BQ2129" s="38"/>
    </row>
    <row r="2130">
      <c r="A2130" s="16"/>
      <c r="B2130" s="16"/>
      <c r="C2130" s="146"/>
      <c r="D2130" s="146"/>
      <c r="E2130" s="16"/>
      <c r="F2130" s="91"/>
      <c r="G2130" s="16"/>
      <c r="H2130" s="320" t="str">
        <f t="shared" si="33"/>
        <v/>
      </c>
      <c r="I2130" s="16"/>
      <c r="J2130" s="16"/>
      <c r="K2130" s="16"/>
      <c r="L2130" s="16"/>
      <c r="M2130" s="15"/>
      <c r="N2130" s="15"/>
      <c r="O2130" s="16"/>
      <c r="P2130" s="16"/>
      <c r="Q2130" s="16"/>
      <c r="R2130" s="16"/>
      <c r="S2130" s="37" t="str">
        <f>IFERROR(__xludf.DUMMYFUNCTION("if(not(iserror(index(split(C2130, "" ""),2))), index(split(C2130, "" ""),1),"""")"),"")</f>
        <v/>
      </c>
      <c r="T2130" s="315" t="str">
        <f>IFERROR(__xludf.DUMMYFUNCTION("if(S2130="""",C2130,if(not(iserror(index(split(C2130, "" ""),3))), index(split(C2130, "" ""),3),index(split(C2130, "" ""),2)))"),"")</f>
        <v/>
      </c>
      <c r="U2130" s="38" t="b">
        <f t="shared" si="34"/>
        <v>0</v>
      </c>
      <c r="V2130" s="38"/>
      <c r="W2130" s="40"/>
      <c r="X2130" s="40"/>
      <c r="Y2130" s="38"/>
      <c r="Z2130" s="38"/>
      <c r="AA2130" s="38"/>
      <c r="AB2130" s="38"/>
      <c r="AC2130" s="38"/>
      <c r="AD2130" s="38"/>
      <c r="AE2130" s="38"/>
      <c r="AF2130" s="38"/>
      <c r="AG2130" s="38"/>
      <c r="AH2130" s="38"/>
      <c r="AI2130" s="38"/>
      <c r="AJ2130" s="38"/>
      <c r="AK2130" s="38"/>
      <c r="AL2130" s="38"/>
      <c r="AM2130" s="38"/>
      <c r="AN2130" s="38"/>
      <c r="AO2130" s="38"/>
      <c r="AP2130" s="38"/>
      <c r="AQ2130" s="38"/>
      <c r="AR2130" s="38"/>
      <c r="AS2130" s="38"/>
      <c r="AT2130" s="38"/>
      <c r="AU2130" s="38"/>
      <c r="AV2130" s="38"/>
      <c r="AW2130" s="38"/>
      <c r="AX2130" s="38"/>
      <c r="AY2130" s="38"/>
      <c r="AZ2130" s="38"/>
      <c r="BA2130" s="38"/>
      <c r="BB2130" s="38"/>
      <c r="BC2130" s="38"/>
      <c r="BD2130" s="38"/>
      <c r="BE2130" s="38"/>
      <c r="BF2130" s="38"/>
      <c r="BG2130" s="38"/>
      <c r="BH2130" s="38"/>
      <c r="BI2130" s="38"/>
      <c r="BJ2130" s="38"/>
      <c r="BK2130" s="38"/>
      <c r="BL2130" s="38"/>
      <c r="BM2130" s="38"/>
      <c r="BN2130" s="38"/>
      <c r="BO2130" s="38"/>
      <c r="BP2130" s="38"/>
      <c r="BQ2130" s="38"/>
    </row>
    <row r="2131">
      <c r="A2131" s="16"/>
      <c r="B2131" s="16"/>
      <c r="C2131" s="146"/>
      <c r="D2131" s="146"/>
      <c r="E2131" s="16"/>
      <c r="F2131" s="91"/>
      <c r="G2131" s="16"/>
      <c r="H2131" s="320" t="str">
        <f t="shared" si="33"/>
        <v/>
      </c>
      <c r="I2131" s="16"/>
      <c r="J2131" s="16"/>
      <c r="K2131" s="16"/>
      <c r="L2131" s="16"/>
      <c r="M2131" s="15"/>
      <c r="N2131" s="15"/>
      <c r="O2131" s="16"/>
      <c r="P2131" s="16"/>
      <c r="Q2131" s="16"/>
      <c r="R2131" s="16"/>
      <c r="S2131" s="37" t="str">
        <f>IFERROR(__xludf.DUMMYFUNCTION("if(not(iserror(index(split(C2131, "" ""),2))), index(split(C2131, "" ""),1),"""")"),"")</f>
        <v/>
      </c>
      <c r="T2131" s="315" t="str">
        <f>IFERROR(__xludf.DUMMYFUNCTION("if(S2131="""",C2131,if(not(iserror(index(split(C2131, "" ""),3))), index(split(C2131, "" ""),3),index(split(C2131, "" ""),2)))"),"")</f>
        <v/>
      </c>
      <c r="U2131" s="38" t="b">
        <f t="shared" si="34"/>
        <v>0</v>
      </c>
      <c r="V2131" s="38"/>
      <c r="W2131" s="40"/>
      <c r="X2131" s="40"/>
      <c r="Y2131" s="38"/>
      <c r="Z2131" s="38"/>
      <c r="AA2131" s="38"/>
      <c r="AB2131" s="38"/>
      <c r="AC2131" s="38"/>
      <c r="AD2131" s="38"/>
      <c r="AE2131" s="38"/>
      <c r="AF2131" s="38"/>
      <c r="AG2131" s="38"/>
      <c r="AH2131" s="38"/>
      <c r="AI2131" s="38"/>
      <c r="AJ2131" s="38"/>
      <c r="AK2131" s="38"/>
      <c r="AL2131" s="38"/>
      <c r="AM2131" s="38"/>
      <c r="AN2131" s="38"/>
      <c r="AO2131" s="38"/>
      <c r="AP2131" s="38"/>
      <c r="AQ2131" s="38"/>
      <c r="AR2131" s="38"/>
      <c r="AS2131" s="38"/>
      <c r="AT2131" s="38"/>
      <c r="AU2131" s="38"/>
      <c r="AV2131" s="38"/>
      <c r="AW2131" s="38"/>
      <c r="AX2131" s="38"/>
      <c r="AY2131" s="38"/>
      <c r="AZ2131" s="38"/>
      <c r="BA2131" s="38"/>
      <c r="BB2131" s="38"/>
      <c r="BC2131" s="38"/>
      <c r="BD2131" s="38"/>
      <c r="BE2131" s="38"/>
      <c r="BF2131" s="38"/>
      <c r="BG2131" s="38"/>
      <c r="BH2131" s="38"/>
      <c r="BI2131" s="38"/>
      <c r="BJ2131" s="38"/>
      <c r="BK2131" s="38"/>
      <c r="BL2131" s="38"/>
      <c r="BM2131" s="38"/>
      <c r="BN2131" s="38"/>
      <c r="BO2131" s="38"/>
      <c r="BP2131" s="38"/>
      <c r="BQ2131" s="38"/>
    </row>
    <row r="2132">
      <c r="A2132" s="16"/>
      <c r="B2132" s="16"/>
      <c r="C2132" s="146"/>
      <c r="D2132" s="146"/>
      <c r="E2132" s="16"/>
      <c r="F2132" s="91"/>
      <c r="G2132" s="16"/>
      <c r="H2132" s="320" t="str">
        <f t="shared" si="33"/>
        <v/>
      </c>
      <c r="I2132" s="16"/>
      <c r="J2132" s="16"/>
      <c r="K2132" s="16"/>
      <c r="L2132" s="16"/>
      <c r="M2132" s="15"/>
      <c r="N2132" s="15"/>
      <c r="O2132" s="16"/>
      <c r="P2132" s="16"/>
      <c r="Q2132" s="16"/>
      <c r="R2132" s="16"/>
      <c r="S2132" s="37" t="str">
        <f>IFERROR(__xludf.DUMMYFUNCTION("if(not(iserror(index(split(C2132, "" ""),2))), index(split(C2132, "" ""),1),"""")"),"")</f>
        <v/>
      </c>
      <c r="T2132" s="315" t="str">
        <f>IFERROR(__xludf.DUMMYFUNCTION("if(S2132="""",C2132,if(not(iserror(index(split(C2132, "" ""),3))), index(split(C2132, "" ""),3),index(split(C2132, "" ""),2)))"),"")</f>
        <v/>
      </c>
      <c r="U2132" s="38" t="b">
        <f t="shared" si="34"/>
        <v>0</v>
      </c>
      <c r="V2132" s="38"/>
      <c r="W2132" s="40"/>
      <c r="X2132" s="40"/>
      <c r="Y2132" s="38"/>
      <c r="Z2132" s="38"/>
      <c r="AA2132" s="38"/>
      <c r="AB2132" s="38"/>
      <c r="AC2132" s="38"/>
      <c r="AD2132" s="38"/>
      <c r="AE2132" s="38"/>
      <c r="AF2132" s="38"/>
      <c r="AG2132" s="38"/>
      <c r="AH2132" s="38"/>
      <c r="AI2132" s="38"/>
      <c r="AJ2132" s="38"/>
      <c r="AK2132" s="38"/>
      <c r="AL2132" s="38"/>
      <c r="AM2132" s="38"/>
      <c r="AN2132" s="38"/>
      <c r="AO2132" s="38"/>
      <c r="AP2132" s="38"/>
      <c r="AQ2132" s="38"/>
      <c r="AR2132" s="38"/>
      <c r="AS2132" s="38"/>
      <c r="AT2132" s="38"/>
      <c r="AU2132" s="38"/>
      <c r="AV2132" s="38"/>
      <c r="AW2132" s="38"/>
      <c r="AX2132" s="38"/>
      <c r="AY2132" s="38"/>
      <c r="AZ2132" s="38"/>
      <c r="BA2132" s="38"/>
      <c r="BB2132" s="38"/>
      <c r="BC2132" s="38"/>
      <c r="BD2132" s="38"/>
      <c r="BE2132" s="38"/>
      <c r="BF2132" s="38"/>
      <c r="BG2132" s="38"/>
      <c r="BH2132" s="38"/>
      <c r="BI2132" s="38"/>
      <c r="BJ2132" s="38"/>
      <c r="BK2132" s="38"/>
      <c r="BL2132" s="38"/>
      <c r="BM2132" s="38"/>
      <c r="BN2132" s="38"/>
      <c r="BO2132" s="38"/>
      <c r="BP2132" s="38"/>
      <c r="BQ2132" s="38"/>
    </row>
    <row r="2133">
      <c r="A2133" s="16"/>
      <c r="B2133" s="16"/>
      <c r="C2133" s="146"/>
      <c r="D2133" s="146"/>
      <c r="E2133" s="16"/>
      <c r="F2133" s="91"/>
      <c r="G2133" s="16"/>
      <c r="H2133" s="320" t="str">
        <f t="shared" si="33"/>
        <v/>
      </c>
      <c r="I2133" s="16"/>
      <c r="J2133" s="16"/>
      <c r="K2133" s="16"/>
      <c r="L2133" s="16"/>
      <c r="M2133" s="15"/>
      <c r="N2133" s="15"/>
      <c r="O2133" s="16"/>
      <c r="P2133" s="16"/>
      <c r="Q2133" s="16"/>
      <c r="R2133" s="16"/>
      <c r="S2133" s="37" t="str">
        <f>IFERROR(__xludf.DUMMYFUNCTION("if(not(iserror(index(split(C2133, "" ""),2))), index(split(C2133, "" ""),1),"""")"),"")</f>
        <v/>
      </c>
      <c r="T2133" s="315" t="str">
        <f>IFERROR(__xludf.DUMMYFUNCTION("if(S2133="""",C2133,if(not(iserror(index(split(C2133, "" ""),3))), index(split(C2133, "" ""),3),index(split(C2133, "" ""),2)))"),"")</f>
        <v/>
      </c>
      <c r="U2133" s="38" t="b">
        <f t="shared" si="34"/>
        <v>0</v>
      </c>
      <c r="V2133" s="38"/>
      <c r="W2133" s="40"/>
      <c r="X2133" s="40"/>
      <c r="Y2133" s="38"/>
      <c r="Z2133" s="38"/>
      <c r="AA2133" s="38"/>
      <c r="AB2133" s="38"/>
      <c r="AC2133" s="38"/>
      <c r="AD2133" s="38"/>
      <c r="AE2133" s="38"/>
      <c r="AF2133" s="38"/>
      <c r="AG2133" s="38"/>
      <c r="AH2133" s="38"/>
      <c r="AI2133" s="38"/>
      <c r="AJ2133" s="38"/>
      <c r="AK2133" s="38"/>
      <c r="AL2133" s="38"/>
      <c r="AM2133" s="38"/>
      <c r="AN2133" s="38"/>
      <c r="AO2133" s="38"/>
      <c r="AP2133" s="38"/>
      <c r="AQ2133" s="38"/>
      <c r="AR2133" s="38"/>
      <c r="AS2133" s="38"/>
      <c r="AT2133" s="38"/>
      <c r="AU2133" s="38"/>
      <c r="AV2133" s="38"/>
      <c r="AW2133" s="38"/>
      <c r="AX2133" s="38"/>
      <c r="AY2133" s="38"/>
      <c r="AZ2133" s="38"/>
      <c r="BA2133" s="38"/>
      <c r="BB2133" s="38"/>
      <c r="BC2133" s="38"/>
      <c r="BD2133" s="38"/>
      <c r="BE2133" s="38"/>
      <c r="BF2133" s="38"/>
      <c r="BG2133" s="38"/>
      <c r="BH2133" s="38"/>
      <c r="BI2133" s="38"/>
      <c r="BJ2133" s="38"/>
      <c r="BK2133" s="38"/>
      <c r="BL2133" s="38"/>
      <c r="BM2133" s="38"/>
      <c r="BN2133" s="38"/>
      <c r="BO2133" s="38"/>
      <c r="BP2133" s="38"/>
      <c r="BQ2133" s="38"/>
    </row>
    <row r="2134">
      <c r="A2134" s="16"/>
      <c r="B2134" s="16"/>
      <c r="C2134" s="146"/>
      <c r="D2134" s="146"/>
      <c r="E2134" s="16"/>
      <c r="F2134" s="91"/>
      <c r="G2134" s="16"/>
      <c r="H2134" s="320" t="str">
        <f t="shared" si="33"/>
        <v/>
      </c>
      <c r="I2134" s="16"/>
      <c r="J2134" s="16"/>
      <c r="K2134" s="16"/>
      <c r="L2134" s="16"/>
      <c r="M2134" s="15"/>
      <c r="N2134" s="15"/>
      <c r="O2134" s="16"/>
      <c r="P2134" s="16"/>
      <c r="Q2134" s="16"/>
      <c r="R2134" s="16"/>
      <c r="S2134" s="37" t="str">
        <f>IFERROR(__xludf.DUMMYFUNCTION("if(not(iserror(index(split(C2134, "" ""),2))), index(split(C2134, "" ""),1),"""")"),"")</f>
        <v/>
      </c>
      <c r="T2134" s="315" t="str">
        <f>IFERROR(__xludf.DUMMYFUNCTION("if(S2134="""",C2134,if(not(iserror(index(split(C2134, "" ""),3))), index(split(C2134, "" ""),3),index(split(C2134, "" ""),2)))"),"")</f>
        <v/>
      </c>
      <c r="U2134" s="38" t="b">
        <f t="shared" si="34"/>
        <v>0</v>
      </c>
      <c r="V2134" s="38"/>
      <c r="W2134" s="40"/>
      <c r="X2134" s="40"/>
      <c r="Y2134" s="38"/>
      <c r="Z2134" s="38"/>
      <c r="AA2134" s="38"/>
      <c r="AB2134" s="38"/>
      <c r="AC2134" s="38"/>
      <c r="AD2134" s="38"/>
      <c r="AE2134" s="38"/>
      <c r="AF2134" s="38"/>
      <c r="AG2134" s="38"/>
      <c r="AH2134" s="38"/>
      <c r="AI2134" s="38"/>
      <c r="AJ2134" s="38"/>
      <c r="AK2134" s="38"/>
      <c r="AL2134" s="38"/>
      <c r="AM2134" s="38"/>
      <c r="AN2134" s="38"/>
      <c r="AO2134" s="38"/>
      <c r="AP2134" s="38"/>
      <c r="AQ2134" s="38"/>
      <c r="AR2134" s="38"/>
      <c r="AS2134" s="38"/>
      <c r="AT2134" s="38"/>
      <c r="AU2134" s="38"/>
      <c r="AV2134" s="38"/>
      <c r="AW2134" s="38"/>
      <c r="AX2134" s="38"/>
      <c r="AY2134" s="38"/>
      <c r="AZ2134" s="38"/>
      <c r="BA2134" s="38"/>
      <c r="BB2134" s="38"/>
      <c r="BC2134" s="38"/>
      <c r="BD2134" s="38"/>
      <c r="BE2134" s="38"/>
      <c r="BF2134" s="38"/>
      <c r="BG2134" s="38"/>
      <c r="BH2134" s="38"/>
      <c r="BI2134" s="38"/>
      <c r="BJ2134" s="38"/>
      <c r="BK2134" s="38"/>
      <c r="BL2134" s="38"/>
      <c r="BM2134" s="38"/>
      <c r="BN2134" s="38"/>
      <c r="BO2134" s="38"/>
      <c r="BP2134" s="38"/>
      <c r="BQ2134" s="38"/>
    </row>
    <row r="2135">
      <c r="A2135" s="16"/>
      <c r="B2135" s="16"/>
      <c r="C2135" s="146"/>
      <c r="D2135" s="146"/>
      <c r="E2135" s="16"/>
      <c r="F2135" s="91"/>
      <c r="G2135" s="16"/>
      <c r="H2135" s="320" t="str">
        <f t="shared" si="33"/>
        <v/>
      </c>
      <c r="I2135" s="16"/>
      <c r="J2135" s="16"/>
      <c r="K2135" s="16"/>
      <c r="L2135" s="16"/>
      <c r="M2135" s="15"/>
      <c r="N2135" s="15"/>
      <c r="O2135" s="16"/>
      <c r="P2135" s="16"/>
      <c r="Q2135" s="16"/>
      <c r="R2135" s="16"/>
      <c r="S2135" s="37" t="str">
        <f>IFERROR(__xludf.DUMMYFUNCTION("if(not(iserror(index(split(C2135, "" ""),2))), index(split(C2135, "" ""),1),"""")"),"")</f>
        <v/>
      </c>
      <c r="T2135" s="315" t="str">
        <f>IFERROR(__xludf.DUMMYFUNCTION("if(S2135="""",C2135,if(not(iserror(index(split(C2135, "" ""),3))), index(split(C2135, "" ""),3),index(split(C2135, "" ""),2)))"),"")</f>
        <v/>
      </c>
      <c r="U2135" s="38" t="b">
        <f t="shared" si="34"/>
        <v>0</v>
      </c>
      <c r="V2135" s="38"/>
      <c r="W2135" s="40"/>
      <c r="X2135" s="40"/>
      <c r="Y2135" s="38"/>
      <c r="Z2135" s="38"/>
      <c r="AA2135" s="38"/>
      <c r="AB2135" s="38"/>
      <c r="AC2135" s="38"/>
      <c r="AD2135" s="38"/>
      <c r="AE2135" s="38"/>
      <c r="AF2135" s="38"/>
      <c r="AG2135" s="38"/>
      <c r="AH2135" s="38"/>
      <c r="AI2135" s="38"/>
      <c r="AJ2135" s="38"/>
      <c r="AK2135" s="38"/>
      <c r="AL2135" s="38"/>
      <c r="AM2135" s="38"/>
      <c r="AN2135" s="38"/>
      <c r="AO2135" s="38"/>
      <c r="AP2135" s="38"/>
      <c r="AQ2135" s="38"/>
      <c r="AR2135" s="38"/>
      <c r="AS2135" s="38"/>
      <c r="AT2135" s="38"/>
      <c r="AU2135" s="38"/>
      <c r="AV2135" s="38"/>
      <c r="AW2135" s="38"/>
      <c r="AX2135" s="38"/>
      <c r="AY2135" s="38"/>
      <c r="AZ2135" s="38"/>
      <c r="BA2135" s="38"/>
      <c r="BB2135" s="38"/>
      <c r="BC2135" s="38"/>
      <c r="BD2135" s="38"/>
      <c r="BE2135" s="38"/>
      <c r="BF2135" s="38"/>
      <c r="BG2135" s="38"/>
      <c r="BH2135" s="38"/>
      <c r="BI2135" s="38"/>
      <c r="BJ2135" s="38"/>
      <c r="BK2135" s="38"/>
      <c r="BL2135" s="38"/>
      <c r="BM2135" s="38"/>
      <c r="BN2135" s="38"/>
      <c r="BO2135" s="38"/>
      <c r="BP2135" s="38"/>
      <c r="BQ2135" s="38"/>
    </row>
    <row r="2136">
      <c r="A2136" s="16"/>
      <c r="B2136" s="16"/>
      <c r="C2136" s="146"/>
      <c r="D2136" s="146"/>
      <c r="E2136" s="16"/>
      <c r="F2136" s="91"/>
      <c r="G2136" s="16"/>
      <c r="H2136" s="320" t="str">
        <f t="shared" si="33"/>
        <v/>
      </c>
      <c r="I2136" s="16"/>
      <c r="J2136" s="16"/>
      <c r="K2136" s="16"/>
      <c r="L2136" s="16"/>
      <c r="M2136" s="15"/>
      <c r="N2136" s="15"/>
      <c r="O2136" s="16"/>
      <c r="P2136" s="16"/>
      <c r="Q2136" s="16"/>
      <c r="R2136" s="16"/>
      <c r="S2136" s="37" t="str">
        <f>IFERROR(__xludf.DUMMYFUNCTION("if(not(iserror(index(split(C2136, "" ""),2))), index(split(C2136, "" ""),1),"""")"),"")</f>
        <v/>
      </c>
      <c r="T2136" s="315" t="str">
        <f>IFERROR(__xludf.DUMMYFUNCTION("if(S2136="""",C2136,if(not(iserror(index(split(C2136, "" ""),3))), index(split(C2136, "" ""),3),index(split(C2136, "" ""),2)))"),"")</f>
        <v/>
      </c>
      <c r="U2136" s="38" t="b">
        <f t="shared" si="34"/>
        <v>0</v>
      </c>
      <c r="V2136" s="38"/>
      <c r="W2136" s="40"/>
      <c r="X2136" s="40"/>
      <c r="Y2136" s="38"/>
      <c r="Z2136" s="38"/>
      <c r="AA2136" s="38"/>
      <c r="AB2136" s="38"/>
      <c r="AC2136" s="38"/>
      <c r="AD2136" s="38"/>
      <c r="AE2136" s="38"/>
      <c r="AF2136" s="38"/>
      <c r="AG2136" s="38"/>
      <c r="AH2136" s="38"/>
      <c r="AI2136" s="38"/>
      <c r="AJ2136" s="38"/>
      <c r="AK2136" s="38"/>
      <c r="AL2136" s="38"/>
      <c r="AM2136" s="38"/>
      <c r="AN2136" s="38"/>
      <c r="AO2136" s="38"/>
      <c r="AP2136" s="38"/>
      <c r="AQ2136" s="38"/>
      <c r="AR2136" s="38"/>
      <c r="AS2136" s="38"/>
      <c r="AT2136" s="38"/>
      <c r="AU2136" s="38"/>
      <c r="AV2136" s="38"/>
      <c r="AW2136" s="38"/>
      <c r="AX2136" s="38"/>
      <c r="AY2136" s="38"/>
      <c r="AZ2136" s="38"/>
      <c r="BA2136" s="38"/>
      <c r="BB2136" s="38"/>
      <c r="BC2136" s="38"/>
      <c r="BD2136" s="38"/>
      <c r="BE2136" s="38"/>
      <c r="BF2136" s="38"/>
      <c r="BG2136" s="38"/>
      <c r="BH2136" s="38"/>
      <c r="BI2136" s="38"/>
      <c r="BJ2136" s="38"/>
      <c r="BK2136" s="38"/>
      <c r="BL2136" s="38"/>
      <c r="BM2136" s="38"/>
      <c r="BN2136" s="38"/>
      <c r="BO2136" s="38"/>
      <c r="BP2136" s="38"/>
      <c r="BQ2136" s="38"/>
    </row>
    <row r="2137">
      <c r="A2137" s="16"/>
      <c r="B2137" s="16"/>
      <c r="C2137" s="146"/>
      <c r="D2137" s="146"/>
      <c r="E2137" s="16"/>
      <c r="F2137" s="91"/>
      <c r="G2137" s="16"/>
      <c r="H2137" s="320" t="str">
        <f t="shared" si="33"/>
        <v/>
      </c>
      <c r="I2137" s="16"/>
      <c r="J2137" s="16"/>
      <c r="K2137" s="16"/>
      <c r="L2137" s="16"/>
      <c r="M2137" s="15"/>
      <c r="N2137" s="15"/>
      <c r="O2137" s="16"/>
      <c r="P2137" s="16"/>
      <c r="Q2137" s="16"/>
      <c r="R2137" s="16"/>
      <c r="S2137" s="37" t="str">
        <f>IFERROR(__xludf.DUMMYFUNCTION("if(not(iserror(index(split(C2137, "" ""),2))), index(split(C2137, "" ""),1),"""")"),"")</f>
        <v/>
      </c>
      <c r="T2137" s="315" t="str">
        <f>IFERROR(__xludf.DUMMYFUNCTION("if(S2137="""",C2137,if(not(iserror(index(split(C2137, "" ""),3))), index(split(C2137, "" ""),3),index(split(C2137, "" ""),2)))"),"")</f>
        <v/>
      </c>
      <c r="U2137" s="38" t="b">
        <f t="shared" si="34"/>
        <v>0</v>
      </c>
      <c r="V2137" s="38"/>
      <c r="W2137" s="40"/>
      <c r="X2137" s="40"/>
      <c r="Y2137" s="38"/>
      <c r="Z2137" s="38"/>
      <c r="AA2137" s="38"/>
      <c r="AB2137" s="38"/>
      <c r="AC2137" s="38"/>
      <c r="AD2137" s="38"/>
      <c r="AE2137" s="38"/>
      <c r="AF2137" s="38"/>
      <c r="AG2137" s="38"/>
      <c r="AH2137" s="38"/>
      <c r="AI2137" s="38"/>
      <c r="AJ2137" s="38"/>
      <c r="AK2137" s="38"/>
      <c r="AL2137" s="38"/>
      <c r="AM2137" s="38"/>
      <c r="AN2137" s="38"/>
      <c r="AO2137" s="38"/>
      <c r="AP2137" s="38"/>
      <c r="AQ2137" s="38"/>
      <c r="AR2137" s="38"/>
      <c r="AS2137" s="38"/>
      <c r="AT2137" s="38"/>
      <c r="AU2137" s="38"/>
      <c r="AV2137" s="38"/>
      <c r="AW2137" s="38"/>
      <c r="AX2137" s="38"/>
      <c r="AY2137" s="38"/>
      <c r="AZ2137" s="38"/>
      <c r="BA2137" s="38"/>
      <c r="BB2137" s="38"/>
      <c r="BC2137" s="38"/>
      <c r="BD2137" s="38"/>
      <c r="BE2137" s="38"/>
      <c r="BF2137" s="38"/>
      <c r="BG2137" s="38"/>
      <c r="BH2137" s="38"/>
      <c r="BI2137" s="38"/>
      <c r="BJ2137" s="38"/>
      <c r="BK2137" s="38"/>
      <c r="BL2137" s="38"/>
      <c r="BM2137" s="38"/>
      <c r="BN2137" s="38"/>
      <c r="BO2137" s="38"/>
      <c r="BP2137" s="38"/>
      <c r="BQ2137" s="38"/>
    </row>
    <row r="2138">
      <c r="A2138" s="16"/>
      <c r="B2138" s="16"/>
      <c r="C2138" s="146"/>
      <c r="D2138" s="146"/>
      <c r="E2138" s="16"/>
      <c r="F2138" s="91"/>
      <c r="G2138" s="16"/>
      <c r="H2138" s="320" t="str">
        <f t="shared" si="33"/>
        <v/>
      </c>
      <c r="I2138" s="16"/>
      <c r="J2138" s="16"/>
      <c r="K2138" s="16"/>
      <c r="L2138" s="16"/>
      <c r="M2138" s="15"/>
      <c r="N2138" s="15"/>
      <c r="O2138" s="16"/>
      <c r="P2138" s="16"/>
      <c r="Q2138" s="16"/>
      <c r="R2138" s="16"/>
      <c r="S2138" s="37" t="str">
        <f>IFERROR(__xludf.DUMMYFUNCTION("if(not(iserror(index(split(C2138, "" ""),2))), index(split(C2138, "" ""),1),"""")"),"")</f>
        <v/>
      </c>
      <c r="T2138" s="315" t="str">
        <f>IFERROR(__xludf.DUMMYFUNCTION("if(S2138="""",C2138,if(not(iserror(index(split(C2138, "" ""),3))), index(split(C2138, "" ""),3),index(split(C2138, "" ""),2)))"),"")</f>
        <v/>
      </c>
      <c r="U2138" s="38" t="b">
        <f t="shared" si="34"/>
        <v>0</v>
      </c>
      <c r="V2138" s="38"/>
      <c r="W2138" s="40"/>
      <c r="X2138" s="40"/>
      <c r="Y2138" s="38"/>
      <c r="Z2138" s="38"/>
      <c r="AA2138" s="38"/>
      <c r="AB2138" s="38"/>
      <c r="AC2138" s="38"/>
      <c r="AD2138" s="38"/>
      <c r="AE2138" s="38"/>
      <c r="AF2138" s="38"/>
      <c r="AG2138" s="38"/>
      <c r="AH2138" s="38"/>
      <c r="AI2138" s="38"/>
      <c r="AJ2138" s="38"/>
      <c r="AK2138" s="38"/>
      <c r="AL2138" s="38"/>
      <c r="AM2138" s="38"/>
      <c r="AN2138" s="38"/>
      <c r="AO2138" s="38"/>
      <c r="AP2138" s="38"/>
      <c r="AQ2138" s="38"/>
      <c r="AR2138" s="38"/>
      <c r="AS2138" s="38"/>
      <c r="AT2138" s="38"/>
      <c r="AU2138" s="38"/>
      <c r="AV2138" s="38"/>
      <c r="AW2138" s="38"/>
      <c r="AX2138" s="38"/>
      <c r="AY2138" s="38"/>
      <c r="AZ2138" s="38"/>
      <c r="BA2138" s="38"/>
      <c r="BB2138" s="38"/>
      <c r="BC2138" s="38"/>
      <c r="BD2138" s="38"/>
      <c r="BE2138" s="38"/>
      <c r="BF2138" s="38"/>
      <c r="BG2138" s="38"/>
      <c r="BH2138" s="38"/>
      <c r="BI2138" s="38"/>
      <c r="BJ2138" s="38"/>
      <c r="BK2138" s="38"/>
      <c r="BL2138" s="38"/>
      <c r="BM2138" s="38"/>
      <c r="BN2138" s="38"/>
      <c r="BO2138" s="38"/>
      <c r="BP2138" s="38"/>
      <c r="BQ2138" s="38"/>
    </row>
    <row r="2139">
      <c r="A2139" s="16"/>
      <c r="B2139" s="16"/>
      <c r="C2139" s="146"/>
      <c r="D2139" s="146"/>
      <c r="E2139" s="16"/>
      <c r="F2139" s="91"/>
      <c r="G2139" s="16"/>
      <c r="H2139" s="320" t="str">
        <f t="shared" si="33"/>
        <v/>
      </c>
      <c r="I2139" s="16"/>
      <c r="J2139" s="16"/>
      <c r="K2139" s="16"/>
      <c r="L2139" s="16"/>
      <c r="M2139" s="15"/>
      <c r="N2139" s="15"/>
      <c r="O2139" s="16"/>
      <c r="P2139" s="16"/>
      <c r="Q2139" s="16"/>
      <c r="R2139" s="16"/>
      <c r="S2139" s="37" t="str">
        <f>IFERROR(__xludf.DUMMYFUNCTION("if(not(iserror(index(split(C2139, "" ""),2))), index(split(C2139, "" ""),1),"""")"),"")</f>
        <v/>
      </c>
      <c r="T2139" s="315" t="str">
        <f>IFERROR(__xludf.DUMMYFUNCTION("if(S2139="""",C2139,if(not(iserror(index(split(C2139, "" ""),3))), index(split(C2139, "" ""),3),index(split(C2139, "" ""),2)))"),"")</f>
        <v/>
      </c>
      <c r="U2139" s="38" t="b">
        <f t="shared" si="34"/>
        <v>0</v>
      </c>
      <c r="V2139" s="38"/>
      <c r="W2139" s="40"/>
      <c r="X2139" s="40"/>
      <c r="Y2139" s="38"/>
      <c r="Z2139" s="38"/>
      <c r="AA2139" s="38"/>
      <c r="AB2139" s="38"/>
      <c r="AC2139" s="38"/>
      <c r="AD2139" s="38"/>
      <c r="AE2139" s="38"/>
      <c r="AF2139" s="38"/>
      <c r="AG2139" s="38"/>
      <c r="AH2139" s="38"/>
      <c r="AI2139" s="38"/>
      <c r="AJ2139" s="38"/>
      <c r="AK2139" s="38"/>
      <c r="AL2139" s="38"/>
      <c r="AM2139" s="38"/>
      <c r="AN2139" s="38"/>
      <c r="AO2139" s="38"/>
      <c r="AP2139" s="38"/>
      <c r="AQ2139" s="38"/>
      <c r="AR2139" s="38"/>
      <c r="AS2139" s="38"/>
      <c r="AT2139" s="38"/>
      <c r="AU2139" s="38"/>
      <c r="AV2139" s="38"/>
      <c r="AW2139" s="38"/>
      <c r="AX2139" s="38"/>
      <c r="AY2139" s="38"/>
      <c r="AZ2139" s="38"/>
      <c r="BA2139" s="38"/>
      <c r="BB2139" s="38"/>
      <c r="BC2139" s="38"/>
      <c r="BD2139" s="38"/>
      <c r="BE2139" s="38"/>
      <c r="BF2139" s="38"/>
      <c r="BG2139" s="38"/>
      <c r="BH2139" s="38"/>
      <c r="BI2139" s="38"/>
      <c r="BJ2139" s="38"/>
      <c r="BK2139" s="38"/>
      <c r="BL2139" s="38"/>
      <c r="BM2139" s="38"/>
      <c r="BN2139" s="38"/>
      <c r="BO2139" s="38"/>
      <c r="BP2139" s="38"/>
      <c r="BQ2139" s="38"/>
    </row>
    <row r="2140">
      <c r="A2140" s="16"/>
      <c r="B2140" s="16"/>
      <c r="C2140" s="146"/>
      <c r="D2140" s="146"/>
      <c r="E2140" s="16"/>
      <c r="F2140" s="91"/>
      <c r="G2140" s="16"/>
      <c r="H2140" s="320" t="str">
        <f t="shared" si="33"/>
        <v/>
      </c>
      <c r="I2140" s="16"/>
      <c r="J2140" s="16"/>
      <c r="K2140" s="16"/>
      <c r="L2140" s="16"/>
      <c r="M2140" s="15"/>
      <c r="N2140" s="15"/>
      <c r="O2140" s="16"/>
      <c r="P2140" s="16"/>
      <c r="Q2140" s="16"/>
      <c r="R2140" s="16"/>
      <c r="S2140" s="37" t="str">
        <f>IFERROR(__xludf.DUMMYFUNCTION("if(not(iserror(index(split(C2140, "" ""),2))), index(split(C2140, "" ""),1),"""")"),"")</f>
        <v/>
      </c>
      <c r="T2140" s="315" t="str">
        <f>IFERROR(__xludf.DUMMYFUNCTION("if(S2140="""",C2140,if(not(iserror(index(split(C2140, "" ""),3))), index(split(C2140, "" ""),3),index(split(C2140, "" ""),2)))"),"")</f>
        <v/>
      </c>
      <c r="U2140" s="38" t="b">
        <f t="shared" si="34"/>
        <v>0</v>
      </c>
      <c r="V2140" s="38"/>
      <c r="W2140" s="40"/>
      <c r="X2140" s="40"/>
      <c r="Y2140" s="38"/>
      <c r="Z2140" s="38"/>
      <c r="AA2140" s="38"/>
      <c r="AB2140" s="38"/>
      <c r="AC2140" s="38"/>
      <c r="AD2140" s="38"/>
      <c r="AE2140" s="38"/>
      <c r="AF2140" s="38"/>
      <c r="AG2140" s="38"/>
      <c r="AH2140" s="38"/>
      <c r="AI2140" s="38"/>
      <c r="AJ2140" s="38"/>
      <c r="AK2140" s="38"/>
      <c r="AL2140" s="38"/>
      <c r="AM2140" s="38"/>
      <c r="AN2140" s="38"/>
      <c r="AO2140" s="38"/>
      <c r="AP2140" s="38"/>
      <c r="AQ2140" s="38"/>
      <c r="AR2140" s="38"/>
      <c r="AS2140" s="38"/>
      <c r="AT2140" s="38"/>
      <c r="AU2140" s="38"/>
      <c r="AV2140" s="38"/>
      <c r="AW2140" s="38"/>
      <c r="AX2140" s="38"/>
      <c r="AY2140" s="38"/>
      <c r="AZ2140" s="38"/>
      <c r="BA2140" s="38"/>
      <c r="BB2140" s="38"/>
      <c r="BC2140" s="38"/>
      <c r="BD2140" s="38"/>
      <c r="BE2140" s="38"/>
      <c r="BF2140" s="38"/>
      <c r="BG2140" s="38"/>
      <c r="BH2140" s="38"/>
      <c r="BI2140" s="38"/>
      <c r="BJ2140" s="38"/>
      <c r="BK2140" s="38"/>
      <c r="BL2140" s="38"/>
      <c r="BM2140" s="38"/>
      <c r="BN2140" s="38"/>
      <c r="BO2140" s="38"/>
      <c r="BP2140" s="38"/>
      <c r="BQ2140" s="38"/>
    </row>
    <row r="2141">
      <c r="A2141" s="16"/>
      <c r="B2141" s="16"/>
      <c r="C2141" s="146"/>
      <c r="D2141" s="146"/>
      <c r="E2141" s="16"/>
      <c r="F2141" s="91"/>
      <c r="G2141" s="16"/>
      <c r="H2141" s="320" t="str">
        <f t="shared" si="33"/>
        <v/>
      </c>
      <c r="I2141" s="16"/>
      <c r="J2141" s="16"/>
      <c r="K2141" s="16"/>
      <c r="L2141" s="16"/>
      <c r="M2141" s="15"/>
      <c r="N2141" s="15"/>
      <c r="O2141" s="16"/>
      <c r="P2141" s="16"/>
      <c r="Q2141" s="16"/>
      <c r="R2141" s="16"/>
      <c r="S2141" s="37" t="str">
        <f>IFERROR(__xludf.DUMMYFUNCTION("if(not(iserror(index(split(C2141, "" ""),2))), index(split(C2141, "" ""),1),"""")"),"")</f>
        <v/>
      </c>
      <c r="T2141" s="315" t="str">
        <f>IFERROR(__xludf.DUMMYFUNCTION("if(S2141="""",C2141,if(not(iserror(index(split(C2141, "" ""),3))), index(split(C2141, "" ""),3),index(split(C2141, "" ""),2)))"),"")</f>
        <v/>
      </c>
      <c r="U2141" s="38" t="b">
        <f t="shared" si="34"/>
        <v>0</v>
      </c>
      <c r="V2141" s="38"/>
      <c r="W2141" s="40"/>
      <c r="X2141" s="40"/>
      <c r="Y2141" s="38"/>
      <c r="Z2141" s="38"/>
      <c r="AA2141" s="38"/>
      <c r="AB2141" s="38"/>
      <c r="AC2141" s="38"/>
      <c r="AD2141" s="38"/>
      <c r="AE2141" s="38"/>
      <c r="AF2141" s="38"/>
      <c r="AG2141" s="38"/>
      <c r="AH2141" s="38"/>
      <c r="AI2141" s="38"/>
      <c r="AJ2141" s="38"/>
      <c r="AK2141" s="38"/>
      <c r="AL2141" s="38"/>
      <c r="AM2141" s="38"/>
      <c r="AN2141" s="38"/>
      <c r="AO2141" s="38"/>
      <c r="AP2141" s="38"/>
      <c r="AQ2141" s="38"/>
      <c r="AR2141" s="38"/>
      <c r="AS2141" s="38"/>
      <c r="AT2141" s="38"/>
      <c r="AU2141" s="38"/>
      <c r="AV2141" s="38"/>
      <c r="AW2141" s="38"/>
      <c r="AX2141" s="38"/>
      <c r="AY2141" s="38"/>
      <c r="AZ2141" s="38"/>
      <c r="BA2141" s="38"/>
      <c r="BB2141" s="38"/>
      <c r="BC2141" s="38"/>
      <c r="BD2141" s="38"/>
      <c r="BE2141" s="38"/>
      <c r="BF2141" s="38"/>
      <c r="BG2141" s="38"/>
      <c r="BH2141" s="38"/>
      <c r="BI2141" s="38"/>
      <c r="BJ2141" s="38"/>
      <c r="BK2141" s="38"/>
      <c r="BL2141" s="38"/>
      <c r="BM2141" s="38"/>
      <c r="BN2141" s="38"/>
      <c r="BO2141" s="38"/>
      <c r="BP2141" s="38"/>
      <c r="BQ2141" s="38"/>
    </row>
    <row r="2142">
      <c r="A2142" s="16"/>
      <c r="B2142" s="16"/>
      <c r="C2142" s="146"/>
      <c r="D2142" s="146"/>
      <c r="E2142" s="16"/>
      <c r="F2142" s="91"/>
      <c r="G2142" s="16"/>
      <c r="H2142" s="320" t="str">
        <f t="shared" si="33"/>
        <v/>
      </c>
      <c r="I2142" s="16"/>
      <c r="J2142" s="16"/>
      <c r="K2142" s="16"/>
      <c r="L2142" s="16"/>
      <c r="M2142" s="15"/>
      <c r="N2142" s="15"/>
      <c r="O2142" s="16"/>
      <c r="P2142" s="16"/>
      <c r="Q2142" s="16"/>
      <c r="R2142" s="16"/>
      <c r="S2142" s="37" t="str">
        <f>IFERROR(__xludf.DUMMYFUNCTION("if(not(iserror(index(split(C2142, "" ""),2))), index(split(C2142, "" ""),1),"""")"),"")</f>
        <v/>
      </c>
      <c r="T2142" s="315" t="str">
        <f>IFERROR(__xludf.DUMMYFUNCTION("if(S2142="""",C2142,if(not(iserror(index(split(C2142, "" ""),3))), index(split(C2142, "" ""),3),index(split(C2142, "" ""),2)))"),"")</f>
        <v/>
      </c>
      <c r="U2142" s="38" t="b">
        <f t="shared" si="34"/>
        <v>0</v>
      </c>
      <c r="V2142" s="38"/>
      <c r="W2142" s="40"/>
      <c r="X2142" s="40"/>
      <c r="Y2142" s="38"/>
      <c r="Z2142" s="38"/>
      <c r="AA2142" s="38"/>
      <c r="AB2142" s="38"/>
      <c r="AC2142" s="38"/>
      <c r="AD2142" s="38"/>
      <c r="AE2142" s="38"/>
      <c r="AF2142" s="38"/>
      <c r="AG2142" s="38"/>
      <c r="AH2142" s="38"/>
      <c r="AI2142" s="38"/>
      <c r="AJ2142" s="38"/>
      <c r="AK2142" s="38"/>
      <c r="AL2142" s="38"/>
      <c r="AM2142" s="38"/>
      <c r="AN2142" s="38"/>
      <c r="AO2142" s="38"/>
      <c r="AP2142" s="38"/>
      <c r="AQ2142" s="38"/>
      <c r="AR2142" s="38"/>
      <c r="AS2142" s="38"/>
      <c r="AT2142" s="38"/>
      <c r="AU2142" s="38"/>
      <c r="AV2142" s="38"/>
      <c r="AW2142" s="38"/>
      <c r="AX2142" s="38"/>
      <c r="AY2142" s="38"/>
      <c r="AZ2142" s="38"/>
      <c r="BA2142" s="38"/>
      <c r="BB2142" s="38"/>
      <c r="BC2142" s="38"/>
      <c r="BD2142" s="38"/>
      <c r="BE2142" s="38"/>
      <c r="BF2142" s="38"/>
      <c r="BG2142" s="38"/>
      <c r="BH2142" s="38"/>
      <c r="BI2142" s="38"/>
      <c r="BJ2142" s="38"/>
      <c r="BK2142" s="38"/>
      <c r="BL2142" s="38"/>
      <c r="BM2142" s="38"/>
      <c r="BN2142" s="38"/>
      <c r="BO2142" s="38"/>
      <c r="BP2142" s="38"/>
      <c r="BQ2142" s="38"/>
    </row>
    <row r="2143">
      <c r="A2143" s="16"/>
      <c r="B2143" s="16"/>
      <c r="C2143" s="146"/>
      <c r="D2143" s="146"/>
      <c r="E2143" s="16"/>
      <c r="F2143" s="91"/>
      <c r="G2143" s="16"/>
      <c r="H2143" s="320" t="str">
        <f t="shared" si="33"/>
        <v/>
      </c>
      <c r="I2143" s="16"/>
      <c r="J2143" s="16"/>
      <c r="K2143" s="16"/>
      <c r="L2143" s="16"/>
      <c r="M2143" s="15"/>
      <c r="N2143" s="15"/>
      <c r="O2143" s="16"/>
      <c r="P2143" s="16"/>
      <c r="Q2143" s="16"/>
      <c r="R2143" s="16"/>
      <c r="S2143" s="37" t="str">
        <f>IFERROR(__xludf.DUMMYFUNCTION("if(not(iserror(index(split(C2143, "" ""),2))), index(split(C2143, "" ""),1),"""")"),"")</f>
        <v/>
      </c>
      <c r="T2143" s="315" t="str">
        <f>IFERROR(__xludf.DUMMYFUNCTION("if(S2143="""",C2143,if(not(iserror(index(split(C2143, "" ""),3))), index(split(C2143, "" ""),3),index(split(C2143, "" ""),2)))"),"")</f>
        <v/>
      </c>
      <c r="U2143" s="38" t="b">
        <f t="shared" si="34"/>
        <v>0</v>
      </c>
      <c r="V2143" s="38"/>
      <c r="W2143" s="40"/>
      <c r="X2143" s="40"/>
      <c r="Y2143" s="38"/>
      <c r="Z2143" s="38"/>
      <c r="AA2143" s="38"/>
      <c r="AB2143" s="38"/>
      <c r="AC2143" s="38"/>
      <c r="AD2143" s="38"/>
      <c r="AE2143" s="38"/>
      <c r="AF2143" s="38"/>
      <c r="AG2143" s="38"/>
      <c r="AH2143" s="38"/>
      <c r="AI2143" s="38"/>
      <c r="AJ2143" s="38"/>
      <c r="AK2143" s="38"/>
      <c r="AL2143" s="38"/>
      <c r="AM2143" s="38"/>
      <c r="AN2143" s="38"/>
      <c r="AO2143" s="38"/>
      <c r="AP2143" s="38"/>
      <c r="AQ2143" s="38"/>
      <c r="AR2143" s="38"/>
      <c r="AS2143" s="38"/>
      <c r="AT2143" s="38"/>
      <c r="AU2143" s="38"/>
      <c r="AV2143" s="38"/>
      <c r="AW2143" s="38"/>
      <c r="AX2143" s="38"/>
      <c r="AY2143" s="38"/>
      <c r="AZ2143" s="38"/>
      <c r="BA2143" s="38"/>
      <c r="BB2143" s="38"/>
      <c r="BC2143" s="38"/>
      <c r="BD2143" s="38"/>
      <c r="BE2143" s="38"/>
      <c r="BF2143" s="38"/>
      <c r="BG2143" s="38"/>
      <c r="BH2143" s="38"/>
      <c r="BI2143" s="38"/>
      <c r="BJ2143" s="38"/>
      <c r="BK2143" s="38"/>
      <c r="BL2143" s="38"/>
      <c r="BM2143" s="38"/>
      <c r="BN2143" s="38"/>
      <c r="BO2143" s="38"/>
      <c r="BP2143" s="38"/>
      <c r="BQ2143" s="38"/>
    </row>
    <row r="2144">
      <c r="A2144" s="16"/>
      <c r="B2144" s="16"/>
      <c r="C2144" s="146"/>
      <c r="D2144" s="146"/>
      <c r="E2144" s="16"/>
      <c r="F2144" s="91"/>
      <c r="G2144" s="16"/>
      <c r="H2144" s="320" t="str">
        <f t="shared" si="33"/>
        <v/>
      </c>
      <c r="I2144" s="16"/>
      <c r="J2144" s="16"/>
      <c r="K2144" s="16"/>
      <c r="L2144" s="16"/>
      <c r="M2144" s="15"/>
      <c r="N2144" s="15"/>
      <c r="O2144" s="16"/>
      <c r="P2144" s="16"/>
      <c r="Q2144" s="16"/>
      <c r="R2144" s="16"/>
      <c r="S2144" s="37" t="str">
        <f>IFERROR(__xludf.DUMMYFUNCTION("if(not(iserror(index(split(C2144, "" ""),2))), index(split(C2144, "" ""),1),"""")"),"")</f>
        <v/>
      </c>
      <c r="T2144" s="315" t="str">
        <f>IFERROR(__xludf.DUMMYFUNCTION("if(S2144="""",C2144,if(not(iserror(index(split(C2144, "" ""),3))), index(split(C2144, "" ""),3),index(split(C2144, "" ""),2)))"),"")</f>
        <v/>
      </c>
      <c r="U2144" s="38" t="b">
        <f t="shared" si="34"/>
        <v>0</v>
      </c>
      <c r="V2144" s="38"/>
      <c r="W2144" s="40"/>
      <c r="X2144" s="40"/>
      <c r="Y2144" s="38"/>
      <c r="Z2144" s="38"/>
      <c r="AA2144" s="38"/>
      <c r="AB2144" s="38"/>
      <c r="AC2144" s="38"/>
      <c r="AD2144" s="38"/>
      <c r="AE2144" s="38"/>
      <c r="AF2144" s="38"/>
      <c r="AG2144" s="38"/>
      <c r="AH2144" s="38"/>
      <c r="AI2144" s="38"/>
      <c r="AJ2144" s="38"/>
      <c r="AK2144" s="38"/>
      <c r="AL2144" s="38"/>
      <c r="AM2144" s="38"/>
      <c r="AN2144" s="38"/>
      <c r="AO2144" s="38"/>
      <c r="AP2144" s="38"/>
      <c r="AQ2144" s="38"/>
      <c r="AR2144" s="38"/>
      <c r="AS2144" s="38"/>
      <c r="AT2144" s="38"/>
      <c r="AU2144" s="38"/>
      <c r="AV2144" s="38"/>
      <c r="AW2144" s="38"/>
      <c r="AX2144" s="38"/>
      <c r="AY2144" s="38"/>
      <c r="AZ2144" s="38"/>
      <c r="BA2144" s="38"/>
      <c r="BB2144" s="38"/>
      <c r="BC2144" s="38"/>
      <c r="BD2144" s="38"/>
      <c r="BE2144" s="38"/>
      <c r="BF2144" s="38"/>
      <c r="BG2144" s="38"/>
      <c r="BH2144" s="38"/>
      <c r="BI2144" s="38"/>
      <c r="BJ2144" s="38"/>
      <c r="BK2144" s="38"/>
      <c r="BL2144" s="38"/>
      <c r="BM2144" s="38"/>
      <c r="BN2144" s="38"/>
      <c r="BO2144" s="38"/>
      <c r="BP2144" s="38"/>
      <c r="BQ2144" s="38"/>
    </row>
    <row r="2145">
      <c r="A2145" s="16"/>
      <c r="B2145" s="16"/>
      <c r="C2145" s="146"/>
      <c r="D2145" s="146"/>
      <c r="E2145" s="16"/>
      <c r="F2145" s="91"/>
      <c r="G2145" s="16"/>
      <c r="H2145" s="320" t="str">
        <f t="shared" si="33"/>
        <v/>
      </c>
      <c r="I2145" s="16"/>
      <c r="J2145" s="16"/>
      <c r="K2145" s="16"/>
      <c r="L2145" s="16"/>
      <c r="M2145" s="15"/>
      <c r="N2145" s="15"/>
      <c r="O2145" s="16"/>
      <c r="P2145" s="16"/>
      <c r="Q2145" s="16"/>
      <c r="R2145" s="16"/>
      <c r="S2145" s="37" t="str">
        <f>IFERROR(__xludf.DUMMYFUNCTION("if(not(iserror(index(split(C2145, "" ""),2))), index(split(C2145, "" ""),1),"""")"),"")</f>
        <v/>
      </c>
      <c r="T2145" s="315" t="str">
        <f>IFERROR(__xludf.DUMMYFUNCTION("if(S2145="""",C2145,if(not(iserror(index(split(C2145, "" ""),3))), index(split(C2145, "" ""),3),index(split(C2145, "" ""),2)))"),"")</f>
        <v/>
      </c>
      <c r="U2145" s="38" t="b">
        <f t="shared" si="34"/>
        <v>0</v>
      </c>
      <c r="V2145" s="38"/>
      <c r="W2145" s="40"/>
      <c r="X2145" s="40"/>
      <c r="Y2145" s="38"/>
      <c r="Z2145" s="38"/>
      <c r="AA2145" s="38"/>
      <c r="AB2145" s="38"/>
      <c r="AC2145" s="38"/>
      <c r="AD2145" s="38"/>
      <c r="AE2145" s="38"/>
      <c r="AF2145" s="38"/>
      <c r="AG2145" s="38"/>
      <c r="AH2145" s="38"/>
      <c r="AI2145" s="38"/>
      <c r="AJ2145" s="38"/>
      <c r="AK2145" s="38"/>
      <c r="AL2145" s="38"/>
      <c r="AM2145" s="38"/>
      <c r="AN2145" s="38"/>
      <c r="AO2145" s="38"/>
      <c r="AP2145" s="38"/>
      <c r="AQ2145" s="38"/>
      <c r="AR2145" s="38"/>
      <c r="AS2145" s="38"/>
      <c r="AT2145" s="38"/>
      <c r="AU2145" s="38"/>
      <c r="AV2145" s="38"/>
      <c r="AW2145" s="38"/>
      <c r="AX2145" s="38"/>
      <c r="AY2145" s="38"/>
      <c r="AZ2145" s="38"/>
      <c r="BA2145" s="38"/>
      <c r="BB2145" s="38"/>
      <c r="BC2145" s="38"/>
      <c r="BD2145" s="38"/>
      <c r="BE2145" s="38"/>
      <c r="BF2145" s="38"/>
      <c r="BG2145" s="38"/>
      <c r="BH2145" s="38"/>
      <c r="BI2145" s="38"/>
      <c r="BJ2145" s="38"/>
      <c r="BK2145" s="38"/>
      <c r="BL2145" s="38"/>
      <c r="BM2145" s="38"/>
      <c r="BN2145" s="38"/>
      <c r="BO2145" s="38"/>
      <c r="BP2145" s="38"/>
      <c r="BQ2145" s="38"/>
    </row>
    <row r="2146">
      <c r="A2146" s="16"/>
      <c r="B2146" s="16"/>
      <c r="C2146" s="146"/>
      <c r="D2146" s="146"/>
      <c r="E2146" s="16"/>
      <c r="F2146" s="91"/>
      <c r="G2146" s="16"/>
      <c r="H2146" s="320" t="str">
        <f t="shared" si="33"/>
        <v/>
      </c>
      <c r="I2146" s="16"/>
      <c r="J2146" s="16"/>
      <c r="K2146" s="16"/>
      <c r="L2146" s="16"/>
      <c r="M2146" s="15"/>
      <c r="N2146" s="15"/>
      <c r="O2146" s="16"/>
      <c r="P2146" s="16"/>
      <c r="Q2146" s="16"/>
      <c r="R2146" s="16"/>
      <c r="S2146" s="37" t="str">
        <f>IFERROR(__xludf.DUMMYFUNCTION("if(not(iserror(index(split(C2146, "" ""),2))), index(split(C2146, "" ""),1),"""")"),"")</f>
        <v/>
      </c>
      <c r="T2146" s="315" t="str">
        <f>IFERROR(__xludf.DUMMYFUNCTION("if(S2146="""",C2146,if(not(iserror(index(split(C2146, "" ""),3))), index(split(C2146, "" ""),3),index(split(C2146, "" ""),2)))"),"")</f>
        <v/>
      </c>
      <c r="U2146" s="38" t="b">
        <f t="shared" si="34"/>
        <v>0</v>
      </c>
      <c r="V2146" s="38"/>
      <c r="W2146" s="40"/>
      <c r="X2146" s="40"/>
      <c r="Y2146" s="38"/>
      <c r="Z2146" s="38"/>
      <c r="AA2146" s="38"/>
      <c r="AB2146" s="38"/>
      <c r="AC2146" s="38"/>
      <c r="AD2146" s="38"/>
      <c r="AE2146" s="38"/>
      <c r="AF2146" s="38"/>
      <c r="AG2146" s="38"/>
      <c r="AH2146" s="38"/>
      <c r="AI2146" s="38"/>
      <c r="AJ2146" s="38"/>
      <c r="AK2146" s="38"/>
      <c r="AL2146" s="38"/>
      <c r="AM2146" s="38"/>
      <c r="AN2146" s="38"/>
      <c r="AO2146" s="38"/>
      <c r="AP2146" s="38"/>
      <c r="AQ2146" s="38"/>
      <c r="AR2146" s="38"/>
      <c r="AS2146" s="38"/>
      <c r="AT2146" s="38"/>
      <c r="AU2146" s="38"/>
      <c r="AV2146" s="38"/>
      <c r="AW2146" s="38"/>
      <c r="AX2146" s="38"/>
      <c r="AY2146" s="38"/>
      <c r="AZ2146" s="38"/>
      <c r="BA2146" s="38"/>
      <c r="BB2146" s="38"/>
      <c r="BC2146" s="38"/>
      <c r="BD2146" s="38"/>
      <c r="BE2146" s="38"/>
      <c r="BF2146" s="38"/>
      <c r="BG2146" s="38"/>
      <c r="BH2146" s="38"/>
      <c r="BI2146" s="38"/>
      <c r="BJ2146" s="38"/>
      <c r="BK2146" s="38"/>
      <c r="BL2146" s="38"/>
      <c r="BM2146" s="38"/>
      <c r="BN2146" s="38"/>
      <c r="BO2146" s="38"/>
      <c r="BP2146" s="38"/>
      <c r="BQ2146" s="38"/>
    </row>
    <row r="2147">
      <c r="A2147" s="16"/>
      <c r="B2147" s="16"/>
      <c r="C2147" s="146"/>
      <c r="D2147" s="146"/>
      <c r="E2147" s="16"/>
      <c r="F2147" s="91"/>
      <c r="G2147" s="16"/>
      <c r="H2147" s="320" t="str">
        <f t="shared" si="33"/>
        <v/>
      </c>
      <c r="I2147" s="16"/>
      <c r="J2147" s="16"/>
      <c r="K2147" s="16"/>
      <c r="L2147" s="16"/>
      <c r="M2147" s="15"/>
      <c r="N2147" s="15"/>
      <c r="O2147" s="16"/>
      <c r="P2147" s="16"/>
      <c r="Q2147" s="16"/>
      <c r="R2147" s="16"/>
      <c r="S2147" s="37" t="str">
        <f>IFERROR(__xludf.DUMMYFUNCTION("if(not(iserror(index(split(C2147, "" ""),2))), index(split(C2147, "" ""),1),"""")"),"")</f>
        <v/>
      </c>
      <c r="T2147" s="315" t="str">
        <f>IFERROR(__xludf.DUMMYFUNCTION("if(S2147="""",C2147,if(not(iserror(index(split(C2147, "" ""),3))), index(split(C2147, "" ""),3),index(split(C2147, "" ""),2)))"),"")</f>
        <v/>
      </c>
      <c r="U2147" s="38" t="b">
        <f t="shared" si="34"/>
        <v>0</v>
      </c>
      <c r="V2147" s="38"/>
      <c r="W2147" s="40"/>
      <c r="X2147" s="40"/>
      <c r="Y2147" s="38"/>
      <c r="Z2147" s="38"/>
      <c r="AA2147" s="38"/>
      <c r="AB2147" s="38"/>
      <c r="AC2147" s="38"/>
      <c r="AD2147" s="38"/>
      <c r="AE2147" s="38"/>
      <c r="AF2147" s="38"/>
      <c r="AG2147" s="38"/>
      <c r="AH2147" s="38"/>
      <c r="AI2147" s="38"/>
      <c r="AJ2147" s="38"/>
      <c r="AK2147" s="38"/>
      <c r="AL2147" s="38"/>
      <c r="AM2147" s="38"/>
      <c r="AN2147" s="38"/>
      <c r="AO2147" s="38"/>
      <c r="AP2147" s="38"/>
      <c r="AQ2147" s="38"/>
      <c r="AR2147" s="38"/>
      <c r="AS2147" s="38"/>
      <c r="AT2147" s="38"/>
      <c r="AU2147" s="38"/>
      <c r="AV2147" s="38"/>
      <c r="AW2147" s="38"/>
      <c r="AX2147" s="38"/>
      <c r="AY2147" s="38"/>
      <c r="AZ2147" s="38"/>
      <c r="BA2147" s="38"/>
      <c r="BB2147" s="38"/>
      <c r="BC2147" s="38"/>
      <c r="BD2147" s="38"/>
      <c r="BE2147" s="38"/>
      <c r="BF2147" s="38"/>
      <c r="BG2147" s="38"/>
      <c r="BH2147" s="38"/>
      <c r="BI2147" s="38"/>
      <c r="BJ2147" s="38"/>
      <c r="BK2147" s="38"/>
      <c r="BL2147" s="38"/>
      <c r="BM2147" s="38"/>
      <c r="BN2147" s="38"/>
      <c r="BO2147" s="38"/>
      <c r="BP2147" s="38"/>
      <c r="BQ2147" s="38"/>
    </row>
    <row r="2148">
      <c r="A2148" s="16"/>
      <c r="B2148" s="16"/>
      <c r="C2148" s="146"/>
      <c r="D2148" s="146"/>
      <c r="E2148" s="16"/>
      <c r="F2148" s="91"/>
      <c r="G2148" s="16"/>
      <c r="H2148" s="320" t="str">
        <f t="shared" si="33"/>
        <v/>
      </c>
      <c r="I2148" s="16"/>
      <c r="J2148" s="16"/>
      <c r="K2148" s="16"/>
      <c r="L2148" s="16"/>
      <c r="M2148" s="15"/>
      <c r="N2148" s="15"/>
      <c r="O2148" s="16"/>
      <c r="P2148" s="16"/>
      <c r="Q2148" s="16"/>
      <c r="R2148" s="16"/>
      <c r="S2148" s="37" t="str">
        <f>IFERROR(__xludf.DUMMYFUNCTION("if(not(iserror(index(split(C2148, "" ""),2))), index(split(C2148, "" ""),1),"""")"),"")</f>
        <v/>
      </c>
      <c r="T2148" s="315" t="str">
        <f>IFERROR(__xludf.DUMMYFUNCTION("if(S2148="""",C2148,if(not(iserror(index(split(C2148, "" ""),3))), index(split(C2148, "" ""),3),index(split(C2148, "" ""),2)))"),"")</f>
        <v/>
      </c>
      <c r="U2148" s="38" t="b">
        <f t="shared" si="34"/>
        <v>0</v>
      </c>
      <c r="V2148" s="38"/>
      <c r="W2148" s="40"/>
      <c r="X2148" s="40"/>
      <c r="Y2148" s="38"/>
      <c r="Z2148" s="38"/>
      <c r="AA2148" s="38"/>
      <c r="AB2148" s="38"/>
      <c r="AC2148" s="38"/>
      <c r="AD2148" s="38"/>
      <c r="AE2148" s="38"/>
      <c r="AF2148" s="38"/>
      <c r="AG2148" s="38"/>
      <c r="AH2148" s="38"/>
      <c r="AI2148" s="38"/>
      <c r="AJ2148" s="38"/>
      <c r="AK2148" s="38"/>
      <c r="AL2148" s="38"/>
      <c r="AM2148" s="38"/>
      <c r="AN2148" s="38"/>
      <c r="AO2148" s="38"/>
      <c r="AP2148" s="38"/>
      <c r="AQ2148" s="38"/>
      <c r="AR2148" s="38"/>
      <c r="AS2148" s="38"/>
      <c r="AT2148" s="38"/>
      <c r="AU2148" s="38"/>
      <c r="AV2148" s="38"/>
      <c r="AW2148" s="38"/>
      <c r="AX2148" s="38"/>
      <c r="AY2148" s="38"/>
      <c r="AZ2148" s="38"/>
      <c r="BA2148" s="38"/>
      <c r="BB2148" s="38"/>
      <c r="BC2148" s="38"/>
      <c r="BD2148" s="38"/>
      <c r="BE2148" s="38"/>
      <c r="BF2148" s="38"/>
      <c r="BG2148" s="38"/>
      <c r="BH2148" s="38"/>
      <c r="BI2148" s="38"/>
      <c r="BJ2148" s="38"/>
      <c r="BK2148" s="38"/>
      <c r="BL2148" s="38"/>
      <c r="BM2148" s="38"/>
      <c r="BN2148" s="38"/>
      <c r="BO2148" s="38"/>
      <c r="BP2148" s="38"/>
      <c r="BQ2148" s="38"/>
    </row>
    <row r="2149">
      <c r="A2149" s="16"/>
      <c r="B2149" s="16"/>
      <c r="C2149" s="146"/>
      <c r="D2149" s="146"/>
      <c r="E2149" s="16"/>
      <c r="F2149" s="91"/>
      <c r="G2149" s="16"/>
      <c r="H2149" s="320" t="str">
        <f t="shared" si="33"/>
        <v/>
      </c>
      <c r="I2149" s="16"/>
      <c r="J2149" s="16"/>
      <c r="K2149" s="16"/>
      <c r="L2149" s="16"/>
      <c r="M2149" s="15"/>
      <c r="N2149" s="15"/>
      <c r="O2149" s="16"/>
      <c r="P2149" s="16"/>
      <c r="Q2149" s="16"/>
      <c r="R2149" s="16"/>
      <c r="S2149" s="37" t="str">
        <f>IFERROR(__xludf.DUMMYFUNCTION("if(not(iserror(index(split(C2149, "" ""),2))), index(split(C2149, "" ""),1),"""")"),"")</f>
        <v/>
      </c>
      <c r="T2149" s="315" t="str">
        <f>IFERROR(__xludf.DUMMYFUNCTION("if(S2149="""",C2149,if(not(iserror(index(split(C2149, "" ""),3))), index(split(C2149, "" ""),3),index(split(C2149, "" ""),2)))"),"")</f>
        <v/>
      </c>
      <c r="U2149" s="38" t="b">
        <f t="shared" si="34"/>
        <v>0</v>
      </c>
      <c r="V2149" s="38"/>
      <c r="W2149" s="40"/>
      <c r="X2149" s="40"/>
      <c r="Y2149" s="38"/>
      <c r="Z2149" s="38"/>
      <c r="AA2149" s="38"/>
      <c r="AB2149" s="38"/>
      <c r="AC2149" s="38"/>
      <c r="AD2149" s="38"/>
      <c r="AE2149" s="38"/>
      <c r="AF2149" s="38"/>
      <c r="AG2149" s="38"/>
      <c r="AH2149" s="38"/>
      <c r="AI2149" s="38"/>
      <c r="AJ2149" s="38"/>
      <c r="AK2149" s="38"/>
      <c r="AL2149" s="38"/>
      <c r="AM2149" s="38"/>
      <c r="AN2149" s="38"/>
      <c r="AO2149" s="38"/>
      <c r="AP2149" s="38"/>
      <c r="AQ2149" s="38"/>
      <c r="AR2149" s="38"/>
      <c r="AS2149" s="38"/>
      <c r="AT2149" s="38"/>
      <c r="AU2149" s="38"/>
      <c r="AV2149" s="38"/>
      <c r="AW2149" s="38"/>
      <c r="AX2149" s="38"/>
      <c r="AY2149" s="38"/>
      <c r="AZ2149" s="38"/>
      <c r="BA2149" s="38"/>
      <c r="BB2149" s="38"/>
      <c r="BC2149" s="38"/>
      <c r="BD2149" s="38"/>
      <c r="BE2149" s="38"/>
      <c r="BF2149" s="38"/>
      <c r="BG2149" s="38"/>
      <c r="BH2149" s="38"/>
      <c r="BI2149" s="38"/>
      <c r="BJ2149" s="38"/>
      <c r="BK2149" s="38"/>
      <c r="BL2149" s="38"/>
      <c r="BM2149" s="38"/>
      <c r="BN2149" s="38"/>
      <c r="BO2149" s="38"/>
      <c r="BP2149" s="38"/>
      <c r="BQ2149" s="38"/>
    </row>
    <row r="2150">
      <c r="A2150" s="16"/>
      <c r="B2150" s="16"/>
      <c r="C2150" s="146"/>
      <c r="D2150" s="146"/>
      <c r="E2150" s="16"/>
      <c r="F2150" s="91"/>
      <c r="G2150" s="16"/>
      <c r="H2150" s="320" t="str">
        <f t="shared" si="33"/>
        <v/>
      </c>
      <c r="I2150" s="16"/>
      <c r="J2150" s="16"/>
      <c r="K2150" s="16"/>
      <c r="L2150" s="16"/>
      <c r="M2150" s="15"/>
      <c r="N2150" s="15"/>
      <c r="O2150" s="16"/>
      <c r="P2150" s="16"/>
      <c r="Q2150" s="16"/>
      <c r="R2150" s="16"/>
      <c r="S2150" s="37" t="str">
        <f>IFERROR(__xludf.DUMMYFUNCTION("if(not(iserror(index(split(C2150, "" ""),2))), index(split(C2150, "" ""),1),"""")"),"")</f>
        <v/>
      </c>
      <c r="T2150" s="315" t="str">
        <f>IFERROR(__xludf.DUMMYFUNCTION("if(S2150="""",C2150,if(not(iserror(index(split(C2150, "" ""),3))), index(split(C2150, "" ""),3),index(split(C2150, "" ""),2)))"),"")</f>
        <v/>
      </c>
      <c r="U2150" s="38" t="b">
        <f t="shared" si="34"/>
        <v>0</v>
      </c>
      <c r="V2150" s="38"/>
      <c r="W2150" s="40"/>
      <c r="X2150" s="40"/>
      <c r="Y2150" s="38"/>
      <c r="Z2150" s="38"/>
      <c r="AA2150" s="38"/>
      <c r="AB2150" s="38"/>
      <c r="AC2150" s="38"/>
      <c r="AD2150" s="38"/>
      <c r="AE2150" s="38"/>
      <c r="AF2150" s="38"/>
      <c r="AG2150" s="38"/>
      <c r="AH2150" s="38"/>
      <c r="AI2150" s="38"/>
      <c r="AJ2150" s="38"/>
      <c r="AK2150" s="38"/>
      <c r="AL2150" s="38"/>
      <c r="AM2150" s="38"/>
      <c r="AN2150" s="38"/>
      <c r="AO2150" s="38"/>
      <c r="AP2150" s="38"/>
      <c r="AQ2150" s="38"/>
      <c r="AR2150" s="38"/>
      <c r="AS2150" s="38"/>
      <c r="AT2150" s="38"/>
      <c r="AU2150" s="38"/>
      <c r="AV2150" s="38"/>
      <c r="AW2150" s="38"/>
      <c r="AX2150" s="38"/>
      <c r="AY2150" s="38"/>
      <c r="AZ2150" s="38"/>
      <c r="BA2150" s="38"/>
      <c r="BB2150" s="38"/>
      <c r="BC2150" s="38"/>
      <c r="BD2150" s="38"/>
      <c r="BE2150" s="38"/>
      <c r="BF2150" s="38"/>
      <c r="BG2150" s="38"/>
      <c r="BH2150" s="38"/>
      <c r="BI2150" s="38"/>
      <c r="BJ2150" s="38"/>
      <c r="BK2150" s="38"/>
      <c r="BL2150" s="38"/>
      <c r="BM2150" s="38"/>
      <c r="BN2150" s="38"/>
      <c r="BO2150" s="38"/>
      <c r="BP2150" s="38"/>
      <c r="BQ2150" s="38"/>
    </row>
    <row r="2151">
      <c r="A2151" s="16"/>
      <c r="B2151" s="16"/>
      <c r="C2151" s="146"/>
      <c r="D2151" s="146"/>
      <c r="E2151" s="16"/>
      <c r="F2151" s="91"/>
      <c r="G2151" s="16"/>
      <c r="H2151" s="320" t="str">
        <f t="shared" si="33"/>
        <v/>
      </c>
      <c r="I2151" s="16"/>
      <c r="J2151" s="16"/>
      <c r="K2151" s="16"/>
      <c r="L2151" s="16"/>
      <c r="M2151" s="15"/>
      <c r="N2151" s="15"/>
      <c r="O2151" s="16"/>
      <c r="P2151" s="16"/>
      <c r="Q2151" s="16"/>
      <c r="R2151" s="16"/>
      <c r="S2151" s="37" t="str">
        <f>IFERROR(__xludf.DUMMYFUNCTION("if(not(iserror(index(split(C2151, "" ""),2))), index(split(C2151, "" ""),1),"""")"),"")</f>
        <v/>
      </c>
      <c r="T2151" s="315" t="str">
        <f>IFERROR(__xludf.DUMMYFUNCTION("if(S2151="""",C2151,if(not(iserror(index(split(C2151, "" ""),3))), index(split(C2151, "" ""),3),index(split(C2151, "" ""),2)))"),"")</f>
        <v/>
      </c>
      <c r="U2151" s="38" t="b">
        <f t="shared" si="34"/>
        <v>0</v>
      </c>
      <c r="V2151" s="38"/>
      <c r="W2151" s="40"/>
      <c r="X2151" s="40"/>
      <c r="Y2151" s="38"/>
      <c r="Z2151" s="38"/>
      <c r="AA2151" s="38"/>
      <c r="AB2151" s="38"/>
      <c r="AC2151" s="38"/>
      <c r="AD2151" s="38"/>
      <c r="AE2151" s="38"/>
      <c r="AF2151" s="38"/>
      <c r="AG2151" s="38"/>
      <c r="AH2151" s="38"/>
      <c r="AI2151" s="38"/>
      <c r="AJ2151" s="38"/>
      <c r="AK2151" s="38"/>
      <c r="AL2151" s="38"/>
      <c r="AM2151" s="38"/>
      <c r="AN2151" s="38"/>
      <c r="AO2151" s="38"/>
      <c r="AP2151" s="38"/>
      <c r="AQ2151" s="38"/>
      <c r="AR2151" s="38"/>
      <c r="AS2151" s="38"/>
      <c r="AT2151" s="38"/>
      <c r="AU2151" s="38"/>
      <c r="AV2151" s="38"/>
      <c r="AW2151" s="38"/>
      <c r="AX2151" s="38"/>
      <c r="AY2151" s="38"/>
      <c r="AZ2151" s="38"/>
      <c r="BA2151" s="38"/>
      <c r="BB2151" s="38"/>
      <c r="BC2151" s="38"/>
      <c r="BD2151" s="38"/>
      <c r="BE2151" s="38"/>
      <c r="BF2151" s="38"/>
      <c r="BG2151" s="38"/>
      <c r="BH2151" s="38"/>
      <c r="BI2151" s="38"/>
      <c r="BJ2151" s="38"/>
      <c r="BK2151" s="38"/>
      <c r="BL2151" s="38"/>
      <c r="BM2151" s="38"/>
      <c r="BN2151" s="38"/>
      <c r="BO2151" s="38"/>
      <c r="BP2151" s="38"/>
      <c r="BQ2151" s="38"/>
    </row>
    <row r="2152">
      <c r="A2152" s="16"/>
      <c r="B2152" s="16"/>
      <c r="C2152" s="146"/>
      <c r="D2152" s="146"/>
      <c r="E2152" s="16"/>
      <c r="F2152" s="91"/>
      <c r="G2152" s="16"/>
      <c r="H2152" s="320" t="str">
        <f t="shared" si="33"/>
        <v/>
      </c>
      <c r="I2152" s="16"/>
      <c r="J2152" s="16"/>
      <c r="K2152" s="16"/>
      <c r="L2152" s="16"/>
      <c r="M2152" s="15"/>
      <c r="N2152" s="15"/>
      <c r="O2152" s="16"/>
      <c r="P2152" s="16"/>
      <c r="Q2152" s="16"/>
      <c r="R2152" s="16"/>
      <c r="S2152" s="37" t="str">
        <f>IFERROR(__xludf.DUMMYFUNCTION("if(not(iserror(index(split(C2152, "" ""),2))), index(split(C2152, "" ""),1),"""")"),"")</f>
        <v/>
      </c>
      <c r="T2152" s="315" t="str">
        <f>IFERROR(__xludf.DUMMYFUNCTION("if(S2152="""",C2152,if(not(iserror(index(split(C2152, "" ""),3))), index(split(C2152, "" ""),3),index(split(C2152, "" ""),2)))"),"")</f>
        <v/>
      </c>
      <c r="U2152" s="38" t="b">
        <f t="shared" si="34"/>
        <v>0</v>
      </c>
      <c r="V2152" s="38"/>
      <c r="W2152" s="40"/>
      <c r="X2152" s="40"/>
      <c r="Y2152" s="38"/>
      <c r="Z2152" s="38"/>
      <c r="AA2152" s="38"/>
      <c r="AB2152" s="38"/>
      <c r="AC2152" s="38"/>
      <c r="AD2152" s="38"/>
      <c r="AE2152" s="38"/>
      <c r="AF2152" s="38"/>
      <c r="AG2152" s="38"/>
      <c r="AH2152" s="38"/>
      <c r="AI2152" s="38"/>
      <c r="AJ2152" s="38"/>
      <c r="AK2152" s="38"/>
      <c r="AL2152" s="38"/>
      <c r="AM2152" s="38"/>
      <c r="AN2152" s="38"/>
      <c r="AO2152" s="38"/>
      <c r="AP2152" s="38"/>
      <c r="AQ2152" s="38"/>
      <c r="AR2152" s="38"/>
      <c r="AS2152" s="38"/>
      <c r="AT2152" s="38"/>
      <c r="AU2152" s="38"/>
      <c r="AV2152" s="38"/>
      <c r="AW2152" s="38"/>
      <c r="AX2152" s="38"/>
      <c r="AY2152" s="38"/>
      <c r="AZ2152" s="38"/>
      <c r="BA2152" s="38"/>
      <c r="BB2152" s="38"/>
      <c r="BC2152" s="38"/>
      <c r="BD2152" s="38"/>
      <c r="BE2152" s="38"/>
      <c r="BF2152" s="38"/>
      <c r="BG2152" s="38"/>
      <c r="BH2152" s="38"/>
      <c r="BI2152" s="38"/>
      <c r="BJ2152" s="38"/>
      <c r="BK2152" s="38"/>
      <c r="BL2152" s="38"/>
      <c r="BM2152" s="38"/>
      <c r="BN2152" s="38"/>
      <c r="BO2152" s="38"/>
      <c r="BP2152" s="38"/>
      <c r="BQ2152" s="38"/>
    </row>
    <row r="2153">
      <c r="A2153" s="16"/>
      <c r="B2153" s="16"/>
      <c r="C2153" s="146"/>
      <c r="D2153" s="146"/>
      <c r="E2153" s="16"/>
      <c r="F2153" s="91"/>
      <c r="G2153" s="16"/>
      <c r="H2153" s="320" t="str">
        <f t="shared" si="33"/>
        <v/>
      </c>
      <c r="I2153" s="16"/>
      <c r="J2153" s="16"/>
      <c r="K2153" s="16"/>
      <c r="L2153" s="16"/>
      <c r="M2153" s="15"/>
      <c r="N2153" s="15"/>
      <c r="O2153" s="16"/>
      <c r="P2153" s="16"/>
      <c r="Q2153" s="16"/>
      <c r="R2153" s="16"/>
      <c r="S2153" s="37" t="str">
        <f>IFERROR(__xludf.DUMMYFUNCTION("if(not(iserror(index(split(C2153, "" ""),2))), index(split(C2153, "" ""),1),"""")"),"")</f>
        <v/>
      </c>
      <c r="T2153" s="315" t="str">
        <f>IFERROR(__xludf.DUMMYFUNCTION("if(S2153="""",C2153,if(not(iserror(index(split(C2153, "" ""),3))), index(split(C2153, "" ""),3),index(split(C2153, "" ""),2)))"),"")</f>
        <v/>
      </c>
      <c r="U2153" s="38" t="b">
        <f t="shared" si="34"/>
        <v>0</v>
      </c>
      <c r="V2153" s="38"/>
      <c r="W2153" s="40"/>
      <c r="X2153" s="40"/>
      <c r="Y2153" s="38"/>
      <c r="Z2153" s="38"/>
      <c r="AA2153" s="38"/>
      <c r="AB2153" s="38"/>
      <c r="AC2153" s="38"/>
      <c r="AD2153" s="38"/>
      <c r="AE2153" s="38"/>
      <c r="AF2153" s="38"/>
      <c r="AG2153" s="38"/>
      <c r="AH2153" s="38"/>
      <c r="AI2153" s="38"/>
      <c r="AJ2153" s="38"/>
      <c r="AK2153" s="38"/>
      <c r="AL2153" s="38"/>
      <c r="AM2153" s="38"/>
      <c r="AN2153" s="38"/>
      <c r="AO2153" s="38"/>
      <c r="AP2153" s="38"/>
      <c r="AQ2153" s="38"/>
      <c r="AR2153" s="38"/>
      <c r="AS2153" s="38"/>
      <c r="AT2153" s="38"/>
      <c r="AU2153" s="38"/>
      <c r="AV2153" s="38"/>
      <c r="AW2153" s="38"/>
      <c r="AX2153" s="38"/>
      <c r="AY2153" s="38"/>
      <c r="AZ2153" s="38"/>
      <c r="BA2153" s="38"/>
      <c r="BB2153" s="38"/>
      <c r="BC2153" s="38"/>
      <c r="BD2153" s="38"/>
      <c r="BE2153" s="38"/>
      <c r="BF2153" s="38"/>
      <c r="BG2153" s="38"/>
      <c r="BH2153" s="38"/>
      <c r="BI2153" s="38"/>
      <c r="BJ2153" s="38"/>
      <c r="BK2153" s="38"/>
      <c r="BL2153" s="38"/>
      <c r="BM2153" s="38"/>
      <c r="BN2153" s="38"/>
      <c r="BO2153" s="38"/>
      <c r="BP2153" s="38"/>
      <c r="BQ2153" s="38"/>
    </row>
    <row r="2154">
      <c r="A2154" s="16"/>
      <c r="B2154" s="16"/>
      <c r="C2154" s="146"/>
      <c r="D2154" s="146"/>
      <c r="E2154" s="16"/>
      <c r="F2154" s="91"/>
      <c r="G2154" s="16"/>
      <c r="H2154" s="320" t="str">
        <f t="shared" si="33"/>
        <v/>
      </c>
      <c r="I2154" s="16"/>
      <c r="J2154" s="16"/>
      <c r="K2154" s="16"/>
      <c r="L2154" s="16"/>
      <c r="M2154" s="15"/>
      <c r="N2154" s="15"/>
      <c r="O2154" s="16"/>
      <c r="P2154" s="16"/>
      <c r="Q2154" s="16"/>
      <c r="R2154" s="16"/>
      <c r="S2154" s="37" t="str">
        <f>IFERROR(__xludf.DUMMYFUNCTION("if(not(iserror(index(split(C2154, "" ""),2))), index(split(C2154, "" ""),1),"""")"),"")</f>
        <v/>
      </c>
      <c r="T2154" s="315" t="str">
        <f>IFERROR(__xludf.DUMMYFUNCTION("if(S2154="""",C2154,if(not(iserror(index(split(C2154, "" ""),3))), index(split(C2154, "" ""),3),index(split(C2154, "" ""),2)))"),"")</f>
        <v/>
      </c>
      <c r="U2154" s="38" t="b">
        <f t="shared" si="34"/>
        <v>0</v>
      </c>
      <c r="V2154" s="38"/>
      <c r="W2154" s="40"/>
      <c r="X2154" s="40"/>
      <c r="Y2154" s="38"/>
      <c r="Z2154" s="38"/>
      <c r="AA2154" s="38"/>
      <c r="AB2154" s="38"/>
      <c r="AC2154" s="38"/>
      <c r="AD2154" s="38"/>
      <c r="AE2154" s="38"/>
      <c r="AF2154" s="38"/>
      <c r="AG2154" s="38"/>
      <c r="AH2154" s="38"/>
      <c r="AI2154" s="38"/>
      <c r="AJ2154" s="38"/>
      <c r="AK2154" s="38"/>
      <c r="AL2154" s="38"/>
      <c r="AM2154" s="38"/>
      <c r="AN2154" s="38"/>
      <c r="AO2154" s="38"/>
      <c r="AP2154" s="38"/>
      <c r="AQ2154" s="38"/>
      <c r="AR2154" s="38"/>
      <c r="AS2154" s="38"/>
      <c r="AT2154" s="38"/>
      <c r="AU2154" s="38"/>
      <c r="AV2154" s="38"/>
      <c r="AW2154" s="38"/>
      <c r="AX2154" s="38"/>
      <c r="AY2154" s="38"/>
      <c r="AZ2154" s="38"/>
      <c r="BA2154" s="38"/>
      <c r="BB2154" s="38"/>
      <c r="BC2154" s="38"/>
      <c r="BD2154" s="38"/>
      <c r="BE2154" s="38"/>
      <c r="BF2154" s="38"/>
      <c r="BG2154" s="38"/>
      <c r="BH2154" s="38"/>
      <c r="BI2154" s="38"/>
      <c r="BJ2154" s="38"/>
      <c r="BK2154" s="38"/>
      <c r="BL2154" s="38"/>
      <c r="BM2154" s="38"/>
      <c r="BN2154" s="38"/>
      <c r="BO2154" s="38"/>
      <c r="BP2154" s="38"/>
      <c r="BQ2154" s="38"/>
    </row>
    <row r="2155">
      <c r="A2155" s="16"/>
      <c r="B2155" s="16"/>
      <c r="C2155" s="146"/>
      <c r="D2155" s="146"/>
      <c r="E2155" s="16"/>
      <c r="F2155" s="91"/>
      <c r="G2155" s="16"/>
      <c r="H2155" s="320" t="str">
        <f t="shared" si="33"/>
        <v/>
      </c>
      <c r="I2155" s="16"/>
      <c r="J2155" s="16"/>
      <c r="K2155" s="16"/>
      <c r="L2155" s="16"/>
      <c r="M2155" s="15"/>
      <c r="N2155" s="15"/>
      <c r="O2155" s="16"/>
      <c r="P2155" s="16"/>
      <c r="Q2155" s="16"/>
      <c r="R2155" s="16"/>
      <c r="S2155" s="37" t="str">
        <f>IFERROR(__xludf.DUMMYFUNCTION("if(not(iserror(index(split(C2155, "" ""),2))), index(split(C2155, "" ""),1),"""")"),"")</f>
        <v/>
      </c>
      <c r="T2155" s="315" t="str">
        <f>IFERROR(__xludf.DUMMYFUNCTION("if(S2155="""",C2155,if(not(iserror(index(split(C2155, "" ""),3))), index(split(C2155, "" ""),3),index(split(C2155, "" ""),2)))"),"")</f>
        <v/>
      </c>
      <c r="U2155" s="38" t="b">
        <f t="shared" si="34"/>
        <v>0</v>
      </c>
      <c r="V2155" s="38"/>
      <c r="W2155" s="40"/>
      <c r="X2155" s="40"/>
      <c r="Y2155" s="38"/>
      <c r="Z2155" s="38"/>
      <c r="AA2155" s="38"/>
      <c r="AB2155" s="38"/>
      <c r="AC2155" s="38"/>
      <c r="AD2155" s="38"/>
      <c r="AE2155" s="38"/>
      <c r="AF2155" s="38"/>
      <c r="AG2155" s="38"/>
      <c r="AH2155" s="38"/>
      <c r="AI2155" s="38"/>
      <c r="AJ2155" s="38"/>
      <c r="AK2155" s="38"/>
      <c r="AL2155" s="38"/>
      <c r="AM2155" s="38"/>
      <c r="AN2155" s="38"/>
      <c r="AO2155" s="38"/>
      <c r="AP2155" s="38"/>
      <c r="AQ2155" s="38"/>
      <c r="AR2155" s="38"/>
      <c r="AS2155" s="38"/>
      <c r="AT2155" s="38"/>
      <c r="AU2155" s="38"/>
      <c r="AV2155" s="38"/>
      <c r="AW2155" s="38"/>
      <c r="AX2155" s="38"/>
      <c r="AY2155" s="38"/>
      <c r="AZ2155" s="38"/>
      <c r="BA2155" s="38"/>
      <c r="BB2155" s="38"/>
      <c r="BC2155" s="38"/>
      <c r="BD2155" s="38"/>
      <c r="BE2155" s="38"/>
      <c r="BF2155" s="38"/>
      <c r="BG2155" s="38"/>
      <c r="BH2155" s="38"/>
      <c r="BI2155" s="38"/>
      <c r="BJ2155" s="38"/>
      <c r="BK2155" s="38"/>
      <c r="BL2155" s="38"/>
      <c r="BM2155" s="38"/>
      <c r="BN2155" s="38"/>
      <c r="BO2155" s="38"/>
      <c r="BP2155" s="38"/>
      <c r="BQ2155" s="38"/>
    </row>
    <row r="2156">
      <c r="A2156" s="16"/>
      <c r="B2156" s="16"/>
      <c r="C2156" s="146"/>
      <c r="D2156" s="146"/>
      <c r="E2156" s="16"/>
      <c r="F2156" s="91"/>
      <c r="G2156" s="16"/>
      <c r="H2156" s="320" t="str">
        <f t="shared" si="33"/>
        <v/>
      </c>
      <c r="I2156" s="16"/>
      <c r="J2156" s="16"/>
      <c r="K2156" s="16"/>
      <c r="L2156" s="16"/>
      <c r="M2156" s="15"/>
      <c r="N2156" s="15"/>
      <c r="O2156" s="16"/>
      <c r="P2156" s="16"/>
      <c r="Q2156" s="16"/>
      <c r="R2156" s="16"/>
      <c r="S2156" s="37" t="str">
        <f>IFERROR(__xludf.DUMMYFUNCTION("if(not(iserror(index(split(C2156, "" ""),2))), index(split(C2156, "" ""),1),"""")"),"")</f>
        <v/>
      </c>
      <c r="T2156" s="315" t="str">
        <f>IFERROR(__xludf.DUMMYFUNCTION("if(S2156="""",C2156,if(not(iserror(index(split(C2156, "" ""),3))), index(split(C2156, "" ""),3),index(split(C2156, "" ""),2)))"),"")</f>
        <v/>
      </c>
      <c r="U2156" s="38" t="b">
        <f t="shared" si="34"/>
        <v>0</v>
      </c>
      <c r="V2156" s="38"/>
      <c r="W2156" s="40"/>
      <c r="X2156" s="40"/>
      <c r="Y2156" s="38"/>
      <c r="Z2156" s="38"/>
      <c r="AA2156" s="38"/>
      <c r="AB2156" s="38"/>
      <c r="AC2156" s="38"/>
      <c r="AD2156" s="38"/>
      <c r="AE2156" s="38"/>
      <c r="AF2156" s="38"/>
      <c r="AG2156" s="38"/>
      <c r="AH2156" s="38"/>
      <c r="AI2156" s="38"/>
      <c r="AJ2156" s="38"/>
      <c r="AK2156" s="38"/>
      <c r="AL2156" s="38"/>
      <c r="AM2156" s="38"/>
      <c r="AN2156" s="38"/>
      <c r="AO2156" s="38"/>
      <c r="AP2156" s="38"/>
      <c r="AQ2156" s="38"/>
      <c r="AR2156" s="38"/>
      <c r="AS2156" s="38"/>
      <c r="AT2156" s="38"/>
      <c r="AU2156" s="38"/>
      <c r="AV2156" s="38"/>
      <c r="AW2156" s="38"/>
      <c r="AX2156" s="38"/>
      <c r="AY2156" s="38"/>
      <c r="AZ2156" s="38"/>
      <c r="BA2156" s="38"/>
      <c r="BB2156" s="38"/>
      <c r="BC2156" s="38"/>
      <c r="BD2156" s="38"/>
      <c r="BE2156" s="38"/>
      <c r="BF2156" s="38"/>
      <c r="BG2156" s="38"/>
      <c r="BH2156" s="38"/>
      <c r="BI2156" s="38"/>
      <c r="BJ2156" s="38"/>
      <c r="BK2156" s="38"/>
      <c r="BL2156" s="38"/>
      <c r="BM2156" s="38"/>
      <c r="BN2156" s="38"/>
      <c r="BO2156" s="38"/>
      <c r="BP2156" s="38"/>
      <c r="BQ2156" s="38"/>
    </row>
    <row r="2157">
      <c r="A2157" s="16"/>
      <c r="B2157" s="16"/>
      <c r="C2157" s="146"/>
      <c r="D2157" s="146"/>
      <c r="E2157" s="16"/>
      <c r="F2157" s="91"/>
      <c r="G2157" s="16"/>
      <c r="H2157" s="320" t="str">
        <f t="shared" si="33"/>
        <v/>
      </c>
      <c r="I2157" s="16"/>
      <c r="J2157" s="16"/>
      <c r="K2157" s="16"/>
      <c r="L2157" s="16"/>
      <c r="M2157" s="15"/>
      <c r="N2157" s="15"/>
      <c r="O2157" s="16"/>
      <c r="P2157" s="16"/>
      <c r="Q2157" s="16"/>
      <c r="R2157" s="16"/>
      <c r="S2157" s="37" t="str">
        <f>IFERROR(__xludf.DUMMYFUNCTION("if(not(iserror(index(split(C2157, "" ""),2))), index(split(C2157, "" ""),1),"""")"),"")</f>
        <v/>
      </c>
      <c r="T2157" s="315" t="str">
        <f>IFERROR(__xludf.DUMMYFUNCTION("if(S2157="""",C2157,if(not(iserror(index(split(C2157, "" ""),3))), index(split(C2157, "" ""),3),index(split(C2157, "" ""),2)))"),"")</f>
        <v/>
      </c>
      <c r="U2157" s="38" t="b">
        <f t="shared" si="34"/>
        <v>0</v>
      </c>
      <c r="V2157" s="38"/>
      <c r="W2157" s="40"/>
      <c r="X2157" s="40"/>
      <c r="Y2157" s="38"/>
      <c r="Z2157" s="38"/>
      <c r="AA2157" s="38"/>
      <c r="AB2157" s="38"/>
      <c r="AC2157" s="38"/>
      <c r="AD2157" s="38"/>
      <c r="AE2157" s="38"/>
      <c r="AF2157" s="38"/>
      <c r="AG2157" s="38"/>
      <c r="AH2157" s="38"/>
      <c r="AI2157" s="38"/>
      <c r="AJ2157" s="38"/>
      <c r="AK2157" s="38"/>
      <c r="AL2157" s="38"/>
      <c r="AM2157" s="38"/>
      <c r="AN2157" s="38"/>
      <c r="AO2157" s="38"/>
      <c r="AP2157" s="38"/>
      <c r="AQ2157" s="38"/>
      <c r="AR2157" s="38"/>
      <c r="AS2157" s="38"/>
      <c r="AT2157" s="38"/>
      <c r="AU2157" s="38"/>
      <c r="AV2157" s="38"/>
      <c r="AW2157" s="38"/>
      <c r="AX2157" s="38"/>
      <c r="AY2157" s="38"/>
      <c r="AZ2157" s="38"/>
      <c r="BA2157" s="38"/>
      <c r="BB2157" s="38"/>
      <c r="BC2157" s="38"/>
      <c r="BD2157" s="38"/>
      <c r="BE2157" s="38"/>
      <c r="BF2157" s="38"/>
      <c r="BG2157" s="38"/>
      <c r="BH2157" s="38"/>
      <c r="BI2157" s="38"/>
      <c r="BJ2157" s="38"/>
      <c r="BK2157" s="38"/>
      <c r="BL2157" s="38"/>
      <c r="BM2157" s="38"/>
      <c r="BN2157" s="38"/>
      <c r="BO2157" s="38"/>
      <c r="BP2157" s="38"/>
      <c r="BQ2157" s="38"/>
    </row>
    <row r="2158">
      <c r="A2158" s="16"/>
      <c r="B2158" s="16"/>
      <c r="C2158" s="146"/>
      <c r="D2158" s="146"/>
      <c r="E2158" s="16"/>
      <c r="F2158" s="91"/>
      <c r="G2158" s="16"/>
      <c r="H2158" s="320" t="str">
        <f t="shared" si="33"/>
        <v/>
      </c>
      <c r="I2158" s="16"/>
      <c r="J2158" s="16"/>
      <c r="K2158" s="16"/>
      <c r="L2158" s="16"/>
      <c r="M2158" s="15"/>
      <c r="N2158" s="15"/>
      <c r="O2158" s="16"/>
      <c r="P2158" s="16"/>
      <c r="Q2158" s="16"/>
      <c r="R2158" s="16"/>
      <c r="S2158" s="37" t="str">
        <f>IFERROR(__xludf.DUMMYFUNCTION("if(not(iserror(index(split(C2158, "" ""),2))), index(split(C2158, "" ""),1),"""")"),"")</f>
        <v/>
      </c>
      <c r="T2158" s="315" t="str">
        <f>IFERROR(__xludf.DUMMYFUNCTION("if(S2158="""",C2158,if(not(iserror(index(split(C2158, "" ""),3))), index(split(C2158, "" ""),3),index(split(C2158, "" ""),2)))"),"")</f>
        <v/>
      </c>
      <c r="U2158" s="38" t="b">
        <f t="shared" si="34"/>
        <v>0</v>
      </c>
      <c r="V2158" s="38"/>
      <c r="W2158" s="40"/>
      <c r="X2158" s="40"/>
      <c r="Y2158" s="38"/>
      <c r="Z2158" s="38"/>
      <c r="AA2158" s="38"/>
      <c r="AB2158" s="38"/>
      <c r="AC2158" s="38"/>
      <c r="AD2158" s="38"/>
      <c r="AE2158" s="38"/>
      <c r="AF2158" s="38"/>
      <c r="AG2158" s="38"/>
      <c r="AH2158" s="38"/>
      <c r="AI2158" s="38"/>
      <c r="AJ2158" s="38"/>
      <c r="AK2158" s="38"/>
      <c r="AL2158" s="38"/>
      <c r="AM2158" s="38"/>
      <c r="AN2158" s="38"/>
      <c r="AO2158" s="38"/>
      <c r="AP2158" s="38"/>
      <c r="AQ2158" s="38"/>
      <c r="AR2158" s="38"/>
      <c r="AS2158" s="38"/>
      <c r="AT2158" s="38"/>
      <c r="AU2158" s="38"/>
      <c r="AV2158" s="38"/>
      <c r="AW2158" s="38"/>
      <c r="AX2158" s="38"/>
      <c r="AY2158" s="38"/>
      <c r="AZ2158" s="38"/>
      <c r="BA2158" s="38"/>
      <c r="BB2158" s="38"/>
      <c r="BC2158" s="38"/>
      <c r="BD2158" s="38"/>
      <c r="BE2158" s="38"/>
      <c r="BF2158" s="38"/>
      <c r="BG2158" s="38"/>
      <c r="BH2158" s="38"/>
      <c r="BI2158" s="38"/>
      <c r="BJ2158" s="38"/>
      <c r="BK2158" s="38"/>
      <c r="BL2158" s="38"/>
      <c r="BM2158" s="38"/>
      <c r="BN2158" s="38"/>
      <c r="BO2158" s="38"/>
      <c r="BP2158" s="38"/>
      <c r="BQ2158" s="38"/>
    </row>
    <row r="2159">
      <c r="A2159" s="16"/>
      <c r="B2159" s="16"/>
      <c r="C2159" s="146"/>
      <c r="D2159" s="146"/>
      <c r="E2159" s="16"/>
      <c r="F2159" s="91"/>
      <c r="G2159" s="16"/>
      <c r="H2159" s="320" t="str">
        <f t="shared" si="33"/>
        <v/>
      </c>
      <c r="I2159" s="16"/>
      <c r="J2159" s="16"/>
      <c r="K2159" s="16"/>
      <c r="L2159" s="16"/>
      <c r="M2159" s="15"/>
      <c r="N2159" s="15"/>
      <c r="O2159" s="16"/>
      <c r="P2159" s="16"/>
      <c r="Q2159" s="16"/>
      <c r="R2159" s="16"/>
      <c r="S2159" s="37" t="str">
        <f>IFERROR(__xludf.DUMMYFUNCTION("if(not(iserror(index(split(C2159, "" ""),2))), index(split(C2159, "" ""),1),"""")"),"")</f>
        <v/>
      </c>
      <c r="T2159" s="315" t="str">
        <f>IFERROR(__xludf.DUMMYFUNCTION("if(S2159="""",C2159,if(not(iserror(index(split(C2159, "" ""),3))), index(split(C2159, "" ""),3),index(split(C2159, "" ""),2)))"),"")</f>
        <v/>
      </c>
      <c r="U2159" s="38" t="b">
        <f t="shared" si="34"/>
        <v>0</v>
      </c>
      <c r="V2159" s="38"/>
      <c r="W2159" s="40"/>
      <c r="X2159" s="40"/>
      <c r="Y2159" s="38"/>
      <c r="Z2159" s="38"/>
      <c r="AA2159" s="38"/>
      <c r="AB2159" s="38"/>
      <c r="AC2159" s="38"/>
      <c r="AD2159" s="38"/>
      <c r="AE2159" s="38"/>
      <c r="AF2159" s="38"/>
      <c r="AG2159" s="38"/>
      <c r="AH2159" s="38"/>
      <c r="AI2159" s="38"/>
      <c r="AJ2159" s="38"/>
      <c r="AK2159" s="38"/>
      <c r="AL2159" s="38"/>
      <c r="AM2159" s="38"/>
      <c r="AN2159" s="38"/>
      <c r="AO2159" s="38"/>
      <c r="AP2159" s="38"/>
      <c r="AQ2159" s="38"/>
      <c r="AR2159" s="38"/>
      <c r="AS2159" s="38"/>
      <c r="AT2159" s="38"/>
      <c r="AU2159" s="38"/>
      <c r="AV2159" s="38"/>
      <c r="AW2159" s="38"/>
      <c r="AX2159" s="38"/>
      <c r="AY2159" s="38"/>
      <c r="AZ2159" s="38"/>
      <c r="BA2159" s="38"/>
      <c r="BB2159" s="38"/>
      <c r="BC2159" s="38"/>
      <c r="BD2159" s="38"/>
      <c r="BE2159" s="38"/>
      <c r="BF2159" s="38"/>
      <c r="BG2159" s="38"/>
      <c r="BH2159" s="38"/>
      <c r="BI2159" s="38"/>
      <c r="BJ2159" s="38"/>
      <c r="BK2159" s="38"/>
      <c r="BL2159" s="38"/>
      <c r="BM2159" s="38"/>
      <c r="BN2159" s="38"/>
      <c r="BO2159" s="38"/>
      <c r="BP2159" s="38"/>
      <c r="BQ2159" s="38"/>
    </row>
    <row r="2160">
      <c r="A2160" s="16"/>
      <c r="B2160" s="16"/>
      <c r="C2160" s="146"/>
      <c r="D2160" s="146"/>
      <c r="E2160" s="16"/>
      <c r="F2160" s="91"/>
      <c r="G2160" s="16"/>
      <c r="H2160" s="320" t="str">
        <f t="shared" si="33"/>
        <v/>
      </c>
      <c r="I2160" s="16"/>
      <c r="J2160" s="16"/>
      <c r="K2160" s="16"/>
      <c r="L2160" s="16"/>
      <c r="M2160" s="15"/>
      <c r="N2160" s="15"/>
      <c r="O2160" s="16"/>
      <c r="P2160" s="16"/>
      <c r="Q2160" s="16"/>
      <c r="R2160" s="16"/>
      <c r="S2160" s="37" t="str">
        <f>IFERROR(__xludf.DUMMYFUNCTION("if(not(iserror(index(split(C2160, "" ""),2))), index(split(C2160, "" ""),1),"""")"),"")</f>
        <v/>
      </c>
      <c r="T2160" s="315" t="str">
        <f>IFERROR(__xludf.DUMMYFUNCTION("if(S2160="""",C2160,if(not(iserror(index(split(C2160, "" ""),3))), index(split(C2160, "" ""),3),index(split(C2160, "" ""),2)))"),"")</f>
        <v/>
      </c>
      <c r="U2160" s="38" t="b">
        <f t="shared" si="34"/>
        <v>0</v>
      </c>
      <c r="V2160" s="38"/>
      <c r="W2160" s="40"/>
      <c r="X2160" s="40"/>
      <c r="Y2160" s="38"/>
      <c r="Z2160" s="38"/>
      <c r="AA2160" s="38"/>
      <c r="AB2160" s="38"/>
      <c r="AC2160" s="38"/>
      <c r="AD2160" s="38"/>
      <c r="AE2160" s="38"/>
      <c r="AF2160" s="38"/>
      <c r="AG2160" s="38"/>
      <c r="AH2160" s="38"/>
      <c r="AI2160" s="38"/>
      <c r="AJ2160" s="38"/>
      <c r="AK2160" s="38"/>
      <c r="AL2160" s="38"/>
      <c r="AM2160" s="38"/>
      <c r="AN2160" s="38"/>
      <c r="AO2160" s="38"/>
      <c r="AP2160" s="38"/>
      <c r="AQ2160" s="38"/>
      <c r="AR2160" s="38"/>
      <c r="AS2160" s="38"/>
      <c r="AT2160" s="38"/>
      <c r="AU2160" s="38"/>
      <c r="AV2160" s="38"/>
      <c r="AW2160" s="38"/>
      <c r="AX2160" s="38"/>
      <c r="AY2160" s="38"/>
      <c r="AZ2160" s="38"/>
      <c r="BA2160" s="38"/>
      <c r="BB2160" s="38"/>
      <c r="BC2160" s="38"/>
      <c r="BD2160" s="38"/>
      <c r="BE2160" s="38"/>
      <c r="BF2160" s="38"/>
      <c r="BG2160" s="38"/>
      <c r="BH2160" s="38"/>
      <c r="BI2160" s="38"/>
      <c r="BJ2160" s="38"/>
      <c r="BK2160" s="38"/>
      <c r="BL2160" s="38"/>
      <c r="BM2160" s="38"/>
      <c r="BN2160" s="38"/>
      <c r="BO2160" s="38"/>
      <c r="BP2160" s="38"/>
      <c r="BQ2160" s="38"/>
    </row>
    <row r="2161">
      <c r="A2161" s="16"/>
      <c r="B2161" s="16"/>
      <c r="C2161" s="146"/>
      <c r="D2161" s="146"/>
      <c r="E2161" s="16"/>
      <c r="F2161" s="91"/>
      <c r="G2161" s="16"/>
      <c r="H2161" s="320" t="str">
        <f t="shared" si="33"/>
        <v/>
      </c>
      <c r="I2161" s="16"/>
      <c r="J2161" s="16"/>
      <c r="K2161" s="16"/>
      <c r="L2161" s="16"/>
      <c r="M2161" s="15"/>
      <c r="N2161" s="15"/>
      <c r="O2161" s="16"/>
      <c r="P2161" s="16"/>
      <c r="Q2161" s="16"/>
      <c r="R2161" s="16"/>
      <c r="S2161" s="37" t="str">
        <f>IFERROR(__xludf.DUMMYFUNCTION("if(not(iserror(index(split(C2161, "" ""),2))), index(split(C2161, "" ""),1),"""")"),"")</f>
        <v/>
      </c>
      <c r="T2161" s="315" t="str">
        <f>IFERROR(__xludf.DUMMYFUNCTION("if(S2161="""",C2161,if(not(iserror(index(split(C2161, "" ""),3))), index(split(C2161, "" ""),3),index(split(C2161, "" ""),2)))"),"")</f>
        <v/>
      </c>
      <c r="U2161" s="38" t="b">
        <f t="shared" si="34"/>
        <v>0</v>
      </c>
      <c r="V2161" s="38"/>
      <c r="W2161" s="40"/>
      <c r="X2161" s="40"/>
      <c r="Y2161" s="38"/>
      <c r="Z2161" s="38"/>
      <c r="AA2161" s="38"/>
      <c r="AB2161" s="38"/>
      <c r="AC2161" s="38"/>
      <c r="AD2161" s="38"/>
      <c r="AE2161" s="38"/>
      <c r="AF2161" s="38"/>
      <c r="AG2161" s="38"/>
      <c r="AH2161" s="38"/>
      <c r="AI2161" s="38"/>
      <c r="AJ2161" s="38"/>
      <c r="AK2161" s="38"/>
      <c r="AL2161" s="38"/>
      <c r="AM2161" s="38"/>
      <c r="AN2161" s="38"/>
      <c r="AO2161" s="38"/>
      <c r="AP2161" s="38"/>
      <c r="AQ2161" s="38"/>
      <c r="AR2161" s="38"/>
      <c r="AS2161" s="38"/>
      <c r="AT2161" s="38"/>
      <c r="AU2161" s="38"/>
      <c r="AV2161" s="38"/>
      <c r="AW2161" s="38"/>
      <c r="AX2161" s="38"/>
      <c r="AY2161" s="38"/>
      <c r="AZ2161" s="38"/>
      <c r="BA2161" s="38"/>
      <c r="BB2161" s="38"/>
      <c r="BC2161" s="38"/>
      <c r="BD2161" s="38"/>
      <c r="BE2161" s="38"/>
      <c r="BF2161" s="38"/>
      <c r="BG2161" s="38"/>
      <c r="BH2161" s="38"/>
      <c r="BI2161" s="38"/>
      <c r="BJ2161" s="38"/>
      <c r="BK2161" s="38"/>
      <c r="BL2161" s="38"/>
      <c r="BM2161" s="38"/>
      <c r="BN2161" s="38"/>
      <c r="BO2161" s="38"/>
      <c r="BP2161" s="38"/>
      <c r="BQ2161" s="38"/>
    </row>
    <row r="2162">
      <c r="A2162" s="16"/>
      <c r="B2162" s="16"/>
      <c r="C2162" s="146"/>
      <c r="D2162" s="146"/>
      <c r="E2162" s="16"/>
      <c r="F2162" s="91"/>
      <c r="G2162" s="16"/>
      <c r="H2162" s="320" t="str">
        <f t="shared" si="33"/>
        <v/>
      </c>
      <c r="I2162" s="16"/>
      <c r="J2162" s="16"/>
      <c r="K2162" s="16"/>
      <c r="L2162" s="16"/>
      <c r="M2162" s="15"/>
      <c r="N2162" s="15"/>
      <c r="O2162" s="16"/>
      <c r="P2162" s="16"/>
      <c r="Q2162" s="16"/>
      <c r="R2162" s="16"/>
      <c r="S2162" s="37" t="str">
        <f>IFERROR(__xludf.DUMMYFUNCTION("if(not(iserror(index(split(C2162, "" ""),2))), index(split(C2162, "" ""),1),"""")"),"")</f>
        <v/>
      </c>
      <c r="T2162" s="315" t="str">
        <f>IFERROR(__xludf.DUMMYFUNCTION("if(S2162="""",C2162,if(not(iserror(index(split(C2162, "" ""),3))), index(split(C2162, "" ""),3),index(split(C2162, "" ""),2)))"),"")</f>
        <v/>
      </c>
      <c r="U2162" s="38" t="b">
        <f t="shared" si="34"/>
        <v>0</v>
      </c>
      <c r="V2162" s="38"/>
      <c r="W2162" s="40"/>
      <c r="X2162" s="40"/>
      <c r="Y2162" s="38"/>
      <c r="Z2162" s="38"/>
      <c r="AA2162" s="38"/>
      <c r="AB2162" s="38"/>
      <c r="AC2162" s="38"/>
      <c r="AD2162" s="38"/>
      <c r="AE2162" s="38"/>
      <c r="AF2162" s="38"/>
      <c r="AG2162" s="38"/>
      <c r="AH2162" s="38"/>
      <c r="AI2162" s="38"/>
      <c r="AJ2162" s="38"/>
      <c r="AK2162" s="38"/>
      <c r="AL2162" s="38"/>
      <c r="AM2162" s="38"/>
      <c r="AN2162" s="38"/>
      <c r="AO2162" s="38"/>
      <c r="AP2162" s="38"/>
      <c r="AQ2162" s="38"/>
      <c r="AR2162" s="38"/>
      <c r="AS2162" s="38"/>
      <c r="AT2162" s="38"/>
      <c r="AU2162" s="38"/>
      <c r="AV2162" s="38"/>
      <c r="AW2162" s="38"/>
      <c r="AX2162" s="38"/>
      <c r="AY2162" s="38"/>
      <c r="AZ2162" s="38"/>
      <c r="BA2162" s="38"/>
      <c r="BB2162" s="38"/>
      <c r="BC2162" s="38"/>
      <c r="BD2162" s="38"/>
      <c r="BE2162" s="38"/>
      <c r="BF2162" s="38"/>
      <c r="BG2162" s="38"/>
      <c r="BH2162" s="38"/>
      <c r="BI2162" s="38"/>
      <c r="BJ2162" s="38"/>
      <c r="BK2162" s="38"/>
      <c r="BL2162" s="38"/>
      <c r="BM2162" s="38"/>
      <c r="BN2162" s="38"/>
      <c r="BO2162" s="38"/>
      <c r="BP2162" s="38"/>
      <c r="BQ2162" s="38"/>
    </row>
    <row r="2163">
      <c r="A2163" s="16"/>
      <c r="B2163" s="16"/>
      <c r="C2163" s="146"/>
      <c r="D2163" s="146"/>
      <c r="E2163" s="16"/>
      <c r="F2163" s="91"/>
      <c r="G2163" s="16"/>
      <c r="H2163" s="320" t="str">
        <f t="shared" si="33"/>
        <v/>
      </c>
      <c r="I2163" s="16"/>
      <c r="J2163" s="16"/>
      <c r="K2163" s="16"/>
      <c r="L2163" s="16"/>
      <c r="M2163" s="15"/>
      <c r="N2163" s="15"/>
      <c r="O2163" s="16"/>
      <c r="P2163" s="16"/>
      <c r="Q2163" s="16"/>
      <c r="R2163" s="16"/>
      <c r="S2163" s="37" t="str">
        <f>IFERROR(__xludf.DUMMYFUNCTION("if(not(iserror(index(split(C2163, "" ""),2))), index(split(C2163, "" ""),1),"""")"),"")</f>
        <v/>
      </c>
      <c r="T2163" s="315" t="str">
        <f>IFERROR(__xludf.DUMMYFUNCTION("if(S2163="""",C2163,if(not(iserror(index(split(C2163, "" ""),3))), index(split(C2163, "" ""),3),index(split(C2163, "" ""),2)))"),"")</f>
        <v/>
      </c>
      <c r="U2163" s="38" t="b">
        <f t="shared" si="34"/>
        <v>0</v>
      </c>
      <c r="V2163" s="38"/>
      <c r="W2163" s="40"/>
      <c r="X2163" s="40"/>
      <c r="Y2163" s="38"/>
      <c r="Z2163" s="38"/>
      <c r="AA2163" s="38"/>
      <c r="AB2163" s="38"/>
      <c r="AC2163" s="38"/>
      <c r="AD2163" s="38"/>
      <c r="AE2163" s="38"/>
      <c r="AF2163" s="38"/>
      <c r="AG2163" s="38"/>
      <c r="AH2163" s="38"/>
      <c r="AI2163" s="38"/>
      <c r="AJ2163" s="38"/>
      <c r="AK2163" s="38"/>
      <c r="AL2163" s="38"/>
      <c r="AM2163" s="38"/>
      <c r="AN2163" s="38"/>
      <c r="AO2163" s="38"/>
      <c r="AP2163" s="38"/>
      <c r="AQ2163" s="38"/>
      <c r="AR2163" s="38"/>
      <c r="AS2163" s="38"/>
      <c r="AT2163" s="38"/>
      <c r="AU2163" s="38"/>
      <c r="AV2163" s="38"/>
      <c r="AW2163" s="38"/>
      <c r="AX2163" s="38"/>
      <c r="AY2163" s="38"/>
      <c r="AZ2163" s="38"/>
      <c r="BA2163" s="38"/>
      <c r="BB2163" s="38"/>
      <c r="BC2163" s="38"/>
      <c r="BD2163" s="38"/>
      <c r="BE2163" s="38"/>
      <c r="BF2163" s="38"/>
      <c r="BG2163" s="38"/>
      <c r="BH2163" s="38"/>
      <c r="BI2163" s="38"/>
      <c r="BJ2163" s="38"/>
      <c r="BK2163" s="38"/>
      <c r="BL2163" s="38"/>
      <c r="BM2163" s="38"/>
      <c r="BN2163" s="38"/>
      <c r="BO2163" s="38"/>
      <c r="BP2163" s="38"/>
      <c r="BQ2163" s="38"/>
    </row>
    <row r="2164">
      <c r="A2164" s="16"/>
      <c r="B2164" s="16"/>
      <c r="C2164" s="146"/>
      <c r="D2164" s="146"/>
      <c r="E2164" s="16"/>
      <c r="F2164" s="91"/>
      <c r="G2164" s="16"/>
      <c r="H2164" s="320" t="str">
        <f t="shared" si="33"/>
        <v/>
      </c>
      <c r="I2164" s="16"/>
      <c r="J2164" s="16"/>
      <c r="K2164" s="16"/>
      <c r="L2164" s="16"/>
      <c r="M2164" s="15"/>
      <c r="N2164" s="15"/>
      <c r="O2164" s="16"/>
      <c r="P2164" s="16"/>
      <c r="Q2164" s="16"/>
      <c r="R2164" s="16"/>
      <c r="S2164" s="37" t="str">
        <f>IFERROR(__xludf.DUMMYFUNCTION("if(not(iserror(index(split(C2164, "" ""),2))), index(split(C2164, "" ""),1),"""")"),"")</f>
        <v/>
      </c>
      <c r="T2164" s="315" t="str">
        <f>IFERROR(__xludf.DUMMYFUNCTION("if(S2164="""",C2164,if(not(iserror(index(split(C2164, "" ""),3))), index(split(C2164, "" ""),3),index(split(C2164, "" ""),2)))"),"")</f>
        <v/>
      </c>
      <c r="U2164" s="38" t="b">
        <f t="shared" si="34"/>
        <v>0</v>
      </c>
      <c r="V2164" s="38"/>
      <c r="W2164" s="40"/>
      <c r="X2164" s="40"/>
      <c r="Y2164" s="38"/>
      <c r="Z2164" s="38"/>
      <c r="AA2164" s="38"/>
      <c r="AB2164" s="38"/>
      <c r="AC2164" s="38"/>
      <c r="AD2164" s="38"/>
      <c r="AE2164" s="38"/>
      <c r="AF2164" s="38"/>
      <c r="AG2164" s="38"/>
      <c r="AH2164" s="38"/>
      <c r="AI2164" s="38"/>
      <c r="AJ2164" s="38"/>
      <c r="AK2164" s="38"/>
      <c r="AL2164" s="38"/>
      <c r="AM2164" s="38"/>
      <c r="AN2164" s="38"/>
      <c r="AO2164" s="38"/>
      <c r="AP2164" s="38"/>
      <c r="AQ2164" s="38"/>
      <c r="AR2164" s="38"/>
      <c r="AS2164" s="38"/>
      <c r="AT2164" s="38"/>
      <c r="AU2164" s="38"/>
      <c r="AV2164" s="38"/>
      <c r="AW2164" s="38"/>
      <c r="AX2164" s="38"/>
      <c r="AY2164" s="38"/>
      <c r="AZ2164" s="38"/>
      <c r="BA2164" s="38"/>
      <c r="BB2164" s="38"/>
      <c r="BC2164" s="38"/>
      <c r="BD2164" s="38"/>
      <c r="BE2164" s="38"/>
      <c r="BF2164" s="38"/>
      <c r="BG2164" s="38"/>
      <c r="BH2164" s="38"/>
      <c r="BI2164" s="38"/>
      <c r="BJ2164" s="38"/>
      <c r="BK2164" s="38"/>
      <c r="BL2164" s="38"/>
      <c r="BM2164" s="38"/>
      <c r="BN2164" s="38"/>
      <c r="BO2164" s="38"/>
      <c r="BP2164" s="38"/>
      <c r="BQ2164" s="38"/>
    </row>
    <row r="2165">
      <c r="A2165" s="16"/>
      <c r="B2165" s="16"/>
      <c r="C2165" s="146"/>
      <c r="D2165" s="146"/>
      <c r="E2165" s="16"/>
      <c r="F2165" s="91"/>
      <c r="G2165" s="16"/>
      <c r="H2165" s="320" t="str">
        <f t="shared" si="33"/>
        <v/>
      </c>
      <c r="I2165" s="16"/>
      <c r="J2165" s="16"/>
      <c r="K2165" s="16"/>
      <c r="L2165" s="16"/>
      <c r="M2165" s="15"/>
      <c r="N2165" s="15"/>
      <c r="O2165" s="16"/>
      <c r="P2165" s="16"/>
      <c r="Q2165" s="16"/>
      <c r="R2165" s="16"/>
      <c r="S2165" s="37" t="str">
        <f>IFERROR(__xludf.DUMMYFUNCTION("if(not(iserror(index(split(C2165, "" ""),2))), index(split(C2165, "" ""),1),"""")"),"")</f>
        <v/>
      </c>
      <c r="T2165" s="315" t="str">
        <f>IFERROR(__xludf.DUMMYFUNCTION("if(S2165="""",C2165,if(not(iserror(index(split(C2165, "" ""),3))), index(split(C2165, "" ""),3),index(split(C2165, "" ""),2)))"),"")</f>
        <v/>
      </c>
      <c r="U2165" s="38" t="b">
        <f t="shared" si="34"/>
        <v>0</v>
      </c>
      <c r="V2165" s="38"/>
      <c r="W2165" s="40"/>
      <c r="X2165" s="40"/>
      <c r="Y2165" s="38"/>
      <c r="Z2165" s="38"/>
      <c r="AA2165" s="38"/>
      <c r="AB2165" s="38"/>
      <c r="AC2165" s="38"/>
      <c r="AD2165" s="38"/>
      <c r="AE2165" s="38"/>
      <c r="AF2165" s="38"/>
      <c r="AG2165" s="38"/>
      <c r="AH2165" s="38"/>
      <c r="AI2165" s="38"/>
      <c r="AJ2165" s="38"/>
      <c r="AK2165" s="38"/>
      <c r="AL2165" s="38"/>
      <c r="AM2165" s="38"/>
      <c r="AN2165" s="38"/>
      <c r="AO2165" s="38"/>
      <c r="AP2165" s="38"/>
      <c r="AQ2165" s="38"/>
      <c r="AR2165" s="38"/>
      <c r="AS2165" s="38"/>
      <c r="AT2165" s="38"/>
      <c r="AU2165" s="38"/>
      <c r="AV2165" s="38"/>
      <c r="AW2165" s="38"/>
      <c r="AX2165" s="38"/>
      <c r="AY2165" s="38"/>
      <c r="AZ2165" s="38"/>
      <c r="BA2165" s="38"/>
      <c r="BB2165" s="38"/>
      <c r="BC2165" s="38"/>
      <c r="BD2165" s="38"/>
      <c r="BE2165" s="38"/>
      <c r="BF2165" s="38"/>
      <c r="BG2165" s="38"/>
      <c r="BH2165" s="38"/>
      <c r="BI2165" s="38"/>
      <c r="BJ2165" s="38"/>
      <c r="BK2165" s="38"/>
      <c r="BL2165" s="38"/>
      <c r="BM2165" s="38"/>
      <c r="BN2165" s="38"/>
      <c r="BO2165" s="38"/>
      <c r="BP2165" s="38"/>
      <c r="BQ2165" s="38"/>
    </row>
    <row r="2166">
      <c r="A2166" s="16"/>
      <c r="B2166" s="16"/>
      <c r="C2166" s="146"/>
      <c r="D2166" s="146"/>
      <c r="E2166" s="16"/>
      <c r="F2166" s="91"/>
      <c r="G2166" s="16"/>
      <c r="H2166" s="320" t="str">
        <f t="shared" si="33"/>
        <v/>
      </c>
      <c r="I2166" s="16"/>
      <c r="J2166" s="16"/>
      <c r="K2166" s="16"/>
      <c r="L2166" s="16"/>
      <c r="M2166" s="15"/>
      <c r="N2166" s="15"/>
      <c r="O2166" s="16"/>
      <c r="P2166" s="16"/>
      <c r="Q2166" s="16"/>
      <c r="R2166" s="16"/>
      <c r="S2166" s="37" t="str">
        <f>IFERROR(__xludf.DUMMYFUNCTION("if(not(iserror(index(split(C2166, "" ""),2))), index(split(C2166, "" ""),1),"""")"),"")</f>
        <v/>
      </c>
      <c r="T2166" s="315" t="str">
        <f>IFERROR(__xludf.DUMMYFUNCTION("if(S2166="""",C2166,if(not(iserror(index(split(C2166, "" ""),3))), index(split(C2166, "" ""),3),index(split(C2166, "" ""),2)))"),"")</f>
        <v/>
      </c>
      <c r="U2166" s="38" t="b">
        <f t="shared" si="34"/>
        <v>0</v>
      </c>
      <c r="V2166" s="38"/>
      <c r="W2166" s="40"/>
      <c r="X2166" s="40"/>
      <c r="Y2166" s="38"/>
      <c r="Z2166" s="38"/>
      <c r="AA2166" s="38"/>
      <c r="AB2166" s="38"/>
      <c r="AC2166" s="38"/>
      <c r="AD2166" s="38"/>
      <c r="AE2166" s="38"/>
      <c r="AF2166" s="38"/>
      <c r="AG2166" s="38"/>
      <c r="AH2166" s="38"/>
      <c r="AI2166" s="38"/>
      <c r="AJ2166" s="38"/>
      <c r="AK2166" s="38"/>
      <c r="AL2166" s="38"/>
      <c r="AM2166" s="38"/>
      <c r="AN2166" s="38"/>
      <c r="AO2166" s="38"/>
      <c r="AP2166" s="38"/>
      <c r="AQ2166" s="38"/>
      <c r="AR2166" s="38"/>
      <c r="AS2166" s="38"/>
      <c r="AT2166" s="38"/>
      <c r="AU2166" s="38"/>
      <c r="AV2166" s="38"/>
      <c r="AW2166" s="38"/>
      <c r="AX2166" s="38"/>
      <c r="AY2166" s="38"/>
      <c r="AZ2166" s="38"/>
      <c r="BA2166" s="38"/>
      <c r="BB2166" s="38"/>
      <c r="BC2166" s="38"/>
      <c r="BD2166" s="38"/>
      <c r="BE2166" s="38"/>
      <c r="BF2166" s="38"/>
      <c r="BG2166" s="38"/>
      <c r="BH2166" s="38"/>
      <c r="BI2166" s="38"/>
      <c r="BJ2166" s="38"/>
      <c r="BK2166" s="38"/>
      <c r="BL2166" s="38"/>
      <c r="BM2166" s="38"/>
      <c r="BN2166" s="38"/>
      <c r="BO2166" s="38"/>
      <c r="BP2166" s="38"/>
      <c r="BQ2166" s="38"/>
    </row>
    <row r="2167">
      <c r="A2167" s="16"/>
      <c r="B2167" s="16"/>
      <c r="C2167" s="146"/>
      <c r="D2167" s="146"/>
      <c r="E2167" s="16"/>
      <c r="F2167" s="91"/>
      <c r="G2167" s="16"/>
      <c r="H2167" s="320" t="str">
        <f t="shared" si="33"/>
        <v/>
      </c>
      <c r="I2167" s="16"/>
      <c r="J2167" s="16"/>
      <c r="K2167" s="16"/>
      <c r="L2167" s="16"/>
      <c r="M2167" s="15"/>
      <c r="N2167" s="15"/>
      <c r="O2167" s="16"/>
      <c r="P2167" s="16"/>
      <c r="Q2167" s="16"/>
      <c r="R2167" s="16"/>
      <c r="S2167" s="37" t="str">
        <f>IFERROR(__xludf.DUMMYFUNCTION("if(not(iserror(index(split(C2167, "" ""),2))), index(split(C2167, "" ""),1),"""")"),"")</f>
        <v/>
      </c>
      <c r="T2167" s="315" t="str">
        <f>IFERROR(__xludf.DUMMYFUNCTION("if(S2167="""",C2167,if(not(iserror(index(split(C2167, "" ""),3))), index(split(C2167, "" ""),3),index(split(C2167, "" ""),2)))"),"")</f>
        <v/>
      </c>
      <c r="U2167" s="38" t="b">
        <f t="shared" si="34"/>
        <v>0</v>
      </c>
      <c r="V2167" s="38"/>
      <c r="W2167" s="40"/>
      <c r="X2167" s="40"/>
      <c r="Y2167" s="38"/>
      <c r="Z2167" s="38"/>
      <c r="AA2167" s="38"/>
      <c r="AB2167" s="38"/>
      <c r="AC2167" s="38"/>
      <c r="AD2167" s="38"/>
      <c r="AE2167" s="38"/>
      <c r="AF2167" s="38"/>
      <c r="AG2167" s="38"/>
      <c r="AH2167" s="38"/>
      <c r="AI2167" s="38"/>
      <c r="AJ2167" s="38"/>
      <c r="AK2167" s="38"/>
      <c r="AL2167" s="38"/>
      <c r="AM2167" s="38"/>
      <c r="AN2167" s="38"/>
      <c r="AO2167" s="38"/>
      <c r="AP2167" s="38"/>
      <c r="AQ2167" s="38"/>
      <c r="AR2167" s="38"/>
      <c r="AS2167" s="38"/>
      <c r="AT2167" s="38"/>
      <c r="AU2167" s="38"/>
      <c r="AV2167" s="38"/>
      <c r="AW2167" s="38"/>
      <c r="AX2167" s="38"/>
      <c r="AY2167" s="38"/>
      <c r="AZ2167" s="38"/>
      <c r="BA2167" s="38"/>
      <c r="BB2167" s="38"/>
      <c r="BC2167" s="38"/>
      <c r="BD2167" s="38"/>
      <c r="BE2167" s="38"/>
      <c r="BF2167" s="38"/>
      <c r="BG2167" s="38"/>
      <c r="BH2167" s="38"/>
      <c r="BI2167" s="38"/>
      <c r="BJ2167" s="38"/>
      <c r="BK2167" s="38"/>
      <c r="BL2167" s="38"/>
      <c r="BM2167" s="38"/>
      <c r="BN2167" s="38"/>
      <c r="BO2167" s="38"/>
      <c r="BP2167" s="38"/>
      <c r="BQ2167" s="38"/>
    </row>
    <row r="2168">
      <c r="A2168" s="16"/>
      <c r="B2168" s="16"/>
      <c r="C2168" s="146"/>
      <c r="D2168" s="146"/>
      <c r="E2168" s="16"/>
      <c r="F2168" s="91"/>
      <c r="G2168" s="16"/>
      <c r="H2168" s="320" t="str">
        <f t="shared" si="33"/>
        <v/>
      </c>
      <c r="I2168" s="16"/>
      <c r="J2168" s="16"/>
      <c r="K2168" s="16"/>
      <c r="L2168" s="16"/>
      <c r="M2168" s="15"/>
      <c r="N2168" s="15"/>
      <c r="O2168" s="16"/>
      <c r="P2168" s="16"/>
      <c r="Q2168" s="16"/>
      <c r="R2168" s="16"/>
      <c r="S2168" s="37" t="str">
        <f>IFERROR(__xludf.DUMMYFUNCTION("if(not(iserror(index(split(C2168, "" ""),2))), index(split(C2168, "" ""),1),"""")"),"")</f>
        <v/>
      </c>
      <c r="T2168" s="315" t="str">
        <f>IFERROR(__xludf.DUMMYFUNCTION("if(S2168="""",C2168,if(not(iserror(index(split(C2168, "" ""),3))), index(split(C2168, "" ""),3),index(split(C2168, "" ""),2)))"),"")</f>
        <v/>
      </c>
      <c r="U2168" s="38" t="b">
        <f t="shared" si="34"/>
        <v>0</v>
      </c>
      <c r="V2168" s="38"/>
      <c r="W2168" s="40"/>
      <c r="X2168" s="40"/>
      <c r="Y2168" s="38"/>
      <c r="Z2168" s="38"/>
      <c r="AA2168" s="38"/>
      <c r="AB2168" s="38"/>
      <c r="AC2168" s="38"/>
      <c r="AD2168" s="38"/>
      <c r="AE2168" s="38"/>
      <c r="AF2168" s="38"/>
      <c r="AG2168" s="38"/>
      <c r="AH2168" s="38"/>
      <c r="AI2168" s="38"/>
      <c r="AJ2168" s="38"/>
      <c r="AK2168" s="38"/>
      <c r="AL2168" s="38"/>
      <c r="AM2168" s="38"/>
      <c r="AN2168" s="38"/>
      <c r="AO2168" s="38"/>
      <c r="AP2168" s="38"/>
      <c r="AQ2168" s="38"/>
      <c r="AR2168" s="38"/>
      <c r="AS2168" s="38"/>
      <c r="AT2168" s="38"/>
      <c r="AU2168" s="38"/>
      <c r="AV2168" s="38"/>
      <c r="AW2168" s="38"/>
      <c r="AX2168" s="38"/>
      <c r="AY2168" s="38"/>
      <c r="AZ2168" s="38"/>
      <c r="BA2168" s="38"/>
      <c r="BB2168" s="38"/>
      <c r="BC2168" s="38"/>
      <c r="BD2168" s="38"/>
      <c r="BE2168" s="38"/>
      <c r="BF2168" s="38"/>
      <c r="BG2168" s="38"/>
      <c r="BH2168" s="38"/>
      <c r="BI2168" s="38"/>
      <c r="BJ2168" s="38"/>
      <c r="BK2168" s="38"/>
      <c r="BL2168" s="38"/>
      <c r="BM2168" s="38"/>
      <c r="BN2168" s="38"/>
      <c r="BO2168" s="38"/>
      <c r="BP2168" s="38"/>
      <c r="BQ2168" s="38"/>
    </row>
    <row r="2169">
      <c r="A2169" s="16"/>
      <c r="B2169" s="16"/>
      <c r="C2169" s="146"/>
      <c r="D2169" s="146"/>
      <c r="E2169" s="16"/>
      <c r="F2169" s="91"/>
      <c r="G2169" s="16"/>
      <c r="H2169" s="320" t="str">
        <f t="shared" si="33"/>
        <v/>
      </c>
      <c r="I2169" s="16"/>
      <c r="J2169" s="16"/>
      <c r="K2169" s="16"/>
      <c r="L2169" s="16"/>
      <c r="M2169" s="15"/>
      <c r="N2169" s="15"/>
      <c r="O2169" s="16"/>
      <c r="P2169" s="16"/>
      <c r="Q2169" s="16"/>
      <c r="R2169" s="16"/>
      <c r="S2169" s="37" t="str">
        <f>IFERROR(__xludf.DUMMYFUNCTION("if(not(iserror(index(split(C2169, "" ""),2))), index(split(C2169, "" ""),1),"""")"),"")</f>
        <v/>
      </c>
      <c r="T2169" s="315" t="str">
        <f>IFERROR(__xludf.DUMMYFUNCTION("if(S2169="""",C2169,if(not(iserror(index(split(C2169, "" ""),3))), index(split(C2169, "" ""),3),index(split(C2169, "" ""),2)))"),"")</f>
        <v/>
      </c>
      <c r="U2169" s="38" t="b">
        <f t="shared" si="34"/>
        <v>0</v>
      </c>
      <c r="V2169" s="38"/>
      <c r="W2169" s="40"/>
      <c r="X2169" s="40"/>
      <c r="Y2169" s="38"/>
      <c r="Z2169" s="38"/>
      <c r="AA2169" s="38"/>
      <c r="AB2169" s="38"/>
      <c r="AC2169" s="38"/>
      <c r="AD2169" s="38"/>
      <c r="AE2169" s="38"/>
      <c r="AF2169" s="38"/>
      <c r="AG2169" s="38"/>
      <c r="AH2169" s="38"/>
      <c r="AI2169" s="38"/>
      <c r="AJ2169" s="38"/>
      <c r="AK2169" s="38"/>
      <c r="AL2169" s="38"/>
      <c r="AM2169" s="38"/>
      <c r="AN2169" s="38"/>
      <c r="AO2169" s="38"/>
      <c r="AP2169" s="38"/>
      <c r="AQ2169" s="38"/>
      <c r="AR2169" s="38"/>
      <c r="AS2169" s="38"/>
      <c r="AT2169" s="38"/>
      <c r="AU2169" s="38"/>
      <c r="AV2169" s="38"/>
      <c r="AW2169" s="38"/>
      <c r="AX2169" s="38"/>
      <c r="AY2169" s="38"/>
      <c r="AZ2169" s="38"/>
      <c r="BA2169" s="38"/>
      <c r="BB2169" s="38"/>
      <c r="BC2169" s="38"/>
      <c r="BD2169" s="38"/>
      <c r="BE2169" s="38"/>
      <c r="BF2169" s="38"/>
      <c r="BG2169" s="38"/>
      <c r="BH2169" s="38"/>
      <c r="BI2169" s="38"/>
      <c r="BJ2169" s="38"/>
      <c r="BK2169" s="38"/>
      <c r="BL2169" s="38"/>
      <c r="BM2169" s="38"/>
      <c r="BN2169" s="38"/>
      <c r="BO2169" s="38"/>
      <c r="BP2169" s="38"/>
      <c r="BQ2169" s="38"/>
    </row>
    <row r="2170">
      <c r="A2170" s="16"/>
      <c r="B2170" s="16"/>
      <c r="C2170" s="146"/>
      <c r="D2170" s="146"/>
      <c r="E2170" s="16"/>
      <c r="F2170" s="91"/>
      <c r="G2170" s="16"/>
      <c r="H2170" s="320" t="str">
        <f t="shared" si="33"/>
        <v/>
      </c>
      <c r="I2170" s="16"/>
      <c r="J2170" s="16"/>
      <c r="K2170" s="16"/>
      <c r="L2170" s="16"/>
      <c r="M2170" s="15"/>
      <c r="N2170" s="15"/>
      <c r="O2170" s="16"/>
      <c r="P2170" s="16"/>
      <c r="Q2170" s="16"/>
      <c r="R2170" s="16"/>
      <c r="S2170" s="37" t="str">
        <f>IFERROR(__xludf.DUMMYFUNCTION("if(not(iserror(index(split(C2170, "" ""),2))), index(split(C2170, "" ""),1),"""")"),"")</f>
        <v/>
      </c>
      <c r="T2170" s="315" t="str">
        <f>IFERROR(__xludf.DUMMYFUNCTION("if(S2170="""",C2170,if(not(iserror(index(split(C2170, "" ""),3))), index(split(C2170, "" ""),3),index(split(C2170, "" ""),2)))"),"")</f>
        <v/>
      </c>
      <c r="U2170" s="38" t="b">
        <f t="shared" si="34"/>
        <v>0</v>
      </c>
      <c r="V2170" s="38"/>
      <c r="W2170" s="40"/>
      <c r="X2170" s="40"/>
      <c r="Y2170" s="38"/>
      <c r="Z2170" s="38"/>
      <c r="AA2170" s="38"/>
      <c r="AB2170" s="38"/>
      <c r="AC2170" s="38"/>
      <c r="AD2170" s="38"/>
      <c r="AE2170" s="38"/>
      <c r="AF2170" s="38"/>
      <c r="AG2170" s="38"/>
      <c r="AH2170" s="38"/>
      <c r="AI2170" s="38"/>
      <c r="AJ2170" s="38"/>
      <c r="AK2170" s="38"/>
      <c r="AL2170" s="38"/>
      <c r="AM2170" s="38"/>
      <c r="AN2170" s="38"/>
      <c r="AO2170" s="38"/>
      <c r="AP2170" s="38"/>
      <c r="AQ2170" s="38"/>
      <c r="AR2170" s="38"/>
      <c r="AS2170" s="38"/>
      <c r="AT2170" s="38"/>
      <c r="AU2170" s="38"/>
      <c r="AV2170" s="38"/>
      <c r="AW2170" s="38"/>
      <c r="AX2170" s="38"/>
      <c r="AY2170" s="38"/>
      <c r="AZ2170" s="38"/>
      <c r="BA2170" s="38"/>
      <c r="BB2170" s="38"/>
      <c r="BC2170" s="38"/>
      <c r="BD2170" s="38"/>
      <c r="BE2170" s="38"/>
      <c r="BF2170" s="38"/>
      <c r="BG2170" s="38"/>
      <c r="BH2170" s="38"/>
      <c r="BI2170" s="38"/>
      <c r="BJ2170" s="38"/>
      <c r="BK2170" s="38"/>
      <c r="BL2170" s="38"/>
      <c r="BM2170" s="38"/>
      <c r="BN2170" s="38"/>
      <c r="BO2170" s="38"/>
      <c r="BP2170" s="38"/>
      <c r="BQ2170" s="38"/>
    </row>
    <row r="2171">
      <c r="A2171" s="16"/>
      <c r="B2171" s="16"/>
      <c r="C2171" s="146"/>
      <c r="D2171" s="146"/>
      <c r="E2171" s="16"/>
      <c r="F2171" s="91"/>
      <c r="G2171" s="16"/>
      <c r="H2171" s="320" t="str">
        <f t="shared" si="33"/>
        <v/>
      </c>
      <c r="I2171" s="16"/>
      <c r="J2171" s="16"/>
      <c r="K2171" s="16"/>
      <c r="L2171" s="16"/>
      <c r="M2171" s="15"/>
      <c r="N2171" s="15"/>
      <c r="O2171" s="16"/>
      <c r="P2171" s="16"/>
      <c r="Q2171" s="16"/>
      <c r="R2171" s="16"/>
      <c r="S2171" s="37" t="str">
        <f>IFERROR(__xludf.DUMMYFUNCTION("if(not(iserror(index(split(C2171, "" ""),2))), index(split(C2171, "" ""),1),"""")"),"")</f>
        <v/>
      </c>
      <c r="T2171" s="315" t="str">
        <f>IFERROR(__xludf.DUMMYFUNCTION("if(S2171="""",C2171,if(not(iserror(index(split(C2171, "" ""),3))), index(split(C2171, "" ""),3),index(split(C2171, "" ""),2)))"),"")</f>
        <v/>
      </c>
      <c r="U2171" s="38" t="b">
        <f t="shared" si="34"/>
        <v>0</v>
      </c>
      <c r="V2171" s="38"/>
      <c r="W2171" s="40"/>
      <c r="X2171" s="40"/>
      <c r="Y2171" s="38"/>
      <c r="Z2171" s="38"/>
      <c r="AA2171" s="38"/>
      <c r="AB2171" s="38"/>
      <c r="AC2171" s="38"/>
      <c r="AD2171" s="38"/>
      <c r="AE2171" s="38"/>
      <c r="AF2171" s="38"/>
      <c r="AG2171" s="38"/>
      <c r="AH2171" s="38"/>
      <c r="AI2171" s="38"/>
      <c r="AJ2171" s="38"/>
      <c r="AK2171" s="38"/>
      <c r="AL2171" s="38"/>
      <c r="AM2171" s="38"/>
      <c r="AN2171" s="38"/>
      <c r="AO2171" s="38"/>
      <c r="AP2171" s="38"/>
      <c r="AQ2171" s="38"/>
      <c r="AR2171" s="38"/>
      <c r="AS2171" s="38"/>
      <c r="AT2171" s="38"/>
      <c r="AU2171" s="38"/>
      <c r="AV2171" s="38"/>
      <c r="AW2171" s="38"/>
      <c r="AX2171" s="38"/>
      <c r="AY2171" s="38"/>
      <c r="AZ2171" s="38"/>
      <c r="BA2171" s="38"/>
      <c r="BB2171" s="38"/>
      <c r="BC2171" s="38"/>
      <c r="BD2171" s="38"/>
      <c r="BE2171" s="38"/>
      <c r="BF2171" s="38"/>
      <c r="BG2171" s="38"/>
      <c r="BH2171" s="38"/>
      <c r="BI2171" s="38"/>
      <c r="BJ2171" s="38"/>
      <c r="BK2171" s="38"/>
      <c r="BL2171" s="38"/>
      <c r="BM2171" s="38"/>
      <c r="BN2171" s="38"/>
      <c r="BO2171" s="38"/>
      <c r="BP2171" s="38"/>
      <c r="BQ2171" s="38"/>
    </row>
    <row r="2172">
      <c r="A2172" s="16"/>
      <c r="B2172" s="16"/>
      <c r="C2172" s="146"/>
      <c r="D2172" s="146"/>
      <c r="E2172" s="16"/>
      <c r="F2172" s="91"/>
      <c r="G2172" s="16"/>
      <c r="H2172" s="320" t="str">
        <f t="shared" si="33"/>
        <v/>
      </c>
      <c r="I2172" s="16"/>
      <c r="J2172" s="16"/>
      <c r="K2172" s="16"/>
      <c r="L2172" s="16"/>
      <c r="M2172" s="15"/>
      <c r="N2172" s="15"/>
      <c r="O2172" s="16"/>
      <c r="P2172" s="16"/>
      <c r="Q2172" s="16"/>
      <c r="R2172" s="16"/>
      <c r="S2172" s="37" t="str">
        <f>IFERROR(__xludf.DUMMYFUNCTION("if(not(iserror(index(split(C2172, "" ""),2))), index(split(C2172, "" ""),1),"""")"),"")</f>
        <v/>
      </c>
      <c r="T2172" s="315" t="str">
        <f>IFERROR(__xludf.DUMMYFUNCTION("if(S2172="""",C2172,if(not(iserror(index(split(C2172, "" ""),3))), index(split(C2172, "" ""),3),index(split(C2172, "" ""),2)))"),"")</f>
        <v/>
      </c>
      <c r="U2172" s="38" t="b">
        <f t="shared" si="34"/>
        <v>0</v>
      </c>
      <c r="V2172" s="38"/>
      <c r="W2172" s="40"/>
      <c r="X2172" s="40"/>
      <c r="Y2172" s="38"/>
      <c r="Z2172" s="38"/>
      <c r="AA2172" s="38"/>
      <c r="AB2172" s="38"/>
      <c r="AC2172" s="38"/>
      <c r="AD2172" s="38"/>
      <c r="AE2172" s="38"/>
      <c r="AF2172" s="38"/>
      <c r="AG2172" s="38"/>
      <c r="AH2172" s="38"/>
      <c r="AI2172" s="38"/>
      <c r="AJ2172" s="38"/>
      <c r="AK2172" s="38"/>
      <c r="AL2172" s="38"/>
      <c r="AM2172" s="38"/>
      <c r="AN2172" s="38"/>
      <c r="AO2172" s="38"/>
      <c r="AP2172" s="38"/>
      <c r="AQ2172" s="38"/>
      <c r="AR2172" s="38"/>
      <c r="AS2172" s="38"/>
      <c r="AT2172" s="38"/>
      <c r="AU2172" s="38"/>
      <c r="AV2172" s="38"/>
      <c r="AW2172" s="38"/>
      <c r="AX2172" s="38"/>
      <c r="AY2172" s="38"/>
      <c r="AZ2172" s="38"/>
      <c r="BA2172" s="38"/>
      <c r="BB2172" s="38"/>
      <c r="BC2172" s="38"/>
      <c r="BD2172" s="38"/>
      <c r="BE2172" s="38"/>
      <c r="BF2172" s="38"/>
      <c r="BG2172" s="38"/>
      <c r="BH2172" s="38"/>
      <c r="BI2172" s="38"/>
      <c r="BJ2172" s="38"/>
      <c r="BK2172" s="38"/>
      <c r="BL2172" s="38"/>
      <c r="BM2172" s="38"/>
      <c r="BN2172" s="38"/>
      <c r="BO2172" s="38"/>
      <c r="BP2172" s="38"/>
      <c r="BQ2172" s="38"/>
    </row>
    <row r="2173">
      <c r="A2173" s="16"/>
      <c r="B2173" s="16"/>
      <c r="C2173" s="146"/>
      <c r="D2173" s="146"/>
      <c r="E2173" s="16"/>
      <c r="F2173" s="91"/>
      <c r="G2173" s="16"/>
      <c r="H2173" s="320" t="str">
        <f t="shared" si="33"/>
        <v/>
      </c>
      <c r="I2173" s="16"/>
      <c r="J2173" s="16"/>
      <c r="K2173" s="16"/>
      <c r="L2173" s="16"/>
      <c r="M2173" s="15"/>
      <c r="N2173" s="15"/>
      <c r="O2173" s="16"/>
      <c r="P2173" s="16"/>
      <c r="Q2173" s="16"/>
      <c r="R2173" s="16"/>
      <c r="S2173" s="37" t="str">
        <f>IFERROR(__xludf.DUMMYFUNCTION("if(not(iserror(index(split(C2173, "" ""),2))), index(split(C2173, "" ""),1),"""")"),"")</f>
        <v/>
      </c>
      <c r="T2173" s="315" t="str">
        <f>IFERROR(__xludf.DUMMYFUNCTION("if(S2173="""",C2173,if(not(iserror(index(split(C2173, "" ""),3))), index(split(C2173, "" ""),3),index(split(C2173, "" ""),2)))"),"")</f>
        <v/>
      </c>
      <c r="U2173" s="38" t="b">
        <f t="shared" si="34"/>
        <v>0</v>
      </c>
      <c r="V2173" s="38"/>
      <c r="W2173" s="40"/>
      <c r="X2173" s="40"/>
      <c r="Y2173" s="38"/>
      <c r="Z2173" s="38"/>
      <c r="AA2173" s="38"/>
      <c r="AB2173" s="38"/>
      <c r="AC2173" s="38"/>
      <c r="AD2173" s="38"/>
      <c r="AE2173" s="38"/>
      <c r="AF2173" s="38"/>
      <c r="AG2173" s="38"/>
      <c r="AH2173" s="38"/>
      <c r="AI2173" s="38"/>
      <c r="AJ2173" s="38"/>
      <c r="AK2173" s="38"/>
      <c r="AL2173" s="38"/>
      <c r="AM2173" s="38"/>
      <c r="AN2173" s="38"/>
      <c r="AO2173" s="38"/>
      <c r="AP2173" s="38"/>
      <c r="AQ2173" s="38"/>
      <c r="AR2173" s="38"/>
      <c r="AS2173" s="38"/>
      <c r="AT2173" s="38"/>
      <c r="AU2173" s="38"/>
      <c r="AV2173" s="38"/>
      <c r="AW2173" s="38"/>
      <c r="AX2173" s="38"/>
      <c r="AY2173" s="38"/>
      <c r="AZ2173" s="38"/>
      <c r="BA2173" s="38"/>
      <c r="BB2173" s="38"/>
      <c r="BC2173" s="38"/>
      <c r="BD2173" s="38"/>
      <c r="BE2173" s="38"/>
      <c r="BF2173" s="38"/>
      <c r="BG2173" s="38"/>
      <c r="BH2173" s="38"/>
      <c r="BI2173" s="38"/>
      <c r="BJ2173" s="38"/>
      <c r="BK2173" s="38"/>
      <c r="BL2173" s="38"/>
      <c r="BM2173" s="38"/>
      <c r="BN2173" s="38"/>
      <c r="BO2173" s="38"/>
      <c r="BP2173" s="38"/>
      <c r="BQ2173" s="38"/>
    </row>
    <row r="2174">
      <c r="A2174" s="16"/>
      <c r="B2174" s="16"/>
      <c r="C2174" s="146"/>
      <c r="D2174" s="146"/>
      <c r="E2174" s="16"/>
      <c r="F2174" s="91"/>
      <c r="G2174" s="16"/>
      <c r="H2174" s="320" t="str">
        <f t="shared" si="33"/>
        <v/>
      </c>
      <c r="I2174" s="16"/>
      <c r="J2174" s="16"/>
      <c r="K2174" s="16"/>
      <c r="L2174" s="16"/>
      <c r="M2174" s="15"/>
      <c r="N2174" s="15"/>
      <c r="O2174" s="16"/>
      <c r="P2174" s="16"/>
      <c r="Q2174" s="16"/>
      <c r="R2174" s="16"/>
      <c r="S2174" s="37" t="str">
        <f>IFERROR(__xludf.DUMMYFUNCTION("if(not(iserror(index(split(C2174, "" ""),2))), index(split(C2174, "" ""),1),"""")"),"")</f>
        <v/>
      </c>
      <c r="T2174" s="315" t="str">
        <f>IFERROR(__xludf.DUMMYFUNCTION("if(S2174="""",C2174,if(not(iserror(index(split(C2174, "" ""),3))), index(split(C2174, "" ""),3),index(split(C2174, "" ""),2)))"),"")</f>
        <v/>
      </c>
      <c r="U2174" s="38" t="b">
        <f t="shared" si="34"/>
        <v>0</v>
      </c>
      <c r="V2174" s="38"/>
      <c r="W2174" s="40"/>
      <c r="X2174" s="40"/>
      <c r="Y2174" s="38"/>
      <c r="Z2174" s="38"/>
      <c r="AA2174" s="38"/>
      <c r="AB2174" s="38"/>
      <c r="AC2174" s="38"/>
      <c r="AD2174" s="38"/>
      <c r="AE2174" s="38"/>
      <c r="AF2174" s="38"/>
      <c r="AG2174" s="38"/>
      <c r="AH2174" s="38"/>
      <c r="AI2174" s="38"/>
      <c r="AJ2174" s="38"/>
      <c r="AK2174" s="38"/>
      <c r="AL2174" s="38"/>
      <c r="AM2174" s="38"/>
      <c r="AN2174" s="38"/>
      <c r="AO2174" s="38"/>
      <c r="AP2174" s="38"/>
      <c r="AQ2174" s="38"/>
      <c r="AR2174" s="38"/>
      <c r="AS2174" s="38"/>
      <c r="AT2174" s="38"/>
      <c r="AU2174" s="38"/>
      <c r="AV2174" s="38"/>
      <c r="AW2174" s="38"/>
      <c r="AX2174" s="38"/>
      <c r="AY2174" s="38"/>
      <c r="AZ2174" s="38"/>
      <c r="BA2174" s="38"/>
      <c r="BB2174" s="38"/>
      <c r="BC2174" s="38"/>
      <c r="BD2174" s="38"/>
      <c r="BE2174" s="38"/>
      <c r="BF2174" s="38"/>
      <c r="BG2174" s="38"/>
      <c r="BH2174" s="38"/>
      <c r="BI2174" s="38"/>
      <c r="BJ2174" s="38"/>
      <c r="BK2174" s="38"/>
      <c r="BL2174" s="38"/>
      <c r="BM2174" s="38"/>
      <c r="BN2174" s="38"/>
      <c r="BO2174" s="38"/>
      <c r="BP2174" s="38"/>
      <c r="BQ2174" s="38"/>
    </row>
    <row r="2175">
      <c r="A2175" s="16"/>
      <c r="B2175" s="16"/>
      <c r="C2175" s="146"/>
      <c r="D2175" s="146"/>
      <c r="E2175" s="16"/>
      <c r="F2175" s="91"/>
      <c r="G2175" s="16"/>
      <c r="H2175" s="320" t="str">
        <f t="shared" si="33"/>
        <v/>
      </c>
      <c r="I2175" s="16"/>
      <c r="J2175" s="16"/>
      <c r="K2175" s="16"/>
      <c r="L2175" s="16"/>
      <c r="M2175" s="15"/>
      <c r="N2175" s="15"/>
      <c r="O2175" s="16"/>
      <c r="P2175" s="16"/>
      <c r="Q2175" s="16"/>
      <c r="R2175" s="16"/>
      <c r="S2175" s="37" t="str">
        <f>IFERROR(__xludf.DUMMYFUNCTION("if(not(iserror(index(split(C2175, "" ""),2))), index(split(C2175, "" ""),1),"""")"),"")</f>
        <v/>
      </c>
      <c r="T2175" s="315" t="str">
        <f>IFERROR(__xludf.DUMMYFUNCTION("if(S2175="""",C2175,if(not(iserror(index(split(C2175, "" ""),3))), index(split(C2175, "" ""),3),index(split(C2175, "" ""),2)))"),"")</f>
        <v/>
      </c>
      <c r="U2175" s="38" t="b">
        <f t="shared" si="34"/>
        <v>0</v>
      </c>
      <c r="V2175" s="38"/>
      <c r="W2175" s="40"/>
      <c r="X2175" s="40"/>
      <c r="Y2175" s="38"/>
      <c r="Z2175" s="38"/>
      <c r="AA2175" s="38"/>
      <c r="AB2175" s="38"/>
      <c r="AC2175" s="38"/>
      <c r="AD2175" s="38"/>
      <c r="AE2175" s="38"/>
      <c r="AF2175" s="38"/>
      <c r="AG2175" s="38"/>
      <c r="AH2175" s="38"/>
      <c r="AI2175" s="38"/>
      <c r="AJ2175" s="38"/>
      <c r="AK2175" s="38"/>
      <c r="AL2175" s="38"/>
      <c r="AM2175" s="38"/>
      <c r="AN2175" s="38"/>
      <c r="AO2175" s="38"/>
      <c r="AP2175" s="38"/>
      <c r="AQ2175" s="38"/>
      <c r="AR2175" s="38"/>
      <c r="AS2175" s="38"/>
      <c r="AT2175" s="38"/>
      <c r="AU2175" s="38"/>
      <c r="AV2175" s="38"/>
      <c r="AW2175" s="38"/>
      <c r="AX2175" s="38"/>
      <c r="AY2175" s="38"/>
      <c r="AZ2175" s="38"/>
      <c r="BA2175" s="38"/>
      <c r="BB2175" s="38"/>
      <c r="BC2175" s="38"/>
      <c r="BD2175" s="38"/>
      <c r="BE2175" s="38"/>
      <c r="BF2175" s="38"/>
      <c r="BG2175" s="38"/>
      <c r="BH2175" s="38"/>
      <c r="BI2175" s="38"/>
      <c r="BJ2175" s="38"/>
      <c r="BK2175" s="38"/>
      <c r="BL2175" s="38"/>
      <c r="BM2175" s="38"/>
      <c r="BN2175" s="38"/>
      <c r="BO2175" s="38"/>
      <c r="BP2175" s="38"/>
      <c r="BQ2175" s="38"/>
    </row>
    <row r="2176">
      <c r="A2176" s="16"/>
      <c r="B2176" s="16"/>
      <c r="C2176" s="146"/>
      <c r="D2176" s="146"/>
      <c r="E2176" s="16"/>
      <c r="F2176" s="91"/>
      <c r="G2176" s="16"/>
      <c r="H2176" s="320" t="str">
        <f t="shared" si="33"/>
        <v/>
      </c>
      <c r="I2176" s="16"/>
      <c r="J2176" s="16"/>
      <c r="K2176" s="16"/>
      <c r="L2176" s="16"/>
      <c r="M2176" s="15"/>
      <c r="N2176" s="15"/>
      <c r="O2176" s="16"/>
      <c r="P2176" s="16"/>
      <c r="Q2176" s="16"/>
      <c r="R2176" s="16"/>
      <c r="S2176" s="37" t="str">
        <f>IFERROR(__xludf.DUMMYFUNCTION("if(not(iserror(index(split(C2176, "" ""),2))), index(split(C2176, "" ""),1),"""")"),"")</f>
        <v/>
      </c>
      <c r="T2176" s="315" t="str">
        <f>IFERROR(__xludf.DUMMYFUNCTION("if(S2176="""",C2176,if(not(iserror(index(split(C2176, "" ""),3))), index(split(C2176, "" ""),3),index(split(C2176, "" ""),2)))"),"")</f>
        <v/>
      </c>
      <c r="U2176" s="38" t="b">
        <f t="shared" si="34"/>
        <v>0</v>
      </c>
      <c r="V2176" s="38"/>
      <c r="W2176" s="40"/>
      <c r="X2176" s="40"/>
      <c r="Y2176" s="38"/>
      <c r="Z2176" s="38"/>
      <c r="AA2176" s="38"/>
      <c r="AB2176" s="38"/>
      <c r="AC2176" s="38"/>
      <c r="AD2176" s="38"/>
      <c r="AE2176" s="38"/>
      <c r="AF2176" s="38"/>
      <c r="AG2176" s="38"/>
      <c r="AH2176" s="38"/>
      <c r="AI2176" s="38"/>
      <c r="AJ2176" s="38"/>
      <c r="AK2176" s="38"/>
      <c r="AL2176" s="38"/>
      <c r="AM2176" s="38"/>
      <c r="AN2176" s="38"/>
      <c r="AO2176" s="38"/>
      <c r="AP2176" s="38"/>
      <c r="AQ2176" s="38"/>
      <c r="AR2176" s="38"/>
      <c r="AS2176" s="38"/>
      <c r="AT2176" s="38"/>
      <c r="AU2176" s="38"/>
      <c r="AV2176" s="38"/>
      <c r="AW2176" s="38"/>
      <c r="AX2176" s="38"/>
      <c r="AY2176" s="38"/>
      <c r="AZ2176" s="38"/>
      <c r="BA2176" s="38"/>
      <c r="BB2176" s="38"/>
      <c r="BC2176" s="38"/>
      <c r="BD2176" s="38"/>
      <c r="BE2176" s="38"/>
      <c r="BF2176" s="38"/>
      <c r="BG2176" s="38"/>
      <c r="BH2176" s="38"/>
      <c r="BI2176" s="38"/>
      <c r="BJ2176" s="38"/>
      <c r="BK2176" s="38"/>
      <c r="BL2176" s="38"/>
      <c r="BM2176" s="38"/>
      <c r="BN2176" s="38"/>
      <c r="BO2176" s="38"/>
      <c r="BP2176" s="38"/>
      <c r="BQ2176" s="38"/>
    </row>
    <row r="2177">
      <c r="A2177" s="16"/>
      <c r="B2177" s="16"/>
      <c r="C2177" s="146"/>
      <c r="D2177" s="146"/>
      <c r="E2177" s="16"/>
      <c r="F2177" s="91"/>
      <c r="G2177" s="16"/>
      <c r="H2177" s="320" t="str">
        <f t="shared" si="33"/>
        <v/>
      </c>
      <c r="I2177" s="16"/>
      <c r="J2177" s="16"/>
      <c r="K2177" s="16"/>
      <c r="L2177" s="16"/>
      <c r="M2177" s="15"/>
      <c r="N2177" s="15"/>
      <c r="O2177" s="16"/>
      <c r="P2177" s="16"/>
      <c r="Q2177" s="16"/>
      <c r="R2177" s="16"/>
      <c r="S2177" s="37" t="str">
        <f>IFERROR(__xludf.DUMMYFUNCTION("if(not(iserror(index(split(C2177, "" ""),2))), index(split(C2177, "" ""),1),"""")"),"")</f>
        <v/>
      </c>
      <c r="T2177" s="315" t="str">
        <f>IFERROR(__xludf.DUMMYFUNCTION("if(S2177="""",C2177,if(not(iserror(index(split(C2177, "" ""),3))), index(split(C2177, "" ""),3),index(split(C2177, "" ""),2)))"),"")</f>
        <v/>
      </c>
      <c r="U2177" s="38" t="b">
        <f t="shared" si="34"/>
        <v>0</v>
      </c>
      <c r="V2177" s="38"/>
      <c r="W2177" s="40"/>
      <c r="X2177" s="40"/>
      <c r="Y2177" s="38"/>
      <c r="Z2177" s="38"/>
      <c r="AA2177" s="38"/>
      <c r="AB2177" s="38"/>
      <c r="AC2177" s="38"/>
      <c r="AD2177" s="38"/>
      <c r="AE2177" s="38"/>
      <c r="AF2177" s="38"/>
      <c r="AG2177" s="38"/>
      <c r="AH2177" s="38"/>
      <c r="AI2177" s="38"/>
      <c r="AJ2177" s="38"/>
      <c r="AK2177" s="38"/>
      <c r="AL2177" s="38"/>
      <c r="AM2177" s="38"/>
      <c r="AN2177" s="38"/>
      <c r="AO2177" s="38"/>
      <c r="AP2177" s="38"/>
      <c r="AQ2177" s="38"/>
      <c r="AR2177" s="38"/>
      <c r="AS2177" s="38"/>
      <c r="AT2177" s="38"/>
      <c r="AU2177" s="38"/>
      <c r="AV2177" s="38"/>
      <c r="AW2177" s="38"/>
      <c r="AX2177" s="38"/>
      <c r="AY2177" s="38"/>
      <c r="AZ2177" s="38"/>
      <c r="BA2177" s="38"/>
      <c r="BB2177" s="38"/>
      <c r="BC2177" s="38"/>
      <c r="BD2177" s="38"/>
      <c r="BE2177" s="38"/>
      <c r="BF2177" s="38"/>
      <c r="BG2177" s="38"/>
      <c r="BH2177" s="38"/>
      <c r="BI2177" s="38"/>
      <c r="BJ2177" s="38"/>
      <c r="BK2177" s="38"/>
      <c r="BL2177" s="38"/>
      <c r="BM2177" s="38"/>
      <c r="BN2177" s="38"/>
      <c r="BO2177" s="38"/>
      <c r="BP2177" s="38"/>
      <c r="BQ2177" s="38"/>
    </row>
    <row r="2178">
      <c r="A2178" s="16"/>
      <c r="B2178" s="16"/>
      <c r="C2178" s="146"/>
      <c r="D2178" s="146"/>
      <c r="E2178" s="16"/>
      <c r="F2178" s="91"/>
      <c r="G2178" s="16"/>
      <c r="H2178" s="320" t="str">
        <f t="shared" si="33"/>
        <v/>
      </c>
      <c r="I2178" s="16"/>
      <c r="J2178" s="16"/>
      <c r="K2178" s="16"/>
      <c r="L2178" s="16"/>
      <c r="M2178" s="15"/>
      <c r="N2178" s="15"/>
      <c r="O2178" s="16"/>
      <c r="P2178" s="16"/>
      <c r="Q2178" s="16"/>
      <c r="R2178" s="16"/>
      <c r="S2178" s="37" t="str">
        <f>IFERROR(__xludf.DUMMYFUNCTION("if(not(iserror(index(split(C2178, "" ""),2))), index(split(C2178, "" ""),1),"""")"),"")</f>
        <v/>
      </c>
      <c r="T2178" s="315" t="str">
        <f>IFERROR(__xludf.DUMMYFUNCTION("if(S2178="""",C2178,if(not(iserror(index(split(C2178, "" ""),3))), index(split(C2178, "" ""),3),index(split(C2178, "" ""),2)))"),"")</f>
        <v/>
      </c>
      <c r="U2178" s="38" t="b">
        <f t="shared" si="34"/>
        <v>0</v>
      </c>
      <c r="V2178" s="38"/>
      <c r="W2178" s="40"/>
      <c r="X2178" s="40"/>
      <c r="Y2178" s="38"/>
      <c r="Z2178" s="38"/>
      <c r="AA2178" s="38"/>
      <c r="AB2178" s="38"/>
      <c r="AC2178" s="38"/>
      <c r="AD2178" s="38"/>
      <c r="AE2178" s="38"/>
      <c r="AF2178" s="38"/>
      <c r="AG2178" s="38"/>
      <c r="AH2178" s="38"/>
      <c r="AI2178" s="38"/>
      <c r="AJ2178" s="38"/>
      <c r="AK2178" s="38"/>
      <c r="AL2178" s="38"/>
      <c r="AM2178" s="38"/>
      <c r="AN2178" s="38"/>
      <c r="AO2178" s="38"/>
      <c r="AP2178" s="38"/>
      <c r="AQ2178" s="38"/>
      <c r="AR2178" s="38"/>
      <c r="AS2178" s="38"/>
      <c r="AT2178" s="38"/>
      <c r="AU2178" s="38"/>
      <c r="AV2178" s="38"/>
      <c r="AW2178" s="38"/>
      <c r="AX2178" s="38"/>
      <c r="AY2178" s="38"/>
      <c r="AZ2178" s="38"/>
      <c r="BA2178" s="38"/>
      <c r="BB2178" s="38"/>
      <c r="BC2178" s="38"/>
      <c r="BD2178" s="38"/>
      <c r="BE2178" s="38"/>
      <c r="BF2178" s="38"/>
      <c r="BG2178" s="38"/>
      <c r="BH2178" s="38"/>
      <c r="BI2178" s="38"/>
      <c r="BJ2178" s="38"/>
      <c r="BK2178" s="38"/>
      <c r="BL2178" s="38"/>
      <c r="BM2178" s="38"/>
      <c r="BN2178" s="38"/>
      <c r="BO2178" s="38"/>
      <c r="BP2178" s="38"/>
      <c r="BQ2178" s="38"/>
    </row>
    <row r="2179">
      <c r="A2179" s="16"/>
      <c r="B2179" s="16"/>
      <c r="C2179" s="146"/>
      <c r="D2179" s="146"/>
      <c r="E2179" s="16"/>
      <c r="F2179" s="91"/>
      <c r="G2179" s="16"/>
      <c r="H2179" s="320" t="str">
        <f t="shared" si="33"/>
        <v/>
      </c>
      <c r="I2179" s="16"/>
      <c r="J2179" s="16"/>
      <c r="K2179" s="16"/>
      <c r="L2179" s="16"/>
      <c r="M2179" s="15"/>
      <c r="N2179" s="15"/>
      <c r="O2179" s="16"/>
      <c r="P2179" s="16"/>
      <c r="Q2179" s="16"/>
      <c r="R2179" s="16"/>
      <c r="S2179" s="37" t="str">
        <f>IFERROR(__xludf.DUMMYFUNCTION("if(not(iserror(index(split(C2179, "" ""),2))), index(split(C2179, "" ""),1),"""")"),"")</f>
        <v/>
      </c>
      <c r="T2179" s="315" t="str">
        <f>IFERROR(__xludf.DUMMYFUNCTION("if(S2179="""",C2179,if(not(iserror(index(split(C2179, "" ""),3))), index(split(C2179, "" ""),3),index(split(C2179, "" ""),2)))"),"")</f>
        <v/>
      </c>
      <c r="U2179" s="38" t="b">
        <f t="shared" si="34"/>
        <v>0</v>
      </c>
      <c r="V2179" s="38"/>
      <c r="W2179" s="40"/>
      <c r="X2179" s="40"/>
      <c r="Y2179" s="38"/>
      <c r="Z2179" s="38"/>
      <c r="AA2179" s="38"/>
      <c r="AB2179" s="38"/>
      <c r="AC2179" s="38"/>
      <c r="AD2179" s="38"/>
      <c r="AE2179" s="38"/>
      <c r="AF2179" s="38"/>
      <c r="AG2179" s="38"/>
      <c r="AH2179" s="38"/>
      <c r="AI2179" s="38"/>
      <c r="AJ2179" s="38"/>
      <c r="AK2179" s="38"/>
      <c r="AL2179" s="38"/>
      <c r="AM2179" s="38"/>
      <c r="AN2179" s="38"/>
      <c r="AO2179" s="38"/>
      <c r="AP2179" s="38"/>
      <c r="AQ2179" s="38"/>
      <c r="AR2179" s="38"/>
      <c r="AS2179" s="38"/>
      <c r="AT2179" s="38"/>
      <c r="AU2179" s="38"/>
      <c r="AV2179" s="38"/>
      <c r="AW2179" s="38"/>
      <c r="AX2179" s="38"/>
      <c r="AY2179" s="38"/>
      <c r="AZ2179" s="38"/>
      <c r="BA2179" s="38"/>
      <c r="BB2179" s="38"/>
      <c r="BC2179" s="38"/>
      <c r="BD2179" s="38"/>
      <c r="BE2179" s="38"/>
      <c r="BF2179" s="38"/>
      <c r="BG2179" s="38"/>
      <c r="BH2179" s="38"/>
      <c r="BI2179" s="38"/>
      <c r="BJ2179" s="38"/>
      <c r="BK2179" s="38"/>
      <c r="BL2179" s="38"/>
      <c r="BM2179" s="38"/>
      <c r="BN2179" s="38"/>
      <c r="BO2179" s="38"/>
      <c r="BP2179" s="38"/>
      <c r="BQ2179" s="38"/>
    </row>
    <row r="2180">
      <c r="A2180" s="16"/>
      <c r="B2180" s="16"/>
      <c r="C2180" s="146"/>
      <c r="D2180" s="146"/>
      <c r="E2180" s="16"/>
      <c r="F2180" s="91"/>
      <c r="G2180" s="16"/>
      <c r="H2180" s="320" t="str">
        <f t="shared" si="33"/>
        <v/>
      </c>
      <c r="I2180" s="16"/>
      <c r="J2180" s="16"/>
      <c r="K2180" s="16"/>
      <c r="L2180" s="16"/>
      <c r="M2180" s="15"/>
      <c r="N2180" s="15"/>
      <c r="O2180" s="16"/>
      <c r="P2180" s="16"/>
      <c r="Q2180" s="16"/>
      <c r="R2180" s="16"/>
      <c r="S2180" s="37" t="str">
        <f>IFERROR(__xludf.DUMMYFUNCTION("if(not(iserror(index(split(C2180, "" ""),2))), index(split(C2180, "" ""),1),"""")"),"")</f>
        <v/>
      </c>
      <c r="T2180" s="315" t="str">
        <f>IFERROR(__xludf.DUMMYFUNCTION("if(S2180="""",C2180,if(not(iserror(index(split(C2180, "" ""),3))), index(split(C2180, "" ""),3),index(split(C2180, "" ""),2)))"),"")</f>
        <v/>
      </c>
      <c r="U2180" s="38" t="b">
        <f t="shared" si="34"/>
        <v>0</v>
      </c>
      <c r="V2180" s="38"/>
      <c r="W2180" s="40"/>
      <c r="X2180" s="40"/>
      <c r="Y2180" s="38"/>
      <c r="Z2180" s="38"/>
      <c r="AA2180" s="38"/>
      <c r="AB2180" s="38"/>
      <c r="AC2180" s="38"/>
      <c r="AD2180" s="38"/>
      <c r="AE2180" s="38"/>
      <c r="AF2180" s="38"/>
      <c r="AG2180" s="38"/>
      <c r="AH2180" s="38"/>
      <c r="AI2180" s="38"/>
      <c r="AJ2180" s="38"/>
      <c r="AK2180" s="38"/>
      <c r="AL2180" s="38"/>
      <c r="AM2180" s="38"/>
      <c r="AN2180" s="38"/>
      <c r="AO2180" s="38"/>
      <c r="AP2180" s="38"/>
      <c r="AQ2180" s="38"/>
      <c r="AR2180" s="38"/>
      <c r="AS2180" s="38"/>
      <c r="AT2180" s="38"/>
      <c r="AU2180" s="38"/>
      <c r="AV2180" s="38"/>
      <c r="AW2180" s="38"/>
      <c r="AX2180" s="38"/>
      <c r="AY2180" s="38"/>
      <c r="AZ2180" s="38"/>
      <c r="BA2180" s="38"/>
      <c r="BB2180" s="38"/>
      <c r="BC2180" s="38"/>
      <c r="BD2180" s="38"/>
      <c r="BE2180" s="38"/>
      <c r="BF2180" s="38"/>
      <c r="BG2180" s="38"/>
      <c r="BH2180" s="38"/>
      <c r="BI2180" s="38"/>
      <c r="BJ2180" s="38"/>
      <c r="BK2180" s="38"/>
      <c r="BL2180" s="38"/>
      <c r="BM2180" s="38"/>
      <c r="BN2180" s="38"/>
      <c r="BO2180" s="38"/>
      <c r="BP2180" s="38"/>
      <c r="BQ2180" s="38"/>
    </row>
    <row r="2181">
      <c r="A2181" s="16"/>
      <c r="B2181" s="16"/>
      <c r="C2181" s="146"/>
      <c r="D2181" s="146"/>
      <c r="E2181" s="16"/>
      <c r="F2181" s="91"/>
      <c r="G2181" s="16"/>
      <c r="H2181" s="320" t="str">
        <f t="shared" si="33"/>
        <v/>
      </c>
      <c r="I2181" s="16"/>
      <c r="J2181" s="16"/>
      <c r="K2181" s="16"/>
      <c r="L2181" s="16"/>
      <c r="M2181" s="15"/>
      <c r="N2181" s="15"/>
      <c r="O2181" s="16"/>
      <c r="P2181" s="16"/>
      <c r="Q2181" s="16"/>
      <c r="R2181" s="16"/>
      <c r="S2181" s="37" t="str">
        <f>IFERROR(__xludf.DUMMYFUNCTION("if(not(iserror(index(split(C2181, "" ""),2))), index(split(C2181, "" ""),1),"""")"),"")</f>
        <v/>
      </c>
      <c r="T2181" s="315" t="str">
        <f>IFERROR(__xludf.DUMMYFUNCTION("if(S2181="""",C2181,if(not(iserror(index(split(C2181, "" ""),3))), index(split(C2181, "" ""),3),index(split(C2181, "" ""),2)))"),"")</f>
        <v/>
      </c>
      <c r="U2181" s="38" t="b">
        <f t="shared" si="34"/>
        <v>0</v>
      </c>
      <c r="V2181" s="38"/>
      <c r="W2181" s="40"/>
      <c r="X2181" s="40"/>
      <c r="Y2181" s="38"/>
      <c r="Z2181" s="38"/>
      <c r="AA2181" s="38"/>
      <c r="AB2181" s="38"/>
      <c r="AC2181" s="38"/>
      <c r="AD2181" s="38"/>
      <c r="AE2181" s="38"/>
      <c r="AF2181" s="38"/>
      <c r="AG2181" s="38"/>
      <c r="AH2181" s="38"/>
      <c r="AI2181" s="38"/>
      <c r="AJ2181" s="38"/>
      <c r="AK2181" s="38"/>
      <c r="AL2181" s="38"/>
      <c r="AM2181" s="38"/>
      <c r="AN2181" s="38"/>
      <c r="AO2181" s="38"/>
      <c r="AP2181" s="38"/>
      <c r="AQ2181" s="38"/>
      <c r="AR2181" s="38"/>
      <c r="AS2181" s="38"/>
      <c r="AT2181" s="38"/>
      <c r="AU2181" s="38"/>
      <c r="AV2181" s="38"/>
      <c r="AW2181" s="38"/>
      <c r="AX2181" s="38"/>
      <c r="AY2181" s="38"/>
      <c r="AZ2181" s="38"/>
      <c r="BA2181" s="38"/>
      <c r="BB2181" s="38"/>
      <c r="BC2181" s="38"/>
      <c r="BD2181" s="38"/>
      <c r="BE2181" s="38"/>
      <c r="BF2181" s="38"/>
      <c r="BG2181" s="38"/>
      <c r="BH2181" s="38"/>
      <c r="BI2181" s="38"/>
      <c r="BJ2181" s="38"/>
      <c r="BK2181" s="38"/>
      <c r="BL2181" s="38"/>
      <c r="BM2181" s="38"/>
      <c r="BN2181" s="38"/>
      <c r="BO2181" s="38"/>
      <c r="BP2181" s="38"/>
      <c r="BQ2181" s="38"/>
    </row>
    <row r="2182">
      <c r="A2182" s="16"/>
      <c r="B2182" s="16"/>
      <c r="C2182" s="146"/>
      <c r="D2182" s="146"/>
      <c r="E2182" s="16"/>
      <c r="F2182" s="91"/>
      <c r="G2182" s="16"/>
      <c r="H2182" s="320" t="str">
        <f t="shared" si="33"/>
        <v/>
      </c>
      <c r="I2182" s="16"/>
      <c r="J2182" s="16"/>
      <c r="K2182" s="16"/>
      <c r="L2182" s="16"/>
      <c r="M2182" s="15"/>
      <c r="N2182" s="15"/>
      <c r="O2182" s="16"/>
      <c r="P2182" s="16"/>
      <c r="Q2182" s="16"/>
      <c r="R2182" s="16"/>
      <c r="S2182" s="37" t="str">
        <f>IFERROR(__xludf.DUMMYFUNCTION("if(not(iserror(index(split(C2182, "" ""),2))), index(split(C2182, "" ""),1),"""")"),"")</f>
        <v/>
      </c>
      <c r="T2182" s="315" t="str">
        <f>IFERROR(__xludf.DUMMYFUNCTION("if(S2182="""",C2182,if(not(iserror(index(split(C2182, "" ""),3))), index(split(C2182, "" ""),3),index(split(C2182, "" ""),2)))"),"")</f>
        <v/>
      </c>
      <c r="U2182" s="38" t="b">
        <f t="shared" si="34"/>
        <v>0</v>
      </c>
      <c r="V2182" s="38"/>
      <c r="W2182" s="40"/>
      <c r="X2182" s="40"/>
      <c r="Y2182" s="38"/>
      <c r="Z2182" s="38"/>
      <c r="AA2182" s="38"/>
      <c r="AB2182" s="38"/>
      <c r="AC2182" s="38"/>
      <c r="AD2182" s="38"/>
      <c r="AE2182" s="38"/>
      <c r="AF2182" s="38"/>
      <c r="AG2182" s="38"/>
      <c r="AH2182" s="38"/>
      <c r="AI2182" s="38"/>
      <c r="AJ2182" s="38"/>
      <c r="AK2182" s="38"/>
      <c r="AL2182" s="38"/>
      <c r="AM2182" s="38"/>
      <c r="AN2182" s="38"/>
      <c r="AO2182" s="38"/>
      <c r="AP2182" s="38"/>
      <c r="AQ2182" s="38"/>
      <c r="AR2182" s="38"/>
      <c r="AS2182" s="38"/>
      <c r="AT2182" s="38"/>
      <c r="AU2182" s="38"/>
      <c r="AV2182" s="38"/>
      <c r="AW2182" s="38"/>
      <c r="AX2182" s="38"/>
      <c r="AY2182" s="38"/>
      <c r="AZ2182" s="38"/>
      <c r="BA2182" s="38"/>
      <c r="BB2182" s="38"/>
      <c r="BC2182" s="38"/>
      <c r="BD2182" s="38"/>
      <c r="BE2182" s="38"/>
      <c r="BF2182" s="38"/>
      <c r="BG2182" s="38"/>
      <c r="BH2182" s="38"/>
      <c r="BI2182" s="38"/>
      <c r="BJ2182" s="38"/>
      <c r="BK2182" s="38"/>
      <c r="BL2182" s="38"/>
      <c r="BM2182" s="38"/>
      <c r="BN2182" s="38"/>
      <c r="BO2182" s="38"/>
      <c r="BP2182" s="38"/>
      <c r="BQ2182" s="38"/>
    </row>
    <row r="2183">
      <c r="A2183" s="16"/>
      <c r="B2183" s="16"/>
      <c r="C2183" s="146"/>
      <c r="D2183" s="146"/>
      <c r="E2183" s="16"/>
      <c r="F2183" s="91"/>
      <c r="G2183" s="16"/>
      <c r="H2183" s="320" t="str">
        <f t="shared" si="33"/>
        <v/>
      </c>
      <c r="I2183" s="16"/>
      <c r="J2183" s="16"/>
      <c r="K2183" s="16"/>
      <c r="L2183" s="16"/>
      <c r="M2183" s="15"/>
      <c r="N2183" s="15"/>
      <c r="O2183" s="16"/>
      <c r="P2183" s="16"/>
      <c r="Q2183" s="16"/>
      <c r="R2183" s="16"/>
      <c r="S2183" s="37" t="str">
        <f>IFERROR(__xludf.DUMMYFUNCTION("if(not(iserror(index(split(C2183, "" ""),2))), index(split(C2183, "" ""),1),"""")"),"")</f>
        <v/>
      </c>
      <c r="T2183" s="315" t="str">
        <f>IFERROR(__xludf.DUMMYFUNCTION("if(S2183="""",C2183,if(not(iserror(index(split(C2183, "" ""),3))), index(split(C2183, "" ""),3),index(split(C2183, "" ""),2)))"),"")</f>
        <v/>
      </c>
      <c r="U2183" s="38" t="b">
        <f t="shared" si="34"/>
        <v>0</v>
      </c>
      <c r="V2183" s="38"/>
      <c r="W2183" s="40"/>
      <c r="X2183" s="40"/>
      <c r="Y2183" s="38"/>
      <c r="Z2183" s="38"/>
      <c r="AA2183" s="38"/>
      <c r="AB2183" s="38"/>
      <c r="AC2183" s="38"/>
      <c r="AD2183" s="38"/>
      <c r="AE2183" s="38"/>
      <c r="AF2183" s="38"/>
      <c r="AG2183" s="38"/>
      <c r="AH2183" s="38"/>
      <c r="AI2183" s="38"/>
      <c r="AJ2183" s="38"/>
      <c r="AK2183" s="38"/>
      <c r="AL2183" s="38"/>
      <c r="AM2183" s="38"/>
      <c r="AN2183" s="38"/>
      <c r="AO2183" s="38"/>
      <c r="AP2183" s="38"/>
      <c r="AQ2183" s="38"/>
      <c r="AR2183" s="38"/>
      <c r="AS2183" s="38"/>
      <c r="AT2183" s="38"/>
      <c r="AU2183" s="38"/>
      <c r="AV2183" s="38"/>
      <c r="AW2183" s="38"/>
      <c r="AX2183" s="38"/>
      <c r="AY2183" s="38"/>
      <c r="AZ2183" s="38"/>
      <c r="BA2183" s="38"/>
      <c r="BB2183" s="38"/>
      <c r="BC2183" s="38"/>
      <c r="BD2183" s="38"/>
      <c r="BE2183" s="38"/>
      <c r="BF2183" s="38"/>
      <c r="BG2183" s="38"/>
      <c r="BH2183" s="38"/>
      <c r="BI2183" s="38"/>
      <c r="BJ2183" s="38"/>
      <c r="BK2183" s="38"/>
      <c r="BL2183" s="38"/>
      <c r="BM2183" s="38"/>
      <c r="BN2183" s="38"/>
      <c r="BO2183" s="38"/>
      <c r="BP2183" s="38"/>
      <c r="BQ2183" s="38"/>
    </row>
    <row r="2184">
      <c r="A2184" s="16"/>
      <c r="B2184" s="16"/>
      <c r="C2184" s="146"/>
      <c r="D2184" s="146"/>
      <c r="E2184" s="16"/>
      <c r="F2184" s="91"/>
      <c r="G2184" s="16"/>
      <c r="H2184" s="320" t="str">
        <f t="shared" si="33"/>
        <v/>
      </c>
      <c r="I2184" s="16"/>
      <c r="J2184" s="16"/>
      <c r="K2184" s="16"/>
      <c r="L2184" s="16"/>
      <c r="M2184" s="15"/>
      <c r="N2184" s="15"/>
      <c r="O2184" s="16"/>
      <c r="P2184" s="16"/>
      <c r="Q2184" s="16"/>
      <c r="R2184" s="16"/>
      <c r="S2184" s="37" t="str">
        <f>IFERROR(__xludf.DUMMYFUNCTION("if(not(iserror(index(split(C2184, "" ""),2))), index(split(C2184, "" ""),1),"""")"),"")</f>
        <v/>
      </c>
      <c r="T2184" s="315" t="str">
        <f>IFERROR(__xludf.DUMMYFUNCTION("if(S2184="""",C2184,if(not(iserror(index(split(C2184, "" ""),3))), index(split(C2184, "" ""),3),index(split(C2184, "" ""),2)))"),"")</f>
        <v/>
      </c>
      <c r="U2184" s="38" t="b">
        <f t="shared" si="34"/>
        <v>0</v>
      </c>
      <c r="V2184" s="38"/>
      <c r="W2184" s="40"/>
      <c r="X2184" s="40"/>
      <c r="Y2184" s="38"/>
      <c r="Z2184" s="38"/>
      <c r="AA2184" s="38"/>
      <c r="AB2184" s="38"/>
      <c r="AC2184" s="38"/>
      <c r="AD2184" s="38"/>
      <c r="AE2184" s="38"/>
      <c r="AF2184" s="38"/>
      <c r="AG2184" s="38"/>
      <c r="AH2184" s="38"/>
      <c r="AI2184" s="38"/>
      <c r="AJ2184" s="38"/>
      <c r="AK2184" s="38"/>
      <c r="AL2184" s="38"/>
      <c r="AM2184" s="38"/>
      <c r="AN2184" s="38"/>
      <c r="AO2184" s="38"/>
      <c r="AP2184" s="38"/>
      <c r="AQ2184" s="38"/>
      <c r="AR2184" s="38"/>
      <c r="AS2184" s="38"/>
      <c r="AT2184" s="38"/>
      <c r="AU2184" s="38"/>
      <c r="AV2184" s="38"/>
      <c r="AW2184" s="38"/>
      <c r="AX2184" s="38"/>
      <c r="AY2184" s="38"/>
      <c r="AZ2184" s="38"/>
      <c r="BA2184" s="38"/>
      <c r="BB2184" s="38"/>
      <c r="BC2184" s="38"/>
      <c r="BD2184" s="38"/>
      <c r="BE2184" s="38"/>
      <c r="BF2184" s="38"/>
      <c r="BG2184" s="38"/>
      <c r="BH2184" s="38"/>
      <c r="BI2184" s="38"/>
      <c r="BJ2184" s="38"/>
      <c r="BK2184" s="38"/>
      <c r="BL2184" s="38"/>
      <c r="BM2184" s="38"/>
      <c r="BN2184" s="38"/>
      <c r="BO2184" s="38"/>
      <c r="BP2184" s="38"/>
      <c r="BQ2184" s="38"/>
    </row>
    <row r="2185">
      <c r="A2185" s="16"/>
      <c r="B2185" s="16"/>
      <c r="C2185" s="146"/>
      <c r="D2185" s="146"/>
      <c r="E2185" s="16"/>
      <c r="F2185" s="91"/>
      <c r="G2185" s="16"/>
      <c r="H2185" s="320" t="str">
        <f t="shared" si="33"/>
        <v/>
      </c>
      <c r="I2185" s="16"/>
      <c r="J2185" s="16"/>
      <c r="K2185" s="16"/>
      <c r="L2185" s="16"/>
      <c r="M2185" s="15"/>
      <c r="N2185" s="15"/>
      <c r="O2185" s="16"/>
      <c r="P2185" s="16"/>
      <c r="Q2185" s="16"/>
      <c r="R2185" s="16"/>
      <c r="S2185" s="37" t="str">
        <f>IFERROR(__xludf.DUMMYFUNCTION("if(not(iserror(index(split(C2185, "" ""),2))), index(split(C2185, "" ""),1),"""")"),"")</f>
        <v/>
      </c>
      <c r="T2185" s="315" t="str">
        <f>IFERROR(__xludf.DUMMYFUNCTION("if(S2185="""",C2185,if(not(iserror(index(split(C2185, "" ""),3))), index(split(C2185, "" ""),3),index(split(C2185, "" ""),2)))"),"")</f>
        <v/>
      </c>
      <c r="U2185" s="38" t="b">
        <f t="shared" si="34"/>
        <v>0</v>
      </c>
      <c r="V2185" s="38"/>
      <c r="W2185" s="40"/>
      <c r="X2185" s="40"/>
      <c r="Y2185" s="38"/>
      <c r="Z2185" s="38"/>
      <c r="AA2185" s="38"/>
      <c r="AB2185" s="38"/>
      <c r="AC2185" s="38"/>
      <c r="AD2185" s="38"/>
      <c r="AE2185" s="38"/>
      <c r="AF2185" s="38"/>
      <c r="AG2185" s="38"/>
      <c r="AH2185" s="38"/>
      <c r="AI2185" s="38"/>
      <c r="AJ2185" s="38"/>
      <c r="AK2185" s="38"/>
      <c r="AL2185" s="38"/>
      <c r="AM2185" s="38"/>
      <c r="AN2185" s="38"/>
      <c r="AO2185" s="38"/>
      <c r="AP2185" s="38"/>
      <c r="AQ2185" s="38"/>
      <c r="AR2185" s="38"/>
      <c r="AS2185" s="38"/>
      <c r="AT2185" s="38"/>
      <c r="AU2185" s="38"/>
      <c r="AV2185" s="38"/>
      <c r="AW2185" s="38"/>
      <c r="AX2185" s="38"/>
      <c r="AY2185" s="38"/>
      <c r="AZ2185" s="38"/>
      <c r="BA2185" s="38"/>
      <c r="BB2185" s="38"/>
      <c r="BC2185" s="38"/>
      <c r="BD2185" s="38"/>
      <c r="BE2185" s="38"/>
      <c r="BF2185" s="38"/>
      <c r="BG2185" s="38"/>
      <c r="BH2185" s="38"/>
      <c r="BI2185" s="38"/>
      <c r="BJ2185" s="38"/>
      <c r="BK2185" s="38"/>
      <c r="BL2185" s="38"/>
      <c r="BM2185" s="38"/>
      <c r="BN2185" s="38"/>
      <c r="BO2185" s="38"/>
      <c r="BP2185" s="38"/>
      <c r="BQ2185" s="38"/>
    </row>
    <row r="2186">
      <c r="A2186" s="16"/>
      <c r="B2186" s="16"/>
      <c r="C2186" s="146"/>
      <c r="D2186" s="146"/>
      <c r="E2186" s="16"/>
      <c r="F2186" s="91"/>
      <c r="G2186" s="16"/>
      <c r="H2186" s="320" t="str">
        <f t="shared" si="33"/>
        <v/>
      </c>
      <c r="I2186" s="16"/>
      <c r="J2186" s="16"/>
      <c r="K2186" s="16"/>
      <c r="L2186" s="16"/>
      <c r="M2186" s="15"/>
      <c r="N2186" s="15"/>
      <c r="O2186" s="16"/>
      <c r="P2186" s="16"/>
      <c r="Q2186" s="16"/>
      <c r="R2186" s="16"/>
      <c r="S2186" s="37" t="str">
        <f>IFERROR(__xludf.DUMMYFUNCTION("if(not(iserror(index(split(C2186, "" ""),2))), index(split(C2186, "" ""),1),"""")"),"")</f>
        <v/>
      </c>
      <c r="T2186" s="315" t="str">
        <f>IFERROR(__xludf.DUMMYFUNCTION("if(S2186="""",C2186,if(not(iserror(index(split(C2186, "" ""),3))), index(split(C2186, "" ""),3),index(split(C2186, "" ""),2)))"),"")</f>
        <v/>
      </c>
      <c r="U2186" s="38" t="b">
        <f t="shared" si="34"/>
        <v>0</v>
      </c>
      <c r="V2186" s="38"/>
      <c r="W2186" s="40"/>
      <c r="X2186" s="40"/>
      <c r="Y2186" s="38"/>
      <c r="Z2186" s="38"/>
      <c r="AA2186" s="38"/>
      <c r="AB2186" s="38"/>
      <c r="AC2186" s="38"/>
      <c r="AD2186" s="38"/>
      <c r="AE2186" s="38"/>
      <c r="AF2186" s="38"/>
      <c r="AG2186" s="38"/>
      <c r="AH2186" s="38"/>
      <c r="AI2186" s="38"/>
      <c r="AJ2186" s="38"/>
      <c r="AK2186" s="38"/>
      <c r="AL2186" s="38"/>
      <c r="AM2186" s="38"/>
      <c r="AN2186" s="38"/>
      <c r="AO2186" s="38"/>
      <c r="AP2186" s="38"/>
      <c r="AQ2186" s="38"/>
      <c r="AR2186" s="38"/>
      <c r="AS2186" s="38"/>
      <c r="AT2186" s="38"/>
      <c r="AU2186" s="38"/>
      <c r="AV2186" s="38"/>
      <c r="AW2186" s="38"/>
      <c r="AX2186" s="38"/>
      <c r="AY2186" s="38"/>
      <c r="AZ2186" s="38"/>
      <c r="BA2186" s="38"/>
      <c r="BB2186" s="38"/>
      <c r="BC2186" s="38"/>
      <c r="BD2186" s="38"/>
      <c r="BE2186" s="38"/>
      <c r="BF2186" s="38"/>
      <c r="BG2186" s="38"/>
      <c r="BH2186" s="38"/>
      <c r="BI2186" s="38"/>
      <c r="BJ2186" s="38"/>
      <c r="BK2186" s="38"/>
      <c r="BL2186" s="38"/>
      <c r="BM2186" s="38"/>
      <c r="BN2186" s="38"/>
      <c r="BO2186" s="38"/>
      <c r="BP2186" s="38"/>
      <c r="BQ2186" s="38"/>
    </row>
    <row r="2187">
      <c r="A2187" s="16"/>
      <c r="B2187" s="16"/>
      <c r="C2187" s="146"/>
      <c r="D2187" s="146"/>
      <c r="E2187" s="16"/>
      <c r="F2187" s="91"/>
      <c r="G2187" s="16"/>
      <c r="H2187" s="320" t="str">
        <f t="shared" si="33"/>
        <v/>
      </c>
      <c r="I2187" s="16"/>
      <c r="J2187" s="16"/>
      <c r="K2187" s="16"/>
      <c r="L2187" s="16"/>
      <c r="M2187" s="15"/>
      <c r="N2187" s="15"/>
      <c r="O2187" s="16"/>
      <c r="P2187" s="16"/>
      <c r="Q2187" s="16"/>
      <c r="R2187" s="16"/>
      <c r="S2187" s="37" t="str">
        <f>IFERROR(__xludf.DUMMYFUNCTION("if(not(iserror(index(split(C2187, "" ""),2))), index(split(C2187, "" ""),1),"""")"),"")</f>
        <v/>
      </c>
      <c r="T2187" s="315" t="str">
        <f>IFERROR(__xludf.DUMMYFUNCTION("if(S2187="""",C2187,if(not(iserror(index(split(C2187, "" ""),3))), index(split(C2187, "" ""),3),index(split(C2187, "" ""),2)))"),"")</f>
        <v/>
      </c>
      <c r="U2187" s="38" t="b">
        <f t="shared" si="34"/>
        <v>0</v>
      </c>
      <c r="V2187" s="38"/>
      <c r="W2187" s="40"/>
      <c r="X2187" s="40"/>
      <c r="Y2187" s="38"/>
      <c r="Z2187" s="38"/>
      <c r="AA2187" s="38"/>
      <c r="AB2187" s="38"/>
      <c r="AC2187" s="38"/>
      <c r="AD2187" s="38"/>
      <c r="AE2187" s="38"/>
      <c r="AF2187" s="38"/>
      <c r="AG2187" s="38"/>
      <c r="AH2187" s="38"/>
      <c r="AI2187" s="38"/>
      <c r="AJ2187" s="38"/>
      <c r="AK2187" s="38"/>
      <c r="AL2187" s="38"/>
      <c r="AM2187" s="38"/>
      <c r="AN2187" s="38"/>
      <c r="AO2187" s="38"/>
      <c r="AP2187" s="38"/>
      <c r="AQ2187" s="38"/>
      <c r="AR2187" s="38"/>
      <c r="AS2187" s="38"/>
      <c r="AT2187" s="38"/>
      <c r="AU2187" s="38"/>
      <c r="AV2187" s="38"/>
      <c r="AW2187" s="38"/>
      <c r="AX2187" s="38"/>
      <c r="AY2187" s="38"/>
      <c r="AZ2187" s="38"/>
      <c r="BA2187" s="38"/>
      <c r="BB2187" s="38"/>
      <c r="BC2187" s="38"/>
      <c r="BD2187" s="38"/>
      <c r="BE2187" s="38"/>
      <c r="BF2187" s="38"/>
      <c r="BG2187" s="38"/>
      <c r="BH2187" s="38"/>
      <c r="BI2187" s="38"/>
      <c r="BJ2187" s="38"/>
      <c r="BK2187" s="38"/>
      <c r="BL2187" s="38"/>
      <c r="BM2187" s="38"/>
      <c r="BN2187" s="38"/>
      <c r="BO2187" s="38"/>
      <c r="BP2187" s="38"/>
      <c r="BQ2187" s="38"/>
    </row>
    <row r="2188">
      <c r="A2188" s="16"/>
      <c r="B2188" s="16"/>
      <c r="C2188" s="146"/>
      <c r="D2188" s="146"/>
      <c r="E2188" s="16"/>
      <c r="F2188" s="91"/>
      <c r="G2188" s="16"/>
      <c r="H2188" s="320" t="str">
        <f t="shared" si="33"/>
        <v/>
      </c>
      <c r="I2188" s="16"/>
      <c r="J2188" s="16"/>
      <c r="K2188" s="16"/>
      <c r="L2188" s="16"/>
      <c r="M2188" s="15"/>
      <c r="N2188" s="15"/>
      <c r="O2188" s="16"/>
      <c r="P2188" s="16"/>
      <c r="Q2188" s="16"/>
      <c r="R2188" s="16"/>
      <c r="S2188" s="37" t="str">
        <f>IFERROR(__xludf.DUMMYFUNCTION("if(not(iserror(index(split(C2188, "" ""),2))), index(split(C2188, "" ""),1),"""")"),"")</f>
        <v/>
      </c>
      <c r="T2188" s="315" t="str">
        <f>IFERROR(__xludf.DUMMYFUNCTION("if(S2188="""",C2188,if(not(iserror(index(split(C2188, "" ""),3))), index(split(C2188, "" ""),3),index(split(C2188, "" ""),2)))"),"")</f>
        <v/>
      </c>
      <c r="U2188" s="38" t="b">
        <f t="shared" si="34"/>
        <v>0</v>
      </c>
      <c r="V2188" s="38"/>
      <c r="W2188" s="40"/>
      <c r="X2188" s="40"/>
      <c r="Y2188" s="38"/>
      <c r="Z2188" s="38"/>
      <c r="AA2188" s="38"/>
      <c r="AB2188" s="38"/>
      <c r="AC2188" s="38"/>
      <c r="AD2188" s="38"/>
      <c r="AE2188" s="38"/>
      <c r="AF2188" s="38"/>
      <c r="AG2188" s="38"/>
      <c r="AH2188" s="38"/>
      <c r="AI2188" s="38"/>
      <c r="AJ2188" s="38"/>
      <c r="AK2188" s="38"/>
      <c r="AL2188" s="38"/>
      <c r="AM2188" s="38"/>
      <c r="AN2188" s="38"/>
      <c r="AO2188" s="38"/>
      <c r="AP2188" s="38"/>
      <c r="AQ2188" s="38"/>
      <c r="AR2188" s="38"/>
      <c r="AS2188" s="38"/>
      <c r="AT2188" s="38"/>
      <c r="AU2188" s="38"/>
      <c r="AV2188" s="38"/>
      <c r="AW2188" s="38"/>
      <c r="AX2188" s="38"/>
      <c r="AY2188" s="38"/>
      <c r="AZ2188" s="38"/>
      <c r="BA2188" s="38"/>
      <c r="BB2188" s="38"/>
      <c r="BC2188" s="38"/>
      <c r="BD2188" s="38"/>
      <c r="BE2188" s="38"/>
      <c r="BF2188" s="38"/>
      <c r="BG2188" s="38"/>
      <c r="BH2188" s="38"/>
      <c r="BI2188" s="38"/>
      <c r="BJ2188" s="38"/>
      <c r="BK2188" s="38"/>
      <c r="BL2188" s="38"/>
      <c r="BM2188" s="38"/>
      <c r="BN2188" s="38"/>
      <c r="BO2188" s="38"/>
      <c r="BP2188" s="38"/>
      <c r="BQ2188" s="38"/>
    </row>
    <row r="2189">
      <c r="A2189" s="16"/>
      <c r="B2189" s="16"/>
      <c r="C2189" s="146"/>
      <c r="D2189" s="146"/>
      <c r="E2189" s="16"/>
      <c r="F2189" s="91"/>
      <c r="G2189" s="16"/>
      <c r="H2189" s="320" t="str">
        <f t="shared" si="33"/>
        <v/>
      </c>
      <c r="I2189" s="16"/>
      <c r="J2189" s="16"/>
      <c r="K2189" s="16"/>
      <c r="L2189" s="16"/>
      <c r="M2189" s="15"/>
      <c r="N2189" s="15"/>
      <c r="O2189" s="16"/>
      <c r="P2189" s="16"/>
      <c r="Q2189" s="16"/>
      <c r="R2189" s="16"/>
      <c r="S2189" s="37" t="str">
        <f>IFERROR(__xludf.DUMMYFUNCTION("if(not(iserror(index(split(C2189, "" ""),2))), index(split(C2189, "" ""),1),"""")"),"")</f>
        <v/>
      </c>
      <c r="T2189" s="315" t="str">
        <f>IFERROR(__xludf.DUMMYFUNCTION("if(S2189="""",C2189,if(not(iserror(index(split(C2189, "" ""),3))), index(split(C2189, "" ""),3),index(split(C2189, "" ""),2)))"),"")</f>
        <v/>
      </c>
      <c r="U2189" s="38" t="b">
        <f t="shared" si="34"/>
        <v>0</v>
      </c>
      <c r="V2189" s="38"/>
      <c r="W2189" s="40"/>
      <c r="X2189" s="40"/>
      <c r="Y2189" s="38"/>
      <c r="Z2189" s="38"/>
      <c r="AA2189" s="38"/>
      <c r="AB2189" s="38"/>
      <c r="AC2189" s="38"/>
      <c r="AD2189" s="38"/>
      <c r="AE2189" s="38"/>
      <c r="AF2189" s="38"/>
      <c r="AG2189" s="38"/>
      <c r="AH2189" s="38"/>
      <c r="AI2189" s="38"/>
      <c r="AJ2189" s="38"/>
      <c r="AK2189" s="38"/>
      <c r="AL2189" s="38"/>
      <c r="AM2189" s="38"/>
      <c r="AN2189" s="38"/>
      <c r="AO2189" s="38"/>
      <c r="AP2189" s="38"/>
      <c r="AQ2189" s="38"/>
      <c r="AR2189" s="38"/>
      <c r="AS2189" s="38"/>
      <c r="AT2189" s="38"/>
      <c r="AU2189" s="38"/>
      <c r="AV2189" s="38"/>
      <c r="AW2189" s="38"/>
      <c r="AX2189" s="38"/>
      <c r="AY2189" s="38"/>
      <c r="AZ2189" s="38"/>
      <c r="BA2189" s="38"/>
      <c r="BB2189" s="38"/>
      <c r="BC2189" s="38"/>
      <c r="BD2189" s="38"/>
      <c r="BE2189" s="38"/>
      <c r="BF2189" s="38"/>
      <c r="BG2189" s="38"/>
      <c r="BH2189" s="38"/>
      <c r="BI2189" s="38"/>
      <c r="BJ2189" s="38"/>
      <c r="BK2189" s="38"/>
      <c r="BL2189" s="38"/>
      <c r="BM2189" s="38"/>
      <c r="BN2189" s="38"/>
      <c r="BO2189" s="38"/>
      <c r="BP2189" s="38"/>
      <c r="BQ2189" s="38"/>
    </row>
    <row r="2190">
      <c r="A2190" s="16"/>
      <c r="B2190" s="16"/>
      <c r="C2190" s="146"/>
      <c r="D2190" s="146"/>
      <c r="E2190" s="16"/>
      <c r="F2190" s="91"/>
      <c r="G2190" s="16"/>
      <c r="H2190" s="320" t="str">
        <f t="shared" si="33"/>
        <v/>
      </c>
      <c r="I2190" s="16"/>
      <c r="J2190" s="16"/>
      <c r="K2190" s="16"/>
      <c r="L2190" s="16"/>
      <c r="M2190" s="15"/>
      <c r="N2190" s="15"/>
      <c r="O2190" s="16"/>
      <c r="P2190" s="16"/>
      <c r="Q2190" s="16"/>
      <c r="R2190" s="16"/>
      <c r="S2190" s="37" t="str">
        <f>IFERROR(__xludf.DUMMYFUNCTION("if(not(iserror(index(split(C2190, "" ""),2))), index(split(C2190, "" ""),1),"""")"),"")</f>
        <v/>
      </c>
      <c r="T2190" s="315" t="str">
        <f>IFERROR(__xludf.DUMMYFUNCTION("if(S2190="""",C2190,if(not(iserror(index(split(C2190, "" ""),3))), index(split(C2190, "" ""),3),index(split(C2190, "" ""),2)))"),"")</f>
        <v/>
      </c>
      <c r="U2190" s="38" t="b">
        <f t="shared" si="34"/>
        <v>0</v>
      </c>
      <c r="V2190" s="38"/>
      <c r="W2190" s="40"/>
      <c r="X2190" s="40"/>
      <c r="Y2190" s="38"/>
      <c r="Z2190" s="38"/>
      <c r="AA2190" s="38"/>
      <c r="AB2190" s="38"/>
      <c r="AC2190" s="38"/>
      <c r="AD2190" s="38"/>
      <c r="AE2190" s="38"/>
      <c r="AF2190" s="38"/>
      <c r="AG2190" s="38"/>
      <c r="AH2190" s="38"/>
      <c r="AI2190" s="38"/>
      <c r="AJ2190" s="38"/>
      <c r="AK2190" s="38"/>
      <c r="AL2190" s="38"/>
      <c r="AM2190" s="38"/>
      <c r="AN2190" s="38"/>
      <c r="AO2190" s="38"/>
      <c r="AP2190" s="38"/>
      <c r="AQ2190" s="38"/>
      <c r="AR2190" s="38"/>
      <c r="AS2190" s="38"/>
      <c r="AT2190" s="38"/>
      <c r="AU2190" s="38"/>
      <c r="AV2190" s="38"/>
      <c r="AW2190" s="38"/>
      <c r="AX2190" s="38"/>
      <c r="AY2190" s="38"/>
      <c r="AZ2190" s="38"/>
      <c r="BA2190" s="38"/>
      <c r="BB2190" s="38"/>
      <c r="BC2190" s="38"/>
      <c r="BD2190" s="38"/>
      <c r="BE2190" s="38"/>
      <c r="BF2190" s="38"/>
      <c r="BG2190" s="38"/>
      <c r="BH2190" s="38"/>
      <c r="BI2190" s="38"/>
      <c r="BJ2190" s="38"/>
      <c r="BK2190" s="38"/>
      <c r="BL2190" s="38"/>
      <c r="BM2190" s="38"/>
      <c r="BN2190" s="38"/>
      <c r="BO2190" s="38"/>
      <c r="BP2190" s="38"/>
      <c r="BQ2190" s="38"/>
    </row>
    <row r="2191">
      <c r="A2191" s="16"/>
      <c r="B2191" s="16"/>
      <c r="C2191" s="146"/>
      <c r="D2191" s="146"/>
      <c r="E2191" s="16"/>
      <c r="F2191" s="91"/>
      <c r="G2191" s="16"/>
      <c r="H2191" s="320" t="str">
        <f t="shared" si="33"/>
        <v/>
      </c>
      <c r="I2191" s="16"/>
      <c r="J2191" s="16"/>
      <c r="K2191" s="16"/>
      <c r="L2191" s="16"/>
      <c r="M2191" s="15"/>
      <c r="N2191" s="15"/>
      <c r="O2191" s="16"/>
      <c r="P2191" s="16"/>
      <c r="Q2191" s="16"/>
      <c r="R2191" s="16"/>
      <c r="S2191" s="37" t="str">
        <f>IFERROR(__xludf.DUMMYFUNCTION("if(not(iserror(index(split(C2191, "" ""),2))), index(split(C2191, "" ""),1),"""")"),"")</f>
        <v/>
      </c>
      <c r="T2191" s="315" t="str">
        <f>IFERROR(__xludf.DUMMYFUNCTION("if(S2191="""",C2191,if(not(iserror(index(split(C2191, "" ""),3))), index(split(C2191, "" ""),3),index(split(C2191, "" ""),2)))"),"")</f>
        <v/>
      </c>
      <c r="U2191" s="38" t="b">
        <f t="shared" si="34"/>
        <v>0</v>
      </c>
      <c r="V2191" s="38"/>
      <c r="W2191" s="40"/>
      <c r="X2191" s="40"/>
      <c r="Y2191" s="38"/>
      <c r="Z2191" s="38"/>
      <c r="AA2191" s="38"/>
      <c r="AB2191" s="38"/>
      <c r="AC2191" s="38"/>
      <c r="AD2191" s="38"/>
      <c r="AE2191" s="38"/>
      <c r="AF2191" s="38"/>
      <c r="AG2191" s="38"/>
      <c r="AH2191" s="38"/>
      <c r="AI2191" s="38"/>
      <c r="AJ2191" s="38"/>
      <c r="AK2191" s="38"/>
      <c r="AL2191" s="38"/>
      <c r="AM2191" s="38"/>
      <c r="AN2191" s="38"/>
      <c r="AO2191" s="38"/>
      <c r="AP2191" s="38"/>
      <c r="AQ2191" s="38"/>
      <c r="AR2191" s="38"/>
      <c r="AS2191" s="38"/>
      <c r="AT2191" s="38"/>
      <c r="AU2191" s="38"/>
      <c r="AV2191" s="38"/>
      <c r="AW2191" s="38"/>
      <c r="AX2191" s="38"/>
      <c r="AY2191" s="38"/>
      <c r="AZ2191" s="38"/>
      <c r="BA2191" s="38"/>
      <c r="BB2191" s="38"/>
      <c r="BC2191" s="38"/>
      <c r="BD2191" s="38"/>
      <c r="BE2191" s="38"/>
      <c r="BF2191" s="38"/>
      <c r="BG2191" s="38"/>
      <c r="BH2191" s="38"/>
      <c r="BI2191" s="38"/>
      <c r="BJ2191" s="38"/>
      <c r="BK2191" s="38"/>
      <c r="BL2191" s="38"/>
      <c r="BM2191" s="38"/>
      <c r="BN2191" s="38"/>
      <c r="BO2191" s="38"/>
      <c r="BP2191" s="38"/>
      <c r="BQ2191" s="38"/>
    </row>
    <row r="2192">
      <c r="A2192" s="16"/>
      <c r="B2192" s="16"/>
      <c r="C2192" s="146"/>
      <c r="D2192" s="146"/>
      <c r="E2192" s="16"/>
      <c r="F2192" s="91"/>
      <c r="G2192" s="16"/>
      <c r="H2192" s="320" t="str">
        <f t="shared" si="33"/>
        <v/>
      </c>
      <c r="I2192" s="16"/>
      <c r="J2192" s="16"/>
      <c r="K2192" s="16"/>
      <c r="L2192" s="16"/>
      <c r="M2192" s="15"/>
      <c r="N2192" s="15"/>
      <c r="O2192" s="16"/>
      <c r="P2192" s="16"/>
      <c r="Q2192" s="16"/>
      <c r="R2192" s="16"/>
      <c r="S2192" s="37" t="str">
        <f>IFERROR(__xludf.DUMMYFUNCTION("if(not(iserror(index(split(C2192, "" ""),2))), index(split(C2192, "" ""),1),"""")"),"")</f>
        <v/>
      </c>
      <c r="T2192" s="315" t="str">
        <f>IFERROR(__xludf.DUMMYFUNCTION("if(S2192="""",C2192,if(not(iserror(index(split(C2192, "" ""),3))), index(split(C2192, "" ""),3),index(split(C2192, "" ""),2)))"),"")</f>
        <v/>
      </c>
      <c r="U2192" s="38" t="b">
        <f t="shared" si="34"/>
        <v>0</v>
      </c>
      <c r="V2192" s="38"/>
      <c r="W2192" s="40"/>
      <c r="X2192" s="40"/>
      <c r="Y2192" s="38"/>
      <c r="Z2192" s="38"/>
      <c r="AA2192" s="38"/>
      <c r="AB2192" s="38"/>
      <c r="AC2192" s="38"/>
      <c r="AD2192" s="38"/>
      <c r="AE2192" s="38"/>
      <c r="AF2192" s="38"/>
      <c r="AG2192" s="38"/>
      <c r="AH2192" s="38"/>
      <c r="AI2192" s="38"/>
      <c r="AJ2192" s="38"/>
      <c r="AK2192" s="38"/>
      <c r="AL2192" s="38"/>
      <c r="AM2192" s="38"/>
      <c r="AN2192" s="38"/>
      <c r="AO2192" s="38"/>
      <c r="AP2192" s="38"/>
      <c r="AQ2192" s="38"/>
      <c r="AR2192" s="38"/>
      <c r="AS2192" s="38"/>
      <c r="AT2192" s="38"/>
      <c r="AU2192" s="38"/>
      <c r="AV2192" s="38"/>
      <c r="AW2192" s="38"/>
      <c r="AX2192" s="38"/>
      <c r="AY2192" s="38"/>
      <c r="AZ2192" s="38"/>
      <c r="BA2192" s="38"/>
      <c r="BB2192" s="38"/>
      <c r="BC2192" s="38"/>
      <c r="BD2192" s="38"/>
      <c r="BE2192" s="38"/>
      <c r="BF2192" s="38"/>
      <c r="BG2192" s="38"/>
      <c r="BH2192" s="38"/>
      <c r="BI2192" s="38"/>
      <c r="BJ2192" s="38"/>
      <c r="BK2192" s="38"/>
      <c r="BL2192" s="38"/>
      <c r="BM2192" s="38"/>
      <c r="BN2192" s="38"/>
      <c r="BO2192" s="38"/>
      <c r="BP2192" s="38"/>
      <c r="BQ2192" s="38"/>
    </row>
    <row r="2193">
      <c r="A2193" s="16"/>
      <c r="B2193" s="16"/>
      <c r="C2193" s="146"/>
      <c r="D2193" s="146"/>
      <c r="E2193" s="16"/>
      <c r="F2193" s="91"/>
      <c r="G2193" s="16"/>
      <c r="H2193" s="320" t="str">
        <f t="shared" si="33"/>
        <v/>
      </c>
      <c r="I2193" s="16"/>
      <c r="J2193" s="16"/>
      <c r="K2193" s="16"/>
      <c r="L2193" s="16"/>
      <c r="M2193" s="15"/>
      <c r="N2193" s="15"/>
      <c r="O2193" s="16"/>
      <c r="P2193" s="16"/>
      <c r="Q2193" s="16"/>
      <c r="R2193" s="16"/>
      <c r="S2193" s="37" t="str">
        <f>IFERROR(__xludf.DUMMYFUNCTION("if(not(iserror(index(split(C2193, "" ""),2))), index(split(C2193, "" ""),1),"""")"),"")</f>
        <v/>
      </c>
      <c r="T2193" s="315" t="str">
        <f>IFERROR(__xludf.DUMMYFUNCTION("if(S2193="""",C2193,if(not(iserror(index(split(C2193, "" ""),3))), index(split(C2193, "" ""),3),index(split(C2193, "" ""),2)))"),"")</f>
        <v/>
      </c>
      <c r="U2193" s="38" t="b">
        <f t="shared" si="34"/>
        <v>0</v>
      </c>
      <c r="V2193" s="38"/>
      <c r="W2193" s="40"/>
      <c r="X2193" s="40"/>
      <c r="Y2193" s="38"/>
      <c r="Z2193" s="38"/>
      <c r="AA2193" s="38"/>
      <c r="AB2193" s="38"/>
      <c r="AC2193" s="38"/>
      <c r="AD2193" s="38"/>
      <c r="AE2193" s="38"/>
      <c r="AF2193" s="38"/>
      <c r="AG2193" s="38"/>
      <c r="AH2193" s="38"/>
      <c r="AI2193" s="38"/>
      <c r="AJ2193" s="38"/>
      <c r="AK2193" s="38"/>
      <c r="AL2193" s="38"/>
      <c r="AM2193" s="38"/>
      <c r="AN2193" s="38"/>
      <c r="AO2193" s="38"/>
      <c r="AP2193" s="38"/>
      <c r="AQ2193" s="38"/>
      <c r="AR2193" s="38"/>
      <c r="AS2193" s="38"/>
      <c r="AT2193" s="38"/>
      <c r="AU2193" s="38"/>
      <c r="AV2193" s="38"/>
      <c r="AW2193" s="38"/>
      <c r="AX2193" s="38"/>
      <c r="AY2193" s="38"/>
      <c r="AZ2193" s="38"/>
      <c r="BA2193" s="38"/>
      <c r="BB2193" s="38"/>
      <c r="BC2193" s="38"/>
      <c r="BD2193" s="38"/>
      <c r="BE2193" s="38"/>
      <c r="BF2193" s="38"/>
      <c r="BG2193" s="38"/>
      <c r="BH2193" s="38"/>
      <c r="BI2193" s="38"/>
      <c r="BJ2193" s="38"/>
      <c r="BK2193" s="38"/>
      <c r="BL2193" s="38"/>
      <c r="BM2193" s="38"/>
      <c r="BN2193" s="38"/>
      <c r="BO2193" s="38"/>
      <c r="BP2193" s="38"/>
      <c r="BQ2193" s="38"/>
    </row>
    <row r="2194">
      <c r="A2194" s="16"/>
      <c r="B2194" s="16"/>
      <c r="C2194" s="146"/>
      <c r="D2194" s="146"/>
      <c r="E2194" s="16"/>
      <c r="F2194" s="91"/>
      <c r="G2194" s="16"/>
      <c r="H2194" s="320" t="str">
        <f t="shared" si="33"/>
        <v/>
      </c>
      <c r="I2194" s="16"/>
      <c r="J2194" s="16"/>
      <c r="K2194" s="16"/>
      <c r="L2194" s="16"/>
      <c r="M2194" s="15"/>
      <c r="N2194" s="15"/>
      <c r="O2194" s="16"/>
      <c r="P2194" s="16"/>
      <c r="Q2194" s="16"/>
      <c r="R2194" s="16"/>
      <c r="S2194" s="37" t="str">
        <f>IFERROR(__xludf.DUMMYFUNCTION("if(not(iserror(index(split(C2194, "" ""),2))), index(split(C2194, "" ""),1),"""")"),"")</f>
        <v/>
      </c>
      <c r="T2194" s="315" t="str">
        <f>IFERROR(__xludf.DUMMYFUNCTION("if(S2194="""",C2194,if(not(iserror(index(split(C2194, "" ""),3))), index(split(C2194, "" ""),3),index(split(C2194, "" ""),2)))"),"")</f>
        <v/>
      </c>
      <c r="U2194" s="38" t="b">
        <f t="shared" si="34"/>
        <v>0</v>
      </c>
      <c r="V2194" s="38"/>
      <c r="W2194" s="40"/>
      <c r="X2194" s="40"/>
      <c r="Y2194" s="38"/>
      <c r="Z2194" s="38"/>
      <c r="AA2194" s="38"/>
      <c r="AB2194" s="38"/>
      <c r="AC2194" s="38"/>
      <c r="AD2194" s="38"/>
      <c r="AE2194" s="38"/>
      <c r="AF2194" s="38"/>
      <c r="AG2194" s="38"/>
      <c r="AH2194" s="38"/>
      <c r="AI2194" s="38"/>
      <c r="AJ2194" s="38"/>
      <c r="AK2194" s="38"/>
      <c r="AL2194" s="38"/>
      <c r="AM2194" s="38"/>
      <c r="AN2194" s="38"/>
      <c r="AO2194" s="38"/>
      <c r="AP2194" s="38"/>
      <c r="AQ2194" s="38"/>
      <c r="AR2194" s="38"/>
      <c r="AS2194" s="38"/>
      <c r="AT2194" s="38"/>
      <c r="AU2194" s="38"/>
      <c r="AV2194" s="38"/>
      <c r="AW2194" s="38"/>
      <c r="AX2194" s="38"/>
      <c r="AY2194" s="38"/>
      <c r="AZ2194" s="38"/>
      <c r="BA2194" s="38"/>
      <c r="BB2194" s="38"/>
      <c r="BC2194" s="38"/>
      <c r="BD2194" s="38"/>
      <c r="BE2194" s="38"/>
      <c r="BF2194" s="38"/>
      <c r="BG2194" s="38"/>
      <c r="BH2194" s="38"/>
      <c r="BI2194" s="38"/>
      <c r="BJ2194" s="38"/>
      <c r="BK2194" s="38"/>
      <c r="BL2194" s="38"/>
      <c r="BM2194" s="38"/>
      <c r="BN2194" s="38"/>
      <c r="BO2194" s="38"/>
      <c r="BP2194" s="38"/>
      <c r="BQ2194" s="38"/>
    </row>
    <row r="2195">
      <c r="A2195" s="16"/>
      <c r="B2195" s="16"/>
      <c r="C2195" s="146"/>
      <c r="D2195" s="146"/>
      <c r="E2195" s="16"/>
      <c r="F2195" s="91"/>
      <c r="G2195" s="16"/>
      <c r="H2195" s="320" t="str">
        <f t="shared" si="33"/>
        <v/>
      </c>
      <c r="I2195" s="16"/>
      <c r="J2195" s="16"/>
      <c r="K2195" s="16"/>
      <c r="L2195" s="16"/>
      <c r="M2195" s="15"/>
      <c r="N2195" s="15"/>
      <c r="O2195" s="16"/>
      <c r="P2195" s="16"/>
      <c r="Q2195" s="16"/>
      <c r="R2195" s="16"/>
      <c r="S2195" s="37" t="str">
        <f>IFERROR(__xludf.DUMMYFUNCTION("if(not(iserror(index(split(C2195, "" ""),2))), index(split(C2195, "" ""),1),"""")"),"")</f>
        <v/>
      </c>
      <c r="T2195" s="315" t="str">
        <f>IFERROR(__xludf.DUMMYFUNCTION("if(S2195="""",C2195,if(not(iserror(index(split(C2195, "" ""),3))), index(split(C2195, "" ""),3),index(split(C2195, "" ""),2)))"),"")</f>
        <v/>
      </c>
      <c r="U2195" s="38" t="b">
        <f t="shared" si="34"/>
        <v>0</v>
      </c>
      <c r="V2195" s="38"/>
      <c r="W2195" s="40"/>
      <c r="X2195" s="40"/>
      <c r="Y2195" s="38"/>
      <c r="Z2195" s="38"/>
      <c r="AA2195" s="38"/>
      <c r="AB2195" s="38"/>
      <c r="AC2195" s="38"/>
      <c r="AD2195" s="38"/>
      <c r="AE2195" s="38"/>
      <c r="AF2195" s="38"/>
      <c r="AG2195" s="38"/>
      <c r="AH2195" s="38"/>
      <c r="AI2195" s="38"/>
      <c r="AJ2195" s="38"/>
      <c r="AK2195" s="38"/>
      <c r="AL2195" s="38"/>
      <c r="AM2195" s="38"/>
      <c r="AN2195" s="38"/>
      <c r="AO2195" s="38"/>
      <c r="AP2195" s="38"/>
      <c r="AQ2195" s="38"/>
      <c r="AR2195" s="38"/>
      <c r="AS2195" s="38"/>
      <c r="AT2195" s="38"/>
      <c r="AU2195" s="38"/>
      <c r="AV2195" s="38"/>
      <c r="AW2195" s="38"/>
      <c r="AX2195" s="38"/>
      <c r="AY2195" s="38"/>
      <c r="AZ2195" s="38"/>
      <c r="BA2195" s="38"/>
      <c r="BB2195" s="38"/>
      <c r="BC2195" s="38"/>
      <c r="BD2195" s="38"/>
      <c r="BE2195" s="38"/>
      <c r="BF2195" s="38"/>
      <c r="BG2195" s="38"/>
      <c r="BH2195" s="38"/>
      <c r="BI2195" s="38"/>
      <c r="BJ2195" s="38"/>
      <c r="BK2195" s="38"/>
      <c r="BL2195" s="38"/>
      <c r="BM2195" s="38"/>
      <c r="BN2195" s="38"/>
      <c r="BO2195" s="38"/>
      <c r="BP2195" s="38"/>
      <c r="BQ2195" s="38"/>
    </row>
    <row r="2196">
      <c r="A2196" s="16"/>
      <c r="B2196" s="16"/>
      <c r="C2196" s="146"/>
      <c r="D2196" s="146"/>
      <c r="E2196" s="16"/>
      <c r="F2196" s="91"/>
      <c r="G2196" s="16"/>
      <c r="H2196" s="320" t="str">
        <f t="shared" si="33"/>
        <v/>
      </c>
      <c r="I2196" s="16"/>
      <c r="J2196" s="16"/>
      <c r="K2196" s="16"/>
      <c r="L2196" s="16"/>
      <c r="M2196" s="15"/>
      <c r="N2196" s="15"/>
      <c r="O2196" s="16"/>
      <c r="P2196" s="16"/>
      <c r="Q2196" s="16"/>
      <c r="R2196" s="16"/>
      <c r="S2196" s="37" t="str">
        <f>IFERROR(__xludf.DUMMYFUNCTION("if(not(iserror(index(split(C2196, "" ""),2))), index(split(C2196, "" ""),1),"""")"),"")</f>
        <v/>
      </c>
      <c r="T2196" s="315" t="str">
        <f>IFERROR(__xludf.DUMMYFUNCTION("if(S2196="""",C2196,if(not(iserror(index(split(C2196, "" ""),3))), index(split(C2196, "" ""),3),index(split(C2196, "" ""),2)))"),"")</f>
        <v/>
      </c>
      <c r="U2196" s="38" t="b">
        <f t="shared" si="34"/>
        <v>0</v>
      </c>
      <c r="V2196" s="38"/>
      <c r="W2196" s="40"/>
      <c r="X2196" s="40"/>
      <c r="Y2196" s="38"/>
      <c r="Z2196" s="38"/>
      <c r="AA2196" s="38"/>
      <c r="AB2196" s="38"/>
      <c r="AC2196" s="38"/>
      <c r="AD2196" s="38"/>
      <c r="AE2196" s="38"/>
      <c r="AF2196" s="38"/>
      <c r="AG2196" s="38"/>
      <c r="AH2196" s="38"/>
      <c r="AI2196" s="38"/>
      <c r="AJ2196" s="38"/>
      <c r="AK2196" s="38"/>
      <c r="AL2196" s="38"/>
      <c r="AM2196" s="38"/>
      <c r="AN2196" s="38"/>
      <c r="AO2196" s="38"/>
      <c r="AP2196" s="38"/>
      <c r="AQ2196" s="38"/>
      <c r="AR2196" s="38"/>
      <c r="AS2196" s="38"/>
      <c r="AT2196" s="38"/>
      <c r="AU2196" s="38"/>
      <c r="AV2196" s="38"/>
      <c r="AW2196" s="38"/>
      <c r="AX2196" s="38"/>
      <c r="AY2196" s="38"/>
      <c r="AZ2196" s="38"/>
      <c r="BA2196" s="38"/>
      <c r="BB2196" s="38"/>
      <c r="BC2196" s="38"/>
      <c r="BD2196" s="38"/>
      <c r="BE2196" s="38"/>
      <c r="BF2196" s="38"/>
      <c r="BG2196" s="38"/>
      <c r="BH2196" s="38"/>
      <c r="BI2196" s="38"/>
      <c r="BJ2196" s="38"/>
      <c r="BK2196" s="38"/>
      <c r="BL2196" s="38"/>
      <c r="BM2196" s="38"/>
      <c r="BN2196" s="38"/>
      <c r="BO2196" s="38"/>
      <c r="BP2196" s="38"/>
      <c r="BQ2196" s="38"/>
    </row>
    <row r="2197">
      <c r="A2197" s="16"/>
      <c r="B2197" s="16"/>
      <c r="C2197" s="146"/>
      <c r="D2197" s="146"/>
      <c r="E2197" s="16"/>
      <c r="F2197" s="91"/>
      <c r="G2197" s="16"/>
      <c r="H2197" s="320" t="str">
        <f t="shared" si="33"/>
        <v/>
      </c>
      <c r="I2197" s="16"/>
      <c r="J2197" s="16"/>
      <c r="K2197" s="16"/>
      <c r="L2197" s="16"/>
      <c r="M2197" s="15"/>
      <c r="N2197" s="15"/>
      <c r="O2197" s="16"/>
      <c r="P2197" s="16"/>
      <c r="Q2197" s="16"/>
      <c r="R2197" s="16"/>
      <c r="S2197" s="37" t="str">
        <f>IFERROR(__xludf.DUMMYFUNCTION("if(not(iserror(index(split(C2197, "" ""),2))), index(split(C2197, "" ""),1),"""")"),"")</f>
        <v/>
      </c>
      <c r="T2197" s="315" t="str">
        <f>IFERROR(__xludf.DUMMYFUNCTION("if(S2197="""",C2197,if(not(iserror(index(split(C2197, "" ""),3))), index(split(C2197, "" ""),3),index(split(C2197, "" ""),2)))"),"")</f>
        <v/>
      </c>
      <c r="U2197" s="38" t="b">
        <f t="shared" si="34"/>
        <v>0</v>
      </c>
      <c r="V2197" s="38"/>
      <c r="W2197" s="40"/>
      <c r="X2197" s="40"/>
      <c r="Y2197" s="38"/>
      <c r="Z2197" s="38"/>
      <c r="AA2197" s="38"/>
      <c r="AB2197" s="38"/>
      <c r="AC2197" s="38"/>
      <c r="AD2197" s="38"/>
      <c r="AE2197" s="38"/>
      <c r="AF2197" s="38"/>
      <c r="AG2197" s="38"/>
      <c r="AH2197" s="38"/>
      <c r="AI2197" s="38"/>
      <c r="AJ2197" s="38"/>
      <c r="AK2197" s="38"/>
      <c r="AL2197" s="38"/>
      <c r="AM2197" s="38"/>
      <c r="AN2197" s="38"/>
      <c r="AO2197" s="38"/>
      <c r="AP2197" s="38"/>
      <c r="AQ2197" s="38"/>
      <c r="AR2197" s="38"/>
      <c r="AS2197" s="38"/>
      <c r="AT2197" s="38"/>
      <c r="AU2197" s="38"/>
      <c r="AV2197" s="38"/>
      <c r="AW2197" s="38"/>
      <c r="AX2197" s="38"/>
      <c r="AY2197" s="38"/>
      <c r="AZ2197" s="38"/>
      <c r="BA2197" s="38"/>
      <c r="BB2197" s="38"/>
      <c r="BC2197" s="38"/>
      <c r="BD2197" s="38"/>
      <c r="BE2197" s="38"/>
      <c r="BF2197" s="38"/>
      <c r="BG2197" s="38"/>
      <c r="BH2197" s="38"/>
      <c r="BI2197" s="38"/>
      <c r="BJ2197" s="38"/>
      <c r="BK2197" s="38"/>
      <c r="BL2197" s="38"/>
      <c r="BM2197" s="38"/>
      <c r="BN2197" s="38"/>
      <c r="BO2197" s="38"/>
      <c r="BP2197" s="38"/>
      <c r="BQ2197" s="38"/>
    </row>
    <row r="2198">
      <c r="A2198" s="16"/>
      <c r="B2198" s="16"/>
      <c r="C2198" s="146"/>
      <c r="D2198" s="146"/>
      <c r="E2198" s="16"/>
      <c r="F2198" s="91"/>
      <c r="G2198" s="16"/>
      <c r="H2198" s="320" t="str">
        <f t="shared" si="33"/>
        <v/>
      </c>
      <c r="I2198" s="16"/>
      <c r="J2198" s="16"/>
      <c r="K2198" s="16"/>
      <c r="L2198" s="16"/>
      <c r="M2198" s="15"/>
      <c r="N2198" s="15"/>
      <c r="O2198" s="16"/>
      <c r="P2198" s="16"/>
      <c r="Q2198" s="16"/>
      <c r="R2198" s="16"/>
      <c r="S2198" s="37" t="str">
        <f>IFERROR(__xludf.DUMMYFUNCTION("if(not(iserror(index(split(C2198, "" ""),2))), index(split(C2198, "" ""),1),"""")"),"")</f>
        <v/>
      </c>
      <c r="T2198" s="315" t="str">
        <f>IFERROR(__xludf.DUMMYFUNCTION("if(S2198="""",C2198,if(not(iserror(index(split(C2198, "" ""),3))), index(split(C2198, "" ""),3),index(split(C2198, "" ""),2)))"),"")</f>
        <v/>
      </c>
      <c r="U2198" s="38" t="b">
        <f t="shared" si="34"/>
        <v>0</v>
      </c>
      <c r="V2198" s="38"/>
      <c r="W2198" s="40"/>
      <c r="X2198" s="40"/>
      <c r="Y2198" s="38"/>
      <c r="Z2198" s="38"/>
      <c r="AA2198" s="38"/>
      <c r="AB2198" s="38"/>
      <c r="AC2198" s="38"/>
      <c r="AD2198" s="38"/>
      <c r="AE2198" s="38"/>
      <c r="AF2198" s="38"/>
      <c r="AG2198" s="38"/>
      <c r="AH2198" s="38"/>
      <c r="AI2198" s="38"/>
      <c r="AJ2198" s="38"/>
      <c r="AK2198" s="38"/>
      <c r="AL2198" s="38"/>
      <c r="AM2198" s="38"/>
      <c r="AN2198" s="38"/>
      <c r="AO2198" s="38"/>
      <c r="AP2198" s="38"/>
      <c r="AQ2198" s="38"/>
      <c r="AR2198" s="38"/>
      <c r="AS2198" s="38"/>
      <c r="AT2198" s="38"/>
      <c r="AU2198" s="38"/>
      <c r="AV2198" s="38"/>
      <c r="AW2198" s="38"/>
      <c r="AX2198" s="38"/>
      <c r="AY2198" s="38"/>
      <c r="AZ2198" s="38"/>
      <c r="BA2198" s="38"/>
      <c r="BB2198" s="38"/>
      <c r="BC2198" s="38"/>
      <c r="BD2198" s="38"/>
      <c r="BE2198" s="38"/>
      <c r="BF2198" s="38"/>
      <c r="BG2198" s="38"/>
      <c r="BH2198" s="38"/>
      <c r="BI2198" s="38"/>
      <c r="BJ2198" s="38"/>
      <c r="BK2198" s="38"/>
      <c r="BL2198" s="38"/>
      <c r="BM2198" s="38"/>
      <c r="BN2198" s="38"/>
      <c r="BO2198" s="38"/>
      <c r="BP2198" s="38"/>
      <c r="BQ2198" s="38"/>
    </row>
    <row r="2199">
      <c r="A2199" s="16"/>
      <c r="B2199" s="16"/>
      <c r="C2199" s="146"/>
      <c r="D2199" s="146"/>
      <c r="E2199" s="16"/>
      <c r="F2199" s="91"/>
      <c r="G2199" s="16"/>
      <c r="H2199" s="320" t="str">
        <f t="shared" si="33"/>
        <v/>
      </c>
      <c r="I2199" s="16"/>
      <c r="J2199" s="16"/>
      <c r="K2199" s="16"/>
      <c r="L2199" s="16"/>
      <c r="M2199" s="15"/>
      <c r="N2199" s="15"/>
      <c r="O2199" s="16"/>
      <c r="P2199" s="16"/>
      <c r="Q2199" s="16"/>
      <c r="R2199" s="16"/>
      <c r="S2199" s="37" t="str">
        <f>IFERROR(__xludf.DUMMYFUNCTION("if(not(iserror(index(split(C2199, "" ""),2))), index(split(C2199, "" ""),1),"""")"),"")</f>
        <v/>
      </c>
      <c r="T2199" s="315" t="str">
        <f>IFERROR(__xludf.DUMMYFUNCTION("if(S2199="""",C2199,if(not(iserror(index(split(C2199, "" ""),3))), index(split(C2199, "" ""),3),index(split(C2199, "" ""),2)))"),"")</f>
        <v/>
      </c>
      <c r="U2199" s="38" t="b">
        <f t="shared" si="34"/>
        <v>0</v>
      </c>
      <c r="V2199" s="38"/>
      <c r="W2199" s="40"/>
      <c r="X2199" s="40"/>
      <c r="Y2199" s="38"/>
      <c r="Z2199" s="38"/>
      <c r="AA2199" s="38"/>
      <c r="AB2199" s="38"/>
      <c r="AC2199" s="38"/>
      <c r="AD2199" s="38"/>
      <c r="AE2199" s="38"/>
      <c r="AF2199" s="38"/>
      <c r="AG2199" s="38"/>
      <c r="AH2199" s="38"/>
      <c r="AI2199" s="38"/>
      <c r="AJ2199" s="38"/>
      <c r="AK2199" s="38"/>
      <c r="AL2199" s="38"/>
      <c r="AM2199" s="38"/>
      <c r="AN2199" s="38"/>
      <c r="AO2199" s="38"/>
      <c r="AP2199" s="38"/>
      <c r="AQ2199" s="38"/>
      <c r="AR2199" s="38"/>
      <c r="AS2199" s="38"/>
      <c r="AT2199" s="38"/>
      <c r="AU2199" s="38"/>
      <c r="AV2199" s="38"/>
      <c r="AW2199" s="38"/>
      <c r="AX2199" s="38"/>
      <c r="AY2199" s="38"/>
      <c r="AZ2199" s="38"/>
      <c r="BA2199" s="38"/>
      <c r="BB2199" s="38"/>
      <c r="BC2199" s="38"/>
      <c r="BD2199" s="38"/>
      <c r="BE2199" s="38"/>
      <c r="BF2199" s="38"/>
      <c r="BG2199" s="38"/>
      <c r="BH2199" s="38"/>
      <c r="BI2199" s="38"/>
      <c r="BJ2199" s="38"/>
      <c r="BK2199" s="38"/>
      <c r="BL2199" s="38"/>
      <c r="BM2199" s="38"/>
      <c r="BN2199" s="38"/>
      <c r="BO2199" s="38"/>
      <c r="BP2199" s="38"/>
      <c r="BQ2199" s="38"/>
    </row>
    <row r="2200">
      <c r="A2200" s="16"/>
      <c r="B2200" s="16"/>
      <c r="C2200" s="146"/>
      <c r="D2200" s="146"/>
      <c r="E2200" s="16"/>
      <c r="F2200" s="91"/>
      <c r="G2200" s="16"/>
      <c r="H2200" s="320" t="str">
        <f t="shared" si="33"/>
        <v/>
      </c>
      <c r="I2200" s="16"/>
      <c r="J2200" s="16"/>
      <c r="K2200" s="16"/>
      <c r="L2200" s="16"/>
      <c r="M2200" s="15"/>
      <c r="N2200" s="15"/>
      <c r="O2200" s="16"/>
      <c r="P2200" s="16"/>
      <c r="Q2200" s="16"/>
      <c r="R2200" s="16"/>
      <c r="S2200" s="37" t="str">
        <f>IFERROR(__xludf.DUMMYFUNCTION("if(not(iserror(index(split(C2200, "" ""),2))), index(split(C2200, "" ""),1),"""")"),"")</f>
        <v/>
      </c>
      <c r="T2200" s="315" t="str">
        <f>IFERROR(__xludf.DUMMYFUNCTION("if(S2200="""",C2200,if(not(iserror(index(split(C2200, "" ""),3))), index(split(C2200, "" ""),3),index(split(C2200, "" ""),2)))"),"")</f>
        <v/>
      </c>
      <c r="U2200" s="38" t="b">
        <f t="shared" si="34"/>
        <v>0</v>
      </c>
      <c r="V2200" s="38"/>
      <c r="W2200" s="40"/>
      <c r="X2200" s="40"/>
      <c r="Y2200" s="38"/>
      <c r="Z2200" s="38"/>
      <c r="AA2200" s="38"/>
      <c r="AB2200" s="38"/>
      <c r="AC2200" s="38"/>
      <c r="AD2200" s="38"/>
      <c r="AE2200" s="38"/>
      <c r="AF2200" s="38"/>
      <c r="AG2200" s="38"/>
      <c r="AH2200" s="38"/>
      <c r="AI2200" s="38"/>
      <c r="AJ2200" s="38"/>
      <c r="AK2200" s="38"/>
      <c r="AL2200" s="38"/>
      <c r="AM2200" s="38"/>
      <c r="AN2200" s="38"/>
      <c r="AO2200" s="38"/>
      <c r="AP2200" s="38"/>
      <c r="AQ2200" s="38"/>
      <c r="AR2200" s="38"/>
      <c r="AS2200" s="38"/>
      <c r="AT2200" s="38"/>
      <c r="AU2200" s="38"/>
      <c r="AV2200" s="38"/>
      <c r="AW2200" s="38"/>
      <c r="AX2200" s="38"/>
      <c r="AY2200" s="38"/>
      <c r="AZ2200" s="38"/>
      <c r="BA2200" s="38"/>
      <c r="BB2200" s="38"/>
      <c r="BC2200" s="38"/>
      <c r="BD2200" s="38"/>
      <c r="BE2200" s="38"/>
      <c r="BF2200" s="38"/>
      <c r="BG2200" s="38"/>
      <c r="BH2200" s="38"/>
      <c r="BI2200" s="38"/>
      <c r="BJ2200" s="38"/>
      <c r="BK2200" s="38"/>
      <c r="BL2200" s="38"/>
      <c r="BM2200" s="38"/>
      <c r="BN2200" s="38"/>
      <c r="BO2200" s="38"/>
      <c r="BP2200" s="38"/>
      <c r="BQ2200" s="38"/>
    </row>
    <row r="2201">
      <c r="A2201" s="16"/>
      <c r="B2201" s="16"/>
      <c r="C2201" s="146"/>
      <c r="D2201" s="146"/>
      <c r="E2201" s="16"/>
      <c r="F2201" s="91"/>
      <c r="G2201" s="16"/>
      <c r="H2201" s="320" t="str">
        <f t="shared" si="33"/>
        <v/>
      </c>
      <c r="I2201" s="16"/>
      <c r="J2201" s="16"/>
      <c r="K2201" s="16"/>
      <c r="L2201" s="16"/>
      <c r="M2201" s="15"/>
      <c r="N2201" s="15"/>
      <c r="O2201" s="16"/>
      <c r="P2201" s="16"/>
      <c r="Q2201" s="16"/>
      <c r="R2201" s="16"/>
      <c r="S2201" s="37" t="str">
        <f>IFERROR(__xludf.DUMMYFUNCTION("if(not(iserror(index(split(C2201, "" ""),2))), index(split(C2201, "" ""),1),"""")"),"")</f>
        <v/>
      </c>
      <c r="T2201" s="315" t="str">
        <f>IFERROR(__xludf.DUMMYFUNCTION("if(S2201="""",C2201,if(not(iserror(index(split(C2201, "" ""),3))), index(split(C2201, "" ""),3),index(split(C2201, "" ""),2)))"),"")</f>
        <v/>
      </c>
      <c r="U2201" s="38" t="b">
        <f t="shared" si="34"/>
        <v>0</v>
      </c>
      <c r="V2201" s="38"/>
      <c r="W2201" s="40"/>
      <c r="X2201" s="40"/>
      <c r="Y2201" s="38"/>
      <c r="Z2201" s="38"/>
      <c r="AA2201" s="38"/>
      <c r="AB2201" s="38"/>
      <c r="AC2201" s="38"/>
      <c r="AD2201" s="38"/>
      <c r="AE2201" s="38"/>
      <c r="AF2201" s="38"/>
      <c r="AG2201" s="38"/>
      <c r="AH2201" s="38"/>
      <c r="AI2201" s="38"/>
      <c r="AJ2201" s="38"/>
      <c r="AK2201" s="38"/>
      <c r="AL2201" s="38"/>
      <c r="AM2201" s="38"/>
      <c r="AN2201" s="38"/>
      <c r="AO2201" s="38"/>
      <c r="AP2201" s="38"/>
      <c r="AQ2201" s="38"/>
      <c r="AR2201" s="38"/>
      <c r="AS2201" s="38"/>
      <c r="AT2201" s="38"/>
      <c r="AU2201" s="38"/>
      <c r="AV2201" s="38"/>
      <c r="AW2201" s="38"/>
      <c r="AX2201" s="38"/>
      <c r="AY2201" s="38"/>
      <c r="AZ2201" s="38"/>
      <c r="BA2201" s="38"/>
      <c r="BB2201" s="38"/>
      <c r="BC2201" s="38"/>
      <c r="BD2201" s="38"/>
      <c r="BE2201" s="38"/>
      <c r="BF2201" s="38"/>
      <c r="BG2201" s="38"/>
      <c r="BH2201" s="38"/>
      <c r="BI2201" s="38"/>
      <c r="BJ2201" s="38"/>
      <c r="BK2201" s="38"/>
      <c r="BL2201" s="38"/>
      <c r="BM2201" s="38"/>
      <c r="BN2201" s="38"/>
      <c r="BO2201" s="38"/>
      <c r="BP2201" s="38"/>
      <c r="BQ2201" s="38"/>
    </row>
    <row r="2202">
      <c r="A2202" s="16"/>
      <c r="B2202" s="16"/>
      <c r="C2202" s="146"/>
      <c r="D2202" s="146"/>
      <c r="E2202" s="16"/>
      <c r="F2202" s="91"/>
      <c r="G2202" s="16"/>
      <c r="H2202" s="320" t="str">
        <f t="shared" si="33"/>
        <v/>
      </c>
      <c r="I2202" s="16"/>
      <c r="J2202" s="16"/>
      <c r="K2202" s="16"/>
      <c r="L2202" s="16"/>
      <c r="M2202" s="15"/>
      <c r="N2202" s="15"/>
      <c r="O2202" s="16"/>
      <c r="P2202" s="16"/>
      <c r="Q2202" s="16"/>
      <c r="R2202" s="16"/>
      <c r="S2202" s="37" t="str">
        <f>IFERROR(__xludf.DUMMYFUNCTION("if(not(iserror(index(split(C2202, "" ""),2))), index(split(C2202, "" ""),1),"""")"),"")</f>
        <v/>
      </c>
      <c r="T2202" s="315" t="str">
        <f>IFERROR(__xludf.DUMMYFUNCTION("if(S2202="""",C2202,if(not(iserror(index(split(C2202, "" ""),3))), index(split(C2202, "" ""),3),index(split(C2202, "" ""),2)))"),"")</f>
        <v/>
      </c>
      <c r="U2202" s="38" t="b">
        <f t="shared" si="34"/>
        <v>0</v>
      </c>
      <c r="V2202" s="38"/>
      <c r="W2202" s="40"/>
      <c r="X2202" s="40"/>
      <c r="Y2202" s="38"/>
      <c r="Z2202" s="38"/>
      <c r="AA2202" s="38"/>
      <c r="AB2202" s="38"/>
      <c r="AC2202" s="38"/>
      <c r="AD2202" s="38"/>
      <c r="AE2202" s="38"/>
      <c r="AF2202" s="38"/>
      <c r="AG2202" s="38"/>
      <c r="AH2202" s="38"/>
      <c r="AI2202" s="38"/>
      <c r="AJ2202" s="38"/>
      <c r="AK2202" s="38"/>
      <c r="AL2202" s="38"/>
      <c r="AM2202" s="38"/>
      <c r="AN2202" s="38"/>
      <c r="AO2202" s="38"/>
      <c r="AP2202" s="38"/>
      <c r="AQ2202" s="38"/>
      <c r="AR2202" s="38"/>
      <c r="AS2202" s="38"/>
      <c r="AT2202" s="38"/>
      <c r="AU2202" s="38"/>
      <c r="AV2202" s="38"/>
      <c r="AW2202" s="38"/>
      <c r="AX2202" s="38"/>
      <c r="AY2202" s="38"/>
      <c r="AZ2202" s="38"/>
      <c r="BA2202" s="38"/>
      <c r="BB2202" s="38"/>
      <c r="BC2202" s="38"/>
      <c r="BD2202" s="38"/>
      <c r="BE2202" s="38"/>
      <c r="BF2202" s="38"/>
      <c r="BG2202" s="38"/>
      <c r="BH2202" s="38"/>
      <c r="BI2202" s="38"/>
      <c r="BJ2202" s="38"/>
      <c r="BK2202" s="38"/>
      <c r="BL2202" s="38"/>
      <c r="BM2202" s="38"/>
      <c r="BN2202" s="38"/>
      <c r="BO2202" s="38"/>
      <c r="BP2202" s="38"/>
      <c r="BQ2202" s="38"/>
    </row>
    <row r="2203">
      <c r="A2203" s="16"/>
      <c r="B2203" s="16"/>
      <c r="C2203" s="146"/>
      <c r="D2203" s="146"/>
      <c r="E2203" s="16"/>
      <c r="F2203" s="91"/>
      <c r="G2203" s="16"/>
      <c r="H2203" s="320" t="str">
        <f t="shared" si="33"/>
        <v/>
      </c>
      <c r="I2203" s="16"/>
      <c r="J2203" s="16"/>
      <c r="K2203" s="16"/>
      <c r="L2203" s="16"/>
      <c r="M2203" s="15"/>
      <c r="N2203" s="15"/>
      <c r="O2203" s="16"/>
      <c r="P2203" s="16"/>
      <c r="Q2203" s="16"/>
      <c r="R2203" s="16"/>
      <c r="S2203" s="37" t="str">
        <f>IFERROR(__xludf.DUMMYFUNCTION("if(not(iserror(index(split(C2203, "" ""),2))), index(split(C2203, "" ""),1),"""")"),"")</f>
        <v/>
      </c>
      <c r="T2203" s="315" t="str">
        <f>IFERROR(__xludf.DUMMYFUNCTION("if(S2203="""",C2203,if(not(iserror(index(split(C2203, "" ""),3))), index(split(C2203, "" ""),3),index(split(C2203, "" ""),2)))"),"")</f>
        <v/>
      </c>
      <c r="U2203" s="38" t="b">
        <f t="shared" si="34"/>
        <v>0</v>
      </c>
      <c r="V2203" s="38"/>
      <c r="W2203" s="40"/>
      <c r="X2203" s="40"/>
      <c r="Y2203" s="38"/>
      <c r="Z2203" s="38"/>
      <c r="AA2203" s="38"/>
      <c r="AB2203" s="38"/>
      <c r="AC2203" s="38"/>
      <c r="AD2203" s="38"/>
      <c r="AE2203" s="38"/>
      <c r="AF2203" s="38"/>
      <c r="AG2203" s="38"/>
      <c r="AH2203" s="38"/>
      <c r="AI2203" s="38"/>
      <c r="AJ2203" s="38"/>
      <c r="AK2203" s="38"/>
      <c r="AL2203" s="38"/>
      <c r="AM2203" s="38"/>
      <c r="AN2203" s="38"/>
      <c r="AO2203" s="38"/>
      <c r="AP2203" s="38"/>
      <c r="AQ2203" s="38"/>
      <c r="AR2203" s="38"/>
      <c r="AS2203" s="38"/>
      <c r="AT2203" s="38"/>
      <c r="AU2203" s="38"/>
      <c r="AV2203" s="38"/>
      <c r="AW2203" s="38"/>
      <c r="AX2203" s="38"/>
      <c r="AY2203" s="38"/>
      <c r="AZ2203" s="38"/>
      <c r="BA2203" s="38"/>
      <c r="BB2203" s="38"/>
      <c r="BC2203" s="38"/>
      <c r="BD2203" s="38"/>
      <c r="BE2203" s="38"/>
      <c r="BF2203" s="38"/>
      <c r="BG2203" s="38"/>
      <c r="BH2203" s="38"/>
      <c r="BI2203" s="38"/>
      <c r="BJ2203" s="38"/>
      <c r="BK2203" s="38"/>
      <c r="BL2203" s="38"/>
      <c r="BM2203" s="38"/>
      <c r="BN2203" s="38"/>
      <c r="BO2203" s="38"/>
      <c r="BP2203" s="38"/>
      <c r="BQ2203" s="38"/>
    </row>
    <row r="2204">
      <c r="A2204" s="16"/>
      <c r="B2204" s="16"/>
      <c r="C2204" s="146"/>
      <c r="D2204" s="146"/>
      <c r="E2204" s="16"/>
      <c r="F2204" s="91"/>
      <c r="G2204" s="16"/>
      <c r="H2204" s="320" t="str">
        <f t="shared" si="33"/>
        <v/>
      </c>
      <c r="I2204" s="16"/>
      <c r="J2204" s="16"/>
      <c r="K2204" s="16"/>
      <c r="L2204" s="16"/>
      <c r="M2204" s="15"/>
      <c r="N2204" s="15"/>
      <c r="O2204" s="16"/>
      <c r="P2204" s="16"/>
      <c r="Q2204" s="16"/>
      <c r="R2204" s="16"/>
      <c r="S2204" s="37" t="str">
        <f>IFERROR(__xludf.DUMMYFUNCTION("if(not(iserror(index(split(C2204, "" ""),2))), index(split(C2204, "" ""),1),"""")"),"")</f>
        <v/>
      </c>
      <c r="T2204" s="315" t="str">
        <f>IFERROR(__xludf.DUMMYFUNCTION("if(S2204="""",C2204,if(not(iserror(index(split(C2204, "" ""),3))), index(split(C2204, "" ""),3),index(split(C2204, "" ""),2)))"),"")</f>
        <v/>
      </c>
      <c r="U2204" s="38" t="b">
        <f t="shared" si="34"/>
        <v>0</v>
      </c>
      <c r="V2204" s="38"/>
      <c r="W2204" s="40"/>
      <c r="X2204" s="40"/>
      <c r="Y2204" s="38"/>
      <c r="Z2204" s="38"/>
      <c r="AA2204" s="38"/>
      <c r="AB2204" s="38"/>
      <c r="AC2204" s="38"/>
      <c r="AD2204" s="38"/>
      <c r="AE2204" s="38"/>
      <c r="AF2204" s="38"/>
      <c r="AG2204" s="38"/>
      <c r="AH2204" s="38"/>
      <c r="AI2204" s="38"/>
      <c r="AJ2204" s="38"/>
      <c r="AK2204" s="38"/>
      <c r="AL2204" s="38"/>
      <c r="AM2204" s="38"/>
      <c r="AN2204" s="38"/>
      <c r="AO2204" s="38"/>
      <c r="AP2204" s="38"/>
      <c r="AQ2204" s="38"/>
      <c r="AR2204" s="38"/>
      <c r="AS2204" s="38"/>
      <c r="AT2204" s="38"/>
      <c r="AU2204" s="38"/>
      <c r="AV2204" s="38"/>
      <c r="AW2204" s="38"/>
      <c r="AX2204" s="38"/>
      <c r="AY2204" s="38"/>
      <c r="AZ2204" s="38"/>
      <c r="BA2204" s="38"/>
      <c r="BB2204" s="38"/>
      <c r="BC2204" s="38"/>
      <c r="BD2204" s="38"/>
      <c r="BE2204" s="38"/>
      <c r="BF2204" s="38"/>
      <c r="BG2204" s="38"/>
      <c r="BH2204" s="38"/>
      <c r="BI2204" s="38"/>
      <c r="BJ2204" s="38"/>
      <c r="BK2204" s="38"/>
      <c r="BL2204" s="38"/>
      <c r="BM2204" s="38"/>
      <c r="BN2204" s="38"/>
      <c r="BO2204" s="38"/>
      <c r="BP2204" s="38"/>
      <c r="BQ2204" s="38"/>
    </row>
    <row r="2205">
      <c r="A2205" s="16"/>
      <c r="B2205" s="16"/>
      <c r="C2205" s="146"/>
      <c r="D2205" s="146"/>
      <c r="E2205" s="16"/>
      <c r="F2205" s="91"/>
      <c r="G2205" s="16"/>
      <c r="H2205" s="320" t="str">
        <f t="shared" si="33"/>
        <v/>
      </c>
      <c r="I2205" s="16"/>
      <c r="J2205" s="16"/>
      <c r="K2205" s="16"/>
      <c r="L2205" s="16"/>
      <c r="M2205" s="15"/>
      <c r="N2205" s="15"/>
      <c r="O2205" s="16"/>
      <c r="P2205" s="16"/>
      <c r="Q2205" s="16"/>
      <c r="R2205" s="16"/>
      <c r="S2205" s="37" t="str">
        <f>IFERROR(__xludf.DUMMYFUNCTION("if(not(iserror(index(split(C2205, "" ""),2))), index(split(C2205, "" ""),1),"""")"),"")</f>
        <v/>
      </c>
      <c r="T2205" s="315" t="str">
        <f>IFERROR(__xludf.DUMMYFUNCTION("if(S2205="""",C2205,if(not(iserror(index(split(C2205, "" ""),3))), index(split(C2205, "" ""),3),index(split(C2205, "" ""),2)))"),"")</f>
        <v/>
      </c>
      <c r="U2205" s="38" t="b">
        <f t="shared" si="34"/>
        <v>0</v>
      </c>
      <c r="V2205" s="38"/>
      <c r="W2205" s="40"/>
      <c r="X2205" s="40"/>
      <c r="Y2205" s="38"/>
      <c r="Z2205" s="38"/>
      <c r="AA2205" s="38"/>
      <c r="AB2205" s="38"/>
      <c r="AC2205" s="38"/>
      <c r="AD2205" s="38"/>
      <c r="AE2205" s="38"/>
      <c r="AF2205" s="38"/>
      <c r="AG2205" s="38"/>
      <c r="AH2205" s="38"/>
      <c r="AI2205" s="38"/>
      <c r="AJ2205" s="38"/>
      <c r="AK2205" s="38"/>
      <c r="AL2205" s="38"/>
      <c r="AM2205" s="38"/>
      <c r="AN2205" s="38"/>
      <c r="AO2205" s="38"/>
      <c r="AP2205" s="38"/>
      <c r="AQ2205" s="38"/>
      <c r="AR2205" s="38"/>
      <c r="AS2205" s="38"/>
      <c r="AT2205" s="38"/>
      <c r="AU2205" s="38"/>
      <c r="AV2205" s="38"/>
      <c r="AW2205" s="38"/>
      <c r="AX2205" s="38"/>
      <c r="AY2205" s="38"/>
      <c r="AZ2205" s="38"/>
      <c r="BA2205" s="38"/>
      <c r="BB2205" s="38"/>
      <c r="BC2205" s="38"/>
      <c r="BD2205" s="38"/>
      <c r="BE2205" s="38"/>
      <c r="BF2205" s="38"/>
      <c r="BG2205" s="38"/>
      <c r="BH2205" s="38"/>
      <c r="BI2205" s="38"/>
      <c r="BJ2205" s="38"/>
      <c r="BK2205" s="38"/>
      <c r="BL2205" s="38"/>
      <c r="BM2205" s="38"/>
      <c r="BN2205" s="38"/>
      <c r="BO2205" s="38"/>
      <c r="BP2205" s="38"/>
      <c r="BQ2205" s="38"/>
    </row>
    <row r="2206">
      <c r="A2206" s="16"/>
      <c r="B2206" s="16"/>
      <c r="C2206" s="146"/>
      <c r="D2206" s="146"/>
      <c r="E2206" s="16"/>
      <c r="F2206" s="91"/>
      <c r="G2206" s="16"/>
      <c r="H2206" s="320" t="str">
        <f t="shared" si="33"/>
        <v/>
      </c>
      <c r="I2206" s="16"/>
      <c r="J2206" s="16"/>
      <c r="K2206" s="16"/>
      <c r="L2206" s="16"/>
      <c r="M2206" s="15"/>
      <c r="N2206" s="15"/>
      <c r="O2206" s="16"/>
      <c r="P2206" s="16"/>
      <c r="Q2206" s="16"/>
      <c r="R2206" s="16"/>
      <c r="S2206" s="37" t="str">
        <f>IFERROR(__xludf.DUMMYFUNCTION("if(not(iserror(index(split(C2206, "" ""),2))), index(split(C2206, "" ""),1),"""")"),"")</f>
        <v/>
      </c>
      <c r="T2206" s="315" t="str">
        <f>IFERROR(__xludf.DUMMYFUNCTION("if(S2206="""",C2206,if(not(iserror(index(split(C2206, "" ""),3))), index(split(C2206, "" ""),3),index(split(C2206, "" ""),2)))"),"")</f>
        <v/>
      </c>
      <c r="U2206" s="38" t="b">
        <f t="shared" si="34"/>
        <v>0</v>
      </c>
      <c r="V2206" s="38"/>
      <c r="W2206" s="40"/>
      <c r="X2206" s="40"/>
      <c r="Y2206" s="38"/>
      <c r="Z2206" s="38"/>
      <c r="AA2206" s="38"/>
      <c r="AB2206" s="38"/>
      <c r="AC2206" s="38"/>
      <c r="AD2206" s="38"/>
      <c r="AE2206" s="38"/>
      <c r="AF2206" s="38"/>
      <c r="AG2206" s="38"/>
      <c r="AH2206" s="38"/>
      <c r="AI2206" s="38"/>
      <c r="AJ2206" s="38"/>
      <c r="AK2206" s="38"/>
      <c r="AL2206" s="38"/>
      <c r="AM2206" s="38"/>
      <c r="AN2206" s="38"/>
      <c r="AO2206" s="38"/>
      <c r="AP2206" s="38"/>
      <c r="AQ2206" s="38"/>
      <c r="AR2206" s="38"/>
      <c r="AS2206" s="38"/>
      <c r="AT2206" s="38"/>
      <c r="AU2206" s="38"/>
      <c r="AV2206" s="38"/>
      <c r="AW2206" s="38"/>
      <c r="AX2206" s="38"/>
      <c r="AY2206" s="38"/>
      <c r="AZ2206" s="38"/>
      <c r="BA2206" s="38"/>
      <c r="BB2206" s="38"/>
      <c r="BC2206" s="38"/>
      <c r="BD2206" s="38"/>
      <c r="BE2206" s="38"/>
      <c r="BF2206" s="38"/>
      <c r="BG2206" s="38"/>
      <c r="BH2206" s="38"/>
      <c r="BI2206" s="38"/>
      <c r="BJ2206" s="38"/>
      <c r="BK2206" s="38"/>
      <c r="BL2206" s="38"/>
      <c r="BM2206" s="38"/>
      <c r="BN2206" s="38"/>
      <c r="BO2206" s="38"/>
      <c r="BP2206" s="38"/>
      <c r="BQ2206" s="38"/>
    </row>
    <row r="2207">
      <c r="A2207" s="16"/>
      <c r="B2207" s="16"/>
      <c r="C2207" s="146"/>
      <c r="D2207" s="146"/>
      <c r="E2207" s="16"/>
      <c r="F2207" s="91"/>
      <c r="G2207" s="16"/>
      <c r="H2207" s="320" t="str">
        <f t="shared" si="33"/>
        <v/>
      </c>
      <c r="I2207" s="16"/>
      <c r="J2207" s="16"/>
      <c r="K2207" s="16"/>
      <c r="L2207" s="16"/>
      <c r="M2207" s="15"/>
      <c r="N2207" s="15"/>
      <c r="O2207" s="16"/>
      <c r="P2207" s="16"/>
      <c r="Q2207" s="16"/>
      <c r="R2207" s="16"/>
      <c r="S2207" s="37" t="str">
        <f>IFERROR(__xludf.DUMMYFUNCTION("if(not(iserror(index(split(C2207, "" ""),2))), index(split(C2207, "" ""),1),"""")"),"")</f>
        <v/>
      </c>
      <c r="T2207" s="315" t="str">
        <f>IFERROR(__xludf.DUMMYFUNCTION("if(S2207="""",C2207,if(not(iserror(index(split(C2207, "" ""),3))), index(split(C2207, "" ""),3),index(split(C2207, "" ""),2)))"),"")</f>
        <v/>
      </c>
      <c r="U2207" s="38" t="b">
        <f t="shared" si="34"/>
        <v>0</v>
      </c>
      <c r="V2207" s="38"/>
      <c r="W2207" s="40"/>
      <c r="X2207" s="40"/>
      <c r="Y2207" s="38"/>
      <c r="Z2207" s="38"/>
      <c r="AA2207" s="38"/>
      <c r="AB2207" s="38"/>
      <c r="AC2207" s="38"/>
      <c r="AD2207" s="38"/>
      <c r="AE2207" s="38"/>
      <c r="AF2207" s="38"/>
      <c r="AG2207" s="38"/>
      <c r="AH2207" s="38"/>
      <c r="AI2207" s="38"/>
      <c r="AJ2207" s="38"/>
      <c r="AK2207" s="38"/>
      <c r="AL2207" s="38"/>
      <c r="AM2207" s="38"/>
      <c r="AN2207" s="38"/>
      <c r="AO2207" s="38"/>
      <c r="AP2207" s="38"/>
      <c r="AQ2207" s="38"/>
      <c r="AR2207" s="38"/>
      <c r="AS2207" s="38"/>
      <c r="AT2207" s="38"/>
      <c r="AU2207" s="38"/>
      <c r="AV2207" s="38"/>
      <c r="AW2207" s="38"/>
      <c r="AX2207" s="38"/>
      <c r="AY2207" s="38"/>
      <c r="AZ2207" s="38"/>
      <c r="BA2207" s="38"/>
      <c r="BB2207" s="38"/>
      <c r="BC2207" s="38"/>
      <c r="BD2207" s="38"/>
      <c r="BE2207" s="38"/>
      <c r="BF2207" s="38"/>
      <c r="BG2207" s="38"/>
      <c r="BH2207" s="38"/>
      <c r="BI2207" s="38"/>
      <c r="BJ2207" s="38"/>
      <c r="BK2207" s="38"/>
      <c r="BL2207" s="38"/>
      <c r="BM2207" s="38"/>
      <c r="BN2207" s="38"/>
      <c r="BO2207" s="38"/>
      <c r="BP2207" s="38"/>
      <c r="BQ2207" s="38"/>
    </row>
    <row r="2208">
      <c r="A2208" s="16"/>
      <c r="B2208" s="16"/>
      <c r="C2208" s="146"/>
      <c r="D2208" s="146"/>
      <c r="E2208" s="16"/>
      <c r="F2208" s="91"/>
      <c r="G2208" s="16"/>
      <c r="H2208" s="320" t="str">
        <f t="shared" si="33"/>
        <v/>
      </c>
      <c r="I2208" s="16"/>
      <c r="J2208" s="16"/>
      <c r="K2208" s="16"/>
      <c r="L2208" s="16"/>
      <c r="M2208" s="15"/>
      <c r="N2208" s="15"/>
      <c r="O2208" s="16"/>
      <c r="P2208" s="16"/>
      <c r="Q2208" s="16"/>
      <c r="R2208" s="16"/>
      <c r="S2208" s="37" t="str">
        <f>IFERROR(__xludf.DUMMYFUNCTION("if(not(iserror(index(split(C2208, "" ""),2))), index(split(C2208, "" ""),1),"""")"),"")</f>
        <v/>
      </c>
      <c r="T2208" s="315" t="str">
        <f>IFERROR(__xludf.DUMMYFUNCTION("if(S2208="""",C2208,if(not(iserror(index(split(C2208, "" ""),3))), index(split(C2208, "" ""),3),index(split(C2208, "" ""),2)))"),"")</f>
        <v/>
      </c>
      <c r="U2208" s="38" t="b">
        <f t="shared" si="34"/>
        <v>0</v>
      </c>
      <c r="V2208" s="38"/>
      <c r="W2208" s="40"/>
      <c r="X2208" s="40"/>
      <c r="Y2208" s="38"/>
      <c r="Z2208" s="38"/>
      <c r="AA2208" s="38"/>
      <c r="AB2208" s="38"/>
      <c r="AC2208" s="38"/>
      <c r="AD2208" s="38"/>
      <c r="AE2208" s="38"/>
      <c r="AF2208" s="38"/>
      <c r="AG2208" s="38"/>
      <c r="AH2208" s="38"/>
      <c r="AI2208" s="38"/>
      <c r="AJ2208" s="38"/>
      <c r="AK2208" s="38"/>
      <c r="AL2208" s="38"/>
      <c r="AM2208" s="38"/>
      <c r="AN2208" s="38"/>
      <c r="AO2208" s="38"/>
      <c r="AP2208" s="38"/>
      <c r="AQ2208" s="38"/>
      <c r="AR2208" s="38"/>
      <c r="AS2208" s="38"/>
      <c r="AT2208" s="38"/>
      <c r="AU2208" s="38"/>
      <c r="AV2208" s="38"/>
      <c r="AW2208" s="38"/>
      <c r="AX2208" s="38"/>
      <c r="AY2208" s="38"/>
      <c r="AZ2208" s="38"/>
      <c r="BA2208" s="38"/>
      <c r="BB2208" s="38"/>
      <c r="BC2208" s="38"/>
      <c r="BD2208" s="38"/>
      <c r="BE2208" s="38"/>
      <c r="BF2208" s="38"/>
      <c r="BG2208" s="38"/>
      <c r="BH2208" s="38"/>
      <c r="BI2208" s="38"/>
      <c r="BJ2208" s="38"/>
      <c r="BK2208" s="38"/>
      <c r="BL2208" s="38"/>
      <c r="BM2208" s="38"/>
      <c r="BN2208" s="38"/>
      <c r="BO2208" s="38"/>
      <c r="BP2208" s="38"/>
      <c r="BQ2208" s="38"/>
    </row>
    <row r="2209">
      <c r="A2209" s="16"/>
      <c r="B2209" s="16"/>
      <c r="C2209" s="146"/>
      <c r="D2209" s="146"/>
      <c r="E2209" s="16"/>
      <c r="F2209" s="91"/>
      <c r="G2209" s="16"/>
      <c r="H2209" s="320" t="str">
        <f t="shared" si="33"/>
        <v/>
      </c>
      <c r="I2209" s="16"/>
      <c r="J2209" s="16"/>
      <c r="K2209" s="16"/>
      <c r="L2209" s="16"/>
      <c r="M2209" s="15"/>
      <c r="N2209" s="15"/>
      <c r="O2209" s="16"/>
      <c r="P2209" s="16"/>
      <c r="Q2209" s="16"/>
      <c r="R2209" s="16"/>
      <c r="S2209" s="37" t="str">
        <f>IFERROR(__xludf.DUMMYFUNCTION("if(not(iserror(index(split(C2209, "" ""),2))), index(split(C2209, "" ""),1),"""")"),"")</f>
        <v/>
      </c>
      <c r="T2209" s="315" t="str">
        <f>IFERROR(__xludf.DUMMYFUNCTION("if(S2209="""",C2209,if(not(iserror(index(split(C2209, "" ""),3))), index(split(C2209, "" ""),3),index(split(C2209, "" ""),2)))"),"")</f>
        <v/>
      </c>
      <c r="U2209" s="38" t="b">
        <f t="shared" si="34"/>
        <v>0</v>
      </c>
      <c r="V2209" s="38"/>
      <c r="W2209" s="40"/>
      <c r="X2209" s="40"/>
      <c r="Y2209" s="38"/>
      <c r="Z2209" s="38"/>
      <c r="AA2209" s="38"/>
      <c r="AB2209" s="38"/>
      <c r="AC2209" s="38"/>
      <c r="AD2209" s="38"/>
      <c r="AE2209" s="38"/>
      <c r="AF2209" s="38"/>
      <c r="AG2209" s="38"/>
      <c r="AH2209" s="38"/>
      <c r="AI2209" s="38"/>
      <c r="AJ2209" s="38"/>
      <c r="AK2209" s="38"/>
      <c r="AL2209" s="38"/>
      <c r="AM2209" s="38"/>
      <c r="AN2209" s="38"/>
      <c r="AO2209" s="38"/>
      <c r="AP2209" s="38"/>
      <c r="AQ2209" s="38"/>
      <c r="AR2209" s="38"/>
      <c r="AS2209" s="38"/>
      <c r="AT2209" s="38"/>
      <c r="AU2209" s="38"/>
      <c r="AV2209" s="38"/>
      <c r="AW2209" s="38"/>
      <c r="AX2209" s="38"/>
      <c r="AY2209" s="38"/>
      <c r="AZ2209" s="38"/>
      <c r="BA2209" s="38"/>
      <c r="BB2209" s="38"/>
      <c r="BC2209" s="38"/>
      <c r="BD2209" s="38"/>
      <c r="BE2209" s="38"/>
      <c r="BF2209" s="38"/>
      <c r="BG2209" s="38"/>
      <c r="BH2209" s="38"/>
      <c r="BI2209" s="38"/>
      <c r="BJ2209" s="38"/>
      <c r="BK2209" s="38"/>
      <c r="BL2209" s="38"/>
      <c r="BM2209" s="38"/>
      <c r="BN2209" s="38"/>
      <c r="BO2209" s="38"/>
      <c r="BP2209" s="38"/>
      <c r="BQ2209" s="38"/>
    </row>
    <row r="2210">
      <c r="A2210" s="16"/>
      <c r="B2210" s="16"/>
      <c r="C2210" s="146"/>
      <c r="D2210" s="146"/>
      <c r="E2210" s="16"/>
      <c r="F2210" s="91"/>
      <c r="G2210" s="16"/>
      <c r="H2210" s="320" t="str">
        <f t="shared" si="33"/>
        <v/>
      </c>
      <c r="I2210" s="16"/>
      <c r="J2210" s="16"/>
      <c r="K2210" s="16"/>
      <c r="L2210" s="16"/>
      <c r="M2210" s="15"/>
      <c r="N2210" s="15"/>
      <c r="O2210" s="16"/>
      <c r="P2210" s="16"/>
      <c r="Q2210" s="16"/>
      <c r="R2210" s="16"/>
      <c r="S2210" s="37" t="str">
        <f>IFERROR(__xludf.DUMMYFUNCTION("if(not(iserror(index(split(C2210, "" ""),2))), index(split(C2210, "" ""),1),"""")"),"")</f>
        <v/>
      </c>
      <c r="T2210" s="315" t="str">
        <f>IFERROR(__xludf.DUMMYFUNCTION("if(S2210="""",C2210,if(not(iserror(index(split(C2210, "" ""),3))), index(split(C2210, "" ""),3),index(split(C2210, "" ""),2)))"),"")</f>
        <v/>
      </c>
      <c r="U2210" s="38" t="b">
        <f t="shared" si="34"/>
        <v>0</v>
      </c>
      <c r="V2210" s="38"/>
      <c r="W2210" s="40"/>
      <c r="X2210" s="40"/>
      <c r="Y2210" s="38"/>
      <c r="Z2210" s="38"/>
      <c r="AA2210" s="38"/>
      <c r="AB2210" s="38"/>
      <c r="AC2210" s="38"/>
      <c r="AD2210" s="38"/>
      <c r="AE2210" s="38"/>
      <c r="AF2210" s="38"/>
      <c r="AG2210" s="38"/>
      <c r="AH2210" s="38"/>
      <c r="AI2210" s="38"/>
      <c r="AJ2210" s="38"/>
      <c r="AK2210" s="38"/>
      <c r="AL2210" s="38"/>
      <c r="AM2210" s="38"/>
      <c r="AN2210" s="38"/>
      <c r="AO2210" s="38"/>
      <c r="AP2210" s="38"/>
      <c r="AQ2210" s="38"/>
      <c r="AR2210" s="38"/>
      <c r="AS2210" s="38"/>
      <c r="AT2210" s="38"/>
      <c r="AU2210" s="38"/>
      <c r="AV2210" s="38"/>
      <c r="AW2210" s="38"/>
      <c r="AX2210" s="38"/>
      <c r="AY2210" s="38"/>
      <c r="AZ2210" s="38"/>
      <c r="BA2210" s="38"/>
      <c r="BB2210" s="38"/>
      <c r="BC2210" s="38"/>
      <c r="BD2210" s="38"/>
      <c r="BE2210" s="38"/>
      <c r="BF2210" s="38"/>
      <c r="BG2210" s="38"/>
      <c r="BH2210" s="38"/>
      <c r="BI2210" s="38"/>
      <c r="BJ2210" s="38"/>
      <c r="BK2210" s="38"/>
      <c r="BL2210" s="38"/>
      <c r="BM2210" s="38"/>
      <c r="BN2210" s="38"/>
      <c r="BO2210" s="38"/>
      <c r="BP2210" s="38"/>
      <c r="BQ2210" s="38"/>
    </row>
    <row r="2211">
      <c r="A2211" s="16"/>
      <c r="B2211" s="16"/>
      <c r="C2211" s="146"/>
      <c r="D2211" s="146"/>
      <c r="E2211" s="16"/>
      <c r="F2211" s="91"/>
      <c r="G2211" s="16"/>
      <c r="H2211" s="320" t="str">
        <f t="shared" si="33"/>
        <v/>
      </c>
      <c r="I2211" s="16"/>
      <c r="J2211" s="16"/>
      <c r="K2211" s="16"/>
      <c r="L2211" s="16"/>
      <c r="M2211" s="15"/>
      <c r="N2211" s="15"/>
      <c r="O2211" s="16"/>
      <c r="P2211" s="16"/>
      <c r="Q2211" s="16"/>
      <c r="R2211" s="16"/>
      <c r="S2211" s="37" t="str">
        <f>IFERROR(__xludf.DUMMYFUNCTION("if(not(iserror(index(split(C2211, "" ""),2))), index(split(C2211, "" ""),1),"""")"),"")</f>
        <v/>
      </c>
      <c r="T2211" s="315" t="str">
        <f>IFERROR(__xludf.DUMMYFUNCTION("if(S2211="""",C2211,if(not(iserror(index(split(C2211, "" ""),3))), index(split(C2211, "" ""),3),index(split(C2211, "" ""),2)))"),"")</f>
        <v/>
      </c>
      <c r="U2211" s="38" t="b">
        <f t="shared" si="34"/>
        <v>0</v>
      </c>
      <c r="V2211" s="38"/>
      <c r="W2211" s="40"/>
      <c r="X2211" s="40"/>
      <c r="Y2211" s="38"/>
      <c r="Z2211" s="38"/>
      <c r="AA2211" s="38"/>
      <c r="AB2211" s="38"/>
      <c r="AC2211" s="38"/>
      <c r="AD2211" s="38"/>
      <c r="AE2211" s="38"/>
      <c r="AF2211" s="38"/>
      <c r="AG2211" s="38"/>
      <c r="AH2211" s="38"/>
      <c r="AI2211" s="38"/>
      <c r="AJ2211" s="38"/>
      <c r="AK2211" s="38"/>
      <c r="AL2211" s="38"/>
      <c r="AM2211" s="38"/>
      <c r="AN2211" s="38"/>
      <c r="AO2211" s="38"/>
      <c r="AP2211" s="38"/>
      <c r="AQ2211" s="38"/>
      <c r="AR2211" s="38"/>
      <c r="AS2211" s="38"/>
      <c r="AT2211" s="38"/>
      <c r="AU2211" s="38"/>
      <c r="AV2211" s="38"/>
      <c r="AW2211" s="38"/>
      <c r="AX2211" s="38"/>
      <c r="AY2211" s="38"/>
      <c r="AZ2211" s="38"/>
      <c r="BA2211" s="38"/>
      <c r="BB2211" s="38"/>
      <c r="BC2211" s="38"/>
      <c r="BD2211" s="38"/>
      <c r="BE2211" s="38"/>
      <c r="BF2211" s="38"/>
      <c r="BG2211" s="38"/>
      <c r="BH2211" s="38"/>
      <c r="BI2211" s="38"/>
      <c r="BJ2211" s="38"/>
      <c r="BK2211" s="38"/>
      <c r="BL2211" s="38"/>
      <c r="BM2211" s="38"/>
      <c r="BN2211" s="38"/>
      <c r="BO2211" s="38"/>
      <c r="BP2211" s="38"/>
      <c r="BQ2211" s="38"/>
    </row>
    <row r="2212">
      <c r="A2212" s="16"/>
      <c r="B2212" s="16"/>
      <c r="C2212" s="146"/>
      <c r="D2212" s="146"/>
      <c r="E2212" s="16"/>
      <c r="F2212" s="91"/>
      <c r="G2212" s="16"/>
      <c r="H2212" s="320" t="str">
        <f t="shared" si="33"/>
        <v/>
      </c>
      <c r="I2212" s="16"/>
      <c r="J2212" s="16"/>
      <c r="K2212" s="16"/>
      <c r="L2212" s="16"/>
      <c r="M2212" s="15"/>
      <c r="N2212" s="15"/>
      <c r="O2212" s="16"/>
      <c r="P2212" s="16"/>
      <c r="Q2212" s="16"/>
      <c r="R2212" s="16"/>
      <c r="S2212" s="37" t="str">
        <f>IFERROR(__xludf.DUMMYFUNCTION("if(not(iserror(index(split(C2212, "" ""),2))), index(split(C2212, "" ""),1),"""")"),"")</f>
        <v/>
      </c>
      <c r="T2212" s="315" t="str">
        <f>IFERROR(__xludf.DUMMYFUNCTION("if(S2212="""",C2212,if(not(iserror(index(split(C2212, "" ""),3))), index(split(C2212, "" ""),3),index(split(C2212, "" ""),2)))"),"")</f>
        <v/>
      </c>
      <c r="U2212" s="38" t="b">
        <f t="shared" si="34"/>
        <v>0</v>
      </c>
      <c r="V2212" s="38"/>
      <c r="W2212" s="40"/>
      <c r="X2212" s="40"/>
      <c r="Y2212" s="38"/>
      <c r="Z2212" s="38"/>
      <c r="AA2212" s="38"/>
      <c r="AB2212" s="38"/>
      <c r="AC2212" s="38"/>
      <c r="AD2212" s="38"/>
      <c r="AE2212" s="38"/>
      <c r="AF2212" s="38"/>
      <c r="AG2212" s="38"/>
      <c r="AH2212" s="38"/>
      <c r="AI2212" s="38"/>
      <c r="AJ2212" s="38"/>
      <c r="AK2212" s="38"/>
      <c r="AL2212" s="38"/>
      <c r="AM2212" s="38"/>
      <c r="AN2212" s="38"/>
      <c r="AO2212" s="38"/>
      <c r="AP2212" s="38"/>
      <c r="AQ2212" s="38"/>
      <c r="AR2212" s="38"/>
      <c r="AS2212" s="38"/>
      <c r="AT2212" s="38"/>
      <c r="AU2212" s="38"/>
      <c r="AV2212" s="38"/>
      <c r="AW2212" s="38"/>
      <c r="AX2212" s="38"/>
      <c r="AY2212" s="38"/>
      <c r="AZ2212" s="38"/>
      <c r="BA2212" s="38"/>
      <c r="BB2212" s="38"/>
      <c r="BC2212" s="38"/>
      <c r="BD2212" s="38"/>
      <c r="BE2212" s="38"/>
      <c r="BF2212" s="38"/>
      <c r="BG2212" s="38"/>
      <c r="BH2212" s="38"/>
      <c r="BI2212" s="38"/>
      <c r="BJ2212" s="38"/>
      <c r="BK2212" s="38"/>
      <c r="BL2212" s="38"/>
      <c r="BM2212" s="38"/>
      <c r="BN2212" s="38"/>
      <c r="BO2212" s="38"/>
      <c r="BP2212" s="38"/>
      <c r="BQ2212" s="38"/>
    </row>
    <row r="2213">
      <c r="A2213" s="16"/>
      <c r="B2213" s="16"/>
      <c r="C2213" s="146"/>
      <c r="D2213" s="146"/>
      <c r="E2213" s="16"/>
      <c r="F2213" s="91"/>
      <c r="G2213" s="16"/>
      <c r="H2213" s="320" t="str">
        <f t="shared" si="33"/>
        <v/>
      </c>
      <c r="I2213" s="16"/>
      <c r="J2213" s="16"/>
      <c r="K2213" s="16"/>
      <c r="L2213" s="16"/>
      <c r="M2213" s="15"/>
      <c r="N2213" s="15"/>
      <c r="O2213" s="16"/>
      <c r="P2213" s="16"/>
      <c r="Q2213" s="16"/>
      <c r="R2213" s="16"/>
      <c r="S2213" s="37" t="str">
        <f>IFERROR(__xludf.DUMMYFUNCTION("if(not(iserror(index(split(C2213, "" ""),2))), index(split(C2213, "" ""),1),"""")"),"")</f>
        <v/>
      </c>
      <c r="T2213" s="315" t="str">
        <f>IFERROR(__xludf.DUMMYFUNCTION("if(S2213="""",C2213,if(not(iserror(index(split(C2213, "" ""),3))), index(split(C2213, "" ""),3),index(split(C2213, "" ""),2)))"),"")</f>
        <v/>
      </c>
      <c r="U2213" s="38" t="b">
        <f t="shared" si="34"/>
        <v>0</v>
      </c>
      <c r="V2213" s="38"/>
      <c r="W2213" s="40"/>
      <c r="X2213" s="40"/>
      <c r="Y2213" s="38"/>
      <c r="Z2213" s="38"/>
      <c r="AA2213" s="38"/>
      <c r="AB2213" s="38"/>
      <c r="AC2213" s="38"/>
      <c r="AD2213" s="38"/>
      <c r="AE2213" s="38"/>
      <c r="AF2213" s="38"/>
      <c r="AG2213" s="38"/>
      <c r="AH2213" s="38"/>
      <c r="AI2213" s="38"/>
      <c r="AJ2213" s="38"/>
      <c r="AK2213" s="38"/>
      <c r="AL2213" s="38"/>
      <c r="AM2213" s="38"/>
      <c r="AN2213" s="38"/>
      <c r="AO2213" s="38"/>
      <c r="AP2213" s="38"/>
      <c r="AQ2213" s="38"/>
      <c r="AR2213" s="38"/>
      <c r="AS2213" s="38"/>
      <c r="AT2213" s="38"/>
      <c r="AU2213" s="38"/>
      <c r="AV2213" s="38"/>
      <c r="AW2213" s="38"/>
      <c r="AX2213" s="38"/>
      <c r="AY2213" s="38"/>
      <c r="AZ2213" s="38"/>
      <c r="BA2213" s="38"/>
      <c r="BB2213" s="38"/>
      <c r="BC2213" s="38"/>
      <c r="BD2213" s="38"/>
      <c r="BE2213" s="38"/>
      <c r="BF2213" s="38"/>
      <c r="BG2213" s="38"/>
      <c r="BH2213" s="38"/>
      <c r="BI2213" s="38"/>
      <c r="BJ2213" s="38"/>
      <c r="BK2213" s="38"/>
      <c r="BL2213" s="38"/>
      <c r="BM2213" s="38"/>
      <c r="BN2213" s="38"/>
      <c r="BO2213" s="38"/>
      <c r="BP2213" s="38"/>
      <c r="BQ2213" s="38"/>
    </row>
    <row r="2214">
      <c r="A2214" s="16"/>
      <c r="B2214" s="16"/>
      <c r="C2214" s="146"/>
      <c r="D2214" s="146"/>
      <c r="E2214" s="16"/>
      <c r="F2214" s="91"/>
      <c r="G2214" s="16"/>
      <c r="H2214" s="320" t="str">
        <f t="shared" si="33"/>
        <v/>
      </c>
      <c r="I2214" s="16"/>
      <c r="J2214" s="16"/>
      <c r="K2214" s="16"/>
      <c r="L2214" s="16"/>
      <c r="M2214" s="15"/>
      <c r="N2214" s="15"/>
      <c r="O2214" s="16"/>
      <c r="P2214" s="16"/>
      <c r="Q2214" s="16"/>
      <c r="R2214" s="16"/>
      <c r="S2214" s="37" t="str">
        <f>IFERROR(__xludf.DUMMYFUNCTION("if(not(iserror(index(split(C2214, "" ""),2))), index(split(C2214, "" ""),1),"""")"),"")</f>
        <v/>
      </c>
      <c r="T2214" s="315" t="str">
        <f>IFERROR(__xludf.DUMMYFUNCTION("if(S2214="""",C2214,if(not(iserror(index(split(C2214, "" ""),3))), index(split(C2214, "" ""),3),index(split(C2214, "" ""),2)))"),"")</f>
        <v/>
      </c>
      <c r="U2214" s="38" t="b">
        <f t="shared" si="34"/>
        <v>0</v>
      </c>
      <c r="V2214" s="38"/>
      <c r="W2214" s="40"/>
      <c r="X2214" s="40"/>
      <c r="Y2214" s="38"/>
      <c r="Z2214" s="38"/>
      <c r="AA2214" s="38"/>
      <c r="AB2214" s="38"/>
      <c r="AC2214" s="38"/>
      <c r="AD2214" s="38"/>
      <c r="AE2214" s="38"/>
      <c r="AF2214" s="38"/>
      <c r="AG2214" s="38"/>
      <c r="AH2214" s="38"/>
      <c r="AI2214" s="38"/>
      <c r="AJ2214" s="38"/>
      <c r="AK2214" s="38"/>
      <c r="AL2214" s="38"/>
      <c r="AM2214" s="38"/>
      <c r="AN2214" s="38"/>
      <c r="AO2214" s="38"/>
      <c r="AP2214" s="38"/>
      <c r="AQ2214" s="38"/>
      <c r="AR2214" s="38"/>
      <c r="AS2214" s="38"/>
      <c r="AT2214" s="38"/>
      <c r="AU2214" s="38"/>
      <c r="AV2214" s="38"/>
      <c r="AW2214" s="38"/>
      <c r="AX2214" s="38"/>
      <c r="AY2214" s="38"/>
      <c r="AZ2214" s="38"/>
      <c r="BA2214" s="38"/>
      <c r="BB2214" s="38"/>
      <c r="BC2214" s="38"/>
      <c r="BD2214" s="38"/>
      <c r="BE2214" s="38"/>
      <c r="BF2214" s="38"/>
      <c r="BG2214" s="38"/>
      <c r="BH2214" s="38"/>
      <c r="BI2214" s="38"/>
      <c r="BJ2214" s="38"/>
      <c r="BK2214" s="38"/>
      <c r="BL2214" s="38"/>
      <c r="BM2214" s="38"/>
      <c r="BN2214" s="38"/>
      <c r="BO2214" s="38"/>
      <c r="BP2214" s="38"/>
      <c r="BQ2214" s="38"/>
    </row>
    <row r="2215">
      <c r="A2215" s="16"/>
      <c r="B2215" s="16"/>
      <c r="C2215" s="146"/>
      <c r="D2215" s="146"/>
      <c r="E2215" s="16"/>
      <c r="F2215" s="91"/>
      <c r="G2215" s="16"/>
      <c r="H2215" s="320" t="str">
        <f t="shared" si="33"/>
        <v/>
      </c>
      <c r="I2215" s="16"/>
      <c r="J2215" s="16"/>
      <c r="K2215" s="16"/>
      <c r="L2215" s="16"/>
      <c r="M2215" s="15"/>
      <c r="N2215" s="15"/>
      <c r="O2215" s="16"/>
      <c r="P2215" s="16"/>
      <c r="Q2215" s="16"/>
      <c r="R2215" s="16"/>
      <c r="S2215" s="37" t="str">
        <f>IFERROR(__xludf.DUMMYFUNCTION("if(not(iserror(index(split(C2215, "" ""),2))), index(split(C2215, "" ""),1),"""")"),"")</f>
        <v/>
      </c>
      <c r="T2215" s="315" t="str">
        <f>IFERROR(__xludf.DUMMYFUNCTION("if(S2215="""",C2215,if(not(iserror(index(split(C2215, "" ""),3))), index(split(C2215, "" ""),3),index(split(C2215, "" ""),2)))"),"")</f>
        <v/>
      </c>
      <c r="U2215" s="38" t="b">
        <f t="shared" si="34"/>
        <v>0</v>
      </c>
      <c r="V2215" s="38"/>
      <c r="W2215" s="40"/>
      <c r="X2215" s="40"/>
      <c r="Y2215" s="38"/>
      <c r="Z2215" s="38"/>
      <c r="AA2215" s="38"/>
      <c r="AB2215" s="38"/>
      <c r="AC2215" s="38"/>
      <c r="AD2215" s="38"/>
      <c r="AE2215" s="38"/>
      <c r="AF2215" s="38"/>
      <c r="AG2215" s="38"/>
      <c r="AH2215" s="38"/>
      <c r="AI2215" s="38"/>
      <c r="AJ2215" s="38"/>
      <c r="AK2215" s="38"/>
      <c r="AL2215" s="38"/>
      <c r="AM2215" s="38"/>
      <c r="AN2215" s="38"/>
      <c r="AO2215" s="38"/>
      <c r="AP2215" s="38"/>
      <c r="AQ2215" s="38"/>
      <c r="AR2215" s="38"/>
      <c r="AS2215" s="38"/>
      <c r="AT2215" s="38"/>
      <c r="AU2215" s="38"/>
      <c r="AV2215" s="38"/>
      <c r="AW2215" s="38"/>
      <c r="AX2215" s="38"/>
      <c r="AY2215" s="38"/>
      <c r="AZ2215" s="38"/>
      <c r="BA2215" s="38"/>
      <c r="BB2215" s="38"/>
      <c r="BC2215" s="38"/>
      <c r="BD2215" s="38"/>
      <c r="BE2215" s="38"/>
      <c r="BF2215" s="38"/>
      <c r="BG2215" s="38"/>
      <c r="BH2215" s="38"/>
      <c r="BI2215" s="38"/>
      <c r="BJ2215" s="38"/>
      <c r="BK2215" s="38"/>
      <c r="BL2215" s="38"/>
      <c r="BM2215" s="38"/>
      <c r="BN2215" s="38"/>
      <c r="BO2215" s="38"/>
      <c r="BP2215" s="38"/>
      <c r="BQ2215" s="38"/>
    </row>
    <row r="2216">
      <c r="A2216" s="16"/>
      <c r="B2216" s="16"/>
      <c r="C2216" s="146"/>
      <c r="D2216" s="146"/>
      <c r="E2216" s="16"/>
      <c r="F2216" s="91"/>
      <c r="G2216" s="16"/>
      <c r="H2216" s="320" t="str">
        <f t="shared" si="33"/>
        <v/>
      </c>
      <c r="I2216" s="16"/>
      <c r="J2216" s="16"/>
      <c r="K2216" s="16"/>
      <c r="L2216" s="16"/>
      <c r="M2216" s="15"/>
      <c r="N2216" s="15"/>
      <c r="O2216" s="16"/>
      <c r="P2216" s="16"/>
      <c r="Q2216" s="16"/>
      <c r="R2216" s="16"/>
      <c r="S2216" s="37" t="str">
        <f>IFERROR(__xludf.DUMMYFUNCTION("if(not(iserror(index(split(C2216, "" ""),2))), index(split(C2216, "" ""),1),"""")"),"")</f>
        <v/>
      </c>
      <c r="T2216" s="315" t="str">
        <f>IFERROR(__xludf.DUMMYFUNCTION("if(S2216="""",C2216,if(not(iserror(index(split(C2216, "" ""),3))), index(split(C2216, "" ""),3),index(split(C2216, "" ""),2)))"),"")</f>
        <v/>
      </c>
      <c r="U2216" s="38" t="b">
        <f t="shared" si="34"/>
        <v>0</v>
      </c>
      <c r="V2216" s="38"/>
      <c r="W2216" s="40"/>
      <c r="X2216" s="40"/>
      <c r="Y2216" s="38"/>
      <c r="Z2216" s="38"/>
      <c r="AA2216" s="38"/>
      <c r="AB2216" s="38"/>
      <c r="AC2216" s="38"/>
      <c r="AD2216" s="38"/>
      <c r="AE2216" s="38"/>
      <c r="AF2216" s="38"/>
      <c r="AG2216" s="38"/>
      <c r="AH2216" s="38"/>
      <c r="AI2216" s="38"/>
      <c r="AJ2216" s="38"/>
      <c r="AK2216" s="38"/>
      <c r="AL2216" s="38"/>
      <c r="AM2216" s="38"/>
      <c r="AN2216" s="38"/>
      <c r="AO2216" s="38"/>
      <c r="AP2216" s="38"/>
      <c r="AQ2216" s="38"/>
      <c r="AR2216" s="38"/>
      <c r="AS2216" s="38"/>
      <c r="AT2216" s="38"/>
      <c r="AU2216" s="38"/>
      <c r="AV2216" s="38"/>
      <c r="AW2216" s="38"/>
      <c r="AX2216" s="38"/>
      <c r="AY2216" s="38"/>
      <c r="AZ2216" s="38"/>
      <c r="BA2216" s="38"/>
      <c r="BB2216" s="38"/>
      <c r="BC2216" s="38"/>
      <c r="BD2216" s="38"/>
      <c r="BE2216" s="38"/>
      <c r="BF2216" s="38"/>
      <c r="BG2216" s="38"/>
      <c r="BH2216" s="38"/>
      <c r="BI2216" s="38"/>
      <c r="BJ2216" s="38"/>
      <c r="BK2216" s="38"/>
      <c r="BL2216" s="38"/>
      <c r="BM2216" s="38"/>
      <c r="BN2216" s="38"/>
      <c r="BO2216" s="38"/>
      <c r="BP2216" s="38"/>
      <c r="BQ2216" s="38"/>
    </row>
    <row r="2217">
      <c r="A2217" s="16"/>
      <c r="B2217" s="16"/>
      <c r="C2217" s="146"/>
      <c r="D2217" s="146"/>
      <c r="E2217" s="16"/>
      <c r="F2217" s="91"/>
      <c r="G2217" s="16"/>
      <c r="H2217" s="320" t="str">
        <f t="shared" si="33"/>
        <v/>
      </c>
      <c r="I2217" s="16"/>
      <c r="J2217" s="16"/>
      <c r="K2217" s="16"/>
      <c r="L2217" s="16"/>
      <c r="M2217" s="15"/>
      <c r="N2217" s="15"/>
      <c r="O2217" s="16"/>
      <c r="P2217" s="16"/>
      <c r="Q2217" s="16"/>
      <c r="R2217" s="16"/>
      <c r="S2217" s="37" t="str">
        <f>IFERROR(__xludf.DUMMYFUNCTION("if(not(iserror(index(split(C2217, "" ""),2))), index(split(C2217, "" ""),1),"""")"),"")</f>
        <v/>
      </c>
      <c r="T2217" s="315" t="str">
        <f>IFERROR(__xludf.DUMMYFUNCTION("if(S2217="""",C2217,if(not(iserror(index(split(C2217, "" ""),3))), index(split(C2217, "" ""),3),index(split(C2217, "" ""),2)))"),"")</f>
        <v/>
      </c>
      <c r="U2217" s="38" t="b">
        <f t="shared" si="34"/>
        <v>0</v>
      </c>
      <c r="V2217" s="38"/>
      <c r="W2217" s="40"/>
      <c r="X2217" s="40"/>
      <c r="Y2217" s="38"/>
      <c r="Z2217" s="38"/>
      <c r="AA2217" s="38"/>
      <c r="AB2217" s="38"/>
      <c r="AC2217" s="38"/>
      <c r="AD2217" s="38"/>
      <c r="AE2217" s="38"/>
      <c r="AF2217" s="38"/>
      <c r="AG2217" s="38"/>
      <c r="AH2217" s="38"/>
      <c r="AI2217" s="38"/>
      <c r="AJ2217" s="38"/>
      <c r="AK2217" s="38"/>
      <c r="AL2217" s="38"/>
      <c r="AM2217" s="38"/>
      <c r="AN2217" s="38"/>
      <c r="AO2217" s="38"/>
      <c r="AP2217" s="38"/>
      <c r="AQ2217" s="38"/>
      <c r="AR2217" s="38"/>
      <c r="AS2217" s="38"/>
      <c r="AT2217" s="38"/>
      <c r="AU2217" s="38"/>
      <c r="AV2217" s="38"/>
      <c r="AW2217" s="38"/>
      <c r="AX2217" s="38"/>
      <c r="AY2217" s="38"/>
      <c r="AZ2217" s="38"/>
      <c r="BA2217" s="38"/>
      <c r="BB2217" s="38"/>
      <c r="BC2217" s="38"/>
      <c r="BD2217" s="38"/>
      <c r="BE2217" s="38"/>
      <c r="BF2217" s="38"/>
      <c r="BG2217" s="38"/>
      <c r="BH2217" s="38"/>
      <c r="BI2217" s="38"/>
      <c r="BJ2217" s="38"/>
      <c r="BK2217" s="38"/>
      <c r="BL2217" s="38"/>
      <c r="BM2217" s="38"/>
      <c r="BN2217" s="38"/>
      <c r="BO2217" s="38"/>
      <c r="BP2217" s="38"/>
      <c r="BQ2217" s="38"/>
    </row>
    <row r="2218">
      <c r="A2218" s="16"/>
      <c r="B2218" s="16"/>
      <c r="C2218" s="146"/>
      <c r="D2218" s="146"/>
      <c r="E2218" s="16"/>
      <c r="F2218" s="91"/>
      <c r="G2218" s="16"/>
      <c r="H2218" s="320" t="str">
        <f t="shared" si="33"/>
        <v/>
      </c>
      <c r="I2218" s="16"/>
      <c r="J2218" s="16"/>
      <c r="K2218" s="16"/>
      <c r="L2218" s="16"/>
      <c r="M2218" s="15"/>
      <c r="N2218" s="15"/>
      <c r="O2218" s="16"/>
      <c r="P2218" s="16"/>
      <c r="Q2218" s="16"/>
      <c r="R2218" s="16"/>
      <c r="S2218" s="37" t="str">
        <f>IFERROR(__xludf.DUMMYFUNCTION("if(not(iserror(index(split(C2218, "" ""),2))), index(split(C2218, "" ""),1),"""")"),"")</f>
        <v/>
      </c>
      <c r="T2218" s="315" t="str">
        <f>IFERROR(__xludf.DUMMYFUNCTION("if(S2218="""",C2218,if(not(iserror(index(split(C2218, "" ""),3))), index(split(C2218, "" ""),3),index(split(C2218, "" ""),2)))"),"")</f>
        <v/>
      </c>
      <c r="U2218" s="38" t="b">
        <f t="shared" si="34"/>
        <v>0</v>
      </c>
      <c r="V2218" s="38"/>
      <c r="W2218" s="40"/>
      <c r="X2218" s="40"/>
      <c r="Y2218" s="38"/>
      <c r="Z2218" s="38"/>
      <c r="AA2218" s="38"/>
      <c r="AB2218" s="38"/>
      <c r="AC2218" s="38"/>
      <c r="AD2218" s="38"/>
      <c r="AE2218" s="38"/>
      <c r="AF2218" s="38"/>
      <c r="AG2218" s="38"/>
      <c r="AH2218" s="38"/>
      <c r="AI2218" s="38"/>
      <c r="AJ2218" s="38"/>
      <c r="AK2218" s="38"/>
      <c r="AL2218" s="38"/>
      <c r="AM2218" s="38"/>
      <c r="AN2218" s="38"/>
      <c r="AO2218" s="38"/>
      <c r="AP2218" s="38"/>
      <c r="AQ2218" s="38"/>
      <c r="AR2218" s="38"/>
      <c r="AS2218" s="38"/>
      <c r="AT2218" s="38"/>
      <c r="AU2218" s="38"/>
      <c r="AV2218" s="38"/>
      <c r="AW2218" s="38"/>
      <c r="AX2218" s="38"/>
      <c r="AY2218" s="38"/>
      <c r="AZ2218" s="38"/>
      <c r="BA2218" s="38"/>
      <c r="BB2218" s="38"/>
      <c r="BC2218" s="38"/>
      <c r="BD2218" s="38"/>
      <c r="BE2218" s="38"/>
      <c r="BF2218" s="38"/>
      <c r="BG2218" s="38"/>
      <c r="BH2218" s="38"/>
      <c r="BI2218" s="38"/>
      <c r="BJ2218" s="38"/>
      <c r="BK2218" s="38"/>
      <c r="BL2218" s="38"/>
      <c r="BM2218" s="38"/>
      <c r="BN2218" s="38"/>
      <c r="BO2218" s="38"/>
      <c r="BP2218" s="38"/>
      <c r="BQ2218" s="38"/>
    </row>
    <row r="2219">
      <c r="A2219" s="16"/>
      <c r="B2219" s="16"/>
      <c r="C2219" s="146"/>
      <c r="D2219" s="146"/>
      <c r="E2219" s="16"/>
      <c r="F2219" s="91"/>
      <c r="G2219" s="16"/>
      <c r="H2219" s="320" t="str">
        <f t="shared" si="33"/>
        <v/>
      </c>
      <c r="I2219" s="16"/>
      <c r="J2219" s="16"/>
      <c r="K2219" s="16"/>
      <c r="L2219" s="16"/>
      <c r="M2219" s="15"/>
      <c r="N2219" s="15"/>
      <c r="O2219" s="16"/>
      <c r="P2219" s="16"/>
      <c r="Q2219" s="16"/>
      <c r="R2219" s="16"/>
      <c r="S2219" s="37" t="str">
        <f>IFERROR(__xludf.DUMMYFUNCTION("if(not(iserror(index(split(C2219, "" ""),2))), index(split(C2219, "" ""),1),"""")"),"")</f>
        <v/>
      </c>
      <c r="T2219" s="315" t="str">
        <f>IFERROR(__xludf.DUMMYFUNCTION("if(S2219="""",C2219,if(not(iserror(index(split(C2219, "" ""),3))), index(split(C2219, "" ""),3),index(split(C2219, "" ""),2)))"),"")</f>
        <v/>
      </c>
      <c r="U2219" s="38" t="b">
        <f t="shared" si="34"/>
        <v>0</v>
      </c>
      <c r="V2219" s="38"/>
      <c r="W2219" s="40"/>
      <c r="X2219" s="40"/>
      <c r="Y2219" s="38"/>
      <c r="Z2219" s="38"/>
      <c r="AA2219" s="38"/>
      <c r="AB2219" s="38"/>
      <c r="AC2219" s="38"/>
      <c r="AD2219" s="38"/>
      <c r="AE2219" s="38"/>
      <c r="AF2219" s="38"/>
      <c r="AG2219" s="38"/>
      <c r="AH2219" s="38"/>
      <c r="AI2219" s="38"/>
      <c r="AJ2219" s="38"/>
      <c r="AK2219" s="38"/>
      <c r="AL2219" s="38"/>
      <c r="AM2219" s="38"/>
      <c r="AN2219" s="38"/>
      <c r="AO2219" s="38"/>
      <c r="AP2219" s="38"/>
      <c r="AQ2219" s="38"/>
      <c r="AR2219" s="38"/>
      <c r="AS2219" s="38"/>
      <c r="AT2219" s="38"/>
      <c r="AU2219" s="38"/>
      <c r="AV2219" s="38"/>
      <c r="AW2219" s="38"/>
      <c r="AX2219" s="38"/>
      <c r="AY2219" s="38"/>
      <c r="AZ2219" s="38"/>
      <c r="BA2219" s="38"/>
      <c r="BB2219" s="38"/>
      <c r="BC2219" s="38"/>
      <c r="BD2219" s="38"/>
      <c r="BE2219" s="38"/>
      <c r="BF2219" s="38"/>
      <c r="BG2219" s="38"/>
      <c r="BH2219" s="38"/>
      <c r="BI2219" s="38"/>
      <c r="BJ2219" s="38"/>
      <c r="BK2219" s="38"/>
      <c r="BL2219" s="38"/>
      <c r="BM2219" s="38"/>
      <c r="BN2219" s="38"/>
      <c r="BO2219" s="38"/>
      <c r="BP2219" s="38"/>
      <c r="BQ2219" s="38"/>
    </row>
    <row r="2220">
      <c r="A2220" s="16"/>
      <c r="B2220" s="16"/>
      <c r="C2220" s="146"/>
      <c r="D2220" s="146"/>
      <c r="E2220" s="16"/>
      <c r="F2220" s="91"/>
      <c r="G2220" s="16"/>
      <c r="H2220" s="320" t="str">
        <f t="shared" si="33"/>
        <v/>
      </c>
      <c r="I2220" s="16"/>
      <c r="J2220" s="16"/>
      <c r="K2220" s="16"/>
      <c r="L2220" s="16"/>
      <c r="M2220" s="15"/>
      <c r="N2220" s="15"/>
      <c r="O2220" s="16"/>
      <c r="P2220" s="16"/>
      <c r="Q2220" s="16"/>
      <c r="R2220" s="16"/>
      <c r="S2220" s="37" t="str">
        <f>IFERROR(__xludf.DUMMYFUNCTION("if(not(iserror(index(split(C2220, "" ""),2))), index(split(C2220, "" ""),1),"""")"),"")</f>
        <v/>
      </c>
      <c r="T2220" s="315" t="str">
        <f>IFERROR(__xludf.DUMMYFUNCTION("if(S2220="""",C2220,if(not(iserror(index(split(C2220, "" ""),3))), index(split(C2220, "" ""),3),index(split(C2220, "" ""),2)))"),"")</f>
        <v/>
      </c>
      <c r="U2220" s="38" t="b">
        <f t="shared" si="34"/>
        <v>0</v>
      </c>
      <c r="V2220" s="38"/>
      <c r="W2220" s="40"/>
      <c r="X2220" s="40"/>
      <c r="Y2220" s="38"/>
      <c r="Z2220" s="38"/>
      <c r="AA2220" s="38"/>
      <c r="AB2220" s="38"/>
      <c r="AC2220" s="38"/>
      <c r="AD2220" s="38"/>
      <c r="AE2220" s="38"/>
      <c r="AF2220" s="38"/>
      <c r="AG2220" s="38"/>
      <c r="AH2220" s="38"/>
      <c r="AI2220" s="38"/>
      <c r="AJ2220" s="38"/>
      <c r="AK2220" s="38"/>
      <c r="AL2220" s="38"/>
      <c r="AM2220" s="38"/>
      <c r="AN2220" s="38"/>
      <c r="AO2220" s="38"/>
      <c r="AP2220" s="38"/>
      <c r="AQ2220" s="38"/>
      <c r="AR2220" s="38"/>
      <c r="AS2220" s="38"/>
      <c r="AT2220" s="38"/>
      <c r="AU2220" s="38"/>
      <c r="AV2220" s="38"/>
      <c r="AW2220" s="38"/>
      <c r="AX2220" s="38"/>
      <c r="AY2220" s="38"/>
      <c r="AZ2220" s="38"/>
      <c r="BA2220" s="38"/>
      <c r="BB2220" s="38"/>
      <c r="BC2220" s="38"/>
      <c r="BD2220" s="38"/>
      <c r="BE2220" s="38"/>
      <c r="BF2220" s="38"/>
      <c r="BG2220" s="38"/>
      <c r="BH2220" s="38"/>
      <c r="BI2220" s="38"/>
      <c r="BJ2220" s="38"/>
      <c r="BK2220" s="38"/>
      <c r="BL2220" s="38"/>
      <c r="BM2220" s="38"/>
      <c r="BN2220" s="38"/>
      <c r="BO2220" s="38"/>
      <c r="BP2220" s="38"/>
      <c r="BQ2220" s="38"/>
    </row>
    <row r="2221">
      <c r="A2221" s="16"/>
      <c r="B2221" s="16"/>
      <c r="C2221" s="146"/>
      <c r="D2221" s="146"/>
      <c r="E2221" s="16"/>
      <c r="F2221" s="91"/>
      <c r="G2221" s="16"/>
      <c r="H2221" s="320" t="str">
        <f t="shared" si="33"/>
        <v/>
      </c>
      <c r="I2221" s="16"/>
      <c r="J2221" s="16"/>
      <c r="K2221" s="16"/>
      <c r="L2221" s="16"/>
      <c r="M2221" s="15"/>
      <c r="N2221" s="15"/>
      <c r="O2221" s="16"/>
      <c r="P2221" s="16"/>
      <c r="Q2221" s="16"/>
      <c r="R2221" s="16"/>
      <c r="S2221" s="37" t="str">
        <f>IFERROR(__xludf.DUMMYFUNCTION("if(not(iserror(index(split(C2221, "" ""),2))), index(split(C2221, "" ""),1),"""")"),"")</f>
        <v/>
      </c>
      <c r="T2221" s="315" t="str">
        <f>IFERROR(__xludf.DUMMYFUNCTION("if(S2221="""",C2221,if(not(iserror(index(split(C2221, "" ""),3))), index(split(C2221, "" ""),3),index(split(C2221, "" ""),2)))"),"")</f>
        <v/>
      </c>
      <c r="U2221" s="38" t="b">
        <f t="shared" si="34"/>
        <v>0</v>
      </c>
      <c r="V2221" s="38"/>
      <c r="W2221" s="40"/>
      <c r="X2221" s="40"/>
      <c r="Y2221" s="38"/>
      <c r="Z2221" s="38"/>
      <c r="AA2221" s="38"/>
      <c r="AB2221" s="38"/>
      <c r="AC2221" s="38"/>
      <c r="AD2221" s="38"/>
      <c r="AE2221" s="38"/>
      <c r="AF2221" s="38"/>
      <c r="AG2221" s="38"/>
      <c r="AH2221" s="38"/>
      <c r="AI2221" s="38"/>
      <c r="AJ2221" s="38"/>
      <c r="AK2221" s="38"/>
      <c r="AL2221" s="38"/>
      <c r="AM2221" s="38"/>
      <c r="AN2221" s="38"/>
      <c r="AO2221" s="38"/>
      <c r="AP2221" s="38"/>
      <c r="AQ2221" s="38"/>
      <c r="AR2221" s="38"/>
      <c r="AS2221" s="38"/>
      <c r="AT2221" s="38"/>
      <c r="AU2221" s="38"/>
      <c r="AV2221" s="38"/>
      <c r="AW2221" s="38"/>
      <c r="AX2221" s="38"/>
      <c r="AY2221" s="38"/>
      <c r="AZ2221" s="38"/>
      <c r="BA2221" s="38"/>
      <c r="BB2221" s="38"/>
      <c r="BC2221" s="38"/>
      <c r="BD2221" s="38"/>
      <c r="BE2221" s="38"/>
      <c r="BF2221" s="38"/>
      <c r="BG2221" s="38"/>
      <c r="BH2221" s="38"/>
      <c r="BI2221" s="38"/>
      <c r="BJ2221" s="38"/>
      <c r="BK2221" s="38"/>
      <c r="BL2221" s="38"/>
      <c r="BM2221" s="38"/>
      <c r="BN2221" s="38"/>
      <c r="BO2221" s="38"/>
      <c r="BP2221" s="38"/>
      <c r="BQ2221" s="38"/>
    </row>
    <row r="2222">
      <c r="A2222" s="16"/>
      <c r="B2222" s="16"/>
      <c r="C2222" s="146"/>
      <c r="D2222" s="146"/>
      <c r="E2222" s="16"/>
      <c r="F2222" s="91"/>
      <c r="G2222" s="16"/>
      <c r="H2222" s="320" t="str">
        <f t="shared" si="33"/>
        <v/>
      </c>
      <c r="I2222" s="16"/>
      <c r="J2222" s="16"/>
      <c r="K2222" s="16"/>
      <c r="L2222" s="16"/>
      <c r="M2222" s="15"/>
      <c r="N2222" s="15"/>
      <c r="O2222" s="16"/>
      <c r="P2222" s="16"/>
      <c r="Q2222" s="16"/>
      <c r="R2222" s="16"/>
      <c r="S2222" s="37" t="str">
        <f>IFERROR(__xludf.DUMMYFUNCTION("if(not(iserror(index(split(C2222, "" ""),2))), index(split(C2222, "" ""),1),"""")"),"")</f>
        <v/>
      </c>
      <c r="T2222" s="315" t="str">
        <f>IFERROR(__xludf.DUMMYFUNCTION("if(S2222="""",C2222,if(not(iserror(index(split(C2222, "" ""),3))), index(split(C2222, "" ""),3),index(split(C2222, "" ""),2)))"),"")</f>
        <v/>
      </c>
      <c r="U2222" s="38" t="b">
        <f t="shared" si="34"/>
        <v>0</v>
      </c>
      <c r="V2222" s="38"/>
      <c r="W2222" s="40"/>
      <c r="X2222" s="40"/>
      <c r="Y2222" s="38"/>
      <c r="Z2222" s="38"/>
      <c r="AA2222" s="38"/>
      <c r="AB2222" s="38"/>
      <c r="AC2222" s="38"/>
      <c r="AD2222" s="38"/>
      <c r="AE2222" s="38"/>
      <c r="AF2222" s="38"/>
      <c r="AG2222" s="38"/>
      <c r="AH2222" s="38"/>
      <c r="AI2222" s="38"/>
      <c r="AJ2222" s="38"/>
      <c r="AK2222" s="38"/>
      <c r="AL2222" s="38"/>
      <c r="AM2222" s="38"/>
      <c r="AN2222" s="38"/>
      <c r="AO2222" s="38"/>
      <c r="AP2222" s="38"/>
      <c r="AQ2222" s="38"/>
      <c r="AR2222" s="38"/>
      <c r="AS2222" s="38"/>
      <c r="AT2222" s="38"/>
      <c r="AU2222" s="38"/>
      <c r="AV2222" s="38"/>
      <c r="AW2222" s="38"/>
      <c r="AX2222" s="38"/>
      <c r="AY2222" s="38"/>
      <c r="AZ2222" s="38"/>
      <c r="BA2222" s="38"/>
      <c r="BB2222" s="38"/>
      <c r="BC2222" s="38"/>
      <c r="BD2222" s="38"/>
      <c r="BE2222" s="38"/>
      <c r="BF2222" s="38"/>
      <c r="BG2222" s="38"/>
      <c r="BH2222" s="38"/>
      <c r="BI2222" s="38"/>
      <c r="BJ2222" s="38"/>
      <c r="BK2222" s="38"/>
      <c r="BL2222" s="38"/>
      <c r="BM2222" s="38"/>
      <c r="BN2222" s="38"/>
      <c r="BO2222" s="38"/>
      <c r="BP2222" s="38"/>
      <c r="BQ2222" s="38"/>
    </row>
    <row r="2223">
      <c r="A2223" s="16"/>
      <c r="B2223" s="16"/>
      <c r="C2223" s="146"/>
      <c r="D2223" s="146"/>
      <c r="E2223" s="16"/>
      <c r="F2223" s="91"/>
      <c r="G2223" s="16"/>
      <c r="H2223" s="320" t="str">
        <f t="shared" si="33"/>
        <v/>
      </c>
      <c r="I2223" s="16"/>
      <c r="J2223" s="16"/>
      <c r="K2223" s="16"/>
      <c r="L2223" s="16"/>
      <c r="M2223" s="15"/>
      <c r="N2223" s="15"/>
      <c r="O2223" s="16"/>
      <c r="P2223" s="16"/>
      <c r="Q2223" s="16"/>
      <c r="R2223" s="16"/>
      <c r="S2223" s="37" t="str">
        <f>IFERROR(__xludf.DUMMYFUNCTION("if(not(iserror(index(split(C2223, "" ""),2))), index(split(C2223, "" ""),1),"""")"),"")</f>
        <v/>
      </c>
      <c r="T2223" s="315" t="str">
        <f>IFERROR(__xludf.DUMMYFUNCTION("if(S2223="""",C2223,if(not(iserror(index(split(C2223, "" ""),3))), index(split(C2223, "" ""),3),index(split(C2223, "" ""),2)))"),"")</f>
        <v/>
      </c>
      <c r="U2223" s="38" t="b">
        <f t="shared" si="34"/>
        <v>0</v>
      </c>
      <c r="V2223" s="38"/>
      <c r="W2223" s="40"/>
      <c r="X2223" s="40"/>
      <c r="Y2223" s="38"/>
      <c r="Z2223" s="38"/>
      <c r="AA2223" s="38"/>
      <c r="AB2223" s="38"/>
      <c r="AC2223" s="38"/>
      <c r="AD2223" s="38"/>
      <c r="AE2223" s="38"/>
      <c r="AF2223" s="38"/>
      <c r="AG2223" s="38"/>
      <c r="AH2223" s="38"/>
      <c r="AI2223" s="38"/>
      <c r="AJ2223" s="38"/>
      <c r="AK2223" s="38"/>
      <c r="AL2223" s="38"/>
      <c r="AM2223" s="38"/>
      <c r="AN2223" s="38"/>
      <c r="AO2223" s="38"/>
      <c r="AP2223" s="38"/>
      <c r="AQ2223" s="38"/>
      <c r="AR2223" s="38"/>
      <c r="AS2223" s="38"/>
      <c r="AT2223" s="38"/>
      <c r="AU2223" s="38"/>
      <c r="AV2223" s="38"/>
      <c r="AW2223" s="38"/>
      <c r="AX2223" s="38"/>
      <c r="AY2223" s="38"/>
      <c r="AZ2223" s="38"/>
      <c r="BA2223" s="38"/>
      <c r="BB2223" s="38"/>
      <c r="BC2223" s="38"/>
      <c r="BD2223" s="38"/>
      <c r="BE2223" s="38"/>
      <c r="BF2223" s="38"/>
      <c r="BG2223" s="38"/>
      <c r="BH2223" s="38"/>
      <c r="BI2223" s="38"/>
      <c r="BJ2223" s="38"/>
      <c r="BK2223" s="38"/>
      <c r="BL2223" s="38"/>
      <c r="BM2223" s="38"/>
      <c r="BN2223" s="38"/>
      <c r="BO2223" s="38"/>
      <c r="BP2223" s="38"/>
      <c r="BQ2223" s="38"/>
    </row>
    <row r="2224">
      <c r="A2224" s="16"/>
      <c r="B2224" s="16"/>
      <c r="C2224" s="146"/>
      <c r="D2224" s="146"/>
      <c r="E2224" s="16"/>
      <c r="F2224" s="91"/>
      <c r="G2224" s="16"/>
      <c r="H2224" s="320" t="str">
        <f t="shared" si="33"/>
        <v/>
      </c>
      <c r="I2224" s="16"/>
      <c r="J2224" s="16"/>
      <c r="K2224" s="16"/>
      <c r="L2224" s="16"/>
      <c r="M2224" s="15"/>
      <c r="N2224" s="15"/>
      <c r="O2224" s="16"/>
      <c r="P2224" s="16"/>
      <c r="Q2224" s="16"/>
      <c r="R2224" s="16"/>
      <c r="S2224" s="37" t="str">
        <f>IFERROR(__xludf.DUMMYFUNCTION("if(not(iserror(index(split(C2224, "" ""),2))), index(split(C2224, "" ""),1),"""")"),"")</f>
        <v/>
      </c>
      <c r="T2224" s="315" t="str">
        <f>IFERROR(__xludf.DUMMYFUNCTION("if(S2224="""",C2224,if(not(iserror(index(split(C2224, "" ""),3))), index(split(C2224, "" ""),3),index(split(C2224, "" ""),2)))"),"")</f>
        <v/>
      </c>
      <c r="U2224" s="38" t="b">
        <f t="shared" si="34"/>
        <v>0</v>
      </c>
      <c r="V2224" s="38"/>
      <c r="W2224" s="40"/>
      <c r="X2224" s="40"/>
      <c r="Y2224" s="38"/>
      <c r="Z2224" s="38"/>
      <c r="AA2224" s="38"/>
      <c r="AB2224" s="38"/>
      <c r="AC2224" s="38"/>
      <c r="AD2224" s="38"/>
      <c r="AE2224" s="38"/>
      <c r="AF2224" s="38"/>
      <c r="AG2224" s="38"/>
      <c r="AH2224" s="38"/>
      <c r="AI2224" s="38"/>
      <c r="AJ2224" s="38"/>
      <c r="AK2224" s="38"/>
      <c r="AL2224" s="38"/>
      <c r="AM2224" s="38"/>
      <c r="AN2224" s="38"/>
      <c r="AO2224" s="38"/>
      <c r="AP2224" s="38"/>
      <c r="AQ2224" s="38"/>
      <c r="AR2224" s="38"/>
      <c r="AS2224" s="38"/>
      <c r="AT2224" s="38"/>
      <c r="AU2224" s="38"/>
      <c r="AV2224" s="38"/>
      <c r="AW2224" s="38"/>
      <c r="AX2224" s="38"/>
      <c r="AY2224" s="38"/>
      <c r="AZ2224" s="38"/>
      <c r="BA2224" s="38"/>
      <c r="BB2224" s="38"/>
      <c r="BC2224" s="38"/>
      <c r="BD2224" s="38"/>
      <c r="BE2224" s="38"/>
      <c r="BF2224" s="38"/>
      <c r="BG2224" s="38"/>
      <c r="BH2224" s="38"/>
      <c r="BI2224" s="38"/>
      <c r="BJ2224" s="38"/>
      <c r="BK2224" s="38"/>
      <c r="BL2224" s="38"/>
      <c r="BM2224" s="38"/>
      <c r="BN2224" s="38"/>
      <c r="BO2224" s="38"/>
      <c r="BP2224" s="38"/>
      <c r="BQ2224" s="38"/>
    </row>
    <row r="2225">
      <c r="A2225" s="16"/>
      <c r="B2225" s="16"/>
      <c r="C2225" s="146"/>
      <c r="D2225" s="146"/>
      <c r="E2225" s="16"/>
      <c r="F2225" s="91"/>
      <c r="G2225" s="16"/>
      <c r="H2225" s="320" t="str">
        <f t="shared" si="33"/>
        <v/>
      </c>
      <c r="I2225" s="16"/>
      <c r="J2225" s="16"/>
      <c r="K2225" s="16"/>
      <c r="L2225" s="16"/>
      <c r="M2225" s="15"/>
      <c r="N2225" s="15"/>
      <c r="O2225" s="16"/>
      <c r="P2225" s="16"/>
      <c r="Q2225" s="16"/>
      <c r="R2225" s="16"/>
      <c r="S2225" s="37" t="str">
        <f>IFERROR(__xludf.DUMMYFUNCTION("if(not(iserror(index(split(C2225, "" ""),2))), index(split(C2225, "" ""),1),"""")"),"")</f>
        <v/>
      </c>
      <c r="T2225" s="315" t="str">
        <f>IFERROR(__xludf.DUMMYFUNCTION("if(S2225="""",C2225,if(not(iserror(index(split(C2225, "" ""),3))), index(split(C2225, "" ""),3),index(split(C2225, "" ""),2)))"),"")</f>
        <v/>
      </c>
      <c r="U2225" s="38" t="b">
        <f t="shared" si="34"/>
        <v>0</v>
      </c>
      <c r="V2225" s="38"/>
      <c r="W2225" s="40"/>
      <c r="X2225" s="40"/>
      <c r="Y2225" s="38"/>
      <c r="Z2225" s="38"/>
      <c r="AA2225" s="38"/>
      <c r="AB2225" s="38"/>
      <c r="AC2225" s="38"/>
      <c r="AD2225" s="38"/>
      <c r="AE2225" s="38"/>
      <c r="AF2225" s="38"/>
      <c r="AG2225" s="38"/>
      <c r="AH2225" s="38"/>
      <c r="AI2225" s="38"/>
      <c r="AJ2225" s="38"/>
      <c r="AK2225" s="38"/>
      <c r="AL2225" s="38"/>
      <c r="AM2225" s="38"/>
      <c r="AN2225" s="38"/>
      <c r="AO2225" s="38"/>
      <c r="AP2225" s="38"/>
      <c r="AQ2225" s="38"/>
      <c r="AR2225" s="38"/>
      <c r="AS2225" s="38"/>
      <c r="AT2225" s="38"/>
      <c r="AU2225" s="38"/>
      <c r="AV2225" s="38"/>
      <c r="AW2225" s="38"/>
      <c r="AX2225" s="38"/>
      <c r="AY2225" s="38"/>
      <c r="AZ2225" s="38"/>
      <c r="BA2225" s="38"/>
      <c r="BB2225" s="38"/>
      <c r="BC2225" s="38"/>
      <c r="BD2225" s="38"/>
      <c r="BE2225" s="38"/>
      <c r="BF2225" s="38"/>
      <c r="BG2225" s="38"/>
      <c r="BH2225" s="38"/>
      <c r="BI2225" s="38"/>
      <c r="BJ2225" s="38"/>
      <c r="BK2225" s="38"/>
      <c r="BL2225" s="38"/>
      <c r="BM2225" s="38"/>
      <c r="BN2225" s="38"/>
      <c r="BO2225" s="38"/>
      <c r="BP2225" s="38"/>
      <c r="BQ2225" s="38"/>
    </row>
    <row r="2226">
      <c r="A2226" s="16"/>
      <c r="B2226" s="16"/>
      <c r="C2226" s="146"/>
      <c r="D2226" s="146"/>
      <c r="E2226" s="16"/>
      <c r="F2226" s="91"/>
      <c r="G2226" s="16"/>
      <c r="H2226" s="320" t="str">
        <f t="shared" si="33"/>
        <v/>
      </c>
      <c r="I2226" s="16"/>
      <c r="J2226" s="16"/>
      <c r="K2226" s="16"/>
      <c r="L2226" s="16"/>
      <c r="M2226" s="15"/>
      <c r="N2226" s="15"/>
      <c r="O2226" s="16"/>
      <c r="P2226" s="16"/>
      <c r="Q2226" s="16"/>
      <c r="R2226" s="16"/>
      <c r="S2226" s="37" t="str">
        <f>IFERROR(__xludf.DUMMYFUNCTION("if(not(iserror(index(split(C2226, "" ""),2))), index(split(C2226, "" ""),1),"""")"),"")</f>
        <v/>
      </c>
      <c r="T2226" s="315" t="str">
        <f>IFERROR(__xludf.DUMMYFUNCTION("if(S2226="""",C2226,if(not(iserror(index(split(C2226, "" ""),3))), index(split(C2226, "" ""),3),index(split(C2226, "" ""),2)))"),"")</f>
        <v/>
      </c>
      <c r="U2226" s="38" t="b">
        <f t="shared" si="34"/>
        <v>0</v>
      </c>
      <c r="V2226" s="38"/>
      <c r="W2226" s="40"/>
      <c r="X2226" s="40"/>
      <c r="Y2226" s="38"/>
      <c r="Z2226" s="38"/>
      <c r="AA2226" s="38"/>
      <c r="AB2226" s="38"/>
      <c r="AC2226" s="38"/>
      <c r="AD2226" s="38"/>
      <c r="AE2226" s="38"/>
      <c r="AF2226" s="38"/>
      <c r="AG2226" s="38"/>
      <c r="AH2226" s="38"/>
      <c r="AI2226" s="38"/>
      <c r="AJ2226" s="38"/>
      <c r="AK2226" s="38"/>
      <c r="AL2226" s="38"/>
      <c r="AM2226" s="38"/>
      <c r="AN2226" s="38"/>
      <c r="AO2226" s="38"/>
      <c r="AP2226" s="38"/>
      <c r="AQ2226" s="38"/>
      <c r="AR2226" s="38"/>
      <c r="AS2226" s="38"/>
      <c r="AT2226" s="38"/>
      <c r="AU2226" s="38"/>
      <c r="AV2226" s="38"/>
      <c r="AW2226" s="38"/>
      <c r="AX2226" s="38"/>
      <c r="AY2226" s="38"/>
      <c r="AZ2226" s="38"/>
      <c r="BA2226" s="38"/>
      <c r="BB2226" s="38"/>
      <c r="BC2226" s="38"/>
      <c r="BD2226" s="38"/>
      <c r="BE2226" s="38"/>
      <c r="BF2226" s="38"/>
      <c r="BG2226" s="38"/>
      <c r="BH2226" s="38"/>
      <c r="BI2226" s="38"/>
      <c r="BJ2226" s="38"/>
      <c r="BK2226" s="38"/>
      <c r="BL2226" s="38"/>
      <c r="BM2226" s="38"/>
      <c r="BN2226" s="38"/>
      <c r="BO2226" s="38"/>
      <c r="BP2226" s="38"/>
      <c r="BQ2226" s="38"/>
    </row>
    <row r="2227">
      <c r="A2227" s="16"/>
      <c r="B2227" s="16"/>
      <c r="C2227" s="146"/>
      <c r="D2227" s="146"/>
      <c r="E2227" s="16"/>
      <c r="F2227" s="91"/>
      <c r="G2227" s="16"/>
      <c r="H2227" s="320" t="str">
        <f t="shared" si="33"/>
        <v/>
      </c>
      <c r="I2227" s="16"/>
      <c r="J2227" s="16"/>
      <c r="K2227" s="16"/>
      <c r="L2227" s="16"/>
      <c r="M2227" s="15"/>
      <c r="N2227" s="15"/>
      <c r="O2227" s="16"/>
      <c r="P2227" s="16"/>
      <c r="Q2227" s="16"/>
      <c r="R2227" s="16"/>
      <c r="S2227" s="37" t="str">
        <f>IFERROR(__xludf.DUMMYFUNCTION("if(not(iserror(index(split(C2227, "" ""),2))), index(split(C2227, "" ""),1),"""")"),"")</f>
        <v/>
      </c>
      <c r="T2227" s="315" t="str">
        <f>IFERROR(__xludf.DUMMYFUNCTION("if(S2227="""",C2227,if(not(iserror(index(split(C2227, "" ""),3))), index(split(C2227, "" ""),3),index(split(C2227, "" ""),2)))"),"")</f>
        <v/>
      </c>
      <c r="U2227" s="38" t="b">
        <f t="shared" si="34"/>
        <v>0</v>
      </c>
      <c r="V2227" s="38"/>
      <c r="W2227" s="40"/>
      <c r="X2227" s="40"/>
      <c r="Y2227" s="38"/>
      <c r="Z2227" s="38"/>
      <c r="AA2227" s="38"/>
      <c r="AB2227" s="38"/>
      <c r="AC2227" s="38"/>
      <c r="AD2227" s="38"/>
      <c r="AE2227" s="38"/>
      <c r="AF2227" s="38"/>
      <c r="AG2227" s="38"/>
      <c r="AH2227" s="38"/>
      <c r="AI2227" s="38"/>
      <c r="AJ2227" s="38"/>
      <c r="AK2227" s="38"/>
      <c r="AL2227" s="38"/>
      <c r="AM2227" s="38"/>
      <c r="AN2227" s="38"/>
      <c r="AO2227" s="38"/>
      <c r="AP2227" s="38"/>
      <c r="AQ2227" s="38"/>
      <c r="AR2227" s="38"/>
      <c r="AS2227" s="38"/>
      <c r="AT2227" s="38"/>
      <c r="AU2227" s="38"/>
      <c r="AV2227" s="38"/>
      <c r="AW2227" s="38"/>
      <c r="AX2227" s="38"/>
      <c r="AY2227" s="38"/>
      <c r="AZ2227" s="38"/>
      <c r="BA2227" s="38"/>
      <c r="BB2227" s="38"/>
      <c r="BC2227" s="38"/>
      <c r="BD2227" s="38"/>
      <c r="BE2227" s="38"/>
      <c r="BF2227" s="38"/>
      <c r="BG2227" s="38"/>
      <c r="BH2227" s="38"/>
      <c r="BI2227" s="38"/>
      <c r="BJ2227" s="38"/>
      <c r="BK2227" s="38"/>
      <c r="BL2227" s="38"/>
      <c r="BM2227" s="38"/>
      <c r="BN2227" s="38"/>
      <c r="BO2227" s="38"/>
      <c r="BP2227" s="38"/>
      <c r="BQ2227" s="38"/>
    </row>
    <row r="2228">
      <c r="A2228" s="16"/>
      <c r="B2228" s="16"/>
      <c r="C2228" s="146"/>
      <c r="D2228" s="146"/>
      <c r="E2228" s="16"/>
      <c r="F2228" s="91"/>
      <c r="G2228" s="16"/>
      <c r="H2228" s="320" t="str">
        <f t="shared" si="33"/>
        <v/>
      </c>
      <c r="I2228" s="16"/>
      <c r="J2228" s="16"/>
      <c r="K2228" s="16"/>
      <c r="L2228" s="16"/>
      <c r="M2228" s="15"/>
      <c r="N2228" s="15"/>
      <c r="O2228" s="16"/>
      <c r="P2228" s="16"/>
      <c r="Q2228" s="16"/>
      <c r="R2228" s="16"/>
      <c r="S2228" s="37" t="str">
        <f>IFERROR(__xludf.DUMMYFUNCTION("if(not(iserror(index(split(C2228, "" ""),2))), index(split(C2228, "" ""),1),"""")"),"")</f>
        <v/>
      </c>
      <c r="T2228" s="315" t="str">
        <f>IFERROR(__xludf.DUMMYFUNCTION("if(S2228="""",C2228,if(not(iserror(index(split(C2228, "" ""),3))), index(split(C2228, "" ""),3),index(split(C2228, "" ""),2)))"),"")</f>
        <v/>
      </c>
      <c r="U2228" s="38" t="b">
        <f t="shared" si="34"/>
        <v>0</v>
      </c>
      <c r="V2228" s="38"/>
      <c r="W2228" s="40"/>
      <c r="X2228" s="40"/>
      <c r="Y2228" s="38"/>
      <c r="Z2228" s="38"/>
      <c r="AA2228" s="38"/>
      <c r="AB2228" s="38"/>
      <c r="AC2228" s="38"/>
      <c r="AD2228" s="38"/>
      <c r="AE2228" s="38"/>
      <c r="AF2228" s="38"/>
      <c r="AG2228" s="38"/>
      <c r="AH2228" s="38"/>
      <c r="AI2228" s="38"/>
      <c r="AJ2228" s="38"/>
      <c r="AK2228" s="38"/>
      <c r="AL2228" s="38"/>
      <c r="AM2228" s="38"/>
      <c r="AN2228" s="38"/>
      <c r="AO2228" s="38"/>
      <c r="AP2228" s="38"/>
      <c r="AQ2228" s="38"/>
      <c r="AR2228" s="38"/>
      <c r="AS2228" s="38"/>
      <c r="AT2228" s="38"/>
      <c r="AU2228" s="38"/>
      <c r="AV2228" s="38"/>
      <c r="AW2228" s="38"/>
      <c r="AX2228" s="38"/>
      <c r="AY2228" s="38"/>
      <c r="AZ2228" s="38"/>
      <c r="BA2228" s="38"/>
      <c r="BB2228" s="38"/>
      <c r="BC2228" s="38"/>
      <c r="BD2228" s="38"/>
      <c r="BE2228" s="38"/>
      <c r="BF2228" s="38"/>
      <c r="BG2228" s="38"/>
      <c r="BH2228" s="38"/>
      <c r="BI2228" s="38"/>
      <c r="BJ2228" s="38"/>
      <c r="BK2228" s="38"/>
      <c r="BL2228" s="38"/>
      <c r="BM2228" s="38"/>
      <c r="BN2228" s="38"/>
      <c r="BO2228" s="38"/>
      <c r="BP2228" s="38"/>
      <c r="BQ2228" s="38"/>
    </row>
    <row r="2229">
      <c r="A2229" s="16"/>
      <c r="B2229" s="16"/>
      <c r="C2229" s="146"/>
      <c r="D2229" s="146"/>
      <c r="E2229" s="16"/>
      <c r="F2229" s="91"/>
      <c r="G2229" s="16"/>
      <c r="H2229" s="320" t="str">
        <f t="shared" si="33"/>
        <v/>
      </c>
      <c r="I2229" s="16"/>
      <c r="J2229" s="16"/>
      <c r="K2229" s="16"/>
      <c r="L2229" s="16"/>
      <c r="M2229" s="15"/>
      <c r="N2229" s="15"/>
      <c r="O2229" s="16"/>
      <c r="P2229" s="16"/>
      <c r="Q2229" s="16"/>
      <c r="R2229" s="16"/>
      <c r="S2229" s="37" t="str">
        <f>IFERROR(__xludf.DUMMYFUNCTION("if(not(iserror(index(split(C2229, "" ""),2))), index(split(C2229, "" ""),1),"""")"),"")</f>
        <v/>
      </c>
      <c r="T2229" s="315" t="str">
        <f>IFERROR(__xludf.DUMMYFUNCTION("if(S2229="""",C2229,if(not(iserror(index(split(C2229, "" ""),3))), index(split(C2229, "" ""),3),index(split(C2229, "" ""),2)))"),"")</f>
        <v/>
      </c>
      <c r="U2229" s="38" t="b">
        <f t="shared" si="34"/>
        <v>0</v>
      </c>
      <c r="V2229" s="38"/>
      <c r="W2229" s="40"/>
      <c r="X2229" s="40"/>
      <c r="Y2229" s="38"/>
      <c r="Z2229" s="38"/>
      <c r="AA2229" s="38"/>
      <c r="AB2229" s="38"/>
      <c r="AC2229" s="38"/>
      <c r="AD2229" s="38"/>
      <c r="AE2229" s="38"/>
      <c r="AF2229" s="38"/>
      <c r="AG2229" s="38"/>
      <c r="AH2229" s="38"/>
      <c r="AI2229" s="38"/>
      <c r="AJ2229" s="38"/>
      <c r="AK2229" s="38"/>
      <c r="AL2229" s="38"/>
      <c r="AM2229" s="38"/>
      <c r="AN2229" s="38"/>
      <c r="AO2229" s="38"/>
      <c r="AP2229" s="38"/>
      <c r="AQ2229" s="38"/>
      <c r="AR2229" s="38"/>
      <c r="AS2229" s="38"/>
      <c r="AT2229" s="38"/>
      <c r="AU2229" s="38"/>
      <c r="AV2229" s="38"/>
      <c r="AW2229" s="38"/>
      <c r="AX2229" s="38"/>
      <c r="AY2229" s="38"/>
      <c r="AZ2229" s="38"/>
      <c r="BA2229" s="38"/>
      <c r="BB2229" s="38"/>
      <c r="BC2229" s="38"/>
      <c r="BD2229" s="38"/>
      <c r="BE2229" s="38"/>
      <c r="BF2229" s="38"/>
      <c r="BG2229" s="38"/>
      <c r="BH2229" s="38"/>
      <c r="BI2229" s="38"/>
      <c r="BJ2229" s="38"/>
      <c r="BK2229" s="38"/>
      <c r="BL2229" s="38"/>
      <c r="BM2229" s="38"/>
      <c r="BN2229" s="38"/>
      <c r="BO2229" s="38"/>
      <c r="BP2229" s="38"/>
      <c r="BQ2229" s="38"/>
    </row>
    <row r="2230">
      <c r="A2230" s="16"/>
      <c r="B2230" s="16"/>
      <c r="C2230" s="146"/>
      <c r="D2230" s="146"/>
      <c r="E2230" s="16"/>
      <c r="F2230" s="91"/>
      <c r="G2230" s="16"/>
      <c r="H2230" s="320" t="str">
        <f t="shared" si="33"/>
        <v/>
      </c>
      <c r="I2230" s="16"/>
      <c r="J2230" s="16"/>
      <c r="K2230" s="16"/>
      <c r="L2230" s="16"/>
      <c r="M2230" s="15"/>
      <c r="N2230" s="15"/>
      <c r="O2230" s="16"/>
      <c r="P2230" s="16"/>
      <c r="Q2230" s="16"/>
      <c r="R2230" s="16"/>
      <c r="S2230" s="37" t="str">
        <f>IFERROR(__xludf.DUMMYFUNCTION("if(not(iserror(index(split(C2230, "" ""),2))), index(split(C2230, "" ""),1),"""")"),"")</f>
        <v/>
      </c>
      <c r="T2230" s="315" t="str">
        <f>IFERROR(__xludf.DUMMYFUNCTION("if(S2230="""",C2230,if(not(iserror(index(split(C2230, "" ""),3))), index(split(C2230, "" ""),3),index(split(C2230, "" ""),2)))"),"")</f>
        <v/>
      </c>
      <c r="U2230" s="38" t="b">
        <f t="shared" si="34"/>
        <v>0</v>
      </c>
      <c r="V2230" s="38"/>
      <c r="W2230" s="40"/>
      <c r="X2230" s="40"/>
      <c r="Y2230" s="38"/>
      <c r="Z2230" s="38"/>
      <c r="AA2230" s="38"/>
      <c r="AB2230" s="38"/>
      <c r="AC2230" s="38"/>
      <c r="AD2230" s="38"/>
      <c r="AE2230" s="38"/>
      <c r="AF2230" s="38"/>
      <c r="AG2230" s="38"/>
      <c r="AH2230" s="38"/>
      <c r="AI2230" s="38"/>
      <c r="AJ2230" s="38"/>
      <c r="AK2230" s="38"/>
      <c r="AL2230" s="38"/>
      <c r="AM2230" s="38"/>
      <c r="AN2230" s="38"/>
      <c r="AO2230" s="38"/>
      <c r="AP2230" s="38"/>
      <c r="AQ2230" s="38"/>
      <c r="AR2230" s="38"/>
      <c r="AS2230" s="38"/>
      <c r="AT2230" s="38"/>
      <c r="AU2230" s="38"/>
      <c r="AV2230" s="38"/>
      <c r="AW2230" s="38"/>
      <c r="AX2230" s="38"/>
      <c r="AY2230" s="38"/>
      <c r="AZ2230" s="38"/>
      <c r="BA2230" s="38"/>
      <c r="BB2230" s="38"/>
      <c r="BC2230" s="38"/>
      <c r="BD2230" s="38"/>
      <c r="BE2230" s="38"/>
      <c r="BF2230" s="38"/>
      <c r="BG2230" s="38"/>
      <c r="BH2230" s="38"/>
      <c r="BI2230" s="38"/>
      <c r="BJ2230" s="38"/>
      <c r="BK2230" s="38"/>
      <c r="BL2230" s="38"/>
      <c r="BM2230" s="38"/>
      <c r="BN2230" s="38"/>
      <c r="BO2230" s="38"/>
      <c r="BP2230" s="38"/>
      <c r="BQ2230" s="38"/>
    </row>
    <row r="2231">
      <c r="A2231" s="16"/>
      <c r="B2231" s="16"/>
      <c r="C2231" s="146"/>
      <c r="D2231" s="146"/>
      <c r="E2231" s="16"/>
      <c r="F2231" s="91"/>
      <c r="G2231" s="16"/>
      <c r="H2231" s="320" t="str">
        <f t="shared" si="33"/>
        <v/>
      </c>
      <c r="I2231" s="16"/>
      <c r="J2231" s="16"/>
      <c r="K2231" s="16"/>
      <c r="L2231" s="16"/>
      <c r="M2231" s="15"/>
      <c r="N2231" s="15"/>
      <c r="O2231" s="16"/>
      <c r="P2231" s="16"/>
      <c r="Q2231" s="16"/>
      <c r="R2231" s="16"/>
      <c r="S2231" s="37" t="str">
        <f>IFERROR(__xludf.DUMMYFUNCTION("if(not(iserror(index(split(C2231, "" ""),2))), index(split(C2231, "" ""),1),"""")"),"")</f>
        <v/>
      </c>
      <c r="T2231" s="315" t="str">
        <f>IFERROR(__xludf.DUMMYFUNCTION("if(S2231="""",C2231,if(not(iserror(index(split(C2231, "" ""),3))), index(split(C2231, "" ""),3),index(split(C2231, "" ""),2)))"),"")</f>
        <v/>
      </c>
      <c r="U2231" s="38" t="b">
        <f t="shared" si="34"/>
        <v>0</v>
      </c>
      <c r="V2231" s="38"/>
      <c r="W2231" s="40"/>
      <c r="X2231" s="40"/>
      <c r="Y2231" s="38"/>
      <c r="Z2231" s="38"/>
      <c r="AA2231" s="38"/>
      <c r="AB2231" s="38"/>
      <c r="AC2231" s="38"/>
      <c r="AD2231" s="38"/>
      <c r="AE2231" s="38"/>
      <c r="AF2231" s="38"/>
      <c r="AG2231" s="38"/>
      <c r="AH2231" s="38"/>
      <c r="AI2231" s="38"/>
      <c r="AJ2231" s="38"/>
      <c r="AK2231" s="38"/>
      <c r="AL2231" s="38"/>
      <c r="AM2231" s="38"/>
      <c r="AN2231" s="38"/>
      <c r="AO2231" s="38"/>
      <c r="AP2231" s="38"/>
      <c r="AQ2231" s="38"/>
      <c r="AR2231" s="38"/>
      <c r="AS2231" s="38"/>
      <c r="AT2231" s="38"/>
      <c r="AU2231" s="38"/>
      <c r="AV2231" s="38"/>
      <c r="AW2231" s="38"/>
      <c r="AX2231" s="38"/>
      <c r="AY2231" s="38"/>
      <c r="AZ2231" s="38"/>
      <c r="BA2231" s="38"/>
      <c r="BB2231" s="38"/>
      <c r="BC2231" s="38"/>
      <c r="BD2231" s="38"/>
      <c r="BE2231" s="38"/>
      <c r="BF2231" s="38"/>
      <c r="BG2231" s="38"/>
      <c r="BH2231" s="38"/>
      <c r="BI2231" s="38"/>
      <c r="BJ2231" s="38"/>
      <c r="BK2231" s="38"/>
      <c r="BL2231" s="38"/>
      <c r="BM2231" s="38"/>
      <c r="BN2231" s="38"/>
      <c r="BO2231" s="38"/>
      <c r="BP2231" s="38"/>
      <c r="BQ2231" s="38"/>
    </row>
    <row r="2232">
      <c r="A2232" s="16"/>
      <c r="B2232" s="16"/>
      <c r="C2232" s="146"/>
      <c r="D2232" s="146"/>
      <c r="E2232" s="16"/>
      <c r="F2232" s="91"/>
      <c r="G2232" s="16"/>
      <c r="H2232" s="320" t="str">
        <f t="shared" si="33"/>
        <v/>
      </c>
      <c r="I2232" s="16"/>
      <c r="J2232" s="16"/>
      <c r="K2232" s="16"/>
      <c r="L2232" s="16"/>
      <c r="M2232" s="15"/>
      <c r="N2232" s="15"/>
      <c r="O2232" s="16"/>
      <c r="P2232" s="16"/>
      <c r="Q2232" s="16"/>
      <c r="R2232" s="16"/>
      <c r="S2232" s="37" t="str">
        <f>IFERROR(__xludf.DUMMYFUNCTION("if(not(iserror(index(split(C2232, "" ""),2))), index(split(C2232, "" ""),1),"""")"),"")</f>
        <v/>
      </c>
      <c r="T2232" s="315" t="str">
        <f>IFERROR(__xludf.DUMMYFUNCTION("if(S2232="""",C2232,if(not(iserror(index(split(C2232, "" ""),3))), index(split(C2232, "" ""),3),index(split(C2232, "" ""),2)))"),"")</f>
        <v/>
      </c>
      <c r="U2232" s="38" t="b">
        <f t="shared" si="34"/>
        <v>0</v>
      </c>
      <c r="V2232" s="38"/>
      <c r="W2232" s="40"/>
      <c r="X2232" s="40"/>
      <c r="Y2232" s="38"/>
      <c r="Z2232" s="38"/>
      <c r="AA2232" s="38"/>
      <c r="AB2232" s="38"/>
      <c r="AC2232" s="38"/>
      <c r="AD2232" s="38"/>
      <c r="AE2232" s="38"/>
      <c r="AF2232" s="38"/>
      <c r="AG2232" s="38"/>
      <c r="AH2232" s="38"/>
      <c r="AI2232" s="38"/>
      <c r="AJ2232" s="38"/>
      <c r="AK2232" s="38"/>
      <c r="AL2232" s="38"/>
      <c r="AM2232" s="38"/>
      <c r="AN2232" s="38"/>
      <c r="AO2232" s="38"/>
      <c r="AP2232" s="38"/>
      <c r="AQ2232" s="38"/>
      <c r="AR2232" s="38"/>
      <c r="AS2232" s="38"/>
      <c r="AT2232" s="38"/>
      <c r="AU2232" s="38"/>
      <c r="AV2232" s="38"/>
      <c r="AW2232" s="38"/>
      <c r="AX2232" s="38"/>
      <c r="AY2232" s="38"/>
      <c r="AZ2232" s="38"/>
      <c r="BA2232" s="38"/>
      <c r="BB2232" s="38"/>
      <c r="BC2232" s="38"/>
      <c r="BD2232" s="38"/>
      <c r="BE2232" s="38"/>
      <c r="BF2232" s="38"/>
      <c r="BG2232" s="38"/>
      <c r="BH2232" s="38"/>
      <c r="BI2232" s="38"/>
      <c r="BJ2232" s="38"/>
      <c r="BK2232" s="38"/>
      <c r="BL2232" s="38"/>
      <c r="BM2232" s="38"/>
      <c r="BN2232" s="38"/>
      <c r="BO2232" s="38"/>
      <c r="BP2232" s="38"/>
      <c r="BQ2232" s="38"/>
    </row>
    <row r="2233">
      <c r="A2233" s="16"/>
      <c r="B2233" s="16"/>
      <c r="C2233" s="146"/>
      <c r="D2233" s="146"/>
      <c r="E2233" s="16"/>
      <c r="F2233" s="91"/>
      <c r="G2233" s="16"/>
      <c r="H2233" s="320" t="str">
        <f t="shared" si="33"/>
        <v/>
      </c>
      <c r="I2233" s="16"/>
      <c r="J2233" s="16"/>
      <c r="K2233" s="16"/>
      <c r="L2233" s="16"/>
      <c r="M2233" s="15"/>
      <c r="N2233" s="15"/>
      <c r="O2233" s="16"/>
      <c r="P2233" s="16"/>
      <c r="Q2233" s="16"/>
      <c r="R2233" s="16"/>
      <c r="S2233" s="37" t="str">
        <f>IFERROR(__xludf.DUMMYFUNCTION("if(not(iserror(index(split(C2233, "" ""),2))), index(split(C2233, "" ""),1),"""")"),"")</f>
        <v/>
      </c>
      <c r="T2233" s="315" t="str">
        <f>IFERROR(__xludf.DUMMYFUNCTION("if(S2233="""",C2233,if(not(iserror(index(split(C2233, "" ""),3))), index(split(C2233, "" ""),3),index(split(C2233, "" ""),2)))"),"")</f>
        <v/>
      </c>
      <c r="U2233" s="38" t="b">
        <f t="shared" si="34"/>
        <v>0</v>
      </c>
      <c r="V2233" s="38"/>
      <c r="W2233" s="40"/>
      <c r="X2233" s="40"/>
      <c r="Y2233" s="38"/>
      <c r="Z2233" s="38"/>
      <c r="AA2233" s="38"/>
      <c r="AB2233" s="38"/>
      <c r="AC2233" s="38"/>
      <c r="AD2233" s="38"/>
      <c r="AE2233" s="38"/>
      <c r="AF2233" s="38"/>
      <c r="AG2233" s="38"/>
      <c r="AH2233" s="38"/>
      <c r="AI2233" s="38"/>
      <c r="AJ2233" s="38"/>
      <c r="AK2233" s="38"/>
      <c r="AL2233" s="38"/>
      <c r="AM2233" s="38"/>
      <c r="AN2233" s="38"/>
      <c r="AO2233" s="38"/>
      <c r="AP2233" s="38"/>
      <c r="AQ2233" s="38"/>
      <c r="AR2233" s="38"/>
      <c r="AS2233" s="38"/>
      <c r="AT2233" s="38"/>
      <c r="AU2233" s="38"/>
      <c r="AV2233" s="38"/>
      <c r="AW2233" s="38"/>
      <c r="AX2233" s="38"/>
      <c r="AY2233" s="38"/>
      <c r="AZ2233" s="38"/>
      <c r="BA2233" s="38"/>
      <c r="BB2233" s="38"/>
      <c r="BC2233" s="38"/>
      <c r="BD2233" s="38"/>
      <c r="BE2233" s="38"/>
      <c r="BF2233" s="38"/>
      <c r="BG2233" s="38"/>
      <c r="BH2233" s="38"/>
      <c r="BI2233" s="38"/>
      <c r="BJ2233" s="38"/>
      <c r="BK2233" s="38"/>
      <c r="BL2233" s="38"/>
      <c r="BM2233" s="38"/>
      <c r="BN2233" s="38"/>
      <c r="BO2233" s="38"/>
      <c r="BP2233" s="38"/>
      <c r="BQ2233" s="38"/>
    </row>
    <row r="2234">
      <c r="A2234" s="16"/>
      <c r="B2234" s="16"/>
      <c r="C2234" s="146"/>
      <c r="D2234" s="146"/>
      <c r="E2234" s="16"/>
      <c r="F2234" s="91"/>
      <c r="G2234" s="16"/>
      <c r="H2234" s="320" t="str">
        <f t="shared" si="33"/>
        <v/>
      </c>
      <c r="I2234" s="16"/>
      <c r="J2234" s="16"/>
      <c r="K2234" s="16"/>
      <c r="L2234" s="16"/>
      <c r="M2234" s="15"/>
      <c r="N2234" s="15"/>
      <c r="O2234" s="16"/>
      <c r="P2234" s="16"/>
      <c r="Q2234" s="16"/>
      <c r="R2234" s="16"/>
      <c r="S2234" s="37" t="str">
        <f>IFERROR(__xludf.DUMMYFUNCTION("if(not(iserror(index(split(C2234, "" ""),2))), index(split(C2234, "" ""),1),"""")"),"")</f>
        <v/>
      </c>
      <c r="T2234" s="315" t="str">
        <f>IFERROR(__xludf.DUMMYFUNCTION("if(S2234="""",C2234,if(not(iserror(index(split(C2234, "" ""),3))), index(split(C2234, "" ""),3),index(split(C2234, "" ""),2)))"),"")</f>
        <v/>
      </c>
      <c r="U2234" s="38" t="b">
        <f t="shared" si="34"/>
        <v>0</v>
      </c>
      <c r="V2234" s="38"/>
      <c r="W2234" s="40"/>
      <c r="X2234" s="40"/>
      <c r="Y2234" s="38"/>
      <c r="Z2234" s="38"/>
      <c r="AA2234" s="38"/>
      <c r="AB2234" s="38"/>
      <c r="AC2234" s="38"/>
      <c r="AD2234" s="38"/>
      <c r="AE2234" s="38"/>
      <c r="AF2234" s="38"/>
      <c r="AG2234" s="38"/>
      <c r="AH2234" s="38"/>
      <c r="AI2234" s="38"/>
      <c r="AJ2234" s="38"/>
      <c r="AK2234" s="38"/>
      <c r="AL2234" s="38"/>
      <c r="AM2234" s="38"/>
      <c r="AN2234" s="38"/>
      <c r="AO2234" s="38"/>
      <c r="AP2234" s="38"/>
      <c r="AQ2234" s="38"/>
      <c r="AR2234" s="38"/>
      <c r="AS2234" s="38"/>
      <c r="AT2234" s="38"/>
      <c r="AU2234" s="38"/>
      <c r="AV2234" s="38"/>
      <c r="AW2234" s="38"/>
      <c r="AX2234" s="38"/>
      <c r="AY2234" s="38"/>
      <c r="AZ2234" s="38"/>
      <c r="BA2234" s="38"/>
      <c r="BB2234" s="38"/>
      <c r="BC2234" s="38"/>
      <c r="BD2234" s="38"/>
      <c r="BE2234" s="38"/>
      <c r="BF2234" s="38"/>
      <c r="BG2234" s="38"/>
      <c r="BH2234" s="38"/>
      <c r="BI2234" s="38"/>
      <c r="BJ2234" s="38"/>
      <c r="BK2234" s="38"/>
      <c r="BL2234" s="38"/>
      <c r="BM2234" s="38"/>
      <c r="BN2234" s="38"/>
      <c r="BO2234" s="38"/>
      <c r="BP2234" s="38"/>
      <c r="BQ2234" s="38"/>
    </row>
    <row r="2235">
      <c r="A2235" s="16"/>
      <c r="B2235" s="16"/>
      <c r="C2235" s="146"/>
      <c r="D2235" s="146"/>
      <c r="E2235" s="16"/>
      <c r="F2235" s="91"/>
      <c r="G2235" s="16"/>
      <c r="H2235" s="320" t="str">
        <f t="shared" si="33"/>
        <v/>
      </c>
      <c r="I2235" s="16"/>
      <c r="J2235" s="16"/>
      <c r="K2235" s="16"/>
      <c r="L2235" s="16"/>
      <c r="M2235" s="15"/>
      <c r="N2235" s="15"/>
      <c r="O2235" s="16"/>
      <c r="P2235" s="16"/>
      <c r="Q2235" s="16"/>
      <c r="R2235" s="16"/>
      <c r="S2235" s="37" t="str">
        <f>IFERROR(__xludf.DUMMYFUNCTION("if(not(iserror(index(split(C2235, "" ""),2))), index(split(C2235, "" ""),1),"""")"),"")</f>
        <v/>
      </c>
      <c r="T2235" s="315" t="str">
        <f>IFERROR(__xludf.DUMMYFUNCTION("if(S2235="""",C2235,if(not(iserror(index(split(C2235, "" ""),3))), index(split(C2235, "" ""),3),index(split(C2235, "" ""),2)))"),"")</f>
        <v/>
      </c>
      <c r="U2235" s="38" t="b">
        <f t="shared" si="34"/>
        <v>0</v>
      </c>
      <c r="V2235" s="38"/>
      <c r="W2235" s="40"/>
      <c r="X2235" s="40"/>
      <c r="Y2235" s="38"/>
      <c r="Z2235" s="38"/>
      <c r="AA2235" s="38"/>
      <c r="AB2235" s="38"/>
      <c r="AC2235" s="38"/>
      <c r="AD2235" s="38"/>
      <c r="AE2235" s="38"/>
      <c r="AF2235" s="38"/>
      <c r="AG2235" s="38"/>
      <c r="AH2235" s="38"/>
      <c r="AI2235" s="38"/>
      <c r="AJ2235" s="38"/>
      <c r="AK2235" s="38"/>
      <c r="AL2235" s="38"/>
      <c r="AM2235" s="38"/>
      <c r="AN2235" s="38"/>
      <c r="AO2235" s="38"/>
      <c r="AP2235" s="38"/>
      <c r="AQ2235" s="38"/>
      <c r="AR2235" s="38"/>
      <c r="AS2235" s="38"/>
      <c r="AT2235" s="38"/>
      <c r="AU2235" s="38"/>
      <c r="AV2235" s="38"/>
      <c r="AW2235" s="38"/>
      <c r="AX2235" s="38"/>
      <c r="AY2235" s="38"/>
      <c r="AZ2235" s="38"/>
      <c r="BA2235" s="38"/>
      <c r="BB2235" s="38"/>
      <c r="BC2235" s="38"/>
      <c r="BD2235" s="38"/>
      <c r="BE2235" s="38"/>
      <c r="BF2235" s="38"/>
      <c r="BG2235" s="38"/>
      <c r="BH2235" s="38"/>
      <c r="BI2235" s="38"/>
      <c r="BJ2235" s="38"/>
      <c r="BK2235" s="38"/>
      <c r="BL2235" s="38"/>
      <c r="BM2235" s="38"/>
      <c r="BN2235" s="38"/>
      <c r="BO2235" s="38"/>
      <c r="BP2235" s="38"/>
      <c r="BQ2235" s="38"/>
    </row>
    <row r="2236">
      <c r="A2236" s="16"/>
      <c r="B2236" s="16"/>
      <c r="C2236" s="146"/>
      <c r="D2236" s="146"/>
      <c r="E2236" s="16"/>
      <c r="F2236" s="91"/>
      <c r="G2236" s="16"/>
      <c r="H2236" s="320" t="str">
        <f t="shared" si="33"/>
        <v/>
      </c>
      <c r="I2236" s="16"/>
      <c r="J2236" s="16"/>
      <c r="K2236" s="16"/>
      <c r="L2236" s="16"/>
      <c r="M2236" s="15"/>
      <c r="N2236" s="15"/>
      <c r="O2236" s="16"/>
      <c r="P2236" s="16"/>
      <c r="Q2236" s="16"/>
      <c r="R2236" s="16"/>
      <c r="S2236" s="37" t="str">
        <f>IFERROR(__xludf.DUMMYFUNCTION("if(not(iserror(index(split(C2236, "" ""),2))), index(split(C2236, "" ""),1),"""")"),"")</f>
        <v/>
      </c>
      <c r="T2236" s="315" t="str">
        <f>IFERROR(__xludf.DUMMYFUNCTION("if(S2236="""",C2236,if(not(iserror(index(split(C2236, "" ""),3))), index(split(C2236, "" ""),3),index(split(C2236, "" ""),2)))"),"")</f>
        <v/>
      </c>
      <c r="U2236" s="38" t="b">
        <f t="shared" si="34"/>
        <v>0</v>
      </c>
      <c r="V2236" s="38"/>
      <c r="W2236" s="40"/>
      <c r="X2236" s="40"/>
      <c r="Y2236" s="38"/>
      <c r="Z2236" s="38"/>
      <c r="AA2236" s="38"/>
      <c r="AB2236" s="38"/>
      <c r="AC2236" s="38"/>
      <c r="AD2236" s="38"/>
      <c r="AE2236" s="38"/>
      <c r="AF2236" s="38"/>
      <c r="AG2236" s="38"/>
      <c r="AH2236" s="38"/>
      <c r="AI2236" s="38"/>
      <c r="AJ2236" s="38"/>
      <c r="AK2236" s="38"/>
      <c r="AL2236" s="38"/>
      <c r="AM2236" s="38"/>
      <c r="AN2236" s="38"/>
      <c r="AO2236" s="38"/>
      <c r="AP2236" s="38"/>
      <c r="AQ2236" s="38"/>
      <c r="AR2236" s="38"/>
      <c r="AS2236" s="38"/>
      <c r="AT2236" s="38"/>
      <c r="AU2236" s="38"/>
      <c r="AV2236" s="38"/>
      <c r="AW2236" s="38"/>
      <c r="AX2236" s="38"/>
      <c r="AY2236" s="38"/>
      <c r="AZ2236" s="38"/>
      <c r="BA2236" s="38"/>
      <c r="BB2236" s="38"/>
      <c r="BC2236" s="38"/>
      <c r="BD2236" s="38"/>
      <c r="BE2236" s="38"/>
      <c r="BF2236" s="38"/>
      <c r="BG2236" s="38"/>
      <c r="BH2236" s="38"/>
      <c r="BI2236" s="38"/>
      <c r="BJ2236" s="38"/>
      <c r="BK2236" s="38"/>
      <c r="BL2236" s="38"/>
      <c r="BM2236" s="38"/>
      <c r="BN2236" s="38"/>
      <c r="BO2236" s="38"/>
      <c r="BP2236" s="38"/>
      <c r="BQ2236" s="38"/>
    </row>
    <row r="2237">
      <c r="A2237" s="16"/>
      <c r="B2237" s="16"/>
      <c r="C2237" s="146"/>
      <c r="D2237" s="146"/>
      <c r="E2237" s="16"/>
      <c r="F2237" s="91"/>
      <c r="G2237" s="16"/>
      <c r="H2237" s="320" t="str">
        <f t="shared" si="33"/>
        <v/>
      </c>
      <c r="I2237" s="16"/>
      <c r="J2237" s="16"/>
      <c r="K2237" s="16"/>
      <c r="L2237" s="16"/>
      <c r="M2237" s="15"/>
      <c r="N2237" s="15"/>
      <c r="O2237" s="16"/>
      <c r="P2237" s="16"/>
      <c r="Q2237" s="16"/>
      <c r="R2237" s="16"/>
      <c r="S2237" s="37" t="str">
        <f>IFERROR(__xludf.DUMMYFUNCTION("if(not(iserror(index(split(C2237, "" ""),2))), index(split(C2237, "" ""),1),"""")"),"")</f>
        <v/>
      </c>
      <c r="T2237" s="315" t="str">
        <f>IFERROR(__xludf.DUMMYFUNCTION("if(S2237="""",C2237,if(not(iserror(index(split(C2237, "" ""),3))), index(split(C2237, "" ""),3),index(split(C2237, "" ""),2)))"),"")</f>
        <v/>
      </c>
      <c r="U2237" s="38" t="b">
        <f t="shared" si="34"/>
        <v>0</v>
      </c>
      <c r="V2237" s="38"/>
      <c r="W2237" s="40"/>
      <c r="X2237" s="40"/>
      <c r="Y2237" s="38"/>
      <c r="Z2237" s="38"/>
      <c r="AA2237" s="38"/>
      <c r="AB2237" s="38"/>
      <c r="AC2237" s="38"/>
      <c r="AD2237" s="38"/>
      <c r="AE2237" s="38"/>
      <c r="AF2237" s="38"/>
      <c r="AG2237" s="38"/>
      <c r="AH2237" s="38"/>
      <c r="AI2237" s="38"/>
      <c r="AJ2237" s="38"/>
      <c r="AK2237" s="38"/>
      <c r="AL2237" s="38"/>
      <c r="AM2237" s="38"/>
      <c r="AN2237" s="38"/>
      <c r="AO2237" s="38"/>
      <c r="AP2237" s="38"/>
      <c r="AQ2237" s="38"/>
      <c r="AR2237" s="38"/>
      <c r="AS2237" s="38"/>
      <c r="AT2237" s="38"/>
      <c r="AU2237" s="38"/>
      <c r="AV2237" s="38"/>
      <c r="AW2237" s="38"/>
      <c r="AX2237" s="38"/>
      <c r="AY2237" s="38"/>
      <c r="AZ2237" s="38"/>
      <c r="BA2237" s="38"/>
      <c r="BB2237" s="38"/>
      <c r="BC2237" s="38"/>
      <c r="BD2237" s="38"/>
      <c r="BE2237" s="38"/>
      <c r="BF2237" s="38"/>
      <c r="BG2237" s="38"/>
      <c r="BH2237" s="38"/>
      <c r="BI2237" s="38"/>
      <c r="BJ2237" s="38"/>
      <c r="BK2237" s="38"/>
      <c r="BL2237" s="38"/>
      <c r="BM2237" s="38"/>
      <c r="BN2237" s="38"/>
      <c r="BO2237" s="38"/>
      <c r="BP2237" s="38"/>
      <c r="BQ2237" s="38"/>
    </row>
    <row r="2238">
      <c r="A2238" s="16"/>
      <c r="B2238" s="16"/>
      <c r="C2238" s="146"/>
      <c r="D2238" s="146"/>
      <c r="E2238" s="16"/>
      <c r="F2238" s="91"/>
      <c r="G2238" s="16"/>
      <c r="H2238" s="320" t="str">
        <f t="shared" si="33"/>
        <v/>
      </c>
      <c r="I2238" s="16"/>
      <c r="J2238" s="16"/>
      <c r="K2238" s="16"/>
      <c r="L2238" s="16"/>
      <c r="M2238" s="15"/>
      <c r="N2238" s="15"/>
      <c r="O2238" s="16"/>
      <c r="P2238" s="16"/>
      <c r="Q2238" s="16"/>
      <c r="R2238" s="16"/>
      <c r="S2238" s="37" t="str">
        <f>IFERROR(__xludf.DUMMYFUNCTION("if(not(iserror(index(split(C2238, "" ""),2))), index(split(C2238, "" ""),1),"""")"),"")</f>
        <v/>
      </c>
      <c r="T2238" s="315" t="str">
        <f>IFERROR(__xludf.DUMMYFUNCTION("if(S2238="""",C2238,if(not(iserror(index(split(C2238, "" ""),3))), index(split(C2238, "" ""),3),index(split(C2238, "" ""),2)))"),"")</f>
        <v/>
      </c>
      <c r="U2238" s="38" t="b">
        <f t="shared" si="34"/>
        <v>0</v>
      </c>
      <c r="V2238" s="38"/>
      <c r="W2238" s="40"/>
      <c r="X2238" s="40"/>
      <c r="Y2238" s="38"/>
      <c r="Z2238" s="38"/>
      <c r="AA2238" s="38"/>
      <c r="AB2238" s="38"/>
      <c r="AC2238" s="38"/>
      <c r="AD2238" s="38"/>
      <c r="AE2238" s="38"/>
      <c r="AF2238" s="38"/>
      <c r="AG2238" s="38"/>
      <c r="AH2238" s="38"/>
      <c r="AI2238" s="38"/>
      <c r="AJ2238" s="38"/>
      <c r="AK2238" s="38"/>
      <c r="AL2238" s="38"/>
      <c r="AM2238" s="38"/>
      <c r="AN2238" s="38"/>
      <c r="AO2238" s="38"/>
      <c r="AP2238" s="38"/>
      <c r="AQ2238" s="38"/>
      <c r="AR2238" s="38"/>
      <c r="AS2238" s="38"/>
      <c r="AT2238" s="38"/>
      <c r="AU2238" s="38"/>
      <c r="AV2238" s="38"/>
      <c r="AW2238" s="38"/>
      <c r="AX2238" s="38"/>
      <c r="AY2238" s="38"/>
      <c r="AZ2238" s="38"/>
      <c r="BA2238" s="38"/>
      <c r="BB2238" s="38"/>
      <c r="BC2238" s="38"/>
      <c r="BD2238" s="38"/>
      <c r="BE2238" s="38"/>
      <c r="BF2238" s="38"/>
      <c r="BG2238" s="38"/>
      <c r="BH2238" s="38"/>
      <c r="BI2238" s="38"/>
      <c r="BJ2238" s="38"/>
      <c r="BK2238" s="38"/>
      <c r="BL2238" s="38"/>
      <c r="BM2238" s="38"/>
      <c r="BN2238" s="38"/>
      <c r="BO2238" s="38"/>
      <c r="BP2238" s="38"/>
      <c r="BQ2238" s="38"/>
    </row>
    <row r="2239">
      <c r="A2239" s="16"/>
      <c r="B2239" s="16"/>
      <c r="C2239" s="146"/>
      <c r="D2239" s="146"/>
      <c r="E2239" s="16"/>
      <c r="F2239" s="91"/>
      <c r="G2239" s="16"/>
      <c r="H2239" s="320" t="str">
        <f t="shared" si="33"/>
        <v/>
      </c>
      <c r="I2239" s="16"/>
      <c r="J2239" s="16"/>
      <c r="K2239" s="16"/>
      <c r="L2239" s="16"/>
      <c r="M2239" s="15"/>
      <c r="N2239" s="15"/>
      <c r="O2239" s="16"/>
      <c r="P2239" s="16"/>
      <c r="Q2239" s="16"/>
      <c r="R2239" s="16"/>
      <c r="S2239" s="37" t="str">
        <f>IFERROR(__xludf.DUMMYFUNCTION("if(not(iserror(index(split(C2239, "" ""),2))), index(split(C2239, "" ""),1),"""")"),"")</f>
        <v/>
      </c>
      <c r="T2239" s="315" t="str">
        <f>IFERROR(__xludf.DUMMYFUNCTION("if(S2239="""",C2239,if(not(iserror(index(split(C2239, "" ""),3))), index(split(C2239, "" ""),3),index(split(C2239, "" ""),2)))"),"")</f>
        <v/>
      </c>
      <c r="U2239" s="38" t="b">
        <f t="shared" si="34"/>
        <v>0</v>
      </c>
      <c r="V2239" s="38"/>
      <c r="W2239" s="40"/>
      <c r="X2239" s="40"/>
      <c r="Y2239" s="38"/>
      <c r="Z2239" s="38"/>
      <c r="AA2239" s="38"/>
      <c r="AB2239" s="38"/>
      <c r="AC2239" s="38"/>
      <c r="AD2239" s="38"/>
      <c r="AE2239" s="38"/>
      <c r="AF2239" s="38"/>
      <c r="AG2239" s="38"/>
      <c r="AH2239" s="38"/>
      <c r="AI2239" s="38"/>
      <c r="AJ2239" s="38"/>
      <c r="AK2239" s="38"/>
      <c r="AL2239" s="38"/>
      <c r="AM2239" s="38"/>
      <c r="AN2239" s="38"/>
      <c r="AO2239" s="38"/>
      <c r="AP2239" s="38"/>
      <c r="AQ2239" s="38"/>
      <c r="AR2239" s="38"/>
      <c r="AS2239" s="38"/>
      <c r="AT2239" s="38"/>
      <c r="AU2239" s="38"/>
      <c r="AV2239" s="38"/>
      <c r="AW2239" s="38"/>
      <c r="AX2239" s="38"/>
      <c r="AY2239" s="38"/>
      <c r="AZ2239" s="38"/>
      <c r="BA2239" s="38"/>
      <c r="BB2239" s="38"/>
      <c r="BC2239" s="38"/>
      <c r="BD2239" s="38"/>
      <c r="BE2239" s="38"/>
      <c r="BF2239" s="38"/>
      <c r="BG2239" s="38"/>
      <c r="BH2239" s="38"/>
      <c r="BI2239" s="38"/>
      <c r="BJ2239" s="38"/>
      <c r="BK2239" s="38"/>
      <c r="BL2239" s="38"/>
      <c r="BM2239" s="38"/>
      <c r="BN2239" s="38"/>
      <c r="BO2239" s="38"/>
      <c r="BP2239" s="38"/>
      <c r="BQ2239" s="38"/>
    </row>
    <row r="2240">
      <c r="A2240" s="16"/>
      <c r="B2240" s="16"/>
      <c r="C2240" s="146"/>
      <c r="D2240" s="146"/>
      <c r="E2240" s="16"/>
      <c r="F2240" s="91"/>
      <c r="G2240" s="16"/>
      <c r="H2240" s="320" t="str">
        <f t="shared" si="33"/>
        <v/>
      </c>
      <c r="I2240" s="16"/>
      <c r="J2240" s="16"/>
      <c r="K2240" s="16"/>
      <c r="L2240" s="16"/>
      <c r="M2240" s="15"/>
      <c r="N2240" s="15"/>
      <c r="O2240" s="16"/>
      <c r="P2240" s="16"/>
      <c r="Q2240" s="16"/>
      <c r="R2240" s="16"/>
      <c r="S2240" s="37" t="str">
        <f>IFERROR(__xludf.DUMMYFUNCTION("if(not(iserror(index(split(C2240, "" ""),2))), index(split(C2240, "" ""),1),"""")"),"")</f>
        <v/>
      </c>
      <c r="T2240" s="315" t="str">
        <f>IFERROR(__xludf.DUMMYFUNCTION("if(S2240="""",C2240,if(not(iserror(index(split(C2240, "" ""),3))), index(split(C2240, "" ""),3),index(split(C2240, "" ""),2)))"),"")</f>
        <v/>
      </c>
      <c r="U2240" s="38" t="b">
        <f t="shared" si="34"/>
        <v>0</v>
      </c>
      <c r="V2240" s="38"/>
      <c r="W2240" s="40"/>
      <c r="X2240" s="40"/>
      <c r="Y2240" s="38"/>
      <c r="Z2240" s="38"/>
      <c r="AA2240" s="38"/>
      <c r="AB2240" s="38"/>
      <c r="AC2240" s="38"/>
      <c r="AD2240" s="38"/>
      <c r="AE2240" s="38"/>
      <c r="AF2240" s="38"/>
      <c r="AG2240" s="38"/>
      <c r="AH2240" s="38"/>
      <c r="AI2240" s="38"/>
      <c r="AJ2240" s="38"/>
      <c r="AK2240" s="38"/>
      <c r="AL2240" s="38"/>
      <c r="AM2240" s="38"/>
      <c r="AN2240" s="38"/>
      <c r="AO2240" s="38"/>
      <c r="AP2240" s="38"/>
      <c r="AQ2240" s="38"/>
      <c r="AR2240" s="38"/>
      <c r="AS2240" s="38"/>
      <c r="AT2240" s="38"/>
      <c r="AU2240" s="38"/>
      <c r="AV2240" s="38"/>
      <c r="AW2240" s="38"/>
      <c r="AX2240" s="38"/>
      <c r="AY2240" s="38"/>
      <c r="AZ2240" s="38"/>
      <c r="BA2240" s="38"/>
      <c r="BB2240" s="38"/>
      <c r="BC2240" s="38"/>
      <c r="BD2240" s="38"/>
      <c r="BE2240" s="38"/>
      <c r="BF2240" s="38"/>
      <c r="BG2240" s="38"/>
      <c r="BH2240" s="38"/>
      <c r="BI2240" s="38"/>
      <c r="BJ2240" s="38"/>
      <c r="BK2240" s="38"/>
      <c r="BL2240" s="38"/>
      <c r="BM2240" s="38"/>
      <c r="BN2240" s="38"/>
      <c r="BO2240" s="38"/>
      <c r="BP2240" s="38"/>
      <c r="BQ2240" s="38"/>
    </row>
    <row r="2241">
      <c r="A2241" s="16"/>
      <c r="B2241" s="16"/>
      <c r="C2241" s="146"/>
      <c r="D2241" s="146"/>
      <c r="E2241" s="16"/>
      <c r="F2241" s="91"/>
      <c r="G2241" s="16"/>
      <c r="H2241" s="320" t="str">
        <f t="shared" si="33"/>
        <v/>
      </c>
      <c r="I2241" s="16"/>
      <c r="J2241" s="16"/>
      <c r="K2241" s="16"/>
      <c r="L2241" s="16"/>
      <c r="M2241" s="15"/>
      <c r="N2241" s="15"/>
      <c r="O2241" s="16"/>
      <c r="P2241" s="16"/>
      <c r="Q2241" s="16"/>
      <c r="R2241" s="16"/>
      <c r="S2241" s="37" t="str">
        <f>IFERROR(__xludf.DUMMYFUNCTION("if(not(iserror(index(split(C2241, "" ""),2))), index(split(C2241, "" ""),1),"""")"),"")</f>
        <v/>
      </c>
      <c r="T2241" s="315" t="str">
        <f>IFERROR(__xludf.DUMMYFUNCTION("if(S2241="""",C2241,if(not(iserror(index(split(C2241, "" ""),3))), index(split(C2241, "" ""),3),index(split(C2241, "" ""),2)))"),"")</f>
        <v/>
      </c>
      <c r="U2241" s="38" t="b">
        <f t="shared" si="34"/>
        <v>0</v>
      </c>
      <c r="V2241" s="38"/>
      <c r="W2241" s="40"/>
      <c r="X2241" s="40"/>
      <c r="Y2241" s="38"/>
      <c r="Z2241" s="38"/>
      <c r="AA2241" s="38"/>
      <c r="AB2241" s="38"/>
      <c r="AC2241" s="38"/>
      <c r="AD2241" s="38"/>
      <c r="AE2241" s="38"/>
      <c r="AF2241" s="38"/>
      <c r="AG2241" s="38"/>
      <c r="AH2241" s="38"/>
      <c r="AI2241" s="38"/>
      <c r="AJ2241" s="38"/>
      <c r="AK2241" s="38"/>
      <c r="AL2241" s="38"/>
      <c r="AM2241" s="38"/>
      <c r="AN2241" s="38"/>
      <c r="AO2241" s="38"/>
      <c r="AP2241" s="38"/>
      <c r="AQ2241" s="38"/>
      <c r="AR2241" s="38"/>
      <c r="AS2241" s="38"/>
      <c r="AT2241" s="38"/>
      <c r="AU2241" s="38"/>
      <c r="AV2241" s="38"/>
      <c r="AW2241" s="38"/>
      <c r="AX2241" s="38"/>
      <c r="AY2241" s="38"/>
      <c r="AZ2241" s="38"/>
      <c r="BA2241" s="38"/>
      <c r="BB2241" s="38"/>
      <c r="BC2241" s="38"/>
      <c r="BD2241" s="38"/>
      <c r="BE2241" s="38"/>
      <c r="BF2241" s="38"/>
      <c r="BG2241" s="38"/>
      <c r="BH2241" s="38"/>
      <c r="BI2241" s="38"/>
      <c r="BJ2241" s="38"/>
      <c r="BK2241" s="38"/>
      <c r="BL2241" s="38"/>
      <c r="BM2241" s="38"/>
      <c r="BN2241" s="38"/>
      <c r="BO2241" s="38"/>
      <c r="BP2241" s="38"/>
      <c r="BQ2241" s="38"/>
    </row>
    <row r="2242">
      <c r="A2242" s="16"/>
      <c r="B2242" s="16"/>
      <c r="C2242" s="146"/>
      <c r="D2242" s="146"/>
      <c r="E2242" s="16"/>
      <c r="F2242" s="91"/>
      <c r="G2242" s="16"/>
      <c r="H2242" s="320" t="str">
        <f t="shared" si="33"/>
        <v/>
      </c>
      <c r="I2242" s="16"/>
      <c r="J2242" s="16"/>
      <c r="K2242" s="16"/>
      <c r="L2242" s="16"/>
      <c r="M2242" s="15"/>
      <c r="N2242" s="15"/>
      <c r="O2242" s="16"/>
      <c r="P2242" s="16"/>
      <c r="Q2242" s="16"/>
      <c r="R2242" s="16"/>
      <c r="S2242" s="37" t="str">
        <f>IFERROR(__xludf.DUMMYFUNCTION("if(not(iserror(index(split(C2242, "" ""),2))), index(split(C2242, "" ""),1),"""")"),"")</f>
        <v/>
      </c>
      <c r="T2242" s="315" t="str">
        <f>IFERROR(__xludf.DUMMYFUNCTION("if(S2242="""",C2242,if(not(iserror(index(split(C2242, "" ""),3))), index(split(C2242, "" ""),3),index(split(C2242, "" ""),2)))"),"")</f>
        <v/>
      </c>
      <c r="U2242" s="38" t="b">
        <f t="shared" si="34"/>
        <v>0</v>
      </c>
      <c r="V2242" s="38"/>
      <c r="W2242" s="40"/>
      <c r="X2242" s="40"/>
      <c r="Y2242" s="38"/>
      <c r="Z2242" s="38"/>
      <c r="AA2242" s="38"/>
      <c r="AB2242" s="38"/>
      <c r="AC2242" s="38"/>
      <c r="AD2242" s="38"/>
      <c r="AE2242" s="38"/>
      <c r="AF2242" s="38"/>
      <c r="AG2242" s="38"/>
      <c r="AH2242" s="38"/>
      <c r="AI2242" s="38"/>
      <c r="AJ2242" s="38"/>
      <c r="AK2242" s="38"/>
      <c r="AL2242" s="38"/>
      <c r="AM2242" s="38"/>
      <c r="AN2242" s="38"/>
      <c r="AO2242" s="38"/>
      <c r="AP2242" s="38"/>
      <c r="AQ2242" s="38"/>
      <c r="AR2242" s="38"/>
      <c r="AS2242" s="38"/>
      <c r="AT2242" s="38"/>
      <c r="AU2242" s="38"/>
      <c r="AV2242" s="38"/>
      <c r="AW2242" s="38"/>
      <c r="AX2242" s="38"/>
      <c r="AY2242" s="38"/>
      <c r="AZ2242" s="38"/>
      <c r="BA2242" s="38"/>
      <c r="BB2242" s="38"/>
      <c r="BC2242" s="38"/>
      <c r="BD2242" s="38"/>
      <c r="BE2242" s="38"/>
      <c r="BF2242" s="38"/>
      <c r="BG2242" s="38"/>
      <c r="BH2242" s="38"/>
      <c r="BI2242" s="38"/>
      <c r="BJ2242" s="38"/>
      <c r="BK2242" s="38"/>
      <c r="BL2242" s="38"/>
      <c r="BM2242" s="38"/>
      <c r="BN2242" s="38"/>
      <c r="BO2242" s="38"/>
      <c r="BP2242" s="38"/>
      <c r="BQ2242" s="38"/>
    </row>
    <row r="2243">
      <c r="A2243" s="16"/>
      <c r="B2243" s="16"/>
      <c r="C2243" s="146"/>
      <c r="D2243" s="146"/>
      <c r="E2243" s="16"/>
      <c r="F2243" s="91"/>
      <c r="G2243" s="16"/>
      <c r="H2243" s="320" t="str">
        <f t="shared" si="33"/>
        <v/>
      </c>
      <c r="I2243" s="16"/>
      <c r="J2243" s="16"/>
      <c r="K2243" s="16"/>
      <c r="L2243" s="16"/>
      <c r="M2243" s="15"/>
      <c r="N2243" s="15"/>
      <c r="O2243" s="16"/>
      <c r="P2243" s="16"/>
      <c r="Q2243" s="16"/>
      <c r="R2243" s="16"/>
      <c r="S2243" s="37" t="str">
        <f>IFERROR(__xludf.DUMMYFUNCTION("if(not(iserror(index(split(C2243, "" ""),2))), index(split(C2243, "" ""),1),"""")"),"")</f>
        <v/>
      </c>
      <c r="T2243" s="315" t="str">
        <f>IFERROR(__xludf.DUMMYFUNCTION("if(S2243="""",C2243,if(not(iserror(index(split(C2243, "" ""),3))), index(split(C2243, "" ""),3),index(split(C2243, "" ""),2)))"),"")</f>
        <v/>
      </c>
      <c r="U2243" s="38" t="b">
        <f t="shared" si="34"/>
        <v>0</v>
      </c>
      <c r="V2243" s="38"/>
      <c r="W2243" s="40"/>
      <c r="X2243" s="40"/>
      <c r="Y2243" s="38"/>
      <c r="Z2243" s="38"/>
      <c r="AA2243" s="38"/>
      <c r="AB2243" s="38"/>
      <c r="AC2243" s="38"/>
      <c r="AD2243" s="38"/>
      <c r="AE2243" s="38"/>
      <c r="AF2243" s="38"/>
      <c r="AG2243" s="38"/>
      <c r="AH2243" s="38"/>
      <c r="AI2243" s="38"/>
      <c r="AJ2243" s="38"/>
      <c r="AK2243" s="38"/>
      <c r="AL2243" s="38"/>
      <c r="AM2243" s="38"/>
      <c r="AN2243" s="38"/>
      <c r="AO2243" s="38"/>
      <c r="AP2243" s="38"/>
      <c r="AQ2243" s="38"/>
      <c r="AR2243" s="38"/>
      <c r="AS2243" s="38"/>
      <c r="AT2243" s="38"/>
      <c r="AU2243" s="38"/>
      <c r="AV2243" s="38"/>
      <c r="AW2243" s="38"/>
      <c r="AX2243" s="38"/>
      <c r="AY2243" s="38"/>
      <c r="AZ2243" s="38"/>
      <c r="BA2243" s="38"/>
      <c r="BB2243" s="38"/>
      <c r="BC2243" s="38"/>
      <c r="BD2243" s="38"/>
      <c r="BE2243" s="38"/>
      <c r="BF2243" s="38"/>
      <c r="BG2243" s="38"/>
      <c r="BH2243" s="38"/>
      <c r="BI2243" s="38"/>
      <c r="BJ2243" s="38"/>
      <c r="BK2243" s="38"/>
      <c r="BL2243" s="38"/>
      <c r="BM2243" s="38"/>
      <c r="BN2243" s="38"/>
      <c r="BO2243" s="38"/>
      <c r="BP2243" s="38"/>
      <c r="BQ2243" s="38"/>
    </row>
    <row r="2244">
      <c r="A2244" s="16"/>
      <c r="B2244" s="16"/>
      <c r="C2244" s="146"/>
      <c r="D2244" s="146"/>
      <c r="E2244" s="16"/>
      <c r="F2244" s="91"/>
      <c r="G2244" s="16"/>
      <c r="H2244" s="320" t="str">
        <f t="shared" si="33"/>
        <v/>
      </c>
      <c r="I2244" s="16"/>
      <c r="J2244" s="16"/>
      <c r="K2244" s="16"/>
      <c r="L2244" s="16"/>
      <c r="M2244" s="15"/>
      <c r="N2244" s="15"/>
      <c r="O2244" s="16"/>
      <c r="P2244" s="16"/>
      <c r="Q2244" s="16"/>
      <c r="R2244" s="16"/>
      <c r="S2244" s="37" t="str">
        <f>IFERROR(__xludf.DUMMYFUNCTION("if(not(iserror(index(split(C2244, "" ""),2))), index(split(C2244, "" ""),1),"""")"),"")</f>
        <v/>
      </c>
      <c r="T2244" s="315" t="str">
        <f>IFERROR(__xludf.DUMMYFUNCTION("if(S2244="""",C2244,if(not(iserror(index(split(C2244, "" ""),3))), index(split(C2244, "" ""),3),index(split(C2244, "" ""),2)))"),"")</f>
        <v/>
      </c>
      <c r="U2244" s="38" t="b">
        <f t="shared" si="34"/>
        <v>0</v>
      </c>
      <c r="V2244" s="38"/>
      <c r="W2244" s="40"/>
      <c r="X2244" s="40"/>
      <c r="Y2244" s="38"/>
      <c r="Z2244" s="38"/>
      <c r="AA2244" s="38"/>
      <c r="AB2244" s="38"/>
      <c r="AC2244" s="38"/>
      <c r="AD2244" s="38"/>
      <c r="AE2244" s="38"/>
      <c r="AF2244" s="38"/>
      <c r="AG2244" s="38"/>
      <c r="AH2244" s="38"/>
      <c r="AI2244" s="38"/>
      <c r="AJ2244" s="38"/>
      <c r="AK2244" s="38"/>
      <c r="AL2244" s="38"/>
      <c r="AM2244" s="38"/>
      <c r="AN2244" s="38"/>
      <c r="AO2244" s="38"/>
      <c r="AP2244" s="38"/>
      <c r="AQ2244" s="38"/>
      <c r="AR2244" s="38"/>
      <c r="AS2244" s="38"/>
      <c r="AT2244" s="38"/>
      <c r="AU2244" s="38"/>
      <c r="AV2244" s="38"/>
      <c r="AW2244" s="38"/>
      <c r="AX2244" s="38"/>
      <c r="AY2244" s="38"/>
      <c r="AZ2244" s="38"/>
      <c r="BA2244" s="38"/>
      <c r="BB2244" s="38"/>
      <c r="BC2244" s="38"/>
      <c r="BD2244" s="38"/>
      <c r="BE2244" s="38"/>
      <c r="BF2244" s="38"/>
      <c r="BG2244" s="38"/>
      <c r="BH2244" s="38"/>
      <c r="BI2244" s="38"/>
      <c r="BJ2244" s="38"/>
      <c r="BK2244" s="38"/>
      <c r="BL2244" s="38"/>
      <c r="BM2244" s="38"/>
      <c r="BN2244" s="38"/>
      <c r="BO2244" s="38"/>
      <c r="BP2244" s="38"/>
      <c r="BQ2244" s="38"/>
    </row>
    <row r="2245">
      <c r="A2245" s="16"/>
      <c r="B2245" s="16"/>
      <c r="C2245" s="146"/>
      <c r="D2245" s="146"/>
      <c r="E2245" s="16"/>
      <c r="F2245" s="91"/>
      <c r="G2245" s="16"/>
      <c r="H2245" s="320" t="str">
        <f t="shared" si="33"/>
        <v/>
      </c>
      <c r="I2245" s="16"/>
      <c r="J2245" s="16"/>
      <c r="K2245" s="16"/>
      <c r="L2245" s="16"/>
      <c r="M2245" s="15"/>
      <c r="N2245" s="15"/>
      <c r="O2245" s="16"/>
      <c r="P2245" s="16"/>
      <c r="Q2245" s="16"/>
      <c r="R2245" s="16"/>
      <c r="S2245" s="37" t="str">
        <f>IFERROR(__xludf.DUMMYFUNCTION("if(not(iserror(index(split(C2245, "" ""),2))), index(split(C2245, "" ""),1),"""")"),"")</f>
        <v/>
      </c>
      <c r="T2245" s="315" t="str">
        <f>IFERROR(__xludf.DUMMYFUNCTION("if(S2245="""",C2245,if(not(iserror(index(split(C2245, "" ""),3))), index(split(C2245, "" ""),3),index(split(C2245, "" ""),2)))"),"")</f>
        <v/>
      </c>
      <c r="U2245" s="38" t="b">
        <f t="shared" si="34"/>
        <v>0</v>
      </c>
      <c r="V2245" s="38"/>
      <c r="W2245" s="40"/>
      <c r="X2245" s="40"/>
      <c r="Y2245" s="38"/>
      <c r="Z2245" s="38"/>
      <c r="AA2245" s="38"/>
      <c r="AB2245" s="38"/>
      <c r="AC2245" s="38"/>
      <c r="AD2245" s="38"/>
      <c r="AE2245" s="38"/>
      <c r="AF2245" s="38"/>
      <c r="AG2245" s="38"/>
      <c r="AH2245" s="38"/>
      <c r="AI2245" s="38"/>
      <c r="AJ2245" s="38"/>
      <c r="AK2245" s="38"/>
      <c r="AL2245" s="38"/>
      <c r="AM2245" s="38"/>
      <c r="AN2245" s="38"/>
      <c r="AO2245" s="38"/>
      <c r="AP2245" s="38"/>
      <c r="AQ2245" s="38"/>
      <c r="AR2245" s="38"/>
      <c r="AS2245" s="38"/>
      <c r="AT2245" s="38"/>
      <c r="AU2245" s="38"/>
      <c r="AV2245" s="38"/>
      <c r="AW2245" s="38"/>
      <c r="AX2245" s="38"/>
      <c r="AY2245" s="38"/>
      <c r="AZ2245" s="38"/>
      <c r="BA2245" s="38"/>
      <c r="BB2245" s="38"/>
      <c r="BC2245" s="38"/>
      <c r="BD2245" s="38"/>
      <c r="BE2245" s="38"/>
      <c r="BF2245" s="38"/>
      <c r="BG2245" s="38"/>
      <c r="BH2245" s="38"/>
      <c r="BI2245" s="38"/>
      <c r="BJ2245" s="38"/>
      <c r="BK2245" s="38"/>
      <c r="BL2245" s="38"/>
      <c r="BM2245" s="38"/>
      <c r="BN2245" s="38"/>
      <c r="BO2245" s="38"/>
      <c r="BP2245" s="38"/>
      <c r="BQ2245" s="38"/>
    </row>
    <row r="2246">
      <c r="A2246" s="16"/>
      <c r="B2246" s="16"/>
      <c r="C2246" s="146"/>
      <c r="D2246" s="146"/>
      <c r="E2246" s="16"/>
      <c r="F2246" s="91"/>
      <c r="G2246" s="16"/>
      <c r="H2246" s="320" t="str">
        <f t="shared" si="33"/>
        <v/>
      </c>
      <c r="I2246" s="16"/>
      <c r="J2246" s="16"/>
      <c r="K2246" s="16"/>
      <c r="L2246" s="16"/>
      <c r="M2246" s="15"/>
      <c r="N2246" s="15"/>
      <c r="O2246" s="16"/>
      <c r="P2246" s="16"/>
      <c r="Q2246" s="16"/>
      <c r="R2246" s="16"/>
      <c r="S2246" s="37" t="str">
        <f>IFERROR(__xludf.DUMMYFUNCTION("if(not(iserror(index(split(C2246, "" ""),2))), index(split(C2246, "" ""),1),"""")"),"")</f>
        <v/>
      </c>
      <c r="T2246" s="315" t="str">
        <f>IFERROR(__xludf.DUMMYFUNCTION("if(S2246="""",C2246,if(not(iserror(index(split(C2246, "" ""),3))), index(split(C2246, "" ""),3),index(split(C2246, "" ""),2)))"),"")</f>
        <v/>
      </c>
      <c r="U2246" s="38" t="b">
        <f t="shared" si="34"/>
        <v>0</v>
      </c>
      <c r="V2246" s="38"/>
      <c r="W2246" s="40"/>
      <c r="X2246" s="40"/>
      <c r="Y2246" s="38"/>
      <c r="Z2246" s="38"/>
      <c r="AA2246" s="38"/>
      <c r="AB2246" s="38"/>
      <c r="AC2246" s="38"/>
      <c r="AD2246" s="38"/>
      <c r="AE2246" s="38"/>
      <c r="AF2246" s="38"/>
      <c r="AG2246" s="38"/>
      <c r="AH2246" s="38"/>
      <c r="AI2246" s="38"/>
      <c r="AJ2246" s="38"/>
      <c r="AK2246" s="38"/>
      <c r="AL2246" s="38"/>
      <c r="AM2246" s="38"/>
      <c r="AN2246" s="38"/>
      <c r="AO2246" s="38"/>
      <c r="AP2246" s="38"/>
      <c r="AQ2246" s="38"/>
      <c r="AR2246" s="38"/>
      <c r="AS2246" s="38"/>
      <c r="AT2246" s="38"/>
      <c r="AU2246" s="38"/>
      <c r="AV2246" s="38"/>
      <c r="AW2246" s="38"/>
      <c r="AX2246" s="38"/>
      <c r="AY2246" s="38"/>
      <c r="AZ2246" s="38"/>
      <c r="BA2246" s="38"/>
      <c r="BB2246" s="38"/>
      <c r="BC2246" s="38"/>
      <c r="BD2246" s="38"/>
      <c r="BE2246" s="38"/>
      <c r="BF2246" s="38"/>
      <c r="BG2246" s="38"/>
      <c r="BH2246" s="38"/>
      <c r="BI2246" s="38"/>
      <c r="BJ2246" s="38"/>
      <c r="BK2246" s="38"/>
      <c r="BL2246" s="38"/>
      <c r="BM2246" s="38"/>
      <c r="BN2246" s="38"/>
      <c r="BO2246" s="38"/>
      <c r="BP2246" s="38"/>
      <c r="BQ2246" s="38"/>
    </row>
    <row r="2247">
      <c r="A2247" s="16"/>
      <c r="B2247" s="16"/>
      <c r="C2247" s="146"/>
      <c r="D2247" s="146"/>
      <c r="E2247" s="16"/>
      <c r="F2247" s="91"/>
      <c r="G2247" s="16"/>
      <c r="H2247" s="320" t="str">
        <f t="shared" si="33"/>
        <v/>
      </c>
      <c r="I2247" s="16"/>
      <c r="J2247" s="16"/>
      <c r="K2247" s="16"/>
      <c r="L2247" s="16"/>
      <c r="M2247" s="15"/>
      <c r="N2247" s="15"/>
      <c r="O2247" s="16"/>
      <c r="P2247" s="16"/>
      <c r="Q2247" s="16"/>
      <c r="R2247" s="16"/>
      <c r="S2247" s="37" t="str">
        <f>IFERROR(__xludf.DUMMYFUNCTION("if(not(iserror(index(split(C2247, "" ""),2))), index(split(C2247, "" ""),1),"""")"),"")</f>
        <v/>
      </c>
      <c r="T2247" s="315" t="str">
        <f>IFERROR(__xludf.DUMMYFUNCTION("if(S2247="""",C2247,if(not(iserror(index(split(C2247, "" ""),3))), index(split(C2247, "" ""),3),index(split(C2247, "" ""),2)))"),"")</f>
        <v/>
      </c>
      <c r="U2247" s="38" t="b">
        <f t="shared" si="34"/>
        <v>0</v>
      </c>
      <c r="V2247" s="38"/>
      <c r="W2247" s="40"/>
      <c r="X2247" s="40"/>
      <c r="Y2247" s="38"/>
      <c r="Z2247" s="38"/>
      <c r="AA2247" s="38"/>
      <c r="AB2247" s="38"/>
      <c r="AC2247" s="38"/>
      <c r="AD2247" s="38"/>
      <c r="AE2247" s="38"/>
      <c r="AF2247" s="38"/>
      <c r="AG2247" s="38"/>
      <c r="AH2247" s="38"/>
      <c r="AI2247" s="38"/>
      <c r="AJ2247" s="38"/>
      <c r="AK2247" s="38"/>
      <c r="AL2247" s="38"/>
      <c r="AM2247" s="38"/>
      <c r="AN2247" s="38"/>
      <c r="AO2247" s="38"/>
      <c r="AP2247" s="38"/>
      <c r="AQ2247" s="38"/>
      <c r="AR2247" s="38"/>
      <c r="AS2247" s="38"/>
      <c r="AT2247" s="38"/>
      <c r="AU2247" s="38"/>
      <c r="AV2247" s="38"/>
      <c r="AW2247" s="38"/>
      <c r="AX2247" s="38"/>
      <c r="AY2247" s="38"/>
      <c r="AZ2247" s="38"/>
      <c r="BA2247" s="38"/>
      <c r="BB2247" s="38"/>
      <c r="BC2247" s="38"/>
      <c r="BD2247" s="38"/>
      <c r="BE2247" s="38"/>
      <c r="BF2247" s="38"/>
      <c r="BG2247" s="38"/>
      <c r="BH2247" s="38"/>
      <c r="BI2247" s="38"/>
      <c r="BJ2247" s="38"/>
      <c r="BK2247" s="38"/>
      <c r="BL2247" s="38"/>
      <c r="BM2247" s="38"/>
      <c r="BN2247" s="38"/>
      <c r="BO2247" s="38"/>
      <c r="BP2247" s="38"/>
      <c r="BQ2247" s="38"/>
    </row>
    <row r="2248">
      <c r="A2248" s="16"/>
      <c r="B2248" s="16"/>
      <c r="C2248" s="146"/>
      <c r="D2248" s="146"/>
      <c r="E2248" s="16"/>
      <c r="F2248" s="91"/>
      <c r="G2248" s="16"/>
      <c r="H2248" s="320" t="str">
        <f t="shared" si="33"/>
        <v/>
      </c>
      <c r="I2248" s="16"/>
      <c r="J2248" s="16"/>
      <c r="K2248" s="16"/>
      <c r="L2248" s="16"/>
      <c r="M2248" s="15"/>
      <c r="N2248" s="15"/>
      <c r="O2248" s="16"/>
      <c r="P2248" s="16"/>
      <c r="Q2248" s="16"/>
      <c r="R2248" s="16"/>
      <c r="S2248" s="37" t="str">
        <f>IFERROR(__xludf.DUMMYFUNCTION("if(not(iserror(index(split(C2248, "" ""),2))), index(split(C2248, "" ""),1),"""")"),"")</f>
        <v/>
      </c>
      <c r="T2248" s="315" t="str">
        <f>IFERROR(__xludf.DUMMYFUNCTION("if(S2248="""",C2248,if(not(iserror(index(split(C2248, "" ""),3))), index(split(C2248, "" ""),3),index(split(C2248, "" ""),2)))"),"")</f>
        <v/>
      </c>
      <c r="U2248" s="38" t="b">
        <f t="shared" si="34"/>
        <v>0</v>
      </c>
      <c r="V2248" s="38"/>
      <c r="W2248" s="40"/>
      <c r="X2248" s="40"/>
      <c r="Y2248" s="38"/>
      <c r="Z2248" s="38"/>
      <c r="AA2248" s="38"/>
      <c r="AB2248" s="38"/>
      <c r="AC2248" s="38"/>
      <c r="AD2248" s="38"/>
      <c r="AE2248" s="38"/>
      <c r="AF2248" s="38"/>
      <c r="AG2248" s="38"/>
      <c r="AH2248" s="38"/>
      <c r="AI2248" s="38"/>
      <c r="AJ2248" s="38"/>
      <c r="AK2248" s="38"/>
      <c r="AL2248" s="38"/>
      <c r="AM2248" s="38"/>
      <c r="AN2248" s="38"/>
      <c r="AO2248" s="38"/>
      <c r="AP2248" s="38"/>
      <c r="AQ2248" s="38"/>
      <c r="AR2248" s="38"/>
      <c r="AS2248" s="38"/>
      <c r="AT2248" s="38"/>
      <c r="AU2248" s="38"/>
      <c r="AV2248" s="38"/>
      <c r="AW2248" s="38"/>
      <c r="AX2248" s="38"/>
      <c r="AY2248" s="38"/>
      <c r="AZ2248" s="38"/>
      <c r="BA2248" s="38"/>
      <c r="BB2248" s="38"/>
      <c r="BC2248" s="38"/>
      <c r="BD2248" s="38"/>
      <c r="BE2248" s="38"/>
      <c r="BF2248" s="38"/>
      <c r="BG2248" s="38"/>
      <c r="BH2248" s="38"/>
      <c r="BI2248" s="38"/>
      <c r="BJ2248" s="38"/>
      <c r="BK2248" s="38"/>
      <c r="BL2248" s="38"/>
      <c r="BM2248" s="38"/>
      <c r="BN2248" s="38"/>
      <c r="BO2248" s="38"/>
      <c r="BP2248" s="38"/>
      <c r="BQ2248" s="38"/>
    </row>
    <row r="2249">
      <c r="A2249" s="16"/>
      <c r="B2249" s="16"/>
      <c r="C2249" s="146"/>
      <c r="D2249" s="146"/>
      <c r="E2249" s="16"/>
      <c r="F2249" s="91"/>
      <c r="G2249" s="16"/>
      <c r="H2249" s="320" t="str">
        <f t="shared" si="33"/>
        <v/>
      </c>
      <c r="I2249" s="16"/>
      <c r="J2249" s="16"/>
      <c r="K2249" s="16"/>
      <c r="L2249" s="16"/>
      <c r="M2249" s="15"/>
      <c r="N2249" s="15"/>
      <c r="O2249" s="16"/>
      <c r="P2249" s="16"/>
      <c r="Q2249" s="16"/>
      <c r="R2249" s="16"/>
      <c r="S2249" s="37" t="str">
        <f>IFERROR(__xludf.DUMMYFUNCTION("if(not(iserror(index(split(C2249, "" ""),2))), index(split(C2249, "" ""),1),"""")"),"")</f>
        <v/>
      </c>
      <c r="T2249" s="315" t="str">
        <f>IFERROR(__xludf.DUMMYFUNCTION("if(S2249="""",C2249,if(not(iserror(index(split(C2249, "" ""),3))), index(split(C2249, "" ""),3),index(split(C2249, "" ""),2)))"),"")</f>
        <v/>
      </c>
      <c r="U2249" s="38" t="b">
        <f t="shared" si="34"/>
        <v>0</v>
      </c>
      <c r="V2249" s="38"/>
      <c r="W2249" s="40"/>
      <c r="X2249" s="40"/>
      <c r="Y2249" s="38"/>
      <c r="Z2249" s="38"/>
      <c r="AA2249" s="38"/>
      <c r="AB2249" s="38"/>
      <c r="AC2249" s="38"/>
      <c r="AD2249" s="38"/>
      <c r="AE2249" s="38"/>
      <c r="AF2249" s="38"/>
      <c r="AG2249" s="38"/>
      <c r="AH2249" s="38"/>
      <c r="AI2249" s="38"/>
      <c r="AJ2249" s="38"/>
      <c r="AK2249" s="38"/>
      <c r="AL2249" s="38"/>
      <c r="AM2249" s="38"/>
      <c r="AN2249" s="38"/>
      <c r="AO2249" s="38"/>
      <c r="AP2249" s="38"/>
      <c r="AQ2249" s="38"/>
      <c r="AR2249" s="38"/>
      <c r="AS2249" s="38"/>
      <c r="AT2249" s="38"/>
      <c r="AU2249" s="38"/>
      <c r="AV2249" s="38"/>
      <c r="AW2249" s="38"/>
      <c r="AX2249" s="38"/>
      <c r="AY2249" s="38"/>
      <c r="AZ2249" s="38"/>
      <c r="BA2249" s="38"/>
      <c r="BB2249" s="38"/>
      <c r="BC2249" s="38"/>
      <c r="BD2249" s="38"/>
      <c r="BE2249" s="38"/>
      <c r="BF2249" s="38"/>
      <c r="BG2249" s="38"/>
      <c r="BH2249" s="38"/>
      <c r="BI2249" s="38"/>
      <c r="BJ2249" s="38"/>
      <c r="BK2249" s="38"/>
      <c r="BL2249" s="38"/>
      <c r="BM2249" s="38"/>
      <c r="BN2249" s="38"/>
      <c r="BO2249" s="38"/>
      <c r="BP2249" s="38"/>
      <c r="BQ2249" s="38"/>
    </row>
    <row r="2250">
      <c r="A2250" s="16"/>
      <c r="B2250" s="16"/>
      <c r="C2250" s="146"/>
      <c r="D2250" s="146"/>
      <c r="E2250" s="16"/>
      <c r="F2250" s="91"/>
      <c r="G2250" s="16"/>
      <c r="H2250" s="320" t="str">
        <f t="shared" si="33"/>
        <v/>
      </c>
      <c r="I2250" s="16"/>
      <c r="J2250" s="16"/>
      <c r="K2250" s="16"/>
      <c r="L2250" s="16"/>
      <c r="M2250" s="15"/>
      <c r="N2250" s="15"/>
      <c r="O2250" s="16"/>
      <c r="P2250" s="16"/>
      <c r="Q2250" s="16"/>
      <c r="R2250" s="16"/>
      <c r="S2250" s="37" t="str">
        <f>IFERROR(__xludf.DUMMYFUNCTION("if(not(iserror(index(split(C2250, "" ""),2))), index(split(C2250, "" ""),1),"""")"),"")</f>
        <v/>
      </c>
      <c r="T2250" s="315" t="str">
        <f>IFERROR(__xludf.DUMMYFUNCTION("if(S2250="""",C2250,if(not(iserror(index(split(C2250, "" ""),3))), index(split(C2250, "" ""),3),index(split(C2250, "" ""),2)))"),"")</f>
        <v/>
      </c>
      <c r="U2250" s="38" t="b">
        <f t="shared" si="34"/>
        <v>0</v>
      </c>
      <c r="V2250" s="38"/>
      <c r="W2250" s="40"/>
      <c r="X2250" s="40"/>
      <c r="Y2250" s="38"/>
      <c r="Z2250" s="38"/>
      <c r="AA2250" s="38"/>
      <c r="AB2250" s="38"/>
      <c r="AC2250" s="38"/>
      <c r="AD2250" s="38"/>
      <c r="AE2250" s="38"/>
      <c r="AF2250" s="38"/>
      <c r="AG2250" s="38"/>
      <c r="AH2250" s="38"/>
      <c r="AI2250" s="38"/>
      <c r="AJ2250" s="38"/>
      <c r="AK2250" s="38"/>
      <c r="AL2250" s="38"/>
      <c r="AM2250" s="38"/>
      <c r="AN2250" s="38"/>
      <c r="AO2250" s="38"/>
      <c r="AP2250" s="38"/>
      <c r="AQ2250" s="38"/>
      <c r="AR2250" s="38"/>
      <c r="AS2250" s="38"/>
      <c r="AT2250" s="38"/>
      <c r="AU2250" s="38"/>
      <c r="AV2250" s="38"/>
      <c r="AW2250" s="38"/>
      <c r="AX2250" s="38"/>
      <c r="AY2250" s="38"/>
      <c r="AZ2250" s="38"/>
      <c r="BA2250" s="38"/>
      <c r="BB2250" s="38"/>
      <c r="BC2250" s="38"/>
      <c r="BD2250" s="38"/>
      <c r="BE2250" s="38"/>
      <c r="BF2250" s="38"/>
      <c r="BG2250" s="38"/>
      <c r="BH2250" s="38"/>
      <c r="BI2250" s="38"/>
      <c r="BJ2250" s="38"/>
      <c r="BK2250" s="38"/>
      <c r="BL2250" s="38"/>
      <c r="BM2250" s="38"/>
      <c r="BN2250" s="38"/>
      <c r="BO2250" s="38"/>
      <c r="BP2250" s="38"/>
      <c r="BQ2250" s="38"/>
    </row>
    <row r="2251">
      <c r="A2251" s="16"/>
      <c r="B2251" s="16"/>
      <c r="C2251" s="146"/>
      <c r="D2251" s="146"/>
      <c r="E2251" s="16"/>
      <c r="F2251" s="91"/>
      <c r="G2251" s="16"/>
      <c r="H2251" s="320" t="str">
        <f t="shared" si="33"/>
        <v/>
      </c>
      <c r="I2251" s="16"/>
      <c r="J2251" s="16"/>
      <c r="K2251" s="16"/>
      <c r="L2251" s="16"/>
      <c r="M2251" s="15"/>
      <c r="N2251" s="15"/>
      <c r="O2251" s="16"/>
      <c r="P2251" s="16"/>
      <c r="Q2251" s="16"/>
      <c r="R2251" s="16"/>
      <c r="S2251" s="37" t="str">
        <f>IFERROR(__xludf.DUMMYFUNCTION("if(not(iserror(index(split(C2251, "" ""),2))), index(split(C2251, "" ""),1),"""")"),"")</f>
        <v/>
      </c>
      <c r="T2251" s="315" t="str">
        <f>IFERROR(__xludf.DUMMYFUNCTION("if(S2251="""",C2251,if(not(iserror(index(split(C2251, "" ""),3))), index(split(C2251, "" ""),3),index(split(C2251, "" ""),2)))"),"")</f>
        <v/>
      </c>
      <c r="U2251" s="38" t="b">
        <f t="shared" si="34"/>
        <v>0</v>
      </c>
      <c r="V2251" s="38"/>
      <c r="W2251" s="40"/>
      <c r="X2251" s="40"/>
      <c r="Y2251" s="38"/>
      <c r="Z2251" s="38"/>
      <c r="AA2251" s="38"/>
      <c r="AB2251" s="38"/>
      <c r="AC2251" s="38"/>
      <c r="AD2251" s="38"/>
      <c r="AE2251" s="38"/>
      <c r="AF2251" s="38"/>
      <c r="AG2251" s="38"/>
      <c r="AH2251" s="38"/>
      <c r="AI2251" s="38"/>
      <c r="AJ2251" s="38"/>
      <c r="AK2251" s="38"/>
      <c r="AL2251" s="38"/>
      <c r="AM2251" s="38"/>
      <c r="AN2251" s="38"/>
      <c r="AO2251" s="38"/>
      <c r="AP2251" s="38"/>
      <c r="AQ2251" s="38"/>
      <c r="AR2251" s="38"/>
      <c r="AS2251" s="38"/>
      <c r="AT2251" s="38"/>
      <c r="AU2251" s="38"/>
      <c r="AV2251" s="38"/>
      <c r="AW2251" s="38"/>
      <c r="AX2251" s="38"/>
      <c r="AY2251" s="38"/>
      <c r="AZ2251" s="38"/>
      <c r="BA2251" s="38"/>
      <c r="BB2251" s="38"/>
      <c r="BC2251" s="38"/>
      <c r="BD2251" s="38"/>
      <c r="BE2251" s="38"/>
      <c r="BF2251" s="38"/>
      <c r="BG2251" s="38"/>
      <c r="BH2251" s="38"/>
      <c r="BI2251" s="38"/>
      <c r="BJ2251" s="38"/>
      <c r="BK2251" s="38"/>
      <c r="BL2251" s="38"/>
      <c r="BM2251" s="38"/>
      <c r="BN2251" s="38"/>
      <c r="BO2251" s="38"/>
      <c r="BP2251" s="38"/>
      <c r="BQ2251" s="38"/>
    </row>
    <row r="2252">
      <c r="A2252" s="16"/>
      <c r="B2252" s="16"/>
      <c r="C2252" s="146"/>
      <c r="D2252" s="146"/>
      <c r="E2252" s="16"/>
      <c r="F2252" s="91"/>
      <c r="G2252" s="16"/>
      <c r="H2252" s="320" t="str">
        <f t="shared" si="33"/>
        <v/>
      </c>
      <c r="I2252" s="16"/>
      <c r="J2252" s="16"/>
      <c r="K2252" s="16"/>
      <c r="L2252" s="16"/>
      <c r="M2252" s="15"/>
      <c r="N2252" s="15"/>
      <c r="O2252" s="16"/>
      <c r="P2252" s="16"/>
      <c r="Q2252" s="16"/>
      <c r="R2252" s="16"/>
      <c r="S2252" s="37" t="str">
        <f>IFERROR(__xludf.DUMMYFUNCTION("if(not(iserror(index(split(C2252, "" ""),2))), index(split(C2252, "" ""),1),"""")"),"")</f>
        <v/>
      </c>
      <c r="T2252" s="315" t="str">
        <f>IFERROR(__xludf.DUMMYFUNCTION("if(S2252="""",C2252,if(not(iserror(index(split(C2252, "" ""),3))), index(split(C2252, "" ""),3),index(split(C2252, "" ""),2)))"),"")</f>
        <v/>
      </c>
      <c r="U2252" s="38" t="b">
        <f t="shared" si="34"/>
        <v>0</v>
      </c>
      <c r="V2252" s="38"/>
      <c r="W2252" s="40"/>
      <c r="X2252" s="40"/>
      <c r="Y2252" s="38"/>
      <c r="Z2252" s="38"/>
      <c r="AA2252" s="38"/>
      <c r="AB2252" s="38"/>
      <c r="AC2252" s="38"/>
      <c r="AD2252" s="38"/>
      <c r="AE2252" s="38"/>
      <c r="AF2252" s="38"/>
      <c r="AG2252" s="38"/>
      <c r="AH2252" s="38"/>
      <c r="AI2252" s="38"/>
      <c r="AJ2252" s="38"/>
      <c r="AK2252" s="38"/>
      <c r="AL2252" s="38"/>
      <c r="AM2252" s="38"/>
      <c r="AN2252" s="38"/>
      <c r="AO2252" s="38"/>
      <c r="AP2252" s="38"/>
      <c r="AQ2252" s="38"/>
      <c r="AR2252" s="38"/>
      <c r="AS2252" s="38"/>
      <c r="AT2252" s="38"/>
      <c r="AU2252" s="38"/>
      <c r="AV2252" s="38"/>
      <c r="AW2252" s="38"/>
      <c r="AX2252" s="38"/>
      <c r="AY2252" s="38"/>
      <c r="AZ2252" s="38"/>
      <c r="BA2252" s="38"/>
      <c r="BB2252" s="38"/>
      <c r="BC2252" s="38"/>
      <c r="BD2252" s="38"/>
      <c r="BE2252" s="38"/>
      <c r="BF2252" s="38"/>
      <c r="BG2252" s="38"/>
      <c r="BH2252" s="38"/>
      <c r="BI2252" s="38"/>
      <c r="BJ2252" s="38"/>
      <c r="BK2252" s="38"/>
      <c r="BL2252" s="38"/>
      <c r="BM2252" s="38"/>
      <c r="BN2252" s="38"/>
      <c r="BO2252" s="38"/>
      <c r="BP2252" s="38"/>
      <c r="BQ2252" s="38"/>
    </row>
    <row r="2253">
      <c r="A2253" s="16"/>
      <c r="B2253" s="16"/>
      <c r="C2253" s="146"/>
      <c r="D2253" s="146"/>
      <c r="E2253" s="16"/>
      <c r="F2253" s="91"/>
      <c r="G2253" s="16"/>
      <c r="H2253" s="320" t="str">
        <f t="shared" si="33"/>
        <v/>
      </c>
      <c r="I2253" s="16"/>
      <c r="J2253" s="16"/>
      <c r="K2253" s="16"/>
      <c r="L2253" s="16"/>
      <c r="M2253" s="15"/>
      <c r="N2253" s="15"/>
      <c r="O2253" s="16"/>
      <c r="P2253" s="16"/>
      <c r="Q2253" s="16"/>
      <c r="R2253" s="16"/>
      <c r="S2253" s="37" t="str">
        <f>IFERROR(__xludf.DUMMYFUNCTION("if(not(iserror(index(split(C2253, "" ""),2))), index(split(C2253, "" ""),1),"""")"),"")</f>
        <v/>
      </c>
      <c r="T2253" s="315" t="str">
        <f>IFERROR(__xludf.DUMMYFUNCTION("if(S2253="""",C2253,if(not(iserror(index(split(C2253, "" ""),3))), index(split(C2253, "" ""),3),index(split(C2253, "" ""),2)))"),"")</f>
        <v/>
      </c>
      <c r="U2253" s="38" t="b">
        <f t="shared" si="34"/>
        <v>0</v>
      </c>
      <c r="V2253" s="38"/>
      <c r="W2253" s="40"/>
      <c r="X2253" s="40"/>
      <c r="Y2253" s="38"/>
      <c r="Z2253" s="38"/>
      <c r="AA2253" s="38"/>
      <c r="AB2253" s="38"/>
      <c r="AC2253" s="38"/>
      <c r="AD2253" s="38"/>
      <c r="AE2253" s="38"/>
      <c r="AF2253" s="38"/>
      <c r="AG2253" s="38"/>
      <c r="AH2253" s="38"/>
      <c r="AI2253" s="38"/>
      <c r="AJ2253" s="38"/>
      <c r="AK2253" s="38"/>
      <c r="AL2253" s="38"/>
      <c r="AM2253" s="38"/>
      <c r="AN2253" s="38"/>
      <c r="AO2253" s="38"/>
      <c r="AP2253" s="38"/>
      <c r="AQ2253" s="38"/>
      <c r="AR2253" s="38"/>
      <c r="AS2253" s="38"/>
      <c r="AT2253" s="38"/>
      <c r="AU2253" s="38"/>
      <c r="AV2253" s="38"/>
      <c r="AW2253" s="38"/>
      <c r="AX2253" s="38"/>
      <c r="AY2253" s="38"/>
      <c r="AZ2253" s="38"/>
      <c r="BA2253" s="38"/>
      <c r="BB2253" s="38"/>
      <c r="BC2253" s="38"/>
      <c r="BD2253" s="38"/>
      <c r="BE2253" s="38"/>
      <c r="BF2253" s="38"/>
      <c r="BG2253" s="38"/>
      <c r="BH2253" s="38"/>
      <c r="BI2253" s="38"/>
      <c r="BJ2253" s="38"/>
      <c r="BK2253" s="38"/>
      <c r="BL2253" s="38"/>
      <c r="BM2253" s="38"/>
      <c r="BN2253" s="38"/>
      <c r="BO2253" s="38"/>
      <c r="BP2253" s="38"/>
      <c r="BQ2253" s="38"/>
    </row>
    <row r="2254">
      <c r="A2254" s="16"/>
      <c r="B2254" s="16"/>
      <c r="C2254" s="146"/>
      <c r="D2254" s="146"/>
      <c r="E2254" s="16"/>
      <c r="F2254" s="91"/>
      <c r="G2254" s="16"/>
      <c r="H2254" s="320" t="str">
        <f t="shared" si="33"/>
        <v/>
      </c>
      <c r="I2254" s="16"/>
      <c r="J2254" s="16"/>
      <c r="K2254" s="16"/>
      <c r="L2254" s="16"/>
      <c r="M2254" s="15"/>
      <c r="N2254" s="15"/>
      <c r="O2254" s="16"/>
      <c r="P2254" s="16"/>
      <c r="Q2254" s="16"/>
      <c r="R2254" s="16"/>
      <c r="S2254" s="37" t="str">
        <f>IFERROR(__xludf.DUMMYFUNCTION("if(not(iserror(index(split(C2254, "" ""),2))), index(split(C2254, "" ""),1),"""")"),"")</f>
        <v/>
      </c>
      <c r="T2254" s="315" t="str">
        <f>IFERROR(__xludf.DUMMYFUNCTION("if(S2254="""",C2254,if(not(iserror(index(split(C2254, "" ""),3))), index(split(C2254, "" ""),3),index(split(C2254, "" ""),2)))"),"")</f>
        <v/>
      </c>
      <c r="U2254" s="38" t="b">
        <f t="shared" si="34"/>
        <v>0</v>
      </c>
      <c r="V2254" s="38"/>
      <c r="W2254" s="40"/>
      <c r="X2254" s="40"/>
      <c r="Y2254" s="38"/>
      <c r="Z2254" s="38"/>
      <c r="AA2254" s="38"/>
      <c r="AB2254" s="38"/>
      <c r="AC2254" s="38"/>
      <c r="AD2254" s="38"/>
      <c r="AE2254" s="38"/>
      <c r="AF2254" s="38"/>
      <c r="AG2254" s="38"/>
      <c r="AH2254" s="38"/>
      <c r="AI2254" s="38"/>
      <c r="AJ2254" s="38"/>
      <c r="AK2254" s="38"/>
      <c r="AL2254" s="38"/>
      <c r="AM2254" s="38"/>
      <c r="AN2254" s="38"/>
      <c r="AO2254" s="38"/>
      <c r="AP2254" s="38"/>
      <c r="AQ2254" s="38"/>
      <c r="AR2254" s="38"/>
      <c r="AS2254" s="38"/>
      <c r="AT2254" s="38"/>
      <c r="AU2254" s="38"/>
      <c r="AV2254" s="38"/>
      <c r="AW2254" s="38"/>
      <c r="AX2254" s="38"/>
      <c r="AY2254" s="38"/>
      <c r="AZ2254" s="38"/>
      <c r="BA2254" s="38"/>
      <c r="BB2254" s="38"/>
      <c r="BC2254" s="38"/>
      <c r="BD2254" s="38"/>
      <c r="BE2254" s="38"/>
      <c r="BF2254" s="38"/>
      <c r="BG2254" s="38"/>
      <c r="BH2254" s="38"/>
      <c r="BI2254" s="38"/>
      <c r="BJ2254" s="38"/>
      <c r="BK2254" s="38"/>
      <c r="BL2254" s="38"/>
      <c r="BM2254" s="38"/>
      <c r="BN2254" s="38"/>
      <c r="BO2254" s="38"/>
      <c r="BP2254" s="38"/>
      <c r="BQ2254" s="38"/>
    </row>
    <row r="2255">
      <c r="A2255" s="16"/>
      <c r="B2255" s="16"/>
      <c r="C2255" s="146"/>
      <c r="D2255" s="146"/>
      <c r="E2255" s="16"/>
      <c r="F2255" s="91"/>
      <c r="G2255" s="16"/>
      <c r="H2255" s="320" t="str">
        <f t="shared" si="33"/>
        <v/>
      </c>
      <c r="I2255" s="16"/>
      <c r="J2255" s="16"/>
      <c r="K2255" s="16"/>
      <c r="L2255" s="16"/>
      <c r="M2255" s="15"/>
      <c r="N2255" s="15"/>
      <c r="O2255" s="16"/>
      <c r="P2255" s="16"/>
      <c r="Q2255" s="16"/>
      <c r="R2255" s="16"/>
      <c r="S2255" s="37" t="str">
        <f>IFERROR(__xludf.DUMMYFUNCTION("if(not(iserror(index(split(C2255, "" ""),2))), index(split(C2255, "" ""),1),"""")"),"")</f>
        <v/>
      </c>
      <c r="T2255" s="315" t="str">
        <f>IFERROR(__xludf.DUMMYFUNCTION("if(S2255="""",C2255,if(not(iserror(index(split(C2255, "" ""),3))), index(split(C2255, "" ""),3),index(split(C2255, "" ""),2)))"),"")</f>
        <v/>
      </c>
      <c r="U2255" s="38" t="b">
        <f t="shared" si="34"/>
        <v>0</v>
      </c>
      <c r="V2255" s="38"/>
      <c r="W2255" s="40"/>
      <c r="X2255" s="40"/>
      <c r="Y2255" s="38"/>
      <c r="Z2255" s="38"/>
      <c r="AA2255" s="38"/>
      <c r="AB2255" s="38"/>
      <c r="AC2255" s="38"/>
      <c r="AD2255" s="38"/>
      <c r="AE2255" s="38"/>
      <c r="AF2255" s="38"/>
      <c r="AG2255" s="38"/>
      <c r="AH2255" s="38"/>
      <c r="AI2255" s="38"/>
      <c r="AJ2255" s="38"/>
      <c r="AK2255" s="38"/>
      <c r="AL2255" s="38"/>
      <c r="AM2255" s="38"/>
      <c r="AN2255" s="38"/>
      <c r="AO2255" s="38"/>
      <c r="AP2255" s="38"/>
      <c r="AQ2255" s="38"/>
      <c r="AR2255" s="38"/>
      <c r="AS2255" s="38"/>
      <c r="AT2255" s="38"/>
      <c r="AU2255" s="38"/>
      <c r="AV2255" s="38"/>
      <c r="AW2255" s="38"/>
      <c r="AX2255" s="38"/>
      <c r="AY2255" s="38"/>
      <c r="AZ2255" s="38"/>
      <c r="BA2255" s="38"/>
      <c r="BB2255" s="38"/>
      <c r="BC2255" s="38"/>
      <c r="BD2255" s="38"/>
      <c r="BE2255" s="38"/>
      <c r="BF2255" s="38"/>
      <c r="BG2255" s="38"/>
      <c r="BH2255" s="38"/>
      <c r="BI2255" s="38"/>
      <c r="BJ2255" s="38"/>
      <c r="BK2255" s="38"/>
      <c r="BL2255" s="38"/>
      <c r="BM2255" s="38"/>
      <c r="BN2255" s="38"/>
      <c r="BO2255" s="38"/>
      <c r="BP2255" s="38"/>
      <c r="BQ2255" s="38"/>
    </row>
    <row r="2256">
      <c r="A2256" s="16"/>
      <c r="B2256" s="16"/>
      <c r="C2256" s="146"/>
      <c r="D2256" s="146"/>
      <c r="E2256" s="16"/>
      <c r="F2256" s="91"/>
      <c r="G2256" s="16"/>
      <c r="H2256" s="320" t="str">
        <f t="shared" si="33"/>
        <v/>
      </c>
      <c r="I2256" s="16"/>
      <c r="J2256" s="16"/>
      <c r="K2256" s="16"/>
      <c r="L2256" s="16"/>
      <c r="M2256" s="15"/>
      <c r="N2256" s="15"/>
      <c r="O2256" s="16"/>
      <c r="P2256" s="16"/>
      <c r="Q2256" s="16"/>
      <c r="R2256" s="16"/>
      <c r="S2256" s="37" t="str">
        <f>IFERROR(__xludf.DUMMYFUNCTION("if(not(iserror(index(split(C2256, "" ""),2))), index(split(C2256, "" ""),1),"""")"),"")</f>
        <v/>
      </c>
      <c r="T2256" s="315" t="str">
        <f>IFERROR(__xludf.DUMMYFUNCTION("if(S2256="""",C2256,if(not(iserror(index(split(C2256, "" ""),3))), index(split(C2256, "" ""),3),index(split(C2256, "" ""),2)))"),"")</f>
        <v/>
      </c>
      <c r="U2256" s="38" t="b">
        <f t="shared" si="34"/>
        <v>0</v>
      </c>
      <c r="V2256" s="38"/>
      <c r="W2256" s="40"/>
      <c r="X2256" s="40"/>
      <c r="Y2256" s="38"/>
      <c r="Z2256" s="38"/>
      <c r="AA2256" s="38"/>
      <c r="AB2256" s="38"/>
      <c r="AC2256" s="38"/>
      <c r="AD2256" s="38"/>
      <c r="AE2256" s="38"/>
      <c r="AF2256" s="38"/>
      <c r="AG2256" s="38"/>
      <c r="AH2256" s="38"/>
      <c r="AI2256" s="38"/>
      <c r="AJ2256" s="38"/>
      <c r="AK2256" s="38"/>
      <c r="AL2256" s="38"/>
      <c r="AM2256" s="38"/>
      <c r="AN2256" s="38"/>
      <c r="AO2256" s="38"/>
      <c r="AP2256" s="38"/>
      <c r="AQ2256" s="38"/>
      <c r="AR2256" s="38"/>
      <c r="AS2256" s="38"/>
      <c r="AT2256" s="38"/>
      <c r="AU2256" s="38"/>
      <c r="AV2256" s="38"/>
      <c r="AW2256" s="38"/>
      <c r="AX2256" s="38"/>
      <c r="AY2256" s="38"/>
      <c r="AZ2256" s="38"/>
      <c r="BA2256" s="38"/>
      <c r="BB2256" s="38"/>
      <c r="BC2256" s="38"/>
      <c r="BD2256" s="38"/>
      <c r="BE2256" s="38"/>
      <c r="BF2256" s="38"/>
      <c r="BG2256" s="38"/>
      <c r="BH2256" s="38"/>
      <c r="BI2256" s="38"/>
      <c r="BJ2256" s="38"/>
      <c r="BK2256" s="38"/>
      <c r="BL2256" s="38"/>
      <c r="BM2256" s="38"/>
      <c r="BN2256" s="38"/>
      <c r="BO2256" s="38"/>
      <c r="BP2256" s="38"/>
      <c r="BQ2256" s="38"/>
    </row>
    <row r="2257">
      <c r="A2257" s="16"/>
      <c r="B2257" s="16"/>
      <c r="C2257" s="146"/>
      <c r="D2257" s="146"/>
      <c r="E2257" s="16"/>
      <c r="F2257" s="91"/>
      <c r="G2257" s="16"/>
      <c r="H2257" s="320" t="str">
        <f t="shared" si="33"/>
        <v/>
      </c>
      <c r="I2257" s="16"/>
      <c r="J2257" s="16"/>
      <c r="K2257" s="16"/>
      <c r="L2257" s="16"/>
      <c r="M2257" s="15"/>
      <c r="N2257" s="15"/>
      <c r="O2257" s="16"/>
      <c r="P2257" s="16"/>
      <c r="Q2257" s="16"/>
      <c r="R2257" s="16"/>
      <c r="S2257" s="37" t="str">
        <f>IFERROR(__xludf.DUMMYFUNCTION("if(not(iserror(index(split(C2257, "" ""),2))), index(split(C2257, "" ""),1),"""")"),"")</f>
        <v/>
      </c>
      <c r="T2257" s="315" t="str">
        <f>IFERROR(__xludf.DUMMYFUNCTION("if(S2257="""",C2257,if(not(iserror(index(split(C2257, "" ""),3))), index(split(C2257, "" ""),3),index(split(C2257, "" ""),2)))"),"")</f>
        <v/>
      </c>
      <c r="U2257" s="38" t="b">
        <f t="shared" si="34"/>
        <v>0</v>
      </c>
      <c r="V2257" s="38"/>
      <c r="W2257" s="40"/>
      <c r="X2257" s="40"/>
      <c r="Y2257" s="38"/>
      <c r="Z2257" s="38"/>
      <c r="AA2257" s="38"/>
      <c r="AB2257" s="38"/>
      <c r="AC2257" s="38"/>
      <c r="AD2257" s="38"/>
      <c r="AE2257" s="38"/>
      <c r="AF2257" s="38"/>
      <c r="AG2257" s="38"/>
      <c r="AH2257" s="38"/>
      <c r="AI2257" s="38"/>
      <c r="AJ2257" s="38"/>
      <c r="AK2257" s="38"/>
      <c r="AL2257" s="38"/>
      <c r="AM2257" s="38"/>
      <c r="AN2257" s="38"/>
      <c r="AO2257" s="38"/>
      <c r="AP2257" s="38"/>
      <c r="AQ2257" s="38"/>
      <c r="AR2257" s="38"/>
      <c r="AS2257" s="38"/>
      <c r="AT2257" s="38"/>
      <c r="AU2257" s="38"/>
      <c r="AV2257" s="38"/>
      <c r="AW2257" s="38"/>
      <c r="AX2257" s="38"/>
      <c r="AY2257" s="38"/>
      <c r="AZ2257" s="38"/>
      <c r="BA2257" s="38"/>
      <c r="BB2257" s="38"/>
      <c r="BC2257" s="38"/>
      <c r="BD2257" s="38"/>
      <c r="BE2257" s="38"/>
      <c r="BF2257" s="38"/>
      <c r="BG2257" s="38"/>
      <c r="BH2257" s="38"/>
      <c r="BI2257" s="38"/>
      <c r="BJ2257" s="38"/>
      <c r="BK2257" s="38"/>
      <c r="BL2257" s="38"/>
      <c r="BM2257" s="38"/>
      <c r="BN2257" s="38"/>
      <c r="BO2257" s="38"/>
      <c r="BP2257" s="38"/>
      <c r="BQ2257" s="38"/>
    </row>
    <row r="2258">
      <c r="A2258" s="16"/>
      <c r="B2258" s="16"/>
      <c r="C2258" s="146"/>
      <c r="D2258" s="146"/>
      <c r="E2258" s="16"/>
      <c r="F2258" s="91"/>
      <c r="G2258" s="16"/>
      <c r="H2258" s="320" t="str">
        <f t="shared" si="33"/>
        <v/>
      </c>
      <c r="I2258" s="16"/>
      <c r="J2258" s="16"/>
      <c r="K2258" s="16"/>
      <c r="L2258" s="16"/>
      <c r="M2258" s="15"/>
      <c r="N2258" s="15"/>
      <c r="O2258" s="16"/>
      <c r="P2258" s="16"/>
      <c r="Q2258" s="16"/>
      <c r="R2258" s="16"/>
      <c r="S2258" s="37" t="str">
        <f>IFERROR(__xludf.DUMMYFUNCTION("if(not(iserror(index(split(C2258, "" ""),2))), index(split(C2258, "" ""),1),"""")"),"")</f>
        <v/>
      </c>
      <c r="T2258" s="315" t="str">
        <f>IFERROR(__xludf.DUMMYFUNCTION("if(S2258="""",C2258,if(not(iserror(index(split(C2258, "" ""),3))), index(split(C2258, "" ""),3),index(split(C2258, "" ""),2)))"),"")</f>
        <v/>
      </c>
      <c r="U2258" s="38" t="b">
        <f t="shared" si="34"/>
        <v>0</v>
      </c>
      <c r="V2258" s="38"/>
      <c r="W2258" s="40"/>
      <c r="X2258" s="40"/>
      <c r="Y2258" s="38"/>
      <c r="Z2258" s="38"/>
      <c r="AA2258" s="38"/>
      <c r="AB2258" s="38"/>
      <c r="AC2258" s="38"/>
      <c r="AD2258" s="38"/>
      <c r="AE2258" s="38"/>
      <c r="AF2258" s="38"/>
      <c r="AG2258" s="38"/>
      <c r="AH2258" s="38"/>
      <c r="AI2258" s="38"/>
      <c r="AJ2258" s="38"/>
      <c r="AK2258" s="38"/>
      <c r="AL2258" s="38"/>
      <c r="AM2258" s="38"/>
      <c r="AN2258" s="38"/>
      <c r="AO2258" s="38"/>
      <c r="AP2258" s="38"/>
      <c r="AQ2258" s="38"/>
      <c r="AR2258" s="38"/>
      <c r="AS2258" s="38"/>
      <c r="AT2258" s="38"/>
      <c r="AU2258" s="38"/>
      <c r="AV2258" s="38"/>
      <c r="AW2258" s="38"/>
      <c r="AX2258" s="38"/>
      <c r="AY2258" s="38"/>
      <c r="AZ2258" s="38"/>
      <c r="BA2258" s="38"/>
      <c r="BB2258" s="38"/>
      <c r="BC2258" s="38"/>
      <c r="BD2258" s="38"/>
      <c r="BE2258" s="38"/>
      <c r="BF2258" s="38"/>
      <c r="BG2258" s="38"/>
      <c r="BH2258" s="38"/>
      <c r="BI2258" s="38"/>
      <c r="BJ2258" s="38"/>
      <c r="BK2258" s="38"/>
      <c r="BL2258" s="38"/>
      <c r="BM2258" s="38"/>
      <c r="BN2258" s="38"/>
      <c r="BO2258" s="38"/>
      <c r="BP2258" s="38"/>
      <c r="BQ2258" s="38"/>
    </row>
    <row r="2259">
      <c r="A2259" s="16"/>
      <c r="B2259" s="16"/>
      <c r="C2259" s="146"/>
      <c r="D2259" s="146"/>
      <c r="E2259" s="16"/>
      <c r="F2259" s="91"/>
      <c r="G2259" s="16"/>
      <c r="H2259" s="320" t="str">
        <f t="shared" si="33"/>
        <v/>
      </c>
      <c r="I2259" s="16"/>
      <c r="J2259" s="16"/>
      <c r="K2259" s="16"/>
      <c r="L2259" s="16"/>
      <c r="M2259" s="15"/>
      <c r="N2259" s="15"/>
      <c r="O2259" s="16"/>
      <c r="P2259" s="16"/>
      <c r="Q2259" s="16"/>
      <c r="R2259" s="16"/>
      <c r="S2259" s="37" t="str">
        <f>IFERROR(__xludf.DUMMYFUNCTION("if(not(iserror(index(split(C2259, "" ""),2))), index(split(C2259, "" ""),1),"""")"),"")</f>
        <v/>
      </c>
      <c r="T2259" s="315" t="str">
        <f>IFERROR(__xludf.DUMMYFUNCTION("if(S2259="""",C2259,if(not(iserror(index(split(C2259, "" ""),3))), index(split(C2259, "" ""),3),index(split(C2259, "" ""),2)))"),"")</f>
        <v/>
      </c>
      <c r="U2259" s="38" t="b">
        <f t="shared" si="34"/>
        <v>0</v>
      </c>
      <c r="V2259" s="38"/>
      <c r="W2259" s="40"/>
      <c r="X2259" s="40"/>
      <c r="Y2259" s="38"/>
      <c r="Z2259" s="38"/>
      <c r="AA2259" s="38"/>
      <c r="AB2259" s="38"/>
      <c r="AC2259" s="38"/>
      <c r="AD2259" s="38"/>
      <c r="AE2259" s="38"/>
      <c r="AF2259" s="38"/>
      <c r="AG2259" s="38"/>
      <c r="AH2259" s="38"/>
      <c r="AI2259" s="38"/>
      <c r="AJ2259" s="38"/>
      <c r="AK2259" s="38"/>
      <c r="AL2259" s="38"/>
      <c r="AM2259" s="38"/>
      <c r="AN2259" s="38"/>
      <c r="AO2259" s="38"/>
      <c r="AP2259" s="38"/>
      <c r="AQ2259" s="38"/>
      <c r="AR2259" s="38"/>
      <c r="AS2259" s="38"/>
      <c r="AT2259" s="38"/>
      <c r="AU2259" s="38"/>
      <c r="AV2259" s="38"/>
      <c r="AW2259" s="38"/>
      <c r="AX2259" s="38"/>
      <c r="AY2259" s="38"/>
      <c r="AZ2259" s="38"/>
      <c r="BA2259" s="38"/>
      <c r="BB2259" s="38"/>
      <c r="BC2259" s="38"/>
      <c r="BD2259" s="38"/>
      <c r="BE2259" s="38"/>
      <c r="BF2259" s="38"/>
      <c r="BG2259" s="38"/>
      <c r="BH2259" s="38"/>
      <c r="BI2259" s="38"/>
      <c r="BJ2259" s="38"/>
      <c r="BK2259" s="38"/>
      <c r="BL2259" s="38"/>
      <c r="BM2259" s="38"/>
      <c r="BN2259" s="38"/>
      <c r="BO2259" s="38"/>
      <c r="BP2259" s="38"/>
      <c r="BQ2259" s="38"/>
    </row>
    <row r="2260">
      <c r="A2260" s="16"/>
      <c r="B2260" s="16"/>
      <c r="C2260" s="146"/>
      <c r="D2260" s="146"/>
      <c r="E2260" s="16"/>
      <c r="F2260" s="91"/>
      <c r="G2260" s="16"/>
      <c r="H2260" s="320" t="str">
        <f t="shared" si="33"/>
        <v/>
      </c>
      <c r="I2260" s="16"/>
      <c r="J2260" s="16"/>
      <c r="K2260" s="16"/>
      <c r="L2260" s="16"/>
      <c r="M2260" s="15"/>
      <c r="N2260" s="15"/>
      <c r="O2260" s="16"/>
      <c r="P2260" s="16"/>
      <c r="Q2260" s="16"/>
      <c r="R2260" s="16"/>
      <c r="S2260" s="37" t="str">
        <f>IFERROR(__xludf.DUMMYFUNCTION("if(not(iserror(index(split(C2260, "" ""),2))), index(split(C2260, "" ""),1),"""")"),"")</f>
        <v/>
      </c>
      <c r="T2260" s="315" t="str">
        <f>IFERROR(__xludf.DUMMYFUNCTION("if(S2260="""",C2260,if(not(iserror(index(split(C2260, "" ""),3))), index(split(C2260, "" ""),3),index(split(C2260, "" ""),2)))"),"")</f>
        <v/>
      </c>
      <c r="U2260" s="38" t="b">
        <f t="shared" si="34"/>
        <v>0</v>
      </c>
      <c r="V2260" s="38"/>
      <c r="W2260" s="40"/>
      <c r="X2260" s="40"/>
      <c r="Y2260" s="38"/>
      <c r="Z2260" s="38"/>
      <c r="AA2260" s="38"/>
      <c r="AB2260" s="38"/>
      <c r="AC2260" s="38"/>
      <c r="AD2260" s="38"/>
      <c r="AE2260" s="38"/>
      <c r="AF2260" s="38"/>
      <c r="AG2260" s="38"/>
      <c r="AH2260" s="38"/>
      <c r="AI2260" s="38"/>
      <c r="AJ2260" s="38"/>
      <c r="AK2260" s="38"/>
      <c r="AL2260" s="38"/>
      <c r="AM2260" s="38"/>
      <c r="AN2260" s="38"/>
      <c r="AO2260" s="38"/>
      <c r="AP2260" s="38"/>
      <c r="AQ2260" s="38"/>
      <c r="AR2260" s="38"/>
      <c r="AS2260" s="38"/>
      <c r="AT2260" s="38"/>
      <c r="AU2260" s="38"/>
      <c r="AV2260" s="38"/>
      <c r="AW2260" s="38"/>
      <c r="AX2260" s="38"/>
      <c r="AY2260" s="38"/>
      <c r="AZ2260" s="38"/>
      <c r="BA2260" s="38"/>
      <c r="BB2260" s="38"/>
      <c r="BC2260" s="38"/>
      <c r="BD2260" s="38"/>
      <c r="BE2260" s="38"/>
      <c r="BF2260" s="38"/>
      <c r="BG2260" s="38"/>
      <c r="BH2260" s="38"/>
      <c r="BI2260" s="38"/>
      <c r="BJ2260" s="38"/>
      <c r="BK2260" s="38"/>
      <c r="BL2260" s="38"/>
      <c r="BM2260" s="38"/>
      <c r="BN2260" s="38"/>
      <c r="BO2260" s="38"/>
      <c r="BP2260" s="38"/>
      <c r="BQ2260" s="38"/>
    </row>
    <row r="2261">
      <c r="A2261" s="16"/>
      <c r="B2261" s="16"/>
      <c r="C2261" s="146"/>
      <c r="D2261" s="146"/>
      <c r="E2261" s="16"/>
      <c r="F2261" s="91"/>
      <c r="G2261" s="16"/>
      <c r="H2261" s="320" t="str">
        <f t="shared" si="33"/>
        <v/>
      </c>
      <c r="I2261" s="16"/>
      <c r="J2261" s="16"/>
      <c r="K2261" s="16"/>
      <c r="L2261" s="16"/>
      <c r="M2261" s="15"/>
      <c r="N2261" s="15"/>
      <c r="O2261" s="16"/>
      <c r="P2261" s="16"/>
      <c r="Q2261" s="16"/>
      <c r="R2261" s="16"/>
      <c r="S2261" s="37" t="str">
        <f>IFERROR(__xludf.DUMMYFUNCTION("if(not(iserror(index(split(C2261, "" ""),2))), index(split(C2261, "" ""),1),"""")"),"")</f>
        <v/>
      </c>
      <c r="T2261" s="315" t="str">
        <f>IFERROR(__xludf.DUMMYFUNCTION("if(S2261="""",C2261,if(not(iserror(index(split(C2261, "" ""),3))), index(split(C2261, "" ""),3),index(split(C2261, "" ""),2)))"),"")</f>
        <v/>
      </c>
      <c r="U2261" s="38" t="b">
        <f t="shared" si="34"/>
        <v>0</v>
      </c>
      <c r="V2261" s="38"/>
      <c r="W2261" s="40"/>
      <c r="X2261" s="40"/>
      <c r="Y2261" s="38"/>
      <c r="Z2261" s="38"/>
      <c r="AA2261" s="38"/>
      <c r="AB2261" s="38"/>
      <c r="AC2261" s="38"/>
      <c r="AD2261" s="38"/>
      <c r="AE2261" s="38"/>
      <c r="AF2261" s="38"/>
      <c r="AG2261" s="38"/>
      <c r="AH2261" s="38"/>
      <c r="AI2261" s="38"/>
      <c r="AJ2261" s="38"/>
      <c r="AK2261" s="38"/>
      <c r="AL2261" s="38"/>
      <c r="AM2261" s="38"/>
      <c r="AN2261" s="38"/>
      <c r="AO2261" s="38"/>
      <c r="AP2261" s="38"/>
      <c r="AQ2261" s="38"/>
      <c r="AR2261" s="38"/>
      <c r="AS2261" s="38"/>
      <c r="AT2261" s="38"/>
      <c r="AU2261" s="38"/>
      <c r="AV2261" s="38"/>
      <c r="AW2261" s="38"/>
      <c r="AX2261" s="38"/>
      <c r="AY2261" s="38"/>
      <c r="AZ2261" s="38"/>
      <c r="BA2261" s="38"/>
      <c r="BB2261" s="38"/>
      <c r="BC2261" s="38"/>
      <c r="BD2261" s="38"/>
      <c r="BE2261" s="38"/>
      <c r="BF2261" s="38"/>
      <c r="BG2261" s="38"/>
      <c r="BH2261" s="38"/>
      <c r="BI2261" s="38"/>
      <c r="BJ2261" s="38"/>
      <c r="BK2261" s="38"/>
      <c r="BL2261" s="38"/>
      <c r="BM2261" s="38"/>
      <c r="BN2261" s="38"/>
      <c r="BO2261" s="38"/>
      <c r="BP2261" s="38"/>
      <c r="BQ2261" s="38"/>
    </row>
    <row r="2262">
      <c r="A2262" s="16"/>
      <c r="B2262" s="16"/>
      <c r="C2262" s="146"/>
      <c r="D2262" s="146"/>
      <c r="E2262" s="16"/>
      <c r="F2262" s="91"/>
      <c r="G2262" s="16"/>
      <c r="H2262" s="320" t="str">
        <f t="shared" si="33"/>
        <v/>
      </c>
      <c r="I2262" s="16"/>
      <c r="J2262" s="16"/>
      <c r="K2262" s="16"/>
      <c r="L2262" s="16"/>
      <c r="M2262" s="15"/>
      <c r="N2262" s="15"/>
      <c r="O2262" s="16"/>
      <c r="P2262" s="16"/>
      <c r="Q2262" s="16"/>
      <c r="R2262" s="16"/>
      <c r="S2262" s="37" t="str">
        <f>IFERROR(__xludf.DUMMYFUNCTION("if(not(iserror(index(split(C2262, "" ""),2))), index(split(C2262, "" ""),1),"""")"),"")</f>
        <v/>
      </c>
      <c r="T2262" s="315" t="str">
        <f>IFERROR(__xludf.DUMMYFUNCTION("if(S2262="""",C2262,if(not(iserror(index(split(C2262, "" ""),3))), index(split(C2262, "" ""),3),index(split(C2262, "" ""),2)))"),"")</f>
        <v/>
      </c>
      <c r="U2262" s="38" t="b">
        <f t="shared" si="34"/>
        <v>0</v>
      </c>
      <c r="V2262" s="38"/>
      <c r="W2262" s="40"/>
      <c r="X2262" s="40"/>
      <c r="Y2262" s="38"/>
      <c r="Z2262" s="38"/>
      <c r="AA2262" s="38"/>
      <c r="AB2262" s="38"/>
      <c r="AC2262" s="38"/>
      <c r="AD2262" s="38"/>
      <c r="AE2262" s="38"/>
      <c r="AF2262" s="38"/>
      <c r="AG2262" s="38"/>
      <c r="AH2262" s="38"/>
      <c r="AI2262" s="38"/>
      <c r="AJ2262" s="38"/>
      <c r="AK2262" s="38"/>
      <c r="AL2262" s="38"/>
      <c r="AM2262" s="38"/>
      <c r="AN2262" s="38"/>
      <c r="AO2262" s="38"/>
      <c r="AP2262" s="38"/>
      <c r="AQ2262" s="38"/>
      <c r="AR2262" s="38"/>
      <c r="AS2262" s="38"/>
      <c r="AT2262" s="38"/>
      <c r="AU2262" s="38"/>
      <c r="AV2262" s="38"/>
      <c r="AW2262" s="38"/>
      <c r="AX2262" s="38"/>
      <c r="AY2262" s="38"/>
      <c r="AZ2262" s="38"/>
      <c r="BA2262" s="38"/>
      <c r="BB2262" s="38"/>
      <c r="BC2262" s="38"/>
      <c r="BD2262" s="38"/>
      <c r="BE2262" s="38"/>
      <c r="BF2262" s="38"/>
      <c r="BG2262" s="38"/>
      <c r="BH2262" s="38"/>
      <c r="BI2262" s="38"/>
      <c r="BJ2262" s="38"/>
      <c r="BK2262" s="38"/>
      <c r="BL2262" s="38"/>
      <c r="BM2262" s="38"/>
      <c r="BN2262" s="38"/>
      <c r="BO2262" s="38"/>
      <c r="BP2262" s="38"/>
      <c r="BQ2262" s="38"/>
    </row>
    <row r="2263">
      <c r="A2263" s="16"/>
      <c r="B2263" s="16"/>
      <c r="C2263" s="146"/>
      <c r="D2263" s="146"/>
      <c r="E2263" s="16"/>
      <c r="F2263" s="91"/>
      <c r="G2263" s="16"/>
      <c r="H2263" s="320" t="str">
        <f t="shared" si="33"/>
        <v/>
      </c>
      <c r="I2263" s="16"/>
      <c r="J2263" s="16"/>
      <c r="K2263" s="16"/>
      <c r="L2263" s="16"/>
      <c r="M2263" s="15"/>
      <c r="N2263" s="15"/>
      <c r="O2263" s="16"/>
      <c r="P2263" s="16"/>
      <c r="Q2263" s="16"/>
      <c r="R2263" s="16"/>
      <c r="S2263" s="37" t="str">
        <f>IFERROR(__xludf.DUMMYFUNCTION("if(not(iserror(index(split(C2263, "" ""),2))), index(split(C2263, "" ""),1),"""")"),"")</f>
        <v/>
      </c>
      <c r="T2263" s="315" t="str">
        <f>IFERROR(__xludf.DUMMYFUNCTION("if(S2263="""",C2263,if(not(iserror(index(split(C2263, "" ""),3))), index(split(C2263, "" ""),3),index(split(C2263, "" ""),2)))"),"")</f>
        <v/>
      </c>
      <c r="U2263" s="38" t="b">
        <f t="shared" si="34"/>
        <v>0</v>
      </c>
      <c r="V2263" s="38"/>
      <c r="W2263" s="40"/>
      <c r="X2263" s="40"/>
      <c r="Y2263" s="38"/>
      <c r="Z2263" s="38"/>
      <c r="AA2263" s="38"/>
      <c r="AB2263" s="38"/>
      <c r="AC2263" s="38"/>
      <c r="AD2263" s="38"/>
      <c r="AE2263" s="38"/>
      <c r="AF2263" s="38"/>
      <c r="AG2263" s="38"/>
      <c r="AH2263" s="38"/>
      <c r="AI2263" s="38"/>
      <c r="AJ2263" s="38"/>
      <c r="AK2263" s="38"/>
      <c r="AL2263" s="38"/>
      <c r="AM2263" s="38"/>
      <c r="AN2263" s="38"/>
      <c r="AO2263" s="38"/>
      <c r="AP2263" s="38"/>
      <c r="AQ2263" s="38"/>
      <c r="AR2263" s="38"/>
      <c r="AS2263" s="38"/>
      <c r="AT2263" s="38"/>
      <c r="AU2263" s="38"/>
      <c r="AV2263" s="38"/>
      <c r="AW2263" s="38"/>
      <c r="AX2263" s="38"/>
      <c r="AY2263" s="38"/>
      <c r="AZ2263" s="38"/>
      <c r="BA2263" s="38"/>
      <c r="BB2263" s="38"/>
      <c r="BC2263" s="38"/>
      <c r="BD2263" s="38"/>
      <c r="BE2263" s="38"/>
      <c r="BF2263" s="38"/>
      <c r="BG2263" s="38"/>
      <c r="BH2263" s="38"/>
      <c r="BI2263" s="38"/>
      <c r="BJ2263" s="38"/>
      <c r="BK2263" s="38"/>
      <c r="BL2263" s="38"/>
      <c r="BM2263" s="38"/>
      <c r="BN2263" s="38"/>
      <c r="BO2263" s="38"/>
      <c r="BP2263" s="38"/>
      <c r="BQ2263" s="38"/>
    </row>
    <row r="2264">
      <c r="A2264" s="16"/>
      <c r="B2264" s="16"/>
      <c r="C2264" s="146"/>
      <c r="D2264" s="146"/>
      <c r="E2264" s="16"/>
      <c r="F2264" s="91"/>
      <c r="G2264" s="16"/>
      <c r="H2264" s="320" t="str">
        <f t="shared" si="33"/>
        <v/>
      </c>
      <c r="I2264" s="16"/>
      <c r="J2264" s="16"/>
      <c r="K2264" s="16"/>
      <c r="L2264" s="16"/>
      <c r="M2264" s="15"/>
      <c r="N2264" s="15"/>
      <c r="O2264" s="16"/>
      <c r="P2264" s="16"/>
      <c r="Q2264" s="16"/>
      <c r="R2264" s="16"/>
      <c r="S2264" s="37" t="str">
        <f>IFERROR(__xludf.DUMMYFUNCTION("if(not(iserror(index(split(C2264, "" ""),2))), index(split(C2264, "" ""),1),"""")"),"")</f>
        <v/>
      </c>
      <c r="T2264" s="315" t="str">
        <f>IFERROR(__xludf.DUMMYFUNCTION("if(S2264="""",C2264,if(not(iserror(index(split(C2264, "" ""),3))), index(split(C2264, "" ""),3),index(split(C2264, "" ""),2)))"),"")</f>
        <v/>
      </c>
      <c r="U2264" s="38" t="b">
        <f t="shared" si="34"/>
        <v>0</v>
      </c>
      <c r="V2264" s="38"/>
      <c r="W2264" s="40"/>
      <c r="X2264" s="40"/>
      <c r="Y2264" s="38"/>
      <c r="Z2264" s="38"/>
      <c r="AA2264" s="38"/>
      <c r="AB2264" s="38"/>
      <c r="AC2264" s="38"/>
      <c r="AD2264" s="38"/>
      <c r="AE2264" s="38"/>
      <c r="AF2264" s="38"/>
      <c r="AG2264" s="38"/>
      <c r="AH2264" s="38"/>
      <c r="AI2264" s="38"/>
      <c r="AJ2264" s="38"/>
      <c r="AK2264" s="38"/>
      <c r="AL2264" s="38"/>
      <c r="AM2264" s="38"/>
      <c r="AN2264" s="38"/>
      <c r="AO2264" s="38"/>
      <c r="AP2264" s="38"/>
      <c r="AQ2264" s="38"/>
      <c r="AR2264" s="38"/>
      <c r="AS2264" s="38"/>
      <c r="AT2264" s="38"/>
      <c r="AU2264" s="38"/>
      <c r="AV2264" s="38"/>
      <c r="AW2264" s="38"/>
      <c r="AX2264" s="38"/>
      <c r="AY2264" s="38"/>
      <c r="AZ2264" s="38"/>
      <c r="BA2264" s="38"/>
      <c r="BB2264" s="38"/>
      <c r="BC2264" s="38"/>
      <c r="BD2264" s="38"/>
      <c r="BE2264" s="38"/>
      <c r="BF2264" s="38"/>
      <c r="BG2264" s="38"/>
      <c r="BH2264" s="38"/>
      <c r="BI2264" s="38"/>
      <c r="BJ2264" s="38"/>
      <c r="BK2264" s="38"/>
      <c r="BL2264" s="38"/>
      <c r="BM2264" s="38"/>
      <c r="BN2264" s="38"/>
      <c r="BO2264" s="38"/>
      <c r="BP2264" s="38"/>
      <c r="BQ2264" s="38"/>
    </row>
    <row r="2265">
      <c r="A2265" s="16"/>
      <c r="B2265" s="16"/>
      <c r="C2265" s="146"/>
      <c r="D2265" s="146"/>
      <c r="E2265" s="16"/>
      <c r="F2265" s="91"/>
      <c r="G2265" s="16"/>
      <c r="H2265" s="320" t="str">
        <f t="shared" si="33"/>
        <v/>
      </c>
      <c r="I2265" s="16"/>
      <c r="J2265" s="16"/>
      <c r="K2265" s="16"/>
      <c r="L2265" s="16"/>
      <c r="M2265" s="15"/>
      <c r="N2265" s="15"/>
      <c r="O2265" s="16"/>
      <c r="P2265" s="16"/>
      <c r="Q2265" s="16"/>
      <c r="R2265" s="16"/>
      <c r="S2265" s="37" t="str">
        <f>IFERROR(__xludf.DUMMYFUNCTION("if(not(iserror(index(split(C2265, "" ""),2))), index(split(C2265, "" ""),1),"""")"),"")</f>
        <v/>
      </c>
      <c r="T2265" s="315" t="str">
        <f>IFERROR(__xludf.DUMMYFUNCTION("if(S2265="""",C2265,if(not(iserror(index(split(C2265, "" ""),3))), index(split(C2265, "" ""),3),index(split(C2265, "" ""),2)))"),"")</f>
        <v/>
      </c>
      <c r="U2265" s="38" t="b">
        <f t="shared" si="34"/>
        <v>0</v>
      </c>
      <c r="V2265" s="38"/>
      <c r="W2265" s="40"/>
      <c r="X2265" s="40"/>
      <c r="Y2265" s="38"/>
      <c r="Z2265" s="38"/>
      <c r="AA2265" s="38"/>
      <c r="AB2265" s="38"/>
      <c r="AC2265" s="38"/>
      <c r="AD2265" s="38"/>
      <c r="AE2265" s="38"/>
      <c r="AF2265" s="38"/>
      <c r="AG2265" s="38"/>
      <c r="AH2265" s="38"/>
      <c r="AI2265" s="38"/>
      <c r="AJ2265" s="38"/>
      <c r="AK2265" s="38"/>
      <c r="AL2265" s="38"/>
      <c r="AM2265" s="38"/>
      <c r="AN2265" s="38"/>
      <c r="AO2265" s="38"/>
      <c r="AP2265" s="38"/>
      <c r="AQ2265" s="38"/>
      <c r="AR2265" s="38"/>
      <c r="AS2265" s="38"/>
      <c r="AT2265" s="38"/>
      <c r="AU2265" s="38"/>
      <c r="AV2265" s="38"/>
      <c r="AW2265" s="38"/>
      <c r="AX2265" s="38"/>
      <c r="AY2265" s="38"/>
      <c r="AZ2265" s="38"/>
      <c r="BA2265" s="38"/>
      <c r="BB2265" s="38"/>
      <c r="BC2265" s="38"/>
      <c r="BD2265" s="38"/>
      <c r="BE2265" s="38"/>
      <c r="BF2265" s="38"/>
      <c r="BG2265" s="38"/>
      <c r="BH2265" s="38"/>
      <c r="BI2265" s="38"/>
      <c r="BJ2265" s="38"/>
      <c r="BK2265" s="38"/>
      <c r="BL2265" s="38"/>
      <c r="BM2265" s="38"/>
      <c r="BN2265" s="38"/>
      <c r="BO2265" s="38"/>
      <c r="BP2265" s="38"/>
      <c r="BQ2265" s="38"/>
    </row>
    <row r="2266">
      <c r="A2266" s="16"/>
      <c r="B2266" s="16"/>
      <c r="C2266" s="146"/>
      <c r="D2266" s="146"/>
      <c r="E2266" s="16"/>
      <c r="F2266" s="91"/>
      <c r="G2266" s="16"/>
      <c r="H2266" s="320" t="str">
        <f t="shared" si="33"/>
        <v/>
      </c>
      <c r="I2266" s="16"/>
      <c r="J2266" s="16"/>
      <c r="K2266" s="16"/>
      <c r="L2266" s="16"/>
      <c r="M2266" s="15"/>
      <c r="N2266" s="15"/>
      <c r="O2266" s="16"/>
      <c r="P2266" s="16"/>
      <c r="Q2266" s="16"/>
      <c r="R2266" s="16"/>
      <c r="S2266" s="37" t="str">
        <f>IFERROR(__xludf.DUMMYFUNCTION("if(not(iserror(index(split(C2266, "" ""),2))), index(split(C2266, "" ""),1),"""")"),"")</f>
        <v/>
      </c>
      <c r="T2266" s="315" t="str">
        <f>IFERROR(__xludf.DUMMYFUNCTION("if(S2266="""",C2266,if(not(iserror(index(split(C2266, "" ""),3))), index(split(C2266, "" ""),3),index(split(C2266, "" ""),2)))"),"")</f>
        <v/>
      </c>
      <c r="U2266" s="38" t="b">
        <f t="shared" si="34"/>
        <v>0</v>
      </c>
      <c r="V2266" s="38"/>
      <c r="W2266" s="40"/>
      <c r="X2266" s="40"/>
      <c r="Y2266" s="38"/>
      <c r="Z2266" s="38"/>
      <c r="AA2266" s="38"/>
      <c r="AB2266" s="38"/>
      <c r="AC2266" s="38"/>
      <c r="AD2266" s="38"/>
      <c r="AE2266" s="38"/>
      <c r="AF2266" s="38"/>
      <c r="AG2266" s="38"/>
      <c r="AH2266" s="38"/>
      <c r="AI2266" s="38"/>
      <c r="AJ2266" s="38"/>
      <c r="AK2266" s="38"/>
      <c r="AL2266" s="38"/>
      <c r="AM2266" s="38"/>
      <c r="AN2266" s="38"/>
      <c r="AO2266" s="38"/>
      <c r="AP2266" s="38"/>
      <c r="AQ2266" s="38"/>
      <c r="AR2266" s="38"/>
      <c r="AS2266" s="38"/>
      <c r="AT2266" s="38"/>
      <c r="AU2266" s="38"/>
      <c r="AV2266" s="38"/>
      <c r="AW2266" s="38"/>
      <c r="AX2266" s="38"/>
      <c r="AY2266" s="38"/>
      <c r="AZ2266" s="38"/>
      <c r="BA2266" s="38"/>
      <c r="BB2266" s="38"/>
      <c r="BC2266" s="38"/>
      <c r="BD2266" s="38"/>
      <c r="BE2266" s="38"/>
      <c r="BF2266" s="38"/>
      <c r="BG2266" s="38"/>
      <c r="BH2266" s="38"/>
      <c r="BI2266" s="38"/>
      <c r="BJ2266" s="38"/>
      <c r="BK2266" s="38"/>
      <c r="BL2266" s="38"/>
      <c r="BM2266" s="38"/>
      <c r="BN2266" s="38"/>
      <c r="BO2266" s="38"/>
      <c r="BP2266" s="38"/>
      <c r="BQ2266" s="38"/>
    </row>
    <row r="2267">
      <c r="A2267" s="16"/>
      <c r="B2267" s="16"/>
      <c r="C2267" s="146"/>
      <c r="D2267" s="146"/>
      <c r="E2267" s="16"/>
      <c r="F2267" s="91"/>
      <c r="G2267" s="16"/>
      <c r="H2267" s="320" t="str">
        <f t="shared" si="33"/>
        <v/>
      </c>
      <c r="I2267" s="16"/>
      <c r="J2267" s="16"/>
      <c r="K2267" s="16"/>
      <c r="L2267" s="16"/>
      <c r="M2267" s="15"/>
      <c r="N2267" s="15"/>
      <c r="O2267" s="16"/>
      <c r="P2267" s="16"/>
      <c r="Q2267" s="16"/>
      <c r="R2267" s="16"/>
      <c r="S2267" s="37" t="str">
        <f>IFERROR(__xludf.DUMMYFUNCTION("if(not(iserror(index(split(C2267, "" ""),2))), index(split(C2267, "" ""),1),"""")"),"")</f>
        <v/>
      </c>
      <c r="T2267" s="315" t="str">
        <f>IFERROR(__xludf.DUMMYFUNCTION("if(S2267="""",C2267,if(not(iserror(index(split(C2267, "" ""),3))), index(split(C2267, "" ""),3),index(split(C2267, "" ""),2)))"),"")</f>
        <v/>
      </c>
      <c r="U2267" s="38" t="b">
        <f t="shared" si="34"/>
        <v>0</v>
      </c>
      <c r="V2267" s="38"/>
      <c r="W2267" s="40"/>
      <c r="X2267" s="40"/>
      <c r="Y2267" s="38"/>
      <c r="Z2267" s="38"/>
      <c r="AA2267" s="38"/>
      <c r="AB2267" s="38"/>
      <c r="AC2267" s="38"/>
      <c r="AD2267" s="38"/>
      <c r="AE2267" s="38"/>
      <c r="AF2267" s="38"/>
      <c r="AG2267" s="38"/>
      <c r="AH2267" s="38"/>
      <c r="AI2267" s="38"/>
      <c r="AJ2267" s="38"/>
      <c r="AK2267" s="38"/>
      <c r="AL2267" s="38"/>
      <c r="AM2267" s="38"/>
      <c r="AN2267" s="38"/>
      <c r="AO2267" s="38"/>
      <c r="AP2267" s="38"/>
      <c r="AQ2267" s="38"/>
      <c r="AR2267" s="38"/>
      <c r="AS2267" s="38"/>
      <c r="AT2267" s="38"/>
      <c r="AU2267" s="38"/>
      <c r="AV2267" s="38"/>
      <c r="AW2267" s="38"/>
      <c r="AX2267" s="38"/>
      <c r="AY2267" s="38"/>
      <c r="AZ2267" s="38"/>
      <c r="BA2267" s="38"/>
      <c r="BB2267" s="38"/>
      <c r="BC2267" s="38"/>
      <c r="BD2267" s="38"/>
      <c r="BE2267" s="38"/>
      <c r="BF2267" s="38"/>
      <c r="BG2267" s="38"/>
      <c r="BH2267" s="38"/>
      <c r="BI2267" s="38"/>
      <c r="BJ2267" s="38"/>
      <c r="BK2267" s="38"/>
      <c r="BL2267" s="38"/>
      <c r="BM2267" s="38"/>
      <c r="BN2267" s="38"/>
      <c r="BO2267" s="38"/>
      <c r="BP2267" s="38"/>
      <c r="BQ2267" s="38"/>
    </row>
    <row r="2268">
      <c r="A2268" s="16"/>
      <c r="B2268" s="16"/>
      <c r="C2268" s="146"/>
      <c r="D2268" s="146"/>
      <c r="E2268" s="16"/>
      <c r="F2268" s="91"/>
      <c r="G2268" s="16"/>
      <c r="H2268" s="320" t="str">
        <f t="shared" si="33"/>
        <v/>
      </c>
      <c r="I2268" s="16"/>
      <c r="J2268" s="16"/>
      <c r="K2268" s="16"/>
      <c r="L2268" s="16"/>
      <c r="M2268" s="15"/>
      <c r="N2268" s="15"/>
      <c r="O2268" s="16"/>
      <c r="P2268" s="16"/>
      <c r="Q2268" s="16"/>
      <c r="R2268" s="16"/>
      <c r="S2268" s="37" t="str">
        <f>IFERROR(__xludf.DUMMYFUNCTION("if(not(iserror(index(split(C2268, "" ""),2))), index(split(C2268, "" ""),1),"""")"),"")</f>
        <v/>
      </c>
      <c r="T2268" s="315" t="str">
        <f>IFERROR(__xludf.DUMMYFUNCTION("if(S2268="""",C2268,if(not(iserror(index(split(C2268, "" ""),3))), index(split(C2268, "" ""),3),index(split(C2268, "" ""),2)))"),"")</f>
        <v/>
      </c>
      <c r="U2268" s="38" t="b">
        <f t="shared" si="34"/>
        <v>0</v>
      </c>
      <c r="V2268" s="38"/>
      <c r="W2268" s="40"/>
      <c r="X2268" s="40"/>
      <c r="Y2268" s="38"/>
      <c r="Z2268" s="38"/>
      <c r="AA2268" s="38"/>
      <c r="AB2268" s="38"/>
      <c r="AC2268" s="38"/>
      <c r="AD2268" s="38"/>
      <c r="AE2268" s="38"/>
      <c r="AF2268" s="38"/>
      <c r="AG2268" s="38"/>
      <c r="AH2268" s="38"/>
      <c r="AI2268" s="38"/>
      <c r="AJ2268" s="38"/>
      <c r="AK2268" s="38"/>
      <c r="AL2268" s="38"/>
      <c r="AM2268" s="38"/>
      <c r="AN2268" s="38"/>
      <c r="AO2268" s="38"/>
      <c r="AP2268" s="38"/>
      <c r="AQ2268" s="38"/>
      <c r="AR2268" s="38"/>
      <c r="AS2268" s="38"/>
      <c r="AT2268" s="38"/>
      <c r="AU2268" s="38"/>
      <c r="AV2268" s="38"/>
      <c r="AW2268" s="38"/>
      <c r="AX2268" s="38"/>
      <c r="AY2268" s="38"/>
      <c r="AZ2268" s="38"/>
      <c r="BA2268" s="38"/>
      <c r="BB2268" s="38"/>
      <c r="BC2268" s="38"/>
      <c r="BD2268" s="38"/>
      <c r="BE2268" s="38"/>
      <c r="BF2268" s="38"/>
      <c r="BG2268" s="38"/>
      <c r="BH2268" s="38"/>
      <c r="BI2268" s="38"/>
      <c r="BJ2268" s="38"/>
      <c r="BK2268" s="38"/>
      <c r="BL2268" s="38"/>
      <c r="BM2268" s="38"/>
      <c r="BN2268" s="38"/>
      <c r="BO2268" s="38"/>
      <c r="BP2268" s="38"/>
      <c r="BQ2268" s="38"/>
    </row>
    <row r="2269">
      <c r="A2269" s="16"/>
      <c r="B2269" s="16"/>
      <c r="C2269" s="146"/>
      <c r="D2269" s="146"/>
      <c r="E2269" s="16"/>
      <c r="F2269" s="91"/>
      <c r="G2269" s="16"/>
      <c r="H2269" s="320" t="str">
        <f t="shared" si="33"/>
        <v/>
      </c>
      <c r="I2269" s="16"/>
      <c r="J2269" s="16"/>
      <c r="K2269" s="16"/>
      <c r="L2269" s="16"/>
      <c r="M2269" s="15"/>
      <c r="N2269" s="15"/>
      <c r="O2269" s="16"/>
      <c r="P2269" s="16"/>
      <c r="Q2269" s="16"/>
      <c r="R2269" s="16"/>
      <c r="S2269" s="37" t="str">
        <f>IFERROR(__xludf.DUMMYFUNCTION("if(not(iserror(index(split(C2269, "" ""),2))), index(split(C2269, "" ""),1),"""")"),"")</f>
        <v/>
      </c>
      <c r="T2269" s="315" t="str">
        <f>IFERROR(__xludf.DUMMYFUNCTION("if(S2269="""",C2269,if(not(iserror(index(split(C2269, "" ""),3))), index(split(C2269, "" ""),3),index(split(C2269, "" ""),2)))"),"")</f>
        <v/>
      </c>
      <c r="U2269" s="38" t="b">
        <f t="shared" si="34"/>
        <v>0</v>
      </c>
      <c r="V2269" s="38"/>
      <c r="W2269" s="40"/>
      <c r="X2269" s="40"/>
      <c r="Y2269" s="38"/>
      <c r="Z2269" s="38"/>
      <c r="AA2269" s="38"/>
      <c r="AB2269" s="38"/>
      <c r="AC2269" s="38"/>
      <c r="AD2269" s="38"/>
      <c r="AE2269" s="38"/>
      <c r="AF2269" s="38"/>
      <c r="AG2269" s="38"/>
      <c r="AH2269" s="38"/>
      <c r="AI2269" s="38"/>
      <c r="AJ2269" s="38"/>
      <c r="AK2269" s="38"/>
      <c r="AL2269" s="38"/>
      <c r="AM2269" s="38"/>
      <c r="AN2269" s="38"/>
      <c r="AO2269" s="38"/>
      <c r="AP2269" s="38"/>
      <c r="AQ2269" s="38"/>
      <c r="AR2269" s="38"/>
      <c r="AS2269" s="38"/>
      <c r="AT2269" s="38"/>
      <c r="AU2269" s="38"/>
      <c r="AV2269" s="38"/>
      <c r="AW2269" s="38"/>
      <c r="AX2269" s="38"/>
      <c r="AY2269" s="38"/>
      <c r="AZ2269" s="38"/>
      <c r="BA2269" s="38"/>
      <c r="BB2269" s="38"/>
      <c r="BC2269" s="38"/>
      <c r="BD2269" s="38"/>
      <c r="BE2269" s="38"/>
      <c r="BF2269" s="38"/>
      <c r="BG2269" s="38"/>
      <c r="BH2269" s="38"/>
      <c r="BI2269" s="38"/>
      <c r="BJ2269" s="38"/>
      <c r="BK2269" s="38"/>
      <c r="BL2269" s="38"/>
      <c r="BM2269" s="38"/>
      <c r="BN2269" s="38"/>
      <c r="BO2269" s="38"/>
      <c r="BP2269" s="38"/>
      <c r="BQ2269" s="38"/>
    </row>
    <row r="2270">
      <c r="A2270" s="16"/>
      <c r="B2270" s="16"/>
      <c r="C2270" s="146"/>
      <c r="D2270" s="146"/>
      <c r="E2270" s="16"/>
      <c r="F2270" s="91"/>
      <c r="G2270" s="16"/>
      <c r="H2270" s="320" t="str">
        <f t="shared" si="33"/>
        <v/>
      </c>
      <c r="I2270" s="16"/>
      <c r="J2270" s="16"/>
      <c r="K2270" s="16"/>
      <c r="L2270" s="16"/>
      <c r="M2270" s="15"/>
      <c r="N2270" s="15"/>
      <c r="O2270" s="16"/>
      <c r="P2270" s="16"/>
      <c r="Q2270" s="16"/>
      <c r="R2270" s="16"/>
      <c r="S2270" s="37" t="str">
        <f>IFERROR(__xludf.DUMMYFUNCTION("if(not(iserror(index(split(C2270, "" ""),2))), index(split(C2270, "" ""),1),"""")"),"")</f>
        <v/>
      </c>
      <c r="T2270" s="315" t="str">
        <f>IFERROR(__xludf.DUMMYFUNCTION("if(S2270="""",C2270,if(not(iserror(index(split(C2270, "" ""),3))), index(split(C2270, "" ""),3),index(split(C2270, "" ""),2)))"),"")</f>
        <v/>
      </c>
      <c r="U2270" s="38" t="b">
        <f t="shared" si="34"/>
        <v>0</v>
      </c>
      <c r="V2270" s="38"/>
      <c r="W2270" s="40"/>
      <c r="X2270" s="40"/>
      <c r="Y2270" s="38"/>
      <c r="Z2270" s="38"/>
      <c r="AA2270" s="38"/>
      <c r="AB2270" s="38"/>
      <c r="AC2270" s="38"/>
      <c r="AD2270" s="38"/>
      <c r="AE2270" s="38"/>
      <c r="AF2270" s="38"/>
      <c r="AG2270" s="38"/>
      <c r="AH2270" s="38"/>
      <c r="AI2270" s="38"/>
      <c r="AJ2270" s="38"/>
      <c r="AK2270" s="38"/>
      <c r="AL2270" s="38"/>
      <c r="AM2270" s="38"/>
      <c r="AN2270" s="38"/>
      <c r="AO2270" s="38"/>
      <c r="AP2270" s="38"/>
      <c r="AQ2270" s="38"/>
      <c r="AR2270" s="38"/>
      <c r="AS2270" s="38"/>
      <c r="AT2270" s="38"/>
      <c r="AU2270" s="38"/>
      <c r="AV2270" s="38"/>
      <c r="AW2270" s="38"/>
      <c r="AX2270" s="38"/>
      <c r="AY2270" s="38"/>
      <c r="AZ2270" s="38"/>
      <c r="BA2270" s="38"/>
      <c r="BB2270" s="38"/>
      <c r="BC2270" s="38"/>
      <c r="BD2270" s="38"/>
      <c r="BE2270" s="38"/>
      <c r="BF2270" s="38"/>
      <c r="BG2270" s="38"/>
      <c r="BH2270" s="38"/>
      <c r="BI2270" s="38"/>
      <c r="BJ2270" s="38"/>
      <c r="BK2270" s="38"/>
      <c r="BL2270" s="38"/>
      <c r="BM2270" s="38"/>
      <c r="BN2270" s="38"/>
      <c r="BO2270" s="38"/>
      <c r="BP2270" s="38"/>
      <c r="BQ2270" s="38"/>
    </row>
    <row r="2271">
      <c r="A2271" s="16"/>
      <c r="B2271" s="16"/>
      <c r="C2271" s="146"/>
      <c r="D2271" s="146"/>
      <c r="E2271" s="16"/>
      <c r="F2271" s="91"/>
      <c r="G2271" s="16"/>
      <c r="H2271" s="320" t="str">
        <f t="shared" si="33"/>
        <v/>
      </c>
      <c r="I2271" s="16"/>
      <c r="J2271" s="16"/>
      <c r="K2271" s="16"/>
      <c r="L2271" s="16"/>
      <c r="M2271" s="15"/>
      <c r="N2271" s="15"/>
      <c r="O2271" s="16"/>
      <c r="P2271" s="16"/>
      <c r="Q2271" s="16"/>
      <c r="R2271" s="16"/>
      <c r="S2271" s="37" t="str">
        <f>IFERROR(__xludf.DUMMYFUNCTION("if(not(iserror(index(split(C2271, "" ""),2))), index(split(C2271, "" ""),1),"""")"),"")</f>
        <v/>
      </c>
      <c r="T2271" s="315" t="str">
        <f>IFERROR(__xludf.DUMMYFUNCTION("if(S2271="""",C2271,if(not(iserror(index(split(C2271, "" ""),3))), index(split(C2271, "" ""),3),index(split(C2271, "" ""),2)))"),"")</f>
        <v/>
      </c>
      <c r="U2271" s="38" t="b">
        <f t="shared" si="34"/>
        <v>0</v>
      </c>
      <c r="V2271" s="38"/>
      <c r="W2271" s="40"/>
      <c r="X2271" s="40"/>
      <c r="Y2271" s="38"/>
      <c r="Z2271" s="38"/>
      <c r="AA2271" s="38"/>
      <c r="AB2271" s="38"/>
      <c r="AC2271" s="38"/>
      <c r="AD2271" s="38"/>
      <c r="AE2271" s="38"/>
      <c r="AF2271" s="38"/>
      <c r="AG2271" s="38"/>
      <c r="AH2271" s="38"/>
      <c r="AI2271" s="38"/>
      <c r="AJ2271" s="38"/>
      <c r="AK2271" s="38"/>
      <c r="AL2271" s="38"/>
      <c r="AM2271" s="38"/>
      <c r="AN2271" s="38"/>
      <c r="AO2271" s="38"/>
      <c r="AP2271" s="38"/>
      <c r="AQ2271" s="38"/>
      <c r="AR2271" s="38"/>
      <c r="AS2271" s="38"/>
      <c r="AT2271" s="38"/>
      <c r="AU2271" s="38"/>
      <c r="AV2271" s="38"/>
      <c r="AW2271" s="38"/>
      <c r="AX2271" s="38"/>
      <c r="AY2271" s="38"/>
      <c r="AZ2271" s="38"/>
      <c r="BA2271" s="38"/>
      <c r="BB2271" s="38"/>
      <c r="BC2271" s="38"/>
      <c r="BD2271" s="38"/>
      <c r="BE2271" s="38"/>
      <c r="BF2271" s="38"/>
      <c r="BG2271" s="38"/>
      <c r="BH2271" s="38"/>
      <c r="BI2271" s="38"/>
      <c r="BJ2271" s="38"/>
      <c r="BK2271" s="38"/>
      <c r="BL2271" s="38"/>
      <c r="BM2271" s="38"/>
      <c r="BN2271" s="38"/>
      <c r="BO2271" s="38"/>
      <c r="BP2271" s="38"/>
      <c r="BQ2271" s="38"/>
    </row>
    <row r="2272">
      <c r="A2272" s="16"/>
      <c r="B2272" s="16"/>
      <c r="C2272" s="146"/>
      <c r="D2272" s="146"/>
      <c r="E2272" s="16"/>
      <c r="F2272" s="91"/>
      <c r="G2272" s="16"/>
      <c r="H2272" s="320" t="str">
        <f t="shared" si="33"/>
        <v/>
      </c>
      <c r="I2272" s="16"/>
      <c r="J2272" s="16"/>
      <c r="K2272" s="16"/>
      <c r="L2272" s="16"/>
      <c r="M2272" s="15"/>
      <c r="N2272" s="15"/>
      <c r="O2272" s="16"/>
      <c r="P2272" s="16"/>
      <c r="Q2272" s="16"/>
      <c r="R2272" s="16"/>
      <c r="S2272" s="37" t="str">
        <f>IFERROR(__xludf.DUMMYFUNCTION("if(not(iserror(index(split(C2272, "" ""),2))), index(split(C2272, "" ""),1),"""")"),"")</f>
        <v/>
      </c>
      <c r="T2272" s="315" t="str">
        <f>IFERROR(__xludf.DUMMYFUNCTION("if(S2272="""",C2272,if(not(iserror(index(split(C2272, "" ""),3))), index(split(C2272, "" ""),3),index(split(C2272, "" ""),2)))"),"")</f>
        <v/>
      </c>
      <c r="U2272" s="38" t="b">
        <f t="shared" si="34"/>
        <v>0</v>
      </c>
      <c r="V2272" s="38"/>
      <c r="W2272" s="40"/>
      <c r="X2272" s="40"/>
      <c r="Y2272" s="38"/>
      <c r="Z2272" s="38"/>
      <c r="AA2272" s="38"/>
      <c r="AB2272" s="38"/>
      <c r="AC2272" s="38"/>
      <c r="AD2272" s="38"/>
      <c r="AE2272" s="38"/>
      <c r="AF2272" s="38"/>
      <c r="AG2272" s="38"/>
      <c r="AH2272" s="38"/>
      <c r="AI2272" s="38"/>
      <c r="AJ2272" s="38"/>
      <c r="AK2272" s="38"/>
      <c r="AL2272" s="38"/>
      <c r="AM2272" s="38"/>
      <c r="AN2272" s="38"/>
      <c r="AO2272" s="38"/>
      <c r="AP2272" s="38"/>
      <c r="AQ2272" s="38"/>
      <c r="AR2272" s="38"/>
      <c r="AS2272" s="38"/>
      <c r="AT2272" s="38"/>
      <c r="AU2272" s="38"/>
      <c r="AV2272" s="38"/>
      <c r="AW2272" s="38"/>
      <c r="AX2272" s="38"/>
      <c r="AY2272" s="38"/>
      <c r="AZ2272" s="38"/>
      <c r="BA2272" s="38"/>
      <c r="BB2272" s="38"/>
      <c r="BC2272" s="38"/>
      <c r="BD2272" s="38"/>
      <c r="BE2272" s="38"/>
      <c r="BF2272" s="38"/>
      <c r="BG2272" s="38"/>
      <c r="BH2272" s="38"/>
      <c r="BI2272" s="38"/>
      <c r="BJ2272" s="38"/>
      <c r="BK2272" s="38"/>
      <c r="BL2272" s="38"/>
      <c r="BM2272" s="38"/>
      <c r="BN2272" s="38"/>
      <c r="BO2272" s="38"/>
      <c r="BP2272" s="38"/>
      <c r="BQ2272" s="38"/>
    </row>
    <row r="2273">
      <c r="A2273" s="16"/>
      <c r="B2273" s="16"/>
      <c r="C2273" s="146"/>
      <c r="D2273" s="146"/>
      <c r="E2273" s="16"/>
      <c r="F2273" s="91"/>
      <c r="G2273" s="16"/>
      <c r="H2273" s="320" t="str">
        <f t="shared" si="33"/>
        <v/>
      </c>
      <c r="I2273" s="16"/>
      <c r="J2273" s="16"/>
      <c r="K2273" s="16"/>
      <c r="L2273" s="16"/>
      <c r="M2273" s="15"/>
      <c r="N2273" s="15"/>
      <c r="O2273" s="16"/>
      <c r="P2273" s="16"/>
      <c r="Q2273" s="16"/>
      <c r="R2273" s="16"/>
      <c r="S2273" s="37" t="str">
        <f>IFERROR(__xludf.DUMMYFUNCTION("if(not(iserror(index(split(C2273, "" ""),2))), index(split(C2273, "" ""),1),"""")"),"")</f>
        <v/>
      </c>
      <c r="T2273" s="315" t="str">
        <f>IFERROR(__xludf.DUMMYFUNCTION("if(S2273="""",C2273,if(not(iserror(index(split(C2273, "" ""),3))), index(split(C2273, "" ""),3),index(split(C2273, "" ""),2)))"),"")</f>
        <v/>
      </c>
      <c r="U2273" s="38" t="b">
        <f t="shared" si="34"/>
        <v>0</v>
      </c>
      <c r="V2273" s="38"/>
      <c r="W2273" s="40"/>
      <c r="X2273" s="40"/>
      <c r="Y2273" s="38"/>
      <c r="Z2273" s="38"/>
      <c r="AA2273" s="38"/>
      <c r="AB2273" s="38"/>
      <c r="AC2273" s="38"/>
      <c r="AD2273" s="38"/>
      <c r="AE2273" s="38"/>
      <c r="AF2273" s="38"/>
      <c r="AG2273" s="38"/>
      <c r="AH2273" s="38"/>
      <c r="AI2273" s="38"/>
      <c r="AJ2273" s="38"/>
      <c r="AK2273" s="38"/>
      <c r="AL2273" s="38"/>
      <c r="AM2273" s="38"/>
      <c r="AN2273" s="38"/>
      <c r="AO2273" s="38"/>
      <c r="AP2273" s="38"/>
      <c r="AQ2273" s="38"/>
      <c r="AR2273" s="38"/>
      <c r="AS2273" s="38"/>
      <c r="AT2273" s="38"/>
      <c r="AU2273" s="38"/>
      <c r="AV2273" s="38"/>
      <c r="AW2273" s="38"/>
      <c r="AX2273" s="38"/>
      <c r="AY2273" s="38"/>
      <c r="AZ2273" s="38"/>
      <c r="BA2273" s="38"/>
      <c r="BB2273" s="38"/>
      <c r="BC2273" s="38"/>
      <c r="BD2273" s="38"/>
      <c r="BE2273" s="38"/>
      <c r="BF2273" s="38"/>
      <c r="BG2273" s="38"/>
      <c r="BH2273" s="38"/>
      <c r="BI2273" s="38"/>
      <c r="BJ2273" s="38"/>
      <c r="BK2273" s="38"/>
      <c r="BL2273" s="38"/>
      <c r="BM2273" s="38"/>
      <c r="BN2273" s="38"/>
      <c r="BO2273" s="38"/>
      <c r="BP2273" s="38"/>
      <c r="BQ2273" s="38"/>
    </row>
    <row r="2274">
      <c r="A2274" s="16"/>
      <c r="B2274" s="16"/>
      <c r="C2274" s="146"/>
      <c r="D2274" s="146"/>
      <c r="E2274" s="16"/>
      <c r="F2274" s="91"/>
      <c r="G2274" s="16"/>
      <c r="H2274" s="320" t="str">
        <f t="shared" si="33"/>
        <v/>
      </c>
      <c r="I2274" s="16"/>
      <c r="J2274" s="16"/>
      <c r="K2274" s="16"/>
      <c r="L2274" s="16"/>
      <c r="M2274" s="15"/>
      <c r="N2274" s="15"/>
      <c r="O2274" s="16"/>
      <c r="P2274" s="16"/>
      <c r="Q2274" s="16"/>
      <c r="R2274" s="16"/>
      <c r="S2274" s="37" t="str">
        <f>IFERROR(__xludf.DUMMYFUNCTION("if(not(iserror(index(split(C2274, "" ""),2))), index(split(C2274, "" ""),1),"""")"),"")</f>
        <v/>
      </c>
      <c r="T2274" s="315" t="str">
        <f>IFERROR(__xludf.DUMMYFUNCTION("if(S2274="""",C2274,if(not(iserror(index(split(C2274, "" ""),3))), index(split(C2274, "" ""),3),index(split(C2274, "" ""),2)))"),"")</f>
        <v/>
      </c>
      <c r="U2274" s="38" t="b">
        <f t="shared" si="34"/>
        <v>0</v>
      </c>
      <c r="V2274" s="38"/>
      <c r="W2274" s="40"/>
      <c r="X2274" s="40"/>
      <c r="Y2274" s="38"/>
      <c r="Z2274" s="38"/>
      <c r="AA2274" s="38"/>
      <c r="AB2274" s="38"/>
      <c r="AC2274" s="38"/>
      <c r="AD2274" s="38"/>
      <c r="AE2274" s="38"/>
      <c r="AF2274" s="38"/>
      <c r="AG2274" s="38"/>
      <c r="AH2274" s="38"/>
      <c r="AI2274" s="38"/>
      <c r="AJ2274" s="38"/>
      <c r="AK2274" s="38"/>
      <c r="AL2274" s="38"/>
      <c r="AM2274" s="38"/>
      <c r="AN2274" s="38"/>
      <c r="AO2274" s="38"/>
      <c r="AP2274" s="38"/>
      <c r="AQ2274" s="38"/>
      <c r="AR2274" s="38"/>
      <c r="AS2274" s="38"/>
      <c r="AT2274" s="38"/>
      <c r="AU2274" s="38"/>
      <c r="AV2274" s="38"/>
      <c r="AW2274" s="38"/>
      <c r="AX2274" s="38"/>
      <c r="AY2274" s="38"/>
      <c r="AZ2274" s="38"/>
      <c r="BA2274" s="38"/>
      <c r="BB2274" s="38"/>
      <c r="BC2274" s="38"/>
      <c r="BD2274" s="38"/>
      <c r="BE2274" s="38"/>
      <c r="BF2274" s="38"/>
      <c r="BG2274" s="38"/>
      <c r="BH2274" s="38"/>
      <c r="BI2274" s="38"/>
      <c r="BJ2274" s="38"/>
      <c r="BK2274" s="38"/>
      <c r="BL2274" s="38"/>
      <c r="BM2274" s="38"/>
      <c r="BN2274" s="38"/>
      <c r="BO2274" s="38"/>
      <c r="BP2274" s="38"/>
      <c r="BQ2274" s="38"/>
    </row>
    <row r="2275">
      <c r="A2275" s="16"/>
      <c r="B2275" s="16"/>
      <c r="C2275" s="146"/>
      <c r="D2275" s="146"/>
      <c r="E2275" s="16"/>
      <c r="F2275" s="91"/>
      <c r="G2275" s="16"/>
      <c r="H2275" s="320" t="str">
        <f t="shared" si="33"/>
        <v/>
      </c>
      <c r="I2275" s="16"/>
      <c r="J2275" s="16"/>
      <c r="K2275" s="16"/>
      <c r="L2275" s="16"/>
      <c r="M2275" s="15"/>
      <c r="N2275" s="15"/>
      <c r="O2275" s="16"/>
      <c r="P2275" s="16"/>
      <c r="Q2275" s="16"/>
      <c r="R2275" s="16"/>
      <c r="S2275" s="37" t="str">
        <f>IFERROR(__xludf.DUMMYFUNCTION("if(not(iserror(index(split(C2275, "" ""),2))), index(split(C2275, "" ""),1),"""")"),"")</f>
        <v/>
      </c>
      <c r="T2275" s="315" t="str">
        <f>IFERROR(__xludf.DUMMYFUNCTION("if(S2275="""",C2275,if(not(iserror(index(split(C2275, "" ""),3))), index(split(C2275, "" ""),3),index(split(C2275, "" ""),2)))"),"")</f>
        <v/>
      </c>
      <c r="U2275" s="38" t="b">
        <f t="shared" si="34"/>
        <v>0</v>
      </c>
      <c r="V2275" s="38"/>
      <c r="W2275" s="40"/>
      <c r="X2275" s="40"/>
      <c r="Y2275" s="38"/>
      <c r="Z2275" s="38"/>
      <c r="AA2275" s="38"/>
      <c r="AB2275" s="38"/>
      <c r="AC2275" s="38"/>
      <c r="AD2275" s="38"/>
      <c r="AE2275" s="38"/>
      <c r="AF2275" s="38"/>
      <c r="AG2275" s="38"/>
      <c r="AH2275" s="38"/>
      <c r="AI2275" s="38"/>
      <c r="AJ2275" s="38"/>
      <c r="AK2275" s="38"/>
      <c r="AL2275" s="38"/>
      <c r="AM2275" s="38"/>
      <c r="AN2275" s="38"/>
      <c r="AO2275" s="38"/>
      <c r="AP2275" s="38"/>
      <c r="AQ2275" s="38"/>
      <c r="AR2275" s="38"/>
      <c r="AS2275" s="38"/>
      <c r="AT2275" s="38"/>
      <c r="AU2275" s="38"/>
      <c r="AV2275" s="38"/>
      <c r="AW2275" s="38"/>
      <c r="AX2275" s="38"/>
      <c r="AY2275" s="38"/>
      <c r="AZ2275" s="38"/>
      <c r="BA2275" s="38"/>
      <c r="BB2275" s="38"/>
      <c r="BC2275" s="38"/>
      <c r="BD2275" s="38"/>
      <c r="BE2275" s="38"/>
      <c r="BF2275" s="38"/>
      <c r="BG2275" s="38"/>
      <c r="BH2275" s="38"/>
      <c r="BI2275" s="38"/>
      <c r="BJ2275" s="38"/>
      <c r="BK2275" s="38"/>
      <c r="BL2275" s="38"/>
      <c r="BM2275" s="38"/>
      <c r="BN2275" s="38"/>
      <c r="BO2275" s="38"/>
      <c r="BP2275" s="38"/>
      <c r="BQ2275" s="38"/>
    </row>
    <row r="2276">
      <c r="A2276" s="16"/>
      <c r="B2276" s="16"/>
      <c r="C2276" s="146"/>
      <c r="D2276" s="146"/>
      <c r="E2276" s="16"/>
      <c r="F2276" s="91"/>
      <c r="G2276" s="16"/>
      <c r="H2276" s="320" t="str">
        <f t="shared" si="33"/>
        <v/>
      </c>
      <c r="I2276" s="16"/>
      <c r="J2276" s="16"/>
      <c r="K2276" s="16"/>
      <c r="L2276" s="16"/>
      <c r="M2276" s="15"/>
      <c r="N2276" s="15"/>
      <c r="O2276" s="16"/>
      <c r="P2276" s="16"/>
      <c r="Q2276" s="16"/>
      <c r="R2276" s="16"/>
      <c r="S2276" s="37" t="str">
        <f>IFERROR(__xludf.DUMMYFUNCTION("if(not(iserror(index(split(C2276, "" ""),2))), index(split(C2276, "" ""),1),"""")"),"")</f>
        <v/>
      </c>
      <c r="T2276" s="315" t="str">
        <f>IFERROR(__xludf.DUMMYFUNCTION("if(S2276="""",C2276,if(not(iserror(index(split(C2276, "" ""),3))), index(split(C2276, "" ""),3),index(split(C2276, "" ""),2)))"),"")</f>
        <v/>
      </c>
      <c r="U2276" s="38" t="b">
        <f t="shared" si="34"/>
        <v>0</v>
      </c>
      <c r="V2276" s="38"/>
      <c r="W2276" s="40"/>
      <c r="X2276" s="40"/>
      <c r="Y2276" s="38"/>
      <c r="Z2276" s="38"/>
      <c r="AA2276" s="38"/>
      <c r="AB2276" s="38"/>
      <c r="AC2276" s="38"/>
      <c r="AD2276" s="38"/>
      <c r="AE2276" s="38"/>
      <c r="AF2276" s="38"/>
      <c r="AG2276" s="38"/>
      <c r="AH2276" s="38"/>
      <c r="AI2276" s="38"/>
      <c r="AJ2276" s="38"/>
      <c r="AK2276" s="38"/>
      <c r="AL2276" s="38"/>
      <c r="AM2276" s="38"/>
      <c r="AN2276" s="38"/>
      <c r="AO2276" s="38"/>
      <c r="AP2276" s="38"/>
      <c r="AQ2276" s="38"/>
      <c r="AR2276" s="38"/>
      <c r="AS2276" s="38"/>
      <c r="AT2276" s="38"/>
      <c r="AU2276" s="38"/>
      <c r="AV2276" s="38"/>
      <c r="AW2276" s="38"/>
      <c r="AX2276" s="38"/>
      <c r="AY2276" s="38"/>
      <c r="AZ2276" s="38"/>
      <c r="BA2276" s="38"/>
      <c r="BB2276" s="38"/>
      <c r="BC2276" s="38"/>
      <c r="BD2276" s="38"/>
      <c r="BE2276" s="38"/>
      <c r="BF2276" s="38"/>
      <c r="BG2276" s="38"/>
      <c r="BH2276" s="38"/>
      <c r="BI2276" s="38"/>
      <c r="BJ2276" s="38"/>
      <c r="BK2276" s="38"/>
      <c r="BL2276" s="38"/>
      <c r="BM2276" s="38"/>
      <c r="BN2276" s="38"/>
      <c r="BO2276" s="38"/>
      <c r="BP2276" s="38"/>
      <c r="BQ2276" s="38"/>
    </row>
    <row r="2277">
      <c r="A2277" s="16"/>
      <c r="B2277" s="16"/>
      <c r="C2277" s="146"/>
      <c r="D2277" s="146"/>
      <c r="E2277" s="16"/>
      <c r="F2277" s="91"/>
      <c r="G2277" s="16"/>
      <c r="H2277" s="320" t="str">
        <f t="shared" si="33"/>
        <v/>
      </c>
      <c r="I2277" s="16"/>
      <c r="J2277" s="16"/>
      <c r="K2277" s="16"/>
      <c r="L2277" s="16"/>
      <c r="M2277" s="15"/>
      <c r="N2277" s="15"/>
      <c r="O2277" s="16"/>
      <c r="P2277" s="16"/>
      <c r="Q2277" s="16"/>
      <c r="R2277" s="16"/>
      <c r="S2277" s="37" t="str">
        <f>IFERROR(__xludf.DUMMYFUNCTION("if(not(iserror(index(split(C2277, "" ""),2))), index(split(C2277, "" ""),1),"""")"),"")</f>
        <v/>
      </c>
      <c r="T2277" s="315" t="str">
        <f>IFERROR(__xludf.DUMMYFUNCTION("if(S2277="""",C2277,if(not(iserror(index(split(C2277, "" ""),3))), index(split(C2277, "" ""),3),index(split(C2277, "" ""),2)))"),"")</f>
        <v/>
      </c>
      <c r="U2277" s="38" t="b">
        <f t="shared" si="34"/>
        <v>0</v>
      </c>
      <c r="V2277" s="38"/>
      <c r="W2277" s="40"/>
      <c r="X2277" s="40"/>
      <c r="Y2277" s="38"/>
      <c r="Z2277" s="38"/>
      <c r="AA2277" s="38"/>
      <c r="AB2277" s="38"/>
      <c r="AC2277" s="38"/>
      <c r="AD2277" s="38"/>
      <c r="AE2277" s="38"/>
      <c r="AF2277" s="38"/>
      <c r="AG2277" s="38"/>
      <c r="AH2277" s="38"/>
      <c r="AI2277" s="38"/>
      <c r="AJ2277" s="38"/>
      <c r="AK2277" s="38"/>
      <c r="AL2277" s="38"/>
      <c r="AM2277" s="38"/>
      <c r="AN2277" s="38"/>
      <c r="AO2277" s="38"/>
      <c r="AP2277" s="38"/>
      <c r="AQ2277" s="38"/>
      <c r="AR2277" s="38"/>
      <c r="AS2277" s="38"/>
      <c r="AT2277" s="38"/>
      <c r="AU2277" s="38"/>
      <c r="AV2277" s="38"/>
      <c r="AW2277" s="38"/>
      <c r="AX2277" s="38"/>
      <c r="AY2277" s="38"/>
      <c r="AZ2277" s="38"/>
      <c r="BA2277" s="38"/>
      <c r="BB2277" s="38"/>
      <c r="BC2277" s="38"/>
      <c r="BD2277" s="38"/>
      <c r="BE2277" s="38"/>
      <c r="BF2277" s="38"/>
      <c r="BG2277" s="38"/>
      <c r="BH2277" s="38"/>
      <c r="BI2277" s="38"/>
      <c r="BJ2277" s="38"/>
      <c r="BK2277" s="38"/>
      <c r="BL2277" s="38"/>
      <c r="BM2277" s="38"/>
      <c r="BN2277" s="38"/>
      <c r="BO2277" s="38"/>
      <c r="BP2277" s="38"/>
      <c r="BQ2277" s="38"/>
    </row>
    <row r="2278">
      <c r="A2278" s="16"/>
      <c r="B2278" s="16"/>
      <c r="C2278" s="146"/>
      <c r="D2278" s="146"/>
      <c r="E2278" s="16"/>
      <c r="F2278" s="91"/>
      <c r="G2278" s="16"/>
      <c r="H2278" s="320" t="str">
        <f t="shared" si="33"/>
        <v/>
      </c>
      <c r="I2278" s="16"/>
      <c r="J2278" s="16"/>
      <c r="K2278" s="16"/>
      <c r="L2278" s="16"/>
      <c r="M2278" s="15"/>
      <c r="N2278" s="15"/>
      <c r="O2278" s="16"/>
      <c r="P2278" s="16"/>
      <c r="Q2278" s="16"/>
      <c r="R2278" s="16"/>
      <c r="S2278" s="37" t="str">
        <f>IFERROR(__xludf.DUMMYFUNCTION("if(not(iserror(index(split(C2278, "" ""),2))), index(split(C2278, "" ""),1),"""")"),"")</f>
        <v/>
      </c>
      <c r="T2278" s="315" t="str">
        <f>IFERROR(__xludf.DUMMYFUNCTION("if(S2278="""",C2278,if(not(iserror(index(split(C2278, "" ""),3))), index(split(C2278, "" ""),3),index(split(C2278, "" ""),2)))"),"")</f>
        <v/>
      </c>
      <c r="U2278" s="38" t="b">
        <f t="shared" si="34"/>
        <v>0</v>
      </c>
      <c r="V2278" s="38"/>
      <c r="W2278" s="40"/>
      <c r="X2278" s="40"/>
      <c r="Y2278" s="38"/>
      <c r="Z2278" s="38"/>
      <c r="AA2278" s="38"/>
      <c r="AB2278" s="38"/>
      <c r="AC2278" s="38"/>
      <c r="AD2278" s="38"/>
      <c r="AE2278" s="38"/>
      <c r="AF2278" s="38"/>
      <c r="AG2278" s="38"/>
      <c r="AH2278" s="38"/>
      <c r="AI2278" s="38"/>
      <c r="AJ2278" s="38"/>
      <c r="AK2278" s="38"/>
      <c r="AL2278" s="38"/>
      <c r="AM2278" s="38"/>
      <c r="AN2278" s="38"/>
      <c r="AO2278" s="38"/>
      <c r="AP2278" s="38"/>
      <c r="AQ2278" s="38"/>
      <c r="AR2278" s="38"/>
      <c r="AS2278" s="38"/>
      <c r="AT2278" s="38"/>
      <c r="AU2278" s="38"/>
      <c r="AV2278" s="38"/>
      <c r="AW2278" s="38"/>
      <c r="AX2278" s="38"/>
      <c r="AY2278" s="38"/>
      <c r="AZ2278" s="38"/>
      <c r="BA2278" s="38"/>
      <c r="BB2278" s="38"/>
      <c r="BC2278" s="38"/>
      <c r="BD2278" s="38"/>
      <c r="BE2278" s="38"/>
      <c r="BF2278" s="38"/>
      <c r="BG2278" s="38"/>
      <c r="BH2278" s="38"/>
      <c r="BI2278" s="38"/>
      <c r="BJ2278" s="38"/>
      <c r="BK2278" s="38"/>
      <c r="BL2278" s="38"/>
      <c r="BM2278" s="38"/>
      <c r="BN2278" s="38"/>
      <c r="BO2278" s="38"/>
      <c r="BP2278" s="38"/>
      <c r="BQ2278" s="38"/>
    </row>
    <row r="2279">
      <c r="A2279" s="16"/>
      <c r="B2279" s="16"/>
      <c r="C2279" s="146"/>
      <c r="D2279" s="146"/>
      <c r="E2279" s="16"/>
      <c r="F2279" s="91"/>
      <c r="G2279" s="16"/>
      <c r="H2279" s="320" t="str">
        <f t="shared" si="33"/>
        <v/>
      </c>
      <c r="I2279" s="16"/>
      <c r="J2279" s="16"/>
      <c r="K2279" s="16"/>
      <c r="L2279" s="16"/>
      <c r="M2279" s="15"/>
      <c r="N2279" s="15"/>
      <c r="O2279" s="16"/>
      <c r="P2279" s="16"/>
      <c r="Q2279" s="16"/>
      <c r="R2279" s="16"/>
      <c r="S2279" s="37" t="str">
        <f>IFERROR(__xludf.DUMMYFUNCTION("if(not(iserror(index(split(C2279, "" ""),2))), index(split(C2279, "" ""),1),"""")"),"")</f>
        <v/>
      </c>
      <c r="T2279" s="315" t="str">
        <f>IFERROR(__xludf.DUMMYFUNCTION("if(S2279="""",C2279,if(not(iserror(index(split(C2279, "" ""),3))), index(split(C2279, "" ""),3),index(split(C2279, "" ""),2)))"),"")</f>
        <v/>
      </c>
      <c r="U2279" s="38" t="b">
        <f t="shared" si="34"/>
        <v>0</v>
      </c>
      <c r="V2279" s="38"/>
      <c r="W2279" s="40"/>
      <c r="X2279" s="40"/>
      <c r="Y2279" s="38"/>
      <c r="Z2279" s="38"/>
      <c r="AA2279" s="38"/>
      <c r="AB2279" s="38"/>
      <c r="AC2279" s="38"/>
      <c r="AD2279" s="38"/>
      <c r="AE2279" s="38"/>
      <c r="AF2279" s="38"/>
      <c r="AG2279" s="38"/>
      <c r="AH2279" s="38"/>
      <c r="AI2279" s="38"/>
      <c r="AJ2279" s="38"/>
      <c r="AK2279" s="38"/>
      <c r="AL2279" s="38"/>
      <c r="AM2279" s="38"/>
      <c r="AN2279" s="38"/>
      <c r="AO2279" s="38"/>
      <c r="AP2279" s="38"/>
      <c r="AQ2279" s="38"/>
      <c r="AR2279" s="38"/>
      <c r="AS2279" s="38"/>
      <c r="AT2279" s="38"/>
      <c r="AU2279" s="38"/>
      <c r="AV2279" s="38"/>
      <c r="AW2279" s="38"/>
      <c r="AX2279" s="38"/>
      <c r="AY2279" s="38"/>
      <c r="AZ2279" s="38"/>
      <c r="BA2279" s="38"/>
      <c r="BB2279" s="38"/>
      <c r="BC2279" s="38"/>
      <c r="BD2279" s="38"/>
      <c r="BE2279" s="38"/>
      <c r="BF2279" s="38"/>
      <c r="BG2279" s="38"/>
      <c r="BH2279" s="38"/>
      <c r="BI2279" s="38"/>
      <c r="BJ2279" s="38"/>
      <c r="BK2279" s="38"/>
      <c r="BL2279" s="38"/>
      <c r="BM2279" s="38"/>
      <c r="BN2279" s="38"/>
      <c r="BO2279" s="38"/>
      <c r="BP2279" s="38"/>
      <c r="BQ2279" s="38"/>
    </row>
    <row r="2280">
      <c r="A2280" s="16"/>
      <c r="B2280" s="16"/>
      <c r="C2280" s="146"/>
      <c r="D2280" s="146"/>
      <c r="E2280" s="16"/>
      <c r="F2280" s="91"/>
      <c r="G2280" s="16"/>
      <c r="H2280" s="320" t="str">
        <f t="shared" si="33"/>
        <v/>
      </c>
      <c r="I2280" s="16"/>
      <c r="J2280" s="16"/>
      <c r="K2280" s="16"/>
      <c r="L2280" s="16"/>
      <c r="M2280" s="15"/>
      <c r="N2280" s="15"/>
      <c r="O2280" s="16"/>
      <c r="P2280" s="16"/>
      <c r="Q2280" s="16"/>
      <c r="R2280" s="16"/>
      <c r="S2280" s="37" t="str">
        <f>IFERROR(__xludf.DUMMYFUNCTION("if(not(iserror(index(split(C2280, "" ""),2))), index(split(C2280, "" ""),1),"""")"),"")</f>
        <v/>
      </c>
      <c r="T2280" s="315" t="str">
        <f>IFERROR(__xludf.DUMMYFUNCTION("if(S2280="""",C2280,if(not(iserror(index(split(C2280, "" ""),3))), index(split(C2280, "" ""),3),index(split(C2280, "" ""),2)))"),"")</f>
        <v/>
      </c>
      <c r="U2280" s="38" t="b">
        <f t="shared" si="34"/>
        <v>0</v>
      </c>
      <c r="V2280" s="38"/>
      <c r="W2280" s="40"/>
      <c r="X2280" s="40"/>
      <c r="Y2280" s="38"/>
      <c r="Z2280" s="38"/>
      <c r="AA2280" s="38"/>
      <c r="AB2280" s="38"/>
      <c r="AC2280" s="38"/>
      <c r="AD2280" s="38"/>
      <c r="AE2280" s="38"/>
      <c r="AF2280" s="38"/>
      <c r="AG2280" s="38"/>
      <c r="AH2280" s="38"/>
      <c r="AI2280" s="38"/>
      <c r="AJ2280" s="38"/>
      <c r="AK2280" s="38"/>
      <c r="AL2280" s="38"/>
      <c r="AM2280" s="38"/>
      <c r="AN2280" s="38"/>
      <c r="AO2280" s="38"/>
      <c r="AP2280" s="38"/>
      <c r="AQ2280" s="38"/>
      <c r="AR2280" s="38"/>
      <c r="AS2280" s="38"/>
      <c r="AT2280" s="38"/>
      <c r="AU2280" s="38"/>
      <c r="AV2280" s="38"/>
      <c r="AW2280" s="38"/>
      <c r="AX2280" s="38"/>
      <c r="AY2280" s="38"/>
      <c r="AZ2280" s="38"/>
      <c r="BA2280" s="38"/>
      <c r="BB2280" s="38"/>
      <c r="BC2280" s="38"/>
      <c r="BD2280" s="38"/>
      <c r="BE2280" s="38"/>
      <c r="BF2280" s="38"/>
      <c r="BG2280" s="38"/>
      <c r="BH2280" s="38"/>
      <c r="BI2280" s="38"/>
      <c r="BJ2280" s="38"/>
      <c r="BK2280" s="38"/>
      <c r="BL2280" s="38"/>
      <c r="BM2280" s="38"/>
      <c r="BN2280" s="38"/>
      <c r="BO2280" s="38"/>
      <c r="BP2280" s="38"/>
      <c r="BQ2280" s="38"/>
    </row>
    <row r="2281">
      <c r="A2281" s="16"/>
      <c r="B2281" s="16"/>
      <c r="C2281" s="146"/>
      <c r="D2281" s="146"/>
      <c r="E2281" s="16"/>
      <c r="F2281" s="91"/>
      <c r="G2281" s="16"/>
      <c r="H2281" s="320" t="str">
        <f t="shared" si="33"/>
        <v/>
      </c>
      <c r="I2281" s="16"/>
      <c r="J2281" s="16"/>
      <c r="K2281" s="16"/>
      <c r="L2281" s="16"/>
      <c r="M2281" s="15"/>
      <c r="N2281" s="15"/>
      <c r="O2281" s="16"/>
      <c r="P2281" s="16"/>
      <c r="Q2281" s="16"/>
      <c r="R2281" s="16"/>
      <c r="S2281" s="37" t="str">
        <f>IFERROR(__xludf.DUMMYFUNCTION("if(not(iserror(index(split(C2281, "" ""),2))), index(split(C2281, "" ""),1),"""")"),"")</f>
        <v/>
      </c>
      <c r="T2281" s="315" t="str">
        <f>IFERROR(__xludf.DUMMYFUNCTION("if(S2281="""",C2281,if(not(iserror(index(split(C2281, "" ""),3))), index(split(C2281, "" ""),3),index(split(C2281, "" ""),2)))"),"")</f>
        <v/>
      </c>
      <c r="U2281" s="38" t="b">
        <f t="shared" si="34"/>
        <v>0</v>
      </c>
      <c r="V2281" s="38"/>
      <c r="W2281" s="40"/>
      <c r="X2281" s="40"/>
      <c r="Y2281" s="38"/>
      <c r="Z2281" s="38"/>
      <c r="AA2281" s="38"/>
      <c r="AB2281" s="38"/>
      <c r="AC2281" s="38"/>
      <c r="AD2281" s="38"/>
      <c r="AE2281" s="38"/>
      <c r="AF2281" s="38"/>
      <c r="AG2281" s="38"/>
      <c r="AH2281" s="38"/>
      <c r="AI2281" s="38"/>
      <c r="AJ2281" s="38"/>
      <c r="AK2281" s="38"/>
      <c r="AL2281" s="38"/>
      <c r="AM2281" s="38"/>
      <c r="AN2281" s="38"/>
      <c r="AO2281" s="38"/>
      <c r="AP2281" s="38"/>
      <c r="AQ2281" s="38"/>
      <c r="AR2281" s="38"/>
      <c r="AS2281" s="38"/>
      <c r="AT2281" s="38"/>
      <c r="AU2281" s="38"/>
      <c r="AV2281" s="38"/>
      <c r="AW2281" s="38"/>
      <c r="AX2281" s="38"/>
      <c r="AY2281" s="38"/>
      <c r="AZ2281" s="38"/>
      <c r="BA2281" s="38"/>
      <c r="BB2281" s="38"/>
      <c r="BC2281" s="38"/>
      <c r="BD2281" s="38"/>
      <c r="BE2281" s="38"/>
      <c r="BF2281" s="38"/>
      <c r="BG2281" s="38"/>
      <c r="BH2281" s="38"/>
      <c r="BI2281" s="38"/>
      <c r="BJ2281" s="38"/>
      <c r="BK2281" s="38"/>
      <c r="BL2281" s="38"/>
      <c r="BM2281" s="38"/>
      <c r="BN2281" s="38"/>
      <c r="BO2281" s="38"/>
      <c r="BP2281" s="38"/>
      <c r="BQ2281" s="38"/>
    </row>
    <row r="2282">
      <c r="A2282" s="16"/>
      <c r="B2282" s="16"/>
      <c r="C2282" s="146"/>
      <c r="D2282" s="146"/>
      <c r="E2282" s="16"/>
      <c r="F2282" s="91"/>
      <c r="G2282" s="16"/>
      <c r="H2282" s="320" t="str">
        <f t="shared" si="33"/>
        <v/>
      </c>
      <c r="I2282" s="16"/>
      <c r="J2282" s="16"/>
      <c r="K2282" s="16"/>
      <c r="L2282" s="16"/>
      <c r="M2282" s="15"/>
      <c r="N2282" s="15"/>
      <c r="O2282" s="16"/>
      <c r="P2282" s="16"/>
      <c r="Q2282" s="16"/>
      <c r="R2282" s="16"/>
      <c r="S2282" s="37" t="str">
        <f>IFERROR(__xludf.DUMMYFUNCTION("if(not(iserror(index(split(C2282, "" ""),2))), index(split(C2282, "" ""),1),"""")"),"")</f>
        <v/>
      </c>
      <c r="T2282" s="315" t="str">
        <f>IFERROR(__xludf.DUMMYFUNCTION("if(S2282="""",C2282,if(not(iserror(index(split(C2282, "" ""),3))), index(split(C2282, "" ""),3),index(split(C2282, "" ""),2)))"),"")</f>
        <v/>
      </c>
      <c r="U2282" s="38" t="b">
        <f t="shared" si="34"/>
        <v>0</v>
      </c>
      <c r="V2282" s="38"/>
      <c r="W2282" s="40"/>
      <c r="X2282" s="40"/>
      <c r="Y2282" s="38"/>
      <c r="Z2282" s="38"/>
      <c r="AA2282" s="38"/>
      <c r="AB2282" s="38"/>
      <c r="AC2282" s="38"/>
      <c r="AD2282" s="38"/>
      <c r="AE2282" s="38"/>
      <c r="AF2282" s="38"/>
      <c r="AG2282" s="38"/>
      <c r="AH2282" s="38"/>
      <c r="AI2282" s="38"/>
      <c r="AJ2282" s="38"/>
      <c r="AK2282" s="38"/>
      <c r="AL2282" s="38"/>
      <c r="AM2282" s="38"/>
      <c r="AN2282" s="38"/>
      <c r="AO2282" s="38"/>
      <c r="AP2282" s="38"/>
      <c r="AQ2282" s="38"/>
      <c r="AR2282" s="38"/>
      <c r="AS2282" s="38"/>
      <c r="AT2282" s="38"/>
      <c r="AU2282" s="38"/>
      <c r="AV2282" s="38"/>
      <c r="AW2282" s="38"/>
      <c r="AX2282" s="38"/>
      <c r="AY2282" s="38"/>
      <c r="AZ2282" s="38"/>
      <c r="BA2282" s="38"/>
      <c r="BB2282" s="38"/>
      <c r="BC2282" s="38"/>
      <c r="BD2282" s="38"/>
      <c r="BE2282" s="38"/>
      <c r="BF2282" s="38"/>
      <c r="BG2282" s="38"/>
      <c r="BH2282" s="38"/>
      <c r="BI2282" s="38"/>
      <c r="BJ2282" s="38"/>
      <c r="BK2282" s="38"/>
      <c r="BL2282" s="38"/>
      <c r="BM2282" s="38"/>
      <c r="BN2282" s="38"/>
      <c r="BO2282" s="38"/>
      <c r="BP2282" s="38"/>
      <c r="BQ2282" s="38"/>
    </row>
    <row r="2283">
      <c r="A2283" s="16"/>
      <c r="B2283" s="16"/>
      <c r="C2283" s="146"/>
      <c r="D2283" s="146"/>
      <c r="E2283" s="16"/>
      <c r="F2283" s="91"/>
      <c r="G2283" s="16"/>
      <c r="H2283" s="320" t="str">
        <f t="shared" si="33"/>
        <v/>
      </c>
      <c r="I2283" s="16"/>
      <c r="J2283" s="16"/>
      <c r="K2283" s="16"/>
      <c r="L2283" s="16"/>
      <c r="M2283" s="15"/>
      <c r="N2283" s="15"/>
      <c r="O2283" s="16"/>
      <c r="P2283" s="16"/>
      <c r="Q2283" s="16"/>
      <c r="R2283" s="16"/>
      <c r="S2283" s="37" t="str">
        <f>IFERROR(__xludf.DUMMYFUNCTION("if(not(iserror(index(split(C2283, "" ""),2))), index(split(C2283, "" ""),1),"""")"),"")</f>
        <v/>
      </c>
      <c r="T2283" s="315" t="str">
        <f>IFERROR(__xludf.DUMMYFUNCTION("if(S2283="""",C2283,if(not(iserror(index(split(C2283, "" ""),3))), index(split(C2283, "" ""),3),index(split(C2283, "" ""),2)))"),"")</f>
        <v/>
      </c>
      <c r="U2283" s="38" t="b">
        <f t="shared" si="34"/>
        <v>0</v>
      </c>
      <c r="V2283" s="38"/>
      <c r="W2283" s="40"/>
      <c r="X2283" s="40"/>
      <c r="Y2283" s="38"/>
      <c r="Z2283" s="38"/>
      <c r="AA2283" s="38"/>
      <c r="AB2283" s="38"/>
      <c r="AC2283" s="38"/>
      <c r="AD2283" s="38"/>
      <c r="AE2283" s="38"/>
      <c r="AF2283" s="38"/>
      <c r="AG2283" s="38"/>
      <c r="AH2283" s="38"/>
      <c r="AI2283" s="38"/>
      <c r="AJ2283" s="38"/>
      <c r="AK2283" s="38"/>
      <c r="AL2283" s="38"/>
      <c r="AM2283" s="38"/>
      <c r="AN2283" s="38"/>
      <c r="AO2283" s="38"/>
      <c r="AP2283" s="38"/>
      <c r="AQ2283" s="38"/>
      <c r="AR2283" s="38"/>
      <c r="AS2283" s="38"/>
      <c r="AT2283" s="38"/>
      <c r="AU2283" s="38"/>
      <c r="AV2283" s="38"/>
      <c r="AW2283" s="38"/>
      <c r="AX2283" s="38"/>
      <c r="AY2283" s="38"/>
      <c r="AZ2283" s="38"/>
      <c r="BA2283" s="38"/>
      <c r="BB2283" s="38"/>
      <c r="BC2283" s="38"/>
      <c r="BD2283" s="38"/>
      <c r="BE2283" s="38"/>
      <c r="BF2283" s="38"/>
      <c r="BG2283" s="38"/>
      <c r="BH2283" s="38"/>
      <c r="BI2283" s="38"/>
      <c r="BJ2283" s="38"/>
      <c r="BK2283" s="38"/>
      <c r="BL2283" s="38"/>
      <c r="BM2283" s="38"/>
      <c r="BN2283" s="38"/>
      <c r="BO2283" s="38"/>
      <c r="BP2283" s="38"/>
      <c r="BQ2283" s="38"/>
    </row>
    <row r="2284">
      <c r="A2284" s="16"/>
      <c r="B2284" s="16"/>
      <c r="C2284" s="146"/>
      <c r="D2284" s="146"/>
      <c r="E2284" s="16"/>
      <c r="F2284" s="91"/>
      <c r="G2284" s="16"/>
      <c r="H2284" s="320" t="str">
        <f t="shared" si="33"/>
        <v/>
      </c>
      <c r="I2284" s="16"/>
      <c r="J2284" s="16"/>
      <c r="K2284" s="16"/>
      <c r="L2284" s="16"/>
      <c r="M2284" s="15"/>
      <c r="N2284" s="15"/>
      <c r="O2284" s="16"/>
      <c r="P2284" s="16"/>
      <c r="Q2284" s="16"/>
      <c r="R2284" s="16"/>
      <c r="S2284" s="37" t="str">
        <f>IFERROR(__xludf.DUMMYFUNCTION("if(not(iserror(index(split(C2284, "" ""),2))), index(split(C2284, "" ""),1),"""")"),"")</f>
        <v/>
      </c>
      <c r="T2284" s="315" t="str">
        <f>IFERROR(__xludf.DUMMYFUNCTION("if(S2284="""",C2284,if(not(iserror(index(split(C2284, "" ""),3))), index(split(C2284, "" ""),3),index(split(C2284, "" ""),2)))"),"")</f>
        <v/>
      </c>
      <c r="U2284" s="38" t="b">
        <f t="shared" si="34"/>
        <v>0</v>
      </c>
      <c r="V2284" s="38"/>
      <c r="W2284" s="40"/>
      <c r="X2284" s="40"/>
      <c r="Y2284" s="38"/>
      <c r="Z2284" s="38"/>
      <c r="AA2284" s="38"/>
      <c r="AB2284" s="38"/>
      <c r="AC2284" s="38"/>
      <c r="AD2284" s="38"/>
      <c r="AE2284" s="38"/>
      <c r="AF2284" s="38"/>
      <c r="AG2284" s="38"/>
      <c r="AH2284" s="38"/>
      <c r="AI2284" s="38"/>
      <c r="AJ2284" s="38"/>
      <c r="AK2284" s="38"/>
      <c r="AL2284" s="38"/>
      <c r="AM2284" s="38"/>
      <c r="AN2284" s="38"/>
      <c r="AO2284" s="38"/>
      <c r="AP2284" s="38"/>
      <c r="AQ2284" s="38"/>
      <c r="AR2284" s="38"/>
      <c r="AS2284" s="38"/>
      <c r="AT2284" s="38"/>
      <c r="AU2284" s="38"/>
      <c r="AV2284" s="38"/>
      <c r="AW2284" s="38"/>
      <c r="AX2284" s="38"/>
      <c r="AY2284" s="38"/>
      <c r="AZ2284" s="38"/>
      <c r="BA2284" s="38"/>
      <c r="BB2284" s="38"/>
      <c r="BC2284" s="38"/>
      <c r="BD2284" s="38"/>
      <c r="BE2284" s="38"/>
      <c r="BF2284" s="38"/>
      <c r="BG2284" s="38"/>
      <c r="BH2284" s="38"/>
      <c r="BI2284" s="38"/>
      <c r="BJ2284" s="38"/>
      <c r="BK2284" s="38"/>
      <c r="BL2284" s="38"/>
      <c r="BM2284" s="38"/>
      <c r="BN2284" s="38"/>
      <c r="BO2284" s="38"/>
      <c r="BP2284" s="38"/>
      <c r="BQ2284" s="38"/>
    </row>
    <row r="2285">
      <c r="A2285" s="16"/>
      <c r="B2285" s="16"/>
      <c r="C2285" s="146"/>
      <c r="D2285" s="146"/>
      <c r="E2285" s="16"/>
      <c r="F2285" s="91"/>
      <c r="G2285" s="16"/>
      <c r="H2285" s="320" t="str">
        <f t="shared" si="33"/>
        <v/>
      </c>
      <c r="I2285" s="16"/>
      <c r="J2285" s="16"/>
      <c r="K2285" s="16"/>
      <c r="L2285" s="16"/>
      <c r="M2285" s="15"/>
      <c r="N2285" s="15"/>
      <c r="O2285" s="16"/>
      <c r="P2285" s="16"/>
      <c r="Q2285" s="16"/>
      <c r="R2285" s="16"/>
      <c r="S2285" s="37" t="str">
        <f>IFERROR(__xludf.DUMMYFUNCTION("if(not(iserror(index(split(C2285, "" ""),2))), index(split(C2285, "" ""),1),"""")"),"")</f>
        <v/>
      </c>
      <c r="T2285" s="315" t="str">
        <f>IFERROR(__xludf.DUMMYFUNCTION("if(S2285="""",C2285,if(not(iserror(index(split(C2285, "" ""),3))), index(split(C2285, "" ""),3),index(split(C2285, "" ""),2)))"),"")</f>
        <v/>
      </c>
      <c r="U2285" s="38" t="b">
        <f t="shared" si="34"/>
        <v>0</v>
      </c>
      <c r="V2285" s="38"/>
      <c r="W2285" s="40"/>
      <c r="X2285" s="40"/>
      <c r="Y2285" s="38"/>
      <c r="Z2285" s="38"/>
      <c r="AA2285" s="38"/>
      <c r="AB2285" s="38"/>
      <c r="AC2285" s="38"/>
      <c r="AD2285" s="38"/>
      <c r="AE2285" s="38"/>
      <c r="AF2285" s="38"/>
      <c r="AG2285" s="38"/>
      <c r="AH2285" s="38"/>
      <c r="AI2285" s="38"/>
      <c r="AJ2285" s="38"/>
      <c r="AK2285" s="38"/>
      <c r="AL2285" s="38"/>
      <c r="AM2285" s="38"/>
      <c r="AN2285" s="38"/>
      <c r="AO2285" s="38"/>
      <c r="AP2285" s="38"/>
      <c r="AQ2285" s="38"/>
      <c r="AR2285" s="38"/>
      <c r="AS2285" s="38"/>
      <c r="AT2285" s="38"/>
      <c r="AU2285" s="38"/>
      <c r="AV2285" s="38"/>
      <c r="AW2285" s="38"/>
      <c r="AX2285" s="38"/>
      <c r="AY2285" s="38"/>
      <c r="AZ2285" s="38"/>
      <c r="BA2285" s="38"/>
      <c r="BB2285" s="38"/>
      <c r="BC2285" s="38"/>
      <c r="BD2285" s="38"/>
      <c r="BE2285" s="38"/>
      <c r="BF2285" s="38"/>
      <c r="BG2285" s="38"/>
      <c r="BH2285" s="38"/>
      <c r="BI2285" s="38"/>
      <c r="BJ2285" s="38"/>
      <c r="BK2285" s="38"/>
      <c r="BL2285" s="38"/>
      <c r="BM2285" s="38"/>
      <c r="BN2285" s="38"/>
      <c r="BO2285" s="38"/>
      <c r="BP2285" s="38"/>
      <c r="BQ2285" s="38"/>
    </row>
    <row r="2286">
      <c r="A2286" s="16"/>
      <c r="B2286" s="16"/>
      <c r="C2286" s="146"/>
      <c r="D2286" s="146"/>
      <c r="E2286" s="16"/>
      <c r="F2286" s="91"/>
      <c r="G2286" s="16"/>
      <c r="H2286" s="320" t="str">
        <f t="shared" si="33"/>
        <v/>
      </c>
      <c r="I2286" s="16"/>
      <c r="J2286" s="16"/>
      <c r="K2286" s="16"/>
      <c r="L2286" s="16"/>
      <c r="M2286" s="15"/>
      <c r="N2286" s="15"/>
      <c r="O2286" s="16"/>
      <c r="P2286" s="16"/>
      <c r="Q2286" s="16"/>
      <c r="R2286" s="16"/>
      <c r="S2286" s="37" t="str">
        <f>IFERROR(__xludf.DUMMYFUNCTION("if(not(iserror(index(split(C2286, "" ""),2))), index(split(C2286, "" ""),1),"""")"),"")</f>
        <v/>
      </c>
      <c r="T2286" s="315" t="str">
        <f>IFERROR(__xludf.DUMMYFUNCTION("if(S2286="""",C2286,if(not(iserror(index(split(C2286, "" ""),3))), index(split(C2286, "" ""),3),index(split(C2286, "" ""),2)))"),"")</f>
        <v/>
      </c>
      <c r="U2286" s="38" t="b">
        <f t="shared" si="34"/>
        <v>0</v>
      </c>
      <c r="V2286" s="38"/>
      <c r="W2286" s="40"/>
      <c r="X2286" s="40"/>
      <c r="Y2286" s="38"/>
      <c r="Z2286" s="38"/>
      <c r="AA2286" s="38"/>
      <c r="AB2286" s="38"/>
      <c r="AC2286" s="38"/>
      <c r="AD2286" s="38"/>
      <c r="AE2286" s="38"/>
      <c r="AF2286" s="38"/>
      <c r="AG2286" s="38"/>
      <c r="AH2286" s="38"/>
      <c r="AI2286" s="38"/>
      <c r="AJ2286" s="38"/>
      <c r="AK2286" s="38"/>
      <c r="AL2286" s="38"/>
      <c r="AM2286" s="38"/>
      <c r="AN2286" s="38"/>
      <c r="AO2286" s="38"/>
      <c r="AP2286" s="38"/>
      <c r="AQ2286" s="38"/>
      <c r="AR2286" s="38"/>
      <c r="AS2286" s="38"/>
      <c r="AT2286" s="38"/>
      <c r="AU2286" s="38"/>
      <c r="AV2286" s="38"/>
      <c r="AW2286" s="38"/>
      <c r="AX2286" s="38"/>
      <c r="AY2286" s="38"/>
      <c r="AZ2286" s="38"/>
      <c r="BA2286" s="38"/>
      <c r="BB2286" s="38"/>
      <c r="BC2286" s="38"/>
      <c r="BD2286" s="38"/>
      <c r="BE2286" s="38"/>
      <c r="BF2286" s="38"/>
      <c r="BG2286" s="38"/>
      <c r="BH2286" s="38"/>
      <c r="BI2286" s="38"/>
      <c r="BJ2286" s="38"/>
      <c r="BK2286" s="38"/>
      <c r="BL2286" s="38"/>
      <c r="BM2286" s="38"/>
      <c r="BN2286" s="38"/>
      <c r="BO2286" s="38"/>
      <c r="BP2286" s="38"/>
      <c r="BQ2286" s="38"/>
    </row>
    <row r="2287">
      <c r="A2287" s="16"/>
      <c r="B2287" s="16"/>
      <c r="C2287" s="146"/>
      <c r="D2287" s="146"/>
      <c r="E2287" s="16"/>
      <c r="F2287" s="91"/>
      <c r="G2287" s="16"/>
      <c r="H2287" s="320" t="str">
        <f t="shared" si="33"/>
        <v/>
      </c>
      <c r="I2287" s="16"/>
      <c r="J2287" s="16"/>
      <c r="K2287" s="16"/>
      <c r="L2287" s="16"/>
      <c r="M2287" s="15"/>
      <c r="N2287" s="15"/>
      <c r="O2287" s="16"/>
      <c r="P2287" s="16"/>
      <c r="Q2287" s="16"/>
      <c r="R2287" s="16"/>
      <c r="S2287" s="37" t="str">
        <f>IFERROR(__xludf.DUMMYFUNCTION("if(not(iserror(index(split(C2287, "" ""),2))), index(split(C2287, "" ""),1),"""")"),"")</f>
        <v/>
      </c>
      <c r="T2287" s="315" t="str">
        <f>IFERROR(__xludf.DUMMYFUNCTION("if(S2287="""",C2287,if(not(iserror(index(split(C2287, "" ""),3))), index(split(C2287, "" ""),3),index(split(C2287, "" ""),2)))"),"")</f>
        <v/>
      </c>
      <c r="U2287" s="38" t="b">
        <f t="shared" si="34"/>
        <v>0</v>
      </c>
      <c r="V2287" s="38"/>
      <c r="W2287" s="40"/>
      <c r="X2287" s="40"/>
      <c r="Y2287" s="38"/>
      <c r="Z2287" s="38"/>
      <c r="AA2287" s="38"/>
      <c r="AB2287" s="38"/>
      <c r="AC2287" s="38"/>
      <c r="AD2287" s="38"/>
      <c r="AE2287" s="38"/>
      <c r="AF2287" s="38"/>
      <c r="AG2287" s="38"/>
      <c r="AH2287" s="38"/>
      <c r="AI2287" s="38"/>
      <c r="AJ2287" s="38"/>
      <c r="AK2287" s="38"/>
      <c r="AL2287" s="38"/>
      <c r="AM2287" s="38"/>
      <c r="AN2287" s="38"/>
      <c r="AO2287" s="38"/>
      <c r="AP2287" s="38"/>
      <c r="AQ2287" s="38"/>
      <c r="AR2287" s="38"/>
      <c r="AS2287" s="38"/>
      <c r="AT2287" s="38"/>
      <c r="AU2287" s="38"/>
      <c r="AV2287" s="38"/>
      <c r="AW2287" s="38"/>
      <c r="AX2287" s="38"/>
      <c r="AY2287" s="38"/>
      <c r="AZ2287" s="38"/>
      <c r="BA2287" s="38"/>
      <c r="BB2287" s="38"/>
      <c r="BC2287" s="38"/>
      <c r="BD2287" s="38"/>
      <c r="BE2287" s="38"/>
      <c r="BF2287" s="38"/>
      <c r="BG2287" s="38"/>
      <c r="BH2287" s="38"/>
      <c r="BI2287" s="38"/>
      <c r="BJ2287" s="38"/>
      <c r="BK2287" s="38"/>
      <c r="BL2287" s="38"/>
      <c r="BM2287" s="38"/>
      <c r="BN2287" s="38"/>
      <c r="BO2287" s="38"/>
      <c r="BP2287" s="38"/>
      <c r="BQ2287" s="38"/>
    </row>
    <row r="2288">
      <c r="A2288" s="16"/>
      <c r="B2288" s="16"/>
      <c r="C2288" s="146"/>
      <c r="D2288" s="146"/>
      <c r="E2288" s="16"/>
      <c r="F2288" s="91"/>
      <c r="G2288" s="16"/>
      <c r="H2288" s="320" t="str">
        <f t="shared" si="33"/>
        <v/>
      </c>
      <c r="I2288" s="16"/>
      <c r="J2288" s="16"/>
      <c r="K2288" s="16"/>
      <c r="L2288" s="16"/>
      <c r="M2288" s="15"/>
      <c r="N2288" s="15"/>
      <c r="O2288" s="16"/>
      <c r="P2288" s="16"/>
      <c r="Q2288" s="16"/>
      <c r="R2288" s="16"/>
      <c r="S2288" s="37" t="str">
        <f>IFERROR(__xludf.DUMMYFUNCTION("if(not(iserror(index(split(C2288, "" ""),2))), index(split(C2288, "" ""),1),"""")"),"")</f>
        <v/>
      </c>
      <c r="T2288" s="315" t="str">
        <f>IFERROR(__xludf.DUMMYFUNCTION("if(S2288="""",C2288,if(not(iserror(index(split(C2288, "" ""),3))), index(split(C2288, "" ""),3),index(split(C2288, "" ""),2)))"),"")</f>
        <v/>
      </c>
      <c r="U2288" s="38" t="b">
        <f t="shared" si="34"/>
        <v>0</v>
      </c>
      <c r="V2288" s="38"/>
      <c r="W2288" s="40"/>
      <c r="X2288" s="40"/>
      <c r="Y2288" s="38"/>
      <c r="Z2288" s="38"/>
      <c r="AA2288" s="38"/>
      <c r="AB2288" s="38"/>
      <c r="AC2288" s="38"/>
      <c r="AD2288" s="38"/>
      <c r="AE2288" s="38"/>
      <c r="AF2288" s="38"/>
      <c r="AG2288" s="38"/>
      <c r="AH2288" s="38"/>
      <c r="AI2288" s="38"/>
      <c r="AJ2288" s="38"/>
      <c r="AK2288" s="38"/>
      <c r="AL2288" s="38"/>
      <c r="AM2288" s="38"/>
      <c r="AN2288" s="38"/>
      <c r="AO2288" s="38"/>
      <c r="AP2288" s="38"/>
      <c r="AQ2288" s="38"/>
      <c r="AR2288" s="38"/>
      <c r="AS2288" s="38"/>
      <c r="AT2288" s="38"/>
      <c r="AU2288" s="38"/>
      <c r="AV2288" s="38"/>
      <c r="AW2288" s="38"/>
      <c r="AX2288" s="38"/>
      <c r="AY2288" s="38"/>
      <c r="AZ2288" s="38"/>
      <c r="BA2288" s="38"/>
      <c r="BB2288" s="38"/>
      <c r="BC2288" s="38"/>
      <c r="BD2288" s="38"/>
      <c r="BE2288" s="38"/>
      <c r="BF2288" s="38"/>
      <c r="BG2288" s="38"/>
      <c r="BH2288" s="38"/>
      <c r="BI2288" s="38"/>
      <c r="BJ2288" s="38"/>
      <c r="BK2288" s="38"/>
      <c r="BL2288" s="38"/>
      <c r="BM2288" s="38"/>
      <c r="BN2288" s="38"/>
      <c r="BO2288" s="38"/>
      <c r="BP2288" s="38"/>
      <c r="BQ2288" s="38"/>
    </row>
    <row r="2289">
      <c r="A2289" s="16"/>
      <c r="B2289" s="16"/>
      <c r="C2289" s="146"/>
      <c r="D2289" s="146"/>
      <c r="E2289" s="16"/>
      <c r="F2289" s="91"/>
      <c r="G2289" s="16"/>
      <c r="H2289" s="320" t="str">
        <f t="shared" si="33"/>
        <v/>
      </c>
      <c r="I2289" s="16"/>
      <c r="J2289" s="16"/>
      <c r="K2289" s="16"/>
      <c r="L2289" s="16"/>
      <c r="M2289" s="15"/>
      <c r="N2289" s="15"/>
      <c r="O2289" s="16"/>
      <c r="P2289" s="16"/>
      <c r="Q2289" s="16"/>
      <c r="R2289" s="16"/>
      <c r="S2289" s="37" t="str">
        <f>IFERROR(__xludf.DUMMYFUNCTION("if(not(iserror(index(split(C2289, "" ""),2))), index(split(C2289, "" ""),1),"""")"),"")</f>
        <v/>
      </c>
      <c r="T2289" s="315" t="str">
        <f>IFERROR(__xludf.DUMMYFUNCTION("if(S2289="""",C2289,if(not(iserror(index(split(C2289, "" ""),3))), index(split(C2289, "" ""),3),index(split(C2289, "" ""),2)))"),"")</f>
        <v/>
      </c>
      <c r="U2289" s="38" t="b">
        <f t="shared" si="34"/>
        <v>0</v>
      </c>
      <c r="V2289" s="38"/>
      <c r="W2289" s="40"/>
      <c r="X2289" s="40"/>
      <c r="Y2289" s="38"/>
      <c r="Z2289" s="38"/>
      <c r="AA2289" s="38"/>
      <c r="AB2289" s="38"/>
      <c r="AC2289" s="38"/>
      <c r="AD2289" s="38"/>
      <c r="AE2289" s="38"/>
      <c r="AF2289" s="38"/>
      <c r="AG2289" s="38"/>
      <c r="AH2289" s="38"/>
      <c r="AI2289" s="38"/>
      <c r="AJ2289" s="38"/>
      <c r="AK2289" s="38"/>
      <c r="AL2289" s="38"/>
      <c r="AM2289" s="38"/>
      <c r="AN2289" s="38"/>
      <c r="AO2289" s="38"/>
      <c r="AP2289" s="38"/>
      <c r="AQ2289" s="38"/>
      <c r="AR2289" s="38"/>
      <c r="AS2289" s="38"/>
      <c r="AT2289" s="38"/>
      <c r="AU2289" s="38"/>
      <c r="AV2289" s="38"/>
      <c r="AW2289" s="38"/>
      <c r="AX2289" s="38"/>
      <c r="AY2289" s="38"/>
      <c r="AZ2289" s="38"/>
      <c r="BA2289" s="38"/>
      <c r="BB2289" s="38"/>
      <c r="BC2289" s="38"/>
      <c r="BD2289" s="38"/>
      <c r="BE2289" s="38"/>
      <c r="BF2289" s="38"/>
      <c r="BG2289" s="38"/>
      <c r="BH2289" s="38"/>
      <c r="BI2289" s="38"/>
      <c r="BJ2289" s="38"/>
      <c r="BK2289" s="38"/>
      <c r="BL2289" s="38"/>
      <c r="BM2289" s="38"/>
      <c r="BN2289" s="38"/>
      <c r="BO2289" s="38"/>
      <c r="BP2289" s="38"/>
      <c r="BQ2289" s="38"/>
    </row>
    <row r="2290">
      <c r="A2290" s="16"/>
      <c r="B2290" s="16"/>
      <c r="C2290" s="146"/>
      <c r="D2290" s="146"/>
      <c r="E2290" s="16"/>
      <c r="F2290" s="91"/>
      <c r="G2290" s="16"/>
      <c r="H2290" s="320" t="str">
        <f t="shared" si="33"/>
        <v/>
      </c>
      <c r="I2290" s="16"/>
      <c r="J2290" s="16"/>
      <c r="K2290" s="16"/>
      <c r="L2290" s="16"/>
      <c r="M2290" s="15"/>
      <c r="N2290" s="15"/>
      <c r="O2290" s="16"/>
      <c r="P2290" s="16"/>
      <c r="Q2290" s="16"/>
      <c r="R2290" s="16"/>
      <c r="S2290" s="37" t="str">
        <f>IFERROR(__xludf.DUMMYFUNCTION("if(not(iserror(index(split(C2290, "" ""),2))), index(split(C2290, "" ""),1),"""")"),"")</f>
        <v/>
      </c>
      <c r="T2290" s="315" t="str">
        <f>IFERROR(__xludf.DUMMYFUNCTION("if(S2290="""",C2290,if(not(iserror(index(split(C2290, "" ""),3))), index(split(C2290, "" ""),3),index(split(C2290, "" ""),2)))"),"")</f>
        <v/>
      </c>
      <c r="U2290" s="38" t="b">
        <f t="shared" si="34"/>
        <v>0</v>
      </c>
      <c r="V2290" s="38"/>
      <c r="W2290" s="40"/>
      <c r="X2290" s="40"/>
      <c r="Y2290" s="38"/>
      <c r="Z2290" s="38"/>
      <c r="AA2290" s="38"/>
      <c r="AB2290" s="38"/>
      <c r="AC2290" s="38"/>
      <c r="AD2290" s="38"/>
      <c r="AE2290" s="38"/>
      <c r="AF2290" s="38"/>
      <c r="AG2290" s="38"/>
      <c r="AH2290" s="38"/>
      <c r="AI2290" s="38"/>
      <c r="AJ2290" s="38"/>
      <c r="AK2290" s="38"/>
      <c r="AL2290" s="38"/>
      <c r="AM2290" s="38"/>
      <c r="AN2290" s="38"/>
      <c r="AO2290" s="38"/>
      <c r="AP2290" s="38"/>
      <c r="AQ2290" s="38"/>
      <c r="AR2290" s="38"/>
      <c r="AS2290" s="38"/>
      <c r="AT2290" s="38"/>
      <c r="AU2290" s="38"/>
      <c r="AV2290" s="38"/>
      <c r="AW2290" s="38"/>
      <c r="AX2290" s="38"/>
      <c r="AY2290" s="38"/>
      <c r="AZ2290" s="38"/>
      <c r="BA2290" s="38"/>
      <c r="BB2290" s="38"/>
      <c r="BC2290" s="38"/>
      <c r="BD2290" s="38"/>
      <c r="BE2290" s="38"/>
      <c r="BF2290" s="38"/>
      <c r="BG2290" s="38"/>
      <c r="BH2290" s="38"/>
      <c r="BI2290" s="38"/>
      <c r="BJ2290" s="38"/>
      <c r="BK2290" s="38"/>
      <c r="BL2290" s="38"/>
      <c r="BM2290" s="38"/>
      <c r="BN2290" s="38"/>
      <c r="BO2290" s="38"/>
      <c r="BP2290" s="38"/>
      <c r="BQ2290" s="38"/>
    </row>
    <row r="2291">
      <c r="A2291" s="16"/>
      <c r="B2291" s="16"/>
      <c r="C2291" s="146"/>
      <c r="D2291" s="146"/>
      <c r="E2291" s="16"/>
      <c r="F2291" s="91"/>
      <c r="G2291" s="16"/>
      <c r="H2291" s="320" t="str">
        <f t="shared" si="33"/>
        <v/>
      </c>
      <c r="I2291" s="16"/>
      <c r="J2291" s="16"/>
      <c r="K2291" s="16"/>
      <c r="L2291" s="16"/>
      <c r="M2291" s="15"/>
      <c r="N2291" s="15"/>
      <c r="O2291" s="16"/>
      <c r="P2291" s="16"/>
      <c r="Q2291" s="16"/>
      <c r="R2291" s="16"/>
      <c r="S2291" s="37" t="str">
        <f>IFERROR(__xludf.DUMMYFUNCTION("if(not(iserror(index(split(C2291, "" ""),2))), index(split(C2291, "" ""),1),"""")"),"")</f>
        <v/>
      </c>
      <c r="T2291" s="315" t="str">
        <f>IFERROR(__xludf.DUMMYFUNCTION("if(S2291="""",C2291,if(not(iserror(index(split(C2291, "" ""),3))), index(split(C2291, "" ""),3),index(split(C2291, "" ""),2)))"),"")</f>
        <v/>
      </c>
      <c r="U2291" s="38" t="b">
        <f t="shared" si="34"/>
        <v>0</v>
      </c>
      <c r="V2291" s="38"/>
      <c r="W2291" s="40"/>
      <c r="X2291" s="40"/>
      <c r="Y2291" s="38"/>
      <c r="Z2291" s="38"/>
      <c r="AA2291" s="38"/>
      <c r="AB2291" s="38"/>
      <c r="AC2291" s="38"/>
      <c r="AD2291" s="38"/>
      <c r="AE2291" s="38"/>
      <c r="AF2291" s="38"/>
      <c r="AG2291" s="38"/>
      <c r="AH2291" s="38"/>
      <c r="AI2291" s="38"/>
      <c r="AJ2291" s="38"/>
      <c r="AK2291" s="38"/>
      <c r="AL2291" s="38"/>
      <c r="AM2291" s="38"/>
      <c r="AN2291" s="38"/>
      <c r="AO2291" s="38"/>
      <c r="AP2291" s="38"/>
      <c r="AQ2291" s="38"/>
      <c r="AR2291" s="38"/>
      <c r="AS2291" s="38"/>
      <c r="AT2291" s="38"/>
      <c r="AU2291" s="38"/>
      <c r="AV2291" s="38"/>
      <c r="AW2291" s="38"/>
      <c r="AX2291" s="38"/>
      <c r="AY2291" s="38"/>
      <c r="AZ2291" s="38"/>
      <c r="BA2291" s="38"/>
      <c r="BB2291" s="38"/>
      <c r="BC2291" s="38"/>
      <c r="BD2291" s="38"/>
      <c r="BE2291" s="38"/>
      <c r="BF2291" s="38"/>
      <c r="BG2291" s="38"/>
      <c r="BH2291" s="38"/>
      <c r="BI2291" s="38"/>
      <c r="BJ2291" s="38"/>
      <c r="BK2291" s="38"/>
      <c r="BL2291" s="38"/>
      <c r="BM2291" s="38"/>
      <c r="BN2291" s="38"/>
      <c r="BO2291" s="38"/>
      <c r="BP2291" s="38"/>
      <c r="BQ2291" s="38"/>
    </row>
    <row r="2292">
      <c r="A2292" s="16"/>
      <c r="B2292" s="16"/>
      <c r="C2292" s="146"/>
      <c r="D2292" s="146"/>
      <c r="E2292" s="16"/>
      <c r="F2292" s="91"/>
      <c r="G2292" s="16"/>
      <c r="H2292" s="320" t="str">
        <f t="shared" si="33"/>
        <v/>
      </c>
      <c r="I2292" s="16"/>
      <c r="J2292" s="16"/>
      <c r="K2292" s="16"/>
      <c r="L2292" s="16"/>
      <c r="M2292" s="15"/>
      <c r="N2292" s="15"/>
      <c r="O2292" s="16"/>
      <c r="P2292" s="16"/>
      <c r="Q2292" s="16"/>
      <c r="R2292" s="16"/>
      <c r="S2292" s="37" t="str">
        <f>IFERROR(__xludf.DUMMYFUNCTION("if(not(iserror(index(split(C2292, "" ""),2))), index(split(C2292, "" ""),1),"""")"),"")</f>
        <v/>
      </c>
      <c r="T2292" s="315" t="str">
        <f>IFERROR(__xludf.DUMMYFUNCTION("if(S2292="""",C2292,if(not(iserror(index(split(C2292, "" ""),3))), index(split(C2292, "" ""),3),index(split(C2292, "" ""),2)))"),"")</f>
        <v/>
      </c>
      <c r="U2292" s="38" t="b">
        <f t="shared" si="34"/>
        <v>0</v>
      </c>
      <c r="V2292" s="38"/>
      <c r="W2292" s="40"/>
      <c r="X2292" s="40"/>
      <c r="Y2292" s="38"/>
      <c r="Z2292" s="38"/>
      <c r="AA2292" s="38"/>
      <c r="AB2292" s="38"/>
      <c r="AC2292" s="38"/>
      <c r="AD2292" s="38"/>
      <c r="AE2292" s="38"/>
      <c r="AF2292" s="38"/>
      <c r="AG2292" s="38"/>
      <c r="AH2292" s="38"/>
      <c r="AI2292" s="38"/>
      <c r="AJ2292" s="38"/>
      <c r="AK2292" s="38"/>
      <c r="AL2292" s="38"/>
      <c r="AM2292" s="38"/>
      <c r="AN2292" s="38"/>
      <c r="AO2292" s="38"/>
      <c r="AP2292" s="38"/>
      <c r="AQ2292" s="38"/>
      <c r="AR2292" s="38"/>
      <c r="AS2292" s="38"/>
      <c r="AT2292" s="38"/>
      <c r="AU2292" s="38"/>
      <c r="AV2292" s="38"/>
      <c r="AW2292" s="38"/>
      <c r="AX2292" s="38"/>
      <c r="AY2292" s="38"/>
      <c r="AZ2292" s="38"/>
      <c r="BA2292" s="38"/>
      <c r="BB2292" s="38"/>
      <c r="BC2292" s="38"/>
      <c r="BD2292" s="38"/>
      <c r="BE2292" s="38"/>
      <c r="BF2292" s="38"/>
      <c r="BG2292" s="38"/>
      <c r="BH2292" s="38"/>
      <c r="BI2292" s="38"/>
      <c r="BJ2292" s="38"/>
      <c r="BK2292" s="38"/>
      <c r="BL2292" s="38"/>
      <c r="BM2292" s="38"/>
      <c r="BN2292" s="38"/>
      <c r="BO2292" s="38"/>
      <c r="BP2292" s="38"/>
      <c r="BQ2292" s="38"/>
    </row>
    <row r="2293">
      <c r="A2293" s="16"/>
      <c r="B2293" s="16"/>
      <c r="C2293" s="146"/>
      <c r="D2293" s="146"/>
      <c r="E2293" s="16"/>
      <c r="F2293" s="91"/>
      <c r="G2293" s="16"/>
      <c r="H2293" s="320" t="str">
        <f t="shared" si="33"/>
        <v/>
      </c>
      <c r="I2293" s="16"/>
      <c r="J2293" s="16"/>
      <c r="K2293" s="16"/>
      <c r="L2293" s="16"/>
      <c r="M2293" s="15"/>
      <c r="N2293" s="15"/>
      <c r="O2293" s="16"/>
      <c r="P2293" s="16"/>
      <c r="Q2293" s="16"/>
      <c r="R2293" s="16"/>
      <c r="S2293" s="37" t="str">
        <f>IFERROR(__xludf.DUMMYFUNCTION("if(not(iserror(index(split(C2293, "" ""),2))), index(split(C2293, "" ""),1),"""")"),"")</f>
        <v/>
      </c>
      <c r="T2293" s="315" t="str">
        <f>IFERROR(__xludf.DUMMYFUNCTION("if(S2293="""",C2293,if(not(iserror(index(split(C2293, "" ""),3))), index(split(C2293, "" ""),3),index(split(C2293, "" ""),2)))"),"")</f>
        <v/>
      </c>
      <c r="U2293" s="38" t="b">
        <f t="shared" si="34"/>
        <v>0</v>
      </c>
      <c r="V2293" s="38"/>
      <c r="W2293" s="40"/>
      <c r="X2293" s="40"/>
      <c r="Y2293" s="38"/>
      <c r="Z2293" s="38"/>
      <c r="AA2293" s="38"/>
      <c r="AB2293" s="38"/>
      <c r="AC2293" s="38"/>
      <c r="AD2293" s="38"/>
      <c r="AE2293" s="38"/>
      <c r="AF2293" s="38"/>
      <c r="AG2293" s="38"/>
      <c r="AH2293" s="38"/>
      <c r="AI2293" s="38"/>
      <c r="AJ2293" s="38"/>
      <c r="AK2293" s="38"/>
      <c r="AL2293" s="38"/>
      <c r="AM2293" s="38"/>
      <c r="AN2293" s="38"/>
      <c r="AO2293" s="38"/>
      <c r="AP2293" s="38"/>
      <c r="AQ2293" s="38"/>
      <c r="AR2293" s="38"/>
      <c r="AS2293" s="38"/>
      <c r="AT2293" s="38"/>
      <c r="AU2293" s="38"/>
      <c r="AV2293" s="38"/>
      <c r="AW2293" s="38"/>
      <c r="AX2293" s="38"/>
      <c r="AY2293" s="38"/>
      <c r="AZ2293" s="38"/>
      <c r="BA2293" s="38"/>
      <c r="BB2293" s="38"/>
      <c r="BC2293" s="38"/>
      <c r="BD2293" s="38"/>
      <c r="BE2293" s="38"/>
      <c r="BF2293" s="38"/>
      <c r="BG2293" s="38"/>
      <c r="BH2293" s="38"/>
      <c r="BI2293" s="38"/>
      <c r="BJ2293" s="38"/>
      <c r="BK2293" s="38"/>
      <c r="BL2293" s="38"/>
      <c r="BM2293" s="38"/>
      <c r="BN2293" s="38"/>
      <c r="BO2293" s="38"/>
      <c r="BP2293" s="38"/>
      <c r="BQ2293" s="38"/>
    </row>
    <row r="2294">
      <c r="A2294" s="16"/>
      <c r="B2294" s="16"/>
      <c r="C2294" s="146"/>
      <c r="D2294" s="146"/>
      <c r="E2294" s="16"/>
      <c r="F2294" s="91"/>
      <c r="G2294" s="16"/>
      <c r="H2294" s="320" t="str">
        <f t="shared" si="33"/>
        <v/>
      </c>
      <c r="I2294" s="16"/>
      <c r="J2294" s="16"/>
      <c r="K2294" s="16"/>
      <c r="L2294" s="16"/>
      <c r="M2294" s="15"/>
      <c r="N2294" s="15"/>
      <c r="O2294" s="16"/>
      <c r="P2294" s="16"/>
      <c r="Q2294" s="16"/>
      <c r="R2294" s="16"/>
      <c r="S2294" s="37" t="str">
        <f>IFERROR(__xludf.DUMMYFUNCTION("if(not(iserror(index(split(C2294, "" ""),2))), index(split(C2294, "" ""),1),"""")"),"")</f>
        <v/>
      </c>
      <c r="T2294" s="315" t="str">
        <f>IFERROR(__xludf.DUMMYFUNCTION("if(S2294="""",C2294,if(not(iserror(index(split(C2294, "" ""),3))), index(split(C2294, "" ""),3),index(split(C2294, "" ""),2)))"),"")</f>
        <v/>
      </c>
      <c r="U2294" s="38" t="b">
        <f t="shared" si="34"/>
        <v>0</v>
      </c>
      <c r="V2294" s="38"/>
      <c r="W2294" s="40"/>
      <c r="X2294" s="40"/>
      <c r="Y2294" s="38"/>
      <c r="Z2294" s="38"/>
      <c r="AA2294" s="38"/>
      <c r="AB2294" s="38"/>
      <c r="AC2294" s="38"/>
      <c r="AD2294" s="38"/>
      <c r="AE2294" s="38"/>
      <c r="AF2294" s="38"/>
      <c r="AG2294" s="38"/>
      <c r="AH2294" s="38"/>
      <c r="AI2294" s="38"/>
      <c r="AJ2294" s="38"/>
      <c r="AK2294" s="38"/>
      <c r="AL2294" s="38"/>
      <c r="AM2294" s="38"/>
      <c r="AN2294" s="38"/>
      <c r="AO2294" s="38"/>
      <c r="AP2294" s="38"/>
      <c r="AQ2294" s="38"/>
      <c r="AR2294" s="38"/>
      <c r="AS2294" s="38"/>
      <c r="AT2294" s="38"/>
      <c r="AU2294" s="38"/>
      <c r="AV2294" s="38"/>
      <c r="AW2294" s="38"/>
      <c r="AX2294" s="38"/>
      <c r="AY2294" s="38"/>
      <c r="AZ2294" s="38"/>
      <c r="BA2294" s="38"/>
      <c r="BB2294" s="38"/>
      <c r="BC2294" s="38"/>
      <c r="BD2294" s="38"/>
      <c r="BE2294" s="38"/>
      <c r="BF2294" s="38"/>
      <c r="BG2294" s="38"/>
      <c r="BH2294" s="38"/>
      <c r="BI2294" s="38"/>
      <c r="BJ2294" s="38"/>
      <c r="BK2294" s="38"/>
      <c r="BL2294" s="38"/>
      <c r="BM2294" s="38"/>
      <c r="BN2294" s="38"/>
      <c r="BO2294" s="38"/>
      <c r="BP2294" s="38"/>
      <c r="BQ2294" s="38"/>
    </row>
    <row r="2295">
      <c r="A2295" s="16"/>
      <c r="B2295" s="16"/>
      <c r="C2295" s="146"/>
      <c r="D2295" s="146"/>
      <c r="E2295" s="16"/>
      <c r="F2295" s="91"/>
      <c r="G2295" s="16"/>
      <c r="H2295" s="320" t="str">
        <f t="shared" si="33"/>
        <v/>
      </c>
      <c r="I2295" s="16"/>
      <c r="J2295" s="16"/>
      <c r="K2295" s="16"/>
      <c r="L2295" s="16"/>
      <c r="M2295" s="15"/>
      <c r="N2295" s="15"/>
      <c r="O2295" s="16"/>
      <c r="P2295" s="16"/>
      <c r="Q2295" s="16"/>
      <c r="R2295" s="16"/>
      <c r="S2295" s="37" t="str">
        <f>IFERROR(__xludf.DUMMYFUNCTION("if(not(iserror(index(split(C2295, "" ""),2))), index(split(C2295, "" ""),1),"""")"),"")</f>
        <v/>
      </c>
      <c r="T2295" s="315" t="str">
        <f>IFERROR(__xludf.DUMMYFUNCTION("if(S2295="""",C2295,if(not(iserror(index(split(C2295, "" ""),3))), index(split(C2295, "" ""),3),index(split(C2295, "" ""),2)))"),"")</f>
        <v/>
      </c>
      <c r="U2295" s="38" t="b">
        <f t="shared" si="34"/>
        <v>0</v>
      </c>
      <c r="V2295" s="38"/>
      <c r="W2295" s="40"/>
      <c r="X2295" s="40"/>
      <c r="Y2295" s="38"/>
      <c r="Z2295" s="38"/>
      <c r="AA2295" s="38"/>
      <c r="AB2295" s="38"/>
      <c r="AC2295" s="38"/>
      <c r="AD2295" s="38"/>
      <c r="AE2295" s="38"/>
      <c r="AF2295" s="38"/>
      <c r="AG2295" s="38"/>
      <c r="AH2295" s="38"/>
      <c r="AI2295" s="38"/>
      <c r="AJ2295" s="38"/>
      <c r="AK2295" s="38"/>
      <c r="AL2295" s="38"/>
      <c r="AM2295" s="38"/>
      <c r="AN2295" s="38"/>
      <c r="AO2295" s="38"/>
      <c r="AP2295" s="38"/>
      <c r="AQ2295" s="38"/>
      <c r="AR2295" s="38"/>
      <c r="AS2295" s="38"/>
      <c r="AT2295" s="38"/>
      <c r="AU2295" s="38"/>
      <c r="AV2295" s="38"/>
      <c r="AW2295" s="38"/>
      <c r="AX2295" s="38"/>
      <c r="AY2295" s="38"/>
      <c r="AZ2295" s="38"/>
      <c r="BA2295" s="38"/>
      <c r="BB2295" s="38"/>
      <c r="BC2295" s="38"/>
      <c r="BD2295" s="38"/>
      <c r="BE2295" s="38"/>
      <c r="BF2295" s="38"/>
      <c r="BG2295" s="38"/>
      <c r="BH2295" s="38"/>
      <c r="BI2295" s="38"/>
      <c r="BJ2295" s="38"/>
      <c r="BK2295" s="38"/>
      <c r="BL2295" s="38"/>
      <c r="BM2295" s="38"/>
      <c r="BN2295" s="38"/>
      <c r="BO2295" s="38"/>
      <c r="BP2295" s="38"/>
      <c r="BQ2295" s="38"/>
    </row>
    <row r="2296">
      <c r="A2296" s="16"/>
      <c r="B2296" s="16"/>
      <c r="C2296" s="146"/>
      <c r="D2296" s="146"/>
      <c r="E2296" s="16"/>
      <c r="F2296" s="91"/>
      <c r="G2296" s="16"/>
      <c r="H2296" s="320" t="str">
        <f t="shared" si="33"/>
        <v/>
      </c>
      <c r="I2296" s="16"/>
      <c r="J2296" s="16"/>
      <c r="K2296" s="16"/>
      <c r="L2296" s="16"/>
      <c r="M2296" s="15"/>
      <c r="N2296" s="15"/>
      <c r="O2296" s="16"/>
      <c r="P2296" s="16"/>
      <c r="Q2296" s="16"/>
      <c r="R2296" s="16"/>
      <c r="S2296" s="37" t="str">
        <f>IFERROR(__xludf.DUMMYFUNCTION("if(not(iserror(index(split(C2296, "" ""),2))), index(split(C2296, "" ""),1),"""")"),"")</f>
        <v/>
      </c>
      <c r="T2296" s="315" t="str">
        <f>IFERROR(__xludf.DUMMYFUNCTION("if(S2296="""",C2296,if(not(iserror(index(split(C2296, "" ""),3))), index(split(C2296, "" ""),3),index(split(C2296, "" ""),2)))"),"")</f>
        <v/>
      </c>
      <c r="U2296" s="38" t="b">
        <f t="shared" si="34"/>
        <v>0</v>
      </c>
      <c r="V2296" s="38"/>
      <c r="W2296" s="40"/>
      <c r="X2296" s="40"/>
      <c r="Y2296" s="38"/>
      <c r="Z2296" s="38"/>
      <c r="AA2296" s="38"/>
      <c r="AB2296" s="38"/>
      <c r="AC2296" s="38"/>
      <c r="AD2296" s="38"/>
      <c r="AE2296" s="38"/>
      <c r="AF2296" s="38"/>
      <c r="AG2296" s="38"/>
      <c r="AH2296" s="38"/>
      <c r="AI2296" s="38"/>
      <c r="AJ2296" s="38"/>
      <c r="AK2296" s="38"/>
      <c r="AL2296" s="38"/>
      <c r="AM2296" s="38"/>
      <c r="AN2296" s="38"/>
      <c r="AO2296" s="38"/>
      <c r="AP2296" s="38"/>
      <c r="AQ2296" s="38"/>
      <c r="AR2296" s="38"/>
      <c r="AS2296" s="38"/>
      <c r="AT2296" s="38"/>
      <c r="AU2296" s="38"/>
      <c r="AV2296" s="38"/>
      <c r="AW2296" s="38"/>
      <c r="AX2296" s="38"/>
      <c r="AY2296" s="38"/>
      <c r="AZ2296" s="38"/>
      <c r="BA2296" s="38"/>
      <c r="BB2296" s="38"/>
      <c r="BC2296" s="38"/>
      <c r="BD2296" s="38"/>
      <c r="BE2296" s="38"/>
      <c r="BF2296" s="38"/>
      <c r="BG2296" s="38"/>
      <c r="BH2296" s="38"/>
      <c r="BI2296" s="38"/>
      <c r="BJ2296" s="38"/>
      <c r="BK2296" s="38"/>
      <c r="BL2296" s="38"/>
      <c r="BM2296" s="38"/>
      <c r="BN2296" s="38"/>
      <c r="BO2296" s="38"/>
      <c r="BP2296" s="38"/>
      <c r="BQ2296" s="38"/>
    </row>
    <row r="2297">
      <c r="A2297" s="16"/>
      <c r="B2297" s="16"/>
      <c r="C2297" s="146"/>
      <c r="D2297" s="146"/>
      <c r="E2297" s="16"/>
      <c r="F2297" s="91"/>
      <c r="G2297" s="16"/>
      <c r="H2297" s="320" t="str">
        <f t="shared" si="33"/>
        <v/>
      </c>
      <c r="I2297" s="16"/>
      <c r="J2297" s="16"/>
      <c r="K2297" s="16"/>
      <c r="L2297" s="16"/>
      <c r="M2297" s="15"/>
      <c r="N2297" s="15"/>
      <c r="O2297" s="16"/>
      <c r="P2297" s="16"/>
      <c r="Q2297" s="16"/>
      <c r="R2297" s="16"/>
      <c r="S2297" s="37" t="str">
        <f>IFERROR(__xludf.DUMMYFUNCTION("if(not(iserror(index(split(C2297, "" ""),2))), index(split(C2297, "" ""),1),"""")"),"")</f>
        <v/>
      </c>
      <c r="T2297" s="315" t="str">
        <f>IFERROR(__xludf.DUMMYFUNCTION("if(S2297="""",C2297,if(not(iserror(index(split(C2297, "" ""),3))), index(split(C2297, "" ""),3),index(split(C2297, "" ""),2)))"),"")</f>
        <v/>
      </c>
      <c r="U2297" s="38" t="b">
        <f t="shared" si="34"/>
        <v>0</v>
      </c>
      <c r="V2297" s="38"/>
      <c r="W2297" s="40"/>
      <c r="X2297" s="40"/>
      <c r="Y2297" s="38"/>
      <c r="Z2297" s="38"/>
      <c r="AA2297" s="38"/>
      <c r="AB2297" s="38"/>
      <c r="AC2297" s="38"/>
      <c r="AD2297" s="38"/>
      <c r="AE2297" s="38"/>
      <c r="AF2297" s="38"/>
      <c r="AG2297" s="38"/>
      <c r="AH2297" s="38"/>
      <c r="AI2297" s="38"/>
      <c r="AJ2297" s="38"/>
      <c r="AK2297" s="38"/>
      <c r="AL2297" s="38"/>
      <c r="AM2297" s="38"/>
      <c r="AN2297" s="38"/>
      <c r="AO2297" s="38"/>
      <c r="AP2297" s="38"/>
      <c r="AQ2297" s="38"/>
      <c r="AR2297" s="38"/>
      <c r="AS2297" s="38"/>
      <c r="AT2297" s="38"/>
      <c r="AU2297" s="38"/>
      <c r="AV2297" s="38"/>
      <c r="AW2297" s="38"/>
      <c r="AX2297" s="38"/>
      <c r="AY2297" s="38"/>
      <c r="AZ2297" s="38"/>
      <c r="BA2297" s="38"/>
      <c r="BB2297" s="38"/>
      <c r="BC2297" s="38"/>
      <c r="BD2297" s="38"/>
      <c r="BE2297" s="38"/>
      <c r="BF2297" s="38"/>
      <c r="BG2297" s="38"/>
      <c r="BH2297" s="38"/>
      <c r="BI2297" s="38"/>
      <c r="BJ2297" s="38"/>
      <c r="BK2297" s="38"/>
      <c r="BL2297" s="38"/>
      <c r="BM2297" s="38"/>
      <c r="BN2297" s="38"/>
      <c r="BO2297" s="38"/>
      <c r="BP2297" s="38"/>
      <c r="BQ2297" s="38"/>
    </row>
    <row r="2298">
      <c r="A2298" s="16"/>
      <c r="B2298" s="16"/>
      <c r="C2298" s="146"/>
      <c r="D2298" s="146"/>
      <c r="E2298" s="16"/>
      <c r="F2298" s="91"/>
      <c r="G2298" s="16"/>
      <c r="H2298" s="320" t="str">
        <f t="shared" si="33"/>
        <v/>
      </c>
      <c r="I2298" s="16"/>
      <c r="J2298" s="16"/>
      <c r="K2298" s="16"/>
      <c r="L2298" s="16"/>
      <c r="M2298" s="15"/>
      <c r="N2298" s="15"/>
      <c r="O2298" s="16"/>
      <c r="P2298" s="16"/>
      <c r="Q2298" s="16"/>
      <c r="R2298" s="16"/>
      <c r="S2298" s="37" t="str">
        <f>IFERROR(__xludf.DUMMYFUNCTION("if(not(iserror(index(split(C2298, "" ""),2))), index(split(C2298, "" ""),1),"""")"),"")</f>
        <v/>
      </c>
      <c r="T2298" s="315" t="str">
        <f>IFERROR(__xludf.DUMMYFUNCTION("if(S2298="""",C2298,if(not(iserror(index(split(C2298, "" ""),3))), index(split(C2298, "" ""),3),index(split(C2298, "" ""),2)))"),"")</f>
        <v/>
      </c>
      <c r="U2298" s="38" t="b">
        <f t="shared" si="34"/>
        <v>0</v>
      </c>
      <c r="V2298" s="38"/>
      <c r="W2298" s="40"/>
      <c r="X2298" s="40"/>
      <c r="Y2298" s="38"/>
      <c r="Z2298" s="38"/>
      <c r="AA2298" s="38"/>
      <c r="AB2298" s="38"/>
      <c r="AC2298" s="38"/>
      <c r="AD2298" s="38"/>
      <c r="AE2298" s="38"/>
      <c r="AF2298" s="38"/>
      <c r="AG2298" s="38"/>
      <c r="AH2298" s="38"/>
      <c r="AI2298" s="38"/>
      <c r="AJ2298" s="38"/>
      <c r="AK2298" s="38"/>
      <c r="AL2298" s="38"/>
      <c r="AM2298" s="38"/>
      <c r="AN2298" s="38"/>
      <c r="AO2298" s="38"/>
      <c r="AP2298" s="38"/>
      <c r="AQ2298" s="38"/>
      <c r="AR2298" s="38"/>
      <c r="AS2298" s="38"/>
      <c r="AT2298" s="38"/>
      <c r="AU2298" s="38"/>
      <c r="AV2298" s="38"/>
      <c r="AW2298" s="38"/>
      <c r="AX2298" s="38"/>
      <c r="AY2298" s="38"/>
      <c r="AZ2298" s="38"/>
      <c r="BA2298" s="38"/>
      <c r="BB2298" s="38"/>
      <c r="BC2298" s="38"/>
      <c r="BD2298" s="38"/>
      <c r="BE2298" s="38"/>
      <c r="BF2298" s="38"/>
      <c r="BG2298" s="38"/>
      <c r="BH2298" s="38"/>
      <c r="BI2298" s="38"/>
      <c r="BJ2298" s="38"/>
      <c r="BK2298" s="38"/>
      <c r="BL2298" s="38"/>
      <c r="BM2298" s="38"/>
      <c r="BN2298" s="38"/>
      <c r="BO2298" s="38"/>
      <c r="BP2298" s="38"/>
      <c r="BQ2298" s="38"/>
    </row>
    <row r="2299">
      <c r="A2299" s="16"/>
      <c r="B2299" s="16"/>
      <c r="C2299" s="146"/>
      <c r="D2299" s="146"/>
      <c r="E2299" s="16"/>
      <c r="F2299" s="91"/>
      <c r="G2299" s="16"/>
      <c r="H2299" s="320" t="str">
        <f t="shared" si="33"/>
        <v/>
      </c>
      <c r="I2299" s="16"/>
      <c r="J2299" s="16"/>
      <c r="K2299" s="16"/>
      <c r="L2299" s="16"/>
      <c r="M2299" s="15"/>
      <c r="N2299" s="15"/>
      <c r="O2299" s="16"/>
      <c r="P2299" s="16"/>
      <c r="Q2299" s="16"/>
      <c r="R2299" s="16"/>
      <c r="S2299" s="37" t="str">
        <f>IFERROR(__xludf.DUMMYFUNCTION("if(not(iserror(index(split(C2299, "" ""),2))), index(split(C2299, "" ""),1),"""")"),"")</f>
        <v/>
      </c>
      <c r="T2299" s="315" t="str">
        <f>IFERROR(__xludf.DUMMYFUNCTION("if(S2299="""",C2299,if(not(iserror(index(split(C2299, "" ""),3))), index(split(C2299, "" ""),3),index(split(C2299, "" ""),2)))"),"")</f>
        <v/>
      </c>
      <c r="U2299" s="38" t="b">
        <f t="shared" si="34"/>
        <v>0</v>
      </c>
      <c r="V2299" s="38"/>
      <c r="W2299" s="40"/>
      <c r="X2299" s="40"/>
      <c r="Y2299" s="38"/>
      <c r="Z2299" s="38"/>
      <c r="AA2299" s="38"/>
      <c r="AB2299" s="38"/>
      <c r="AC2299" s="38"/>
      <c r="AD2299" s="38"/>
      <c r="AE2299" s="38"/>
      <c r="AF2299" s="38"/>
      <c r="AG2299" s="38"/>
      <c r="AH2299" s="38"/>
      <c r="AI2299" s="38"/>
      <c r="AJ2299" s="38"/>
      <c r="AK2299" s="38"/>
      <c r="AL2299" s="38"/>
      <c r="AM2299" s="38"/>
      <c r="AN2299" s="38"/>
      <c r="AO2299" s="38"/>
      <c r="AP2299" s="38"/>
      <c r="AQ2299" s="38"/>
      <c r="AR2299" s="38"/>
      <c r="AS2299" s="38"/>
      <c r="AT2299" s="38"/>
      <c r="AU2299" s="38"/>
      <c r="AV2299" s="38"/>
      <c r="AW2299" s="38"/>
      <c r="AX2299" s="38"/>
      <c r="AY2299" s="38"/>
      <c r="AZ2299" s="38"/>
      <c r="BA2299" s="38"/>
      <c r="BB2299" s="38"/>
      <c r="BC2299" s="38"/>
      <c r="BD2299" s="38"/>
      <c r="BE2299" s="38"/>
      <c r="BF2299" s="38"/>
      <c r="BG2299" s="38"/>
      <c r="BH2299" s="38"/>
      <c r="BI2299" s="38"/>
      <c r="BJ2299" s="38"/>
      <c r="BK2299" s="38"/>
      <c r="BL2299" s="38"/>
      <c r="BM2299" s="38"/>
      <c r="BN2299" s="38"/>
      <c r="BO2299" s="38"/>
      <c r="BP2299" s="38"/>
      <c r="BQ2299" s="38"/>
    </row>
    <row r="2300">
      <c r="A2300" s="16"/>
      <c r="B2300" s="16"/>
      <c r="C2300" s="146"/>
      <c r="D2300" s="146"/>
      <c r="E2300" s="16"/>
      <c r="F2300" s="91"/>
      <c r="G2300" s="16"/>
      <c r="H2300" s="320" t="str">
        <f t="shared" si="33"/>
        <v/>
      </c>
      <c r="I2300" s="16"/>
      <c r="J2300" s="16"/>
      <c r="K2300" s="16"/>
      <c r="L2300" s="16"/>
      <c r="M2300" s="15"/>
      <c r="N2300" s="15"/>
      <c r="O2300" s="16"/>
      <c r="P2300" s="16"/>
      <c r="Q2300" s="16"/>
      <c r="R2300" s="16"/>
      <c r="S2300" s="37" t="str">
        <f>IFERROR(__xludf.DUMMYFUNCTION("if(not(iserror(index(split(C2300, "" ""),2))), index(split(C2300, "" ""),1),"""")"),"")</f>
        <v/>
      </c>
      <c r="T2300" s="315" t="str">
        <f>IFERROR(__xludf.DUMMYFUNCTION("if(S2300="""",C2300,if(not(iserror(index(split(C2300, "" ""),3))), index(split(C2300, "" ""),3),index(split(C2300, "" ""),2)))"),"")</f>
        <v/>
      </c>
      <c r="U2300" s="38" t="b">
        <f t="shared" si="34"/>
        <v>0</v>
      </c>
      <c r="V2300" s="38"/>
      <c r="W2300" s="40"/>
      <c r="X2300" s="40"/>
      <c r="Y2300" s="38"/>
      <c r="Z2300" s="38"/>
      <c r="AA2300" s="38"/>
      <c r="AB2300" s="38"/>
      <c r="AC2300" s="38"/>
      <c r="AD2300" s="38"/>
      <c r="AE2300" s="38"/>
      <c r="AF2300" s="38"/>
      <c r="AG2300" s="38"/>
      <c r="AH2300" s="38"/>
      <c r="AI2300" s="38"/>
      <c r="AJ2300" s="38"/>
      <c r="AK2300" s="38"/>
      <c r="AL2300" s="38"/>
      <c r="AM2300" s="38"/>
      <c r="AN2300" s="38"/>
      <c r="AO2300" s="38"/>
      <c r="AP2300" s="38"/>
      <c r="AQ2300" s="38"/>
      <c r="AR2300" s="38"/>
      <c r="AS2300" s="38"/>
      <c r="AT2300" s="38"/>
      <c r="AU2300" s="38"/>
      <c r="AV2300" s="38"/>
      <c r="AW2300" s="38"/>
      <c r="AX2300" s="38"/>
      <c r="AY2300" s="38"/>
      <c r="AZ2300" s="38"/>
      <c r="BA2300" s="38"/>
      <c r="BB2300" s="38"/>
      <c r="BC2300" s="38"/>
      <c r="BD2300" s="38"/>
      <c r="BE2300" s="38"/>
      <c r="BF2300" s="38"/>
      <c r="BG2300" s="38"/>
      <c r="BH2300" s="38"/>
      <c r="BI2300" s="38"/>
      <c r="BJ2300" s="38"/>
      <c r="BK2300" s="38"/>
      <c r="BL2300" s="38"/>
      <c r="BM2300" s="38"/>
      <c r="BN2300" s="38"/>
      <c r="BO2300" s="38"/>
      <c r="BP2300" s="38"/>
      <c r="BQ2300" s="38"/>
    </row>
    <row r="2301">
      <c r="A2301" s="16"/>
      <c r="B2301" s="16"/>
      <c r="C2301" s="146"/>
      <c r="D2301" s="146"/>
      <c r="E2301" s="16"/>
      <c r="F2301" s="91"/>
      <c r="G2301" s="16"/>
      <c r="H2301" s="320" t="str">
        <f t="shared" si="33"/>
        <v/>
      </c>
      <c r="I2301" s="16"/>
      <c r="J2301" s="16"/>
      <c r="K2301" s="16"/>
      <c r="L2301" s="16"/>
      <c r="M2301" s="15"/>
      <c r="N2301" s="15"/>
      <c r="O2301" s="16"/>
      <c r="P2301" s="16"/>
      <c r="Q2301" s="16"/>
      <c r="R2301" s="16"/>
      <c r="S2301" s="37" t="str">
        <f>IFERROR(__xludf.DUMMYFUNCTION("if(not(iserror(index(split(C2301, "" ""),2))), index(split(C2301, "" ""),1),"""")"),"")</f>
        <v/>
      </c>
      <c r="T2301" s="315" t="str">
        <f>IFERROR(__xludf.DUMMYFUNCTION("if(S2301="""",C2301,if(not(iserror(index(split(C2301, "" ""),3))), index(split(C2301, "" ""),3),index(split(C2301, "" ""),2)))"),"")</f>
        <v/>
      </c>
      <c r="U2301" s="38" t="b">
        <f t="shared" si="34"/>
        <v>0</v>
      </c>
      <c r="V2301" s="38"/>
      <c r="W2301" s="40"/>
      <c r="X2301" s="40"/>
      <c r="Y2301" s="38"/>
      <c r="Z2301" s="38"/>
      <c r="AA2301" s="38"/>
      <c r="AB2301" s="38"/>
      <c r="AC2301" s="38"/>
      <c r="AD2301" s="38"/>
      <c r="AE2301" s="38"/>
      <c r="AF2301" s="38"/>
      <c r="AG2301" s="38"/>
      <c r="AH2301" s="38"/>
      <c r="AI2301" s="38"/>
      <c r="AJ2301" s="38"/>
      <c r="AK2301" s="38"/>
      <c r="AL2301" s="38"/>
      <c r="AM2301" s="38"/>
      <c r="AN2301" s="38"/>
      <c r="AO2301" s="38"/>
      <c r="AP2301" s="38"/>
      <c r="AQ2301" s="38"/>
      <c r="AR2301" s="38"/>
      <c r="AS2301" s="38"/>
      <c r="AT2301" s="38"/>
      <c r="AU2301" s="38"/>
      <c r="AV2301" s="38"/>
      <c r="AW2301" s="38"/>
      <c r="AX2301" s="38"/>
      <c r="AY2301" s="38"/>
      <c r="AZ2301" s="38"/>
      <c r="BA2301" s="38"/>
      <c r="BB2301" s="38"/>
      <c r="BC2301" s="38"/>
      <c r="BD2301" s="38"/>
      <c r="BE2301" s="38"/>
      <c r="BF2301" s="38"/>
      <c r="BG2301" s="38"/>
      <c r="BH2301" s="38"/>
      <c r="BI2301" s="38"/>
      <c r="BJ2301" s="38"/>
      <c r="BK2301" s="38"/>
      <c r="BL2301" s="38"/>
      <c r="BM2301" s="38"/>
      <c r="BN2301" s="38"/>
      <c r="BO2301" s="38"/>
      <c r="BP2301" s="38"/>
      <c r="BQ2301" s="38"/>
    </row>
    <row r="2302">
      <c r="A2302" s="16"/>
      <c r="B2302" s="16"/>
      <c r="C2302" s="146"/>
      <c r="D2302" s="146"/>
      <c r="E2302" s="16"/>
      <c r="F2302" s="91"/>
      <c r="G2302" s="16"/>
      <c r="H2302" s="320" t="str">
        <f t="shared" si="33"/>
        <v/>
      </c>
      <c r="I2302" s="16"/>
      <c r="J2302" s="16"/>
      <c r="K2302" s="16"/>
      <c r="L2302" s="16"/>
      <c r="M2302" s="15"/>
      <c r="N2302" s="15"/>
      <c r="O2302" s="16"/>
      <c r="P2302" s="16"/>
      <c r="Q2302" s="16"/>
      <c r="R2302" s="16"/>
      <c r="S2302" s="37" t="str">
        <f>IFERROR(__xludf.DUMMYFUNCTION("if(not(iserror(index(split(C2302, "" ""),2))), index(split(C2302, "" ""),1),"""")"),"")</f>
        <v/>
      </c>
      <c r="T2302" s="315" t="str">
        <f>IFERROR(__xludf.DUMMYFUNCTION("if(S2302="""",C2302,if(not(iserror(index(split(C2302, "" ""),3))), index(split(C2302, "" ""),3),index(split(C2302, "" ""),2)))"),"")</f>
        <v/>
      </c>
      <c r="U2302" s="38" t="b">
        <f t="shared" si="34"/>
        <v>0</v>
      </c>
      <c r="V2302" s="38"/>
      <c r="W2302" s="40"/>
      <c r="X2302" s="40"/>
      <c r="Y2302" s="38"/>
      <c r="Z2302" s="38"/>
      <c r="AA2302" s="38"/>
      <c r="AB2302" s="38"/>
      <c r="AC2302" s="38"/>
      <c r="AD2302" s="38"/>
      <c r="AE2302" s="38"/>
      <c r="AF2302" s="38"/>
      <c r="AG2302" s="38"/>
      <c r="AH2302" s="38"/>
      <c r="AI2302" s="38"/>
      <c r="AJ2302" s="38"/>
      <c r="AK2302" s="38"/>
      <c r="AL2302" s="38"/>
      <c r="AM2302" s="38"/>
      <c r="AN2302" s="38"/>
      <c r="AO2302" s="38"/>
      <c r="AP2302" s="38"/>
      <c r="AQ2302" s="38"/>
      <c r="AR2302" s="38"/>
      <c r="AS2302" s="38"/>
      <c r="AT2302" s="38"/>
      <c r="AU2302" s="38"/>
      <c r="AV2302" s="38"/>
      <c r="AW2302" s="38"/>
      <c r="AX2302" s="38"/>
      <c r="AY2302" s="38"/>
      <c r="AZ2302" s="38"/>
      <c r="BA2302" s="38"/>
      <c r="BB2302" s="38"/>
      <c r="BC2302" s="38"/>
      <c r="BD2302" s="38"/>
      <c r="BE2302" s="38"/>
      <c r="BF2302" s="38"/>
      <c r="BG2302" s="38"/>
      <c r="BH2302" s="38"/>
      <c r="BI2302" s="38"/>
      <c r="BJ2302" s="38"/>
      <c r="BK2302" s="38"/>
      <c r="BL2302" s="38"/>
      <c r="BM2302" s="38"/>
      <c r="BN2302" s="38"/>
      <c r="BO2302" s="38"/>
      <c r="BP2302" s="38"/>
      <c r="BQ2302" s="38"/>
    </row>
    <row r="2303">
      <c r="A2303" s="16"/>
      <c r="B2303" s="16"/>
      <c r="C2303" s="146"/>
      <c r="D2303" s="146"/>
      <c r="E2303" s="16"/>
      <c r="F2303" s="91"/>
      <c r="G2303" s="16"/>
      <c r="H2303" s="320" t="str">
        <f t="shared" si="33"/>
        <v/>
      </c>
      <c r="I2303" s="16"/>
      <c r="J2303" s="16"/>
      <c r="K2303" s="16"/>
      <c r="L2303" s="16"/>
      <c r="M2303" s="15"/>
      <c r="N2303" s="15"/>
      <c r="O2303" s="16"/>
      <c r="P2303" s="16"/>
      <c r="Q2303" s="16"/>
      <c r="R2303" s="16"/>
      <c r="S2303" s="37" t="str">
        <f>IFERROR(__xludf.DUMMYFUNCTION("if(not(iserror(index(split(C2303, "" ""),2))), index(split(C2303, "" ""),1),"""")"),"")</f>
        <v/>
      </c>
      <c r="T2303" s="315" t="str">
        <f>IFERROR(__xludf.DUMMYFUNCTION("if(S2303="""",C2303,if(not(iserror(index(split(C2303, "" ""),3))), index(split(C2303, "" ""),3),index(split(C2303, "" ""),2)))"),"")</f>
        <v/>
      </c>
      <c r="U2303" s="38" t="b">
        <f t="shared" si="34"/>
        <v>0</v>
      </c>
      <c r="V2303" s="38"/>
      <c r="W2303" s="40"/>
      <c r="X2303" s="40"/>
      <c r="Y2303" s="38"/>
      <c r="Z2303" s="38"/>
      <c r="AA2303" s="38"/>
      <c r="AB2303" s="38"/>
      <c r="AC2303" s="38"/>
      <c r="AD2303" s="38"/>
      <c r="AE2303" s="38"/>
      <c r="AF2303" s="38"/>
      <c r="AG2303" s="38"/>
      <c r="AH2303" s="38"/>
      <c r="AI2303" s="38"/>
      <c r="AJ2303" s="38"/>
      <c r="AK2303" s="38"/>
      <c r="AL2303" s="38"/>
      <c r="AM2303" s="38"/>
      <c r="AN2303" s="38"/>
      <c r="AO2303" s="38"/>
      <c r="AP2303" s="38"/>
      <c r="AQ2303" s="38"/>
      <c r="AR2303" s="38"/>
      <c r="AS2303" s="38"/>
      <c r="AT2303" s="38"/>
      <c r="AU2303" s="38"/>
      <c r="AV2303" s="38"/>
      <c r="AW2303" s="38"/>
      <c r="AX2303" s="38"/>
      <c r="AY2303" s="38"/>
      <c r="AZ2303" s="38"/>
      <c r="BA2303" s="38"/>
      <c r="BB2303" s="38"/>
      <c r="BC2303" s="38"/>
      <c r="BD2303" s="38"/>
      <c r="BE2303" s="38"/>
      <c r="BF2303" s="38"/>
      <c r="BG2303" s="38"/>
      <c r="BH2303" s="38"/>
      <c r="BI2303" s="38"/>
      <c r="BJ2303" s="38"/>
      <c r="BK2303" s="38"/>
      <c r="BL2303" s="38"/>
      <c r="BM2303" s="38"/>
      <c r="BN2303" s="38"/>
      <c r="BO2303" s="38"/>
      <c r="BP2303" s="38"/>
      <c r="BQ2303" s="38"/>
    </row>
    <row r="2304">
      <c r="A2304" s="16"/>
      <c r="B2304" s="16"/>
      <c r="C2304" s="146"/>
      <c r="D2304" s="146"/>
      <c r="E2304" s="16"/>
      <c r="F2304" s="91"/>
      <c r="G2304" s="16"/>
      <c r="H2304" s="320" t="str">
        <f t="shared" si="33"/>
        <v/>
      </c>
      <c r="I2304" s="16"/>
      <c r="J2304" s="16"/>
      <c r="K2304" s="16"/>
      <c r="L2304" s="16"/>
      <c r="M2304" s="15"/>
      <c r="N2304" s="15"/>
      <c r="O2304" s="16"/>
      <c r="P2304" s="16"/>
      <c r="Q2304" s="16"/>
      <c r="R2304" s="16"/>
      <c r="S2304" s="37" t="str">
        <f>IFERROR(__xludf.DUMMYFUNCTION("if(not(iserror(index(split(C2304, "" ""),2))), index(split(C2304, "" ""),1),"""")"),"")</f>
        <v/>
      </c>
      <c r="T2304" s="315" t="str">
        <f>IFERROR(__xludf.DUMMYFUNCTION("if(S2304="""",C2304,if(not(iserror(index(split(C2304, "" ""),3))), index(split(C2304, "" ""),3),index(split(C2304, "" ""),2)))"),"")</f>
        <v/>
      </c>
      <c r="U2304" s="38" t="b">
        <f t="shared" si="34"/>
        <v>0</v>
      </c>
      <c r="V2304" s="38"/>
      <c r="W2304" s="40"/>
      <c r="X2304" s="40"/>
      <c r="Y2304" s="38"/>
      <c r="Z2304" s="38"/>
      <c r="AA2304" s="38"/>
      <c r="AB2304" s="38"/>
      <c r="AC2304" s="38"/>
      <c r="AD2304" s="38"/>
      <c r="AE2304" s="38"/>
      <c r="AF2304" s="38"/>
      <c r="AG2304" s="38"/>
      <c r="AH2304" s="38"/>
      <c r="AI2304" s="38"/>
      <c r="AJ2304" s="38"/>
      <c r="AK2304" s="38"/>
      <c r="AL2304" s="38"/>
      <c r="AM2304" s="38"/>
      <c r="AN2304" s="38"/>
      <c r="AO2304" s="38"/>
      <c r="AP2304" s="38"/>
      <c r="AQ2304" s="38"/>
      <c r="AR2304" s="38"/>
      <c r="AS2304" s="38"/>
      <c r="AT2304" s="38"/>
      <c r="AU2304" s="38"/>
      <c r="AV2304" s="38"/>
      <c r="AW2304" s="38"/>
      <c r="AX2304" s="38"/>
      <c r="AY2304" s="38"/>
      <c r="AZ2304" s="38"/>
      <c r="BA2304" s="38"/>
      <c r="BB2304" s="38"/>
      <c r="BC2304" s="38"/>
      <c r="BD2304" s="38"/>
      <c r="BE2304" s="38"/>
      <c r="BF2304" s="38"/>
      <c r="BG2304" s="38"/>
      <c r="BH2304" s="38"/>
      <c r="BI2304" s="38"/>
      <c r="BJ2304" s="38"/>
      <c r="BK2304" s="38"/>
      <c r="BL2304" s="38"/>
      <c r="BM2304" s="38"/>
      <c r="BN2304" s="38"/>
      <c r="BO2304" s="38"/>
      <c r="BP2304" s="38"/>
      <c r="BQ2304" s="38"/>
    </row>
    <row r="2305">
      <c r="A2305" s="16"/>
      <c r="B2305" s="16"/>
      <c r="C2305" s="146"/>
      <c r="D2305" s="146"/>
      <c r="E2305" s="16"/>
      <c r="F2305" s="91"/>
      <c r="G2305" s="16"/>
      <c r="H2305" s="320" t="str">
        <f t="shared" si="33"/>
        <v/>
      </c>
      <c r="I2305" s="16"/>
      <c r="J2305" s="16"/>
      <c r="K2305" s="16"/>
      <c r="L2305" s="16"/>
      <c r="M2305" s="15"/>
      <c r="N2305" s="15"/>
      <c r="O2305" s="16"/>
      <c r="P2305" s="16"/>
      <c r="Q2305" s="16"/>
      <c r="R2305" s="16"/>
      <c r="S2305" s="37" t="str">
        <f>IFERROR(__xludf.DUMMYFUNCTION("if(not(iserror(index(split(C2305, "" ""),2))), index(split(C2305, "" ""),1),"""")"),"")</f>
        <v/>
      </c>
      <c r="T2305" s="315" t="str">
        <f>IFERROR(__xludf.DUMMYFUNCTION("if(S2305="""",C2305,if(not(iserror(index(split(C2305, "" ""),3))), index(split(C2305, "" ""),3),index(split(C2305, "" ""),2)))"),"")</f>
        <v/>
      </c>
      <c r="U2305" s="38" t="b">
        <f t="shared" si="34"/>
        <v>0</v>
      </c>
      <c r="V2305" s="38"/>
      <c r="W2305" s="40"/>
      <c r="X2305" s="40"/>
      <c r="Y2305" s="38"/>
      <c r="Z2305" s="38"/>
      <c r="AA2305" s="38"/>
      <c r="AB2305" s="38"/>
      <c r="AC2305" s="38"/>
      <c r="AD2305" s="38"/>
      <c r="AE2305" s="38"/>
      <c r="AF2305" s="38"/>
      <c r="AG2305" s="38"/>
      <c r="AH2305" s="38"/>
      <c r="AI2305" s="38"/>
      <c r="AJ2305" s="38"/>
      <c r="AK2305" s="38"/>
      <c r="AL2305" s="38"/>
      <c r="AM2305" s="38"/>
      <c r="AN2305" s="38"/>
      <c r="AO2305" s="38"/>
      <c r="AP2305" s="38"/>
      <c r="AQ2305" s="38"/>
      <c r="AR2305" s="38"/>
      <c r="AS2305" s="38"/>
      <c r="AT2305" s="38"/>
      <c r="AU2305" s="38"/>
      <c r="AV2305" s="38"/>
      <c r="AW2305" s="38"/>
      <c r="AX2305" s="38"/>
      <c r="AY2305" s="38"/>
      <c r="AZ2305" s="38"/>
      <c r="BA2305" s="38"/>
      <c r="BB2305" s="38"/>
      <c r="BC2305" s="38"/>
      <c r="BD2305" s="38"/>
      <c r="BE2305" s="38"/>
      <c r="BF2305" s="38"/>
      <c r="BG2305" s="38"/>
      <c r="BH2305" s="38"/>
      <c r="BI2305" s="38"/>
      <c r="BJ2305" s="38"/>
      <c r="BK2305" s="38"/>
      <c r="BL2305" s="38"/>
      <c r="BM2305" s="38"/>
      <c r="BN2305" s="38"/>
      <c r="BO2305" s="38"/>
      <c r="BP2305" s="38"/>
      <c r="BQ2305" s="38"/>
    </row>
    <row r="2306">
      <c r="A2306" s="16"/>
      <c r="B2306" s="16"/>
      <c r="C2306" s="146"/>
      <c r="D2306" s="146"/>
      <c r="E2306" s="16"/>
      <c r="F2306" s="91"/>
      <c r="G2306" s="16"/>
      <c r="H2306" s="320" t="str">
        <f t="shared" si="33"/>
        <v/>
      </c>
      <c r="I2306" s="16"/>
      <c r="J2306" s="16"/>
      <c r="K2306" s="16"/>
      <c r="L2306" s="16"/>
      <c r="M2306" s="15"/>
      <c r="N2306" s="15"/>
      <c r="O2306" s="16"/>
      <c r="P2306" s="16"/>
      <c r="Q2306" s="16"/>
      <c r="R2306" s="16"/>
      <c r="S2306" s="37" t="str">
        <f>IFERROR(__xludf.DUMMYFUNCTION("if(not(iserror(index(split(C2306, "" ""),2))), index(split(C2306, "" ""),1),"""")"),"")</f>
        <v/>
      </c>
      <c r="T2306" s="315" t="str">
        <f>IFERROR(__xludf.DUMMYFUNCTION("if(S2306="""",C2306,if(not(iserror(index(split(C2306, "" ""),3))), index(split(C2306, "" ""),3),index(split(C2306, "" ""),2)))"),"")</f>
        <v/>
      </c>
      <c r="U2306" s="38" t="b">
        <f t="shared" si="34"/>
        <v>0</v>
      </c>
      <c r="V2306" s="38"/>
      <c r="W2306" s="40"/>
      <c r="X2306" s="40"/>
      <c r="Y2306" s="38"/>
      <c r="Z2306" s="38"/>
      <c r="AA2306" s="38"/>
      <c r="AB2306" s="38"/>
      <c r="AC2306" s="38"/>
      <c r="AD2306" s="38"/>
      <c r="AE2306" s="38"/>
      <c r="AF2306" s="38"/>
      <c r="AG2306" s="38"/>
      <c r="AH2306" s="38"/>
      <c r="AI2306" s="38"/>
      <c r="AJ2306" s="38"/>
      <c r="AK2306" s="38"/>
      <c r="AL2306" s="38"/>
      <c r="AM2306" s="38"/>
      <c r="AN2306" s="38"/>
      <c r="AO2306" s="38"/>
      <c r="AP2306" s="38"/>
      <c r="AQ2306" s="38"/>
      <c r="AR2306" s="38"/>
      <c r="AS2306" s="38"/>
      <c r="AT2306" s="38"/>
      <c r="AU2306" s="38"/>
      <c r="AV2306" s="38"/>
      <c r="AW2306" s="38"/>
      <c r="AX2306" s="38"/>
      <c r="AY2306" s="38"/>
      <c r="AZ2306" s="38"/>
      <c r="BA2306" s="38"/>
      <c r="BB2306" s="38"/>
      <c r="BC2306" s="38"/>
      <c r="BD2306" s="38"/>
      <c r="BE2306" s="38"/>
      <c r="BF2306" s="38"/>
      <c r="BG2306" s="38"/>
      <c r="BH2306" s="38"/>
      <c r="BI2306" s="38"/>
      <c r="BJ2306" s="38"/>
      <c r="BK2306" s="38"/>
      <c r="BL2306" s="38"/>
      <c r="BM2306" s="38"/>
      <c r="BN2306" s="38"/>
      <c r="BO2306" s="38"/>
      <c r="BP2306" s="38"/>
      <c r="BQ2306" s="38"/>
    </row>
    <row r="2307">
      <c r="A2307" s="16"/>
      <c r="B2307" s="16"/>
      <c r="C2307" s="146"/>
      <c r="D2307" s="146"/>
      <c r="E2307" s="16"/>
      <c r="F2307" s="91"/>
      <c r="G2307" s="16"/>
      <c r="H2307" s="320" t="str">
        <f t="shared" si="33"/>
        <v/>
      </c>
      <c r="I2307" s="16"/>
      <c r="J2307" s="16"/>
      <c r="K2307" s="16"/>
      <c r="L2307" s="16"/>
      <c r="M2307" s="15"/>
      <c r="N2307" s="15"/>
      <c r="O2307" s="16"/>
      <c r="P2307" s="16"/>
      <c r="Q2307" s="16"/>
      <c r="R2307" s="16"/>
      <c r="S2307" s="37" t="str">
        <f>IFERROR(__xludf.DUMMYFUNCTION("if(not(iserror(index(split(C2307, "" ""),2))), index(split(C2307, "" ""),1),"""")"),"")</f>
        <v/>
      </c>
      <c r="T2307" s="315" t="str">
        <f>IFERROR(__xludf.DUMMYFUNCTION("if(S2307="""",C2307,if(not(iserror(index(split(C2307, "" ""),3))), index(split(C2307, "" ""),3),index(split(C2307, "" ""),2)))"),"")</f>
        <v/>
      </c>
      <c r="U2307" s="38" t="b">
        <f t="shared" si="34"/>
        <v>0</v>
      </c>
      <c r="V2307" s="38"/>
      <c r="W2307" s="40"/>
      <c r="X2307" s="40"/>
      <c r="Y2307" s="38"/>
      <c r="Z2307" s="38"/>
      <c r="AA2307" s="38"/>
      <c r="AB2307" s="38"/>
      <c r="AC2307" s="38"/>
      <c r="AD2307" s="38"/>
      <c r="AE2307" s="38"/>
      <c r="AF2307" s="38"/>
      <c r="AG2307" s="38"/>
      <c r="AH2307" s="38"/>
      <c r="AI2307" s="38"/>
      <c r="AJ2307" s="38"/>
      <c r="AK2307" s="38"/>
      <c r="AL2307" s="38"/>
      <c r="AM2307" s="38"/>
      <c r="AN2307" s="38"/>
      <c r="AO2307" s="38"/>
      <c r="AP2307" s="38"/>
      <c r="AQ2307" s="38"/>
      <c r="AR2307" s="38"/>
      <c r="AS2307" s="38"/>
      <c r="AT2307" s="38"/>
      <c r="AU2307" s="38"/>
      <c r="AV2307" s="38"/>
      <c r="AW2307" s="38"/>
      <c r="AX2307" s="38"/>
      <c r="AY2307" s="38"/>
      <c r="AZ2307" s="38"/>
      <c r="BA2307" s="38"/>
      <c r="BB2307" s="38"/>
      <c r="BC2307" s="38"/>
      <c r="BD2307" s="38"/>
      <c r="BE2307" s="38"/>
      <c r="BF2307" s="38"/>
      <c r="BG2307" s="38"/>
      <c r="BH2307" s="38"/>
      <c r="BI2307" s="38"/>
      <c r="BJ2307" s="38"/>
      <c r="BK2307" s="38"/>
      <c r="BL2307" s="38"/>
      <c r="BM2307" s="38"/>
      <c r="BN2307" s="38"/>
      <c r="BO2307" s="38"/>
      <c r="BP2307" s="38"/>
      <c r="BQ2307" s="38"/>
    </row>
    <row r="2308">
      <c r="A2308" s="16"/>
      <c r="B2308" s="16"/>
      <c r="C2308" s="146"/>
      <c r="D2308" s="146"/>
      <c r="E2308" s="16"/>
      <c r="F2308" s="91"/>
      <c r="G2308" s="16"/>
      <c r="H2308" s="320" t="str">
        <f t="shared" si="33"/>
        <v/>
      </c>
      <c r="I2308" s="16"/>
      <c r="J2308" s="16"/>
      <c r="K2308" s="16"/>
      <c r="L2308" s="16"/>
      <c r="M2308" s="15"/>
      <c r="N2308" s="15"/>
      <c r="O2308" s="16"/>
      <c r="P2308" s="16"/>
      <c r="Q2308" s="16"/>
      <c r="R2308" s="16"/>
      <c r="S2308" s="37" t="str">
        <f>IFERROR(__xludf.DUMMYFUNCTION("if(not(iserror(index(split(C2308, "" ""),2))), index(split(C2308, "" ""),1),"""")"),"")</f>
        <v/>
      </c>
      <c r="T2308" s="315" t="str">
        <f>IFERROR(__xludf.DUMMYFUNCTION("if(S2308="""",C2308,if(not(iserror(index(split(C2308, "" ""),3))), index(split(C2308, "" ""),3),index(split(C2308, "" ""),2)))"),"")</f>
        <v/>
      </c>
      <c r="U2308" s="38" t="b">
        <f t="shared" si="34"/>
        <v>0</v>
      </c>
      <c r="V2308" s="38"/>
      <c r="W2308" s="40"/>
      <c r="X2308" s="40"/>
      <c r="Y2308" s="38"/>
      <c r="Z2308" s="38"/>
      <c r="AA2308" s="38"/>
      <c r="AB2308" s="38"/>
      <c r="AC2308" s="38"/>
      <c r="AD2308" s="38"/>
      <c r="AE2308" s="38"/>
      <c r="AF2308" s="38"/>
      <c r="AG2308" s="38"/>
      <c r="AH2308" s="38"/>
      <c r="AI2308" s="38"/>
      <c r="AJ2308" s="38"/>
      <c r="AK2308" s="38"/>
      <c r="AL2308" s="38"/>
      <c r="AM2308" s="38"/>
      <c r="AN2308" s="38"/>
      <c r="AO2308" s="38"/>
      <c r="AP2308" s="38"/>
      <c r="AQ2308" s="38"/>
      <c r="AR2308" s="38"/>
      <c r="AS2308" s="38"/>
      <c r="AT2308" s="38"/>
      <c r="AU2308" s="38"/>
      <c r="AV2308" s="38"/>
      <c r="AW2308" s="38"/>
      <c r="AX2308" s="38"/>
      <c r="AY2308" s="38"/>
      <c r="AZ2308" s="38"/>
      <c r="BA2308" s="38"/>
      <c r="BB2308" s="38"/>
      <c r="BC2308" s="38"/>
      <c r="BD2308" s="38"/>
      <c r="BE2308" s="38"/>
      <c r="BF2308" s="38"/>
      <c r="BG2308" s="38"/>
      <c r="BH2308" s="38"/>
      <c r="BI2308" s="38"/>
      <c r="BJ2308" s="38"/>
      <c r="BK2308" s="38"/>
      <c r="BL2308" s="38"/>
      <c r="BM2308" s="38"/>
      <c r="BN2308" s="38"/>
      <c r="BO2308" s="38"/>
      <c r="BP2308" s="38"/>
      <c r="BQ2308" s="38"/>
    </row>
    <row r="2309">
      <c r="A2309" s="16"/>
      <c r="B2309" s="16"/>
      <c r="C2309" s="146"/>
      <c r="D2309" s="146"/>
      <c r="E2309" s="16"/>
      <c r="F2309" s="91"/>
      <c r="G2309" s="16"/>
      <c r="H2309" s="320" t="str">
        <f t="shared" si="33"/>
        <v/>
      </c>
      <c r="I2309" s="16"/>
      <c r="J2309" s="16"/>
      <c r="K2309" s="16"/>
      <c r="L2309" s="16"/>
      <c r="M2309" s="15"/>
      <c r="N2309" s="15"/>
      <c r="O2309" s="16"/>
      <c r="P2309" s="16"/>
      <c r="Q2309" s="16"/>
      <c r="R2309" s="16"/>
      <c r="S2309" s="37" t="str">
        <f>IFERROR(__xludf.DUMMYFUNCTION("if(not(iserror(index(split(C2309, "" ""),2))), index(split(C2309, "" ""),1),"""")"),"")</f>
        <v/>
      </c>
      <c r="T2309" s="315" t="str">
        <f>IFERROR(__xludf.DUMMYFUNCTION("if(S2309="""",C2309,if(not(iserror(index(split(C2309, "" ""),3))), index(split(C2309, "" ""),3),index(split(C2309, "" ""),2)))"),"")</f>
        <v/>
      </c>
      <c r="U2309" s="38" t="b">
        <f t="shared" si="34"/>
        <v>0</v>
      </c>
      <c r="V2309" s="38"/>
      <c r="W2309" s="40"/>
      <c r="X2309" s="40"/>
      <c r="Y2309" s="38"/>
      <c r="Z2309" s="38"/>
      <c r="AA2309" s="38"/>
      <c r="AB2309" s="38"/>
      <c r="AC2309" s="38"/>
      <c r="AD2309" s="38"/>
      <c r="AE2309" s="38"/>
      <c r="AF2309" s="38"/>
      <c r="AG2309" s="38"/>
      <c r="AH2309" s="38"/>
      <c r="AI2309" s="38"/>
      <c r="AJ2309" s="38"/>
      <c r="AK2309" s="38"/>
      <c r="AL2309" s="38"/>
      <c r="AM2309" s="38"/>
      <c r="AN2309" s="38"/>
      <c r="AO2309" s="38"/>
      <c r="AP2309" s="38"/>
      <c r="AQ2309" s="38"/>
      <c r="AR2309" s="38"/>
      <c r="AS2309" s="38"/>
      <c r="AT2309" s="38"/>
      <c r="AU2309" s="38"/>
      <c r="AV2309" s="38"/>
      <c r="AW2309" s="38"/>
      <c r="AX2309" s="38"/>
      <c r="AY2309" s="38"/>
      <c r="AZ2309" s="38"/>
      <c r="BA2309" s="38"/>
      <c r="BB2309" s="38"/>
      <c r="BC2309" s="38"/>
      <c r="BD2309" s="38"/>
      <c r="BE2309" s="38"/>
      <c r="BF2309" s="38"/>
      <c r="BG2309" s="38"/>
      <c r="BH2309" s="38"/>
      <c r="BI2309" s="38"/>
      <c r="BJ2309" s="38"/>
      <c r="BK2309" s="38"/>
      <c r="BL2309" s="38"/>
      <c r="BM2309" s="38"/>
      <c r="BN2309" s="38"/>
      <c r="BO2309" s="38"/>
      <c r="BP2309" s="38"/>
      <c r="BQ2309" s="38"/>
    </row>
    <row r="2310">
      <c r="A2310" s="16"/>
      <c r="B2310" s="16"/>
      <c r="C2310" s="146"/>
      <c r="D2310" s="146"/>
      <c r="E2310" s="16"/>
      <c r="F2310" s="91"/>
      <c r="G2310" s="16"/>
      <c r="H2310" s="320" t="str">
        <f t="shared" si="33"/>
        <v/>
      </c>
      <c r="I2310" s="16"/>
      <c r="J2310" s="16"/>
      <c r="K2310" s="16"/>
      <c r="L2310" s="16"/>
      <c r="M2310" s="15"/>
      <c r="N2310" s="15"/>
      <c r="O2310" s="16"/>
      <c r="P2310" s="16"/>
      <c r="Q2310" s="16"/>
      <c r="R2310" s="16"/>
      <c r="S2310" s="37" t="str">
        <f>IFERROR(__xludf.DUMMYFUNCTION("if(not(iserror(index(split(C2310, "" ""),2))), index(split(C2310, "" ""),1),"""")"),"")</f>
        <v/>
      </c>
      <c r="T2310" s="315" t="str">
        <f>IFERROR(__xludf.DUMMYFUNCTION("if(S2310="""",C2310,if(not(iserror(index(split(C2310, "" ""),3))), index(split(C2310, "" ""),3),index(split(C2310, "" ""),2)))"),"")</f>
        <v/>
      </c>
      <c r="U2310" s="38" t="b">
        <f t="shared" si="34"/>
        <v>0</v>
      </c>
      <c r="V2310" s="38"/>
      <c r="W2310" s="40"/>
      <c r="X2310" s="40"/>
      <c r="Y2310" s="38"/>
      <c r="Z2310" s="38"/>
      <c r="AA2310" s="38"/>
      <c r="AB2310" s="38"/>
      <c r="AC2310" s="38"/>
      <c r="AD2310" s="38"/>
      <c r="AE2310" s="38"/>
      <c r="AF2310" s="38"/>
      <c r="AG2310" s="38"/>
      <c r="AH2310" s="38"/>
      <c r="AI2310" s="38"/>
      <c r="AJ2310" s="38"/>
      <c r="AK2310" s="38"/>
      <c r="AL2310" s="38"/>
      <c r="AM2310" s="38"/>
      <c r="AN2310" s="38"/>
      <c r="AO2310" s="38"/>
      <c r="AP2310" s="38"/>
      <c r="AQ2310" s="38"/>
      <c r="AR2310" s="38"/>
      <c r="AS2310" s="38"/>
      <c r="AT2310" s="38"/>
      <c r="AU2310" s="38"/>
      <c r="AV2310" s="38"/>
      <c r="AW2310" s="38"/>
      <c r="AX2310" s="38"/>
      <c r="AY2310" s="38"/>
      <c r="AZ2310" s="38"/>
      <c r="BA2310" s="38"/>
      <c r="BB2310" s="38"/>
      <c r="BC2310" s="38"/>
      <c r="BD2310" s="38"/>
      <c r="BE2310" s="38"/>
      <c r="BF2310" s="38"/>
      <c r="BG2310" s="38"/>
      <c r="BH2310" s="38"/>
      <c r="BI2310" s="38"/>
      <c r="BJ2310" s="38"/>
      <c r="BK2310" s="38"/>
      <c r="BL2310" s="38"/>
      <c r="BM2310" s="38"/>
      <c r="BN2310" s="38"/>
      <c r="BO2310" s="38"/>
      <c r="BP2310" s="38"/>
      <c r="BQ2310" s="38"/>
    </row>
    <row r="2311">
      <c r="A2311" s="16"/>
      <c r="B2311" s="16"/>
      <c r="C2311" s="146"/>
      <c r="D2311" s="146"/>
      <c r="E2311" s="16"/>
      <c r="F2311" s="91"/>
      <c r="G2311" s="16"/>
      <c r="H2311" s="320" t="str">
        <f t="shared" si="33"/>
        <v/>
      </c>
      <c r="I2311" s="16"/>
      <c r="J2311" s="16"/>
      <c r="K2311" s="16"/>
      <c r="L2311" s="16"/>
      <c r="M2311" s="15"/>
      <c r="N2311" s="15"/>
      <c r="O2311" s="16"/>
      <c r="P2311" s="16"/>
      <c r="Q2311" s="16"/>
      <c r="R2311" s="16"/>
      <c r="S2311" s="37" t="str">
        <f>IFERROR(__xludf.DUMMYFUNCTION("if(not(iserror(index(split(C2311, "" ""),2))), index(split(C2311, "" ""),1),"""")"),"")</f>
        <v/>
      </c>
      <c r="T2311" s="315" t="str">
        <f>IFERROR(__xludf.DUMMYFUNCTION("if(S2311="""",C2311,if(not(iserror(index(split(C2311, "" ""),3))), index(split(C2311, "" ""),3),index(split(C2311, "" ""),2)))"),"")</f>
        <v/>
      </c>
      <c r="U2311" s="38" t="b">
        <f t="shared" si="34"/>
        <v>0</v>
      </c>
      <c r="V2311" s="38"/>
      <c r="W2311" s="40"/>
      <c r="X2311" s="40"/>
      <c r="Y2311" s="38"/>
      <c r="Z2311" s="38"/>
      <c r="AA2311" s="38"/>
      <c r="AB2311" s="38"/>
      <c r="AC2311" s="38"/>
      <c r="AD2311" s="38"/>
      <c r="AE2311" s="38"/>
      <c r="AF2311" s="38"/>
      <c r="AG2311" s="38"/>
      <c r="AH2311" s="38"/>
      <c r="AI2311" s="38"/>
      <c r="AJ2311" s="38"/>
      <c r="AK2311" s="38"/>
      <c r="AL2311" s="38"/>
      <c r="AM2311" s="38"/>
      <c r="AN2311" s="38"/>
      <c r="AO2311" s="38"/>
      <c r="AP2311" s="38"/>
      <c r="AQ2311" s="38"/>
      <c r="AR2311" s="38"/>
      <c r="AS2311" s="38"/>
      <c r="AT2311" s="38"/>
      <c r="AU2311" s="38"/>
      <c r="AV2311" s="38"/>
      <c r="AW2311" s="38"/>
      <c r="AX2311" s="38"/>
      <c r="AY2311" s="38"/>
      <c r="AZ2311" s="38"/>
      <c r="BA2311" s="38"/>
      <c r="BB2311" s="38"/>
      <c r="BC2311" s="38"/>
      <c r="BD2311" s="38"/>
      <c r="BE2311" s="38"/>
      <c r="BF2311" s="38"/>
      <c r="BG2311" s="38"/>
      <c r="BH2311" s="38"/>
      <c r="BI2311" s="38"/>
      <c r="BJ2311" s="38"/>
      <c r="BK2311" s="38"/>
      <c r="BL2311" s="38"/>
      <c r="BM2311" s="38"/>
      <c r="BN2311" s="38"/>
      <c r="BO2311" s="38"/>
      <c r="BP2311" s="38"/>
      <c r="BQ2311" s="38"/>
    </row>
    <row r="2312">
      <c r="A2312" s="16"/>
      <c r="B2312" s="16"/>
      <c r="C2312" s="146"/>
      <c r="D2312" s="146"/>
      <c r="E2312" s="16"/>
      <c r="F2312" s="91"/>
      <c r="G2312" s="16"/>
      <c r="H2312" s="320" t="str">
        <f t="shared" si="33"/>
        <v/>
      </c>
      <c r="I2312" s="16"/>
      <c r="J2312" s="16"/>
      <c r="K2312" s="16"/>
      <c r="L2312" s="16"/>
      <c r="M2312" s="15"/>
      <c r="N2312" s="15"/>
      <c r="O2312" s="16"/>
      <c r="P2312" s="16"/>
      <c r="Q2312" s="16"/>
      <c r="R2312" s="16"/>
      <c r="S2312" s="37" t="str">
        <f>IFERROR(__xludf.DUMMYFUNCTION("if(not(iserror(index(split(C2312, "" ""),2))), index(split(C2312, "" ""),1),"""")"),"")</f>
        <v/>
      </c>
      <c r="T2312" s="315" t="str">
        <f>IFERROR(__xludf.DUMMYFUNCTION("if(S2312="""",C2312,if(not(iserror(index(split(C2312, "" ""),3))), index(split(C2312, "" ""),3),index(split(C2312, "" ""),2)))"),"")</f>
        <v/>
      </c>
      <c r="U2312" s="38" t="b">
        <f t="shared" si="34"/>
        <v>0</v>
      </c>
      <c r="V2312" s="38"/>
      <c r="W2312" s="40"/>
      <c r="X2312" s="40"/>
      <c r="Y2312" s="38"/>
      <c r="Z2312" s="38"/>
      <c r="AA2312" s="38"/>
      <c r="AB2312" s="38"/>
      <c r="AC2312" s="38"/>
      <c r="AD2312" s="38"/>
      <c r="AE2312" s="38"/>
      <c r="AF2312" s="38"/>
      <c r="AG2312" s="38"/>
      <c r="AH2312" s="38"/>
      <c r="AI2312" s="38"/>
      <c r="AJ2312" s="38"/>
      <c r="AK2312" s="38"/>
      <c r="AL2312" s="38"/>
      <c r="AM2312" s="38"/>
      <c r="AN2312" s="38"/>
      <c r="AO2312" s="38"/>
      <c r="AP2312" s="38"/>
      <c r="AQ2312" s="38"/>
      <c r="AR2312" s="38"/>
      <c r="AS2312" s="38"/>
      <c r="AT2312" s="38"/>
      <c r="AU2312" s="38"/>
      <c r="AV2312" s="38"/>
      <c r="AW2312" s="38"/>
      <c r="AX2312" s="38"/>
      <c r="AY2312" s="38"/>
      <c r="AZ2312" s="38"/>
      <c r="BA2312" s="38"/>
      <c r="BB2312" s="38"/>
      <c r="BC2312" s="38"/>
      <c r="BD2312" s="38"/>
      <c r="BE2312" s="38"/>
      <c r="BF2312" s="38"/>
      <c r="BG2312" s="38"/>
      <c r="BH2312" s="38"/>
      <c r="BI2312" s="38"/>
      <c r="BJ2312" s="38"/>
      <c r="BK2312" s="38"/>
      <c r="BL2312" s="38"/>
      <c r="BM2312" s="38"/>
      <c r="BN2312" s="38"/>
      <c r="BO2312" s="38"/>
      <c r="BP2312" s="38"/>
      <c r="BQ2312" s="38"/>
    </row>
    <row r="2313">
      <c r="A2313" s="16"/>
      <c r="B2313" s="16"/>
      <c r="C2313" s="146"/>
      <c r="D2313" s="146"/>
      <c r="E2313" s="16"/>
      <c r="F2313" s="91"/>
      <c r="G2313" s="16"/>
      <c r="H2313" s="320" t="str">
        <f t="shared" si="33"/>
        <v/>
      </c>
      <c r="I2313" s="16"/>
      <c r="J2313" s="16"/>
      <c r="K2313" s="16"/>
      <c r="L2313" s="16"/>
      <c r="M2313" s="15"/>
      <c r="N2313" s="15"/>
      <c r="O2313" s="16"/>
      <c r="P2313" s="16"/>
      <c r="Q2313" s="16"/>
      <c r="R2313" s="16"/>
      <c r="S2313" s="37" t="str">
        <f>IFERROR(__xludf.DUMMYFUNCTION("if(not(iserror(index(split(C2313, "" ""),2))), index(split(C2313, "" ""),1),"""")"),"")</f>
        <v/>
      </c>
      <c r="T2313" s="315" t="str">
        <f>IFERROR(__xludf.DUMMYFUNCTION("if(S2313="""",C2313,if(not(iserror(index(split(C2313, "" ""),3))), index(split(C2313, "" ""),3),index(split(C2313, "" ""),2)))"),"")</f>
        <v/>
      </c>
      <c r="U2313" s="38" t="b">
        <f t="shared" si="34"/>
        <v>0</v>
      </c>
      <c r="V2313" s="38"/>
      <c r="W2313" s="40"/>
      <c r="X2313" s="40"/>
      <c r="Y2313" s="38"/>
      <c r="Z2313" s="38"/>
      <c r="AA2313" s="38"/>
      <c r="AB2313" s="38"/>
      <c r="AC2313" s="38"/>
      <c r="AD2313" s="38"/>
      <c r="AE2313" s="38"/>
      <c r="AF2313" s="38"/>
      <c r="AG2313" s="38"/>
      <c r="AH2313" s="38"/>
      <c r="AI2313" s="38"/>
      <c r="AJ2313" s="38"/>
      <c r="AK2313" s="38"/>
      <c r="AL2313" s="38"/>
      <c r="AM2313" s="38"/>
      <c r="AN2313" s="38"/>
      <c r="AO2313" s="38"/>
      <c r="AP2313" s="38"/>
      <c r="AQ2313" s="38"/>
      <c r="AR2313" s="38"/>
      <c r="AS2313" s="38"/>
      <c r="AT2313" s="38"/>
      <c r="AU2313" s="38"/>
      <c r="AV2313" s="38"/>
      <c r="AW2313" s="38"/>
      <c r="AX2313" s="38"/>
      <c r="AY2313" s="38"/>
      <c r="AZ2313" s="38"/>
      <c r="BA2313" s="38"/>
      <c r="BB2313" s="38"/>
      <c r="BC2313" s="38"/>
      <c r="BD2313" s="38"/>
      <c r="BE2313" s="38"/>
      <c r="BF2313" s="38"/>
      <c r="BG2313" s="38"/>
      <c r="BH2313" s="38"/>
      <c r="BI2313" s="38"/>
      <c r="BJ2313" s="38"/>
      <c r="BK2313" s="38"/>
      <c r="BL2313" s="38"/>
      <c r="BM2313" s="38"/>
      <c r="BN2313" s="38"/>
      <c r="BO2313" s="38"/>
      <c r="BP2313" s="38"/>
      <c r="BQ2313" s="38"/>
    </row>
    <row r="2314">
      <c r="A2314" s="16"/>
      <c r="B2314" s="16"/>
      <c r="C2314" s="146"/>
      <c r="D2314" s="146"/>
      <c r="E2314" s="16"/>
      <c r="F2314" s="91"/>
      <c r="G2314" s="16"/>
      <c r="H2314" s="320" t="str">
        <f t="shared" si="33"/>
        <v/>
      </c>
      <c r="I2314" s="16"/>
      <c r="J2314" s="16"/>
      <c r="K2314" s="16"/>
      <c r="L2314" s="16"/>
      <c r="M2314" s="15"/>
      <c r="N2314" s="15"/>
      <c r="O2314" s="16"/>
      <c r="P2314" s="16"/>
      <c r="Q2314" s="16"/>
      <c r="R2314" s="16"/>
      <c r="S2314" s="37" t="str">
        <f>IFERROR(__xludf.DUMMYFUNCTION("if(not(iserror(index(split(C2314, "" ""),2))), index(split(C2314, "" ""),1),"""")"),"")</f>
        <v/>
      </c>
      <c r="T2314" s="315" t="str">
        <f>IFERROR(__xludf.DUMMYFUNCTION("if(S2314="""",C2314,if(not(iserror(index(split(C2314, "" ""),3))), index(split(C2314, "" ""),3),index(split(C2314, "" ""),2)))"),"")</f>
        <v/>
      </c>
      <c r="U2314" s="38" t="b">
        <f t="shared" si="34"/>
        <v>0</v>
      </c>
      <c r="V2314" s="38"/>
      <c r="W2314" s="40"/>
      <c r="X2314" s="40"/>
      <c r="Y2314" s="38"/>
      <c r="Z2314" s="38"/>
      <c r="AA2314" s="38"/>
      <c r="AB2314" s="38"/>
      <c r="AC2314" s="38"/>
      <c r="AD2314" s="38"/>
      <c r="AE2314" s="38"/>
      <c r="AF2314" s="38"/>
      <c r="AG2314" s="38"/>
      <c r="AH2314" s="38"/>
      <c r="AI2314" s="38"/>
      <c r="AJ2314" s="38"/>
      <c r="AK2314" s="38"/>
      <c r="AL2314" s="38"/>
      <c r="AM2314" s="38"/>
      <c r="AN2314" s="38"/>
      <c r="AO2314" s="38"/>
      <c r="AP2314" s="38"/>
      <c r="AQ2314" s="38"/>
      <c r="AR2314" s="38"/>
      <c r="AS2314" s="38"/>
      <c r="AT2314" s="38"/>
      <c r="AU2314" s="38"/>
      <c r="AV2314" s="38"/>
      <c r="AW2314" s="38"/>
      <c r="AX2314" s="38"/>
      <c r="AY2314" s="38"/>
      <c r="AZ2314" s="38"/>
      <c r="BA2314" s="38"/>
      <c r="BB2314" s="38"/>
      <c r="BC2314" s="38"/>
      <c r="BD2314" s="38"/>
      <c r="BE2314" s="38"/>
      <c r="BF2314" s="38"/>
      <c r="BG2314" s="38"/>
      <c r="BH2314" s="38"/>
      <c r="BI2314" s="38"/>
      <c r="BJ2314" s="38"/>
      <c r="BK2314" s="38"/>
      <c r="BL2314" s="38"/>
      <c r="BM2314" s="38"/>
      <c r="BN2314" s="38"/>
      <c r="BO2314" s="38"/>
      <c r="BP2314" s="38"/>
      <c r="BQ2314" s="38"/>
    </row>
    <row r="2315">
      <c r="A2315" s="16"/>
      <c r="B2315" s="16"/>
      <c r="C2315" s="146"/>
      <c r="D2315" s="146"/>
      <c r="E2315" s="16"/>
      <c r="F2315" s="91"/>
      <c r="G2315" s="16"/>
      <c r="H2315" s="320" t="str">
        <f t="shared" si="33"/>
        <v/>
      </c>
      <c r="I2315" s="16"/>
      <c r="J2315" s="16"/>
      <c r="K2315" s="16"/>
      <c r="L2315" s="16"/>
      <c r="M2315" s="15"/>
      <c r="N2315" s="15"/>
      <c r="O2315" s="16"/>
      <c r="P2315" s="16"/>
      <c r="Q2315" s="16"/>
      <c r="R2315" s="16"/>
      <c r="S2315" s="37" t="str">
        <f>IFERROR(__xludf.DUMMYFUNCTION("if(not(iserror(index(split(C2315, "" ""),2))), index(split(C2315, "" ""),1),"""")"),"")</f>
        <v/>
      </c>
      <c r="T2315" s="315" t="str">
        <f>IFERROR(__xludf.DUMMYFUNCTION("if(S2315="""",C2315,if(not(iserror(index(split(C2315, "" ""),3))), index(split(C2315, "" ""),3),index(split(C2315, "" ""),2)))"),"")</f>
        <v/>
      </c>
      <c r="U2315" s="38" t="b">
        <f t="shared" si="34"/>
        <v>0</v>
      </c>
      <c r="V2315" s="38"/>
      <c r="W2315" s="40"/>
      <c r="X2315" s="40"/>
      <c r="Y2315" s="38"/>
      <c r="Z2315" s="38"/>
      <c r="AA2315" s="38"/>
      <c r="AB2315" s="38"/>
      <c r="AC2315" s="38"/>
      <c r="AD2315" s="38"/>
      <c r="AE2315" s="38"/>
      <c r="AF2315" s="38"/>
      <c r="AG2315" s="38"/>
      <c r="AH2315" s="38"/>
      <c r="AI2315" s="38"/>
      <c r="AJ2315" s="38"/>
      <c r="AK2315" s="38"/>
      <c r="AL2315" s="38"/>
      <c r="AM2315" s="38"/>
      <c r="AN2315" s="38"/>
      <c r="AO2315" s="38"/>
      <c r="AP2315" s="38"/>
      <c r="AQ2315" s="38"/>
      <c r="AR2315" s="38"/>
      <c r="AS2315" s="38"/>
      <c r="AT2315" s="38"/>
      <c r="AU2315" s="38"/>
      <c r="AV2315" s="38"/>
      <c r="AW2315" s="38"/>
      <c r="AX2315" s="38"/>
      <c r="AY2315" s="38"/>
      <c r="AZ2315" s="38"/>
      <c r="BA2315" s="38"/>
      <c r="BB2315" s="38"/>
      <c r="BC2315" s="38"/>
      <c r="BD2315" s="38"/>
      <c r="BE2315" s="38"/>
      <c r="BF2315" s="38"/>
      <c r="BG2315" s="38"/>
      <c r="BH2315" s="38"/>
      <c r="BI2315" s="38"/>
      <c r="BJ2315" s="38"/>
      <c r="BK2315" s="38"/>
      <c r="BL2315" s="38"/>
      <c r="BM2315" s="38"/>
      <c r="BN2315" s="38"/>
      <c r="BO2315" s="38"/>
      <c r="BP2315" s="38"/>
      <c r="BQ2315" s="38"/>
    </row>
    <row r="2316">
      <c r="A2316" s="16"/>
      <c r="B2316" s="16"/>
      <c r="C2316" s="146"/>
      <c r="D2316" s="146"/>
      <c r="E2316" s="16"/>
      <c r="F2316" s="91"/>
      <c r="G2316" s="16"/>
      <c r="H2316" s="320" t="str">
        <f t="shared" si="33"/>
        <v/>
      </c>
      <c r="I2316" s="16"/>
      <c r="J2316" s="16"/>
      <c r="K2316" s="16"/>
      <c r="L2316" s="16"/>
      <c r="M2316" s="15"/>
      <c r="N2316" s="15"/>
      <c r="O2316" s="16"/>
      <c r="P2316" s="16"/>
      <c r="Q2316" s="16"/>
      <c r="R2316" s="16"/>
      <c r="S2316" s="37" t="str">
        <f>IFERROR(__xludf.DUMMYFUNCTION("if(not(iserror(index(split(C2316, "" ""),2))), index(split(C2316, "" ""),1),"""")"),"")</f>
        <v/>
      </c>
      <c r="T2316" s="315" t="str">
        <f>IFERROR(__xludf.DUMMYFUNCTION("if(S2316="""",C2316,if(not(iserror(index(split(C2316, "" ""),3))), index(split(C2316, "" ""),3),index(split(C2316, "" ""),2)))"),"")</f>
        <v/>
      </c>
      <c r="U2316" s="38" t="b">
        <f t="shared" si="34"/>
        <v>0</v>
      </c>
      <c r="V2316" s="38"/>
      <c r="W2316" s="40"/>
      <c r="X2316" s="40"/>
      <c r="Y2316" s="38"/>
      <c r="Z2316" s="38"/>
      <c r="AA2316" s="38"/>
      <c r="AB2316" s="38"/>
      <c r="AC2316" s="38"/>
      <c r="AD2316" s="38"/>
      <c r="AE2316" s="38"/>
      <c r="AF2316" s="38"/>
      <c r="AG2316" s="38"/>
      <c r="AH2316" s="38"/>
      <c r="AI2316" s="38"/>
      <c r="AJ2316" s="38"/>
      <c r="AK2316" s="38"/>
      <c r="AL2316" s="38"/>
      <c r="AM2316" s="38"/>
      <c r="AN2316" s="38"/>
      <c r="AO2316" s="38"/>
      <c r="AP2316" s="38"/>
      <c r="AQ2316" s="38"/>
      <c r="AR2316" s="38"/>
      <c r="AS2316" s="38"/>
      <c r="AT2316" s="38"/>
      <c r="AU2316" s="38"/>
      <c r="AV2316" s="38"/>
      <c r="AW2316" s="38"/>
      <c r="AX2316" s="38"/>
      <c r="AY2316" s="38"/>
      <c r="AZ2316" s="38"/>
      <c r="BA2316" s="38"/>
      <c r="BB2316" s="38"/>
      <c r="BC2316" s="38"/>
      <c r="BD2316" s="38"/>
      <c r="BE2316" s="38"/>
      <c r="BF2316" s="38"/>
      <c r="BG2316" s="38"/>
      <c r="BH2316" s="38"/>
      <c r="BI2316" s="38"/>
      <c r="BJ2316" s="38"/>
      <c r="BK2316" s="38"/>
      <c r="BL2316" s="38"/>
      <c r="BM2316" s="38"/>
      <c r="BN2316" s="38"/>
      <c r="BO2316" s="38"/>
      <c r="BP2316" s="38"/>
      <c r="BQ2316" s="38"/>
    </row>
    <row r="2317">
      <c r="A2317" s="16"/>
      <c r="B2317" s="16"/>
      <c r="C2317" s="146"/>
      <c r="D2317" s="146"/>
      <c r="E2317" s="16"/>
      <c r="F2317" s="91"/>
      <c r="G2317" s="16"/>
      <c r="H2317" s="320" t="str">
        <f t="shared" si="33"/>
        <v/>
      </c>
      <c r="I2317" s="16"/>
      <c r="J2317" s="16"/>
      <c r="K2317" s="16"/>
      <c r="L2317" s="16"/>
      <c r="M2317" s="15"/>
      <c r="N2317" s="15"/>
      <c r="O2317" s="16"/>
      <c r="P2317" s="16"/>
      <c r="Q2317" s="16"/>
      <c r="R2317" s="16"/>
      <c r="S2317" s="37" t="str">
        <f>IFERROR(__xludf.DUMMYFUNCTION("if(not(iserror(index(split(C2317, "" ""),2))), index(split(C2317, "" ""),1),"""")"),"")</f>
        <v/>
      </c>
      <c r="T2317" s="315" t="str">
        <f>IFERROR(__xludf.DUMMYFUNCTION("if(S2317="""",C2317,if(not(iserror(index(split(C2317, "" ""),3))), index(split(C2317, "" ""),3),index(split(C2317, "" ""),2)))"),"")</f>
        <v/>
      </c>
      <c r="U2317" s="38" t="b">
        <f t="shared" si="34"/>
        <v>0</v>
      </c>
      <c r="V2317" s="38"/>
      <c r="W2317" s="40"/>
      <c r="X2317" s="40"/>
      <c r="Y2317" s="38"/>
      <c r="Z2317" s="38"/>
      <c r="AA2317" s="38"/>
      <c r="AB2317" s="38"/>
      <c r="AC2317" s="38"/>
      <c r="AD2317" s="38"/>
      <c r="AE2317" s="38"/>
      <c r="AF2317" s="38"/>
      <c r="AG2317" s="38"/>
      <c r="AH2317" s="38"/>
      <c r="AI2317" s="38"/>
      <c r="AJ2317" s="38"/>
      <c r="AK2317" s="38"/>
      <c r="AL2317" s="38"/>
      <c r="AM2317" s="38"/>
      <c r="AN2317" s="38"/>
      <c r="AO2317" s="38"/>
      <c r="AP2317" s="38"/>
      <c r="AQ2317" s="38"/>
      <c r="AR2317" s="38"/>
      <c r="AS2317" s="38"/>
      <c r="AT2317" s="38"/>
      <c r="AU2317" s="38"/>
      <c r="AV2317" s="38"/>
      <c r="AW2317" s="38"/>
      <c r="AX2317" s="38"/>
      <c r="AY2317" s="38"/>
      <c r="AZ2317" s="38"/>
      <c r="BA2317" s="38"/>
      <c r="BB2317" s="38"/>
      <c r="BC2317" s="38"/>
      <c r="BD2317" s="38"/>
      <c r="BE2317" s="38"/>
      <c r="BF2317" s="38"/>
      <c r="BG2317" s="38"/>
      <c r="BH2317" s="38"/>
      <c r="BI2317" s="38"/>
      <c r="BJ2317" s="38"/>
      <c r="BK2317" s="38"/>
      <c r="BL2317" s="38"/>
      <c r="BM2317" s="38"/>
      <c r="BN2317" s="38"/>
      <c r="BO2317" s="38"/>
      <c r="BP2317" s="38"/>
      <c r="BQ2317" s="38"/>
    </row>
    <row r="2318">
      <c r="A2318" s="16"/>
      <c r="B2318" s="16"/>
      <c r="C2318" s="146"/>
      <c r="D2318" s="146"/>
      <c r="E2318" s="16"/>
      <c r="F2318" s="91"/>
      <c r="G2318" s="16"/>
      <c r="H2318" s="320" t="str">
        <f t="shared" si="33"/>
        <v/>
      </c>
      <c r="I2318" s="16"/>
      <c r="J2318" s="16"/>
      <c r="K2318" s="16"/>
      <c r="L2318" s="16"/>
      <c r="M2318" s="15"/>
      <c r="N2318" s="15"/>
      <c r="O2318" s="16"/>
      <c r="P2318" s="16"/>
      <c r="Q2318" s="16"/>
      <c r="R2318" s="16"/>
      <c r="S2318" s="37" t="str">
        <f>IFERROR(__xludf.DUMMYFUNCTION("if(not(iserror(index(split(C2318, "" ""),2))), index(split(C2318, "" ""),1),"""")"),"")</f>
        <v/>
      </c>
      <c r="T2318" s="315" t="str">
        <f>IFERROR(__xludf.DUMMYFUNCTION("if(S2318="""",C2318,if(not(iserror(index(split(C2318, "" ""),3))), index(split(C2318, "" ""),3),index(split(C2318, "" ""),2)))"),"")</f>
        <v/>
      </c>
      <c r="U2318" s="38" t="b">
        <f t="shared" si="34"/>
        <v>0</v>
      </c>
      <c r="V2318" s="38"/>
      <c r="W2318" s="40"/>
      <c r="X2318" s="40"/>
      <c r="Y2318" s="38"/>
      <c r="Z2318" s="38"/>
      <c r="AA2318" s="38"/>
      <c r="AB2318" s="38"/>
      <c r="AC2318" s="38"/>
      <c r="AD2318" s="38"/>
      <c r="AE2318" s="38"/>
      <c r="AF2318" s="38"/>
      <c r="AG2318" s="38"/>
      <c r="AH2318" s="38"/>
      <c r="AI2318" s="38"/>
      <c r="AJ2318" s="38"/>
      <c r="AK2318" s="38"/>
      <c r="AL2318" s="38"/>
      <c r="AM2318" s="38"/>
      <c r="AN2318" s="38"/>
      <c r="AO2318" s="38"/>
      <c r="AP2318" s="38"/>
      <c r="AQ2318" s="38"/>
      <c r="AR2318" s="38"/>
      <c r="AS2318" s="38"/>
      <c r="AT2318" s="38"/>
      <c r="AU2318" s="38"/>
      <c r="AV2318" s="38"/>
      <c r="AW2318" s="38"/>
      <c r="AX2318" s="38"/>
      <c r="AY2318" s="38"/>
      <c r="AZ2318" s="38"/>
      <c r="BA2318" s="38"/>
      <c r="BB2318" s="38"/>
      <c r="BC2318" s="38"/>
      <c r="BD2318" s="38"/>
      <c r="BE2318" s="38"/>
      <c r="BF2318" s="38"/>
      <c r="BG2318" s="38"/>
      <c r="BH2318" s="38"/>
      <c r="BI2318" s="38"/>
      <c r="BJ2318" s="38"/>
      <c r="BK2318" s="38"/>
      <c r="BL2318" s="38"/>
      <c r="BM2318" s="38"/>
      <c r="BN2318" s="38"/>
      <c r="BO2318" s="38"/>
      <c r="BP2318" s="38"/>
      <c r="BQ2318" s="38"/>
    </row>
    <row r="2319">
      <c r="A2319" s="16"/>
      <c r="B2319" s="16"/>
      <c r="C2319" s="146"/>
      <c r="D2319" s="146"/>
      <c r="E2319" s="16"/>
      <c r="F2319" s="91"/>
      <c r="G2319" s="16"/>
      <c r="H2319" s="320" t="str">
        <f t="shared" si="33"/>
        <v/>
      </c>
      <c r="I2319" s="16"/>
      <c r="J2319" s="16"/>
      <c r="K2319" s="16"/>
      <c r="L2319" s="16"/>
      <c r="M2319" s="15"/>
      <c r="N2319" s="15"/>
      <c r="O2319" s="16"/>
      <c r="P2319" s="16"/>
      <c r="Q2319" s="16"/>
      <c r="R2319" s="16"/>
      <c r="S2319" s="37" t="str">
        <f>IFERROR(__xludf.DUMMYFUNCTION("if(not(iserror(index(split(C2319, "" ""),2))), index(split(C2319, "" ""),1),"""")"),"")</f>
        <v/>
      </c>
      <c r="T2319" s="315" t="str">
        <f>IFERROR(__xludf.DUMMYFUNCTION("if(S2319="""",C2319,if(not(iserror(index(split(C2319, "" ""),3))), index(split(C2319, "" ""),3),index(split(C2319, "" ""),2)))"),"")</f>
        <v/>
      </c>
      <c r="U2319" s="38" t="b">
        <f t="shared" si="34"/>
        <v>0</v>
      </c>
      <c r="V2319" s="38"/>
      <c r="W2319" s="40"/>
      <c r="X2319" s="40"/>
      <c r="Y2319" s="38"/>
      <c r="Z2319" s="38"/>
      <c r="AA2319" s="38"/>
      <c r="AB2319" s="38"/>
      <c r="AC2319" s="38"/>
      <c r="AD2319" s="38"/>
      <c r="AE2319" s="38"/>
      <c r="AF2319" s="38"/>
      <c r="AG2319" s="38"/>
      <c r="AH2319" s="38"/>
      <c r="AI2319" s="38"/>
      <c r="AJ2319" s="38"/>
      <c r="AK2319" s="38"/>
      <c r="AL2319" s="38"/>
      <c r="AM2319" s="38"/>
      <c r="AN2319" s="38"/>
      <c r="AO2319" s="38"/>
      <c r="AP2319" s="38"/>
      <c r="AQ2319" s="38"/>
      <c r="AR2319" s="38"/>
      <c r="AS2319" s="38"/>
      <c r="AT2319" s="38"/>
      <c r="AU2319" s="38"/>
      <c r="AV2319" s="38"/>
      <c r="AW2319" s="38"/>
      <c r="AX2319" s="38"/>
      <c r="AY2319" s="38"/>
      <c r="AZ2319" s="38"/>
      <c r="BA2319" s="38"/>
      <c r="BB2319" s="38"/>
      <c r="BC2319" s="38"/>
      <c r="BD2319" s="38"/>
      <c r="BE2319" s="38"/>
      <c r="BF2319" s="38"/>
      <c r="BG2319" s="38"/>
      <c r="BH2319" s="38"/>
      <c r="BI2319" s="38"/>
      <c r="BJ2319" s="38"/>
      <c r="BK2319" s="38"/>
      <c r="BL2319" s="38"/>
      <c r="BM2319" s="38"/>
      <c r="BN2319" s="38"/>
      <c r="BO2319" s="38"/>
      <c r="BP2319" s="38"/>
      <c r="BQ2319" s="38"/>
    </row>
    <row r="2320">
      <c r="A2320" s="16"/>
      <c r="B2320" s="16"/>
      <c r="C2320" s="146"/>
      <c r="D2320" s="146"/>
      <c r="E2320" s="16"/>
      <c r="F2320" s="91"/>
      <c r="G2320" s="16"/>
      <c r="H2320" s="320" t="str">
        <f t="shared" si="33"/>
        <v/>
      </c>
      <c r="I2320" s="16"/>
      <c r="J2320" s="16"/>
      <c r="K2320" s="16"/>
      <c r="L2320" s="16"/>
      <c r="M2320" s="15"/>
      <c r="N2320" s="15"/>
      <c r="O2320" s="16"/>
      <c r="P2320" s="16"/>
      <c r="Q2320" s="16"/>
      <c r="R2320" s="16"/>
      <c r="S2320" s="37" t="str">
        <f>IFERROR(__xludf.DUMMYFUNCTION("if(not(iserror(index(split(C2320, "" ""),2))), index(split(C2320, "" ""),1),"""")"),"")</f>
        <v/>
      </c>
      <c r="T2320" s="315" t="str">
        <f>IFERROR(__xludf.DUMMYFUNCTION("if(S2320="""",C2320,if(not(iserror(index(split(C2320, "" ""),3))), index(split(C2320, "" ""),3),index(split(C2320, "" ""),2)))"),"")</f>
        <v/>
      </c>
      <c r="U2320" s="38" t="b">
        <f t="shared" si="34"/>
        <v>0</v>
      </c>
      <c r="V2320" s="38"/>
      <c r="W2320" s="40"/>
      <c r="X2320" s="40"/>
      <c r="Y2320" s="38"/>
      <c r="Z2320" s="38"/>
      <c r="AA2320" s="38"/>
      <c r="AB2320" s="38"/>
      <c r="AC2320" s="38"/>
      <c r="AD2320" s="38"/>
      <c r="AE2320" s="38"/>
      <c r="AF2320" s="38"/>
      <c r="AG2320" s="38"/>
      <c r="AH2320" s="38"/>
      <c r="AI2320" s="38"/>
      <c r="AJ2320" s="38"/>
      <c r="AK2320" s="38"/>
      <c r="AL2320" s="38"/>
      <c r="AM2320" s="38"/>
      <c r="AN2320" s="38"/>
      <c r="AO2320" s="38"/>
      <c r="AP2320" s="38"/>
      <c r="AQ2320" s="38"/>
      <c r="AR2320" s="38"/>
      <c r="AS2320" s="38"/>
      <c r="AT2320" s="38"/>
      <c r="AU2320" s="38"/>
      <c r="AV2320" s="38"/>
      <c r="AW2320" s="38"/>
      <c r="AX2320" s="38"/>
      <c r="AY2320" s="38"/>
      <c r="AZ2320" s="38"/>
      <c r="BA2320" s="38"/>
      <c r="BB2320" s="38"/>
      <c r="BC2320" s="38"/>
      <c r="BD2320" s="38"/>
      <c r="BE2320" s="38"/>
      <c r="BF2320" s="38"/>
      <c r="BG2320" s="38"/>
      <c r="BH2320" s="38"/>
      <c r="BI2320" s="38"/>
      <c r="BJ2320" s="38"/>
      <c r="BK2320" s="38"/>
      <c r="BL2320" s="38"/>
      <c r="BM2320" s="38"/>
      <c r="BN2320" s="38"/>
      <c r="BO2320" s="38"/>
      <c r="BP2320" s="38"/>
      <c r="BQ2320" s="38"/>
    </row>
    <row r="2321">
      <c r="A2321" s="16"/>
      <c r="B2321" s="16"/>
      <c r="C2321" s="146"/>
      <c r="D2321" s="146"/>
      <c r="E2321" s="16"/>
      <c r="F2321" s="91"/>
      <c r="G2321" s="16"/>
      <c r="H2321" s="320" t="str">
        <f t="shared" si="33"/>
        <v/>
      </c>
      <c r="I2321" s="16"/>
      <c r="J2321" s="16"/>
      <c r="K2321" s="16"/>
      <c r="L2321" s="16"/>
      <c r="M2321" s="15"/>
      <c r="N2321" s="15"/>
      <c r="O2321" s="16"/>
      <c r="P2321" s="16"/>
      <c r="Q2321" s="16"/>
      <c r="R2321" s="16"/>
      <c r="S2321" s="37" t="str">
        <f>IFERROR(__xludf.DUMMYFUNCTION("if(not(iserror(index(split(C2321, "" ""),2))), index(split(C2321, "" ""),1),"""")"),"")</f>
        <v/>
      </c>
      <c r="T2321" s="315" t="str">
        <f>IFERROR(__xludf.DUMMYFUNCTION("if(S2321="""",C2321,if(not(iserror(index(split(C2321, "" ""),3))), index(split(C2321, "" ""),3),index(split(C2321, "" ""),2)))"),"")</f>
        <v/>
      </c>
      <c r="U2321" s="38" t="b">
        <f t="shared" si="34"/>
        <v>0</v>
      </c>
      <c r="V2321" s="38"/>
      <c r="W2321" s="40"/>
      <c r="X2321" s="40"/>
      <c r="Y2321" s="38"/>
      <c r="Z2321" s="38"/>
      <c r="AA2321" s="38"/>
      <c r="AB2321" s="38"/>
      <c r="AC2321" s="38"/>
      <c r="AD2321" s="38"/>
      <c r="AE2321" s="38"/>
      <c r="AF2321" s="38"/>
      <c r="AG2321" s="38"/>
      <c r="AH2321" s="38"/>
      <c r="AI2321" s="38"/>
      <c r="AJ2321" s="38"/>
      <c r="AK2321" s="38"/>
      <c r="AL2321" s="38"/>
      <c r="AM2321" s="38"/>
      <c r="AN2321" s="38"/>
      <c r="AO2321" s="38"/>
      <c r="AP2321" s="38"/>
      <c r="AQ2321" s="38"/>
      <c r="AR2321" s="38"/>
      <c r="AS2321" s="38"/>
      <c r="AT2321" s="38"/>
      <c r="AU2321" s="38"/>
      <c r="AV2321" s="38"/>
      <c r="AW2321" s="38"/>
      <c r="AX2321" s="38"/>
      <c r="AY2321" s="38"/>
      <c r="AZ2321" s="38"/>
      <c r="BA2321" s="38"/>
      <c r="BB2321" s="38"/>
      <c r="BC2321" s="38"/>
      <c r="BD2321" s="38"/>
      <c r="BE2321" s="38"/>
      <c r="BF2321" s="38"/>
      <c r="BG2321" s="38"/>
      <c r="BH2321" s="38"/>
      <c r="BI2321" s="38"/>
      <c r="BJ2321" s="38"/>
      <c r="BK2321" s="38"/>
      <c r="BL2321" s="38"/>
      <c r="BM2321" s="38"/>
      <c r="BN2321" s="38"/>
      <c r="BO2321" s="38"/>
      <c r="BP2321" s="38"/>
      <c r="BQ2321" s="38"/>
    </row>
    <row r="2322">
      <c r="A2322" s="16"/>
      <c r="B2322" s="16"/>
      <c r="C2322" s="146"/>
      <c r="D2322" s="146"/>
      <c r="E2322" s="16"/>
      <c r="F2322" s="91"/>
      <c r="G2322" s="16"/>
      <c r="H2322" s="320" t="str">
        <f t="shared" si="33"/>
        <v/>
      </c>
      <c r="I2322" s="16"/>
      <c r="J2322" s="16"/>
      <c r="K2322" s="16"/>
      <c r="L2322" s="16"/>
      <c r="M2322" s="15"/>
      <c r="N2322" s="15"/>
      <c r="O2322" s="16"/>
      <c r="P2322" s="16"/>
      <c r="Q2322" s="16"/>
      <c r="R2322" s="16"/>
      <c r="S2322" s="37" t="str">
        <f>IFERROR(__xludf.DUMMYFUNCTION("if(not(iserror(index(split(C2322, "" ""),2))), index(split(C2322, "" ""),1),"""")"),"")</f>
        <v/>
      </c>
      <c r="T2322" s="315" t="str">
        <f>IFERROR(__xludf.DUMMYFUNCTION("if(S2322="""",C2322,if(not(iserror(index(split(C2322, "" ""),3))), index(split(C2322, "" ""),3),index(split(C2322, "" ""),2)))"),"")</f>
        <v/>
      </c>
      <c r="U2322" s="38" t="b">
        <f t="shared" si="34"/>
        <v>0</v>
      </c>
      <c r="V2322" s="38"/>
      <c r="W2322" s="40"/>
      <c r="X2322" s="40"/>
      <c r="Y2322" s="38"/>
      <c r="Z2322" s="38"/>
      <c r="AA2322" s="38"/>
      <c r="AB2322" s="38"/>
      <c r="AC2322" s="38"/>
      <c r="AD2322" s="38"/>
      <c r="AE2322" s="38"/>
      <c r="AF2322" s="38"/>
      <c r="AG2322" s="38"/>
      <c r="AH2322" s="38"/>
      <c r="AI2322" s="38"/>
      <c r="AJ2322" s="38"/>
      <c r="AK2322" s="38"/>
      <c r="AL2322" s="38"/>
      <c r="AM2322" s="38"/>
      <c r="AN2322" s="38"/>
      <c r="AO2322" s="38"/>
      <c r="AP2322" s="38"/>
      <c r="AQ2322" s="38"/>
      <c r="AR2322" s="38"/>
      <c r="AS2322" s="38"/>
      <c r="AT2322" s="38"/>
      <c r="AU2322" s="38"/>
      <c r="AV2322" s="38"/>
      <c r="AW2322" s="38"/>
      <c r="AX2322" s="38"/>
      <c r="AY2322" s="38"/>
      <c r="AZ2322" s="38"/>
      <c r="BA2322" s="38"/>
      <c r="BB2322" s="38"/>
      <c r="BC2322" s="38"/>
      <c r="BD2322" s="38"/>
      <c r="BE2322" s="38"/>
      <c r="BF2322" s="38"/>
      <c r="BG2322" s="38"/>
      <c r="BH2322" s="38"/>
      <c r="BI2322" s="38"/>
      <c r="BJ2322" s="38"/>
      <c r="BK2322" s="38"/>
      <c r="BL2322" s="38"/>
      <c r="BM2322" s="38"/>
      <c r="BN2322" s="38"/>
      <c r="BO2322" s="38"/>
      <c r="BP2322" s="38"/>
      <c r="BQ2322" s="38"/>
    </row>
    <row r="2323">
      <c r="A2323" s="16"/>
      <c r="B2323" s="16"/>
      <c r="C2323" s="146"/>
      <c r="D2323" s="146"/>
      <c r="E2323" s="16"/>
      <c r="F2323" s="91"/>
      <c r="G2323" s="16"/>
      <c r="H2323" s="320" t="str">
        <f t="shared" si="33"/>
        <v/>
      </c>
      <c r="I2323" s="16"/>
      <c r="J2323" s="16"/>
      <c r="K2323" s="16"/>
      <c r="L2323" s="16"/>
      <c r="M2323" s="15"/>
      <c r="N2323" s="15"/>
      <c r="O2323" s="16"/>
      <c r="P2323" s="16"/>
      <c r="Q2323" s="16"/>
      <c r="R2323" s="16"/>
      <c r="S2323" s="37" t="str">
        <f>IFERROR(__xludf.DUMMYFUNCTION("if(not(iserror(index(split(C2323, "" ""),2))), index(split(C2323, "" ""),1),"""")"),"")</f>
        <v/>
      </c>
      <c r="T2323" s="315" t="str">
        <f>IFERROR(__xludf.DUMMYFUNCTION("if(S2323="""",C2323,if(not(iserror(index(split(C2323, "" ""),3))), index(split(C2323, "" ""),3),index(split(C2323, "" ""),2)))"),"")</f>
        <v/>
      </c>
      <c r="U2323" s="38" t="b">
        <f t="shared" si="34"/>
        <v>0</v>
      </c>
      <c r="V2323" s="38"/>
      <c r="W2323" s="40"/>
      <c r="X2323" s="40"/>
      <c r="Y2323" s="38"/>
      <c r="Z2323" s="38"/>
      <c r="AA2323" s="38"/>
      <c r="AB2323" s="38"/>
      <c r="AC2323" s="38"/>
      <c r="AD2323" s="38"/>
      <c r="AE2323" s="38"/>
      <c r="AF2323" s="38"/>
      <c r="AG2323" s="38"/>
      <c r="AH2323" s="38"/>
      <c r="AI2323" s="38"/>
      <c r="AJ2323" s="38"/>
      <c r="AK2323" s="38"/>
      <c r="AL2323" s="38"/>
      <c r="AM2323" s="38"/>
      <c r="AN2323" s="38"/>
      <c r="AO2323" s="38"/>
      <c r="AP2323" s="38"/>
      <c r="AQ2323" s="38"/>
      <c r="AR2323" s="38"/>
      <c r="AS2323" s="38"/>
      <c r="AT2323" s="38"/>
      <c r="AU2323" s="38"/>
      <c r="AV2323" s="38"/>
      <c r="AW2323" s="38"/>
      <c r="AX2323" s="38"/>
      <c r="AY2323" s="38"/>
      <c r="AZ2323" s="38"/>
      <c r="BA2323" s="38"/>
      <c r="BB2323" s="38"/>
      <c r="BC2323" s="38"/>
      <c r="BD2323" s="38"/>
      <c r="BE2323" s="38"/>
      <c r="BF2323" s="38"/>
      <c r="BG2323" s="38"/>
      <c r="BH2323" s="38"/>
      <c r="BI2323" s="38"/>
      <c r="BJ2323" s="38"/>
      <c r="BK2323" s="38"/>
      <c r="BL2323" s="38"/>
      <c r="BM2323" s="38"/>
      <c r="BN2323" s="38"/>
      <c r="BO2323" s="38"/>
      <c r="BP2323" s="38"/>
      <c r="BQ2323" s="38"/>
    </row>
    <row r="2324">
      <c r="A2324" s="16"/>
      <c r="B2324" s="16"/>
      <c r="C2324" s="146"/>
      <c r="D2324" s="146"/>
      <c r="E2324" s="16"/>
      <c r="F2324" s="91"/>
      <c r="G2324" s="16"/>
      <c r="H2324" s="320" t="str">
        <f t="shared" si="33"/>
        <v/>
      </c>
      <c r="I2324" s="16"/>
      <c r="J2324" s="16"/>
      <c r="K2324" s="16"/>
      <c r="L2324" s="16"/>
      <c r="M2324" s="15"/>
      <c r="N2324" s="15"/>
      <c r="O2324" s="16"/>
      <c r="P2324" s="16"/>
      <c r="Q2324" s="16"/>
      <c r="R2324" s="16"/>
      <c r="S2324" s="37" t="str">
        <f>IFERROR(__xludf.DUMMYFUNCTION("if(not(iserror(index(split(C2324, "" ""),2))), index(split(C2324, "" ""),1),"""")"),"")</f>
        <v/>
      </c>
      <c r="T2324" s="315" t="str">
        <f>IFERROR(__xludf.DUMMYFUNCTION("if(S2324="""",C2324,if(not(iserror(index(split(C2324, "" ""),3))), index(split(C2324, "" ""),3),index(split(C2324, "" ""),2)))"),"")</f>
        <v/>
      </c>
      <c r="U2324" s="38" t="b">
        <f t="shared" si="34"/>
        <v>0</v>
      </c>
      <c r="V2324" s="38"/>
      <c r="W2324" s="40"/>
      <c r="X2324" s="40"/>
      <c r="Y2324" s="38"/>
      <c r="Z2324" s="38"/>
      <c r="AA2324" s="38"/>
      <c r="AB2324" s="38"/>
      <c r="AC2324" s="38"/>
      <c r="AD2324" s="38"/>
      <c r="AE2324" s="38"/>
      <c r="AF2324" s="38"/>
      <c r="AG2324" s="38"/>
      <c r="AH2324" s="38"/>
      <c r="AI2324" s="38"/>
      <c r="AJ2324" s="38"/>
      <c r="AK2324" s="38"/>
      <c r="AL2324" s="38"/>
      <c r="AM2324" s="38"/>
      <c r="AN2324" s="38"/>
      <c r="AO2324" s="38"/>
      <c r="AP2324" s="38"/>
      <c r="AQ2324" s="38"/>
      <c r="AR2324" s="38"/>
      <c r="AS2324" s="38"/>
      <c r="AT2324" s="38"/>
      <c r="AU2324" s="38"/>
      <c r="AV2324" s="38"/>
      <c r="AW2324" s="38"/>
      <c r="AX2324" s="38"/>
      <c r="AY2324" s="38"/>
      <c r="AZ2324" s="38"/>
      <c r="BA2324" s="38"/>
      <c r="BB2324" s="38"/>
      <c r="BC2324" s="38"/>
      <c r="BD2324" s="38"/>
      <c r="BE2324" s="38"/>
      <c r="BF2324" s="38"/>
      <c r="BG2324" s="38"/>
      <c r="BH2324" s="38"/>
      <c r="BI2324" s="38"/>
      <c r="BJ2324" s="38"/>
      <c r="BK2324" s="38"/>
      <c r="BL2324" s="38"/>
      <c r="BM2324" s="38"/>
      <c r="BN2324" s="38"/>
      <c r="BO2324" s="38"/>
      <c r="BP2324" s="38"/>
      <c r="BQ2324" s="38"/>
    </row>
    <row r="2325">
      <c r="A2325" s="16"/>
      <c r="B2325" s="16"/>
      <c r="C2325" s="146"/>
      <c r="D2325" s="146"/>
      <c r="E2325" s="16"/>
      <c r="F2325" s="91"/>
      <c r="G2325" s="16"/>
      <c r="H2325" s="320" t="str">
        <f t="shared" si="33"/>
        <v/>
      </c>
      <c r="I2325" s="16"/>
      <c r="J2325" s="16"/>
      <c r="K2325" s="16"/>
      <c r="L2325" s="16"/>
      <c r="M2325" s="15"/>
      <c r="N2325" s="15"/>
      <c r="O2325" s="16"/>
      <c r="P2325" s="16"/>
      <c r="Q2325" s="16"/>
      <c r="R2325" s="16"/>
      <c r="S2325" s="37" t="str">
        <f>IFERROR(__xludf.DUMMYFUNCTION("if(not(iserror(index(split(C2325, "" ""),2))), index(split(C2325, "" ""),1),"""")"),"")</f>
        <v/>
      </c>
      <c r="T2325" s="315" t="str">
        <f>IFERROR(__xludf.DUMMYFUNCTION("if(S2325="""",C2325,if(not(iserror(index(split(C2325, "" ""),3))), index(split(C2325, "" ""),3),index(split(C2325, "" ""),2)))"),"")</f>
        <v/>
      </c>
      <c r="U2325" s="38" t="b">
        <f t="shared" si="34"/>
        <v>0</v>
      </c>
      <c r="V2325" s="38"/>
      <c r="W2325" s="40"/>
      <c r="X2325" s="40"/>
      <c r="Y2325" s="38"/>
      <c r="Z2325" s="38"/>
      <c r="AA2325" s="38"/>
      <c r="AB2325" s="38"/>
      <c r="AC2325" s="38"/>
      <c r="AD2325" s="38"/>
      <c r="AE2325" s="38"/>
      <c r="AF2325" s="38"/>
      <c r="AG2325" s="38"/>
      <c r="AH2325" s="38"/>
      <c r="AI2325" s="38"/>
      <c r="AJ2325" s="38"/>
      <c r="AK2325" s="38"/>
      <c r="AL2325" s="38"/>
      <c r="AM2325" s="38"/>
      <c r="AN2325" s="38"/>
      <c r="AO2325" s="38"/>
      <c r="AP2325" s="38"/>
      <c r="AQ2325" s="38"/>
      <c r="AR2325" s="38"/>
      <c r="AS2325" s="38"/>
      <c r="AT2325" s="38"/>
      <c r="AU2325" s="38"/>
      <c r="AV2325" s="38"/>
      <c r="AW2325" s="38"/>
      <c r="AX2325" s="38"/>
      <c r="AY2325" s="38"/>
      <c r="AZ2325" s="38"/>
      <c r="BA2325" s="38"/>
      <c r="BB2325" s="38"/>
      <c r="BC2325" s="38"/>
      <c r="BD2325" s="38"/>
      <c r="BE2325" s="38"/>
      <c r="BF2325" s="38"/>
      <c r="BG2325" s="38"/>
      <c r="BH2325" s="38"/>
      <c r="BI2325" s="38"/>
      <c r="BJ2325" s="38"/>
      <c r="BK2325" s="38"/>
      <c r="BL2325" s="38"/>
      <c r="BM2325" s="38"/>
      <c r="BN2325" s="38"/>
      <c r="BO2325" s="38"/>
      <c r="BP2325" s="38"/>
      <c r="BQ2325" s="38"/>
    </row>
    <row r="2326">
      <c r="A2326" s="16"/>
      <c r="B2326" s="16"/>
      <c r="C2326" s="146"/>
      <c r="D2326" s="146"/>
      <c r="E2326" s="16"/>
      <c r="F2326" s="91"/>
      <c r="G2326" s="16"/>
      <c r="H2326" s="320" t="str">
        <f t="shared" si="33"/>
        <v/>
      </c>
      <c r="I2326" s="16"/>
      <c r="J2326" s="16"/>
      <c r="K2326" s="16"/>
      <c r="L2326" s="16"/>
      <c r="M2326" s="15"/>
      <c r="N2326" s="15"/>
      <c r="O2326" s="16"/>
      <c r="P2326" s="16"/>
      <c r="Q2326" s="16"/>
      <c r="R2326" s="16"/>
      <c r="S2326" s="37" t="str">
        <f>IFERROR(__xludf.DUMMYFUNCTION("if(not(iserror(index(split(C2326, "" ""),2))), index(split(C2326, "" ""),1),"""")"),"")</f>
        <v/>
      </c>
      <c r="T2326" s="315" t="str">
        <f>IFERROR(__xludf.DUMMYFUNCTION("if(S2326="""",C2326,if(not(iserror(index(split(C2326, "" ""),3))), index(split(C2326, "" ""),3),index(split(C2326, "" ""),2)))"),"")</f>
        <v/>
      </c>
      <c r="U2326" s="38" t="b">
        <f t="shared" si="34"/>
        <v>0</v>
      </c>
      <c r="V2326" s="38"/>
      <c r="W2326" s="40"/>
      <c r="X2326" s="40"/>
      <c r="Y2326" s="38"/>
      <c r="Z2326" s="38"/>
      <c r="AA2326" s="38"/>
      <c r="AB2326" s="38"/>
      <c r="AC2326" s="38"/>
      <c r="AD2326" s="38"/>
      <c r="AE2326" s="38"/>
      <c r="AF2326" s="38"/>
      <c r="AG2326" s="38"/>
      <c r="AH2326" s="38"/>
      <c r="AI2326" s="38"/>
      <c r="AJ2326" s="38"/>
      <c r="AK2326" s="38"/>
      <c r="AL2326" s="38"/>
      <c r="AM2326" s="38"/>
      <c r="AN2326" s="38"/>
      <c r="AO2326" s="38"/>
      <c r="AP2326" s="38"/>
      <c r="AQ2326" s="38"/>
      <c r="AR2326" s="38"/>
      <c r="AS2326" s="38"/>
      <c r="AT2326" s="38"/>
      <c r="AU2326" s="38"/>
      <c r="AV2326" s="38"/>
      <c r="AW2326" s="38"/>
      <c r="AX2326" s="38"/>
      <c r="AY2326" s="38"/>
      <c r="AZ2326" s="38"/>
      <c r="BA2326" s="38"/>
      <c r="BB2326" s="38"/>
      <c r="BC2326" s="38"/>
      <c r="BD2326" s="38"/>
      <c r="BE2326" s="38"/>
      <c r="BF2326" s="38"/>
      <c r="BG2326" s="38"/>
      <c r="BH2326" s="38"/>
      <c r="BI2326" s="38"/>
      <c r="BJ2326" s="38"/>
      <c r="BK2326" s="38"/>
      <c r="BL2326" s="38"/>
      <c r="BM2326" s="38"/>
      <c r="BN2326" s="38"/>
      <c r="BO2326" s="38"/>
      <c r="BP2326" s="38"/>
      <c r="BQ2326" s="38"/>
    </row>
    <row r="2327">
      <c r="A2327" s="16"/>
      <c r="B2327" s="16"/>
      <c r="C2327" s="146"/>
      <c r="D2327" s="146"/>
      <c r="E2327" s="16"/>
      <c r="F2327" s="91"/>
      <c r="G2327" s="16"/>
      <c r="H2327" s="320" t="str">
        <f t="shared" si="33"/>
        <v/>
      </c>
      <c r="I2327" s="16"/>
      <c r="J2327" s="16"/>
      <c r="K2327" s="16"/>
      <c r="L2327" s="16"/>
      <c r="M2327" s="15"/>
      <c r="N2327" s="15"/>
      <c r="O2327" s="16"/>
      <c r="P2327" s="16"/>
      <c r="Q2327" s="16"/>
      <c r="R2327" s="16"/>
      <c r="S2327" s="37" t="str">
        <f>IFERROR(__xludf.DUMMYFUNCTION("if(not(iserror(index(split(C2327, "" ""),2))), index(split(C2327, "" ""),1),"""")"),"")</f>
        <v/>
      </c>
      <c r="T2327" s="315" t="str">
        <f>IFERROR(__xludf.DUMMYFUNCTION("if(S2327="""",C2327,if(not(iserror(index(split(C2327, "" ""),3))), index(split(C2327, "" ""),3),index(split(C2327, "" ""),2)))"),"")</f>
        <v/>
      </c>
      <c r="U2327" s="38" t="b">
        <f t="shared" si="34"/>
        <v>0</v>
      </c>
      <c r="V2327" s="38"/>
      <c r="W2327" s="40"/>
      <c r="X2327" s="40"/>
      <c r="Y2327" s="38"/>
      <c r="Z2327" s="38"/>
      <c r="AA2327" s="38"/>
      <c r="AB2327" s="38"/>
      <c r="AC2327" s="38"/>
      <c r="AD2327" s="38"/>
      <c r="AE2327" s="38"/>
      <c r="AF2327" s="38"/>
      <c r="AG2327" s="38"/>
      <c r="AH2327" s="38"/>
      <c r="AI2327" s="38"/>
      <c r="AJ2327" s="38"/>
      <c r="AK2327" s="38"/>
      <c r="AL2327" s="38"/>
      <c r="AM2327" s="38"/>
      <c r="AN2327" s="38"/>
      <c r="AO2327" s="38"/>
      <c r="AP2327" s="38"/>
      <c r="AQ2327" s="38"/>
      <c r="AR2327" s="38"/>
      <c r="AS2327" s="38"/>
      <c r="AT2327" s="38"/>
      <c r="AU2327" s="38"/>
      <c r="AV2327" s="38"/>
      <c r="AW2327" s="38"/>
      <c r="AX2327" s="38"/>
      <c r="AY2327" s="38"/>
      <c r="AZ2327" s="38"/>
      <c r="BA2327" s="38"/>
      <c r="BB2327" s="38"/>
      <c r="BC2327" s="38"/>
      <c r="BD2327" s="38"/>
      <c r="BE2327" s="38"/>
      <c r="BF2327" s="38"/>
      <c r="BG2327" s="38"/>
      <c r="BH2327" s="38"/>
      <c r="BI2327" s="38"/>
      <c r="BJ2327" s="38"/>
      <c r="BK2327" s="38"/>
      <c r="BL2327" s="38"/>
      <c r="BM2327" s="38"/>
      <c r="BN2327" s="38"/>
      <c r="BO2327" s="38"/>
      <c r="BP2327" s="38"/>
      <c r="BQ2327" s="38"/>
    </row>
    <row r="2328">
      <c r="A2328" s="16"/>
      <c r="B2328" s="16"/>
      <c r="C2328" s="146"/>
      <c r="D2328" s="146"/>
      <c r="E2328" s="16"/>
      <c r="F2328" s="91"/>
      <c r="G2328" s="16"/>
      <c r="H2328" s="320" t="str">
        <f t="shared" si="33"/>
        <v/>
      </c>
      <c r="I2328" s="16"/>
      <c r="J2328" s="16"/>
      <c r="K2328" s="16"/>
      <c r="L2328" s="16"/>
      <c r="M2328" s="15"/>
      <c r="N2328" s="15"/>
      <c r="O2328" s="16"/>
      <c r="P2328" s="16"/>
      <c r="Q2328" s="16"/>
      <c r="R2328" s="16"/>
      <c r="S2328" s="37" t="str">
        <f>IFERROR(__xludf.DUMMYFUNCTION("if(not(iserror(index(split(C2328, "" ""),2))), index(split(C2328, "" ""),1),"""")"),"")</f>
        <v/>
      </c>
      <c r="T2328" s="315" t="str">
        <f>IFERROR(__xludf.DUMMYFUNCTION("if(S2328="""",C2328,if(not(iserror(index(split(C2328, "" ""),3))), index(split(C2328, "" ""),3),index(split(C2328, "" ""),2)))"),"")</f>
        <v/>
      </c>
      <c r="U2328" s="38" t="b">
        <f t="shared" si="34"/>
        <v>0</v>
      </c>
      <c r="V2328" s="38"/>
      <c r="W2328" s="40"/>
      <c r="X2328" s="40"/>
      <c r="Y2328" s="38"/>
      <c r="Z2328" s="38"/>
      <c r="AA2328" s="38"/>
      <c r="AB2328" s="38"/>
      <c r="AC2328" s="38"/>
      <c r="AD2328" s="38"/>
      <c r="AE2328" s="38"/>
      <c r="AF2328" s="38"/>
      <c r="AG2328" s="38"/>
      <c r="AH2328" s="38"/>
      <c r="AI2328" s="38"/>
      <c r="AJ2328" s="38"/>
      <c r="AK2328" s="38"/>
      <c r="AL2328" s="38"/>
      <c r="AM2328" s="38"/>
      <c r="AN2328" s="38"/>
      <c r="AO2328" s="38"/>
      <c r="AP2328" s="38"/>
      <c r="AQ2328" s="38"/>
      <c r="AR2328" s="38"/>
      <c r="AS2328" s="38"/>
      <c r="AT2328" s="38"/>
      <c r="AU2328" s="38"/>
      <c r="AV2328" s="38"/>
      <c r="AW2328" s="38"/>
      <c r="AX2328" s="38"/>
      <c r="AY2328" s="38"/>
      <c r="AZ2328" s="38"/>
      <c r="BA2328" s="38"/>
      <c r="BB2328" s="38"/>
      <c r="BC2328" s="38"/>
      <c r="BD2328" s="38"/>
      <c r="BE2328" s="38"/>
      <c r="BF2328" s="38"/>
      <c r="BG2328" s="38"/>
      <c r="BH2328" s="38"/>
      <c r="BI2328" s="38"/>
      <c r="BJ2328" s="38"/>
      <c r="BK2328" s="38"/>
      <c r="BL2328" s="38"/>
      <c r="BM2328" s="38"/>
      <c r="BN2328" s="38"/>
      <c r="BO2328" s="38"/>
      <c r="BP2328" s="38"/>
      <c r="BQ2328" s="38"/>
    </row>
    <row r="2329">
      <c r="A2329" s="16"/>
      <c r="B2329" s="16"/>
      <c r="C2329" s="146"/>
      <c r="D2329" s="146"/>
      <c r="E2329" s="16"/>
      <c r="F2329" s="91"/>
      <c r="G2329" s="16"/>
      <c r="H2329" s="320" t="str">
        <f t="shared" si="33"/>
        <v/>
      </c>
      <c r="I2329" s="16"/>
      <c r="J2329" s="16"/>
      <c r="K2329" s="16"/>
      <c r="L2329" s="16"/>
      <c r="M2329" s="15"/>
      <c r="N2329" s="15"/>
      <c r="O2329" s="16"/>
      <c r="P2329" s="16"/>
      <c r="Q2329" s="16"/>
      <c r="R2329" s="16"/>
      <c r="S2329" s="37" t="str">
        <f>IFERROR(__xludf.DUMMYFUNCTION("if(not(iserror(index(split(C2329, "" ""),2))), index(split(C2329, "" ""),1),"""")"),"")</f>
        <v/>
      </c>
      <c r="T2329" s="315" t="str">
        <f>IFERROR(__xludf.DUMMYFUNCTION("if(S2329="""",C2329,if(not(iserror(index(split(C2329, "" ""),3))), index(split(C2329, "" ""),3),index(split(C2329, "" ""),2)))"),"")</f>
        <v/>
      </c>
      <c r="U2329" s="38" t="b">
        <f t="shared" si="34"/>
        <v>0</v>
      </c>
      <c r="V2329" s="38"/>
      <c r="W2329" s="40"/>
      <c r="X2329" s="40"/>
      <c r="Y2329" s="38"/>
      <c r="Z2329" s="38"/>
      <c r="AA2329" s="38"/>
      <c r="AB2329" s="38"/>
      <c r="AC2329" s="38"/>
      <c r="AD2329" s="38"/>
      <c r="AE2329" s="38"/>
      <c r="AF2329" s="38"/>
      <c r="AG2329" s="38"/>
      <c r="AH2329" s="38"/>
      <c r="AI2329" s="38"/>
      <c r="AJ2329" s="38"/>
      <c r="AK2329" s="38"/>
      <c r="AL2329" s="38"/>
      <c r="AM2329" s="38"/>
      <c r="AN2329" s="38"/>
      <c r="AO2329" s="38"/>
      <c r="AP2329" s="38"/>
      <c r="AQ2329" s="38"/>
      <c r="AR2329" s="38"/>
      <c r="AS2329" s="38"/>
      <c r="AT2329" s="38"/>
      <c r="AU2329" s="38"/>
      <c r="AV2329" s="38"/>
      <c r="AW2329" s="38"/>
      <c r="AX2329" s="38"/>
      <c r="AY2329" s="38"/>
      <c r="AZ2329" s="38"/>
      <c r="BA2329" s="38"/>
      <c r="BB2329" s="38"/>
      <c r="BC2329" s="38"/>
      <c r="BD2329" s="38"/>
      <c r="BE2329" s="38"/>
      <c r="BF2329" s="38"/>
      <c r="BG2329" s="38"/>
      <c r="BH2329" s="38"/>
      <c r="BI2329" s="38"/>
      <c r="BJ2329" s="38"/>
      <c r="BK2329" s="38"/>
      <c r="BL2329" s="38"/>
      <c r="BM2329" s="38"/>
      <c r="BN2329" s="38"/>
      <c r="BO2329" s="38"/>
      <c r="BP2329" s="38"/>
      <c r="BQ2329" s="38"/>
    </row>
    <row r="2330">
      <c r="A2330" s="16"/>
      <c r="B2330" s="16"/>
      <c r="C2330" s="146"/>
      <c r="D2330" s="146"/>
      <c r="E2330" s="16"/>
      <c r="F2330" s="91"/>
      <c r="G2330" s="16"/>
      <c r="H2330" s="320" t="str">
        <f t="shared" si="33"/>
        <v/>
      </c>
      <c r="I2330" s="16"/>
      <c r="J2330" s="16"/>
      <c r="K2330" s="16"/>
      <c r="L2330" s="16"/>
      <c r="M2330" s="15"/>
      <c r="N2330" s="15"/>
      <c r="O2330" s="16"/>
      <c r="P2330" s="16"/>
      <c r="Q2330" s="16"/>
      <c r="R2330" s="16"/>
      <c r="S2330" s="37" t="str">
        <f>IFERROR(__xludf.DUMMYFUNCTION("if(not(iserror(index(split(C2330, "" ""),2))), index(split(C2330, "" ""),1),"""")"),"")</f>
        <v/>
      </c>
      <c r="T2330" s="315" t="str">
        <f>IFERROR(__xludf.DUMMYFUNCTION("if(S2330="""",C2330,if(not(iserror(index(split(C2330, "" ""),3))), index(split(C2330, "" ""),3),index(split(C2330, "" ""),2)))"),"")</f>
        <v/>
      </c>
      <c r="U2330" s="38" t="b">
        <f t="shared" si="34"/>
        <v>0</v>
      </c>
      <c r="V2330" s="38"/>
      <c r="W2330" s="40"/>
      <c r="X2330" s="40"/>
      <c r="Y2330" s="38"/>
      <c r="Z2330" s="38"/>
      <c r="AA2330" s="38"/>
      <c r="AB2330" s="38"/>
      <c r="AC2330" s="38"/>
      <c r="AD2330" s="38"/>
      <c r="AE2330" s="38"/>
      <c r="AF2330" s="38"/>
      <c r="AG2330" s="38"/>
      <c r="AH2330" s="38"/>
      <c r="AI2330" s="38"/>
      <c r="AJ2330" s="38"/>
      <c r="AK2330" s="38"/>
      <c r="AL2330" s="38"/>
      <c r="AM2330" s="38"/>
      <c r="AN2330" s="38"/>
      <c r="AO2330" s="38"/>
      <c r="AP2330" s="38"/>
      <c r="AQ2330" s="38"/>
      <c r="AR2330" s="38"/>
      <c r="AS2330" s="38"/>
      <c r="AT2330" s="38"/>
      <c r="AU2330" s="38"/>
      <c r="AV2330" s="38"/>
      <c r="AW2330" s="38"/>
      <c r="AX2330" s="38"/>
      <c r="AY2330" s="38"/>
      <c r="AZ2330" s="38"/>
      <c r="BA2330" s="38"/>
      <c r="BB2330" s="38"/>
      <c r="BC2330" s="38"/>
      <c r="BD2330" s="38"/>
      <c r="BE2330" s="38"/>
      <c r="BF2330" s="38"/>
      <c r="BG2330" s="38"/>
      <c r="BH2330" s="38"/>
      <c r="BI2330" s="38"/>
      <c r="BJ2330" s="38"/>
      <c r="BK2330" s="38"/>
      <c r="BL2330" s="38"/>
      <c r="BM2330" s="38"/>
      <c r="BN2330" s="38"/>
      <c r="BO2330" s="38"/>
      <c r="BP2330" s="38"/>
      <c r="BQ2330" s="38"/>
    </row>
    <row r="2331">
      <c r="A2331" s="16"/>
      <c r="B2331" s="16"/>
      <c r="C2331" s="146"/>
      <c r="D2331" s="146"/>
      <c r="E2331" s="16"/>
      <c r="F2331" s="91"/>
      <c r="G2331" s="16"/>
      <c r="H2331" s="320" t="str">
        <f t="shared" si="33"/>
        <v/>
      </c>
      <c r="I2331" s="16"/>
      <c r="J2331" s="16"/>
      <c r="K2331" s="16"/>
      <c r="L2331" s="16"/>
      <c r="M2331" s="15"/>
      <c r="N2331" s="15"/>
      <c r="O2331" s="16"/>
      <c r="P2331" s="16"/>
      <c r="Q2331" s="16"/>
      <c r="R2331" s="16"/>
      <c r="S2331" s="37" t="str">
        <f>IFERROR(__xludf.DUMMYFUNCTION("if(not(iserror(index(split(C2331, "" ""),2))), index(split(C2331, "" ""),1),"""")"),"")</f>
        <v/>
      </c>
      <c r="T2331" s="315" t="str">
        <f>IFERROR(__xludf.DUMMYFUNCTION("if(S2331="""",C2331,if(not(iserror(index(split(C2331, "" ""),3))), index(split(C2331, "" ""),3),index(split(C2331, "" ""),2)))"),"")</f>
        <v/>
      </c>
      <c r="U2331" s="38" t="b">
        <f t="shared" si="34"/>
        <v>0</v>
      </c>
      <c r="V2331" s="38"/>
      <c r="W2331" s="40"/>
      <c r="X2331" s="40"/>
      <c r="Y2331" s="38"/>
      <c r="Z2331" s="38"/>
      <c r="AA2331" s="38"/>
      <c r="AB2331" s="38"/>
      <c r="AC2331" s="38"/>
      <c r="AD2331" s="38"/>
      <c r="AE2331" s="38"/>
      <c r="AF2331" s="38"/>
      <c r="AG2331" s="38"/>
      <c r="AH2331" s="38"/>
      <c r="AI2331" s="38"/>
      <c r="AJ2331" s="38"/>
      <c r="AK2331" s="38"/>
      <c r="AL2331" s="38"/>
      <c r="AM2331" s="38"/>
      <c r="AN2331" s="38"/>
      <c r="AO2331" s="38"/>
      <c r="AP2331" s="38"/>
      <c r="AQ2331" s="38"/>
      <c r="AR2331" s="38"/>
      <c r="AS2331" s="38"/>
      <c r="AT2331" s="38"/>
      <c r="AU2331" s="38"/>
      <c r="AV2331" s="38"/>
      <c r="AW2331" s="38"/>
      <c r="AX2331" s="38"/>
      <c r="AY2331" s="38"/>
      <c r="AZ2331" s="38"/>
      <c r="BA2331" s="38"/>
      <c r="BB2331" s="38"/>
      <c r="BC2331" s="38"/>
      <c r="BD2331" s="38"/>
      <c r="BE2331" s="38"/>
      <c r="BF2331" s="38"/>
      <c r="BG2331" s="38"/>
      <c r="BH2331" s="38"/>
      <c r="BI2331" s="38"/>
      <c r="BJ2331" s="38"/>
      <c r="BK2331" s="38"/>
      <c r="BL2331" s="38"/>
      <c r="BM2331" s="38"/>
      <c r="BN2331" s="38"/>
      <c r="BO2331" s="38"/>
      <c r="BP2331" s="38"/>
      <c r="BQ2331" s="38"/>
    </row>
    <row r="2332">
      <c r="A2332" s="16"/>
      <c r="B2332" s="16"/>
      <c r="C2332" s="146"/>
      <c r="D2332" s="146"/>
      <c r="E2332" s="16"/>
      <c r="F2332" s="91"/>
      <c r="G2332" s="16"/>
      <c r="H2332" s="320" t="str">
        <f t="shared" si="33"/>
        <v/>
      </c>
      <c r="I2332" s="16"/>
      <c r="J2332" s="16"/>
      <c r="K2332" s="16"/>
      <c r="L2332" s="16"/>
      <c r="M2332" s="15"/>
      <c r="N2332" s="15"/>
      <c r="O2332" s="16"/>
      <c r="P2332" s="16"/>
      <c r="Q2332" s="16"/>
      <c r="R2332" s="16"/>
      <c r="S2332" s="37" t="str">
        <f>IFERROR(__xludf.DUMMYFUNCTION("if(not(iserror(index(split(C2332, "" ""),2))), index(split(C2332, "" ""),1),"""")"),"")</f>
        <v/>
      </c>
      <c r="T2332" s="315" t="str">
        <f>IFERROR(__xludf.DUMMYFUNCTION("if(S2332="""",C2332,if(not(iserror(index(split(C2332, "" ""),3))), index(split(C2332, "" ""),3),index(split(C2332, "" ""),2)))"),"")</f>
        <v/>
      </c>
      <c r="U2332" s="38" t="b">
        <f t="shared" si="34"/>
        <v>0</v>
      </c>
      <c r="V2332" s="38"/>
      <c r="W2332" s="40"/>
      <c r="X2332" s="40"/>
      <c r="Y2332" s="38"/>
      <c r="Z2332" s="38"/>
      <c r="AA2332" s="38"/>
      <c r="AB2332" s="38"/>
      <c r="AC2332" s="38"/>
      <c r="AD2332" s="38"/>
      <c r="AE2332" s="38"/>
      <c r="AF2332" s="38"/>
      <c r="AG2332" s="38"/>
      <c r="AH2332" s="38"/>
      <c r="AI2332" s="38"/>
      <c r="AJ2332" s="38"/>
      <c r="AK2332" s="38"/>
      <c r="AL2332" s="38"/>
      <c r="AM2332" s="38"/>
      <c r="AN2332" s="38"/>
      <c r="AO2332" s="38"/>
      <c r="AP2332" s="38"/>
      <c r="AQ2332" s="38"/>
      <c r="AR2332" s="38"/>
      <c r="AS2332" s="38"/>
      <c r="AT2332" s="38"/>
      <c r="AU2332" s="38"/>
      <c r="AV2332" s="38"/>
      <c r="AW2332" s="38"/>
      <c r="AX2332" s="38"/>
      <c r="AY2332" s="38"/>
      <c r="AZ2332" s="38"/>
      <c r="BA2332" s="38"/>
      <c r="BB2332" s="38"/>
      <c r="BC2332" s="38"/>
      <c r="BD2332" s="38"/>
      <c r="BE2332" s="38"/>
      <c r="BF2332" s="38"/>
      <c r="BG2332" s="38"/>
      <c r="BH2332" s="38"/>
      <c r="BI2332" s="38"/>
      <c r="BJ2332" s="38"/>
      <c r="BK2332" s="38"/>
      <c r="BL2332" s="38"/>
      <c r="BM2332" s="38"/>
      <c r="BN2332" s="38"/>
      <c r="BO2332" s="38"/>
      <c r="BP2332" s="38"/>
      <c r="BQ2332" s="38"/>
    </row>
    <row r="2333">
      <c r="A2333" s="16"/>
      <c r="B2333" s="16"/>
      <c r="C2333" s="146"/>
      <c r="D2333" s="146"/>
      <c r="E2333" s="16"/>
      <c r="F2333" s="91"/>
      <c r="G2333" s="16"/>
      <c r="H2333" s="320" t="str">
        <f t="shared" si="33"/>
        <v/>
      </c>
      <c r="I2333" s="16"/>
      <c r="J2333" s="16"/>
      <c r="K2333" s="16"/>
      <c r="L2333" s="16"/>
      <c r="M2333" s="15"/>
      <c r="N2333" s="15"/>
      <c r="O2333" s="16"/>
      <c r="P2333" s="16"/>
      <c r="Q2333" s="16"/>
      <c r="R2333" s="16"/>
      <c r="S2333" s="37" t="str">
        <f>IFERROR(__xludf.DUMMYFUNCTION("if(not(iserror(index(split(C2333, "" ""),2))), index(split(C2333, "" ""),1),"""")"),"")</f>
        <v/>
      </c>
      <c r="T2333" s="315" t="str">
        <f>IFERROR(__xludf.DUMMYFUNCTION("if(S2333="""",C2333,if(not(iserror(index(split(C2333, "" ""),3))), index(split(C2333, "" ""),3),index(split(C2333, "" ""),2)))"),"")</f>
        <v/>
      </c>
      <c r="U2333" s="38" t="b">
        <f t="shared" si="34"/>
        <v>0</v>
      </c>
      <c r="V2333" s="38"/>
      <c r="W2333" s="40"/>
      <c r="X2333" s="40"/>
      <c r="Y2333" s="38"/>
      <c r="Z2333" s="38"/>
      <c r="AA2333" s="38"/>
      <c r="AB2333" s="38"/>
      <c r="AC2333" s="38"/>
      <c r="AD2333" s="38"/>
      <c r="AE2333" s="38"/>
      <c r="AF2333" s="38"/>
      <c r="AG2333" s="38"/>
      <c r="AH2333" s="38"/>
      <c r="AI2333" s="38"/>
      <c r="AJ2333" s="38"/>
      <c r="AK2333" s="38"/>
      <c r="AL2333" s="38"/>
      <c r="AM2333" s="38"/>
      <c r="AN2333" s="38"/>
      <c r="AO2333" s="38"/>
      <c r="AP2333" s="38"/>
      <c r="AQ2333" s="38"/>
      <c r="AR2333" s="38"/>
      <c r="AS2333" s="38"/>
      <c r="AT2333" s="38"/>
      <c r="AU2333" s="38"/>
      <c r="AV2333" s="38"/>
      <c r="AW2333" s="38"/>
      <c r="AX2333" s="38"/>
      <c r="AY2333" s="38"/>
      <c r="AZ2333" s="38"/>
      <c r="BA2333" s="38"/>
      <c r="BB2333" s="38"/>
      <c r="BC2333" s="38"/>
      <c r="BD2333" s="38"/>
      <c r="BE2333" s="38"/>
      <c r="BF2333" s="38"/>
      <c r="BG2333" s="38"/>
      <c r="BH2333" s="38"/>
      <c r="BI2333" s="38"/>
      <c r="BJ2333" s="38"/>
      <c r="BK2333" s="38"/>
      <c r="BL2333" s="38"/>
      <c r="BM2333" s="38"/>
      <c r="BN2333" s="38"/>
      <c r="BO2333" s="38"/>
      <c r="BP2333" s="38"/>
      <c r="BQ2333" s="38"/>
    </row>
    <row r="2334">
      <c r="A2334" s="16"/>
      <c r="B2334" s="16"/>
      <c r="C2334" s="146"/>
      <c r="D2334" s="146"/>
      <c r="E2334" s="16"/>
      <c r="F2334" s="91"/>
      <c r="G2334" s="16"/>
      <c r="H2334" s="320" t="str">
        <f t="shared" si="33"/>
        <v/>
      </c>
      <c r="I2334" s="16"/>
      <c r="J2334" s="16"/>
      <c r="K2334" s="16"/>
      <c r="L2334" s="16"/>
      <c r="M2334" s="15"/>
      <c r="N2334" s="15"/>
      <c r="O2334" s="16"/>
      <c r="P2334" s="16"/>
      <c r="Q2334" s="16"/>
      <c r="R2334" s="16"/>
      <c r="S2334" s="37" t="str">
        <f>IFERROR(__xludf.DUMMYFUNCTION("if(not(iserror(index(split(C2334, "" ""),2))), index(split(C2334, "" ""),1),"""")"),"")</f>
        <v/>
      </c>
      <c r="T2334" s="315" t="str">
        <f>IFERROR(__xludf.DUMMYFUNCTION("if(S2334="""",C2334,if(not(iserror(index(split(C2334, "" ""),3))), index(split(C2334, "" ""),3),index(split(C2334, "" ""),2)))"),"")</f>
        <v/>
      </c>
      <c r="U2334" s="38" t="b">
        <f t="shared" si="34"/>
        <v>0</v>
      </c>
      <c r="V2334" s="38"/>
      <c r="W2334" s="40"/>
      <c r="X2334" s="40"/>
      <c r="Y2334" s="38"/>
      <c r="Z2334" s="38"/>
      <c r="AA2334" s="38"/>
      <c r="AB2334" s="38"/>
      <c r="AC2334" s="38"/>
      <c r="AD2334" s="38"/>
      <c r="AE2334" s="38"/>
      <c r="AF2334" s="38"/>
      <c r="AG2334" s="38"/>
      <c r="AH2334" s="38"/>
      <c r="AI2334" s="38"/>
      <c r="AJ2334" s="38"/>
      <c r="AK2334" s="38"/>
      <c r="AL2334" s="38"/>
      <c r="AM2334" s="38"/>
      <c r="AN2334" s="38"/>
      <c r="AO2334" s="38"/>
      <c r="AP2334" s="38"/>
      <c r="AQ2334" s="38"/>
      <c r="AR2334" s="38"/>
      <c r="AS2334" s="38"/>
      <c r="AT2334" s="38"/>
      <c r="AU2334" s="38"/>
      <c r="AV2334" s="38"/>
      <c r="AW2334" s="38"/>
      <c r="AX2334" s="38"/>
      <c r="AY2334" s="38"/>
      <c r="AZ2334" s="38"/>
      <c r="BA2334" s="38"/>
      <c r="BB2334" s="38"/>
      <c r="BC2334" s="38"/>
      <c r="BD2334" s="38"/>
      <c r="BE2334" s="38"/>
      <c r="BF2334" s="38"/>
      <c r="BG2334" s="38"/>
      <c r="BH2334" s="38"/>
      <c r="BI2334" s="38"/>
      <c r="BJ2334" s="38"/>
      <c r="BK2334" s="38"/>
      <c r="BL2334" s="38"/>
      <c r="BM2334" s="38"/>
      <c r="BN2334" s="38"/>
      <c r="BO2334" s="38"/>
      <c r="BP2334" s="38"/>
      <c r="BQ2334" s="38"/>
    </row>
    <row r="2335">
      <c r="A2335" s="16"/>
      <c r="B2335" s="16"/>
      <c r="C2335" s="146"/>
      <c r="D2335" s="146"/>
      <c r="E2335" s="16"/>
      <c r="F2335" s="91"/>
      <c r="G2335" s="16"/>
      <c r="H2335" s="320" t="str">
        <f t="shared" si="33"/>
        <v/>
      </c>
      <c r="I2335" s="16"/>
      <c r="J2335" s="16"/>
      <c r="K2335" s="16"/>
      <c r="L2335" s="16"/>
      <c r="M2335" s="15"/>
      <c r="N2335" s="15"/>
      <c r="O2335" s="16"/>
      <c r="P2335" s="16"/>
      <c r="Q2335" s="16"/>
      <c r="R2335" s="16"/>
      <c r="S2335" s="37" t="str">
        <f>IFERROR(__xludf.DUMMYFUNCTION("if(not(iserror(index(split(C2335, "" ""),2))), index(split(C2335, "" ""),1),"""")"),"")</f>
        <v/>
      </c>
      <c r="T2335" s="315" t="str">
        <f>IFERROR(__xludf.DUMMYFUNCTION("if(S2335="""",C2335,if(not(iserror(index(split(C2335, "" ""),3))), index(split(C2335, "" ""),3),index(split(C2335, "" ""),2)))"),"")</f>
        <v/>
      </c>
      <c r="U2335" s="38" t="b">
        <f t="shared" si="34"/>
        <v>0</v>
      </c>
      <c r="V2335" s="38"/>
      <c r="W2335" s="40"/>
      <c r="X2335" s="40"/>
      <c r="Y2335" s="38"/>
      <c r="Z2335" s="38"/>
      <c r="AA2335" s="38"/>
      <c r="AB2335" s="38"/>
      <c r="AC2335" s="38"/>
      <c r="AD2335" s="38"/>
      <c r="AE2335" s="38"/>
      <c r="AF2335" s="38"/>
      <c r="AG2335" s="38"/>
      <c r="AH2335" s="38"/>
      <c r="AI2335" s="38"/>
      <c r="AJ2335" s="38"/>
      <c r="AK2335" s="38"/>
      <c r="AL2335" s="38"/>
      <c r="AM2335" s="38"/>
      <c r="AN2335" s="38"/>
      <c r="AO2335" s="38"/>
      <c r="AP2335" s="38"/>
      <c r="AQ2335" s="38"/>
      <c r="AR2335" s="38"/>
      <c r="AS2335" s="38"/>
      <c r="AT2335" s="38"/>
      <c r="AU2335" s="38"/>
      <c r="AV2335" s="38"/>
      <c r="AW2335" s="38"/>
      <c r="AX2335" s="38"/>
      <c r="AY2335" s="38"/>
      <c r="AZ2335" s="38"/>
      <c r="BA2335" s="38"/>
      <c r="BB2335" s="38"/>
      <c r="BC2335" s="38"/>
      <c r="BD2335" s="38"/>
      <c r="BE2335" s="38"/>
      <c r="BF2335" s="38"/>
      <c r="BG2335" s="38"/>
      <c r="BH2335" s="38"/>
      <c r="BI2335" s="38"/>
      <c r="BJ2335" s="38"/>
      <c r="BK2335" s="38"/>
      <c r="BL2335" s="38"/>
      <c r="BM2335" s="38"/>
      <c r="BN2335" s="38"/>
      <c r="BO2335" s="38"/>
      <c r="BP2335" s="38"/>
      <c r="BQ2335" s="38"/>
    </row>
    <row r="2336">
      <c r="A2336" s="16"/>
      <c r="B2336" s="16"/>
      <c r="C2336" s="146"/>
      <c r="D2336" s="146"/>
      <c r="E2336" s="16"/>
      <c r="F2336" s="91"/>
      <c r="G2336" s="16"/>
      <c r="H2336" s="320" t="str">
        <f t="shared" si="33"/>
        <v/>
      </c>
      <c r="I2336" s="16"/>
      <c r="J2336" s="16"/>
      <c r="K2336" s="16"/>
      <c r="L2336" s="16"/>
      <c r="M2336" s="15"/>
      <c r="N2336" s="15"/>
      <c r="O2336" s="16"/>
      <c r="P2336" s="16"/>
      <c r="Q2336" s="16"/>
      <c r="R2336" s="16"/>
      <c r="S2336" s="37" t="str">
        <f>IFERROR(__xludf.DUMMYFUNCTION("if(not(iserror(index(split(C2336, "" ""),2))), index(split(C2336, "" ""),1),"""")"),"")</f>
        <v/>
      </c>
      <c r="T2336" s="315" t="str">
        <f>IFERROR(__xludf.DUMMYFUNCTION("if(S2336="""",C2336,if(not(iserror(index(split(C2336, "" ""),3))), index(split(C2336, "" ""),3),index(split(C2336, "" ""),2)))"),"")</f>
        <v/>
      </c>
      <c r="U2336" s="38" t="b">
        <f t="shared" si="34"/>
        <v>0</v>
      </c>
      <c r="V2336" s="38"/>
      <c r="W2336" s="40"/>
      <c r="X2336" s="40"/>
      <c r="Y2336" s="38"/>
      <c r="Z2336" s="38"/>
      <c r="AA2336" s="38"/>
      <c r="AB2336" s="38"/>
      <c r="AC2336" s="38"/>
      <c r="AD2336" s="38"/>
      <c r="AE2336" s="38"/>
      <c r="AF2336" s="38"/>
      <c r="AG2336" s="38"/>
      <c r="AH2336" s="38"/>
      <c r="AI2336" s="38"/>
      <c r="AJ2336" s="38"/>
      <c r="AK2336" s="38"/>
      <c r="AL2336" s="38"/>
      <c r="AM2336" s="38"/>
      <c r="AN2336" s="38"/>
      <c r="AO2336" s="38"/>
      <c r="AP2336" s="38"/>
      <c r="AQ2336" s="38"/>
      <c r="AR2336" s="38"/>
      <c r="AS2336" s="38"/>
      <c r="AT2336" s="38"/>
      <c r="AU2336" s="38"/>
      <c r="AV2336" s="38"/>
      <c r="AW2336" s="38"/>
      <c r="AX2336" s="38"/>
      <c r="AY2336" s="38"/>
      <c r="AZ2336" s="38"/>
      <c r="BA2336" s="38"/>
      <c r="BB2336" s="38"/>
      <c r="BC2336" s="38"/>
      <c r="BD2336" s="38"/>
      <c r="BE2336" s="38"/>
      <c r="BF2336" s="38"/>
      <c r="BG2336" s="38"/>
      <c r="BH2336" s="38"/>
      <c r="BI2336" s="38"/>
      <c r="BJ2336" s="38"/>
      <c r="BK2336" s="38"/>
      <c r="BL2336" s="38"/>
      <c r="BM2336" s="38"/>
      <c r="BN2336" s="38"/>
      <c r="BO2336" s="38"/>
      <c r="BP2336" s="38"/>
      <c r="BQ2336" s="38"/>
    </row>
    <row r="2337">
      <c r="A2337" s="16"/>
      <c r="B2337" s="16"/>
      <c r="C2337" s="146"/>
      <c r="D2337" s="146"/>
      <c r="E2337" s="16"/>
      <c r="F2337" s="91"/>
      <c r="G2337" s="16"/>
      <c r="H2337" s="320" t="str">
        <f t="shared" si="33"/>
        <v/>
      </c>
      <c r="I2337" s="16"/>
      <c r="J2337" s="16"/>
      <c r="K2337" s="16"/>
      <c r="L2337" s="16"/>
      <c r="M2337" s="15"/>
      <c r="N2337" s="15"/>
      <c r="O2337" s="16"/>
      <c r="P2337" s="16"/>
      <c r="Q2337" s="16"/>
      <c r="R2337" s="16"/>
      <c r="S2337" s="37" t="str">
        <f>IFERROR(__xludf.DUMMYFUNCTION("if(not(iserror(index(split(C2337, "" ""),2))), index(split(C2337, "" ""),1),"""")"),"")</f>
        <v/>
      </c>
      <c r="T2337" s="315" t="str">
        <f>IFERROR(__xludf.DUMMYFUNCTION("if(S2337="""",C2337,if(not(iserror(index(split(C2337, "" ""),3))), index(split(C2337, "" ""),3),index(split(C2337, "" ""),2)))"),"")</f>
        <v/>
      </c>
      <c r="U2337" s="38" t="b">
        <f t="shared" si="34"/>
        <v>0</v>
      </c>
      <c r="V2337" s="38"/>
      <c r="W2337" s="40"/>
      <c r="X2337" s="40"/>
      <c r="Y2337" s="38"/>
      <c r="Z2337" s="38"/>
      <c r="AA2337" s="38"/>
      <c r="AB2337" s="38"/>
      <c r="AC2337" s="38"/>
      <c r="AD2337" s="38"/>
      <c r="AE2337" s="38"/>
      <c r="AF2337" s="38"/>
      <c r="AG2337" s="38"/>
      <c r="AH2337" s="38"/>
      <c r="AI2337" s="38"/>
      <c r="AJ2337" s="38"/>
      <c r="AK2337" s="38"/>
      <c r="AL2337" s="38"/>
      <c r="AM2337" s="38"/>
      <c r="AN2337" s="38"/>
      <c r="AO2337" s="38"/>
      <c r="AP2337" s="38"/>
      <c r="AQ2337" s="38"/>
      <c r="AR2337" s="38"/>
      <c r="AS2337" s="38"/>
      <c r="AT2337" s="38"/>
      <c r="AU2337" s="38"/>
      <c r="AV2337" s="38"/>
      <c r="AW2337" s="38"/>
      <c r="AX2337" s="38"/>
      <c r="AY2337" s="38"/>
      <c r="AZ2337" s="38"/>
      <c r="BA2337" s="38"/>
      <c r="BB2337" s="38"/>
      <c r="BC2337" s="38"/>
      <c r="BD2337" s="38"/>
      <c r="BE2337" s="38"/>
      <c r="BF2337" s="38"/>
      <c r="BG2337" s="38"/>
      <c r="BH2337" s="38"/>
      <c r="BI2337" s="38"/>
      <c r="BJ2337" s="38"/>
      <c r="BK2337" s="38"/>
      <c r="BL2337" s="38"/>
      <c r="BM2337" s="38"/>
      <c r="BN2337" s="38"/>
      <c r="BO2337" s="38"/>
      <c r="BP2337" s="38"/>
      <c r="BQ2337" s="38"/>
    </row>
    <row r="2338">
      <c r="A2338" s="16"/>
      <c r="B2338" s="16"/>
      <c r="C2338" s="146"/>
      <c r="D2338" s="146"/>
      <c r="E2338" s="16"/>
      <c r="F2338" s="91"/>
      <c r="G2338" s="16"/>
      <c r="H2338" s="320" t="str">
        <f t="shared" si="33"/>
        <v/>
      </c>
      <c r="I2338" s="16"/>
      <c r="J2338" s="16"/>
      <c r="K2338" s="16"/>
      <c r="L2338" s="16"/>
      <c r="M2338" s="15"/>
      <c r="N2338" s="15"/>
      <c r="O2338" s="16"/>
      <c r="P2338" s="16"/>
      <c r="Q2338" s="16"/>
      <c r="R2338" s="16"/>
      <c r="S2338" s="37" t="str">
        <f>IFERROR(__xludf.DUMMYFUNCTION("if(not(iserror(index(split(C2338, "" ""),2))), index(split(C2338, "" ""),1),"""")"),"")</f>
        <v/>
      </c>
      <c r="T2338" s="315" t="str">
        <f>IFERROR(__xludf.DUMMYFUNCTION("if(S2338="""",C2338,if(not(iserror(index(split(C2338, "" ""),3))), index(split(C2338, "" ""),3),index(split(C2338, "" ""),2)))"),"")</f>
        <v/>
      </c>
      <c r="U2338" s="38" t="b">
        <f t="shared" si="34"/>
        <v>0</v>
      </c>
      <c r="V2338" s="38"/>
      <c r="W2338" s="40"/>
      <c r="X2338" s="40"/>
      <c r="Y2338" s="38"/>
      <c r="Z2338" s="38"/>
      <c r="AA2338" s="38"/>
      <c r="AB2338" s="38"/>
      <c r="AC2338" s="38"/>
      <c r="AD2338" s="38"/>
      <c r="AE2338" s="38"/>
      <c r="AF2338" s="38"/>
      <c r="AG2338" s="38"/>
      <c r="AH2338" s="38"/>
      <c r="AI2338" s="38"/>
      <c r="AJ2338" s="38"/>
      <c r="AK2338" s="38"/>
      <c r="AL2338" s="38"/>
      <c r="AM2338" s="38"/>
      <c r="AN2338" s="38"/>
      <c r="AO2338" s="38"/>
      <c r="AP2338" s="38"/>
      <c r="AQ2338" s="38"/>
      <c r="AR2338" s="38"/>
      <c r="AS2338" s="38"/>
      <c r="AT2338" s="38"/>
      <c r="AU2338" s="38"/>
      <c r="AV2338" s="38"/>
      <c r="AW2338" s="38"/>
      <c r="AX2338" s="38"/>
      <c r="AY2338" s="38"/>
      <c r="AZ2338" s="38"/>
      <c r="BA2338" s="38"/>
      <c r="BB2338" s="38"/>
      <c r="BC2338" s="38"/>
      <c r="BD2338" s="38"/>
      <c r="BE2338" s="38"/>
      <c r="BF2338" s="38"/>
      <c r="BG2338" s="38"/>
      <c r="BH2338" s="38"/>
      <c r="BI2338" s="38"/>
      <c r="BJ2338" s="38"/>
      <c r="BK2338" s="38"/>
      <c r="BL2338" s="38"/>
      <c r="BM2338" s="38"/>
      <c r="BN2338" s="38"/>
      <c r="BO2338" s="38"/>
      <c r="BP2338" s="38"/>
      <c r="BQ2338" s="38"/>
    </row>
    <row r="2339">
      <c r="A2339" s="16"/>
      <c r="B2339" s="16"/>
      <c r="C2339" s="146"/>
      <c r="D2339" s="146"/>
      <c r="E2339" s="16"/>
      <c r="F2339" s="91"/>
      <c r="G2339" s="16"/>
      <c r="H2339" s="320" t="str">
        <f t="shared" si="33"/>
        <v/>
      </c>
      <c r="I2339" s="16"/>
      <c r="J2339" s="16"/>
      <c r="K2339" s="16"/>
      <c r="L2339" s="16"/>
      <c r="M2339" s="15"/>
      <c r="N2339" s="15"/>
      <c r="O2339" s="16"/>
      <c r="P2339" s="16"/>
      <c r="Q2339" s="16"/>
      <c r="R2339" s="16"/>
      <c r="S2339" s="37" t="str">
        <f>IFERROR(__xludf.DUMMYFUNCTION("if(not(iserror(index(split(C2339, "" ""),2))), index(split(C2339, "" ""),1),"""")"),"")</f>
        <v/>
      </c>
      <c r="T2339" s="315" t="str">
        <f>IFERROR(__xludf.DUMMYFUNCTION("if(S2339="""",C2339,if(not(iserror(index(split(C2339, "" ""),3))), index(split(C2339, "" ""),3),index(split(C2339, "" ""),2)))"),"")</f>
        <v/>
      </c>
      <c r="U2339" s="38" t="b">
        <f t="shared" si="34"/>
        <v>0</v>
      </c>
      <c r="V2339" s="38"/>
      <c r="W2339" s="40"/>
      <c r="X2339" s="40"/>
      <c r="Y2339" s="38"/>
      <c r="Z2339" s="38"/>
      <c r="AA2339" s="38"/>
      <c r="AB2339" s="38"/>
      <c r="AC2339" s="38"/>
      <c r="AD2339" s="38"/>
      <c r="AE2339" s="38"/>
      <c r="AF2339" s="38"/>
      <c r="AG2339" s="38"/>
      <c r="AH2339" s="38"/>
      <c r="AI2339" s="38"/>
      <c r="AJ2339" s="38"/>
      <c r="AK2339" s="38"/>
      <c r="AL2339" s="38"/>
      <c r="AM2339" s="38"/>
      <c r="AN2339" s="38"/>
      <c r="AO2339" s="38"/>
      <c r="AP2339" s="38"/>
      <c r="AQ2339" s="38"/>
      <c r="AR2339" s="38"/>
      <c r="AS2339" s="38"/>
      <c r="AT2339" s="38"/>
      <c r="AU2339" s="38"/>
      <c r="AV2339" s="38"/>
      <c r="AW2339" s="38"/>
      <c r="AX2339" s="38"/>
      <c r="AY2339" s="38"/>
      <c r="AZ2339" s="38"/>
      <c r="BA2339" s="38"/>
      <c r="BB2339" s="38"/>
      <c r="BC2339" s="38"/>
      <c r="BD2339" s="38"/>
      <c r="BE2339" s="38"/>
      <c r="BF2339" s="38"/>
      <c r="BG2339" s="38"/>
      <c r="BH2339" s="38"/>
      <c r="BI2339" s="38"/>
      <c r="BJ2339" s="38"/>
      <c r="BK2339" s="38"/>
      <c r="BL2339" s="38"/>
      <c r="BM2339" s="38"/>
      <c r="BN2339" s="38"/>
      <c r="BO2339" s="38"/>
      <c r="BP2339" s="38"/>
      <c r="BQ2339" s="38"/>
    </row>
    <row r="2340">
      <c r="A2340" s="16"/>
      <c r="B2340" s="16"/>
      <c r="C2340" s="146"/>
      <c r="D2340" s="146"/>
      <c r="E2340" s="16"/>
      <c r="F2340" s="91"/>
      <c r="G2340" s="16"/>
      <c r="H2340" s="320" t="str">
        <f t="shared" si="33"/>
        <v/>
      </c>
      <c r="I2340" s="16"/>
      <c r="J2340" s="16"/>
      <c r="K2340" s="16"/>
      <c r="L2340" s="16"/>
      <c r="M2340" s="15"/>
      <c r="N2340" s="15"/>
      <c r="O2340" s="16"/>
      <c r="P2340" s="16"/>
      <c r="Q2340" s="16"/>
      <c r="R2340" s="16"/>
      <c r="S2340" s="37" t="str">
        <f>IFERROR(__xludf.DUMMYFUNCTION("if(not(iserror(index(split(C2340, "" ""),2))), index(split(C2340, "" ""),1),"""")"),"")</f>
        <v/>
      </c>
      <c r="T2340" s="315" t="str">
        <f>IFERROR(__xludf.DUMMYFUNCTION("if(S2340="""",C2340,if(not(iserror(index(split(C2340, "" ""),3))), index(split(C2340, "" ""),3),index(split(C2340, "" ""),2)))"),"")</f>
        <v/>
      </c>
      <c r="U2340" s="38" t="b">
        <f t="shared" si="34"/>
        <v>0</v>
      </c>
      <c r="V2340" s="38"/>
      <c r="W2340" s="40"/>
      <c r="X2340" s="40"/>
      <c r="Y2340" s="38"/>
      <c r="Z2340" s="38"/>
      <c r="AA2340" s="38"/>
      <c r="AB2340" s="38"/>
      <c r="AC2340" s="38"/>
      <c r="AD2340" s="38"/>
      <c r="AE2340" s="38"/>
      <c r="AF2340" s="38"/>
      <c r="AG2340" s="38"/>
      <c r="AH2340" s="38"/>
      <c r="AI2340" s="38"/>
      <c r="AJ2340" s="38"/>
      <c r="AK2340" s="38"/>
      <c r="AL2340" s="38"/>
      <c r="AM2340" s="38"/>
      <c r="AN2340" s="38"/>
      <c r="AO2340" s="38"/>
      <c r="AP2340" s="38"/>
      <c r="AQ2340" s="38"/>
      <c r="AR2340" s="38"/>
      <c r="AS2340" s="38"/>
      <c r="AT2340" s="38"/>
      <c r="AU2340" s="38"/>
      <c r="AV2340" s="38"/>
      <c r="AW2340" s="38"/>
      <c r="AX2340" s="38"/>
      <c r="AY2340" s="38"/>
      <c r="AZ2340" s="38"/>
      <c r="BA2340" s="38"/>
      <c r="BB2340" s="38"/>
      <c r="BC2340" s="38"/>
      <c r="BD2340" s="38"/>
      <c r="BE2340" s="38"/>
      <c r="BF2340" s="38"/>
      <c r="BG2340" s="38"/>
      <c r="BH2340" s="38"/>
      <c r="BI2340" s="38"/>
      <c r="BJ2340" s="38"/>
      <c r="BK2340" s="38"/>
      <c r="BL2340" s="38"/>
      <c r="BM2340" s="38"/>
      <c r="BN2340" s="38"/>
      <c r="BO2340" s="38"/>
      <c r="BP2340" s="38"/>
      <c r="BQ2340" s="38"/>
    </row>
    <row r="2341">
      <c r="A2341" s="16"/>
      <c r="B2341" s="16"/>
      <c r="C2341" s="146"/>
      <c r="D2341" s="146"/>
      <c r="E2341" s="16"/>
      <c r="F2341" s="91"/>
      <c r="G2341" s="16"/>
      <c r="H2341" s="320" t="str">
        <f t="shared" si="33"/>
        <v/>
      </c>
      <c r="I2341" s="16"/>
      <c r="J2341" s="16"/>
      <c r="K2341" s="16"/>
      <c r="L2341" s="16"/>
      <c r="M2341" s="15"/>
      <c r="N2341" s="15"/>
      <c r="O2341" s="16"/>
      <c r="P2341" s="16"/>
      <c r="Q2341" s="16"/>
      <c r="R2341" s="16"/>
      <c r="S2341" s="37" t="str">
        <f>IFERROR(__xludf.DUMMYFUNCTION("if(not(iserror(index(split(C2341, "" ""),2))), index(split(C2341, "" ""),1),"""")"),"")</f>
        <v/>
      </c>
      <c r="T2341" s="315" t="str">
        <f>IFERROR(__xludf.DUMMYFUNCTION("if(S2341="""",C2341,if(not(iserror(index(split(C2341, "" ""),3))), index(split(C2341, "" ""),3),index(split(C2341, "" ""),2)))"),"")</f>
        <v/>
      </c>
      <c r="U2341" s="38" t="b">
        <f t="shared" si="34"/>
        <v>0</v>
      </c>
      <c r="V2341" s="38"/>
      <c r="W2341" s="40"/>
      <c r="X2341" s="40"/>
      <c r="Y2341" s="38"/>
      <c r="Z2341" s="38"/>
      <c r="AA2341" s="38"/>
      <c r="AB2341" s="38"/>
      <c r="AC2341" s="38"/>
      <c r="AD2341" s="38"/>
      <c r="AE2341" s="38"/>
      <c r="AF2341" s="38"/>
      <c r="AG2341" s="38"/>
      <c r="AH2341" s="38"/>
      <c r="AI2341" s="38"/>
      <c r="AJ2341" s="38"/>
      <c r="AK2341" s="38"/>
      <c r="AL2341" s="38"/>
      <c r="AM2341" s="38"/>
      <c r="AN2341" s="38"/>
      <c r="AO2341" s="38"/>
      <c r="AP2341" s="38"/>
      <c r="AQ2341" s="38"/>
      <c r="AR2341" s="38"/>
      <c r="AS2341" s="38"/>
      <c r="AT2341" s="38"/>
      <c r="AU2341" s="38"/>
      <c r="AV2341" s="38"/>
      <c r="AW2341" s="38"/>
      <c r="AX2341" s="38"/>
      <c r="AY2341" s="38"/>
      <c r="AZ2341" s="38"/>
      <c r="BA2341" s="38"/>
      <c r="BB2341" s="38"/>
      <c r="BC2341" s="38"/>
      <c r="BD2341" s="38"/>
      <c r="BE2341" s="38"/>
      <c r="BF2341" s="38"/>
      <c r="BG2341" s="38"/>
      <c r="BH2341" s="38"/>
      <c r="BI2341" s="38"/>
      <c r="BJ2341" s="38"/>
      <c r="BK2341" s="38"/>
      <c r="BL2341" s="38"/>
      <c r="BM2341" s="38"/>
      <c r="BN2341" s="38"/>
      <c r="BO2341" s="38"/>
      <c r="BP2341" s="38"/>
      <c r="BQ2341" s="38"/>
    </row>
    <row r="2342">
      <c r="A2342" s="16"/>
      <c r="B2342" s="16"/>
      <c r="C2342" s="146"/>
      <c r="D2342" s="146"/>
      <c r="E2342" s="16"/>
      <c r="F2342" s="91"/>
      <c r="G2342" s="16"/>
      <c r="H2342" s="320" t="str">
        <f t="shared" si="33"/>
        <v/>
      </c>
      <c r="I2342" s="16"/>
      <c r="J2342" s="16"/>
      <c r="K2342" s="16"/>
      <c r="L2342" s="16"/>
      <c r="M2342" s="15"/>
      <c r="N2342" s="15"/>
      <c r="O2342" s="16"/>
      <c r="P2342" s="16"/>
      <c r="Q2342" s="16"/>
      <c r="R2342" s="16"/>
      <c r="S2342" s="37" t="str">
        <f>IFERROR(__xludf.DUMMYFUNCTION("if(not(iserror(index(split(C2342, "" ""),2))), index(split(C2342, "" ""),1),"""")"),"")</f>
        <v/>
      </c>
      <c r="T2342" s="315" t="str">
        <f>IFERROR(__xludf.DUMMYFUNCTION("if(S2342="""",C2342,if(not(iserror(index(split(C2342, "" ""),3))), index(split(C2342, "" ""),3),index(split(C2342, "" ""),2)))"),"")</f>
        <v/>
      </c>
      <c r="U2342" s="38" t="b">
        <f t="shared" si="34"/>
        <v>0</v>
      </c>
      <c r="V2342" s="38"/>
      <c r="W2342" s="40"/>
      <c r="X2342" s="40"/>
      <c r="Y2342" s="38"/>
      <c r="Z2342" s="38"/>
      <c r="AA2342" s="38"/>
      <c r="AB2342" s="38"/>
      <c r="AC2342" s="38"/>
      <c r="AD2342" s="38"/>
      <c r="AE2342" s="38"/>
      <c r="AF2342" s="38"/>
      <c r="AG2342" s="38"/>
      <c r="AH2342" s="38"/>
      <c r="AI2342" s="38"/>
      <c r="AJ2342" s="38"/>
      <c r="AK2342" s="38"/>
      <c r="AL2342" s="38"/>
      <c r="AM2342" s="38"/>
      <c r="AN2342" s="38"/>
      <c r="AO2342" s="38"/>
      <c r="AP2342" s="38"/>
      <c r="AQ2342" s="38"/>
      <c r="AR2342" s="38"/>
      <c r="AS2342" s="38"/>
      <c r="AT2342" s="38"/>
      <c r="AU2342" s="38"/>
      <c r="AV2342" s="38"/>
      <c r="AW2342" s="38"/>
      <c r="AX2342" s="38"/>
      <c r="AY2342" s="38"/>
      <c r="AZ2342" s="38"/>
      <c r="BA2342" s="38"/>
      <c r="BB2342" s="38"/>
      <c r="BC2342" s="38"/>
      <c r="BD2342" s="38"/>
      <c r="BE2342" s="38"/>
      <c r="BF2342" s="38"/>
      <c r="BG2342" s="38"/>
      <c r="BH2342" s="38"/>
      <c r="BI2342" s="38"/>
      <c r="BJ2342" s="38"/>
      <c r="BK2342" s="38"/>
      <c r="BL2342" s="38"/>
      <c r="BM2342" s="38"/>
      <c r="BN2342" s="38"/>
      <c r="BO2342" s="38"/>
      <c r="BP2342" s="38"/>
      <c r="BQ2342" s="38"/>
    </row>
    <row r="2343">
      <c r="A2343" s="16"/>
      <c r="B2343" s="16"/>
      <c r="C2343" s="146"/>
      <c r="D2343" s="146"/>
      <c r="E2343" s="16"/>
      <c r="F2343" s="91"/>
      <c r="G2343" s="16"/>
      <c r="H2343" s="320" t="str">
        <f t="shared" si="33"/>
        <v/>
      </c>
      <c r="I2343" s="16"/>
      <c r="J2343" s="16"/>
      <c r="K2343" s="16"/>
      <c r="L2343" s="16"/>
      <c r="M2343" s="15"/>
      <c r="N2343" s="15"/>
      <c r="O2343" s="16"/>
      <c r="P2343" s="16"/>
      <c r="Q2343" s="16"/>
      <c r="R2343" s="16"/>
      <c r="S2343" s="37" t="str">
        <f>IFERROR(__xludf.DUMMYFUNCTION("if(not(iserror(index(split(C2343, "" ""),2))), index(split(C2343, "" ""),1),"""")"),"")</f>
        <v/>
      </c>
      <c r="T2343" s="315" t="str">
        <f>IFERROR(__xludf.DUMMYFUNCTION("if(S2343="""",C2343,if(not(iserror(index(split(C2343, "" ""),3))), index(split(C2343, "" ""),3),index(split(C2343, "" ""),2)))"),"")</f>
        <v/>
      </c>
      <c r="U2343" s="38" t="b">
        <f t="shared" si="34"/>
        <v>0</v>
      </c>
      <c r="V2343" s="38"/>
      <c r="W2343" s="40"/>
      <c r="X2343" s="40"/>
      <c r="Y2343" s="38"/>
      <c r="Z2343" s="38"/>
      <c r="AA2343" s="38"/>
      <c r="AB2343" s="38"/>
      <c r="AC2343" s="38"/>
      <c r="AD2343" s="38"/>
      <c r="AE2343" s="38"/>
      <c r="AF2343" s="38"/>
      <c r="AG2343" s="38"/>
      <c r="AH2343" s="38"/>
      <c r="AI2343" s="38"/>
      <c r="AJ2343" s="38"/>
      <c r="AK2343" s="38"/>
      <c r="AL2343" s="38"/>
      <c r="AM2343" s="38"/>
      <c r="AN2343" s="38"/>
      <c r="AO2343" s="38"/>
      <c r="AP2343" s="38"/>
      <c r="AQ2343" s="38"/>
      <c r="AR2343" s="38"/>
      <c r="AS2343" s="38"/>
      <c r="AT2343" s="38"/>
      <c r="AU2343" s="38"/>
      <c r="AV2343" s="38"/>
      <c r="AW2343" s="38"/>
      <c r="AX2343" s="38"/>
      <c r="AY2343" s="38"/>
      <c r="AZ2343" s="38"/>
      <c r="BA2343" s="38"/>
      <c r="BB2343" s="38"/>
      <c r="BC2343" s="38"/>
      <c r="BD2343" s="38"/>
      <c r="BE2343" s="38"/>
      <c r="BF2343" s="38"/>
      <c r="BG2343" s="38"/>
      <c r="BH2343" s="38"/>
      <c r="BI2343" s="38"/>
      <c r="BJ2343" s="38"/>
      <c r="BK2343" s="38"/>
      <c r="BL2343" s="38"/>
      <c r="BM2343" s="38"/>
      <c r="BN2343" s="38"/>
      <c r="BO2343" s="38"/>
      <c r="BP2343" s="38"/>
      <c r="BQ2343" s="38"/>
    </row>
    <row r="2344">
      <c r="A2344" s="16"/>
      <c r="B2344" s="16"/>
      <c r="C2344" s="146"/>
      <c r="D2344" s="146"/>
      <c r="E2344" s="16"/>
      <c r="F2344" s="91"/>
      <c r="G2344" s="16"/>
      <c r="H2344" s="320" t="str">
        <f t="shared" si="33"/>
        <v/>
      </c>
      <c r="I2344" s="16"/>
      <c r="J2344" s="16"/>
      <c r="K2344" s="16"/>
      <c r="L2344" s="16"/>
      <c r="M2344" s="15"/>
      <c r="N2344" s="15"/>
      <c r="O2344" s="16"/>
      <c r="P2344" s="16"/>
      <c r="Q2344" s="16"/>
      <c r="R2344" s="16"/>
      <c r="S2344" s="37" t="str">
        <f>IFERROR(__xludf.DUMMYFUNCTION("if(not(iserror(index(split(C2344, "" ""),2))), index(split(C2344, "" ""),1),"""")"),"")</f>
        <v/>
      </c>
      <c r="T2344" s="315" t="str">
        <f>IFERROR(__xludf.DUMMYFUNCTION("if(S2344="""",C2344,if(not(iserror(index(split(C2344, "" ""),3))), index(split(C2344, "" ""),3),index(split(C2344, "" ""),2)))"),"")</f>
        <v/>
      </c>
      <c r="U2344" s="38" t="b">
        <f t="shared" si="34"/>
        <v>0</v>
      </c>
      <c r="V2344" s="38"/>
      <c r="W2344" s="40"/>
      <c r="X2344" s="40"/>
      <c r="Y2344" s="38"/>
      <c r="Z2344" s="38"/>
      <c r="AA2344" s="38"/>
      <c r="AB2344" s="38"/>
      <c r="AC2344" s="38"/>
      <c r="AD2344" s="38"/>
      <c r="AE2344" s="38"/>
      <c r="AF2344" s="38"/>
      <c r="AG2344" s="38"/>
      <c r="AH2344" s="38"/>
      <c r="AI2344" s="38"/>
      <c r="AJ2344" s="38"/>
      <c r="AK2344" s="38"/>
      <c r="AL2344" s="38"/>
      <c r="AM2344" s="38"/>
      <c r="AN2344" s="38"/>
      <c r="AO2344" s="38"/>
      <c r="AP2344" s="38"/>
      <c r="AQ2344" s="38"/>
      <c r="AR2344" s="38"/>
      <c r="AS2344" s="38"/>
      <c r="AT2344" s="38"/>
      <c r="AU2344" s="38"/>
      <c r="AV2344" s="38"/>
      <c r="AW2344" s="38"/>
      <c r="AX2344" s="38"/>
      <c r="AY2344" s="38"/>
      <c r="AZ2344" s="38"/>
      <c r="BA2344" s="38"/>
      <c r="BB2344" s="38"/>
      <c r="BC2344" s="38"/>
      <c r="BD2344" s="38"/>
      <c r="BE2344" s="38"/>
      <c r="BF2344" s="38"/>
      <c r="BG2344" s="38"/>
      <c r="BH2344" s="38"/>
      <c r="BI2344" s="38"/>
      <c r="BJ2344" s="38"/>
      <c r="BK2344" s="38"/>
      <c r="BL2344" s="38"/>
      <c r="BM2344" s="38"/>
      <c r="BN2344" s="38"/>
      <c r="BO2344" s="38"/>
      <c r="BP2344" s="38"/>
      <c r="BQ2344" s="38"/>
    </row>
    <row r="2345">
      <c r="A2345" s="16"/>
      <c r="B2345" s="16"/>
      <c r="C2345" s="146"/>
      <c r="D2345" s="146"/>
      <c r="E2345" s="16"/>
      <c r="F2345" s="91"/>
      <c r="G2345" s="16"/>
      <c r="H2345" s="320" t="str">
        <f t="shared" si="33"/>
        <v/>
      </c>
      <c r="I2345" s="16"/>
      <c r="J2345" s="16"/>
      <c r="K2345" s="16"/>
      <c r="L2345" s="16"/>
      <c r="M2345" s="15"/>
      <c r="N2345" s="15"/>
      <c r="O2345" s="16"/>
      <c r="P2345" s="16"/>
      <c r="Q2345" s="16"/>
      <c r="R2345" s="16"/>
      <c r="S2345" s="37" t="str">
        <f>IFERROR(__xludf.DUMMYFUNCTION("if(not(iserror(index(split(C2345, "" ""),2))), index(split(C2345, "" ""),1),"""")"),"")</f>
        <v/>
      </c>
      <c r="T2345" s="315" t="str">
        <f>IFERROR(__xludf.DUMMYFUNCTION("if(S2345="""",C2345,if(not(iserror(index(split(C2345, "" ""),3))), index(split(C2345, "" ""),3),index(split(C2345, "" ""),2)))"),"")</f>
        <v/>
      </c>
      <c r="U2345" s="38" t="b">
        <f t="shared" si="34"/>
        <v>0</v>
      </c>
      <c r="V2345" s="38"/>
      <c r="W2345" s="40"/>
      <c r="X2345" s="40"/>
      <c r="Y2345" s="38"/>
      <c r="Z2345" s="38"/>
      <c r="AA2345" s="38"/>
      <c r="AB2345" s="38"/>
      <c r="AC2345" s="38"/>
      <c r="AD2345" s="38"/>
      <c r="AE2345" s="38"/>
      <c r="AF2345" s="38"/>
      <c r="AG2345" s="38"/>
      <c r="AH2345" s="38"/>
      <c r="AI2345" s="38"/>
      <c r="AJ2345" s="38"/>
      <c r="AK2345" s="38"/>
      <c r="AL2345" s="38"/>
      <c r="AM2345" s="38"/>
      <c r="AN2345" s="38"/>
      <c r="AO2345" s="38"/>
      <c r="AP2345" s="38"/>
      <c r="AQ2345" s="38"/>
      <c r="AR2345" s="38"/>
      <c r="AS2345" s="38"/>
      <c r="AT2345" s="38"/>
      <c r="AU2345" s="38"/>
      <c r="AV2345" s="38"/>
      <c r="AW2345" s="38"/>
      <c r="AX2345" s="38"/>
      <c r="AY2345" s="38"/>
      <c r="AZ2345" s="38"/>
      <c r="BA2345" s="38"/>
      <c r="BB2345" s="38"/>
      <c r="BC2345" s="38"/>
      <c r="BD2345" s="38"/>
      <c r="BE2345" s="38"/>
      <c r="BF2345" s="38"/>
      <c r="BG2345" s="38"/>
      <c r="BH2345" s="38"/>
      <c r="BI2345" s="38"/>
      <c r="BJ2345" s="38"/>
      <c r="BK2345" s="38"/>
      <c r="BL2345" s="38"/>
      <c r="BM2345" s="38"/>
      <c r="BN2345" s="38"/>
      <c r="BO2345" s="38"/>
      <c r="BP2345" s="38"/>
      <c r="BQ2345" s="38"/>
    </row>
    <row r="2346">
      <c r="A2346" s="16"/>
      <c r="B2346" s="16"/>
      <c r="C2346" s="146"/>
      <c r="D2346" s="146"/>
      <c r="E2346" s="16"/>
      <c r="F2346" s="91"/>
      <c r="G2346" s="16"/>
      <c r="H2346" s="320" t="str">
        <f t="shared" si="33"/>
        <v/>
      </c>
      <c r="I2346" s="16"/>
      <c r="J2346" s="16"/>
      <c r="K2346" s="16"/>
      <c r="L2346" s="16"/>
      <c r="M2346" s="15"/>
      <c r="N2346" s="15"/>
      <c r="O2346" s="16"/>
      <c r="P2346" s="16"/>
      <c r="Q2346" s="16"/>
      <c r="R2346" s="16"/>
      <c r="S2346" s="37" t="str">
        <f>IFERROR(__xludf.DUMMYFUNCTION("if(not(iserror(index(split(C2346, "" ""),2))), index(split(C2346, "" ""),1),"""")"),"")</f>
        <v/>
      </c>
      <c r="T2346" s="315" t="str">
        <f>IFERROR(__xludf.DUMMYFUNCTION("if(S2346="""",C2346,if(not(iserror(index(split(C2346, "" ""),3))), index(split(C2346, "" ""),3),index(split(C2346, "" ""),2)))"),"")</f>
        <v/>
      </c>
      <c r="U2346" s="38" t="b">
        <f t="shared" si="34"/>
        <v>0</v>
      </c>
      <c r="V2346" s="38"/>
      <c r="W2346" s="40"/>
      <c r="X2346" s="40"/>
      <c r="Y2346" s="38"/>
      <c r="Z2346" s="38"/>
      <c r="AA2346" s="38"/>
      <c r="AB2346" s="38"/>
      <c r="AC2346" s="38"/>
      <c r="AD2346" s="38"/>
      <c r="AE2346" s="38"/>
      <c r="AF2346" s="38"/>
      <c r="AG2346" s="38"/>
      <c r="AH2346" s="38"/>
      <c r="AI2346" s="38"/>
      <c r="AJ2346" s="38"/>
      <c r="AK2346" s="38"/>
      <c r="AL2346" s="38"/>
      <c r="AM2346" s="38"/>
      <c r="AN2346" s="38"/>
      <c r="AO2346" s="38"/>
      <c r="AP2346" s="38"/>
      <c r="AQ2346" s="38"/>
      <c r="AR2346" s="38"/>
      <c r="AS2346" s="38"/>
      <c r="AT2346" s="38"/>
      <c r="AU2346" s="38"/>
      <c r="AV2346" s="38"/>
      <c r="AW2346" s="38"/>
      <c r="AX2346" s="38"/>
      <c r="AY2346" s="38"/>
      <c r="AZ2346" s="38"/>
      <c r="BA2346" s="38"/>
      <c r="BB2346" s="38"/>
      <c r="BC2346" s="38"/>
      <c r="BD2346" s="38"/>
      <c r="BE2346" s="38"/>
      <c r="BF2346" s="38"/>
      <c r="BG2346" s="38"/>
      <c r="BH2346" s="38"/>
      <c r="BI2346" s="38"/>
      <c r="BJ2346" s="38"/>
      <c r="BK2346" s="38"/>
      <c r="BL2346" s="38"/>
      <c r="BM2346" s="38"/>
      <c r="BN2346" s="38"/>
      <c r="BO2346" s="38"/>
      <c r="BP2346" s="38"/>
      <c r="BQ2346" s="38"/>
    </row>
    <row r="2347">
      <c r="A2347" s="16"/>
      <c r="B2347" s="16"/>
      <c r="C2347" s="146"/>
      <c r="D2347" s="146"/>
      <c r="E2347" s="16"/>
      <c r="F2347" s="91"/>
      <c r="G2347" s="16"/>
      <c r="H2347" s="320" t="str">
        <f t="shared" si="33"/>
        <v/>
      </c>
      <c r="I2347" s="16"/>
      <c r="J2347" s="16"/>
      <c r="K2347" s="16"/>
      <c r="L2347" s="16"/>
      <c r="M2347" s="15"/>
      <c r="N2347" s="15"/>
      <c r="O2347" s="16"/>
      <c r="P2347" s="16"/>
      <c r="Q2347" s="16"/>
      <c r="R2347" s="16"/>
      <c r="S2347" s="37" t="str">
        <f>IFERROR(__xludf.DUMMYFUNCTION("if(not(iserror(index(split(C2347, "" ""),2))), index(split(C2347, "" ""),1),"""")"),"")</f>
        <v/>
      </c>
      <c r="T2347" s="315" t="str">
        <f>IFERROR(__xludf.DUMMYFUNCTION("if(S2347="""",C2347,if(not(iserror(index(split(C2347, "" ""),3))), index(split(C2347, "" ""),3),index(split(C2347, "" ""),2)))"),"")</f>
        <v/>
      </c>
      <c r="U2347" s="38" t="b">
        <f t="shared" si="34"/>
        <v>0</v>
      </c>
      <c r="V2347" s="38"/>
      <c r="W2347" s="40"/>
      <c r="X2347" s="40"/>
      <c r="Y2347" s="38"/>
      <c r="Z2347" s="38"/>
      <c r="AA2347" s="38"/>
      <c r="AB2347" s="38"/>
      <c r="AC2347" s="38"/>
      <c r="AD2347" s="38"/>
      <c r="AE2347" s="38"/>
      <c r="AF2347" s="38"/>
      <c r="AG2347" s="38"/>
      <c r="AH2347" s="38"/>
      <c r="AI2347" s="38"/>
      <c r="AJ2347" s="38"/>
      <c r="AK2347" s="38"/>
      <c r="AL2347" s="38"/>
      <c r="AM2347" s="38"/>
      <c r="AN2347" s="38"/>
      <c r="AO2347" s="38"/>
      <c r="AP2347" s="38"/>
      <c r="AQ2347" s="38"/>
      <c r="AR2347" s="38"/>
      <c r="AS2347" s="38"/>
      <c r="AT2347" s="38"/>
      <c r="AU2347" s="38"/>
      <c r="AV2347" s="38"/>
      <c r="AW2347" s="38"/>
      <c r="AX2347" s="38"/>
      <c r="AY2347" s="38"/>
      <c r="AZ2347" s="38"/>
      <c r="BA2347" s="38"/>
      <c r="BB2347" s="38"/>
      <c r="BC2347" s="38"/>
      <c r="BD2347" s="38"/>
      <c r="BE2347" s="38"/>
      <c r="BF2347" s="38"/>
      <c r="BG2347" s="38"/>
      <c r="BH2347" s="38"/>
      <c r="BI2347" s="38"/>
      <c r="BJ2347" s="38"/>
      <c r="BK2347" s="38"/>
      <c r="BL2347" s="38"/>
      <c r="BM2347" s="38"/>
      <c r="BN2347" s="38"/>
      <c r="BO2347" s="38"/>
      <c r="BP2347" s="38"/>
      <c r="BQ2347" s="38"/>
    </row>
    <row r="2348">
      <c r="A2348" s="16"/>
      <c r="B2348" s="16"/>
      <c r="C2348" s="146"/>
      <c r="D2348" s="146"/>
      <c r="E2348" s="16"/>
      <c r="F2348" s="91"/>
      <c r="G2348" s="16"/>
      <c r="H2348" s="320" t="str">
        <f t="shared" si="33"/>
        <v/>
      </c>
      <c r="I2348" s="16"/>
      <c r="J2348" s="16"/>
      <c r="K2348" s="16"/>
      <c r="L2348" s="16"/>
      <c r="M2348" s="15"/>
      <c r="N2348" s="15"/>
      <c r="O2348" s="16"/>
      <c r="P2348" s="16"/>
      <c r="Q2348" s="16"/>
      <c r="R2348" s="16"/>
      <c r="S2348" s="37" t="str">
        <f>IFERROR(__xludf.DUMMYFUNCTION("if(not(iserror(index(split(C2348, "" ""),2))), index(split(C2348, "" ""),1),"""")"),"")</f>
        <v/>
      </c>
      <c r="T2348" s="315" t="str">
        <f>IFERROR(__xludf.DUMMYFUNCTION("if(S2348="""",C2348,if(not(iserror(index(split(C2348, "" ""),3))), index(split(C2348, "" ""),3),index(split(C2348, "" ""),2)))"),"")</f>
        <v/>
      </c>
      <c r="U2348" s="38" t="b">
        <f t="shared" si="34"/>
        <v>0</v>
      </c>
      <c r="V2348" s="38"/>
      <c r="W2348" s="40"/>
      <c r="X2348" s="40"/>
      <c r="Y2348" s="38"/>
      <c r="Z2348" s="38"/>
      <c r="AA2348" s="38"/>
      <c r="AB2348" s="38"/>
      <c r="AC2348" s="38"/>
      <c r="AD2348" s="38"/>
      <c r="AE2348" s="38"/>
      <c r="AF2348" s="38"/>
      <c r="AG2348" s="38"/>
      <c r="AH2348" s="38"/>
      <c r="AI2348" s="38"/>
      <c r="AJ2348" s="38"/>
      <c r="AK2348" s="38"/>
      <c r="AL2348" s="38"/>
      <c r="AM2348" s="38"/>
      <c r="AN2348" s="38"/>
      <c r="AO2348" s="38"/>
      <c r="AP2348" s="38"/>
      <c r="AQ2348" s="38"/>
      <c r="AR2348" s="38"/>
      <c r="AS2348" s="38"/>
      <c r="AT2348" s="38"/>
      <c r="AU2348" s="38"/>
      <c r="AV2348" s="38"/>
      <c r="AW2348" s="38"/>
      <c r="AX2348" s="38"/>
      <c r="AY2348" s="38"/>
      <c r="AZ2348" s="38"/>
      <c r="BA2348" s="38"/>
      <c r="BB2348" s="38"/>
      <c r="BC2348" s="38"/>
      <c r="BD2348" s="38"/>
      <c r="BE2348" s="38"/>
      <c r="BF2348" s="38"/>
      <c r="BG2348" s="38"/>
      <c r="BH2348" s="38"/>
      <c r="BI2348" s="38"/>
      <c r="BJ2348" s="38"/>
      <c r="BK2348" s="38"/>
      <c r="BL2348" s="38"/>
      <c r="BM2348" s="38"/>
      <c r="BN2348" s="38"/>
      <c r="BO2348" s="38"/>
      <c r="BP2348" s="38"/>
      <c r="BQ2348" s="38"/>
    </row>
    <row r="2349">
      <c r="A2349" s="16"/>
      <c r="B2349" s="16"/>
      <c r="C2349" s="146"/>
      <c r="D2349" s="146"/>
      <c r="E2349" s="16"/>
      <c r="F2349" s="91"/>
      <c r="G2349" s="16"/>
      <c r="H2349" s="320" t="str">
        <f t="shared" si="33"/>
        <v/>
      </c>
      <c r="I2349" s="16"/>
      <c r="J2349" s="16"/>
      <c r="K2349" s="16"/>
      <c r="L2349" s="16"/>
      <c r="M2349" s="15"/>
      <c r="N2349" s="15"/>
      <c r="O2349" s="16"/>
      <c r="P2349" s="16"/>
      <c r="Q2349" s="16"/>
      <c r="R2349" s="16"/>
      <c r="S2349" s="37" t="str">
        <f>IFERROR(__xludf.DUMMYFUNCTION("if(not(iserror(index(split(C2349, "" ""),2))), index(split(C2349, "" ""),1),"""")"),"")</f>
        <v/>
      </c>
      <c r="T2349" s="315" t="str">
        <f>IFERROR(__xludf.DUMMYFUNCTION("if(S2349="""",C2349,if(not(iserror(index(split(C2349, "" ""),3))), index(split(C2349, "" ""),3),index(split(C2349, "" ""),2)))"),"")</f>
        <v/>
      </c>
      <c r="U2349" s="38" t="b">
        <f t="shared" si="34"/>
        <v>0</v>
      </c>
      <c r="V2349" s="38"/>
      <c r="W2349" s="40"/>
      <c r="X2349" s="40"/>
      <c r="Y2349" s="38"/>
      <c r="Z2349" s="38"/>
      <c r="AA2349" s="38"/>
      <c r="AB2349" s="38"/>
      <c r="AC2349" s="38"/>
      <c r="AD2349" s="38"/>
      <c r="AE2349" s="38"/>
      <c r="AF2349" s="38"/>
      <c r="AG2349" s="38"/>
      <c r="AH2349" s="38"/>
      <c r="AI2349" s="38"/>
      <c r="AJ2349" s="38"/>
      <c r="AK2349" s="38"/>
      <c r="AL2349" s="38"/>
      <c r="AM2349" s="38"/>
      <c r="AN2349" s="38"/>
      <c r="AO2349" s="38"/>
      <c r="AP2349" s="38"/>
      <c r="AQ2349" s="38"/>
      <c r="AR2349" s="38"/>
      <c r="AS2349" s="38"/>
      <c r="AT2349" s="38"/>
      <c r="AU2349" s="38"/>
      <c r="AV2349" s="38"/>
      <c r="AW2349" s="38"/>
      <c r="AX2349" s="38"/>
      <c r="AY2349" s="38"/>
      <c r="AZ2349" s="38"/>
      <c r="BA2349" s="38"/>
      <c r="BB2349" s="38"/>
      <c r="BC2349" s="38"/>
      <c r="BD2349" s="38"/>
      <c r="BE2349" s="38"/>
      <c r="BF2349" s="38"/>
      <c r="BG2349" s="38"/>
      <c r="BH2349" s="38"/>
      <c r="BI2349" s="38"/>
      <c r="BJ2349" s="38"/>
      <c r="BK2349" s="38"/>
      <c r="BL2349" s="38"/>
      <c r="BM2349" s="38"/>
      <c r="BN2349" s="38"/>
      <c r="BO2349" s="38"/>
      <c r="BP2349" s="38"/>
      <c r="BQ2349" s="38"/>
    </row>
    <row r="2350">
      <c r="A2350" s="16"/>
      <c r="B2350" s="16"/>
      <c r="C2350" s="146"/>
      <c r="D2350" s="146"/>
      <c r="E2350" s="16"/>
      <c r="F2350" s="91"/>
      <c r="G2350" s="16"/>
      <c r="H2350" s="320" t="str">
        <f t="shared" si="33"/>
        <v/>
      </c>
      <c r="I2350" s="16"/>
      <c r="J2350" s="16"/>
      <c r="K2350" s="16"/>
      <c r="L2350" s="16"/>
      <c r="M2350" s="15"/>
      <c r="N2350" s="15"/>
      <c r="O2350" s="16"/>
      <c r="P2350" s="16"/>
      <c r="Q2350" s="16"/>
      <c r="R2350" s="16"/>
      <c r="S2350" s="37" t="str">
        <f>IFERROR(__xludf.DUMMYFUNCTION("if(not(iserror(index(split(C2350, "" ""),2))), index(split(C2350, "" ""),1),"""")"),"")</f>
        <v/>
      </c>
      <c r="T2350" s="315" t="str">
        <f>IFERROR(__xludf.DUMMYFUNCTION("if(S2350="""",C2350,if(not(iserror(index(split(C2350, "" ""),3))), index(split(C2350, "" ""),3),index(split(C2350, "" ""),2)))"),"")</f>
        <v/>
      </c>
      <c r="U2350" s="38" t="b">
        <f t="shared" si="34"/>
        <v>0</v>
      </c>
      <c r="V2350" s="38"/>
      <c r="W2350" s="40"/>
      <c r="X2350" s="40"/>
      <c r="Y2350" s="38"/>
      <c r="Z2350" s="38"/>
      <c r="AA2350" s="38"/>
      <c r="AB2350" s="38"/>
      <c r="AC2350" s="38"/>
      <c r="AD2350" s="38"/>
      <c r="AE2350" s="38"/>
      <c r="AF2350" s="38"/>
      <c r="AG2350" s="38"/>
      <c r="AH2350" s="38"/>
      <c r="AI2350" s="38"/>
      <c r="AJ2350" s="38"/>
      <c r="AK2350" s="38"/>
      <c r="AL2350" s="38"/>
      <c r="AM2350" s="38"/>
      <c r="AN2350" s="38"/>
      <c r="AO2350" s="38"/>
      <c r="AP2350" s="38"/>
      <c r="AQ2350" s="38"/>
      <c r="AR2350" s="38"/>
      <c r="AS2350" s="38"/>
      <c r="AT2350" s="38"/>
      <c r="AU2350" s="38"/>
      <c r="AV2350" s="38"/>
      <c r="AW2350" s="38"/>
      <c r="AX2350" s="38"/>
      <c r="AY2350" s="38"/>
      <c r="AZ2350" s="38"/>
      <c r="BA2350" s="38"/>
      <c r="BB2350" s="38"/>
      <c r="BC2350" s="38"/>
      <c r="BD2350" s="38"/>
      <c r="BE2350" s="38"/>
      <c r="BF2350" s="38"/>
      <c r="BG2350" s="38"/>
      <c r="BH2350" s="38"/>
      <c r="BI2350" s="38"/>
      <c r="BJ2350" s="38"/>
      <c r="BK2350" s="38"/>
      <c r="BL2350" s="38"/>
      <c r="BM2350" s="38"/>
      <c r="BN2350" s="38"/>
      <c r="BO2350" s="38"/>
      <c r="BP2350" s="38"/>
      <c r="BQ2350" s="38"/>
    </row>
    <row r="2351">
      <c r="A2351" s="16"/>
      <c r="B2351" s="16"/>
      <c r="C2351" s="146"/>
      <c r="D2351" s="146"/>
      <c r="E2351" s="16"/>
      <c r="F2351" s="91"/>
      <c r="G2351" s="16"/>
      <c r="H2351" s="320" t="str">
        <f t="shared" si="33"/>
        <v/>
      </c>
      <c r="I2351" s="16"/>
      <c r="J2351" s="16"/>
      <c r="K2351" s="16"/>
      <c r="L2351" s="16"/>
      <c r="M2351" s="15"/>
      <c r="N2351" s="15"/>
      <c r="O2351" s="16"/>
      <c r="P2351" s="16"/>
      <c r="Q2351" s="16"/>
      <c r="R2351" s="16"/>
      <c r="S2351" s="37" t="str">
        <f>IFERROR(__xludf.DUMMYFUNCTION("if(not(iserror(index(split(C2351, "" ""),2))), index(split(C2351, "" ""),1),"""")"),"")</f>
        <v/>
      </c>
      <c r="T2351" s="315" t="str">
        <f>IFERROR(__xludf.DUMMYFUNCTION("if(S2351="""",C2351,if(not(iserror(index(split(C2351, "" ""),3))), index(split(C2351, "" ""),3),index(split(C2351, "" ""),2)))"),"")</f>
        <v/>
      </c>
      <c r="U2351" s="38" t="b">
        <f t="shared" si="34"/>
        <v>0</v>
      </c>
      <c r="V2351" s="38"/>
      <c r="W2351" s="40"/>
      <c r="X2351" s="40"/>
      <c r="Y2351" s="38"/>
      <c r="Z2351" s="38"/>
      <c r="AA2351" s="38"/>
      <c r="AB2351" s="38"/>
      <c r="AC2351" s="38"/>
      <c r="AD2351" s="38"/>
      <c r="AE2351" s="38"/>
      <c r="AF2351" s="38"/>
      <c r="AG2351" s="38"/>
      <c r="AH2351" s="38"/>
      <c r="AI2351" s="38"/>
      <c r="AJ2351" s="38"/>
      <c r="AK2351" s="38"/>
      <c r="AL2351" s="38"/>
      <c r="AM2351" s="38"/>
      <c r="AN2351" s="38"/>
      <c r="AO2351" s="38"/>
      <c r="AP2351" s="38"/>
      <c r="AQ2351" s="38"/>
      <c r="AR2351" s="38"/>
      <c r="AS2351" s="38"/>
      <c r="AT2351" s="38"/>
      <c r="AU2351" s="38"/>
      <c r="AV2351" s="38"/>
      <c r="AW2351" s="38"/>
      <c r="AX2351" s="38"/>
      <c r="AY2351" s="38"/>
      <c r="AZ2351" s="38"/>
      <c r="BA2351" s="38"/>
      <c r="BB2351" s="38"/>
      <c r="BC2351" s="38"/>
      <c r="BD2351" s="38"/>
      <c r="BE2351" s="38"/>
      <c r="BF2351" s="38"/>
      <c r="BG2351" s="38"/>
      <c r="BH2351" s="38"/>
      <c r="BI2351" s="38"/>
      <c r="BJ2351" s="38"/>
      <c r="BK2351" s="38"/>
      <c r="BL2351" s="38"/>
      <c r="BM2351" s="38"/>
      <c r="BN2351" s="38"/>
      <c r="BO2351" s="38"/>
      <c r="BP2351" s="38"/>
      <c r="BQ2351" s="38"/>
    </row>
    <row r="2352">
      <c r="A2352" s="16"/>
      <c r="B2352" s="16"/>
      <c r="C2352" s="146"/>
      <c r="D2352" s="146"/>
      <c r="E2352" s="16"/>
      <c r="F2352" s="91"/>
      <c r="G2352" s="16"/>
      <c r="H2352" s="320" t="str">
        <f t="shared" si="33"/>
        <v/>
      </c>
      <c r="I2352" s="16"/>
      <c r="J2352" s="16"/>
      <c r="K2352" s="16"/>
      <c r="L2352" s="16"/>
      <c r="M2352" s="15"/>
      <c r="N2352" s="15"/>
      <c r="O2352" s="16"/>
      <c r="P2352" s="16"/>
      <c r="Q2352" s="16"/>
      <c r="R2352" s="16"/>
      <c r="S2352" s="37" t="str">
        <f>IFERROR(__xludf.DUMMYFUNCTION("if(not(iserror(index(split(C2352, "" ""),2))), index(split(C2352, "" ""),1),"""")"),"")</f>
        <v/>
      </c>
      <c r="T2352" s="315" t="str">
        <f>IFERROR(__xludf.DUMMYFUNCTION("if(S2352="""",C2352,if(not(iserror(index(split(C2352, "" ""),3))), index(split(C2352, "" ""),3),index(split(C2352, "" ""),2)))"),"")</f>
        <v/>
      </c>
      <c r="U2352" s="38" t="b">
        <f t="shared" si="34"/>
        <v>0</v>
      </c>
      <c r="V2352" s="38"/>
      <c r="W2352" s="40"/>
      <c r="X2352" s="40"/>
      <c r="Y2352" s="38"/>
      <c r="Z2352" s="38"/>
      <c r="AA2352" s="38"/>
      <c r="AB2352" s="38"/>
      <c r="AC2352" s="38"/>
      <c r="AD2352" s="38"/>
      <c r="AE2352" s="38"/>
      <c r="AF2352" s="38"/>
      <c r="AG2352" s="38"/>
      <c r="AH2352" s="38"/>
      <c r="AI2352" s="38"/>
      <c r="AJ2352" s="38"/>
      <c r="AK2352" s="38"/>
      <c r="AL2352" s="38"/>
      <c r="AM2352" s="38"/>
      <c r="AN2352" s="38"/>
      <c r="AO2352" s="38"/>
      <c r="AP2352" s="38"/>
      <c r="AQ2352" s="38"/>
      <c r="AR2352" s="38"/>
      <c r="AS2352" s="38"/>
      <c r="AT2352" s="38"/>
      <c r="AU2352" s="38"/>
      <c r="AV2352" s="38"/>
      <c r="AW2352" s="38"/>
      <c r="AX2352" s="38"/>
      <c r="AY2352" s="38"/>
      <c r="AZ2352" s="38"/>
      <c r="BA2352" s="38"/>
      <c r="BB2352" s="38"/>
      <c r="BC2352" s="38"/>
      <c r="BD2352" s="38"/>
      <c r="BE2352" s="38"/>
      <c r="BF2352" s="38"/>
      <c r="BG2352" s="38"/>
      <c r="BH2352" s="38"/>
      <c r="BI2352" s="38"/>
      <c r="BJ2352" s="38"/>
      <c r="BK2352" s="38"/>
      <c r="BL2352" s="38"/>
      <c r="BM2352" s="38"/>
      <c r="BN2352" s="38"/>
      <c r="BO2352" s="38"/>
      <c r="BP2352" s="38"/>
      <c r="BQ2352" s="38"/>
    </row>
    <row r="2353">
      <c r="A2353" s="16"/>
      <c r="B2353" s="16"/>
      <c r="C2353" s="146"/>
      <c r="D2353" s="146"/>
      <c r="E2353" s="16"/>
      <c r="F2353" s="91"/>
      <c r="G2353" s="16"/>
      <c r="H2353" s="320" t="str">
        <f t="shared" si="33"/>
        <v/>
      </c>
      <c r="I2353" s="16"/>
      <c r="J2353" s="16"/>
      <c r="K2353" s="16"/>
      <c r="L2353" s="16"/>
      <c r="M2353" s="15"/>
      <c r="N2353" s="15"/>
      <c r="O2353" s="16"/>
      <c r="P2353" s="16"/>
      <c r="Q2353" s="16"/>
      <c r="R2353" s="16"/>
      <c r="S2353" s="37" t="str">
        <f>IFERROR(__xludf.DUMMYFUNCTION("if(not(iserror(index(split(C2353, "" ""),2))), index(split(C2353, "" ""),1),"""")"),"")</f>
        <v/>
      </c>
      <c r="T2353" s="315" t="str">
        <f>IFERROR(__xludf.DUMMYFUNCTION("if(S2353="""",C2353,if(not(iserror(index(split(C2353, "" ""),3))), index(split(C2353, "" ""),3),index(split(C2353, "" ""),2)))"),"")</f>
        <v/>
      </c>
      <c r="U2353" s="38" t="b">
        <f t="shared" si="34"/>
        <v>0</v>
      </c>
      <c r="V2353" s="38"/>
      <c r="W2353" s="40"/>
      <c r="X2353" s="40"/>
      <c r="Y2353" s="38"/>
      <c r="Z2353" s="38"/>
      <c r="AA2353" s="38"/>
      <c r="AB2353" s="38"/>
      <c r="AC2353" s="38"/>
      <c r="AD2353" s="38"/>
      <c r="AE2353" s="38"/>
      <c r="AF2353" s="38"/>
      <c r="AG2353" s="38"/>
      <c r="AH2353" s="38"/>
      <c r="AI2353" s="38"/>
      <c r="AJ2353" s="38"/>
      <c r="AK2353" s="38"/>
      <c r="AL2353" s="38"/>
      <c r="AM2353" s="38"/>
      <c r="AN2353" s="38"/>
      <c r="AO2353" s="38"/>
      <c r="AP2353" s="38"/>
      <c r="AQ2353" s="38"/>
      <c r="AR2353" s="38"/>
      <c r="AS2353" s="38"/>
      <c r="AT2353" s="38"/>
      <c r="AU2353" s="38"/>
      <c r="AV2353" s="38"/>
      <c r="AW2353" s="38"/>
      <c r="AX2353" s="38"/>
      <c r="AY2353" s="38"/>
      <c r="AZ2353" s="38"/>
      <c r="BA2353" s="38"/>
      <c r="BB2353" s="38"/>
      <c r="BC2353" s="38"/>
      <c r="BD2353" s="38"/>
      <c r="BE2353" s="38"/>
      <c r="BF2353" s="38"/>
      <c r="BG2353" s="38"/>
      <c r="BH2353" s="38"/>
      <c r="BI2353" s="38"/>
      <c r="BJ2353" s="38"/>
      <c r="BK2353" s="38"/>
      <c r="BL2353" s="38"/>
      <c r="BM2353" s="38"/>
      <c r="BN2353" s="38"/>
      <c r="BO2353" s="38"/>
      <c r="BP2353" s="38"/>
      <c r="BQ2353" s="38"/>
    </row>
    <row r="2354">
      <c r="A2354" s="16"/>
      <c r="B2354" s="16"/>
      <c r="C2354" s="146"/>
      <c r="D2354" s="146"/>
      <c r="E2354" s="16"/>
      <c r="F2354" s="91"/>
      <c r="G2354" s="16"/>
      <c r="H2354" s="320" t="str">
        <f t="shared" si="33"/>
        <v/>
      </c>
      <c r="I2354" s="16"/>
      <c r="J2354" s="16"/>
      <c r="K2354" s="16"/>
      <c r="L2354" s="16"/>
      <c r="M2354" s="15"/>
      <c r="N2354" s="15"/>
      <c r="O2354" s="16"/>
      <c r="P2354" s="16"/>
      <c r="Q2354" s="16"/>
      <c r="R2354" s="16"/>
      <c r="S2354" s="37" t="str">
        <f>IFERROR(__xludf.DUMMYFUNCTION("if(not(iserror(index(split(C2354, "" ""),2))), index(split(C2354, "" ""),1),"""")"),"")</f>
        <v/>
      </c>
      <c r="T2354" s="315" t="str">
        <f>IFERROR(__xludf.DUMMYFUNCTION("if(S2354="""",C2354,if(not(iserror(index(split(C2354, "" ""),3))), index(split(C2354, "" ""),3),index(split(C2354, "" ""),2)))"),"")</f>
        <v/>
      </c>
      <c r="U2354" s="38" t="b">
        <f t="shared" si="34"/>
        <v>0</v>
      </c>
      <c r="V2354" s="38"/>
      <c r="W2354" s="40"/>
      <c r="X2354" s="40"/>
      <c r="Y2354" s="38"/>
      <c r="Z2354" s="38"/>
      <c r="AA2354" s="38"/>
      <c r="AB2354" s="38"/>
      <c r="AC2354" s="38"/>
      <c r="AD2354" s="38"/>
      <c r="AE2354" s="38"/>
      <c r="AF2354" s="38"/>
      <c r="AG2354" s="38"/>
      <c r="AH2354" s="38"/>
      <c r="AI2354" s="38"/>
      <c r="AJ2354" s="38"/>
      <c r="AK2354" s="38"/>
      <c r="AL2354" s="38"/>
      <c r="AM2354" s="38"/>
      <c r="AN2354" s="38"/>
      <c r="AO2354" s="38"/>
      <c r="AP2354" s="38"/>
      <c r="AQ2354" s="38"/>
      <c r="AR2354" s="38"/>
      <c r="AS2354" s="38"/>
      <c r="AT2354" s="38"/>
      <c r="AU2354" s="38"/>
      <c r="AV2354" s="38"/>
      <c r="AW2354" s="38"/>
      <c r="AX2354" s="38"/>
      <c r="AY2354" s="38"/>
      <c r="AZ2354" s="38"/>
      <c r="BA2354" s="38"/>
      <c r="BB2354" s="38"/>
      <c r="BC2354" s="38"/>
      <c r="BD2354" s="38"/>
      <c r="BE2354" s="38"/>
      <c r="BF2354" s="38"/>
      <c r="BG2354" s="38"/>
      <c r="BH2354" s="38"/>
      <c r="BI2354" s="38"/>
      <c r="BJ2354" s="38"/>
      <c r="BK2354" s="38"/>
      <c r="BL2354" s="38"/>
      <c r="BM2354" s="38"/>
      <c r="BN2354" s="38"/>
      <c r="BO2354" s="38"/>
      <c r="BP2354" s="38"/>
      <c r="BQ2354" s="38"/>
    </row>
    <row r="2355">
      <c r="A2355" s="16"/>
      <c r="B2355" s="16"/>
      <c r="C2355" s="146"/>
      <c r="D2355" s="146"/>
      <c r="E2355" s="16"/>
      <c r="F2355" s="91"/>
      <c r="G2355" s="16"/>
      <c r="H2355" s="320" t="str">
        <f t="shared" si="33"/>
        <v/>
      </c>
      <c r="I2355" s="16"/>
      <c r="J2355" s="16"/>
      <c r="K2355" s="16"/>
      <c r="L2355" s="16"/>
      <c r="M2355" s="15"/>
      <c r="N2355" s="15"/>
      <c r="O2355" s="16"/>
      <c r="P2355" s="16"/>
      <c r="Q2355" s="16"/>
      <c r="R2355" s="16"/>
      <c r="S2355" s="37" t="str">
        <f>IFERROR(__xludf.DUMMYFUNCTION("if(not(iserror(index(split(C2355, "" ""),2))), index(split(C2355, "" ""),1),"""")"),"")</f>
        <v/>
      </c>
      <c r="T2355" s="315" t="str">
        <f>IFERROR(__xludf.DUMMYFUNCTION("if(S2355="""",C2355,if(not(iserror(index(split(C2355, "" ""),3))), index(split(C2355, "" ""),3),index(split(C2355, "" ""),2)))"),"")</f>
        <v/>
      </c>
      <c r="U2355" s="38" t="b">
        <f t="shared" si="34"/>
        <v>0</v>
      </c>
      <c r="V2355" s="38"/>
      <c r="W2355" s="40"/>
      <c r="X2355" s="40"/>
      <c r="Y2355" s="38"/>
      <c r="Z2355" s="38"/>
      <c r="AA2355" s="38"/>
      <c r="AB2355" s="38"/>
      <c r="AC2355" s="38"/>
      <c r="AD2355" s="38"/>
      <c r="AE2355" s="38"/>
      <c r="AF2355" s="38"/>
      <c r="AG2355" s="38"/>
      <c r="AH2355" s="38"/>
      <c r="AI2355" s="38"/>
      <c r="AJ2355" s="38"/>
      <c r="AK2355" s="38"/>
      <c r="AL2355" s="38"/>
      <c r="AM2355" s="38"/>
      <c r="AN2355" s="38"/>
      <c r="AO2355" s="38"/>
      <c r="AP2355" s="38"/>
      <c r="AQ2355" s="38"/>
      <c r="AR2355" s="38"/>
      <c r="AS2355" s="38"/>
      <c r="AT2355" s="38"/>
      <c r="AU2355" s="38"/>
      <c r="AV2355" s="38"/>
      <c r="AW2355" s="38"/>
      <c r="AX2355" s="38"/>
      <c r="AY2355" s="38"/>
      <c r="AZ2355" s="38"/>
      <c r="BA2355" s="38"/>
      <c r="BB2355" s="38"/>
      <c r="BC2355" s="38"/>
      <c r="BD2355" s="38"/>
      <c r="BE2355" s="38"/>
      <c r="BF2355" s="38"/>
      <c r="BG2355" s="38"/>
      <c r="BH2355" s="38"/>
      <c r="BI2355" s="38"/>
      <c r="BJ2355" s="38"/>
      <c r="BK2355" s="38"/>
      <c r="BL2355" s="38"/>
      <c r="BM2355" s="38"/>
      <c r="BN2355" s="38"/>
      <c r="BO2355" s="38"/>
      <c r="BP2355" s="38"/>
      <c r="BQ2355" s="38"/>
    </row>
    <row r="2356">
      <c r="A2356" s="16"/>
      <c r="B2356" s="16"/>
      <c r="C2356" s="146"/>
      <c r="D2356" s="146"/>
      <c r="E2356" s="16"/>
      <c r="F2356" s="91"/>
      <c r="G2356" s="16"/>
      <c r="H2356" s="320" t="str">
        <f t="shared" si="33"/>
        <v/>
      </c>
      <c r="I2356" s="16"/>
      <c r="J2356" s="16"/>
      <c r="K2356" s="16"/>
      <c r="L2356" s="16"/>
      <c r="M2356" s="15"/>
      <c r="N2356" s="15"/>
      <c r="O2356" s="16"/>
      <c r="P2356" s="16"/>
      <c r="Q2356" s="16"/>
      <c r="R2356" s="16"/>
      <c r="S2356" s="37" t="str">
        <f>IFERROR(__xludf.DUMMYFUNCTION("if(not(iserror(index(split(C2356, "" ""),2))), index(split(C2356, "" ""),1),"""")"),"")</f>
        <v/>
      </c>
      <c r="T2356" s="315" t="str">
        <f>IFERROR(__xludf.DUMMYFUNCTION("if(S2356="""",C2356,if(not(iserror(index(split(C2356, "" ""),3))), index(split(C2356, "" ""),3),index(split(C2356, "" ""),2)))"),"")</f>
        <v/>
      </c>
      <c r="U2356" s="38" t="b">
        <f t="shared" si="34"/>
        <v>0</v>
      </c>
      <c r="V2356" s="38"/>
      <c r="W2356" s="40"/>
      <c r="X2356" s="40"/>
      <c r="Y2356" s="38"/>
      <c r="Z2356" s="38"/>
      <c r="AA2356" s="38"/>
      <c r="AB2356" s="38"/>
      <c r="AC2356" s="38"/>
      <c r="AD2356" s="38"/>
      <c r="AE2356" s="38"/>
      <c r="AF2356" s="38"/>
      <c r="AG2356" s="38"/>
      <c r="AH2356" s="38"/>
      <c r="AI2356" s="38"/>
      <c r="AJ2356" s="38"/>
      <c r="AK2356" s="38"/>
      <c r="AL2356" s="38"/>
      <c r="AM2356" s="38"/>
      <c r="AN2356" s="38"/>
      <c r="AO2356" s="38"/>
      <c r="AP2356" s="38"/>
      <c r="AQ2356" s="38"/>
      <c r="AR2356" s="38"/>
      <c r="AS2356" s="38"/>
      <c r="AT2356" s="38"/>
      <c r="AU2356" s="38"/>
      <c r="AV2356" s="38"/>
      <c r="AW2356" s="38"/>
      <c r="AX2356" s="38"/>
      <c r="AY2356" s="38"/>
      <c r="AZ2356" s="38"/>
      <c r="BA2356" s="38"/>
      <c r="BB2356" s="38"/>
      <c r="BC2356" s="38"/>
      <c r="BD2356" s="38"/>
      <c r="BE2356" s="38"/>
      <c r="BF2356" s="38"/>
      <c r="BG2356" s="38"/>
      <c r="BH2356" s="38"/>
      <c r="BI2356" s="38"/>
      <c r="BJ2356" s="38"/>
      <c r="BK2356" s="38"/>
      <c r="BL2356" s="38"/>
      <c r="BM2356" s="38"/>
      <c r="BN2356" s="38"/>
      <c r="BO2356" s="38"/>
      <c r="BP2356" s="38"/>
      <c r="BQ2356" s="38"/>
    </row>
    <row r="2357">
      <c r="A2357" s="16"/>
      <c r="B2357" s="16"/>
      <c r="C2357" s="146"/>
      <c r="D2357" s="146"/>
      <c r="E2357" s="16"/>
      <c r="F2357" s="91"/>
      <c r="G2357" s="16"/>
      <c r="H2357" s="320" t="str">
        <f t="shared" si="33"/>
        <v/>
      </c>
      <c r="I2357" s="16"/>
      <c r="J2357" s="16"/>
      <c r="K2357" s="16"/>
      <c r="L2357" s="16"/>
      <c r="M2357" s="15"/>
      <c r="N2357" s="15"/>
      <c r="O2357" s="16"/>
      <c r="P2357" s="16"/>
      <c r="Q2357" s="16"/>
      <c r="R2357" s="16"/>
      <c r="S2357" s="37" t="str">
        <f>IFERROR(__xludf.DUMMYFUNCTION("if(not(iserror(index(split(C2357, "" ""),2))), index(split(C2357, "" ""),1),"""")"),"")</f>
        <v/>
      </c>
      <c r="T2357" s="315" t="str">
        <f>IFERROR(__xludf.DUMMYFUNCTION("if(S2357="""",C2357,if(not(iserror(index(split(C2357, "" ""),3))), index(split(C2357, "" ""),3),index(split(C2357, "" ""),2)))"),"")</f>
        <v/>
      </c>
      <c r="U2357" s="38" t="b">
        <f t="shared" si="34"/>
        <v>0</v>
      </c>
      <c r="V2357" s="38"/>
      <c r="W2357" s="40"/>
      <c r="X2357" s="40"/>
      <c r="Y2357" s="38"/>
      <c r="Z2357" s="38"/>
      <c r="AA2357" s="38"/>
      <c r="AB2357" s="38"/>
      <c r="AC2357" s="38"/>
      <c r="AD2357" s="38"/>
      <c r="AE2357" s="38"/>
      <c r="AF2357" s="38"/>
      <c r="AG2357" s="38"/>
      <c r="AH2357" s="38"/>
      <c r="AI2357" s="38"/>
      <c r="AJ2357" s="38"/>
      <c r="AK2357" s="38"/>
      <c r="AL2357" s="38"/>
      <c r="AM2357" s="38"/>
      <c r="AN2357" s="38"/>
      <c r="AO2357" s="38"/>
      <c r="AP2357" s="38"/>
      <c r="AQ2357" s="38"/>
      <c r="AR2357" s="38"/>
      <c r="AS2357" s="38"/>
      <c r="AT2357" s="38"/>
      <c r="AU2357" s="38"/>
      <c r="AV2357" s="38"/>
      <c r="AW2357" s="38"/>
      <c r="AX2357" s="38"/>
      <c r="AY2357" s="38"/>
      <c r="AZ2357" s="38"/>
      <c r="BA2357" s="38"/>
      <c r="BB2357" s="38"/>
      <c r="BC2357" s="38"/>
      <c r="BD2357" s="38"/>
      <c r="BE2357" s="38"/>
      <c r="BF2357" s="38"/>
      <c r="BG2357" s="38"/>
      <c r="BH2357" s="38"/>
      <c r="BI2357" s="38"/>
      <c r="BJ2357" s="38"/>
      <c r="BK2357" s="38"/>
      <c r="BL2357" s="38"/>
      <c r="BM2357" s="38"/>
      <c r="BN2357" s="38"/>
      <c r="BO2357" s="38"/>
      <c r="BP2357" s="38"/>
      <c r="BQ2357" s="38"/>
    </row>
    <row r="2358">
      <c r="A2358" s="16"/>
      <c r="B2358" s="16"/>
      <c r="C2358" s="146"/>
      <c r="D2358" s="146"/>
      <c r="E2358" s="16"/>
      <c r="F2358" s="91"/>
      <c r="G2358" s="16"/>
      <c r="H2358" s="320" t="str">
        <f t="shared" si="33"/>
        <v/>
      </c>
      <c r="I2358" s="16"/>
      <c r="J2358" s="16"/>
      <c r="K2358" s="16"/>
      <c r="L2358" s="16"/>
      <c r="M2358" s="15"/>
      <c r="N2358" s="15"/>
      <c r="O2358" s="16"/>
      <c r="P2358" s="16"/>
      <c r="Q2358" s="16"/>
      <c r="R2358" s="16"/>
      <c r="S2358" s="37" t="str">
        <f>IFERROR(__xludf.DUMMYFUNCTION("if(not(iserror(index(split(C2358, "" ""),2))), index(split(C2358, "" ""),1),"""")"),"")</f>
        <v/>
      </c>
      <c r="T2358" s="315" t="str">
        <f>IFERROR(__xludf.DUMMYFUNCTION("if(S2358="""",C2358,if(not(iserror(index(split(C2358, "" ""),3))), index(split(C2358, "" ""),3),index(split(C2358, "" ""),2)))"),"")</f>
        <v/>
      </c>
      <c r="U2358" s="38" t="b">
        <f t="shared" si="34"/>
        <v>0</v>
      </c>
      <c r="V2358" s="38"/>
      <c r="W2358" s="40"/>
      <c r="X2358" s="40"/>
      <c r="Y2358" s="38"/>
      <c r="Z2358" s="38"/>
      <c r="AA2358" s="38"/>
      <c r="AB2358" s="38"/>
      <c r="AC2358" s="38"/>
      <c r="AD2358" s="38"/>
      <c r="AE2358" s="38"/>
      <c r="AF2358" s="38"/>
      <c r="AG2358" s="38"/>
      <c r="AH2358" s="38"/>
      <c r="AI2358" s="38"/>
      <c r="AJ2358" s="38"/>
      <c r="AK2358" s="38"/>
      <c r="AL2358" s="38"/>
      <c r="AM2358" s="38"/>
      <c r="AN2358" s="38"/>
      <c r="AO2358" s="38"/>
      <c r="AP2358" s="38"/>
      <c r="AQ2358" s="38"/>
      <c r="AR2358" s="38"/>
      <c r="AS2358" s="38"/>
      <c r="AT2358" s="38"/>
      <c r="AU2358" s="38"/>
      <c r="AV2358" s="38"/>
      <c r="AW2358" s="38"/>
      <c r="AX2358" s="38"/>
      <c r="AY2358" s="38"/>
      <c r="AZ2358" s="38"/>
      <c r="BA2358" s="38"/>
      <c r="BB2358" s="38"/>
      <c r="BC2358" s="38"/>
      <c r="BD2358" s="38"/>
      <c r="BE2358" s="38"/>
      <c r="BF2358" s="38"/>
      <c r="BG2358" s="38"/>
      <c r="BH2358" s="38"/>
      <c r="BI2358" s="38"/>
      <c r="BJ2358" s="38"/>
      <c r="BK2358" s="38"/>
      <c r="BL2358" s="38"/>
      <c r="BM2358" s="38"/>
      <c r="BN2358" s="38"/>
      <c r="BO2358" s="38"/>
      <c r="BP2358" s="38"/>
      <c r="BQ2358" s="38"/>
    </row>
    <row r="2359">
      <c r="A2359" s="16"/>
      <c r="B2359" s="16"/>
      <c r="C2359" s="146"/>
      <c r="D2359" s="146"/>
      <c r="E2359" s="16"/>
      <c r="F2359" s="91"/>
      <c r="G2359" s="16"/>
      <c r="H2359" s="320" t="str">
        <f t="shared" si="33"/>
        <v/>
      </c>
      <c r="I2359" s="16"/>
      <c r="J2359" s="16"/>
      <c r="K2359" s="16"/>
      <c r="L2359" s="16"/>
      <c r="M2359" s="15"/>
      <c r="N2359" s="15"/>
      <c r="O2359" s="16"/>
      <c r="P2359" s="16"/>
      <c r="Q2359" s="16"/>
      <c r="R2359" s="16"/>
      <c r="S2359" s="37" t="str">
        <f>IFERROR(__xludf.DUMMYFUNCTION("if(not(iserror(index(split(C2359, "" ""),2))), index(split(C2359, "" ""),1),"""")"),"")</f>
        <v/>
      </c>
      <c r="T2359" s="315" t="str">
        <f>IFERROR(__xludf.DUMMYFUNCTION("if(S2359="""",C2359,if(not(iserror(index(split(C2359, "" ""),3))), index(split(C2359, "" ""),3),index(split(C2359, "" ""),2)))"),"")</f>
        <v/>
      </c>
      <c r="U2359" s="38" t="b">
        <f t="shared" si="34"/>
        <v>0</v>
      </c>
      <c r="V2359" s="38"/>
      <c r="W2359" s="40"/>
      <c r="X2359" s="40"/>
      <c r="Y2359" s="38"/>
      <c r="Z2359" s="38"/>
      <c r="AA2359" s="38"/>
      <c r="AB2359" s="38"/>
      <c r="AC2359" s="38"/>
      <c r="AD2359" s="38"/>
      <c r="AE2359" s="38"/>
      <c r="AF2359" s="38"/>
      <c r="AG2359" s="38"/>
      <c r="AH2359" s="38"/>
      <c r="AI2359" s="38"/>
      <c r="AJ2359" s="38"/>
      <c r="AK2359" s="38"/>
      <c r="AL2359" s="38"/>
      <c r="AM2359" s="38"/>
      <c r="AN2359" s="38"/>
      <c r="AO2359" s="38"/>
      <c r="AP2359" s="38"/>
      <c r="AQ2359" s="38"/>
      <c r="AR2359" s="38"/>
      <c r="AS2359" s="38"/>
      <c r="AT2359" s="38"/>
      <c r="AU2359" s="38"/>
      <c r="AV2359" s="38"/>
      <c r="AW2359" s="38"/>
      <c r="AX2359" s="38"/>
      <c r="AY2359" s="38"/>
      <c r="AZ2359" s="38"/>
      <c r="BA2359" s="38"/>
      <c r="BB2359" s="38"/>
      <c r="BC2359" s="38"/>
      <c r="BD2359" s="38"/>
      <c r="BE2359" s="38"/>
      <c r="BF2359" s="38"/>
      <c r="BG2359" s="38"/>
      <c r="BH2359" s="38"/>
      <c r="BI2359" s="38"/>
      <c r="BJ2359" s="38"/>
      <c r="BK2359" s="38"/>
      <c r="BL2359" s="38"/>
      <c r="BM2359" s="38"/>
      <c r="BN2359" s="38"/>
      <c r="BO2359" s="38"/>
      <c r="BP2359" s="38"/>
      <c r="BQ2359" s="38"/>
    </row>
    <row r="2360">
      <c r="A2360" s="16"/>
      <c r="B2360" s="16"/>
      <c r="C2360" s="146"/>
      <c r="D2360" s="146"/>
      <c r="E2360" s="16"/>
      <c r="F2360" s="91"/>
      <c r="G2360" s="16"/>
      <c r="H2360" s="320" t="str">
        <f t="shared" si="33"/>
        <v/>
      </c>
      <c r="I2360" s="16"/>
      <c r="J2360" s="16"/>
      <c r="K2360" s="16"/>
      <c r="L2360" s="16"/>
      <c r="M2360" s="15"/>
      <c r="N2360" s="15"/>
      <c r="O2360" s="16"/>
      <c r="P2360" s="16"/>
      <c r="Q2360" s="16"/>
      <c r="R2360" s="16"/>
      <c r="S2360" s="37" t="str">
        <f>IFERROR(__xludf.DUMMYFUNCTION("if(not(iserror(index(split(C2360, "" ""),2))), index(split(C2360, "" ""),1),"""")"),"")</f>
        <v/>
      </c>
      <c r="T2360" s="315" t="str">
        <f>IFERROR(__xludf.DUMMYFUNCTION("if(S2360="""",C2360,if(not(iserror(index(split(C2360, "" ""),3))), index(split(C2360, "" ""),3),index(split(C2360, "" ""),2)))"),"")</f>
        <v/>
      </c>
      <c r="U2360" s="38" t="b">
        <f t="shared" si="34"/>
        <v>0</v>
      </c>
      <c r="V2360" s="38"/>
      <c r="W2360" s="40"/>
      <c r="X2360" s="40"/>
      <c r="Y2360" s="38"/>
      <c r="Z2360" s="38"/>
      <c r="AA2360" s="38"/>
      <c r="AB2360" s="38"/>
      <c r="AC2360" s="38"/>
      <c r="AD2360" s="38"/>
      <c r="AE2360" s="38"/>
      <c r="AF2360" s="38"/>
      <c r="AG2360" s="38"/>
      <c r="AH2360" s="38"/>
      <c r="AI2360" s="38"/>
      <c r="AJ2360" s="38"/>
      <c r="AK2360" s="38"/>
      <c r="AL2360" s="38"/>
      <c r="AM2360" s="38"/>
      <c r="AN2360" s="38"/>
      <c r="AO2360" s="38"/>
      <c r="AP2360" s="38"/>
      <c r="AQ2360" s="38"/>
      <c r="AR2360" s="38"/>
      <c r="AS2360" s="38"/>
      <c r="AT2360" s="38"/>
      <c r="AU2360" s="38"/>
      <c r="AV2360" s="38"/>
      <c r="AW2360" s="38"/>
      <c r="AX2360" s="38"/>
      <c r="AY2360" s="38"/>
      <c r="AZ2360" s="38"/>
      <c r="BA2360" s="38"/>
      <c r="BB2360" s="38"/>
      <c r="BC2360" s="38"/>
      <c r="BD2360" s="38"/>
      <c r="BE2360" s="38"/>
      <c r="BF2360" s="38"/>
      <c r="BG2360" s="38"/>
      <c r="BH2360" s="38"/>
      <c r="BI2360" s="38"/>
      <c r="BJ2360" s="38"/>
      <c r="BK2360" s="38"/>
      <c r="BL2360" s="38"/>
      <c r="BM2360" s="38"/>
      <c r="BN2360" s="38"/>
      <c r="BO2360" s="38"/>
      <c r="BP2360" s="38"/>
      <c r="BQ2360" s="38"/>
    </row>
    <row r="2361">
      <c r="A2361" s="16"/>
      <c r="B2361" s="16"/>
      <c r="C2361" s="146"/>
      <c r="D2361" s="146"/>
      <c r="E2361" s="16"/>
      <c r="F2361" s="91"/>
      <c r="G2361" s="16"/>
      <c r="H2361" s="320" t="str">
        <f t="shared" si="33"/>
        <v/>
      </c>
      <c r="I2361" s="16"/>
      <c r="J2361" s="16"/>
      <c r="K2361" s="16"/>
      <c r="L2361" s="16"/>
      <c r="M2361" s="15"/>
      <c r="N2361" s="15"/>
      <c r="O2361" s="16"/>
      <c r="P2361" s="16"/>
      <c r="Q2361" s="16"/>
      <c r="R2361" s="16"/>
      <c r="S2361" s="37" t="str">
        <f>IFERROR(__xludf.DUMMYFUNCTION("if(not(iserror(index(split(C2361, "" ""),2))), index(split(C2361, "" ""),1),"""")"),"")</f>
        <v/>
      </c>
      <c r="T2361" s="315" t="str">
        <f>IFERROR(__xludf.DUMMYFUNCTION("if(S2361="""",C2361,if(not(iserror(index(split(C2361, "" ""),3))), index(split(C2361, "" ""),3),index(split(C2361, "" ""),2)))"),"")</f>
        <v/>
      </c>
      <c r="U2361" s="38" t="b">
        <f t="shared" si="34"/>
        <v>0</v>
      </c>
      <c r="V2361" s="38"/>
      <c r="W2361" s="40"/>
      <c r="X2361" s="40"/>
      <c r="Y2361" s="38"/>
      <c r="Z2361" s="38"/>
      <c r="AA2361" s="38"/>
      <c r="AB2361" s="38"/>
      <c r="AC2361" s="38"/>
      <c r="AD2361" s="38"/>
      <c r="AE2361" s="38"/>
      <c r="AF2361" s="38"/>
      <c r="AG2361" s="38"/>
      <c r="AH2361" s="38"/>
      <c r="AI2361" s="38"/>
      <c r="AJ2361" s="38"/>
      <c r="AK2361" s="38"/>
      <c r="AL2361" s="38"/>
      <c r="AM2361" s="38"/>
      <c r="AN2361" s="38"/>
      <c r="AO2361" s="38"/>
      <c r="AP2361" s="38"/>
      <c r="AQ2361" s="38"/>
      <c r="AR2361" s="38"/>
      <c r="AS2361" s="38"/>
      <c r="AT2361" s="38"/>
      <c r="AU2361" s="38"/>
      <c r="AV2361" s="38"/>
      <c r="AW2361" s="38"/>
      <c r="AX2361" s="38"/>
      <c r="AY2361" s="38"/>
      <c r="AZ2361" s="38"/>
      <c r="BA2361" s="38"/>
      <c r="BB2361" s="38"/>
      <c r="BC2361" s="38"/>
      <c r="BD2361" s="38"/>
      <c r="BE2361" s="38"/>
      <c r="BF2361" s="38"/>
      <c r="BG2361" s="38"/>
      <c r="BH2361" s="38"/>
      <c r="BI2361" s="38"/>
      <c r="BJ2361" s="38"/>
      <c r="BK2361" s="38"/>
      <c r="BL2361" s="38"/>
      <c r="BM2361" s="38"/>
      <c r="BN2361" s="38"/>
      <c r="BO2361" s="38"/>
      <c r="BP2361" s="38"/>
      <c r="BQ2361" s="38"/>
    </row>
    <row r="2362">
      <c r="A2362" s="16"/>
      <c r="B2362" s="16"/>
      <c r="C2362" s="146"/>
      <c r="D2362" s="146"/>
      <c r="E2362" s="16"/>
      <c r="F2362" s="91"/>
      <c r="G2362" s="16"/>
      <c r="H2362" s="320" t="str">
        <f t="shared" si="33"/>
        <v/>
      </c>
      <c r="I2362" s="16"/>
      <c r="J2362" s="16"/>
      <c r="K2362" s="16"/>
      <c r="L2362" s="16"/>
      <c r="M2362" s="15"/>
      <c r="N2362" s="15"/>
      <c r="O2362" s="16"/>
      <c r="P2362" s="16"/>
      <c r="Q2362" s="16"/>
      <c r="R2362" s="16"/>
      <c r="S2362" s="37" t="str">
        <f>IFERROR(__xludf.DUMMYFUNCTION("if(not(iserror(index(split(C2362, "" ""),2))), index(split(C2362, "" ""),1),"""")"),"")</f>
        <v/>
      </c>
      <c r="T2362" s="315" t="str">
        <f>IFERROR(__xludf.DUMMYFUNCTION("if(S2362="""",C2362,if(not(iserror(index(split(C2362, "" ""),3))), index(split(C2362, "" ""),3),index(split(C2362, "" ""),2)))"),"")</f>
        <v/>
      </c>
      <c r="U2362" s="38" t="b">
        <f t="shared" si="34"/>
        <v>0</v>
      </c>
      <c r="V2362" s="38"/>
      <c r="W2362" s="40"/>
      <c r="X2362" s="40"/>
      <c r="Y2362" s="38"/>
      <c r="Z2362" s="38"/>
      <c r="AA2362" s="38"/>
      <c r="AB2362" s="38"/>
      <c r="AC2362" s="38"/>
      <c r="AD2362" s="38"/>
      <c r="AE2362" s="38"/>
      <c r="AF2362" s="38"/>
      <c r="AG2362" s="38"/>
      <c r="AH2362" s="38"/>
      <c r="AI2362" s="38"/>
      <c r="AJ2362" s="38"/>
      <c r="AK2362" s="38"/>
      <c r="AL2362" s="38"/>
      <c r="AM2362" s="38"/>
      <c r="AN2362" s="38"/>
      <c r="AO2362" s="38"/>
      <c r="AP2362" s="38"/>
      <c r="AQ2362" s="38"/>
      <c r="AR2362" s="38"/>
      <c r="AS2362" s="38"/>
      <c r="AT2362" s="38"/>
      <c r="AU2362" s="38"/>
      <c r="AV2362" s="38"/>
      <c r="AW2362" s="38"/>
      <c r="AX2362" s="38"/>
      <c r="AY2362" s="38"/>
      <c r="AZ2362" s="38"/>
      <c r="BA2362" s="38"/>
      <c r="BB2362" s="38"/>
      <c r="BC2362" s="38"/>
      <c r="BD2362" s="38"/>
      <c r="BE2362" s="38"/>
      <c r="BF2362" s="38"/>
      <c r="BG2362" s="38"/>
      <c r="BH2362" s="38"/>
      <c r="BI2362" s="38"/>
      <c r="BJ2362" s="38"/>
      <c r="BK2362" s="38"/>
      <c r="BL2362" s="38"/>
      <c r="BM2362" s="38"/>
      <c r="BN2362" s="38"/>
      <c r="BO2362" s="38"/>
      <c r="BP2362" s="38"/>
      <c r="BQ2362" s="38"/>
    </row>
    <row r="2363">
      <c r="A2363" s="16"/>
      <c r="B2363" s="16"/>
      <c r="C2363" s="146"/>
      <c r="D2363" s="146"/>
      <c r="E2363" s="16"/>
      <c r="F2363" s="91"/>
      <c r="G2363" s="16"/>
      <c r="H2363" s="320" t="str">
        <f t="shared" si="33"/>
        <v/>
      </c>
      <c r="I2363" s="16"/>
      <c r="J2363" s="16"/>
      <c r="K2363" s="16"/>
      <c r="L2363" s="16"/>
      <c r="M2363" s="15"/>
      <c r="N2363" s="15"/>
      <c r="O2363" s="16"/>
      <c r="P2363" s="16"/>
      <c r="Q2363" s="16"/>
      <c r="R2363" s="16"/>
      <c r="S2363" s="37" t="str">
        <f>IFERROR(__xludf.DUMMYFUNCTION("if(not(iserror(index(split(C2363, "" ""),2))), index(split(C2363, "" ""),1),"""")"),"")</f>
        <v/>
      </c>
      <c r="T2363" s="315" t="str">
        <f>IFERROR(__xludf.DUMMYFUNCTION("if(S2363="""",C2363,if(not(iserror(index(split(C2363, "" ""),3))), index(split(C2363, "" ""),3),index(split(C2363, "" ""),2)))"),"")</f>
        <v/>
      </c>
      <c r="U2363" s="38" t="b">
        <f t="shared" si="34"/>
        <v>0</v>
      </c>
      <c r="V2363" s="38"/>
      <c r="W2363" s="40"/>
      <c r="X2363" s="40"/>
      <c r="Y2363" s="38"/>
      <c r="Z2363" s="38"/>
      <c r="AA2363" s="38"/>
      <c r="AB2363" s="38"/>
      <c r="AC2363" s="38"/>
      <c r="AD2363" s="38"/>
      <c r="AE2363" s="38"/>
      <c r="AF2363" s="38"/>
      <c r="AG2363" s="38"/>
      <c r="AH2363" s="38"/>
      <c r="AI2363" s="38"/>
      <c r="AJ2363" s="38"/>
      <c r="AK2363" s="38"/>
      <c r="AL2363" s="38"/>
      <c r="AM2363" s="38"/>
      <c r="AN2363" s="38"/>
      <c r="AO2363" s="38"/>
      <c r="AP2363" s="38"/>
      <c r="AQ2363" s="38"/>
      <c r="AR2363" s="38"/>
      <c r="AS2363" s="38"/>
      <c r="AT2363" s="38"/>
      <c r="AU2363" s="38"/>
      <c r="AV2363" s="38"/>
      <c r="AW2363" s="38"/>
      <c r="AX2363" s="38"/>
      <c r="AY2363" s="38"/>
      <c r="AZ2363" s="38"/>
      <c r="BA2363" s="38"/>
      <c r="BB2363" s="38"/>
      <c r="BC2363" s="38"/>
      <c r="BD2363" s="38"/>
      <c r="BE2363" s="38"/>
      <c r="BF2363" s="38"/>
      <c r="BG2363" s="38"/>
      <c r="BH2363" s="38"/>
      <c r="BI2363" s="38"/>
      <c r="BJ2363" s="38"/>
      <c r="BK2363" s="38"/>
      <c r="BL2363" s="38"/>
      <c r="BM2363" s="38"/>
      <c r="BN2363" s="38"/>
      <c r="BO2363" s="38"/>
      <c r="BP2363" s="38"/>
      <c r="BQ2363" s="38"/>
    </row>
    <row r="2364">
      <c r="A2364" s="16"/>
      <c r="B2364" s="16"/>
      <c r="C2364" s="146"/>
      <c r="D2364" s="146"/>
      <c r="E2364" s="16"/>
      <c r="F2364" s="91"/>
      <c r="G2364" s="16"/>
      <c r="H2364" s="320" t="str">
        <f t="shared" si="33"/>
        <v/>
      </c>
      <c r="I2364" s="16"/>
      <c r="J2364" s="16"/>
      <c r="K2364" s="16"/>
      <c r="L2364" s="16"/>
      <c r="M2364" s="15"/>
      <c r="N2364" s="15"/>
      <c r="O2364" s="16"/>
      <c r="P2364" s="16"/>
      <c r="Q2364" s="16"/>
      <c r="R2364" s="16"/>
      <c r="S2364" s="37" t="str">
        <f>IFERROR(__xludf.DUMMYFUNCTION("if(not(iserror(index(split(C2364, "" ""),2))), index(split(C2364, "" ""),1),"""")"),"")</f>
        <v/>
      </c>
      <c r="T2364" s="315" t="str">
        <f>IFERROR(__xludf.DUMMYFUNCTION("if(S2364="""",C2364,if(not(iserror(index(split(C2364, "" ""),3))), index(split(C2364, "" ""),3),index(split(C2364, "" ""),2)))"),"")</f>
        <v/>
      </c>
      <c r="U2364" s="38" t="b">
        <f t="shared" si="34"/>
        <v>0</v>
      </c>
      <c r="V2364" s="38"/>
      <c r="W2364" s="40"/>
      <c r="X2364" s="40"/>
      <c r="Y2364" s="38"/>
      <c r="Z2364" s="38"/>
      <c r="AA2364" s="38"/>
      <c r="AB2364" s="38"/>
      <c r="AC2364" s="38"/>
      <c r="AD2364" s="38"/>
      <c r="AE2364" s="38"/>
      <c r="AF2364" s="38"/>
      <c r="AG2364" s="38"/>
      <c r="AH2364" s="38"/>
      <c r="AI2364" s="38"/>
      <c r="AJ2364" s="38"/>
      <c r="AK2364" s="38"/>
      <c r="AL2364" s="38"/>
      <c r="AM2364" s="38"/>
      <c r="AN2364" s="38"/>
      <c r="AO2364" s="38"/>
      <c r="AP2364" s="38"/>
      <c r="AQ2364" s="38"/>
      <c r="AR2364" s="38"/>
      <c r="AS2364" s="38"/>
      <c r="AT2364" s="38"/>
      <c r="AU2364" s="38"/>
      <c r="AV2364" s="38"/>
      <c r="AW2364" s="38"/>
      <c r="AX2364" s="38"/>
      <c r="AY2364" s="38"/>
      <c r="AZ2364" s="38"/>
      <c r="BA2364" s="38"/>
      <c r="BB2364" s="38"/>
      <c r="BC2364" s="38"/>
      <c r="BD2364" s="38"/>
      <c r="BE2364" s="38"/>
      <c r="BF2364" s="38"/>
      <c r="BG2364" s="38"/>
      <c r="BH2364" s="38"/>
      <c r="BI2364" s="38"/>
      <c r="BJ2364" s="38"/>
      <c r="BK2364" s="38"/>
      <c r="BL2364" s="38"/>
      <c r="BM2364" s="38"/>
      <c r="BN2364" s="38"/>
      <c r="BO2364" s="38"/>
      <c r="BP2364" s="38"/>
      <c r="BQ2364" s="38"/>
    </row>
    <row r="2365">
      <c r="A2365" s="16"/>
      <c r="B2365" s="16"/>
      <c r="C2365" s="146"/>
      <c r="D2365" s="146"/>
      <c r="E2365" s="16"/>
      <c r="F2365" s="91"/>
      <c r="G2365" s="16"/>
      <c r="H2365" s="320" t="str">
        <f t="shared" si="33"/>
        <v/>
      </c>
      <c r="I2365" s="16"/>
      <c r="J2365" s="16"/>
      <c r="K2365" s="16"/>
      <c r="L2365" s="16"/>
      <c r="M2365" s="15"/>
      <c r="N2365" s="15"/>
      <c r="O2365" s="16"/>
      <c r="P2365" s="16"/>
      <c r="Q2365" s="16"/>
      <c r="R2365" s="16"/>
      <c r="S2365" s="37" t="str">
        <f>IFERROR(__xludf.DUMMYFUNCTION("if(not(iserror(index(split(C2365, "" ""),2))), index(split(C2365, "" ""),1),"""")"),"")</f>
        <v/>
      </c>
      <c r="T2365" s="315" t="str">
        <f>IFERROR(__xludf.DUMMYFUNCTION("if(S2365="""",C2365,if(not(iserror(index(split(C2365, "" ""),3))), index(split(C2365, "" ""),3),index(split(C2365, "" ""),2)))"),"")</f>
        <v/>
      </c>
      <c r="U2365" s="38" t="b">
        <f t="shared" si="34"/>
        <v>0</v>
      </c>
      <c r="V2365" s="38"/>
      <c r="W2365" s="40"/>
      <c r="X2365" s="40"/>
      <c r="Y2365" s="38"/>
      <c r="Z2365" s="38"/>
      <c r="AA2365" s="38"/>
      <c r="AB2365" s="38"/>
      <c r="AC2365" s="38"/>
      <c r="AD2365" s="38"/>
      <c r="AE2365" s="38"/>
      <c r="AF2365" s="38"/>
      <c r="AG2365" s="38"/>
      <c r="AH2365" s="38"/>
      <c r="AI2365" s="38"/>
      <c r="AJ2365" s="38"/>
      <c r="AK2365" s="38"/>
      <c r="AL2365" s="38"/>
      <c r="AM2365" s="38"/>
      <c r="AN2365" s="38"/>
      <c r="AO2365" s="38"/>
      <c r="AP2365" s="38"/>
      <c r="AQ2365" s="38"/>
      <c r="AR2365" s="38"/>
      <c r="AS2365" s="38"/>
      <c r="AT2365" s="38"/>
      <c r="AU2365" s="38"/>
      <c r="AV2365" s="38"/>
      <c r="AW2365" s="38"/>
      <c r="AX2365" s="38"/>
      <c r="AY2365" s="38"/>
      <c r="AZ2365" s="38"/>
      <c r="BA2365" s="38"/>
      <c r="BB2365" s="38"/>
      <c r="BC2365" s="38"/>
      <c r="BD2365" s="38"/>
      <c r="BE2365" s="38"/>
      <c r="BF2365" s="38"/>
      <c r="BG2365" s="38"/>
      <c r="BH2365" s="38"/>
      <c r="BI2365" s="38"/>
      <c r="BJ2365" s="38"/>
      <c r="BK2365" s="38"/>
      <c r="BL2365" s="38"/>
      <c r="BM2365" s="38"/>
      <c r="BN2365" s="38"/>
      <c r="BO2365" s="38"/>
      <c r="BP2365" s="38"/>
      <c r="BQ2365" s="38"/>
    </row>
    <row r="2366">
      <c r="A2366" s="16"/>
      <c r="B2366" s="16"/>
      <c r="C2366" s="146"/>
      <c r="D2366" s="146"/>
      <c r="E2366" s="16"/>
      <c r="F2366" s="91"/>
      <c r="G2366" s="16"/>
      <c r="H2366" s="320" t="str">
        <f t="shared" si="33"/>
        <v/>
      </c>
      <c r="I2366" s="16"/>
      <c r="J2366" s="16"/>
      <c r="K2366" s="16"/>
      <c r="L2366" s="16"/>
      <c r="M2366" s="15"/>
      <c r="N2366" s="15"/>
      <c r="O2366" s="16"/>
      <c r="P2366" s="16"/>
      <c r="Q2366" s="16"/>
      <c r="R2366" s="16"/>
      <c r="S2366" s="37" t="str">
        <f>IFERROR(__xludf.DUMMYFUNCTION("if(not(iserror(index(split(C2366, "" ""),2))), index(split(C2366, "" ""),1),"""")"),"")</f>
        <v/>
      </c>
      <c r="T2366" s="315" t="str">
        <f>IFERROR(__xludf.DUMMYFUNCTION("if(S2366="""",C2366,if(not(iserror(index(split(C2366, "" ""),3))), index(split(C2366, "" ""),3),index(split(C2366, "" ""),2)))"),"")</f>
        <v/>
      </c>
      <c r="U2366" s="38" t="b">
        <f t="shared" si="34"/>
        <v>0</v>
      </c>
      <c r="V2366" s="38"/>
      <c r="W2366" s="40"/>
      <c r="X2366" s="40"/>
      <c r="Y2366" s="38"/>
      <c r="Z2366" s="38"/>
      <c r="AA2366" s="38"/>
      <c r="AB2366" s="38"/>
      <c r="AC2366" s="38"/>
      <c r="AD2366" s="38"/>
      <c r="AE2366" s="38"/>
      <c r="AF2366" s="38"/>
      <c r="AG2366" s="38"/>
      <c r="AH2366" s="38"/>
      <c r="AI2366" s="38"/>
      <c r="AJ2366" s="38"/>
      <c r="AK2366" s="38"/>
      <c r="AL2366" s="38"/>
      <c r="AM2366" s="38"/>
      <c r="AN2366" s="38"/>
      <c r="AO2366" s="38"/>
      <c r="AP2366" s="38"/>
      <c r="AQ2366" s="38"/>
      <c r="AR2366" s="38"/>
      <c r="AS2366" s="38"/>
      <c r="AT2366" s="38"/>
      <c r="AU2366" s="38"/>
      <c r="AV2366" s="38"/>
      <c r="AW2366" s="38"/>
      <c r="AX2366" s="38"/>
      <c r="AY2366" s="38"/>
      <c r="AZ2366" s="38"/>
      <c r="BA2366" s="38"/>
      <c r="BB2366" s="38"/>
      <c r="BC2366" s="38"/>
      <c r="BD2366" s="38"/>
      <c r="BE2366" s="38"/>
      <c r="BF2366" s="38"/>
      <c r="BG2366" s="38"/>
      <c r="BH2366" s="38"/>
      <c r="BI2366" s="38"/>
      <c r="BJ2366" s="38"/>
      <c r="BK2366" s="38"/>
      <c r="BL2366" s="38"/>
      <c r="BM2366" s="38"/>
      <c r="BN2366" s="38"/>
      <c r="BO2366" s="38"/>
      <c r="BP2366" s="38"/>
      <c r="BQ2366" s="38"/>
    </row>
    <row r="2367">
      <c r="A2367" s="16"/>
      <c r="B2367" s="16"/>
      <c r="C2367" s="146"/>
      <c r="D2367" s="146"/>
      <c r="E2367" s="16"/>
      <c r="F2367" s="91"/>
      <c r="G2367" s="16"/>
      <c r="H2367" s="320" t="str">
        <f t="shared" si="33"/>
        <v/>
      </c>
      <c r="I2367" s="16"/>
      <c r="J2367" s="16"/>
      <c r="K2367" s="16"/>
      <c r="L2367" s="16"/>
      <c r="M2367" s="15"/>
      <c r="N2367" s="15"/>
      <c r="O2367" s="16"/>
      <c r="P2367" s="16"/>
      <c r="Q2367" s="16"/>
      <c r="R2367" s="16"/>
      <c r="S2367" s="37" t="str">
        <f>IFERROR(__xludf.DUMMYFUNCTION("if(not(iserror(index(split(C2367, "" ""),2))), index(split(C2367, "" ""),1),"""")"),"")</f>
        <v/>
      </c>
      <c r="T2367" s="315" t="str">
        <f>IFERROR(__xludf.DUMMYFUNCTION("if(S2367="""",C2367,if(not(iserror(index(split(C2367, "" ""),3))), index(split(C2367, "" ""),3),index(split(C2367, "" ""),2)))"),"")</f>
        <v/>
      </c>
      <c r="U2367" s="38" t="b">
        <f t="shared" si="34"/>
        <v>0</v>
      </c>
      <c r="V2367" s="38"/>
      <c r="W2367" s="40"/>
      <c r="X2367" s="40"/>
      <c r="Y2367" s="38"/>
      <c r="Z2367" s="38"/>
      <c r="AA2367" s="38"/>
      <c r="AB2367" s="38"/>
      <c r="AC2367" s="38"/>
      <c r="AD2367" s="38"/>
      <c r="AE2367" s="38"/>
      <c r="AF2367" s="38"/>
      <c r="AG2367" s="38"/>
      <c r="AH2367" s="38"/>
      <c r="AI2367" s="38"/>
      <c r="AJ2367" s="38"/>
      <c r="AK2367" s="38"/>
      <c r="AL2367" s="38"/>
      <c r="AM2367" s="38"/>
      <c r="AN2367" s="38"/>
      <c r="AO2367" s="38"/>
      <c r="AP2367" s="38"/>
      <c r="AQ2367" s="38"/>
      <c r="AR2367" s="38"/>
      <c r="AS2367" s="38"/>
      <c r="AT2367" s="38"/>
      <c r="AU2367" s="38"/>
      <c r="AV2367" s="38"/>
      <c r="AW2367" s="38"/>
      <c r="AX2367" s="38"/>
      <c r="AY2367" s="38"/>
      <c r="AZ2367" s="38"/>
      <c r="BA2367" s="38"/>
      <c r="BB2367" s="38"/>
      <c r="BC2367" s="38"/>
      <c r="BD2367" s="38"/>
      <c r="BE2367" s="38"/>
      <c r="BF2367" s="38"/>
      <c r="BG2367" s="38"/>
      <c r="BH2367" s="38"/>
      <c r="BI2367" s="38"/>
      <c r="BJ2367" s="38"/>
      <c r="BK2367" s="38"/>
      <c r="BL2367" s="38"/>
      <c r="BM2367" s="38"/>
      <c r="BN2367" s="38"/>
      <c r="BO2367" s="38"/>
      <c r="BP2367" s="38"/>
      <c r="BQ2367" s="38"/>
    </row>
    <row r="2368">
      <c r="A2368" s="16"/>
      <c r="B2368" s="16"/>
      <c r="C2368" s="146"/>
      <c r="D2368" s="146"/>
      <c r="E2368" s="16"/>
      <c r="F2368" s="91"/>
      <c r="G2368" s="16"/>
      <c r="H2368" s="320" t="str">
        <f t="shared" si="33"/>
        <v/>
      </c>
      <c r="I2368" s="16"/>
      <c r="J2368" s="16"/>
      <c r="K2368" s="16"/>
      <c r="L2368" s="16"/>
      <c r="M2368" s="15"/>
      <c r="N2368" s="15"/>
      <c r="O2368" s="16"/>
      <c r="P2368" s="16"/>
      <c r="Q2368" s="16"/>
      <c r="R2368" s="16"/>
      <c r="S2368" s="37" t="str">
        <f>IFERROR(__xludf.DUMMYFUNCTION("if(not(iserror(index(split(C2368, "" ""),2))), index(split(C2368, "" ""),1),"""")"),"")</f>
        <v/>
      </c>
      <c r="T2368" s="315" t="str">
        <f>IFERROR(__xludf.DUMMYFUNCTION("if(S2368="""",C2368,if(not(iserror(index(split(C2368, "" ""),3))), index(split(C2368, "" ""),3),index(split(C2368, "" ""),2)))"),"")</f>
        <v/>
      </c>
      <c r="U2368" s="38" t="b">
        <f t="shared" si="34"/>
        <v>0</v>
      </c>
      <c r="V2368" s="38"/>
      <c r="W2368" s="40"/>
      <c r="X2368" s="40"/>
      <c r="Y2368" s="38"/>
      <c r="Z2368" s="38"/>
      <c r="AA2368" s="38"/>
      <c r="AB2368" s="38"/>
      <c r="AC2368" s="38"/>
      <c r="AD2368" s="38"/>
      <c r="AE2368" s="38"/>
      <c r="AF2368" s="38"/>
      <c r="AG2368" s="38"/>
      <c r="AH2368" s="38"/>
      <c r="AI2368" s="38"/>
      <c r="AJ2368" s="38"/>
      <c r="AK2368" s="38"/>
      <c r="AL2368" s="38"/>
      <c r="AM2368" s="38"/>
      <c r="AN2368" s="38"/>
      <c r="AO2368" s="38"/>
      <c r="AP2368" s="38"/>
      <c r="AQ2368" s="38"/>
      <c r="AR2368" s="38"/>
      <c r="AS2368" s="38"/>
      <c r="AT2368" s="38"/>
      <c r="AU2368" s="38"/>
      <c r="AV2368" s="38"/>
      <c r="AW2368" s="38"/>
      <c r="AX2368" s="38"/>
      <c r="AY2368" s="38"/>
      <c r="AZ2368" s="38"/>
      <c r="BA2368" s="38"/>
      <c r="BB2368" s="38"/>
      <c r="BC2368" s="38"/>
      <c r="BD2368" s="38"/>
      <c r="BE2368" s="38"/>
      <c r="BF2368" s="38"/>
      <c r="BG2368" s="38"/>
      <c r="BH2368" s="38"/>
      <c r="BI2368" s="38"/>
      <c r="BJ2368" s="38"/>
      <c r="BK2368" s="38"/>
      <c r="BL2368" s="38"/>
      <c r="BM2368" s="38"/>
      <c r="BN2368" s="38"/>
      <c r="BO2368" s="38"/>
      <c r="BP2368" s="38"/>
      <c r="BQ2368" s="38"/>
    </row>
    <row r="2369">
      <c r="A2369" s="16"/>
      <c r="B2369" s="16"/>
      <c r="C2369" s="146"/>
      <c r="D2369" s="146"/>
      <c r="E2369" s="16"/>
      <c r="F2369" s="91"/>
      <c r="G2369" s="16"/>
      <c r="H2369" s="320" t="str">
        <f t="shared" si="33"/>
        <v/>
      </c>
      <c r="I2369" s="16"/>
      <c r="J2369" s="16"/>
      <c r="K2369" s="16"/>
      <c r="L2369" s="16"/>
      <c r="M2369" s="15"/>
      <c r="N2369" s="15"/>
      <c r="O2369" s="16"/>
      <c r="P2369" s="16"/>
      <c r="Q2369" s="16"/>
      <c r="R2369" s="16"/>
      <c r="S2369" s="37" t="str">
        <f>IFERROR(__xludf.DUMMYFUNCTION("if(not(iserror(index(split(C2369, "" ""),2))), index(split(C2369, "" ""),1),"""")"),"")</f>
        <v/>
      </c>
      <c r="T2369" s="315" t="str">
        <f>IFERROR(__xludf.DUMMYFUNCTION("if(S2369="""",C2369,if(not(iserror(index(split(C2369, "" ""),3))), index(split(C2369, "" ""),3),index(split(C2369, "" ""),2)))"),"")</f>
        <v/>
      </c>
      <c r="U2369" s="38" t="b">
        <f t="shared" si="34"/>
        <v>0</v>
      </c>
      <c r="V2369" s="38"/>
      <c r="W2369" s="40"/>
      <c r="X2369" s="40"/>
      <c r="Y2369" s="38"/>
      <c r="Z2369" s="38"/>
      <c r="AA2369" s="38"/>
      <c r="AB2369" s="38"/>
      <c r="AC2369" s="38"/>
      <c r="AD2369" s="38"/>
      <c r="AE2369" s="38"/>
      <c r="AF2369" s="38"/>
      <c r="AG2369" s="38"/>
      <c r="AH2369" s="38"/>
      <c r="AI2369" s="38"/>
      <c r="AJ2369" s="38"/>
      <c r="AK2369" s="38"/>
      <c r="AL2369" s="38"/>
      <c r="AM2369" s="38"/>
      <c r="AN2369" s="38"/>
      <c r="AO2369" s="38"/>
      <c r="AP2369" s="38"/>
      <c r="AQ2369" s="38"/>
      <c r="AR2369" s="38"/>
      <c r="AS2369" s="38"/>
      <c r="AT2369" s="38"/>
      <c r="AU2369" s="38"/>
      <c r="AV2369" s="38"/>
      <c r="AW2369" s="38"/>
      <c r="AX2369" s="38"/>
      <c r="AY2369" s="38"/>
      <c r="AZ2369" s="38"/>
      <c r="BA2369" s="38"/>
      <c r="BB2369" s="38"/>
      <c r="BC2369" s="38"/>
      <c r="BD2369" s="38"/>
      <c r="BE2369" s="38"/>
      <c r="BF2369" s="38"/>
      <c r="BG2369" s="38"/>
      <c r="BH2369" s="38"/>
      <c r="BI2369" s="38"/>
      <c r="BJ2369" s="38"/>
      <c r="BK2369" s="38"/>
      <c r="BL2369" s="38"/>
      <c r="BM2369" s="38"/>
      <c r="BN2369" s="38"/>
      <c r="BO2369" s="38"/>
      <c r="BP2369" s="38"/>
      <c r="BQ2369" s="38"/>
    </row>
    <row r="2370">
      <c r="A2370" s="16"/>
      <c r="B2370" s="16"/>
      <c r="C2370" s="146"/>
      <c r="D2370" s="146"/>
      <c r="E2370" s="16"/>
      <c r="F2370" s="91"/>
      <c r="G2370" s="16"/>
      <c r="H2370" s="320" t="str">
        <f t="shared" si="33"/>
        <v/>
      </c>
      <c r="I2370" s="16"/>
      <c r="J2370" s="16"/>
      <c r="K2370" s="16"/>
      <c r="L2370" s="16"/>
      <c r="M2370" s="15"/>
      <c r="N2370" s="15"/>
      <c r="O2370" s="16"/>
      <c r="P2370" s="16"/>
      <c r="Q2370" s="16"/>
      <c r="R2370" s="16"/>
      <c r="S2370" s="37" t="str">
        <f>IFERROR(__xludf.DUMMYFUNCTION("if(not(iserror(index(split(C2370, "" ""),2))), index(split(C2370, "" ""),1),"""")"),"")</f>
        <v/>
      </c>
      <c r="T2370" s="315" t="str">
        <f>IFERROR(__xludf.DUMMYFUNCTION("if(S2370="""",C2370,if(not(iserror(index(split(C2370, "" ""),3))), index(split(C2370, "" ""),3),index(split(C2370, "" ""),2)))"),"")</f>
        <v/>
      </c>
      <c r="U2370" s="38" t="b">
        <f t="shared" si="34"/>
        <v>0</v>
      </c>
      <c r="V2370" s="38"/>
      <c r="W2370" s="40"/>
      <c r="X2370" s="40"/>
      <c r="Y2370" s="38"/>
      <c r="Z2370" s="38"/>
      <c r="AA2370" s="38"/>
      <c r="AB2370" s="38"/>
      <c r="AC2370" s="38"/>
      <c r="AD2370" s="38"/>
      <c r="AE2370" s="38"/>
      <c r="AF2370" s="38"/>
      <c r="AG2370" s="38"/>
      <c r="AH2370" s="38"/>
      <c r="AI2370" s="38"/>
      <c r="AJ2370" s="38"/>
      <c r="AK2370" s="38"/>
      <c r="AL2370" s="38"/>
      <c r="AM2370" s="38"/>
      <c r="AN2370" s="38"/>
      <c r="AO2370" s="38"/>
      <c r="AP2370" s="38"/>
      <c r="AQ2370" s="38"/>
      <c r="AR2370" s="38"/>
      <c r="AS2370" s="38"/>
      <c r="AT2370" s="38"/>
      <c r="AU2370" s="38"/>
      <c r="AV2370" s="38"/>
      <c r="AW2370" s="38"/>
      <c r="AX2370" s="38"/>
      <c r="AY2370" s="38"/>
      <c r="AZ2370" s="38"/>
      <c r="BA2370" s="38"/>
      <c r="BB2370" s="38"/>
      <c r="BC2370" s="38"/>
      <c r="BD2370" s="38"/>
      <c r="BE2370" s="38"/>
      <c r="BF2370" s="38"/>
      <c r="BG2370" s="38"/>
      <c r="BH2370" s="38"/>
      <c r="BI2370" s="38"/>
      <c r="BJ2370" s="38"/>
      <c r="BK2370" s="38"/>
      <c r="BL2370" s="38"/>
      <c r="BM2370" s="38"/>
      <c r="BN2370" s="38"/>
      <c r="BO2370" s="38"/>
      <c r="BP2370" s="38"/>
      <c r="BQ2370" s="38"/>
    </row>
    <row r="2371">
      <c r="A2371" s="16"/>
      <c r="B2371" s="16"/>
      <c r="C2371" s="146"/>
      <c r="D2371" s="146"/>
      <c r="E2371" s="16"/>
      <c r="F2371" s="91"/>
      <c r="G2371" s="16"/>
      <c r="H2371" s="320" t="str">
        <f t="shared" si="33"/>
        <v/>
      </c>
      <c r="I2371" s="16"/>
      <c r="J2371" s="16"/>
      <c r="K2371" s="16"/>
      <c r="L2371" s="16"/>
      <c r="M2371" s="15"/>
      <c r="N2371" s="15"/>
      <c r="O2371" s="16"/>
      <c r="P2371" s="16"/>
      <c r="Q2371" s="16"/>
      <c r="R2371" s="16"/>
      <c r="S2371" s="37" t="str">
        <f>IFERROR(__xludf.DUMMYFUNCTION("if(not(iserror(index(split(C2371, "" ""),2))), index(split(C2371, "" ""),1),"""")"),"")</f>
        <v/>
      </c>
      <c r="T2371" s="315" t="str">
        <f>IFERROR(__xludf.DUMMYFUNCTION("if(S2371="""",C2371,if(not(iserror(index(split(C2371, "" ""),3))), index(split(C2371, "" ""),3),index(split(C2371, "" ""),2)))"),"")</f>
        <v/>
      </c>
      <c r="U2371" s="38" t="b">
        <f t="shared" si="34"/>
        <v>0</v>
      </c>
      <c r="V2371" s="38"/>
      <c r="W2371" s="40"/>
      <c r="X2371" s="40"/>
      <c r="Y2371" s="38"/>
      <c r="Z2371" s="38"/>
      <c r="AA2371" s="38"/>
      <c r="AB2371" s="38"/>
      <c r="AC2371" s="38"/>
      <c r="AD2371" s="38"/>
      <c r="AE2371" s="38"/>
      <c r="AF2371" s="38"/>
      <c r="AG2371" s="38"/>
      <c r="AH2371" s="38"/>
      <c r="AI2371" s="38"/>
      <c r="AJ2371" s="38"/>
      <c r="AK2371" s="38"/>
      <c r="AL2371" s="38"/>
      <c r="AM2371" s="38"/>
      <c r="AN2371" s="38"/>
      <c r="AO2371" s="38"/>
      <c r="AP2371" s="38"/>
      <c r="AQ2371" s="38"/>
      <c r="AR2371" s="38"/>
      <c r="AS2371" s="38"/>
      <c r="AT2371" s="38"/>
      <c r="AU2371" s="38"/>
      <c r="AV2371" s="38"/>
      <c r="AW2371" s="38"/>
      <c r="AX2371" s="38"/>
      <c r="AY2371" s="38"/>
      <c r="AZ2371" s="38"/>
      <c r="BA2371" s="38"/>
      <c r="BB2371" s="38"/>
      <c r="BC2371" s="38"/>
      <c r="BD2371" s="38"/>
      <c r="BE2371" s="38"/>
      <c r="BF2371" s="38"/>
      <c r="BG2371" s="38"/>
      <c r="BH2371" s="38"/>
      <c r="BI2371" s="38"/>
      <c r="BJ2371" s="38"/>
      <c r="BK2371" s="38"/>
      <c r="BL2371" s="38"/>
      <c r="BM2371" s="38"/>
      <c r="BN2371" s="38"/>
      <c r="BO2371" s="38"/>
      <c r="BP2371" s="38"/>
      <c r="BQ2371" s="38"/>
    </row>
    <row r="2372">
      <c r="A2372" s="16"/>
      <c r="B2372" s="16"/>
      <c r="C2372" s="146"/>
      <c r="D2372" s="146"/>
      <c r="E2372" s="16"/>
      <c r="F2372" s="91"/>
      <c r="G2372" s="16"/>
      <c r="H2372" s="320" t="str">
        <f t="shared" si="33"/>
        <v/>
      </c>
      <c r="I2372" s="16"/>
      <c r="J2372" s="16"/>
      <c r="K2372" s="16"/>
      <c r="L2372" s="16"/>
      <c r="M2372" s="15"/>
      <c r="N2372" s="15"/>
      <c r="O2372" s="16"/>
      <c r="P2372" s="16"/>
      <c r="Q2372" s="16"/>
      <c r="R2372" s="16"/>
      <c r="S2372" s="37" t="str">
        <f>IFERROR(__xludf.DUMMYFUNCTION("if(not(iserror(index(split(C2372, "" ""),2))), index(split(C2372, "" ""),1),"""")"),"")</f>
        <v/>
      </c>
      <c r="T2372" s="315" t="str">
        <f>IFERROR(__xludf.DUMMYFUNCTION("if(S2372="""",C2372,if(not(iserror(index(split(C2372, "" ""),3))), index(split(C2372, "" ""),3),index(split(C2372, "" ""),2)))"),"")</f>
        <v/>
      </c>
      <c r="U2372" s="38" t="b">
        <f t="shared" si="34"/>
        <v>0</v>
      </c>
      <c r="V2372" s="38"/>
      <c r="W2372" s="40"/>
      <c r="X2372" s="40"/>
      <c r="Y2372" s="38"/>
      <c r="Z2372" s="38"/>
      <c r="AA2372" s="38"/>
      <c r="AB2372" s="38"/>
      <c r="AC2372" s="38"/>
      <c r="AD2372" s="38"/>
      <c r="AE2372" s="38"/>
      <c r="AF2372" s="38"/>
      <c r="AG2372" s="38"/>
      <c r="AH2372" s="38"/>
      <c r="AI2372" s="38"/>
      <c r="AJ2372" s="38"/>
      <c r="AK2372" s="38"/>
      <c r="AL2372" s="38"/>
      <c r="AM2372" s="38"/>
      <c r="AN2372" s="38"/>
      <c r="AO2372" s="38"/>
      <c r="AP2372" s="38"/>
      <c r="AQ2372" s="38"/>
      <c r="AR2372" s="38"/>
      <c r="AS2372" s="38"/>
      <c r="AT2372" s="38"/>
      <c r="AU2372" s="38"/>
      <c r="AV2372" s="38"/>
      <c r="AW2372" s="38"/>
      <c r="AX2372" s="38"/>
      <c r="AY2372" s="38"/>
      <c r="AZ2372" s="38"/>
      <c r="BA2372" s="38"/>
      <c r="BB2372" s="38"/>
      <c r="BC2372" s="38"/>
      <c r="BD2372" s="38"/>
      <c r="BE2372" s="38"/>
      <c r="BF2372" s="38"/>
      <c r="BG2372" s="38"/>
      <c r="BH2372" s="38"/>
      <c r="BI2372" s="38"/>
      <c r="BJ2372" s="38"/>
      <c r="BK2372" s="38"/>
      <c r="BL2372" s="38"/>
      <c r="BM2372" s="38"/>
      <c r="BN2372" s="38"/>
      <c r="BO2372" s="38"/>
      <c r="BP2372" s="38"/>
      <c r="BQ2372" s="38"/>
    </row>
    <row r="2373">
      <c r="A2373" s="16"/>
      <c r="B2373" s="16"/>
      <c r="C2373" s="146"/>
      <c r="D2373" s="146"/>
      <c r="E2373" s="16"/>
      <c r="F2373" s="91"/>
      <c r="G2373" s="16"/>
      <c r="H2373" s="320" t="str">
        <f t="shared" si="33"/>
        <v/>
      </c>
      <c r="I2373" s="16"/>
      <c r="J2373" s="16"/>
      <c r="K2373" s="16"/>
      <c r="L2373" s="16"/>
      <c r="M2373" s="15"/>
      <c r="N2373" s="15"/>
      <c r="O2373" s="16"/>
      <c r="P2373" s="16"/>
      <c r="Q2373" s="16"/>
      <c r="R2373" s="16"/>
      <c r="S2373" s="37" t="str">
        <f>IFERROR(__xludf.DUMMYFUNCTION("if(not(iserror(index(split(C2373, "" ""),2))), index(split(C2373, "" ""),1),"""")"),"")</f>
        <v/>
      </c>
      <c r="T2373" s="315" t="str">
        <f>IFERROR(__xludf.DUMMYFUNCTION("if(S2373="""",C2373,if(not(iserror(index(split(C2373, "" ""),3))), index(split(C2373, "" ""),3),index(split(C2373, "" ""),2)))"),"")</f>
        <v/>
      </c>
      <c r="U2373" s="38" t="b">
        <f t="shared" si="34"/>
        <v>0</v>
      </c>
      <c r="V2373" s="38"/>
      <c r="W2373" s="40"/>
      <c r="X2373" s="40"/>
      <c r="Y2373" s="38"/>
      <c r="Z2373" s="38"/>
      <c r="AA2373" s="38"/>
      <c r="AB2373" s="38"/>
      <c r="AC2373" s="38"/>
      <c r="AD2373" s="38"/>
      <c r="AE2373" s="38"/>
      <c r="AF2373" s="38"/>
      <c r="AG2373" s="38"/>
      <c r="AH2373" s="38"/>
      <c r="AI2373" s="38"/>
      <c r="AJ2373" s="38"/>
      <c r="AK2373" s="38"/>
      <c r="AL2373" s="38"/>
      <c r="AM2373" s="38"/>
      <c r="AN2373" s="38"/>
      <c r="AO2373" s="38"/>
      <c r="AP2373" s="38"/>
      <c r="AQ2373" s="38"/>
      <c r="AR2373" s="38"/>
      <c r="AS2373" s="38"/>
      <c r="AT2373" s="38"/>
      <c r="AU2373" s="38"/>
      <c r="AV2373" s="38"/>
      <c r="AW2373" s="38"/>
      <c r="AX2373" s="38"/>
      <c r="AY2373" s="38"/>
      <c r="AZ2373" s="38"/>
      <c r="BA2373" s="38"/>
      <c r="BB2373" s="38"/>
      <c r="BC2373" s="38"/>
      <c r="BD2373" s="38"/>
      <c r="BE2373" s="38"/>
      <c r="BF2373" s="38"/>
      <c r="BG2373" s="38"/>
      <c r="BH2373" s="38"/>
      <c r="BI2373" s="38"/>
      <c r="BJ2373" s="38"/>
      <c r="BK2373" s="38"/>
      <c r="BL2373" s="38"/>
      <c r="BM2373" s="38"/>
      <c r="BN2373" s="38"/>
      <c r="BO2373" s="38"/>
      <c r="BP2373" s="38"/>
      <c r="BQ2373" s="38"/>
    </row>
    <row r="2374">
      <c r="A2374" s="16"/>
      <c r="B2374" s="16"/>
      <c r="C2374" s="146"/>
      <c r="D2374" s="146"/>
      <c r="E2374" s="16"/>
      <c r="F2374" s="91"/>
      <c r="G2374" s="16"/>
      <c r="H2374" s="320" t="str">
        <f t="shared" si="33"/>
        <v/>
      </c>
      <c r="I2374" s="16"/>
      <c r="J2374" s="16"/>
      <c r="K2374" s="16"/>
      <c r="L2374" s="16"/>
      <c r="M2374" s="15"/>
      <c r="N2374" s="15"/>
      <c r="O2374" s="16"/>
      <c r="P2374" s="16"/>
      <c r="Q2374" s="16"/>
      <c r="R2374" s="16"/>
      <c r="S2374" s="37" t="str">
        <f>IFERROR(__xludf.DUMMYFUNCTION("if(not(iserror(index(split(C2374, "" ""),2))), index(split(C2374, "" ""),1),"""")"),"")</f>
        <v/>
      </c>
      <c r="T2374" s="315" t="str">
        <f>IFERROR(__xludf.DUMMYFUNCTION("if(S2374="""",C2374,if(not(iserror(index(split(C2374, "" ""),3))), index(split(C2374, "" ""),3),index(split(C2374, "" ""),2)))"),"")</f>
        <v/>
      </c>
      <c r="U2374" s="38" t="b">
        <f t="shared" si="34"/>
        <v>0</v>
      </c>
      <c r="V2374" s="38"/>
      <c r="W2374" s="40"/>
      <c r="X2374" s="40"/>
      <c r="Y2374" s="38"/>
      <c r="Z2374" s="38"/>
      <c r="AA2374" s="38"/>
      <c r="AB2374" s="38"/>
      <c r="AC2374" s="38"/>
      <c r="AD2374" s="38"/>
      <c r="AE2374" s="38"/>
      <c r="AF2374" s="38"/>
      <c r="AG2374" s="38"/>
      <c r="AH2374" s="38"/>
      <c r="AI2374" s="38"/>
      <c r="AJ2374" s="38"/>
      <c r="AK2374" s="38"/>
      <c r="AL2374" s="38"/>
      <c r="AM2374" s="38"/>
      <c r="AN2374" s="38"/>
      <c r="AO2374" s="38"/>
      <c r="AP2374" s="38"/>
      <c r="AQ2374" s="38"/>
      <c r="AR2374" s="38"/>
      <c r="AS2374" s="38"/>
      <c r="AT2374" s="38"/>
      <c r="AU2374" s="38"/>
      <c r="AV2374" s="38"/>
      <c r="AW2374" s="38"/>
      <c r="AX2374" s="38"/>
      <c r="AY2374" s="38"/>
      <c r="AZ2374" s="38"/>
      <c r="BA2374" s="38"/>
      <c r="BB2374" s="38"/>
      <c r="BC2374" s="38"/>
      <c r="BD2374" s="38"/>
      <c r="BE2374" s="38"/>
      <c r="BF2374" s="38"/>
      <c r="BG2374" s="38"/>
      <c r="BH2374" s="38"/>
      <c r="BI2374" s="38"/>
      <c r="BJ2374" s="38"/>
      <c r="BK2374" s="38"/>
      <c r="BL2374" s="38"/>
      <c r="BM2374" s="38"/>
      <c r="BN2374" s="38"/>
      <c r="BO2374" s="38"/>
      <c r="BP2374" s="38"/>
      <c r="BQ2374" s="38"/>
    </row>
    <row r="2375">
      <c r="A2375" s="16"/>
      <c r="B2375" s="16"/>
      <c r="C2375" s="146"/>
      <c r="D2375" s="146"/>
      <c r="E2375" s="16"/>
      <c r="F2375" s="91"/>
      <c r="G2375" s="16"/>
      <c r="H2375" s="320" t="str">
        <f t="shared" si="33"/>
        <v/>
      </c>
      <c r="I2375" s="16"/>
      <c r="J2375" s="16"/>
      <c r="K2375" s="16"/>
      <c r="L2375" s="16"/>
      <c r="M2375" s="15"/>
      <c r="N2375" s="15"/>
      <c r="O2375" s="16"/>
      <c r="P2375" s="16"/>
      <c r="Q2375" s="16"/>
      <c r="R2375" s="16"/>
      <c r="S2375" s="37" t="str">
        <f>IFERROR(__xludf.DUMMYFUNCTION("if(not(iserror(index(split(C2375, "" ""),2))), index(split(C2375, "" ""),1),"""")"),"")</f>
        <v/>
      </c>
      <c r="T2375" s="315" t="str">
        <f>IFERROR(__xludf.DUMMYFUNCTION("if(S2375="""",C2375,if(not(iserror(index(split(C2375, "" ""),3))), index(split(C2375, "" ""),3),index(split(C2375, "" ""),2)))"),"")</f>
        <v/>
      </c>
      <c r="U2375" s="38" t="b">
        <f t="shared" si="34"/>
        <v>0</v>
      </c>
      <c r="V2375" s="38"/>
      <c r="W2375" s="40"/>
      <c r="X2375" s="40"/>
      <c r="Y2375" s="38"/>
      <c r="Z2375" s="38"/>
      <c r="AA2375" s="38"/>
      <c r="AB2375" s="38"/>
      <c r="AC2375" s="38"/>
      <c r="AD2375" s="38"/>
      <c r="AE2375" s="38"/>
      <c r="AF2375" s="38"/>
      <c r="AG2375" s="38"/>
      <c r="AH2375" s="38"/>
      <c r="AI2375" s="38"/>
      <c r="AJ2375" s="38"/>
      <c r="AK2375" s="38"/>
      <c r="AL2375" s="38"/>
      <c r="AM2375" s="38"/>
      <c r="AN2375" s="38"/>
      <c r="AO2375" s="38"/>
      <c r="AP2375" s="38"/>
      <c r="AQ2375" s="38"/>
      <c r="AR2375" s="38"/>
      <c r="AS2375" s="38"/>
      <c r="AT2375" s="38"/>
      <c r="AU2375" s="38"/>
      <c r="AV2375" s="38"/>
      <c r="AW2375" s="38"/>
      <c r="AX2375" s="38"/>
      <c r="AY2375" s="38"/>
      <c r="AZ2375" s="38"/>
      <c r="BA2375" s="38"/>
      <c r="BB2375" s="38"/>
      <c r="BC2375" s="38"/>
      <c r="BD2375" s="38"/>
      <c r="BE2375" s="38"/>
      <c r="BF2375" s="38"/>
      <c r="BG2375" s="38"/>
      <c r="BH2375" s="38"/>
      <c r="BI2375" s="38"/>
      <c r="BJ2375" s="38"/>
      <c r="BK2375" s="38"/>
      <c r="BL2375" s="38"/>
      <c r="BM2375" s="38"/>
      <c r="BN2375" s="38"/>
      <c r="BO2375" s="38"/>
      <c r="BP2375" s="38"/>
      <c r="BQ2375" s="38"/>
    </row>
    <row r="2376">
      <c r="A2376" s="16"/>
      <c r="B2376" s="16"/>
      <c r="C2376" s="146"/>
      <c r="D2376" s="146"/>
      <c r="E2376" s="16"/>
      <c r="F2376" s="91"/>
      <c r="G2376" s="16"/>
      <c r="H2376" s="320" t="str">
        <f t="shared" si="33"/>
        <v/>
      </c>
      <c r="I2376" s="16"/>
      <c r="J2376" s="16"/>
      <c r="K2376" s="16"/>
      <c r="L2376" s="16"/>
      <c r="M2376" s="15"/>
      <c r="N2376" s="15"/>
      <c r="O2376" s="16"/>
      <c r="P2376" s="16"/>
      <c r="Q2376" s="16"/>
      <c r="R2376" s="16"/>
      <c r="S2376" s="37" t="str">
        <f>IFERROR(__xludf.DUMMYFUNCTION("if(not(iserror(index(split(C2376, "" ""),2))), index(split(C2376, "" ""),1),"""")"),"")</f>
        <v/>
      </c>
      <c r="T2376" s="315" t="str">
        <f>IFERROR(__xludf.DUMMYFUNCTION("if(S2376="""",C2376,if(not(iserror(index(split(C2376, "" ""),3))), index(split(C2376, "" ""),3),index(split(C2376, "" ""),2)))"),"")</f>
        <v/>
      </c>
      <c r="U2376" s="38" t="b">
        <f t="shared" si="34"/>
        <v>0</v>
      </c>
      <c r="V2376" s="38"/>
      <c r="W2376" s="40"/>
      <c r="X2376" s="40"/>
      <c r="Y2376" s="38"/>
      <c r="Z2376" s="38"/>
      <c r="AA2376" s="38"/>
      <c r="AB2376" s="38"/>
      <c r="AC2376" s="38"/>
      <c r="AD2376" s="38"/>
      <c r="AE2376" s="38"/>
      <c r="AF2376" s="38"/>
      <c r="AG2376" s="38"/>
      <c r="AH2376" s="38"/>
      <c r="AI2376" s="38"/>
      <c r="AJ2376" s="38"/>
      <c r="AK2376" s="38"/>
      <c r="AL2376" s="38"/>
      <c r="AM2376" s="38"/>
      <c r="AN2376" s="38"/>
      <c r="AO2376" s="38"/>
      <c r="AP2376" s="38"/>
      <c r="AQ2376" s="38"/>
      <c r="AR2376" s="38"/>
      <c r="AS2376" s="38"/>
      <c r="AT2376" s="38"/>
      <c r="AU2376" s="38"/>
      <c r="AV2376" s="38"/>
      <c r="AW2376" s="38"/>
      <c r="AX2376" s="38"/>
      <c r="AY2376" s="38"/>
      <c r="AZ2376" s="38"/>
      <c r="BA2376" s="38"/>
      <c r="BB2376" s="38"/>
      <c r="BC2376" s="38"/>
      <c r="BD2376" s="38"/>
      <c r="BE2376" s="38"/>
      <c r="BF2376" s="38"/>
      <c r="BG2376" s="38"/>
      <c r="BH2376" s="38"/>
      <c r="BI2376" s="38"/>
      <c r="BJ2376" s="38"/>
      <c r="BK2376" s="38"/>
      <c r="BL2376" s="38"/>
      <c r="BM2376" s="38"/>
      <c r="BN2376" s="38"/>
      <c r="BO2376" s="38"/>
      <c r="BP2376" s="38"/>
      <c r="BQ2376" s="38"/>
    </row>
    <row r="2377">
      <c r="A2377" s="16"/>
      <c r="B2377" s="16"/>
      <c r="C2377" s="146"/>
      <c r="D2377" s="146"/>
      <c r="E2377" s="16"/>
      <c r="F2377" s="91"/>
      <c r="G2377" s="16"/>
      <c r="H2377" s="320" t="str">
        <f t="shared" si="33"/>
        <v/>
      </c>
      <c r="I2377" s="16"/>
      <c r="J2377" s="16"/>
      <c r="K2377" s="16"/>
      <c r="L2377" s="16"/>
      <c r="M2377" s="15"/>
      <c r="N2377" s="15"/>
      <c r="O2377" s="16"/>
      <c r="P2377" s="16"/>
      <c r="Q2377" s="16"/>
      <c r="R2377" s="16"/>
      <c r="S2377" s="37" t="str">
        <f>IFERROR(__xludf.DUMMYFUNCTION("if(not(iserror(index(split(C2377, "" ""),2))), index(split(C2377, "" ""),1),"""")"),"")</f>
        <v/>
      </c>
      <c r="T2377" s="315" t="str">
        <f>IFERROR(__xludf.DUMMYFUNCTION("if(S2377="""",C2377,if(not(iserror(index(split(C2377, "" ""),3))), index(split(C2377, "" ""),3),index(split(C2377, "" ""),2)))"),"")</f>
        <v/>
      </c>
      <c r="U2377" s="38" t="b">
        <f t="shared" si="34"/>
        <v>0</v>
      </c>
      <c r="V2377" s="38"/>
      <c r="W2377" s="40"/>
      <c r="X2377" s="40"/>
      <c r="Y2377" s="38"/>
      <c r="Z2377" s="38"/>
      <c r="AA2377" s="38"/>
      <c r="AB2377" s="38"/>
      <c r="AC2377" s="38"/>
      <c r="AD2377" s="38"/>
      <c r="AE2377" s="38"/>
      <c r="AF2377" s="38"/>
      <c r="AG2377" s="38"/>
      <c r="AH2377" s="38"/>
      <c r="AI2377" s="38"/>
      <c r="AJ2377" s="38"/>
      <c r="AK2377" s="38"/>
      <c r="AL2377" s="38"/>
      <c r="AM2377" s="38"/>
      <c r="AN2377" s="38"/>
      <c r="AO2377" s="38"/>
      <c r="AP2377" s="38"/>
      <c r="AQ2377" s="38"/>
      <c r="AR2377" s="38"/>
      <c r="AS2377" s="38"/>
      <c r="AT2377" s="38"/>
      <c r="AU2377" s="38"/>
      <c r="AV2377" s="38"/>
      <c r="AW2377" s="38"/>
      <c r="AX2377" s="38"/>
      <c r="AY2377" s="38"/>
      <c r="AZ2377" s="38"/>
      <c r="BA2377" s="38"/>
      <c r="BB2377" s="38"/>
      <c r="BC2377" s="38"/>
      <c r="BD2377" s="38"/>
      <c r="BE2377" s="38"/>
      <c r="BF2377" s="38"/>
      <c r="BG2377" s="38"/>
      <c r="BH2377" s="38"/>
      <c r="BI2377" s="38"/>
      <c r="BJ2377" s="38"/>
      <c r="BK2377" s="38"/>
      <c r="BL2377" s="38"/>
      <c r="BM2377" s="38"/>
      <c r="BN2377" s="38"/>
      <c r="BO2377" s="38"/>
      <c r="BP2377" s="38"/>
      <c r="BQ2377" s="38"/>
    </row>
    <row r="2378">
      <c r="A2378" s="16"/>
      <c r="B2378" s="16"/>
      <c r="C2378" s="146"/>
      <c r="D2378" s="146"/>
      <c r="E2378" s="16"/>
      <c r="F2378" s="91"/>
      <c r="G2378" s="16"/>
      <c r="H2378" s="320" t="str">
        <f t="shared" si="33"/>
        <v/>
      </c>
      <c r="I2378" s="16"/>
      <c r="J2378" s="16"/>
      <c r="K2378" s="16"/>
      <c r="L2378" s="16"/>
      <c r="M2378" s="15"/>
      <c r="N2378" s="15"/>
      <c r="O2378" s="16"/>
      <c r="P2378" s="16"/>
      <c r="Q2378" s="16"/>
      <c r="R2378" s="16"/>
      <c r="S2378" s="37" t="str">
        <f>IFERROR(__xludf.DUMMYFUNCTION("if(not(iserror(index(split(C2378, "" ""),2))), index(split(C2378, "" ""),1),"""")"),"")</f>
        <v/>
      </c>
      <c r="T2378" s="315" t="str">
        <f>IFERROR(__xludf.DUMMYFUNCTION("if(S2378="""",C2378,if(not(iserror(index(split(C2378, "" ""),3))), index(split(C2378, "" ""),3),index(split(C2378, "" ""),2)))"),"")</f>
        <v/>
      </c>
      <c r="U2378" s="38" t="b">
        <f t="shared" si="34"/>
        <v>0</v>
      </c>
      <c r="V2378" s="38"/>
      <c r="W2378" s="40"/>
      <c r="X2378" s="40"/>
      <c r="Y2378" s="38"/>
      <c r="Z2378" s="38"/>
      <c r="AA2378" s="38"/>
      <c r="AB2378" s="38"/>
      <c r="AC2378" s="38"/>
      <c r="AD2378" s="38"/>
      <c r="AE2378" s="38"/>
      <c r="AF2378" s="38"/>
      <c r="AG2378" s="38"/>
      <c r="AH2378" s="38"/>
      <c r="AI2378" s="38"/>
      <c r="AJ2378" s="38"/>
      <c r="AK2378" s="38"/>
      <c r="AL2378" s="38"/>
      <c r="AM2378" s="38"/>
      <c r="AN2378" s="38"/>
      <c r="AO2378" s="38"/>
      <c r="AP2378" s="38"/>
      <c r="AQ2378" s="38"/>
      <c r="AR2378" s="38"/>
      <c r="AS2378" s="38"/>
      <c r="AT2378" s="38"/>
      <c r="AU2378" s="38"/>
      <c r="AV2378" s="38"/>
      <c r="AW2378" s="38"/>
      <c r="AX2378" s="38"/>
      <c r="AY2378" s="38"/>
      <c r="AZ2378" s="38"/>
      <c r="BA2378" s="38"/>
      <c r="BB2378" s="38"/>
      <c r="BC2378" s="38"/>
      <c r="BD2378" s="38"/>
      <c r="BE2378" s="38"/>
      <c r="BF2378" s="38"/>
      <c r="BG2378" s="38"/>
      <c r="BH2378" s="38"/>
      <c r="BI2378" s="38"/>
      <c r="BJ2378" s="38"/>
      <c r="BK2378" s="38"/>
      <c r="BL2378" s="38"/>
      <c r="BM2378" s="38"/>
      <c r="BN2378" s="38"/>
      <c r="BO2378" s="38"/>
      <c r="BP2378" s="38"/>
      <c r="BQ2378" s="38"/>
    </row>
    <row r="2379">
      <c r="A2379" s="16"/>
      <c r="B2379" s="16"/>
      <c r="C2379" s="146"/>
      <c r="D2379" s="146"/>
      <c r="E2379" s="16"/>
      <c r="F2379" s="91"/>
      <c r="G2379" s="16"/>
      <c r="H2379" s="320" t="str">
        <f t="shared" si="33"/>
        <v/>
      </c>
      <c r="I2379" s="16"/>
      <c r="J2379" s="16"/>
      <c r="K2379" s="16"/>
      <c r="L2379" s="16"/>
      <c r="M2379" s="15"/>
      <c r="N2379" s="15"/>
      <c r="O2379" s="16"/>
      <c r="P2379" s="16"/>
      <c r="Q2379" s="16"/>
      <c r="R2379" s="16"/>
      <c r="S2379" s="37" t="str">
        <f>IFERROR(__xludf.DUMMYFUNCTION("if(not(iserror(index(split(C2379, "" ""),2))), index(split(C2379, "" ""),1),"""")"),"")</f>
        <v/>
      </c>
      <c r="T2379" s="315" t="str">
        <f>IFERROR(__xludf.DUMMYFUNCTION("if(S2379="""",C2379,if(not(iserror(index(split(C2379, "" ""),3))), index(split(C2379, "" ""),3),index(split(C2379, "" ""),2)))"),"")</f>
        <v/>
      </c>
      <c r="U2379" s="38" t="b">
        <f t="shared" si="34"/>
        <v>0</v>
      </c>
      <c r="V2379" s="38"/>
      <c r="W2379" s="40"/>
      <c r="X2379" s="40"/>
      <c r="Y2379" s="38"/>
      <c r="Z2379" s="38"/>
      <c r="AA2379" s="38"/>
      <c r="AB2379" s="38"/>
      <c r="AC2379" s="38"/>
      <c r="AD2379" s="38"/>
      <c r="AE2379" s="38"/>
      <c r="AF2379" s="38"/>
      <c r="AG2379" s="38"/>
      <c r="AH2379" s="38"/>
      <c r="AI2379" s="38"/>
      <c r="AJ2379" s="38"/>
      <c r="AK2379" s="38"/>
      <c r="AL2379" s="38"/>
      <c r="AM2379" s="38"/>
      <c r="AN2379" s="38"/>
      <c r="AO2379" s="38"/>
      <c r="AP2379" s="38"/>
      <c r="AQ2379" s="38"/>
      <c r="AR2379" s="38"/>
      <c r="AS2379" s="38"/>
      <c r="AT2379" s="38"/>
      <c r="AU2379" s="38"/>
      <c r="AV2379" s="38"/>
      <c r="AW2379" s="38"/>
      <c r="AX2379" s="38"/>
      <c r="AY2379" s="38"/>
      <c r="AZ2379" s="38"/>
      <c r="BA2379" s="38"/>
      <c r="BB2379" s="38"/>
      <c r="BC2379" s="38"/>
      <c r="BD2379" s="38"/>
      <c r="BE2379" s="38"/>
      <c r="BF2379" s="38"/>
      <c r="BG2379" s="38"/>
      <c r="BH2379" s="38"/>
      <c r="BI2379" s="38"/>
      <c r="BJ2379" s="38"/>
      <c r="BK2379" s="38"/>
      <c r="BL2379" s="38"/>
      <c r="BM2379" s="38"/>
      <c r="BN2379" s="38"/>
      <c r="BO2379" s="38"/>
      <c r="BP2379" s="38"/>
      <c r="BQ2379" s="38"/>
    </row>
    <row r="2380">
      <c r="A2380" s="16"/>
      <c r="B2380" s="16"/>
      <c r="C2380" s="146"/>
      <c r="D2380" s="146"/>
      <c r="E2380" s="16"/>
      <c r="F2380" s="91"/>
      <c r="G2380" s="16"/>
      <c r="H2380" s="320" t="str">
        <f t="shared" si="33"/>
        <v/>
      </c>
      <c r="I2380" s="16"/>
      <c r="J2380" s="16"/>
      <c r="K2380" s="16"/>
      <c r="L2380" s="16"/>
      <c r="M2380" s="15"/>
      <c r="N2380" s="15"/>
      <c r="O2380" s="16"/>
      <c r="P2380" s="16"/>
      <c r="Q2380" s="16"/>
      <c r="R2380" s="16"/>
      <c r="S2380" s="37" t="str">
        <f>IFERROR(__xludf.DUMMYFUNCTION("if(not(iserror(index(split(C2380, "" ""),2))), index(split(C2380, "" ""),1),"""")"),"")</f>
        <v/>
      </c>
      <c r="T2380" s="315" t="str">
        <f>IFERROR(__xludf.DUMMYFUNCTION("if(S2380="""",C2380,if(not(iserror(index(split(C2380, "" ""),3))), index(split(C2380, "" ""),3),index(split(C2380, "" ""),2)))"),"")</f>
        <v/>
      </c>
      <c r="U2380" s="38" t="b">
        <f t="shared" si="34"/>
        <v>0</v>
      </c>
      <c r="V2380" s="38"/>
      <c r="W2380" s="40"/>
      <c r="X2380" s="40"/>
      <c r="Y2380" s="38"/>
      <c r="Z2380" s="38"/>
      <c r="AA2380" s="38"/>
      <c r="AB2380" s="38"/>
      <c r="AC2380" s="38"/>
      <c r="AD2380" s="38"/>
      <c r="AE2380" s="38"/>
      <c r="AF2380" s="38"/>
      <c r="AG2380" s="38"/>
      <c r="AH2380" s="38"/>
      <c r="AI2380" s="38"/>
      <c r="AJ2380" s="38"/>
      <c r="AK2380" s="38"/>
      <c r="AL2380" s="38"/>
      <c r="AM2380" s="38"/>
      <c r="AN2380" s="38"/>
      <c r="AO2380" s="38"/>
      <c r="AP2380" s="38"/>
      <c r="AQ2380" s="38"/>
      <c r="AR2380" s="38"/>
      <c r="AS2380" s="38"/>
      <c r="AT2380" s="38"/>
      <c r="AU2380" s="38"/>
      <c r="AV2380" s="38"/>
      <c r="AW2380" s="38"/>
      <c r="AX2380" s="38"/>
      <c r="AY2380" s="38"/>
      <c r="AZ2380" s="38"/>
      <c r="BA2380" s="38"/>
      <c r="BB2380" s="38"/>
      <c r="BC2380" s="38"/>
      <c r="BD2380" s="38"/>
      <c r="BE2380" s="38"/>
      <c r="BF2380" s="38"/>
      <c r="BG2380" s="38"/>
      <c r="BH2380" s="38"/>
      <c r="BI2380" s="38"/>
      <c r="BJ2380" s="38"/>
      <c r="BK2380" s="38"/>
      <c r="BL2380" s="38"/>
      <c r="BM2380" s="38"/>
      <c r="BN2380" s="38"/>
      <c r="BO2380" s="38"/>
      <c r="BP2380" s="38"/>
      <c r="BQ2380" s="38"/>
    </row>
    <row r="2381">
      <c r="A2381" s="16"/>
      <c r="B2381" s="16"/>
      <c r="C2381" s="146"/>
      <c r="D2381" s="146"/>
      <c r="E2381" s="16"/>
      <c r="F2381" s="91"/>
      <c r="G2381" s="16"/>
      <c r="H2381" s="320" t="str">
        <f t="shared" si="33"/>
        <v/>
      </c>
      <c r="I2381" s="16"/>
      <c r="J2381" s="16"/>
      <c r="K2381" s="16"/>
      <c r="L2381" s="16"/>
      <c r="M2381" s="15"/>
      <c r="N2381" s="15"/>
      <c r="O2381" s="16"/>
      <c r="P2381" s="16"/>
      <c r="Q2381" s="16"/>
      <c r="R2381" s="16"/>
      <c r="S2381" s="37" t="str">
        <f>IFERROR(__xludf.DUMMYFUNCTION("if(not(iserror(index(split(C2381, "" ""),2))), index(split(C2381, "" ""),1),"""")"),"")</f>
        <v/>
      </c>
      <c r="T2381" s="315" t="str">
        <f>IFERROR(__xludf.DUMMYFUNCTION("if(S2381="""",C2381,if(not(iserror(index(split(C2381, "" ""),3))), index(split(C2381, "" ""),3),index(split(C2381, "" ""),2)))"),"")</f>
        <v/>
      </c>
      <c r="U2381" s="38" t="b">
        <f t="shared" si="34"/>
        <v>0</v>
      </c>
      <c r="V2381" s="38"/>
      <c r="W2381" s="40"/>
      <c r="X2381" s="40"/>
      <c r="Y2381" s="38"/>
      <c r="Z2381" s="38"/>
      <c r="AA2381" s="38"/>
      <c r="AB2381" s="38"/>
      <c r="AC2381" s="38"/>
      <c r="AD2381" s="38"/>
      <c r="AE2381" s="38"/>
      <c r="AF2381" s="38"/>
      <c r="AG2381" s="38"/>
      <c r="AH2381" s="38"/>
      <c r="AI2381" s="38"/>
      <c r="AJ2381" s="38"/>
      <c r="AK2381" s="38"/>
      <c r="AL2381" s="38"/>
      <c r="AM2381" s="38"/>
      <c r="AN2381" s="38"/>
      <c r="AO2381" s="38"/>
      <c r="AP2381" s="38"/>
      <c r="AQ2381" s="38"/>
      <c r="AR2381" s="38"/>
      <c r="AS2381" s="38"/>
      <c r="AT2381" s="38"/>
      <c r="AU2381" s="38"/>
      <c r="AV2381" s="38"/>
      <c r="AW2381" s="38"/>
      <c r="AX2381" s="38"/>
      <c r="AY2381" s="38"/>
      <c r="AZ2381" s="38"/>
      <c r="BA2381" s="38"/>
      <c r="BB2381" s="38"/>
      <c r="BC2381" s="38"/>
      <c r="BD2381" s="38"/>
      <c r="BE2381" s="38"/>
      <c r="BF2381" s="38"/>
      <c r="BG2381" s="38"/>
      <c r="BH2381" s="38"/>
      <c r="BI2381" s="38"/>
      <c r="BJ2381" s="38"/>
      <c r="BK2381" s="38"/>
      <c r="BL2381" s="38"/>
      <c r="BM2381" s="38"/>
      <c r="BN2381" s="38"/>
      <c r="BO2381" s="38"/>
      <c r="BP2381" s="38"/>
      <c r="BQ2381" s="38"/>
    </row>
    <row r="2382">
      <c r="A2382" s="16"/>
      <c r="B2382" s="16"/>
      <c r="C2382" s="146"/>
      <c r="D2382" s="146"/>
      <c r="E2382" s="16"/>
      <c r="F2382" s="91"/>
      <c r="G2382" s="16"/>
      <c r="H2382" s="320" t="str">
        <f t="shared" si="33"/>
        <v/>
      </c>
      <c r="I2382" s="16"/>
      <c r="J2382" s="16"/>
      <c r="K2382" s="16"/>
      <c r="L2382" s="16"/>
      <c r="M2382" s="15"/>
      <c r="N2382" s="15"/>
      <c r="O2382" s="16"/>
      <c r="P2382" s="16"/>
      <c r="Q2382" s="16"/>
      <c r="R2382" s="16"/>
      <c r="S2382" s="37" t="str">
        <f>IFERROR(__xludf.DUMMYFUNCTION("if(not(iserror(index(split(C2382, "" ""),2))), index(split(C2382, "" ""),1),"""")"),"")</f>
        <v/>
      </c>
      <c r="T2382" s="315" t="str">
        <f>IFERROR(__xludf.DUMMYFUNCTION("if(S2382="""",C2382,if(not(iserror(index(split(C2382, "" ""),3))), index(split(C2382, "" ""),3),index(split(C2382, "" ""),2)))"),"")</f>
        <v/>
      </c>
      <c r="U2382" s="38" t="b">
        <f t="shared" si="34"/>
        <v>0</v>
      </c>
      <c r="V2382" s="38"/>
      <c r="W2382" s="40"/>
      <c r="X2382" s="40"/>
      <c r="Y2382" s="38"/>
      <c r="Z2382" s="38"/>
      <c r="AA2382" s="38"/>
      <c r="AB2382" s="38"/>
      <c r="AC2382" s="38"/>
      <c r="AD2382" s="38"/>
      <c r="AE2382" s="38"/>
      <c r="AF2382" s="38"/>
      <c r="AG2382" s="38"/>
      <c r="AH2382" s="38"/>
      <c r="AI2382" s="38"/>
      <c r="AJ2382" s="38"/>
      <c r="AK2382" s="38"/>
      <c r="AL2382" s="38"/>
      <c r="AM2382" s="38"/>
      <c r="AN2382" s="38"/>
      <c r="AO2382" s="38"/>
      <c r="AP2382" s="38"/>
      <c r="AQ2382" s="38"/>
      <c r="AR2382" s="38"/>
      <c r="AS2382" s="38"/>
      <c r="AT2382" s="38"/>
      <c r="AU2382" s="38"/>
      <c r="AV2382" s="38"/>
      <c r="AW2382" s="38"/>
      <c r="AX2382" s="38"/>
      <c r="AY2382" s="38"/>
      <c r="AZ2382" s="38"/>
      <c r="BA2382" s="38"/>
      <c r="BB2382" s="38"/>
      <c r="BC2382" s="38"/>
      <c r="BD2382" s="38"/>
      <c r="BE2382" s="38"/>
      <c r="BF2382" s="38"/>
      <c r="BG2382" s="38"/>
      <c r="BH2382" s="38"/>
      <c r="BI2382" s="38"/>
      <c r="BJ2382" s="38"/>
      <c r="BK2382" s="38"/>
      <c r="BL2382" s="38"/>
      <c r="BM2382" s="38"/>
      <c r="BN2382" s="38"/>
      <c r="BO2382" s="38"/>
      <c r="BP2382" s="38"/>
      <c r="BQ2382" s="38"/>
    </row>
    <row r="2383">
      <c r="A2383" s="16"/>
      <c r="B2383" s="16"/>
      <c r="C2383" s="146"/>
      <c r="D2383" s="146"/>
      <c r="E2383" s="16"/>
      <c r="F2383" s="91"/>
      <c r="G2383" s="16"/>
      <c r="H2383" s="320" t="str">
        <f t="shared" si="33"/>
        <v/>
      </c>
      <c r="I2383" s="16"/>
      <c r="J2383" s="16"/>
      <c r="K2383" s="16"/>
      <c r="L2383" s="16"/>
      <c r="M2383" s="15"/>
      <c r="N2383" s="15"/>
      <c r="O2383" s="16"/>
      <c r="P2383" s="16"/>
      <c r="Q2383" s="16"/>
      <c r="R2383" s="16"/>
      <c r="S2383" s="37" t="str">
        <f>IFERROR(__xludf.DUMMYFUNCTION("if(not(iserror(index(split(C2383, "" ""),2))), index(split(C2383, "" ""),1),"""")"),"")</f>
        <v/>
      </c>
      <c r="T2383" s="315" t="str">
        <f>IFERROR(__xludf.DUMMYFUNCTION("if(S2383="""",C2383,if(not(iserror(index(split(C2383, "" ""),3))), index(split(C2383, "" ""),3),index(split(C2383, "" ""),2)))"),"")</f>
        <v/>
      </c>
      <c r="U2383" s="38" t="b">
        <f t="shared" si="34"/>
        <v>0</v>
      </c>
      <c r="V2383" s="38"/>
      <c r="W2383" s="40"/>
      <c r="X2383" s="40"/>
      <c r="Y2383" s="38"/>
      <c r="Z2383" s="38"/>
      <c r="AA2383" s="38"/>
      <c r="AB2383" s="38"/>
      <c r="AC2383" s="38"/>
      <c r="AD2383" s="38"/>
      <c r="AE2383" s="38"/>
      <c r="AF2383" s="38"/>
      <c r="AG2383" s="38"/>
      <c r="AH2383" s="38"/>
      <c r="AI2383" s="38"/>
      <c r="AJ2383" s="38"/>
      <c r="AK2383" s="38"/>
      <c r="AL2383" s="38"/>
      <c r="AM2383" s="38"/>
      <c r="AN2383" s="38"/>
      <c r="AO2383" s="38"/>
      <c r="AP2383" s="38"/>
      <c r="AQ2383" s="38"/>
      <c r="AR2383" s="38"/>
      <c r="AS2383" s="38"/>
      <c r="AT2383" s="38"/>
      <c r="AU2383" s="38"/>
      <c r="AV2383" s="38"/>
      <c r="AW2383" s="38"/>
      <c r="AX2383" s="38"/>
      <c r="AY2383" s="38"/>
      <c r="AZ2383" s="38"/>
      <c r="BA2383" s="38"/>
      <c r="BB2383" s="38"/>
      <c r="BC2383" s="38"/>
      <c r="BD2383" s="38"/>
      <c r="BE2383" s="38"/>
      <c r="BF2383" s="38"/>
      <c r="BG2383" s="38"/>
      <c r="BH2383" s="38"/>
      <c r="BI2383" s="38"/>
      <c r="BJ2383" s="38"/>
      <c r="BK2383" s="38"/>
      <c r="BL2383" s="38"/>
      <c r="BM2383" s="38"/>
      <c r="BN2383" s="38"/>
      <c r="BO2383" s="38"/>
      <c r="BP2383" s="38"/>
      <c r="BQ2383" s="38"/>
    </row>
    <row r="2384">
      <c r="A2384" s="16"/>
      <c r="B2384" s="16"/>
      <c r="C2384" s="146"/>
      <c r="D2384" s="146"/>
      <c r="E2384" s="16"/>
      <c r="F2384" s="91"/>
      <c r="G2384" s="16"/>
      <c r="H2384" s="320" t="str">
        <f t="shared" si="33"/>
        <v/>
      </c>
      <c r="I2384" s="16"/>
      <c r="J2384" s="16"/>
      <c r="K2384" s="16"/>
      <c r="L2384" s="16"/>
      <c r="M2384" s="15"/>
      <c r="N2384" s="15"/>
      <c r="O2384" s="16"/>
      <c r="P2384" s="16"/>
      <c r="Q2384" s="16"/>
      <c r="R2384" s="16"/>
      <c r="S2384" s="37" t="str">
        <f>IFERROR(__xludf.DUMMYFUNCTION("if(not(iserror(index(split(C2384, "" ""),2))), index(split(C2384, "" ""),1),"""")"),"")</f>
        <v/>
      </c>
      <c r="T2384" s="315" t="str">
        <f>IFERROR(__xludf.DUMMYFUNCTION("if(S2384="""",C2384,if(not(iserror(index(split(C2384, "" ""),3))), index(split(C2384, "" ""),3),index(split(C2384, "" ""),2)))"),"")</f>
        <v/>
      </c>
      <c r="U2384" s="38" t="b">
        <f t="shared" si="34"/>
        <v>0</v>
      </c>
      <c r="V2384" s="38"/>
      <c r="W2384" s="40"/>
      <c r="X2384" s="40"/>
      <c r="Y2384" s="38"/>
      <c r="Z2384" s="38"/>
      <c r="AA2384" s="38"/>
      <c r="AB2384" s="38"/>
      <c r="AC2384" s="38"/>
      <c r="AD2384" s="38"/>
      <c r="AE2384" s="38"/>
      <c r="AF2384" s="38"/>
      <c r="AG2384" s="38"/>
      <c r="AH2384" s="38"/>
      <c r="AI2384" s="38"/>
      <c r="AJ2384" s="38"/>
      <c r="AK2384" s="38"/>
      <c r="AL2384" s="38"/>
      <c r="AM2384" s="38"/>
      <c r="AN2384" s="38"/>
      <c r="AO2384" s="38"/>
      <c r="AP2384" s="38"/>
      <c r="AQ2384" s="38"/>
      <c r="AR2384" s="38"/>
      <c r="AS2384" s="38"/>
      <c r="AT2384" s="38"/>
      <c r="AU2384" s="38"/>
      <c r="AV2384" s="38"/>
      <c r="AW2384" s="38"/>
      <c r="AX2384" s="38"/>
      <c r="AY2384" s="38"/>
      <c r="AZ2384" s="38"/>
      <c r="BA2384" s="38"/>
      <c r="BB2384" s="38"/>
      <c r="BC2384" s="38"/>
      <c r="BD2384" s="38"/>
      <c r="BE2384" s="38"/>
      <c r="BF2384" s="38"/>
      <c r="BG2384" s="38"/>
      <c r="BH2384" s="38"/>
      <c r="BI2384" s="38"/>
      <c r="BJ2384" s="38"/>
      <c r="BK2384" s="38"/>
      <c r="BL2384" s="38"/>
      <c r="BM2384" s="38"/>
      <c r="BN2384" s="38"/>
      <c r="BO2384" s="38"/>
      <c r="BP2384" s="38"/>
      <c r="BQ2384" s="38"/>
    </row>
    <row r="2385">
      <c r="A2385" s="16"/>
      <c r="B2385" s="16"/>
      <c r="C2385" s="146"/>
      <c r="D2385" s="146"/>
      <c r="E2385" s="16"/>
      <c r="F2385" s="91"/>
      <c r="G2385" s="16"/>
      <c r="H2385" s="320" t="str">
        <f t="shared" si="33"/>
        <v/>
      </c>
      <c r="I2385" s="16"/>
      <c r="J2385" s="16"/>
      <c r="K2385" s="16"/>
      <c r="L2385" s="16"/>
      <c r="M2385" s="15"/>
      <c r="N2385" s="15"/>
      <c r="O2385" s="16"/>
      <c r="P2385" s="16"/>
      <c r="Q2385" s="16"/>
      <c r="R2385" s="16"/>
      <c r="S2385" s="37" t="str">
        <f>IFERROR(__xludf.DUMMYFUNCTION("if(not(iserror(index(split(C2385, "" ""),2))), index(split(C2385, "" ""),1),"""")"),"")</f>
        <v/>
      </c>
      <c r="T2385" s="315" t="str">
        <f>IFERROR(__xludf.DUMMYFUNCTION("if(S2385="""",C2385,if(not(iserror(index(split(C2385, "" ""),3))), index(split(C2385, "" ""),3),index(split(C2385, "" ""),2)))"),"")</f>
        <v/>
      </c>
      <c r="U2385" s="38" t="b">
        <f t="shared" si="34"/>
        <v>0</v>
      </c>
      <c r="V2385" s="38"/>
      <c r="W2385" s="40"/>
      <c r="X2385" s="40"/>
      <c r="Y2385" s="38"/>
      <c r="Z2385" s="38"/>
      <c r="AA2385" s="38"/>
      <c r="AB2385" s="38"/>
      <c r="AC2385" s="38"/>
      <c r="AD2385" s="38"/>
      <c r="AE2385" s="38"/>
      <c r="AF2385" s="38"/>
      <c r="AG2385" s="38"/>
      <c r="AH2385" s="38"/>
      <c r="AI2385" s="38"/>
      <c r="AJ2385" s="38"/>
      <c r="AK2385" s="38"/>
      <c r="AL2385" s="38"/>
      <c r="AM2385" s="38"/>
      <c r="AN2385" s="38"/>
      <c r="AO2385" s="38"/>
      <c r="AP2385" s="38"/>
      <c r="AQ2385" s="38"/>
      <c r="AR2385" s="38"/>
      <c r="AS2385" s="38"/>
      <c r="AT2385" s="38"/>
      <c r="AU2385" s="38"/>
      <c r="AV2385" s="38"/>
      <c r="AW2385" s="38"/>
      <c r="AX2385" s="38"/>
      <c r="AY2385" s="38"/>
      <c r="AZ2385" s="38"/>
      <c r="BA2385" s="38"/>
      <c r="BB2385" s="38"/>
      <c r="BC2385" s="38"/>
      <c r="BD2385" s="38"/>
      <c r="BE2385" s="38"/>
      <c r="BF2385" s="38"/>
      <c r="BG2385" s="38"/>
      <c r="BH2385" s="38"/>
      <c r="BI2385" s="38"/>
      <c r="BJ2385" s="38"/>
      <c r="BK2385" s="38"/>
      <c r="BL2385" s="38"/>
      <c r="BM2385" s="38"/>
      <c r="BN2385" s="38"/>
      <c r="BO2385" s="38"/>
      <c r="BP2385" s="38"/>
      <c r="BQ2385" s="38"/>
    </row>
    <row r="2386">
      <c r="A2386" s="16"/>
      <c r="B2386" s="16"/>
      <c r="C2386" s="146"/>
      <c r="D2386" s="146"/>
      <c r="E2386" s="16"/>
      <c r="F2386" s="91"/>
      <c r="G2386" s="16"/>
      <c r="H2386" s="320" t="str">
        <f t="shared" si="33"/>
        <v/>
      </c>
      <c r="I2386" s="16"/>
      <c r="J2386" s="16"/>
      <c r="K2386" s="16"/>
      <c r="L2386" s="16"/>
      <c r="M2386" s="15"/>
      <c r="N2386" s="15"/>
      <c r="O2386" s="16"/>
      <c r="P2386" s="16"/>
      <c r="Q2386" s="16"/>
      <c r="R2386" s="16"/>
      <c r="S2386" s="37" t="str">
        <f>IFERROR(__xludf.DUMMYFUNCTION("if(not(iserror(index(split(C2386, "" ""),2))), index(split(C2386, "" ""),1),"""")"),"")</f>
        <v/>
      </c>
      <c r="T2386" s="315" t="str">
        <f>IFERROR(__xludf.DUMMYFUNCTION("if(S2386="""",C2386,if(not(iserror(index(split(C2386, "" ""),3))), index(split(C2386, "" ""),3),index(split(C2386, "" ""),2)))"),"")</f>
        <v/>
      </c>
      <c r="U2386" s="38" t="b">
        <f t="shared" si="34"/>
        <v>0</v>
      </c>
      <c r="V2386" s="38"/>
      <c r="W2386" s="40"/>
      <c r="X2386" s="40"/>
      <c r="Y2386" s="38"/>
      <c r="Z2386" s="38"/>
      <c r="AA2386" s="38"/>
      <c r="AB2386" s="38"/>
      <c r="AC2386" s="38"/>
      <c r="AD2386" s="38"/>
      <c r="AE2386" s="38"/>
      <c r="AF2386" s="38"/>
      <c r="AG2386" s="38"/>
      <c r="AH2386" s="38"/>
      <c r="AI2386" s="38"/>
      <c r="AJ2386" s="38"/>
      <c r="AK2386" s="38"/>
      <c r="AL2386" s="38"/>
      <c r="AM2386" s="38"/>
      <c r="AN2386" s="38"/>
      <c r="AO2386" s="38"/>
      <c r="AP2386" s="38"/>
      <c r="AQ2386" s="38"/>
      <c r="AR2386" s="38"/>
      <c r="AS2386" s="38"/>
      <c r="AT2386" s="38"/>
      <c r="AU2386" s="38"/>
      <c r="AV2386" s="38"/>
      <c r="AW2386" s="38"/>
      <c r="AX2386" s="38"/>
      <c r="AY2386" s="38"/>
      <c r="AZ2386" s="38"/>
      <c r="BA2386" s="38"/>
      <c r="BB2386" s="38"/>
      <c r="BC2386" s="38"/>
      <c r="BD2386" s="38"/>
      <c r="BE2386" s="38"/>
      <c r="BF2386" s="38"/>
      <c r="BG2386" s="38"/>
      <c r="BH2386" s="38"/>
      <c r="BI2386" s="38"/>
      <c r="BJ2386" s="38"/>
      <c r="BK2386" s="38"/>
      <c r="BL2386" s="38"/>
      <c r="BM2386" s="38"/>
      <c r="BN2386" s="38"/>
      <c r="BO2386" s="38"/>
      <c r="BP2386" s="38"/>
      <c r="BQ2386" s="38"/>
    </row>
    <row r="2387">
      <c r="A2387" s="16"/>
      <c r="B2387" s="16"/>
      <c r="C2387" s="146"/>
      <c r="D2387" s="146"/>
      <c r="E2387" s="16"/>
      <c r="F2387" s="91"/>
      <c r="G2387" s="16"/>
      <c r="H2387" s="320" t="str">
        <f t="shared" si="33"/>
        <v/>
      </c>
      <c r="I2387" s="16"/>
      <c r="J2387" s="16"/>
      <c r="K2387" s="16"/>
      <c r="L2387" s="16"/>
      <c r="M2387" s="15"/>
      <c r="N2387" s="15"/>
      <c r="O2387" s="16"/>
      <c r="P2387" s="16"/>
      <c r="Q2387" s="16"/>
      <c r="R2387" s="16"/>
      <c r="S2387" s="37" t="str">
        <f>IFERROR(__xludf.DUMMYFUNCTION("if(not(iserror(index(split(C2387, "" ""),2))), index(split(C2387, "" ""),1),"""")"),"")</f>
        <v/>
      </c>
      <c r="T2387" s="315" t="str">
        <f>IFERROR(__xludf.DUMMYFUNCTION("if(S2387="""",C2387,if(not(iserror(index(split(C2387, "" ""),3))), index(split(C2387, "" ""),3),index(split(C2387, "" ""),2)))"),"")</f>
        <v/>
      </c>
      <c r="U2387" s="38" t="b">
        <f t="shared" si="34"/>
        <v>0</v>
      </c>
      <c r="V2387" s="38"/>
      <c r="W2387" s="40"/>
      <c r="X2387" s="40"/>
      <c r="Y2387" s="38"/>
      <c r="Z2387" s="38"/>
      <c r="AA2387" s="38"/>
      <c r="AB2387" s="38"/>
      <c r="AC2387" s="38"/>
      <c r="AD2387" s="38"/>
      <c r="AE2387" s="38"/>
      <c r="AF2387" s="38"/>
      <c r="AG2387" s="38"/>
      <c r="AH2387" s="38"/>
      <c r="AI2387" s="38"/>
      <c r="AJ2387" s="38"/>
      <c r="AK2387" s="38"/>
      <c r="AL2387" s="38"/>
      <c r="AM2387" s="38"/>
      <c r="AN2387" s="38"/>
      <c r="AO2387" s="38"/>
      <c r="AP2387" s="38"/>
      <c r="AQ2387" s="38"/>
      <c r="AR2387" s="38"/>
      <c r="AS2387" s="38"/>
      <c r="AT2387" s="38"/>
      <c r="AU2387" s="38"/>
      <c r="AV2387" s="38"/>
      <c r="AW2387" s="38"/>
      <c r="AX2387" s="38"/>
      <c r="AY2387" s="38"/>
      <c r="AZ2387" s="38"/>
      <c r="BA2387" s="38"/>
      <c r="BB2387" s="38"/>
      <c r="BC2387" s="38"/>
      <c r="BD2387" s="38"/>
      <c r="BE2387" s="38"/>
      <c r="BF2387" s="38"/>
      <c r="BG2387" s="38"/>
      <c r="BH2387" s="38"/>
      <c r="BI2387" s="38"/>
      <c r="BJ2387" s="38"/>
      <c r="BK2387" s="38"/>
      <c r="BL2387" s="38"/>
      <c r="BM2387" s="38"/>
      <c r="BN2387" s="38"/>
      <c r="BO2387" s="38"/>
      <c r="BP2387" s="38"/>
      <c r="BQ2387" s="38"/>
    </row>
    <row r="2388">
      <c r="A2388" s="16"/>
      <c r="B2388" s="16"/>
      <c r="C2388" s="146"/>
      <c r="D2388" s="146"/>
      <c r="E2388" s="16"/>
      <c r="F2388" s="91"/>
      <c r="G2388" s="16"/>
      <c r="H2388" s="320" t="str">
        <f t="shared" si="33"/>
        <v/>
      </c>
      <c r="I2388" s="16"/>
      <c r="J2388" s="16"/>
      <c r="K2388" s="16"/>
      <c r="L2388" s="16"/>
      <c r="M2388" s="15"/>
      <c r="N2388" s="15"/>
      <c r="O2388" s="16"/>
      <c r="P2388" s="16"/>
      <c r="Q2388" s="16"/>
      <c r="R2388" s="16"/>
      <c r="S2388" s="37" t="str">
        <f>IFERROR(__xludf.DUMMYFUNCTION("if(not(iserror(index(split(C2388, "" ""),2))), index(split(C2388, "" ""),1),"""")"),"")</f>
        <v/>
      </c>
      <c r="T2388" s="315" t="str">
        <f>IFERROR(__xludf.DUMMYFUNCTION("if(S2388="""",C2388,if(not(iserror(index(split(C2388, "" ""),3))), index(split(C2388, "" ""),3),index(split(C2388, "" ""),2)))"),"")</f>
        <v/>
      </c>
      <c r="U2388" s="38" t="b">
        <f t="shared" si="34"/>
        <v>0</v>
      </c>
      <c r="V2388" s="38"/>
      <c r="W2388" s="40"/>
      <c r="X2388" s="40"/>
      <c r="Y2388" s="38"/>
      <c r="Z2388" s="38"/>
      <c r="AA2388" s="38"/>
      <c r="AB2388" s="38"/>
      <c r="AC2388" s="38"/>
      <c r="AD2388" s="38"/>
      <c r="AE2388" s="38"/>
      <c r="AF2388" s="38"/>
      <c r="AG2388" s="38"/>
      <c r="AH2388" s="38"/>
      <c r="AI2388" s="38"/>
      <c r="AJ2388" s="38"/>
      <c r="AK2388" s="38"/>
      <c r="AL2388" s="38"/>
      <c r="AM2388" s="38"/>
      <c r="AN2388" s="38"/>
      <c r="AO2388" s="38"/>
      <c r="AP2388" s="38"/>
      <c r="AQ2388" s="38"/>
      <c r="AR2388" s="38"/>
      <c r="AS2388" s="38"/>
      <c r="AT2388" s="38"/>
      <c r="AU2388" s="38"/>
      <c r="AV2388" s="38"/>
      <c r="AW2388" s="38"/>
      <c r="AX2388" s="38"/>
      <c r="AY2388" s="38"/>
      <c r="AZ2388" s="38"/>
      <c r="BA2388" s="38"/>
      <c r="BB2388" s="38"/>
      <c r="BC2388" s="38"/>
      <c r="BD2388" s="38"/>
      <c r="BE2388" s="38"/>
      <c r="BF2388" s="38"/>
      <c r="BG2388" s="38"/>
      <c r="BH2388" s="38"/>
      <c r="BI2388" s="38"/>
      <c r="BJ2388" s="38"/>
      <c r="BK2388" s="38"/>
      <c r="BL2388" s="38"/>
      <c r="BM2388" s="38"/>
      <c r="BN2388" s="38"/>
      <c r="BO2388" s="38"/>
      <c r="BP2388" s="38"/>
      <c r="BQ2388" s="38"/>
    </row>
    <row r="2389">
      <c r="A2389" s="16"/>
      <c r="B2389" s="16"/>
      <c r="C2389" s="146"/>
      <c r="D2389" s="146"/>
      <c r="E2389" s="16"/>
      <c r="F2389" s="91"/>
      <c r="G2389" s="16"/>
      <c r="H2389" s="320" t="str">
        <f t="shared" si="33"/>
        <v/>
      </c>
      <c r="I2389" s="16"/>
      <c r="J2389" s="16"/>
      <c r="K2389" s="16"/>
      <c r="L2389" s="16"/>
      <c r="M2389" s="15"/>
      <c r="N2389" s="15"/>
      <c r="O2389" s="16"/>
      <c r="P2389" s="16"/>
      <c r="Q2389" s="16"/>
      <c r="R2389" s="16"/>
      <c r="S2389" s="37" t="str">
        <f>IFERROR(__xludf.DUMMYFUNCTION("if(not(iserror(index(split(C2389, "" ""),2))), index(split(C2389, "" ""),1),"""")"),"")</f>
        <v/>
      </c>
      <c r="T2389" s="315" t="str">
        <f>IFERROR(__xludf.DUMMYFUNCTION("if(S2389="""",C2389,if(not(iserror(index(split(C2389, "" ""),3))), index(split(C2389, "" ""),3),index(split(C2389, "" ""),2)))"),"")</f>
        <v/>
      </c>
      <c r="U2389" s="38" t="b">
        <f t="shared" si="34"/>
        <v>0</v>
      </c>
      <c r="V2389" s="38"/>
      <c r="W2389" s="40"/>
      <c r="X2389" s="40"/>
      <c r="Y2389" s="38"/>
      <c r="Z2389" s="38"/>
      <c r="AA2389" s="38"/>
      <c r="AB2389" s="38"/>
      <c r="AC2389" s="38"/>
      <c r="AD2389" s="38"/>
      <c r="AE2389" s="38"/>
      <c r="AF2389" s="38"/>
      <c r="AG2389" s="38"/>
      <c r="AH2389" s="38"/>
      <c r="AI2389" s="38"/>
      <c r="AJ2389" s="38"/>
      <c r="AK2389" s="38"/>
      <c r="AL2389" s="38"/>
      <c r="AM2389" s="38"/>
      <c r="AN2389" s="38"/>
      <c r="AO2389" s="38"/>
      <c r="AP2389" s="38"/>
      <c r="AQ2389" s="38"/>
      <c r="AR2389" s="38"/>
      <c r="AS2389" s="38"/>
      <c r="AT2389" s="38"/>
      <c r="AU2389" s="38"/>
      <c r="AV2389" s="38"/>
      <c r="AW2389" s="38"/>
      <c r="AX2389" s="38"/>
      <c r="AY2389" s="38"/>
      <c r="AZ2389" s="38"/>
      <c r="BA2389" s="38"/>
      <c r="BB2389" s="38"/>
      <c r="BC2389" s="38"/>
      <c r="BD2389" s="38"/>
      <c r="BE2389" s="38"/>
      <c r="BF2389" s="38"/>
      <c r="BG2389" s="38"/>
      <c r="BH2389" s="38"/>
      <c r="BI2389" s="38"/>
      <c r="BJ2389" s="38"/>
      <c r="BK2389" s="38"/>
      <c r="BL2389" s="38"/>
      <c r="BM2389" s="38"/>
      <c r="BN2389" s="38"/>
      <c r="BO2389" s="38"/>
      <c r="BP2389" s="38"/>
      <c r="BQ2389" s="38"/>
    </row>
    <row r="2390">
      <c r="A2390" s="16"/>
      <c r="B2390" s="16"/>
      <c r="C2390" s="146"/>
      <c r="D2390" s="146"/>
      <c r="E2390" s="16"/>
      <c r="F2390" s="91"/>
      <c r="G2390" s="16"/>
      <c r="H2390" s="320" t="str">
        <f t="shared" si="33"/>
        <v/>
      </c>
      <c r="I2390" s="16"/>
      <c r="J2390" s="16"/>
      <c r="K2390" s="16"/>
      <c r="L2390" s="16"/>
      <c r="M2390" s="15"/>
      <c r="N2390" s="15"/>
      <c r="O2390" s="16"/>
      <c r="P2390" s="16"/>
      <c r="Q2390" s="16"/>
      <c r="R2390" s="16"/>
      <c r="S2390" s="37" t="str">
        <f>IFERROR(__xludf.DUMMYFUNCTION("if(not(iserror(index(split(C2390, "" ""),2))), index(split(C2390, "" ""),1),"""")"),"")</f>
        <v/>
      </c>
      <c r="T2390" s="315" t="str">
        <f>IFERROR(__xludf.DUMMYFUNCTION("if(S2390="""",C2390,if(not(iserror(index(split(C2390, "" ""),3))), index(split(C2390, "" ""),3),index(split(C2390, "" ""),2)))"),"")</f>
        <v/>
      </c>
      <c r="U2390" s="38" t="b">
        <f t="shared" si="34"/>
        <v>0</v>
      </c>
      <c r="V2390" s="38"/>
      <c r="W2390" s="40"/>
      <c r="X2390" s="40"/>
      <c r="Y2390" s="38"/>
      <c r="Z2390" s="38"/>
      <c r="AA2390" s="38"/>
      <c r="AB2390" s="38"/>
      <c r="AC2390" s="38"/>
      <c r="AD2390" s="38"/>
      <c r="AE2390" s="38"/>
      <c r="AF2390" s="38"/>
      <c r="AG2390" s="38"/>
      <c r="AH2390" s="38"/>
      <c r="AI2390" s="38"/>
      <c r="AJ2390" s="38"/>
      <c r="AK2390" s="38"/>
      <c r="AL2390" s="38"/>
      <c r="AM2390" s="38"/>
      <c r="AN2390" s="38"/>
      <c r="AO2390" s="38"/>
      <c r="AP2390" s="38"/>
      <c r="AQ2390" s="38"/>
      <c r="AR2390" s="38"/>
      <c r="AS2390" s="38"/>
      <c r="AT2390" s="38"/>
      <c r="AU2390" s="38"/>
      <c r="AV2390" s="38"/>
      <c r="AW2390" s="38"/>
      <c r="AX2390" s="38"/>
      <c r="AY2390" s="38"/>
      <c r="AZ2390" s="38"/>
      <c r="BA2390" s="38"/>
      <c r="BB2390" s="38"/>
      <c r="BC2390" s="38"/>
      <c r="BD2390" s="38"/>
      <c r="BE2390" s="38"/>
      <c r="BF2390" s="38"/>
      <c r="BG2390" s="38"/>
      <c r="BH2390" s="38"/>
      <c r="BI2390" s="38"/>
      <c r="BJ2390" s="38"/>
      <c r="BK2390" s="38"/>
      <c r="BL2390" s="38"/>
      <c r="BM2390" s="38"/>
      <c r="BN2390" s="38"/>
      <c r="BO2390" s="38"/>
      <c r="BP2390" s="38"/>
      <c r="BQ2390" s="38"/>
    </row>
    <row r="2391">
      <c r="A2391" s="16"/>
      <c r="B2391" s="16"/>
      <c r="C2391" s="146"/>
      <c r="D2391" s="146"/>
      <c r="E2391" s="16"/>
      <c r="F2391" s="91"/>
      <c r="G2391" s="16"/>
      <c r="H2391" s="320" t="str">
        <f t="shared" si="33"/>
        <v/>
      </c>
      <c r="I2391" s="16"/>
      <c r="J2391" s="16"/>
      <c r="K2391" s="16"/>
      <c r="L2391" s="16"/>
      <c r="M2391" s="15"/>
      <c r="N2391" s="15"/>
      <c r="O2391" s="16"/>
      <c r="P2391" s="16"/>
      <c r="Q2391" s="16"/>
      <c r="R2391" s="16"/>
      <c r="S2391" s="37" t="str">
        <f>IFERROR(__xludf.DUMMYFUNCTION("if(not(iserror(index(split(C2391, "" ""),2))), index(split(C2391, "" ""),1),"""")"),"")</f>
        <v/>
      </c>
      <c r="T2391" s="315" t="str">
        <f>IFERROR(__xludf.DUMMYFUNCTION("if(S2391="""",C2391,if(not(iserror(index(split(C2391, "" ""),3))), index(split(C2391, "" ""),3),index(split(C2391, "" ""),2)))"),"")</f>
        <v/>
      </c>
      <c r="U2391" s="38" t="b">
        <f t="shared" si="34"/>
        <v>0</v>
      </c>
      <c r="V2391" s="38"/>
      <c r="W2391" s="40"/>
      <c r="X2391" s="40"/>
      <c r="Y2391" s="38"/>
      <c r="Z2391" s="38"/>
      <c r="AA2391" s="38"/>
      <c r="AB2391" s="38"/>
      <c r="AC2391" s="38"/>
      <c r="AD2391" s="38"/>
      <c r="AE2391" s="38"/>
      <c r="AF2391" s="38"/>
      <c r="AG2391" s="38"/>
      <c r="AH2391" s="38"/>
      <c r="AI2391" s="38"/>
      <c r="AJ2391" s="38"/>
      <c r="AK2391" s="38"/>
      <c r="AL2391" s="38"/>
      <c r="AM2391" s="38"/>
      <c r="AN2391" s="38"/>
      <c r="AO2391" s="38"/>
      <c r="AP2391" s="38"/>
      <c r="AQ2391" s="38"/>
      <c r="AR2391" s="38"/>
      <c r="AS2391" s="38"/>
      <c r="AT2391" s="38"/>
      <c r="AU2391" s="38"/>
      <c r="AV2391" s="38"/>
      <c r="AW2391" s="38"/>
      <c r="AX2391" s="38"/>
      <c r="AY2391" s="38"/>
      <c r="AZ2391" s="38"/>
      <c r="BA2391" s="38"/>
      <c r="BB2391" s="38"/>
      <c r="BC2391" s="38"/>
      <c r="BD2391" s="38"/>
      <c r="BE2391" s="38"/>
      <c r="BF2391" s="38"/>
      <c r="BG2391" s="38"/>
      <c r="BH2391" s="38"/>
      <c r="BI2391" s="38"/>
      <c r="BJ2391" s="38"/>
      <c r="BK2391" s="38"/>
      <c r="BL2391" s="38"/>
      <c r="BM2391" s="38"/>
      <c r="BN2391" s="38"/>
      <c r="BO2391" s="38"/>
      <c r="BP2391" s="38"/>
      <c r="BQ2391" s="38"/>
    </row>
    <row r="2392">
      <c r="A2392" s="16"/>
      <c r="B2392" s="16"/>
      <c r="C2392" s="146"/>
      <c r="D2392" s="146"/>
      <c r="E2392" s="16"/>
      <c r="F2392" s="91"/>
      <c r="G2392" s="16"/>
      <c r="H2392" s="320" t="str">
        <f t="shared" si="33"/>
        <v/>
      </c>
      <c r="I2392" s="16"/>
      <c r="J2392" s="16"/>
      <c r="K2392" s="16"/>
      <c r="L2392" s="16"/>
      <c r="M2392" s="15"/>
      <c r="N2392" s="15"/>
      <c r="O2392" s="16"/>
      <c r="P2392" s="16"/>
      <c r="Q2392" s="16"/>
      <c r="R2392" s="16"/>
      <c r="S2392" s="37" t="str">
        <f>IFERROR(__xludf.DUMMYFUNCTION("if(not(iserror(index(split(C2392, "" ""),2))), index(split(C2392, "" ""),1),"""")"),"")</f>
        <v/>
      </c>
      <c r="T2392" s="315" t="str">
        <f>IFERROR(__xludf.DUMMYFUNCTION("if(S2392="""",C2392,if(not(iserror(index(split(C2392, "" ""),3))), index(split(C2392, "" ""),3),index(split(C2392, "" ""),2)))"),"")</f>
        <v/>
      </c>
      <c r="U2392" s="38" t="b">
        <f t="shared" si="34"/>
        <v>0</v>
      </c>
      <c r="V2392" s="38"/>
      <c r="W2392" s="40"/>
      <c r="X2392" s="40"/>
      <c r="Y2392" s="38"/>
      <c r="Z2392" s="38"/>
      <c r="AA2392" s="38"/>
      <c r="AB2392" s="38"/>
      <c r="AC2392" s="38"/>
      <c r="AD2392" s="38"/>
      <c r="AE2392" s="38"/>
      <c r="AF2392" s="38"/>
      <c r="AG2392" s="38"/>
      <c r="AH2392" s="38"/>
      <c r="AI2392" s="38"/>
      <c r="AJ2392" s="38"/>
      <c r="AK2392" s="38"/>
      <c r="AL2392" s="38"/>
      <c r="AM2392" s="38"/>
      <c r="AN2392" s="38"/>
      <c r="AO2392" s="38"/>
      <c r="AP2392" s="38"/>
      <c r="AQ2392" s="38"/>
      <c r="AR2392" s="38"/>
      <c r="AS2392" s="38"/>
      <c r="AT2392" s="38"/>
      <c r="AU2392" s="38"/>
      <c r="AV2392" s="38"/>
      <c r="AW2392" s="38"/>
      <c r="AX2392" s="38"/>
      <c r="AY2392" s="38"/>
      <c r="AZ2392" s="38"/>
      <c r="BA2392" s="38"/>
      <c r="BB2392" s="38"/>
      <c r="BC2392" s="38"/>
      <c r="BD2392" s="38"/>
      <c r="BE2392" s="38"/>
      <c r="BF2392" s="38"/>
      <c r="BG2392" s="38"/>
      <c r="BH2392" s="38"/>
      <c r="BI2392" s="38"/>
      <c r="BJ2392" s="38"/>
      <c r="BK2392" s="38"/>
      <c r="BL2392" s="38"/>
      <c r="BM2392" s="38"/>
      <c r="BN2392" s="38"/>
      <c r="BO2392" s="38"/>
      <c r="BP2392" s="38"/>
      <c r="BQ2392" s="38"/>
    </row>
    <row r="2393">
      <c r="A2393" s="16"/>
      <c r="B2393" s="16"/>
      <c r="C2393" s="146"/>
      <c r="D2393" s="146"/>
      <c r="E2393" s="16"/>
      <c r="F2393" s="91"/>
      <c r="G2393" s="16"/>
      <c r="H2393" s="320" t="str">
        <f t="shared" si="33"/>
        <v/>
      </c>
      <c r="I2393" s="16"/>
      <c r="J2393" s="16"/>
      <c r="K2393" s="16"/>
      <c r="L2393" s="16"/>
      <c r="M2393" s="15"/>
      <c r="N2393" s="15"/>
      <c r="O2393" s="16"/>
      <c r="P2393" s="16"/>
      <c r="Q2393" s="16"/>
      <c r="R2393" s="16"/>
      <c r="S2393" s="37" t="str">
        <f>IFERROR(__xludf.DUMMYFUNCTION("if(not(iserror(index(split(C2393, "" ""),2))), index(split(C2393, "" ""),1),"""")"),"")</f>
        <v/>
      </c>
      <c r="T2393" s="315" t="str">
        <f>IFERROR(__xludf.DUMMYFUNCTION("if(S2393="""",C2393,if(not(iserror(index(split(C2393, "" ""),3))), index(split(C2393, "" ""),3),index(split(C2393, "" ""),2)))"),"")</f>
        <v/>
      </c>
      <c r="U2393" s="38" t="b">
        <f t="shared" si="34"/>
        <v>0</v>
      </c>
      <c r="V2393" s="38"/>
      <c r="W2393" s="40"/>
      <c r="X2393" s="40"/>
      <c r="Y2393" s="38"/>
      <c r="Z2393" s="38"/>
      <c r="AA2393" s="38"/>
      <c r="AB2393" s="38"/>
      <c r="AC2393" s="38"/>
      <c r="AD2393" s="38"/>
      <c r="AE2393" s="38"/>
      <c r="AF2393" s="38"/>
      <c r="AG2393" s="38"/>
      <c r="AH2393" s="38"/>
      <c r="AI2393" s="38"/>
      <c r="AJ2393" s="38"/>
      <c r="AK2393" s="38"/>
      <c r="AL2393" s="38"/>
      <c r="AM2393" s="38"/>
      <c r="AN2393" s="38"/>
      <c r="AO2393" s="38"/>
      <c r="AP2393" s="38"/>
      <c r="AQ2393" s="38"/>
      <c r="AR2393" s="38"/>
      <c r="AS2393" s="38"/>
      <c r="AT2393" s="38"/>
      <c r="AU2393" s="38"/>
      <c r="AV2393" s="38"/>
      <c r="AW2393" s="38"/>
      <c r="AX2393" s="38"/>
      <c r="AY2393" s="38"/>
      <c r="AZ2393" s="38"/>
      <c r="BA2393" s="38"/>
      <c r="BB2393" s="38"/>
      <c r="BC2393" s="38"/>
      <c r="BD2393" s="38"/>
      <c r="BE2393" s="38"/>
      <c r="BF2393" s="38"/>
      <c r="BG2393" s="38"/>
      <c r="BH2393" s="38"/>
      <c r="BI2393" s="38"/>
      <c r="BJ2393" s="38"/>
      <c r="BK2393" s="38"/>
      <c r="BL2393" s="38"/>
      <c r="BM2393" s="38"/>
      <c r="BN2393" s="38"/>
      <c r="BO2393" s="38"/>
      <c r="BP2393" s="38"/>
      <c r="BQ2393" s="38"/>
    </row>
    <row r="2394">
      <c r="A2394" s="16"/>
      <c r="B2394" s="16"/>
      <c r="C2394" s="146"/>
      <c r="D2394" s="146"/>
      <c r="E2394" s="16"/>
      <c r="F2394" s="91"/>
      <c r="G2394" s="16"/>
      <c r="H2394" s="320" t="str">
        <f t="shared" si="33"/>
        <v/>
      </c>
      <c r="I2394" s="16"/>
      <c r="J2394" s="16"/>
      <c r="K2394" s="16"/>
      <c r="L2394" s="16"/>
      <c r="M2394" s="15"/>
      <c r="N2394" s="15"/>
      <c r="O2394" s="16"/>
      <c r="P2394" s="16"/>
      <c r="Q2394" s="16"/>
      <c r="R2394" s="16"/>
      <c r="S2394" s="37" t="str">
        <f>IFERROR(__xludf.DUMMYFUNCTION("if(not(iserror(index(split(C2394, "" ""),2))), index(split(C2394, "" ""),1),"""")"),"")</f>
        <v/>
      </c>
      <c r="T2394" s="315" t="str">
        <f>IFERROR(__xludf.DUMMYFUNCTION("if(S2394="""",C2394,if(not(iserror(index(split(C2394, "" ""),3))), index(split(C2394, "" ""),3),index(split(C2394, "" ""),2)))"),"")</f>
        <v/>
      </c>
      <c r="U2394" s="38" t="b">
        <f t="shared" si="34"/>
        <v>0</v>
      </c>
      <c r="V2394" s="38"/>
      <c r="W2394" s="40"/>
      <c r="X2394" s="40"/>
      <c r="Y2394" s="38"/>
      <c r="Z2394" s="38"/>
      <c r="AA2394" s="38"/>
      <c r="AB2394" s="38"/>
      <c r="AC2394" s="38"/>
      <c r="AD2394" s="38"/>
      <c r="AE2394" s="38"/>
      <c r="AF2394" s="38"/>
      <c r="AG2394" s="38"/>
      <c r="AH2394" s="38"/>
      <c r="AI2394" s="38"/>
      <c r="AJ2394" s="38"/>
      <c r="AK2394" s="38"/>
      <c r="AL2394" s="38"/>
      <c r="AM2394" s="38"/>
      <c r="AN2394" s="38"/>
      <c r="AO2394" s="38"/>
      <c r="AP2394" s="38"/>
      <c r="AQ2394" s="38"/>
      <c r="AR2394" s="38"/>
      <c r="AS2394" s="38"/>
      <c r="AT2394" s="38"/>
      <c r="AU2394" s="38"/>
      <c r="AV2394" s="38"/>
      <c r="AW2394" s="38"/>
      <c r="AX2394" s="38"/>
      <c r="AY2394" s="38"/>
      <c r="AZ2394" s="38"/>
      <c r="BA2394" s="38"/>
      <c r="BB2394" s="38"/>
      <c r="BC2394" s="38"/>
      <c r="BD2394" s="38"/>
      <c r="BE2394" s="38"/>
      <c r="BF2394" s="38"/>
      <c r="BG2394" s="38"/>
      <c r="BH2394" s="38"/>
      <c r="BI2394" s="38"/>
      <c r="BJ2394" s="38"/>
      <c r="BK2394" s="38"/>
      <c r="BL2394" s="38"/>
      <c r="BM2394" s="38"/>
      <c r="BN2394" s="38"/>
      <c r="BO2394" s="38"/>
      <c r="BP2394" s="38"/>
      <c r="BQ2394" s="38"/>
    </row>
    <row r="2395">
      <c r="A2395" s="16"/>
      <c r="B2395" s="16"/>
      <c r="C2395" s="146"/>
      <c r="D2395" s="146"/>
      <c r="E2395" s="16"/>
      <c r="F2395" s="91"/>
      <c r="G2395" s="16"/>
      <c r="H2395" s="320" t="str">
        <f t="shared" si="33"/>
        <v/>
      </c>
      <c r="I2395" s="16"/>
      <c r="J2395" s="16"/>
      <c r="K2395" s="16"/>
      <c r="L2395" s="16"/>
      <c r="M2395" s="15"/>
      <c r="N2395" s="15"/>
      <c r="O2395" s="16"/>
      <c r="P2395" s="16"/>
      <c r="Q2395" s="16"/>
      <c r="R2395" s="16"/>
      <c r="S2395" s="37" t="str">
        <f>IFERROR(__xludf.DUMMYFUNCTION("if(not(iserror(index(split(C2395, "" ""),2))), index(split(C2395, "" ""),1),"""")"),"")</f>
        <v/>
      </c>
      <c r="T2395" s="315" t="str">
        <f>IFERROR(__xludf.DUMMYFUNCTION("if(S2395="""",C2395,if(not(iserror(index(split(C2395, "" ""),3))), index(split(C2395, "" ""),3),index(split(C2395, "" ""),2)))"),"")</f>
        <v/>
      </c>
      <c r="U2395" s="38" t="b">
        <f t="shared" si="34"/>
        <v>0</v>
      </c>
      <c r="V2395" s="38"/>
      <c r="W2395" s="40"/>
      <c r="X2395" s="40"/>
      <c r="Y2395" s="38"/>
      <c r="Z2395" s="38"/>
      <c r="AA2395" s="38"/>
      <c r="AB2395" s="38"/>
      <c r="AC2395" s="38"/>
      <c r="AD2395" s="38"/>
      <c r="AE2395" s="38"/>
      <c r="AF2395" s="38"/>
      <c r="AG2395" s="38"/>
      <c r="AH2395" s="38"/>
      <c r="AI2395" s="38"/>
      <c r="AJ2395" s="38"/>
      <c r="AK2395" s="38"/>
      <c r="AL2395" s="38"/>
      <c r="AM2395" s="38"/>
      <c r="AN2395" s="38"/>
      <c r="AO2395" s="38"/>
      <c r="AP2395" s="38"/>
      <c r="AQ2395" s="38"/>
      <c r="AR2395" s="38"/>
      <c r="AS2395" s="38"/>
      <c r="AT2395" s="38"/>
      <c r="AU2395" s="38"/>
      <c r="AV2395" s="38"/>
      <c r="AW2395" s="38"/>
      <c r="AX2395" s="38"/>
      <c r="AY2395" s="38"/>
      <c r="AZ2395" s="38"/>
      <c r="BA2395" s="38"/>
      <c r="BB2395" s="38"/>
      <c r="BC2395" s="38"/>
      <c r="BD2395" s="38"/>
      <c r="BE2395" s="38"/>
      <c r="BF2395" s="38"/>
      <c r="BG2395" s="38"/>
      <c r="BH2395" s="38"/>
      <c r="BI2395" s="38"/>
      <c r="BJ2395" s="38"/>
      <c r="BK2395" s="38"/>
      <c r="BL2395" s="38"/>
      <c r="BM2395" s="38"/>
      <c r="BN2395" s="38"/>
      <c r="BO2395" s="38"/>
      <c r="BP2395" s="38"/>
      <c r="BQ2395" s="38"/>
    </row>
    <row r="2396">
      <c r="A2396" s="16"/>
      <c r="B2396" s="16"/>
      <c r="C2396" s="146"/>
      <c r="D2396" s="146"/>
      <c r="E2396" s="16"/>
      <c r="F2396" s="91"/>
      <c r="G2396" s="16"/>
      <c r="H2396" s="320" t="str">
        <f t="shared" si="33"/>
        <v/>
      </c>
      <c r="I2396" s="16"/>
      <c r="J2396" s="16"/>
      <c r="K2396" s="16"/>
      <c r="L2396" s="16"/>
      <c r="M2396" s="15"/>
      <c r="N2396" s="15"/>
      <c r="O2396" s="16"/>
      <c r="P2396" s="16"/>
      <c r="Q2396" s="16"/>
      <c r="R2396" s="16"/>
      <c r="S2396" s="37" t="str">
        <f>IFERROR(__xludf.DUMMYFUNCTION("if(not(iserror(index(split(C2396, "" ""),2))), index(split(C2396, "" ""),1),"""")"),"")</f>
        <v/>
      </c>
      <c r="T2396" s="315" t="str">
        <f>IFERROR(__xludf.DUMMYFUNCTION("if(S2396="""",C2396,if(not(iserror(index(split(C2396, "" ""),3))), index(split(C2396, "" ""),3),index(split(C2396, "" ""),2)))"),"")</f>
        <v/>
      </c>
      <c r="U2396" s="38" t="b">
        <f t="shared" si="34"/>
        <v>0</v>
      </c>
      <c r="V2396" s="38"/>
      <c r="W2396" s="40"/>
      <c r="X2396" s="40"/>
      <c r="Y2396" s="38"/>
      <c r="Z2396" s="38"/>
      <c r="AA2396" s="38"/>
      <c r="AB2396" s="38"/>
      <c r="AC2396" s="38"/>
      <c r="AD2396" s="38"/>
      <c r="AE2396" s="38"/>
      <c r="AF2396" s="38"/>
      <c r="AG2396" s="38"/>
      <c r="AH2396" s="38"/>
      <c r="AI2396" s="38"/>
      <c r="AJ2396" s="38"/>
      <c r="AK2396" s="38"/>
      <c r="AL2396" s="38"/>
      <c r="AM2396" s="38"/>
      <c r="AN2396" s="38"/>
      <c r="AO2396" s="38"/>
      <c r="AP2396" s="38"/>
      <c r="AQ2396" s="38"/>
      <c r="AR2396" s="38"/>
      <c r="AS2396" s="38"/>
      <c r="AT2396" s="38"/>
      <c r="AU2396" s="38"/>
      <c r="AV2396" s="38"/>
      <c r="AW2396" s="38"/>
      <c r="AX2396" s="38"/>
      <c r="AY2396" s="38"/>
      <c r="AZ2396" s="38"/>
      <c r="BA2396" s="38"/>
      <c r="BB2396" s="38"/>
      <c r="BC2396" s="38"/>
      <c r="BD2396" s="38"/>
      <c r="BE2396" s="38"/>
      <c r="BF2396" s="38"/>
      <c r="BG2396" s="38"/>
      <c r="BH2396" s="38"/>
      <c r="BI2396" s="38"/>
      <c r="BJ2396" s="38"/>
      <c r="BK2396" s="38"/>
      <c r="BL2396" s="38"/>
      <c r="BM2396" s="38"/>
      <c r="BN2396" s="38"/>
      <c r="BO2396" s="38"/>
      <c r="BP2396" s="38"/>
      <c r="BQ2396" s="38"/>
    </row>
    <row r="2397">
      <c r="A2397" s="16"/>
      <c r="B2397" s="16"/>
      <c r="C2397" s="146"/>
      <c r="D2397" s="146"/>
      <c r="E2397" s="16"/>
      <c r="F2397" s="91"/>
      <c r="G2397" s="16"/>
      <c r="H2397" s="320" t="str">
        <f t="shared" si="33"/>
        <v/>
      </c>
      <c r="I2397" s="16"/>
      <c r="J2397" s="16"/>
      <c r="K2397" s="16"/>
      <c r="L2397" s="16"/>
      <c r="M2397" s="15"/>
      <c r="N2397" s="15"/>
      <c r="O2397" s="16"/>
      <c r="P2397" s="16"/>
      <c r="Q2397" s="16"/>
      <c r="R2397" s="16"/>
      <c r="S2397" s="37" t="str">
        <f>IFERROR(__xludf.DUMMYFUNCTION("if(not(iserror(index(split(C2397, "" ""),2))), index(split(C2397, "" ""),1),"""")"),"")</f>
        <v/>
      </c>
      <c r="T2397" s="315" t="str">
        <f>IFERROR(__xludf.DUMMYFUNCTION("if(S2397="""",C2397,if(not(iserror(index(split(C2397, "" ""),3))), index(split(C2397, "" ""),3),index(split(C2397, "" ""),2)))"),"")</f>
        <v/>
      </c>
      <c r="U2397" s="38" t="b">
        <f t="shared" si="34"/>
        <v>0</v>
      </c>
      <c r="V2397" s="38"/>
      <c r="W2397" s="40"/>
      <c r="X2397" s="40"/>
      <c r="Y2397" s="38"/>
      <c r="Z2397" s="38"/>
      <c r="AA2397" s="38"/>
      <c r="AB2397" s="38"/>
      <c r="AC2397" s="38"/>
      <c r="AD2397" s="38"/>
      <c r="AE2397" s="38"/>
      <c r="AF2397" s="38"/>
      <c r="AG2397" s="38"/>
      <c r="AH2397" s="38"/>
      <c r="AI2397" s="38"/>
      <c r="AJ2397" s="38"/>
      <c r="AK2397" s="38"/>
      <c r="AL2397" s="38"/>
      <c r="AM2397" s="38"/>
      <c r="AN2397" s="38"/>
      <c r="AO2397" s="38"/>
      <c r="AP2397" s="38"/>
      <c r="AQ2397" s="38"/>
      <c r="AR2397" s="38"/>
      <c r="AS2397" s="38"/>
      <c r="AT2397" s="38"/>
      <c r="AU2397" s="38"/>
      <c r="AV2397" s="38"/>
      <c r="AW2397" s="38"/>
      <c r="AX2397" s="38"/>
      <c r="AY2397" s="38"/>
      <c r="AZ2397" s="38"/>
      <c r="BA2397" s="38"/>
      <c r="BB2397" s="38"/>
      <c r="BC2397" s="38"/>
      <c r="BD2397" s="38"/>
      <c r="BE2397" s="38"/>
      <c r="BF2397" s="38"/>
      <c r="BG2397" s="38"/>
      <c r="BH2397" s="38"/>
      <c r="BI2397" s="38"/>
      <c r="BJ2397" s="38"/>
      <c r="BK2397" s="38"/>
      <c r="BL2397" s="38"/>
      <c r="BM2397" s="38"/>
      <c r="BN2397" s="38"/>
      <c r="BO2397" s="38"/>
      <c r="BP2397" s="38"/>
      <c r="BQ2397" s="38"/>
    </row>
    <row r="2398">
      <c r="A2398" s="16"/>
      <c r="B2398" s="16"/>
      <c r="C2398" s="146"/>
      <c r="D2398" s="146"/>
      <c r="E2398" s="16"/>
      <c r="F2398" s="91"/>
      <c r="G2398" s="16"/>
      <c r="H2398" s="320" t="str">
        <f t="shared" si="33"/>
        <v/>
      </c>
      <c r="I2398" s="16"/>
      <c r="J2398" s="16"/>
      <c r="K2398" s="16"/>
      <c r="L2398" s="16"/>
      <c r="M2398" s="15"/>
      <c r="N2398" s="15"/>
      <c r="O2398" s="16"/>
      <c r="P2398" s="16"/>
      <c r="Q2398" s="16"/>
      <c r="R2398" s="16"/>
      <c r="S2398" s="37" t="str">
        <f>IFERROR(__xludf.DUMMYFUNCTION("if(not(iserror(index(split(C2398, "" ""),2))), index(split(C2398, "" ""),1),"""")"),"")</f>
        <v/>
      </c>
      <c r="T2398" s="315" t="str">
        <f>IFERROR(__xludf.DUMMYFUNCTION("if(S2398="""",C2398,if(not(iserror(index(split(C2398, "" ""),3))), index(split(C2398, "" ""),3),index(split(C2398, "" ""),2)))"),"")</f>
        <v/>
      </c>
      <c r="U2398" s="38" t="b">
        <f t="shared" si="34"/>
        <v>0</v>
      </c>
      <c r="V2398" s="38"/>
      <c r="W2398" s="40"/>
      <c r="X2398" s="40"/>
      <c r="Y2398" s="38"/>
      <c r="Z2398" s="38"/>
      <c r="AA2398" s="38"/>
      <c r="AB2398" s="38"/>
      <c r="AC2398" s="38"/>
      <c r="AD2398" s="38"/>
      <c r="AE2398" s="38"/>
      <c r="AF2398" s="38"/>
      <c r="AG2398" s="38"/>
      <c r="AH2398" s="38"/>
      <c r="AI2398" s="38"/>
      <c r="AJ2398" s="38"/>
      <c r="AK2398" s="38"/>
      <c r="AL2398" s="38"/>
      <c r="AM2398" s="38"/>
      <c r="AN2398" s="38"/>
      <c r="AO2398" s="38"/>
      <c r="AP2398" s="38"/>
      <c r="AQ2398" s="38"/>
      <c r="AR2398" s="38"/>
      <c r="AS2398" s="38"/>
      <c r="AT2398" s="38"/>
      <c r="AU2398" s="38"/>
      <c r="AV2398" s="38"/>
      <c r="AW2398" s="38"/>
      <c r="AX2398" s="38"/>
      <c r="AY2398" s="38"/>
      <c r="AZ2398" s="38"/>
      <c r="BA2398" s="38"/>
      <c r="BB2398" s="38"/>
      <c r="BC2398" s="38"/>
      <c r="BD2398" s="38"/>
      <c r="BE2398" s="38"/>
      <c r="BF2398" s="38"/>
      <c r="BG2398" s="38"/>
      <c r="BH2398" s="38"/>
      <c r="BI2398" s="38"/>
      <c r="BJ2398" s="38"/>
      <c r="BK2398" s="38"/>
      <c r="BL2398" s="38"/>
      <c r="BM2398" s="38"/>
      <c r="BN2398" s="38"/>
      <c r="BO2398" s="38"/>
      <c r="BP2398" s="38"/>
      <c r="BQ2398" s="38"/>
    </row>
    <row r="2399">
      <c r="A2399" s="16"/>
      <c r="B2399" s="16"/>
      <c r="C2399" s="146"/>
      <c r="D2399" s="146"/>
      <c r="E2399" s="16"/>
      <c r="F2399" s="91"/>
      <c r="G2399" s="16"/>
      <c r="H2399" s="320" t="str">
        <f t="shared" si="33"/>
        <v/>
      </c>
      <c r="I2399" s="16"/>
      <c r="J2399" s="16"/>
      <c r="K2399" s="16"/>
      <c r="L2399" s="16"/>
      <c r="M2399" s="15"/>
      <c r="N2399" s="15"/>
      <c r="O2399" s="16"/>
      <c r="P2399" s="16"/>
      <c r="Q2399" s="16"/>
      <c r="R2399" s="16"/>
      <c r="S2399" s="37" t="str">
        <f>IFERROR(__xludf.DUMMYFUNCTION("if(not(iserror(index(split(C2399, "" ""),2))), index(split(C2399, "" ""),1),"""")"),"")</f>
        <v/>
      </c>
      <c r="T2399" s="315" t="str">
        <f>IFERROR(__xludf.DUMMYFUNCTION("if(S2399="""",C2399,if(not(iserror(index(split(C2399, "" ""),3))), index(split(C2399, "" ""),3),index(split(C2399, "" ""),2)))"),"")</f>
        <v/>
      </c>
      <c r="U2399" s="38" t="b">
        <f t="shared" si="34"/>
        <v>0</v>
      </c>
      <c r="V2399" s="38"/>
      <c r="W2399" s="40"/>
      <c r="X2399" s="40"/>
      <c r="Y2399" s="38"/>
      <c r="Z2399" s="38"/>
      <c r="AA2399" s="38"/>
      <c r="AB2399" s="38"/>
      <c r="AC2399" s="38"/>
      <c r="AD2399" s="38"/>
      <c r="AE2399" s="38"/>
      <c r="AF2399" s="38"/>
      <c r="AG2399" s="38"/>
      <c r="AH2399" s="38"/>
      <c r="AI2399" s="38"/>
      <c r="AJ2399" s="38"/>
      <c r="AK2399" s="38"/>
      <c r="AL2399" s="38"/>
      <c r="AM2399" s="38"/>
      <c r="AN2399" s="38"/>
      <c r="AO2399" s="38"/>
      <c r="AP2399" s="38"/>
      <c r="AQ2399" s="38"/>
      <c r="AR2399" s="38"/>
      <c r="AS2399" s="38"/>
      <c r="AT2399" s="38"/>
      <c r="AU2399" s="38"/>
      <c r="AV2399" s="38"/>
      <c r="AW2399" s="38"/>
      <c r="AX2399" s="38"/>
      <c r="AY2399" s="38"/>
      <c r="AZ2399" s="38"/>
      <c r="BA2399" s="38"/>
      <c r="BB2399" s="38"/>
      <c r="BC2399" s="38"/>
      <c r="BD2399" s="38"/>
      <c r="BE2399" s="38"/>
      <c r="BF2399" s="38"/>
      <c r="BG2399" s="38"/>
      <c r="BH2399" s="38"/>
      <c r="BI2399" s="38"/>
      <c r="BJ2399" s="38"/>
      <c r="BK2399" s="38"/>
      <c r="BL2399" s="38"/>
      <c r="BM2399" s="38"/>
      <c r="BN2399" s="38"/>
      <c r="BO2399" s="38"/>
      <c r="BP2399" s="38"/>
      <c r="BQ2399" s="38"/>
    </row>
    <row r="2400">
      <c r="A2400" s="16"/>
      <c r="B2400" s="16"/>
      <c r="C2400" s="146"/>
      <c r="D2400" s="146"/>
      <c r="E2400" s="16"/>
      <c r="F2400" s="91"/>
      <c r="G2400" s="16"/>
      <c r="H2400" s="320" t="str">
        <f t="shared" si="33"/>
        <v/>
      </c>
      <c r="I2400" s="16"/>
      <c r="J2400" s="16"/>
      <c r="K2400" s="16"/>
      <c r="L2400" s="16"/>
      <c r="M2400" s="15"/>
      <c r="N2400" s="15"/>
      <c r="O2400" s="16"/>
      <c r="P2400" s="16"/>
      <c r="Q2400" s="16"/>
      <c r="R2400" s="16"/>
      <c r="S2400" s="37" t="str">
        <f>IFERROR(__xludf.DUMMYFUNCTION("if(not(iserror(index(split(C2400, "" ""),2))), index(split(C2400, "" ""),1),"""")"),"")</f>
        <v/>
      </c>
      <c r="T2400" s="315" t="str">
        <f>IFERROR(__xludf.DUMMYFUNCTION("if(S2400="""",C2400,if(not(iserror(index(split(C2400, "" ""),3))), index(split(C2400, "" ""),3),index(split(C2400, "" ""),2)))"),"")</f>
        <v/>
      </c>
      <c r="U2400" s="38" t="b">
        <f t="shared" si="34"/>
        <v>0</v>
      </c>
      <c r="V2400" s="38"/>
      <c r="W2400" s="40"/>
      <c r="X2400" s="40"/>
      <c r="Y2400" s="38"/>
      <c r="Z2400" s="38"/>
      <c r="AA2400" s="38"/>
      <c r="AB2400" s="38"/>
      <c r="AC2400" s="38"/>
      <c r="AD2400" s="38"/>
      <c r="AE2400" s="38"/>
      <c r="AF2400" s="38"/>
      <c r="AG2400" s="38"/>
      <c r="AH2400" s="38"/>
      <c r="AI2400" s="38"/>
      <c r="AJ2400" s="38"/>
      <c r="AK2400" s="38"/>
      <c r="AL2400" s="38"/>
      <c r="AM2400" s="38"/>
      <c r="AN2400" s="38"/>
      <c r="AO2400" s="38"/>
      <c r="AP2400" s="38"/>
      <c r="AQ2400" s="38"/>
      <c r="AR2400" s="38"/>
      <c r="AS2400" s="38"/>
      <c r="AT2400" s="38"/>
      <c r="AU2400" s="38"/>
      <c r="AV2400" s="38"/>
      <c r="AW2400" s="38"/>
      <c r="AX2400" s="38"/>
      <c r="AY2400" s="38"/>
      <c r="AZ2400" s="38"/>
      <c r="BA2400" s="38"/>
      <c r="BB2400" s="38"/>
      <c r="BC2400" s="38"/>
      <c r="BD2400" s="38"/>
      <c r="BE2400" s="38"/>
      <c r="BF2400" s="38"/>
      <c r="BG2400" s="38"/>
      <c r="BH2400" s="38"/>
      <c r="BI2400" s="38"/>
      <c r="BJ2400" s="38"/>
      <c r="BK2400" s="38"/>
      <c r="BL2400" s="38"/>
      <c r="BM2400" s="38"/>
      <c r="BN2400" s="38"/>
      <c r="BO2400" s="38"/>
      <c r="BP2400" s="38"/>
      <c r="BQ2400" s="38"/>
    </row>
    <row r="2401">
      <c r="A2401" s="16"/>
      <c r="B2401" s="16"/>
      <c r="C2401" s="146"/>
      <c r="D2401" s="146"/>
      <c r="E2401" s="16"/>
      <c r="F2401" s="91"/>
      <c r="G2401" s="16"/>
      <c r="H2401" s="320" t="str">
        <f t="shared" si="33"/>
        <v/>
      </c>
      <c r="I2401" s="16"/>
      <c r="J2401" s="16"/>
      <c r="K2401" s="16"/>
      <c r="L2401" s="16"/>
      <c r="M2401" s="15"/>
      <c r="N2401" s="15"/>
      <c r="O2401" s="16"/>
      <c r="P2401" s="16"/>
      <c r="Q2401" s="16"/>
      <c r="R2401" s="16"/>
      <c r="S2401" s="37" t="str">
        <f>IFERROR(__xludf.DUMMYFUNCTION("if(not(iserror(index(split(C2401, "" ""),2))), index(split(C2401, "" ""),1),"""")"),"")</f>
        <v/>
      </c>
      <c r="T2401" s="315" t="str">
        <f>IFERROR(__xludf.DUMMYFUNCTION("if(S2401="""",C2401,if(not(iserror(index(split(C2401, "" ""),3))), index(split(C2401, "" ""),3),index(split(C2401, "" ""),2)))"),"")</f>
        <v/>
      </c>
      <c r="U2401" s="38" t="b">
        <f t="shared" si="34"/>
        <v>0</v>
      </c>
      <c r="V2401" s="38"/>
      <c r="W2401" s="40"/>
      <c r="X2401" s="40"/>
      <c r="Y2401" s="38"/>
      <c r="Z2401" s="38"/>
      <c r="AA2401" s="38"/>
      <c r="AB2401" s="38"/>
      <c r="AC2401" s="38"/>
      <c r="AD2401" s="38"/>
      <c r="AE2401" s="38"/>
      <c r="AF2401" s="38"/>
      <c r="AG2401" s="38"/>
      <c r="AH2401" s="38"/>
      <c r="AI2401" s="38"/>
      <c r="AJ2401" s="38"/>
      <c r="AK2401" s="38"/>
      <c r="AL2401" s="38"/>
      <c r="AM2401" s="38"/>
      <c r="AN2401" s="38"/>
      <c r="AO2401" s="38"/>
      <c r="AP2401" s="38"/>
      <c r="AQ2401" s="38"/>
      <c r="AR2401" s="38"/>
      <c r="AS2401" s="38"/>
      <c r="AT2401" s="38"/>
      <c r="AU2401" s="38"/>
      <c r="AV2401" s="38"/>
      <c r="AW2401" s="38"/>
      <c r="AX2401" s="38"/>
      <c r="AY2401" s="38"/>
      <c r="AZ2401" s="38"/>
      <c r="BA2401" s="38"/>
      <c r="BB2401" s="38"/>
      <c r="BC2401" s="38"/>
      <c r="BD2401" s="38"/>
      <c r="BE2401" s="38"/>
      <c r="BF2401" s="38"/>
      <c r="BG2401" s="38"/>
      <c r="BH2401" s="38"/>
      <c r="BI2401" s="38"/>
      <c r="BJ2401" s="38"/>
      <c r="BK2401" s="38"/>
      <c r="BL2401" s="38"/>
      <c r="BM2401" s="38"/>
      <c r="BN2401" s="38"/>
      <c r="BO2401" s="38"/>
      <c r="BP2401" s="38"/>
      <c r="BQ2401" s="38"/>
    </row>
    <row r="2402">
      <c r="A2402" s="16"/>
      <c r="B2402" s="16"/>
      <c r="C2402" s="146"/>
      <c r="D2402" s="146"/>
      <c r="E2402" s="16"/>
      <c r="F2402" s="91"/>
      <c r="G2402" s="16"/>
      <c r="H2402" s="320" t="str">
        <f t="shared" si="33"/>
        <v/>
      </c>
      <c r="I2402" s="16"/>
      <c r="J2402" s="16"/>
      <c r="K2402" s="16"/>
      <c r="L2402" s="16"/>
      <c r="M2402" s="15"/>
      <c r="N2402" s="15"/>
      <c r="O2402" s="16"/>
      <c r="P2402" s="16"/>
      <c r="Q2402" s="16"/>
      <c r="R2402" s="16"/>
      <c r="S2402" s="37" t="str">
        <f>IFERROR(__xludf.DUMMYFUNCTION("if(not(iserror(index(split(C2402, "" ""),2))), index(split(C2402, "" ""),1),"""")"),"")</f>
        <v/>
      </c>
      <c r="T2402" s="315" t="str">
        <f>IFERROR(__xludf.DUMMYFUNCTION("if(S2402="""",C2402,if(not(iserror(index(split(C2402, "" ""),3))), index(split(C2402, "" ""),3),index(split(C2402, "" ""),2)))"),"")</f>
        <v/>
      </c>
      <c r="U2402" s="38" t="b">
        <f t="shared" si="34"/>
        <v>0</v>
      </c>
      <c r="V2402" s="38"/>
      <c r="W2402" s="40"/>
      <c r="X2402" s="40"/>
      <c r="Y2402" s="38"/>
      <c r="Z2402" s="38"/>
      <c r="AA2402" s="38"/>
      <c r="AB2402" s="38"/>
      <c r="AC2402" s="38"/>
      <c r="AD2402" s="38"/>
      <c r="AE2402" s="38"/>
      <c r="AF2402" s="38"/>
      <c r="AG2402" s="38"/>
      <c r="AH2402" s="38"/>
      <c r="AI2402" s="38"/>
      <c r="AJ2402" s="38"/>
      <c r="AK2402" s="38"/>
      <c r="AL2402" s="38"/>
      <c r="AM2402" s="38"/>
      <c r="AN2402" s="38"/>
      <c r="AO2402" s="38"/>
      <c r="AP2402" s="38"/>
      <c r="AQ2402" s="38"/>
      <c r="AR2402" s="38"/>
      <c r="AS2402" s="38"/>
      <c r="AT2402" s="38"/>
      <c r="AU2402" s="38"/>
      <c r="AV2402" s="38"/>
      <c r="AW2402" s="38"/>
      <c r="AX2402" s="38"/>
      <c r="AY2402" s="38"/>
      <c r="AZ2402" s="38"/>
      <c r="BA2402" s="38"/>
      <c r="BB2402" s="38"/>
      <c r="BC2402" s="38"/>
      <c r="BD2402" s="38"/>
      <c r="BE2402" s="38"/>
      <c r="BF2402" s="38"/>
      <c r="BG2402" s="38"/>
      <c r="BH2402" s="38"/>
      <c r="BI2402" s="38"/>
      <c r="BJ2402" s="38"/>
      <c r="BK2402" s="38"/>
      <c r="BL2402" s="38"/>
      <c r="BM2402" s="38"/>
      <c r="BN2402" s="38"/>
      <c r="BO2402" s="38"/>
      <c r="BP2402" s="38"/>
      <c r="BQ2402" s="38"/>
    </row>
    <row r="2403">
      <c r="A2403" s="16"/>
      <c r="B2403" s="16"/>
      <c r="C2403" s="146"/>
      <c r="D2403" s="146"/>
      <c r="E2403" s="16"/>
      <c r="F2403" s="91"/>
      <c r="G2403" s="16"/>
      <c r="H2403" s="320" t="str">
        <f t="shared" si="33"/>
        <v/>
      </c>
      <c r="I2403" s="16"/>
      <c r="J2403" s="16"/>
      <c r="K2403" s="16"/>
      <c r="L2403" s="16"/>
      <c r="M2403" s="15"/>
      <c r="N2403" s="15"/>
      <c r="O2403" s="16"/>
      <c r="P2403" s="16"/>
      <c r="Q2403" s="16"/>
      <c r="R2403" s="16"/>
      <c r="S2403" s="37" t="str">
        <f>IFERROR(__xludf.DUMMYFUNCTION("if(not(iserror(index(split(C2403, "" ""),2))), index(split(C2403, "" ""),1),"""")"),"")</f>
        <v/>
      </c>
      <c r="T2403" s="315" t="str">
        <f>IFERROR(__xludf.DUMMYFUNCTION("if(S2403="""",C2403,if(not(iserror(index(split(C2403, "" ""),3))), index(split(C2403, "" ""),3),index(split(C2403, "" ""),2)))"),"")</f>
        <v/>
      </c>
      <c r="U2403" s="38" t="b">
        <f t="shared" si="34"/>
        <v>0</v>
      </c>
      <c r="V2403" s="38"/>
      <c r="W2403" s="40"/>
      <c r="X2403" s="40"/>
      <c r="Y2403" s="38"/>
      <c r="Z2403" s="38"/>
      <c r="AA2403" s="38"/>
      <c r="AB2403" s="38"/>
      <c r="AC2403" s="38"/>
      <c r="AD2403" s="38"/>
      <c r="AE2403" s="38"/>
      <c r="AF2403" s="38"/>
      <c r="AG2403" s="38"/>
      <c r="AH2403" s="38"/>
      <c r="AI2403" s="38"/>
      <c r="AJ2403" s="38"/>
      <c r="AK2403" s="38"/>
      <c r="AL2403" s="38"/>
      <c r="AM2403" s="38"/>
      <c r="AN2403" s="38"/>
      <c r="AO2403" s="38"/>
      <c r="AP2403" s="38"/>
      <c r="AQ2403" s="38"/>
      <c r="AR2403" s="38"/>
      <c r="AS2403" s="38"/>
      <c r="AT2403" s="38"/>
      <c r="AU2403" s="38"/>
      <c r="AV2403" s="38"/>
      <c r="AW2403" s="38"/>
      <c r="AX2403" s="38"/>
      <c r="AY2403" s="38"/>
      <c r="AZ2403" s="38"/>
      <c r="BA2403" s="38"/>
      <c r="BB2403" s="38"/>
      <c r="BC2403" s="38"/>
      <c r="BD2403" s="38"/>
      <c r="BE2403" s="38"/>
      <c r="BF2403" s="38"/>
      <c r="BG2403" s="38"/>
      <c r="BH2403" s="38"/>
      <c r="BI2403" s="38"/>
      <c r="BJ2403" s="38"/>
      <c r="BK2403" s="38"/>
      <c r="BL2403" s="38"/>
      <c r="BM2403" s="38"/>
      <c r="BN2403" s="38"/>
      <c r="BO2403" s="38"/>
      <c r="BP2403" s="38"/>
      <c r="BQ2403" s="38"/>
    </row>
    <row r="2404">
      <c r="A2404" s="16"/>
      <c r="B2404" s="16"/>
      <c r="C2404" s="146"/>
      <c r="D2404" s="146"/>
      <c r="E2404" s="16"/>
      <c r="F2404" s="91"/>
      <c r="G2404" s="16"/>
      <c r="H2404" s="320" t="str">
        <f t="shared" si="33"/>
        <v/>
      </c>
      <c r="I2404" s="16"/>
      <c r="J2404" s="16"/>
      <c r="K2404" s="16"/>
      <c r="L2404" s="16"/>
      <c r="M2404" s="15"/>
      <c r="N2404" s="15"/>
      <c r="O2404" s="16"/>
      <c r="P2404" s="16"/>
      <c r="Q2404" s="16"/>
      <c r="R2404" s="16"/>
      <c r="S2404" s="37" t="str">
        <f>IFERROR(__xludf.DUMMYFUNCTION("if(not(iserror(index(split(C2404, "" ""),2))), index(split(C2404, "" ""),1),"""")"),"")</f>
        <v/>
      </c>
      <c r="T2404" s="315" t="str">
        <f>IFERROR(__xludf.DUMMYFUNCTION("if(S2404="""",C2404,if(not(iserror(index(split(C2404, "" ""),3))), index(split(C2404, "" ""),3),index(split(C2404, "" ""),2)))"),"")</f>
        <v/>
      </c>
      <c r="U2404" s="38" t="b">
        <f t="shared" si="34"/>
        <v>0</v>
      </c>
      <c r="V2404" s="38"/>
      <c r="W2404" s="40"/>
      <c r="X2404" s="40"/>
      <c r="Y2404" s="38"/>
      <c r="Z2404" s="38"/>
      <c r="AA2404" s="38"/>
      <c r="AB2404" s="38"/>
      <c r="AC2404" s="38"/>
      <c r="AD2404" s="38"/>
      <c r="AE2404" s="38"/>
      <c r="AF2404" s="38"/>
      <c r="AG2404" s="38"/>
      <c r="AH2404" s="38"/>
      <c r="AI2404" s="38"/>
      <c r="AJ2404" s="38"/>
      <c r="AK2404" s="38"/>
      <c r="AL2404" s="38"/>
      <c r="AM2404" s="38"/>
      <c r="AN2404" s="38"/>
      <c r="AO2404" s="38"/>
      <c r="AP2404" s="38"/>
      <c r="AQ2404" s="38"/>
      <c r="AR2404" s="38"/>
      <c r="AS2404" s="38"/>
      <c r="AT2404" s="38"/>
      <c r="AU2404" s="38"/>
      <c r="AV2404" s="38"/>
      <c r="AW2404" s="38"/>
      <c r="AX2404" s="38"/>
      <c r="AY2404" s="38"/>
      <c r="AZ2404" s="38"/>
      <c r="BA2404" s="38"/>
      <c r="BB2404" s="38"/>
      <c r="BC2404" s="38"/>
      <c r="BD2404" s="38"/>
      <c r="BE2404" s="38"/>
      <c r="BF2404" s="38"/>
      <c r="BG2404" s="38"/>
      <c r="BH2404" s="38"/>
      <c r="BI2404" s="38"/>
      <c r="BJ2404" s="38"/>
      <c r="BK2404" s="38"/>
      <c r="BL2404" s="38"/>
      <c r="BM2404" s="38"/>
      <c r="BN2404" s="38"/>
      <c r="BO2404" s="38"/>
      <c r="BP2404" s="38"/>
      <c r="BQ2404" s="38"/>
    </row>
    <row r="2405">
      <c r="A2405" s="16"/>
      <c r="B2405" s="16"/>
      <c r="C2405" s="146"/>
      <c r="D2405" s="146"/>
      <c r="E2405" s="16"/>
      <c r="F2405" s="91"/>
      <c r="G2405" s="16"/>
      <c r="H2405" s="320" t="str">
        <f t="shared" si="33"/>
        <v/>
      </c>
      <c r="I2405" s="16"/>
      <c r="J2405" s="16"/>
      <c r="K2405" s="16"/>
      <c r="L2405" s="16"/>
      <c r="M2405" s="15"/>
      <c r="N2405" s="15"/>
      <c r="O2405" s="16"/>
      <c r="P2405" s="16"/>
      <c r="Q2405" s="16"/>
      <c r="R2405" s="16"/>
      <c r="S2405" s="37" t="str">
        <f>IFERROR(__xludf.DUMMYFUNCTION("if(not(iserror(index(split(C2405, "" ""),2))), index(split(C2405, "" ""),1),"""")"),"")</f>
        <v/>
      </c>
      <c r="T2405" s="315" t="str">
        <f>IFERROR(__xludf.DUMMYFUNCTION("if(S2405="""",C2405,if(not(iserror(index(split(C2405, "" ""),3))), index(split(C2405, "" ""),3),index(split(C2405, "" ""),2)))"),"")</f>
        <v/>
      </c>
      <c r="U2405" s="38" t="b">
        <f t="shared" si="34"/>
        <v>0</v>
      </c>
      <c r="V2405" s="38"/>
      <c r="W2405" s="40"/>
      <c r="X2405" s="40"/>
      <c r="Y2405" s="38"/>
      <c r="Z2405" s="38"/>
      <c r="AA2405" s="38"/>
      <c r="AB2405" s="38"/>
      <c r="AC2405" s="38"/>
      <c r="AD2405" s="38"/>
      <c r="AE2405" s="38"/>
      <c r="AF2405" s="38"/>
      <c r="AG2405" s="38"/>
      <c r="AH2405" s="38"/>
      <c r="AI2405" s="38"/>
      <c r="AJ2405" s="38"/>
      <c r="AK2405" s="38"/>
      <c r="AL2405" s="38"/>
      <c r="AM2405" s="38"/>
      <c r="AN2405" s="38"/>
      <c r="AO2405" s="38"/>
      <c r="AP2405" s="38"/>
      <c r="AQ2405" s="38"/>
      <c r="AR2405" s="38"/>
      <c r="AS2405" s="38"/>
      <c r="AT2405" s="38"/>
      <c r="AU2405" s="38"/>
      <c r="AV2405" s="38"/>
      <c r="AW2405" s="38"/>
      <c r="AX2405" s="38"/>
      <c r="AY2405" s="38"/>
      <c r="AZ2405" s="38"/>
      <c r="BA2405" s="38"/>
      <c r="BB2405" s="38"/>
      <c r="BC2405" s="38"/>
      <c r="BD2405" s="38"/>
      <c r="BE2405" s="38"/>
      <c r="BF2405" s="38"/>
      <c r="BG2405" s="38"/>
      <c r="BH2405" s="38"/>
      <c r="BI2405" s="38"/>
      <c r="BJ2405" s="38"/>
      <c r="BK2405" s="38"/>
      <c r="BL2405" s="38"/>
      <c r="BM2405" s="38"/>
      <c r="BN2405" s="38"/>
      <c r="BO2405" s="38"/>
      <c r="BP2405" s="38"/>
      <c r="BQ2405" s="38"/>
    </row>
    <row r="2406">
      <c r="A2406" s="16"/>
      <c r="B2406" s="16"/>
      <c r="C2406" s="146"/>
      <c r="D2406" s="146"/>
      <c r="E2406" s="16"/>
      <c r="F2406" s="91"/>
      <c r="G2406" s="16"/>
      <c r="H2406" s="320" t="str">
        <f t="shared" si="33"/>
        <v/>
      </c>
      <c r="I2406" s="16"/>
      <c r="J2406" s="16"/>
      <c r="K2406" s="16"/>
      <c r="L2406" s="16"/>
      <c r="M2406" s="15"/>
      <c r="N2406" s="15"/>
      <c r="O2406" s="16"/>
      <c r="P2406" s="16"/>
      <c r="Q2406" s="16"/>
      <c r="R2406" s="16"/>
      <c r="S2406" s="37" t="str">
        <f>IFERROR(__xludf.DUMMYFUNCTION("if(not(iserror(index(split(C2406, "" ""),2))), index(split(C2406, "" ""),1),"""")"),"")</f>
        <v/>
      </c>
      <c r="T2406" s="315" t="str">
        <f>IFERROR(__xludf.DUMMYFUNCTION("if(S2406="""",C2406,if(not(iserror(index(split(C2406, "" ""),3))), index(split(C2406, "" ""),3),index(split(C2406, "" ""),2)))"),"")</f>
        <v/>
      </c>
      <c r="U2406" s="38" t="b">
        <f t="shared" si="34"/>
        <v>0</v>
      </c>
      <c r="V2406" s="38"/>
      <c r="W2406" s="40"/>
      <c r="X2406" s="40"/>
      <c r="Y2406" s="38"/>
      <c r="Z2406" s="38"/>
      <c r="AA2406" s="38"/>
      <c r="AB2406" s="38"/>
      <c r="AC2406" s="38"/>
      <c r="AD2406" s="38"/>
      <c r="AE2406" s="38"/>
      <c r="AF2406" s="38"/>
      <c r="AG2406" s="38"/>
      <c r="AH2406" s="38"/>
      <c r="AI2406" s="38"/>
      <c r="AJ2406" s="38"/>
      <c r="AK2406" s="38"/>
      <c r="AL2406" s="38"/>
      <c r="AM2406" s="38"/>
      <c r="AN2406" s="38"/>
      <c r="AO2406" s="38"/>
      <c r="AP2406" s="38"/>
      <c r="AQ2406" s="38"/>
      <c r="AR2406" s="38"/>
      <c r="AS2406" s="38"/>
      <c r="AT2406" s="38"/>
      <c r="AU2406" s="38"/>
      <c r="AV2406" s="38"/>
      <c r="AW2406" s="38"/>
      <c r="AX2406" s="38"/>
      <c r="AY2406" s="38"/>
      <c r="AZ2406" s="38"/>
      <c r="BA2406" s="38"/>
      <c r="BB2406" s="38"/>
      <c r="BC2406" s="38"/>
      <c r="BD2406" s="38"/>
      <c r="BE2406" s="38"/>
      <c r="BF2406" s="38"/>
      <c r="BG2406" s="38"/>
      <c r="BH2406" s="38"/>
      <c r="BI2406" s="38"/>
      <c r="BJ2406" s="38"/>
      <c r="BK2406" s="38"/>
      <c r="BL2406" s="38"/>
      <c r="BM2406" s="38"/>
      <c r="BN2406" s="38"/>
      <c r="BO2406" s="38"/>
      <c r="BP2406" s="38"/>
      <c r="BQ2406" s="38"/>
    </row>
    <row r="2407">
      <c r="A2407" s="16"/>
      <c r="B2407" s="16"/>
      <c r="C2407" s="146"/>
      <c r="D2407" s="146"/>
      <c r="E2407" s="16"/>
      <c r="F2407" s="91"/>
      <c r="G2407" s="16"/>
      <c r="H2407" s="320" t="str">
        <f t="shared" si="33"/>
        <v/>
      </c>
      <c r="I2407" s="16"/>
      <c r="J2407" s="16"/>
      <c r="K2407" s="16"/>
      <c r="L2407" s="16"/>
      <c r="M2407" s="15"/>
      <c r="N2407" s="15"/>
      <c r="O2407" s="16"/>
      <c r="P2407" s="16"/>
      <c r="Q2407" s="16"/>
      <c r="R2407" s="16"/>
      <c r="S2407" s="37" t="str">
        <f>IFERROR(__xludf.DUMMYFUNCTION("if(not(iserror(index(split(C2407, "" ""),2))), index(split(C2407, "" ""),1),"""")"),"")</f>
        <v/>
      </c>
      <c r="T2407" s="315" t="str">
        <f>IFERROR(__xludf.DUMMYFUNCTION("if(S2407="""",C2407,if(not(iserror(index(split(C2407, "" ""),3))), index(split(C2407, "" ""),3),index(split(C2407, "" ""),2)))"),"")</f>
        <v/>
      </c>
      <c r="U2407" s="38" t="b">
        <f t="shared" si="34"/>
        <v>0</v>
      </c>
      <c r="V2407" s="38"/>
      <c r="W2407" s="40"/>
      <c r="X2407" s="40"/>
      <c r="Y2407" s="38"/>
      <c r="Z2407" s="38"/>
      <c r="AA2407" s="38"/>
      <c r="AB2407" s="38"/>
      <c r="AC2407" s="38"/>
      <c r="AD2407" s="38"/>
      <c r="AE2407" s="38"/>
      <c r="AF2407" s="38"/>
      <c r="AG2407" s="38"/>
      <c r="AH2407" s="38"/>
      <c r="AI2407" s="38"/>
      <c r="AJ2407" s="38"/>
      <c r="AK2407" s="38"/>
      <c r="AL2407" s="38"/>
      <c r="AM2407" s="38"/>
      <c r="AN2407" s="38"/>
      <c r="AO2407" s="38"/>
      <c r="AP2407" s="38"/>
      <c r="AQ2407" s="38"/>
      <c r="AR2407" s="38"/>
      <c r="AS2407" s="38"/>
      <c r="AT2407" s="38"/>
      <c r="AU2407" s="38"/>
      <c r="AV2407" s="38"/>
      <c r="AW2407" s="38"/>
      <c r="AX2407" s="38"/>
      <c r="AY2407" s="38"/>
      <c r="AZ2407" s="38"/>
      <c r="BA2407" s="38"/>
      <c r="BB2407" s="38"/>
      <c r="BC2407" s="38"/>
      <c r="BD2407" s="38"/>
      <c r="BE2407" s="38"/>
      <c r="BF2407" s="38"/>
      <c r="BG2407" s="38"/>
      <c r="BH2407" s="38"/>
      <c r="BI2407" s="38"/>
      <c r="BJ2407" s="38"/>
      <c r="BK2407" s="38"/>
      <c r="BL2407" s="38"/>
      <c r="BM2407" s="38"/>
      <c r="BN2407" s="38"/>
      <c r="BO2407" s="38"/>
      <c r="BP2407" s="38"/>
      <c r="BQ2407" s="38"/>
    </row>
    <row r="2408">
      <c r="A2408" s="16"/>
      <c r="B2408" s="16"/>
      <c r="C2408" s="146"/>
      <c r="D2408" s="146"/>
      <c r="E2408" s="16"/>
      <c r="F2408" s="91"/>
      <c r="G2408" s="16"/>
      <c r="H2408" s="320" t="str">
        <f t="shared" si="33"/>
        <v/>
      </c>
      <c r="I2408" s="16"/>
      <c r="J2408" s="16"/>
      <c r="K2408" s="16"/>
      <c r="L2408" s="16"/>
      <c r="M2408" s="15"/>
      <c r="N2408" s="15"/>
      <c r="O2408" s="16"/>
      <c r="P2408" s="16"/>
      <c r="Q2408" s="16"/>
      <c r="R2408" s="16"/>
      <c r="S2408" s="37" t="str">
        <f>IFERROR(__xludf.DUMMYFUNCTION("if(not(iserror(index(split(C2408, "" ""),2))), index(split(C2408, "" ""),1),"""")"),"")</f>
        <v/>
      </c>
      <c r="T2408" s="315" t="str">
        <f>IFERROR(__xludf.DUMMYFUNCTION("if(S2408="""",C2408,if(not(iserror(index(split(C2408, "" ""),3))), index(split(C2408, "" ""),3),index(split(C2408, "" ""),2)))"),"")</f>
        <v/>
      </c>
      <c r="U2408" s="38" t="b">
        <f t="shared" si="34"/>
        <v>0</v>
      </c>
      <c r="V2408" s="38"/>
      <c r="W2408" s="40"/>
      <c r="X2408" s="40"/>
      <c r="Y2408" s="38"/>
      <c r="Z2408" s="38"/>
      <c r="AA2408" s="38"/>
      <c r="AB2408" s="38"/>
      <c r="AC2408" s="38"/>
      <c r="AD2408" s="38"/>
      <c r="AE2408" s="38"/>
      <c r="AF2408" s="38"/>
      <c r="AG2408" s="38"/>
      <c r="AH2408" s="38"/>
      <c r="AI2408" s="38"/>
      <c r="AJ2408" s="38"/>
      <c r="AK2408" s="38"/>
      <c r="AL2408" s="38"/>
      <c r="AM2408" s="38"/>
      <c r="AN2408" s="38"/>
      <c r="AO2408" s="38"/>
      <c r="AP2408" s="38"/>
      <c r="AQ2408" s="38"/>
      <c r="AR2408" s="38"/>
      <c r="AS2408" s="38"/>
      <c r="AT2408" s="38"/>
      <c r="AU2408" s="38"/>
      <c r="AV2408" s="38"/>
      <c r="AW2408" s="38"/>
      <c r="AX2408" s="38"/>
      <c r="AY2408" s="38"/>
      <c r="AZ2408" s="38"/>
      <c r="BA2408" s="38"/>
      <c r="BB2408" s="38"/>
      <c r="BC2408" s="38"/>
      <c r="BD2408" s="38"/>
      <c r="BE2408" s="38"/>
      <c r="BF2408" s="38"/>
      <c r="BG2408" s="38"/>
      <c r="BH2408" s="38"/>
      <c r="BI2408" s="38"/>
      <c r="BJ2408" s="38"/>
      <c r="BK2408" s="38"/>
      <c r="BL2408" s="38"/>
      <c r="BM2408" s="38"/>
      <c r="BN2408" s="38"/>
      <c r="BO2408" s="38"/>
      <c r="BP2408" s="38"/>
      <c r="BQ2408" s="38"/>
    </row>
    <row r="2409">
      <c r="A2409" s="16"/>
      <c r="B2409" s="16"/>
      <c r="C2409" s="146"/>
      <c r="D2409" s="146"/>
      <c r="E2409" s="16"/>
      <c r="F2409" s="91"/>
      <c r="G2409" s="16"/>
      <c r="H2409" s="320" t="str">
        <f t="shared" si="33"/>
        <v/>
      </c>
      <c r="I2409" s="16"/>
      <c r="J2409" s="16"/>
      <c r="K2409" s="16"/>
      <c r="L2409" s="16"/>
      <c r="M2409" s="15"/>
      <c r="N2409" s="15"/>
      <c r="O2409" s="16"/>
      <c r="P2409" s="16"/>
      <c r="Q2409" s="16"/>
      <c r="R2409" s="16"/>
      <c r="S2409" s="37" t="str">
        <f>IFERROR(__xludf.DUMMYFUNCTION("if(not(iserror(index(split(C2409, "" ""),2))), index(split(C2409, "" ""),1),"""")"),"")</f>
        <v/>
      </c>
      <c r="T2409" s="315" t="str">
        <f>IFERROR(__xludf.DUMMYFUNCTION("if(S2409="""",C2409,if(not(iserror(index(split(C2409, "" ""),3))), index(split(C2409, "" ""),3),index(split(C2409, "" ""),2)))"),"")</f>
        <v/>
      </c>
      <c r="U2409" s="38" t="b">
        <f t="shared" si="34"/>
        <v>0</v>
      </c>
      <c r="V2409" s="38"/>
      <c r="W2409" s="40"/>
      <c r="X2409" s="40"/>
      <c r="Y2409" s="38"/>
      <c r="Z2409" s="38"/>
      <c r="AA2409" s="38"/>
      <c r="AB2409" s="38"/>
      <c r="AC2409" s="38"/>
      <c r="AD2409" s="38"/>
      <c r="AE2409" s="38"/>
      <c r="AF2409" s="38"/>
      <c r="AG2409" s="38"/>
      <c r="AH2409" s="38"/>
      <c r="AI2409" s="38"/>
      <c r="AJ2409" s="38"/>
      <c r="AK2409" s="38"/>
      <c r="AL2409" s="38"/>
      <c r="AM2409" s="38"/>
      <c r="AN2409" s="38"/>
      <c r="AO2409" s="38"/>
      <c r="AP2409" s="38"/>
      <c r="AQ2409" s="38"/>
      <c r="AR2409" s="38"/>
      <c r="AS2409" s="38"/>
      <c r="AT2409" s="38"/>
      <c r="AU2409" s="38"/>
      <c r="AV2409" s="38"/>
      <c r="AW2409" s="38"/>
      <c r="AX2409" s="38"/>
      <c r="AY2409" s="38"/>
      <c r="AZ2409" s="38"/>
      <c r="BA2409" s="38"/>
      <c r="BB2409" s="38"/>
      <c r="BC2409" s="38"/>
      <c r="BD2409" s="38"/>
      <c r="BE2409" s="38"/>
      <c r="BF2409" s="38"/>
      <c r="BG2409" s="38"/>
      <c r="BH2409" s="38"/>
      <c r="BI2409" s="38"/>
      <c r="BJ2409" s="38"/>
      <c r="BK2409" s="38"/>
      <c r="BL2409" s="38"/>
      <c r="BM2409" s="38"/>
      <c r="BN2409" s="38"/>
      <c r="BO2409" s="38"/>
      <c r="BP2409" s="38"/>
      <c r="BQ2409" s="38"/>
    </row>
    <row r="2410">
      <c r="A2410" s="16"/>
      <c r="B2410" s="16"/>
      <c r="C2410" s="146"/>
      <c r="D2410" s="146"/>
      <c r="E2410" s="16"/>
      <c r="F2410" s="91"/>
      <c r="G2410" s="16"/>
      <c r="H2410" s="320" t="str">
        <f t="shared" si="33"/>
        <v/>
      </c>
      <c r="I2410" s="16"/>
      <c r="J2410" s="16"/>
      <c r="K2410" s="16"/>
      <c r="L2410" s="16"/>
      <c r="M2410" s="15"/>
      <c r="N2410" s="15"/>
      <c r="O2410" s="16"/>
      <c r="P2410" s="16"/>
      <c r="Q2410" s="16"/>
      <c r="R2410" s="16"/>
      <c r="S2410" s="37" t="str">
        <f>IFERROR(__xludf.DUMMYFUNCTION("if(not(iserror(index(split(C2410, "" ""),2))), index(split(C2410, "" ""),1),"""")"),"")</f>
        <v/>
      </c>
      <c r="T2410" s="315" t="str">
        <f>IFERROR(__xludf.DUMMYFUNCTION("if(S2410="""",C2410,if(not(iserror(index(split(C2410, "" ""),3))), index(split(C2410, "" ""),3),index(split(C2410, "" ""),2)))"),"")</f>
        <v/>
      </c>
      <c r="U2410" s="38" t="b">
        <f t="shared" si="34"/>
        <v>0</v>
      </c>
      <c r="V2410" s="38"/>
      <c r="W2410" s="40"/>
      <c r="X2410" s="40"/>
      <c r="Y2410" s="38"/>
      <c r="Z2410" s="38"/>
      <c r="AA2410" s="38"/>
      <c r="AB2410" s="38"/>
      <c r="AC2410" s="38"/>
      <c r="AD2410" s="38"/>
      <c r="AE2410" s="38"/>
      <c r="AF2410" s="38"/>
      <c r="AG2410" s="38"/>
      <c r="AH2410" s="38"/>
      <c r="AI2410" s="38"/>
      <c r="AJ2410" s="38"/>
      <c r="AK2410" s="38"/>
      <c r="AL2410" s="38"/>
      <c r="AM2410" s="38"/>
      <c r="AN2410" s="38"/>
      <c r="AO2410" s="38"/>
      <c r="AP2410" s="38"/>
      <c r="AQ2410" s="38"/>
      <c r="AR2410" s="38"/>
      <c r="AS2410" s="38"/>
      <c r="AT2410" s="38"/>
      <c r="AU2410" s="38"/>
      <c r="AV2410" s="38"/>
      <c r="AW2410" s="38"/>
      <c r="AX2410" s="38"/>
      <c r="AY2410" s="38"/>
      <c r="AZ2410" s="38"/>
      <c r="BA2410" s="38"/>
      <c r="BB2410" s="38"/>
      <c r="BC2410" s="38"/>
      <c r="BD2410" s="38"/>
      <c r="BE2410" s="38"/>
      <c r="BF2410" s="38"/>
      <c r="BG2410" s="38"/>
      <c r="BH2410" s="38"/>
      <c r="BI2410" s="38"/>
      <c r="BJ2410" s="38"/>
      <c r="BK2410" s="38"/>
      <c r="BL2410" s="38"/>
      <c r="BM2410" s="38"/>
      <c r="BN2410" s="38"/>
      <c r="BO2410" s="38"/>
      <c r="BP2410" s="38"/>
      <c r="BQ2410" s="38"/>
    </row>
    <row r="2411">
      <c r="A2411" s="16"/>
      <c r="B2411" s="16"/>
      <c r="C2411" s="146"/>
      <c r="D2411" s="146"/>
      <c r="E2411" s="16"/>
      <c r="F2411" s="91"/>
      <c r="G2411" s="16"/>
      <c r="H2411" s="320" t="str">
        <f t="shared" si="33"/>
        <v/>
      </c>
      <c r="I2411" s="16"/>
      <c r="J2411" s="16"/>
      <c r="K2411" s="16"/>
      <c r="L2411" s="16"/>
      <c r="M2411" s="15"/>
      <c r="N2411" s="15"/>
      <c r="O2411" s="16"/>
      <c r="P2411" s="16"/>
      <c r="Q2411" s="16"/>
      <c r="R2411" s="16"/>
      <c r="S2411" s="37" t="str">
        <f>IFERROR(__xludf.DUMMYFUNCTION("if(not(iserror(index(split(C2411, "" ""),2))), index(split(C2411, "" ""),1),"""")"),"")</f>
        <v/>
      </c>
      <c r="T2411" s="315" t="str">
        <f>IFERROR(__xludf.DUMMYFUNCTION("if(S2411="""",C2411,if(not(iserror(index(split(C2411, "" ""),3))), index(split(C2411, "" ""),3),index(split(C2411, "" ""),2)))"),"")</f>
        <v/>
      </c>
      <c r="U2411" s="38" t="b">
        <f t="shared" si="34"/>
        <v>0</v>
      </c>
      <c r="V2411" s="38"/>
      <c r="W2411" s="40"/>
      <c r="X2411" s="40"/>
      <c r="Y2411" s="38"/>
      <c r="Z2411" s="38"/>
      <c r="AA2411" s="38"/>
      <c r="AB2411" s="38"/>
      <c r="AC2411" s="38"/>
      <c r="AD2411" s="38"/>
      <c r="AE2411" s="38"/>
      <c r="AF2411" s="38"/>
      <c r="AG2411" s="38"/>
      <c r="AH2411" s="38"/>
      <c r="AI2411" s="38"/>
      <c r="AJ2411" s="38"/>
      <c r="AK2411" s="38"/>
      <c r="AL2411" s="38"/>
      <c r="AM2411" s="38"/>
      <c r="AN2411" s="38"/>
      <c r="AO2411" s="38"/>
      <c r="AP2411" s="38"/>
      <c r="AQ2411" s="38"/>
      <c r="AR2411" s="38"/>
      <c r="AS2411" s="38"/>
      <c r="AT2411" s="38"/>
      <c r="AU2411" s="38"/>
      <c r="AV2411" s="38"/>
      <c r="AW2411" s="38"/>
      <c r="AX2411" s="38"/>
      <c r="AY2411" s="38"/>
      <c r="AZ2411" s="38"/>
      <c r="BA2411" s="38"/>
      <c r="BB2411" s="38"/>
      <c r="BC2411" s="38"/>
      <c r="BD2411" s="38"/>
      <c r="BE2411" s="38"/>
      <c r="BF2411" s="38"/>
      <c r="BG2411" s="38"/>
      <c r="BH2411" s="38"/>
      <c r="BI2411" s="38"/>
      <c r="BJ2411" s="38"/>
      <c r="BK2411" s="38"/>
      <c r="BL2411" s="38"/>
      <c r="BM2411" s="38"/>
      <c r="BN2411" s="38"/>
      <c r="BO2411" s="38"/>
      <c r="BP2411" s="38"/>
      <c r="BQ2411" s="38"/>
    </row>
    <row r="2412">
      <c r="A2412" s="16"/>
      <c r="B2412" s="16"/>
      <c r="C2412" s="146"/>
      <c r="D2412" s="146"/>
      <c r="E2412" s="16"/>
      <c r="F2412" s="91"/>
      <c r="G2412" s="16"/>
      <c r="H2412" s="320" t="str">
        <f t="shared" si="33"/>
        <v/>
      </c>
      <c r="I2412" s="16"/>
      <c r="J2412" s="16"/>
      <c r="K2412" s="16"/>
      <c r="L2412" s="16"/>
      <c r="M2412" s="15"/>
      <c r="N2412" s="15"/>
      <c r="O2412" s="16"/>
      <c r="P2412" s="16"/>
      <c r="Q2412" s="16"/>
      <c r="R2412" s="16"/>
      <c r="S2412" s="37" t="str">
        <f>IFERROR(__xludf.DUMMYFUNCTION("if(not(iserror(index(split(C2412, "" ""),2))), index(split(C2412, "" ""),1),"""")"),"")</f>
        <v/>
      </c>
      <c r="T2412" s="315" t="str">
        <f>IFERROR(__xludf.DUMMYFUNCTION("if(S2412="""",C2412,if(not(iserror(index(split(C2412, "" ""),3))), index(split(C2412, "" ""),3),index(split(C2412, "" ""),2)))"),"")</f>
        <v/>
      </c>
      <c r="U2412" s="38" t="b">
        <f t="shared" si="34"/>
        <v>0</v>
      </c>
      <c r="V2412" s="38"/>
      <c r="W2412" s="40"/>
      <c r="X2412" s="40"/>
      <c r="Y2412" s="38"/>
      <c r="Z2412" s="38"/>
      <c r="AA2412" s="38"/>
      <c r="AB2412" s="38"/>
      <c r="AC2412" s="38"/>
      <c r="AD2412" s="38"/>
      <c r="AE2412" s="38"/>
      <c r="AF2412" s="38"/>
      <c r="AG2412" s="38"/>
      <c r="AH2412" s="38"/>
      <c r="AI2412" s="38"/>
      <c r="AJ2412" s="38"/>
      <c r="AK2412" s="38"/>
      <c r="AL2412" s="38"/>
      <c r="AM2412" s="38"/>
      <c r="AN2412" s="38"/>
      <c r="AO2412" s="38"/>
      <c r="AP2412" s="38"/>
      <c r="AQ2412" s="38"/>
      <c r="AR2412" s="38"/>
      <c r="AS2412" s="38"/>
      <c r="AT2412" s="38"/>
      <c r="AU2412" s="38"/>
      <c r="AV2412" s="38"/>
      <c r="AW2412" s="38"/>
      <c r="AX2412" s="38"/>
      <c r="AY2412" s="38"/>
      <c r="AZ2412" s="38"/>
      <c r="BA2412" s="38"/>
      <c r="BB2412" s="38"/>
      <c r="BC2412" s="38"/>
      <c r="BD2412" s="38"/>
      <c r="BE2412" s="38"/>
      <c r="BF2412" s="38"/>
      <c r="BG2412" s="38"/>
      <c r="BH2412" s="38"/>
      <c r="BI2412" s="38"/>
      <c r="BJ2412" s="38"/>
      <c r="BK2412" s="38"/>
      <c r="BL2412" s="38"/>
      <c r="BM2412" s="38"/>
      <c r="BN2412" s="38"/>
      <c r="BO2412" s="38"/>
      <c r="BP2412" s="38"/>
      <c r="BQ2412" s="38"/>
    </row>
    <row r="2413">
      <c r="A2413" s="16"/>
      <c r="B2413" s="16"/>
      <c r="C2413" s="146"/>
      <c r="D2413" s="146"/>
      <c r="E2413" s="16"/>
      <c r="F2413" s="91"/>
      <c r="G2413" s="16"/>
      <c r="H2413" s="320" t="str">
        <f t="shared" si="33"/>
        <v/>
      </c>
      <c r="I2413" s="16"/>
      <c r="J2413" s="16"/>
      <c r="K2413" s="16"/>
      <c r="L2413" s="16"/>
      <c r="M2413" s="15"/>
      <c r="N2413" s="15"/>
      <c r="O2413" s="16"/>
      <c r="P2413" s="16"/>
      <c r="Q2413" s="16"/>
      <c r="R2413" s="16"/>
      <c r="S2413" s="37" t="str">
        <f>IFERROR(__xludf.DUMMYFUNCTION("if(not(iserror(index(split(C2413, "" ""),2))), index(split(C2413, "" ""),1),"""")"),"")</f>
        <v/>
      </c>
      <c r="T2413" s="315" t="str">
        <f>IFERROR(__xludf.DUMMYFUNCTION("if(S2413="""",C2413,if(not(iserror(index(split(C2413, "" ""),3))), index(split(C2413, "" ""),3),index(split(C2413, "" ""),2)))"),"")</f>
        <v/>
      </c>
      <c r="U2413" s="38" t="b">
        <f t="shared" si="34"/>
        <v>0</v>
      </c>
      <c r="V2413" s="38"/>
      <c r="W2413" s="40"/>
      <c r="X2413" s="40"/>
      <c r="Y2413" s="38"/>
      <c r="Z2413" s="38"/>
      <c r="AA2413" s="38"/>
      <c r="AB2413" s="38"/>
      <c r="AC2413" s="38"/>
      <c r="AD2413" s="38"/>
      <c r="AE2413" s="38"/>
      <c r="AF2413" s="38"/>
      <c r="AG2413" s="38"/>
      <c r="AH2413" s="38"/>
      <c r="AI2413" s="38"/>
      <c r="AJ2413" s="38"/>
      <c r="AK2413" s="38"/>
      <c r="AL2413" s="38"/>
      <c r="AM2413" s="38"/>
      <c r="AN2413" s="38"/>
      <c r="AO2413" s="38"/>
      <c r="AP2413" s="38"/>
      <c r="AQ2413" s="38"/>
      <c r="AR2413" s="38"/>
      <c r="AS2413" s="38"/>
      <c r="AT2413" s="38"/>
      <c r="AU2413" s="38"/>
      <c r="AV2413" s="38"/>
      <c r="AW2413" s="38"/>
      <c r="AX2413" s="38"/>
      <c r="AY2413" s="38"/>
      <c r="AZ2413" s="38"/>
      <c r="BA2413" s="38"/>
      <c r="BB2413" s="38"/>
      <c r="BC2413" s="38"/>
      <c r="BD2413" s="38"/>
      <c r="BE2413" s="38"/>
      <c r="BF2413" s="38"/>
      <c r="BG2413" s="38"/>
      <c r="BH2413" s="38"/>
      <c r="BI2413" s="38"/>
      <c r="BJ2413" s="38"/>
      <c r="BK2413" s="38"/>
      <c r="BL2413" s="38"/>
      <c r="BM2413" s="38"/>
      <c r="BN2413" s="38"/>
      <c r="BO2413" s="38"/>
      <c r="BP2413" s="38"/>
      <c r="BQ2413" s="38"/>
    </row>
    <row r="2414">
      <c r="A2414" s="16"/>
      <c r="B2414" s="16"/>
      <c r="C2414" s="146"/>
      <c r="D2414" s="146"/>
      <c r="E2414" s="16"/>
      <c r="F2414" s="91"/>
      <c r="G2414" s="16"/>
      <c r="H2414" s="320" t="str">
        <f t="shared" si="33"/>
        <v/>
      </c>
      <c r="I2414" s="16"/>
      <c r="J2414" s="16"/>
      <c r="K2414" s="16"/>
      <c r="L2414" s="16"/>
      <c r="M2414" s="15"/>
      <c r="N2414" s="15"/>
      <c r="O2414" s="16"/>
      <c r="P2414" s="16"/>
      <c r="Q2414" s="16"/>
      <c r="R2414" s="16"/>
      <c r="S2414" s="37" t="str">
        <f>IFERROR(__xludf.DUMMYFUNCTION("if(not(iserror(index(split(C2414, "" ""),2))), index(split(C2414, "" ""),1),"""")"),"")</f>
        <v/>
      </c>
      <c r="T2414" s="315" t="str">
        <f>IFERROR(__xludf.DUMMYFUNCTION("if(S2414="""",C2414,if(not(iserror(index(split(C2414, "" ""),3))), index(split(C2414, "" ""),3),index(split(C2414, "" ""),2)))"),"")</f>
        <v/>
      </c>
      <c r="U2414" s="38" t="b">
        <f t="shared" si="34"/>
        <v>0</v>
      </c>
      <c r="V2414" s="38"/>
      <c r="W2414" s="40"/>
      <c r="X2414" s="40"/>
      <c r="Y2414" s="38"/>
      <c r="Z2414" s="38"/>
      <c r="AA2414" s="38"/>
      <c r="AB2414" s="38"/>
      <c r="AC2414" s="38"/>
      <c r="AD2414" s="38"/>
      <c r="AE2414" s="38"/>
      <c r="AF2414" s="38"/>
      <c r="AG2414" s="38"/>
      <c r="AH2414" s="38"/>
      <c r="AI2414" s="38"/>
      <c r="AJ2414" s="38"/>
      <c r="AK2414" s="38"/>
      <c r="AL2414" s="38"/>
      <c r="AM2414" s="38"/>
      <c r="AN2414" s="38"/>
      <c r="AO2414" s="38"/>
      <c r="AP2414" s="38"/>
      <c r="AQ2414" s="38"/>
      <c r="AR2414" s="38"/>
      <c r="AS2414" s="38"/>
      <c r="AT2414" s="38"/>
      <c r="AU2414" s="38"/>
      <c r="AV2414" s="38"/>
      <c r="AW2414" s="38"/>
      <c r="AX2414" s="38"/>
      <c r="AY2414" s="38"/>
      <c r="AZ2414" s="38"/>
      <c r="BA2414" s="38"/>
      <c r="BB2414" s="38"/>
      <c r="BC2414" s="38"/>
      <c r="BD2414" s="38"/>
      <c r="BE2414" s="38"/>
      <c r="BF2414" s="38"/>
      <c r="BG2414" s="38"/>
      <c r="BH2414" s="38"/>
      <c r="BI2414" s="38"/>
      <c r="BJ2414" s="38"/>
      <c r="BK2414" s="38"/>
      <c r="BL2414" s="38"/>
      <c r="BM2414" s="38"/>
      <c r="BN2414" s="38"/>
      <c r="BO2414" s="38"/>
      <c r="BP2414" s="38"/>
      <c r="BQ2414" s="38"/>
    </row>
    <row r="2415">
      <c r="A2415" s="16"/>
      <c r="B2415" s="16"/>
      <c r="C2415" s="146"/>
      <c r="D2415" s="146"/>
      <c r="E2415" s="16"/>
      <c r="F2415" s="91"/>
      <c r="G2415" s="16"/>
      <c r="H2415" s="320" t="str">
        <f t="shared" si="33"/>
        <v/>
      </c>
      <c r="I2415" s="16"/>
      <c r="J2415" s="16"/>
      <c r="K2415" s="16"/>
      <c r="L2415" s="16"/>
      <c r="M2415" s="15"/>
      <c r="N2415" s="15"/>
      <c r="O2415" s="16"/>
      <c r="P2415" s="16"/>
      <c r="Q2415" s="16"/>
      <c r="R2415" s="16"/>
      <c r="S2415" s="37" t="str">
        <f>IFERROR(__xludf.DUMMYFUNCTION("if(not(iserror(index(split(C2415, "" ""),2))), index(split(C2415, "" ""),1),"""")"),"")</f>
        <v/>
      </c>
      <c r="T2415" s="315" t="str">
        <f>IFERROR(__xludf.DUMMYFUNCTION("if(S2415="""",C2415,if(not(iserror(index(split(C2415, "" ""),3))), index(split(C2415, "" ""),3),index(split(C2415, "" ""),2)))"),"")</f>
        <v/>
      </c>
      <c r="U2415" s="38" t="b">
        <f t="shared" si="34"/>
        <v>0</v>
      </c>
      <c r="V2415" s="38"/>
      <c r="W2415" s="40"/>
      <c r="X2415" s="40"/>
      <c r="Y2415" s="38"/>
      <c r="Z2415" s="38"/>
      <c r="AA2415" s="38"/>
      <c r="AB2415" s="38"/>
      <c r="AC2415" s="38"/>
      <c r="AD2415" s="38"/>
      <c r="AE2415" s="38"/>
      <c r="AF2415" s="38"/>
      <c r="AG2415" s="38"/>
      <c r="AH2415" s="38"/>
      <c r="AI2415" s="38"/>
      <c r="AJ2415" s="38"/>
      <c r="AK2415" s="38"/>
      <c r="AL2415" s="38"/>
      <c r="AM2415" s="38"/>
      <c r="AN2415" s="38"/>
      <c r="AO2415" s="38"/>
      <c r="AP2415" s="38"/>
      <c r="AQ2415" s="38"/>
      <c r="AR2415" s="38"/>
      <c r="AS2415" s="38"/>
      <c r="AT2415" s="38"/>
      <c r="AU2415" s="38"/>
      <c r="AV2415" s="38"/>
      <c r="AW2415" s="38"/>
      <c r="AX2415" s="38"/>
      <c r="AY2415" s="38"/>
      <c r="AZ2415" s="38"/>
      <c r="BA2415" s="38"/>
      <c r="BB2415" s="38"/>
      <c r="BC2415" s="38"/>
      <c r="BD2415" s="38"/>
      <c r="BE2415" s="38"/>
      <c r="BF2415" s="38"/>
      <c r="BG2415" s="38"/>
      <c r="BH2415" s="38"/>
      <c r="BI2415" s="38"/>
      <c r="BJ2415" s="38"/>
      <c r="BK2415" s="38"/>
      <c r="BL2415" s="38"/>
      <c r="BM2415" s="38"/>
      <c r="BN2415" s="38"/>
      <c r="BO2415" s="38"/>
      <c r="BP2415" s="38"/>
      <c r="BQ2415" s="38"/>
    </row>
    <row r="2416">
      <c r="A2416" s="16"/>
      <c r="B2416" s="16"/>
      <c r="C2416" s="146"/>
      <c r="D2416" s="146"/>
      <c r="E2416" s="16"/>
      <c r="F2416" s="91"/>
      <c r="G2416" s="16"/>
      <c r="H2416" s="320" t="str">
        <f t="shared" si="33"/>
        <v/>
      </c>
      <c r="I2416" s="16"/>
      <c r="J2416" s="16"/>
      <c r="K2416" s="16"/>
      <c r="L2416" s="16"/>
      <c r="M2416" s="15"/>
      <c r="N2416" s="15"/>
      <c r="O2416" s="16"/>
      <c r="P2416" s="16"/>
      <c r="Q2416" s="16"/>
      <c r="R2416" s="16"/>
      <c r="S2416" s="37" t="str">
        <f>IFERROR(__xludf.DUMMYFUNCTION("if(not(iserror(index(split(C2416, "" ""),2))), index(split(C2416, "" ""),1),"""")"),"")</f>
        <v/>
      </c>
      <c r="T2416" s="315" t="str">
        <f>IFERROR(__xludf.DUMMYFUNCTION("if(S2416="""",C2416,if(not(iserror(index(split(C2416, "" ""),3))), index(split(C2416, "" ""),3),index(split(C2416, "" ""),2)))"),"")</f>
        <v/>
      </c>
      <c r="U2416" s="38" t="b">
        <f t="shared" si="34"/>
        <v>0</v>
      </c>
      <c r="V2416" s="38"/>
      <c r="W2416" s="40"/>
      <c r="X2416" s="40"/>
      <c r="Y2416" s="38"/>
      <c r="Z2416" s="38"/>
      <c r="AA2416" s="38"/>
      <c r="AB2416" s="38"/>
      <c r="AC2416" s="38"/>
      <c r="AD2416" s="38"/>
      <c r="AE2416" s="38"/>
      <c r="AF2416" s="38"/>
      <c r="AG2416" s="38"/>
      <c r="AH2416" s="38"/>
      <c r="AI2416" s="38"/>
      <c r="AJ2416" s="38"/>
      <c r="AK2416" s="38"/>
      <c r="AL2416" s="38"/>
      <c r="AM2416" s="38"/>
      <c r="AN2416" s="38"/>
      <c r="AO2416" s="38"/>
      <c r="AP2416" s="38"/>
      <c r="AQ2416" s="38"/>
      <c r="AR2416" s="38"/>
      <c r="AS2416" s="38"/>
      <c r="AT2416" s="38"/>
      <c r="AU2416" s="38"/>
      <c r="AV2416" s="38"/>
      <c r="AW2416" s="38"/>
      <c r="AX2416" s="38"/>
      <c r="AY2416" s="38"/>
      <c r="AZ2416" s="38"/>
      <c r="BA2416" s="38"/>
      <c r="BB2416" s="38"/>
      <c r="BC2416" s="38"/>
      <c r="BD2416" s="38"/>
      <c r="BE2416" s="38"/>
      <c r="BF2416" s="38"/>
      <c r="BG2416" s="38"/>
      <c r="BH2416" s="38"/>
      <c r="BI2416" s="38"/>
      <c r="BJ2416" s="38"/>
      <c r="BK2416" s="38"/>
      <c r="BL2416" s="38"/>
      <c r="BM2416" s="38"/>
      <c r="BN2416" s="38"/>
      <c r="BO2416" s="38"/>
      <c r="BP2416" s="38"/>
      <c r="BQ2416" s="38"/>
    </row>
    <row r="2417">
      <c r="A2417" s="16"/>
      <c r="B2417" s="16"/>
      <c r="C2417" s="146"/>
      <c r="D2417" s="146"/>
      <c r="E2417" s="16"/>
      <c r="F2417" s="91"/>
      <c r="G2417" s="16"/>
      <c r="H2417" s="320" t="str">
        <f t="shared" si="33"/>
        <v/>
      </c>
      <c r="I2417" s="16"/>
      <c r="J2417" s="16"/>
      <c r="K2417" s="16"/>
      <c r="L2417" s="16"/>
      <c r="M2417" s="15"/>
      <c r="N2417" s="15"/>
      <c r="O2417" s="16"/>
      <c r="P2417" s="16"/>
      <c r="Q2417" s="16"/>
      <c r="R2417" s="16"/>
      <c r="S2417" s="37" t="str">
        <f>IFERROR(__xludf.DUMMYFUNCTION("if(not(iserror(index(split(C2417, "" ""),2))), index(split(C2417, "" ""),1),"""")"),"")</f>
        <v/>
      </c>
      <c r="T2417" s="315" t="str">
        <f>IFERROR(__xludf.DUMMYFUNCTION("if(S2417="""",C2417,if(not(iserror(index(split(C2417, "" ""),3))), index(split(C2417, "" ""),3),index(split(C2417, "" ""),2)))"),"")</f>
        <v/>
      </c>
      <c r="U2417" s="38" t="b">
        <f t="shared" si="34"/>
        <v>0</v>
      </c>
      <c r="V2417" s="38"/>
      <c r="W2417" s="40"/>
      <c r="X2417" s="40"/>
      <c r="Y2417" s="38"/>
      <c r="Z2417" s="38"/>
      <c r="AA2417" s="38"/>
      <c r="AB2417" s="38"/>
      <c r="AC2417" s="38"/>
      <c r="AD2417" s="38"/>
      <c r="AE2417" s="38"/>
      <c r="AF2417" s="38"/>
      <c r="AG2417" s="38"/>
      <c r="AH2417" s="38"/>
      <c r="AI2417" s="38"/>
      <c r="AJ2417" s="38"/>
      <c r="AK2417" s="38"/>
      <c r="AL2417" s="38"/>
      <c r="AM2417" s="38"/>
      <c r="AN2417" s="38"/>
      <c r="AO2417" s="38"/>
      <c r="AP2417" s="38"/>
      <c r="AQ2417" s="38"/>
      <c r="AR2417" s="38"/>
      <c r="AS2417" s="38"/>
      <c r="AT2417" s="38"/>
      <c r="AU2417" s="38"/>
      <c r="AV2417" s="38"/>
      <c r="AW2417" s="38"/>
      <c r="AX2417" s="38"/>
      <c r="AY2417" s="38"/>
      <c r="AZ2417" s="38"/>
      <c r="BA2417" s="38"/>
      <c r="BB2417" s="38"/>
      <c r="BC2417" s="38"/>
      <c r="BD2417" s="38"/>
      <c r="BE2417" s="38"/>
      <c r="BF2417" s="38"/>
      <c r="BG2417" s="38"/>
      <c r="BH2417" s="38"/>
      <c r="BI2417" s="38"/>
      <c r="BJ2417" s="38"/>
      <c r="BK2417" s="38"/>
      <c r="BL2417" s="38"/>
      <c r="BM2417" s="38"/>
      <c r="BN2417" s="38"/>
      <c r="BO2417" s="38"/>
      <c r="BP2417" s="38"/>
      <c r="BQ2417" s="38"/>
    </row>
    <row r="2418">
      <c r="A2418" s="16"/>
      <c r="B2418" s="16"/>
      <c r="C2418" s="146"/>
      <c r="D2418" s="146"/>
      <c r="E2418" s="16"/>
      <c r="F2418" s="91"/>
      <c r="G2418" s="16"/>
      <c r="H2418" s="320" t="str">
        <f t="shared" si="33"/>
        <v/>
      </c>
      <c r="I2418" s="16"/>
      <c r="J2418" s="16"/>
      <c r="K2418" s="16"/>
      <c r="L2418" s="16"/>
      <c r="M2418" s="15"/>
      <c r="N2418" s="15"/>
      <c r="O2418" s="16"/>
      <c r="P2418" s="16"/>
      <c r="Q2418" s="16"/>
      <c r="R2418" s="16"/>
      <c r="S2418" s="37" t="str">
        <f>IFERROR(__xludf.DUMMYFUNCTION("if(not(iserror(index(split(C2418, "" ""),2))), index(split(C2418, "" ""),1),"""")"),"")</f>
        <v/>
      </c>
      <c r="T2418" s="315" t="str">
        <f>IFERROR(__xludf.DUMMYFUNCTION("if(S2418="""",C2418,if(not(iserror(index(split(C2418, "" ""),3))), index(split(C2418, "" ""),3),index(split(C2418, "" ""),2)))"),"")</f>
        <v/>
      </c>
      <c r="U2418" s="38" t="b">
        <f t="shared" si="34"/>
        <v>0</v>
      </c>
      <c r="V2418" s="38"/>
      <c r="W2418" s="40"/>
      <c r="X2418" s="40"/>
      <c r="Y2418" s="38"/>
      <c r="Z2418" s="38"/>
      <c r="AA2418" s="38"/>
      <c r="AB2418" s="38"/>
      <c r="AC2418" s="38"/>
      <c r="AD2418" s="38"/>
      <c r="AE2418" s="38"/>
      <c r="AF2418" s="38"/>
      <c r="AG2418" s="38"/>
      <c r="AH2418" s="38"/>
      <c r="AI2418" s="38"/>
      <c r="AJ2418" s="38"/>
      <c r="AK2418" s="38"/>
      <c r="AL2418" s="38"/>
      <c r="AM2418" s="38"/>
      <c r="AN2418" s="38"/>
      <c r="AO2418" s="38"/>
      <c r="AP2418" s="38"/>
      <c r="AQ2418" s="38"/>
      <c r="AR2418" s="38"/>
      <c r="AS2418" s="38"/>
      <c r="AT2418" s="38"/>
      <c r="AU2418" s="38"/>
      <c r="AV2418" s="38"/>
      <c r="AW2418" s="38"/>
      <c r="AX2418" s="38"/>
      <c r="AY2418" s="38"/>
      <c r="AZ2418" s="38"/>
      <c r="BA2418" s="38"/>
      <c r="BB2418" s="38"/>
      <c r="BC2418" s="38"/>
      <c r="BD2418" s="38"/>
      <c r="BE2418" s="38"/>
      <c r="BF2418" s="38"/>
      <c r="BG2418" s="38"/>
      <c r="BH2418" s="38"/>
      <c r="BI2418" s="38"/>
      <c r="BJ2418" s="38"/>
      <c r="BK2418" s="38"/>
      <c r="BL2418" s="38"/>
      <c r="BM2418" s="38"/>
      <c r="BN2418" s="38"/>
      <c r="BO2418" s="38"/>
      <c r="BP2418" s="38"/>
      <c r="BQ2418" s="38"/>
    </row>
    <row r="2419">
      <c r="A2419" s="16"/>
      <c r="B2419" s="16"/>
      <c r="C2419" s="146"/>
      <c r="D2419" s="146"/>
      <c r="E2419" s="16"/>
      <c r="F2419" s="91"/>
      <c r="G2419" s="16"/>
      <c r="H2419" s="320" t="str">
        <f t="shared" si="33"/>
        <v/>
      </c>
      <c r="I2419" s="16"/>
      <c r="J2419" s="16"/>
      <c r="K2419" s="16"/>
      <c r="L2419" s="16"/>
      <c r="M2419" s="15"/>
      <c r="N2419" s="15"/>
      <c r="O2419" s="16"/>
      <c r="P2419" s="16"/>
      <c r="Q2419" s="16"/>
      <c r="R2419" s="16"/>
      <c r="S2419" s="37" t="str">
        <f>IFERROR(__xludf.DUMMYFUNCTION("if(not(iserror(index(split(C2419, "" ""),2))), index(split(C2419, "" ""),1),"""")"),"")</f>
        <v/>
      </c>
      <c r="T2419" s="315" t="str">
        <f>IFERROR(__xludf.DUMMYFUNCTION("if(S2419="""",C2419,if(not(iserror(index(split(C2419, "" ""),3))), index(split(C2419, "" ""),3),index(split(C2419, "" ""),2)))"),"")</f>
        <v/>
      </c>
      <c r="U2419" s="38" t="b">
        <f t="shared" si="34"/>
        <v>0</v>
      </c>
      <c r="V2419" s="38"/>
      <c r="W2419" s="40"/>
      <c r="X2419" s="40"/>
      <c r="Y2419" s="38"/>
      <c r="Z2419" s="38"/>
      <c r="AA2419" s="38"/>
      <c r="AB2419" s="38"/>
      <c r="AC2419" s="38"/>
      <c r="AD2419" s="38"/>
      <c r="AE2419" s="38"/>
      <c r="AF2419" s="38"/>
      <c r="AG2419" s="38"/>
      <c r="AH2419" s="38"/>
      <c r="AI2419" s="38"/>
      <c r="AJ2419" s="38"/>
      <c r="AK2419" s="38"/>
      <c r="AL2419" s="38"/>
      <c r="AM2419" s="38"/>
      <c r="AN2419" s="38"/>
      <c r="AO2419" s="38"/>
      <c r="AP2419" s="38"/>
      <c r="AQ2419" s="38"/>
      <c r="AR2419" s="38"/>
      <c r="AS2419" s="38"/>
      <c r="AT2419" s="38"/>
      <c r="AU2419" s="38"/>
      <c r="AV2419" s="38"/>
      <c r="AW2419" s="38"/>
      <c r="AX2419" s="38"/>
      <c r="AY2419" s="38"/>
      <c r="AZ2419" s="38"/>
      <c r="BA2419" s="38"/>
      <c r="BB2419" s="38"/>
      <c r="BC2419" s="38"/>
      <c r="BD2419" s="38"/>
      <c r="BE2419" s="38"/>
      <c r="BF2419" s="38"/>
      <c r="BG2419" s="38"/>
      <c r="BH2419" s="38"/>
      <c r="BI2419" s="38"/>
      <c r="BJ2419" s="38"/>
      <c r="BK2419" s="38"/>
      <c r="BL2419" s="38"/>
      <c r="BM2419" s="38"/>
      <c r="BN2419" s="38"/>
      <c r="BO2419" s="38"/>
      <c r="BP2419" s="38"/>
      <c r="BQ2419" s="38"/>
    </row>
    <row r="2420">
      <c r="A2420" s="16"/>
      <c r="B2420" s="16"/>
      <c r="C2420" s="146"/>
      <c r="D2420" s="146"/>
      <c r="E2420" s="16"/>
      <c r="F2420" s="91"/>
      <c r="G2420" s="16"/>
      <c r="H2420" s="320" t="str">
        <f t="shared" si="33"/>
        <v/>
      </c>
      <c r="I2420" s="16"/>
      <c r="J2420" s="16"/>
      <c r="K2420" s="16"/>
      <c r="L2420" s="16"/>
      <c r="M2420" s="15"/>
      <c r="N2420" s="15"/>
      <c r="O2420" s="16"/>
      <c r="P2420" s="16"/>
      <c r="Q2420" s="16"/>
      <c r="R2420" s="16"/>
      <c r="S2420" s="37" t="str">
        <f>IFERROR(__xludf.DUMMYFUNCTION("if(not(iserror(index(split(C2420, "" ""),2))), index(split(C2420, "" ""),1),"""")"),"")</f>
        <v/>
      </c>
      <c r="T2420" s="315" t="str">
        <f>IFERROR(__xludf.DUMMYFUNCTION("if(S2420="""",C2420,if(not(iserror(index(split(C2420, "" ""),3))), index(split(C2420, "" ""),3),index(split(C2420, "" ""),2)))"),"")</f>
        <v/>
      </c>
      <c r="U2420" s="38" t="b">
        <f t="shared" si="34"/>
        <v>0</v>
      </c>
      <c r="V2420" s="38"/>
      <c r="W2420" s="40"/>
      <c r="X2420" s="40"/>
      <c r="Y2420" s="38"/>
      <c r="Z2420" s="38"/>
      <c r="AA2420" s="38"/>
      <c r="AB2420" s="38"/>
      <c r="AC2420" s="38"/>
      <c r="AD2420" s="38"/>
      <c r="AE2420" s="38"/>
      <c r="AF2420" s="38"/>
      <c r="AG2420" s="38"/>
      <c r="AH2420" s="38"/>
      <c r="AI2420" s="38"/>
      <c r="AJ2420" s="38"/>
      <c r="AK2420" s="38"/>
      <c r="AL2420" s="38"/>
      <c r="AM2420" s="38"/>
      <c r="AN2420" s="38"/>
      <c r="AO2420" s="38"/>
      <c r="AP2420" s="38"/>
      <c r="AQ2420" s="38"/>
      <c r="AR2420" s="38"/>
      <c r="AS2420" s="38"/>
      <c r="AT2420" s="38"/>
      <c r="AU2420" s="38"/>
      <c r="AV2420" s="38"/>
      <c r="AW2420" s="38"/>
      <c r="AX2420" s="38"/>
      <c r="AY2420" s="38"/>
      <c r="AZ2420" s="38"/>
      <c r="BA2420" s="38"/>
      <c r="BB2420" s="38"/>
      <c r="BC2420" s="38"/>
      <c r="BD2420" s="38"/>
      <c r="BE2420" s="38"/>
      <c r="BF2420" s="38"/>
      <c r="BG2420" s="38"/>
      <c r="BH2420" s="38"/>
      <c r="BI2420" s="38"/>
      <c r="BJ2420" s="38"/>
      <c r="BK2420" s="38"/>
      <c r="BL2420" s="38"/>
      <c r="BM2420" s="38"/>
      <c r="BN2420" s="38"/>
      <c r="BO2420" s="38"/>
      <c r="BP2420" s="38"/>
      <c r="BQ2420" s="38"/>
    </row>
    <row r="2421">
      <c r="A2421" s="16"/>
      <c r="B2421" s="16"/>
      <c r="C2421" s="146"/>
      <c r="D2421" s="146"/>
      <c r="E2421" s="16"/>
      <c r="F2421" s="91"/>
      <c r="G2421" s="16"/>
      <c r="H2421" s="320" t="str">
        <f t="shared" si="33"/>
        <v/>
      </c>
      <c r="I2421" s="16"/>
      <c r="J2421" s="16"/>
      <c r="K2421" s="16"/>
      <c r="L2421" s="16"/>
      <c r="M2421" s="15"/>
      <c r="N2421" s="15"/>
      <c r="O2421" s="16"/>
      <c r="P2421" s="16"/>
      <c r="Q2421" s="16"/>
      <c r="R2421" s="16"/>
      <c r="S2421" s="37" t="str">
        <f>IFERROR(__xludf.DUMMYFUNCTION("if(not(iserror(index(split(C2421, "" ""),2))), index(split(C2421, "" ""),1),"""")"),"")</f>
        <v/>
      </c>
      <c r="T2421" s="315" t="str">
        <f>IFERROR(__xludf.DUMMYFUNCTION("if(S2421="""",C2421,if(not(iserror(index(split(C2421, "" ""),3))), index(split(C2421, "" ""),3),index(split(C2421, "" ""),2)))"),"")</f>
        <v/>
      </c>
      <c r="U2421" s="38" t="b">
        <f t="shared" si="34"/>
        <v>0</v>
      </c>
      <c r="V2421" s="38"/>
      <c r="W2421" s="40"/>
      <c r="X2421" s="40"/>
      <c r="Y2421" s="38"/>
      <c r="Z2421" s="38"/>
      <c r="AA2421" s="38"/>
      <c r="AB2421" s="38"/>
      <c r="AC2421" s="38"/>
      <c r="AD2421" s="38"/>
      <c r="AE2421" s="38"/>
      <c r="AF2421" s="38"/>
      <c r="AG2421" s="38"/>
      <c r="AH2421" s="38"/>
      <c r="AI2421" s="38"/>
      <c r="AJ2421" s="38"/>
      <c r="AK2421" s="38"/>
      <c r="AL2421" s="38"/>
      <c r="AM2421" s="38"/>
      <c r="AN2421" s="38"/>
      <c r="AO2421" s="38"/>
      <c r="AP2421" s="38"/>
      <c r="AQ2421" s="38"/>
      <c r="AR2421" s="38"/>
      <c r="AS2421" s="38"/>
      <c r="AT2421" s="38"/>
      <c r="AU2421" s="38"/>
      <c r="AV2421" s="38"/>
      <c r="AW2421" s="38"/>
      <c r="AX2421" s="38"/>
      <c r="AY2421" s="38"/>
      <c r="AZ2421" s="38"/>
      <c r="BA2421" s="38"/>
      <c r="BB2421" s="38"/>
      <c r="BC2421" s="38"/>
      <c r="BD2421" s="38"/>
      <c r="BE2421" s="38"/>
      <c r="BF2421" s="38"/>
      <c r="BG2421" s="38"/>
      <c r="BH2421" s="38"/>
      <c r="BI2421" s="38"/>
      <c r="BJ2421" s="38"/>
      <c r="BK2421" s="38"/>
      <c r="BL2421" s="38"/>
      <c r="BM2421" s="38"/>
      <c r="BN2421" s="38"/>
      <c r="BO2421" s="38"/>
      <c r="BP2421" s="38"/>
      <c r="BQ2421" s="38"/>
    </row>
    <row r="2422">
      <c r="A2422" s="16"/>
      <c r="B2422" s="16"/>
      <c r="C2422" s="146"/>
      <c r="D2422" s="146"/>
      <c r="E2422" s="16"/>
      <c r="F2422" s="91"/>
      <c r="G2422" s="16"/>
      <c r="H2422" s="320" t="str">
        <f t="shared" si="33"/>
        <v/>
      </c>
      <c r="I2422" s="16"/>
      <c r="J2422" s="16"/>
      <c r="K2422" s="16"/>
      <c r="L2422" s="16"/>
      <c r="M2422" s="15"/>
      <c r="N2422" s="15"/>
      <c r="O2422" s="16"/>
      <c r="P2422" s="16"/>
      <c r="Q2422" s="16"/>
      <c r="R2422" s="16"/>
      <c r="S2422" s="37" t="str">
        <f>IFERROR(__xludf.DUMMYFUNCTION("if(not(iserror(index(split(C2422, "" ""),2))), index(split(C2422, "" ""),1),"""")"),"")</f>
        <v/>
      </c>
      <c r="T2422" s="315" t="str">
        <f>IFERROR(__xludf.DUMMYFUNCTION("if(S2422="""",C2422,if(not(iserror(index(split(C2422, "" ""),3))), index(split(C2422, "" ""),3),index(split(C2422, "" ""),2)))"),"")</f>
        <v/>
      </c>
      <c r="U2422" s="38" t="b">
        <f t="shared" si="34"/>
        <v>0</v>
      </c>
      <c r="V2422" s="38"/>
      <c r="W2422" s="40"/>
      <c r="X2422" s="40"/>
      <c r="Y2422" s="38"/>
      <c r="Z2422" s="38"/>
      <c r="AA2422" s="38"/>
      <c r="AB2422" s="38"/>
      <c r="AC2422" s="38"/>
      <c r="AD2422" s="38"/>
      <c r="AE2422" s="38"/>
      <c r="AF2422" s="38"/>
      <c r="AG2422" s="38"/>
      <c r="AH2422" s="38"/>
      <c r="AI2422" s="38"/>
      <c r="AJ2422" s="38"/>
      <c r="AK2422" s="38"/>
      <c r="AL2422" s="38"/>
      <c r="AM2422" s="38"/>
      <c r="AN2422" s="38"/>
      <c r="AO2422" s="38"/>
      <c r="AP2422" s="38"/>
      <c r="AQ2422" s="38"/>
      <c r="AR2422" s="38"/>
      <c r="AS2422" s="38"/>
      <c r="AT2422" s="38"/>
      <c r="AU2422" s="38"/>
      <c r="AV2422" s="38"/>
      <c r="AW2422" s="38"/>
      <c r="AX2422" s="38"/>
      <c r="AY2422" s="38"/>
      <c r="AZ2422" s="38"/>
      <c r="BA2422" s="38"/>
      <c r="BB2422" s="38"/>
      <c r="BC2422" s="38"/>
      <c r="BD2422" s="38"/>
      <c r="BE2422" s="38"/>
      <c r="BF2422" s="38"/>
      <c r="BG2422" s="38"/>
      <c r="BH2422" s="38"/>
      <c r="BI2422" s="38"/>
      <c r="BJ2422" s="38"/>
      <c r="BK2422" s="38"/>
      <c r="BL2422" s="38"/>
      <c r="BM2422" s="38"/>
      <c r="BN2422" s="38"/>
      <c r="BO2422" s="38"/>
      <c r="BP2422" s="38"/>
      <c r="BQ2422" s="38"/>
    </row>
    <row r="2423">
      <c r="A2423" s="16"/>
      <c r="B2423" s="16"/>
      <c r="C2423" s="146"/>
      <c r="D2423" s="146"/>
      <c r="E2423" s="16"/>
      <c r="F2423" s="91"/>
      <c r="G2423" s="16"/>
      <c r="H2423" s="320" t="str">
        <f t="shared" si="33"/>
        <v/>
      </c>
      <c r="I2423" s="16"/>
      <c r="J2423" s="16"/>
      <c r="K2423" s="16"/>
      <c r="L2423" s="16"/>
      <c r="M2423" s="15"/>
      <c r="N2423" s="15"/>
      <c r="O2423" s="16"/>
      <c r="P2423" s="16"/>
      <c r="Q2423" s="16"/>
      <c r="R2423" s="16"/>
      <c r="S2423" s="37" t="str">
        <f>IFERROR(__xludf.DUMMYFUNCTION("if(not(iserror(index(split(C2423, "" ""),2))), index(split(C2423, "" ""),1),"""")"),"")</f>
        <v/>
      </c>
      <c r="T2423" s="315" t="str">
        <f>IFERROR(__xludf.DUMMYFUNCTION("if(S2423="""",C2423,if(not(iserror(index(split(C2423, "" ""),3))), index(split(C2423, "" ""),3),index(split(C2423, "" ""),2)))"),"")</f>
        <v/>
      </c>
      <c r="U2423" s="38" t="b">
        <f t="shared" si="34"/>
        <v>0</v>
      </c>
      <c r="V2423" s="38"/>
      <c r="W2423" s="40"/>
      <c r="X2423" s="40"/>
      <c r="Y2423" s="38"/>
      <c r="Z2423" s="38"/>
      <c r="AA2423" s="38"/>
      <c r="AB2423" s="38"/>
      <c r="AC2423" s="38"/>
      <c r="AD2423" s="38"/>
      <c r="AE2423" s="38"/>
      <c r="AF2423" s="38"/>
      <c r="AG2423" s="38"/>
      <c r="AH2423" s="38"/>
      <c r="AI2423" s="38"/>
      <c r="AJ2423" s="38"/>
      <c r="AK2423" s="38"/>
      <c r="AL2423" s="38"/>
      <c r="AM2423" s="38"/>
      <c r="AN2423" s="38"/>
      <c r="AO2423" s="38"/>
      <c r="AP2423" s="38"/>
      <c r="AQ2423" s="38"/>
      <c r="AR2423" s="38"/>
      <c r="AS2423" s="38"/>
      <c r="AT2423" s="38"/>
      <c r="AU2423" s="38"/>
      <c r="AV2423" s="38"/>
      <c r="AW2423" s="38"/>
      <c r="AX2423" s="38"/>
      <c r="AY2423" s="38"/>
      <c r="AZ2423" s="38"/>
      <c r="BA2423" s="38"/>
      <c r="BB2423" s="38"/>
      <c r="BC2423" s="38"/>
      <c r="BD2423" s="38"/>
      <c r="BE2423" s="38"/>
      <c r="BF2423" s="38"/>
      <c r="BG2423" s="38"/>
      <c r="BH2423" s="38"/>
      <c r="BI2423" s="38"/>
      <c r="BJ2423" s="38"/>
      <c r="BK2423" s="38"/>
      <c r="BL2423" s="38"/>
      <c r="BM2423" s="38"/>
      <c r="BN2423" s="38"/>
      <c r="BO2423" s="38"/>
      <c r="BP2423" s="38"/>
      <c r="BQ2423" s="38"/>
    </row>
    <row r="2424">
      <c r="A2424" s="16"/>
      <c r="B2424" s="16"/>
      <c r="C2424" s="146"/>
      <c r="D2424" s="146"/>
      <c r="E2424" s="16"/>
      <c r="F2424" s="91"/>
      <c r="G2424" s="16"/>
      <c r="H2424" s="320" t="str">
        <f t="shared" si="33"/>
        <v/>
      </c>
      <c r="I2424" s="16"/>
      <c r="J2424" s="16"/>
      <c r="K2424" s="16"/>
      <c r="L2424" s="16"/>
      <c r="M2424" s="15"/>
      <c r="N2424" s="15"/>
      <c r="O2424" s="16"/>
      <c r="P2424" s="16"/>
      <c r="Q2424" s="16"/>
      <c r="R2424" s="16"/>
      <c r="S2424" s="37" t="str">
        <f>IFERROR(__xludf.DUMMYFUNCTION("if(not(iserror(index(split(C2424, "" ""),2))), index(split(C2424, "" ""),1),"""")"),"")</f>
        <v/>
      </c>
      <c r="T2424" s="315" t="str">
        <f>IFERROR(__xludf.DUMMYFUNCTION("if(S2424="""",C2424,if(not(iserror(index(split(C2424, "" ""),3))), index(split(C2424, "" ""),3),index(split(C2424, "" ""),2)))"),"")</f>
        <v/>
      </c>
      <c r="U2424" s="38" t="b">
        <f t="shared" si="34"/>
        <v>0</v>
      </c>
      <c r="V2424" s="38"/>
      <c r="W2424" s="40"/>
      <c r="X2424" s="40"/>
      <c r="Y2424" s="38"/>
      <c r="Z2424" s="38"/>
      <c r="AA2424" s="38"/>
      <c r="AB2424" s="38"/>
      <c r="AC2424" s="38"/>
      <c r="AD2424" s="38"/>
      <c r="AE2424" s="38"/>
      <c r="AF2424" s="38"/>
      <c r="AG2424" s="38"/>
      <c r="AH2424" s="38"/>
      <c r="AI2424" s="38"/>
      <c r="AJ2424" s="38"/>
      <c r="AK2424" s="38"/>
      <c r="AL2424" s="38"/>
      <c r="AM2424" s="38"/>
      <c r="AN2424" s="38"/>
      <c r="AO2424" s="38"/>
      <c r="AP2424" s="38"/>
      <c r="AQ2424" s="38"/>
      <c r="AR2424" s="38"/>
      <c r="AS2424" s="38"/>
      <c r="AT2424" s="38"/>
      <c r="AU2424" s="38"/>
      <c r="AV2424" s="38"/>
      <c r="AW2424" s="38"/>
      <c r="AX2424" s="38"/>
      <c r="AY2424" s="38"/>
      <c r="AZ2424" s="38"/>
      <c r="BA2424" s="38"/>
      <c r="BB2424" s="38"/>
      <c r="BC2424" s="38"/>
      <c r="BD2424" s="38"/>
      <c r="BE2424" s="38"/>
      <c r="BF2424" s="38"/>
      <c r="BG2424" s="38"/>
      <c r="BH2424" s="38"/>
      <c r="BI2424" s="38"/>
      <c r="BJ2424" s="38"/>
      <c r="BK2424" s="38"/>
      <c r="BL2424" s="38"/>
      <c r="BM2424" s="38"/>
      <c r="BN2424" s="38"/>
      <c r="BO2424" s="38"/>
      <c r="BP2424" s="38"/>
      <c r="BQ2424" s="38"/>
    </row>
    <row r="2425">
      <c r="A2425" s="16"/>
      <c r="B2425" s="16"/>
      <c r="C2425" s="146"/>
      <c r="D2425" s="146"/>
      <c r="E2425" s="16"/>
      <c r="F2425" s="91"/>
      <c r="G2425" s="16"/>
      <c r="H2425" s="320" t="str">
        <f t="shared" si="33"/>
        <v/>
      </c>
      <c r="I2425" s="16"/>
      <c r="J2425" s="16"/>
      <c r="K2425" s="16"/>
      <c r="L2425" s="16"/>
      <c r="M2425" s="15"/>
      <c r="N2425" s="15"/>
      <c r="O2425" s="16"/>
      <c r="P2425" s="16"/>
      <c r="Q2425" s="16"/>
      <c r="R2425" s="16"/>
      <c r="S2425" s="37" t="str">
        <f>IFERROR(__xludf.DUMMYFUNCTION("if(not(iserror(index(split(C2425, "" ""),2))), index(split(C2425, "" ""),1),"""")"),"")</f>
        <v/>
      </c>
      <c r="T2425" s="315" t="str">
        <f>IFERROR(__xludf.DUMMYFUNCTION("if(S2425="""",C2425,if(not(iserror(index(split(C2425, "" ""),3))), index(split(C2425, "" ""),3),index(split(C2425, "" ""),2)))"),"")</f>
        <v/>
      </c>
      <c r="U2425" s="38" t="b">
        <f t="shared" si="34"/>
        <v>0</v>
      </c>
      <c r="V2425" s="38"/>
      <c r="W2425" s="40"/>
      <c r="X2425" s="40"/>
      <c r="Y2425" s="38"/>
      <c r="Z2425" s="38"/>
      <c r="AA2425" s="38"/>
      <c r="AB2425" s="38"/>
      <c r="AC2425" s="38"/>
      <c r="AD2425" s="38"/>
      <c r="AE2425" s="38"/>
      <c r="AF2425" s="38"/>
      <c r="AG2425" s="38"/>
      <c r="AH2425" s="38"/>
      <c r="AI2425" s="38"/>
      <c r="AJ2425" s="38"/>
      <c r="AK2425" s="38"/>
      <c r="AL2425" s="38"/>
      <c r="AM2425" s="38"/>
      <c r="AN2425" s="38"/>
      <c r="AO2425" s="38"/>
      <c r="AP2425" s="38"/>
      <c r="AQ2425" s="38"/>
      <c r="AR2425" s="38"/>
      <c r="AS2425" s="38"/>
      <c r="AT2425" s="38"/>
      <c r="AU2425" s="38"/>
      <c r="AV2425" s="38"/>
      <c r="AW2425" s="38"/>
      <c r="AX2425" s="38"/>
      <c r="AY2425" s="38"/>
      <c r="AZ2425" s="38"/>
      <c r="BA2425" s="38"/>
      <c r="BB2425" s="38"/>
      <c r="BC2425" s="38"/>
      <c r="BD2425" s="38"/>
      <c r="BE2425" s="38"/>
      <c r="BF2425" s="38"/>
      <c r="BG2425" s="38"/>
      <c r="BH2425" s="38"/>
      <c r="BI2425" s="38"/>
      <c r="BJ2425" s="38"/>
      <c r="BK2425" s="38"/>
      <c r="BL2425" s="38"/>
      <c r="BM2425" s="38"/>
      <c r="BN2425" s="38"/>
      <c r="BO2425" s="38"/>
      <c r="BP2425" s="38"/>
      <c r="BQ2425" s="38"/>
    </row>
    <row r="2426">
      <c r="A2426" s="16"/>
      <c r="B2426" s="16"/>
      <c r="C2426" s="146"/>
      <c r="D2426" s="146"/>
      <c r="E2426" s="16"/>
      <c r="F2426" s="91"/>
      <c r="G2426" s="16"/>
      <c r="H2426" s="320" t="str">
        <f t="shared" si="33"/>
        <v/>
      </c>
      <c r="I2426" s="16"/>
      <c r="J2426" s="16"/>
      <c r="K2426" s="16"/>
      <c r="L2426" s="16"/>
      <c r="M2426" s="15"/>
      <c r="N2426" s="15"/>
      <c r="O2426" s="16"/>
      <c r="P2426" s="16"/>
      <c r="Q2426" s="16"/>
      <c r="R2426" s="16"/>
      <c r="S2426" s="37" t="str">
        <f>IFERROR(__xludf.DUMMYFUNCTION("if(not(iserror(index(split(C2426, "" ""),2))), index(split(C2426, "" ""),1),"""")"),"")</f>
        <v/>
      </c>
      <c r="T2426" s="315" t="str">
        <f>IFERROR(__xludf.DUMMYFUNCTION("if(S2426="""",C2426,if(not(iserror(index(split(C2426, "" ""),3))), index(split(C2426, "" ""),3),index(split(C2426, "" ""),2)))"),"")</f>
        <v/>
      </c>
      <c r="U2426" s="38" t="b">
        <f t="shared" si="34"/>
        <v>0</v>
      </c>
      <c r="V2426" s="38"/>
      <c r="W2426" s="40"/>
      <c r="X2426" s="40"/>
      <c r="Y2426" s="38"/>
      <c r="Z2426" s="38"/>
      <c r="AA2426" s="38"/>
      <c r="AB2426" s="38"/>
      <c r="AC2426" s="38"/>
      <c r="AD2426" s="38"/>
      <c r="AE2426" s="38"/>
      <c r="AF2426" s="38"/>
      <c r="AG2426" s="38"/>
      <c r="AH2426" s="38"/>
      <c r="AI2426" s="38"/>
      <c r="AJ2426" s="38"/>
      <c r="AK2426" s="38"/>
      <c r="AL2426" s="38"/>
      <c r="AM2426" s="38"/>
      <c r="AN2426" s="38"/>
      <c r="AO2426" s="38"/>
      <c r="AP2426" s="38"/>
      <c r="AQ2426" s="38"/>
      <c r="AR2426" s="38"/>
      <c r="AS2426" s="38"/>
      <c r="AT2426" s="38"/>
      <c r="AU2426" s="38"/>
      <c r="AV2426" s="38"/>
      <c r="AW2426" s="38"/>
      <c r="AX2426" s="38"/>
      <c r="AY2426" s="38"/>
      <c r="AZ2426" s="38"/>
      <c r="BA2426" s="38"/>
      <c r="BB2426" s="38"/>
      <c r="BC2426" s="38"/>
      <c r="BD2426" s="38"/>
      <c r="BE2426" s="38"/>
      <c r="BF2426" s="38"/>
      <c r="BG2426" s="38"/>
      <c r="BH2426" s="38"/>
      <c r="BI2426" s="38"/>
      <c r="BJ2426" s="38"/>
      <c r="BK2426" s="38"/>
      <c r="BL2426" s="38"/>
      <c r="BM2426" s="38"/>
      <c r="BN2426" s="38"/>
      <c r="BO2426" s="38"/>
      <c r="BP2426" s="38"/>
      <c r="BQ2426" s="38"/>
    </row>
    <row r="2427">
      <c r="A2427" s="16"/>
      <c r="B2427" s="16"/>
      <c r="C2427" s="146"/>
      <c r="D2427" s="146"/>
      <c r="E2427" s="16"/>
      <c r="F2427" s="91"/>
      <c r="G2427" s="16"/>
      <c r="H2427" s="320" t="str">
        <f t="shared" si="33"/>
        <v/>
      </c>
      <c r="I2427" s="16"/>
      <c r="J2427" s="16"/>
      <c r="K2427" s="16"/>
      <c r="L2427" s="16"/>
      <c r="M2427" s="15"/>
      <c r="N2427" s="15"/>
      <c r="O2427" s="16"/>
      <c r="P2427" s="16"/>
      <c r="Q2427" s="16"/>
      <c r="R2427" s="16"/>
      <c r="S2427" s="37" t="str">
        <f>IFERROR(__xludf.DUMMYFUNCTION("if(not(iserror(index(split(C2427, "" ""),2))), index(split(C2427, "" ""),1),"""")"),"")</f>
        <v/>
      </c>
      <c r="T2427" s="315" t="str">
        <f>IFERROR(__xludf.DUMMYFUNCTION("if(S2427="""",C2427,if(not(iserror(index(split(C2427, "" ""),3))), index(split(C2427, "" ""),3),index(split(C2427, "" ""),2)))"),"")</f>
        <v/>
      </c>
      <c r="U2427" s="38" t="b">
        <f t="shared" si="34"/>
        <v>0</v>
      </c>
      <c r="V2427" s="38"/>
      <c r="W2427" s="40"/>
      <c r="X2427" s="40"/>
      <c r="Y2427" s="38"/>
      <c r="Z2427" s="38"/>
      <c r="AA2427" s="38"/>
      <c r="AB2427" s="38"/>
      <c r="AC2427" s="38"/>
      <c r="AD2427" s="38"/>
      <c r="AE2427" s="38"/>
      <c r="AF2427" s="38"/>
      <c r="AG2427" s="38"/>
      <c r="AH2427" s="38"/>
      <c r="AI2427" s="38"/>
      <c r="AJ2427" s="38"/>
      <c r="AK2427" s="38"/>
      <c r="AL2427" s="38"/>
      <c r="AM2427" s="38"/>
      <c r="AN2427" s="38"/>
      <c r="AO2427" s="38"/>
      <c r="AP2427" s="38"/>
      <c r="AQ2427" s="38"/>
      <c r="AR2427" s="38"/>
      <c r="AS2427" s="38"/>
      <c r="AT2427" s="38"/>
      <c r="AU2427" s="38"/>
      <c r="AV2427" s="38"/>
      <c r="AW2427" s="38"/>
      <c r="AX2427" s="38"/>
      <c r="AY2427" s="38"/>
      <c r="AZ2427" s="38"/>
      <c r="BA2427" s="38"/>
      <c r="BB2427" s="38"/>
      <c r="BC2427" s="38"/>
      <c r="BD2427" s="38"/>
      <c r="BE2427" s="38"/>
      <c r="BF2427" s="38"/>
      <c r="BG2427" s="38"/>
      <c r="BH2427" s="38"/>
      <c r="BI2427" s="38"/>
      <c r="BJ2427" s="38"/>
      <c r="BK2427" s="38"/>
      <c r="BL2427" s="38"/>
      <c r="BM2427" s="38"/>
      <c r="BN2427" s="38"/>
      <c r="BO2427" s="38"/>
      <c r="BP2427" s="38"/>
      <c r="BQ2427" s="38"/>
    </row>
    <row r="2428">
      <c r="A2428" s="16"/>
      <c r="B2428" s="16"/>
      <c r="C2428" s="146"/>
      <c r="D2428" s="146"/>
      <c r="E2428" s="16"/>
      <c r="F2428" s="91"/>
      <c r="G2428" s="16"/>
      <c r="H2428" s="320" t="str">
        <f t="shared" si="33"/>
        <v/>
      </c>
      <c r="I2428" s="16"/>
      <c r="J2428" s="16"/>
      <c r="K2428" s="16"/>
      <c r="L2428" s="16"/>
      <c r="M2428" s="15"/>
      <c r="N2428" s="15"/>
      <c r="O2428" s="16"/>
      <c r="P2428" s="16"/>
      <c r="Q2428" s="16"/>
      <c r="R2428" s="16"/>
      <c r="S2428" s="37" t="str">
        <f>IFERROR(__xludf.DUMMYFUNCTION("if(not(iserror(index(split(C2428, "" ""),2))), index(split(C2428, "" ""),1),"""")"),"")</f>
        <v/>
      </c>
      <c r="T2428" s="315" t="str">
        <f>IFERROR(__xludf.DUMMYFUNCTION("if(S2428="""",C2428,if(not(iserror(index(split(C2428, "" ""),3))), index(split(C2428, "" ""),3),index(split(C2428, "" ""),2)))"),"")</f>
        <v/>
      </c>
      <c r="U2428" s="38" t="b">
        <f t="shared" si="34"/>
        <v>0</v>
      </c>
      <c r="V2428" s="38"/>
      <c r="W2428" s="40"/>
      <c r="X2428" s="40"/>
      <c r="Y2428" s="38"/>
      <c r="Z2428" s="38"/>
      <c r="AA2428" s="38"/>
      <c r="AB2428" s="38"/>
      <c r="AC2428" s="38"/>
      <c r="AD2428" s="38"/>
      <c r="AE2428" s="38"/>
      <c r="AF2428" s="38"/>
      <c r="AG2428" s="38"/>
      <c r="AH2428" s="38"/>
      <c r="AI2428" s="38"/>
      <c r="AJ2428" s="38"/>
      <c r="AK2428" s="38"/>
      <c r="AL2428" s="38"/>
      <c r="AM2428" s="38"/>
      <c r="AN2428" s="38"/>
      <c r="AO2428" s="38"/>
      <c r="AP2428" s="38"/>
      <c r="AQ2428" s="38"/>
      <c r="AR2428" s="38"/>
      <c r="AS2428" s="38"/>
      <c r="AT2428" s="38"/>
      <c r="AU2428" s="38"/>
      <c r="AV2428" s="38"/>
      <c r="AW2428" s="38"/>
      <c r="AX2428" s="38"/>
      <c r="AY2428" s="38"/>
      <c r="AZ2428" s="38"/>
      <c r="BA2428" s="38"/>
      <c r="BB2428" s="38"/>
      <c r="BC2428" s="38"/>
      <c r="BD2428" s="38"/>
      <c r="BE2428" s="38"/>
      <c r="BF2428" s="38"/>
      <c r="BG2428" s="38"/>
      <c r="BH2428" s="38"/>
      <c r="BI2428" s="38"/>
      <c r="BJ2428" s="38"/>
      <c r="BK2428" s="38"/>
      <c r="BL2428" s="38"/>
      <c r="BM2428" s="38"/>
      <c r="BN2428" s="38"/>
      <c r="BO2428" s="38"/>
      <c r="BP2428" s="38"/>
      <c r="BQ2428" s="38"/>
    </row>
    <row r="2429">
      <c r="A2429" s="16"/>
      <c r="B2429" s="16"/>
      <c r="C2429" s="146"/>
      <c r="D2429" s="146"/>
      <c r="E2429" s="16"/>
      <c r="F2429" s="91"/>
      <c r="G2429" s="16"/>
      <c r="H2429" s="320" t="str">
        <f t="shared" si="33"/>
        <v/>
      </c>
      <c r="I2429" s="16"/>
      <c r="J2429" s="16"/>
      <c r="K2429" s="16"/>
      <c r="L2429" s="16"/>
      <c r="M2429" s="15"/>
      <c r="N2429" s="15"/>
      <c r="O2429" s="16"/>
      <c r="P2429" s="16"/>
      <c r="Q2429" s="16"/>
      <c r="R2429" s="16"/>
      <c r="S2429" s="37" t="str">
        <f>IFERROR(__xludf.DUMMYFUNCTION("if(not(iserror(index(split(C2429, "" ""),2))), index(split(C2429, "" ""),1),"""")"),"")</f>
        <v/>
      </c>
      <c r="T2429" s="315" t="str">
        <f>IFERROR(__xludf.DUMMYFUNCTION("if(S2429="""",C2429,if(not(iserror(index(split(C2429, "" ""),3))), index(split(C2429, "" ""),3),index(split(C2429, "" ""),2)))"),"")</f>
        <v/>
      </c>
      <c r="U2429" s="38" t="b">
        <f t="shared" si="34"/>
        <v>0</v>
      </c>
      <c r="V2429" s="38"/>
      <c r="W2429" s="40"/>
      <c r="X2429" s="40"/>
      <c r="Y2429" s="38"/>
      <c r="Z2429" s="38"/>
      <c r="AA2429" s="38"/>
      <c r="AB2429" s="38"/>
      <c r="AC2429" s="38"/>
      <c r="AD2429" s="38"/>
      <c r="AE2429" s="38"/>
      <c r="AF2429" s="38"/>
      <c r="AG2429" s="38"/>
      <c r="AH2429" s="38"/>
      <c r="AI2429" s="38"/>
      <c r="AJ2429" s="38"/>
      <c r="AK2429" s="38"/>
      <c r="AL2429" s="38"/>
      <c r="AM2429" s="38"/>
      <c r="AN2429" s="38"/>
      <c r="AO2429" s="38"/>
      <c r="AP2429" s="38"/>
      <c r="AQ2429" s="38"/>
      <c r="AR2429" s="38"/>
      <c r="AS2429" s="38"/>
      <c r="AT2429" s="38"/>
      <c r="AU2429" s="38"/>
      <c r="AV2429" s="38"/>
      <c r="AW2429" s="38"/>
      <c r="AX2429" s="38"/>
      <c r="AY2429" s="38"/>
      <c r="AZ2429" s="38"/>
      <c r="BA2429" s="38"/>
      <c r="BB2429" s="38"/>
      <c r="BC2429" s="38"/>
      <c r="BD2429" s="38"/>
      <c r="BE2429" s="38"/>
      <c r="BF2429" s="38"/>
      <c r="BG2429" s="38"/>
      <c r="BH2429" s="38"/>
      <c r="BI2429" s="38"/>
      <c r="BJ2429" s="38"/>
      <c r="BK2429" s="38"/>
      <c r="BL2429" s="38"/>
      <c r="BM2429" s="38"/>
      <c r="BN2429" s="38"/>
      <c r="BO2429" s="38"/>
      <c r="BP2429" s="38"/>
      <c r="BQ2429" s="38"/>
    </row>
    <row r="2430">
      <c r="A2430" s="16"/>
      <c r="B2430" s="16"/>
      <c r="C2430" s="146"/>
      <c r="D2430" s="146"/>
      <c r="E2430" s="16"/>
      <c r="F2430" s="91"/>
      <c r="G2430" s="16"/>
      <c r="H2430" s="320" t="str">
        <f t="shared" si="33"/>
        <v/>
      </c>
      <c r="I2430" s="16"/>
      <c r="J2430" s="16"/>
      <c r="K2430" s="16"/>
      <c r="L2430" s="16"/>
      <c r="M2430" s="15"/>
      <c r="N2430" s="15"/>
      <c r="O2430" s="16"/>
      <c r="P2430" s="16"/>
      <c r="Q2430" s="16"/>
      <c r="R2430" s="16"/>
      <c r="S2430" s="37" t="str">
        <f>IFERROR(__xludf.DUMMYFUNCTION("if(not(iserror(index(split(C2430, "" ""),2))), index(split(C2430, "" ""),1),"""")"),"")</f>
        <v/>
      </c>
      <c r="T2430" s="315" t="str">
        <f>IFERROR(__xludf.DUMMYFUNCTION("if(S2430="""",C2430,if(not(iserror(index(split(C2430, "" ""),3))), index(split(C2430, "" ""),3),index(split(C2430, "" ""),2)))"),"")</f>
        <v/>
      </c>
      <c r="U2430" s="38" t="b">
        <f t="shared" si="34"/>
        <v>0</v>
      </c>
      <c r="V2430" s="38"/>
      <c r="W2430" s="40"/>
      <c r="X2430" s="40"/>
      <c r="Y2430" s="38"/>
      <c r="Z2430" s="38"/>
      <c r="AA2430" s="38"/>
      <c r="AB2430" s="38"/>
      <c r="AC2430" s="38"/>
      <c r="AD2430" s="38"/>
      <c r="AE2430" s="38"/>
      <c r="AF2430" s="38"/>
      <c r="AG2430" s="38"/>
      <c r="AH2430" s="38"/>
      <c r="AI2430" s="38"/>
      <c r="AJ2430" s="38"/>
      <c r="AK2430" s="38"/>
      <c r="AL2430" s="38"/>
      <c r="AM2430" s="38"/>
      <c r="AN2430" s="38"/>
      <c r="AO2430" s="38"/>
      <c r="AP2430" s="38"/>
      <c r="AQ2430" s="38"/>
      <c r="AR2430" s="38"/>
      <c r="AS2430" s="38"/>
      <c r="AT2430" s="38"/>
      <c r="AU2430" s="38"/>
      <c r="AV2430" s="38"/>
      <c r="AW2430" s="38"/>
      <c r="AX2430" s="38"/>
      <c r="AY2430" s="38"/>
      <c r="AZ2430" s="38"/>
      <c r="BA2430" s="38"/>
      <c r="BB2430" s="38"/>
      <c r="BC2430" s="38"/>
      <c r="BD2430" s="38"/>
      <c r="BE2430" s="38"/>
      <c r="BF2430" s="38"/>
      <c r="BG2430" s="38"/>
      <c r="BH2430" s="38"/>
      <c r="BI2430" s="38"/>
      <c r="BJ2430" s="38"/>
      <c r="BK2430" s="38"/>
      <c r="BL2430" s="38"/>
      <c r="BM2430" s="38"/>
      <c r="BN2430" s="38"/>
      <c r="BO2430" s="38"/>
      <c r="BP2430" s="38"/>
      <c r="BQ2430" s="38"/>
    </row>
    <row r="2431">
      <c r="A2431" s="16"/>
      <c r="B2431" s="16"/>
      <c r="C2431" s="146"/>
      <c r="D2431" s="146"/>
      <c r="E2431" s="16"/>
      <c r="F2431" s="91"/>
      <c r="G2431" s="16"/>
      <c r="H2431" s="320" t="str">
        <f t="shared" si="33"/>
        <v/>
      </c>
      <c r="I2431" s="16"/>
      <c r="J2431" s="16"/>
      <c r="K2431" s="16"/>
      <c r="L2431" s="16"/>
      <c r="M2431" s="15"/>
      <c r="N2431" s="15"/>
      <c r="O2431" s="16"/>
      <c r="P2431" s="16"/>
      <c r="Q2431" s="16"/>
      <c r="R2431" s="16"/>
      <c r="S2431" s="37" t="str">
        <f>IFERROR(__xludf.DUMMYFUNCTION("if(not(iserror(index(split(C2431, "" ""),2))), index(split(C2431, "" ""),1),"""")"),"")</f>
        <v/>
      </c>
      <c r="T2431" s="315" t="str">
        <f>IFERROR(__xludf.DUMMYFUNCTION("if(S2431="""",C2431,if(not(iserror(index(split(C2431, "" ""),3))), index(split(C2431, "" ""),3),index(split(C2431, "" ""),2)))"),"")</f>
        <v/>
      </c>
      <c r="U2431" s="38" t="b">
        <f t="shared" si="34"/>
        <v>0</v>
      </c>
      <c r="V2431" s="38"/>
      <c r="W2431" s="40"/>
      <c r="X2431" s="40"/>
      <c r="Y2431" s="38"/>
      <c r="Z2431" s="38"/>
      <c r="AA2431" s="38"/>
      <c r="AB2431" s="38"/>
      <c r="AC2431" s="38"/>
      <c r="AD2431" s="38"/>
      <c r="AE2431" s="38"/>
      <c r="AF2431" s="38"/>
      <c r="AG2431" s="38"/>
      <c r="AH2431" s="38"/>
      <c r="AI2431" s="38"/>
      <c r="AJ2431" s="38"/>
      <c r="AK2431" s="38"/>
      <c r="AL2431" s="38"/>
      <c r="AM2431" s="38"/>
      <c r="AN2431" s="38"/>
      <c r="AO2431" s="38"/>
      <c r="AP2431" s="38"/>
      <c r="AQ2431" s="38"/>
      <c r="AR2431" s="38"/>
      <c r="AS2431" s="38"/>
      <c r="AT2431" s="38"/>
      <c r="AU2431" s="38"/>
      <c r="AV2431" s="38"/>
      <c r="AW2431" s="38"/>
      <c r="AX2431" s="38"/>
      <c r="AY2431" s="38"/>
      <c r="AZ2431" s="38"/>
      <c r="BA2431" s="38"/>
      <c r="BB2431" s="38"/>
      <c r="BC2431" s="38"/>
      <c r="BD2431" s="38"/>
      <c r="BE2431" s="38"/>
      <c r="BF2431" s="38"/>
      <c r="BG2431" s="38"/>
      <c r="BH2431" s="38"/>
      <c r="BI2431" s="38"/>
      <c r="BJ2431" s="38"/>
      <c r="BK2431" s="38"/>
      <c r="BL2431" s="38"/>
      <c r="BM2431" s="38"/>
      <c r="BN2431" s="38"/>
      <c r="BO2431" s="38"/>
      <c r="BP2431" s="38"/>
      <c r="BQ2431" s="38"/>
    </row>
    <row r="2432">
      <c r="A2432" s="16"/>
      <c r="B2432" s="16"/>
      <c r="C2432" s="146"/>
      <c r="D2432" s="146"/>
      <c r="E2432" s="16"/>
      <c r="F2432" s="91"/>
      <c r="G2432" s="16"/>
      <c r="H2432" s="320" t="str">
        <f t="shared" si="33"/>
        <v/>
      </c>
      <c r="I2432" s="16"/>
      <c r="J2432" s="16"/>
      <c r="K2432" s="16"/>
      <c r="L2432" s="16"/>
      <c r="M2432" s="15"/>
      <c r="N2432" s="15"/>
      <c r="O2432" s="16"/>
      <c r="P2432" s="16"/>
      <c r="Q2432" s="16"/>
      <c r="R2432" s="16"/>
      <c r="S2432" s="37" t="str">
        <f>IFERROR(__xludf.DUMMYFUNCTION("if(not(iserror(index(split(C2432, "" ""),2))), index(split(C2432, "" ""),1),"""")"),"")</f>
        <v/>
      </c>
      <c r="T2432" s="315" t="str">
        <f>IFERROR(__xludf.DUMMYFUNCTION("if(S2432="""",C2432,if(not(iserror(index(split(C2432, "" ""),3))), index(split(C2432, "" ""),3),index(split(C2432, "" ""),2)))"),"")</f>
        <v/>
      </c>
      <c r="U2432" s="38" t="b">
        <f t="shared" si="34"/>
        <v>0</v>
      </c>
      <c r="V2432" s="38"/>
      <c r="W2432" s="40"/>
      <c r="X2432" s="40"/>
      <c r="Y2432" s="38"/>
      <c r="Z2432" s="38"/>
      <c r="AA2432" s="38"/>
      <c r="AB2432" s="38"/>
      <c r="AC2432" s="38"/>
      <c r="AD2432" s="38"/>
      <c r="AE2432" s="38"/>
      <c r="AF2432" s="38"/>
      <c r="AG2432" s="38"/>
      <c r="AH2432" s="38"/>
      <c r="AI2432" s="38"/>
      <c r="AJ2432" s="38"/>
      <c r="AK2432" s="38"/>
      <c r="AL2432" s="38"/>
      <c r="AM2432" s="38"/>
      <c r="AN2432" s="38"/>
      <c r="AO2432" s="38"/>
      <c r="AP2432" s="38"/>
      <c r="AQ2432" s="38"/>
      <c r="AR2432" s="38"/>
      <c r="AS2432" s="38"/>
      <c r="AT2432" s="38"/>
      <c r="AU2432" s="38"/>
      <c r="AV2432" s="38"/>
      <c r="AW2432" s="38"/>
      <c r="AX2432" s="38"/>
      <c r="AY2432" s="38"/>
      <c r="AZ2432" s="38"/>
      <c r="BA2432" s="38"/>
      <c r="BB2432" s="38"/>
      <c r="BC2432" s="38"/>
      <c r="BD2432" s="38"/>
      <c r="BE2432" s="38"/>
      <c r="BF2432" s="38"/>
      <c r="BG2432" s="38"/>
      <c r="BH2432" s="38"/>
      <c r="BI2432" s="38"/>
      <c r="BJ2432" s="38"/>
      <c r="BK2432" s="38"/>
      <c r="BL2432" s="38"/>
      <c r="BM2432" s="38"/>
      <c r="BN2432" s="38"/>
      <c r="BO2432" s="38"/>
      <c r="BP2432" s="38"/>
      <c r="BQ2432" s="38"/>
    </row>
    <row r="2433">
      <c r="A2433" s="16"/>
      <c r="B2433" s="16"/>
      <c r="C2433" s="146"/>
      <c r="D2433" s="146"/>
      <c r="E2433" s="16"/>
      <c r="F2433" s="91"/>
      <c r="G2433" s="16"/>
      <c r="H2433" s="320" t="str">
        <f t="shared" si="33"/>
        <v/>
      </c>
      <c r="I2433" s="16"/>
      <c r="J2433" s="16"/>
      <c r="K2433" s="16"/>
      <c r="L2433" s="16"/>
      <c r="M2433" s="15"/>
      <c r="N2433" s="15"/>
      <c r="O2433" s="16"/>
      <c r="P2433" s="16"/>
      <c r="Q2433" s="16"/>
      <c r="R2433" s="16"/>
      <c r="S2433" s="37" t="str">
        <f>IFERROR(__xludf.DUMMYFUNCTION("if(not(iserror(index(split(C2433, "" ""),2))), index(split(C2433, "" ""),1),"""")"),"")</f>
        <v/>
      </c>
      <c r="T2433" s="315" t="str">
        <f>IFERROR(__xludf.DUMMYFUNCTION("if(S2433="""",C2433,if(not(iserror(index(split(C2433, "" ""),3))), index(split(C2433, "" ""),3),index(split(C2433, "" ""),2)))"),"")</f>
        <v/>
      </c>
      <c r="U2433" s="38" t="b">
        <f t="shared" si="34"/>
        <v>0</v>
      </c>
      <c r="V2433" s="38"/>
      <c r="W2433" s="40"/>
      <c r="X2433" s="40"/>
      <c r="Y2433" s="38"/>
      <c r="Z2433" s="38"/>
      <c r="AA2433" s="38"/>
      <c r="AB2433" s="38"/>
      <c r="AC2433" s="38"/>
      <c r="AD2433" s="38"/>
      <c r="AE2433" s="38"/>
      <c r="AF2433" s="38"/>
      <c r="AG2433" s="38"/>
      <c r="AH2433" s="38"/>
      <c r="AI2433" s="38"/>
      <c r="AJ2433" s="38"/>
      <c r="AK2433" s="38"/>
      <c r="AL2433" s="38"/>
      <c r="AM2433" s="38"/>
      <c r="AN2433" s="38"/>
      <c r="AO2433" s="38"/>
      <c r="AP2433" s="38"/>
      <c r="AQ2433" s="38"/>
      <c r="AR2433" s="38"/>
      <c r="AS2433" s="38"/>
      <c r="AT2433" s="38"/>
      <c r="AU2433" s="38"/>
      <c r="AV2433" s="38"/>
      <c r="AW2433" s="38"/>
      <c r="AX2433" s="38"/>
      <c r="AY2433" s="38"/>
      <c r="AZ2433" s="38"/>
      <c r="BA2433" s="38"/>
      <c r="BB2433" s="38"/>
      <c r="BC2433" s="38"/>
      <c r="BD2433" s="38"/>
      <c r="BE2433" s="38"/>
      <c r="BF2433" s="38"/>
      <c r="BG2433" s="38"/>
      <c r="BH2433" s="38"/>
      <c r="BI2433" s="38"/>
      <c r="BJ2433" s="38"/>
      <c r="BK2433" s="38"/>
      <c r="BL2433" s="38"/>
      <c r="BM2433" s="38"/>
      <c r="BN2433" s="38"/>
      <c r="BO2433" s="38"/>
      <c r="BP2433" s="38"/>
      <c r="BQ2433" s="38"/>
    </row>
    <row r="2434">
      <c r="A2434" s="16"/>
      <c r="B2434" s="16"/>
      <c r="C2434" s="146"/>
      <c r="D2434" s="146"/>
      <c r="E2434" s="16"/>
      <c r="F2434" s="91"/>
      <c r="G2434" s="16"/>
      <c r="H2434" s="320" t="str">
        <f t="shared" si="33"/>
        <v/>
      </c>
      <c r="I2434" s="16"/>
      <c r="J2434" s="16"/>
      <c r="K2434" s="16"/>
      <c r="L2434" s="16"/>
      <c r="M2434" s="15"/>
      <c r="N2434" s="15"/>
      <c r="O2434" s="16"/>
      <c r="P2434" s="16"/>
      <c r="Q2434" s="16"/>
      <c r="R2434" s="16"/>
      <c r="S2434" s="37" t="str">
        <f>IFERROR(__xludf.DUMMYFUNCTION("if(not(iserror(index(split(C2434, "" ""),2))), index(split(C2434, "" ""),1),"""")"),"")</f>
        <v/>
      </c>
      <c r="T2434" s="315" t="str">
        <f>IFERROR(__xludf.DUMMYFUNCTION("if(S2434="""",C2434,if(not(iserror(index(split(C2434, "" ""),3))), index(split(C2434, "" ""),3),index(split(C2434, "" ""),2)))"),"")</f>
        <v/>
      </c>
      <c r="U2434" s="38" t="b">
        <f t="shared" si="34"/>
        <v>0</v>
      </c>
      <c r="V2434" s="38"/>
      <c r="W2434" s="40"/>
      <c r="X2434" s="40"/>
      <c r="Y2434" s="38"/>
      <c r="Z2434" s="38"/>
      <c r="AA2434" s="38"/>
      <c r="AB2434" s="38"/>
      <c r="AC2434" s="38"/>
      <c r="AD2434" s="38"/>
      <c r="AE2434" s="38"/>
      <c r="AF2434" s="38"/>
      <c r="AG2434" s="38"/>
      <c r="AH2434" s="38"/>
      <c r="AI2434" s="38"/>
      <c r="AJ2434" s="38"/>
      <c r="AK2434" s="38"/>
      <c r="AL2434" s="38"/>
      <c r="AM2434" s="38"/>
      <c r="AN2434" s="38"/>
      <c r="AO2434" s="38"/>
      <c r="AP2434" s="38"/>
      <c r="AQ2434" s="38"/>
      <c r="AR2434" s="38"/>
      <c r="AS2434" s="38"/>
      <c r="AT2434" s="38"/>
      <c r="AU2434" s="38"/>
      <c r="AV2434" s="38"/>
      <c r="AW2434" s="38"/>
      <c r="AX2434" s="38"/>
      <c r="AY2434" s="38"/>
      <c r="AZ2434" s="38"/>
      <c r="BA2434" s="38"/>
      <c r="BB2434" s="38"/>
      <c r="BC2434" s="38"/>
      <c r="BD2434" s="38"/>
      <c r="BE2434" s="38"/>
      <c r="BF2434" s="38"/>
      <c r="BG2434" s="38"/>
      <c r="BH2434" s="38"/>
      <c r="BI2434" s="38"/>
      <c r="BJ2434" s="38"/>
      <c r="BK2434" s="38"/>
      <c r="BL2434" s="38"/>
      <c r="BM2434" s="38"/>
      <c r="BN2434" s="38"/>
      <c r="BO2434" s="38"/>
      <c r="BP2434" s="38"/>
      <c r="BQ2434" s="38"/>
    </row>
    <row r="2435">
      <c r="A2435" s="16"/>
      <c r="B2435" s="16"/>
      <c r="C2435" s="146"/>
      <c r="D2435" s="146"/>
      <c r="E2435" s="16"/>
      <c r="F2435" s="91"/>
      <c r="G2435" s="16"/>
      <c r="H2435" s="320" t="str">
        <f t="shared" si="33"/>
        <v/>
      </c>
      <c r="I2435" s="16"/>
      <c r="J2435" s="16"/>
      <c r="K2435" s="16"/>
      <c r="L2435" s="16"/>
      <c r="M2435" s="15"/>
      <c r="N2435" s="15"/>
      <c r="O2435" s="16"/>
      <c r="P2435" s="16"/>
      <c r="Q2435" s="16"/>
      <c r="R2435" s="16"/>
      <c r="S2435" s="37" t="str">
        <f>IFERROR(__xludf.DUMMYFUNCTION("if(not(iserror(index(split(C2435, "" ""),2))), index(split(C2435, "" ""),1),"""")"),"")</f>
        <v/>
      </c>
      <c r="T2435" s="315" t="str">
        <f>IFERROR(__xludf.DUMMYFUNCTION("if(S2435="""",C2435,if(not(iserror(index(split(C2435, "" ""),3))), index(split(C2435, "" ""),3),index(split(C2435, "" ""),2)))"),"")</f>
        <v/>
      </c>
      <c r="U2435" s="38" t="b">
        <f t="shared" si="34"/>
        <v>0</v>
      </c>
      <c r="V2435" s="38"/>
      <c r="W2435" s="40"/>
      <c r="X2435" s="40"/>
      <c r="Y2435" s="38"/>
      <c r="Z2435" s="38"/>
      <c r="AA2435" s="38"/>
      <c r="AB2435" s="38"/>
      <c r="AC2435" s="38"/>
      <c r="AD2435" s="38"/>
      <c r="AE2435" s="38"/>
      <c r="AF2435" s="38"/>
      <c r="AG2435" s="38"/>
      <c r="AH2435" s="38"/>
      <c r="AI2435" s="38"/>
      <c r="AJ2435" s="38"/>
      <c r="AK2435" s="38"/>
      <c r="AL2435" s="38"/>
      <c r="AM2435" s="38"/>
      <c r="AN2435" s="38"/>
      <c r="AO2435" s="38"/>
      <c r="AP2435" s="38"/>
      <c r="AQ2435" s="38"/>
      <c r="AR2435" s="38"/>
      <c r="AS2435" s="38"/>
      <c r="AT2435" s="38"/>
      <c r="AU2435" s="38"/>
      <c r="AV2435" s="38"/>
      <c r="AW2435" s="38"/>
      <c r="AX2435" s="38"/>
      <c r="AY2435" s="38"/>
      <c r="AZ2435" s="38"/>
      <c r="BA2435" s="38"/>
      <c r="BB2435" s="38"/>
      <c r="BC2435" s="38"/>
      <c r="BD2435" s="38"/>
      <c r="BE2435" s="38"/>
      <c r="BF2435" s="38"/>
      <c r="BG2435" s="38"/>
      <c r="BH2435" s="38"/>
      <c r="BI2435" s="38"/>
      <c r="BJ2435" s="38"/>
      <c r="BK2435" s="38"/>
      <c r="BL2435" s="38"/>
      <c r="BM2435" s="38"/>
      <c r="BN2435" s="38"/>
      <c r="BO2435" s="38"/>
      <c r="BP2435" s="38"/>
      <c r="BQ2435" s="38"/>
    </row>
    <row r="2436">
      <c r="A2436" s="16"/>
      <c r="B2436" s="16"/>
      <c r="C2436" s="146"/>
      <c r="D2436" s="146"/>
      <c r="E2436" s="16"/>
      <c r="F2436" s="91"/>
      <c r="G2436" s="16"/>
      <c r="H2436" s="320" t="str">
        <f t="shared" si="33"/>
        <v/>
      </c>
      <c r="I2436" s="16"/>
      <c r="J2436" s="16"/>
      <c r="K2436" s="16"/>
      <c r="L2436" s="16"/>
      <c r="M2436" s="15"/>
      <c r="N2436" s="15"/>
      <c r="O2436" s="16"/>
      <c r="P2436" s="16"/>
      <c r="Q2436" s="16"/>
      <c r="R2436" s="16"/>
      <c r="S2436" s="37" t="str">
        <f>IFERROR(__xludf.DUMMYFUNCTION("if(not(iserror(index(split(C2436, "" ""),2))), index(split(C2436, "" ""),1),"""")"),"")</f>
        <v/>
      </c>
      <c r="T2436" s="315" t="str">
        <f>IFERROR(__xludf.DUMMYFUNCTION("if(S2436="""",C2436,if(not(iserror(index(split(C2436, "" ""),3))), index(split(C2436, "" ""),3),index(split(C2436, "" ""),2)))"),"")</f>
        <v/>
      </c>
      <c r="U2436" s="38" t="b">
        <f t="shared" si="34"/>
        <v>0</v>
      </c>
      <c r="V2436" s="38"/>
      <c r="W2436" s="40"/>
      <c r="X2436" s="40"/>
      <c r="Y2436" s="38"/>
      <c r="Z2436" s="38"/>
      <c r="AA2436" s="38"/>
      <c r="AB2436" s="38"/>
      <c r="AC2436" s="38"/>
      <c r="AD2436" s="38"/>
      <c r="AE2436" s="38"/>
      <c r="AF2436" s="38"/>
      <c r="AG2436" s="38"/>
      <c r="AH2436" s="38"/>
      <c r="AI2436" s="38"/>
      <c r="AJ2436" s="38"/>
      <c r="AK2436" s="38"/>
      <c r="AL2436" s="38"/>
      <c r="AM2436" s="38"/>
      <c r="AN2436" s="38"/>
      <c r="AO2436" s="38"/>
      <c r="AP2436" s="38"/>
      <c r="AQ2436" s="38"/>
      <c r="AR2436" s="38"/>
      <c r="AS2436" s="38"/>
      <c r="AT2436" s="38"/>
      <c r="AU2436" s="38"/>
      <c r="AV2436" s="38"/>
      <c r="AW2436" s="38"/>
      <c r="AX2436" s="38"/>
      <c r="AY2436" s="38"/>
      <c r="AZ2436" s="38"/>
      <c r="BA2436" s="38"/>
      <c r="BB2436" s="38"/>
      <c r="BC2436" s="38"/>
      <c r="BD2436" s="38"/>
      <c r="BE2436" s="38"/>
      <c r="BF2436" s="38"/>
      <c r="BG2436" s="38"/>
      <c r="BH2436" s="38"/>
      <c r="BI2436" s="38"/>
      <c r="BJ2436" s="38"/>
      <c r="BK2436" s="38"/>
      <c r="BL2436" s="38"/>
      <c r="BM2436" s="38"/>
      <c r="BN2436" s="38"/>
      <c r="BO2436" s="38"/>
      <c r="BP2436" s="38"/>
      <c r="BQ2436" s="38"/>
    </row>
    <row r="2437">
      <c r="A2437" s="16"/>
      <c r="B2437" s="16"/>
      <c r="C2437" s="146"/>
      <c r="D2437" s="146"/>
      <c r="E2437" s="16"/>
      <c r="F2437" s="91"/>
      <c r="G2437" s="16"/>
      <c r="H2437" s="320" t="str">
        <f t="shared" si="33"/>
        <v/>
      </c>
      <c r="I2437" s="16"/>
      <c r="J2437" s="16"/>
      <c r="K2437" s="16"/>
      <c r="L2437" s="16"/>
      <c r="M2437" s="15"/>
      <c r="N2437" s="15"/>
      <c r="O2437" s="16"/>
      <c r="P2437" s="16"/>
      <c r="Q2437" s="16"/>
      <c r="R2437" s="16"/>
      <c r="S2437" s="37" t="str">
        <f>IFERROR(__xludf.DUMMYFUNCTION("if(not(iserror(index(split(C2437, "" ""),2))), index(split(C2437, "" ""),1),"""")"),"")</f>
        <v/>
      </c>
      <c r="T2437" s="315" t="str">
        <f>IFERROR(__xludf.DUMMYFUNCTION("if(S2437="""",C2437,if(not(iserror(index(split(C2437, "" ""),3))), index(split(C2437, "" ""),3),index(split(C2437, "" ""),2)))"),"")</f>
        <v/>
      </c>
      <c r="U2437" s="38" t="b">
        <f t="shared" si="34"/>
        <v>0</v>
      </c>
      <c r="V2437" s="38"/>
      <c r="W2437" s="40"/>
      <c r="X2437" s="40"/>
      <c r="Y2437" s="38"/>
      <c r="Z2437" s="38"/>
      <c r="AA2437" s="38"/>
      <c r="AB2437" s="38"/>
      <c r="AC2437" s="38"/>
      <c r="AD2437" s="38"/>
      <c r="AE2437" s="38"/>
      <c r="AF2437" s="38"/>
      <c r="AG2437" s="38"/>
      <c r="AH2437" s="38"/>
      <c r="AI2437" s="38"/>
      <c r="AJ2437" s="38"/>
      <c r="AK2437" s="38"/>
      <c r="AL2437" s="38"/>
      <c r="AM2437" s="38"/>
      <c r="AN2437" s="38"/>
      <c r="AO2437" s="38"/>
      <c r="AP2437" s="38"/>
      <c r="AQ2437" s="38"/>
      <c r="AR2437" s="38"/>
      <c r="AS2437" s="38"/>
      <c r="AT2437" s="38"/>
      <c r="AU2437" s="38"/>
      <c r="AV2437" s="38"/>
      <c r="AW2437" s="38"/>
      <c r="AX2437" s="38"/>
      <c r="AY2437" s="38"/>
      <c r="AZ2437" s="38"/>
      <c r="BA2437" s="38"/>
      <c r="BB2437" s="38"/>
      <c r="BC2437" s="38"/>
      <c r="BD2437" s="38"/>
      <c r="BE2437" s="38"/>
      <c r="BF2437" s="38"/>
      <c r="BG2437" s="38"/>
      <c r="BH2437" s="38"/>
      <c r="BI2437" s="38"/>
      <c r="BJ2437" s="38"/>
      <c r="BK2437" s="38"/>
      <c r="BL2437" s="38"/>
      <c r="BM2437" s="38"/>
      <c r="BN2437" s="38"/>
      <c r="BO2437" s="38"/>
      <c r="BP2437" s="38"/>
      <c r="BQ2437" s="38"/>
    </row>
    <row r="2438">
      <c r="A2438" s="16"/>
      <c r="B2438" s="16"/>
      <c r="C2438" s="146"/>
      <c r="D2438" s="146"/>
      <c r="E2438" s="16"/>
      <c r="F2438" s="91"/>
      <c r="G2438" s="16"/>
      <c r="H2438" s="320" t="str">
        <f t="shared" si="33"/>
        <v/>
      </c>
      <c r="I2438" s="16"/>
      <c r="J2438" s="16"/>
      <c r="K2438" s="16"/>
      <c r="L2438" s="16"/>
      <c r="M2438" s="15"/>
      <c r="N2438" s="15"/>
      <c r="O2438" s="16"/>
      <c r="P2438" s="16"/>
      <c r="Q2438" s="16"/>
      <c r="R2438" s="16"/>
      <c r="S2438" s="37" t="str">
        <f>IFERROR(__xludf.DUMMYFUNCTION("if(not(iserror(index(split(C2438, "" ""),2))), index(split(C2438, "" ""),1),"""")"),"")</f>
        <v/>
      </c>
      <c r="T2438" s="315" t="str">
        <f>IFERROR(__xludf.DUMMYFUNCTION("if(S2438="""",C2438,if(not(iserror(index(split(C2438, "" ""),3))), index(split(C2438, "" ""),3),index(split(C2438, "" ""),2)))"),"")</f>
        <v/>
      </c>
      <c r="U2438" s="38" t="b">
        <f t="shared" si="34"/>
        <v>0</v>
      </c>
      <c r="V2438" s="38"/>
      <c r="W2438" s="40"/>
      <c r="X2438" s="40"/>
      <c r="Y2438" s="38"/>
      <c r="Z2438" s="38"/>
      <c r="AA2438" s="38"/>
      <c r="AB2438" s="38"/>
      <c r="AC2438" s="38"/>
      <c r="AD2438" s="38"/>
      <c r="AE2438" s="38"/>
      <c r="AF2438" s="38"/>
      <c r="AG2438" s="38"/>
      <c r="AH2438" s="38"/>
      <c r="AI2438" s="38"/>
      <c r="AJ2438" s="38"/>
      <c r="AK2438" s="38"/>
      <c r="AL2438" s="38"/>
      <c r="AM2438" s="38"/>
      <c r="AN2438" s="38"/>
      <c r="AO2438" s="38"/>
      <c r="AP2438" s="38"/>
      <c r="AQ2438" s="38"/>
      <c r="AR2438" s="38"/>
      <c r="AS2438" s="38"/>
      <c r="AT2438" s="38"/>
      <c r="AU2438" s="38"/>
      <c r="AV2438" s="38"/>
      <c r="AW2438" s="38"/>
      <c r="AX2438" s="38"/>
      <c r="AY2438" s="38"/>
      <c r="AZ2438" s="38"/>
      <c r="BA2438" s="38"/>
      <c r="BB2438" s="38"/>
      <c r="BC2438" s="38"/>
      <c r="BD2438" s="38"/>
      <c r="BE2438" s="38"/>
      <c r="BF2438" s="38"/>
      <c r="BG2438" s="38"/>
      <c r="BH2438" s="38"/>
      <c r="BI2438" s="38"/>
      <c r="BJ2438" s="38"/>
      <c r="BK2438" s="38"/>
      <c r="BL2438" s="38"/>
      <c r="BM2438" s="38"/>
      <c r="BN2438" s="38"/>
      <c r="BO2438" s="38"/>
      <c r="BP2438" s="38"/>
      <c r="BQ2438" s="38"/>
    </row>
    <row r="2439">
      <c r="A2439" s="16"/>
      <c r="B2439" s="16"/>
      <c r="C2439" s="146"/>
      <c r="D2439" s="146"/>
      <c r="E2439" s="16"/>
      <c r="F2439" s="91"/>
      <c r="G2439" s="16"/>
      <c r="H2439" s="320" t="str">
        <f t="shared" si="33"/>
        <v/>
      </c>
      <c r="I2439" s="16"/>
      <c r="J2439" s="16"/>
      <c r="K2439" s="16"/>
      <c r="L2439" s="16"/>
      <c r="M2439" s="15"/>
      <c r="N2439" s="15"/>
      <c r="O2439" s="16"/>
      <c r="P2439" s="16"/>
      <c r="Q2439" s="16"/>
      <c r="R2439" s="16"/>
      <c r="S2439" s="37" t="str">
        <f>IFERROR(__xludf.DUMMYFUNCTION("if(not(iserror(index(split(C2439, "" ""),2))), index(split(C2439, "" ""),1),"""")"),"")</f>
        <v/>
      </c>
      <c r="T2439" s="315" t="str">
        <f>IFERROR(__xludf.DUMMYFUNCTION("if(S2439="""",C2439,if(not(iserror(index(split(C2439, "" ""),3))), index(split(C2439, "" ""),3),index(split(C2439, "" ""),2)))"),"")</f>
        <v/>
      </c>
      <c r="U2439" s="38" t="b">
        <f t="shared" si="34"/>
        <v>0</v>
      </c>
      <c r="V2439" s="38"/>
      <c r="W2439" s="40"/>
      <c r="X2439" s="40"/>
      <c r="Y2439" s="38"/>
      <c r="Z2439" s="38"/>
      <c r="AA2439" s="38"/>
      <c r="AB2439" s="38"/>
      <c r="AC2439" s="38"/>
      <c r="AD2439" s="38"/>
      <c r="AE2439" s="38"/>
      <c r="AF2439" s="38"/>
      <c r="AG2439" s="38"/>
      <c r="AH2439" s="38"/>
      <c r="AI2439" s="38"/>
      <c r="AJ2439" s="38"/>
      <c r="AK2439" s="38"/>
      <c r="AL2439" s="38"/>
      <c r="AM2439" s="38"/>
      <c r="AN2439" s="38"/>
      <c r="AO2439" s="38"/>
      <c r="AP2439" s="38"/>
      <c r="AQ2439" s="38"/>
      <c r="AR2439" s="38"/>
      <c r="AS2439" s="38"/>
      <c r="AT2439" s="38"/>
      <c r="AU2439" s="38"/>
      <c r="AV2439" s="38"/>
      <c r="AW2439" s="38"/>
      <c r="AX2439" s="38"/>
      <c r="AY2439" s="38"/>
      <c r="AZ2439" s="38"/>
      <c r="BA2439" s="38"/>
      <c r="BB2439" s="38"/>
      <c r="BC2439" s="38"/>
      <c r="BD2439" s="38"/>
      <c r="BE2439" s="38"/>
      <c r="BF2439" s="38"/>
      <c r="BG2439" s="38"/>
      <c r="BH2439" s="38"/>
      <c r="BI2439" s="38"/>
      <c r="BJ2439" s="38"/>
      <c r="BK2439" s="38"/>
      <c r="BL2439" s="38"/>
      <c r="BM2439" s="38"/>
      <c r="BN2439" s="38"/>
      <c r="BO2439" s="38"/>
      <c r="BP2439" s="38"/>
      <c r="BQ2439" s="38"/>
    </row>
    <row r="2440">
      <c r="A2440" s="16"/>
      <c r="B2440" s="16"/>
      <c r="C2440" s="146"/>
      <c r="D2440" s="146"/>
      <c r="E2440" s="16"/>
      <c r="F2440" s="91"/>
      <c r="G2440" s="16"/>
      <c r="H2440" s="320" t="str">
        <f t="shared" si="33"/>
        <v/>
      </c>
      <c r="I2440" s="16"/>
      <c r="J2440" s="16"/>
      <c r="K2440" s="16"/>
      <c r="L2440" s="16"/>
      <c r="M2440" s="15"/>
      <c r="N2440" s="15"/>
      <c r="O2440" s="16"/>
      <c r="P2440" s="16"/>
      <c r="Q2440" s="16"/>
      <c r="R2440" s="16"/>
      <c r="S2440" s="37" t="str">
        <f>IFERROR(__xludf.DUMMYFUNCTION("if(not(iserror(index(split(C2440, "" ""),2))), index(split(C2440, "" ""),1),"""")"),"")</f>
        <v/>
      </c>
      <c r="T2440" s="315" t="str">
        <f>IFERROR(__xludf.DUMMYFUNCTION("if(S2440="""",C2440,if(not(iserror(index(split(C2440, "" ""),3))), index(split(C2440, "" ""),3),index(split(C2440, "" ""),2)))"),"")</f>
        <v/>
      </c>
      <c r="U2440" s="38" t="b">
        <f t="shared" si="34"/>
        <v>0</v>
      </c>
      <c r="V2440" s="38"/>
      <c r="W2440" s="40"/>
      <c r="X2440" s="40"/>
      <c r="Y2440" s="38"/>
      <c r="Z2440" s="38"/>
      <c r="AA2440" s="38"/>
      <c r="AB2440" s="38"/>
      <c r="AC2440" s="38"/>
      <c r="AD2440" s="38"/>
      <c r="AE2440" s="38"/>
      <c r="AF2440" s="38"/>
      <c r="AG2440" s="38"/>
      <c r="AH2440" s="38"/>
      <c r="AI2440" s="38"/>
      <c r="AJ2440" s="38"/>
      <c r="AK2440" s="38"/>
      <c r="AL2440" s="38"/>
      <c r="AM2440" s="38"/>
      <c r="AN2440" s="38"/>
      <c r="AO2440" s="38"/>
      <c r="AP2440" s="38"/>
      <c r="AQ2440" s="38"/>
      <c r="AR2440" s="38"/>
      <c r="AS2440" s="38"/>
      <c r="AT2440" s="38"/>
      <c r="AU2440" s="38"/>
      <c r="AV2440" s="38"/>
      <c r="AW2440" s="38"/>
      <c r="AX2440" s="38"/>
      <c r="AY2440" s="38"/>
      <c r="AZ2440" s="38"/>
      <c r="BA2440" s="38"/>
      <c r="BB2440" s="38"/>
      <c r="BC2440" s="38"/>
      <c r="BD2440" s="38"/>
      <c r="BE2440" s="38"/>
      <c r="BF2440" s="38"/>
      <c r="BG2440" s="38"/>
      <c r="BH2440" s="38"/>
      <c r="BI2440" s="38"/>
      <c r="BJ2440" s="38"/>
      <c r="BK2440" s="38"/>
      <c r="BL2440" s="38"/>
      <c r="BM2440" s="38"/>
      <c r="BN2440" s="38"/>
      <c r="BO2440" s="38"/>
      <c r="BP2440" s="38"/>
      <c r="BQ2440" s="38"/>
    </row>
    <row r="2441">
      <c r="A2441" s="16"/>
      <c r="B2441" s="16"/>
      <c r="C2441" s="146"/>
      <c r="D2441" s="146"/>
      <c r="E2441" s="16"/>
      <c r="F2441" s="91"/>
      <c r="G2441" s="16"/>
      <c r="H2441" s="320" t="str">
        <f t="shared" si="33"/>
        <v/>
      </c>
      <c r="I2441" s="16"/>
      <c r="J2441" s="16"/>
      <c r="K2441" s="16"/>
      <c r="L2441" s="16"/>
      <c r="M2441" s="15"/>
      <c r="N2441" s="15"/>
      <c r="O2441" s="16"/>
      <c r="P2441" s="16"/>
      <c r="Q2441" s="16"/>
      <c r="R2441" s="16"/>
      <c r="S2441" s="37" t="str">
        <f>IFERROR(__xludf.DUMMYFUNCTION("if(not(iserror(index(split(C2441, "" ""),2))), index(split(C2441, "" ""),1),"""")"),"")</f>
        <v/>
      </c>
      <c r="T2441" s="315" t="str">
        <f>IFERROR(__xludf.DUMMYFUNCTION("if(S2441="""",C2441,if(not(iserror(index(split(C2441, "" ""),3))), index(split(C2441, "" ""),3),index(split(C2441, "" ""),2)))"),"")</f>
        <v/>
      </c>
      <c r="U2441" s="38" t="b">
        <f t="shared" si="34"/>
        <v>0</v>
      </c>
      <c r="V2441" s="38"/>
      <c r="W2441" s="40"/>
      <c r="X2441" s="40"/>
      <c r="Y2441" s="38"/>
      <c r="Z2441" s="38"/>
      <c r="AA2441" s="38"/>
      <c r="AB2441" s="38"/>
      <c r="AC2441" s="38"/>
      <c r="AD2441" s="38"/>
      <c r="AE2441" s="38"/>
      <c r="AF2441" s="38"/>
      <c r="AG2441" s="38"/>
      <c r="AH2441" s="38"/>
      <c r="AI2441" s="38"/>
      <c r="AJ2441" s="38"/>
      <c r="AK2441" s="38"/>
      <c r="AL2441" s="38"/>
      <c r="AM2441" s="38"/>
      <c r="AN2441" s="38"/>
      <c r="AO2441" s="38"/>
      <c r="AP2441" s="38"/>
      <c r="AQ2441" s="38"/>
      <c r="AR2441" s="38"/>
      <c r="AS2441" s="38"/>
      <c r="AT2441" s="38"/>
      <c r="AU2441" s="38"/>
      <c r="AV2441" s="38"/>
      <c r="AW2441" s="38"/>
      <c r="AX2441" s="38"/>
      <c r="AY2441" s="38"/>
      <c r="AZ2441" s="38"/>
      <c r="BA2441" s="38"/>
      <c r="BB2441" s="38"/>
      <c r="BC2441" s="38"/>
      <c r="BD2441" s="38"/>
      <c r="BE2441" s="38"/>
      <c r="BF2441" s="38"/>
      <c r="BG2441" s="38"/>
      <c r="BH2441" s="38"/>
      <c r="BI2441" s="38"/>
      <c r="BJ2441" s="38"/>
      <c r="BK2441" s="38"/>
      <c r="BL2441" s="38"/>
      <c r="BM2441" s="38"/>
      <c r="BN2441" s="38"/>
      <c r="BO2441" s="38"/>
      <c r="BP2441" s="38"/>
      <c r="BQ2441" s="38"/>
    </row>
    <row r="2442">
      <c r="A2442" s="16"/>
      <c r="B2442" s="16"/>
      <c r="C2442" s="146"/>
      <c r="D2442" s="146"/>
      <c r="E2442" s="16"/>
      <c r="F2442" s="91"/>
      <c r="G2442" s="16"/>
      <c r="H2442" s="320" t="str">
        <f t="shared" si="33"/>
        <v/>
      </c>
      <c r="I2442" s="16"/>
      <c r="J2442" s="16"/>
      <c r="K2442" s="16"/>
      <c r="L2442" s="16"/>
      <c r="M2442" s="15"/>
      <c r="N2442" s="15"/>
      <c r="O2442" s="16"/>
      <c r="P2442" s="16"/>
      <c r="Q2442" s="16"/>
      <c r="R2442" s="16"/>
      <c r="S2442" s="37" t="str">
        <f>IFERROR(__xludf.DUMMYFUNCTION("if(not(iserror(index(split(C2442, "" ""),2))), index(split(C2442, "" ""),1),"""")"),"")</f>
        <v/>
      </c>
      <c r="T2442" s="315" t="str">
        <f>IFERROR(__xludf.DUMMYFUNCTION("if(S2442="""",C2442,if(not(iserror(index(split(C2442, "" ""),3))), index(split(C2442, "" ""),3),index(split(C2442, "" ""),2)))"),"")</f>
        <v/>
      </c>
      <c r="U2442" s="38" t="b">
        <f t="shared" si="34"/>
        <v>0</v>
      </c>
      <c r="V2442" s="38"/>
      <c r="W2442" s="40"/>
      <c r="X2442" s="40"/>
      <c r="Y2442" s="38"/>
      <c r="Z2442" s="38"/>
      <c r="AA2442" s="38"/>
      <c r="AB2442" s="38"/>
      <c r="AC2442" s="38"/>
      <c r="AD2442" s="38"/>
      <c r="AE2442" s="38"/>
      <c r="AF2442" s="38"/>
      <c r="AG2442" s="38"/>
      <c r="AH2442" s="38"/>
      <c r="AI2442" s="38"/>
      <c r="AJ2442" s="38"/>
      <c r="AK2442" s="38"/>
      <c r="AL2442" s="38"/>
      <c r="AM2442" s="38"/>
      <c r="AN2442" s="38"/>
      <c r="AO2442" s="38"/>
      <c r="AP2442" s="38"/>
      <c r="AQ2442" s="38"/>
      <c r="AR2442" s="38"/>
      <c r="AS2442" s="38"/>
      <c r="AT2442" s="38"/>
      <c r="AU2442" s="38"/>
      <c r="AV2442" s="38"/>
      <c r="AW2442" s="38"/>
      <c r="AX2442" s="38"/>
      <c r="AY2442" s="38"/>
      <c r="AZ2442" s="38"/>
      <c r="BA2442" s="38"/>
      <c r="BB2442" s="38"/>
      <c r="BC2442" s="38"/>
      <c r="BD2442" s="38"/>
      <c r="BE2442" s="38"/>
      <c r="BF2442" s="38"/>
      <c r="BG2442" s="38"/>
      <c r="BH2442" s="38"/>
      <c r="BI2442" s="38"/>
      <c r="BJ2442" s="38"/>
      <c r="BK2442" s="38"/>
      <c r="BL2442" s="38"/>
      <c r="BM2442" s="38"/>
      <c r="BN2442" s="38"/>
      <c r="BO2442" s="38"/>
      <c r="BP2442" s="38"/>
      <c r="BQ2442" s="38"/>
    </row>
    <row r="2443">
      <c r="A2443" s="16"/>
      <c r="B2443" s="16"/>
      <c r="C2443" s="146"/>
      <c r="D2443" s="146"/>
      <c r="E2443" s="16"/>
      <c r="F2443" s="91"/>
      <c r="G2443" s="16"/>
      <c r="H2443" s="320" t="str">
        <f t="shared" si="33"/>
        <v/>
      </c>
      <c r="I2443" s="16"/>
      <c r="J2443" s="16"/>
      <c r="K2443" s="16"/>
      <c r="L2443" s="16"/>
      <c r="M2443" s="15"/>
      <c r="N2443" s="15"/>
      <c r="O2443" s="16"/>
      <c r="P2443" s="16"/>
      <c r="Q2443" s="16"/>
      <c r="R2443" s="16"/>
      <c r="S2443" s="37" t="str">
        <f>IFERROR(__xludf.DUMMYFUNCTION("if(not(iserror(index(split(C2443, "" ""),2))), index(split(C2443, "" ""),1),"""")"),"")</f>
        <v/>
      </c>
      <c r="T2443" s="315" t="str">
        <f>IFERROR(__xludf.DUMMYFUNCTION("if(S2443="""",C2443,if(not(iserror(index(split(C2443, "" ""),3))), index(split(C2443, "" ""),3),index(split(C2443, "" ""),2)))"),"")</f>
        <v/>
      </c>
      <c r="U2443" s="38" t="b">
        <f t="shared" si="34"/>
        <v>0</v>
      </c>
      <c r="V2443" s="38"/>
      <c r="W2443" s="40"/>
      <c r="X2443" s="40"/>
      <c r="Y2443" s="38"/>
      <c r="Z2443" s="38"/>
      <c r="AA2443" s="38"/>
      <c r="AB2443" s="38"/>
      <c r="AC2443" s="38"/>
      <c r="AD2443" s="38"/>
      <c r="AE2443" s="38"/>
      <c r="AF2443" s="38"/>
      <c r="AG2443" s="38"/>
      <c r="AH2443" s="38"/>
      <c r="AI2443" s="38"/>
      <c r="AJ2443" s="38"/>
      <c r="AK2443" s="38"/>
      <c r="AL2443" s="38"/>
      <c r="AM2443" s="38"/>
      <c r="AN2443" s="38"/>
      <c r="AO2443" s="38"/>
      <c r="AP2443" s="38"/>
      <c r="AQ2443" s="38"/>
      <c r="AR2443" s="38"/>
      <c r="AS2443" s="38"/>
      <c r="AT2443" s="38"/>
      <c r="AU2443" s="38"/>
      <c r="AV2443" s="38"/>
      <c r="AW2443" s="38"/>
      <c r="AX2443" s="38"/>
      <c r="AY2443" s="38"/>
      <c r="AZ2443" s="38"/>
      <c r="BA2443" s="38"/>
      <c r="BB2443" s="38"/>
      <c r="BC2443" s="38"/>
      <c r="BD2443" s="38"/>
      <c r="BE2443" s="38"/>
      <c r="BF2443" s="38"/>
      <c r="BG2443" s="38"/>
      <c r="BH2443" s="38"/>
      <c r="BI2443" s="38"/>
      <c r="BJ2443" s="38"/>
      <c r="BK2443" s="38"/>
      <c r="BL2443" s="38"/>
      <c r="BM2443" s="38"/>
      <c r="BN2443" s="38"/>
      <c r="BO2443" s="38"/>
      <c r="BP2443" s="38"/>
      <c r="BQ2443" s="38"/>
    </row>
    <row r="2444">
      <c r="A2444" s="16"/>
      <c r="B2444" s="16"/>
      <c r="C2444" s="146"/>
      <c r="D2444" s="146"/>
      <c r="E2444" s="16"/>
      <c r="F2444" s="91"/>
      <c r="G2444" s="16"/>
      <c r="H2444" s="320" t="str">
        <f t="shared" si="33"/>
        <v/>
      </c>
      <c r="I2444" s="16"/>
      <c r="J2444" s="16"/>
      <c r="K2444" s="16"/>
      <c r="L2444" s="16"/>
      <c r="M2444" s="15"/>
      <c r="N2444" s="15"/>
      <c r="O2444" s="16"/>
      <c r="P2444" s="16"/>
      <c r="Q2444" s="16"/>
      <c r="R2444" s="16"/>
      <c r="S2444" s="37" t="str">
        <f>IFERROR(__xludf.DUMMYFUNCTION("if(not(iserror(index(split(C2444, "" ""),2))), index(split(C2444, "" ""),1),"""")"),"")</f>
        <v/>
      </c>
      <c r="T2444" s="315" t="str">
        <f>IFERROR(__xludf.DUMMYFUNCTION("if(S2444="""",C2444,if(not(iserror(index(split(C2444, "" ""),3))), index(split(C2444, "" ""),3),index(split(C2444, "" ""),2)))"),"")</f>
        <v/>
      </c>
      <c r="U2444" s="38" t="b">
        <f t="shared" si="34"/>
        <v>0</v>
      </c>
      <c r="V2444" s="38"/>
      <c r="W2444" s="40"/>
      <c r="X2444" s="40"/>
      <c r="Y2444" s="38"/>
      <c r="Z2444" s="38"/>
      <c r="AA2444" s="38"/>
      <c r="AB2444" s="38"/>
      <c r="AC2444" s="38"/>
      <c r="AD2444" s="38"/>
      <c r="AE2444" s="38"/>
      <c r="AF2444" s="38"/>
      <c r="AG2444" s="38"/>
      <c r="AH2444" s="38"/>
      <c r="AI2444" s="38"/>
      <c r="AJ2444" s="38"/>
      <c r="AK2444" s="38"/>
      <c r="AL2444" s="38"/>
      <c r="AM2444" s="38"/>
      <c r="AN2444" s="38"/>
      <c r="AO2444" s="38"/>
      <c r="AP2444" s="38"/>
      <c r="AQ2444" s="38"/>
      <c r="AR2444" s="38"/>
      <c r="AS2444" s="38"/>
      <c r="AT2444" s="38"/>
      <c r="AU2444" s="38"/>
      <c r="AV2444" s="38"/>
      <c r="AW2444" s="38"/>
      <c r="AX2444" s="38"/>
      <c r="AY2444" s="38"/>
      <c r="AZ2444" s="38"/>
      <c r="BA2444" s="38"/>
      <c r="BB2444" s="38"/>
      <c r="BC2444" s="38"/>
      <c r="BD2444" s="38"/>
      <c r="BE2444" s="38"/>
      <c r="BF2444" s="38"/>
      <c r="BG2444" s="38"/>
      <c r="BH2444" s="38"/>
      <c r="BI2444" s="38"/>
      <c r="BJ2444" s="38"/>
      <c r="BK2444" s="38"/>
      <c r="BL2444" s="38"/>
      <c r="BM2444" s="38"/>
      <c r="BN2444" s="38"/>
      <c r="BO2444" s="38"/>
      <c r="BP2444" s="38"/>
      <c r="BQ2444" s="38"/>
    </row>
    <row r="2445">
      <c r="A2445" s="16"/>
      <c r="B2445" s="16"/>
      <c r="C2445" s="146"/>
      <c r="D2445" s="146"/>
      <c r="E2445" s="16"/>
      <c r="F2445" s="91"/>
      <c r="G2445" s="16"/>
      <c r="H2445" s="320" t="str">
        <f t="shared" si="33"/>
        <v/>
      </c>
      <c r="I2445" s="16"/>
      <c r="J2445" s="16"/>
      <c r="K2445" s="16"/>
      <c r="L2445" s="16"/>
      <c r="M2445" s="15"/>
      <c r="N2445" s="15"/>
      <c r="O2445" s="16"/>
      <c r="P2445" s="16"/>
      <c r="Q2445" s="16"/>
      <c r="R2445" s="16"/>
      <c r="S2445" s="37" t="str">
        <f>IFERROR(__xludf.DUMMYFUNCTION("if(not(iserror(index(split(C2445, "" ""),2))), index(split(C2445, "" ""),1),"""")"),"")</f>
        <v/>
      </c>
      <c r="T2445" s="315" t="str">
        <f>IFERROR(__xludf.DUMMYFUNCTION("if(S2445="""",C2445,if(not(iserror(index(split(C2445, "" ""),3))), index(split(C2445, "" ""),3),index(split(C2445, "" ""),2)))"),"")</f>
        <v/>
      </c>
      <c r="U2445" s="38" t="b">
        <f t="shared" si="34"/>
        <v>0</v>
      </c>
      <c r="V2445" s="38"/>
      <c r="W2445" s="40"/>
      <c r="X2445" s="40"/>
      <c r="Y2445" s="38"/>
      <c r="Z2445" s="38"/>
      <c r="AA2445" s="38"/>
      <c r="AB2445" s="38"/>
      <c r="AC2445" s="38"/>
      <c r="AD2445" s="38"/>
      <c r="AE2445" s="38"/>
      <c r="AF2445" s="38"/>
      <c r="AG2445" s="38"/>
      <c r="AH2445" s="38"/>
      <c r="AI2445" s="38"/>
      <c r="AJ2445" s="38"/>
      <c r="AK2445" s="38"/>
      <c r="AL2445" s="38"/>
      <c r="AM2445" s="38"/>
      <c r="AN2445" s="38"/>
      <c r="AO2445" s="38"/>
      <c r="AP2445" s="38"/>
      <c r="AQ2445" s="38"/>
      <c r="AR2445" s="38"/>
      <c r="AS2445" s="38"/>
      <c r="AT2445" s="38"/>
      <c r="AU2445" s="38"/>
      <c r="AV2445" s="38"/>
      <c r="AW2445" s="38"/>
      <c r="AX2445" s="38"/>
      <c r="AY2445" s="38"/>
      <c r="AZ2445" s="38"/>
      <c r="BA2445" s="38"/>
      <c r="BB2445" s="38"/>
      <c r="BC2445" s="38"/>
      <c r="BD2445" s="38"/>
      <c r="BE2445" s="38"/>
      <c r="BF2445" s="38"/>
      <c r="BG2445" s="38"/>
      <c r="BH2445" s="38"/>
      <c r="BI2445" s="38"/>
      <c r="BJ2445" s="38"/>
      <c r="BK2445" s="38"/>
      <c r="BL2445" s="38"/>
      <c r="BM2445" s="38"/>
      <c r="BN2445" s="38"/>
      <c r="BO2445" s="38"/>
      <c r="BP2445" s="38"/>
      <c r="BQ2445" s="38"/>
    </row>
    <row r="2446">
      <c r="A2446" s="16"/>
      <c r="B2446" s="16"/>
      <c r="C2446" s="146"/>
      <c r="D2446" s="146"/>
      <c r="E2446" s="16"/>
      <c r="F2446" s="91"/>
      <c r="G2446" s="16"/>
      <c r="H2446" s="320" t="str">
        <f t="shared" si="33"/>
        <v/>
      </c>
      <c r="I2446" s="16"/>
      <c r="J2446" s="16"/>
      <c r="K2446" s="16"/>
      <c r="L2446" s="16"/>
      <c r="M2446" s="15"/>
      <c r="N2446" s="15"/>
      <c r="O2446" s="16"/>
      <c r="P2446" s="16"/>
      <c r="Q2446" s="16"/>
      <c r="R2446" s="16"/>
      <c r="S2446" s="37" t="str">
        <f>IFERROR(__xludf.DUMMYFUNCTION("if(not(iserror(index(split(C2446, "" ""),2))), index(split(C2446, "" ""),1),"""")"),"")</f>
        <v/>
      </c>
      <c r="T2446" s="315" t="str">
        <f>IFERROR(__xludf.DUMMYFUNCTION("if(S2446="""",C2446,if(not(iserror(index(split(C2446, "" ""),3))), index(split(C2446, "" ""),3),index(split(C2446, "" ""),2)))"),"")</f>
        <v/>
      </c>
      <c r="U2446" s="38" t="b">
        <f t="shared" si="34"/>
        <v>0</v>
      </c>
      <c r="V2446" s="38"/>
      <c r="W2446" s="40"/>
      <c r="X2446" s="40"/>
      <c r="Y2446" s="38"/>
      <c r="Z2446" s="38"/>
      <c r="AA2446" s="38"/>
      <c r="AB2446" s="38"/>
      <c r="AC2446" s="38"/>
      <c r="AD2446" s="38"/>
      <c r="AE2446" s="38"/>
      <c r="AF2446" s="38"/>
      <c r="AG2446" s="38"/>
      <c r="AH2446" s="38"/>
      <c r="AI2446" s="38"/>
      <c r="AJ2446" s="38"/>
      <c r="AK2446" s="38"/>
      <c r="AL2446" s="38"/>
      <c r="AM2446" s="38"/>
      <c r="AN2446" s="38"/>
      <c r="AO2446" s="38"/>
      <c r="AP2446" s="38"/>
      <c r="AQ2446" s="38"/>
      <c r="AR2446" s="38"/>
      <c r="AS2446" s="38"/>
      <c r="AT2446" s="38"/>
      <c r="AU2446" s="38"/>
      <c r="AV2446" s="38"/>
      <c r="AW2446" s="38"/>
      <c r="AX2446" s="38"/>
      <c r="AY2446" s="38"/>
      <c r="AZ2446" s="38"/>
      <c r="BA2446" s="38"/>
      <c r="BB2446" s="38"/>
      <c r="BC2446" s="38"/>
      <c r="BD2446" s="38"/>
      <c r="BE2446" s="38"/>
      <c r="BF2446" s="38"/>
      <c r="BG2446" s="38"/>
      <c r="BH2446" s="38"/>
      <c r="BI2446" s="38"/>
      <c r="BJ2446" s="38"/>
      <c r="BK2446" s="38"/>
      <c r="BL2446" s="38"/>
      <c r="BM2446" s="38"/>
      <c r="BN2446" s="38"/>
      <c r="BO2446" s="38"/>
      <c r="BP2446" s="38"/>
      <c r="BQ2446" s="38"/>
    </row>
    <row r="2447">
      <c r="A2447" s="16"/>
      <c r="B2447" s="16"/>
      <c r="C2447" s="146"/>
      <c r="D2447" s="146"/>
      <c r="E2447" s="16"/>
      <c r="F2447" s="91"/>
      <c r="G2447" s="16"/>
      <c r="H2447" s="320" t="str">
        <f t="shared" si="33"/>
        <v/>
      </c>
      <c r="I2447" s="16"/>
      <c r="J2447" s="16"/>
      <c r="K2447" s="16"/>
      <c r="L2447" s="16"/>
      <c r="M2447" s="15"/>
      <c r="N2447" s="15"/>
      <c r="O2447" s="16"/>
      <c r="P2447" s="16"/>
      <c r="Q2447" s="16"/>
      <c r="R2447" s="16"/>
      <c r="S2447" s="37" t="str">
        <f>IFERROR(__xludf.DUMMYFUNCTION("if(not(iserror(index(split(C2447, "" ""),2))), index(split(C2447, "" ""),1),"""")"),"")</f>
        <v/>
      </c>
      <c r="T2447" s="315" t="str">
        <f>IFERROR(__xludf.DUMMYFUNCTION("if(S2447="""",C2447,if(not(iserror(index(split(C2447, "" ""),3))), index(split(C2447, "" ""),3),index(split(C2447, "" ""),2)))"),"")</f>
        <v/>
      </c>
      <c r="U2447" s="38" t="b">
        <f t="shared" si="34"/>
        <v>0</v>
      </c>
      <c r="V2447" s="38"/>
      <c r="W2447" s="40"/>
      <c r="X2447" s="40"/>
      <c r="Y2447" s="38"/>
      <c r="Z2447" s="38"/>
      <c r="AA2447" s="38"/>
      <c r="AB2447" s="38"/>
      <c r="AC2447" s="38"/>
      <c r="AD2447" s="38"/>
      <c r="AE2447" s="38"/>
      <c r="AF2447" s="38"/>
      <c r="AG2447" s="38"/>
      <c r="AH2447" s="38"/>
      <c r="AI2447" s="38"/>
      <c r="AJ2447" s="38"/>
      <c r="AK2447" s="38"/>
      <c r="AL2447" s="38"/>
      <c r="AM2447" s="38"/>
      <c r="AN2447" s="38"/>
      <c r="AO2447" s="38"/>
      <c r="AP2447" s="38"/>
      <c r="AQ2447" s="38"/>
      <c r="AR2447" s="38"/>
      <c r="AS2447" s="38"/>
      <c r="AT2447" s="38"/>
      <c r="AU2447" s="38"/>
      <c r="AV2447" s="38"/>
      <c r="AW2447" s="38"/>
      <c r="AX2447" s="38"/>
      <c r="AY2447" s="38"/>
      <c r="AZ2447" s="38"/>
      <c r="BA2447" s="38"/>
      <c r="BB2447" s="38"/>
      <c r="BC2447" s="38"/>
      <c r="BD2447" s="38"/>
      <c r="BE2447" s="38"/>
      <c r="BF2447" s="38"/>
      <c r="BG2447" s="38"/>
      <c r="BH2447" s="38"/>
      <c r="BI2447" s="38"/>
      <c r="BJ2447" s="38"/>
      <c r="BK2447" s="38"/>
      <c r="BL2447" s="38"/>
      <c r="BM2447" s="38"/>
      <c r="BN2447" s="38"/>
      <c r="BO2447" s="38"/>
      <c r="BP2447" s="38"/>
      <c r="BQ2447" s="38"/>
    </row>
    <row r="2448">
      <c r="A2448" s="16"/>
      <c r="B2448" s="16"/>
      <c r="C2448" s="146"/>
      <c r="D2448" s="146"/>
      <c r="E2448" s="16"/>
      <c r="F2448" s="91"/>
      <c r="G2448" s="16"/>
      <c r="H2448" s="320" t="str">
        <f t="shared" si="33"/>
        <v/>
      </c>
      <c r="I2448" s="16"/>
      <c r="J2448" s="16"/>
      <c r="K2448" s="16"/>
      <c r="L2448" s="16"/>
      <c r="M2448" s="15"/>
      <c r="N2448" s="15"/>
      <c r="O2448" s="16"/>
      <c r="P2448" s="16"/>
      <c r="Q2448" s="16"/>
      <c r="R2448" s="16"/>
      <c r="S2448" s="37" t="str">
        <f>IFERROR(__xludf.DUMMYFUNCTION("if(not(iserror(index(split(C2448, "" ""),2))), index(split(C2448, "" ""),1),"""")"),"")</f>
        <v/>
      </c>
      <c r="T2448" s="315" t="str">
        <f>IFERROR(__xludf.DUMMYFUNCTION("if(S2448="""",C2448,if(not(iserror(index(split(C2448, "" ""),3))), index(split(C2448, "" ""),3),index(split(C2448, "" ""),2)))"),"")</f>
        <v/>
      </c>
      <c r="U2448" s="38" t="b">
        <f t="shared" si="34"/>
        <v>0</v>
      </c>
      <c r="V2448" s="38"/>
      <c r="W2448" s="40"/>
      <c r="X2448" s="40"/>
      <c r="Y2448" s="38"/>
      <c r="Z2448" s="38"/>
      <c r="AA2448" s="38"/>
      <c r="AB2448" s="38"/>
      <c r="AC2448" s="38"/>
      <c r="AD2448" s="38"/>
      <c r="AE2448" s="38"/>
      <c r="AF2448" s="38"/>
      <c r="AG2448" s="38"/>
      <c r="AH2448" s="38"/>
      <c r="AI2448" s="38"/>
      <c r="AJ2448" s="38"/>
      <c r="AK2448" s="38"/>
      <c r="AL2448" s="38"/>
      <c r="AM2448" s="38"/>
      <c r="AN2448" s="38"/>
      <c r="AO2448" s="38"/>
      <c r="AP2448" s="38"/>
      <c r="AQ2448" s="38"/>
      <c r="AR2448" s="38"/>
      <c r="AS2448" s="38"/>
      <c r="AT2448" s="38"/>
      <c r="AU2448" s="38"/>
      <c r="AV2448" s="38"/>
      <c r="AW2448" s="38"/>
      <c r="AX2448" s="38"/>
      <c r="AY2448" s="38"/>
      <c r="AZ2448" s="38"/>
      <c r="BA2448" s="38"/>
      <c r="BB2448" s="38"/>
      <c r="BC2448" s="38"/>
      <c r="BD2448" s="38"/>
      <c r="BE2448" s="38"/>
      <c r="BF2448" s="38"/>
      <c r="BG2448" s="38"/>
      <c r="BH2448" s="38"/>
      <c r="BI2448" s="38"/>
      <c r="BJ2448" s="38"/>
      <c r="BK2448" s="38"/>
      <c r="BL2448" s="38"/>
      <c r="BM2448" s="38"/>
      <c r="BN2448" s="38"/>
      <c r="BO2448" s="38"/>
      <c r="BP2448" s="38"/>
      <c r="BQ2448" s="38"/>
    </row>
    <row r="2449">
      <c r="A2449" s="16"/>
      <c r="B2449" s="16"/>
      <c r="C2449" s="146"/>
      <c r="D2449" s="146"/>
      <c r="E2449" s="16"/>
      <c r="F2449" s="91"/>
      <c r="G2449" s="16"/>
      <c r="H2449" s="320" t="str">
        <f t="shared" si="33"/>
        <v/>
      </c>
      <c r="I2449" s="16"/>
      <c r="J2449" s="16"/>
      <c r="K2449" s="16"/>
      <c r="L2449" s="16"/>
      <c r="M2449" s="15"/>
      <c r="N2449" s="15"/>
      <c r="O2449" s="16"/>
      <c r="P2449" s="16"/>
      <c r="Q2449" s="16"/>
      <c r="R2449" s="16"/>
      <c r="S2449" s="37" t="str">
        <f>IFERROR(__xludf.DUMMYFUNCTION("if(not(iserror(index(split(C2449, "" ""),2))), index(split(C2449, "" ""),1),"""")"),"")</f>
        <v/>
      </c>
      <c r="T2449" s="315" t="str">
        <f>IFERROR(__xludf.DUMMYFUNCTION("if(S2449="""",C2449,if(not(iserror(index(split(C2449, "" ""),3))), index(split(C2449, "" ""),3),index(split(C2449, "" ""),2)))"),"")</f>
        <v/>
      </c>
      <c r="U2449" s="38" t="b">
        <f t="shared" si="34"/>
        <v>0</v>
      </c>
      <c r="V2449" s="38"/>
      <c r="W2449" s="40"/>
      <c r="X2449" s="40"/>
      <c r="Y2449" s="38"/>
      <c r="Z2449" s="38"/>
      <c r="AA2449" s="38"/>
      <c r="AB2449" s="38"/>
      <c r="AC2449" s="38"/>
      <c r="AD2449" s="38"/>
      <c r="AE2449" s="38"/>
      <c r="AF2449" s="38"/>
      <c r="AG2449" s="38"/>
      <c r="AH2449" s="38"/>
      <c r="AI2449" s="38"/>
      <c r="AJ2449" s="38"/>
      <c r="AK2449" s="38"/>
      <c r="AL2449" s="38"/>
      <c r="AM2449" s="38"/>
      <c r="AN2449" s="38"/>
      <c r="AO2449" s="38"/>
      <c r="AP2449" s="38"/>
      <c r="AQ2449" s="38"/>
      <c r="AR2449" s="38"/>
      <c r="AS2449" s="38"/>
      <c r="AT2449" s="38"/>
      <c r="AU2449" s="38"/>
      <c r="AV2449" s="38"/>
      <c r="AW2449" s="38"/>
      <c r="AX2449" s="38"/>
      <c r="AY2449" s="38"/>
      <c r="AZ2449" s="38"/>
      <c r="BA2449" s="38"/>
      <c r="BB2449" s="38"/>
      <c r="BC2449" s="38"/>
      <c r="BD2449" s="38"/>
      <c r="BE2449" s="38"/>
      <c r="BF2449" s="38"/>
      <c r="BG2449" s="38"/>
      <c r="BH2449" s="38"/>
      <c r="BI2449" s="38"/>
      <c r="BJ2449" s="38"/>
      <c r="BK2449" s="38"/>
      <c r="BL2449" s="38"/>
      <c r="BM2449" s="38"/>
      <c r="BN2449" s="38"/>
      <c r="BO2449" s="38"/>
      <c r="BP2449" s="38"/>
      <c r="BQ2449" s="38"/>
    </row>
    <row r="2450">
      <c r="A2450" s="16"/>
      <c r="B2450" s="16"/>
      <c r="C2450" s="146"/>
      <c r="D2450" s="146"/>
      <c r="E2450" s="16"/>
      <c r="F2450" s="91"/>
      <c r="G2450" s="16"/>
      <c r="H2450" s="320" t="str">
        <f t="shared" si="33"/>
        <v/>
      </c>
      <c r="I2450" s="16"/>
      <c r="J2450" s="16"/>
      <c r="K2450" s="16"/>
      <c r="L2450" s="16"/>
      <c r="M2450" s="15"/>
      <c r="N2450" s="15"/>
      <c r="O2450" s="16"/>
      <c r="P2450" s="16"/>
      <c r="Q2450" s="16"/>
      <c r="R2450" s="16"/>
      <c r="S2450" s="37" t="str">
        <f>IFERROR(__xludf.DUMMYFUNCTION("if(not(iserror(index(split(C2450, "" ""),2))), index(split(C2450, "" ""),1),"""")"),"")</f>
        <v/>
      </c>
      <c r="T2450" s="315" t="str">
        <f>IFERROR(__xludf.DUMMYFUNCTION("if(S2450="""",C2450,if(not(iserror(index(split(C2450, "" ""),3))), index(split(C2450, "" ""),3),index(split(C2450, "" ""),2)))"),"")</f>
        <v/>
      </c>
      <c r="U2450" s="38" t="b">
        <f t="shared" si="34"/>
        <v>0</v>
      </c>
      <c r="V2450" s="38"/>
      <c r="W2450" s="40"/>
      <c r="X2450" s="40"/>
      <c r="Y2450" s="38"/>
      <c r="Z2450" s="38"/>
      <c r="AA2450" s="38"/>
      <c r="AB2450" s="38"/>
      <c r="AC2450" s="38"/>
      <c r="AD2450" s="38"/>
      <c r="AE2450" s="38"/>
      <c r="AF2450" s="38"/>
      <c r="AG2450" s="38"/>
      <c r="AH2450" s="38"/>
      <c r="AI2450" s="38"/>
      <c r="AJ2450" s="38"/>
      <c r="AK2450" s="38"/>
      <c r="AL2450" s="38"/>
      <c r="AM2450" s="38"/>
      <c r="AN2450" s="38"/>
      <c r="AO2450" s="38"/>
      <c r="AP2450" s="38"/>
      <c r="AQ2450" s="38"/>
      <c r="AR2450" s="38"/>
      <c r="AS2450" s="38"/>
      <c r="AT2450" s="38"/>
      <c r="AU2450" s="38"/>
      <c r="AV2450" s="38"/>
      <c r="AW2450" s="38"/>
      <c r="AX2450" s="38"/>
      <c r="AY2450" s="38"/>
      <c r="AZ2450" s="38"/>
      <c r="BA2450" s="38"/>
      <c r="BB2450" s="38"/>
      <c r="BC2450" s="38"/>
      <c r="BD2450" s="38"/>
      <c r="BE2450" s="38"/>
      <c r="BF2450" s="38"/>
      <c r="BG2450" s="38"/>
      <c r="BH2450" s="38"/>
      <c r="BI2450" s="38"/>
      <c r="BJ2450" s="38"/>
      <c r="BK2450" s="38"/>
      <c r="BL2450" s="38"/>
      <c r="BM2450" s="38"/>
      <c r="BN2450" s="38"/>
      <c r="BO2450" s="38"/>
      <c r="BP2450" s="38"/>
      <c r="BQ2450" s="38"/>
    </row>
    <row r="2451">
      <c r="A2451" s="16"/>
      <c r="B2451" s="16"/>
      <c r="C2451" s="146"/>
      <c r="D2451" s="146"/>
      <c r="E2451" s="16"/>
      <c r="F2451" s="91"/>
      <c r="G2451" s="16"/>
      <c r="H2451" s="320" t="str">
        <f t="shared" si="33"/>
        <v/>
      </c>
      <c r="I2451" s="16"/>
      <c r="J2451" s="16"/>
      <c r="K2451" s="16"/>
      <c r="L2451" s="16"/>
      <c r="M2451" s="15"/>
      <c r="N2451" s="15"/>
      <c r="O2451" s="16"/>
      <c r="P2451" s="16"/>
      <c r="Q2451" s="16"/>
      <c r="R2451" s="16"/>
      <c r="S2451" s="37" t="str">
        <f>IFERROR(__xludf.DUMMYFUNCTION("if(not(iserror(index(split(C2451, "" ""),2))), index(split(C2451, "" ""),1),"""")"),"")</f>
        <v/>
      </c>
      <c r="T2451" s="315" t="str">
        <f>IFERROR(__xludf.DUMMYFUNCTION("if(S2451="""",C2451,if(not(iserror(index(split(C2451, "" ""),3))), index(split(C2451, "" ""),3),index(split(C2451, "" ""),2)))"),"")</f>
        <v/>
      </c>
      <c r="U2451" s="38" t="b">
        <f t="shared" si="34"/>
        <v>0</v>
      </c>
      <c r="V2451" s="38"/>
      <c r="W2451" s="40"/>
      <c r="X2451" s="40"/>
      <c r="Y2451" s="38"/>
      <c r="Z2451" s="38"/>
      <c r="AA2451" s="38"/>
      <c r="AB2451" s="38"/>
      <c r="AC2451" s="38"/>
      <c r="AD2451" s="38"/>
      <c r="AE2451" s="38"/>
      <c r="AF2451" s="38"/>
      <c r="AG2451" s="38"/>
      <c r="AH2451" s="38"/>
      <c r="AI2451" s="38"/>
      <c r="AJ2451" s="38"/>
      <c r="AK2451" s="38"/>
      <c r="AL2451" s="38"/>
      <c r="AM2451" s="38"/>
      <c r="AN2451" s="38"/>
      <c r="AO2451" s="38"/>
      <c r="AP2451" s="38"/>
      <c r="AQ2451" s="38"/>
      <c r="AR2451" s="38"/>
      <c r="AS2451" s="38"/>
      <c r="AT2451" s="38"/>
      <c r="AU2451" s="38"/>
      <c r="AV2451" s="38"/>
      <c r="AW2451" s="38"/>
      <c r="AX2451" s="38"/>
      <c r="AY2451" s="38"/>
      <c r="AZ2451" s="38"/>
      <c r="BA2451" s="38"/>
      <c r="BB2451" s="38"/>
      <c r="BC2451" s="38"/>
      <c r="BD2451" s="38"/>
      <c r="BE2451" s="38"/>
      <c r="BF2451" s="38"/>
      <c r="BG2451" s="38"/>
      <c r="BH2451" s="38"/>
      <c r="BI2451" s="38"/>
      <c r="BJ2451" s="38"/>
      <c r="BK2451" s="38"/>
      <c r="BL2451" s="38"/>
      <c r="BM2451" s="38"/>
      <c r="BN2451" s="38"/>
      <c r="BO2451" s="38"/>
      <c r="BP2451" s="38"/>
      <c r="BQ2451" s="38"/>
    </row>
    <row r="2452">
      <c r="A2452" s="16"/>
      <c r="B2452" s="16"/>
      <c r="C2452" s="146"/>
      <c r="D2452" s="146"/>
      <c r="E2452" s="16"/>
      <c r="F2452" s="91"/>
      <c r="G2452" s="16"/>
      <c r="H2452" s="320" t="str">
        <f t="shared" si="33"/>
        <v/>
      </c>
      <c r="I2452" s="16"/>
      <c r="J2452" s="16"/>
      <c r="K2452" s="16"/>
      <c r="L2452" s="16"/>
      <c r="M2452" s="15"/>
      <c r="N2452" s="15"/>
      <c r="O2452" s="16"/>
      <c r="P2452" s="16"/>
      <c r="Q2452" s="16"/>
      <c r="R2452" s="16"/>
      <c r="S2452" s="37" t="str">
        <f>IFERROR(__xludf.DUMMYFUNCTION("if(not(iserror(index(split(C2452, "" ""),2))), index(split(C2452, "" ""),1),"""")"),"")</f>
        <v/>
      </c>
      <c r="T2452" s="315" t="str">
        <f>IFERROR(__xludf.DUMMYFUNCTION("if(S2452="""",C2452,if(not(iserror(index(split(C2452, "" ""),3))), index(split(C2452, "" ""),3),index(split(C2452, "" ""),2)))"),"")</f>
        <v/>
      </c>
      <c r="U2452" s="38" t="b">
        <f t="shared" si="34"/>
        <v>0</v>
      </c>
      <c r="V2452" s="38"/>
      <c r="W2452" s="40"/>
      <c r="X2452" s="40"/>
      <c r="Y2452" s="38"/>
      <c r="Z2452" s="38"/>
      <c r="AA2452" s="38"/>
      <c r="AB2452" s="38"/>
      <c r="AC2452" s="38"/>
      <c r="AD2452" s="38"/>
      <c r="AE2452" s="38"/>
      <c r="AF2452" s="38"/>
      <c r="AG2452" s="38"/>
      <c r="AH2452" s="38"/>
      <c r="AI2452" s="38"/>
      <c r="AJ2452" s="38"/>
      <c r="AK2452" s="38"/>
      <c r="AL2452" s="38"/>
      <c r="AM2452" s="38"/>
      <c r="AN2452" s="38"/>
      <c r="AO2452" s="38"/>
      <c r="AP2452" s="38"/>
      <c r="AQ2452" s="38"/>
      <c r="AR2452" s="38"/>
      <c r="AS2452" s="38"/>
      <c r="AT2452" s="38"/>
      <c r="AU2452" s="38"/>
      <c r="AV2452" s="38"/>
      <c r="AW2452" s="38"/>
      <c r="AX2452" s="38"/>
      <c r="AY2452" s="38"/>
      <c r="AZ2452" s="38"/>
      <c r="BA2452" s="38"/>
      <c r="BB2452" s="38"/>
      <c r="BC2452" s="38"/>
      <c r="BD2452" s="38"/>
      <c r="BE2452" s="38"/>
      <c r="BF2452" s="38"/>
      <c r="BG2452" s="38"/>
      <c r="BH2452" s="38"/>
      <c r="BI2452" s="38"/>
      <c r="BJ2452" s="38"/>
      <c r="BK2452" s="38"/>
      <c r="BL2452" s="38"/>
      <c r="BM2452" s="38"/>
      <c r="BN2452" s="38"/>
      <c r="BO2452" s="38"/>
      <c r="BP2452" s="38"/>
      <c r="BQ2452" s="38"/>
    </row>
    <row r="2453">
      <c r="A2453" s="16"/>
      <c r="B2453" s="16"/>
      <c r="C2453" s="146"/>
      <c r="D2453" s="146"/>
      <c r="E2453" s="16"/>
      <c r="F2453" s="91"/>
      <c r="G2453" s="16"/>
      <c r="H2453" s="320" t="str">
        <f t="shared" si="33"/>
        <v/>
      </c>
      <c r="I2453" s="16"/>
      <c r="J2453" s="16"/>
      <c r="K2453" s="16"/>
      <c r="L2453" s="16"/>
      <c r="M2453" s="15"/>
      <c r="N2453" s="15"/>
      <c r="O2453" s="16"/>
      <c r="P2453" s="16"/>
      <c r="Q2453" s="16"/>
      <c r="R2453" s="16"/>
      <c r="S2453" s="37" t="str">
        <f>IFERROR(__xludf.DUMMYFUNCTION("if(not(iserror(index(split(C2453, "" ""),2))), index(split(C2453, "" ""),1),"""")"),"")</f>
        <v/>
      </c>
      <c r="T2453" s="315" t="str">
        <f>IFERROR(__xludf.DUMMYFUNCTION("if(S2453="""",C2453,if(not(iserror(index(split(C2453, "" ""),3))), index(split(C2453, "" ""),3),index(split(C2453, "" ""),2)))"),"")</f>
        <v/>
      </c>
      <c r="U2453" s="38" t="b">
        <f t="shared" si="34"/>
        <v>0</v>
      </c>
      <c r="V2453" s="38"/>
      <c r="W2453" s="40"/>
      <c r="X2453" s="40"/>
      <c r="Y2453" s="38"/>
      <c r="Z2453" s="38"/>
      <c r="AA2453" s="38"/>
      <c r="AB2453" s="38"/>
      <c r="AC2453" s="38"/>
      <c r="AD2453" s="38"/>
      <c r="AE2453" s="38"/>
      <c r="AF2453" s="38"/>
      <c r="AG2453" s="38"/>
      <c r="AH2453" s="38"/>
      <c r="AI2453" s="38"/>
      <c r="AJ2453" s="38"/>
      <c r="AK2453" s="38"/>
      <c r="AL2453" s="38"/>
      <c r="AM2453" s="38"/>
      <c r="AN2453" s="38"/>
      <c r="AO2453" s="38"/>
      <c r="AP2453" s="38"/>
      <c r="AQ2453" s="38"/>
      <c r="AR2453" s="38"/>
      <c r="AS2453" s="38"/>
      <c r="AT2453" s="38"/>
      <c r="AU2453" s="38"/>
      <c r="AV2453" s="38"/>
      <c r="AW2453" s="38"/>
      <c r="AX2453" s="38"/>
      <c r="AY2453" s="38"/>
      <c r="AZ2453" s="38"/>
      <c r="BA2453" s="38"/>
      <c r="BB2453" s="38"/>
      <c r="BC2453" s="38"/>
      <c r="BD2453" s="38"/>
      <c r="BE2453" s="38"/>
      <c r="BF2453" s="38"/>
      <c r="BG2453" s="38"/>
      <c r="BH2453" s="38"/>
      <c r="BI2453" s="38"/>
      <c r="BJ2453" s="38"/>
      <c r="BK2453" s="38"/>
      <c r="BL2453" s="38"/>
      <c r="BM2453" s="38"/>
      <c r="BN2453" s="38"/>
      <c r="BO2453" s="38"/>
      <c r="BP2453" s="38"/>
      <c r="BQ2453" s="38"/>
    </row>
    <row r="2454">
      <c r="A2454" s="16"/>
      <c r="B2454" s="16"/>
      <c r="C2454" s="146"/>
      <c r="D2454" s="146"/>
      <c r="E2454" s="16"/>
      <c r="F2454" s="91"/>
      <c r="G2454" s="16"/>
      <c r="H2454" s="320" t="str">
        <f t="shared" si="33"/>
        <v/>
      </c>
      <c r="I2454" s="16"/>
      <c r="J2454" s="16"/>
      <c r="K2454" s="16"/>
      <c r="L2454" s="16"/>
      <c r="M2454" s="15"/>
      <c r="N2454" s="15"/>
      <c r="O2454" s="16"/>
      <c r="P2454" s="16"/>
      <c r="Q2454" s="16"/>
      <c r="R2454" s="16"/>
      <c r="S2454" s="37" t="str">
        <f>IFERROR(__xludf.DUMMYFUNCTION("if(not(iserror(index(split(C2454, "" ""),2))), index(split(C2454, "" ""),1),"""")"),"")</f>
        <v/>
      </c>
      <c r="T2454" s="315" t="str">
        <f>IFERROR(__xludf.DUMMYFUNCTION("if(S2454="""",C2454,if(not(iserror(index(split(C2454, "" ""),3))), index(split(C2454, "" ""),3),index(split(C2454, "" ""),2)))"),"")</f>
        <v/>
      </c>
      <c r="U2454" s="38" t="b">
        <f t="shared" si="34"/>
        <v>0</v>
      </c>
      <c r="V2454" s="38"/>
      <c r="W2454" s="40"/>
      <c r="X2454" s="40"/>
      <c r="Y2454" s="38"/>
      <c r="Z2454" s="38"/>
      <c r="AA2454" s="38"/>
      <c r="AB2454" s="38"/>
      <c r="AC2454" s="38"/>
      <c r="AD2454" s="38"/>
      <c r="AE2454" s="38"/>
      <c r="AF2454" s="38"/>
      <c r="AG2454" s="38"/>
      <c r="AH2454" s="38"/>
      <c r="AI2454" s="38"/>
      <c r="AJ2454" s="38"/>
      <c r="AK2454" s="38"/>
      <c r="AL2454" s="38"/>
      <c r="AM2454" s="38"/>
      <c r="AN2454" s="38"/>
      <c r="AO2454" s="38"/>
      <c r="AP2454" s="38"/>
      <c r="AQ2454" s="38"/>
      <c r="AR2454" s="38"/>
      <c r="AS2454" s="38"/>
      <c r="AT2454" s="38"/>
      <c r="AU2454" s="38"/>
      <c r="AV2454" s="38"/>
      <c r="AW2454" s="38"/>
      <c r="AX2454" s="38"/>
      <c r="AY2454" s="38"/>
      <c r="AZ2454" s="38"/>
      <c r="BA2454" s="38"/>
      <c r="BB2454" s="38"/>
      <c r="BC2454" s="38"/>
      <c r="BD2454" s="38"/>
      <c r="BE2454" s="38"/>
      <c r="BF2454" s="38"/>
      <c r="BG2454" s="38"/>
      <c r="BH2454" s="38"/>
      <c r="BI2454" s="38"/>
      <c r="BJ2454" s="38"/>
      <c r="BK2454" s="38"/>
      <c r="BL2454" s="38"/>
      <c r="BM2454" s="38"/>
      <c r="BN2454" s="38"/>
      <c r="BO2454" s="38"/>
      <c r="BP2454" s="38"/>
      <c r="BQ2454" s="38"/>
    </row>
    <row r="2455">
      <c r="A2455" s="16"/>
      <c r="B2455" s="16"/>
      <c r="C2455" s="146"/>
      <c r="D2455" s="146"/>
      <c r="E2455" s="16"/>
      <c r="F2455" s="91"/>
      <c r="G2455" s="16"/>
      <c r="H2455" s="320" t="str">
        <f t="shared" si="33"/>
        <v/>
      </c>
      <c r="I2455" s="16"/>
      <c r="J2455" s="16"/>
      <c r="K2455" s="16"/>
      <c r="L2455" s="16"/>
      <c r="M2455" s="15"/>
      <c r="N2455" s="15"/>
      <c r="O2455" s="16"/>
      <c r="P2455" s="16"/>
      <c r="Q2455" s="16"/>
      <c r="R2455" s="16"/>
      <c r="S2455" s="37" t="str">
        <f>IFERROR(__xludf.DUMMYFUNCTION("if(not(iserror(index(split(C2455, "" ""),2))), index(split(C2455, "" ""),1),"""")"),"")</f>
        <v/>
      </c>
      <c r="T2455" s="315" t="str">
        <f>IFERROR(__xludf.DUMMYFUNCTION("if(S2455="""",C2455,if(not(iserror(index(split(C2455, "" ""),3))), index(split(C2455, "" ""),3),index(split(C2455, "" ""),2)))"),"")</f>
        <v/>
      </c>
      <c r="U2455" s="38" t="b">
        <f t="shared" si="34"/>
        <v>0</v>
      </c>
      <c r="V2455" s="38"/>
      <c r="W2455" s="40"/>
      <c r="X2455" s="40"/>
      <c r="Y2455" s="38"/>
      <c r="Z2455" s="38"/>
      <c r="AA2455" s="38"/>
      <c r="AB2455" s="38"/>
      <c r="AC2455" s="38"/>
      <c r="AD2455" s="38"/>
      <c r="AE2455" s="38"/>
      <c r="AF2455" s="38"/>
      <c r="AG2455" s="38"/>
      <c r="AH2455" s="38"/>
      <c r="AI2455" s="38"/>
      <c r="AJ2455" s="38"/>
      <c r="AK2455" s="38"/>
      <c r="AL2455" s="38"/>
      <c r="AM2455" s="38"/>
      <c r="AN2455" s="38"/>
      <c r="AO2455" s="38"/>
      <c r="AP2455" s="38"/>
      <c r="AQ2455" s="38"/>
      <c r="AR2455" s="38"/>
      <c r="AS2455" s="38"/>
      <c r="AT2455" s="38"/>
      <c r="AU2455" s="38"/>
      <c r="AV2455" s="38"/>
      <c r="AW2455" s="38"/>
      <c r="AX2455" s="38"/>
      <c r="AY2455" s="38"/>
      <c r="AZ2455" s="38"/>
      <c r="BA2455" s="38"/>
      <c r="BB2455" s="38"/>
      <c r="BC2455" s="38"/>
      <c r="BD2455" s="38"/>
      <c r="BE2455" s="38"/>
      <c r="BF2455" s="38"/>
      <c r="BG2455" s="38"/>
      <c r="BH2455" s="38"/>
      <c r="BI2455" s="38"/>
      <c r="BJ2455" s="38"/>
      <c r="BK2455" s="38"/>
      <c r="BL2455" s="38"/>
      <c r="BM2455" s="38"/>
      <c r="BN2455" s="38"/>
      <c r="BO2455" s="38"/>
      <c r="BP2455" s="38"/>
      <c r="BQ2455" s="38"/>
    </row>
    <row r="2456">
      <c r="A2456" s="16"/>
      <c r="B2456" s="16"/>
      <c r="C2456" s="146"/>
      <c r="D2456" s="146"/>
      <c r="E2456" s="16"/>
      <c r="F2456" s="91"/>
      <c r="G2456" s="16"/>
      <c r="H2456" s="320" t="str">
        <f t="shared" si="33"/>
        <v/>
      </c>
      <c r="I2456" s="16"/>
      <c r="J2456" s="16"/>
      <c r="K2456" s="16"/>
      <c r="L2456" s="16"/>
      <c r="M2456" s="15"/>
      <c r="N2456" s="15"/>
      <c r="O2456" s="16"/>
      <c r="P2456" s="16"/>
      <c r="Q2456" s="16"/>
      <c r="R2456" s="16"/>
      <c r="S2456" s="37" t="str">
        <f>IFERROR(__xludf.DUMMYFUNCTION("if(not(iserror(index(split(C2456, "" ""),2))), index(split(C2456, "" ""),1),"""")"),"")</f>
        <v/>
      </c>
      <c r="T2456" s="315" t="str">
        <f>IFERROR(__xludf.DUMMYFUNCTION("if(S2456="""",C2456,if(not(iserror(index(split(C2456, "" ""),3))), index(split(C2456, "" ""),3),index(split(C2456, "" ""),2)))"),"")</f>
        <v/>
      </c>
      <c r="U2456" s="38" t="b">
        <f t="shared" si="34"/>
        <v>0</v>
      </c>
      <c r="V2456" s="38"/>
      <c r="W2456" s="40"/>
      <c r="X2456" s="40"/>
      <c r="Y2456" s="38"/>
      <c r="Z2456" s="38"/>
      <c r="AA2456" s="38"/>
      <c r="AB2456" s="38"/>
      <c r="AC2456" s="38"/>
      <c r="AD2456" s="38"/>
      <c r="AE2456" s="38"/>
      <c r="AF2456" s="38"/>
      <c r="AG2456" s="38"/>
      <c r="AH2456" s="38"/>
      <c r="AI2456" s="38"/>
      <c r="AJ2456" s="38"/>
      <c r="AK2456" s="38"/>
      <c r="AL2456" s="38"/>
      <c r="AM2456" s="38"/>
      <c r="AN2456" s="38"/>
      <c r="AO2456" s="38"/>
      <c r="AP2456" s="38"/>
      <c r="AQ2456" s="38"/>
      <c r="AR2456" s="38"/>
      <c r="AS2456" s="38"/>
      <c r="AT2456" s="38"/>
      <c r="AU2456" s="38"/>
      <c r="AV2456" s="38"/>
      <c r="AW2456" s="38"/>
      <c r="AX2456" s="38"/>
      <c r="AY2456" s="38"/>
      <c r="AZ2456" s="38"/>
      <c r="BA2456" s="38"/>
      <c r="BB2456" s="38"/>
      <c r="BC2456" s="38"/>
      <c r="BD2456" s="38"/>
      <c r="BE2456" s="38"/>
      <c r="BF2456" s="38"/>
      <c r="BG2456" s="38"/>
      <c r="BH2456" s="38"/>
      <c r="BI2456" s="38"/>
      <c r="BJ2456" s="38"/>
      <c r="BK2456" s="38"/>
      <c r="BL2456" s="38"/>
      <c r="BM2456" s="38"/>
      <c r="BN2456" s="38"/>
      <c r="BO2456" s="38"/>
      <c r="BP2456" s="38"/>
      <c r="BQ2456" s="38"/>
    </row>
    <row r="2457">
      <c r="A2457" s="16"/>
      <c r="B2457" s="16"/>
      <c r="C2457" s="146"/>
      <c r="D2457" s="146"/>
      <c r="E2457" s="16"/>
      <c r="F2457" s="91"/>
      <c r="G2457" s="16"/>
      <c r="H2457" s="320" t="str">
        <f t="shared" si="33"/>
        <v/>
      </c>
      <c r="I2457" s="16"/>
      <c r="J2457" s="16"/>
      <c r="K2457" s="16"/>
      <c r="L2457" s="16"/>
      <c r="M2457" s="15"/>
      <c r="N2457" s="15"/>
      <c r="O2457" s="16"/>
      <c r="P2457" s="16"/>
      <c r="Q2457" s="16"/>
      <c r="R2457" s="16"/>
      <c r="S2457" s="37" t="str">
        <f>IFERROR(__xludf.DUMMYFUNCTION("if(not(iserror(index(split(C2457, "" ""),2))), index(split(C2457, "" ""),1),"""")"),"")</f>
        <v/>
      </c>
      <c r="T2457" s="315" t="str">
        <f>IFERROR(__xludf.DUMMYFUNCTION("if(S2457="""",C2457,if(not(iserror(index(split(C2457, "" ""),3))), index(split(C2457, "" ""),3),index(split(C2457, "" ""),2)))"),"")</f>
        <v/>
      </c>
      <c r="U2457" s="38" t="b">
        <f t="shared" si="34"/>
        <v>0</v>
      </c>
      <c r="V2457" s="38"/>
      <c r="W2457" s="40"/>
      <c r="X2457" s="40"/>
      <c r="Y2457" s="38"/>
      <c r="Z2457" s="38"/>
      <c r="AA2457" s="38"/>
      <c r="AB2457" s="38"/>
      <c r="AC2457" s="38"/>
      <c r="AD2457" s="38"/>
      <c r="AE2457" s="38"/>
      <c r="AF2457" s="38"/>
      <c r="AG2457" s="38"/>
      <c r="AH2457" s="38"/>
      <c r="AI2457" s="38"/>
      <c r="AJ2457" s="38"/>
      <c r="AK2457" s="38"/>
      <c r="AL2457" s="38"/>
      <c r="AM2457" s="38"/>
      <c r="AN2457" s="38"/>
      <c r="AO2457" s="38"/>
      <c r="AP2457" s="38"/>
      <c r="AQ2457" s="38"/>
      <c r="AR2457" s="38"/>
      <c r="AS2457" s="38"/>
      <c r="AT2457" s="38"/>
      <c r="AU2457" s="38"/>
      <c r="AV2457" s="38"/>
      <c r="AW2457" s="38"/>
      <c r="AX2457" s="38"/>
      <c r="AY2457" s="38"/>
      <c r="AZ2457" s="38"/>
      <c r="BA2457" s="38"/>
      <c r="BB2457" s="38"/>
      <c r="BC2457" s="38"/>
      <c r="BD2457" s="38"/>
      <c r="BE2457" s="38"/>
      <c r="BF2457" s="38"/>
      <c r="BG2457" s="38"/>
      <c r="BH2457" s="38"/>
      <c r="BI2457" s="38"/>
      <c r="BJ2457" s="38"/>
      <c r="BK2457" s="38"/>
      <c r="BL2457" s="38"/>
      <c r="BM2457" s="38"/>
      <c r="BN2457" s="38"/>
      <c r="BO2457" s="38"/>
      <c r="BP2457" s="38"/>
      <c r="BQ2457" s="38"/>
    </row>
    <row r="2458">
      <c r="A2458" s="16"/>
      <c r="B2458" s="16"/>
      <c r="C2458" s="146"/>
      <c r="D2458" s="146"/>
      <c r="E2458" s="16"/>
      <c r="F2458" s="91"/>
      <c r="G2458" s="16"/>
      <c r="H2458" s="320" t="str">
        <f t="shared" si="33"/>
        <v/>
      </c>
      <c r="I2458" s="16"/>
      <c r="J2458" s="16"/>
      <c r="K2458" s="16"/>
      <c r="L2458" s="16"/>
      <c r="M2458" s="15"/>
      <c r="N2458" s="15"/>
      <c r="O2458" s="16"/>
      <c r="P2458" s="16"/>
      <c r="Q2458" s="16"/>
      <c r="R2458" s="16"/>
      <c r="S2458" s="37" t="str">
        <f>IFERROR(__xludf.DUMMYFUNCTION("if(not(iserror(index(split(C2458, "" ""),2))), index(split(C2458, "" ""),1),"""")"),"")</f>
        <v/>
      </c>
      <c r="T2458" s="315" t="str">
        <f>IFERROR(__xludf.DUMMYFUNCTION("if(S2458="""",C2458,if(not(iserror(index(split(C2458, "" ""),3))), index(split(C2458, "" ""),3),index(split(C2458, "" ""),2)))"),"")</f>
        <v/>
      </c>
      <c r="U2458" s="38" t="b">
        <f t="shared" si="34"/>
        <v>0</v>
      </c>
      <c r="V2458" s="38"/>
      <c r="W2458" s="40"/>
      <c r="X2458" s="40"/>
      <c r="Y2458" s="38"/>
      <c r="Z2458" s="38"/>
      <c r="AA2458" s="38"/>
      <c r="AB2458" s="38"/>
      <c r="AC2458" s="38"/>
      <c r="AD2458" s="38"/>
      <c r="AE2458" s="38"/>
      <c r="AF2458" s="38"/>
      <c r="AG2458" s="38"/>
      <c r="AH2458" s="38"/>
      <c r="AI2458" s="38"/>
      <c r="AJ2458" s="38"/>
      <c r="AK2458" s="38"/>
      <c r="AL2458" s="38"/>
      <c r="AM2458" s="38"/>
      <c r="AN2458" s="38"/>
      <c r="AO2458" s="38"/>
      <c r="AP2458" s="38"/>
      <c r="AQ2458" s="38"/>
      <c r="AR2458" s="38"/>
      <c r="AS2458" s="38"/>
      <c r="AT2458" s="38"/>
      <c r="AU2458" s="38"/>
      <c r="AV2458" s="38"/>
      <c r="AW2458" s="38"/>
      <c r="AX2458" s="38"/>
      <c r="AY2458" s="38"/>
      <c r="AZ2458" s="38"/>
      <c r="BA2458" s="38"/>
      <c r="BB2458" s="38"/>
      <c r="BC2458" s="38"/>
      <c r="BD2458" s="38"/>
      <c r="BE2458" s="38"/>
      <c r="BF2458" s="38"/>
      <c r="BG2458" s="38"/>
      <c r="BH2458" s="38"/>
      <c r="BI2458" s="38"/>
      <c r="BJ2458" s="38"/>
      <c r="BK2458" s="38"/>
      <c r="BL2458" s="38"/>
      <c r="BM2458" s="38"/>
      <c r="BN2458" s="38"/>
      <c r="BO2458" s="38"/>
      <c r="BP2458" s="38"/>
      <c r="BQ2458" s="38"/>
    </row>
    <row r="2459">
      <c r="A2459" s="16"/>
      <c r="B2459" s="16"/>
      <c r="C2459" s="146"/>
      <c r="D2459" s="146"/>
      <c r="E2459" s="16"/>
      <c r="F2459" s="91"/>
      <c r="G2459" s="16"/>
      <c r="H2459" s="320" t="str">
        <f t="shared" si="33"/>
        <v/>
      </c>
      <c r="I2459" s="16"/>
      <c r="J2459" s="16"/>
      <c r="K2459" s="16"/>
      <c r="L2459" s="16"/>
      <c r="M2459" s="15"/>
      <c r="N2459" s="15"/>
      <c r="O2459" s="16"/>
      <c r="P2459" s="16"/>
      <c r="Q2459" s="16"/>
      <c r="R2459" s="16"/>
      <c r="S2459" s="37" t="str">
        <f>IFERROR(__xludf.DUMMYFUNCTION("if(not(iserror(index(split(C2459, "" ""),2))), index(split(C2459, "" ""),1),"""")"),"")</f>
        <v/>
      </c>
      <c r="T2459" s="315" t="str">
        <f>IFERROR(__xludf.DUMMYFUNCTION("if(S2459="""",C2459,if(not(iserror(index(split(C2459, "" ""),3))), index(split(C2459, "" ""),3),index(split(C2459, "" ""),2)))"),"")</f>
        <v/>
      </c>
      <c r="U2459" s="38" t="b">
        <f t="shared" si="34"/>
        <v>0</v>
      </c>
      <c r="V2459" s="38"/>
      <c r="W2459" s="40"/>
      <c r="X2459" s="40"/>
      <c r="Y2459" s="38"/>
      <c r="Z2459" s="38"/>
      <c r="AA2459" s="38"/>
      <c r="AB2459" s="38"/>
      <c r="AC2459" s="38"/>
      <c r="AD2459" s="38"/>
      <c r="AE2459" s="38"/>
      <c r="AF2459" s="38"/>
      <c r="AG2459" s="38"/>
      <c r="AH2459" s="38"/>
      <c r="AI2459" s="38"/>
      <c r="AJ2459" s="38"/>
      <c r="AK2459" s="38"/>
      <c r="AL2459" s="38"/>
      <c r="AM2459" s="38"/>
      <c r="AN2459" s="38"/>
      <c r="AO2459" s="38"/>
      <c r="AP2459" s="38"/>
      <c r="AQ2459" s="38"/>
      <c r="AR2459" s="38"/>
      <c r="AS2459" s="38"/>
      <c r="AT2459" s="38"/>
      <c r="AU2459" s="38"/>
      <c r="AV2459" s="38"/>
      <c r="AW2459" s="38"/>
      <c r="AX2459" s="38"/>
      <c r="AY2459" s="38"/>
      <c r="AZ2459" s="38"/>
      <c r="BA2459" s="38"/>
      <c r="BB2459" s="38"/>
      <c r="BC2459" s="38"/>
      <c r="BD2459" s="38"/>
      <c r="BE2459" s="38"/>
      <c r="BF2459" s="38"/>
      <c r="BG2459" s="38"/>
      <c r="BH2459" s="38"/>
      <c r="BI2459" s="38"/>
      <c r="BJ2459" s="38"/>
      <c r="BK2459" s="38"/>
      <c r="BL2459" s="38"/>
      <c r="BM2459" s="38"/>
      <c r="BN2459" s="38"/>
      <c r="BO2459" s="38"/>
      <c r="BP2459" s="38"/>
      <c r="BQ2459" s="38"/>
    </row>
    <row r="2460">
      <c r="A2460" s="16"/>
      <c r="B2460" s="16"/>
      <c r="C2460" s="146"/>
      <c r="D2460" s="146"/>
      <c r="E2460" s="16"/>
      <c r="F2460" s="91"/>
      <c r="G2460" s="16"/>
      <c r="H2460" s="320" t="str">
        <f t="shared" si="33"/>
        <v/>
      </c>
      <c r="I2460" s="16"/>
      <c r="J2460" s="16"/>
      <c r="K2460" s="16"/>
      <c r="L2460" s="16"/>
      <c r="M2460" s="15"/>
      <c r="N2460" s="15"/>
      <c r="O2460" s="16"/>
      <c r="P2460" s="16"/>
      <c r="Q2460" s="16"/>
      <c r="R2460" s="16"/>
      <c r="S2460" s="37" t="str">
        <f>IFERROR(__xludf.DUMMYFUNCTION("if(not(iserror(index(split(C2460, "" ""),2))), index(split(C2460, "" ""),1),"""")"),"")</f>
        <v/>
      </c>
      <c r="T2460" s="315" t="str">
        <f>IFERROR(__xludf.DUMMYFUNCTION("if(S2460="""",C2460,if(not(iserror(index(split(C2460, "" ""),3))), index(split(C2460, "" ""),3),index(split(C2460, "" ""),2)))"),"")</f>
        <v/>
      </c>
      <c r="U2460" s="38" t="b">
        <f t="shared" si="34"/>
        <v>0</v>
      </c>
      <c r="V2460" s="38"/>
      <c r="W2460" s="40"/>
      <c r="X2460" s="40"/>
      <c r="Y2460" s="38"/>
      <c r="Z2460" s="38"/>
      <c r="AA2460" s="38"/>
      <c r="AB2460" s="38"/>
      <c r="AC2460" s="38"/>
      <c r="AD2460" s="38"/>
      <c r="AE2460" s="38"/>
      <c r="AF2460" s="38"/>
      <c r="AG2460" s="38"/>
      <c r="AH2460" s="38"/>
      <c r="AI2460" s="38"/>
      <c r="AJ2460" s="38"/>
      <c r="AK2460" s="38"/>
      <c r="AL2460" s="38"/>
      <c r="AM2460" s="38"/>
      <c r="AN2460" s="38"/>
      <c r="AO2460" s="38"/>
      <c r="AP2460" s="38"/>
      <c r="AQ2460" s="38"/>
      <c r="AR2460" s="38"/>
      <c r="AS2460" s="38"/>
      <c r="AT2460" s="38"/>
      <c r="AU2460" s="38"/>
      <c r="AV2460" s="38"/>
      <c r="AW2460" s="38"/>
      <c r="AX2460" s="38"/>
      <c r="AY2460" s="38"/>
      <c r="AZ2460" s="38"/>
      <c r="BA2460" s="38"/>
      <c r="BB2460" s="38"/>
      <c r="BC2460" s="38"/>
      <c r="BD2460" s="38"/>
      <c r="BE2460" s="38"/>
      <c r="BF2460" s="38"/>
      <c r="BG2460" s="38"/>
      <c r="BH2460" s="38"/>
      <c r="BI2460" s="38"/>
      <c r="BJ2460" s="38"/>
      <c r="BK2460" s="38"/>
      <c r="BL2460" s="38"/>
      <c r="BM2460" s="38"/>
      <c r="BN2460" s="38"/>
      <c r="BO2460" s="38"/>
      <c r="BP2460" s="38"/>
      <c r="BQ2460" s="38"/>
    </row>
    <row r="2461">
      <c r="A2461" s="16"/>
      <c r="B2461" s="16"/>
      <c r="C2461" s="146"/>
      <c r="D2461" s="146"/>
      <c r="E2461" s="16"/>
      <c r="F2461" s="91"/>
      <c r="G2461" s="16"/>
      <c r="H2461" s="320" t="str">
        <f t="shared" si="33"/>
        <v/>
      </c>
      <c r="I2461" s="16"/>
      <c r="J2461" s="16"/>
      <c r="K2461" s="16"/>
      <c r="L2461" s="16"/>
      <c r="M2461" s="15"/>
      <c r="N2461" s="15"/>
      <c r="O2461" s="16"/>
      <c r="P2461" s="16"/>
      <c r="Q2461" s="16"/>
      <c r="R2461" s="16"/>
      <c r="S2461" s="37" t="str">
        <f>IFERROR(__xludf.DUMMYFUNCTION("if(not(iserror(index(split(C2461, "" ""),2))), index(split(C2461, "" ""),1),"""")"),"")</f>
        <v/>
      </c>
      <c r="T2461" s="315" t="str">
        <f>IFERROR(__xludf.DUMMYFUNCTION("if(S2461="""",C2461,if(not(iserror(index(split(C2461, "" ""),3))), index(split(C2461, "" ""),3),index(split(C2461, "" ""),2)))"),"")</f>
        <v/>
      </c>
      <c r="U2461" s="38" t="b">
        <f t="shared" si="34"/>
        <v>0</v>
      </c>
      <c r="V2461" s="38"/>
      <c r="W2461" s="40"/>
      <c r="X2461" s="40"/>
      <c r="Y2461" s="38"/>
      <c r="Z2461" s="38"/>
      <c r="AA2461" s="38"/>
      <c r="AB2461" s="38"/>
      <c r="AC2461" s="38"/>
      <c r="AD2461" s="38"/>
      <c r="AE2461" s="38"/>
      <c r="AF2461" s="38"/>
      <c r="AG2461" s="38"/>
      <c r="AH2461" s="38"/>
      <c r="AI2461" s="38"/>
      <c r="AJ2461" s="38"/>
      <c r="AK2461" s="38"/>
      <c r="AL2461" s="38"/>
      <c r="AM2461" s="38"/>
      <c r="AN2461" s="38"/>
      <c r="AO2461" s="38"/>
      <c r="AP2461" s="38"/>
      <c r="AQ2461" s="38"/>
      <c r="AR2461" s="38"/>
      <c r="AS2461" s="38"/>
      <c r="AT2461" s="38"/>
      <c r="AU2461" s="38"/>
      <c r="AV2461" s="38"/>
      <c r="AW2461" s="38"/>
      <c r="AX2461" s="38"/>
      <c r="AY2461" s="38"/>
      <c r="AZ2461" s="38"/>
      <c r="BA2461" s="38"/>
      <c r="BB2461" s="38"/>
      <c r="BC2461" s="38"/>
      <c r="BD2461" s="38"/>
      <c r="BE2461" s="38"/>
      <c r="BF2461" s="38"/>
      <c r="BG2461" s="38"/>
      <c r="BH2461" s="38"/>
      <c r="BI2461" s="38"/>
      <c r="BJ2461" s="38"/>
      <c r="BK2461" s="38"/>
      <c r="BL2461" s="38"/>
      <c r="BM2461" s="38"/>
      <c r="BN2461" s="38"/>
      <c r="BO2461" s="38"/>
      <c r="BP2461" s="38"/>
      <c r="BQ2461" s="38"/>
    </row>
    <row r="2462">
      <c r="A2462" s="16"/>
      <c r="B2462" s="16"/>
      <c r="C2462" s="146"/>
      <c r="D2462" s="146"/>
      <c r="E2462" s="16"/>
      <c r="F2462" s="91"/>
      <c r="G2462" s="16"/>
      <c r="H2462" s="320" t="str">
        <f t="shared" si="33"/>
        <v/>
      </c>
      <c r="I2462" s="16"/>
      <c r="J2462" s="16"/>
      <c r="K2462" s="16"/>
      <c r="L2462" s="16"/>
      <c r="M2462" s="15"/>
      <c r="N2462" s="15"/>
      <c r="O2462" s="16"/>
      <c r="P2462" s="16"/>
      <c r="Q2462" s="16"/>
      <c r="R2462" s="16"/>
      <c r="S2462" s="37" t="str">
        <f>IFERROR(__xludf.DUMMYFUNCTION("if(not(iserror(index(split(C2462, "" ""),2))), index(split(C2462, "" ""),1),"""")"),"")</f>
        <v/>
      </c>
      <c r="T2462" s="315" t="str">
        <f>IFERROR(__xludf.DUMMYFUNCTION("if(S2462="""",C2462,if(not(iserror(index(split(C2462, "" ""),3))), index(split(C2462, "" ""),3),index(split(C2462, "" ""),2)))"),"")</f>
        <v/>
      </c>
      <c r="U2462" s="38" t="b">
        <f t="shared" si="34"/>
        <v>0</v>
      </c>
      <c r="V2462" s="38"/>
      <c r="W2462" s="40"/>
      <c r="X2462" s="40"/>
      <c r="Y2462" s="38"/>
      <c r="Z2462" s="38"/>
      <c r="AA2462" s="38"/>
      <c r="AB2462" s="38"/>
      <c r="AC2462" s="38"/>
      <c r="AD2462" s="38"/>
      <c r="AE2462" s="38"/>
      <c r="AF2462" s="38"/>
      <c r="AG2462" s="38"/>
      <c r="AH2462" s="38"/>
      <c r="AI2462" s="38"/>
      <c r="AJ2462" s="38"/>
      <c r="AK2462" s="38"/>
      <c r="AL2462" s="38"/>
      <c r="AM2462" s="38"/>
      <c r="AN2462" s="38"/>
      <c r="AO2462" s="38"/>
      <c r="AP2462" s="38"/>
      <c r="AQ2462" s="38"/>
      <c r="AR2462" s="38"/>
      <c r="AS2462" s="38"/>
      <c r="AT2462" s="38"/>
      <c r="AU2462" s="38"/>
      <c r="AV2462" s="38"/>
      <c r="AW2462" s="38"/>
      <c r="AX2462" s="38"/>
      <c r="AY2462" s="38"/>
      <c r="AZ2462" s="38"/>
      <c r="BA2462" s="38"/>
      <c r="BB2462" s="38"/>
      <c r="BC2462" s="38"/>
      <c r="BD2462" s="38"/>
      <c r="BE2462" s="38"/>
      <c r="BF2462" s="38"/>
      <c r="BG2462" s="38"/>
      <c r="BH2462" s="38"/>
      <c r="BI2462" s="38"/>
      <c r="BJ2462" s="38"/>
      <c r="BK2462" s="38"/>
      <c r="BL2462" s="38"/>
      <c r="BM2462" s="38"/>
      <c r="BN2462" s="38"/>
      <c r="BO2462" s="38"/>
      <c r="BP2462" s="38"/>
      <c r="BQ2462" s="38"/>
    </row>
    <row r="2463">
      <c r="A2463" s="16"/>
      <c r="B2463" s="16"/>
      <c r="C2463" s="146"/>
      <c r="D2463" s="146"/>
      <c r="E2463" s="16"/>
      <c r="F2463" s="91"/>
      <c r="G2463" s="16"/>
      <c r="H2463" s="320" t="str">
        <f t="shared" si="33"/>
        <v/>
      </c>
      <c r="I2463" s="16"/>
      <c r="J2463" s="16"/>
      <c r="K2463" s="16"/>
      <c r="L2463" s="16"/>
      <c r="M2463" s="15"/>
      <c r="N2463" s="15"/>
      <c r="O2463" s="16"/>
      <c r="P2463" s="16"/>
      <c r="Q2463" s="16"/>
      <c r="R2463" s="16"/>
      <c r="S2463" s="37" t="str">
        <f>IFERROR(__xludf.DUMMYFUNCTION("if(not(iserror(index(split(C2463, "" ""),2))), index(split(C2463, "" ""),1),"""")"),"")</f>
        <v/>
      </c>
      <c r="T2463" s="315" t="str">
        <f>IFERROR(__xludf.DUMMYFUNCTION("if(S2463="""",C2463,if(not(iserror(index(split(C2463, "" ""),3))), index(split(C2463, "" ""),3),index(split(C2463, "" ""),2)))"),"")</f>
        <v/>
      </c>
      <c r="U2463" s="38" t="b">
        <f t="shared" si="34"/>
        <v>0</v>
      </c>
      <c r="V2463" s="38"/>
      <c r="W2463" s="40"/>
      <c r="X2463" s="40"/>
      <c r="Y2463" s="38"/>
      <c r="Z2463" s="38"/>
      <c r="AA2463" s="38"/>
      <c r="AB2463" s="38"/>
      <c r="AC2463" s="38"/>
      <c r="AD2463" s="38"/>
      <c r="AE2463" s="38"/>
      <c r="AF2463" s="38"/>
      <c r="AG2463" s="38"/>
      <c r="AH2463" s="38"/>
      <c r="AI2463" s="38"/>
      <c r="AJ2463" s="38"/>
      <c r="AK2463" s="38"/>
      <c r="AL2463" s="38"/>
      <c r="AM2463" s="38"/>
      <c r="AN2463" s="38"/>
      <c r="AO2463" s="38"/>
      <c r="AP2463" s="38"/>
      <c r="AQ2463" s="38"/>
      <c r="AR2463" s="38"/>
      <c r="AS2463" s="38"/>
      <c r="AT2463" s="38"/>
      <c r="AU2463" s="38"/>
      <c r="AV2463" s="38"/>
      <c r="AW2463" s="38"/>
      <c r="AX2463" s="38"/>
      <c r="AY2463" s="38"/>
      <c r="AZ2463" s="38"/>
      <c r="BA2463" s="38"/>
      <c r="BB2463" s="38"/>
      <c r="BC2463" s="38"/>
      <c r="BD2463" s="38"/>
      <c r="BE2463" s="38"/>
      <c r="BF2463" s="38"/>
      <c r="BG2463" s="38"/>
      <c r="BH2463" s="38"/>
      <c r="BI2463" s="38"/>
      <c r="BJ2463" s="38"/>
      <c r="BK2463" s="38"/>
      <c r="BL2463" s="38"/>
      <c r="BM2463" s="38"/>
      <c r="BN2463" s="38"/>
      <c r="BO2463" s="38"/>
      <c r="BP2463" s="38"/>
      <c r="BQ2463" s="38"/>
    </row>
    <row r="2464">
      <c r="A2464" s="16"/>
      <c r="B2464" s="16"/>
      <c r="C2464" s="146"/>
      <c r="D2464" s="146"/>
      <c r="E2464" s="16"/>
      <c r="F2464" s="91"/>
      <c r="G2464" s="16"/>
      <c r="H2464" s="320" t="str">
        <f t="shared" si="33"/>
        <v/>
      </c>
      <c r="I2464" s="16"/>
      <c r="J2464" s="16"/>
      <c r="K2464" s="16"/>
      <c r="L2464" s="16"/>
      <c r="M2464" s="15"/>
      <c r="N2464" s="15"/>
      <c r="O2464" s="16"/>
      <c r="P2464" s="16"/>
      <c r="Q2464" s="16"/>
      <c r="R2464" s="16"/>
      <c r="S2464" s="37" t="str">
        <f>IFERROR(__xludf.DUMMYFUNCTION("if(not(iserror(index(split(C2464, "" ""),2))), index(split(C2464, "" ""),1),"""")"),"")</f>
        <v/>
      </c>
      <c r="T2464" s="315" t="str">
        <f>IFERROR(__xludf.DUMMYFUNCTION("if(S2464="""",C2464,if(not(iserror(index(split(C2464, "" ""),3))), index(split(C2464, "" ""),3),index(split(C2464, "" ""),2)))"),"")</f>
        <v/>
      </c>
      <c r="U2464" s="38" t="b">
        <f t="shared" si="34"/>
        <v>0</v>
      </c>
      <c r="V2464" s="38"/>
      <c r="W2464" s="40"/>
      <c r="X2464" s="40"/>
      <c r="Y2464" s="38"/>
      <c r="Z2464" s="38"/>
      <c r="AA2464" s="38"/>
      <c r="AB2464" s="38"/>
      <c r="AC2464" s="38"/>
      <c r="AD2464" s="38"/>
      <c r="AE2464" s="38"/>
      <c r="AF2464" s="38"/>
      <c r="AG2464" s="38"/>
      <c r="AH2464" s="38"/>
      <c r="AI2464" s="38"/>
      <c r="AJ2464" s="38"/>
      <c r="AK2464" s="38"/>
      <c r="AL2464" s="38"/>
      <c r="AM2464" s="38"/>
      <c r="AN2464" s="38"/>
      <c r="AO2464" s="38"/>
      <c r="AP2464" s="38"/>
      <c r="AQ2464" s="38"/>
      <c r="AR2464" s="38"/>
      <c r="AS2464" s="38"/>
      <c r="AT2464" s="38"/>
      <c r="AU2464" s="38"/>
      <c r="AV2464" s="38"/>
      <c r="AW2464" s="38"/>
      <c r="AX2464" s="38"/>
      <c r="AY2464" s="38"/>
      <c r="AZ2464" s="38"/>
      <c r="BA2464" s="38"/>
      <c r="BB2464" s="38"/>
      <c r="BC2464" s="38"/>
      <c r="BD2464" s="38"/>
      <c r="BE2464" s="38"/>
      <c r="BF2464" s="38"/>
      <c r="BG2464" s="38"/>
      <c r="BH2464" s="38"/>
      <c r="BI2464" s="38"/>
      <c r="BJ2464" s="38"/>
      <c r="BK2464" s="38"/>
      <c r="BL2464" s="38"/>
      <c r="BM2464" s="38"/>
      <c r="BN2464" s="38"/>
      <c r="BO2464" s="38"/>
      <c r="BP2464" s="38"/>
      <c r="BQ2464" s="38"/>
    </row>
    <row r="2465">
      <c r="A2465" s="16"/>
      <c r="B2465" s="16"/>
      <c r="C2465" s="146"/>
      <c r="D2465" s="146"/>
      <c r="E2465" s="16"/>
      <c r="F2465" s="91"/>
      <c r="G2465" s="16"/>
      <c r="H2465" s="320" t="str">
        <f t="shared" si="33"/>
        <v/>
      </c>
      <c r="I2465" s="16"/>
      <c r="J2465" s="16"/>
      <c r="K2465" s="16"/>
      <c r="L2465" s="16"/>
      <c r="M2465" s="15"/>
      <c r="N2465" s="15"/>
      <c r="O2465" s="16"/>
      <c r="P2465" s="16"/>
      <c r="Q2465" s="16"/>
      <c r="R2465" s="16"/>
      <c r="S2465" s="37" t="str">
        <f>IFERROR(__xludf.DUMMYFUNCTION("if(not(iserror(index(split(C2465, "" ""),2))), index(split(C2465, "" ""),1),"""")"),"")</f>
        <v/>
      </c>
      <c r="T2465" s="315" t="str">
        <f>IFERROR(__xludf.DUMMYFUNCTION("if(S2465="""",C2465,if(not(iserror(index(split(C2465, "" ""),3))), index(split(C2465, "" ""),3),index(split(C2465, "" ""),2)))"),"")</f>
        <v/>
      </c>
      <c r="U2465" s="38" t="b">
        <f t="shared" si="34"/>
        <v>0</v>
      </c>
      <c r="V2465" s="38"/>
      <c r="W2465" s="40"/>
      <c r="X2465" s="40"/>
      <c r="Y2465" s="38"/>
      <c r="Z2465" s="38"/>
      <c r="AA2465" s="38"/>
      <c r="AB2465" s="38"/>
      <c r="AC2465" s="38"/>
      <c r="AD2465" s="38"/>
      <c r="AE2465" s="38"/>
      <c r="AF2465" s="38"/>
      <c r="AG2465" s="38"/>
      <c r="AH2465" s="38"/>
      <c r="AI2465" s="38"/>
      <c r="AJ2465" s="38"/>
      <c r="AK2465" s="38"/>
      <c r="AL2465" s="38"/>
      <c r="AM2465" s="38"/>
      <c r="AN2465" s="38"/>
      <c r="AO2465" s="38"/>
      <c r="AP2465" s="38"/>
      <c r="AQ2465" s="38"/>
      <c r="AR2465" s="38"/>
      <c r="AS2465" s="38"/>
      <c r="AT2465" s="38"/>
      <c r="AU2465" s="38"/>
      <c r="AV2465" s="38"/>
      <c r="AW2465" s="38"/>
      <c r="AX2465" s="38"/>
      <c r="AY2465" s="38"/>
      <c r="AZ2465" s="38"/>
      <c r="BA2465" s="38"/>
      <c r="BB2465" s="38"/>
      <c r="BC2465" s="38"/>
      <c r="BD2465" s="38"/>
      <c r="BE2465" s="38"/>
      <c r="BF2465" s="38"/>
      <c r="BG2465" s="38"/>
      <c r="BH2465" s="38"/>
      <c r="BI2465" s="38"/>
      <c r="BJ2465" s="38"/>
      <c r="BK2465" s="38"/>
      <c r="BL2465" s="38"/>
      <c r="BM2465" s="38"/>
      <c r="BN2465" s="38"/>
      <c r="BO2465" s="38"/>
      <c r="BP2465" s="38"/>
      <c r="BQ2465" s="38"/>
    </row>
    <row r="2466">
      <c r="A2466" s="16"/>
      <c r="B2466" s="16"/>
      <c r="C2466" s="146"/>
      <c r="D2466" s="146"/>
      <c r="E2466" s="16"/>
      <c r="F2466" s="91"/>
      <c r="G2466" s="16"/>
      <c r="H2466" s="320" t="str">
        <f t="shared" si="33"/>
        <v/>
      </c>
      <c r="I2466" s="16"/>
      <c r="J2466" s="16"/>
      <c r="K2466" s="16"/>
      <c r="L2466" s="16"/>
      <c r="M2466" s="15"/>
      <c r="N2466" s="15"/>
      <c r="O2466" s="16"/>
      <c r="P2466" s="16"/>
      <c r="Q2466" s="16"/>
      <c r="R2466" s="16"/>
      <c r="S2466" s="37" t="str">
        <f>IFERROR(__xludf.DUMMYFUNCTION("if(not(iserror(index(split(C2466, "" ""),2))), index(split(C2466, "" ""),1),"""")"),"")</f>
        <v/>
      </c>
      <c r="T2466" s="315" t="str">
        <f>IFERROR(__xludf.DUMMYFUNCTION("if(S2466="""",C2466,if(not(iserror(index(split(C2466, "" ""),3))), index(split(C2466, "" ""),3),index(split(C2466, "" ""),2)))"),"")</f>
        <v/>
      </c>
      <c r="U2466" s="38" t="b">
        <f t="shared" si="34"/>
        <v>0</v>
      </c>
      <c r="V2466" s="38"/>
      <c r="W2466" s="40"/>
      <c r="X2466" s="40"/>
      <c r="Y2466" s="38"/>
      <c r="Z2466" s="38"/>
      <c r="AA2466" s="38"/>
      <c r="AB2466" s="38"/>
      <c r="AC2466" s="38"/>
      <c r="AD2466" s="38"/>
      <c r="AE2466" s="38"/>
      <c r="AF2466" s="38"/>
      <c r="AG2466" s="38"/>
      <c r="AH2466" s="38"/>
      <c r="AI2466" s="38"/>
      <c r="AJ2466" s="38"/>
      <c r="AK2466" s="38"/>
      <c r="AL2466" s="38"/>
      <c r="AM2466" s="38"/>
      <c r="AN2466" s="38"/>
      <c r="AO2466" s="38"/>
      <c r="AP2466" s="38"/>
      <c r="AQ2466" s="38"/>
      <c r="AR2466" s="38"/>
      <c r="AS2466" s="38"/>
      <c r="AT2466" s="38"/>
      <c r="AU2466" s="38"/>
      <c r="AV2466" s="38"/>
      <c r="AW2466" s="38"/>
      <c r="AX2466" s="38"/>
      <c r="AY2466" s="38"/>
      <c r="AZ2466" s="38"/>
      <c r="BA2466" s="38"/>
      <c r="BB2466" s="38"/>
      <c r="BC2466" s="38"/>
      <c r="BD2466" s="38"/>
      <c r="BE2466" s="38"/>
      <c r="BF2466" s="38"/>
      <c r="BG2466" s="38"/>
      <c r="BH2466" s="38"/>
      <c r="BI2466" s="38"/>
      <c r="BJ2466" s="38"/>
      <c r="BK2466" s="38"/>
      <c r="BL2466" s="38"/>
      <c r="BM2466" s="38"/>
      <c r="BN2466" s="38"/>
      <c r="BO2466" s="38"/>
      <c r="BP2466" s="38"/>
      <c r="BQ2466" s="38"/>
    </row>
    <row r="2467">
      <c r="A2467" s="16"/>
      <c r="B2467" s="16"/>
      <c r="C2467" s="146"/>
      <c r="D2467" s="146"/>
      <c r="E2467" s="16"/>
      <c r="F2467" s="91"/>
      <c r="G2467" s="16"/>
      <c r="H2467" s="320" t="str">
        <f t="shared" si="33"/>
        <v/>
      </c>
      <c r="I2467" s="16"/>
      <c r="J2467" s="16"/>
      <c r="K2467" s="16"/>
      <c r="L2467" s="16"/>
      <c r="M2467" s="15"/>
      <c r="N2467" s="15"/>
      <c r="O2467" s="16"/>
      <c r="P2467" s="16"/>
      <c r="Q2467" s="16"/>
      <c r="R2467" s="16"/>
      <c r="S2467" s="37" t="str">
        <f>IFERROR(__xludf.DUMMYFUNCTION("if(not(iserror(index(split(C2467, "" ""),2))), index(split(C2467, "" ""),1),"""")"),"")</f>
        <v/>
      </c>
      <c r="T2467" s="315" t="str">
        <f>IFERROR(__xludf.DUMMYFUNCTION("if(S2467="""",C2467,if(not(iserror(index(split(C2467, "" ""),3))), index(split(C2467, "" ""),3),index(split(C2467, "" ""),2)))"),"")</f>
        <v/>
      </c>
      <c r="U2467" s="38" t="b">
        <f t="shared" si="34"/>
        <v>0</v>
      </c>
      <c r="V2467" s="38"/>
      <c r="W2467" s="40"/>
      <c r="X2467" s="40"/>
      <c r="Y2467" s="38"/>
      <c r="Z2467" s="38"/>
      <c r="AA2467" s="38"/>
      <c r="AB2467" s="38"/>
      <c r="AC2467" s="38"/>
      <c r="AD2467" s="38"/>
      <c r="AE2467" s="38"/>
      <c r="AF2467" s="38"/>
      <c r="AG2467" s="38"/>
      <c r="AH2467" s="38"/>
      <c r="AI2467" s="38"/>
      <c r="AJ2467" s="38"/>
      <c r="AK2467" s="38"/>
      <c r="AL2467" s="38"/>
      <c r="AM2467" s="38"/>
      <c r="AN2467" s="38"/>
      <c r="AO2467" s="38"/>
      <c r="AP2467" s="38"/>
      <c r="AQ2467" s="38"/>
      <c r="AR2467" s="38"/>
      <c r="AS2467" s="38"/>
      <c r="AT2467" s="38"/>
      <c r="AU2467" s="38"/>
      <c r="AV2467" s="38"/>
      <c r="AW2467" s="38"/>
      <c r="AX2467" s="38"/>
      <c r="AY2467" s="38"/>
      <c r="AZ2467" s="38"/>
      <c r="BA2467" s="38"/>
      <c r="BB2467" s="38"/>
      <c r="BC2467" s="38"/>
      <c r="BD2467" s="38"/>
      <c r="BE2467" s="38"/>
      <c r="BF2467" s="38"/>
      <c r="BG2467" s="38"/>
      <c r="BH2467" s="38"/>
      <c r="BI2467" s="38"/>
      <c r="BJ2467" s="38"/>
      <c r="BK2467" s="38"/>
      <c r="BL2467" s="38"/>
      <c r="BM2467" s="38"/>
      <c r="BN2467" s="38"/>
      <c r="BO2467" s="38"/>
      <c r="BP2467" s="38"/>
      <c r="BQ2467" s="38"/>
    </row>
    <row r="2468">
      <c r="A2468" s="16"/>
      <c r="B2468" s="16"/>
      <c r="C2468" s="146"/>
      <c r="D2468" s="146"/>
      <c r="E2468" s="16"/>
      <c r="F2468" s="91"/>
      <c r="G2468" s="16"/>
      <c r="H2468" s="320" t="str">
        <f t="shared" si="33"/>
        <v/>
      </c>
      <c r="I2468" s="16"/>
      <c r="J2468" s="16"/>
      <c r="K2468" s="16"/>
      <c r="L2468" s="16"/>
      <c r="M2468" s="15"/>
      <c r="N2468" s="15"/>
      <c r="O2468" s="16"/>
      <c r="P2468" s="16"/>
      <c r="Q2468" s="16"/>
      <c r="R2468" s="16"/>
      <c r="S2468" s="37" t="str">
        <f>IFERROR(__xludf.DUMMYFUNCTION("if(not(iserror(index(split(C2468, "" ""),2))), index(split(C2468, "" ""),1),"""")"),"")</f>
        <v/>
      </c>
      <c r="T2468" s="315" t="str">
        <f>IFERROR(__xludf.DUMMYFUNCTION("if(S2468="""",C2468,if(not(iserror(index(split(C2468, "" ""),3))), index(split(C2468, "" ""),3),index(split(C2468, "" ""),2)))"),"")</f>
        <v/>
      </c>
      <c r="U2468" s="38" t="b">
        <f t="shared" si="34"/>
        <v>0</v>
      </c>
      <c r="V2468" s="38"/>
      <c r="W2468" s="40"/>
      <c r="X2468" s="40"/>
      <c r="Y2468" s="38"/>
      <c r="Z2468" s="38"/>
      <c r="AA2468" s="38"/>
      <c r="AB2468" s="38"/>
      <c r="AC2468" s="38"/>
      <c r="AD2468" s="38"/>
      <c r="AE2468" s="38"/>
      <c r="AF2468" s="38"/>
      <c r="AG2468" s="38"/>
      <c r="AH2468" s="38"/>
      <c r="AI2468" s="38"/>
      <c r="AJ2468" s="38"/>
      <c r="AK2468" s="38"/>
      <c r="AL2468" s="38"/>
      <c r="AM2468" s="38"/>
      <c r="AN2468" s="38"/>
      <c r="AO2468" s="38"/>
      <c r="AP2468" s="38"/>
      <c r="AQ2468" s="38"/>
      <c r="AR2468" s="38"/>
      <c r="AS2468" s="38"/>
      <c r="AT2468" s="38"/>
      <c r="AU2468" s="38"/>
      <c r="AV2468" s="38"/>
      <c r="AW2468" s="38"/>
      <c r="AX2468" s="38"/>
      <c r="AY2468" s="38"/>
      <c r="AZ2468" s="38"/>
      <c r="BA2468" s="38"/>
      <c r="BB2468" s="38"/>
      <c r="BC2468" s="38"/>
      <c r="BD2468" s="38"/>
      <c r="BE2468" s="38"/>
      <c r="BF2468" s="38"/>
      <c r="BG2468" s="38"/>
      <c r="BH2468" s="38"/>
      <c r="BI2468" s="38"/>
      <c r="BJ2468" s="38"/>
      <c r="BK2468" s="38"/>
      <c r="BL2468" s="38"/>
      <c r="BM2468" s="38"/>
      <c r="BN2468" s="38"/>
      <c r="BO2468" s="38"/>
      <c r="BP2468" s="38"/>
      <c r="BQ2468" s="38"/>
    </row>
    <row r="2469">
      <c r="A2469" s="16"/>
      <c r="B2469" s="16"/>
      <c r="C2469" s="146"/>
      <c r="D2469" s="146"/>
      <c r="E2469" s="16"/>
      <c r="F2469" s="91"/>
      <c r="G2469" s="16"/>
      <c r="H2469" s="320" t="str">
        <f t="shared" si="33"/>
        <v/>
      </c>
      <c r="I2469" s="16"/>
      <c r="J2469" s="16"/>
      <c r="K2469" s="16"/>
      <c r="L2469" s="16"/>
      <c r="M2469" s="15"/>
      <c r="N2469" s="15"/>
      <c r="O2469" s="16"/>
      <c r="P2469" s="16"/>
      <c r="Q2469" s="16"/>
      <c r="R2469" s="16"/>
      <c r="S2469" s="37" t="str">
        <f>IFERROR(__xludf.DUMMYFUNCTION("if(not(iserror(index(split(C2469, "" ""),2))), index(split(C2469, "" ""),1),"""")"),"")</f>
        <v/>
      </c>
      <c r="T2469" s="315" t="str">
        <f>IFERROR(__xludf.DUMMYFUNCTION("if(S2469="""",C2469,if(not(iserror(index(split(C2469, "" ""),3))), index(split(C2469, "" ""),3),index(split(C2469, "" ""),2)))"),"")</f>
        <v/>
      </c>
      <c r="U2469" s="38" t="b">
        <f t="shared" si="34"/>
        <v>0</v>
      </c>
      <c r="V2469" s="38"/>
      <c r="W2469" s="40"/>
      <c r="X2469" s="40"/>
      <c r="Y2469" s="38"/>
      <c r="Z2469" s="38"/>
      <c r="AA2469" s="38"/>
      <c r="AB2469" s="38"/>
      <c r="AC2469" s="38"/>
      <c r="AD2469" s="38"/>
      <c r="AE2469" s="38"/>
      <c r="AF2469" s="38"/>
      <c r="AG2469" s="38"/>
      <c r="AH2469" s="38"/>
      <c r="AI2469" s="38"/>
      <c r="AJ2469" s="38"/>
      <c r="AK2469" s="38"/>
      <c r="AL2469" s="38"/>
      <c r="AM2469" s="38"/>
      <c r="AN2469" s="38"/>
      <c r="AO2469" s="38"/>
      <c r="AP2469" s="38"/>
      <c r="AQ2469" s="38"/>
      <c r="AR2469" s="38"/>
      <c r="AS2469" s="38"/>
      <c r="AT2469" s="38"/>
      <c r="AU2469" s="38"/>
      <c r="AV2469" s="38"/>
      <c r="AW2469" s="38"/>
      <c r="AX2469" s="38"/>
      <c r="AY2469" s="38"/>
      <c r="AZ2469" s="38"/>
      <c r="BA2469" s="38"/>
      <c r="BB2469" s="38"/>
      <c r="BC2469" s="38"/>
      <c r="BD2469" s="38"/>
      <c r="BE2469" s="38"/>
      <c r="BF2469" s="38"/>
      <c r="BG2469" s="38"/>
      <c r="BH2469" s="38"/>
      <c r="BI2469" s="38"/>
      <c r="BJ2469" s="38"/>
      <c r="BK2469" s="38"/>
      <c r="BL2469" s="38"/>
      <c r="BM2469" s="38"/>
      <c r="BN2469" s="38"/>
      <c r="BO2469" s="38"/>
      <c r="BP2469" s="38"/>
      <c r="BQ2469" s="38"/>
    </row>
    <row r="2470">
      <c r="A2470" s="16"/>
      <c r="B2470" s="16"/>
      <c r="C2470" s="146"/>
      <c r="D2470" s="146"/>
      <c r="E2470" s="16"/>
      <c r="F2470" s="91"/>
      <c r="G2470" s="16"/>
      <c r="H2470" s="320" t="str">
        <f t="shared" si="33"/>
        <v/>
      </c>
      <c r="I2470" s="16"/>
      <c r="J2470" s="16"/>
      <c r="K2470" s="16"/>
      <c r="L2470" s="16"/>
      <c r="M2470" s="15"/>
      <c r="N2470" s="15"/>
      <c r="O2470" s="16"/>
      <c r="P2470" s="16"/>
      <c r="Q2470" s="16"/>
      <c r="R2470" s="16"/>
      <c r="S2470" s="37" t="str">
        <f>IFERROR(__xludf.DUMMYFUNCTION("if(not(iserror(index(split(C2470, "" ""),2))), index(split(C2470, "" ""),1),"""")"),"")</f>
        <v/>
      </c>
      <c r="T2470" s="315" t="str">
        <f>IFERROR(__xludf.DUMMYFUNCTION("if(S2470="""",C2470,if(not(iserror(index(split(C2470, "" ""),3))), index(split(C2470, "" ""),3),index(split(C2470, "" ""),2)))"),"")</f>
        <v/>
      </c>
      <c r="U2470" s="38" t="b">
        <f t="shared" si="34"/>
        <v>0</v>
      </c>
      <c r="V2470" s="38"/>
      <c r="W2470" s="40"/>
      <c r="X2470" s="40"/>
      <c r="Y2470" s="38"/>
      <c r="Z2470" s="38"/>
      <c r="AA2470" s="38"/>
      <c r="AB2470" s="38"/>
      <c r="AC2470" s="38"/>
      <c r="AD2470" s="38"/>
      <c r="AE2470" s="38"/>
      <c r="AF2470" s="38"/>
      <c r="AG2470" s="38"/>
      <c r="AH2470" s="38"/>
      <c r="AI2470" s="38"/>
      <c r="AJ2470" s="38"/>
      <c r="AK2470" s="38"/>
      <c r="AL2470" s="38"/>
      <c r="AM2470" s="38"/>
      <c r="AN2470" s="38"/>
      <c r="AO2470" s="38"/>
      <c r="AP2470" s="38"/>
      <c r="AQ2470" s="38"/>
      <c r="AR2470" s="38"/>
      <c r="AS2470" s="38"/>
      <c r="AT2470" s="38"/>
      <c r="AU2470" s="38"/>
      <c r="AV2470" s="38"/>
      <c r="AW2470" s="38"/>
      <c r="AX2470" s="38"/>
      <c r="AY2470" s="38"/>
      <c r="AZ2470" s="38"/>
      <c r="BA2470" s="38"/>
      <c r="BB2470" s="38"/>
      <c r="BC2470" s="38"/>
      <c r="BD2470" s="38"/>
      <c r="BE2470" s="38"/>
      <c r="BF2470" s="38"/>
      <c r="BG2470" s="38"/>
      <c r="BH2470" s="38"/>
      <c r="BI2470" s="38"/>
      <c r="BJ2470" s="38"/>
      <c r="BK2470" s="38"/>
      <c r="BL2470" s="38"/>
      <c r="BM2470" s="38"/>
      <c r="BN2470" s="38"/>
      <c r="BO2470" s="38"/>
      <c r="BP2470" s="38"/>
      <c r="BQ2470" s="38"/>
    </row>
    <row r="2471">
      <c r="A2471" s="16"/>
      <c r="B2471" s="16"/>
      <c r="C2471" s="146"/>
      <c r="D2471" s="146"/>
      <c r="E2471" s="16"/>
      <c r="F2471" s="91"/>
      <c r="G2471" s="16"/>
      <c r="H2471" s="320" t="str">
        <f t="shared" si="33"/>
        <v/>
      </c>
      <c r="I2471" s="16"/>
      <c r="J2471" s="16"/>
      <c r="K2471" s="16"/>
      <c r="L2471" s="16"/>
      <c r="M2471" s="15"/>
      <c r="N2471" s="15"/>
      <c r="O2471" s="16"/>
      <c r="P2471" s="16"/>
      <c r="Q2471" s="16"/>
      <c r="R2471" s="16"/>
      <c r="S2471" s="37" t="str">
        <f>IFERROR(__xludf.DUMMYFUNCTION("if(not(iserror(index(split(C2471, "" ""),2))), index(split(C2471, "" ""),1),"""")"),"")</f>
        <v/>
      </c>
      <c r="T2471" s="315" t="str">
        <f>IFERROR(__xludf.DUMMYFUNCTION("if(S2471="""",C2471,if(not(iserror(index(split(C2471, "" ""),3))), index(split(C2471, "" ""),3),index(split(C2471, "" ""),2)))"),"")</f>
        <v/>
      </c>
      <c r="U2471" s="38" t="b">
        <f t="shared" si="34"/>
        <v>0</v>
      </c>
      <c r="V2471" s="38"/>
      <c r="W2471" s="40"/>
      <c r="X2471" s="40"/>
      <c r="Y2471" s="38"/>
      <c r="Z2471" s="38"/>
      <c r="AA2471" s="38"/>
      <c r="AB2471" s="38"/>
      <c r="AC2471" s="38"/>
      <c r="AD2471" s="38"/>
      <c r="AE2471" s="38"/>
      <c r="AF2471" s="38"/>
      <c r="AG2471" s="38"/>
      <c r="AH2471" s="38"/>
      <c r="AI2471" s="38"/>
      <c r="AJ2471" s="38"/>
      <c r="AK2471" s="38"/>
      <c r="AL2471" s="38"/>
      <c r="AM2471" s="38"/>
      <c r="AN2471" s="38"/>
      <c r="AO2471" s="38"/>
      <c r="AP2471" s="38"/>
      <c r="AQ2471" s="38"/>
      <c r="AR2471" s="38"/>
      <c r="AS2471" s="38"/>
      <c r="AT2471" s="38"/>
      <c r="AU2471" s="38"/>
      <c r="AV2471" s="38"/>
      <c r="AW2471" s="38"/>
      <c r="AX2471" s="38"/>
      <c r="AY2471" s="38"/>
      <c r="AZ2471" s="38"/>
      <c r="BA2471" s="38"/>
      <c r="BB2471" s="38"/>
      <c r="BC2471" s="38"/>
      <c r="BD2471" s="38"/>
      <c r="BE2471" s="38"/>
      <c r="BF2471" s="38"/>
      <c r="BG2471" s="38"/>
      <c r="BH2471" s="38"/>
      <c r="BI2471" s="38"/>
      <c r="BJ2471" s="38"/>
      <c r="BK2471" s="38"/>
      <c r="BL2471" s="38"/>
      <c r="BM2471" s="38"/>
      <c r="BN2471" s="38"/>
      <c r="BO2471" s="38"/>
      <c r="BP2471" s="38"/>
      <c r="BQ2471" s="38"/>
    </row>
    <row r="2472">
      <c r="A2472" s="16"/>
      <c r="B2472" s="16"/>
      <c r="C2472" s="146"/>
      <c r="D2472" s="146"/>
      <c r="E2472" s="16"/>
      <c r="F2472" s="91"/>
      <c r="G2472" s="16"/>
      <c r="H2472" s="320" t="str">
        <f t="shared" si="33"/>
        <v/>
      </c>
      <c r="I2472" s="16"/>
      <c r="J2472" s="16"/>
      <c r="K2472" s="16"/>
      <c r="L2472" s="16"/>
      <c r="M2472" s="15"/>
      <c r="N2472" s="15"/>
      <c r="O2472" s="16"/>
      <c r="P2472" s="16"/>
      <c r="Q2472" s="16"/>
      <c r="R2472" s="16"/>
      <c r="S2472" s="37" t="str">
        <f>IFERROR(__xludf.DUMMYFUNCTION("if(not(iserror(index(split(C2472, "" ""),2))), index(split(C2472, "" ""),1),"""")"),"")</f>
        <v/>
      </c>
      <c r="T2472" s="315" t="str">
        <f>IFERROR(__xludf.DUMMYFUNCTION("if(S2472="""",C2472,if(not(iserror(index(split(C2472, "" ""),3))), index(split(C2472, "" ""),3),index(split(C2472, "" ""),2)))"),"")</f>
        <v/>
      </c>
      <c r="U2472" s="38" t="b">
        <f t="shared" si="34"/>
        <v>0</v>
      </c>
      <c r="V2472" s="38"/>
      <c r="W2472" s="40"/>
      <c r="X2472" s="40"/>
      <c r="Y2472" s="38"/>
      <c r="Z2472" s="38"/>
      <c r="AA2472" s="38"/>
      <c r="AB2472" s="38"/>
      <c r="AC2472" s="38"/>
      <c r="AD2472" s="38"/>
      <c r="AE2472" s="38"/>
      <c r="AF2472" s="38"/>
      <c r="AG2472" s="38"/>
      <c r="AH2472" s="38"/>
      <c r="AI2472" s="38"/>
      <c r="AJ2472" s="38"/>
      <c r="AK2472" s="38"/>
      <c r="AL2472" s="38"/>
      <c r="AM2472" s="38"/>
      <c r="AN2472" s="38"/>
      <c r="AO2472" s="38"/>
      <c r="AP2472" s="38"/>
      <c r="AQ2472" s="38"/>
      <c r="AR2472" s="38"/>
      <c r="AS2472" s="38"/>
      <c r="AT2472" s="38"/>
      <c r="AU2472" s="38"/>
      <c r="AV2472" s="38"/>
      <c r="AW2472" s="38"/>
      <c r="AX2472" s="38"/>
      <c r="AY2472" s="38"/>
      <c r="AZ2472" s="38"/>
      <c r="BA2472" s="38"/>
      <c r="BB2472" s="38"/>
      <c r="BC2472" s="38"/>
      <c r="BD2472" s="38"/>
      <c r="BE2472" s="38"/>
      <c r="BF2472" s="38"/>
      <c r="BG2472" s="38"/>
      <c r="BH2472" s="38"/>
      <c r="BI2472" s="38"/>
      <c r="BJ2472" s="38"/>
      <c r="BK2472" s="38"/>
      <c r="BL2472" s="38"/>
      <c r="BM2472" s="38"/>
      <c r="BN2472" s="38"/>
      <c r="BO2472" s="38"/>
      <c r="BP2472" s="38"/>
      <c r="BQ2472" s="38"/>
    </row>
    <row r="2473">
      <c r="A2473" s="16"/>
      <c r="B2473" s="16"/>
      <c r="C2473" s="146"/>
      <c r="D2473" s="146"/>
      <c r="E2473" s="16"/>
      <c r="F2473" s="91"/>
      <c r="G2473" s="16"/>
      <c r="H2473" s="320" t="str">
        <f t="shared" si="33"/>
        <v/>
      </c>
      <c r="I2473" s="16"/>
      <c r="J2473" s="16"/>
      <c r="K2473" s="16"/>
      <c r="L2473" s="16"/>
      <c r="M2473" s="15"/>
      <c r="N2473" s="15"/>
      <c r="O2473" s="16"/>
      <c r="P2473" s="16"/>
      <c r="Q2473" s="16"/>
      <c r="R2473" s="16"/>
      <c r="S2473" s="37" t="str">
        <f>IFERROR(__xludf.DUMMYFUNCTION("if(not(iserror(index(split(C2473, "" ""),2))), index(split(C2473, "" ""),1),"""")"),"")</f>
        <v/>
      </c>
      <c r="T2473" s="315" t="str">
        <f>IFERROR(__xludf.DUMMYFUNCTION("if(S2473="""",C2473,if(not(iserror(index(split(C2473, "" ""),3))), index(split(C2473, "" ""),3),index(split(C2473, "" ""),2)))"),"")</f>
        <v/>
      </c>
      <c r="U2473" s="38" t="b">
        <f t="shared" si="34"/>
        <v>0</v>
      </c>
      <c r="V2473" s="38"/>
      <c r="W2473" s="40"/>
      <c r="X2473" s="40"/>
      <c r="Y2473" s="38"/>
      <c r="Z2473" s="38"/>
      <c r="AA2473" s="38"/>
      <c r="AB2473" s="38"/>
      <c r="AC2473" s="38"/>
      <c r="AD2473" s="38"/>
      <c r="AE2473" s="38"/>
      <c r="AF2473" s="38"/>
      <c r="AG2473" s="38"/>
      <c r="AH2473" s="38"/>
      <c r="AI2473" s="38"/>
      <c r="AJ2473" s="38"/>
      <c r="AK2473" s="38"/>
      <c r="AL2473" s="38"/>
      <c r="AM2473" s="38"/>
      <c r="AN2473" s="38"/>
      <c r="AO2473" s="38"/>
      <c r="AP2473" s="38"/>
      <c r="AQ2473" s="38"/>
      <c r="AR2473" s="38"/>
      <c r="AS2473" s="38"/>
      <c r="AT2473" s="38"/>
      <c r="AU2473" s="38"/>
      <c r="AV2473" s="38"/>
      <c r="AW2473" s="38"/>
      <c r="AX2473" s="38"/>
      <c r="AY2473" s="38"/>
      <c r="AZ2473" s="38"/>
      <c r="BA2473" s="38"/>
      <c r="BB2473" s="38"/>
      <c r="BC2473" s="38"/>
      <c r="BD2473" s="38"/>
      <c r="BE2473" s="38"/>
      <c r="BF2473" s="38"/>
      <c r="BG2473" s="38"/>
      <c r="BH2473" s="38"/>
      <c r="BI2473" s="38"/>
      <c r="BJ2473" s="38"/>
      <c r="BK2473" s="38"/>
      <c r="BL2473" s="38"/>
      <c r="BM2473" s="38"/>
      <c r="BN2473" s="38"/>
      <c r="BO2473" s="38"/>
      <c r="BP2473" s="38"/>
      <c r="BQ2473" s="38"/>
    </row>
    <row r="2474">
      <c r="A2474" s="16"/>
      <c r="B2474" s="16"/>
      <c r="C2474" s="146"/>
      <c r="D2474" s="146"/>
      <c r="E2474" s="16"/>
      <c r="F2474" s="91"/>
      <c r="G2474" s="16"/>
      <c r="H2474" s="320" t="str">
        <f t="shared" si="33"/>
        <v/>
      </c>
      <c r="I2474" s="16"/>
      <c r="J2474" s="16"/>
      <c r="K2474" s="16"/>
      <c r="L2474" s="16"/>
      <c r="M2474" s="15"/>
      <c r="N2474" s="15"/>
      <c r="O2474" s="16"/>
      <c r="P2474" s="16"/>
      <c r="Q2474" s="16"/>
      <c r="R2474" s="16"/>
      <c r="S2474" s="37" t="str">
        <f>IFERROR(__xludf.DUMMYFUNCTION("if(not(iserror(index(split(C2474, "" ""),2))), index(split(C2474, "" ""),1),"""")"),"")</f>
        <v/>
      </c>
      <c r="T2474" s="315" t="str">
        <f>IFERROR(__xludf.DUMMYFUNCTION("if(S2474="""",C2474,if(not(iserror(index(split(C2474, "" ""),3))), index(split(C2474, "" ""),3),index(split(C2474, "" ""),2)))"),"")</f>
        <v/>
      </c>
      <c r="U2474" s="38" t="b">
        <f t="shared" si="34"/>
        <v>0</v>
      </c>
      <c r="V2474" s="38"/>
      <c r="W2474" s="40"/>
      <c r="X2474" s="40"/>
      <c r="Y2474" s="38"/>
      <c r="Z2474" s="38"/>
      <c r="AA2474" s="38"/>
      <c r="AB2474" s="38"/>
      <c r="AC2474" s="38"/>
      <c r="AD2474" s="38"/>
      <c r="AE2474" s="38"/>
      <c r="AF2474" s="38"/>
      <c r="AG2474" s="38"/>
      <c r="AH2474" s="38"/>
      <c r="AI2474" s="38"/>
      <c r="AJ2474" s="38"/>
      <c r="AK2474" s="38"/>
      <c r="AL2474" s="38"/>
      <c r="AM2474" s="38"/>
      <c r="AN2474" s="38"/>
      <c r="AO2474" s="38"/>
      <c r="AP2474" s="38"/>
      <c r="AQ2474" s="38"/>
      <c r="AR2474" s="38"/>
      <c r="AS2474" s="38"/>
      <c r="AT2474" s="38"/>
      <c r="AU2474" s="38"/>
      <c r="AV2474" s="38"/>
      <c r="AW2474" s="38"/>
      <c r="AX2474" s="38"/>
      <c r="AY2474" s="38"/>
      <c r="AZ2474" s="38"/>
      <c r="BA2474" s="38"/>
      <c r="BB2474" s="38"/>
      <c r="BC2474" s="38"/>
      <c r="BD2474" s="38"/>
      <c r="BE2474" s="38"/>
      <c r="BF2474" s="38"/>
      <c r="BG2474" s="38"/>
      <c r="BH2474" s="38"/>
      <c r="BI2474" s="38"/>
      <c r="BJ2474" s="38"/>
      <c r="BK2474" s="38"/>
      <c r="BL2474" s="38"/>
      <c r="BM2474" s="38"/>
      <c r="BN2474" s="38"/>
      <c r="BO2474" s="38"/>
      <c r="BP2474" s="38"/>
      <c r="BQ2474" s="38"/>
    </row>
    <row r="2475">
      <c r="A2475" s="16"/>
      <c r="B2475" s="16"/>
      <c r="C2475" s="146"/>
      <c r="D2475" s="146"/>
      <c r="E2475" s="16"/>
      <c r="F2475" s="91"/>
      <c r="G2475" s="16"/>
      <c r="H2475" s="320" t="str">
        <f t="shared" si="33"/>
        <v/>
      </c>
      <c r="I2475" s="16"/>
      <c r="J2475" s="16"/>
      <c r="K2475" s="16"/>
      <c r="L2475" s="16"/>
      <c r="M2475" s="15"/>
      <c r="N2475" s="15"/>
      <c r="O2475" s="16"/>
      <c r="P2475" s="16"/>
      <c r="Q2475" s="16"/>
      <c r="R2475" s="16"/>
      <c r="S2475" s="37" t="str">
        <f>IFERROR(__xludf.DUMMYFUNCTION("if(not(iserror(index(split(C2475, "" ""),2))), index(split(C2475, "" ""),1),"""")"),"")</f>
        <v/>
      </c>
      <c r="T2475" s="315" t="str">
        <f>IFERROR(__xludf.DUMMYFUNCTION("if(S2475="""",C2475,if(not(iserror(index(split(C2475, "" ""),3))), index(split(C2475, "" ""),3),index(split(C2475, "" ""),2)))"),"")</f>
        <v/>
      </c>
      <c r="U2475" s="38" t="b">
        <f t="shared" si="34"/>
        <v>0</v>
      </c>
      <c r="V2475" s="38"/>
      <c r="W2475" s="40"/>
      <c r="X2475" s="40"/>
      <c r="Y2475" s="38"/>
      <c r="Z2475" s="38"/>
      <c r="AA2475" s="38"/>
      <c r="AB2475" s="38"/>
      <c r="AC2475" s="38"/>
      <c r="AD2475" s="38"/>
      <c r="AE2475" s="38"/>
      <c r="AF2475" s="38"/>
      <c r="AG2475" s="38"/>
      <c r="AH2475" s="38"/>
      <c r="AI2475" s="38"/>
      <c r="AJ2475" s="38"/>
      <c r="AK2475" s="38"/>
      <c r="AL2475" s="38"/>
      <c r="AM2475" s="38"/>
      <c r="AN2475" s="38"/>
      <c r="AO2475" s="38"/>
      <c r="AP2475" s="38"/>
      <c r="AQ2475" s="38"/>
      <c r="AR2475" s="38"/>
      <c r="AS2475" s="38"/>
      <c r="AT2475" s="38"/>
      <c r="AU2475" s="38"/>
      <c r="AV2475" s="38"/>
      <c r="AW2475" s="38"/>
      <c r="AX2475" s="38"/>
      <c r="AY2475" s="38"/>
      <c r="AZ2475" s="38"/>
      <c r="BA2475" s="38"/>
      <c r="BB2475" s="38"/>
      <c r="BC2475" s="38"/>
      <c r="BD2475" s="38"/>
      <c r="BE2475" s="38"/>
      <c r="BF2475" s="38"/>
      <c r="BG2475" s="38"/>
      <c r="BH2475" s="38"/>
      <c r="BI2475" s="38"/>
      <c r="BJ2475" s="38"/>
      <c r="BK2475" s="38"/>
      <c r="BL2475" s="38"/>
      <c r="BM2475" s="38"/>
      <c r="BN2475" s="38"/>
      <c r="BO2475" s="38"/>
      <c r="BP2475" s="38"/>
      <c r="BQ2475" s="38"/>
    </row>
    <row r="2476">
      <c r="A2476" s="16"/>
      <c r="B2476" s="16"/>
      <c r="C2476" s="146"/>
      <c r="D2476" s="146"/>
      <c r="E2476" s="16"/>
      <c r="F2476" s="91"/>
      <c r="G2476" s="16"/>
      <c r="H2476" s="320" t="str">
        <f t="shared" si="33"/>
        <v/>
      </c>
      <c r="I2476" s="16"/>
      <c r="J2476" s="16"/>
      <c r="K2476" s="16"/>
      <c r="L2476" s="16"/>
      <c r="M2476" s="15"/>
      <c r="N2476" s="15"/>
      <c r="O2476" s="16"/>
      <c r="P2476" s="16"/>
      <c r="Q2476" s="16"/>
      <c r="R2476" s="16"/>
      <c r="S2476" s="37" t="str">
        <f>IFERROR(__xludf.DUMMYFUNCTION("if(not(iserror(index(split(C2476, "" ""),2))), index(split(C2476, "" ""),1),"""")"),"")</f>
        <v/>
      </c>
      <c r="T2476" s="315" t="str">
        <f>IFERROR(__xludf.DUMMYFUNCTION("if(S2476="""",C2476,if(not(iserror(index(split(C2476, "" ""),3))), index(split(C2476, "" ""),3),index(split(C2476, "" ""),2)))"),"")</f>
        <v/>
      </c>
      <c r="U2476" s="38" t="b">
        <f t="shared" si="34"/>
        <v>0</v>
      </c>
      <c r="V2476" s="38"/>
      <c r="W2476" s="40"/>
      <c r="X2476" s="40"/>
      <c r="Y2476" s="38"/>
      <c r="Z2476" s="38"/>
      <c r="AA2476" s="38"/>
      <c r="AB2476" s="38"/>
      <c r="AC2476" s="38"/>
      <c r="AD2476" s="38"/>
      <c r="AE2476" s="38"/>
      <c r="AF2476" s="38"/>
      <c r="AG2476" s="38"/>
      <c r="AH2476" s="38"/>
      <c r="AI2476" s="38"/>
      <c r="AJ2476" s="38"/>
      <c r="AK2476" s="38"/>
      <c r="AL2476" s="38"/>
      <c r="AM2476" s="38"/>
      <c r="AN2476" s="38"/>
      <c r="AO2476" s="38"/>
      <c r="AP2476" s="38"/>
      <c r="AQ2476" s="38"/>
      <c r="AR2476" s="38"/>
      <c r="AS2476" s="38"/>
      <c r="AT2476" s="38"/>
      <c r="AU2476" s="38"/>
      <c r="AV2476" s="38"/>
      <c r="AW2476" s="38"/>
      <c r="AX2476" s="38"/>
      <c r="AY2476" s="38"/>
      <c r="AZ2476" s="38"/>
      <c r="BA2476" s="38"/>
      <c r="BB2476" s="38"/>
      <c r="BC2476" s="38"/>
      <c r="BD2476" s="38"/>
      <c r="BE2476" s="38"/>
      <c r="BF2476" s="38"/>
      <c r="BG2476" s="38"/>
      <c r="BH2476" s="38"/>
      <c r="BI2476" s="38"/>
      <c r="BJ2476" s="38"/>
      <c r="BK2476" s="38"/>
      <c r="BL2476" s="38"/>
      <c r="BM2476" s="38"/>
      <c r="BN2476" s="38"/>
      <c r="BO2476" s="38"/>
      <c r="BP2476" s="38"/>
      <c r="BQ2476" s="38"/>
    </row>
    <row r="2477">
      <c r="A2477" s="16"/>
      <c r="B2477" s="16"/>
      <c r="C2477" s="146"/>
      <c r="D2477" s="146"/>
      <c r="E2477" s="16"/>
      <c r="F2477" s="91"/>
      <c r="G2477" s="16"/>
      <c r="H2477" s="320" t="str">
        <f t="shared" si="33"/>
        <v/>
      </c>
      <c r="I2477" s="16"/>
      <c r="J2477" s="16"/>
      <c r="K2477" s="16"/>
      <c r="L2477" s="16"/>
      <c r="M2477" s="15"/>
      <c r="N2477" s="15"/>
      <c r="O2477" s="16"/>
      <c r="P2477" s="16"/>
      <c r="Q2477" s="16"/>
      <c r="R2477" s="16"/>
      <c r="S2477" s="37" t="str">
        <f>IFERROR(__xludf.DUMMYFUNCTION("if(not(iserror(index(split(C2477, "" ""),2))), index(split(C2477, "" ""),1),"""")"),"")</f>
        <v/>
      </c>
      <c r="T2477" s="315" t="str">
        <f>IFERROR(__xludf.DUMMYFUNCTION("if(S2477="""",C2477,if(not(iserror(index(split(C2477, "" ""),3))), index(split(C2477, "" ""),3),index(split(C2477, "" ""),2)))"),"")</f>
        <v/>
      </c>
      <c r="U2477" s="38" t="b">
        <f t="shared" si="34"/>
        <v>0</v>
      </c>
      <c r="V2477" s="38"/>
      <c r="W2477" s="40"/>
      <c r="X2477" s="40"/>
      <c r="Y2477" s="38"/>
      <c r="Z2477" s="38"/>
      <c r="AA2477" s="38"/>
      <c r="AB2477" s="38"/>
      <c r="AC2477" s="38"/>
      <c r="AD2477" s="38"/>
      <c r="AE2477" s="38"/>
      <c r="AF2477" s="38"/>
      <c r="AG2477" s="38"/>
      <c r="AH2477" s="38"/>
      <c r="AI2477" s="38"/>
      <c r="AJ2477" s="38"/>
      <c r="AK2477" s="38"/>
      <c r="AL2477" s="38"/>
      <c r="AM2477" s="38"/>
      <c r="AN2477" s="38"/>
      <c r="AO2477" s="38"/>
      <c r="AP2477" s="38"/>
      <c r="AQ2477" s="38"/>
      <c r="AR2477" s="38"/>
      <c r="AS2477" s="38"/>
      <c r="AT2477" s="38"/>
      <c r="AU2477" s="38"/>
      <c r="AV2477" s="38"/>
      <c r="AW2477" s="38"/>
      <c r="AX2477" s="38"/>
      <c r="AY2477" s="38"/>
      <c r="AZ2477" s="38"/>
      <c r="BA2477" s="38"/>
      <c r="BB2477" s="38"/>
      <c r="BC2477" s="38"/>
      <c r="BD2477" s="38"/>
      <c r="BE2477" s="38"/>
      <c r="BF2477" s="38"/>
      <c r="BG2477" s="38"/>
      <c r="BH2477" s="38"/>
      <c r="BI2477" s="38"/>
      <c r="BJ2477" s="38"/>
      <c r="BK2477" s="38"/>
      <c r="BL2477" s="38"/>
      <c r="BM2477" s="38"/>
      <c r="BN2477" s="38"/>
      <c r="BO2477" s="38"/>
      <c r="BP2477" s="38"/>
      <c r="BQ2477" s="38"/>
    </row>
    <row r="2478">
      <c r="A2478" s="16"/>
      <c r="B2478" s="16"/>
      <c r="C2478" s="146"/>
      <c r="D2478" s="146"/>
      <c r="E2478" s="16"/>
      <c r="F2478" s="91"/>
      <c r="G2478" s="16"/>
      <c r="H2478" s="320" t="str">
        <f t="shared" si="33"/>
        <v/>
      </c>
      <c r="I2478" s="16"/>
      <c r="J2478" s="16"/>
      <c r="K2478" s="16"/>
      <c r="L2478" s="16"/>
      <c r="M2478" s="15"/>
      <c r="N2478" s="15"/>
      <c r="O2478" s="16"/>
      <c r="P2478" s="16"/>
      <c r="Q2478" s="16"/>
      <c r="R2478" s="16"/>
      <c r="S2478" s="37" t="str">
        <f>IFERROR(__xludf.DUMMYFUNCTION("if(not(iserror(index(split(C2478, "" ""),2))), index(split(C2478, "" ""),1),"""")"),"")</f>
        <v/>
      </c>
      <c r="T2478" s="315" t="str">
        <f>IFERROR(__xludf.DUMMYFUNCTION("if(S2478="""",C2478,if(not(iserror(index(split(C2478, "" ""),3))), index(split(C2478, "" ""),3),index(split(C2478, "" ""),2)))"),"")</f>
        <v/>
      </c>
      <c r="U2478" s="38" t="b">
        <f t="shared" si="34"/>
        <v>0</v>
      </c>
      <c r="V2478" s="38"/>
      <c r="W2478" s="40"/>
      <c r="X2478" s="40"/>
      <c r="Y2478" s="38"/>
      <c r="Z2478" s="38"/>
      <c r="AA2478" s="38"/>
      <c r="AB2478" s="38"/>
      <c r="AC2478" s="38"/>
      <c r="AD2478" s="38"/>
      <c r="AE2478" s="38"/>
      <c r="AF2478" s="38"/>
      <c r="AG2478" s="38"/>
      <c r="AH2478" s="38"/>
      <c r="AI2478" s="38"/>
      <c r="AJ2478" s="38"/>
      <c r="AK2478" s="38"/>
      <c r="AL2478" s="38"/>
      <c r="AM2478" s="38"/>
      <c r="AN2478" s="38"/>
      <c r="AO2478" s="38"/>
      <c r="AP2478" s="38"/>
      <c r="AQ2478" s="38"/>
      <c r="AR2478" s="38"/>
      <c r="AS2478" s="38"/>
      <c r="AT2478" s="38"/>
      <c r="AU2478" s="38"/>
      <c r="AV2478" s="38"/>
      <c r="AW2478" s="38"/>
      <c r="AX2478" s="38"/>
      <c r="AY2478" s="38"/>
      <c r="AZ2478" s="38"/>
      <c r="BA2478" s="38"/>
      <c r="BB2478" s="38"/>
      <c r="BC2478" s="38"/>
      <c r="BD2478" s="38"/>
      <c r="BE2478" s="38"/>
      <c r="BF2478" s="38"/>
      <c r="BG2478" s="38"/>
      <c r="BH2478" s="38"/>
      <c r="BI2478" s="38"/>
      <c r="BJ2478" s="38"/>
      <c r="BK2478" s="38"/>
      <c r="BL2478" s="38"/>
      <c r="BM2478" s="38"/>
      <c r="BN2478" s="38"/>
      <c r="BO2478" s="38"/>
      <c r="BP2478" s="38"/>
      <c r="BQ2478" s="38"/>
    </row>
    <row r="2479">
      <c r="A2479" s="16"/>
      <c r="B2479" s="16"/>
      <c r="C2479" s="146"/>
      <c r="D2479" s="146"/>
      <c r="E2479" s="16"/>
      <c r="F2479" s="91"/>
      <c r="G2479" s="16"/>
      <c r="H2479" s="320" t="str">
        <f t="shared" si="33"/>
        <v/>
      </c>
      <c r="I2479" s="16"/>
      <c r="J2479" s="16"/>
      <c r="K2479" s="16"/>
      <c r="L2479" s="16"/>
      <c r="M2479" s="15"/>
      <c r="N2479" s="15"/>
      <c r="O2479" s="16"/>
      <c r="P2479" s="16"/>
      <c r="Q2479" s="16"/>
      <c r="R2479" s="16"/>
      <c r="S2479" s="37" t="str">
        <f>IFERROR(__xludf.DUMMYFUNCTION("if(not(iserror(index(split(C2479, "" ""),2))), index(split(C2479, "" ""),1),"""")"),"")</f>
        <v/>
      </c>
      <c r="T2479" s="315" t="str">
        <f>IFERROR(__xludf.DUMMYFUNCTION("if(S2479="""",C2479,if(not(iserror(index(split(C2479, "" ""),3))), index(split(C2479, "" ""),3),index(split(C2479, "" ""),2)))"),"")</f>
        <v/>
      </c>
      <c r="U2479" s="38" t="b">
        <f t="shared" si="34"/>
        <v>0</v>
      </c>
      <c r="V2479" s="38"/>
      <c r="W2479" s="40"/>
      <c r="X2479" s="40"/>
      <c r="Y2479" s="38"/>
      <c r="Z2479" s="38"/>
      <c r="AA2479" s="38"/>
      <c r="AB2479" s="38"/>
      <c r="AC2479" s="38"/>
      <c r="AD2479" s="38"/>
      <c r="AE2479" s="38"/>
      <c r="AF2479" s="38"/>
      <c r="AG2479" s="38"/>
      <c r="AH2479" s="38"/>
      <c r="AI2479" s="38"/>
      <c r="AJ2479" s="38"/>
      <c r="AK2479" s="38"/>
      <c r="AL2479" s="38"/>
      <c r="AM2479" s="38"/>
      <c r="AN2479" s="38"/>
      <c r="AO2479" s="38"/>
      <c r="AP2479" s="38"/>
      <c r="AQ2479" s="38"/>
      <c r="AR2479" s="38"/>
      <c r="AS2479" s="38"/>
      <c r="AT2479" s="38"/>
      <c r="AU2479" s="38"/>
      <c r="AV2479" s="38"/>
      <c r="AW2479" s="38"/>
      <c r="AX2479" s="38"/>
      <c r="AY2479" s="38"/>
      <c r="AZ2479" s="38"/>
      <c r="BA2479" s="38"/>
      <c r="BB2479" s="38"/>
      <c r="BC2479" s="38"/>
      <c r="BD2479" s="38"/>
      <c r="BE2479" s="38"/>
      <c r="BF2479" s="38"/>
      <c r="BG2479" s="38"/>
      <c r="BH2479" s="38"/>
      <c r="BI2479" s="38"/>
      <c r="BJ2479" s="38"/>
      <c r="BK2479" s="38"/>
      <c r="BL2479" s="38"/>
      <c r="BM2479" s="38"/>
      <c r="BN2479" s="38"/>
      <c r="BO2479" s="38"/>
      <c r="BP2479" s="38"/>
      <c r="BQ2479" s="38"/>
    </row>
    <row r="2480">
      <c r="A2480" s="16"/>
      <c r="B2480" s="16"/>
      <c r="C2480" s="146"/>
      <c r="D2480" s="146"/>
      <c r="E2480" s="16"/>
      <c r="F2480" s="91"/>
      <c r="G2480" s="16"/>
      <c r="H2480" s="320" t="str">
        <f t="shared" si="33"/>
        <v/>
      </c>
      <c r="I2480" s="16"/>
      <c r="J2480" s="16"/>
      <c r="K2480" s="16"/>
      <c r="L2480" s="16"/>
      <c r="M2480" s="15"/>
      <c r="N2480" s="15"/>
      <c r="O2480" s="16"/>
      <c r="P2480" s="16"/>
      <c r="Q2480" s="16"/>
      <c r="R2480" s="16"/>
      <c r="S2480" s="37" t="str">
        <f>IFERROR(__xludf.DUMMYFUNCTION("if(not(iserror(index(split(C2480, "" ""),2))), index(split(C2480, "" ""),1),"""")"),"")</f>
        <v/>
      </c>
      <c r="T2480" s="315" t="str">
        <f>IFERROR(__xludf.DUMMYFUNCTION("if(S2480="""",C2480,if(not(iserror(index(split(C2480, "" ""),3))), index(split(C2480, "" ""),3),index(split(C2480, "" ""),2)))"),"")</f>
        <v/>
      </c>
      <c r="U2480" s="38" t="b">
        <f t="shared" si="34"/>
        <v>0</v>
      </c>
      <c r="V2480" s="38"/>
      <c r="W2480" s="40"/>
      <c r="X2480" s="40"/>
      <c r="Y2480" s="38"/>
      <c r="Z2480" s="38"/>
      <c r="AA2480" s="38"/>
      <c r="AB2480" s="38"/>
      <c r="AC2480" s="38"/>
      <c r="AD2480" s="38"/>
      <c r="AE2480" s="38"/>
      <c r="AF2480" s="38"/>
      <c r="AG2480" s="38"/>
      <c r="AH2480" s="38"/>
      <c r="AI2480" s="38"/>
      <c r="AJ2480" s="38"/>
      <c r="AK2480" s="38"/>
      <c r="AL2480" s="38"/>
      <c r="AM2480" s="38"/>
      <c r="AN2480" s="38"/>
      <c r="AO2480" s="38"/>
      <c r="AP2480" s="38"/>
      <c r="AQ2480" s="38"/>
      <c r="AR2480" s="38"/>
      <c r="AS2480" s="38"/>
      <c r="AT2480" s="38"/>
      <c r="AU2480" s="38"/>
      <c r="AV2480" s="38"/>
      <c r="AW2480" s="38"/>
      <c r="AX2480" s="38"/>
      <c r="AY2480" s="38"/>
      <c r="AZ2480" s="38"/>
      <c r="BA2480" s="38"/>
      <c r="BB2480" s="38"/>
      <c r="BC2480" s="38"/>
      <c r="BD2480" s="38"/>
      <c r="BE2480" s="38"/>
      <c r="BF2480" s="38"/>
      <c r="BG2480" s="38"/>
      <c r="BH2480" s="38"/>
      <c r="BI2480" s="38"/>
      <c r="BJ2480" s="38"/>
      <c r="BK2480" s="38"/>
      <c r="BL2480" s="38"/>
      <c r="BM2480" s="38"/>
      <c r="BN2480" s="38"/>
      <c r="BO2480" s="38"/>
      <c r="BP2480" s="38"/>
      <c r="BQ2480" s="38"/>
    </row>
    <row r="2481">
      <c r="A2481" s="16"/>
      <c r="B2481" s="16"/>
      <c r="C2481" s="146"/>
      <c r="D2481" s="146"/>
      <c r="E2481" s="16"/>
      <c r="F2481" s="91"/>
      <c r="G2481" s="16"/>
      <c r="H2481" s="320" t="str">
        <f t="shared" si="33"/>
        <v/>
      </c>
      <c r="I2481" s="16"/>
      <c r="J2481" s="16"/>
      <c r="K2481" s="16"/>
      <c r="L2481" s="16"/>
      <c r="M2481" s="15"/>
      <c r="N2481" s="15"/>
      <c r="O2481" s="16"/>
      <c r="P2481" s="16"/>
      <c r="Q2481" s="16"/>
      <c r="R2481" s="16"/>
      <c r="S2481" s="37" t="str">
        <f>IFERROR(__xludf.DUMMYFUNCTION("if(not(iserror(index(split(C2481, "" ""),2))), index(split(C2481, "" ""),1),"""")"),"")</f>
        <v/>
      </c>
      <c r="T2481" s="315" t="str">
        <f>IFERROR(__xludf.DUMMYFUNCTION("if(S2481="""",C2481,if(not(iserror(index(split(C2481, "" ""),3))), index(split(C2481, "" ""),3),index(split(C2481, "" ""),2)))"),"")</f>
        <v/>
      </c>
      <c r="U2481" s="38" t="b">
        <f t="shared" si="34"/>
        <v>0</v>
      </c>
      <c r="V2481" s="38"/>
      <c r="W2481" s="40"/>
      <c r="X2481" s="40"/>
      <c r="Y2481" s="38"/>
      <c r="Z2481" s="38"/>
      <c r="AA2481" s="38"/>
      <c r="AB2481" s="38"/>
      <c r="AC2481" s="38"/>
      <c r="AD2481" s="38"/>
      <c r="AE2481" s="38"/>
      <c r="AF2481" s="38"/>
      <c r="AG2481" s="38"/>
      <c r="AH2481" s="38"/>
      <c r="AI2481" s="38"/>
      <c r="AJ2481" s="38"/>
      <c r="AK2481" s="38"/>
      <c r="AL2481" s="38"/>
      <c r="AM2481" s="38"/>
      <c r="AN2481" s="38"/>
      <c r="AO2481" s="38"/>
      <c r="AP2481" s="38"/>
      <c r="AQ2481" s="38"/>
      <c r="AR2481" s="38"/>
      <c r="AS2481" s="38"/>
      <c r="AT2481" s="38"/>
      <c r="AU2481" s="38"/>
      <c r="AV2481" s="38"/>
      <c r="AW2481" s="38"/>
      <c r="AX2481" s="38"/>
      <c r="AY2481" s="38"/>
      <c r="AZ2481" s="38"/>
      <c r="BA2481" s="38"/>
      <c r="BB2481" s="38"/>
      <c r="BC2481" s="38"/>
      <c r="BD2481" s="38"/>
      <c r="BE2481" s="38"/>
      <c r="BF2481" s="38"/>
      <c r="BG2481" s="38"/>
      <c r="BH2481" s="38"/>
      <c r="BI2481" s="38"/>
      <c r="BJ2481" s="38"/>
      <c r="BK2481" s="38"/>
      <c r="BL2481" s="38"/>
      <c r="BM2481" s="38"/>
      <c r="BN2481" s="38"/>
      <c r="BO2481" s="38"/>
      <c r="BP2481" s="38"/>
      <c r="BQ2481" s="38"/>
    </row>
    <row r="2482">
      <c r="A2482" s="16"/>
      <c r="B2482" s="16"/>
      <c r="C2482" s="146"/>
      <c r="D2482" s="146"/>
      <c r="E2482" s="16"/>
      <c r="F2482" s="91"/>
      <c r="G2482" s="16"/>
      <c r="H2482" s="320" t="str">
        <f t="shared" si="33"/>
        <v/>
      </c>
      <c r="I2482" s="16"/>
      <c r="J2482" s="16"/>
      <c r="K2482" s="16"/>
      <c r="L2482" s="16"/>
      <c r="M2482" s="15"/>
      <c r="N2482" s="15"/>
      <c r="O2482" s="16"/>
      <c r="P2482" s="16"/>
      <c r="Q2482" s="16"/>
      <c r="R2482" s="16"/>
      <c r="S2482" s="37" t="str">
        <f>IFERROR(__xludf.DUMMYFUNCTION("if(not(iserror(index(split(C2482, "" ""),2))), index(split(C2482, "" ""),1),"""")"),"")</f>
        <v/>
      </c>
      <c r="T2482" s="315" t="str">
        <f>IFERROR(__xludf.DUMMYFUNCTION("if(S2482="""",C2482,if(not(iserror(index(split(C2482, "" ""),3))), index(split(C2482, "" ""),3),index(split(C2482, "" ""),2)))"),"")</f>
        <v/>
      </c>
      <c r="U2482" s="38" t="b">
        <f t="shared" si="34"/>
        <v>0</v>
      </c>
      <c r="V2482" s="38"/>
      <c r="W2482" s="40"/>
      <c r="X2482" s="40"/>
      <c r="Y2482" s="38"/>
      <c r="Z2482" s="38"/>
      <c r="AA2482" s="38"/>
      <c r="AB2482" s="38"/>
      <c r="AC2482" s="38"/>
      <c r="AD2482" s="38"/>
      <c r="AE2482" s="38"/>
      <c r="AF2482" s="38"/>
      <c r="AG2482" s="38"/>
      <c r="AH2482" s="38"/>
      <c r="AI2482" s="38"/>
      <c r="AJ2482" s="38"/>
      <c r="AK2482" s="38"/>
      <c r="AL2482" s="38"/>
      <c r="AM2482" s="38"/>
      <c r="AN2482" s="38"/>
      <c r="AO2482" s="38"/>
      <c r="AP2482" s="38"/>
      <c r="AQ2482" s="38"/>
      <c r="AR2482" s="38"/>
      <c r="AS2482" s="38"/>
      <c r="AT2482" s="38"/>
      <c r="AU2482" s="38"/>
      <c r="AV2482" s="38"/>
      <c r="AW2482" s="38"/>
      <c r="AX2482" s="38"/>
      <c r="AY2482" s="38"/>
      <c r="AZ2482" s="38"/>
      <c r="BA2482" s="38"/>
      <c r="BB2482" s="38"/>
      <c r="BC2482" s="38"/>
      <c r="BD2482" s="38"/>
      <c r="BE2482" s="38"/>
      <c r="BF2482" s="38"/>
      <c r="BG2482" s="38"/>
      <c r="BH2482" s="38"/>
      <c r="BI2482" s="38"/>
      <c r="BJ2482" s="38"/>
      <c r="BK2482" s="38"/>
      <c r="BL2482" s="38"/>
      <c r="BM2482" s="38"/>
      <c r="BN2482" s="38"/>
      <c r="BO2482" s="38"/>
      <c r="BP2482" s="38"/>
      <c r="BQ2482" s="38"/>
    </row>
    <row r="2483">
      <c r="A2483" s="16"/>
      <c r="B2483" s="16"/>
      <c r="C2483" s="146"/>
      <c r="D2483" s="146"/>
      <c r="E2483" s="16"/>
      <c r="F2483" s="91"/>
      <c r="G2483" s="16"/>
      <c r="H2483" s="320" t="str">
        <f t="shared" si="33"/>
        <v/>
      </c>
      <c r="I2483" s="16"/>
      <c r="J2483" s="16"/>
      <c r="K2483" s="16"/>
      <c r="L2483" s="16"/>
      <c r="M2483" s="15"/>
      <c r="N2483" s="15"/>
      <c r="O2483" s="16"/>
      <c r="P2483" s="16"/>
      <c r="Q2483" s="16"/>
      <c r="R2483" s="16"/>
      <c r="S2483" s="37" t="str">
        <f>IFERROR(__xludf.DUMMYFUNCTION("if(not(iserror(index(split(C2483, "" ""),2))), index(split(C2483, "" ""),1),"""")"),"")</f>
        <v/>
      </c>
      <c r="T2483" s="315" t="str">
        <f>IFERROR(__xludf.DUMMYFUNCTION("if(S2483="""",C2483,if(not(iserror(index(split(C2483, "" ""),3))), index(split(C2483, "" ""),3),index(split(C2483, "" ""),2)))"),"")</f>
        <v/>
      </c>
      <c r="U2483" s="38" t="b">
        <f t="shared" si="34"/>
        <v>0</v>
      </c>
      <c r="V2483" s="38"/>
      <c r="W2483" s="40"/>
      <c r="X2483" s="40"/>
      <c r="Y2483" s="38"/>
      <c r="Z2483" s="38"/>
      <c r="AA2483" s="38"/>
      <c r="AB2483" s="38"/>
      <c r="AC2483" s="38"/>
      <c r="AD2483" s="38"/>
      <c r="AE2483" s="38"/>
      <c r="AF2483" s="38"/>
      <c r="AG2483" s="38"/>
      <c r="AH2483" s="38"/>
      <c r="AI2483" s="38"/>
      <c r="AJ2483" s="38"/>
      <c r="AK2483" s="38"/>
      <c r="AL2483" s="38"/>
      <c r="AM2483" s="38"/>
      <c r="AN2483" s="38"/>
      <c r="AO2483" s="38"/>
      <c r="AP2483" s="38"/>
      <c r="AQ2483" s="38"/>
      <c r="AR2483" s="38"/>
      <c r="AS2483" s="38"/>
      <c r="AT2483" s="38"/>
      <c r="AU2483" s="38"/>
      <c r="AV2483" s="38"/>
      <c r="AW2483" s="38"/>
      <c r="AX2483" s="38"/>
      <c r="AY2483" s="38"/>
      <c r="AZ2483" s="38"/>
      <c r="BA2483" s="38"/>
      <c r="BB2483" s="38"/>
      <c r="BC2483" s="38"/>
      <c r="BD2483" s="38"/>
      <c r="BE2483" s="38"/>
      <c r="BF2483" s="38"/>
      <c r="BG2483" s="38"/>
      <c r="BH2483" s="38"/>
      <c r="BI2483" s="38"/>
      <c r="BJ2483" s="38"/>
      <c r="BK2483" s="38"/>
      <c r="BL2483" s="38"/>
      <c r="BM2483" s="38"/>
      <c r="BN2483" s="38"/>
      <c r="BO2483" s="38"/>
      <c r="BP2483" s="38"/>
      <c r="BQ2483" s="38"/>
    </row>
    <row r="2484">
      <c r="A2484" s="16"/>
      <c r="B2484" s="16"/>
      <c r="C2484" s="146"/>
      <c r="D2484" s="146"/>
      <c r="E2484" s="16"/>
      <c r="F2484" s="91"/>
      <c r="G2484" s="16"/>
      <c r="H2484" s="320" t="str">
        <f t="shared" si="33"/>
        <v/>
      </c>
      <c r="I2484" s="16"/>
      <c r="J2484" s="16"/>
      <c r="K2484" s="16"/>
      <c r="L2484" s="16"/>
      <c r="M2484" s="15"/>
      <c r="N2484" s="15"/>
      <c r="O2484" s="16"/>
      <c r="P2484" s="16"/>
      <c r="Q2484" s="16"/>
      <c r="R2484" s="16"/>
      <c r="S2484" s="37" t="str">
        <f>IFERROR(__xludf.DUMMYFUNCTION("if(not(iserror(index(split(C2484, "" ""),2))), index(split(C2484, "" ""),1),"""")"),"")</f>
        <v/>
      </c>
      <c r="T2484" s="315" t="str">
        <f>IFERROR(__xludf.DUMMYFUNCTION("if(S2484="""",C2484,if(not(iserror(index(split(C2484, "" ""),3))), index(split(C2484, "" ""),3),index(split(C2484, "" ""),2)))"),"")</f>
        <v/>
      </c>
      <c r="U2484" s="38" t="b">
        <f t="shared" si="34"/>
        <v>0</v>
      </c>
      <c r="V2484" s="38"/>
      <c r="W2484" s="40"/>
      <c r="X2484" s="40"/>
      <c r="Y2484" s="38"/>
      <c r="Z2484" s="38"/>
      <c r="AA2484" s="38"/>
      <c r="AB2484" s="38"/>
      <c r="AC2484" s="38"/>
      <c r="AD2484" s="38"/>
      <c r="AE2484" s="38"/>
      <c r="AF2484" s="38"/>
      <c r="AG2484" s="38"/>
      <c r="AH2484" s="38"/>
      <c r="AI2484" s="38"/>
      <c r="AJ2484" s="38"/>
      <c r="AK2484" s="38"/>
      <c r="AL2484" s="38"/>
      <c r="AM2484" s="38"/>
      <c r="AN2484" s="38"/>
      <c r="AO2484" s="38"/>
      <c r="AP2484" s="38"/>
      <c r="AQ2484" s="38"/>
      <c r="AR2484" s="38"/>
      <c r="AS2484" s="38"/>
      <c r="AT2484" s="38"/>
      <c r="AU2484" s="38"/>
      <c r="AV2484" s="38"/>
      <c r="AW2484" s="38"/>
      <c r="AX2484" s="38"/>
      <c r="AY2484" s="38"/>
      <c r="AZ2484" s="38"/>
      <c r="BA2484" s="38"/>
      <c r="BB2484" s="38"/>
      <c r="BC2484" s="38"/>
      <c r="BD2484" s="38"/>
      <c r="BE2484" s="38"/>
      <c r="BF2484" s="38"/>
      <c r="BG2484" s="38"/>
      <c r="BH2484" s="38"/>
      <c r="BI2484" s="38"/>
      <c r="BJ2484" s="38"/>
      <c r="BK2484" s="38"/>
      <c r="BL2484" s="38"/>
      <c r="BM2484" s="38"/>
      <c r="BN2484" s="38"/>
      <c r="BO2484" s="38"/>
      <c r="BP2484" s="38"/>
      <c r="BQ2484" s="38"/>
    </row>
    <row r="2485">
      <c r="A2485" s="16"/>
      <c r="B2485" s="16"/>
      <c r="C2485" s="146"/>
      <c r="D2485" s="146"/>
      <c r="E2485" s="16"/>
      <c r="F2485" s="91"/>
      <c r="G2485" s="16"/>
      <c r="H2485" s="320" t="str">
        <f t="shared" si="33"/>
        <v/>
      </c>
      <c r="I2485" s="16"/>
      <c r="J2485" s="16"/>
      <c r="K2485" s="16"/>
      <c r="L2485" s="16"/>
      <c r="M2485" s="15"/>
      <c r="N2485" s="15"/>
      <c r="O2485" s="16"/>
      <c r="P2485" s="16"/>
      <c r="Q2485" s="16"/>
      <c r="R2485" s="16"/>
      <c r="S2485" s="37" t="str">
        <f>IFERROR(__xludf.DUMMYFUNCTION("if(not(iserror(index(split(C2485, "" ""),2))), index(split(C2485, "" ""),1),"""")"),"")</f>
        <v/>
      </c>
      <c r="T2485" s="315" t="str">
        <f>IFERROR(__xludf.DUMMYFUNCTION("if(S2485="""",C2485,if(not(iserror(index(split(C2485, "" ""),3))), index(split(C2485, "" ""),3),index(split(C2485, "" ""),2)))"),"")</f>
        <v/>
      </c>
      <c r="U2485" s="38" t="b">
        <f t="shared" si="34"/>
        <v>0</v>
      </c>
      <c r="V2485" s="38"/>
      <c r="W2485" s="40"/>
      <c r="X2485" s="40"/>
      <c r="Y2485" s="38"/>
      <c r="Z2485" s="38"/>
      <c r="AA2485" s="38"/>
      <c r="AB2485" s="38"/>
      <c r="AC2485" s="38"/>
      <c r="AD2485" s="38"/>
      <c r="AE2485" s="38"/>
      <c r="AF2485" s="38"/>
      <c r="AG2485" s="38"/>
      <c r="AH2485" s="38"/>
      <c r="AI2485" s="38"/>
      <c r="AJ2485" s="38"/>
      <c r="AK2485" s="38"/>
      <c r="AL2485" s="38"/>
      <c r="AM2485" s="38"/>
      <c r="AN2485" s="38"/>
      <c r="AO2485" s="38"/>
      <c r="AP2485" s="38"/>
      <c r="AQ2485" s="38"/>
      <c r="AR2485" s="38"/>
      <c r="AS2485" s="38"/>
      <c r="AT2485" s="38"/>
      <c r="AU2485" s="38"/>
      <c r="AV2485" s="38"/>
      <c r="AW2485" s="38"/>
      <c r="AX2485" s="38"/>
      <c r="AY2485" s="38"/>
      <c r="AZ2485" s="38"/>
      <c r="BA2485" s="38"/>
      <c r="BB2485" s="38"/>
      <c r="BC2485" s="38"/>
      <c r="BD2485" s="38"/>
      <c r="BE2485" s="38"/>
      <c r="BF2485" s="38"/>
      <c r="BG2485" s="38"/>
      <c r="BH2485" s="38"/>
      <c r="BI2485" s="38"/>
      <c r="BJ2485" s="38"/>
      <c r="BK2485" s="38"/>
      <c r="BL2485" s="38"/>
      <c r="BM2485" s="38"/>
      <c r="BN2485" s="38"/>
      <c r="BO2485" s="38"/>
      <c r="BP2485" s="38"/>
      <c r="BQ2485" s="38"/>
    </row>
    <row r="2486">
      <c r="A2486" s="16"/>
      <c r="B2486" s="16"/>
      <c r="C2486" s="146"/>
      <c r="D2486" s="146"/>
      <c r="E2486" s="16"/>
      <c r="F2486" s="91"/>
      <c r="G2486" s="16"/>
      <c r="H2486" s="320" t="str">
        <f t="shared" si="33"/>
        <v/>
      </c>
      <c r="I2486" s="16"/>
      <c r="J2486" s="16"/>
      <c r="K2486" s="16"/>
      <c r="L2486" s="16"/>
      <c r="M2486" s="15"/>
      <c r="N2486" s="15"/>
      <c r="O2486" s="16"/>
      <c r="P2486" s="16"/>
      <c r="Q2486" s="16"/>
      <c r="R2486" s="16"/>
      <c r="S2486" s="37" t="str">
        <f>IFERROR(__xludf.DUMMYFUNCTION("if(not(iserror(index(split(C2486, "" ""),2))), index(split(C2486, "" ""),1),"""")"),"")</f>
        <v/>
      </c>
      <c r="T2486" s="315" t="str">
        <f>IFERROR(__xludf.DUMMYFUNCTION("if(S2486="""",C2486,if(not(iserror(index(split(C2486, "" ""),3))), index(split(C2486, "" ""),3),index(split(C2486, "" ""),2)))"),"")</f>
        <v/>
      </c>
      <c r="U2486" s="38" t="b">
        <f t="shared" si="34"/>
        <v>0</v>
      </c>
      <c r="V2486" s="38"/>
      <c r="W2486" s="40"/>
      <c r="X2486" s="40"/>
      <c r="Y2486" s="38"/>
      <c r="Z2486" s="38"/>
      <c r="AA2486" s="38"/>
      <c r="AB2486" s="38"/>
      <c r="AC2486" s="38"/>
      <c r="AD2486" s="38"/>
      <c r="AE2486" s="38"/>
      <c r="AF2486" s="38"/>
      <c r="AG2486" s="38"/>
      <c r="AH2486" s="38"/>
      <c r="AI2486" s="38"/>
      <c r="AJ2486" s="38"/>
      <c r="AK2486" s="38"/>
      <c r="AL2486" s="38"/>
      <c r="AM2486" s="38"/>
      <c r="AN2486" s="38"/>
      <c r="AO2486" s="38"/>
      <c r="AP2486" s="38"/>
      <c r="AQ2486" s="38"/>
      <c r="AR2486" s="38"/>
      <c r="AS2486" s="38"/>
      <c r="AT2486" s="38"/>
      <c r="AU2486" s="38"/>
      <c r="AV2486" s="38"/>
      <c r="AW2486" s="38"/>
      <c r="AX2486" s="38"/>
      <c r="AY2486" s="38"/>
      <c r="AZ2486" s="38"/>
      <c r="BA2486" s="38"/>
      <c r="BB2486" s="38"/>
      <c r="BC2486" s="38"/>
      <c r="BD2486" s="38"/>
      <c r="BE2486" s="38"/>
      <c r="BF2486" s="38"/>
      <c r="BG2486" s="38"/>
      <c r="BH2486" s="38"/>
      <c r="BI2486" s="38"/>
      <c r="BJ2486" s="38"/>
      <c r="BK2486" s="38"/>
      <c r="BL2486" s="38"/>
      <c r="BM2486" s="38"/>
      <c r="BN2486" s="38"/>
      <c r="BO2486" s="38"/>
      <c r="BP2486" s="38"/>
      <c r="BQ2486" s="38"/>
    </row>
    <row r="2487">
      <c r="A2487" s="16"/>
      <c r="B2487" s="16"/>
      <c r="C2487" s="146"/>
      <c r="D2487" s="146"/>
      <c r="E2487" s="16"/>
      <c r="F2487" s="91"/>
      <c r="G2487" s="16"/>
      <c r="H2487" s="320" t="str">
        <f t="shared" si="33"/>
        <v/>
      </c>
      <c r="I2487" s="16"/>
      <c r="J2487" s="16"/>
      <c r="K2487" s="16"/>
      <c r="L2487" s="16"/>
      <c r="M2487" s="15"/>
      <c r="N2487" s="15"/>
      <c r="O2487" s="16"/>
      <c r="P2487" s="16"/>
      <c r="Q2487" s="16"/>
      <c r="R2487" s="16"/>
      <c r="S2487" s="37" t="str">
        <f>IFERROR(__xludf.DUMMYFUNCTION("if(not(iserror(index(split(C2487, "" ""),2))), index(split(C2487, "" ""),1),"""")"),"")</f>
        <v/>
      </c>
      <c r="T2487" s="315" t="str">
        <f>IFERROR(__xludf.DUMMYFUNCTION("if(S2487="""",C2487,if(not(iserror(index(split(C2487, "" ""),3))), index(split(C2487, "" ""),3),index(split(C2487, "" ""),2)))"),"")</f>
        <v/>
      </c>
      <c r="U2487" s="38" t="b">
        <f t="shared" si="34"/>
        <v>0</v>
      </c>
      <c r="V2487" s="38"/>
      <c r="W2487" s="40"/>
      <c r="X2487" s="40"/>
      <c r="Y2487" s="38"/>
      <c r="Z2487" s="38"/>
      <c r="AA2487" s="38"/>
      <c r="AB2487" s="38"/>
      <c r="AC2487" s="38"/>
      <c r="AD2487" s="38"/>
      <c r="AE2487" s="38"/>
      <c r="AF2487" s="38"/>
      <c r="AG2487" s="38"/>
      <c r="AH2487" s="38"/>
      <c r="AI2487" s="38"/>
      <c r="AJ2487" s="38"/>
      <c r="AK2487" s="38"/>
      <c r="AL2487" s="38"/>
      <c r="AM2487" s="38"/>
      <c r="AN2487" s="38"/>
      <c r="AO2487" s="38"/>
      <c r="AP2487" s="38"/>
      <c r="AQ2487" s="38"/>
      <c r="AR2487" s="38"/>
      <c r="AS2487" s="38"/>
      <c r="AT2487" s="38"/>
      <c r="AU2487" s="38"/>
      <c r="AV2487" s="38"/>
      <c r="AW2487" s="38"/>
      <c r="AX2487" s="38"/>
      <c r="AY2487" s="38"/>
      <c r="AZ2487" s="38"/>
      <c r="BA2487" s="38"/>
      <c r="BB2487" s="38"/>
      <c r="BC2487" s="38"/>
      <c r="BD2487" s="38"/>
      <c r="BE2487" s="38"/>
      <c r="BF2487" s="38"/>
      <c r="BG2487" s="38"/>
      <c r="BH2487" s="38"/>
      <c r="BI2487" s="38"/>
      <c r="BJ2487" s="38"/>
      <c r="BK2487" s="38"/>
      <c r="BL2487" s="38"/>
      <c r="BM2487" s="38"/>
      <c r="BN2487" s="38"/>
      <c r="BO2487" s="38"/>
      <c r="BP2487" s="38"/>
      <c r="BQ2487" s="38"/>
    </row>
    <row r="2488">
      <c r="A2488" s="16"/>
      <c r="B2488" s="16"/>
      <c r="C2488" s="146"/>
      <c r="D2488" s="146"/>
      <c r="E2488" s="16"/>
      <c r="F2488" s="91"/>
      <c r="G2488" s="16"/>
      <c r="H2488" s="320" t="str">
        <f t="shared" si="33"/>
        <v/>
      </c>
      <c r="I2488" s="16"/>
      <c r="J2488" s="16"/>
      <c r="K2488" s="16"/>
      <c r="L2488" s="16"/>
      <c r="M2488" s="15"/>
      <c r="N2488" s="15"/>
      <c r="O2488" s="16"/>
      <c r="P2488" s="16"/>
      <c r="Q2488" s="16"/>
      <c r="R2488" s="16"/>
      <c r="S2488" s="37" t="str">
        <f>IFERROR(__xludf.DUMMYFUNCTION("if(not(iserror(index(split(C2488, "" ""),2))), index(split(C2488, "" ""),1),"""")"),"")</f>
        <v/>
      </c>
      <c r="T2488" s="315" t="str">
        <f>IFERROR(__xludf.DUMMYFUNCTION("if(S2488="""",C2488,if(not(iserror(index(split(C2488, "" ""),3))), index(split(C2488, "" ""),3),index(split(C2488, "" ""),2)))"),"")</f>
        <v/>
      </c>
      <c r="U2488" s="38" t="b">
        <f t="shared" si="34"/>
        <v>0</v>
      </c>
      <c r="V2488" s="38"/>
      <c r="W2488" s="40"/>
      <c r="X2488" s="40"/>
      <c r="Y2488" s="38"/>
      <c r="Z2488" s="38"/>
      <c r="AA2488" s="38"/>
      <c r="AB2488" s="38"/>
      <c r="AC2488" s="38"/>
      <c r="AD2488" s="38"/>
      <c r="AE2488" s="38"/>
      <c r="AF2488" s="38"/>
      <c r="AG2488" s="38"/>
      <c r="AH2488" s="38"/>
      <c r="AI2488" s="38"/>
      <c r="AJ2488" s="38"/>
      <c r="AK2488" s="38"/>
      <c r="AL2488" s="38"/>
      <c r="AM2488" s="38"/>
      <c r="AN2488" s="38"/>
      <c r="AO2488" s="38"/>
      <c r="AP2488" s="38"/>
      <c r="AQ2488" s="38"/>
      <c r="AR2488" s="38"/>
      <c r="AS2488" s="38"/>
      <c r="AT2488" s="38"/>
      <c r="AU2488" s="38"/>
      <c r="AV2488" s="38"/>
      <c r="AW2488" s="38"/>
      <c r="AX2488" s="38"/>
      <c r="AY2488" s="38"/>
      <c r="AZ2488" s="38"/>
      <c r="BA2488" s="38"/>
      <c r="BB2488" s="38"/>
      <c r="BC2488" s="38"/>
      <c r="BD2488" s="38"/>
      <c r="BE2488" s="38"/>
      <c r="BF2488" s="38"/>
      <c r="BG2488" s="38"/>
      <c r="BH2488" s="38"/>
      <c r="BI2488" s="38"/>
      <c r="BJ2488" s="38"/>
      <c r="BK2488" s="38"/>
      <c r="BL2488" s="38"/>
      <c r="BM2488" s="38"/>
      <c r="BN2488" s="38"/>
      <c r="BO2488" s="38"/>
      <c r="BP2488" s="38"/>
      <c r="BQ2488" s="38"/>
    </row>
    <row r="2489">
      <c r="A2489" s="16"/>
      <c r="B2489" s="16"/>
      <c r="C2489" s="146"/>
      <c r="D2489" s="146"/>
      <c r="E2489" s="16"/>
      <c r="F2489" s="91"/>
      <c r="G2489" s="16"/>
      <c r="H2489" s="320" t="str">
        <f t="shared" si="33"/>
        <v/>
      </c>
      <c r="I2489" s="16"/>
      <c r="J2489" s="16"/>
      <c r="K2489" s="16"/>
      <c r="L2489" s="16"/>
      <c r="M2489" s="15"/>
      <c r="N2489" s="15"/>
      <c r="O2489" s="16"/>
      <c r="P2489" s="16"/>
      <c r="Q2489" s="16"/>
      <c r="R2489" s="16"/>
      <c r="S2489" s="37" t="str">
        <f>IFERROR(__xludf.DUMMYFUNCTION("if(not(iserror(index(split(C2489, "" ""),2))), index(split(C2489, "" ""),1),"""")"),"")</f>
        <v/>
      </c>
      <c r="T2489" s="315" t="str">
        <f>IFERROR(__xludf.DUMMYFUNCTION("if(S2489="""",C2489,if(not(iserror(index(split(C2489, "" ""),3))), index(split(C2489, "" ""),3),index(split(C2489, "" ""),2)))"),"")</f>
        <v/>
      </c>
      <c r="U2489" s="38" t="b">
        <f t="shared" si="34"/>
        <v>0</v>
      </c>
      <c r="V2489" s="38"/>
      <c r="W2489" s="40"/>
      <c r="X2489" s="40"/>
      <c r="Y2489" s="38"/>
      <c r="Z2489" s="38"/>
      <c r="AA2489" s="38"/>
      <c r="AB2489" s="38"/>
      <c r="AC2489" s="38"/>
      <c r="AD2489" s="38"/>
      <c r="AE2489" s="38"/>
      <c r="AF2489" s="38"/>
      <c r="AG2489" s="38"/>
      <c r="AH2489" s="38"/>
      <c r="AI2489" s="38"/>
      <c r="AJ2489" s="38"/>
      <c r="AK2489" s="38"/>
      <c r="AL2489" s="38"/>
      <c r="AM2489" s="38"/>
      <c r="AN2489" s="38"/>
      <c r="AO2489" s="38"/>
      <c r="AP2489" s="38"/>
      <c r="AQ2489" s="38"/>
      <c r="AR2489" s="38"/>
      <c r="AS2489" s="38"/>
      <c r="AT2489" s="38"/>
      <c r="AU2489" s="38"/>
      <c r="AV2489" s="38"/>
      <c r="AW2489" s="38"/>
      <c r="AX2489" s="38"/>
      <c r="AY2489" s="38"/>
      <c r="AZ2489" s="38"/>
      <c r="BA2489" s="38"/>
      <c r="BB2489" s="38"/>
      <c r="BC2489" s="38"/>
      <c r="BD2489" s="38"/>
      <c r="BE2489" s="38"/>
      <c r="BF2489" s="38"/>
      <c r="BG2489" s="38"/>
      <c r="BH2489" s="38"/>
      <c r="BI2489" s="38"/>
      <c r="BJ2489" s="38"/>
      <c r="BK2489" s="38"/>
      <c r="BL2489" s="38"/>
      <c r="BM2489" s="38"/>
      <c r="BN2489" s="38"/>
      <c r="BO2489" s="38"/>
      <c r="BP2489" s="38"/>
      <c r="BQ2489" s="38"/>
    </row>
    <row r="2490">
      <c r="A2490" s="16"/>
      <c r="B2490" s="16"/>
      <c r="C2490" s="146"/>
      <c r="D2490" s="146"/>
      <c r="E2490" s="16"/>
      <c r="F2490" s="91"/>
      <c r="G2490" s="16"/>
      <c r="H2490" s="320" t="str">
        <f t="shared" si="33"/>
        <v/>
      </c>
      <c r="I2490" s="16"/>
      <c r="J2490" s="16"/>
      <c r="K2490" s="16"/>
      <c r="L2490" s="16"/>
      <c r="M2490" s="15"/>
      <c r="N2490" s="15"/>
      <c r="O2490" s="16"/>
      <c r="P2490" s="16"/>
      <c r="Q2490" s="16"/>
      <c r="R2490" s="16"/>
      <c r="S2490" s="37" t="str">
        <f>IFERROR(__xludf.DUMMYFUNCTION("if(not(iserror(index(split(C2490, "" ""),2))), index(split(C2490, "" ""),1),"""")"),"")</f>
        <v/>
      </c>
      <c r="T2490" s="315" t="str">
        <f>IFERROR(__xludf.DUMMYFUNCTION("if(S2490="""",C2490,if(not(iserror(index(split(C2490, "" ""),3))), index(split(C2490, "" ""),3),index(split(C2490, "" ""),2)))"),"")</f>
        <v/>
      </c>
      <c r="U2490" s="38" t="b">
        <f t="shared" si="34"/>
        <v>0</v>
      </c>
      <c r="V2490" s="38"/>
      <c r="W2490" s="40"/>
      <c r="X2490" s="40"/>
      <c r="Y2490" s="38"/>
      <c r="Z2490" s="38"/>
      <c r="AA2490" s="38"/>
      <c r="AB2490" s="38"/>
      <c r="AC2490" s="38"/>
      <c r="AD2490" s="38"/>
      <c r="AE2490" s="38"/>
      <c r="AF2490" s="38"/>
      <c r="AG2490" s="38"/>
      <c r="AH2490" s="38"/>
      <c r="AI2490" s="38"/>
      <c r="AJ2490" s="38"/>
      <c r="AK2490" s="38"/>
      <c r="AL2490" s="38"/>
      <c r="AM2490" s="38"/>
      <c r="AN2490" s="38"/>
      <c r="AO2490" s="38"/>
      <c r="AP2490" s="38"/>
      <c r="AQ2490" s="38"/>
      <c r="AR2490" s="38"/>
      <c r="AS2490" s="38"/>
      <c r="AT2490" s="38"/>
      <c r="AU2490" s="38"/>
      <c r="AV2490" s="38"/>
      <c r="AW2490" s="38"/>
      <c r="AX2490" s="38"/>
      <c r="AY2490" s="38"/>
      <c r="AZ2490" s="38"/>
      <c r="BA2490" s="38"/>
      <c r="BB2490" s="38"/>
      <c r="BC2490" s="38"/>
      <c r="BD2490" s="38"/>
      <c r="BE2490" s="38"/>
      <c r="BF2490" s="38"/>
      <c r="BG2490" s="38"/>
      <c r="BH2490" s="38"/>
      <c r="BI2490" s="38"/>
      <c r="BJ2490" s="38"/>
      <c r="BK2490" s="38"/>
      <c r="BL2490" s="38"/>
      <c r="BM2490" s="38"/>
      <c r="BN2490" s="38"/>
      <c r="BO2490" s="38"/>
      <c r="BP2490" s="38"/>
      <c r="BQ2490" s="38"/>
    </row>
    <row r="2491">
      <c r="A2491" s="16"/>
      <c r="B2491" s="16"/>
      <c r="C2491" s="146"/>
      <c r="D2491" s="146"/>
      <c r="E2491" s="16"/>
      <c r="F2491" s="91"/>
      <c r="G2491" s="16"/>
      <c r="H2491" s="320" t="str">
        <f t="shared" si="33"/>
        <v/>
      </c>
      <c r="I2491" s="16"/>
      <c r="J2491" s="16"/>
      <c r="K2491" s="16"/>
      <c r="L2491" s="16"/>
      <c r="M2491" s="15"/>
      <c r="N2491" s="15"/>
      <c r="O2491" s="16"/>
      <c r="P2491" s="16"/>
      <c r="Q2491" s="16"/>
      <c r="R2491" s="16"/>
      <c r="S2491" s="37" t="str">
        <f>IFERROR(__xludf.DUMMYFUNCTION("if(not(iserror(index(split(C2491, "" ""),2))), index(split(C2491, "" ""),1),"""")"),"")</f>
        <v/>
      </c>
      <c r="T2491" s="315" t="str">
        <f>IFERROR(__xludf.DUMMYFUNCTION("if(S2491="""",C2491,if(not(iserror(index(split(C2491, "" ""),3))), index(split(C2491, "" ""),3),index(split(C2491, "" ""),2)))"),"")</f>
        <v/>
      </c>
      <c r="U2491" s="38" t="b">
        <f t="shared" si="34"/>
        <v>0</v>
      </c>
      <c r="V2491" s="38"/>
      <c r="W2491" s="40"/>
      <c r="X2491" s="40"/>
      <c r="Y2491" s="38"/>
      <c r="Z2491" s="38"/>
      <c r="AA2491" s="38"/>
      <c r="AB2491" s="38"/>
      <c r="AC2491" s="38"/>
      <c r="AD2491" s="38"/>
      <c r="AE2491" s="38"/>
      <c r="AF2491" s="38"/>
      <c r="AG2491" s="38"/>
      <c r="AH2491" s="38"/>
      <c r="AI2491" s="38"/>
      <c r="AJ2491" s="38"/>
      <c r="AK2491" s="38"/>
      <c r="AL2491" s="38"/>
      <c r="AM2491" s="38"/>
      <c r="AN2491" s="38"/>
      <c r="AO2491" s="38"/>
      <c r="AP2491" s="38"/>
      <c r="AQ2491" s="38"/>
      <c r="AR2491" s="38"/>
      <c r="AS2491" s="38"/>
      <c r="AT2491" s="38"/>
      <c r="AU2491" s="38"/>
      <c r="AV2491" s="38"/>
      <c r="AW2491" s="38"/>
      <c r="AX2491" s="38"/>
      <c r="AY2491" s="38"/>
      <c r="AZ2491" s="38"/>
      <c r="BA2491" s="38"/>
      <c r="BB2491" s="38"/>
      <c r="BC2491" s="38"/>
      <c r="BD2491" s="38"/>
      <c r="BE2491" s="38"/>
      <c r="BF2491" s="38"/>
      <c r="BG2491" s="38"/>
      <c r="BH2491" s="38"/>
      <c r="BI2491" s="38"/>
      <c r="BJ2491" s="38"/>
      <c r="BK2491" s="38"/>
      <c r="BL2491" s="38"/>
      <c r="BM2491" s="38"/>
      <c r="BN2491" s="38"/>
      <c r="BO2491" s="38"/>
      <c r="BP2491" s="38"/>
      <c r="BQ2491" s="38"/>
    </row>
    <row r="2492">
      <c r="A2492" s="16"/>
      <c r="B2492" s="16"/>
      <c r="C2492" s="146"/>
      <c r="D2492" s="146"/>
      <c r="E2492" s="16"/>
      <c r="F2492" s="91"/>
      <c r="G2492" s="16"/>
      <c r="H2492" s="320" t="str">
        <f t="shared" si="33"/>
        <v/>
      </c>
      <c r="I2492" s="16"/>
      <c r="J2492" s="16"/>
      <c r="K2492" s="16"/>
      <c r="L2492" s="16"/>
      <c r="M2492" s="15"/>
      <c r="N2492" s="15"/>
      <c r="O2492" s="16"/>
      <c r="P2492" s="16"/>
      <c r="Q2492" s="16"/>
      <c r="R2492" s="16"/>
      <c r="S2492" s="37" t="str">
        <f>IFERROR(__xludf.DUMMYFUNCTION("if(not(iserror(index(split(C2492, "" ""),2))), index(split(C2492, "" ""),1),"""")"),"")</f>
        <v/>
      </c>
      <c r="T2492" s="315" t="str">
        <f>IFERROR(__xludf.DUMMYFUNCTION("if(S2492="""",C2492,if(not(iserror(index(split(C2492, "" ""),3))), index(split(C2492, "" ""),3),index(split(C2492, "" ""),2)))"),"")</f>
        <v/>
      </c>
      <c r="U2492" s="38" t="b">
        <f t="shared" si="34"/>
        <v>0</v>
      </c>
      <c r="V2492" s="38"/>
      <c r="W2492" s="40"/>
      <c r="X2492" s="40"/>
      <c r="Y2492" s="38"/>
      <c r="Z2492" s="38"/>
      <c r="AA2492" s="38"/>
      <c r="AB2492" s="38"/>
      <c r="AC2492" s="38"/>
      <c r="AD2492" s="38"/>
      <c r="AE2492" s="38"/>
      <c r="AF2492" s="38"/>
      <c r="AG2492" s="38"/>
      <c r="AH2492" s="38"/>
      <c r="AI2492" s="38"/>
      <c r="AJ2492" s="38"/>
      <c r="AK2492" s="38"/>
      <c r="AL2492" s="38"/>
      <c r="AM2492" s="38"/>
      <c r="AN2492" s="38"/>
      <c r="AO2492" s="38"/>
      <c r="AP2492" s="38"/>
      <c r="AQ2492" s="38"/>
      <c r="AR2492" s="38"/>
      <c r="AS2492" s="38"/>
      <c r="AT2492" s="38"/>
      <c r="AU2492" s="38"/>
      <c r="AV2492" s="38"/>
      <c r="AW2492" s="38"/>
      <c r="AX2492" s="38"/>
      <c r="AY2492" s="38"/>
      <c r="AZ2492" s="38"/>
      <c r="BA2492" s="38"/>
      <c r="BB2492" s="38"/>
      <c r="BC2492" s="38"/>
      <c r="BD2492" s="38"/>
      <c r="BE2492" s="38"/>
      <c r="BF2492" s="38"/>
      <c r="BG2492" s="38"/>
      <c r="BH2492" s="38"/>
      <c r="BI2492" s="38"/>
      <c r="BJ2492" s="38"/>
      <c r="BK2492" s="38"/>
      <c r="BL2492" s="38"/>
      <c r="BM2492" s="38"/>
      <c r="BN2492" s="38"/>
      <c r="BO2492" s="38"/>
      <c r="BP2492" s="38"/>
      <c r="BQ2492" s="38"/>
    </row>
    <row r="2493">
      <c r="A2493" s="16"/>
      <c r="B2493" s="16"/>
      <c r="C2493" s="146"/>
      <c r="D2493" s="146"/>
      <c r="E2493" s="16"/>
      <c r="F2493" s="91"/>
      <c r="G2493" s="16"/>
      <c r="H2493" s="320" t="str">
        <f t="shared" si="33"/>
        <v/>
      </c>
      <c r="I2493" s="16"/>
      <c r="J2493" s="16"/>
      <c r="K2493" s="16"/>
      <c r="L2493" s="16"/>
      <c r="M2493" s="15"/>
      <c r="N2493" s="15"/>
      <c r="O2493" s="16"/>
      <c r="P2493" s="16"/>
      <c r="Q2493" s="16"/>
      <c r="R2493" s="16"/>
      <c r="S2493" s="37" t="str">
        <f>IFERROR(__xludf.DUMMYFUNCTION("if(not(iserror(index(split(C2493, "" ""),2))), index(split(C2493, "" ""),1),"""")"),"")</f>
        <v/>
      </c>
      <c r="T2493" s="315" t="str">
        <f>IFERROR(__xludf.DUMMYFUNCTION("if(S2493="""",C2493,if(not(iserror(index(split(C2493, "" ""),3))), index(split(C2493, "" ""),3),index(split(C2493, "" ""),2)))"),"")</f>
        <v/>
      </c>
      <c r="U2493" s="38" t="b">
        <f t="shared" si="34"/>
        <v>0</v>
      </c>
      <c r="V2493" s="38"/>
      <c r="W2493" s="40"/>
      <c r="X2493" s="40"/>
      <c r="Y2493" s="38"/>
      <c r="Z2493" s="38"/>
      <c r="AA2493" s="38"/>
      <c r="AB2493" s="38"/>
      <c r="AC2493" s="38"/>
      <c r="AD2493" s="38"/>
      <c r="AE2493" s="38"/>
      <c r="AF2493" s="38"/>
      <c r="AG2493" s="38"/>
      <c r="AH2493" s="38"/>
      <c r="AI2493" s="38"/>
      <c r="AJ2493" s="38"/>
      <c r="AK2493" s="38"/>
      <c r="AL2493" s="38"/>
      <c r="AM2493" s="38"/>
      <c r="AN2493" s="38"/>
      <c r="AO2493" s="38"/>
      <c r="AP2493" s="38"/>
      <c r="AQ2493" s="38"/>
      <c r="AR2493" s="38"/>
      <c r="AS2493" s="38"/>
      <c r="AT2493" s="38"/>
      <c r="AU2493" s="38"/>
      <c r="AV2493" s="38"/>
      <c r="AW2493" s="38"/>
      <c r="AX2493" s="38"/>
      <c r="AY2493" s="38"/>
      <c r="AZ2493" s="38"/>
      <c r="BA2493" s="38"/>
      <c r="BB2493" s="38"/>
      <c r="BC2493" s="38"/>
      <c r="BD2493" s="38"/>
      <c r="BE2493" s="38"/>
      <c r="BF2493" s="38"/>
      <c r="BG2493" s="38"/>
      <c r="BH2493" s="38"/>
      <c r="BI2493" s="38"/>
      <c r="BJ2493" s="38"/>
      <c r="BK2493" s="38"/>
      <c r="BL2493" s="38"/>
      <c r="BM2493" s="38"/>
      <c r="BN2493" s="38"/>
      <c r="BO2493" s="38"/>
      <c r="BP2493" s="38"/>
      <c r="BQ2493" s="38"/>
    </row>
    <row r="2494">
      <c r="A2494" s="16"/>
      <c r="B2494" s="16"/>
      <c r="C2494" s="146"/>
      <c r="D2494" s="146"/>
      <c r="E2494" s="16"/>
      <c r="F2494" s="91"/>
      <c r="G2494" s="16"/>
      <c r="H2494" s="320" t="str">
        <f t="shared" si="33"/>
        <v/>
      </c>
      <c r="I2494" s="16"/>
      <c r="J2494" s="16"/>
      <c r="K2494" s="16"/>
      <c r="L2494" s="16"/>
      <c r="M2494" s="15"/>
      <c r="N2494" s="15"/>
      <c r="O2494" s="16"/>
      <c r="P2494" s="16"/>
      <c r="Q2494" s="16"/>
      <c r="R2494" s="16"/>
      <c r="S2494" s="37" t="str">
        <f>IFERROR(__xludf.DUMMYFUNCTION("if(not(iserror(index(split(C2494, "" ""),2))), index(split(C2494, "" ""),1),"""")"),"")</f>
        <v/>
      </c>
      <c r="T2494" s="315" t="str">
        <f>IFERROR(__xludf.DUMMYFUNCTION("if(S2494="""",C2494,if(not(iserror(index(split(C2494, "" ""),3))), index(split(C2494, "" ""),3),index(split(C2494, "" ""),2)))"),"")</f>
        <v/>
      </c>
      <c r="U2494" s="38" t="b">
        <f t="shared" si="34"/>
        <v>0</v>
      </c>
      <c r="V2494" s="38"/>
      <c r="W2494" s="40"/>
      <c r="X2494" s="40"/>
      <c r="Y2494" s="38"/>
      <c r="Z2494" s="38"/>
      <c r="AA2494" s="38"/>
      <c r="AB2494" s="38"/>
      <c r="AC2494" s="38"/>
      <c r="AD2494" s="38"/>
      <c r="AE2494" s="38"/>
      <c r="AF2494" s="38"/>
      <c r="AG2494" s="38"/>
      <c r="AH2494" s="38"/>
      <c r="AI2494" s="38"/>
      <c r="AJ2494" s="38"/>
      <c r="AK2494" s="38"/>
      <c r="AL2494" s="38"/>
      <c r="AM2494" s="38"/>
      <c r="AN2494" s="38"/>
      <c r="AO2494" s="38"/>
      <c r="AP2494" s="38"/>
      <c r="AQ2494" s="38"/>
      <c r="AR2494" s="38"/>
      <c r="AS2494" s="38"/>
      <c r="AT2494" s="38"/>
      <c r="AU2494" s="38"/>
      <c r="AV2494" s="38"/>
      <c r="AW2494" s="38"/>
      <c r="AX2494" s="38"/>
      <c r="AY2494" s="38"/>
      <c r="AZ2494" s="38"/>
      <c r="BA2494" s="38"/>
      <c r="BB2494" s="38"/>
      <c r="BC2494" s="38"/>
      <c r="BD2494" s="38"/>
      <c r="BE2494" s="38"/>
      <c r="BF2494" s="38"/>
      <c r="BG2494" s="38"/>
      <c r="BH2494" s="38"/>
      <c r="BI2494" s="38"/>
      <c r="BJ2494" s="38"/>
      <c r="BK2494" s="38"/>
      <c r="BL2494" s="38"/>
      <c r="BM2494" s="38"/>
      <c r="BN2494" s="38"/>
      <c r="BO2494" s="38"/>
      <c r="BP2494" s="38"/>
      <c r="BQ2494" s="38"/>
    </row>
    <row r="2495">
      <c r="A2495" s="16"/>
      <c r="B2495" s="16"/>
      <c r="C2495" s="146"/>
      <c r="D2495" s="146"/>
      <c r="E2495" s="16"/>
      <c r="F2495" s="91"/>
      <c r="G2495" s="16"/>
      <c r="H2495" s="320" t="str">
        <f t="shared" si="33"/>
        <v/>
      </c>
      <c r="I2495" s="16"/>
      <c r="J2495" s="16"/>
      <c r="K2495" s="16"/>
      <c r="L2495" s="16"/>
      <c r="M2495" s="15"/>
      <c r="N2495" s="15"/>
      <c r="O2495" s="16"/>
      <c r="P2495" s="16"/>
      <c r="Q2495" s="16"/>
      <c r="R2495" s="16"/>
      <c r="S2495" s="37" t="str">
        <f>IFERROR(__xludf.DUMMYFUNCTION("if(not(iserror(index(split(C2495, "" ""),2))), index(split(C2495, "" ""),1),"""")"),"")</f>
        <v/>
      </c>
      <c r="T2495" s="315" t="str">
        <f>IFERROR(__xludf.DUMMYFUNCTION("if(S2495="""",C2495,if(not(iserror(index(split(C2495, "" ""),3))), index(split(C2495, "" ""),3),index(split(C2495, "" ""),2)))"),"")</f>
        <v/>
      </c>
      <c r="U2495" s="38" t="b">
        <f t="shared" si="34"/>
        <v>0</v>
      </c>
      <c r="V2495" s="38"/>
      <c r="W2495" s="40"/>
      <c r="X2495" s="40"/>
      <c r="Y2495" s="38"/>
      <c r="Z2495" s="38"/>
      <c r="AA2495" s="38"/>
      <c r="AB2495" s="38"/>
      <c r="AC2495" s="38"/>
      <c r="AD2495" s="38"/>
      <c r="AE2495" s="38"/>
      <c r="AF2495" s="38"/>
      <c r="AG2495" s="38"/>
      <c r="AH2495" s="38"/>
      <c r="AI2495" s="38"/>
      <c r="AJ2495" s="38"/>
      <c r="AK2495" s="38"/>
      <c r="AL2495" s="38"/>
      <c r="AM2495" s="38"/>
      <c r="AN2495" s="38"/>
      <c r="AO2495" s="38"/>
      <c r="AP2495" s="38"/>
      <c r="AQ2495" s="38"/>
      <c r="AR2495" s="38"/>
      <c r="AS2495" s="38"/>
      <c r="AT2495" s="38"/>
      <c r="AU2495" s="38"/>
      <c r="AV2495" s="38"/>
      <c r="AW2495" s="38"/>
      <c r="AX2495" s="38"/>
      <c r="AY2495" s="38"/>
      <c r="AZ2495" s="38"/>
      <c r="BA2495" s="38"/>
      <c r="BB2495" s="38"/>
      <c r="BC2495" s="38"/>
      <c r="BD2495" s="38"/>
      <c r="BE2495" s="38"/>
      <c r="BF2495" s="38"/>
      <c r="BG2495" s="38"/>
      <c r="BH2495" s="38"/>
      <c r="BI2495" s="38"/>
      <c r="BJ2495" s="38"/>
      <c r="BK2495" s="38"/>
      <c r="BL2495" s="38"/>
      <c r="BM2495" s="38"/>
      <c r="BN2495" s="38"/>
      <c r="BO2495" s="38"/>
      <c r="BP2495" s="38"/>
      <c r="BQ2495" s="38"/>
    </row>
    <row r="2496">
      <c r="A2496" s="16"/>
      <c r="B2496" s="16"/>
      <c r="C2496" s="146"/>
      <c r="D2496" s="146"/>
      <c r="E2496" s="16"/>
      <c r="F2496" s="91"/>
      <c r="G2496" s="16"/>
      <c r="H2496" s="320" t="str">
        <f t="shared" si="33"/>
        <v/>
      </c>
      <c r="I2496" s="16"/>
      <c r="J2496" s="16"/>
      <c r="K2496" s="16"/>
      <c r="L2496" s="16"/>
      <c r="M2496" s="15"/>
      <c r="N2496" s="15"/>
      <c r="O2496" s="16"/>
      <c r="P2496" s="16"/>
      <c r="Q2496" s="16"/>
      <c r="R2496" s="16"/>
      <c r="S2496" s="37" t="str">
        <f>IFERROR(__xludf.DUMMYFUNCTION("if(not(iserror(index(split(C2496, "" ""),2))), index(split(C2496, "" ""),1),"""")"),"")</f>
        <v/>
      </c>
      <c r="T2496" s="315" t="str">
        <f>IFERROR(__xludf.DUMMYFUNCTION("if(S2496="""",C2496,if(not(iserror(index(split(C2496, "" ""),3))), index(split(C2496, "" ""),3),index(split(C2496, "" ""),2)))"),"")</f>
        <v/>
      </c>
      <c r="U2496" s="38" t="b">
        <f t="shared" si="34"/>
        <v>0</v>
      </c>
      <c r="V2496" s="38"/>
      <c r="W2496" s="40"/>
      <c r="X2496" s="40"/>
      <c r="Y2496" s="38"/>
      <c r="Z2496" s="38"/>
      <c r="AA2496" s="38"/>
      <c r="AB2496" s="38"/>
      <c r="AC2496" s="38"/>
      <c r="AD2496" s="38"/>
      <c r="AE2496" s="38"/>
      <c r="AF2496" s="38"/>
      <c r="AG2496" s="38"/>
      <c r="AH2496" s="38"/>
      <c r="AI2496" s="38"/>
      <c r="AJ2496" s="38"/>
      <c r="AK2496" s="38"/>
      <c r="AL2496" s="38"/>
      <c r="AM2496" s="38"/>
      <c r="AN2496" s="38"/>
      <c r="AO2496" s="38"/>
      <c r="AP2496" s="38"/>
      <c r="AQ2496" s="38"/>
      <c r="AR2496" s="38"/>
      <c r="AS2496" s="38"/>
      <c r="AT2496" s="38"/>
      <c r="AU2496" s="38"/>
      <c r="AV2496" s="38"/>
      <c r="AW2496" s="38"/>
      <c r="AX2496" s="38"/>
      <c r="AY2496" s="38"/>
      <c r="AZ2496" s="38"/>
      <c r="BA2496" s="38"/>
      <c r="BB2496" s="38"/>
      <c r="BC2496" s="38"/>
      <c r="BD2496" s="38"/>
      <c r="BE2496" s="38"/>
      <c r="BF2496" s="38"/>
      <c r="BG2496" s="38"/>
      <c r="BH2496" s="38"/>
      <c r="BI2496" s="38"/>
      <c r="BJ2496" s="38"/>
      <c r="BK2496" s="38"/>
      <c r="BL2496" s="38"/>
      <c r="BM2496" s="38"/>
      <c r="BN2496" s="38"/>
      <c r="BO2496" s="38"/>
      <c r="BP2496" s="38"/>
      <c r="BQ2496" s="38"/>
    </row>
    <row r="2497">
      <c r="A2497" s="16"/>
      <c r="B2497" s="16"/>
      <c r="C2497" s="146"/>
      <c r="D2497" s="146"/>
      <c r="E2497" s="16"/>
      <c r="F2497" s="91"/>
      <c r="G2497" s="16"/>
      <c r="H2497" s="320" t="str">
        <f t="shared" si="33"/>
        <v/>
      </c>
      <c r="I2497" s="16"/>
      <c r="J2497" s="16"/>
      <c r="K2497" s="16"/>
      <c r="L2497" s="16"/>
      <c r="M2497" s="15"/>
      <c r="N2497" s="15"/>
      <c r="O2497" s="16"/>
      <c r="P2497" s="16"/>
      <c r="Q2497" s="16"/>
      <c r="R2497" s="16"/>
      <c r="S2497" s="37" t="str">
        <f>IFERROR(__xludf.DUMMYFUNCTION("if(not(iserror(index(split(C2497, "" ""),2))), index(split(C2497, "" ""),1),"""")"),"")</f>
        <v/>
      </c>
      <c r="T2497" s="315" t="str">
        <f>IFERROR(__xludf.DUMMYFUNCTION("if(S2497="""",C2497,if(not(iserror(index(split(C2497, "" ""),3))), index(split(C2497, "" ""),3),index(split(C2497, "" ""),2)))"),"")</f>
        <v/>
      </c>
      <c r="U2497" s="38" t="b">
        <f t="shared" si="34"/>
        <v>0</v>
      </c>
      <c r="V2497" s="38"/>
      <c r="W2497" s="40"/>
      <c r="X2497" s="40"/>
      <c r="Y2497" s="38"/>
      <c r="Z2497" s="38"/>
      <c r="AA2497" s="38"/>
      <c r="AB2497" s="38"/>
      <c r="AC2497" s="38"/>
      <c r="AD2497" s="38"/>
      <c r="AE2497" s="38"/>
      <c r="AF2497" s="38"/>
      <c r="AG2497" s="38"/>
      <c r="AH2497" s="38"/>
      <c r="AI2497" s="38"/>
      <c r="AJ2497" s="38"/>
      <c r="AK2497" s="38"/>
      <c r="AL2497" s="38"/>
      <c r="AM2497" s="38"/>
      <c r="AN2497" s="38"/>
      <c r="AO2497" s="38"/>
      <c r="AP2497" s="38"/>
      <c r="AQ2497" s="38"/>
      <c r="AR2497" s="38"/>
      <c r="AS2497" s="38"/>
      <c r="AT2497" s="38"/>
      <c r="AU2497" s="38"/>
      <c r="AV2497" s="38"/>
      <c r="AW2497" s="38"/>
      <c r="AX2497" s="38"/>
      <c r="AY2497" s="38"/>
      <c r="AZ2497" s="38"/>
      <c r="BA2497" s="38"/>
      <c r="BB2497" s="38"/>
      <c r="BC2497" s="38"/>
      <c r="BD2497" s="38"/>
      <c r="BE2497" s="38"/>
      <c r="BF2497" s="38"/>
      <c r="BG2497" s="38"/>
      <c r="BH2497" s="38"/>
      <c r="BI2497" s="38"/>
      <c r="BJ2497" s="38"/>
      <c r="BK2497" s="38"/>
      <c r="BL2497" s="38"/>
      <c r="BM2497" s="38"/>
      <c r="BN2497" s="38"/>
      <c r="BO2497" s="38"/>
      <c r="BP2497" s="38"/>
      <c r="BQ2497" s="38"/>
    </row>
    <row r="2498">
      <c r="A2498" s="16"/>
      <c r="B2498" s="16"/>
      <c r="C2498" s="146"/>
      <c r="D2498" s="146"/>
      <c r="E2498" s="16"/>
      <c r="F2498" s="91"/>
      <c r="G2498" s="16"/>
      <c r="H2498" s="320" t="str">
        <f t="shared" si="33"/>
        <v/>
      </c>
      <c r="I2498" s="16"/>
      <c r="J2498" s="16"/>
      <c r="K2498" s="16"/>
      <c r="L2498" s="16"/>
      <c r="M2498" s="15"/>
      <c r="N2498" s="15"/>
      <c r="O2498" s="16"/>
      <c r="P2498" s="16"/>
      <c r="Q2498" s="16"/>
      <c r="R2498" s="16"/>
      <c r="S2498" s="37" t="str">
        <f>IFERROR(__xludf.DUMMYFUNCTION("if(not(iserror(index(split(C2498, "" ""),2))), index(split(C2498, "" ""),1),"""")"),"")</f>
        <v/>
      </c>
      <c r="T2498" s="315" t="str">
        <f>IFERROR(__xludf.DUMMYFUNCTION("if(S2498="""",C2498,if(not(iserror(index(split(C2498, "" ""),3))), index(split(C2498, "" ""),3),index(split(C2498, "" ""),2)))"),"")</f>
        <v/>
      </c>
      <c r="U2498" s="38" t="b">
        <f t="shared" si="34"/>
        <v>0</v>
      </c>
      <c r="V2498" s="38"/>
      <c r="W2498" s="40"/>
      <c r="X2498" s="40"/>
      <c r="Y2498" s="38"/>
      <c r="Z2498" s="38"/>
      <c r="AA2498" s="38"/>
      <c r="AB2498" s="38"/>
      <c r="AC2498" s="38"/>
      <c r="AD2498" s="38"/>
      <c r="AE2498" s="38"/>
      <c r="AF2498" s="38"/>
      <c r="AG2498" s="38"/>
      <c r="AH2498" s="38"/>
      <c r="AI2498" s="38"/>
      <c r="AJ2498" s="38"/>
      <c r="AK2498" s="38"/>
      <c r="AL2498" s="38"/>
      <c r="AM2498" s="38"/>
      <c r="AN2498" s="38"/>
      <c r="AO2498" s="38"/>
      <c r="AP2498" s="38"/>
      <c r="AQ2498" s="38"/>
      <c r="AR2498" s="38"/>
      <c r="AS2498" s="38"/>
      <c r="AT2498" s="38"/>
      <c r="AU2498" s="38"/>
      <c r="AV2498" s="38"/>
      <c r="AW2498" s="38"/>
      <c r="AX2498" s="38"/>
      <c r="AY2498" s="38"/>
      <c r="AZ2498" s="38"/>
      <c r="BA2498" s="38"/>
      <c r="BB2498" s="38"/>
      <c r="BC2498" s="38"/>
      <c r="BD2498" s="38"/>
      <c r="BE2498" s="38"/>
      <c r="BF2498" s="38"/>
      <c r="BG2498" s="38"/>
      <c r="BH2498" s="38"/>
      <c r="BI2498" s="38"/>
      <c r="BJ2498" s="38"/>
      <c r="BK2498" s="38"/>
      <c r="BL2498" s="38"/>
      <c r="BM2498" s="38"/>
      <c r="BN2498" s="38"/>
      <c r="BO2498" s="38"/>
      <c r="BP2498" s="38"/>
      <c r="BQ2498" s="38"/>
    </row>
    <row r="2499">
      <c r="A2499" s="16"/>
      <c r="B2499" s="16"/>
      <c r="C2499" s="146"/>
      <c r="D2499" s="146"/>
      <c r="E2499" s="16"/>
      <c r="F2499" s="91"/>
      <c r="G2499" s="16"/>
      <c r="H2499" s="320" t="str">
        <f t="shared" si="33"/>
        <v/>
      </c>
      <c r="I2499" s="16"/>
      <c r="J2499" s="16"/>
      <c r="K2499" s="16"/>
      <c r="L2499" s="16"/>
      <c r="M2499" s="15"/>
      <c r="N2499" s="15"/>
      <c r="O2499" s="16"/>
      <c r="P2499" s="16"/>
      <c r="Q2499" s="16"/>
      <c r="R2499" s="16"/>
      <c r="S2499" s="37" t="str">
        <f>IFERROR(__xludf.DUMMYFUNCTION("if(not(iserror(index(split(C2499, "" ""),2))), index(split(C2499, "" ""),1),"""")"),"")</f>
        <v/>
      </c>
      <c r="T2499" s="315" t="str">
        <f>IFERROR(__xludf.DUMMYFUNCTION("if(S2499="""",C2499,if(not(iserror(index(split(C2499, "" ""),3))), index(split(C2499, "" ""),3),index(split(C2499, "" ""),2)))"),"")</f>
        <v/>
      </c>
      <c r="U2499" s="38" t="b">
        <f t="shared" si="34"/>
        <v>0</v>
      </c>
      <c r="V2499" s="38"/>
      <c r="W2499" s="40"/>
      <c r="X2499" s="40"/>
      <c r="Y2499" s="38"/>
      <c r="Z2499" s="38"/>
      <c r="AA2499" s="38"/>
      <c r="AB2499" s="38"/>
      <c r="AC2499" s="38"/>
      <c r="AD2499" s="38"/>
      <c r="AE2499" s="38"/>
      <c r="AF2499" s="38"/>
      <c r="AG2499" s="38"/>
      <c r="AH2499" s="38"/>
      <c r="AI2499" s="38"/>
      <c r="AJ2499" s="38"/>
      <c r="AK2499" s="38"/>
      <c r="AL2499" s="38"/>
      <c r="AM2499" s="38"/>
      <c r="AN2499" s="38"/>
      <c r="AO2499" s="38"/>
      <c r="AP2499" s="38"/>
      <c r="AQ2499" s="38"/>
      <c r="AR2499" s="38"/>
      <c r="AS2499" s="38"/>
      <c r="AT2499" s="38"/>
      <c r="AU2499" s="38"/>
      <c r="AV2499" s="38"/>
      <c r="AW2499" s="38"/>
      <c r="AX2499" s="38"/>
      <c r="AY2499" s="38"/>
      <c r="AZ2499" s="38"/>
      <c r="BA2499" s="38"/>
      <c r="BB2499" s="38"/>
      <c r="BC2499" s="38"/>
      <c r="BD2499" s="38"/>
      <c r="BE2499" s="38"/>
      <c r="BF2499" s="38"/>
      <c r="BG2499" s="38"/>
      <c r="BH2499" s="38"/>
      <c r="BI2499" s="38"/>
      <c r="BJ2499" s="38"/>
      <c r="BK2499" s="38"/>
      <c r="BL2499" s="38"/>
      <c r="BM2499" s="38"/>
      <c r="BN2499" s="38"/>
      <c r="BO2499" s="38"/>
      <c r="BP2499" s="38"/>
      <c r="BQ2499" s="38"/>
    </row>
    <row r="2500">
      <c r="A2500" s="16"/>
      <c r="B2500" s="16"/>
      <c r="C2500" s="146"/>
      <c r="D2500" s="146"/>
      <c r="E2500" s="16"/>
      <c r="F2500" s="91"/>
      <c r="G2500" s="16"/>
      <c r="H2500" s="320" t="str">
        <f t="shared" si="33"/>
        <v/>
      </c>
      <c r="I2500" s="16"/>
      <c r="J2500" s="16"/>
      <c r="K2500" s="16"/>
      <c r="L2500" s="16"/>
      <c r="M2500" s="15"/>
      <c r="N2500" s="15"/>
      <c r="O2500" s="16"/>
      <c r="P2500" s="16"/>
      <c r="Q2500" s="16"/>
      <c r="R2500" s="16"/>
      <c r="S2500" s="37" t="str">
        <f>IFERROR(__xludf.DUMMYFUNCTION("if(not(iserror(index(split(C2500, "" ""),2))), index(split(C2500, "" ""),1),"""")"),"")</f>
        <v/>
      </c>
      <c r="T2500" s="315" t="str">
        <f>IFERROR(__xludf.DUMMYFUNCTION("if(S2500="""",C2500,if(not(iserror(index(split(C2500, "" ""),3))), index(split(C2500, "" ""),3),index(split(C2500, "" ""),2)))"),"")</f>
        <v/>
      </c>
      <c r="U2500" s="38" t="b">
        <f t="shared" si="34"/>
        <v>0</v>
      </c>
      <c r="V2500" s="38"/>
      <c r="W2500" s="40"/>
      <c r="X2500" s="40"/>
      <c r="Y2500" s="38"/>
      <c r="Z2500" s="38"/>
      <c r="AA2500" s="38"/>
      <c r="AB2500" s="38"/>
      <c r="AC2500" s="38"/>
      <c r="AD2500" s="38"/>
      <c r="AE2500" s="38"/>
      <c r="AF2500" s="38"/>
      <c r="AG2500" s="38"/>
      <c r="AH2500" s="38"/>
      <c r="AI2500" s="38"/>
      <c r="AJ2500" s="38"/>
      <c r="AK2500" s="38"/>
      <c r="AL2500" s="38"/>
      <c r="AM2500" s="38"/>
      <c r="AN2500" s="38"/>
      <c r="AO2500" s="38"/>
      <c r="AP2500" s="38"/>
      <c r="AQ2500" s="38"/>
      <c r="AR2500" s="38"/>
      <c r="AS2500" s="38"/>
      <c r="AT2500" s="38"/>
      <c r="AU2500" s="38"/>
      <c r="AV2500" s="38"/>
      <c r="AW2500" s="38"/>
      <c r="AX2500" s="38"/>
      <c r="AY2500" s="38"/>
      <c r="AZ2500" s="38"/>
      <c r="BA2500" s="38"/>
      <c r="BB2500" s="38"/>
      <c r="BC2500" s="38"/>
      <c r="BD2500" s="38"/>
      <c r="BE2500" s="38"/>
      <c r="BF2500" s="38"/>
      <c r="BG2500" s="38"/>
      <c r="BH2500" s="38"/>
      <c r="BI2500" s="38"/>
      <c r="BJ2500" s="38"/>
      <c r="BK2500" s="38"/>
      <c r="BL2500" s="38"/>
      <c r="BM2500" s="38"/>
      <c r="BN2500" s="38"/>
      <c r="BO2500" s="38"/>
      <c r="BP2500" s="38"/>
      <c r="BQ2500" s="38"/>
    </row>
    <row r="2501">
      <c r="A2501" s="16"/>
      <c r="B2501" s="16"/>
      <c r="C2501" s="146"/>
      <c r="D2501" s="146"/>
      <c r="E2501" s="16"/>
      <c r="F2501" s="91"/>
      <c r="G2501" s="16"/>
      <c r="H2501" s="320" t="str">
        <f t="shared" si="33"/>
        <v/>
      </c>
      <c r="I2501" s="16"/>
      <c r="J2501" s="16"/>
      <c r="K2501" s="16"/>
      <c r="L2501" s="16"/>
      <c r="M2501" s="15"/>
      <c r="N2501" s="15"/>
      <c r="O2501" s="16"/>
      <c r="P2501" s="16"/>
      <c r="Q2501" s="16"/>
      <c r="R2501" s="16"/>
      <c r="S2501" s="37" t="str">
        <f>IFERROR(__xludf.DUMMYFUNCTION("if(not(iserror(index(split(C2501, "" ""),2))), index(split(C2501, "" ""),1),"""")"),"")</f>
        <v/>
      </c>
      <c r="T2501" s="315" t="str">
        <f>IFERROR(__xludf.DUMMYFUNCTION("if(S2501="""",C2501,if(not(iserror(index(split(C2501, "" ""),3))), index(split(C2501, "" ""),3),index(split(C2501, "" ""),2)))"),"")</f>
        <v/>
      </c>
      <c r="U2501" s="38" t="b">
        <f t="shared" si="34"/>
        <v>0</v>
      </c>
      <c r="V2501" s="38"/>
      <c r="W2501" s="40"/>
      <c r="X2501" s="40"/>
      <c r="Y2501" s="38"/>
      <c r="Z2501" s="38"/>
      <c r="AA2501" s="38"/>
      <c r="AB2501" s="38"/>
      <c r="AC2501" s="38"/>
      <c r="AD2501" s="38"/>
      <c r="AE2501" s="38"/>
      <c r="AF2501" s="38"/>
      <c r="AG2501" s="38"/>
      <c r="AH2501" s="38"/>
      <c r="AI2501" s="38"/>
      <c r="AJ2501" s="38"/>
      <c r="AK2501" s="38"/>
      <c r="AL2501" s="38"/>
      <c r="AM2501" s="38"/>
      <c r="AN2501" s="38"/>
      <c r="AO2501" s="38"/>
      <c r="AP2501" s="38"/>
      <c r="AQ2501" s="38"/>
      <c r="AR2501" s="38"/>
      <c r="AS2501" s="38"/>
      <c r="AT2501" s="38"/>
      <c r="AU2501" s="38"/>
      <c r="AV2501" s="38"/>
      <c r="AW2501" s="38"/>
      <c r="AX2501" s="38"/>
      <c r="AY2501" s="38"/>
      <c r="AZ2501" s="38"/>
      <c r="BA2501" s="38"/>
      <c r="BB2501" s="38"/>
      <c r="BC2501" s="38"/>
      <c r="BD2501" s="38"/>
      <c r="BE2501" s="38"/>
      <c r="BF2501" s="38"/>
      <c r="BG2501" s="38"/>
      <c r="BH2501" s="38"/>
      <c r="BI2501" s="38"/>
      <c r="BJ2501" s="38"/>
      <c r="BK2501" s="38"/>
      <c r="BL2501" s="38"/>
      <c r="BM2501" s="38"/>
      <c r="BN2501" s="38"/>
      <c r="BO2501" s="38"/>
      <c r="BP2501" s="38"/>
      <c r="BQ2501" s="38"/>
    </row>
    <row r="2502">
      <c r="A2502" s="16"/>
      <c r="B2502" s="16"/>
      <c r="C2502" s="146"/>
      <c r="D2502" s="146"/>
      <c r="E2502" s="16"/>
      <c r="F2502" s="91"/>
      <c r="G2502" s="16"/>
      <c r="H2502" s="320" t="str">
        <f t="shared" si="33"/>
        <v/>
      </c>
      <c r="I2502" s="16"/>
      <c r="J2502" s="16"/>
      <c r="K2502" s="16"/>
      <c r="L2502" s="16"/>
      <c r="M2502" s="15"/>
      <c r="N2502" s="15"/>
      <c r="O2502" s="16"/>
      <c r="P2502" s="16"/>
      <c r="Q2502" s="16"/>
      <c r="R2502" s="16"/>
      <c r="S2502" s="37" t="str">
        <f>IFERROR(__xludf.DUMMYFUNCTION("if(not(iserror(index(split(C2502, "" ""),2))), index(split(C2502, "" ""),1),"""")"),"")</f>
        <v/>
      </c>
      <c r="T2502" s="315" t="str">
        <f>IFERROR(__xludf.DUMMYFUNCTION("if(S2502="""",C2502,if(not(iserror(index(split(C2502, "" ""),3))), index(split(C2502, "" ""),3),index(split(C2502, "" ""),2)))"),"")</f>
        <v/>
      </c>
      <c r="U2502" s="38" t="b">
        <f t="shared" si="34"/>
        <v>0</v>
      </c>
      <c r="V2502" s="38"/>
      <c r="W2502" s="40"/>
      <c r="X2502" s="40"/>
      <c r="Y2502" s="38"/>
      <c r="Z2502" s="38"/>
      <c r="AA2502" s="38"/>
      <c r="AB2502" s="38"/>
      <c r="AC2502" s="38"/>
      <c r="AD2502" s="38"/>
      <c r="AE2502" s="38"/>
      <c r="AF2502" s="38"/>
      <c r="AG2502" s="38"/>
      <c r="AH2502" s="38"/>
      <c r="AI2502" s="38"/>
      <c r="AJ2502" s="38"/>
      <c r="AK2502" s="38"/>
      <c r="AL2502" s="38"/>
      <c r="AM2502" s="38"/>
      <c r="AN2502" s="38"/>
      <c r="AO2502" s="38"/>
      <c r="AP2502" s="38"/>
      <c r="AQ2502" s="38"/>
      <c r="AR2502" s="38"/>
      <c r="AS2502" s="38"/>
      <c r="AT2502" s="38"/>
      <c r="AU2502" s="38"/>
      <c r="AV2502" s="38"/>
      <c r="AW2502" s="38"/>
      <c r="AX2502" s="38"/>
      <c r="AY2502" s="38"/>
      <c r="AZ2502" s="38"/>
      <c r="BA2502" s="38"/>
      <c r="BB2502" s="38"/>
      <c r="BC2502" s="38"/>
      <c r="BD2502" s="38"/>
      <c r="BE2502" s="38"/>
      <c r="BF2502" s="38"/>
      <c r="BG2502" s="38"/>
      <c r="BH2502" s="38"/>
      <c r="BI2502" s="38"/>
      <c r="BJ2502" s="38"/>
      <c r="BK2502" s="38"/>
      <c r="BL2502" s="38"/>
      <c r="BM2502" s="38"/>
      <c r="BN2502" s="38"/>
      <c r="BO2502" s="38"/>
      <c r="BP2502" s="38"/>
      <c r="BQ2502" s="38"/>
    </row>
    <row r="2503">
      <c r="A2503" s="16"/>
      <c r="B2503" s="16"/>
      <c r="C2503" s="146"/>
      <c r="D2503" s="146"/>
      <c r="E2503" s="16"/>
      <c r="F2503" s="91"/>
      <c r="G2503" s="16"/>
      <c r="H2503" s="320" t="str">
        <f t="shared" si="33"/>
        <v/>
      </c>
      <c r="I2503" s="16"/>
      <c r="J2503" s="16"/>
      <c r="K2503" s="16"/>
      <c r="L2503" s="16"/>
      <c r="M2503" s="15"/>
      <c r="N2503" s="15"/>
      <c r="O2503" s="16"/>
      <c r="P2503" s="16"/>
      <c r="Q2503" s="16"/>
      <c r="R2503" s="16"/>
      <c r="S2503" s="37" t="str">
        <f>IFERROR(__xludf.DUMMYFUNCTION("if(not(iserror(index(split(C2503, "" ""),2))), index(split(C2503, "" ""),1),"""")"),"")</f>
        <v/>
      </c>
      <c r="T2503" s="315" t="str">
        <f>IFERROR(__xludf.DUMMYFUNCTION("if(S2503="""",C2503,if(not(iserror(index(split(C2503, "" ""),3))), index(split(C2503, "" ""),3),index(split(C2503, "" ""),2)))"),"")</f>
        <v/>
      </c>
      <c r="U2503" s="38" t="b">
        <f t="shared" si="34"/>
        <v>0</v>
      </c>
      <c r="V2503" s="38"/>
      <c r="W2503" s="40"/>
      <c r="X2503" s="40"/>
      <c r="Y2503" s="38"/>
      <c r="Z2503" s="38"/>
      <c r="AA2503" s="38"/>
      <c r="AB2503" s="38"/>
      <c r="AC2503" s="38"/>
      <c r="AD2503" s="38"/>
      <c r="AE2503" s="38"/>
      <c r="AF2503" s="38"/>
      <c r="AG2503" s="38"/>
      <c r="AH2503" s="38"/>
      <c r="AI2503" s="38"/>
      <c r="AJ2503" s="38"/>
      <c r="AK2503" s="38"/>
      <c r="AL2503" s="38"/>
      <c r="AM2503" s="38"/>
      <c r="AN2503" s="38"/>
      <c r="AO2503" s="38"/>
      <c r="AP2503" s="38"/>
      <c r="AQ2503" s="38"/>
      <c r="AR2503" s="38"/>
      <c r="AS2503" s="38"/>
      <c r="AT2503" s="38"/>
      <c r="AU2503" s="38"/>
      <c r="AV2503" s="38"/>
      <c r="AW2503" s="38"/>
      <c r="AX2503" s="38"/>
      <c r="AY2503" s="38"/>
      <c r="AZ2503" s="38"/>
      <c r="BA2503" s="38"/>
      <c r="BB2503" s="38"/>
      <c r="BC2503" s="38"/>
      <c r="BD2503" s="38"/>
      <c r="BE2503" s="38"/>
      <c r="BF2503" s="38"/>
      <c r="BG2503" s="38"/>
      <c r="BH2503" s="38"/>
      <c r="BI2503" s="38"/>
      <c r="BJ2503" s="38"/>
      <c r="BK2503" s="38"/>
      <c r="BL2503" s="38"/>
      <c r="BM2503" s="38"/>
      <c r="BN2503" s="38"/>
      <c r="BO2503" s="38"/>
      <c r="BP2503" s="38"/>
      <c r="BQ2503" s="38"/>
    </row>
    <row r="2504">
      <c r="A2504" s="16"/>
      <c r="B2504" s="16"/>
      <c r="C2504" s="146"/>
      <c r="D2504" s="146"/>
      <c r="E2504" s="16"/>
      <c r="F2504" s="91"/>
      <c r="G2504" s="16"/>
      <c r="H2504" s="320" t="str">
        <f t="shared" si="33"/>
        <v/>
      </c>
      <c r="I2504" s="16"/>
      <c r="J2504" s="16"/>
      <c r="K2504" s="16"/>
      <c r="L2504" s="16"/>
      <c r="M2504" s="15"/>
      <c r="N2504" s="15"/>
      <c r="O2504" s="16"/>
      <c r="P2504" s="16"/>
      <c r="Q2504" s="16"/>
      <c r="R2504" s="16"/>
      <c r="S2504" s="37" t="str">
        <f>IFERROR(__xludf.DUMMYFUNCTION("if(not(iserror(index(split(C2504, "" ""),2))), index(split(C2504, "" ""),1),"""")"),"")</f>
        <v/>
      </c>
      <c r="T2504" s="315" t="str">
        <f>IFERROR(__xludf.DUMMYFUNCTION("if(S2504="""",C2504,if(not(iserror(index(split(C2504, "" ""),3))), index(split(C2504, "" ""),3),index(split(C2504, "" ""),2)))"),"")</f>
        <v/>
      </c>
      <c r="U2504" s="38" t="b">
        <f t="shared" si="34"/>
        <v>0</v>
      </c>
      <c r="V2504" s="38"/>
      <c r="W2504" s="40"/>
      <c r="X2504" s="40"/>
      <c r="Y2504" s="38"/>
      <c r="Z2504" s="38"/>
      <c r="AA2504" s="38"/>
      <c r="AB2504" s="38"/>
      <c r="AC2504" s="38"/>
      <c r="AD2504" s="38"/>
      <c r="AE2504" s="38"/>
      <c r="AF2504" s="38"/>
      <c r="AG2504" s="38"/>
      <c r="AH2504" s="38"/>
      <c r="AI2504" s="38"/>
      <c r="AJ2504" s="38"/>
      <c r="AK2504" s="38"/>
      <c r="AL2504" s="38"/>
      <c r="AM2504" s="38"/>
      <c r="AN2504" s="38"/>
      <c r="AO2504" s="38"/>
      <c r="AP2504" s="38"/>
      <c r="AQ2504" s="38"/>
      <c r="AR2504" s="38"/>
      <c r="AS2504" s="38"/>
      <c r="AT2504" s="38"/>
      <c r="AU2504" s="38"/>
      <c r="AV2504" s="38"/>
      <c r="AW2504" s="38"/>
      <c r="AX2504" s="38"/>
      <c r="AY2504" s="38"/>
      <c r="AZ2504" s="38"/>
      <c r="BA2504" s="38"/>
      <c r="BB2504" s="38"/>
      <c r="BC2504" s="38"/>
      <c r="BD2504" s="38"/>
      <c r="BE2504" s="38"/>
      <c r="BF2504" s="38"/>
      <c r="BG2504" s="38"/>
      <c r="BH2504" s="38"/>
      <c r="BI2504" s="38"/>
      <c r="BJ2504" s="38"/>
      <c r="BK2504" s="38"/>
      <c r="BL2504" s="38"/>
      <c r="BM2504" s="38"/>
      <c r="BN2504" s="38"/>
      <c r="BO2504" s="38"/>
      <c r="BP2504" s="38"/>
      <c r="BQ2504" s="38"/>
    </row>
    <row r="2505">
      <c r="A2505" s="16"/>
      <c r="B2505" s="16"/>
      <c r="C2505" s="146"/>
      <c r="D2505" s="146"/>
      <c r="E2505" s="16"/>
      <c r="F2505" s="91"/>
      <c r="G2505" s="16"/>
      <c r="H2505" s="320" t="str">
        <f t="shared" si="33"/>
        <v/>
      </c>
      <c r="I2505" s="16"/>
      <c r="J2505" s="16"/>
      <c r="K2505" s="16"/>
      <c r="L2505" s="16"/>
      <c r="M2505" s="15"/>
      <c r="N2505" s="15"/>
      <c r="O2505" s="16"/>
      <c r="P2505" s="16"/>
      <c r="Q2505" s="16"/>
      <c r="R2505" s="16"/>
      <c r="S2505" s="37" t="str">
        <f>IFERROR(__xludf.DUMMYFUNCTION("if(not(iserror(index(split(C2505, "" ""),2))), index(split(C2505, "" ""),1),"""")"),"")</f>
        <v/>
      </c>
      <c r="T2505" s="315" t="str">
        <f>IFERROR(__xludf.DUMMYFUNCTION("if(S2505="""",C2505,if(not(iserror(index(split(C2505, "" ""),3))), index(split(C2505, "" ""),3),index(split(C2505, "" ""),2)))"),"")</f>
        <v/>
      </c>
      <c r="U2505" s="38" t="b">
        <f t="shared" si="34"/>
        <v>0</v>
      </c>
      <c r="V2505" s="38"/>
      <c r="W2505" s="40"/>
      <c r="X2505" s="40"/>
      <c r="Y2505" s="38"/>
      <c r="Z2505" s="38"/>
      <c r="AA2505" s="38"/>
      <c r="AB2505" s="38"/>
      <c r="AC2505" s="38"/>
      <c r="AD2505" s="38"/>
      <c r="AE2505" s="38"/>
      <c r="AF2505" s="38"/>
      <c r="AG2505" s="38"/>
      <c r="AH2505" s="38"/>
      <c r="AI2505" s="38"/>
      <c r="AJ2505" s="38"/>
      <c r="AK2505" s="38"/>
      <c r="AL2505" s="38"/>
      <c r="AM2505" s="38"/>
      <c r="AN2505" s="38"/>
      <c r="AO2505" s="38"/>
      <c r="AP2505" s="38"/>
      <c r="AQ2505" s="38"/>
      <c r="AR2505" s="38"/>
      <c r="AS2505" s="38"/>
      <c r="AT2505" s="38"/>
      <c r="AU2505" s="38"/>
      <c r="AV2505" s="38"/>
      <c r="AW2505" s="38"/>
      <c r="AX2505" s="38"/>
      <c r="AY2505" s="38"/>
      <c r="AZ2505" s="38"/>
      <c r="BA2505" s="38"/>
      <c r="BB2505" s="38"/>
      <c r="BC2505" s="38"/>
      <c r="BD2505" s="38"/>
      <c r="BE2505" s="38"/>
      <c r="BF2505" s="38"/>
      <c r="BG2505" s="38"/>
      <c r="BH2505" s="38"/>
      <c r="BI2505" s="38"/>
      <c r="BJ2505" s="38"/>
      <c r="BK2505" s="38"/>
      <c r="BL2505" s="38"/>
      <c r="BM2505" s="38"/>
      <c r="BN2505" s="38"/>
      <c r="BO2505" s="38"/>
      <c r="BP2505" s="38"/>
      <c r="BQ2505" s="38"/>
    </row>
    <row r="2506">
      <c r="A2506" s="16"/>
      <c r="B2506" s="16"/>
      <c r="C2506" s="146"/>
      <c r="D2506" s="146"/>
      <c r="E2506" s="16"/>
      <c r="F2506" s="91"/>
      <c r="G2506" s="16"/>
      <c r="H2506" s="320" t="str">
        <f t="shared" si="33"/>
        <v/>
      </c>
      <c r="I2506" s="16"/>
      <c r="J2506" s="16"/>
      <c r="K2506" s="16"/>
      <c r="L2506" s="16"/>
      <c r="M2506" s="15"/>
      <c r="N2506" s="15"/>
      <c r="O2506" s="16"/>
      <c r="P2506" s="16"/>
      <c r="Q2506" s="16"/>
      <c r="R2506" s="16"/>
      <c r="S2506" s="37" t="str">
        <f>IFERROR(__xludf.DUMMYFUNCTION("if(not(iserror(index(split(C2506, "" ""),2))), index(split(C2506, "" ""),1),"""")"),"")</f>
        <v/>
      </c>
      <c r="T2506" s="315" t="str">
        <f>IFERROR(__xludf.DUMMYFUNCTION("if(S2506="""",C2506,if(not(iserror(index(split(C2506, "" ""),3))), index(split(C2506, "" ""),3),index(split(C2506, "" ""),2)))"),"")</f>
        <v/>
      </c>
      <c r="U2506" s="38" t="b">
        <f t="shared" si="34"/>
        <v>0</v>
      </c>
      <c r="V2506" s="38"/>
      <c r="W2506" s="40"/>
      <c r="X2506" s="40"/>
      <c r="Y2506" s="38"/>
      <c r="Z2506" s="38"/>
      <c r="AA2506" s="38"/>
      <c r="AB2506" s="38"/>
      <c r="AC2506" s="38"/>
      <c r="AD2506" s="38"/>
      <c r="AE2506" s="38"/>
      <c r="AF2506" s="38"/>
      <c r="AG2506" s="38"/>
      <c r="AH2506" s="38"/>
      <c r="AI2506" s="38"/>
      <c r="AJ2506" s="38"/>
      <c r="AK2506" s="38"/>
      <c r="AL2506" s="38"/>
      <c r="AM2506" s="38"/>
      <c r="AN2506" s="38"/>
      <c r="AO2506" s="38"/>
      <c r="AP2506" s="38"/>
      <c r="AQ2506" s="38"/>
      <c r="AR2506" s="38"/>
      <c r="AS2506" s="38"/>
      <c r="AT2506" s="38"/>
      <c r="AU2506" s="38"/>
      <c r="AV2506" s="38"/>
      <c r="AW2506" s="38"/>
      <c r="AX2506" s="38"/>
      <c r="AY2506" s="38"/>
      <c r="AZ2506" s="38"/>
      <c r="BA2506" s="38"/>
      <c r="BB2506" s="38"/>
      <c r="BC2506" s="38"/>
      <c r="BD2506" s="38"/>
      <c r="BE2506" s="38"/>
      <c r="BF2506" s="38"/>
      <c r="BG2506" s="38"/>
      <c r="BH2506" s="38"/>
      <c r="BI2506" s="38"/>
      <c r="BJ2506" s="38"/>
      <c r="BK2506" s="38"/>
      <c r="BL2506" s="38"/>
      <c r="BM2506" s="38"/>
      <c r="BN2506" s="38"/>
      <c r="BO2506" s="38"/>
      <c r="BP2506" s="38"/>
      <c r="BQ2506" s="38"/>
    </row>
    <row r="2507">
      <c r="A2507" s="16"/>
      <c r="B2507" s="16"/>
      <c r="C2507" s="146"/>
      <c r="D2507" s="146"/>
      <c r="E2507" s="16"/>
      <c r="F2507" s="91"/>
      <c r="G2507" s="16"/>
      <c r="H2507" s="320" t="str">
        <f t="shared" si="33"/>
        <v/>
      </c>
      <c r="I2507" s="16"/>
      <c r="J2507" s="16"/>
      <c r="K2507" s="16"/>
      <c r="L2507" s="16"/>
      <c r="M2507" s="15"/>
      <c r="N2507" s="15"/>
      <c r="O2507" s="16"/>
      <c r="P2507" s="16"/>
      <c r="Q2507" s="16"/>
      <c r="R2507" s="16"/>
      <c r="S2507" s="37" t="str">
        <f>IFERROR(__xludf.DUMMYFUNCTION("if(not(iserror(index(split(C2507, "" ""),2))), index(split(C2507, "" ""),1),"""")"),"")</f>
        <v/>
      </c>
      <c r="T2507" s="315" t="str">
        <f>IFERROR(__xludf.DUMMYFUNCTION("if(S2507="""",C2507,if(not(iserror(index(split(C2507, "" ""),3))), index(split(C2507, "" ""),3),index(split(C2507, "" ""),2)))"),"")</f>
        <v/>
      </c>
      <c r="U2507" s="38" t="b">
        <f t="shared" si="34"/>
        <v>0</v>
      </c>
      <c r="V2507" s="38"/>
      <c r="W2507" s="40"/>
      <c r="X2507" s="40"/>
      <c r="Y2507" s="38"/>
      <c r="Z2507" s="38"/>
      <c r="AA2507" s="38"/>
      <c r="AB2507" s="38"/>
      <c r="AC2507" s="38"/>
      <c r="AD2507" s="38"/>
      <c r="AE2507" s="38"/>
      <c r="AF2507" s="38"/>
      <c r="AG2507" s="38"/>
      <c r="AH2507" s="38"/>
      <c r="AI2507" s="38"/>
      <c r="AJ2507" s="38"/>
      <c r="AK2507" s="38"/>
      <c r="AL2507" s="38"/>
      <c r="AM2507" s="38"/>
      <c r="AN2507" s="38"/>
      <c r="AO2507" s="38"/>
      <c r="AP2507" s="38"/>
      <c r="AQ2507" s="38"/>
      <c r="AR2507" s="38"/>
      <c r="AS2507" s="38"/>
      <c r="AT2507" s="38"/>
      <c r="AU2507" s="38"/>
      <c r="AV2507" s="38"/>
      <c r="AW2507" s="38"/>
      <c r="AX2507" s="38"/>
      <c r="AY2507" s="38"/>
      <c r="AZ2507" s="38"/>
      <c r="BA2507" s="38"/>
      <c r="BB2507" s="38"/>
      <c r="BC2507" s="38"/>
      <c r="BD2507" s="38"/>
      <c r="BE2507" s="38"/>
      <c r="BF2507" s="38"/>
      <c r="BG2507" s="38"/>
      <c r="BH2507" s="38"/>
      <c r="BI2507" s="38"/>
      <c r="BJ2507" s="38"/>
      <c r="BK2507" s="38"/>
      <c r="BL2507" s="38"/>
      <c r="BM2507" s="38"/>
      <c r="BN2507" s="38"/>
      <c r="BO2507" s="38"/>
      <c r="BP2507" s="38"/>
      <c r="BQ2507" s="38"/>
    </row>
    <row r="2508">
      <c r="A2508" s="16"/>
      <c r="B2508" s="16"/>
      <c r="C2508" s="146"/>
      <c r="D2508" s="146"/>
      <c r="E2508" s="16"/>
      <c r="F2508" s="91"/>
      <c r="G2508" s="16"/>
      <c r="H2508" s="320" t="str">
        <f t="shared" si="33"/>
        <v/>
      </c>
      <c r="I2508" s="16"/>
      <c r="J2508" s="16"/>
      <c r="K2508" s="16"/>
      <c r="L2508" s="16"/>
      <c r="M2508" s="15"/>
      <c r="N2508" s="15"/>
      <c r="O2508" s="16"/>
      <c r="P2508" s="16"/>
      <c r="Q2508" s="16"/>
      <c r="R2508" s="16"/>
      <c r="S2508" s="37" t="str">
        <f>IFERROR(__xludf.DUMMYFUNCTION("if(not(iserror(index(split(C2508, "" ""),2))), index(split(C2508, "" ""),1),"""")"),"")</f>
        <v/>
      </c>
      <c r="T2508" s="315" t="str">
        <f>IFERROR(__xludf.DUMMYFUNCTION("if(S2508="""",C2508,if(not(iserror(index(split(C2508, "" ""),3))), index(split(C2508, "" ""),3),index(split(C2508, "" ""),2)))"),"")</f>
        <v/>
      </c>
      <c r="U2508" s="38" t="b">
        <f t="shared" si="34"/>
        <v>0</v>
      </c>
      <c r="V2508" s="38"/>
      <c r="W2508" s="40"/>
      <c r="X2508" s="40"/>
      <c r="Y2508" s="38"/>
      <c r="Z2508" s="38"/>
      <c r="AA2508" s="38"/>
      <c r="AB2508" s="38"/>
      <c r="AC2508" s="38"/>
      <c r="AD2508" s="38"/>
      <c r="AE2508" s="38"/>
      <c r="AF2508" s="38"/>
      <c r="AG2508" s="38"/>
      <c r="AH2508" s="38"/>
      <c r="AI2508" s="38"/>
      <c r="AJ2508" s="38"/>
      <c r="AK2508" s="38"/>
      <c r="AL2508" s="38"/>
      <c r="AM2508" s="38"/>
      <c r="AN2508" s="38"/>
      <c r="AO2508" s="38"/>
      <c r="AP2508" s="38"/>
      <c r="AQ2508" s="38"/>
      <c r="AR2508" s="38"/>
      <c r="AS2508" s="38"/>
      <c r="AT2508" s="38"/>
      <c r="AU2508" s="38"/>
      <c r="AV2508" s="38"/>
      <c r="AW2508" s="38"/>
      <c r="AX2508" s="38"/>
      <c r="AY2508" s="38"/>
      <c r="AZ2508" s="38"/>
      <c r="BA2508" s="38"/>
      <c r="BB2508" s="38"/>
      <c r="BC2508" s="38"/>
      <c r="BD2508" s="38"/>
      <c r="BE2508" s="38"/>
      <c r="BF2508" s="38"/>
      <c r="BG2508" s="38"/>
      <c r="BH2508" s="38"/>
      <c r="BI2508" s="38"/>
      <c r="BJ2508" s="38"/>
      <c r="BK2508" s="38"/>
      <c r="BL2508" s="38"/>
      <c r="BM2508" s="38"/>
      <c r="BN2508" s="38"/>
      <c r="BO2508" s="38"/>
      <c r="BP2508" s="38"/>
      <c r="BQ2508" s="38"/>
    </row>
    <row r="2509">
      <c r="A2509" s="16"/>
      <c r="B2509" s="16"/>
      <c r="C2509" s="146"/>
      <c r="D2509" s="146"/>
      <c r="E2509" s="16"/>
      <c r="F2509" s="91"/>
      <c r="G2509" s="16"/>
      <c r="H2509" s="320" t="str">
        <f t="shared" si="33"/>
        <v/>
      </c>
      <c r="I2509" s="16"/>
      <c r="J2509" s="16"/>
      <c r="K2509" s="16"/>
      <c r="L2509" s="16"/>
      <c r="M2509" s="15"/>
      <c r="N2509" s="15"/>
      <c r="O2509" s="16"/>
      <c r="P2509" s="16"/>
      <c r="Q2509" s="16"/>
      <c r="R2509" s="16"/>
      <c r="S2509" s="37" t="str">
        <f>IFERROR(__xludf.DUMMYFUNCTION("if(not(iserror(index(split(C2509, "" ""),2))), index(split(C2509, "" ""),1),"""")"),"")</f>
        <v/>
      </c>
      <c r="T2509" s="315" t="str">
        <f>IFERROR(__xludf.DUMMYFUNCTION("if(S2509="""",C2509,if(not(iserror(index(split(C2509, "" ""),3))), index(split(C2509, "" ""),3),index(split(C2509, "" ""),2)))"),"")</f>
        <v/>
      </c>
      <c r="U2509" s="38" t="b">
        <f t="shared" si="34"/>
        <v>0</v>
      </c>
      <c r="V2509" s="38"/>
      <c r="W2509" s="40"/>
      <c r="X2509" s="40"/>
      <c r="Y2509" s="38"/>
      <c r="Z2509" s="38"/>
      <c r="AA2509" s="38"/>
      <c r="AB2509" s="38"/>
      <c r="AC2509" s="38"/>
      <c r="AD2509" s="38"/>
      <c r="AE2509" s="38"/>
      <c r="AF2509" s="38"/>
      <c r="AG2509" s="38"/>
      <c r="AH2509" s="38"/>
      <c r="AI2509" s="38"/>
      <c r="AJ2509" s="38"/>
      <c r="AK2509" s="38"/>
      <c r="AL2509" s="38"/>
      <c r="AM2509" s="38"/>
      <c r="AN2509" s="38"/>
      <c r="AO2509" s="38"/>
      <c r="AP2509" s="38"/>
      <c r="AQ2509" s="38"/>
      <c r="AR2509" s="38"/>
      <c r="AS2509" s="38"/>
      <c r="AT2509" s="38"/>
      <c r="AU2509" s="38"/>
      <c r="AV2509" s="38"/>
      <c r="AW2509" s="38"/>
      <c r="AX2509" s="38"/>
      <c r="AY2509" s="38"/>
      <c r="AZ2509" s="38"/>
      <c r="BA2509" s="38"/>
      <c r="BB2509" s="38"/>
      <c r="BC2509" s="38"/>
      <c r="BD2509" s="38"/>
      <c r="BE2509" s="38"/>
      <c r="BF2509" s="38"/>
      <c r="BG2509" s="38"/>
      <c r="BH2509" s="38"/>
      <c r="BI2509" s="38"/>
      <c r="BJ2509" s="38"/>
      <c r="BK2509" s="38"/>
      <c r="BL2509" s="38"/>
      <c r="BM2509" s="38"/>
      <c r="BN2509" s="38"/>
      <c r="BO2509" s="38"/>
      <c r="BP2509" s="38"/>
      <c r="BQ2509" s="38"/>
    </row>
    <row r="2510">
      <c r="A2510" s="16"/>
      <c r="B2510" s="16"/>
      <c r="C2510" s="146"/>
      <c r="D2510" s="146"/>
      <c r="E2510" s="16"/>
      <c r="F2510" s="91"/>
      <c r="G2510" s="16"/>
      <c r="H2510" s="320" t="str">
        <f t="shared" si="33"/>
        <v/>
      </c>
      <c r="I2510" s="16"/>
      <c r="J2510" s="16"/>
      <c r="K2510" s="16"/>
      <c r="L2510" s="16"/>
      <c r="M2510" s="15"/>
      <c r="N2510" s="15"/>
      <c r="O2510" s="16"/>
      <c r="P2510" s="16"/>
      <c r="Q2510" s="16"/>
      <c r="R2510" s="16"/>
      <c r="S2510" s="37" t="str">
        <f>IFERROR(__xludf.DUMMYFUNCTION("if(not(iserror(index(split(C2510, "" ""),2))), index(split(C2510, "" ""),1),"""")"),"")</f>
        <v/>
      </c>
      <c r="T2510" s="315" t="str">
        <f>IFERROR(__xludf.DUMMYFUNCTION("if(S2510="""",C2510,if(not(iserror(index(split(C2510, "" ""),3))), index(split(C2510, "" ""),3),index(split(C2510, "" ""),2)))"),"")</f>
        <v/>
      </c>
      <c r="U2510" s="38" t="b">
        <f t="shared" si="34"/>
        <v>0</v>
      </c>
      <c r="V2510" s="38"/>
      <c r="W2510" s="40"/>
      <c r="X2510" s="40"/>
      <c r="Y2510" s="38"/>
      <c r="Z2510" s="38"/>
      <c r="AA2510" s="38"/>
      <c r="AB2510" s="38"/>
      <c r="AC2510" s="38"/>
      <c r="AD2510" s="38"/>
      <c r="AE2510" s="38"/>
      <c r="AF2510" s="38"/>
      <c r="AG2510" s="38"/>
      <c r="AH2510" s="38"/>
      <c r="AI2510" s="38"/>
      <c r="AJ2510" s="38"/>
      <c r="AK2510" s="38"/>
      <c r="AL2510" s="38"/>
      <c r="AM2510" s="38"/>
      <c r="AN2510" s="38"/>
      <c r="AO2510" s="38"/>
      <c r="AP2510" s="38"/>
      <c r="AQ2510" s="38"/>
      <c r="AR2510" s="38"/>
      <c r="AS2510" s="38"/>
      <c r="AT2510" s="38"/>
      <c r="AU2510" s="38"/>
      <c r="AV2510" s="38"/>
      <c r="AW2510" s="38"/>
      <c r="AX2510" s="38"/>
      <c r="AY2510" s="38"/>
      <c r="AZ2510" s="38"/>
      <c r="BA2510" s="38"/>
      <c r="BB2510" s="38"/>
      <c r="BC2510" s="38"/>
      <c r="BD2510" s="38"/>
      <c r="BE2510" s="38"/>
      <c r="BF2510" s="38"/>
      <c r="BG2510" s="38"/>
      <c r="BH2510" s="38"/>
      <c r="BI2510" s="38"/>
      <c r="BJ2510" s="38"/>
      <c r="BK2510" s="38"/>
      <c r="BL2510" s="38"/>
      <c r="BM2510" s="38"/>
      <c r="BN2510" s="38"/>
      <c r="BO2510" s="38"/>
      <c r="BP2510" s="38"/>
      <c r="BQ2510" s="38"/>
    </row>
    <row r="2511">
      <c r="A2511" s="16"/>
      <c r="B2511" s="16"/>
      <c r="C2511" s="146"/>
      <c r="D2511" s="146"/>
      <c r="E2511" s="16"/>
      <c r="F2511" s="91"/>
      <c r="G2511" s="16"/>
      <c r="H2511" s="320" t="str">
        <f t="shared" si="33"/>
        <v/>
      </c>
      <c r="I2511" s="16"/>
      <c r="J2511" s="16"/>
      <c r="K2511" s="16"/>
      <c r="L2511" s="16"/>
      <c r="M2511" s="15"/>
      <c r="N2511" s="15"/>
      <c r="O2511" s="16"/>
      <c r="P2511" s="16"/>
      <c r="Q2511" s="16"/>
      <c r="R2511" s="16"/>
      <c r="S2511" s="37" t="str">
        <f>IFERROR(__xludf.DUMMYFUNCTION("if(not(iserror(index(split(C2511, "" ""),2))), index(split(C2511, "" ""),1),"""")"),"")</f>
        <v/>
      </c>
      <c r="T2511" s="315" t="str">
        <f>IFERROR(__xludf.DUMMYFUNCTION("if(S2511="""",C2511,if(not(iserror(index(split(C2511, "" ""),3))), index(split(C2511, "" ""),3),index(split(C2511, "" ""),2)))"),"")</f>
        <v/>
      </c>
      <c r="U2511" s="38" t="b">
        <f t="shared" si="34"/>
        <v>0</v>
      </c>
      <c r="V2511" s="38"/>
      <c r="W2511" s="40"/>
      <c r="X2511" s="40"/>
      <c r="Y2511" s="38"/>
      <c r="Z2511" s="38"/>
      <c r="AA2511" s="38"/>
      <c r="AB2511" s="38"/>
      <c r="AC2511" s="38"/>
      <c r="AD2511" s="38"/>
      <c r="AE2511" s="38"/>
      <c r="AF2511" s="38"/>
      <c r="AG2511" s="38"/>
      <c r="AH2511" s="38"/>
      <c r="AI2511" s="38"/>
      <c r="AJ2511" s="38"/>
      <c r="AK2511" s="38"/>
      <c r="AL2511" s="38"/>
      <c r="AM2511" s="38"/>
      <c r="AN2511" s="38"/>
      <c r="AO2511" s="38"/>
      <c r="AP2511" s="38"/>
      <c r="AQ2511" s="38"/>
      <c r="AR2511" s="38"/>
      <c r="AS2511" s="38"/>
      <c r="AT2511" s="38"/>
      <c r="AU2511" s="38"/>
      <c r="AV2511" s="38"/>
      <c r="AW2511" s="38"/>
      <c r="AX2511" s="38"/>
      <c r="AY2511" s="38"/>
      <c r="AZ2511" s="38"/>
      <c r="BA2511" s="38"/>
      <c r="BB2511" s="38"/>
      <c r="BC2511" s="38"/>
      <c r="BD2511" s="38"/>
      <c r="BE2511" s="38"/>
      <c r="BF2511" s="38"/>
      <c r="BG2511" s="38"/>
      <c r="BH2511" s="38"/>
      <c r="BI2511" s="38"/>
      <c r="BJ2511" s="38"/>
      <c r="BK2511" s="38"/>
      <c r="BL2511" s="38"/>
      <c r="BM2511" s="38"/>
      <c r="BN2511" s="38"/>
      <c r="BO2511" s="38"/>
      <c r="BP2511" s="38"/>
      <c r="BQ2511" s="38"/>
    </row>
    <row r="2512">
      <c r="A2512" s="16"/>
      <c r="B2512" s="16"/>
      <c r="C2512" s="146"/>
      <c r="D2512" s="146"/>
      <c r="E2512" s="16"/>
      <c r="F2512" s="91"/>
      <c r="G2512" s="16"/>
      <c r="H2512" s="320" t="str">
        <f t="shared" si="33"/>
        <v/>
      </c>
      <c r="I2512" s="16"/>
      <c r="J2512" s="16"/>
      <c r="K2512" s="16"/>
      <c r="L2512" s="16"/>
      <c r="M2512" s="15"/>
      <c r="N2512" s="15"/>
      <c r="O2512" s="16"/>
      <c r="P2512" s="16"/>
      <c r="Q2512" s="16"/>
      <c r="R2512" s="16"/>
      <c r="S2512" s="37" t="str">
        <f>IFERROR(__xludf.DUMMYFUNCTION("if(not(iserror(index(split(C2512, "" ""),2))), index(split(C2512, "" ""),1),"""")"),"")</f>
        <v/>
      </c>
      <c r="T2512" s="315" t="str">
        <f>IFERROR(__xludf.DUMMYFUNCTION("if(S2512="""",C2512,if(not(iserror(index(split(C2512, "" ""),3))), index(split(C2512, "" ""),3),index(split(C2512, "" ""),2)))"),"")</f>
        <v/>
      </c>
      <c r="U2512" s="38" t="b">
        <f t="shared" si="34"/>
        <v>0</v>
      </c>
      <c r="V2512" s="38"/>
      <c r="W2512" s="40"/>
      <c r="X2512" s="40"/>
      <c r="Y2512" s="38"/>
      <c r="Z2512" s="38"/>
      <c r="AA2512" s="38"/>
      <c r="AB2512" s="38"/>
      <c r="AC2512" s="38"/>
      <c r="AD2512" s="38"/>
      <c r="AE2512" s="38"/>
      <c r="AF2512" s="38"/>
      <c r="AG2512" s="38"/>
      <c r="AH2512" s="38"/>
      <c r="AI2512" s="38"/>
      <c r="AJ2512" s="38"/>
      <c r="AK2512" s="38"/>
      <c r="AL2512" s="38"/>
      <c r="AM2512" s="38"/>
      <c r="AN2512" s="38"/>
      <c r="AO2512" s="38"/>
      <c r="AP2512" s="38"/>
      <c r="AQ2512" s="38"/>
      <c r="AR2512" s="38"/>
      <c r="AS2512" s="38"/>
      <c r="AT2512" s="38"/>
      <c r="AU2512" s="38"/>
      <c r="AV2512" s="38"/>
      <c r="AW2512" s="38"/>
      <c r="AX2512" s="38"/>
      <c r="AY2512" s="38"/>
      <c r="AZ2512" s="38"/>
      <c r="BA2512" s="38"/>
      <c r="BB2512" s="38"/>
      <c r="BC2512" s="38"/>
      <c r="BD2512" s="38"/>
      <c r="BE2512" s="38"/>
      <c r="BF2512" s="38"/>
      <c r="BG2512" s="38"/>
      <c r="BH2512" s="38"/>
      <c r="BI2512" s="38"/>
      <c r="BJ2512" s="38"/>
      <c r="BK2512" s="38"/>
      <c r="BL2512" s="38"/>
      <c r="BM2512" s="38"/>
      <c r="BN2512" s="38"/>
      <c r="BO2512" s="38"/>
      <c r="BP2512" s="38"/>
      <c r="BQ2512" s="38"/>
    </row>
    <row r="2513">
      <c r="A2513" s="16"/>
      <c r="B2513" s="16"/>
      <c r="C2513" s="146"/>
      <c r="D2513" s="146"/>
      <c r="E2513" s="16"/>
      <c r="F2513" s="91"/>
      <c r="G2513" s="16"/>
      <c r="H2513" s="320" t="str">
        <f t="shared" si="33"/>
        <v/>
      </c>
      <c r="I2513" s="16"/>
      <c r="J2513" s="16"/>
      <c r="K2513" s="16"/>
      <c r="L2513" s="16"/>
      <c r="M2513" s="15"/>
      <c r="N2513" s="15"/>
      <c r="O2513" s="16"/>
      <c r="P2513" s="16"/>
      <c r="Q2513" s="16"/>
      <c r="R2513" s="16"/>
      <c r="S2513" s="37" t="str">
        <f>IFERROR(__xludf.DUMMYFUNCTION("if(not(iserror(index(split(C2513, "" ""),2))), index(split(C2513, "" ""),1),"""")"),"")</f>
        <v/>
      </c>
      <c r="T2513" s="315" t="str">
        <f>IFERROR(__xludf.DUMMYFUNCTION("if(S2513="""",C2513,if(not(iserror(index(split(C2513, "" ""),3))), index(split(C2513, "" ""),3),index(split(C2513, "" ""),2)))"),"")</f>
        <v/>
      </c>
      <c r="U2513" s="38" t="b">
        <f t="shared" si="34"/>
        <v>0</v>
      </c>
      <c r="V2513" s="38"/>
      <c r="W2513" s="40"/>
      <c r="X2513" s="40"/>
      <c r="Y2513" s="38"/>
      <c r="Z2513" s="38"/>
      <c r="AA2513" s="38"/>
      <c r="AB2513" s="38"/>
      <c r="AC2513" s="38"/>
      <c r="AD2513" s="38"/>
      <c r="AE2513" s="38"/>
      <c r="AF2513" s="38"/>
      <c r="AG2513" s="38"/>
      <c r="AH2513" s="38"/>
      <c r="AI2513" s="38"/>
      <c r="AJ2513" s="38"/>
      <c r="AK2513" s="38"/>
      <c r="AL2513" s="38"/>
      <c r="AM2513" s="38"/>
      <c r="AN2513" s="38"/>
      <c r="AO2513" s="38"/>
      <c r="AP2513" s="38"/>
      <c r="AQ2513" s="38"/>
      <c r="AR2513" s="38"/>
      <c r="AS2513" s="38"/>
      <c r="AT2513" s="38"/>
      <c r="AU2513" s="38"/>
      <c r="AV2513" s="38"/>
      <c r="AW2513" s="38"/>
      <c r="AX2513" s="38"/>
      <c r="AY2513" s="38"/>
      <c r="AZ2513" s="38"/>
      <c r="BA2513" s="38"/>
      <c r="BB2513" s="38"/>
      <c r="BC2513" s="38"/>
      <c r="BD2513" s="38"/>
      <c r="BE2513" s="38"/>
      <c r="BF2513" s="38"/>
      <c r="BG2513" s="38"/>
      <c r="BH2513" s="38"/>
      <c r="BI2513" s="38"/>
      <c r="BJ2513" s="38"/>
      <c r="BK2513" s="38"/>
      <c r="BL2513" s="38"/>
      <c r="BM2513" s="38"/>
      <c r="BN2513" s="38"/>
      <c r="BO2513" s="38"/>
      <c r="BP2513" s="38"/>
      <c r="BQ2513" s="38"/>
    </row>
    <row r="2514">
      <c r="A2514" s="16"/>
      <c r="B2514" s="16"/>
      <c r="C2514" s="146"/>
      <c r="D2514" s="146"/>
      <c r="E2514" s="16"/>
      <c r="F2514" s="91"/>
      <c r="G2514" s="16"/>
      <c r="H2514" s="320" t="str">
        <f t="shared" si="33"/>
        <v/>
      </c>
      <c r="I2514" s="16"/>
      <c r="J2514" s="16"/>
      <c r="K2514" s="16"/>
      <c r="L2514" s="16"/>
      <c r="M2514" s="15"/>
      <c r="N2514" s="15"/>
      <c r="O2514" s="16"/>
      <c r="P2514" s="16"/>
      <c r="Q2514" s="16"/>
      <c r="R2514" s="16"/>
      <c r="S2514" s="37" t="str">
        <f>IFERROR(__xludf.DUMMYFUNCTION("if(not(iserror(index(split(C2514, "" ""),2))), index(split(C2514, "" ""),1),"""")"),"")</f>
        <v/>
      </c>
      <c r="T2514" s="315" t="str">
        <f>IFERROR(__xludf.DUMMYFUNCTION("if(S2514="""",C2514,if(not(iserror(index(split(C2514, "" ""),3))), index(split(C2514, "" ""),3),index(split(C2514, "" ""),2)))"),"")</f>
        <v/>
      </c>
      <c r="U2514" s="38" t="b">
        <f t="shared" si="34"/>
        <v>0</v>
      </c>
      <c r="V2514" s="38"/>
      <c r="W2514" s="40"/>
      <c r="X2514" s="40"/>
      <c r="Y2514" s="38"/>
      <c r="Z2514" s="38"/>
      <c r="AA2514" s="38"/>
      <c r="AB2514" s="38"/>
      <c r="AC2514" s="38"/>
      <c r="AD2514" s="38"/>
      <c r="AE2514" s="38"/>
      <c r="AF2514" s="38"/>
      <c r="AG2514" s="38"/>
      <c r="AH2514" s="38"/>
      <c r="AI2514" s="38"/>
      <c r="AJ2514" s="38"/>
      <c r="AK2514" s="38"/>
      <c r="AL2514" s="38"/>
      <c r="AM2514" s="38"/>
      <c r="AN2514" s="38"/>
      <c r="AO2514" s="38"/>
      <c r="AP2514" s="38"/>
      <c r="AQ2514" s="38"/>
      <c r="AR2514" s="38"/>
      <c r="AS2514" s="38"/>
      <c r="AT2514" s="38"/>
      <c r="AU2514" s="38"/>
      <c r="AV2514" s="38"/>
      <c r="AW2514" s="38"/>
      <c r="AX2514" s="38"/>
      <c r="AY2514" s="38"/>
      <c r="AZ2514" s="38"/>
      <c r="BA2514" s="38"/>
      <c r="BB2514" s="38"/>
      <c r="BC2514" s="38"/>
      <c r="BD2514" s="38"/>
      <c r="BE2514" s="38"/>
      <c r="BF2514" s="38"/>
      <c r="BG2514" s="38"/>
      <c r="BH2514" s="38"/>
      <c r="BI2514" s="38"/>
      <c r="BJ2514" s="38"/>
      <c r="BK2514" s="38"/>
      <c r="BL2514" s="38"/>
      <c r="BM2514" s="38"/>
      <c r="BN2514" s="38"/>
      <c r="BO2514" s="38"/>
      <c r="BP2514" s="38"/>
      <c r="BQ2514" s="38"/>
    </row>
    <row r="2515">
      <c r="A2515" s="16"/>
      <c r="B2515" s="16"/>
      <c r="C2515" s="146"/>
      <c r="D2515" s="146"/>
      <c r="E2515" s="16"/>
      <c r="F2515" s="91"/>
      <c r="G2515" s="16"/>
      <c r="H2515" s="320" t="str">
        <f t="shared" si="33"/>
        <v/>
      </c>
      <c r="I2515" s="16"/>
      <c r="J2515" s="16"/>
      <c r="K2515" s="16"/>
      <c r="L2515" s="16"/>
      <c r="M2515" s="15"/>
      <c r="N2515" s="15"/>
      <c r="O2515" s="16"/>
      <c r="P2515" s="16"/>
      <c r="Q2515" s="16"/>
      <c r="R2515" s="16"/>
      <c r="S2515" s="37" t="str">
        <f>IFERROR(__xludf.DUMMYFUNCTION("if(not(iserror(index(split(C2515, "" ""),2))), index(split(C2515, "" ""),1),"""")"),"")</f>
        <v/>
      </c>
      <c r="T2515" s="315" t="str">
        <f>IFERROR(__xludf.DUMMYFUNCTION("if(S2515="""",C2515,if(not(iserror(index(split(C2515, "" ""),3))), index(split(C2515, "" ""),3),index(split(C2515, "" ""),2)))"),"")</f>
        <v/>
      </c>
      <c r="U2515" s="38" t="b">
        <f t="shared" si="34"/>
        <v>0</v>
      </c>
      <c r="V2515" s="38"/>
      <c r="W2515" s="40"/>
      <c r="X2515" s="40"/>
      <c r="Y2515" s="38"/>
      <c r="Z2515" s="38"/>
      <c r="AA2515" s="38"/>
      <c r="AB2515" s="38"/>
      <c r="AC2515" s="38"/>
      <c r="AD2515" s="38"/>
      <c r="AE2515" s="38"/>
      <c r="AF2515" s="38"/>
      <c r="AG2515" s="38"/>
      <c r="AH2515" s="38"/>
      <c r="AI2515" s="38"/>
      <c r="AJ2515" s="38"/>
      <c r="AK2515" s="38"/>
      <c r="AL2515" s="38"/>
      <c r="AM2515" s="38"/>
      <c r="AN2515" s="38"/>
      <c r="AO2515" s="38"/>
      <c r="AP2515" s="38"/>
      <c r="AQ2515" s="38"/>
      <c r="AR2515" s="38"/>
      <c r="AS2515" s="38"/>
      <c r="AT2515" s="38"/>
      <c r="AU2515" s="38"/>
      <c r="AV2515" s="38"/>
      <c r="AW2515" s="38"/>
      <c r="AX2515" s="38"/>
      <c r="AY2515" s="38"/>
      <c r="AZ2515" s="38"/>
      <c r="BA2515" s="38"/>
      <c r="BB2515" s="38"/>
      <c r="BC2515" s="38"/>
      <c r="BD2515" s="38"/>
      <c r="BE2515" s="38"/>
      <c r="BF2515" s="38"/>
      <c r="BG2515" s="38"/>
      <c r="BH2515" s="38"/>
      <c r="BI2515" s="38"/>
      <c r="BJ2515" s="38"/>
      <c r="BK2515" s="38"/>
      <c r="BL2515" s="38"/>
      <c r="BM2515" s="38"/>
      <c r="BN2515" s="38"/>
      <c r="BO2515" s="38"/>
      <c r="BP2515" s="38"/>
      <c r="BQ2515" s="38"/>
    </row>
    <row r="2516">
      <c r="A2516" s="16"/>
      <c r="B2516" s="16"/>
      <c r="C2516" s="146"/>
      <c r="D2516" s="146"/>
      <c r="E2516" s="16"/>
      <c r="F2516" s="91"/>
      <c r="G2516" s="16"/>
      <c r="H2516" s="320" t="str">
        <f t="shared" si="33"/>
        <v/>
      </c>
      <c r="I2516" s="16"/>
      <c r="J2516" s="16"/>
      <c r="K2516" s="16"/>
      <c r="L2516" s="16"/>
      <c r="M2516" s="15"/>
      <c r="N2516" s="15"/>
      <c r="O2516" s="16"/>
      <c r="P2516" s="16"/>
      <c r="Q2516" s="16"/>
      <c r="R2516" s="16"/>
      <c r="S2516" s="37" t="str">
        <f>IFERROR(__xludf.DUMMYFUNCTION("if(not(iserror(index(split(C2516, "" ""),2))), index(split(C2516, "" ""),1),"""")"),"")</f>
        <v/>
      </c>
      <c r="T2516" s="315" t="str">
        <f>IFERROR(__xludf.DUMMYFUNCTION("if(S2516="""",C2516,if(not(iserror(index(split(C2516, "" ""),3))), index(split(C2516, "" ""),3),index(split(C2516, "" ""),2)))"),"")</f>
        <v/>
      </c>
      <c r="U2516" s="38" t="b">
        <f t="shared" si="34"/>
        <v>0</v>
      </c>
      <c r="V2516" s="38"/>
      <c r="W2516" s="40"/>
      <c r="X2516" s="40"/>
      <c r="Y2516" s="38"/>
      <c r="Z2516" s="38"/>
      <c r="AA2516" s="38"/>
      <c r="AB2516" s="38"/>
      <c r="AC2516" s="38"/>
      <c r="AD2516" s="38"/>
      <c r="AE2516" s="38"/>
      <c r="AF2516" s="38"/>
      <c r="AG2516" s="38"/>
      <c r="AH2516" s="38"/>
      <c r="AI2516" s="38"/>
      <c r="AJ2516" s="38"/>
      <c r="AK2516" s="38"/>
      <c r="AL2516" s="38"/>
      <c r="AM2516" s="38"/>
      <c r="AN2516" s="38"/>
      <c r="AO2516" s="38"/>
      <c r="AP2516" s="38"/>
      <c r="AQ2516" s="38"/>
      <c r="AR2516" s="38"/>
      <c r="AS2516" s="38"/>
      <c r="AT2516" s="38"/>
      <c r="AU2516" s="38"/>
      <c r="AV2516" s="38"/>
      <c r="AW2516" s="38"/>
      <c r="AX2516" s="38"/>
      <c r="AY2516" s="38"/>
      <c r="AZ2516" s="38"/>
      <c r="BA2516" s="38"/>
      <c r="BB2516" s="38"/>
      <c r="BC2516" s="38"/>
      <c r="BD2516" s="38"/>
      <c r="BE2516" s="38"/>
      <c r="BF2516" s="38"/>
      <c r="BG2516" s="38"/>
      <c r="BH2516" s="38"/>
      <c r="BI2516" s="38"/>
      <c r="BJ2516" s="38"/>
      <c r="BK2516" s="38"/>
      <c r="BL2516" s="38"/>
      <c r="BM2516" s="38"/>
      <c r="BN2516" s="38"/>
      <c r="BO2516" s="38"/>
      <c r="BP2516" s="38"/>
      <c r="BQ2516" s="38"/>
    </row>
    <row r="2517">
      <c r="A2517" s="16"/>
      <c r="B2517" s="16"/>
      <c r="C2517" s="146"/>
      <c r="D2517" s="146"/>
      <c r="E2517" s="16"/>
      <c r="F2517" s="91"/>
      <c r="G2517" s="16"/>
      <c r="H2517" s="320" t="str">
        <f t="shared" si="33"/>
        <v/>
      </c>
      <c r="I2517" s="16"/>
      <c r="J2517" s="16"/>
      <c r="K2517" s="16"/>
      <c r="L2517" s="16"/>
      <c r="M2517" s="15"/>
      <c r="N2517" s="15"/>
      <c r="O2517" s="16"/>
      <c r="P2517" s="16"/>
      <c r="Q2517" s="16"/>
      <c r="R2517" s="16"/>
      <c r="S2517" s="37" t="str">
        <f>IFERROR(__xludf.DUMMYFUNCTION("if(not(iserror(index(split(C2517, "" ""),2))), index(split(C2517, "" ""),1),"""")"),"")</f>
        <v/>
      </c>
      <c r="T2517" s="315" t="str">
        <f>IFERROR(__xludf.DUMMYFUNCTION("if(S2517="""",C2517,if(not(iserror(index(split(C2517, "" ""),3))), index(split(C2517, "" ""),3),index(split(C2517, "" ""),2)))"),"")</f>
        <v/>
      </c>
      <c r="U2517" s="38" t="b">
        <f t="shared" si="34"/>
        <v>0</v>
      </c>
      <c r="V2517" s="38"/>
      <c r="W2517" s="40"/>
      <c r="X2517" s="40"/>
      <c r="Y2517" s="38"/>
      <c r="Z2517" s="38"/>
      <c r="AA2517" s="38"/>
      <c r="AB2517" s="38"/>
      <c r="AC2517" s="38"/>
      <c r="AD2517" s="38"/>
      <c r="AE2517" s="38"/>
      <c r="AF2517" s="38"/>
      <c r="AG2517" s="38"/>
      <c r="AH2517" s="38"/>
      <c r="AI2517" s="38"/>
      <c r="AJ2517" s="38"/>
      <c r="AK2517" s="38"/>
      <c r="AL2517" s="38"/>
      <c r="AM2517" s="38"/>
      <c r="AN2517" s="38"/>
      <c r="AO2517" s="38"/>
      <c r="AP2517" s="38"/>
      <c r="AQ2517" s="38"/>
      <c r="AR2517" s="38"/>
      <c r="AS2517" s="38"/>
      <c r="AT2517" s="38"/>
      <c r="AU2517" s="38"/>
      <c r="AV2517" s="38"/>
      <c r="AW2517" s="38"/>
      <c r="AX2517" s="38"/>
      <c r="AY2517" s="38"/>
      <c r="AZ2517" s="38"/>
      <c r="BA2517" s="38"/>
      <c r="BB2517" s="38"/>
      <c r="BC2517" s="38"/>
      <c r="BD2517" s="38"/>
      <c r="BE2517" s="38"/>
      <c r="BF2517" s="38"/>
      <c r="BG2517" s="38"/>
      <c r="BH2517" s="38"/>
      <c r="BI2517" s="38"/>
      <c r="BJ2517" s="38"/>
      <c r="BK2517" s="38"/>
      <c r="BL2517" s="38"/>
      <c r="BM2517" s="38"/>
      <c r="BN2517" s="38"/>
      <c r="BO2517" s="38"/>
      <c r="BP2517" s="38"/>
      <c r="BQ2517" s="38"/>
    </row>
    <row r="2518">
      <c r="A2518" s="16"/>
      <c r="B2518" s="16"/>
      <c r="C2518" s="146"/>
      <c r="D2518" s="146"/>
      <c r="E2518" s="16"/>
      <c r="F2518" s="91"/>
      <c r="G2518" s="16"/>
      <c r="H2518" s="320" t="str">
        <f t="shared" si="33"/>
        <v/>
      </c>
      <c r="I2518" s="16"/>
      <c r="J2518" s="16"/>
      <c r="K2518" s="16"/>
      <c r="L2518" s="16"/>
      <c r="M2518" s="15"/>
      <c r="N2518" s="15"/>
      <c r="O2518" s="16"/>
      <c r="P2518" s="16"/>
      <c r="Q2518" s="16"/>
      <c r="R2518" s="16"/>
      <c r="S2518" s="37" t="str">
        <f>IFERROR(__xludf.DUMMYFUNCTION("if(not(iserror(index(split(C2518, "" ""),2))), index(split(C2518, "" ""),1),"""")"),"")</f>
        <v/>
      </c>
      <c r="T2518" s="315" t="str">
        <f>IFERROR(__xludf.DUMMYFUNCTION("if(S2518="""",C2518,if(not(iserror(index(split(C2518, "" ""),3))), index(split(C2518, "" ""),3),index(split(C2518, "" ""),2)))"),"")</f>
        <v/>
      </c>
      <c r="U2518" s="38" t="b">
        <f t="shared" si="34"/>
        <v>0</v>
      </c>
      <c r="V2518" s="38"/>
      <c r="W2518" s="40"/>
      <c r="X2518" s="40"/>
      <c r="Y2518" s="38"/>
      <c r="Z2518" s="38"/>
      <c r="AA2518" s="38"/>
      <c r="AB2518" s="38"/>
      <c r="AC2518" s="38"/>
      <c r="AD2518" s="38"/>
      <c r="AE2518" s="38"/>
      <c r="AF2518" s="38"/>
      <c r="AG2518" s="38"/>
      <c r="AH2518" s="38"/>
      <c r="AI2518" s="38"/>
      <c r="AJ2518" s="38"/>
      <c r="AK2518" s="38"/>
      <c r="AL2518" s="38"/>
      <c r="AM2518" s="38"/>
      <c r="AN2518" s="38"/>
      <c r="AO2518" s="38"/>
      <c r="AP2518" s="38"/>
      <c r="AQ2518" s="38"/>
      <c r="AR2518" s="38"/>
      <c r="AS2518" s="38"/>
      <c r="AT2518" s="38"/>
      <c r="AU2518" s="38"/>
      <c r="AV2518" s="38"/>
      <c r="AW2518" s="38"/>
      <c r="AX2518" s="38"/>
      <c r="AY2518" s="38"/>
      <c r="AZ2518" s="38"/>
      <c r="BA2518" s="38"/>
      <c r="BB2518" s="38"/>
      <c r="BC2518" s="38"/>
      <c r="BD2518" s="38"/>
      <c r="BE2518" s="38"/>
      <c r="BF2518" s="38"/>
      <c r="BG2518" s="38"/>
      <c r="BH2518" s="38"/>
      <c r="BI2518" s="38"/>
      <c r="BJ2518" s="38"/>
      <c r="BK2518" s="38"/>
      <c r="BL2518" s="38"/>
      <c r="BM2518" s="38"/>
      <c r="BN2518" s="38"/>
      <c r="BO2518" s="38"/>
      <c r="BP2518" s="38"/>
      <c r="BQ2518" s="38"/>
    </row>
    <row r="2519">
      <c r="A2519" s="16"/>
      <c r="B2519" s="16"/>
      <c r="C2519" s="146"/>
      <c r="D2519" s="146"/>
      <c r="E2519" s="16"/>
      <c r="F2519" s="91"/>
      <c r="G2519" s="16"/>
      <c r="H2519" s="320" t="str">
        <f t="shared" si="33"/>
        <v/>
      </c>
      <c r="I2519" s="16"/>
      <c r="J2519" s="16"/>
      <c r="K2519" s="16"/>
      <c r="L2519" s="16"/>
      <c r="M2519" s="15"/>
      <c r="N2519" s="15"/>
      <c r="O2519" s="16"/>
      <c r="P2519" s="16"/>
      <c r="Q2519" s="16"/>
      <c r="R2519" s="16"/>
      <c r="S2519" s="37" t="str">
        <f>IFERROR(__xludf.DUMMYFUNCTION("if(not(iserror(index(split(C2519, "" ""),2))), index(split(C2519, "" ""),1),"""")"),"")</f>
        <v/>
      </c>
      <c r="T2519" s="315" t="str">
        <f>IFERROR(__xludf.DUMMYFUNCTION("if(S2519="""",C2519,if(not(iserror(index(split(C2519, "" ""),3))), index(split(C2519, "" ""),3),index(split(C2519, "" ""),2)))"),"")</f>
        <v/>
      </c>
      <c r="U2519" s="38" t="b">
        <f t="shared" si="34"/>
        <v>0</v>
      </c>
      <c r="V2519" s="38"/>
      <c r="W2519" s="40"/>
      <c r="X2519" s="40"/>
      <c r="Y2519" s="38"/>
      <c r="Z2519" s="38"/>
      <c r="AA2519" s="38"/>
      <c r="AB2519" s="38"/>
      <c r="AC2519" s="38"/>
      <c r="AD2519" s="38"/>
      <c r="AE2519" s="38"/>
      <c r="AF2519" s="38"/>
      <c r="AG2519" s="38"/>
      <c r="AH2519" s="38"/>
      <c r="AI2519" s="38"/>
      <c r="AJ2519" s="38"/>
      <c r="AK2519" s="38"/>
      <c r="AL2519" s="38"/>
      <c r="AM2519" s="38"/>
      <c r="AN2519" s="38"/>
      <c r="AO2519" s="38"/>
      <c r="AP2519" s="38"/>
      <c r="AQ2519" s="38"/>
      <c r="AR2519" s="38"/>
      <c r="AS2519" s="38"/>
      <c r="AT2519" s="38"/>
      <c r="AU2519" s="38"/>
      <c r="AV2519" s="38"/>
      <c r="AW2519" s="38"/>
      <c r="AX2519" s="38"/>
      <c r="AY2519" s="38"/>
      <c r="AZ2519" s="38"/>
      <c r="BA2519" s="38"/>
      <c r="BB2519" s="38"/>
      <c r="BC2519" s="38"/>
      <c r="BD2519" s="38"/>
      <c r="BE2519" s="38"/>
      <c r="BF2519" s="38"/>
      <c r="BG2519" s="38"/>
      <c r="BH2519" s="38"/>
      <c r="BI2519" s="38"/>
      <c r="BJ2519" s="38"/>
      <c r="BK2519" s="38"/>
      <c r="BL2519" s="38"/>
      <c r="BM2519" s="38"/>
      <c r="BN2519" s="38"/>
      <c r="BO2519" s="38"/>
      <c r="BP2519" s="38"/>
      <c r="BQ2519" s="38"/>
    </row>
    <row r="2520">
      <c r="A2520" s="16"/>
      <c r="B2520" s="16"/>
      <c r="C2520" s="146"/>
      <c r="D2520" s="146"/>
      <c r="E2520" s="16"/>
      <c r="F2520" s="91"/>
      <c r="G2520" s="16"/>
      <c r="H2520" s="320" t="str">
        <f t="shared" si="33"/>
        <v/>
      </c>
      <c r="I2520" s="16"/>
      <c r="J2520" s="16"/>
      <c r="K2520" s="16"/>
      <c r="L2520" s="16"/>
      <c r="M2520" s="15"/>
      <c r="N2520" s="15"/>
      <c r="O2520" s="16"/>
      <c r="P2520" s="16"/>
      <c r="Q2520" s="16"/>
      <c r="R2520" s="16"/>
      <c r="S2520" s="37" t="str">
        <f>IFERROR(__xludf.DUMMYFUNCTION("if(not(iserror(index(split(C2520, "" ""),2))), index(split(C2520, "" ""),1),"""")"),"")</f>
        <v/>
      </c>
      <c r="T2520" s="315" t="str">
        <f>IFERROR(__xludf.DUMMYFUNCTION("if(S2520="""",C2520,if(not(iserror(index(split(C2520, "" ""),3))), index(split(C2520, "" ""),3),index(split(C2520, "" ""),2)))"),"")</f>
        <v/>
      </c>
      <c r="U2520" s="38" t="b">
        <f t="shared" si="34"/>
        <v>0</v>
      </c>
      <c r="V2520" s="38"/>
      <c r="W2520" s="40"/>
      <c r="X2520" s="40"/>
      <c r="Y2520" s="38"/>
      <c r="Z2520" s="38"/>
      <c r="AA2520" s="38"/>
      <c r="AB2520" s="38"/>
      <c r="AC2520" s="38"/>
      <c r="AD2520" s="38"/>
      <c r="AE2520" s="38"/>
      <c r="AF2520" s="38"/>
      <c r="AG2520" s="38"/>
      <c r="AH2520" s="38"/>
      <c r="AI2520" s="38"/>
      <c r="AJ2520" s="38"/>
      <c r="AK2520" s="38"/>
      <c r="AL2520" s="38"/>
      <c r="AM2520" s="38"/>
      <c r="AN2520" s="38"/>
      <c r="AO2520" s="38"/>
      <c r="AP2520" s="38"/>
      <c r="AQ2520" s="38"/>
      <c r="AR2520" s="38"/>
      <c r="AS2520" s="38"/>
      <c r="AT2520" s="38"/>
      <c r="AU2520" s="38"/>
      <c r="AV2520" s="38"/>
      <c r="AW2520" s="38"/>
      <c r="AX2520" s="38"/>
      <c r="AY2520" s="38"/>
      <c r="AZ2520" s="38"/>
      <c r="BA2520" s="38"/>
      <c r="BB2520" s="38"/>
      <c r="BC2520" s="38"/>
      <c r="BD2520" s="38"/>
      <c r="BE2520" s="38"/>
      <c r="BF2520" s="38"/>
      <c r="BG2520" s="38"/>
      <c r="BH2520" s="38"/>
      <c r="BI2520" s="38"/>
      <c r="BJ2520" s="38"/>
      <c r="BK2520" s="38"/>
      <c r="BL2520" s="38"/>
      <c r="BM2520" s="38"/>
      <c r="BN2520" s="38"/>
      <c r="BO2520" s="38"/>
      <c r="BP2520" s="38"/>
      <c r="BQ2520" s="38"/>
    </row>
    <row r="2521">
      <c r="A2521" s="16"/>
      <c r="B2521" s="16"/>
      <c r="C2521" s="146"/>
      <c r="D2521" s="146"/>
      <c r="E2521" s="16"/>
      <c r="F2521" s="91"/>
      <c r="G2521" s="16"/>
      <c r="H2521" s="320" t="str">
        <f t="shared" si="33"/>
        <v/>
      </c>
      <c r="I2521" s="16"/>
      <c r="J2521" s="16"/>
      <c r="K2521" s="16"/>
      <c r="L2521" s="16"/>
      <c r="M2521" s="15"/>
      <c r="N2521" s="15"/>
      <c r="O2521" s="16"/>
      <c r="P2521" s="16"/>
      <c r="Q2521" s="16"/>
      <c r="R2521" s="16"/>
      <c r="S2521" s="37" t="str">
        <f>IFERROR(__xludf.DUMMYFUNCTION("if(not(iserror(index(split(C2521, "" ""),2))), index(split(C2521, "" ""),1),"""")"),"")</f>
        <v/>
      </c>
      <c r="T2521" s="315" t="str">
        <f>IFERROR(__xludf.DUMMYFUNCTION("if(S2521="""",C2521,if(not(iserror(index(split(C2521, "" ""),3))), index(split(C2521, "" ""),3),index(split(C2521, "" ""),2)))"),"")</f>
        <v/>
      </c>
      <c r="U2521" s="38" t="b">
        <f t="shared" si="34"/>
        <v>0</v>
      </c>
      <c r="V2521" s="38"/>
      <c r="W2521" s="40"/>
      <c r="X2521" s="40"/>
      <c r="Y2521" s="38"/>
      <c r="Z2521" s="38"/>
      <c r="AA2521" s="38"/>
      <c r="AB2521" s="38"/>
      <c r="AC2521" s="38"/>
      <c r="AD2521" s="38"/>
      <c r="AE2521" s="38"/>
      <c r="AF2521" s="38"/>
      <c r="AG2521" s="38"/>
      <c r="AH2521" s="38"/>
      <c r="AI2521" s="38"/>
      <c r="AJ2521" s="38"/>
      <c r="AK2521" s="38"/>
      <c r="AL2521" s="38"/>
      <c r="AM2521" s="38"/>
      <c r="AN2521" s="38"/>
      <c r="AO2521" s="38"/>
      <c r="AP2521" s="38"/>
      <c r="AQ2521" s="38"/>
      <c r="AR2521" s="38"/>
      <c r="AS2521" s="38"/>
      <c r="AT2521" s="38"/>
      <c r="AU2521" s="38"/>
      <c r="AV2521" s="38"/>
      <c r="AW2521" s="38"/>
      <c r="AX2521" s="38"/>
      <c r="AY2521" s="38"/>
      <c r="AZ2521" s="38"/>
      <c r="BA2521" s="38"/>
      <c r="BB2521" s="38"/>
      <c r="BC2521" s="38"/>
      <c r="BD2521" s="38"/>
      <c r="BE2521" s="38"/>
      <c r="BF2521" s="38"/>
      <c r="BG2521" s="38"/>
      <c r="BH2521" s="38"/>
      <c r="BI2521" s="38"/>
      <c r="BJ2521" s="38"/>
      <c r="BK2521" s="38"/>
      <c r="BL2521" s="38"/>
      <c r="BM2521" s="38"/>
      <c r="BN2521" s="38"/>
      <c r="BO2521" s="38"/>
      <c r="BP2521" s="38"/>
      <c r="BQ2521" s="38"/>
    </row>
    <row r="2522">
      <c r="A2522" s="16"/>
      <c r="B2522" s="16"/>
      <c r="C2522" s="146"/>
      <c r="D2522" s="146"/>
      <c r="E2522" s="16"/>
      <c r="F2522" s="91"/>
      <c r="G2522" s="16"/>
      <c r="H2522" s="320" t="str">
        <f t="shared" si="33"/>
        <v/>
      </c>
      <c r="I2522" s="16"/>
      <c r="J2522" s="16"/>
      <c r="K2522" s="16"/>
      <c r="L2522" s="16"/>
      <c r="M2522" s="15"/>
      <c r="N2522" s="15"/>
      <c r="O2522" s="16"/>
      <c r="P2522" s="16"/>
      <c r="Q2522" s="16"/>
      <c r="R2522" s="16"/>
      <c r="S2522" s="37" t="str">
        <f>IFERROR(__xludf.DUMMYFUNCTION("if(not(iserror(index(split(C2522, "" ""),2))), index(split(C2522, "" ""),1),"""")"),"")</f>
        <v/>
      </c>
      <c r="T2522" s="315" t="str">
        <f>IFERROR(__xludf.DUMMYFUNCTION("if(S2522="""",C2522,if(not(iserror(index(split(C2522, "" ""),3))), index(split(C2522, "" ""),3),index(split(C2522, "" ""),2)))"),"")</f>
        <v/>
      </c>
      <c r="U2522" s="38" t="b">
        <f t="shared" si="34"/>
        <v>0</v>
      </c>
      <c r="V2522" s="38"/>
      <c r="W2522" s="40"/>
      <c r="X2522" s="40"/>
      <c r="Y2522" s="38"/>
      <c r="Z2522" s="38"/>
      <c r="AA2522" s="38"/>
      <c r="AB2522" s="38"/>
      <c r="AC2522" s="38"/>
      <c r="AD2522" s="38"/>
      <c r="AE2522" s="38"/>
      <c r="AF2522" s="38"/>
      <c r="AG2522" s="38"/>
      <c r="AH2522" s="38"/>
      <c r="AI2522" s="38"/>
      <c r="AJ2522" s="38"/>
      <c r="AK2522" s="38"/>
      <c r="AL2522" s="38"/>
      <c r="AM2522" s="38"/>
      <c r="AN2522" s="38"/>
      <c r="AO2522" s="38"/>
      <c r="AP2522" s="38"/>
      <c r="AQ2522" s="38"/>
      <c r="AR2522" s="38"/>
      <c r="AS2522" s="38"/>
      <c r="AT2522" s="38"/>
      <c r="AU2522" s="38"/>
      <c r="AV2522" s="38"/>
      <c r="AW2522" s="38"/>
      <c r="AX2522" s="38"/>
      <c r="AY2522" s="38"/>
      <c r="AZ2522" s="38"/>
      <c r="BA2522" s="38"/>
      <c r="BB2522" s="38"/>
      <c r="BC2522" s="38"/>
      <c r="BD2522" s="38"/>
      <c r="BE2522" s="38"/>
      <c r="BF2522" s="38"/>
      <c r="BG2522" s="38"/>
      <c r="BH2522" s="38"/>
      <c r="BI2522" s="38"/>
      <c r="BJ2522" s="38"/>
      <c r="BK2522" s="38"/>
      <c r="BL2522" s="38"/>
      <c r="BM2522" s="38"/>
      <c r="BN2522" s="38"/>
      <c r="BO2522" s="38"/>
      <c r="BP2522" s="38"/>
      <c r="BQ2522" s="38"/>
    </row>
    <row r="2523">
      <c r="A2523" s="16"/>
      <c r="B2523" s="16"/>
      <c r="C2523" s="146"/>
      <c r="D2523" s="146"/>
      <c r="E2523" s="16"/>
      <c r="F2523" s="91"/>
      <c r="G2523" s="16"/>
      <c r="H2523" s="320" t="str">
        <f t="shared" si="33"/>
        <v/>
      </c>
      <c r="I2523" s="16"/>
      <c r="J2523" s="16"/>
      <c r="K2523" s="16"/>
      <c r="L2523" s="16"/>
      <c r="M2523" s="15"/>
      <c r="N2523" s="15"/>
      <c r="O2523" s="16"/>
      <c r="P2523" s="16"/>
      <c r="Q2523" s="16"/>
      <c r="R2523" s="16"/>
      <c r="S2523" s="37" t="str">
        <f>IFERROR(__xludf.DUMMYFUNCTION("if(not(iserror(index(split(C2523, "" ""),2))), index(split(C2523, "" ""),1),"""")"),"")</f>
        <v/>
      </c>
      <c r="T2523" s="315" t="str">
        <f>IFERROR(__xludf.DUMMYFUNCTION("if(S2523="""",C2523,if(not(iserror(index(split(C2523, "" ""),3))), index(split(C2523, "" ""),3),index(split(C2523, "" ""),2)))"),"")</f>
        <v/>
      </c>
      <c r="U2523" s="38" t="b">
        <f t="shared" si="34"/>
        <v>0</v>
      </c>
      <c r="V2523" s="38"/>
      <c r="W2523" s="40"/>
      <c r="X2523" s="40"/>
      <c r="Y2523" s="38"/>
      <c r="Z2523" s="38"/>
      <c r="AA2523" s="38"/>
      <c r="AB2523" s="38"/>
      <c r="AC2523" s="38"/>
      <c r="AD2523" s="38"/>
      <c r="AE2523" s="38"/>
      <c r="AF2523" s="38"/>
      <c r="AG2523" s="38"/>
      <c r="AH2523" s="38"/>
      <c r="AI2523" s="38"/>
      <c r="AJ2523" s="38"/>
      <c r="AK2523" s="38"/>
      <c r="AL2523" s="38"/>
      <c r="AM2523" s="38"/>
      <c r="AN2523" s="38"/>
      <c r="AO2523" s="38"/>
      <c r="AP2523" s="38"/>
      <c r="AQ2523" s="38"/>
      <c r="AR2523" s="38"/>
      <c r="AS2523" s="38"/>
      <c r="AT2523" s="38"/>
      <c r="AU2523" s="38"/>
      <c r="AV2523" s="38"/>
      <c r="AW2523" s="38"/>
      <c r="AX2523" s="38"/>
      <c r="AY2523" s="38"/>
      <c r="AZ2523" s="38"/>
      <c r="BA2523" s="38"/>
      <c r="BB2523" s="38"/>
      <c r="BC2523" s="38"/>
      <c r="BD2523" s="38"/>
      <c r="BE2523" s="38"/>
      <c r="BF2523" s="38"/>
      <c r="BG2523" s="38"/>
      <c r="BH2523" s="38"/>
      <c r="BI2523" s="38"/>
      <c r="BJ2523" s="38"/>
      <c r="BK2523" s="38"/>
      <c r="BL2523" s="38"/>
      <c r="BM2523" s="38"/>
      <c r="BN2523" s="38"/>
      <c r="BO2523" s="38"/>
      <c r="BP2523" s="38"/>
      <c r="BQ2523" s="38"/>
    </row>
    <row r="2524">
      <c r="A2524" s="16"/>
      <c r="B2524" s="16"/>
      <c r="C2524" s="146"/>
      <c r="D2524" s="146"/>
      <c r="E2524" s="16"/>
      <c r="F2524" s="91"/>
      <c r="G2524" s="16"/>
      <c r="H2524" s="320" t="str">
        <f t="shared" si="33"/>
        <v/>
      </c>
      <c r="I2524" s="16"/>
      <c r="J2524" s="16"/>
      <c r="K2524" s="16"/>
      <c r="L2524" s="16"/>
      <c r="M2524" s="15"/>
      <c r="N2524" s="15"/>
      <c r="O2524" s="16"/>
      <c r="P2524" s="16"/>
      <c r="Q2524" s="16"/>
      <c r="R2524" s="16"/>
      <c r="S2524" s="37" t="str">
        <f>IFERROR(__xludf.DUMMYFUNCTION("if(not(iserror(index(split(C2524, "" ""),2))), index(split(C2524, "" ""),1),"""")"),"")</f>
        <v/>
      </c>
      <c r="T2524" s="315" t="str">
        <f>IFERROR(__xludf.DUMMYFUNCTION("if(S2524="""",C2524,if(not(iserror(index(split(C2524, "" ""),3))), index(split(C2524, "" ""),3),index(split(C2524, "" ""),2)))"),"")</f>
        <v/>
      </c>
      <c r="U2524" s="38" t="b">
        <f t="shared" si="34"/>
        <v>0</v>
      </c>
      <c r="V2524" s="38"/>
      <c r="W2524" s="40"/>
      <c r="X2524" s="40"/>
      <c r="Y2524" s="38"/>
      <c r="Z2524" s="38"/>
      <c r="AA2524" s="38"/>
      <c r="AB2524" s="38"/>
      <c r="AC2524" s="38"/>
      <c r="AD2524" s="38"/>
      <c r="AE2524" s="38"/>
      <c r="AF2524" s="38"/>
      <c r="AG2524" s="38"/>
      <c r="AH2524" s="38"/>
      <c r="AI2524" s="38"/>
      <c r="AJ2524" s="38"/>
      <c r="AK2524" s="38"/>
      <c r="AL2524" s="38"/>
      <c r="AM2524" s="38"/>
      <c r="AN2524" s="38"/>
      <c r="AO2524" s="38"/>
      <c r="AP2524" s="38"/>
      <c r="AQ2524" s="38"/>
      <c r="AR2524" s="38"/>
      <c r="AS2524" s="38"/>
      <c r="AT2524" s="38"/>
      <c r="AU2524" s="38"/>
      <c r="AV2524" s="38"/>
      <c r="AW2524" s="38"/>
      <c r="AX2524" s="38"/>
      <c r="AY2524" s="38"/>
      <c r="AZ2524" s="38"/>
      <c r="BA2524" s="38"/>
      <c r="BB2524" s="38"/>
      <c r="BC2524" s="38"/>
      <c r="BD2524" s="38"/>
      <c r="BE2524" s="38"/>
      <c r="BF2524" s="38"/>
      <c r="BG2524" s="38"/>
      <c r="BH2524" s="38"/>
      <c r="BI2524" s="38"/>
      <c r="BJ2524" s="38"/>
      <c r="BK2524" s="38"/>
      <c r="BL2524" s="38"/>
      <c r="BM2524" s="38"/>
      <c r="BN2524" s="38"/>
      <c r="BO2524" s="38"/>
      <c r="BP2524" s="38"/>
      <c r="BQ2524" s="38"/>
    </row>
    <row r="2525">
      <c r="A2525" s="16"/>
      <c r="B2525" s="16"/>
      <c r="C2525" s="146"/>
      <c r="D2525" s="146"/>
      <c r="E2525" s="16"/>
      <c r="F2525" s="91"/>
      <c r="G2525" s="16"/>
      <c r="H2525" s="320" t="str">
        <f t="shared" si="33"/>
        <v/>
      </c>
      <c r="I2525" s="16"/>
      <c r="J2525" s="16"/>
      <c r="K2525" s="16"/>
      <c r="L2525" s="16"/>
      <c r="M2525" s="15"/>
      <c r="N2525" s="15"/>
      <c r="O2525" s="16"/>
      <c r="P2525" s="16"/>
      <c r="Q2525" s="16"/>
      <c r="R2525" s="16"/>
      <c r="S2525" s="37" t="str">
        <f>IFERROR(__xludf.DUMMYFUNCTION("if(not(iserror(index(split(C2525, "" ""),2))), index(split(C2525, "" ""),1),"""")"),"")</f>
        <v/>
      </c>
      <c r="T2525" s="315" t="str">
        <f>IFERROR(__xludf.DUMMYFUNCTION("if(S2525="""",C2525,if(not(iserror(index(split(C2525, "" ""),3))), index(split(C2525, "" ""),3),index(split(C2525, "" ""),2)))"),"")</f>
        <v/>
      </c>
      <c r="U2525" s="38" t="b">
        <f t="shared" si="34"/>
        <v>0</v>
      </c>
      <c r="V2525" s="38"/>
      <c r="W2525" s="40"/>
      <c r="X2525" s="40"/>
      <c r="Y2525" s="38"/>
      <c r="Z2525" s="38"/>
      <c r="AA2525" s="38"/>
      <c r="AB2525" s="38"/>
      <c r="AC2525" s="38"/>
      <c r="AD2525" s="38"/>
      <c r="AE2525" s="38"/>
      <c r="AF2525" s="38"/>
      <c r="AG2525" s="38"/>
      <c r="AH2525" s="38"/>
      <c r="AI2525" s="38"/>
      <c r="AJ2525" s="38"/>
      <c r="AK2525" s="38"/>
      <c r="AL2525" s="38"/>
      <c r="AM2525" s="38"/>
      <c r="AN2525" s="38"/>
      <c r="AO2525" s="38"/>
      <c r="AP2525" s="38"/>
      <c r="AQ2525" s="38"/>
      <c r="AR2525" s="38"/>
      <c r="AS2525" s="38"/>
      <c r="AT2525" s="38"/>
      <c r="AU2525" s="38"/>
      <c r="AV2525" s="38"/>
      <c r="AW2525" s="38"/>
      <c r="AX2525" s="38"/>
      <c r="AY2525" s="38"/>
      <c r="AZ2525" s="38"/>
      <c r="BA2525" s="38"/>
      <c r="BB2525" s="38"/>
      <c r="BC2525" s="38"/>
      <c r="BD2525" s="38"/>
      <c r="BE2525" s="38"/>
      <c r="BF2525" s="38"/>
      <c r="BG2525" s="38"/>
      <c r="BH2525" s="38"/>
      <c r="BI2525" s="38"/>
      <c r="BJ2525" s="38"/>
      <c r="BK2525" s="38"/>
      <c r="BL2525" s="38"/>
      <c r="BM2525" s="38"/>
      <c r="BN2525" s="38"/>
      <c r="BO2525" s="38"/>
      <c r="BP2525" s="38"/>
      <c r="BQ2525" s="38"/>
    </row>
    <row r="2526">
      <c r="A2526" s="16"/>
      <c r="B2526" s="16"/>
      <c r="C2526" s="146"/>
      <c r="D2526" s="146"/>
      <c r="E2526" s="16"/>
      <c r="F2526" s="91"/>
      <c r="G2526" s="16"/>
      <c r="H2526" s="320" t="str">
        <f t="shared" si="33"/>
        <v/>
      </c>
      <c r="I2526" s="16"/>
      <c r="J2526" s="16"/>
      <c r="K2526" s="16"/>
      <c r="L2526" s="16"/>
      <c r="M2526" s="15"/>
      <c r="N2526" s="15"/>
      <c r="O2526" s="16"/>
      <c r="P2526" s="16"/>
      <c r="Q2526" s="16"/>
      <c r="R2526" s="16"/>
      <c r="S2526" s="37" t="str">
        <f>IFERROR(__xludf.DUMMYFUNCTION("if(not(iserror(index(split(C2526, "" ""),2))), index(split(C2526, "" ""),1),"""")"),"")</f>
        <v/>
      </c>
      <c r="T2526" s="315" t="str">
        <f>IFERROR(__xludf.DUMMYFUNCTION("if(S2526="""",C2526,if(not(iserror(index(split(C2526, "" ""),3))), index(split(C2526, "" ""),3),index(split(C2526, "" ""),2)))"),"")</f>
        <v/>
      </c>
      <c r="U2526" s="38" t="b">
        <f t="shared" si="34"/>
        <v>0</v>
      </c>
      <c r="V2526" s="38"/>
      <c r="W2526" s="40"/>
      <c r="X2526" s="40"/>
      <c r="Y2526" s="38"/>
      <c r="Z2526" s="38"/>
      <c r="AA2526" s="38"/>
      <c r="AB2526" s="38"/>
      <c r="AC2526" s="38"/>
      <c r="AD2526" s="38"/>
      <c r="AE2526" s="38"/>
      <c r="AF2526" s="38"/>
      <c r="AG2526" s="38"/>
      <c r="AH2526" s="38"/>
      <c r="AI2526" s="38"/>
      <c r="AJ2526" s="38"/>
      <c r="AK2526" s="38"/>
      <c r="AL2526" s="38"/>
      <c r="AM2526" s="38"/>
      <c r="AN2526" s="38"/>
      <c r="AO2526" s="38"/>
      <c r="AP2526" s="38"/>
      <c r="AQ2526" s="38"/>
      <c r="AR2526" s="38"/>
      <c r="AS2526" s="38"/>
      <c r="AT2526" s="38"/>
      <c r="AU2526" s="38"/>
      <c r="AV2526" s="38"/>
      <c r="AW2526" s="38"/>
      <c r="AX2526" s="38"/>
      <c r="AY2526" s="38"/>
      <c r="AZ2526" s="38"/>
      <c r="BA2526" s="38"/>
      <c r="BB2526" s="38"/>
      <c r="BC2526" s="38"/>
      <c r="BD2526" s="38"/>
      <c r="BE2526" s="38"/>
      <c r="BF2526" s="38"/>
      <c r="BG2526" s="38"/>
      <c r="BH2526" s="38"/>
      <c r="BI2526" s="38"/>
      <c r="BJ2526" s="38"/>
      <c r="BK2526" s="38"/>
      <c r="BL2526" s="38"/>
      <c r="BM2526" s="38"/>
      <c r="BN2526" s="38"/>
      <c r="BO2526" s="38"/>
      <c r="BP2526" s="38"/>
      <c r="BQ2526" s="38"/>
    </row>
    <row r="2527">
      <c r="A2527" s="16"/>
      <c r="B2527" s="16"/>
      <c r="C2527" s="146"/>
      <c r="D2527" s="146"/>
      <c r="E2527" s="16"/>
      <c r="F2527" s="91"/>
      <c r="G2527" s="16"/>
      <c r="H2527" s="320" t="str">
        <f t="shared" si="33"/>
        <v/>
      </c>
      <c r="I2527" s="16"/>
      <c r="J2527" s="16"/>
      <c r="K2527" s="16"/>
      <c r="L2527" s="16"/>
      <c r="M2527" s="15"/>
      <c r="N2527" s="15"/>
      <c r="O2527" s="16"/>
      <c r="P2527" s="16"/>
      <c r="Q2527" s="16"/>
      <c r="R2527" s="16"/>
      <c r="S2527" s="37" t="str">
        <f>IFERROR(__xludf.DUMMYFUNCTION("if(not(iserror(index(split(C2527, "" ""),2))), index(split(C2527, "" ""),1),"""")"),"")</f>
        <v/>
      </c>
      <c r="T2527" s="315" t="str">
        <f>IFERROR(__xludf.DUMMYFUNCTION("if(S2527="""",C2527,if(not(iserror(index(split(C2527, "" ""),3))), index(split(C2527, "" ""),3),index(split(C2527, "" ""),2)))"),"")</f>
        <v/>
      </c>
      <c r="U2527" s="38" t="b">
        <f t="shared" si="34"/>
        <v>0</v>
      </c>
      <c r="V2527" s="38"/>
      <c r="W2527" s="40"/>
      <c r="X2527" s="40"/>
      <c r="Y2527" s="38"/>
      <c r="Z2527" s="38"/>
      <c r="AA2527" s="38"/>
      <c r="AB2527" s="38"/>
      <c r="AC2527" s="38"/>
      <c r="AD2527" s="38"/>
      <c r="AE2527" s="38"/>
      <c r="AF2527" s="38"/>
      <c r="AG2527" s="38"/>
      <c r="AH2527" s="38"/>
      <c r="AI2527" s="38"/>
      <c r="AJ2527" s="38"/>
      <c r="AK2527" s="38"/>
      <c r="AL2527" s="38"/>
      <c r="AM2527" s="38"/>
      <c r="AN2527" s="38"/>
      <c r="AO2527" s="38"/>
      <c r="AP2527" s="38"/>
      <c r="AQ2527" s="38"/>
      <c r="AR2527" s="38"/>
      <c r="AS2527" s="38"/>
      <c r="AT2527" s="38"/>
      <c r="AU2527" s="38"/>
      <c r="AV2527" s="38"/>
      <c r="AW2527" s="38"/>
      <c r="AX2527" s="38"/>
      <c r="AY2527" s="38"/>
      <c r="AZ2527" s="38"/>
      <c r="BA2527" s="38"/>
      <c r="BB2527" s="38"/>
      <c r="BC2527" s="38"/>
      <c r="BD2527" s="38"/>
      <c r="BE2527" s="38"/>
      <c r="BF2527" s="38"/>
      <c r="BG2527" s="38"/>
      <c r="BH2527" s="38"/>
      <c r="BI2527" s="38"/>
      <c r="BJ2527" s="38"/>
      <c r="BK2527" s="38"/>
      <c r="BL2527" s="38"/>
      <c r="BM2527" s="38"/>
      <c r="BN2527" s="38"/>
      <c r="BO2527" s="38"/>
      <c r="BP2527" s="38"/>
      <c r="BQ2527" s="38"/>
    </row>
    <row r="2528">
      <c r="A2528" s="16"/>
      <c r="B2528" s="16"/>
      <c r="C2528" s="146"/>
      <c r="D2528" s="146"/>
      <c r="E2528" s="16"/>
      <c r="F2528" s="91"/>
      <c r="G2528" s="16"/>
      <c r="H2528" s="320" t="str">
        <f t="shared" si="33"/>
        <v/>
      </c>
      <c r="I2528" s="16"/>
      <c r="J2528" s="16"/>
      <c r="K2528" s="16"/>
      <c r="L2528" s="16"/>
      <c r="M2528" s="15"/>
      <c r="N2528" s="15"/>
      <c r="O2528" s="16"/>
      <c r="P2528" s="16"/>
      <c r="Q2528" s="16"/>
      <c r="R2528" s="16"/>
      <c r="S2528" s="37" t="str">
        <f>IFERROR(__xludf.DUMMYFUNCTION("if(not(iserror(index(split(C2528, "" ""),2))), index(split(C2528, "" ""),1),"""")"),"")</f>
        <v/>
      </c>
      <c r="T2528" s="315" t="str">
        <f>IFERROR(__xludf.DUMMYFUNCTION("if(S2528="""",C2528,if(not(iserror(index(split(C2528, "" ""),3))), index(split(C2528, "" ""),3),index(split(C2528, "" ""),2)))"),"")</f>
        <v/>
      </c>
      <c r="U2528" s="38" t="b">
        <f t="shared" si="34"/>
        <v>0</v>
      </c>
      <c r="V2528" s="38"/>
      <c r="W2528" s="40"/>
      <c r="X2528" s="40"/>
      <c r="Y2528" s="38"/>
      <c r="Z2528" s="38"/>
      <c r="AA2528" s="38"/>
      <c r="AB2528" s="38"/>
      <c r="AC2528" s="38"/>
      <c r="AD2528" s="38"/>
      <c r="AE2528" s="38"/>
      <c r="AF2528" s="38"/>
      <c r="AG2528" s="38"/>
      <c r="AH2528" s="38"/>
      <c r="AI2528" s="38"/>
      <c r="AJ2528" s="38"/>
      <c r="AK2528" s="38"/>
      <c r="AL2528" s="38"/>
      <c r="AM2528" s="38"/>
      <c r="AN2528" s="38"/>
      <c r="AO2528" s="38"/>
      <c r="AP2528" s="38"/>
      <c r="AQ2528" s="38"/>
      <c r="AR2528" s="38"/>
      <c r="AS2528" s="38"/>
      <c r="AT2528" s="38"/>
      <c r="AU2528" s="38"/>
      <c r="AV2528" s="38"/>
      <c r="AW2528" s="38"/>
      <c r="AX2528" s="38"/>
      <c r="AY2528" s="38"/>
      <c r="AZ2528" s="38"/>
      <c r="BA2528" s="38"/>
      <c r="BB2528" s="38"/>
      <c r="BC2528" s="38"/>
      <c r="BD2528" s="38"/>
      <c r="BE2528" s="38"/>
      <c r="BF2528" s="38"/>
      <c r="BG2528" s="38"/>
      <c r="BH2528" s="38"/>
      <c r="BI2528" s="38"/>
      <c r="BJ2528" s="38"/>
      <c r="BK2528" s="38"/>
      <c r="BL2528" s="38"/>
      <c r="BM2528" s="38"/>
      <c r="BN2528" s="38"/>
      <c r="BO2528" s="38"/>
      <c r="BP2528" s="38"/>
      <c r="BQ2528" s="38"/>
    </row>
    <row r="2529">
      <c r="A2529" s="16"/>
      <c r="B2529" s="16"/>
      <c r="C2529" s="146"/>
      <c r="D2529" s="146"/>
      <c r="E2529" s="16"/>
      <c r="F2529" s="91"/>
      <c r="G2529" s="16"/>
      <c r="H2529" s="320" t="str">
        <f t="shared" si="33"/>
        <v/>
      </c>
      <c r="I2529" s="16"/>
      <c r="J2529" s="16"/>
      <c r="K2529" s="16"/>
      <c r="L2529" s="16"/>
      <c r="M2529" s="15"/>
      <c r="N2529" s="15"/>
      <c r="O2529" s="16"/>
      <c r="P2529" s="16"/>
      <c r="Q2529" s="16"/>
      <c r="R2529" s="16"/>
      <c r="S2529" s="37" t="str">
        <f>IFERROR(__xludf.DUMMYFUNCTION("if(not(iserror(index(split(C2529, "" ""),2))), index(split(C2529, "" ""),1),"""")"),"")</f>
        <v/>
      </c>
      <c r="T2529" s="315" t="str">
        <f>IFERROR(__xludf.DUMMYFUNCTION("if(S2529="""",C2529,if(not(iserror(index(split(C2529, "" ""),3))), index(split(C2529, "" ""),3),index(split(C2529, "" ""),2)))"),"")</f>
        <v/>
      </c>
      <c r="U2529" s="38" t="b">
        <f t="shared" si="34"/>
        <v>0</v>
      </c>
      <c r="V2529" s="38"/>
      <c r="W2529" s="40"/>
      <c r="X2529" s="40"/>
      <c r="Y2529" s="38"/>
      <c r="Z2529" s="38"/>
      <c r="AA2529" s="38"/>
      <c r="AB2529" s="38"/>
      <c r="AC2529" s="38"/>
      <c r="AD2529" s="38"/>
      <c r="AE2529" s="38"/>
      <c r="AF2529" s="38"/>
      <c r="AG2529" s="38"/>
      <c r="AH2529" s="38"/>
      <c r="AI2529" s="38"/>
      <c r="AJ2529" s="38"/>
      <c r="AK2529" s="38"/>
      <c r="AL2529" s="38"/>
      <c r="AM2529" s="38"/>
      <c r="AN2529" s="38"/>
      <c r="AO2529" s="38"/>
      <c r="AP2529" s="38"/>
      <c r="AQ2529" s="38"/>
      <c r="AR2529" s="38"/>
      <c r="AS2529" s="38"/>
      <c r="AT2529" s="38"/>
      <c r="AU2529" s="38"/>
      <c r="AV2529" s="38"/>
      <c r="AW2529" s="38"/>
      <c r="AX2529" s="38"/>
      <c r="AY2529" s="38"/>
      <c r="AZ2529" s="38"/>
      <c r="BA2529" s="38"/>
      <c r="BB2529" s="38"/>
      <c r="BC2529" s="38"/>
      <c r="BD2529" s="38"/>
      <c r="BE2529" s="38"/>
      <c r="BF2529" s="38"/>
      <c r="BG2529" s="38"/>
      <c r="BH2529" s="38"/>
      <c r="BI2529" s="38"/>
      <c r="BJ2529" s="38"/>
      <c r="BK2529" s="38"/>
      <c r="BL2529" s="38"/>
      <c r="BM2529" s="38"/>
      <c r="BN2529" s="38"/>
      <c r="BO2529" s="38"/>
      <c r="BP2529" s="38"/>
      <c r="BQ2529" s="38"/>
    </row>
    <row r="2530">
      <c r="A2530" s="16"/>
      <c r="B2530" s="16"/>
      <c r="C2530" s="146"/>
      <c r="D2530" s="146"/>
      <c r="E2530" s="16"/>
      <c r="F2530" s="91"/>
      <c r="G2530" s="16"/>
      <c r="H2530" s="320" t="str">
        <f t="shared" si="33"/>
        <v/>
      </c>
      <c r="I2530" s="16"/>
      <c r="J2530" s="16"/>
      <c r="K2530" s="16"/>
      <c r="L2530" s="16"/>
      <c r="M2530" s="15"/>
      <c r="N2530" s="15"/>
      <c r="O2530" s="16"/>
      <c r="P2530" s="16"/>
      <c r="Q2530" s="16"/>
      <c r="R2530" s="16"/>
      <c r="S2530" s="37" t="str">
        <f>IFERROR(__xludf.DUMMYFUNCTION("if(not(iserror(index(split(C2530, "" ""),2))), index(split(C2530, "" ""),1),"""")"),"")</f>
        <v/>
      </c>
      <c r="T2530" s="315" t="str">
        <f>IFERROR(__xludf.DUMMYFUNCTION("if(S2530="""",C2530,if(not(iserror(index(split(C2530, "" ""),3))), index(split(C2530, "" ""),3),index(split(C2530, "" ""),2)))"),"")</f>
        <v/>
      </c>
      <c r="U2530" s="38" t="b">
        <f t="shared" si="34"/>
        <v>0</v>
      </c>
      <c r="V2530" s="38"/>
      <c r="W2530" s="40"/>
      <c r="X2530" s="40"/>
      <c r="Y2530" s="38"/>
      <c r="Z2530" s="38"/>
      <c r="AA2530" s="38"/>
      <c r="AB2530" s="38"/>
      <c r="AC2530" s="38"/>
      <c r="AD2530" s="38"/>
      <c r="AE2530" s="38"/>
      <c r="AF2530" s="38"/>
      <c r="AG2530" s="38"/>
      <c r="AH2530" s="38"/>
      <c r="AI2530" s="38"/>
      <c r="AJ2530" s="38"/>
      <c r="AK2530" s="38"/>
      <c r="AL2530" s="38"/>
      <c r="AM2530" s="38"/>
      <c r="AN2530" s="38"/>
      <c r="AO2530" s="38"/>
      <c r="AP2530" s="38"/>
      <c r="AQ2530" s="38"/>
      <c r="AR2530" s="38"/>
      <c r="AS2530" s="38"/>
      <c r="AT2530" s="38"/>
      <c r="AU2530" s="38"/>
      <c r="AV2530" s="38"/>
      <c r="AW2530" s="38"/>
      <c r="AX2530" s="38"/>
      <c r="AY2530" s="38"/>
      <c r="AZ2530" s="38"/>
      <c r="BA2530" s="38"/>
      <c r="BB2530" s="38"/>
      <c r="BC2530" s="38"/>
      <c r="BD2530" s="38"/>
      <c r="BE2530" s="38"/>
      <c r="BF2530" s="38"/>
      <c r="BG2530" s="38"/>
      <c r="BH2530" s="38"/>
      <c r="BI2530" s="38"/>
      <c r="BJ2530" s="38"/>
      <c r="BK2530" s="38"/>
      <c r="BL2530" s="38"/>
      <c r="BM2530" s="38"/>
      <c r="BN2530" s="38"/>
      <c r="BO2530" s="38"/>
      <c r="BP2530" s="38"/>
      <c r="BQ2530" s="38"/>
    </row>
    <row r="2531">
      <c r="A2531" s="16"/>
      <c r="B2531" s="16"/>
      <c r="C2531" s="146"/>
      <c r="D2531" s="146"/>
      <c r="E2531" s="16"/>
      <c r="F2531" s="91"/>
      <c r="G2531" s="16"/>
      <c r="H2531" s="320" t="str">
        <f t="shared" si="33"/>
        <v/>
      </c>
      <c r="I2531" s="16"/>
      <c r="J2531" s="16"/>
      <c r="K2531" s="16"/>
      <c r="L2531" s="16"/>
      <c r="M2531" s="15"/>
      <c r="N2531" s="15"/>
      <c r="O2531" s="16"/>
      <c r="P2531" s="16"/>
      <c r="Q2531" s="16"/>
      <c r="R2531" s="16"/>
      <c r="S2531" s="37" t="str">
        <f>IFERROR(__xludf.DUMMYFUNCTION("if(not(iserror(index(split(C2531, "" ""),2))), index(split(C2531, "" ""),1),"""")"),"")</f>
        <v/>
      </c>
      <c r="T2531" s="315" t="str">
        <f>IFERROR(__xludf.DUMMYFUNCTION("if(S2531="""",C2531,if(not(iserror(index(split(C2531, "" ""),3))), index(split(C2531, "" ""),3),index(split(C2531, "" ""),2)))"),"")</f>
        <v/>
      </c>
      <c r="U2531" s="38" t="b">
        <f t="shared" si="34"/>
        <v>0</v>
      </c>
      <c r="V2531" s="38"/>
      <c r="W2531" s="40"/>
      <c r="X2531" s="40"/>
      <c r="Y2531" s="38"/>
      <c r="Z2531" s="38"/>
      <c r="AA2531" s="38"/>
      <c r="AB2531" s="38"/>
      <c r="AC2531" s="38"/>
      <c r="AD2531" s="38"/>
      <c r="AE2531" s="38"/>
      <c r="AF2531" s="38"/>
      <c r="AG2531" s="38"/>
      <c r="AH2531" s="38"/>
      <c r="AI2531" s="38"/>
      <c r="AJ2531" s="38"/>
      <c r="AK2531" s="38"/>
      <c r="AL2531" s="38"/>
      <c r="AM2531" s="38"/>
      <c r="AN2531" s="38"/>
      <c r="AO2531" s="38"/>
      <c r="AP2531" s="38"/>
      <c r="AQ2531" s="38"/>
      <c r="AR2531" s="38"/>
      <c r="AS2531" s="38"/>
      <c r="AT2531" s="38"/>
      <c r="AU2531" s="38"/>
      <c r="AV2531" s="38"/>
      <c r="AW2531" s="38"/>
      <c r="AX2531" s="38"/>
      <c r="AY2531" s="38"/>
      <c r="AZ2531" s="38"/>
      <c r="BA2531" s="38"/>
      <c r="BB2531" s="38"/>
      <c r="BC2531" s="38"/>
      <c r="BD2531" s="38"/>
      <c r="BE2531" s="38"/>
      <c r="BF2531" s="38"/>
      <c r="BG2531" s="38"/>
      <c r="BH2531" s="38"/>
      <c r="BI2531" s="38"/>
      <c r="BJ2531" s="38"/>
      <c r="BK2531" s="38"/>
      <c r="BL2531" s="38"/>
      <c r="BM2531" s="38"/>
      <c r="BN2531" s="38"/>
      <c r="BO2531" s="38"/>
      <c r="BP2531" s="38"/>
      <c r="BQ2531" s="38"/>
    </row>
    <row r="2532">
      <c r="A2532" s="16"/>
      <c r="B2532" s="16"/>
      <c r="C2532" s="146"/>
      <c r="D2532" s="146"/>
      <c r="E2532" s="16"/>
      <c r="F2532" s="91"/>
      <c r="G2532" s="16"/>
      <c r="H2532" s="320" t="str">
        <f t="shared" si="33"/>
        <v/>
      </c>
      <c r="I2532" s="16"/>
      <c r="J2532" s="16"/>
      <c r="K2532" s="16"/>
      <c r="L2532" s="16"/>
      <c r="M2532" s="15"/>
      <c r="N2532" s="15"/>
      <c r="O2532" s="16"/>
      <c r="P2532" s="16"/>
      <c r="Q2532" s="16"/>
      <c r="R2532" s="16"/>
      <c r="S2532" s="37" t="str">
        <f>IFERROR(__xludf.DUMMYFUNCTION("if(not(iserror(index(split(C2532, "" ""),2))), index(split(C2532, "" ""),1),"""")"),"")</f>
        <v/>
      </c>
      <c r="T2532" s="315" t="str">
        <f>IFERROR(__xludf.DUMMYFUNCTION("if(S2532="""",C2532,if(not(iserror(index(split(C2532, "" ""),3))), index(split(C2532, "" ""),3),index(split(C2532, "" ""),2)))"),"")</f>
        <v/>
      </c>
      <c r="U2532" s="38" t="b">
        <f t="shared" si="34"/>
        <v>0</v>
      </c>
      <c r="V2532" s="38"/>
      <c r="W2532" s="40"/>
      <c r="X2532" s="40"/>
      <c r="Y2532" s="38"/>
      <c r="Z2532" s="38"/>
      <c r="AA2532" s="38"/>
      <c r="AB2532" s="38"/>
      <c r="AC2532" s="38"/>
      <c r="AD2532" s="38"/>
      <c r="AE2532" s="38"/>
      <c r="AF2532" s="38"/>
      <c r="AG2532" s="38"/>
      <c r="AH2532" s="38"/>
      <c r="AI2532" s="38"/>
      <c r="AJ2532" s="38"/>
      <c r="AK2532" s="38"/>
      <c r="AL2532" s="38"/>
      <c r="AM2532" s="38"/>
      <c r="AN2532" s="38"/>
      <c r="AO2532" s="38"/>
      <c r="AP2532" s="38"/>
      <c r="AQ2532" s="38"/>
      <c r="AR2532" s="38"/>
      <c r="AS2532" s="38"/>
      <c r="AT2532" s="38"/>
      <c r="AU2532" s="38"/>
      <c r="AV2532" s="38"/>
      <c r="AW2532" s="38"/>
      <c r="AX2532" s="38"/>
      <c r="AY2532" s="38"/>
      <c r="AZ2532" s="38"/>
      <c r="BA2532" s="38"/>
      <c r="BB2532" s="38"/>
      <c r="BC2532" s="38"/>
      <c r="BD2532" s="38"/>
      <c r="BE2532" s="38"/>
      <c r="BF2532" s="38"/>
      <c r="BG2532" s="38"/>
      <c r="BH2532" s="38"/>
      <c r="BI2532" s="38"/>
      <c r="BJ2532" s="38"/>
      <c r="BK2532" s="38"/>
      <c r="BL2532" s="38"/>
      <c r="BM2532" s="38"/>
      <c r="BN2532" s="38"/>
      <c r="BO2532" s="38"/>
      <c r="BP2532" s="38"/>
      <c r="BQ2532" s="38"/>
    </row>
    <row r="2533">
      <c r="A2533" s="16"/>
      <c r="B2533" s="16"/>
      <c r="C2533" s="146"/>
      <c r="D2533" s="146"/>
      <c r="E2533" s="16"/>
      <c r="F2533" s="91"/>
      <c r="G2533" s="16"/>
      <c r="H2533" s="320" t="str">
        <f t="shared" si="33"/>
        <v/>
      </c>
      <c r="I2533" s="16"/>
      <c r="J2533" s="16"/>
      <c r="K2533" s="16"/>
      <c r="L2533" s="16"/>
      <c r="M2533" s="15"/>
      <c r="N2533" s="15"/>
      <c r="O2533" s="16"/>
      <c r="P2533" s="16"/>
      <c r="Q2533" s="16"/>
      <c r="R2533" s="16"/>
      <c r="S2533" s="37" t="str">
        <f>IFERROR(__xludf.DUMMYFUNCTION("if(not(iserror(index(split(C2533, "" ""),2))), index(split(C2533, "" ""),1),"""")"),"")</f>
        <v/>
      </c>
      <c r="T2533" s="315" t="str">
        <f>IFERROR(__xludf.DUMMYFUNCTION("if(S2533="""",C2533,if(not(iserror(index(split(C2533, "" ""),3))), index(split(C2533, "" ""),3),index(split(C2533, "" ""),2)))"),"")</f>
        <v/>
      </c>
      <c r="U2533" s="38" t="b">
        <f t="shared" si="34"/>
        <v>0</v>
      </c>
      <c r="V2533" s="38"/>
      <c r="W2533" s="40"/>
      <c r="X2533" s="40"/>
      <c r="Y2533" s="38"/>
      <c r="Z2533" s="38"/>
      <c r="AA2533" s="38"/>
      <c r="AB2533" s="38"/>
      <c r="AC2533" s="38"/>
      <c r="AD2533" s="38"/>
      <c r="AE2533" s="38"/>
      <c r="AF2533" s="38"/>
      <c r="AG2533" s="38"/>
      <c r="AH2533" s="38"/>
      <c r="AI2533" s="38"/>
      <c r="AJ2533" s="38"/>
      <c r="AK2533" s="38"/>
      <c r="AL2533" s="38"/>
      <c r="AM2533" s="38"/>
      <c r="AN2533" s="38"/>
      <c r="AO2533" s="38"/>
      <c r="AP2533" s="38"/>
      <c r="AQ2533" s="38"/>
      <c r="AR2533" s="38"/>
      <c r="AS2533" s="38"/>
      <c r="AT2533" s="38"/>
      <c r="AU2533" s="38"/>
      <c r="AV2533" s="38"/>
      <c r="AW2533" s="38"/>
      <c r="AX2533" s="38"/>
      <c r="AY2533" s="38"/>
      <c r="AZ2533" s="38"/>
      <c r="BA2533" s="38"/>
      <c r="BB2533" s="38"/>
      <c r="BC2533" s="38"/>
      <c r="BD2533" s="38"/>
      <c r="BE2533" s="38"/>
      <c r="BF2533" s="38"/>
      <c r="BG2533" s="38"/>
      <c r="BH2533" s="38"/>
      <c r="BI2533" s="38"/>
      <c r="BJ2533" s="38"/>
      <c r="BK2533" s="38"/>
      <c r="BL2533" s="38"/>
      <c r="BM2533" s="38"/>
      <c r="BN2533" s="38"/>
      <c r="BO2533" s="38"/>
      <c r="BP2533" s="38"/>
      <c r="BQ2533" s="38"/>
    </row>
    <row r="2534">
      <c r="A2534" s="16"/>
      <c r="B2534" s="16"/>
      <c r="C2534" s="146"/>
      <c r="D2534" s="146"/>
      <c r="E2534" s="16"/>
      <c r="F2534" s="91"/>
      <c r="G2534" s="16"/>
      <c r="H2534" s="320" t="str">
        <f t="shared" si="33"/>
        <v/>
      </c>
      <c r="I2534" s="16"/>
      <c r="J2534" s="16"/>
      <c r="K2534" s="16"/>
      <c r="L2534" s="16"/>
      <c r="M2534" s="15"/>
      <c r="N2534" s="15"/>
      <c r="O2534" s="16"/>
      <c r="P2534" s="16"/>
      <c r="Q2534" s="16"/>
      <c r="R2534" s="16"/>
      <c r="S2534" s="37" t="str">
        <f>IFERROR(__xludf.DUMMYFUNCTION("if(not(iserror(index(split(C2534, "" ""),2))), index(split(C2534, "" ""),1),"""")"),"")</f>
        <v/>
      </c>
      <c r="T2534" s="315" t="str">
        <f>IFERROR(__xludf.DUMMYFUNCTION("if(S2534="""",C2534,if(not(iserror(index(split(C2534, "" ""),3))), index(split(C2534, "" ""),3),index(split(C2534, "" ""),2)))"),"")</f>
        <v/>
      </c>
      <c r="U2534" s="38" t="b">
        <f t="shared" si="34"/>
        <v>0</v>
      </c>
      <c r="V2534" s="38"/>
      <c r="W2534" s="40"/>
      <c r="X2534" s="40"/>
      <c r="Y2534" s="38"/>
      <c r="Z2534" s="38"/>
      <c r="AA2534" s="38"/>
      <c r="AB2534" s="38"/>
      <c r="AC2534" s="38"/>
      <c r="AD2534" s="38"/>
      <c r="AE2534" s="38"/>
      <c r="AF2534" s="38"/>
      <c r="AG2534" s="38"/>
      <c r="AH2534" s="38"/>
      <c r="AI2534" s="38"/>
      <c r="AJ2534" s="38"/>
      <c r="AK2534" s="38"/>
      <c r="AL2534" s="38"/>
      <c r="AM2534" s="38"/>
      <c r="AN2534" s="38"/>
      <c r="AO2534" s="38"/>
      <c r="AP2534" s="38"/>
      <c r="AQ2534" s="38"/>
      <c r="AR2534" s="38"/>
      <c r="AS2534" s="38"/>
      <c r="AT2534" s="38"/>
      <c r="AU2534" s="38"/>
      <c r="AV2534" s="38"/>
      <c r="AW2534" s="38"/>
      <c r="AX2534" s="38"/>
      <c r="AY2534" s="38"/>
      <c r="AZ2534" s="38"/>
      <c r="BA2534" s="38"/>
      <c r="BB2534" s="38"/>
      <c r="BC2534" s="38"/>
      <c r="BD2534" s="38"/>
      <c r="BE2534" s="38"/>
      <c r="BF2534" s="38"/>
      <c r="BG2534" s="38"/>
      <c r="BH2534" s="38"/>
      <c r="BI2534" s="38"/>
      <c r="BJ2534" s="38"/>
      <c r="BK2534" s="38"/>
      <c r="BL2534" s="38"/>
      <c r="BM2534" s="38"/>
      <c r="BN2534" s="38"/>
      <c r="BO2534" s="38"/>
      <c r="BP2534" s="38"/>
      <c r="BQ2534" s="38"/>
    </row>
    <row r="2535">
      <c r="A2535" s="16"/>
      <c r="B2535" s="16"/>
      <c r="C2535" s="146"/>
      <c r="D2535" s="146"/>
      <c r="E2535" s="16"/>
      <c r="F2535" s="91"/>
      <c r="G2535" s="16"/>
      <c r="H2535" s="320" t="str">
        <f t="shared" si="33"/>
        <v/>
      </c>
      <c r="I2535" s="16"/>
      <c r="J2535" s="16"/>
      <c r="K2535" s="16"/>
      <c r="L2535" s="16"/>
      <c r="M2535" s="15"/>
      <c r="N2535" s="15"/>
      <c r="O2535" s="16"/>
      <c r="P2535" s="16"/>
      <c r="Q2535" s="16"/>
      <c r="R2535" s="16"/>
      <c r="S2535" s="37" t="str">
        <f>IFERROR(__xludf.DUMMYFUNCTION("if(not(iserror(index(split(C2535, "" ""),2))), index(split(C2535, "" ""),1),"""")"),"")</f>
        <v/>
      </c>
      <c r="T2535" s="315" t="str">
        <f>IFERROR(__xludf.DUMMYFUNCTION("if(S2535="""",C2535,if(not(iserror(index(split(C2535, "" ""),3))), index(split(C2535, "" ""),3),index(split(C2535, "" ""),2)))"),"")</f>
        <v/>
      </c>
      <c r="U2535" s="38" t="b">
        <f t="shared" si="34"/>
        <v>0</v>
      </c>
      <c r="V2535" s="38"/>
      <c r="W2535" s="40"/>
      <c r="X2535" s="40"/>
      <c r="Y2535" s="38"/>
      <c r="Z2535" s="38"/>
      <c r="AA2535" s="38"/>
      <c r="AB2535" s="38"/>
      <c r="AC2535" s="38"/>
      <c r="AD2535" s="38"/>
      <c r="AE2535" s="38"/>
      <c r="AF2535" s="38"/>
      <c r="AG2535" s="38"/>
      <c r="AH2535" s="38"/>
      <c r="AI2535" s="38"/>
      <c r="AJ2535" s="38"/>
      <c r="AK2535" s="38"/>
      <c r="AL2535" s="38"/>
      <c r="AM2535" s="38"/>
      <c r="AN2535" s="38"/>
      <c r="AO2535" s="38"/>
      <c r="AP2535" s="38"/>
      <c r="AQ2535" s="38"/>
      <c r="AR2535" s="38"/>
      <c r="AS2535" s="38"/>
      <c r="AT2535" s="38"/>
      <c r="AU2535" s="38"/>
      <c r="AV2535" s="38"/>
      <c r="AW2535" s="38"/>
      <c r="AX2535" s="38"/>
      <c r="AY2535" s="38"/>
      <c r="AZ2535" s="38"/>
      <c r="BA2535" s="38"/>
      <c r="BB2535" s="38"/>
      <c r="BC2535" s="38"/>
      <c r="BD2535" s="38"/>
      <c r="BE2535" s="38"/>
      <c r="BF2535" s="38"/>
      <c r="BG2535" s="38"/>
      <c r="BH2535" s="38"/>
      <c r="BI2535" s="38"/>
      <c r="BJ2535" s="38"/>
      <c r="BK2535" s="38"/>
      <c r="BL2535" s="38"/>
      <c r="BM2535" s="38"/>
      <c r="BN2535" s="38"/>
      <c r="BO2535" s="38"/>
      <c r="BP2535" s="38"/>
      <c r="BQ2535" s="38"/>
    </row>
    <row r="2536">
      <c r="A2536" s="16"/>
      <c r="B2536" s="16"/>
      <c r="C2536" s="146"/>
      <c r="D2536" s="146"/>
      <c r="E2536" s="16"/>
      <c r="F2536" s="91"/>
      <c r="G2536" s="16"/>
      <c r="H2536" s="320" t="str">
        <f t="shared" si="33"/>
        <v/>
      </c>
      <c r="I2536" s="16"/>
      <c r="J2536" s="16"/>
      <c r="K2536" s="16"/>
      <c r="L2536" s="16"/>
      <c r="M2536" s="15"/>
      <c r="N2536" s="15"/>
      <c r="O2536" s="16"/>
      <c r="P2536" s="16"/>
      <c r="Q2536" s="16"/>
      <c r="R2536" s="16"/>
      <c r="S2536" s="37" t="str">
        <f>IFERROR(__xludf.DUMMYFUNCTION("if(not(iserror(index(split(C2536, "" ""),2))), index(split(C2536, "" ""),1),"""")"),"")</f>
        <v/>
      </c>
      <c r="T2536" s="315" t="str">
        <f>IFERROR(__xludf.DUMMYFUNCTION("if(S2536="""",C2536,if(not(iserror(index(split(C2536, "" ""),3))), index(split(C2536, "" ""),3),index(split(C2536, "" ""),2)))"),"")</f>
        <v/>
      </c>
      <c r="U2536" s="38" t="b">
        <f t="shared" si="34"/>
        <v>0</v>
      </c>
      <c r="V2536" s="38"/>
      <c r="W2536" s="40"/>
      <c r="X2536" s="40"/>
      <c r="Y2536" s="38"/>
      <c r="Z2536" s="38"/>
      <c r="AA2536" s="38"/>
      <c r="AB2536" s="38"/>
      <c r="AC2536" s="38"/>
      <c r="AD2536" s="38"/>
      <c r="AE2536" s="38"/>
      <c r="AF2536" s="38"/>
      <c r="AG2536" s="38"/>
      <c r="AH2536" s="38"/>
      <c r="AI2536" s="38"/>
      <c r="AJ2536" s="38"/>
      <c r="AK2536" s="38"/>
      <c r="AL2536" s="38"/>
      <c r="AM2536" s="38"/>
      <c r="AN2536" s="38"/>
      <c r="AO2536" s="38"/>
      <c r="AP2536" s="38"/>
      <c r="AQ2536" s="38"/>
      <c r="AR2536" s="38"/>
      <c r="AS2536" s="38"/>
      <c r="AT2536" s="38"/>
      <c r="AU2536" s="38"/>
      <c r="AV2536" s="38"/>
      <c r="AW2536" s="38"/>
      <c r="AX2536" s="38"/>
      <c r="AY2536" s="38"/>
      <c r="AZ2536" s="38"/>
      <c r="BA2536" s="38"/>
      <c r="BB2536" s="38"/>
      <c r="BC2536" s="38"/>
      <c r="BD2536" s="38"/>
      <c r="BE2536" s="38"/>
      <c r="BF2536" s="38"/>
      <c r="BG2536" s="38"/>
      <c r="BH2536" s="38"/>
      <c r="BI2536" s="38"/>
      <c r="BJ2536" s="38"/>
      <c r="BK2536" s="38"/>
      <c r="BL2536" s="38"/>
      <c r="BM2536" s="38"/>
      <c r="BN2536" s="38"/>
      <c r="BO2536" s="38"/>
      <c r="BP2536" s="38"/>
      <c r="BQ2536" s="38"/>
    </row>
    <row r="2537">
      <c r="A2537" s="16"/>
      <c r="B2537" s="16"/>
      <c r="C2537" s="146"/>
      <c r="D2537" s="146"/>
      <c r="E2537" s="16"/>
      <c r="F2537" s="91"/>
      <c r="G2537" s="16"/>
      <c r="H2537" s="320" t="str">
        <f t="shared" si="33"/>
        <v/>
      </c>
      <c r="I2537" s="16"/>
      <c r="J2537" s="16"/>
      <c r="K2537" s="16"/>
      <c r="L2537" s="16"/>
      <c r="M2537" s="15"/>
      <c r="N2537" s="15"/>
      <c r="O2537" s="16"/>
      <c r="P2537" s="16"/>
      <c r="Q2537" s="16"/>
      <c r="R2537" s="16"/>
      <c r="S2537" s="37" t="str">
        <f>IFERROR(__xludf.DUMMYFUNCTION("if(not(iserror(index(split(C2537, "" ""),2))), index(split(C2537, "" ""),1),"""")"),"")</f>
        <v/>
      </c>
      <c r="T2537" s="315" t="str">
        <f>IFERROR(__xludf.DUMMYFUNCTION("if(S2537="""",C2537,if(not(iserror(index(split(C2537, "" ""),3))), index(split(C2537, "" ""),3),index(split(C2537, "" ""),2)))"),"")</f>
        <v/>
      </c>
      <c r="U2537" s="38" t="b">
        <f t="shared" si="34"/>
        <v>0</v>
      </c>
      <c r="V2537" s="38"/>
      <c r="W2537" s="40"/>
      <c r="X2537" s="40"/>
      <c r="Y2537" s="38"/>
      <c r="Z2537" s="38"/>
      <c r="AA2537" s="38"/>
      <c r="AB2537" s="38"/>
      <c r="AC2537" s="38"/>
      <c r="AD2537" s="38"/>
      <c r="AE2537" s="38"/>
      <c r="AF2537" s="38"/>
      <c r="AG2537" s="38"/>
      <c r="AH2537" s="38"/>
      <c r="AI2537" s="38"/>
      <c r="AJ2537" s="38"/>
      <c r="AK2537" s="38"/>
      <c r="AL2537" s="38"/>
      <c r="AM2537" s="38"/>
      <c r="AN2537" s="38"/>
      <c r="AO2537" s="38"/>
      <c r="AP2537" s="38"/>
      <c r="AQ2537" s="38"/>
      <c r="AR2537" s="38"/>
      <c r="AS2537" s="38"/>
      <c r="AT2537" s="38"/>
      <c r="AU2537" s="38"/>
      <c r="AV2537" s="38"/>
      <c r="AW2537" s="38"/>
      <c r="AX2537" s="38"/>
      <c r="AY2537" s="38"/>
      <c r="AZ2537" s="38"/>
      <c r="BA2537" s="38"/>
      <c r="BB2537" s="38"/>
      <c r="BC2537" s="38"/>
      <c r="BD2537" s="38"/>
      <c r="BE2537" s="38"/>
      <c r="BF2537" s="38"/>
      <c r="BG2537" s="38"/>
      <c r="BH2537" s="38"/>
      <c r="BI2537" s="38"/>
      <c r="BJ2537" s="38"/>
      <c r="BK2537" s="38"/>
      <c r="BL2537" s="38"/>
      <c r="BM2537" s="38"/>
      <c r="BN2537" s="38"/>
      <c r="BO2537" s="38"/>
      <c r="BP2537" s="38"/>
      <c r="BQ2537" s="38"/>
    </row>
    <row r="2538">
      <c r="A2538" s="16"/>
      <c r="B2538" s="16"/>
      <c r="C2538" s="146"/>
      <c r="D2538" s="146"/>
      <c r="E2538" s="16"/>
      <c r="F2538" s="91"/>
      <c r="G2538" s="16"/>
      <c r="H2538" s="320" t="str">
        <f t="shared" si="33"/>
        <v/>
      </c>
      <c r="I2538" s="16"/>
      <c r="J2538" s="16"/>
      <c r="K2538" s="16"/>
      <c r="L2538" s="16"/>
      <c r="M2538" s="15"/>
      <c r="N2538" s="15"/>
      <c r="O2538" s="16"/>
      <c r="P2538" s="16"/>
      <c r="Q2538" s="16"/>
      <c r="R2538" s="16"/>
      <c r="S2538" s="37" t="str">
        <f>IFERROR(__xludf.DUMMYFUNCTION("if(not(iserror(index(split(C2538, "" ""),2))), index(split(C2538, "" ""),1),"""")"),"")</f>
        <v/>
      </c>
      <c r="T2538" s="315" t="str">
        <f>IFERROR(__xludf.DUMMYFUNCTION("if(S2538="""",C2538,if(not(iserror(index(split(C2538, "" ""),3))), index(split(C2538, "" ""),3),index(split(C2538, "" ""),2)))"),"")</f>
        <v/>
      </c>
      <c r="U2538" s="38" t="b">
        <f t="shared" si="34"/>
        <v>0</v>
      </c>
      <c r="V2538" s="38"/>
      <c r="W2538" s="40"/>
      <c r="X2538" s="40"/>
      <c r="Y2538" s="38"/>
      <c r="Z2538" s="38"/>
      <c r="AA2538" s="38"/>
      <c r="AB2538" s="38"/>
      <c r="AC2538" s="38"/>
      <c r="AD2538" s="38"/>
      <c r="AE2538" s="38"/>
      <c r="AF2538" s="38"/>
      <c r="AG2538" s="38"/>
      <c r="AH2538" s="38"/>
      <c r="AI2538" s="38"/>
      <c r="AJ2538" s="38"/>
      <c r="AK2538" s="38"/>
      <c r="AL2538" s="38"/>
      <c r="AM2538" s="38"/>
      <c r="AN2538" s="38"/>
      <c r="AO2538" s="38"/>
      <c r="AP2538" s="38"/>
      <c r="AQ2538" s="38"/>
      <c r="AR2538" s="38"/>
      <c r="AS2538" s="38"/>
      <c r="AT2538" s="38"/>
      <c r="AU2538" s="38"/>
      <c r="AV2538" s="38"/>
      <c r="AW2538" s="38"/>
      <c r="AX2538" s="38"/>
      <c r="AY2538" s="38"/>
      <c r="AZ2538" s="38"/>
      <c r="BA2538" s="38"/>
      <c r="BB2538" s="38"/>
      <c r="BC2538" s="38"/>
      <c r="BD2538" s="38"/>
      <c r="BE2538" s="38"/>
      <c r="BF2538" s="38"/>
      <c r="BG2538" s="38"/>
      <c r="BH2538" s="38"/>
      <c r="BI2538" s="38"/>
      <c r="BJ2538" s="38"/>
      <c r="BK2538" s="38"/>
      <c r="BL2538" s="38"/>
      <c r="BM2538" s="38"/>
      <c r="BN2538" s="38"/>
      <c r="BO2538" s="38"/>
      <c r="BP2538" s="38"/>
      <c r="BQ2538" s="38"/>
    </row>
    <row r="2539">
      <c r="A2539" s="16"/>
      <c r="B2539" s="16"/>
      <c r="C2539" s="146"/>
      <c r="D2539" s="146"/>
      <c r="E2539" s="16"/>
      <c r="F2539" s="91"/>
      <c r="G2539" s="16"/>
      <c r="H2539" s="320" t="str">
        <f t="shared" si="33"/>
        <v/>
      </c>
      <c r="I2539" s="16"/>
      <c r="J2539" s="16"/>
      <c r="K2539" s="16"/>
      <c r="L2539" s="16"/>
      <c r="M2539" s="15"/>
      <c r="N2539" s="15"/>
      <c r="O2539" s="16"/>
      <c r="P2539" s="16"/>
      <c r="Q2539" s="16"/>
      <c r="R2539" s="16"/>
      <c r="S2539" s="37" t="str">
        <f>IFERROR(__xludf.DUMMYFUNCTION("if(not(iserror(index(split(C2539, "" ""),2))), index(split(C2539, "" ""),1),"""")"),"")</f>
        <v/>
      </c>
      <c r="T2539" s="315" t="str">
        <f>IFERROR(__xludf.DUMMYFUNCTION("if(S2539="""",C2539,if(not(iserror(index(split(C2539, "" ""),3))), index(split(C2539, "" ""),3),index(split(C2539, "" ""),2)))"),"")</f>
        <v/>
      </c>
      <c r="U2539" s="38" t="b">
        <f t="shared" si="34"/>
        <v>0</v>
      </c>
      <c r="V2539" s="38"/>
      <c r="W2539" s="40"/>
      <c r="X2539" s="40"/>
      <c r="Y2539" s="38"/>
      <c r="Z2539" s="38"/>
      <c r="AA2539" s="38"/>
      <c r="AB2539" s="38"/>
      <c r="AC2539" s="38"/>
      <c r="AD2539" s="38"/>
      <c r="AE2539" s="38"/>
      <c r="AF2539" s="38"/>
      <c r="AG2539" s="38"/>
      <c r="AH2539" s="38"/>
      <c r="AI2539" s="38"/>
      <c r="AJ2539" s="38"/>
      <c r="AK2539" s="38"/>
      <c r="AL2539" s="38"/>
      <c r="AM2539" s="38"/>
      <c r="AN2539" s="38"/>
      <c r="AO2539" s="38"/>
      <c r="AP2539" s="38"/>
      <c r="AQ2539" s="38"/>
      <c r="AR2539" s="38"/>
      <c r="AS2539" s="38"/>
      <c r="AT2539" s="38"/>
      <c r="AU2539" s="38"/>
      <c r="AV2539" s="38"/>
      <c r="AW2539" s="38"/>
      <c r="AX2539" s="38"/>
      <c r="AY2539" s="38"/>
      <c r="AZ2539" s="38"/>
      <c r="BA2539" s="38"/>
      <c r="BB2539" s="38"/>
      <c r="BC2539" s="38"/>
      <c r="BD2539" s="38"/>
      <c r="BE2539" s="38"/>
      <c r="BF2539" s="38"/>
      <c r="BG2539" s="38"/>
      <c r="BH2539" s="38"/>
      <c r="BI2539" s="38"/>
      <c r="BJ2539" s="38"/>
      <c r="BK2539" s="38"/>
      <c r="BL2539" s="38"/>
      <c r="BM2539" s="38"/>
      <c r="BN2539" s="38"/>
      <c r="BO2539" s="38"/>
      <c r="BP2539" s="38"/>
      <c r="BQ2539" s="38"/>
    </row>
    <row r="2540">
      <c r="A2540" s="16"/>
      <c r="B2540" s="16"/>
      <c r="C2540" s="146"/>
      <c r="D2540" s="146"/>
      <c r="E2540" s="16"/>
      <c r="F2540" s="91"/>
      <c r="G2540" s="16"/>
      <c r="H2540" s="320" t="str">
        <f t="shared" si="33"/>
        <v/>
      </c>
      <c r="I2540" s="16"/>
      <c r="J2540" s="16"/>
      <c r="K2540" s="16"/>
      <c r="L2540" s="16"/>
      <c r="M2540" s="15"/>
      <c r="N2540" s="15"/>
      <c r="O2540" s="16"/>
      <c r="P2540" s="16"/>
      <c r="Q2540" s="16"/>
      <c r="R2540" s="16"/>
      <c r="S2540" s="37" t="str">
        <f>IFERROR(__xludf.DUMMYFUNCTION("if(not(iserror(index(split(C2540, "" ""),2))), index(split(C2540, "" ""),1),"""")"),"")</f>
        <v/>
      </c>
      <c r="T2540" s="315" t="str">
        <f>IFERROR(__xludf.DUMMYFUNCTION("if(S2540="""",C2540,if(not(iserror(index(split(C2540, "" ""),3))), index(split(C2540, "" ""),3),index(split(C2540, "" ""),2)))"),"")</f>
        <v/>
      </c>
      <c r="U2540" s="38" t="b">
        <f t="shared" si="34"/>
        <v>0</v>
      </c>
      <c r="V2540" s="38"/>
      <c r="W2540" s="40"/>
      <c r="X2540" s="40"/>
      <c r="Y2540" s="38"/>
      <c r="Z2540" s="38"/>
      <c r="AA2540" s="38"/>
      <c r="AB2540" s="38"/>
      <c r="AC2540" s="38"/>
      <c r="AD2540" s="38"/>
      <c r="AE2540" s="38"/>
      <c r="AF2540" s="38"/>
      <c r="AG2540" s="38"/>
      <c r="AH2540" s="38"/>
      <c r="AI2540" s="38"/>
      <c r="AJ2540" s="38"/>
      <c r="AK2540" s="38"/>
      <c r="AL2540" s="38"/>
      <c r="AM2540" s="38"/>
      <c r="AN2540" s="38"/>
      <c r="AO2540" s="38"/>
      <c r="AP2540" s="38"/>
      <c r="AQ2540" s="38"/>
      <c r="AR2540" s="38"/>
      <c r="AS2540" s="38"/>
      <c r="AT2540" s="38"/>
      <c r="AU2540" s="38"/>
      <c r="AV2540" s="38"/>
      <c r="AW2540" s="38"/>
      <c r="AX2540" s="38"/>
      <c r="AY2540" s="38"/>
      <c r="AZ2540" s="38"/>
      <c r="BA2540" s="38"/>
      <c r="BB2540" s="38"/>
      <c r="BC2540" s="38"/>
      <c r="BD2540" s="38"/>
      <c r="BE2540" s="38"/>
      <c r="BF2540" s="38"/>
      <c r="BG2540" s="38"/>
      <c r="BH2540" s="38"/>
      <c r="BI2540" s="38"/>
      <c r="BJ2540" s="38"/>
      <c r="BK2540" s="38"/>
      <c r="BL2540" s="38"/>
      <c r="BM2540" s="38"/>
      <c r="BN2540" s="38"/>
      <c r="BO2540" s="38"/>
      <c r="BP2540" s="38"/>
      <c r="BQ2540" s="38"/>
    </row>
    <row r="2541">
      <c r="A2541" s="16"/>
      <c r="B2541" s="16"/>
      <c r="C2541" s="146"/>
      <c r="D2541" s="146"/>
      <c r="E2541" s="16"/>
      <c r="F2541" s="91"/>
      <c r="G2541" s="16"/>
      <c r="H2541" s="320" t="str">
        <f t="shared" si="33"/>
        <v/>
      </c>
      <c r="I2541" s="16"/>
      <c r="J2541" s="16"/>
      <c r="K2541" s="16"/>
      <c r="L2541" s="16"/>
      <c r="M2541" s="15"/>
      <c r="N2541" s="15"/>
      <c r="O2541" s="16"/>
      <c r="P2541" s="16"/>
      <c r="Q2541" s="16"/>
      <c r="R2541" s="16"/>
      <c r="S2541" s="37" t="str">
        <f>IFERROR(__xludf.DUMMYFUNCTION("if(not(iserror(index(split(C2541, "" ""),2))), index(split(C2541, "" ""),1),"""")"),"")</f>
        <v/>
      </c>
      <c r="T2541" s="315" t="str">
        <f>IFERROR(__xludf.DUMMYFUNCTION("if(S2541="""",C2541,if(not(iserror(index(split(C2541, "" ""),3))), index(split(C2541, "" ""),3),index(split(C2541, "" ""),2)))"),"")</f>
        <v/>
      </c>
      <c r="U2541" s="38" t="b">
        <f t="shared" si="34"/>
        <v>0</v>
      </c>
      <c r="V2541" s="38"/>
      <c r="W2541" s="40"/>
      <c r="X2541" s="40"/>
      <c r="Y2541" s="38"/>
      <c r="Z2541" s="38"/>
      <c r="AA2541" s="38"/>
      <c r="AB2541" s="38"/>
      <c r="AC2541" s="38"/>
      <c r="AD2541" s="38"/>
      <c r="AE2541" s="38"/>
      <c r="AF2541" s="38"/>
      <c r="AG2541" s="38"/>
      <c r="AH2541" s="38"/>
      <c r="AI2541" s="38"/>
      <c r="AJ2541" s="38"/>
      <c r="AK2541" s="38"/>
      <c r="AL2541" s="38"/>
      <c r="AM2541" s="38"/>
      <c r="AN2541" s="38"/>
      <c r="AO2541" s="38"/>
      <c r="AP2541" s="38"/>
      <c r="AQ2541" s="38"/>
      <c r="AR2541" s="38"/>
      <c r="AS2541" s="38"/>
      <c r="AT2541" s="38"/>
      <c r="AU2541" s="38"/>
      <c r="AV2541" s="38"/>
      <c r="AW2541" s="38"/>
      <c r="AX2541" s="38"/>
      <c r="AY2541" s="38"/>
      <c r="AZ2541" s="38"/>
      <c r="BA2541" s="38"/>
      <c r="BB2541" s="38"/>
      <c r="BC2541" s="38"/>
      <c r="BD2541" s="38"/>
      <c r="BE2541" s="38"/>
      <c r="BF2541" s="38"/>
      <c r="BG2541" s="38"/>
      <c r="BH2541" s="38"/>
      <c r="BI2541" s="38"/>
      <c r="BJ2541" s="38"/>
      <c r="BK2541" s="38"/>
      <c r="BL2541" s="38"/>
      <c r="BM2541" s="38"/>
      <c r="BN2541" s="38"/>
      <c r="BO2541" s="38"/>
      <c r="BP2541" s="38"/>
      <c r="BQ2541" s="38"/>
    </row>
    <row r="2542">
      <c r="A2542" s="16"/>
      <c r="B2542" s="16"/>
      <c r="C2542" s="146"/>
      <c r="D2542" s="146"/>
      <c r="E2542" s="16"/>
      <c r="F2542" s="91"/>
      <c r="G2542" s="16"/>
      <c r="H2542" s="320" t="str">
        <f t="shared" si="33"/>
        <v/>
      </c>
      <c r="I2542" s="16"/>
      <c r="J2542" s="16"/>
      <c r="K2542" s="16"/>
      <c r="L2542" s="16"/>
      <c r="M2542" s="15"/>
      <c r="N2542" s="15"/>
      <c r="O2542" s="16"/>
      <c r="P2542" s="16"/>
      <c r="Q2542" s="16"/>
      <c r="R2542" s="16"/>
      <c r="S2542" s="37" t="str">
        <f>IFERROR(__xludf.DUMMYFUNCTION("if(not(iserror(index(split(C2542, "" ""),2))), index(split(C2542, "" ""),1),"""")"),"")</f>
        <v/>
      </c>
      <c r="T2542" s="315" t="str">
        <f>IFERROR(__xludf.DUMMYFUNCTION("if(S2542="""",C2542,if(not(iserror(index(split(C2542, "" ""),3))), index(split(C2542, "" ""),3),index(split(C2542, "" ""),2)))"),"")</f>
        <v/>
      </c>
      <c r="U2542" s="38" t="b">
        <f t="shared" si="34"/>
        <v>0</v>
      </c>
      <c r="V2542" s="38"/>
      <c r="W2542" s="40"/>
      <c r="X2542" s="40"/>
      <c r="Y2542" s="38"/>
      <c r="Z2542" s="38"/>
      <c r="AA2542" s="38"/>
      <c r="AB2542" s="38"/>
      <c r="AC2542" s="38"/>
      <c r="AD2542" s="38"/>
      <c r="AE2542" s="38"/>
      <c r="AF2542" s="38"/>
      <c r="AG2542" s="38"/>
      <c r="AH2542" s="38"/>
      <c r="AI2542" s="38"/>
      <c r="AJ2542" s="38"/>
      <c r="AK2542" s="38"/>
      <c r="AL2542" s="38"/>
      <c r="AM2542" s="38"/>
      <c r="AN2542" s="38"/>
      <c r="AO2542" s="38"/>
      <c r="AP2542" s="38"/>
      <c r="AQ2542" s="38"/>
      <c r="AR2542" s="38"/>
      <c r="AS2542" s="38"/>
      <c r="AT2542" s="38"/>
      <c r="AU2542" s="38"/>
      <c r="AV2542" s="38"/>
      <c r="AW2542" s="38"/>
      <c r="AX2542" s="38"/>
      <c r="AY2542" s="38"/>
      <c r="AZ2542" s="38"/>
      <c r="BA2542" s="38"/>
      <c r="BB2542" s="38"/>
      <c r="BC2542" s="38"/>
      <c r="BD2542" s="38"/>
      <c r="BE2542" s="38"/>
      <c r="BF2542" s="38"/>
      <c r="BG2542" s="38"/>
      <c r="BH2542" s="38"/>
      <c r="BI2542" s="38"/>
      <c r="BJ2542" s="38"/>
      <c r="BK2542" s="38"/>
      <c r="BL2542" s="38"/>
      <c r="BM2542" s="38"/>
      <c r="BN2542" s="38"/>
      <c r="BO2542" s="38"/>
      <c r="BP2542" s="38"/>
      <c r="BQ2542" s="38"/>
    </row>
    <row r="2543">
      <c r="A2543" s="16"/>
      <c r="B2543" s="16"/>
      <c r="C2543" s="146"/>
      <c r="D2543" s="146"/>
      <c r="E2543" s="16"/>
      <c r="F2543" s="91"/>
      <c r="G2543" s="16"/>
      <c r="H2543" s="320" t="str">
        <f t="shared" si="33"/>
        <v/>
      </c>
      <c r="I2543" s="16"/>
      <c r="J2543" s="16"/>
      <c r="K2543" s="16"/>
      <c r="L2543" s="16"/>
      <c r="M2543" s="15"/>
      <c r="N2543" s="15"/>
      <c r="O2543" s="16"/>
      <c r="P2543" s="16"/>
      <c r="Q2543" s="16"/>
      <c r="R2543" s="16"/>
      <c r="S2543" s="37" t="str">
        <f>IFERROR(__xludf.DUMMYFUNCTION("if(not(iserror(index(split(C2543, "" ""),2))), index(split(C2543, "" ""),1),"""")"),"")</f>
        <v/>
      </c>
      <c r="T2543" s="315" t="str">
        <f>IFERROR(__xludf.DUMMYFUNCTION("if(S2543="""",C2543,if(not(iserror(index(split(C2543, "" ""),3))), index(split(C2543, "" ""),3),index(split(C2543, "" ""),2)))"),"")</f>
        <v/>
      </c>
      <c r="U2543" s="38" t="b">
        <f t="shared" si="34"/>
        <v>0</v>
      </c>
      <c r="V2543" s="38"/>
      <c r="W2543" s="40"/>
      <c r="X2543" s="40"/>
      <c r="Y2543" s="38"/>
      <c r="Z2543" s="38"/>
      <c r="AA2543" s="38"/>
      <c r="AB2543" s="38"/>
      <c r="AC2543" s="38"/>
      <c r="AD2543" s="38"/>
      <c r="AE2543" s="38"/>
      <c r="AF2543" s="38"/>
      <c r="AG2543" s="38"/>
      <c r="AH2543" s="38"/>
      <c r="AI2543" s="38"/>
      <c r="AJ2543" s="38"/>
      <c r="AK2543" s="38"/>
      <c r="AL2543" s="38"/>
      <c r="AM2543" s="38"/>
      <c r="AN2543" s="38"/>
      <c r="AO2543" s="38"/>
      <c r="AP2543" s="38"/>
      <c r="AQ2543" s="38"/>
      <c r="AR2543" s="38"/>
      <c r="AS2543" s="38"/>
      <c r="AT2543" s="38"/>
      <c r="AU2543" s="38"/>
      <c r="AV2543" s="38"/>
      <c r="AW2543" s="38"/>
      <c r="AX2543" s="38"/>
      <c r="AY2543" s="38"/>
      <c r="AZ2543" s="38"/>
      <c r="BA2543" s="38"/>
      <c r="BB2543" s="38"/>
      <c r="BC2543" s="38"/>
      <c r="BD2543" s="38"/>
      <c r="BE2543" s="38"/>
      <c r="BF2543" s="38"/>
      <c r="BG2543" s="38"/>
      <c r="BH2543" s="38"/>
      <c r="BI2543" s="38"/>
      <c r="BJ2543" s="38"/>
      <c r="BK2543" s="38"/>
      <c r="BL2543" s="38"/>
      <c r="BM2543" s="38"/>
      <c r="BN2543" s="38"/>
      <c r="BO2543" s="38"/>
      <c r="BP2543" s="38"/>
      <c r="BQ2543" s="38"/>
    </row>
    <row r="2544">
      <c r="A2544" s="16"/>
      <c r="B2544" s="16"/>
      <c r="C2544" s="146"/>
      <c r="D2544" s="146"/>
      <c r="E2544" s="16"/>
      <c r="F2544" s="91"/>
      <c r="G2544" s="16"/>
      <c r="H2544" s="320" t="str">
        <f t="shared" si="33"/>
        <v/>
      </c>
      <c r="I2544" s="16"/>
      <c r="J2544" s="16"/>
      <c r="K2544" s="16"/>
      <c r="L2544" s="16"/>
      <c r="M2544" s="15"/>
      <c r="N2544" s="15"/>
      <c r="O2544" s="16"/>
      <c r="P2544" s="16"/>
      <c r="Q2544" s="16"/>
      <c r="R2544" s="16"/>
      <c r="S2544" s="37" t="str">
        <f>IFERROR(__xludf.DUMMYFUNCTION("if(not(iserror(index(split(C2544, "" ""),2))), index(split(C2544, "" ""),1),"""")"),"")</f>
        <v/>
      </c>
      <c r="T2544" s="315" t="str">
        <f>IFERROR(__xludf.DUMMYFUNCTION("if(S2544="""",C2544,if(not(iserror(index(split(C2544, "" ""),3))), index(split(C2544, "" ""),3),index(split(C2544, "" ""),2)))"),"")</f>
        <v/>
      </c>
      <c r="U2544" s="38" t="b">
        <f t="shared" si="34"/>
        <v>0</v>
      </c>
      <c r="V2544" s="38"/>
      <c r="W2544" s="40"/>
      <c r="X2544" s="40"/>
      <c r="Y2544" s="38"/>
      <c r="Z2544" s="38"/>
      <c r="AA2544" s="38"/>
      <c r="AB2544" s="38"/>
      <c r="AC2544" s="38"/>
      <c r="AD2544" s="38"/>
      <c r="AE2544" s="38"/>
      <c r="AF2544" s="38"/>
      <c r="AG2544" s="38"/>
      <c r="AH2544" s="38"/>
      <c r="AI2544" s="38"/>
      <c r="AJ2544" s="38"/>
      <c r="AK2544" s="38"/>
      <c r="AL2544" s="38"/>
      <c r="AM2544" s="38"/>
      <c r="AN2544" s="38"/>
      <c r="AO2544" s="38"/>
      <c r="AP2544" s="38"/>
      <c r="AQ2544" s="38"/>
      <c r="AR2544" s="38"/>
      <c r="AS2544" s="38"/>
      <c r="AT2544" s="38"/>
      <c r="AU2544" s="38"/>
      <c r="AV2544" s="38"/>
      <c r="AW2544" s="38"/>
      <c r="AX2544" s="38"/>
      <c r="AY2544" s="38"/>
      <c r="AZ2544" s="38"/>
      <c r="BA2544" s="38"/>
      <c r="BB2544" s="38"/>
      <c r="BC2544" s="38"/>
      <c r="BD2544" s="38"/>
      <c r="BE2544" s="38"/>
      <c r="BF2544" s="38"/>
      <c r="BG2544" s="38"/>
      <c r="BH2544" s="38"/>
      <c r="BI2544" s="38"/>
      <c r="BJ2544" s="38"/>
      <c r="BK2544" s="38"/>
      <c r="BL2544" s="38"/>
      <c r="BM2544" s="38"/>
      <c r="BN2544" s="38"/>
      <c r="BO2544" s="38"/>
      <c r="BP2544" s="38"/>
      <c r="BQ2544" s="38"/>
    </row>
    <row r="2545">
      <c r="A2545" s="16"/>
      <c r="B2545" s="16"/>
      <c r="C2545" s="146"/>
      <c r="D2545" s="146"/>
      <c r="E2545" s="16"/>
      <c r="F2545" s="91"/>
      <c r="G2545" s="16"/>
      <c r="H2545" s="320" t="str">
        <f t="shared" si="33"/>
        <v/>
      </c>
      <c r="I2545" s="16"/>
      <c r="J2545" s="16"/>
      <c r="K2545" s="16"/>
      <c r="L2545" s="16"/>
      <c r="M2545" s="15"/>
      <c r="N2545" s="15"/>
      <c r="O2545" s="16"/>
      <c r="P2545" s="16"/>
      <c r="Q2545" s="16"/>
      <c r="R2545" s="16"/>
      <c r="S2545" s="37" t="str">
        <f>IFERROR(__xludf.DUMMYFUNCTION("if(not(iserror(index(split(C2545, "" ""),2))), index(split(C2545, "" ""),1),"""")"),"")</f>
        <v/>
      </c>
      <c r="T2545" s="315" t="str">
        <f>IFERROR(__xludf.DUMMYFUNCTION("if(S2545="""",C2545,if(not(iserror(index(split(C2545, "" ""),3))), index(split(C2545, "" ""),3),index(split(C2545, "" ""),2)))"),"")</f>
        <v/>
      </c>
      <c r="U2545" s="38" t="b">
        <f t="shared" si="34"/>
        <v>0</v>
      </c>
      <c r="V2545" s="38"/>
      <c r="W2545" s="40"/>
      <c r="X2545" s="40"/>
      <c r="Y2545" s="38"/>
      <c r="Z2545" s="38"/>
      <c r="AA2545" s="38"/>
      <c r="AB2545" s="38"/>
      <c r="AC2545" s="38"/>
      <c r="AD2545" s="38"/>
      <c r="AE2545" s="38"/>
      <c r="AF2545" s="38"/>
      <c r="AG2545" s="38"/>
      <c r="AH2545" s="38"/>
      <c r="AI2545" s="38"/>
      <c r="AJ2545" s="38"/>
      <c r="AK2545" s="38"/>
      <c r="AL2545" s="38"/>
      <c r="AM2545" s="38"/>
      <c r="AN2545" s="38"/>
      <c r="AO2545" s="38"/>
      <c r="AP2545" s="38"/>
      <c r="AQ2545" s="38"/>
      <c r="AR2545" s="38"/>
      <c r="AS2545" s="38"/>
      <c r="AT2545" s="38"/>
      <c r="AU2545" s="38"/>
      <c r="AV2545" s="38"/>
      <c r="AW2545" s="38"/>
      <c r="AX2545" s="38"/>
      <c r="AY2545" s="38"/>
      <c r="AZ2545" s="38"/>
      <c r="BA2545" s="38"/>
      <c r="BB2545" s="38"/>
      <c r="BC2545" s="38"/>
      <c r="BD2545" s="38"/>
      <c r="BE2545" s="38"/>
      <c r="BF2545" s="38"/>
      <c r="BG2545" s="38"/>
      <c r="BH2545" s="38"/>
      <c r="BI2545" s="38"/>
      <c r="BJ2545" s="38"/>
      <c r="BK2545" s="38"/>
      <c r="BL2545" s="38"/>
      <c r="BM2545" s="38"/>
      <c r="BN2545" s="38"/>
      <c r="BO2545" s="38"/>
      <c r="BP2545" s="38"/>
      <c r="BQ2545" s="38"/>
    </row>
    <row r="2546">
      <c r="A2546" s="16"/>
      <c r="B2546" s="16"/>
      <c r="C2546" s="146"/>
      <c r="D2546" s="146"/>
      <c r="E2546" s="16"/>
      <c r="F2546" s="91"/>
      <c r="G2546" s="16"/>
      <c r="H2546" s="320" t="str">
        <f t="shared" si="33"/>
        <v/>
      </c>
      <c r="I2546" s="16"/>
      <c r="J2546" s="16"/>
      <c r="K2546" s="16"/>
      <c r="L2546" s="16"/>
      <c r="M2546" s="15"/>
      <c r="N2546" s="15"/>
      <c r="O2546" s="16"/>
      <c r="P2546" s="16"/>
      <c r="Q2546" s="16"/>
      <c r="R2546" s="16"/>
      <c r="S2546" s="37" t="str">
        <f>IFERROR(__xludf.DUMMYFUNCTION("if(not(iserror(index(split(C2546, "" ""),2))), index(split(C2546, "" ""),1),"""")"),"")</f>
        <v/>
      </c>
      <c r="T2546" s="315" t="str">
        <f>IFERROR(__xludf.DUMMYFUNCTION("if(S2546="""",C2546,if(not(iserror(index(split(C2546, "" ""),3))), index(split(C2546, "" ""),3),index(split(C2546, "" ""),2)))"),"")</f>
        <v/>
      </c>
      <c r="U2546" s="38" t="b">
        <f t="shared" si="34"/>
        <v>0</v>
      </c>
      <c r="V2546" s="38"/>
      <c r="W2546" s="40"/>
      <c r="X2546" s="40"/>
      <c r="Y2546" s="38"/>
      <c r="Z2546" s="38"/>
      <c r="AA2546" s="38"/>
      <c r="AB2546" s="38"/>
      <c r="AC2546" s="38"/>
      <c r="AD2546" s="38"/>
      <c r="AE2546" s="38"/>
      <c r="AF2546" s="38"/>
      <c r="AG2546" s="38"/>
      <c r="AH2546" s="38"/>
      <c r="AI2546" s="38"/>
      <c r="AJ2546" s="38"/>
      <c r="AK2546" s="38"/>
      <c r="AL2546" s="38"/>
      <c r="AM2546" s="38"/>
      <c r="AN2546" s="38"/>
      <c r="AO2546" s="38"/>
      <c r="AP2546" s="38"/>
      <c r="AQ2546" s="38"/>
      <c r="AR2546" s="38"/>
      <c r="AS2546" s="38"/>
      <c r="AT2546" s="38"/>
      <c r="AU2546" s="38"/>
      <c r="AV2546" s="38"/>
      <c r="AW2546" s="38"/>
      <c r="AX2546" s="38"/>
      <c r="AY2546" s="38"/>
      <c r="AZ2546" s="38"/>
      <c r="BA2546" s="38"/>
      <c r="BB2546" s="38"/>
      <c r="BC2546" s="38"/>
      <c r="BD2546" s="38"/>
      <c r="BE2546" s="38"/>
      <c r="BF2546" s="38"/>
      <c r="BG2546" s="38"/>
      <c r="BH2546" s="38"/>
      <c r="BI2546" s="38"/>
      <c r="BJ2546" s="38"/>
      <c r="BK2546" s="38"/>
      <c r="BL2546" s="38"/>
      <c r="BM2546" s="38"/>
      <c r="BN2546" s="38"/>
      <c r="BO2546" s="38"/>
      <c r="BP2546" s="38"/>
      <c r="BQ2546" s="38"/>
    </row>
    <row r="2547">
      <c r="A2547" s="16"/>
      <c r="B2547" s="16"/>
      <c r="C2547" s="146"/>
      <c r="D2547" s="146"/>
      <c r="E2547" s="16"/>
      <c r="F2547" s="91"/>
      <c r="G2547" s="16"/>
      <c r="H2547" s="320" t="str">
        <f t="shared" si="33"/>
        <v/>
      </c>
      <c r="I2547" s="16"/>
      <c r="J2547" s="16"/>
      <c r="K2547" s="16"/>
      <c r="L2547" s="16"/>
      <c r="M2547" s="15"/>
      <c r="N2547" s="15"/>
      <c r="O2547" s="16"/>
      <c r="P2547" s="16"/>
      <c r="Q2547" s="16"/>
      <c r="R2547" s="16"/>
      <c r="S2547" s="37" t="str">
        <f>IFERROR(__xludf.DUMMYFUNCTION("if(not(iserror(index(split(C2547, "" ""),2))), index(split(C2547, "" ""),1),"""")"),"")</f>
        <v/>
      </c>
      <c r="T2547" s="315" t="str">
        <f>IFERROR(__xludf.DUMMYFUNCTION("if(S2547="""",C2547,if(not(iserror(index(split(C2547, "" ""),3))), index(split(C2547, "" ""),3),index(split(C2547, "" ""),2)))"),"")</f>
        <v/>
      </c>
      <c r="U2547" s="38" t="b">
        <f t="shared" si="34"/>
        <v>0</v>
      </c>
      <c r="V2547" s="38"/>
      <c r="W2547" s="40"/>
      <c r="X2547" s="40"/>
      <c r="Y2547" s="38"/>
      <c r="Z2547" s="38"/>
      <c r="AA2547" s="38"/>
      <c r="AB2547" s="38"/>
      <c r="AC2547" s="38"/>
      <c r="AD2547" s="38"/>
      <c r="AE2547" s="38"/>
      <c r="AF2547" s="38"/>
      <c r="AG2547" s="38"/>
      <c r="AH2547" s="38"/>
      <c r="AI2547" s="38"/>
      <c r="AJ2547" s="38"/>
      <c r="AK2547" s="38"/>
      <c r="AL2547" s="38"/>
      <c r="AM2547" s="38"/>
      <c r="AN2547" s="38"/>
      <c r="AO2547" s="38"/>
      <c r="AP2547" s="38"/>
      <c r="AQ2547" s="38"/>
      <c r="AR2547" s="38"/>
      <c r="AS2547" s="38"/>
      <c r="AT2547" s="38"/>
      <c r="AU2547" s="38"/>
      <c r="AV2547" s="38"/>
      <c r="AW2547" s="38"/>
      <c r="AX2547" s="38"/>
      <c r="AY2547" s="38"/>
      <c r="AZ2547" s="38"/>
      <c r="BA2547" s="38"/>
      <c r="BB2547" s="38"/>
      <c r="BC2547" s="38"/>
      <c r="BD2547" s="38"/>
      <c r="BE2547" s="38"/>
      <c r="BF2547" s="38"/>
      <c r="BG2547" s="38"/>
      <c r="BH2547" s="38"/>
      <c r="BI2547" s="38"/>
      <c r="BJ2547" s="38"/>
      <c r="BK2547" s="38"/>
      <c r="BL2547" s="38"/>
      <c r="BM2547" s="38"/>
      <c r="BN2547" s="38"/>
      <c r="BO2547" s="38"/>
      <c r="BP2547" s="38"/>
      <c r="BQ2547" s="38"/>
    </row>
    <row r="2548">
      <c r="A2548" s="16"/>
      <c r="B2548" s="16"/>
      <c r="C2548" s="146"/>
      <c r="D2548" s="146"/>
      <c r="E2548" s="16"/>
      <c r="F2548" s="91"/>
      <c r="G2548" s="16"/>
      <c r="H2548" s="320" t="str">
        <f t="shared" si="33"/>
        <v/>
      </c>
      <c r="I2548" s="16"/>
      <c r="J2548" s="16"/>
      <c r="K2548" s="16"/>
      <c r="L2548" s="16"/>
      <c r="M2548" s="15"/>
      <c r="N2548" s="15"/>
      <c r="O2548" s="16"/>
      <c r="P2548" s="16"/>
      <c r="Q2548" s="16"/>
      <c r="R2548" s="16"/>
      <c r="S2548" s="37" t="str">
        <f>IFERROR(__xludf.DUMMYFUNCTION("if(not(iserror(index(split(C2548, "" ""),2))), index(split(C2548, "" ""),1),"""")"),"")</f>
        <v/>
      </c>
      <c r="T2548" s="315" t="str">
        <f>IFERROR(__xludf.DUMMYFUNCTION("if(S2548="""",C2548,if(not(iserror(index(split(C2548, "" ""),3))), index(split(C2548, "" ""),3),index(split(C2548, "" ""),2)))"),"")</f>
        <v/>
      </c>
      <c r="U2548" s="38" t="b">
        <f t="shared" si="34"/>
        <v>0</v>
      </c>
      <c r="V2548" s="38"/>
      <c r="W2548" s="40"/>
      <c r="X2548" s="40"/>
      <c r="Y2548" s="38"/>
      <c r="Z2548" s="38"/>
      <c r="AA2548" s="38"/>
      <c r="AB2548" s="38"/>
      <c r="AC2548" s="38"/>
      <c r="AD2548" s="38"/>
      <c r="AE2548" s="38"/>
      <c r="AF2548" s="38"/>
      <c r="AG2548" s="38"/>
      <c r="AH2548" s="38"/>
      <c r="AI2548" s="38"/>
      <c r="AJ2548" s="38"/>
      <c r="AK2548" s="38"/>
      <c r="AL2548" s="38"/>
      <c r="AM2548" s="38"/>
      <c r="AN2548" s="38"/>
      <c r="AO2548" s="38"/>
      <c r="AP2548" s="38"/>
      <c r="AQ2548" s="38"/>
      <c r="AR2548" s="38"/>
      <c r="AS2548" s="38"/>
      <c r="AT2548" s="38"/>
      <c r="AU2548" s="38"/>
      <c r="AV2548" s="38"/>
      <c r="AW2548" s="38"/>
      <c r="AX2548" s="38"/>
      <c r="AY2548" s="38"/>
      <c r="AZ2548" s="38"/>
      <c r="BA2548" s="38"/>
      <c r="BB2548" s="38"/>
      <c r="BC2548" s="38"/>
      <c r="BD2548" s="38"/>
      <c r="BE2548" s="38"/>
      <c r="BF2548" s="38"/>
      <c r="BG2548" s="38"/>
      <c r="BH2548" s="38"/>
      <c r="BI2548" s="38"/>
      <c r="BJ2548" s="38"/>
      <c r="BK2548" s="38"/>
      <c r="BL2548" s="38"/>
      <c r="BM2548" s="38"/>
      <c r="BN2548" s="38"/>
      <c r="BO2548" s="38"/>
      <c r="BP2548" s="38"/>
      <c r="BQ2548" s="38"/>
    </row>
    <row r="2549">
      <c r="A2549" s="16"/>
      <c r="B2549" s="16"/>
      <c r="C2549" s="146"/>
      <c r="D2549" s="146"/>
      <c r="E2549" s="16"/>
      <c r="F2549" s="91"/>
      <c r="G2549" s="16"/>
      <c r="H2549" s="320" t="str">
        <f t="shared" si="33"/>
        <v/>
      </c>
      <c r="I2549" s="16"/>
      <c r="J2549" s="16"/>
      <c r="K2549" s="16"/>
      <c r="L2549" s="16"/>
      <c r="M2549" s="15"/>
      <c r="N2549" s="15"/>
      <c r="O2549" s="16"/>
      <c r="P2549" s="16"/>
      <c r="Q2549" s="16"/>
      <c r="R2549" s="16"/>
      <c r="S2549" s="37" t="str">
        <f>IFERROR(__xludf.DUMMYFUNCTION("if(not(iserror(index(split(C2549, "" ""),2))), index(split(C2549, "" ""),1),"""")"),"")</f>
        <v/>
      </c>
      <c r="T2549" s="315" t="str">
        <f>IFERROR(__xludf.DUMMYFUNCTION("if(S2549="""",C2549,if(not(iserror(index(split(C2549, "" ""),3))), index(split(C2549, "" ""),3),index(split(C2549, "" ""),2)))"),"")</f>
        <v/>
      </c>
      <c r="U2549" s="38" t="b">
        <f t="shared" si="34"/>
        <v>0</v>
      </c>
      <c r="V2549" s="38"/>
      <c r="W2549" s="40"/>
      <c r="X2549" s="40"/>
      <c r="Y2549" s="38"/>
      <c r="Z2549" s="38"/>
      <c r="AA2549" s="38"/>
      <c r="AB2549" s="38"/>
      <c r="AC2549" s="38"/>
      <c r="AD2549" s="38"/>
      <c r="AE2549" s="38"/>
      <c r="AF2549" s="38"/>
      <c r="AG2549" s="38"/>
      <c r="AH2549" s="38"/>
      <c r="AI2549" s="38"/>
      <c r="AJ2549" s="38"/>
      <c r="AK2549" s="38"/>
      <c r="AL2549" s="38"/>
      <c r="AM2549" s="38"/>
      <c r="AN2549" s="38"/>
      <c r="AO2549" s="38"/>
      <c r="AP2549" s="38"/>
      <c r="AQ2549" s="38"/>
      <c r="AR2549" s="38"/>
      <c r="AS2549" s="38"/>
      <c r="AT2549" s="38"/>
      <c r="AU2549" s="38"/>
      <c r="AV2549" s="38"/>
      <c r="AW2549" s="38"/>
      <c r="AX2549" s="38"/>
      <c r="AY2549" s="38"/>
      <c r="AZ2549" s="38"/>
      <c r="BA2549" s="38"/>
      <c r="BB2549" s="38"/>
      <c r="BC2549" s="38"/>
      <c r="BD2549" s="38"/>
      <c r="BE2549" s="38"/>
      <c r="BF2549" s="38"/>
      <c r="BG2549" s="38"/>
      <c r="BH2549" s="38"/>
      <c r="BI2549" s="38"/>
      <c r="BJ2549" s="38"/>
      <c r="BK2549" s="38"/>
      <c r="BL2549" s="38"/>
      <c r="BM2549" s="38"/>
      <c r="BN2549" s="38"/>
      <c r="BO2549" s="38"/>
      <c r="BP2549" s="38"/>
      <c r="BQ2549" s="38"/>
    </row>
    <row r="2550">
      <c r="A2550" s="16"/>
      <c r="B2550" s="16"/>
      <c r="C2550" s="146"/>
      <c r="D2550" s="146"/>
      <c r="E2550" s="16"/>
      <c r="F2550" s="91"/>
      <c r="G2550" s="16"/>
      <c r="H2550" s="320" t="str">
        <f t="shared" si="33"/>
        <v/>
      </c>
      <c r="I2550" s="16"/>
      <c r="J2550" s="16"/>
      <c r="K2550" s="16"/>
      <c r="L2550" s="16"/>
      <c r="M2550" s="15"/>
      <c r="N2550" s="15"/>
      <c r="O2550" s="16"/>
      <c r="P2550" s="16"/>
      <c r="Q2550" s="16"/>
      <c r="R2550" s="16"/>
      <c r="S2550" s="37" t="str">
        <f>IFERROR(__xludf.DUMMYFUNCTION("if(not(iserror(index(split(C2550, "" ""),2))), index(split(C2550, "" ""),1),"""")"),"")</f>
        <v/>
      </c>
      <c r="T2550" s="315" t="str">
        <f>IFERROR(__xludf.DUMMYFUNCTION("if(S2550="""",C2550,if(not(iserror(index(split(C2550, "" ""),3))), index(split(C2550, "" ""),3),index(split(C2550, "" ""),2)))"),"")</f>
        <v/>
      </c>
      <c r="U2550" s="38" t="b">
        <f t="shared" si="34"/>
        <v>0</v>
      </c>
      <c r="V2550" s="38"/>
      <c r="W2550" s="40"/>
      <c r="X2550" s="40"/>
      <c r="Y2550" s="38"/>
      <c r="Z2550" s="38"/>
      <c r="AA2550" s="38"/>
      <c r="AB2550" s="38"/>
      <c r="AC2550" s="38"/>
      <c r="AD2550" s="38"/>
      <c r="AE2550" s="38"/>
      <c r="AF2550" s="38"/>
      <c r="AG2550" s="38"/>
      <c r="AH2550" s="38"/>
      <c r="AI2550" s="38"/>
      <c r="AJ2550" s="38"/>
      <c r="AK2550" s="38"/>
      <c r="AL2550" s="38"/>
      <c r="AM2550" s="38"/>
      <c r="AN2550" s="38"/>
      <c r="AO2550" s="38"/>
      <c r="AP2550" s="38"/>
      <c r="AQ2550" s="38"/>
      <c r="AR2550" s="38"/>
      <c r="AS2550" s="38"/>
      <c r="AT2550" s="38"/>
      <c r="AU2550" s="38"/>
      <c r="AV2550" s="38"/>
      <c r="AW2550" s="38"/>
      <c r="AX2550" s="38"/>
      <c r="AY2550" s="38"/>
      <c r="AZ2550" s="38"/>
      <c r="BA2550" s="38"/>
      <c r="BB2550" s="38"/>
      <c r="BC2550" s="38"/>
      <c r="BD2550" s="38"/>
      <c r="BE2550" s="38"/>
      <c r="BF2550" s="38"/>
      <c r="BG2550" s="38"/>
      <c r="BH2550" s="38"/>
      <c r="BI2550" s="38"/>
      <c r="BJ2550" s="38"/>
      <c r="BK2550" s="38"/>
      <c r="BL2550" s="38"/>
      <c r="BM2550" s="38"/>
      <c r="BN2550" s="38"/>
      <c r="BO2550" s="38"/>
      <c r="BP2550" s="38"/>
      <c r="BQ2550" s="38"/>
    </row>
    <row r="2551">
      <c r="A2551" s="16"/>
      <c r="B2551" s="16"/>
      <c r="C2551" s="146"/>
      <c r="D2551" s="146"/>
      <c r="E2551" s="16"/>
      <c r="F2551" s="91"/>
      <c r="G2551" s="16"/>
      <c r="H2551" s="320" t="str">
        <f t="shared" si="33"/>
        <v/>
      </c>
      <c r="I2551" s="16"/>
      <c r="J2551" s="16"/>
      <c r="K2551" s="16"/>
      <c r="L2551" s="16"/>
      <c r="M2551" s="15"/>
      <c r="N2551" s="15"/>
      <c r="O2551" s="16"/>
      <c r="P2551" s="16"/>
      <c r="Q2551" s="16"/>
      <c r="R2551" s="16"/>
      <c r="S2551" s="37" t="str">
        <f>IFERROR(__xludf.DUMMYFUNCTION("if(not(iserror(index(split(C2551, "" ""),2))), index(split(C2551, "" ""),1),"""")"),"")</f>
        <v/>
      </c>
      <c r="T2551" s="315" t="str">
        <f>IFERROR(__xludf.DUMMYFUNCTION("if(S2551="""",C2551,if(not(iserror(index(split(C2551, "" ""),3))), index(split(C2551, "" ""),3),index(split(C2551, "" ""),2)))"),"")</f>
        <v/>
      </c>
      <c r="U2551" s="38" t="b">
        <f t="shared" si="34"/>
        <v>0</v>
      </c>
      <c r="V2551" s="38"/>
      <c r="W2551" s="40"/>
      <c r="X2551" s="40"/>
      <c r="Y2551" s="38"/>
      <c r="Z2551" s="38"/>
      <c r="AA2551" s="38"/>
      <c r="AB2551" s="38"/>
      <c r="AC2551" s="38"/>
      <c r="AD2551" s="38"/>
      <c r="AE2551" s="38"/>
      <c r="AF2551" s="38"/>
      <c r="AG2551" s="38"/>
      <c r="AH2551" s="38"/>
      <c r="AI2551" s="38"/>
      <c r="AJ2551" s="38"/>
      <c r="AK2551" s="38"/>
      <c r="AL2551" s="38"/>
      <c r="AM2551" s="38"/>
      <c r="AN2551" s="38"/>
      <c r="AO2551" s="38"/>
      <c r="AP2551" s="38"/>
      <c r="AQ2551" s="38"/>
      <c r="AR2551" s="38"/>
      <c r="AS2551" s="38"/>
      <c r="AT2551" s="38"/>
      <c r="AU2551" s="38"/>
      <c r="AV2551" s="38"/>
      <c r="AW2551" s="38"/>
      <c r="AX2551" s="38"/>
      <c r="AY2551" s="38"/>
      <c r="AZ2551" s="38"/>
      <c r="BA2551" s="38"/>
      <c r="BB2551" s="38"/>
      <c r="BC2551" s="38"/>
      <c r="BD2551" s="38"/>
      <c r="BE2551" s="38"/>
      <c r="BF2551" s="38"/>
      <c r="BG2551" s="38"/>
      <c r="BH2551" s="38"/>
      <c r="BI2551" s="38"/>
      <c r="BJ2551" s="38"/>
      <c r="BK2551" s="38"/>
      <c r="BL2551" s="38"/>
      <c r="BM2551" s="38"/>
      <c r="BN2551" s="38"/>
      <c r="BO2551" s="38"/>
      <c r="BP2551" s="38"/>
      <c r="BQ2551" s="38"/>
    </row>
    <row r="2552">
      <c r="A2552" s="16"/>
      <c r="B2552" s="16"/>
      <c r="C2552" s="146"/>
      <c r="D2552" s="146"/>
      <c r="E2552" s="16"/>
      <c r="F2552" s="91"/>
      <c r="G2552" s="16"/>
      <c r="H2552" s="320" t="str">
        <f t="shared" si="33"/>
        <v/>
      </c>
      <c r="I2552" s="16"/>
      <c r="J2552" s="16"/>
      <c r="K2552" s="16"/>
      <c r="L2552" s="16"/>
      <c r="M2552" s="15"/>
      <c r="N2552" s="15"/>
      <c r="O2552" s="16"/>
      <c r="P2552" s="16"/>
      <c r="Q2552" s="16"/>
      <c r="R2552" s="16"/>
      <c r="S2552" s="37" t="str">
        <f>IFERROR(__xludf.DUMMYFUNCTION("if(not(iserror(index(split(C2552, "" ""),2))), index(split(C2552, "" ""),1),"""")"),"")</f>
        <v/>
      </c>
      <c r="T2552" s="315" t="str">
        <f>IFERROR(__xludf.DUMMYFUNCTION("if(S2552="""",C2552,if(not(iserror(index(split(C2552, "" ""),3))), index(split(C2552, "" ""),3),index(split(C2552, "" ""),2)))"),"")</f>
        <v/>
      </c>
      <c r="U2552" s="38" t="b">
        <f t="shared" si="34"/>
        <v>0</v>
      </c>
      <c r="V2552" s="38"/>
      <c r="W2552" s="40"/>
      <c r="X2552" s="40"/>
      <c r="Y2552" s="38"/>
      <c r="Z2552" s="38"/>
      <c r="AA2552" s="38"/>
      <c r="AB2552" s="38"/>
      <c r="AC2552" s="38"/>
      <c r="AD2552" s="38"/>
      <c r="AE2552" s="38"/>
      <c r="AF2552" s="38"/>
      <c r="AG2552" s="38"/>
      <c r="AH2552" s="38"/>
      <c r="AI2552" s="38"/>
      <c r="AJ2552" s="38"/>
      <c r="AK2552" s="38"/>
      <c r="AL2552" s="38"/>
      <c r="AM2552" s="38"/>
      <c r="AN2552" s="38"/>
      <c r="AO2552" s="38"/>
      <c r="AP2552" s="38"/>
      <c r="AQ2552" s="38"/>
      <c r="AR2552" s="38"/>
      <c r="AS2552" s="38"/>
      <c r="AT2552" s="38"/>
      <c r="AU2552" s="38"/>
      <c r="AV2552" s="38"/>
      <c r="AW2552" s="38"/>
      <c r="AX2552" s="38"/>
      <c r="AY2552" s="38"/>
      <c r="AZ2552" s="38"/>
      <c r="BA2552" s="38"/>
      <c r="BB2552" s="38"/>
      <c r="BC2552" s="38"/>
      <c r="BD2552" s="38"/>
      <c r="BE2552" s="38"/>
      <c r="BF2552" s="38"/>
      <c r="BG2552" s="38"/>
      <c r="BH2552" s="38"/>
      <c r="BI2552" s="38"/>
      <c r="BJ2552" s="38"/>
      <c r="BK2552" s="38"/>
      <c r="BL2552" s="38"/>
      <c r="BM2552" s="38"/>
      <c r="BN2552" s="38"/>
      <c r="BO2552" s="38"/>
      <c r="BP2552" s="38"/>
      <c r="BQ2552" s="38"/>
    </row>
    <row r="2553">
      <c r="A2553" s="16"/>
      <c r="B2553" s="16"/>
      <c r="C2553" s="146"/>
      <c r="D2553" s="146"/>
      <c r="E2553" s="16"/>
      <c r="F2553" s="91"/>
      <c r="G2553" s="16"/>
      <c r="H2553" s="320" t="str">
        <f t="shared" si="33"/>
        <v/>
      </c>
      <c r="I2553" s="16"/>
      <c r="J2553" s="16"/>
      <c r="K2553" s="16"/>
      <c r="L2553" s="16"/>
      <c r="M2553" s="15"/>
      <c r="N2553" s="15"/>
      <c r="O2553" s="16"/>
      <c r="P2553" s="16"/>
      <c r="Q2553" s="16"/>
      <c r="R2553" s="16"/>
      <c r="S2553" s="37" t="str">
        <f>IFERROR(__xludf.DUMMYFUNCTION("if(not(iserror(index(split(C2553, "" ""),2))), index(split(C2553, "" ""),1),"""")"),"")</f>
        <v/>
      </c>
      <c r="T2553" s="315" t="str">
        <f>IFERROR(__xludf.DUMMYFUNCTION("if(S2553="""",C2553,if(not(iserror(index(split(C2553, "" ""),3))), index(split(C2553, "" ""),3),index(split(C2553, "" ""),2)))"),"")</f>
        <v/>
      </c>
      <c r="U2553" s="38" t="b">
        <f t="shared" si="34"/>
        <v>0</v>
      </c>
      <c r="V2553" s="38"/>
      <c r="W2553" s="40"/>
      <c r="X2553" s="40"/>
      <c r="Y2553" s="38"/>
      <c r="Z2553" s="38"/>
      <c r="AA2553" s="38"/>
      <c r="AB2553" s="38"/>
      <c r="AC2553" s="38"/>
      <c r="AD2553" s="38"/>
      <c r="AE2553" s="38"/>
      <c r="AF2553" s="38"/>
      <c r="AG2553" s="38"/>
      <c r="AH2553" s="38"/>
      <c r="AI2553" s="38"/>
      <c r="AJ2553" s="38"/>
      <c r="AK2553" s="38"/>
      <c r="AL2553" s="38"/>
      <c r="AM2553" s="38"/>
      <c r="AN2553" s="38"/>
      <c r="AO2553" s="38"/>
      <c r="AP2553" s="38"/>
      <c r="AQ2553" s="38"/>
      <c r="AR2553" s="38"/>
      <c r="AS2553" s="38"/>
      <c r="AT2553" s="38"/>
      <c r="AU2553" s="38"/>
      <c r="AV2553" s="38"/>
      <c r="AW2553" s="38"/>
      <c r="AX2553" s="38"/>
      <c r="AY2553" s="38"/>
      <c r="AZ2553" s="38"/>
      <c r="BA2553" s="38"/>
      <c r="BB2553" s="38"/>
      <c r="BC2553" s="38"/>
      <c r="BD2553" s="38"/>
      <c r="BE2553" s="38"/>
      <c r="BF2553" s="38"/>
      <c r="BG2553" s="38"/>
      <c r="BH2553" s="38"/>
      <c r="BI2553" s="38"/>
      <c r="BJ2553" s="38"/>
      <c r="BK2553" s="38"/>
      <c r="BL2553" s="38"/>
      <c r="BM2553" s="38"/>
      <c r="BN2553" s="38"/>
      <c r="BO2553" s="38"/>
      <c r="BP2553" s="38"/>
      <c r="BQ2553" s="38"/>
    </row>
    <row r="2554">
      <c r="A2554" s="16"/>
      <c r="B2554" s="16"/>
      <c r="C2554" s="146"/>
      <c r="D2554" s="146"/>
      <c r="E2554" s="16"/>
      <c r="F2554" s="91"/>
      <c r="G2554" s="16"/>
      <c r="H2554" s="320" t="str">
        <f t="shared" si="33"/>
        <v/>
      </c>
      <c r="I2554" s="16"/>
      <c r="J2554" s="16"/>
      <c r="K2554" s="16"/>
      <c r="L2554" s="16"/>
      <c r="M2554" s="15"/>
      <c r="N2554" s="15"/>
      <c r="O2554" s="16"/>
      <c r="P2554" s="16"/>
      <c r="Q2554" s="16"/>
      <c r="R2554" s="16"/>
      <c r="S2554" s="37" t="str">
        <f>IFERROR(__xludf.DUMMYFUNCTION("if(not(iserror(index(split(C2554, "" ""),2))), index(split(C2554, "" ""),1),"""")"),"")</f>
        <v/>
      </c>
      <c r="T2554" s="315" t="str">
        <f>IFERROR(__xludf.DUMMYFUNCTION("if(S2554="""",C2554,if(not(iserror(index(split(C2554, "" ""),3))), index(split(C2554, "" ""),3),index(split(C2554, "" ""),2)))"),"")</f>
        <v/>
      </c>
      <c r="U2554" s="38" t="b">
        <f t="shared" si="34"/>
        <v>0</v>
      </c>
      <c r="V2554" s="38"/>
      <c r="W2554" s="40"/>
      <c r="X2554" s="40"/>
      <c r="Y2554" s="38"/>
      <c r="Z2554" s="38"/>
      <c r="AA2554" s="38"/>
      <c r="AB2554" s="38"/>
      <c r="AC2554" s="38"/>
      <c r="AD2554" s="38"/>
      <c r="AE2554" s="38"/>
      <c r="AF2554" s="38"/>
      <c r="AG2554" s="38"/>
      <c r="AH2554" s="38"/>
      <c r="AI2554" s="38"/>
      <c r="AJ2554" s="38"/>
      <c r="AK2554" s="38"/>
      <c r="AL2554" s="38"/>
      <c r="AM2554" s="38"/>
      <c r="AN2554" s="38"/>
      <c r="AO2554" s="38"/>
      <c r="AP2554" s="38"/>
      <c r="AQ2554" s="38"/>
      <c r="AR2554" s="38"/>
      <c r="AS2554" s="38"/>
      <c r="AT2554" s="38"/>
      <c r="AU2554" s="38"/>
      <c r="AV2554" s="38"/>
      <c r="AW2554" s="38"/>
      <c r="AX2554" s="38"/>
      <c r="AY2554" s="38"/>
      <c r="AZ2554" s="38"/>
      <c r="BA2554" s="38"/>
      <c r="BB2554" s="38"/>
      <c r="BC2554" s="38"/>
      <c r="BD2554" s="38"/>
      <c r="BE2554" s="38"/>
      <c r="BF2554" s="38"/>
      <c r="BG2554" s="38"/>
      <c r="BH2554" s="38"/>
      <c r="BI2554" s="38"/>
      <c r="BJ2554" s="38"/>
      <c r="BK2554" s="38"/>
      <c r="BL2554" s="38"/>
      <c r="BM2554" s="38"/>
      <c r="BN2554" s="38"/>
      <c r="BO2554" s="38"/>
      <c r="BP2554" s="38"/>
      <c r="BQ2554" s="38"/>
    </row>
    <row r="2555">
      <c r="A2555" s="16"/>
      <c r="B2555" s="16"/>
      <c r="C2555" s="146"/>
      <c r="D2555" s="146"/>
      <c r="E2555" s="16"/>
      <c r="F2555" s="91"/>
      <c r="G2555" s="16"/>
      <c r="H2555" s="320" t="str">
        <f t="shared" si="33"/>
        <v/>
      </c>
      <c r="I2555" s="16"/>
      <c r="J2555" s="16"/>
      <c r="K2555" s="16"/>
      <c r="L2555" s="16"/>
      <c r="M2555" s="15"/>
      <c r="N2555" s="15"/>
      <c r="O2555" s="16"/>
      <c r="P2555" s="16"/>
      <c r="Q2555" s="16"/>
      <c r="R2555" s="16"/>
      <c r="S2555" s="37" t="str">
        <f>IFERROR(__xludf.DUMMYFUNCTION("if(not(iserror(index(split(C2555, "" ""),2))), index(split(C2555, "" ""),1),"""")"),"")</f>
        <v/>
      </c>
      <c r="T2555" s="315" t="str">
        <f>IFERROR(__xludf.DUMMYFUNCTION("if(S2555="""",C2555,if(not(iserror(index(split(C2555, "" ""),3))), index(split(C2555, "" ""),3),index(split(C2555, "" ""),2)))"),"")</f>
        <v/>
      </c>
      <c r="U2555" s="38" t="b">
        <f t="shared" si="34"/>
        <v>0</v>
      </c>
      <c r="V2555" s="38"/>
      <c r="W2555" s="40"/>
      <c r="X2555" s="40"/>
      <c r="Y2555" s="38"/>
      <c r="Z2555" s="38"/>
      <c r="AA2555" s="38"/>
      <c r="AB2555" s="38"/>
      <c r="AC2555" s="38"/>
      <c r="AD2555" s="38"/>
      <c r="AE2555" s="38"/>
      <c r="AF2555" s="38"/>
      <c r="AG2555" s="38"/>
      <c r="AH2555" s="38"/>
      <c r="AI2555" s="38"/>
      <c r="AJ2555" s="38"/>
      <c r="AK2555" s="38"/>
      <c r="AL2555" s="38"/>
      <c r="AM2555" s="38"/>
      <c r="AN2555" s="38"/>
      <c r="AO2555" s="38"/>
      <c r="AP2555" s="38"/>
      <c r="AQ2555" s="38"/>
      <c r="AR2555" s="38"/>
      <c r="AS2555" s="38"/>
      <c r="AT2555" s="38"/>
      <c r="AU2555" s="38"/>
      <c r="AV2555" s="38"/>
      <c r="AW2555" s="38"/>
      <c r="AX2555" s="38"/>
      <c r="AY2555" s="38"/>
      <c r="AZ2555" s="38"/>
      <c r="BA2555" s="38"/>
      <c r="BB2555" s="38"/>
      <c r="BC2555" s="38"/>
      <c r="BD2555" s="38"/>
      <c r="BE2555" s="38"/>
      <c r="BF2555" s="38"/>
      <c r="BG2555" s="38"/>
      <c r="BH2555" s="38"/>
      <c r="BI2555" s="38"/>
      <c r="BJ2555" s="38"/>
      <c r="BK2555" s="38"/>
      <c r="BL2555" s="38"/>
      <c r="BM2555" s="38"/>
      <c r="BN2555" s="38"/>
      <c r="BO2555" s="38"/>
      <c r="BP2555" s="38"/>
      <c r="BQ2555" s="38"/>
    </row>
    <row r="2556">
      <c r="A2556" s="16"/>
      <c r="B2556" s="16"/>
      <c r="C2556" s="146"/>
      <c r="D2556" s="146"/>
      <c r="E2556" s="16"/>
      <c r="F2556" s="91"/>
      <c r="G2556" s="16"/>
      <c r="H2556" s="320" t="str">
        <f t="shared" si="33"/>
        <v/>
      </c>
      <c r="I2556" s="16"/>
      <c r="J2556" s="16"/>
      <c r="K2556" s="16"/>
      <c r="L2556" s="16"/>
      <c r="M2556" s="15"/>
      <c r="N2556" s="15"/>
      <c r="O2556" s="16"/>
      <c r="P2556" s="16"/>
      <c r="Q2556" s="16"/>
      <c r="R2556" s="16"/>
      <c r="S2556" s="37" t="str">
        <f>IFERROR(__xludf.DUMMYFUNCTION("if(not(iserror(index(split(C2556, "" ""),2))), index(split(C2556, "" ""),1),"""")"),"")</f>
        <v/>
      </c>
      <c r="T2556" s="315" t="str">
        <f>IFERROR(__xludf.DUMMYFUNCTION("if(S2556="""",C2556,if(not(iserror(index(split(C2556, "" ""),3))), index(split(C2556, "" ""),3),index(split(C2556, "" ""),2)))"),"")</f>
        <v/>
      </c>
      <c r="U2556" s="38" t="b">
        <f t="shared" si="34"/>
        <v>0</v>
      </c>
      <c r="V2556" s="38"/>
      <c r="W2556" s="40"/>
      <c r="X2556" s="40"/>
      <c r="Y2556" s="38"/>
      <c r="Z2556" s="38"/>
      <c r="AA2556" s="38"/>
      <c r="AB2556" s="38"/>
      <c r="AC2556" s="38"/>
      <c r="AD2556" s="38"/>
      <c r="AE2556" s="38"/>
      <c r="AF2556" s="38"/>
      <c r="AG2556" s="38"/>
      <c r="AH2556" s="38"/>
      <c r="AI2556" s="38"/>
      <c r="AJ2556" s="38"/>
      <c r="AK2556" s="38"/>
      <c r="AL2556" s="38"/>
      <c r="AM2556" s="38"/>
      <c r="AN2556" s="38"/>
      <c r="AO2556" s="38"/>
      <c r="AP2556" s="38"/>
      <c r="AQ2556" s="38"/>
      <c r="AR2556" s="38"/>
      <c r="AS2556" s="38"/>
      <c r="AT2556" s="38"/>
      <c r="AU2556" s="38"/>
      <c r="AV2556" s="38"/>
      <c r="AW2556" s="38"/>
      <c r="AX2556" s="38"/>
      <c r="AY2556" s="38"/>
      <c r="AZ2556" s="38"/>
      <c r="BA2556" s="38"/>
      <c r="BB2556" s="38"/>
      <c r="BC2556" s="38"/>
      <c r="BD2556" s="38"/>
      <c r="BE2556" s="38"/>
      <c r="BF2556" s="38"/>
      <c r="BG2556" s="38"/>
      <c r="BH2556" s="38"/>
      <c r="BI2556" s="38"/>
      <c r="BJ2556" s="38"/>
      <c r="BK2556" s="38"/>
      <c r="BL2556" s="38"/>
      <c r="BM2556" s="38"/>
      <c r="BN2556" s="38"/>
      <c r="BO2556" s="38"/>
      <c r="BP2556" s="38"/>
      <c r="BQ2556" s="38"/>
    </row>
    <row r="2557">
      <c r="A2557" s="16"/>
      <c r="B2557" s="16"/>
      <c r="C2557" s="146"/>
      <c r="D2557" s="146"/>
      <c r="E2557" s="16"/>
      <c r="F2557" s="91"/>
      <c r="G2557" s="16"/>
      <c r="H2557" s="320" t="str">
        <f t="shared" si="33"/>
        <v/>
      </c>
      <c r="I2557" s="16"/>
      <c r="J2557" s="16"/>
      <c r="K2557" s="16"/>
      <c r="L2557" s="16"/>
      <c r="M2557" s="15"/>
      <c r="N2557" s="15"/>
      <c r="O2557" s="16"/>
      <c r="P2557" s="16"/>
      <c r="Q2557" s="16"/>
      <c r="R2557" s="16"/>
      <c r="S2557" s="37" t="str">
        <f>IFERROR(__xludf.DUMMYFUNCTION("if(not(iserror(index(split(C2557, "" ""),2))), index(split(C2557, "" ""),1),"""")"),"")</f>
        <v/>
      </c>
      <c r="T2557" s="315" t="str">
        <f>IFERROR(__xludf.DUMMYFUNCTION("if(S2557="""",C2557,if(not(iserror(index(split(C2557, "" ""),3))), index(split(C2557, "" ""),3),index(split(C2557, "" ""),2)))"),"")</f>
        <v/>
      </c>
      <c r="U2557" s="38" t="b">
        <f t="shared" si="34"/>
        <v>0</v>
      </c>
      <c r="V2557" s="38"/>
      <c r="W2557" s="40"/>
      <c r="X2557" s="40"/>
      <c r="Y2557" s="38"/>
      <c r="Z2557" s="38"/>
      <c r="AA2557" s="38"/>
      <c r="AB2557" s="38"/>
      <c r="AC2557" s="38"/>
      <c r="AD2557" s="38"/>
      <c r="AE2557" s="38"/>
      <c r="AF2557" s="38"/>
      <c r="AG2557" s="38"/>
      <c r="AH2557" s="38"/>
      <c r="AI2557" s="38"/>
      <c r="AJ2557" s="38"/>
      <c r="AK2557" s="38"/>
      <c r="AL2557" s="38"/>
      <c r="AM2557" s="38"/>
      <c r="AN2557" s="38"/>
      <c r="AO2557" s="38"/>
      <c r="AP2557" s="38"/>
      <c r="AQ2557" s="38"/>
      <c r="AR2557" s="38"/>
      <c r="AS2557" s="38"/>
      <c r="AT2557" s="38"/>
      <c r="AU2557" s="38"/>
      <c r="AV2557" s="38"/>
      <c r="AW2557" s="38"/>
      <c r="AX2557" s="38"/>
      <c r="AY2557" s="38"/>
      <c r="AZ2557" s="38"/>
      <c r="BA2557" s="38"/>
      <c r="BB2557" s="38"/>
      <c r="BC2557" s="38"/>
      <c r="BD2557" s="38"/>
      <c r="BE2557" s="38"/>
      <c r="BF2557" s="38"/>
      <c r="BG2557" s="38"/>
      <c r="BH2557" s="38"/>
      <c r="BI2557" s="38"/>
      <c r="BJ2557" s="38"/>
      <c r="BK2557" s="38"/>
      <c r="BL2557" s="38"/>
      <c r="BM2557" s="38"/>
      <c r="BN2557" s="38"/>
      <c r="BO2557" s="38"/>
      <c r="BP2557" s="38"/>
      <c r="BQ2557" s="38"/>
    </row>
    <row r="2558">
      <c r="A2558" s="16"/>
      <c r="B2558" s="16"/>
      <c r="C2558" s="146"/>
      <c r="D2558" s="146"/>
      <c r="E2558" s="16"/>
      <c r="F2558" s="91"/>
      <c r="G2558" s="16"/>
      <c r="H2558" s="320" t="str">
        <f t="shared" si="33"/>
        <v/>
      </c>
      <c r="I2558" s="16"/>
      <c r="J2558" s="16"/>
      <c r="K2558" s="16"/>
      <c r="L2558" s="16"/>
      <c r="M2558" s="15"/>
      <c r="N2558" s="15"/>
      <c r="O2558" s="16"/>
      <c r="P2558" s="16"/>
      <c r="Q2558" s="16"/>
      <c r="R2558" s="16"/>
      <c r="S2558" s="37" t="str">
        <f>IFERROR(__xludf.DUMMYFUNCTION("if(not(iserror(index(split(C2558, "" ""),2))), index(split(C2558, "" ""),1),"""")"),"")</f>
        <v/>
      </c>
      <c r="T2558" s="315" t="str">
        <f>IFERROR(__xludf.DUMMYFUNCTION("if(S2558="""",C2558,if(not(iserror(index(split(C2558, "" ""),3))), index(split(C2558, "" ""),3),index(split(C2558, "" ""),2)))"),"")</f>
        <v/>
      </c>
      <c r="U2558" s="38" t="b">
        <f t="shared" si="34"/>
        <v>0</v>
      </c>
      <c r="V2558" s="38"/>
      <c r="W2558" s="40"/>
      <c r="X2558" s="40"/>
      <c r="Y2558" s="38"/>
      <c r="Z2558" s="38"/>
      <c r="AA2558" s="38"/>
      <c r="AB2558" s="38"/>
      <c r="AC2558" s="38"/>
      <c r="AD2558" s="38"/>
      <c r="AE2558" s="38"/>
      <c r="AF2558" s="38"/>
      <c r="AG2558" s="38"/>
      <c r="AH2558" s="38"/>
      <c r="AI2558" s="38"/>
      <c r="AJ2558" s="38"/>
      <c r="AK2558" s="38"/>
      <c r="AL2558" s="38"/>
      <c r="AM2558" s="38"/>
      <c r="AN2558" s="38"/>
      <c r="AO2558" s="38"/>
      <c r="AP2558" s="38"/>
      <c r="AQ2558" s="38"/>
      <c r="AR2558" s="38"/>
      <c r="AS2558" s="38"/>
      <c r="AT2558" s="38"/>
      <c r="AU2558" s="38"/>
      <c r="AV2558" s="38"/>
      <c r="AW2558" s="38"/>
      <c r="AX2558" s="38"/>
      <c r="AY2558" s="38"/>
      <c r="AZ2558" s="38"/>
      <c r="BA2558" s="38"/>
      <c r="BB2558" s="38"/>
      <c r="BC2558" s="38"/>
      <c r="BD2558" s="38"/>
      <c r="BE2558" s="38"/>
      <c r="BF2558" s="38"/>
      <c r="BG2558" s="38"/>
      <c r="BH2558" s="38"/>
      <c r="BI2558" s="38"/>
      <c r="BJ2558" s="38"/>
      <c r="BK2558" s="38"/>
      <c r="BL2558" s="38"/>
      <c r="BM2558" s="38"/>
      <c r="BN2558" s="38"/>
      <c r="BO2558" s="38"/>
      <c r="BP2558" s="38"/>
      <c r="BQ2558" s="38"/>
    </row>
    <row r="2559">
      <c r="A2559" s="16"/>
      <c r="B2559" s="16"/>
      <c r="C2559" s="146"/>
      <c r="D2559" s="146"/>
      <c r="E2559" s="16"/>
      <c r="F2559" s="91"/>
      <c r="G2559" s="16"/>
      <c r="H2559" s="320" t="str">
        <f t="shared" si="33"/>
        <v/>
      </c>
      <c r="I2559" s="16"/>
      <c r="J2559" s="16"/>
      <c r="K2559" s="16"/>
      <c r="L2559" s="16"/>
      <c r="M2559" s="15"/>
      <c r="N2559" s="15"/>
      <c r="O2559" s="16"/>
      <c r="P2559" s="16"/>
      <c r="Q2559" s="16"/>
      <c r="R2559" s="16"/>
      <c r="S2559" s="37" t="str">
        <f>IFERROR(__xludf.DUMMYFUNCTION("if(not(iserror(index(split(C2559, "" ""),2))), index(split(C2559, "" ""),1),"""")"),"")</f>
        <v/>
      </c>
      <c r="T2559" s="315" t="str">
        <f>IFERROR(__xludf.DUMMYFUNCTION("if(S2559="""",C2559,if(not(iserror(index(split(C2559, "" ""),3))), index(split(C2559, "" ""),3),index(split(C2559, "" ""),2)))"),"")</f>
        <v/>
      </c>
      <c r="U2559" s="38" t="b">
        <f t="shared" si="34"/>
        <v>0</v>
      </c>
      <c r="V2559" s="38"/>
      <c r="W2559" s="40"/>
      <c r="X2559" s="40"/>
      <c r="Y2559" s="38"/>
      <c r="Z2559" s="38"/>
      <c r="AA2559" s="38"/>
      <c r="AB2559" s="38"/>
      <c r="AC2559" s="38"/>
      <c r="AD2559" s="38"/>
      <c r="AE2559" s="38"/>
      <c r="AF2559" s="38"/>
      <c r="AG2559" s="38"/>
      <c r="AH2559" s="38"/>
      <c r="AI2559" s="38"/>
      <c r="AJ2559" s="38"/>
      <c r="AK2559" s="38"/>
      <c r="AL2559" s="38"/>
      <c r="AM2559" s="38"/>
      <c r="AN2559" s="38"/>
      <c r="AO2559" s="38"/>
      <c r="AP2559" s="38"/>
      <c r="AQ2559" s="38"/>
      <c r="AR2559" s="38"/>
      <c r="AS2559" s="38"/>
      <c r="AT2559" s="38"/>
      <c r="AU2559" s="38"/>
      <c r="AV2559" s="38"/>
      <c r="AW2559" s="38"/>
      <c r="AX2559" s="38"/>
      <c r="AY2559" s="38"/>
      <c r="AZ2559" s="38"/>
      <c r="BA2559" s="38"/>
      <c r="BB2559" s="38"/>
      <c r="BC2559" s="38"/>
      <c r="BD2559" s="38"/>
      <c r="BE2559" s="38"/>
      <c r="BF2559" s="38"/>
      <c r="BG2559" s="38"/>
      <c r="BH2559" s="38"/>
      <c r="BI2559" s="38"/>
      <c r="BJ2559" s="38"/>
      <c r="BK2559" s="38"/>
      <c r="BL2559" s="38"/>
      <c r="BM2559" s="38"/>
      <c r="BN2559" s="38"/>
      <c r="BO2559" s="38"/>
      <c r="BP2559" s="38"/>
      <c r="BQ2559" s="38"/>
    </row>
    <row r="2560">
      <c r="A2560" s="16"/>
      <c r="B2560" s="16"/>
      <c r="C2560" s="146"/>
      <c r="D2560" s="146"/>
      <c r="E2560" s="16"/>
      <c r="F2560" s="91"/>
      <c r="G2560" s="16"/>
      <c r="H2560" s="320" t="str">
        <f t="shared" si="33"/>
        <v/>
      </c>
      <c r="I2560" s="16"/>
      <c r="J2560" s="16"/>
      <c r="K2560" s="16"/>
      <c r="L2560" s="16"/>
      <c r="M2560" s="15"/>
      <c r="N2560" s="15"/>
      <c r="O2560" s="16"/>
      <c r="P2560" s="16"/>
      <c r="Q2560" s="16"/>
      <c r="R2560" s="16"/>
      <c r="S2560" s="37" t="str">
        <f>IFERROR(__xludf.DUMMYFUNCTION("if(not(iserror(index(split(C2560, "" ""),2))), index(split(C2560, "" ""),1),"""")"),"")</f>
        <v/>
      </c>
      <c r="T2560" s="315" t="str">
        <f>IFERROR(__xludf.DUMMYFUNCTION("if(S2560="""",C2560,if(not(iserror(index(split(C2560, "" ""),3))), index(split(C2560, "" ""),3),index(split(C2560, "" ""),2)))"),"")</f>
        <v/>
      </c>
      <c r="U2560" s="38" t="b">
        <f t="shared" si="34"/>
        <v>0</v>
      </c>
      <c r="V2560" s="38"/>
      <c r="W2560" s="40"/>
      <c r="X2560" s="40"/>
      <c r="Y2560" s="38"/>
      <c r="Z2560" s="38"/>
      <c r="AA2560" s="38"/>
      <c r="AB2560" s="38"/>
      <c r="AC2560" s="38"/>
      <c r="AD2560" s="38"/>
      <c r="AE2560" s="38"/>
      <c r="AF2560" s="38"/>
      <c r="AG2560" s="38"/>
      <c r="AH2560" s="38"/>
      <c r="AI2560" s="38"/>
      <c r="AJ2560" s="38"/>
      <c r="AK2560" s="38"/>
      <c r="AL2560" s="38"/>
      <c r="AM2560" s="38"/>
      <c r="AN2560" s="38"/>
      <c r="AO2560" s="38"/>
      <c r="AP2560" s="38"/>
      <c r="AQ2560" s="38"/>
      <c r="AR2560" s="38"/>
      <c r="AS2560" s="38"/>
      <c r="AT2560" s="38"/>
      <c r="AU2560" s="38"/>
      <c r="AV2560" s="38"/>
      <c r="AW2560" s="38"/>
      <c r="AX2560" s="38"/>
      <c r="AY2560" s="38"/>
      <c r="AZ2560" s="38"/>
      <c r="BA2560" s="38"/>
      <c r="BB2560" s="38"/>
      <c r="BC2560" s="38"/>
      <c r="BD2560" s="38"/>
      <c r="BE2560" s="38"/>
      <c r="BF2560" s="38"/>
      <c r="BG2560" s="38"/>
      <c r="BH2560" s="38"/>
      <c r="BI2560" s="38"/>
      <c r="BJ2560" s="38"/>
      <c r="BK2560" s="38"/>
      <c r="BL2560" s="38"/>
      <c r="BM2560" s="38"/>
      <c r="BN2560" s="38"/>
      <c r="BO2560" s="38"/>
      <c r="BP2560" s="38"/>
      <c r="BQ2560" s="38"/>
    </row>
    <row r="2561">
      <c r="A2561" s="16"/>
      <c r="B2561" s="16"/>
      <c r="C2561" s="146"/>
      <c r="D2561" s="146"/>
      <c r="E2561" s="16"/>
      <c r="F2561" s="91"/>
      <c r="G2561" s="16"/>
      <c r="H2561" s="320" t="str">
        <f t="shared" si="33"/>
        <v/>
      </c>
      <c r="I2561" s="16"/>
      <c r="J2561" s="16"/>
      <c r="K2561" s="16"/>
      <c r="L2561" s="16"/>
      <c r="M2561" s="15"/>
      <c r="N2561" s="15"/>
      <c r="O2561" s="16"/>
      <c r="P2561" s="16"/>
      <c r="Q2561" s="16"/>
      <c r="R2561" s="16"/>
      <c r="S2561" s="37" t="str">
        <f>IFERROR(__xludf.DUMMYFUNCTION("if(not(iserror(index(split(C2561, "" ""),2))), index(split(C2561, "" ""),1),"""")"),"")</f>
        <v/>
      </c>
      <c r="T2561" s="315" t="str">
        <f>IFERROR(__xludf.DUMMYFUNCTION("if(S2561="""",C2561,if(not(iserror(index(split(C2561, "" ""),3))), index(split(C2561, "" ""),3),index(split(C2561, "" ""),2)))"),"")</f>
        <v/>
      </c>
      <c r="U2561" s="38" t="b">
        <f t="shared" si="34"/>
        <v>0</v>
      </c>
      <c r="V2561" s="38"/>
      <c r="W2561" s="40"/>
      <c r="X2561" s="40"/>
      <c r="Y2561" s="38"/>
      <c r="Z2561" s="38"/>
      <c r="AA2561" s="38"/>
      <c r="AB2561" s="38"/>
      <c r="AC2561" s="38"/>
      <c r="AD2561" s="38"/>
      <c r="AE2561" s="38"/>
      <c r="AF2561" s="38"/>
      <c r="AG2561" s="38"/>
      <c r="AH2561" s="38"/>
      <c r="AI2561" s="38"/>
      <c r="AJ2561" s="38"/>
      <c r="AK2561" s="38"/>
      <c r="AL2561" s="38"/>
      <c r="AM2561" s="38"/>
      <c r="AN2561" s="38"/>
      <c r="AO2561" s="38"/>
      <c r="AP2561" s="38"/>
      <c r="AQ2561" s="38"/>
      <c r="AR2561" s="38"/>
      <c r="AS2561" s="38"/>
      <c r="AT2561" s="38"/>
      <c r="AU2561" s="38"/>
      <c r="AV2561" s="38"/>
      <c r="AW2561" s="38"/>
      <c r="AX2561" s="38"/>
      <c r="AY2561" s="38"/>
      <c r="AZ2561" s="38"/>
      <c r="BA2561" s="38"/>
      <c r="BB2561" s="38"/>
      <c r="BC2561" s="38"/>
      <c r="BD2561" s="38"/>
      <c r="BE2561" s="38"/>
      <c r="BF2561" s="38"/>
      <c r="BG2561" s="38"/>
      <c r="BH2561" s="38"/>
      <c r="BI2561" s="38"/>
      <c r="BJ2561" s="38"/>
      <c r="BK2561" s="38"/>
      <c r="BL2561" s="38"/>
      <c r="BM2561" s="38"/>
      <c r="BN2561" s="38"/>
      <c r="BO2561" s="38"/>
      <c r="BP2561" s="38"/>
      <c r="BQ2561" s="38"/>
    </row>
    <row r="2562">
      <c r="A2562" s="16"/>
      <c r="B2562" s="16"/>
      <c r="C2562" s="146"/>
      <c r="D2562" s="146"/>
      <c r="E2562" s="16"/>
      <c r="F2562" s="91"/>
      <c r="G2562" s="16"/>
      <c r="H2562" s="320" t="str">
        <f t="shared" si="33"/>
        <v/>
      </c>
      <c r="I2562" s="16"/>
      <c r="J2562" s="16"/>
      <c r="K2562" s="16"/>
      <c r="L2562" s="16"/>
      <c r="M2562" s="15"/>
      <c r="N2562" s="15"/>
      <c r="O2562" s="16"/>
      <c r="P2562" s="16"/>
      <c r="Q2562" s="16"/>
      <c r="R2562" s="16"/>
      <c r="S2562" s="37" t="str">
        <f>IFERROR(__xludf.DUMMYFUNCTION("if(not(iserror(index(split(C2562, "" ""),2))), index(split(C2562, "" ""),1),"""")"),"")</f>
        <v/>
      </c>
      <c r="T2562" s="315" t="str">
        <f>IFERROR(__xludf.DUMMYFUNCTION("if(S2562="""",C2562,if(not(iserror(index(split(C2562, "" ""),3))), index(split(C2562, "" ""),3),index(split(C2562, "" ""),2)))"),"")</f>
        <v/>
      </c>
      <c r="U2562" s="38" t="b">
        <f t="shared" si="34"/>
        <v>0</v>
      </c>
      <c r="V2562" s="38"/>
      <c r="W2562" s="40"/>
      <c r="X2562" s="40"/>
      <c r="Y2562" s="38"/>
      <c r="Z2562" s="38"/>
      <c r="AA2562" s="38"/>
      <c r="AB2562" s="38"/>
      <c r="AC2562" s="38"/>
      <c r="AD2562" s="38"/>
      <c r="AE2562" s="38"/>
      <c r="AF2562" s="38"/>
      <c r="AG2562" s="38"/>
      <c r="AH2562" s="38"/>
      <c r="AI2562" s="38"/>
      <c r="AJ2562" s="38"/>
      <c r="AK2562" s="38"/>
      <c r="AL2562" s="38"/>
      <c r="AM2562" s="38"/>
      <c r="AN2562" s="38"/>
      <c r="AO2562" s="38"/>
      <c r="AP2562" s="38"/>
      <c r="AQ2562" s="38"/>
      <c r="AR2562" s="38"/>
      <c r="AS2562" s="38"/>
      <c r="AT2562" s="38"/>
      <c r="AU2562" s="38"/>
      <c r="AV2562" s="38"/>
      <c r="AW2562" s="38"/>
      <c r="AX2562" s="38"/>
      <c r="AY2562" s="38"/>
      <c r="AZ2562" s="38"/>
      <c r="BA2562" s="38"/>
      <c r="BB2562" s="38"/>
      <c r="BC2562" s="38"/>
      <c r="BD2562" s="38"/>
      <c r="BE2562" s="38"/>
      <c r="BF2562" s="38"/>
      <c r="BG2562" s="38"/>
      <c r="BH2562" s="38"/>
      <c r="BI2562" s="38"/>
      <c r="BJ2562" s="38"/>
      <c r="BK2562" s="38"/>
      <c r="BL2562" s="38"/>
      <c r="BM2562" s="38"/>
      <c r="BN2562" s="38"/>
      <c r="BO2562" s="38"/>
      <c r="BP2562" s="38"/>
      <c r="BQ2562" s="38"/>
    </row>
    <row r="2563">
      <c r="A2563" s="16"/>
      <c r="B2563" s="16"/>
      <c r="C2563" s="146"/>
      <c r="D2563" s="146"/>
      <c r="E2563" s="16"/>
      <c r="F2563" s="91"/>
      <c r="G2563" s="16"/>
      <c r="H2563" s="320" t="str">
        <f t="shared" si="33"/>
        <v/>
      </c>
      <c r="I2563" s="16"/>
      <c r="J2563" s="16"/>
      <c r="K2563" s="16"/>
      <c r="L2563" s="16"/>
      <c r="M2563" s="15"/>
      <c r="N2563" s="15"/>
      <c r="O2563" s="16"/>
      <c r="P2563" s="16"/>
      <c r="Q2563" s="16"/>
      <c r="R2563" s="16"/>
      <c r="S2563" s="37" t="str">
        <f>IFERROR(__xludf.DUMMYFUNCTION("if(not(iserror(index(split(C2563, "" ""),2))), index(split(C2563, "" ""),1),"""")"),"")</f>
        <v/>
      </c>
      <c r="T2563" s="315" t="str">
        <f>IFERROR(__xludf.DUMMYFUNCTION("if(S2563="""",C2563,if(not(iserror(index(split(C2563, "" ""),3))), index(split(C2563, "" ""),3),index(split(C2563, "" ""),2)))"),"")</f>
        <v/>
      </c>
      <c r="U2563" s="38" t="b">
        <f t="shared" si="34"/>
        <v>0</v>
      </c>
      <c r="V2563" s="38"/>
      <c r="W2563" s="40"/>
      <c r="X2563" s="40"/>
      <c r="Y2563" s="38"/>
      <c r="Z2563" s="38"/>
      <c r="AA2563" s="38"/>
      <c r="AB2563" s="38"/>
      <c r="AC2563" s="38"/>
      <c r="AD2563" s="38"/>
      <c r="AE2563" s="38"/>
      <c r="AF2563" s="38"/>
      <c r="AG2563" s="38"/>
      <c r="AH2563" s="38"/>
      <c r="AI2563" s="38"/>
      <c r="AJ2563" s="38"/>
      <c r="AK2563" s="38"/>
      <c r="AL2563" s="38"/>
      <c r="AM2563" s="38"/>
      <c r="AN2563" s="38"/>
      <c r="AO2563" s="38"/>
      <c r="AP2563" s="38"/>
      <c r="AQ2563" s="38"/>
      <c r="AR2563" s="38"/>
      <c r="AS2563" s="38"/>
      <c r="AT2563" s="38"/>
      <c r="AU2563" s="38"/>
      <c r="AV2563" s="38"/>
      <c r="AW2563" s="38"/>
      <c r="AX2563" s="38"/>
      <c r="AY2563" s="38"/>
      <c r="AZ2563" s="38"/>
      <c r="BA2563" s="38"/>
      <c r="BB2563" s="38"/>
      <c r="BC2563" s="38"/>
      <c r="BD2563" s="38"/>
      <c r="BE2563" s="38"/>
      <c r="BF2563" s="38"/>
      <c r="BG2563" s="38"/>
      <c r="BH2563" s="38"/>
      <c r="BI2563" s="38"/>
      <c r="BJ2563" s="38"/>
      <c r="BK2563" s="38"/>
      <c r="BL2563" s="38"/>
      <c r="BM2563" s="38"/>
      <c r="BN2563" s="38"/>
      <c r="BO2563" s="38"/>
      <c r="BP2563" s="38"/>
      <c r="BQ2563" s="38"/>
    </row>
    <row r="2564">
      <c r="A2564" s="16"/>
      <c r="B2564" s="16"/>
      <c r="C2564" s="146"/>
      <c r="D2564" s="146"/>
      <c r="E2564" s="16"/>
      <c r="F2564" s="91"/>
      <c r="G2564" s="16"/>
      <c r="H2564" s="320" t="str">
        <f t="shared" si="33"/>
        <v/>
      </c>
      <c r="I2564" s="16"/>
      <c r="J2564" s="16"/>
      <c r="K2564" s="16"/>
      <c r="L2564" s="16"/>
      <c r="M2564" s="15"/>
      <c r="N2564" s="15"/>
      <c r="O2564" s="16"/>
      <c r="P2564" s="16"/>
      <c r="Q2564" s="16"/>
      <c r="R2564" s="16"/>
      <c r="S2564" s="37" t="str">
        <f>IFERROR(__xludf.DUMMYFUNCTION("if(not(iserror(index(split(C2564, "" ""),2))), index(split(C2564, "" ""),1),"""")"),"")</f>
        <v/>
      </c>
      <c r="T2564" s="315" t="str">
        <f>IFERROR(__xludf.DUMMYFUNCTION("if(S2564="""",C2564,if(not(iserror(index(split(C2564, "" ""),3))), index(split(C2564, "" ""),3),index(split(C2564, "" ""),2)))"),"")</f>
        <v/>
      </c>
      <c r="U2564" s="38" t="b">
        <f t="shared" si="34"/>
        <v>0</v>
      </c>
      <c r="V2564" s="38"/>
      <c r="W2564" s="40"/>
      <c r="X2564" s="40"/>
      <c r="Y2564" s="38"/>
      <c r="Z2564" s="38"/>
      <c r="AA2564" s="38"/>
      <c r="AB2564" s="38"/>
      <c r="AC2564" s="38"/>
      <c r="AD2564" s="38"/>
      <c r="AE2564" s="38"/>
      <c r="AF2564" s="38"/>
      <c r="AG2564" s="38"/>
      <c r="AH2564" s="38"/>
      <c r="AI2564" s="38"/>
      <c r="AJ2564" s="38"/>
      <c r="AK2564" s="38"/>
      <c r="AL2564" s="38"/>
      <c r="AM2564" s="38"/>
      <c r="AN2564" s="38"/>
      <c r="AO2564" s="38"/>
      <c r="AP2564" s="38"/>
      <c r="AQ2564" s="38"/>
      <c r="AR2564" s="38"/>
      <c r="AS2564" s="38"/>
      <c r="AT2564" s="38"/>
      <c r="AU2564" s="38"/>
      <c r="AV2564" s="38"/>
      <c r="AW2564" s="38"/>
      <c r="AX2564" s="38"/>
      <c r="AY2564" s="38"/>
      <c r="AZ2564" s="38"/>
      <c r="BA2564" s="38"/>
      <c r="BB2564" s="38"/>
      <c r="BC2564" s="38"/>
      <c r="BD2564" s="38"/>
      <c r="BE2564" s="38"/>
      <c r="BF2564" s="38"/>
      <c r="BG2564" s="38"/>
      <c r="BH2564" s="38"/>
      <c r="BI2564" s="38"/>
      <c r="BJ2564" s="38"/>
      <c r="BK2564" s="38"/>
      <c r="BL2564" s="38"/>
      <c r="BM2564" s="38"/>
      <c r="BN2564" s="38"/>
      <c r="BO2564" s="38"/>
      <c r="BP2564" s="38"/>
      <c r="BQ2564" s="38"/>
    </row>
    <row r="2565">
      <c r="A2565" s="16"/>
      <c r="B2565" s="16"/>
      <c r="C2565" s="146"/>
      <c r="D2565" s="146"/>
      <c r="E2565" s="16"/>
      <c r="F2565" s="91"/>
      <c r="G2565" s="16"/>
      <c r="H2565" s="320" t="str">
        <f t="shared" si="33"/>
        <v/>
      </c>
      <c r="I2565" s="16"/>
      <c r="J2565" s="16"/>
      <c r="K2565" s="16"/>
      <c r="L2565" s="16"/>
      <c r="M2565" s="15"/>
      <c r="N2565" s="15"/>
      <c r="O2565" s="16"/>
      <c r="P2565" s="16"/>
      <c r="Q2565" s="16"/>
      <c r="R2565" s="16"/>
      <c r="S2565" s="37" t="str">
        <f>IFERROR(__xludf.DUMMYFUNCTION("if(not(iserror(index(split(C2565, "" ""),2))), index(split(C2565, "" ""),1),"""")"),"")</f>
        <v/>
      </c>
      <c r="T2565" s="315" t="str">
        <f>IFERROR(__xludf.DUMMYFUNCTION("if(S2565="""",C2565,if(not(iserror(index(split(C2565, "" ""),3))), index(split(C2565, "" ""),3),index(split(C2565, "" ""),2)))"),"")</f>
        <v/>
      </c>
      <c r="U2565" s="38" t="b">
        <f t="shared" si="34"/>
        <v>0</v>
      </c>
      <c r="V2565" s="38"/>
      <c r="W2565" s="40"/>
      <c r="X2565" s="40"/>
      <c r="Y2565" s="38"/>
      <c r="Z2565" s="38"/>
      <c r="AA2565" s="38"/>
      <c r="AB2565" s="38"/>
      <c r="AC2565" s="38"/>
      <c r="AD2565" s="38"/>
      <c r="AE2565" s="38"/>
      <c r="AF2565" s="38"/>
      <c r="AG2565" s="38"/>
      <c r="AH2565" s="38"/>
      <c r="AI2565" s="38"/>
      <c r="AJ2565" s="38"/>
      <c r="AK2565" s="38"/>
      <c r="AL2565" s="38"/>
      <c r="AM2565" s="38"/>
      <c r="AN2565" s="38"/>
      <c r="AO2565" s="38"/>
      <c r="AP2565" s="38"/>
      <c r="AQ2565" s="38"/>
      <c r="AR2565" s="38"/>
      <c r="AS2565" s="38"/>
      <c r="AT2565" s="38"/>
      <c r="AU2565" s="38"/>
      <c r="AV2565" s="38"/>
      <c r="AW2565" s="38"/>
      <c r="AX2565" s="38"/>
      <c r="AY2565" s="38"/>
      <c r="AZ2565" s="38"/>
      <c r="BA2565" s="38"/>
      <c r="BB2565" s="38"/>
      <c r="BC2565" s="38"/>
      <c r="BD2565" s="38"/>
      <c r="BE2565" s="38"/>
      <c r="BF2565" s="38"/>
      <c r="BG2565" s="38"/>
      <c r="BH2565" s="38"/>
      <c r="BI2565" s="38"/>
      <c r="BJ2565" s="38"/>
      <c r="BK2565" s="38"/>
      <c r="BL2565" s="38"/>
      <c r="BM2565" s="38"/>
      <c r="BN2565" s="38"/>
      <c r="BO2565" s="38"/>
      <c r="BP2565" s="38"/>
      <c r="BQ2565" s="38"/>
    </row>
    <row r="2566">
      <c r="A2566" s="16"/>
      <c r="B2566" s="16"/>
      <c r="C2566" s="146"/>
      <c r="D2566" s="146"/>
      <c r="E2566" s="16"/>
      <c r="F2566" s="91"/>
      <c r="G2566" s="16"/>
      <c r="H2566" s="320" t="str">
        <f t="shared" si="33"/>
        <v/>
      </c>
      <c r="I2566" s="16"/>
      <c r="J2566" s="16"/>
      <c r="K2566" s="16"/>
      <c r="L2566" s="16"/>
      <c r="M2566" s="15"/>
      <c r="N2566" s="15"/>
      <c r="O2566" s="16"/>
      <c r="P2566" s="16"/>
      <c r="Q2566" s="16"/>
      <c r="R2566" s="16"/>
      <c r="S2566" s="37" t="str">
        <f>IFERROR(__xludf.DUMMYFUNCTION("if(not(iserror(index(split(C2566, "" ""),2))), index(split(C2566, "" ""),1),"""")"),"")</f>
        <v/>
      </c>
      <c r="T2566" s="315" t="str">
        <f>IFERROR(__xludf.DUMMYFUNCTION("if(S2566="""",C2566,if(not(iserror(index(split(C2566, "" ""),3))), index(split(C2566, "" ""),3),index(split(C2566, "" ""),2)))"),"")</f>
        <v/>
      </c>
      <c r="U2566" s="38" t="b">
        <f t="shared" si="34"/>
        <v>0</v>
      </c>
      <c r="V2566" s="38"/>
      <c r="W2566" s="40"/>
      <c r="X2566" s="40"/>
      <c r="Y2566" s="38"/>
      <c r="Z2566" s="38"/>
      <c r="AA2566" s="38"/>
      <c r="AB2566" s="38"/>
      <c r="AC2566" s="38"/>
      <c r="AD2566" s="38"/>
      <c r="AE2566" s="38"/>
      <c r="AF2566" s="38"/>
      <c r="AG2566" s="38"/>
      <c r="AH2566" s="38"/>
      <c r="AI2566" s="38"/>
      <c r="AJ2566" s="38"/>
      <c r="AK2566" s="38"/>
      <c r="AL2566" s="38"/>
      <c r="AM2566" s="38"/>
      <c r="AN2566" s="38"/>
      <c r="AO2566" s="38"/>
      <c r="AP2566" s="38"/>
      <c r="AQ2566" s="38"/>
      <c r="AR2566" s="38"/>
      <c r="AS2566" s="38"/>
      <c r="AT2566" s="38"/>
      <c r="AU2566" s="38"/>
      <c r="AV2566" s="38"/>
      <c r="AW2566" s="38"/>
      <c r="AX2566" s="38"/>
      <c r="AY2566" s="38"/>
      <c r="AZ2566" s="38"/>
      <c r="BA2566" s="38"/>
      <c r="BB2566" s="38"/>
      <c r="BC2566" s="38"/>
      <c r="BD2566" s="38"/>
      <c r="BE2566" s="38"/>
      <c r="BF2566" s="38"/>
      <c r="BG2566" s="38"/>
      <c r="BH2566" s="38"/>
      <c r="BI2566" s="38"/>
      <c r="BJ2566" s="38"/>
      <c r="BK2566" s="38"/>
      <c r="BL2566" s="38"/>
      <c r="BM2566" s="38"/>
      <c r="BN2566" s="38"/>
      <c r="BO2566" s="38"/>
      <c r="BP2566" s="38"/>
      <c r="BQ2566" s="38"/>
    </row>
    <row r="2567">
      <c r="A2567" s="16"/>
      <c r="B2567" s="16"/>
      <c r="C2567" s="146"/>
      <c r="D2567" s="146"/>
      <c r="E2567" s="16"/>
      <c r="F2567" s="91"/>
      <c r="G2567" s="16"/>
      <c r="H2567" s="320" t="str">
        <f t="shared" si="33"/>
        <v/>
      </c>
      <c r="I2567" s="16"/>
      <c r="J2567" s="16"/>
      <c r="K2567" s="16"/>
      <c r="L2567" s="16"/>
      <c r="M2567" s="15"/>
      <c r="N2567" s="15"/>
      <c r="O2567" s="16"/>
      <c r="P2567" s="16"/>
      <c r="Q2567" s="16"/>
      <c r="R2567" s="16"/>
      <c r="S2567" s="37" t="str">
        <f>IFERROR(__xludf.DUMMYFUNCTION("if(not(iserror(index(split(C2567, "" ""),2))), index(split(C2567, "" ""),1),"""")"),"")</f>
        <v/>
      </c>
      <c r="T2567" s="315" t="str">
        <f>IFERROR(__xludf.DUMMYFUNCTION("if(S2567="""",C2567,if(not(iserror(index(split(C2567, "" ""),3))), index(split(C2567, "" ""),3),index(split(C2567, "" ""),2)))"),"")</f>
        <v/>
      </c>
      <c r="U2567" s="38" t="b">
        <f t="shared" si="34"/>
        <v>0</v>
      </c>
      <c r="V2567" s="38"/>
      <c r="W2567" s="40"/>
      <c r="X2567" s="40"/>
      <c r="Y2567" s="38"/>
      <c r="Z2567" s="38"/>
      <c r="AA2567" s="38"/>
      <c r="AB2567" s="38"/>
      <c r="AC2567" s="38"/>
      <c r="AD2567" s="38"/>
      <c r="AE2567" s="38"/>
      <c r="AF2567" s="38"/>
      <c r="AG2567" s="38"/>
      <c r="AH2567" s="38"/>
      <c r="AI2567" s="38"/>
      <c r="AJ2567" s="38"/>
      <c r="AK2567" s="38"/>
      <c r="AL2567" s="38"/>
      <c r="AM2567" s="38"/>
      <c r="AN2567" s="38"/>
      <c r="AO2567" s="38"/>
      <c r="AP2567" s="38"/>
      <c r="AQ2567" s="38"/>
      <c r="AR2567" s="38"/>
      <c r="AS2567" s="38"/>
      <c r="AT2567" s="38"/>
      <c r="AU2567" s="38"/>
      <c r="AV2567" s="38"/>
      <c r="AW2567" s="38"/>
      <c r="AX2567" s="38"/>
      <c r="AY2567" s="38"/>
      <c r="AZ2567" s="38"/>
      <c r="BA2567" s="38"/>
      <c r="BB2567" s="38"/>
      <c r="BC2567" s="38"/>
      <c r="BD2567" s="38"/>
      <c r="BE2567" s="38"/>
      <c r="BF2567" s="38"/>
      <c r="BG2567" s="38"/>
      <c r="BH2567" s="38"/>
      <c r="BI2567" s="38"/>
      <c r="BJ2567" s="38"/>
      <c r="BK2567" s="38"/>
      <c r="BL2567" s="38"/>
      <c r="BM2567" s="38"/>
      <c r="BN2567" s="38"/>
      <c r="BO2567" s="38"/>
      <c r="BP2567" s="38"/>
      <c r="BQ2567" s="38"/>
    </row>
    <row r="2568">
      <c r="A2568" s="16"/>
      <c r="B2568" s="16"/>
      <c r="C2568" s="146"/>
      <c r="D2568" s="146"/>
      <c r="E2568" s="16"/>
      <c r="F2568" s="91"/>
      <c r="G2568" s="16"/>
      <c r="H2568" s="320" t="str">
        <f t="shared" si="33"/>
        <v/>
      </c>
      <c r="I2568" s="16"/>
      <c r="J2568" s="16"/>
      <c r="K2568" s="16"/>
      <c r="L2568" s="16"/>
      <c r="M2568" s="15"/>
      <c r="N2568" s="15"/>
      <c r="O2568" s="16"/>
      <c r="P2568" s="16"/>
      <c r="Q2568" s="16"/>
      <c r="R2568" s="16"/>
      <c r="S2568" s="37" t="str">
        <f>IFERROR(__xludf.DUMMYFUNCTION("if(not(iserror(index(split(C2568, "" ""),2))), index(split(C2568, "" ""),1),"""")"),"")</f>
        <v/>
      </c>
      <c r="T2568" s="315" t="str">
        <f>IFERROR(__xludf.DUMMYFUNCTION("if(S2568="""",C2568,if(not(iserror(index(split(C2568, "" ""),3))), index(split(C2568, "" ""),3),index(split(C2568, "" ""),2)))"),"")</f>
        <v/>
      </c>
      <c r="U2568" s="38" t="b">
        <f t="shared" si="34"/>
        <v>0</v>
      </c>
      <c r="V2568" s="38"/>
      <c r="W2568" s="40"/>
      <c r="X2568" s="40"/>
      <c r="Y2568" s="38"/>
      <c r="Z2568" s="38"/>
      <c r="AA2568" s="38"/>
      <c r="AB2568" s="38"/>
      <c r="AC2568" s="38"/>
      <c r="AD2568" s="38"/>
      <c r="AE2568" s="38"/>
      <c r="AF2568" s="38"/>
      <c r="AG2568" s="38"/>
      <c r="AH2568" s="38"/>
      <c r="AI2568" s="38"/>
      <c r="AJ2568" s="38"/>
      <c r="AK2568" s="38"/>
      <c r="AL2568" s="38"/>
      <c r="AM2568" s="38"/>
      <c r="AN2568" s="38"/>
      <c r="AO2568" s="38"/>
      <c r="AP2568" s="38"/>
      <c r="AQ2568" s="38"/>
      <c r="AR2568" s="38"/>
      <c r="AS2568" s="38"/>
      <c r="AT2568" s="38"/>
      <c r="AU2568" s="38"/>
      <c r="AV2568" s="38"/>
      <c r="AW2568" s="38"/>
      <c r="AX2568" s="38"/>
      <c r="AY2568" s="38"/>
      <c r="AZ2568" s="38"/>
      <c r="BA2568" s="38"/>
      <c r="BB2568" s="38"/>
      <c r="BC2568" s="38"/>
      <c r="BD2568" s="38"/>
      <c r="BE2568" s="38"/>
      <c r="BF2568" s="38"/>
      <c r="BG2568" s="38"/>
      <c r="BH2568" s="38"/>
      <c r="BI2568" s="38"/>
      <c r="BJ2568" s="38"/>
      <c r="BK2568" s="38"/>
      <c r="BL2568" s="38"/>
      <c r="BM2568" s="38"/>
      <c r="BN2568" s="38"/>
      <c r="BO2568" s="38"/>
      <c r="BP2568" s="38"/>
      <c r="BQ2568" s="38"/>
    </row>
    <row r="2569">
      <c r="A2569" s="16"/>
      <c r="B2569" s="16"/>
      <c r="C2569" s="146"/>
      <c r="D2569" s="146"/>
      <c r="E2569" s="16"/>
      <c r="F2569" s="91"/>
      <c r="G2569" s="16"/>
      <c r="H2569" s="320" t="str">
        <f t="shared" si="33"/>
        <v/>
      </c>
      <c r="I2569" s="16"/>
      <c r="J2569" s="16"/>
      <c r="K2569" s="16"/>
      <c r="L2569" s="16"/>
      <c r="M2569" s="15"/>
      <c r="N2569" s="15"/>
      <c r="O2569" s="16"/>
      <c r="P2569" s="16"/>
      <c r="Q2569" s="16"/>
      <c r="R2569" s="16"/>
      <c r="S2569" s="37" t="str">
        <f>IFERROR(__xludf.DUMMYFUNCTION("if(not(iserror(index(split(C2569, "" ""),2))), index(split(C2569, "" ""),1),"""")"),"")</f>
        <v/>
      </c>
      <c r="T2569" s="315" t="str">
        <f>IFERROR(__xludf.DUMMYFUNCTION("if(S2569="""",C2569,if(not(iserror(index(split(C2569, "" ""),3))), index(split(C2569, "" ""),3),index(split(C2569, "" ""),2)))"),"")</f>
        <v/>
      </c>
      <c r="U2569" s="38" t="b">
        <f t="shared" si="34"/>
        <v>0</v>
      </c>
      <c r="V2569" s="38"/>
      <c r="W2569" s="40"/>
      <c r="X2569" s="40"/>
      <c r="Y2569" s="38"/>
      <c r="Z2569" s="38"/>
      <c r="AA2569" s="38"/>
      <c r="AB2569" s="38"/>
      <c r="AC2569" s="38"/>
      <c r="AD2569" s="38"/>
      <c r="AE2569" s="38"/>
      <c r="AF2569" s="38"/>
      <c r="AG2569" s="38"/>
      <c r="AH2569" s="38"/>
      <c r="AI2569" s="38"/>
      <c r="AJ2569" s="38"/>
      <c r="AK2569" s="38"/>
      <c r="AL2569" s="38"/>
      <c r="AM2569" s="38"/>
      <c r="AN2569" s="38"/>
      <c r="AO2569" s="38"/>
      <c r="AP2569" s="38"/>
      <c r="AQ2569" s="38"/>
      <c r="AR2569" s="38"/>
      <c r="AS2569" s="38"/>
      <c r="AT2569" s="38"/>
      <c r="AU2569" s="38"/>
      <c r="AV2569" s="38"/>
      <c r="AW2569" s="38"/>
      <c r="AX2569" s="38"/>
      <c r="AY2569" s="38"/>
      <c r="AZ2569" s="38"/>
      <c r="BA2569" s="38"/>
      <c r="BB2569" s="38"/>
      <c r="BC2569" s="38"/>
      <c r="BD2569" s="38"/>
      <c r="BE2569" s="38"/>
      <c r="BF2569" s="38"/>
      <c r="BG2569" s="38"/>
      <c r="BH2569" s="38"/>
      <c r="BI2569" s="38"/>
      <c r="BJ2569" s="38"/>
      <c r="BK2569" s="38"/>
      <c r="BL2569" s="38"/>
      <c r="BM2569" s="38"/>
      <c r="BN2569" s="38"/>
      <c r="BO2569" s="38"/>
      <c r="BP2569" s="38"/>
      <c r="BQ2569" s="38"/>
    </row>
    <row r="2570">
      <c r="A2570" s="16"/>
      <c r="B2570" s="16"/>
      <c r="C2570" s="146"/>
      <c r="D2570" s="146"/>
      <c r="E2570" s="16"/>
      <c r="F2570" s="91"/>
      <c r="G2570" s="16"/>
      <c r="H2570" s="320" t="str">
        <f t="shared" si="33"/>
        <v/>
      </c>
      <c r="I2570" s="16"/>
      <c r="J2570" s="16"/>
      <c r="K2570" s="16"/>
      <c r="L2570" s="16"/>
      <c r="M2570" s="15"/>
      <c r="N2570" s="15"/>
      <c r="O2570" s="16"/>
      <c r="P2570" s="16"/>
      <c r="Q2570" s="16"/>
      <c r="R2570" s="16"/>
      <c r="S2570" s="37" t="str">
        <f>IFERROR(__xludf.DUMMYFUNCTION("if(not(iserror(index(split(C2570, "" ""),2))), index(split(C2570, "" ""),1),"""")"),"")</f>
        <v/>
      </c>
      <c r="T2570" s="315" t="str">
        <f>IFERROR(__xludf.DUMMYFUNCTION("if(S2570="""",C2570,if(not(iserror(index(split(C2570, "" ""),3))), index(split(C2570, "" ""),3),index(split(C2570, "" ""),2)))"),"")</f>
        <v/>
      </c>
      <c r="U2570" s="38" t="b">
        <f t="shared" si="34"/>
        <v>0</v>
      </c>
      <c r="V2570" s="38"/>
      <c r="W2570" s="40"/>
      <c r="X2570" s="40"/>
      <c r="Y2570" s="38"/>
      <c r="Z2570" s="38"/>
      <c r="AA2570" s="38"/>
      <c r="AB2570" s="38"/>
      <c r="AC2570" s="38"/>
      <c r="AD2570" s="38"/>
      <c r="AE2570" s="38"/>
      <c r="AF2570" s="38"/>
      <c r="AG2570" s="38"/>
      <c r="AH2570" s="38"/>
      <c r="AI2570" s="38"/>
      <c r="AJ2570" s="38"/>
      <c r="AK2570" s="38"/>
      <c r="AL2570" s="38"/>
      <c r="AM2570" s="38"/>
      <c r="AN2570" s="38"/>
      <c r="AO2570" s="38"/>
      <c r="AP2570" s="38"/>
      <c r="AQ2570" s="38"/>
      <c r="AR2570" s="38"/>
      <c r="AS2570" s="38"/>
      <c r="AT2570" s="38"/>
      <c r="AU2570" s="38"/>
      <c r="AV2570" s="38"/>
      <c r="AW2570" s="38"/>
      <c r="AX2570" s="38"/>
      <c r="AY2570" s="38"/>
      <c r="AZ2570" s="38"/>
      <c r="BA2570" s="38"/>
      <c r="BB2570" s="38"/>
      <c r="BC2570" s="38"/>
      <c r="BD2570" s="38"/>
      <c r="BE2570" s="38"/>
      <c r="BF2570" s="38"/>
      <c r="BG2570" s="38"/>
      <c r="BH2570" s="38"/>
      <c r="BI2570" s="38"/>
      <c r="BJ2570" s="38"/>
      <c r="BK2570" s="38"/>
      <c r="BL2570" s="38"/>
      <c r="BM2570" s="38"/>
      <c r="BN2570" s="38"/>
      <c r="BO2570" s="38"/>
      <c r="BP2570" s="38"/>
      <c r="BQ2570" s="38"/>
    </row>
    <row r="2571">
      <c r="A2571" s="16"/>
      <c r="B2571" s="16"/>
      <c r="C2571" s="146"/>
      <c r="D2571" s="146"/>
      <c r="E2571" s="16"/>
      <c r="F2571" s="91"/>
      <c r="G2571" s="16"/>
      <c r="H2571" s="320" t="str">
        <f t="shared" si="33"/>
        <v/>
      </c>
      <c r="I2571" s="16"/>
      <c r="J2571" s="16"/>
      <c r="K2571" s="16"/>
      <c r="L2571" s="16"/>
      <c r="M2571" s="15"/>
      <c r="N2571" s="15"/>
      <c r="O2571" s="16"/>
      <c r="P2571" s="16"/>
      <c r="Q2571" s="16"/>
      <c r="R2571" s="16"/>
      <c r="S2571" s="37" t="str">
        <f>IFERROR(__xludf.DUMMYFUNCTION("if(not(iserror(index(split(C2571, "" ""),2))), index(split(C2571, "" ""),1),"""")"),"")</f>
        <v/>
      </c>
      <c r="T2571" s="315" t="str">
        <f>IFERROR(__xludf.DUMMYFUNCTION("if(S2571="""",C2571,if(not(iserror(index(split(C2571, "" ""),3))), index(split(C2571, "" ""),3),index(split(C2571, "" ""),2)))"),"")</f>
        <v/>
      </c>
      <c r="U2571" s="38" t="b">
        <f t="shared" si="34"/>
        <v>0</v>
      </c>
      <c r="V2571" s="38"/>
      <c r="W2571" s="40"/>
      <c r="X2571" s="40"/>
      <c r="Y2571" s="38"/>
      <c r="Z2571" s="38"/>
      <c r="AA2571" s="38"/>
      <c r="AB2571" s="38"/>
      <c r="AC2571" s="38"/>
      <c r="AD2571" s="38"/>
      <c r="AE2571" s="38"/>
      <c r="AF2571" s="38"/>
      <c r="AG2571" s="38"/>
      <c r="AH2571" s="38"/>
      <c r="AI2571" s="38"/>
      <c r="AJ2571" s="38"/>
      <c r="AK2571" s="38"/>
      <c r="AL2571" s="38"/>
      <c r="AM2571" s="38"/>
      <c r="AN2571" s="38"/>
      <c r="AO2571" s="38"/>
      <c r="AP2571" s="38"/>
      <c r="AQ2571" s="38"/>
      <c r="AR2571" s="38"/>
      <c r="AS2571" s="38"/>
      <c r="AT2571" s="38"/>
      <c r="AU2571" s="38"/>
      <c r="AV2571" s="38"/>
      <c r="AW2571" s="38"/>
      <c r="AX2571" s="38"/>
      <c r="AY2571" s="38"/>
      <c r="AZ2571" s="38"/>
      <c r="BA2571" s="38"/>
      <c r="BB2571" s="38"/>
      <c r="BC2571" s="38"/>
      <c r="BD2571" s="38"/>
      <c r="BE2571" s="38"/>
      <c r="BF2571" s="38"/>
      <c r="BG2571" s="38"/>
      <c r="BH2571" s="38"/>
      <c r="BI2571" s="38"/>
      <c r="BJ2571" s="38"/>
      <c r="BK2571" s="38"/>
      <c r="BL2571" s="38"/>
      <c r="BM2571" s="38"/>
      <c r="BN2571" s="38"/>
      <c r="BO2571" s="38"/>
      <c r="BP2571" s="38"/>
      <c r="BQ2571" s="38"/>
    </row>
    <row r="2572">
      <c r="A2572" s="16"/>
      <c r="B2572" s="16"/>
      <c r="C2572" s="146"/>
      <c r="D2572" s="146"/>
      <c r="E2572" s="16"/>
      <c r="F2572" s="91"/>
      <c r="G2572" s="16"/>
      <c r="H2572" s="320" t="str">
        <f t="shared" si="33"/>
        <v/>
      </c>
      <c r="I2572" s="16"/>
      <c r="J2572" s="16"/>
      <c r="K2572" s="16"/>
      <c r="L2572" s="16"/>
      <c r="M2572" s="15"/>
      <c r="N2572" s="15"/>
      <c r="O2572" s="16"/>
      <c r="P2572" s="16"/>
      <c r="Q2572" s="16"/>
      <c r="R2572" s="16"/>
      <c r="S2572" s="37" t="str">
        <f>IFERROR(__xludf.DUMMYFUNCTION("if(not(iserror(index(split(C2572, "" ""),2))), index(split(C2572, "" ""),1),"""")"),"")</f>
        <v/>
      </c>
      <c r="T2572" s="315" t="str">
        <f>IFERROR(__xludf.DUMMYFUNCTION("if(S2572="""",C2572,if(not(iserror(index(split(C2572, "" ""),3))), index(split(C2572, "" ""),3),index(split(C2572, "" ""),2)))"),"")</f>
        <v/>
      </c>
      <c r="U2572" s="38" t="b">
        <f t="shared" si="34"/>
        <v>0</v>
      </c>
      <c r="V2572" s="38"/>
      <c r="W2572" s="40"/>
      <c r="X2572" s="40"/>
      <c r="Y2572" s="38"/>
      <c r="Z2572" s="38"/>
      <c r="AA2572" s="38"/>
      <c r="AB2572" s="38"/>
      <c r="AC2572" s="38"/>
      <c r="AD2572" s="38"/>
      <c r="AE2572" s="38"/>
      <c r="AF2572" s="38"/>
      <c r="AG2572" s="38"/>
      <c r="AH2572" s="38"/>
      <c r="AI2572" s="38"/>
      <c r="AJ2572" s="38"/>
      <c r="AK2572" s="38"/>
      <c r="AL2572" s="38"/>
      <c r="AM2572" s="38"/>
      <c r="AN2572" s="38"/>
      <c r="AO2572" s="38"/>
      <c r="AP2572" s="38"/>
      <c r="AQ2572" s="38"/>
      <c r="AR2572" s="38"/>
      <c r="AS2572" s="38"/>
      <c r="AT2572" s="38"/>
      <c r="AU2572" s="38"/>
      <c r="AV2572" s="38"/>
      <c r="AW2572" s="38"/>
      <c r="AX2572" s="38"/>
      <c r="AY2572" s="38"/>
      <c r="AZ2572" s="38"/>
      <c r="BA2572" s="38"/>
      <c r="BB2572" s="38"/>
      <c r="BC2572" s="38"/>
      <c r="BD2572" s="38"/>
      <c r="BE2572" s="38"/>
      <c r="BF2572" s="38"/>
      <c r="BG2572" s="38"/>
      <c r="BH2572" s="38"/>
      <c r="BI2572" s="38"/>
      <c r="BJ2572" s="38"/>
      <c r="BK2572" s="38"/>
      <c r="BL2572" s="38"/>
      <c r="BM2572" s="38"/>
      <c r="BN2572" s="38"/>
      <c r="BO2572" s="38"/>
      <c r="BP2572" s="38"/>
      <c r="BQ2572" s="38"/>
    </row>
    <row r="2573">
      <c r="A2573" s="16"/>
      <c r="B2573" s="16"/>
      <c r="C2573" s="146"/>
      <c r="D2573" s="146"/>
      <c r="E2573" s="16"/>
      <c r="F2573" s="91"/>
      <c r="G2573" s="16"/>
      <c r="H2573" s="320" t="str">
        <f t="shared" si="33"/>
        <v/>
      </c>
      <c r="I2573" s="16"/>
      <c r="J2573" s="16"/>
      <c r="K2573" s="16"/>
      <c r="L2573" s="16"/>
      <c r="M2573" s="15"/>
      <c r="N2573" s="15"/>
      <c r="O2573" s="16"/>
      <c r="P2573" s="16"/>
      <c r="Q2573" s="16"/>
      <c r="R2573" s="16"/>
      <c r="S2573" s="37" t="str">
        <f>IFERROR(__xludf.DUMMYFUNCTION("if(not(iserror(index(split(C2573, "" ""),2))), index(split(C2573, "" ""),1),"""")"),"")</f>
        <v/>
      </c>
      <c r="T2573" s="315" t="str">
        <f>IFERROR(__xludf.DUMMYFUNCTION("if(S2573="""",C2573,if(not(iserror(index(split(C2573, "" ""),3))), index(split(C2573, "" ""),3),index(split(C2573, "" ""),2)))"),"")</f>
        <v/>
      </c>
      <c r="U2573" s="38" t="b">
        <f t="shared" si="34"/>
        <v>0</v>
      </c>
      <c r="V2573" s="38"/>
      <c r="W2573" s="40"/>
      <c r="X2573" s="40"/>
      <c r="Y2573" s="38"/>
      <c r="Z2573" s="38"/>
      <c r="AA2573" s="38"/>
      <c r="AB2573" s="38"/>
      <c r="AC2573" s="38"/>
      <c r="AD2573" s="38"/>
      <c r="AE2573" s="38"/>
      <c r="AF2573" s="38"/>
      <c r="AG2573" s="38"/>
      <c r="AH2573" s="38"/>
      <c r="AI2573" s="38"/>
      <c r="AJ2573" s="38"/>
      <c r="AK2573" s="38"/>
      <c r="AL2573" s="38"/>
      <c r="AM2573" s="38"/>
      <c r="AN2573" s="38"/>
      <c r="AO2573" s="38"/>
      <c r="AP2573" s="38"/>
      <c r="AQ2573" s="38"/>
      <c r="AR2573" s="38"/>
      <c r="AS2573" s="38"/>
      <c r="AT2573" s="38"/>
      <c r="AU2573" s="38"/>
      <c r="AV2573" s="38"/>
      <c r="AW2573" s="38"/>
      <c r="AX2573" s="38"/>
      <c r="AY2573" s="38"/>
      <c r="AZ2573" s="38"/>
      <c r="BA2573" s="38"/>
      <c r="BB2573" s="38"/>
      <c r="BC2573" s="38"/>
      <c r="BD2573" s="38"/>
      <c r="BE2573" s="38"/>
      <c r="BF2573" s="38"/>
      <c r="BG2573" s="38"/>
      <c r="BH2573" s="38"/>
      <c r="BI2573" s="38"/>
      <c r="BJ2573" s="38"/>
      <c r="BK2573" s="38"/>
      <c r="BL2573" s="38"/>
      <c r="BM2573" s="38"/>
      <c r="BN2573" s="38"/>
      <c r="BO2573" s="38"/>
      <c r="BP2573" s="38"/>
      <c r="BQ2573" s="38"/>
    </row>
    <row r="2574">
      <c r="A2574" s="16"/>
      <c r="B2574" s="16"/>
      <c r="C2574" s="146"/>
      <c r="D2574" s="146"/>
      <c r="E2574" s="16"/>
      <c r="F2574" s="91"/>
      <c r="G2574" s="16"/>
      <c r="H2574" s="320" t="str">
        <f t="shared" si="33"/>
        <v/>
      </c>
      <c r="I2574" s="16"/>
      <c r="J2574" s="16"/>
      <c r="K2574" s="16"/>
      <c r="L2574" s="16"/>
      <c r="M2574" s="15"/>
      <c r="N2574" s="15"/>
      <c r="O2574" s="16"/>
      <c r="P2574" s="16"/>
      <c r="Q2574" s="16"/>
      <c r="R2574" s="16"/>
      <c r="S2574" s="37" t="str">
        <f>IFERROR(__xludf.DUMMYFUNCTION("if(not(iserror(index(split(C2574, "" ""),2))), index(split(C2574, "" ""),1),"""")"),"")</f>
        <v/>
      </c>
      <c r="T2574" s="315" t="str">
        <f>IFERROR(__xludf.DUMMYFUNCTION("if(S2574="""",C2574,if(not(iserror(index(split(C2574, "" ""),3))), index(split(C2574, "" ""),3),index(split(C2574, "" ""),2)))"),"")</f>
        <v/>
      </c>
      <c r="U2574" s="38" t="b">
        <f t="shared" si="34"/>
        <v>0</v>
      </c>
      <c r="V2574" s="38"/>
      <c r="W2574" s="40"/>
      <c r="X2574" s="40"/>
      <c r="Y2574" s="38"/>
      <c r="Z2574" s="38"/>
      <c r="AA2574" s="38"/>
      <c r="AB2574" s="38"/>
      <c r="AC2574" s="38"/>
      <c r="AD2574" s="38"/>
      <c r="AE2574" s="38"/>
      <c r="AF2574" s="38"/>
      <c r="AG2574" s="38"/>
      <c r="AH2574" s="38"/>
      <c r="AI2574" s="38"/>
      <c r="AJ2574" s="38"/>
      <c r="AK2574" s="38"/>
      <c r="AL2574" s="38"/>
      <c r="AM2574" s="38"/>
      <c r="AN2574" s="38"/>
      <c r="AO2574" s="38"/>
      <c r="AP2574" s="38"/>
      <c r="AQ2574" s="38"/>
      <c r="AR2574" s="38"/>
      <c r="AS2574" s="38"/>
      <c r="AT2574" s="38"/>
      <c r="AU2574" s="38"/>
      <c r="AV2574" s="38"/>
      <c r="AW2574" s="38"/>
      <c r="AX2574" s="38"/>
      <c r="AY2574" s="38"/>
      <c r="AZ2574" s="38"/>
      <c r="BA2574" s="38"/>
      <c r="BB2574" s="38"/>
      <c r="BC2574" s="38"/>
      <c r="BD2574" s="38"/>
      <c r="BE2574" s="38"/>
      <c r="BF2574" s="38"/>
      <c r="BG2574" s="38"/>
      <c r="BH2574" s="38"/>
      <c r="BI2574" s="38"/>
      <c r="BJ2574" s="38"/>
      <c r="BK2574" s="38"/>
      <c r="BL2574" s="38"/>
      <c r="BM2574" s="38"/>
      <c r="BN2574" s="38"/>
      <c r="BO2574" s="38"/>
      <c r="BP2574" s="38"/>
      <c r="BQ2574" s="38"/>
    </row>
    <row r="2575">
      <c r="A2575" s="16"/>
      <c r="B2575" s="16"/>
      <c r="C2575" s="146"/>
      <c r="D2575" s="146"/>
      <c r="E2575" s="16"/>
      <c r="F2575" s="91"/>
      <c r="G2575" s="16"/>
      <c r="H2575" s="320" t="str">
        <f t="shared" si="33"/>
        <v/>
      </c>
      <c r="I2575" s="16"/>
      <c r="J2575" s="16"/>
      <c r="K2575" s="16"/>
      <c r="L2575" s="16"/>
      <c r="M2575" s="15"/>
      <c r="N2575" s="15"/>
      <c r="O2575" s="16"/>
      <c r="P2575" s="16"/>
      <c r="Q2575" s="16"/>
      <c r="R2575" s="16"/>
      <c r="S2575" s="37" t="str">
        <f>IFERROR(__xludf.DUMMYFUNCTION("if(not(iserror(index(split(C2575, "" ""),2))), index(split(C2575, "" ""),1),"""")"),"")</f>
        <v/>
      </c>
      <c r="T2575" s="315" t="str">
        <f>IFERROR(__xludf.DUMMYFUNCTION("if(S2575="""",C2575,if(not(iserror(index(split(C2575, "" ""),3))), index(split(C2575, "" ""),3),index(split(C2575, "" ""),2)))"),"")</f>
        <v/>
      </c>
      <c r="U2575" s="38" t="b">
        <f t="shared" si="34"/>
        <v>0</v>
      </c>
      <c r="V2575" s="38"/>
      <c r="W2575" s="40"/>
      <c r="X2575" s="40"/>
      <c r="Y2575" s="38"/>
      <c r="Z2575" s="38"/>
      <c r="AA2575" s="38"/>
      <c r="AB2575" s="38"/>
      <c r="AC2575" s="38"/>
      <c r="AD2575" s="38"/>
      <c r="AE2575" s="38"/>
      <c r="AF2575" s="38"/>
      <c r="AG2575" s="38"/>
      <c r="AH2575" s="38"/>
      <c r="AI2575" s="38"/>
      <c r="AJ2575" s="38"/>
      <c r="AK2575" s="38"/>
      <c r="AL2575" s="38"/>
      <c r="AM2575" s="38"/>
      <c r="AN2575" s="38"/>
      <c r="AO2575" s="38"/>
      <c r="AP2575" s="38"/>
      <c r="AQ2575" s="38"/>
      <c r="AR2575" s="38"/>
      <c r="AS2575" s="38"/>
      <c r="AT2575" s="38"/>
      <c r="AU2575" s="38"/>
      <c r="AV2575" s="38"/>
      <c r="AW2575" s="38"/>
      <c r="AX2575" s="38"/>
      <c r="AY2575" s="38"/>
      <c r="AZ2575" s="38"/>
      <c r="BA2575" s="38"/>
      <c r="BB2575" s="38"/>
      <c r="BC2575" s="38"/>
      <c r="BD2575" s="38"/>
      <c r="BE2575" s="38"/>
      <c r="BF2575" s="38"/>
      <c r="BG2575" s="38"/>
      <c r="BH2575" s="38"/>
      <c r="BI2575" s="38"/>
      <c r="BJ2575" s="38"/>
      <c r="BK2575" s="38"/>
      <c r="BL2575" s="38"/>
      <c r="BM2575" s="38"/>
      <c r="BN2575" s="38"/>
      <c r="BO2575" s="38"/>
      <c r="BP2575" s="38"/>
      <c r="BQ2575" s="38"/>
    </row>
    <row r="2576">
      <c r="A2576" s="16"/>
      <c r="B2576" s="16"/>
      <c r="C2576" s="146"/>
      <c r="D2576" s="146"/>
      <c r="E2576" s="16"/>
      <c r="F2576" s="91"/>
      <c r="G2576" s="16"/>
      <c r="H2576" s="320" t="str">
        <f t="shared" si="33"/>
        <v/>
      </c>
      <c r="I2576" s="16"/>
      <c r="J2576" s="16"/>
      <c r="K2576" s="16"/>
      <c r="L2576" s="16"/>
      <c r="M2576" s="15"/>
      <c r="N2576" s="15"/>
      <c r="O2576" s="16"/>
      <c r="P2576" s="16"/>
      <c r="Q2576" s="16"/>
      <c r="R2576" s="16"/>
      <c r="S2576" s="37" t="str">
        <f>IFERROR(__xludf.DUMMYFUNCTION("if(not(iserror(index(split(C2576, "" ""),2))), index(split(C2576, "" ""),1),"""")"),"")</f>
        <v/>
      </c>
      <c r="T2576" s="315" t="str">
        <f>IFERROR(__xludf.DUMMYFUNCTION("if(S2576="""",C2576,if(not(iserror(index(split(C2576, "" ""),3))), index(split(C2576, "" ""),3),index(split(C2576, "" ""),2)))"),"")</f>
        <v/>
      </c>
      <c r="U2576" s="38" t="b">
        <f t="shared" si="34"/>
        <v>0</v>
      </c>
      <c r="V2576" s="38"/>
      <c r="W2576" s="40"/>
      <c r="X2576" s="40"/>
      <c r="Y2576" s="38"/>
      <c r="Z2576" s="38"/>
      <c r="AA2576" s="38"/>
      <c r="AB2576" s="38"/>
      <c r="AC2576" s="38"/>
      <c r="AD2576" s="38"/>
      <c r="AE2576" s="38"/>
      <c r="AF2576" s="38"/>
      <c r="AG2576" s="38"/>
      <c r="AH2576" s="38"/>
      <c r="AI2576" s="38"/>
      <c r="AJ2576" s="38"/>
      <c r="AK2576" s="38"/>
      <c r="AL2576" s="38"/>
      <c r="AM2576" s="38"/>
      <c r="AN2576" s="38"/>
      <c r="AO2576" s="38"/>
      <c r="AP2576" s="38"/>
      <c r="AQ2576" s="38"/>
      <c r="AR2576" s="38"/>
      <c r="AS2576" s="38"/>
      <c r="AT2576" s="38"/>
      <c r="AU2576" s="38"/>
      <c r="AV2576" s="38"/>
      <c r="AW2576" s="38"/>
      <c r="AX2576" s="38"/>
      <c r="AY2576" s="38"/>
      <c r="AZ2576" s="38"/>
      <c r="BA2576" s="38"/>
      <c r="BB2576" s="38"/>
      <c r="BC2576" s="38"/>
      <c r="BD2576" s="38"/>
      <c r="BE2576" s="38"/>
      <c r="BF2576" s="38"/>
      <c r="BG2576" s="38"/>
      <c r="BH2576" s="38"/>
      <c r="BI2576" s="38"/>
      <c r="BJ2576" s="38"/>
      <c r="BK2576" s="38"/>
      <c r="BL2576" s="38"/>
      <c r="BM2576" s="38"/>
      <c r="BN2576" s="38"/>
      <c r="BO2576" s="38"/>
      <c r="BP2576" s="38"/>
      <c r="BQ2576" s="38"/>
    </row>
    <row r="2577">
      <c r="A2577" s="16"/>
      <c r="B2577" s="16"/>
      <c r="C2577" s="146"/>
      <c r="D2577" s="146"/>
      <c r="E2577" s="16"/>
      <c r="F2577" s="91"/>
      <c r="G2577" s="16"/>
      <c r="H2577" s="320" t="str">
        <f t="shared" si="33"/>
        <v/>
      </c>
      <c r="I2577" s="16"/>
      <c r="J2577" s="16"/>
      <c r="K2577" s="16"/>
      <c r="L2577" s="16"/>
      <c r="M2577" s="15"/>
      <c r="N2577" s="15"/>
      <c r="O2577" s="16"/>
      <c r="P2577" s="16"/>
      <c r="Q2577" s="16"/>
      <c r="R2577" s="16"/>
      <c r="S2577" s="37" t="str">
        <f>IFERROR(__xludf.DUMMYFUNCTION("if(not(iserror(index(split(C2577, "" ""),2))), index(split(C2577, "" ""),1),"""")"),"")</f>
        <v/>
      </c>
      <c r="T2577" s="315" t="str">
        <f>IFERROR(__xludf.DUMMYFUNCTION("if(S2577="""",C2577,if(not(iserror(index(split(C2577, "" ""),3))), index(split(C2577, "" ""),3),index(split(C2577, "" ""),2)))"),"")</f>
        <v/>
      </c>
      <c r="U2577" s="38" t="b">
        <f t="shared" si="34"/>
        <v>0</v>
      </c>
      <c r="V2577" s="38"/>
      <c r="W2577" s="40"/>
      <c r="X2577" s="40"/>
      <c r="Y2577" s="38"/>
      <c r="Z2577" s="38"/>
      <c r="AA2577" s="38"/>
      <c r="AB2577" s="38"/>
      <c r="AC2577" s="38"/>
      <c r="AD2577" s="38"/>
      <c r="AE2577" s="38"/>
      <c r="AF2577" s="38"/>
      <c r="AG2577" s="38"/>
      <c r="AH2577" s="38"/>
      <c r="AI2577" s="38"/>
      <c r="AJ2577" s="38"/>
      <c r="AK2577" s="38"/>
      <c r="AL2577" s="38"/>
      <c r="AM2577" s="38"/>
      <c r="AN2577" s="38"/>
      <c r="AO2577" s="38"/>
      <c r="AP2577" s="38"/>
      <c r="AQ2577" s="38"/>
      <c r="AR2577" s="38"/>
      <c r="AS2577" s="38"/>
      <c r="AT2577" s="38"/>
      <c r="AU2577" s="38"/>
      <c r="AV2577" s="38"/>
      <c r="AW2577" s="38"/>
      <c r="AX2577" s="38"/>
      <c r="AY2577" s="38"/>
      <c r="AZ2577" s="38"/>
      <c r="BA2577" s="38"/>
      <c r="BB2577" s="38"/>
      <c r="BC2577" s="38"/>
      <c r="BD2577" s="38"/>
      <c r="BE2577" s="38"/>
      <c r="BF2577" s="38"/>
      <c r="BG2577" s="38"/>
      <c r="BH2577" s="38"/>
      <c r="BI2577" s="38"/>
      <c r="BJ2577" s="38"/>
      <c r="BK2577" s="38"/>
      <c r="BL2577" s="38"/>
      <c r="BM2577" s="38"/>
      <c r="BN2577" s="38"/>
      <c r="BO2577" s="38"/>
      <c r="BP2577" s="38"/>
      <c r="BQ2577" s="38"/>
    </row>
    <row r="2578">
      <c r="A2578" s="16"/>
      <c r="B2578" s="16"/>
      <c r="C2578" s="146"/>
      <c r="D2578" s="146"/>
      <c r="E2578" s="16"/>
      <c r="F2578" s="91"/>
      <c r="G2578" s="16"/>
      <c r="H2578" s="320" t="str">
        <f t="shared" si="33"/>
        <v/>
      </c>
      <c r="I2578" s="16"/>
      <c r="J2578" s="16"/>
      <c r="K2578" s="16"/>
      <c r="L2578" s="16"/>
      <c r="M2578" s="15"/>
      <c r="N2578" s="15"/>
      <c r="O2578" s="16"/>
      <c r="P2578" s="16"/>
      <c r="Q2578" s="16"/>
      <c r="R2578" s="16"/>
      <c r="S2578" s="37" t="str">
        <f>IFERROR(__xludf.DUMMYFUNCTION("if(not(iserror(index(split(C2578, "" ""),2))), index(split(C2578, "" ""),1),"""")"),"")</f>
        <v/>
      </c>
      <c r="T2578" s="315" t="str">
        <f>IFERROR(__xludf.DUMMYFUNCTION("if(S2578="""",C2578,if(not(iserror(index(split(C2578, "" ""),3))), index(split(C2578, "" ""),3),index(split(C2578, "" ""),2)))"),"")</f>
        <v/>
      </c>
      <c r="U2578" s="38" t="b">
        <f t="shared" si="34"/>
        <v>0</v>
      </c>
      <c r="V2578" s="38"/>
      <c r="W2578" s="40"/>
      <c r="X2578" s="40"/>
      <c r="Y2578" s="38"/>
      <c r="Z2578" s="38"/>
      <c r="AA2578" s="38"/>
      <c r="AB2578" s="38"/>
      <c r="AC2578" s="38"/>
      <c r="AD2578" s="38"/>
      <c r="AE2578" s="38"/>
      <c r="AF2578" s="38"/>
      <c r="AG2578" s="38"/>
      <c r="AH2578" s="38"/>
      <c r="AI2578" s="38"/>
      <c r="AJ2578" s="38"/>
      <c r="AK2578" s="38"/>
      <c r="AL2578" s="38"/>
      <c r="AM2578" s="38"/>
      <c r="AN2578" s="38"/>
      <c r="AO2578" s="38"/>
      <c r="AP2578" s="38"/>
      <c r="AQ2578" s="38"/>
      <c r="AR2578" s="38"/>
      <c r="AS2578" s="38"/>
      <c r="AT2578" s="38"/>
      <c r="AU2578" s="38"/>
      <c r="AV2578" s="38"/>
      <c r="AW2578" s="38"/>
      <c r="AX2578" s="38"/>
      <c r="AY2578" s="38"/>
      <c r="AZ2578" s="38"/>
      <c r="BA2578" s="38"/>
      <c r="BB2578" s="38"/>
      <c r="BC2578" s="38"/>
      <c r="BD2578" s="38"/>
      <c r="BE2578" s="38"/>
      <c r="BF2578" s="38"/>
      <c r="BG2578" s="38"/>
      <c r="BH2578" s="38"/>
      <c r="BI2578" s="38"/>
      <c r="BJ2578" s="38"/>
      <c r="BK2578" s="38"/>
      <c r="BL2578" s="38"/>
      <c r="BM2578" s="38"/>
      <c r="BN2578" s="38"/>
      <c r="BO2578" s="38"/>
      <c r="BP2578" s="38"/>
      <c r="BQ2578" s="38"/>
    </row>
    <row r="2579">
      <c r="A2579" s="16"/>
      <c r="B2579" s="16"/>
      <c r="C2579" s="146"/>
      <c r="D2579" s="146"/>
      <c r="E2579" s="16"/>
      <c r="F2579" s="91"/>
      <c r="G2579" s="16"/>
      <c r="H2579" s="320" t="str">
        <f t="shared" si="33"/>
        <v/>
      </c>
      <c r="I2579" s="16"/>
      <c r="J2579" s="16"/>
      <c r="K2579" s="16"/>
      <c r="L2579" s="16"/>
      <c r="M2579" s="15"/>
      <c r="N2579" s="15"/>
      <c r="O2579" s="16"/>
      <c r="P2579" s="16"/>
      <c r="Q2579" s="16"/>
      <c r="R2579" s="16"/>
      <c r="S2579" s="37" t="str">
        <f>IFERROR(__xludf.DUMMYFUNCTION("if(not(iserror(index(split(C2579, "" ""),2))), index(split(C2579, "" ""),1),"""")"),"")</f>
        <v/>
      </c>
      <c r="T2579" s="315" t="str">
        <f>IFERROR(__xludf.DUMMYFUNCTION("if(S2579="""",C2579,if(not(iserror(index(split(C2579, "" ""),3))), index(split(C2579, "" ""),3),index(split(C2579, "" ""),2)))"),"")</f>
        <v/>
      </c>
      <c r="U2579" s="38" t="b">
        <f t="shared" si="34"/>
        <v>0</v>
      </c>
      <c r="V2579" s="38"/>
      <c r="W2579" s="40"/>
      <c r="X2579" s="40"/>
      <c r="Y2579" s="38"/>
      <c r="Z2579" s="38"/>
      <c r="AA2579" s="38"/>
      <c r="AB2579" s="38"/>
      <c r="AC2579" s="38"/>
      <c r="AD2579" s="38"/>
      <c r="AE2579" s="38"/>
      <c r="AF2579" s="38"/>
      <c r="AG2579" s="38"/>
      <c r="AH2579" s="38"/>
      <c r="AI2579" s="38"/>
      <c r="AJ2579" s="38"/>
      <c r="AK2579" s="38"/>
      <c r="AL2579" s="38"/>
      <c r="AM2579" s="38"/>
      <c r="AN2579" s="38"/>
      <c r="AO2579" s="38"/>
      <c r="AP2579" s="38"/>
      <c r="AQ2579" s="38"/>
      <c r="AR2579" s="38"/>
      <c r="AS2579" s="38"/>
      <c r="AT2579" s="38"/>
      <c r="AU2579" s="38"/>
      <c r="AV2579" s="38"/>
      <c r="AW2579" s="38"/>
      <c r="AX2579" s="38"/>
      <c r="AY2579" s="38"/>
      <c r="AZ2579" s="38"/>
      <c r="BA2579" s="38"/>
      <c r="BB2579" s="38"/>
      <c r="BC2579" s="38"/>
      <c r="BD2579" s="38"/>
      <c r="BE2579" s="38"/>
      <c r="BF2579" s="38"/>
      <c r="BG2579" s="38"/>
      <c r="BH2579" s="38"/>
      <c r="BI2579" s="38"/>
      <c r="BJ2579" s="38"/>
      <c r="BK2579" s="38"/>
      <c r="BL2579" s="38"/>
      <c r="BM2579" s="38"/>
      <c r="BN2579" s="38"/>
      <c r="BO2579" s="38"/>
      <c r="BP2579" s="38"/>
      <c r="BQ2579" s="38"/>
    </row>
    <row r="2580">
      <c r="A2580" s="16"/>
      <c r="B2580" s="16"/>
      <c r="C2580" s="146"/>
      <c r="D2580" s="146"/>
      <c r="E2580" s="16"/>
      <c r="F2580" s="91"/>
      <c r="G2580" s="16"/>
      <c r="H2580" s="320" t="str">
        <f t="shared" si="33"/>
        <v/>
      </c>
      <c r="I2580" s="16"/>
      <c r="J2580" s="16"/>
      <c r="K2580" s="16"/>
      <c r="L2580" s="16"/>
      <c r="M2580" s="15"/>
      <c r="N2580" s="15"/>
      <c r="O2580" s="16"/>
      <c r="P2580" s="16"/>
      <c r="Q2580" s="16"/>
      <c r="R2580" s="16"/>
      <c r="S2580" s="37" t="str">
        <f>IFERROR(__xludf.DUMMYFUNCTION("if(not(iserror(index(split(C2580, "" ""),2))), index(split(C2580, "" ""),1),"""")"),"")</f>
        <v/>
      </c>
      <c r="T2580" s="315" t="str">
        <f>IFERROR(__xludf.DUMMYFUNCTION("if(S2580="""",C2580,if(not(iserror(index(split(C2580, "" ""),3))), index(split(C2580, "" ""),3),index(split(C2580, "" ""),2)))"),"")</f>
        <v/>
      </c>
      <c r="U2580" s="38" t="b">
        <f t="shared" si="34"/>
        <v>0</v>
      </c>
      <c r="V2580" s="38"/>
      <c r="W2580" s="40"/>
      <c r="X2580" s="40"/>
      <c r="Y2580" s="38"/>
      <c r="Z2580" s="38"/>
      <c r="AA2580" s="38"/>
      <c r="AB2580" s="38"/>
      <c r="AC2580" s="38"/>
      <c r="AD2580" s="38"/>
      <c r="AE2580" s="38"/>
      <c r="AF2580" s="38"/>
      <c r="AG2580" s="38"/>
      <c r="AH2580" s="38"/>
      <c r="AI2580" s="38"/>
      <c r="AJ2580" s="38"/>
      <c r="AK2580" s="38"/>
      <c r="AL2580" s="38"/>
      <c r="AM2580" s="38"/>
      <c r="AN2580" s="38"/>
      <c r="AO2580" s="38"/>
      <c r="AP2580" s="38"/>
      <c r="AQ2580" s="38"/>
      <c r="AR2580" s="38"/>
      <c r="AS2580" s="38"/>
      <c r="AT2580" s="38"/>
      <c r="AU2580" s="38"/>
      <c r="AV2580" s="38"/>
      <c r="AW2580" s="38"/>
      <c r="AX2580" s="38"/>
      <c r="AY2580" s="38"/>
      <c r="AZ2580" s="38"/>
      <c r="BA2580" s="38"/>
      <c r="BB2580" s="38"/>
      <c r="BC2580" s="38"/>
      <c r="BD2580" s="38"/>
      <c r="BE2580" s="38"/>
      <c r="BF2580" s="38"/>
      <c r="BG2580" s="38"/>
      <c r="BH2580" s="38"/>
      <c r="BI2580" s="38"/>
      <c r="BJ2580" s="38"/>
      <c r="BK2580" s="38"/>
      <c r="BL2580" s="38"/>
      <c r="BM2580" s="38"/>
      <c r="BN2580" s="38"/>
      <c r="BO2580" s="38"/>
      <c r="BP2580" s="38"/>
      <c r="BQ2580" s="38"/>
    </row>
    <row r="2581">
      <c r="A2581" s="16"/>
      <c r="B2581" s="16"/>
      <c r="C2581" s="146"/>
      <c r="D2581" s="146"/>
      <c r="E2581" s="16"/>
      <c r="F2581" s="91"/>
      <c r="G2581" s="16"/>
      <c r="H2581" s="320" t="str">
        <f t="shared" si="33"/>
        <v/>
      </c>
      <c r="I2581" s="16"/>
      <c r="J2581" s="16"/>
      <c r="K2581" s="16"/>
      <c r="L2581" s="16"/>
      <c r="M2581" s="15"/>
      <c r="N2581" s="15"/>
      <c r="O2581" s="16"/>
      <c r="P2581" s="16"/>
      <c r="Q2581" s="16"/>
      <c r="R2581" s="16"/>
      <c r="S2581" s="37" t="str">
        <f>IFERROR(__xludf.DUMMYFUNCTION("if(not(iserror(index(split(C2581, "" ""),2))), index(split(C2581, "" ""),1),"""")"),"")</f>
        <v/>
      </c>
      <c r="T2581" s="315" t="str">
        <f>IFERROR(__xludf.DUMMYFUNCTION("if(S2581="""",C2581,if(not(iserror(index(split(C2581, "" ""),3))), index(split(C2581, "" ""),3),index(split(C2581, "" ""),2)))"),"")</f>
        <v/>
      </c>
      <c r="U2581" s="38" t="b">
        <f t="shared" si="34"/>
        <v>0</v>
      </c>
      <c r="V2581" s="38"/>
      <c r="W2581" s="40"/>
      <c r="X2581" s="40"/>
      <c r="Y2581" s="38"/>
      <c r="Z2581" s="38"/>
      <c r="AA2581" s="38"/>
      <c r="AB2581" s="38"/>
      <c r="AC2581" s="38"/>
      <c r="AD2581" s="38"/>
      <c r="AE2581" s="38"/>
      <c r="AF2581" s="38"/>
      <c r="AG2581" s="38"/>
      <c r="AH2581" s="38"/>
      <c r="AI2581" s="38"/>
      <c r="AJ2581" s="38"/>
      <c r="AK2581" s="38"/>
      <c r="AL2581" s="38"/>
      <c r="AM2581" s="38"/>
      <c r="AN2581" s="38"/>
      <c r="AO2581" s="38"/>
      <c r="AP2581" s="38"/>
      <c r="AQ2581" s="38"/>
      <c r="AR2581" s="38"/>
      <c r="AS2581" s="38"/>
      <c r="AT2581" s="38"/>
      <c r="AU2581" s="38"/>
      <c r="AV2581" s="38"/>
      <c r="AW2581" s="38"/>
      <c r="AX2581" s="38"/>
      <c r="AY2581" s="38"/>
      <c r="AZ2581" s="38"/>
      <c r="BA2581" s="38"/>
      <c r="BB2581" s="38"/>
      <c r="BC2581" s="38"/>
      <c r="BD2581" s="38"/>
      <c r="BE2581" s="38"/>
      <c r="BF2581" s="38"/>
      <c r="BG2581" s="38"/>
      <c r="BH2581" s="38"/>
      <c r="BI2581" s="38"/>
      <c r="BJ2581" s="38"/>
      <c r="BK2581" s="38"/>
      <c r="BL2581" s="38"/>
      <c r="BM2581" s="38"/>
      <c r="BN2581" s="38"/>
      <c r="BO2581" s="38"/>
      <c r="BP2581" s="38"/>
      <c r="BQ2581" s="38"/>
    </row>
    <row r="2582">
      <c r="A2582" s="16"/>
      <c r="B2582" s="16"/>
      <c r="C2582" s="146"/>
      <c r="D2582" s="146"/>
      <c r="E2582" s="16"/>
      <c r="F2582" s="91"/>
      <c r="G2582" s="16"/>
      <c r="H2582" s="320" t="str">
        <f t="shared" si="33"/>
        <v/>
      </c>
      <c r="I2582" s="16"/>
      <c r="J2582" s="16"/>
      <c r="K2582" s="16"/>
      <c r="L2582" s="16"/>
      <c r="M2582" s="15"/>
      <c r="N2582" s="15"/>
      <c r="O2582" s="16"/>
      <c r="P2582" s="16"/>
      <c r="Q2582" s="16"/>
      <c r="R2582" s="16"/>
      <c r="S2582" s="37" t="str">
        <f>IFERROR(__xludf.DUMMYFUNCTION("if(not(iserror(index(split(C2582, "" ""),2))), index(split(C2582, "" ""),1),"""")"),"")</f>
        <v/>
      </c>
      <c r="T2582" s="315" t="str">
        <f>IFERROR(__xludf.DUMMYFUNCTION("if(S2582="""",C2582,if(not(iserror(index(split(C2582, "" ""),3))), index(split(C2582, "" ""),3),index(split(C2582, "" ""),2)))"),"")</f>
        <v/>
      </c>
      <c r="U2582" s="38" t="b">
        <f t="shared" si="34"/>
        <v>0</v>
      </c>
      <c r="V2582" s="38"/>
      <c r="W2582" s="40"/>
      <c r="X2582" s="40"/>
      <c r="Y2582" s="38"/>
      <c r="Z2582" s="38"/>
      <c r="AA2582" s="38"/>
      <c r="AB2582" s="38"/>
      <c r="AC2582" s="38"/>
      <c r="AD2582" s="38"/>
      <c r="AE2582" s="38"/>
      <c r="AF2582" s="38"/>
      <c r="AG2582" s="38"/>
      <c r="AH2582" s="38"/>
      <c r="AI2582" s="38"/>
      <c r="AJ2582" s="38"/>
      <c r="AK2582" s="38"/>
      <c r="AL2582" s="38"/>
      <c r="AM2582" s="38"/>
      <c r="AN2582" s="38"/>
      <c r="AO2582" s="38"/>
      <c r="AP2582" s="38"/>
      <c r="AQ2582" s="38"/>
      <c r="AR2582" s="38"/>
      <c r="AS2582" s="38"/>
      <c r="AT2582" s="38"/>
      <c r="AU2582" s="38"/>
      <c r="AV2582" s="38"/>
      <c r="AW2582" s="38"/>
      <c r="AX2582" s="38"/>
      <c r="AY2582" s="38"/>
      <c r="AZ2582" s="38"/>
      <c r="BA2582" s="38"/>
      <c r="BB2582" s="38"/>
      <c r="BC2582" s="38"/>
      <c r="BD2582" s="38"/>
      <c r="BE2582" s="38"/>
      <c r="BF2582" s="38"/>
      <c r="BG2582" s="38"/>
      <c r="BH2582" s="38"/>
      <c r="BI2582" s="38"/>
      <c r="BJ2582" s="38"/>
      <c r="BK2582" s="38"/>
      <c r="BL2582" s="38"/>
      <c r="BM2582" s="38"/>
      <c r="BN2582" s="38"/>
      <c r="BO2582" s="38"/>
      <c r="BP2582" s="38"/>
      <c r="BQ2582" s="38"/>
    </row>
    <row r="2583">
      <c r="A2583" s="16"/>
      <c r="B2583" s="16"/>
      <c r="C2583" s="146"/>
      <c r="D2583" s="146"/>
      <c r="E2583" s="16"/>
      <c r="F2583" s="91"/>
      <c r="G2583" s="16"/>
      <c r="H2583" s="320" t="str">
        <f t="shared" si="33"/>
        <v/>
      </c>
      <c r="I2583" s="16"/>
      <c r="J2583" s="16"/>
      <c r="K2583" s="16"/>
      <c r="L2583" s="16"/>
      <c r="M2583" s="15"/>
      <c r="N2583" s="15"/>
      <c r="O2583" s="16"/>
      <c r="P2583" s="16"/>
      <c r="Q2583" s="16"/>
      <c r="R2583" s="16"/>
      <c r="S2583" s="37" t="str">
        <f>IFERROR(__xludf.DUMMYFUNCTION("if(not(iserror(index(split(C2583, "" ""),2))), index(split(C2583, "" ""),1),"""")"),"")</f>
        <v/>
      </c>
      <c r="T2583" s="315" t="str">
        <f>IFERROR(__xludf.DUMMYFUNCTION("if(S2583="""",C2583,if(not(iserror(index(split(C2583, "" ""),3))), index(split(C2583, "" ""),3),index(split(C2583, "" ""),2)))"),"")</f>
        <v/>
      </c>
      <c r="U2583" s="38" t="b">
        <f t="shared" si="34"/>
        <v>0</v>
      </c>
      <c r="V2583" s="38"/>
      <c r="W2583" s="40"/>
      <c r="X2583" s="40"/>
      <c r="Y2583" s="38"/>
      <c r="Z2583" s="38"/>
      <c r="AA2583" s="38"/>
      <c r="AB2583" s="38"/>
      <c r="AC2583" s="38"/>
      <c r="AD2583" s="38"/>
      <c r="AE2583" s="38"/>
      <c r="AF2583" s="38"/>
      <c r="AG2583" s="38"/>
      <c r="AH2583" s="38"/>
      <c r="AI2583" s="38"/>
      <c r="AJ2583" s="38"/>
      <c r="AK2583" s="38"/>
      <c r="AL2583" s="38"/>
      <c r="AM2583" s="38"/>
      <c r="AN2583" s="38"/>
      <c r="AO2583" s="38"/>
      <c r="AP2583" s="38"/>
      <c r="AQ2583" s="38"/>
      <c r="AR2583" s="38"/>
      <c r="AS2583" s="38"/>
      <c r="AT2583" s="38"/>
      <c r="AU2583" s="38"/>
      <c r="AV2583" s="38"/>
      <c r="AW2583" s="38"/>
      <c r="AX2583" s="38"/>
      <c r="AY2583" s="38"/>
      <c r="AZ2583" s="38"/>
      <c r="BA2583" s="38"/>
      <c r="BB2583" s="38"/>
      <c r="BC2583" s="38"/>
      <c r="BD2583" s="38"/>
      <c r="BE2583" s="38"/>
      <c r="BF2583" s="38"/>
      <c r="BG2583" s="38"/>
      <c r="BH2583" s="38"/>
      <c r="BI2583" s="38"/>
      <c r="BJ2583" s="38"/>
      <c r="BK2583" s="38"/>
      <c r="BL2583" s="38"/>
      <c r="BM2583" s="38"/>
      <c r="BN2583" s="38"/>
      <c r="BO2583" s="38"/>
      <c r="BP2583" s="38"/>
      <c r="BQ2583" s="38"/>
    </row>
    <row r="2584">
      <c r="A2584" s="16"/>
      <c r="B2584" s="16"/>
      <c r="C2584" s="146"/>
      <c r="D2584" s="146"/>
      <c r="E2584" s="16"/>
      <c r="F2584" s="91"/>
      <c r="G2584" s="16"/>
      <c r="H2584" s="320" t="str">
        <f t="shared" si="33"/>
        <v/>
      </c>
      <c r="I2584" s="16"/>
      <c r="J2584" s="16"/>
      <c r="K2584" s="16"/>
      <c r="L2584" s="16"/>
      <c r="M2584" s="15"/>
      <c r="N2584" s="15"/>
      <c r="O2584" s="16"/>
      <c r="P2584" s="16"/>
      <c r="Q2584" s="16"/>
      <c r="R2584" s="16"/>
      <c r="S2584" s="37" t="str">
        <f>IFERROR(__xludf.DUMMYFUNCTION("if(not(iserror(index(split(C2584, "" ""),2))), index(split(C2584, "" ""),1),"""")"),"")</f>
        <v/>
      </c>
      <c r="T2584" s="315" t="str">
        <f>IFERROR(__xludf.DUMMYFUNCTION("if(S2584="""",C2584,if(not(iserror(index(split(C2584, "" ""),3))), index(split(C2584, "" ""),3),index(split(C2584, "" ""),2)))"),"")</f>
        <v/>
      </c>
      <c r="U2584" s="38" t="b">
        <f t="shared" si="34"/>
        <v>0</v>
      </c>
      <c r="V2584" s="38"/>
      <c r="W2584" s="40"/>
      <c r="X2584" s="40"/>
      <c r="Y2584" s="38"/>
      <c r="Z2584" s="38"/>
      <c r="AA2584" s="38"/>
      <c r="AB2584" s="38"/>
      <c r="AC2584" s="38"/>
      <c r="AD2584" s="38"/>
      <c r="AE2584" s="38"/>
      <c r="AF2584" s="38"/>
      <c r="AG2584" s="38"/>
      <c r="AH2584" s="38"/>
      <c r="AI2584" s="38"/>
      <c r="AJ2584" s="38"/>
      <c r="AK2584" s="38"/>
      <c r="AL2584" s="38"/>
      <c r="AM2584" s="38"/>
      <c r="AN2584" s="38"/>
      <c r="AO2584" s="38"/>
      <c r="AP2584" s="38"/>
      <c r="AQ2584" s="38"/>
      <c r="AR2584" s="38"/>
      <c r="AS2584" s="38"/>
      <c r="AT2584" s="38"/>
      <c r="AU2584" s="38"/>
      <c r="AV2584" s="38"/>
      <c r="AW2584" s="38"/>
      <c r="AX2584" s="38"/>
      <c r="AY2584" s="38"/>
      <c r="AZ2584" s="38"/>
      <c r="BA2584" s="38"/>
      <c r="BB2584" s="38"/>
      <c r="BC2584" s="38"/>
      <c r="BD2584" s="38"/>
      <c r="BE2584" s="38"/>
      <c r="BF2584" s="38"/>
      <c r="BG2584" s="38"/>
      <c r="BH2584" s="38"/>
      <c r="BI2584" s="38"/>
      <c r="BJ2584" s="38"/>
      <c r="BK2584" s="38"/>
      <c r="BL2584" s="38"/>
      <c r="BM2584" s="38"/>
      <c r="BN2584" s="38"/>
      <c r="BO2584" s="38"/>
      <c r="BP2584" s="38"/>
      <c r="BQ2584" s="38"/>
    </row>
    <row r="2585">
      <c r="A2585" s="16"/>
      <c r="B2585" s="16"/>
      <c r="C2585" s="146"/>
      <c r="D2585" s="146"/>
      <c r="E2585" s="16"/>
      <c r="F2585" s="91"/>
      <c r="G2585" s="16"/>
      <c r="H2585" s="320" t="str">
        <f t="shared" si="33"/>
        <v/>
      </c>
      <c r="I2585" s="16"/>
      <c r="J2585" s="16"/>
      <c r="K2585" s="16"/>
      <c r="L2585" s="16"/>
      <c r="M2585" s="15"/>
      <c r="N2585" s="15"/>
      <c r="O2585" s="16"/>
      <c r="P2585" s="16"/>
      <c r="Q2585" s="16"/>
      <c r="R2585" s="16"/>
      <c r="S2585" s="37" t="str">
        <f>IFERROR(__xludf.DUMMYFUNCTION("if(not(iserror(index(split(C2585, "" ""),2))), index(split(C2585, "" ""),1),"""")"),"")</f>
        <v/>
      </c>
      <c r="T2585" s="315" t="str">
        <f>IFERROR(__xludf.DUMMYFUNCTION("if(S2585="""",C2585,if(not(iserror(index(split(C2585, "" ""),3))), index(split(C2585, "" ""),3),index(split(C2585, "" ""),2)))"),"")</f>
        <v/>
      </c>
      <c r="U2585" s="38" t="b">
        <f t="shared" si="34"/>
        <v>0</v>
      </c>
      <c r="V2585" s="38"/>
      <c r="W2585" s="40"/>
      <c r="X2585" s="40"/>
      <c r="Y2585" s="38"/>
      <c r="Z2585" s="38"/>
      <c r="AA2585" s="38"/>
      <c r="AB2585" s="38"/>
      <c r="AC2585" s="38"/>
      <c r="AD2585" s="38"/>
      <c r="AE2585" s="38"/>
      <c r="AF2585" s="38"/>
      <c r="AG2585" s="38"/>
      <c r="AH2585" s="38"/>
      <c r="AI2585" s="38"/>
      <c r="AJ2585" s="38"/>
      <c r="AK2585" s="38"/>
      <c r="AL2585" s="38"/>
      <c r="AM2585" s="38"/>
      <c r="AN2585" s="38"/>
      <c r="AO2585" s="38"/>
      <c r="AP2585" s="38"/>
      <c r="AQ2585" s="38"/>
      <c r="AR2585" s="38"/>
      <c r="AS2585" s="38"/>
      <c r="AT2585" s="38"/>
      <c r="AU2585" s="38"/>
      <c r="AV2585" s="38"/>
      <c r="AW2585" s="38"/>
      <c r="AX2585" s="38"/>
      <c r="AY2585" s="38"/>
      <c r="AZ2585" s="38"/>
      <c r="BA2585" s="38"/>
      <c r="BB2585" s="38"/>
      <c r="BC2585" s="38"/>
      <c r="BD2585" s="38"/>
      <c r="BE2585" s="38"/>
      <c r="BF2585" s="38"/>
      <c r="BG2585" s="38"/>
      <c r="BH2585" s="38"/>
      <c r="BI2585" s="38"/>
      <c r="BJ2585" s="38"/>
      <c r="BK2585" s="38"/>
      <c r="BL2585" s="38"/>
      <c r="BM2585" s="38"/>
      <c r="BN2585" s="38"/>
      <c r="BO2585" s="38"/>
      <c r="BP2585" s="38"/>
      <c r="BQ2585" s="38"/>
    </row>
    <row r="2586">
      <c r="A2586" s="16"/>
      <c r="B2586" s="16"/>
      <c r="C2586" s="146"/>
      <c r="D2586" s="146"/>
      <c r="E2586" s="16"/>
      <c r="F2586" s="91"/>
      <c r="G2586" s="16"/>
      <c r="H2586" s="320" t="str">
        <f t="shared" si="33"/>
        <v/>
      </c>
      <c r="I2586" s="16"/>
      <c r="J2586" s="16"/>
      <c r="K2586" s="16"/>
      <c r="L2586" s="16"/>
      <c r="M2586" s="15"/>
      <c r="N2586" s="15"/>
      <c r="O2586" s="16"/>
      <c r="P2586" s="16"/>
      <c r="Q2586" s="16"/>
      <c r="R2586" s="16"/>
      <c r="S2586" s="37" t="str">
        <f>IFERROR(__xludf.DUMMYFUNCTION("if(not(iserror(index(split(C2586, "" ""),2))), index(split(C2586, "" ""),1),"""")"),"")</f>
        <v/>
      </c>
      <c r="T2586" s="315" t="str">
        <f>IFERROR(__xludf.DUMMYFUNCTION("if(S2586="""",C2586,if(not(iserror(index(split(C2586, "" ""),3))), index(split(C2586, "" ""),3),index(split(C2586, "" ""),2)))"),"")</f>
        <v/>
      </c>
      <c r="U2586" s="38" t="b">
        <f t="shared" si="34"/>
        <v>0</v>
      </c>
      <c r="V2586" s="38"/>
      <c r="W2586" s="40"/>
      <c r="X2586" s="40"/>
      <c r="Y2586" s="38"/>
      <c r="Z2586" s="38"/>
      <c r="AA2586" s="38"/>
      <c r="AB2586" s="38"/>
      <c r="AC2586" s="38"/>
      <c r="AD2586" s="38"/>
      <c r="AE2586" s="38"/>
      <c r="AF2586" s="38"/>
      <c r="AG2586" s="38"/>
      <c r="AH2586" s="38"/>
      <c r="AI2586" s="38"/>
      <c r="AJ2586" s="38"/>
      <c r="AK2586" s="38"/>
      <c r="AL2586" s="38"/>
      <c r="AM2586" s="38"/>
      <c r="AN2586" s="38"/>
      <c r="AO2586" s="38"/>
      <c r="AP2586" s="38"/>
      <c r="AQ2586" s="38"/>
      <c r="AR2586" s="38"/>
      <c r="AS2586" s="38"/>
      <c r="AT2586" s="38"/>
      <c r="AU2586" s="38"/>
      <c r="AV2586" s="38"/>
      <c r="AW2586" s="38"/>
      <c r="AX2586" s="38"/>
      <c r="AY2586" s="38"/>
      <c r="AZ2586" s="38"/>
      <c r="BA2586" s="38"/>
      <c r="BB2586" s="38"/>
      <c r="BC2586" s="38"/>
      <c r="BD2586" s="38"/>
      <c r="BE2586" s="38"/>
      <c r="BF2586" s="38"/>
      <c r="BG2586" s="38"/>
      <c r="BH2586" s="38"/>
      <c r="BI2586" s="38"/>
      <c r="BJ2586" s="38"/>
      <c r="BK2586" s="38"/>
      <c r="BL2586" s="38"/>
      <c r="BM2586" s="38"/>
      <c r="BN2586" s="38"/>
      <c r="BO2586" s="38"/>
      <c r="BP2586" s="38"/>
      <c r="BQ2586" s="38"/>
    </row>
    <row r="2587">
      <c r="A2587" s="16"/>
      <c r="B2587" s="16"/>
      <c r="C2587" s="146"/>
      <c r="D2587" s="146"/>
      <c r="E2587" s="16"/>
      <c r="F2587" s="91"/>
      <c r="G2587" s="16"/>
      <c r="H2587" s="320" t="str">
        <f t="shared" si="33"/>
        <v/>
      </c>
      <c r="I2587" s="16"/>
      <c r="J2587" s="16"/>
      <c r="K2587" s="16"/>
      <c r="L2587" s="16"/>
      <c r="M2587" s="15"/>
      <c r="N2587" s="15"/>
      <c r="O2587" s="16"/>
      <c r="P2587" s="16"/>
      <c r="Q2587" s="16"/>
      <c r="R2587" s="16"/>
      <c r="S2587" s="37" t="str">
        <f>IFERROR(__xludf.DUMMYFUNCTION("if(not(iserror(index(split(C2587, "" ""),2))), index(split(C2587, "" ""),1),"""")"),"")</f>
        <v/>
      </c>
      <c r="T2587" s="315" t="str">
        <f>IFERROR(__xludf.DUMMYFUNCTION("if(S2587="""",C2587,if(not(iserror(index(split(C2587, "" ""),3))), index(split(C2587, "" ""),3),index(split(C2587, "" ""),2)))"),"")</f>
        <v/>
      </c>
      <c r="U2587" s="38" t="b">
        <f t="shared" si="34"/>
        <v>0</v>
      </c>
      <c r="V2587" s="38"/>
      <c r="W2587" s="40"/>
      <c r="X2587" s="40"/>
      <c r="Y2587" s="38"/>
      <c r="Z2587" s="38"/>
      <c r="AA2587" s="38"/>
      <c r="AB2587" s="38"/>
      <c r="AC2587" s="38"/>
      <c r="AD2587" s="38"/>
      <c r="AE2587" s="38"/>
      <c r="AF2587" s="38"/>
      <c r="AG2587" s="38"/>
      <c r="AH2587" s="38"/>
      <c r="AI2587" s="38"/>
      <c r="AJ2587" s="38"/>
      <c r="AK2587" s="38"/>
      <c r="AL2587" s="38"/>
      <c r="AM2587" s="38"/>
      <c r="AN2587" s="38"/>
      <c r="AO2587" s="38"/>
      <c r="AP2587" s="38"/>
      <c r="AQ2587" s="38"/>
      <c r="AR2587" s="38"/>
      <c r="AS2587" s="38"/>
      <c r="AT2587" s="38"/>
      <c r="AU2587" s="38"/>
      <c r="AV2587" s="38"/>
      <c r="AW2587" s="38"/>
      <c r="AX2587" s="38"/>
      <c r="AY2587" s="38"/>
      <c r="AZ2587" s="38"/>
      <c r="BA2587" s="38"/>
      <c r="BB2587" s="38"/>
      <c r="BC2587" s="38"/>
      <c r="BD2587" s="38"/>
      <c r="BE2587" s="38"/>
      <c r="BF2587" s="38"/>
      <c r="BG2587" s="38"/>
      <c r="BH2587" s="38"/>
      <c r="BI2587" s="38"/>
      <c r="BJ2587" s="38"/>
      <c r="BK2587" s="38"/>
      <c r="BL2587" s="38"/>
      <c r="BM2587" s="38"/>
      <c r="BN2587" s="38"/>
      <c r="BO2587" s="38"/>
      <c r="BP2587" s="38"/>
      <c r="BQ2587" s="38"/>
    </row>
    <row r="2588">
      <c r="A2588" s="16"/>
      <c r="B2588" s="16"/>
      <c r="C2588" s="146"/>
      <c r="D2588" s="146"/>
      <c r="E2588" s="16"/>
      <c r="F2588" s="91"/>
      <c r="G2588" s="16"/>
      <c r="H2588" s="320" t="str">
        <f t="shared" si="33"/>
        <v/>
      </c>
      <c r="I2588" s="16"/>
      <c r="J2588" s="16"/>
      <c r="K2588" s="16"/>
      <c r="L2588" s="16"/>
      <c r="M2588" s="15"/>
      <c r="N2588" s="15"/>
      <c r="O2588" s="16"/>
      <c r="P2588" s="16"/>
      <c r="Q2588" s="16"/>
      <c r="R2588" s="16"/>
      <c r="S2588" s="37" t="str">
        <f>IFERROR(__xludf.DUMMYFUNCTION("if(not(iserror(index(split(C2588, "" ""),2))), index(split(C2588, "" ""),1),"""")"),"")</f>
        <v/>
      </c>
      <c r="T2588" s="315" t="str">
        <f>IFERROR(__xludf.DUMMYFUNCTION("if(S2588="""",C2588,if(not(iserror(index(split(C2588, "" ""),3))), index(split(C2588, "" ""),3),index(split(C2588, "" ""),2)))"),"")</f>
        <v/>
      </c>
      <c r="U2588" s="38" t="b">
        <f t="shared" si="34"/>
        <v>0</v>
      </c>
      <c r="V2588" s="38"/>
      <c r="W2588" s="40"/>
      <c r="X2588" s="40"/>
      <c r="Y2588" s="38"/>
      <c r="Z2588" s="38"/>
      <c r="AA2588" s="38"/>
      <c r="AB2588" s="38"/>
      <c r="AC2588" s="38"/>
      <c r="AD2588" s="38"/>
      <c r="AE2588" s="38"/>
      <c r="AF2588" s="38"/>
      <c r="AG2588" s="38"/>
      <c r="AH2588" s="38"/>
      <c r="AI2588" s="38"/>
      <c r="AJ2588" s="38"/>
      <c r="AK2588" s="38"/>
      <c r="AL2588" s="38"/>
      <c r="AM2588" s="38"/>
      <c r="AN2588" s="38"/>
      <c r="AO2588" s="38"/>
      <c r="AP2588" s="38"/>
      <c r="AQ2588" s="38"/>
      <c r="AR2588" s="38"/>
      <c r="AS2588" s="38"/>
      <c r="AT2588" s="38"/>
      <c r="AU2588" s="38"/>
      <c r="AV2588" s="38"/>
      <c r="AW2588" s="38"/>
      <c r="AX2588" s="38"/>
      <c r="AY2588" s="38"/>
      <c r="AZ2588" s="38"/>
      <c r="BA2588" s="38"/>
      <c r="BB2588" s="38"/>
      <c r="BC2588" s="38"/>
      <c r="BD2588" s="38"/>
      <c r="BE2588" s="38"/>
      <c r="BF2588" s="38"/>
      <c r="BG2588" s="38"/>
      <c r="BH2588" s="38"/>
      <c r="BI2588" s="38"/>
      <c r="BJ2588" s="38"/>
      <c r="BK2588" s="38"/>
      <c r="BL2588" s="38"/>
      <c r="BM2588" s="38"/>
      <c r="BN2588" s="38"/>
      <c r="BO2588" s="38"/>
      <c r="BP2588" s="38"/>
      <c r="BQ2588" s="38"/>
    </row>
    <row r="2589">
      <c r="A2589" s="16"/>
      <c r="B2589" s="16"/>
      <c r="C2589" s="146"/>
      <c r="D2589" s="146"/>
      <c r="E2589" s="16"/>
      <c r="F2589" s="91"/>
      <c r="G2589" s="16"/>
      <c r="H2589" s="320" t="str">
        <f t="shared" si="33"/>
        <v/>
      </c>
      <c r="I2589" s="16"/>
      <c r="J2589" s="16"/>
      <c r="K2589" s="16"/>
      <c r="L2589" s="16"/>
      <c r="M2589" s="15"/>
      <c r="N2589" s="15"/>
      <c r="O2589" s="16"/>
      <c r="P2589" s="16"/>
      <c r="Q2589" s="16"/>
      <c r="R2589" s="16"/>
      <c r="S2589" s="37" t="str">
        <f>IFERROR(__xludf.DUMMYFUNCTION("if(not(iserror(index(split(C2589, "" ""),2))), index(split(C2589, "" ""),1),"""")"),"")</f>
        <v/>
      </c>
      <c r="T2589" s="315" t="str">
        <f>IFERROR(__xludf.DUMMYFUNCTION("if(S2589="""",C2589,if(not(iserror(index(split(C2589, "" ""),3))), index(split(C2589, "" ""),3),index(split(C2589, "" ""),2)))"),"")</f>
        <v/>
      </c>
      <c r="U2589" s="38" t="b">
        <f t="shared" si="34"/>
        <v>0</v>
      </c>
      <c r="V2589" s="38"/>
      <c r="W2589" s="40"/>
      <c r="X2589" s="40"/>
      <c r="Y2589" s="38"/>
      <c r="Z2589" s="38"/>
      <c r="AA2589" s="38"/>
      <c r="AB2589" s="38"/>
      <c r="AC2589" s="38"/>
      <c r="AD2589" s="38"/>
      <c r="AE2589" s="38"/>
      <c r="AF2589" s="38"/>
      <c r="AG2589" s="38"/>
      <c r="AH2589" s="38"/>
      <c r="AI2589" s="38"/>
      <c r="AJ2589" s="38"/>
      <c r="AK2589" s="38"/>
      <c r="AL2589" s="38"/>
      <c r="AM2589" s="38"/>
      <c r="AN2589" s="38"/>
      <c r="AO2589" s="38"/>
      <c r="AP2589" s="38"/>
      <c r="AQ2589" s="38"/>
      <c r="AR2589" s="38"/>
      <c r="AS2589" s="38"/>
      <c r="AT2589" s="38"/>
      <c r="AU2589" s="38"/>
      <c r="AV2589" s="38"/>
      <c r="AW2589" s="38"/>
      <c r="AX2589" s="38"/>
      <c r="AY2589" s="38"/>
      <c r="AZ2589" s="38"/>
      <c r="BA2589" s="38"/>
      <c r="BB2589" s="38"/>
      <c r="BC2589" s="38"/>
      <c r="BD2589" s="38"/>
      <c r="BE2589" s="38"/>
      <c r="BF2589" s="38"/>
      <c r="BG2589" s="38"/>
      <c r="BH2589" s="38"/>
      <c r="BI2589" s="38"/>
      <c r="BJ2589" s="38"/>
      <c r="BK2589" s="38"/>
      <c r="BL2589" s="38"/>
      <c r="BM2589" s="38"/>
      <c r="BN2589" s="38"/>
      <c r="BO2589" s="38"/>
      <c r="BP2589" s="38"/>
      <c r="BQ2589" s="38"/>
    </row>
    <row r="2590">
      <c r="A2590" s="16"/>
      <c r="B2590" s="16"/>
      <c r="C2590" s="146"/>
      <c r="D2590" s="146"/>
      <c r="E2590" s="16"/>
      <c r="F2590" s="91"/>
      <c r="G2590" s="16"/>
      <c r="H2590" s="320" t="str">
        <f t="shared" si="33"/>
        <v/>
      </c>
      <c r="I2590" s="16"/>
      <c r="J2590" s="16"/>
      <c r="K2590" s="16"/>
      <c r="L2590" s="16"/>
      <c r="M2590" s="15"/>
      <c r="N2590" s="15"/>
      <c r="O2590" s="16"/>
      <c r="P2590" s="16"/>
      <c r="Q2590" s="16"/>
      <c r="R2590" s="16"/>
      <c r="S2590" s="37" t="str">
        <f>IFERROR(__xludf.DUMMYFUNCTION("if(not(iserror(index(split(C2590, "" ""),2))), index(split(C2590, "" ""),1),"""")"),"")</f>
        <v/>
      </c>
      <c r="T2590" s="315" t="str">
        <f>IFERROR(__xludf.DUMMYFUNCTION("if(S2590="""",C2590,if(not(iserror(index(split(C2590, "" ""),3))), index(split(C2590, "" ""),3),index(split(C2590, "" ""),2)))"),"")</f>
        <v/>
      </c>
      <c r="U2590" s="38" t="b">
        <f t="shared" si="34"/>
        <v>0</v>
      </c>
      <c r="V2590" s="38"/>
      <c r="W2590" s="40"/>
      <c r="X2590" s="40"/>
      <c r="Y2590" s="38"/>
      <c r="Z2590" s="38"/>
      <c r="AA2590" s="38"/>
      <c r="AB2590" s="38"/>
      <c r="AC2590" s="38"/>
      <c r="AD2590" s="38"/>
      <c r="AE2590" s="38"/>
      <c r="AF2590" s="38"/>
      <c r="AG2590" s="38"/>
      <c r="AH2590" s="38"/>
      <c r="AI2590" s="38"/>
      <c r="AJ2590" s="38"/>
      <c r="AK2590" s="38"/>
      <c r="AL2590" s="38"/>
      <c r="AM2590" s="38"/>
      <c r="AN2590" s="38"/>
      <c r="AO2590" s="38"/>
      <c r="AP2590" s="38"/>
      <c r="AQ2590" s="38"/>
      <c r="AR2590" s="38"/>
      <c r="AS2590" s="38"/>
      <c r="AT2590" s="38"/>
      <c r="AU2590" s="38"/>
      <c r="AV2590" s="38"/>
      <c r="AW2590" s="38"/>
      <c r="AX2590" s="38"/>
      <c r="AY2590" s="38"/>
      <c r="AZ2590" s="38"/>
      <c r="BA2590" s="38"/>
      <c r="BB2590" s="38"/>
      <c r="BC2590" s="38"/>
      <c r="BD2590" s="38"/>
      <c r="BE2590" s="38"/>
      <c r="BF2590" s="38"/>
      <c r="BG2590" s="38"/>
      <c r="BH2590" s="38"/>
      <c r="BI2590" s="38"/>
      <c r="BJ2590" s="38"/>
      <c r="BK2590" s="38"/>
      <c r="BL2590" s="38"/>
      <c r="BM2590" s="38"/>
      <c r="BN2590" s="38"/>
      <c r="BO2590" s="38"/>
      <c r="BP2590" s="38"/>
      <c r="BQ2590" s="38"/>
    </row>
    <row r="2591">
      <c r="A2591" s="16"/>
      <c r="B2591" s="16"/>
      <c r="C2591" s="146"/>
      <c r="D2591" s="146"/>
      <c r="E2591" s="16"/>
      <c r="F2591" s="91"/>
      <c r="G2591" s="16"/>
      <c r="H2591" s="320" t="str">
        <f t="shared" si="33"/>
        <v/>
      </c>
      <c r="I2591" s="16"/>
      <c r="J2591" s="16"/>
      <c r="K2591" s="16"/>
      <c r="L2591" s="16"/>
      <c r="M2591" s="15"/>
      <c r="N2591" s="15"/>
      <c r="O2591" s="16"/>
      <c r="P2591" s="16"/>
      <c r="Q2591" s="16"/>
      <c r="R2591" s="16"/>
      <c r="S2591" s="37" t="str">
        <f>IFERROR(__xludf.DUMMYFUNCTION("if(not(iserror(index(split(C2591, "" ""),2))), index(split(C2591, "" ""),1),"""")"),"")</f>
        <v/>
      </c>
      <c r="T2591" s="315" t="str">
        <f>IFERROR(__xludf.DUMMYFUNCTION("if(S2591="""",C2591,if(not(iserror(index(split(C2591, "" ""),3))), index(split(C2591, "" ""),3),index(split(C2591, "" ""),2)))"),"")</f>
        <v/>
      </c>
      <c r="U2591" s="38" t="b">
        <f t="shared" si="34"/>
        <v>0</v>
      </c>
      <c r="V2591" s="38"/>
      <c r="W2591" s="40"/>
      <c r="X2591" s="40"/>
      <c r="Y2591" s="38"/>
      <c r="Z2591" s="38"/>
      <c r="AA2591" s="38"/>
      <c r="AB2591" s="38"/>
      <c r="AC2591" s="38"/>
      <c r="AD2591" s="38"/>
      <c r="AE2591" s="38"/>
      <c r="AF2591" s="38"/>
      <c r="AG2591" s="38"/>
      <c r="AH2591" s="38"/>
      <c r="AI2591" s="38"/>
      <c r="AJ2591" s="38"/>
      <c r="AK2591" s="38"/>
      <c r="AL2591" s="38"/>
      <c r="AM2591" s="38"/>
      <c r="AN2591" s="38"/>
      <c r="AO2591" s="38"/>
      <c r="AP2591" s="38"/>
      <c r="AQ2591" s="38"/>
      <c r="AR2591" s="38"/>
      <c r="AS2591" s="38"/>
      <c r="AT2591" s="38"/>
      <c r="AU2591" s="38"/>
      <c r="AV2591" s="38"/>
      <c r="AW2591" s="38"/>
      <c r="AX2591" s="38"/>
      <c r="AY2591" s="38"/>
      <c r="AZ2591" s="38"/>
      <c r="BA2591" s="38"/>
      <c r="BB2591" s="38"/>
      <c r="BC2591" s="38"/>
      <c r="BD2591" s="38"/>
      <c r="BE2591" s="38"/>
      <c r="BF2591" s="38"/>
      <c r="BG2591" s="38"/>
      <c r="BH2591" s="38"/>
      <c r="BI2591" s="38"/>
      <c r="BJ2591" s="38"/>
      <c r="BK2591" s="38"/>
      <c r="BL2591" s="38"/>
      <c r="BM2591" s="38"/>
      <c r="BN2591" s="38"/>
      <c r="BO2591" s="38"/>
      <c r="BP2591" s="38"/>
      <c r="BQ2591" s="38"/>
    </row>
    <row r="2592">
      <c r="A2592" s="16"/>
      <c r="B2592" s="16"/>
      <c r="C2592" s="146"/>
      <c r="D2592" s="146"/>
      <c r="E2592" s="16"/>
      <c r="F2592" s="91"/>
      <c r="G2592" s="16"/>
      <c r="H2592" s="320" t="str">
        <f t="shared" si="33"/>
        <v/>
      </c>
      <c r="I2592" s="16"/>
      <c r="J2592" s="16"/>
      <c r="K2592" s="16"/>
      <c r="L2592" s="16"/>
      <c r="M2592" s="15"/>
      <c r="N2592" s="15"/>
      <c r="O2592" s="16"/>
      <c r="P2592" s="16"/>
      <c r="Q2592" s="16"/>
      <c r="R2592" s="16"/>
      <c r="S2592" s="37" t="str">
        <f>IFERROR(__xludf.DUMMYFUNCTION("if(not(iserror(index(split(C2592, "" ""),2))), index(split(C2592, "" ""),1),"""")"),"")</f>
        <v/>
      </c>
      <c r="T2592" s="315" t="str">
        <f>IFERROR(__xludf.DUMMYFUNCTION("if(S2592="""",C2592,if(not(iserror(index(split(C2592, "" ""),3))), index(split(C2592, "" ""),3),index(split(C2592, "" ""),2)))"),"")</f>
        <v/>
      </c>
      <c r="U2592" s="38" t="b">
        <f t="shared" si="34"/>
        <v>0</v>
      </c>
      <c r="V2592" s="38"/>
      <c r="W2592" s="40"/>
      <c r="X2592" s="40"/>
      <c r="Y2592" s="38"/>
      <c r="Z2592" s="38"/>
      <c r="AA2592" s="38"/>
      <c r="AB2592" s="38"/>
      <c r="AC2592" s="38"/>
      <c r="AD2592" s="38"/>
      <c r="AE2592" s="38"/>
      <c r="AF2592" s="38"/>
      <c r="AG2592" s="38"/>
      <c r="AH2592" s="38"/>
      <c r="AI2592" s="38"/>
      <c r="AJ2592" s="38"/>
      <c r="AK2592" s="38"/>
      <c r="AL2592" s="38"/>
      <c r="AM2592" s="38"/>
      <c r="AN2592" s="38"/>
      <c r="AO2592" s="38"/>
      <c r="AP2592" s="38"/>
      <c r="AQ2592" s="38"/>
      <c r="AR2592" s="38"/>
      <c r="AS2592" s="38"/>
      <c r="AT2592" s="38"/>
      <c r="AU2592" s="38"/>
      <c r="AV2592" s="38"/>
      <c r="AW2592" s="38"/>
      <c r="AX2592" s="38"/>
      <c r="AY2592" s="38"/>
      <c r="AZ2592" s="38"/>
      <c r="BA2592" s="38"/>
      <c r="BB2592" s="38"/>
      <c r="BC2592" s="38"/>
      <c r="BD2592" s="38"/>
      <c r="BE2592" s="38"/>
      <c r="BF2592" s="38"/>
      <c r="BG2592" s="38"/>
      <c r="BH2592" s="38"/>
      <c r="BI2592" s="38"/>
      <c r="BJ2592" s="38"/>
      <c r="BK2592" s="38"/>
      <c r="BL2592" s="38"/>
      <c r="BM2592" s="38"/>
      <c r="BN2592" s="38"/>
      <c r="BO2592" s="38"/>
      <c r="BP2592" s="38"/>
      <c r="BQ2592" s="38"/>
    </row>
    <row r="2593">
      <c r="A2593" s="16"/>
      <c r="B2593" s="16"/>
      <c r="C2593" s="146"/>
      <c r="D2593" s="146"/>
      <c r="E2593" s="16"/>
      <c r="F2593" s="91"/>
      <c r="G2593" s="16"/>
      <c r="H2593" s="320" t="str">
        <f t="shared" si="33"/>
        <v/>
      </c>
      <c r="I2593" s="16"/>
      <c r="J2593" s="16"/>
      <c r="K2593" s="16"/>
      <c r="L2593" s="16"/>
      <c r="M2593" s="15"/>
      <c r="N2593" s="15"/>
      <c r="O2593" s="16"/>
      <c r="P2593" s="16"/>
      <c r="Q2593" s="16"/>
      <c r="R2593" s="16"/>
      <c r="S2593" s="37" t="str">
        <f>IFERROR(__xludf.DUMMYFUNCTION("if(not(iserror(index(split(C2593, "" ""),2))), index(split(C2593, "" ""),1),"""")"),"")</f>
        <v/>
      </c>
      <c r="T2593" s="315" t="str">
        <f>IFERROR(__xludf.DUMMYFUNCTION("if(S2593="""",C2593,if(not(iserror(index(split(C2593, "" ""),3))), index(split(C2593, "" ""),3),index(split(C2593, "" ""),2)))"),"")</f>
        <v/>
      </c>
      <c r="U2593" s="38" t="b">
        <f t="shared" si="34"/>
        <v>0</v>
      </c>
      <c r="V2593" s="38"/>
      <c r="W2593" s="40"/>
      <c r="X2593" s="40"/>
      <c r="Y2593" s="38"/>
      <c r="Z2593" s="38"/>
      <c r="AA2593" s="38"/>
      <c r="AB2593" s="38"/>
      <c r="AC2593" s="38"/>
      <c r="AD2593" s="38"/>
      <c r="AE2593" s="38"/>
      <c r="AF2593" s="38"/>
      <c r="AG2593" s="38"/>
      <c r="AH2593" s="38"/>
      <c r="AI2593" s="38"/>
      <c r="AJ2593" s="38"/>
      <c r="AK2593" s="38"/>
      <c r="AL2593" s="38"/>
      <c r="AM2593" s="38"/>
      <c r="AN2593" s="38"/>
      <c r="AO2593" s="38"/>
      <c r="AP2593" s="38"/>
      <c r="AQ2593" s="38"/>
      <c r="AR2593" s="38"/>
      <c r="AS2593" s="38"/>
      <c r="AT2593" s="38"/>
      <c r="AU2593" s="38"/>
      <c r="AV2593" s="38"/>
      <c r="AW2593" s="38"/>
      <c r="AX2593" s="38"/>
      <c r="AY2593" s="38"/>
      <c r="AZ2593" s="38"/>
      <c r="BA2593" s="38"/>
      <c r="BB2593" s="38"/>
      <c r="BC2593" s="38"/>
      <c r="BD2593" s="38"/>
      <c r="BE2593" s="38"/>
      <c r="BF2593" s="38"/>
      <c r="BG2593" s="38"/>
      <c r="BH2593" s="38"/>
      <c r="BI2593" s="38"/>
      <c r="BJ2593" s="38"/>
      <c r="BK2593" s="38"/>
      <c r="BL2593" s="38"/>
      <c r="BM2593" s="38"/>
      <c r="BN2593" s="38"/>
      <c r="BO2593" s="38"/>
      <c r="BP2593" s="38"/>
      <c r="BQ2593" s="38"/>
    </row>
    <row r="2594">
      <c r="A2594" s="16"/>
      <c r="B2594" s="16"/>
      <c r="C2594" s="146"/>
      <c r="D2594" s="146"/>
      <c r="E2594" s="16"/>
      <c r="F2594" s="91"/>
      <c r="G2594" s="16"/>
      <c r="H2594" s="320" t="str">
        <f t="shared" si="33"/>
        <v/>
      </c>
      <c r="I2594" s="16"/>
      <c r="J2594" s="16"/>
      <c r="K2594" s="16"/>
      <c r="L2594" s="16"/>
      <c r="M2594" s="15"/>
      <c r="N2594" s="15"/>
      <c r="O2594" s="16"/>
      <c r="P2594" s="16"/>
      <c r="Q2594" s="16"/>
      <c r="R2594" s="16"/>
      <c r="S2594" s="37" t="str">
        <f>IFERROR(__xludf.DUMMYFUNCTION("if(not(iserror(index(split(C2594, "" ""),2))), index(split(C2594, "" ""),1),"""")"),"")</f>
        <v/>
      </c>
      <c r="T2594" s="315" t="str">
        <f>IFERROR(__xludf.DUMMYFUNCTION("if(S2594="""",C2594,if(not(iserror(index(split(C2594, "" ""),3))), index(split(C2594, "" ""),3),index(split(C2594, "" ""),2)))"),"")</f>
        <v/>
      </c>
      <c r="U2594" s="38" t="b">
        <f t="shared" si="34"/>
        <v>0</v>
      </c>
      <c r="V2594" s="38"/>
      <c r="W2594" s="40"/>
      <c r="X2594" s="40"/>
      <c r="Y2594" s="38"/>
      <c r="Z2594" s="38"/>
      <c r="AA2594" s="38"/>
      <c r="AB2594" s="38"/>
      <c r="AC2594" s="38"/>
      <c r="AD2594" s="38"/>
      <c r="AE2594" s="38"/>
      <c r="AF2594" s="38"/>
      <c r="AG2594" s="38"/>
      <c r="AH2594" s="38"/>
      <c r="AI2594" s="38"/>
      <c r="AJ2594" s="38"/>
      <c r="AK2594" s="38"/>
      <c r="AL2594" s="38"/>
      <c r="AM2594" s="38"/>
      <c r="AN2594" s="38"/>
      <c r="AO2594" s="38"/>
      <c r="AP2594" s="38"/>
      <c r="AQ2594" s="38"/>
      <c r="AR2594" s="38"/>
      <c r="AS2594" s="38"/>
      <c r="AT2594" s="38"/>
      <c r="AU2594" s="38"/>
      <c r="AV2594" s="38"/>
      <c r="AW2594" s="38"/>
      <c r="AX2594" s="38"/>
      <c r="AY2594" s="38"/>
      <c r="AZ2594" s="38"/>
      <c r="BA2594" s="38"/>
      <c r="BB2594" s="38"/>
      <c r="BC2594" s="38"/>
      <c r="BD2594" s="38"/>
      <c r="BE2594" s="38"/>
      <c r="BF2594" s="38"/>
      <c r="BG2594" s="38"/>
      <c r="BH2594" s="38"/>
      <c r="BI2594" s="38"/>
      <c r="BJ2594" s="38"/>
      <c r="BK2594" s="38"/>
      <c r="BL2594" s="38"/>
      <c r="BM2594" s="38"/>
      <c r="BN2594" s="38"/>
      <c r="BO2594" s="38"/>
      <c r="BP2594" s="38"/>
      <c r="BQ2594" s="38"/>
    </row>
    <row r="2595">
      <c r="A2595" s="16"/>
      <c r="B2595" s="16"/>
      <c r="C2595" s="146"/>
      <c r="D2595" s="146"/>
      <c r="E2595" s="16"/>
      <c r="F2595" s="91"/>
      <c r="G2595" s="16"/>
      <c r="H2595" s="320" t="str">
        <f t="shared" si="33"/>
        <v/>
      </c>
      <c r="I2595" s="16"/>
      <c r="J2595" s="16"/>
      <c r="K2595" s="16"/>
      <c r="L2595" s="16"/>
      <c r="M2595" s="15"/>
      <c r="N2595" s="15"/>
      <c r="O2595" s="16"/>
      <c r="P2595" s="16"/>
      <c r="Q2595" s="16"/>
      <c r="R2595" s="16"/>
      <c r="S2595" s="37" t="str">
        <f>IFERROR(__xludf.DUMMYFUNCTION("if(not(iserror(index(split(C2595, "" ""),2))), index(split(C2595, "" ""),1),"""")"),"")</f>
        <v/>
      </c>
      <c r="T2595" s="315" t="str">
        <f>IFERROR(__xludf.DUMMYFUNCTION("if(S2595="""",C2595,if(not(iserror(index(split(C2595, "" ""),3))), index(split(C2595, "" ""),3),index(split(C2595, "" ""),2)))"),"")</f>
        <v/>
      </c>
      <c r="U2595" s="38" t="b">
        <f t="shared" si="34"/>
        <v>0</v>
      </c>
      <c r="V2595" s="38"/>
      <c r="W2595" s="40"/>
      <c r="X2595" s="40"/>
      <c r="Y2595" s="38"/>
      <c r="Z2595" s="38"/>
      <c r="AA2595" s="38"/>
      <c r="AB2595" s="38"/>
      <c r="AC2595" s="38"/>
      <c r="AD2595" s="38"/>
      <c r="AE2595" s="38"/>
      <c r="AF2595" s="38"/>
      <c r="AG2595" s="38"/>
      <c r="AH2595" s="38"/>
      <c r="AI2595" s="38"/>
      <c r="AJ2595" s="38"/>
      <c r="AK2595" s="38"/>
      <c r="AL2595" s="38"/>
      <c r="AM2595" s="38"/>
      <c r="AN2595" s="38"/>
      <c r="AO2595" s="38"/>
      <c r="AP2595" s="38"/>
      <c r="AQ2595" s="38"/>
      <c r="AR2595" s="38"/>
      <c r="AS2595" s="38"/>
      <c r="AT2595" s="38"/>
      <c r="AU2595" s="38"/>
      <c r="AV2595" s="38"/>
      <c r="AW2595" s="38"/>
      <c r="AX2595" s="38"/>
      <c r="AY2595" s="38"/>
      <c r="AZ2595" s="38"/>
      <c r="BA2595" s="38"/>
      <c r="BB2595" s="38"/>
      <c r="BC2595" s="38"/>
      <c r="BD2595" s="38"/>
      <c r="BE2595" s="38"/>
      <c r="BF2595" s="38"/>
      <c r="BG2595" s="38"/>
      <c r="BH2595" s="38"/>
      <c r="BI2595" s="38"/>
      <c r="BJ2595" s="38"/>
      <c r="BK2595" s="38"/>
      <c r="BL2595" s="38"/>
      <c r="BM2595" s="38"/>
      <c r="BN2595" s="38"/>
      <c r="BO2595" s="38"/>
      <c r="BP2595" s="38"/>
      <c r="BQ2595" s="38"/>
    </row>
    <row r="2596">
      <c r="A2596" s="16"/>
      <c r="B2596" s="16"/>
      <c r="C2596" s="146"/>
      <c r="D2596" s="146"/>
      <c r="E2596" s="16"/>
      <c r="F2596" s="91"/>
      <c r="G2596" s="16"/>
      <c r="H2596" s="320" t="str">
        <f t="shared" si="33"/>
        <v/>
      </c>
      <c r="I2596" s="16"/>
      <c r="J2596" s="16"/>
      <c r="K2596" s="16"/>
      <c r="L2596" s="16"/>
      <c r="M2596" s="15"/>
      <c r="N2596" s="15"/>
      <c r="O2596" s="16"/>
      <c r="P2596" s="16"/>
      <c r="Q2596" s="16"/>
      <c r="R2596" s="16"/>
      <c r="S2596" s="37" t="str">
        <f>IFERROR(__xludf.DUMMYFUNCTION("if(not(iserror(index(split(C2596, "" ""),2))), index(split(C2596, "" ""),1),"""")"),"")</f>
        <v/>
      </c>
      <c r="T2596" s="315" t="str">
        <f>IFERROR(__xludf.DUMMYFUNCTION("if(S2596="""",C2596,if(not(iserror(index(split(C2596, "" ""),3))), index(split(C2596, "" ""),3),index(split(C2596, "" ""),2)))"),"")</f>
        <v/>
      </c>
      <c r="U2596" s="38" t="b">
        <f t="shared" si="34"/>
        <v>0</v>
      </c>
      <c r="V2596" s="38"/>
      <c r="W2596" s="40"/>
      <c r="X2596" s="40"/>
      <c r="Y2596" s="38"/>
      <c r="Z2596" s="38"/>
      <c r="AA2596" s="38"/>
      <c r="AB2596" s="38"/>
      <c r="AC2596" s="38"/>
      <c r="AD2596" s="38"/>
      <c r="AE2596" s="38"/>
      <c r="AF2596" s="38"/>
      <c r="AG2596" s="38"/>
      <c r="AH2596" s="38"/>
      <c r="AI2596" s="38"/>
      <c r="AJ2596" s="38"/>
      <c r="AK2596" s="38"/>
      <c r="AL2596" s="38"/>
      <c r="AM2596" s="38"/>
      <c r="AN2596" s="38"/>
      <c r="AO2596" s="38"/>
      <c r="AP2596" s="38"/>
      <c r="AQ2596" s="38"/>
      <c r="AR2596" s="38"/>
      <c r="AS2596" s="38"/>
      <c r="AT2596" s="38"/>
      <c r="AU2596" s="38"/>
      <c r="AV2596" s="38"/>
      <c r="AW2596" s="38"/>
      <c r="AX2596" s="38"/>
      <c r="AY2596" s="38"/>
      <c r="AZ2596" s="38"/>
      <c r="BA2596" s="38"/>
      <c r="BB2596" s="38"/>
      <c r="BC2596" s="38"/>
      <c r="BD2596" s="38"/>
      <c r="BE2596" s="38"/>
      <c r="BF2596" s="38"/>
      <c r="BG2596" s="38"/>
      <c r="BH2596" s="38"/>
      <c r="BI2596" s="38"/>
      <c r="BJ2596" s="38"/>
      <c r="BK2596" s="38"/>
      <c r="BL2596" s="38"/>
      <c r="BM2596" s="38"/>
      <c r="BN2596" s="38"/>
      <c r="BO2596" s="38"/>
      <c r="BP2596" s="38"/>
      <c r="BQ2596" s="38"/>
    </row>
    <row r="2597">
      <c r="A2597" s="16"/>
      <c r="B2597" s="16"/>
      <c r="C2597" s="146"/>
      <c r="D2597" s="146"/>
      <c r="E2597" s="16"/>
      <c r="F2597" s="91"/>
      <c r="G2597" s="16"/>
      <c r="H2597" s="320" t="str">
        <f t="shared" si="33"/>
        <v/>
      </c>
      <c r="I2597" s="16"/>
      <c r="J2597" s="16"/>
      <c r="K2597" s="16"/>
      <c r="L2597" s="16"/>
      <c r="M2597" s="15"/>
      <c r="N2597" s="15"/>
      <c r="O2597" s="16"/>
      <c r="P2597" s="16"/>
      <c r="Q2597" s="16"/>
      <c r="R2597" s="16"/>
      <c r="S2597" s="37" t="str">
        <f>IFERROR(__xludf.DUMMYFUNCTION("if(not(iserror(index(split(C2597, "" ""),2))), index(split(C2597, "" ""),1),"""")"),"")</f>
        <v/>
      </c>
      <c r="T2597" s="315" t="str">
        <f>IFERROR(__xludf.DUMMYFUNCTION("if(S2597="""",C2597,if(not(iserror(index(split(C2597, "" ""),3))), index(split(C2597, "" ""),3),index(split(C2597, "" ""),2)))"),"")</f>
        <v/>
      </c>
      <c r="U2597" s="38" t="b">
        <f t="shared" si="34"/>
        <v>0</v>
      </c>
      <c r="V2597" s="38"/>
      <c r="W2597" s="40"/>
      <c r="X2597" s="40"/>
      <c r="Y2597" s="38"/>
      <c r="Z2597" s="38"/>
      <c r="AA2597" s="38"/>
      <c r="AB2597" s="38"/>
      <c r="AC2597" s="38"/>
      <c r="AD2597" s="38"/>
      <c r="AE2597" s="38"/>
      <c r="AF2597" s="38"/>
      <c r="AG2597" s="38"/>
      <c r="AH2597" s="38"/>
      <c r="AI2597" s="38"/>
      <c r="AJ2597" s="38"/>
      <c r="AK2597" s="38"/>
      <c r="AL2597" s="38"/>
      <c r="AM2597" s="38"/>
      <c r="AN2597" s="38"/>
      <c r="AO2597" s="38"/>
      <c r="AP2597" s="38"/>
      <c r="AQ2597" s="38"/>
      <c r="AR2597" s="38"/>
      <c r="AS2597" s="38"/>
      <c r="AT2597" s="38"/>
      <c r="AU2597" s="38"/>
      <c r="AV2597" s="38"/>
      <c r="AW2597" s="38"/>
      <c r="AX2597" s="38"/>
      <c r="AY2597" s="38"/>
      <c r="AZ2597" s="38"/>
      <c r="BA2597" s="38"/>
      <c r="BB2597" s="38"/>
      <c r="BC2597" s="38"/>
      <c r="BD2597" s="38"/>
      <c r="BE2597" s="38"/>
      <c r="BF2597" s="38"/>
      <c r="BG2597" s="38"/>
      <c r="BH2597" s="38"/>
      <c r="BI2597" s="38"/>
      <c r="BJ2597" s="38"/>
      <c r="BK2597" s="38"/>
      <c r="BL2597" s="38"/>
      <c r="BM2597" s="38"/>
      <c r="BN2597" s="38"/>
      <c r="BO2597" s="38"/>
      <c r="BP2597" s="38"/>
      <c r="BQ2597" s="38"/>
    </row>
    <row r="2598">
      <c r="A2598" s="16"/>
      <c r="B2598" s="16"/>
      <c r="C2598" s="146"/>
      <c r="D2598" s="146"/>
      <c r="E2598" s="16"/>
      <c r="F2598" s="91"/>
      <c r="G2598" s="16"/>
      <c r="H2598" s="320" t="str">
        <f t="shared" si="33"/>
        <v/>
      </c>
      <c r="I2598" s="16"/>
      <c r="J2598" s="16"/>
      <c r="K2598" s="16"/>
      <c r="L2598" s="16"/>
      <c r="M2598" s="15"/>
      <c r="N2598" s="15"/>
      <c r="O2598" s="16"/>
      <c r="P2598" s="16"/>
      <c r="Q2598" s="16"/>
      <c r="R2598" s="16"/>
      <c r="S2598" s="37" t="str">
        <f>IFERROR(__xludf.DUMMYFUNCTION("if(not(iserror(index(split(C2598, "" ""),2))), index(split(C2598, "" ""),1),"""")"),"")</f>
        <v/>
      </c>
      <c r="T2598" s="315" t="str">
        <f>IFERROR(__xludf.DUMMYFUNCTION("if(S2598="""",C2598,if(not(iserror(index(split(C2598, "" ""),3))), index(split(C2598, "" ""),3),index(split(C2598, "" ""),2)))"),"")</f>
        <v/>
      </c>
      <c r="U2598" s="38" t="b">
        <f t="shared" si="34"/>
        <v>0</v>
      </c>
      <c r="V2598" s="38"/>
      <c r="W2598" s="40"/>
      <c r="X2598" s="40"/>
      <c r="Y2598" s="38"/>
      <c r="Z2598" s="38"/>
      <c r="AA2598" s="38"/>
      <c r="AB2598" s="38"/>
      <c r="AC2598" s="38"/>
      <c r="AD2598" s="38"/>
      <c r="AE2598" s="38"/>
      <c r="AF2598" s="38"/>
      <c r="AG2598" s="38"/>
      <c r="AH2598" s="38"/>
      <c r="AI2598" s="38"/>
      <c r="AJ2598" s="38"/>
      <c r="AK2598" s="38"/>
      <c r="AL2598" s="38"/>
      <c r="AM2598" s="38"/>
      <c r="AN2598" s="38"/>
      <c r="AO2598" s="38"/>
      <c r="AP2598" s="38"/>
      <c r="AQ2598" s="38"/>
      <c r="AR2598" s="38"/>
      <c r="AS2598" s="38"/>
      <c r="AT2598" s="38"/>
      <c r="AU2598" s="38"/>
      <c r="AV2598" s="38"/>
      <c r="AW2598" s="38"/>
      <c r="AX2598" s="38"/>
      <c r="AY2598" s="38"/>
      <c r="AZ2598" s="38"/>
      <c r="BA2598" s="38"/>
      <c r="BB2598" s="38"/>
      <c r="BC2598" s="38"/>
      <c r="BD2598" s="38"/>
      <c r="BE2598" s="38"/>
      <c r="BF2598" s="38"/>
      <c r="BG2598" s="38"/>
      <c r="BH2598" s="38"/>
      <c r="BI2598" s="38"/>
      <c r="BJ2598" s="38"/>
      <c r="BK2598" s="38"/>
      <c r="BL2598" s="38"/>
      <c r="BM2598" s="38"/>
      <c r="BN2598" s="38"/>
      <c r="BO2598" s="38"/>
      <c r="BP2598" s="38"/>
      <c r="BQ2598" s="38"/>
    </row>
    <row r="2599">
      <c r="A2599" s="16"/>
      <c r="B2599" s="16"/>
      <c r="C2599" s="146"/>
      <c r="D2599" s="146"/>
      <c r="E2599" s="16"/>
      <c r="F2599" s="91"/>
      <c r="G2599" s="16"/>
      <c r="H2599" s="320" t="str">
        <f t="shared" si="33"/>
        <v/>
      </c>
      <c r="I2599" s="16"/>
      <c r="J2599" s="16"/>
      <c r="K2599" s="16"/>
      <c r="L2599" s="16"/>
      <c r="M2599" s="15"/>
      <c r="N2599" s="15"/>
      <c r="O2599" s="16"/>
      <c r="P2599" s="16"/>
      <c r="Q2599" s="16"/>
      <c r="R2599" s="16"/>
      <c r="S2599" s="37" t="str">
        <f>IFERROR(__xludf.DUMMYFUNCTION("if(not(iserror(index(split(C2599, "" ""),2))), index(split(C2599, "" ""),1),"""")"),"")</f>
        <v/>
      </c>
      <c r="T2599" s="315" t="str">
        <f>IFERROR(__xludf.DUMMYFUNCTION("if(S2599="""",C2599,if(not(iserror(index(split(C2599, "" ""),3))), index(split(C2599, "" ""),3),index(split(C2599, "" ""),2)))"),"")</f>
        <v/>
      </c>
      <c r="U2599" s="38" t="b">
        <f t="shared" si="34"/>
        <v>0</v>
      </c>
      <c r="V2599" s="38"/>
      <c r="W2599" s="40"/>
      <c r="X2599" s="40"/>
      <c r="Y2599" s="38"/>
      <c r="Z2599" s="38"/>
      <c r="AA2599" s="38"/>
      <c r="AB2599" s="38"/>
      <c r="AC2599" s="38"/>
      <c r="AD2599" s="38"/>
      <c r="AE2599" s="38"/>
      <c r="AF2599" s="38"/>
      <c r="AG2599" s="38"/>
      <c r="AH2599" s="38"/>
      <c r="AI2599" s="38"/>
      <c r="AJ2599" s="38"/>
      <c r="AK2599" s="38"/>
      <c r="AL2599" s="38"/>
      <c r="AM2599" s="38"/>
      <c r="AN2599" s="38"/>
      <c r="AO2599" s="38"/>
      <c r="AP2599" s="38"/>
      <c r="AQ2599" s="38"/>
      <c r="AR2599" s="38"/>
      <c r="AS2599" s="38"/>
      <c r="AT2599" s="38"/>
      <c r="AU2599" s="38"/>
      <c r="AV2599" s="38"/>
      <c r="AW2599" s="38"/>
      <c r="AX2599" s="38"/>
      <c r="AY2599" s="38"/>
      <c r="AZ2599" s="38"/>
      <c r="BA2599" s="38"/>
      <c r="BB2599" s="38"/>
      <c r="BC2599" s="38"/>
      <c r="BD2599" s="38"/>
      <c r="BE2599" s="38"/>
      <c r="BF2599" s="38"/>
      <c r="BG2599" s="38"/>
      <c r="BH2599" s="38"/>
      <c r="BI2599" s="38"/>
      <c r="BJ2599" s="38"/>
      <c r="BK2599" s="38"/>
      <c r="BL2599" s="38"/>
      <c r="BM2599" s="38"/>
      <c r="BN2599" s="38"/>
      <c r="BO2599" s="38"/>
      <c r="BP2599" s="38"/>
      <c r="BQ2599" s="38"/>
    </row>
    <row r="2600">
      <c r="A2600" s="16"/>
      <c r="B2600" s="16"/>
      <c r="C2600" s="146"/>
      <c r="D2600" s="146"/>
      <c r="E2600" s="16"/>
      <c r="F2600" s="91"/>
      <c r="G2600" s="16"/>
      <c r="H2600" s="320" t="str">
        <f t="shared" si="33"/>
        <v/>
      </c>
      <c r="I2600" s="16"/>
      <c r="J2600" s="16"/>
      <c r="K2600" s="16"/>
      <c r="L2600" s="16"/>
      <c r="M2600" s="15"/>
      <c r="N2600" s="15"/>
      <c r="O2600" s="16"/>
      <c r="P2600" s="16"/>
      <c r="Q2600" s="16"/>
      <c r="R2600" s="16"/>
      <c r="S2600" s="37" t="str">
        <f>IFERROR(__xludf.DUMMYFUNCTION("if(not(iserror(index(split(C2600, "" ""),2))), index(split(C2600, "" ""),1),"""")"),"")</f>
        <v/>
      </c>
      <c r="T2600" s="315" t="str">
        <f>IFERROR(__xludf.DUMMYFUNCTION("if(S2600="""",C2600,if(not(iserror(index(split(C2600, "" ""),3))), index(split(C2600, "" ""),3),index(split(C2600, "" ""),2)))"),"")</f>
        <v/>
      </c>
      <c r="U2600" s="38" t="b">
        <f t="shared" si="34"/>
        <v>0</v>
      </c>
      <c r="V2600" s="38"/>
      <c r="W2600" s="40"/>
      <c r="X2600" s="40"/>
      <c r="Y2600" s="38"/>
      <c r="Z2600" s="38"/>
      <c r="AA2600" s="38"/>
      <c r="AB2600" s="38"/>
      <c r="AC2600" s="38"/>
      <c r="AD2600" s="38"/>
      <c r="AE2600" s="38"/>
      <c r="AF2600" s="38"/>
      <c r="AG2600" s="38"/>
      <c r="AH2600" s="38"/>
      <c r="AI2600" s="38"/>
      <c r="AJ2600" s="38"/>
      <c r="AK2600" s="38"/>
      <c r="AL2600" s="38"/>
      <c r="AM2600" s="38"/>
      <c r="AN2600" s="38"/>
      <c r="AO2600" s="38"/>
      <c r="AP2600" s="38"/>
      <c r="AQ2600" s="38"/>
      <c r="AR2600" s="38"/>
      <c r="AS2600" s="38"/>
      <c r="AT2600" s="38"/>
      <c r="AU2600" s="38"/>
      <c r="AV2600" s="38"/>
      <c r="AW2600" s="38"/>
      <c r="AX2600" s="38"/>
      <c r="AY2600" s="38"/>
      <c r="AZ2600" s="38"/>
      <c r="BA2600" s="38"/>
      <c r="BB2600" s="38"/>
      <c r="BC2600" s="38"/>
      <c r="BD2600" s="38"/>
      <c r="BE2600" s="38"/>
      <c r="BF2600" s="38"/>
      <c r="BG2600" s="38"/>
      <c r="BH2600" s="38"/>
      <c r="BI2600" s="38"/>
      <c r="BJ2600" s="38"/>
      <c r="BK2600" s="38"/>
      <c r="BL2600" s="38"/>
      <c r="BM2600" s="38"/>
      <c r="BN2600" s="38"/>
      <c r="BO2600" s="38"/>
      <c r="BP2600" s="38"/>
      <c r="BQ2600" s="38"/>
    </row>
    <row r="2601">
      <c r="A2601" s="16"/>
      <c r="B2601" s="16"/>
      <c r="C2601" s="146"/>
      <c r="D2601" s="146"/>
      <c r="E2601" s="16"/>
      <c r="F2601" s="91"/>
      <c r="G2601" s="16"/>
      <c r="H2601" s="320" t="str">
        <f t="shared" si="33"/>
        <v/>
      </c>
      <c r="I2601" s="16"/>
      <c r="J2601" s="16"/>
      <c r="K2601" s="16"/>
      <c r="L2601" s="16"/>
      <c r="M2601" s="15"/>
      <c r="N2601" s="15"/>
      <c r="O2601" s="16"/>
      <c r="P2601" s="16"/>
      <c r="Q2601" s="16"/>
      <c r="R2601" s="16"/>
      <c r="S2601" s="37" t="str">
        <f>IFERROR(__xludf.DUMMYFUNCTION("if(not(iserror(index(split(C2601, "" ""),2))), index(split(C2601, "" ""),1),"""")"),"")</f>
        <v/>
      </c>
      <c r="T2601" s="315" t="str">
        <f>IFERROR(__xludf.DUMMYFUNCTION("if(S2601="""",C2601,if(not(iserror(index(split(C2601, "" ""),3))), index(split(C2601, "" ""),3),index(split(C2601, "" ""),2)))"),"")</f>
        <v/>
      </c>
      <c r="U2601" s="38" t="b">
        <f t="shared" si="34"/>
        <v>0</v>
      </c>
      <c r="V2601" s="38"/>
      <c r="W2601" s="40"/>
      <c r="X2601" s="40"/>
      <c r="Y2601" s="38"/>
      <c r="Z2601" s="38"/>
      <c r="AA2601" s="38"/>
      <c r="AB2601" s="38"/>
      <c r="AC2601" s="38"/>
      <c r="AD2601" s="38"/>
      <c r="AE2601" s="38"/>
      <c r="AF2601" s="38"/>
      <c r="AG2601" s="38"/>
      <c r="AH2601" s="38"/>
      <c r="AI2601" s="38"/>
      <c r="AJ2601" s="38"/>
      <c r="AK2601" s="38"/>
      <c r="AL2601" s="38"/>
      <c r="AM2601" s="38"/>
      <c r="AN2601" s="38"/>
      <c r="AO2601" s="38"/>
      <c r="AP2601" s="38"/>
      <c r="AQ2601" s="38"/>
      <c r="AR2601" s="38"/>
      <c r="AS2601" s="38"/>
      <c r="AT2601" s="38"/>
      <c r="AU2601" s="38"/>
      <c r="AV2601" s="38"/>
      <c r="AW2601" s="38"/>
      <c r="AX2601" s="38"/>
      <c r="AY2601" s="38"/>
      <c r="AZ2601" s="38"/>
      <c r="BA2601" s="38"/>
      <c r="BB2601" s="38"/>
      <c r="BC2601" s="38"/>
      <c r="BD2601" s="38"/>
      <c r="BE2601" s="38"/>
      <c r="BF2601" s="38"/>
      <c r="BG2601" s="38"/>
      <c r="BH2601" s="38"/>
      <c r="BI2601" s="38"/>
      <c r="BJ2601" s="38"/>
      <c r="BK2601" s="38"/>
      <c r="BL2601" s="38"/>
      <c r="BM2601" s="38"/>
      <c r="BN2601" s="38"/>
      <c r="BO2601" s="38"/>
      <c r="BP2601" s="38"/>
      <c r="BQ2601" s="38"/>
    </row>
    <row r="2602">
      <c r="A2602" s="16"/>
      <c r="B2602" s="16"/>
      <c r="C2602" s="146"/>
      <c r="D2602" s="146"/>
      <c r="E2602" s="16"/>
      <c r="F2602" s="91"/>
      <c r="G2602" s="16"/>
      <c r="H2602" s="320" t="str">
        <f t="shared" si="33"/>
        <v/>
      </c>
      <c r="I2602" s="16"/>
      <c r="J2602" s="16"/>
      <c r="K2602" s="16"/>
      <c r="L2602" s="16"/>
      <c r="M2602" s="15"/>
      <c r="N2602" s="15"/>
      <c r="O2602" s="16"/>
      <c r="P2602" s="16"/>
      <c r="Q2602" s="16"/>
      <c r="R2602" s="16"/>
      <c r="S2602" s="37" t="str">
        <f>IFERROR(__xludf.DUMMYFUNCTION("if(not(iserror(index(split(C2602, "" ""),2))), index(split(C2602, "" ""),1),"""")"),"")</f>
        <v/>
      </c>
      <c r="T2602" s="315" t="str">
        <f>IFERROR(__xludf.DUMMYFUNCTION("if(S2602="""",C2602,if(not(iserror(index(split(C2602, "" ""),3))), index(split(C2602, "" ""),3),index(split(C2602, "" ""),2)))"),"")</f>
        <v/>
      </c>
      <c r="U2602" s="38" t="b">
        <f t="shared" si="34"/>
        <v>0</v>
      </c>
      <c r="V2602" s="38"/>
      <c r="W2602" s="40"/>
      <c r="X2602" s="40"/>
      <c r="Y2602" s="38"/>
      <c r="Z2602" s="38"/>
      <c r="AA2602" s="38"/>
      <c r="AB2602" s="38"/>
      <c r="AC2602" s="38"/>
      <c r="AD2602" s="38"/>
      <c r="AE2602" s="38"/>
      <c r="AF2602" s="38"/>
      <c r="AG2602" s="38"/>
      <c r="AH2602" s="38"/>
      <c r="AI2602" s="38"/>
      <c r="AJ2602" s="38"/>
      <c r="AK2602" s="38"/>
      <c r="AL2602" s="38"/>
      <c r="AM2602" s="38"/>
      <c r="AN2602" s="38"/>
      <c r="AO2602" s="38"/>
      <c r="AP2602" s="38"/>
      <c r="AQ2602" s="38"/>
      <c r="AR2602" s="38"/>
      <c r="AS2602" s="38"/>
      <c r="AT2602" s="38"/>
      <c r="AU2602" s="38"/>
      <c r="AV2602" s="38"/>
      <c r="AW2602" s="38"/>
      <c r="AX2602" s="38"/>
      <c r="AY2602" s="38"/>
      <c r="AZ2602" s="38"/>
      <c r="BA2602" s="38"/>
      <c r="BB2602" s="38"/>
      <c r="BC2602" s="38"/>
      <c r="BD2602" s="38"/>
      <c r="BE2602" s="38"/>
      <c r="BF2602" s="38"/>
      <c r="BG2602" s="38"/>
      <c r="BH2602" s="38"/>
      <c r="BI2602" s="38"/>
      <c r="BJ2602" s="38"/>
      <c r="BK2602" s="38"/>
      <c r="BL2602" s="38"/>
      <c r="BM2602" s="38"/>
      <c r="BN2602" s="38"/>
      <c r="BO2602" s="38"/>
      <c r="BP2602" s="38"/>
      <c r="BQ2602" s="38"/>
    </row>
    <row r="2603">
      <c r="A2603" s="16"/>
      <c r="B2603" s="16"/>
      <c r="C2603" s="146"/>
      <c r="D2603" s="146"/>
      <c r="E2603" s="16"/>
      <c r="F2603" s="91"/>
      <c r="G2603" s="16"/>
      <c r="H2603" s="320" t="str">
        <f t="shared" si="33"/>
        <v/>
      </c>
      <c r="I2603" s="16"/>
      <c r="J2603" s="16"/>
      <c r="K2603" s="16"/>
      <c r="L2603" s="16"/>
      <c r="M2603" s="15"/>
      <c r="N2603" s="15"/>
      <c r="O2603" s="16"/>
      <c r="P2603" s="16"/>
      <c r="Q2603" s="16"/>
      <c r="R2603" s="16"/>
      <c r="S2603" s="37" t="str">
        <f>IFERROR(__xludf.DUMMYFUNCTION("if(not(iserror(index(split(C2603, "" ""),2))), index(split(C2603, "" ""),1),"""")"),"")</f>
        <v/>
      </c>
      <c r="T2603" s="315" t="str">
        <f>IFERROR(__xludf.DUMMYFUNCTION("if(S2603="""",C2603,if(not(iserror(index(split(C2603, "" ""),3))), index(split(C2603, "" ""),3),index(split(C2603, "" ""),2)))"),"")</f>
        <v/>
      </c>
      <c r="U2603" s="38" t="b">
        <f t="shared" si="34"/>
        <v>0</v>
      </c>
      <c r="V2603" s="38"/>
      <c r="W2603" s="40"/>
      <c r="X2603" s="40"/>
      <c r="Y2603" s="38"/>
      <c r="Z2603" s="38"/>
      <c r="AA2603" s="38"/>
      <c r="AB2603" s="38"/>
      <c r="AC2603" s="38"/>
      <c r="AD2603" s="38"/>
      <c r="AE2603" s="38"/>
      <c r="AF2603" s="38"/>
      <c r="AG2603" s="38"/>
      <c r="AH2603" s="38"/>
      <c r="AI2603" s="38"/>
      <c r="AJ2603" s="38"/>
      <c r="AK2603" s="38"/>
      <c r="AL2603" s="38"/>
      <c r="AM2603" s="38"/>
      <c r="AN2603" s="38"/>
      <c r="AO2603" s="38"/>
      <c r="AP2603" s="38"/>
      <c r="AQ2603" s="38"/>
      <c r="AR2603" s="38"/>
      <c r="AS2603" s="38"/>
      <c r="AT2603" s="38"/>
      <c r="AU2603" s="38"/>
      <c r="AV2603" s="38"/>
      <c r="AW2603" s="38"/>
      <c r="AX2603" s="38"/>
      <c r="AY2603" s="38"/>
      <c r="AZ2603" s="38"/>
      <c r="BA2603" s="38"/>
      <c r="BB2603" s="38"/>
      <c r="BC2603" s="38"/>
      <c r="BD2603" s="38"/>
      <c r="BE2603" s="38"/>
      <c r="BF2603" s="38"/>
      <c r="BG2603" s="38"/>
      <c r="BH2603" s="38"/>
      <c r="BI2603" s="38"/>
      <c r="BJ2603" s="38"/>
      <c r="BK2603" s="38"/>
      <c r="BL2603" s="38"/>
      <c r="BM2603" s="38"/>
      <c r="BN2603" s="38"/>
      <c r="BO2603" s="38"/>
      <c r="BP2603" s="38"/>
      <c r="BQ2603" s="38"/>
    </row>
    <row r="2604">
      <c r="A2604" s="16"/>
      <c r="B2604" s="16"/>
      <c r="C2604" s="146"/>
      <c r="D2604" s="146"/>
      <c r="E2604" s="16"/>
      <c r="F2604" s="91"/>
      <c r="G2604" s="16"/>
      <c r="H2604" s="320" t="str">
        <f t="shared" si="33"/>
        <v/>
      </c>
      <c r="I2604" s="16"/>
      <c r="J2604" s="16"/>
      <c r="K2604" s="16"/>
      <c r="L2604" s="16"/>
      <c r="M2604" s="15"/>
      <c r="N2604" s="15"/>
      <c r="O2604" s="16"/>
      <c r="P2604" s="16"/>
      <c r="Q2604" s="16"/>
      <c r="R2604" s="16"/>
      <c r="S2604" s="37" t="str">
        <f>IFERROR(__xludf.DUMMYFUNCTION("if(not(iserror(index(split(C2604, "" ""),2))), index(split(C2604, "" ""),1),"""")"),"")</f>
        <v/>
      </c>
      <c r="T2604" s="315" t="str">
        <f>IFERROR(__xludf.DUMMYFUNCTION("if(S2604="""",C2604,if(not(iserror(index(split(C2604, "" ""),3))), index(split(C2604, "" ""),3),index(split(C2604, "" ""),2)))"),"")</f>
        <v/>
      </c>
      <c r="U2604" s="38" t="b">
        <f t="shared" si="34"/>
        <v>0</v>
      </c>
      <c r="V2604" s="38"/>
      <c r="W2604" s="40"/>
      <c r="X2604" s="40"/>
      <c r="Y2604" s="38"/>
      <c r="Z2604" s="38"/>
      <c r="AA2604" s="38"/>
      <c r="AB2604" s="38"/>
      <c r="AC2604" s="38"/>
      <c r="AD2604" s="38"/>
      <c r="AE2604" s="38"/>
      <c r="AF2604" s="38"/>
      <c r="AG2604" s="38"/>
      <c r="AH2604" s="38"/>
      <c r="AI2604" s="38"/>
      <c r="AJ2604" s="38"/>
      <c r="AK2604" s="38"/>
      <c r="AL2604" s="38"/>
      <c r="AM2604" s="38"/>
      <c r="AN2604" s="38"/>
      <c r="AO2604" s="38"/>
      <c r="AP2604" s="38"/>
      <c r="AQ2604" s="38"/>
      <c r="AR2604" s="38"/>
      <c r="AS2604" s="38"/>
      <c r="AT2604" s="38"/>
      <c r="AU2604" s="38"/>
      <c r="AV2604" s="38"/>
      <c r="AW2604" s="38"/>
      <c r="AX2604" s="38"/>
      <c r="AY2604" s="38"/>
      <c r="AZ2604" s="38"/>
      <c r="BA2604" s="38"/>
      <c r="BB2604" s="38"/>
      <c r="BC2604" s="38"/>
      <c r="BD2604" s="38"/>
      <c r="BE2604" s="38"/>
      <c r="BF2604" s="38"/>
      <c r="BG2604" s="38"/>
      <c r="BH2604" s="38"/>
      <c r="BI2604" s="38"/>
      <c r="BJ2604" s="38"/>
      <c r="BK2604" s="38"/>
      <c r="BL2604" s="38"/>
      <c r="BM2604" s="38"/>
      <c r="BN2604" s="38"/>
      <c r="BO2604" s="38"/>
      <c r="BP2604" s="38"/>
      <c r="BQ2604" s="38"/>
    </row>
    <row r="2605">
      <c r="A2605" s="16"/>
      <c r="B2605" s="16"/>
      <c r="C2605" s="146"/>
      <c r="D2605" s="146"/>
      <c r="E2605" s="16"/>
      <c r="F2605" s="91"/>
      <c r="G2605" s="16"/>
      <c r="H2605" s="320" t="str">
        <f t="shared" si="33"/>
        <v/>
      </c>
      <c r="I2605" s="16"/>
      <c r="J2605" s="16"/>
      <c r="K2605" s="16"/>
      <c r="L2605" s="16"/>
      <c r="M2605" s="15"/>
      <c r="N2605" s="15"/>
      <c r="O2605" s="16"/>
      <c r="P2605" s="16"/>
      <c r="Q2605" s="16"/>
      <c r="R2605" s="16"/>
      <c r="S2605" s="37" t="str">
        <f>IFERROR(__xludf.DUMMYFUNCTION("if(not(iserror(index(split(C2605, "" ""),2))), index(split(C2605, "" ""),1),"""")"),"")</f>
        <v/>
      </c>
      <c r="T2605" s="315" t="str">
        <f>IFERROR(__xludf.DUMMYFUNCTION("if(S2605="""",C2605,if(not(iserror(index(split(C2605, "" ""),3))), index(split(C2605, "" ""),3),index(split(C2605, "" ""),2)))"),"")</f>
        <v/>
      </c>
      <c r="U2605" s="38" t="b">
        <f t="shared" si="34"/>
        <v>0</v>
      </c>
      <c r="V2605" s="38"/>
      <c r="W2605" s="40"/>
      <c r="X2605" s="40"/>
      <c r="Y2605" s="38"/>
      <c r="Z2605" s="38"/>
      <c r="AA2605" s="38"/>
      <c r="AB2605" s="38"/>
      <c r="AC2605" s="38"/>
      <c r="AD2605" s="38"/>
      <c r="AE2605" s="38"/>
      <c r="AF2605" s="38"/>
      <c r="AG2605" s="38"/>
      <c r="AH2605" s="38"/>
      <c r="AI2605" s="38"/>
      <c r="AJ2605" s="38"/>
      <c r="AK2605" s="38"/>
      <c r="AL2605" s="38"/>
      <c r="AM2605" s="38"/>
      <c r="AN2605" s="38"/>
      <c r="AO2605" s="38"/>
      <c r="AP2605" s="38"/>
      <c r="AQ2605" s="38"/>
      <c r="AR2605" s="38"/>
      <c r="AS2605" s="38"/>
      <c r="AT2605" s="38"/>
      <c r="AU2605" s="38"/>
      <c r="AV2605" s="38"/>
      <c r="AW2605" s="38"/>
      <c r="AX2605" s="38"/>
      <c r="AY2605" s="38"/>
      <c r="AZ2605" s="38"/>
      <c r="BA2605" s="38"/>
      <c r="BB2605" s="38"/>
      <c r="BC2605" s="38"/>
      <c r="BD2605" s="38"/>
      <c r="BE2605" s="38"/>
      <c r="BF2605" s="38"/>
      <c r="BG2605" s="38"/>
      <c r="BH2605" s="38"/>
      <c r="BI2605" s="38"/>
      <c r="BJ2605" s="38"/>
      <c r="BK2605" s="38"/>
      <c r="BL2605" s="38"/>
      <c r="BM2605" s="38"/>
      <c r="BN2605" s="38"/>
      <c r="BO2605" s="38"/>
      <c r="BP2605" s="38"/>
      <c r="BQ2605" s="38"/>
    </row>
    <row r="2606">
      <c r="A2606" s="16"/>
      <c r="B2606" s="16"/>
      <c r="C2606" s="146"/>
      <c r="D2606" s="146"/>
      <c r="E2606" s="16"/>
      <c r="F2606" s="91"/>
      <c r="G2606" s="16"/>
      <c r="H2606" s="320" t="str">
        <f t="shared" si="33"/>
        <v/>
      </c>
      <c r="I2606" s="16"/>
      <c r="J2606" s="16"/>
      <c r="K2606" s="16"/>
      <c r="L2606" s="16"/>
      <c r="M2606" s="15"/>
      <c r="N2606" s="15"/>
      <c r="O2606" s="16"/>
      <c r="P2606" s="16"/>
      <c r="Q2606" s="16"/>
      <c r="R2606" s="16"/>
      <c r="S2606" s="37" t="str">
        <f>IFERROR(__xludf.DUMMYFUNCTION("if(not(iserror(index(split(C2606, "" ""),2))), index(split(C2606, "" ""),1),"""")"),"")</f>
        <v/>
      </c>
      <c r="T2606" s="315" t="str">
        <f>IFERROR(__xludf.DUMMYFUNCTION("if(S2606="""",C2606,if(not(iserror(index(split(C2606, "" ""),3))), index(split(C2606, "" ""),3),index(split(C2606, "" ""),2)))"),"")</f>
        <v/>
      </c>
      <c r="U2606" s="38" t="b">
        <f t="shared" si="34"/>
        <v>0</v>
      </c>
      <c r="V2606" s="38"/>
      <c r="W2606" s="40"/>
      <c r="X2606" s="40"/>
      <c r="Y2606" s="38"/>
      <c r="Z2606" s="38"/>
      <c r="AA2606" s="38"/>
      <c r="AB2606" s="38"/>
      <c r="AC2606" s="38"/>
      <c r="AD2606" s="38"/>
      <c r="AE2606" s="38"/>
      <c r="AF2606" s="38"/>
      <c r="AG2606" s="38"/>
      <c r="AH2606" s="38"/>
      <c r="AI2606" s="38"/>
      <c r="AJ2606" s="38"/>
      <c r="AK2606" s="38"/>
      <c r="AL2606" s="38"/>
      <c r="AM2606" s="38"/>
      <c r="AN2606" s="38"/>
      <c r="AO2606" s="38"/>
      <c r="AP2606" s="38"/>
      <c r="AQ2606" s="38"/>
      <c r="AR2606" s="38"/>
      <c r="AS2606" s="38"/>
      <c r="AT2606" s="38"/>
      <c r="AU2606" s="38"/>
      <c r="AV2606" s="38"/>
      <c r="AW2606" s="38"/>
      <c r="AX2606" s="38"/>
      <c r="AY2606" s="38"/>
      <c r="AZ2606" s="38"/>
      <c r="BA2606" s="38"/>
      <c r="BB2606" s="38"/>
      <c r="BC2606" s="38"/>
      <c r="BD2606" s="38"/>
      <c r="BE2606" s="38"/>
      <c r="BF2606" s="38"/>
      <c r="BG2606" s="38"/>
      <c r="BH2606" s="38"/>
      <c r="BI2606" s="38"/>
      <c r="BJ2606" s="38"/>
      <c r="BK2606" s="38"/>
      <c r="BL2606" s="38"/>
      <c r="BM2606" s="38"/>
      <c r="BN2606" s="38"/>
      <c r="BO2606" s="38"/>
      <c r="BP2606" s="38"/>
      <c r="BQ2606" s="38"/>
    </row>
    <row r="2607">
      <c r="A2607" s="16"/>
      <c r="B2607" s="16"/>
      <c r="C2607" s="146"/>
      <c r="D2607" s="146"/>
      <c r="E2607" s="16"/>
      <c r="F2607" s="91"/>
      <c r="G2607" s="16"/>
      <c r="H2607" s="320" t="str">
        <f t="shared" si="33"/>
        <v/>
      </c>
      <c r="I2607" s="16"/>
      <c r="J2607" s="16"/>
      <c r="K2607" s="16"/>
      <c r="L2607" s="16"/>
      <c r="M2607" s="15"/>
      <c r="N2607" s="15"/>
      <c r="O2607" s="16"/>
      <c r="P2607" s="16"/>
      <c r="Q2607" s="16"/>
      <c r="R2607" s="16"/>
      <c r="S2607" s="37" t="str">
        <f>IFERROR(__xludf.DUMMYFUNCTION("if(not(iserror(index(split(C2607, "" ""),2))), index(split(C2607, "" ""),1),"""")"),"")</f>
        <v/>
      </c>
      <c r="T2607" s="315" t="str">
        <f>IFERROR(__xludf.DUMMYFUNCTION("if(S2607="""",C2607,if(not(iserror(index(split(C2607, "" ""),3))), index(split(C2607, "" ""),3),index(split(C2607, "" ""),2)))"),"")</f>
        <v/>
      </c>
      <c r="U2607" s="38" t="b">
        <f t="shared" si="34"/>
        <v>0</v>
      </c>
      <c r="V2607" s="38"/>
      <c r="W2607" s="40"/>
      <c r="X2607" s="40"/>
      <c r="Y2607" s="38"/>
      <c r="Z2607" s="38"/>
      <c r="AA2607" s="38"/>
      <c r="AB2607" s="38"/>
      <c r="AC2607" s="38"/>
      <c r="AD2607" s="38"/>
      <c r="AE2607" s="38"/>
      <c r="AF2607" s="38"/>
      <c r="AG2607" s="38"/>
      <c r="AH2607" s="38"/>
      <c r="AI2607" s="38"/>
      <c r="AJ2607" s="38"/>
      <c r="AK2607" s="38"/>
      <c r="AL2607" s="38"/>
      <c r="AM2607" s="38"/>
      <c r="AN2607" s="38"/>
      <c r="AO2607" s="38"/>
      <c r="AP2607" s="38"/>
      <c r="AQ2607" s="38"/>
      <c r="AR2607" s="38"/>
      <c r="AS2607" s="38"/>
      <c r="AT2607" s="38"/>
      <c r="AU2607" s="38"/>
      <c r="AV2607" s="38"/>
      <c r="AW2607" s="38"/>
      <c r="AX2607" s="38"/>
      <c r="AY2607" s="38"/>
      <c r="AZ2607" s="38"/>
      <c r="BA2607" s="38"/>
      <c r="BB2607" s="38"/>
      <c r="BC2607" s="38"/>
      <c r="BD2607" s="38"/>
      <c r="BE2607" s="38"/>
      <c r="BF2607" s="38"/>
      <c r="BG2607" s="38"/>
      <c r="BH2607" s="38"/>
      <c r="BI2607" s="38"/>
      <c r="BJ2607" s="38"/>
      <c r="BK2607" s="38"/>
      <c r="BL2607" s="38"/>
      <c r="BM2607" s="38"/>
      <c r="BN2607" s="38"/>
      <c r="BO2607" s="38"/>
      <c r="BP2607" s="38"/>
      <c r="BQ2607" s="38"/>
    </row>
    <row r="2608">
      <c r="A2608" s="16"/>
      <c r="B2608" s="16"/>
      <c r="C2608" s="146"/>
      <c r="D2608" s="146"/>
      <c r="E2608" s="16"/>
      <c r="F2608" s="91"/>
      <c r="G2608" s="16"/>
      <c r="H2608" s="320" t="str">
        <f t="shared" si="33"/>
        <v/>
      </c>
      <c r="I2608" s="16"/>
      <c r="J2608" s="16"/>
      <c r="K2608" s="16"/>
      <c r="L2608" s="16"/>
      <c r="M2608" s="15"/>
      <c r="N2608" s="15"/>
      <c r="O2608" s="16"/>
      <c r="P2608" s="16"/>
      <c r="Q2608" s="16"/>
      <c r="R2608" s="16"/>
      <c r="S2608" s="37" t="str">
        <f>IFERROR(__xludf.DUMMYFUNCTION("if(not(iserror(index(split(C2608, "" ""),2))), index(split(C2608, "" ""),1),"""")"),"")</f>
        <v/>
      </c>
      <c r="T2608" s="315" t="str">
        <f>IFERROR(__xludf.DUMMYFUNCTION("if(S2608="""",C2608,if(not(iserror(index(split(C2608, "" ""),3))), index(split(C2608, "" ""),3),index(split(C2608, "" ""),2)))"),"")</f>
        <v/>
      </c>
      <c r="U2608" s="38" t="b">
        <f t="shared" si="34"/>
        <v>0</v>
      </c>
      <c r="V2608" s="38"/>
      <c r="W2608" s="40"/>
      <c r="X2608" s="40"/>
      <c r="Y2608" s="38"/>
      <c r="Z2608" s="38"/>
      <c r="AA2608" s="38"/>
      <c r="AB2608" s="38"/>
      <c r="AC2608" s="38"/>
      <c r="AD2608" s="38"/>
      <c r="AE2608" s="38"/>
      <c r="AF2608" s="38"/>
      <c r="AG2608" s="38"/>
      <c r="AH2608" s="38"/>
      <c r="AI2608" s="38"/>
      <c r="AJ2608" s="38"/>
      <c r="AK2608" s="38"/>
      <c r="AL2608" s="38"/>
      <c r="AM2608" s="38"/>
      <c r="AN2608" s="38"/>
      <c r="AO2608" s="38"/>
      <c r="AP2608" s="38"/>
      <c r="AQ2608" s="38"/>
      <c r="AR2608" s="38"/>
      <c r="AS2608" s="38"/>
      <c r="AT2608" s="38"/>
      <c r="AU2608" s="38"/>
      <c r="AV2608" s="38"/>
      <c r="AW2608" s="38"/>
      <c r="AX2608" s="38"/>
      <c r="AY2608" s="38"/>
      <c r="AZ2608" s="38"/>
      <c r="BA2608" s="38"/>
      <c r="BB2608" s="38"/>
      <c r="BC2608" s="38"/>
      <c r="BD2608" s="38"/>
      <c r="BE2608" s="38"/>
      <c r="BF2608" s="38"/>
      <c r="BG2608" s="38"/>
      <c r="BH2608" s="38"/>
      <c r="BI2608" s="38"/>
      <c r="BJ2608" s="38"/>
      <c r="BK2608" s="38"/>
      <c r="BL2608" s="38"/>
      <c r="BM2608" s="38"/>
      <c r="BN2608" s="38"/>
      <c r="BO2608" s="38"/>
      <c r="BP2608" s="38"/>
      <c r="BQ2608" s="38"/>
    </row>
    <row r="2609">
      <c r="A2609" s="16"/>
      <c r="B2609" s="16"/>
      <c r="C2609" s="146"/>
      <c r="D2609" s="146"/>
      <c r="E2609" s="16"/>
      <c r="F2609" s="91"/>
      <c r="G2609" s="16"/>
      <c r="H2609" s="320" t="str">
        <f t="shared" si="33"/>
        <v/>
      </c>
      <c r="I2609" s="16"/>
      <c r="J2609" s="16"/>
      <c r="K2609" s="16"/>
      <c r="L2609" s="16"/>
      <c r="M2609" s="15"/>
      <c r="N2609" s="15"/>
      <c r="O2609" s="16"/>
      <c r="P2609" s="16"/>
      <c r="Q2609" s="16"/>
      <c r="R2609" s="16"/>
      <c r="S2609" s="37" t="str">
        <f>IFERROR(__xludf.DUMMYFUNCTION("if(not(iserror(index(split(C2609, "" ""),2))), index(split(C2609, "" ""),1),"""")"),"")</f>
        <v/>
      </c>
      <c r="T2609" s="315" t="str">
        <f>IFERROR(__xludf.DUMMYFUNCTION("if(S2609="""",C2609,if(not(iserror(index(split(C2609, "" ""),3))), index(split(C2609, "" ""),3),index(split(C2609, "" ""),2)))"),"")</f>
        <v/>
      </c>
      <c r="U2609" s="38" t="b">
        <f t="shared" si="34"/>
        <v>0</v>
      </c>
      <c r="V2609" s="38"/>
      <c r="W2609" s="40"/>
      <c r="X2609" s="40"/>
      <c r="Y2609" s="38"/>
      <c r="Z2609" s="38"/>
      <c r="AA2609" s="38"/>
      <c r="AB2609" s="38"/>
      <c r="AC2609" s="38"/>
      <c r="AD2609" s="38"/>
      <c r="AE2609" s="38"/>
      <c r="AF2609" s="38"/>
      <c r="AG2609" s="38"/>
      <c r="AH2609" s="38"/>
      <c r="AI2609" s="38"/>
      <c r="AJ2609" s="38"/>
      <c r="AK2609" s="38"/>
      <c r="AL2609" s="38"/>
      <c r="AM2609" s="38"/>
      <c r="AN2609" s="38"/>
      <c r="AO2609" s="38"/>
      <c r="AP2609" s="38"/>
      <c r="AQ2609" s="38"/>
      <c r="AR2609" s="38"/>
      <c r="AS2609" s="38"/>
      <c r="AT2609" s="38"/>
      <c r="AU2609" s="38"/>
      <c r="AV2609" s="38"/>
      <c r="AW2609" s="38"/>
      <c r="AX2609" s="38"/>
      <c r="AY2609" s="38"/>
      <c r="AZ2609" s="38"/>
      <c r="BA2609" s="38"/>
      <c r="BB2609" s="38"/>
      <c r="BC2609" s="38"/>
      <c r="BD2609" s="38"/>
      <c r="BE2609" s="38"/>
      <c r="BF2609" s="38"/>
      <c r="BG2609" s="38"/>
      <c r="BH2609" s="38"/>
      <c r="BI2609" s="38"/>
      <c r="BJ2609" s="38"/>
      <c r="BK2609" s="38"/>
      <c r="BL2609" s="38"/>
      <c r="BM2609" s="38"/>
      <c r="BN2609" s="38"/>
      <c r="BO2609" s="38"/>
      <c r="BP2609" s="38"/>
      <c r="BQ2609" s="38"/>
    </row>
    <row r="2610">
      <c r="A2610" s="16"/>
      <c r="B2610" s="16"/>
      <c r="C2610" s="146"/>
      <c r="D2610" s="146"/>
      <c r="E2610" s="16"/>
      <c r="F2610" s="91"/>
      <c r="G2610" s="16"/>
      <c r="H2610" s="320" t="str">
        <f t="shared" si="33"/>
        <v/>
      </c>
      <c r="I2610" s="16"/>
      <c r="J2610" s="16"/>
      <c r="K2610" s="16"/>
      <c r="L2610" s="16"/>
      <c r="M2610" s="15"/>
      <c r="N2610" s="15"/>
      <c r="O2610" s="16"/>
      <c r="P2610" s="16"/>
      <c r="Q2610" s="16"/>
      <c r="R2610" s="16"/>
      <c r="S2610" s="37" t="str">
        <f>IFERROR(__xludf.DUMMYFUNCTION("if(not(iserror(index(split(C2610, "" ""),2))), index(split(C2610, "" ""),1),"""")"),"")</f>
        <v/>
      </c>
      <c r="T2610" s="315" t="str">
        <f>IFERROR(__xludf.DUMMYFUNCTION("if(S2610="""",C2610,if(not(iserror(index(split(C2610, "" ""),3))), index(split(C2610, "" ""),3),index(split(C2610, "" ""),2)))"),"")</f>
        <v/>
      </c>
      <c r="U2610" s="38" t="b">
        <f t="shared" si="34"/>
        <v>0</v>
      </c>
      <c r="V2610" s="38"/>
      <c r="W2610" s="40"/>
      <c r="X2610" s="40"/>
      <c r="Y2610" s="38"/>
      <c r="Z2610" s="38"/>
      <c r="AA2610" s="38"/>
      <c r="AB2610" s="38"/>
      <c r="AC2610" s="38"/>
      <c r="AD2610" s="38"/>
      <c r="AE2610" s="38"/>
      <c r="AF2610" s="38"/>
      <c r="AG2610" s="38"/>
      <c r="AH2610" s="38"/>
      <c r="AI2610" s="38"/>
      <c r="AJ2610" s="38"/>
      <c r="AK2610" s="38"/>
      <c r="AL2610" s="38"/>
      <c r="AM2610" s="38"/>
      <c r="AN2610" s="38"/>
      <c r="AO2610" s="38"/>
      <c r="AP2610" s="38"/>
      <c r="AQ2610" s="38"/>
      <c r="AR2610" s="38"/>
      <c r="AS2610" s="38"/>
      <c r="AT2610" s="38"/>
      <c r="AU2610" s="38"/>
      <c r="AV2610" s="38"/>
      <c r="AW2610" s="38"/>
      <c r="AX2610" s="38"/>
      <c r="AY2610" s="38"/>
      <c r="AZ2610" s="38"/>
      <c r="BA2610" s="38"/>
      <c r="BB2610" s="38"/>
      <c r="BC2610" s="38"/>
      <c r="BD2610" s="38"/>
      <c r="BE2610" s="38"/>
      <c r="BF2610" s="38"/>
      <c r="BG2610" s="38"/>
      <c r="BH2610" s="38"/>
      <c r="BI2610" s="38"/>
      <c r="BJ2610" s="38"/>
      <c r="BK2610" s="38"/>
      <c r="BL2610" s="38"/>
      <c r="BM2610" s="38"/>
      <c r="BN2610" s="38"/>
      <c r="BO2610" s="38"/>
      <c r="BP2610" s="38"/>
      <c r="BQ2610" s="38"/>
    </row>
    <row r="2611">
      <c r="A2611" s="16"/>
      <c r="B2611" s="16"/>
      <c r="C2611" s="146"/>
      <c r="D2611" s="146"/>
      <c r="E2611" s="16"/>
      <c r="F2611" s="91"/>
      <c r="G2611" s="16"/>
      <c r="H2611" s="320" t="str">
        <f t="shared" si="33"/>
        <v/>
      </c>
      <c r="I2611" s="16"/>
      <c r="J2611" s="16"/>
      <c r="K2611" s="16"/>
      <c r="L2611" s="16"/>
      <c r="M2611" s="15"/>
      <c r="N2611" s="15"/>
      <c r="O2611" s="16"/>
      <c r="P2611" s="16"/>
      <c r="Q2611" s="16"/>
      <c r="R2611" s="16"/>
      <c r="S2611" s="37" t="str">
        <f>IFERROR(__xludf.DUMMYFUNCTION("if(not(iserror(index(split(C2611, "" ""),2))), index(split(C2611, "" ""),1),"""")"),"")</f>
        <v/>
      </c>
      <c r="T2611" s="315" t="str">
        <f>IFERROR(__xludf.DUMMYFUNCTION("if(S2611="""",C2611,if(not(iserror(index(split(C2611, "" ""),3))), index(split(C2611, "" ""),3),index(split(C2611, "" ""),2)))"),"")</f>
        <v/>
      </c>
      <c r="U2611" s="38" t="b">
        <f t="shared" si="34"/>
        <v>0</v>
      </c>
      <c r="V2611" s="38"/>
      <c r="W2611" s="40"/>
      <c r="X2611" s="40"/>
      <c r="Y2611" s="38"/>
      <c r="Z2611" s="38"/>
      <c r="AA2611" s="38"/>
      <c r="AB2611" s="38"/>
      <c r="AC2611" s="38"/>
      <c r="AD2611" s="38"/>
      <c r="AE2611" s="38"/>
      <c r="AF2611" s="38"/>
      <c r="AG2611" s="38"/>
      <c r="AH2611" s="38"/>
      <c r="AI2611" s="38"/>
      <c r="AJ2611" s="38"/>
      <c r="AK2611" s="38"/>
      <c r="AL2611" s="38"/>
      <c r="AM2611" s="38"/>
      <c r="AN2611" s="38"/>
      <c r="AO2611" s="38"/>
      <c r="AP2611" s="38"/>
      <c r="AQ2611" s="38"/>
      <c r="AR2611" s="38"/>
      <c r="AS2611" s="38"/>
      <c r="AT2611" s="38"/>
      <c r="AU2611" s="38"/>
      <c r="AV2611" s="38"/>
      <c r="AW2611" s="38"/>
      <c r="AX2611" s="38"/>
      <c r="AY2611" s="38"/>
      <c r="AZ2611" s="38"/>
      <c r="BA2611" s="38"/>
      <c r="BB2611" s="38"/>
      <c r="BC2611" s="38"/>
      <c r="BD2611" s="38"/>
      <c r="BE2611" s="38"/>
      <c r="BF2611" s="38"/>
      <c r="BG2611" s="38"/>
      <c r="BH2611" s="38"/>
      <c r="BI2611" s="38"/>
      <c r="BJ2611" s="38"/>
      <c r="BK2611" s="38"/>
      <c r="BL2611" s="38"/>
      <c r="BM2611" s="38"/>
      <c r="BN2611" s="38"/>
      <c r="BO2611" s="38"/>
      <c r="BP2611" s="38"/>
      <c r="BQ2611" s="38"/>
    </row>
    <row r="2612">
      <c r="A2612" s="16"/>
      <c r="B2612" s="16"/>
      <c r="C2612" s="146"/>
      <c r="D2612" s="146"/>
      <c r="E2612" s="16"/>
      <c r="F2612" s="91"/>
      <c r="G2612" s="16"/>
      <c r="H2612" s="320" t="str">
        <f t="shared" si="33"/>
        <v/>
      </c>
      <c r="I2612" s="16"/>
      <c r="J2612" s="16"/>
      <c r="K2612" s="16"/>
      <c r="L2612" s="16"/>
      <c r="M2612" s="15"/>
      <c r="N2612" s="15"/>
      <c r="O2612" s="16"/>
      <c r="P2612" s="16"/>
      <c r="Q2612" s="16"/>
      <c r="R2612" s="16"/>
      <c r="S2612" s="37" t="str">
        <f>IFERROR(__xludf.DUMMYFUNCTION("if(not(iserror(index(split(C2612, "" ""),2))), index(split(C2612, "" ""),1),"""")"),"")</f>
        <v/>
      </c>
      <c r="T2612" s="315" t="str">
        <f>IFERROR(__xludf.DUMMYFUNCTION("if(S2612="""",C2612,if(not(iserror(index(split(C2612, "" ""),3))), index(split(C2612, "" ""),3),index(split(C2612, "" ""),2)))"),"")</f>
        <v/>
      </c>
      <c r="U2612" s="38" t="b">
        <f t="shared" si="34"/>
        <v>0</v>
      </c>
      <c r="V2612" s="38"/>
      <c r="W2612" s="40"/>
      <c r="X2612" s="40"/>
      <c r="Y2612" s="38"/>
      <c r="Z2612" s="38"/>
      <c r="AA2612" s="38"/>
      <c r="AB2612" s="38"/>
      <c r="AC2612" s="38"/>
      <c r="AD2612" s="38"/>
      <c r="AE2612" s="38"/>
      <c r="AF2612" s="38"/>
      <c r="AG2612" s="38"/>
      <c r="AH2612" s="38"/>
      <c r="AI2612" s="38"/>
      <c r="AJ2612" s="38"/>
      <c r="AK2612" s="38"/>
      <c r="AL2612" s="38"/>
      <c r="AM2612" s="38"/>
      <c r="AN2612" s="38"/>
      <c r="AO2612" s="38"/>
      <c r="AP2612" s="38"/>
      <c r="AQ2612" s="38"/>
      <c r="AR2612" s="38"/>
      <c r="AS2612" s="38"/>
      <c r="AT2612" s="38"/>
      <c r="AU2612" s="38"/>
      <c r="AV2612" s="38"/>
      <c r="AW2612" s="38"/>
      <c r="AX2612" s="38"/>
      <c r="AY2612" s="38"/>
      <c r="AZ2612" s="38"/>
      <c r="BA2612" s="38"/>
      <c r="BB2612" s="38"/>
      <c r="BC2612" s="38"/>
      <c r="BD2612" s="38"/>
      <c r="BE2612" s="38"/>
      <c r="BF2612" s="38"/>
      <c r="BG2612" s="38"/>
      <c r="BH2612" s="38"/>
      <c r="BI2612" s="38"/>
      <c r="BJ2612" s="38"/>
      <c r="BK2612" s="38"/>
      <c r="BL2612" s="38"/>
      <c r="BM2612" s="38"/>
      <c r="BN2612" s="38"/>
      <c r="BO2612" s="38"/>
      <c r="BP2612" s="38"/>
      <c r="BQ2612" s="38"/>
    </row>
    <row r="2613">
      <c r="A2613" s="16"/>
      <c r="B2613" s="16"/>
      <c r="C2613" s="146"/>
      <c r="D2613" s="146"/>
      <c r="E2613" s="16"/>
      <c r="F2613" s="91"/>
      <c r="G2613" s="16"/>
      <c r="H2613" s="320" t="str">
        <f t="shared" si="33"/>
        <v/>
      </c>
      <c r="I2613" s="16"/>
      <c r="J2613" s="16"/>
      <c r="K2613" s="16"/>
      <c r="L2613" s="16"/>
      <c r="M2613" s="15"/>
      <c r="N2613" s="15"/>
      <c r="O2613" s="16"/>
      <c r="P2613" s="16"/>
      <c r="Q2613" s="16"/>
      <c r="R2613" s="16"/>
      <c r="S2613" s="37" t="str">
        <f>IFERROR(__xludf.DUMMYFUNCTION("if(not(iserror(index(split(C2613, "" ""),2))), index(split(C2613, "" ""),1),"""")"),"")</f>
        <v/>
      </c>
      <c r="T2613" s="315" t="str">
        <f>IFERROR(__xludf.DUMMYFUNCTION("if(S2613="""",C2613,if(not(iserror(index(split(C2613, "" ""),3))), index(split(C2613, "" ""),3),index(split(C2613, "" ""),2)))"),"")</f>
        <v/>
      </c>
      <c r="U2613" s="38" t="b">
        <f t="shared" si="34"/>
        <v>0</v>
      </c>
      <c r="V2613" s="38"/>
      <c r="W2613" s="40"/>
      <c r="X2613" s="40"/>
      <c r="Y2613" s="38"/>
      <c r="Z2613" s="38"/>
      <c r="AA2613" s="38"/>
      <c r="AB2613" s="38"/>
      <c r="AC2613" s="38"/>
      <c r="AD2613" s="38"/>
      <c r="AE2613" s="38"/>
      <c r="AF2613" s="38"/>
      <c r="AG2613" s="38"/>
      <c r="AH2613" s="38"/>
      <c r="AI2613" s="38"/>
      <c r="AJ2613" s="38"/>
      <c r="AK2613" s="38"/>
      <c r="AL2613" s="38"/>
      <c r="AM2613" s="38"/>
      <c r="AN2613" s="38"/>
      <c r="AO2613" s="38"/>
      <c r="AP2613" s="38"/>
      <c r="AQ2613" s="38"/>
      <c r="AR2613" s="38"/>
      <c r="AS2613" s="38"/>
      <c r="AT2613" s="38"/>
      <c r="AU2613" s="38"/>
      <c r="AV2613" s="38"/>
      <c r="AW2613" s="38"/>
      <c r="AX2613" s="38"/>
      <c r="AY2613" s="38"/>
      <c r="AZ2613" s="38"/>
      <c r="BA2613" s="38"/>
      <c r="BB2613" s="38"/>
      <c r="BC2613" s="38"/>
      <c r="BD2613" s="38"/>
      <c r="BE2613" s="38"/>
      <c r="BF2613" s="38"/>
      <c r="BG2613" s="38"/>
      <c r="BH2613" s="38"/>
      <c r="BI2613" s="38"/>
      <c r="BJ2613" s="38"/>
      <c r="BK2613" s="38"/>
      <c r="BL2613" s="38"/>
      <c r="BM2613" s="38"/>
      <c r="BN2613" s="38"/>
      <c r="BO2613" s="38"/>
      <c r="BP2613" s="38"/>
      <c r="BQ2613" s="38"/>
    </row>
    <row r="2614">
      <c r="A2614" s="16"/>
      <c r="B2614" s="16"/>
      <c r="C2614" s="146"/>
      <c r="D2614" s="146"/>
      <c r="E2614" s="16"/>
      <c r="F2614" s="91"/>
      <c r="G2614" s="16"/>
      <c r="H2614" s="320" t="str">
        <f t="shared" si="33"/>
        <v/>
      </c>
      <c r="I2614" s="16"/>
      <c r="J2614" s="16"/>
      <c r="K2614" s="16"/>
      <c r="L2614" s="16"/>
      <c r="M2614" s="15"/>
      <c r="N2614" s="15"/>
      <c r="O2614" s="16"/>
      <c r="P2614" s="16"/>
      <c r="Q2614" s="16"/>
      <c r="R2614" s="16"/>
      <c r="S2614" s="37" t="str">
        <f>IFERROR(__xludf.DUMMYFUNCTION("if(not(iserror(index(split(C2614, "" ""),2))), index(split(C2614, "" ""),1),"""")"),"")</f>
        <v/>
      </c>
      <c r="T2614" s="315" t="str">
        <f>IFERROR(__xludf.DUMMYFUNCTION("if(S2614="""",C2614,if(not(iserror(index(split(C2614, "" ""),3))), index(split(C2614, "" ""),3),index(split(C2614, "" ""),2)))"),"")</f>
        <v/>
      </c>
      <c r="U2614" s="38" t="b">
        <f t="shared" si="34"/>
        <v>0</v>
      </c>
      <c r="V2614" s="38"/>
      <c r="W2614" s="40"/>
      <c r="X2614" s="40"/>
      <c r="Y2614" s="38"/>
      <c r="Z2614" s="38"/>
      <c r="AA2614" s="38"/>
      <c r="AB2614" s="38"/>
      <c r="AC2614" s="38"/>
      <c r="AD2614" s="38"/>
      <c r="AE2614" s="38"/>
      <c r="AF2614" s="38"/>
      <c r="AG2614" s="38"/>
      <c r="AH2614" s="38"/>
      <c r="AI2614" s="38"/>
      <c r="AJ2614" s="38"/>
      <c r="AK2614" s="38"/>
      <c r="AL2614" s="38"/>
      <c r="AM2614" s="38"/>
      <c r="AN2614" s="38"/>
      <c r="AO2614" s="38"/>
      <c r="AP2614" s="38"/>
      <c r="AQ2614" s="38"/>
      <c r="AR2614" s="38"/>
      <c r="AS2614" s="38"/>
      <c r="AT2614" s="38"/>
      <c r="AU2614" s="38"/>
      <c r="AV2614" s="38"/>
      <c r="AW2614" s="38"/>
      <c r="AX2614" s="38"/>
      <c r="AY2614" s="38"/>
      <c r="AZ2614" s="38"/>
      <c r="BA2614" s="38"/>
      <c r="BB2614" s="38"/>
      <c r="BC2614" s="38"/>
      <c r="BD2614" s="38"/>
      <c r="BE2614" s="38"/>
      <c r="BF2614" s="38"/>
      <c r="BG2614" s="38"/>
      <c r="BH2614" s="38"/>
      <c r="BI2614" s="38"/>
      <c r="BJ2614" s="38"/>
      <c r="BK2614" s="38"/>
      <c r="BL2614" s="38"/>
      <c r="BM2614" s="38"/>
      <c r="BN2614" s="38"/>
      <c r="BO2614" s="38"/>
      <c r="BP2614" s="38"/>
      <c r="BQ2614" s="38"/>
    </row>
    <row r="2615">
      <c r="A2615" s="16"/>
      <c r="B2615" s="16"/>
      <c r="C2615" s="146"/>
      <c r="D2615" s="146"/>
      <c r="E2615" s="16"/>
      <c r="F2615" s="91"/>
      <c r="G2615" s="16"/>
      <c r="H2615" s="320" t="str">
        <f t="shared" si="33"/>
        <v/>
      </c>
      <c r="I2615" s="16"/>
      <c r="J2615" s="16"/>
      <c r="K2615" s="16"/>
      <c r="L2615" s="16"/>
      <c r="M2615" s="15"/>
      <c r="N2615" s="15"/>
      <c r="O2615" s="16"/>
      <c r="P2615" s="16"/>
      <c r="Q2615" s="16"/>
      <c r="R2615" s="16"/>
      <c r="S2615" s="37" t="str">
        <f>IFERROR(__xludf.DUMMYFUNCTION("if(not(iserror(index(split(C2615, "" ""),2))), index(split(C2615, "" ""),1),"""")"),"")</f>
        <v/>
      </c>
      <c r="T2615" s="315" t="str">
        <f>IFERROR(__xludf.DUMMYFUNCTION("if(S2615="""",C2615,if(not(iserror(index(split(C2615, "" ""),3))), index(split(C2615, "" ""),3),index(split(C2615, "" ""),2)))"),"")</f>
        <v/>
      </c>
      <c r="U2615" s="38" t="b">
        <f t="shared" si="34"/>
        <v>0</v>
      </c>
      <c r="V2615" s="38"/>
      <c r="W2615" s="40"/>
      <c r="X2615" s="40"/>
      <c r="Y2615" s="38"/>
      <c r="Z2615" s="38"/>
      <c r="AA2615" s="38"/>
      <c r="AB2615" s="38"/>
      <c r="AC2615" s="38"/>
      <c r="AD2615" s="38"/>
      <c r="AE2615" s="38"/>
      <c r="AF2615" s="38"/>
      <c r="AG2615" s="38"/>
      <c r="AH2615" s="38"/>
      <c r="AI2615" s="38"/>
      <c r="AJ2615" s="38"/>
      <c r="AK2615" s="38"/>
      <c r="AL2615" s="38"/>
      <c r="AM2615" s="38"/>
      <c r="AN2615" s="38"/>
      <c r="AO2615" s="38"/>
      <c r="AP2615" s="38"/>
      <c r="AQ2615" s="38"/>
      <c r="AR2615" s="38"/>
      <c r="AS2615" s="38"/>
      <c r="AT2615" s="38"/>
      <c r="AU2615" s="38"/>
      <c r="AV2615" s="38"/>
      <c r="AW2615" s="38"/>
      <c r="AX2615" s="38"/>
      <c r="AY2615" s="38"/>
      <c r="AZ2615" s="38"/>
      <c r="BA2615" s="38"/>
      <c r="BB2615" s="38"/>
      <c r="BC2615" s="38"/>
      <c r="BD2615" s="38"/>
      <c r="BE2615" s="38"/>
      <c r="BF2615" s="38"/>
      <c r="BG2615" s="38"/>
      <c r="BH2615" s="38"/>
      <c r="BI2615" s="38"/>
      <c r="BJ2615" s="38"/>
      <c r="BK2615" s="38"/>
      <c r="BL2615" s="38"/>
      <c r="BM2615" s="38"/>
      <c r="BN2615" s="38"/>
      <c r="BO2615" s="38"/>
      <c r="BP2615" s="38"/>
      <c r="BQ2615" s="38"/>
    </row>
    <row r="2616">
      <c r="A2616" s="16"/>
      <c r="B2616" s="16"/>
      <c r="C2616" s="146"/>
      <c r="D2616" s="146"/>
      <c r="E2616" s="16"/>
      <c r="F2616" s="91"/>
      <c r="G2616" s="16"/>
      <c r="H2616" s="320" t="str">
        <f t="shared" si="33"/>
        <v/>
      </c>
      <c r="I2616" s="16"/>
      <c r="J2616" s="16"/>
      <c r="K2616" s="16"/>
      <c r="L2616" s="16"/>
      <c r="M2616" s="15"/>
      <c r="N2616" s="15"/>
      <c r="O2616" s="16"/>
      <c r="P2616" s="16"/>
      <c r="Q2616" s="16"/>
      <c r="R2616" s="16"/>
      <c r="S2616" s="37" t="str">
        <f>IFERROR(__xludf.DUMMYFUNCTION("if(not(iserror(index(split(C2616, "" ""),2))), index(split(C2616, "" ""),1),"""")"),"")</f>
        <v/>
      </c>
      <c r="T2616" s="315" t="str">
        <f>IFERROR(__xludf.DUMMYFUNCTION("if(S2616="""",C2616,if(not(iserror(index(split(C2616, "" ""),3))), index(split(C2616, "" ""),3),index(split(C2616, "" ""),2)))"),"")</f>
        <v/>
      </c>
      <c r="U2616" s="38" t="b">
        <f t="shared" si="34"/>
        <v>0</v>
      </c>
      <c r="V2616" s="38"/>
      <c r="W2616" s="40"/>
      <c r="X2616" s="40"/>
      <c r="Y2616" s="38"/>
      <c r="Z2616" s="38"/>
      <c r="AA2616" s="38"/>
      <c r="AB2616" s="38"/>
      <c r="AC2616" s="38"/>
      <c r="AD2616" s="38"/>
      <c r="AE2616" s="38"/>
      <c r="AF2616" s="38"/>
      <c r="AG2616" s="38"/>
      <c r="AH2616" s="38"/>
      <c r="AI2616" s="38"/>
      <c r="AJ2616" s="38"/>
      <c r="AK2616" s="38"/>
      <c r="AL2616" s="38"/>
      <c r="AM2616" s="38"/>
      <c r="AN2616" s="38"/>
      <c r="AO2616" s="38"/>
      <c r="AP2616" s="38"/>
      <c r="AQ2616" s="38"/>
      <c r="AR2616" s="38"/>
      <c r="AS2616" s="38"/>
      <c r="AT2616" s="38"/>
      <c r="AU2616" s="38"/>
      <c r="AV2616" s="38"/>
      <c r="AW2616" s="38"/>
      <c r="AX2616" s="38"/>
      <c r="AY2616" s="38"/>
      <c r="AZ2616" s="38"/>
      <c r="BA2616" s="38"/>
      <c r="BB2616" s="38"/>
      <c r="BC2616" s="38"/>
      <c r="BD2616" s="38"/>
      <c r="BE2616" s="38"/>
      <c r="BF2616" s="38"/>
      <c r="BG2616" s="38"/>
      <c r="BH2616" s="38"/>
      <c r="BI2616" s="38"/>
      <c r="BJ2616" s="38"/>
      <c r="BK2616" s="38"/>
      <c r="BL2616" s="38"/>
      <c r="BM2616" s="38"/>
      <c r="BN2616" s="38"/>
      <c r="BO2616" s="38"/>
      <c r="BP2616" s="38"/>
      <c r="BQ2616" s="38"/>
    </row>
    <row r="2617">
      <c r="A2617" s="16"/>
      <c r="B2617" s="16"/>
      <c r="C2617" s="146"/>
      <c r="D2617" s="146"/>
      <c r="E2617" s="16"/>
      <c r="F2617" s="91"/>
      <c r="G2617" s="16"/>
      <c r="H2617" s="320" t="str">
        <f t="shared" si="33"/>
        <v/>
      </c>
      <c r="I2617" s="16"/>
      <c r="J2617" s="16"/>
      <c r="K2617" s="16"/>
      <c r="L2617" s="16"/>
      <c r="M2617" s="15"/>
      <c r="N2617" s="15"/>
      <c r="O2617" s="16"/>
      <c r="P2617" s="16"/>
      <c r="Q2617" s="16"/>
      <c r="R2617" s="16"/>
      <c r="S2617" s="37" t="str">
        <f>IFERROR(__xludf.DUMMYFUNCTION("if(not(iserror(index(split(C2617, "" ""),2))), index(split(C2617, "" ""),1),"""")"),"")</f>
        <v/>
      </c>
      <c r="T2617" s="315" t="str">
        <f>IFERROR(__xludf.DUMMYFUNCTION("if(S2617="""",C2617,if(not(iserror(index(split(C2617, "" ""),3))), index(split(C2617, "" ""),3),index(split(C2617, "" ""),2)))"),"")</f>
        <v/>
      </c>
      <c r="U2617" s="38" t="b">
        <f t="shared" si="34"/>
        <v>0</v>
      </c>
      <c r="V2617" s="38"/>
      <c r="W2617" s="40"/>
      <c r="X2617" s="40"/>
      <c r="Y2617" s="38"/>
      <c r="Z2617" s="38"/>
      <c r="AA2617" s="38"/>
      <c r="AB2617" s="38"/>
      <c r="AC2617" s="38"/>
      <c r="AD2617" s="38"/>
      <c r="AE2617" s="38"/>
      <c r="AF2617" s="38"/>
      <c r="AG2617" s="38"/>
      <c r="AH2617" s="38"/>
      <c r="AI2617" s="38"/>
      <c r="AJ2617" s="38"/>
      <c r="AK2617" s="38"/>
      <c r="AL2617" s="38"/>
      <c r="AM2617" s="38"/>
      <c r="AN2617" s="38"/>
      <c r="AO2617" s="38"/>
      <c r="AP2617" s="38"/>
      <c r="AQ2617" s="38"/>
      <c r="AR2617" s="38"/>
      <c r="AS2617" s="38"/>
      <c r="AT2617" s="38"/>
      <c r="AU2617" s="38"/>
      <c r="AV2617" s="38"/>
      <c r="AW2617" s="38"/>
      <c r="AX2617" s="38"/>
      <c r="AY2617" s="38"/>
      <c r="AZ2617" s="38"/>
      <c r="BA2617" s="38"/>
      <c r="BB2617" s="38"/>
      <c r="BC2617" s="38"/>
      <c r="BD2617" s="38"/>
      <c r="BE2617" s="38"/>
      <c r="BF2617" s="38"/>
      <c r="BG2617" s="38"/>
      <c r="BH2617" s="38"/>
      <c r="BI2617" s="38"/>
      <c r="BJ2617" s="38"/>
      <c r="BK2617" s="38"/>
      <c r="BL2617" s="38"/>
      <c r="BM2617" s="38"/>
      <c r="BN2617" s="38"/>
      <c r="BO2617" s="38"/>
      <c r="BP2617" s="38"/>
      <c r="BQ2617" s="38"/>
    </row>
    <row r="2618">
      <c r="A2618" s="16"/>
      <c r="B2618" s="16"/>
      <c r="C2618" s="146"/>
      <c r="D2618" s="146"/>
      <c r="E2618" s="16"/>
      <c r="F2618" s="91"/>
      <c r="G2618" s="16"/>
      <c r="H2618" s="320" t="str">
        <f t="shared" si="33"/>
        <v/>
      </c>
      <c r="I2618" s="16"/>
      <c r="J2618" s="16"/>
      <c r="K2618" s="16"/>
      <c r="L2618" s="16"/>
      <c r="M2618" s="15"/>
      <c r="N2618" s="15"/>
      <c r="O2618" s="16"/>
      <c r="P2618" s="16"/>
      <c r="Q2618" s="16"/>
      <c r="R2618" s="16"/>
      <c r="S2618" s="37" t="str">
        <f>IFERROR(__xludf.DUMMYFUNCTION("if(not(iserror(index(split(C2618, "" ""),2))), index(split(C2618, "" ""),1),"""")"),"")</f>
        <v/>
      </c>
      <c r="T2618" s="315" t="str">
        <f>IFERROR(__xludf.DUMMYFUNCTION("if(S2618="""",C2618,if(not(iserror(index(split(C2618, "" ""),3))), index(split(C2618, "" ""),3),index(split(C2618, "" ""),2)))"),"")</f>
        <v/>
      </c>
      <c r="U2618" s="38" t="b">
        <f t="shared" si="34"/>
        <v>0</v>
      </c>
      <c r="V2618" s="38"/>
      <c r="W2618" s="40"/>
      <c r="X2618" s="40"/>
      <c r="Y2618" s="38"/>
      <c r="Z2618" s="38"/>
      <c r="AA2618" s="38"/>
      <c r="AB2618" s="38"/>
      <c r="AC2618" s="38"/>
      <c r="AD2618" s="38"/>
      <c r="AE2618" s="38"/>
      <c r="AF2618" s="38"/>
      <c r="AG2618" s="38"/>
      <c r="AH2618" s="38"/>
      <c r="AI2618" s="38"/>
      <c r="AJ2618" s="38"/>
      <c r="AK2618" s="38"/>
      <c r="AL2618" s="38"/>
      <c r="AM2618" s="38"/>
      <c r="AN2618" s="38"/>
      <c r="AO2618" s="38"/>
      <c r="AP2618" s="38"/>
      <c r="AQ2618" s="38"/>
      <c r="AR2618" s="38"/>
      <c r="AS2618" s="38"/>
      <c r="AT2618" s="38"/>
      <c r="AU2618" s="38"/>
      <c r="AV2618" s="38"/>
      <c r="AW2618" s="38"/>
      <c r="AX2618" s="38"/>
      <c r="AY2618" s="38"/>
      <c r="AZ2618" s="38"/>
      <c r="BA2618" s="38"/>
      <c r="BB2618" s="38"/>
      <c r="BC2618" s="38"/>
      <c r="BD2618" s="38"/>
      <c r="BE2618" s="38"/>
      <c r="BF2618" s="38"/>
      <c r="BG2618" s="38"/>
      <c r="BH2618" s="38"/>
      <c r="BI2618" s="38"/>
      <c r="BJ2618" s="38"/>
      <c r="BK2618" s="38"/>
      <c r="BL2618" s="38"/>
      <c r="BM2618" s="38"/>
      <c r="BN2618" s="38"/>
      <c r="BO2618" s="38"/>
      <c r="BP2618" s="38"/>
      <c r="BQ2618" s="38"/>
    </row>
    <row r="2619">
      <c r="A2619" s="16"/>
      <c r="B2619" s="16"/>
      <c r="C2619" s="146"/>
      <c r="D2619" s="146"/>
      <c r="E2619" s="16"/>
      <c r="F2619" s="91"/>
      <c r="G2619" s="16"/>
      <c r="H2619" s="320" t="str">
        <f t="shared" si="33"/>
        <v/>
      </c>
      <c r="I2619" s="16"/>
      <c r="J2619" s="16"/>
      <c r="K2619" s="16"/>
      <c r="L2619" s="16"/>
      <c r="M2619" s="15"/>
      <c r="N2619" s="15"/>
      <c r="O2619" s="16"/>
      <c r="P2619" s="16"/>
      <c r="Q2619" s="16"/>
      <c r="R2619" s="16"/>
      <c r="S2619" s="37" t="str">
        <f>IFERROR(__xludf.DUMMYFUNCTION("if(not(iserror(index(split(C2619, "" ""),2))), index(split(C2619, "" ""),1),"""")"),"")</f>
        <v/>
      </c>
      <c r="T2619" s="315" t="str">
        <f>IFERROR(__xludf.DUMMYFUNCTION("if(S2619="""",C2619,if(not(iserror(index(split(C2619, "" ""),3))), index(split(C2619, "" ""),3),index(split(C2619, "" ""),2)))"),"")</f>
        <v/>
      </c>
      <c r="U2619" s="38" t="b">
        <f t="shared" si="34"/>
        <v>0</v>
      </c>
      <c r="V2619" s="38"/>
      <c r="W2619" s="40"/>
      <c r="X2619" s="40"/>
      <c r="Y2619" s="38"/>
      <c r="Z2619" s="38"/>
      <c r="AA2619" s="38"/>
      <c r="AB2619" s="38"/>
      <c r="AC2619" s="38"/>
      <c r="AD2619" s="38"/>
      <c r="AE2619" s="38"/>
      <c r="AF2619" s="38"/>
      <c r="AG2619" s="38"/>
      <c r="AH2619" s="38"/>
      <c r="AI2619" s="38"/>
      <c r="AJ2619" s="38"/>
      <c r="AK2619" s="38"/>
      <c r="AL2619" s="38"/>
      <c r="AM2619" s="38"/>
      <c r="AN2619" s="38"/>
      <c r="AO2619" s="38"/>
      <c r="AP2619" s="38"/>
      <c r="AQ2619" s="38"/>
      <c r="AR2619" s="38"/>
      <c r="AS2619" s="38"/>
      <c r="AT2619" s="38"/>
      <c r="AU2619" s="38"/>
      <c r="AV2619" s="38"/>
      <c r="AW2619" s="38"/>
      <c r="AX2619" s="38"/>
      <c r="AY2619" s="38"/>
      <c r="AZ2619" s="38"/>
      <c r="BA2619" s="38"/>
      <c r="BB2619" s="38"/>
      <c r="BC2619" s="38"/>
      <c r="BD2619" s="38"/>
      <c r="BE2619" s="38"/>
      <c r="BF2619" s="38"/>
      <c r="BG2619" s="38"/>
      <c r="BH2619" s="38"/>
      <c r="BI2619" s="38"/>
      <c r="BJ2619" s="38"/>
      <c r="BK2619" s="38"/>
      <c r="BL2619" s="38"/>
      <c r="BM2619" s="38"/>
      <c r="BN2619" s="38"/>
      <c r="BO2619" s="38"/>
      <c r="BP2619" s="38"/>
      <c r="BQ2619" s="38"/>
    </row>
    <row r="2620">
      <c r="A2620" s="16"/>
      <c r="B2620" s="16"/>
      <c r="C2620" s="146"/>
      <c r="D2620" s="146"/>
      <c r="E2620" s="16"/>
      <c r="F2620" s="91"/>
      <c r="G2620" s="16"/>
      <c r="H2620" s="320" t="str">
        <f t="shared" si="33"/>
        <v/>
      </c>
      <c r="I2620" s="16"/>
      <c r="J2620" s="16"/>
      <c r="K2620" s="16"/>
      <c r="L2620" s="16"/>
      <c r="M2620" s="15"/>
      <c r="N2620" s="15"/>
      <c r="O2620" s="16"/>
      <c r="P2620" s="16"/>
      <c r="Q2620" s="16"/>
      <c r="R2620" s="16"/>
      <c r="S2620" s="37" t="str">
        <f>IFERROR(__xludf.DUMMYFUNCTION("if(not(iserror(index(split(C2620, "" ""),2))), index(split(C2620, "" ""),1),"""")"),"")</f>
        <v/>
      </c>
      <c r="T2620" s="315" t="str">
        <f>IFERROR(__xludf.DUMMYFUNCTION("if(S2620="""",C2620,if(not(iserror(index(split(C2620, "" ""),3))), index(split(C2620, "" ""),3),index(split(C2620, "" ""),2)))"),"")</f>
        <v/>
      </c>
      <c r="U2620" s="38" t="b">
        <f t="shared" si="34"/>
        <v>0</v>
      </c>
      <c r="V2620" s="38"/>
      <c r="W2620" s="40"/>
      <c r="X2620" s="40"/>
      <c r="Y2620" s="38"/>
      <c r="Z2620" s="38"/>
      <c r="AA2620" s="38"/>
      <c r="AB2620" s="38"/>
      <c r="AC2620" s="38"/>
      <c r="AD2620" s="38"/>
      <c r="AE2620" s="38"/>
      <c r="AF2620" s="38"/>
      <c r="AG2620" s="38"/>
      <c r="AH2620" s="38"/>
      <c r="AI2620" s="38"/>
      <c r="AJ2620" s="38"/>
      <c r="AK2620" s="38"/>
      <c r="AL2620" s="38"/>
      <c r="AM2620" s="38"/>
      <c r="AN2620" s="38"/>
      <c r="AO2620" s="38"/>
      <c r="AP2620" s="38"/>
      <c r="AQ2620" s="38"/>
      <c r="AR2620" s="38"/>
      <c r="AS2620" s="38"/>
      <c r="AT2620" s="38"/>
      <c r="AU2620" s="38"/>
      <c r="AV2620" s="38"/>
      <c r="AW2620" s="38"/>
      <c r="AX2620" s="38"/>
      <c r="AY2620" s="38"/>
      <c r="AZ2620" s="38"/>
      <c r="BA2620" s="38"/>
      <c r="BB2620" s="38"/>
      <c r="BC2620" s="38"/>
      <c r="BD2620" s="38"/>
      <c r="BE2620" s="38"/>
      <c r="BF2620" s="38"/>
      <c r="BG2620" s="38"/>
      <c r="BH2620" s="38"/>
      <c r="BI2620" s="38"/>
      <c r="BJ2620" s="38"/>
      <c r="BK2620" s="38"/>
      <c r="BL2620" s="38"/>
      <c r="BM2620" s="38"/>
      <c r="BN2620" s="38"/>
      <c r="BO2620" s="38"/>
      <c r="BP2620" s="38"/>
      <c r="BQ2620" s="38"/>
    </row>
    <row r="2621">
      <c r="A2621" s="16"/>
      <c r="B2621" s="16"/>
      <c r="C2621" s="146"/>
      <c r="D2621" s="146"/>
      <c r="E2621" s="16"/>
      <c r="F2621" s="91"/>
      <c r="G2621" s="16"/>
      <c r="H2621" s="320" t="str">
        <f t="shared" si="33"/>
        <v/>
      </c>
      <c r="I2621" s="16"/>
      <c r="J2621" s="16"/>
      <c r="K2621" s="16"/>
      <c r="L2621" s="16"/>
      <c r="M2621" s="15"/>
      <c r="N2621" s="15"/>
      <c r="O2621" s="16"/>
      <c r="P2621" s="16"/>
      <c r="Q2621" s="16"/>
      <c r="R2621" s="16"/>
      <c r="S2621" s="37" t="str">
        <f>IFERROR(__xludf.DUMMYFUNCTION("if(not(iserror(index(split(C2621, "" ""),2))), index(split(C2621, "" ""),1),"""")"),"")</f>
        <v/>
      </c>
      <c r="T2621" s="315" t="str">
        <f>IFERROR(__xludf.DUMMYFUNCTION("if(S2621="""",C2621,if(not(iserror(index(split(C2621, "" ""),3))), index(split(C2621, "" ""),3),index(split(C2621, "" ""),2)))"),"")</f>
        <v/>
      </c>
      <c r="U2621" s="38" t="b">
        <f t="shared" si="34"/>
        <v>0</v>
      </c>
      <c r="V2621" s="38"/>
      <c r="W2621" s="40"/>
      <c r="X2621" s="40"/>
      <c r="Y2621" s="38"/>
      <c r="Z2621" s="38"/>
      <c r="AA2621" s="38"/>
      <c r="AB2621" s="38"/>
      <c r="AC2621" s="38"/>
      <c r="AD2621" s="38"/>
      <c r="AE2621" s="38"/>
      <c r="AF2621" s="38"/>
      <c r="AG2621" s="38"/>
      <c r="AH2621" s="38"/>
      <c r="AI2621" s="38"/>
      <c r="AJ2621" s="38"/>
      <c r="AK2621" s="38"/>
      <c r="AL2621" s="38"/>
      <c r="AM2621" s="38"/>
      <c r="AN2621" s="38"/>
      <c r="AO2621" s="38"/>
      <c r="AP2621" s="38"/>
      <c r="AQ2621" s="38"/>
      <c r="AR2621" s="38"/>
      <c r="AS2621" s="38"/>
      <c r="AT2621" s="38"/>
      <c r="AU2621" s="38"/>
      <c r="AV2621" s="38"/>
      <c r="AW2621" s="38"/>
      <c r="AX2621" s="38"/>
      <c r="AY2621" s="38"/>
      <c r="AZ2621" s="38"/>
      <c r="BA2621" s="38"/>
      <c r="BB2621" s="38"/>
      <c r="BC2621" s="38"/>
      <c r="BD2621" s="38"/>
      <c r="BE2621" s="38"/>
      <c r="BF2621" s="38"/>
      <c r="BG2621" s="38"/>
      <c r="BH2621" s="38"/>
      <c r="BI2621" s="38"/>
      <c r="BJ2621" s="38"/>
      <c r="BK2621" s="38"/>
      <c r="BL2621" s="38"/>
      <c r="BM2621" s="38"/>
      <c r="BN2621" s="38"/>
      <c r="BO2621" s="38"/>
      <c r="BP2621" s="38"/>
      <c r="BQ2621" s="38"/>
    </row>
    <row r="2622">
      <c r="A2622" s="16"/>
      <c r="B2622" s="16"/>
      <c r="C2622" s="146"/>
      <c r="D2622" s="146"/>
      <c r="E2622" s="16"/>
      <c r="F2622" s="91"/>
      <c r="G2622" s="16"/>
      <c r="H2622" s="320" t="str">
        <f t="shared" si="33"/>
        <v/>
      </c>
      <c r="I2622" s="16"/>
      <c r="J2622" s="16"/>
      <c r="K2622" s="16"/>
      <c r="L2622" s="16"/>
      <c r="M2622" s="15"/>
      <c r="N2622" s="15"/>
      <c r="O2622" s="16"/>
      <c r="P2622" s="16"/>
      <c r="Q2622" s="16"/>
      <c r="R2622" s="16"/>
      <c r="S2622" s="37" t="str">
        <f>IFERROR(__xludf.DUMMYFUNCTION("if(not(iserror(index(split(C2622, "" ""),2))), index(split(C2622, "" ""),1),"""")"),"")</f>
        <v/>
      </c>
      <c r="T2622" s="315" t="str">
        <f>IFERROR(__xludf.DUMMYFUNCTION("if(S2622="""",C2622,if(not(iserror(index(split(C2622, "" ""),3))), index(split(C2622, "" ""),3),index(split(C2622, "" ""),2)))"),"")</f>
        <v/>
      </c>
      <c r="U2622" s="38" t="b">
        <f t="shared" si="34"/>
        <v>0</v>
      </c>
      <c r="V2622" s="38"/>
      <c r="W2622" s="40"/>
      <c r="X2622" s="40"/>
      <c r="Y2622" s="38"/>
      <c r="Z2622" s="38"/>
      <c r="AA2622" s="38"/>
      <c r="AB2622" s="38"/>
      <c r="AC2622" s="38"/>
      <c r="AD2622" s="38"/>
      <c r="AE2622" s="38"/>
      <c r="AF2622" s="38"/>
      <c r="AG2622" s="38"/>
      <c r="AH2622" s="38"/>
      <c r="AI2622" s="38"/>
      <c r="AJ2622" s="38"/>
      <c r="AK2622" s="38"/>
      <c r="AL2622" s="38"/>
      <c r="AM2622" s="38"/>
      <c r="AN2622" s="38"/>
      <c r="AO2622" s="38"/>
      <c r="AP2622" s="38"/>
      <c r="AQ2622" s="38"/>
      <c r="AR2622" s="38"/>
      <c r="AS2622" s="38"/>
      <c r="AT2622" s="38"/>
      <c r="AU2622" s="38"/>
      <c r="AV2622" s="38"/>
      <c r="AW2622" s="38"/>
      <c r="AX2622" s="38"/>
      <c r="AY2622" s="38"/>
      <c r="AZ2622" s="38"/>
      <c r="BA2622" s="38"/>
      <c r="BB2622" s="38"/>
      <c r="BC2622" s="38"/>
      <c r="BD2622" s="38"/>
      <c r="BE2622" s="38"/>
      <c r="BF2622" s="38"/>
      <c r="BG2622" s="38"/>
      <c r="BH2622" s="38"/>
      <c r="BI2622" s="38"/>
      <c r="BJ2622" s="38"/>
      <c r="BK2622" s="38"/>
      <c r="BL2622" s="38"/>
      <c r="BM2622" s="38"/>
      <c r="BN2622" s="38"/>
      <c r="BO2622" s="38"/>
      <c r="BP2622" s="38"/>
      <c r="BQ2622" s="38"/>
    </row>
    <row r="2623">
      <c r="A2623" s="16"/>
      <c r="B2623" s="16"/>
      <c r="C2623" s="146"/>
      <c r="D2623" s="146"/>
      <c r="E2623" s="16"/>
      <c r="F2623" s="91"/>
      <c r="G2623" s="16"/>
      <c r="H2623" s="320" t="str">
        <f t="shared" si="33"/>
        <v/>
      </c>
      <c r="I2623" s="16"/>
      <c r="J2623" s="16"/>
      <c r="K2623" s="16"/>
      <c r="L2623" s="16"/>
      <c r="M2623" s="15"/>
      <c r="N2623" s="15"/>
      <c r="O2623" s="16"/>
      <c r="P2623" s="16"/>
      <c r="Q2623" s="16"/>
      <c r="R2623" s="16"/>
      <c r="S2623" s="37" t="str">
        <f>IFERROR(__xludf.DUMMYFUNCTION("if(not(iserror(index(split(C2623, "" ""),2))), index(split(C2623, "" ""),1),"""")"),"")</f>
        <v/>
      </c>
      <c r="T2623" s="315" t="str">
        <f>IFERROR(__xludf.DUMMYFUNCTION("if(S2623="""",C2623,if(not(iserror(index(split(C2623, "" ""),3))), index(split(C2623, "" ""),3),index(split(C2623, "" ""),2)))"),"")</f>
        <v/>
      </c>
      <c r="U2623" s="38" t="b">
        <f t="shared" si="34"/>
        <v>0</v>
      </c>
      <c r="V2623" s="38"/>
      <c r="W2623" s="40"/>
      <c r="X2623" s="40"/>
      <c r="Y2623" s="38"/>
      <c r="Z2623" s="38"/>
      <c r="AA2623" s="38"/>
      <c r="AB2623" s="38"/>
      <c r="AC2623" s="38"/>
      <c r="AD2623" s="38"/>
      <c r="AE2623" s="38"/>
      <c r="AF2623" s="38"/>
      <c r="AG2623" s="38"/>
      <c r="AH2623" s="38"/>
      <c r="AI2623" s="38"/>
      <c r="AJ2623" s="38"/>
      <c r="AK2623" s="38"/>
      <c r="AL2623" s="38"/>
      <c r="AM2623" s="38"/>
      <c r="AN2623" s="38"/>
      <c r="AO2623" s="38"/>
      <c r="AP2623" s="38"/>
      <c r="AQ2623" s="38"/>
      <c r="AR2623" s="38"/>
      <c r="AS2623" s="38"/>
      <c r="AT2623" s="38"/>
      <c r="AU2623" s="38"/>
      <c r="AV2623" s="38"/>
      <c r="AW2623" s="38"/>
      <c r="AX2623" s="38"/>
      <c r="AY2623" s="38"/>
      <c r="AZ2623" s="38"/>
      <c r="BA2623" s="38"/>
      <c r="BB2623" s="38"/>
      <c r="BC2623" s="38"/>
      <c r="BD2623" s="38"/>
      <c r="BE2623" s="38"/>
      <c r="BF2623" s="38"/>
      <c r="BG2623" s="38"/>
      <c r="BH2623" s="38"/>
      <c r="BI2623" s="38"/>
      <c r="BJ2623" s="38"/>
      <c r="BK2623" s="38"/>
      <c r="BL2623" s="38"/>
      <c r="BM2623" s="38"/>
      <c r="BN2623" s="38"/>
      <c r="BO2623" s="38"/>
      <c r="BP2623" s="38"/>
      <c r="BQ2623" s="38"/>
    </row>
    <row r="2624">
      <c r="A2624" s="16"/>
      <c r="B2624" s="16"/>
      <c r="C2624" s="146"/>
      <c r="D2624" s="146"/>
      <c r="E2624" s="16"/>
      <c r="F2624" s="91"/>
      <c r="G2624" s="16"/>
      <c r="H2624" s="320" t="str">
        <f t="shared" si="33"/>
        <v/>
      </c>
      <c r="I2624" s="16"/>
      <c r="J2624" s="16"/>
      <c r="K2624" s="16"/>
      <c r="L2624" s="16"/>
      <c r="M2624" s="15"/>
      <c r="N2624" s="15"/>
      <c r="O2624" s="16"/>
      <c r="P2624" s="16"/>
      <c r="Q2624" s="16"/>
      <c r="R2624" s="16"/>
      <c r="S2624" s="37" t="str">
        <f>IFERROR(__xludf.DUMMYFUNCTION("if(not(iserror(index(split(C2624, "" ""),2))), index(split(C2624, "" ""),1),"""")"),"")</f>
        <v/>
      </c>
      <c r="T2624" s="315" t="str">
        <f>IFERROR(__xludf.DUMMYFUNCTION("if(S2624="""",C2624,if(not(iserror(index(split(C2624, "" ""),3))), index(split(C2624, "" ""),3),index(split(C2624, "" ""),2)))"),"")</f>
        <v/>
      </c>
      <c r="U2624" s="38" t="b">
        <f t="shared" si="34"/>
        <v>0</v>
      </c>
      <c r="V2624" s="38"/>
      <c r="W2624" s="40"/>
      <c r="X2624" s="40"/>
      <c r="Y2624" s="38"/>
      <c r="Z2624" s="38"/>
      <c r="AA2624" s="38"/>
      <c r="AB2624" s="38"/>
      <c r="AC2624" s="38"/>
      <c r="AD2624" s="38"/>
      <c r="AE2624" s="38"/>
      <c r="AF2624" s="38"/>
      <c r="AG2624" s="38"/>
      <c r="AH2624" s="38"/>
      <c r="AI2624" s="38"/>
      <c r="AJ2624" s="38"/>
      <c r="AK2624" s="38"/>
      <c r="AL2624" s="38"/>
      <c r="AM2624" s="38"/>
      <c r="AN2624" s="38"/>
      <c r="AO2624" s="38"/>
      <c r="AP2624" s="38"/>
      <c r="AQ2624" s="38"/>
      <c r="AR2624" s="38"/>
      <c r="AS2624" s="38"/>
      <c r="AT2624" s="38"/>
      <c r="AU2624" s="38"/>
      <c r="AV2624" s="38"/>
      <c r="AW2624" s="38"/>
      <c r="AX2624" s="38"/>
      <c r="AY2624" s="38"/>
      <c r="AZ2624" s="38"/>
      <c r="BA2624" s="38"/>
      <c r="BB2624" s="38"/>
      <c r="BC2624" s="38"/>
      <c r="BD2624" s="38"/>
      <c r="BE2624" s="38"/>
      <c r="BF2624" s="38"/>
      <c r="BG2624" s="38"/>
      <c r="BH2624" s="38"/>
      <c r="BI2624" s="38"/>
      <c r="BJ2624" s="38"/>
      <c r="BK2624" s="38"/>
      <c r="BL2624" s="38"/>
      <c r="BM2624" s="38"/>
      <c r="BN2624" s="38"/>
      <c r="BO2624" s="38"/>
      <c r="BP2624" s="38"/>
      <c r="BQ2624" s="38"/>
    </row>
    <row r="2625">
      <c r="A2625" s="16"/>
      <c r="B2625" s="16"/>
      <c r="C2625" s="146"/>
      <c r="D2625" s="146"/>
      <c r="E2625" s="16"/>
      <c r="F2625" s="91"/>
      <c r="G2625" s="16"/>
      <c r="H2625" s="320" t="str">
        <f t="shared" si="33"/>
        <v/>
      </c>
      <c r="I2625" s="16"/>
      <c r="J2625" s="16"/>
      <c r="K2625" s="16"/>
      <c r="L2625" s="16"/>
      <c r="M2625" s="15"/>
      <c r="N2625" s="15"/>
      <c r="O2625" s="16"/>
      <c r="P2625" s="16"/>
      <c r="Q2625" s="16"/>
      <c r="R2625" s="16"/>
      <c r="S2625" s="37" t="str">
        <f>IFERROR(__xludf.DUMMYFUNCTION("if(not(iserror(index(split(C2625, "" ""),2))), index(split(C2625, "" ""),1),"""")"),"")</f>
        <v/>
      </c>
      <c r="T2625" s="315" t="str">
        <f>IFERROR(__xludf.DUMMYFUNCTION("if(S2625="""",C2625,if(not(iserror(index(split(C2625, "" ""),3))), index(split(C2625, "" ""),3),index(split(C2625, "" ""),2)))"),"")</f>
        <v/>
      </c>
      <c r="U2625" s="38" t="b">
        <f t="shared" si="34"/>
        <v>0</v>
      </c>
      <c r="V2625" s="38"/>
      <c r="W2625" s="40"/>
      <c r="X2625" s="40"/>
      <c r="Y2625" s="38"/>
      <c r="Z2625" s="38"/>
      <c r="AA2625" s="38"/>
      <c r="AB2625" s="38"/>
      <c r="AC2625" s="38"/>
      <c r="AD2625" s="38"/>
      <c r="AE2625" s="38"/>
      <c r="AF2625" s="38"/>
      <c r="AG2625" s="38"/>
      <c r="AH2625" s="38"/>
      <c r="AI2625" s="38"/>
      <c r="AJ2625" s="38"/>
      <c r="AK2625" s="38"/>
      <c r="AL2625" s="38"/>
      <c r="AM2625" s="38"/>
      <c r="AN2625" s="38"/>
      <c r="AO2625" s="38"/>
      <c r="AP2625" s="38"/>
      <c r="AQ2625" s="38"/>
      <c r="AR2625" s="38"/>
      <c r="AS2625" s="38"/>
      <c r="AT2625" s="38"/>
      <c r="AU2625" s="38"/>
      <c r="AV2625" s="38"/>
      <c r="AW2625" s="38"/>
      <c r="AX2625" s="38"/>
      <c r="AY2625" s="38"/>
      <c r="AZ2625" s="38"/>
      <c r="BA2625" s="38"/>
      <c r="BB2625" s="38"/>
      <c r="BC2625" s="38"/>
      <c r="BD2625" s="38"/>
      <c r="BE2625" s="38"/>
      <c r="BF2625" s="38"/>
      <c r="BG2625" s="38"/>
      <c r="BH2625" s="38"/>
      <c r="BI2625" s="38"/>
      <c r="BJ2625" s="38"/>
      <c r="BK2625" s="38"/>
      <c r="BL2625" s="38"/>
      <c r="BM2625" s="38"/>
      <c r="BN2625" s="38"/>
      <c r="BO2625" s="38"/>
      <c r="BP2625" s="38"/>
      <c r="BQ2625" s="38"/>
    </row>
    <row r="2626">
      <c r="A2626" s="16"/>
      <c r="B2626" s="16"/>
      <c r="C2626" s="146"/>
      <c r="D2626" s="146"/>
      <c r="E2626" s="16"/>
      <c r="F2626" s="91"/>
      <c r="G2626" s="16"/>
      <c r="H2626" s="320" t="str">
        <f t="shared" si="33"/>
        <v/>
      </c>
      <c r="I2626" s="16"/>
      <c r="J2626" s="16"/>
      <c r="K2626" s="16"/>
      <c r="L2626" s="16"/>
      <c r="M2626" s="15"/>
      <c r="N2626" s="15"/>
      <c r="O2626" s="16"/>
      <c r="P2626" s="16"/>
      <c r="Q2626" s="16"/>
      <c r="R2626" s="16"/>
      <c r="S2626" s="37" t="str">
        <f>IFERROR(__xludf.DUMMYFUNCTION("if(not(iserror(index(split(C2626, "" ""),2))), index(split(C2626, "" ""),1),"""")"),"")</f>
        <v/>
      </c>
      <c r="T2626" s="315" t="str">
        <f>IFERROR(__xludf.DUMMYFUNCTION("if(S2626="""",C2626,if(not(iserror(index(split(C2626, "" ""),3))), index(split(C2626, "" ""),3),index(split(C2626, "" ""),2)))"),"")</f>
        <v/>
      </c>
      <c r="U2626" s="38" t="b">
        <f t="shared" si="34"/>
        <v>0</v>
      </c>
      <c r="V2626" s="38"/>
      <c r="W2626" s="40"/>
      <c r="X2626" s="40"/>
      <c r="Y2626" s="38"/>
      <c r="Z2626" s="38"/>
      <c r="AA2626" s="38"/>
      <c r="AB2626" s="38"/>
      <c r="AC2626" s="38"/>
      <c r="AD2626" s="38"/>
      <c r="AE2626" s="38"/>
      <c r="AF2626" s="38"/>
      <c r="AG2626" s="38"/>
      <c r="AH2626" s="38"/>
      <c r="AI2626" s="38"/>
      <c r="AJ2626" s="38"/>
      <c r="AK2626" s="38"/>
      <c r="AL2626" s="38"/>
      <c r="AM2626" s="38"/>
      <c r="AN2626" s="38"/>
      <c r="AO2626" s="38"/>
      <c r="AP2626" s="38"/>
      <c r="AQ2626" s="38"/>
      <c r="AR2626" s="38"/>
      <c r="AS2626" s="38"/>
      <c r="AT2626" s="38"/>
      <c r="AU2626" s="38"/>
      <c r="AV2626" s="38"/>
      <c r="AW2626" s="38"/>
      <c r="AX2626" s="38"/>
      <c r="AY2626" s="38"/>
      <c r="AZ2626" s="38"/>
      <c r="BA2626" s="38"/>
      <c r="BB2626" s="38"/>
      <c r="BC2626" s="38"/>
      <c r="BD2626" s="38"/>
      <c r="BE2626" s="38"/>
      <c r="BF2626" s="38"/>
      <c r="BG2626" s="38"/>
      <c r="BH2626" s="38"/>
      <c r="BI2626" s="38"/>
      <c r="BJ2626" s="38"/>
      <c r="BK2626" s="38"/>
      <c r="BL2626" s="38"/>
      <c r="BM2626" s="38"/>
      <c r="BN2626" s="38"/>
      <c r="BO2626" s="38"/>
      <c r="BP2626" s="38"/>
      <c r="BQ2626" s="38"/>
    </row>
    <row r="2627">
      <c r="A2627" s="16"/>
      <c r="B2627" s="16"/>
      <c r="C2627" s="146"/>
      <c r="D2627" s="146"/>
      <c r="E2627" s="16"/>
      <c r="F2627" s="91"/>
      <c r="G2627" s="16"/>
      <c r="H2627" s="320" t="str">
        <f t="shared" si="33"/>
        <v/>
      </c>
      <c r="I2627" s="16"/>
      <c r="J2627" s="16"/>
      <c r="K2627" s="16"/>
      <c r="L2627" s="16"/>
      <c r="M2627" s="15"/>
      <c r="N2627" s="15"/>
      <c r="O2627" s="16"/>
      <c r="P2627" s="16"/>
      <c r="Q2627" s="16"/>
      <c r="R2627" s="16"/>
      <c r="S2627" s="37" t="str">
        <f>IFERROR(__xludf.DUMMYFUNCTION("if(not(iserror(index(split(C2627, "" ""),2))), index(split(C2627, "" ""),1),"""")"),"")</f>
        <v/>
      </c>
      <c r="T2627" s="315" t="str">
        <f>IFERROR(__xludf.DUMMYFUNCTION("if(S2627="""",C2627,if(not(iserror(index(split(C2627, "" ""),3))), index(split(C2627, "" ""),3),index(split(C2627, "" ""),2)))"),"")</f>
        <v/>
      </c>
      <c r="U2627" s="38" t="b">
        <f t="shared" si="34"/>
        <v>0</v>
      </c>
      <c r="V2627" s="38"/>
      <c r="W2627" s="40"/>
      <c r="X2627" s="40"/>
      <c r="Y2627" s="38"/>
      <c r="Z2627" s="38"/>
      <c r="AA2627" s="38"/>
      <c r="AB2627" s="38"/>
      <c r="AC2627" s="38"/>
      <c r="AD2627" s="38"/>
      <c r="AE2627" s="38"/>
      <c r="AF2627" s="38"/>
      <c r="AG2627" s="38"/>
      <c r="AH2627" s="38"/>
      <c r="AI2627" s="38"/>
      <c r="AJ2627" s="38"/>
      <c r="AK2627" s="38"/>
      <c r="AL2627" s="38"/>
      <c r="AM2627" s="38"/>
      <c r="AN2627" s="38"/>
      <c r="AO2627" s="38"/>
      <c r="AP2627" s="38"/>
      <c r="AQ2627" s="38"/>
      <c r="AR2627" s="38"/>
      <c r="AS2627" s="38"/>
      <c r="AT2627" s="38"/>
      <c r="AU2627" s="38"/>
      <c r="AV2627" s="38"/>
      <c r="AW2627" s="38"/>
      <c r="AX2627" s="38"/>
      <c r="AY2627" s="38"/>
      <c r="AZ2627" s="38"/>
      <c r="BA2627" s="38"/>
      <c r="BB2627" s="38"/>
      <c r="BC2627" s="38"/>
      <c r="BD2627" s="38"/>
      <c r="BE2627" s="38"/>
      <c r="BF2627" s="38"/>
      <c r="BG2627" s="38"/>
      <c r="BH2627" s="38"/>
      <c r="BI2627" s="38"/>
      <c r="BJ2627" s="38"/>
      <c r="BK2627" s="38"/>
      <c r="BL2627" s="38"/>
      <c r="BM2627" s="38"/>
      <c r="BN2627" s="38"/>
      <c r="BO2627" s="38"/>
      <c r="BP2627" s="38"/>
      <c r="BQ2627" s="38"/>
    </row>
    <row r="2628">
      <c r="A2628" s="16"/>
      <c r="B2628" s="16"/>
      <c r="C2628" s="146"/>
      <c r="D2628" s="146"/>
      <c r="E2628" s="16"/>
      <c r="F2628" s="91"/>
      <c r="G2628" s="16"/>
      <c r="H2628" s="320" t="str">
        <f t="shared" si="33"/>
        <v/>
      </c>
      <c r="I2628" s="16"/>
      <c r="J2628" s="16"/>
      <c r="K2628" s="16"/>
      <c r="L2628" s="16"/>
      <c r="M2628" s="15"/>
      <c r="N2628" s="15"/>
      <c r="O2628" s="16"/>
      <c r="P2628" s="16"/>
      <c r="Q2628" s="16"/>
      <c r="R2628" s="16"/>
      <c r="S2628" s="37" t="str">
        <f>IFERROR(__xludf.DUMMYFUNCTION("if(not(iserror(index(split(C2628, "" ""),2))), index(split(C2628, "" ""),1),"""")"),"")</f>
        <v/>
      </c>
      <c r="T2628" s="315" t="str">
        <f>IFERROR(__xludf.DUMMYFUNCTION("if(S2628="""",C2628,if(not(iserror(index(split(C2628, "" ""),3))), index(split(C2628, "" ""),3),index(split(C2628, "" ""),2)))"),"")</f>
        <v/>
      </c>
      <c r="U2628" s="38" t="b">
        <f t="shared" si="34"/>
        <v>0</v>
      </c>
      <c r="V2628" s="38"/>
      <c r="W2628" s="40"/>
      <c r="X2628" s="40"/>
      <c r="Y2628" s="38"/>
      <c r="Z2628" s="38"/>
      <c r="AA2628" s="38"/>
      <c r="AB2628" s="38"/>
      <c r="AC2628" s="38"/>
      <c r="AD2628" s="38"/>
      <c r="AE2628" s="38"/>
      <c r="AF2628" s="38"/>
      <c r="AG2628" s="38"/>
      <c r="AH2628" s="38"/>
      <c r="AI2628" s="38"/>
      <c r="AJ2628" s="38"/>
      <c r="AK2628" s="38"/>
      <c r="AL2628" s="38"/>
      <c r="AM2628" s="38"/>
      <c r="AN2628" s="38"/>
      <c r="AO2628" s="38"/>
      <c r="AP2628" s="38"/>
      <c r="AQ2628" s="38"/>
      <c r="AR2628" s="38"/>
      <c r="AS2628" s="38"/>
      <c r="AT2628" s="38"/>
      <c r="AU2628" s="38"/>
      <c r="AV2628" s="38"/>
      <c r="AW2628" s="38"/>
      <c r="AX2628" s="38"/>
      <c r="AY2628" s="38"/>
      <c r="AZ2628" s="38"/>
      <c r="BA2628" s="38"/>
      <c r="BB2628" s="38"/>
      <c r="BC2628" s="38"/>
      <c r="BD2628" s="38"/>
      <c r="BE2628" s="38"/>
      <c r="BF2628" s="38"/>
      <c r="BG2628" s="38"/>
      <c r="BH2628" s="38"/>
      <c r="BI2628" s="38"/>
      <c r="BJ2628" s="38"/>
      <c r="BK2628" s="38"/>
      <c r="BL2628" s="38"/>
      <c r="BM2628" s="38"/>
      <c r="BN2628" s="38"/>
      <c r="BO2628" s="38"/>
      <c r="BP2628" s="38"/>
      <c r="BQ2628" s="38"/>
    </row>
    <row r="2629">
      <c r="A2629" s="16"/>
      <c r="B2629" s="16"/>
      <c r="C2629" s="146"/>
      <c r="D2629" s="146"/>
      <c r="E2629" s="16"/>
      <c r="F2629" s="91"/>
      <c r="G2629" s="16"/>
      <c r="H2629" s="320" t="str">
        <f t="shared" si="33"/>
        <v/>
      </c>
      <c r="I2629" s="16"/>
      <c r="J2629" s="16"/>
      <c r="K2629" s="16"/>
      <c r="L2629" s="16"/>
      <c r="M2629" s="15"/>
      <c r="N2629" s="15"/>
      <c r="O2629" s="16"/>
      <c r="P2629" s="16"/>
      <c r="Q2629" s="16"/>
      <c r="R2629" s="16"/>
      <c r="S2629" s="37" t="str">
        <f>IFERROR(__xludf.DUMMYFUNCTION("if(not(iserror(index(split(C2629, "" ""),2))), index(split(C2629, "" ""),1),"""")"),"")</f>
        <v/>
      </c>
      <c r="T2629" s="315" t="str">
        <f>IFERROR(__xludf.DUMMYFUNCTION("if(S2629="""",C2629,if(not(iserror(index(split(C2629, "" ""),3))), index(split(C2629, "" ""),3),index(split(C2629, "" ""),2)))"),"")</f>
        <v/>
      </c>
      <c r="U2629" s="38" t="b">
        <f t="shared" si="34"/>
        <v>0</v>
      </c>
      <c r="V2629" s="38"/>
      <c r="W2629" s="40"/>
      <c r="X2629" s="40"/>
      <c r="Y2629" s="38"/>
      <c r="Z2629" s="38"/>
      <c r="AA2629" s="38"/>
      <c r="AB2629" s="38"/>
      <c r="AC2629" s="38"/>
      <c r="AD2629" s="38"/>
      <c r="AE2629" s="38"/>
      <c r="AF2629" s="38"/>
      <c r="AG2629" s="38"/>
      <c r="AH2629" s="38"/>
      <c r="AI2629" s="38"/>
      <c r="AJ2629" s="38"/>
      <c r="AK2629" s="38"/>
      <c r="AL2629" s="38"/>
      <c r="AM2629" s="38"/>
      <c r="AN2629" s="38"/>
      <c r="AO2629" s="38"/>
      <c r="AP2629" s="38"/>
      <c r="AQ2629" s="38"/>
      <c r="AR2629" s="38"/>
      <c r="AS2629" s="38"/>
      <c r="AT2629" s="38"/>
      <c r="AU2629" s="38"/>
      <c r="AV2629" s="38"/>
      <c r="AW2629" s="38"/>
      <c r="AX2629" s="38"/>
      <c r="AY2629" s="38"/>
      <c r="AZ2629" s="38"/>
      <c r="BA2629" s="38"/>
      <c r="BB2629" s="38"/>
      <c r="BC2629" s="38"/>
      <c r="BD2629" s="38"/>
      <c r="BE2629" s="38"/>
      <c r="BF2629" s="38"/>
      <c r="BG2629" s="38"/>
      <c r="BH2629" s="38"/>
      <c r="BI2629" s="38"/>
      <c r="BJ2629" s="38"/>
      <c r="BK2629" s="38"/>
      <c r="BL2629" s="38"/>
      <c r="BM2629" s="38"/>
      <c r="BN2629" s="38"/>
      <c r="BO2629" s="38"/>
      <c r="BP2629" s="38"/>
      <c r="BQ2629" s="38"/>
    </row>
    <row r="2630">
      <c r="A2630" s="16"/>
      <c r="B2630" s="16"/>
      <c r="C2630" s="146"/>
      <c r="D2630" s="146"/>
      <c r="E2630" s="16"/>
      <c r="F2630" s="91"/>
      <c r="G2630" s="16"/>
      <c r="H2630" s="320" t="str">
        <f t="shared" si="33"/>
        <v/>
      </c>
      <c r="I2630" s="16"/>
      <c r="J2630" s="16"/>
      <c r="K2630" s="16"/>
      <c r="L2630" s="16"/>
      <c r="M2630" s="15"/>
      <c r="N2630" s="15"/>
      <c r="O2630" s="16"/>
      <c r="P2630" s="16"/>
      <c r="Q2630" s="16"/>
      <c r="R2630" s="16"/>
      <c r="S2630" s="37" t="str">
        <f>IFERROR(__xludf.DUMMYFUNCTION("if(not(iserror(index(split(C2630, "" ""),2))), index(split(C2630, "" ""),1),"""")"),"")</f>
        <v/>
      </c>
      <c r="T2630" s="315" t="str">
        <f>IFERROR(__xludf.DUMMYFUNCTION("if(S2630="""",C2630,if(not(iserror(index(split(C2630, "" ""),3))), index(split(C2630, "" ""),3),index(split(C2630, "" ""),2)))"),"")</f>
        <v/>
      </c>
      <c r="U2630" s="38" t="b">
        <f t="shared" si="34"/>
        <v>0</v>
      </c>
      <c r="V2630" s="38"/>
      <c r="W2630" s="40"/>
      <c r="X2630" s="40"/>
      <c r="Y2630" s="38"/>
      <c r="Z2630" s="38"/>
      <c r="AA2630" s="38"/>
      <c r="AB2630" s="38"/>
      <c r="AC2630" s="38"/>
      <c r="AD2630" s="38"/>
      <c r="AE2630" s="38"/>
      <c r="AF2630" s="38"/>
      <c r="AG2630" s="38"/>
      <c r="AH2630" s="38"/>
      <c r="AI2630" s="38"/>
      <c r="AJ2630" s="38"/>
      <c r="AK2630" s="38"/>
      <c r="AL2630" s="38"/>
      <c r="AM2630" s="38"/>
      <c r="AN2630" s="38"/>
      <c r="AO2630" s="38"/>
      <c r="AP2630" s="38"/>
      <c r="AQ2630" s="38"/>
      <c r="AR2630" s="38"/>
      <c r="AS2630" s="38"/>
      <c r="AT2630" s="38"/>
      <c r="AU2630" s="38"/>
      <c r="AV2630" s="38"/>
      <c r="AW2630" s="38"/>
      <c r="AX2630" s="38"/>
      <c r="AY2630" s="38"/>
      <c r="AZ2630" s="38"/>
      <c r="BA2630" s="38"/>
      <c r="BB2630" s="38"/>
      <c r="BC2630" s="38"/>
      <c r="BD2630" s="38"/>
      <c r="BE2630" s="38"/>
      <c r="BF2630" s="38"/>
      <c r="BG2630" s="38"/>
      <c r="BH2630" s="38"/>
      <c r="BI2630" s="38"/>
      <c r="BJ2630" s="38"/>
      <c r="BK2630" s="38"/>
      <c r="BL2630" s="38"/>
      <c r="BM2630" s="38"/>
      <c r="BN2630" s="38"/>
      <c r="BO2630" s="38"/>
      <c r="BP2630" s="38"/>
      <c r="BQ2630" s="38"/>
    </row>
    <row r="2631">
      <c r="A2631" s="16"/>
      <c r="B2631" s="16"/>
      <c r="C2631" s="146"/>
      <c r="D2631" s="146"/>
      <c r="E2631" s="16"/>
      <c r="F2631" s="91"/>
      <c r="G2631" s="16"/>
      <c r="H2631" s="320" t="str">
        <f t="shared" si="33"/>
        <v/>
      </c>
      <c r="I2631" s="16"/>
      <c r="J2631" s="16"/>
      <c r="K2631" s="16"/>
      <c r="L2631" s="16"/>
      <c r="M2631" s="15"/>
      <c r="N2631" s="15"/>
      <c r="O2631" s="16"/>
      <c r="P2631" s="16"/>
      <c r="Q2631" s="16"/>
      <c r="R2631" s="16"/>
      <c r="S2631" s="37" t="str">
        <f>IFERROR(__xludf.DUMMYFUNCTION("if(not(iserror(index(split(C2631, "" ""),2))), index(split(C2631, "" ""),1),"""")"),"")</f>
        <v/>
      </c>
      <c r="T2631" s="315" t="str">
        <f>IFERROR(__xludf.DUMMYFUNCTION("if(S2631="""",C2631,if(not(iserror(index(split(C2631, "" ""),3))), index(split(C2631, "" ""),3),index(split(C2631, "" ""),2)))"),"")</f>
        <v/>
      </c>
      <c r="U2631" s="38" t="b">
        <f t="shared" si="34"/>
        <v>0</v>
      </c>
      <c r="V2631" s="38"/>
      <c r="W2631" s="40"/>
      <c r="X2631" s="40"/>
      <c r="Y2631" s="38"/>
      <c r="Z2631" s="38"/>
      <c r="AA2631" s="38"/>
      <c r="AB2631" s="38"/>
      <c r="AC2631" s="38"/>
      <c r="AD2631" s="38"/>
      <c r="AE2631" s="38"/>
      <c r="AF2631" s="38"/>
      <c r="AG2631" s="38"/>
      <c r="AH2631" s="38"/>
      <c r="AI2631" s="38"/>
      <c r="AJ2631" s="38"/>
      <c r="AK2631" s="38"/>
      <c r="AL2631" s="38"/>
      <c r="AM2631" s="38"/>
      <c r="AN2631" s="38"/>
      <c r="AO2631" s="38"/>
      <c r="AP2631" s="38"/>
      <c r="AQ2631" s="38"/>
      <c r="AR2631" s="38"/>
      <c r="AS2631" s="38"/>
      <c r="AT2631" s="38"/>
      <c r="AU2631" s="38"/>
      <c r="AV2631" s="38"/>
      <c r="AW2631" s="38"/>
      <c r="AX2631" s="38"/>
      <c r="AY2631" s="38"/>
      <c r="AZ2631" s="38"/>
      <c r="BA2631" s="38"/>
      <c r="BB2631" s="38"/>
      <c r="BC2631" s="38"/>
      <c r="BD2631" s="38"/>
      <c r="BE2631" s="38"/>
      <c r="BF2631" s="38"/>
      <c r="BG2631" s="38"/>
      <c r="BH2631" s="38"/>
      <c r="BI2631" s="38"/>
      <c r="BJ2631" s="38"/>
      <c r="BK2631" s="38"/>
      <c r="BL2631" s="38"/>
      <c r="BM2631" s="38"/>
      <c r="BN2631" s="38"/>
      <c r="BO2631" s="38"/>
      <c r="BP2631" s="38"/>
      <c r="BQ2631" s="38"/>
    </row>
    <row r="2632">
      <c r="A2632" s="16"/>
      <c r="B2632" s="16"/>
      <c r="C2632" s="146"/>
      <c r="D2632" s="146"/>
      <c r="E2632" s="16"/>
      <c r="F2632" s="91"/>
      <c r="G2632" s="16"/>
      <c r="H2632" s="320" t="str">
        <f t="shared" si="33"/>
        <v/>
      </c>
      <c r="I2632" s="16"/>
      <c r="J2632" s="16"/>
      <c r="K2632" s="16"/>
      <c r="L2632" s="16"/>
      <c r="M2632" s="15"/>
      <c r="N2632" s="15"/>
      <c r="O2632" s="16"/>
      <c r="P2632" s="16"/>
      <c r="Q2632" s="16"/>
      <c r="R2632" s="16"/>
      <c r="S2632" s="37" t="str">
        <f>IFERROR(__xludf.DUMMYFUNCTION("if(not(iserror(index(split(C2632, "" ""),2))), index(split(C2632, "" ""),1),"""")"),"")</f>
        <v/>
      </c>
      <c r="T2632" s="315" t="str">
        <f>IFERROR(__xludf.DUMMYFUNCTION("if(S2632="""",C2632,if(not(iserror(index(split(C2632, "" ""),3))), index(split(C2632, "" ""),3),index(split(C2632, "" ""),2)))"),"")</f>
        <v/>
      </c>
      <c r="U2632" s="38" t="b">
        <f t="shared" si="34"/>
        <v>0</v>
      </c>
      <c r="V2632" s="38"/>
      <c r="W2632" s="40"/>
      <c r="X2632" s="40"/>
      <c r="Y2632" s="38"/>
      <c r="Z2632" s="38"/>
      <c r="AA2632" s="38"/>
      <c r="AB2632" s="38"/>
      <c r="AC2632" s="38"/>
      <c r="AD2632" s="38"/>
      <c r="AE2632" s="38"/>
      <c r="AF2632" s="38"/>
      <c r="AG2632" s="38"/>
      <c r="AH2632" s="38"/>
      <c r="AI2632" s="38"/>
      <c r="AJ2632" s="38"/>
      <c r="AK2632" s="38"/>
      <c r="AL2632" s="38"/>
      <c r="AM2632" s="38"/>
      <c r="AN2632" s="38"/>
      <c r="AO2632" s="38"/>
      <c r="AP2632" s="38"/>
      <c r="AQ2632" s="38"/>
      <c r="AR2632" s="38"/>
      <c r="AS2632" s="38"/>
      <c r="AT2632" s="38"/>
      <c r="AU2632" s="38"/>
      <c r="AV2632" s="38"/>
      <c r="AW2632" s="38"/>
      <c r="AX2632" s="38"/>
      <c r="AY2632" s="38"/>
      <c r="AZ2632" s="38"/>
      <c r="BA2632" s="38"/>
      <c r="BB2632" s="38"/>
      <c r="BC2632" s="38"/>
      <c r="BD2632" s="38"/>
      <c r="BE2632" s="38"/>
      <c r="BF2632" s="38"/>
      <c r="BG2632" s="38"/>
      <c r="BH2632" s="38"/>
      <c r="BI2632" s="38"/>
      <c r="BJ2632" s="38"/>
      <c r="BK2632" s="38"/>
      <c r="BL2632" s="38"/>
      <c r="BM2632" s="38"/>
      <c r="BN2632" s="38"/>
      <c r="BO2632" s="38"/>
      <c r="BP2632" s="38"/>
      <c r="BQ2632" s="38"/>
    </row>
    <row r="2633">
      <c r="A2633" s="16"/>
      <c r="B2633" s="16"/>
      <c r="C2633" s="146"/>
      <c r="D2633" s="146"/>
      <c r="E2633" s="16"/>
      <c r="F2633" s="91"/>
      <c r="G2633" s="16"/>
      <c r="H2633" s="320" t="str">
        <f t="shared" si="33"/>
        <v/>
      </c>
      <c r="I2633" s="16"/>
      <c r="J2633" s="16"/>
      <c r="K2633" s="16"/>
      <c r="L2633" s="16"/>
      <c r="M2633" s="15"/>
      <c r="N2633" s="15"/>
      <c r="O2633" s="16"/>
      <c r="P2633" s="16"/>
      <c r="Q2633" s="16"/>
      <c r="R2633" s="16"/>
      <c r="S2633" s="37" t="str">
        <f>IFERROR(__xludf.DUMMYFUNCTION("if(not(iserror(index(split(C2633, "" ""),2))), index(split(C2633, "" ""),1),"""")"),"")</f>
        <v/>
      </c>
      <c r="T2633" s="315" t="str">
        <f>IFERROR(__xludf.DUMMYFUNCTION("if(S2633="""",C2633,if(not(iserror(index(split(C2633, "" ""),3))), index(split(C2633, "" ""),3),index(split(C2633, "" ""),2)))"),"")</f>
        <v/>
      </c>
      <c r="U2633" s="38" t="b">
        <f t="shared" si="34"/>
        <v>0</v>
      </c>
      <c r="V2633" s="38"/>
      <c r="W2633" s="40"/>
      <c r="X2633" s="40"/>
      <c r="Y2633" s="38"/>
      <c r="Z2633" s="38"/>
      <c r="AA2633" s="38"/>
      <c r="AB2633" s="38"/>
      <c r="AC2633" s="38"/>
      <c r="AD2633" s="38"/>
      <c r="AE2633" s="38"/>
      <c r="AF2633" s="38"/>
      <c r="AG2633" s="38"/>
      <c r="AH2633" s="38"/>
      <c r="AI2633" s="38"/>
      <c r="AJ2633" s="38"/>
      <c r="AK2633" s="38"/>
      <c r="AL2633" s="38"/>
      <c r="AM2633" s="38"/>
      <c r="AN2633" s="38"/>
      <c r="AO2633" s="38"/>
      <c r="AP2633" s="38"/>
      <c r="AQ2633" s="38"/>
      <c r="AR2633" s="38"/>
      <c r="AS2633" s="38"/>
      <c r="AT2633" s="38"/>
      <c r="AU2633" s="38"/>
      <c r="AV2633" s="38"/>
      <c r="AW2633" s="38"/>
      <c r="AX2633" s="38"/>
      <c r="AY2633" s="38"/>
      <c r="AZ2633" s="38"/>
      <c r="BA2633" s="38"/>
      <c r="BB2633" s="38"/>
      <c r="BC2633" s="38"/>
      <c r="BD2633" s="38"/>
      <c r="BE2633" s="38"/>
      <c r="BF2633" s="38"/>
      <c r="BG2633" s="38"/>
      <c r="BH2633" s="38"/>
      <c r="BI2633" s="38"/>
      <c r="BJ2633" s="38"/>
      <c r="BK2633" s="38"/>
      <c r="BL2633" s="38"/>
      <c r="BM2633" s="38"/>
      <c r="BN2633" s="38"/>
      <c r="BO2633" s="38"/>
      <c r="BP2633" s="38"/>
      <c r="BQ2633" s="38"/>
    </row>
    <row r="2634">
      <c r="A2634" s="16"/>
      <c r="B2634" s="16"/>
      <c r="C2634" s="146"/>
      <c r="D2634" s="146"/>
      <c r="E2634" s="16"/>
      <c r="F2634" s="91"/>
      <c r="G2634" s="16"/>
      <c r="H2634" s="320" t="str">
        <f t="shared" si="33"/>
        <v/>
      </c>
      <c r="I2634" s="16"/>
      <c r="J2634" s="16"/>
      <c r="K2634" s="16"/>
      <c r="L2634" s="16"/>
      <c r="M2634" s="15"/>
      <c r="N2634" s="15"/>
      <c r="O2634" s="16"/>
      <c r="P2634" s="16"/>
      <c r="Q2634" s="16"/>
      <c r="R2634" s="16"/>
      <c r="S2634" s="37" t="str">
        <f>IFERROR(__xludf.DUMMYFUNCTION("if(not(iserror(index(split(C2634, "" ""),2))), index(split(C2634, "" ""),1),"""")"),"")</f>
        <v/>
      </c>
      <c r="T2634" s="315" t="str">
        <f>IFERROR(__xludf.DUMMYFUNCTION("if(S2634="""",C2634,if(not(iserror(index(split(C2634, "" ""),3))), index(split(C2634, "" ""),3),index(split(C2634, "" ""),2)))"),"")</f>
        <v/>
      </c>
      <c r="U2634" s="38" t="b">
        <f t="shared" si="34"/>
        <v>0</v>
      </c>
      <c r="V2634" s="38"/>
      <c r="W2634" s="40"/>
      <c r="X2634" s="40"/>
      <c r="Y2634" s="38"/>
      <c r="Z2634" s="38"/>
      <c r="AA2634" s="38"/>
      <c r="AB2634" s="38"/>
      <c r="AC2634" s="38"/>
      <c r="AD2634" s="38"/>
      <c r="AE2634" s="38"/>
      <c r="AF2634" s="38"/>
      <c r="AG2634" s="38"/>
      <c r="AH2634" s="38"/>
      <c r="AI2634" s="38"/>
      <c r="AJ2634" s="38"/>
      <c r="AK2634" s="38"/>
      <c r="AL2634" s="38"/>
      <c r="AM2634" s="38"/>
      <c r="AN2634" s="38"/>
      <c r="AO2634" s="38"/>
      <c r="AP2634" s="38"/>
      <c r="AQ2634" s="38"/>
      <c r="AR2634" s="38"/>
      <c r="AS2634" s="38"/>
      <c r="AT2634" s="38"/>
      <c r="AU2634" s="38"/>
      <c r="AV2634" s="38"/>
      <c r="AW2634" s="38"/>
      <c r="AX2634" s="38"/>
      <c r="AY2634" s="38"/>
      <c r="AZ2634" s="38"/>
      <c r="BA2634" s="38"/>
      <c r="BB2634" s="38"/>
      <c r="BC2634" s="38"/>
      <c r="BD2634" s="38"/>
      <c r="BE2634" s="38"/>
      <c r="BF2634" s="38"/>
      <c r="BG2634" s="38"/>
      <c r="BH2634" s="38"/>
      <c r="BI2634" s="38"/>
      <c r="BJ2634" s="38"/>
      <c r="BK2634" s="38"/>
      <c r="BL2634" s="38"/>
      <c r="BM2634" s="38"/>
      <c r="BN2634" s="38"/>
      <c r="BO2634" s="38"/>
      <c r="BP2634" s="38"/>
      <c r="BQ2634" s="38"/>
    </row>
    <row r="2635">
      <c r="A2635" s="16"/>
      <c r="B2635" s="16"/>
      <c r="C2635" s="146"/>
      <c r="D2635" s="146"/>
      <c r="E2635" s="16"/>
      <c r="F2635" s="91"/>
      <c r="G2635" s="16"/>
      <c r="H2635" s="320" t="str">
        <f t="shared" si="33"/>
        <v/>
      </c>
      <c r="I2635" s="16"/>
      <c r="J2635" s="16"/>
      <c r="K2635" s="16"/>
      <c r="L2635" s="16"/>
      <c r="M2635" s="15"/>
      <c r="N2635" s="15"/>
      <c r="O2635" s="16"/>
      <c r="P2635" s="16"/>
      <c r="Q2635" s="16"/>
      <c r="R2635" s="16"/>
      <c r="S2635" s="37" t="str">
        <f>IFERROR(__xludf.DUMMYFUNCTION("if(not(iserror(index(split(C2635, "" ""),2))), index(split(C2635, "" ""),1),"""")"),"")</f>
        <v/>
      </c>
      <c r="T2635" s="315" t="str">
        <f>IFERROR(__xludf.DUMMYFUNCTION("if(S2635="""",C2635,if(not(iserror(index(split(C2635, "" ""),3))), index(split(C2635, "" ""),3),index(split(C2635, "" ""),2)))"),"")</f>
        <v/>
      </c>
      <c r="U2635" s="38" t="b">
        <f t="shared" si="34"/>
        <v>0</v>
      </c>
      <c r="V2635" s="38"/>
      <c r="W2635" s="40"/>
      <c r="X2635" s="40"/>
      <c r="Y2635" s="38"/>
      <c r="Z2635" s="38"/>
      <c r="AA2635" s="38"/>
      <c r="AB2635" s="38"/>
      <c r="AC2635" s="38"/>
      <c r="AD2635" s="38"/>
      <c r="AE2635" s="38"/>
      <c r="AF2635" s="38"/>
      <c r="AG2635" s="38"/>
      <c r="AH2635" s="38"/>
      <c r="AI2635" s="38"/>
      <c r="AJ2635" s="38"/>
      <c r="AK2635" s="38"/>
      <c r="AL2635" s="38"/>
      <c r="AM2635" s="38"/>
      <c r="AN2635" s="38"/>
      <c r="AO2635" s="38"/>
      <c r="AP2635" s="38"/>
      <c r="AQ2635" s="38"/>
      <c r="AR2635" s="38"/>
      <c r="AS2635" s="38"/>
      <c r="AT2635" s="38"/>
      <c r="AU2635" s="38"/>
      <c r="AV2635" s="38"/>
      <c r="AW2635" s="38"/>
      <c r="AX2635" s="38"/>
      <c r="AY2635" s="38"/>
      <c r="AZ2635" s="38"/>
      <c r="BA2635" s="38"/>
      <c r="BB2635" s="38"/>
      <c r="BC2635" s="38"/>
      <c r="BD2635" s="38"/>
      <c r="BE2635" s="38"/>
      <c r="BF2635" s="38"/>
      <c r="BG2635" s="38"/>
      <c r="BH2635" s="38"/>
      <c r="BI2635" s="38"/>
      <c r="BJ2635" s="38"/>
      <c r="BK2635" s="38"/>
      <c r="BL2635" s="38"/>
      <c r="BM2635" s="38"/>
      <c r="BN2635" s="38"/>
      <c r="BO2635" s="38"/>
      <c r="BP2635" s="38"/>
      <c r="BQ2635" s="38"/>
    </row>
    <row r="2636">
      <c r="A2636" s="16"/>
      <c r="B2636" s="16"/>
      <c r="C2636" s="146"/>
      <c r="D2636" s="146"/>
      <c r="E2636" s="16"/>
      <c r="F2636" s="91"/>
      <c r="G2636" s="16"/>
      <c r="H2636" s="320" t="str">
        <f t="shared" si="33"/>
        <v/>
      </c>
      <c r="I2636" s="16"/>
      <c r="J2636" s="16"/>
      <c r="K2636" s="16"/>
      <c r="L2636" s="16"/>
      <c r="M2636" s="15"/>
      <c r="N2636" s="15"/>
      <c r="O2636" s="16"/>
      <c r="P2636" s="16"/>
      <c r="Q2636" s="16"/>
      <c r="R2636" s="16"/>
      <c r="S2636" s="37" t="str">
        <f>IFERROR(__xludf.DUMMYFUNCTION("if(not(iserror(index(split(C2636, "" ""),2))), index(split(C2636, "" ""),1),"""")"),"")</f>
        <v/>
      </c>
      <c r="T2636" s="315" t="str">
        <f>IFERROR(__xludf.DUMMYFUNCTION("if(S2636="""",C2636,if(not(iserror(index(split(C2636, "" ""),3))), index(split(C2636, "" ""),3),index(split(C2636, "" ""),2)))"),"")</f>
        <v/>
      </c>
      <c r="U2636" s="38" t="b">
        <f t="shared" si="34"/>
        <v>0</v>
      </c>
      <c r="V2636" s="38"/>
      <c r="W2636" s="40"/>
      <c r="X2636" s="40"/>
      <c r="Y2636" s="38"/>
      <c r="Z2636" s="38"/>
      <c r="AA2636" s="38"/>
      <c r="AB2636" s="38"/>
      <c r="AC2636" s="38"/>
      <c r="AD2636" s="38"/>
      <c r="AE2636" s="38"/>
      <c r="AF2636" s="38"/>
      <c r="AG2636" s="38"/>
      <c r="AH2636" s="38"/>
      <c r="AI2636" s="38"/>
      <c r="AJ2636" s="38"/>
      <c r="AK2636" s="38"/>
      <c r="AL2636" s="38"/>
      <c r="AM2636" s="38"/>
      <c r="AN2636" s="38"/>
      <c r="AO2636" s="38"/>
      <c r="AP2636" s="38"/>
      <c r="AQ2636" s="38"/>
      <c r="AR2636" s="38"/>
      <c r="AS2636" s="38"/>
      <c r="AT2636" s="38"/>
      <c r="AU2636" s="38"/>
      <c r="AV2636" s="38"/>
      <c r="AW2636" s="38"/>
      <c r="AX2636" s="38"/>
      <c r="AY2636" s="38"/>
      <c r="AZ2636" s="38"/>
      <c r="BA2636" s="38"/>
      <c r="BB2636" s="38"/>
      <c r="BC2636" s="38"/>
      <c r="BD2636" s="38"/>
      <c r="BE2636" s="38"/>
      <c r="BF2636" s="38"/>
      <c r="BG2636" s="38"/>
      <c r="BH2636" s="38"/>
      <c r="BI2636" s="38"/>
      <c r="BJ2636" s="38"/>
      <c r="BK2636" s="38"/>
      <c r="BL2636" s="38"/>
      <c r="BM2636" s="38"/>
      <c r="BN2636" s="38"/>
      <c r="BO2636" s="38"/>
      <c r="BP2636" s="38"/>
      <c r="BQ2636" s="38"/>
    </row>
    <row r="2637">
      <c r="A2637" s="16"/>
      <c r="B2637" s="16"/>
      <c r="C2637" s="146"/>
      <c r="D2637" s="146"/>
      <c r="E2637" s="16"/>
      <c r="F2637" s="91"/>
      <c r="G2637" s="16"/>
      <c r="H2637" s="320" t="str">
        <f t="shared" si="33"/>
        <v/>
      </c>
      <c r="I2637" s="16"/>
      <c r="J2637" s="16"/>
      <c r="K2637" s="16"/>
      <c r="L2637" s="16"/>
      <c r="M2637" s="15"/>
      <c r="N2637" s="15"/>
      <c r="O2637" s="16"/>
      <c r="P2637" s="16"/>
      <c r="Q2637" s="16"/>
      <c r="R2637" s="16"/>
      <c r="S2637" s="37" t="str">
        <f>IFERROR(__xludf.DUMMYFUNCTION("if(not(iserror(index(split(C2637, "" ""),2))), index(split(C2637, "" ""),1),"""")"),"")</f>
        <v/>
      </c>
      <c r="T2637" s="315" t="str">
        <f>IFERROR(__xludf.DUMMYFUNCTION("if(S2637="""",C2637,if(not(iserror(index(split(C2637, "" ""),3))), index(split(C2637, "" ""),3),index(split(C2637, "" ""),2)))"),"")</f>
        <v/>
      </c>
      <c r="U2637" s="38" t="b">
        <f t="shared" si="34"/>
        <v>0</v>
      </c>
      <c r="V2637" s="38"/>
      <c r="W2637" s="40"/>
      <c r="X2637" s="40"/>
      <c r="Y2637" s="38"/>
      <c r="Z2637" s="38"/>
      <c r="AA2637" s="38"/>
      <c r="AB2637" s="38"/>
      <c r="AC2637" s="38"/>
      <c r="AD2637" s="38"/>
      <c r="AE2637" s="38"/>
      <c r="AF2637" s="38"/>
      <c r="AG2637" s="38"/>
      <c r="AH2637" s="38"/>
      <c r="AI2637" s="38"/>
      <c r="AJ2637" s="38"/>
      <c r="AK2637" s="38"/>
      <c r="AL2637" s="38"/>
      <c r="AM2637" s="38"/>
      <c r="AN2637" s="38"/>
      <c r="AO2637" s="38"/>
      <c r="AP2637" s="38"/>
      <c r="AQ2637" s="38"/>
      <c r="AR2637" s="38"/>
      <c r="AS2637" s="38"/>
      <c r="AT2637" s="38"/>
      <c r="AU2637" s="38"/>
      <c r="AV2637" s="38"/>
      <c r="AW2637" s="38"/>
      <c r="AX2637" s="38"/>
      <c r="AY2637" s="38"/>
      <c r="AZ2637" s="38"/>
      <c r="BA2637" s="38"/>
      <c r="BB2637" s="38"/>
      <c r="BC2637" s="38"/>
      <c r="BD2637" s="38"/>
      <c r="BE2637" s="38"/>
      <c r="BF2637" s="38"/>
      <c r="BG2637" s="38"/>
      <c r="BH2637" s="38"/>
      <c r="BI2637" s="38"/>
      <c r="BJ2637" s="38"/>
      <c r="BK2637" s="38"/>
      <c r="BL2637" s="38"/>
      <c r="BM2637" s="38"/>
      <c r="BN2637" s="38"/>
      <c r="BO2637" s="38"/>
      <c r="BP2637" s="38"/>
      <c r="BQ2637" s="38"/>
    </row>
    <row r="2638">
      <c r="A2638" s="16"/>
      <c r="B2638" s="16"/>
      <c r="C2638" s="146"/>
      <c r="D2638" s="146"/>
      <c r="E2638" s="16"/>
      <c r="F2638" s="91"/>
      <c r="G2638" s="16"/>
      <c r="H2638" s="320" t="str">
        <f t="shared" si="33"/>
        <v/>
      </c>
      <c r="I2638" s="16"/>
      <c r="J2638" s="16"/>
      <c r="K2638" s="16"/>
      <c r="L2638" s="16"/>
      <c r="M2638" s="15"/>
      <c r="N2638" s="15"/>
      <c r="O2638" s="16"/>
      <c r="P2638" s="16"/>
      <c r="Q2638" s="16"/>
      <c r="R2638" s="16"/>
      <c r="S2638" s="37" t="str">
        <f>IFERROR(__xludf.DUMMYFUNCTION("if(not(iserror(index(split(C2638, "" ""),2))), index(split(C2638, "" ""),1),"""")"),"")</f>
        <v/>
      </c>
      <c r="T2638" s="315" t="str">
        <f>IFERROR(__xludf.DUMMYFUNCTION("if(S2638="""",C2638,if(not(iserror(index(split(C2638, "" ""),3))), index(split(C2638, "" ""),3),index(split(C2638, "" ""),2)))"),"")</f>
        <v/>
      </c>
      <c r="U2638" s="38" t="b">
        <f t="shared" si="34"/>
        <v>0</v>
      </c>
      <c r="V2638" s="38"/>
      <c r="W2638" s="40"/>
      <c r="X2638" s="40"/>
      <c r="Y2638" s="38"/>
      <c r="Z2638" s="38"/>
      <c r="AA2638" s="38"/>
      <c r="AB2638" s="38"/>
      <c r="AC2638" s="38"/>
      <c r="AD2638" s="38"/>
      <c r="AE2638" s="38"/>
      <c r="AF2638" s="38"/>
      <c r="AG2638" s="38"/>
      <c r="AH2638" s="38"/>
      <c r="AI2638" s="38"/>
      <c r="AJ2638" s="38"/>
      <c r="AK2638" s="38"/>
      <c r="AL2638" s="38"/>
      <c r="AM2638" s="38"/>
      <c r="AN2638" s="38"/>
      <c r="AO2638" s="38"/>
      <c r="AP2638" s="38"/>
      <c r="AQ2638" s="38"/>
      <c r="AR2638" s="38"/>
      <c r="AS2638" s="38"/>
      <c r="AT2638" s="38"/>
      <c r="AU2638" s="38"/>
      <c r="AV2638" s="38"/>
      <c r="AW2638" s="38"/>
      <c r="AX2638" s="38"/>
      <c r="AY2638" s="38"/>
      <c r="AZ2638" s="38"/>
      <c r="BA2638" s="38"/>
      <c r="BB2638" s="38"/>
      <c r="BC2638" s="38"/>
      <c r="BD2638" s="38"/>
      <c r="BE2638" s="38"/>
      <c r="BF2638" s="38"/>
      <c r="BG2638" s="38"/>
      <c r="BH2638" s="38"/>
      <c r="BI2638" s="38"/>
      <c r="BJ2638" s="38"/>
      <c r="BK2638" s="38"/>
      <c r="BL2638" s="38"/>
      <c r="BM2638" s="38"/>
      <c r="BN2638" s="38"/>
      <c r="BO2638" s="38"/>
      <c r="BP2638" s="38"/>
      <c r="BQ2638" s="38"/>
    </row>
    <row r="2639">
      <c r="A2639" s="16"/>
      <c r="B2639" s="16"/>
      <c r="C2639" s="146"/>
      <c r="D2639" s="146"/>
      <c r="E2639" s="16"/>
      <c r="F2639" s="91"/>
      <c r="G2639" s="16"/>
      <c r="H2639" s="320" t="str">
        <f t="shared" si="33"/>
        <v/>
      </c>
      <c r="I2639" s="16"/>
      <c r="J2639" s="16"/>
      <c r="K2639" s="16"/>
      <c r="L2639" s="16"/>
      <c r="M2639" s="15"/>
      <c r="N2639" s="15"/>
      <c r="O2639" s="16"/>
      <c r="P2639" s="16"/>
      <c r="Q2639" s="16"/>
      <c r="R2639" s="16"/>
      <c r="S2639" s="37" t="str">
        <f>IFERROR(__xludf.DUMMYFUNCTION("if(not(iserror(index(split(C2639, "" ""),2))), index(split(C2639, "" ""),1),"""")"),"")</f>
        <v/>
      </c>
      <c r="T2639" s="315" t="str">
        <f>IFERROR(__xludf.DUMMYFUNCTION("if(S2639="""",C2639,if(not(iserror(index(split(C2639, "" ""),3))), index(split(C2639, "" ""),3),index(split(C2639, "" ""),2)))"),"")</f>
        <v/>
      </c>
      <c r="U2639" s="38" t="b">
        <f t="shared" si="34"/>
        <v>0</v>
      </c>
      <c r="V2639" s="38"/>
      <c r="W2639" s="40"/>
      <c r="X2639" s="40"/>
      <c r="Y2639" s="38"/>
      <c r="Z2639" s="38"/>
      <c r="AA2639" s="38"/>
      <c r="AB2639" s="38"/>
      <c r="AC2639" s="38"/>
      <c r="AD2639" s="38"/>
      <c r="AE2639" s="38"/>
      <c r="AF2639" s="38"/>
      <c r="AG2639" s="38"/>
      <c r="AH2639" s="38"/>
      <c r="AI2639" s="38"/>
      <c r="AJ2639" s="38"/>
      <c r="AK2639" s="38"/>
      <c r="AL2639" s="38"/>
      <c r="AM2639" s="38"/>
      <c r="AN2639" s="38"/>
      <c r="AO2639" s="38"/>
      <c r="AP2639" s="38"/>
      <c r="AQ2639" s="38"/>
      <c r="AR2639" s="38"/>
      <c r="AS2639" s="38"/>
      <c r="AT2639" s="38"/>
      <c r="AU2639" s="38"/>
      <c r="AV2639" s="38"/>
      <c r="AW2639" s="38"/>
      <c r="AX2639" s="38"/>
      <c r="AY2639" s="38"/>
      <c r="AZ2639" s="38"/>
      <c r="BA2639" s="38"/>
      <c r="BB2639" s="38"/>
      <c r="BC2639" s="38"/>
      <c r="BD2639" s="38"/>
      <c r="BE2639" s="38"/>
      <c r="BF2639" s="38"/>
      <c r="BG2639" s="38"/>
      <c r="BH2639" s="38"/>
      <c r="BI2639" s="38"/>
      <c r="BJ2639" s="38"/>
      <c r="BK2639" s="38"/>
      <c r="BL2639" s="38"/>
      <c r="BM2639" s="38"/>
      <c r="BN2639" s="38"/>
      <c r="BO2639" s="38"/>
      <c r="BP2639" s="38"/>
      <c r="BQ2639" s="38"/>
    </row>
    <row r="2640">
      <c r="A2640" s="16"/>
      <c r="B2640" s="16"/>
      <c r="C2640" s="146"/>
      <c r="D2640" s="146"/>
      <c r="E2640" s="16"/>
      <c r="F2640" s="91"/>
      <c r="G2640" s="16"/>
      <c r="H2640" s="320" t="str">
        <f t="shared" si="33"/>
        <v/>
      </c>
      <c r="I2640" s="16"/>
      <c r="J2640" s="16"/>
      <c r="K2640" s="16"/>
      <c r="L2640" s="16"/>
      <c r="M2640" s="15"/>
      <c r="N2640" s="15"/>
      <c r="O2640" s="16"/>
      <c r="P2640" s="16"/>
      <c r="Q2640" s="16"/>
      <c r="R2640" s="16"/>
      <c r="S2640" s="37" t="str">
        <f>IFERROR(__xludf.DUMMYFUNCTION("if(not(iserror(index(split(C2640, "" ""),2))), index(split(C2640, "" ""),1),"""")"),"")</f>
        <v/>
      </c>
      <c r="T2640" s="315" t="str">
        <f>IFERROR(__xludf.DUMMYFUNCTION("if(S2640="""",C2640,if(not(iserror(index(split(C2640, "" ""),3))), index(split(C2640, "" ""),3),index(split(C2640, "" ""),2)))"),"")</f>
        <v/>
      </c>
      <c r="U2640" s="38" t="b">
        <f t="shared" si="34"/>
        <v>0</v>
      </c>
      <c r="V2640" s="38"/>
      <c r="W2640" s="40"/>
      <c r="X2640" s="40"/>
      <c r="Y2640" s="38"/>
      <c r="Z2640" s="38"/>
      <c r="AA2640" s="38"/>
      <c r="AB2640" s="38"/>
      <c r="AC2640" s="38"/>
      <c r="AD2640" s="38"/>
      <c r="AE2640" s="38"/>
      <c r="AF2640" s="38"/>
      <c r="AG2640" s="38"/>
      <c r="AH2640" s="38"/>
      <c r="AI2640" s="38"/>
      <c r="AJ2640" s="38"/>
      <c r="AK2640" s="38"/>
      <c r="AL2640" s="38"/>
      <c r="AM2640" s="38"/>
      <c r="AN2640" s="38"/>
      <c r="AO2640" s="38"/>
      <c r="AP2640" s="38"/>
      <c r="AQ2640" s="38"/>
      <c r="AR2640" s="38"/>
      <c r="AS2640" s="38"/>
      <c r="AT2640" s="38"/>
      <c r="AU2640" s="38"/>
      <c r="AV2640" s="38"/>
      <c r="AW2640" s="38"/>
      <c r="AX2640" s="38"/>
      <c r="AY2640" s="38"/>
      <c r="AZ2640" s="38"/>
      <c r="BA2640" s="38"/>
      <c r="BB2640" s="38"/>
      <c r="BC2640" s="38"/>
      <c r="BD2640" s="38"/>
      <c r="BE2640" s="38"/>
      <c r="BF2640" s="38"/>
      <c r="BG2640" s="38"/>
      <c r="BH2640" s="38"/>
      <c r="BI2640" s="38"/>
      <c r="BJ2640" s="38"/>
      <c r="BK2640" s="38"/>
      <c r="BL2640" s="38"/>
      <c r="BM2640" s="38"/>
      <c r="BN2640" s="38"/>
      <c r="BO2640" s="38"/>
      <c r="BP2640" s="38"/>
      <c r="BQ2640" s="38"/>
    </row>
    <row r="2641">
      <c r="A2641" s="16"/>
      <c r="B2641" s="16"/>
      <c r="C2641" s="146"/>
      <c r="D2641" s="146"/>
      <c r="E2641" s="16"/>
      <c r="F2641" s="91"/>
      <c r="G2641" s="16"/>
      <c r="H2641" s="320" t="str">
        <f t="shared" si="33"/>
        <v/>
      </c>
      <c r="I2641" s="16"/>
      <c r="J2641" s="16"/>
      <c r="K2641" s="16"/>
      <c r="L2641" s="16"/>
      <c r="M2641" s="15"/>
      <c r="N2641" s="15"/>
      <c r="O2641" s="16"/>
      <c r="P2641" s="16"/>
      <c r="Q2641" s="16"/>
      <c r="R2641" s="16"/>
      <c r="S2641" s="37" t="str">
        <f>IFERROR(__xludf.DUMMYFUNCTION("if(not(iserror(index(split(C2641, "" ""),2))), index(split(C2641, "" ""),1),"""")"),"")</f>
        <v/>
      </c>
      <c r="T2641" s="315" t="str">
        <f>IFERROR(__xludf.DUMMYFUNCTION("if(S2641="""",C2641,if(not(iserror(index(split(C2641, "" ""),3))), index(split(C2641, "" ""),3),index(split(C2641, "" ""),2)))"),"")</f>
        <v/>
      </c>
      <c r="U2641" s="38" t="b">
        <f t="shared" si="34"/>
        <v>0</v>
      </c>
      <c r="V2641" s="38"/>
      <c r="W2641" s="40"/>
      <c r="X2641" s="40"/>
      <c r="Y2641" s="38"/>
      <c r="Z2641" s="38"/>
      <c r="AA2641" s="38"/>
      <c r="AB2641" s="38"/>
      <c r="AC2641" s="38"/>
      <c r="AD2641" s="38"/>
      <c r="AE2641" s="38"/>
      <c r="AF2641" s="38"/>
      <c r="AG2641" s="38"/>
      <c r="AH2641" s="38"/>
      <c r="AI2641" s="38"/>
      <c r="AJ2641" s="38"/>
      <c r="AK2641" s="38"/>
      <c r="AL2641" s="38"/>
      <c r="AM2641" s="38"/>
      <c r="AN2641" s="38"/>
      <c r="AO2641" s="38"/>
      <c r="AP2641" s="38"/>
      <c r="AQ2641" s="38"/>
      <c r="AR2641" s="38"/>
      <c r="AS2641" s="38"/>
      <c r="AT2641" s="38"/>
      <c r="AU2641" s="38"/>
      <c r="AV2641" s="38"/>
      <c r="AW2641" s="38"/>
      <c r="AX2641" s="38"/>
      <c r="AY2641" s="38"/>
      <c r="AZ2641" s="38"/>
      <c r="BA2641" s="38"/>
      <c r="BB2641" s="38"/>
      <c r="BC2641" s="38"/>
      <c r="BD2641" s="38"/>
      <c r="BE2641" s="38"/>
      <c r="BF2641" s="38"/>
      <c r="BG2641" s="38"/>
      <c r="BH2641" s="38"/>
      <c r="BI2641" s="38"/>
      <c r="BJ2641" s="38"/>
      <c r="BK2641" s="38"/>
      <c r="BL2641" s="38"/>
      <c r="BM2641" s="38"/>
      <c r="BN2641" s="38"/>
      <c r="BO2641" s="38"/>
      <c r="BP2641" s="38"/>
      <c r="BQ2641" s="38"/>
    </row>
    <row r="2642">
      <c r="A2642" s="16"/>
      <c r="B2642" s="16"/>
      <c r="C2642" s="146"/>
      <c r="D2642" s="146"/>
      <c r="E2642" s="16"/>
      <c r="F2642" s="91"/>
      <c r="G2642" s="16"/>
      <c r="H2642" s="320" t="str">
        <f t="shared" si="33"/>
        <v/>
      </c>
      <c r="I2642" s="16"/>
      <c r="J2642" s="16"/>
      <c r="K2642" s="16"/>
      <c r="L2642" s="16"/>
      <c r="M2642" s="15"/>
      <c r="N2642" s="15"/>
      <c r="O2642" s="16"/>
      <c r="P2642" s="16"/>
      <c r="Q2642" s="16"/>
      <c r="R2642" s="16"/>
      <c r="S2642" s="37" t="str">
        <f>IFERROR(__xludf.DUMMYFUNCTION("if(not(iserror(index(split(C2642, "" ""),2))), index(split(C2642, "" ""),1),"""")"),"")</f>
        <v/>
      </c>
      <c r="T2642" s="315" t="str">
        <f>IFERROR(__xludf.DUMMYFUNCTION("if(S2642="""",C2642,if(not(iserror(index(split(C2642, "" ""),3))), index(split(C2642, "" ""),3),index(split(C2642, "" ""),2)))"),"")</f>
        <v/>
      </c>
      <c r="U2642" s="38" t="b">
        <f t="shared" si="34"/>
        <v>0</v>
      </c>
      <c r="V2642" s="38"/>
      <c r="W2642" s="40"/>
      <c r="X2642" s="40"/>
      <c r="Y2642" s="38"/>
      <c r="Z2642" s="38"/>
      <c r="AA2642" s="38"/>
      <c r="AB2642" s="38"/>
      <c r="AC2642" s="38"/>
      <c r="AD2642" s="38"/>
      <c r="AE2642" s="38"/>
      <c r="AF2642" s="38"/>
      <c r="AG2642" s="38"/>
      <c r="AH2642" s="38"/>
      <c r="AI2642" s="38"/>
      <c r="AJ2642" s="38"/>
      <c r="AK2642" s="38"/>
      <c r="AL2642" s="38"/>
      <c r="AM2642" s="38"/>
      <c r="AN2642" s="38"/>
      <c r="AO2642" s="38"/>
      <c r="AP2642" s="38"/>
      <c r="AQ2642" s="38"/>
      <c r="AR2642" s="38"/>
      <c r="AS2642" s="38"/>
      <c r="AT2642" s="38"/>
      <c r="AU2642" s="38"/>
      <c r="AV2642" s="38"/>
      <c r="AW2642" s="38"/>
      <c r="AX2642" s="38"/>
      <c r="AY2642" s="38"/>
      <c r="AZ2642" s="38"/>
      <c r="BA2642" s="38"/>
      <c r="BB2642" s="38"/>
      <c r="BC2642" s="38"/>
      <c r="BD2642" s="38"/>
      <c r="BE2642" s="38"/>
      <c r="BF2642" s="38"/>
      <c r="BG2642" s="38"/>
      <c r="BH2642" s="38"/>
      <c r="BI2642" s="38"/>
      <c r="BJ2642" s="38"/>
      <c r="BK2642" s="38"/>
      <c r="BL2642" s="38"/>
      <c r="BM2642" s="38"/>
      <c r="BN2642" s="38"/>
      <c r="BO2642" s="38"/>
      <c r="BP2642" s="38"/>
      <c r="BQ2642" s="38"/>
    </row>
    <row r="2643">
      <c r="A2643" s="16"/>
      <c r="B2643" s="16"/>
      <c r="C2643" s="146"/>
      <c r="D2643" s="146"/>
      <c r="E2643" s="16"/>
      <c r="F2643" s="91"/>
      <c r="G2643" s="16"/>
      <c r="H2643" s="320" t="str">
        <f t="shared" si="33"/>
        <v/>
      </c>
      <c r="I2643" s="16"/>
      <c r="J2643" s="16"/>
      <c r="K2643" s="16"/>
      <c r="L2643" s="16"/>
      <c r="M2643" s="15"/>
      <c r="N2643" s="15"/>
      <c r="O2643" s="16"/>
      <c r="P2643" s="16"/>
      <c r="Q2643" s="16"/>
      <c r="R2643" s="16"/>
      <c r="S2643" s="37" t="str">
        <f>IFERROR(__xludf.DUMMYFUNCTION("if(not(iserror(index(split(C2643, "" ""),2))), index(split(C2643, "" ""),1),"""")"),"")</f>
        <v/>
      </c>
      <c r="T2643" s="315" t="str">
        <f>IFERROR(__xludf.DUMMYFUNCTION("if(S2643="""",C2643,if(not(iserror(index(split(C2643, "" ""),3))), index(split(C2643, "" ""),3),index(split(C2643, "" ""),2)))"),"")</f>
        <v/>
      </c>
      <c r="U2643" s="38" t="b">
        <f t="shared" si="34"/>
        <v>0</v>
      </c>
      <c r="V2643" s="38"/>
      <c r="W2643" s="40"/>
      <c r="X2643" s="40"/>
      <c r="Y2643" s="38"/>
      <c r="Z2643" s="38"/>
      <c r="AA2643" s="38"/>
      <c r="AB2643" s="38"/>
      <c r="AC2643" s="38"/>
      <c r="AD2643" s="38"/>
      <c r="AE2643" s="38"/>
      <c r="AF2643" s="38"/>
      <c r="AG2643" s="38"/>
      <c r="AH2643" s="38"/>
      <c r="AI2643" s="38"/>
      <c r="AJ2643" s="38"/>
      <c r="AK2643" s="38"/>
      <c r="AL2643" s="38"/>
      <c r="AM2643" s="38"/>
      <c r="AN2643" s="38"/>
      <c r="AO2643" s="38"/>
      <c r="AP2643" s="38"/>
      <c r="AQ2643" s="38"/>
      <c r="AR2643" s="38"/>
      <c r="AS2643" s="38"/>
      <c r="AT2643" s="38"/>
      <c r="AU2643" s="38"/>
      <c r="AV2643" s="38"/>
      <c r="AW2643" s="38"/>
      <c r="AX2643" s="38"/>
      <c r="AY2643" s="38"/>
      <c r="AZ2643" s="38"/>
      <c r="BA2643" s="38"/>
      <c r="BB2643" s="38"/>
      <c r="BC2643" s="38"/>
      <c r="BD2643" s="38"/>
      <c r="BE2643" s="38"/>
      <c r="BF2643" s="38"/>
      <c r="BG2643" s="38"/>
      <c r="BH2643" s="38"/>
      <c r="BI2643" s="38"/>
      <c r="BJ2643" s="38"/>
      <c r="BK2643" s="38"/>
      <c r="BL2643" s="38"/>
      <c r="BM2643" s="38"/>
      <c r="BN2643" s="38"/>
      <c r="BO2643" s="38"/>
      <c r="BP2643" s="38"/>
      <c r="BQ2643" s="38"/>
    </row>
    <row r="2644">
      <c r="A2644" s="16"/>
      <c r="B2644" s="16"/>
      <c r="C2644" s="146"/>
      <c r="D2644" s="146"/>
      <c r="E2644" s="16"/>
      <c r="F2644" s="91"/>
      <c r="G2644" s="16"/>
      <c r="H2644" s="320" t="str">
        <f t="shared" si="33"/>
        <v/>
      </c>
      <c r="I2644" s="16"/>
      <c r="J2644" s="16"/>
      <c r="K2644" s="16"/>
      <c r="L2644" s="16"/>
      <c r="M2644" s="15"/>
      <c r="N2644" s="15"/>
      <c r="O2644" s="16"/>
      <c r="P2644" s="16"/>
      <c r="Q2644" s="16"/>
      <c r="R2644" s="16"/>
      <c r="S2644" s="37" t="str">
        <f>IFERROR(__xludf.DUMMYFUNCTION("if(not(iserror(index(split(C2644, "" ""),2))), index(split(C2644, "" ""),1),"""")"),"")</f>
        <v/>
      </c>
      <c r="T2644" s="315" t="str">
        <f>IFERROR(__xludf.DUMMYFUNCTION("if(S2644="""",C2644,if(not(iserror(index(split(C2644, "" ""),3))), index(split(C2644, "" ""),3),index(split(C2644, "" ""),2)))"),"")</f>
        <v/>
      </c>
      <c r="U2644" s="38" t="b">
        <f t="shared" si="34"/>
        <v>0</v>
      </c>
      <c r="V2644" s="38"/>
      <c r="W2644" s="40"/>
      <c r="X2644" s="40"/>
      <c r="Y2644" s="38"/>
      <c r="Z2644" s="38"/>
      <c r="AA2644" s="38"/>
      <c r="AB2644" s="38"/>
      <c r="AC2644" s="38"/>
      <c r="AD2644" s="38"/>
      <c r="AE2644" s="38"/>
      <c r="AF2644" s="38"/>
      <c r="AG2644" s="38"/>
      <c r="AH2644" s="38"/>
      <c r="AI2644" s="38"/>
      <c r="AJ2644" s="38"/>
      <c r="AK2644" s="38"/>
      <c r="AL2644" s="38"/>
      <c r="AM2644" s="38"/>
      <c r="AN2644" s="38"/>
      <c r="AO2644" s="38"/>
      <c r="AP2644" s="38"/>
      <c r="AQ2644" s="38"/>
      <c r="AR2644" s="38"/>
      <c r="AS2644" s="38"/>
      <c r="AT2644" s="38"/>
      <c r="AU2644" s="38"/>
      <c r="AV2644" s="38"/>
      <c r="AW2644" s="38"/>
      <c r="AX2644" s="38"/>
      <c r="AY2644" s="38"/>
      <c r="AZ2644" s="38"/>
      <c r="BA2644" s="38"/>
      <c r="BB2644" s="38"/>
      <c r="BC2644" s="38"/>
      <c r="BD2644" s="38"/>
      <c r="BE2644" s="38"/>
      <c r="BF2644" s="38"/>
      <c r="BG2644" s="38"/>
      <c r="BH2644" s="38"/>
      <c r="BI2644" s="38"/>
      <c r="BJ2644" s="38"/>
      <c r="BK2644" s="38"/>
      <c r="BL2644" s="38"/>
      <c r="BM2644" s="38"/>
      <c r="BN2644" s="38"/>
      <c r="BO2644" s="38"/>
      <c r="BP2644" s="38"/>
      <c r="BQ2644" s="38"/>
    </row>
    <row r="2645">
      <c r="A2645" s="16"/>
      <c r="B2645" s="16"/>
      <c r="C2645" s="146"/>
      <c r="D2645" s="146"/>
      <c r="E2645" s="16"/>
      <c r="F2645" s="91"/>
      <c r="G2645" s="16"/>
      <c r="H2645" s="320" t="str">
        <f t="shared" si="33"/>
        <v/>
      </c>
      <c r="I2645" s="16"/>
      <c r="J2645" s="16"/>
      <c r="K2645" s="16"/>
      <c r="L2645" s="16"/>
      <c r="M2645" s="15"/>
      <c r="N2645" s="15"/>
      <c r="O2645" s="16"/>
      <c r="P2645" s="16"/>
      <c r="Q2645" s="16"/>
      <c r="R2645" s="16"/>
      <c r="S2645" s="37" t="str">
        <f>IFERROR(__xludf.DUMMYFUNCTION("if(not(iserror(index(split(C2645, "" ""),2))), index(split(C2645, "" ""),1),"""")"),"")</f>
        <v/>
      </c>
      <c r="T2645" s="315" t="str">
        <f>IFERROR(__xludf.DUMMYFUNCTION("if(S2645="""",C2645,if(not(iserror(index(split(C2645, "" ""),3))), index(split(C2645, "" ""),3),index(split(C2645, "" ""),2)))"),"")</f>
        <v/>
      </c>
      <c r="U2645" s="38" t="b">
        <f t="shared" si="34"/>
        <v>0</v>
      </c>
      <c r="V2645" s="38"/>
      <c r="W2645" s="40"/>
      <c r="X2645" s="40"/>
      <c r="Y2645" s="38"/>
      <c r="Z2645" s="38"/>
      <c r="AA2645" s="38"/>
      <c r="AB2645" s="38"/>
      <c r="AC2645" s="38"/>
      <c r="AD2645" s="38"/>
      <c r="AE2645" s="38"/>
      <c r="AF2645" s="38"/>
      <c r="AG2645" s="38"/>
      <c r="AH2645" s="38"/>
      <c r="AI2645" s="38"/>
      <c r="AJ2645" s="38"/>
      <c r="AK2645" s="38"/>
      <c r="AL2645" s="38"/>
      <c r="AM2645" s="38"/>
      <c r="AN2645" s="38"/>
      <c r="AO2645" s="38"/>
      <c r="AP2645" s="38"/>
      <c r="AQ2645" s="38"/>
      <c r="AR2645" s="38"/>
      <c r="AS2645" s="38"/>
      <c r="AT2645" s="38"/>
      <c r="AU2645" s="38"/>
      <c r="AV2645" s="38"/>
      <c r="AW2645" s="38"/>
      <c r="AX2645" s="38"/>
      <c r="AY2645" s="38"/>
      <c r="AZ2645" s="38"/>
      <c r="BA2645" s="38"/>
      <c r="BB2645" s="38"/>
      <c r="BC2645" s="38"/>
      <c r="BD2645" s="38"/>
      <c r="BE2645" s="38"/>
      <c r="BF2645" s="38"/>
      <c r="BG2645" s="38"/>
      <c r="BH2645" s="38"/>
      <c r="BI2645" s="38"/>
      <c r="BJ2645" s="38"/>
      <c r="BK2645" s="38"/>
      <c r="BL2645" s="38"/>
      <c r="BM2645" s="38"/>
      <c r="BN2645" s="38"/>
      <c r="BO2645" s="38"/>
      <c r="BP2645" s="38"/>
      <c r="BQ2645" s="38"/>
    </row>
    <row r="2646">
      <c r="A2646" s="16"/>
      <c r="B2646" s="16"/>
      <c r="C2646" s="146"/>
      <c r="D2646" s="146"/>
      <c r="E2646" s="16"/>
      <c r="F2646" s="91"/>
      <c r="G2646" s="16"/>
      <c r="H2646" s="320" t="str">
        <f t="shared" si="33"/>
        <v/>
      </c>
      <c r="I2646" s="16"/>
      <c r="J2646" s="16"/>
      <c r="K2646" s="16"/>
      <c r="L2646" s="16"/>
      <c r="M2646" s="15"/>
      <c r="N2646" s="15"/>
      <c r="O2646" s="16"/>
      <c r="P2646" s="16"/>
      <c r="Q2646" s="16"/>
      <c r="R2646" s="16"/>
      <c r="S2646" s="37" t="str">
        <f>IFERROR(__xludf.DUMMYFUNCTION("if(not(iserror(index(split(C2646, "" ""),2))), index(split(C2646, "" ""),1),"""")"),"")</f>
        <v/>
      </c>
      <c r="T2646" s="315" t="str">
        <f>IFERROR(__xludf.DUMMYFUNCTION("if(S2646="""",C2646,if(not(iserror(index(split(C2646, "" ""),3))), index(split(C2646, "" ""),3),index(split(C2646, "" ""),2)))"),"")</f>
        <v/>
      </c>
      <c r="U2646" s="38" t="b">
        <f t="shared" si="34"/>
        <v>0</v>
      </c>
      <c r="V2646" s="38"/>
      <c r="W2646" s="40"/>
      <c r="X2646" s="40"/>
      <c r="Y2646" s="38"/>
      <c r="Z2646" s="38"/>
      <c r="AA2646" s="38"/>
      <c r="AB2646" s="38"/>
      <c r="AC2646" s="38"/>
      <c r="AD2646" s="38"/>
      <c r="AE2646" s="38"/>
      <c r="AF2646" s="38"/>
      <c r="AG2646" s="38"/>
      <c r="AH2646" s="38"/>
      <c r="AI2646" s="38"/>
      <c r="AJ2646" s="38"/>
      <c r="AK2646" s="38"/>
      <c r="AL2646" s="38"/>
      <c r="AM2646" s="38"/>
      <c r="AN2646" s="38"/>
      <c r="AO2646" s="38"/>
      <c r="AP2646" s="38"/>
      <c r="AQ2646" s="38"/>
      <c r="AR2646" s="38"/>
      <c r="AS2646" s="38"/>
      <c r="AT2646" s="38"/>
      <c r="AU2646" s="38"/>
      <c r="AV2646" s="38"/>
      <c r="AW2646" s="38"/>
      <c r="AX2646" s="38"/>
      <c r="AY2646" s="38"/>
      <c r="AZ2646" s="38"/>
      <c r="BA2646" s="38"/>
      <c r="BB2646" s="38"/>
      <c r="BC2646" s="38"/>
      <c r="BD2646" s="38"/>
      <c r="BE2646" s="38"/>
      <c r="BF2646" s="38"/>
      <c r="BG2646" s="38"/>
      <c r="BH2646" s="38"/>
      <c r="BI2646" s="38"/>
      <c r="BJ2646" s="38"/>
      <c r="BK2646" s="38"/>
      <c r="BL2646" s="38"/>
      <c r="BM2646" s="38"/>
      <c r="BN2646" s="38"/>
      <c r="BO2646" s="38"/>
      <c r="BP2646" s="38"/>
      <c r="BQ2646" s="38"/>
    </row>
    <row r="2647">
      <c r="A2647" s="16"/>
      <c r="B2647" s="16"/>
      <c r="C2647" s="146"/>
      <c r="D2647" s="146"/>
      <c r="E2647" s="16"/>
      <c r="F2647" s="91"/>
      <c r="G2647" s="16"/>
      <c r="H2647" s="320" t="str">
        <f t="shared" si="33"/>
        <v/>
      </c>
      <c r="I2647" s="16"/>
      <c r="J2647" s="16"/>
      <c r="K2647" s="16"/>
      <c r="L2647" s="16"/>
      <c r="M2647" s="15"/>
      <c r="N2647" s="15"/>
      <c r="O2647" s="16"/>
      <c r="P2647" s="16"/>
      <c r="Q2647" s="16"/>
      <c r="R2647" s="16"/>
      <c r="S2647" s="37" t="str">
        <f>IFERROR(__xludf.DUMMYFUNCTION("if(not(iserror(index(split(C2647, "" ""),2))), index(split(C2647, "" ""),1),"""")"),"")</f>
        <v/>
      </c>
      <c r="T2647" s="315" t="str">
        <f>IFERROR(__xludf.DUMMYFUNCTION("if(S2647="""",C2647,if(not(iserror(index(split(C2647, "" ""),3))), index(split(C2647, "" ""),3),index(split(C2647, "" ""),2)))"),"")</f>
        <v/>
      </c>
      <c r="U2647" s="38" t="b">
        <f t="shared" si="34"/>
        <v>0</v>
      </c>
      <c r="V2647" s="38"/>
      <c r="W2647" s="40"/>
      <c r="X2647" s="40"/>
      <c r="Y2647" s="38"/>
      <c r="Z2647" s="38"/>
      <c r="AA2647" s="38"/>
      <c r="AB2647" s="38"/>
      <c r="AC2647" s="38"/>
      <c r="AD2647" s="38"/>
      <c r="AE2647" s="38"/>
      <c r="AF2647" s="38"/>
      <c r="AG2647" s="38"/>
      <c r="AH2647" s="38"/>
      <c r="AI2647" s="38"/>
      <c r="AJ2647" s="38"/>
      <c r="AK2647" s="38"/>
      <c r="AL2647" s="38"/>
      <c r="AM2647" s="38"/>
      <c r="AN2647" s="38"/>
      <c r="AO2647" s="38"/>
      <c r="AP2647" s="38"/>
      <c r="AQ2647" s="38"/>
      <c r="AR2647" s="38"/>
      <c r="AS2647" s="38"/>
      <c r="AT2647" s="38"/>
      <c r="AU2647" s="38"/>
      <c r="AV2647" s="38"/>
      <c r="AW2647" s="38"/>
      <c r="AX2647" s="38"/>
      <c r="AY2647" s="38"/>
      <c r="AZ2647" s="38"/>
      <c r="BA2647" s="38"/>
      <c r="BB2647" s="38"/>
      <c r="BC2647" s="38"/>
      <c r="BD2647" s="38"/>
      <c r="BE2647" s="38"/>
      <c r="BF2647" s="38"/>
      <c r="BG2647" s="38"/>
      <c r="BH2647" s="38"/>
      <c r="BI2647" s="38"/>
      <c r="BJ2647" s="38"/>
      <c r="BK2647" s="38"/>
      <c r="BL2647" s="38"/>
      <c r="BM2647" s="38"/>
      <c r="BN2647" s="38"/>
      <c r="BO2647" s="38"/>
      <c r="BP2647" s="38"/>
      <c r="BQ2647" s="38"/>
    </row>
    <row r="2648">
      <c r="A2648" s="16"/>
      <c r="B2648" s="16"/>
      <c r="C2648" s="146"/>
      <c r="D2648" s="146"/>
      <c r="E2648" s="16"/>
      <c r="F2648" s="91"/>
      <c r="G2648" s="16"/>
      <c r="H2648" s="320" t="str">
        <f t="shared" si="33"/>
        <v/>
      </c>
      <c r="I2648" s="16"/>
      <c r="J2648" s="16"/>
      <c r="K2648" s="16"/>
      <c r="L2648" s="16"/>
      <c r="M2648" s="15"/>
      <c r="N2648" s="15"/>
      <c r="O2648" s="16"/>
      <c r="P2648" s="16"/>
      <c r="Q2648" s="16"/>
      <c r="R2648" s="16"/>
      <c r="S2648" s="37" t="str">
        <f>IFERROR(__xludf.DUMMYFUNCTION("if(not(iserror(index(split(C2648, "" ""),2))), index(split(C2648, "" ""),1),"""")"),"")</f>
        <v/>
      </c>
      <c r="T2648" s="315" t="str">
        <f>IFERROR(__xludf.DUMMYFUNCTION("if(S2648="""",C2648,if(not(iserror(index(split(C2648, "" ""),3))), index(split(C2648, "" ""),3),index(split(C2648, "" ""),2)))"),"")</f>
        <v/>
      </c>
      <c r="U2648" s="38" t="b">
        <f t="shared" si="34"/>
        <v>0</v>
      </c>
      <c r="V2648" s="38"/>
      <c r="W2648" s="40"/>
      <c r="X2648" s="40"/>
      <c r="Y2648" s="38"/>
      <c r="Z2648" s="38"/>
      <c r="AA2648" s="38"/>
      <c r="AB2648" s="38"/>
      <c r="AC2648" s="38"/>
      <c r="AD2648" s="38"/>
      <c r="AE2648" s="38"/>
      <c r="AF2648" s="38"/>
      <c r="AG2648" s="38"/>
      <c r="AH2648" s="38"/>
      <c r="AI2648" s="38"/>
      <c r="AJ2648" s="38"/>
      <c r="AK2648" s="38"/>
      <c r="AL2648" s="38"/>
      <c r="AM2648" s="38"/>
      <c r="AN2648" s="38"/>
      <c r="AO2648" s="38"/>
      <c r="AP2648" s="38"/>
      <c r="AQ2648" s="38"/>
      <c r="AR2648" s="38"/>
      <c r="AS2648" s="38"/>
      <c r="AT2648" s="38"/>
      <c r="AU2648" s="38"/>
      <c r="AV2648" s="38"/>
      <c r="AW2648" s="38"/>
      <c r="AX2648" s="38"/>
      <c r="AY2648" s="38"/>
      <c r="AZ2648" s="38"/>
      <c r="BA2648" s="38"/>
      <c r="BB2648" s="38"/>
      <c r="BC2648" s="38"/>
      <c r="BD2648" s="38"/>
      <c r="BE2648" s="38"/>
      <c r="BF2648" s="38"/>
      <c r="BG2648" s="38"/>
      <c r="BH2648" s="38"/>
      <c r="BI2648" s="38"/>
      <c r="BJ2648" s="38"/>
      <c r="BK2648" s="38"/>
      <c r="BL2648" s="38"/>
      <c r="BM2648" s="38"/>
      <c r="BN2648" s="38"/>
      <c r="BO2648" s="38"/>
      <c r="BP2648" s="38"/>
      <c r="BQ2648" s="38"/>
    </row>
    <row r="2649">
      <c r="A2649" s="16"/>
      <c r="B2649" s="16"/>
      <c r="C2649" s="146"/>
      <c r="D2649" s="146"/>
      <c r="E2649" s="16"/>
      <c r="F2649" s="91"/>
      <c r="G2649" s="16"/>
      <c r="H2649" s="320" t="str">
        <f t="shared" si="33"/>
        <v/>
      </c>
      <c r="I2649" s="16"/>
      <c r="J2649" s="16"/>
      <c r="K2649" s="16"/>
      <c r="L2649" s="16"/>
      <c r="M2649" s="15"/>
      <c r="N2649" s="15"/>
      <c r="O2649" s="16"/>
      <c r="P2649" s="16"/>
      <c r="Q2649" s="16"/>
      <c r="R2649" s="16"/>
      <c r="S2649" s="37" t="str">
        <f>IFERROR(__xludf.DUMMYFUNCTION("if(not(iserror(index(split(C2649, "" ""),2))), index(split(C2649, "" ""),1),"""")"),"")</f>
        <v/>
      </c>
      <c r="T2649" s="315" t="str">
        <f>IFERROR(__xludf.DUMMYFUNCTION("if(S2649="""",C2649,if(not(iserror(index(split(C2649, "" ""),3))), index(split(C2649, "" ""),3),index(split(C2649, "" ""),2)))"),"")</f>
        <v/>
      </c>
      <c r="U2649" s="38" t="b">
        <f t="shared" si="34"/>
        <v>0</v>
      </c>
      <c r="V2649" s="38"/>
      <c r="W2649" s="40"/>
      <c r="X2649" s="40"/>
      <c r="Y2649" s="38"/>
      <c r="Z2649" s="38"/>
      <c r="AA2649" s="38"/>
      <c r="AB2649" s="38"/>
      <c r="AC2649" s="38"/>
      <c r="AD2649" s="38"/>
      <c r="AE2649" s="38"/>
      <c r="AF2649" s="38"/>
      <c r="AG2649" s="38"/>
      <c r="AH2649" s="38"/>
      <c r="AI2649" s="38"/>
      <c r="AJ2649" s="38"/>
      <c r="AK2649" s="38"/>
      <c r="AL2649" s="38"/>
      <c r="AM2649" s="38"/>
      <c r="AN2649" s="38"/>
      <c r="AO2649" s="38"/>
      <c r="AP2649" s="38"/>
      <c r="AQ2649" s="38"/>
      <c r="AR2649" s="38"/>
      <c r="AS2649" s="38"/>
      <c r="AT2649" s="38"/>
      <c r="AU2649" s="38"/>
      <c r="AV2649" s="38"/>
      <c r="AW2649" s="38"/>
      <c r="AX2649" s="38"/>
      <c r="AY2649" s="38"/>
      <c r="AZ2649" s="38"/>
      <c r="BA2649" s="38"/>
      <c r="BB2649" s="38"/>
      <c r="BC2649" s="38"/>
      <c r="BD2649" s="38"/>
      <c r="BE2649" s="38"/>
      <c r="BF2649" s="38"/>
      <c r="BG2649" s="38"/>
      <c r="BH2649" s="38"/>
      <c r="BI2649" s="38"/>
      <c r="BJ2649" s="38"/>
      <c r="BK2649" s="38"/>
      <c r="BL2649" s="38"/>
      <c r="BM2649" s="38"/>
      <c r="BN2649" s="38"/>
      <c r="BO2649" s="38"/>
      <c r="BP2649" s="38"/>
      <c r="BQ2649" s="38"/>
    </row>
    <row r="2650">
      <c r="A2650" s="16"/>
      <c r="B2650" s="16"/>
      <c r="C2650" s="146"/>
      <c r="D2650" s="146"/>
      <c r="E2650" s="16"/>
      <c r="F2650" s="91"/>
      <c r="G2650" s="16"/>
      <c r="H2650" s="320" t="str">
        <f t="shared" si="33"/>
        <v/>
      </c>
      <c r="I2650" s="16"/>
      <c r="J2650" s="16"/>
      <c r="K2650" s="16"/>
      <c r="L2650" s="16"/>
      <c r="M2650" s="15"/>
      <c r="N2650" s="15"/>
      <c r="O2650" s="16"/>
      <c r="P2650" s="16"/>
      <c r="Q2650" s="16"/>
      <c r="R2650" s="16"/>
      <c r="S2650" s="37" t="str">
        <f>IFERROR(__xludf.DUMMYFUNCTION("if(not(iserror(index(split(C2650, "" ""),2))), index(split(C2650, "" ""),1),"""")"),"")</f>
        <v/>
      </c>
      <c r="T2650" s="315" t="str">
        <f>IFERROR(__xludf.DUMMYFUNCTION("if(S2650="""",C2650,if(not(iserror(index(split(C2650, "" ""),3))), index(split(C2650, "" ""),3),index(split(C2650, "" ""),2)))"),"")</f>
        <v/>
      </c>
      <c r="U2650" s="38" t="b">
        <f t="shared" si="34"/>
        <v>0</v>
      </c>
      <c r="V2650" s="38"/>
      <c r="W2650" s="40"/>
      <c r="X2650" s="40"/>
      <c r="Y2650" s="38"/>
      <c r="Z2650" s="38"/>
      <c r="AA2650" s="38"/>
      <c r="AB2650" s="38"/>
      <c r="AC2650" s="38"/>
      <c r="AD2650" s="38"/>
      <c r="AE2650" s="38"/>
      <c r="AF2650" s="38"/>
      <c r="AG2650" s="38"/>
      <c r="AH2650" s="38"/>
      <c r="AI2650" s="38"/>
      <c r="AJ2650" s="38"/>
      <c r="AK2650" s="38"/>
      <c r="AL2650" s="38"/>
      <c r="AM2650" s="38"/>
      <c r="AN2650" s="38"/>
      <c r="AO2650" s="38"/>
      <c r="AP2650" s="38"/>
      <c r="AQ2650" s="38"/>
      <c r="AR2650" s="38"/>
      <c r="AS2650" s="38"/>
      <c r="AT2650" s="38"/>
      <c r="AU2650" s="38"/>
      <c r="AV2650" s="38"/>
      <c r="AW2650" s="38"/>
      <c r="AX2650" s="38"/>
      <c r="AY2650" s="38"/>
      <c r="AZ2650" s="38"/>
      <c r="BA2650" s="38"/>
      <c r="BB2650" s="38"/>
      <c r="BC2650" s="38"/>
      <c r="BD2650" s="38"/>
      <c r="BE2650" s="38"/>
      <c r="BF2650" s="38"/>
      <c r="BG2650" s="38"/>
      <c r="BH2650" s="38"/>
      <c r="BI2650" s="38"/>
      <c r="BJ2650" s="38"/>
      <c r="BK2650" s="38"/>
      <c r="BL2650" s="38"/>
      <c r="BM2650" s="38"/>
      <c r="BN2650" s="38"/>
      <c r="BO2650" s="38"/>
      <c r="BP2650" s="38"/>
      <c r="BQ2650" s="38"/>
    </row>
    <row r="2651">
      <c r="A2651" s="16"/>
      <c r="B2651" s="16"/>
      <c r="C2651" s="146"/>
      <c r="D2651" s="146"/>
      <c r="E2651" s="16"/>
      <c r="F2651" s="91"/>
      <c r="G2651" s="16"/>
      <c r="H2651" s="320" t="str">
        <f t="shared" si="33"/>
        <v/>
      </c>
      <c r="I2651" s="16"/>
      <c r="J2651" s="16"/>
      <c r="K2651" s="16"/>
      <c r="L2651" s="16"/>
      <c r="M2651" s="15"/>
      <c r="N2651" s="15"/>
      <c r="O2651" s="16"/>
      <c r="P2651" s="16"/>
      <c r="Q2651" s="16"/>
      <c r="R2651" s="16"/>
      <c r="S2651" s="37" t="str">
        <f>IFERROR(__xludf.DUMMYFUNCTION("if(not(iserror(index(split(C2651, "" ""),2))), index(split(C2651, "" ""),1),"""")"),"")</f>
        <v/>
      </c>
      <c r="T2651" s="315" t="str">
        <f>IFERROR(__xludf.DUMMYFUNCTION("if(S2651="""",C2651,if(not(iserror(index(split(C2651, "" ""),3))), index(split(C2651, "" ""),3),index(split(C2651, "" ""),2)))"),"")</f>
        <v/>
      </c>
      <c r="U2651" s="38" t="b">
        <f t="shared" si="34"/>
        <v>0</v>
      </c>
      <c r="V2651" s="38"/>
      <c r="W2651" s="40"/>
      <c r="X2651" s="40"/>
      <c r="Y2651" s="38"/>
      <c r="Z2651" s="38"/>
      <c r="AA2651" s="38"/>
      <c r="AB2651" s="38"/>
      <c r="AC2651" s="38"/>
      <c r="AD2651" s="38"/>
      <c r="AE2651" s="38"/>
      <c r="AF2651" s="38"/>
      <c r="AG2651" s="38"/>
      <c r="AH2651" s="38"/>
      <c r="AI2651" s="38"/>
      <c r="AJ2651" s="38"/>
      <c r="AK2651" s="38"/>
      <c r="AL2651" s="38"/>
      <c r="AM2651" s="38"/>
      <c r="AN2651" s="38"/>
      <c r="AO2651" s="38"/>
      <c r="AP2651" s="38"/>
      <c r="AQ2651" s="38"/>
      <c r="AR2651" s="38"/>
      <c r="AS2651" s="38"/>
      <c r="AT2651" s="38"/>
      <c r="AU2651" s="38"/>
      <c r="AV2651" s="38"/>
      <c r="AW2651" s="38"/>
      <c r="AX2651" s="38"/>
      <c r="AY2651" s="38"/>
      <c r="AZ2651" s="38"/>
      <c r="BA2651" s="38"/>
      <c r="BB2651" s="38"/>
      <c r="BC2651" s="38"/>
      <c r="BD2651" s="38"/>
      <c r="BE2651" s="38"/>
      <c r="BF2651" s="38"/>
      <c r="BG2651" s="38"/>
      <c r="BH2651" s="38"/>
      <c r="BI2651" s="38"/>
      <c r="BJ2651" s="38"/>
      <c r="BK2651" s="38"/>
      <c r="BL2651" s="38"/>
      <c r="BM2651" s="38"/>
      <c r="BN2651" s="38"/>
      <c r="BO2651" s="38"/>
      <c r="BP2651" s="38"/>
      <c r="BQ2651" s="38"/>
    </row>
    <row r="2652">
      <c r="A2652" s="16"/>
      <c r="B2652" s="16"/>
      <c r="C2652" s="146"/>
      <c r="D2652" s="146"/>
      <c r="E2652" s="16"/>
      <c r="F2652" s="91"/>
      <c r="G2652" s="16"/>
      <c r="H2652" s="320" t="str">
        <f t="shared" si="33"/>
        <v/>
      </c>
      <c r="I2652" s="16"/>
      <c r="J2652" s="16"/>
      <c r="K2652" s="16"/>
      <c r="L2652" s="16"/>
      <c r="M2652" s="15"/>
      <c r="N2652" s="15"/>
      <c r="O2652" s="16"/>
      <c r="P2652" s="16"/>
      <c r="Q2652" s="16"/>
      <c r="R2652" s="16"/>
      <c r="S2652" s="37" t="str">
        <f>IFERROR(__xludf.DUMMYFUNCTION("if(not(iserror(index(split(C2652, "" ""),2))), index(split(C2652, "" ""),1),"""")"),"")</f>
        <v/>
      </c>
      <c r="T2652" s="315" t="str">
        <f>IFERROR(__xludf.DUMMYFUNCTION("if(S2652="""",C2652,if(not(iserror(index(split(C2652, "" ""),3))), index(split(C2652, "" ""),3),index(split(C2652, "" ""),2)))"),"")</f>
        <v/>
      </c>
      <c r="U2652" s="38" t="b">
        <f t="shared" si="34"/>
        <v>0</v>
      </c>
      <c r="V2652" s="38"/>
      <c r="W2652" s="40"/>
      <c r="X2652" s="40"/>
      <c r="Y2652" s="38"/>
      <c r="Z2652" s="38"/>
      <c r="AA2652" s="38"/>
      <c r="AB2652" s="38"/>
      <c r="AC2652" s="38"/>
      <c r="AD2652" s="38"/>
      <c r="AE2652" s="38"/>
      <c r="AF2652" s="38"/>
      <c r="AG2652" s="38"/>
      <c r="AH2652" s="38"/>
      <c r="AI2652" s="38"/>
      <c r="AJ2652" s="38"/>
      <c r="AK2652" s="38"/>
      <c r="AL2652" s="38"/>
      <c r="AM2652" s="38"/>
      <c r="AN2652" s="38"/>
      <c r="AO2652" s="38"/>
      <c r="AP2652" s="38"/>
      <c r="AQ2652" s="38"/>
      <c r="AR2652" s="38"/>
      <c r="AS2652" s="38"/>
      <c r="AT2652" s="38"/>
      <c r="AU2652" s="38"/>
      <c r="AV2652" s="38"/>
      <c r="AW2652" s="38"/>
      <c r="AX2652" s="38"/>
      <c r="AY2652" s="38"/>
      <c r="AZ2652" s="38"/>
      <c r="BA2652" s="38"/>
      <c r="BB2652" s="38"/>
      <c r="BC2652" s="38"/>
      <c r="BD2652" s="38"/>
      <c r="BE2652" s="38"/>
      <c r="BF2652" s="38"/>
      <c r="BG2652" s="38"/>
      <c r="BH2652" s="38"/>
      <c r="BI2652" s="38"/>
      <c r="BJ2652" s="38"/>
      <c r="BK2652" s="38"/>
      <c r="BL2652" s="38"/>
      <c r="BM2652" s="38"/>
      <c r="BN2652" s="38"/>
      <c r="BO2652" s="38"/>
      <c r="BP2652" s="38"/>
      <c r="BQ2652" s="38"/>
    </row>
    <row r="2653">
      <c r="A2653" s="16"/>
      <c r="B2653" s="16"/>
      <c r="C2653" s="146"/>
      <c r="D2653" s="146"/>
      <c r="E2653" s="16"/>
      <c r="F2653" s="91"/>
      <c r="G2653" s="16"/>
      <c r="H2653" s="320" t="str">
        <f t="shared" si="33"/>
        <v/>
      </c>
      <c r="I2653" s="16"/>
      <c r="J2653" s="16"/>
      <c r="K2653" s="16"/>
      <c r="L2653" s="16"/>
      <c r="M2653" s="15"/>
      <c r="N2653" s="15"/>
      <c r="O2653" s="16"/>
      <c r="P2653" s="16"/>
      <c r="Q2653" s="16"/>
      <c r="R2653" s="16"/>
      <c r="S2653" s="37" t="str">
        <f>IFERROR(__xludf.DUMMYFUNCTION("if(not(iserror(index(split(C2653, "" ""),2))), index(split(C2653, "" ""),1),"""")"),"")</f>
        <v/>
      </c>
      <c r="T2653" s="315" t="str">
        <f>IFERROR(__xludf.DUMMYFUNCTION("if(S2653="""",C2653,if(not(iserror(index(split(C2653, "" ""),3))), index(split(C2653, "" ""),3),index(split(C2653, "" ""),2)))"),"")</f>
        <v/>
      </c>
      <c r="U2653" s="38" t="b">
        <f t="shared" si="34"/>
        <v>0</v>
      </c>
      <c r="V2653" s="38"/>
      <c r="W2653" s="40"/>
      <c r="X2653" s="40"/>
      <c r="Y2653" s="38"/>
      <c r="Z2653" s="38"/>
      <c r="AA2653" s="38"/>
      <c r="AB2653" s="38"/>
      <c r="AC2653" s="38"/>
      <c r="AD2653" s="38"/>
      <c r="AE2653" s="38"/>
      <c r="AF2653" s="38"/>
      <c r="AG2653" s="38"/>
      <c r="AH2653" s="38"/>
      <c r="AI2653" s="38"/>
      <c r="AJ2653" s="38"/>
      <c r="AK2653" s="38"/>
      <c r="AL2653" s="38"/>
      <c r="AM2653" s="38"/>
      <c r="AN2653" s="38"/>
      <c r="AO2653" s="38"/>
      <c r="AP2653" s="38"/>
      <c r="AQ2653" s="38"/>
      <c r="AR2653" s="38"/>
      <c r="AS2653" s="38"/>
      <c r="AT2653" s="38"/>
      <c r="AU2653" s="38"/>
      <c r="AV2653" s="38"/>
      <c r="AW2653" s="38"/>
      <c r="AX2653" s="38"/>
      <c r="AY2653" s="38"/>
      <c r="AZ2653" s="38"/>
      <c r="BA2653" s="38"/>
      <c r="BB2653" s="38"/>
      <c r="BC2653" s="38"/>
      <c r="BD2653" s="38"/>
      <c r="BE2653" s="38"/>
      <c r="BF2653" s="38"/>
      <c r="BG2653" s="38"/>
      <c r="BH2653" s="38"/>
      <c r="BI2653" s="38"/>
      <c r="BJ2653" s="38"/>
      <c r="BK2653" s="38"/>
      <c r="BL2653" s="38"/>
      <c r="BM2653" s="38"/>
      <c r="BN2653" s="38"/>
      <c r="BO2653" s="38"/>
      <c r="BP2653" s="38"/>
      <c r="BQ2653" s="38"/>
    </row>
    <row r="2654">
      <c r="A2654" s="16"/>
      <c r="B2654" s="16"/>
      <c r="C2654" s="146"/>
      <c r="D2654" s="146"/>
      <c r="E2654" s="16"/>
      <c r="F2654" s="91"/>
      <c r="G2654" s="16"/>
      <c r="H2654" s="320" t="str">
        <f t="shared" si="33"/>
        <v/>
      </c>
      <c r="I2654" s="16"/>
      <c r="J2654" s="16"/>
      <c r="K2654" s="16"/>
      <c r="L2654" s="16"/>
      <c r="M2654" s="15"/>
      <c r="N2654" s="15"/>
      <c r="O2654" s="16"/>
      <c r="P2654" s="16"/>
      <c r="Q2654" s="16"/>
      <c r="R2654" s="16"/>
      <c r="S2654" s="37" t="str">
        <f>IFERROR(__xludf.DUMMYFUNCTION("if(not(iserror(index(split(C2654, "" ""),2))), index(split(C2654, "" ""),1),"""")"),"")</f>
        <v/>
      </c>
      <c r="T2654" s="315" t="str">
        <f>IFERROR(__xludf.DUMMYFUNCTION("if(S2654="""",C2654,if(not(iserror(index(split(C2654, "" ""),3))), index(split(C2654, "" ""),3),index(split(C2654, "" ""),2)))"),"")</f>
        <v/>
      </c>
      <c r="U2654" s="38" t="b">
        <f t="shared" si="34"/>
        <v>0</v>
      </c>
      <c r="V2654" s="38"/>
      <c r="W2654" s="40"/>
      <c r="X2654" s="40"/>
      <c r="Y2654" s="38"/>
      <c r="Z2654" s="38"/>
      <c r="AA2654" s="38"/>
      <c r="AB2654" s="38"/>
      <c r="AC2654" s="38"/>
      <c r="AD2654" s="38"/>
      <c r="AE2654" s="38"/>
      <c r="AF2654" s="38"/>
      <c r="AG2654" s="38"/>
      <c r="AH2654" s="38"/>
      <c r="AI2654" s="38"/>
      <c r="AJ2654" s="38"/>
      <c r="AK2654" s="38"/>
      <c r="AL2654" s="38"/>
      <c r="AM2654" s="38"/>
      <c r="AN2654" s="38"/>
      <c r="AO2654" s="38"/>
      <c r="AP2654" s="38"/>
      <c r="AQ2654" s="38"/>
      <c r="AR2654" s="38"/>
      <c r="AS2654" s="38"/>
      <c r="AT2654" s="38"/>
      <c r="AU2654" s="38"/>
      <c r="AV2654" s="38"/>
      <c r="AW2654" s="38"/>
      <c r="AX2654" s="38"/>
      <c r="AY2654" s="38"/>
      <c r="AZ2654" s="38"/>
      <c r="BA2654" s="38"/>
      <c r="BB2654" s="38"/>
      <c r="BC2654" s="38"/>
      <c r="BD2654" s="38"/>
      <c r="BE2654" s="38"/>
      <c r="BF2654" s="38"/>
      <c r="BG2654" s="38"/>
      <c r="BH2654" s="38"/>
      <c r="BI2654" s="38"/>
      <c r="BJ2654" s="38"/>
      <c r="BK2654" s="38"/>
      <c r="BL2654" s="38"/>
      <c r="BM2654" s="38"/>
      <c r="BN2654" s="38"/>
      <c r="BO2654" s="38"/>
      <c r="BP2654" s="38"/>
      <c r="BQ2654" s="38"/>
    </row>
    <row r="2655">
      <c r="A2655" s="16"/>
      <c r="B2655" s="16"/>
      <c r="C2655" s="146"/>
      <c r="D2655" s="146"/>
      <c r="E2655" s="16"/>
      <c r="F2655" s="91"/>
      <c r="G2655" s="16"/>
      <c r="H2655" s="320" t="str">
        <f t="shared" si="33"/>
        <v/>
      </c>
      <c r="I2655" s="16"/>
      <c r="J2655" s="16"/>
      <c r="K2655" s="16"/>
      <c r="L2655" s="16"/>
      <c r="M2655" s="15"/>
      <c r="N2655" s="15"/>
      <c r="O2655" s="16"/>
      <c r="P2655" s="16"/>
      <c r="Q2655" s="16"/>
      <c r="R2655" s="16"/>
      <c r="S2655" s="37" t="str">
        <f>IFERROR(__xludf.DUMMYFUNCTION("if(not(iserror(index(split(C2655, "" ""),2))), index(split(C2655, "" ""),1),"""")"),"")</f>
        <v/>
      </c>
      <c r="T2655" s="315" t="str">
        <f>IFERROR(__xludf.DUMMYFUNCTION("if(S2655="""",C2655,if(not(iserror(index(split(C2655, "" ""),3))), index(split(C2655, "" ""),3),index(split(C2655, "" ""),2)))"),"")</f>
        <v/>
      </c>
      <c r="U2655" s="38" t="b">
        <f t="shared" si="34"/>
        <v>0</v>
      </c>
      <c r="V2655" s="38"/>
      <c r="W2655" s="40"/>
      <c r="X2655" s="40"/>
      <c r="Y2655" s="38"/>
      <c r="Z2655" s="38"/>
      <c r="AA2655" s="38"/>
      <c r="AB2655" s="38"/>
      <c r="AC2655" s="38"/>
      <c r="AD2655" s="38"/>
      <c r="AE2655" s="38"/>
      <c r="AF2655" s="38"/>
      <c r="AG2655" s="38"/>
      <c r="AH2655" s="38"/>
      <c r="AI2655" s="38"/>
      <c r="AJ2655" s="38"/>
      <c r="AK2655" s="38"/>
      <c r="AL2655" s="38"/>
      <c r="AM2655" s="38"/>
      <c r="AN2655" s="38"/>
      <c r="AO2655" s="38"/>
      <c r="AP2655" s="38"/>
      <c r="AQ2655" s="38"/>
      <c r="AR2655" s="38"/>
      <c r="AS2655" s="38"/>
      <c r="AT2655" s="38"/>
      <c r="AU2655" s="38"/>
      <c r="AV2655" s="38"/>
      <c r="AW2655" s="38"/>
      <c r="AX2655" s="38"/>
      <c r="AY2655" s="38"/>
      <c r="AZ2655" s="38"/>
      <c r="BA2655" s="38"/>
      <c r="BB2655" s="38"/>
      <c r="BC2655" s="38"/>
      <c r="BD2655" s="38"/>
      <c r="BE2655" s="38"/>
      <c r="BF2655" s="38"/>
      <c r="BG2655" s="38"/>
      <c r="BH2655" s="38"/>
      <c r="BI2655" s="38"/>
      <c r="BJ2655" s="38"/>
      <c r="BK2655" s="38"/>
      <c r="BL2655" s="38"/>
      <c r="BM2655" s="38"/>
      <c r="BN2655" s="38"/>
      <c r="BO2655" s="38"/>
      <c r="BP2655" s="38"/>
      <c r="BQ2655" s="38"/>
    </row>
    <row r="2656">
      <c r="A2656" s="16"/>
      <c r="B2656" s="16"/>
      <c r="C2656" s="146"/>
      <c r="D2656" s="146"/>
      <c r="E2656" s="16"/>
      <c r="F2656" s="91"/>
      <c r="G2656" s="16"/>
      <c r="H2656" s="320" t="str">
        <f t="shared" si="33"/>
        <v/>
      </c>
      <c r="I2656" s="16"/>
      <c r="J2656" s="16"/>
      <c r="K2656" s="16"/>
      <c r="L2656" s="16"/>
      <c r="M2656" s="15"/>
      <c r="N2656" s="15"/>
      <c r="O2656" s="16"/>
      <c r="P2656" s="16"/>
      <c r="Q2656" s="16"/>
      <c r="R2656" s="16"/>
      <c r="S2656" s="37" t="str">
        <f>IFERROR(__xludf.DUMMYFUNCTION("if(not(iserror(index(split(C2656, "" ""),2))), index(split(C2656, "" ""),1),"""")"),"")</f>
        <v/>
      </c>
      <c r="T2656" s="315" t="str">
        <f>IFERROR(__xludf.DUMMYFUNCTION("if(S2656="""",C2656,if(not(iserror(index(split(C2656, "" ""),3))), index(split(C2656, "" ""),3),index(split(C2656, "" ""),2)))"),"")</f>
        <v/>
      </c>
      <c r="U2656" s="38" t="b">
        <f t="shared" si="34"/>
        <v>0</v>
      </c>
      <c r="V2656" s="38"/>
      <c r="W2656" s="40"/>
      <c r="X2656" s="40"/>
      <c r="Y2656" s="38"/>
      <c r="Z2656" s="38"/>
      <c r="AA2656" s="38"/>
      <c r="AB2656" s="38"/>
      <c r="AC2656" s="38"/>
      <c r="AD2656" s="38"/>
      <c r="AE2656" s="38"/>
      <c r="AF2656" s="38"/>
      <c r="AG2656" s="38"/>
      <c r="AH2656" s="38"/>
      <c r="AI2656" s="38"/>
      <c r="AJ2656" s="38"/>
      <c r="AK2656" s="38"/>
      <c r="AL2656" s="38"/>
      <c r="AM2656" s="38"/>
      <c r="AN2656" s="38"/>
      <c r="AO2656" s="38"/>
      <c r="AP2656" s="38"/>
      <c r="AQ2656" s="38"/>
      <c r="AR2656" s="38"/>
      <c r="AS2656" s="38"/>
      <c r="AT2656" s="38"/>
      <c r="AU2656" s="38"/>
      <c r="AV2656" s="38"/>
      <c r="AW2656" s="38"/>
      <c r="AX2656" s="38"/>
      <c r="AY2656" s="38"/>
      <c r="AZ2656" s="38"/>
      <c r="BA2656" s="38"/>
      <c r="BB2656" s="38"/>
      <c r="BC2656" s="38"/>
      <c r="BD2656" s="38"/>
      <c r="BE2656" s="38"/>
      <c r="BF2656" s="38"/>
      <c r="BG2656" s="38"/>
      <c r="BH2656" s="38"/>
      <c r="BI2656" s="38"/>
      <c r="BJ2656" s="38"/>
      <c r="BK2656" s="38"/>
      <c r="BL2656" s="38"/>
      <c r="BM2656" s="38"/>
      <c r="BN2656" s="38"/>
      <c r="BO2656" s="38"/>
      <c r="BP2656" s="38"/>
      <c r="BQ2656" s="38"/>
    </row>
    <row r="2657">
      <c r="A2657" s="16"/>
      <c r="B2657" s="16"/>
      <c r="C2657" s="146"/>
      <c r="D2657" s="146"/>
      <c r="E2657" s="16"/>
      <c r="F2657" s="91"/>
      <c r="G2657" s="16"/>
      <c r="H2657" s="320" t="str">
        <f t="shared" si="33"/>
        <v/>
      </c>
      <c r="I2657" s="16"/>
      <c r="J2657" s="16"/>
      <c r="K2657" s="16"/>
      <c r="L2657" s="16"/>
      <c r="M2657" s="15"/>
      <c r="N2657" s="15"/>
      <c r="O2657" s="16"/>
      <c r="P2657" s="16"/>
      <c r="Q2657" s="16"/>
      <c r="R2657" s="16"/>
      <c r="S2657" s="37" t="str">
        <f>IFERROR(__xludf.DUMMYFUNCTION("if(not(iserror(index(split(C2657, "" ""),2))), index(split(C2657, "" ""),1),"""")"),"")</f>
        <v/>
      </c>
      <c r="T2657" s="315" t="str">
        <f>IFERROR(__xludf.DUMMYFUNCTION("if(S2657="""",C2657,if(not(iserror(index(split(C2657, "" ""),3))), index(split(C2657, "" ""),3),index(split(C2657, "" ""),2)))"),"")</f>
        <v/>
      </c>
      <c r="U2657" s="38" t="b">
        <f t="shared" si="34"/>
        <v>0</v>
      </c>
      <c r="V2657" s="38"/>
      <c r="W2657" s="40"/>
      <c r="X2657" s="40"/>
      <c r="Y2657" s="38"/>
      <c r="Z2657" s="38"/>
      <c r="AA2657" s="38"/>
      <c r="AB2657" s="38"/>
      <c r="AC2657" s="38"/>
      <c r="AD2657" s="38"/>
      <c r="AE2657" s="38"/>
      <c r="AF2657" s="38"/>
      <c r="AG2657" s="38"/>
      <c r="AH2657" s="38"/>
      <c r="AI2657" s="38"/>
      <c r="AJ2657" s="38"/>
      <c r="AK2657" s="38"/>
      <c r="AL2657" s="38"/>
      <c r="AM2657" s="38"/>
      <c r="AN2657" s="38"/>
      <c r="AO2657" s="38"/>
      <c r="AP2657" s="38"/>
      <c r="AQ2657" s="38"/>
      <c r="AR2657" s="38"/>
      <c r="AS2657" s="38"/>
      <c r="AT2657" s="38"/>
      <c r="AU2657" s="38"/>
      <c r="AV2657" s="38"/>
      <c r="AW2657" s="38"/>
      <c r="AX2657" s="38"/>
      <c r="AY2657" s="38"/>
      <c r="AZ2657" s="38"/>
      <c r="BA2657" s="38"/>
      <c r="BB2657" s="38"/>
      <c r="BC2657" s="38"/>
      <c r="BD2657" s="38"/>
      <c r="BE2657" s="38"/>
      <c r="BF2657" s="38"/>
      <c r="BG2657" s="38"/>
      <c r="BH2657" s="38"/>
      <c r="BI2657" s="38"/>
      <c r="BJ2657" s="38"/>
      <c r="BK2657" s="38"/>
      <c r="BL2657" s="38"/>
      <c r="BM2657" s="38"/>
      <c r="BN2657" s="38"/>
      <c r="BO2657" s="38"/>
      <c r="BP2657" s="38"/>
      <c r="BQ2657" s="38"/>
    </row>
    <row r="2658">
      <c r="A2658" s="16"/>
      <c r="B2658" s="16"/>
      <c r="C2658" s="146"/>
      <c r="D2658" s="146"/>
      <c r="E2658" s="16"/>
      <c r="F2658" s="91"/>
      <c r="G2658" s="16"/>
      <c r="H2658" s="320" t="str">
        <f t="shared" si="33"/>
        <v/>
      </c>
      <c r="I2658" s="16"/>
      <c r="J2658" s="16"/>
      <c r="K2658" s="16"/>
      <c r="L2658" s="16"/>
      <c r="M2658" s="15"/>
      <c r="N2658" s="15"/>
      <c r="O2658" s="16"/>
      <c r="P2658" s="16"/>
      <c r="Q2658" s="16"/>
      <c r="R2658" s="16"/>
      <c r="S2658" s="37" t="str">
        <f>IFERROR(__xludf.DUMMYFUNCTION("if(not(iserror(index(split(C2658, "" ""),2))), index(split(C2658, "" ""),1),"""")"),"")</f>
        <v/>
      </c>
      <c r="T2658" s="315" t="str">
        <f>IFERROR(__xludf.DUMMYFUNCTION("if(S2658="""",C2658,if(not(iserror(index(split(C2658, "" ""),3))), index(split(C2658, "" ""),3),index(split(C2658, "" ""),2)))"),"")</f>
        <v/>
      </c>
      <c r="U2658" s="38" t="b">
        <f t="shared" si="34"/>
        <v>0</v>
      </c>
      <c r="V2658" s="38"/>
      <c r="W2658" s="40"/>
      <c r="X2658" s="40"/>
      <c r="Y2658" s="38"/>
      <c r="Z2658" s="38"/>
      <c r="AA2658" s="38"/>
      <c r="AB2658" s="38"/>
      <c r="AC2658" s="38"/>
      <c r="AD2658" s="38"/>
      <c r="AE2658" s="38"/>
      <c r="AF2658" s="38"/>
      <c r="AG2658" s="38"/>
      <c r="AH2658" s="38"/>
      <c r="AI2658" s="38"/>
      <c r="AJ2658" s="38"/>
      <c r="AK2658" s="38"/>
      <c r="AL2658" s="38"/>
      <c r="AM2658" s="38"/>
      <c r="AN2658" s="38"/>
      <c r="AO2658" s="38"/>
      <c r="AP2658" s="38"/>
      <c r="AQ2658" s="38"/>
      <c r="AR2658" s="38"/>
      <c r="AS2658" s="38"/>
      <c r="AT2658" s="38"/>
      <c r="AU2658" s="38"/>
      <c r="AV2658" s="38"/>
      <c r="AW2658" s="38"/>
      <c r="AX2658" s="38"/>
      <c r="AY2658" s="38"/>
      <c r="AZ2658" s="38"/>
      <c r="BA2658" s="38"/>
      <c r="BB2658" s="38"/>
      <c r="BC2658" s="38"/>
      <c r="BD2658" s="38"/>
      <c r="BE2658" s="38"/>
      <c r="BF2658" s="38"/>
      <c r="BG2658" s="38"/>
      <c r="BH2658" s="38"/>
      <c r="BI2658" s="38"/>
      <c r="BJ2658" s="38"/>
      <c r="BK2658" s="38"/>
      <c r="BL2658" s="38"/>
      <c r="BM2658" s="38"/>
      <c r="BN2658" s="38"/>
      <c r="BO2658" s="38"/>
      <c r="BP2658" s="38"/>
      <c r="BQ2658" s="38"/>
    </row>
    <row r="2659">
      <c r="A2659" s="16"/>
      <c r="B2659" s="16"/>
      <c r="C2659" s="146"/>
      <c r="D2659" s="146"/>
      <c r="E2659" s="16"/>
      <c r="F2659" s="91"/>
      <c r="G2659" s="16"/>
      <c r="H2659" s="320" t="str">
        <f t="shared" si="33"/>
        <v/>
      </c>
      <c r="I2659" s="16"/>
      <c r="J2659" s="16"/>
      <c r="K2659" s="16"/>
      <c r="L2659" s="16"/>
      <c r="M2659" s="15"/>
      <c r="N2659" s="15"/>
      <c r="O2659" s="16"/>
      <c r="P2659" s="16"/>
      <c r="Q2659" s="16"/>
      <c r="R2659" s="16"/>
      <c r="S2659" s="37" t="str">
        <f>IFERROR(__xludf.DUMMYFUNCTION("if(not(iserror(index(split(C2659, "" ""),2))), index(split(C2659, "" ""),1),"""")"),"")</f>
        <v/>
      </c>
      <c r="T2659" s="315" t="str">
        <f>IFERROR(__xludf.DUMMYFUNCTION("if(S2659="""",C2659,if(not(iserror(index(split(C2659, "" ""),3))), index(split(C2659, "" ""),3),index(split(C2659, "" ""),2)))"),"")</f>
        <v/>
      </c>
      <c r="U2659" s="38" t="b">
        <f t="shared" si="34"/>
        <v>0</v>
      </c>
      <c r="V2659" s="38"/>
      <c r="W2659" s="40"/>
      <c r="X2659" s="40"/>
      <c r="Y2659" s="38"/>
      <c r="Z2659" s="38"/>
      <c r="AA2659" s="38"/>
      <c r="AB2659" s="38"/>
      <c r="AC2659" s="38"/>
      <c r="AD2659" s="38"/>
      <c r="AE2659" s="38"/>
      <c r="AF2659" s="38"/>
      <c r="AG2659" s="38"/>
      <c r="AH2659" s="38"/>
      <c r="AI2659" s="38"/>
      <c r="AJ2659" s="38"/>
      <c r="AK2659" s="38"/>
      <c r="AL2659" s="38"/>
      <c r="AM2659" s="38"/>
      <c r="AN2659" s="38"/>
      <c r="AO2659" s="38"/>
      <c r="AP2659" s="38"/>
      <c r="AQ2659" s="38"/>
      <c r="AR2659" s="38"/>
      <c r="AS2659" s="38"/>
      <c r="AT2659" s="38"/>
      <c r="AU2659" s="38"/>
      <c r="AV2659" s="38"/>
      <c r="AW2659" s="38"/>
      <c r="AX2659" s="38"/>
      <c r="AY2659" s="38"/>
      <c r="AZ2659" s="38"/>
      <c r="BA2659" s="38"/>
      <c r="BB2659" s="38"/>
      <c r="BC2659" s="38"/>
      <c r="BD2659" s="38"/>
      <c r="BE2659" s="38"/>
      <c r="BF2659" s="38"/>
      <c r="BG2659" s="38"/>
      <c r="BH2659" s="38"/>
      <c r="BI2659" s="38"/>
      <c r="BJ2659" s="38"/>
      <c r="BK2659" s="38"/>
      <c r="BL2659" s="38"/>
      <c r="BM2659" s="38"/>
      <c r="BN2659" s="38"/>
      <c r="BO2659" s="38"/>
      <c r="BP2659" s="38"/>
      <c r="BQ2659" s="38"/>
    </row>
    <row r="2660">
      <c r="A2660" s="16"/>
      <c r="B2660" s="16"/>
      <c r="C2660" s="146"/>
      <c r="D2660" s="146"/>
      <c r="E2660" s="16"/>
      <c r="F2660" s="91"/>
      <c r="G2660" s="16"/>
      <c r="H2660" s="320" t="str">
        <f t="shared" si="33"/>
        <v/>
      </c>
      <c r="I2660" s="16"/>
      <c r="J2660" s="16"/>
      <c r="K2660" s="16"/>
      <c r="L2660" s="16"/>
      <c r="M2660" s="15"/>
      <c r="N2660" s="15"/>
      <c r="O2660" s="16"/>
      <c r="P2660" s="16"/>
      <c r="Q2660" s="16"/>
      <c r="R2660" s="16"/>
      <c r="S2660" s="37" t="str">
        <f>IFERROR(__xludf.DUMMYFUNCTION("if(not(iserror(index(split(C2660, "" ""),2))), index(split(C2660, "" ""),1),"""")"),"")</f>
        <v/>
      </c>
      <c r="T2660" s="315" t="str">
        <f>IFERROR(__xludf.DUMMYFUNCTION("if(S2660="""",C2660,if(not(iserror(index(split(C2660, "" ""),3))), index(split(C2660, "" ""),3),index(split(C2660, "" ""),2)))"),"")</f>
        <v/>
      </c>
      <c r="U2660" s="38" t="b">
        <f t="shared" si="34"/>
        <v>0</v>
      </c>
      <c r="V2660" s="38"/>
      <c r="W2660" s="40"/>
      <c r="X2660" s="40"/>
      <c r="Y2660" s="38"/>
      <c r="Z2660" s="38"/>
      <c r="AA2660" s="38"/>
      <c r="AB2660" s="38"/>
      <c r="AC2660" s="38"/>
      <c r="AD2660" s="38"/>
      <c r="AE2660" s="38"/>
      <c r="AF2660" s="38"/>
      <c r="AG2660" s="38"/>
      <c r="AH2660" s="38"/>
      <c r="AI2660" s="38"/>
      <c r="AJ2660" s="38"/>
      <c r="AK2660" s="38"/>
      <c r="AL2660" s="38"/>
      <c r="AM2660" s="38"/>
      <c r="AN2660" s="38"/>
      <c r="AO2660" s="38"/>
      <c r="AP2660" s="38"/>
      <c r="AQ2660" s="38"/>
      <c r="AR2660" s="38"/>
      <c r="AS2660" s="38"/>
      <c r="AT2660" s="38"/>
      <c r="AU2660" s="38"/>
      <c r="AV2660" s="38"/>
      <c r="AW2660" s="38"/>
      <c r="AX2660" s="38"/>
      <c r="AY2660" s="38"/>
      <c r="AZ2660" s="38"/>
      <c r="BA2660" s="38"/>
      <c r="BB2660" s="38"/>
      <c r="BC2660" s="38"/>
      <c r="BD2660" s="38"/>
      <c r="BE2660" s="38"/>
      <c r="BF2660" s="38"/>
      <c r="BG2660" s="38"/>
      <c r="BH2660" s="38"/>
      <c r="BI2660" s="38"/>
      <c r="BJ2660" s="38"/>
      <c r="BK2660" s="38"/>
      <c r="BL2660" s="38"/>
      <c r="BM2660" s="38"/>
      <c r="BN2660" s="38"/>
      <c r="BO2660" s="38"/>
      <c r="BP2660" s="38"/>
      <c r="BQ2660" s="38"/>
    </row>
    <row r="2661">
      <c r="A2661" s="16"/>
      <c r="B2661" s="16"/>
      <c r="C2661" s="146"/>
      <c r="D2661" s="146"/>
      <c r="E2661" s="16"/>
      <c r="F2661" s="91"/>
      <c r="G2661" s="16"/>
      <c r="H2661" s="320" t="str">
        <f t="shared" si="33"/>
        <v/>
      </c>
      <c r="I2661" s="16"/>
      <c r="J2661" s="16"/>
      <c r="K2661" s="16"/>
      <c r="L2661" s="16"/>
      <c r="M2661" s="15"/>
      <c r="N2661" s="15"/>
      <c r="O2661" s="16"/>
      <c r="P2661" s="16"/>
      <c r="Q2661" s="16"/>
      <c r="R2661" s="16"/>
      <c r="S2661" s="37" t="str">
        <f>IFERROR(__xludf.DUMMYFUNCTION("if(not(iserror(index(split(C2661, "" ""),2))), index(split(C2661, "" ""),1),"""")"),"")</f>
        <v/>
      </c>
      <c r="T2661" s="315" t="str">
        <f>IFERROR(__xludf.DUMMYFUNCTION("if(S2661="""",C2661,if(not(iserror(index(split(C2661, "" ""),3))), index(split(C2661, "" ""),3),index(split(C2661, "" ""),2)))"),"")</f>
        <v/>
      </c>
      <c r="U2661" s="38" t="b">
        <f t="shared" si="34"/>
        <v>0</v>
      </c>
      <c r="V2661" s="38"/>
      <c r="W2661" s="40"/>
      <c r="X2661" s="40"/>
      <c r="Y2661" s="38"/>
      <c r="Z2661" s="38"/>
      <c r="AA2661" s="38"/>
      <c r="AB2661" s="38"/>
      <c r="AC2661" s="38"/>
      <c r="AD2661" s="38"/>
      <c r="AE2661" s="38"/>
      <c r="AF2661" s="38"/>
      <c r="AG2661" s="38"/>
      <c r="AH2661" s="38"/>
      <c r="AI2661" s="38"/>
      <c r="AJ2661" s="38"/>
      <c r="AK2661" s="38"/>
      <c r="AL2661" s="38"/>
      <c r="AM2661" s="38"/>
      <c r="AN2661" s="38"/>
      <c r="AO2661" s="38"/>
      <c r="AP2661" s="38"/>
      <c r="AQ2661" s="38"/>
      <c r="AR2661" s="38"/>
      <c r="AS2661" s="38"/>
      <c r="AT2661" s="38"/>
      <c r="AU2661" s="38"/>
      <c r="AV2661" s="38"/>
      <c r="AW2661" s="38"/>
      <c r="AX2661" s="38"/>
      <c r="AY2661" s="38"/>
      <c r="AZ2661" s="38"/>
      <c r="BA2661" s="38"/>
      <c r="BB2661" s="38"/>
      <c r="BC2661" s="38"/>
      <c r="BD2661" s="38"/>
      <c r="BE2661" s="38"/>
      <c r="BF2661" s="38"/>
      <c r="BG2661" s="38"/>
      <c r="BH2661" s="38"/>
      <c r="BI2661" s="38"/>
      <c r="BJ2661" s="38"/>
      <c r="BK2661" s="38"/>
      <c r="BL2661" s="38"/>
      <c r="BM2661" s="38"/>
      <c r="BN2661" s="38"/>
      <c r="BO2661" s="38"/>
      <c r="BP2661" s="38"/>
      <c r="BQ2661" s="38"/>
    </row>
    <row r="2662">
      <c r="A2662" s="16"/>
      <c r="B2662" s="16"/>
      <c r="C2662" s="146"/>
      <c r="D2662" s="146"/>
      <c r="E2662" s="16"/>
      <c r="F2662" s="91"/>
      <c r="G2662" s="16"/>
      <c r="H2662" s="320" t="str">
        <f t="shared" si="33"/>
        <v/>
      </c>
      <c r="I2662" s="16"/>
      <c r="J2662" s="16"/>
      <c r="K2662" s="16"/>
      <c r="L2662" s="16"/>
      <c r="M2662" s="15"/>
      <c r="N2662" s="15"/>
      <c r="O2662" s="16"/>
      <c r="P2662" s="16"/>
      <c r="Q2662" s="16"/>
      <c r="R2662" s="16"/>
      <c r="S2662" s="37" t="str">
        <f>IFERROR(__xludf.DUMMYFUNCTION("if(not(iserror(index(split(C2662, "" ""),2))), index(split(C2662, "" ""),1),"""")"),"")</f>
        <v/>
      </c>
      <c r="T2662" s="315" t="str">
        <f>IFERROR(__xludf.DUMMYFUNCTION("if(S2662="""",C2662,if(not(iserror(index(split(C2662, "" ""),3))), index(split(C2662, "" ""),3),index(split(C2662, "" ""),2)))"),"")</f>
        <v/>
      </c>
      <c r="U2662" s="38" t="b">
        <f t="shared" si="34"/>
        <v>0</v>
      </c>
      <c r="V2662" s="38"/>
      <c r="W2662" s="40"/>
      <c r="X2662" s="40"/>
      <c r="Y2662" s="38"/>
      <c r="Z2662" s="38"/>
      <c r="AA2662" s="38"/>
      <c r="AB2662" s="38"/>
      <c r="AC2662" s="38"/>
      <c r="AD2662" s="38"/>
      <c r="AE2662" s="38"/>
      <c r="AF2662" s="38"/>
      <c r="AG2662" s="38"/>
      <c r="AH2662" s="38"/>
      <c r="AI2662" s="38"/>
      <c r="AJ2662" s="38"/>
      <c r="AK2662" s="38"/>
      <c r="AL2662" s="38"/>
      <c r="AM2662" s="38"/>
      <c r="AN2662" s="38"/>
      <c r="AO2662" s="38"/>
      <c r="AP2662" s="38"/>
      <c r="AQ2662" s="38"/>
      <c r="AR2662" s="38"/>
      <c r="AS2662" s="38"/>
      <c r="AT2662" s="38"/>
      <c r="AU2662" s="38"/>
      <c r="AV2662" s="38"/>
      <c r="AW2662" s="38"/>
      <c r="AX2662" s="38"/>
      <c r="AY2662" s="38"/>
      <c r="AZ2662" s="38"/>
      <c r="BA2662" s="38"/>
      <c r="BB2662" s="38"/>
      <c r="BC2662" s="38"/>
      <c r="BD2662" s="38"/>
      <c r="BE2662" s="38"/>
      <c r="BF2662" s="38"/>
      <c r="BG2662" s="38"/>
      <c r="BH2662" s="38"/>
      <c r="BI2662" s="38"/>
      <c r="BJ2662" s="38"/>
      <c r="BK2662" s="38"/>
      <c r="BL2662" s="38"/>
      <c r="BM2662" s="38"/>
      <c r="BN2662" s="38"/>
      <c r="BO2662" s="38"/>
      <c r="BP2662" s="38"/>
      <c r="BQ2662" s="38"/>
    </row>
    <row r="2663">
      <c r="A2663" s="16"/>
      <c r="B2663" s="16"/>
      <c r="C2663" s="146"/>
      <c r="D2663" s="146"/>
      <c r="E2663" s="16"/>
      <c r="F2663" s="91"/>
      <c r="G2663" s="16"/>
      <c r="H2663" s="320" t="str">
        <f t="shared" si="33"/>
        <v/>
      </c>
      <c r="I2663" s="16"/>
      <c r="J2663" s="16"/>
      <c r="K2663" s="16"/>
      <c r="L2663" s="16"/>
      <c r="M2663" s="15"/>
      <c r="N2663" s="15"/>
      <c r="O2663" s="16"/>
      <c r="P2663" s="16"/>
      <c r="Q2663" s="16"/>
      <c r="R2663" s="16"/>
      <c r="S2663" s="37" t="str">
        <f>IFERROR(__xludf.DUMMYFUNCTION("if(not(iserror(index(split(C2663, "" ""),2))), index(split(C2663, "" ""),1),"""")"),"")</f>
        <v/>
      </c>
      <c r="T2663" s="315" t="str">
        <f>IFERROR(__xludf.DUMMYFUNCTION("if(S2663="""",C2663,if(not(iserror(index(split(C2663, "" ""),3))), index(split(C2663, "" ""),3),index(split(C2663, "" ""),2)))"),"")</f>
        <v/>
      </c>
      <c r="U2663" s="38" t="b">
        <f t="shared" si="34"/>
        <v>0</v>
      </c>
      <c r="V2663" s="38"/>
      <c r="W2663" s="40"/>
      <c r="X2663" s="40"/>
      <c r="Y2663" s="38"/>
      <c r="Z2663" s="38"/>
      <c r="AA2663" s="38"/>
      <c r="AB2663" s="38"/>
      <c r="AC2663" s="38"/>
      <c r="AD2663" s="38"/>
      <c r="AE2663" s="38"/>
      <c r="AF2663" s="38"/>
      <c r="AG2663" s="38"/>
      <c r="AH2663" s="38"/>
      <c r="AI2663" s="38"/>
      <c r="AJ2663" s="38"/>
      <c r="AK2663" s="38"/>
      <c r="AL2663" s="38"/>
      <c r="AM2663" s="38"/>
      <c r="AN2663" s="38"/>
      <c r="AO2663" s="38"/>
      <c r="AP2663" s="38"/>
      <c r="AQ2663" s="38"/>
      <c r="AR2663" s="38"/>
      <c r="AS2663" s="38"/>
      <c r="AT2663" s="38"/>
      <c r="AU2663" s="38"/>
      <c r="AV2663" s="38"/>
      <c r="AW2663" s="38"/>
      <c r="AX2663" s="38"/>
      <c r="AY2663" s="38"/>
      <c r="AZ2663" s="38"/>
      <c r="BA2663" s="38"/>
      <c r="BB2663" s="38"/>
      <c r="BC2663" s="38"/>
      <c r="BD2663" s="38"/>
      <c r="BE2663" s="38"/>
      <c r="BF2663" s="38"/>
      <c r="BG2663" s="38"/>
      <c r="BH2663" s="38"/>
      <c r="BI2663" s="38"/>
      <c r="BJ2663" s="38"/>
      <c r="BK2663" s="38"/>
      <c r="BL2663" s="38"/>
      <c r="BM2663" s="38"/>
      <c r="BN2663" s="38"/>
      <c r="BO2663" s="38"/>
      <c r="BP2663" s="38"/>
      <c r="BQ2663" s="38"/>
    </row>
    <row r="2664">
      <c r="A2664" s="16"/>
      <c r="B2664" s="16"/>
      <c r="C2664" s="146"/>
      <c r="D2664" s="146"/>
      <c r="E2664" s="16"/>
      <c r="F2664" s="91"/>
      <c r="G2664" s="16"/>
      <c r="H2664" s="320" t="str">
        <f t="shared" si="33"/>
        <v/>
      </c>
      <c r="I2664" s="16"/>
      <c r="J2664" s="16"/>
      <c r="K2664" s="16"/>
      <c r="L2664" s="16"/>
      <c r="M2664" s="15"/>
      <c r="N2664" s="15"/>
      <c r="O2664" s="16"/>
      <c r="P2664" s="16"/>
      <c r="Q2664" s="16"/>
      <c r="R2664" s="16"/>
      <c r="S2664" s="37" t="str">
        <f>IFERROR(__xludf.DUMMYFUNCTION("if(not(iserror(index(split(C2664, "" ""),2))), index(split(C2664, "" ""),1),"""")"),"")</f>
        <v/>
      </c>
      <c r="T2664" s="315" t="str">
        <f>IFERROR(__xludf.DUMMYFUNCTION("if(S2664="""",C2664,if(not(iserror(index(split(C2664, "" ""),3))), index(split(C2664, "" ""),3),index(split(C2664, "" ""),2)))"),"")</f>
        <v/>
      </c>
      <c r="U2664" s="38" t="b">
        <f t="shared" si="34"/>
        <v>0</v>
      </c>
      <c r="V2664" s="38"/>
      <c r="W2664" s="40"/>
      <c r="X2664" s="40"/>
      <c r="Y2664" s="38"/>
      <c r="Z2664" s="38"/>
      <c r="AA2664" s="38"/>
      <c r="AB2664" s="38"/>
      <c r="AC2664" s="38"/>
      <c r="AD2664" s="38"/>
      <c r="AE2664" s="38"/>
      <c r="AF2664" s="38"/>
      <c r="AG2664" s="38"/>
      <c r="AH2664" s="38"/>
      <c r="AI2664" s="38"/>
      <c r="AJ2664" s="38"/>
      <c r="AK2664" s="38"/>
      <c r="AL2664" s="38"/>
      <c r="AM2664" s="38"/>
      <c r="AN2664" s="38"/>
      <c r="AO2664" s="38"/>
      <c r="AP2664" s="38"/>
      <c r="AQ2664" s="38"/>
      <c r="AR2664" s="38"/>
      <c r="AS2664" s="38"/>
      <c r="AT2664" s="38"/>
      <c r="AU2664" s="38"/>
      <c r="AV2664" s="38"/>
      <c r="AW2664" s="38"/>
      <c r="AX2664" s="38"/>
      <c r="AY2664" s="38"/>
      <c r="AZ2664" s="38"/>
      <c r="BA2664" s="38"/>
      <c r="BB2664" s="38"/>
      <c r="BC2664" s="38"/>
      <c r="BD2664" s="38"/>
      <c r="BE2664" s="38"/>
      <c r="BF2664" s="38"/>
      <c r="BG2664" s="38"/>
      <c r="BH2664" s="38"/>
      <c r="BI2664" s="38"/>
      <c r="BJ2664" s="38"/>
      <c r="BK2664" s="38"/>
      <c r="BL2664" s="38"/>
      <c r="BM2664" s="38"/>
      <c r="BN2664" s="38"/>
      <c r="BO2664" s="38"/>
      <c r="BP2664" s="38"/>
      <c r="BQ2664" s="38"/>
    </row>
    <row r="2665">
      <c r="A2665" s="16"/>
      <c r="B2665" s="16"/>
      <c r="C2665" s="146"/>
      <c r="D2665" s="146"/>
      <c r="E2665" s="16"/>
      <c r="F2665" s="91"/>
      <c r="G2665" s="16"/>
      <c r="H2665" s="320" t="str">
        <f t="shared" si="33"/>
        <v/>
      </c>
      <c r="I2665" s="16"/>
      <c r="J2665" s="16"/>
      <c r="K2665" s="16"/>
      <c r="L2665" s="16"/>
      <c r="M2665" s="15"/>
      <c r="N2665" s="15"/>
      <c r="O2665" s="16"/>
      <c r="P2665" s="16"/>
      <c r="Q2665" s="16"/>
      <c r="R2665" s="16"/>
      <c r="S2665" s="37" t="str">
        <f>IFERROR(__xludf.DUMMYFUNCTION("if(not(iserror(index(split(C2665, "" ""),2))), index(split(C2665, "" ""),1),"""")"),"")</f>
        <v/>
      </c>
      <c r="T2665" s="315" t="str">
        <f>IFERROR(__xludf.DUMMYFUNCTION("if(S2665="""",C2665,if(not(iserror(index(split(C2665, "" ""),3))), index(split(C2665, "" ""),3),index(split(C2665, "" ""),2)))"),"")</f>
        <v/>
      </c>
      <c r="U2665" s="38" t="b">
        <f t="shared" si="34"/>
        <v>0</v>
      </c>
      <c r="V2665" s="38"/>
      <c r="W2665" s="40"/>
      <c r="X2665" s="40"/>
      <c r="Y2665" s="38"/>
      <c r="Z2665" s="38"/>
      <c r="AA2665" s="38"/>
      <c r="AB2665" s="38"/>
      <c r="AC2665" s="38"/>
      <c r="AD2665" s="38"/>
      <c r="AE2665" s="38"/>
      <c r="AF2665" s="38"/>
      <c r="AG2665" s="38"/>
      <c r="AH2665" s="38"/>
      <c r="AI2665" s="38"/>
      <c r="AJ2665" s="38"/>
      <c r="AK2665" s="38"/>
      <c r="AL2665" s="38"/>
      <c r="AM2665" s="38"/>
      <c r="AN2665" s="38"/>
      <c r="AO2665" s="38"/>
      <c r="AP2665" s="38"/>
      <c r="AQ2665" s="38"/>
      <c r="AR2665" s="38"/>
      <c r="AS2665" s="38"/>
      <c r="AT2665" s="38"/>
      <c r="AU2665" s="38"/>
      <c r="AV2665" s="38"/>
      <c r="AW2665" s="38"/>
      <c r="AX2665" s="38"/>
      <c r="AY2665" s="38"/>
      <c r="AZ2665" s="38"/>
      <c r="BA2665" s="38"/>
      <c r="BB2665" s="38"/>
      <c r="BC2665" s="38"/>
      <c r="BD2665" s="38"/>
      <c r="BE2665" s="38"/>
      <c r="BF2665" s="38"/>
      <c r="BG2665" s="38"/>
      <c r="BH2665" s="38"/>
      <c r="BI2665" s="38"/>
      <c r="BJ2665" s="38"/>
      <c r="BK2665" s="38"/>
      <c r="BL2665" s="38"/>
      <c r="BM2665" s="38"/>
      <c r="BN2665" s="38"/>
      <c r="BO2665" s="38"/>
      <c r="BP2665" s="38"/>
      <c r="BQ2665" s="38"/>
    </row>
    <row r="2666">
      <c r="A2666" s="16"/>
      <c r="B2666" s="16"/>
      <c r="C2666" s="146"/>
      <c r="D2666" s="146"/>
      <c r="E2666" s="16"/>
      <c r="F2666" s="91"/>
      <c r="G2666" s="16"/>
      <c r="H2666" s="320" t="str">
        <f t="shared" si="33"/>
        <v/>
      </c>
      <c r="I2666" s="16"/>
      <c r="J2666" s="16"/>
      <c r="K2666" s="16"/>
      <c r="L2666" s="16"/>
      <c r="M2666" s="15"/>
      <c r="N2666" s="15"/>
      <c r="O2666" s="16"/>
      <c r="P2666" s="16"/>
      <c r="Q2666" s="16"/>
      <c r="R2666" s="16"/>
      <c r="S2666" s="37" t="str">
        <f>IFERROR(__xludf.DUMMYFUNCTION("if(not(iserror(index(split(C2666, "" ""),2))), index(split(C2666, "" ""),1),"""")"),"")</f>
        <v/>
      </c>
      <c r="T2666" s="315" t="str">
        <f>IFERROR(__xludf.DUMMYFUNCTION("if(S2666="""",C2666,if(not(iserror(index(split(C2666, "" ""),3))), index(split(C2666, "" ""),3),index(split(C2666, "" ""),2)))"),"")</f>
        <v/>
      </c>
      <c r="U2666" s="38" t="b">
        <f t="shared" si="34"/>
        <v>0</v>
      </c>
      <c r="V2666" s="38"/>
      <c r="W2666" s="40"/>
      <c r="X2666" s="40"/>
      <c r="Y2666" s="38"/>
      <c r="Z2666" s="38"/>
      <c r="AA2666" s="38"/>
      <c r="AB2666" s="38"/>
      <c r="AC2666" s="38"/>
      <c r="AD2666" s="38"/>
      <c r="AE2666" s="38"/>
      <c r="AF2666" s="38"/>
      <c r="AG2666" s="38"/>
      <c r="AH2666" s="38"/>
      <c r="AI2666" s="38"/>
      <c r="AJ2666" s="38"/>
      <c r="AK2666" s="38"/>
      <c r="AL2666" s="38"/>
      <c r="AM2666" s="38"/>
      <c r="AN2666" s="38"/>
      <c r="AO2666" s="38"/>
      <c r="AP2666" s="38"/>
      <c r="AQ2666" s="38"/>
      <c r="AR2666" s="38"/>
      <c r="AS2666" s="38"/>
      <c r="AT2666" s="38"/>
      <c r="AU2666" s="38"/>
      <c r="AV2666" s="38"/>
      <c r="AW2666" s="38"/>
      <c r="AX2666" s="38"/>
      <c r="AY2666" s="38"/>
      <c r="AZ2666" s="38"/>
      <c r="BA2666" s="38"/>
      <c r="BB2666" s="38"/>
      <c r="BC2666" s="38"/>
      <c r="BD2666" s="38"/>
      <c r="BE2666" s="38"/>
      <c r="BF2666" s="38"/>
      <c r="BG2666" s="38"/>
      <c r="BH2666" s="38"/>
      <c r="BI2666" s="38"/>
      <c r="BJ2666" s="38"/>
      <c r="BK2666" s="38"/>
      <c r="BL2666" s="38"/>
      <c r="BM2666" s="38"/>
      <c r="BN2666" s="38"/>
      <c r="BO2666" s="38"/>
      <c r="BP2666" s="38"/>
      <c r="BQ2666" s="38"/>
    </row>
    <row r="2667">
      <c r="A2667" s="16"/>
      <c r="B2667" s="16"/>
      <c r="C2667" s="146"/>
      <c r="D2667" s="146"/>
      <c r="E2667" s="16"/>
      <c r="F2667" s="91"/>
      <c r="G2667" s="16"/>
      <c r="H2667" s="320" t="str">
        <f t="shared" si="33"/>
        <v/>
      </c>
      <c r="I2667" s="16"/>
      <c r="J2667" s="16"/>
      <c r="K2667" s="16"/>
      <c r="L2667" s="16"/>
      <c r="M2667" s="15"/>
      <c r="N2667" s="15"/>
      <c r="O2667" s="16"/>
      <c r="P2667" s="16"/>
      <c r="Q2667" s="16"/>
      <c r="R2667" s="16"/>
      <c r="S2667" s="37" t="str">
        <f>IFERROR(__xludf.DUMMYFUNCTION("if(not(iserror(index(split(C2667, "" ""),2))), index(split(C2667, "" ""),1),"""")"),"")</f>
        <v/>
      </c>
      <c r="T2667" s="315" t="str">
        <f>IFERROR(__xludf.DUMMYFUNCTION("if(S2667="""",C2667,if(not(iserror(index(split(C2667, "" ""),3))), index(split(C2667, "" ""),3),index(split(C2667, "" ""),2)))"),"")</f>
        <v/>
      </c>
      <c r="U2667" s="38" t="b">
        <f t="shared" si="34"/>
        <v>0</v>
      </c>
      <c r="V2667" s="38"/>
      <c r="W2667" s="40"/>
      <c r="X2667" s="40"/>
      <c r="Y2667" s="38"/>
      <c r="Z2667" s="38"/>
      <c r="AA2667" s="38"/>
      <c r="AB2667" s="38"/>
      <c r="AC2667" s="38"/>
      <c r="AD2667" s="38"/>
      <c r="AE2667" s="38"/>
      <c r="AF2667" s="38"/>
      <c r="AG2667" s="38"/>
      <c r="AH2667" s="38"/>
      <c r="AI2667" s="38"/>
      <c r="AJ2667" s="38"/>
      <c r="AK2667" s="38"/>
      <c r="AL2667" s="38"/>
      <c r="AM2667" s="38"/>
      <c r="AN2667" s="38"/>
      <c r="AO2667" s="38"/>
      <c r="AP2667" s="38"/>
      <c r="AQ2667" s="38"/>
      <c r="AR2667" s="38"/>
      <c r="AS2667" s="38"/>
      <c r="AT2667" s="38"/>
      <c r="AU2667" s="38"/>
      <c r="AV2667" s="38"/>
      <c r="AW2667" s="38"/>
      <c r="AX2667" s="38"/>
      <c r="AY2667" s="38"/>
      <c r="AZ2667" s="38"/>
      <c r="BA2667" s="38"/>
      <c r="BB2667" s="38"/>
      <c r="BC2667" s="38"/>
      <c r="BD2667" s="38"/>
      <c r="BE2667" s="38"/>
      <c r="BF2667" s="38"/>
      <c r="BG2667" s="38"/>
      <c r="BH2667" s="38"/>
      <c r="BI2667" s="38"/>
      <c r="BJ2667" s="38"/>
      <c r="BK2667" s="38"/>
      <c r="BL2667" s="38"/>
      <c r="BM2667" s="38"/>
      <c r="BN2667" s="38"/>
      <c r="BO2667" s="38"/>
      <c r="BP2667" s="38"/>
      <c r="BQ2667" s="38"/>
    </row>
    <row r="2668">
      <c r="A2668" s="16"/>
      <c r="B2668" s="16"/>
      <c r="C2668" s="146"/>
      <c r="D2668" s="146"/>
      <c r="E2668" s="16"/>
      <c r="F2668" s="91"/>
      <c r="G2668" s="16"/>
      <c r="H2668" s="320" t="str">
        <f t="shared" si="33"/>
        <v/>
      </c>
      <c r="I2668" s="16"/>
      <c r="J2668" s="16"/>
      <c r="K2668" s="16"/>
      <c r="L2668" s="16"/>
      <c r="M2668" s="15"/>
      <c r="N2668" s="15"/>
      <c r="O2668" s="16"/>
      <c r="P2668" s="16"/>
      <c r="Q2668" s="16"/>
      <c r="R2668" s="16"/>
      <c r="S2668" s="37" t="str">
        <f>IFERROR(__xludf.DUMMYFUNCTION("if(not(iserror(index(split(C2668, "" ""),2))), index(split(C2668, "" ""),1),"""")"),"")</f>
        <v/>
      </c>
      <c r="T2668" s="315" t="str">
        <f>IFERROR(__xludf.DUMMYFUNCTION("if(S2668="""",C2668,if(not(iserror(index(split(C2668, "" ""),3))), index(split(C2668, "" ""),3),index(split(C2668, "" ""),2)))"),"")</f>
        <v/>
      </c>
      <c r="U2668" s="38" t="b">
        <f t="shared" si="34"/>
        <v>0</v>
      </c>
      <c r="V2668" s="38"/>
      <c r="W2668" s="40"/>
      <c r="X2668" s="40"/>
      <c r="Y2668" s="38"/>
      <c r="Z2668" s="38"/>
      <c r="AA2668" s="38"/>
      <c r="AB2668" s="38"/>
      <c r="AC2668" s="38"/>
      <c r="AD2668" s="38"/>
      <c r="AE2668" s="38"/>
      <c r="AF2668" s="38"/>
      <c r="AG2668" s="38"/>
      <c r="AH2668" s="38"/>
      <c r="AI2668" s="38"/>
      <c r="AJ2668" s="38"/>
      <c r="AK2668" s="38"/>
      <c r="AL2668" s="38"/>
      <c r="AM2668" s="38"/>
      <c r="AN2668" s="38"/>
      <c r="AO2668" s="38"/>
      <c r="AP2668" s="38"/>
      <c r="AQ2668" s="38"/>
      <c r="AR2668" s="38"/>
      <c r="AS2668" s="38"/>
      <c r="AT2668" s="38"/>
      <c r="AU2668" s="38"/>
      <c r="AV2668" s="38"/>
      <c r="AW2668" s="38"/>
      <c r="AX2668" s="38"/>
      <c r="AY2668" s="38"/>
      <c r="AZ2668" s="38"/>
      <c r="BA2668" s="38"/>
      <c r="BB2668" s="38"/>
      <c r="BC2668" s="38"/>
      <c r="BD2668" s="38"/>
      <c r="BE2668" s="38"/>
      <c r="BF2668" s="38"/>
      <c r="BG2668" s="38"/>
      <c r="BH2668" s="38"/>
      <c r="BI2668" s="38"/>
      <c r="BJ2668" s="38"/>
      <c r="BK2668" s="38"/>
      <c r="BL2668" s="38"/>
      <c r="BM2668" s="38"/>
      <c r="BN2668" s="38"/>
      <c r="BO2668" s="38"/>
      <c r="BP2668" s="38"/>
      <c r="BQ2668" s="38"/>
    </row>
    <row r="2669">
      <c r="A2669" s="16"/>
      <c r="B2669" s="16"/>
      <c r="C2669" s="146"/>
      <c r="D2669" s="146"/>
      <c r="E2669" s="16"/>
      <c r="F2669" s="91"/>
      <c r="G2669" s="16"/>
      <c r="H2669" s="320" t="str">
        <f t="shared" si="33"/>
        <v/>
      </c>
      <c r="I2669" s="16"/>
      <c r="J2669" s="16"/>
      <c r="K2669" s="16"/>
      <c r="L2669" s="16"/>
      <c r="M2669" s="15"/>
      <c r="N2669" s="15"/>
      <c r="O2669" s="16"/>
      <c r="P2669" s="16"/>
      <c r="Q2669" s="16"/>
      <c r="R2669" s="16"/>
      <c r="S2669" s="37" t="str">
        <f>IFERROR(__xludf.DUMMYFUNCTION("if(not(iserror(index(split(C2669, "" ""),2))), index(split(C2669, "" ""),1),"""")"),"")</f>
        <v/>
      </c>
      <c r="T2669" s="315" t="str">
        <f>IFERROR(__xludf.DUMMYFUNCTION("if(S2669="""",C2669,if(not(iserror(index(split(C2669, "" ""),3))), index(split(C2669, "" ""),3),index(split(C2669, "" ""),2)))"),"")</f>
        <v/>
      </c>
      <c r="U2669" s="38" t="b">
        <f t="shared" si="34"/>
        <v>0</v>
      </c>
      <c r="V2669" s="38"/>
      <c r="W2669" s="40"/>
      <c r="X2669" s="40"/>
      <c r="Y2669" s="38"/>
      <c r="Z2669" s="38"/>
      <c r="AA2669" s="38"/>
      <c r="AB2669" s="38"/>
      <c r="AC2669" s="38"/>
      <c r="AD2669" s="38"/>
      <c r="AE2669" s="38"/>
      <c r="AF2669" s="38"/>
      <c r="AG2669" s="38"/>
      <c r="AH2669" s="38"/>
      <c r="AI2669" s="38"/>
      <c r="AJ2669" s="38"/>
      <c r="AK2669" s="38"/>
      <c r="AL2669" s="38"/>
      <c r="AM2669" s="38"/>
      <c r="AN2669" s="38"/>
      <c r="AO2669" s="38"/>
      <c r="AP2669" s="38"/>
      <c r="AQ2669" s="38"/>
      <c r="AR2669" s="38"/>
      <c r="AS2669" s="38"/>
      <c r="AT2669" s="38"/>
      <c r="AU2669" s="38"/>
      <c r="AV2669" s="38"/>
      <c r="AW2669" s="38"/>
      <c r="AX2669" s="38"/>
      <c r="AY2669" s="38"/>
      <c r="AZ2669" s="38"/>
      <c r="BA2669" s="38"/>
      <c r="BB2669" s="38"/>
      <c r="BC2669" s="38"/>
      <c r="BD2669" s="38"/>
      <c r="BE2669" s="38"/>
      <c r="BF2669" s="38"/>
      <c r="BG2669" s="38"/>
      <c r="BH2669" s="38"/>
      <c r="BI2669" s="38"/>
      <c r="BJ2669" s="38"/>
      <c r="BK2669" s="38"/>
      <c r="BL2669" s="38"/>
      <c r="BM2669" s="38"/>
      <c r="BN2669" s="38"/>
      <c r="BO2669" s="38"/>
      <c r="BP2669" s="38"/>
      <c r="BQ2669" s="38"/>
    </row>
    <row r="2670">
      <c r="A2670" s="16"/>
      <c r="B2670" s="16"/>
      <c r="C2670" s="146"/>
      <c r="D2670" s="146"/>
      <c r="E2670" s="16"/>
      <c r="F2670" s="91"/>
      <c r="G2670" s="16"/>
      <c r="H2670" s="320" t="str">
        <f t="shared" si="33"/>
        <v/>
      </c>
      <c r="I2670" s="16"/>
      <c r="J2670" s="16"/>
      <c r="K2670" s="16"/>
      <c r="L2670" s="16"/>
      <c r="M2670" s="15"/>
      <c r="N2670" s="15"/>
      <c r="O2670" s="16"/>
      <c r="P2670" s="16"/>
      <c r="Q2670" s="16"/>
      <c r="R2670" s="16"/>
      <c r="S2670" s="37" t="str">
        <f>IFERROR(__xludf.DUMMYFUNCTION("if(not(iserror(index(split(C2670, "" ""),2))), index(split(C2670, "" ""),1),"""")"),"")</f>
        <v/>
      </c>
      <c r="T2670" s="315" t="str">
        <f>IFERROR(__xludf.DUMMYFUNCTION("if(S2670="""",C2670,if(not(iserror(index(split(C2670, "" ""),3))), index(split(C2670, "" ""),3),index(split(C2670, "" ""),2)))"),"")</f>
        <v/>
      </c>
      <c r="U2670" s="38" t="b">
        <f t="shared" si="34"/>
        <v>0</v>
      </c>
      <c r="V2670" s="38"/>
      <c r="W2670" s="40"/>
      <c r="X2670" s="40"/>
      <c r="Y2670" s="38"/>
      <c r="Z2670" s="38"/>
      <c r="AA2670" s="38"/>
      <c r="AB2670" s="38"/>
      <c r="AC2670" s="38"/>
      <c r="AD2670" s="38"/>
      <c r="AE2670" s="38"/>
      <c r="AF2670" s="38"/>
      <c r="AG2670" s="38"/>
      <c r="AH2670" s="38"/>
      <c r="AI2670" s="38"/>
      <c r="AJ2670" s="38"/>
      <c r="AK2670" s="38"/>
      <c r="AL2670" s="38"/>
      <c r="AM2670" s="38"/>
      <c r="AN2670" s="38"/>
      <c r="AO2670" s="38"/>
      <c r="AP2670" s="38"/>
      <c r="AQ2670" s="38"/>
      <c r="AR2670" s="38"/>
      <c r="AS2670" s="38"/>
      <c r="AT2670" s="38"/>
      <c r="AU2670" s="38"/>
      <c r="AV2670" s="38"/>
      <c r="AW2670" s="38"/>
      <c r="AX2670" s="38"/>
      <c r="AY2670" s="38"/>
      <c r="AZ2670" s="38"/>
      <c r="BA2670" s="38"/>
      <c r="BB2670" s="38"/>
      <c r="BC2670" s="38"/>
      <c r="BD2670" s="38"/>
      <c r="BE2670" s="38"/>
      <c r="BF2670" s="38"/>
      <c r="BG2670" s="38"/>
      <c r="BH2670" s="38"/>
      <c r="BI2670" s="38"/>
      <c r="BJ2670" s="38"/>
      <c r="BK2670" s="38"/>
      <c r="BL2670" s="38"/>
      <c r="BM2670" s="38"/>
      <c r="BN2670" s="38"/>
      <c r="BO2670" s="38"/>
      <c r="BP2670" s="38"/>
      <c r="BQ2670" s="38"/>
    </row>
    <row r="2671">
      <c r="A2671" s="16"/>
      <c r="B2671" s="16"/>
      <c r="C2671" s="146"/>
      <c r="D2671" s="146"/>
      <c r="E2671" s="16"/>
      <c r="F2671" s="91"/>
      <c r="G2671" s="16"/>
      <c r="H2671" s="320" t="str">
        <f t="shared" si="33"/>
        <v/>
      </c>
      <c r="I2671" s="16"/>
      <c r="J2671" s="16"/>
      <c r="K2671" s="16"/>
      <c r="L2671" s="16"/>
      <c r="M2671" s="15"/>
      <c r="N2671" s="15"/>
      <c r="O2671" s="16"/>
      <c r="P2671" s="16"/>
      <c r="Q2671" s="16"/>
      <c r="R2671" s="16"/>
      <c r="S2671" s="37" t="str">
        <f>IFERROR(__xludf.DUMMYFUNCTION("if(not(iserror(index(split(C2671, "" ""),2))), index(split(C2671, "" ""),1),"""")"),"")</f>
        <v/>
      </c>
      <c r="T2671" s="315" t="str">
        <f>IFERROR(__xludf.DUMMYFUNCTION("if(S2671="""",C2671,if(not(iserror(index(split(C2671, "" ""),3))), index(split(C2671, "" ""),3),index(split(C2671, "" ""),2)))"),"")</f>
        <v/>
      </c>
      <c r="U2671" s="38" t="b">
        <f t="shared" si="34"/>
        <v>0</v>
      </c>
      <c r="V2671" s="38"/>
      <c r="W2671" s="40"/>
      <c r="X2671" s="40"/>
      <c r="Y2671" s="38"/>
      <c r="Z2671" s="38"/>
      <c r="AA2671" s="38"/>
      <c r="AB2671" s="38"/>
      <c r="AC2671" s="38"/>
      <c r="AD2671" s="38"/>
      <c r="AE2671" s="38"/>
      <c r="AF2671" s="38"/>
      <c r="AG2671" s="38"/>
      <c r="AH2671" s="38"/>
      <c r="AI2671" s="38"/>
      <c r="AJ2671" s="38"/>
      <c r="AK2671" s="38"/>
      <c r="AL2671" s="38"/>
      <c r="AM2671" s="38"/>
      <c r="AN2671" s="38"/>
      <c r="AO2671" s="38"/>
      <c r="AP2671" s="38"/>
      <c r="AQ2671" s="38"/>
      <c r="AR2671" s="38"/>
      <c r="AS2671" s="38"/>
      <c r="AT2671" s="38"/>
      <c r="AU2671" s="38"/>
      <c r="AV2671" s="38"/>
      <c r="AW2671" s="38"/>
      <c r="AX2671" s="38"/>
      <c r="AY2671" s="38"/>
      <c r="AZ2671" s="38"/>
      <c r="BA2671" s="38"/>
      <c r="BB2671" s="38"/>
      <c r="BC2671" s="38"/>
      <c r="BD2671" s="38"/>
      <c r="BE2671" s="38"/>
      <c r="BF2671" s="38"/>
      <c r="BG2671" s="38"/>
      <c r="BH2671" s="38"/>
      <c r="BI2671" s="38"/>
      <c r="BJ2671" s="38"/>
      <c r="BK2671" s="38"/>
      <c r="BL2671" s="38"/>
      <c r="BM2671" s="38"/>
      <c r="BN2671" s="38"/>
      <c r="BO2671" s="38"/>
      <c r="BP2671" s="38"/>
      <c r="BQ2671" s="38"/>
    </row>
    <row r="2672">
      <c r="A2672" s="16"/>
      <c r="B2672" s="16"/>
      <c r="C2672" s="146"/>
      <c r="D2672" s="146"/>
      <c r="E2672" s="16"/>
      <c r="F2672" s="91"/>
      <c r="G2672" s="16"/>
      <c r="H2672" s="320" t="str">
        <f t="shared" si="33"/>
        <v/>
      </c>
      <c r="I2672" s="16"/>
      <c r="J2672" s="16"/>
      <c r="K2672" s="16"/>
      <c r="L2672" s="16"/>
      <c r="M2672" s="15"/>
      <c r="N2672" s="15"/>
      <c r="O2672" s="16"/>
      <c r="P2672" s="16"/>
      <c r="Q2672" s="16"/>
      <c r="R2672" s="16"/>
      <c r="S2672" s="37" t="str">
        <f>IFERROR(__xludf.DUMMYFUNCTION("if(not(iserror(index(split(C2672, "" ""),2))), index(split(C2672, "" ""),1),"""")"),"")</f>
        <v/>
      </c>
      <c r="T2672" s="315" t="str">
        <f>IFERROR(__xludf.DUMMYFUNCTION("if(S2672="""",C2672,if(not(iserror(index(split(C2672, "" ""),3))), index(split(C2672, "" ""),3),index(split(C2672, "" ""),2)))"),"")</f>
        <v/>
      </c>
      <c r="U2672" s="38" t="b">
        <f t="shared" si="34"/>
        <v>0</v>
      </c>
      <c r="V2672" s="38"/>
      <c r="W2672" s="40"/>
      <c r="X2672" s="40"/>
      <c r="Y2672" s="38"/>
      <c r="Z2672" s="38"/>
      <c r="AA2672" s="38"/>
      <c r="AB2672" s="38"/>
      <c r="AC2672" s="38"/>
      <c r="AD2672" s="38"/>
      <c r="AE2672" s="38"/>
      <c r="AF2672" s="38"/>
      <c r="AG2672" s="38"/>
      <c r="AH2672" s="38"/>
      <c r="AI2672" s="38"/>
      <c r="AJ2672" s="38"/>
      <c r="AK2672" s="38"/>
      <c r="AL2672" s="38"/>
      <c r="AM2672" s="38"/>
      <c r="AN2672" s="38"/>
      <c r="AO2672" s="38"/>
      <c r="AP2672" s="38"/>
      <c r="AQ2672" s="38"/>
      <c r="AR2672" s="38"/>
      <c r="AS2672" s="38"/>
      <c r="AT2672" s="38"/>
      <c r="AU2672" s="38"/>
      <c r="AV2672" s="38"/>
      <c r="AW2672" s="38"/>
      <c r="AX2672" s="38"/>
      <c r="AY2672" s="38"/>
      <c r="AZ2672" s="38"/>
      <c r="BA2672" s="38"/>
      <c r="BB2672" s="38"/>
      <c r="BC2672" s="38"/>
      <c r="BD2672" s="38"/>
      <c r="BE2672" s="38"/>
      <c r="BF2672" s="38"/>
      <c r="BG2672" s="38"/>
      <c r="BH2672" s="38"/>
      <c r="BI2672" s="38"/>
      <c r="BJ2672" s="38"/>
      <c r="BK2672" s="38"/>
      <c r="BL2672" s="38"/>
      <c r="BM2672" s="38"/>
      <c r="BN2672" s="38"/>
      <c r="BO2672" s="38"/>
      <c r="BP2672" s="38"/>
      <c r="BQ2672" s="38"/>
    </row>
    <row r="2673">
      <c r="A2673" s="16"/>
      <c r="B2673" s="16"/>
      <c r="C2673" s="146"/>
      <c r="D2673" s="146"/>
      <c r="E2673" s="16"/>
      <c r="F2673" s="91"/>
      <c r="G2673" s="16"/>
      <c r="H2673" s="320" t="str">
        <f t="shared" si="33"/>
        <v/>
      </c>
      <c r="I2673" s="16"/>
      <c r="J2673" s="16"/>
      <c r="K2673" s="16"/>
      <c r="L2673" s="16"/>
      <c r="M2673" s="15"/>
      <c r="N2673" s="15"/>
      <c r="O2673" s="16"/>
      <c r="P2673" s="16"/>
      <c r="Q2673" s="16"/>
      <c r="R2673" s="16"/>
      <c r="S2673" s="37" t="str">
        <f>IFERROR(__xludf.DUMMYFUNCTION("if(not(iserror(index(split(C2673, "" ""),2))), index(split(C2673, "" ""),1),"""")"),"")</f>
        <v/>
      </c>
      <c r="T2673" s="315" t="str">
        <f>IFERROR(__xludf.DUMMYFUNCTION("if(S2673="""",C2673,if(not(iserror(index(split(C2673, "" ""),3))), index(split(C2673, "" ""),3),index(split(C2673, "" ""),2)))"),"")</f>
        <v/>
      </c>
      <c r="U2673" s="38" t="b">
        <f t="shared" si="34"/>
        <v>0</v>
      </c>
      <c r="V2673" s="38"/>
      <c r="W2673" s="40"/>
      <c r="X2673" s="40"/>
      <c r="Y2673" s="38"/>
      <c r="Z2673" s="38"/>
      <c r="AA2673" s="38"/>
      <c r="AB2673" s="38"/>
      <c r="AC2673" s="38"/>
      <c r="AD2673" s="38"/>
      <c r="AE2673" s="38"/>
      <c r="AF2673" s="38"/>
      <c r="AG2673" s="38"/>
      <c r="AH2673" s="38"/>
      <c r="AI2673" s="38"/>
      <c r="AJ2673" s="38"/>
      <c r="AK2673" s="38"/>
      <c r="AL2673" s="38"/>
      <c r="AM2673" s="38"/>
      <c r="AN2673" s="38"/>
      <c r="AO2673" s="38"/>
      <c r="AP2673" s="38"/>
      <c r="AQ2673" s="38"/>
      <c r="AR2673" s="38"/>
      <c r="AS2673" s="38"/>
      <c r="AT2673" s="38"/>
      <c r="AU2673" s="38"/>
      <c r="AV2673" s="38"/>
      <c r="AW2673" s="38"/>
      <c r="AX2673" s="38"/>
      <c r="AY2673" s="38"/>
      <c r="AZ2673" s="38"/>
      <c r="BA2673" s="38"/>
      <c r="BB2673" s="38"/>
      <c r="BC2673" s="38"/>
      <c r="BD2673" s="38"/>
      <c r="BE2673" s="38"/>
      <c r="BF2673" s="38"/>
      <c r="BG2673" s="38"/>
      <c r="BH2673" s="38"/>
      <c r="BI2673" s="38"/>
      <c r="BJ2673" s="38"/>
      <c r="BK2673" s="38"/>
      <c r="BL2673" s="38"/>
      <c r="BM2673" s="38"/>
      <c r="BN2673" s="38"/>
      <c r="BO2673" s="38"/>
      <c r="BP2673" s="38"/>
      <c r="BQ2673" s="38"/>
    </row>
    <row r="2674">
      <c r="A2674" s="16"/>
      <c r="B2674" s="16"/>
      <c r="C2674" s="146"/>
      <c r="D2674" s="146"/>
      <c r="E2674" s="16"/>
      <c r="F2674" s="91"/>
      <c r="G2674" s="16"/>
      <c r="H2674" s="320" t="str">
        <f t="shared" si="33"/>
        <v/>
      </c>
      <c r="I2674" s="16"/>
      <c r="J2674" s="16"/>
      <c r="K2674" s="16"/>
      <c r="L2674" s="16"/>
      <c r="M2674" s="15"/>
      <c r="N2674" s="15"/>
      <c r="O2674" s="16"/>
      <c r="P2674" s="16"/>
      <c r="Q2674" s="16"/>
      <c r="R2674" s="16"/>
      <c r="S2674" s="37" t="str">
        <f>IFERROR(__xludf.DUMMYFUNCTION("if(not(iserror(index(split(C2674, "" ""),2))), index(split(C2674, "" ""),1),"""")"),"")</f>
        <v/>
      </c>
      <c r="T2674" s="315" t="str">
        <f>IFERROR(__xludf.DUMMYFUNCTION("if(S2674="""",C2674,if(not(iserror(index(split(C2674, "" ""),3))), index(split(C2674, "" ""),3),index(split(C2674, "" ""),2)))"),"")</f>
        <v/>
      </c>
      <c r="U2674" s="38" t="b">
        <f t="shared" si="34"/>
        <v>0</v>
      </c>
      <c r="V2674" s="38"/>
      <c r="W2674" s="40"/>
      <c r="X2674" s="40"/>
      <c r="Y2674" s="38"/>
      <c r="Z2674" s="38"/>
      <c r="AA2674" s="38"/>
      <c r="AB2674" s="38"/>
      <c r="AC2674" s="38"/>
      <c r="AD2674" s="38"/>
      <c r="AE2674" s="38"/>
      <c r="AF2674" s="38"/>
      <c r="AG2674" s="38"/>
      <c r="AH2674" s="38"/>
      <c r="AI2674" s="38"/>
      <c r="AJ2674" s="38"/>
      <c r="AK2674" s="38"/>
      <c r="AL2674" s="38"/>
      <c r="AM2674" s="38"/>
      <c r="AN2674" s="38"/>
      <c r="AO2674" s="38"/>
      <c r="AP2674" s="38"/>
      <c r="AQ2674" s="38"/>
      <c r="AR2674" s="38"/>
      <c r="AS2674" s="38"/>
      <c r="AT2674" s="38"/>
      <c r="AU2674" s="38"/>
      <c r="AV2674" s="38"/>
      <c r="AW2674" s="38"/>
      <c r="AX2674" s="38"/>
      <c r="AY2674" s="38"/>
      <c r="AZ2674" s="38"/>
      <c r="BA2674" s="38"/>
      <c r="BB2674" s="38"/>
      <c r="BC2674" s="38"/>
      <c r="BD2674" s="38"/>
      <c r="BE2674" s="38"/>
      <c r="BF2674" s="38"/>
      <c r="BG2674" s="38"/>
      <c r="BH2674" s="38"/>
      <c r="BI2674" s="38"/>
      <c r="BJ2674" s="38"/>
      <c r="BK2674" s="38"/>
      <c r="BL2674" s="38"/>
      <c r="BM2674" s="38"/>
      <c r="BN2674" s="38"/>
      <c r="BO2674" s="38"/>
      <c r="BP2674" s="38"/>
      <c r="BQ2674" s="38"/>
    </row>
    <row r="2675">
      <c r="A2675" s="16"/>
      <c r="B2675" s="16"/>
      <c r="C2675" s="146"/>
      <c r="D2675" s="146"/>
      <c r="E2675" s="16"/>
      <c r="F2675" s="91"/>
      <c r="G2675" s="16"/>
      <c r="H2675" s="320" t="str">
        <f t="shared" si="33"/>
        <v/>
      </c>
      <c r="I2675" s="16"/>
      <c r="J2675" s="16"/>
      <c r="K2675" s="16"/>
      <c r="L2675" s="16"/>
      <c r="M2675" s="15"/>
      <c r="N2675" s="15"/>
      <c r="O2675" s="16"/>
      <c r="P2675" s="16"/>
      <c r="Q2675" s="16"/>
      <c r="R2675" s="16"/>
      <c r="S2675" s="37" t="str">
        <f>IFERROR(__xludf.DUMMYFUNCTION("if(not(iserror(index(split(C2675, "" ""),2))), index(split(C2675, "" ""),1),"""")"),"")</f>
        <v/>
      </c>
      <c r="T2675" s="315" t="str">
        <f>IFERROR(__xludf.DUMMYFUNCTION("if(S2675="""",C2675,if(not(iserror(index(split(C2675, "" ""),3))), index(split(C2675, "" ""),3),index(split(C2675, "" ""),2)))"),"")</f>
        <v/>
      </c>
      <c r="U2675" s="38" t="b">
        <f t="shared" si="34"/>
        <v>0</v>
      </c>
      <c r="V2675" s="38"/>
      <c r="W2675" s="40"/>
      <c r="X2675" s="40"/>
      <c r="Y2675" s="38"/>
      <c r="Z2675" s="38"/>
      <c r="AA2675" s="38"/>
      <c r="AB2675" s="38"/>
      <c r="AC2675" s="38"/>
      <c r="AD2675" s="38"/>
      <c r="AE2675" s="38"/>
      <c r="AF2675" s="38"/>
      <c r="AG2675" s="38"/>
      <c r="AH2675" s="38"/>
      <c r="AI2675" s="38"/>
      <c r="AJ2675" s="38"/>
      <c r="AK2675" s="38"/>
      <c r="AL2675" s="38"/>
      <c r="AM2675" s="38"/>
      <c r="AN2675" s="38"/>
      <c r="AO2675" s="38"/>
      <c r="AP2675" s="38"/>
      <c r="AQ2675" s="38"/>
      <c r="AR2675" s="38"/>
      <c r="AS2675" s="38"/>
      <c r="AT2675" s="38"/>
      <c r="AU2675" s="38"/>
      <c r="AV2675" s="38"/>
      <c r="AW2675" s="38"/>
      <c r="AX2675" s="38"/>
      <c r="AY2675" s="38"/>
      <c r="AZ2675" s="38"/>
      <c r="BA2675" s="38"/>
      <c r="BB2675" s="38"/>
      <c r="BC2675" s="38"/>
      <c r="BD2675" s="38"/>
      <c r="BE2675" s="38"/>
      <c r="BF2675" s="38"/>
      <c r="BG2675" s="38"/>
      <c r="BH2675" s="38"/>
      <c r="BI2675" s="38"/>
      <c r="BJ2675" s="38"/>
      <c r="BK2675" s="38"/>
      <c r="BL2675" s="38"/>
      <c r="BM2675" s="38"/>
      <c r="BN2675" s="38"/>
      <c r="BO2675" s="38"/>
      <c r="BP2675" s="38"/>
      <c r="BQ2675" s="38"/>
    </row>
    <row r="2676">
      <c r="A2676" s="16"/>
      <c r="B2676" s="16"/>
      <c r="C2676" s="146"/>
      <c r="D2676" s="146"/>
      <c r="E2676" s="16"/>
      <c r="F2676" s="91"/>
      <c r="G2676" s="16"/>
      <c r="H2676" s="320" t="str">
        <f t="shared" si="33"/>
        <v/>
      </c>
      <c r="I2676" s="16"/>
      <c r="J2676" s="16"/>
      <c r="K2676" s="16"/>
      <c r="L2676" s="16"/>
      <c r="M2676" s="15"/>
      <c r="N2676" s="15"/>
      <c r="O2676" s="16"/>
      <c r="P2676" s="16"/>
      <c r="Q2676" s="16"/>
      <c r="R2676" s="16"/>
      <c r="S2676" s="37" t="str">
        <f>IFERROR(__xludf.DUMMYFUNCTION("if(not(iserror(index(split(C2676, "" ""),2))), index(split(C2676, "" ""),1),"""")"),"")</f>
        <v/>
      </c>
      <c r="T2676" s="315" t="str">
        <f>IFERROR(__xludf.DUMMYFUNCTION("if(S2676="""",C2676,if(not(iserror(index(split(C2676, "" ""),3))), index(split(C2676, "" ""),3),index(split(C2676, "" ""),2)))"),"")</f>
        <v/>
      </c>
      <c r="U2676" s="38" t="b">
        <f t="shared" si="34"/>
        <v>0</v>
      </c>
      <c r="V2676" s="38"/>
      <c r="W2676" s="40"/>
      <c r="X2676" s="40"/>
      <c r="Y2676" s="38"/>
      <c r="Z2676" s="38"/>
      <c r="AA2676" s="38"/>
      <c r="AB2676" s="38"/>
      <c r="AC2676" s="38"/>
      <c r="AD2676" s="38"/>
      <c r="AE2676" s="38"/>
      <c r="AF2676" s="38"/>
      <c r="AG2676" s="38"/>
      <c r="AH2676" s="38"/>
      <c r="AI2676" s="38"/>
      <c r="AJ2676" s="38"/>
      <c r="AK2676" s="38"/>
      <c r="AL2676" s="38"/>
      <c r="AM2676" s="38"/>
      <c r="AN2676" s="38"/>
      <c r="AO2676" s="38"/>
      <c r="AP2676" s="38"/>
      <c r="AQ2676" s="38"/>
      <c r="AR2676" s="38"/>
      <c r="AS2676" s="38"/>
      <c r="AT2676" s="38"/>
      <c r="AU2676" s="38"/>
      <c r="AV2676" s="38"/>
      <c r="AW2676" s="38"/>
      <c r="AX2676" s="38"/>
      <c r="AY2676" s="38"/>
      <c r="AZ2676" s="38"/>
      <c r="BA2676" s="38"/>
      <c r="BB2676" s="38"/>
      <c r="BC2676" s="38"/>
      <c r="BD2676" s="38"/>
      <c r="BE2676" s="38"/>
      <c r="BF2676" s="38"/>
      <c r="BG2676" s="38"/>
      <c r="BH2676" s="38"/>
      <c r="BI2676" s="38"/>
      <c r="BJ2676" s="38"/>
      <c r="BK2676" s="38"/>
      <c r="BL2676" s="38"/>
      <c r="BM2676" s="38"/>
      <c r="BN2676" s="38"/>
      <c r="BO2676" s="38"/>
      <c r="BP2676" s="38"/>
      <c r="BQ2676" s="38"/>
    </row>
    <row r="2677">
      <c r="A2677" s="16"/>
      <c r="B2677" s="16"/>
      <c r="C2677" s="146"/>
      <c r="D2677" s="146"/>
      <c r="E2677" s="16"/>
      <c r="F2677" s="91"/>
      <c r="G2677" s="16"/>
      <c r="H2677" s="320" t="str">
        <f t="shared" si="33"/>
        <v/>
      </c>
      <c r="I2677" s="16"/>
      <c r="J2677" s="16"/>
      <c r="K2677" s="16"/>
      <c r="L2677" s="16"/>
      <c r="M2677" s="15"/>
      <c r="N2677" s="15"/>
      <c r="O2677" s="16"/>
      <c r="P2677" s="16"/>
      <c r="Q2677" s="16"/>
      <c r="R2677" s="16"/>
      <c r="S2677" s="37" t="str">
        <f>IFERROR(__xludf.DUMMYFUNCTION("if(not(iserror(index(split(C2677, "" ""),2))), index(split(C2677, "" ""),1),"""")"),"")</f>
        <v/>
      </c>
      <c r="T2677" s="315" t="str">
        <f>IFERROR(__xludf.DUMMYFUNCTION("if(S2677="""",C2677,if(not(iserror(index(split(C2677, "" ""),3))), index(split(C2677, "" ""),3),index(split(C2677, "" ""),2)))"),"")</f>
        <v/>
      </c>
      <c r="U2677" s="38" t="b">
        <f t="shared" si="34"/>
        <v>0</v>
      </c>
      <c r="V2677" s="38"/>
      <c r="W2677" s="40"/>
      <c r="X2677" s="40"/>
      <c r="Y2677" s="38"/>
      <c r="Z2677" s="38"/>
      <c r="AA2677" s="38"/>
      <c r="AB2677" s="38"/>
      <c r="AC2677" s="38"/>
      <c r="AD2677" s="38"/>
      <c r="AE2677" s="38"/>
      <c r="AF2677" s="38"/>
      <c r="AG2677" s="38"/>
      <c r="AH2677" s="38"/>
      <c r="AI2677" s="38"/>
      <c r="AJ2677" s="38"/>
      <c r="AK2677" s="38"/>
      <c r="AL2677" s="38"/>
      <c r="AM2677" s="38"/>
      <c r="AN2677" s="38"/>
      <c r="AO2677" s="38"/>
      <c r="AP2677" s="38"/>
      <c r="AQ2677" s="38"/>
      <c r="AR2677" s="38"/>
      <c r="AS2677" s="38"/>
      <c r="AT2677" s="38"/>
      <c r="AU2677" s="38"/>
      <c r="AV2677" s="38"/>
      <c r="AW2677" s="38"/>
      <c r="AX2677" s="38"/>
      <c r="AY2677" s="38"/>
      <c r="AZ2677" s="38"/>
      <c r="BA2677" s="38"/>
      <c r="BB2677" s="38"/>
      <c r="BC2677" s="38"/>
      <c r="BD2677" s="38"/>
      <c r="BE2677" s="38"/>
      <c r="BF2677" s="38"/>
      <c r="BG2677" s="38"/>
      <c r="BH2677" s="38"/>
      <c r="BI2677" s="38"/>
      <c r="BJ2677" s="38"/>
      <c r="BK2677" s="38"/>
      <c r="BL2677" s="38"/>
      <c r="BM2677" s="38"/>
      <c r="BN2677" s="38"/>
      <c r="BO2677" s="38"/>
      <c r="BP2677" s="38"/>
      <c r="BQ2677" s="38"/>
    </row>
    <row r="2678">
      <c r="A2678" s="16"/>
      <c r="B2678" s="16"/>
      <c r="C2678" s="146"/>
      <c r="D2678" s="146"/>
      <c r="E2678" s="16"/>
      <c r="F2678" s="91"/>
      <c r="G2678" s="16"/>
      <c r="H2678" s="320" t="str">
        <f t="shared" si="33"/>
        <v/>
      </c>
      <c r="I2678" s="16"/>
      <c r="J2678" s="16"/>
      <c r="K2678" s="16"/>
      <c r="L2678" s="16"/>
      <c r="M2678" s="15"/>
      <c r="N2678" s="15"/>
      <c r="O2678" s="16"/>
      <c r="P2678" s="16"/>
      <c r="Q2678" s="16"/>
      <c r="R2678" s="16"/>
      <c r="S2678" s="37" t="str">
        <f>IFERROR(__xludf.DUMMYFUNCTION("if(not(iserror(index(split(C2678, "" ""),2))), index(split(C2678, "" ""),1),"""")"),"")</f>
        <v/>
      </c>
      <c r="T2678" s="315" t="str">
        <f>IFERROR(__xludf.DUMMYFUNCTION("if(S2678="""",C2678,if(not(iserror(index(split(C2678, "" ""),3))), index(split(C2678, "" ""),3),index(split(C2678, "" ""),2)))"),"")</f>
        <v/>
      </c>
      <c r="U2678" s="38" t="b">
        <f t="shared" si="34"/>
        <v>0</v>
      </c>
      <c r="V2678" s="38"/>
      <c r="W2678" s="40"/>
      <c r="X2678" s="40"/>
      <c r="Y2678" s="38"/>
      <c r="Z2678" s="38"/>
      <c r="AA2678" s="38"/>
      <c r="AB2678" s="38"/>
      <c r="AC2678" s="38"/>
      <c r="AD2678" s="38"/>
      <c r="AE2678" s="38"/>
      <c r="AF2678" s="38"/>
      <c r="AG2678" s="38"/>
      <c r="AH2678" s="38"/>
      <c r="AI2678" s="38"/>
      <c r="AJ2678" s="38"/>
      <c r="AK2678" s="38"/>
      <c r="AL2678" s="38"/>
      <c r="AM2678" s="38"/>
      <c r="AN2678" s="38"/>
      <c r="AO2678" s="38"/>
      <c r="AP2678" s="38"/>
      <c r="AQ2678" s="38"/>
      <c r="AR2678" s="38"/>
      <c r="AS2678" s="38"/>
      <c r="AT2678" s="38"/>
      <c r="AU2678" s="38"/>
      <c r="AV2678" s="38"/>
      <c r="AW2678" s="38"/>
      <c r="AX2678" s="38"/>
      <c r="AY2678" s="38"/>
      <c r="AZ2678" s="38"/>
      <c r="BA2678" s="38"/>
      <c r="BB2678" s="38"/>
      <c r="BC2678" s="38"/>
      <c r="BD2678" s="38"/>
      <c r="BE2678" s="38"/>
      <c r="BF2678" s="38"/>
      <c r="BG2678" s="38"/>
      <c r="BH2678" s="38"/>
      <c r="BI2678" s="38"/>
      <c r="BJ2678" s="38"/>
      <c r="BK2678" s="38"/>
      <c r="BL2678" s="38"/>
      <c r="BM2678" s="38"/>
      <c r="BN2678" s="38"/>
      <c r="BO2678" s="38"/>
      <c r="BP2678" s="38"/>
      <c r="BQ2678" s="38"/>
    </row>
    <row r="2679">
      <c r="A2679" s="16"/>
      <c r="B2679" s="16"/>
      <c r="C2679" s="146"/>
      <c r="D2679" s="146"/>
      <c r="E2679" s="16"/>
      <c r="F2679" s="91"/>
      <c r="G2679" s="16"/>
      <c r="H2679" s="320" t="str">
        <f t="shared" si="33"/>
        <v/>
      </c>
      <c r="I2679" s="16"/>
      <c r="J2679" s="16"/>
      <c r="K2679" s="16"/>
      <c r="L2679" s="16"/>
      <c r="M2679" s="15"/>
      <c r="N2679" s="15"/>
      <c r="O2679" s="16"/>
      <c r="P2679" s="16"/>
      <c r="Q2679" s="16"/>
      <c r="R2679" s="16"/>
      <c r="S2679" s="37" t="str">
        <f>IFERROR(__xludf.DUMMYFUNCTION("if(not(iserror(index(split(C2679, "" ""),2))), index(split(C2679, "" ""),1),"""")"),"")</f>
        <v/>
      </c>
      <c r="T2679" s="315" t="str">
        <f>IFERROR(__xludf.DUMMYFUNCTION("if(S2679="""",C2679,if(not(iserror(index(split(C2679, "" ""),3))), index(split(C2679, "" ""),3),index(split(C2679, "" ""),2)))"),"")</f>
        <v/>
      </c>
      <c r="U2679" s="38" t="b">
        <f t="shared" si="34"/>
        <v>0</v>
      </c>
      <c r="V2679" s="38"/>
      <c r="W2679" s="40"/>
      <c r="X2679" s="40"/>
      <c r="Y2679" s="38"/>
      <c r="Z2679" s="38"/>
      <c r="AA2679" s="38"/>
      <c r="AB2679" s="38"/>
      <c r="AC2679" s="38"/>
      <c r="AD2679" s="38"/>
      <c r="AE2679" s="38"/>
      <c r="AF2679" s="38"/>
      <c r="AG2679" s="38"/>
      <c r="AH2679" s="38"/>
      <c r="AI2679" s="38"/>
      <c r="AJ2679" s="38"/>
      <c r="AK2679" s="38"/>
      <c r="AL2679" s="38"/>
      <c r="AM2679" s="38"/>
      <c r="AN2679" s="38"/>
      <c r="AO2679" s="38"/>
      <c r="AP2679" s="38"/>
      <c r="AQ2679" s="38"/>
      <c r="AR2679" s="38"/>
      <c r="AS2679" s="38"/>
      <c r="AT2679" s="38"/>
      <c r="AU2679" s="38"/>
      <c r="AV2679" s="38"/>
      <c r="AW2679" s="38"/>
      <c r="AX2679" s="38"/>
      <c r="AY2679" s="38"/>
      <c r="AZ2679" s="38"/>
      <c r="BA2679" s="38"/>
      <c r="BB2679" s="38"/>
      <c r="BC2679" s="38"/>
      <c r="BD2679" s="38"/>
      <c r="BE2679" s="38"/>
      <c r="BF2679" s="38"/>
      <c r="BG2679" s="38"/>
      <c r="BH2679" s="38"/>
      <c r="BI2679" s="38"/>
      <c r="BJ2679" s="38"/>
      <c r="BK2679" s="38"/>
      <c r="BL2679" s="38"/>
      <c r="BM2679" s="38"/>
      <c r="BN2679" s="38"/>
      <c r="BO2679" s="38"/>
      <c r="BP2679" s="38"/>
      <c r="BQ2679" s="38"/>
    </row>
    <row r="2680">
      <c r="A2680" s="16"/>
      <c r="B2680" s="16"/>
      <c r="C2680" s="146"/>
      <c r="D2680" s="146"/>
      <c r="E2680" s="16"/>
      <c r="F2680" s="91"/>
      <c r="G2680" s="16"/>
      <c r="H2680" s="320" t="str">
        <f t="shared" si="33"/>
        <v/>
      </c>
      <c r="I2680" s="16"/>
      <c r="J2680" s="16"/>
      <c r="K2680" s="16"/>
      <c r="L2680" s="16"/>
      <c r="M2680" s="15"/>
      <c r="N2680" s="15"/>
      <c r="O2680" s="16"/>
      <c r="P2680" s="16"/>
      <c r="Q2680" s="16"/>
      <c r="R2680" s="16"/>
      <c r="S2680" s="37" t="str">
        <f>IFERROR(__xludf.DUMMYFUNCTION("if(not(iserror(index(split(C2680, "" ""),2))), index(split(C2680, "" ""),1),"""")"),"")</f>
        <v/>
      </c>
      <c r="T2680" s="315" t="str">
        <f>IFERROR(__xludf.DUMMYFUNCTION("if(S2680="""",C2680,if(not(iserror(index(split(C2680, "" ""),3))), index(split(C2680, "" ""),3),index(split(C2680, "" ""),2)))"),"")</f>
        <v/>
      </c>
      <c r="U2680" s="38" t="b">
        <f t="shared" si="34"/>
        <v>0</v>
      </c>
      <c r="V2680" s="38"/>
      <c r="W2680" s="40"/>
      <c r="X2680" s="40"/>
      <c r="Y2680" s="38"/>
      <c r="Z2680" s="38"/>
      <c r="AA2680" s="38"/>
      <c r="AB2680" s="38"/>
      <c r="AC2680" s="38"/>
      <c r="AD2680" s="38"/>
      <c r="AE2680" s="38"/>
      <c r="AF2680" s="38"/>
      <c r="AG2680" s="38"/>
      <c r="AH2680" s="38"/>
      <c r="AI2680" s="38"/>
      <c r="AJ2680" s="38"/>
      <c r="AK2680" s="38"/>
      <c r="AL2680" s="38"/>
      <c r="AM2680" s="38"/>
      <c r="AN2680" s="38"/>
      <c r="AO2680" s="38"/>
      <c r="AP2680" s="38"/>
      <c r="AQ2680" s="38"/>
      <c r="AR2680" s="38"/>
      <c r="AS2680" s="38"/>
      <c r="AT2680" s="38"/>
      <c r="AU2680" s="38"/>
      <c r="AV2680" s="38"/>
      <c r="AW2680" s="38"/>
      <c r="AX2680" s="38"/>
      <c r="AY2680" s="38"/>
      <c r="AZ2680" s="38"/>
      <c r="BA2680" s="38"/>
      <c r="BB2680" s="38"/>
      <c r="BC2680" s="38"/>
      <c r="BD2680" s="38"/>
      <c r="BE2680" s="38"/>
      <c r="BF2680" s="38"/>
      <c r="BG2680" s="38"/>
      <c r="BH2680" s="38"/>
      <c r="BI2680" s="38"/>
      <c r="BJ2680" s="38"/>
      <c r="BK2680" s="38"/>
      <c r="BL2680" s="38"/>
      <c r="BM2680" s="38"/>
      <c r="BN2680" s="38"/>
      <c r="BO2680" s="38"/>
      <c r="BP2680" s="38"/>
      <c r="BQ2680" s="38"/>
    </row>
    <row r="2681">
      <c r="A2681" s="16"/>
      <c r="B2681" s="16"/>
      <c r="C2681" s="146"/>
      <c r="D2681" s="146"/>
      <c r="E2681" s="16"/>
      <c r="F2681" s="91"/>
      <c r="G2681" s="16"/>
      <c r="H2681" s="320" t="str">
        <f t="shared" si="33"/>
        <v/>
      </c>
      <c r="I2681" s="16"/>
      <c r="J2681" s="16"/>
      <c r="K2681" s="16"/>
      <c r="L2681" s="16"/>
      <c r="M2681" s="15"/>
      <c r="N2681" s="15"/>
      <c r="O2681" s="16"/>
      <c r="P2681" s="16"/>
      <c r="Q2681" s="16"/>
      <c r="R2681" s="16"/>
      <c r="S2681" s="37" t="str">
        <f>IFERROR(__xludf.DUMMYFUNCTION("if(not(iserror(index(split(C2681, "" ""),2))), index(split(C2681, "" ""),1),"""")"),"")</f>
        <v/>
      </c>
      <c r="T2681" s="315" t="str">
        <f>IFERROR(__xludf.DUMMYFUNCTION("if(S2681="""",C2681,if(not(iserror(index(split(C2681, "" ""),3))), index(split(C2681, "" ""),3),index(split(C2681, "" ""),2)))"),"")</f>
        <v/>
      </c>
      <c r="U2681" s="38" t="b">
        <f t="shared" si="34"/>
        <v>0</v>
      </c>
      <c r="V2681" s="38"/>
      <c r="W2681" s="40"/>
      <c r="X2681" s="40"/>
      <c r="Y2681" s="38"/>
      <c r="Z2681" s="38"/>
      <c r="AA2681" s="38"/>
      <c r="AB2681" s="38"/>
      <c r="AC2681" s="38"/>
      <c r="AD2681" s="38"/>
      <c r="AE2681" s="38"/>
      <c r="AF2681" s="38"/>
      <c r="AG2681" s="38"/>
      <c r="AH2681" s="38"/>
      <c r="AI2681" s="38"/>
      <c r="AJ2681" s="38"/>
      <c r="AK2681" s="38"/>
      <c r="AL2681" s="38"/>
      <c r="AM2681" s="38"/>
      <c r="AN2681" s="38"/>
      <c r="AO2681" s="38"/>
      <c r="AP2681" s="38"/>
      <c r="AQ2681" s="38"/>
      <c r="AR2681" s="38"/>
      <c r="AS2681" s="38"/>
      <c r="AT2681" s="38"/>
      <c r="AU2681" s="38"/>
      <c r="AV2681" s="38"/>
      <c r="AW2681" s="38"/>
      <c r="AX2681" s="38"/>
      <c r="AY2681" s="38"/>
      <c r="AZ2681" s="38"/>
      <c r="BA2681" s="38"/>
      <c r="BB2681" s="38"/>
      <c r="BC2681" s="38"/>
      <c r="BD2681" s="38"/>
      <c r="BE2681" s="38"/>
      <c r="BF2681" s="38"/>
      <c r="BG2681" s="38"/>
      <c r="BH2681" s="38"/>
      <c r="BI2681" s="38"/>
      <c r="BJ2681" s="38"/>
      <c r="BK2681" s="38"/>
      <c r="BL2681" s="38"/>
      <c r="BM2681" s="38"/>
      <c r="BN2681" s="38"/>
      <c r="BO2681" s="38"/>
      <c r="BP2681" s="38"/>
      <c r="BQ2681" s="38"/>
    </row>
    <row r="2682">
      <c r="A2682" s="16"/>
      <c r="B2682" s="16"/>
      <c r="C2682" s="146"/>
      <c r="D2682" s="146"/>
      <c r="E2682" s="16"/>
      <c r="F2682" s="91"/>
      <c r="G2682" s="16"/>
      <c r="H2682" s="320" t="str">
        <f t="shared" si="33"/>
        <v/>
      </c>
      <c r="I2682" s="16"/>
      <c r="J2682" s="16"/>
      <c r="K2682" s="16"/>
      <c r="L2682" s="16"/>
      <c r="M2682" s="15"/>
      <c r="N2682" s="15"/>
      <c r="O2682" s="16"/>
      <c r="P2682" s="16"/>
      <c r="Q2682" s="16"/>
      <c r="R2682" s="16"/>
      <c r="S2682" s="37" t="str">
        <f>IFERROR(__xludf.DUMMYFUNCTION("if(not(iserror(index(split(C2682, "" ""),2))), index(split(C2682, "" ""),1),"""")"),"")</f>
        <v/>
      </c>
      <c r="T2682" s="315" t="str">
        <f>IFERROR(__xludf.DUMMYFUNCTION("if(S2682="""",C2682,if(not(iserror(index(split(C2682, "" ""),3))), index(split(C2682, "" ""),3),index(split(C2682, "" ""),2)))"),"")</f>
        <v/>
      </c>
      <c r="U2682" s="38" t="b">
        <f t="shared" si="34"/>
        <v>0</v>
      </c>
      <c r="V2682" s="38"/>
      <c r="W2682" s="40"/>
      <c r="X2682" s="40"/>
      <c r="Y2682" s="38"/>
      <c r="Z2682" s="38"/>
      <c r="AA2682" s="38"/>
      <c r="AB2682" s="38"/>
      <c r="AC2682" s="38"/>
      <c r="AD2682" s="38"/>
      <c r="AE2682" s="38"/>
      <c r="AF2682" s="38"/>
      <c r="AG2682" s="38"/>
      <c r="AH2682" s="38"/>
      <c r="AI2682" s="38"/>
      <c r="AJ2682" s="38"/>
      <c r="AK2682" s="38"/>
      <c r="AL2682" s="38"/>
      <c r="AM2682" s="38"/>
      <c r="AN2682" s="38"/>
      <c r="AO2682" s="38"/>
      <c r="AP2682" s="38"/>
      <c r="AQ2682" s="38"/>
      <c r="AR2682" s="38"/>
      <c r="AS2682" s="38"/>
      <c r="AT2682" s="38"/>
      <c r="AU2682" s="38"/>
      <c r="AV2682" s="38"/>
      <c r="AW2682" s="38"/>
      <c r="AX2682" s="38"/>
      <c r="AY2682" s="38"/>
      <c r="AZ2682" s="38"/>
      <c r="BA2682" s="38"/>
      <c r="BB2682" s="38"/>
      <c r="BC2682" s="38"/>
      <c r="BD2682" s="38"/>
      <c r="BE2682" s="38"/>
      <c r="BF2682" s="38"/>
      <c r="BG2682" s="38"/>
      <c r="BH2682" s="38"/>
      <c r="BI2682" s="38"/>
      <c r="BJ2682" s="38"/>
      <c r="BK2682" s="38"/>
      <c r="BL2682" s="38"/>
      <c r="BM2682" s="38"/>
      <c r="BN2682" s="38"/>
      <c r="BO2682" s="38"/>
      <c r="BP2682" s="38"/>
      <c r="BQ2682" s="38"/>
    </row>
    <row r="2683">
      <c r="A2683" s="16"/>
      <c r="B2683" s="16"/>
      <c r="C2683" s="146"/>
      <c r="D2683" s="146"/>
      <c r="E2683" s="16"/>
      <c r="F2683" s="91"/>
      <c r="G2683" s="16"/>
      <c r="H2683" s="320" t="str">
        <f t="shared" si="33"/>
        <v/>
      </c>
      <c r="I2683" s="16"/>
      <c r="J2683" s="16"/>
      <c r="K2683" s="16"/>
      <c r="L2683" s="16"/>
      <c r="M2683" s="15"/>
      <c r="N2683" s="15"/>
      <c r="O2683" s="16"/>
      <c r="P2683" s="16"/>
      <c r="Q2683" s="16"/>
      <c r="R2683" s="16"/>
      <c r="S2683" s="37" t="str">
        <f>IFERROR(__xludf.DUMMYFUNCTION("if(not(iserror(index(split(C2683, "" ""),2))), index(split(C2683, "" ""),1),"""")"),"")</f>
        <v/>
      </c>
      <c r="T2683" s="315" t="str">
        <f>IFERROR(__xludf.DUMMYFUNCTION("if(S2683="""",C2683,if(not(iserror(index(split(C2683, "" ""),3))), index(split(C2683, "" ""),3),index(split(C2683, "" ""),2)))"),"")</f>
        <v/>
      </c>
      <c r="U2683" s="38" t="b">
        <f t="shared" si="34"/>
        <v>0</v>
      </c>
      <c r="V2683" s="38"/>
      <c r="W2683" s="40"/>
      <c r="X2683" s="40"/>
      <c r="Y2683" s="38"/>
      <c r="Z2683" s="38"/>
      <c r="AA2683" s="38"/>
      <c r="AB2683" s="38"/>
      <c r="AC2683" s="38"/>
      <c r="AD2683" s="38"/>
      <c r="AE2683" s="38"/>
      <c r="AF2683" s="38"/>
      <c r="AG2683" s="38"/>
      <c r="AH2683" s="38"/>
      <c r="AI2683" s="38"/>
      <c r="AJ2683" s="38"/>
      <c r="AK2683" s="38"/>
      <c r="AL2683" s="38"/>
      <c r="AM2683" s="38"/>
      <c r="AN2683" s="38"/>
      <c r="AO2683" s="38"/>
      <c r="AP2683" s="38"/>
      <c r="AQ2683" s="38"/>
      <c r="AR2683" s="38"/>
      <c r="AS2683" s="38"/>
      <c r="AT2683" s="38"/>
      <c r="AU2683" s="38"/>
      <c r="AV2683" s="38"/>
      <c r="AW2683" s="38"/>
      <c r="AX2683" s="38"/>
      <c r="AY2683" s="38"/>
      <c r="AZ2683" s="38"/>
      <c r="BA2683" s="38"/>
      <c r="BB2683" s="38"/>
      <c r="BC2683" s="38"/>
      <c r="BD2683" s="38"/>
      <c r="BE2683" s="38"/>
      <c r="BF2683" s="38"/>
      <c r="BG2683" s="38"/>
      <c r="BH2683" s="38"/>
      <c r="BI2683" s="38"/>
      <c r="BJ2683" s="38"/>
      <c r="BK2683" s="38"/>
      <c r="BL2683" s="38"/>
      <c r="BM2683" s="38"/>
      <c r="BN2683" s="38"/>
      <c r="BO2683" s="38"/>
      <c r="BP2683" s="38"/>
      <c r="BQ2683" s="38"/>
    </row>
    <row r="2684">
      <c r="A2684" s="16"/>
      <c r="B2684" s="16"/>
      <c r="C2684" s="146"/>
      <c r="D2684" s="146"/>
      <c r="E2684" s="16"/>
      <c r="F2684" s="91"/>
      <c r="G2684" s="16"/>
      <c r="H2684" s="320" t="str">
        <f t="shared" si="33"/>
        <v/>
      </c>
      <c r="I2684" s="16"/>
      <c r="J2684" s="16"/>
      <c r="K2684" s="16"/>
      <c r="L2684" s="16"/>
      <c r="M2684" s="15"/>
      <c r="N2684" s="15"/>
      <c r="O2684" s="16"/>
      <c r="P2684" s="16"/>
      <c r="Q2684" s="16"/>
      <c r="R2684" s="16"/>
      <c r="S2684" s="37" t="str">
        <f>IFERROR(__xludf.DUMMYFUNCTION("if(not(iserror(index(split(C2684, "" ""),2))), index(split(C2684, "" ""),1),"""")"),"")</f>
        <v/>
      </c>
      <c r="T2684" s="315" t="str">
        <f>IFERROR(__xludf.DUMMYFUNCTION("if(S2684="""",C2684,if(not(iserror(index(split(C2684, "" ""),3))), index(split(C2684, "" ""),3),index(split(C2684, "" ""),2)))"),"")</f>
        <v/>
      </c>
      <c r="U2684" s="38" t="b">
        <f t="shared" si="34"/>
        <v>0</v>
      </c>
      <c r="V2684" s="38"/>
      <c r="W2684" s="40"/>
      <c r="X2684" s="40"/>
      <c r="Y2684" s="38"/>
      <c r="Z2684" s="38"/>
      <c r="AA2684" s="38"/>
      <c r="AB2684" s="38"/>
      <c r="AC2684" s="38"/>
      <c r="AD2684" s="38"/>
      <c r="AE2684" s="38"/>
      <c r="AF2684" s="38"/>
      <c r="AG2684" s="38"/>
      <c r="AH2684" s="38"/>
      <c r="AI2684" s="38"/>
      <c r="AJ2684" s="38"/>
      <c r="AK2684" s="38"/>
      <c r="AL2684" s="38"/>
      <c r="AM2684" s="38"/>
      <c r="AN2684" s="38"/>
      <c r="AO2684" s="38"/>
      <c r="AP2684" s="38"/>
      <c r="AQ2684" s="38"/>
      <c r="AR2684" s="38"/>
      <c r="AS2684" s="38"/>
      <c r="AT2684" s="38"/>
      <c r="AU2684" s="38"/>
      <c r="AV2684" s="38"/>
      <c r="AW2684" s="38"/>
      <c r="AX2684" s="38"/>
      <c r="AY2684" s="38"/>
      <c r="AZ2684" s="38"/>
      <c r="BA2684" s="38"/>
      <c r="BB2684" s="38"/>
      <c r="BC2684" s="38"/>
      <c r="BD2684" s="38"/>
      <c r="BE2684" s="38"/>
      <c r="BF2684" s="38"/>
      <c r="BG2684" s="38"/>
      <c r="BH2684" s="38"/>
      <c r="BI2684" s="38"/>
      <c r="BJ2684" s="38"/>
      <c r="BK2684" s="38"/>
      <c r="BL2684" s="38"/>
      <c r="BM2684" s="38"/>
      <c r="BN2684" s="38"/>
      <c r="BO2684" s="38"/>
      <c r="BP2684" s="38"/>
      <c r="BQ2684" s="38"/>
    </row>
    <row r="2685">
      <c r="A2685" s="16"/>
      <c r="B2685" s="16"/>
      <c r="C2685" s="146"/>
      <c r="D2685" s="146"/>
      <c r="E2685" s="16"/>
      <c r="F2685" s="91"/>
      <c r="G2685" s="16"/>
      <c r="H2685" s="320" t="str">
        <f t="shared" si="33"/>
        <v/>
      </c>
      <c r="I2685" s="16"/>
      <c r="J2685" s="16"/>
      <c r="K2685" s="16"/>
      <c r="L2685" s="16"/>
      <c r="M2685" s="15"/>
      <c r="N2685" s="15"/>
      <c r="O2685" s="16"/>
      <c r="P2685" s="16"/>
      <c r="Q2685" s="16"/>
      <c r="R2685" s="16"/>
      <c r="S2685" s="37" t="str">
        <f>IFERROR(__xludf.DUMMYFUNCTION("if(not(iserror(index(split(C2685, "" ""),2))), index(split(C2685, "" ""),1),"""")"),"")</f>
        <v/>
      </c>
      <c r="T2685" s="315" t="str">
        <f>IFERROR(__xludf.DUMMYFUNCTION("if(S2685="""",C2685,if(not(iserror(index(split(C2685, "" ""),3))), index(split(C2685, "" ""),3),index(split(C2685, "" ""),2)))"),"")</f>
        <v/>
      </c>
      <c r="U2685" s="38" t="b">
        <f t="shared" si="34"/>
        <v>0</v>
      </c>
      <c r="V2685" s="38"/>
      <c r="W2685" s="40"/>
      <c r="X2685" s="40"/>
      <c r="Y2685" s="38"/>
      <c r="Z2685" s="38"/>
      <c r="AA2685" s="38"/>
      <c r="AB2685" s="38"/>
      <c r="AC2685" s="38"/>
      <c r="AD2685" s="38"/>
      <c r="AE2685" s="38"/>
      <c r="AF2685" s="38"/>
      <c r="AG2685" s="38"/>
      <c r="AH2685" s="38"/>
      <c r="AI2685" s="38"/>
      <c r="AJ2685" s="38"/>
      <c r="AK2685" s="38"/>
      <c r="AL2685" s="38"/>
      <c r="AM2685" s="38"/>
      <c r="AN2685" s="38"/>
      <c r="AO2685" s="38"/>
      <c r="AP2685" s="38"/>
      <c r="AQ2685" s="38"/>
      <c r="AR2685" s="38"/>
      <c r="AS2685" s="38"/>
      <c r="AT2685" s="38"/>
      <c r="AU2685" s="38"/>
      <c r="AV2685" s="38"/>
      <c r="AW2685" s="38"/>
      <c r="AX2685" s="38"/>
      <c r="AY2685" s="38"/>
      <c r="AZ2685" s="38"/>
      <c r="BA2685" s="38"/>
      <c r="BB2685" s="38"/>
      <c r="BC2685" s="38"/>
      <c r="BD2685" s="38"/>
      <c r="BE2685" s="38"/>
      <c r="BF2685" s="38"/>
      <c r="BG2685" s="38"/>
      <c r="BH2685" s="38"/>
      <c r="BI2685" s="38"/>
      <c r="BJ2685" s="38"/>
      <c r="BK2685" s="38"/>
      <c r="BL2685" s="38"/>
      <c r="BM2685" s="38"/>
      <c r="BN2685" s="38"/>
      <c r="BO2685" s="38"/>
      <c r="BP2685" s="38"/>
      <c r="BQ2685" s="38"/>
    </row>
    <row r="2686">
      <c r="A2686" s="16"/>
      <c r="B2686" s="16"/>
      <c r="C2686" s="146"/>
      <c r="D2686" s="146"/>
      <c r="E2686" s="16"/>
      <c r="F2686" s="91"/>
      <c r="G2686" s="16"/>
      <c r="H2686" s="320" t="str">
        <f t="shared" si="33"/>
        <v/>
      </c>
      <c r="I2686" s="16"/>
      <c r="J2686" s="16"/>
      <c r="K2686" s="16"/>
      <c r="L2686" s="16"/>
      <c r="M2686" s="15"/>
      <c r="N2686" s="15"/>
      <c r="O2686" s="16"/>
      <c r="P2686" s="16"/>
      <c r="Q2686" s="16"/>
      <c r="R2686" s="16"/>
      <c r="S2686" s="37" t="str">
        <f>IFERROR(__xludf.DUMMYFUNCTION("if(not(iserror(index(split(C2686, "" ""),2))), index(split(C2686, "" ""),1),"""")"),"")</f>
        <v/>
      </c>
      <c r="T2686" s="315" t="str">
        <f>IFERROR(__xludf.DUMMYFUNCTION("if(S2686="""",C2686,if(not(iserror(index(split(C2686, "" ""),3))), index(split(C2686, "" ""),3),index(split(C2686, "" ""),2)))"),"")</f>
        <v/>
      </c>
      <c r="U2686" s="38" t="b">
        <f t="shared" si="34"/>
        <v>0</v>
      </c>
      <c r="V2686" s="38"/>
      <c r="W2686" s="40"/>
      <c r="X2686" s="40"/>
      <c r="Y2686" s="38"/>
      <c r="Z2686" s="38"/>
      <c r="AA2686" s="38"/>
      <c r="AB2686" s="38"/>
      <c r="AC2686" s="38"/>
      <c r="AD2686" s="38"/>
      <c r="AE2686" s="38"/>
      <c r="AF2686" s="38"/>
      <c r="AG2686" s="38"/>
      <c r="AH2686" s="38"/>
      <c r="AI2686" s="38"/>
      <c r="AJ2686" s="38"/>
      <c r="AK2686" s="38"/>
      <c r="AL2686" s="38"/>
      <c r="AM2686" s="38"/>
      <c r="AN2686" s="38"/>
      <c r="AO2686" s="38"/>
      <c r="AP2686" s="38"/>
      <c r="AQ2686" s="38"/>
      <c r="AR2686" s="38"/>
      <c r="AS2686" s="38"/>
      <c r="AT2686" s="38"/>
      <c r="AU2686" s="38"/>
      <c r="AV2686" s="38"/>
      <c r="AW2686" s="38"/>
      <c r="AX2686" s="38"/>
      <c r="AY2686" s="38"/>
      <c r="AZ2686" s="38"/>
      <c r="BA2686" s="38"/>
      <c r="BB2686" s="38"/>
      <c r="BC2686" s="38"/>
      <c r="BD2686" s="38"/>
      <c r="BE2686" s="38"/>
      <c r="BF2686" s="38"/>
      <c r="BG2686" s="38"/>
      <c r="BH2686" s="38"/>
      <c r="BI2686" s="38"/>
      <c r="BJ2686" s="38"/>
      <c r="BK2686" s="38"/>
      <c r="BL2686" s="38"/>
      <c r="BM2686" s="38"/>
      <c r="BN2686" s="38"/>
      <c r="BO2686" s="38"/>
      <c r="BP2686" s="38"/>
      <c r="BQ2686" s="38"/>
    </row>
    <row r="2687">
      <c r="A2687" s="16"/>
      <c r="B2687" s="16"/>
      <c r="C2687" s="146"/>
      <c r="D2687" s="146"/>
      <c r="E2687" s="16"/>
      <c r="F2687" s="91"/>
      <c r="G2687" s="16"/>
      <c r="H2687" s="320" t="str">
        <f t="shared" si="33"/>
        <v/>
      </c>
      <c r="I2687" s="16"/>
      <c r="J2687" s="16"/>
      <c r="K2687" s="16"/>
      <c r="L2687" s="16"/>
      <c r="M2687" s="15"/>
      <c r="N2687" s="15"/>
      <c r="O2687" s="16"/>
      <c r="P2687" s="16"/>
      <c r="Q2687" s="16"/>
      <c r="R2687" s="16"/>
      <c r="S2687" s="37" t="str">
        <f>IFERROR(__xludf.DUMMYFUNCTION("if(not(iserror(index(split(C2687, "" ""),2))), index(split(C2687, "" ""),1),"""")"),"")</f>
        <v/>
      </c>
      <c r="T2687" s="315" t="str">
        <f>IFERROR(__xludf.DUMMYFUNCTION("if(S2687="""",C2687,if(not(iserror(index(split(C2687, "" ""),3))), index(split(C2687, "" ""),3),index(split(C2687, "" ""),2)))"),"")</f>
        <v/>
      </c>
      <c r="U2687" s="38" t="b">
        <f t="shared" si="34"/>
        <v>0</v>
      </c>
      <c r="V2687" s="38"/>
      <c r="W2687" s="40"/>
      <c r="X2687" s="40"/>
      <c r="Y2687" s="38"/>
      <c r="Z2687" s="38"/>
      <c r="AA2687" s="38"/>
      <c r="AB2687" s="38"/>
      <c r="AC2687" s="38"/>
      <c r="AD2687" s="38"/>
      <c r="AE2687" s="38"/>
      <c r="AF2687" s="38"/>
      <c r="AG2687" s="38"/>
      <c r="AH2687" s="38"/>
      <c r="AI2687" s="38"/>
      <c r="AJ2687" s="38"/>
      <c r="AK2687" s="38"/>
      <c r="AL2687" s="38"/>
      <c r="AM2687" s="38"/>
      <c r="AN2687" s="38"/>
      <c r="AO2687" s="38"/>
      <c r="AP2687" s="38"/>
      <c r="AQ2687" s="38"/>
      <c r="AR2687" s="38"/>
      <c r="AS2687" s="38"/>
      <c r="AT2687" s="38"/>
      <c r="AU2687" s="38"/>
      <c r="AV2687" s="38"/>
      <c r="AW2687" s="38"/>
      <c r="AX2687" s="38"/>
      <c r="AY2687" s="38"/>
      <c r="AZ2687" s="38"/>
      <c r="BA2687" s="38"/>
      <c r="BB2687" s="38"/>
      <c r="BC2687" s="38"/>
      <c r="BD2687" s="38"/>
      <c r="BE2687" s="38"/>
      <c r="BF2687" s="38"/>
      <c r="BG2687" s="38"/>
      <c r="BH2687" s="38"/>
      <c r="BI2687" s="38"/>
      <c r="BJ2687" s="38"/>
      <c r="BK2687" s="38"/>
      <c r="BL2687" s="38"/>
      <c r="BM2687" s="38"/>
      <c r="BN2687" s="38"/>
      <c r="BO2687" s="38"/>
      <c r="BP2687" s="38"/>
      <c r="BQ2687" s="38"/>
    </row>
    <row r="2688">
      <c r="A2688" s="16"/>
      <c r="B2688" s="16"/>
      <c r="C2688" s="146"/>
      <c r="D2688" s="146"/>
      <c r="E2688" s="16"/>
      <c r="F2688" s="91"/>
      <c r="G2688" s="16"/>
      <c r="H2688" s="320" t="str">
        <f t="shared" si="33"/>
        <v/>
      </c>
      <c r="I2688" s="16"/>
      <c r="J2688" s="16"/>
      <c r="K2688" s="16"/>
      <c r="L2688" s="16"/>
      <c r="M2688" s="15"/>
      <c r="N2688" s="15"/>
      <c r="O2688" s="16"/>
      <c r="P2688" s="16"/>
      <c r="Q2688" s="16"/>
      <c r="R2688" s="16"/>
      <c r="S2688" s="37" t="str">
        <f>IFERROR(__xludf.DUMMYFUNCTION("if(not(iserror(index(split(C2688, "" ""),2))), index(split(C2688, "" ""),1),"""")"),"")</f>
        <v/>
      </c>
      <c r="T2688" s="315" t="str">
        <f>IFERROR(__xludf.DUMMYFUNCTION("if(S2688="""",C2688,if(not(iserror(index(split(C2688, "" ""),3))), index(split(C2688, "" ""),3),index(split(C2688, "" ""),2)))"),"")</f>
        <v/>
      </c>
      <c r="U2688" s="38" t="b">
        <f t="shared" si="34"/>
        <v>0</v>
      </c>
      <c r="V2688" s="38"/>
      <c r="W2688" s="40"/>
      <c r="X2688" s="40"/>
      <c r="Y2688" s="38"/>
      <c r="Z2688" s="38"/>
      <c r="AA2688" s="38"/>
      <c r="AB2688" s="38"/>
      <c r="AC2688" s="38"/>
      <c r="AD2688" s="38"/>
      <c r="AE2688" s="38"/>
      <c r="AF2688" s="38"/>
      <c r="AG2688" s="38"/>
      <c r="AH2688" s="38"/>
      <c r="AI2688" s="38"/>
      <c r="AJ2688" s="38"/>
      <c r="AK2688" s="38"/>
      <c r="AL2688" s="38"/>
      <c r="AM2688" s="38"/>
      <c r="AN2688" s="38"/>
      <c r="AO2688" s="38"/>
      <c r="AP2688" s="38"/>
      <c r="AQ2688" s="38"/>
      <c r="AR2688" s="38"/>
      <c r="AS2688" s="38"/>
      <c r="AT2688" s="38"/>
      <c r="AU2688" s="38"/>
      <c r="AV2688" s="38"/>
      <c r="AW2688" s="38"/>
      <c r="AX2688" s="38"/>
      <c r="AY2688" s="38"/>
      <c r="AZ2688" s="38"/>
      <c r="BA2688" s="38"/>
      <c r="BB2688" s="38"/>
      <c r="BC2688" s="38"/>
      <c r="BD2688" s="38"/>
      <c r="BE2688" s="38"/>
      <c r="BF2688" s="38"/>
      <c r="BG2688" s="38"/>
      <c r="BH2688" s="38"/>
      <c r="BI2688" s="38"/>
      <c r="BJ2688" s="38"/>
      <c r="BK2688" s="38"/>
      <c r="BL2688" s="38"/>
      <c r="BM2688" s="38"/>
      <c r="BN2688" s="38"/>
      <c r="BO2688" s="38"/>
      <c r="BP2688" s="38"/>
      <c r="BQ2688" s="38"/>
    </row>
    <row r="2689">
      <c r="A2689" s="16"/>
      <c r="B2689" s="16"/>
      <c r="C2689" s="146"/>
      <c r="D2689" s="146"/>
      <c r="E2689" s="16"/>
      <c r="F2689" s="91"/>
      <c r="G2689" s="16"/>
      <c r="H2689" s="320" t="str">
        <f t="shared" si="33"/>
        <v/>
      </c>
      <c r="I2689" s="16"/>
      <c r="J2689" s="16"/>
      <c r="K2689" s="16"/>
      <c r="L2689" s="16"/>
      <c r="M2689" s="15"/>
      <c r="N2689" s="15"/>
      <c r="O2689" s="16"/>
      <c r="P2689" s="16"/>
      <c r="Q2689" s="16"/>
      <c r="R2689" s="16"/>
      <c r="S2689" s="37" t="str">
        <f>IFERROR(__xludf.DUMMYFUNCTION("if(not(iserror(index(split(C2689, "" ""),2))), index(split(C2689, "" ""),1),"""")"),"")</f>
        <v/>
      </c>
      <c r="T2689" s="315" t="str">
        <f>IFERROR(__xludf.DUMMYFUNCTION("if(S2689="""",C2689,if(not(iserror(index(split(C2689, "" ""),3))), index(split(C2689, "" ""),3),index(split(C2689, "" ""),2)))"),"")</f>
        <v/>
      </c>
      <c r="U2689" s="38" t="b">
        <f t="shared" si="34"/>
        <v>0</v>
      </c>
      <c r="V2689" s="38"/>
      <c r="W2689" s="40"/>
      <c r="X2689" s="40"/>
      <c r="Y2689" s="38"/>
      <c r="Z2689" s="38"/>
      <c r="AA2689" s="38"/>
      <c r="AB2689" s="38"/>
      <c r="AC2689" s="38"/>
      <c r="AD2689" s="38"/>
      <c r="AE2689" s="38"/>
      <c r="AF2689" s="38"/>
      <c r="AG2689" s="38"/>
      <c r="AH2689" s="38"/>
      <c r="AI2689" s="38"/>
      <c r="AJ2689" s="38"/>
      <c r="AK2689" s="38"/>
      <c r="AL2689" s="38"/>
      <c r="AM2689" s="38"/>
      <c r="AN2689" s="38"/>
      <c r="AO2689" s="38"/>
      <c r="AP2689" s="38"/>
      <c r="AQ2689" s="38"/>
      <c r="AR2689" s="38"/>
      <c r="AS2689" s="38"/>
      <c r="AT2689" s="38"/>
      <c r="AU2689" s="38"/>
      <c r="AV2689" s="38"/>
      <c r="AW2689" s="38"/>
      <c r="AX2689" s="38"/>
      <c r="AY2689" s="38"/>
      <c r="AZ2689" s="38"/>
      <c r="BA2689" s="38"/>
      <c r="BB2689" s="38"/>
      <c r="BC2689" s="38"/>
      <c r="BD2689" s="38"/>
      <c r="BE2689" s="38"/>
      <c r="BF2689" s="38"/>
      <c r="BG2689" s="38"/>
      <c r="BH2689" s="38"/>
      <c r="BI2689" s="38"/>
      <c r="BJ2689" s="38"/>
      <c r="BK2689" s="38"/>
      <c r="BL2689" s="38"/>
      <c r="BM2689" s="38"/>
      <c r="BN2689" s="38"/>
      <c r="BO2689" s="38"/>
      <c r="BP2689" s="38"/>
      <c r="BQ2689" s="38"/>
    </row>
    <row r="2690">
      <c r="A2690" s="16"/>
      <c r="B2690" s="16"/>
      <c r="C2690" s="146"/>
      <c r="D2690" s="146"/>
      <c r="E2690" s="16"/>
      <c r="F2690" s="91"/>
      <c r="G2690" s="16"/>
      <c r="H2690" s="320" t="str">
        <f t="shared" si="33"/>
        <v/>
      </c>
      <c r="I2690" s="16"/>
      <c r="J2690" s="16"/>
      <c r="K2690" s="16"/>
      <c r="L2690" s="16"/>
      <c r="M2690" s="15"/>
      <c r="N2690" s="15"/>
      <c r="O2690" s="16"/>
      <c r="P2690" s="16"/>
      <c r="Q2690" s="16"/>
      <c r="R2690" s="16"/>
      <c r="S2690" s="37" t="str">
        <f>IFERROR(__xludf.DUMMYFUNCTION("if(not(iserror(index(split(C2690, "" ""),2))), index(split(C2690, "" ""),1),"""")"),"")</f>
        <v/>
      </c>
      <c r="T2690" s="315" t="str">
        <f>IFERROR(__xludf.DUMMYFUNCTION("if(S2690="""",C2690,if(not(iserror(index(split(C2690, "" ""),3))), index(split(C2690, "" ""),3),index(split(C2690, "" ""),2)))"),"")</f>
        <v/>
      </c>
      <c r="U2690" s="38" t="b">
        <f t="shared" si="34"/>
        <v>0</v>
      </c>
      <c r="V2690" s="38"/>
      <c r="W2690" s="40"/>
      <c r="X2690" s="40"/>
      <c r="Y2690" s="38"/>
      <c r="Z2690" s="38"/>
      <c r="AA2690" s="38"/>
      <c r="AB2690" s="38"/>
      <c r="AC2690" s="38"/>
      <c r="AD2690" s="38"/>
      <c r="AE2690" s="38"/>
      <c r="AF2690" s="38"/>
      <c r="AG2690" s="38"/>
      <c r="AH2690" s="38"/>
      <c r="AI2690" s="38"/>
      <c r="AJ2690" s="38"/>
      <c r="AK2690" s="38"/>
      <c r="AL2690" s="38"/>
      <c r="AM2690" s="38"/>
      <c r="AN2690" s="38"/>
      <c r="AO2690" s="38"/>
      <c r="AP2690" s="38"/>
      <c r="AQ2690" s="38"/>
      <c r="AR2690" s="38"/>
      <c r="AS2690" s="38"/>
      <c r="AT2690" s="38"/>
      <c r="AU2690" s="38"/>
      <c r="AV2690" s="38"/>
      <c r="AW2690" s="38"/>
      <c r="AX2690" s="38"/>
      <c r="AY2690" s="38"/>
      <c r="AZ2690" s="38"/>
      <c r="BA2690" s="38"/>
      <c r="BB2690" s="38"/>
      <c r="BC2690" s="38"/>
      <c r="BD2690" s="38"/>
      <c r="BE2690" s="38"/>
      <c r="BF2690" s="38"/>
      <c r="BG2690" s="38"/>
      <c r="BH2690" s="38"/>
      <c r="BI2690" s="38"/>
      <c r="BJ2690" s="38"/>
      <c r="BK2690" s="38"/>
      <c r="BL2690" s="38"/>
      <c r="BM2690" s="38"/>
      <c r="BN2690" s="38"/>
      <c r="BO2690" s="38"/>
      <c r="BP2690" s="38"/>
      <c r="BQ2690" s="38"/>
    </row>
    <row r="2691">
      <c r="A2691" s="16"/>
      <c r="B2691" s="16"/>
      <c r="C2691" s="146"/>
      <c r="D2691" s="146"/>
      <c r="E2691" s="16"/>
      <c r="F2691" s="91"/>
      <c r="G2691" s="16"/>
      <c r="H2691" s="320" t="str">
        <f t="shared" si="33"/>
        <v/>
      </c>
      <c r="I2691" s="16"/>
      <c r="J2691" s="16"/>
      <c r="K2691" s="16"/>
      <c r="L2691" s="16"/>
      <c r="M2691" s="15"/>
      <c r="N2691" s="15"/>
      <c r="O2691" s="16"/>
      <c r="P2691" s="16"/>
      <c r="Q2691" s="16"/>
      <c r="R2691" s="16"/>
      <c r="S2691" s="37" t="str">
        <f>IFERROR(__xludf.DUMMYFUNCTION("if(not(iserror(index(split(C2691, "" ""),2))), index(split(C2691, "" ""),1),"""")"),"")</f>
        <v/>
      </c>
      <c r="T2691" s="315" t="str">
        <f>IFERROR(__xludf.DUMMYFUNCTION("if(S2691="""",C2691,if(not(iserror(index(split(C2691, "" ""),3))), index(split(C2691, "" ""),3),index(split(C2691, "" ""),2)))"),"")</f>
        <v/>
      </c>
      <c r="U2691" s="38" t="b">
        <f t="shared" si="34"/>
        <v>0</v>
      </c>
      <c r="V2691" s="38"/>
      <c r="W2691" s="40"/>
      <c r="X2691" s="40"/>
      <c r="Y2691" s="38"/>
      <c r="Z2691" s="38"/>
      <c r="AA2691" s="38"/>
      <c r="AB2691" s="38"/>
      <c r="AC2691" s="38"/>
      <c r="AD2691" s="38"/>
      <c r="AE2691" s="38"/>
      <c r="AF2691" s="38"/>
      <c r="AG2691" s="38"/>
      <c r="AH2691" s="38"/>
      <c r="AI2691" s="38"/>
      <c r="AJ2691" s="38"/>
      <c r="AK2691" s="38"/>
      <c r="AL2691" s="38"/>
      <c r="AM2691" s="38"/>
      <c r="AN2691" s="38"/>
      <c r="AO2691" s="38"/>
      <c r="AP2691" s="38"/>
      <c r="AQ2691" s="38"/>
      <c r="AR2691" s="38"/>
      <c r="AS2691" s="38"/>
      <c r="AT2691" s="38"/>
      <c r="AU2691" s="38"/>
      <c r="AV2691" s="38"/>
      <c r="AW2691" s="38"/>
      <c r="AX2691" s="38"/>
      <c r="AY2691" s="38"/>
      <c r="AZ2691" s="38"/>
      <c r="BA2691" s="38"/>
      <c r="BB2691" s="38"/>
      <c r="BC2691" s="38"/>
      <c r="BD2691" s="38"/>
      <c r="BE2691" s="38"/>
      <c r="BF2691" s="38"/>
      <c r="BG2691" s="38"/>
      <c r="BH2691" s="38"/>
      <c r="BI2691" s="38"/>
      <c r="BJ2691" s="38"/>
      <c r="BK2691" s="38"/>
      <c r="BL2691" s="38"/>
      <c r="BM2691" s="38"/>
      <c r="BN2691" s="38"/>
      <c r="BO2691" s="38"/>
      <c r="BP2691" s="38"/>
      <c r="BQ2691" s="38"/>
    </row>
    <row r="2692">
      <c r="A2692" s="16"/>
      <c r="B2692" s="16"/>
      <c r="C2692" s="146"/>
      <c r="D2692" s="146"/>
      <c r="E2692" s="16"/>
      <c r="F2692" s="91"/>
      <c r="G2692" s="16"/>
      <c r="H2692" s="320" t="str">
        <f t="shared" si="33"/>
        <v/>
      </c>
      <c r="I2692" s="16"/>
      <c r="J2692" s="16"/>
      <c r="K2692" s="16"/>
      <c r="L2692" s="16"/>
      <c r="M2692" s="15"/>
      <c r="N2692" s="15"/>
      <c r="O2692" s="16"/>
      <c r="P2692" s="16"/>
      <c r="Q2692" s="16"/>
      <c r="R2692" s="16"/>
      <c r="S2692" s="37" t="str">
        <f>IFERROR(__xludf.DUMMYFUNCTION("if(not(iserror(index(split(C2692, "" ""),2))), index(split(C2692, "" ""),1),"""")"),"")</f>
        <v/>
      </c>
      <c r="T2692" s="315" t="str">
        <f>IFERROR(__xludf.DUMMYFUNCTION("if(S2692="""",C2692,if(not(iserror(index(split(C2692, "" ""),3))), index(split(C2692, "" ""),3),index(split(C2692, "" ""),2)))"),"")</f>
        <v/>
      </c>
      <c r="U2692" s="38" t="b">
        <f t="shared" si="34"/>
        <v>0</v>
      </c>
      <c r="V2692" s="38"/>
      <c r="W2692" s="40"/>
      <c r="X2692" s="40"/>
      <c r="Y2692" s="38"/>
      <c r="Z2692" s="38"/>
      <c r="AA2692" s="38"/>
      <c r="AB2692" s="38"/>
      <c r="AC2692" s="38"/>
      <c r="AD2692" s="38"/>
      <c r="AE2692" s="38"/>
      <c r="AF2692" s="38"/>
      <c r="AG2692" s="38"/>
      <c r="AH2692" s="38"/>
      <c r="AI2692" s="38"/>
      <c r="AJ2692" s="38"/>
      <c r="AK2692" s="38"/>
      <c r="AL2692" s="38"/>
      <c r="AM2692" s="38"/>
      <c r="AN2692" s="38"/>
      <c r="AO2692" s="38"/>
      <c r="AP2692" s="38"/>
      <c r="AQ2692" s="38"/>
      <c r="AR2692" s="38"/>
      <c r="AS2692" s="38"/>
      <c r="AT2692" s="38"/>
      <c r="AU2692" s="38"/>
      <c r="AV2692" s="38"/>
      <c r="AW2692" s="38"/>
      <c r="AX2692" s="38"/>
      <c r="AY2692" s="38"/>
      <c r="AZ2692" s="38"/>
      <c r="BA2692" s="38"/>
      <c r="BB2692" s="38"/>
      <c r="BC2692" s="38"/>
      <c r="BD2692" s="38"/>
      <c r="BE2692" s="38"/>
      <c r="BF2692" s="38"/>
      <c r="BG2692" s="38"/>
      <c r="BH2692" s="38"/>
      <c r="BI2692" s="38"/>
      <c r="BJ2692" s="38"/>
      <c r="BK2692" s="38"/>
      <c r="BL2692" s="38"/>
      <c r="BM2692" s="38"/>
      <c r="BN2692" s="38"/>
      <c r="BO2692" s="38"/>
      <c r="BP2692" s="38"/>
      <c r="BQ2692" s="38"/>
    </row>
    <row r="2693">
      <c r="A2693" s="16"/>
      <c r="B2693" s="16"/>
      <c r="C2693" s="146"/>
      <c r="D2693" s="146"/>
      <c r="E2693" s="16"/>
      <c r="F2693" s="91"/>
      <c r="G2693" s="16"/>
      <c r="H2693" s="320" t="str">
        <f t="shared" si="33"/>
        <v/>
      </c>
      <c r="I2693" s="16"/>
      <c r="J2693" s="16"/>
      <c r="K2693" s="16"/>
      <c r="L2693" s="16"/>
      <c r="M2693" s="15"/>
      <c r="N2693" s="15"/>
      <c r="O2693" s="16"/>
      <c r="P2693" s="16"/>
      <c r="Q2693" s="16"/>
      <c r="R2693" s="16"/>
      <c r="S2693" s="37" t="str">
        <f>IFERROR(__xludf.DUMMYFUNCTION("if(not(iserror(index(split(C2693, "" ""),2))), index(split(C2693, "" ""),1),"""")"),"")</f>
        <v/>
      </c>
      <c r="T2693" s="315" t="str">
        <f>IFERROR(__xludf.DUMMYFUNCTION("if(S2693="""",C2693,if(not(iserror(index(split(C2693, "" ""),3))), index(split(C2693, "" ""),3),index(split(C2693, "" ""),2)))"),"")</f>
        <v/>
      </c>
      <c r="U2693" s="38" t="b">
        <f t="shared" si="34"/>
        <v>0</v>
      </c>
      <c r="V2693" s="38"/>
      <c r="W2693" s="40"/>
      <c r="X2693" s="40"/>
      <c r="Y2693" s="38"/>
      <c r="Z2693" s="38"/>
      <c r="AA2693" s="38"/>
      <c r="AB2693" s="38"/>
      <c r="AC2693" s="38"/>
      <c r="AD2693" s="38"/>
      <c r="AE2693" s="38"/>
      <c r="AF2693" s="38"/>
      <c r="AG2693" s="38"/>
      <c r="AH2693" s="38"/>
      <c r="AI2693" s="38"/>
      <c r="AJ2693" s="38"/>
      <c r="AK2693" s="38"/>
      <c r="AL2693" s="38"/>
      <c r="AM2693" s="38"/>
      <c r="AN2693" s="38"/>
      <c r="AO2693" s="38"/>
      <c r="AP2693" s="38"/>
      <c r="AQ2693" s="38"/>
      <c r="AR2693" s="38"/>
      <c r="AS2693" s="38"/>
      <c r="AT2693" s="38"/>
      <c r="AU2693" s="38"/>
      <c r="AV2693" s="38"/>
      <c r="AW2693" s="38"/>
      <c r="AX2693" s="38"/>
      <c r="AY2693" s="38"/>
      <c r="AZ2693" s="38"/>
      <c r="BA2693" s="38"/>
      <c r="BB2693" s="38"/>
      <c r="BC2693" s="38"/>
      <c r="BD2693" s="38"/>
      <c r="BE2693" s="38"/>
      <c r="BF2693" s="38"/>
      <c r="BG2693" s="38"/>
      <c r="BH2693" s="38"/>
      <c r="BI2693" s="38"/>
      <c r="BJ2693" s="38"/>
      <c r="BK2693" s="38"/>
      <c r="BL2693" s="38"/>
      <c r="BM2693" s="38"/>
      <c r="BN2693" s="38"/>
      <c r="BO2693" s="38"/>
      <c r="BP2693" s="38"/>
      <c r="BQ2693" s="38"/>
    </row>
    <row r="2694">
      <c r="A2694" s="16"/>
      <c r="B2694" s="16"/>
      <c r="C2694" s="146"/>
      <c r="D2694" s="146"/>
      <c r="E2694" s="16"/>
      <c r="F2694" s="91"/>
      <c r="G2694" s="16"/>
      <c r="H2694" s="320" t="str">
        <f t="shared" si="33"/>
        <v/>
      </c>
      <c r="I2694" s="16"/>
      <c r="J2694" s="16"/>
      <c r="K2694" s="16"/>
      <c r="L2694" s="16"/>
      <c r="M2694" s="15"/>
      <c r="N2694" s="15"/>
      <c r="O2694" s="16"/>
      <c r="P2694" s="16"/>
      <c r="Q2694" s="16"/>
      <c r="R2694" s="16"/>
      <c r="S2694" s="37" t="str">
        <f>IFERROR(__xludf.DUMMYFUNCTION("if(not(iserror(index(split(C2694, "" ""),2))), index(split(C2694, "" ""),1),"""")"),"")</f>
        <v/>
      </c>
      <c r="T2694" s="315" t="str">
        <f>IFERROR(__xludf.DUMMYFUNCTION("if(S2694="""",C2694,if(not(iserror(index(split(C2694, "" ""),3))), index(split(C2694, "" ""),3),index(split(C2694, "" ""),2)))"),"")</f>
        <v/>
      </c>
      <c r="U2694" s="38" t="b">
        <f t="shared" si="34"/>
        <v>0</v>
      </c>
      <c r="V2694" s="38"/>
      <c r="W2694" s="40"/>
      <c r="X2694" s="40"/>
      <c r="Y2694" s="38"/>
      <c r="Z2694" s="38"/>
      <c r="AA2694" s="38"/>
      <c r="AB2694" s="38"/>
      <c r="AC2694" s="38"/>
      <c r="AD2694" s="38"/>
      <c r="AE2694" s="38"/>
      <c r="AF2694" s="38"/>
      <c r="AG2694" s="38"/>
      <c r="AH2694" s="38"/>
      <c r="AI2694" s="38"/>
      <c r="AJ2694" s="38"/>
      <c r="AK2694" s="38"/>
      <c r="AL2694" s="38"/>
      <c r="AM2694" s="38"/>
      <c r="AN2694" s="38"/>
      <c r="AO2694" s="38"/>
      <c r="AP2694" s="38"/>
      <c r="AQ2694" s="38"/>
      <c r="AR2694" s="38"/>
      <c r="AS2694" s="38"/>
      <c r="AT2694" s="38"/>
      <c r="AU2694" s="38"/>
      <c r="AV2694" s="38"/>
      <c r="AW2694" s="38"/>
      <c r="AX2694" s="38"/>
      <c r="AY2694" s="38"/>
      <c r="AZ2694" s="38"/>
      <c r="BA2694" s="38"/>
      <c r="BB2694" s="38"/>
      <c r="BC2694" s="38"/>
      <c r="BD2694" s="38"/>
      <c r="BE2694" s="38"/>
      <c r="BF2694" s="38"/>
      <c r="BG2694" s="38"/>
      <c r="BH2694" s="38"/>
      <c r="BI2694" s="38"/>
      <c r="BJ2694" s="38"/>
      <c r="BK2694" s="38"/>
      <c r="BL2694" s="38"/>
      <c r="BM2694" s="38"/>
      <c r="BN2694" s="38"/>
      <c r="BO2694" s="38"/>
      <c r="BP2694" s="38"/>
      <c r="BQ2694" s="38"/>
    </row>
    <row r="2695">
      <c r="A2695" s="16"/>
      <c r="B2695" s="16"/>
      <c r="C2695" s="146"/>
      <c r="D2695" s="146"/>
      <c r="E2695" s="16"/>
      <c r="F2695" s="91"/>
      <c r="G2695" s="16"/>
      <c r="H2695" s="320" t="str">
        <f t="shared" si="33"/>
        <v/>
      </c>
      <c r="I2695" s="16"/>
      <c r="J2695" s="16"/>
      <c r="K2695" s="16"/>
      <c r="L2695" s="16"/>
      <c r="M2695" s="15"/>
      <c r="N2695" s="15"/>
      <c r="O2695" s="16"/>
      <c r="P2695" s="16"/>
      <c r="Q2695" s="16"/>
      <c r="R2695" s="16"/>
      <c r="S2695" s="37" t="str">
        <f>IFERROR(__xludf.DUMMYFUNCTION("if(not(iserror(index(split(C2695, "" ""),2))), index(split(C2695, "" ""),1),"""")"),"")</f>
        <v/>
      </c>
      <c r="T2695" s="315" t="str">
        <f>IFERROR(__xludf.DUMMYFUNCTION("if(S2695="""",C2695,if(not(iserror(index(split(C2695, "" ""),3))), index(split(C2695, "" ""),3),index(split(C2695, "" ""),2)))"),"")</f>
        <v/>
      </c>
      <c r="U2695" s="38" t="b">
        <f t="shared" si="34"/>
        <v>0</v>
      </c>
      <c r="V2695" s="38"/>
      <c r="W2695" s="40"/>
      <c r="X2695" s="40"/>
      <c r="Y2695" s="38"/>
      <c r="Z2695" s="38"/>
      <c r="AA2695" s="38"/>
      <c r="AB2695" s="38"/>
      <c r="AC2695" s="38"/>
      <c r="AD2695" s="38"/>
      <c r="AE2695" s="38"/>
      <c r="AF2695" s="38"/>
      <c r="AG2695" s="38"/>
      <c r="AH2695" s="38"/>
      <c r="AI2695" s="38"/>
      <c r="AJ2695" s="38"/>
      <c r="AK2695" s="38"/>
      <c r="AL2695" s="38"/>
      <c r="AM2695" s="38"/>
      <c r="AN2695" s="38"/>
      <c r="AO2695" s="38"/>
      <c r="AP2695" s="38"/>
      <c r="AQ2695" s="38"/>
      <c r="AR2695" s="38"/>
      <c r="AS2695" s="38"/>
      <c r="AT2695" s="38"/>
      <c r="AU2695" s="38"/>
      <c r="AV2695" s="38"/>
      <c r="AW2695" s="38"/>
      <c r="AX2695" s="38"/>
      <c r="AY2695" s="38"/>
      <c r="AZ2695" s="38"/>
      <c r="BA2695" s="38"/>
      <c r="BB2695" s="38"/>
      <c r="BC2695" s="38"/>
      <c r="BD2695" s="38"/>
      <c r="BE2695" s="38"/>
      <c r="BF2695" s="38"/>
      <c r="BG2695" s="38"/>
      <c r="BH2695" s="38"/>
      <c r="BI2695" s="38"/>
      <c r="BJ2695" s="38"/>
      <c r="BK2695" s="38"/>
      <c r="BL2695" s="38"/>
      <c r="BM2695" s="38"/>
      <c r="BN2695" s="38"/>
      <c r="BO2695" s="38"/>
      <c r="BP2695" s="38"/>
      <c r="BQ2695" s="38"/>
    </row>
    <row r="2696">
      <c r="A2696" s="16"/>
      <c r="B2696" s="16"/>
      <c r="C2696" s="146"/>
      <c r="D2696" s="146"/>
      <c r="E2696" s="16"/>
      <c r="F2696" s="91"/>
      <c r="G2696" s="16"/>
      <c r="H2696" s="320" t="str">
        <f t="shared" si="33"/>
        <v/>
      </c>
      <c r="I2696" s="16"/>
      <c r="J2696" s="16"/>
      <c r="K2696" s="16"/>
      <c r="L2696" s="16"/>
      <c r="M2696" s="15"/>
      <c r="N2696" s="15"/>
      <c r="O2696" s="16"/>
      <c r="P2696" s="16"/>
      <c r="Q2696" s="16"/>
      <c r="R2696" s="16"/>
      <c r="S2696" s="37" t="str">
        <f>IFERROR(__xludf.DUMMYFUNCTION("if(not(iserror(index(split(C2696, "" ""),2))), index(split(C2696, "" ""),1),"""")"),"")</f>
        <v/>
      </c>
      <c r="T2696" s="315" t="str">
        <f>IFERROR(__xludf.DUMMYFUNCTION("if(S2696="""",C2696,if(not(iserror(index(split(C2696, "" ""),3))), index(split(C2696, "" ""),3),index(split(C2696, "" ""),2)))"),"")</f>
        <v/>
      </c>
      <c r="U2696" s="38" t="b">
        <f t="shared" si="34"/>
        <v>0</v>
      </c>
      <c r="V2696" s="38"/>
      <c r="W2696" s="40"/>
      <c r="X2696" s="40"/>
      <c r="Y2696" s="38"/>
      <c r="Z2696" s="38"/>
      <c r="AA2696" s="38"/>
      <c r="AB2696" s="38"/>
      <c r="AC2696" s="38"/>
      <c r="AD2696" s="38"/>
      <c r="AE2696" s="38"/>
      <c r="AF2696" s="38"/>
      <c r="AG2696" s="38"/>
      <c r="AH2696" s="38"/>
      <c r="AI2696" s="38"/>
      <c r="AJ2696" s="38"/>
      <c r="AK2696" s="38"/>
      <c r="AL2696" s="38"/>
      <c r="AM2696" s="38"/>
      <c r="AN2696" s="38"/>
      <c r="AO2696" s="38"/>
      <c r="AP2696" s="38"/>
      <c r="AQ2696" s="38"/>
      <c r="AR2696" s="38"/>
      <c r="AS2696" s="38"/>
      <c r="AT2696" s="38"/>
      <c r="AU2696" s="38"/>
      <c r="AV2696" s="38"/>
      <c r="AW2696" s="38"/>
      <c r="AX2696" s="38"/>
      <c r="AY2696" s="38"/>
      <c r="AZ2696" s="38"/>
      <c r="BA2696" s="38"/>
      <c r="BB2696" s="38"/>
      <c r="BC2696" s="38"/>
      <c r="BD2696" s="38"/>
      <c r="BE2696" s="38"/>
      <c r="BF2696" s="38"/>
      <c r="BG2696" s="38"/>
      <c r="BH2696" s="38"/>
      <c r="BI2696" s="38"/>
      <c r="BJ2696" s="38"/>
      <c r="BK2696" s="38"/>
      <c r="BL2696" s="38"/>
      <c r="BM2696" s="38"/>
      <c r="BN2696" s="38"/>
      <c r="BO2696" s="38"/>
      <c r="BP2696" s="38"/>
      <c r="BQ2696" s="38"/>
    </row>
    <row r="2697">
      <c r="A2697" s="16"/>
      <c r="B2697" s="16"/>
      <c r="C2697" s="146"/>
      <c r="D2697" s="146"/>
      <c r="E2697" s="16"/>
      <c r="F2697" s="91"/>
      <c r="G2697" s="16"/>
      <c r="H2697" s="320" t="str">
        <f t="shared" si="33"/>
        <v/>
      </c>
      <c r="I2697" s="16"/>
      <c r="J2697" s="16"/>
      <c r="K2697" s="16"/>
      <c r="L2697" s="16"/>
      <c r="M2697" s="15"/>
      <c r="N2697" s="15"/>
      <c r="O2697" s="16"/>
      <c r="P2697" s="16"/>
      <c r="Q2697" s="16"/>
      <c r="R2697" s="16"/>
      <c r="S2697" s="37" t="str">
        <f>IFERROR(__xludf.DUMMYFUNCTION("if(not(iserror(index(split(C2697, "" ""),2))), index(split(C2697, "" ""),1),"""")"),"")</f>
        <v/>
      </c>
      <c r="T2697" s="315" t="str">
        <f>IFERROR(__xludf.DUMMYFUNCTION("if(S2697="""",C2697,if(not(iserror(index(split(C2697, "" ""),3))), index(split(C2697, "" ""),3),index(split(C2697, "" ""),2)))"),"")</f>
        <v/>
      </c>
      <c r="U2697" s="38" t="b">
        <f t="shared" si="34"/>
        <v>0</v>
      </c>
      <c r="V2697" s="38"/>
      <c r="W2697" s="40"/>
      <c r="X2697" s="40"/>
      <c r="Y2697" s="38"/>
      <c r="Z2697" s="38"/>
      <c r="AA2697" s="38"/>
      <c r="AB2697" s="38"/>
      <c r="AC2697" s="38"/>
      <c r="AD2697" s="38"/>
      <c r="AE2697" s="38"/>
      <c r="AF2697" s="38"/>
      <c r="AG2697" s="38"/>
      <c r="AH2697" s="38"/>
      <c r="AI2697" s="38"/>
      <c r="AJ2697" s="38"/>
      <c r="AK2697" s="38"/>
      <c r="AL2697" s="38"/>
      <c r="AM2697" s="38"/>
      <c r="AN2697" s="38"/>
      <c r="AO2697" s="38"/>
      <c r="AP2697" s="38"/>
      <c r="AQ2697" s="38"/>
      <c r="AR2697" s="38"/>
      <c r="AS2697" s="38"/>
      <c r="AT2697" s="38"/>
      <c r="AU2697" s="38"/>
      <c r="AV2697" s="38"/>
      <c r="AW2697" s="38"/>
      <c r="AX2697" s="38"/>
      <c r="AY2697" s="38"/>
      <c r="AZ2697" s="38"/>
      <c r="BA2697" s="38"/>
      <c r="BB2697" s="38"/>
      <c r="BC2697" s="38"/>
      <c r="BD2697" s="38"/>
      <c r="BE2697" s="38"/>
      <c r="BF2697" s="38"/>
      <c r="BG2697" s="38"/>
      <c r="BH2697" s="38"/>
      <c r="BI2697" s="38"/>
      <c r="BJ2697" s="38"/>
      <c r="BK2697" s="38"/>
      <c r="BL2697" s="38"/>
      <c r="BM2697" s="38"/>
      <c r="BN2697" s="38"/>
      <c r="BO2697" s="38"/>
      <c r="BP2697" s="38"/>
      <c r="BQ2697" s="38"/>
    </row>
    <row r="2698">
      <c r="A2698" s="16"/>
      <c r="B2698" s="16"/>
      <c r="C2698" s="146"/>
      <c r="D2698" s="146"/>
      <c r="E2698" s="16"/>
      <c r="F2698" s="91"/>
      <c r="G2698" s="16"/>
      <c r="H2698" s="320" t="str">
        <f t="shared" si="33"/>
        <v/>
      </c>
      <c r="I2698" s="16"/>
      <c r="J2698" s="16"/>
      <c r="K2698" s="16"/>
      <c r="L2698" s="16"/>
      <c r="M2698" s="15"/>
      <c r="N2698" s="15"/>
      <c r="O2698" s="16"/>
      <c r="P2698" s="16"/>
      <c r="Q2698" s="16"/>
      <c r="R2698" s="16"/>
      <c r="S2698" s="37" t="str">
        <f>IFERROR(__xludf.DUMMYFUNCTION("if(not(iserror(index(split(C2698, "" ""),2))), index(split(C2698, "" ""),1),"""")"),"")</f>
        <v/>
      </c>
      <c r="T2698" s="315" t="str">
        <f>IFERROR(__xludf.DUMMYFUNCTION("if(S2698="""",C2698,if(not(iserror(index(split(C2698, "" ""),3))), index(split(C2698, "" ""),3),index(split(C2698, "" ""),2)))"),"")</f>
        <v/>
      </c>
      <c r="U2698" s="38" t="b">
        <f t="shared" si="34"/>
        <v>0</v>
      </c>
      <c r="V2698" s="38"/>
      <c r="W2698" s="40"/>
      <c r="X2698" s="40"/>
      <c r="Y2698" s="38"/>
      <c r="Z2698" s="38"/>
      <c r="AA2698" s="38"/>
      <c r="AB2698" s="38"/>
      <c r="AC2698" s="38"/>
      <c r="AD2698" s="38"/>
      <c r="AE2698" s="38"/>
      <c r="AF2698" s="38"/>
      <c r="AG2698" s="38"/>
      <c r="AH2698" s="38"/>
      <c r="AI2698" s="38"/>
      <c r="AJ2698" s="38"/>
      <c r="AK2698" s="38"/>
      <c r="AL2698" s="38"/>
      <c r="AM2698" s="38"/>
      <c r="AN2698" s="38"/>
      <c r="AO2698" s="38"/>
      <c r="AP2698" s="38"/>
      <c r="AQ2698" s="38"/>
      <c r="AR2698" s="38"/>
      <c r="AS2698" s="38"/>
      <c r="AT2698" s="38"/>
      <c r="AU2698" s="38"/>
      <c r="AV2698" s="38"/>
      <c r="AW2698" s="38"/>
      <c r="AX2698" s="38"/>
      <c r="AY2698" s="38"/>
      <c r="AZ2698" s="38"/>
      <c r="BA2698" s="38"/>
      <c r="BB2698" s="38"/>
      <c r="BC2698" s="38"/>
      <c r="BD2698" s="38"/>
      <c r="BE2698" s="38"/>
      <c r="BF2698" s="38"/>
      <c r="BG2698" s="38"/>
      <c r="BH2698" s="38"/>
      <c r="BI2698" s="38"/>
      <c r="BJ2698" s="38"/>
      <c r="BK2698" s="38"/>
      <c r="BL2698" s="38"/>
      <c r="BM2698" s="38"/>
      <c r="BN2698" s="38"/>
      <c r="BO2698" s="38"/>
      <c r="BP2698" s="38"/>
      <c r="BQ2698" s="38"/>
    </row>
    <row r="2699">
      <c r="A2699" s="16"/>
      <c r="B2699" s="16"/>
      <c r="C2699" s="146"/>
      <c r="D2699" s="146"/>
      <c r="E2699" s="16"/>
      <c r="F2699" s="91"/>
      <c r="G2699" s="16"/>
      <c r="H2699" s="320" t="str">
        <f t="shared" si="33"/>
        <v/>
      </c>
      <c r="I2699" s="16"/>
      <c r="J2699" s="16"/>
      <c r="K2699" s="16"/>
      <c r="L2699" s="16"/>
      <c r="M2699" s="15"/>
      <c r="N2699" s="15"/>
      <c r="O2699" s="16"/>
      <c r="P2699" s="16"/>
      <c r="Q2699" s="16"/>
      <c r="R2699" s="16"/>
      <c r="S2699" s="37" t="str">
        <f>IFERROR(__xludf.DUMMYFUNCTION("if(not(iserror(index(split(C2699, "" ""),2))), index(split(C2699, "" ""),1),"""")"),"")</f>
        <v/>
      </c>
      <c r="T2699" s="315" t="str">
        <f>IFERROR(__xludf.DUMMYFUNCTION("if(S2699="""",C2699,if(not(iserror(index(split(C2699, "" ""),3))), index(split(C2699, "" ""),3),index(split(C2699, "" ""),2)))"),"")</f>
        <v/>
      </c>
      <c r="U2699" s="38" t="b">
        <f t="shared" si="34"/>
        <v>0</v>
      </c>
      <c r="V2699" s="38"/>
      <c r="W2699" s="40"/>
      <c r="X2699" s="40"/>
      <c r="Y2699" s="38"/>
      <c r="Z2699" s="38"/>
      <c r="AA2699" s="38"/>
      <c r="AB2699" s="38"/>
      <c r="AC2699" s="38"/>
      <c r="AD2699" s="38"/>
      <c r="AE2699" s="38"/>
      <c r="AF2699" s="38"/>
      <c r="AG2699" s="38"/>
      <c r="AH2699" s="38"/>
      <c r="AI2699" s="38"/>
      <c r="AJ2699" s="38"/>
      <c r="AK2699" s="38"/>
      <c r="AL2699" s="38"/>
      <c r="AM2699" s="38"/>
      <c r="AN2699" s="38"/>
      <c r="AO2699" s="38"/>
      <c r="AP2699" s="38"/>
      <c r="AQ2699" s="38"/>
      <c r="AR2699" s="38"/>
      <c r="AS2699" s="38"/>
      <c r="AT2699" s="38"/>
      <c r="AU2699" s="38"/>
      <c r="AV2699" s="38"/>
      <c r="AW2699" s="38"/>
      <c r="AX2699" s="38"/>
      <c r="AY2699" s="38"/>
      <c r="AZ2699" s="38"/>
      <c r="BA2699" s="38"/>
      <c r="BB2699" s="38"/>
      <c r="BC2699" s="38"/>
      <c r="BD2699" s="38"/>
      <c r="BE2699" s="38"/>
      <c r="BF2699" s="38"/>
      <c r="BG2699" s="38"/>
      <c r="BH2699" s="38"/>
      <c r="BI2699" s="38"/>
      <c r="BJ2699" s="38"/>
      <c r="BK2699" s="38"/>
      <c r="BL2699" s="38"/>
      <c r="BM2699" s="38"/>
      <c r="BN2699" s="38"/>
      <c r="BO2699" s="38"/>
      <c r="BP2699" s="38"/>
      <c r="BQ2699" s="38"/>
    </row>
    <row r="2700">
      <c r="A2700" s="16"/>
      <c r="B2700" s="16"/>
      <c r="C2700" s="146"/>
      <c r="D2700" s="146"/>
      <c r="E2700" s="16"/>
      <c r="F2700" s="91"/>
      <c r="G2700" s="16"/>
      <c r="H2700" s="320" t="str">
        <f t="shared" si="33"/>
        <v/>
      </c>
      <c r="I2700" s="16"/>
      <c r="J2700" s="16"/>
      <c r="K2700" s="16"/>
      <c r="L2700" s="16"/>
      <c r="M2700" s="15"/>
      <c r="N2700" s="15"/>
      <c r="O2700" s="16"/>
      <c r="P2700" s="16"/>
      <c r="Q2700" s="16"/>
      <c r="R2700" s="16"/>
      <c r="S2700" s="37" t="str">
        <f>IFERROR(__xludf.DUMMYFUNCTION("if(not(iserror(index(split(C2700, "" ""),2))), index(split(C2700, "" ""),1),"""")"),"")</f>
        <v/>
      </c>
      <c r="T2700" s="315" t="str">
        <f>IFERROR(__xludf.DUMMYFUNCTION("if(S2700="""",C2700,if(not(iserror(index(split(C2700, "" ""),3))), index(split(C2700, "" ""),3),index(split(C2700, "" ""),2)))"),"")</f>
        <v/>
      </c>
      <c r="U2700" s="38" t="b">
        <f t="shared" si="34"/>
        <v>0</v>
      </c>
      <c r="V2700" s="38"/>
      <c r="W2700" s="40"/>
      <c r="X2700" s="40"/>
      <c r="Y2700" s="38"/>
      <c r="Z2700" s="38"/>
      <c r="AA2700" s="38"/>
      <c r="AB2700" s="38"/>
      <c r="AC2700" s="38"/>
      <c r="AD2700" s="38"/>
      <c r="AE2700" s="38"/>
      <c r="AF2700" s="38"/>
      <c r="AG2700" s="38"/>
      <c r="AH2700" s="38"/>
      <c r="AI2700" s="38"/>
      <c r="AJ2700" s="38"/>
      <c r="AK2700" s="38"/>
      <c r="AL2700" s="38"/>
      <c r="AM2700" s="38"/>
      <c r="AN2700" s="38"/>
      <c r="AO2700" s="38"/>
      <c r="AP2700" s="38"/>
      <c r="AQ2700" s="38"/>
      <c r="AR2700" s="38"/>
      <c r="AS2700" s="38"/>
      <c r="AT2700" s="38"/>
      <c r="AU2700" s="38"/>
      <c r="AV2700" s="38"/>
      <c r="AW2700" s="38"/>
      <c r="AX2700" s="38"/>
      <c r="AY2700" s="38"/>
      <c r="AZ2700" s="38"/>
      <c r="BA2700" s="38"/>
      <c r="BB2700" s="38"/>
      <c r="BC2700" s="38"/>
      <c r="BD2700" s="38"/>
      <c r="BE2700" s="38"/>
      <c r="BF2700" s="38"/>
      <c r="BG2700" s="38"/>
      <c r="BH2700" s="38"/>
      <c r="BI2700" s="38"/>
      <c r="BJ2700" s="38"/>
      <c r="BK2700" s="38"/>
      <c r="BL2700" s="38"/>
      <c r="BM2700" s="38"/>
      <c r="BN2700" s="38"/>
      <c r="BO2700" s="38"/>
      <c r="BP2700" s="38"/>
      <c r="BQ2700" s="38"/>
    </row>
    <row r="2701">
      <c r="A2701" s="16"/>
      <c r="B2701" s="16"/>
      <c r="C2701" s="146"/>
      <c r="D2701" s="146"/>
      <c r="E2701" s="16"/>
      <c r="F2701" s="91"/>
      <c r="G2701" s="16"/>
      <c r="H2701" s="320" t="str">
        <f t="shared" si="33"/>
        <v/>
      </c>
      <c r="I2701" s="16"/>
      <c r="J2701" s="16"/>
      <c r="K2701" s="16"/>
      <c r="L2701" s="16"/>
      <c r="M2701" s="15"/>
      <c r="N2701" s="15"/>
      <c r="O2701" s="16"/>
      <c r="P2701" s="16"/>
      <c r="Q2701" s="16"/>
      <c r="R2701" s="16"/>
      <c r="S2701" s="37" t="str">
        <f>IFERROR(__xludf.DUMMYFUNCTION("if(not(iserror(index(split(C2701, "" ""),2))), index(split(C2701, "" ""),1),"""")"),"")</f>
        <v/>
      </c>
      <c r="T2701" s="315" t="str">
        <f>IFERROR(__xludf.DUMMYFUNCTION("if(S2701="""",C2701,if(not(iserror(index(split(C2701, "" ""),3))), index(split(C2701, "" ""),3),index(split(C2701, "" ""),2)))"),"")</f>
        <v/>
      </c>
      <c r="U2701" s="38" t="b">
        <f t="shared" si="34"/>
        <v>0</v>
      </c>
      <c r="V2701" s="38"/>
      <c r="W2701" s="40"/>
      <c r="X2701" s="40"/>
      <c r="Y2701" s="38"/>
      <c r="Z2701" s="38"/>
      <c r="AA2701" s="38"/>
      <c r="AB2701" s="38"/>
      <c r="AC2701" s="38"/>
      <c r="AD2701" s="38"/>
      <c r="AE2701" s="38"/>
      <c r="AF2701" s="38"/>
      <c r="AG2701" s="38"/>
      <c r="AH2701" s="38"/>
      <c r="AI2701" s="38"/>
      <c r="AJ2701" s="38"/>
      <c r="AK2701" s="38"/>
      <c r="AL2701" s="38"/>
      <c r="AM2701" s="38"/>
      <c r="AN2701" s="38"/>
      <c r="AO2701" s="38"/>
      <c r="AP2701" s="38"/>
      <c r="AQ2701" s="38"/>
      <c r="AR2701" s="38"/>
      <c r="AS2701" s="38"/>
      <c r="AT2701" s="38"/>
      <c r="AU2701" s="38"/>
      <c r="AV2701" s="38"/>
      <c r="AW2701" s="38"/>
      <c r="AX2701" s="38"/>
      <c r="AY2701" s="38"/>
      <c r="AZ2701" s="38"/>
      <c r="BA2701" s="38"/>
      <c r="BB2701" s="38"/>
      <c r="BC2701" s="38"/>
      <c r="BD2701" s="38"/>
      <c r="BE2701" s="38"/>
      <c r="BF2701" s="38"/>
      <c r="BG2701" s="38"/>
      <c r="BH2701" s="38"/>
      <c r="BI2701" s="38"/>
      <c r="BJ2701" s="38"/>
      <c r="BK2701" s="38"/>
      <c r="BL2701" s="38"/>
      <c r="BM2701" s="38"/>
      <c r="BN2701" s="38"/>
      <c r="BO2701" s="38"/>
      <c r="BP2701" s="38"/>
      <c r="BQ2701" s="38"/>
    </row>
    <row r="2702">
      <c r="A2702" s="16"/>
      <c r="B2702" s="16"/>
      <c r="C2702" s="146"/>
      <c r="D2702" s="146"/>
      <c r="E2702" s="16"/>
      <c r="F2702" s="91"/>
      <c r="G2702" s="16"/>
      <c r="H2702" s="320" t="str">
        <f t="shared" si="33"/>
        <v/>
      </c>
      <c r="I2702" s="16"/>
      <c r="J2702" s="16"/>
      <c r="K2702" s="16"/>
      <c r="L2702" s="16"/>
      <c r="M2702" s="15"/>
      <c r="N2702" s="15"/>
      <c r="O2702" s="16"/>
      <c r="P2702" s="16"/>
      <c r="Q2702" s="16"/>
      <c r="R2702" s="16"/>
      <c r="S2702" s="37" t="str">
        <f>IFERROR(__xludf.DUMMYFUNCTION("if(not(iserror(index(split(C2702, "" ""),2))), index(split(C2702, "" ""),1),"""")"),"")</f>
        <v/>
      </c>
      <c r="T2702" s="315" t="str">
        <f>IFERROR(__xludf.DUMMYFUNCTION("if(S2702="""",C2702,if(not(iserror(index(split(C2702, "" ""),3))), index(split(C2702, "" ""),3),index(split(C2702, "" ""),2)))"),"")</f>
        <v/>
      </c>
      <c r="U2702" s="38" t="b">
        <f t="shared" si="34"/>
        <v>0</v>
      </c>
      <c r="V2702" s="38"/>
      <c r="W2702" s="40"/>
      <c r="X2702" s="40"/>
      <c r="Y2702" s="38"/>
      <c r="Z2702" s="38"/>
      <c r="AA2702" s="38"/>
      <c r="AB2702" s="38"/>
      <c r="AC2702" s="38"/>
      <c r="AD2702" s="38"/>
      <c r="AE2702" s="38"/>
      <c r="AF2702" s="38"/>
      <c r="AG2702" s="38"/>
      <c r="AH2702" s="38"/>
      <c r="AI2702" s="38"/>
      <c r="AJ2702" s="38"/>
      <c r="AK2702" s="38"/>
      <c r="AL2702" s="38"/>
      <c r="AM2702" s="38"/>
      <c r="AN2702" s="38"/>
      <c r="AO2702" s="38"/>
      <c r="AP2702" s="38"/>
      <c r="AQ2702" s="38"/>
      <c r="AR2702" s="38"/>
      <c r="AS2702" s="38"/>
      <c r="AT2702" s="38"/>
      <c r="AU2702" s="38"/>
      <c r="AV2702" s="38"/>
      <c r="AW2702" s="38"/>
      <c r="AX2702" s="38"/>
      <c r="AY2702" s="38"/>
      <c r="AZ2702" s="38"/>
      <c r="BA2702" s="38"/>
      <c r="BB2702" s="38"/>
      <c r="BC2702" s="38"/>
      <c r="BD2702" s="38"/>
      <c r="BE2702" s="38"/>
      <c r="BF2702" s="38"/>
      <c r="BG2702" s="38"/>
      <c r="BH2702" s="38"/>
      <c r="BI2702" s="38"/>
      <c r="BJ2702" s="38"/>
      <c r="BK2702" s="38"/>
      <c r="BL2702" s="38"/>
      <c r="BM2702" s="38"/>
      <c r="BN2702" s="38"/>
      <c r="BO2702" s="38"/>
      <c r="BP2702" s="38"/>
      <c r="BQ2702" s="38"/>
    </row>
    <row r="2703">
      <c r="A2703" s="16"/>
      <c r="B2703" s="16"/>
      <c r="C2703" s="146"/>
      <c r="D2703" s="146"/>
      <c r="E2703" s="16"/>
      <c r="F2703" s="91"/>
      <c r="G2703" s="16"/>
      <c r="H2703" s="320" t="str">
        <f t="shared" si="33"/>
        <v/>
      </c>
      <c r="I2703" s="16"/>
      <c r="J2703" s="16"/>
      <c r="K2703" s="16"/>
      <c r="L2703" s="16"/>
      <c r="M2703" s="15"/>
      <c r="N2703" s="15"/>
      <c r="O2703" s="16"/>
      <c r="P2703" s="16"/>
      <c r="Q2703" s="16"/>
      <c r="R2703" s="16"/>
      <c r="S2703" s="37" t="str">
        <f>IFERROR(__xludf.DUMMYFUNCTION("if(not(iserror(index(split(C2703, "" ""),2))), index(split(C2703, "" ""),1),"""")"),"")</f>
        <v/>
      </c>
      <c r="T2703" s="315" t="str">
        <f>IFERROR(__xludf.DUMMYFUNCTION("if(S2703="""",C2703,if(not(iserror(index(split(C2703, "" ""),3))), index(split(C2703, "" ""),3),index(split(C2703, "" ""),2)))"),"")</f>
        <v/>
      </c>
      <c r="U2703" s="38" t="b">
        <f t="shared" si="34"/>
        <v>0</v>
      </c>
      <c r="V2703" s="38"/>
      <c r="W2703" s="40"/>
      <c r="X2703" s="40"/>
      <c r="Y2703" s="38"/>
      <c r="Z2703" s="38"/>
      <c r="AA2703" s="38"/>
      <c r="AB2703" s="38"/>
      <c r="AC2703" s="38"/>
      <c r="AD2703" s="38"/>
      <c r="AE2703" s="38"/>
      <c r="AF2703" s="38"/>
      <c r="AG2703" s="38"/>
      <c r="AH2703" s="38"/>
      <c r="AI2703" s="38"/>
      <c r="AJ2703" s="38"/>
      <c r="AK2703" s="38"/>
      <c r="AL2703" s="38"/>
      <c r="AM2703" s="38"/>
      <c r="AN2703" s="38"/>
      <c r="AO2703" s="38"/>
      <c r="AP2703" s="38"/>
      <c r="AQ2703" s="38"/>
      <c r="AR2703" s="38"/>
      <c r="AS2703" s="38"/>
      <c r="AT2703" s="38"/>
      <c r="AU2703" s="38"/>
      <c r="AV2703" s="38"/>
      <c r="AW2703" s="38"/>
      <c r="AX2703" s="38"/>
      <c r="AY2703" s="38"/>
      <c r="AZ2703" s="38"/>
      <c r="BA2703" s="38"/>
      <c r="BB2703" s="38"/>
      <c r="BC2703" s="38"/>
      <c r="BD2703" s="38"/>
      <c r="BE2703" s="38"/>
      <c r="BF2703" s="38"/>
      <c r="BG2703" s="38"/>
      <c r="BH2703" s="38"/>
      <c r="BI2703" s="38"/>
      <c r="BJ2703" s="38"/>
      <c r="BK2703" s="38"/>
      <c r="BL2703" s="38"/>
      <c r="BM2703" s="38"/>
      <c r="BN2703" s="38"/>
      <c r="BO2703" s="38"/>
      <c r="BP2703" s="38"/>
      <c r="BQ2703" s="38"/>
    </row>
    <row r="2704">
      <c r="A2704" s="16"/>
      <c r="B2704" s="16"/>
      <c r="C2704" s="146"/>
      <c r="D2704" s="146"/>
      <c r="E2704" s="16"/>
      <c r="F2704" s="91"/>
      <c r="G2704" s="16"/>
      <c r="H2704" s="320" t="str">
        <f t="shared" si="33"/>
        <v/>
      </c>
      <c r="I2704" s="16"/>
      <c r="J2704" s="16"/>
      <c r="K2704" s="16"/>
      <c r="L2704" s="16"/>
      <c r="M2704" s="15"/>
      <c r="N2704" s="15"/>
      <c r="O2704" s="16"/>
      <c r="P2704" s="16"/>
      <c r="Q2704" s="16"/>
      <c r="R2704" s="16"/>
      <c r="S2704" s="37" t="str">
        <f>IFERROR(__xludf.DUMMYFUNCTION("if(not(iserror(index(split(C2704, "" ""),2))), index(split(C2704, "" ""),1),"""")"),"")</f>
        <v/>
      </c>
      <c r="T2704" s="315" t="str">
        <f>IFERROR(__xludf.DUMMYFUNCTION("if(S2704="""",C2704,if(not(iserror(index(split(C2704, "" ""),3))), index(split(C2704, "" ""),3),index(split(C2704, "" ""),2)))"),"")</f>
        <v/>
      </c>
      <c r="U2704" s="38" t="b">
        <f t="shared" si="34"/>
        <v>0</v>
      </c>
      <c r="V2704" s="38"/>
      <c r="W2704" s="40"/>
      <c r="X2704" s="40"/>
      <c r="Y2704" s="38"/>
      <c r="Z2704" s="38"/>
      <c r="AA2704" s="38"/>
      <c r="AB2704" s="38"/>
      <c r="AC2704" s="38"/>
      <c r="AD2704" s="38"/>
      <c r="AE2704" s="38"/>
      <c r="AF2704" s="38"/>
      <c r="AG2704" s="38"/>
      <c r="AH2704" s="38"/>
      <c r="AI2704" s="38"/>
      <c r="AJ2704" s="38"/>
      <c r="AK2704" s="38"/>
      <c r="AL2704" s="38"/>
      <c r="AM2704" s="38"/>
      <c r="AN2704" s="38"/>
      <c r="AO2704" s="38"/>
      <c r="AP2704" s="38"/>
      <c r="AQ2704" s="38"/>
      <c r="AR2704" s="38"/>
      <c r="AS2704" s="38"/>
      <c r="AT2704" s="38"/>
      <c r="AU2704" s="38"/>
      <c r="AV2704" s="38"/>
      <c r="AW2704" s="38"/>
      <c r="AX2704" s="38"/>
      <c r="AY2704" s="38"/>
      <c r="AZ2704" s="38"/>
      <c r="BA2704" s="38"/>
      <c r="BB2704" s="38"/>
      <c r="BC2704" s="38"/>
      <c r="BD2704" s="38"/>
      <c r="BE2704" s="38"/>
      <c r="BF2704" s="38"/>
      <c r="BG2704" s="38"/>
      <c r="BH2704" s="38"/>
      <c r="BI2704" s="38"/>
      <c r="BJ2704" s="38"/>
      <c r="BK2704" s="38"/>
      <c r="BL2704" s="38"/>
      <c r="BM2704" s="38"/>
      <c r="BN2704" s="38"/>
      <c r="BO2704" s="38"/>
      <c r="BP2704" s="38"/>
      <c r="BQ2704" s="38"/>
    </row>
    <row r="2705">
      <c r="A2705" s="16"/>
      <c r="B2705" s="16"/>
      <c r="C2705" s="146"/>
      <c r="D2705" s="146"/>
      <c r="E2705" s="16"/>
      <c r="F2705" s="91"/>
      <c r="G2705" s="16"/>
      <c r="H2705" s="320" t="str">
        <f t="shared" si="33"/>
        <v/>
      </c>
      <c r="I2705" s="16"/>
      <c r="J2705" s="16"/>
      <c r="K2705" s="16"/>
      <c r="L2705" s="16"/>
      <c r="M2705" s="15"/>
      <c r="N2705" s="15"/>
      <c r="O2705" s="16"/>
      <c r="P2705" s="16"/>
      <c r="Q2705" s="16"/>
      <c r="R2705" s="16"/>
      <c r="S2705" s="37" t="str">
        <f>IFERROR(__xludf.DUMMYFUNCTION("if(not(iserror(index(split(C2705, "" ""),2))), index(split(C2705, "" ""),1),"""")"),"")</f>
        <v/>
      </c>
      <c r="T2705" s="315" t="str">
        <f>IFERROR(__xludf.DUMMYFUNCTION("if(S2705="""",C2705,if(not(iserror(index(split(C2705, "" ""),3))), index(split(C2705, "" ""),3),index(split(C2705, "" ""),2)))"),"")</f>
        <v/>
      </c>
      <c r="U2705" s="38" t="b">
        <f t="shared" si="34"/>
        <v>0</v>
      </c>
      <c r="V2705" s="38"/>
      <c r="W2705" s="40"/>
      <c r="X2705" s="40"/>
      <c r="Y2705" s="38"/>
      <c r="Z2705" s="38"/>
      <c r="AA2705" s="38"/>
      <c r="AB2705" s="38"/>
      <c r="AC2705" s="38"/>
      <c r="AD2705" s="38"/>
      <c r="AE2705" s="38"/>
      <c r="AF2705" s="38"/>
      <c r="AG2705" s="38"/>
      <c r="AH2705" s="38"/>
      <c r="AI2705" s="38"/>
      <c r="AJ2705" s="38"/>
      <c r="AK2705" s="38"/>
      <c r="AL2705" s="38"/>
      <c r="AM2705" s="38"/>
      <c r="AN2705" s="38"/>
      <c r="AO2705" s="38"/>
      <c r="AP2705" s="38"/>
      <c r="AQ2705" s="38"/>
      <c r="AR2705" s="38"/>
      <c r="AS2705" s="38"/>
      <c r="AT2705" s="38"/>
      <c r="AU2705" s="38"/>
      <c r="AV2705" s="38"/>
      <c r="AW2705" s="38"/>
      <c r="AX2705" s="38"/>
      <c r="AY2705" s="38"/>
      <c r="AZ2705" s="38"/>
      <c r="BA2705" s="38"/>
      <c r="BB2705" s="38"/>
      <c r="BC2705" s="38"/>
      <c r="BD2705" s="38"/>
      <c r="BE2705" s="38"/>
      <c r="BF2705" s="38"/>
      <c r="BG2705" s="38"/>
      <c r="BH2705" s="38"/>
      <c r="BI2705" s="38"/>
      <c r="BJ2705" s="38"/>
      <c r="BK2705" s="38"/>
      <c r="BL2705" s="38"/>
      <c r="BM2705" s="38"/>
      <c r="BN2705" s="38"/>
      <c r="BO2705" s="38"/>
      <c r="BP2705" s="38"/>
      <c r="BQ2705" s="38"/>
    </row>
    <row r="2706">
      <c r="A2706" s="16"/>
      <c r="B2706" s="16"/>
      <c r="C2706" s="146"/>
      <c r="D2706" s="146"/>
      <c r="E2706" s="16"/>
      <c r="F2706" s="91"/>
      <c r="G2706" s="16"/>
      <c r="H2706" s="320" t="str">
        <f t="shared" si="33"/>
        <v/>
      </c>
      <c r="I2706" s="16"/>
      <c r="J2706" s="16"/>
      <c r="K2706" s="16"/>
      <c r="L2706" s="16"/>
      <c r="M2706" s="15"/>
      <c r="N2706" s="15"/>
      <c r="O2706" s="16"/>
      <c r="P2706" s="16"/>
      <c r="Q2706" s="16"/>
      <c r="R2706" s="16"/>
      <c r="S2706" s="37" t="str">
        <f>IFERROR(__xludf.DUMMYFUNCTION("if(not(iserror(index(split(C2706, "" ""),2))), index(split(C2706, "" ""),1),"""")"),"")</f>
        <v/>
      </c>
      <c r="T2706" s="315" t="str">
        <f>IFERROR(__xludf.DUMMYFUNCTION("if(S2706="""",C2706,if(not(iserror(index(split(C2706, "" ""),3))), index(split(C2706, "" ""),3),index(split(C2706, "" ""),2)))"),"")</f>
        <v/>
      </c>
      <c r="U2706" s="38" t="b">
        <f t="shared" si="34"/>
        <v>0</v>
      </c>
      <c r="V2706" s="38"/>
      <c r="W2706" s="40"/>
      <c r="X2706" s="40"/>
      <c r="Y2706" s="38"/>
      <c r="Z2706" s="38"/>
      <c r="AA2706" s="38"/>
      <c r="AB2706" s="38"/>
      <c r="AC2706" s="38"/>
      <c r="AD2706" s="38"/>
      <c r="AE2706" s="38"/>
      <c r="AF2706" s="38"/>
      <c r="AG2706" s="38"/>
      <c r="AH2706" s="38"/>
      <c r="AI2706" s="38"/>
      <c r="AJ2706" s="38"/>
      <c r="AK2706" s="38"/>
      <c r="AL2706" s="38"/>
      <c r="AM2706" s="38"/>
      <c r="AN2706" s="38"/>
      <c r="AO2706" s="38"/>
      <c r="AP2706" s="38"/>
      <c r="AQ2706" s="38"/>
      <c r="AR2706" s="38"/>
      <c r="AS2706" s="38"/>
      <c r="AT2706" s="38"/>
      <c r="AU2706" s="38"/>
      <c r="AV2706" s="38"/>
      <c r="AW2706" s="38"/>
      <c r="AX2706" s="38"/>
      <c r="AY2706" s="38"/>
      <c r="AZ2706" s="38"/>
      <c r="BA2706" s="38"/>
      <c r="BB2706" s="38"/>
      <c r="BC2706" s="38"/>
      <c r="BD2706" s="38"/>
      <c r="BE2706" s="38"/>
      <c r="BF2706" s="38"/>
      <c r="BG2706" s="38"/>
      <c r="BH2706" s="38"/>
      <c r="BI2706" s="38"/>
      <c r="BJ2706" s="38"/>
      <c r="BK2706" s="38"/>
      <c r="BL2706" s="38"/>
      <c r="BM2706" s="38"/>
      <c r="BN2706" s="38"/>
      <c r="BO2706" s="38"/>
      <c r="BP2706" s="38"/>
      <c r="BQ2706" s="38"/>
    </row>
    <row r="2707">
      <c r="A2707" s="16"/>
      <c r="B2707" s="16"/>
      <c r="C2707" s="146"/>
      <c r="D2707" s="146"/>
      <c r="E2707" s="16"/>
      <c r="F2707" s="91"/>
      <c r="G2707" s="16"/>
      <c r="H2707" s="320" t="str">
        <f t="shared" si="33"/>
        <v/>
      </c>
      <c r="I2707" s="16"/>
      <c r="J2707" s="16"/>
      <c r="K2707" s="16"/>
      <c r="L2707" s="16"/>
      <c r="M2707" s="15"/>
      <c r="N2707" s="15"/>
      <c r="O2707" s="16"/>
      <c r="P2707" s="16"/>
      <c r="Q2707" s="16"/>
      <c r="R2707" s="16"/>
      <c r="S2707" s="37" t="str">
        <f>IFERROR(__xludf.DUMMYFUNCTION("if(not(iserror(index(split(C2707, "" ""),2))), index(split(C2707, "" ""),1),"""")"),"")</f>
        <v/>
      </c>
      <c r="T2707" s="315" t="str">
        <f>IFERROR(__xludf.DUMMYFUNCTION("if(S2707="""",C2707,if(not(iserror(index(split(C2707, "" ""),3))), index(split(C2707, "" ""),3),index(split(C2707, "" ""),2)))"),"")</f>
        <v/>
      </c>
      <c r="U2707" s="38" t="b">
        <f t="shared" si="34"/>
        <v>0</v>
      </c>
      <c r="V2707" s="38"/>
      <c r="W2707" s="40"/>
      <c r="X2707" s="40"/>
      <c r="Y2707" s="38"/>
      <c r="Z2707" s="38"/>
      <c r="AA2707" s="38"/>
      <c r="AB2707" s="38"/>
      <c r="AC2707" s="38"/>
      <c r="AD2707" s="38"/>
      <c r="AE2707" s="38"/>
      <c r="AF2707" s="38"/>
      <c r="AG2707" s="38"/>
      <c r="AH2707" s="38"/>
      <c r="AI2707" s="38"/>
      <c r="AJ2707" s="38"/>
      <c r="AK2707" s="38"/>
      <c r="AL2707" s="38"/>
      <c r="AM2707" s="38"/>
      <c r="AN2707" s="38"/>
      <c r="AO2707" s="38"/>
      <c r="AP2707" s="38"/>
      <c r="AQ2707" s="38"/>
      <c r="AR2707" s="38"/>
      <c r="AS2707" s="38"/>
      <c r="AT2707" s="38"/>
      <c r="AU2707" s="38"/>
      <c r="AV2707" s="38"/>
      <c r="AW2707" s="38"/>
      <c r="AX2707" s="38"/>
      <c r="AY2707" s="38"/>
      <c r="AZ2707" s="38"/>
      <c r="BA2707" s="38"/>
      <c r="BB2707" s="38"/>
      <c r="BC2707" s="38"/>
      <c r="BD2707" s="38"/>
      <c r="BE2707" s="38"/>
      <c r="BF2707" s="38"/>
      <c r="BG2707" s="38"/>
      <c r="BH2707" s="38"/>
      <c r="BI2707" s="38"/>
      <c r="BJ2707" s="38"/>
      <c r="BK2707" s="38"/>
      <c r="BL2707" s="38"/>
      <c r="BM2707" s="38"/>
      <c r="BN2707" s="38"/>
      <c r="BO2707" s="38"/>
      <c r="BP2707" s="38"/>
      <c r="BQ2707" s="38"/>
    </row>
    <row r="2708">
      <c r="A2708" s="16"/>
      <c r="B2708" s="16"/>
      <c r="C2708" s="146"/>
      <c r="D2708" s="146"/>
      <c r="E2708" s="16"/>
      <c r="F2708" s="91"/>
      <c r="G2708" s="16"/>
      <c r="H2708" s="320" t="str">
        <f t="shared" si="33"/>
        <v/>
      </c>
      <c r="I2708" s="16"/>
      <c r="J2708" s="16"/>
      <c r="K2708" s="16"/>
      <c r="L2708" s="16"/>
      <c r="M2708" s="15"/>
      <c r="N2708" s="15"/>
      <c r="O2708" s="16"/>
      <c r="P2708" s="16"/>
      <c r="Q2708" s="16"/>
      <c r="R2708" s="16"/>
      <c r="S2708" s="37" t="str">
        <f>IFERROR(__xludf.DUMMYFUNCTION("if(not(iserror(index(split(C2708, "" ""),2))), index(split(C2708, "" ""),1),"""")"),"")</f>
        <v/>
      </c>
      <c r="T2708" s="315" t="str">
        <f>IFERROR(__xludf.DUMMYFUNCTION("if(S2708="""",C2708,if(not(iserror(index(split(C2708, "" ""),3))), index(split(C2708, "" ""),3),index(split(C2708, "" ""),2)))"),"")</f>
        <v/>
      </c>
      <c r="U2708" s="38" t="b">
        <f t="shared" si="34"/>
        <v>0</v>
      </c>
      <c r="V2708" s="38"/>
      <c r="W2708" s="40"/>
      <c r="X2708" s="40"/>
      <c r="Y2708" s="38"/>
      <c r="Z2708" s="38"/>
      <c r="AA2708" s="38"/>
      <c r="AB2708" s="38"/>
      <c r="AC2708" s="38"/>
      <c r="AD2708" s="38"/>
      <c r="AE2708" s="38"/>
      <c r="AF2708" s="38"/>
      <c r="AG2708" s="38"/>
      <c r="AH2708" s="38"/>
      <c r="AI2708" s="38"/>
      <c r="AJ2708" s="38"/>
      <c r="AK2708" s="38"/>
      <c r="AL2708" s="38"/>
      <c r="AM2708" s="38"/>
      <c r="AN2708" s="38"/>
      <c r="AO2708" s="38"/>
      <c r="AP2708" s="38"/>
      <c r="AQ2708" s="38"/>
      <c r="AR2708" s="38"/>
      <c r="AS2708" s="38"/>
      <c r="AT2708" s="38"/>
      <c r="AU2708" s="38"/>
      <c r="AV2708" s="38"/>
      <c r="AW2708" s="38"/>
      <c r="AX2708" s="38"/>
      <c r="AY2708" s="38"/>
      <c r="AZ2708" s="38"/>
      <c r="BA2708" s="38"/>
      <c r="BB2708" s="38"/>
      <c r="BC2708" s="38"/>
      <c r="BD2708" s="38"/>
      <c r="BE2708" s="38"/>
      <c r="BF2708" s="38"/>
      <c r="BG2708" s="38"/>
      <c r="BH2708" s="38"/>
      <c r="BI2708" s="38"/>
      <c r="BJ2708" s="38"/>
      <c r="BK2708" s="38"/>
      <c r="BL2708" s="38"/>
      <c r="BM2708" s="38"/>
      <c r="BN2708" s="38"/>
      <c r="BO2708" s="38"/>
      <c r="BP2708" s="38"/>
      <c r="BQ2708" s="38"/>
    </row>
    <row r="2709">
      <c r="A2709" s="16"/>
      <c r="B2709" s="16"/>
      <c r="C2709" s="146"/>
      <c r="D2709" s="146"/>
      <c r="E2709" s="16"/>
      <c r="F2709" s="91"/>
      <c r="G2709" s="16"/>
      <c r="H2709" s="320" t="str">
        <f t="shared" si="33"/>
        <v/>
      </c>
      <c r="I2709" s="16"/>
      <c r="J2709" s="16"/>
      <c r="K2709" s="16"/>
      <c r="L2709" s="16"/>
      <c r="M2709" s="15"/>
      <c r="N2709" s="15"/>
      <c r="O2709" s="16"/>
      <c r="P2709" s="16"/>
      <c r="Q2709" s="16"/>
      <c r="R2709" s="16"/>
      <c r="S2709" s="37" t="str">
        <f>IFERROR(__xludf.DUMMYFUNCTION("if(not(iserror(index(split(C2709, "" ""),2))), index(split(C2709, "" ""),1),"""")"),"")</f>
        <v/>
      </c>
      <c r="T2709" s="315" t="str">
        <f>IFERROR(__xludf.DUMMYFUNCTION("if(S2709="""",C2709,if(not(iserror(index(split(C2709, "" ""),3))), index(split(C2709, "" ""),3),index(split(C2709, "" ""),2)))"),"")</f>
        <v/>
      </c>
      <c r="U2709" s="38" t="b">
        <f t="shared" si="34"/>
        <v>0</v>
      </c>
      <c r="V2709" s="38"/>
      <c r="W2709" s="40"/>
      <c r="X2709" s="40"/>
      <c r="Y2709" s="38"/>
      <c r="Z2709" s="38"/>
      <c r="AA2709" s="38"/>
      <c r="AB2709" s="38"/>
      <c r="AC2709" s="38"/>
      <c r="AD2709" s="38"/>
      <c r="AE2709" s="38"/>
      <c r="AF2709" s="38"/>
      <c r="AG2709" s="38"/>
      <c r="AH2709" s="38"/>
      <c r="AI2709" s="38"/>
      <c r="AJ2709" s="38"/>
      <c r="AK2709" s="38"/>
      <c r="AL2709" s="38"/>
      <c r="AM2709" s="38"/>
      <c r="AN2709" s="38"/>
      <c r="AO2709" s="38"/>
      <c r="AP2709" s="38"/>
      <c r="AQ2709" s="38"/>
      <c r="AR2709" s="38"/>
      <c r="AS2709" s="38"/>
      <c r="AT2709" s="38"/>
      <c r="AU2709" s="38"/>
      <c r="AV2709" s="38"/>
      <c r="AW2709" s="38"/>
      <c r="AX2709" s="38"/>
      <c r="AY2709" s="38"/>
      <c r="AZ2709" s="38"/>
      <c r="BA2709" s="38"/>
      <c r="BB2709" s="38"/>
      <c r="BC2709" s="38"/>
      <c r="BD2709" s="38"/>
      <c r="BE2709" s="38"/>
      <c r="BF2709" s="38"/>
      <c r="BG2709" s="38"/>
      <c r="BH2709" s="38"/>
      <c r="BI2709" s="38"/>
      <c r="BJ2709" s="38"/>
      <c r="BK2709" s="38"/>
      <c r="BL2709" s="38"/>
      <c r="BM2709" s="38"/>
      <c r="BN2709" s="38"/>
      <c r="BO2709" s="38"/>
      <c r="BP2709" s="38"/>
      <c r="BQ2709" s="38"/>
    </row>
    <row r="2710">
      <c r="A2710" s="16"/>
      <c r="B2710" s="16"/>
      <c r="C2710" s="146"/>
      <c r="D2710" s="146"/>
      <c r="E2710" s="16"/>
      <c r="F2710" s="91"/>
      <c r="G2710" s="16"/>
      <c r="H2710" s="320" t="str">
        <f t="shared" si="33"/>
        <v/>
      </c>
      <c r="I2710" s="16"/>
      <c r="J2710" s="16"/>
      <c r="K2710" s="16"/>
      <c r="L2710" s="16"/>
      <c r="M2710" s="15"/>
      <c r="N2710" s="15"/>
      <c r="O2710" s="16"/>
      <c r="P2710" s="16"/>
      <c r="Q2710" s="16"/>
      <c r="R2710" s="16"/>
      <c r="S2710" s="37" t="str">
        <f>IFERROR(__xludf.DUMMYFUNCTION("if(not(iserror(index(split(C2710, "" ""),2))), index(split(C2710, "" ""),1),"""")"),"")</f>
        <v/>
      </c>
      <c r="T2710" s="315" t="str">
        <f>IFERROR(__xludf.DUMMYFUNCTION("if(S2710="""",C2710,if(not(iserror(index(split(C2710, "" ""),3))), index(split(C2710, "" ""),3),index(split(C2710, "" ""),2)))"),"")</f>
        <v/>
      </c>
      <c r="U2710" s="38" t="b">
        <f t="shared" si="34"/>
        <v>0</v>
      </c>
      <c r="V2710" s="38"/>
      <c r="W2710" s="40"/>
      <c r="X2710" s="40"/>
      <c r="Y2710" s="38"/>
      <c r="Z2710" s="38"/>
      <c r="AA2710" s="38"/>
      <c r="AB2710" s="38"/>
      <c r="AC2710" s="38"/>
      <c r="AD2710" s="38"/>
      <c r="AE2710" s="38"/>
      <c r="AF2710" s="38"/>
      <c r="AG2710" s="38"/>
      <c r="AH2710" s="38"/>
      <c r="AI2710" s="38"/>
      <c r="AJ2710" s="38"/>
      <c r="AK2710" s="38"/>
      <c r="AL2710" s="38"/>
      <c r="AM2710" s="38"/>
      <c r="AN2710" s="38"/>
      <c r="AO2710" s="38"/>
      <c r="AP2710" s="38"/>
      <c r="AQ2710" s="38"/>
      <c r="AR2710" s="38"/>
      <c r="AS2710" s="38"/>
      <c r="AT2710" s="38"/>
      <c r="AU2710" s="38"/>
      <c r="AV2710" s="38"/>
      <c r="AW2710" s="38"/>
      <c r="AX2710" s="38"/>
      <c r="AY2710" s="38"/>
      <c r="AZ2710" s="38"/>
      <c r="BA2710" s="38"/>
      <c r="BB2710" s="38"/>
      <c r="BC2710" s="38"/>
      <c r="BD2710" s="38"/>
      <c r="BE2710" s="38"/>
      <c r="BF2710" s="38"/>
      <c r="BG2710" s="38"/>
      <c r="BH2710" s="38"/>
      <c r="BI2710" s="38"/>
      <c r="BJ2710" s="38"/>
      <c r="BK2710" s="38"/>
      <c r="BL2710" s="38"/>
      <c r="BM2710" s="38"/>
      <c r="BN2710" s="38"/>
      <c r="BO2710" s="38"/>
      <c r="BP2710" s="38"/>
      <c r="BQ2710" s="38"/>
    </row>
    <row r="2711">
      <c r="A2711" s="16"/>
      <c r="B2711" s="16"/>
      <c r="C2711" s="146"/>
      <c r="D2711" s="146"/>
      <c r="E2711" s="16"/>
      <c r="F2711" s="91"/>
      <c r="G2711" s="16"/>
      <c r="H2711" s="320" t="str">
        <f t="shared" si="33"/>
        <v/>
      </c>
      <c r="I2711" s="16"/>
      <c r="J2711" s="16"/>
      <c r="K2711" s="16"/>
      <c r="L2711" s="16"/>
      <c r="M2711" s="15"/>
      <c r="N2711" s="15"/>
      <c r="O2711" s="16"/>
      <c r="P2711" s="16"/>
      <c r="Q2711" s="16"/>
      <c r="R2711" s="16"/>
      <c r="S2711" s="37" t="str">
        <f>IFERROR(__xludf.DUMMYFUNCTION("if(not(iserror(index(split(C2711, "" ""),2))), index(split(C2711, "" ""),1),"""")"),"")</f>
        <v/>
      </c>
      <c r="T2711" s="315" t="str">
        <f>IFERROR(__xludf.DUMMYFUNCTION("if(S2711="""",C2711,if(not(iserror(index(split(C2711, "" ""),3))), index(split(C2711, "" ""),3),index(split(C2711, "" ""),2)))"),"")</f>
        <v/>
      </c>
      <c r="U2711" s="38" t="b">
        <f t="shared" si="34"/>
        <v>0</v>
      </c>
      <c r="V2711" s="38"/>
      <c r="W2711" s="40"/>
      <c r="X2711" s="40"/>
      <c r="Y2711" s="38"/>
      <c r="Z2711" s="38"/>
      <c r="AA2711" s="38"/>
      <c r="AB2711" s="38"/>
      <c r="AC2711" s="38"/>
      <c r="AD2711" s="38"/>
      <c r="AE2711" s="38"/>
      <c r="AF2711" s="38"/>
      <c r="AG2711" s="38"/>
      <c r="AH2711" s="38"/>
      <c r="AI2711" s="38"/>
      <c r="AJ2711" s="38"/>
      <c r="AK2711" s="38"/>
      <c r="AL2711" s="38"/>
      <c r="AM2711" s="38"/>
      <c r="AN2711" s="38"/>
      <c r="AO2711" s="38"/>
      <c r="AP2711" s="38"/>
      <c r="AQ2711" s="38"/>
      <c r="AR2711" s="38"/>
      <c r="AS2711" s="38"/>
      <c r="AT2711" s="38"/>
      <c r="AU2711" s="38"/>
      <c r="AV2711" s="38"/>
      <c r="AW2711" s="38"/>
      <c r="AX2711" s="38"/>
      <c r="AY2711" s="38"/>
      <c r="AZ2711" s="38"/>
      <c r="BA2711" s="38"/>
      <c r="BB2711" s="38"/>
      <c r="BC2711" s="38"/>
      <c r="BD2711" s="38"/>
      <c r="BE2711" s="38"/>
      <c r="BF2711" s="38"/>
      <c r="BG2711" s="38"/>
      <c r="BH2711" s="38"/>
      <c r="BI2711" s="38"/>
      <c r="BJ2711" s="38"/>
      <c r="BK2711" s="38"/>
      <c r="BL2711" s="38"/>
      <c r="BM2711" s="38"/>
      <c r="BN2711" s="38"/>
      <c r="BO2711" s="38"/>
      <c r="BP2711" s="38"/>
      <c r="BQ2711" s="38"/>
    </row>
    <row r="2712">
      <c r="A2712" s="16"/>
      <c r="B2712" s="16"/>
      <c r="C2712" s="146"/>
      <c r="D2712" s="146"/>
      <c r="E2712" s="16"/>
      <c r="F2712" s="91"/>
      <c r="G2712" s="16"/>
      <c r="H2712" s="320" t="str">
        <f t="shared" si="33"/>
        <v/>
      </c>
      <c r="I2712" s="16"/>
      <c r="J2712" s="16"/>
      <c r="K2712" s="16"/>
      <c r="L2712" s="16"/>
      <c r="M2712" s="15"/>
      <c r="N2712" s="15"/>
      <c r="O2712" s="16"/>
      <c r="P2712" s="16"/>
      <c r="Q2712" s="16"/>
      <c r="R2712" s="16"/>
      <c r="S2712" s="37" t="str">
        <f>IFERROR(__xludf.DUMMYFUNCTION("if(not(iserror(index(split(C2712, "" ""),2))), index(split(C2712, "" ""),1),"""")"),"")</f>
        <v/>
      </c>
      <c r="T2712" s="315" t="str">
        <f>IFERROR(__xludf.DUMMYFUNCTION("if(S2712="""",C2712,if(not(iserror(index(split(C2712, "" ""),3))), index(split(C2712, "" ""),3),index(split(C2712, "" ""),2)))"),"")</f>
        <v/>
      </c>
      <c r="U2712" s="38" t="b">
        <f t="shared" si="34"/>
        <v>0</v>
      </c>
      <c r="V2712" s="38"/>
      <c r="W2712" s="40"/>
      <c r="X2712" s="40"/>
      <c r="Y2712" s="38"/>
      <c r="Z2712" s="38"/>
      <c r="AA2712" s="38"/>
      <c r="AB2712" s="38"/>
      <c r="AC2712" s="38"/>
      <c r="AD2712" s="38"/>
      <c r="AE2712" s="38"/>
      <c r="AF2712" s="38"/>
      <c r="AG2712" s="38"/>
      <c r="AH2712" s="38"/>
      <c r="AI2712" s="38"/>
      <c r="AJ2712" s="38"/>
      <c r="AK2712" s="38"/>
      <c r="AL2712" s="38"/>
      <c r="AM2712" s="38"/>
      <c r="AN2712" s="38"/>
      <c r="AO2712" s="38"/>
      <c r="AP2712" s="38"/>
      <c r="AQ2712" s="38"/>
      <c r="AR2712" s="38"/>
      <c r="AS2712" s="38"/>
      <c r="AT2712" s="38"/>
      <c r="AU2712" s="38"/>
      <c r="AV2712" s="38"/>
      <c r="AW2712" s="38"/>
      <c r="AX2712" s="38"/>
      <c r="AY2712" s="38"/>
      <c r="AZ2712" s="38"/>
      <c r="BA2712" s="38"/>
      <c r="BB2712" s="38"/>
      <c r="BC2712" s="38"/>
      <c r="BD2712" s="38"/>
      <c r="BE2712" s="38"/>
      <c r="BF2712" s="38"/>
      <c r="BG2712" s="38"/>
      <c r="BH2712" s="38"/>
      <c r="BI2712" s="38"/>
      <c r="BJ2712" s="38"/>
      <c r="BK2712" s="38"/>
      <c r="BL2712" s="38"/>
      <c r="BM2712" s="38"/>
      <c r="BN2712" s="38"/>
      <c r="BO2712" s="38"/>
      <c r="BP2712" s="38"/>
      <c r="BQ2712" s="38"/>
    </row>
    <row r="2713">
      <c r="A2713" s="16"/>
      <c r="B2713" s="16"/>
      <c r="C2713" s="146"/>
      <c r="D2713" s="146"/>
      <c r="E2713" s="16"/>
      <c r="F2713" s="91"/>
      <c r="G2713" s="16"/>
      <c r="H2713" s="320" t="str">
        <f t="shared" si="33"/>
        <v/>
      </c>
      <c r="I2713" s="16"/>
      <c r="J2713" s="16"/>
      <c r="K2713" s="16"/>
      <c r="L2713" s="16"/>
      <c r="M2713" s="15"/>
      <c r="N2713" s="15"/>
      <c r="O2713" s="16"/>
      <c r="P2713" s="16"/>
      <c r="Q2713" s="16"/>
      <c r="R2713" s="16"/>
      <c r="S2713" s="37" t="str">
        <f>IFERROR(__xludf.DUMMYFUNCTION("if(not(iserror(index(split(C2713, "" ""),2))), index(split(C2713, "" ""),1),"""")"),"")</f>
        <v/>
      </c>
      <c r="T2713" s="315" t="str">
        <f>IFERROR(__xludf.DUMMYFUNCTION("if(S2713="""",C2713,if(not(iserror(index(split(C2713, "" ""),3))), index(split(C2713, "" ""),3),index(split(C2713, "" ""),2)))"),"")</f>
        <v/>
      </c>
      <c r="U2713" s="38" t="b">
        <f t="shared" si="34"/>
        <v>0</v>
      </c>
      <c r="V2713" s="38"/>
      <c r="W2713" s="40"/>
      <c r="X2713" s="40"/>
      <c r="Y2713" s="38"/>
      <c r="Z2713" s="38"/>
      <c r="AA2713" s="38"/>
      <c r="AB2713" s="38"/>
      <c r="AC2713" s="38"/>
      <c r="AD2713" s="38"/>
      <c r="AE2713" s="38"/>
      <c r="AF2713" s="38"/>
      <c r="AG2713" s="38"/>
      <c r="AH2713" s="38"/>
      <c r="AI2713" s="38"/>
      <c r="AJ2713" s="38"/>
      <c r="AK2713" s="38"/>
      <c r="AL2713" s="38"/>
      <c r="AM2713" s="38"/>
      <c r="AN2713" s="38"/>
      <c r="AO2713" s="38"/>
      <c r="AP2713" s="38"/>
      <c r="AQ2713" s="38"/>
      <c r="AR2713" s="38"/>
      <c r="AS2713" s="38"/>
      <c r="AT2713" s="38"/>
      <c r="AU2713" s="38"/>
      <c r="AV2713" s="38"/>
      <c r="AW2713" s="38"/>
      <c r="AX2713" s="38"/>
      <c r="AY2713" s="38"/>
      <c r="AZ2713" s="38"/>
      <c r="BA2713" s="38"/>
      <c r="BB2713" s="38"/>
      <c r="BC2713" s="38"/>
      <c r="BD2713" s="38"/>
      <c r="BE2713" s="38"/>
      <c r="BF2713" s="38"/>
      <c r="BG2713" s="38"/>
      <c r="BH2713" s="38"/>
      <c r="BI2713" s="38"/>
      <c r="BJ2713" s="38"/>
      <c r="BK2713" s="38"/>
      <c r="BL2713" s="38"/>
      <c r="BM2713" s="38"/>
      <c r="BN2713" s="38"/>
      <c r="BO2713" s="38"/>
      <c r="BP2713" s="38"/>
      <c r="BQ2713" s="38"/>
    </row>
    <row r="2714">
      <c r="A2714" s="16"/>
      <c r="B2714" s="16"/>
      <c r="C2714" s="146"/>
      <c r="D2714" s="146"/>
      <c r="E2714" s="16"/>
      <c r="F2714" s="91"/>
      <c r="G2714" s="16"/>
      <c r="H2714" s="320" t="str">
        <f t="shared" si="33"/>
        <v/>
      </c>
      <c r="I2714" s="16"/>
      <c r="J2714" s="16"/>
      <c r="K2714" s="16"/>
      <c r="L2714" s="16"/>
      <c r="M2714" s="15"/>
      <c r="N2714" s="15"/>
      <c r="O2714" s="16"/>
      <c r="P2714" s="16"/>
      <c r="Q2714" s="16"/>
      <c r="R2714" s="16"/>
      <c r="S2714" s="37" t="str">
        <f>IFERROR(__xludf.DUMMYFUNCTION("if(not(iserror(index(split(C2714, "" ""),2))), index(split(C2714, "" ""),1),"""")"),"")</f>
        <v/>
      </c>
      <c r="T2714" s="315" t="str">
        <f>IFERROR(__xludf.DUMMYFUNCTION("if(S2714="""",C2714,if(not(iserror(index(split(C2714, "" ""),3))), index(split(C2714, "" ""),3),index(split(C2714, "" ""),2)))"),"")</f>
        <v/>
      </c>
      <c r="U2714" s="38" t="b">
        <f t="shared" si="34"/>
        <v>0</v>
      </c>
      <c r="V2714" s="38"/>
      <c r="W2714" s="40"/>
      <c r="X2714" s="40"/>
      <c r="Y2714" s="38"/>
      <c r="Z2714" s="38"/>
      <c r="AA2714" s="38"/>
      <c r="AB2714" s="38"/>
      <c r="AC2714" s="38"/>
      <c r="AD2714" s="38"/>
      <c r="AE2714" s="38"/>
      <c r="AF2714" s="38"/>
      <c r="AG2714" s="38"/>
      <c r="AH2714" s="38"/>
      <c r="AI2714" s="38"/>
      <c r="AJ2714" s="38"/>
      <c r="AK2714" s="38"/>
      <c r="AL2714" s="38"/>
      <c r="AM2714" s="38"/>
      <c r="AN2714" s="38"/>
      <c r="AO2714" s="38"/>
      <c r="AP2714" s="38"/>
      <c r="AQ2714" s="38"/>
      <c r="AR2714" s="38"/>
      <c r="AS2714" s="38"/>
      <c r="AT2714" s="38"/>
      <c r="AU2714" s="38"/>
      <c r="AV2714" s="38"/>
      <c r="AW2714" s="38"/>
      <c r="AX2714" s="38"/>
      <c r="AY2714" s="38"/>
      <c r="AZ2714" s="38"/>
      <c r="BA2714" s="38"/>
      <c r="BB2714" s="38"/>
      <c r="BC2714" s="38"/>
      <c r="BD2714" s="38"/>
      <c r="BE2714" s="38"/>
      <c r="BF2714" s="38"/>
      <c r="BG2714" s="38"/>
      <c r="BH2714" s="38"/>
      <c r="BI2714" s="38"/>
      <c r="BJ2714" s="38"/>
      <c r="BK2714" s="38"/>
      <c r="BL2714" s="38"/>
      <c r="BM2714" s="38"/>
      <c r="BN2714" s="38"/>
      <c r="BO2714" s="38"/>
      <c r="BP2714" s="38"/>
      <c r="BQ2714" s="38"/>
    </row>
    <row r="2715">
      <c r="A2715" s="16"/>
      <c r="B2715" s="16"/>
      <c r="C2715" s="146"/>
      <c r="D2715" s="146"/>
      <c r="E2715" s="16"/>
      <c r="F2715" s="91"/>
      <c r="G2715" s="16"/>
      <c r="H2715" s="320" t="str">
        <f t="shared" si="33"/>
        <v/>
      </c>
      <c r="I2715" s="16"/>
      <c r="J2715" s="16"/>
      <c r="K2715" s="16"/>
      <c r="L2715" s="16"/>
      <c r="M2715" s="15"/>
      <c r="N2715" s="15"/>
      <c r="O2715" s="16"/>
      <c r="P2715" s="16"/>
      <c r="Q2715" s="16"/>
      <c r="R2715" s="16"/>
      <c r="S2715" s="37" t="str">
        <f>IFERROR(__xludf.DUMMYFUNCTION("if(not(iserror(index(split(C2715, "" ""),2))), index(split(C2715, "" ""),1),"""")"),"")</f>
        <v/>
      </c>
      <c r="T2715" s="315" t="str">
        <f>IFERROR(__xludf.DUMMYFUNCTION("if(S2715="""",C2715,if(not(iserror(index(split(C2715, "" ""),3))), index(split(C2715, "" ""),3),index(split(C2715, "" ""),2)))"),"")</f>
        <v/>
      </c>
      <c r="U2715" s="38" t="b">
        <f t="shared" si="34"/>
        <v>0</v>
      </c>
      <c r="V2715" s="38"/>
      <c r="W2715" s="40"/>
      <c r="X2715" s="40"/>
      <c r="Y2715" s="38"/>
      <c r="Z2715" s="38"/>
      <c r="AA2715" s="38"/>
      <c r="AB2715" s="38"/>
      <c r="AC2715" s="38"/>
      <c r="AD2715" s="38"/>
      <c r="AE2715" s="38"/>
      <c r="AF2715" s="38"/>
      <c r="AG2715" s="38"/>
      <c r="AH2715" s="38"/>
      <c r="AI2715" s="38"/>
      <c r="AJ2715" s="38"/>
      <c r="AK2715" s="38"/>
      <c r="AL2715" s="38"/>
      <c r="AM2715" s="38"/>
      <c r="AN2715" s="38"/>
      <c r="AO2715" s="38"/>
      <c r="AP2715" s="38"/>
      <c r="AQ2715" s="38"/>
      <c r="AR2715" s="38"/>
      <c r="AS2715" s="38"/>
      <c r="AT2715" s="38"/>
      <c r="AU2715" s="38"/>
      <c r="AV2715" s="38"/>
      <c r="AW2715" s="38"/>
      <c r="AX2715" s="38"/>
      <c r="AY2715" s="38"/>
      <c r="AZ2715" s="38"/>
      <c r="BA2715" s="38"/>
      <c r="BB2715" s="38"/>
      <c r="BC2715" s="38"/>
      <c r="BD2715" s="38"/>
      <c r="BE2715" s="38"/>
      <c r="BF2715" s="38"/>
      <c r="BG2715" s="38"/>
      <c r="BH2715" s="38"/>
      <c r="BI2715" s="38"/>
      <c r="BJ2715" s="38"/>
      <c r="BK2715" s="38"/>
      <c r="BL2715" s="38"/>
      <c r="BM2715" s="38"/>
      <c r="BN2715" s="38"/>
      <c r="BO2715" s="38"/>
      <c r="BP2715" s="38"/>
      <c r="BQ2715" s="38"/>
    </row>
    <row r="2716">
      <c r="A2716" s="16"/>
      <c r="B2716" s="16"/>
      <c r="C2716" s="146"/>
      <c r="D2716" s="146"/>
      <c r="E2716" s="16"/>
      <c r="F2716" s="91"/>
      <c r="G2716" s="16"/>
      <c r="H2716" s="320" t="str">
        <f t="shared" si="33"/>
        <v/>
      </c>
      <c r="I2716" s="16"/>
      <c r="J2716" s="16"/>
      <c r="K2716" s="16"/>
      <c r="L2716" s="16"/>
      <c r="M2716" s="15"/>
      <c r="N2716" s="15"/>
      <c r="O2716" s="16"/>
      <c r="P2716" s="16"/>
      <c r="Q2716" s="16"/>
      <c r="R2716" s="16"/>
      <c r="S2716" s="37" t="str">
        <f>IFERROR(__xludf.DUMMYFUNCTION("if(not(iserror(index(split(C2716, "" ""),2))), index(split(C2716, "" ""),1),"""")"),"")</f>
        <v/>
      </c>
      <c r="T2716" s="315" t="str">
        <f>IFERROR(__xludf.DUMMYFUNCTION("if(S2716="""",C2716,if(not(iserror(index(split(C2716, "" ""),3))), index(split(C2716, "" ""),3),index(split(C2716, "" ""),2)))"),"")</f>
        <v/>
      </c>
      <c r="U2716" s="38" t="b">
        <f t="shared" si="34"/>
        <v>0</v>
      </c>
      <c r="V2716" s="38"/>
      <c r="W2716" s="40"/>
      <c r="X2716" s="40"/>
      <c r="Y2716" s="38"/>
      <c r="Z2716" s="38"/>
      <c r="AA2716" s="38"/>
      <c r="AB2716" s="38"/>
      <c r="AC2716" s="38"/>
      <c r="AD2716" s="38"/>
      <c r="AE2716" s="38"/>
      <c r="AF2716" s="38"/>
      <c r="AG2716" s="38"/>
      <c r="AH2716" s="38"/>
      <c r="AI2716" s="38"/>
      <c r="AJ2716" s="38"/>
      <c r="AK2716" s="38"/>
      <c r="AL2716" s="38"/>
      <c r="AM2716" s="38"/>
      <c r="AN2716" s="38"/>
      <c r="AO2716" s="38"/>
      <c r="AP2716" s="38"/>
      <c r="AQ2716" s="38"/>
      <c r="AR2716" s="38"/>
      <c r="AS2716" s="38"/>
      <c r="AT2716" s="38"/>
      <c r="AU2716" s="38"/>
      <c r="AV2716" s="38"/>
      <c r="AW2716" s="38"/>
      <c r="AX2716" s="38"/>
      <c r="AY2716" s="38"/>
      <c r="AZ2716" s="38"/>
      <c r="BA2716" s="38"/>
      <c r="BB2716" s="38"/>
      <c r="BC2716" s="38"/>
      <c r="BD2716" s="38"/>
      <c r="BE2716" s="38"/>
      <c r="BF2716" s="38"/>
      <c r="BG2716" s="38"/>
      <c r="BH2716" s="38"/>
      <c r="BI2716" s="38"/>
      <c r="BJ2716" s="38"/>
      <c r="BK2716" s="38"/>
      <c r="BL2716" s="38"/>
      <c r="BM2716" s="38"/>
      <c r="BN2716" s="38"/>
      <c r="BO2716" s="38"/>
      <c r="BP2716" s="38"/>
      <c r="BQ2716" s="38"/>
    </row>
    <row r="2717">
      <c r="A2717" s="16"/>
      <c r="B2717" s="16"/>
      <c r="C2717" s="146"/>
      <c r="D2717" s="146"/>
      <c r="E2717" s="16"/>
      <c r="F2717" s="91"/>
      <c r="G2717" s="16"/>
      <c r="H2717" s="320" t="str">
        <f t="shared" si="33"/>
        <v/>
      </c>
      <c r="I2717" s="16"/>
      <c r="J2717" s="16"/>
      <c r="K2717" s="16"/>
      <c r="L2717" s="16"/>
      <c r="M2717" s="15"/>
      <c r="N2717" s="15"/>
      <c r="O2717" s="16"/>
      <c r="P2717" s="16"/>
      <c r="Q2717" s="16"/>
      <c r="R2717" s="16"/>
      <c r="S2717" s="37" t="str">
        <f>IFERROR(__xludf.DUMMYFUNCTION("if(not(iserror(index(split(C2717, "" ""),2))), index(split(C2717, "" ""),1),"""")"),"")</f>
        <v/>
      </c>
      <c r="T2717" s="315" t="str">
        <f>IFERROR(__xludf.DUMMYFUNCTION("if(S2717="""",C2717,if(not(iserror(index(split(C2717, "" ""),3))), index(split(C2717, "" ""),3),index(split(C2717, "" ""),2)))"),"")</f>
        <v/>
      </c>
      <c r="U2717" s="38" t="b">
        <f t="shared" si="34"/>
        <v>0</v>
      </c>
      <c r="V2717" s="38"/>
      <c r="W2717" s="40"/>
      <c r="X2717" s="40"/>
      <c r="Y2717" s="38"/>
      <c r="Z2717" s="38"/>
      <c r="AA2717" s="38"/>
      <c r="AB2717" s="38"/>
      <c r="AC2717" s="38"/>
      <c r="AD2717" s="38"/>
      <c r="AE2717" s="38"/>
      <c r="AF2717" s="38"/>
      <c r="AG2717" s="38"/>
      <c r="AH2717" s="38"/>
      <c r="AI2717" s="38"/>
      <c r="AJ2717" s="38"/>
      <c r="AK2717" s="38"/>
      <c r="AL2717" s="38"/>
      <c r="AM2717" s="38"/>
      <c r="AN2717" s="38"/>
      <c r="AO2717" s="38"/>
      <c r="AP2717" s="38"/>
      <c r="AQ2717" s="38"/>
      <c r="AR2717" s="38"/>
      <c r="AS2717" s="38"/>
      <c r="AT2717" s="38"/>
      <c r="AU2717" s="38"/>
      <c r="AV2717" s="38"/>
      <c r="AW2717" s="38"/>
      <c r="AX2717" s="38"/>
      <c r="AY2717" s="38"/>
      <c r="AZ2717" s="38"/>
      <c r="BA2717" s="38"/>
      <c r="BB2717" s="38"/>
      <c r="BC2717" s="38"/>
      <c r="BD2717" s="38"/>
      <c r="BE2717" s="38"/>
      <c r="BF2717" s="38"/>
      <c r="BG2717" s="38"/>
      <c r="BH2717" s="38"/>
      <c r="BI2717" s="38"/>
      <c r="BJ2717" s="38"/>
      <c r="BK2717" s="38"/>
      <c r="BL2717" s="38"/>
      <c r="BM2717" s="38"/>
      <c r="BN2717" s="38"/>
      <c r="BO2717" s="38"/>
      <c r="BP2717" s="38"/>
      <c r="BQ2717" s="38"/>
    </row>
    <row r="2718">
      <c r="A2718" s="16"/>
      <c r="B2718" s="16"/>
      <c r="C2718" s="146"/>
      <c r="D2718" s="146"/>
      <c r="E2718" s="16"/>
      <c r="F2718" s="91"/>
      <c r="G2718" s="16"/>
      <c r="H2718" s="320" t="str">
        <f t="shared" si="33"/>
        <v/>
      </c>
      <c r="I2718" s="16"/>
      <c r="J2718" s="16"/>
      <c r="K2718" s="16"/>
      <c r="L2718" s="16"/>
      <c r="M2718" s="15"/>
      <c r="N2718" s="15"/>
      <c r="O2718" s="16"/>
      <c r="P2718" s="16"/>
      <c r="Q2718" s="16"/>
      <c r="R2718" s="16"/>
      <c r="S2718" s="37" t="str">
        <f>IFERROR(__xludf.DUMMYFUNCTION("if(not(iserror(index(split(C2718, "" ""),2))), index(split(C2718, "" ""),1),"""")"),"")</f>
        <v/>
      </c>
      <c r="T2718" s="315" t="str">
        <f>IFERROR(__xludf.DUMMYFUNCTION("if(S2718="""",C2718,if(not(iserror(index(split(C2718, "" ""),3))), index(split(C2718, "" ""),3),index(split(C2718, "" ""),2)))"),"")</f>
        <v/>
      </c>
      <c r="U2718" s="38" t="b">
        <f t="shared" si="34"/>
        <v>0</v>
      </c>
      <c r="V2718" s="38"/>
      <c r="W2718" s="40"/>
      <c r="X2718" s="40"/>
      <c r="Y2718" s="38"/>
      <c r="Z2718" s="38"/>
      <c r="AA2718" s="38"/>
      <c r="AB2718" s="38"/>
      <c r="AC2718" s="38"/>
      <c r="AD2718" s="38"/>
      <c r="AE2718" s="38"/>
      <c r="AF2718" s="38"/>
      <c r="AG2718" s="38"/>
      <c r="AH2718" s="38"/>
      <c r="AI2718" s="38"/>
      <c r="AJ2718" s="38"/>
      <c r="AK2718" s="38"/>
      <c r="AL2718" s="38"/>
      <c r="AM2718" s="38"/>
      <c r="AN2718" s="38"/>
      <c r="AO2718" s="38"/>
      <c r="AP2718" s="38"/>
      <c r="AQ2718" s="38"/>
      <c r="AR2718" s="38"/>
      <c r="AS2718" s="38"/>
      <c r="AT2718" s="38"/>
      <c r="AU2718" s="38"/>
      <c r="AV2718" s="38"/>
      <c r="AW2718" s="38"/>
      <c r="AX2718" s="38"/>
      <c r="AY2718" s="38"/>
      <c r="AZ2718" s="38"/>
      <c r="BA2718" s="38"/>
      <c r="BB2718" s="38"/>
      <c r="BC2718" s="38"/>
      <c r="BD2718" s="38"/>
      <c r="BE2718" s="38"/>
      <c r="BF2718" s="38"/>
      <c r="BG2718" s="38"/>
      <c r="BH2718" s="38"/>
      <c r="BI2718" s="38"/>
      <c r="BJ2718" s="38"/>
      <c r="BK2718" s="38"/>
      <c r="BL2718" s="38"/>
      <c r="BM2718" s="38"/>
      <c r="BN2718" s="38"/>
      <c r="BO2718" s="38"/>
      <c r="BP2718" s="38"/>
      <c r="BQ2718" s="38"/>
    </row>
    <row r="2719">
      <c r="A2719" s="16"/>
      <c r="B2719" s="16"/>
      <c r="C2719" s="146"/>
      <c r="D2719" s="146"/>
      <c r="E2719" s="16"/>
      <c r="F2719" s="91"/>
      <c r="G2719" s="16"/>
      <c r="H2719" s="320" t="str">
        <f t="shared" si="33"/>
        <v/>
      </c>
      <c r="I2719" s="16"/>
      <c r="J2719" s="16"/>
      <c r="K2719" s="16"/>
      <c r="L2719" s="16"/>
      <c r="M2719" s="15"/>
      <c r="N2719" s="15"/>
      <c r="O2719" s="16"/>
      <c r="P2719" s="16"/>
      <c r="Q2719" s="16"/>
      <c r="R2719" s="16"/>
      <c r="S2719" s="37" t="str">
        <f>IFERROR(__xludf.DUMMYFUNCTION("if(not(iserror(index(split(C2719, "" ""),2))), index(split(C2719, "" ""),1),"""")"),"")</f>
        <v/>
      </c>
      <c r="T2719" s="315" t="str">
        <f>IFERROR(__xludf.DUMMYFUNCTION("if(S2719="""",C2719,if(not(iserror(index(split(C2719, "" ""),3))), index(split(C2719, "" ""),3),index(split(C2719, "" ""),2)))"),"")</f>
        <v/>
      </c>
      <c r="U2719" s="38" t="b">
        <f t="shared" si="34"/>
        <v>0</v>
      </c>
      <c r="V2719" s="38"/>
      <c r="W2719" s="40"/>
      <c r="X2719" s="40"/>
      <c r="Y2719" s="38"/>
      <c r="Z2719" s="38"/>
      <c r="AA2719" s="38"/>
      <c r="AB2719" s="38"/>
      <c r="AC2719" s="38"/>
      <c r="AD2719" s="38"/>
      <c r="AE2719" s="38"/>
      <c r="AF2719" s="38"/>
      <c r="AG2719" s="38"/>
      <c r="AH2719" s="38"/>
      <c r="AI2719" s="38"/>
      <c r="AJ2719" s="38"/>
      <c r="AK2719" s="38"/>
      <c r="AL2719" s="38"/>
      <c r="AM2719" s="38"/>
      <c r="AN2719" s="38"/>
      <c r="AO2719" s="38"/>
      <c r="AP2719" s="38"/>
      <c r="AQ2719" s="38"/>
      <c r="AR2719" s="38"/>
      <c r="AS2719" s="38"/>
      <c r="AT2719" s="38"/>
      <c r="AU2719" s="38"/>
      <c r="AV2719" s="38"/>
      <c r="AW2719" s="38"/>
      <c r="AX2719" s="38"/>
      <c r="AY2719" s="38"/>
      <c r="AZ2719" s="38"/>
      <c r="BA2719" s="38"/>
      <c r="BB2719" s="38"/>
      <c r="BC2719" s="38"/>
      <c r="BD2719" s="38"/>
      <c r="BE2719" s="38"/>
      <c r="BF2719" s="38"/>
      <c r="BG2719" s="38"/>
      <c r="BH2719" s="38"/>
      <c r="BI2719" s="38"/>
      <c r="BJ2719" s="38"/>
      <c r="BK2719" s="38"/>
      <c r="BL2719" s="38"/>
      <c r="BM2719" s="38"/>
      <c r="BN2719" s="38"/>
      <c r="BO2719" s="38"/>
      <c r="BP2719" s="38"/>
      <c r="BQ2719" s="38"/>
    </row>
    <row r="2720">
      <c r="A2720" s="16"/>
      <c r="B2720" s="16"/>
      <c r="C2720" s="146"/>
      <c r="D2720" s="146"/>
      <c r="E2720" s="16"/>
      <c r="F2720" s="91"/>
      <c r="G2720" s="16"/>
      <c r="H2720" s="320" t="str">
        <f t="shared" si="33"/>
        <v/>
      </c>
      <c r="I2720" s="16"/>
      <c r="J2720" s="16"/>
      <c r="K2720" s="16"/>
      <c r="L2720" s="16"/>
      <c r="M2720" s="15"/>
      <c r="N2720" s="15"/>
      <c r="O2720" s="16"/>
      <c r="P2720" s="16"/>
      <c r="Q2720" s="16"/>
      <c r="R2720" s="16"/>
      <c r="S2720" s="37" t="str">
        <f>IFERROR(__xludf.DUMMYFUNCTION("if(not(iserror(index(split(C2720, "" ""),2))), index(split(C2720, "" ""),1),"""")"),"")</f>
        <v/>
      </c>
      <c r="T2720" s="315" t="str">
        <f>IFERROR(__xludf.DUMMYFUNCTION("if(S2720="""",C2720,if(not(iserror(index(split(C2720, "" ""),3))), index(split(C2720, "" ""),3),index(split(C2720, "" ""),2)))"),"")</f>
        <v/>
      </c>
      <c r="U2720" s="38" t="b">
        <f t="shared" si="34"/>
        <v>0</v>
      </c>
      <c r="V2720" s="38"/>
      <c r="W2720" s="40"/>
      <c r="X2720" s="40"/>
      <c r="Y2720" s="38"/>
      <c r="Z2720" s="38"/>
      <c r="AA2720" s="38"/>
      <c r="AB2720" s="38"/>
      <c r="AC2720" s="38"/>
      <c r="AD2720" s="38"/>
      <c r="AE2720" s="38"/>
      <c r="AF2720" s="38"/>
      <c r="AG2720" s="38"/>
      <c r="AH2720" s="38"/>
      <c r="AI2720" s="38"/>
      <c r="AJ2720" s="38"/>
      <c r="AK2720" s="38"/>
      <c r="AL2720" s="38"/>
      <c r="AM2720" s="38"/>
      <c r="AN2720" s="38"/>
      <c r="AO2720" s="38"/>
      <c r="AP2720" s="38"/>
      <c r="AQ2720" s="38"/>
      <c r="AR2720" s="38"/>
      <c r="AS2720" s="38"/>
      <c r="AT2720" s="38"/>
      <c r="AU2720" s="38"/>
      <c r="AV2720" s="38"/>
      <c r="AW2720" s="38"/>
      <c r="AX2720" s="38"/>
      <c r="AY2720" s="38"/>
      <c r="AZ2720" s="38"/>
      <c r="BA2720" s="38"/>
      <c r="BB2720" s="38"/>
      <c r="BC2720" s="38"/>
      <c r="BD2720" s="38"/>
      <c r="BE2720" s="38"/>
      <c r="BF2720" s="38"/>
      <c r="BG2720" s="38"/>
      <c r="BH2720" s="38"/>
      <c r="BI2720" s="38"/>
      <c r="BJ2720" s="38"/>
      <c r="BK2720" s="38"/>
      <c r="BL2720" s="38"/>
      <c r="BM2720" s="38"/>
      <c r="BN2720" s="38"/>
      <c r="BO2720" s="38"/>
      <c r="BP2720" s="38"/>
      <c r="BQ2720" s="38"/>
    </row>
    <row r="2721">
      <c r="A2721" s="16"/>
      <c r="B2721" s="16"/>
      <c r="C2721" s="146"/>
      <c r="D2721" s="146"/>
      <c r="E2721" s="16"/>
      <c r="F2721" s="91"/>
      <c r="G2721" s="16"/>
      <c r="H2721" s="320" t="str">
        <f t="shared" si="33"/>
        <v/>
      </c>
      <c r="I2721" s="16"/>
      <c r="J2721" s="16"/>
      <c r="K2721" s="16"/>
      <c r="L2721" s="16"/>
      <c r="M2721" s="15"/>
      <c r="N2721" s="15"/>
      <c r="O2721" s="16"/>
      <c r="P2721" s="16"/>
      <c r="Q2721" s="16"/>
      <c r="R2721" s="16"/>
      <c r="S2721" s="37" t="str">
        <f>IFERROR(__xludf.DUMMYFUNCTION("if(not(iserror(index(split(C2721, "" ""),2))), index(split(C2721, "" ""),1),"""")"),"")</f>
        <v/>
      </c>
      <c r="T2721" s="315" t="str">
        <f>IFERROR(__xludf.DUMMYFUNCTION("if(S2721="""",C2721,if(not(iserror(index(split(C2721, "" ""),3))), index(split(C2721, "" ""),3),index(split(C2721, "" ""),2)))"),"")</f>
        <v/>
      </c>
      <c r="U2721" s="38" t="b">
        <f t="shared" si="34"/>
        <v>0</v>
      </c>
      <c r="V2721" s="38"/>
      <c r="W2721" s="40"/>
      <c r="X2721" s="40"/>
      <c r="Y2721" s="38"/>
      <c r="Z2721" s="38"/>
      <c r="AA2721" s="38"/>
      <c r="AB2721" s="38"/>
      <c r="AC2721" s="38"/>
      <c r="AD2721" s="38"/>
      <c r="AE2721" s="38"/>
      <c r="AF2721" s="38"/>
      <c r="AG2721" s="38"/>
      <c r="AH2721" s="38"/>
      <c r="AI2721" s="38"/>
      <c r="AJ2721" s="38"/>
      <c r="AK2721" s="38"/>
      <c r="AL2721" s="38"/>
      <c r="AM2721" s="38"/>
      <c r="AN2721" s="38"/>
      <c r="AO2721" s="38"/>
      <c r="AP2721" s="38"/>
      <c r="AQ2721" s="38"/>
      <c r="AR2721" s="38"/>
      <c r="AS2721" s="38"/>
      <c r="AT2721" s="38"/>
      <c r="AU2721" s="38"/>
      <c r="AV2721" s="38"/>
      <c r="AW2721" s="38"/>
      <c r="AX2721" s="38"/>
      <c r="AY2721" s="38"/>
      <c r="AZ2721" s="38"/>
      <c r="BA2721" s="38"/>
      <c r="BB2721" s="38"/>
      <c r="BC2721" s="38"/>
      <c r="BD2721" s="38"/>
      <c r="BE2721" s="38"/>
      <c r="BF2721" s="38"/>
      <c r="BG2721" s="38"/>
      <c r="BH2721" s="38"/>
      <c r="BI2721" s="38"/>
      <c r="BJ2721" s="38"/>
      <c r="BK2721" s="38"/>
      <c r="BL2721" s="38"/>
      <c r="BM2721" s="38"/>
      <c r="BN2721" s="38"/>
      <c r="BO2721" s="38"/>
      <c r="BP2721" s="38"/>
      <c r="BQ2721" s="38"/>
    </row>
    <row r="2722">
      <c r="A2722" s="16"/>
      <c r="B2722" s="16"/>
      <c r="C2722" s="146"/>
      <c r="D2722" s="146"/>
      <c r="E2722" s="16"/>
      <c r="F2722" s="91"/>
      <c r="G2722" s="16"/>
      <c r="H2722" s="320" t="str">
        <f t="shared" si="33"/>
        <v/>
      </c>
      <c r="I2722" s="16"/>
      <c r="J2722" s="16"/>
      <c r="K2722" s="16"/>
      <c r="L2722" s="16"/>
      <c r="M2722" s="15"/>
      <c r="N2722" s="15"/>
      <c r="O2722" s="16"/>
      <c r="P2722" s="16"/>
      <c r="Q2722" s="16"/>
      <c r="R2722" s="16"/>
      <c r="S2722" s="37" t="str">
        <f>IFERROR(__xludf.DUMMYFUNCTION("if(not(iserror(index(split(C2722, "" ""),2))), index(split(C2722, "" ""),1),"""")"),"")</f>
        <v/>
      </c>
      <c r="T2722" s="315" t="str">
        <f>IFERROR(__xludf.DUMMYFUNCTION("if(S2722="""",C2722,if(not(iserror(index(split(C2722, "" ""),3))), index(split(C2722, "" ""),3),index(split(C2722, "" ""),2)))"),"")</f>
        <v/>
      </c>
      <c r="U2722" s="38" t="b">
        <f t="shared" si="34"/>
        <v>0</v>
      </c>
      <c r="V2722" s="38"/>
      <c r="W2722" s="40"/>
      <c r="X2722" s="40"/>
      <c r="Y2722" s="38"/>
      <c r="Z2722" s="38"/>
      <c r="AA2722" s="38"/>
      <c r="AB2722" s="38"/>
      <c r="AC2722" s="38"/>
      <c r="AD2722" s="38"/>
      <c r="AE2722" s="38"/>
      <c r="AF2722" s="38"/>
      <c r="AG2722" s="38"/>
      <c r="AH2722" s="38"/>
      <c r="AI2722" s="38"/>
      <c r="AJ2722" s="38"/>
      <c r="AK2722" s="38"/>
      <c r="AL2722" s="38"/>
      <c r="AM2722" s="38"/>
      <c r="AN2722" s="38"/>
      <c r="AO2722" s="38"/>
      <c r="AP2722" s="38"/>
      <c r="AQ2722" s="38"/>
      <c r="AR2722" s="38"/>
      <c r="AS2722" s="38"/>
      <c r="AT2722" s="38"/>
      <c r="AU2722" s="38"/>
      <c r="AV2722" s="38"/>
      <c r="AW2722" s="38"/>
      <c r="AX2722" s="38"/>
      <c r="AY2722" s="38"/>
      <c r="AZ2722" s="38"/>
      <c r="BA2722" s="38"/>
      <c r="BB2722" s="38"/>
      <c r="BC2722" s="38"/>
      <c r="BD2722" s="38"/>
      <c r="BE2722" s="38"/>
      <c r="BF2722" s="38"/>
      <c r="BG2722" s="38"/>
      <c r="BH2722" s="38"/>
      <c r="BI2722" s="38"/>
      <c r="BJ2722" s="38"/>
      <c r="BK2722" s="38"/>
      <c r="BL2722" s="38"/>
      <c r="BM2722" s="38"/>
      <c r="BN2722" s="38"/>
      <c r="BO2722" s="38"/>
      <c r="BP2722" s="38"/>
      <c r="BQ2722" s="38"/>
    </row>
    <row r="2723">
      <c r="A2723" s="16"/>
      <c r="B2723" s="16"/>
      <c r="C2723" s="146"/>
      <c r="D2723" s="146"/>
      <c r="E2723" s="16"/>
      <c r="F2723" s="91"/>
      <c r="G2723" s="16"/>
      <c r="H2723" s="320" t="str">
        <f t="shared" si="33"/>
        <v/>
      </c>
      <c r="I2723" s="16"/>
      <c r="J2723" s="16"/>
      <c r="K2723" s="16"/>
      <c r="L2723" s="16"/>
      <c r="M2723" s="15"/>
      <c r="N2723" s="15"/>
      <c r="O2723" s="16"/>
      <c r="P2723" s="16"/>
      <c r="Q2723" s="16"/>
      <c r="R2723" s="16"/>
      <c r="S2723" s="37" t="str">
        <f>IFERROR(__xludf.DUMMYFUNCTION("if(not(iserror(index(split(C2723, "" ""),2))), index(split(C2723, "" ""),1),"""")"),"")</f>
        <v/>
      </c>
      <c r="T2723" s="315" t="str">
        <f>IFERROR(__xludf.DUMMYFUNCTION("if(S2723="""",C2723,if(not(iserror(index(split(C2723, "" ""),3))), index(split(C2723, "" ""),3),index(split(C2723, "" ""),2)))"),"")</f>
        <v/>
      </c>
      <c r="U2723" s="38" t="b">
        <f t="shared" si="34"/>
        <v>0</v>
      </c>
      <c r="V2723" s="38"/>
      <c r="W2723" s="40"/>
      <c r="X2723" s="40"/>
      <c r="Y2723" s="38"/>
      <c r="Z2723" s="38"/>
      <c r="AA2723" s="38"/>
      <c r="AB2723" s="38"/>
      <c r="AC2723" s="38"/>
      <c r="AD2723" s="38"/>
      <c r="AE2723" s="38"/>
      <c r="AF2723" s="38"/>
      <c r="AG2723" s="38"/>
      <c r="AH2723" s="38"/>
      <c r="AI2723" s="38"/>
      <c r="AJ2723" s="38"/>
      <c r="AK2723" s="38"/>
      <c r="AL2723" s="38"/>
      <c r="AM2723" s="38"/>
      <c r="AN2723" s="38"/>
      <c r="AO2723" s="38"/>
      <c r="AP2723" s="38"/>
      <c r="AQ2723" s="38"/>
      <c r="AR2723" s="38"/>
      <c r="AS2723" s="38"/>
      <c r="AT2723" s="38"/>
      <c r="AU2723" s="38"/>
      <c r="AV2723" s="38"/>
      <c r="AW2723" s="38"/>
      <c r="AX2723" s="38"/>
      <c r="AY2723" s="38"/>
      <c r="AZ2723" s="38"/>
      <c r="BA2723" s="38"/>
      <c r="BB2723" s="38"/>
      <c r="BC2723" s="38"/>
      <c r="BD2723" s="38"/>
      <c r="BE2723" s="38"/>
      <c r="BF2723" s="38"/>
      <c r="BG2723" s="38"/>
      <c r="BH2723" s="38"/>
      <c r="BI2723" s="38"/>
      <c r="BJ2723" s="38"/>
      <c r="BK2723" s="38"/>
      <c r="BL2723" s="38"/>
      <c r="BM2723" s="38"/>
      <c r="BN2723" s="38"/>
      <c r="BO2723" s="38"/>
      <c r="BP2723" s="38"/>
      <c r="BQ2723" s="38"/>
    </row>
    <row r="2724">
      <c r="A2724" s="16"/>
      <c r="B2724" s="16"/>
      <c r="C2724" s="146"/>
      <c r="D2724" s="146"/>
      <c r="E2724" s="16"/>
      <c r="F2724" s="91"/>
      <c r="G2724" s="16"/>
      <c r="H2724" s="320" t="str">
        <f t="shared" si="33"/>
        <v/>
      </c>
      <c r="I2724" s="16"/>
      <c r="J2724" s="16"/>
      <c r="K2724" s="16"/>
      <c r="L2724" s="16"/>
      <c r="M2724" s="15"/>
      <c r="N2724" s="15"/>
      <c r="O2724" s="16"/>
      <c r="P2724" s="16"/>
      <c r="Q2724" s="16"/>
      <c r="R2724" s="16"/>
      <c r="S2724" s="37" t="str">
        <f>IFERROR(__xludf.DUMMYFUNCTION("if(not(iserror(index(split(C2724, "" ""),2))), index(split(C2724, "" ""),1),"""")"),"")</f>
        <v/>
      </c>
      <c r="T2724" s="315" t="str">
        <f>IFERROR(__xludf.DUMMYFUNCTION("if(S2724="""",C2724,if(not(iserror(index(split(C2724, "" ""),3))), index(split(C2724, "" ""),3),index(split(C2724, "" ""),2)))"),"")</f>
        <v/>
      </c>
      <c r="U2724" s="38" t="b">
        <f t="shared" si="34"/>
        <v>0</v>
      </c>
      <c r="V2724" s="38"/>
      <c r="W2724" s="40"/>
      <c r="X2724" s="40"/>
      <c r="Y2724" s="38"/>
      <c r="Z2724" s="38"/>
      <c r="AA2724" s="38"/>
      <c r="AB2724" s="38"/>
      <c r="AC2724" s="38"/>
      <c r="AD2724" s="38"/>
      <c r="AE2724" s="38"/>
      <c r="AF2724" s="38"/>
      <c r="AG2724" s="38"/>
      <c r="AH2724" s="38"/>
      <c r="AI2724" s="38"/>
      <c r="AJ2724" s="38"/>
      <c r="AK2724" s="38"/>
      <c r="AL2724" s="38"/>
      <c r="AM2724" s="38"/>
      <c r="AN2724" s="38"/>
      <c r="AO2724" s="38"/>
      <c r="AP2724" s="38"/>
      <c r="AQ2724" s="38"/>
      <c r="AR2724" s="38"/>
      <c r="AS2724" s="38"/>
      <c r="AT2724" s="38"/>
      <c r="AU2724" s="38"/>
      <c r="AV2724" s="38"/>
      <c r="AW2724" s="38"/>
      <c r="AX2724" s="38"/>
      <c r="AY2724" s="38"/>
      <c r="AZ2724" s="38"/>
      <c r="BA2724" s="38"/>
      <c r="BB2724" s="38"/>
      <c r="BC2724" s="38"/>
      <c r="BD2724" s="38"/>
      <c r="BE2724" s="38"/>
      <c r="BF2724" s="38"/>
      <c r="BG2724" s="38"/>
      <c r="BH2724" s="38"/>
      <c r="BI2724" s="38"/>
      <c r="BJ2724" s="38"/>
      <c r="BK2724" s="38"/>
      <c r="BL2724" s="38"/>
      <c r="BM2724" s="38"/>
      <c r="BN2724" s="38"/>
      <c r="BO2724" s="38"/>
      <c r="BP2724" s="38"/>
      <c r="BQ2724" s="38"/>
    </row>
    <row r="2725">
      <c r="A2725" s="16"/>
      <c r="B2725" s="16"/>
      <c r="C2725" s="146"/>
      <c r="D2725" s="146"/>
      <c r="E2725" s="16"/>
      <c r="F2725" s="91"/>
      <c r="G2725" s="16"/>
      <c r="H2725" s="320" t="str">
        <f t="shared" si="33"/>
        <v/>
      </c>
      <c r="I2725" s="16"/>
      <c r="J2725" s="16"/>
      <c r="K2725" s="16"/>
      <c r="L2725" s="16"/>
      <c r="M2725" s="15"/>
      <c r="N2725" s="15"/>
      <c r="O2725" s="16"/>
      <c r="P2725" s="16"/>
      <c r="Q2725" s="16"/>
      <c r="R2725" s="16"/>
      <c r="S2725" s="37" t="str">
        <f>IFERROR(__xludf.DUMMYFUNCTION("if(not(iserror(index(split(C2725, "" ""),2))), index(split(C2725, "" ""),1),"""")"),"")</f>
        <v/>
      </c>
      <c r="T2725" s="315" t="str">
        <f>IFERROR(__xludf.DUMMYFUNCTION("if(S2725="""",C2725,if(not(iserror(index(split(C2725, "" ""),3))), index(split(C2725, "" ""),3),index(split(C2725, "" ""),2)))"),"")</f>
        <v/>
      </c>
      <c r="U2725" s="38" t="b">
        <f t="shared" si="34"/>
        <v>0</v>
      </c>
      <c r="V2725" s="38"/>
      <c r="W2725" s="40"/>
      <c r="X2725" s="40"/>
      <c r="Y2725" s="38"/>
      <c r="Z2725" s="38"/>
      <c r="AA2725" s="38"/>
      <c r="AB2725" s="38"/>
      <c r="AC2725" s="38"/>
      <c r="AD2725" s="38"/>
      <c r="AE2725" s="38"/>
      <c r="AF2725" s="38"/>
      <c r="AG2725" s="38"/>
      <c r="AH2725" s="38"/>
      <c r="AI2725" s="38"/>
      <c r="AJ2725" s="38"/>
      <c r="AK2725" s="38"/>
      <c r="AL2725" s="38"/>
      <c r="AM2725" s="38"/>
      <c r="AN2725" s="38"/>
      <c r="AO2725" s="38"/>
      <c r="AP2725" s="38"/>
      <c r="AQ2725" s="38"/>
      <c r="AR2725" s="38"/>
      <c r="AS2725" s="38"/>
      <c r="AT2725" s="38"/>
      <c r="AU2725" s="38"/>
      <c r="AV2725" s="38"/>
      <c r="AW2725" s="38"/>
      <c r="AX2725" s="38"/>
      <c r="AY2725" s="38"/>
      <c r="AZ2725" s="38"/>
      <c r="BA2725" s="38"/>
      <c r="BB2725" s="38"/>
      <c r="BC2725" s="38"/>
      <c r="BD2725" s="38"/>
      <c r="BE2725" s="38"/>
      <c r="BF2725" s="38"/>
      <c r="BG2725" s="38"/>
      <c r="BH2725" s="38"/>
      <c r="BI2725" s="38"/>
      <c r="BJ2725" s="38"/>
      <c r="BK2725" s="38"/>
      <c r="BL2725" s="38"/>
      <c r="BM2725" s="38"/>
      <c r="BN2725" s="38"/>
      <c r="BO2725" s="38"/>
      <c r="BP2725" s="38"/>
      <c r="BQ2725" s="38"/>
    </row>
    <row r="2726">
      <c r="A2726" s="16"/>
      <c r="B2726" s="16"/>
      <c r="C2726" s="146"/>
      <c r="D2726" s="146"/>
      <c r="E2726" s="16"/>
      <c r="F2726" s="91"/>
      <c r="G2726" s="16"/>
      <c r="H2726" s="320" t="str">
        <f t="shared" si="33"/>
        <v/>
      </c>
      <c r="I2726" s="16"/>
      <c r="J2726" s="16"/>
      <c r="K2726" s="16"/>
      <c r="L2726" s="16"/>
      <c r="M2726" s="15"/>
      <c r="N2726" s="15"/>
      <c r="O2726" s="16"/>
      <c r="P2726" s="16"/>
      <c r="Q2726" s="16"/>
      <c r="R2726" s="16"/>
      <c r="S2726" s="37" t="str">
        <f>IFERROR(__xludf.DUMMYFUNCTION("if(not(iserror(index(split(C2726, "" ""),2))), index(split(C2726, "" ""),1),"""")"),"")</f>
        <v/>
      </c>
      <c r="T2726" s="315" t="str">
        <f>IFERROR(__xludf.DUMMYFUNCTION("if(S2726="""",C2726,if(not(iserror(index(split(C2726, "" ""),3))), index(split(C2726, "" ""),3),index(split(C2726, "" ""),2)))"),"")</f>
        <v/>
      </c>
      <c r="U2726" s="38" t="b">
        <f t="shared" si="34"/>
        <v>0</v>
      </c>
      <c r="V2726" s="38"/>
      <c r="W2726" s="40"/>
      <c r="X2726" s="40"/>
      <c r="Y2726" s="38"/>
      <c r="Z2726" s="38"/>
      <c r="AA2726" s="38"/>
      <c r="AB2726" s="38"/>
      <c r="AC2726" s="38"/>
      <c r="AD2726" s="38"/>
      <c r="AE2726" s="38"/>
      <c r="AF2726" s="38"/>
      <c r="AG2726" s="38"/>
      <c r="AH2726" s="38"/>
      <c r="AI2726" s="38"/>
      <c r="AJ2726" s="38"/>
      <c r="AK2726" s="38"/>
      <c r="AL2726" s="38"/>
      <c r="AM2726" s="38"/>
      <c r="AN2726" s="38"/>
      <c r="AO2726" s="38"/>
      <c r="AP2726" s="38"/>
      <c r="AQ2726" s="38"/>
      <c r="AR2726" s="38"/>
      <c r="AS2726" s="38"/>
      <c r="AT2726" s="38"/>
      <c r="AU2726" s="38"/>
      <c r="AV2726" s="38"/>
      <c r="AW2726" s="38"/>
      <c r="AX2726" s="38"/>
      <c r="AY2726" s="38"/>
      <c r="AZ2726" s="38"/>
      <c r="BA2726" s="38"/>
      <c r="BB2726" s="38"/>
      <c r="BC2726" s="38"/>
      <c r="BD2726" s="38"/>
      <c r="BE2726" s="38"/>
      <c r="BF2726" s="38"/>
      <c r="BG2726" s="38"/>
      <c r="BH2726" s="38"/>
      <c r="BI2726" s="38"/>
      <c r="BJ2726" s="38"/>
      <c r="BK2726" s="38"/>
      <c r="BL2726" s="38"/>
      <c r="BM2726" s="38"/>
      <c r="BN2726" s="38"/>
      <c r="BO2726" s="38"/>
      <c r="BP2726" s="38"/>
      <c r="BQ2726" s="38"/>
    </row>
    <row r="2727">
      <c r="A2727" s="16"/>
      <c r="B2727" s="16"/>
      <c r="C2727" s="146"/>
      <c r="D2727" s="146"/>
      <c r="E2727" s="16"/>
      <c r="F2727" s="91"/>
      <c r="G2727" s="16"/>
      <c r="H2727" s="320" t="str">
        <f t="shared" si="33"/>
        <v/>
      </c>
      <c r="I2727" s="16"/>
      <c r="J2727" s="16"/>
      <c r="K2727" s="16"/>
      <c r="L2727" s="16"/>
      <c r="M2727" s="15"/>
      <c r="N2727" s="15"/>
      <c r="O2727" s="16"/>
      <c r="P2727" s="16"/>
      <c r="Q2727" s="16"/>
      <c r="R2727" s="16"/>
      <c r="S2727" s="37" t="str">
        <f>IFERROR(__xludf.DUMMYFUNCTION("if(not(iserror(index(split(C2727, "" ""),2))), index(split(C2727, "" ""),1),"""")"),"")</f>
        <v/>
      </c>
      <c r="T2727" s="315" t="str">
        <f>IFERROR(__xludf.DUMMYFUNCTION("if(S2727="""",C2727,if(not(iserror(index(split(C2727, "" ""),3))), index(split(C2727, "" ""),3),index(split(C2727, "" ""),2)))"),"")</f>
        <v/>
      </c>
      <c r="U2727" s="38" t="b">
        <f t="shared" si="34"/>
        <v>0</v>
      </c>
      <c r="V2727" s="38"/>
      <c r="W2727" s="40"/>
      <c r="X2727" s="40"/>
      <c r="Y2727" s="38"/>
      <c r="Z2727" s="38"/>
      <c r="AA2727" s="38"/>
      <c r="AB2727" s="38"/>
      <c r="AC2727" s="38"/>
      <c r="AD2727" s="38"/>
      <c r="AE2727" s="38"/>
      <c r="AF2727" s="38"/>
      <c r="AG2727" s="38"/>
      <c r="AH2727" s="38"/>
      <c r="AI2727" s="38"/>
      <c r="AJ2727" s="38"/>
      <c r="AK2727" s="38"/>
      <c r="AL2727" s="38"/>
      <c r="AM2727" s="38"/>
      <c r="AN2727" s="38"/>
      <c r="AO2727" s="38"/>
      <c r="AP2727" s="38"/>
      <c r="AQ2727" s="38"/>
      <c r="AR2727" s="38"/>
      <c r="AS2727" s="38"/>
      <c r="AT2727" s="38"/>
      <c r="AU2727" s="38"/>
      <c r="AV2727" s="38"/>
      <c r="AW2727" s="38"/>
      <c r="AX2727" s="38"/>
      <c r="AY2727" s="38"/>
      <c r="AZ2727" s="38"/>
      <c r="BA2727" s="38"/>
      <c r="BB2727" s="38"/>
      <c r="BC2727" s="38"/>
      <c r="BD2727" s="38"/>
      <c r="BE2727" s="38"/>
      <c r="BF2727" s="38"/>
      <c r="BG2727" s="38"/>
      <c r="BH2727" s="38"/>
      <c r="BI2727" s="38"/>
      <c r="BJ2727" s="38"/>
      <c r="BK2727" s="38"/>
      <c r="BL2727" s="38"/>
      <c r="BM2727" s="38"/>
      <c r="BN2727" s="38"/>
      <c r="BO2727" s="38"/>
      <c r="BP2727" s="38"/>
      <c r="BQ2727" s="38"/>
    </row>
    <row r="2728">
      <c r="A2728" s="16"/>
      <c r="B2728" s="16"/>
      <c r="C2728" s="146"/>
      <c r="D2728" s="146"/>
      <c r="E2728" s="16"/>
      <c r="F2728" s="91"/>
      <c r="G2728" s="16"/>
      <c r="H2728" s="320" t="str">
        <f t="shared" si="33"/>
        <v/>
      </c>
      <c r="I2728" s="16"/>
      <c r="J2728" s="16"/>
      <c r="K2728" s="16"/>
      <c r="L2728" s="16"/>
      <c r="M2728" s="15"/>
      <c r="N2728" s="15"/>
      <c r="O2728" s="16"/>
      <c r="P2728" s="16"/>
      <c r="Q2728" s="16"/>
      <c r="R2728" s="16"/>
      <c r="S2728" s="37" t="str">
        <f>IFERROR(__xludf.DUMMYFUNCTION("if(not(iserror(index(split(C2728, "" ""),2))), index(split(C2728, "" ""),1),"""")"),"")</f>
        <v/>
      </c>
      <c r="T2728" s="315" t="str">
        <f>IFERROR(__xludf.DUMMYFUNCTION("if(S2728="""",C2728,if(not(iserror(index(split(C2728, "" ""),3))), index(split(C2728, "" ""),3),index(split(C2728, "" ""),2)))"),"")</f>
        <v/>
      </c>
      <c r="U2728" s="38" t="b">
        <f t="shared" si="34"/>
        <v>0</v>
      </c>
      <c r="V2728" s="38"/>
      <c r="W2728" s="40"/>
      <c r="X2728" s="40"/>
      <c r="Y2728" s="38"/>
      <c r="Z2728" s="38"/>
      <c r="AA2728" s="38"/>
      <c r="AB2728" s="38"/>
      <c r="AC2728" s="38"/>
      <c r="AD2728" s="38"/>
      <c r="AE2728" s="38"/>
      <c r="AF2728" s="38"/>
      <c r="AG2728" s="38"/>
      <c r="AH2728" s="38"/>
      <c r="AI2728" s="38"/>
      <c r="AJ2728" s="38"/>
      <c r="AK2728" s="38"/>
      <c r="AL2728" s="38"/>
      <c r="AM2728" s="38"/>
      <c r="AN2728" s="38"/>
      <c r="AO2728" s="38"/>
      <c r="AP2728" s="38"/>
      <c r="AQ2728" s="38"/>
      <c r="AR2728" s="38"/>
      <c r="AS2728" s="38"/>
      <c r="AT2728" s="38"/>
      <c r="AU2728" s="38"/>
      <c r="AV2728" s="38"/>
      <c r="AW2728" s="38"/>
      <c r="AX2728" s="38"/>
      <c r="AY2728" s="38"/>
      <c r="AZ2728" s="38"/>
      <c r="BA2728" s="38"/>
      <c r="BB2728" s="38"/>
      <c r="BC2728" s="38"/>
      <c r="BD2728" s="38"/>
      <c r="BE2728" s="38"/>
      <c r="BF2728" s="38"/>
      <c r="BG2728" s="38"/>
      <c r="BH2728" s="38"/>
      <c r="BI2728" s="38"/>
      <c r="BJ2728" s="38"/>
      <c r="BK2728" s="38"/>
      <c r="BL2728" s="38"/>
      <c r="BM2728" s="38"/>
      <c r="BN2728" s="38"/>
      <c r="BO2728" s="38"/>
      <c r="BP2728" s="38"/>
      <c r="BQ2728" s="38"/>
    </row>
    <row r="2729">
      <c r="A2729" s="16"/>
      <c r="B2729" s="16"/>
      <c r="C2729" s="146"/>
      <c r="D2729" s="146"/>
      <c r="E2729" s="16"/>
      <c r="F2729" s="91"/>
      <c r="G2729" s="16"/>
      <c r="H2729" s="320" t="str">
        <f t="shared" si="33"/>
        <v/>
      </c>
      <c r="I2729" s="16"/>
      <c r="J2729" s="16"/>
      <c r="K2729" s="16"/>
      <c r="L2729" s="16"/>
      <c r="M2729" s="15"/>
      <c r="N2729" s="15"/>
      <c r="O2729" s="16"/>
      <c r="P2729" s="16"/>
      <c r="Q2729" s="16"/>
      <c r="R2729" s="16"/>
      <c r="S2729" s="37" t="str">
        <f>IFERROR(__xludf.DUMMYFUNCTION("if(not(iserror(index(split(C2729, "" ""),2))), index(split(C2729, "" ""),1),"""")"),"")</f>
        <v/>
      </c>
      <c r="T2729" s="315" t="str">
        <f>IFERROR(__xludf.DUMMYFUNCTION("if(S2729="""",C2729,if(not(iserror(index(split(C2729, "" ""),3))), index(split(C2729, "" ""),3),index(split(C2729, "" ""),2)))"),"")</f>
        <v/>
      </c>
      <c r="U2729" s="38" t="b">
        <f t="shared" si="34"/>
        <v>0</v>
      </c>
      <c r="V2729" s="38"/>
      <c r="W2729" s="40"/>
      <c r="X2729" s="40"/>
      <c r="Y2729" s="38"/>
      <c r="Z2729" s="38"/>
      <c r="AA2729" s="38"/>
      <c r="AB2729" s="38"/>
      <c r="AC2729" s="38"/>
      <c r="AD2729" s="38"/>
      <c r="AE2729" s="38"/>
      <c r="AF2729" s="38"/>
      <c r="AG2729" s="38"/>
      <c r="AH2729" s="38"/>
      <c r="AI2729" s="38"/>
      <c r="AJ2729" s="38"/>
      <c r="AK2729" s="38"/>
      <c r="AL2729" s="38"/>
      <c r="AM2729" s="38"/>
      <c r="AN2729" s="38"/>
      <c r="AO2729" s="38"/>
      <c r="AP2729" s="38"/>
      <c r="AQ2729" s="38"/>
      <c r="AR2729" s="38"/>
      <c r="AS2729" s="38"/>
      <c r="AT2729" s="38"/>
      <c r="AU2729" s="38"/>
      <c r="AV2729" s="38"/>
      <c r="AW2729" s="38"/>
      <c r="AX2729" s="38"/>
      <c r="AY2729" s="38"/>
      <c r="AZ2729" s="38"/>
      <c r="BA2729" s="38"/>
      <c r="BB2729" s="38"/>
      <c r="BC2729" s="38"/>
      <c r="BD2729" s="38"/>
      <c r="BE2729" s="38"/>
      <c r="BF2729" s="38"/>
      <c r="BG2729" s="38"/>
      <c r="BH2729" s="38"/>
      <c r="BI2729" s="38"/>
      <c r="BJ2729" s="38"/>
      <c r="BK2729" s="38"/>
      <c r="BL2729" s="38"/>
      <c r="BM2729" s="38"/>
      <c r="BN2729" s="38"/>
      <c r="BO2729" s="38"/>
      <c r="BP2729" s="38"/>
      <c r="BQ2729" s="38"/>
    </row>
    <row r="2730">
      <c r="A2730" s="16"/>
      <c r="B2730" s="16"/>
      <c r="C2730" s="146"/>
      <c r="D2730" s="146"/>
      <c r="E2730" s="16"/>
      <c r="F2730" s="91"/>
      <c r="G2730" s="16"/>
      <c r="H2730" s="320" t="str">
        <f t="shared" si="33"/>
        <v/>
      </c>
      <c r="I2730" s="16"/>
      <c r="J2730" s="16"/>
      <c r="K2730" s="16"/>
      <c r="L2730" s="16"/>
      <c r="M2730" s="15"/>
      <c r="N2730" s="15"/>
      <c r="O2730" s="16"/>
      <c r="P2730" s="16"/>
      <c r="Q2730" s="16"/>
      <c r="R2730" s="16"/>
      <c r="S2730" s="37" t="str">
        <f>IFERROR(__xludf.DUMMYFUNCTION("if(not(iserror(index(split(C2730, "" ""),2))), index(split(C2730, "" ""),1),"""")"),"")</f>
        <v/>
      </c>
      <c r="T2730" s="315" t="str">
        <f>IFERROR(__xludf.DUMMYFUNCTION("if(S2730="""",C2730,if(not(iserror(index(split(C2730, "" ""),3))), index(split(C2730, "" ""),3),index(split(C2730, "" ""),2)))"),"")</f>
        <v/>
      </c>
      <c r="U2730" s="38" t="b">
        <f t="shared" si="34"/>
        <v>0</v>
      </c>
      <c r="V2730" s="38"/>
      <c r="W2730" s="40"/>
      <c r="X2730" s="40"/>
      <c r="Y2730" s="38"/>
      <c r="Z2730" s="38"/>
      <c r="AA2730" s="38"/>
      <c r="AB2730" s="38"/>
      <c r="AC2730" s="38"/>
      <c r="AD2730" s="38"/>
      <c r="AE2730" s="38"/>
      <c r="AF2730" s="38"/>
      <c r="AG2730" s="38"/>
      <c r="AH2730" s="38"/>
      <c r="AI2730" s="38"/>
      <c r="AJ2730" s="38"/>
      <c r="AK2730" s="38"/>
      <c r="AL2730" s="38"/>
      <c r="AM2730" s="38"/>
      <c r="AN2730" s="38"/>
      <c r="AO2730" s="38"/>
      <c r="AP2730" s="38"/>
      <c r="AQ2730" s="38"/>
      <c r="AR2730" s="38"/>
      <c r="AS2730" s="38"/>
      <c r="AT2730" s="38"/>
      <c r="AU2730" s="38"/>
      <c r="AV2730" s="38"/>
      <c r="AW2730" s="38"/>
      <c r="AX2730" s="38"/>
      <c r="AY2730" s="38"/>
      <c r="AZ2730" s="38"/>
      <c r="BA2730" s="38"/>
      <c r="BB2730" s="38"/>
      <c r="BC2730" s="38"/>
      <c r="BD2730" s="38"/>
      <c r="BE2730" s="38"/>
      <c r="BF2730" s="38"/>
      <c r="BG2730" s="38"/>
      <c r="BH2730" s="38"/>
      <c r="BI2730" s="38"/>
      <c r="BJ2730" s="38"/>
      <c r="BK2730" s="38"/>
      <c r="BL2730" s="38"/>
      <c r="BM2730" s="38"/>
      <c r="BN2730" s="38"/>
      <c r="BO2730" s="38"/>
      <c r="BP2730" s="38"/>
      <c r="BQ2730" s="38"/>
    </row>
    <row r="2731">
      <c r="A2731" s="16"/>
      <c r="B2731" s="16"/>
      <c r="C2731" s="146"/>
      <c r="D2731" s="146"/>
      <c r="E2731" s="16"/>
      <c r="F2731" s="91"/>
      <c r="G2731" s="16"/>
      <c r="H2731" s="320" t="str">
        <f t="shared" si="33"/>
        <v/>
      </c>
      <c r="I2731" s="16"/>
      <c r="J2731" s="16"/>
      <c r="K2731" s="16"/>
      <c r="L2731" s="16"/>
      <c r="M2731" s="15"/>
      <c r="N2731" s="15"/>
      <c r="O2731" s="16"/>
      <c r="P2731" s="16"/>
      <c r="Q2731" s="16"/>
      <c r="R2731" s="16"/>
      <c r="S2731" s="37" t="str">
        <f>IFERROR(__xludf.DUMMYFUNCTION("if(not(iserror(index(split(C2731, "" ""),2))), index(split(C2731, "" ""),1),"""")"),"")</f>
        <v/>
      </c>
      <c r="T2731" s="315" t="str">
        <f>IFERROR(__xludf.DUMMYFUNCTION("if(S2731="""",C2731,if(not(iserror(index(split(C2731, "" ""),3))), index(split(C2731, "" ""),3),index(split(C2731, "" ""),2)))"),"")</f>
        <v/>
      </c>
      <c r="U2731" s="38" t="b">
        <f t="shared" si="34"/>
        <v>0</v>
      </c>
      <c r="V2731" s="38"/>
      <c r="W2731" s="40"/>
      <c r="X2731" s="40"/>
      <c r="Y2731" s="38"/>
      <c r="Z2731" s="38"/>
      <c r="AA2731" s="38"/>
      <c r="AB2731" s="38"/>
      <c r="AC2731" s="38"/>
      <c r="AD2731" s="38"/>
      <c r="AE2731" s="38"/>
      <c r="AF2731" s="38"/>
      <c r="AG2731" s="38"/>
      <c r="AH2731" s="38"/>
      <c r="AI2731" s="38"/>
      <c r="AJ2731" s="38"/>
      <c r="AK2731" s="38"/>
      <c r="AL2731" s="38"/>
      <c r="AM2731" s="38"/>
      <c r="AN2731" s="38"/>
      <c r="AO2731" s="38"/>
      <c r="AP2731" s="38"/>
      <c r="AQ2731" s="38"/>
      <c r="AR2731" s="38"/>
      <c r="AS2731" s="38"/>
      <c r="AT2731" s="38"/>
      <c r="AU2731" s="38"/>
      <c r="AV2731" s="38"/>
      <c r="AW2731" s="38"/>
      <c r="AX2731" s="38"/>
      <c r="AY2731" s="38"/>
      <c r="AZ2731" s="38"/>
      <c r="BA2731" s="38"/>
      <c r="BB2731" s="38"/>
      <c r="BC2731" s="38"/>
      <c r="BD2731" s="38"/>
      <c r="BE2731" s="38"/>
      <c r="BF2731" s="38"/>
      <c r="BG2731" s="38"/>
      <c r="BH2731" s="38"/>
      <c r="BI2731" s="38"/>
      <c r="BJ2731" s="38"/>
      <c r="BK2731" s="38"/>
      <c r="BL2731" s="38"/>
      <c r="BM2731" s="38"/>
      <c r="BN2731" s="38"/>
      <c r="BO2731" s="38"/>
      <c r="BP2731" s="38"/>
      <c r="BQ2731" s="38"/>
    </row>
    <row r="2732">
      <c r="A2732" s="16"/>
      <c r="B2732" s="16"/>
      <c r="C2732" s="146"/>
      <c r="D2732" s="146"/>
      <c r="E2732" s="16"/>
      <c r="F2732" s="91"/>
      <c r="G2732" s="16"/>
      <c r="H2732" s="320" t="str">
        <f t="shared" si="33"/>
        <v/>
      </c>
      <c r="I2732" s="16"/>
      <c r="J2732" s="16"/>
      <c r="K2732" s="16"/>
      <c r="L2732" s="16"/>
      <c r="M2732" s="15"/>
      <c r="N2732" s="15"/>
      <c r="O2732" s="16"/>
      <c r="P2732" s="16"/>
      <c r="Q2732" s="16"/>
      <c r="R2732" s="16"/>
      <c r="S2732" s="37" t="str">
        <f>IFERROR(__xludf.DUMMYFUNCTION("if(not(iserror(index(split(C2732, "" ""),2))), index(split(C2732, "" ""),1),"""")"),"")</f>
        <v/>
      </c>
      <c r="T2732" s="315" t="str">
        <f>IFERROR(__xludf.DUMMYFUNCTION("if(S2732="""",C2732,if(not(iserror(index(split(C2732, "" ""),3))), index(split(C2732, "" ""),3),index(split(C2732, "" ""),2)))"),"")</f>
        <v/>
      </c>
      <c r="U2732" s="38" t="b">
        <f t="shared" si="34"/>
        <v>0</v>
      </c>
      <c r="V2732" s="38"/>
      <c r="W2732" s="40"/>
      <c r="X2732" s="40"/>
      <c r="Y2732" s="38"/>
      <c r="Z2732" s="38"/>
      <c r="AA2732" s="38"/>
      <c r="AB2732" s="38"/>
      <c r="AC2732" s="38"/>
      <c r="AD2732" s="38"/>
      <c r="AE2732" s="38"/>
      <c r="AF2732" s="38"/>
      <c r="AG2732" s="38"/>
      <c r="AH2732" s="38"/>
      <c r="AI2732" s="38"/>
      <c r="AJ2732" s="38"/>
      <c r="AK2732" s="38"/>
      <c r="AL2732" s="38"/>
      <c r="AM2732" s="38"/>
      <c r="AN2732" s="38"/>
      <c r="AO2732" s="38"/>
      <c r="AP2732" s="38"/>
      <c r="AQ2732" s="38"/>
      <c r="AR2732" s="38"/>
      <c r="AS2732" s="38"/>
      <c r="AT2732" s="38"/>
      <c r="AU2732" s="38"/>
      <c r="AV2732" s="38"/>
      <c r="AW2732" s="38"/>
      <c r="AX2732" s="38"/>
      <c r="AY2732" s="38"/>
      <c r="AZ2732" s="38"/>
      <c r="BA2732" s="38"/>
      <c r="BB2732" s="38"/>
      <c r="BC2732" s="38"/>
      <c r="BD2732" s="38"/>
      <c r="BE2732" s="38"/>
      <c r="BF2732" s="38"/>
      <c r="BG2732" s="38"/>
      <c r="BH2732" s="38"/>
      <c r="BI2732" s="38"/>
      <c r="BJ2732" s="38"/>
      <c r="BK2732" s="38"/>
      <c r="BL2732" s="38"/>
      <c r="BM2732" s="38"/>
      <c r="BN2732" s="38"/>
      <c r="BO2732" s="38"/>
      <c r="BP2732" s="38"/>
      <c r="BQ2732" s="38"/>
    </row>
    <row r="2733">
      <c r="A2733" s="16"/>
      <c r="B2733" s="16"/>
      <c r="C2733" s="146"/>
      <c r="D2733" s="146"/>
      <c r="E2733" s="16"/>
      <c r="F2733" s="91"/>
      <c r="G2733" s="16"/>
      <c r="H2733" s="320" t="str">
        <f t="shared" si="33"/>
        <v/>
      </c>
      <c r="I2733" s="16"/>
      <c r="J2733" s="16"/>
      <c r="K2733" s="16"/>
      <c r="L2733" s="16"/>
      <c r="M2733" s="15"/>
      <c r="N2733" s="15"/>
      <c r="O2733" s="16"/>
      <c r="P2733" s="16"/>
      <c r="Q2733" s="16"/>
      <c r="R2733" s="16"/>
      <c r="S2733" s="37" t="str">
        <f>IFERROR(__xludf.DUMMYFUNCTION("if(not(iserror(index(split(C2733, "" ""),2))), index(split(C2733, "" ""),1),"""")"),"")</f>
        <v/>
      </c>
      <c r="T2733" s="315" t="str">
        <f>IFERROR(__xludf.DUMMYFUNCTION("if(S2733="""",C2733,if(not(iserror(index(split(C2733, "" ""),3))), index(split(C2733, "" ""),3),index(split(C2733, "" ""),2)))"),"")</f>
        <v/>
      </c>
      <c r="U2733" s="38" t="b">
        <f t="shared" si="34"/>
        <v>0</v>
      </c>
      <c r="V2733" s="38"/>
      <c r="W2733" s="40"/>
      <c r="X2733" s="40"/>
      <c r="Y2733" s="38"/>
      <c r="Z2733" s="38"/>
      <c r="AA2733" s="38"/>
      <c r="AB2733" s="38"/>
      <c r="AC2733" s="38"/>
      <c r="AD2733" s="38"/>
      <c r="AE2733" s="38"/>
      <c r="AF2733" s="38"/>
      <c r="AG2733" s="38"/>
      <c r="AH2733" s="38"/>
      <c r="AI2733" s="38"/>
      <c r="AJ2733" s="38"/>
      <c r="AK2733" s="38"/>
      <c r="AL2733" s="38"/>
      <c r="AM2733" s="38"/>
      <c r="AN2733" s="38"/>
      <c r="AO2733" s="38"/>
      <c r="AP2733" s="38"/>
      <c r="AQ2733" s="38"/>
      <c r="AR2733" s="38"/>
      <c r="AS2733" s="38"/>
      <c r="AT2733" s="38"/>
      <c r="AU2733" s="38"/>
      <c r="AV2733" s="38"/>
      <c r="AW2733" s="38"/>
      <c r="AX2733" s="38"/>
      <c r="AY2733" s="38"/>
      <c r="AZ2733" s="38"/>
      <c r="BA2733" s="38"/>
      <c r="BB2733" s="38"/>
      <c r="BC2733" s="38"/>
      <c r="BD2733" s="38"/>
      <c r="BE2733" s="38"/>
      <c r="BF2733" s="38"/>
      <c r="BG2733" s="38"/>
      <c r="BH2733" s="38"/>
      <c r="BI2733" s="38"/>
      <c r="BJ2733" s="38"/>
      <c r="BK2733" s="38"/>
      <c r="BL2733" s="38"/>
      <c r="BM2733" s="38"/>
      <c r="BN2733" s="38"/>
      <c r="BO2733" s="38"/>
      <c r="BP2733" s="38"/>
      <c r="BQ2733" s="38"/>
    </row>
    <row r="2734">
      <c r="A2734" s="16"/>
      <c r="B2734" s="16"/>
      <c r="C2734" s="146"/>
      <c r="D2734" s="146"/>
      <c r="E2734" s="16"/>
      <c r="F2734" s="91"/>
      <c r="G2734" s="16"/>
      <c r="H2734" s="320" t="str">
        <f t="shared" si="33"/>
        <v/>
      </c>
      <c r="I2734" s="16"/>
      <c r="J2734" s="16"/>
      <c r="K2734" s="16"/>
      <c r="L2734" s="16"/>
      <c r="M2734" s="15"/>
      <c r="N2734" s="15"/>
      <c r="O2734" s="16"/>
      <c r="P2734" s="16"/>
      <c r="Q2734" s="16"/>
      <c r="R2734" s="16"/>
      <c r="S2734" s="37" t="str">
        <f>IFERROR(__xludf.DUMMYFUNCTION("if(not(iserror(index(split(C2734, "" ""),2))), index(split(C2734, "" ""),1),"""")"),"")</f>
        <v/>
      </c>
      <c r="T2734" s="315" t="str">
        <f>IFERROR(__xludf.DUMMYFUNCTION("if(S2734="""",C2734,if(not(iserror(index(split(C2734, "" ""),3))), index(split(C2734, "" ""),3),index(split(C2734, "" ""),2)))"),"")</f>
        <v/>
      </c>
      <c r="U2734" s="38" t="b">
        <f t="shared" si="34"/>
        <v>0</v>
      </c>
      <c r="V2734" s="38"/>
      <c r="W2734" s="40"/>
      <c r="X2734" s="40"/>
      <c r="Y2734" s="38"/>
      <c r="Z2734" s="38"/>
      <c r="AA2734" s="38"/>
      <c r="AB2734" s="38"/>
      <c r="AC2734" s="38"/>
      <c r="AD2734" s="38"/>
      <c r="AE2734" s="38"/>
      <c r="AF2734" s="38"/>
      <c r="AG2734" s="38"/>
      <c r="AH2734" s="38"/>
      <c r="AI2734" s="38"/>
      <c r="AJ2734" s="38"/>
      <c r="AK2734" s="38"/>
      <c r="AL2734" s="38"/>
      <c r="AM2734" s="38"/>
      <c r="AN2734" s="38"/>
      <c r="AO2734" s="38"/>
      <c r="AP2734" s="38"/>
      <c r="AQ2734" s="38"/>
      <c r="AR2734" s="38"/>
      <c r="AS2734" s="38"/>
      <c r="AT2734" s="38"/>
      <c r="AU2734" s="38"/>
      <c r="AV2734" s="38"/>
      <c r="AW2734" s="38"/>
      <c r="AX2734" s="38"/>
      <c r="AY2734" s="38"/>
      <c r="AZ2734" s="38"/>
      <c r="BA2734" s="38"/>
      <c r="BB2734" s="38"/>
      <c r="BC2734" s="38"/>
      <c r="BD2734" s="38"/>
      <c r="BE2734" s="38"/>
      <c r="BF2734" s="38"/>
      <c r="BG2734" s="38"/>
      <c r="BH2734" s="38"/>
      <c r="BI2734" s="38"/>
      <c r="BJ2734" s="38"/>
      <c r="BK2734" s="38"/>
      <c r="BL2734" s="38"/>
      <c r="BM2734" s="38"/>
      <c r="BN2734" s="38"/>
      <c r="BO2734" s="38"/>
      <c r="BP2734" s="38"/>
      <c r="BQ2734" s="38"/>
    </row>
    <row r="2735">
      <c r="A2735" s="16"/>
      <c r="B2735" s="16"/>
      <c r="C2735" s="146"/>
      <c r="D2735" s="146"/>
      <c r="E2735" s="16"/>
      <c r="F2735" s="91"/>
      <c r="G2735" s="16"/>
      <c r="H2735" s="320" t="str">
        <f t="shared" si="33"/>
        <v/>
      </c>
      <c r="I2735" s="16"/>
      <c r="J2735" s="16"/>
      <c r="K2735" s="16"/>
      <c r="L2735" s="16"/>
      <c r="M2735" s="15"/>
      <c r="N2735" s="15"/>
      <c r="O2735" s="16"/>
      <c r="P2735" s="16"/>
      <c r="Q2735" s="16"/>
      <c r="R2735" s="16"/>
      <c r="S2735" s="37" t="str">
        <f>IFERROR(__xludf.DUMMYFUNCTION("if(not(iserror(index(split(C2735, "" ""),2))), index(split(C2735, "" ""),1),"""")"),"")</f>
        <v/>
      </c>
      <c r="T2735" s="315" t="str">
        <f>IFERROR(__xludf.DUMMYFUNCTION("if(S2735="""",C2735,if(not(iserror(index(split(C2735, "" ""),3))), index(split(C2735, "" ""),3),index(split(C2735, "" ""),2)))"),"")</f>
        <v/>
      </c>
      <c r="U2735" s="38" t="b">
        <f t="shared" si="34"/>
        <v>0</v>
      </c>
      <c r="V2735" s="38"/>
      <c r="W2735" s="40"/>
      <c r="X2735" s="40"/>
      <c r="Y2735" s="38"/>
      <c r="Z2735" s="38"/>
      <c r="AA2735" s="38"/>
      <c r="AB2735" s="38"/>
      <c r="AC2735" s="38"/>
      <c r="AD2735" s="38"/>
      <c r="AE2735" s="38"/>
      <c r="AF2735" s="38"/>
      <c r="AG2735" s="38"/>
      <c r="AH2735" s="38"/>
      <c r="AI2735" s="38"/>
      <c r="AJ2735" s="38"/>
      <c r="AK2735" s="38"/>
      <c r="AL2735" s="38"/>
      <c r="AM2735" s="38"/>
      <c r="AN2735" s="38"/>
      <c r="AO2735" s="38"/>
      <c r="AP2735" s="38"/>
      <c r="AQ2735" s="38"/>
      <c r="AR2735" s="38"/>
      <c r="AS2735" s="38"/>
      <c r="AT2735" s="38"/>
      <c r="AU2735" s="38"/>
      <c r="AV2735" s="38"/>
      <c r="AW2735" s="38"/>
      <c r="AX2735" s="38"/>
      <c r="AY2735" s="38"/>
      <c r="AZ2735" s="38"/>
      <c r="BA2735" s="38"/>
      <c r="BB2735" s="38"/>
      <c r="BC2735" s="38"/>
      <c r="BD2735" s="38"/>
      <c r="BE2735" s="38"/>
      <c r="BF2735" s="38"/>
      <c r="BG2735" s="38"/>
      <c r="BH2735" s="38"/>
      <c r="BI2735" s="38"/>
      <c r="BJ2735" s="38"/>
      <c r="BK2735" s="38"/>
      <c r="BL2735" s="38"/>
      <c r="BM2735" s="38"/>
      <c r="BN2735" s="38"/>
      <c r="BO2735" s="38"/>
      <c r="BP2735" s="38"/>
      <c r="BQ2735" s="38"/>
    </row>
    <row r="2736">
      <c r="A2736" s="16"/>
      <c r="B2736" s="16"/>
      <c r="C2736" s="146"/>
      <c r="D2736" s="146"/>
      <c r="E2736" s="16"/>
      <c r="F2736" s="91"/>
      <c r="G2736" s="16"/>
      <c r="H2736" s="320" t="str">
        <f t="shared" si="33"/>
        <v/>
      </c>
      <c r="I2736" s="16"/>
      <c r="J2736" s="16"/>
      <c r="K2736" s="16"/>
      <c r="L2736" s="16"/>
      <c r="M2736" s="15"/>
      <c r="N2736" s="15"/>
      <c r="O2736" s="16"/>
      <c r="P2736" s="16"/>
      <c r="Q2736" s="16"/>
      <c r="R2736" s="16"/>
      <c r="S2736" s="37" t="str">
        <f>IFERROR(__xludf.DUMMYFUNCTION("if(not(iserror(index(split(C2736, "" ""),2))), index(split(C2736, "" ""),1),"""")"),"")</f>
        <v/>
      </c>
      <c r="T2736" s="315" t="str">
        <f>IFERROR(__xludf.DUMMYFUNCTION("if(S2736="""",C2736,if(not(iserror(index(split(C2736, "" ""),3))), index(split(C2736, "" ""),3),index(split(C2736, "" ""),2)))"),"")</f>
        <v/>
      </c>
      <c r="U2736" s="38" t="b">
        <f t="shared" si="34"/>
        <v>0</v>
      </c>
      <c r="V2736" s="38"/>
      <c r="W2736" s="40"/>
      <c r="X2736" s="40"/>
      <c r="Y2736" s="38"/>
      <c r="Z2736" s="38"/>
      <c r="AA2736" s="38"/>
      <c r="AB2736" s="38"/>
      <c r="AC2736" s="38"/>
      <c r="AD2736" s="38"/>
      <c r="AE2736" s="38"/>
      <c r="AF2736" s="38"/>
      <c r="AG2736" s="38"/>
      <c r="AH2736" s="38"/>
      <c r="AI2736" s="38"/>
      <c r="AJ2736" s="38"/>
      <c r="AK2736" s="38"/>
      <c r="AL2736" s="38"/>
      <c r="AM2736" s="38"/>
      <c r="AN2736" s="38"/>
      <c r="AO2736" s="38"/>
      <c r="AP2736" s="38"/>
      <c r="AQ2736" s="38"/>
      <c r="AR2736" s="38"/>
      <c r="AS2736" s="38"/>
      <c r="AT2736" s="38"/>
      <c r="AU2736" s="38"/>
      <c r="AV2736" s="38"/>
      <c r="AW2736" s="38"/>
      <c r="AX2736" s="38"/>
      <c r="AY2736" s="38"/>
      <c r="AZ2736" s="38"/>
      <c r="BA2736" s="38"/>
      <c r="BB2736" s="38"/>
      <c r="BC2736" s="38"/>
      <c r="BD2736" s="38"/>
      <c r="BE2736" s="38"/>
      <c r="BF2736" s="38"/>
      <c r="BG2736" s="38"/>
      <c r="BH2736" s="38"/>
      <c r="BI2736" s="38"/>
      <c r="BJ2736" s="38"/>
      <c r="BK2736" s="38"/>
      <c r="BL2736" s="38"/>
      <c r="BM2736" s="38"/>
      <c r="BN2736" s="38"/>
      <c r="BO2736" s="38"/>
      <c r="BP2736" s="38"/>
      <c r="BQ2736" s="38"/>
    </row>
    <row r="2737">
      <c r="A2737" s="16"/>
      <c r="B2737" s="16"/>
      <c r="C2737" s="146"/>
      <c r="D2737" s="146"/>
      <c r="E2737" s="16"/>
      <c r="F2737" s="91"/>
      <c r="G2737" s="16"/>
      <c r="H2737" s="320" t="str">
        <f t="shared" si="33"/>
        <v/>
      </c>
      <c r="I2737" s="16"/>
      <c r="J2737" s="16"/>
      <c r="K2737" s="16"/>
      <c r="L2737" s="16"/>
      <c r="M2737" s="15"/>
      <c r="N2737" s="15"/>
      <c r="O2737" s="16"/>
      <c r="P2737" s="16"/>
      <c r="Q2737" s="16"/>
      <c r="R2737" s="16"/>
      <c r="S2737" s="37" t="str">
        <f>IFERROR(__xludf.DUMMYFUNCTION("if(not(iserror(index(split(C2737, "" ""),2))), index(split(C2737, "" ""),1),"""")"),"")</f>
        <v/>
      </c>
      <c r="T2737" s="315" t="str">
        <f>IFERROR(__xludf.DUMMYFUNCTION("if(S2737="""",C2737,if(not(iserror(index(split(C2737, "" ""),3))), index(split(C2737, "" ""),3),index(split(C2737, "" ""),2)))"),"")</f>
        <v/>
      </c>
      <c r="U2737" s="38" t="b">
        <f t="shared" si="34"/>
        <v>0</v>
      </c>
      <c r="V2737" s="38"/>
      <c r="W2737" s="40"/>
      <c r="X2737" s="40"/>
      <c r="Y2737" s="38"/>
      <c r="Z2737" s="38"/>
      <c r="AA2737" s="38"/>
      <c r="AB2737" s="38"/>
      <c r="AC2737" s="38"/>
      <c r="AD2737" s="38"/>
      <c r="AE2737" s="38"/>
      <c r="AF2737" s="38"/>
      <c r="AG2737" s="38"/>
      <c r="AH2737" s="38"/>
      <c r="AI2737" s="38"/>
      <c r="AJ2737" s="38"/>
      <c r="AK2737" s="38"/>
      <c r="AL2737" s="38"/>
      <c r="AM2737" s="38"/>
      <c r="AN2737" s="38"/>
      <c r="AO2737" s="38"/>
      <c r="AP2737" s="38"/>
      <c r="AQ2737" s="38"/>
      <c r="AR2737" s="38"/>
      <c r="AS2737" s="38"/>
      <c r="AT2737" s="38"/>
      <c r="AU2737" s="38"/>
      <c r="AV2737" s="38"/>
      <c r="AW2737" s="38"/>
      <c r="AX2737" s="38"/>
      <c r="AY2737" s="38"/>
      <c r="AZ2737" s="38"/>
      <c r="BA2737" s="38"/>
      <c r="BB2737" s="38"/>
      <c r="BC2737" s="38"/>
      <c r="BD2737" s="38"/>
      <c r="BE2737" s="38"/>
      <c r="BF2737" s="38"/>
      <c r="BG2737" s="38"/>
      <c r="BH2737" s="38"/>
      <c r="BI2737" s="38"/>
      <c r="BJ2737" s="38"/>
      <c r="BK2737" s="38"/>
      <c r="BL2737" s="38"/>
      <c r="BM2737" s="38"/>
      <c r="BN2737" s="38"/>
      <c r="BO2737" s="38"/>
      <c r="BP2737" s="38"/>
      <c r="BQ2737" s="38"/>
    </row>
    <row r="2738">
      <c r="A2738" s="16"/>
      <c r="B2738" s="16"/>
      <c r="C2738" s="146"/>
      <c r="D2738" s="146"/>
      <c r="E2738" s="16"/>
      <c r="F2738" s="91"/>
      <c r="G2738" s="16"/>
      <c r="H2738" s="320" t="str">
        <f t="shared" si="33"/>
        <v/>
      </c>
      <c r="I2738" s="16"/>
      <c r="J2738" s="16"/>
      <c r="K2738" s="16"/>
      <c r="L2738" s="16"/>
      <c r="M2738" s="15"/>
      <c r="N2738" s="15"/>
      <c r="O2738" s="16"/>
      <c r="P2738" s="16"/>
      <c r="Q2738" s="16"/>
      <c r="R2738" s="16"/>
      <c r="S2738" s="37" t="str">
        <f>IFERROR(__xludf.DUMMYFUNCTION("if(not(iserror(index(split(C2738, "" ""),2))), index(split(C2738, "" ""),1),"""")"),"")</f>
        <v/>
      </c>
      <c r="T2738" s="315" t="str">
        <f>IFERROR(__xludf.DUMMYFUNCTION("if(S2738="""",C2738,if(not(iserror(index(split(C2738, "" ""),3))), index(split(C2738, "" ""),3),index(split(C2738, "" ""),2)))"),"")</f>
        <v/>
      </c>
      <c r="U2738" s="38" t="b">
        <f t="shared" si="34"/>
        <v>0</v>
      </c>
      <c r="V2738" s="38"/>
      <c r="W2738" s="40"/>
      <c r="X2738" s="40"/>
      <c r="Y2738" s="38"/>
      <c r="Z2738" s="38"/>
      <c r="AA2738" s="38"/>
      <c r="AB2738" s="38"/>
      <c r="AC2738" s="38"/>
      <c r="AD2738" s="38"/>
      <c r="AE2738" s="38"/>
      <c r="AF2738" s="38"/>
      <c r="AG2738" s="38"/>
      <c r="AH2738" s="38"/>
      <c r="AI2738" s="38"/>
      <c r="AJ2738" s="38"/>
      <c r="AK2738" s="38"/>
      <c r="AL2738" s="38"/>
      <c r="AM2738" s="38"/>
      <c r="AN2738" s="38"/>
      <c r="AO2738" s="38"/>
      <c r="AP2738" s="38"/>
      <c r="AQ2738" s="38"/>
      <c r="AR2738" s="38"/>
      <c r="AS2738" s="38"/>
      <c r="AT2738" s="38"/>
      <c r="AU2738" s="38"/>
      <c r="AV2738" s="38"/>
      <c r="AW2738" s="38"/>
      <c r="AX2738" s="38"/>
      <c r="AY2738" s="38"/>
      <c r="AZ2738" s="38"/>
      <c r="BA2738" s="38"/>
      <c r="BB2738" s="38"/>
      <c r="BC2738" s="38"/>
      <c r="BD2738" s="38"/>
      <c r="BE2738" s="38"/>
      <c r="BF2738" s="38"/>
      <c r="BG2738" s="38"/>
      <c r="BH2738" s="38"/>
      <c r="BI2738" s="38"/>
      <c r="BJ2738" s="38"/>
      <c r="BK2738" s="38"/>
      <c r="BL2738" s="38"/>
      <c r="BM2738" s="38"/>
      <c r="BN2738" s="38"/>
      <c r="BO2738" s="38"/>
      <c r="BP2738" s="38"/>
      <c r="BQ2738" s="38"/>
    </row>
    <row r="2739">
      <c r="A2739" s="16"/>
      <c r="B2739" s="16"/>
      <c r="C2739" s="146"/>
      <c r="D2739" s="146"/>
      <c r="E2739" s="16"/>
      <c r="F2739" s="91"/>
      <c r="G2739" s="16"/>
      <c r="H2739" s="320" t="str">
        <f t="shared" si="33"/>
        <v/>
      </c>
      <c r="I2739" s="16"/>
      <c r="J2739" s="16"/>
      <c r="K2739" s="16"/>
      <c r="L2739" s="16"/>
      <c r="M2739" s="15"/>
      <c r="N2739" s="15"/>
      <c r="O2739" s="16"/>
      <c r="P2739" s="16"/>
      <c r="Q2739" s="16"/>
      <c r="R2739" s="16"/>
      <c r="S2739" s="37" t="str">
        <f>IFERROR(__xludf.DUMMYFUNCTION("if(not(iserror(index(split(C2739, "" ""),2))), index(split(C2739, "" ""),1),"""")"),"")</f>
        <v/>
      </c>
      <c r="T2739" s="315" t="str">
        <f>IFERROR(__xludf.DUMMYFUNCTION("if(S2739="""",C2739,if(not(iserror(index(split(C2739, "" ""),3))), index(split(C2739, "" ""),3),index(split(C2739, "" ""),2)))"),"")</f>
        <v/>
      </c>
      <c r="U2739" s="38" t="b">
        <f t="shared" si="34"/>
        <v>0</v>
      </c>
      <c r="V2739" s="38"/>
      <c r="W2739" s="40"/>
      <c r="X2739" s="40"/>
      <c r="Y2739" s="38"/>
      <c r="Z2739" s="38"/>
      <c r="AA2739" s="38"/>
      <c r="AB2739" s="38"/>
      <c r="AC2739" s="38"/>
      <c r="AD2739" s="38"/>
      <c r="AE2739" s="38"/>
      <c r="AF2739" s="38"/>
      <c r="AG2739" s="38"/>
      <c r="AH2739" s="38"/>
      <c r="AI2739" s="38"/>
      <c r="AJ2739" s="38"/>
      <c r="AK2739" s="38"/>
      <c r="AL2739" s="38"/>
      <c r="AM2739" s="38"/>
      <c r="AN2739" s="38"/>
      <c r="AO2739" s="38"/>
      <c r="AP2739" s="38"/>
      <c r="AQ2739" s="38"/>
      <c r="AR2739" s="38"/>
      <c r="AS2739" s="38"/>
      <c r="AT2739" s="38"/>
      <c r="AU2739" s="38"/>
      <c r="AV2739" s="38"/>
      <c r="AW2739" s="38"/>
      <c r="AX2739" s="38"/>
      <c r="AY2739" s="38"/>
      <c r="AZ2739" s="38"/>
      <c r="BA2739" s="38"/>
      <c r="BB2739" s="38"/>
      <c r="BC2739" s="38"/>
      <c r="BD2739" s="38"/>
      <c r="BE2739" s="38"/>
      <c r="BF2739" s="38"/>
      <c r="BG2739" s="38"/>
      <c r="BH2739" s="38"/>
      <c r="BI2739" s="38"/>
      <c r="BJ2739" s="38"/>
      <c r="BK2739" s="38"/>
      <c r="BL2739" s="38"/>
      <c r="BM2739" s="38"/>
      <c r="BN2739" s="38"/>
      <c r="BO2739" s="38"/>
      <c r="BP2739" s="38"/>
      <c r="BQ2739" s="38"/>
    </row>
    <row r="2740">
      <c r="A2740" s="16"/>
      <c r="B2740" s="16"/>
      <c r="C2740" s="146"/>
      <c r="D2740" s="146"/>
      <c r="E2740" s="16"/>
      <c r="F2740" s="91"/>
      <c r="G2740" s="16"/>
      <c r="H2740" s="320" t="str">
        <f t="shared" si="33"/>
        <v/>
      </c>
      <c r="I2740" s="16"/>
      <c r="J2740" s="16"/>
      <c r="K2740" s="16"/>
      <c r="L2740" s="16"/>
      <c r="M2740" s="15"/>
      <c r="N2740" s="15"/>
      <c r="O2740" s="16"/>
      <c r="P2740" s="16"/>
      <c r="Q2740" s="16"/>
      <c r="R2740" s="16"/>
      <c r="S2740" s="37" t="str">
        <f>IFERROR(__xludf.DUMMYFUNCTION("if(not(iserror(index(split(C2740, "" ""),2))), index(split(C2740, "" ""),1),"""")"),"")</f>
        <v/>
      </c>
      <c r="T2740" s="315" t="str">
        <f>IFERROR(__xludf.DUMMYFUNCTION("if(S2740="""",C2740,if(not(iserror(index(split(C2740, "" ""),3))), index(split(C2740, "" ""),3),index(split(C2740, "" ""),2)))"),"")</f>
        <v/>
      </c>
      <c r="U2740" s="38" t="b">
        <f t="shared" si="34"/>
        <v>0</v>
      </c>
      <c r="V2740" s="38"/>
      <c r="W2740" s="40"/>
      <c r="X2740" s="40"/>
      <c r="Y2740" s="38"/>
      <c r="Z2740" s="38"/>
      <c r="AA2740" s="38"/>
      <c r="AB2740" s="38"/>
      <c r="AC2740" s="38"/>
      <c r="AD2740" s="38"/>
      <c r="AE2740" s="38"/>
      <c r="AF2740" s="38"/>
      <c r="AG2740" s="38"/>
      <c r="AH2740" s="38"/>
      <c r="AI2740" s="38"/>
      <c r="AJ2740" s="38"/>
      <c r="AK2740" s="38"/>
      <c r="AL2740" s="38"/>
      <c r="AM2740" s="38"/>
      <c r="AN2740" s="38"/>
      <c r="AO2740" s="38"/>
      <c r="AP2740" s="38"/>
      <c r="AQ2740" s="38"/>
      <c r="AR2740" s="38"/>
      <c r="AS2740" s="38"/>
      <c r="AT2740" s="38"/>
      <c r="AU2740" s="38"/>
      <c r="AV2740" s="38"/>
      <c r="AW2740" s="38"/>
      <c r="AX2740" s="38"/>
      <c r="AY2740" s="38"/>
      <c r="AZ2740" s="38"/>
      <c r="BA2740" s="38"/>
      <c r="BB2740" s="38"/>
      <c r="BC2740" s="38"/>
      <c r="BD2740" s="38"/>
      <c r="BE2740" s="38"/>
      <c r="BF2740" s="38"/>
      <c r="BG2740" s="38"/>
      <c r="BH2740" s="38"/>
      <c r="BI2740" s="38"/>
      <c r="BJ2740" s="38"/>
      <c r="BK2740" s="38"/>
      <c r="BL2740" s="38"/>
      <c r="BM2740" s="38"/>
      <c r="BN2740" s="38"/>
      <c r="BO2740" s="38"/>
      <c r="BP2740" s="38"/>
      <c r="BQ2740" s="38"/>
    </row>
    <row r="2741">
      <c r="A2741" s="16"/>
      <c r="B2741" s="16"/>
      <c r="C2741" s="146"/>
      <c r="D2741" s="146"/>
      <c r="E2741" s="16"/>
      <c r="F2741" s="91"/>
      <c r="G2741" s="16"/>
      <c r="H2741" s="320" t="str">
        <f t="shared" si="33"/>
        <v/>
      </c>
      <c r="I2741" s="16"/>
      <c r="J2741" s="16"/>
      <c r="K2741" s="16"/>
      <c r="L2741" s="16"/>
      <c r="M2741" s="15"/>
      <c r="N2741" s="15"/>
      <c r="O2741" s="16"/>
      <c r="P2741" s="16"/>
      <c r="Q2741" s="16"/>
      <c r="R2741" s="16"/>
      <c r="S2741" s="37" t="str">
        <f>IFERROR(__xludf.DUMMYFUNCTION("if(not(iserror(index(split(C2741, "" ""),2))), index(split(C2741, "" ""),1),"""")"),"")</f>
        <v/>
      </c>
      <c r="T2741" s="315" t="str">
        <f>IFERROR(__xludf.DUMMYFUNCTION("if(S2741="""",C2741,if(not(iserror(index(split(C2741, "" ""),3))), index(split(C2741, "" ""),3),index(split(C2741, "" ""),2)))"),"")</f>
        <v/>
      </c>
      <c r="U2741" s="38" t="b">
        <f t="shared" si="34"/>
        <v>0</v>
      </c>
      <c r="V2741" s="38"/>
      <c r="W2741" s="40"/>
      <c r="X2741" s="40"/>
      <c r="Y2741" s="38"/>
      <c r="Z2741" s="38"/>
      <c r="AA2741" s="38"/>
      <c r="AB2741" s="38"/>
      <c r="AC2741" s="38"/>
      <c r="AD2741" s="38"/>
      <c r="AE2741" s="38"/>
      <c r="AF2741" s="38"/>
      <c r="AG2741" s="38"/>
      <c r="AH2741" s="38"/>
      <c r="AI2741" s="38"/>
      <c r="AJ2741" s="38"/>
      <c r="AK2741" s="38"/>
      <c r="AL2741" s="38"/>
      <c r="AM2741" s="38"/>
      <c r="AN2741" s="38"/>
      <c r="AO2741" s="38"/>
      <c r="AP2741" s="38"/>
      <c r="AQ2741" s="38"/>
      <c r="AR2741" s="38"/>
      <c r="AS2741" s="38"/>
      <c r="AT2741" s="38"/>
      <c r="AU2741" s="38"/>
      <c r="AV2741" s="38"/>
      <c r="AW2741" s="38"/>
      <c r="AX2741" s="38"/>
      <c r="AY2741" s="38"/>
      <c r="AZ2741" s="38"/>
      <c r="BA2741" s="38"/>
      <c r="BB2741" s="38"/>
      <c r="BC2741" s="38"/>
      <c r="BD2741" s="38"/>
      <c r="BE2741" s="38"/>
      <c r="BF2741" s="38"/>
      <c r="BG2741" s="38"/>
      <c r="BH2741" s="38"/>
      <c r="BI2741" s="38"/>
      <c r="BJ2741" s="38"/>
      <c r="BK2741" s="38"/>
      <c r="BL2741" s="38"/>
      <c r="BM2741" s="38"/>
      <c r="BN2741" s="38"/>
      <c r="BO2741" s="38"/>
      <c r="BP2741" s="38"/>
      <c r="BQ2741" s="38"/>
    </row>
    <row r="2742">
      <c r="A2742" s="16"/>
      <c r="B2742" s="16"/>
      <c r="C2742" s="146"/>
      <c r="D2742" s="146"/>
      <c r="E2742" s="16"/>
      <c r="F2742" s="91"/>
      <c r="G2742" s="16"/>
      <c r="H2742" s="320" t="str">
        <f t="shared" si="33"/>
        <v/>
      </c>
      <c r="I2742" s="16"/>
      <c r="J2742" s="16"/>
      <c r="K2742" s="16"/>
      <c r="L2742" s="16"/>
      <c r="M2742" s="15"/>
      <c r="N2742" s="15"/>
      <c r="O2742" s="16"/>
      <c r="P2742" s="16"/>
      <c r="Q2742" s="16"/>
      <c r="R2742" s="16"/>
      <c r="S2742" s="37" t="str">
        <f>IFERROR(__xludf.DUMMYFUNCTION("if(not(iserror(index(split(C2742, "" ""),2))), index(split(C2742, "" ""),1),"""")"),"")</f>
        <v/>
      </c>
      <c r="T2742" s="315" t="str">
        <f>IFERROR(__xludf.DUMMYFUNCTION("if(S2742="""",C2742,if(not(iserror(index(split(C2742, "" ""),3))), index(split(C2742, "" ""),3),index(split(C2742, "" ""),2)))"),"")</f>
        <v/>
      </c>
      <c r="U2742" s="38" t="b">
        <f t="shared" si="34"/>
        <v>0</v>
      </c>
      <c r="V2742" s="38"/>
      <c r="W2742" s="40"/>
      <c r="X2742" s="40"/>
      <c r="Y2742" s="38"/>
      <c r="Z2742" s="38"/>
      <c r="AA2742" s="38"/>
      <c r="AB2742" s="38"/>
      <c r="AC2742" s="38"/>
      <c r="AD2742" s="38"/>
      <c r="AE2742" s="38"/>
      <c r="AF2742" s="38"/>
      <c r="AG2742" s="38"/>
      <c r="AH2742" s="38"/>
      <c r="AI2742" s="38"/>
      <c r="AJ2742" s="38"/>
      <c r="AK2742" s="38"/>
      <c r="AL2742" s="38"/>
      <c r="AM2742" s="38"/>
      <c r="AN2742" s="38"/>
      <c r="AO2742" s="38"/>
      <c r="AP2742" s="38"/>
      <c r="AQ2742" s="38"/>
      <c r="AR2742" s="38"/>
      <c r="AS2742" s="38"/>
      <c r="AT2742" s="38"/>
      <c r="AU2742" s="38"/>
      <c r="AV2742" s="38"/>
      <c r="AW2742" s="38"/>
      <c r="AX2742" s="38"/>
      <c r="AY2742" s="38"/>
      <c r="AZ2742" s="38"/>
      <c r="BA2742" s="38"/>
      <c r="BB2742" s="38"/>
      <c r="BC2742" s="38"/>
      <c r="BD2742" s="38"/>
      <c r="BE2742" s="38"/>
      <c r="BF2742" s="38"/>
      <c r="BG2742" s="38"/>
      <c r="BH2742" s="38"/>
      <c r="BI2742" s="38"/>
      <c r="BJ2742" s="38"/>
      <c r="BK2742" s="38"/>
      <c r="BL2742" s="38"/>
      <c r="BM2742" s="38"/>
      <c r="BN2742" s="38"/>
      <c r="BO2742" s="38"/>
      <c r="BP2742" s="38"/>
      <c r="BQ2742" s="38"/>
    </row>
    <row r="2743">
      <c r="A2743" s="16"/>
      <c r="B2743" s="16"/>
      <c r="C2743" s="146"/>
      <c r="D2743" s="146"/>
      <c r="E2743" s="16"/>
      <c r="F2743" s="91"/>
      <c r="G2743" s="16"/>
      <c r="H2743" s="320" t="str">
        <f t="shared" si="33"/>
        <v/>
      </c>
      <c r="I2743" s="16"/>
      <c r="J2743" s="16"/>
      <c r="K2743" s="16"/>
      <c r="L2743" s="16"/>
      <c r="M2743" s="15"/>
      <c r="N2743" s="15"/>
      <c r="O2743" s="16"/>
      <c r="P2743" s="16"/>
      <c r="Q2743" s="16"/>
      <c r="R2743" s="16"/>
      <c r="S2743" s="37" t="str">
        <f>IFERROR(__xludf.DUMMYFUNCTION("if(not(iserror(index(split(C2743, "" ""),2))), index(split(C2743, "" ""),1),"""")"),"")</f>
        <v/>
      </c>
      <c r="T2743" s="315" t="str">
        <f>IFERROR(__xludf.DUMMYFUNCTION("if(S2743="""",C2743,if(not(iserror(index(split(C2743, "" ""),3))), index(split(C2743, "" ""),3),index(split(C2743, "" ""),2)))"),"")</f>
        <v/>
      </c>
      <c r="U2743" s="38" t="b">
        <f t="shared" si="34"/>
        <v>0</v>
      </c>
      <c r="V2743" s="38"/>
      <c r="W2743" s="40"/>
      <c r="X2743" s="40"/>
      <c r="Y2743" s="38"/>
      <c r="Z2743" s="38"/>
      <c r="AA2743" s="38"/>
      <c r="AB2743" s="38"/>
      <c r="AC2743" s="38"/>
      <c r="AD2743" s="38"/>
      <c r="AE2743" s="38"/>
      <c r="AF2743" s="38"/>
      <c r="AG2743" s="38"/>
      <c r="AH2743" s="38"/>
      <c r="AI2743" s="38"/>
      <c r="AJ2743" s="38"/>
      <c r="AK2743" s="38"/>
      <c r="AL2743" s="38"/>
      <c r="AM2743" s="38"/>
      <c r="AN2743" s="38"/>
      <c r="AO2743" s="38"/>
      <c r="AP2743" s="38"/>
      <c r="AQ2743" s="38"/>
      <c r="AR2743" s="38"/>
      <c r="AS2743" s="38"/>
      <c r="AT2743" s="38"/>
      <c r="AU2743" s="38"/>
      <c r="AV2743" s="38"/>
      <c r="AW2743" s="38"/>
      <c r="AX2743" s="38"/>
      <c r="AY2743" s="38"/>
      <c r="AZ2743" s="38"/>
      <c r="BA2743" s="38"/>
      <c r="BB2743" s="38"/>
      <c r="BC2743" s="38"/>
      <c r="BD2743" s="38"/>
      <c r="BE2743" s="38"/>
      <c r="BF2743" s="38"/>
      <c r="BG2743" s="38"/>
      <c r="BH2743" s="38"/>
      <c r="BI2743" s="38"/>
      <c r="BJ2743" s="38"/>
      <c r="BK2743" s="38"/>
      <c r="BL2743" s="38"/>
      <c r="BM2743" s="38"/>
      <c r="BN2743" s="38"/>
      <c r="BO2743" s="38"/>
      <c r="BP2743" s="38"/>
      <c r="BQ2743" s="38"/>
    </row>
    <row r="2744">
      <c r="A2744" s="16"/>
      <c r="B2744" s="16"/>
      <c r="C2744" s="146"/>
      <c r="D2744" s="146"/>
      <c r="E2744" s="16"/>
      <c r="F2744" s="91"/>
      <c r="G2744" s="16"/>
      <c r="H2744" s="320" t="str">
        <f t="shared" si="33"/>
        <v/>
      </c>
      <c r="I2744" s="16"/>
      <c r="J2744" s="16"/>
      <c r="K2744" s="16"/>
      <c r="L2744" s="16"/>
      <c r="M2744" s="15"/>
      <c r="N2744" s="15"/>
      <c r="O2744" s="16"/>
      <c r="P2744" s="16"/>
      <c r="Q2744" s="16"/>
      <c r="R2744" s="16"/>
      <c r="S2744" s="37" t="str">
        <f>IFERROR(__xludf.DUMMYFUNCTION("if(not(iserror(index(split(C2744, "" ""),2))), index(split(C2744, "" ""),1),"""")"),"")</f>
        <v/>
      </c>
      <c r="T2744" s="315" t="str">
        <f>IFERROR(__xludf.DUMMYFUNCTION("if(S2744="""",C2744,if(not(iserror(index(split(C2744, "" ""),3))), index(split(C2744, "" ""),3),index(split(C2744, "" ""),2)))"),"")</f>
        <v/>
      </c>
      <c r="U2744" s="38" t="b">
        <f t="shared" si="34"/>
        <v>0</v>
      </c>
      <c r="V2744" s="38"/>
      <c r="W2744" s="40"/>
      <c r="X2744" s="40"/>
      <c r="Y2744" s="38"/>
      <c r="Z2744" s="38"/>
      <c r="AA2744" s="38"/>
      <c r="AB2744" s="38"/>
      <c r="AC2744" s="38"/>
      <c r="AD2744" s="38"/>
      <c r="AE2744" s="38"/>
      <c r="AF2744" s="38"/>
      <c r="AG2744" s="38"/>
      <c r="AH2744" s="38"/>
      <c r="AI2744" s="38"/>
      <c r="AJ2744" s="38"/>
      <c r="AK2744" s="38"/>
      <c r="AL2744" s="38"/>
      <c r="AM2744" s="38"/>
      <c r="AN2744" s="38"/>
      <c r="AO2744" s="38"/>
      <c r="AP2744" s="38"/>
      <c r="AQ2744" s="38"/>
      <c r="AR2744" s="38"/>
      <c r="AS2744" s="38"/>
      <c r="AT2744" s="38"/>
      <c r="AU2744" s="38"/>
      <c r="AV2744" s="38"/>
      <c r="AW2744" s="38"/>
      <c r="AX2744" s="38"/>
      <c r="AY2744" s="38"/>
      <c r="AZ2744" s="38"/>
      <c r="BA2744" s="38"/>
      <c r="BB2744" s="38"/>
      <c r="BC2744" s="38"/>
      <c r="BD2744" s="38"/>
      <c r="BE2744" s="38"/>
      <c r="BF2744" s="38"/>
      <c r="BG2744" s="38"/>
      <c r="BH2744" s="38"/>
      <c r="BI2744" s="38"/>
      <c r="BJ2744" s="38"/>
      <c r="BK2744" s="38"/>
      <c r="BL2744" s="38"/>
      <c r="BM2744" s="38"/>
      <c r="BN2744" s="38"/>
      <c r="BO2744" s="38"/>
      <c r="BP2744" s="38"/>
      <c r="BQ2744" s="38"/>
    </row>
    <row r="2745">
      <c r="A2745" s="16"/>
      <c r="B2745" s="16"/>
      <c r="C2745" s="146"/>
      <c r="D2745" s="146"/>
      <c r="E2745" s="16"/>
      <c r="F2745" s="91"/>
      <c r="G2745" s="16"/>
      <c r="H2745" s="320" t="str">
        <f t="shared" si="33"/>
        <v/>
      </c>
      <c r="I2745" s="16"/>
      <c r="J2745" s="16"/>
      <c r="K2745" s="16"/>
      <c r="L2745" s="16"/>
      <c r="M2745" s="15"/>
      <c r="N2745" s="15"/>
      <c r="O2745" s="16"/>
      <c r="P2745" s="16"/>
      <c r="Q2745" s="16"/>
      <c r="R2745" s="16"/>
      <c r="S2745" s="37" t="str">
        <f>IFERROR(__xludf.DUMMYFUNCTION("if(not(iserror(index(split(C2745, "" ""),2))), index(split(C2745, "" ""),1),"""")"),"")</f>
        <v/>
      </c>
      <c r="T2745" s="315" t="str">
        <f>IFERROR(__xludf.DUMMYFUNCTION("if(S2745="""",C2745,if(not(iserror(index(split(C2745, "" ""),3))), index(split(C2745, "" ""),3),index(split(C2745, "" ""),2)))"),"")</f>
        <v/>
      </c>
      <c r="U2745" s="38" t="b">
        <f t="shared" si="34"/>
        <v>0</v>
      </c>
      <c r="V2745" s="38"/>
      <c r="W2745" s="40"/>
      <c r="X2745" s="40"/>
      <c r="Y2745" s="38"/>
      <c r="Z2745" s="38"/>
      <c r="AA2745" s="38"/>
      <c r="AB2745" s="38"/>
      <c r="AC2745" s="38"/>
      <c r="AD2745" s="38"/>
      <c r="AE2745" s="38"/>
      <c r="AF2745" s="38"/>
      <c r="AG2745" s="38"/>
      <c r="AH2745" s="38"/>
      <c r="AI2745" s="38"/>
      <c r="AJ2745" s="38"/>
      <c r="AK2745" s="38"/>
      <c r="AL2745" s="38"/>
      <c r="AM2745" s="38"/>
      <c r="AN2745" s="38"/>
      <c r="AO2745" s="38"/>
      <c r="AP2745" s="38"/>
      <c r="AQ2745" s="38"/>
      <c r="AR2745" s="38"/>
      <c r="AS2745" s="38"/>
      <c r="AT2745" s="38"/>
      <c r="AU2745" s="38"/>
      <c r="AV2745" s="38"/>
      <c r="AW2745" s="38"/>
      <c r="AX2745" s="38"/>
      <c r="AY2745" s="38"/>
      <c r="AZ2745" s="38"/>
      <c r="BA2745" s="38"/>
      <c r="BB2745" s="38"/>
      <c r="BC2745" s="38"/>
      <c r="BD2745" s="38"/>
      <c r="BE2745" s="38"/>
      <c r="BF2745" s="38"/>
      <c r="BG2745" s="38"/>
      <c r="BH2745" s="38"/>
      <c r="BI2745" s="38"/>
      <c r="BJ2745" s="38"/>
      <c r="BK2745" s="38"/>
      <c r="BL2745" s="38"/>
      <c r="BM2745" s="38"/>
      <c r="BN2745" s="38"/>
      <c r="BO2745" s="38"/>
      <c r="BP2745" s="38"/>
      <c r="BQ2745" s="38"/>
    </row>
    <row r="2746">
      <c r="A2746" s="16"/>
      <c r="B2746" s="16"/>
      <c r="C2746" s="146"/>
      <c r="D2746" s="146"/>
      <c r="E2746" s="16"/>
      <c r="F2746" s="91"/>
      <c r="G2746" s="16"/>
      <c r="H2746" s="320" t="str">
        <f t="shared" si="33"/>
        <v/>
      </c>
      <c r="I2746" s="16"/>
      <c r="J2746" s="16"/>
      <c r="K2746" s="16"/>
      <c r="L2746" s="16"/>
      <c r="M2746" s="15"/>
      <c r="N2746" s="15"/>
      <c r="O2746" s="16"/>
      <c r="P2746" s="16"/>
      <c r="Q2746" s="16"/>
      <c r="R2746" s="16"/>
      <c r="S2746" s="37" t="str">
        <f>IFERROR(__xludf.DUMMYFUNCTION("if(not(iserror(index(split(C2746, "" ""),2))), index(split(C2746, "" ""),1),"""")"),"")</f>
        <v/>
      </c>
      <c r="T2746" s="315" t="str">
        <f>IFERROR(__xludf.DUMMYFUNCTION("if(S2746="""",C2746,if(not(iserror(index(split(C2746, "" ""),3))), index(split(C2746, "" ""),3),index(split(C2746, "" ""),2)))"),"")</f>
        <v/>
      </c>
      <c r="U2746" s="38" t="b">
        <f t="shared" si="34"/>
        <v>0</v>
      </c>
      <c r="V2746" s="38"/>
      <c r="W2746" s="40"/>
      <c r="X2746" s="40"/>
      <c r="Y2746" s="38"/>
      <c r="Z2746" s="38"/>
      <c r="AA2746" s="38"/>
      <c r="AB2746" s="38"/>
      <c r="AC2746" s="38"/>
      <c r="AD2746" s="38"/>
      <c r="AE2746" s="38"/>
      <c r="AF2746" s="38"/>
      <c r="AG2746" s="38"/>
      <c r="AH2746" s="38"/>
      <c r="AI2746" s="38"/>
      <c r="AJ2746" s="38"/>
      <c r="AK2746" s="38"/>
      <c r="AL2746" s="38"/>
      <c r="AM2746" s="38"/>
      <c r="AN2746" s="38"/>
      <c r="AO2746" s="38"/>
      <c r="AP2746" s="38"/>
      <c r="AQ2746" s="38"/>
      <c r="AR2746" s="38"/>
      <c r="AS2746" s="38"/>
      <c r="AT2746" s="38"/>
      <c r="AU2746" s="38"/>
      <c r="AV2746" s="38"/>
      <c r="AW2746" s="38"/>
      <c r="AX2746" s="38"/>
      <c r="AY2746" s="38"/>
      <c r="AZ2746" s="38"/>
      <c r="BA2746" s="38"/>
      <c r="BB2746" s="38"/>
      <c r="BC2746" s="38"/>
      <c r="BD2746" s="38"/>
      <c r="BE2746" s="38"/>
      <c r="BF2746" s="38"/>
      <c r="BG2746" s="38"/>
      <c r="BH2746" s="38"/>
      <c r="BI2746" s="38"/>
      <c r="BJ2746" s="38"/>
      <c r="BK2746" s="38"/>
      <c r="BL2746" s="38"/>
      <c r="BM2746" s="38"/>
      <c r="BN2746" s="38"/>
      <c r="BO2746" s="38"/>
      <c r="BP2746" s="38"/>
      <c r="BQ2746" s="38"/>
    </row>
    <row r="2747">
      <c r="A2747" s="16"/>
      <c r="B2747" s="16"/>
      <c r="C2747" s="146"/>
      <c r="D2747" s="146"/>
      <c r="E2747" s="16"/>
      <c r="F2747" s="91"/>
      <c r="G2747" s="16"/>
      <c r="H2747" s="320" t="str">
        <f t="shared" si="33"/>
        <v/>
      </c>
      <c r="I2747" s="16"/>
      <c r="J2747" s="16"/>
      <c r="K2747" s="16"/>
      <c r="L2747" s="16"/>
      <c r="M2747" s="15"/>
      <c r="N2747" s="15"/>
      <c r="O2747" s="16"/>
      <c r="P2747" s="16"/>
      <c r="Q2747" s="16"/>
      <c r="R2747" s="16"/>
      <c r="S2747" s="37" t="str">
        <f>IFERROR(__xludf.DUMMYFUNCTION("if(not(iserror(index(split(C2747, "" ""),2))), index(split(C2747, "" ""),1),"""")"),"")</f>
        <v/>
      </c>
      <c r="T2747" s="315" t="str">
        <f>IFERROR(__xludf.DUMMYFUNCTION("if(S2747="""",C2747,if(not(iserror(index(split(C2747, "" ""),3))), index(split(C2747, "" ""),3),index(split(C2747, "" ""),2)))"),"")</f>
        <v/>
      </c>
      <c r="U2747" s="38" t="b">
        <f t="shared" si="34"/>
        <v>0</v>
      </c>
      <c r="V2747" s="38"/>
      <c r="W2747" s="40"/>
      <c r="X2747" s="40"/>
      <c r="Y2747" s="38"/>
      <c r="Z2747" s="38"/>
      <c r="AA2747" s="38"/>
      <c r="AB2747" s="38"/>
      <c r="AC2747" s="38"/>
      <c r="AD2747" s="38"/>
      <c r="AE2747" s="38"/>
      <c r="AF2747" s="38"/>
      <c r="AG2747" s="38"/>
      <c r="AH2747" s="38"/>
      <c r="AI2747" s="38"/>
      <c r="AJ2747" s="38"/>
      <c r="AK2747" s="38"/>
      <c r="AL2747" s="38"/>
      <c r="AM2747" s="38"/>
      <c r="AN2747" s="38"/>
      <c r="AO2747" s="38"/>
      <c r="AP2747" s="38"/>
      <c r="AQ2747" s="38"/>
      <c r="AR2747" s="38"/>
      <c r="AS2747" s="38"/>
      <c r="AT2747" s="38"/>
      <c r="AU2747" s="38"/>
      <c r="AV2747" s="38"/>
      <c r="AW2747" s="38"/>
      <c r="AX2747" s="38"/>
      <c r="AY2747" s="38"/>
      <c r="AZ2747" s="38"/>
      <c r="BA2747" s="38"/>
      <c r="BB2747" s="38"/>
      <c r="BC2747" s="38"/>
      <c r="BD2747" s="38"/>
      <c r="BE2747" s="38"/>
      <c r="BF2747" s="38"/>
      <c r="BG2747" s="38"/>
      <c r="BH2747" s="38"/>
      <c r="BI2747" s="38"/>
      <c r="BJ2747" s="38"/>
      <c r="BK2747" s="38"/>
      <c r="BL2747" s="38"/>
      <c r="BM2747" s="38"/>
      <c r="BN2747" s="38"/>
      <c r="BO2747" s="38"/>
      <c r="BP2747" s="38"/>
      <c r="BQ2747" s="38"/>
    </row>
    <row r="2748">
      <c r="A2748" s="16"/>
      <c r="B2748" s="16"/>
      <c r="C2748" s="146"/>
      <c r="D2748" s="146"/>
      <c r="E2748" s="16"/>
      <c r="F2748" s="91"/>
      <c r="G2748" s="16"/>
      <c r="H2748" s="320" t="str">
        <f t="shared" si="33"/>
        <v/>
      </c>
      <c r="I2748" s="16"/>
      <c r="J2748" s="16"/>
      <c r="K2748" s="16"/>
      <c r="L2748" s="16"/>
      <c r="M2748" s="15"/>
      <c r="N2748" s="15"/>
      <c r="O2748" s="16"/>
      <c r="P2748" s="16"/>
      <c r="Q2748" s="16"/>
      <c r="R2748" s="16"/>
      <c r="S2748" s="37" t="str">
        <f>IFERROR(__xludf.DUMMYFUNCTION("if(not(iserror(index(split(C2748, "" ""),2))), index(split(C2748, "" ""),1),"""")"),"")</f>
        <v/>
      </c>
      <c r="T2748" s="315" t="str">
        <f>IFERROR(__xludf.DUMMYFUNCTION("if(S2748="""",C2748,if(not(iserror(index(split(C2748, "" ""),3))), index(split(C2748, "" ""),3),index(split(C2748, "" ""),2)))"),"")</f>
        <v/>
      </c>
      <c r="U2748" s="38" t="b">
        <f t="shared" si="34"/>
        <v>0</v>
      </c>
      <c r="V2748" s="38"/>
      <c r="W2748" s="40"/>
      <c r="X2748" s="40"/>
      <c r="Y2748" s="38"/>
      <c r="Z2748" s="38"/>
      <c r="AA2748" s="38"/>
      <c r="AB2748" s="38"/>
      <c r="AC2748" s="38"/>
      <c r="AD2748" s="38"/>
      <c r="AE2748" s="38"/>
      <c r="AF2748" s="38"/>
      <c r="AG2748" s="38"/>
      <c r="AH2748" s="38"/>
      <c r="AI2748" s="38"/>
      <c r="AJ2748" s="38"/>
      <c r="AK2748" s="38"/>
      <c r="AL2748" s="38"/>
      <c r="AM2748" s="38"/>
      <c r="AN2748" s="38"/>
      <c r="AO2748" s="38"/>
      <c r="AP2748" s="38"/>
      <c r="AQ2748" s="38"/>
      <c r="AR2748" s="38"/>
      <c r="AS2748" s="38"/>
      <c r="AT2748" s="38"/>
      <c r="AU2748" s="38"/>
      <c r="AV2748" s="38"/>
      <c r="AW2748" s="38"/>
      <c r="AX2748" s="38"/>
      <c r="AY2748" s="38"/>
      <c r="AZ2748" s="38"/>
      <c r="BA2748" s="38"/>
      <c r="BB2748" s="38"/>
      <c r="BC2748" s="38"/>
      <c r="BD2748" s="38"/>
      <c r="BE2748" s="38"/>
      <c r="BF2748" s="38"/>
      <c r="BG2748" s="38"/>
      <c r="BH2748" s="38"/>
      <c r="BI2748" s="38"/>
      <c r="BJ2748" s="38"/>
      <c r="BK2748" s="38"/>
      <c r="BL2748" s="38"/>
      <c r="BM2748" s="38"/>
      <c r="BN2748" s="38"/>
      <c r="BO2748" s="38"/>
      <c r="BP2748" s="38"/>
      <c r="BQ2748" s="38"/>
    </row>
    <row r="2749">
      <c r="A2749" s="16"/>
      <c r="B2749" s="16"/>
      <c r="C2749" s="146"/>
      <c r="D2749" s="146"/>
      <c r="E2749" s="16"/>
      <c r="F2749" s="91"/>
      <c r="G2749" s="16"/>
      <c r="H2749" s="320" t="str">
        <f t="shared" si="33"/>
        <v/>
      </c>
      <c r="I2749" s="16"/>
      <c r="J2749" s="16"/>
      <c r="K2749" s="16"/>
      <c r="L2749" s="16"/>
      <c r="M2749" s="15"/>
      <c r="N2749" s="15"/>
      <c r="O2749" s="16"/>
      <c r="P2749" s="16"/>
      <c r="Q2749" s="16"/>
      <c r="R2749" s="16"/>
      <c r="S2749" s="37" t="str">
        <f>IFERROR(__xludf.DUMMYFUNCTION("if(not(iserror(index(split(C2749, "" ""),2))), index(split(C2749, "" ""),1),"""")"),"")</f>
        <v/>
      </c>
      <c r="T2749" s="315" t="str">
        <f>IFERROR(__xludf.DUMMYFUNCTION("if(S2749="""",C2749,if(not(iserror(index(split(C2749, "" ""),3))), index(split(C2749, "" ""),3),index(split(C2749, "" ""),2)))"),"")</f>
        <v/>
      </c>
      <c r="U2749" s="38" t="b">
        <f t="shared" si="34"/>
        <v>0</v>
      </c>
      <c r="V2749" s="38"/>
      <c r="W2749" s="40"/>
      <c r="X2749" s="40"/>
      <c r="Y2749" s="38"/>
      <c r="Z2749" s="38"/>
      <c r="AA2749" s="38"/>
      <c r="AB2749" s="38"/>
      <c r="AC2749" s="38"/>
      <c r="AD2749" s="38"/>
      <c r="AE2749" s="38"/>
      <c r="AF2749" s="38"/>
      <c r="AG2749" s="38"/>
      <c r="AH2749" s="38"/>
      <c r="AI2749" s="38"/>
      <c r="AJ2749" s="38"/>
      <c r="AK2749" s="38"/>
      <c r="AL2749" s="38"/>
      <c r="AM2749" s="38"/>
      <c r="AN2749" s="38"/>
      <c r="AO2749" s="38"/>
      <c r="AP2749" s="38"/>
      <c r="AQ2749" s="38"/>
      <c r="AR2749" s="38"/>
      <c r="AS2749" s="38"/>
      <c r="AT2749" s="38"/>
      <c r="AU2749" s="38"/>
      <c r="AV2749" s="38"/>
      <c r="AW2749" s="38"/>
      <c r="AX2749" s="38"/>
      <c r="AY2749" s="38"/>
      <c r="AZ2749" s="38"/>
      <c r="BA2749" s="38"/>
      <c r="BB2749" s="38"/>
      <c r="BC2749" s="38"/>
      <c r="BD2749" s="38"/>
      <c r="BE2749" s="38"/>
      <c r="BF2749" s="38"/>
      <c r="BG2749" s="38"/>
      <c r="BH2749" s="38"/>
      <c r="BI2749" s="38"/>
      <c r="BJ2749" s="38"/>
      <c r="BK2749" s="38"/>
      <c r="BL2749" s="38"/>
      <c r="BM2749" s="38"/>
      <c r="BN2749" s="38"/>
      <c r="BO2749" s="38"/>
      <c r="BP2749" s="38"/>
      <c r="BQ2749" s="38"/>
    </row>
    <row r="2750">
      <c r="A2750" s="16"/>
      <c r="B2750" s="16"/>
      <c r="C2750" s="146"/>
      <c r="D2750" s="146"/>
      <c r="E2750" s="16"/>
      <c r="F2750" s="91"/>
      <c r="G2750" s="16"/>
      <c r="H2750" s="320" t="str">
        <f t="shared" si="33"/>
        <v/>
      </c>
      <c r="I2750" s="16"/>
      <c r="J2750" s="16"/>
      <c r="K2750" s="16"/>
      <c r="L2750" s="16"/>
      <c r="M2750" s="15"/>
      <c r="N2750" s="15"/>
      <c r="O2750" s="16"/>
      <c r="P2750" s="16"/>
      <c r="Q2750" s="16"/>
      <c r="R2750" s="16"/>
      <c r="S2750" s="37" t="str">
        <f>IFERROR(__xludf.DUMMYFUNCTION("if(not(iserror(index(split(C2750, "" ""),2))), index(split(C2750, "" ""),1),"""")"),"")</f>
        <v/>
      </c>
      <c r="T2750" s="315" t="str">
        <f>IFERROR(__xludf.DUMMYFUNCTION("if(S2750="""",C2750,if(not(iserror(index(split(C2750, "" ""),3))), index(split(C2750, "" ""),3),index(split(C2750, "" ""),2)))"),"")</f>
        <v/>
      </c>
      <c r="U2750" s="38" t="b">
        <f t="shared" si="34"/>
        <v>0</v>
      </c>
      <c r="V2750" s="38"/>
      <c r="W2750" s="40"/>
      <c r="X2750" s="40"/>
      <c r="Y2750" s="38"/>
      <c r="Z2750" s="38"/>
      <c r="AA2750" s="38"/>
      <c r="AB2750" s="38"/>
      <c r="AC2750" s="38"/>
      <c r="AD2750" s="38"/>
      <c r="AE2750" s="38"/>
      <c r="AF2750" s="38"/>
      <c r="AG2750" s="38"/>
      <c r="AH2750" s="38"/>
      <c r="AI2750" s="38"/>
      <c r="AJ2750" s="38"/>
      <c r="AK2750" s="38"/>
      <c r="AL2750" s="38"/>
      <c r="AM2750" s="38"/>
      <c r="AN2750" s="38"/>
      <c r="AO2750" s="38"/>
      <c r="AP2750" s="38"/>
      <c r="AQ2750" s="38"/>
      <c r="AR2750" s="38"/>
      <c r="AS2750" s="38"/>
      <c r="AT2750" s="38"/>
      <c r="AU2750" s="38"/>
      <c r="AV2750" s="38"/>
      <c r="AW2750" s="38"/>
      <c r="AX2750" s="38"/>
      <c r="AY2750" s="38"/>
      <c r="AZ2750" s="38"/>
      <c r="BA2750" s="38"/>
      <c r="BB2750" s="38"/>
      <c r="BC2750" s="38"/>
      <c r="BD2750" s="38"/>
      <c r="BE2750" s="38"/>
      <c r="BF2750" s="38"/>
      <c r="BG2750" s="38"/>
      <c r="BH2750" s="38"/>
      <c r="BI2750" s="38"/>
      <c r="BJ2750" s="38"/>
      <c r="BK2750" s="38"/>
      <c r="BL2750" s="38"/>
      <c r="BM2750" s="38"/>
      <c r="BN2750" s="38"/>
      <c r="BO2750" s="38"/>
      <c r="BP2750" s="38"/>
      <c r="BQ2750" s="38"/>
    </row>
    <row r="2751">
      <c r="A2751" s="16"/>
      <c r="B2751" s="16"/>
      <c r="C2751" s="146"/>
      <c r="D2751" s="146"/>
      <c r="E2751" s="16"/>
      <c r="F2751" s="91"/>
      <c r="G2751" s="16"/>
      <c r="H2751" s="320" t="str">
        <f t="shared" si="33"/>
        <v/>
      </c>
      <c r="I2751" s="16"/>
      <c r="J2751" s="16"/>
      <c r="K2751" s="16"/>
      <c r="L2751" s="16"/>
      <c r="M2751" s="15"/>
      <c r="N2751" s="15"/>
      <c r="O2751" s="16"/>
      <c r="P2751" s="16"/>
      <c r="Q2751" s="16"/>
      <c r="R2751" s="16"/>
      <c r="S2751" s="37" t="str">
        <f>IFERROR(__xludf.DUMMYFUNCTION("if(not(iserror(index(split(C2751, "" ""),2))), index(split(C2751, "" ""),1),"""")"),"")</f>
        <v/>
      </c>
      <c r="T2751" s="315" t="str">
        <f>IFERROR(__xludf.DUMMYFUNCTION("if(S2751="""",C2751,if(not(iserror(index(split(C2751, "" ""),3))), index(split(C2751, "" ""),3),index(split(C2751, "" ""),2)))"),"")</f>
        <v/>
      </c>
      <c r="U2751" s="38" t="b">
        <f t="shared" si="34"/>
        <v>0</v>
      </c>
      <c r="V2751" s="38"/>
      <c r="W2751" s="40"/>
      <c r="X2751" s="40"/>
      <c r="Y2751" s="38"/>
      <c r="Z2751" s="38"/>
      <c r="AA2751" s="38"/>
      <c r="AB2751" s="38"/>
      <c r="AC2751" s="38"/>
      <c r="AD2751" s="38"/>
      <c r="AE2751" s="38"/>
      <c r="AF2751" s="38"/>
      <c r="AG2751" s="38"/>
      <c r="AH2751" s="38"/>
      <c r="AI2751" s="38"/>
      <c r="AJ2751" s="38"/>
      <c r="AK2751" s="38"/>
      <c r="AL2751" s="38"/>
      <c r="AM2751" s="38"/>
      <c r="AN2751" s="38"/>
      <c r="AO2751" s="38"/>
      <c r="AP2751" s="38"/>
      <c r="AQ2751" s="38"/>
      <c r="AR2751" s="38"/>
      <c r="AS2751" s="38"/>
      <c r="AT2751" s="38"/>
      <c r="AU2751" s="38"/>
      <c r="AV2751" s="38"/>
      <c r="AW2751" s="38"/>
      <c r="AX2751" s="38"/>
      <c r="AY2751" s="38"/>
      <c r="AZ2751" s="38"/>
      <c r="BA2751" s="38"/>
      <c r="BB2751" s="38"/>
      <c r="BC2751" s="38"/>
      <c r="BD2751" s="38"/>
      <c r="BE2751" s="38"/>
      <c r="BF2751" s="38"/>
      <c r="BG2751" s="38"/>
      <c r="BH2751" s="38"/>
      <c r="BI2751" s="38"/>
      <c r="BJ2751" s="38"/>
      <c r="BK2751" s="38"/>
      <c r="BL2751" s="38"/>
      <c r="BM2751" s="38"/>
      <c r="BN2751" s="38"/>
      <c r="BO2751" s="38"/>
      <c r="BP2751" s="38"/>
      <c r="BQ2751" s="38"/>
    </row>
    <row r="2752">
      <c r="A2752" s="16"/>
      <c r="B2752" s="16"/>
      <c r="C2752" s="146"/>
      <c r="D2752" s="146"/>
      <c r="E2752" s="16"/>
      <c r="F2752" s="91"/>
      <c r="G2752" s="16"/>
      <c r="H2752" s="320" t="str">
        <f t="shared" si="33"/>
        <v/>
      </c>
      <c r="I2752" s="16"/>
      <c r="J2752" s="16"/>
      <c r="K2752" s="16"/>
      <c r="L2752" s="16"/>
      <c r="M2752" s="15"/>
      <c r="N2752" s="15"/>
      <c r="O2752" s="16"/>
      <c r="P2752" s="16"/>
      <c r="Q2752" s="16"/>
      <c r="R2752" s="16"/>
      <c r="S2752" s="37" t="str">
        <f>IFERROR(__xludf.DUMMYFUNCTION("if(not(iserror(index(split(C2752, "" ""),2))), index(split(C2752, "" ""),1),"""")"),"")</f>
        <v/>
      </c>
      <c r="T2752" s="315" t="str">
        <f>IFERROR(__xludf.DUMMYFUNCTION("if(S2752="""",C2752,if(not(iserror(index(split(C2752, "" ""),3))), index(split(C2752, "" ""),3),index(split(C2752, "" ""),2)))"),"")</f>
        <v/>
      </c>
      <c r="U2752" s="38" t="b">
        <f t="shared" si="34"/>
        <v>0</v>
      </c>
      <c r="V2752" s="38"/>
      <c r="W2752" s="40"/>
      <c r="X2752" s="40"/>
      <c r="Y2752" s="38"/>
      <c r="Z2752" s="38"/>
      <c r="AA2752" s="38"/>
      <c r="AB2752" s="38"/>
      <c r="AC2752" s="38"/>
      <c r="AD2752" s="38"/>
      <c r="AE2752" s="38"/>
      <c r="AF2752" s="38"/>
      <c r="AG2752" s="38"/>
      <c r="AH2752" s="38"/>
      <c r="AI2752" s="38"/>
      <c r="AJ2752" s="38"/>
      <c r="AK2752" s="38"/>
      <c r="AL2752" s="38"/>
      <c r="AM2752" s="38"/>
      <c r="AN2752" s="38"/>
      <c r="AO2752" s="38"/>
      <c r="AP2752" s="38"/>
      <c r="AQ2752" s="38"/>
      <c r="AR2752" s="38"/>
      <c r="AS2752" s="38"/>
      <c r="AT2752" s="38"/>
      <c r="AU2752" s="38"/>
      <c r="AV2752" s="38"/>
      <c r="AW2752" s="38"/>
      <c r="AX2752" s="38"/>
      <c r="AY2752" s="38"/>
      <c r="AZ2752" s="38"/>
      <c r="BA2752" s="38"/>
      <c r="BB2752" s="38"/>
      <c r="BC2752" s="38"/>
      <c r="BD2752" s="38"/>
      <c r="BE2752" s="38"/>
      <c r="BF2752" s="38"/>
      <c r="BG2752" s="38"/>
      <c r="BH2752" s="38"/>
      <c r="BI2752" s="38"/>
      <c r="BJ2752" s="38"/>
      <c r="BK2752" s="38"/>
      <c r="BL2752" s="38"/>
      <c r="BM2752" s="38"/>
      <c r="BN2752" s="38"/>
      <c r="BO2752" s="38"/>
      <c r="BP2752" s="38"/>
      <c r="BQ2752" s="38"/>
    </row>
    <row r="2753">
      <c r="A2753" s="16"/>
      <c r="B2753" s="16"/>
      <c r="C2753" s="146"/>
      <c r="D2753" s="146"/>
      <c r="E2753" s="16"/>
      <c r="F2753" s="91"/>
      <c r="G2753" s="16"/>
      <c r="H2753" s="320" t="str">
        <f t="shared" si="33"/>
        <v/>
      </c>
      <c r="I2753" s="16"/>
      <c r="J2753" s="16"/>
      <c r="K2753" s="16"/>
      <c r="L2753" s="16"/>
      <c r="M2753" s="15"/>
      <c r="N2753" s="15"/>
      <c r="O2753" s="16"/>
      <c r="P2753" s="16"/>
      <c r="Q2753" s="16"/>
      <c r="R2753" s="16"/>
      <c r="S2753" s="37" t="str">
        <f>IFERROR(__xludf.DUMMYFUNCTION("if(not(iserror(index(split(C2753, "" ""),2))), index(split(C2753, "" ""),1),"""")"),"")</f>
        <v/>
      </c>
      <c r="T2753" s="315" t="str">
        <f>IFERROR(__xludf.DUMMYFUNCTION("if(S2753="""",C2753,if(not(iserror(index(split(C2753, "" ""),3))), index(split(C2753, "" ""),3),index(split(C2753, "" ""),2)))"),"")</f>
        <v/>
      </c>
      <c r="U2753" s="38" t="b">
        <f t="shared" si="34"/>
        <v>0</v>
      </c>
      <c r="V2753" s="38"/>
      <c r="W2753" s="40"/>
      <c r="X2753" s="40"/>
      <c r="Y2753" s="38"/>
      <c r="Z2753" s="38"/>
      <c r="AA2753" s="38"/>
      <c r="AB2753" s="38"/>
      <c r="AC2753" s="38"/>
      <c r="AD2753" s="38"/>
      <c r="AE2753" s="38"/>
      <c r="AF2753" s="38"/>
      <c r="AG2753" s="38"/>
      <c r="AH2753" s="38"/>
      <c r="AI2753" s="38"/>
      <c r="AJ2753" s="38"/>
      <c r="AK2753" s="38"/>
      <c r="AL2753" s="38"/>
      <c r="AM2753" s="38"/>
      <c r="AN2753" s="38"/>
      <c r="AO2753" s="38"/>
      <c r="AP2753" s="38"/>
      <c r="AQ2753" s="38"/>
      <c r="AR2753" s="38"/>
      <c r="AS2753" s="38"/>
      <c r="AT2753" s="38"/>
      <c r="AU2753" s="38"/>
      <c r="AV2753" s="38"/>
      <c r="AW2753" s="38"/>
      <c r="AX2753" s="38"/>
      <c r="AY2753" s="38"/>
      <c r="AZ2753" s="38"/>
      <c r="BA2753" s="38"/>
      <c r="BB2753" s="38"/>
      <c r="BC2753" s="38"/>
      <c r="BD2753" s="38"/>
      <c r="BE2753" s="38"/>
      <c r="BF2753" s="38"/>
      <c r="BG2753" s="38"/>
      <c r="BH2753" s="38"/>
      <c r="BI2753" s="38"/>
      <c r="BJ2753" s="38"/>
      <c r="BK2753" s="38"/>
      <c r="BL2753" s="38"/>
      <c r="BM2753" s="38"/>
      <c r="BN2753" s="38"/>
      <c r="BO2753" s="38"/>
      <c r="BP2753" s="38"/>
      <c r="BQ2753" s="38"/>
    </row>
    <row r="2754">
      <c r="A2754" s="16"/>
      <c r="B2754" s="16"/>
      <c r="C2754" s="146"/>
      <c r="D2754" s="146"/>
      <c r="E2754" s="16"/>
      <c r="F2754" s="91"/>
      <c r="G2754" s="16"/>
      <c r="H2754" s="320" t="str">
        <f t="shared" si="33"/>
        <v/>
      </c>
      <c r="I2754" s="16"/>
      <c r="J2754" s="16"/>
      <c r="K2754" s="16"/>
      <c r="L2754" s="16"/>
      <c r="M2754" s="15"/>
      <c r="N2754" s="15"/>
      <c r="O2754" s="16"/>
      <c r="P2754" s="16"/>
      <c r="Q2754" s="16"/>
      <c r="R2754" s="16"/>
      <c r="S2754" s="37" t="str">
        <f>IFERROR(__xludf.DUMMYFUNCTION("if(not(iserror(index(split(C2754, "" ""),2))), index(split(C2754, "" ""),1),"""")"),"")</f>
        <v/>
      </c>
      <c r="T2754" s="315" t="str">
        <f>IFERROR(__xludf.DUMMYFUNCTION("if(S2754="""",C2754,if(not(iserror(index(split(C2754, "" ""),3))), index(split(C2754, "" ""),3),index(split(C2754, "" ""),2)))"),"")</f>
        <v/>
      </c>
      <c r="U2754" s="38" t="b">
        <f t="shared" si="34"/>
        <v>0</v>
      </c>
      <c r="V2754" s="38"/>
      <c r="W2754" s="40"/>
      <c r="X2754" s="40"/>
      <c r="Y2754" s="38"/>
      <c r="Z2754" s="38"/>
      <c r="AA2754" s="38"/>
      <c r="AB2754" s="38"/>
      <c r="AC2754" s="38"/>
      <c r="AD2754" s="38"/>
      <c r="AE2754" s="38"/>
      <c r="AF2754" s="38"/>
      <c r="AG2754" s="38"/>
      <c r="AH2754" s="38"/>
      <c r="AI2754" s="38"/>
      <c r="AJ2754" s="38"/>
      <c r="AK2754" s="38"/>
      <c r="AL2754" s="38"/>
      <c r="AM2754" s="38"/>
      <c r="AN2754" s="38"/>
      <c r="AO2754" s="38"/>
      <c r="AP2754" s="38"/>
      <c r="AQ2754" s="38"/>
      <c r="AR2754" s="38"/>
      <c r="AS2754" s="38"/>
      <c r="AT2754" s="38"/>
      <c r="AU2754" s="38"/>
      <c r="AV2754" s="38"/>
      <c r="AW2754" s="38"/>
      <c r="AX2754" s="38"/>
      <c r="AY2754" s="38"/>
      <c r="AZ2754" s="38"/>
      <c r="BA2754" s="38"/>
      <c r="BB2754" s="38"/>
      <c r="BC2754" s="38"/>
      <c r="BD2754" s="38"/>
      <c r="BE2754" s="38"/>
      <c r="BF2754" s="38"/>
      <c r="BG2754" s="38"/>
      <c r="BH2754" s="38"/>
      <c r="BI2754" s="38"/>
      <c r="BJ2754" s="38"/>
      <c r="BK2754" s="38"/>
      <c r="BL2754" s="38"/>
      <c r="BM2754" s="38"/>
      <c r="BN2754" s="38"/>
      <c r="BO2754" s="38"/>
      <c r="BP2754" s="38"/>
      <c r="BQ2754" s="38"/>
    </row>
    <row r="2755">
      <c r="A2755" s="16"/>
      <c r="B2755" s="16"/>
      <c r="C2755" s="146"/>
      <c r="D2755" s="146"/>
      <c r="E2755" s="16"/>
      <c r="F2755" s="91"/>
      <c r="G2755" s="16"/>
      <c r="H2755" s="320" t="str">
        <f t="shared" si="33"/>
        <v/>
      </c>
      <c r="I2755" s="16"/>
      <c r="J2755" s="16"/>
      <c r="K2755" s="16"/>
      <c r="L2755" s="16"/>
      <c r="M2755" s="15"/>
      <c r="N2755" s="15"/>
      <c r="O2755" s="16"/>
      <c r="P2755" s="16"/>
      <c r="Q2755" s="16"/>
      <c r="R2755" s="16"/>
      <c r="S2755" s="37" t="str">
        <f>IFERROR(__xludf.DUMMYFUNCTION("if(not(iserror(index(split(C2755, "" ""),2))), index(split(C2755, "" ""),1),"""")"),"")</f>
        <v/>
      </c>
      <c r="T2755" s="315" t="str">
        <f>IFERROR(__xludf.DUMMYFUNCTION("if(S2755="""",C2755,if(not(iserror(index(split(C2755, "" ""),3))), index(split(C2755, "" ""),3),index(split(C2755, "" ""),2)))"),"")</f>
        <v/>
      </c>
      <c r="U2755" s="38" t="b">
        <f t="shared" si="34"/>
        <v>0</v>
      </c>
      <c r="V2755" s="38"/>
      <c r="W2755" s="40"/>
      <c r="X2755" s="40"/>
      <c r="Y2755" s="38"/>
      <c r="Z2755" s="38"/>
      <c r="AA2755" s="38"/>
      <c r="AB2755" s="38"/>
      <c r="AC2755" s="38"/>
      <c r="AD2755" s="38"/>
      <c r="AE2755" s="38"/>
      <c r="AF2755" s="38"/>
      <c r="AG2755" s="38"/>
      <c r="AH2755" s="38"/>
      <c r="AI2755" s="38"/>
      <c r="AJ2755" s="38"/>
      <c r="AK2755" s="38"/>
      <c r="AL2755" s="38"/>
      <c r="AM2755" s="38"/>
      <c r="AN2755" s="38"/>
      <c r="AO2755" s="38"/>
      <c r="AP2755" s="38"/>
      <c r="AQ2755" s="38"/>
      <c r="AR2755" s="38"/>
      <c r="AS2755" s="38"/>
      <c r="AT2755" s="38"/>
      <c r="AU2755" s="38"/>
      <c r="AV2755" s="38"/>
      <c r="AW2755" s="38"/>
      <c r="AX2755" s="38"/>
      <c r="AY2755" s="38"/>
      <c r="AZ2755" s="38"/>
      <c r="BA2755" s="38"/>
      <c r="BB2755" s="38"/>
      <c r="BC2755" s="38"/>
      <c r="BD2755" s="38"/>
      <c r="BE2755" s="38"/>
      <c r="BF2755" s="38"/>
      <c r="BG2755" s="38"/>
      <c r="BH2755" s="38"/>
      <c r="BI2755" s="38"/>
      <c r="BJ2755" s="38"/>
      <c r="BK2755" s="38"/>
      <c r="BL2755" s="38"/>
      <c r="BM2755" s="38"/>
      <c r="BN2755" s="38"/>
      <c r="BO2755" s="38"/>
      <c r="BP2755" s="38"/>
      <c r="BQ2755" s="38"/>
    </row>
    <row r="2756">
      <c r="A2756" s="16"/>
      <c r="B2756" s="16"/>
      <c r="C2756" s="146"/>
      <c r="D2756" s="146"/>
      <c r="E2756" s="16"/>
      <c r="F2756" s="91"/>
      <c r="G2756" s="16"/>
      <c r="H2756" s="320" t="str">
        <f t="shared" si="33"/>
        <v/>
      </c>
      <c r="I2756" s="16"/>
      <c r="J2756" s="16"/>
      <c r="K2756" s="16"/>
      <c r="L2756" s="16"/>
      <c r="M2756" s="15"/>
      <c r="N2756" s="15"/>
      <c r="O2756" s="16"/>
      <c r="P2756" s="16"/>
      <c r="Q2756" s="16"/>
      <c r="R2756" s="16"/>
      <c r="S2756" s="37" t="str">
        <f>IFERROR(__xludf.DUMMYFUNCTION("if(not(iserror(index(split(C2756, "" ""),2))), index(split(C2756, "" ""),1),"""")"),"")</f>
        <v/>
      </c>
      <c r="T2756" s="315" t="str">
        <f>IFERROR(__xludf.DUMMYFUNCTION("if(S2756="""",C2756,if(not(iserror(index(split(C2756, "" ""),3))), index(split(C2756, "" ""),3),index(split(C2756, "" ""),2)))"),"")</f>
        <v/>
      </c>
      <c r="U2756" s="38" t="b">
        <f t="shared" si="34"/>
        <v>0</v>
      </c>
      <c r="V2756" s="38"/>
      <c r="W2756" s="40"/>
      <c r="X2756" s="40"/>
      <c r="Y2756" s="38"/>
      <c r="Z2756" s="38"/>
      <c r="AA2756" s="38"/>
      <c r="AB2756" s="38"/>
      <c r="AC2756" s="38"/>
      <c r="AD2756" s="38"/>
      <c r="AE2756" s="38"/>
      <c r="AF2756" s="38"/>
      <c r="AG2756" s="38"/>
      <c r="AH2756" s="38"/>
      <c r="AI2756" s="38"/>
      <c r="AJ2756" s="38"/>
      <c r="AK2756" s="38"/>
      <c r="AL2756" s="38"/>
      <c r="AM2756" s="38"/>
      <c r="AN2756" s="38"/>
      <c r="AO2756" s="38"/>
      <c r="AP2756" s="38"/>
      <c r="AQ2756" s="38"/>
      <c r="AR2756" s="38"/>
      <c r="AS2756" s="38"/>
      <c r="AT2756" s="38"/>
      <c r="AU2756" s="38"/>
      <c r="AV2756" s="38"/>
      <c r="AW2756" s="38"/>
      <c r="AX2756" s="38"/>
      <c r="AY2756" s="38"/>
      <c r="AZ2756" s="38"/>
      <c r="BA2756" s="38"/>
      <c r="BB2756" s="38"/>
      <c r="BC2756" s="38"/>
      <c r="BD2756" s="38"/>
      <c r="BE2756" s="38"/>
      <c r="BF2756" s="38"/>
      <c r="BG2756" s="38"/>
      <c r="BH2756" s="38"/>
      <c r="BI2756" s="38"/>
      <c r="BJ2756" s="38"/>
      <c r="BK2756" s="38"/>
      <c r="BL2756" s="38"/>
      <c r="BM2756" s="38"/>
      <c r="BN2756" s="38"/>
      <c r="BO2756" s="38"/>
      <c r="BP2756" s="38"/>
      <c r="BQ2756" s="38"/>
    </row>
    <row r="2757">
      <c r="A2757" s="16"/>
      <c r="B2757" s="16"/>
      <c r="C2757" s="146"/>
      <c r="D2757" s="146"/>
      <c r="E2757" s="16"/>
      <c r="F2757" s="91"/>
      <c r="G2757" s="16"/>
      <c r="H2757" s="320" t="str">
        <f t="shared" si="33"/>
        <v/>
      </c>
      <c r="I2757" s="16"/>
      <c r="J2757" s="16"/>
      <c r="K2757" s="16"/>
      <c r="L2757" s="16"/>
      <c r="M2757" s="15"/>
      <c r="N2757" s="15"/>
      <c r="O2757" s="16"/>
      <c r="P2757" s="16"/>
      <c r="Q2757" s="16"/>
      <c r="R2757" s="16"/>
      <c r="S2757" s="37" t="str">
        <f>IFERROR(__xludf.DUMMYFUNCTION("if(not(iserror(index(split(C2757, "" ""),2))), index(split(C2757, "" ""),1),"""")"),"")</f>
        <v/>
      </c>
      <c r="T2757" s="315" t="str">
        <f>IFERROR(__xludf.DUMMYFUNCTION("if(S2757="""",C2757,if(not(iserror(index(split(C2757, "" ""),3))), index(split(C2757, "" ""),3),index(split(C2757, "" ""),2)))"),"")</f>
        <v/>
      </c>
      <c r="U2757" s="38" t="b">
        <f t="shared" si="34"/>
        <v>0</v>
      </c>
      <c r="V2757" s="38"/>
      <c r="W2757" s="40"/>
      <c r="X2757" s="40"/>
      <c r="Y2757" s="38"/>
      <c r="Z2757" s="38"/>
      <c r="AA2757" s="38"/>
      <c r="AB2757" s="38"/>
      <c r="AC2757" s="38"/>
      <c r="AD2757" s="38"/>
      <c r="AE2757" s="38"/>
      <c r="AF2757" s="38"/>
      <c r="AG2757" s="38"/>
      <c r="AH2757" s="38"/>
      <c r="AI2757" s="38"/>
      <c r="AJ2757" s="38"/>
      <c r="AK2757" s="38"/>
      <c r="AL2757" s="38"/>
      <c r="AM2757" s="38"/>
      <c r="AN2757" s="38"/>
      <c r="AO2757" s="38"/>
      <c r="AP2757" s="38"/>
      <c r="AQ2757" s="38"/>
      <c r="AR2757" s="38"/>
      <c r="AS2757" s="38"/>
      <c r="AT2757" s="38"/>
      <c r="AU2757" s="38"/>
      <c r="AV2757" s="38"/>
      <c r="AW2757" s="38"/>
      <c r="AX2757" s="38"/>
      <c r="AY2757" s="38"/>
      <c r="AZ2757" s="38"/>
      <c r="BA2757" s="38"/>
      <c r="BB2757" s="38"/>
      <c r="BC2757" s="38"/>
      <c r="BD2757" s="38"/>
      <c r="BE2757" s="38"/>
      <c r="BF2757" s="38"/>
      <c r="BG2757" s="38"/>
      <c r="BH2757" s="38"/>
      <c r="BI2757" s="38"/>
      <c r="BJ2757" s="38"/>
      <c r="BK2757" s="38"/>
      <c r="BL2757" s="38"/>
      <c r="BM2757" s="38"/>
      <c r="BN2757" s="38"/>
      <c r="BO2757" s="38"/>
      <c r="BP2757" s="38"/>
      <c r="BQ2757" s="38"/>
    </row>
    <row r="2758">
      <c r="A2758" s="16"/>
      <c r="B2758" s="16"/>
      <c r="C2758" s="146"/>
      <c r="D2758" s="146"/>
      <c r="E2758" s="16"/>
      <c r="F2758" s="91"/>
      <c r="G2758" s="16"/>
      <c r="H2758" s="320" t="str">
        <f t="shared" si="33"/>
        <v/>
      </c>
      <c r="I2758" s="16"/>
      <c r="J2758" s="16"/>
      <c r="K2758" s="16"/>
      <c r="L2758" s="16"/>
      <c r="M2758" s="15"/>
      <c r="N2758" s="15"/>
      <c r="O2758" s="16"/>
      <c r="P2758" s="16"/>
      <c r="Q2758" s="16"/>
      <c r="R2758" s="16"/>
      <c r="S2758" s="37" t="str">
        <f>IFERROR(__xludf.DUMMYFUNCTION("if(not(iserror(index(split(C2758, "" ""),2))), index(split(C2758, "" ""),1),"""")"),"")</f>
        <v/>
      </c>
      <c r="T2758" s="315" t="str">
        <f>IFERROR(__xludf.DUMMYFUNCTION("if(S2758="""",C2758,if(not(iserror(index(split(C2758, "" ""),3))), index(split(C2758, "" ""),3),index(split(C2758, "" ""),2)))"),"")</f>
        <v/>
      </c>
      <c r="U2758" s="38" t="b">
        <f t="shared" si="34"/>
        <v>0</v>
      </c>
      <c r="V2758" s="38"/>
      <c r="W2758" s="40"/>
      <c r="X2758" s="40"/>
      <c r="Y2758" s="38"/>
      <c r="Z2758" s="38"/>
      <c r="AA2758" s="38"/>
      <c r="AB2758" s="38"/>
      <c r="AC2758" s="38"/>
      <c r="AD2758" s="38"/>
      <c r="AE2758" s="38"/>
      <c r="AF2758" s="38"/>
      <c r="AG2758" s="38"/>
      <c r="AH2758" s="38"/>
      <c r="AI2758" s="38"/>
      <c r="AJ2758" s="38"/>
      <c r="AK2758" s="38"/>
      <c r="AL2758" s="38"/>
      <c r="AM2758" s="38"/>
      <c r="AN2758" s="38"/>
      <c r="AO2758" s="38"/>
      <c r="AP2758" s="38"/>
      <c r="AQ2758" s="38"/>
      <c r="AR2758" s="38"/>
      <c r="AS2758" s="38"/>
      <c r="AT2758" s="38"/>
      <c r="AU2758" s="38"/>
      <c r="AV2758" s="38"/>
      <c r="AW2758" s="38"/>
      <c r="AX2758" s="38"/>
      <c r="AY2758" s="38"/>
      <c r="AZ2758" s="38"/>
      <c r="BA2758" s="38"/>
      <c r="BB2758" s="38"/>
      <c r="BC2758" s="38"/>
      <c r="BD2758" s="38"/>
      <c r="BE2758" s="38"/>
      <c r="BF2758" s="38"/>
      <c r="BG2758" s="38"/>
      <c r="BH2758" s="38"/>
      <c r="BI2758" s="38"/>
      <c r="BJ2758" s="38"/>
      <c r="BK2758" s="38"/>
      <c r="BL2758" s="38"/>
      <c r="BM2758" s="38"/>
      <c r="BN2758" s="38"/>
      <c r="BO2758" s="38"/>
      <c r="BP2758" s="38"/>
      <c r="BQ2758" s="38"/>
    </row>
    <row r="2759">
      <c r="A2759" s="16"/>
      <c r="B2759" s="16"/>
      <c r="C2759" s="146"/>
      <c r="D2759" s="146"/>
      <c r="E2759" s="16"/>
      <c r="F2759" s="91"/>
      <c r="G2759" s="16"/>
      <c r="H2759" s="320" t="str">
        <f t="shared" si="33"/>
        <v/>
      </c>
      <c r="I2759" s="16"/>
      <c r="J2759" s="16"/>
      <c r="K2759" s="16"/>
      <c r="L2759" s="16"/>
      <c r="M2759" s="15"/>
      <c r="N2759" s="15"/>
      <c r="O2759" s="16"/>
      <c r="P2759" s="16"/>
      <c r="Q2759" s="16"/>
      <c r="R2759" s="16"/>
      <c r="S2759" s="37" t="str">
        <f>IFERROR(__xludf.DUMMYFUNCTION("if(not(iserror(index(split(C2759, "" ""),2))), index(split(C2759, "" ""),1),"""")"),"")</f>
        <v/>
      </c>
      <c r="T2759" s="315" t="str">
        <f>IFERROR(__xludf.DUMMYFUNCTION("if(S2759="""",C2759,if(not(iserror(index(split(C2759, "" ""),3))), index(split(C2759, "" ""),3),index(split(C2759, "" ""),2)))"),"")</f>
        <v/>
      </c>
      <c r="U2759" s="38" t="b">
        <f t="shared" si="34"/>
        <v>0</v>
      </c>
      <c r="V2759" s="38"/>
      <c r="W2759" s="40"/>
      <c r="X2759" s="40"/>
      <c r="Y2759" s="38"/>
      <c r="Z2759" s="38"/>
      <c r="AA2759" s="38"/>
      <c r="AB2759" s="38"/>
      <c r="AC2759" s="38"/>
      <c r="AD2759" s="38"/>
      <c r="AE2759" s="38"/>
      <c r="AF2759" s="38"/>
      <c r="AG2759" s="38"/>
      <c r="AH2759" s="38"/>
      <c r="AI2759" s="38"/>
      <c r="AJ2759" s="38"/>
      <c r="AK2759" s="38"/>
      <c r="AL2759" s="38"/>
      <c r="AM2759" s="38"/>
      <c r="AN2759" s="38"/>
      <c r="AO2759" s="38"/>
      <c r="AP2759" s="38"/>
      <c r="AQ2759" s="38"/>
      <c r="AR2759" s="38"/>
      <c r="AS2759" s="38"/>
      <c r="AT2759" s="38"/>
      <c r="AU2759" s="38"/>
      <c r="AV2759" s="38"/>
      <c r="AW2759" s="38"/>
      <c r="AX2759" s="38"/>
      <c r="AY2759" s="38"/>
      <c r="AZ2759" s="38"/>
      <c r="BA2759" s="38"/>
      <c r="BB2759" s="38"/>
      <c r="BC2759" s="38"/>
      <c r="BD2759" s="38"/>
      <c r="BE2759" s="38"/>
      <c r="BF2759" s="38"/>
      <c r="BG2759" s="38"/>
      <c r="BH2759" s="38"/>
      <c r="BI2759" s="38"/>
      <c r="BJ2759" s="38"/>
      <c r="BK2759" s="38"/>
      <c r="BL2759" s="38"/>
      <c r="BM2759" s="38"/>
      <c r="BN2759" s="38"/>
      <c r="BO2759" s="38"/>
      <c r="BP2759" s="38"/>
      <c r="BQ2759" s="38"/>
    </row>
    <row r="2760">
      <c r="A2760" s="16"/>
      <c r="B2760" s="16"/>
      <c r="C2760" s="146"/>
      <c r="D2760" s="146"/>
      <c r="E2760" s="16"/>
      <c r="F2760" s="91"/>
      <c r="G2760" s="16"/>
      <c r="H2760" s="320" t="str">
        <f t="shared" si="33"/>
        <v/>
      </c>
      <c r="I2760" s="16"/>
      <c r="J2760" s="16"/>
      <c r="K2760" s="16"/>
      <c r="L2760" s="16"/>
      <c r="M2760" s="15"/>
      <c r="N2760" s="15"/>
      <c r="O2760" s="16"/>
      <c r="P2760" s="16"/>
      <c r="Q2760" s="16"/>
      <c r="R2760" s="16"/>
      <c r="S2760" s="37" t="str">
        <f>IFERROR(__xludf.DUMMYFUNCTION("if(not(iserror(index(split(C2760, "" ""),2))), index(split(C2760, "" ""),1),"""")"),"")</f>
        <v/>
      </c>
      <c r="T2760" s="315" t="str">
        <f>IFERROR(__xludf.DUMMYFUNCTION("if(S2760="""",C2760,if(not(iserror(index(split(C2760, "" ""),3))), index(split(C2760, "" ""),3),index(split(C2760, "" ""),2)))"),"")</f>
        <v/>
      </c>
      <c r="U2760" s="38" t="b">
        <f t="shared" si="34"/>
        <v>0</v>
      </c>
      <c r="V2760" s="38"/>
      <c r="W2760" s="40"/>
      <c r="X2760" s="40"/>
      <c r="Y2760" s="38"/>
      <c r="Z2760" s="38"/>
      <c r="AA2760" s="38"/>
      <c r="AB2760" s="38"/>
      <c r="AC2760" s="38"/>
      <c r="AD2760" s="38"/>
      <c r="AE2760" s="38"/>
      <c r="AF2760" s="38"/>
      <c r="AG2760" s="38"/>
      <c r="AH2760" s="38"/>
      <c r="AI2760" s="38"/>
      <c r="AJ2760" s="38"/>
      <c r="AK2760" s="38"/>
      <c r="AL2760" s="38"/>
      <c r="AM2760" s="38"/>
      <c r="AN2760" s="38"/>
      <c r="AO2760" s="38"/>
      <c r="AP2760" s="38"/>
      <c r="AQ2760" s="38"/>
      <c r="AR2760" s="38"/>
      <c r="AS2760" s="38"/>
      <c r="AT2760" s="38"/>
      <c r="AU2760" s="38"/>
      <c r="AV2760" s="38"/>
      <c r="AW2760" s="38"/>
      <c r="AX2760" s="38"/>
      <c r="AY2760" s="38"/>
      <c r="AZ2760" s="38"/>
      <c r="BA2760" s="38"/>
      <c r="BB2760" s="38"/>
      <c r="BC2760" s="38"/>
      <c r="BD2760" s="38"/>
      <c r="BE2760" s="38"/>
      <c r="BF2760" s="38"/>
      <c r="BG2760" s="38"/>
      <c r="BH2760" s="38"/>
      <c r="BI2760" s="38"/>
      <c r="BJ2760" s="38"/>
      <c r="BK2760" s="38"/>
      <c r="BL2760" s="38"/>
      <c r="BM2760" s="38"/>
      <c r="BN2760" s="38"/>
      <c r="BO2760" s="38"/>
      <c r="BP2760" s="38"/>
      <c r="BQ2760" s="38"/>
    </row>
    <row r="2761">
      <c r="A2761" s="16"/>
      <c r="B2761" s="16"/>
      <c r="C2761" s="146"/>
      <c r="D2761" s="146"/>
      <c r="E2761" s="16"/>
      <c r="F2761" s="91"/>
      <c r="G2761" s="16"/>
      <c r="H2761" s="320" t="str">
        <f t="shared" si="33"/>
        <v/>
      </c>
      <c r="I2761" s="16"/>
      <c r="J2761" s="16"/>
      <c r="K2761" s="16"/>
      <c r="L2761" s="16"/>
      <c r="M2761" s="15"/>
      <c r="N2761" s="15"/>
      <c r="O2761" s="16"/>
      <c r="P2761" s="16"/>
      <c r="Q2761" s="16"/>
      <c r="R2761" s="16"/>
      <c r="S2761" s="37" t="str">
        <f>IFERROR(__xludf.DUMMYFUNCTION("if(not(iserror(index(split(C2761, "" ""),2))), index(split(C2761, "" ""),1),"""")"),"")</f>
        <v/>
      </c>
      <c r="T2761" s="315" t="str">
        <f>IFERROR(__xludf.DUMMYFUNCTION("if(S2761="""",C2761,if(not(iserror(index(split(C2761, "" ""),3))), index(split(C2761, "" ""),3),index(split(C2761, "" ""),2)))"),"")</f>
        <v/>
      </c>
      <c r="U2761" s="38" t="b">
        <f t="shared" si="34"/>
        <v>0</v>
      </c>
      <c r="V2761" s="38"/>
      <c r="W2761" s="40"/>
      <c r="X2761" s="40"/>
      <c r="Y2761" s="38"/>
      <c r="Z2761" s="38"/>
      <c r="AA2761" s="38"/>
      <c r="AB2761" s="38"/>
      <c r="AC2761" s="38"/>
      <c r="AD2761" s="38"/>
      <c r="AE2761" s="38"/>
      <c r="AF2761" s="38"/>
      <c r="AG2761" s="38"/>
      <c r="AH2761" s="38"/>
      <c r="AI2761" s="38"/>
      <c r="AJ2761" s="38"/>
      <c r="AK2761" s="38"/>
      <c r="AL2761" s="38"/>
      <c r="AM2761" s="38"/>
      <c r="AN2761" s="38"/>
      <c r="AO2761" s="38"/>
      <c r="AP2761" s="38"/>
      <c r="AQ2761" s="38"/>
      <c r="AR2761" s="38"/>
      <c r="AS2761" s="38"/>
      <c r="AT2761" s="38"/>
      <c r="AU2761" s="38"/>
      <c r="AV2761" s="38"/>
      <c r="AW2761" s="38"/>
      <c r="AX2761" s="38"/>
      <c r="AY2761" s="38"/>
      <c r="AZ2761" s="38"/>
      <c r="BA2761" s="38"/>
      <c r="BB2761" s="38"/>
      <c r="BC2761" s="38"/>
      <c r="BD2761" s="38"/>
      <c r="BE2761" s="38"/>
      <c r="BF2761" s="38"/>
      <c r="BG2761" s="38"/>
      <c r="BH2761" s="38"/>
      <c r="BI2761" s="38"/>
      <c r="BJ2761" s="38"/>
      <c r="BK2761" s="38"/>
      <c r="BL2761" s="38"/>
      <c r="BM2761" s="38"/>
      <c r="BN2761" s="38"/>
      <c r="BO2761" s="38"/>
      <c r="BP2761" s="38"/>
      <c r="BQ2761" s="38"/>
    </row>
    <row r="2762">
      <c r="A2762" s="16"/>
      <c r="B2762" s="16"/>
      <c r="C2762" s="146"/>
      <c r="D2762" s="146"/>
      <c r="E2762" s="16"/>
      <c r="F2762" s="91"/>
      <c r="G2762" s="16"/>
      <c r="H2762" s="320" t="str">
        <f t="shared" si="33"/>
        <v/>
      </c>
      <c r="I2762" s="16"/>
      <c r="J2762" s="16"/>
      <c r="K2762" s="16"/>
      <c r="L2762" s="16"/>
      <c r="M2762" s="15"/>
      <c r="N2762" s="15"/>
      <c r="O2762" s="16"/>
      <c r="P2762" s="16"/>
      <c r="Q2762" s="16"/>
      <c r="R2762" s="16"/>
      <c r="S2762" s="37" t="str">
        <f>IFERROR(__xludf.DUMMYFUNCTION("if(not(iserror(index(split(C2762, "" ""),2))), index(split(C2762, "" ""),1),"""")"),"")</f>
        <v/>
      </c>
      <c r="T2762" s="315" t="str">
        <f>IFERROR(__xludf.DUMMYFUNCTION("if(S2762="""",C2762,if(not(iserror(index(split(C2762, "" ""),3))), index(split(C2762, "" ""),3),index(split(C2762, "" ""),2)))"),"")</f>
        <v/>
      </c>
      <c r="U2762" s="38" t="b">
        <f t="shared" si="34"/>
        <v>0</v>
      </c>
      <c r="V2762" s="38"/>
      <c r="W2762" s="40"/>
      <c r="X2762" s="40"/>
      <c r="Y2762" s="38"/>
      <c r="Z2762" s="38"/>
      <c r="AA2762" s="38"/>
      <c r="AB2762" s="38"/>
      <c r="AC2762" s="38"/>
      <c r="AD2762" s="38"/>
      <c r="AE2762" s="38"/>
      <c r="AF2762" s="38"/>
      <c r="AG2762" s="38"/>
      <c r="AH2762" s="38"/>
      <c r="AI2762" s="38"/>
      <c r="AJ2762" s="38"/>
      <c r="AK2762" s="38"/>
      <c r="AL2762" s="38"/>
      <c r="AM2762" s="38"/>
      <c r="AN2762" s="38"/>
      <c r="AO2762" s="38"/>
      <c r="AP2762" s="38"/>
      <c r="AQ2762" s="38"/>
      <c r="AR2762" s="38"/>
      <c r="AS2762" s="38"/>
      <c r="AT2762" s="38"/>
      <c r="AU2762" s="38"/>
      <c r="AV2762" s="38"/>
      <c r="AW2762" s="38"/>
      <c r="AX2762" s="38"/>
      <c r="AY2762" s="38"/>
      <c r="AZ2762" s="38"/>
      <c r="BA2762" s="38"/>
      <c r="BB2762" s="38"/>
      <c r="BC2762" s="38"/>
      <c r="BD2762" s="38"/>
      <c r="BE2762" s="38"/>
      <c r="BF2762" s="38"/>
      <c r="BG2762" s="38"/>
      <c r="BH2762" s="38"/>
      <c r="BI2762" s="38"/>
      <c r="BJ2762" s="38"/>
      <c r="BK2762" s="38"/>
      <c r="BL2762" s="38"/>
      <c r="BM2762" s="38"/>
      <c r="BN2762" s="38"/>
      <c r="BO2762" s="38"/>
      <c r="BP2762" s="38"/>
      <c r="BQ2762" s="38"/>
    </row>
    <row r="2763">
      <c r="A2763" s="16"/>
      <c r="B2763" s="16"/>
      <c r="C2763" s="146"/>
      <c r="D2763" s="146"/>
      <c r="E2763" s="16"/>
      <c r="F2763" s="91"/>
      <c r="G2763" s="16"/>
      <c r="H2763" s="320" t="str">
        <f t="shared" si="33"/>
        <v/>
      </c>
      <c r="I2763" s="16"/>
      <c r="J2763" s="16"/>
      <c r="K2763" s="16"/>
      <c r="L2763" s="16"/>
      <c r="M2763" s="15"/>
      <c r="N2763" s="15"/>
      <c r="O2763" s="16"/>
      <c r="P2763" s="16"/>
      <c r="Q2763" s="16"/>
      <c r="R2763" s="16"/>
      <c r="S2763" s="37" t="str">
        <f>IFERROR(__xludf.DUMMYFUNCTION("if(not(iserror(index(split(C2763, "" ""),2))), index(split(C2763, "" ""),1),"""")"),"")</f>
        <v/>
      </c>
      <c r="T2763" s="315" t="str">
        <f>IFERROR(__xludf.DUMMYFUNCTION("if(S2763="""",C2763,if(not(iserror(index(split(C2763, "" ""),3))), index(split(C2763, "" ""),3),index(split(C2763, "" ""),2)))"),"")</f>
        <v/>
      </c>
      <c r="U2763" s="38" t="b">
        <f t="shared" si="34"/>
        <v>0</v>
      </c>
      <c r="V2763" s="38"/>
      <c r="W2763" s="40"/>
      <c r="X2763" s="40"/>
      <c r="Y2763" s="38"/>
      <c r="Z2763" s="38"/>
      <c r="AA2763" s="38"/>
      <c r="AB2763" s="38"/>
      <c r="AC2763" s="38"/>
      <c r="AD2763" s="38"/>
      <c r="AE2763" s="38"/>
      <c r="AF2763" s="38"/>
      <c r="AG2763" s="38"/>
      <c r="AH2763" s="38"/>
      <c r="AI2763" s="38"/>
      <c r="AJ2763" s="38"/>
      <c r="AK2763" s="38"/>
      <c r="AL2763" s="38"/>
      <c r="AM2763" s="38"/>
      <c r="AN2763" s="38"/>
      <c r="AO2763" s="38"/>
      <c r="AP2763" s="38"/>
      <c r="AQ2763" s="38"/>
      <c r="AR2763" s="38"/>
      <c r="AS2763" s="38"/>
      <c r="AT2763" s="38"/>
      <c r="AU2763" s="38"/>
      <c r="AV2763" s="38"/>
      <c r="AW2763" s="38"/>
      <c r="AX2763" s="38"/>
      <c r="AY2763" s="38"/>
      <c r="AZ2763" s="38"/>
      <c r="BA2763" s="38"/>
      <c r="BB2763" s="38"/>
      <c r="BC2763" s="38"/>
      <c r="BD2763" s="38"/>
      <c r="BE2763" s="38"/>
      <c r="BF2763" s="38"/>
      <c r="BG2763" s="38"/>
      <c r="BH2763" s="38"/>
      <c r="BI2763" s="38"/>
      <c r="BJ2763" s="38"/>
      <c r="BK2763" s="38"/>
      <c r="BL2763" s="38"/>
      <c r="BM2763" s="38"/>
      <c r="BN2763" s="38"/>
      <c r="BO2763" s="38"/>
      <c r="BP2763" s="38"/>
      <c r="BQ2763" s="38"/>
    </row>
    <row r="2764">
      <c r="A2764" s="16"/>
      <c r="B2764" s="16"/>
      <c r="C2764" s="146"/>
      <c r="D2764" s="146"/>
      <c r="E2764" s="16"/>
      <c r="F2764" s="91"/>
      <c r="G2764" s="16"/>
      <c r="H2764" s="320" t="str">
        <f t="shared" si="33"/>
        <v/>
      </c>
      <c r="I2764" s="16"/>
      <c r="J2764" s="16"/>
      <c r="K2764" s="16"/>
      <c r="L2764" s="16"/>
      <c r="M2764" s="15"/>
      <c r="N2764" s="15"/>
      <c r="O2764" s="16"/>
      <c r="P2764" s="16"/>
      <c r="Q2764" s="16"/>
      <c r="R2764" s="16"/>
      <c r="S2764" s="37" t="str">
        <f>IFERROR(__xludf.DUMMYFUNCTION("if(not(iserror(index(split(C2764, "" ""),2))), index(split(C2764, "" ""),1),"""")"),"")</f>
        <v/>
      </c>
      <c r="T2764" s="315" t="str">
        <f>IFERROR(__xludf.DUMMYFUNCTION("if(S2764="""",C2764,if(not(iserror(index(split(C2764, "" ""),3))), index(split(C2764, "" ""),3),index(split(C2764, "" ""),2)))"),"")</f>
        <v/>
      </c>
      <c r="U2764" s="38" t="b">
        <f t="shared" si="34"/>
        <v>0</v>
      </c>
      <c r="V2764" s="38"/>
      <c r="W2764" s="40"/>
      <c r="X2764" s="40"/>
      <c r="Y2764" s="38"/>
      <c r="Z2764" s="38"/>
      <c r="AA2764" s="38"/>
      <c r="AB2764" s="38"/>
      <c r="AC2764" s="38"/>
      <c r="AD2764" s="38"/>
      <c r="AE2764" s="38"/>
      <c r="AF2764" s="38"/>
      <c r="AG2764" s="38"/>
      <c r="AH2764" s="38"/>
      <c r="AI2764" s="38"/>
      <c r="AJ2764" s="38"/>
      <c r="AK2764" s="38"/>
      <c r="AL2764" s="38"/>
      <c r="AM2764" s="38"/>
      <c r="AN2764" s="38"/>
      <c r="AO2764" s="38"/>
      <c r="AP2764" s="38"/>
      <c r="AQ2764" s="38"/>
      <c r="AR2764" s="38"/>
      <c r="AS2764" s="38"/>
      <c r="AT2764" s="38"/>
      <c r="AU2764" s="38"/>
      <c r="AV2764" s="38"/>
      <c r="AW2764" s="38"/>
      <c r="AX2764" s="38"/>
      <c r="AY2764" s="38"/>
      <c r="AZ2764" s="38"/>
      <c r="BA2764" s="38"/>
      <c r="BB2764" s="38"/>
      <c r="BC2764" s="38"/>
      <c r="BD2764" s="38"/>
      <c r="BE2764" s="38"/>
      <c r="BF2764" s="38"/>
      <c r="BG2764" s="38"/>
      <c r="BH2764" s="38"/>
      <c r="BI2764" s="38"/>
      <c r="BJ2764" s="38"/>
      <c r="BK2764" s="38"/>
      <c r="BL2764" s="38"/>
      <c r="BM2764" s="38"/>
      <c r="BN2764" s="38"/>
      <c r="BO2764" s="38"/>
      <c r="BP2764" s="38"/>
      <c r="BQ2764" s="38"/>
    </row>
    <row r="2765">
      <c r="A2765" s="16"/>
      <c r="B2765" s="16"/>
      <c r="C2765" s="146"/>
      <c r="D2765" s="146"/>
      <c r="E2765" s="16"/>
      <c r="F2765" s="91"/>
      <c r="G2765" s="16"/>
      <c r="H2765" s="320" t="str">
        <f t="shared" si="33"/>
        <v/>
      </c>
      <c r="I2765" s="16"/>
      <c r="J2765" s="16"/>
      <c r="K2765" s="16"/>
      <c r="L2765" s="16"/>
      <c r="M2765" s="15"/>
      <c r="N2765" s="15"/>
      <c r="O2765" s="16"/>
      <c r="P2765" s="16"/>
      <c r="Q2765" s="16"/>
      <c r="R2765" s="16"/>
      <c r="S2765" s="37" t="str">
        <f>IFERROR(__xludf.DUMMYFUNCTION("if(not(iserror(index(split(C2765, "" ""),2))), index(split(C2765, "" ""),1),"""")"),"")</f>
        <v/>
      </c>
      <c r="T2765" s="315" t="str">
        <f>IFERROR(__xludf.DUMMYFUNCTION("if(S2765="""",C2765,if(not(iserror(index(split(C2765, "" ""),3))), index(split(C2765, "" ""),3),index(split(C2765, "" ""),2)))"),"")</f>
        <v/>
      </c>
      <c r="U2765" s="38" t="b">
        <f t="shared" si="34"/>
        <v>0</v>
      </c>
      <c r="V2765" s="38"/>
      <c r="W2765" s="40"/>
      <c r="X2765" s="40"/>
      <c r="Y2765" s="38"/>
      <c r="Z2765" s="38"/>
      <c r="AA2765" s="38"/>
      <c r="AB2765" s="38"/>
      <c r="AC2765" s="38"/>
      <c r="AD2765" s="38"/>
      <c r="AE2765" s="38"/>
      <c r="AF2765" s="38"/>
      <c r="AG2765" s="38"/>
      <c r="AH2765" s="38"/>
      <c r="AI2765" s="38"/>
      <c r="AJ2765" s="38"/>
      <c r="AK2765" s="38"/>
      <c r="AL2765" s="38"/>
      <c r="AM2765" s="38"/>
      <c r="AN2765" s="38"/>
      <c r="AO2765" s="38"/>
      <c r="AP2765" s="38"/>
      <c r="AQ2765" s="38"/>
      <c r="AR2765" s="38"/>
      <c r="AS2765" s="38"/>
      <c r="AT2765" s="38"/>
      <c r="AU2765" s="38"/>
      <c r="AV2765" s="38"/>
      <c r="AW2765" s="38"/>
      <c r="AX2765" s="38"/>
      <c r="AY2765" s="38"/>
      <c r="AZ2765" s="38"/>
      <c r="BA2765" s="38"/>
      <c r="BB2765" s="38"/>
      <c r="BC2765" s="38"/>
      <c r="BD2765" s="38"/>
      <c r="BE2765" s="38"/>
      <c r="BF2765" s="38"/>
      <c r="BG2765" s="38"/>
      <c r="BH2765" s="38"/>
      <c r="BI2765" s="38"/>
      <c r="BJ2765" s="38"/>
      <c r="BK2765" s="38"/>
      <c r="BL2765" s="38"/>
      <c r="BM2765" s="38"/>
      <c r="BN2765" s="38"/>
      <c r="BO2765" s="38"/>
      <c r="BP2765" s="38"/>
      <c r="BQ2765" s="38"/>
    </row>
    <row r="2766">
      <c r="A2766" s="16"/>
      <c r="B2766" s="16"/>
      <c r="C2766" s="146"/>
      <c r="D2766" s="146"/>
      <c r="E2766" s="16"/>
      <c r="F2766" s="91"/>
      <c r="G2766" s="16"/>
      <c r="H2766" s="320" t="str">
        <f t="shared" si="33"/>
        <v/>
      </c>
      <c r="I2766" s="16"/>
      <c r="J2766" s="16"/>
      <c r="K2766" s="16"/>
      <c r="L2766" s="16"/>
      <c r="M2766" s="15"/>
      <c r="N2766" s="15"/>
      <c r="O2766" s="16"/>
      <c r="P2766" s="16"/>
      <c r="Q2766" s="16"/>
      <c r="R2766" s="16"/>
      <c r="S2766" s="37" t="str">
        <f>IFERROR(__xludf.DUMMYFUNCTION("if(not(iserror(index(split(C2766, "" ""),2))), index(split(C2766, "" ""),1),"""")"),"")</f>
        <v/>
      </c>
      <c r="T2766" s="315" t="str">
        <f>IFERROR(__xludf.DUMMYFUNCTION("if(S2766="""",C2766,if(not(iserror(index(split(C2766, "" ""),3))), index(split(C2766, "" ""),3),index(split(C2766, "" ""),2)))"),"")</f>
        <v/>
      </c>
      <c r="U2766" s="38" t="b">
        <f t="shared" si="34"/>
        <v>0</v>
      </c>
      <c r="V2766" s="38"/>
      <c r="W2766" s="40"/>
      <c r="X2766" s="40"/>
      <c r="Y2766" s="38"/>
      <c r="Z2766" s="38"/>
      <c r="AA2766" s="38"/>
      <c r="AB2766" s="38"/>
      <c r="AC2766" s="38"/>
      <c r="AD2766" s="38"/>
      <c r="AE2766" s="38"/>
      <c r="AF2766" s="38"/>
      <c r="AG2766" s="38"/>
      <c r="AH2766" s="38"/>
      <c r="AI2766" s="38"/>
      <c r="AJ2766" s="38"/>
      <c r="AK2766" s="38"/>
      <c r="AL2766" s="38"/>
      <c r="AM2766" s="38"/>
      <c r="AN2766" s="38"/>
      <c r="AO2766" s="38"/>
      <c r="AP2766" s="38"/>
      <c r="AQ2766" s="38"/>
      <c r="AR2766" s="38"/>
      <c r="AS2766" s="38"/>
      <c r="AT2766" s="38"/>
      <c r="AU2766" s="38"/>
      <c r="AV2766" s="38"/>
      <c r="AW2766" s="38"/>
      <c r="AX2766" s="38"/>
      <c r="AY2766" s="38"/>
      <c r="AZ2766" s="38"/>
      <c r="BA2766" s="38"/>
      <c r="BB2766" s="38"/>
      <c r="BC2766" s="38"/>
      <c r="BD2766" s="38"/>
      <c r="BE2766" s="38"/>
      <c r="BF2766" s="38"/>
      <c r="BG2766" s="38"/>
      <c r="BH2766" s="38"/>
      <c r="BI2766" s="38"/>
      <c r="BJ2766" s="38"/>
      <c r="BK2766" s="38"/>
      <c r="BL2766" s="38"/>
      <c r="BM2766" s="38"/>
      <c r="BN2766" s="38"/>
      <c r="BO2766" s="38"/>
      <c r="BP2766" s="38"/>
      <c r="BQ2766" s="38"/>
    </row>
    <row r="2767">
      <c r="A2767" s="16"/>
      <c r="B2767" s="16"/>
      <c r="C2767" s="146"/>
      <c r="D2767" s="146"/>
      <c r="E2767" s="16"/>
      <c r="F2767" s="91"/>
      <c r="G2767" s="16"/>
      <c r="H2767" s="320" t="str">
        <f t="shared" si="33"/>
        <v/>
      </c>
      <c r="I2767" s="16"/>
      <c r="J2767" s="16"/>
      <c r="K2767" s="16"/>
      <c r="L2767" s="16"/>
      <c r="M2767" s="15"/>
      <c r="N2767" s="15"/>
      <c r="O2767" s="16"/>
      <c r="P2767" s="16"/>
      <c r="Q2767" s="16"/>
      <c r="R2767" s="16"/>
      <c r="S2767" s="37" t="str">
        <f>IFERROR(__xludf.DUMMYFUNCTION("if(not(iserror(index(split(C2767, "" ""),2))), index(split(C2767, "" ""),1),"""")"),"")</f>
        <v/>
      </c>
      <c r="T2767" s="315" t="str">
        <f>IFERROR(__xludf.DUMMYFUNCTION("if(S2767="""",C2767,if(not(iserror(index(split(C2767, "" ""),3))), index(split(C2767, "" ""),3),index(split(C2767, "" ""),2)))"),"")</f>
        <v/>
      </c>
      <c r="U2767" s="38" t="b">
        <f t="shared" si="34"/>
        <v>0</v>
      </c>
      <c r="V2767" s="38"/>
      <c r="W2767" s="40"/>
      <c r="X2767" s="40"/>
      <c r="Y2767" s="38"/>
      <c r="Z2767" s="38"/>
      <c r="AA2767" s="38"/>
      <c r="AB2767" s="38"/>
      <c r="AC2767" s="38"/>
      <c r="AD2767" s="38"/>
      <c r="AE2767" s="38"/>
      <c r="AF2767" s="38"/>
      <c r="AG2767" s="38"/>
      <c r="AH2767" s="38"/>
      <c r="AI2767" s="38"/>
      <c r="AJ2767" s="38"/>
      <c r="AK2767" s="38"/>
      <c r="AL2767" s="38"/>
      <c r="AM2767" s="38"/>
      <c r="AN2767" s="38"/>
      <c r="AO2767" s="38"/>
      <c r="AP2767" s="38"/>
      <c r="AQ2767" s="38"/>
      <c r="AR2767" s="38"/>
      <c r="AS2767" s="38"/>
      <c r="AT2767" s="38"/>
      <c r="AU2767" s="38"/>
      <c r="AV2767" s="38"/>
      <c r="AW2767" s="38"/>
      <c r="AX2767" s="38"/>
      <c r="AY2767" s="38"/>
      <c r="AZ2767" s="38"/>
      <c r="BA2767" s="38"/>
      <c r="BB2767" s="38"/>
      <c r="BC2767" s="38"/>
      <c r="BD2767" s="38"/>
      <c r="BE2767" s="38"/>
      <c r="BF2767" s="38"/>
      <c r="BG2767" s="38"/>
      <c r="BH2767" s="38"/>
      <c r="BI2767" s="38"/>
      <c r="BJ2767" s="38"/>
      <c r="BK2767" s="38"/>
      <c r="BL2767" s="38"/>
      <c r="BM2767" s="38"/>
      <c r="BN2767" s="38"/>
      <c r="BO2767" s="38"/>
      <c r="BP2767" s="38"/>
      <c r="BQ2767" s="38"/>
    </row>
    <row r="2768">
      <c r="A2768" s="16"/>
      <c r="B2768" s="16"/>
      <c r="C2768" s="146"/>
      <c r="D2768" s="146"/>
      <c r="E2768" s="16"/>
      <c r="F2768" s="91"/>
      <c r="G2768" s="16"/>
      <c r="H2768" s="320" t="str">
        <f t="shared" si="33"/>
        <v/>
      </c>
      <c r="I2768" s="16"/>
      <c r="J2768" s="16"/>
      <c r="K2768" s="16"/>
      <c r="L2768" s="16"/>
      <c r="M2768" s="15"/>
      <c r="N2768" s="15"/>
      <c r="O2768" s="16"/>
      <c r="P2768" s="16"/>
      <c r="Q2768" s="16"/>
      <c r="R2768" s="16"/>
      <c r="S2768" s="37" t="str">
        <f>IFERROR(__xludf.DUMMYFUNCTION("if(not(iserror(index(split(C2768, "" ""),2))), index(split(C2768, "" ""),1),"""")"),"")</f>
        <v/>
      </c>
      <c r="T2768" s="315" t="str">
        <f>IFERROR(__xludf.DUMMYFUNCTION("if(S2768="""",C2768,if(not(iserror(index(split(C2768, "" ""),3))), index(split(C2768, "" ""),3),index(split(C2768, "" ""),2)))"),"")</f>
        <v/>
      </c>
      <c r="U2768" s="38" t="b">
        <f t="shared" si="34"/>
        <v>0</v>
      </c>
      <c r="V2768" s="38"/>
      <c r="W2768" s="40"/>
      <c r="X2768" s="40"/>
      <c r="Y2768" s="38"/>
      <c r="Z2768" s="38"/>
      <c r="AA2768" s="38"/>
      <c r="AB2768" s="38"/>
      <c r="AC2768" s="38"/>
      <c r="AD2768" s="38"/>
      <c r="AE2768" s="38"/>
      <c r="AF2768" s="38"/>
      <c r="AG2768" s="38"/>
      <c r="AH2768" s="38"/>
      <c r="AI2768" s="38"/>
      <c r="AJ2768" s="38"/>
      <c r="AK2768" s="38"/>
      <c r="AL2768" s="38"/>
      <c r="AM2768" s="38"/>
      <c r="AN2768" s="38"/>
      <c r="AO2768" s="38"/>
      <c r="AP2768" s="38"/>
      <c r="AQ2768" s="38"/>
      <c r="AR2768" s="38"/>
      <c r="AS2768" s="38"/>
      <c r="AT2768" s="38"/>
      <c r="AU2768" s="38"/>
      <c r="AV2768" s="38"/>
      <c r="AW2768" s="38"/>
      <c r="AX2768" s="38"/>
      <c r="AY2768" s="38"/>
      <c r="AZ2768" s="38"/>
      <c r="BA2768" s="38"/>
      <c r="BB2768" s="38"/>
      <c r="BC2768" s="38"/>
      <c r="BD2768" s="38"/>
      <c r="BE2768" s="38"/>
      <c r="BF2768" s="38"/>
      <c r="BG2768" s="38"/>
      <c r="BH2768" s="38"/>
      <c r="BI2768" s="38"/>
      <c r="BJ2768" s="38"/>
      <c r="BK2768" s="38"/>
      <c r="BL2768" s="38"/>
      <c r="BM2768" s="38"/>
      <c r="BN2768" s="38"/>
      <c r="BO2768" s="38"/>
      <c r="BP2768" s="38"/>
      <c r="BQ2768" s="38"/>
    </row>
    <row r="2769">
      <c r="A2769" s="16"/>
      <c r="B2769" s="16"/>
      <c r="C2769" s="146"/>
      <c r="D2769" s="146"/>
      <c r="E2769" s="16"/>
      <c r="F2769" s="91"/>
      <c r="G2769" s="16"/>
      <c r="H2769" s="320" t="str">
        <f t="shared" si="33"/>
        <v/>
      </c>
      <c r="I2769" s="16"/>
      <c r="J2769" s="16"/>
      <c r="K2769" s="16"/>
      <c r="L2769" s="16"/>
      <c r="M2769" s="15"/>
      <c r="N2769" s="15"/>
      <c r="O2769" s="16"/>
      <c r="P2769" s="16"/>
      <c r="Q2769" s="16"/>
      <c r="R2769" s="16"/>
      <c r="S2769" s="37" t="str">
        <f>IFERROR(__xludf.DUMMYFUNCTION("if(not(iserror(index(split(C2769, "" ""),2))), index(split(C2769, "" ""),1),"""")"),"")</f>
        <v/>
      </c>
      <c r="T2769" s="315" t="str">
        <f>IFERROR(__xludf.DUMMYFUNCTION("if(S2769="""",C2769,if(not(iserror(index(split(C2769, "" ""),3))), index(split(C2769, "" ""),3),index(split(C2769, "" ""),2)))"),"")</f>
        <v/>
      </c>
      <c r="U2769" s="38" t="b">
        <f t="shared" si="34"/>
        <v>0</v>
      </c>
      <c r="V2769" s="38"/>
      <c r="W2769" s="40"/>
      <c r="X2769" s="40"/>
      <c r="Y2769" s="38"/>
      <c r="Z2769" s="38"/>
      <c r="AA2769" s="38"/>
      <c r="AB2769" s="38"/>
      <c r="AC2769" s="38"/>
      <c r="AD2769" s="38"/>
      <c r="AE2769" s="38"/>
      <c r="AF2769" s="38"/>
      <c r="AG2769" s="38"/>
      <c r="AH2769" s="38"/>
      <c r="AI2769" s="38"/>
      <c r="AJ2769" s="38"/>
      <c r="AK2769" s="38"/>
      <c r="AL2769" s="38"/>
      <c r="AM2769" s="38"/>
      <c r="AN2769" s="38"/>
      <c r="AO2769" s="38"/>
      <c r="AP2769" s="38"/>
      <c r="AQ2769" s="38"/>
      <c r="AR2769" s="38"/>
      <c r="AS2769" s="38"/>
      <c r="AT2769" s="38"/>
      <c r="AU2769" s="38"/>
      <c r="AV2769" s="38"/>
      <c r="AW2769" s="38"/>
      <c r="AX2769" s="38"/>
      <c r="AY2769" s="38"/>
      <c r="AZ2769" s="38"/>
      <c r="BA2769" s="38"/>
      <c r="BB2769" s="38"/>
      <c r="BC2769" s="38"/>
      <c r="BD2769" s="38"/>
      <c r="BE2769" s="38"/>
      <c r="BF2769" s="38"/>
      <c r="BG2769" s="38"/>
      <c r="BH2769" s="38"/>
      <c r="BI2769" s="38"/>
      <c r="BJ2769" s="38"/>
      <c r="BK2769" s="38"/>
      <c r="BL2769" s="38"/>
      <c r="BM2769" s="38"/>
      <c r="BN2769" s="38"/>
      <c r="BO2769" s="38"/>
      <c r="BP2769" s="38"/>
      <c r="BQ2769" s="38"/>
    </row>
    <row r="2770">
      <c r="A2770" s="16"/>
      <c r="B2770" s="16"/>
      <c r="C2770" s="146"/>
      <c r="D2770" s="146"/>
      <c r="E2770" s="16"/>
      <c r="F2770" s="91"/>
      <c r="G2770" s="16"/>
      <c r="H2770" s="320" t="str">
        <f t="shared" si="33"/>
        <v/>
      </c>
      <c r="I2770" s="16"/>
      <c r="J2770" s="16"/>
      <c r="K2770" s="16"/>
      <c r="L2770" s="16"/>
      <c r="M2770" s="15"/>
      <c r="N2770" s="15"/>
      <c r="O2770" s="16"/>
      <c r="P2770" s="16"/>
      <c r="Q2770" s="16"/>
      <c r="R2770" s="16"/>
      <c r="S2770" s="37" t="str">
        <f>IFERROR(__xludf.DUMMYFUNCTION("if(not(iserror(index(split(C2770, "" ""),2))), index(split(C2770, "" ""),1),"""")"),"")</f>
        <v/>
      </c>
      <c r="T2770" s="315" t="str">
        <f>IFERROR(__xludf.DUMMYFUNCTION("if(S2770="""",C2770,if(not(iserror(index(split(C2770, "" ""),3))), index(split(C2770, "" ""),3),index(split(C2770, "" ""),2)))"),"")</f>
        <v/>
      </c>
      <c r="U2770" s="38" t="b">
        <f t="shared" si="34"/>
        <v>0</v>
      </c>
      <c r="V2770" s="38"/>
      <c r="W2770" s="40"/>
      <c r="X2770" s="40"/>
      <c r="Y2770" s="38"/>
      <c r="Z2770" s="38"/>
      <c r="AA2770" s="38"/>
      <c r="AB2770" s="38"/>
      <c r="AC2770" s="38"/>
      <c r="AD2770" s="38"/>
      <c r="AE2770" s="38"/>
      <c r="AF2770" s="38"/>
      <c r="AG2770" s="38"/>
      <c r="AH2770" s="38"/>
      <c r="AI2770" s="38"/>
      <c r="AJ2770" s="38"/>
      <c r="AK2770" s="38"/>
      <c r="AL2770" s="38"/>
      <c r="AM2770" s="38"/>
      <c r="AN2770" s="38"/>
      <c r="AO2770" s="38"/>
      <c r="AP2770" s="38"/>
      <c r="AQ2770" s="38"/>
      <c r="AR2770" s="38"/>
      <c r="AS2770" s="38"/>
      <c r="AT2770" s="38"/>
      <c r="AU2770" s="38"/>
      <c r="AV2770" s="38"/>
      <c r="AW2770" s="38"/>
      <c r="AX2770" s="38"/>
      <c r="AY2770" s="38"/>
      <c r="AZ2770" s="38"/>
      <c r="BA2770" s="38"/>
      <c r="BB2770" s="38"/>
      <c r="BC2770" s="38"/>
      <c r="BD2770" s="38"/>
      <c r="BE2770" s="38"/>
      <c r="BF2770" s="38"/>
      <c r="BG2770" s="38"/>
      <c r="BH2770" s="38"/>
      <c r="BI2770" s="38"/>
      <c r="BJ2770" s="38"/>
      <c r="BK2770" s="38"/>
      <c r="BL2770" s="38"/>
      <c r="BM2770" s="38"/>
      <c r="BN2770" s="38"/>
      <c r="BO2770" s="38"/>
      <c r="BP2770" s="38"/>
      <c r="BQ2770" s="38"/>
    </row>
    <row r="2771">
      <c r="A2771" s="16"/>
      <c r="B2771" s="16"/>
      <c r="C2771" s="146"/>
      <c r="D2771" s="146"/>
      <c r="E2771" s="16"/>
      <c r="F2771" s="91"/>
      <c r="G2771" s="16"/>
      <c r="H2771" s="320" t="str">
        <f t="shared" si="33"/>
        <v/>
      </c>
      <c r="I2771" s="16"/>
      <c r="J2771" s="16"/>
      <c r="K2771" s="16"/>
      <c r="L2771" s="16"/>
      <c r="M2771" s="15"/>
      <c r="N2771" s="15"/>
      <c r="O2771" s="16"/>
      <c r="P2771" s="16"/>
      <c r="Q2771" s="16"/>
      <c r="R2771" s="16"/>
      <c r="S2771" s="37" t="str">
        <f>IFERROR(__xludf.DUMMYFUNCTION("if(not(iserror(index(split(C2771, "" ""),2))), index(split(C2771, "" ""),1),"""")"),"")</f>
        <v/>
      </c>
      <c r="T2771" s="315" t="str">
        <f>IFERROR(__xludf.DUMMYFUNCTION("if(S2771="""",C2771,if(not(iserror(index(split(C2771, "" ""),3))), index(split(C2771, "" ""),3),index(split(C2771, "" ""),2)))"),"")</f>
        <v/>
      </c>
      <c r="U2771" s="38" t="b">
        <f t="shared" si="34"/>
        <v>0</v>
      </c>
      <c r="V2771" s="38"/>
      <c r="W2771" s="40"/>
      <c r="X2771" s="40"/>
      <c r="Y2771" s="38"/>
      <c r="Z2771" s="38"/>
      <c r="AA2771" s="38"/>
      <c r="AB2771" s="38"/>
      <c r="AC2771" s="38"/>
      <c r="AD2771" s="38"/>
      <c r="AE2771" s="38"/>
      <c r="AF2771" s="38"/>
      <c r="AG2771" s="38"/>
      <c r="AH2771" s="38"/>
      <c r="AI2771" s="38"/>
      <c r="AJ2771" s="38"/>
      <c r="AK2771" s="38"/>
      <c r="AL2771" s="38"/>
      <c r="AM2771" s="38"/>
      <c r="AN2771" s="38"/>
      <c r="AO2771" s="38"/>
      <c r="AP2771" s="38"/>
      <c r="AQ2771" s="38"/>
      <c r="AR2771" s="38"/>
      <c r="AS2771" s="38"/>
      <c r="AT2771" s="38"/>
      <c r="AU2771" s="38"/>
      <c r="AV2771" s="38"/>
      <c r="AW2771" s="38"/>
      <c r="AX2771" s="38"/>
      <c r="AY2771" s="38"/>
      <c r="AZ2771" s="38"/>
      <c r="BA2771" s="38"/>
      <c r="BB2771" s="38"/>
      <c r="BC2771" s="38"/>
      <c r="BD2771" s="38"/>
      <c r="BE2771" s="38"/>
      <c r="BF2771" s="38"/>
      <c r="BG2771" s="38"/>
      <c r="BH2771" s="38"/>
      <c r="BI2771" s="38"/>
      <c r="BJ2771" s="38"/>
      <c r="BK2771" s="38"/>
      <c r="BL2771" s="38"/>
      <c r="BM2771" s="38"/>
      <c r="BN2771" s="38"/>
      <c r="BO2771" s="38"/>
      <c r="BP2771" s="38"/>
      <c r="BQ2771" s="38"/>
    </row>
    <row r="2772">
      <c r="A2772" s="16"/>
      <c r="B2772" s="16"/>
      <c r="C2772" s="146"/>
      <c r="D2772" s="146"/>
      <c r="E2772" s="16"/>
      <c r="F2772" s="91"/>
      <c r="G2772" s="16"/>
      <c r="H2772" s="320" t="str">
        <f t="shared" si="33"/>
        <v/>
      </c>
      <c r="I2772" s="16"/>
      <c r="J2772" s="16"/>
      <c r="K2772" s="16"/>
      <c r="L2772" s="16"/>
      <c r="M2772" s="15"/>
      <c r="N2772" s="15"/>
      <c r="O2772" s="16"/>
      <c r="P2772" s="16"/>
      <c r="Q2772" s="16"/>
      <c r="R2772" s="16"/>
      <c r="S2772" s="37" t="str">
        <f>IFERROR(__xludf.DUMMYFUNCTION("if(not(iserror(index(split(C2772, "" ""),2))), index(split(C2772, "" ""),1),"""")"),"")</f>
        <v/>
      </c>
      <c r="T2772" s="315" t="str">
        <f>IFERROR(__xludf.DUMMYFUNCTION("if(S2772="""",C2772,if(not(iserror(index(split(C2772, "" ""),3))), index(split(C2772, "" ""),3),index(split(C2772, "" ""),2)))"),"")</f>
        <v/>
      </c>
      <c r="U2772" s="38" t="b">
        <f t="shared" si="34"/>
        <v>0</v>
      </c>
      <c r="V2772" s="38"/>
      <c r="W2772" s="40"/>
      <c r="X2772" s="40"/>
      <c r="Y2772" s="38"/>
      <c r="Z2772" s="38"/>
      <c r="AA2772" s="38"/>
      <c r="AB2772" s="38"/>
      <c r="AC2772" s="38"/>
      <c r="AD2772" s="38"/>
      <c r="AE2772" s="38"/>
      <c r="AF2772" s="38"/>
      <c r="AG2772" s="38"/>
      <c r="AH2772" s="38"/>
      <c r="AI2772" s="38"/>
      <c r="AJ2772" s="38"/>
      <c r="AK2772" s="38"/>
      <c r="AL2772" s="38"/>
      <c r="AM2772" s="38"/>
      <c r="AN2772" s="38"/>
      <c r="AO2772" s="38"/>
      <c r="AP2772" s="38"/>
      <c r="AQ2772" s="38"/>
      <c r="AR2772" s="38"/>
      <c r="AS2772" s="38"/>
      <c r="AT2772" s="38"/>
      <c r="AU2772" s="38"/>
      <c r="AV2772" s="38"/>
      <c r="AW2772" s="38"/>
      <c r="AX2772" s="38"/>
      <c r="AY2772" s="38"/>
      <c r="AZ2772" s="38"/>
      <c r="BA2772" s="38"/>
      <c r="BB2772" s="38"/>
      <c r="BC2772" s="38"/>
      <c r="BD2772" s="38"/>
      <c r="BE2772" s="38"/>
      <c r="BF2772" s="38"/>
      <c r="BG2772" s="38"/>
      <c r="BH2772" s="38"/>
      <c r="BI2772" s="38"/>
      <c r="BJ2772" s="38"/>
      <c r="BK2772" s="38"/>
      <c r="BL2772" s="38"/>
      <c r="BM2772" s="38"/>
      <c r="BN2772" s="38"/>
      <c r="BO2772" s="38"/>
      <c r="BP2772" s="38"/>
      <c r="BQ2772" s="38"/>
    </row>
    <row r="2773">
      <c r="A2773" s="16"/>
      <c r="B2773" s="16"/>
      <c r="C2773" s="146"/>
      <c r="D2773" s="146"/>
      <c r="E2773" s="16"/>
      <c r="F2773" s="91"/>
      <c r="G2773" s="16"/>
      <c r="H2773" s="320" t="str">
        <f t="shared" si="33"/>
        <v/>
      </c>
      <c r="I2773" s="16"/>
      <c r="J2773" s="16"/>
      <c r="K2773" s="16"/>
      <c r="L2773" s="16"/>
      <c r="M2773" s="15"/>
      <c r="N2773" s="15"/>
      <c r="O2773" s="16"/>
      <c r="P2773" s="16"/>
      <c r="Q2773" s="16"/>
      <c r="R2773" s="16"/>
      <c r="S2773" s="37" t="str">
        <f>IFERROR(__xludf.DUMMYFUNCTION("if(not(iserror(index(split(C2773, "" ""),2))), index(split(C2773, "" ""),1),"""")"),"")</f>
        <v/>
      </c>
      <c r="T2773" s="315" t="str">
        <f>IFERROR(__xludf.DUMMYFUNCTION("if(S2773="""",C2773,if(not(iserror(index(split(C2773, "" ""),3))), index(split(C2773, "" ""),3),index(split(C2773, "" ""),2)))"),"")</f>
        <v/>
      </c>
      <c r="U2773" s="38" t="b">
        <f t="shared" si="34"/>
        <v>0</v>
      </c>
      <c r="V2773" s="38"/>
      <c r="W2773" s="40"/>
      <c r="X2773" s="40"/>
      <c r="Y2773" s="38"/>
      <c r="Z2773" s="38"/>
      <c r="AA2773" s="38"/>
      <c r="AB2773" s="38"/>
      <c r="AC2773" s="38"/>
      <c r="AD2773" s="38"/>
      <c r="AE2773" s="38"/>
      <c r="AF2773" s="38"/>
      <c r="AG2773" s="38"/>
      <c r="AH2773" s="38"/>
      <c r="AI2773" s="38"/>
      <c r="AJ2773" s="38"/>
      <c r="AK2773" s="38"/>
      <c r="AL2773" s="38"/>
      <c r="AM2773" s="38"/>
      <c r="AN2773" s="38"/>
      <c r="AO2773" s="38"/>
      <c r="AP2773" s="38"/>
      <c r="AQ2773" s="38"/>
      <c r="AR2773" s="38"/>
      <c r="AS2773" s="38"/>
      <c r="AT2773" s="38"/>
      <c r="AU2773" s="38"/>
      <c r="AV2773" s="38"/>
      <c r="AW2773" s="38"/>
      <c r="AX2773" s="38"/>
      <c r="AY2773" s="38"/>
      <c r="AZ2773" s="38"/>
      <c r="BA2773" s="38"/>
      <c r="BB2773" s="38"/>
      <c r="BC2773" s="38"/>
      <c r="BD2773" s="38"/>
      <c r="BE2773" s="38"/>
      <c r="BF2773" s="38"/>
      <c r="BG2773" s="38"/>
      <c r="BH2773" s="38"/>
      <c r="BI2773" s="38"/>
      <c r="BJ2773" s="38"/>
      <c r="BK2773" s="38"/>
      <c r="BL2773" s="38"/>
      <c r="BM2773" s="38"/>
      <c r="BN2773" s="38"/>
      <c r="BO2773" s="38"/>
      <c r="BP2773" s="38"/>
      <c r="BQ2773" s="38"/>
    </row>
    <row r="2774">
      <c r="A2774" s="16"/>
      <c r="B2774" s="16"/>
      <c r="C2774" s="146"/>
      <c r="D2774" s="146"/>
      <c r="E2774" s="16"/>
      <c r="F2774" s="91"/>
      <c r="G2774" s="16"/>
      <c r="H2774" s="320" t="str">
        <f t="shared" si="33"/>
        <v/>
      </c>
      <c r="I2774" s="16"/>
      <c r="J2774" s="16"/>
      <c r="K2774" s="16"/>
      <c r="L2774" s="16"/>
      <c r="M2774" s="15"/>
      <c r="N2774" s="15"/>
      <c r="O2774" s="16"/>
      <c r="P2774" s="16"/>
      <c r="Q2774" s="16"/>
      <c r="R2774" s="16"/>
      <c r="S2774" s="37" t="str">
        <f>IFERROR(__xludf.DUMMYFUNCTION("if(not(iserror(index(split(C2774, "" ""),2))), index(split(C2774, "" ""),1),"""")"),"")</f>
        <v/>
      </c>
      <c r="T2774" s="315" t="str">
        <f>IFERROR(__xludf.DUMMYFUNCTION("if(S2774="""",C2774,if(not(iserror(index(split(C2774, "" ""),3))), index(split(C2774, "" ""),3),index(split(C2774, "" ""),2)))"),"")</f>
        <v/>
      </c>
      <c r="U2774" s="38" t="b">
        <f t="shared" si="34"/>
        <v>0</v>
      </c>
      <c r="V2774" s="38"/>
      <c r="W2774" s="40"/>
      <c r="X2774" s="40"/>
      <c r="Y2774" s="38"/>
      <c r="Z2774" s="38"/>
      <c r="AA2774" s="38"/>
      <c r="AB2774" s="38"/>
      <c r="AC2774" s="38"/>
      <c r="AD2774" s="38"/>
      <c r="AE2774" s="38"/>
      <c r="AF2774" s="38"/>
      <c r="AG2774" s="38"/>
      <c r="AH2774" s="38"/>
      <c r="AI2774" s="38"/>
      <c r="AJ2774" s="38"/>
      <c r="AK2774" s="38"/>
      <c r="AL2774" s="38"/>
      <c r="AM2774" s="38"/>
      <c r="AN2774" s="38"/>
      <c r="AO2774" s="38"/>
      <c r="AP2774" s="38"/>
      <c r="AQ2774" s="38"/>
      <c r="AR2774" s="38"/>
      <c r="AS2774" s="38"/>
      <c r="AT2774" s="38"/>
      <c r="AU2774" s="38"/>
      <c r="AV2774" s="38"/>
      <c r="AW2774" s="38"/>
      <c r="AX2774" s="38"/>
      <c r="AY2774" s="38"/>
      <c r="AZ2774" s="38"/>
      <c r="BA2774" s="38"/>
      <c r="BB2774" s="38"/>
      <c r="BC2774" s="38"/>
      <c r="BD2774" s="38"/>
      <c r="BE2774" s="38"/>
      <c r="BF2774" s="38"/>
      <c r="BG2774" s="38"/>
      <c r="BH2774" s="38"/>
      <c r="BI2774" s="38"/>
      <c r="BJ2774" s="38"/>
      <c r="BK2774" s="38"/>
      <c r="BL2774" s="38"/>
      <c r="BM2774" s="38"/>
      <c r="BN2774" s="38"/>
      <c r="BO2774" s="38"/>
      <c r="BP2774" s="38"/>
      <c r="BQ2774" s="38"/>
    </row>
    <row r="2775">
      <c r="A2775" s="16"/>
      <c r="B2775" s="16"/>
      <c r="C2775" s="146"/>
      <c r="D2775" s="146"/>
      <c r="E2775" s="16"/>
      <c r="F2775" s="91"/>
      <c r="G2775" s="16"/>
      <c r="H2775" s="320" t="str">
        <f t="shared" si="33"/>
        <v/>
      </c>
      <c r="I2775" s="16"/>
      <c r="J2775" s="16"/>
      <c r="K2775" s="16"/>
      <c r="L2775" s="16"/>
      <c r="M2775" s="15"/>
      <c r="N2775" s="15"/>
      <c r="O2775" s="16"/>
      <c r="P2775" s="16"/>
      <c r="Q2775" s="16"/>
      <c r="R2775" s="16"/>
      <c r="S2775" s="37" t="str">
        <f>IFERROR(__xludf.DUMMYFUNCTION("if(not(iserror(index(split(C2775, "" ""),2))), index(split(C2775, "" ""),1),"""")"),"")</f>
        <v/>
      </c>
      <c r="T2775" s="315" t="str">
        <f>IFERROR(__xludf.DUMMYFUNCTION("if(S2775="""",C2775,if(not(iserror(index(split(C2775, "" ""),3))), index(split(C2775, "" ""),3),index(split(C2775, "" ""),2)))"),"")</f>
        <v/>
      </c>
      <c r="U2775" s="38" t="b">
        <f t="shared" si="34"/>
        <v>0</v>
      </c>
      <c r="V2775" s="38"/>
      <c r="W2775" s="40"/>
      <c r="X2775" s="40"/>
      <c r="Y2775" s="38"/>
      <c r="Z2775" s="38"/>
      <c r="AA2775" s="38"/>
      <c r="AB2775" s="38"/>
      <c r="AC2775" s="38"/>
      <c r="AD2775" s="38"/>
      <c r="AE2775" s="38"/>
      <c r="AF2775" s="38"/>
      <c r="AG2775" s="38"/>
      <c r="AH2775" s="38"/>
      <c r="AI2775" s="38"/>
      <c r="AJ2775" s="38"/>
      <c r="AK2775" s="38"/>
      <c r="AL2775" s="38"/>
      <c r="AM2775" s="38"/>
      <c r="AN2775" s="38"/>
      <c r="AO2775" s="38"/>
      <c r="AP2775" s="38"/>
      <c r="AQ2775" s="38"/>
      <c r="AR2775" s="38"/>
      <c r="AS2775" s="38"/>
      <c r="AT2775" s="38"/>
      <c r="AU2775" s="38"/>
      <c r="AV2775" s="38"/>
      <c r="AW2775" s="38"/>
      <c r="AX2775" s="38"/>
      <c r="AY2775" s="38"/>
      <c r="AZ2775" s="38"/>
      <c r="BA2775" s="38"/>
      <c r="BB2775" s="38"/>
      <c r="BC2775" s="38"/>
      <c r="BD2775" s="38"/>
      <c r="BE2775" s="38"/>
      <c r="BF2775" s="38"/>
      <c r="BG2775" s="38"/>
      <c r="BH2775" s="38"/>
      <c r="BI2775" s="38"/>
      <c r="BJ2775" s="38"/>
      <c r="BK2775" s="38"/>
      <c r="BL2775" s="38"/>
      <c r="BM2775" s="38"/>
      <c r="BN2775" s="38"/>
      <c r="BO2775" s="38"/>
      <c r="BP2775" s="38"/>
      <c r="BQ2775" s="38"/>
    </row>
    <row r="2776">
      <c r="A2776" s="16"/>
      <c r="B2776" s="16"/>
      <c r="C2776" s="146"/>
      <c r="D2776" s="146"/>
      <c r="E2776" s="16"/>
      <c r="F2776" s="91"/>
      <c r="G2776" s="16"/>
      <c r="H2776" s="320" t="str">
        <f t="shared" si="33"/>
        <v/>
      </c>
      <c r="I2776" s="16"/>
      <c r="J2776" s="16"/>
      <c r="K2776" s="16"/>
      <c r="L2776" s="16"/>
      <c r="M2776" s="15"/>
      <c r="N2776" s="15"/>
      <c r="O2776" s="16"/>
      <c r="P2776" s="16"/>
      <c r="Q2776" s="16"/>
      <c r="R2776" s="16"/>
      <c r="S2776" s="37" t="str">
        <f>IFERROR(__xludf.DUMMYFUNCTION("if(not(iserror(index(split(C2776, "" ""),2))), index(split(C2776, "" ""),1),"""")"),"")</f>
        <v/>
      </c>
      <c r="T2776" s="315" t="str">
        <f>IFERROR(__xludf.DUMMYFUNCTION("if(S2776="""",C2776,if(not(iserror(index(split(C2776, "" ""),3))), index(split(C2776, "" ""),3),index(split(C2776, "" ""),2)))"),"")</f>
        <v/>
      </c>
      <c r="U2776" s="38" t="b">
        <f t="shared" si="34"/>
        <v>0</v>
      </c>
      <c r="V2776" s="38"/>
      <c r="W2776" s="40"/>
      <c r="X2776" s="40"/>
      <c r="Y2776" s="38"/>
      <c r="Z2776" s="38"/>
      <c r="AA2776" s="38"/>
      <c r="AB2776" s="38"/>
      <c r="AC2776" s="38"/>
      <c r="AD2776" s="38"/>
      <c r="AE2776" s="38"/>
      <c r="AF2776" s="38"/>
      <c r="AG2776" s="38"/>
      <c r="AH2776" s="38"/>
      <c r="AI2776" s="38"/>
      <c r="AJ2776" s="38"/>
      <c r="AK2776" s="38"/>
      <c r="AL2776" s="38"/>
      <c r="AM2776" s="38"/>
      <c r="AN2776" s="38"/>
      <c r="AO2776" s="38"/>
      <c r="AP2776" s="38"/>
      <c r="AQ2776" s="38"/>
      <c r="AR2776" s="38"/>
      <c r="AS2776" s="38"/>
      <c r="AT2776" s="38"/>
      <c r="AU2776" s="38"/>
      <c r="AV2776" s="38"/>
      <c r="AW2776" s="38"/>
      <c r="AX2776" s="38"/>
      <c r="AY2776" s="38"/>
      <c r="AZ2776" s="38"/>
      <c r="BA2776" s="38"/>
      <c r="BB2776" s="38"/>
      <c r="BC2776" s="38"/>
      <c r="BD2776" s="38"/>
      <c r="BE2776" s="38"/>
      <c r="BF2776" s="38"/>
      <c r="BG2776" s="38"/>
      <c r="BH2776" s="38"/>
      <c r="BI2776" s="38"/>
      <c r="BJ2776" s="38"/>
      <c r="BK2776" s="38"/>
      <c r="BL2776" s="38"/>
      <c r="BM2776" s="38"/>
      <c r="BN2776" s="38"/>
      <c r="BO2776" s="38"/>
      <c r="BP2776" s="38"/>
      <c r="BQ2776" s="38"/>
    </row>
    <row r="2777">
      <c r="A2777" s="16"/>
      <c r="B2777" s="16"/>
      <c r="C2777" s="146"/>
      <c r="D2777" s="146"/>
      <c r="E2777" s="16"/>
      <c r="F2777" s="91"/>
      <c r="G2777" s="16"/>
      <c r="H2777" s="320" t="str">
        <f t="shared" si="33"/>
        <v/>
      </c>
      <c r="I2777" s="16"/>
      <c r="J2777" s="16"/>
      <c r="K2777" s="16"/>
      <c r="L2777" s="16"/>
      <c r="M2777" s="15"/>
      <c r="N2777" s="15"/>
      <c r="O2777" s="16"/>
      <c r="P2777" s="16"/>
      <c r="Q2777" s="16"/>
      <c r="R2777" s="16"/>
      <c r="S2777" s="37" t="str">
        <f>IFERROR(__xludf.DUMMYFUNCTION("if(not(iserror(index(split(C2777, "" ""),2))), index(split(C2777, "" ""),1),"""")"),"")</f>
        <v/>
      </c>
      <c r="T2777" s="315" t="str">
        <f>IFERROR(__xludf.DUMMYFUNCTION("if(S2777="""",C2777,if(not(iserror(index(split(C2777, "" ""),3))), index(split(C2777, "" ""),3),index(split(C2777, "" ""),2)))"),"")</f>
        <v/>
      </c>
      <c r="U2777" s="38" t="b">
        <f t="shared" si="34"/>
        <v>0</v>
      </c>
      <c r="V2777" s="38"/>
      <c r="W2777" s="40"/>
      <c r="X2777" s="40"/>
      <c r="Y2777" s="38"/>
      <c r="Z2777" s="38"/>
      <c r="AA2777" s="38"/>
      <c r="AB2777" s="38"/>
      <c r="AC2777" s="38"/>
      <c r="AD2777" s="38"/>
      <c r="AE2777" s="38"/>
      <c r="AF2777" s="38"/>
      <c r="AG2777" s="38"/>
      <c r="AH2777" s="38"/>
      <c r="AI2777" s="38"/>
      <c r="AJ2777" s="38"/>
      <c r="AK2777" s="38"/>
      <c r="AL2777" s="38"/>
      <c r="AM2777" s="38"/>
      <c r="AN2777" s="38"/>
      <c r="AO2777" s="38"/>
      <c r="AP2777" s="38"/>
      <c r="AQ2777" s="38"/>
      <c r="AR2777" s="38"/>
      <c r="AS2777" s="38"/>
      <c r="AT2777" s="38"/>
      <c r="AU2777" s="38"/>
      <c r="AV2777" s="38"/>
      <c r="AW2777" s="38"/>
      <c r="AX2777" s="38"/>
      <c r="AY2777" s="38"/>
      <c r="AZ2777" s="38"/>
      <c r="BA2777" s="38"/>
      <c r="BB2777" s="38"/>
      <c r="BC2777" s="38"/>
      <c r="BD2777" s="38"/>
      <c r="BE2777" s="38"/>
      <c r="BF2777" s="38"/>
      <c r="BG2777" s="38"/>
      <c r="BH2777" s="38"/>
      <c r="BI2777" s="38"/>
      <c r="BJ2777" s="38"/>
      <c r="BK2777" s="38"/>
      <c r="BL2777" s="38"/>
      <c r="BM2777" s="38"/>
      <c r="BN2777" s="38"/>
      <c r="BO2777" s="38"/>
      <c r="BP2777" s="38"/>
      <c r="BQ2777" s="38"/>
    </row>
    <row r="2778">
      <c r="A2778" s="16"/>
      <c r="B2778" s="16"/>
      <c r="C2778" s="146"/>
      <c r="D2778" s="146"/>
      <c r="E2778" s="16"/>
      <c r="F2778" s="91"/>
      <c r="G2778" s="16"/>
      <c r="H2778" s="320" t="str">
        <f t="shared" si="33"/>
        <v/>
      </c>
      <c r="I2778" s="16"/>
      <c r="J2778" s="16"/>
      <c r="K2778" s="16"/>
      <c r="L2778" s="16"/>
      <c r="M2778" s="15"/>
      <c r="N2778" s="15"/>
      <c r="O2778" s="16"/>
      <c r="P2778" s="16"/>
      <c r="Q2778" s="16"/>
      <c r="R2778" s="16"/>
      <c r="S2778" s="37" t="str">
        <f>IFERROR(__xludf.DUMMYFUNCTION("if(not(iserror(index(split(C2778, "" ""),2))), index(split(C2778, "" ""),1),"""")"),"")</f>
        <v/>
      </c>
      <c r="T2778" s="315" t="str">
        <f>IFERROR(__xludf.DUMMYFUNCTION("if(S2778="""",C2778,if(not(iserror(index(split(C2778, "" ""),3))), index(split(C2778, "" ""),3),index(split(C2778, "" ""),2)))"),"")</f>
        <v/>
      </c>
      <c r="U2778" s="38" t="b">
        <f t="shared" si="34"/>
        <v>0</v>
      </c>
      <c r="V2778" s="38"/>
      <c r="W2778" s="40"/>
      <c r="X2778" s="40"/>
      <c r="Y2778" s="38"/>
      <c r="Z2778" s="38"/>
      <c r="AA2778" s="38"/>
      <c r="AB2778" s="38"/>
      <c r="AC2778" s="38"/>
      <c r="AD2778" s="38"/>
      <c r="AE2778" s="38"/>
      <c r="AF2778" s="38"/>
      <c r="AG2778" s="38"/>
      <c r="AH2778" s="38"/>
      <c r="AI2778" s="38"/>
      <c r="AJ2778" s="38"/>
      <c r="AK2778" s="38"/>
      <c r="AL2778" s="38"/>
      <c r="AM2778" s="38"/>
      <c r="AN2778" s="38"/>
      <c r="AO2778" s="38"/>
      <c r="AP2778" s="38"/>
      <c r="AQ2778" s="38"/>
      <c r="AR2778" s="38"/>
      <c r="AS2778" s="38"/>
      <c r="AT2778" s="38"/>
      <c r="AU2778" s="38"/>
      <c r="AV2778" s="38"/>
      <c r="AW2778" s="38"/>
      <c r="AX2778" s="38"/>
      <c r="AY2778" s="38"/>
      <c r="AZ2778" s="38"/>
      <c r="BA2778" s="38"/>
      <c r="BB2778" s="38"/>
      <c r="BC2778" s="38"/>
      <c r="BD2778" s="38"/>
      <c r="BE2778" s="38"/>
      <c r="BF2778" s="38"/>
      <c r="BG2778" s="38"/>
      <c r="BH2778" s="38"/>
      <c r="BI2778" s="38"/>
      <c r="BJ2778" s="38"/>
      <c r="BK2778" s="38"/>
      <c r="BL2778" s="38"/>
      <c r="BM2778" s="38"/>
      <c r="BN2778" s="38"/>
      <c r="BO2778" s="38"/>
      <c r="BP2778" s="38"/>
      <c r="BQ2778" s="38"/>
    </row>
    <row r="2779">
      <c r="A2779" s="16"/>
      <c r="B2779" s="16"/>
      <c r="C2779" s="146"/>
      <c r="D2779" s="146"/>
      <c r="E2779" s="16"/>
      <c r="F2779" s="91"/>
      <c r="G2779" s="16"/>
      <c r="H2779" s="320" t="str">
        <f t="shared" si="33"/>
        <v/>
      </c>
      <c r="I2779" s="16"/>
      <c r="J2779" s="16"/>
      <c r="K2779" s="16"/>
      <c r="L2779" s="16"/>
      <c r="M2779" s="15"/>
      <c r="N2779" s="15"/>
      <c r="O2779" s="16"/>
      <c r="P2779" s="16"/>
      <c r="Q2779" s="16"/>
      <c r="R2779" s="16"/>
      <c r="S2779" s="37" t="str">
        <f>IFERROR(__xludf.DUMMYFUNCTION("if(not(iserror(index(split(C2779, "" ""),2))), index(split(C2779, "" ""),1),"""")"),"")</f>
        <v/>
      </c>
      <c r="T2779" s="315" t="str">
        <f>IFERROR(__xludf.DUMMYFUNCTION("if(S2779="""",C2779,if(not(iserror(index(split(C2779, "" ""),3))), index(split(C2779, "" ""),3),index(split(C2779, "" ""),2)))"),"")</f>
        <v/>
      </c>
      <c r="U2779" s="38" t="b">
        <f t="shared" si="34"/>
        <v>0</v>
      </c>
      <c r="V2779" s="38"/>
      <c r="W2779" s="40"/>
      <c r="X2779" s="40"/>
      <c r="Y2779" s="38"/>
      <c r="Z2779" s="38"/>
      <c r="AA2779" s="38"/>
      <c r="AB2779" s="38"/>
      <c r="AC2779" s="38"/>
      <c r="AD2779" s="38"/>
      <c r="AE2779" s="38"/>
      <c r="AF2779" s="38"/>
      <c r="AG2779" s="38"/>
      <c r="AH2779" s="38"/>
      <c r="AI2779" s="38"/>
      <c r="AJ2779" s="38"/>
      <c r="AK2779" s="38"/>
      <c r="AL2779" s="38"/>
      <c r="AM2779" s="38"/>
      <c r="AN2779" s="38"/>
      <c r="AO2779" s="38"/>
      <c r="AP2779" s="38"/>
      <c r="AQ2779" s="38"/>
      <c r="AR2779" s="38"/>
      <c r="AS2779" s="38"/>
      <c r="AT2779" s="38"/>
      <c r="AU2779" s="38"/>
      <c r="AV2779" s="38"/>
      <c r="AW2779" s="38"/>
      <c r="AX2779" s="38"/>
      <c r="AY2779" s="38"/>
      <c r="AZ2779" s="38"/>
      <c r="BA2779" s="38"/>
      <c r="BB2779" s="38"/>
      <c r="BC2779" s="38"/>
      <c r="BD2779" s="38"/>
      <c r="BE2779" s="38"/>
      <c r="BF2779" s="38"/>
      <c r="BG2779" s="38"/>
      <c r="BH2779" s="38"/>
      <c r="BI2779" s="38"/>
      <c r="BJ2779" s="38"/>
      <c r="BK2779" s="38"/>
      <c r="BL2779" s="38"/>
      <c r="BM2779" s="38"/>
      <c r="BN2779" s="38"/>
      <c r="BO2779" s="38"/>
      <c r="BP2779" s="38"/>
      <c r="BQ2779" s="38"/>
    </row>
    <row r="2780">
      <c r="A2780" s="16"/>
      <c r="B2780" s="16"/>
      <c r="C2780" s="146"/>
      <c r="D2780" s="146"/>
      <c r="E2780" s="16"/>
      <c r="F2780" s="91"/>
      <c r="G2780" s="16"/>
      <c r="H2780" s="320" t="str">
        <f t="shared" si="33"/>
        <v/>
      </c>
      <c r="I2780" s="16"/>
      <c r="J2780" s="16"/>
      <c r="K2780" s="16"/>
      <c r="L2780" s="16"/>
      <c r="M2780" s="15"/>
      <c r="N2780" s="15"/>
      <c r="O2780" s="16"/>
      <c r="P2780" s="16"/>
      <c r="Q2780" s="16"/>
      <c r="R2780" s="16"/>
      <c r="S2780" s="37" t="str">
        <f>IFERROR(__xludf.DUMMYFUNCTION("if(not(iserror(index(split(C2780, "" ""),2))), index(split(C2780, "" ""),1),"""")"),"")</f>
        <v/>
      </c>
      <c r="T2780" s="315" t="str">
        <f>IFERROR(__xludf.DUMMYFUNCTION("if(S2780="""",C2780,if(not(iserror(index(split(C2780, "" ""),3))), index(split(C2780, "" ""),3),index(split(C2780, "" ""),2)))"),"")</f>
        <v/>
      </c>
      <c r="U2780" s="38" t="b">
        <f t="shared" si="34"/>
        <v>0</v>
      </c>
      <c r="V2780" s="38"/>
      <c r="W2780" s="40"/>
      <c r="X2780" s="40"/>
      <c r="Y2780" s="38"/>
      <c r="Z2780" s="38"/>
      <c r="AA2780" s="38"/>
      <c r="AB2780" s="38"/>
      <c r="AC2780" s="38"/>
      <c r="AD2780" s="38"/>
      <c r="AE2780" s="38"/>
      <c r="AF2780" s="38"/>
      <c r="AG2780" s="38"/>
      <c r="AH2780" s="38"/>
      <c r="AI2780" s="38"/>
      <c r="AJ2780" s="38"/>
      <c r="AK2780" s="38"/>
      <c r="AL2780" s="38"/>
      <c r="AM2780" s="38"/>
      <c r="AN2780" s="38"/>
      <c r="AO2780" s="38"/>
      <c r="AP2780" s="38"/>
      <c r="AQ2780" s="38"/>
      <c r="AR2780" s="38"/>
      <c r="AS2780" s="38"/>
      <c r="AT2780" s="38"/>
      <c r="AU2780" s="38"/>
      <c r="AV2780" s="38"/>
      <c r="AW2780" s="38"/>
      <c r="AX2780" s="38"/>
      <c r="AY2780" s="38"/>
      <c r="AZ2780" s="38"/>
      <c r="BA2780" s="38"/>
      <c r="BB2780" s="38"/>
      <c r="BC2780" s="38"/>
      <c r="BD2780" s="38"/>
      <c r="BE2780" s="38"/>
      <c r="BF2780" s="38"/>
      <c r="BG2780" s="38"/>
      <c r="BH2780" s="38"/>
      <c r="BI2780" s="38"/>
      <c r="BJ2780" s="38"/>
      <c r="BK2780" s="38"/>
      <c r="BL2780" s="38"/>
      <c r="BM2780" s="38"/>
      <c r="BN2780" s="38"/>
      <c r="BO2780" s="38"/>
      <c r="BP2780" s="38"/>
      <c r="BQ2780" s="38"/>
    </row>
    <row r="2781">
      <c r="A2781" s="16"/>
      <c r="B2781" s="16"/>
      <c r="C2781" s="146"/>
      <c r="D2781" s="146"/>
      <c r="E2781" s="16"/>
      <c r="F2781" s="91"/>
      <c r="G2781" s="16"/>
      <c r="H2781" s="320" t="str">
        <f t="shared" si="33"/>
        <v/>
      </c>
      <c r="I2781" s="16"/>
      <c r="J2781" s="16"/>
      <c r="K2781" s="16"/>
      <c r="L2781" s="16"/>
      <c r="M2781" s="15"/>
      <c r="N2781" s="15"/>
      <c r="O2781" s="16"/>
      <c r="P2781" s="16"/>
      <c r="Q2781" s="16"/>
      <c r="R2781" s="16"/>
      <c r="S2781" s="37" t="str">
        <f>IFERROR(__xludf.DUMMYFUNCTION("if(not(iserror(index(split(C2781, "" ""),2))), index(split(C2781, "" ""),1),"""")"),"")</f>
        <v/>
      </c>
      <c r="T2781" s="315" t="str">
        <f>IFERROR(__xludf.DUMMYFUNCTION("if(S2781="""",C2781,if(not(iserror(index(split(C2781, "" ""),3))), index(split(C2781, "" ""),3),index(split(C2781, "" ""),2)))"),"")</f>
        <v/>
      </c>
      <c r="U2781" s="38" t="b">
        <f t="shared" si="34"/>
        <v>0</v>
      </c>
      <c r="V2781" s="38"/>
      <c r="W2781" s="40"/>
      <c r="X2781" s="40"/>
      <c r="Y2781" s="38"/>
      <c r="Z2781" s="38"/>
      <c r="AA2781" s="38"/>
      <c r="AB2781" s="38"/>
      <c r="AC2781" s="38"/>
      <c r="AD2781" s="38"/>
      <c r="AE2781" s="38"/>
      <c r="AF2781" s="38"/>
      <c r="AG2781" s="38"/>
      <c r="AH2781" s="38"/>
      <c r="AI2781" s="38"/>
      <c r="AJ2781" s="38"/>
      <c r="AK2781" s="38"/>
      <c r="AL2781" s="38"/>
      <c r="AM2781" s="38"/>
      <c r="AN2781" s="38"/>
      <c r="AO2781" s="38"/>
      <c r="AP2781" s="38"/>
      <c r="AQ2781" s="38"/>
      <c r="AR2781" s="38"/>
      <c r="AS2781" s="38"/>
      <c r="AT2781" s="38"/>
      <c r="AU2781" s="38"/>
      <c r="AV2781" s="38"/>
      <c r="AW2781" s="38"/>
      <c r="AX2781" s="38"/>
      <c r="AY2781" s="38"/>
      <c r="AZ2781" s="38"/>
      <c r="BA2781" s="38"/>
      <c r="BB2781" s="38"/>
      <c r="BC2781" s="38"/>
      <c r="BD2781" s="38"/>
      <c r="BE2781" s="38"/>
      <c r="BF2781" s="38"/>
      <c r="BG2781" s="38"/>
      <c r="BH2781" s="38"/>
      <c r="BI2781" s="38"/>
      <c r="BJ2781" s="38"/>
      <c r="BK2781" s="38"/>
      <c r="BL2781" s="38"/>
      <c r="BM2781" s="38"/>
      <c r="BN2781" s="38"/>
      <c r="BO2781" s="38"/>
      <c r="BP2781" s="38"/>
      <c r="BQ2781" s="38"/>
    </row>
    <row r="2782">
      <c r="A2782" s="16"/>
      <c r="B2782" s="16"/>
      <c r="C2782" s="146"/>
      <c r="D2782" s="146"/>
      <c r="E2782" s="16"/>
      <c r="F2782" s="91"/>
      <c r="G2782" s="16"/>
      <c r="H2782" s="320" t="str">
        <f t="shared" si="33"/>
        <v/>
      </c>
      <c r="I2782" s="16"/>
      <c r="J2782" s="16"/>
      <c r="K2782" s="16"/>
      <c r="L2782" s="16"/>
      <c r="M2782" s="15"/>
      <c r="N2782" s="15"/>
      <c r="O2782" s="16"/>
      <c r="P2782" s="16"/>
      <c r="Q2782" s="16"/>
      <c r="R2782" s="16"/>
      <c r="S2782" s="37" t="str">
        <f>IFERROR(__xludf.DUMMYFUNCTION("if(not(iserror(index(split(C2782, "" ""),2))), index(split(C2782, "" ""),1),"""")"),"")</f>
        <v/>
      </c>
      <c r="T2782" s="315" t="str">
        <f>IFERROR(__xludf.DUMMYFUNCTION("if(S2782="""",C2782,if(not(iserror(index(split(C2782, "" ""),3))), index(split(C2782, "" ""),3),index(split(C2782, "" ""),2)))"),"")</f>
        <v/>
      </c>
      <c r="U2782" s="38" t="b">
        <f t="shared" si="34"/>
        <v>0</v>
      </c>
      <c r="V2782" s="38"/>
      <c r="W2782" s="40"/>
      <c r="X2782" s="40"/>
      <c r="Y2782" s="38"/>
      <c r="Z2782" s="38"/>
      <c r="AA2782" s="38"/>
      <c r="AB2782" s="38"/>
      <c r="AC2782" s="38"/>
      <c r="AD2782" s="38"/>
      <c r="AE2782" s="38"/>
      <c r="AF2782" s="38"/>
      <c r="AG2782" s="38"/>
      <c r="AH2782" s="38"/>
      <c r="AI2782" s="38"/>
      <c r="AJ2782" s="38"/>
      <c r="AK2782" s="38"/>
      <c r="AL2782" s="38"/>
      <c r="AM2782" s="38"/>
      <c r="AN2782" s="38"/>
      <c r="AO2782" s="38"/>
      <c r="AP2782" s="38"/>
      <c r="AQ2782" s="38"/>
      <c r="AR2782" s="38"/>
      <c r="AS2782" s="38"/>
      <c r="AT2782" s="38"/>
      <c r="AU2782" s="38"/>
      <c r="AV2782" s="38"/>
      <c r="AW2782" s="38"/>
      <c r="AX2782" s="38"/>
      <c r="AY2782" s="38"/>
      <c r="AZ2782" s="38"/>
      <c r="BA2782" s="38"/>
      <c r="BB2782" s="38"/>
      <c r="BC2782" s="38"/>
      <c r="BD2782" s="38"/>
      <c r="BE2782" s="38"/>
      <c r="BF2782" s="38"/>
      <c r="BG2782" s="38"/>
      <c r="BH2782" s="38"/>
      <c r="BI2782" s="38"/>
      <c r="BJ2782" s="38"/>
      <c r="BK2782" s="38"/>
      <c r="BL2782" s="38"/>
      <c r="BM2782" s="38"/>
      <c r="BN2782" s="38"/>
      <c r="BO2782" s="38"/>
      <c r="BP2782" s="38"/>
      <c r="BQ2782" s="38"/>
    </row>
    <row r="2783">
      <c r="A2783" s="16"/>
      <c r="B2783" s="16"/>
      <c r="C2783" s="146"/>
      <c r="D2783" s="146"/>
      <c r="E2783" s="16"/>
      <c r="F2783" s="91"/>
      <c r="G2783" s="16"/>
      <c r="H2783" s="320" t="str">
        <f t="shared" si="33"/>
        <v/>
      </c>
      <c r="I2783" s="16"/>
      <c r="J2783" s="16"/>
      <c r="K2783" s="16"/>
      <c r="L2783" s="16"/>
      <c r="M2783" s="15"/>
      <c r="N2783" s="15"/>
      <c r="O2783" s="16"/>
      <c r="P2783" s="16"/>
      <c r="Q2783" s="16"/>
      <c r="R2783" s="16"/>
      <c r="S2783" s="37" t="str">
        <f>IFERROR(__xludf.DUMMYFUNCTION("if(not(iserror(index(split(C2783, "" ""),2))), index(split(C2783, "" ""),1),"""")"),"")</f>
        <v/>
      </c>
      <c r="T2783" s="315" t="str">
        <f>IFERROR(__xludf.DUMMYFUNCTION("if(S2783="""",C2783,if(not(iserror(index(split(C2783, "" ""),3))), index(split(C2783, "" ""),3),index(split(C2783, "" ""),2)))"),"")</f>
        <v/>
      </c>
      <c r="U2783" s="38" t="b">
        <f t="shared" si="34"/>
        <v>0</v>
      </c>
      <c r="V2783" s="38"/>
      <c r="W2783" s="40"/>
      <c r="X2783" s="40"/>
      <c r="Y2783" s="38"/>
      <c r="Z2783" s="38"/>
      <c r="AA2783" s="38"/>
      <c r="AB2783" s="38"/>
      <c r="AC2783" s="38"/>
      <c r="AD2783" s="38"/>
      <c r="AE2783" s="38"/>
      <c r="AF2783" s="38"/>
      <c r="AG2783" s="38"/>
      <c r="AH2783" s="38"/>
      <c r="AI2783" s="38"/>
      <c r="AJ2783" s="38"/>
      <c r="AK2783" s="38"/>
      <c r="AL2783" s="38"/>
      <c r="AM2783" s="38"/>
      <c r="AN2783" s="38"/>
      <c r="AO2783" s="38"/>
      <c r="AP2783" s="38"/>
      <c r="AQ2783" s="38"/>
      <c r="AR2783" s="38"/>
      <c r="AS2783" s="38"/>
      <c r="AT2783" s="38"/>
      <c r="AU2783" s="38"/>
      <c r="AV2783" s="38"/>
      <c r="AW2783" s="38"/>
      <c r="AX2783" s="38"/>
      <c r="AY2783" s="38"/>
      <c r="AZ2783" s="38"/>
      <c r="BA2783" s="38"/>
      <c r="BB2783" s="38"/>
      <c r="BC2783" s="38"/>
      <c r="BD2783" s="38"/>
      <c r="BE2783" s="38"/>
      <c r="BF2783" s="38"/>
      <c r="BG2783" s="38"/>
      <c r="BH2783" s="38"/>
      <c r="BI2783" s="38"/>
      <c r="BJ2783" s="38"/>
      <c r="BK2783" s="38"/>
      <c r="BL2783" s="38"/>
      <c r="BM2783" s="38"/>
      <c r="BN2783" s="38"/>
      <c r="BO2783" s="38"/>
      <c r="BP2783" s="38"/>
      <c r="BQ2783" s="38"/>
    </row>
    <row r="2784">
      <c r="A2784" s="16"/>
      <c r="B2784" s="16"/>
      <c r="C2784" s="146"/>
      <c r="D2784" s="146"/>
      <c r="E2784" s="16"/>
      <c r="F2784" s="91"/>
      <c r="G2784" s="16"/>
      <c r="H2784" s="320" t="str">
        <f t="shared" si="33"/>
        <v/>
      </c>
      <c r="I2784" s="16"/>
      <c r="J2784" s="16"/>
      <c r="K2784" s="16"/>
      <c r="L2784" s="16"/>
      <c r="M2784" s="15"/>
      <c r="N2784" s="15"/>
      <c r="O2784" s="16"/>
      <c r="P2784" s="16"/>
      <c r="Q2784" s="16"/>
      <c r="R2784" s="16"/>
      <c r="S2784" s="37" t="str">
        <f>IFERROR(__xludf.DUMMYFUNCTION("if(not(iserror(index(split(C2784, "" ""),2))), index(split(C2784, "" ""),1),"""")"),"")</f>
        <v/>
      </c>
      <c r="T2784" s="315" t="str">
        <f>IFERROR(__xludf.DUMMYFUNCTION("if(S2784="""",C2784,if(not(iserror(index(split(C2784, "" ""),3))), index(split(C2784, "" ""),3),index(split(C2784, "" ""),2)))"),"")</f>
        <v/>
      </c>
      <c r="U2784" s="38" t="b">
        <f t="shared" si="34"/>
        <v>0</v>
      </c>
      <c r="V2784" s="38"/>
      <c r="W2784" s="40"/>
      <c r="X2784" s="40"/>
      <c r="Y2784" s="38"/>
      <c r="Z2784" s="38"/>
      <c r="AA2784" s="38"/>
      <c r="AB2784" s="38"/>
      <c r="AC2784" s="38"/>
      <c r="AD2784" s="38"/>
      <c r="AE2784" s="38"/>
      <c r="AF2784" s="38"/>
      <c r="AG2784" s="38"/>
      <c r="AH2784" s="38"/>
      <c r="AI2784" s="38"/>
      <c r="AJ2784" s="38"/>
      <c r="AK2784" s="38"/>
      <c r="AL2784" s="38"/>
      <c r="AM2784" s="38"/>
      <c r="AN2784" s="38"/>
      <c r="AO2784" s="38"/>
      <c r="AP2784" s="38"/>
      <c r="AQ2784" s="38"/>
      <c r="AR2784" s="38"/>
      <c r="AS2784" s="38"/>
      <c r="AT2784" s="38"/>
      <c r="AU2784" s="38"/>
      <c r="AV2784" s="38"/>
      <c r="AW2784" s="38"/>
      <c r="AX2784" s="38"/>
      <c r="AY2784" s="38"/>
      <c r="AZ2784" s="38"/>
      <c r="BA2784" s="38"/>
      <c r="BB2784" s="38"/>
      <c r="BC2784" s="38"/>
      <c r="BD2784" s="38"/>
      <c r="BE2784" s="38"/>
      <c r="BF2784" s="38"/>
      <c r="BG2784" s="38"/>
      <c r="BH2784" s="38"/>
      <c r="BI2784" s="38"/>
      <c r="BJ2784" s="38"/>
      <c r="BK2784" s="38"/>
      <c r="BL2784" s="38"/>
      <c r="BM2784" s="38"/>
      <c r="BN2784" s="38"/>
      <c r="BO2784" s="38"/>
      <c r="BP2784" s="38"/>
      <c r="BQ2784" s="38"/>
    </row>
    <row r="2785">
      <c r="A2785" s="16"/>
      <c r="B2785" s="16"/>
      <c r="C2785" s="146"/>
      <c r="D2785" s="146"/>
      <c r="E2785" s="16"/>
      <c r="F2785" s="91"/>
      <c r="G2785" s="16"/>
      <c r="H2785" s="320" t="str">
        <f t="shared" si="33"/>
        <v/>
      </c>
      <c r="I2785" s="16"/>
      <c r="J2785" s="16"/>
      <c r="K2785" s="16"/>
      <c r="L2785" s="16"/>
      <c r="M2785" s="15"/>
      <c r="N2785" s="15"/>
      <c r="O2785" s="16"/>
      <c r="P2785" s="16"/>
      <c r="Q2785" s="16"/>
      <c r="R2785" s="16"/>
      <c r="S2785" s="37" t="str">
        <f>IFERROR(__xludf.DUMMYFUNCTION("if(not(iserror(index(split(C2785, "" ""),2))), index(split(C2785, "" ""),1),"""")"),"")</f>
        <v/>
      </c>
      <c r="T2785" s="315" t="str">
        <f>IFERROR(__xludf.DUMMYFUNCTION("if(S2785="""",C2785,if(not(iserror(index(split(C2785, "" ""),3))), index(split(C2785, "" ""),3),index(split(C2785, "" ""),2)))"),"")</f>
        <v/>
      </c>
      <c r="U2785" s="38" t="b">
        <f t="shared" si="34"/>
        <v>0</v>
      </c>
      <c r="V2785" s="38"/>
      <c r="W2785" s="40"/>
      <c r="X2785" s="40"/>
      <c r="Y2785" s="38"/>
      <c r="Z2785" s="38"/>
      <c r="AA2785" s="38"/>
      <c r="AB2785" s="38"/>
      <c r="AC2785" s="38"/>
      <c r="AD2785" s="38"/>
      <c r="AE2785" s="38"/>
      <c r="AF2785" s="38"/>
      <c r="AG2785" s="38"/>
      <c r="AH2785" s="38"/>
      <c r="AI2785" s="38"/>
      <c r="AJ2785" s="38"/>
      <c r="AK2785" s="38"/>
      <c r="AL2785" s="38"/>
      <c r="AM2785" s="38"/>
      <c r="AN2785" s="38"/>
      <c r="AO2785" s="38"/>
      <c r="AP2785" s="38"/>
      <c r="AQ2785" s="38"/>
      <c r="AR2785" s="38"/>
      <c r="AS2785" s="38"/>
      <c r="AT2785" s="38"/>
      <c r="AU2785" s="38"/>
      <c r="AV2785" s="38"/>
      <c r="AW2785" s="38"/>
      <c r="AX2785" s="38"/>
      <c r="AY2785" s="38"/>
      <c r="AZ2785" s="38"/>
      <c r="BA2785" s="38"/>
      <c r="BB2785" s="38"/>
      <c r="BC2785" s="38"/>
      <c r="BD2785" s="38"/>
      <c r="BE2785" s="38"/>
      <c r="BF2785" s="38"/>
      <c r="BG2785" s="38"/>
      <c r="BH2785" s="38"/>
      <c r="BI2785" s="38"/>
      <c r="BJ2785" s="38"/>
      <c r="BK2785" s="38"/>
      <c r="BL2785" s="38"/>
      <c r="BM2785" s="38"/>
      <c r="BN2785" s="38"/>
      <c r="BO2785" s="38"/>
      <c r="BP2785" s="38"/>
      <c r="BQ2785" s="38"/>
    </row>
    <row r="2786">
      <c r="A2786" s="16"/>
      <c r="B2786" s="16"/>
      <c r="C2786" s="146"/>
      <c r="D2786" s="146"/>
      <c r="E2786" s="16"/>
      <c r="F2786" s="91"/>
      <c r="G2786" s="16"/>
      <c r="H2786" s="320" t="str">
        <f t="shared" si="33"/>
        <v/>
      </c>
      <c r="I2786" s="16"/>
      <c r="J2786" s="16"/>
      <c r="K2786" s="16"/>
      <c r="L2786" s="16"/>
      <c r="M2786" s="15"/>
      <c r="N2786" s="15"/>
      <c r="O2786" s="16"/>
      <c r="P2786" s="16"/>
      <c r="Q2786" s="16"/>
      <c r="R2786" s="16"/>
      <c r="S2786" s="37" t="str">
        <f>IFERROR(__xludf.DUMMYFUNCTION("if(not(iserror(index(split(C2786, "" ""),2))), index(split(C2786, "" ""),1),"""")"),"")</f>
        <v/>
      </c>
      <c r="T2786" s="315" t="str">
        <f>IFERROR(__xludf.DUMMYFUNCTION("if(S2786="""",C2786,if(not(iserror(index(split(C2786, "" ""),3))), index(split(C2786, "" ""),3),index(split(C2786, "" ""),2)))"),"")</f>
        <v/>
      </c>
      <c r="U2786" s="38" t="b">
        <f t="shared" si="34"/>
        <v>0</v>
      </c>
      <c r="V2786" s="38"/>
      <c r="W2786" s="40"/>
      <c r="X2786" s="40"/>
      <c r="Y2786" s="38"/>
      <c r="Z2786" s="38"/>
      <c r="AA2786" s="38"/>
      <c r="AB2786" s="38"/>
      <c r="AC2786" s="38"/>
      <c r="AD2786" s="38"/>
      <c r="AE2786" s="38"/>
      <c r="AF2786" s="38"/>
      <c r="AG2786" s="38"/>
      <c r="AH2786" s="38"/>
      <c r="AI2786" s="38"/>
      <c r="AJ2786" s="38"/>
      <c r="AK2786" s="38"/>
      <c r="AL2786" s="38"/>
      <c r="AM2786" s="38"/>
      <c r="AN2786" s="38"/>
      <c r="AO2786" s="38"/>
      <c r="AP2786" s="38"/>
      <c r="AQ2786" s="38"/>
      <c r="AR2786" s="38"/>
      <c r="AS2786" s="38"/>
      <c r="AT2786" s="38"/>
      <c r="AU2786" s="38"/>
      <c r="AV2786" s="38"/>
      <c r="AW2786" s="38"/>
      <c r="AX2786" s="38"/>
      <c r="AY2786" s="38"/>
      <c r="AZ2786" s="38"/>
      <c r="BA2786" s="38"/>
      <c r="BB2786" s="38"/>
      <c r="BC2786" s="38"/>
      <c r="BD2786" s="38"/>
      <c r="BE2786" s="38"/>
      <c r="BF2786" s="38"/>
      <c r="BG2786" s="38"/>
      <c r="BH2786" s="38"/>
      <c r="BI2786" s="38"/>
      <c r="BJ2786" s="38"/>
      <c r="BK2786" s="38"/>
      <c r="BL2786" s="38"/>
      <c r="BM2786" s="38"/>
      <c r="BN2786" s="38"/>
      <c r="BO2786" s="38"/>
      <c r="BP2786" s="38"/>
      <c r="BQ2786" s="38"/>
    </row>
    <row r="2787">
      <c r="A2787" s="16"/>
      <c r="B2787" s="16"/>
      <c r="C2787" s="146"/>
      <c r="D2787" s="146"/>
      <c r="E2787" s="16"/>
      <c r="F2787" s="91"/>
      <c r="G2787" s="16"/>
      <c r="H2787" s="320" t="str">
        <f t="shared" si="33"/>
        <v/>
      </c>
      <c r="I2787" s="16"/>
      <c r="J2787" s="16"/>
      <c r="K2787" s="16"/>
      <c r="L2787" s="16"/>
      <c r="M2787" s="15"/>
      <c r="N2787" s="15"/>
      <c r="O2787" s="16"/>
      <c r="P2787" s="16"/>
      <c r="Q2787" s="16"/>
      <c r="R2787" s="16"/>
      <c r="S2787" s="37" t="str">
        <f>IFERROR(__xludf.DUMMYFUNCTION("if(not(iserror(index(split(C2787, "" ""),2))), index(split(C2787, "" ""),1),"""")"),"")</f>
        <v/>
      </c>
      <c r="T2787" s="315" t="str">
        <f>IFERROR(__xludf.DUMMYFUNCTION("if(S2787="""",C2787,if(not(iserror(index(split(C2787, "" ""),3))), index(split(C2787, "" ""),3),index(split(C2787, "" ""),2)))"),"")</f>
        <v/>
      </c>
      <c r="U2787" s="38" t="b">
        <f t="shared" si="34"/>
        <v>0</v>
      </c>
      <c r="V2787" s="38"/>
      <c r="W2787" s="40"/>
      <c r="X2787" s="40"/>
      <c r="Y2787" s="38"/>
      <c r="Z2787" s="38"/>
      <c r="AA2787" s="38"/>
      <c r="AB2787" s="38"/>
      <c r="AC2787" s="38"/>
      <c r="AD2787" s="38"/>
      <c r="AE2787" s="38"/>
      <c r="AF2787" s="38"/>
      <c r="AG2787" s="38"/>
      <c r="AH2787" s="38"/>
      <c r="AI2787" s="38"/>
      <c r="AJ2787" s="38"/>
      <c r="AK2787" s="38"/>
      <c r="AL2787" s="38"/>
      <c r="AM2787" s="38"/>
      <c r="AN2787" s="38"/>
      <c r="AO2787" s="38"/>
      <c r="AP2787" s="38"/>
      <c r="AQ2787" s="38"/>
      <c r="AR2787" s="38"/>
      <c r="AS2787" s="38"/>
      <c r="AT2787" s="38"/>
      <c r="AU2787" s="38"/>
      <c r="AV2787" s="38"/>
      <c r="AW2787" s="38"/>
      <c r="AX2787" s="38"/>
      <c r="AY2787" s="38"/>
      <c r="AZ2787" s="38"/>
      <c r="BA2787" s="38"/>
      <c r="BB2787" s="38"/>
      <c r="BC2787" s="38"/>
      <c r="BD2787" s="38"/>
      <c r="BE2787" s="38"/>
      <c r="BF2787" s="38"/>
      <c r="BG2787" s="38"/>
      <c r="BH2787" s="38"/>
      <c r="BI2787" s="38"/>
      <c r="BJ2787" s="38"/>
      <c r="BK2787" s="38"/>
      <c r="BL2787" s="38"/>
      <c r="BM2787" s="38"/>
      <c r="BN2787" s="38"/>
      <c r="BO2787" s="38"/>
      <c r="BP2787" s="38"/>
      <c r="BQ2787" s="38"/>
    </row>
    <row r="2788">
      <c r="A2788" s="16"/>
      <c r="B2788" s="16"/>
      <c r="C2788" s="146"/>
      <c r="D2788" s="146"/>
      <c r="E2788" s="16"/>
      <c r="F2788" s="91"/>
      <c r="G2788" s="16"/>
      <c r="H2788" s="320" t="str">
        <f t="shared" si="33"/>
        <v/>
      </c>
      <c r="I2788" s="16"/>
      <c r="J2788" s="16"/>
      <c r="K2788" s="16"/>
      <c r="L2788" s="16"/>
      <c r="M2788" s="15"/>
      <c r="N2788" s="15"/>
      <c r="O2788" s="16"/>
      <c r="P2788" s="16"/>
      <c r="Q2788" s="16"/>
      <c r="R2788" s="16"/>
      <c r="S2788" s="37" t="str">
        <f>IFERROR(__xludf.DUMMYFUNCTION("if(not(iserror(index(split(C2788, "" ""),2))), index(split(C2788, "" ""),1),"""")"),"")</f>
        <v/>
      </c>
      <c r="T2788" s="315" t="str">
        <f>IFERROR(__xludf.DUMMYFUNCTION("if(S2788="""",C2788,if(not(iserror(index(split(C2788, "" ""),3))), index(split(C2788, "" ""),3),index(split(C2788, "" ""),2)))"),"")</f>
        <v/>
      </c>
      <c r="U2788" s="38" t="b">
        <f t="shared" si="34"/>
        <v>0</v>
      </c>
      <c r="V2788" s="38"/>
      <c r="W2788" s="40"/>
      <c r="X2788" s="40"/>
      <c r="Y2788" s="38"/>
      <c r="Z2788" s="38"/>
      <c r="AA2788" s="38"/>
      <c r="AB2788" s="38"/>
      <c r="AC2788" s="38"/>
      <c r="AD2788" s="38"/>
      <c r="AE2788" s="38"/>
      <c r="AF2788" s="38"/>
      <c r="AG2788" s="38"/>
      <c r="AH2788" s="38"/>
      <c r="AI2788" s="38"/>
      <c r="AJ2788" s="38"/>
      <c r="AK2788" s="38"/>
      <c r="AL2788" s="38"/>
      <c r="AM2788" s="38"/>
      <c r="AN2788" s="38"/>
      <c r="AO2788" s="38"/>
      <c r="AP2788" s="38"/>
      <c r="AQ2788" s="38"/>
      <c r="AR2788" s="38"/>
      <c r="AS2788" s="38"/>
      <c r="AT2788" s="38"/>
      <c r="AU2788" s="38"/>
      <c r="AV2788" s="38"/>
      <c r="AW2788" s="38"/>
      <c r="AX2788" s="38"/>
      <c r="AY2788" s="38"/>
      <c r="AZ2788" s="38"/>
      <c r="BA2788" s="38"/>
      <c r="BB2788" s="38"/>
      <c r="BC2788" s="38"/>
      <c r="BD2788" s="38"/>
      <c r="BE2788" s="38"/>
      <c r="BF2788" s="38"/>
      <c r="BG2788" s="38"/>
      <c r="BH2788" s="38"/>
      <c r="BI2788" s="38"/>
      <c r="BJ2788" s="38"/>
      <c r="BK2788" s="38"/>
      <c r="BL2788" s="38"/>
      <c r="BM2788" s="38"/>
      <c r="BN2788" s="38"/>
      <c r="BO2788" s="38"/>
      <c r="BP2788" s="38"/>
      <c r="BQ2788" s="38"/>
    </row>
    <row r="2789">
      <c r="A2789" s="16"/>
      <c r="B2789" s="16"/>
      <c r="C2789" s="146"/>
      <c r="D2789" s="146"/>
      <c r="E2789" s="16"/>
      <c r="F2789" s="91"/>
      <c r="G2789" s="16"/>
      <c r="H2789" s="320" t="str">
        <f t="shared" si="33"/>
        <v/>
      </c>
      <c r="I2789" s="16"/>
      <c r="J2789" s="16"/>
      <c r="K2789" s="16"/>
      <c r="L2789" s="16"/>
      <c r="M2789" s="15"/>
      <c r="N2789" s="15"/>
      <c r="O2789" s="16"/>
      <c r="P2789" s="16"/>
      <c r="Q2789" s="16"/>
      <c r="R2789" s="16"/>
      <c r="S2789" s="37" t="str">
        <f>IFERROR(__xludf.DUMMYFUNCTION("if(not(iserror(index(split(C2789, "" ""),2))), index(split(C2789, "" ""),1),"""")"),"")</f>
        <v/>
      </c>
      <c r="T2789" s="315" t="str">
        <f>IFERROR(__xludf.DUMMYFUNCTION("if(S2789="""",C2789,if(not(iserror(index(split(C2789, "" ""),3))), index(split(C2789, "" ""),3),index(split(C2789, "" ""),2)))"),"")</f>
        <v/>
      </c>
      <c r="U2789" s="38" t="b">
        <f t="shared" si="34"/>
        <v>0</v>
      </c>
      <c r="V2789" s="38"/>
      <c r="W2789" s="40"/>
      <c r="X2789" s="40"/>
      <c r="Y2789" s="38"/>
      <c r="Z2789" s="38"/>
      <c r="AA2789" s="38"/>
      <c r="AB2789" s="38"/>
      <c r="AC2789" s="38"/>
      <c r="AD2789" s="38"/>
      <c r="AE2789" s="38"/>
      <c r="AF2789" s="38"/>
      <c r="AG2789" s="38"/>
      <c r="AH2789" s="38"/>
      <c r="AI2789" s="38"/>
      <c r="AJ2789" s="38"/>
      <c r="AK2789" s="38"/>
      <c r="AL2789" s="38"/>
      <c r="AM2789" s="38"/>
      <c r="AN2789" s="38"/>
      <c r="AO2789" s="38"/>
      <c r="AP2789" s="38"/>
      <c r="AQ2789" s="38"/>
      <c r="AR2789" s="38"/>
      <c r="AS2789" s="38"/>
      <c r="AT2789" s="38"/>
      <c r="AU2789" s="38"/>
      <c r="AV2789" s="38"/>
      <c r="AW2789" s="38"/>
      <c r="AX2789" s="38"/>
      <c r="AY2789" s="38"/>
      <c r="AZ2789" s="38"/>
      <c r="BA2789" s="38"/>
      <c r="BB2789" s="38"/>
      <c r="BC2789" s="38"/>
      <c r="BD2789" s="38"/>
      <c r="BE2789" s="38"/>
      <c r="BF2789" s="38"/>
      <c r="BG2789" s="38"/>
      <c r="BH2789" s="38"/>
      <c r="BI2789" s="38"/>
      <c r="BJ2789" s="38"/>
      <c r="BK2789" s="38"/>
      <c r="BL2789" s="38"/>
      <c r="BM2789" s="38"/>
      <c r="BN2789" s="38"/>
      <c r="BO2789" s="38"/>
      <c r="BP2789" s="38"/>
      <c r="BQ2789" s="38"/>
    </row>
    <row r="2790">
      <c r="A2790" s="16"/>
      <c r="B2790" s="16"/>
      <c r="C2790" s="146"/>
      <c r="D2790" s="146"/>
      <c r="E2790" s="16"/>
      <c r="F2790" s="91"/>
      <c r="G2790" s="16"/>
      <c r="H2790" s="320" t="str">
        <f t="shared" si="33"/>
        <v/>
      </c>
      <c r="I2790" s="16"/>
      <c r="J2790" s="16"/>
      <c r="K2790" s="16"/>
      <c r="L2790" s="16"/>
      <c r="M2790" s="15"/>
      <c r="N2790" s="15"/>
      <c r="O2790" s="16"/>
      <c r="P2790" s="16"/>
      <c r="Q2790" s="16"/>
      <c r="R2790" s="16"/>
      <c r="S2790" s="37" t="str">
        <f>IFERROR(__xludf.DUMMYFUNCTION("if(not(iserror(index(split(C2790, "" ""),2))), index(split(C2790, "" ""),1),"""")"),"")</f>
        <v/>
      </c>
      <c r="T2790" s="315" t="str">
        <f>IFERROR(__xludf.DUMMYFUNCTION("if(S2790="""",C2790,if(not(iserror(index(split(C2790, "" ""),3))), index(split(C2790, "" ""),3),index(split(C2790, "" ""),2)))"),"")</f>
        <v/>
      </c>
      <c r="U2790" s="38" t="b">
        <f t="shared" si="34"/>
        <v>0</v>
      </c>
      <c r="V2790" s="38"/>
      <c r="W2790" s="40"/>
      <c r="X2790" s="40"/>
      <c r="Y2790" s="38"/>
      <c r="Z2790" s="38"/>
      <c r="AA2790" s="38"/>
      <c r="AB2790" s="38"/>
      <c r="AC2790" s="38"/>
      <c r="AD2790" s="38"/>
      <c r="AE2790" s="38"/>
      <c r="AF2790" s="38"/>
      <c r="AG2790" s="38"/>
      <c r="AH2790" s="38"/>
      <c r="AI2790" s="38"/>
      <c r="AJ2790" s="38"/>
      <c r="AK2790" s="38"/>
      <c r="AL2790" s="38"/>
      <c r="AM2790" s="38"/>
      <c r="AN2790" s="38"/>
      <c r="AO2790" s="38"/>
      <c r="AP2790" s="38"/>
      <c r="AQ2790" s="38"/>
      <c r="AR2790" s="38"/>
      <c r="AS2790" s="38"/>
      <c r="AT2790" s="38"/>
      <c r="AU2790" s="38"/>
      <c r="AV2790" s="38"/>
      <c r="AW2790" s="38"/>
      <c r="AX2790" s="38"/>
      <c r="AY2790" s="38"/>
      <c r="AZ2790" s="38"/>
      <c r="BA2790" s="38"/>
      <c r="BB2790" s="38"/>
      <c r="BC2790" s="38"/>
      <c r="BD2790" s="38"/>
      <c r="BE2790" s="38"/>
      <c r="BF2790" s="38"/>
      <c r="BG2790" s="38"/>
      <c r="BH2790" s="38"/>
      <c r="BI2790" s="38"/>
      <c r="BJ2790" s="38"/>
      <c r="BK2790" s="38"/>
      <c r="BL2790" s="38"/>
      <c r="BM2790" s="38"/>
      <c r="BN2790" s="38"/>
      <c r="BO2790" s="38"/>
      <c r="BP2790" s="38"/>
      <c r="BQ2790" s="38"/>
    </row>
    <row r="2791">
      <c r="A2791" s="16"/>
      <c r="B2791" s="16"/>
      <c r="C2791" s="146"/>
      <c r="D2791" s="146"/>
      <c r="E2791" s="16"/>
      <c r="F2791" s="91"/>
      <c r="G2791" s="16"/>
      <c r="H2791" s="320" t="str">
        <f t="shared" si="33"/>
        <v/>
      </c>
      <c r="I2791" s="16"/>
      <c r="J2791" s="16"/>
      <c r="K2791" s="16"/>
      <c r="L2791" s="16"/>
      <c r="M2791" s="15"/>
      <c r="N2791" s="15"/>
      <c r="O2791" s="16"/>
      <c r="P2791" s="16"/>
      <c r="Q2791" s="16"/>
      <c r="R2791" s="16"/>
      <c r="S2791" s="37" t="str">
        <f>IFERROR(__xludf.DUMMYFUNCTION("if(not(iserror(index(split(C2791, "" ""),2))), index(split(C2791, "" ""),1),"""")"),"")</f>
        <v/>
      </c>
      <c r="T2791" s="315" t="str">
        <f>IFERROR(__xludf.DUMMYFUNCTION("if(S2791="""",C2791,if(not(iserror(index(split(C2791, "" ""),3))), index(split(C2791, "" ""),3),index(split(C2791, "" ""),2)))"),"")</f>
        <v/>
      </c>
      <c r="U2791" s="38" t="b">
        <f t="shared" si="34"/>
        <v>0</v>
      </c>
      <c r="V2791" s="38"/>
      <c r="W2791" s="40"/>
      <c r="X2791" s="40"/>
      <c r="Y2791" s="38"/>
      <c r="Z2791" s="38"/>
      <c r="AA2791" s="38"/>
      <c r="AB2791" s="38"/>
      <c r="AC2791" s="38"/>
      <c r="AD2791" s="38"/>
      <c r="AE2791" s="38"/>
      <c r="AF2791" s="38"/>
      <c r="AG2791" s="38"/>
      <c r="AH2791" s="38"/>
      <c r="AI2791" s="38"/>
      <c r="AJ2791" s="38"/>
      <c r="AK2791" s="38"/>
      <c r="AL2791" s="38"/>
      <c r="AM2791" s="38"/>
      <c r="AN2791" s="38"/>
      <c r="AO2791" s="38"/>
      <c r="AP2791" s="38"/>
      <c r="AQ2791" s="38"/>
      <c r="AR2791" s="38"/>
      <c r="AS2791" s="38"/>
      <c r="AT2791" s="38"/>
      <c r="AU2791" s="38"/>
      <c r="AV2791" s="38"/>
      <c r="AW2791" s="38"/>
      <c r="AX2791" s="38"/>
      <c r="AY2791" s="38"/>
      <c r="AZ2791" s="38"/>
      <c r="BA2791" s="38"/>
      <c r="BB2791" s="38"/>
      <c r="BC2791" s="38"/>
      <c r="BD2791" s="38"/>
      <c r="BE2791" s="38"/>
      <c r="BF2791" s="38"/>
      <c r="BG2791" s="38"/>
      <c r="BH2791" s="38"/>
      <c r="BI2791" s="38"/>
      <c r="BJ2791" s="38"/>
      <c r="BK2791" s="38"/>
      <c r="BL2791" s="38"/>
      <c r="BM2791" s="38"/>
      <c r="BN2791" s="38"/>
      <c r="BO2791" s="38"/>
      <c r="BP2791" s="38"/>
      <c r="BQ2791" s="38"/>
    </row>
    <row r="2792">
      <c r="A2792" s="16"/>
      <c r="B2792" s="16"/>
      <c r="C2792" s="146"/>
      <c r="D2792" s="146"/>
      <c r="E2792" s="16"/>
      <c r="F2792" s="91"/>
      <c r="G2792" s="16"/>
      <c r="H2792" s="320" t="str">
        <f t="shared" si="33"/>
        <v/>
      </c>
      <c r="I2792" s="16"/>
      <c r="J2792" s="16"/>
      <c r="K2792" s="16"/>
      <c r="L2792" s="16"/>
      <c r="M2792" s="15"/>
      <c r="N2792" s="15"/>
      <c r="O2792" s="16"/>
      <c r="P2792" s="16"/>
      <c r="Q2792" s="16"/>
      <c r="R2792" s="16"/>
      <c r="S2792" s="37" t="str">
        <f>IFERROR(__xludf.DUMMYFUNCTION("if(not(iserror(index(split(C2792, "" ""),2))), index(split(C2792, "" ""),1),"""")"),"")</f>
        <v/>
      </c>
      <c r="T2792" s="315" t="str">
        <f>IFERROR(__xludf.DUMMYFUNCTION("if(S2792="""",C2792,if(not(iserror(index(split(C2792, "" ""),3))), index(split(C2792, "" ""),3),index(split(C2792, "" ""),2)))"),"")</f>
        <v/>
      </c>
      <c r="U2792" s="38" t="b">
        <f t="shared" si="34"/>
        <v>0</v>
      </c>
      <c r="V2792" s="38"/>
      <c r="W2792" s="40"/>
      <c r="X2792" s="40"/>
      <c r="Y2792" s="38"/>
      <c r="Z2792" s="38"/>
      <c r="AA2792" s="38"/>
      <c r="AB2792" s="38"/>
      <c r="AC2792" s="38"/>
      <c r="AD2792" s="38"/>
      <c r="AE2792" s="38"/>
      <c r="AF2792" s="38"/>
      <c r="AG2792" s="38"/>
      <c r="AH2792" s="38"/>
      <c r="AI2792" s="38"/>
      <c r="AJ2792" s="38"/>
      <c r="AK2792" s="38"/>
      <c r="AL2792" s="38"/>
      <c r="AM2792" s="38"/>
      <c r="AN2792" s="38"/>
      <c r="AO2792" s="38"/>
      <c r="AP2792" s="38"/>
      <c r="AQ2792" s="38"/>
      <c r="AR2792" s="38"/>
      <c r="AS2792" s="38"/>
      <c r="AT2792" s="38"/>
      <c r="AU2792" s="38"/>
      <c r="AV2792" s="38"/>
      <c r="AW2792" s="38"/>
      <c r="AX2792" s="38"/>
      <c r="AY2792" s="38"/>
      <c r="AZ2792" s="38"/>
      <c r="BA2792" s="38"/>
      <c r="BB2792" s="38"/>
      <c r="BC2792" s="38"/>
      <c r="BD2792" s="38"/>
      <c r="BE2792" s="38"/>
      <c r="BF2792" s="38"/>
      <c r="BG2792" s="38"/>
      <c r="BH2792" s="38"/>
      <c r="BI2792" s="38"/>
      <c r="BJ2792" s="38"/>
      <c r="BK2792" s="38"/>
      <c r="BL2792" s="38"/>
      <c r="BM2792" s="38"/>
      <c r="BN2792" s="38"/>
      <c r="BO2792" s="38"/>
      <c r="BP2792" s="38"/>
      <c r="BQ2792" s="38"/>
    </row>
    <row r="2793">
      <c r="A2793" s="16"/>
      <c r="B2793" s="16"/>
      <c r="C2793" s="146"/>
      <c r="D2793" s="146"/>
      <c r="E2793" s="16"/>
      <c r="F2793" s="91"/>
      <c r="G2793" s="16"/>
      <c r="H2793" s="320" t="str">
        <f t="shared" si="33"/>
        <v/>
      </c>
      <c r="I2793" s="16"/>
      <c r="J2793" s="16"/>
      <c r="K2793" s="16"/>
      <c r="L2793" s="16"/>
      <c r="M2793" s="15"/>
      <c r="N2793" s="15"/>
      <c r="O2793" s="16"/>
      <c r="P2793" s="16"/>
      <c r="Q2793" s="16"/>
      <c r="R2793" s="16"/>
      <c r="S2793" s="37" t="str">
        <f>IFERROR(__xludf.DUMMYFUNCTION("if(not(iserror(index(split(C2793, "" ""),2))), index(split(C2793, "" ""),1),"""")"),"")</f>
        <v/>
      </c>
      <c r="T2793" s="315" t="str">
        <f>IFERROR(__xludf.DUMMYFUNCTION("if(S2793="""",C2793,if(not(iserror(index(split(C2793, "" ""),3))), index(split(C2793, "" ""),3),index(split(C2793, "" ""),2)))"),"")</f>
        <v/>
      </c>
      <c r="U2793" s="38" t="b">
        <f t="shared" si="34"/>
        <v>0</v>
      </c>
      <c r="V2793" s="38"/>
      <c r="W2793" s="40"/>
      <c r="X2793" s="40"/>
      <c r="Y2793" s="38"/>
      <c r="Z2793" s="38"/>
      <c r="AA2793" s="38"/>
      <c r="AB2793" s="38"/>
      <c r="AC2793" s="38"/>
      <c r="AD2793" s="38"/>
      <c r="AE2793" s="38"/>
      <c r="AF2793" s="38"/>
      <c r="AG2793" s="38"/>
      <c r="AH2793" s="38"/>
      <c r="AI2793" s="38"/>
      <c r="AJ2793" s="38"/>
      <c r="AK2793" s="38"/>
      <c r="AL2793" s="38"/>
      <c r="AM2793" s="38"/>
      <c r="AN2793" s="38"/>
      <c r="AO2793" s="38"/>
      <c r="AP2793" s="38"/>
      <c r="AQ2793" s="38"/>
      <c r="AR2793" s="38"/>
      <c r="AS2793" s="38"/>
      <c r="AT2793" s="38"/>
      <c r="AU2793" s="38"/>
      <c r="AV2793" s="38"/>
      <c r="AW2793" s="38"/>
      <c r="AX2793" s="38"/>
      <c r="AY2793" s="38"/>
      <c r="AZ2793" s="38"/>
      <c r="BA2793" s="38"/>
      <c r="BB2793" s="38"/>
      <c r="BC2793" s="38"/>
      <c r="BD2793" s="38"/>
      <c r="BE2793" s="38"/>
      <c r="BF2793" s="38"/>
      <c r="BG2793" s="38"/>
      <c r="BH2793" s="38"/>
      <c r="BI2793" s="38"/>
      <c r="BJ2793" s="38"/>
      <c r="BK2793" s="38"/>
      <c r="BL2793" s="38"/>
      <c r="BM2793" s="38"/>
      <c r="BN2793" s="38"/>
      <c r="BO2793" s="38"/>
      <c r="BP2793" s="38"/>
      <c r="BQ2793" s="38"/>
    </row>
    <row r="2794">
      <c r="A2794" s="16"/>
      <c r="B2794" s="16"/>
      <c r="C2794" s="146"/>
      <c r="D2794" s="146"/>
      <c r="E2794" s="16"/>
      <c r="F2794" s="91"/>
      <c r="G2794" s="16"/>
      <c r="H2794" s="320" t="str">
        <f t="shared" si="33"/>
        <v/>
      </c>
      <c r="I2794" s="16"/>
      <c r="J2794" s="16"/>
      <c r="K2794" s="16"/>
      <c r="L2794" s="16"/>
      <c r="M2794" s="15"/>
      <c r="N2794" s="15"/>
      <c r="O2794" s="16"/>
      <c r="P2794" s="16"/>
      <c r="Q2794" s="16"/>
      <c r="R2794" s="16"/>
      <c r="S2794" s="37" t="str">
        <f>IFERROR(__xludf.DUMMYFUNCTION("if(not(iserror(index(split(C2794, "" ""),2))), index(split(C2794, "" ""),1),"""")"),"")</f>
        <v/>
      </c>
      <c r="T2794" s="315" t="str">
        <f>IFERROR(__xludf.DUMMYFUNCTION("if(S2794="""",C2794,if(not(iserror(index(split(C2794, "" ""),3))), index(split(C2794, "" ""),3),index(split(C2794, "" ""),2)))"),"")</f>
        <v/>
      </c>
      <c r="U2794" s="38" t="b">
        <f t="shared" si="34"/>
        <v>0</v>
      </c>
      <c r="V2794" s="38"/>
      <c r="W2794" s="40"/>
      <c r="X2794" s="40"/>
      <c r="Y2794" s="38"/>
      <c r="Z2794" s="38"/>
      <c r="AA2794" s="38"/>
      <c r="AB2794" s="38"/>
      <c r="AC2794" s="38"/>
      <c r="AD2794" s="38"/>
      <c r="AE2794" s="38"/>
      <c r="AF2794" s="38"/>
      <c r="AG2794" s="38"/>
      <c r="AH2794" s="38"/>
      <c r="AI2794" s="38"/>
      <c r="AJ2794" s="38"/>
      <c r="AK2794" s="38"/>
      <c r="AL2794" s="38"/>
      <c r="AM2794" s="38"/>
      <c r="AN2794" s="38"/>
      <c r="AO2794" s="38"/>
      <c r="AP2794" s="38"/>
      <c r="AQ2794" s="38"/>
      <c r="AR2794" s="38"/>
      <c r="AS2794" s="38"/>
      <c r="AT2794" s="38"/>
      <c r="AU2794" s="38"/>
      <c r="AV2794" s="38"/>
      <c r="AW2794" s="38"/>
      <c r="AX2794" s="38"/>
      <c r="AY2794" s="38"/>
      <c r="AZ2794" s="38"/>
      <c r="BA2794" s="38"/>
      <c r="BB2794" s="38"/>
      <c r="BC2794" s="38"/>
      <c r="BD2794" s="38"/>
      <c r="BE2794" s="38"/>
      <c r="BF2794" s="38"/>
      <c r="BG2794" s="38"/>
      <c r="BH2794" s="38"/>
      <c r="BI2794" s="38"/>
      <c r="BJ2794" s="38"/>
      <c r="BK2794" s="38"/>
      <c r="BL2794" s="38"/>
      <c r="BM2794" s="38"/>
      <c r="BN2794" s="38"/>
      <c r="BO2794" s="38"/>
      <c r="BP2794" s="38"/>
      <c r="BQ2794" s="38"/>
    </row>
    <row r="2795">
      <c r="A2795" s="16"/>
      <c r="B2795" s="16"/>
      <c r="C2795" s="146"/>
      <c r="D2795" s="146"/>
      <c r="E2795" s="16"/>
      <c r="F2795" s="91"/>
      <c r="G2795" s="16"/>
      <c r="H2795" s="320" t="str">
        <f t="shared" si="33"/>
        <v/>
      </c>
      <c r="I2795" s="16"/>
      <c r="J2795" s="16"/>
      <c r="K2795" s="16"/>
      <c r="L2795" s="16"/>
      <c r="M2795" s="15"/>
      <c r="N2795" s="15"/>
      <c r="O2795" s="16"/>
      <c r="P2795" s="16"/>
      <c r="Q2795" s="16"/>
      <c r="R2795" s="16"/>
      <c r="S2795" s="37" t="str">
        <f>IFERROR(__xludf.DUMMYFUNCTION("if(not(iserror(index(split(C2795, "" ""),2))), index(split(C2795, "" ""),1),"""")"),"")</f>
        <v/>
      </c>
      <c r="T2795" s="315" t="str">
        <f>IFERROR(__xludf.DUMMYFUNCTION("if(S2795="""",C2795,if(not(iserror(index(split(C2795, "" ""),3))), index(split(C2795, "" ""),3),index(split(C2795, "" ""),2)))"),"")</f>
        <v/>
      </c>
      <c r="U2795" s="38" t="b">
        <f t="shared" si="34"/>
        <v>0</v>
      </c>
      <c r="V2795" s="38"/>
      <c r="W2795" s="40"/>
      <c r="X2795" s="40"/>
      <c r="Y2795" s="38"/>
      <c r="Z2795" s="38"/>
      <c r="AA2795" s="38"/>
      <c r="AB2795" s="38"/>
      <c r="AC2795" s="38"/>
      <c r="AD2795" s="38"/>
      <c r="AE2795" s="38"/>
      <c r="AF2795" s="38"/>
      <c r="AG2795" s="38"/>
      <c r="AH2795" s="38"/>
      <c r="AI2795" s="38"/>
      <c r="AJ2795" s="38"/>
      <c r="AK2795" s="38"/>
      <c r="AL2795" s="38"/>
      <c r="AM2795" s="38"/>
      <c r="AN2795" s="38"/>
      <c r="AO2795" s="38"/>
      <c r="AP2795" s="38"/>
      <c r="AQ2795" s="38"/>
      <c r="AR2795" s="38"/>
      <c r="AS2795" s="38"/>
      <c r="AT2795" s="38"/>
      <c r="AU2795" s="38"/>
      <c r="AV2795" s="38"/>
      <c r="AW2795" s="38"/>
      <c r="AX2795" s="38"/>
      <c r="AY2795" s="38"/>
      <c r="AZ2795" s="38"/>
      <c r="BA2795" s="38"/>
      <c r="BB2795" s="38"/>
      <c r="BC2795" s="38"/>
      <c r="BD2795" s="38"/>
      <c r="BE2795" s="38"/>
      <c r="BF2795" s="38"/>
      <c r="BG2795" s="38"/>
      <c r="BH2795" s="38"/>
      <c r="BI2795" s="38"/>
      <c r="BJ2795" s="38"/>
      <c r="BK2795" s="38"/>
      <c r="BL2795" s="38"/>
      <c r="BM2795" s="38"/>
      <c r="BN2795" s="38"/>
      <c r="BO2795" s="38"/>
      <c r="BP2795" s="38"/>
      <c r="BQ2795" s="38"/>
    </row>
    <row r="2796">
      <c r="A2796" s="16"/>
      <c r="B2796" s="16"/>
      <c r="C2796" s="146"/>
      <c r="D2796" s="146"/>
      <c r="E2796" s="16"/>
      <c r="F2796" s="91"/>
      <c r="G2796" s="16"/>
      <c r="H2796" s="320" t="str">
        <f t="shared" si="33"/>
        <v/>
      </c>
      <c r="I2796" s="16"/>
      <c r="J2796" s="16"/>
      <c r="K2796" s="16"/>
      <c r="L2796" s="16"/>
      <c r="M2796" s="15"/>
      <c r="N2796" s="15"/>
      <c r="O2796" s="16"/>
      <c r="P2796" s="16"/>
      <c r="Q2796" s="16"/>
      <c r="R2796" s="16"/>
      <c r="S2796" s="37" t="str">
        <f>IFERROR(__xludf.DUMMYFUNCTION("if(not(iserror(index(split(C2796, "" ""),2))), index(split(C2796, "" ""),1),"""")"),"")</f>
        <v/>
      </c>
      <c r="T2796" s="315" t="str">
        <f>IFERROR(__xludf.DUMMYFUNCTION("if(S2796="""",C2796,if(not(iserror(index(split(C2796, "" ""),3))), index(split(C2796, "" ""),3),index(split(C2796, "" ""),2)))"),"")</f>
        <v/>
      </c>
      <c r="U2796" s="38" t="b">
        <f t="shared" si="34"/>
        <v>0</v>
      </c>
      <c r="V2796" s="38"/>
      <c r="W2796" s="40"/>
      <c r="X2796" s="40"/>
      <c r="Y2796" s="38"/>
      <c r="Z2796" s="38"/>
      <c r="AA2796" s="38"/>
      <c r="AB2796" s="38"/>
      <c r="AC2796" s="38"/>
      <c r="AD2796" s="38"/>
      <c r="AE2796" s="38"/>
      <c r="AF2796" s="38"/>
      <c r="AG2796" s="38"/>
      <c r="AH2796" s="38"/>
      <c r="AI2796" s="38"/>
      <c r="AJ2796" s="38"/>
      <c r="AK2796" s="38"/>
      <c r="AL2796" s="38"/>
      <c r="AM2796" s="38"/>
      <c r="AN2796" s="38"/>
      <c r="AO2796" s="38"/>
      <c r="AP2796" s="38"/>
      <c r="AQ2796" s="38"/>
      <c r="AR2796" s="38"/>
      <c r="AS2796" s="38"/>
      <c r="AT2796" s="38"/>
      <c r="AU2796" s="38"/>
      <c r="AV2796" s="38"/>
      <c r="AW2796" s="38"/>
      <c r="AX2796" s="38"/>
      <c r="AY2796" s="38"/>
      <c r="AZ2796" s="38"/>
      <c r="BA2796" s="38"/>
      <c r="BB2796" s="38"/>
      <c r="BC2796" s="38"/>
      <c r="BD2796" s="38"/>
      <c r="BE2796" s="38"/>
      <c r="BF2796" s="38"/>
      <c r="BG2796" s="38"/>
      <c r="BH2796" s="38"/>
      <c r="BI2796" s="38"/>
      <c r="BJ2796" s="38"/>
      <c r="BK2796" s="38"/>
      <c r="BL2796" s="38"/>
      <c r="BM2796" s="38"/>
      <c r="BN2796" s="38"/>
      <c r="BO2796" s="38"/>
      <c r="BP2796" s="38"/>
      <c r="BQ2796" s="38"/>
    </row>
    <row r="2797">
      <c r="A2797" s="16"/>
      <c r="B2797" s="16"/>
      <c r="C2797" s="146"/>
      <c r="D2797" s="146"/>
      <c r="E2797" s="16"/>
      <c r="F2797" s="91"/>
      <c r="G2797" s="16"/>
      <c r="H2797" s="320" t="str">
        <f t="shared" si="33"/>
        <v/>
      </c>
      <c r="I2797" s="16"/>
      <c r="J2797" s="16"/>
      <c r="K2797" s="16"/>
      <c r="L2797" s="16"/>
      <c r="M2797" s="15"/>
      <c r="N2797" s="15"/>
      <c r="O2797" s="16"/>
      <c r="P2797" s="16"/>
      <c r="Q2797" s="16"/>
      <c r="R2797" s="16"/>
      <c r="S2797" s="37" t="str">
        <f>IFERROR(__xludf.DUMMYFUNCTION("if(not(iserror(index(split(C2797, "" ""),2))), index(split(C2797, "" ""),1),"""")"),"")</f>
        <v/>
      </c>
      <c r="T2797" s="315" t="str">
        <f>IFERROR(__xludf.DUMMYFUNCTION("if(S2797="""",C2797,if(not(iserror(index(split(C2797, "" ""),3))), index(split(C2797, "" ""),3),index(split(C2797, "" ""),2)))"),"")</f>
        <v/>
      </c>
      <c r="U2797" s="38" t="b">
        <f t="shared" si="34"/>
        <v>0</v>
      </c>
      <c r="V2797" s="38"/>
      <c r="W2797" s="40"/>
      <c r="X2797" s="40"/>
      <c r="Y2797" s="38"/>
      <c r="Z2797" s="38"/>
      <c r="AA2797" s="38"/>
      <c r="AB2797" s="38"/>
      <c r="AC2797" s="38"/>
      <c r="AD2797" s="38"/>
      <c r="AE2797" s="38"/>
      <c r="AF2797" s="38"/>
      <c r="AG2797" s="38"/>
      <c r="AH2797" s="38"/>
      <c r="AI2797" s="38"/>
      <c r="AJ2797" s="38"/>
      <c r="AK2797" s="38"/>
      <c r="AL2797" s="38"/>
      <c r="AM2797" s="38"/>
      <c r="AN2797" s="38"/>
      <c r="AO2797" s="38"/>
      <c r="AP2797" s="38"/>
      <c r="AQ2797" s="38"/>
      <c r="AR2797" s="38"/>
      <c r="AS2797" s="38"/>
      <c r="AT2797" s="38"/>
      <c r="AU2797" s="38"/>
      <c r="AV2797" s="38"/>
      <c r="AW2797" s="38"/>
      <c r="AX2797" s="38"/>
      <c r="AY2797" s="38"/>
      <c r="AZ2797" s="38"/>
      <c r="BA2797" s="38"/>
      <c r="BB2797" s="38"/>
      <c r="BC2797" s="38"/>
      <c r="BD2797" s="38"/>
      <c r="BE2797" s="38"/>
      <c r="BF2797" s="38"/>
      <c r="BG2797" s="38"/>
      <c r="BH2797" s="38"/>
      <c r="BI2797" s="38"/>
      <c r="BJ2797" s="38"/>
      <c r="BK2797" s="38"/>
      <c r="BL2797" s="38"/>
      <c r="BM2797" s="38"/>
      <c r="BN2797" s="38"/>
      <c r="BO2797" s="38"/>
      <c r="BP2797" s="38"/>
      <c r="BQ2797" s="38"/>
    </row>
    <row r="2798">
      <c r="A2798" s="16"/>
      <c r="B2798" s="16"/>
      <c r="C2798" s="146"/>
      <c r="D2798" s="146"/>
      <c r="E2798" s="16"/>
      <c r="F2798" s="91"/>
      <c r="G2798" s="16"/>
      <c r="H2798" s="320" t="str">
        <f t="shared" si="33"/>
        <v/>
      </c>
      <c r="I2798" s="16"/>
      <c r="J2798" s="16"/>
      <c r="K2798" s="16"/>
      <c r="L2798" s="16"/>
      <c r="M2798" s="15"/>
      <c r="N2798" s="15"/>
      <c r="O2798" s="16"/>
      <c r="P2798" s="16"/>
      <c r="Q2798" s="16"/>
      <c r="R2798" s="16"/>
      <c r="S2798" s="37" t="str">
        <f>IFERROR(__xludf.DUMMYFUNCTION("if(not(iserror(index(split(C2798, "" ""),2))), index(split(C2798, "" ""),1),"""")"),"")</f>
        <v/>
      </c>
      <c r="T2798" s="315" t="str">
        <f>IFERROR(__xludf.DUMMYFUNCTION("if(S2798="""",C2798,if(not(iserror(index(split(C2798, "" ""),3))), index(split(C2798, "" ""),3),index(split(C2798, "" ""),2)))"),"")</f>
        <v/>
      </c>
      <c r="U2798" s="38" t="b">
        <f t="shared" si="34"/>
        <v>0</v>
      </c>
      <c r="V2798" s="38"/>
      <c r="W2798" s="40"/>
      <c r="X2798" s="40"/>
      <c r="Y2798" s="38"/>
      <c r="Z2798" s="38"/>
      <c r="AA2798" s="38"/>
      <c r="AB2798" s="38"/>
      <c r="AC2798" s="38"/>
      <c r="AD2798" s="38"/>
      <c r="AE2798" s="38"/>
      <c r="AF2798" s="38"/>
      <c r="AG2798" s="38"/>
      <c r="AH2798" s="38"/>
      <c r="AI2798" s="38"/>
      <c r="AJ2798" s="38"/>
      <c r="AK2798" s="38"/>
      <c r="AL2798" s="38"/>
      <c r="AM2798" s="38"/>
      <c r="AN2798" s="38"/>
      <c r="AO2798" s="38"/>
      <c r="AP2798" s="38"/>
      <c r="AQ2798" s="38"/>
      <c r="AR2798" s="38"/>
      <c r="AS2798" s="38"/>
      <c r="AT2798" s="38"/>
      <c r="AU2798" s="38"/>
      <c r="AV2798" s="38"/>
      <c r="AW2798" s="38"/>
      <c r="AX2798" s="38"/>
      <c r="AY2798" s="38"/>
      <c r="AZ2798" s="38"/>
      <c r="BA2798" s="38"/>
      <c r="BB2798" s="38"/>
      <c r="BC2798" s="38"/>
      <c r="BD2798" s="38"/>
      <c r="BE2798" s="38"/>
      <c r="BF2798" s="38"/>
      <c r="BG2798" s="38"/>
      <c r="BH2798" s="38"/>
      <c r="BI2798" s="38"/>
      <c r="BJ2798" s="38"/>
      <c r="BK2798" s="38"/>
      <c r="BL2798" s="38"/>
      <c r="BM2798" s="38"/>
      <c r="BN2798" s="38"/>
      <c r="BO2798" s="38"/>
      <c r="BP2798" s="38"/>
      <c r="BQ2798" s="38"/>
    </row>
    <row r="2799">
      <c r="A2799" s="16"/>
      <c r="B2799" s="16"/>
      <c r="C2799" s="146"/>
      <c r="D2799" s="146"/>
      <c r="E2799" s="16"/>
      <c r="F2799" s="91"/>
      <c r="G2799" s="16"/>
      <c r="H2799" s="320" t="str">
        <f t="shared" si="33"/>
        <v/>
      </c>
      <c r="I2799" s="16"/>
      <c r="J2799" s="16"/>
      <c r="K2799" s="16"/>
      <c r="L2799" s="16"/>
      <c r="M2799" s="15"/>
      <c r="N2799" s="15"/>
      <c r="O2799" s="16"/>
      <c r="P2799" s="16"/>
      <c r="Q2799" s="16"/>
      <c r="R2799" s="16"/>
      <c r="S2799" s="37" t="str">
        <f>IFERROR(__xludf.DUMMYFUNCTION("if(not(iserror(index(split(C2799, "" ""),2))), index(split(C2799, "" ""),1),"""")"),"")</f>
        <v/>
      </c>
      <c r="T2799" s="315" t="str">
        <f>IFERROR(__xludf.DUMMYFUNCTION("if(S2799="""",C2799,if(not(iserror(index(split(C2799, "" ""),3))), index(split(C2799, "" ""),3),index(split(C2799, "" ""),2)))"),"")</f>
        <v/>
      </c>
      <c r="U2799" s="38" t="b">
        <f t="shared" si="34"/>
        <v>0</v>
      </c>
      <c r="V2799" s="38"/>
      <c r="W2799" s="40"/>
      <c r="X2799" s="40"/>
      <c r="Y2799" s="38"/>
      <c r="Z2799" s="38"/>
      <c r="AA2799" s="38"/>
      <c r="AB2799" s="38"/>
      <c r="AC2799" s="38"/>
      <c r="AD2799" s="38"/>
      <c r="AE2799" s="38"/>
      <c r="AF2799" s="38"/>
      <c r="AG2799" s="38"/>
      <c r="AH2799" s="38"/>
      <c r="AI2799" s="38"/>
      <c r="AJ2799" s="38"/>
      <c r="AK2799" s="38"/>
      <c r="AL2799" s="38"/>
      <c r="AM2799" s="38"/>
      <c r="AN2799" s="38"/>
      <c r="AO2799" s="38"/>
      <c r="AP2799" s="38"/>
      <c r="AQ2799" s="38"/>
      <c r="AR2799" s="38"/>
      <c r="AS2799" s="38"/>
      <c r="AT2799" s="38"/>
      <c r="AU2799" s="38"/>
      <c r="AV2799" s="38"/>
      <c r="AW2799" s="38"/>
      <c r="AX2799" s="38"/>
      <c r="AY2799" s="38"/>
      <c r="AZ2799" s="38"/>
      <c r="BA2799" s="38"/>
      <c r="BB2799" s="38"/>
      <c r="BC2799" s="38"/>
      <c r="BD2799" s="38"/>
      <c r="BE2799" s="38"/>
      <c r="BF2799" s="38"/>
      <c r="BG2799" s="38"/>
      <c r="BH2799" s="38"/>
      <c r="BI2799" s="38"/>
      <c r="BJ2799" s="38"/>
      <c r="BK2799" s="38"/>
      <c r="BL2799" s="38"/>
      <c r="BM2799" s="38"/>
      <c r="BN2799" s="38"/>
      <c r="BO2799" s="38"/>
      <c r="BP2799" s="38"/>
      <c r="BQ2799" s="38"/>
    </row>
    <row r="2800">
      <c r="A2800" s="16"/>
      <c r="B2800" s="16"/>
      <c r="C2800" s="146"/>
      <c r="D2800" s="146"/>
      <c r="E2800" s="16"/>
      <c r="F2800" s="91"/>
      <c r="G2800" s="16"/>
      <c r="H2800" s="320" t="str">
        <f t="shared" si="33"/>
        <v/>
      </c>
      <c r="I2800" s="16"/>
      <c r="J2800" s="16"/>
      <c r="K2800" s="16"/>
      <c r="L2800" s="16"/>
      <c r="M2800" s="15"/>
      <c r="N2800" s="15"/>
      <c r="O2800" s="16"/>
      <c r="P2800" s="16"/>
      <c r="Q2800" s="16"/>
      <c r="R2800" s="16"/>
      <c r="S2800" s="37" t="str">
        <f>IFERROR(__xludf.DUMMYFUNCTION("if(not(iserror(index(split(C2800, "" ""),2))), index(split(C2800, "" ""),1),"""")"),"")</f>
        <v/>
      </c>
      <c r="T2800" s="315" t="str">
        <f>IFERROR(__xludf.DUMMYFUNCTION("if(S2800="""",C2800,if(not(iserror(index(split(C2800, "" ""),3))), index(split(C2800, "" ""),3),index(split(C2800, "" ""),2)))"),"")</f>
        <v/>
      </c>
      <c r="U2800" s="38" t="b">
        <f t="shared" si="34"/>
        <v>0</v>
      </c>
      <c r="V2800" s="38"/>
      <c r="W2800" s="40"/>
      <c r="X2800" s="40"/>
      <c r="Y2800" s="38"/>
      <c r="Z2800" s="38"/>
      <c r="AA2800" s="38"/>
      <c r="AB2800" s="38"/>
      <c r="AC2800" s="38"/>
      <c r="AD2800" s="38"/>
      <c r="AE2800" s="38"/>
      <c r="AF2800" s="38"/>
      <c r="AG2800" s="38"/>
      <c r="AH2800" s="38"/>
      <c r="AI2800" s="38"/>
      <c r="AJ2800" s="38"/>
      <c r="AK2800" s="38"/>
      <c r="AL2800" s="38"/>
      <c r="AM2800" s="38"/>
      <c r="AN2800" s="38"/>
      <c r="AO2800" s="38"/>
      <c r="AP2800" s="38"/>
      <c r="AQ2800" s="38"/>
      <c r="AR2800" s="38"/>
      <c r="AS2800" s="38"/>
      <c r="AT2800" s="38"/>
      <c r="AU2800" s="38"/>
      <c r="AV2800" s="38"/>
      <c r="AW2800" s="38"/>
      <c r="AX2800" s="38"/>
      <c r="AY2800" s="38"/>
      <c r="AZ2800" s="38"/>
      <c r="BA2800" s="38"/>
      <c r="BB2800" s="38"/>
      <c r="BC2800" s="38"/>
      <c r="BD2800" s="38"/>
      <c r="BE2800" s="38"/>
      <c r="BF2800" s="38"/>
      <c r="BG2800" s="38"/>
      <c r="BH2800" s="38"/>
      <c r="BI2800" s="38"/>
      <c r="BJ2800" s="38"/>
      <c r="BK2800" s="38"/>
      <c r="BL2800" s="38"/>
      <c r="BM2800" s="38"/>
      <c r="BN2800" s="38"/>
      <c r="BO2800" s="38"/>
      <c r="BP2800" s="38"/>
      <c r="BQ2800" s="38"/>
    </row>
    <row r="2801">
      <c r="A2801" s="16"/>
      <c r="B2801" s="16"/>
      <c r="C2801" s="146"/>
      <c r="D2801" s="146"/>
      <c r="E2801" s="16"/>
      <c r="F2801" s="91"/>
      <c r="G2801" s="16"/>
      <c r="H2801" s="320" t="str">
        <f t="shared" si="33"/>
        <v/>
      </c>
      <c r="I2801" s="16"/>
      <c r="J2801" s="16"/>
      <c r="K2801" s="16"/>
      <c r="L2801" s="16"/>
      <c r="M2801" s="15"/>
      <c r="N2801" s="15"/>
      <c r="O2801" s="16"/>
      <c r="P2801" s="16"/>
      <c r="Q2801" s="16"/>
      <c r="R2801" s="16"/>
      <c r="S2801" s="37" t="str">
        <f>IFERROR(__xludf.DUMMYFUNCTION("if(not(iserror(index(split(C2801, "" ""),2))), index(split(C2801, "" ""),1),"""")"),"")</f>
        <v/>
      </c>
      <c r="T2801" s="315" t="str">
        <f>IFERROR(__xludf.DUMMYFUNCTION("if(S2801="""",C2801,if(not(iserror(index(split(C2801, "" ""),3))), index(split(C2801, "" ""),3),index(split(C2801, "" ""),2)))"),"")</f>
        <v/>
      </c>
      <c r="U2801" s="38" t="b">
        <f t="shared" si="34"/>
        <v>0</v>
      </c>
      <c r="V2801" s="38"/>
      <c r="W2801" s="40"/>
      <c r="X2801" s="40"/>
      <c r="Y2801" s="38"/>
      <c r="Z2801" s="38"/>
      <c r="AA2801" s="38"/>
      <c r="AB2801" s="38"/>
      <c r="AC2801" s="38"/>
      <c r="AD2801" s="38"/>
      <c r="AE2801" s="38"/>
      <c r="AF2801" s="38"/>
      <c r="AG2801" s="38"/>
      <c r="AH2801" s="38"/>
      <c r="AI2801" s="38"/>
      <c r="AJ2801" s="38"/>
      <c r="AK2801" s="38"/>
      <c r="AL2801" s="38"/>
      <c r="AM2801" s="38"/>
      <c r="AN2801" s="38"/>
      <c r="AO2801" s="38"/>
      <c r="AP2801" s="38"/>
      <c r="AQ2801" s="38"/>
      <c r="AR2801" s="38"/>
      <c r="AS2801" s="38"/>
      <c r="AT2801" s="38"/>
      <c r="AU2801" s="38"/>
      <c r="AV2801" s="38"/>
      <c r="AW2801" s="38"/>
      <c r="AX2801" s="38"/>
      <c r="AY2801" s="38"/>
      <c r="AZ2801" s="38"/>
      <c r="BA2801" s="38"/>
      <c r="BB2801" s="38"/>
      <c r="BC2801" s="38"/>
      <c r="BD2801" s="38"/>
      <c r="BE2801" s="38"/>
      <c r="BF2801" s="38"/>
      <c r="BG2801" s="38"/>
      <c r="BH2801" s="38"/>
      <c r="BI2801" s="38"/>
      <c r="BJ2801" s="38"/>
      <c r="BK2801" s="38"/>
      <c r="BL2801" s="38"/>
      <c r="BM2801" s="38"/>
      <c r="BN2801" s="38"/>
      <c r="BO2801" s="38"/>
      <c r="BP2801" s="38"/>
      <c r="BQ2801" s="38"/>
    </row>
    <row r="2802">
      <c r="A2802" s="16"/>
      <c r="B2802" s="16"/>
      <c r="C2802" s="146"/>
      <c r="D2802" s="146"/>
      <c r="E2802" s="16"/>
      <c r="F2802" s="91"/>
      <c r="G2802" s="16"/>
      <c r="H2802" s="320" t="str">
        <f t="shared" si="33"/>
        <v/>
      </c>
      <c r="I2802" s="16"/>
      <c r="J2802" s="16"/>
      <c r="K2802" s="16"/>
      <c r="L2802" s="16"/>
      <c r="M2802" s="15"/>
      <c r="N2802" s="15"/>
      <c r="O2802" s="16"/>
      <c r="P2802" s="16"/>
      <c r="Q2802" s="16"/>
      <c r="R2802" s="16"/>
      <c r="S2802" s="37" t="str">
        <f>IFERROR(__xludf.DUMMYFUNCTION("if(not(iserror(index(split(C2802, "" ""),2))), index(split(C2802, "" ""),1),"""")"),"")</f>
        <v/>
      </c>
      <c r="T2802" s="315" t="str">
        <f>IFERROR(__xludf.DUMMYFUNCTION("if(S2802="""",C2802,if(not(iserror(index(split(C2802, "" ""),3))), index(split(C2802, "" ""),3),index(split(C2802, "" ""),2)))"),"")</f>
        <v/>
      </c>
      <c r="U2802" s="38" t="b">
        <f t="shared" si="34"/>
        <v>0</v>
      </c>
      <c r="V2802" s="38"/>
      <c r="W2802" s="40"/>
      <c r="X2802" s="40"/>
      <c r="Y2802" s="38"/>
      <c r="Z2802" s="38"/>
      <c r="AA2802" s="38"/>
      <c r="AB2802" s="38"/>
      <c r="AC2802" s="38"/>
      <c r="AD2802" s="38"/>
      <c r="AE2802" s="38"/>
      <c r="AF2802" s="38"/>
      <c r="AG2802" s="38"/>
      <c r="AH2802" s="38"/>
      <c r="AI2802" s="38"/>
      <c r="AJ2802" s="38"/>
      <c r="AK2802" s="38"/>
      <c r="AL2802" s="38"/>
      <c r="AM2802" s="38"/>
      <c r="AN2802" s="38"/>
      <c r="AO2802" s="38"/>
      <c r="AP2802" s="38"/>
      <c r="AQ2802" s="38"/>
      <c r="AR2802" s="38"/>
      <c r="AS2802" s="38"/>
      <c r="AT2802" s="38"/>
      <c r="AU2802" s="38"/>
      <c r="AV2802" s="38"/>
      <c r="AW2802" s="38"/>
      <c r="AX2802" s="38"/>
      <c r="AY2802" s="38"/>
      <c r="AZ2802" s="38"/>
      <c r="BA2802" s="38"/>
      <c r="BB2802" s="38"/>
      <c r="BC2802" s="38"/>
      <c r="BD2802" s="38"/>
      <c r="BE2802" s="38"/>
      <c r="BF2802" s="38"/>
      <c r="BG2802" s="38"/>
      <c r="BH2802" s="38"/>
      <c r="BI2802" s="38"/>
      <c r="BJ2802" s="38"/>
      <c r="BK2802" s="38"/>
      <c r="BL2802" s="38"/>
      <c r="BM2802" s="38"/>
      <c r="BN2802" s="38"/>
      <c r="BO2802" s="38"/>
      <c r="BP2802" s="38"/>
      <c r="BQ2802" s="38"/>
    </row>
    <row r="2803">
      <c r="A2803" s="16"/>
      <c r="B2803" s="16"/>
      <c r="C2803" s="146"/>
      <c r="D2803" s="146"/>
      <c r="E2803" s="16"/>
      <c r="F2803" s="91"/>
      <c r="G2803" s="16"/>
      <c r="H2803" s="320" t="str">
        <f t="shared" si="33"/>
        <v/>
      </c>
      <c r="I2803" s="16"/>
      <c r="J2803" s="16"/>
      <c r="K2803" s="16"/>
      <c r="L2803" s="16"/>
      <c r="M2803" s="15"/>
      <c r="N2803" s="15"/>
      <c r="O2803" s="16"/>
      <c r="P2803" s="16"/>
      <c r="Q2803" s="16"/>
      <c r="R2803" s="16"/>
      <c r="S2803" s="37" t="str">
        <f>IFERROR(__xludf.DUMMYFUNCTION("if(not(iserror(index(split(C2803, "" ""),2))), index(split(C2803, "" ""),1),"""")"),"")</f>
        <v/>
      </c>
      <c r="T2803" s="315" t="str">
        <f>IFERROR(__xludf.DUMMYFUNCTION("if(S2803="""",C2803,if(not(iserror(index(split(C2803, "" ""),3))), index(split(C2803, "" ""),3),index(split(C2803, "" ""),2)))"),"")</f>
        <v/>
      </c>
      <c r="U2803" s="38" t="b">
        <f t="shared" si="34"/>
        <v>0</v>
      </c>
      <c r="V2803" s="38"/>
      <c r="W2803" s="40"/>
      <c r="X2803" s="40"/>
      <c r="Y2803" s="38"/>
      <c r="Z2803" s="38"/>
      <c r="AA2803" s="38"/>
      <c r="AB2803" s="38"/>
      <c r="AC2803" s="38"/>
      <c r="AD2803" s="38"/>
      <c r="AE2803" s="38"/>
      <c r="AF2803" s="38"/>
      <c r="AG2803" s="38"/>
      <c r="AH2803" s="38"/>
      <c r="AI2803" s="38"/>
      <c r="AJ2803" s="38"/>
      <c r="AK2803" s="38"/>
      <c r="AL2803" s="38"/>
      <c r="AM2803" s="38"/>
      <c r="AN2803" s="38"/>
      <c r="AO2803" s="38"/>
      <c r="AP2803" s="38"/>
      <c r="AQ2803" s="38"/>
      <c r="AR2803" s="38"/>
      <c r="AS2803" s="38"/>
      <c r="AT2803" s="38"/>
      <c r="AU2803" s="38"/>
      <c r="AV2803" s="38"/>
      <c r="AW2803" s="38"/>
      <c r="AX2803" s="38"/>
      <c r="AY2803" s="38"/>
      <c r="AZ2803" s="38"/>
      <c r="BA2803" s="38"/>
      <c r="BB2803" s="38"/>
      <c r="BC2803" s="38"/>
      <c r="BD2803" s="38"/>
      <c r="BE2803" s="38"/>
      <c r="BF2803" s="38"/>
      <c r="BG2803" s="38"/>
      <c r="BH2803" s="38"/>
      <c r="BI2803" s="38"/>
      <c r="BJ2803" s="38"/>
      <c r="BK2803" s="38"/>
      <c r="BL2803" s="38"/>
      <c r="BM2803" s="38"/>
      <c r="BN2803" s="38"/>
      <c r="BO2803" s="38"/>
      <c r="BP2803" s="38"/>
      <c r="BQ2803" s="38"/>
    </row>
    <row r="2804">
      <c r="A2804" s="16"/>
      <c r="B2804" s="16"/>
      <c r="C2804" s="146"/>
      <c r="D2804" s="146"/>
      <c r="E2804" s="16"/>
      <c r="F2804" s="91"/>
      <c r="G2804" s="16"/>
      <c r="H2804" s="320" t="str">
        <f t="shared" si="33"/>
        <v/>
      </c>
      <c r="I2804" s="16"/>
      <c r="J2804" s="16"/>
      <c r="K2804" s="16"/>
      <c r="L2804" s="16"/>
      <c r="M2804" s="15"/>
      <c r="N2804" s="15"/>
      <c r="O2804" s="16"/>
      <c r="P2804" s="16"/>
      <c r="Q2804" s="16"/>
      <c r="R2804" s="16"/>
      <c r="S2804" s="37" t="str">
        <f>IFERROR(__xludf.DUMMYFUNCTION("if(not(iserror(index(split(C2804, "" ""),2))), index(split(C2804, "" ""),1),"""")"),"")</f>
        <v/>
      </c>
      <c r="T2804" s="315" t="str">
        <f>IFERROR(__xludf.DUMMYFUNCTION("if(S2804="""",C2804,if(not(iserror(index(split(C2804, "" ""),3))), index(split(C2804, "" ""),3),index(split(C2804, "" ""),2)))"),"")</f>
        <v/>
      </c>
      <c r="U2804" s="38" t="b">
        <f t="shared" si="34"/>
        <v>0</v>
      </c>
      <c r="V2804" s="38"/>
      <c r="W2804" s="40"/>
      <c r="X2804" s="40"/>
      <c r="Y2804" s="38"/>
      <c r="Z2804" s="38"/>
      <c r="AA2804" s="38"/>
      <c r="AB2804" s="38"/>
      <c r="AC2804" s="38"/>
      <c r="AD2804" s="38"/>
      <c r="AE2804" s="38"/>
      <c r="AF2804" s="38"/>
      <c r="AG2804" s="38"/>
      <c r="AH2804" s="38"/>
      <c r="AI2804" s="38"/>
      <c r="AJ2804" s="38"/>
      <c r="AK2804" s="38"/>
      <c r="AL2804" s="38"/>
      <c r="AM2804" s="38"/>
      <c r="AN2804" s="38"/>
      <c r="AO2804" s="38"/>
      <c r="AP2804" s="38"/>
      <c r="AQ2804" s="38"/>
      <c r="AR2804" s="38"/>
      <c r="AS2804" s="38"/>
      <c r="AT2804" s="38"/>
      <c r="AU2804" s="38"/>
      <c r="AV2804" s="38"/>
      <c r="AW2804" s="38"/>
      <c r="AX2804" s="38"/>
      <c r="AY2804" s="38"/>
      <c r="AZ2804" s="38"/>
      <c r="BA2804" s="38"/>
      <c r="BB2804" s="38"/>
      <c r="BC2804" s="38"/>
      <c r="BD2804" s="38"/>
      <c r="BE2804" s="38"/>
      <c r="BF2804" s="38"/>
      <c r="BG2804" s="38"/>
      <c r="BH2804" s="38"/>
      <c r="BI2804" s="38"/>
      <c r="BJ2804" s="38"/>
      <c r="BK2804" s="38"/>
      <c r="BL2804" s="38"/>
      <c r="BM2804" s="38"/>
      <c r="BN2804" s="38"/>
      <c r="BO2804" s="38"/>
      <c r="BP2804" s="38"/>
      <c r="BQ2804" s="38"/>
    </row>
    <row r="2805">
      <c r="A2805" s="16"/>
      <c r="B2805" s="16"/>
      <c r="C2805" s="146"/>
      <c r="D2805" s="146"/>
      <c r="E2805" s="16"/>
      <c r="F2805" s="91"/>
      <c r="G2805" s="16"/>
      <c r="H2805" s="320" t="str">
        <f t="shared" si="33"/>
        <v/>
      </c>
      <c r="I2805" s="16"/>
      <c r="J2805" s="16"/>
      <c r="K2805" s="16"/>
      <c r="L2805" s="16"/>
      <c r="M2805" s="15"/>
      <c r="N2805" s="15"/>
      <c r="O2805" s="16"/>
      <c r="P2805" s="16"/>
      <c r="Q2805" s="16"/>
      <c r="R2805" s="16"/>
      <c r="S2805" s="37" t="str">
        <f>IFERROR(__xludf.DUMMYFUNCTION("if(not(iserror(index(split(C2805, "" ""),2))), index(split(C2805, "" ""),1),"""")"),"")</f>
        <v/>
      </c>
      <c r="T2805" s="315" t="str">
        <f>IFERROR(__xludf.DUMMYFUNCTION("if(S2805="""",C2805,if(not(iserror(index(split(C2805, "" ""),3))), index(split(C2805, "" ""),3),index(split(C2805, "" ""),2)))"),"")</f>
        <v/>
      </c>
      <c r="U2805" s="38" t="b">
        <f t="shared" si="34"/>
        <v>0</v>
      </c>
      <c r="V2805" s="38"/>
      <c r="W2805" s="40"/>
      <c r="X2805" s="40"/>
      <c r="Y2805" s="38"/>
      <c r="Z2805" s="38"/>
      <c r="AA2805" s="38"/>
      <c r="AB2805" s="38"/>
      <c r="AC2805" s="38"/>
      <c r="AD2805" s="38"/>
      <c r="AE2805" s="38"/>
      <c r="AF2805" s="38"/>
      <c r="AG2805" s="38"/>
      <c r="AH2805" s="38"/>
      <c r="AI2805" s="38"/>
      <c r="AJ2805" s="38"/>
      <c r="AK2805" s="38"/>
      <c r="AL2805" s="38"/>
      <c r="AM2805" s="38"/>
      <c r="AN2805" s="38"/>
      <c r="AO2805" s="38"/>
      <c r="AP2805" s="38"/>
      <c r="AQ2805" s="38"/>
      <c r="AR2805" s="38"/>
      <c r="AS2805" s="38"/>
      <c r="AT2805" s="38"/>
      <c r="AU2805" s="38"/>
      <c r="AV2805" s="38"/>
      <c r="AW2805" s="38"/>
      <c r="AX2805" s="38"/>
      <c r="AY2805" s="38"/>
      <c r="AZ2805" s="38"/>
      <c r="BA2805" s="38"/>
      <c r="BB2805" s="38"/>
      <c r="BC2805" s="38"/>
      <c r="BD2805" s="38"/>
      <c r="BE2805" s="38"/>
      <c r="BF2805" s="38"/>
      <c r="BG2805" s="38"/>
      <c r="BH2805" s="38"/>
      <c r="BI2805" s="38"/>
      <c r="BJ2805" s="38"/>
      <c r="BK2805" s="38"/>
      <c r="BL2805" s="38"/>
      <c r="BM2805" s="38"/>
      <c r="BN2805" s="38"/>
      <c r="BO2805" s="38"/>
      <c r="BP2805" s="38"/>
      <c r="BQ2805" s="38"/>
    </row>
    <row r="2806">
      <c r="A2806" s="16"/>
      <c r="B2806" s="16"/>
      <c r="C2806" s="146"/>
      <c r="D2806" s="146"/>
      <c r="E2806" s="16"/>
      <c r="F2806" s="91"/>
      <c r="G2806" s="16"/>
      <c r="H2806" s="320" t="str">
        <f t="shared" si="33"/>
        <v/>
      </c>
      <c r="I2806" s="16"/>
      <c r="J2806" s="16"/>
      <c r="K2806" s="16"/>
      <c r="L2806" s="16"/>
      <c r="M2806" s="15"/>
      <c r="N2806" s="15"/>
      <c r="O2806" s="16"/>
      <c r="P2806" s="16"/>
      <c r="Q2806" s="16"/>
      <c r="R2806" s="16"/>
      <c r="S2806" s="37" t="str">
        <f>IFERROR(__xludf.DUMMYFUNCTION("if(not(iserror(index(split(C2806, "" ""),2))), index(split(C2806, "" ""),1),"""")"),"")</f>
        <v/>
      </c>
      <c r="T2806" s="315" t="str">
        <f>IFERROR(__xludf.DUMMYFUNCTION("if(S2806="""",C2806,if(not(iserror(index(split(C2806, "" ""),3))), index(split(C2806, "" ""),3),index(split(C2806, "" ""),2)))"),"")</f>
        <v/>
      </c>
      <c r="U2806" s="38" t="b">
        <f t="shared" si="34"/>
        <v>0</v>
      </c>
      <c r="V2806" s="38"/>
      <c r="W2806" s="40"/>
      <c r="X2806" s="40"/>
      <c r="Y2806" s="38"/>
      <c r="Z2806" s="38"/>
      <c r="AA2806" s="38"/>
      <c r="AB2806" s="38"/>
      <c r="AC2806" s="38"/>
      <c r="AD2806" s="38"/>
      <c r="AE2806" s="38"/>
      <c r="AF2806" s="38"/>
      <c r="AG2806" s="38"/>
      <c r="AH2806" s="38"/>
      <c r="AI2806" s="38"/>
      <c r="AJ2806" s="38"/>
      <c r="AK2806" s="38"/>
      <c r="AL2806" s="38"/>
      <c r="AM2806" s="38"/>
      <c r="AN2806" s="38"/>
      <c r="AO2806" s="38"/>
      <c r="AP2806" s="38"/>
      <c r="AQ2806" s="38"/>
      <c r="AR2806" s="38"/>
      <c r="AS2806" s="38"/>
      <c r="AT2806" s="38"/>
      <c r="AU2806" s="38"/>
      <c r="AV2806" s="38"/>
      <c r="AW2806" s="38"/>
      <c r="AX2806" s="38"/>
      <c r="AY2806" s="38"/>
      <c r="AZ2806" s="38"/>
      <c r="BA2806" s="38"/>
      <c r="BB2806" s="38"/>
      <c r="BC2806" s="38"/>
      <c r="BD2806" s="38"/>
      <c r="BE2806" s="38"/>
      <c r="BF2806" s="38"/>
      <c r="BG2806" s="38"/>
      <c r="BH2806" s="38"/>
      <c r="BI2806" s="38"/>
      <c r="BJ2806" s="38"/>
      <c r="BK2806" s="38"/>
      <c r="BL2806" s="38"/>
      <c r="BM2806" s="38"/>
      <c r="BN2806" s="38"/>
      <c r="BO2806" s="38"/>
      <c r="BP2806" s="38"/>
      <c r="BQ2806" s="38"/>
    </row>
    <row r="2807">
      <c r="A2807" s="16"/>
      <c r="B2807" s="16"/>
      <c r="C2807" s="146"/>
      <c r="D2807" s="146"/>
      <c r="E2807" s="16"/>
      <c r="F2807" s="91"/>
      <c r="G2807" s="16"/>
      <c r="H2807" s="320" t="str">
        <f t="shared" si="33"/>
        <v/>
      </c>
      <c r="I2807" s="16"/>
      <c r="J2807" s="16"/>
      <c r="K2807" s="16"/>
      <c r="L2807" s="16"/>
      <c r="M2807" s="15"/>
      <c r="N2807" s="15"/>
      <c r="O2807" s="16"/>
      <c r="P2807" s="16"/>
      <c r="Q2807" s="16"/>
      <c r="R2807" s="16"/>
      <c r="S2807" s="37" t="str">
        <f>IFERROR(__xludf.DUMMYFUNCTION("if(not(iserror(index(split(C2807, "" ""),2))), index(split(C2807, "" ""),1),"""")"),"")</f>
        <v/>
      </c>
      <c r="T2807" s="315" t="str">
        <f>IFERROR(__xludf.DUMMYFUNCTION("if(S2807="""",C2807,if(not(iserror(index(split(C2807, "" ""),3))), index(split(C2807, "" ""),3),index(split(C2807, "" ""),2)))"),"")</f>
        <v/>
      </c>
      <c r="U2807" s="38" t="b">
        <f t="shared" si="34"/>
        <v>0</v>
      </c>
      <c r="V2807" s="38"/>
      <c r="W2807" s="40"/>
      <c r="X2807" s="40"/>
      <c r="Y2807" s="38"/>
      <c r="Z2807" s="38"/>
      <c r="AA2807" s="38"/>
      <c r="AB2807" s="38"/>
      <c r="AC2807" s="38"/>
      <c r="AD2807" s="38"/>
      <c r="AE2807" s="38"/>
      <c r="AF2807" s="38"/>
      <c r="AG2807" s="38"/>
      <c r="AH2807" s="38"/>
      <c r="AI2807" s="38"/>
      <c r="AJ2807" s="38"/>
      <c r="AK2807" s="38"/>
      <c r="AL2807" s="38"/>
      <c r="AM2807" s="38"/>
      <c r="AN2807" s="38"/>
      <c r="AO2807" s="38"/>
      <c r="AP2807" s="38"/>
      <c r="AQ2807" s="38"/>
      <c r="AR2807" s="38"/>
      <c r="AS2807" s="38"/>
      <c r="AT2807" s="38"/>
      <c r="AU2807" s="38"/>
      <c r="AV2807" s="38"/>
      <c r="AW2807" s="38"/>
      <c r="AX2807" s="38"/>
      <c r="AY2807" s="38"/>
      <c r="AZ2807" s="38"/>
      <c r="BA2807" s="38"/>
      <c r="BB2807" s="38"/>
      <c r="BC2807" s="38"/>
      <c r="BD2807" s="38"/>
      <c r="BE2807" s="38"/>
      <c r="BF2807" s="38"/>
      <c r="BG2807" s="38"/>
      <c r="BH2807" s="38"/>
      <c r="BI2807" s="38"/>
      <c r="BJ2807" s="38"/>
      <c r="BK2807" s="38"/>
      <c r="BL2807" s="38"/>
      <c r="BM2807" s="38"/>
      <c r="BN2807" s="38"/>
      <c r="BO2807" s="38"/>
      <c r="BP2807" s="38"/>
      <c r="BQ2807" s="38"/>
    </row>
    <row r="2808">
      <c r="A2808" s="16"/>
      <c r="B2808" s="16"/>
      <c r="C2808" s="146"/>
      <c r="D2808" s="146"/>
      <c r="E2808" s="16"/>
      <c r="F2808" s="91"/>
      <c r="G2808" s="16"/>
      <c r="H2808" s="320" t="str">
        <f t="shared" si="33"/>
        <v/>
      </c>
      <c r="I2808" s="16"/>
      <c r="J2808" s="16"/>
      <c r="K2808" s="16"/>
      <c r="L2808" s="16"/>
      <c r="M2808" s="15"/>
      <c r="N2808" s="15"/>
      <c r="O2808" s="16"/>
      <c r="P2808" s="16"/>
      <c r="Q2808" s="16"/>
      <c r="R2808" s="16"/>
      <c r="S2808" s="37" t="str">
        <f>IFERROR(__xludf.DUMMYFUNCTION("if(not(iserror(index(split(C2808, "" ""),2))), index(split(C2808, "" ""),1),"""")"),"")</f>
        <v/>
      </c>
      <c r="T2808" s="315" t="str">
        <f>IFERROR(__xludf.DUMMYFUNCTION("if(S2808="""",C2808,if(not(iserror(index(split(C2808, "" ""),3))), index(split(C2808, "" ""),3),index(split(C2808, "" ""),2)))"),"")</f>
        <v/>
      </c>
      <c r="U2808" s="38" t="b">
        <f t="shared" si="34"/>
        <v>0</v>
      </c>
      <c r="V2808" s="38"/>
      <c r="W2808" s="40"/>
      <c r="X2808" s="40"/>
      <c r="Y2808" s="38"/>
      <c r="Z2808" s="38"/>
      <c r="AA2808" s="38"/>
      <c r="AB2808" s="38"/>
      <c r="AC2808" s="38"/>
      <c r="AD2808" s="38"/>
      <c r="AE2808" s="38"/>
      <c r="AF2808" s="38"/>
      <c r="AG2808" s="38"/>
      <c r="AH2808" s="38"/>
      <c r="AI2808" s="38"/>
      <c r="AJ2808" s="38"/>
      <c r="AK2808" s="38"/>
      <c r="AL2808" s="38"/>
      <c r="AM2808" s="38"/>
      <c r="AN2808" s="38"/>
      <c r="AO2808" s="38"/>
      <c r="AP2808" s="38"/>
      <c r="AQ2808" s="38"/>
      <c r="AR2808" s="38"/>
      <c r="AS2808" s="38"/>
      <c r="AT2808" s="38"/>
      <c r="AU2808" s="38"/>
      <c r="AV2808" s="38"/>
      <c r="AW2808" s="38"/>
      <c r="AX2808" s="38"/>
      <c r="AY2808" s="38"/>
      <c r="AZ2808" s="38"/>
      <c r="BA2808" s="38"/>
      <c r="BB2808" s="38"/>
      <c r="BC2808" s="38"/>
      <c r="BD2808" s="38"/>
      <c r="BE2808" s="38"/>
      <c r="BF2808" s="38"/>
      <c r="BG2808" s="38"/>
      <c r="BH2808" s="38"/>
      <c r="BI2808" s="38"/>
      <c r="BJ2808" s="38"/>
      <c r="BK2808" s="38"/>
      <c r="BL2808" s="38"/>
      <c r="BM2808" s="38"/>
      <c r="BN2808" s="38"/>
      <c r="BO2808" s="38"/>
      <c r="BP2808" s="38"/>
      <c r="BQ2808" s="38"/>
    </row>
    <row r="2809">
      <c r="A2809" s="16"/>
      <c r="B2809" s="16"/>
      <c r="C2809" s="146"/>
      <c r="D2809" s="146"/>
      <c r="E2809" s="16"/>
      <c r="F2809" s="91"/>
      <c r="G2809" s="16"/>
      <c r="H2809" s="320" t="str">
        <f t="shared" si="33"/>
        <v/>
      </c>
      <c r="I2809" s="16"/>
      <c r="J2809" s="16"/>
      <c r="K2809" s="16"/>
      <c r="L2809" s="16"/>
      <c r="M2809" s="15"/>
      <c r="N2809" s="15"/>
      <c r="O2809" s="16"/>
      <c r="P2809" s="16"/>
      <c r="Q2809" s="16"/>
      <c r="R2809" s="16"/>
      <c r="S2809" s="37" t="str">
        <f>IFERROR(__xludf.DUMMYFUNCTION("if(not(iserror(index(split(C2809, "" ""),2))), index(split(C2809, "" ""),1),"""")"),"")</f>
        <v/>
      </c>
      <c r="T2809" s="315" t="str">
        <f>IFERROR(__xludf.DUMMYFUNCTION("if(S2809="""",C2809,if(not(iserror(index(split(C2809, "" ""),3))), index(split(C2809, "" ""),3),index(split(C2809, "" ""),2)))"),"")</f>
        <v/>
      </c>
      <c r="U2809" s="38" t="b">
        <f t="shared" si="34"/>
        <v>0</v>
      </c>
      <c r="V2809" s="38"/>
      <c r="W2809" s="40"/>
      <c r="X2809" s="40"/>
      <c r="Y2809" s="38"/>
      <c r="Z2809" s="38"/>
      <c r="AA2809" s="38"/>
      <c r="AB2809" s="38"/>
      <c r="AC2809" s="38"/>
      <c r="AD2809" s="38"/>
      <c r="AE2809" s="38"/>
      <c r="AF2809" s="38"/>
      <c r="AG2809" s="38"/>
      <c r="AH2809" s="38"/>
      <c r="AI2809" s="38"/>
      <c r="AJ2809" s="38"/>
      <c r="AK2809" s="38"/>
      <c r="AL2809" s="38"/>
      <c r="AM2809" s="38"/>
      <c r="AN2809" s="38"/>
      <c r="AO2809" s="38"/>
      <c r="AP2809" s="38"/>
      <c r="AQ2809" s="38"/>
      <c r="AR2809" s="38"/>
      <c r="AS2809" s="38"/>
      <c r="AT2809" s="38"/>
      <c r="AU2809" s="38"/>
      <c r="AV2809" s="38"/>
      <c r="AW2809" s="38"/>
      <c r="AX2809" s="38"/>
      <c r="AY2809" s="38"/>
      <c r="AZ2809" s="38"/>
      <c r="BA2809" s="38"/>
      <c r="BB2809" s="38"/>
      <c r="BC2809" s="38"/>
      <c r="BD2809" s="38"/>
      <c r="BE2809" s="38"/>
      <c r="BF2809" s="38"/>
      <c r="BG2809" s="38"/>
      <c r="BH2809" s="38"/>
      <c r="BI2809" s="38"/>
      <c r="BJ2809" s="38"/>
      <c r="BK2809" s="38"/>
      <c r="BL2809" s="38"/>
      <c r="BM2809" s="38"/>
      <c r="BN2809" s="38"/>
      <c r="BO2809" s="38"/>
      <c r="BP2809" s="38"/>
      <c r="BQ2809" s="38"/>
    </row>
    <row r="2810">
      <c r="A2810" s="16"/>
      <c r="B2810" s="16"/>
      <c r="C2810" s="146"/>
      <c r="D2810" s="146"/>
      <c r="E2810" s="16"/>
      <c r="F2810" s="91"/>
      <c r="G2810" s="16"/>
      <c r="H2810" s="320" t="str">
        <f t="shared" si="33"/>
        <v/>
      </c>
      <c r="I2810" s="16"/>
      <c r="J2810" s="16"/>
      <c r="K2810" s="16"/>
      <c r="L2810" s="16"/>
      <c r="M2810" s="15"/>
      <c r="N2810" s="15"/>
      <c r="O2810" s="16"/>
      <c r="P2810" s="16"/>
      <c r="Q2810" s="16"/>
      <c r="R2810" s="16"/>
      <c r="S2810" s="37" t="str">
        <f>IFERROR(__xludf.DUMMYFUNCTION("if(not(iserror(index(split(C2810, "" ""),2))), index(split(C2810, "" ""),1),"""")"),"")</f>
        <v/>
      </c>
      <c r="T2810" s="315" t="str">
        <f>IFERROR(__xludf.DUMMYFUNCTION("if(S2810="""",C2810,if(not(iserror(index(split(C2810, "" ""),3))), index(split(C2810, "" ""),3),index(split(C2810, "" ""),2)))"),"")</f>
        <v/>
      </c>
      <c r="U2810" s="38" t="b">
        <f t="shared" si="34"/>
        <v>0</v>
      </c>
      <c r="V2810" s="38"/>
      <c r="W2810" s="40"/>
      <c r="X2810" s="40"/>
      <c r="Y2810" s="38"/>
      <c r="Z2810" s="38"/>
      <c r="AA2810" s="38"/>
      <c r="AB2810" s="38"/>
      <c r="AC2810" s="38"/>
      <c r="AD2810" s="38"/>
      <c r="AE2810" s="38"/>
      <c r="AF2810" s="38"/>
      <c r="AG2810" s="38"/>
      <c r="AH2810" s="38"/>
      <c r="AI2810" s="38"/>
      <c r="AJ2810" s="38"/>
      <c r="AK2810" s="38"/>
      <c r="AL2810" s="38"/>
      <c r="AM2810" s="38"/>
      <c r="AN2810" s="38"/>
      <c r="AO2810" s="38"/>
      <c r="AP2810" s="38"/>
      <c r="AQ2810" s="38"/>
      <c r="AR2810" s="38"/>
      <c r="AS2810" s="38"/>
      <c r="AT2810" s="38"/>
      <c r="AU2810" s="38"/>
      <c r="AV2810" s="38"/>
      <c r="AW2810" s="38"/>
      <c r="AX2810" s="38"/>
      <c r="AY2810" s="38"/>
      <c r="AZ2810" s="38"/>
      <c r="BA2810" s="38"/>
      <c r="BB2810" s="38"/>
      <c r="BC2810" s="38"/>
      <c r="BD2810" s="38"/>
      <c r="BE2810" s="38"/>
      <c r="BF2810" s="38"/>
      <c r="BG2810" s="38"/>
      <c r="BH2810" s="38"/>
      <c r="BI2810" s="38"/>
      <c r="BJ2810" s="38"/>
      <c r="BK2810" s="38"/>
      <c r="BL2810" s="38"/>
      <c r="BM2810" s="38"/>
      <c r="BN2810" s="38"/>
      <c r="BO2810" s="38"/>
      <c r="BP2810" s="38"/>
      <c r="BQ2810" s="38"/>
    </row>
    <row r="2811">
      <c r="A2811" s="16"/>
      <c r="B2811" s="16"/>
      <c r="C2811" s="146"/>
      <c r="D2811" s="146"/>
      <c r="E2811" s="16"/>
      <c r="F2811" s="91"/>
      <c r="G2811" s="16"/>
      <c r="H2811" s="320" t="str">
        <f t="shared" si="33"/>
        <v/>
      </c>
      <c r="I2811" s="16"/>
      <c r="J2811" s="16"/>
      <c r="K2811" s="16"/>
      <c r="L2811" s="16"/>
      <c r="M2811" s="15"/>
      <c r="N2811" s="15"/>
      <c r="O2811" s="16"/>
      <c r="P2811" s="16"/>
      <c r="Q2811" s="16"/>
      <c r="R2811" s="16"/>
      <c r="S2811" s="37" t="str">
        <f>IFERROR(__xludf.DUMMYFUNCTION("if(not(iserror(index(split(C2811, "" ""),2))), index(split(C2811, "" ""),1),"""")"),"")</f>
        <v/>
      </c>
      <c r="T2811" s="315" t="str">
        <f>IFERROR(__xludf.DUMMYFUNCTION("if(S2811="""",C2811,if(not(iserror(index(split(C2811, "" ""),3))), index(split(C2811, "" ""),3),index(split(C2811, "" ""),2)))"),"")</f>
        <v/>
      </c>
      <c r="U2811" s="38" t="b">
        <f t="shared" si="34"/>
        <v>0</v>
      </c>
      <c r="V2811" s="38"/>
      <c r="W2811" s="40"/>
      <c r="X2811" s="40"/>
      <c r="Y2811" s="38"/>
      <c r="Z2811" s="38"/>
      <c r="AA2811" s="38"/>
      <c r="AB2811" s="38"/>
      <c r="AC2811" s="38"/>
      <c r="AD2811" s="38"/>
      <c r="AE2811" s="38"/>
      <c r="AF2811" s="38"/>
      <c r="AG2811" s="38"/>
      <c r="AH2811" s="38"/>
      <c r="AI2811" s="38"/>
      <c r="AJ2811" s="38"/>
      <c r="AK2811" s="38"/>
      <c r="AL2811" s="38"/>
      <c r="AM2811" s="38"/>
      <c r="AN2811" s="38"/>
      <c r="AO2811" s="38"/>
      <c r="AP2811" s="38"/>
      <c r="AQ2811" s="38"/>
      <c r="AR2811" s="38"/>
      <c r="AS2811" s="38"/>
      <c r="AT2811" s="38"/>
      <c r="AU2811" s="38"/>
      <c r="AV2811" s="38"/>
      <c r="AW2811" s="38"/>
      <c r="AX2811" s="38"/>
      <c r="AY2811" s="38"/>
      <c r="AZ2811" s="38"/>
      <c r="BA2811" s="38"/>
      <c r="BB2811" s="38"/>
      <c r="BC2811" s="38"/>
      <c r="BD2811" s="38"/>
      <c r="BE2811" s="38"/>
      <c r="BF2811" s="38"/>
      <c r="BG2811" s="38"/>
      <c r="BH2811" s="38"/>
      <c r="BI2811" s="38"/>
      <c r="BJ2811" s="38"/>
      <c r="BK2811" s="38"/>
      <c r="BL2811" s="38"/>
      <c r="BM2811" s="38"/>
      <c r="BN2811" s="38"/>
      <c r="BO2811" s="38"/>
      <c r="BP2811" s="38"/>
      <c r="BQ2811" s="38"/>
    </row>
    <row r="2812">
      <c r="A2812" s="16"/>
      <c r="B2812" s="16"/>
      <c r="C2812" s="146"/>
      <c r="D2812" s="146"/>
      <c r="E2812" s="16"/>
      <c r="F2812" s="91"/>
      <c r="G2812" s="16"/>
      <c r="H2812" s="320" t="str">
        <f t="shared" si="33"/>
        <v/>
      </c>
      <c r="I2812" s="16"/>
      <c r="J2812" s="16"/>
      <c r="K2812" s="16"/>
      <c r="L2812" s="16"/>
      <c r="M2812" s="15"/>
      <c r="N2812" s="15"/>
      <c r="O2812" s="16"/>
      <c r="P2812" s="16"/>
      <c r="Q2812" s="16"/>
      <c r="R2812" s="16"/>
      <c r="S2812" s="37" t="str">
        <f>IFERROR(__xludf.DUMMYFUNCTION("if(not(iserror(index(split(C2812, "" ""),2))), index(split(C2812, "" ""),1),"""")"),"")</f>
        <v/>
      </c>
      <c r="T2812" s="315" t="str">
        <f>IFERROR(__xludf.DUMMYFUNCTION("if(S2812="""",C2812,if(not(iserror(index(split(C2812, "" ""),3))), index(split(C2812, "" ""),3),index(split(C2812, "" ""),2)))"),"")</f>
        <v/>
      </c>
      <c r="U2812" s="38" t="b">
        <f t="shared" si="34"/>
        <v>0</v>
      </c>
      <c r="V2812" s="38"/>
      <c r="W2812" s="40"/>
      <c r="X2812" s="40"/>
      <c r="Y2812" s="38"/>
      <c r="Z2812" s="38"/>
      <c r="AA2812" s="38"/>
      <c r="AB2812" s="38"/>
      <c r="AC2812" s="38"/>
      <c r="AD2812" s="38"/>
      <c r="AE2812" s="38"/>
      <c r="AF2812" s="38"/>
      <c r="AG2812" s="38"/>
      <c r="AH2812" s="38"/>
      <c r="AI2812" s="38"/>
      <c r="AJ2812" s="38"/>
      <c r="AK2812" s="38"/>
      <c r="AL2812" s="38"/>
      <c r="AM2812" s="38"/>
      <c r="AN2812" s="38"/>
      <c r="AO2812" s="38"/>
      <c r="AP2812" s="38"/>
      <c r="AQ2812" s="38"/>
      <c r="AR2812" s="38"/>
      <c r="AS2812" s="38"/>
      <c r="AT2812" s="38"/>
      <c r="AU2812" s="38"/>
      <c r="AV2812" s="38"/>
      <c r="AW2812" s="38"/>
      <c r="AX2812" s="38"/>
      <c r="AY2812" s="38"/>
      <c r="AZ2812" s="38"/>
      <c r="BA2812" s="38"/>
      <c r="BB2812" s="38"/>
      <c r="BC2812" s="38"/>
      <c r="BD2812" s="38"/>
      <c r="BE2812" s="38"/>
      <c r="BF2812" s="38"/>
      <c r="BG2812" s="38"/>
      <c r="BH2812" s="38"/>
      <c r="BI2812" s="38"/>
      <c r="BJ2812" s="38"/>
      <c r="BK2812" s="38"/>
      <c r="BL2812" s="38"/>
      <c r="BM2812" s="38"/>
      <c r="BN2812" s="38"/>
      <c r="BO2812" s="38"/>
      <c r="BP2812" s="38"/>
      <c r="BQ2812" s="38"/>
    </row>
    <row r="2813">
      <c r="A2813" s="16"/>
      <c r="B2813" s="16"/>
      <c r="C2813" s="146"/>
      <c r="D2813" s="146"/>
      <c r="E2813" s="16"/>
      <c r="F2813" s="91"/>
      <c r="G2813" s="16"/>
      <c r="H2813" s="320" t="str">
        <f t="shared" si="33"/>
        <v/>
      </c>
      <c r="I2813" s="16"/>
      <c r="J2813" s="16"/>
      <c r="K2813" s="16"/>
      <c r="L2813" s="16"/>
      <c r="M2813" s="15"/>
      <c r="N2813" s="15"/>
      <c r="O2813" s="16"/>
      <c r="P2813" s="16"/>
      <c r="Q2813" s="16"/>
      <c r="R2813" s="16"/>
      <c r="S2813" s="37" t="str">
        <f>IFERROR(__xludf.DUMMYFUNCTION("if(not(iserror(index(split(C2813, "" ""),2))), index(split(C2813, "" ""),1),"""")"),"")</f>
        <v/>
      </c>
      <c r="T2813" s="315" t="str">
        <f>IFERROR(__xludf.DUMMYFUNCTION("if(S2813="""",C2813,if(not(iserror(index(split(C2813, "" ""),3))), index(split(C2813, "" ""),3),index(split(C2813, "" ""),2)))"),"")</f>
        <v/>
      </c>
      <c r="U2813" s="38" t="b">
        <f t="shared" si="34"/>
        <v>0</v>
      </c>
      <c r="V2813" s="38"/>
      <c r="W2813" s="40"/>
      <c r="X2813" s="40"/>
      <c r="Y2813" s="38"/>
      <c r="Z2813" s="38"/>
      <c r="AA2813" s="38"/>
      <c r="AB2813" s="38"/>
      <c r="AC2813" s="38"/>
      <c r="AD2813" s="38"/>
      <c r="AE2813" s="38"/>
      <c r="AF2813" s="38"/>
      <c r="AG2813" s="38"/>
      <c r="AH2813" s="38"/>
      <c r="AI2813" s="38"/>
      <c r="AJ2813" s="38"/>
      <c r="AK2813" s="38"/>
      <c r="AL2813" s="38"/>
      <c r="AM2813" s="38"/>
      <c r="AN2813" s="38"/>
      <c r="AO2813" s="38"/>
      <c r="AP2813" s="38"/>
      <c r="AQ2813" s="38"/>
      <c r="AR2813" s="38"/>
      <c r="AS2813" s="38"/>
      <c r="AT2813" s="38"/>
      <c r="AU2813" s="38"/>
      <c r="AV2813" s="38"/>
      <c r="AW2813" s="38"/>
      <c r="AX2813" s="38"/>
      <c r="AY2813" s="38"/>
      <c r="AZ2813" s="38"/>
      <c r="BA2813" s="38"/>
      <c r="BB2813" s="38"/>
      <c r="BC2813" s="38"/>
      <c r="BD2813" s="38"/>
      <c r="BE2813" s="38"/>
      <c r="BF2813" s="38"/>
      <c r="BG2813" s="38"/>
      <c r="BH2813" s="38"/>
      <c r="BI2813" s="38"/>
      <c r="BJ2813" s="38"/>
      <c r="BK2813" s="38"/>
      <c r="BL2813" s="38"/>
      <c r="BM2813" s="38"/>
      <c r="BN2813" s="38"/>
      <c r="BO2813" s="38"/>
      <c r="BP2813" s="38"/>
      <c r="BQ2813" s="38"/>
    </row>
    <row r="2814">
      <c r="A2814" s="16"/>
      <c r="B2814" s="16"/>
      <c r="C2814" s="146"/>
      <c r="D2814" s="146"/>
      <c r="E2814" s="16"/>
      <c r="F2814" s="91"/>
      <c r="G2814" s="16"/>
      <c r="H2814" s="320" t="str">
        <f t="shared" si="33"/>
        <v/>
      </c>
      <c r="I2814" s="16"/>
      <c r="J2814" s="16"/>
      <c r="K2814" s="16"/>
      <c r="L2814" s="16"/>
      <c r="M2814" s="15"/>
      <c r="N2814" s="15"/>
      <c r="O2814" s="16"/>
      <c r="P2814" s="16"/>
      <c r="Q2814" s="16"/>
      <c r="R2814" s="16"/>
      <c r="S2814" s="37" t="str">
        <f>IFERROR(__xludf.DUMMYFUNCTION("if(not(iserror(index(split(C2814, "" ""),2))), index(split(C2814, "" ""),1),"""")"),"")</f>
        <v/>
      </c>
      <c r="T2814" s="315" t="str">
        <f>IFERROR(__xludf.DUMMYFUNCTION("if(S2814="""",C2814,if(not(iserror(index(split(C2814, "" ""),3))), index(split(C2814, "" ""),3),index(split(C2814, "" ""),2)))"),"")</f>
        <v/>
      </c>
      <c r="U2814" s="38" t="b">
        <f t="shared" si="34"/>
        <v>0</v>
      </c>
      <c r="V2814" s="38"/>
      <c r="W2814" s="40"/>
      <c r="X2814" s="40"/>
      <c r="Y2814" s="38"/>
      <c r="Z2814" s="38"/>
      <c r="AA2814" s="38"/>
      <c r="AB2814" s="38"/>
      <c r="AC2814" s="38"/>
      <c r="AD2814" s="38"/>
      <c r="AE2814" s="38"/>
      <c r="AF2814" s="38"/>
      <c r="AG2814" s="38"/>
      <c r="AH2814" s="38"/>
      <c r="AI2814" s="38"/>
      <c r="AJ2814" s="38"/>
      <c r="AK2814" s="38"/>
      <c r="AL2814" s="38"/>
      <c r="AM2814" s="38"/>
      <c r="AN2814" s="38"/>
      <c r="AO2814" s="38"/>
      <c r="AP2814" s="38"/>
      <c r="AQ2814" s="38"/>
      <c r="AR2814" s="38"/>
      <c r="AS2814" s="38"/>
      <c r="AT2814" s="38"/>
      <c r="AU2814" s="38"/>
      <c r="AV2814" s="38"/>
      <c r="AW2814" s="38"/>
      <c r="AX2814" s="38"/>
      <c r="AY2814" s="38"/>
      <c r="AZ2814" s="38"/>
      <c r="BA2814" s="38"/>
      <c r="BB2814" s="38"/>
      <c r="BC2814" s="38"/>
      <c r="BD2814" s="38"/>
      <c r="BE2814" s="38"/>
      <c r="BF2814" s="38"/>
      <c r="BG2814" s="38"/>
      <c r="BH2814" s="38"/>
      <c r="BI2814" s="38"/>
      <c r="BJ2814" s="38"/>
      <c r="BK2814" s="38"/>
      <c r="BL2814" s="38"/>
      <c r="BM2814" s="38"/>
      <c r="BN2814" s="38"/>
      <c r="BO2814" s="38"/>
      <c r="BP2814" s="38"/>
      <c r="BQ2814" s="38"/>
    </row>
    <row r="2815">
      <c r="A2815" s="16"/>
      <c r="B2815" s="16"/>
      <c r="C2815" s="146"/>
      <c r="D2815" s="146"/>
      <c r="E2815" s="16"/>
      <c r="F2815" s="91"/>
      <c r="G2815" s="16"/>
      <c r="H2815" s="320" t="str">
        <f t="shared" si="33"/>
        <v/>
      </c>
      <c r="I2815" s="16"/>
      <c r="J2815" s="16"/>
      <c r="K2815" s="16"/>
      <c r="L2815" s="16"/>
      <c r="M2815" s="15"/>
      <c r="N2815" s="15"/>
      <c r="O2815" s="16"/>
      <c r="P2815" s="16"/>
      <c r="Q2815" s="16"/>
      <c r="R2815" s="16"/>
      <c r="S2815" s="37" t="str">
        <f>IFERROR(__xludf.DUMMYFUNCTION("if(not(iserror(index(split(C2815, "" ""),2))), index(split(C2815, "" ""),1),"""")"),"")</f>
        <v/>
      </c>
      <c r="T2815" s="315" t="str">
        <f>IFERROR(__xludf.DUMMYFUNCTION("if(S2815="""",C2815,if(not(iserror(index(split(C2815, "" ""),3))), index(split(C2815, "" ""),3),index(split(C2815, "" ""),2)))"),"")</f>
        <v/>
      </c>
      <c r="U2815" s="38" t="b">
        <f t="shared" si="34"/>
        <v>0</v>
      </c>
      <c r="V2815" s="38"/>
      <c r="W2815" s="40"/>
      <c r="X2815" s="40"/>
      <c r="Y2815" s="38"/>
      <c r="Z2815" s="38"/>
      <c r="AA2815" s="38"/>
      <c r="AB2815" s="38"/>
      <c r="AC2815" s="38"/>
      <c r="AD2815" s="38"/>
      <c r="AE2815" s="38"/>
      <c r="AF2815" s="38"/>
      <c r="AG2815" s="38"/>
      <c r="AH2815" s="38"/>
      <c r="AI2815" s="38"/>
      <c r="AJ2815" s="38"/>
      <c r="AK2815" s="38"/>
      <c r="AL2815" s="38"/>
      <c r="AM2815" s="38"/>
      <c r="AN2815" s="38"/>
      <c r="AO2815" s="38"/>
      <c r="AP2815" s="38"/>
      <c r="AQ2815" s="38"/>
      <c r="AR2815" s="38"/>
      <c r="AS2815" s="38"/>
      <c r="AT2815" s="38"/>
      <c r="AU2815" s="38"/>
      <c r="AV2815" s="38"/>
      <c r="AW2815" s="38"/>
      <c r="AX2815" s="38"/>
      <c r="AY2815" s="38"/>
      <c r="AZ2815" s="38"/>
      <c r="BA2815" s="38"/>
      <c r="BB2815" s="38"/>
      <c r="BC2815" s="38"/>
      <c r="BD2815" s="38"/>
      <c r="BE2815" s="38"/>
      <c r="BF2815" s="38"/>
      <c r="BG2815" s="38"/>
      <c r="BH2815" s="38"/>
      <c r="BI2815" s="38"/>
      <c r="BJ2815" s="38"/>
      <c r="BK2815" s="38"/>
      <c r="BL2815" s="38"/>
      <c r="BM2815" s="38"/>
      <c r="BN2815" s="38"/>
      <c r="BO2815" s="38"/>
      <c r="BP2815" s="38"/>
      <c r="BQ2815" s="38"/>
    </row>
    <row r="2816">
      <c r="A2816" s="16"/>
      <c r="B2816" s="16"/>
      <c r="C2816" s="146"/>
      <c r="D2816" s="146"/>
      <c r="E2816" s="16"/>
      <c r="F2816" s="91"/>
      <c r="G2816" s="16"/>
      <c r="H2816" s="320" t="str">
        <f t="shared" si="33"/>
        <v/>
      </c>
      <c r="I2816" s="16"/>
      <c r="J2816" s="16"/>
      <c r="K2816" s="16"/>
      <c r="L2816" s="16"/>
      <c r="M2816" s="15"/>
      <c r="N2816" s="15"/>
      <c r="O2816" s="16"/>
      <c r="P2816" s="16"/>
      <c r="Q2816" s="16"/>
      <c r="R2816" s="16"/>
      <c r="S2816" s="37" t="str">
        <f>IFERROR(__xludf.DUMMYFUNCTION("if(not(iserror(index(split(C2816, "" ""),2))), index(split(C2816, "" ""),1),"""")"),"")</f>
        <v/>
      </c>
      <c r="T2816" s="315" t="str">
        <f>IFERROR(__xludf.DUMMYFUNCTION("if(S2816="""",C2816,if(not(iserror(index(split(C2816, "" ""),3))), index(split(C2816, "" ""),3),index(split(C2816, "" ""),2)))"),"")</f>
        <v/>
      </c>
      <c r="U2816" s="38" t="b">
        <f t="shared" si="34"/>
        <v>0</v>
      </c>
      <c r="V2816" s="38"/>
      <c r="W2816" s="40"/>
      <c r="X2816" s="40"/>
      <c r="Y2816" s="38"/>
      <c r="Z2816" s="38"/>
      <c r="AA2816" s="38"/>
      <c r="AB2816" s="38"/>
      <c r="AC2816" s="38"/>
      <c r="AD2816" s="38"/>
      <c r="AE2816" s="38"/>
      <c r="AF2816" s="38"/>
      <c r="AG2816" s="38"/>
      <c r="AH2816" s="38"/>
      <c r="AI2816" s="38"/>
      <c r="AJ2816" s="38"/>
      <c r="AK2816" s="38"/>
      <c r="AL2816" s="38"/>
      <c r="AM2816" s="38"/>
      <c r="AN2816" s="38"/>
      <c r="AO2816" s="38"/>
      <c r="AP2816" s="38"/>
      <c r="AQ2816" s="38"/>
      <c r="AR2816" s="38"/>
      <c r="AS2816" s="38"/>
      <c r="AT2816" s="38"/>
      <c r="AU2816" s="38"/>
      <c r="AV2816" s="38"/>
      <c r="AW2816" s="38"/>
      <c r="AX2816" s="38"/>
      <c r="AY2816" s="38"/>
      <c r="AZ2816" s="38"/>
      <c r="BA2816" s="38"/>
      <c r="BB2816" s="38"/>
      <c r="BC2816" s="38"/>
      <c r="BD2816" s="38"/>
      <c r="BE2816" s="38"/>
      <c r="BF2816" s="38"/>
      <c r="BG2816" s="38"/>
      <c r="BH2816" s="38"/>
      <c r="BI2816" s="38"/>
      <c r="BJ2816" s="38"/>
      <c r="BK2816" s="38"/>
      <c r="BL2816" s="38"/>
      <c r="BM2816" s="38"/>
      <c r="BN2816" s="38"/>
      <c r="BO2816" s="38"/>
      <c r="BP2816" s="38"/>
      <c r="BQ2816" s="38"/>
    </row>
    <row r="2817">
      <c r="A2817" s="16"/>
      <c r="B2817" s="16"/>
      <c r="C2817" s="146"/>
      <c r="D2817" s="146"/>
      <c r="E2817" s="16"/>
      <c r="F2817" s="91"/>
      <c r="G2817" s="16"/>
      <c r="H2817" s="320" t="str">
        <f t="shared" si="33"/>
        <v/>
      </c>
      <c r="I2817" s="16"/>
      <c r="J2817" s="16"/>
      <c r="K2817" s="16"/>
      <c r="L2817" s="16"/>
      <c r="M2817" s="15"/>
      <c r="N2817" s="15"/>
      <c r="O2817" s="16"/>
      <c r="P2817" s="16"/>
      <c r="Q2817" s="16"/>
      <c r="R2817" s="16"/>
      <c r="S2817" s="37" t="str">
        <f>IFERROR(__xludf.DUMMYFUNCTION("if(not(iserror(index(split(C2817, "" ""),2))), index(split(C2817, "" ""),1),"""")"),"")</f>
        <v/>
      </c>
      <c r="T2817" s="315" t="str">
        <f>IFERROR(__xludf.DUMMYFUNCTION("if(S2817="""",C2817,if(not(iserror(index(split(C2817, "" ""),3))), index(split(C2817, "" ""),3),index(split(C2817, "" ""),2)))"),"")</f>
        <v/>
      </c>
      <c r="U2817" s="38" t="b">
        <f t="shared" si="34"/>
        <v>0</v>
      </c>
      <c r="V2817" s="38"/>
      <c r="W2817" s="40"/>
      <c r="X2817" s="40"/>
      <c r="Y2817" s="38"/>
      <c r="Z2817" s="38"/>
      <c r="AA2817" s="38"/>
      <c r="AB2817" s="38"/>
      <c r="AC2817" s="38"/>
      <c r="AD2817" s="38"/>
      <c r="AE2817" s="38"/>
      <c r="AF2817" s="38"/>
      <c r="AG2817" s="38"/>
      <c r="AH2817" s="38"/>
      <c r="AI2817" s="38"/>
      <c r="AJ2817" s="38"/>
      <c r="AK2817" s="38"/>
      <c r="AL2817" s="38"/>
      <c r="AM2817" s="38"/>
      <c r="AN2817" s="38"/>
      <c r="AO2817" s="38"/>
      <c r="AP2817" s="38"/>
      <c r="AQ2817" s="38"/>
      <c r="AR2817" s="38"/>
      <c r="AS2817" s="38"/>
      <c r="AT2817" s="38"/>
      <c r="AU2817" s="38"/>
      <c r="AV2817" s="38"/>
      <c r="AW2817" s="38"/>
      <c r="AX2817" s="38"/>
      <c r="AY2817" s="38"/>
      <c r="AZ2817" s="38"/>
      <c r="BA2817" s="38"/>
      <c r="BB2817" s="38"/>
      <c r="BC2817" s="38"/>
      <c r="BD2817" s="38"/>
      <c r="BE2817" s="38"/>
      <c r="BF2817" s="38"/>
      <c r="BG2817" s="38"/>
      <c r="BH2817" s="38"/>
      <c r="BI2817" s="38"/>
      <c r="BJ2817" s="38"/>
      <c r="BK2817" s="38"/>
      <c r="BL2817" s="38"/>
      <c r="BM2817" s="38"/>
      <c r="BN2817" s="38"/>
      <c r="BO2817" s="38"/>
      <c r="BP2817" s="38"/>
      <c r="BQ2817" s="38"/>
    </row>
    <row r="2818">
      <c r="A2818" s="16"/>
      <c r="B2818" s="16"/>
      <c r="C2818" s="146"/>
      <c r="D2818" s="146"/>
      <c r="E2818" s="16"/>
      <c r="F2818" s="91"/>
      <c r="G2818" s="16"/>
      <c r="H2818" s="320" t="str">
        <f t="shared" si="33"/>
        <v/>
      </c>
      <c r="I2818" s="16"/>
      <c r="J2818" s="16"/>
      <c r="K2818" s="16"/>
      <c r="L2818" s="16"/>
      <c r="M2818" s="15"/>
      <c r="N2818" s="15"/>
      <c r="O2818" s="16"/>
      <c r="P2818" s="16"/>
      <c r="Q2818" s="16"/>
      <c r="R2818" s="16"/>
      <c r="S2818" s="37" t="str">
        <f>IFERROR(__xludf.DUMMYFUNCTION("if(not(iserror(index(split(C2818, "" ""),2))), index(split(C2818, "" ""),1),"""")"),"")</f>
        <v/>
      </c>
      <c r="T2818" s="315" t="str">
        <f>IFERROR(__xludf.DUMMYFUNCTION("if(S2818="""",C2818,if(not(iserror(index(split(C2818, "" ""),3))), index(split(C2818, "" ""),3),index(split(C2818, "" ""),2)))"),"")</f>
        <v/>
      </c>
      <c r="U2818" s="38" t="b">
        <f t="shared" si="34"/>
        <v>0</v>
      </c>
      <c r="V2818" s="38"/>
      <c r="W2818" s="40"/>
      <c r="X2818" s="40"/>
      <c r="Y2818" s="38"/>
      <c r="Z2818" s="38"/>
      <c r="AA2818" s="38"/>
      <c r="AB2818" s="38"/>
      <c r="AC2818" s="38"/>
      <c r="AD2818" s="38"/>
      <c r="AE2818" s="38"/>
      <c r="AF2818" s="38"/>
      <c r="AG2818" s="38"/>
      <c r="AH2818" s="38"/>
      <c r="AI2818" s="38"/>
      <c r="AJ2818" s="38"/>
      <c r="AK2818" s="38"/>
      <c r="AL2818" s="38"/>
      <c r="AM2818" s="38"/>
      <c r="AN2818" s="38"/>
      <c r="AO2818" s="38"/>
      <c r="AP2818" s="38"/>
      <c r="AQ2818" s="38"/>
      <c r="AR2818" s="38"/>
      <c r="AS2818" s="38"/>
      <c r="AT2818" s="38"/>
      <c r="AU2818" s="38"/>
      <c r="AV2818" s="38"/>
      <c r="AW2818" s="38"/>
      <c r="AX2818" s="38"/>
      <c r="AY2818" s="38"/>
      <c r="AZ2818" s="38"/>
      <c r="BA2818" s="38"/>
      <c r="BB2818" s="38"/>
      <c r="BC2818" s="38"/>
      <c r="BD2818" s="38"/>
      <c r="BE2818" s="38"/>
      <c r="BF2818" s="38"/>
      <c r="BG2818" s="38"/>
      <c r="BH2818" s="38"/>
      <c r="BI2818" s="38"/>
      <c r="BJ2818" s="38"/>
      <c r="BK2818" s="38"/>
      <c r="BL2818" s="38"/>
      <c r="BM2818" s="38"/>
      <c r="BN2818" s="38"/>
      <c r="BO2818" s="38"/>
      <c r="BP2818" s="38"/>
      <c r="BQ2818" s="38"/>
    </row>
    <row r="2819">
      <c r="A2819" s="16"/>
      <c r="B2819" s="16"/>
      <c r="C2819" s="146"/>
      <c r="D2819" s="146"/>
      <c r="E2819" s="16"/>
      <c r="F2819" s="91"/>
      <c r="G2819" s="16"/>
      <c r="H2819" s="320" t="str">
        <f t="shared" si="33"/>
        <v/>
      </c>
      <c r="I2819" s="16"/>
      <c r="J2819" s="16"/>
      <c r="K2819" s="16"/>
      <c r="L2819" s="16"/>
      <c r="M2819" s="15"/>
      <c r="N2819" s="15"/>
      <c r="O2819" s="16"/>
      <c r="P2819" s="16"/>
      <c r="Q2819" s="16"/>
      <c r="R2819" s="16"/>
      <c r="S2819" s="37" t="str">
        <f>IFERROR(__xludf.DUMMYFUNCTION("if(not(iserror(index(split(C2819, "" ""),2))), index(split(C2819, "" ""),1),"""")"),"")</f>
        <v/>
      </c>
      <c r="T2819" s="315" t="str">
        <f>IFERROR(__xludf.DUMMYFUNCTION("if(S2819="""",C2819,if(not(iserror(index(split(C2819, "" ""),3))), index(split(C2819, "" ""),3),index(split(C2819, "" ""),2)))"),"")</f>
        <v/>
      </c>
      <c r="U2819" s="38" t="b">
        <f t="shared" si="34"/>
        <v>0</v>
      </c>
      <c r="V2819" s="38"/>
      <c r="W2819" s="40"/>
      <c r="X2819" s="40"/>
      <c r="Y2819" s="38"/>
      <c r="Z2819" s="38"/>
      <c r="AA2819" s="38"/>
      <c r="AB2819" s="38"/>
      <c r="AC2819" s="38"/>
      <c r="AD2819" s="38"/>
      <c r="AE2819" s="38"/>
      <c r="AF2819" s="38"/>
      <c r="AG2819" s="38"/>
      <c r="AH2819" s="38"/>
      <c r="AI2819" s="38"/>
      <c r="AJ2819" s="38"/>
      <c r="AK2819" s="38"/>
      <c r="AL2819" s="38"/>
      <c r="AM2819" s="38"/>
      <c r="AN2819" s="38"/>
      <c r="AO2819" s="38"/>
      <c r="AP2819" s="38"/>
      <c r="AQ2819" s="38"/>
      <c r="AR2819" s="38"/>
      <c r="AS2819" s="38"/>
      <c r="AT2819" s="38"/>
      <c r="AU2819" s="38"/>
      <c r="AV2819" s="38"/>
      <c r="AW2819" s="38"/>
      <c r="AX2819" s="38"/>
      <c r="AY2819" s="38"/>
      <c r="AZ2819" s="38"/>
      <c r="BA2819" s="38"/>
      <c r="BB2819" s="38"/>
      <c r="BC2819" s="38"/>
      <c r="BD2819" s="38"/>
      <c r="BE2819" s="38"/>
      <c r="BF2819" s="38"/>
      <c r="BG2819" s="38"/>
      <c r="BH2819" s="38"/>
      <c r="BI2819" s="38"/>
      <c r="BJ2819" s="38"/>
      <c r="BK2819" s="38"/>
      <c r="BL2819" s="38"/>
      <c r="BM2819" s="38"/>
      <c r="BN2819" s="38"/>
      <c r="BO2819" s="38"/>
      <c r="BP2819" s="38"/>
      <c r="BQ2819" s="38"/>
    </row>
    <row r="2820">
      <c r="A2820" s="16"/>
      <c r="B2820" s="16"/>
      <c r="C2820" s="146"/>
      <c r="D2820" s="146"/>
      <c r="E2820" s="16"/>
      <c r="F2820" s="91"/>
      <c r="G2820" s="16"/>
      <c r="H2820" s="320" t="str">
        <f t="shared" si="33"/>
        <v/>
      </c>
      <c r="I2820" s="16"/>
      <c r="J2820" s="16"/>
      <c r="K2820" s="16"/>
      <c r="L2820" s="16"/>
      <c r="M2820" s="15"/>
      <c r="N2820" s="15"/>
      <c r="O2820" s="16"/>
      <c r="P2820" s="16"/>
      <c r="Q2820" s="16"/>
      <c r="R2820" s="16"/>
      <c r="S2820" s="37" t="str">
        <f>IFERROR(__xludf.DUMMYFUNCTION("if(not(iserror(index(split(C2820, "" ""),2))), index(split(C2820, "" ""),1),"""")"),"")</f>
        <v/>
      </c>
      <c r="T2820" s="315" t="str">
        <f>IFERROR(__xludf.DUMMYFUNCTION("if(S2820="""",C2820,if(not(iserror(index(split(C2820, "" ""),3))), index(split(C2820, "" ""),3),index(split(C2820, "" ""),2)))"),"")</f>
        <v/>
      </c>
      <c r="U2820" s="38" t="b">
        <f t="shared" si="34"/>
        <v>0</v>
      </c>
      <c r="V2820" s="38"/>
      <c r="W2820" s="40"/>
      <c r="X2820" s="40"/>
      <c r="Y2820" s="38"/>
      <c r="Z2820" s="38"/>
      <c r="AA2820" s="38"/>
      <c r="AB2820" s="38"/>
      <c r="AC2820" s="38"/>
      <c r="AD2820" s="38"/>
      <c r="AE2820" s="38"/>
      <c r="AF2820" s="38"/>
      <c r="AG2820" s="38"/>
      <c r="AH2820" s="38"/>
      <c r="AI2820" s="38"/>
      <c r="AJ2820" s="38"/>
      <c r="AK2820" s="38"/>
      <c r="AL2820" s="38"/>
      <c r="AM2820" s="38"/>
      <c r="AN2820" s="38"/>
      <c r="AO2820" s="38"/>
      <c r="AP2820" s="38"/>
      <c r="AQ2820" s="38"/>
      <c r="AR2820" s="38"/>
      <c r="AS2820" s="38"/>
      <c r="AT2820" s="38"/>
      <c r="AU2820" s="38"/>
      <c r="AV2820" s="38"/>
      <c r="AW2820" s="38"/>
      <c r="AX2820" s="38"/>
      <c r="AY2820" s="38"/>
      <c r="AZ2820" s="38"/>
      <c r="BA2820" s="38"/>
      <c r="BB2820" s="38"/>
      <c r="BC2820" s="38"/>
      <c r="BD2820" s="38"/>
      <c r="BE2820" s="38"/>
      <c r="BF2820" s="38"/>
      <c r="BG2820" s="38"/>
      <c r="BH2820" s="38"/>
      <c r="BI2820" s="38"/>
      <c r="BJ2820" s="38"/>
      <c r="BK2820" s="38"/>
      <c r="BL2820" s="38"/>
      <c r="BM2820" s="38"/>
      <c r="BN2820" s="38"/>
      <c r="BO2820" s="38"/>
      <c r="BP2820" s="38"/>
      <c r="BQ2820" s="38"/>
    </row>
    <row r="2821">
      <c r="A2821" s="16"/>
      <c r="B2821" s="16"/>
      <c r="C2821" s="146"/>
      <c r="D2821" s="146"/>
      <c r="E2821" s="16"/>
      <c r="F2821" s="91"/>
      <c r="G2821" s="16"/>
      <c r="H2821" s="320" t="str">
        <f t="shared" si="33"/>
        <v/>
      </c>
      <c r="I2821" s="16"/>
      <c r="J2821" s="16"/>
      <c r="K2821" s="16"/>
      <c r="L2821" s="16"/>
      <c r="M2821" s="15"/>
      <c r="N2821" s="15"/>
      <c r="O2821" s="16"/>
      <c r="P2821" s="16"/>
      <c r="Q2821" s="16"/>
      <c r="R2821" s="16"/>
      <c r="S2821" s="37" t="str">
        <f>IFERROR(__xludf.DUMMYFUNCTION("if(not(iserror(index(split(C2821, "" ""),2))), index(split(C2821, "" ""),1),"""")"),"")</f>
        <v/>
      </c>
      <c r="T2821" s="315" t="str">
        <f>IFERROR(__xludf.DUMMYFUNCTION("if(S2821="""",C2821,if(not(iserror(index(split(C2821, "" ""),3))), index(split(C2821, "" ""),3),index(split(C2821, "" ""),2)))"),"")</f>
        <v/>
      </c>
      <c r="U2821" s="38" t="b">
        <f t="shared" si="34"/>
        <v>0</v>
      </c>
      <c r="V2821" s="38"/>
      <c r="W2821" s="40"/>
      <c r="X2821" s="40"/>
      <c r="Y2821" s="38"/>
      <c r="Z2821" s="38"/>
      <c r="AA2821" s="38"/>
      <c r="AB2821" s="38"/>
      <c r="AC2821" s="38"/>
      <c r="AD2821" s="38"/>
      <c r="AE2821" s="38"/>
      <c r="AF2821" s="38"/>
      <c r="AG2821" s="38"/>
      <c r="AH2821" s="38"/>
      <c r="AI2821" s="38"/>
      <c r="AJ2821" s="38"/>
      <c r="AK2821" s="38"/>
      <c r="AL2821" s="38"/>
      <c r="AM2821" s="38"/>
      <c r="AN2821" s="38"/>
      <c r="AO2821" s="38"/>
      <c r="AP2821" s="38"/>
      <c r="AQ2821" s="38"/>
      <c r="AR2821" s="38"/>
      <c r="AS2821" s="38"/>
      <c r="AT2821" s="38"/>
      <c r="AU2821" s="38"/>
      <c r="AV2821" s="38"/>
      <c r="AW2821" s="38"/>
      <c r="AX2821" s="38"/>
      <c r="AY2821" s="38"/>
      <c r="AZ2821" s="38"/>
      <c r="BA2821" s="38"/>
      <c r="BB2821" s="38"/>
      <c r="BC2821" s="38"/>
      <c r="BD2821" s="38"/>
      <c r="BE2821" s="38"/>
      <c r="BF2821" s="38"/>
      <c r="BG2821" s="38"/>
      <c r="BH2821" s="38"/>
      <c r="BI2821" s="38"/>
      <c r="BJ2821" s="38"/>
      <c r="BK2821" s="38"/>
      <c r="BL2821" s="38"/>
      <c r="BM2821" s="38"/>
      <c r="BN2821" s="38"/>
      <c r="BO2821" s="38"/>
      <c r="BP2821" s="38"/>
      <c r="BQ2821" s="38"/>
    </row>
    <row r="2822">
      <c r="A2822" s="16"/>
      <c r="B2822" s="16"/>
      <c r="C2822" s="146"/>
      <c r="D2822" s="146"/>
      <c r="E2822" s="16"/>
      <c r="F2822" s="91"/>
      <c r="G2822" s="16"/>
      <c r="H2822" s="320" t="str">
        <f t="shared" si="33"/>
        <v/>
      </c>
      <c r="I2822" s="16"/>
      <c r="J2822" s="16"/>
      <c r="K2822" s="16"/>
      <c r="L2822" s="16"/>
      <c r="M2822" s="15"/>
      <c r="N2822" s="15"/>
      <c r="O2822" s="16"/>
      <c r="P2822" s="16"/>
      <c r="Q2822" s="16"/>
      <c r="R2822" s="16"/>
      <c r="S2822" s="37" t="str">
        <f>IFERROR(__xludf.DUMMYFUNCTION("if(not(iserror(index(split(C2822, "" ""),2))), index(split(C2822, "" ""),1),"""")"),"")</f>
        <v/>
      </c>
      <c r="T2822" s="315" t="str">
        <f>IFERROR(__xludf.DUMMYFUNCTION("if(S2822="""",C2822,if(not(iserror(index(split(C2822, "" ""),3))), index(split(C2822, "" ""),3),index(split(C2822, "" ""),2)))"),"")</f>
        <v/>
      </c>
      <c r="U2822" s="38" t="b">
        <f t="shared" si="34"/>
        <v>0</v>
      </c>
      <c r="V2822" s="38"/>
      <c r="W2822" s="40"/>
      <c r="X2822" s="40"/>
      <c r="Y2822" s="38"/>
      <c r="Z2822" s="38"/>
      <c r="AA2822" s="38"/>
      <c r="AB2822" s="38"/>
      <c r="AC2822" s="38"/>
      <c r="AD2822" s="38"/>
      <c r="AE2822" s="38"/>
      <c r="AF2822" s="38"/>
      <c r="AG2822" s="38"/>
      <c r="AH2822" s="38"/>
      <c r="AI2822" s="38"/>
      <c r="AJ2822" s="38"/>
      <c r="AK2822" s="38"/>
      <c r="AL2822" s="38"/>
      <c r="AM2822" s="38"/>
      <c r="AN2822" s="38"/>
      <c r="AO2822" s="38"/>
      <c r="AP2822" s="38"/>
      <c r="AQ2822" s="38"/>
      <c r="AR2822" s="38"/>
      <c r="AS2822" s="38"/>
      <c r="AT2822" s="38"/>
      <c r="AU2822" s="38"/>
      <c r="AV2822" s="38"/>
      <c r="AW2822" s="38"/>
      <c r="AX2822" s="38"/>
      <c r="AY2822" s="38"/>
      <c r="AZ2822" s="38"/>
      <c r="BA2822" s="38"/>
      <c r="BB2822" s="38"/>
      <c r="BC2822" s="38"/>
      <c r="BD2822" s="38"/>
      <c r="BE2822" s="38"/>
      <c r="BF2822" s="38"/>
      <c r="BG2822" s="38"/>
      <c r="BH2822" s="38"/>
      <c r="BI2822" s="38"/>
      <c r="BJ2822" s="38"/>
      <c r="BK2822" s="38"/>
      <c r="BL2822" s="38"/>
      <c r="BM2822" s="38"/>
      <c r="BN2822" s="38"/>
      <c r="BO2822" s="38"/>
      <c r="BP2822" s="38"/>
      <c r="BQ2822" s="38"/>
    </row>
    <row r="2823">
      <c r="A2823" s="16"/>
      <c r="B2823" s="16"/>
      <c r="C2823" s="146"/>
      <c r="D2823" s="146"/>
      <c r="E2823" s="16"/>
      <c r="F2823" s="91"/>
      <c r="G2823" s="16"/>
      <c r="H2823" s="320" t="str">
        <f t="shared" si="33"/>
        <v/>
      </c>
      <c r="I2823" s="16"/>
      <c r="J2823" s="16"/>
      <c r="K2823" s="16"/>
      <c r="L2823" s="16"/>
      <c r="M2823" s="15"/>
      <c r="N2823" s="15"/>
      <c r="O2823" s="16"/>
      <c r="P2823" s="16"/>
      <c r="Q2823" s="16"/>
      <c r="R2823" s="16"/>
      <c r="S2823" s="37" t="str">
        <f>IFERROR(__xludf.DUMMYFUNCTION("if(not(iserror(index(split(C2823, "" ""),2))), index(split(C2823, "" ""),1),"""")"),"")</f>
        <v/>
      </c>
      <c r="T2823" s="315" t="str">
        <f>IFERROR(__xludf.DUMMYFUNCTION("if(S2823="""",C2823,if(not(iserror(index(split(C2823, "" ""),3))), index(split(C2823, "" ""),3),index(split(C2823, "" ""),2)))"),"")</f>
        <v/>
      </c>
      <c r="U2823" s="38" t="b">
        <f t="shared" si="34"/>
        <v>0</v>
      </c>
      <c r="V2823" s="38"/>
      <c r="W2823" s="40"/>
      <c r="X2823" s="40"/>
      <c r="Y2823" s="38"/>
      <c r="Z2823" s="38"/>
      <c r="AA2823" s="38"/>
      <c r="AB2823" s="38"/>
      <c r="AC2823" s="38"/>
      <c r="AD2823" s="38"/>
      <c r="AE2823" s="38"/>
      <c r="AF2823" s="38"/>
      <c r="AG2823" s="38"/>
      <c r="AH2823" s="38"/>
      <c r="AI2823" s="38"/>
      <c r="AJ2823" s="38"/>
      <c r="AK2823" s="38"/>
      <c r="AL2823" s="38"/>
      <c r="AM2823" s="38"/>
      <c r="AN2823" s="38"/>
      <c r="AO2823" s="38"/>
      <c r="AP2823" s="38"/>
      <c r="AQ2823" s="38"/>
      <c r="AR2823" s="38"/>
      <c r="AS2823" s="38"/>
      <c r="AT2823" s="38"/>
      <c r="AU2823" s="38"/>
      <c r="AV2823" s="38"/>
      <c r="AW2823" s="38"/>
      <c r="AX2823" s="38"/>
      <c r="AY2823" s="38"/>
      <c r="AZ2823" s="38"/>
      <c r="BA2823" s="38"/>
      <c r="BB2823" s="38"/>
      <c r="BC2823" s="38"/>
      <c r="BD2823" s="38"/>
      <c r="BE2823" s="38"/>
      <c r="BF2823" s="38"/>
      <c r="BG2823" s="38"/>
      <c r="BH2823" s="38"/>
      <c r="BI2823" s="38"/>
      <c r="BJ2823" s="38"/>
      <c r="BK2823" s="38"/>
      <c r="BL2823" s="38"/>
      <c r="BM2823" s="38"/>
      <c r="BN2823" s="38"/>
      <c r="BO2823" s="38"/>
      <c r="BP2823" s="38"/>
      <c r="BQ2823" s="38"/>
    </row>
    <row r="2824">
      <c r="A2824" s="16"/>
      <c r="B2824" s="16"/>
      <c r="C2824" s="146"/>
      <c r="D2824" s="146"/>
      <c r="E2824" s="16"/>
      <c r="F2824" s="91"/>
      <c r="G2824" s="16"/>
      <c r="H2824" s="320" t="str">
        <f t="shared" si="33"/>
        <v/>
      </c>
      <c r="I2824" s="16"/>
      <c r="J2824" s="16"/>
      <c r="K2824" s="16"/>
      <c r="L2824" s="16"/>
      <c r="M2824" s="15"/>
      <c r="N2824" s="15"/>
      <c r="O2824" s="16"/>
      <c r="P2824" s="16"/>
      <c r="Q2824" s="16"/>
      <c r="R2824" s="16"/>
      <c r="S2824" s="37" t="str">
        <f>IFERROR(__xludf.DUMMYFUNCTION("if(not(iserror(index(split(C2824, "" ""),2))), index(split(C2824, "" ""),1),"""")"),"")</f>
        <v/>
      </c>
      <c r="T2824" s="315" t="str">
        <f>IFERROR(__xludf.DUMMYFUNCTION("if(S2824="""",C2824,if(not(iserror(index(split(C2824, "" ""),3))), index(split(C2824, "" ""),3),index(split(C2824, "" ""),2)))"),"")</f>
        <v/>
      </c>
      <c r="U2824" s="38" t="b">
        <f t="shared" si="34"/>
        <v>0</v>
      </c>
      <c r="V2824" s="38"/>
      <c r="W2824" s="40"/>
      <c r="X2824" s="40"/>
      <c r="Y2824" s="38"/>
      <c r="Z2824" s="38"/>
      <c r="AA2824" s="38"/>
      <c r="AB2824" s="38"/>
      <c r="AC2824" s="38"/>
      <c r="AD2824" s="38"/>
      <c r="AE2824" s="38"/>
      <c r="AF2824" s="38"/>
      <c r="AG2824" s="38"/>
      <c r="AH2824" s="38"/>
      <c r="AI2824" s="38"/>
      <c r="AJ2824" s="38"/>
      <c r="AK2824" s="38"/>
      <c r="AL2824" s="38"/>
      <c r="AM2824" s="38"/>
      <c r="AN2824" s="38"/>
      <c r="AO2824" s="38"/>
      <c r="AP2824" s="38"/>
      <c r="AQ2824" s="38"/>
      <c r="AR2824" s="38"/>
      <c r="AS2824" s="38"/>
      <c r="AT2824" s="38"/>
      <c r="AU2824" s="38"/>
      <c r="AV2824" s="38"/>
      <c r="AW2824" s="38"/>
      <c r="AX2824" s="38"/>
      <c r="AY2824" s="38"/>
      <c r="AZ2824" s="38"/>
      <c r="BA2824" s="38"/>
      <c r="BB2824" s="38"/>
      <c r="BC2824" s="38"/>
      <c r="BD2824" s="38"/>
      <c r="BE2824" s="38"/>
      <c r="BF2824" s="38"/>
      <c r="BG2824" s="38"/>
      <c r="BH2824" s="38"/>
      <c r="BI2824" s="38"/>
      <c r="BJ2824" s="38"/>
      <c r="BK2824" s="38"/>
      <c r="BL2824" s="38"/>
      <c r="BM2824" s="38"/>
      <c r="BN2824" s="38"/>
      <c r="BO2824" s="38"/>
      <c r="BP2824" s="38"/>
      <c r="BQ2824" s="38"/>
    </row>
    <row r="2825">
      <c r="A2825" s="16"/>
      <c r="B2825" s="16"/>
      <c r="C2825" s="146"/>
      <c r="D2825" s="146"/>
      <c r="E2825" s="16"/>
      <c r="F2825" s="91"/>
      <c r="G2825" s="16"/>
      <c r="H2825" s="320" t="str">
        <f t="shared" si="33"/>
        <v/>
      </c>
      <c r="I2825" s="16"/>
      <c r="J2825" s="16"/>
      <c r="K2825" s="16"/>
      <c r="L2825" s="16"/>
      <c r="M2825" s="15"/>
      <c r="N2825" s="15"/>
      <c r="O2825" s="16"/>
      <c r="P2825" s="16"/>
      <c r="Q2825" s="16"/>
      <c r="R2825" s="16"/>
      <c r="S2825" s="37" t="str">
        <f>IFERROR(__xludf.DUMMYFUNCTION("if(not(iserror(index(split(C2825, "" ""),2))), index(split(C2825, "" ""),1),"""")"),"")</f>
        <v/>
      </c>
      <c r="T2825" s="315" t="str">
        <f>IFERROR(__xludf.DUMMYFUNCTION("if(S2825="""",C2825,if(not(iserror(index(split(C2825, "" ""),3))), index(split(C2825, "" ""),3),index(split(C2825, "" ""),2)))"),"")</f>
        <v/>
      </c>
      <c r="U2825" s="38" t="b">
        <f t="shared" si="34"/>
        <v>0</v>
      </c>
      <c r="V2825" s="38"/>
      <c r="W2825" s="40"/>
      <c r="X2825" s="40"/>
      <c r="Y2825" s="38"/>
      <c r="Z2825" s="38"/>
      <c r="AA2825" s="38"/>
      <c r="AB2825" s="38"/>
      <c r="AC2825" s="38"/>
      <c r="AD2825" s="38"/>
      <c r="AE2825" s="38"/>
      <c r="AF2825" s="38"/>
      <c r="AG2825" s="38"/>
      <c r="AH2825" s="38"/>
      <c r="AI2825" s="38"/>
      <c r="AJ2825" s="38"/>
      <c r="AK2825" s="38"/>
      <c r="AL2825" s="38"/>
      <c r="AM2825" s="38"/>
      <c r="AN2825" s="38"/>
      <c r="AO2825" s="38"/>
      <c r="AP2825" s="38"/>
      <c r="AQ2825" s="38"/>
      <c r="AR2825" s="38"/>
      <c r="AS2825" s="38"/>
      <c r="AT2825" s="38"/>
      <c r="AU2825" s="38"/>
      <c r="AV2825" s="38"/>
      <c r="AW2825" s="38"/>
      <c r="AX2825" s="38"/>
      <c r="AY2825" s="38"/>
      <c r="AZ2825" s="38"/>
      <c r="BA2825" s="38"/>
      <c r="BB2825" s="38"/>
      <c r="BC2825" s="38"/>
      <c r="BD2825" s="38"/>
      <c r="BE2825" s="38"/>
      <c r="BF2825" s="38"/>
      <c r="BG2825" s="38"/>
      <c r="BH2825" s="38"/>
      <c r="BI2825" s="38"/>
      <c r="BJ2825" s="38"/>
      <c r="BK2825" s="38"/>
      <c r="BL2825" s="38"/>
      <c r="BM2825" s="38"/>
      <c r="BN2825" s="38"/>
      <c r="BO2825" s="38"/>
      <c r="BP2825" s="38"/>
      <c r="BQ2825" s="38"/>
    </row>
    <row r="2826">
      <c r="A2826" s="16"/>
      <c r="B2826" s="16"/>
      <c r="C2826" s="146"/>
      <c r="D2826" s="146"/>
      <c r="E2826" s="16"/>
      <c r="F2826" s="91"/>
      <c r="G2826" s="16"/>
      <c r="H2826" s="320" t="str">
        <f t="shared" si="33"/>
        <v/>
      </c>
      <c r="I2826" s="16"/>
      <c r="J2826" s="16"/>
      <c r="K2826" s="16"/>
      <c r="L2826" s="16"/>
      <c r="M2826" s="15"/>
      <c r="N2826" s="15"/>
      <c r="O2826" s="16"/>
      <c r="P2826" s="16"/>
      <c r="Q2826" s="16"/>
      <c r="R2826" s="16"/>
      <c r="S2826" s="37" t="str">
        <f>IFERROR(__xludf.DUMMYFUNCTION("if(not(iserror(index(split(C2826, "" ""),2))), index(split(C2826, "" ""),1),"""")"),"")</f>
        <v/>
      </c>
      <c r="T2826" s="315" t="str">
        <f>IFERROR(__xludf.DUMMYFUNCTION("if(S2826="""",C2826,if(not(iserror(index(split(C2826, "" ""),3))), index(split(C2826, "" ""),3),index(split(C2826, "" ""),2)))"),"")</f>
        <v/>
      </c>
      <c r="U2826" s="38" t="b">
        <f t="shared" si="34"/>
        <v>0</v>
      </c>
      <c r="V2826" s="38"/>
      <c r="W2826" s="40"/>
      <c r="X2826" s="40"/>
      <c r="Y2826" s="38"/>
      <c r="Z2826" s="38"/>
      <c r="AA2826" s="38"/>
      <c r="AB2826" s="38"/>
      <c r="AC2826" s="38"/>
      <c r="AD2826" s="38"/>
      <c r="AE2826" s="38"/>
      <c r="AF2826" s="38"/>
      <c r="AG2826" s="38"/>
      <c r="AH2826" s="38"/>
      <c r="AI2826" s="38"/>
      <c r="AJ2826" s="38"/>
      <c r="AK2826" s="38"/>
      <c r="AL2826" s="38"/>
      <c r="AM2826" s="38"/>
      <c r="AN2826" s="38"/>
      <c r="AO2826" s="38"/>
      <c r="AP2826" s="38"/>
      <c r="AQ2826" s="38"/>
      <c r="AR2826" s="38"/>
      <c r="AS2826" s="38"/>
      <c r="AT2826" s="38"/>
      <c r="AU2826" s="38"/>
      <c r="AV2826" s="38"/>
      <c r="AW2826" s="38"/>
      <c r="AX2826" s="38"/>
      <c r="AY2826" s="38"/>
      <c r="AZ2826" s="38"/>
      <c r="BA2826" s="38"/>
      <c r="BB2826" s="38"/>
      <c r="BC2826" s="38"/>
      <c r="BD2826" s="38"/>
      <c r="BE2826" s="38"/>
      <c r="BF2826" s="38"/>
      <c r="BG2826" s="38"/>
      <c r="BH2826" s="38"/>
      <c r="BI2826" s="38"/>
      <c r="BJ2826" s="38"/>
      <c r="BK2826" s="38"/>
      <c r="BL2826" s="38"/>
      <c r="BM2826" s="38"/>
      <c r="BN2826" s="38"/>
      <c r="BO2826" s="38"/>
      <c r="BP2826" s="38"/>
      <c r="BQ2826" s="38"/>
    </row>
    <row r="2827">
      <c r="A2827" s="16"/>
      <c r="B2827" s="16"/>
      <c r="C2827" s="146"/>
      <c r="D2827" s="146"/>
      <c r="E2827" s="16"/>
      <c r="F2827" s="91"/>
      <c r="G2827" s="16"/>
      <c r="H2827" s="320" t="str">
        <f t="shared" si="33"/>
        <v/>
      </c>
      <c r="I2827" s="16"/>
      <c r="J2827" s="16"/>
      <c r="K2827" s="16"/>
      <c r="L2827" s="16"/>
      <c r="M2827" s="15"/>
      <c r="N2827" s="15"/>
      <c r="O2827" s="16"/>
      <c r="P2827" s="16"/>
      <c r="Q2827" s="16"/>
      <c r="R2827" s="16"/>
      <c r="S2827" s="37" t="str">
        <f>IFERROR(__xludf.DUMMYFUNCTION("if(not(iserror(index(split(C2827, "" ""),2))), index(split(C2827, "" ""),1),"""")"),"")</f>
        <v/>
      </c>
      <c r="T2827" s="315" t="str">
        <f>IFERROR(__xludf.DUMMYFUNCTION("if(S2827="""",C2827,if(not(iserror(index(split(C2827, "" ""),3))), index(split(C2827, "" ""),3),index(split(C2827, "" ""),2)))"),"")</f>
        <v/>
      </c>
      <c r="U2827" s="38" t="b">
        <f t="shared" si="34"/>
        <v>0</v>
      </c>
      <c r="V2827" s="38"/>
      <c r="W2827" s="40"/>
      <c r="X2827" s="40"/>
      <c r="Y2827" s="38"/>
      <c r="Z2827" s="38"/>
      <c r="AA2827" s="38"/>
      <c r="AB2827" s="38"/>
      <c r="AC2827" s="38"/>
      <c r="AD2827" s="38"/>
      <c r="AE2827" s="38"/>
      <c r="AF2827" s="38"/>
      <c r="AG2827" s="38"/>
      <c r="AH2827" s="38"/>
      <c r="AI2827" s="38"/>
      <c r="AJ2827" s="38"/>
      <c r="AK2827" s="38"/>
      <c r="AL2827" s="38"/>
      <c r="AM2827" s="38"/>
      <c r="AN2827" s="38"/>
      <c r="AO2827" s="38"/>
      <c r="AP2827" s="38"/>
      <c r="AQ2827" s="38"/>
      <c r="AR2827" s="38"/>
      <c r="AS2827" s="38"/>
      <c r="AT2827" s="38"/>
      <c r="AU2827" s="38"/>
      <c r="AV2827" s="38"/>
      <c r="AW2827" s="38"/>
      <c r="AX2827" s="38"/>
      <c r="AY2827" s="38"/>
      <c r="AZ2827" s="38"/>
      <c r="BA2827" s="38"/>
      <c r="BB2827" s="38"/>
      <c r="BC2827" s="38"/>
      <c r="BD2827" s="38"/>
      <c r="BE2827" s="38"/>
      <c r="BF2827" s="38"/>
      <c r="BG2827" s="38"/>
      <c r="BH2827" s="38"/>
      <c r="BI2827" s="38"/>
      <c r="BJ2827" s="38"/>
      <c r="BK2827" s="38"/>
      <c r="BL2827" s="38"/>
      <c r="BM2827" s="38"/>
      <c r="BN2827" s="38"/>
      <c r="BO2827" s="38"/>
      <c r="BP2827" s="38"/>
      <c r="BQ2827" s="38"/>
    </row>
    <row r="2828">
      <c r="A2828" s="16"/>
      <c r="B2828" s="16"/>
      <c r="C2828" s="146"/>
      <c r="D2828" s="146"/>
      <c r="E2828" s="16"/>
      <c r="F2828" s="91"/>
      <c r="G2828" s="16"/>
      <c r="H2828" s="320" t="str">
        <f t="shared" si="33"/>
        <v/>
      </c>
      <c r="I2828" s="16"/>
      <c r="J2828" s="16"/>
      <c r="K2828" s="16"/>
      <c r="L2828" s="16"/>
      <c r="M2828" s="15"/>
      <c r="N2828" s="15"/>
      <c r="O2828" s="16"/>
      <c r="P2828" s="16"/>
      <c r="Q2828" s="16"/>
      <c r="R2828" s="16"/>
      <c r="S2828" s="37" t="str">
        <f>IFERROR(__xludf.DUMMYFUNCTION("if(not(iserror(index(split(C2828, "" ""),2))), index(split(C2828, "" ""),1),"""")"),"")</f>
        <v/>
      </c>
      <c r="T2828" s="315" t="str">
        <f>IFERROR(__xludf.DUMMYFUNCTION("if(S2828="""",C2828,if(not(iserror(index(split(C2828, "" ""),3))), index(split(C2828, "" ""),3),index(split(C2828, "" ""),2)))"),"")</f>
        <v/>
      </c>
      <c r="U2828" s="38" t="b">
        <f t="shared" si="34"/>
        <v>0</v>
      </c>
      <c r="V2828" s="38"/>
      <c r="W2828" s="40"/>
      <c r="X2828" s="40"/>
      <c r="Y2828" s="38"/>
      <c r="Z2828" s="38"/>
      <c r="AA2828" s="38"/>
      <c r="AB2828" s="38"/>
      <c r="AC2828" s="38"/>
      <c r="AD2828" s="38"/>
      <c r="AE2828" s="38"/>
      <c r="AF2828" s="38"/>
      <c r="AG2828" s="38"/>
      <c r="AH2828" s="38"/>
      <c r="AI2828" s="38"/>
      <c r="AJ2828" s="38"/>
      <c r="AK2828" s="38"/>
      <c r="AL2828" s="38"/>
      <c r="AM2828" s="38"/>
      <c r="AN2828" s="38"/>
      <c r="AO2828" s="38"/>
      <c r="AP2828" s="38"/>
      <c r="AQ2828" s="38"/>
      <c r="AR2828" s="38"/>
      <c r="AS2828" s="38"/>
      <c r="AT2828" s="38"/>
      <c r="AU2828" s="38"/>
      <c r="AV2828" s="38"/>
      <c r="AW2828" s="38"/>
      <c r="AX2828" s="38"/>
      <c r="AY2828" s="38"/>
      <c r="AZ2828" s="38"/>
      <c r="BA2828" s="38"/>
      <c r="BB2828" s="38"/>
      <c r="BC2828" s="38"/>
      <c r="BD2828" s="38"/>
      <c r="BE2828" s="38"/>
      <c r="BF2828" s="38"/>
      <c r="BG2828" s="38"/>
      <c r="BH2828" s="38"/>
      <c r="BI2828" s="38"/>
      <c r="BJ2828" s="38"/>
      <c r="BK2828" s="38"/>
      <c r="BL2828" s="38"/>
      <c r="BM2828" s="38"/>
      <c r="BN2828" s="38"/>
      <c r="BO2828" s="38"/>
      <c r="BP2828" s="38"/>
      <c r="BQ2828" s="38"/>
    </row>
    <row r="2829">
      <c r="A2829" s="16"/>
      <c r="B2829" s="16"/>
      <c r="C2829" s="146"/>
      <c r="D2829" s="146"/>
      <c r="E2829" s="16"/>
      <c r="F2829" s="91"/>
      <c r="G2829" s="16"/>
      <c r="H2829" s="320" t="str">
        <f t="shared" si="33"/>
        <v/>
      </c>
      <c r="I2829" s="16"/>
      <c r="J2829" s="16"/>
      <c r="K2829" s="16"/>
      <c r="L2829" s="16"/>
      <c r="M2829" s="15"/>
      <c r="N2829" s="15"/>
      <c r="O2829" s="16"/>
      <c r="P2829" s="16"/>
      <c r="Q2829" s="16"/>
      <c r="R2829" s="16"/>
      <c r="S2829" s="37" t="str">
        <f>IFERROR(__xludf.DUMMYFUNCTION("if(not(iserror(index(split(C2829, "" ""),2))), index(split(C2829, "" ""),1),"""")"),"")</f>
        <v/>
      </c>
      <c r="T2829" s="315" t="str">
        <f>IFERROR(__xludf.DUMMYFUNCTION("if(S2829="""",C2829,if(not(iserror(index(split(C2829, "" ""),3))), index(split(C2829, "" ""),3),index(split(C2829, "" ""),2)))"),"")</f>
        <v/>
      </c>
      <c r="U2829" s="38" t="b">
        <f t="shared" si="34"/>
        <v>0</v>
      </c>
      <c r="V2829" s="38"/>
      <c r="W2829" s="40"/>
      <c r="X2829" s="40"/>
      <c r="Y2829" s="38"/>
      <c r="Z2829" s="38"/>
      <c r="AA2829" s="38"/>
      <c r="AB2829" s="38"/>
      <c r="AC2829" s="38"/>
      <c r="AD2829" s="38"/>
      <c r="AE2829" s="38"/>
      <c r="AF2829" s="38"/>
      <c r="AG2829" s="38"/>
      <c r="AH2829" s="38"/>
      <c r="AI2829" s="38"/>
      <c r="AJ2829" s="38"/>
      <c r="AK2829" s="38"/>
      <c r="AL2829" s="38"/>
      <c r="AM2829" s="38"/>
      <c r="AN2829" s="38"/>
      <c r="AO2829" s="38"/>
      <c r="AP2829" s="38"/>
      <c r="AQ2829" s="38"/>
      <c r="AR2829" s="38"/>
      <c r="AS2829" s="38"/>
      <c r="AT2829" s="38"/>
      <c r="AU2829" s="38"/>
      <c r="AV2829" s="38"/>
      <c r="AW2829" s="38"/>
      <c r="AX2829" s="38"/>
      <c r="AY2829" s="38"/>
      <c r="AZ2829" s="38"/>
      <c r="BA2829" s="38"/>
      <c r="BB2829" s="38"/>
      <c r="BC2829" s="38"/>
      <c r="BD2829" s="38"/>
      <c r="BE2829" s="38"/>
      <c r="BF2829" s="38"/>
      <c r="BG2829" s="38"/>
      <c r="BH2829" s="38"/>
      <c r="BI2829" s="38"/>
      <c r="BJ2829" s="38"/>
      <c r="BK2829" s="38"/>
      <c r="BL2829" s="38"/>
      <c r="BM2829" s="38"/>
      <c r="BN2829" s="38"/>
      <c r="BO2829" s="38"/>
      <c r="BP2829" s="38"/>
      <c r="BQ2829" s="38"/>
    </row>
    <row r="2830">
      <c r="A2830" s="16"/>
      <c r="B2830" s="16"/>
      <c r="C2830" s="146"/>
      <c r="D2830" s="146"/>
      <c r="E2830" s="16"/>
      <c r="F2830" s="91"/>
      <c r="G2830" s="16"/>
      <c r="H2830" s="320" t="str">
        <f t="shared" si="33"/>
        <v/>
      </c>
      <c r="I2830" s="16"/>
      <c r="J2830" s="16"/>
      <c r="K2830" s="16"/>
      <c r="L2830" s="16"/>
      <c r="M2830" s="15"/>
      <c r="N2830" s="15"/>
      <c r="O2830" s="16"/>
      <c r="P2830" s="16"/>
      <c r="Q2830" s="16"/>
      <c r="R2830" s="16"/>
      <c r="S2830" s="37" t="str">
        <f>IFERROR(__xludf.DUMMYFUNCTION("if(not(iserror(index(split(C2830, "" ""),2))), index(split(C2830, "" ""),1),"""")"),"")</f>
        <v/>
      </c>
      <c r="T2830" s="315" t="str">
        <f>IFERROR(__xludf.DUMMYFUNCTION("if(S2830="""",C2830,if(not(iserror(index(split(C2830, "" ""),3))), index(split(C2830, "" ""),3),index(split(C2830, "" ""),2)))"),"")</f>
        <v/>
      </c>
      <c r="U2830" s="38" t="b">
        <f t="shared" si="34"/>
        <v>0</v>
      </c>
      <c r="V2830" s="38"/>
      <c r="W2830" s="40"/>
      <c r="X2830" s="40"/>
      <c r="Y2830" s="38"/>
      <c r="Z2830" s="38"/>
      <c r="AA2830" s="38"/>
      <c r="AB2830" s="38"/>
      <c r="AC2830" s="38"/>
      <c r="AD2830" s="38"/>
      <c r="AE2830" s="38"/>
      <c r="AF2830" s="38"/>
      <c r="AG2830" s="38"/>
      <c r="AH2830" s="38"/>
      <c r="AI2830" s="38"/>
      <c r="AJ2830" s="38"/>
      <c r="AK2830" s="38"/>
      <c r="AL2830" s="38"/>
      <c r="AM2830" s="38"/>
      <c r="AN2830" s="38"/>
      <c r="AO2830" s="38"/>
      <c r="AP2830" s="38"/>
      <c r="AQ2830" s="38"/>
      <c r="AR2830" s="38"/>
      <c r="AS2830" s="38"/>
      <c r="AT2830" s="38"/>
      <c r="AU2830" s="38"/>
      <c r="AV2830" s="38"/>
      <c r="AW2830" s="38"/>
      <c r="AX2830" s="38"/>
      <c r="AY2830" s="38"/>
      <c r="AZ2830" s="38"/>
      <c r="BA2830" s="38"/>
      <c r="BB2830" s="38"/>
      <c r="BC2830" s="38"/>
      <c r="BD2830" s="38"/>
      <c r="BE2830" s="38"/>
      <c r="BF2830" s="38"/>
      <c r="BG2830" s="38"/>
      <c r="BH2830" s="38"/>
      <c r="BI2830" s="38"/>
      <c r="BJ2830" s="38"/>
      <c r="BK2830" s="38"/>
      <c r="BL2830" s="38"/>
      <c r="BM2830" s="38"/>
      <c r="BN2830" s="38"/>
      <c r="BO2830" s="38"/>
      <c r="BP2830" s="38"/>
      <c r="BQ2830" s="38"/>
    </row>
    <row r="2831">
      <c r="A2831" s="16"/>
      <c r="B2831" s="16"/>
      <c r="C2831" s="146"/>
      <c r="D2831" s="146"/>
      <c r="E2831" s="16"/>
      <c r="F2831" s="91"/>
      <c r="G2831" s="16"/>
      <c r="H2831" s="320" t="str">
        <f t="shared" si="33"/>
        <v/>
      </c>
      <c r="I2831" s="16"/>
      <c r="J2831" s="16"/>
      <c r="K2831" s="16"/>
      <c r="L2831" s="16"/>
      <c r="M2831" s="15"/>
      <c r="N2831" s="15"/>
      <c r="O2831" s="16"/>
      <c r="P2831" s="16"/>
      <c r="Q2831" s="16"/>
      <c r="R2831" s="16"/>
      <c r="S2831" s="37" t="str">
        <f>IFERROR(__xludf.DUMMYFUNCTION("if(not(iserror(index(split(C2831, "" ""),2))), index(split(C2831, "" ""),1),"""")"),"")</f>
        <v/>
      </c>
      <c r="T2831" s="315" t="str">
        <f>IFERROR(__xludf.DUMMYFUNCTION("if(S2831="""",C2831,if(not(iserror(index(split(C2831, "" ""),3))), index(split(C2831, "" ""),3),index(split(C2831, "" ""),2)))"),"")</f>
        <v/>
      </c>
      <c r="U2831" s="38" t="b">
        <f t="shared" si="34"/>
        <v>0</v>
      </c>
      <c r="V2831" s="38"/>
      <c r="W2831" s="40"/>
      <c r="X2831" s="40"/>
      <c r="Y2831" s="38"/>
      <c r="Z2831" s="38"/>
      <c r="AA2831" s="38"/>
      <c r="AB2831" s="38"/>
      <c r="AC2831" s="38"/>
      <c r="AD2831" s="38"/>
      <c r="AE2831" s="38"/>
      <c r="AF2831" s="38"/>
      <c r="AG2831" s="38"/>
      <c r="AH2831" s="38"/>
      <c r="AI2831" s="38"/>
      <c r="AJ2831" s="38"/>
      <c r="AK2831" s="38"/>
      <c r="AL2831" s="38"/>
      <c r="AM2831" s="38"/>
      <c r="AN2831" s="38"/>
      <c r="AO2831" s="38"/>
      <c r="AP2831" s="38"/>
      <c r="AQ2831" s="38"/>
      <c r="AR2831" s="38"/>
      <c r="AS2831" s="38"/>
      <c r="AT2831" s="38"/>
      <c r="AU2831" s="38"/>
      <c r="AV2831" s="38"/>
      <c r="AW2831" s="38"/>
      <c r="AX2831" s="38"/>
      <c r="AY2831" s="38"/>
      <c r="AZ2831" s="38"/>
      <c r="BA2831" s="38"/>
      <c r="BB2831" s="38"/>
      <c r="BC2831" s="38"/>
      <c r="BD2831" s="38"/>
      <c r="BE2831" s="38"/>
      <c r="BF2831" s="38"/>
      <c r="BG2831" s="38"/>
      <c r="BH2831" s="38"/>
      <c r="BI2831" s="38"/>
      <c r="BJ2831" s="38"/>
      <c r="BK2831" s="38"/>
      <c r="BL2831" s="38"/>
      <c r="BM2831" s="38"/>
      <c r="BN2831" s="38"/>
      <c r="BO2831" s="38"/>
      <c r="BP2831" s="38"/>
      <c r="BQ2831" s="38"/>
    </row>
    <row r="2832">
      <c r="A2832" s="16"/>
      <c r="B2832" s="16"/>
      <c r="C2832" s="146"/>
      <c r="D2832" s="146"/>
      <c r="E2832" s="16"/>
      <c r="F2832" s="91"/>
      <c r="G2832" s="16"/>
      <c r="H2832" s="320" t="str">
        <f t="shared" si="33"/>
        <v/>
      </c>
      <c r="I2832" s="16"/>
      <c r="J2832" s="16"/>
      <c r="K2832" s="16"/>
      <c r="L2832" s="16"/>
      <c r="M2832" s="15"/>
      <c r="N2832" s="15"/>
      <c r="O2832" s="16"/>
      <c r="P2832" s="16"/>
      <c r="Q2832" s="16"/>
      <c r="R2832" s="16"/>
      <c r="S2832" s="37" t="str">
        <f>IFERROR(__xludf.DUMMYFUNCTION("if(not(iserror(index(split(C2832, "" ""),2))), index(split(C2832, "" ""),1),"""")"),"")</f>
        <v/>
      </c>
      <c r="T2832" s="315" t="str">
        <f>IFERROR(__xludf.DUMMYFUNCTION("if(S2832="""",C2832,if(not(iserror(index(split(C2832, "" ""),3))), index(split(C2832, "" ""),3),index(split(C2832, "" ""),2)))"),"")</f>
        <v/>
      </c>
      <c r="U2832" s="38" t="b">
        <f t="shared" si="34"/>
        <v>0</v>
      </c>
      <c r="V2832" s="38"/>
      <c r="W2832" s="40"/>
      <c r="X2832" s="40"/>
      <c r="Y2832" s="38"/>
      <c r="Z2832" s="38"/>
      <c r="AA2832" s="38"/>
      <c r="AB2832" s="38"/>
      <c r="AC2832" s="38"/>
      <c r="AD2832" s="38"/>
      <c r="AE2832" s="38"/>
      <c r="AF2832" s="38"/>
      <c r="AG2832" s="38"/>
      <c r="AH2832" s="38"/>
      <c r="AI2832" s="38"/>
      <c r="AJ2832" s="38"/>
      <c r="AK2832" s="38"/>
      <c r="AL2832" s="38"/>
      <c r="AM2832" s="38"/>
      <c r="AN2832" s="38"/>
      <c r="AO2832" s="38"/>
      <c r="AP2832" s="38"/>
      <c r="AQ2832" s="38"/>
      <c r="AR2832" s="38"/>
      <c r="AS2832" s="38"/>
      <c r="AT2832" s="38"/>
      <c r="AU2832" s="38"/>
      <c r="AV2832" s="38"/>
      <c r="AW2832" s="38"/>
      <c r="AX2832" s="38"/>
      <c r="AY2832" s="38"/>
      <c r="AZ2832" s="38"/>
      <c r="BA2832" s="38"/>
      <c r="BB2832" s="38"/>
      <c r="BC2832" s="38"/>
      <c r="BD2832" s="38"/>
      <c r="BE2832" s="38"/>
      <c r="BF2832" s="38"/>
      <c r="BG2832" s="38"/>
      <c r="BH2832" s="38"/>
      <c r="BI2832" s="38"/>
      <c r="BJ2832" s="38"/>
      <c r="BK2832" s="38"/>
      <c r="BL2832" s="38"/>
      <c r="BM2832" s="38"/>
      <c r="BN2832" s="38"/>
      <c r="BO2832" s="38"/>
      <c r="BP2832" s="38"/>
      <c r="BQ2832" s="38"/>
    </row>
    <row r="2833">
      <c r="A2833" s="16"/>
      <c r="B2833" s="16"/>
      <c r="C2833" s="146"/>
      <c r="D2833" s="146"/>
      <c r="E2833" s="16"/>
      <c r="F2833" s="91"/>
      <c r="G2833" s="16"/>
      <c r="H2833" s="320" t="str">
        <f t="shared" si="33"/>
        <v/>
      </c>
      <c r="I2833" s="16"/>
      <c r="J2833" s="16"/>
      <c r="K2833" s="16"/>
      <c r="L2833" s="16"/>
      <c r="M2833" s="15"/>
      <c r="N2833" s="15"/>
      <c r="O2833" s="16"/>
      <c r="P2833" s="16"/>
      <c r="Q2833" s="16"/>
      <c r="R2833" s="16"/>
      <c r="S2833" s="37" t="str">
        <f>IFERROR(__xludf.DUMMYFUNCTION("if(not(iserror(index(split(C2833, "" ""),2))), index(split(C2833, "" ""),1),"""")"),"")</f>
        <v/>
      </c>
      <c r="T2833" s="315" t="str">
        <f>IFERROR(__xludf.DUMMYFUNCTION("if(S2833="""",C2833,if(not(iserror(index(split(C2833, "" ""),3))), index(split(C2833, "" ""),3),index(split(C2833, "" ""),2)))"),"")</f>
        <v/>
      </c>
      <c r="U2833" s="38" t="b">
        <f t="shared" si="34"/>
        <v>0</v>
      </c>
      <c r="V2833" s="38"/>
      <c r="W2833" s="40"/>
      <c r="X2833" s="40"/>
      <c r="Y2833" s="38"/>
      <c r="Z2833" s="38"/>
      <c r="AA2833" s="38"/>
      <c r="AB2833" s="38"/>
      <c r="AC2833" s="38"/>
      <c r="AD2833" s="38"/>
      <c r="AE2833" s="38"/>
      <c r="AF2833" s="38"/>
      <c r="AG2833" s="38"/>
      <c r="AH2833" s="38"/>
      <c r="AI2833" s="38"/>
      <c r="AJ2833" s="38"/>
      <c r="AK2833" s="38"/>
      <c r="AL2833" s="38"/>
      <c r="AM2833" s="38"/>
      <c r="AN2833" s="38"/>
      <c r="AO2833" s="38"/>
      <c r="AP2833" s="38"/>
      <c r="AQ2833" s="38"/>
      <c r="AR2833" s="38"/>
      <c r="AS2833" s="38"/>
      <c r="AT2833" s="38"/>
      <c r="AU2833" s="38"/>
      <c r="AV2833" s="38"/>
      <c r="AW2833" s="38"/>
      <c r="AX2833" s="38"/>
      <c r="AY2833" s="38"/>
      <c r="AZ2833" s="38"/>
      <c r="BA2833" s="38"/>
      <c r="BB2833" s="38"/>
      <c r="BC2833" s="38"/>
      <c r="BD2833" s="38"/>
      <c r="BE2833" s="38"/>
      <c r="BF2833" s="38"/>
      <c r="BG2833" s="38"/>
      <c r="BH2833" s="38"/>
      <c r="BI2833" s="38"/>
      <c r="BJ2833" s="38"/>
      <c r="BK2833" s="38"/>
      <c r="BL2833" s="38"/>
      <c r="BM2833" s="38"/>
      <c r="BN2833" s="38"/>
      <c r="BO2833" s="38"/>
      <c r="BP2833" s="38"/>
      <c r="BQ2833" s="38"/>
    </row>
    <row r="2834">
      <c r="A2834" s="16"/>
      <c r="B2834" s="16"/>
      <c r="C2834" s="146"/>
      <c r="D2834" s="146"/>
      <c r="E2834" s="16"/>
      <c r="F2834" s="91"/>
      <c r="G2834" s="16"/>
      <c r="H2834" s="320" t="str">
        <f t="shared" si="33"/>
        <v/>
      </c>
      <c r="I2834" s="16"/>
      <c r="J2834" s="16"/>
      <c r="K2834" s="16"/>
      <c r="L2834" s="16"/>
      <c r="M2834" s="15"/>
      <c r="N2834" s="15"/>
      <c r="O2834" s="16"/>
      <c r="P2834" s="16"/>
      <c r="Q2834" s="16"/>
      <c r="R2834" s="16"/>
      <c r="S2834" s="37" t="str">
        <f>IFERROR(__xludf.DUMMYFUNCTION("if(not(iserror(index(split(C2834, "" ""),2))), index(split(C2834, "" ""),1),"""")"),"")</f>
        <v/>
      </c>
      <c r="T2834" s="315" t="str">
        <f>IFERROR(__xludf.DUMMYFUNCTION("if(S2834="""",C2834,if(not(iserror(index(split(C2834, "" ""),3))), index(split(C2834, "" ""),3),index(split(C2834, "" ""),2)))"),"")</f>
        <v/>
      </c>
      <c r="U2834" s="38" t="b">
        <f t="shared" si="34"/>
        <v>0</v>
      </c>
      <c r="V2834" s="38"/>
      <c r="W2834" s="40"/>
      <c r="X2834" s="40"/>
      <c r="Y2834" s="38"/>
      <c r="Z2834" s="38"/>
      <c r="AA2834" s="38"/>
      <c r="AB2834" s="38"/>
      <c r="AC2834" s="38"/>
      <c r="AD2834" s="38"/>
      <c r="AE2834" s="38"/>
      <c r="AF2834" s="38"/>
      <c r="AG2834" s="38"/>
      <c r="AH2834" s="38"/>
      <c r="AI2834" s="38"/>
      <c r="AJ2834" s="38"/>
      <c r="AK2834" s="38"/>
      <c r="AL2834" s="38"/>
      <c r="AM2834" s="38"/>
      <c r="AN2834" s="38"/>
      <c r="AO2834" s="38"/>
      <c r="AP2834" s="38"/>
      <c r="AQ2834" s="38"/>
      <c r="AR2834" s="38"/>
      <c r="AS2834" s="38"/>
      <c r="AT2834" s="38"/>
      <c r="AU2834" s="38"/>
      <c r="AV2834" s="38"/>
      <c r="AW2834" s="38"/>
      <c r="AX2834" s="38"/>
      <c r="AY2834" s="38"/>
      <c r="AZ2834" s="38"/>
      <c r="BA2834" s="38"/>
      <c r="BB2834" s="38"/>
      <c r="BC2834" s="38"/>
      <c r="BD2834" s="38"/>
      <c r="BE2834" s="38"/>
      <c r="BF2834" s="38"/>
      <c r="BG2834" s="38"/>
      <c r="BH2834" s="38"/>
      <c r="BI2834" s="38"/>
      <c r="BJ2834" s="38"/>
      <c r="BK2834" s="38"/>
      <c r="BL2834" s="38"/>
      <c r="BM2834" s="38"/>
      <c r="BN2834" s="38"/>
      <c r="BO2834" s="38"/>
      <c r="BP2834" s="38"/>
      <c r="BQ2834" s="38"/>
    </row>
    <row r="2835">
      <c r="A2835" s="16"/>
      <c r="B2835" s="16"/>
      <c r="C2835" s="146"/>
      <c r="D2835" s="146"/>
      <c r="E2835" s="16"/>
      <c r="F2835" s="91"/>
      <c r="G2835" s="16"/>
      <c r="H2835" s="320" t="str">
        <f t="shared" si="33"/>
        <v/>
      </c>
      <c r="I2835" s="16"/>
      <c r="J2835" s="16"/>
      <c r="K2835" s="16"/>
      <c r="L2835" s="16"/>
      <c r="M2835" s="15"/>
      <c r="N2835" s="15"/>
      <c r="O2835" s="16"/>
      <c r="P2835" s="16"/>
      <c r="Q2835" s="16"/>
      <c r="R2835" s="16"/>
      <c r="S2835" s="37" t="str">
        <f>IFERROR(__xludf.DUMMYFUNCTION("if(not(iserror(index(split(C2835, "" ""),2))), index(split(C2835, "" ""),1),"""")"),"")</f>
        <v/>
      </c>
      <c r="T2835" s="315" t="str">
        <f>IFERROR(__xludf.DUMMYFUNCTION("if(S2835="""",C2835,if(not(iserror(index(split(C2835, "" ""),3))), index(split(C2835, "" ""),3),index(split(C2835, "" ""),2)))"),"")</f>
        <v/>
      </c>
      <c r="U2835" s="38" t="b">
        <f t="shared" si="34"/>
        <v>0</v>
      </c>
      <c r="V2835" s="38"/>
      <c r="W2835" s="40"/>
      <c r="X2835" s="40"/>
      <c r="Y2835" s="38"/>
      <c r="Z2835" s="38"/>
      <c r="AA2835" s="38"/>
      <c r="AB2835" s="38"/>
      <c r="AC2835" s="38"/>
      <c r="AD2835" s="38"/>
      <c r="AE2835" s="38"/>
      <c r="AF2835" s="38"/>
      <c r="AG2835" s="38"/>
      <c r="AH2835" s="38"/>
      <c r="AI2835" s="38"/>
      <c r="AJ2835" s="38"/>
      <c r="AK2835" s="38"/>
      <c r="AL2835" s="38"/>
      <c r="AM2835" s="38"/>
      <c r="AN2835" s="38"/>
      <c r="AO2835" s="38"/>
      <c r="AP2835" s="38"/>
      <c r="AQ2835" s="38"/>
      <c r="AR2835" s="38"/>
      <c r="AS2835" s="38"/>
      <c r="AT2835" s="38"/>
      <c r="AU2835" s="38"/>
      <c r="AV2835" s="38"/>
      <c r="AW2835" s="38"/>
      <c r="AX2835" s="38"/>
      <c r="AY2835" s="38"/>
      <c r="AZ2835" s="38"/>
      <c r="BA2835" s="38"/>
      <c r="BB2835" s="38"/>
      <c r="BC2835" s="38"/>
      <c r="BD2835" s="38"/>
      <c r="BE2835" s="38"/>
      <c r="BF2835" s="38"/>
      <c r="BG2835" s="38"/>
      <c r="BH2835" s="38"/>
      <c r="BI2835" s="38"/>
      <c r="BJ2835" s="38"/>
      <c r="BK2835" s="38"/>
      <c r="BL2835" s="38"/>
      <c r="BM2835" s="38"/>
      <c r="BN2835" s="38"/>
      <c r="BO2835" s="38"/>
      <c r="BP2835" s="38"/>
      <c r="BQ2835" s="38"/>
    </row>
    <row r="2836">
      <c r="A2836" s="16"/>
      <c r="B2836" s="16"/>
      <c r="C2836" s="146"/>
      <c r="D2836" s="146"/>
      <c r="E2836" s="16"/>
      <c r="F2836" s="91"/>
      <c r="G2836" s="16"/>
      <c r="H2836" s="320" t="str">
        <f t="shared" si="33"/>
        <v/>
      </c>
      <c r="I2836" s="16"/>
      <c r="J2836" s="16"/>
      <c r="K2836" s="16"/>
      <c r="L2836" s="16"/>
      <c r="M2836" s="15"/>
      <c r="N2836" s="15"/>
      <c r="O2836" s="16"/>
      <c r="P2836" s="16"/>
      <c r="Q2836" s="16"/>
      <c r="R2836" s="16"/>
      <c r="S2836" s="37" t="str">
        <f>IFERROR(__xludf.DUMMYFUNCTION("if(not(iserror(index(split(C2836, "" ""),2))), index(split(C2836, "" ""),1),"""")"),"")</f>
        <v/>
      </c>
      <c r="T2836" s="315" t="str">
        <f>IFERROR(__xludf.DUMMYFUNCTION("if(S2836="""",C2836,if(not(iserror(index(split(C2836, "" ""),3))), index(split(C2836, "" ""),3),index(split(C2836, "" ""),2)))"),"")</f>
        <v/>
      </c>
      <c r="U2836" s="38" t="b">
        <f t="shared" si="34"/>
        <v>0</v>
      </c>
      <c r="V2836" s="38"/>
      <c r="W2836" s="40"/>
      <c r="X2836" s="40"/>
      <c r="Y2836" s="38"/>
      <c r="Z2836" s="38"/>
      <c r="AA2836" s="38"/>
      <c r="AB2836" s="38"/>
      <c r="AC2836" s="38"/>
      <c r="AD2836" s="38"/>
      <c r="AE2836" s="38"/>
      <c r="AF2836" s="38"/>
      <c r="AG2836" s="38"/>
      <c r="AH2836" s="38"/>
      <c r="AI2836" s="38"/>
      <c r="AJ2836" s="38"/>
      <c r="AK2836" s="38"/>
      <c r="AL2836" s="38"/>
      <c r="AM2836" s="38"/>
      <c r="AN2836" s="38"/>
      <c r="AO2836" s="38"/>
      <c r="AP2836" s="38"/>
      <c r="AQ2836" s="38"/>
      <c r="AR2836" s="38"/>
      <c r="AS2836" s="38"/>
      <c r="AT2836" s="38"/>
      <c r="AU2836" s="38"/>
      <c r="AV2836" s="38"/>
      <c r="AW2836" s="38"/>
      <c r="AX2836" s="38"/>
      <c r="AY2836" s="38"/>
      <c r="AZ2836" s="38"/>
      <c r="BA2836" s="38"/>
      <c r="BB2836" s="38"/>
      <c r="BC2836" s="38"/>
      <c r="BD2836" s="38"/>
      <c r="BE2836" s="38"/>
      <c r="BF2836" s="38"/>
      <c r="BG2836" s="38"/>
      <c r="BH2836" s="38"/>
      <c r="BI2836" s="38"/>
      <c r="BJ2836" s="38"/>
      <c r="BK2836" s="38"/>
      <c r="BL2836" s="38"/>
      <c r="BM2836" s="38"/>
      <c r="BN2836" s="38"/>
      <c r="BO2836" s="38"/>
      <c r="BP2836" s="38"/>
      <c r="BQ2836" s="38"/>
    </row>
    <row r="2837">
      <c r="A2837" s="16"/>
      <c r="B2837" s="16"/>
      <c r="C2837" s="146"/>
      <c r="D2837" s="146"/>
      <c r="E2837" s="16"/>
      <c r="F2837" s="91"/>
      <c r="G2837" s="16"/>
      <c r="H2837" s="320" t="str">
        <f t="shared" si="33"/>
        <v/>
      </c>
      <c r="I2837" s="16"/>
      <c r="J2837" s="16"/>
      <c r="K2837" s="16"/>
      <c r="L2837" s="16"/>
      <c r="M2837" s="15"/>
      <c r="N2837" s="15"/>
      <c r="O2837" s="16"/>
      <c r="P2837" s="16"/>
      <c r="Q2837" s="16"/>
      <c r="R2837" s="16"/>
      <c r="S2837" s="37" t="str">
        <f>IFERROR(__xludf.DUMMYFUNCTION("if(not(iserror(index(split(C2837, "" ""),2))), index(split(C2837, "" ""),1),"""")"),"")</f>
        <v/>
      </c>
      <c r="T2837" s="315" t="str">
        <f>IFERROR(__xludf.DUMMYFUNCTION("if(S2837="""",C2837,if(not(iserror(index(split(C2837, "" ""),3))), index(split(C2837, "" ""),3),index(split(C2837, "" ""),2)))"),"")</f>
        <v/>
      </c>
      <c r="U2837" s="38" t="b">
        <f t="shared" si="34"/>
        <v>0</v>
      </c>
      <c r="V2837" s="38"/>
      <c r="W2837" s="40"/>
      <c r="X2837" s="40"/>
      <c r="Y2837" s="38"/>
      <c r="Z2837" s="38"/>
      <c r="AA2837" s="38"/>
      <c r="AB2837" s="38"/>
      <c r="AC2837" s="38"/>
      <c r="AD2837" s="38"/>
      <c r="AE2837" s="38"/>
      <c r="AF2837" s="38"/>
      <c r="AG2837" s="38"/>
      <c r="AH2837" s="38"/>
      <c r="AI2837" s="38"/>
      <c r="AJ2837" s="38"/>
      <c r="AK2837" s="38"/>
      <c r="AL2837" s="38"/>
      <c r="AM2837" s="38"/>
      <c r="AN2837" s="38"/>
      <c r="AO2837" s="38"/>
      <c r="AP2837" s="38"/>
      <c r="AQ2837" s="38"/>
      <c r="AR2837" s="38"/>
      <c r="AS2837" s="38"/>
      <c r="AT2837" s="38"/>
      <c r="AU2837" s="38"/>
      <c r="AV2837" s="38"/>
      <c r="AW2837" s="38"/>
      <c r="AX2837" s="38"/>
      <c r="AY2837" s="38"/>
      <c r="AZ2837" s="38"/>
      <c r="BA2837" s="38"/>
      <c r="BB2837" s="38"/>
      <c r="BC2837" s="38"/>
      <c r="BD2837" s="38"/>
      <c r="BE2837" s="38"/>
      <c r="BF2837" s="38"/>
      <c r="BG2837" s="38"/>
      <c r="BH2837" s="38"/>
      <c r="BI2837" s="38"/>
      <c r="BJ2837" s="38"/>
      <c r="BK2837" s="38"/>
      <c r="BL2837" s="38"/>
      <c r="BM2837" s="38"/>
      <c r="BN2837" s="38"/>
      <c r="BO2837" s="38"/>
      <c r="BP2837" s="38"/>
      <c r="BQ2837" s="38"/>
    </row>
    <row r="2838">
      <c r="A2838" s="16"/>
      <c r="B2838" s="16"/>
      <c r="C2838" s="146"/>
      <c r="D2838" s="146"/>
      <c r="E2838" s="16"/>
      <c r="F2838" s="91"/>
      <c r="G2838" s="16"/>
      <c r="H2838" s="320" t="str">
        <f t="shared" si="33"/>
        <v/>
      </c>
      <c r="I2838" s="16"/>
      <c r="J2838" s="16"/>
      <c r="K2838" s="16"/>
      <c r="L2838" s="16"/>
      <c r="M2838" s="15"/>
      <c r="N2838" s="15"/>
      <c r="O2838" s="16"/>
      <c r="P2838" s="16"/>
      <c r="Q2838" s="16"/>
      <c r="R2838" s="16"/>
      <c r="S2838" s="37" t="str">
        <f>IFERROR(__xludf.DUMMYFUNCTION("if(not(iserror(index(split(C2838, "" ""),2))), index(split(C2838, "" ""),1),"""")"),"")</f>
        <v/>
      </c>
      <c r="T2838" s="315" t="str">
        <f>IFERROR(__xludf.DUMMYFUNCTION("if(S2838="""",C2838,if(not(iserror(index(split(C2838, "" ""),3))), index(split(C2838, "" ""),3),index(split(C2838, "" ""),2)))"),"")</f>
        <v/>
      </c>
      <c r="U2838" s="38" t="b">
        <f t="shared" si="34"/>
        <v>0</v>
      </c>
      <c r="V2838" s="38"/>
      <c r="W2838" s="40"/>
      <c r="X2838" s="40"/>
      <c r="Y2838" s="38"/>
      <c r="Z2838" s="38"/>
      <c r="AA2838" s="38"/>
      <c r="AB2838" s="38"/>
      <c r="AC2838" s="38"/>
      <c r="AD2838" s="38"/>
      <c r="AE2838" s="38"/>
      <c r="AF2838" s="38"/>
      <c r="AG2838" s="38"/>
      <c r="AH2838" s="38"/>
      <c r="AI2838" s="38"/>
      <c r="AJ2838" s="38"/>
      <c r="AK2838" s="38"/>
      <c r="AL2838" s="38"/>
      <c r="AM2838" s="38"/>
      <c r="AN2838" s="38"/>
      <c r="AO2838" s="38"/>
      <c r="AP2838" s="38"/>
      <c r="AQ2838" s="38"/>
      <c r="AR2838" s="38"/>
      <c r="AS2838" s="38"/>
      <c r="AT2838" s="38"/>
      <c r="AU2838" s="38"/>
      <c r="AV2838" s="38"/>
      <c r="AW2838" s="38"/>
      <c r="AX2838" s="38"/>
      <c r="AY2838" s="38"/>
      <c r="AZ2838" s="38"/>
      <c r="BA2838" s="38"/>
      <c r="BB2838" s="38"/>
      <c r="BC2838" s="38"/>
      <c r="BD2838" s="38"/>
      <c r="BE2838" s="38"/>
      <c r="BF2838" s="38"/>
      <c r="BG2838" s="38"/>
      <c r="BH2838" s="38"/>
      <c r="BI2838" s="38"/>
      <c r="BJ2838" s="38"/>
      <c r="BK2838" s="38"/>
      <c r="BL2838" s="38"/>
      <c r="BM2838" s="38"/>
      <c r="BN2838" s="38"/>
      <c r="BO2838" s="38"/>
      <c r="BP2838" s="38"/>
      <c r="BQ2838" s="38"/>
    </row>
    <row r="2839">
      <c r="A2839" s="16"/>
      <c r="B2839" s="16"/>
      <c r="C2839" s="146"/>
      <c r="D2839" s="146"/>
      <c r="E2839" s="16"/>
      <c r="F2839" s="91"/>
      <c r="G2839" s="16"/>
      <c r="H2839" s="320" t="str">
        <f t="shared" si="33"/>
        <v/>
      </c>
      <c r="I2839" s="16"/>
      <c r="J2839" s="16"/>
      <c r="K2839" s="16"/>
      <c r="L2839" s="16"/>
      <c r="M2839" s="15"/>
      <c r="N2839" s="15"/>
      <c r="O2839" s="16"/>
      <c r="P2839" s="16"/>
      <c r="Q2839" s="16"/>
      <c r="R2839" s="16"/>
      <c r="S2839" s="37" t="str">
        <f>IFERROR(__xludf.DUMMYFUNCTION("if(not(iserror(index(split(C2839, "" ""),2))), index(split(C2839, "" ""),1),"""")"),"")</f>
        <v/>
      </c>
      <c r="T2839" s="315" t="str">
        <f>IFERROR(__xludf.DUMMYFUNCTION("if(S2839="""",C2839,if(not(iserror(index(split(C2839, "" ""),3))), index(split(C2839, "" ""),3),index(split(C2839, "" ""),2)))"),"")</f>
        <v/>
      </c>
      <c r="U2839" s="38" t="b">
        <f t="shared" si="34"/>
        <v>0</v>
      </c>
      <c r="V2839" s="38"/>
      <c r="W2839" s="40"/>
      <c r="X2839" s="40"/>
      <c r="Y2839" s="38"/>
      <c r="Z2839" s="38"/>
      <c r="AA2839" s="38"/>
      <c r="AB2839" s="38"/>
      <c r="AC2839" s="38"/>
      <c r="AD2839" s="38"/>
      <c r="AE2839" s="38"/>
      <c r="AF2839" s="38"/>
      <c r="AG2839" s="38"/>
      <c r="AH2839" s="38"/>
      <c r="AI2839" s="38"/>
      <c r="AJ2839" s="38"/>
      <c r="AK2839" s="38"/>
      <c r="AL2839" s="38"/>
      <c r="AM2839" s="38"/>
      <c r="AN2839" s="38"/>
      <c r="AO2839" s="38"/>
      <c r="AP2839" s="38"/>
      <c r="AQ2839" s="38"/>
      <c r="AR2839" s="38"/>
      <c r="AS2839" s="38"/>
      <c r="AT2839" s="38"/>
      <c r="AU2839" s="38"/>
      <c r="AV2839" s="38"/>
      <c r="AW2839" s="38"/>
      <c r="AX2839" s="38"/>
      <c r="AY2839" s="38"/>
      <c r="AZ2839" s="38"/>
      <c r="BA2839" s="38"/>
      <c r="BB2839" s="38"/>
      <c r="BC2839" s="38"/>
      <c r="BD2839" s="38"/>
      <c r="BE2839" s="38"/>
      <c r="BF2839" s="38"/>
      <c r="BG2839" s="38"/>
      <c r="BH2839" s="38"/>
      <c r="BI2839" s="38"/>
      <c r="BJ2839" s="38"/>
      <c r="BK2839" s="38"/>
      <c r="BL2839" s="38"/>
      <c r="BM2839" s="38"/>
      <c r="BN2839" s="38"/>
      <c r="BO2839" s="38"/>
      <c r="BP2839" s="38"/>
      <c r="BQ2839" s="38"/>
    </row>
    <row r="2840">
      <c r="A2840" s="16"/>
      <c r="B2840" s="16"/>
      <c r="C2840" s="146"/>
      <c r="D2840" s="146"/>
      <c r="E2840" s="16"/>
      <c r="F2840" s="91"/>
      <c r="G2840" s="16"/>
      <c r="H2840" s="320" t="str">
        <f t="shared" si="33"/>
        <v/>
      </c>
      <c r="I2840" s="16"/>
      <c r="J2840" s="16"/>
      <c r="K2840" s="16"/>
      <c r="L2840" s="16"/>
      <c r="M2840" s="15"/>
      <c r="N2840" s="15"/>
      <c r="O2840" s="16"/>
      <c r="P2840" s="16"/>
      <c r="Q2840" s="16"/>
      <c r="R2840" s="16"/>
      <c r="S2840" s="37" t="str">
        <f>IFERROR(__xludf.DUMMYFUNCTION("if(not(iserror(index(split(C2840, "" ""),2))), index(split(C2840, "" ""),1),"""")"),"")</f>
        <v/>
      </c>
      <c r="T2840" s="315" t="str">
        <f>IFERROR(__xludf.DUMMYFUNCTION("if(S2840="""",C2840,if(not(iserror(index(split(C2840, "" ""),3))), index(split(C2840, "" ""),3),index(split(C2840, "" ""),2)))"),"")</f>
        <v/>
      </c>
      <c r="U2840" s="38" t="b">
        <f t="shared" si="34"/>
        <v>0</v>
      </c>
      <c r="V2840" s="38"/>
      <c r="W2840" s="40"/>
      <c r="X2840" s="40"/>
      <c r="Y2840" s="38"/>
      <c r="Z2840" s="38"/>
      <c r="AA2840" s="38"/>
      <c r="AB2840" s="38"/>
      <c r="AC2840" s="38"/>
      <c r="AD2840" s="38"/>
      <c r="AE2840" s="38"/>
      <c r="AF2840" s="38"/>
      <c r="AG2840" s="38"/>
      <c r="AH2840" s="38"/>
      <c r="AI2840" s="38"/>
      <c r="AJ2840" s="38"/>
      <c r="AK2840" s="38"/>
      <c r="AL2840" s="38"/>
      <c r="AM2840" s="38"/>
      <c r="AN2840" s="38"/>
      <c r="AO2840" s="38"/>
      <c r="AP2840" s="38"/>
      <c r="AQ2840" s="38"/>
      <c r="AR2840" s="38"/>
      <c r="AS2840" s="38"/>
      <c r="AT2840" s="38"/>
      <c r="AU2840" s="38"/>
      <c r="AV2840" s="38"/>
      <c r="AW2840" s="38"/>
      <c r="AX2840" s="38"/>
      <c r="AY2840" s="38"/>
      <c r="AZ2840" s="38"/>
      <c r="BA2840" s="38"/>
      <c r="BB2840" s="38"/>
      <c r="BC2840" s="38"/>
      <c r="BD2840" s="38"/>
      <c r="BE2840" s="38"/>
      <c r="BF2840" s="38"/>
      <c r="BG2840" s="38"/>
      <c r="BH2840" s="38"/>
      <c r="BI2840" s="38"/>
      <c r="BJ2840" s="38"/>
      <c r="BK2840" s="38"/>
      <c r="BL2840" s="38"/>
      <c r="BM2840" s="38"/>
      <c r="BN2840" s="38"/>
      <c r="BO2840" s="38"/>
      <c r="BP2840" s="38"/>
      <c r="BQ2840" s="38"/>
    </row>
    <row r="2841">
      <c r="A2841" s="16"/>
      <c r="B2841" s="16"/>
      <c r="C2841" s="146"/>
      <c r="D2841" s="146"/>
      <c r="E2841" s="16"/>
      <c r="F2841" s="91"/>
      <c r="G2841" s="16"/>
      <c r="H2841" s="320" t="str">
        <f t="shared" si="33"/>
        <v/>
      </c>
      <c r="I2841" s="16"/>
      <c r="J2841" s="16"/>
      <c r="K2841" s="16"/>
      <c r="L2841" s="16"/>
      <c r="M2841" s="15"/>
      <c r="N2841" s="15"/>
      <c r="O2841" s="16"/>
      <c r="P2841" s="16"/>
      <c r="Q2841" s="16"/>
      <c r="R2841" s="16"/>
      <c r="S2841" s="37" t="str">
        <f>IFERROR(__xludf.DUMMYFUNCTION("if(not(iserror(index(split(C2841, "" ""),2))), index(split(C2841, "" ""),1),"""")"),"")</f>
        <v/>
      </c>
      <c r="T2841" s="315" t="str">
        <f>IFERROR(__xludf.DUMMYFUNCTION("if(S2841="""",C2841,if(not(iserror(index(split(C2841, "" ""),3))), index(split(C2841, "" ""),3),index(split(C2841, "" ""),2)))"),"")</f>
        <v/>
      </c>
      <c r="U2841" s="38" t="b">
        <f t="shared" si="34"/>
        <v>0</v>
      </c>
      <c r="V2841" s="38"/>
      <c r="W2841" s="40"/>
      <c r="X2841" s="40"/>
      <c r="Y2841" s="38"/>
      <c r="Z2841" s="38"/>
      <c r="AA2841" s="38"/>
      <c r="AB2841" s="38"/>
      <c r="AC2841" s="38"/>
      <c r="AD2841" s="38"/>
      <c r="AE2841" s="38"/>
      <c r="AF2841" s="38"/>
      <c r="AG2841" s="38"/>
      <c r="AH2841" s="38"/>
      <c r="AI2841" s="38"/>
      <c r="AJ2841" s="38"/>
      <c r="AK2841" s="38"/>
      <c r="AL2841" s="38"/>
      <c r="AM2841" s="38"/>
      <c r="AN2841" s="38"/>
      <c r="AO2841" s="38"/>
      <c r="AP2841" s="38"/>
      <c r="AQ2841" s="38"/>
      <c r="AR2841" s="38"/>
      <c r="AS2841" s="38"/>
      <c r="AT2841" s="38"/>
      <c r="AU2841" s="38"/>
      <c r="AV2841" s="38"/>
      <c r="AW2841" s="38"/>
      <c r="AX2841" s="38"/>
      <c r="AY2841" s="38"/>
      <c r="AZ2841" s="38"/>
      <c r="BA2841" s="38"/>
      <c r="BB2841" s="38"/>
      <c r="BC2841" s="38"/>
      <c r="BD2841" s="38"/>
      <c r="BE2841" s="38"/>
      <c r="BF2841" s="38"/>
      <c r="BG2841" s="38"/>
      <c r="BH2841" s="38"/>
      <c r="BI2841" s="38"/>
      <c r="BJ2841" s="38"/>
      <c r="BK2841" s="38"/>
      <c r="BL2841" s="38"/>
      <c r="BM2841" s="38"/>
      <c r="BN2841" s="38"/>
      <c r="BO2841" s="38"/>
      <c r="BP2841" s="38"/>
      <c r="BQ2841" s="38"/>
    </row>
    <row r="2842">
      <c r="A2842" s="16"/>
      <c r="B2842" s="16"/>
      <c r="C2842" s="146"/>
      <c r="D2842" s="146"/>
      <c r="E2842" s="16"/>
      <c r="F2842" s="91"/>
      <c r="G2842" s="16"/>
      <c r="H2842" s="320" t="str">
        <f t="shared" si="33"/>
        <v/>
      </c>
      <c r="I2842" s="16"/>
      <c r="J2842" s="16"/>
      <c r="K2842" s="16"/>
      <c r="L2842" s="16"/>
      <c r="M2842" s="15"/>
      <c r="N2842" s="15"/>
      <c r="O2842" s="16"/>
      <c r="P2842" s="16"/>
      <c r="Q2842" s="16"/>
      <c r="R2842" s="16"/>
      <c r="S2842" s="37" t="str">
        <f>IFERROR(__xludf.DUMMYFUNCTION("if(not(iserror(index(split(C2842, "" ""),2))), index(split(C2842, "" ""),1),"""")"),"")</f>
        <v/>
      </c>
      <c r="T2842" s="315" t="str">
        <f>IFERROR(__xludf.DUMMYFUNCTION("if(S2842="""",C2842,if(not(iserror(index(split(C2842, "" ""),3))), index(split(C2842, "" ""),3),index(split(C2842, "" ""),2)))"),"")</f>
        <v/>
      </c>
      <c r="U2842" s="38" t="b">
        <f t="shared" si="34"/>
        <v>0</v>
      </c>
      <c r="V2842" s="38"/>
      <c r="W2842" s="40"/>
      <c r="X2842" s="40"/>
      <c r="Y2842" s="38"/>
      <c r="Z2842" s="38"/>
      <c r="AA2842" s="38"/>
      <c r="AB2842" s="38"/>
      <c r="AC2842" s="38"/>
      <c r="AD2842" s="38"/>
      <c r="AE2842" s="38"/>
      <c r="AF2842" s="38"/>
      <c r="AG2842" s="38"/>
      <c r="AH2842" s="38"/>
      <c r="AI2842" s="38"/>
      <c r="AJ2842" s="38"/>
      <c r="AK2842" s="38"/>
      <c r="AL2842" s="38"/>
      <c r="AM2842" s="38"/>
      <c r="AN2842" s="38"/>
      <c r="AO2842" s="38"/>
      <c r="AP2842" s="38"/>
      <c r="AQ2842" s="38"/>
      <c r="AR2842" s="38"/>
      <c r="AS2842" s="38"/>
      <c r="AT2842" s="38"/>
      <c r="AU2842" s="38"/>
      <c r="AV2842" s="38"/>
      <c r="AW2842" s="38"/>
      <c r="AX2842" s="38"/>
      <c r="AY2842" s="38"/>
      <c r="AZ2842" s="38"/>
      <c r="BA2842" s="38"/>
      <c r="BB2842" s="38"/>
      <c r="BC2842" s="38"/>
      <c r="BD2842" s="38"/>
      <c r="BE2842" s="38"/>
      <c r="BF2842" s="38"/>
      <c r="BG2842" s="38"/>
      <c r="BH2842" s="38"/>
      <c r="BI2842" s="38"/>
      <c r="BJ2842" s="38"/>
      <c r="BK2842" s="38"/>
      <c r="BL2842" s="38"/>
      <c r="BM2842" s="38"/>
      <c r="BN2842" s="38"/>
      <c r="BO2842" s="38"/>
      <c r="BP2842" s="38"/>
      <c r="BQ2842" s="38"/>
    </row>
    <row r="2843">
      <c r="A2843" s="16"/>
      <c r="B2843" s="16"/>
      <c r="C2843" s="146"/>
      <c r="D2843" s="146"/>
      <c r="E2843" s="16"/>
      <c r="F2843" s="91"/>
      <c r="G2843" s="16"/>
      <c r="H2843" s="320" t="str">
        <f t="shared" si="33"/>
        <v/>
      </c>
      <c r="I2843" s="16"/>
      <c r="J2843" s="16"/>
      <c r="K2843" s="16"/>
      <c r="L2843" s="16"/>
      <c r="M2843" s="15"/>
      <c r="N2843" s="15"/>
      <c r="O2843" s="16"/>
      <c r="P2843" s="16"/>
      <c r="Q2843" s="16"/>
      <c r="R2843" s="16"/>
      <c r="S2843" s="37" t="str">
        <f>IFERROR(__xludf.DUMMYFUNCTION("if(not(iserror(index(split(C2843, "" ""),2))), index(split(C2843, "" ""),1),"""")"),"")</f>
        <v/>
      </c>
      <c r="T2843" s="315" t="str">
        <f>IFERROR(__xludf.DUMMYFUNCTION("if(S2843="""",C2843,if(not(iserror(index(split(C2843, "" ""),3))), index(split(C2843, "" ""),3),index(split(C2843, "" ""),2)))"),"")</f>
        <v/>
      </c>
      <c r="U2843" s="38" t="b">
        <f t="shared" si="34"/>
        <v>0</v>
      </c>
      <c r="V2843" s="38"/>
      <c r="W2843" s="40"/>
      <c r="X2843" s="40"/>
      <c r="Y2843" s="38"/>
      <c r="Z2843" s="38"/>
      <c r="AA2843" s="38"/>
      <c r="AB2843" s="38"/>
      <c r="AC2843" s="38"/>
      <c r="AD2843" s="38"/>
      <c r="AE2843" s="38"/>
      <c r="AF2843" s="38"/>
      <c r="AG2843" s="38"/>
      <c r="AH2843" s="38"/>
      <c r="AI2843" s="38"/>
      <c r="AJ2843" s="38"/>
      <c r="AK2843" s="38"/>
      <c r="AL2843" s="38"/>
      <c r="AM2843" s="38"/>
      <c r="AN2843" s="38"/>
      <c r="AO2843" s="38"/>
      <c r="AP2843" s="38"/>
      <c r="AQ2843" s="38"/>
      <c r="AR2843" s="38"/>
      <c r="AS2843" s="38"/>
      <c r="AT2843" s="38"/>
      <c r="AU2843" s="38"/>
      <c r="AV2843" s="38"/>
      <c r="AW2843" s="38"/>
      <c r="AX2843" s="38"/>
      <c r="AY2843" s="38"/>
      <c r="AZ2843" s="38"/>
      <c r="BA2843" s="38"/>
      <c r="BB2843" s="38"/>
      <c r="BC2843" s="38"/>
      <c r="BD2843" s="38"/>
      <c r="BE2843" s="38"/>
      <c r="BF2843" s="38"/>
      <c r="BG2843" s="38"/>
      <c r="BH2843" s="38"/>
      <c r="BI2843" s="38"/>
      <c r="BJ2843" s="38"/>
      <c r="BK2843" s="38"/>
      <c r="BL2843" s="38"/>
      <c r="BM2843" s="38"/>
      <c r="BN2843" s="38"/>
      <c r="BO2843" s="38"/>
      <c r="BP2843" s="38"/>
      <c r="BQ2843" s="38"/>
    </row>
    <row r="2844">
      <c r="A2844" s="16"/>
      <c r="B2844" s="16"/>
      <c r="C2844" s="146"/>
      <c r="D2844" s="146"/>
      <c r="E2844" s="16"/>
      <c r="F2844" s="91"/>
      <c r="G2844" s="16"/>
      <c r="H2844" s="320" t="str">
        <f t="shared" si="33"/>
        <v/>
      </c>
      <c r="I2844" s="16"/>
      <c r="J2844" s="16"/>
      <c r="K2844" s="16"/>
      <c r="L2844" s="16"/>
      <c r="M2844" s="15"/>
      <c r="N2844" s="15"/>
      <c r="O2844" s="16"/>
      <c r="P2844" s="16"/>
      <c r="Q2844" s="16"/>
      <c r="R2844" s="16"/>
      <c r="S2844" s="37" t="str">
        <f>IFERROR(__xludf.DUMMYFUNCTION("if(not(iserror(index(split(C2844, "" ""),2))), index(split(C2844, "" ""),1),"""")"),"")</f>
        <v/>
      </c>
      <c r="T2844" s="315" t="str">
        <f>IFERROR(__xludf.DUMMYFUNCTION("if(S2844="""",C2844,if(not(iserror(index(split(C2844, "" ""),3))), index(split(C2844, "" ""),3),index(split(C2844, "" ""),2)))"),"")</f>
        <v/>
      </c>
      <c r="U2844" s="38" t="b">
        <f t="shared" si="34"/>
        <v>0</v>
      </c>
      <c r="V2844" s="38"/>
      <c r="W2844" s="40"/>
      <c r="X2844" s="40"/>
      <c r="Y2844" s="38"/>
      <c r="Z2844" s="38"/>
      <c r="AA2844" s="38"/>
      <c r="AB2844" s="38"/>
      <c r="AC2844" s="38"/>
      <c r="AD2844" s="38"/>
      <c r="AE2844" s="38"/>
      <c r="AF2844" s="38"/>
      <c r="AG2844" s="38"/>
      <c r="AH2844" s="38"/>
      <c r="AI2844" s="38"/>
      <c r="AJ2844" s="38"/>
      <c r="AK2844" s="38"/>
      <c r="AL2844" s="38"/>
      <c r="AM2844" s="38"/>
      <c r="AN2844" s="38"/>
      <c r="AO2844" s="38"/>
      <c r="AP2844" s="38"/>
      <c r="AQ2844" s="38"/>
      <c r="AR2844" s="38"/>
      <c r="AS2844" s="38"/>
      <c r="AT2844" s="38"/>
      <c r="AU2844" s="38"/>
      <c r="AV2844" s="38"/>
      <c r="AW2844" s="38"/>
      <c r="AX2844" s="38"/>
      <c r="AY2844" s="38"/>
      <c r="AZ2844" s="38"/>
      <c r="BA2844" s="38"/>
      <c r="BB2844" s="38"/>
      <c r="BC2844" s="38"/>
      <c r="BD2844" s="38"/>
      <c r="BE2844" s="38"/>
      <c r="BF2844" s="38"/>
      <c r="BG2844" s="38"/>
      <c r="BH2844" s="38"/>
      <c r="BI2844" s="38"/>
      <c r="BJ2844" s="38"/>
      <c r="BK2844" s="38"/>
      <c r="BL2844" s="38"/>
      <c r="BM2844" s="38"/>
      <c r="BN2844" s="38"/>
      <c r="BO2844" s="38"/>
      <c r="BP2844" s="38"/>
      <c r="BQ2844" s="38"/>
    </row>
    <row r="2845">
      <c r="A2845" s="16"/>
      <c r="B2845" s="16"/>
      <c r="C2845" s="146"/>
      <c r="D2845" s="146"/>
      <c r="E2845" s="16"/>
      <c r="F2845" s="91"/>
      <c r="G2845" s="16"/>
      <c r="H2845" s="320" t="str">
        <f t="shared" si="33"/>
        <v/>
      </c>
      <c r="I2845" s="16"/>
      <c r="J2845" s="16"/>
      <c r="K2845" s="16"/>
      <c r="L2845" s="16"/>
      <c r="M2845" s="15"/>
      <c r="N2845" s="15"/>
      <c r="O2845" s="16"/>
      <c r="P2845" s="16"/>
      <c r="Q2845" s="16"/>
      <c r="R2845" s="16"/>
      <c r="S2845" s="37" t="str">
        <f>IFERROR(__xludf.DUMMYFUNCTION("if(not(iserror(index(split(C2845, "" ""),2))), index(split(C2845, "" ""),1),"""")"),"")</f>
        <v/>
      </c>
      <c r="T2845" s="315" t="str">
        <f>IFERROR(__xludf.DUMMYFUNCTION("if(S2845="""",C2845,if(not(iserror(index(split(C2845, "" ""),3))), index(split(C2845, "" ""),3),index(split(C2845, "" ""),2)))"),"")</f>
        <v/>
      </c>
      <c r="U2845" s="38" t="b">
        <f t="shared" si="34"/>
        <v>0</v>
      </c>
      <c r="V2845" s="38"/>
      <c r="W2845" s="40"/>
      <c r="X2845" s="40"/>
      <c r="Y2845" s="38"/>
      <c r="Z2845" s="38"/>
      <c r="AA2845" s="38"/>
      <c r="AB2845" s="38"/>
      <c r="AC2845" s="38"/>
      <c r="AD2845" s="38"/>
      <c r="AE2845" s="38"/>
      <c r="AF2845" s="38"/>
      <c r="AG2845" s="38"/>
      <c r="AH2845" s="38"/>
      <c r="AI2845" s="38"/>
      <c r="AJ2845" s="38"/>
      <c r="AK2845" s="38"/>
      <c r="AL2845" s="38"/>
      <c r="AM2845" s="38"/>
      <c r="AN2845" s="38"/>
      <c r="AO2845" s="38"/>
      <c r="AP2845" s="38"/>
      <c r="AQ2845" s="38"/>
      <c r="AR2845" s="38"/>
      <c r="AS2845" s="38"/>
      <c r="AT2845" s="38"/>
      <c r="AU2845" s="38"/>
      <c r="AV2845" s="38"/>
      <c r="AW2845" s="38"/>
      <c r="AX2845" s="38"/>
      <c r="AY2845" s="38"/>
      <c r="AZ2845" s="38"/>
      <c r="BA2845" s="38"/>
      <c r="BB2845" s="38"/>
      <c r="BC2845" s="38"/>
      <c r="BD2845" s="38"/>
      <c r="BE2845" s="38"/>
      <c r="BF2845" s="38"/>
      <c r="BG2845" s="38"/>
      <c r="BH2845" s="38"/>
      <c r="BI2845" s="38"/>
      <c r="BJ2845" s="38"/>
      <c r="BK2845" s="38"/>
      <c r="BL2845" s="38"/>
      <c r="BM2845" s="38"/>
      <c r="BN2845" s="38"/>
      <c r="BO2845" s="38"/>
      <c r="BP2845" s="38"/>
      <c r="BQ2845" s="38"/>
    </row>
    <row r="2846">
      <c r="A2846" s="16"/>
      <c r="B2846" s="16"/>
      <c r="C2846" s="146"/>
      <c r="D2846" s="146"/>
      <c r="E2846" s="16"/>
      <c r="F2846" s="91"/>
      <c r="G2846" s="16"/>
      <c r="H2846" s="320" t="str">
        <f t="shared" si="33"/>
        <v/>
      </c>
      <c r="I2846" s="16"/>
      <c r="J2846" s="16"/>
      <c r="K2846" s="16"/>
      <c r="L2846" s="16"/>
      <c r="M2846" s="15"/>
      <c r="N2846" s="15"/>
      <c r="O2846" s="16"/>
      <c r="P2846" s="16"/>
      <c r="Q2846" s="16"/>
      <c r="R2846" s="16"/>
      <c r="S2846" s="37" t="str">
        <f>IFERROR(__xludf.DUMMYFUNCTION("if(not(iserror(index(split(C2846, "" ""),2))), index(split(C2846, "" ""),1),"""")"),"")</f>
        <v/>
      </c>
      <c r="T2846" s="315" t="str">
        <f>IFERROR(__xludf.DUMMYFUNCTION("if(S2846="""",C2846,if(not(iserror(index(split(C2846, "" ""),3))), index(split(C2846, "" ""),3),index(split(C2846, "" ""),2)))"),"")</f>
        <v/>
      </c>
      <c r="U2846" s="38" t="b">
        <f t="shared" si="34"/>
        <v>0</v>
      </c>
      <c r="V2846" s="38"/>
      <c r="W2846" s="40"/>
      <c r="X2846" s="40"/>
      <c r="Y2846" s="38"/>
      <c r="Z2846" s="38"/>
      <c r="AA2846" s="38"/>
      <c r="AB2846" s="38"/>
      <c r="AC2846" s="38"/>
      <c r="AD2846" s="38"/>
      <c r="AE2846" s="38"/>
      <c r="AF2846" s="38"/>
      <c r="AG2846" s="38"/>
      <c r="AH2846" s="38"/>
      <c r="AI2846" s="38"/>
      <c r="AJ2846" s="38"/>
      <c r="AK2846" s="38"/>
      <c r="AL2846" s="38"/>
      <c r="AM2846" s="38"/>
      <c r="AN2846" s="38"/>
      <c r="AO2846" s="38"/>
      <c r="AP2846" s="38"/>
      <c r="AQ2846" s="38"/>
      <c r="AR2846" s="38"/>
      <c r="AS2846" s="38"/>
      <c r="AT2846" s="38"/>
      <c r="AU2846" s="38"/>
      <c r="AV2846" s="38"/>
      <c r="AW2846" s="38"/>
      <c r="AX2846" s="38"/>
      <c r="AY2846" s="38"/>
      <c r="AZ2846" s="38"/>
      <c r="BA2846" s="38"/>
      <c r="BB2846" s="38"/>
      <c r="BC2846" s="38"/>
      <c r="BD2846" s="38"/>
      <c r="BE2846" s="38"/>
      <c r="BF2846" s="38"/>
      <c r="BG2846" s="38"/>
      <c r="BH2846" s="38"/>
      <c r="BI2846" s="38"/>
      <c r="BJ2846" s="38"/>
      <c r="BK2846" s="38"/>
      <c r="BL2846" s="38"/>
      <c r="BM2846" s="38"/>
      <c r="BN2846" s="38"/>
      <c r="BO2846" s="38"/>
      <c r="BP2846" s="38"/>
      <c r="BQ2846" s="38"/>
    </row>
    <row r="2847">
      <c r="A2847" s="16"/>
      <c r="B2847" s="16"/>
      <c r="C2847" s="146"/>
      <c r="D2847" s="146"/>
      <c r="E2847" s="16"/>
      <c r="F2847" s="91"/>
      <c r="G2847" s="16"/>
      <c r="H2847" s="320" t="str">
        <f t="shared" si="33"/>
        <v/>
      </c>
      <c r="I2847" s="16"/>
      <c r="J2847" s="16"/>
      <c r="K2847" s="16"/>
      <c r="L2847" s="16"/>
      <c r="M2847" s="15"/>
      <c r="N2847" s="15"/>
      <c r="O2847" s="16"/>
      <c r="P2847" s="16"/>
      <c r="Q2847" s="16"/>
      <c r="R2847" s="16"/>
      <c r="S2847" s="37" t="str">
        <f>IFERROR(__xludf.DUMMYFUNCTION("if(not(iserror(index(split(C2847, "" ""),2))), index(split(C2847, "" ""),1),"""")"),"")</f>
        <v/>
      </c>
      <c r="T2847" s="315" t="str">
        <f>IFERROR(__xludf.DUMMYFUNCTION("if(S2847="""",C2847,if(not(iserror(index(split(C2847, "" ""),3))), index(split(C2847, "" ""),3),index(split(C2847, "" ""),2)))"),"")</f>
        <v/>
      </c>
      <c r="U2847" s="38" t="b">
        <f t="shared" si="34"/>
        <v>0</v>
      </c>
      <c r="V2847" s="38"/>
      <c r="W2847" s="40"/>
      <c r="X2847" s="40"/>
      <c r="Y2847" s="38"/>
      <c r="Z2847" s="38"/>
      <c r="AA2847" s="38"/>
      <c r="AB2847" s="38"/>
      <c r="AC2847" s="38"/>
      <c r="AD2847" s="38"/>
      <c r="AE2847" s="38"/>
      <c r="AF2847" s="38"/>
      <c r="AG2847" s="38"/>
      <c r="AH2847" s="38"/>
      <c r="AI2847" s="38"/>
      <c r="AJ2847" s="38"/>
      <c r="AK2847" s="38"/>
      <c r="AL2847" s="38"/>
      <c r="AM2847" s="38"/>
      <c r="AN2847" s="38"/>
      <c r="AO2847" s="38"/>
      <c r="AP2847" s="38"/>
      <c r="AQ2847" s="38"/>
      <c r="AR2847" s="38"/>
      <c r="AS2847" s="38"/>
      <c r="AT2847" s="38"/>
      <c r="AU2847" s="38"/>
      <c r="AV2847" s="38"/>
      <c r="AW2847" s="38"/>
      <c r="AX2847" s="38"/>
      <c r="AY2847" s="38"/>
      <c r="AZ2847" s="38"/>
      <c r="BA2847" s="38"/>
      <c r="BB2847" s="38"/>
      <c r="BC2847" s="38"/>
      <c r="BD2847" s="38"/>
      <c r="BE2847" s="38"/>
      <c r="BF2847" s="38"/>
      <c r="BG2847" s="38"/>
      <c r="BH2847" s="38"/>
      <c r="BI2847" s="38"/>
      <c r="BJ2847" s="38"/>
      <c r="BK2847" s="38"/>
      <c r="BL2847" s="38"/>
      <c r="BM2847" s="38"/>
      <c r="BN2847" s="38"/>
      <c r="BO2847" s="38"/>
      <c r="BP2847" s="38"/>
      <c r="BQ2847" s="38"/>
    </row>
    <row r="2848">
      <c r="A2848" s="16"/>
      <c r="B2848" s="16"/>
      <c r="C2848" s="146"/>
      <c r="D2848" s="146"/>
      <c r="E2848" s="16"/>
      <c r="F2848" s="91"/>
      <c r="G2848" s="16"/>
      <c r="H2848" s="320" t="str">
        <f t="shared" si="33"/>
        <v/>
      </c>
      <c r="I2848" s="16"/>
      <c r="J2848" s="16"/>
      <c r="K2848" s="16"/>
      <c r="L2848" s="16"/>
      <c r="M2848" s="15"/>
      <c r="N2848" s="15"/>
      <c r="O2848" s="16"/>
      <c r="P2848" s="16"/>
      <c r="Q2848" s="16"/>
      <c r="R2848" s="16"/>
      <c r="S2848" s="37" t="str">
        <f>IFERROR(__xludf.DUMMYFUNCTION("if(not(iserror(index(split(C2848, "" ""),2))), index(split(C2848, "" ""),1),"""")"),"")</f>
        <v/>
      </c>
      <c r="T2848" s="315" t="str">
        <f>IFERROR(__xludf.DUMMYFUNCTION("if(S2848="""",C2848,if(not(iserror(index(split(C2848, "" ""),3))), index(split(C2848, "" ""),3),index(split(C2848, "" ""),2)))"),"")</f>
        <v/>
      </c>
      <c r="U2848" s="38" t="b">
        <f t="shared" si="34"/>
        <v>0</v>
      </c>
      <c r="V2848" s="38"/>
      <c r="W2848" s="40"/>
      <c r="X2848" s="40"/>
      <c r="Y2848" s="38"/>
      <c r="Z2848" s="38"/>
      <c r="AA2848" s="38"/>
      <c r="AB2848" s="38"/>
      <c r="AC2848" s="38"/>
      <c r="AD2848" s="38"/>
      <c r="AE2848" s="38"/>
      <c r="AF2848" s="38"/>
      <c r="AG2848" s="38"/>
      <c r="AH2848" s="38"/>
      <c r="AI2848" s="38"/>
      <c r="AJ2848" s="38"/>
      <c r="AK2848" s="38"/>
      <c r="AL2848" s="38"/>
      <c r="AM2848" s="38"/>
      <c r="AN2848" s="38"/>
      <c r="AO2848" s="38"/>
      <c r="AP2848" s="38"/>
      <c r="AQ2848" s="38"/>
      <c r="AR2848" s="38"/>
      <c r="AS2848" s="38"/>
      <c r="AT2848" s="38"/>
      <c r="AU2848" s="38"/>
      <c r="AV2848" s="38"/>
      <c r="AW2848" s="38"/>
      <c r="AX2848" s="38"/>
      <c r="AY2848" s="38"/>
      <c r="AZ2848" s="38"/>
      <c r="BA2848" s="38"/>
      <c r="BB2848" s="38"/>
      <c r="BC2848" s="38"/>
      <c r="BD2848" s="38"/>
      <c r="BE2848" s="38"/>
      <c r="BF2848" s="38"/>
      <c r="BG2848" s="38"/>
      <c r="BH2848" s="38"/>
      <c r="BI2848" s="38"/>
      <c r="BJ2848" s="38"/>
      <c r="BK2848" s="38"/>
      <c r="BL2848" s="38"/>
      <c r="BM2848" s="38"/>
      <c r="BN2848" s="38"/>
      <c r="BO2848" s="38"/>
      <c r="BP2848" s="38"/>
      <c r="BQ2848" s="38"/>
    </row>
    <row r="2849">
      <c r="A2849" s="16"/>
      <c r="B2849" s="16"/>
      <c r="C2849" s="146"/>
      <c r="D2849" s="146"/>
      <c r="E2849" s="16"/>
      <c r="F2849" s="91"/>
      <c r="G2849" s="16"/>
      <c r="H2849" s="320" t="str">
        <f t="shared" si="33"/>
        <v/>
      </c>
      <c r="I2849" s="16"/>
      <c r="J2849" s="16"/>
      <c r="K2849" s="16"/>
      <c r="L2849" s="16"/>
      <c r="M2849" s="15"/>
      <c r="N2849" s="15"/>
      <c r="O2849" s="16"/>
      <c r="P2849" s="16"/>
      <c r="Q2849" s="16"/>
      <c r="R2849" s="16"/>
      <c r="S2849" s="37" t="str">
        <f>IFERROR(__xludf.DUMMYFUNCTION("if(not(iserror(index(split(C2849, "" ""),2))), index(split(C2849, "" ""),1),"""")"),"")</f>
        <v/>
      </c>
      <c r="T2849" s="315" t="str">
        <f>IFERROR(__xludf.DUMMYFUNCTION("if(S2849="""",C2849,if(not(iserror(index(split(C2849, "" ""),3))), index(split(C2849, "" ""),3),index(split(C2849, "" ""),2)))"),"")</f>
        <v/>
      </c>
      <c r="U2849" s="38" t="b">
        <f t="shared" si="34"/>
        <v>0</v>
      </c>
      <c r="V2849" s="38"/>
      <c r="W2849" s="40"/>
      <c r="X2849" s="40"/>
      <c r="Y2849" s="38"/>
      <c r="Z2849" s="38"/>
      <c r="AA2849" s="38"/>
      <c r="AB2849" s="38"/>
      <c r="AC2849" s="38"/>
      <c r="AD2849" s="38"/>
      <c r="AE2849" s="38"/>
      <c r="AF2849" s="38"/>
      <c r="AG2849" s="38"/>
      <c r="AH2849" s="38"/>
      <c r="AI2849" s="38"/>
      <c r="AJ2849" s="38"/>
      <c r="AK2849" s="38"/>
      <c r="AL2849" s="38"/>
      <c r="AM2849" s="38"/>
      <c r="AN2849" s="38"/>
      <c r="AO2849" s="38"/>
      <c r="AP2849" s="38"/>
      <c r="AQ2849" s="38"/>
      <c r="AR2849" s="38"/>
      <c r="AS2849" s="38"/>
      <c r="AT2849" s="38"/>
      <c r="AU2849" s="38"/>
      <c r="AV2849" s="38"/>
      <c r="AW2849" s="38"/>
      <c r="AX2849" s="38"/>
      <c r="AY2849" s="38"/>
      <c r="AZ2849" s="38"/>
      <c r="BA2849" s="38"/>
      <c r="BB2849" s="38"/>
      <c r="BC2849" s="38"/>
      <c r="BD2849" s="38"/>
      <c r="BE2849" s="38"/>
      <c r="BF2849" s="38"/>
      <c r="BG2849" s="38"/>
      <c r="BH2849" s="38"/>
      <c r="BI2849" s="38"/>
      <c r="BJ2849" s="38"/>
      <c r="BK2849" s="38"/>
      <c r="BL2849" s="38"/>
      <c r="BM2849" s="38"/>
      <c r="BN2849" s="38"/>
      <c r="BO2849" s="38"/>
      <c r="BP2849" s="38"/>
      <c r="BQ2849" s="38"/>
    </row>
    <row r="2850">
      <c r="A2850" s="16"/>
      <c r="B2850" s="16"/>
      <c r="C2850" s="146"/>
      <c r="D2850" s="146"/>
      <c r="E2850" s="16"/>
      <c r="F2850" s="91"/>
      <c r="G2850" s="16"/>
      <c r="H2850" s="320" t="str">
        <f t="shared" si="33"/>
        <v/>
      </c>
      <c r="I2850" s="16"/>
      <c r="J2850" s="16"/>
      <c r="K2850" s="16"/>
      <c r="L2850" s="16"/>
      <c r="M2850" s="15"/>
      <c r="N2850" s="15"/>
      <c r="O2850" s="16"/>
      <c r="P2850" s="16"/>
      <c r="Q2850" s="16"/>
      <c r="R2850" s="16"/>
      <c r="S2850" s="37" t="str">
        <f>IFERROR(__xludf.DUMMYFUNCTION("if(not(iserror(index(split(C2850, "" ""),2))), index(split(C2850, "" ""),1),"""")"),"")</f>
        <v/>
      </c>
      <c r="T2850" s="315" t="str">
        <f>IFERROR(__xludf.DUMMYFUNCTION("if(S2850="""",C2850,if(not(iserror(index(split(C2850, "" ""),3))), index(split(C2850, "" ""),3),index(split(C2850, "" ""),2)))"),"")</f>
        <v/>
      </c>
      <c r="U2850" s="38" t="b">
        <f t="shared" si="34"/>
        <v>0</v>
      </c>
      <c r="V2850" s="38"/>
      <c r="W2850" s="40"/>
      <c r="X2850" s="40"/>
      <c r="Y2850" s="38"/>
      <c r="Z2850" s="38"/>
      <c r="AA2850" s="38"/>
      <c r="AB2850" s="38"/>
      <c r="AC2850" s="38"/>
      <c r="AD2850" s="38"/>
      <c r="AE2850" s="38"/>
      <c r="AF2850" s="38"/>
      <c r="AG2850" s="38"/>
      <c r="AH2850" s="38"/>
      <c r="AI2850" s="38"/>
      <c r="AJ2850" s="38"/>
      <c r="AK2850" s="38"/>
      <c r="AL2850" s="38"/>
      <c r="AM2850" s="38"/>
      <c r="AN2850" s="38"/>
      <c r="AO2850" s="38"/>
      <c r="AP2850" s="38"/>
      <c r="AQ2850" s="38"/>
      <c r="AR2850" s="38"/>
      <c r="AS2850" s="38"/>
      <c r="AT2850" s="38"/>
      <c r="AU2850" s="38"/>
      <c r="AV2850" s="38"/>
      <c r="AW2850" s="38"/>
      <c r="AX2850" s="38"/>
      <c r="AY2850" s="38"/>
      <c r="AZ2850" s="38"/>
      <c r="BA2850" s="38"/>
      <c r="BB2850" s="38"/>
      <c r="BC2850" s="38"/>
      <c r="BD2850" s="38"/>
      <c r="BE2850" s="38"/>
      <c r="BF2850" s="38"/>
      <c r="BG2850" s="38"/>
      <c r="BH2850" s="38"/>
      <c r="BI2850" s="38"/>
      <c r="BJ2850" s="38"/>
      <c r="BK2850" s="38"/>
      <c r="BL2850" s="38"/>
      <c r="BM2850" s="38"/>
      <c r="BN2850" s="38"/>
      <c r="BO2850" s="38"/>
      <c r="BP2850" s="38"/>
      <c r="BQ2850" s="38"/>
    </row>
    <row r="2851">
      <c r="A2851" s="16"/>
      <c r="B2851" s="16"/>
      <c r="C2851" s="146"/>
      <c r="D2851" s="146"/>
      <c r="E2851" s="16"/>
      <c r="F2851" s="91"/>
      <c r="G2851" s="16"/>
      <c r="H2851" s="320" t="str">
        <f t="shared" si="33"/>
        <v/>
      </c>
      <c r="I2851" s="16"/>
      <c r="J2851" s="16"/>
      <c r="K2851" s="16"/>
      <c r="L2851" s="16"/>
      <c r="M2851" s="15"/>
      <c r="N2851" s="15"/>
      <c r="O2851" s="16"/>
      <c r="P2851" s="16"/>
      <c r="Q2851" s="16"/>
      <c r="R2851" s="16"/>
      <c r="S2851" s="37" t="str">
        <f>IFERROR(__xludf.DUMMYFUNCTION("if(not(iserror(index(split(C2851, "" ""),2))), index(split(C2851, "" ""),1),"""")"),"")</f>
        <v/>
      </c>
      <c r="T2851" s="315" t="str">
        <f>IFERROR(__xludf.DUMMYFUNCTION("if(S2851="""",C2851,if(not(iserror(index(split(C2851, "" ""),3))), index(split(C2851, "" ""),3),index(split(C2851, "" ""),2)))"),"")</f>
        <v/>
      </c>
      <c r="U2851" s="38" t="b">
        <f t="shared" si="34"/>
        <v>0</v>
      </c>
      <c r="V2851" s="38"/>
      <c r="W2851" s="40"/>
      <c r="X2851" s="40"/>
      <c r="Y2851" s="38"/>
      <c r="Z2851" s="38"/>
      <c r="AA2851" s="38"/>
      <c r="AB2851" s="38"/>
      <c r="AC2851" s="38"/>
      <c r="AD2851" s="38"/>
      <c r="AE2851" s="38"/>
      <c r="AF2851" s="38"/>
      <c r="AG2851" s="38"/>
      <c r="AH2851" s="38"/>
      <c r="AI2851" s="38"/>
      <c r="AJ2851" s="38"/>
      <c r="AK2851" s="38"/>
      <c r="AL2851" s="38"/>
      <c r="AM2851" s="38"/>
      <c r="AN2851" s="38"/>
      <c r="AO2851" s="38"/>
      <c r="AP2851" s="38"/>
      <c r="AQ2851" s="38"/>
      <c r="AR2851" s="38"/>
      <c r="AS2851" s="38"/>
      <c r="AT2851" s="38"/>
      <c r="AU2851" s="38"/>
      <c r="AV2851" s="38"/>
      <c r="AW2851" s="38"/>
      <c r="AX2851" s="38"/>
      <c r="AY2851" s="38"/>
      <c r="AZ2851" s="38"/>
      <c r="BA2851" s="38"/>
      <c r="BB2851" s="38"/>
      <c r="BC2851" s="38"/>
      <c r="BD2851" s="38"/>
      <c r="BE2851" s="38"/>
      <c r="BF2851" s="38"/>
      <c r="BG2851" s="38"/>
      <c r="BH2851" s="38"/>
      <c r="BI2851" s="38"/>
      <c r="BJ2851" s="38"/>
      <c r="BK2851" s="38"/>
      <c r="BL2851" s="38"/>
      <c r="BM2851" s="38"/>
      <c r="BN2851" s="38"/>
      <c r="BO2851" s="38"/>
      <c r="BP2851" s="38"/>
      <c r="BQ2851" s="38"/>
    </row>
    <row r="2852">
      <c r="A2852" s="16"/>
      <c r="B2852" s="16"/>
      <c r="C2852" s="146"/>
      <c r="D2852" s="146"/>
      <c r="E2852" s="16"/>
      <c r="F2852" s="91"/>
      <c r="G2852" s="16"/>
      <c r="H2852" s="320" t="str">
        <f t="shared" si="33"/>
        <v/>
      </c>
      <c r="I2852" s="16"/>
      <c r="J2852" s="16"/>
      <c r="K2852" s="16"/>
      <c r="L2852" s="16"/>
      <c r="M2852" s="15"/>
      <c r="N2852" s="15"/>
      <c r="O2852" s="16"/>
      <c r="P2852" s="16"/>
      <c r="Q2852" s="16"/>
      <c r="R2852" s="16"/>
      <c r="S2852" s="37" t="str">
        <f>IFERROR(__xludf.DUMMYFUNCTION("if(not(iserror(index(split(C2852, "" ""),2))), index(split(C2852, "" ""),1),"""")"),"")</f>
        <v/>
      </c>
      <c r="T2852" s="315" t="str">
        <f>IFERROR(__xludf.DUMMYFUNCTION("if(S2852="""",C2852,if(not(iserror(index(split(C2852, "" ""),3))), index(split(C2852, "" ""),3),index(split(C2852, "" ""),2)))"),"")</f>
        <v/>
      </c>
      <c r="U2852" s="38" t="b">
        <f t="shared" si="34"/>
        <v>0</v>
      </c>
      <c r="V2852" s="38"/>
      <c r="W2852" s="40"/>
      <c r="X2852" s="40"/>
      <c r="Y2852" s="38"/>
      <c r="Z2852" s="38"/>
      <c r="AA2852" s="38"/>
      <c r="AB2852" s="38"/>
      <c r="AC2852" s="38"/>
      <c r="AD2852" s="38"/>
      <c r="AE2852" s="38"/>
      <c r="AF2852" s="38"/>
      <c r="AG2852" s="38"/>
      <c r="AH2852" s="38"/>
      <c r="AI2852" s="38"/>
      <c r="AJ2852" s="38"/>
      <c r="AK2852" s="38"/>
      <c r="AL2852" s="38"/>
      <c r="AM2852" s="38"/>
      <c r="AN2852" s="38"/>
      <c r="AO2852" s="38"/>
      <c r="AP2852" s="38"/>
      <c r="AQ2852" s="38"/>
      <c r="AR2852" s="38"/>
      <c r="AS2852" s="38"/>
      <c r="AT2852" s="38"/>
      <c r="AU2852" s="38"/>
      <c r="AV2852" s="38"/>
      <c r="AW2852" s="38"/>
      <c r="AX2852" s="38"/>
      <c r="AY2852" s="38"/>
      <c r="AZ2852" s="38"/>
      <c r="BA2852" s="38"/>
      <c r="BB2852" s="38"/>
      <c r="BC2852" s="38"/>
      <c r="BD2852" s="38"/>
      <c r="BE2852" s="38"/>
      <c r="BF2852" s="38"/>
      <c r="BG2852" s="38"/>
      <c r="BH2852" s="38"/>
      <c r="BI2852" s="38"/>
      <c r="BJ2852" s="38"/>
      <c r="BK2852" s="38"/>
      <c r="BL2852" s="38"/>
      <c r="BM2852" s="38"/>
      <c r="BN2852" s="38"/>
      <c r="BO2852" s="38"/>
      <c r="BP2852" s="38"/>
      <c r="BQ2852" s="38"/>
    </row>
    <row r="2853">
      <c r="A2853" s="16"/>
      <c r="B2853" s="16"/>
      <c r="C2853" s="146"/>
      <c r="D2853" s="146"/>
      <c r="E2853" s="16"/>
      <c r="F2853" s="91"/>
      <c r="G2853" s="16"/>
      <c r="H2853" s="320" t="str">
        <f t="shared" si="33"/>
        <v/>
      </c>
      <c r="I2853" s="16"/>
      <c r="J2853" s="16"/>
      <c r="K2853" s="16"/>
      <c r="L2853" s="16"/>
      <c r="M2853" s="15"/>
      <c r="N2853" s="15"/>
      <c r="O2853" s="16"/>
      <c r="P2853" s="16"/>
      <c r="Q2853" s="16"/>
      <c r="R2853" s="16"/>
      <c r="S2853" s="37" t="str">
        <f>IFERROR(__xludf.DUMMYFUNCTION("if(not(iserror(index(split(C2853, "" ""),2))), index(split(C2853, "" ""),1),"""")"),"")</f>
        <v/>
      </c>
      <c r="T2853" s="315" t="str">
        <f>IFERROR(__xludf.DUMMYFUNCTION("if(S2853="""",C2853,if(not(iserror(index(split(C2853, "" ""),3))), index(split(C2853, "" ""),3),index(split(C2853, "" ""),2)))"),"")</f>
        <v/>
      </c>
      <c r="U2853" s="38" t="b">
        <f t="shared" si="34"/>
        <v>0</v>
      </c>
      <c r="V2853" s="38"/>
      <c r="W2853" s="40"/>
      <c r="X2853" s="40"/>
      <c r="Y2853" s="38"/>
      <c r="Z2853" s="38"/>
      <c r="AA2853" s="38"/>
      <c r="AB2853" s="38"/>
      <c r="AC2853" s="38"/>
      <c r="AD2853" s="38"/>
      <c r="AE2853" s="38"/>
      <c r="AF2853" s="38"/>
      <c r="AG2853" s="38"/>
      <c r="AH2853" s="38"/>
      <c r="AI2853" s="38"/>
      <c r="AJ2853" s="38"/>
      <c r="AK2853" s="38"/>
      <c r="AL2853" s="38"/>
      <c r="AM2853" s="38"/>
      <c r="AN2853" s="38"/>
      <c r="AO2853" s="38"/>
      <c r="AP2853" s="38"/>
      <c r="AQ2853" s="38"/>
      <c r="AR2853" s="38"/>
      <c r="AS2853" s="38"/>
      <c r="AT2853" s="38"/>
      <c r="AU2853" s="38"/>
      <c r="AV2853" s="38"/>
      <c r="AW2853" s="38"/>
      <c r="AX2853" s="38"/>
      <c r="AY2853" s="38"/>
      <c r="AZ2853" s="38"/>
      <c r="BA2853" s="38"/>
      <c r="BB2853" s="38"/>
      <c r="BC2853" s="38"/>
      <c r="BD2853" s="38"/>
      <c r="BE2853" s="38"/>
      <c r="BF2853" s="38"/>
      <c r="BG2853" s="38"/>
      <c r="BH2853" s="38"/>
      <c r="BI2853" s="38"/>
      <c r="BJ2853" s="38"/>
      <c r="BK2853" s="38"/>
      <c r="BL2853" s="38"/>
      <c r="BM2853" s="38"/>
      <c r="BN2853" s="38"/>
      <c r="BO2853" s="38"/>
      <c r="BP2853" s="38"/>
      <c r="BQ2853" s="38"/>
    </row>
    <row r="2854">
      <c r="A2854" s="16"/>
      <c r="B2854" s="16"/>
      <c r="C2854" s="146"/>
      <c r="D2854" s="146"/>
      <c r="E2854" s="16"/>
      <c r="F2854" s="91"/>
      <c r="G2854" s="16"/>
      <c r="H2854" s="320" t="str">
        <f t="shared" si="33"/>
        <v/>
      </c>
      <c r="I2854" s="16"/>
      <c r="J2854" s="16"/>
      <c r="K2854" s="16"/>
      <c r="L2854" s="16"/>
      <c r="M2854" s="15"/>
      <c r="N2854" s="15"/>
      <c r="O2854" s="16"/>
      <c r="P2854" s="16"/>
      <c r="Q2854" s="16"/>
      <c r="R2854" s="16"/>
      <c r="S2854" s="37" t="str">
        <f>IFERROR(__xludf.DUMMYFUNCTION("if(not(iserror(index(split(C2854, "" ""),2))), index(split(C2854, "" ""),1),"""")"),"")</f>
        <v/>
      </c>
      <c r="T2854" s="315" t="str">
        <f>IFERROR(__xludf.DUMMYFUNCTION("if(S2854="""",C2854,if(not(iserror(index(split(C2854, "" ""),3))), index(split(C2854, "" ""),3),index(split(C2854, "" ""),2)))"),"")</f>
        <v/>
      </c>
      <c r="U2854" s="38" t="b">
        <f t="shared" si="34"/>
        <v>0</v>
      </c>
      <c r="V2854" s="38"/>
      <c r="W2854" s="40"/>
      <c r="X2854" s="40"/>
      <c r="Y2854" s="38"/>
      <c r="Z2854" s="38"/>
      <c r="AA2854" s="38"/>
      <c r="AB2854" s="38"/>
      <c r="AC2854" s="38"/>
      <c r="AD2854" s="38"/>
      <c r="AE2854" s="38"/>
      <c r="AF2854" s="38"/>
      <c r="AG2854" s="38"/>
      <c r="AH2854" s="38"/>
      <c r="AI2854" s="38"/>
      <c r="AJ2854" s="38"/>
      <c r="AK2854" s="38"/>
      <c r="AL2854" s="38"/>
      <c r="AM2854" s="38"/>
      <c r="AN2854" s="38"/>
      <c r="AO2854" s="38"/>
      <c r="AP2854" s="38"/>
      <c r="AQ2854" s="38"/>
      <c r="AR2854" s="38"/>
      <c r="AS2854" s="38"/>
      <c r="AT2854" s="38"/>
      <c r="AU2854" s="38"/>
      <c r="AV2854" s="38"/>
      <c r="AW2854" s="38"/>
      <c r="AX2854" s="38"/>
      <c r="AY2854" s="38"/>
      <c r="AZ2854" s="38"/>
      <c r="BA2854" s="38"/>
      <c r="BB2854" s="38"/>
      <c r="BC2854" s="38"/>
      <c r="BD2854" s="38"/>
      <c r="BE2854" s="38"/>
      <c r="BF2854" s="38"/>
      <c r="BG2854" s="38"/>
      <c r="BH2854" s="38"/>
      <c r="BI2854" s="38"/>
      <c r="BJ2854" s="38"/>
      <c r="BK2854" s="38"/>
      <c r="BL2854" s="38"/>
      <c r="BM2854" s="38"/>
      <c r="BN2854" s="38"/>
      <c r="BO2854" s="38"/>
      <c r="BP2854" s="38"/>
      <c r="BQ2854" s="38"/>
    </row>
    <row r="2855">
      <c r="A2855" s="16"/>
      <c r="B2855" s="16"/>
      <c r="C2855" s="146"/>
      <c r="D2855" s="146"/>
      <c r="E2855" s="16"/>
      <c r="F2855" s="91"/>
      <c r="G2855" s="16"/>
      <c r="H2855" s="320" t="str">
        <f t="shared" si="33"/>
        <v/>
      </c>
      <c r="I2855" s="16"/>
      <c r="J2855" s="16"/>
      <c r="K2855" s="16"/>
      <c r="L2855" s="16"/>
      <c r="M2855" s="15"/>
      <c r="N2855" s="15"/>
      <c r="O2855" s="16"/>
      <c r="P2855" s="16"/>
      <c r="Q2855" s="16"/>
      <c r="R2855" s="16"/>
      <c r="S2855" s="37" t="str">
        <f>IFERROR(__xludf.DUMMYFUNCTION("if(not(iserror(index(split(C2855, "" ""),2))), index(split(C2855, "" ""),1),"""")"),"")</f>
        <v/>
      </c>
      <c r="T2855" s="315" t="str">
        <f>IFERROR(__xludf.DUMMYFUNCTION("if(S2855="""",C2855,if(not(iserror(index(split(C2855, "" ""),3))), index(split(C2855, "" ""),3),index(split(C2855, "" ""),2)))"),"")</f>
        <v/>
      </c>
      <c r="U2855" s="38" t="b">
        <f t="shared" si="34"/>
        <v>0</v>
      </c>
      <c r="V2855" s="38"/>
      <c r="W2855" s="40"/>
      <c r="X2855" s="40"/>
      <c r="Y2855" s="38"/>
      <c r="Z2855" s="38"/>
      <c r="AA2855" s="38"/>
      <c r="AB2855" s="38"/>
      <c r="AC2855" s="38"/>
      <c r="AD2855" s="38"/>
      <c r="AE2855" s="38"/>
      <c r="AF2855" s="38"/>
      <c r="AG2855" s="38"/>
      <c r="AH2855" s="38"/>
      <c r="AI2855" s="38"/>
      <c r="AJ2855" s="38"/>
      <c r="AK2855" s="38"/>
      <c r="AL2855" s="38"/>
      <c r="AM2855" s="38"/>
      <c r="AN2855" s="38"/>
      <c r="AO2855" s="38"/>
      <c r="AP2855" s="38"/>
      <c r="AQ2855" s="38"/>
      <c r="AR2855" s="38"/>
      <c r="AS2855" s="38"/>
      <c r="AT2855" s="38"/>
      <c r="AU2855" s="38"/>
      <c r="AV2855" s="38"/>
      <c r="AW2855" s="38"/>
      <c r="AX2855" s="38"/>
      <c r="AY2855" s="38"/>
      <c r="AZ2855" s="38"/>
      <c r="BA2855" s="38"/>
      <c r="BB2855" s="38"/>
      <c r="BC2855" s="38"/>
      <c r="BD2855" s="38"/>
      <c r="BE2855" s="38"/>
      <c r="BF2855" s="38"/>
      <c r="BG2855" s="38"/>
      <c r="BH2855" s="38"/>
      <c r="BI2855" s="38"/>
      <c r="BJ2855" s="38"/>
      <c r="BK2855" s="38"/>
      <c r="BL2855" s="38"/>
      <c r="BM2855" s="38"/>
      <c r="BN2855" s="38"/>
      <c r="BO2855" s="38"/>
      <c r="BP2855" s="38"/>
      <c r="BQ2855" s="38"/>
    </row>
    <row r="2856">
      <c r="A2856" s="16"/>
      <c r="B2856" s="16"/>
      <c r="C2856" s="146"/>
      <c r="D2856" s="146"/>
      <c r="E2856" s="16"/>
      <c r="F2856" s="91"/>
      <c r="G2856" s="16"/>
      <c r="H2856" s="320" t="str">
        <f t="shared" si="33"/>
        <v/>
      </c>
      <c r="I2856" s="16"/>
      <c r="J2856" s="16"/>
      <c r="K2856" s="16"/>
      <c r="L2856" s="16"/>
      <c r="M2856" s="15"/>
      <c r="N2856" s="15"/>
      <c r="O2856" s="16"/>
      <c r="P2856" s="16"/>
      <c r="Q2856" s="16"/>
      <c r="R2856" s="16"/>
      <c r="S2856" s="37" t="str">
        <f>IFERROR(__xludf.DUMMYFUNCTION("if(not(iserror(index(split(C2856, "" ""),2))), index(split(C2856, "" ""),1),"""")"),"")</f>
        <v/>
      </c>
      <c r="T2856" s="315" t="str">
        <f>IFERROR(__xludf.DUMMYFUNCTION("if(S2856="""",C2856,if(not(iserror(index(split(C2856, "" ""),3))), index(split(C2856, "" ""),3),index(split(C2856, "" ""),2)))"),"")</f>
        <v/>
      </c>
      <c r="U2856" s="38" t="b">
        <f t="shared" si="34"/>
        <v>0</v>
      </c>
      <c r="V2856" s="38"/>
      <c r="W2856" s="40"/>
      <c r="X2856" s="40"/>
      <c r="Y2856" s="38"/>
      <c r="Z2856" s="38"/>
      <c r="AA2856" s="38"/>
      <c r="AB2856" s="38"/>
      <c r="AC2856" s="38"/>
      <c r="AD2856" s="38"/>
      <c r="AE2856" s="38"/>
      <c r="AF2856" s="38"/>
      <c r="AG2856" s="38"/>
      <c r="AH2856" s="38"/>
      <c r="AI2856" s="38"/>
      <c r="AJ2856" s="38"/>
      <c r="AK2856" s="38"/>
      <c r="AL2856" s="38"/>
      <c r="AM2856" s="38"/>
      <c r="AN2856" s="38"/>
      <c r="AO2856" s="38"/>
      <c r="AP2856" s="38"/>
      <c r="AQ2856" s="38"/>
      <c r="AR2856" s="38"/>
      <c r="AS2856" s="38"/>
      <c r="AT2856" s="38"/>
      <c r="AU2856" s="38"/>
      <c r="AV2856" s="38"/>
      <c r="AW2856" s="38"/>
      <c r="AX2856" s="38"/>
      <c r="AY2856" s="38"/>
      <c r="AZ2856" s="38"/>
      <c r="BA2856" s="38"/>
      <c r="BB2856" s="38"/>
      <c r="BC2856" s="38"/>
      <c r="BD2856" s="38"/>
      <c r="BE2856" s="38"/>
      <c r="BF2856" s="38"/>
      <c r="BG2856" s="38"/>
      <c r="BH2856" s="38"/>
      <c r="BI2856" s="38"/>
      <c r="BJ2856" s="38"/>
      <c r="BK2856" s="38"/>
      <c r="BL2856" s="38"/>
      <c r="BM2856" s="38"/>
      <c r="BN2856" s="38"/>
      <c r="BO2856" s="38"/>
      <c r="BP2856" s="38"/>
      <c r="BQ2856" s="38"/>
    </row>
    <row r="2857">
      <c r="A2857" s="16"/>
      <c r="B2857" s="16"/>
      <c r="C2857" s="146"/>
      <c r="D2857" s="146"/>
      <c r="E2857" s="16"/>
      <c r="F2857" s="91"/>
      <c r="G2857" s="16"/>
      <c r="H2857" s="320" t="str">
        <f t="shared" si="33"/>
        <v/>
      </c>
      <c r="I2857" s="16"/>
      <c r="J2857" s="16"/>
      <c r="K2857" s="16"/>
      <c r="L2857" s="16"/>
      <c r="M2857" s="15"/>
      <c r="N2857" s="15"/>
      <c r="O2857" s="16"/>
      <c r="P2857" s="16"/>
      <c r="Q2857" s="16"/>
      <c r="R2857" s="16"/>
      <c r="S2857" s="37" t="str">
        <f>IFERROR(__xludf.DUMMYFUNCTION("if(not(iserror(index(split(C2857, "" ""),2))), index(split(C2857, "" ""),1),"""")"),"")</f>
        <v/>
      </c>
      <c r="T2857" s="315" t="str">
        <f>IFERROR(__xludf.DUMMYFUNCTION("if(S2857="""",C2857,if(not(iserror(index(split(C2857, "" ""),3))), index(split(C2857, "" ""),3),index(split(C2857, "" ""),2)))"),"")</f>
        <v/>
      </c>
      <c r="U2857" s="38" t="b">
        <f t="shared" si="34"/>
        <v>0</v>
      </c>
      <c r="V2857" s="38"/>
      <c r="W2857" s="40"/>
      <c r="X2857" s="40"/>
      <c r="Y2857" s="38"/>
      <c r="Z2857" s="38"/>
      <c r="AA2857" s="38"/>
      <c r="AB2857" s="38"/>
      <c r="AC2857" s="38"/>
      <c r="AD2857" s="38"/>
      <c r="AE2857" s="38"/>
      <c r="AF2857" s="38"/>
      <c r="AG2857" s="38"/>
      <c r="AH2857" s="38"/>
      <c r="AI2857" s="38"/>
      <c r="AJ2857" s="38"/>
      <c r="AK2857" s="38"/>
      <c r="AL2857" s="38"/>
      <c r="AM2857" s="38"/>
      <c r="AN2857" s="38"/>
      <c r="AO2857" s="38"/>
      <c r="AP2857" s="38"/>
      <c r="AQ2857" s="38"/>
      <c r="AR2857" s="38"/>
      <c r="AS2857" s="38"/>
      <c r="AT2857" s="38"/>
      <c r="AU2857" s="38"/>
      <c r="AV2857" s="38"/>
      <c r="AW2857" s="38"/>
      <c r="AX2857" s="38"/>
      <c r="AY2857" s="38"/>
      <c r="AZ2857" s="38"/>
      <c r="BA2857" s="38"/>
      <c r="BB2857" s="38"/>
      <c r="BC2857" s="38"/>
      <c r="BD2857" s="38"/>
      <c r="BE2857" s="38"/>
      <c r="BF2857" s="38"/>
      <c r="BG2857" s="38"/>
      <c r="BH2857" s="38"/>
      <c r="BI2857" s="38"/>
      <c r="BJ2857" s="38"/>
      <c r="BK2857" s="38"/>
      <c r="BL2857" s="38"/>
      <c r="BM2857" s="38"/>
      <c r="BN2857" s="38"/>
      <c r="BO2857" s="38"/>
      <c r="BP2857" s="38"/>
      <c r="BQ2857" s="38"/>
    </row>
    <row r="2858">
      <c r="A2858" s="16"/>
      <c r="B2858" s="16"/>
      <c r="C2858" s="146"/>
      <c r="D2858" s="146"/>
      <c r="E2858" s="16"/>
      <c r="F2858" s="91"/>
      <c r="G2858" s="16"/>
      <c r="H2858" s="320" t="str">
        <f t="shared" si="33"/>
        <v/>
      </c>
      <c r="I2858" s="16"/>
      <c r="J2858" s="16"/>
      <c r="K2858" s="16"/>
      <c r="L2858" s="16"/>
      <c r="M2858" s="15"/>
      <c r="N2858" s="15"/>
      <c r="O2858" s="16"/>
      <c r="P2858" s="16"/>
      <c r="Q2858" s="16"/>
      <c r="R2858" s="16"/>
      <c r="S2858" s="37" t="str">
        <f>IFERROR(__xludf.DUMMYFUNCTION("if(not(iserror(index(split(C2858, "" ""),2))), index(split(C2858, "" ""),1),"""")"),"")</f>
        <v/>
      </c>
      <c r="T2858" s="315" t="str">
        <f>IFERROR(__xludf.DUMMYFUNCTION("if(S2858="""",C2858,if(not(iserror(index(split(C2858, "" ""),3))), index(split(C2858, "" ""),3),index(split(C2858, "" ""),2)))"),"")</f>
        <v/>
      </c>
      <c r="U2858" s="38" t="b">
        <f t="shared" si="34"/>
        <v>0</v>
      </c>
      <c r="V2858" s="38"/>
      <c r="W2858" s="40"/>
      <c r="X2858" s="40"/>
      <c r="Y2858" s="38"/>
      <c r="Z2858" s="38"/>
      <c r="AA2858" s="38"/>
      <c r="AB2858" s="38"/>
      <c r="AC2858" s="38"/>
      <c r="AD2858" s="38"/>
      <c r="AE2858" s="38"/>
      <c r="AF2858" s="38"/>
      <c r="AG2858" s="38"/>
      <c r="AH2858" s="38"/>
      <c r="AI2858" s="38"/>
      <c r="AJ2858" s="38"/>
      <c r="AK2858" s="38"/>
      <c r="AL2858" s="38"/>
      <c r="AM2858" s="38"/>
      <c r="AN2858" s="38"/>
      <c r="AO2858" s="38"/>
      <c r="AP2858" s="38"/>
      <c r="AQ2858" s="38"/>
      <c r="AR2858" s="38"/>
      <c r="AS2858" s="38"/>
      <c r="AT2858" s="38"/>
      <c r="AU2858" s="38"/>
      <c r="AV2858" s="38"/>
      <c r="AW2858" s="38"/>
      <c r="AX2858" s="38"/>
      <c r="AY2858" s="38"/>
      <c r="AZ2858" s="38"/>
      <c r="BA2858" s="38"/>
      <c r="BB2858" s="38"/>
      <c r="BC2858" s="38"/>
      <c r="BD2858" s="38"/>
      <c r="BE2858" s="38"/>
      <c r="BF2858" s="38"/>
      <c r="BG2858" s="38"/>
      <c r="BH2858" s="38"/>
      <c r="BI2858" s="38"/>
      <c r="BJ2858" s="38"/>
      <c r="BK2858" s="38"/>
      <c r="BL2858" s="38"/>
      <c r="BM2858" s="38"/>
      <c r="BN2858" s="38"/>
      <c r="BO2858" s="38"/>
      <c r="BP2858" s="38"/>
      <c r="BQ2858" s="38"/>
    </row>
    <row r="2859">
      <c r="A2859" s="16"/>
      <c r="B2859" s="16"/>
      <c r="C2859" s="146"/>
      <c r="D2859" s="146"/>
      <c r="E2859" s="16"/>
      <c r="F2859" s="91"/>
      <c r="G2859" s="16"/>
      <c r="H2859" s="320" t="str">
        <f t="shared" si="33"/>
        <v/>
      </c>
      <c r="I2859" s="16"/>
      <c r="J2859" s="16"/>
      <c r="K2859" s="16"/>
      <c r="L2859" s="16"/>
      <c r="M2859" s="15"/>
      <c r="N2859" s="15"/>
      <c r="O2859" s="16"/>
      <c r="P2859" s="16"/>
      <c r="Q2859" s="16"/>
      <c r="R2859" s="16"/>
      <c r="S2859" s="37" t="str">
        <f>IFERROR(__xludf.DUMMYFUNCTION("if(not(iserror(index(split(C2859, "" ""),2))), index(split(C2859, "" ""),1),"""")"),"")</f>
        <v/>
      </c>
      <c r="T2859" s="315" t="str">
        <f>IFERROR(__xludf.DUMMYFUNCTION("if(S2859="""",C2859,if(not(iserror(index(split(C2859, "" ""),3))), index(split(C2859, "" ""),3),index(split(C2859, "" ""),2)))"),"")</f>
        <v/>
      </c>
      <c r="U2859" s="38" t="b">
        <f t="shared" si="34"/>
        <v>0</v>
      </c>
      <c r="V2859" s="38"/>
      <c r="W2859" s="40"/>
      <c r="X2859" s="40"/>
      <c r="Y2859" s="38"/>
      <c r="Z2859" s="38"/>
      <c r="AA2859" s="38"/>
      <c r="AB2859" s="38"/>
      <c r="AC2859" s="38"/>
      <c r="AD2859" s="38"/>
      <c r="AE2859" s="38"/>
      <c r="AF2859" s="38"/>
      <c r="AG2859" s="38"/>
      <c r="AH2859" s="38"/>
      <c r="AI2859" s="38"/>
      <c r="AJ2859" s="38"/>
      <c r="AK2859" s="38"/>
      <c r="AL2859" s="38"/>
      <c r="AM2859" s="38"/>
      <c r="AN2859" s="38"/>
      <c r="AO2859" s="38"/>
      <c r="AP2859" s="38"/>
      <c r="AQ2859" s="38"/>
      <c r="AR2859" s="38"/>
      <c r="AS2859" s="38"/>
      <c r="AT2859" s="38"/>
      <c r="AU2859" s="38"/>
      <c r="AV2859" s="38"/>
      <c r="AW2859" s="38"/>
      <c r="AX2859" s="38"/>
      <c r="AY2859" s="38"/>
      <c r="AZ2859" s="38"/>
      <c r="BA2859" s="38"/>
      <c r="BB2859" s="38"/>
      <c r="BC2859" s="38"/>
      <c r="BD2859" s="38"/>
      <c r="BE2859" s="38"/>
      <c r="BF2859" s="38"/>
      <c r="BG2859" s="38"/>
      <c r="BH2859" s="38"/>
      <c r="BI2859" s="38"/>
      <c r="BJ2859" s="38"/>
      <c r="BK2859" s="38"/>
      <c r="BL2859" s="38"/>
      <c r="BM2859" s="38"/>
      <c r="BN2859" s="38"/>
      <c r="BO2859" s="38"/>
      <c r="BP2859" s="38"/>
      <c r="BQ2859" s="38"/>
    </row>
    <row r="2860">
      <c r="A2860" s="16"/>
      <c r="B2860" s="16"/>
      <c r="C2860" s="146"/>
      <c r="D2860" s="146"/>
      <c r="E2860" s="16"/>
      <c r="F2860" s="91"/>
      <c r="G2860" s="16"/>
      <c r="H2860" s="320" t="str">
        <f t="shared" si="33"/>
        <v/>
      </c>
      <c r="I2860" s="16"/>
      <c r="J2860" s="16"/>
      <c r="K2860" s="16"/>
      <c r="L2860" s="16"/>
      <c r="M2860" s="15"/>
      <c r="N2860" s="15"/>
      <c r="O2860" s="16"/>
      <c r="P2860" s="16"/>
      <c r="Q2860" s="16"/>
      <c r="R2860" s="16"/>
      <c r="S2860" s="37" t="str">
        <f>IFERROR(__xludf.DUMMYFUNCTION("if(not(iserror(index(split(C2860, "" ""),2))), index(split(C2860, "" ""),1),"""")"),"")</f>
        <v/>
      </c>
      <c r="T2860" s="315" t="str">
        <f>IFERROR(__xludf.DUMMYFUNCTION("if(S2860="""",C2860,if(not(iserror(index(split(C2860, "" ""),3))), index(split(C2860, "" ""),3),index(split(C2860, "" ""),2)))"),"")</f>
        <v/>
      </c>
      <c r="U2860" s="38" t="b">
        <f t="shared" si="34"/>
        <v>0</v>
      </c>
      <c r="V2860" s="38"/>
      <c r="W2860" s="40"/>
      <c r="X2860" s="40"/>
      <c r="Y2860" s="38"/>
      <c r="Z2860" s="38"/>
      <c r="AA2860" s="38"/>
      <c r="AB2860" s="38"/>
      <c r="AC2860" s="38"/>
      <c r="AD2860" s="38"/>
      <c r="AE2860" s="38"/>
      <c r="AF2860" s="38"/>
      <c r="AG2860" s="38"/>
      <c r="AH2860" s="38"/>
      <c r="AI2860" s="38"/>
      <c r="AJ2860" s="38"/>
      <c r="AK2860" s="38"/>
      <c r="AL2860" s="38"/>
      <c r="AM2860" s="38"/>
      <c r="AN2860" s="38"/>
      <c r="AO2860" s="38"/>
      <c r="AP2860" s="38"/>
      <c r="AQ2860" s="38"/>
      <c r="AR2860" s="38"/>
      <c r="AS2860" s="38"/>
      <c r="AT2860" s="38"/>
      <c r="AU2860" s="38"/>
      <c r="AV2860" s="38"/>
      <c r="AW2860" s="38"/>
      <c r="AX2860" s="38"/>
      <c r="AY2860" s="38"/>
      <c r="AZ2860" s="38"/>
      <c r="BA2860" s="38"/>
      <c r="BB2860" s="38"/>
      <c r="BC2860" s="38"/>
      <c r="BD2860" s="38"/>
      <c r="BE2860" s="38"/>
      <c r="BF2860" s="38"/>
      <c r="BG2860" s="38"/>
      <c r="BH2860" s="38"/>
      <c r="BI2860" s="38"/>
      <c r="BJ2860" s="38"/>
      <c r="BK2860" s="38"/>
      <c r="BL2860" s="38"/>
      <c r="BM2860" s="38"/>
      <c r="BN2860" s="38"/>
      <c r="BO2860" s="38"/>
      <c r="BP2860" s="38"/>
      <c r="BQ2860" s="38"/>
    </row>
    <row r="2861">
      <c r="A2861" s="16"/>
      <c r="B2861" s="16"/>
      <c r="C2861" s="146"/>
      <c r="D2861" s="146"/>
      <c r="E2861" s="16"/>
      <c r="F2861" s="91"/>
      <c r="G2861" s="16"/>
      <c r="H2861" s="320" t="str">
        <f t="shared" si="33"/>
        <v/>
      </c>
      <c r="I2861" s="16"/>
      <c r="J2861" s="16"/>
      <c r="K2861" s="16"/>
      <c r="L2861" s="16"/>
      <c r="M2861" s="15"/>
      <c r="N2861" s="15"/>
      <c r="O2861" s="16"/>
      <c r="P2861" s="16"/>
      <c r="Q2861" s="16"/>
      <c r="R2861" s="16"/>
      <c r="S2861" s="37" t="str">
        <f>IFERROR(__xludf.DUMMYFUNCTION("if(not(iserror(index(split(C2861, "" ""),2))), index(split(C2861, "" ""),1),"""")"),"")</f>
        <v/>
      </c>
      <c r="T2861" s="315" t="str">
        <f>IFERROR(__xludf.DUMMYFUNCTION("if(S2861="""",C2861,if(not(iserror(index(split(C2861, "" ""),3))), index(split(C2861, "" ""),3),index(split(C2861, "" ""),2)))"),"")</f>
        <v/>
      </c>
      <c r="U2861" s="38" t="b">
        <f t="shared" si="34"/>
        <v>0</v>
      </c>
      <c r="V2861" s="38"/>
      <c r="W2861" s="40"/>
      <c r="X2861" s="40"/>
      <c r="Y2861" s="38"/>
      <c r="Z2861" s="38"/>
      <c r="AA2861" s="38"/>
      <c r="AB2861" s="38"/>
      <c r="AC2861" s="38"/>
      <c r="AD2861" s="38"/>
      <c r="AE2861" s="38"/>
      <c r="AF2861" s="38"/>
      <c r="AG2861" s="38"/>
      <c r="AH2861" s="38"/>
      <c r="AI2861" s="38"/>
      <c r="AJ2861" s="38"/>
      <c r="AK2861" s="38"/>
      <c r="AL2861" s="38"/>
      <c r="AM2861" s="38"/>
      <c r="AN2861" s="38"/>
      <c r="AO2861" s="38"/>
      <c r="AP2861" s="38"/>
      <c r="AQ2861" s="38"/>
      <c r="AR2861" s="38"/>
      <c r="AS2861" s="38"/>
      <c r="AT2861" s="38"/>
      <c r="AU2861" s="38"/>
      <c r="AV2861" s="38"/>
      <c r="AW2861" s="38"/>
      <c r="AX2861" s="38"/>
      <c r="AY2861" s="38"/>
      <c r="AZ2861" s="38"/>
      <c r="BA2861" s="38"/>
      <c r="BB2861" s="38"/>
      <c r="BC2861" s="38"/>
      <c r="BD2861" s="38"/>
      <c r="BE2861" s="38"/>
      <c r="BF2861" s="38"/>
      <c r="BG2861" s="38"/>
      <c r="BH2861" s="38"/>
      <c r="BI2861" s="38"/>
      <c r="BJ2861" s="38"/>
      <c r="BK2861" s="38"/>
      <c r="BL2861" s="38"/>
      <c r="BM2861" s="38"/>
      <c r="BN2861" s="38"/>
      <c r="BO2861" s="38"/>
      <c r="BP2861" s="38"/>
      <c r="BQ2861" s="38"/>
    </row>
    <row r="2862">
      <c r="A2862" s="16"/>
      <c r="B2862" s="16"/>
      <c r="C2862" s="146"/>
      <c r="D2862" s="146"/>
      <c r="E2862" s="16"/>
      <c r="F2862" s="91"/>
      <c r="G2862" s="16"/>
      <c r="H2862" s="320" t="str">
        <f t="shared" si="33"/>
        <v/>
      </c>
      <c r="I2862" s="16"/>
      <c r="J2862" s="16"/>
      <c r="K2862" s="16"/>
      <c r="L2862" s="16"/>
      <c r="M2862" s="15"/>
      <c r="N2862" s="15"/>
      <c r="O2862" s="16"/>
      <c r="P2862" s="16"/>
      <c r="Q2862" s="16"/>
      <c r="R2862" s="16"/>
      <c r="S2862" s="37" t="str">
        <f>IFERROR(__xludf.DUMMYFUNCTION("if(not(iserror(index(split(C2862, "" ""),2))), index(split(C2862, "" ""),1),"""")"),"")</f>
        <v/>
      </c>
      <c r="T2862" s="315" t="str">
        <f>IFERROR(__xludf.DUMMYFUNCTION("if(S2862="""",C2862,if(not(iserror(index(split(C2862, "" ""),3))), index(split(C2862, "" ""),3),index(split(C2862, "" ""),2)))"),"")</f>
        <v/>
      </c>
      <c r="U2862" s="38" t="b">
        <f t="shared" si="34"/>
        <v>0</v>
      </c>
      <c r="V2862" s="38"/>
      <c r="W2862" s="40"/>
      <c r="X2862" s="40"/>
      <c r="Y2862" s="38"/>
      <c r="Z2862" s="38"/>
      <c r="AA2862" s="38"/>
      <c r="AB2862" s="38"/>
      <c r="AC2862" s="38"/>
      <c r="AD2862" s="38"/>
      <c r="AE2862" s="38"/>
      <c r="AF2862" s="38"/>
      <c r="AG2862" s="38"/>
      <c r="AH2862" s="38"/>
      <c r="AI2862" s="38"/>
      <c r="AJ2862" s="38"/>
      <c r="AK2862" s="38"/>
      <c r="AL2862" s="38"/>
      <c r="AM2862" s="38"/>
      <c r="AN2862" s="38"/>
      <c r="AO2862" s="38"/>
      <c r="AP2862" s="38"/>
      <c r="AQ2862" s="38"/>
      <c r="AR2862" s="38"/>
      <c r="AS2862" s="38"/>
      <c r="AT2862" s="38"/>
      <c r="AU2862" s="38"/>
      <c r="AV2862" s="38"/>
      <c r="AW2862" s="38"/>
      <c r="AX2862" s="38"/>
      <c r="AY2862" s="38"/>
      <c r="AZ2862" s="38"/>
      <c r="BA2862" s="38"/>
      <c r="BB2862" s="38"/>
      <c r="BC2862" s="38"/>
      <c r="BD2862" s="38"/>
      <c r="BE2862" s="38"/>
      <c r="BF2862" s="38"/>
      <c r="BG2862" s="38"/>
      <c r="BH2862" s="38"/>
      <c r="BI2862" s="38"/>
      <c r="BJ2862" s="38"/>
      <c r="BK2862" s="38"/>
      <c r="BL2862" s="38"/>
      <c r="BM2862" s="38"/>
      <c r="BN2862" s="38"/>
      <c r="BO2862" s="38"/>
      <c r="BP2862" s="38"/>
      <c r="BQ2862" s="38"/>
    </row>
    <row r="2863">
      <c r="A2863" s="16"/>
      <c r="B2863" s="16"/>
      <c r="C2863" s="146"/>
      <c r="D2863" s="146"/>
      <c r="E2863" s="16"/>
      <c r="F2863" s="91"/>
      <c r="G2863" s="16"/>
      <c r="H2863" s="320" t="str">
        <f t="shared" si="33"/>
        <v/>
      </c>
      <c r="I2863" s="16"/>
      <c r="J2863" s="16"/>
      <c r="K2863" s="16"/>
      <c r="L2863" s="16"/>
      <c r="M2863" s="15"/>
      <c r="N2863" s="15"/>
      <c r="O2863" s="16"/>
      <c r="P2863" s="16"/>
      <c r="Q2863" s="16"/>
      <c r="R2863" s="16"/>
      <c r="S2863" s="37" t="str">
        <f>IFERROR(__xludf.DUMMYFUNCTION("if(not(iserror(index(split(C2863, "" ""),2))), index(split(C2863, "" ""),1),"""")"),"")</f>
        <v/>
      </c>
      <c r="T2863" s="315" t="str">
        <f>IFERROR(__xludf.DUMMYFUNCTION("if(S2863="""",C2863,if(not(iserror(index(split(C2863, "" ""),3))), index(split(C2863, "" ""),3),index(split(C2863, "" ""),2)))"),"")</f>
        <v/>
      </c>
      <c r="U2863" s="38" t="b">
        <f t="shared" si="34"/>
        <v>0</v>
      </c>
      <c r="V2863" s="38"/>
      <c r="W2863" s="40"/>
      <c r="X2863" s="40"/>
      <c r="Y2863" s="38"/>
      <c r="Z2863" s="38"/>
      <c r="AA2863" s="38"/>
      <c r="AB2863" s="38"/>
      <c r="AC2863" s="38"/>
      <c r="AD2863" s="38"/>
      <c r="AE2863" s="38"/>
      <c r="AF2863" s="38"/>
      <c r="AG2863" s="38"/>
      <c r="AH2863" s="38"/>
      <c r="AI2863" s="38"/>
      <c r="AJ2863" s="38"/>
      <c r="AK2863" s="38"/>
      <c r="AL2863" s="38"/>
      <c r="AM2863" s="38"/>
      <c r="AN2863" s="38"/>
      <c r="AO2863" s="38"/>
      <c r="AP2863" s="38"/>
      <c r="AQ2863" s="38"/>
      <c r="AR2863" s="38"/>
      <c r="AS2863" s="38"/>
      <c r="AT2863" s="38"/>
      <c r="AU2863" s="38"/>
      <c r="AV2863" s="38"/>
      <c r="AW2863" s="38"/>
      <c r="AX2863" s="38"/>
      <c r="AY2863" s="38"/>
      <c r="AZ2863" s="38"/>
      <c r="BA2863" s="38"/>
      <c r="BB2863" s="38"/>
      <c r="BC2863" s="38"/>
      <c r="BD2863" s="38"/>
      <c r="BE2863" s="38"/>
      <c r="BF2863" s="38"/>
      <c r="BG2863" s="38"/>
      <c r="BH2863" s="38"/>
      <c r="BI2863" s="38"/>
      <c r="BJ2863" s="38"/>
      <c r="BK2863" s="38"/>
      <c r="BL2863" s="38"/>
      <c r="BM2863" s="38"/>
      <c r="BN2863" s="38"/>
      <c r="BO2863" s="38"/>
      <c r="BP2863" s="38"/>
      <c r="BQ2863" s="38"/>
    </row>
    <row r="2864">
      <c r="A2864" s="16"/>
      <c r="B2864" s="16"/>
      <c r="C2864" s="146"/>
      <c r="D2864" s="146"/>
      <c r="E2864" s="16"/>
      <c r="F2864" s="91"/>
      <c r="G2864" s="16"/>
      <c r="H2864" s="320" t="str">
        <f t="shared" si="33"/>
        <v/>
      </c>
      <c r="I2864" s="16"/>
      <c r="J2864" s="16"/>
      <c r="K2864" s="16"/>
      <c r="L2864" s="16"/>
      <c r="M2864" s="15"/>
      <c r="N2864" s="15"/>
      <c r="O2864" s="16"/>
      <c r="P2864" s="16"/>
      <c r="Q2864" s="16"/>
      <c r="R2864" s="16"/>
      <c r="S2864" s="37" t="str">
        <f>IFERROR(__xludf.DUMMYFUNCTION("if(not(iserror(index(split(C2864, "" ""),2))), index(split(C2864, "" ""),1),"""")"),"")</f>
        <v/>
      </c>
      <c r="T2864" s="315" t="str">
        <f>IFERROR(__xludf.DUMMYFUNCTION("if(S2864="""",C2864,if(not(iserror(index(split(C2864, "" ""),3))), index(split(C2864, "" ""),3),index(split(C2864, "" ""),2)))"),"")</f>
        <v/>
      </c>
      <c r="U2864" s="38" t="b">
        <f t="shared" si="34"/>
        <v>0</v>
      </c>
      <c r="V2864" s="38"/>
      <c r="W2864" s="40"/>
      <c r="X2864" s="40"/>
      <c r="Y2864" s="38"/>
      <c r="Z2864" s="38"/>
      <c r="AA2864" s="38"/>
      <c r="AB2864" s="38"/>
      <c r="AC2864" s="38"/>
      <c r="AD2864" s="38"/>
      <c r="AE2864" s="38"/>
      <c r="AF2864" s="38"/>
      <c r="AG2864" s="38"/>
      <c r="AH2864" s="38"/>
      <c r="AI2864" s="38"/>
      <c r="AJ2864" s="38"/>
      <c r="AK2864" s="38"/>
      <c r="AL2864" s="38"/>
      <c r="AM2864" s="38"/>
      <c r="AN2864" s="38"/>
      <c r="AO2864" s="38"/>
      <c r="AP2864" s="38"/>
      <c r="AQ2864" s="38"/>
      <c r="AR2864" s="38"/>
      <c r="AS2864" s="38"/>
      <c r="AT2864" s="38"/>
      <c r="AU2864" s="38"/>
      <c r="AV2864" s="38"/>
      <c r="AW2864" s="38"/>
      <c r="AX2864" s="38"/>
      <c r="AY2864" s="38"/>
      <c r="AZ2864" s="38"/>
      <c r="BA2864" s="38"/>
      <c r="BB2864" s="38"/>
      <c r="BC2864" s="38"/>
      <c r="BD2864" s="38"/>
      <c r="BE2864" s="38"/>
      <c r="BF2864" s="38"/>
      <c r="BG2864" s="38"/>
      <c r="BH2864" s="38"/>
      <c r="BI2864" s="38"/>
      <c r="BJ2864" s="38"/>
      <c r="BK2864" s="38"/>
      <c r="BL2864" s="38"/>
      <c r="BM2864" s="38"/>
      <c r="BN2864" s="38"/>
      <c r="BO2864" s="38"/>
      <c r="BP2864" s="38"/>
      <c r="BQ2864" s="38"/>
    </row>
    <row r="2865">
      <c r="A2865" s="16"/>
      <c r="B2865" s="16"/>
      <c r="C2865" s="146"/>
      <c r="D2865" s="146"/>
      <c r="E2865" s="16"/>
      <c r="F2865" s="91"/>
      <c r="G2865" s="16"/>
      <c r="H2865" s="320" t="str">
        <f t="shared" si="33"/>
        <v/>
      </c>
      <c r="I2865" s="16"/>
      <c r="J2865" s="16"/>
      <c r="K2865" s="16"/>
      <c r="L2865" s="16"/>
      <c r="M2865" s="15"/>
      <c r="N2865" s="15"/>
      <c r="O2865" s="16"/>
      <c r="P2865" s="16"/>
      <c r="Q2865" s="16"/>
      <c r="R2865" s="16"/>
      <c r="S2865" s="37" t="str">
        <f>IFERROR(__xludf.DUMMYFUNCTION("if(not(iserror(index(split(C2865, "" ""),2))), index(split(C2865, "" ""),1),"""")"),"")</f>
        <v/>
      </c>
      <c r="T2865" s="315" t="str">
        <f>IFERROR(__xludf.DUMMYFUNCTION("if(S2865="""",C2865,if(not(iserror(index(split(C2865, "" ""),3))), index(split(C2865, "" ""),3),index(split(C2865, "" ""),2)))"),"")</f>
        <v/>
      </c>
      <c r="U2865" s="38" t="b">
        <f t="shared" si="34"/>
        <v>0</v>
      </c>
      <c r="V2865" s="38"/>
      <c r="W2865" s="40"/>
      <c r="X2865" s="40"/>
      <c r="Y2865" s="38"/>
      <c r="Z2865" s="38"/>
      <c r="AA2865" s="38"/>
      <c r="AB2865" s="38"/>
      <c r="AC2865" s="38"/>
      <c r="AD2865" s="38"/>
      <c r="AE2865" s="38"/>
      <c r="AF2865" s="38"/>
      <c r="AG2865" s="38"/>
      <c r="AH2865" s="38"/>
      <c r="AI2865" s="38"/>
      <c r="AJ2865" s="38"/>
      <c r="AK2865" s="38"/>
      <c r="AL2865" s="38"/>
      <c r="AM2865" s="38"/>
      <c r="AN2865" s="38"/>
      <c r="AO2865" s="38"/>
      <c r="AP2865" s="38"/>
      <c r="AQ2865" s="38"/>
      <c r="AR2865" s="38"/>
      <c r="AS2865" s="38"/>
      <c r="AT2865" s="38"/>
      <c r="AU2865" s="38"/>
      <c r="AV2865" s="38"/>
      <c r="AW2865" s="38"/>
      <c r="AX2865" s="38"/>
      <c r="AY2865" s="38"/>
      <c r="AZ2865" s="38"/>
      <c r="BA2865" s="38"/>
      <c r="BB2865" s="38"/>
      <c r="BC2865" s="38"/>
      <c r="BD2865" s="38"/>
      <c r="BE2865" s="38"/>
      <c r="BF2865" s="38"/>
      <c r="BG2865" s="38"/>
      <c r="BH2865" s="38"/>
      <c r="BI2865" s="38"/>
      <c r="BJ2865" s="38"/>
      <c r="BK2865" s="38"/>
      <c r="BL2865" s="38"/>
      <c r="BM2865" s="38"/>
      <c r="BN2865" s="38"/>
      <c r="BO2865" s="38"/>
      <c r="BP2865" s="38"/>
      <c r="BQ2865" s="38"/>
    </row>
    <row r="2866">
      <c r="A2866" s="16"/>
      <c r="B2866" s="16"/>
      <c r="C2866" s="146"/>
      <c r="D2866" s="146"/>
      <c r="E2866" s="16"/>
      <c r="F2866" s="91"/>
      <c r="G2866" s="16"/>
      <c r="H2866" s="320" t="str">
        <f t="shared" si="33"/>
        <v/>
      </c>
      <c r="I2866" s="16"/>
      <c r="J2866" s="16"/>
      <c r="K2866" s="16"/>
      <c r="L2866" s="16"/>
      <c r="M2866" s="15"/>
      <c r="N2866" s="15"/>
      <c r="O2866" s="16"/>
      <c r="P2866" s="16"/>
      <c r="Q2866" s="16"/>
      <c r="R2866" s="16"/>
      <c r="S2866" s="37" t="str">
        <f>IFERROR(__xludf.DUMMYFUNCTION("if(not(iserror(index(split(C2866, "" ""),2))), index(split(C2866, "" ""),1),"""")"),"")</f>
        <v/>
      </c>
      <c r="T2866" s="315" t="str">
        <f>IFERROR(__xludf.DUMMYFUNCTION("if(S2866="""",C2866,if(not(iserror(index(split(C2866, "" ""),3))), index(split(C2866, "" ""),3),index(split(C2866, "" ""),2)))"),"")</f>
        <v/>
      </c>
      <c r="U2866" s="38" t="b">
        <f t="shared" si="34"/>
        <v>0</v>
      </c>
      <c r="V2866" s="38"/>
      <c r="W2866" s="40"/>
      <c r="X2866" s="40"/>
      <c r="Y2866" s="38"/>
      <c r="Z2866" s="38"/>
      <c r="AA2866" s="38"/>
      <c r="AB2866" s="38"/>
      <c r="AC2866" s="38"/>
      <c r="AD2866" s="38"/>
      <c r="AE2866" s="38"/>
      <c r="AF2866" s="38"/>
      <c r="AG2866" s="38"/>
      <c r="AH2866" s="38"/>
      <c r="AI2866" s="38"/>
      <c r="AJ2866" s="38"/>
      <c r="AK2866" s="38"/>
      <c r="AL2866" s="38"/>
      <c r="AM2866" s="38"/>
      <c r="AN2866" s="38"/>
      <c r="AO2866" s="38"/>
      <c r="AP2866" s="38"/>
      <c r="AQ2866" s="38"/>
      <c r="AR2866" s="38"/>
      <c r="AS2866" s="38"/>
      <c r="AT2866" s="38"/>
      <c r="AU2866" s="38"/>
      <c r="AV2866" s="38"/>
      <c r="AW2866" s="38"/>
      <c r="AX2866" s="38"/>
      <c r="AY2866" s="38"/>
      <c r="AZ2866" s="38"/>
      <c r="BA2866" s="38"/>
      <c r="BB2866" s="38"/>
      <c r="BC2866" s="38"/>
      <c r="BD2866" s="38"/>
      <c r="BE2866" s="38"/>
      <c r="BF2866" s="38"/>
      <c r="BG2866" s="38"/>
      <c r="BH2866" s="38"/>
      <c r="BI2866" s="38"/>
      <c r="BJ2866" s="38"/>
      <c r="BK2866" s="38"/>
      <c r="BL2866" s="38"/>
      <c r="BM2866" s="38"/>
      <c r="BN2866" s="38"/>
      <c r="BO2866" s="38"/>
      <c r="BP2866" s="38"/>
      <c r="BQ2866" s="38"/>
    </row>
    <row r="2867">
      <c r="A2867" s="16"/>
      <c r="B2867" s="16"/>
      <c r="C2867" s="146"/>
      <c r="D2867" s="146"/>
      <c r="E2867" s="16"/>
      <c r="F2867" s="91"/>
      <c r="G2867" s="16"/>
      <c r="H2867" s="320" t="str">
        <f t="shared" si="33"/>
        <v/>
      </c>
      <c r="I2867" s="16"/>
      <c r="J2867" s="16"/>
      <c r="K2867" s="16"/>
      <c r="L2867" s="16"/>
      <c r="M2867" s="15"/>
      <c r="N2867" s="15"/>
      <c r="O2867" s="16"/>
      <c r="P2867" s="16"/>
      <c r="Q2867" s="16"/>
      <c r="R2867" s="16"/>
      <c r="S2867" s="37" t="str">
        <f>IFERROR(__xludf.DUMMYFUNCTION("if(not(iserror(index(split(C2867, "" ""),2))), index(split(C2867, "" ""),1),"""")"),"")</f>
        <v/>
      </c>
      <c r="T2867" s="315" t="str">
        <f>IFERROR(__xludf.DUMMYFUNCTION("if(S2867="""",C2867,if(not(iserror(index(split(C2867, "" ""),3))), index(split(C2867, "" ""),3),index(split(C2867, "" ""),2)))"),"")</f>
        <v/>
      </c>
      <c r="U2867" s="38" t="b">
        <f t="shared" si="34"/>
        <v>0</v>
      </c>
      <c r="V2867" s="38"/>
      <c r="W2867" s="40"/>
      <c r="X2867" s="40"/>
      <c r="Y2867" s="38"/>
      <c r="Z2867" s="38"/>
      <c r="AA2867" s="38"/>
      <c r="AB2867" s="38"/>
      <c r="AC2867" s="38"/>
      <c r="AD2867" s="38"/>
      <c r="AE2867" s="38"/>
      <c r="AF2867" s="38"/>
      <c r="AG2867" s="38"/>
      <c r="AH2867" s="38"/>
      <c r="AI2867" s="38"/>
      <c r="AJ2867" s="38"/>
      <c r="AK2867" s="38"/>
      <c r="AL2867" s="38"/>
      <c r="AM2867" s="38"/>
      <c r="AN2867" s="38"/>
      <c r="AO2867" s="38"/>
      <c r="AP2867" s="38"/>
      <c r="AQ2867" s="38"/>
      <c r="AR2867" s="38"/>
      <c r="AS2867" s="38"/>
      <c r="AT2867" s="38"/>
      <c r="AU2867" s="38"/>
      <c r="AV2867" s="38"/>
      <c r="AW2867" s="38"/>
      <c r="AX2867" s="38"/>
      <c r="AY2867" s="38"/>
      <c r="AZ2867" s="38"/>
      <c r="BA2867" s="38"/>
      <c r="BB2867" s="38"/>
      <c r="BC2867" s="38"/>
      <c r="BD2867" s="38"/>
      <c r="BE2867" s="38"/>
      <c r="BF2867" s="38"/>
      <c r="BG2867" s="38"/>
      <c r="BH2867" s="38"/>
      <c r="BI2867" s="38"/>
      <c r="BJ2867" s="38"/>
      <c r="BK2867" s="38"/>
      <c r="BL2867" s="38"/>
      <c r="BM2867" s="38"/>
      <c r="BN2867" s="38"/>
      <c r="BO2867" s="38"/>
      <c r="BP2867" s="38"/>
      <c r="BQ2867" s="38"/>
    </row>
    <row r="2868">
      <c r="A2868" s="16"/>
      <c r="B2868" s="16"/>
      <c r="C2868" s="146"/>
      <c r="D2868" s="146"/>
      <c r="E2868" s="16"/>
      <c r="F2868" s="91"/>
      <c r="G2868" s="16"/>
      <c r="H2868" s="320" t="str">
        <f t="shared" si="33"/>
        <v/>
      </c>
      <c r="I2868" s="16"/>
      <c r="J2868" s="16"/>
      <c r="K2868" s="16"/>
      <c r="L2868" s="16"/>
      <c r="M2868" s="15"/>
      <c r="N2868" s="15"/>
      <c r="O2868" s="16"/>
      <c r="P2868" s="16"/>
      <c r="Q2868" s="16"/>
      <c r="R2868" s="16"/>
      <c r="S2868" s="37" t="str">
        <f>IFERROR(__xludf.DUMMYFUNCTION("if(not(iserror(index(split(C2868, "" ""),2))), index(split(C2868, "" ""),1),"""")"),"")</f>
        <v/>
      </c>
      <c r="T2868" s="315" t="str">
        <f>IFERROR(__xludf.DUMMYFUNCTION("if(S2868="""",C2868,if(not(iserror(index(split(C2868, "" ""),3))), index(split(C2868, "" ""),3),index(split(C2868, "" ""),2)))"),"")</f>
        <v/>
      </c>
      <c r="U2868" s="38" t="b">
        <f t="shared" si="34"/>
        <v>0</v>
      </c>
      <c r="V2868" s="38"/>
      <c r="W2868" s="40"/>
      <c r="X2868" s="40"/>
      <c r="Y2868" s="38"/>
      <c r="Z2868" s="38"/>
      <c r="AA2868" s="38"/>
      <c r="AB2868" s="38"/>
      <c r="AC2868" s="38"/>
      <c r="AD2868" s="38"/>
      <c r="AE2868" s="38"/>
      <c r="AF2868" s="38"/>
      <c r="AG2868" s="38"/>
      <c r="AH2868" s="38"/>
      <c r="AI2868" s="38"/>
      <c r="AJ2868" s="38"/>
      <c r="AK2868" s="38"/>
      <c r="AL2868" s="38"/>
      <c r="AM2868" s="38"/>
      <c r="AN2868" s="38"/>
      <c r="AO2868" s="38"/>
      <c r="AP2868" s="38"/>
      <c r="AQ2868" s="38"/>
      <c r="AR2868" s="38"/>
      <c r="AS2868" s="38"/>
      <c r="AT2868" s="38"/>
      <c r="AU2868" s="38"/>
      <c r="AV2868" s="38"/>
      <c r="AW2868" s="38"/>
      <c r="AX2868" s="38"/>
      <c r="AY2868" s="38"/>
      <c r="AZ2868" s="38"/>
      <c r="BA2868" s="38"/>
      <c r="BB2868" s="38"/>
      <c r="BC2868" s="38"/>
      <c r="BD2868" s="38"/>
      <c r="BE2868" s="38"/>
      <c r="BF2868" s="38"/>
      <c r="BG2868" s="38"/>
      <c r="BH2868" s="38"/>
      <c r="BI2868" s="38"/>
      <c r="BJ2868" s="38"/>
      <c r="BK2868" s="38"/>
      <c r="BL2868" s="38"/>
      <c r="BM2868" s="38"/>
      <c r="BN2868" s="38"/>
      <c r="BO2868" s="38"/>
      <c r="BP2868" s="38"/>
      <c r="BQ2868" s="38"/>
    </row>
    <row r="2869">
      <c r="A2869" s="16"/>
      <c r="B2869" s="16"/>
      <c r="C2869" s="146"/>
      <c r="D2869" s="146"/>
      <c r="E2869" s="16"/>
      <c r="F2869" s="91"/>
      <c r="G2869" s="16"/>
      <c r="H2869" s="320" t="str">
        <f t="shared" si="33"/>
        <v/>
      </c>
      <c r="I2869" s="16"/>
      <c r="J2869" s="16"/>
      <c r="K2869" s="16"/>
      <c r="L2869" s="16"/>
      <c r="M2869" s="15"/>
      <c r="N2869" s="15"/>
      <c r="O2869" s="16"/>
      <c r="P2869" s="16"/>
      <c r="Q2869" s="16"/>
      <c r="R2869" s="16"/>
      <c r="S2869" s="37" t="str">
        <f>IFERROR(__xludf.DUMMYFUNCTION("if(not(iserror(index(split(C2869, "" ""),2))), index(split(C2869, "" ""),1),"""")"),"")</f>
        <v/>
      </c>
      <c r="T2869" s="315" t="str">
        <f>IFERROR(__xludf.DUMMYFUNCTION("if(S2869="""",C2869,if(not(iserror(index(split(C2869, "" ""),3))), index(split(C2869, "" ""),3),index(split(C2869, "" ""),2)))"),"")</f>
        <v/>
      </c>
      <c r="U2869" s="38" t="b">
        <f t="shared" si="34"/>
        <v>0</v>
      </c>
      <c r="V2869" s="38"/>
      <c r="W2869" s="40"/>
      <c r="X2869" s="40"/>
      <c r="Y2869" s="38"/>
      <c r="Z2869" s="38"/>
      <c r="AA2869" s="38"/>
      <c r="AB2869" s="38"/>
      <c r="AC2869" s="38"/>
      <c r="AD2869" s="38"/>
      <c r="AE2869" s="38"/>
      <c r="AF2869" s="38"/>
      <c r="AG2869" s="38"/>
      <c r="AH2869" s="38"/>
      <c r="AI2869" s="38"/>
      <c r="AJ2869" s="38"/>
      <c r="AK2869" s="38"/>
      <c r="AL2869" s="38"/>
      <c r="AM2869" s="38"/>
      <c r="AN2869" s="38"/>
      <c r="AO2869" s="38"/>
      <c r="AP2869" s="38"/>
      <c r="AQ2869" s="38"/>
      <c r="AR2869" s="38"/>
      <c r="AS2869" s="38"/>
      <c r="AT2869" s="38"/>
      <c r="AU2869" s="38"/>
      <c r="AV2869" s="38"/>
      <c r="AW2869" s="38"/>
      <c r="AX2869" s="38"/>
      <c r="AY2869" s="38"/>
      <c r="AZ2869" s="38"/>
      <c r="BA2869" s="38"/>
      <c r="BB2869" s="38"/>
      <c r="BC2869" s="38"/>
      <c r="BD2869" s="38"/>
      <c r="BE2869" s="38"/>
      <c r="BF2869" s="38"/>
      <c r="BG2869" s="38"/>
      <c r="BH2869" s="38"/>
      <c r="BI2869" s="38"/>
      <c r="BJ2869" s="38"/>
      <c r="BK2869" s="38"/>
      <c r="BL2869" s="38"/>
      <c r="BM2869" s="38"/>
      <c r="BN2869" s="38"/>
      <c r="BO2869" s="38"/>
      <c r="BP2869" s="38"/>
      <c r="BQ2869" s="38"/>
    </row>
    <row r="2870">
      <c r="A2870" s="16"/>
      <c r="B2870" s="16"/>
      <c r="C2870" s="146"/>
      <c r="D2870" s="146"/>
      <c r="E2870" s="16"/>
      <c r="F2870" s="91"/>
      <c r="G2870" s="16"/>
      <c r="H2870" s="320" t="str">
        <f t="shared" si="33"/>
        <v/>
      </c>
      <c r="I2870" s="16"/>
      <c r="J2870" s="16"/>
      <c r="K2870" s="16"/>
      <c r="L2870" s="16"/>
      <c r="M2870" s="15"/>
      <c r="N2870" s="15"/>
      <c r="O2870" s="16"/>
      <c r="P2870" s="16"/>
      <c r="Q2870" s="16"/>
      <c r="R2870" s="16"/>
      <c r="S2870" s="37" t="str">
        <f>IFERROR(__xludf.DUMMYFUNCTION("if(not(iserror(index(split(C2870, "" ""),2))), index(split(C2870, "" ""),1),"""")"),"")</f>
        <v/>
      </c>
      <c r="T2870" s="315" t="str">
        <f>IFERROR(__xludf.DUMMYFUNCTION("if(S2870="""",C2870,if(not(iserror(index(split(C2870, "" ""),3))), index(split(C2870, "" ""),3),index(split(C2870, "" ""),2)))"),"")</f>
        <v/>
      </c>
      <c r="U2870" s="38" t="b">
        <f t="shared" si="34"/>
        <v>0</v>
      </c>
      <c r="V2870" s="38"/>
      <c r="W2870" s="40"/>
      <c r="X2870" s="40"/>
      <c r="Y2870" s="38"/>
      <c r="Z2870" s="38"/>
      <c r="AA2870" s="38"/>
      <c r="AB2870" s="38"/>
      <c r="AC2870" s="38"/>
      <c r="AD2870" s="38"/>
      <c r="AE2870" s="38"/>
      <c r="AF2870" s="38"/>
      <c r="AG2870" s="38"/>
      <c r="AH2870" s="38"/>
      <c r="AI2870" s="38"/>
      <c r="AJ2870" s="38"/>
      <c r="AK2870" s="38"/>
      <c r="AL2870" s="38"/>
      <c r="AM2870" s="38"/>
      <c r="AN2870" s="38"/>
      <c r="AO2870" s="38"/>
      <c r="AP2870" s="38"/>
      <c r="AQ2870" s="38"/>
      <c r="AR2870" s="38"/>
      <c r="AS2870" s="38"/>
      <c r="AT2870" s="38"/>
      <c r="AU2870" s="38"/>
      <c r="AV2870" s="38"/>
      <c r="AW2870" s="38"/>
      <c r="AX2870" s="38"/>
      <c r="AY2870" s="38"/>
      <c r="AZ2870" s="38"/>
      <c r="BA2870" s="38"/>
      <c r="BB2870" s="38"/>
      <c r="BC2870" s="38"/>
      <c r="BD2870" s="38"/>
      <c r="BE2870" s="38"/>
      <c r="BF2870" s="38"/>
      <c r="BG2870" s="38"/>
      <c r="BH2870" s="38"/>
      <c r="BI2870" s="38"/>
      <c r="BJ2870" s="38"/>
      <c r="BK2870" s="38"/>
      <c r="BL2870" s="38"/>
      <c r="BM2870" s="38"/>
      <c r="BN2870" s="38"/>
      <c r="BO2870" s="38"/>
      <c r="BP2870" s="38"/>
      <c r="BQ2870" s="38"/>
    </row>
    <row r="2871">
      <c r="A2871" s="16"/>
      <c r="B2871" s="16"/>
      <c r="C2871" s="146"/>
      <c r="D2871" s="146"/>
      <c r="E2871" s="16"/>
      <c r="F2871" s="91"/>
      <c r="G2871" s="16"/>
      <c r="H2871" s="320" t="str">
        <f t="shared" si="33"/>
        <v/>
      </c>
      <c r="I2871" s="16"/>
      <c r="J2871" s="16"/>
      <c r="K2871" s="16"/>
      <c r="L2871" s="16"/>
      <c r="M2871" s="15"/>
      <c r="N2871" s="15"/>
      <c r="O2871" s="16"/>
      <c r="P2871" s="16"/>
      <c r="Q2871" s="16"/>
      <c r="R2871" s="16"/>
      <c r="S2871" s="37" t="str">
        <f>IFERROR(__xludf.DUMMYFUNCTION("if(not(iserror(index(split(C2871, "" ""),2))), index(split(C2871, "" ""),1),"""")"),"")</f>
        <v/>
      </c>
      <c r="T2871" s="315" t="str">
        <f>IFERROR(__xludf.DUMMYFUNCTION("if(S2871="""",C2871,if(not(iserror(index(split(C2871, "" ""),3))), index(split(C2871, "" ""),3),index(split(C2871, "" ""),2)))"),"")</f>
        <v/>
      </c>
      <c r="U2871" s="38" t="b">
        <f t="shared" si="34"/>
        <v>0</v>
      </c>
      <c r="V2871" s="38"/>
      <c r="W2871" s="40"/>
      <c r="X2871" s="40"/>
      <c r="Y2871" s="38"/>
      <c r="Z2871" s="38"/>
      <c r="AA2871" s="38"/>
      <c r="AB2871" s="38"/>
      <c r="AC2871" s="38"/>
      <c r="AD2871" s="38"/>
      <c r="AE2871" s="38"/>
      <c r="AF2871" s="38"/>
      <c r="AG2871" s="38"/>
      <c r="AH2871" s="38"/>
      <c r="AI2871" s="38"/>
      <c r="AJ2871" s="38"/>
      <c r="AK2871" s="38"/>
      <c r="AL2871" s="38"/>
      <c r="AM2871" s="38"/>
      <c r="AN2871" s="38"/>
      <c r="AO2871" s="38"/>
      <c r="AP2871" s="38"/>
      <c r="AQ2871" s="38"/>
      <c r="AR2871" s="38"/>
      <c r="AS2871" s="38"/>
      <c r="AT2871" s="38"/>
      <c r="AU2871" s="38"/>
      <c r="AV2871" s="38"/>
      <c r="AW2871" s="38"/>
      <c r="AX2871" s="38"/>
      <c r="AY2871" s="38"/>
      <c r="AZ2871" s="38"/>
      <c r="BA2871" s="38"/>
      <c r="BB2871" s="38"/>
      <c r="BC2871" s="38"/>
      <c r="BD2871" s="38"/>
      <c r="BE2871" s="38"/>
      <c r="BF2871" s="38"/>
      <c r="BG2871" s="38"/>
      <c r="BH2871" s="38"/>
      <c r="BI2871" s="38"/>
      <c r="BJ2871" s="38"/>
      <c r="BK2871" s="38"/>
      <c r="BL2871" s="38"/>
      <c r="BM2871" s="38"/>
      <c r="BN2871" s="38"/>
      <c r="BO2871" s="38"/>
      <c r="BP2871" s="38"/>
      <c r="BQ2871" s="38"/>
    </row>
    <row r="2872">
      <c r="A2872" s="16"/>
      <c r="B2872" s="16"/>
      <c r="C2872" s="146"/>
      <c r="D2872" s="146"/>
      <c r="E2872" s="16"/>
      <c r="F2872" s="91"/>
      <c r="G2872" s="16"/>
      <c r="H2872" s="320" t="str">
        <f t="shared" si="33"/>
        <v/>
      </c>
      <c r="I2872" s="16"/>
      <c r="J2872" s="16"/>
      <c r="K2872" s="16"/>
      <c r="L2872" s="16"/>
      <c r="M2872" s="15"/>
      <c r="N2872" s="15"/>
      <c r="O2872" s="16"/>
      <c r="P2872" s="16"/>
      <c r="Q2872" s="16"/>
      <c r="R2872" s="16"/>
      <c r="S2872" s="37" t="str">
        <f>IFERROR(__xludf.DUMMYFUNCTION("if(not(iserror(index(split(C2872, "" ""),2))), index(split(C2872, "" ""),1),"""")"),"")</f>
        <v/>
      </c>
      <c r="T2872" s="315" t="str">
        <f>IFERROR(__xludf.DUMMYFUNCTION("if(S2872="""",C2872,if(not(iserror(index(split(C2872, "" ""),3))), index(split(C2872, "" ""),3),index(split(C2872, "" ""),2)))"),"")</f>
        <v/>
      </c>
      <c r="U2872" s="38" t="b">
        <f t="shared" si="34"/>
        <v>0</v>
      </c>
      <c r="V2872" s="38"/>
      <c r="W2872" s="40"/>
      <c r="X2872" s="40"/>
      <c r="Y2872" s="38"/>
      <c r="Z2872" s="38"/>
      <c r="AA2872" s="38"/>
      <c r="AB2872" s="38"/>
      <c r="AC2872" s="38"/>
      <c r="AD2872" s="38"/>
      <c r="AE2872" s="38"/>
      <c r="AF2872" s="38"/>
      <c r="AG2872" s="38"/>
      <c r="AH2872" s="38"/>
      <c r="AI2872" s="38"/>
      <c r="AJ2872" s="38"/>
      <c r="AK2872" s="38"/>
      <c r="AL2872" s="38"/>
      <c r="AM2872" s="38"/>
      <c r="AN2872" s="38"/>
      <c r="AO2872" s="38"/>
      <c r="AP2872" s="38"/>
      <c r="AQ2872" s="38"/>
      <c r="AR2872" s="38"/>
      <c r="AS2872" s="38"/>
      <c r="AT2872" s="38"/>
      <c r="AU2872" s="38"/>
      <c r="AV2872" s="38"/>
      <c r="AW2872" s="38"/>
      <c r="AX2872" s="38"/>
      <c r="AY2872" s="38"/>
      <c r="AZ2872" s="38"/>
      <c r="BA2872" s="38"/>
      <c r="BB2872" s="38"/>
      <c r="BC2872" s="38"/>
      <c r="BD2872" s="38"/>
      <c r="BE2872" s="38"/>
      <c r="BF2872" s="38"/>
      <c r="BG2872" s="38"/>
      <c r="BH2872" s="38"/>
      <c r="BI2872" s="38"/>
      <c r="BJ2872" s="38"/>
      <c r="BK2872" s="38"/>
      <c r="BL2872" s="38"/>
      <c r="BM2872" s="38"/>
      <c r="BN2872" s="38"/>
      <c r="BO2872" s="38"/>
      <c r="BP2872" s="38"/>
      <c r="BQ2872" s="38"/>
    </row>
    <row r="2873">
      <c r="A2873" s="16"/>
      <c r="B2873" s="16"/>
      <c r="C2873" s="146"/>
      <c r="D2873" s="146"/>
      <c r="E2873" s="16"/>
      <c r="F2873" s="91"/>
      <c r="G2873" s="16"/>
      <c r="H2873" s="320" t="str">
        <f t="shared" si="33"/>
        <v/>
      </c>
      <c r="I2873" s="16"/>
      <c r="J2873" s="16"/>
      <c r="K2873" s="16"/>
      <c r="L2873" s="16"/>
      <c r="M2873" s="15"/>
      <c r="N2873" s="15"/>
      <c r="O2873" s="16"/>
      <c r="P2873" s="16"/>
      <c r="Q2873" s="16"/>
      <c r="R2873" s="16"/>
      <c r="S2873" s="37" t="str">
        <f>IFERROR(__xludf.DUMMYFUNCTION("if(not(iserror(index(split(C2873, "" ""),2))), index(split(C2873, "" ""),1),"""")"),"")</f>
        <v/>
      </c>
      <c r="T2873" s="315" t="str">
        <f>IFERROR(__xludf.DUMMYFUNCTION("if(S2873="""",C2873,if(not(iserror(index(split(C2873, "" ""),3))), index(split(C2873, "" ""),3),index(split(C2873, "" ""),2)))"),"")</f>
        <v/>
      </c>
      <c r="U2873" s="38" t="b">
        <f t="shared" si="34"/>
        <v>0</v>
      </c>
      <c r="V2873" s="38"/>
      <c r="W2873" s="40"/>
      <c r="X2873" s="40"/>
      <c r="Y2873" s="38"/>
      <c r="Z2873" s="38"/>
      <c r="AA2873" s="38"/>
      <c r="AB2873" s="38"/>
      <c r="AC2873" s="38"/>
      <c r="AD2873" s="38"/>
      <c r="AE2873" s="38"/>
      <c r="AF2873" s="38"/>
      <c r="AG2873" s="38"/>
      <c r="AH2873" s="38"/>
      <c r="AI2873" s="38"/>
      <c r="AJ2873" s="38"/>
      <c r="AK2873" s="38"/>
      <c r="AL2873" s="38"/>
      <c r="AM2873" s="38"/>
      <c r="AN2873" s="38"/>
      <c r="AO2873" s="38"/>
      <c r="AP2873" s="38"/>
      <c r="AQ2873" s="38"/>
      <c r="AR2873" s="38"/>
      <c r="AS2873" s="38"/>
      <c r="AT2873" s="38"/>
      <c r="AU2873" s="38"/>
      <c r="AV2873" s="38"/>
      <c r="AW2873" s="38"/>
      <c r="AX2873" s="38"/>
      <c r="AY2873" s="38"/>
      <c r="AZ2873" s="38"/>
      <c r="BA2873" s="38"/>
      <c r="BB2873" s="38"/>
      <c r="BC2873" s="38"/>
      <c r="BD2873" s="38"/>
      <c r="BE2873" s="38"/>
      <c r="BF2873" s="38"/>
      <c r="BG2873" s="38"/>
      <c r="BH2873" s="38"/>
      <c r="BI2873" s="38"/>
      <c r="BJ2873" s="38"/>
      <c r="BK2873" s="38"/>
      <c r="BL2873" s="38"/>
      <c r="BM2873" s="38"/>
      <c r="BN2873" s="38"/>
      <c r="BO2873" s="38"/>
      <c r="BP2873" s="38"/>
      <c r="BQ2873" s="38"/>
    </row>
    <row r="2874">
      <c r="A2874" s="16"/>
      <c r="B2874" s="16"/>
      <c r="C2874" s="146"/>
      <c r="D2874" s="146"/>
      <c r="E2874" s="16"/>
      <c r="F2874" s="91"/>
      <c r="G2874" s="16"/>
      <c r="H2874" s="320" t="str">
        <f t="shared" si="33"/>
        <v/>
      </c>
      <c r="I2874" s="16"/>
      <c r="J2874" s="16"/>
      <c r="K2874" s="16"/>
      <c r="L2874" s="16"/>
      <c r="M2874" s="15"/>
      <c r="N2874" s="15"/>
      <c r="O2874" s="16"/>
      <c r="P2874" s="16"/>
      <c r="Q2874" s="16"/>
      <c r="R2874" s="16"/>
      <c r="S2874" s="37" t="str">
        <f>IFERROR(__xludf.DUMMYFUNCTION("if(not(iserror(index(split(C2874, "" ""),2))), index(split(C2874, "" ""),1),"""")"),"")</f>
        <v/>
      </c>
      <c r="T2874" s="315" t="str">
        <f>IFERROR(__xludf.DUMMYFUNCTION("if(S2874="""",C2874,if(not(iserror(index(split(C2874, "" ""),3))), index(split(C2874, "" ""),3),index(split(C2874, "" ""),2)))"),"")</f>
        <v/>
      </c>
      <c r="U2874" s="38" t="b">
        <f t="shared" si="34"/>
        <v>0</v>
      </c>
      <c r="V2874" s="38"/>
      <c r="W2874" s="40"/>
      <c r="X2874" s="40"/>
      <c r="Y2874" s="38"/>
      <c r="Z2874" s="38"/>
      <c r="AA2874" s="38"/>
      <c r="AB2874" s="38"/>
      <c r="AC2874" s="38"/>
      <c r="AD2874" s="38"/>
      <c r="AE2874" s="38"/>
      <c r="AF2874" s="38"/>
      <c r="AG2874" s="38"/>
      <c r="AH2874" s="38"/>
      <c r="AI2874" s="38"/>
      <c r="AJ2874" s="38"/>
      <c r="AK2874" s="38"/>
      <c r="AL2874" s="38"/>
      <c r="AM2874" s="38"/>
      <c r="AN2874" s="38"/>
      <c r="AO2874" s="38"/>
      <c r="AP2874" s="38"/>
      <c r="AQ2874" s="38"/>
      <c r="AR2874" s="38"/>
      <c r="AS2874" s="38"/>
      <c r="AT2874" s="38"/>
      <c r="AU2874" s="38"/>
      <c r="AV2874" s="38"/>
      <c r="AW2874" s="38"/>
      <c r="AX2874" s="38"/>
      <c r="AY2874" s="38"/>
      <c r="AZ2874" s="38"/>
      <c r="BA2874" s="38"/>
      <c r="BB2874" s="38"/>
      <c r="BC2874" s="38"/>
      <c r="BD2874" s="38"/>
      <c r="BE2874" s="38"/>
      <c r="BF2874" s="38"/>
      <c r="BG2874" s="38"/>
      <c r="BH2874" s="38"/>
      <c r="BI2874" s="38"/>
      <c r="BJ2874" s="38"/>
      <c r="BK2874" s="38"/>
      <c r="BL2874" s="38"/>
      <c r="BM2874" s="38"/>
      <c r="BN2874" s="38"/>
      <c r="BO2874" s="38"/>
      <c r="BP2874" s="38"/>
      <c r="BQ2874" s="38"/>
    </row>
    <row r="2875">
      <c r="A2875" s="16"/>
      <c r="B2875" s="16"/>
      <c r="C2875" s="146"/>
      <c r="D2875" s="146"/>
      <c r="E2875" s="16"/>
      <c r="F2875" s="91"/>
      <c r="G2875" s="16"/>
      <c r="H2875" s="320" t="str">
        <f t="shared" si="33"/>
        <v/>
      </c>
      <c r="I2875" s="16"/>
      <c r="J2875" s="16"/>
      <c r="K2875" s="16"/>
      <c r="L2875" s="16"/>
      <c r="M2875" s="15"/>
      <c r="N2875" s="15"/>
      <c r="O2875" s="16"/>
      <c r="P2875" s="16"/>
      <c r="Q2875" s="16"/>
      <c r="R2875" s="16"/>
      <c r="S2875" s="37" t="str">
        <f>IFERROR(__xludf.DUMMYFUNCTION("if(not(iserror(index(split(C2875, "" ""),2))), index(split(C2875, "" ""),1),"""")"),"")</f>
        <v/>
      </c>
      <c r="T2875" s="315" t="str">
        <f>IFERROR(__xludf.DUMMYFUNCTION("if(S2875="""",C2875,if(not(iserror(index(split(C2875, "" ""),3))), index(split(C2875, "" ""),3),index(split(C2875, "" ""),2)))"),"")</f>
        <v/>
      </c>
      <c r="U2875" s="38" t="b">
        <f t="shared" si="34"/>
        <v>0</v>
      </c>
      <c r="V2875" s="38"/>
      <c r="W2875" s="40"/>
      <c r="X2875" s="40"/>
      <c r="Y2875" s="38"/>
      <c r="Z2875" s="38"/>
      <c r="AA2875" s="38"/>
      <c r="AB2875" s="38"/>
      <c r="AC2875" s="38"/>
      <c r="AD2875" s="38"/>
      <c r="AE2875" s="38"/>
      <c r="AF2875" s="38"/>
      <c r="AG2875" s="38"/>
      <c r="AH2875" s="38"/>
      <c r="AI2875" s="38"/>
      <c r="AJ2875" s="38"/>
      <c r="AK2875" s="38"/>
      <c r="AL2875" s="38"/>
      <c r="AM2875" s="38"/>
      <c r="AN2875" s="38"/>
      <c r="AO2875" s="38"/>
      <c r="AP2875" s="38"/>
      <c r="AQ2875" s="38"/>
      <c r="AR2875" s="38"/>
      <c r="AS2875" s="38"/>
      <c r="AT2875" s="38"/>
      <c r="AU2875" s="38"/>
      <c r="AV2875" s="38"/>
      <c r="AW2875" s="38"/>
      <c r="AX2875" s="38"/>
      <c r="AY2875" s="38"/>
      <c r="AZ2875" s="38"/>
      <c r="BA2875" s="38"/>
      <c r="BB2875" s="38"/>
      <c r="BC2875" s="38"/>
      <c r="BD2875" s="38"/>
      <c r="BE2875" s="38"/>
      <c r="BF2875" s="38"/>
      <c r="BG2875" s="38"/>
      <c r="BH2875" s="38"/>
      <c r="BI2875" s="38"/>
      <c r="BJ2875" s="38"/>
      <c r="BK2875" s="38"/>
      <c r="BL2875" s="38"/>
      <c r="BM2875" s="38"/>
      <c r="BN2875" s="38"/>
      <c r="BO2875" s="38"/>
      <c r="BP2875" s="38"/>
      <c r="BQ2875" s="38"/>
    </row>
    <row r="2876">
      <c r="A2876" s="16"/>
      <c r="B2876" s="16"/>
      <c r="C2876" s="146"/>
      <c r="D2876" s="146"/>
      <c r="E2876" s="16"/>
      <c r="F2876" s="91"/>
      <c r="G2876" s="16"/>
      <c r="H2876" s="320" t="str">
        <f t="shared" si="33"/>
        <v/>
      </c>
      <c r="I2876" s="16"/>
      <c r="J2876" s="16"/>
      <c r="K2876" s="16"/>
      <c r="L2876" s="16"/>
      <c r="M2876" s="15"/>
      <c r="N2876" s="15"/>
      <c r="O2876" s="16"/>
      <c r="P2876" s="16"/>
      <c r="Q2876" s="16"/>
      <c r="R2876" s="16"/>
      <c r="S2876" s="37" t="str">
        <f>IFERROR(__xludf.DUMMYFUNCTION("if(not(iserror(index(split(C2876, "" ""),2))), index(split(C2876, "" ""),1),"""")"),"")</f>
        <v/>
      </c>
      <c r="T2876" s="315" t="str">
        <f>IFERROR(__xludf.DUMMYFUNCTION("if(S2876="""",C2876,if(not(iserror(index(split(C2876, "" ""),3))), index(split(C2876, "" ""),3),index(split(C2876, "" ""),2)))"),"")</f>
        <v/>
      </c>
      <c r="U2876" s="38" t="b">
        <f t="shared" si="34"/>
        <v>0</v>
      </c>
      <c r="V2876" s="38"/>
      <c r="W2876" s="40"/>
      <c r="X2876" s="40"/>
      <c r="Y2876" s="38"/>
      <c r="Z2876" s="38"/>
      <c r="AA2876" s="38"/>
      <c r="AB2876" s="38"/>
      <c r="AC2876" s="38"/>
      <c r="AD2876" s="38"/>
      <c r="AE2876" s="38"/>
      <c r="AF2876" s="38"/>
      <c r="AG2876" s="38"/>
      <c r="AH2876" s="38"/>
      <c r="AI2876" s="38"/>
      <c r="AJ2876" s="38"/>
      <c r="AK2876" s="38"/>
      <c r="AL2876" s="38"/>
      <c r="AM2876" s="38"/>
      <c r="AN2876" s="38"/>
      <c r="AO2876" s="38"/>
      <c r="AP2876" s="38"/>
      <c r="AQ2876" s="38"/>
      <c r="AR2876" s="38"/>
      <c r="AS2876" s="38"/>
      <c r="AT2876" s="38"/>
      <c r="AU2876" s="38"/>
      <c r="AV2876" s="38"/>
      <c r="AW2876" s="38"/>
      <c r="AX2876" s="38"/>
      <c r="AY2876" s="38"/>
      <c r="AZ2876" s="38"/>
      <c r="BA2876" s="38"/>
      <c r="BB2876" s="38"/>
      <c r="BC2876" s="38"/>
      <c r="BD2876" s="38"/>
      <c r="BE2876" s="38"/>
      <c r="BF2876" s="38"/>
      <c r="BG2876" s="38"/>
      <c r="BH2876" s="38"/>
      <c r="BI2876" s="38"/>
      <c r="BJ2876" s="38"/>
      <c r="BK2876" s="38"/>
      <c r="BL2876" s="38"/>
      <c r="BM2876" s="38"/>
      <c r="BN2876" s="38"/>
      <c r="BO2876" s="38"/>
      <c r="BP2876" s="38"/>
      <c r="BQ2876" s="38"/>
    </row>
    <row r="2877">
      <c r="A2877" s="16"/>
      <c r="B2877" s="16"/>
      <c r="C2877" s="146"/>
      <c r="D2877" s="146"/>
      <c r="E2877" s="16"/>
      <c r="F2877" s="91"/>
      <c r="G2877" s="16"/>
      <c r="H2877" s="320" t="str">
        <f t="shared" si="33"/>
        <v/>
      </c>
      <c r="I2877" s="16"/>
      <c r="J2877" s="16"/>
      <c r="K2877" s="16"/>
      <c r="L2877" s="16"/>
      <c r="M2877" s="15"/>
      <c r="N2877" s="15"/>
      <c r="O2877" s="16"/>
      <c r="P2877" s="16"/>
      <c r="Q2877" s="16"/>
      <c r="R2877" s="16"/>
      <c r="S2877" s="37" t="str">
        <f>IFERROR(__xludf.DUMMYFUNCTION("if(not(iserror(index(split(C2877, "" ""),2))), index(split(C2877, "" ""),1),"""")"),"")</f>
        <v/>
      </c>
      <c r="T2877" s="315" t="str">
        <f>IFERROR(__xludf.DUMMYFUNCTION("if(S2877="""",C2877,if(not(iserror(index(split(C2877, "" ""),3))), index(split(C2877, "" ""),3),index(split(C2877, "" ""),2)))"),"")</f>
        <v/>
      </c>
      <c r="U2877" s="38" t="b">
        <f t="shared" si="34"/>
        <v>0</v>
      </c>
      <c r="V2877" s="38"/>
      <c r="W2877" s="40"/>
      <c r="X2877" s="40"/>
      <c r="Y2877" s="38"/>
      <c r="Z2877" s="38"/>
      <c r="AA2877" s="38"/>
      <c r="AB2877" s="38"/>
      <c r="AC2877" s="38"/>
      <c r="AD2877" s="38"/>
      <c r="AE2877" s="38"/>
      <c r="AF2877" s="38"/>
      <c r="AG2877" s="38"/>
      <c r="AH2877" s="38"/>
      <c r="AI2877" s="38"/>
      <c r="AJ2877" s="38"/>
      <c r="AK2877" s="38"/>
      <c r="AL2877" s="38"/>
      <c r="AM2877" s="38"/>
      <c r="AN2877" s="38"/>
      <c r="AO2877" s="38"/>
      <c r="AP2877" s="38"/>
      <c r="AQ2877" s="38"/>
      <c r="AR2877" s="38"/>
      <c r="AS2877" s="38"/>
      <c r="AT2877" s="38"/>
      <c r="AU2877" s="38"/>
      <c r="AV2877" s="38"/>
      <c r="AW2877" s="38"/>
      <c r="AX2877" s="38"/>
      <c r="AY2877" s="38"/>
      <c r="AZ2877" s="38"/>
      <c r="BA2877" s="38"/>
      <c r="BB2877" s="38"/>
      <c r="BC2877" s="38"/>
      <c r="BD2877" s="38"/>
      <c r="BE2877" s="38"/>
      <c r="BF2877" s="38"/>
      <c r="BG2877" s="38"/>
      <c r="BH2877" s="38"/>
      <c r="BI2877" s="38"/>
      <c r="BJ2877" s="38"/>
      <c r="BK2877" s="38"/>
      <c r="BL2877" s="38"/>
      <c r="BM2877" s="38"/>
      <c r="BN2877" s="38"/>
      <c r="BO2877" s="38"/>
      <c r="BP2877" s="38"/>
      <c r="BQ2877" s="38"/>
    </row>
    <row r="2878">
      <c r="A2878" s="16"/>
      <c r="B2878" s="16"/>
      <c r="C2878" s="146"/>
      <c r="D2878" s="146"/>
      <c r="E2878" s="16"/>
      <c r="F2878" s="91"/>
      <c r="G2878" s="16"/>
      <c r="H2878" s="320" t="str">
        <f t="shared" si="33"/>
        <v/>
      </c>
      <c r="I2878" s="16"/>
      <c r="J2878" s="16"/>
      <c r="K2878" s="16"/>
      <c r="L2878" s="16"/>
      <c r="M2878" s="15"/>
      <c r="N2878" s="15"/>
      <c r="O2878" s="16"/>
      <c r="P2878" s="16"/>
      <c r="Q2878" s="16"/>
      <c r="R2878" s="16"/>
      <c r="S2878" s="37" t="str">
        <f>IFERROR(__xludf.DUMMYFUNCTION("if(not(iserror(index(split(C2878, "" ""),2))), index(split(C2878, "" ""),1),"""")"),"")</f>
        <v/>
      </c>
      <c r="T2878" s="315" t="str">
        <f>IFERROR(__xludf.DUMMYFUNCTION("if(S2878="""",C2878,if(not(iserror(index(split(C2878, "" ""),3))), index(split(C2878, "" ""),3),index(split(C2878, "" ""),2)))"),"")</f>
        <v/>
      </c>
      <c r="U2878" s="38" t="b">
        <f t="shared" si="34"/>
        <v>0</v>
      </c>
      <c r="V2878" s="38"/>
      <c r="W2878" s="40"/>
      <c r="X2878" s="40"/>
      <c r="Y2878" s="38"/>
      <c r="Z2878" s="38"/>
      <c r="AA2878" s="38"/>
      <c r="AB2878" s="38"/>
      <c r="AC2878" s="38"/>
      <c r="AD2878" s="38"/>
      <c r="AE2878" s="38"/>
      <c r="AF2878" s="38"/>
      <c r="AG2878" s="38"/>
      <c r="AH2878" s="38"/>
      <c r="AI2878" s="38"/>
      <c r="AJ2878" s="38"/>
      <c r="AK2878" s="38"/>
      <c r="AL2878" s="38"/>
      <c r="AM2878" s="38"/>
      <c r="AN2878" s="38"/>
      <c r="AO2878" s="38"/>
      <c r="AP2878" s="38"/>
      <c r="AQ2878" s="38"/>
      <c r="AR2878" s="38"/>
      <c r="AS2878" s="38"/>
      <c r="AT2878" s="38"/>
      <c r="AU2878" s="38"/>
      <c r="AV2878" s="38"/>
      <c r="AW2878" s="38"/>
      <c r="AX2878" s="38"/>
      <c r="AY2878" s="38"/>
      <c r="AZ2878" s="38"/>
      <c r="BA2878" s="38"/>
      <c r="BB2878" s="38"/>
      <c r="BC2878" s="38"/>
      <c r="BD2878" s="38"/>
      <c r="BE2878" s="38"/>
      <c r="BF2878" s="38"/>
      <c r="BG2878" s="38"/>
      <c r="BH2878" s="38"/>
      <c r="BI2878" s="38"/>
      <c r="BJ2878" s="38"/>
      <c r="BK2878" s="38"/>
      <c r="BL2878" s="38"/>
      <c r="BM2878" s="38"/>
      <c r="BN2878" s="38"/>
      <c r="BO2878" s="38"/>
      <c r="BP2878" s="38"/>
      <c r="BQ2878" s="38"/>
    </row>
    <row r="2879">
      <c r="A2879" s="16"/>
      <c r="B2879" s="16"/>
      <c r="C2879" s="146"/>
      <c r="D2879" s="146"/>
      <c r="E2879" s="16"/>
      <c r="F2879" s="91"/>
      <c r="G2879" s="16"/>
      <c r="H2879" s="320" t="str">
        <f t="shared" si="33"/>
        <v/>
      </c>
      <c r="I2879" s="16"/>
      <c r="J2879" s="16"/>
      <c r="K2879" s="16"/>
      <c r="L2879" s="16"/>
      <c r="M2879" s="15"/>
      <c r="N2879" s="15"/>
      <c r="O2879" s="16"/>
      <c r="P2879" s="16"/>
      <c r="Q2879" s="16"/>
      <c r="R2879" s="16"/>
      <c r="S2879" s="37" t="str">
        <f>IFERROR(__xludf.DUMMYFUNCTION("if(not(iserror(index(split(C2879, "" ""),2))), index(split(C2879, "" ""),1),"""")"),"")</f>
        <v/>
      </c>
      <c r="T2879" s="315" t="str">
        <f>IFERROR(__xludf.DUMMYFUNCTION("if(S2879="""",C2879,if(not(iserror(index(split(C2879, "" ""),3))), index(split(C2879, "" ""),3),index(split(C2879, "" ""),2)))"),"")</f>
        <v/>
      </c>
      <c r="U2879" s="38" t="b">
        <f t="shared" si="34"/>
        <v>0</v>
      </c>
      <c r="V2879" s="38"/>
      <c r="W2879" s="40"/>
      <c r="X2879" s="40"/>
      <c r="Y2879" s="38"/>
      <c r="Z2879" s="38"/>
      <c r="AA2879" s="38"/>
      <c r="AB2879" s="38"/>
      <c r="AC2879" s="38"/>
      <c r="AD2879" s="38"/>
      <c r="AE2879" s="38"/>
      <c r="AF2879" s="38"/>
      <c r="AG2879" s="38"/>
      <c r="AH2879" s="38"/>
      <c r="AI2879" s="38"/>
      <c r="AJ2879" s="38"/>
      <c r="AK2879" s="38"/>
      <c r="AL2879" s="38"/>
      <c r="AM2879" s="38"/>
      <c r="AN2879" s="38"/>
      <c r="AO2879" s="38"/>
      <c r="AP2879" s="38"/>
      <c r="AQ2879" s="38"/>
      <c r="AR2879" s="38"/>
      <c r="AS2879" s="38"/>
      <c r="AT2879" s="38"/>
      <c r="AU2879" s="38"/>
      <c r="AV2879" s="38"/>
      <c r="AW2879" s="38"/>
      <c r="AX2879" s="38"/>
      <c r="AY2879" s="38"/>
      <c r="AZ2879" s="38"/>
      <c r="BA2879" s="38"/>
      <c r="BB2879" s="38"/>
      <c r="BC2879" s="38"/>
      <c r="BD2879" s="38"/>
      <c r="BE2879" s="38"/>
      <c r="BF2879" s="38"/>
      <c r="BG2879" s="38"/>
      <c r="BH2879" s="38"/>
      <c r="BI2879" s="38"/>
      <c r="BJ2879" s="38"/>
      <c r="BK2879" s="38"/>
      <c r="BL2879" s="38"/>
      <c r="BM2879" s="38"/>
      <c r="BN2879" s="38"/>
      <c r="BO2879" s="38"/>
      <c r="BP2879" s="38"/>
      <c r="BQ2879" s="38"/>
    </row>
    <row r="2880">
      <c r="A2880" s="16"/>
      <c r="B2880" s="16"/>
      <c r="C2880" s="146"/>
      <c r="D2880" s="146"/>
      <c r="E2880" s="16"/>
      <c r="F2880" s="91"/>
      <c r="G2880" s="16"/>
      <c r="H2880" s="320" t="str">
        <f t="shared" si="33"/>
        <v/>
      </c>
      <c r="I2880" s="16"/>
      <c r="J2880" s="16"/>
      <c r="K2880" s="16"/>
      <c r="L2880" s="16"/>
      <c r="M2880" s="15"/>
      <c r="N2880" s="15"/>
      <c r="O2880" s="16"/>
      <c r="P2880" s="16"/>
      <c r="Q2880" s="16"/>
      <c r="R2880" s="16"/>
      <c r="S2880" s="37" t="str">
        <f>IFERROR(__xludf.DUMMYFUNCTION("if(not(iserror(index(split(C2880, "" ""),2))), index(split(C2880, "" ""),1),"""")"),"")</f>
        <v/>
      </c>
      <c r="T2880" s="315" t="str">
        <f>IFERROR(__xludf.DUMMYFUNCTION("if(S2880="""",C2880,if(not(iserror(index(split(C2880, "" ""),3))), index(split(C2880, "" ""),3),index(split(C2880, "" ""),2)))"),"")</f>
        <v/>
      </c>
      <c r="U2880" s="38" t="b">
        <f t="shared" si="34"/>
        <v>0</v>
      </c>
      <c r="V2880" s="38"/>
      <c r="W2880" s="40"/>
      <c r="X2880" s="40"/>
      <c r="Y2880" s="38"/>
      <c r="Z2880" s="38"/>
      <c r="AA2880" s="38"/>
      <c r="AB2880" s="38"/>
      <c r="AC2880" s="38"/>
      <c r="AD2880" s="38"/>
      <c r="AE2880" s="38"/>
      <c r="AF2880" s="38"/>
      <c r="AG2880" s="38"/>
      <c r="AH2880" s="38"/>
      <c r="AI2880" s="38"/>
      <c r="AJ2880" s="38"/>
      <c r="AK2880" s="38"/>
      <c r="AL2880" s="38"/>
      <c r="AM2880" s="38"/>
      <c r="AN2880" s="38"/>
      <c r="AO2880" s="38"/>
      <c r="AP2880" s="38"/>
      <c r="AQ2880" s="38"/>
      <c r="AR2880" s="38"/>
      <c r="AS2880" s="38"/>
      <c r="AT2880" s="38"/>
      <c r="AU2880" s="38"/>
      <c r="AV2880" s="38"/>
      <c r="AW2880" s="38"/>
      <c r="AX2880" s="38"/>
      <c r="AY2880" s="38"/>
      <c r="AZ2880" s="38"/>
      <c r="BA2880" s="38"/>
      <c r="BB2880" s="38"/>
      <c r="BC2880" s="38"/>
      <c r="BD2880" s="38"/>
      <c r="BE2880" s="38"/>
      <c r="BF2880" s="38"/>
      <c r="BG2880" s="38"/>
      <c r="BH2880" s="38"/>
      <c r="BI2880" s="38"/>
      <c r="BJ2880" s="38"/>
      <c r="BK2880" s="38"/>
      <c r="BL2880" s="38"/>
      <c r="BM2880" s="38"/>
      <c r="BN2880" s="38"/>
      <c r="BO2880" s="38"/>
      <c r="BP2880" s="38"/>
      <c r="BQ2880" s="38"/>
    </row>
    <row r="2881">
      <c r="A2881" s="16"/>
      <c r="B2881" s="16"/>
      <c r="C2881" s="146"/>
      <c r="D2881" s="146"/>
      <c r="E2881" s="16"/>
      <c r="F2881" s="91"/>
      <c r="G2881" s="16"/>
      <c r="H2881" s="320" t="str">
        <f t="shared" si="33"/>
        <v/>
      </c>
      <c r="I2881" s="16"/>
      <c r="J2881" s="16"/>
      <c r="K2881" s="16"/>
      <c r="L2881" s="16"/>
      <c r="M2881" s="15"/>
      <c r="N2881" s="15"/>
      <c r="O2881" s="16"/>
      <c r="P2881" s="16"/>
      <c r="Q2881" s="16"/>
      <c r="R2881" s="16"/>
      <c r="S2881" s="37" t="str">
        <f>IFERROR(__xludf.DUMMYFUNCTION("if(not(iserror(index(split(C2881, "" ""),2))), index(split(C2881, "" ""),1),"""")"),"")</f>
        <v/>
      </c>
      <c r="T2881" s="315" t="str">
        <f>IFERROR(__xludf.DUMMYFUNCTION("if(S2881="""",C2881,if(not(iserror(index(split(C2881, "" ""),3))), index(split(C2881, "" ""),3),index(split(C2881, "" ""),2)))"),"")</f>
        <v/>
      </c>
      <c r="U2881" s="38" t="b">
        <f t="shared" si="34"/>
        <v>0</v>
      </c>
      <c r="V2881" s="38"/>
      <c r="W2881" s="40"/>
      <c r="X2881" s="40"/>
      <c r="Y2881" s="38"/>
      <c r="Z2881" s="38"/>
      <c r="AA2881" s="38"/>
      <c r="AB2881" s="38"/>
      <c r="AC2881" s="38"/>
      <c r="AD2881" s="38"/>
      <c r="AE2881" s="38"/>
      <c r="AF2881" s="38"/>
      <c r="AG2881" s="38"/>
      <c r="AH2881" s="38"/>
      <c r="AI2881" s="38"/>
      <c r="AJ2881" s="38"/>
      <c r="AK2881" s="38"/>
      <c r="AL2881" s="38"/>
      <c r="AM2881" s="38"/>
      <c r="AN2881" s="38"/>
      <c r="AO2881" s="38"/>
      <c r="AP2881" s="38"/>
      <c r="AQ2881" s="38"/>
      <c r="AR2881" s="38"/>
      <c r="AS2881" s="38"/>
      <c r="AT2881" s="38"/>
      <c r="AU2881" s="38"/>
      <c r="AV2881" s="38"/>
      <c r="AW2881" s="38"/>
      <c r="AX2881" s="38"/>
      <c r="AY2881" s="38"/>
      <c r="AZ2881" s="38"/>
      <c r="BA2881" s="38"/>
      <c r="BB2881" s="38"/>
      <c r="BC2881" s="38"/>
      <c r="BD2881" s="38"/>
      <c r="BE2881" s="38"/>
      <c r="BF2881" s="38"/>
      <c r="BG2881" s="38"/>
      <c r="BH2881" s="38"/>
      <c r="BI2881" s="38"/>
      <c r="BJ2881" s="38"/>
      <c r="BK2881" s="38"/>
      <c r="BL2881" s="38"/>
      <c r="BM2881" s="38"/>
      <c r="BN2881" s="38"/>
      <c r="BO2881" s="38"/>
      <c r="BP2881" s="38"/>
      <c r="BQ2881" s="38"/>
    </row>
    <row r="2882">
      <c r="A2882" s="16"/>
      <c r="B2882" s="16"/>
      <c r="C2882" s="146"/>
      <c r="D2882" s="146"/>
      <c r="E2882" s="16"/>
      <c r="F2882" s="91"/>
      <c r="G2882" s="16"/>
      <c r="H2882" s="320" t="str">
        <f t="shared" si="33"/>
        <v/>
      </c>
      <c r="I2882" s="16"/>
      <c r="J2882" s="16"/>
      <c r="K2882" s="16"/>
      <c r="L2882" s="16"/>
      <c r="M2882" s="15"/>
      <c r="N2882" s="15"/>
      <c r="O2882" s="16"/>
      <c r="P2882" s="16"/>
      <c r="Q2882" s="16"/>
      <c r="R2882" s="16"/>
      <c r="S2882" s="37" t="str">
        <f>IFERROR(__xludf.DUMMYFUNCTION("if(not(iserror(index(split(C2882, "" ""),2))), index(split(C2882, "" ""),1),"""")"),"")</f>
        <v/>
      </c>
      <c r="T2882" s="315" t="str">
        <f>IFERROR(__xludf.DUMMYFUNCTION("if(S2882="""",C2882,if(not(iserror(index(split(C2882, "" ""),3))), index(split(C2882, "" ""),3),index(split(C2882, "" ""),2)))"),"")</f>
        <v/>
      </c>
      <c r="U2882" s="38" t="b">
        <f t="shared" si="34"/>
        <v>0</v>
      </c>
      <c r="V2882" s="38"/>
      <c r="W2882" s="40"/>
      <c r="X2882" s="40"/>
      <c r="Y2882" s="38"/>
      <c r="Z2882" s="38"/>
      <c r="AA2882" s="38"/>
      <c r="AB2882" s="38"/>
      <c r="AC2882" s="38"/>
      <c r="AD2882" s="38"/>
      <c r="AE2882" s="38"/>
      <c r="AF2882" s="38"/>
      <c r="AG2882" s="38"/>
      <c r="AH2882" s="38"/>
      <c r="AI2882" s="38"/>
      <c r="AJ2882" s="38"/>
      <c r="AK2882" s="38"/>
      <c r="AL2882" s="38"/>
      <c r="AM2882" s="38"/>
      <c r="AN2882" s="38"/>
      <c r="AO2882" s="38"/>
      <c r="AP2882" s="38"/>
      <c r="AQ2882" s="38"/>
      <c r="AR2882" s="38"/>
      <c r="AS2882" s="38"/>
      <c r="AT2882" s="38"/>
      <c r="AU2882" s="38"/>
      <c r="AV2882" s="38"/>
      <c r="AW2882" s="38"/>
      <c r="AX2882" s="38"/>
      <c r="AY2882" s="38"/>
      <c r="AZ2882" s="38"/>
      <c r="BA2882" s="38"/>
      <c r="BB2882" s="38"/>
      <c r="BC2882" s="38"/>
      <c r="BD2882" s="38"/>
      <c r="BE2882" s="38"/>
      <c r="BF2882" s="38"/>
      <c r="BG2882" s="38"/>
      <c r="BH2882" s="38"/>
      <c r="BI2882" s="38"/>
      <c r="BJ2882" s="38"/>
      <c r="BK2882" s="38"/>
      <c r="BL2882" s="38"/>
      <c r="BM2882" s="38"/>
      <c r="BN2882" s="38"/>
      <c r="BO2882" s="38"/>
      <c r="BP2882" s="38"/>
      <c r="BQ2882" s="38"/>
    </row>
    <row r="2883">
      <c r="A2883" s="16"/>
      <c r="B2883" s="16"/>
      <c r="C2883" s="146"/>
      <c r="D2883" s="146"/>
      <c r="E2883" s="16"/>
      <c r="F2883" s="91"/>
      <c r="G2883" s="16"/>
      <c r="H2883" s="320" t="str">
        <f t="shared" si="33"/>
        <v/>
      </c>
      <c r="I2883" s="16"/>
      <c r="J2883" s="16"/>
      <c r="K2883" s="16"/>
      <c r="L2883" s="16"/>
      <c r="M2883" s="15"/>
      <c r="N2883" s="15"/>
      <c r="O2883" s="16"/>
      <c r="P2883" s="16"/>
      <c r="Q2883" s="16"/>
      <c r="R2883" s="16"/>
      <c r="S2883" s="37" t="str">
        <f>IFERROR(__xludf.DUMMYFUNCTION("if(not(iserror(index(split(C2883, "" ""),2))), index(split(C2883, "" ""),1),"""")"),"")</f>
        <v/>
      </c>
      <c r="T2883" s="315" t="str">
        <f>IFERROR(__xludf.DUMMYFUNCTION("if(S2883="""",C2883,if(not(iserror(index(split(C2883, "" ""),3))), index(split(C2883, "" ""),3),index(split(C2883, "" ""),2)))"),"")</f>
        <v/>
      </c>
      <c r="U2883" s="38" t="b">
        <f t="shared" si="34"/>
        <v>0</v>
      </c>
      <c r="V2883" s="38"/>
      <c r="W2883" s="40"/>
      <c r="X2883" s="40"/>
      <c r="Y2883" s="38"/>
      <c r="Z2883" s="38"/>
      <c r="AA2883" s="38"/>
      <c r="AB2883" s="38"/>
      <c r="AC2883" s="38"/>
      <c r="AD2883" s="38"/>
      <c r="AE2883" s="38"/>
      <c r="AF2883" s="38"/>
      <c r="AG2883" s="38"/>
      <c r="AH2883" s="38"/>
      <c r="AI2883" s="38"/>
      <c r="AJ2883" s="38"/>
      <c r="AK2883" s="38"/>
      <c r="AL2883" s="38"/>
      <c r="AM2883" s="38"/>
      <c r="AN2883" s="38"/>
      <c r="AO2883" s="38"/>
      <c r="AP2883" s="38"/>
      <c r="AQ2883" s="38"/>
      <c r="AR2883" s="38"/>
      <c r="AS2883" s="38"/>
      <c r="AT2883" s="38"/>
      <c r="AU2883" s="38"/>
      <c r="AV2883" s="38"/>
      <c r="AW2883" s="38"/>
      <c r="AX2883" s="38"/>
      <c r="AY2883" s="38"/>
      <c r="AZ2883" s="38"/>
      <c r="BA2883" s="38"/>
      <c r="BB2883" s="38"/>
      <c r="BC2883" s="38"/>
      <c r="BD2883" s="38"/>
      <c r="BE2883" s="38"/>
      <c r="BF2883" s="38"/>
      <c r="BG2883" s="38"/>
      <c r="BH2883" s="38"/>
      <c r="BI2883" s="38"/>
      <c r="BJ2883" s="38"/>
      <c r="BK2883" s="38"/>
      <c r="BL2883" s="38"/>
      <c r="BM2883" s="38"/>
      <c r="BN2883" s="38"/>
      <c r="BO2883" s="38"/>
      <c r="BP2883" s="38"/>
      <c r="BQ2883" s="38"/>
    </row>
    <row r="2884">
      <c r="A2884" s="16"/>
      <c r="B2884" s="16"/>
      <c r="C2884" s="146"/>
      <c r="D2884" s="146"/>
      <c r="E2884" s="16"/>
      <c r="F2884" s="91"/>
      <c r="G2884" s="16"/>
      <c r="H2884" s="320" t="str">
        <f t="shared" si="33"/>
        <v/>
      </c>
      <c r="I2884" s="16"/>
      <c r="J2884" s="16"/>
      <c r="K2884" s="16"/>
      <c r="L2884" s="16"/>
      <c r="M2884" s="15"/>
      <c r="N2884" s="15"/>
      <c r="O2884" s="16"/>
      <c r="P2884" s="16"/>
      <c r="Q2884" s="16"/>
      <c r="R2884" s="16"/>
      <c r="S2884" s="37" t="str">
        <f>IFERROR(__xludf.DUMMYFUNCTION("if(not(iserror(index(split(C2884, "" ""),2))), index(split(C2884, "" ""),1),"""")"),"")</f>
        <v/>
      </c>
      <c r="T2884" s="315" t="str">
        <f>IFERROR(__xludf.DUMMYFUNCTION("if(S2884="""",C2884,if(not(iserror(index(split(C2884, "" ""),3))), index(split(C2884, "" ""),3),index(split(C2884, "" ""),2)))"),"")</f>
        <v/>
      </c>
      <c r="U2884" s="38" t="b">
        <f t="shared" si="34"/>
        <v>0</v>
      </c>
      <c r="V2884" s="38"/>
      <c r="W2884" s="40"/>
      <c r="X2884" s="40"/>
      <c r="Y2884" s="38"/>
      <c r="Z2884" s="38"/>
      <c r="AA2884" s="38"/>
      <c r="AB2884" s="38"/>
      <c r="AC2884" s="38"/>
      <c r="AD2884" s="38"/>
      <c r="AE2884" s="38"/>
      <c r="AF2884" s="38"/>
      <c r="AG2884" s="38"/>
      <c r="AH2884" s="38"/>
      <c r="AI2884" s="38"/>
      <c r="AJ2884" s="38"/>
      <c r="AK2884" s="38"/>
      <c r="AL2884" s="38"/>
      <c r="AM2884" s="38"/>
      <c r="AN2884" s="38"/>
      <c r="AO2884" s="38"/>
      <c r="AP2884" s="38"/>
      <c r="AQ2884" s="38"/>
      <c r="AR2884" s="38"/>
      <c r="AS2884" s="38"/>
      <c r="AT2884" s="38"/>
      <c r="AU2884" s="38"/>
      <c r="AV2884" s="38"/>
      <c r="AW2884" s="38"/>
      <c r="AX2884" s="38"/>
      <c r="AY2884" s="38"/>
      <c r="AZ2884" s="38"/>
      <c r="BA2884" s="38"/>
      <c r="BB2884" s="38"/>
      <c r="BC2884" s="38"/>
      <c r="BD2884" s="38"/>
      <c r="BE2884" s="38"/>
      <c r="BF2884" s="38"/>
      <c r="BG2884" s="38"/>
      <c r="BH2884" s="38"/>
      <c r="BI2884" s="38"/>
      <c r="BJ2884" s="38"/>
      <c r="BK2884" s="38"/>
      <c r="BL2884" s="38"/>
      <c r="BM2884" s="38"/>
      <c r="BN2884" s="38"/>
      <c r="BO2884" s="38"/>
      <c r="BP2884" s="38"/>
      <c r="BQ2884" s="38"/>
    </row>
    <row r="2885">
      <c r="A2885" s="16"/>
      <c r="B2885" s="16"/>
      <c r="C2885" s="146"/>
      <c r="D2885" s="146"/>
      <c r="E2885" s="16"/>
      <c r="F2885" s="91"/>
      <c r="G2885" s="16"/>
      <c r="H2885" s="320" t="str">
        <f t="shared" si="33"/>
        <v/>
      </c>
      <c r="I2885" s="16"/>
      <c r="J2885" s="16"/>
      <c r="K2885" s="16"/>
      <c r="L2885" s="16"/>
      <c r="M2885" s="15"/>
      <c r="N2885" s="15"/>
      <c r="O2885" s="16"/>
      <c r="P2885" s="16"/>
      <c r="Q2885" s="16"/>
      <c r="R2885" s="16"/>
      <c r="S2885" s="37" t="str">
        <f>IFERROR(__xludf.DUMMYFUNCTION("if(not(iserror(index(split(C2885, "" ""),2))), index(split(C2885, "" ""),1),"""")"),"")</f>
        <v/>
      </c>
      <c r="T2885" s="315" t="str">
        <f>IFERROR(__xludf.DUMMYFUNCTION("if(S2885="""",C2885,if(not(iserror(index(split(C2885, "" ""),3))), index(split(C2885, "" ""),3),index(split(C2885, "" ""),2)))"),"")</f>
        <v/>
      </c>
      <c r="U2885" s="38" t="b">
        <f t="shared" si="34"/>
        <v>0</v>
      </c>
      <c r="V2885" s="38"/>
      <c r="W2885" s="40"/>
      <c r="X2885" s="40"/>
      <c r="Y2885" s="38"/>
      <c r="Z2885" s="38"/>
      <c r="AA2885" s="38"/>
      <c r="AB2885" s="38"/>
      <c r="AC2885" s="38"/>
      <c r="AD2885" s="38"/>
      <c r="AE2885" s="38"/>
      <c r="AF2885" s="38"/>
      <c r="AG2885" s="38"/>
      <c r="AH2885" s="38"/>
      <c r="AI2885" s="38"/>
      <c r="AJ2885" s="38"/>
      <c r="AK2885" s="38"/>
      <c r="AL2885" s="38"/>
      <c r="AM2885" s="38"/>
      <c r="AN2885" s="38"/>
      <c r="AO2885" s="38"/>
      <c r="AP2885" s="38"/>
      <c r="AQ2885" s="38"/>
      <c r="AR2885" s="38"/>
      <c r="AS2885" s="38"/>
      <c r="AT2885" s="38"/>
      <c r="AU2885" s="38"/>
      <c r="AV2885" s="38"/>
      <c r="AW2885" s="38"/>
      <c r="AX2885" s="38"/>
      <c r="AY2885" s="38"/>
      <c r="AZ2885" s="38"/>
      <c r="BA2885" s="38"/>
      <c r="BB2885" s="38"/>
      <c r="BC2885" s="38"/>
      <c r="BD2885" s="38"/>
      <c r="BE2885" s="38"/>
      <c r="BF2885" s="38"/>
      <c r="BG2885" s="38"/>
      <c r="BH2885" s="38"/>
      <c r="BI2885" s="38"/>
      <c r="BJ2885" s="38"/>
      <c r="BK2885" s="38"/>
      <c r="BL2885" s="38"/>
      <c r="BM2885" s="38"/>
      <c r="BN2885" s="38"/>
      <c r="BO2885" s="38"/>
      <c r="BP2885" s="38"/>
      <c r="BQ2885" s="38"/>
    </row>
    <row r="2886">
      <c r="A2886" s="16"/>
      <c r="B2886" s="16"/>
      <c r="C2886" s="146"/>
      <c r="D2886" s="146"/>
      <c r="E2886" s="16"/>
      <c r="F2886" s="91"/>
      <c r="G2886" s="16"/>
      <c r="H2886" s="320" t="str">
        <f t="shared" si="33"/>
        <v/>
      </c>
      <c r="I2886" s="16"/>
      <c r="J2886" s="16"/>
      <c r="K2886" s="16"/>
      <c r="L2886" s="16"/>
      <c r="M2886" s="15"/>
      <c r="N2886" s="15"/>
      <c r="O2886" s="16"/>
      <c r="P2886" s="16"/>
      <c r="Q2886" s="16"/>
      <c r="R2886" s="16"/>
      <c r="S2886" s="37" t="str">
        <f>IFERROR(__xludf.DUMMYFUNCTION("if(not(iserror(index(split(C2886, "" ""),2))), index(split(C2886, "" ""),1),"""")"),"")</f>
        <v/>
      </c>
      <c r="T2886" s="315" t="str">
        <f>IFERROR(__xludf.DUMMYFUNCTION("if(S2886="""",C2886,if(not(iserror(index(split(C2886, "" ""),3))), index(split(C2886, "" ""),3),index(split(C2886, "" ""),2)))"),"")</f>
        <v/>
      </c>
      <c r="U2886" s="38" t="b">
        <f t="shared" si="34"/>
        <v>0</v>
      </c>
      <c r="V2886" s="38"/>
      <c r="W2886" s="40"/>
      <c r="X2886" s="40"/>
      <c r="Y2886" s="38"/>
      <c r="Z2886" s="38"/>
      <c r="AA2886" s="38"/>
      <c r="AB2886" s="38"/>
      <c r="AC2886" s="38"/>
      <c r="AD2886" s="38"/>
      <c r="AE2886" s="38"/>
      <c r="AF2886" s="38"/>
      <c r="AG2886" s="38"/>
      <c r="AH2886" s="38"/>
      <c r="AI2886" s="38"/>
      <c r="AJ2886" s="38"/>
      <c r="AK2886" s="38"/>
      <c r="AL2886" s="38"/>
      <c r="AM2886" s="38"/>
      <c r="AN2886" s="38"/>
      <c r="AO2886" s="38"/>
      <c r="AP2886" s="38"/>
      <c r="AQ2886" s="38"/>
      <c r="AR2886" s="38"/>
      <c r="AS2886" s="38"/>
      <c r="AT2886" s="38"/>
      <c r="AU2886" s="38"/>
      <c r="AV2886" s="38"/>
      <c r="AW2886" s="38"/>
      <c r="AX2886" s="38"/>
      <c r="AY2886" s="38"/>
      <c r="AZ2886" s="38"/>
      <c r="BA2886" s="38"/>
      <c r="BB2886" s="38"/>
      <c r="BC2886" s="38"/>
      <c r="BD2886" s="38"/>
      <c r="BE2886" s="38"/>
      <c r="BF2886" s="38"/>
      <c r="BG2886" s="38"/>
      <c r="BH2886" s="38"/>
      <c r="BI2886" s="38"/>
      <c r="BJ2886" s="38"/>
      <c r="BK2886" s="38"/>
      <c r="BL2886" s="38"/>
      <c r="BM2886" s="38"/>
      <c r="BN2886" s="38"/>
      <c r="BO2886" s="38"/>
      <c r="BP2886" s="38"/>
      <c r="BQ2886" s="38"/>
    </row>
    <row r="2887">
      <c r="A2887" s="16"/>
      <c r="B2887" s="16"/>
      <c r="C2887" s="146"/>
      <c r="D2887" s="146"/>
      <c r="E2887" s="16"/>
      <c r="F2887" s="91"/>
      <c r="G2887" s="16"/>
      <c r="H2887" s="320" t="str">
        <f t="shared" si="33"/>
        <v/>
      </c>
      <c r="I2887" s="16"/>
      <c r="J2887" s="16"/>
      <c r="K2887" s="16"/>
      <c r="L2887" s="16"/>
      <c r="M2887" s="15"/>
      <c r="N2887" s="15"/>
      <c r="O2887" s="16"/>
      <c r="P2887" s="16"/>
      <c r="Q2887" s="16"/>
      <c r="R2887" s="16"/>
      <c r="S2887" s="37" t="str">
        <f>IFERROR(__xludf.DUMMYFUNCTION("if(not(iserror(index(split(C2887, "" ""),2))), index(split(C2887, "" ""),1),"""")"),"")</f>
        <v/>
      </c>
      <c r="T2887" s="315" t="str">
        <f>IFERROR(__xludf.DUMMYFUNCTION("if(S2887="""",C2887,if(not(iserror(index(split(C2887, "" ""),3))), index(split(C2887, "" ""),3),index(split(C2887, "" ""),2)))"),"")</f>
        <v/>
      </c>
      <c r="U2887" s="38" t="b">
        <f t="shared" si="34"/>
        <v>0</v>
      </c>
      <c r="V2887" s="38"/>
      <c r="W2887" s="40"/>
      <c r="X2887" s="40"/>
      <c r="Y2887" s="38"/>
      <c r="Z2887" s="38"/>
      <c r="AA2887" s="38"/>
      <c r="AB2887" s="38"/>
      <c r="AC2887" s="38"/>
      <c r="AD2887" s="38"/>
      <c r="AE2887" s="38"/>
      <c r="AF2887" s="38"/>
      <c r="AG2887" s="38"/>
      <c r="AH2887" s="38"/>
      <c r="AI2887" s="38"/>
      <c r="AJ2887" s="38"/>
      <c r="AK2887" s="38"/>
      <c r="AL2887" s="38"/>
      <c r="AM2887" s="38"/>
      <c r="AN2887" s="38"/>
      <c r="AO2887" s="38"/>
      <c r="AP2887" s="38"/>
      <c r="AQ2887" s="38"/>
      <c r="AR2887" s="38"/>
      <c r="AS2887" s="38"/>
      <c r="AT2887" s="38"/>
      <c r="AU2887" s="38"/>
      <c r="AV2887" s="38"/>
      <c r="AW2887" s="38"/>
      <c r="AX2887" s="38"/>
      <c r="AY2887" s="38"/>
      <c r="AZ2887" s="38"/>
      <c r="BA2887" s="38"/>
      <c r="BB2887" s="38"/>
      <c r="BC2887" s="38"/>
      <c r="BD2887" s="38"/>
      <c r="BE2887" s="38"/>
      <c r="BF2887" s="38"/>
      <c r="BG2887" s="38"/>
      <c r="BH2887" s="38"/>
      <c r="BI2887" s="38"/>
      <c r="BJ2887" s="38"/>
      <c r="BK2887" s="38"/>
      <c r="BL2887" s="38"/>
      <c r="BM2887" s="38"/>
      <c r="BN2887" s="38"/>
      <c r="BO2887" s="38"/>
      <c r="BP2887" s="38"/>
      <c r="BQ2887" s="38"/>
    </row>
    <row r="2888">
      <c r="A2888" s="16"/>
      <c r="B2888" s="16"/>
      <c r="C2888" s="146"/>
      <c r="D2888" s="146"/>
      <c r="E2888" s="16"/>
      <c r="F2888" s="91"/>
      <c r="G2888" s="16"/>
      <c r="H2888" s="320" t="str">
        <f t="shared" si="33"/>
        <v/>
      </c>
      <c r="I2888" s="16"/>
      <c r="J2888" s="16"/>
      <c r="K2888" s="16"/>
      <c r="L2888" s="16"/>
      <c r="M2888" s="15"/>
      <c r="N2888" s="15"/>
      <c r="O2888" s="16"/>
      <c r="P2888" s="16"/>
      <c r="Q2888" s="16"/>
      <c r="R2888" s="16"/>
      <c r="S2888" s="37" t="str">
        <f>IFERROR(__xludf.DUMMYFUNCTION("if(not(iserror(index(split(C2888, "" ""),2))), index(split(C2888, "" ""),1),"""")"),"")</f>
        <v/>
      </c>
      <c r="T2888" s="315" t="str">
        <f>IFERROR(__xludf.DUMMYFUNCTION("if(S2888="""",C2888,if(not(iserror(index(split(C2888, "" ""),3))), index(split(C2888, "" ""),3),index(split(C2888, "" ""),2)))"),"")</f>
        <v/>
      </c>
      <c r="U2888" s="38" t="b">
        <f t="shared" si="34"/>
        <v>0</v>
      </c>
      <c r="V2888" s="38"/>
      <c r="W2888" s="40"/>
      <c r="X2888" s="40"/>
      <c r="Y2888" s="38"/>
      <c r="Z2888" s="38"/>
      <c r="AA2888" s="38"/>
      <c r="AB2888" s="38"/>
      <c r="AC2888" s="38"/>
      <c r="AD2888" s="38"/>
      <c r="AE2888" s="38"/>
      <c r="AF2888" s="38"/>
      <c r="AG2888" s="38"/>
      <c r="AH2888" s="38"/>
      <c r="AI2888" s="38"/>
      <c r="AJ2888" s="38"/>
      <c r="AK2888" s="38"/>
      <c r="AL2888" s="38"/>
      <c r="AM2888" s="38"/>
      <c r="AN2888" s="38"/>
      <c r="AO2888" s="38"/>
      <c r="AP2888" s="38"/>
      <c r="AQ2888" s="38"/>
      <c r="AR2888" s="38"/>
      <c r="AS2888" s="38"/>
      <c r="AT2888" s="38"/>
      <c r="AU2888" s="38"/>
      <c r="AV2888" s="38"/>
      <c r="AW2888" s="38"/>
      <c r="AX2888" s="38"/>
      <c r="AY2888" s="38"/>
      <c r="AZ2888" s="38"/>
      <c r="BA2888" s="38"/>
      <c r="BB2888" s="38"/>
      <c r="BC2888" s="38"/>
      <c r="BD2888" s="38"/>
      <c r="BE2888" s="38"/>
      <c r="BF2888" s="38"/>
      <c r="BG2888" s="38"/>
      <c r="BH2888" s="38"/>
      <c r="BI2888" s="38"/>
      <c r="BJ2888" s="38"/>
      <c r="BK2888" s="38"/>
      <c r="BL2888" s="38"/>
      <c r="BM2888" s="38"/>
      <c r="BN2888" s="38"/>
      <c r="BO2888" s="38"/>
      <c r="BP2888" s="38"/>
      <c r="BQ2888" s="38"/>
    </row>
    <row r="2889">
      <c r="A2889" s="16"/>
      <c r="B2889" s="16"/>
      <c r="C2889" s="146"/>
      <c r="D2889" s="146"/>
      <c r="E2889" s="16"/>
      <c r="F2889" s="91"/>
      <c r="G2889" s="16"/>
      <c r="H2889" s="320" t="str">
        <f t="shared" si="33"/>
        <v/>
      </c>
      <c r="I2889" s="16"/>
      <c r="J2889" s="16"/>
      <c r="K2889" s="16"/>
      <c r="L2889" s="16"/>
      <c r="M2889" s="15"/>
      <c r="N2889" s="15"/>
      <c r="O2889" s="16"/>
      <c r="P2889" s="16"/>
      <c r="Q2889" s="16"/>
      <c r="R2889" s="16"/>
      <c r="S2889" s="37" t="str">
        <f>IFERROR(__xludf.DUMMYFUNCTION("if(not(iserror(index(split(C2889, "" ""),2))), index(split(C2889, "" ""),1),"""")"),"")</f>
        <v/>
      </c>
      <c r="T2889" s="315" t="str">
        <f>IFERROR(__xludf.DUMMYFUNCTION("if(S2889="""",C2889,if(not(iserror(index(split(C2889, "" ""),3))), index(split(C2889, "" ""),3),index(split(C2889, "" ""),2)))"),"")</f>
        <v/>
      </c>
      <c r="U2889" s="38" t="b">
        <f t="shared" si="34"/>
        <v>0</v>
      </c>
      <c r="V2889" s="38"/>
      <c r="W2889" s="40"/>
      <c r="X2889" s="40"/>
      <c r="Y2889" s="38"/>
      <c r="Z2889" s="38"/>
      <c r="AA2889" s="38"/>
      <c r="AB2889" s="38"/>
      <c r="AC2889" s="38"/>
      <c r="AD2889" s="38"/>
      <c r="AE2889" s="38"/>
      <c r="AF2889" s="38"/>
      <c r="AG2889" s="38"/>
      <c r="AH2889" s="38"/>
      <c r="AI2889" s="38"/>
      <c r="AJ2889" s="38"/>
      <c r="AK2889" s="38"/>
      <c r="AL2889" s="38"/>
      <c r="AM2889" s="38"/>
      <c r="AN2889" s="38"/>
      <c r="AO2889" s="38"/>
      <c r="AP2889" s="38"/>
      <c r="AQ2889" s="38"/>
      <c r="AR2889" s="38"/>
      <c r="AS2889" s="38"/>
      <c r="AT2889" s="38"/>
      <c r="AU2889" s="38"/>
      <c r="AV2889" s="38"/>
      <c r="AW2889" s="38"/>
      <c r="AX2889" s="38"/>
      <c r="AY2889" s="38"/>
      <c r="AZ2889" s="38"/>
      <c r="BA2889" s="38"/>
      <c r="BB2889" s="38"/>
      <c r="BC2889" s="38"/>
      <c r="BD2889" s="38"/>
      <c r="BE2889" s="38"/>
      <c r="BF2889" s="38"/>
      <c r="BG2889" s="38"/>
      <c r="BH2889" s="38"/>
      <c r="BI2889" s="38"/>
      <c r="BJ2889" s="38"/>
      <c r="BK2889" s="38"/>
      <c r="BL2889" s="38"/>
      <c r="BM2889" s="38"/>
      <c r="BN2889" s="38"/>
      <c r="BO2889" s="38"/>
      <c r="BP2889" s="38"/>
      <c r="BQ2889" s="38"/>
    </row>
    <row r="2890">
      <c r="A2890" s="16"/>
      <c r="B2890" s="16"/>
      <c r="C2890" s="146"/>
      <c r="D2890" s="146"/>
      <c r="E2890" s="16"/>
      <c r="F2890" s="91"/>
      <c r="G2890" s="16"/>
      <c r="H2890" s="320" t="str">
        <f t="shared" si="33"/>
        <v/>
      </c>
      <c r="I2890" s="16"/>
      <c r="J2890" s="16"/>
      <c r="K2890" s="16"/>
      <c r="L2890" s="16"/>
      <c r="M2890" s="15"/>
      <c r="N2890" s="15"/>
      <c r="O2890" s="16"/>
      <c r="P2890" s="16"/>
      <c r="Q2890" s="16"/>
      <c r="R2890" s="16"/>
      <c r="S2890" s="37" t="str">
        <f>IFERROR(__xludf.DUMMYFUNCTION("if(not(iserror(index(split(C2890, "" ""),2))), index(split(C2890, "" ""),1),"""")"),"")</f>
        <v/>
      </c>
      <c r="T2890" s="315" t="str">
        <f>IFERROR(__xludf.DUMMYFUNCTION("if(S2890="""",C2890,if(not(iserror(index(split(C2890, "" ""),3))), index(split(C2890, "" ""),3),index(split(C2890, "" ""),2)))"),"")</f>
        <v/>
      </c>
      <c r="U2890" s="38" t="b">
        <f t="shared" si="34"/>
        <v>0</v>
      </c>
      <c r="V2890" s="38"/>
      <c r="W2890" s="40"/>
      <c r="X2890" s="40"/>
      <c r="Y2890" s="38"/>
      <c r="Z2890" s="38"/>
      <c r="AA2890" s="38"/>
      <c r="AB2890" s="38"/>
      <c r="AC2890" s="38"/>
      <c r="AD2890" s="38"/>
      <c r="AE2890" s="38"/>
      <c r="AF2890" s="38"/>
      <c r="AG2890" s="38"/>
      <c r="AH2890" s="38"/>
      <c r="AI2890" s="38"/>
      <c r="AJ2890" s="38"/>
      <c r="AK2890" s="38"/>
      <c r="AL2890" s="38"/>
      <c r="AM2890" s="38"/>
      <c r="AN2890" s="38"/>
      <c r="AO2890" s="38"/>
      <c r="AP2890" s="38"/>
      <c r="AQ2890" s="38"/>
      <c r="AR2890" s="38"/>
      <c r="AS2890" s="38"/>
      <c r="AT2890" s="38"/>
      <c r="AU2890" s="38"/>
      <c r="AV2890" s="38"/>
      <c r="AW2890" s="38"/>
      <c r="AX2890" s="38"/>
      <c r="AY2890" s="38"/>
      <c r="AZ2890" s="38"/>
      <c r="BA2890" s="38"/>
      <c r="BB2890" s="38"/>
      <c r="BC2890" s="38"/>
      <c r="BD2890" s="38"/>
      <c r="BE2890" s="38"/>
      <c r="BF2890" s="38"/>
      <c r="BG2890" s="38"/>
      <c r="BH2890" s="38"/>
      <c r="BI2890" s="38"/>
      <c r="BJ2890" s="38"/>
      <c r="BK2890" s="38"/>
      <c r="BL2890" s="38"/>
      <c r="BM2890" s="38"/>
      <c r="BN2890" s="38"/>
      <c r="BO2890" s="38"/>
      <c r="BP2890" s="38"/>
      <c r="BQ2890" s="38"/>
    </row>
    <row r="2891">
      <c r="A2891" s="16"/>
      <c r="B2891" s="16"/>
      <c r="C2891" s="146"/>
      <c r="D2891" s="146"/>
      <c r="E2891" s="16"/>
      <c r="F2891" s="91"/>
      <c r="G2891" s="16"/>
      <c r="H2891" s="320" t="str">
        <f t="shared" si="33"/>
        <v/>
      </c>
      <c r="I2891" s="16"/>
      <c r="J2891" s="16"/>
      <c r="K2891" s="16"/>
      <c r="L2891" s="16"/>
      <c r="M2891" s="15"/>
      <c r="N2891" s="15"/>
      <c r="O2891" s="16"/>
      <c r="P2891" s="16"/>
      <c r="Q2891" s="16"/>
      <c r="R2891" s="16"/>
      <c r="S2891" s="37" t="str">
        <f>IFERROR(__xludf.DUMMYFUNCTION("if(not(iserror(index(split(C2891, "" ""),2))), index(split(C2891, "" ""),1),"""")"),"")</f>
        <v/>
      </c>
      <c r="T2891" s="315" t="str">
        <f>IFERROR(__xludf.DUMMYFUNCTION("if(S2891="""",C2891,if(not(iserror(index(split(C2891, "" ""),3))), index(split(C2891, "" ""),3),index(split(C2891, "" ""),2)))"),"")</f>
        <v/>
      </c>
      <c r="U2891" s="38" t="b">
        <f t="shared" si="34"/>
        <v>0</v>
      </c>
      <c r="V2891" s="38"/>
      <c r="W2891" s="40"/>
      <c r="X2891" s="40"/>
      <c r="Y2891" s="38"/>
      <c r="Z2891" s="38"/>
      <c r="AA2891" s="38"/>
      <c r="AB2891" s="38"/>
      <c r="AC2891" s="38"/>
      <c r="AD2891" s="38"/>
      <c r="AE2891" s="38"/>
      <c r="AF2891" s="38"/>
      <c r="AG2891" s="38"/>
      <c r="AH2891" s="38"/>
      <c r="AI2891" s="38"/>
      <c r="AJ2891" s="38"/>
      <c r="AK2891" s="38"/>
      <c r="AL2891" s="38"/>
      <c r="AM2891" s="38"/>
      <c r="AN2891" s="38"/>
      <c r="AO2891" s="38"/>
      <c r="AP2891" s="38"/>
      <c r="AQ2891" s="38"/>
      <c r="AR2891" s="38"/>
      <c r="AS2891" s="38"/>
      <c r="AT2891" s="38"/>
      <c r="AU2891" s="38"/>
      <c r="AV2891" s="38"/>
      <c r="AW2891" s="38"/>
      <c r="AX2891" s="38"/>
      <c r="AY2891" s="38"/>
      <c r="AZ2891" s="38"/>
      <c r="BA2891" s="38"/>
      <c r="BB2891" s="38"/>
      <c r="BC2891" s="38"/>
      <c r="BD2891" s="38"/>
      <c r="BE2891" s="38"/>
      <c r="BF2891" s="38"/>
      <c r="BG2891" s="38"/>
      <c r="BH2891" s="38"/>
      <c r="BI2891" s="38"/>
      <c r="BJ2891" s="38"/>
      <c r="BK2891" s="38"/>
      <c r="BL2891" s="38"/>
      <c r="BM2891" s="38"/>
      <c r="BN2891" s="38"/>
      <c r="BO2891" s="38"/>
      <c r="BP2891" s="38"/>
      <c r="BQ2891" s="38"/>
    </row>
    <row r="2892">
      <c r="A2892" s="16"/>
      <c r="B2892" s="16"/>
      <c r="C2892" s="146"/>
      <c r="D2892" s="146"/>
      <c r="E2892" s="16"/>
      <c r="F2892" s="91"/>
      <c r="G2892" s="16"/>
      <c r="H2892" s="320" t="str">
        <f t="shared" si="33"/>
        <v/>
      </c>
      <c r="I2892" s="16"/>
      <c r="J2892" s="16"/>
      <c r="K2892" s="16"/>
      <c r="L2892" s="16"/>
      <c r="M2892" s="15"/>
      <c r="N2892" s="15"/>
      <c r="O2892" s="16"/>
      <c r="P2892" s="16"/>
      <c r="Q2892" s="16"/>
      <c r="R2892" s="16"/>
      <c r="S2892" s="37" t="str">
        <f>IFERROR(__xludf.DUMMYFUNCTION("if(not(iserror(index(split(C2892, "" ""),2))), index(split(C2892, "" ""),1),"""")"),"")</f>
        <v/>
      </c>
      <c r="T2892" s="315" t="str">
        <f>IFERROR(__xludf.DUMMYFUNCTION("if(S2892="""",C2892,if(not(iserror(index(split(C2892, "" ""),3))), index(split(C2892, "" ""),3),index(split(C2892, "" ""),2)))"),"")</f>
        <v/>
      </c>
      <c r="U2892" s="38" t="b">
        <f t="shared" si="34"/>
        <v>0</v>
      </c>
      <c r="V2892" s="38"/>
      <c r="W2892" s="40"/>
      <c r="X2892" s="40"/>
      <c r="Y2892" s="38"/>
      <c r="Z2892" s="38"/>
      <c r="AA2892" s="38"/>
      <c r="AB2892" s="38"/>
      <c r="AC2892" s="38"/>
      <c r="AD2892" s="38"/>
      <c r="AE2892" s="38"/>
      <c r="AF2892" s="38"/>
      <c r="AG2892" s="38"/>
      <c r="AH2892" s="38"/>
      <c r="AI2892" s="38"/>
      <c r="AJ2892" s="38"/>
      <c r="AK2892" s="38"/>
      <c r="AL2892" s="38"/>
      <c r="AM2892" s="38"/>
      <c r="AN2892" s="38"/>
      <c r="AO2892" s="38"/>
      <c r="AP2892" s="38"/>
      <c r="AQ2892" s="38"/>
      <c r="AR2892" s="38"/>
      <c r="AS2892" s="38"/>
      <c r="AT2892" s="38"/>
      <c r="AU2892" s="38"/>
      <c r="AV2892" s="38"/>
      <c r="AW2892" s="38"/>
      <c r="AX2892" s="38"/>
      <c r="AY2892" s="38"/>
      <c r="AZ2892" s="38"/>
      <c r="BA2892" s="38"/>
      <c r="BB2892" s="38"/>
      <c r="BC2892" s="38"/>
      <c r="BD2892" s="38"/>
      <c r="BE2892" s="38"/>
      <c r="BF2892" s="38"/>
      <c r="BG2892" s="38"/>
      <c r="BH2892" s="38"/>
      <c r="BI2892" s="38"/>
      <c r="BJ2892" s="38"/>
      <c r="BK2892" s="38"/>
      <c r="BL2892" s="38"/>
      <c r="BM2892" s="38"/>
      <c r="BN2892" s="38"/>
      <c r="BO2892" s="38"/>
      <c r="BP2892" s="38"/>
      <c r="BQ2892" s="38"/>
    </row>
    <row r="2893">
      <c r="A2893" s="16"/>
      <c r="B2893" s="16"/>
      <c r="C2893" s="146"/>
      <c r="D2893" s="146"/>
      <c r="E2893" s="16"/>
      <c r="F2893" s="91"/>
      <c r="G2893" s="16"/>
      <c r="H2893" s="320" t="str">
        <f t="shared" si="33"/>
        <v/>
      </c>
      <c r="I2893" s="16"/>
      <c r="J2893" s="16"/>
      <c r="K2893" s="16"/>
      <c r="L2893" s="16"/>
      <c r="M2893" s="15"/>
      <c r="N2893" s="15"/>
      <c r="O2893" s="16"/>
      <c r="P2893" s="16"/>
      <c r="Q2893" s="16"/>
      <c r="R2893" s="16"/>
      <c r="S2893" s="37" t="str">
        <f>IFERROR(__xludf.DUMMYFUNCTION("if(not(iserror(index(split(C2893, "" ""),2))), index(split(C2893, "" ""),1),"""")"),"")</f>
        <v/>
      </c>
      <c r="T2893" s="315" t="str">
        <f>IFERROR(__xludf.DUMMYFUNCTION("if(S2893="""",C2893,if(not(iserror(index(split(C2893, "" ""),3))), index(split(C2893, "" ""),3),index(split(C2893, "" ""),2)))"),"")</f>
        <v/>
      </c>
      <c r="U2893" s="38" t="b">
        <f t="shared" si="34"/>
        <v>0</v>
      </c>
      <c r="V2893" s="38"/>
      <c r="W2893" s="40"/>
      <c r="X2893" s="40"/>
      <c r="Y2893" s="38"/>
      <c r="Z2893" s="38"/>
      <c r="AA2893" s="38"/>
      <c r="AB2893" s="38"/>
      <c r="AC2893" s="38"/>
      <c r="AD2893" s="38"/>
      <c r="AE2893" s="38"/>
      <c r="AF2893" s="38"/>
      <c r="AG2893" s="38"/>
      <c r="AH2893" s="38"/>
      <c r="AI2893" s="38"/>
      <c r="AJ2893" s="38"/>
      <c r="AK2893" s="38"/>
      <c r="AL2893" s="38"/>
      <c r="AM2893" s="38"/>
      <c r="AN2893" s="38"/>
      <c r="AO2893" s="38"/>
      <c r="AP2893" s="38"/>
      <c r="AQ2893" s="38"/>
      <c r="AR2893" s="38"/>
      <c r="AS2893" s="38"/>
      <c r="AT2893" s="38"/>
      <c r="AU2893" s="38"/>
      <c r="AV2893" s="38"/>
      <c r="AW2893" s="38"/>
      <c r="AX2893" s="38"/>
      <c r="AY2893" s="38"/>
      <c r="AZ2893" s="38"/>
      <c r="BA2893" s="38"/>
      <c r="BB2893" s="38"/>
      <c r="BC2893" s="38"/>
      <c r="BD2893" s="38"/>
      <c r="BE2893" s="38"/>
      <c r="BF2893" s="38"/>
      <c r="BG2893" s="38"/>
      <c r="BH2893" s="38"/>
      <c r="BI2893" s="38"/>
      <c r="BJ2893" s="38"/>
      <c r="BK2893" s="38"/>
      <c r="BL2893" s="38"/>
      <c r="BM2893" s="38"/>
      <c r="BN2893" s="38"/>
      <c r="BO2893" s="38"/>
      <c r="BP2893" s="38"/>
      <c r="BQ2893" s="38"/>
    </row>
    <row r="2894">
      <c r="A2894" s="16"/>
      <c r="B2894" s="16"/>
      <c r="C2894" s="146"/>
      <c r="D2894" s="146"/>
      <c r="E2894" s="16"/>
      <c r="F2894" s="91"/>
      <c r="G2894" s="16"/>
      <c r="H2894" s="320" t="str">
        <f t="shared" si="33"/>
        <v/>
      </c>
      <c r="I2894" s="16"/>
      <c r="J2894" s="16"/>
      <c r="K2894" s="16"/>
      <c r="L2894" s="16"/>
      <c r="M2894" s="15"/>
      <c r="N2894" s="15"/>
      <c r="O2894" s="16"/>
      <c r="P2894" s="16"/>
      <c r="Q2894" s="16"/>
      <c r="R2894" s="16"/>
      <c r="S2894" s="37" t="str">
        <f>IFERROR(__xludf.DUMMYFUNCTION("if(not(iserror(index(split(C2894, "" ""),2))), index(split(C2894, "" ""),1),"""")"),"")</f>
        <v/>
      </c>
      <c r="T2894" s="315" t="str">
        <f>IFERROR(__xludf.DUMMYFUNCTION("if(S2894="""",C2894,if(not(iserror(index(split(C2894, "" ""),3))), index(split(C2894, "" ""),3),index(split(C2894, "" ""),2)))"),"")</f>
        <v/>
      </c>
      <c r="U2894" s="38" t="b">
        <f t="shared" si="34"/>
        <v>0</v>
      </c>
      <c r="V2894" s="38"/>
      <c r="W2894" s="40"/>
      <c r="X2894" s="40"/>
      <c r="Y2894" s="38"/>
      <c r="Z2894" s="38"/>
      <c r="AA2894" s="38"/>
      <c r="AB2894" s="38"/>
      <c r="AC2894" s="38"/>
      <c r="AD2894" s="38"/>
      <c r="AE2894" s="38"/>
      <c r="AF2894" s="38"/>
      <c r="AG2894" s="38"/>
      <c r="AH2894" s="38"/>
      <c r="AI2894" s="38"/>
      <c r="AJ2894" s="38"/>
      <c r="AK2894" s="38"/>
      <c r="AL2894" s="38"/>
      <c r="AM2894" s="38"/>
      <c r="AN2894" s="38"/>
      <c r="AO2894" s="38"/>
      <c r="AP2894" s="38"/>
      <c r="AQ2894" s="38"/>
      <c r="AR2894" s="38"/>
      <c r="AS2894" s="38"/>
      <c r="AT2894" s="38"/>
      <c r="AU2894" s="38"/>
      <c r="AV2894" s="38"/>
      <c r="AW2894" s="38"/>
      <c r="AX2894" s="38"/>
      <c r="AY2894" s="38"/>
      <c r="AZ2894" s="38"/>
      <c r="BA2894" s="38"/>
      <c r="BB2894" s="38"/>
      <c r="BC2894" s="38"/>
      <c r="BD2894" s="38"/>
      <c r="BE2894" s="38"/>
      <c r="BF2894" s="38"/>
      <c r="BG2894" s="38"/>
      <c r="BH2894" s="38"/>
      <c r="BI2894" s="38"/>
      <c r="BJ2894" s="38"/>
      <c r="BK2894" s="38"/>
      <c r="BL2894" s="38"/>
      <c r="BM2894" s="38"/>
      <c r="BN2894" s="38"/>
      <c r="BO2894" s="38"/>
      <c r="BP2894" s="38"/>
      <c r="BQ2894" s="38"/>
    </row>
    <row r="2895">
      <c r="A2895" s="16"/>
      <c r="B2895" s="16"/>
      <c r="C2895" s="146"/>
      <c r="D2895" s="146"/>
      <c r="E2895" s="16"/>
      <c r="F2895" s="91"/>
      <c r="G2895" s="16"/>
      <c r="H2895" s="320" t="str">
        <f t="shared" si="33"/>
        <v/>
      </c>
      <c r="I2895" s="16"/>
      <c r="J2895" s="16"/>
      <c r="K2895" s="16"/>
      <c r="L2895" s="16"/>
      <c r="M2895" s="15"/>
      <c r="N2895" s="15"/>
      <c r="O2895" s="16"/>
      <c r="P2895" s="16"/>
      <c r="Q2895" s="16"/>
      <c r="R2895" s="16"/>
      <c r="S2895" s="37" t="str">
        <f>IFERROR(__xludf.DUMMYFUNCTION("if(not(iserror(index(split(C2895, "" ""),2))), index(split(C2895, "" ""),1),"""")"),"")</f>
        <v/>
      </c>
      <c r="T2895" s="315" t="str">
        <f>IFERROR(__xludf.DUMMYFUNCTION("if(S2895="""",C2895,if(not(iserror(index(split(C2895, "" ""),3))), index(split(C2895, "" ""),3),index(split(C2895, "" ""),2)))"),"")</f>
        <v/>
      </c>
      <c r="U2895" s="38" t="b">
        <f t="shared" si="34"/>
        <v>0</v>
      </c>
      <c r="V2895" s="38"/>
      <c r="W2895" s="40"/>
      <c r="X2895" s="40"/>
      <c r="Y2895" s="38"/>
      <c r="Z2895" s="38"/>
      <c r="AA2895" s="38"/>
      <c r="AB2895" s="38"/>
      <c r="AC2895" s="38"/>
      <c r="AD2895" s="38"/>
      <c r="AE2895" s="38"/>
      <c r="AF2895" s="38"/>
      <c r="AG2895" s="38"/>
      <c r="AH2895" s="38"/>
      <c r="AI2895" s="38"/>
      <c r="AJ2895" s="38"/>
      <c r="AK2895" s="38"/>
      <c r="AL2895" s="38"/>
      <c r="AM2895" s="38"/>
      <c r="AN2895" s="38"/>
      <c r="AO2895" s="38"/>
      <c r="AP2895" s="38"/>
      <c r="AQ2895" s="38"/>
      <c r="AR2895" s="38"/>
      <c r="AS2895" s="38"/>
      <c r="AT2895" s="38"/>
      <c r="AU2895" s="38"/>
      <c r="AV2895" s="38"/>
      <c r="AW2895" s="38"/>
      <c r="AX2895" s="38"/>
      <c r="AY2895" s="38"/>
      <c r="AZ2895" s="38"/>
      <c r="BA2895" s="38"/>
      <c r="BB2895" s="38"/>
      <c r="BC2895" s="38"/>
      <c r="BD2895" s="38"/>
      <c r="BE2895" s="38"/>
      <c r="BF2895" s="38"/>
      <c r="BG2895" s="38"/>
      <c r="BH2895" s="38"/>
      <c r="BI2895" s="38"/>
      <c r="BJ2895" s="38"/>
      <c r="BK2895" s="38"/>
      <c r="BL2895" s="38"/>
      <c r="BM2895" s="38"/>
      <c r="BN2895" s="38"/>
      <c r="BO2895" s="38"/>
      <c r="BP2895" s="38"/>
      <c r="BQ2895" s="38"/>
    </row>
    <row r="2896">
      <c r="A2896" s="16"/>
      <c r="B2896" s="16"/>
      <c r="C2896" s="146"/>
      <c r="D2896" s="146"/>
      <c r="E2896" s="16"/>
      <c r="F2896" s="91"/>
      <c r="G2896" s="16"/>
      <c r="H2896" s="320" t="str">
        <f t="shared" si="33"/>
        <v/>
      </c>
      <c r="I2896" s="16"/>
      <c r="J2896" s="16"/>
      <c r="K2896" s="16"/>
      <c r="L2896" s="16"/>
      <c r="M2896" s="15"/>
      <c r="N2896" s="15"/>
      <c r="O2896" s="16"/>
      <c r="P2896" s="16"/>
      <c r="Q2896" s="16"/>
      <c r="R2896" s="16"/>
      <c r="S2896" s="37" t="str">
        <f>IFERROR(__xludf.DUMMYFUNCTION("if(not(iserror(index(split(C2896, "" ""),2))), index(split(C2896, "" ""),1),"""")"),"")</f>
        <v/>
      </c>
      <c r="T2896" s="315" t="str">
        <f>IFERROR(__xludf.DUMMYFUNCTION("if(S2896="""",C2896,if(not(iserror(index(split(C2896, "" ""),3))), index(split(C2896, "" ""),3),index(split(C2896, "" ""),2)))"),"")</f>
        <v/>
      </c>
      <c r="U2896" s="38" t="b">
        <f t="shared" si="34"/>
        <v>0</v>
      </c>
      <c r="V2896" s="38"/>
      <c r="W2896" s="40"/>
      <c r="X2896" s="40"/>
      <c r="Y2896" s="38"/>
      <c r="Z2896" s="38"/>
      <c r="AA2896" s="38"/>
      <c r="AB2896" s="38"/>
      <c r="AC2896" s="38"/>
      <c r="AD2896" s="38"/>
      <c r="AE2896" s="38"/>
      <c r="AF2896" s="38"/>
      <c r="AG2896" s="38"/>
      <c r="AH2896" s="38"/>
      <c r="AI2896" s="38"/>
      <c r="AJ2896" s="38"/>
      <c r="AK2896" s="38"/>
      <c r="AL2896" s="38"/>
      <c r="AM2896" s="38"/>
      <c r="AN2896" s="38"/>
      <c r="AO2896" s="38"/>
      <c r="AP2896" s="38"/>
      <c r="AQ2896" s="38"/>
      <c r="AR2896" s="38"/>
      <c r="AS2896" s="38"/>
      <c r="AT2896" s="38"/>
      <c r="AU2896" s="38"/>
      <c r="AV2896" s="38"/>
      <c r="AW2896" s="38"/>
      <c r="AX2896" s="38"/>
      <c r="AY2896" s="38"/>
      <c r="AZ2896" s="38"/>
      <c r="BA2896" s="38"/>
      <c r="BB2896" s="38"/>
      <c r="BC2896" s="38"/>
      <c r="BD2896" s="38"/>
      <c r="BE2896" s="38"/>
      <c r="BF2896" s="38"/>
      <c r="BG2896" s="38"/>
      <c r="BH2896" s="38"/>
      <c r="BI2896" s="38"/>
      <c r="BJ2896" s="38"/>
      <c r="BK2896" s="38"/>
      <c r="BL2896" s="38"/>
      <c r="BM2896" s="38"/>
      <c r="BN2896" s="38"/>
      <c r="BO2896" s="38"/>
      <c r="BP2896" s="38"/>
      <c r="BQ2896" s="38"/>
    </row>
    <row r="2897">
      <c r="A2897" s="16"/>
      <c r="B2897" s="16"/>
      <c r="C2897" s="146"/>
      <c r="D2897" s="146"/>
      <c r="E2897" s="16"/>
      <c r="F2897" s="91"/>
      <c r="G2897" s="16"/>
      <c r="H2897" s="320" t="str">
        <f t="shared" si="33"/>
        <v/>
      </c>
      <c r="I2897" s="16"/>
      <c r="J2897" s="16"/>
      <c r="K2897" s="16"/>
      <c r="L2897" s="16"/>
      <c r="M2897" s="15"/>
      <c r="N2897" s="15"/>
      <c r="O2897" s="16"/>
      <c r="P2897" s="16"/>
      <c r="Q2897" s="16"/>
      <c r="R2897" s="16"/>
      <c r="S2897" s="37" t="str">
        <f>IFERROR(__xludf.DUMMYFUNCTION("if(not(iserror(index(split(C2897, "" ""),2))), index(split(C2897, "" ""),1),"""")"),"")</f>
        <v/>
      </c>
      <c r="T2897" s="315" t="str">
        <f>IFERROR(__xludf.DUMMYFUNCTION("if(S2897="""",C2897,if(not(iserror(index(split(C2897, "" ""),3))), index(split(C2897, "" ""),3),index(split(C2897, "" ""),2)))"),"")</f>
        <v/>
      </c>
      <c r="U2897" s="38" t="b">
        <f t="shared" si="34"/>
        <v>0</v>
      </c>
      <c r="V2897" s="38"/>
      <c r="W2897" s="40"/>
      <c r="X2897" s="40"/>
      <c r="Y2897" s="38"/>
      <c r="Z2897" s="38"/>
      <c r="AA2897" s="38"/>
      <c r="AB2897" s="38"/>
      <c r="AC2897" s="38"/>
      <c r="AD2897" s="38"/>
      <c r="AE2897" s="38"/>
      <c r="AF2897" s="38"/>
      <c r="AG2897" s="38"/>
      <c r="AH2897" s="38"/>
      <c r="AI2897" s="38"/>
      <c r="AJ2897" s="38"/>
      <c r="AK2897" s="38"/>
      <c r="AL2897" s="38"/>
      <c r="AM2897" s="38"/>
      <c r="AN2897" s="38"/>
      <c r="AO2897" s="38"/>
      <c r="AP2897" s="38"/>
      <c r="AQ2897" s="38"/>
      <c r="AR2897" s="38"/>
      <c r="AS2897" s="38"/>
      <c r="AT2897" s="38"/>
      <c r="AU2897" s="38"/>
      <c r="AV2897" s="38"/>
      <c r="AW2897" s="38"/>
      <c r="AX2897" s="38"/>
      <c r="AY2897" s="38"/>
      <c r="AZ2897" s="38"/>
      <c r="BA2897" s="38"/>
      <c r="BB2897" s="38"/>
      <c r="BC2897" s="38"/>
      <c r="BD2897" s="38"/>
      <c r="BE2897" s="38"/>
      <c r="BF2897" s="38"/>
      <c r="BG2897" s="38"/>
      <c r="BH2897" s="38"/>
      <c r="BI2897" s="38"/>
      <c r="BJ2897" s="38"/>
      <c r="BK2897" s="38"/>
      <c r="BL2897" s="38"/>
      <c r="BM2897" s="38"/>
      <c r="BN2897" s="38"/>
      <c r="BO2897" s="38"/>
      <c r="BP2897" s="38"/>
      <c r="BQ2897" s="38"/>
    </row>
    <row r="2898">
      <c r="A2898" s="16"/>
      <c r="B2898" s="16"/>
      <c r="C2898" s="146"/>
      <c r="D2898" s="146"/>
      <c r="E2898" s="16"/>
      <c r="F2898" s="91"/>
      <c r="G2898" s="16"/>
      <c r="H2898" s="320" t="str">
        <f t="shared" si="33"/>
        <v/>
      </c>
      <c r="I2898" s="16"/>
      <c r="J2898" s="16"/>
      <c r="K2898" s="16"/>
      <c r="L2898" s="16"/>
      <c r="M2898" s="15"/>
      <c r="N2898" s="15"/>
      <c r="O2898" s="16"/>
      <c r="P2898" s="16"/>
      <c r="Q2898" s="16"/>
      <c r="R2898" s="16"/>
      <c r="S2898" s="37" t="str">
        <f>IFERROR(__xludf.DUMMYFUNCTION("if(not(iserror(index(split(C2898, "" ""),2))), index(split(C2898, "" ""),1),"""")"),"")</f>
        <v/>
      </c>
      <c r="T2898" s="315" t="str">
        <f>IFERROR(__xludf.DUMMYFUNCTION("if(S2898="""",C2898,if(not(iserror(index(split(C2898, "" ""),3))), index(split(C2898, "" ""),3),index(split(C2898, "" ""),2)))"),"")</f>
        <v/>
      </c>
      <c r="U2898" s="38" t="b">
        <f t="shared" si="34"/>
        <v>0</v>
      </c>
      <c r="V2898" s="38"/>
      <c r="W2898" s="40"/>
      <c r="X2898" s="40"/>
      <c r="Y2898" s="38"/>
      <c r="Z2898" s="38"/>
      <c r="AA2898" s="38"/>
      <c r="AB2898" s="38"/>
      <c r="AC2898" s="38"/>
      <c r="AD2898" s="38"/>
      <c r="AE2898" s="38"/>
      <c r="AF2898" s="38"/>
      <c r="AG2898" s="38"/>
      <c r="AH2898" s="38"/>
      <c r="AI2898" s="38"/>
      <c r="AJ2898" s="38"/>
      <c r="AK2898" s="38"/>
      <c r="AL2898" s="38"/>
      <c r="AM2898" s="38"/>
      <c r="AN2898" s="38"/>
      <c r="AO2898" s="38"/>
      <c r="AP2898" s="38"/>
      <c r="AQ2898" s="38"/>
      <c r="AR2898" s="38"/>
      <c r="AS2898" s="38"/>
      <c r="AT2898" s="38"/>
      <c r="AU2898" s="38"/>
      <c r="AV2898" s="38"/>
      <c r="AW2898" s="38"/>
      <c r="AX2898" s="38"/>
      <c r="AY2898" s="38"/>
      <c r="AZ2898" s="38"/>
      <c r="BA2898" s="38"/>
      <c r="BB2898" s="38"/>
      <c r="BC2898" s="38"/>
      <c r="BD2898" s="38"/>
      <c r="BE2898" s="38"/>
      <c r="BF2898" s="38"/>
      <c r="BG2898" s="38"/>
      <c r="BH2898" s="38"/>
      <c r="BI2898" s="38"/>
      <c r="BJ2898" s="38"/>
      <c r="BK2898" s="38"/>
      <c r="BL2898" s="38"/>
      <c r="BM2898" s="38"/>
      <c r="BN2898" s="38"/>
      <c r="BO2898" s="38"/>
      <c r="BP2898" s="38"/>
      <c r="BQ2898" s="38"/>
    </row>
    <row r="2899">
      <c r="A2899" s="16"/>
      <c r="B2899" s="16"/>
      <c r="C2899" s="146"/>
      <c r="D2899" s="146"/>
      <c r="E2899" s="16"/>
      <c r="F2899" s="91"/>
      <c r="G2899" s="16"/>
      <c r="H2899" s="320" t="str">
        <f t="shared" si="33"/>
        <v/>
      </c>
      <c r="I2899" s="16"/>
      <c r="J2899" s="16"/>
      <c r="K2899" s="16"/>
      <c r="L2899" s="16"/>
      <c r="M2899" s="15"/>
      <c r="N2899" s="15"/>
      <c r="O2899" s="16"/>
      <c r="P2899" s="16"/>
      <c r="Q2899" s="16"/>
      <c r="R2899" s="16"/>
      <c r="S2899" s="37" t="str">
        <f>IFERROR(__xludf.DUMMYFUNCTION("if(not(iserror(index(split(C2899, "" ""),2))), index(split(C2899, "" ""),1),"""")"),"")</f>
        <v/>
      </c>
      <c r="T2899" s="315" t="str">
        <f>IFERROR(__xludf.DUMMYFUNCTION("if(S2899="""",C2899,if(not(iserror(index(split(C2899, "" ""),3))), index(split(C2899, "" ""),3),index(split(C2899, "" ""),2)))"),"")</f>
        <v/>
      </c>
      <c r="U2899" s="38" t="b">
        <f t="shared" si="34"/>
        <v>0</v>
      </c>
      <c r="V2899" s="38"/>
      <c r="W2899" s="40"/>
      <c r="X2899" s="40"/>
      <c r="Y2899" s="38"/>
      <c r="Z2899" s="38"/>
      <c r="AA2899" s="38"/>
      <c r="AB2899" s="38"/>
      <c r="AC2899" s="38"/>
      <c r="AD2899" s="38"/>
      <c r="AE2899" s="38"/>
      <c r="AF2899" s="38"/>
      <c r="AG2899" s="38"/>
      <c r="AH2899" s="38"/>
      <c r="AI2899" s="38"/>
      <c r="AJ2899" s="38"/>
      <c r="AK2899" s="38"/>
      <c r="AL2899" s="38"/>
      <c r="AM2899" s="38"/>
      <c r="AN2899" s="38"/>
      <c r="AO2899" s="38"/>
      <c r="AP2899" s="38"/>
      <c r="AQ2899" s="38"/>
      <c r="AR2899" s="38"/>
      <c r="AS2899" s="38"/>
      <c r="AT2899" s="38"/>
      <c r="AU2899" s="38"/>
      <c r="AV2899" s="38"/>
      <c r="AW2899" s="38"/>
      <c r="AX2899" s="38"/>
      <c r="AY2899" s="38"/>
      <c r="AZ2899" s="38"/>
      <c r="BA2899" s="38"/>
      <c r="BB2899" s="38"/>
      <c r="BC2899" s="38"/>
      <c r="BD2899" s="38"/>
      <c r="BE2899" s="38"/>
      <c r="BF2899" s="38"/>
      <c r="BG2899" s="38"/>
      <c r="BH2899" s="38"/>
      <c r="BI2899" s="38"/>
      <c r="BJ2899" s="38"/>
      <c r="BK2899" s="38"/>
      <c r="BL2899" s="38"/>
      <c r="BM2899" s="38"/>
      <c r="BN2899" s="38"/>
      <c r="BO2899" s="38"/>
      <c r="BP2899" s="38"/>
      <c r="BQ2899" s="38"/>
    </row>
    <row r="2900">
      <c r="A2900" s="16"/>
      <c r="B2900" s="16"/>
      <c r="C2900" s="146"/>
      <c r="D2900" s="146"/>
      <c r="E2900" s="16"/>
      <c r="F2900" s="91"/>
      <c r="G2900" s="16"/>
      <c r="H2900" s="320" t="str">
        <f t="shared" si="33"/>
        <v/>
      </c>
      <c r="I2900" s="16"/>
      <c r="J2900" s="16"/>
      <c r="K2900" s="16"/>
      <c r="L2900" s="16"/>
      <c r="M2900" s="15"/>
      <c r="N2900" s="15"/>
      <c r="O2900" s="16"/>
      <c r="P2900" s="16"/>
      <c r="Q2900" s="16"/>
      <c r="R2900" s="16"/>
      <c r="S2900" s="37" t="str">
        <f>IFERROR(__xludf.DUMMYFUNCTION("if(not(iserror(index(split(C2900, "" ""),2))), index(split(C2900, "" ""),1),"""")"),"")</f>
        <v/>
      </c>
      <c r="T2900" s="315" t="str">
        <f>IFERROR(__xludf.DUMMYFUNCTION("if(S2900="""",C2900,if(not(iserror(index(split(C2900, "" ""),3))), index(split(C2900, "" ""),3),index(split(C2900, "" ""),2)))"),"")</f>
        <v/>
      </c>
      <c r="U2900" s="38" t="b">
        <f t="shared" si="34"/>
        <v>0</v>
      </c>
      <c r="V2900" s="38"/>
      <c r="W2900" s="40"/>
      <c r="X2900" s="40"/>
      <c r="Y2900" s="38"/>
      <c r="Z2900" s="38"/>
      <c r="AA2900" s="38"/>
      <c r="AB2900" s="38"/>
      <c r="AC2900" s="38"/>
      <c r="AD2900" s="38"/>
      <c r="AE2900" s="38"/>
      <c r="AF2900" s="38"/>
      <c r="AG2900" s="38"/>
      <c r="AH2900" s="38"/>
      <c r="AI2900" s="38"/>
      <c r="AJ2900" s="38"/>
      <c r="AK2900" s="38"/>
      <c r="AL2900" s="38"/>
      <c r="AM2900" s="38"/>
      <c r="AN2900" s="38"/>
      <c r="AO2900" s="38"/>
      <c r="AP2900" s="38"/>
      <c r="AQ2900" s="38"/>
      <c r="AR2900" s="38"/>
      <c r="AS2900" s="38"/>
      <c r="AT2900" s="38"/>
      <c r="AU2900" s="38"/>
      <c r="AV2900" s="38"/>
      <c r="AW2900" s="38"/>
      <c r="AX2900" s="38"/>
      <c r="AY2900" s="38"/>
      <c r="AZ2900" s="38"/>
      <c r="BA2900" s="38"/>
      <c r="BB2900" s="38"/>
      <c r="BC2900" s="38"/>
      <c r="BD2900" s="38"/>
      <c r="BE2900" s="38"/>
      <c r="BF2900" s="38"/>
      <c r="BG2900" s="38"/>
      <c r="BH2900" s="38"/>
      <c r="BI2900" s="38"/>
      <c r="BJ2900" s="38"/>
      <c r="BK2900" s="38"/>
      <c r="BL2900" s="38"/>
      <c r="BM2900" s="38"/>
      <c r="BN2900" s="38"/>
      <c r="BO2900" s="38"/>
      <c r="BP2900" s="38"/>
      <c r="BQ2900" s="38"/>
    </row>
    <row r="2901">
      <c r="A2901" s="16"/>
      <c r="B2901" s="16"/>
      <c r="C2901" s="146"/>
      <c r="D2901" s="146"/>
      <c r="E2901" s="16"/>
      <c r="F2901" s="91"/>
      <c r="G2901" s="16"/>
      <c r="H2901" s="320" t="str">
        <f t="shared" si="33"/>
        <v/>
      </c>
      <c r="I2901" s="16"/>
      <c r="J2901" s="16"/>
      <c r="K2901" s="16"/>
      <c r="L2901" s="16"/>
      <c r="M2901" s="15"/>
      <c r="N2901" s="15"/>
      <c r="O2901" s="16"/>
      <c r="P2901" s="16"/>
      <c r="Q2901" s="16"/>
      <c r="R2901" s="16"/>
      <c r="S2901" s="37" t="str">
        <f>IFERROR(__xludf.DUMMYFUNCTION("if(not(iserror(index(split(C2901, "" ""),2))), index(split(C2901, "" ""),1),"""")"),"")</f>
        <v/>
      </c>
      <c r="T2901" s="315" t="str">
        <f>IFERROR(__xludf.DUMMYFUNCTION("if(S2901="""",C2901,if(not(iserror(index(split(C2901, "" ""),3))), index(split(C2901, "" ""),3),index(split(C2901, "" ""),2)))"),"")</f>
        <v/>
      </c>
      <c r="U2901" s="38" t="b">
        <f t="shared" si="34"/>
        <v>0</v>
      </c>
      <c r="V2901" s="38"/>
      <c r="W2901" s="40"/>
      <c r="X2901" s="40"/>
      <c r="Y2901" s="38"/>
      <c r="Z2901" s="38"/>
      <c r="AA2901" s="38"/>
      <c r="AB2901" s="38"/>
      <c r="AC2901" s="38"/>
      <c r="AD2901" s="38"/>
      <c r="AE2901" s="38"/>
      <c r="AF2901" s="38"/>
      <c r="AG2901" s="38"/>
      <c r="AH2901" s="38"/>
      <c r="AI2901" s="38"/>
      <c r="AJ2901" s="38"/>
      <c r="AK2901" s="38"/>
      <c r="AL2901" s="38"/>
      <c r="AM2901" s="38"/>
      <c r="AN2901" s="38"/>
      <c r="AO2901" s="38"/>
      <c r="AP2901" s="38"/>
      <c r="AQ2901" s="38"/>
      <c r="AR2901" s="38"/>
      <c r="AS2901" s="38"/>
      <c r="AT2901" s="38"/>
      <c r="AU2901" s="38"/>
      <c r="AV2901" s="38"/>
      <c r="AW2901" s="38"/>
      <c r="AX2901" s="38"/>
      <c r="AY2901" s="38"/>
      <c r="AZ2901" s="38"/>
      <c r="BA2901" s="38"/>
      <c r="BB2901" s="38"/>
      <c r="BC2901" s="38"/>
      <c r="BD2901" s="38"/>
      <c r="BE2901" s="38"/>
      <c r="BF2901" s="38"/>
      <c r="BG2901" s="38"/>
      <c r="BH2901" s="38"/>
      <c r="BI2901" s="38"/>
      <c r="BJ2901" s="38"/>
      <c r="BK2901" s="38"/>
      <c r="BL2901" s="38"/>
      <c r="BM2901" s="38"/>
      <c r="BN2901" s="38"/>
      <c r="BO2901" s="38"/>
      <c r="BP2901" s="38"/>
      <c r="BQ2901" s="38"/>
    </row>
    <row r="2902">
      <c r="A2902" s="16"/>
      <c r="B2902" s="16"/>
      <c r="C2902" s="146"/>
      <c r="D2902" s="146"/>
      <c r="E2902" s="16"/>
      <c r="F2902" s="91"/>
      <c r="G2902" s="16"/>
      <c r="H2902" s="320" t="str">
        <f t="shared" si="33"/>
        <v/>
      </c>
      <c r="I2902" s="16"/>
      <c r="J2902" s="16"/>
      <c r="K2902" s="16"/>
      <c r="L2902" s="16"/>
      <c r="M2902" s="15"/>
      <c r="N2902" s="15"/>
      <c r="O2902" s="16"/>
      <c r="P2902" s="16"/>
      <c r="Q2902" s="16"/>
      <c r="R2902" s="16"/>
      <c r="S2902" s="37" t="str">
        <f>IFERROR(__xludf.DUMMYFUNCTION("if(not(iserror(index(split(C2902, "" ""),2))), index(split(C2902, "" ""),1),"""")"),"")</f>
        <v/>
      </c>
      <c r="T2902" s="315" t="str">
        <f>IFERROR(__xludf.DUMMYFUNCTION("if(S2902="""",C2902,if(not(iserror(index(split(C2902, "" ""),3))), index(split(C2902, "" ""),3),index(split(C2902, "" ""),2)))"),"")</f>
        <v/>
      </c>
      <c r="U2902" s="38" t="b">
        <f t="shared" si="34"/>
        <v>0</v>
      </c>
      <c r="V2902" s="38"/>
      <c r="W2902" s="40"/>
      <c r="X2902" s="40"/>
      <c r="Y2902" s="38"/>
      <c r="Z2902" s="38"/>
      <c r="AA2902" s="38"/>
      <c r="AB2902" s="38"/>
      <c r="AC2902" s="38"/>
      <c r="AD2902" s="38"/>
      <c r="AE2902" s="38"/>
      <c r="AF2902" s="38"/>
      <c r="AG2902" s="38"/>
      <c r="AH2902" s="38"/>
      <c r="AI2902" s="38"/>
      <c r="AJ2902" s="38"/>
      <c r="AK2902" s="38"/>
      <c r="AL2902" s="38"/>
      <c r="AM2902" s="38"/>
      <c r="AN2902" s="38"/>
      <c r="AO2902" s="38"/>
      <c r="AP2902" s="38"/>
      <c r="AQ2902" s="38"/>
      <c r="AR2902" s="38"/>
      <c r="AS2902" s="38"/>
      <c r="AT2902" s="38"/>
      <c r="AU2902" s="38"/>
      <c r="AV2902" s="38"/>
      <c r="AW2902" s="38"/>
      <c r="AX2902" s="38"/>
      <c r="AY2902" s="38"/>
      <c r="AZ2902" s="38"/>
      <c r="BA2902" s="38"/>
      <c r="BB2902" s="38"/>
      <c r="BC2902" s="38"/>
      <c r="BD2902" s="38"/>
      <c r="BE2902" s="38"/>
      <c r="BF2902" s="38"/>
      <c r="BG2902" s="38"/>
      <c r="BH2902" s="38"/>
      <c r="BI2902" s="38"/>
      <c r="BJ2902" s="38"/>
      <c r="BK2902" s="38"/>
      <c r="BL2902" s="38"/>
      <c r="BM2902" s="38"/>
      <c r="BN2902" s="38"/>
      <c r="BO2902" s="38"/>
      <c r="BP2902" s="38"/>
      <c r="BQ2902" s="38"/>
    </row>
    <row r="2903">
      <c r="A2903" s="16"/>
      <c r="B2903" s="16"/>
      <c r="C2903" s="146"/>
      <c r="D2903" s="146"/>
      <c r="E2903" s="16"/>
      <c r="F2903" s="91"/>
      <c r="G2903" s="16"/>
      <c r="H2903" s="320" t="str">
        <f t="shared" si="33"/>
        <v/>
      </c>
      <c r="I2903" s="16"/>
      <c r="J2903" s="16"/>
      <c r="K2903" s="16"/>
      <c r="L2903" s="16"/>
      <c r="M2903" s="15"/>
      <c r="N2903" s="15"/>
      <c r="O2903" s="16"/>
      <c r="P2903" s="16"/>
      <c r="Q2903" s="16"/>
      <c r="R2903" s="16"/>
      <c r="S2903" s="37" t="str">
        <f>IFERROR(__xludf.DUMMYFUNCTION("if(not(iserror(index(split(C2903, "" ""),2))), index(split(C2903, "" ""),1),"""")"),"")</f>
        <v/>
      </c>
      <c r="T2903" s="315" t="str">
        <f>IFERROR(__xludf.DUMMYFUNCTION("if(S2903="""",C2903,if(not(iserror(index(split(C2903, "" ""),3))), index(split(C2903, "" ""),3),index(split(C2903, "" ""),2)))"),"")</f>
        <v/>
      </c>
      <c r="U2903" s="38" t="b">
        <f t="shared" si="34"/>
        <v>0</v>
      </c>
      <c r="V2903" s="38"/>
      <c r="W2903" s="40"/>
      <c r="X2903" s="40"/>
      <c r="Y2903" s="38"/>
      <c r="Z2903" s="38"/>
      <c r="AA2903" s="38"/>
      <c r="AB2903" s="38"/>
      <c r="AC2903" s="38"/>
      <c r="AD2903" s="38"/>
      <c r="AE2903" s="38"/>
      <c r="AF2903" s="38"/>
      <c r="AG2903" s="38"/>
      <c r="AH2903" s="38"/>
      <c r="AI2903" s="38"/>
      <c r="AJ2903" s="38"/>
      <c r="AK2903" s="38"/>
      <c r="AL2903" s="38"/>
      <c r="AM2903" s="38"/>
      <c r="AN2903" s="38"/>
      <c r="AO2903" s="38"/>
      <c r="AP2903" s="38"/>
      <c r="AQ2903" s="38"/>
      <c r="AR2903" s="38"/>
      <c r="AS2903" s="38"/>
      <c r="AT2903" s="38"/>
      <c r="AU2903" s="38"/>
      <c r="AV2903" s="38"/>
      <c r="AW2903" s="38"/>
      <c r="AX2903" s="38"/>
      <c r="AY2903" s="38"/>
      <c r="AZ2903" s="38"/>
      <c r="BA2903" s="38"/>
      <c r="BB2903" s="38"/>
      <c r="BC2903" s="38"/>
      <c r="BD2903" s="38"/>
      <c r="BE2903" s="38"/>
      <c r="BF2903" s="38"/>
      <c r="BG2903" s="38"/>
      <c r="BH2903" s="38"/>
      <c r="BI2903" s="38"/>
      <c r="BJ2903" s="38"/>
      <c r="BK2903" s="38"/>
      <c r="BL2903" s="38"/>
      <c r="BM2903" s="38"/>
      <c r="BN2903" s="38"/>
      <c r="BO2903" s="38"/>
      <c r="BP2903" s="38"/>
      <c r="BQ2903" s="38"/>
    </row>
    <row r="2904">
      <c r="A2904" s="16"/>
      <c r="B2904" s="16"/>
      <c r="C2904" s="146"/>
      <c r="D2904" s="146"/>
      <c r="E2904" s="16"/>
      <c r="F2904" s="91"/>
      <c r="G2904" s="16"/>
      <c r="H2904" s="320" t="str">
        <f t="shared" si="33"/>
        <v/>
      </c>
      <c r="I2904" s="16"/>
      <c r="J2904" s="16"/>
      <c r="K2904" s="16"/>
      <c r="L2904" s="16"/>
      <c r="M2904" s="15"/>
      <c r="N2904" s="15"/>
      <c r="O2904" s="16"/>
      <c r="P2904" s="16"/>
      <c r="Q2904" s="16"/>
      <c r="R2904" s="16"/>
      <c r="S2904" s="37" t="str">
        <f>IFERROR(__xludf.DUMMYFUNCTION("if(not(iserror(index(split(C2904, "" ""),2))), index(split(C2904, "" ""),1),"""")"),"")</f>
        <v/>
      </c>
      <c r="T2904" s="315" t="str">
        <f>IFERROR(__xludf.DUMMYFUNCTION("if(S2904="""",C2904,if(not(iserror(index(split(C2904, "" ""),3))), index(split(C2904, "" ""),3),index(split(C2904, "" ""),2)))"),"")</f>
        <v/>
      </c>
      <c r="U2904" s="38" t="b">
        <f t="shared" si="34"/>
        <v>0</v>
      </c>
      <c r="V2904" s="38"/>
      <c r="W2904" s="40"/>
      <c r="X2904" s="40"/>
      <c r="Y2904" s="38"/>
      <c r="Z2904" s="38"/>
      <c r="AA2904" s="38"/>
      <c r="AB2904" s="38"/>
      <c r="AC2904" s="38"/>
      <c r="AD2904" s="38"/>
      <c r="AE2904" s="38"/>
      <c r="AF2904" s="38"/>
      <c r="AG2904" s="38"/>
      <c r="AH2904" s="38"/>
      <c r="AI2904" s="38"/>
      <c r="AJ2904" s="38"/>
      <c r="AK2904" s="38"/>
      <c r="AL2904" s="38"/>
      <c r="AM2904" s="38"/>
      <c r="AN2904" s="38"/>
      <c r="AO2904" s="38"/>
      <c r="AP2904" s="38"/>
      <c r="AQ2904" s="38"/>
      <c r="AR2904" s="38"/>
      <c r="AS2904" s="38"/>
      <c r="AT2904" s="38"/>
      <c r="AU2904" s="38"/>
      <c r="AV2904" s="38"/>
      <c r="AW2904" s="38"/>
      <c r="AX2904" s="38"/>
      <c r="AY2904" s="38"/>
      <c r="AZ2904" s="38"/>
      <c r="BA2904" s="38"/>
      <c r="BB2904" s="38"/>
      <c r="BC2904" s="38"/>
      <c r="BD2904" s="38"/>
      <c r="BE2904" s="38"/>
      <c r="BF2904" s="38"/>
      <c r="BG2904" s="38"/>
      <c r="BH2904" s="38"/>
      <c r="BI2904" s="38"/>
      <c r="BJ2904" s="38"/>
      <c r="BK2904" s="38"/>
      <c r="BL2904" s="38"/>
      <c r="BM2904" s="38"/>
      <c r="BN2904" s="38"/>
      <c r="BO2904" s="38"/>
      <c r="BP2904" s="38"/>
      <c r="BQ2904" s="38"/>
    </row>
    <row r="2905">
      <c r="A2905" s="16"/>
      <c r="B2905" s="16"/>
      <c r="C2905" s="146"/>
      <c r="D2905" s="146"/>
      <c r="E2905" s="16"/>
      <c r="F2905" s="91"/>
      <c r="G2905" s="16"/>
      <c r="H2905" s="320" t="str">
        <f t="shared" si="33"/>
        <v/>
      </c>
      <c r="I2905" s="16"/>
      <c r="J2905" s="16"/>
      <c r="K2905" s="16"/>
      <c r="L2905" s="16"/>
      <c r="M2905" s="15"/>
      <c r="N2905" s="15"/>
      <c r="O2905" s="16"/>
      <c r="P2905" s="16"/>
      <c r="Q2905" s="16"/>
      <c r="R2905" s="16"/>
      <c r="S2905" s="37" t="str">
        <f>IFERROR(__xludf.DUMMYFUNCTION("if(not(iserror(index(split(C2905, "" ""),2))), index(split(C2905, "" ""),1),"""")"),"")</f>
        <v/>
      </c>
      <c r="T2905" s="315" t="str">
        <f>IFERROR(__xludf.DUMMYFUNCTION("if(S2905="""",C2905,if(not(iserror(index(split(C2905, "" ""),3))), index(split(C2905, "" ""),3),index(split(C2905, "" ""),2)))"),"")</f>
        <v/>
      </c>
      <c r="U2905" s="38" t="b">
        <f t="shared" si="34"/>
        <v>0</v>
      </c>
      <c r="V2905" s="38"/>
      <c r="W2905" s="40"/>
      <c r="X2905" s="40"/>
      <c r="Y2905" s="38"/>
      <c r="Z2905" s="38"/>
      <c r="AA2905" s="38"/>
      <c r="AB2905" s="38"/>
      <c r="AC2905" s="38"/>
      <c r="AD2905" s="38"/>
      <c r="AE2905" s="38"/>
      <c r="AF2905" s="38"/>
      <c r="AG2905" s="38"/>
      <c r="AH2905" s="38"/>
      <c r="AI2905" s="38"/>
      <c r="AJ2905" s="38"/>
      <c r="AK2905" s="38"/>
      <c r="AL2905" s="38"/>
      <c r="AM2905" s="38"/>
      <c r="AN2905" s="38"/>
      <c r="AO2905" s="38"/>
      <c r="AP2905" s="38"/>
      <c r="AQ2905" s="38"/>
      <c r="AR2905" s="38"/>
      <c r="AS2905" s="38"/>
      <c r="AT2905" s="38"/>
      <c r="AU2905" s="38"/>
      <c r="AV2905" s="38"/>
      <c r="AW2905" s="38"/>
      <c r="AX2905" s="38"/>
      <c r="AY2905" s="38"/>
      <c r="AZ2905" s="38"/>
      <c r="BA2905" s="38"/>
      <c r="BB2905" s="38"/>
      <c r="BC2905" s="38"/>
      <c r="BD2905" s="38"/>
      <c r="BE2905" s="38"/>
      <c r="BF2905" s="38"/>
      <c r="BG2905" s="38"/>
      <c r="BH2905" s="38"/>
      <c r="BI2905" s="38"/>
      <c r="BJ2905" s="38"/>
      <c r="BK2905" s="38"/>
      <c r="BL2905" s="38"/>
      <c r="BM2905" s="38"/>
      <c r="BN2905" s="38"/>
      <c r="BO2905" s="38"/>
      <c r="BP2905" s="38"/>
      <c r="BQ2905" s="38"/>
    </row>
    <row r="2906">
      <c r="A2906" s="16"/>
      <c r="B2906" s="16"/>
      <c r="C2906" s="146"/>
      <c r="D2906" s="146"/>
      <c r="E2906" s="16"/>
      <c r="F2906" s="91"/>
      <c r="G2906" s="16"/>
      <c r="H2906" s="320" t="str">
        <f t="shared" si="33"/>
        <v/>
      </c>
      <c r="I2906" s="16"/>
      <c r="J2906" s="16"/>
      <c r="K2906" s="16"/>
      <c r="L2906" s="16"/>
      <c r="M2906" s="15"/>
      <c r="N2906" s="15"/>
      <c r="O2906" s="16"/>
      <c r="P2906" s="16"/>
      <c r="Q2906" s="16"/>
      <c r="R2906" s="16"/>
      <c r="S2906" s="37" t="str">
        <f>IFERROR(__xludf.DUMMYFUNCTION("if(not(iserror(index(split(C2906, "" ""),2))), index(split(C2906, "" ""),1),"""")"),"")</f>
        <v/>
      </c>
      <c r="T2906" s="315" t="str">
        <f>IFERROR(__xludf.DUMMYFUNCTION("if(S2906="""",C2906,if(not(iserror(index(split(C2906, "" ""),3))), index(split(C2906, "" ""),3),index(split(C2906, "" ""),2)))"),"")</f>
        <v/>
      </c>
      <c r="U2906" s="38" t="b">
        <f t="shared" si="34"/>
        <v>0</v>
      </c>
      <c r="V2906" s="38"/>
      <c r="W2906" s="40"/>
      <c r="X2906" s="40"/>
      <c r="Y2906" s="38"/>
      <c r="Z2906" s="38"/>
      <c r="AA2906" s="38"/>
      <c r="AB2906" s="38"/>
      <c r="AC2906" s="38"/>
      <c r="AD2906" s="38"/>
      <c r="AE2906" s="38"/>
      <c r="AF2906" s="38"/>
      <c r="AG2906" s="38"/>
      <c r="AH2906" s="38"/>
      <c r="AI2906" s="38"/>
      <c r="AJ2906" s="38"/>
      <c r="AK2906" s="38"/>
      <c r="AL2906" s="38"/>
      <c r="AM2906" s="38"/>
      <c r="AN2906" s="38"/>
      <c r="AO2906" s="38"/>
      <c r="AP2906" s="38"/>
      <c r="AQ2906" s="38"/>
      <c r="AR2906" s="38"/>
      <c r="AS2906" s="38"/>
      <c r="AT2906" s="38"/>
      <c r="AU2906" s="38"/>
      <c r="AV2906" s="38"/>
      <c r="AW2906" s="38"/>
      <c r="AX2906" s="38"/>
      <c r="AY2906" s="38"/>
      <c r="AZ2906" s="38"/>
      <c r="BA2906" s="38"/>
      <c r="BB2906" s="38"/>
      <c r="BC2906" s="38"/>
      <c r="BD2906" s="38"/>
      <c r="BE2906" s="38"/>
      <c r="BF2906" s="38"/>
      <c r="BG2906" s="38"/>
      <c r="BH2906" s="38"/>
      <c r="BI2906" s="38"/>
      <c r="BJ2906" s="38"/>
      <c r="BK2906" s="38"/>
      <c r="BL2906" s="38"/>
      <c r="BM2906" s="38"/>
      <c r="BN2906" s="38"/>
      <c r="BO2906" s="38"/>
      <c r="BP2906" s="38"/>
      <c r="BQ2906" s="38"/>
    </row>
    <row r="2907">
      <c r="A2907" s="16"/>
      <c r="B2907" s="16"/>
      <c r="C2907" s="146"/>
      <c r="D2907" s="146"/>
      <c r="E2907" s="16"/>
      <c r="F2907" s="91"/>
      <c r="G2907" s="16"/>
      <c r="H2907" s="320" t="str">
        <f t="shared" si="33"/>
        <v/>
      </c>
      <c r="I2907" s="16"/>
      <c r="J2907" s="16"/>
      <c r="K2907" s="16"/>
      <c r="L2907" s="16"/>
      <c r="M2907" s="15"/>
      <c r="N2907" s="15"/>
      <c r="O2907" s="16"/>
      <c r="P2907" s="16"/>
      <c r="Q2907" s="16"/>
      <c r="R2907" s="16"/>
      <c r="S2907" s="37" t="str">
        <f>IFERROR(__xludf.DUMMYFUNCTION("if(not(iserror(index(split(C2907, "" ""),2))), index(split(C2907, "" ""),1),"""")"),"")</f>
        <v/>
      </c>
      <c r="T2907" s="315" t="str">
        <f>IFERROR(__xludf.DUMMYFUNCTION("if(S2907="""",C2907,if(not(iserror(index(split(C2907, "" ""),3))), index(split(C2907, "" ""),3),index(split(C2907, "" ""),2)))"),"")</f>
        <v/>
      </c>
      <c r="U2907" s="38" t="b">
        <f t="shared" si="34"/>
        <v>0</v>
      </c>
      <c r="V2907" s="38"/>
      <c r="W2907" s="40"/>
      <c r="X2907" s="40"/>
      <c r="Y2907" s="38"/>
      <c r="Z2907" s="38"/>
      <c r="AA2907" s="38"/>
      <c r="AB2907" s="38"/>
      <c r="AC2907" s="38"/>
      <c r="AD2907" s="38"/>
      <c r="AE2907" s="38"/>
      <c r="AF2907" s="38"/>
      <c r="AG2907" s="38"/>
      <c r="AH2907" s="38"/>
      <c r="AI2907" s="38"/>
      <c r="AJ2907" s="38"/>
      <c r="AK2907" s="38"/>
      <c r="AL2907" s="38"/>
      <c r="AM2907" s="38"/>
      <c r="AN2907" s="38"/>
      <c r="AO2907" s="38"/>
      <c r="AP2907" s="38"/>
      <c r="AQ2907" s="38"/>
      <c r="AR2907" s="38"/>
      <c r="AS2907" s="38"/>
      <c r="AT2907" s="38"/>
      <c r="AU2907" s="38"/>
      <c r="AV2907" s="38"/>
      <c r="AW2907" s="38"/>
      <c r="AX2907" s="38"/>
      <c r="AY2907" s="38"/>
      <c r="AZ2907" s="38"/>
      <c r="BA2907" s="38"/>
      <c r="BB2907" s="38"/>
      <c r="BC2907" s="38"/>
      <c r="BD2907" s="38"/>
      <c r="BE2907" s="38"/>
      <c r="BF2907" s="38"/>
      <c r="BG2907" s="38"/>
      <c r="BH2907" s="38"/>
      <c r="BI2907" s="38"/>
      <c r="BJ2907" s="38"/>
      <c r="BK2907" s="38"/>
      <c r="BL2907" s="38"/>
      <c r="BM2907" s="38"/>
      <c r="BN2907" s="38"/>
      <c r="BO2907" s="38"/>
      <c r="BP2907" s="38"/>
      <c r="BQ2907" s="38"/>
    </row>
    <row r="2908">
      <c r="A2908" s="16"/>
      <c r="B2908" s="16"/>
      <c r="C2908" s="146"/>
      <c r="D2908" s="146"/>
      <c r="E2908" s="16"/>
      <c r="F2908" s="91"/>
      <c r="G2908" s="16"/>
      <c r="H2908" s="320" t="str">
        <f t="shared" si="33"/>
        <v/>
      </c>
      <c r="I2908" s="16"/>
      <c r="J2908" s="16"/>
      <c r="K2908" s="16"/>
      <c r="L2908" s="16"/>
      <c r="M2908" s="15"/>
      <c r="N2908" s="15"/>
      <c r="O2908" s="16"/>
      <c r="P2908" s="16"/>
      <c r="Q2908" s="16"/>
      <c r="R2908" s="16"/>
      <c r="S2908" s="37" t="str">
        <f>IFERROR(__xludf.DUMMYFUNCTION("if(not(iserror(index(split(C2908, "" ""),2))), index(split(C2908, "" ""),1),"""")"),"")</f>
        <v/>
      </c>
      <c r="T2908" s="315" t="str">
        <f>IFERROR(__xludf.DUMMYFUNCTION("if(S2908="""",C2908,if(not(iserror(index(split(C2908, "" ""),3))), index(split(C2908, "" ""),3),index(split(C2908, "" ""),2)))"),"")</f>
        <v/>
      </c>
      <c r="U2908" s="38" t="b">
        <f t="shared" si="34"/>
        <v>0</v>
      </c>
      <c r="V2908" s="38"/>
      <c r="W2908" s="40"/>
      <c r="X2908" s="40"/>
      <c r="Y2908" s="38"/>
      <c r="Z2908" s="38"/>
      <c r="AA2908" s="38"/>
      <c r="AB2908" s="38"/>
      <c r="AC2908" s="38"/>
      <c r="AD2908" s="38"/>
      <c r="AE2908" s="38"/>
      <c r="AF2908" s="38"/>
      <c r="AG2908" s="38"/>
      <c r="AH2908" s="38"/>
      <c r="AI2908" s="38"/>
      <c r="AJ2908" s="38"/>
      <c r="AK2908" s="38"/>
      <c r="AL2908" s="38"/>
      <c r="AM2908" s="38"/>
      <c r="AN2908" s="38"/>
      <c r="AO2908" s="38"/>
      <c r="AP2908" s="38"/>
      <c r="AQ2908" s="38"/>
      <c r="AR2908" s="38"/>
      <c r="AS2908" s="38"/>
      <c r="AT2908" s="38"/>
      <c r="AU2908" s="38"/>
      <c r="AV2908" s="38"/>
      <c r="AW2908" s="38"/>
      <c r="AX2908" s="38"/>
      <c r="AY2908" s="38"/>
      <c r="AZ2908" s="38"/>
      <c r="BA2908" s="38"/>
      <c r="BB2908" s="38"/>
      <c r="BC2908" s="38"/>
      <c r="BD2908" s="38"/>
      <c r="BE2908" s="38"/>
      <c r="BF2908" s="38"/>
      <c r="BG2908" s="38"/>
      <c r="BH2908" s="38"/>
      <c r="BI2908" s="38"/>
      <c r="BJ2908" s="38"/>
      <c r="BK2908" s="38"/>
      <c r="BL2908" s="38"/>
      <c r="BM2908" s="38"/>
      <c r="BN2908" s="38"/>
      <c r="BO2908" s="38"/>
      <c r="BP2908" s="38"/>
      <c r="BQ2908" s="38"/>
    </row>
    <row r="2909">
      <c r="A2909" s="16"/>
      <c r="B2909" s="16"/>
      <c r="C2909" s="146"/>
      <c r="D2909" s="146"/>
      <c r="E2909" s="16"/>
      <c r="F2909" s="91"/>
      <c r="G2909" s="16"/>
      <c r="H2909" s="320" t="str">
        <f t="shared" si="33"/>
        <v/>
      </c>
      <c r="I2909" s="16"/>
      <c r="J2909" s="16"/>
      <c r="K2909" s="16"/>
      <c r="L2909" s="16"/>
      <c r="M2909" s="15"/>
      <c r="N2909" s="15"/>
      <c r="O2909" s="16"/>
      <c r="P2909" s="16"/>
      <c r="Q2909" s="16"/>
      <c r="R2909" s="16"/>
      <c r="S2909" s="37" t="str">
        <f>IFERROR(__xludf.DUMMYFUNCTION("if(not(iserror(index(split(C2909, "" ""),2))), index(split(C2909, "" ""),1),"""")"),"")</f>
        <v/>
      </c>
      <c r="T2909" s="315" t="str">
        <f>IFERROR(__xludf.DUMMYFUNCTION("if(S2909="""",C2909,if(not(iserror(index(split(C2909, "" ""),3))), index(split(C2909, "" ""),3),index(split(C2909, "" ""),2)))"),"")</f>
        <v/>
      </c>
      <c r="U2909" s="38" t="b">
        <f t="shared" si="34"/>
        <v>0</v>
      </c>
      <c r="V2909" s="38"/>
      <c r="W2909" s="40"/>
      <c r="X2909" s="40"/>
      <c r="Y2909" s="38"/>
      <c r="Z2909" s="38"/>
      <c r="AA2909" s="38"/>
      <c r="AB2909" s="38"/>
      <c r="AC2909" s="38"/>
      <c r="AD2909" s="38"/>
      <c r="AE2909" s="38"/>
      <c r="AF2909" s="38"/>
      <c r="AG2909" s="38"/>
      <c r="AH2909" s="38"/>
      <c r="AI2909" s="38"/>
      <c r="AJ2909" s="38"/>
      <c r="AK2909" s="38"/>
      <c r="AL2909" s="38"/>
      <c r="AM2909" s="38"/>
      <c r="AN2909" s="38"/>
      <c r="AO2909" s="38"/>
      <c r="AP2909" s="38"/>
      <c r="AQ2909" s="38"/>
      <c r="AR2909" s="38"/>
      <c r="AS2909" s="38"/>
      <c r="AT2909" s="38"/>
      <c r="AU2909" s="38"/>
      <c r="AV2909" s="38"/>
      <c r="AW2909" s="38"/>
      <c r="AX2909" s="38"/>
      <c r="AY2909" s="38"/>
      <c r="AZ2909" s="38"/>
      <c r="BA2909" s="38"/>
      <c r="BB2909" s="38"/>
      <c r="BC2909" s="38"/>
      <c r="BD2909" s="38"/>
      <c r="BE2909" s="38"/>
      <c r="BF2909" s="38"/>
      <c r="BG2909" s="38"/>
      <c r="BH2909" s="38"/>
      <c r="BI2909" s="38"/>
      <c r="BJ2909" s="38"/>
      <c r="BK2909" s="38"/>
      <c r="BL2909" s="38"/>
      <c r="BM2909" s="38"/>
      <c r="BN2909" s="38"/>
      <c r="BO2909" s="38"/>
      <c r="BP2909" s="38"/>
      <c r="BQ2909" s="38"/>
    </row>
    <row r="2910">
      <c r="A2910" s="16"/>
      <c r="B2910" s="16"/>
      <c r="C2910" s="146"/>
      <c r="D2910" s="146"/>
      <c r="E2910" s="16"/>
      <c r="F2910" s="91"/>
      <c r="G2910" s="16"/>
      <c r="H2910" s="320" t="str">
        <f t="shared" si="33"/>
        <v/>
      </c>
      <c r="I2910" s="16"/>
      <c r="J2910" s="16"/>
      <c r="K2910" s="16"/>
      <c r="L2910" s="16"/>
      <c r="M2910" s="15"/>
      <c r="N2910" s="15"/>
      <c r="O2910" s="16"/>
      <c r="P2910" s="16"/>
      <c r="Q2910" s="16"/>
      <c r="R2910" s="16"/>
      <c r="S2910" s="37" t="str">
        <f>IFERROR(__xludf.DUMMYFUNCTION("if(not(iserror(index(split(C2910, "" ""),2))), index(split(C2910, "" ""),1),"""")"),"")</f>
        <v/>
      </c>
      <c r="T2910" s="315" t="str">
        <f>IFERROR(__xludf.DUMMYFUNCTION("if(S2910="""",C2910,if(not(iserror(index(split(C2910, "" ""),3))), index(split(C2910, "" ""),3),index(split(C2910, "" ""),2)))"),"")</f>
        <v/>
      </c>
      <c r="U2910" s="38" t="b">
        <f t="shared" si="34"/>
        <v>0</v>
      </c>
      <c r="V2910" s="38"/>
      <c r="W2910" s="40"/>
      <c r="X2910" s="40"/>
      <c r="Y2910" s="38"/>
      <c r="Z2910" s="38"/>
      <c r="AA2910" s="38"/>
      <c r="AB2910" s="38"/>
      <c r="AC2910" s="38"/>
      <c r="AD2910" s="38"/>
      <c r="AE2910" s="38"/>
      <c r="AF2910" s="38"/>
      <c r="AG2910" s="38"/>
      <c r="AH2910" s="38"/>
      <c r="AI2910" s="38"/>
      <c r="AJ2910" s="38"/>
      <c r="AK2910" s="38"/>
      <c r="AL2910" s="38"/>
      <c r="AM2910" s="38"/>
      <c r="AN2910" s="38"/>
      <c r="AO2910" s="38"/>
      <c r="AP2910" s="38"/>
      <c r="AQ2910" s="38"/>
      <c r="AR2910" s="38"/>
      <c r="AS2910" s="38"/>
      <c r="AT2910" s="38"/>
      <c r="AU2910" s="38"/>
      <c r="AV2910" s="38"/>
      <c r="AW2910" s="38"/>
      <c r="AX2910" s="38"/>
      <c r="AY2910" s="38"/>
      <c r="AZ2910" s="38"/>
      <c r="BA2910" s="38"/>
      <c r="BB2910" s="38"/>
      <c r="BC2910" s="38"/>
      <c r="BD2910" s="38"/>
      <c r="BE2910" s="38"/>
      <c r="BF2910" s="38"/>
      <c r="BG2910" s="38"/>
      <c r="BH2910" s="38"/>
      <c r="BI2910" s="38"/>
      <c r="BJ2910" s="38"/>
      <c r="BK2910" s="38"/>
      <c r="BL2910" s="38"/>
      <c r="BM2910" s="38"/>
      <c r="BN2910" s="38"/>
      <c r="BO2910" s="38"/>
      <c r="BP2910" s="38"/>
      <c r="BQ2910" s="38"/>
    </row>
    <row r="2911">
      <c r="A2911" s="16"/>
      <c r="B2911" s="16"/>
      <c r="C2911" s="146"/>
      <c r="D2911" s="146"/>
      <c r="E2911" s="16"/>
      <c r="F2911" s="91"/>
      <c r="G2911" s="16"/>
      <c r="H2911" s="320" t="str">
        <f t="shared" si="33"/>
        <v/>
      </c>
      <c r="I2911" s="16"/>
      <c r="J2911" s="16"/>
      <c r="K2911" s="16"/>
      <c r="L2911" s="16"/>
      <c r="M2911" s="15"/>
      <c r="N2911" s="15"/>
      <c r="O2911" s="16"/>
      <c r="P2911" s="16"/>
      <c r="Q2911" s="16"/>
      <c r="R2911" s="16"/>
      <c r="S2911" s="37" t="str">
        <f>IFERROR(__xludf.DUMMYFUNCTION("if(not(iserror(index(split(C2911, "" ""),2))), index(split(C2911, "" ""),1),"""")"),"")</f>
        <v/>
      </c>
      <c r="T2911" s="315" t="str">
        <f>IFERROR(__xludf.DUMMYFUNCTION("if(S2911="""",C2911,if(not(iserror(index(split(C2911, "" ""),3))), index(split(C2911, "" ""),3),index(split(C2911, "" ""),2)))"),"")</f>
        <v/>
      </c>
      <c r="U2911" s="38" t="b">
        <f t="shared" si="34"/>
        <v>0</v>
      </c>
      <c r="V2911" s="38"/>
      <c r="W2911" s="40"/>
      <c r="X2911" s="40"/>
      <c r="Y2911" s="38"/>
      <c r="Z2911" s="38"/>
      <c r="AA2911" s="38"/>
      <c r="AB2911" s="38"/>
      <c r="AC2911" s="38"/>
      <c r="AD2911" s="38"/>
      <c r="AE2911" s="38"/>
      <c r="AF2911" s="38"/>
      <c r="AG2911" s="38"/>
      <c r="AH2911" s="38"/>
      <c r="AI2911" s="38"/>
      <c r="AJ2911" s="38"/>
      <c r="AK2911" s="38"/>
      <c r="AL2911" s="38"/>
      <c r="AM2911" s="38"/>
      <c r="AN2911" s="38"/>
      <c r="AO2911" s="38"/>
      <c r="AP2911" s="38"/>
      <c r="AQ2911" s="38"/>
      <c r="AR2911" s="38"/>
      <c r="AS2911" s="38"/>
      <c r="AT2911" s="38"/>
      <c r="AU2911" s="38"/>
      <c r="AV2911" s="38"/>
      <c r="AW2911" s="38"/>
      <c r="AX2911" s="38"/>
      <c r="AY2911" s="38"/>
      <c r="AZ2911" s="38"/>
      <c r="BA2911" s="38"/>
      <c r="BB2911" s="38"/>
      <c r="BC2911" s="38"/>
      <c r="BD2911" s="38"/>
      <c r="BE2911" s="38"/>
      <c r="BF2911" s="38"/>
      <c r="BG2911" s="38"/>
      <c r="BH2911" s="38"/>
      <c r="BI2911" s="38"/>
      <c r="BJ2911" s="38"/>
      <c r="BK2911" s="38"/>
      <c r="BL2911" s="38"/>
      <c r="BM2911" s="38"/>
      <c r="BN2911" s="38"/>
      <c r="BO2911" s="38"/>
      <c r="BP2911" s="38"/>
      <c r="BQ2911" s="38"/>
    </row>
    <row r="2912">
      <c r="A2912" s="16"/>
      <c r="B2912" s="16"/>
      <c r="C2912" s="146"/>
      <c r="D2912" s="146"/>
      <c r="E2912" s="16"/>
      <c r="F2912" s="91"/>
      <c r="G2912" s="16"/>
      <c r="H2912" s="320" t="str">
        <f t="shared" si="33"/>
        <v/>
      </c>
      <c r="I2912" s="16"/>
      <c r="J2912" s="16"/>
      <c r="K2912" s="16"/>
      <c r="L2912" s="16"/>
      <c r="M2912" s="15"/>
      <c r="N2912" s="15"/>
      <c r="O2912" s="16"/>
      <c r="P2912" s="16"/>
      <c r="Q2912" s="16"/>
      <c r="R2912" s="16"/>
      <c r="S2912" s="37" t="str">
        <f>IFERROR(__xludf.DUMMYFUNCTION("if(not(iserror(index(split(C2912, "" ""),2))), index(split(C2912, "" ""),1),"""")"),"")</f>
        <v/>
      </c>
      <c r="T2912" s="315" t="str">
        <f>IFERROR(__xludf.DUMMYFUNCTION("if(S2912="""",C2912,if(not(iserror(index(split(C2912, "" ""),3))), index(split(C2912, "" ""),3),index(split(C2912, "" ""),2)))"),"")</f>
        <v/>
      </c>
      <c r="U2912" s="38" t="b">
        <f t="shared" si="34"/>
        <v>0</v>
      </c>
      <c r="V2912" s="38"/>
      <c r="W2912" s="40"/>
      <c r="X2912" s="40"/>
      <c r="Y2912" s="38"/>
      <c r="Z2912" s="38"/>
      <c r="AA2912" s="38"/>
      <c r="AB2912" s="38"/>
      <c r="AC2912" s="38"/>
      <c r="AD2912" s="38"/>
      <c r="AE2912" s="38"/>
      <c r="AF2912" s="38"/>
      <c r="AG2912" s="38"/>
      <c r="AH2912" s="38"/>
      <c r="AI2912" s="38"/>
      <c r="AJ2912" s="38"/>
      <c r="AK2912" s="38"/>
      <c r="AL2912" s="38"/>
      <c r="AM2912" s="38"/>
      <c r="AN2912" s="38"/>
      <c r="AO2912" s="38"/>
      <c r="AP2912" s="38"/>
      <c r="AQ2912" s="38"/>
      <c r="AR2912" s="38"/>
      <c r="AS2912" s="38"/>
      <c r="AT2912" s="38"/>
      <c r="AU2912" s="38"/>
      <c r="AV2912" s="38"/>
      <c r="AW2912" s="38"/>
      <c r="AX2912" s="38"/>
      <c r="AY2912" s="38"/>
      <c r="AZ2912" s="38"/>
      <c r="BA2912" s="38"/>
      <c r="BB2912" s="38"/>
      <c r="BC2912" s="38"/>
      <c r="BD2912" s="38"/>
      <c r="BE2912" s="38"/>
      <c r="BF2912" s="38"/>
      <c r="BG2912" s="38"/>
      <c r="BH2912" s="38"/>
      <c r="BI2912" s="38"/>
      <c r="BJ2912" s="38"/>
      <c r="BK2912" s="38"/>
      <c r="BL2912" s="38"/>
      <c r="BM2912" s="38"/>
      <c r="BN2912" s="38"/>
      <c r="BO2912" s="38"/>
      <c r="BP2912" s="38"/>
      <c r="BQ2912" s="38"/>
    </row>
    <row r="2913">
      <c r="A2913" s="16"/>
      <c r="B2913" s="16"/>
      <c r="C2913" s="146"/>
      <c r="D2913" s="146"/>
      <c r="E2913" s="16"/>
      <c r="F2913" s="91"/>
      <c r="G2913" s="16"/>
      <c r="H2913" s="320" t="str">
        <f t="shared" si="33"/>
        <v/>
      </c>
      <c r="I2913" s="16"/>
      <c r="J2913" s="16"/>
      <c r="K2913" s="16"/>
      <c r="L2913" s="16"/>
      <c r="M2913" s="15"/>
      <c r="N2913" s="15"/>
      <c r="O2913" s="16"/>
      <c r="P2913" s="16"/>
      <c r="Q2913" s="16"/>
      <c r="R2913" s="16"/>
      <c r="S2913" s="37" t="str">
        <f>IFERROR(__xludf.DUMMYFUNCTION("if(not(iserror(index(split(C2913, "" ""),2))), index(split(C2913, "" ""),1),"""")"),"")</f>
        <v/>
      </c>
      <c r="T2913" s="315" t="str">
        <f>IFERROR(__xludf.DUMMYFUNCTION("if(S2913="""",C2913,if(not(iserror(index(split(C2913, "" ""),3))), index(split(C2913, "" ""),3),index(split(C2913, "" ""),2)))"),"")</f>
        <v/>
      </c>
      <c r="U2913" s="38" t="b">
        <f t="shared" si="34"/>
        <v>0</v>
      </c>
      <c r="V2913" s="38"/>
      <c r="W2913" s="40"/>
      <c r="X2913" s="40"/>
      <c r="Y2913" s="38"/>
      <c r="Z2913" s="38"/>
      <c r="AA2913" s="38"/>
      <c r="AB2913" s="38"/>
      <c r="AC2913" s="38"/>
      <c r="AD2913" s="38"/>
      <c r="AE2913" s="38"/>
      <c r="AF2913" s="38"/>
      <c r="AG2913" s="38"/>
      <c r="AH2913" s="38"/>
      <c r="AI2913" s="38"/>
      <c r="AJ2913" s="38"/>
      <c r="AK2913" s="38"/>
      <c r="AL2913" s="38"/>
      <c r="AM2913" s="38"/>
      <c r="AN2913" s="38"/>
      <c r="AO2913" s="38"/>
      <c r="AP2913" s="38"/>
      <c r="AQ2913" s="38"/>
      <c r="AR2913" s="38"/>
      <c r="AS2913" s="38"/>
      <c r="AT2913" s="38"/>
      <c r="AU2913" s="38"/>
      <c r="AV2913" s="38"/>
      <c r="AW2913" s="38"/>
      <c r="AX2913" s="38"/>
      <c r="AY2913" s="38"/>
      <c r="AZ2913" s="38"/>
      <c r="BA2913" s="38"/>
      <c r="BB2913" s="38"/>
      <c r="BC2913" s="38"/>
      <c r="BD2913" s="38"/>
      <c r="BE2913" s="38"/>
      <c r="BF2913" s="38"/>
      <c r="BG2913" s="38"/>
      <c r="BH2913" s="38"/>
      <c r="BI2913" s="38"/>
      <c r="BJ2913" s="38"/>
      <c r="BK2913" s="38"/>
      <c r="BL2913" s="38"/>
      <c r="BM2913" s="38"/>
      <c r="BN2913" s="38"/>
      <c r="BO2913" s="38"/>
      <c r="BP2913" s="38"/>
      <c r="BQ2913" s="38"/>
    </row>
    <row r="2914">
      <c r="A2914" s="16"/>
      <c r="B2914" s="16"/>
      <c r="C2914" s="146"/>
      <c r="D2914" s="146"/>
      <c r="E2914" s="16"/>
      <c r="F2914" s="91"/>
      <c r="G2914" s="16"/>
      <c r="H2914" s="320" t="str">
        <f t="shared" si="33"/>
        <v/>
      </c>
      <c r="I2914" s="16"/>
      <c r="J2914" s="16"/>
      <c r="K2914" s="16"/>
      <c r="L2914" s="16"/>
      <c r="M2914" s="15"/>
      <c r="N2914" s="15"/>
      <c r="O2914" s="16"/>
      <c r="P2914" s="16"/>
      <c r="Q2914" s="16"/>
      <c r="R2914" s="16"/>
      <c r="S2914" s="37" t="str">
        <f>IFERROR(__xludf.DUMMYFUNCTION("if(not(iserror(index(split(C2914, "" ""),2))), index(split(C2914, "" ""),1),"""")"),"")</f>
        <v/>
      </c>
      <c r="T2914" s="315" t="str">
        <f>IFERROR(__xludf.DUMMYFUNCTION("if(S2914="""",C2914,if(not(iserror(index(split(C2914, "" ""),3))), index(split(C2914, "" ""),3),index(split(C2914, "" ""),2)))"),"")</f>
        <v/>
      </c>
      <c r="U2914" s="38" t="b">
        <f t="shared" si="34"/>
        <v>0</v>
      </c>
      <c r="V2914" s="38"/>
      <c r="W2914" s="40"/>
      <c r="X2914" s="40"/>
      <c r="Y2914" s="38"/>
      <c r="Z2914" s="38"/>
      <c r="AA2914" s="38"/>
      <c r="AB2914" s="38"/>
      <c r="AC2914" s="38"/>
      <c r="AD2914" s="38"/>
      <c r="AE2914" s="38"/>
      <c r="AF2914" s="38"/>
      <c r="AG2914" s="38"/>
      <c r="AH2914" s="38"/>
      <c r="AI2914" s="38"/>
      <c r="AJ2914" s="38"/>
      <c r="AK2914" s="38"/>
      <c r="AL2914" s="38"/>
      <c r="AM2914" s="38"/>
      <c r="AN2914" s="38"/>
      <c r="AO2914" s="38"/>
      <c r="AP2914" s="38"/>
      <c r="AQ2914" s="38"/>
      <c r="AR2914" s="38"/>
      <c r="AS2914" s="38"/>
      <c r="AT2914" s="38"/>
      <c r="AU2914" s="38"/>
      <c r="AV2914" s="38"/>
      <c r="AW2914" s="38"/>
      <c r="AX2914" s="38"/>
      <c r="AY2914" s="38"/>
      <c r="AZ2914" s="38"/>
      <c r="BA2914" s="38"/>
      <c r="BB2914" s="38"/>
      <c r="BC2914" s="38"/>
      <c r="BD2914" s="38"/>
      <c r="BE2914" s="38"/>
      <c r="BF2914" s="38"/>
      <c r="BG2914" s="38"/>
      <c r="BH2914" s="38"/>
      <c r="BI2914" s="38"/>
      <c r="BJ2914" s="38"/>
      <c r="BK2914" s="38"/>
      <c r="BL2914" s="38"/>
      <c r="BM2914" s="38"/>
      <c r="BN2914" s="38"/>
      <c r="BO2914" s="38"/>
      <c r="BP2914" s="38"/>
      <c r="BQ2914" s="38"/>
    </row>
    <row r="2915">
      <c r="A2915" s="16"/>
      <c r="B2915" s="16"/>
      <c r="C2915" s="146"/>
      <c r="D2915" s="146"/>
      <c r="E2915" s="16"/>
      <c r="F2915" s="91"/>
      <c r="G2915" s="16"/>
      <c r="H2915" s="320" t="str">
        <f t="shared" si="33"/>
        <v/>
      </c>
      <c r="I2915" s="16"/>
      <c r="J2915" s="16"/>
      <c r="K2915" s="16"/>
      <c r="L2915" s="16"/>
      <c r="M2915" s="15"/>
      <c r="N2915" s="15"/>
      <c r="O2915" s="16"/>
      <c r="P2915" s="16"/>
      <c r="Q2915" s="16"/>
      <c r="R2915" s="16"/>
      <c r="S2915" s="37" t="str">
        <f>IFERROR(__xludf.DUMMYFUNCTION("if(not(iserror(index(split(C2915, "" ""),2))), index(split(C2915, "" ""),1),"""")"),"")</f>
        <v/>
      </c>
      <c r="T2915" s="315" t="str">
        <f>IFERROR(__xludf.DUMMYFUNCTION("if(S2915="""",C2915,if(not(iserror(index(split(C2915, "" ""),3))), index(split(C2915, "" ""),3),index(split(C2915, "" ""),2)))"),"")</f>
        <v/>
      </c>
      <c r="U2915" s="38" t="b">
        <f t="shared" si="34"/>
        <v>0</v>
      </c>
      <c r="V2915" s="38"/>
      <c r="W2915" s="40"/>
      <c r="X2915" s="40"/>
      <c r="Y2915" s="38"/>
      <c r="Z2915" s="38"/>
      <c r="AA2915" s="38"/>
      <c r="AB2915" s="38"/>
      <c r="AC2915" s="38"/>
      <c r="AD2915" s="38"/>
      <c r="AE2915" s="38"/>
      <c r="AF2915" s="38"/>
      <c r="AG2915" s="38"/>
      <c r="AH2915" s="38"/>
      <c r="AI2915" s="38"/>
      <c r="AJ2915" s="38"/>
      <c r="AK2915" s="38"/>
      <c r="AL2915" s="38"/>
      <c r="AM2915" s="38"/>
      <c r="AN2915" s="38"/>
      <c r="AO2915" s="38"/>
      <c r="AP2915" s="38"/>
      <c r="AQ2915" s="38"/>
      <c r="AR2915" s="38"/>
      <c r="AS2915" s="38"/>
      <c r="AT2915" s="38"/>
      <c r="AU2915" s="38"/>
      <c r="AV2915" s="38"/>
      <c r="AW2915" s="38"/>
      <c r="AX2915" s="38"/>
      <c r="AY2915" s="38"/>
      <c r="AZ2915" s="38"/>
      <c r="BA2915" s="38"/>
      <c r="BB2915" s="38"/>
      <c r="BC2915" s="38"/>
      <c r="BD2915" s="38"/>
      <c r="BE2915" s="38"/>
      <c r="BF2915" s="38"/>
      <c r="BG2915" s="38"/>
      <c r="BH2915" s="38"/>
      <c r="BI2915" s="38"/>
      <c r="BJ2915" s="38"/>
      <c r="BK2915" s="38"/>
      <c r="BL2915" s="38"/>
      <c r="BM2915" s="38"/>
      <c r="BN2915" s="38"/>
      <c r="BO2915" s="38"/>
      <c r="BP2915" s="38"/>
      <c r="BQ2915" s="38"/>
    </row>
    <row r="2916">
      <c r="A2916" s="16"/>
      <c r="B2916" s="16"/>
      <c r="C2916" s="146"/>
      <c r="D2916" s="146"/>
      <c r="E2916" s="16"/>
      <c r="F2916" s="91"/>
      <c r="G2916" s="16"/>
      <c r="H2916" s="320" t="str">
        <f t="shared" si="33"/>
        <v/>
      </c>
      <c r="I2916" s="16"/>
      <c r="J2916" s="16"/>
      <c r="K2916" s="16"/>
      <c r="L2916" s="16"/>
      <c r="M2916" s="15"/>
      <c r="N2916" s="15"/>
      <c r="O2916" s="16"/>
      <c r="P2916" s="16"/>
      <c r="Q2916" s="16"/>
      <c r="R2916" s="16"/>
      <c r="S2916" s="37" t="str">
        <f>IFERROR(__xludf.DUMMYFUNCTION("if(not(iserror(index(split(C2916, "" ""),2))), index(split(C2916, "" ""),1),"""")"),"")</f>
        <v/>
      </c>
      <c r="T2916" s="315" t="str">
        <f>IFERROR(__xludf.DUMMYFUNCTION("if(S2916="""",C2916,if(not(iserror(index(split(C2916, "" ""),3))), index(split(C2916, "" ""),3),index(split(C2916, "" ""),2)))"),"")</f>
        <v/>
      </c>
      <c r="U2916" s="38" t="b">
        <f t="shared" si="34"/>
        <v>0</v>
      </c>
      <c r="V2916" s="38"/>
      <c r="W2916" s="40"/>
      <c r="X2916" s="40"/>
      <c r="Y2916" s="38"/>
      <c r="Z2916" s="38"/>
      <c r="AA2916" s="38"/>
      <c r="AB2916" s="38"/>
      <c r="AC2916" s="38"/>
      <c r="AD2916" s="38"/>
      <c r="AE2916" s="38"/>
      <c r="AF2916" s="38"/>
      <c r="AG2916" s="38"/>
      <c r="AH2916" s="38"/>
      <c r="AI2916" s="38"/>
      <c r="AJ2916" s="38"/>
      <c r="AK2916" s="38"/>
      <c r="AL2916" s="38"/>
      <c r="AM2916" s="38"/>
      <c r="AN2916" s="38"/>
      <c r="AO2916" s="38"/>
      <c r="AP2916" s="38"/>
      <c r="AQ2916" s="38"/>
      <c r="AR2916" s="38"/>
      <c r="AS2916" s="38"/>
      <c r="AT2916" s="38"/>
      <c r="AU2916" s="38"/>
      <c r="AV2916" s="38"/>
      <c r="AW2916" s="38"/>
      <c r="AX2916" s="38"/>
      <c r="AY2916" s="38"/>
      <c r="AZ2916" s="38"/>
      <c r="BA2916" s="38"/>
      <c r="BB2916" s="38"/>
      <c r="BC2916" s="38"/>
      <c r="BD2916" s="38"/>
      <c r="BE2916" s="38"/>
      <c r="BF2916" s="38"/>
      <c r="BG2916" s="38"/>
      <c r="BH2916" s="38"/>
      <c r="BI2916" s="38"/>
      <c r="BJ2916" s="38"/>
      <c r="BK2916" s="38"/>
      <c r="BL2916" s="38"/>
      <c r="BM2916" s="38"/>
      <c r="BN2916" s="38"/>
      <c r="BO2916" s="38"/>
      <c r="BP2916" s="38"/>
      <c r="BQ2916" s="38"/>
    </row>
    <row r="2917">
      <c r="A2917" s="16"/>
      <c r="B2917" s="16"/>
      <c r="C2917" s="146"/>
      <c r="D2917" s="146"/>
      <c r="E2917" s="16"/>
      <c r="F2917" s="91"/>
      <c r="G2917" s="16"/>
      <c r="H2917" s="320" t="str">
        <f t="shared" si="33"/>
        <v/>
      </c>
      <c r="I2917" s="16"/>
      <c r="J2917" s="16"/>
      <c r="K2917" s="16"/>
      <c r="L2917" s="16"/>
      <c r="M2917" s="15"/>
      <c r="N2917" s="15"/>
      <c r="O2917" s="16"/>
      <c r="P2917" s="16"/>
      <c r="Q2917" s="16"/>
      <c r="R2917" s="16"/>
      <c r="S2917" s="37" t="str">
        <f>IFERROR(__xludf.DUMMYFUNCTION("if(not(iserror(index(split(C2917, "" ""),2))), index(split(C2917, "" ""),1),"""")"),"")</f>
        <v/>
      </c>
      <c r="T2917" s="315" t="str">
        <f>IFERROR(__xludf.DUMMYFUNCTION("if(S2917="""",C2917,if(not(iserror(index(split(C2917, "" ""),3))), index(split(C2917, "" ""),3),index(split(C2917, "" ""),2)))"),"")</f>
        <v/>
      </c>
      <c r="U2917" s="38" t="b">
        <f t="shared" si="34"/>
        <v>0</v>
      </c>
      <c r="V2917" s="38"/>
      <c r="W2917" s="40"/>
      <c r="X2917" s="40"/>
      <c r="Y2917" s="38"/>
      <c r="Z2917" s="38"/>
      <c r="AA2917" s="38"/>
      <c r="AB2917" s="38"/>
      <c r="AC2917" s="38"/>
      <c r="AD2917" s="38"/>
      <c r="AE2917" s="38"/>
      <c r="AF2917" s="38"/>
      <c r="AG2917" s="38"/>
      <c r="AH2917" s="38"/>
      <c r="AI2917" s="38"/>
      <c r="AJ2917" s="38"/>
      <c r="AK2917" s="38"/>
      <c r="AL2917" s="38"/>
      <c r="AM2917" s="38"/>
      <c r="AN2917" s="38"/>
      <c r="AO2917" s="38"/>
      <c r="AP2917" s="38"/>
      <c r="AQ2917" s="38"/>
      <c r="AR2917" s="38"/>
      <c r="AS2917" s="38"/>
      <c r="AT2917" s="38"/>
      <c r="AU2917" s="38"/>
      <c r="AV2917" s="38"/>
      <c r="AW2917" s="38"/>
      <c r="AX2917" s="38"/>
      <c r="AY2917" s="38"/>
      <c r="AZ2917" s="38"/>
      <c r="BA2917" s="38"/>
      <c r="BB2917" s="38"/>
      <c r="BC2917" s="38"/>
      <c r="BD2917" s="38"/>
      <c r="BE2917" s="38"/>
      <c r="BF2917" s="38"/>
      <c r="BG2917" s="38"/>
      <c r="BH2917" s="38"/>
      <c r="BI2917" s="38"/>
      <c r="BJ2917" s="38"/>
      <c r="BK2917" s="38"/>
      <c r="BL2917" s="38"/>
      <c r="BM2917" s="38"/>
      <c r="BN2917" s="38"/>
      <c r="BO2917" s="38"/>
      <c r="BP2917" s="38"/>
      <c r="BQ2917" s="38"/>
    </row>
    <row r="2918">
      <c r="A2918" s="16"/>
      <c r="B2918" s="16"/>
      <c r="C2918" s="146"/>
      <c r="D2918" s="146"/>
      <c r="E2918" s="16"/>
      <c r="F2918" s="91"/>
      <c r="G2918" s="16"/>
      <c r="H2918" s="320" t="str">
        <f t="shared" si="33"/>
        <v/>
      </c>
      <c r="I2918" s="16"/>
      <c r="J2918" s="16"/>
      <c r="K2918" s="16"/>
      <c r="L2918" s="16"/>
      <c r="M2918" s="15"/>
      <c r="N2918" s="15"/>
      <c r="O2918" s="16"/>
      <c r="P2918" s="16"/>
      <c r="Q2918" s="16"/>
      <c r="R2918" s="16"/>
      <c r="S2918" s="37" t="str">
        <f>IFERROR(__xludf.DUMMYFUNCTION("if(not(iserror(index(split(C2918, "" ""),2))), index(split(C2918, "" ""),1),"""")"),"")</f>
        <v/>
      </c>
      <c r="T2918" s="315" t="str">
        <f>IFERROR(__xludf.DUMMYFUNCTION("if(S2918="""",C2918,if(not(iserror(index(split(C2918, "" ""),3))), index(split(C2918, "" ""),3),index(split(C2918, "" ""),2)))"),"")</f>
        <v/>
      </c>
      <c r="U2918" s="38" t="b">
        <f t="shared" si="34"/>
        <v>0</v>
      </c>
      <c r="V2918" s="38"/>
      <c r="W2918" s="40"/>
      <c r="X2918" s="40"/>
      <c r="Y2918" s="38"/>
      <c r="Z2918" s="38"/>
      <c r="AA2918" s="38"/>
      <c r="AB2918" s="38"/>
      <c r="AC2918" s="38"/>
      <c r="AD2918" s="38"/>
      <c r="AE2918" s="38"/>
      <c r="AF2918" s="38"/>
      <c r="AG2918" s="38"/>
      <c r="AH2918" s="38"/>
      <c r="AI2918" s="38"/>
      <c r="AJ2918" s="38"/>
      <c r="AK2918" s="38"/>
      <c r="AL2918" s="38"/>
      <c r="AM2918" s="38"/>
      <c r="AN2918" s="38"/>
      <c r="AO2918" s="38"/>
      <c r="AP2918" s="38"/>
      <c r="AQ2918" s="38"/>
      <c r="AR2918" s="38"/>
      <c r="AS2918" s="38"/>
      <c r="AT2918" s="38"/>
      <c r="AU2918" s="38"/>
      <c r="AV2918" s="38"/>
      <c r="AW2918" s="38"/>
      <c r="AX2918" s="38"/>
      <c r="AY2918" s="38"/>
      <c r="AZ2918" s="38"/>
      <c r="BA2918" s="38"/>
      <c r="BB2918" s="38"/>
      <c r="BC2918" s="38"/>
      <c r="BD2918" s="38"/>
      <c r="BE2918" s="38"/>
      <c r="BF2918" s="38"/>
      <c r="BG2918" s="38"/>
      <c r="BH2918" s="38"/>
      <c r="BI2918" s="38"/>
      <c r="BJ2918" s="38"/>
      <c r="BK2918" s="38"/>
      <c r="BL2918" s="38"/>
      <c r="BM2918" s="38"/>
      <c r="BN2918" s="38"/>
      <c r="BO2918" s="38"/>
      <c r="BP2918" s="38"/>
      <c r="BQ2918" s="38"/>
    </row>
    <row r="2919">
      <c r="A2919" s="16"/>
      <c r="B2919" s="16"/>
      <c r="C2919" s="146"/>
      <c r="D2919" s="146"/>
      <c r="E2919" s="16"/>
      <c r="F2919" s="91"/>
      <c r="G2919" s="16"/>
      <c r="H2919" s="320" t="str">
        <f t="shared" si="33"/>
        <v/>
      </c>
      <c r="I2919" s="16"/>
      <c r="J2919" s="16"/>
      <c r="K2919" s="16"/>
      <c r="L2919" s="16"/>
      <c r="M2919" s="15"/>
      <c r="N2919" s="15"/>
      <c r="O2919" s="16"/>
      <c r="P2919" s="16"/>
      <c r="Q2919" s="16"/>
      <c r="R2919" s="16"/>
      <c r="S2919" s="37" t="str">
        <f>IFERROR(__xludf.DUMMYFUNCTION("if(not(iserror(index(split(C2919, "" ""),2))), index(split(C2919, "" ""),1),"""")"),"")</f>
        <v/>
      </c>
      <c r="T2919" s="315" t="str">
        <f>IFERROR(__xludf.DUMMYFUNCTION("if(S2919="""",C2919,if(not(iserror(index(split(C2919, "" ""),3))), index(split(C2919, "" ""),3),index(split(C2919, "" ""),2)))"),"")</f>
        <v/>
      </c>
      <c r="U2919" s="38" t="b">
        <f t="shared" si="34"/>
        <v>0</v>
      </c>
      <c r="V2919" s="38"/>
      <c r="W2919" s="40"/>
      <c r="X2919" s="40"/>
      <c r="Y2919" s="38"/>
      <c r="Z2919" s="38"/>
      <c r="AA2919" s="38"/>
      <c r="AB2919" s="38"/>
      <c r="AC2919" s="38"/>
      <c r="AD2919" s="38"/>
      <c r="AE2919" s="38"/>
      <c r="AF2919" s="38"/>
      <c r="AG2919" s="38"/>
      <c r="AH2919" s="38"/>
      <c r="AI2919" s="38"/>
      <c r="AJ2919" s="38"/>
      <c r="AK2919" s="38"/>
      <c r="AL2919" s="38"/>
      <c r="AM2919" s="38"/>
      <c r="AN2919" s="38"/>
      <c r="AO2919" s="38"/>
      <c r="AP2919" s="38"/>
      <c r="AQ2919" s="38"/>
      <c r="AR2919" s="38"/>
      <c r="AS2919" s="38"/>
      <c r="AT2919" s="38"/>
      <c r="AU2919" s="38"/>
      <c r="AV2919" s="38"/>
      <c r="AW2919" s="38"/>
      <c r="AX2919" s="38"/>
      <c r="AY2919" s="38"/>
      <c r="AZ2919" s="38"/>
      <c r="BA2919" s="38"/>
      <c r="BB2919" s="38"/>
      <c r="BC2919" s="38"/>
      <c r="BD2919" s="38"/>
      <c r="BE2919" s="38"/>
      <c r="BF2919" s="38"/>
      <c r="BG2919" s="38"/>
      <c r="BH2919" s="38"/>
      <c r="BI2919" s="38"/>
      <c r="BJ2919" s="38"/>
      <c r="BK2919" s="38"/>
      <c r="BL2919" s="38"/>
      <c r="BM2919" s="38"/>
      <c r="BN2919" s="38"/>
      <c r="BO2919" s="38"/>
      <c r="BP2919" s="38"/>
      <c r="BQ2919" s="38"/>
    </row>
    <row r="2920">
      <c r="A2920" s="16"/>
      <c r="B2920" s="16"/>
      <c r="C2920" s="146"/>
      <c r="D2920" s="146"/>
      <c r="E2920" s="16"/>
      <c r="F2920" s="91"/>
      <c r="G2920" s="16"/>
      <c r="H2920" s="320" t="str">
        <f t="shared" si="33"/>
        <v/>
      </c>
      <c r="I2920" s="16"/>
      <c r="J2920" s="16"/>
      <c r="K2920" s="16"/>
      <c r="L2920" s="16"/>
      <c r="M2920" s="15"/>
      <c r="N2920" s="15"/>
      <c r="O2920" s="16"/>
      <c r="P2920" s="16"/>
      <c r="Q2920" s="16"/>
      <c r="R2920" s="16"/>
      <c r="S2920" s="37" t="str">
        <f>IFERROR(__xludf.DUMMYFUNCTION("if(not(iserror(index(split(C2920, "" ""),2))), index(split(C2920, "" ""),1),"""")"),"")</f>
        <v/>
      </c>
      <c r="T2920" s="315" t="str">
        <f>IFERROR(__xludf.DUMMYFUNCTION("if(S2920="""",C2920,if(not(iserror(index(split(C2920, "" ""),3))), index(split(C2920, "" ""),3),index(split(C2920, "" ""),2)))"),"")</f>
        <v/>
      </c>
      <c r="U2920" s="38" t="b">
        <f t="shared" si="34"/>
        <v>0</v>
      </c>
      <c r="V2920" s="38"/>
      <c r="W2920" s="40"/>
      <c r="X2920" s="40"/>
      <c r="Y2920" s="38"/>
      <c r="Z2920" s="38"/>
      <c r="AA2920" s="38"/>
      <c r="AB2920" s="38"/>
      <c r="AC2920" s="38"/>
      <c r="AD2920" s="38"/>
      <c r="AE2920" s="38"/>
      <c r="AF2920" s="38"/>
      <c r="AG2920" s="38"/>
      <c r="AH2920" s="38"/>
      <c r="AI2920" s="38"/>
      <c r="AJ2920" s="38"/>
      <c r="AK2920" s="38"/>
      <c r="AL2920" s="38"/>
      <c r="AM2920" s="38"/>
      <c r="AN2920" s="38"/>
      <c r="AO2920" s="38"/>
      <c r="AP2920" s="38"/>
      <c r="AQ2920" s="38"/>
      <c r="AR2920" s="38"/>
      <c r="AS2920" s="38"/>
      <c r="AT2920" s="38"/>
      <c r="AU2920" s="38"/>
      <c r="AV2920" s="38"/>
      <c r="AW2920" s="38"/>
      <c r="AX2920" s="38"/>
      <c r="AY2920" s="38"/>
      <c r="AZ2920" s="38"/>
      <c r="BA2920" s="38"/>
      <c r="BB2920" s="38"/>
      <c r="BC2920" s="38"/>
      <c r="BD2920" s="38"/>
      <c r="BE2920" s="38"/>
      <c r="BF2920" s="38"/>
      <c r="BG2920" s="38"/>
      <c r="BH2920" s="38"/>
      <c r="BI2920" s="38"/>
      <c r="BJ2920" s="38"/>
      <c r="BK2920" s="38"/>
      <c r="BL2920" s="38"/>
      <c r="BM2920" s="38"/>
      <c r="BN2920" s="38"/>
      <c r="BO2920" s="38"/>
      <c r="BP2920" s="38"/>
      <c r="BQ2920" s="38"/>
    </row>
    <row r="2921">
      <c r="A2921" s="16"/>
      <c r="B2921" s="16"/>
      <c r="C2921" s="146"/>
      <c r="D2921" s="146"/>
      <c r="E2921" s="16"/>
      <c r="F2921" s="91"/>
      <c r="G2921" s="16"/>
      <c r="H2921" s="320" t="str">
        <f t="shared" si="33"/>
        <v/>
      </c>
      <c r="I2921" s="16"/>
      <c r="J2921" s="16"/>
      <c r="K2921" s="16"/>
      <c r="L2921" s="16"/>
      <c r="M2921" s="15"/>
      <c r="N2921" s="15"/>
      <c r="O2921" s="16"/>
      <c r="P2921" s="16"/>
      <c r="Q2921" s="16"/>
      <c r="R2921" s="16"/>
      <c r="S2921" s="37" t="str">
        <f>IFERROR(__xludf.DUMMYFUNCTION("if(not(iserror(index(split(C2921, "" ""),2))), index(split(C2921, "" ""),1),"""")"),"")</f>
        <v/>
      </c>
      <c r="T2921" s="315" t="str">
        <f>IFERROR(__xludf.DUMMYFUNCTION("if(S2921="""",C2921,if(not(iserror(index(split(C2921, "" ""),3))), index(split(C2921, "" ""),3),index(split(C2921, "" ""),2)))"),"")</f>
        <v/>
      </c>
      <c r="U2921" s="38" t="b">
        <f t="shared" si="34"/>
        <v>0</v>
      </c>
      <c r="V2921" s="38"/>
      <c r="W2921" s="40"/>
      <c r="X2921" s="40"/>
      <c r="Y2921" s="38"/>
      <c r="Z2921" s="38"/>
      <c r="AA2921" s="38"/>
      <c r="AB2921" s="38"/>
      <c r="AC2921" s="38"/>
      <c r="AD2921" s="38"/>
      <c r="AE2921" s="38"/>
      <c r="AF2921" s="38"/>
      <c r="AG2921" s="38"/>
      <c r="AH2921" s="38"/>
      <c r="AI2921" s="38"/>
      <c r="AJ2921" s="38"/>
      <c r="AK2921" s="38"/>
      <c r="AL2921" s="38"/>
      <c r="AM2921" s="38"/>
      <c r="AN2921" s="38"/>
      <c r="AO2921" s="38"/>
      <c r="AP2921" s="38"/>
      <c r="AQ2921" s="38"/>
      <c r="AR2921" s="38"/>
      <c r="AS2921" s="38"/>
      <c r="AT2921" s="38"/>
      <c r="AU2921" s="38"/>
      <c r="AV2921" s="38"/>
      <c r="AW2921" s="38"/>
      <c r="AX2921" s="38"/>
      <c r="AY2921" s="38"/>
      <c r="AZ2921" s="38"/>
      <c r="BA2921" s="38"/>
      <c r="BB2921" s="38"/>
      <c r="BC2921" s="38"/>
      <c r="BD2921" s="38"/>
      <c r="BE2921" s="38"/>
      <c r="BF2921" s="38"/>
      <c r="BG2921" s="38"/>
      <c r="BH2921" s="38"/>
      <c r="BI2921" s="38"/>
      <c r="BJ2921" s="38"/>
      <c r="BK2921" s="38"/>
      <c r="BL2921" s="38"/>
      <c r="BM2921" s="38"/>
      <c r="BN2921" s="38"/>
      <c r="BO2921" s="38"/>
      <c r="BP2921" s="38"/>
      <c r="BQ2921" s="38"/>
    </row>
    <row r="2922">
      <c r="A2922" s="16"/>
      <c r="B2922" s="16"/>
      <c r="C2922" s="146"/>
      <c r="D2922" s="146"/>
      <c r="E2922" s="16"/>
      <c r="F2922" s="91"/>
      <c r="G2922" s="16"/>
      <c r="H2922" s="320" t="str">
        <f t="shared" si="33"/>
        <v/>
      </c>
      <c r="I2922" s="16"/>
      <c r="J2922" s="16"/>
      <c r="K2922" s="16"/>
      <c r="L2922" s="16"/>
      <c r="M2922" s="15"/>
      <c r="N2922" s="15"/>
      <c r="O2922" s="16"/>
      <c r="P2922" s="16"/>
      <c r="Q2922" s="16"/>
      <c r="R2922" s="16"/>
      <c r="S2922" s="37" t="str">
        <f>IFERROR(__xludf.DUMMYFUNCTION("if(not(iserror(index(split(C2922, "" ""),2))), index(split(C2922, "" ""),1),"""")"),"")</f>
        <v/>
      </c>
      <c r="T2922" s="315" t="str">
        <f>IFERROR(__xludf.DUMMYFUNCTION("if(S2922="""",C2922,if(not(iserror(index(split(C2922, "" ""),3))), index(split(C2922, "" ""),3),index(split(C2922, "" ""),2)))"),"")</f>
        <v/>
      </c>
      <c r="U2922" s="38" t="b">
        <f t="shared" si="34"/>
        <v>0</v>
      </c>
      <c r="V2922" s="38"/>
      <c r="W2922" s="40"/>
      <c r="X2922" s="40"/>
      <c r="Y2922" s="38"/>
      <c r="Z2922" s="38"/>
      <c r="AA2922" s="38"/>
      <c r="AB2922" s="38"/>
      <c r="AC2922" s="38"/>
      <c r="AD2922" s="38"/>
      <c r="AE2922" s="38"/>
      <c r="AF2922" s="38"/>
      <c r="AG2922" s="38"/>
      <c r="AH2922" s="38"/>
      <c r="AI2922" s="38"/>
      <c r="AJ2922" s="38"/>
      <c r="AK2922" s="38"/>
      <c r="AL2922" s="38"/>
      <c r="AM2922" s="38"/>
      <c r="AN2922" s="38"/>
      <c r="AO2922" s="38"/>
      <c r="AP2922" s="38"/>
      <c r="AQ2922" s="38"/>
      <c r="AR2922" s="38"/>
      <c r="AS2922" s="38"/>
      <c r="AT2922" s="38"/>
      <c r="AU2922" s="38"/>
      <c r="AV2922" s="38"/>
      <c r="AW2922" s="38"/>
      <c r="AX2922" s="38"/>
      <c r="AY2922" s="38"/>
      <c r="AZ2922" s="38"/>
      <c r="BA2922" s="38"/>
      <c r="BB2922" s="38"/>
      <c r="BC2922" s="38"/>
      <c r="BD2922" s="38"/>
      <c r="BE2922" s="38"/>
      <c r="BF2922" s="38"/>
      <c r="BG2922" s="38"/>
      <c r="BH2922" s="38"/>
      <c r="BI2922" s="38"/>
      <c r="BJ2922" s="38"/>
      <c r="BK2922" s="38"/>
      <c r="BL2922" s="38"/>
      <c r="BM2922" s="38"/>
      <c r="BN2922" s="38"/>
      <c r="BO2922" s="38"/>
      <c r="BP2922" s="38"/>
      <c r="BQ2922" s="38"/>
    </row>
    <row r="2923">
      <c r="A2923" s="16"/>
      <c r="B2923" s="16"/>
      <c r="C2923" s="146"/>
      <c r="D2923" s="146"/>
      <c r="E2923" s="16"/>
      <c r="F2923" s="91"/>
      <c r="G2923" s="16"/>
      <c r="H2923" s="320" t="str">
        <f t="shared" si="33"/>
        <v/>
      </c>
      <c r="I2923" s="16"/>
      <c r="J2923" s="16"/>
      <c r="K2923" s="16"/>
      <c r="L2923" s="16"/>
      <c r="M2923" s="15"/>
      <c r="N2923" s="15"/>
      <c r="O2923" s="16"/>
      <c r="P2923" s="16"/>
      <c r="Q2923" s="16"/>
      <c r="R2923" s="16"/>
      <c r="S2923" s="37" t="str">
        <f>IFERROR(__xludf.DUMMYFUNCTION("if(not(iserror(index(split(C2923, "" ""),2))), index(split(C2923, "" ""),1),"""")"),"")</f>
        <v/>
      </c>
      <c r="T2923" s="315" t="str">
        <f>IFERROR(__xludf.DUMMYFUNCTION("if(S2923="""",C2923,if(not(iserror(index(split(C2923, "" ""),3))), index(split(C2923, "" ""),3),index(split(C2923, "" ""),2)))"),"")</f>
        <v/>
      </c>
      <c r="U2923" s="38" t="b">
        <f t="shared" si="34"/>
        <v>0</v>
      </c>
      <c r="V2923" s="38"/>
      <c r="W2923" s="40"/>
      <c r="X2923" s="40"/>
      <c r="Y2923" s="38"/>
      <c r="Z2923" s="38"/>
      <c r="AA2923" s="38"/>
      <c r="AB2923" s="38"/>
      <c r="AC2923" s="38"/>
      <c r="AD2923" s="38"/>
      <c r="AE2923" s="38"/>
      <c r="AF2923" s="38"/>
      <c r="AG2923" s="38"/>
      <c r="AH2923" s="38"/>
      <c r="AI2923" s="38"/>
      <c r="AJ2923" s="38"/>
      <c r="AK2923" s="38"/>
      <c r="AL2923" s="38"/>
      <c r="AM2923" s="38"/>
      <c r="AN2923" s="38"/>
      <c r="AO2923" s="38"/>
      <c r="AP2923" s="38"/>
      <c r="AQ2923" s="38"/>
      <c r="AR2923" s="38"/>
      <c r="AS2923" s="38"/>
      <c r="AT2923" s="38"/>
      <c r="AU2923" s="38"/>
      <c r="AV2923" s="38"/>
      <c r="AW2923" s="38"/>
      <c r="AX2923" s="38"/>
      <c r="AY2923" s="38"/>
      <c r="AZ2923" s="38"/>
      <c r="BA2923" s="38"/>
      <c r="BB2923" s="38"/>
      <c r="BC2923" s="38"/>
      <c r="BD2923" s="38"/>
      <c r="BE2923" s="38"/>
      <c r="BF2923" s="38"/>
      <c r="BG2923" s="38"/>
      <c r="BH2923" s="38"/>
      <c r="BI2923" s="38"/>
      <c r="BJ2923" s="38"/>
      <c r="BK2923" s="38"/>
      <c r="BL2923" s="38"/>
      <c r="BM2923" s="38"/>
      <c r="BN2923" s="38"/>
      <c r="BO2923" s="38"/>
      <c r="BP2923" s="38"/>
      <c r="BQ2923" s="38"/>
    </row>
    <row r="2924">
      <c r="A2924" s="16"/>
      <c r="B2924" s="16"/>
      <c r="C2924" s="146"/>
      <c r="D2924" s="146"/>
      <c r="E2924" s="16"/>
      <c r="F2924" s="91"/>
      <c r="G2924" s="16"/>
      <c r="H2924" s="320" t="str">
        <f t="shared" si="33"/>
        <v/>
      </c>
      <c r="I2924" s="16"/>
      <c r="J2924" s="16"/>
      <c r="K2924" s="16"/>
      <c r="L2924" s="16"/>
      <c r="M2924" s="15"/>
      <c r="N2924" s="15"/>
      <c r="O2924" s="16"/>
      <c r="P2924" s="16"/>
      <c r="Q2924" s="16"/>
      <c r="R2924" s="16"/>
      <c r="S2924" s="37" t="str">
        <f>IFERROR(__xludf.DUMMYFUNCTION("if(not(iserror(index(split(C2924, "" ""),2))), index(split(C2924, "" ""),1),"""")"),"")</f>
        <v/>
      </c>
      <c r="T2924" s="315" t="str">
        <f>IFERROR(__xludf.DUMMYFUNCTION("if(S2924="""",C2924,if(not(iserror(index(split(C2924, "" ""),3))), index(split(C2924, "" ""),3),index(split(C2924, "" ""),2)))"),"")</f>
        <v/>
      </c>
      <c r="U2924" s="38" t="b">
        <f t="shared" si="34"/>
        <v>0</v>
      </c>
      <c r="V2924" s="38"/>
      <c r="W2924" s="40"/>
      <c r="X2924" s="40"/>
      <c r="Y2924" s="38"/>
      <c r="Z2924" s="38"/>
      <c r="AA2924" s="38"/>
      <c r="AB2924" s="38"/>
      <c r="AC2924" s="38"/>
      <c r="AD2924" s="38"/>
      <c r="AE2924" s="38"/>
      <c r="AF2924" s="38"/>
      <c r="AG2924" s="38"/>
      <c r="AH2924" s="38"/>
      <c r="AI2924" s="38"/>
      <c r="AJ2924" s="38"/>
      <c r="AK2924" s="38"/>
      <c r="AL2924" s="38"/>
      <c r="AM2924" s="38"/>
      <c r="AN2924" s="38"/>
      <c r="AO2924" s="38"/>
      <c r="AP2924" s="38"/>
      <c r="AQ2924" s="38"/>
      <c r="AR2924" s="38"/>
      <c r="AS2924" s="38"/>
      <c r="AT2924" s="38"/>
      <c r="AU2924" s="38"/>
      <c r="AV2924" s="38"/>
      <c r="AW2924" s="38"/>
      <c r="AX2924" s="38"/>
      <c r="AY2924" s="38"/>
      <c r="AZ2924" s="38"/>
      <c r="BA2924" s="38"/>
      <c r="BB2924" s="38"/>
      <c r="BC2924" s="38"/>
      <c r="BD2924" s="38"/>
      <c r="BE2924" s="38"/>
      <c r="BF2924" s="38"/>
      <c r="BG2924" s="38"/>
      <c r="BH2924" s="38"/>
      <c r="BI2924" s="38"/>
      <c r="BJ2924" s="38"/>
      <c r="BK2924" s="38"/>
      <c r="BL2924" s="38"/>
      <c r="BM2924" s="38"/>
      <c r="BN2924" s="38"/>
      <c r="BO2924" s="38"/>
      <c r="BP2924" s="38"/>
      <c r="BQ2924" s="38"/>
    </row>
    <row r="2925">
      <c r="A2925" s="16"/>
      <c r="B2925" s="16"/>
      <c r="C2925" s="146"/>
      <c r="D2925" s="146"/>
      <c r="E2925" s="16"/>
      <c r="F2925" s="91"/>
      <c r="G2925" s="16"/>
      <c r="H2925" s="320" t="str">
        <f t="shared" si="33"/>
        <v/>
      </c>
      <c r="I2925" s="16"/>
      <c r="J2925" s="16"/>
      <c r="K2925" s="16"/>
      <c r="L2925" s="16"/>
      <c r="M2925" s="15"/>
      <c r="N2925" s="15"/>
      <c r="O2925" s="16"/>
      <c r="P2925" s="16"/>
      <c r="Q2925" s="16"/>
      <c r="R2925" s="16"/>
      <c r="S2925" s="37" t="str">
        <f>IFERROR(__xludf.DUMMYFUNCTION("if(not(iserror(index(split(C2925, "" ""),2))), index(split(C2925, "" ""),1),"""")"),"")</f>
        <v/>
      </c>
      <c r="T2925" s="315" t="str">
        <f>IFERROR(__xludf.DUMMYFUNCTION("if(S2925="""",C2925,if(not(iserror(index(split(C2925, "" ""),3))), index(split(C2925, "" ""),3),index(split(C2925, "" ""),2)))"),"")</f>
        <v/>
      </c>
      <c r="U2925" s="38" t="b">
        <f t="shared" si="34"/>
        <v>0</v>
      </c>
      <c r="V2925" s="38"/>
      <c r="W2925" s="40"/>
      <c r="X2925" s="40"/>
      <c r="Y2925" s="38"/>
      <c r="Z2925" s="38"/>
      <c r="AA2925" s="38"/>
      <c r="AB2925" s="38"/>
      <c r="AC2925" s="38"/>
      <c r="AD2925" s="38"/>
      <c r="AE2925" s="38"/>
      <c r="AF2925" s="38"/>
      <c r="AG2925" s="38"/>
      <c r="AH2925" s="38"/>
      <c r="AI2925" s="38"/>
      <c r="AJ2925" s="38"/>
      <c r="AK2925" s="38"/>
      <c r="AL2925" s="38"/>
      <c r="AM2925" s="38"/>
      <c r="AN2925" s="38"/>
      <c r="AO2925" s="38"/>
      <c r="AP2925" s="38"/>
      <c r="AQ2925" s="38"/>
      <c r="AR2925" s="38"/>
      <c r="AS2925" s="38"/>
      <c r="AT2925" s="38"/>
      <c r="AU2925" s="38"/>
      <c r="AV2925" s="38"/>
      <c r="AW2925" s="38"/>
      <c r="AX2925" s="38"/>
      <c r="AY2925" s="38"/>
      <c r="AZ2925" s="38"/>
      <c r="BA2925" s="38"/>
      <c r="BB2925" s="38"/>
      <c r="BC2925" s="38"/>
      <c r="BD2925" s="38"/>
      <c r="BE2925" s="38"/>
      <c r="BF2925" s="38"/>
      <c r="BG2925" s="38"/>
      <c r="BH2925" s="38"/>
      <c r="BI2925" s="38"/>
      <c r="BJ2925" s="38"/>
      <c r="BK2925" s="38"/>
      <c r="BL2925" s="38"/>
      <c r="BM2925" s="38"/>
      <c r="BN2925" s="38"/>
      <c r="BO2925" s="38"/>
      <c r="BP2925" s="38"/>
      <c r="BQ2925" s="38"/>
    </row>
    <row r="2926">
      <c r="A2926" s="16"/>
      <c r="B2926" s="16"/>
      <c r="C2926" s="146"/>
      <c r="D2926" s="146"/>
      <c r="E2926" s="16"/>
      <c r="F2926" s="91"/>
      <c r="G2926" s="16"/>
      <c r="H2926" s="320" t="str">
        <f t="shared" si="33"/>
        <v/>
      </c>
      <c r="I2926" s="16"/>
      <c r="J2926" s="16"/>
      <c r="K2926" s="16"/>
      <c r="L2926" s="16"/>
      <c r="M2926" s="15"/>
      <c r="N2926" s="15"/>
      <c r="O2926" s="16"/>
      <c r="P2926" s="16"/>
      <c r="Q2926" s="16"/>
      <c r="R2926" s="16"/>
      <c r="S2926" s="37" t="str">
        <f>IFERROR(__xludf.DUMMYFUNCTION("if(not(iserror(index(split(C2926, "" ""),2))), index(split(C2926, "" ""),1),"""")"),"")</f>
        <v/>
      </c>
      <c r="T2926" s="315" t="str">
        <f>IFERROR(__xludf.DUMMYFUNCTION("if(S2926="""",C2926,if(not(iserror(index(split(C2926, "" ""),3))), index(split(C2926, "" ""),3),index(split(C2926, "" ""),2)))"),"")</f>
        <v/>
      </c>
      <c r="U2926" s="38" t="b">
        <f t="shared" si="34"/>
        <v>0</v>
      </c>
      <c r="V2926" s="38"/>
      <c r="W2926" s="40"/>
      <c r="X2926" s="40"/>
      <c r="Y2926" s="38"/>
      <c r="Z2926" s="38"/>
      <c r="AA2926" s="38"/>
      <c r="AB2926" s="38"/>
      <c r="AC2926" s="38"/>
      <c r="AD2926" s="38"/>
      <c r="AE2926" s="38"/>
      <c r="AF2926" s="38"/>
      <c r="AG2926" s="38"/>
      <c r="AH2926" s="38"/>
      <c r="AI2926" s="38"/>
      <c r="AJ2926" s="38"/>
      <c r="AK2926" s="38"/>
      <c r="AL2926" s="38"/>
      <c r="AM2926" s="38"/>
      <c r="AN2926" s="38"/>
      <c r="AO2926" s="38"/>
      <c r="AP2926" s="38"/>
      <c r="AQ2926" s="38"/>
      <c r="AR2926" s="38"/>
      <c r="AS2926" s="38"/>
      <c r="AT2926" s="38"/>
      <c r="AU2926" s="38"/>
      <c r="AV2926" s="38"/>
      <c r="AW2926" s="38"/>
      <c r="AX2926" s="38"/>
      <c r="AY2926" s="38"/>
      <c r="AZ2926" s="38"/>
      <c r="BA2926" s="38"/>
      <c r="BB2926" s="38"/>
      <c r="BC2926" s="38"/>
      <c r="BD2926" s="38"/>
      <c r="BE2926" s="38"/>
      <c r="BF2926" s="38"/>
      <c r="BG2926" s="38"/>
      <c r="BH2926" s="38"/>
      <c r="BI2926" s="38"/>
      <c r="BJ2926" s="38"/>
      <c r="BK2926" s="38"/>
      <c r="BL2926" s="38"/>
      <c r="BM2926" s="38"/>
      <c r="BN2926" s="38"/>
      <c r="BO2926" s="38"/>
      <c r="BP2926" s="38"/>
      <c r="BQ2926" s="38"/>
    </row>
    <row r="2927">
      <c r="A2927" s="16"/>
      <c r="B2927" s="16"/>
      <c r="C2927" s="146"/>
      <c r="D2927" s="146"/>
      <c r="E2927" s="16"/>
      <c r="F2927" s="91"/>
      <c r="G2927" s="16"/>
      <c r="H2927" s="320" t="str">
        <f t="shared" si="33"/>
        <v/>
      </c>
      <c r="I2927" s="16"/>
      <c r="J2927" s="16"/>
      <c r="K2927" s="16"/>
      <c r="L2927" s="16"/>
      <c r="M2927" s="15"/>
      <c r="N2927" s="15"/>
      <c r="O2927" s="16"/>
      <c r="P2927" s="16"/>
      <c r="Q2927" s="16"/>
      <c r="R2927" s="16"/>
      <c r="S2927" s="37" t="str">
        <f>IFERROR(__xludf.DUMMYFUNCTION("if(not(iserror(index(split(C2927, "" ""),2))), index(split(C2927, "" ""),1),"""")"),"")</f>
        <v/>
      </c>
      <c r="T2927" s="315" t="str">
        <f>IFERROR(__xludf.DUMMYFUNCTION("if(S2927="""",C2927,if(not(iserror(index(split(C2927, "" ""),3))), index(split(C2927, "" ""),3),index(split(C2927, "" ""),2)))"),"")</f>
        <v/>
      </c>
      <c r="U2927" s="38" t="b">
        <f t="shared" si="34"/>
        <v>0</v>
      </c>
      <c r="V2927" s="38"/>
      <c r="W2927" s="40"/>
      <c r="X2927" s="40"/>
      <c r="Y2927" s="38"/>
      <c r="Z2927" s="38"/>
      <c r="AA2927" s="38"/>
      <c r="AB2927" s="38"/>
      <c r="AC2927" s="38"/>
      <c r="AD2927" s="38"/>
      <c r="AE2927" s="38"/>
      <c r="AF2927" s="38"/>
      <c r="AG2927" s="38"/>
      <c r="AH2927" s="38"/>
      <c r="AI2927" s="38"/>
      <c r="AJ2927" s="38"/>
      <c r="AK2927" s="38"/>
      <c r="AL2927" s="38"/>
      <c r="AM2927" s="38"/>
      <c r="AN2927" s="38"/>
      <c r="AO2927" s="38"/>
      <c r="AP2927" s="38"/>
      <c r="AQ2927" s="38"/>
      <c r="AR2927" s="38"/>
      <c r="AS2927" s="38"/>
      <c r="AT2927" s="38"/>
      <c r="AU2927" s="38"/>
      <c r="AV2927" s="38"/>
      <c r="AW2927" s="38"/>
      <c r="AX2927" s="38"/>
      <c r="AY2927" s="38"/>
      <c r="AZ2927" s="38"/>
      <c r="BA2927" s="38"/>
      <c r="BB2927" s="38"/>
      <c r="BC2927" s="38"/>
      <c r="BD2927" s="38"/>
      <c r="BE2927" s="38"/>
      <c r="BF2927" s="38"/>
      <c r="BG2927" s="38"/>
      <c r="BH2927" s="38"/>
      <c r="BI2927" s="38"/>
      <c r="BJ2927" s="38"/>
      <c r="BK2927" s="38"/>
      <c r="BL2927" s="38"/>
      <c r="BM2927" s="38"/>
      <c r="BN2927" s="38"/>
      <c r="BO2927" s="38"/>
      <c r="BP2927" s="38"/>
      <c r="BQ2927" s="38"/>
    </row>
    <row r="2928">
      <c r="A2928" s="16"/>
      <c r="B2928" s="16"/>
      <c r="C2928" s="146"/>
      <c r="D2928" s="146"/>
      <c r="E2928" s="16"/>
      <c r="F2928" s="91"/>
      <c r="G2928" s="16"/>
      <c r="H2928" s="320" t="str">
        <f t="shared" si="33"/>
        <v/>
      </c>
      <c r="I2928" s="16"/>
      <c r="J2928" s="16"/>
      <c r="K2928" s="16"/>
      <c r="L2928" s="16"/>
      <c r="M2928" s="15"/>
      <c r="N2928" s="15"/>
      <c r="O2928" s="16"/>
      <c r="P2928" s="16"/>
      <c r="Q2928" s="16"/>
      <c r="R2928" s="16"/>
      <c r="S2928" s="37" t="str">
        <f>IFERROR(__xludf.DUMMYFUNCTION("if(not(iserror(index(split(C2928, "" ""),2))), index(split(C2928, "" ""),1),"""")"),"")</f>
        <v/>
      </c>
      <c r="T2928" s="315" t="str">
        <f>IFERROR(__xludf.DUMMYFUNCTION("if(S2928="""",C2928,if(not(iserror(index(split(C2928, "" ""),3))), index(split(C2928, "" ""),3),index(split(C2928, "" ""),2)))"),"")</f>
        <v/>
      </c>
      <c r="U2928" s="38" t="b">
        <f t="shared" si="34"/>
        <v>0</v>
      </c>
      <c r="V2928" s="38"/>
      <c r="W2928" s="40"/>
      <c r="X2928" s="40"/>
      <c r="Y2928" s="38"/>
      <c r="Z2928" s="38"/>
      <c r="AA2928" s="38"/>
      <c r="AB2928" s="38"/>
      <c r="AC2928" s="38"/>
      <c r="AD2928" s="38"/>
      <c r="AE2928" s="38"/>
      <c r="AF2928" s="38"/>
      <c r="AG2928" s="38"/>
      <c r="AH2928" s="38"/>
      <c r="AI2928" s="38"/>
      <c r="AJ2928" s="38"/>
      <c r="AK2928" s="38"/>
      <c r="AL2928" s="38"/>
      <c r="AM2928" s="38"/>
      <c r="AN2928" s="38"/>
      <c r="AO2928" s="38"/>
      <c r="AP2928" s="38"/>
      <c r="AQ2928" s="38"/>
      <c r="AR2928" s="38"/>
      <c r="AS2928" s="38"/>
      <c r="AT2928" s="38"/>
      <c r="AU2928" s="38"/>
      <c r="AV2928" s="38"/>
      <c r="AW2928" s="38"/>
      <c r="AX2928" s="38"/>
      <c r="AY2928" s="38"/>
      <c r="AZ2928" s="38"/>
      <c r="BA2928" s="38"/>
      <c r="BB2928" s="38"/>
      <c r="BC2928" s="38"/>
      <c r="BD2928" s="38"/>
      <c r="BE2928" s="38"/>
      <c r="BF2928" s="38"/>
      <c r="BG2928" s="38"/>
      <c r="BH2928" s="38"/>
      <c r="BI2928" s="38"/>
      <c r="BJ2928" s="38"/>
      <c r="BK2928" s="38"/>
      <c r="BL2928" s="38"/>
      <c r="BM2928" s="38"/>
      <c r="BN2928" s="38"/>
      <c r="BO2928" s="38"/>
      <c r="BP2928" s="38"/>
      <c r="BQ2928" s="38"/>
    </row>
    <row r="2929">
      <c r="A2929" s="16"/>
      <c r="B2929" s="16"/>
      <c r="C2929" s="146"/>
      <c r="D2929" s="146"/>
      <c r="E2929" s="16"/>
      <c r="F2929" s="91"/>
      <c r="G2929" s="16"/>
      <c r="H2929" s="320" t="str">
        <f t="shared" si="33"/>
        <v/>
      </c>
      <c r="I2929" s="16"/>
      <c r="J2929" s="16"/>
      <c r="K2929" s="16"/>
      <c r="L2929" s="16"/>
      <c r="M2929" s="15"/>
      <c r="N2929" s="15"/>
      <c r="O2929" s="16"/>
      <c r="P2929" s="16"/>
      <c r="Q2929" s="16"/>
      <c r="R2929" s="16"/>
      <c r="S2929" s="37" t="str">
        <f>IFERROR(__xludf.DUMMYFUNCTION("if(not(iserror(index(split(C2929, "" ""),2))), index(split(C2929, "" ""),1),"""")"),"")</f>
        <v/>
      </c>
      <c r="T2929" s="315" t="str">
        <f>IFERROR(__xludf.DUMMYFUNCTION("if(S2929="""",C2929,if(not(iserror(index(split(C2929, "" ""),3))), index(split(C2929, "" ""),3),index(split(C2929, "" ""),2)))"),"")</f>
        <v/>
      </c>
      <c r="U2929" s="38" t="b">
        <f t="shared" si="34"/>
        <v>0</v>
      </c>
      <c r="V2929" s="38"/>
      <c r="W2929" s="40"/>
      <c r="X2929" s="40"/>
      <c r="Y2929" s="38"/>
      <c r="Z2929" s="38"/>
      <c r="AA2929" s="38"/>
      <c r="AB2929" s="38"/>
      <c r="AC2929" s="38"/>
      <c r="AD2929" s="38"/>
      <c r="AE2929" s="38"/>
      <c r="AF2929" s="38"/>
      <c r="AG2929" s="38"/>
      <c r="AH2929" s="38"/>
      <c r="AI2929" s="38"/>
      <c r="AJ2929" s="38"/>
      <c r="AK2929" s="38"/>
      <c r="AL2929" s="38"/>
      <c r="AM2929" s="38"/>
      <c r="AN2929" s="38"/>
      <c r="AO2929" s="38"/>
      <c r="AP2929" s="38"/>
      <c r="AQ2929" s="38"/>
      <c r="AR2929" s="38"/>
      <c r="AS2929" s="38"/>
      <c r="AT2929" s="38"/>
      <c r="AU2929" s="38"/>
      <c r="AV2929" s="38"/>
      <c r="AW2929" s="38"/>
      <c r="AX2929" s="38"/>
      <c r="AY2929" s="38"/>
      <c r="AZ2929" s="38"/>
      <c r="BA2929" s="38"/>
      <c r="BB2929" s="38"/>
      <c r="BC2929" s="38"/>
      <c r="BD2929" s="38"/>
      <c r="BE2929" s="38"/>
      <c r="BF2929" s="38"/>
      <c r="BG2929" s="38"/>
      <c r="BH2929" s="38"/>
      <c r="BI2929" s="38"/>
      <c r="BJ2929" s="38"/>
      <c r="BK2929" s="38"/>
      <c r="BL2929" s="38"/>
      <c r="BM2929" s="38"/>
      <c r="BN2929" s="38"/>
      <c r="BO2929" s="38"/>
      <c r="BP2929" s="38"/>
      <c r="BQ2929" s="38"/>
    </row>
    <row r="2930">
      <c r="A2930" s="16"/>
      <c r="B2930" s="16"/>
      <c r="C2930" s="146"/>
      <c r="D2930" s="146"/>
      <c r="E2930" s="16"/>
      <c r="F2930" s="91"/>
      <c r="G2930" s="16"/>
      <c r="H2930" s="320" t="str">
        <f t="shared" si="33"/>
        <v/>
      </c>
      <c r="I2930" s="16"/>
      <c r="J2930" s="16"/>
      <c r="K2930" s="16"/>
      <c r="L2930" s="16"/>
      <c r="M2930" s="15"/>
      <c r="N2930" s="15"/>
      <c r="O2930" s="16"/>
      <c r="P2930" s="16"/>
      <c r="Q2930" s="16"/>
      <c r="R2930" s="16"/>
      <c r="S2930" s="37" t="str">
        <f>IFERROR(__xludf.DUMMYFUNCTION("if(not(iserror(index(split(C2930, "" ""),2))), index(split(C2930, "" ""),1),"""")"),"")</f>
        <v/>
      </c>
      <c r="T2930" s="315" t="str">
        <f>IFERROR(__xludf.DUMMYFUNCTION("if(S2930="""",C2930,if(not(iserror(index(split(C2930, "" ""),3))), index(split(C2930, "" ""),3),index(split(C2930, "" ""),2)))"),"")</f>
        <v/>
      </c>
      <c r="U2930" s="38" t="b">
        <f t="shared" si="34"/>
        <v>0</v>
      </c>
      <c r="V2930" s="38"/>
      <c r="W2930" s="40"/>
      <c r="X2930" s="40"/>
      <c r="Y2930" s="38"/>
      <c r="Z2930" s="38"/>
      <c r="AA2930" s="38"/>
      <c r="AB2930" s="38"/>
      <c r="AC2930" s="38"/>
      <c r="AD2930" s="38"/>
      <c r="AE2930" s="38"/>
      <c r="AF2930" s="38"/>
      <c r="AG2930" s="38"/>
      <c r="AH2930" s="38"/>
      <c r="AI2930" s="38"/>
      <c r="AJ2930" s="38"/>
      <c r="AK2930" s="38"/>
      <c r="AL2930" s="38"/>
      <c r="AM2930" s="38"/>
      <c r="AN2930" s="38"/>
      <c r="AO2930" s="38"/>
      <c r="AP2930" s="38"/>
      <c r="AQ2930" s="38"/>
      <c r="AR2930" s="38"/>
      <c r="AS2930" s="38"/>
      <c r="AT2930" s="38"/>
      <c r="AU2930" s="38"/>
      <c r="AV2930" s="38"/>
      <c r="AW2930" s="38"/>
      <c r="AX2930" s="38"/>
      <c r="AY2930" s="38"/>
      <c r="AZ2930" s="38"/>
      <c r="BA2930" s="38"/>
      <c r="BB2930" s="38"/>
      <c r="BC2930" s="38"/>
      <c r="BD2930" s="38"/>
      <c r="BE2930" s="38"/>
      <c r="BF2930" s="38"/>
      <c r="BG2930" s="38"/>
      <c r="BH2930" s="38"/>
      <c r="BI2930" s="38"/>
      <c r="BJ2930" s="38"/>
      <c r="BK2930" s="38"/>
      <c r="BL2930" s="38"/>
      <c r="BM2930" s="38"/>
      <c r="BN2930" s="38"/>
      <c r="BO2930" s="38"/>
      <c r="BP2930" s="38"/>
      <c r="BQ2930" s="38"/>
    </row>
    <row r="2931">
      <c r="A2931" s="16"/>
      <c r="B2931" s="16"/>
      <c r="C2931" s="146"/>
      <c r="D2931" s="146"/>
      <c r="E2931" s="16"/>
      <c r="F2931" s="91"/>
      <c r="G2931" s="16"/>
      <c r="H2931" s="320" t="str">
        <f t="shared" si="33"/>
        <v/>
      </c>
      <c r="I2931" s="16"/>
      <c r="J2931" s="16"/>
      <c r="K2931" s="16"/>
      <c r="L2931" s="16"/>
      <c r="M2931" s="15"/>
      <c r="N2931" s="15"/>
      <c r="O2931" s="16"/>
      <c r="P2931" s="16"/>
      <c r="Q2931" s="16"/>
      <c r="R2931" s="16"/>
      <c r="S2931" s="37" t="str">
        <f>IFERROR(__xludf.DUMMYFUNCTION("if(not(iserror(index(split(C2931, "" ""),2))), index(split(C2931, "" ""),1),"""")"),"")</f>
        <v/>
      </c>
      <c r="T2931" s="315" t="str">
        <f>IFERROR(__xludf.DUMMYFUNCTION("if(S2931="""",C2931,if(not(iserror(index(split(C2931, "" ""),3))), index(split(C2931, "" ""),3),index(split(C2931, "" ""),2)))"),"")</f>
        <v/>
      </c>
      <c r="U2931" s="38" t="b">
        <f t="shared" si="34"/>
        <v>0</v>
      </c>
      <c r="V2931" s="38"/>
      <c r="W2931" s="40"/>
      <c r="X2931" s="40"/>
      <c r="Y2931" s="38"/>
      <c r="Z2931" s="38"/>
      <c r="AA2931" s="38"/>
      <c r="AB2931" s="38"/>
      <c r="AC2931" s="38"/>
      <c r="AD2931" s="38"/>
      <c r="AE2931" s="38"/>
      <c r="AF2931" s="38"/>
      <c r="AG2931" s="38"/>
      <c r="AH2931" s="38"/>
      <c r="AI2931" s="38"/>
      <c r="AJ2931" s="38"/>
      <c r="AK2931" s="38"/>
      <c r="AL2931" s="38"/>
      <c r="AM2931" s="38"/>
      <c r="AN2931" s="38"/>
      <c r="AO2931" s="38"/>
      <c r="AP2931" s="38"/>
      <c r="AQ2931" s="38"/>
      <c r="AR2931" s="38"/>
      <c r="AS2931" s="38"/>
      <c r="AT2931" s="38"/>
      <c r="AU2931" s="38"/>
      <c r="AV2931" s="38"/>
      <c r="AW2931" s="38"/>
      <c r="AX2931" s="38"/>
      <c r="AY2931" s="38"/>
      <c r="AZ2931" s="38"/>
      <c r="BA2931" s="38"/>
      <c r="BB2931" s="38"/>
      <c r="BC2931" s="38"/>
      <c r="BD2931" s="38"/>
      <c r="BE2931" s="38"/>
      <c r="BF2931" s="38"/>
      <c r="BG2931" s="38"/>
      <c r="BH2931" s="38"/>
      <c r="BI2931" s="38"/>
      <c r="BJ2931" s="38"/>
      <c r="BK2931" s="38"/>
      <c r="BL2931" s="38"/>
      <c r="BM2931" s="38"/>
      <c r="BN2931" s="38"/>
      <c r="BO2931" s="38"/>
      <c r="BP2931" s="38"/>
      <c r="BQ2931" s="38"/>
    </row>
    <row r="2932">
      <c r="A2932" s="16"/>
      <c r="B2932" s="16"/>
      <c r="C2932" s="146"/>
      <c r="D2932" s="146"/>
      <c r="E2932" s="16"/>
      <c r="F2932" s="91"/>
      <c r="G2932" s="16"/>
      <c r="H2932" s="320" t="str">
        <f t="shared" si="33"/>
        <v/>
      </c>
      <c r="I2932" s="16"/>
      <c r="J2932" s="16"/>
      <c r="K2932" s="16"/>
      <c r="L2932" s="16"/>
      <c r="M2932" s="15"/>
      <c r="N2932" s="15"/>
      <c r="O2932" s="16"/>
      <c r="P2932" s="16"/>
      <c r="Q2932" s="16"/>
      <c r="R2932" s="16"/>
      <c r="S2932" s="37" t="str">
        <f>IFERROR(__xludf.DUMMYFUNCTION("if(not(iserror(index(split(C2932, "" ""),2))), index(split(C2932, "" ""),1),"""")"),"")</f>
        <v/>
      </c>
      <c r="T2932" s="315" t="str">
        <f>IFERROR(__xludf.DUMMYFUNCTION("if(S2932="""",C2932,if(not(iserror(index(split(C2932, "" ""),3))), index(split(C2932, "" ""),3),index(split(C2932, "" ""),2)))"),"")</f>
        <v/>
      </c>
      <c r="U2932" s="38" t="b">
        <f t="shared" si="34"/>
        <v>0</v>
      </c>
      <c r="V2932" s="38"/>
      <c r="W2932" s="40"/>
      <c r="X2932" s="40"/>
      <c r="Y2932" s="38"/>
      <c r="Z2932" s="38"/>
      <c r="AA2932" s="38"/>
      <c r="AB2932" s="38"/>
      <c r="AC2932" s="38"/>
      <c r="AD2932" s="38"/>
      <c r="AE2932" s="38"/>
      <c r="AF2932" s="38"/>
      <c r="AG2932" s="38"/>
      <c r="AH2932" s="38"/>
      <c r="AI2932" s="38"/>
      <c r="AJ2932" s="38"/>
      <c r="AK2932" s="38"/>
      <c r="AL2932" s="38"/>
      <c r="AM2932" s="38"/>
      <c r="AN2932" s="38"/>
      <c r="AO2932" s="38"/>
      <c r="AP2932" s="38"/>
      <c r="AQ2932" s="38"/>
      <c r="AR2932" s="38"/>
      <c r="AS2932" s="38"/>
      <c r="AT2932" s="38"/>
      <c r="AU2932" s="38"/>
      <c r="AV2932" s="38"/>
      <c r="AW2932" s="38"/>
      <c r="AX2932" s="38"/>
      <c r="AY2932" s="38"/>
      <c r="AZ2932" s="38"/>
      <c r="BA2932" s="38"/>
      <c r="BB2932" s="38"/>
      <c r="BC2932" s="38"/>
      <c r="BD2932" s="38"/>
      <c r="BE2932" s="38"/>
      <c r="BF2932" s="38"/>
      <c r="BG2932" s="38"/>
      <c r="BH2932" s="38"/>
      <c r="BI2932" s="38"/>
      <c r="BJ2932" s="38"/>
      <c r="BK2932" s="38"/>
      <c r="BL2932" s="38"/>
      <c r="BM2932" s="38"/>
      <c r="BN2932" s="38"/>
      <c r="BO2932" s="38"/>
      <c r="BP2932" s="38"/>
      <c r="BQ2932" s="38"/>
    </row>
    <row r="2933">
      <c r="A2933" s="16"/>
      <c r="B2933" s="16"/>
      <c r="C2933" s="146"/>
      <c r="D2933" s="146"/>
      <c r="E2933" s="16"/>
      <c r="F2933" s="91"/>
      <c r="G2933" s="16"/>
      <c r="H2933" s="320" t="str">
        <f t="shared" si="33"/>
        <v/>
      </c>
      <c r="I2933" s="16"/>
      <c r="J2933" s="16"/>
      <c r="K2933" s="16"/>
      <c r="L2933" s="16"/>
      <c r="M2933" s="15"/>
      <c r="N2933" s="15"/>
      <c r="O2933" s="16"/>
      <c r="P2933" s="16"/>
      <c r="Q2933" s="16"/>
      <c r="R2933" s="16"/>
      <c r="S2933" s="37" t="str">
        <f>IFERROR(__xludf.DUMMYFUNCTION("if(not(iserror(index(split(C2933, "" ""),2))), index(split(C2933, "" ""),1),"""")"),"")</f>
        <v/>
      </c>
      <c r="T2933" s="315" t="str">
        <f>IFERROR(__xludf.DUMMYFUNCTION("if(S2933="""",C2933,if(not(iserror(index(split(C2933, "" ""),3))), index(split(C2933, "" ""),3),index(split(C2933, "" ""),2)))"),"")</f>
        <v/>
      </c>
      <c r="U2933" s="38" t="b">
        <f t="shared" si="34"/>
        <v>0</v>
      </c>
      <c r="V2933" s="38"/>
      <c r="W2933" s="40"/>
      <c r="X2933" s="40"/>
      <c r="Y2933" s="38"/>
      <c r="Z2933" s="38"/>
      <c r="AA2933" s="38"/>
      <c r="AB2933" s="38"/>
      <c r="AC2933" s="38"/>
      <c r="AD2933" s="38"/>
      <c r="AE2933" s="38"/>
      <c r="AF2933" s="38"/>
      <c r="AG2933" s="38"/>
      <c r="AH2933" s="38"/>
      <c r="AI2933" s="38"/>
      <c r="AJ2933" s="38"/>
      <c r="AK2933" s="38"/>
      <c r="AL2933" s="38"/>
      <c r="AM2933" s="38"/>
      <c r="AN2933" s="38"/>
      <c r="AO2933" s="38"/>
      <c r="AP2933" s="38"/>
      <c r="AQ2933" s="38"/>
      <c r="AR2933" s="38"/>
      <c r="AS2933" s="38"/>
      <c r="AT2933" s="38"/>
      <c r="AU2933" s="38"/>
      <c r="AV2933" s="38"/>
      <c r="AW2933" s="38"/>
      <c r="AX2933" s="38"/>
      <c r="AY2933" s="38"/>
      <c r="AZ2933" s="38"/>
      <c r="BA2933" s="38"/>
      <c r="BB2933" s="38"/>
      <c r="BC2933" s="38"/>
      <c r="BD2933" s="38"/>
      <c r="BE2933" s="38"/>
      <c r="BF2933" s="38"/>
      <c r="BG2933" s="38"/>
      <c r="BH2933" s="38"/>
      <c r="BI2933" s="38"/>
      <c r="BJ2933" s="38"/>
      <c r="BK2933" s="38"/>
      <c r="BL2933" s="38"/>
      <c r="BM2933" s="38"/>
      <c r="BN2933" s="38"/>
      <c r="BO2933" s="38"/>
      <c r="BP2933" s="38"/>
      <c r="BQ2933" s="38"/>
    </row>
    <row r="2934">
      <c r="A2934" s="16"/>
      <c r="B2934" s="16"/>
      <c r="C2934" s="146"/>
      <c r="D2934" s="146"/>
      <c r="E2934" s="16"/>
      <c r="F2934" s="91"/>
      <c r="G2934" s="16"/>
      <c r="H2934" s="320" t="str">
        <f t="shared" si="33"/>
        <v/>
      </c>
      <c r="I2934" s="16"/>
      <c r="J2934" s="16"/>
      <c r="K2934" s="16"/>
      <c r="L2934" s="16"/>
      <c r="M2934" s="15"/>
      <c r="N2934" s="15"/>
      <c r="O2934" s="16"/>
      <c r="P2934" s="16"/>
      <c r="Q2934" s="16"/>
      <c r="R2934" s="16"/>
      <c r="S2934" s="37" t="str">
        <f>IFERROR(__xludf.DUMMYFUNCTION("if(not(iserror(index(split(C2934, "" ""),2))), index(split(C2934, "" ""),1),"""")"),"")</f>
        <v/>
      </c>
      <c r="T2934" s="315" t="str">
        <f>IFERROR(__xludf.DUMMYFUNCTION("if(S2934="""",C2934,if(not(iserror(index(split(C2934, "" ""),3))), index(split(C2934, "" ""),3),index(split(C2934, "" ""),2)))"),"")</f>
        <v/>
      </c>
      <c r="U2934" s="38" t="b">
        <f t="shared" si="34"/>
        <v>0</v>
      </c>
      <c r="V2934" s="38"/>
      <c r="W2934" s="40"/>
      <c r="X2934" s="40"/>
      <c r="Y2934" s="38"/>
      <c r="Z2934" s="38"/>
      <c r="AA2934" s="38"/>
      <c r="AB2934" s="38"/>
      <c r="AC2934" s="38"/>
      <c r="AD2934" s="38"/>
      <c r="AE2934" s="38"/>
      <c r="AF2934" s="38"/>
      <c r="AG2934" s="38"/>
      <c r="AH2934" s="38"/>
      <c r="AI2934" s="38"/>
      <c r="AJ2934" s="38"/>
      <c r="AK2934" s="38"/>
      <c r="AL2934" s="38"/>
      <c r="AM2934" s="38"/>
      <c r="AN2934" s="38"/>
      <c r="AO2934" s="38"/>
      <c r="AP2934" s="38"/>
      <c r="AQ2934" s="38"/>
      <c r="AR2934" s="38"/>
      <c r="AS2934" s="38"/>
      <c r="AT2934" s="38"/>
      <c r="AU2934" s="38"/>
      <c r="AV2934" s="38"/>
      <c r="AW2934" s="38"/>
      <c r="AX2934" s="38"/>
      <c r="AY2934" s="38"/>
      <c r="AZ2934" s="38"/>
      <c r="BA2934" s="38"/>
      <c r="BB2934" s="38"/>
      <c r="BC2934" s="38"/>
      <c r="BD2934" s="38"/>
      <c r="BE2934" s="38"/>
      <c r="BF2934" s="38"/>
      <c r="BG2934" s="38"/>
      <c r="BH2934" s="38"/>
      <c r="BI2934" s="38"/>
      <c r="BJ2934" s="38"/>
      <c r="BK2934" s="38"/>
      <c r="BL2934" s="38"/>
      <c r="BM2934" s="38"/>
      <c r="BN2934" s="38"/>
      <c r="BO2934" s="38"/>
      <c r="BP2934" s="38"/>
      <c r="BQ2934" s="38"/>
    </row>
    <row r="2935">
      <c r="A2935" s="16"/>
      <c r="B2935" s="16"/>
      <c r="C2935" s="146"/>
      <c r="D2935" s="146"/>
      <c r="E2935" s="16"/>
      <c r="F2935" s="91"/>
      <c r="G2935" s="16"/>
      <c r="H2935" s="320" t="str">
        <f t="shared" si="33"/>
        <v/>
      </c>
      <c r="I2935" s="16"/>
      <c r="J2935" s="16"/>
      <c r="K2935" s="16"/>
      <c r="L2935" s="16"/>
      <c r="M2935" s="15"/>
      <c r="N2935" s="15"/>
      <c r="O2935" s="16"/>
      <c r="P2935" s="16"/>
      <c r="Q2935" s="16"/>
      <c r="R2935" s="16"/>
      <c r="S2935" s="37" t="str">
        <f>IFERROR(__xludf.DUMMYFUNCTION("if(not(iserror(index(split(C2935, "" ""),2))), index(split(C2935, "" ""),1),"""")"),"")</f>
        <v/>
      </c>
      <c r="T2935" s="315" t="str">
        <f>IFERROR(__xludf.DUMMYFUNCTION("if(S2935="""",C2935,if(not(iserror(index(split(C2935, "" ""),3))), index(split(C2935, "" ""),3),index(split(C2935, "" ""),2)))"),"")</f>
        <v/>
      </c>
      <c r="U2935" s="38" t="b">
        <f t="shared" si="34"/>
        <v>0</v>
      </c>
      <c r="V2935" s="38"/>
      <c r="W2935" s="40"/>
      <c r="X2935" s="40"/>
      <c r="Y2935" s="38"/>
      <c r="Z2935" s="38"/>
      <c r="AA2935" s="38"/>
      <c r="AB2935" s="38"/>
      <c r="AC2935" s="38"/>
      <c r="AD2935" s="38"/>
      <c r="AE2935" s="38"/>
      <c r="AF2935" s="38"/>
      <c r="AG2935" s="38"/>
      <c r="AH2935" s="38"/>
      <c r="AI2935" s="38"/>
      <c r="AJ2935" s="38"/>
      <c r="AK2935" s="38"/>
      <c r="AL2935" s="38"/>
      <c r="AM2935" s="38"/>
      <c r="AN2935" s="38"/>
      <c r="AO2935" s="38"/>
      <c r="AP2935" s="38"/>
      <c r="AQ2935" s="38"/>
      <c r="AR2935" s="38"/>
      <c r="AS2935" s="38"/>
      <c r="AT2935" s="38"/>
      <c r="AU2935" s="38"/>
      <c r="AV2935" s="38"/>
      <c r="AW2935" s="38"/>
      <c r="AX2935" s="38"/>
      <c r="AY2935" s="38"/>
      <c r="AZ2935" s="38"/>
      <c r="BA2935" s="38"/>
      <c r="BB2935" s="38"/>
      <c r="BC2935" s="38"/>
      <c r="BD2935" s="38"/>
      <c r="BE2935" s="38"/>
      <c r="BF2935" s="38"/>
      <c r="BG2935" s="38"/>
      <c r="BH2935" s="38"/>
      <c r="BI2935" s="38"/>
      <c r="BJ2935" s="38"/>
      <c r="BK2935" s="38"/>
      <c r="BL2935" s="38"/>
      <c r="BM2935" s="38"/>
      <c r="BN2935" s="38"/>
      <c r="BO2935" s="38"/>
      <c r="BP2935" s="38"/>
      <c r="BQ2935" s="38"/>
    </row>
    <row r="2936">
      <c r="A2936" s="16"/>
      <c r="B2936" s="16"/>
      <c r="C2936" s="146"/>
      <c r="D2936" s="146"/>
      <c r="E2936" s="16"/>
      <c r="F2936" s="91"/>
      <c r="G2936" s="16"/>
      <c r="H2936" s="320" t="str">
        <f t="shared" si="33"/>
        <v/>
      </c>
      <c r="I2936" s="16"/>
      <c r="J2936" s="16"/>
      <c r="K2936" s="16"/>
      <c r="L2936" s="16"/>
      <c r="M2936" s="15"/>
      <c r="N2936" s="15"/>
      <c r="O2936" s="16"/>
      <c r="P2936" s="16"/>
      <c r="Q2936" s="16"/>
      <c r="R2936" s="16"/>
      <c r="S2936" s="37" t="str">
        <f>IFERROR(__xludf.DUMMYFUNCTION("if(not(iserror(index(split(C2936, "" ""),2))), index(split(C2936, "" ""),1),"""")"),"")</f>
        <v/>
      </c>
      <c r="T2936" s="315" t="str">
        <f>IFERROR(__xludf.DUMMYFUNCTION("if(S2936="""",C2936,if(not(iserror(index(split(C2936, "" ""),3))), index(split(C2936, "" ""),3),index(split(C2936, "" ""),2)))"),"")</f>
        <v/>
      </c>
      <c r="U2936" s="38" t="b">
        <f t="shared" si="34"/>
        <v>0</v>
      </c>
      <c r="V2936" s="38"/>
      <c r="W2936" s="40"/>
      <c r="X2936" s="40"/>
      <c r="Y2936" s="38"/>
      <c r="Z2936" s="38"/>
      <c r="AA2936" s="38"/>
      <c r="AB2936" s="38"/>
      <c r="AC2936" s="38"/>
      <c r="AD2936" s="38"/>
      <c r="AE2936" s="38"/>
      <c r="AF2936" s="38"/>
      <c r="AG2936" s="38"/>
      <c r="AH2936" s="38"/>
      <c r="AI2936" s="38"/>
      <c r="AJ2936" s="38"/>
      <c r="AK2936" s="38"/>
      <c r="AL2936" s="38"/>
      <c r="AM2936" s="38"/>
      <c r="AN2936" s="38"/>
      <c r="AO2936" s="38"/>
      <c r="AP2936" s="38"/>
      <c r="AQ2936" s="38"/>
      <c r="AR2936" s="38"/>
      <c r="AS2936" s="38"/>
      <c r="AT2936" s="38"/>
      <c r="AU2936" s="38"/>
      <c r="AV2936" s="38"/>
      <c r="AW2936" s="38"/>
      <c r="AX2936" s="38"/>
      <c r="AY2936" s="38"/>
      <c r="AZ2936" s="38"/>
      <c r="BA2936" s="38"/>
      <c r="BB2936" s="38"/>
      <c r="BC2936" s="38"/>
      <c r="BD2936" s="38"/>
      <c r="BE2936" s="38"/>
      <c r="BF2936" s="38"/>
      <c r="BG2936" s="38"/>
      <c r="BH2936" s="38"/>
      <c r="BI2936" s="38"/>
      <c r="BJ2936" s="38"/>
      <c r="BK2936" s="38"/>
      <c r="BL2936" s="38"/>
      <c r="BM2936" s="38"/>
      <c r="BN2936" s="38"/>
      <c r="BO2936" s="38"/>
      <c r="BP2936" s="38"/>
      <c r="BQ2936" s="38"/>
    </row>
    <row r="2937">
      <c r="A2937" s="16"/>
      <c r="B2937" s="16"/>
      <c r="C2937" s="146"/>
      <c r="D2937" s="146"/>
      <c r="E2937" s="16"/>
      <c r="F2937" s="91"/>
      <c r="G2937" s="16"/>
      <c r="H2937" s="320" t="str">
        <f t="shared" si="33"/>
        <v/>
      </c>
      <c r="I2937" s="16"/>
      <c r="J2937" s="16"/>
      <c r="K2937" s="16"/>
      <c r="L2937" s="16"/>
      <c r="M2937" s="15"/>
      <c r="N2937" s="15"/>
      <c r="O2937" s="16"/>
      <c r="P2937" s="16"/>
      <c r="Q2937" s="16"/>
      <c r="R2937" s="16"/>
      <c r="S2937" s="37" t="str">
        <f>IFERROR(__xludf.DUMMYFUNCTION("if(not(iserror(index(split(C2937, "" ""),2))), index(split(C2937, "" ""),1),"""")"),"")</f>
        <v/>
      </c>
      <c r="T2937" s="315" t="str">
        <f>IFERROR(__xludf.DUMMYFUNCTION("if(S2937="""",C2937,if(not(iserror(index(split(C2937, "" ""),3))), index(split(C2937, "" ""),3),index(split(C2937, "" ""),2)))"),"")</f>
        <v/>
      </c>
      <c r="U2937" s="38" t="b">
        <f t="shared" si="34"/>
        <v>0</v>
      </c>
      <c r="V2937" s="38"/>
      <c r="W2937" s="40"/>
      <c r="X2937" s="40"/>
      <c r="Y2937" s="38"/>
      <c r="Z2937" s="38"/>
      <c r="AA2937" s="38"/>
      <c r="AB2937" s="38"/>
      <c r="AC2937" s="38"/>
      <c r="AD2937" s="38"/>
      <c r="AE2937" s="38"/>
      <c r="AF2937" s="38"/>
      <c r="AG2937" s="38"/>
      <c r="AH2937" s="38"/>
      <c r="AI2937" s="38"/>
      <c r="AJ2937" s="38"/>
      <c r="AK2937" s="38"/>
      <c r="AL2937" s="38"/>
      <c r="AM2937" s="38"/>
      <c r="AN2937" s="38"/>
      <c r="AO2937" s="38"/>
      <c r="AP2937" s="38"/>
      <c r="AQ2937" s="38"/>
      <c r="AR2937" s="38"/>
      <c r="AS2937" s="38"/>
      <c r="AT2937" s="38"/>
      <c r="AU2937" s="38"/>
      <c r="AV2937" s="38"/>
      <c r="AW2937" s="38"/>
      <c r="AX2937" s="38"/>
      <c r="AY2937" s="38"/>
      <c r="AZ2937" s="38"/>
      <c r="BA2937" s="38"/>
      <c r="BB2937" s="38"/>
      <c r="BC2937" s="38"/>
      <c r="BD2937" s="38"/>
      <c r="BE2937" s="38"/>
      <c r="BF2937" s="38"/>
      <c r="BG2937" s="38"/>
      <c r="BH2937" s="38"/>
      <c r="BI2937" s="38"/>
      <c r="BJ2937" s="38"/>
      <c r="BK2937" s="38"/>
      <c r="BL2937" s="38"/>
      <c r="BM2937" s="38"/>
      <c r="BN2937" s="38"/>
      <c r="BO2937" s="38"/>
      <c r="BP2937" s="38"/>
      <c r="BQ2937" s="38"/>
    </row>
    <row r="2938">
      <c r="A2938" s="16"/>
      <c r="B2938" s="16"/>
      <c r="C2938" s="146"/>
      <c r="D2938" s="146"/>
      <c r="E2938" s="16"/>
      <c r="F2938" s="91"/>
      <c r="G2938" s="16"/>
      <c r="H2938" s="320" t="str">
        <f t="shared" si="33"/>
        <v/>
      </c>
      <c r="I2938" s="16"/>
      <c r="J2938" s="16"/>
      <c r="K2938" s="16"/>
      <c r="L2938" s="16"/>
      <c r="M2938" s="15"/>
      <c r="N2938" s="15"/>
      <c r="O2938" s="16"/>
      <c r="P2938" s="16"/>
      <c r="Q2938" s="16"/>
      <c r="R2938" s="16"/>
      <c r="S2938" s="37" t="str">
        <f>IFERROR(__xludf.DUMMYFUNCTION("if(not(iserror(index(split(C2938, "" ""),2))), index(split(C2938, "" ""),1),"""")"),"")</f>
        <v/>
      </c>
      <c r="T2938" s="315" t="str">
        <f>IFERROR(__xludf.DUMMYFUNCTION("if(S2938="""",C2938,if(not(iserror(index(split(C2938, "" ""),3))), index(split(C2938, "" ""),3),index(split(C2938, "" ""),2)))"),"")</f>
        <v/>
      </c>
      <c r="U2938" s="38" t="b">
        <f t="shared" si="34"/>
        <v>0</v>
      </c>
      <c r="V2938" s="38"/>
      <c r="W2938" s="40"/>
      <c r="X2938" s="40"/>
      <c r="Y2938" s="38"/>
      <c r="Z2938" s="38"/>
      <c r="AA2938" s="38"/>
      <c r="AB2938" s="38"/>
      <c r="AC2938" s="38"/>
      <c r="AD2938" s="38"/>
      <c r="AE2938" s="38"/>
      <c r="AF2938" s="38"/>
      <c r="AG2938" s="38"/>
      <c r="AH2938" s="38"/>
      <c r="AI2938" s="38"/>
      <c r="AJ2938" s="38"/>
      <c r="AK2938" s="38"/>
      <c r="AL2938" s="38"/>
      <c r="AM2938" s="38"/>
      <c r="AN2938" s="38"/>
      <c r="AO2938" s="38"/>
      <c r="AP2938" s="38"/>
      <c r="AQ2938" s="38"/>
      <c r="AR2938" s="38"/>
      <c r="AS2938" s="38"/>
      <c r="AT2938" s="38"/>
      <c r="AU2938" s="38"/>
      <c r="AV2938" s="38"/>
      <c r="AW2938" s="38"/>
      <c r="AX2938" s="38"/>
      <c r="AY2938" s="38"/>
      <c r="AZ2938" s="38"/>
      <c r="BA2938" s="38"/>
      <c r="BB2938" s="38"/>
      <c r="BC2938" s="38"/>
      <c r="BD2938" s="38"/>
      <c r="BE2938" s="38"/>
      <c r="BF2938" s="38"/>
      <c r="BG2938" s="38"/>
      <c r="BH2938" s="38"/>
      <c r="BI2938" s="38"/>
      <c r="BJ2938" s="38"/>
      <c r="BK2938" s="38"/>
      <c r="BL2938" s="38"/>
      <c r="BM2938" s="38"/>
      <c r="BN2938" s="38"/>
      <c r="BO2938" s="38"/>
      <c r="BP2938" s="38"/>
      <c r="BQ2938" s="38"/>
    </row>
    <row r="2939">
      <c r="A2939" s="16"/>
      <c r="B2939" s="16"/>
      <c r="C2939" s="146"/>
      <c r="D2939" s="146"/>
      <c r="E2939" s="16"/>
      <c r="F2939" s="91"/>
      <c r="G2939" s="16"/>
      <c r="H2939" s="320" t="str">
        <f t="shared" si="33"/>
        <v/>
      </c>
      <c r="I2939" s="16"/>
      <c r="J2939" s="16"/>
      <c r="K2939" s="16"/>
      <c r="L2939" s="16"/>
      <c r="M2939" s="15"/>
      <c r="N2939" s="15"/>
      <c r="O2939" s="16"/>
      <c r="P2939" s="16"/>
      <c r="Q2939" s="16"/>
      <c r="R2939" s="16"/>
      <c r="S2939" s="37" t="str">
        <f>IFERROR(__xludf.DUMMYFUNCTION("if(not(iserror(index(split(C2939, "" ""),2))), index(split(C2939, "" ""),1),"""")"),"")</f>
        <v/>
      </c>
      <c r="T2939" s="315" t="str">
        <f>IFERROR(__xludf.DUMMYFUNCTION("if(S2939="""",C2939,if(not(iserror(index(split(C2939, "" ""),3))), index(split(C2939, "" ""),3),index(split(C2939, "" ""),2)))"),"")</f>
        <v/>
      </c>
      <c r="U2939" s="38" t="b">
        <f t="shared" si="34"/>
        <v>0</v>
      </c>
      <c r="V2939" s="38"/>
      <c r="W2939" s="40"/>
      <c r="X2939" s="40"/>
      <c r="Y2939" s="38"/>
      <c r="Z2939" s="38"/>
      <c r="AA2939" s="38"/>
      <c r="AB2939" s="38"/>
      <c r="AC2939" s="38"/>
      <c r="AD2939" s="38"/>
      <c r="AE2939" s="38"/>
      <c r="AF2939" s="38"/>
      <c r="AG2939" s="38"/>
      <c r="AH2939" s="38"/>
      <c r="AI2939" s="38"/>
      <c r="AJ2939" s="38"/>
      <c r="AK2939" s="38"/>
      <c r="AL2939" s="38"/>
      <c r="AM2939" s="38"/>
      <c r="AN2939" s="38"/>
      <c r="AO2939" s="38"/>
      <c r="AP2939" s="38"/>
      <c r="AQ2939" s="38"/>
      <c r="AR2939" s="38"/>
      <c r="AS2939" s="38"/>
      <c r="AT2939" s="38"/>
      <c r="AU2939" s="38"/>
      <c r="AV2939" s="38"/>
      <c r="AW2939" s="38"/>
      <c r="AX2939" s="38"/>
      <c r="AY2939" s="38"/>
      <c r="AZ2939" s="38"/>
      <c r="BA2939" s="38"/>
      <c r="BB2939" s="38"/>
      <c r="BC2939" s="38"/>
      <c r="BD2939" s="38"/>
      <c r="BE2939" s="38"/>
      <c r="BF2939" s="38"/>
      <c r="BG2939" s="38"/>
      <c r="BH2939" s="38"/>
      <c r="BI2939" s="38"/>
      <c r="BJ2939" s="38"/>
      <c r="BK2939" s="38"/>
      <c r="BL2939" s="38"/>
      <c r="BM2939" s="38"/>
      <c r="BN2939" s="38"/>
      <c r="BO2939" s="38"/>
      <c r="BP2939" s="38"/>
      <c r="BQ2939" s="38"/>
    </row>
    <row r="2940">
      <c r="A2940" s="16"/>
      <c r="B2940" s="16"/>
      <c r="C2940" s="146"/>
      <c r="D2940" s="146"/>
      <c r="E2940" s="16"/>
      <c r="F2940" s="91"/>
      <c r="G2940" s="16"/>
      <c r="H2940" s="320" t="str">
        <f t="shared" si="33"/>
        <v/>
      </c>
      <c r="I2940" s="16"/>
      <c r="J2940" s="16"/>
      <c r="K2940" s="16"/>
      <c r="L2940" s="16"/>
      <c r="M2940" s="15"/>
      <c r="N2940" s="15"/>
      <c r="O2940" s="16"/>
      <c r="P2940" s="16"/>
      <c r="Q2940" s="16"/>
      <c r="R2940" s="16"/>
      <c r="S2940" s="37" t="str">
        <f>IFERROR(__xludf.DUMMYFUNCTION("if(not(iserror(index(split(C2940, "" ""),2))), index(split(C2940, "" ""),1),"""")"),"")</f>
        <v/>
      </c>
      <c r="T2940" s="315" t="str">
        <f>IFERROR(__xludf.DUMMYFUNCTION("if(S2940="""",C2940,if(not(iserror(index(split(C2940, "" ""),3))), index(split(C2940, "" ""),3),index(split(C2940, "" ""),2)))"),"")</f>
        <v/>
      </c>
      <c r="U2940" s="38" t="b">
        <f t="shared" si="34"/>
        <v>0</v>
      </c>
      <c r="V2940" s="38"/>
      <c r="W2940" s="40"/>
      <c r="X2940" s="40"/>
      <c r="Y2940" s="38"/>
      <c r="Z2940" s="38"/>
      <c r="AA2940" s="38"/>
      <c r="AB2940" s="38"/>
      <c r="AC2940" s="38"/>
      <c r="AD2940" s="38"/>
      <c r="AE2940" s="38"/>
      <c r="AF2940" s="38"/>
      <c r="AG2940" s="38"/>
      <c r="AH2940" s="38"/>
      <c r="AI2940" s="38"/>
      <c r="AJ2940" s="38"/>
      <c r="AK2940" s="38"/>
      <c r="AL2940" s="38"/>
      <c r="AM2940" s="38"/>
      <c r="AN2940" s="38"/>
      <c r="AO2940" s="38"/>
      <c r="AP2940" s="38"/>
      <c r="AQ2940" s="38"/>
      <c r="AR2940" s="38"/>
      <c r="AS2940" s="38"/>
      <c r="AT2940" s="38"/>
      <c r="AU2940" s="38"/>
      <c r="AV2940" s="38"/>
      <c r="AW2940" s="38"/>
      <c r="AX2940" s="38"/>
      <c r="AY2940" s="38"/>
      <c r="AZ2940" s="38"/>
      <c r="BA2940" s="38"/>
      <c r="BB2940" s="38"/>
      <c r="BC2940" s="38"/>
      <c r="BD2940" s="38"/>
      <c r="BE2940" s="38"/>
      <c r="BF2940" s="38"/>
      <c r="BG2940" s="38"/>
      <c r="BH2940" s="38"/>
      <c r="BI2940" s="38"/>
      <c r="BJ2940" s="38"/>
      <c r="BK2940" s="38"/>
      <c r="BL2940" s="38"/>
      <c r="BM2940" s="38"/>
      <c r="BN2940" s="38"/>
      <c r="BO2940" s="38"/>
      <c r="BP2940" s="38"/>
      <c r="BQ2940" s="38"/>
    </row>
    <row r="2941">
      <c r="A2941" s="16"/>
      <c r="B2941" s="16"/>
      <c r="C2941" s="146"/>
      <c r="D2941" s="146"/>
      <c r="E2941" s="16"/>
      <c r="F2941" s="91"/>
      <c r="G2941" s="16"/>
      <c r="H2941" s="320" t="str">
        <f t="shared" si="33"/>
        <v/>
      </c>
      <c r="I2941" s="16"/>
      <c r="J2941" s="16"/>
      <c r="K2941" s="16"/>
      <c r="L2941" s="16"/>
      <c r="M2941" s="15"/>
      <c r="N2941" s="15"/>
      <c r="O2941" s="16"/>
      <c r="P2941" s="16"/>
      <c r="Q2941" s="16"/>
      <c r="R2941" s="16"/>
      <c r="S2941" s="37" t="str">
        <f>IFERROR(__xludf.DUMMYFUNCTION("if(not(iserror(index(split(C2941, "" ""),2))), index(split(C2941, "" ""),1),"""")"),"")</f>
        <v/>
      </c>
      <c r="T2941" s="315" t="str">
        <f>IFERROR(__xludf.DUMMYFUNCTION("if(S2941="""",C2941,if(not(iserror(index(split(C2941, "" ""),3))), index(split(C2941, "" ""),3),index(split(C2941, "" ""),2)))"),"")</f>
        <v/>
      </c>
      <c r="U2941" s="38" t="b">
        <f t="shared" si="34"/>
        <v>0</v>
      </c>
      <c r="V2941" s="38"/>
      <c r="W2941" s="40"/>
      <c r="X2941" s="40"/>
      <c r="Y2941" s="38"/>
      <c r="Z2941" s="38"/>
      <c r="AA2941" s="38"/>
      <c r="AB2941" s="38"/>
      <c r="AC2941" s="38"/>
      <c r="AD2941" s="38"/>
      <c r="AE2941" s="38"/>
      <c r="AF2941" s="38"/>
      <c r="AG2941" s="38"/>
      <c r="AH2941" s="38"/>
      <c r="AI2941" s="38"/>
      <c r="AJ2941" s="38"/>
      <c r="AK2941" s="38"/>
      <c r="AL2941" s="38"/>
      <c r="AM2941" s="38"/>
      <c r="AN2941" s="38"/>
      <c r="AO2941" s="38"/>
      <c r="AP2941" s="38"/>
      <c r="AQ2941" s="38"/>
      <c r="AR2941" s="38"/>
      <c r="AS2941" s="38"/>
      <c r="AT2941" s="38"/>
      <c r="AU2941" s="38"/>
      <c r="AV2941" s="38"/>
      <c r="AW2941" s="38"/>
      <c r="AX2941" s="38"/>
      <c r="AY2941" s="38"/>
      <c r="AZ2941" s="38"/>
      <c r="BA2941" s="38"/>
      <c r="BB2941" s="38"/>
      <c r="BC2941" s="38"/>
      <c r="BD2941" s="38"/>
      <c r="BE2941" s="38"/>
      <c r="BF2941" s="38"/>
      <c r="BG2941" s="38"/>
      <c r="BH2941" s="38"/>
      <c r="BI2941" s="38"/>
      <c r="BJ2941" s="38"/>
      <c r="BK2941" s="38"/>
      <c r="BL2941" s="38"/>
      <c r="BM2941" s="38"/>
      <c r="BN2941" s="38"/>
      <c r="BO2941" s="38"/>
      <c r="BP2941" s="38"/>
      <c r="BQ2941" s="38"/>
    </row>
    <row r="2942">
      <c r="A2942" s="16"/>
      <c r="B2942" s="16"/>
      <c r="C2942" s="146"/>
      <c r="D2942" s="146"/>
      <c r="E2942" s="16"/>
      <c r="F2942" s="91"/>
      <c r="G2942" s="16"/>
      <c r="H2942" s="320" t="str">
        <f t="shared" si="33"/>
        <v/>
      </c>
      <c r="I2942" s="16"/>
      <c r="J2942" s="16"/>
      <c r="K2942" s="16"/>
      <c r="L2942" s="16"/>
      <c r="M2942" s="15"/>
      <c r="N2942" s="15"/>
      <c r="O2942" s="16"/>
      <c r="P2942" s="16"/>
      <c r="Q2942" s="16"/>
      <c r="R2942" s="16"/>
      <c r="S2942" s="37" t="str">
        <f>IFERROR(__xludf.DUMMYFUNCTION("if(not(iserror(index(split(C2942, "" ""),2))), index(split(C2942, "" ""),1),"""")"),"")</f>
        <v/>
      </c>
      <c r="T2942" s="315" t="str">
        <f>IFERROR(__xludf.DUMMYFUNCTION("if(S2942="""",C2942,if(not(iserror(index(split(C2942, "" ""),3))), index(split(C2942, "" ""),3),index(split(C2942, "" ""),2)))"),"")</f>
        <v/>
      </c>
      <c r="U2942" s="38" t="b">
        <f t="shared" si="34"/>
        <v>0</v>
      </c>
      <c r="V2942" s="38"/>
      <c r="W2942" s="40"/>
      <c r="X2942" s="40"/>
      <c r="Y2942" s="38"/>
      <c r="Z2942" s="38"/>
      <c r="AA2942" s="38"/>
      <c r="AB2942" s="38"/>
      <c r="AC2942" s="38"/>
      <c r="AD2942" s="38"/>
      <c r="AE2942" s="38"/>
      <c r="AF2942" s="38"/>
      <c r="AG2942" s="38"/>
      <c r="AH2942" s="38"/>
      <c r="AI2942" s="38"/>
      <c r="AJ2942" s="38"/>
      <c r="AK2942" s="38"/>
      <c r="AL2942" s="38"/>
      <c r="AM2942" s="38"/>
      <c r="AN2942" s="38"/>
      <c r="AO2942" s="38"/>
      <c r="AP2942" s="38"/>
      <c r="AQ2942" s="38"/>
      <c r="AR2942" s="38"/>
      <c r="AS2942" s="38"/>
      <c r="AT2942" s="38"/>
      <c r="AU2942" s="38"/>
      <c r="AV2942" s="38"/>
      <c r="AW2942" s="38"/>
      <c r="AX2942" s="38"/>
      <c r="AY2942" s="38"/>
      <c r="AZ2942" s="38"/>
      <c r="BA2942" s="38"/>
      <c r="BB2942" s="38"/>
      <c r="BC2942" s="38"/>
      <c r="BD2942" s="38"/>
      <c r="BE2942" s="38"/>
      <c r="BF2942" s="38"/>
      <c r="BG2942" s="38"/>
      <c r="BH2942" s="38"/>
      <c r="BI2942" s="38"/>
      <c r="BJ2942" s="38"/>
      <c r="BK2942" s="38"/>
      <c r="BL2942" s="38"/>
      <c r="BM2942" s="38"/>
      <c r="BN2942" s="38"/>
      <c r="BO2942" s="38"/>
      <c r="BP2942" s="38"/>
      <c r="BQ2942" s="38"/>
    </row>
    <row r="2943">
      <c r="A2943" s="16"/>
      <c r="B2943" s="16"/>
      <c r="C2943" s="146"/>
      <c r="D2943" s="146"/>
      <c r="E2943" s="16"/>
      <c r="F2943" s="91"/>
      <c r="G2943" s="16"/>
      <c r="H2943" s="320" t="str">
        <f t="shared" si="33"/>
        <v/>
      </c>
      <c r="I2943" s="16"/>
      <c r="J2943" s="16"/>
      <c r="K2943" s="16"/>
      <c r="L2943" s="16"/>
      <c r="M2943" s="15"/>
      <c r="N2943" s="15"/>
      <c r="O2943" s="16"/>
      <c r="P2943" s="16"/>
      <c r="Q2943" s="16"/>
      <c r="R2943" s="16"/>
      <c r="S2943" s="37" t="str">
        <f>IFERROR(__xludf.DUMMYFUNCTION("if(not(iserror(index(split(C2943, "" ""),2))), index(split(C2943, "" ""),1),"""")"),"")</f>
        <v/>
      </c>
      <c r="T2943" s="315" t="str">
        <f>IFERROR(__xludf.DUMMYFUNCTION("if(S2943="""",C2943,if(not(iserror(index(split(C2943, "" ""),3))), index(split(C2943, "" ""),3),index(split(C2943, "" ""),2)))"),"")</f>
        <v/>
      </c>
      <c r="U2943" s="38" t="b">
        <f t="shared" si="34"/>
        <v>0</v>
      </c>
      <c r="V2943" s="38"/>
      <c r="W2943" s="40"/>
      <c r="X2943" s="40"/>
      <c r="Y2943" s="38"/>
      <c r="Z2943" s="38"/>
      <c r="AA2943" s="38"/>
      <c r="AB2943" s="38"/>
      <c r="AC2943" s="38"/>
      <c r="AD2943" s="38"/>
      <c r="AE2943" s="38"/>
      <c r="AF2943" s="38"/>
      <c r="AG2943" s="38"/>
      <c r="AH2943" s="38"/>
      <c r="AI2943" s="38"/>
      <c r="AJ2943" s="38"/>
      <c r="AK2943" s="38"/>
      <c r="AL2943" s="38"/>
      <c r="AM2943" s="38"/>
      <c r="AN2943" s="38"/>
      <c r="AO2943" s="38"/>
      <c r="AP2943" s="38"/>
      <c r="AQ2943" s="38"/>
      <c r="AR2943" s="38"/>
      <c r="AS2943" s="38"/>
      <c r="AT2943" s="38"/>
      <c r="AU2943" s="38"/>
      <c r="AV2943" s="38"/>
      <c r="AW2943" s="38"/>
      <c r="AX2943" s="38"/>
      <c r="AY2943" s="38"/>
      <c r="AZ2943" s="38"/>
      <c r="BA2943" s="38"/>
      <c r="BB2943" s="38"/>
      <c r="BC2943" s="38"/>
      <c r="BD2943" s="38"/>
      <c r="BE2943" s="38"/>
      <c r="BF2943" s="38"/>
      <c r="BG2943" s="38"/>
      <c r="BH2943" s="38"/>
      <c r="BI2943" s="38"/>
      <c r="BJ2943" s="38"/>
      <c r="BK2943" s="38"/>
      <c r="BL2943" s="38"/>
      <c r="BM2943" s="38"/>
      <c r="BN2943" s="38"/>
      <c r="BO2943" s="38"/>
      <c r="BP2943" s="38"/>
      <c r="BQ2943" s="38"/>
    </row>
    <row r="2944">
      <c r="A2944" s="16"/>
      <c r="B2944" s="16"/>
      <c r="C2944" s="146"/>
      <c r="D2944" s="146"/>
      <c r="E2944" s="16"/>
      <c r="F2944" s="91"/>
      <c r="G2944" s="16"/>
      <c r="H2944" s="320" t="str">
        <f t="shared" si="33"/>
        <v/>
      </c>
      <c r="I2944" s="16"/>
      <c r="J2944" s="16"/>
      <c r="K2944" s="16"/>
      <c r="L2944" s="16"/>
      <c r="M2944" s="15"/>
      <c r="N2944" s="15"/>
      <c r="O2944" s="16"/>
      <c r="P2944" s="16"/>
      <c r="Q2944" s="16"/>
      <c r="R2944" s="16"/>
      <c r="S2944" s="37" t="str">
        <f>IFERROR(__xludf.DUMMYFUNCTION("if(not(iserror(index(split(C2944, "" ""),2))), index(split(C2944, "" ""),1),"""")"),"")</f>
        <v/>
      </c>
      <c r="T2944" s="315" t="str">
        <f>IFERROR(__xludf.DUMMYFUNCTION("if(S2944="""",C2944,if(not(iserror(index(split(C2944, "" ""),3))), index(split(C2944, "" ""),3),index(split(C2944, "" ""),2)))"),"")</f>
        <v/>
      </c>
      <c r="U2944" s="38" t="b">
        <f t="shared" si="34"/>
        <v>0</v>
      </c>
      <c r="V2944" s="38"/>
      <c r="W2944" s="40"/>
      <c r="X2944" s="40"/>
      <c r="Y2944" s="38"/>
      <c r="Z2944" s="38"/>
      <c r="AA2944" s="38"/>
      <c r="AB2944" s="38"/>
      <c r="AC2944" s="38"/>
      <c r="AD2944" s="38"/>
      <c r="AE2944" s="38"/>
      <c r="AF2944" s="38"/>
      <c r="AG2944" s="38"/>
      <c r="AH2944" s="38"/>
      <c r="AI2944" s="38"/>
      <c r="AJ2944" s="38"/>
      <c r="AK2944" s="38"/>
      <c r="AL2944" s="38"/>
      <c r="AM2944" s="38"/>
      <c r="AN2944" s="38"/>
      <c r="AO2944" s="38"/>
      <c r="AP2944" s="38"/>
      <c r="AQ2944" s="38"/>
      <c r="AR2944" s="38"/>
      <c r="AS2944" s="38"/>
      <c r="AT2944" s="38"/>
      <c r="AU2944" s="38"/>
      <c r="AV2944" s="38"/>
      <c r="AW2944" s="38"/>
      <c r="AX2944" s="38"/>
      <c r="AY2944" s="38"/>
      <c r="AZ2944" s="38"/>
      <c r="BA2944" s="38"/>
      <c r="BB2944" s="38"/>
      <c r="BC2944" s="38"/>
      <c r="BD2944" s="38"/>
      <c r="BE2944" s="38"/>
      <c r="BF2944" s="38"/>
      <c r="BG2944" s="38"/>
      <c r="BH2944" s="38"/>
      <c r="BI2944" s="38"/>
      <c r="BJ2944" s="38"/>
      <c r="BK2944" s="38"/>
      <c r="BL2944" s="38"/>
      <c r="BM2944" s="38"/>
      <c r="BN2944" s="38"/>
      <c r="BO2944" s="38"/>
      <c r="BP2944" s="38"/>
      <c r="BQ2944" s="38"/>
    </row>
    <row r="2945">
      <c r="A2945" s="16"/>
      <c r="B2945" s="16"/>
      <c r="C2945" s="146"/>
      <c r="D2945" s="146"/>
      <c r="E2945" s="16"/>
      <c r="F2945" s="91"/>
      <c r="G2945" s="16"/>
      <c r="H2945" s="320" t="str">
        <f t="shared" si="33"/>
        <v/>
      </c>
      <c r="I2945" s="16"/>
      <c r="J2945" s="16"/>
      <c r="K2945" s="16"/>
      <c r="L2945" s="16"/>
      <c r="M2945" s="15"/>
      <c r="N2945" s="15"/>
      <c r="O2945" s="16"/>
      <c r="P2945" s="16"/>
      <c r="Q2945" s="16"/>
      <c r="R2945" s="16"/>
      <c r="S2945" s="37" t="str">
        <f>IFERROR(__xludf.DUMMYFUNCTION("if(not(iserror(index(split(C2945, "" ""),2))), index(split(C2945, "" ""),1),"""")"),"")</f>
        <v/>
      </c>
      <c r="T2945" s="315" t="str">
        <f>IFERROR(__xludf.DUMMYFUNCTION("if(S2945="""",C2945,if(not(iserror(index(split(C2945, "" ""),3))), index(split(C2945, "" ""),3),index(split(C2945, "" ""),2)))"),"")</f>
        <v/>
      </c>
      <c r="U2945" s="38" t="b">
        <f t="shared" si="34"/>
        <v>0</v>
      </c>
      <c r="V2945" s="38"/>
      <c r="W2945" s="40"/>
      <c r="X2945" s="40"/>
      <c r="Y2945" s="38"/>
      <c r="Z2945" s="38"/>
      <c r="AA2945" s="38"/>
      <c r="AB2945" s="38"/>
      <c r="AC2945" s="38"/>
      <c r="AD2945" s="38"/>
      <c r="AE2945" s="38"/>
      <c r="AF2945" s="38"/>
      <c r="AG2945" s="38"/>
      <c r="AH2945" s="38"/>
      <c r="AI2945" s="38"/>
      <c r="AJ2945" s="38"/>
      <c r="AK2945" s="38"/>
      <c r="AL2945" s="38"/>
      <c r="AM2945" s="38"/>
      <c r="AN2945" s="38"/>
      <c r="AO2945" s="38"/>
      <c r="AP2945" s="38"/>
      <c r="AQ2945" s="38"/>
      <c r="AR2945" s="38"/>
      <c r="AS2945" s="38"/>
      <c r="AT2945" s="38"/>
      <c r="AU2945" s="38"/>
      <c r="AV2945" s="38"/>
      <c r="AW2945" s="38"/>
      <c r="AX2945" s="38"/>
      <c r="AY2945" s="38"/>
      <c r="AZ2945" s="38"/>
      <c r="BA2945" s="38"/>
      <c r="BB2945" s="38"/>
      <c r="BC2945" s="38"/>
      <c r="BD2945" s="38"/>
      <c r="BE2945" s="38"/>
      <c r="BF2945" s="38"/>
      <c r="BG2945" s="38"/>
      <c r="BH2945" s="38"/>
      <c r="BI2945" s="38"/>
      <c r="BJ2945" s="38"/>
      <c r="BK2945" s="38"/>
      <c r="BL2945" s="38"/>
      <c r="BM2945" s="38"/>
      <c r="BN2945" s="38"/>
      <c r="BO2945" s="38"/>
      <c r="BP2945" s="38"/>
      <c r="BQ2945" s="38"/>
    </row>
    <row r="2946">
      <c r="A2946" s="16"/>
      <c r="B2946" s="16"/>
      <c r="C2946" s="146"/>
      <c r="D2946" s="146"/>
      <c r="E2946" s="16"/>
      <c r="F2946" s="91"/>
      <c r="G2946" s="16"/>
      <c r="H2946" s="320" t="str">
        <f t="shared" si="33"/>
        <v/>
      </c>
      <c r="I2946" s="16"/>
      <c r="J2946" s="16"/>
      <c r="K2946" s="16"/>
      <c r="L2946" s="16"/>
      <c r="M2946" s="15"/>
      <c r="N2946" s="15"/>
      <c r="O2946" s="16"/>
      <c r="P2946" s="16"/>
      <c r="Q2946" s="16"/>
      <c r="R2946" s="16"/>
      <c r="S2946" s="37" t="str">
        <f>IFERROR(__xludf.DUMMYFUNCTION("if(not(iserror(index(split(C2946, "" ""),2))), index(split(C2946, "" ""),1),"""")"),"")</f>
        <v/>
      </c>
      <c r="T2946" s="315" t="str">
        <f>IFERROR(__xludf.DUMMYFUNCTION("if(S2946="""",C2946,if(not(iserror(index(split(C2946, "" ""),3))), index(split(C2946, "" ""),3),index(split(C2946, "" ""),2)))"),"")</f>
        <v/>
      </c>
      <c r="U2946" s="38" t="b">
        <f t="shared" si="34"/>
        <v>0</v>
      </c>
      <c r="V2946" s="38"/>
      <c r="W2946" s="40"/>
      <c r="X2946" s="40"/>
      <c r="Y2946" s="38"/>
      <c r="Z2946" s="38"/>
      <c r="AA2946" s="38"/>
      <c r="AB2946" s="38"/>
      <c r="AC2946" s="38"/>
      <c r="AD2946" s="38"/>
      <c r="AE2946" s="38"/>
      <c r="AF2946" s="38"/>
      <c r="AG2946" s="38"/>
      <c r="AH2946" s="38"/>
      <c r="AI2946" s="38"/>
      <c r="AJ2946" s="38"/>
      <c r="AK2946" s="38"/>
      <c r="AL2946" s="38"/>
      <c r="AM2946" s="38"/>
      <c r="AN2946" s="38"/>
      <c r="AO2946" s="38"/>
      <c r="AP2946" s="38"/>
      <c r="AQ2946" s="38"/>
      <c r="AR2946" s="38"/>
      <c r="AS2946" s="38"/>
      <c r="AT2946" s="38"/>
      <c r="AU2946" s="38"/>
      <c r="AV2946" s="38"/>
      <c r="AW2946" s="38"/>
      <c r="AX2946" s="38"/>
      <c r="AY2946" s="38"/>
      <c r="AZ2946" s="38"/>
      <c r="BA2946" s="38"/>
      <c r="BB2946" s="38"/>
      <c r="BC2946" s="38"/>
      <c r="BD2946" s="38"/>
      <c r="BE2946" s="38"/>
      <c r="BF2946" s="38"/>
      <c r="BG2946" s="38"/>
      <c r="BH2946" s="38"/>
      <c r="BI2946" s="38"/>
      <c r="BJ2946" s="38"/>
      <c r="BK2946" s="38"/>
      <c r="BL2946" s="38"/>
      <c r="BM2946" s="38"/>
      <c r="BN2946" s="38"/>
      <c r="BO2946" s="38"/>
      <c r="BP2946" s="38"/>
      <c r="BQ2946" s="38"/>
    </row>
    <row r="2947">
      <c r="A2947" s="16"/>
      <c r="B2947" s="16"/>
      <c r="C2947" s="146"/>
      <c r="D2947" s="146"/>
      <c r="E2947" s="16"/>
      <c r="F2947" s="91"/>
      <c r="G2947" s="16"/>
      <c r="H2947" s="320" t="str">
        <f t="shared" si="33"/>
        <v/>
      </c>
      <c r="I2947" s="16"/>
      <c r="J2947" s="16"/>
      <c r="K2947" s="16"/>
      <c r="L2947" s="16"/>
      <c r="M2947" s="15"/>
      <c r="N2947" s="15"/>
      <c r="O2947" s="16"/>
      <c r="P2947" s="16"/>
      <c r="Q2947" s="16"/>
      <c r="R2947" s="16"/>
      <c r="S2947" s="37" t="str">
        <f>IFERROR(__xludf.DUMMYFUNCTION("if(not(iserror(index(split(C2947, "" ""),2))), index(split(C2947, "" ""),1),"""")"),"")</f>
        <v/>
      </c>
      <c r="T2947" s="315" t="str">
        <f>IFERROR(__xludf.DUMMYFUNCTION("if(S2947="""",C2947,if(not(iserror(index(split(C2947, "" ""),3))), index(split(C2947, "" ""),3),index(split(C2947, "" ""),2)))"),"")</f>
        <v/>
      </c>
      <c r="U2947" s="38" t="b">
        <f t="shared" si="34"/>
        <v>0</v>
      </c>
      <c r="V2947" s="38"/>
      <c r="W2947" s="40"/>
      <c r="X2947" s="40"/>
      <c r="Y2947" s="38"/>
      <c r="Z2947" s="38"/>
      <c r="AA2947" s="38"/>
      <c r="AB2947" s="38"/>
      <c r="AC2947" s="38"/>
      <c r="AD2947" s="38"/>
      <c r="AE2947" s="38"/>
      <c r="AF2947" s="38"/>
      <c r="AG2947" s="38"/>
      <c r="AH2947" s="38"/>
      <c r="AI2947" s="38"/>
      <c r="AJ2947" s="38"/>
      <c r="AK2947" s="38"/>
      <c r="AL2947" s="38"/>
      <c r="AM2947" s="38"/>
      <c r="AN2947" s="38"/>
      <c r="AO2947" s="38"/>
      <c r="AP2947" s="38"/>
      <c r="AQ2947" s="38"/>
      <c r="AR2947" s="38"/>
      <c r="AS2947" s="38"/>
      <c r="AT2947" s="38"/>
      <c r="AU2947" s="38"/>
      <c r="AV2947" s="38"/>
      <c r="AW2947" s="38"/>
      <c r="AX2947" s="38"/>
      <c r="AY2947" s="38"/>
      <c r="AZ2947" s="38"/>
      <c r="BA2947" s="38"/>
      <c r="BB2947" s="38"/>
      <c r="BC2947" s="38"/>
      <c r="BD2947" s="38"/>
      <c r="BE2947" s="38"/>
      <c r="BF2947" s="38"/>
      <c r="BG2947" s="38"/>
      <c r="BH2947" s="38"/>
      <c r="BI2947" s="38"/>
      <c r="BJ2947" s="38"/>
      <c r="BK2947" s="38"/>
      <c r="BL2947" s="38"/>
      <c r="BM2947" s="38"/>
      <c r="BN2947" s="38"/>
      <c r="BO2947" s="38"/>
      <c r="BP2947" s="38"/>
      <c r="BQ2947" s="38"/>
    </row>
    <row r="2948">
      <c r="A2948" s="16"/>
      <c r="B2948" s="16"/>
      <c r="C2948" s="146"/>
      <c r="D2948" s="146"/>
      <c r="E2948" s="16"/>
      <c r="F2948" s="91"/>
      <c r="G2948" s="16"/>
      <c r="H2948" s="320" t="str">
        <f t="shared" si="33"/>
        <v/>
      </c>
      <c r="I2948" s="16"/>
      <c r="J2948" s="16"/>
      <c r="K2948" s="16"/>
      <c r="L2948" s="16"/>
      <c r="M2948" s="15"/>
      <c r="N2948" s="15"/>
      <c r="O2948" s="16"/>
      <c r="P2948" s="16"/>
      <c r="Q2948" s="16"/>
      <c r="R2948" s="16"/>
      <c r="S2948" s="37" t="str">
        <f>IFERROR(__xludf.DUMMYFUNCTION("if(not(iserror(index(split(C2948, "" ""),2))), index(split(C2948, "" ""),1),"""")"),"")</f>
        <v/>
      </c>
      <c r="T2948" s="315" t="str">
        <f>IFERROR(__xludf.DUMMYFUNCTION("if(S2948="""",C2948,if(not(iserror(index(split(C2948, "" ""),3))), index(split(C2948, "" ""),3),index(split(C2948, "" ""),2)))"),"")</f>
        <v/>
      </c>
      <c r="U2948" s="38" t="b">
        <f t="shared" si="34"/>
        <v>0</v>
      </c>
      <c r="V2948" s="38"/>
      <c r="W2948" s="40"/>
      <c r="X2948" s="40"/>
      <c r="Y2948" s="38"/>
      <c r="Z2948" s="38"/>
      <c r="AA2948" s="38"/>
      <c r="AB2948" s="38"/>
      <c r="AC2948" s="38"/>
      <c r="AD2948" s="38"/>
      <c r="AE2948" s="38"/>
      <c r="AF2948" s="38"/>
      <c r="AG2948" s="38"/>
      <c r="AH2948" s="38"/>
      <c r="AI2948" s="38"/>
      <c r="AJ2948" s="38"/>
      <c r="AK2948" s="38"/>
      <c r="AL2948" s="38"/>
      <c r="AM2948" s="38"/>
      <c r="AN2948" s="38"/>
      <c r="AO2948" s="38"/>
      <c r="AP2948" s="38"/>
      <c r="AQ2948" s="38"/>
      <c r="AR2948" s="38"/>
      <c r="AS2948" s="38"/>
      <c r="AT2948" s="38"/>
      <c r="AU2948" s="38"/>
      <c r="AV2948" s="38"/>
      <c r="AW2948" s="38"/>
      <c r="AX2948" s="38"/>
      <c r="AY2948" s="38"/>
      <c r="AZ2948" s="38"/>
      <c r="BA2948" s="38"/>
      <c r="BB2948" s="38"/>
      <c r="BC2948" s="38"/>
      <c r="BD2948" s="38"/>
      <c r="BE2948" s="38"/>
      <c r="BF2948" s="38"/>
      <c r="BG2948" s="38"/>
      <c r="BH2948" s="38"/>
      <c r="BI2948" s="38"/>
      <c r="BJ2948" s="38"/>
      <c r="BK2948" s="38"/>
      <c r="BL2948" s="38"/>
      <c r="BM2948" s="38"/>
      <c r="BN2948" s="38"/>
      <c r="BO2948" s="38"/>
      <c r="BP2948" s="38"/>
      <c r="BQ2948" s="38"/>
    </row>
    <row r="2949">
      <c r="A2949" s="16"/>
      <c r="B2949" s="16"/>
      <c r="C2949" s="146"/>
      <c r="D2949" s="146"/>
      <c r="E2949" s="16"/>
      <c r="F2949" s="91"/>
      <c r="G2949" s="16"/>
      <c r="H2949" s="320" t="str">
        <f t="shared" si="33"/>
        <v/>
      </c>
      <c r="I2949" s="16"/>
      <c r="J2949" s="16"/>
      <c r="K2949" s="16"/>
      <c r="L2949" s="16"/>
      <c r="M2949" s="15"/>
      <c r="N2949" s="15"/>
      <c r="O2949" s="16"/>
      <c r="P2949" s="16"/>
      <c r="Q2949" s="16"/>
      <c r="R2949" s="16"/>
      <c r="S2949" s="37" t="str">
        <f>IFERROR(__xludf.DUMMYFUNCTION("if(not(iserror(index(split(C2949, "" ""),2))), index(split(C2949, "" ""),1),"""")"),"")</f>
        <v/>
      </c>
      <c r="T2949" s="315" t="str">
        <f>IFERROR(__xludf.DUMMYFUNCTION("if(S2949="""",C2949,if(not(iserror(index(split(C2949, "" ""),3))), index(split(C2949, "" ""),3),index(split(C2949, "" ""),2)))"),"")</f>
        <v/>
      </c>
      <c r="U2949" s="38" t="b">
        <f t="shared" si="34"/>
        <v>0</v>
      </c>
      <c r="V2949" s="38"/>
      <c r="W2949" s="40"/>
      <c r="X2949" s="40"/>
      <c r="Y2949" s="38"/>
      <c r="Z2949" s="38"/>
      <c r="AA2949" s="38"/>
      <c r="AB2949" s="38"/>
      <c r="AC2949" s="38"/>
      <c r="AD2949" s="38"/>
      <c r="AE2949" s="38"/>
      <c r="AF2949" s="38"/>
      <c r="AG2949" s="38"/>
      <c r="AH2949" s="38"/>
      <c r="AI2949" s="38"/>
      <c r="AJ2949" s="38"/>
      <c r="AK2949" s="38"/>
      <c r="AL2949" s="38"/>
      <c r="AM2949" s="38"/>
      <c r="AN2949" s="38"/>
      <c r="AO2949" s="38"/>
      <c r="AP2949" s="38"/>
      <c r="AQ2949" s="38"/>
      <c r="AR2949" s="38"/>
      <c r="AS2949" s="38"/>
      <c r="AT2949" s="38"/>
      <c r="AU2949" s="38"/>
      <c r="AV2949" s="38"/>
      <c r="AW2949" s="38"/>
      <c r="AX2949" s="38"/>
      <c r="AY2949" s="38"/>
      <c r="AZ2949" s="38"/>
      <c r="BA2949" s="38"/>
      <c r="BB2949" s="38"/>
      <c r="BC2949" s="38"/>
      <c r="BD2949" s="38"/>
      <c r="BE2949" s="38"/>
      <c r="BF2949" s="38"/>
      <c r="BG2949" s="38"/>
      <c r="BH2949" s="38"/>
      <c r="BI2949" s="38"/>
      <c r="BJ2949" s="38"/>
      <c r="BK2949" s="38"/>
      <c r="BL2949" s="38"/>
      <c r="BM2949" s="38"/>
      <c r="BN2949" s="38"/>
      <c r="BO2949" s="38"/>
      <c r="BP2949" s="38"/>
      <c r="BQ2949" s="38"/>
    </row>
    <row r="2950">
      <c r="A2950" s="16"/>
      <c r="B2950" s="16"/>
      <c r="C2950" s="146"/>
      <c r="D2950" s="146"/>
      <c r="E2950" s="16"/>
      <c r="F2950" s="91"/>
      <c r="G2950" s="16"/>
      <c r="H2950" s="320" t="str">
        <f t="shared" si="33"/>
        <v/>
      </c>
      <c r="I2950" s="16"/>
      <c r="J2950" s="16"/>
      <c r="K2950" s="16"/>
      <c r="L2950" s="16"/>
      <c r="M2950" s="15"/>
      <c r="N2950" s="15"/>
      <c r="O2950" s="16"/>
      <c r="P2950" s="16"/>
      <c r="Q2950" s="16"/>
      <c r="R2950" s="16"/>
      <c r="S2950" s="37" t="str">
        <f>IFERROR(__xludf.DUMMYFUNCTION("if(not(iserror(index(split(C2950, "" ""),2))), index(split(C2950, "" ""),1),"""")"),"")</f>
        <v/>
      </c>
      <c r="T2950" s="315" t="str">
        <f>IFERROR(__xludf.DUMMYFUNCTION("if(S2950="""",C2950,if(not(iserror(index(split(C2950, "" ""),3))), index(split(C2950, "" ""),3),index(split(C2950, "" ""),2)))"),"")</f>
        <v/>
      </c>
      <c r="U2950" s="38" t="b">
        <f t="shared" si="34"/>
        <v>0</v>
      </c>
      <c r="V2950" s="38"/>
      <c r="W2950" s="40"/>
      <c r="X2950" s="40"/>
      <c r="Y2950" s="38"/>
      <c r="Z2950" s="38"/>
      <c r="AA2950" s="38"/>
      <c r="AB2950" s="38"/>
      <c r="AC2950" s="38"/>
      <c r="AD2950" s="38"/>
      <c r="AE2950" s="38"/>
      <c r="AF2950" s="38"/>
      <c r="AG2950" s="38"/>
      <c r="AH2950" s="38"/>
      <c r="AI2950" s="38"/>
      <c r="AJ2950" s="38"/>
      <c r="AK2950" s="38"/>
      <c r="AL2950" s="38"/>
      <c r="AM2950" s="38"/>
      <c r="AN2950" s="38"/>
      <c r="AO2950" s="38"/>
      <c r="AP2950" s="38"/>
      <c r="AQ2950" s="38"/>
      <c r="AR2950" s="38"/>
      <c r="AS2950" s="38"/>
      <c r="AT2950" s="38"/>
      <c r="AU2950" s="38"/>
      <c r="AV2950" s="38"/>
      <c r="AW2950" s="38"/>
      <c r="AX2950" s="38"/>
      <c r="AY2950" s="38"/>
      <c r="AZ2950" s="38"/>
      <c r="BA2950" s="38"/>
      <c r="BB2950" s="38"/>
      <c r="BC2950" s="38"/>
      <c r="BD2950" s="38"/>
      <c r="BE2950" s="38"/>
      <c r="BF2950" s="38"/>
      <c r="BG2950" s="38"/>
      <c r="BH2950" s="38"/>
      <c r="BI2950" s="38"/>
      <c r="BJ2950" s="38"/>
      <c r="BK2950" s="38"/>
      <c r="BL2950" s="38"/>
      <c r="BM2950" s="38"/>
      <c r="BN2950" s="38"/>
      <c r="BO2950" s="38"/>
      <c r="BP2950" s="38"/>
      <c r="BQ2950" s="38"/>
    </row>
    <row r="2951">
      <c r="A2951" s="16"/>
      <c r="B2951" s="16"/>
      <c r="C2951" s="146"/>
      <c r="D2951" s="146"/>
      <c r="E2951" s="16"/>
      <c r="F2951" s="91"/>
      <c r="G2951" s="16"/>
      <c r="H2951" s="320" t="str">
        <f t="shared" si="33"/>
        <v/>
      </c>
      <c r="I2951" s="16"/>
      <c r="J2951" s="16"/>
      <c r="K2951" s="16"/>
      <c r="L2951" s="16"/>
      <c r="M2951" s="15"/>
      <c r="N2951" s="15"/>
      <c r="O2951" s="16"/>
      <c r="P2951" s="16"/>
      <c r="Q2951" s="16"/>
      <c r="R2951" s="16"/>
      <c r="S2951" s="37" t="str">
        <f>IFERROR(__xludf.DUMMYFUNCTION("if(not(iserror(index(split(C2951, "" ""),2))), index(split(C2951, "" ""),1),"""")"),"")</f>
        <v/>
      </c>
      <c r="T2951" s="315" t="str">
        <f>IFERROR(__xludf.DUMMYFUNCTION("if(S2951="""",C2951,if(not(iserror(index(split(C2951, "" ""),3))), index(split(C2951, "" ""),3),index(split(C2951, "" ""),2)))"),"")</f>
        <v/>
      </c>
      <c r="U2951" s="38" t="b">
        <f t="shared" si="34"/>
        <v>0</v>
      </c>
      <c r="V2951" s="38"/>
      <c r="W2951" s="40"/>
      <c r="X2951" s="40"/>
      <c r="Y2951" s="38"/>
      <c r="Z2951" s="38"/>
      <c r="AA2951" s="38"/>
      <c r="AB2951" s="38"/>
      <c r="AC2951" s="38"/>
      <c r="AD2951" s="38"/>
      <c r="AE2951" s="38"/>
      <c r="AF2951" s="38"/>
      <c r="AG2951" s="38"/>
      <c r="AH2951" s="38"/>
      <c r="AI2951" s="38"/>
      <c r="AJ2951" s="38"/>
      <c r="AK2951" s="38"/>
      <c r="AL2951" s="38"/>
      <c r="AM2951" s="38"/>
      <c r="AN2951" s="38"/>
      <c r="AO2951" s="38"/>
      <c r="AP2951" s="38"/>
      <c r="AQ2951" s="38"/>
      <c r="AR2951" s="38"/>
      <c r="AS2951" s="38"/>
      <c r="AT2951" s="38"/>
      <c r="AU2951" s="38"/>
      <c r="AV2951" s="38"/>
      <c r="AW2951" s="38"/>
      <c r="AX2951" s="38"/>
      <c r="AY2951" s="38"/>
      <c r="AZ2951" s="38"/>
      <c r="BA2951" s="38"/>
      <c r="BB2951" s="38"/>
      <c r="BC2951" s="38"/>
      <c r="BD2951" s="38"/>
      <c r="BE2951" s="38"/>
      <c r="BF2951" s="38"/>
      <c r="BG2951" s="38"/>
      <c r="BH2951" s="38"/>
      <c r="BI2951" s="38"/>
      <c r="BJ2951" s="38"/>
      <c r="BK2951" s="38"/>
      <c r="BL2951" s="38"/>
      <c r="BM2951" s="38"/>
      <c r="BN2951" s="38"/>
      <c r="BO2951" s="38"/>
      <c r="BP2951" s="38"/>
      <c r="BQ2951" s="38"/>
    </row>
    <row r="2952">
      <c r="A2952" s="16"/>
      <c r="B2952" s="16"/>
      <c r="C2952" s="146"/>
      <c r="D2952" s="146"/>
      <c r="E2952" s="16"/>
      <c r="F2952" s="91"/>
      <c r="G2952" s="16"/>
      <c r="H2952" s="320" t="str">
        <f t="shared" si="33"/>
        <v/>
      </c>
      <c r="I2952" s="16"/>
      <c r="J2952" s="16"/>
      <c r="K2952" s="16"/>
      <c r="L2952" s="16"/>
      <c r="M2952" s="15"/>
      <c r="N2952" s="15"/>
      <c r="O2952" s="16"/>
      <c r="P2952" s="16"/>
      <c r="Q2952" s="16"/>
      <c r="R2952" s="16"/>
      <c r="S2952" s="37" t="str">
        <f>IFERROR(__xludf.DUMMYFUNCTION("if(not(iserror(index(split(C2952, "" ""),2))), index(split(C2952, "" ""),1),"""")"),"")</f>
        <v/>
      </c>
      <c r="T2952" s="315" t="str">
        <f>IFERROR(__xludf.DUMMYFUNCTION("if(S2952="""",C2952,if(not(iserror(index(split(C2952, "" ""),3))), index(split(C2952, "" ""),3),index(split(C2952, "" ""),2)))"),"")</f>
        <v/>
      </c>
      <c r="U2952" s="38" t="b">
        <f t="shared" si="34"/>
        <v>0</v>
      </c>
      <c r="V2952" s="38"/>
      <c r="W2952" s="40"/>
      <c r="X2952" s="40"/>
      <c r="Y2952" s="38"/>
      <c r="Z2952" s="38"/>
      <c r="AA2952" s="38"/>
      <c r="AB2952" s="38"/>
      <c r="AC2952" s="38"/>
      <c r="AD2952" s="38"/>
      <c r="AE2952" s="38"/>
      <c r="AF2952" s="38"/>
      <c r="AG2952" s="38"/>
      <c r="AH2952" s="38"/>
      <c r="AI2952" s="38"/>
      <c r="AJ2952" s="38"/>
      <c r="AK2952" s="38"/>
      <c r="AL2952" s="38"/>
      <c r="AM2952" s="38"/>
      <c r="AN2952" s="38"/>
      <c r="AO2952" s="38"/>
      <c r="AP2952" s="38"/>
      <c r="AQ2952" s="38"/>
      <c r="AR2952" s="38"/>
      <c r="AS2952" s="38"/>
      <c r="AT2952" s="38"/>
      <c r="AU2952" s="38"/>
      <c r="AV2952" s="38"/>
      <c r="AW2952" s="38"/>
      <c r="AX2952" s="38"/>
      <c r="AY2952" s="38"/>
      <c r="AZ2952" s="38"/>
      <c r="BA2952" s="38"/>
      <c r="BB2952" s="38"/>
      <c r="BC2952" s="38"/>
      <c r="BD2952" s="38"/>
      <c r="BE2952" s="38"/>
      <c r="BF2952" s="38"/>
      <c r="BG2952" s="38"/>
      <c r="BH2952" s="38"/>
      <c r="BI2952" s="38"/>
      <c r="BJ2952" s="38"/>
      <c r="BK2952" s="38"/>
      <c r="BL2952" s="38"/>
      <c r="BM2952" s="38"/>
      <c r="BN2952" s="38"/>
      <c r="BO2952" s="38"/>
      <c r="BP2952" s="38"/>
      <c r="BQ2952" s="38"/>
    </row>
    <row r="2953">
      <c r="A2953" s="16"/>
      <c r="B2953" s="16"/>
      <c r="C2953" s="146"/>
      <c r="D2953" s="146"/>
      <c r="E2953" s="16"/>
      <c r="F2953" s="91"/>
      <c r="G2953" s="16"/>
      <c r="H2953" s="320" t="str">
        <f t="shared" si="33"/>
        <v/>
      </c>
      <c r="I2953" s="16"/>
      <c r="J2953" s="16"/>
      <c r="K2953" s="16"/>
      <c r="L2953" s="16"/>
      <c r="M2953" s="15"/>
      <c r="N2953" s="15"/>
      <c r="O2953" s="16"/>
      <c r="P2953" s="16"/>
      <c r="Q2953" s="16"/>
      <c r="R2953" s="16"/>
      <c r="S2953" s="37" t="str">
        <f>IFERROR(__xludf.DUMMYFUNCTION("if(not(iserror(index(split(C2953, "" ""),2))), index(split(C2953, "" ""),1),"""")"),"")</f>
        <v/>
      </c>
      <c r="T2953" s="315" t="str">
        <f>IFERROR(__xludf.DUMMYFUNCTION("if(S2953="""",C2953,if(not(iserror(index(split(C2953, "" ""),3))), index(split(C2953, "" ""),3),index(split(C2953, "" ""),2)))"),"")</f>
        <v/>
      </c>
      <c r="U2953" s="38" t="b">
        <f t="shared" si="34"/>
        <v>0</v>
      </c>
      <c r="V2953" s="38"/>
      <c r="W2953" s="40"/>
      <c r="X2953" s="40"/>
      <c r="Y2953" s="38"/>
      <c r="Z2953" s="38"/>
      <c r="AA2953" s="38"/>
      <c r="AB2953" s="38"/>
      <c r="AC2953" s="38"/>
      <c r="AD2953" s="38"/>
      <c r="AE2953" s="38"/>
      <c r="AF2953" s="38"/>
      <c r="AG2953" s="38"/>
      <c r="AH2953" s="38"/>
      <c r="AI2953" s="38"/>
      <c r="AJ2953" s="38"/>
      <c r="AK2953" s="38"/>
      <c r="AL2953" s="38"/>
      <c r="AM2953" s="38"/>
      <c r="AN2953" s="38"/>
      <c r="AO2953" s="38"/>
      <c r="AP2953" s="38"/>
      <c r="AQ2953" s="38"/>
      <c r="AR2953" s="38"/>
      <c r="AS2953" s="38"/>
      <c r="AT2953" s="38"/>
      <c r="AU2953" s="38"/>
      <c r="AV2953" s="38"/>
      <c r="AW2953" s="38"/>
      <c r="AX2953" s="38"/>
      <c r="AY2953" s="38"/>
      <c r="AZ2953" s="38"/>
      <c r="BA2953" s="38"/>
      <c r="BB2953" s="38"/>
      <c r="BC2953" s="38"/>
      <c r="BD2953" s="38"/>
      <c r="BE2953" s="38"/>
      <c r="BF2953" s="38"/>
      <c r="BG2953" s="38"/>
      <c r="BH2953" s="38"/>
      <c r="BI2953" s="38"/>
      <c r="BJ2953" s="38"/>
      <c r="BK2953" s="38"/>
      <c r="BL2953" s="38"/>
      <c r="BM2953" s="38"/>
      <c r="BN2953" s="38"/>
      <c r="BO2953" s="38"/>
      <c r="BP2953" s="38"/>
      <c r="BQ2953" s="38"/>
    </row>
    <row r="2954">
      <c r="A2954" s="16"/>
      <c r="B2954" s="16"/>
      <c r="C2954" s="146"/>
      <c r="D2954" s="146"/>
      <c r="E2954" s="16"/>
      <c r="F2954" s="91"/>
      <c r="G2954" s="16"/>
      <c r="H2954" s="320" t="str">
        <f t="shared" si="33"/>
        <v/>
      </c>
      <c r="I2954" s="16"/>
      <c r="J2954" s="16"/>
      <c r="K2954" s="16"/>
      <c r="L2954" s="16"/>
      <c r="M2954" s="15"/>
      <c r="N2954" s="15"/>
      <c r="O2954" s="16"/>
      <c r="P2954" s="16"/>
      <c r="Q2954" s="16"/>
      <c r="R2954" s="16"/>
      <c r="S2954" s="37" t="str">
        <f>IFERROR(__xludf.DUMMYFUNCTION("if(not(iserror(index(split(C2954, "" ""),2))), index(split(C2954, "" ""),1),"""")"),"")</f>
        <v/>
      </c>
      <c r="T2954" s="315" t="str">
        <f>IFERROR(__xludf.DUMMYFUNCTION("if(S2954="""",C2954,if(not(iserror(index(split(C2954, "" ""),3))), index(split(C2954, "" ""),3),index(split(C2954, "" ""),2)))"),"")</f>
        <v/>
      </c>
      <c r="U2954" s="38" t="b">
        <f t="shared" si="34"/>
        <v>0</v>
      </c>
      <c r="V2954" s="38"/>
      <c r="W2954" s="40"/>
      <c r="X2954" s="40"/>
      <c r="Y2954" s="38"/>
      <c r="Z2954" s="38"/>
      <c r="AA2954" s="38"/>
      <c r="AB2954" s="38"/>
      <c r="AC2954" s="38"/>
      <c r="AD2954" s="38"/>
      <c r="AE2954" s="38"/>
      <c r="AF2954" s="38"/>
      <c r="AG2954" s="38"/>
      <c r="AH2954" s="38"/>
      <c r="AI2954" s="38"/>
      <c r="AJ2954" s="38"/>
      <c r="AK2954" s="38"/>
      <c r="AL2954" s="38"/>
      <c r="AM2954" s="38"/>
      <c r="AN2954" s="38"/>
      <c r="AO2954" s="38"/>
      <c r="AP2954" s="38"/>
      <c r="AQ2954" s="38"/>
      <c r="AR2954" s="38"/>
      <c r="AS2954" s="38"/>
      <c r="AT2954" s="38"/>
      <c r="AU2954" s="38"/>
      <c r="AV2954" s="38"/>
      <c r="AW2954" s="38"/>
      <c r="AX2954" s="38"/>
      <c r="AY2954" s="38"/>
      <c r="AZ2954" s="38"/>
      <c r="BA2954" s="38"/>
      <c r="BB2954" s="38"/>
      <c r="BC2954" s="38"/>
      <c r="BD2954" s="38"/>
      <c r="BE2954" s="38"/>
      <c r="BF2954" s="38"/>
      <c r="BG2954" s="38"/>
      <c r="BH2954" s="38"/>
      <c r="BI2954" s="38"/>
      <c r="BJ2954" s="38"/>
      <c r="BK2954" s="38"/>
      <c r="BL2954" s="38"/>
      <c r="BM2954" s="38"/>
      <c r="BN2954" s="38"/>
      <c r="BO2954" s="38"/>
      <c r="BP2954" s="38"/>
      <c r="BQ2954" s="38"/>
    </row>
    <row r="2955">
      <c r="A2955" s="16"/>
      <c r="B2955" s="16"/>
      <c r="C2955" s="146"/>
      <c r="D2955" s="146"/>
      <c r="E2955" s="16"/>
      <c r="F2955" s="91"/>
      <c r="G2955" s="16"/>
      <c r="H2955" s="320" t="str">
        <f t="shared" si="33"/>
        <v/>
      </c>
      <c r="I2955" s="16"/>
      <c r="J2955" s="16"/>
      <c r="K2955" s="16"/>
      <c r="L2955" s="16"/>
      <c r="M2955" s="15"/>
      <c r="N2955" s="15"/>
      <c r="O2955" s="16"/>
      <c r="P2955" s="16"/>
      <c r="Q2955" s="16"/>
      <c r="R2955" s="16"/>
      <c r="S2955" s="37" t="str">
        <f>IFERROR(__xludf.DUMMYFUNCTION("if(not(iserror(index(split(C2955, "" ""),2))), index(split(C2955, "" ""),1),"""")"),"")</f>
        <v/>
      </c>
      <c r="T2955" s="315" t="str">
        <f>IFERROR(__xludf.DUMMYFUNCTION("if(S2955="""",C2955,if(not(iserror(index(split(C2955, "" ""),3))), index(split(C2955, "" ""),3),index(split(C2955, "" ""),2)))"),"")</f>
        <v/>
      </c>
      <c r="U2955" s="38" t="b">
        <f t="shared" si="34"/>
        <v>0</v>
      </c>
      <c r="V2955" s="38"/>
      <c r="W2955" s="40"/>
      <c r="X2955" s="40"/>
      <c r="Y2955" s="38"/>
      <c r="Z2955" s="38"/>
      <c r="AA2955" s="38"/>
      <c r="AB2955" s="38"/>
      <c r="AC2955" s="38"/>
      <c r="AD2955" s="38"/>
      <c r="AE2955" s="38"/>
      <c r="AF2955" s="38"/>
      <c r="AG2955" s="38"/>
      <c r="AH2955" s="38"/>
      <c r="AI2955" s="38"/>
      <c r="AJ2955" s="38"/>
      <c r="AK2955" s="38"/>
      <c r="AL2955" s="38"/>
      <c r="AM2955" s="38"/>
      <c r="AN2955" s="38"/>
      <c r="AO2955" s="38"/>
      <c r="AP2955" s="38"/>
      <c r="AQ2955" s="38"/>
      <c r="AR2955" s="38"/>
      <c r="AS2955" s="38"/>
      <c r="AT2955" s="38"/>
      <c r="AU2955" s="38"/>
      <c r="AV2955" s="38"/>
      <c r="AW2955" s="38"/>
      <c r="AX2955" s="38"/>
      <c r="AY2955" s="38"/>
      <c r="AZ2955" s="38"/>
      <c r="BA2955" s="38"/>
      <c r="BB2955" s="38"/>
      <c r="BC2955" s="38"/>
      <c r="BD2955" s="38"/>
      <c r="BE2955" s="38"/>
      <c r="BF2955" s="38"/>
      <c r="BG2955" s="38"/>
      <c r="BH2955" s="38"/>
      <c r="BI2955" s="38"/>
      <c r="BJ2955" s="38"/>
      <c r="BK2955" s="38"/>
      <c r="BL2955" s="38"/>
      <c r="BM2955" s="38"/>
      <c r="BN2955" s="38"/>
      <c r="BO2955" s="38"/>
      <c r="BP2955" s="38"/>
      <c r="BQ2955" s="38"/>
    </row>
    <row r="2956">
      <c r="A2956" s="16"/>
      <c r="B2956" s="16"/>
      <c r="C2956" s="146"/>
      <c r="D2956" s="146"/>
      <c r="E2956" s="16"/>
      <c r="F2956" s="91"/>
      <c r="G2956" s="16"/>
      <c r="H2956" s="320" t="str">
        <f t="shared" si="33"/>
        <v/>
      </c>
      <c r="I2956" s="16"/>
      <c r="J2956" s="16"/>
      <c r="K2956" s="16"/>
      <c r="L2956" s="16"/>
      <c r="M2956" s="15"/>
      <c r="N2956" s="15"/>
      <c r="O2956" s="16"/>
      <c r="P2956" s="16"/>
      <c r="Q2956" s="16"/>
      <c r="R2956" s="16"/>
      <c r="S2956" s="37" t="str">
        <f>IFERROR(__xludf.DUMMYFUNCTION("if(not(iserror(index(split(C2956, "" ""),2))), index(split(C2956, "" ""),1),"""")"),"")</f>
        <v/>
      </c>
      <c r="T2956" s="315" t="str">
        <f>IFERROR(__xludf.DUMMYFUNCTION("if(S2956="""",C2956,if(not(iserror(index(split(C2956, "" ""),3))), index(split(C2956, "" ""),3),index(split(C2956, "" ""),2)))"),"")</f>
        <v/>
      </c>
      <c r="U2956" s="38" t="b">
        <f t="shared" si="34"/>
        <v>0</v>
      </c>
      <c r="V2956" s="38"/>
      <c r="W2956" s="40"/>
      <c r="X2956" s="40"/>
      <c r="Y2956" s="38"/>
      <c r="Z2956" s="38"/>
      <c r="AA2956" s="38"/>
      <c r="AB2956" s="38"/>
      <c r="AC2956" s="38"/>
      <c r="AD2956" s="38"/>
      <c r="AE2956" s="38"/>
      <c r="AF2956" s="38"/>
      <c r="AG2956" s="38"/>
      <c r="AH2956" s="38"/>
      <c r="AI2956" s="38"/>
      <c r="AJ2956" s="38"/>
      <c r="AK2956" s="38"/>
      <c r="AL2956" s="38"/>
      <c r="AM2956" s="38"/>
      <c r="AN2956" s="38"/>
      <c r="AO2956" s="38"/>
      <c r="AP2956" s="38"/>
      <c r="AQ2956" s="38"/>
      <c r="AR2956" s="38"/>
      <c r="AS2956" s="38"/>
      <c r="AT2956" s="38"/>
      <c r="AU2956" s="38"/>
      <c r="AV2956" s="38"/>
      <c r="AW2956" s="38"/>
      <c r="AX2956" s="38"/>
      <c r="AY2956" s="38"/>
      <c r="AZ2956" s="38"/>
      <c r="BA2956" s="38"/>
      <c r="BB2956" s="38"/>
      <c r="BC2956" s="38"/>
      <c r="BD2956" s="38"/>
      <c r="BE2956" s="38"/>
      <c r="BF2956" s="38"/>
      <c r="BG2956" s="38"/>
      <c r="BH2956" s="38"/>
      <c r="BI2956" s="38"/>
      <c r="BJ2956" s="38"/>
      <c r="BK2956" s="38"/>
      <c r="BL2956" s="38"/>
      <c r="BM2956" s="38"/>
      <c r="BN2956" s="38"/>
      <c r="BO2956" s="38"/>
      <c r="BP2956" s="38"/>
      <c r="BQ2956" s="38"/>
    </row>
    <row r="2957">
      <c r="A2957" s="16"/>
      <c r="B2957" s="16"/>
      <c r="C2957" s="146"/>
      <c r="D2957" s="146"/>
      <c r="E2957" s="16"/>
      <c r="F2957" s="91"/>
      <c r="G2957" s="16"/>
      <c r="H2957" s="320" t="str">
        <f t="shared" si="33"/>
        <v/>
      </c>
      <c r="I2957" s="16"/>
      <c r="J2957" s="16"/>
      <c r="K2957" s="16"/>
      <c r="L2957" s="16"/>
      <c r="M2957" s="15"/>
      <c r="N2957" s="15"/>
      <c r="O2957" s="16"/>
      <c r="P2957" s="16"/>
      <c r="Q2957" s="16"/>
      <c r="R2957" s="16"/>
      <c r="S2957" s="37" t="str">
        <f>IFERROR(__xludf.DUMMYFUNCTION("if(not(iserror(index(split(C2957, "" ""),2))), index(split(C2957, "" ""),1),"""")"),"")</f>
        <v/>
      </c>
      <c r="T2957" s="315" t="str">
        <f>IFERROR(__xludf.DUMMYFUNCTION("if(S2957="""",C2957,if(not(iserror(index(split(C2957, "" ""),3))), index(split(C2957, "" ""),3),index(split(C2957, "" ""),2)))"),"")</f>
        <v/>
      </c>
      <c r="U2957" s="38" t="b">
        <f t="shared" si="34"/>
        <v>0</v>
      </c>
      <c r="V2957" s="38"/>
      <c r="W2957" s="40"/>
      <c r="X2957" s="40"/>
      <c r="Y2957" s="38"/>
      <c r="Z2957" s="38"/>
      <c r="AA2957" s="38"/>
      <c r="AB2957" s="38"/>
      <c r="AC2957" s="38"/>
      <c r="AD2957" s="38"/>
      <c r="AE2957" s="38"/>
      <c r="AF2957" s="38"/>
      <c r="AG2957" s="38"/>
      <c r="AH2957" s="38"/>
      <c r="AI2957" s="38"/>
      <c r="AJ2957" s="38"/>
      <c r="AK2957" s="38"/>
      <c r="AL2957" s="38"/>
      <c r="AM2957" s="38"/>
      <c r="AN2957" s="38"/>
      <c r="AO2957" s="38"/>
      <c r="AP2957" s="38"/>
      <c r="AQ2957" s="38"/>
      <c r="AR2957" s="38"/>
      <c r="AS2957" s="38"/>
      <c r="AT2957" s="38"/>
      <c r="AU2957" s="38"/>
      <c r="AV2957" s="38"/>
      <c r="AW2957" s="38"/>
      <c r="AX2957" s="38"/>
      <c r="AY2957" s="38"/>
      <c r="AZ2957" s="38"/>
      <c r="BA2957" s="38"/>
      <c r="BB2957" s="38"/>
      <c r="BC2957" s="38"/>
      <c r="BD2957" s="38"/>
      <c r="BE2957" s="38"/>
      <c r="BF2957" s="38"/>
      <c r="BG2957" s="38"/>
      <c r="BH2957" s="38"/>
      <c r="BI2957" s="38"/>
      <c r="BJ2957" s="38"/>
      <c r="BK2957" s="38"/>
      <c r="BL2957" s="38"/>
      <c r="BM2957" s="38"/>
      <c r="BN2957" s="38"/>
      <c r="BO2957" s="38"/>
      <c r="BP2957" s="38"/>
      <c r="BQ2957" s="38"/>
    </row>
    <row r="2958">
      <c r="A2958" s="16"/>
      <c r="B2958" s="16"/>
      <c r="C2958" s="146"/>
      <c r="D2958" s="146"/>
      <c r="E2958" s="16"/>
      <c r="F2958" s="91"/>
      <c r="G2958" s="16"/>
      <c r="H2958" s="320" t="str">
        <f t="shared" si="33"/>
        <v/>
      </c>
      <c r="I2958" s="16"/>
      <c r="J2958" s="16"/>
      <c r="K2958" s="16"/>
      <c r="L2958" s="16"/>
      <c r="M2958" s="15"/>
      <c r="N2958" s="15"/>
      <c r="O2958" s="16"/>
      <c r="P2958" s="16"/>
      <c r="Q2958" s="16"/>
      <c r="R2958" s="16"/>
      <c r="S2958" s="37" t="str">
        <f>IFERROR(__xludf.DUMMYFUNCTION("if(not(iserror(index(split(C2958, "" ""),2))), index(split(C2958, "" ""),1),"""")"),"")</f>
        <v/>
      </c>
      <c r="T2958" s="315" t="str">
        <f>IFERROR(__xludf.DUMMYFUNCTION("if(S2958="""",C2958,if(not(iserror(index(split(C2958, "" ""),3))), index(split(C2958, "" ""),3),index(split(C2958, "" ""),2)))"),"")</f>
        <v/>
      </c>
      <c r="U2958" s="38" t="b">
        <f t="shared" si="34"/>
        <v>0</v>
      </c>
      <c r="V2958" s="38"/>
      <c r="W2958" s="40"/>
      <c r="X2958" s="40"/>
      <c r="Y2958" s="38"/>
      <c r="Z2958" s="38"/>
      <c r="AA2958" s="38"/>
      <c r="AB2958" s="38"/>
      <c r="AC2958" s="38"/>
      <c r="AD2958" s="38"/>
      <c r="AE2958" s="38"/>
      <c r="AF2958" s="38"/>
      <c r="AG2958" s="38"/>
      <c r="AH2958" s="38"/>
      <c r="AI2958" s="38"/>
      <c r="AJ2958" s="38"/>
      <c r="AK2958" s="38"/>
      <c r="AL2958" s="38"/>
      <c r="AM2958" s="38"/>
      <c r="AN2958" s="38"/>
      <c r="AO2958" s="38"/>
      <c r="AP2958" s="38"/>
      <c r="AQ2958" s="38"/>
      <c r="AR2958" s="38"/>
      <c r="AS2958" s="38"/>
      <c r="AT2958" s="38"/>
      <c r="AU2958" s="38"/>
      <c r="AV2958" s="38"/>
      <c r="AW2958" s="38"/>
      <c r="AX2958" s="38"/>
      <c r="AY2958" s="38"/>
      <c r="AZ2958" s="38"/>
      <c r="BA2958" s="38"/>
      <c r="BB2958" s="38"/>
      <c r="BC2958" s="38"/>
      <c r="BD2958" s="38"/>
      <c r="BE2958" s="38"/>
      <c r="BF2958" s="38"/>
      <c r="BG2958" s="38"/>
      <c r="BH2958" s="38"/>
      <c r="BI2958" s="38"/>
      <c r="BJ2958" s="38"/>
      <c r="BK2958" s="38"/>
      <c r="BL2958" s="38"/>
      <c r="BM2958" s="38"/>
      <c r="BN2958" s="38"/>
      <c r="BO2958" s="38"/>
      <c r="BP2958" s="38"/>
      <c r="BQ2958" s="38"/>
    </row>
    <row r="2959">
      <c r="A2959" s="16"/>
      <c r="B2959" s="16"/>
      <c r="C2959" s="146"/>
      <c r="D2959" s="146"/>
      <c r="E2959" s="16"/>
      <c r="F2959" s="91"/>
      <c r="G2959" s="16"/>
      <c r="H2959" s="320" t="str">
        <f t="shared" si="33"/>
        <v/>
      </c>
      <c r="I2959" s="16"/>
      <c r="J2959" s="16"/>
      <c r="K2959" s="16"/>
      <c r="L2959" s="16"/>
      <c r="M2959" s="15"/>
      <c r="N2959" s="15"/>
      <c r="O2959" s="16"/>
      <c r="P2959" s="16"/>
      <c r="Q2959" s="16"/>
      <c r="R2959" s="16"/>
      <c r="S2959" s="37" t="str">
        <f>IFERROR(__xludf.DUMMYFUNCTION("if(not(iserror(index(split(C2959, "" ""),2))), index(split(C2959, "" ""),1),"""")"),"")</f>
        <v/>
      </c>
      <c r="T2959" s="315" t="str">
        <f>IFERROR(__xludf.DUMMYFUNCTION("if(S2959="""",C2959,if(not(iserror(index(split(C2959, "" ""),3))), index(split(C2959, "" ""),3),index(split(C2959, "" ""),2)))"),"")</f>
        <v/>
      </c>
      <c r="U2959" s="38" t="b">
        <f t="shared" si="34"/>
        <v>0</v>
      </c>
      <c r="V2959" s="38"/>
      <c r="W2959" s="40"/>
      <c r="X2959" s="40"/>
      <c r="Y2959" s="38"/>
      <c r="Z2959" s="38"/>
      <c r="AA2959" s="38"/>
      <c r="AB2959" s="38"/>
      <c r="AC2959" s="38"/>
      <c r="AD2959" s="38"/>
      <c r="AE2959" s="38"/>
      <c r="AF2959" s="38"/>
      <c r="AG2959" s="38"/>
      <c r="AH2959" s="38"/>
      <c r="AI2959" s="38"/>
      <c r="AJ2959" s="38"/>
      <c r="AK2959" s="38"/>
      <c r="AL2959" s="38"/>
      <c r="AM2959" s="38"/>
      <c r="AN2959" s="38"/>
      <c r="AO2959" s="38"/>
      <c r="AP2959" s="38"/>
      <c r="AQ2959" s="38"/>
      <c r="AR2959" s="38"/>
      <c r="AS2959" s="38"/>
      <c r="AT2959" s="38"/>
      <c r="AU2959" s="38"/>
      <c r="AV2959" s="38"/>
      <c r="AW2959" s="38"/>
      <c r="AX2959" s="38"/>
      <c r="AY2959" s="38"/>
      <c r="AZ2959" s="38"/>
      <c r="BA2959" s="38"/>
      <c r="BB2959" s="38"/>
      <c r="BC2959" s="38"/>
      <c r="BD2959" s="38"/>
      <c r="BE2959" s="38"/>
      <c r="BF2959" s="38"/>
      <c r="BG2959" s="38"/>
      <c r="BH2959" s="38"/>
      <c r="BI2959" s="38"/>
      <c r="BJ2959" s="38"/>
      <c r="BK2959" s="38"/>
      <c r="BL2959" s="38"/>
      <c r="BM2959" s="38"/>
      <c r="BN2959" s="38"/>
      <c r="BO2959" s="38"/>
      <c r="BP2959" s="38"/>
      <c r="BQ2959" s="38"/>
    </row>
    <row r="2960">
      <c r="A2960" s="16"/>
      <c r="B2960" s="16"/>
      <c r="C2960" s="146"/>
      <c r="D2960" s="146"/>
      <c r="E2960" s="16"/>
      <c r="F2960" s="91"/>
      <c r="G2960" s="16"/>
      <c r="H2960" s="320" t="str">
        <f t="shared" si="33"/>
        <v/>
      </c>
      <c r="I2960" s="16"/>
      <c r="J2960" s="16"/>
      <c r="K2960" s="16"/>
      <c r="L2960" s="16"/>
      <c r="M2960" s="15"/>
      <c r="N2960" s="15"/>
      <c r="O2960" s="16"/>
      <c r="P2960" s="16"/>
      <c r="Q2960" s="16"/>
      <c r="R2960" s="16"/>
      <c r="S2960" s="37" t="str">
        <f>IFERROR(__xludf.DUMMYFUNCTION("if(not(iserror(index(split(C2960, "" ""),2))), index(split(C2960, "" ""),1),"""")"),"")</f>
        <v/>
      </c>
      <c r="T2960" s="315" t="str">
        <f>IFERROR(__xludf.DUMMYFUNCTION("if(S2960="""",C2960,if(not(iserror(index(split(C2960, "" ""),3))), index(split(C2960, "" ""),3),index(split(C2960, "" ""),2)))"),"")</f>
        <v/>
      </c>
      <c r="U2960" s="38" t="b">
        <f t="shared" si="34"/>
        <v>0</v>
      </c>
      <c r="V2960" s="38"/>
      <c r="W2960" s="40"/>
      <c r="X2960" s="40"/>
      <c r="Y2960" s="38"/>
      <c r="Z2960" s="38"/>
      <c r="AA2960" s="38"/>
      <c r="AB2960" s="38"/>
      <c r="AC2960" s="38"/>
      <c r="AD2960" s="38"/>
      <c r="AE2960" s="38"/>
      <c r="AF2960" s="38"/>
      <c r="AG2960" s="38"/>
      <c r="AH2960" s="38"/>
      <c r="AI2960" s="38"/>
      <c r="AJ2960" s="38"/>
      <c r="AK2960" s="38"/>
      <c r="AL2960" s="38"/>
      <c r="AM2960" s="38"/>
      <c r="AN2960" s="38"/>
      <c r="AO2960" s="38"/>
      <c r="AP2960" s="38"/>
      <c r="AQ2960" s="38"/>
      <c r="AR2960" s="38"/>
      <c r="AS2960" s="38"/>
      <c r="AT2960" s="38"/>
      <c r="AU2960" s="38"/>
      <c r="AV2960" s="38"/>
      <c r="AW2960" s="38"/>
      <c r="AX2960" s="38"/>
      <c r="AY2960" s="38"/>
      <c r="AZ2960" s="38"/>
      <c r="BA2960" s="38"/>
      <c r="BB2960" s="38"/>
      <c r="BC2960" s="38"/>
      <c r="BD2960" s="38"/>
      <c r="BE2960" s="38"/>
      <c r="BF2960" s="38"/>
      <c r="BG2960" s="38"/>
      <c r="BH2960" s="38"/>
      <c r="BI2960" s="38"/>
      <c r="BJ2960" s="38"/>
      <c r="BK2960" s="38"/>
      <c r="BL2960" s="38"/>
      <c r="BM2960" s="38"/>
      <c r="BN2960" s="38"/>
      <c r="BO2960" s="38"/>
      <c r="BP2960" s="38"/>
      <c r="BQ2960" s="38"/>
    </row>
    <row r="2961">
      <c r="A2961" s="16"/>
      <c r="B2961" s="16"/>
      <c r="C2961" s="146"/>
      <c r="D2961" s="146"/>
      <c r="E2961" s="16"/>
      <c r="F2961" s="91"/>
      <c r="G2961" s="16"/>
      <c r="H2961" s="320" t="str">
        <f t="shared" si="33"/>
        <v/>
      </c>
      <c r="I2961" s="16"/>
      <c r="J2961" s="16"/>
      <c r="K2961" s="16"/>
      <c r="L2961" s="16"/>
      <c r="M2961" s="15"/>
      <c r="N2961" s="15"/>
      <c r="O2961" s="16"/>
      <c r="P2961" s="16"/>
      <c r="Q2961" s="16"/>
      <c r="R2961" s="16"/>
      <c r="S2961" s="37" t="str">
        <f>IFERROR(__xludf.DUMMYFUNCTION("if(not(iserror(index(split(C2961, "" ""),2))), index(split(C2961, "" ""),1),"""")"),"")</f>
        <v/>
      </c>
      <c r="T2961" s="315" t="str">
        <f>IFERROR(__xludf.DUMMYFUNCTION("if(S2961="""",C2961,if(not(iserror(index(split(C2961, "" ""),3))), index(split(C2961, "" ""),3),index(split(C2961, "" ""),2)))"),"")</f>
        <v/>
      </c>
      <c r="U2961" s="38" t="b">
        <f t="shared" si="34"/>
        <v>0</v>
      </c>
      <c r="V2961" s="38"/>
      <c r="W2961" s="40"/>
      <c r="X2961" s="40"/>
      <c r="Y2961" s="38"/>
      <c r="Z2961" s="38"/>
      <c r="AA2961" s="38"/>
      <c r="AB2961" s="38"/>
      <c r="AC2961" s="38"/>
      <c r="AD2961" s="38"/>
      <c r="AE2961" s="38"/>
      <c r="AF2961" s="38"/>
      <c r="AG2961" s="38"/>
      <c r="AH2961" s="38"/>
      <c r="AI2961" s="38"/>
      <c r="AJ2961" s="38"/>
      <c r="AK2961" s="38"/>
      <c r="AL2961" s="38"/>
      <c r="AM2961" s="38"/>
      <c r="AN2961" s="38"/>
      <c r="AO2961" s="38"/>
      <c r="AP2961" s="38"/>
      <c r="AQ2961" s="38"/>
      <c r="AR2961" s="38"/>
      <c r="AS2961" s="38"/>
      <c r="AT2961" s="38"/>
      <c r="AU2961" s="38"/>
      <c r="AV2961" s="38"/>
      <c r="AW2961" s="38"/>
      <c r="AX2961" s="38"/>
      <c r="AY2961" s="38"/>
      <c r="AZ2961" s="38"/>
      <c r="BA2961" s="38"/>
      <c r="BB2961" s="38"/>
      <c r="BC2961" s="38"/>
      <c r="BD2961" s="38"/>
      <c r="BE2961" s="38"/>
      <c r="BF2961" s="38"/>
      <c r="BG2961" s="38"/>
      <c r="BH2961" s="38"/>
      <c r="BI2961" s="38"/>
      <c r="BJ2961" s="38"/>
      <c r="BK2961" s="38"/>
      <c r="BL2961" s="38"/>
      <c r="BM2961" s="38"/>
      <c r="BN2961" s="38"/>
      <c r="BO2961" s="38"/>
      <c r="BP2961" s="38"/>
      <c r="BQ2961" s="38"/>
    </row>
    <row r="2962">
      <c r="A2962" s="16"/>
      <c r="B2962" s="16"/>
      <c r="C2962" s="146"/>
      <c r="D2962" s="146"/>
      <c r="E2962" s="16"/>
      <c r="F2962" s="91"/>
      <c r="G2962" s="16"/>
      <c r="H2962" s="320" t="str">
        <f t="shared" si="33"/>
        <v/>
      </c>
      <c r="I2962" s="16"/>
      <c r="J2962" s="16"/>
      <c r="K2962" s="16"/>
      <c r="L2962" s="16"/>
      <c r="M2962" s="15"/>
      <c r="N2962" s="15"/>
      <c r="O2962" s="16"/>
      <c r="P2962" s="16"/>
      <c r="Q2962" s="16"/>
      <c r="R2962" s="16"/>
      <c r="S2962" s="37" t="str">
        <f>IFERROR(__xludf.DUMMYFUNCTION("if(not(iserror(index(split(C2962, "" ""),2))), index(split(C2962, "" ""),1),"""")"),"")</f>
        <v/>
      </c>
      <c r="T2962" s="315" t="str">
        <f>IFERROR(__xludf.DUMMYFUNCTION("if(S2962="""",C2962,if(not(iserror(index(split(C2962, "" ""),3))), index(split(C2962, "" ""),3),index(split(C2962, "" ""),2)))"),"")</f>
        <v/>
      </c>
      <c r="U2962" s="38" t="b">
        <f t="shared" si="34"/>
        <v>0</v>
      </c>
      <c r="V2962" s="38"/>
      <c r="W2962" s="40"/>
      <c r="X2962" s="40"/>
      <c r="Y2962" s="38"/>
      <c r="Z2962" s="38"/>
      <c r="AA2962" s="38"/>
      <c r="AB2962" s="38"/>
      <c r="AC2962" s="38"/>
      <c r="AD2962" s="38"/>
      <c r="AE2962" s="38"/>
      <c r="AF2962" s="38"/>
      <c r="AG2962" s="38"/>
      <c r="AH2962" s="38"/>
      <c r="AI2962" s="38"/>
      <c r="AJ2962" s="38"/>
      <c r="AK2962" s="38"/>
      <c r="AL2962" s="38"/>
      <c r="AM2962" s="38"/>
      <c r="AN2962" s="38"/>
      <c r="AO2962" s="38"/>
      <c r="AP2962" s="38"/>
      <c r="AQ2962" s="38"/>
      <c r="AR2962" s="38"/>
      <c r="AS2962" s="38"/>
      <c r="AT2962" s="38"/>
      <c r="AU2962" s="38"/>
      <c r="AV2962" s="38"/>
      <c r="AW2962" s="38"/>
      <c r="AX2962" s="38"/>
      <c r="AY2962" s="38"/>
      <c r="AZ2962" s="38"/>
      <c r="BA2962" s="38"/>
      <c r="BB2962" s="38"/>
      <c r="BC2962" s="38"/>
      <c r="BD2962" s="38"/>
      <c r="BE2962" s="38"/>
      <c r="BF2962" s="38"/>
      <c r="BG2962" s="38"/>
      <c r="BH2962" s="38"/>
      <c r="BI2962" s="38"/>
      <c r="BJ2962" s="38"/>
      <c r="BK2962" s="38"/>
      <c r="BL2962" s="38"/>
      <c r="BM2962" s="38"/>
      <c r="BN2962" s="38"/>
      <c r="BO2962" s="38"/>
      <c r="BP2962" s="38"/>
      <c r="BQ2962" s="38"/>
    </row>
    <row r="2963">
      <c r="A2963" s="16"/>
      <c r="B2963" s="16"/>
      <c r="C2963" s="146"/>
      <c r="D2963" s="146"/>
      <c r="E2963" s="16"/>
      <c r="F2963" s="91"/>
      <c r="G2963" s="16"/>
      <c r="H2963" s="320" t="str">
        <f t="shared" si="33"/>
        <v/>
      </c>
      <c r="I2963" s="16"/>
      <c r="J2963" s="16"/>
      <c r="K2963" s="16"/>
      <c r="L2963" s="16"/>
      <c r="M2963" s="15"/>
      <c r="N2963" s="15"/>
      <c r="O2963" s="16"/>
      <c r="P2963" s="16"/>
      <c r="Q2963" s="16"/>
      <c r="R2963" s="16"/>
      <c r="S2963" s="37" t="str">
        <f>IFERROR(__xludf.DUMMYFUNCTION("if(not(iserror(index(split(C2963, "" ""),2))), index(split(C2963, "" ""),1),"""")"),"")</f>
        <v/>
      </c>
      <c r="T2963" s="315" t="str">
        <f>IFERROR(__xludf.DUMMYFUNCTION("if(S2963="""",C2963,if(not(iserror(index(split(C2963, "" ""),3))), index(split(C2963, "" ""),3),index(split(C2963, "" ""),2)))"),"")</f>
        <v/>
      </c>
      <c r="U2963" s="38" t="b">
        <f t="shared" si="34"/>
        <v>0</v>
      </c>
      <c r="V2963" s="38"/>
      <c r="W2963" s="40"/>
      <c r="X2963" s="40"/>
      <c r="Y2963" s="38"/>
      <c r="Z2963" s="38"/>
      <c r="AA2963" s="38"/>
      <c r="AB2963" s="38"/>
      <c r="AC2963" s="38"/>
      <c r="AD2963" s="38"/>
      <c r="AE2963" s="38"/>
      <c r="AF2963" s="38"/>
      <c r="AG2963" s="38"/>
      <c r="AH2963" s="38"/>
      <c r="AI2963" s="38"/>
      <c r="AJ2963" s="38"/>
      <c r="AK2963" s="38"/>
      <c r="AL2963" s="38"/>
      <c r="AM2963" s="38"/>
      <c r="AN2963" s="38"/>
      <c r="AO2963" s="38"/>
      <c r="AP2963" s="38"/>
      <c r="AQ2963" s="38"/>
      <c r="AR2963" s="38"/>
      <c r="AS2963" s="38"/>
      <c r="AT2963" s="38"/>
      <c r="AU2963" s="38"/>
      <c r="AV2963" s="38"/>
      <c r="AW2963" s="38"/>
      <c r="AX2963" s="38"/>
      <c r="AY2963" s="38"/>
      <c r="AZ2963" s="38"/>
      <c r="BA2963" s="38"/>
      <c r="BB2963" s="38"/>
      <c r="BC2963" s="38"/>
      <c r="BD2963" s="38"/>
      <c r="BE2963" s="38"/>
      <c r="BF2963" s="38"/>
      <c r="BG2963" s="38"/>
      <c r="BH2963" s="38"/>
      <c r="BI2963" s="38"/>
      <c r="BJ2963" s="38"/>
      <c r="BK2963" s="38"/>
      <c r="BL2963" s="38"/>
      <c r="BM2963" s="38"/>
      <c r="BN2963" s="38"/>
      <c r="BO2963" s="38"/>
      <c r="BP2963" s="38"/>
      <c r="BQ2963" s="38"/>
    </row>
    <row r="2964">
      <c r="A2964" s="16"/>
      <c r="B2964" s="16"/>
      <c r="C2964" s="146"/>
      <c r="D2964" s="146"/>
      <c r="E2964" s="16"/>
      <c r="F2964" s="91"/>
      <c r="G2964" s="16"/>
      <c r="H2964" s="320" t="str">
        <f t="shared" si="33"/>
        <v/>
      </c>
      <c r="I2964" s="16"/>
      <c r="J2964" s="16"/>
      <c r="K2964" s="16"/>
      <c r="L2964" s="16"/>
      <c r="M2964" s="15"/>
      <c r="N2964" s="15"/>
      <c r="O2964" s="16"/>
      <c r="P2964" s="16"/>
      <c r="Q2964" s="16"/>
      <c r="R2964" s="16"/>
      <c r="S2964" s="37" t="str">
        <f>IFERROR(__xludf.DUMMYFUNCTION("if(not(iserror(index(split(C2964, "" ""),2))), index(split(C2964, "" ""),1),"""")"),"")</f>
        <v/>
      </c>
      <c r="T2964" s="315" t="str">
        <f>IFERROR(__xludf.DUMMYFUNCTION("if(S2964="""",C2964,if(not(iserror(index(split(C2964, "" ""),3))), index(split(C2964, "" ""),3),index(split(C2964, "" ""),2)))"),"")</f>
        <v/>
      </c>
      <c r="U2964" s="38" t="b">
        <f t="shared" si="34"/>
        <v>0</v>
      </c>
      <c r="V2964" s="38"/>
      <c r="W2964" s="40"/>
      <c r="X2964" s="40"/>
      <c r="Y2964" s="38"/>
      <c r="Z2964" s="38"/>
      <c r="AA2964" s="38"/>
      <c r="AB2964" s="38"/>
      <c r="AC2964" s="38"/>
      <c r="AD2964" s="38"/>
      <c r="AE2964" s="38"/>
      <c r="AF2964" s="38"/>
      <c r="AG2964" s="38"/>
      <c r="AH2964" s="38"/>
      <c r="AI2964" s="38"/>
      <c r="AJ2964" s="38"/>
      <c r="AK2964" s="38"/>
      <c r="AL2964" s="38"/>
      <c r="AM2964" s="38"/>
      <c r="AN2964" s="38"/>
      <c r="AO2964" s="38"/>
      <c r="AP2964" s="38"/>
      <c r="AQ2964" s="38"/>
      <c r="AR2964" s="38"/>
      <c r="AS2964" s="38"/>
      <c r="AT2964" s="38"/>
      <c r="AU2964" s="38"/>
      <c r="AV2964" s="38"/>
      <c r="AW2964" s="38"/>
      <c r="AX2964" s="38"/>
      <c r="AY2964" s="38"/>
      <c r="AZ2964" s="38"/>
      <c r="BA2964" s="38"/>
      <c r="BB2964" s="38"/>
      <c r="BC2964" s="38"/>
      <c r="BD2964" s="38"/>
      <c r="BE2964" s="38"/>
      <c r="BF2964" s="38"/>
      <c r="BG2964" s="38"/>
      <c r="BH2964" s="38"/>
      <c r="BI2964" s="38"/>
      <c r="BJ2964" s="38"/>
      <c r="BK2964" s="38"/>
      <c r="BL2964" s="38"/>
      <c r="BM2964" s="38"/>
      <c r="BN2964" s="38"/>
      <c r="BO2964" s="38"/>
      <c r="BP2964" s="38"/>
      <c r="BQ2964" s="38"/>
    </row>
    <row r="2965">
      <c r="A2965" s="16"/>
      <c r="B2965" s="16"/>
      <c r="C2965" s="146"/>
      <c r="D2965" s="146"/>
      <c r="E2965" s="16"/>
      <c r="F2965" s="91"/>
      <c r="G2965" s="16"/>
      <c r="H2965" s="320" t="str">
        <f t="shared" si="33"/>
        <v/>
      </c>
      <c r="I2965" s="16"/>
      <c r="J2965" s="16"/>
      <c r="K2965" s="16"/>
      <c r="L2965" s="16"/>
      <c r="M2965" s="15"/>
      <c r="N2965" s="15"/>
      <c r="O2965" s="16"/>
      <c r="P2965" s="16"/>
      <c r="Q2965" s="16"/>
      <c r="R2965" s="16"/>
      <c r="S2965" s="37" t="str">
        <f>IFERROR(__xludf.DUMMYFUNCTION("if(not(iserror(index(split(C2965, "" ""),2))), index(split(C2965, "" ""),1),"""")"),"")</f>
        <v/>
      </c>
      <c r="T2965" s="315" t="str">
        <f>IFERROR(__xludf.DUMMYFUNCTION("if(S2965="""",C2965,if(not(iserror(index(split(C2965, "" ""),3))), index(split(C2965, "" ""),3),index(split(C2965, "" ""),2)))"),"")</f>
        <v/>
      </c>
      <c r="U2965" s="38" t="b">
        <f t="shared" si="34"/>
        <v>0</v>
      </c>
      <c r="V2965" s="38"/>
      <c r="W2965" s="40"/>
      <c r="X2965" s="40"/>
      <c r="Y2965" s="38"/>
      <c r="Z2965" s="38"/>
      <c r="AA2965" s="38"/>
      <c r="AB2965" s="38"/>
      <c r="AC2965" s="38"/>
      <c r="AD2965" s="38"/>
      <c r="AE2965" s="38"/>
      <c r="AF2965" s="38"/>
      <c r="AG2965" s="38"/>
      <c r="AH2965" s="38"/>
      <c r="AI2965" s="38"/>
      <c r="AJ2965" s="38"/>
      <c r="AK2965" s="38"/>
      <c r="AL2965" s="38"/>
      <c r="AM2965" s="38"/>
      <c r="AN2965" s="38"/>
      <c r="AO2965" s="38"/>
      <c r="AP2965" s="38"/>
      <c r="AQ2965" s="38"/>
      <c r="AR2965" s="38"/>
      <c r="AS2965" s="38"/>
      <c r="AT2965" s="38"/>
      <c r="AU2965" s="38"/>
      <c r="AV2965" s="38"/>
      <c r="AW2965" s="38"/>
      <c r="AX2965" s="38"/>
      <c r="AY2965" s="38"/>
      <c r="AZ2965" s="38"/>
      <c r="BA2965" s="38"/>
      <c r="BB2965" s="38"/>
      <c r="BC2965" s="38"/>
      <c r="BD2965" s="38"/>
      <c r="BE2965" s="38"/>
      <c r="BF2965" s="38"/>
      <c r="BG2965" s="38"/>
      <c r="BH2965" s="38"/>
      <c r="BI2965" s="38"/>
      <c r="BJ2965" s="38"/>
      <c r="BK2965" s="38"/>
      <c r="BL2965" s="38"/>
      <c r="BM2965" s="38"/>
      <c r="BN2965" s="38"/>
      <c r="BO2965" s="38"/>
      <c r="BP2965" s="38"/>
      <c r="BQ2965" s="38"/>
    </row>
    <row r="2966">
      <c r="A2966" s="16"/>
      <c r="B2966" s="16"/>
      <c r="C2966" s="146"/>
      <c r="D2966" s="146"/>
      <c r="E2966" s="16"/>
      <c r="F2966" s="91"/>
      <c r="G2966" s="16"/>
      <c r="H2966" s="320" t="str">
        <f t="shared" si="33"/>
        <v/>
      </c>
      <c r="I2966" s="16"/>
      <c r="J2966" s="16"/>
      <c r="K2966" s="16"/>
      <c r="L2966" s="16"/>
      <c r="M2966" s="15"/>
      <c r="N2966" s="15"/>
      <c r="O2966" s="16"/>
      <c r="P2966" s="16"/>
      <c r="Q2966" s="16"/>
      <c r="R2966" s="16"/>
      <c r="S2966" s="37" t="str">
        <f>IFERROR(__xludf.DUMMYFUNCTION("if(not(iserror(index(split(C2966, "" ""),2))), index(split(C2966, "" ""),1),"""")"),"")</f>
        <v/>
      </c>
      <c r="T2966" s="315" t="str">
        <f>IFERROR(__xludf.DUMMYFUNCTION("if(S2966="""",C2966,if(not(iserror(index(split(C2966, "" ""),3))), index(split(C2966, "" ""),3),index(split(C2966, "" ""),2)))"),"")</f>
        <v/>
      </c>
      <c r="U2966" s="38" t="b">
        <f t="shared" si="34"/>
        <v>0</v>
      </c>
      <c r="V2966" s="38"/>
      <c r="W2966" s="40"/>
      <c r="X2966" s="40"/>
      <c r="Y2966" s="38"/>
      <c r="Z2966" s="38"/>
      <c r="AA2966" s="38"/>
      <c r="AB2966" s="38"/>
      <c r="AC2966" s="38"/>
      <c r="AD2966" s="38"/>
      <c r="AE2966" s="38"/>
      <c r="AF2966" s="38"/>
      <c r="AG2966" s="38"/>
      <c r="AH2966" s="38"/>
      <c r="AI2966" s="38"/>
      <c r="AJ2966" s="38"/>
      <c r="AK2966" s="38"/>
      <c r="AL2966" s="38"/>
      <c r="AM2966" s="38"/>
      <c r="AN2966" s="38"/>
      <c r="AO2966" s="38"/>
      <c r="AP2966" s="38"/>
      <c r="AQ2966" s="38"/>
      <c r="AR2966" s="38"/>
      <c r="AS2966" s="38"/>
      <c r="AT2966" s="38"/>
      <c r="AU2966" s="38"/>
      <c r="AV2966" s="38"/>
      <c r="AW2966" s="38"/>
      <c r="AX2966" s="38"/>
      <c r="AY2966" s="38"/>
      <c r="AZ2966" s="38"/>
      <c r="BA2966" s="38"/>
      <c r="BB2966" s="38"/>
      <c r="BC2966" s="38"/>
      <c r="BD2966" s="38"/>
      <c r="BE2966" s="38"/>
      <c r="BF2966" s="38"/>
      <c r="BG2966" s="38"/>
      <c r="BH2966" s="38"/>
      <c r="BI2966" s="38"/>
      <c r="BJ2966" s="38"/>
      <c r="BK2966" s="38"/>
      <c r="BL2966" s="38"/>
      <c r="BM2966" s="38"/>
      <c r="BN2966" s="38"/>
      <c r="BO2966" s="38"/>
      <c r="BP2966" s="38"/>
      <c r="BQ2966" s="38"/>
    </row>
    <row r="2967">
      <c r="A2967" s="16"/>
      <c r="B2967" s="16"/>
      <c r="C2967" s="146"/>
      <c r="D2967" s="146"/>
      <c r="E2967" s="16"/>
      <c r="F2967" s="91"/>
      <c r="G2967" s="16"/>
      <c r="H2967" s="320" t="str">
        <f t="shared" si="33"/>
        <v/>
      </c>
      <c r="I2967" s="16"/>
      <c r="J2967" s="16"/>
      <c r="K2967" s="16"/>
      <c r="L2967" s="16"/>
      <c r="M2967" s="15"/>
      <c r="N2967" s="15"/>
      <c r="O2967" s="16"/>
      <c r="P2967" s="16"/>
      <c r="Q2967" s="16"/>
      <c r="R2967" s="16"/>
      <c r="S2967" s="37" t="str">
        <f>IFERROR(__xludf.DUMMYFUNCTION("if(not(iserror(index(split(C2967, "" ""),2))), index(split(C2967, "" ""),1),"""")"),"")</f>
        <v/>
      </c>
      <c r="T2967" s="315" t="str">
        <f>IFERROR(__xludf.DUMMYFUNCTION("if(S2967="""",C2967,if(not(iserror(index(split(C2967, "" ""),3))), index(split(C2967, "" ""),3),index(split(C2967, "" ""),2)))"),"")</f>
        <v/>
      </c>
      <c r="U2967" s="38" t="b">
        <f t="shared" si="34"/>
        <v>0</v>
      </c>
      <c r="V2967" s="38"/>
      <c r="W2967" s="40"/>
      <c r="X2967" s="40"/>
      <c r="Y2967" s="38"/>
      <c r="Z2967" s="38"/>
      <c r="AA2967" s="38"/>
      <c r="AB2967" s="38"/>
      <c r="AC2967" s="38"/>
      <c r="AD2967" s="38"/>
      <c r="AE2967" s="38"/>
      <c r="AF2967" s="38"/>
      <c r="AG2967" s="38"/>
      <c r="AH2967" s="38"/>
      <c r="AI2967" s="38"/>
      <c r="AJ2967" s="38"/>
      <c r="AK2967" s="38"/>
      <c r="AL2967" s="38"/>
      <c r="AM2967" s="38"/>
      <c r="AN2967" s="38"/>
      <c r="AO2967" s="38"/>
      <c r="AP2967" s="38"/>
      <c r="AQ2967" s="38"/>
      <c r="AR2967" s="38"/>
      <c r="AS2967" s="38"/>
      <c r="AT2967" s="38"/>
      <c r="AU2967" s="38"/>
      <c r="AV2967" s="38"/>
      <c r="AW2967" s="38"/>
      <c r="AX2967" s="38"/>
      <c r="AY2967" s="38"/>
      <c r="AZ2967" s="38"/>
      <c r="BA2967" s="38"/>
      <c r="BB2967" s="38"/>
      <c r="BC2967" s="38"/>
      <c r="BD2967" s="38"/>
      <c r="BE2967" s="38"/>
      <c r="BF2967" s="38"/>
      <c r="BG2967" s="38"/>
      <c r="BH2967" s="38"/>
      <c r="BI2967" s="38"/>
      <c r="BJ2967" s="38"/>
      <c r="BK2967" s="38"/>
      <c r="BL2967" s="38"/>
      <c r="BM2967" s="38"/>
      <c r="BN2967" s="38"/>
      <c r="BO2967" s="38"/>
      <c r="BP2967" s="38"/>
      <c r="BQ2967" s="38"/>
    </row>
    <row r="2968">
      <c r="A2968" s="16"/>
      <c r="B2968" s="16"/>
      <c r="C2968" s="146"/>
      <c r="D2968" s="146"/>
      <c r="E2968" s="16"/>
      <c r="F2968" s="91"/>
      <c r="G2968" s="16"/>
      <c r="H2968" s="320" t="str">
        <f t="shared" si="33"/>
        <v/>
      </c>
      <c r="I2968" s="16"/>
      <c r="J2968" s="16"/>
      <c r="K2968" s="16"/>
      <c r="L2968" s="16"/>
      <c r="M2968" s="15"/>
      <c r="N2968" s="15"/>
      <c r="O2968" s="16"/>
      <c r="P2968" s="16"/>
      <c r="Q2968" s="16"/>
      <c r="R2968" s="16"/>
      <c r="S2968" s="37" t="str">
        <f>IFERROR(__xludf.DUMMYFUNCTION("if(not(iserror(index(split(C2968, "" ""),2))), index(split(C2968, "" ""),1),"""")"),"")</f>
        <v/>
      </c>
      <c r="T2968" s="315" t="str">
        <f>IFERROR(__xludf.DUMMYFUNCTION("if(S2968="""",C2968,if(not(iserror(index(split(C2968, "" ""),3))), index(split(C2968, "" ""),3),index(split(C2968, "" ""),2)))"),"")</f>
        <v/>
      </c>
      <c r="U2968" s="38" t="b">
        <f t="shared" si="34"/>
        <v>0</v>
      </c>
      <c r="V2968" s="38"/>
      <c r="W2968" s="40"/>
      <c r="X2968" s="40"/>
      <c r="Y2968" s="38"/>
      <c r="Z2968" s="38"/>
      <c r="AA2968" s="38"/>
      <c r="AB2968" s="38"/>
      <c r="AC2968" s="38"/>
      <c r="AD2968" s="38"/>
      <c r="AE2968" s="38"/>
      <c r="AF2968" s="38"/>
      <c r="AG2968" s="38"/>
      <c r="AH2968" s="38"/>
      <c r="AI2968" s="38"/>
      <c r="AJ2968" s="38"/>
      <c r="AK2968" s="38"/>
      <c r="AL2968" s="38"/>
      <c r="AM2968" s="38"/>
      <c r="AN2968" s="38"/>
      <c r="AO2968" s="38"/>
      <c r="AP2968" s="38"/>
      <c r="AQ2968" s="38"/>
      <c r="AR2968" s="38"/>
      <c r="AS2968" s="38"/>
      <c r="AT2968" s="38"/>
      <c r="AU2968" s="38"/>
      <c r="AV2968" s="38"/>
      <c r="AW2968" s="38"/>
      <c r="AX2968" s="38"/>
      <c r="AY2968" s="38"/>
      <c r="AZ2968" s="38"/>
      <c r="BA2968" s="38"/>
      <c r="BB2968" s="38"/>
      <c r="BC2968" s="38"/>
      <c r="BD2968" s="38"/>
      <c r="BE2968" s="38"/>
      <c r="BF2968" s="38"/>
      <c r="BG2968" s="38"/>
      <c r="BH2968" s="38"/>
      <c r="BI2968" s="38"/>
      <c r="BJ2968" s="38"/>
      <c r="BK2968" s="38"/>
      <c r="BL2968" s="38"/>
      <c r="BM2968" s="38"/>
      <c r="BN2968" s="38"/>
      <c r="BO2968" s="38"/>
      <c r="BP2968" s="38"/>
      <c r="BQ2968" s="38"/>
    </row>
    <row r="2969">
      <c r="A2969" s="16"/>
      <c r="B2969" s="16"/>
      <c r="C2969" s="146"/>
      <c r="D2969" s="146"/>
      <c r="E2969" s="16"/>
      <c r="F2969" s="91"/>
      <c r="G2969" s="16"/>
      <c r="H2969" s="320" t="str">
        <f t="shared" si="33"/>
        <v/>
      </c>
      <c r="I2969" s="16"/>
      <c r="J2969" s="16"/>
      <c r="K2969" s="16"/>
      <c r="L2969" s="16"/>
      <c r="M2969" s="15"/>
      <c r="N2969" s="15"/>
      <c r="O2969" s="16"/>
      <c r="P2969" s="16"/>
      <c r="Q2969" s="16"/>
      <c r="R2969" s="16"/>
      <c r="S2969" s="37" t="str">
        <f>IFERROR(__xludf.DUMMYFUNCTION("if(not(iserror(index(split(C2969, "" ""),2))), index(split(C2969, "" ""),1),"""")"),"")</f>
        <v/>
      </c>
      <c r="T2969" s="315" t="str">
        <f>IFERROR(__xludf.DUMMYFUNCTION("if(S2969="""",C2969,if(not(iserror(index(split(C2969, "" ""),3))), index(split(C2969, "" ""),3),index(split(C2969, "" ""),2)))"),"")</f>
        <v/>
      </c>
      <c r="U2969" s="38" t="b">
        <f t="shared" si="34"/>
        <v>0</v>
      </c>
      <c r="V2969" s="38"/>
      <c r="W2969" s="40"/>
      <c r="X2969" s="40"/>
      <c r="Y2969" s="38"/>
      <c r="Z2969" s="38"/>
      <c r="AA2969" s="38"/>
      <c r="AB2969" s="38"/>
      <c r="AC2969" s="38"/>
      <c r="AD2969" s="38"/>
      <c r="AE2969" s="38"/>
      <c r="AF2969" s="38"/>
      <c r="AG2969" s="38"/>
      <c r="AH2969" s="38"/>
      <c r="AI2969" s="38"/>
      <c r="AJ2969" s="38"/>
      <c r="AK2969" s="38"/>
      <c r="AL2969" s="38"/>
      <c r="AM2969" s="38"/>
      <c r="AN2969" s="38"/>
      <c r="AO2969" s="38"/>
      <c r="AP2969" s="38"/>
      <c r="AQ2969" s="38"/>
      <c r="AR2969" s="38"/>
      <c r="AS2969" s="38"/>
      <c r="AT2969" s="38"/>
      <c r="AU2969" s="38"/>
      <c r="AV2969" s="38"/>
      <c r="AW2969" s="38"/>
      <c r="AX2969" s="38"/>
      <c r="AY2969" s="38"/>
      <c r="AZ2969" s="38"/>
      <c r="BA2969" s="38"/>
      <c r="BB2969" s="38"/>
      <c r="BC2969" s="38"/>
      <c r="BD2969" s="38"/>
      <c r="BE2969" s="38"/>
      <c r="BF2969" s="38"/>
      <c r="BG2969" s="38"/>
      <c r="BH2969" s="38"/>
      <c r="BI2969" s="38"/>
      <c r="BJ2969" s="38"/>
      <c r="BK2969" s="38"/>
      <c r="BL2969" s="38"/>
      <c r="BM2969" s="38"/>
      <c r="BN2969" s="38"/>
      <c r="BO2969" s="38"/>
      <c r="BP2969" s="38"/>
      <c r="BQ2969" s="38"/>
    </row>
    <row r="2970">
      <c r="A2970" s="16"/>
      <c r="B2970" s="16"/>
      <c r="C2970" s="146"/>
      <c r="D2970" s="146"/>
      <c r="E2970" s="16"/>
      <c r="F2970" s="91"/>
      <c r="G2970" s="16"/>
      <c r="H2970" s="320" t="str">
        <f t="shared" si="33"/>
        <v/>
      </c>
      <c r="I2970" s="16"/>
      <c r="J2970" s="16"/>
      <c r="K2970" s="16"/>
      <c r="L2970" s="16"/>
      <c r="M2970" s="15"/>
      <c r="N2970" s="15"/>
      <c r="O2970" s="16"/>
      <c r="P2970" s="16"/>
      <c r="Q2970" s="16"/>
      <c r="R2970" s="16"/>
      <c r="S2970" s="37" t="str">
        <f>IFERROR(__xludf.DUMMYFUNCTION("if(not(iserror(index(split(C2970, "" ""),2))), index(split(C2970, "" ""),1),"""")"),"")</f>
        <v/>
      </c>
      <c r="T2970" s="315" t="str">
        <f>IFERROR(__xludf.DUMMYFUNCTION("if(S2970="""",C2970,if(not(iserror(index(split(C2970, "" ""),3))), index(split(C2970, "" ""),3),index(split(C2970, "" ""),2)))"),"")</f>
        <v/>
      </c>
      <c r="U2970" s="38" t="b">
        <f t="shared" si="34"/>
        <v>0</v>
      </c>
      <c r="V2970" s="38"/>
      <c r="W2970" s="40"/>
      <c r="X2970" s="40"/>
      <c r="Y2970" s="38"/>
      <c r="Z2970" s="38"/>
      <c r="AA2970" s="38"/>
      <c r="AB2970" s="38"/>
      <c r="AC2970" s="38"/>
      <c r="AD2970" s="38"/>
      <c r="AE2970" s="38"/>
      <c r="AF2970" s="38"/>
      <c r="AG2970" s="38"/>
      <c r="AH2970" s="38"/>
      <c r="AI2970" s="38"/>
      <c r="AJ2970" s="38"/>
      <c r="AK2970" s="38"/>
      <c r="AL2970" s="38"/>
      <c r="AM2970" s="38"/>
      <c r="AN2970" s="38"/>
      <c r="AO2970" s="38"/>
      <c r="AP2970" s="38"/>
      <c r="AQ2970" s="38"/>
      <c r="AR2970" s="38"/>
      <c r="AS2970" s="38"/>
      <c r="AT2970" s="38"/>
      <c r="AU2970" s="38"/>
      <c r="AV2970" s="38"/>
      <c r="AW2970" s="38"/>
      <c r="AX2970" s="38"/>
      <c r="AY2970" s="38"/>
      <c r="AZ2970" s="38"/>
      <c r="BA2970" s="38"/>
      <c r="BB2970" s="38"/>
      <c r="BC2970" s="38"/>
      <c r="BD2970" s="38"/>
      <c r="BE2970" s="38"/>
      <c r="BF2970" s="38"/>
      <c r="BG2970" s="38"/>
      <c r="BH2970" s="38"/>
      <c r="BI2970" s="38"/>
      <c r="BJ2970" s="38"/>
      <c r="BK2970" s="38"/>
      <c r="BL2970" s="38"/>
      <c r="BM2970" s="38"/>
      <c r="BN2970" s="38"/>
      <c r="BO2970" s="38"/>
      <c r="BP2970" s="38"/>
      <c r="BQ2970" s="38"/>
    </row>
    <row r="2971">
      <c r="A2971" s="16"/>
      <c r="B2971" s="16"/>
      <c r="C2971" s="146"/>
      <c r="D2971" s="146"/>
      <c r="E2971" s="16"/>
      <c r="F2971" s="91"/>
      <c r="G2971" s="16"/>
      <c r="H2971" s="320" t="str">
        <f t="shared" si="33"/>
        <v/>
      </c>
      <c r="I2971" s="16"/>
      <c r="J2971" s="16"/>
      <c r="K2971" s="16"/>
      <c r="L2971" s="16"/>
      <c r="M2971" s="15"/>
      <c r="N2971" s="15"/>
      <c r="O2971" s="16"/>
      <c r="P2971" s="16"/>
      <c r="Q2971" s="16"/>
      <c r="R2971" s="16"/>
      <c r="S2971" s="37" t="str">
        <f>IFERROR(__xludf.DUMMYFUNCTION("if(not(iserror(index(split(C2971, "" ""),2))), index(split(C2971, "" ""),1),"""")"),"")</f>
        <v/>
      </c>
      <c r="T2971" s="315" t="str">
        <f>IFERROR(__xludf.DUMMYFUNCTION("if(S2971="""",C2971,if(not(iserror(index(split(C2971, "" ""),3))), index(split(C2971, "" ""),3),index(split(C2971, "" ""),2)))"),"")</f>
        <v/>
      </c>
      <c r="U2971" s="38" t="b">
        <f t="shared" si="34"/>
        <v>0</v>
      </c>
      <c r="V2971" s="38"/>
      <c r="W2971" s="40"/>
      <c r="X2971" s="40"/>
      <c r="Y2971" s="38"/>
      <c r="Z2971" s="38"/>
      <c r="AA2971" s="38"/>
      <c r="AB2971" s="38"/>
      <c r="AC2971" s="38"/>
      <c r="AD2971" s="38"/>
      <c r="AE2971" s="38"/>
      <c r="AF2971" s="38"/>
      <c r="AG2971" s="38"/>
      <c r="AH2971" s="38"/>
      <c r="AI2971" s="38"/>
      <c r="AJ2971" s="38"/>
      <c r="AK2971" s="38"/>
      <c r="AL2971" s="38"/>
      <c r="AM2971" s="38"/>
      <c r="AN2971" s="38"/>
      <c r="AO2971" s="38"/>
      <c r="AP2971" s="38"/>
      <c r="AQ2971" s="38"/>
      <c r="AR2971" s="38"/>
      <c r="AS2971" s="38"/>
      <c r="AT2971" s="38"/>
      <c r="AU2971" s="38"/>
      <c r="AV2971" s="38"/>
      <c r="AW2971" s="38"/>
      <c r="AX2971" s="38"/>
      <c r="AY2971" s="38"/>
      <c r="AZ2971" s="38"/>
      <c r="BA2971" s="38"/>
      <c r="BB2971" s="38"/>
      <c r="BC2971" s="38"/>
      <c r="BD2971" s="38"/>
      <c r="BE2971" s="38"/>
      <c r="BF2971" s="38"/>
      <c r="BG2971" s="38"/>
      <c r="BH2971" s="38"/>
      <c r="BI2971" s="38"/>
      <c r="BJ2971" s="38"/>
      <c r="BK2971" s="38"/>
      <c r="BL2971" s="38"/>
      <c r="BM2971" s="38"/>
      <c r="BN2971" s="38"/>
      <c r="BO2971" s="38"/>
      <c r="BP2971" s="38"/>
      <c r="BQ2971" s="38"/>
    </row>
    <row r="2972">
      <c r="A2972" s="16"/>
      <c r="B2972" s="16"/>
      <c r="C2972" s="146"/>
      <c r="D2972" s="146"/>
      <c r="E2972" s="16"/>
      <c r="F2972" s="91"/>
      <c r="G2972" s="16"/>
      <c r="H2972" s="320" t="str">
        <f t="shared" si="33"/>
        <v/>
      </c>
      <c r="I2972" s="16"/>
      <c r="J2972" s="16"/>
      <c r="K2972" s="16"/>
      <c r="L2972" s="16"/>
      <c r="M2972" s="15"/>
      <c r="N2972" s="15"/>
      <c r="O2972" s="16"/>
      <c r="P2972" s="16"/>
      <c r="Q2972" s="16"/>
      <c r="R2972" s="16"/>
      <c r="S2972" s="37" t="str">
        <f>IFERROR(__xludf.DUMMYFUNCTION("if(not(iserror(index(split(C2972, "" ""),2))), index(split(C2972, "" ""),1),"""")"),"")</f>
        <v/>
      </c>
      <c r="T2972" s="315" t="str">
        <f>IFERROR(__xludf.DUMMYFUNCTION("if(S2972="""",C2972,if(not(iserror(index(split(C2972, "" ""),3))), index(split(C2972, "" ""),3),index(split(C2972, "" ""),2)))"),"")</f>
        <v/>
      </c>
      <c r="U2972" s="38" t="b">
        <f t="shared" si="34"/>
        <v>0</v>
      </c>
      <c r="V2972" s="38"/>
      <c r="W2972" s="40"/>
      <c r="X2972" s="40"/>
      <c r="Y2972" s="38"/>
      <c r="Z2972" s="38"/>
      <c r="AA2972" s="38"/>
      <c r="AB2972" s="38"/>
      <c r="AC2972" s="38"/>
      <c r="AD2972" s="38"/>
      <c r="AE2972" s="38"/>
      <c r="AF2972" s="38"/>
      <c r="AG2972" s="38"/>
      <c r="AH2972" s="38"/>
      <c r="AI2972" s="38"/>
      <c r="AJ2972" s="38"/>
      <c r="AK2972" s="38"/>
      <c r="AL2972" s="38"/>
      <c r="AM2972" s="38"/>
      <c r="AN2972" s="38"/>
      <c r="AO2972" s="38"/>
      <c r="AP2972" s="38"/>
      <c r="AQ2972" s="38"/>
      <c r="AR2972" s="38"/>
      <c r="AS2972" s="38"/>
      <c r="AT2972" s="38"/>
      <c r="AU2972" s="38"/>
      <c r="AV2972" s="38"/>
      <c r="AW2972" s="38"/>
      <c r="AX2972" s="38"/>
      <c r="AY2972" s="38"/>
      <c r="AZ2972" s="38"/>
      <c r="BA2972" s="38"/>
      <c r="BB2972" s="38"/>
      <c r="BC2972" s="38"/>
      <c r="BD2972" s="38"/>
      <c r="BE2972" s="38"/>
      <c r="BF2972" s="38"/>
      <c r="BG2972" s="38"/>
      <c r="BH2972" s="38"/>
      <c r="BI2972" s="38"/>
      <c r="BJ2972" s="38"/>
      <c r="BK2972" s="38"/>
      <c r="BL2972" s="38"/>
      <c r="BM2972" s="38"/>
      <c r="BN2972" s="38"/>
      <c r="BO2972" s="38"/>
      <c r="BP2972" s="38"/>
      <c r="BQ2972" s="38"/>
    </row>
    <row r="2973">
      <c r="A2973" s="16"/>
      <c r="B2973" s="16"/>
      <c r="C2973" s="146"/>
      <c r="D2973" s="146"/>
      <c r="E2973" s="16"/>
      <c r="F2973" s="91"/>
      <c r="G2973" s="16"/>
      <c r="H2973" s="320" t="str">
        <f t="shared" si="33"/>
        <v/>
      </c>
      <c r="I2973" s="16"/>
      <c r="J2973" s="16"/>
      <c r="K2973" s="16"/>
      <c r="L2973" s="16"/>
      <c r="M2973" s="15"/>
      <c r="N2973" s="15"/>
      <c r="O2973" s="16"/>
      <c r="P2973" s="16"/>
      <c r="Q2973" s="16"/>
      <c r="R2973" s="16"/>
      <c r="S2973" s="37" t="str">
        <f>IFERROR(__xludf.DUMMYFUNCTION("if(not(iserror(index(split(C2973, "" ""),2))), index(split(C2973, "" ""),1),"""")"),"")</f>
        <v/>
      </c>
      <c r="T2973" s="315" t="str">
        <f>IFERROR(__xludf.DUMMYFUNCTION("if(S2973="""",C2973,if(not(iserror(index(split(C2973, "" ""),3))), index(split(C2973, "" ""),3),index(split(C2973, "" ""),2)))"),"")</f>
        <v/>
      </c>
      <c r="U2973" s="38" t="b">
        <f t="shared" si="34"/>
        <v>0</v>
      </c>
      <c r="V2973" s="38"/>
      <c r="W2973" s="40"/>
      <c r="X2973" s="40"/>
      <c r="Y2973" s="38"/>
      <c r="Z2973" s="38"/>
      <c r="AA2973" s="38"/>
      <c r="AB2973" s="38"/>
      <c r="AC2973" s="38"/>
      <c r="AD2973" s="38"/>
      <c r="AE2973" s="38"/>
      <c r="AF2973" s="38"/>
      <c r="AG2973" s="38"/>
      <c r="AH2973" s="38"/>
      <c r="AI2973" s="38"/>
      <c r="AJ2973" s="38"/>
      <c r="AK2973" s="38"/>
      <c r="AL2973" s="38"/>
      <c r="AM2973" s="38"/>
      <c r="AN2973" s="38"/>
      <c r="AO2973" s="38"/>
      <c r="AP2973" s="38"/>
      <c r="AQ2973" s="38"/>
      <c r="AR2973" s="38"/>
      <c r="AS2973" s="38"/>
      <c r="AT2973" s="38"/>
      <c r="AU2973" s="38"/>
      <c r="AV2973" s="38"/>
      <c r="AW2973" s="38"/>
      <c r="AX2973" s="38"/>
      <c r="AY2973" s="38"/>
      <c r="AZ2973" s="38"/>
      <c r="BA2973" s="38"/>
      <c r="BB2973" s="38"/>
      <c r="BC2973" s="38"/>
      <c r="BD2973" s="38"/>
      <c r="BE2973" s="38"/>
      <c r="BF2973" s="38"/>
      <c r="BG2973" s="38"/>
      <c r="BH2973" s="38"/>
      <c r="BI2973" s="38"/>
      <c r="BJ2973" s="38"/>
      <c r="BK2973" s="38"/>
      <c r="BL2973" s="38"/>
      <c r="BM2973" s="38"/>
      <c r="BN2973" s="38"/>
      <c r="BO2973" s="38"/>
      <c r="BP2973" s="38"/>
      <c r="BQ2973" s="38"/>
    </row>
    <row r="2974">
      <c r="A2974" s="16"/>
      <c r="B2974" s="16"/>
      <c r="C2974" s="146"/>
      <c r="D2974" s="146"/>
      <c r="E2974" s="16"/>
      <c r="F2974" s="91"/>
      <c r="G2974" s="16"/>
      <c r="H2974" s="320" t="str">
        <f t="shared" si="33"/>
        <v/>
      </c>
      <c r="I2974" s="16"/>
      <c r="J2974" s="16"/>
      <c r="K2974" s="16"/>
      <c r="L2974" s="16"/>
      <c r="M2974" s="15"/>
      <c r="N2974" s="15"/>
      <c r="O2974" s="16"/>
      <c r="P2974" s="16"/>
      <c r="Q2974" s="16"/>
      <c r="R2974" s="16"/>
      <c r="S2974" s="37" t="str">
        <f>IFERROR(__xludf.DUMMYFUNCTION("if(not(iserror(index(split(C2974, "" ""),2))), index(split(C2974, "" ""),1),"""")"),"")</f>
        <v/>
      </c>
      <c r="T2974" s="315" t="str">
        <f>IFERROR(__xludf.DUMMYFUNCTION("if(S2974="""",C2974,if(not(iserror(index(split(C2974, "" ""),3))), index(split(C2974, "" ""),3),index(split(C2974, "" ""),2)))"),"")</f>
        <v/>
      </c>
      <c r="U2974" s="38" t="b">
        <f t="shared" si="34"/>
        <v>0</v>
      </c>
      <c r="V2974" s="38"/>
      <c r="W2974" s="40"/>
      <c r="X2974" s="40"/>
      <c r="Y2974" s="38"/>
      <c r="Z2974" s="38"/>
      <c r="AA2974" s="38"/>
      <c r="AB2974" s="38"/>
      <c r="AC2974" s="38"/>
      <c r="AD2974" s="38"/>
      <c r="AE2974" s="38"/>
      <c r="AF2974" s="38"/>
      <c r="AG2974" s="38"/>
      <c r="AH2974" s="38"/>
      <c r="AI2974" s="38"/>
      <c r="AJ2974" s="38"/>
      <c r="AK2974" s="38"/>
      <c r="AL2974" s="38"/>
      <c r="AM2974" s="38"/>
      <c r="AN2974" s="38"/>
      <c r="AO2974" s="38"/>
      <c r="AP2974" s="38"/>
      <c r="AQ2974" s="38"/>
      <c r="AR2974" s="38"/>
      <c r="AS2974" s="38"/>
      <c r="AT2974" s="38"/>
      <c r="AU2974" s="38"/>
      <c r="AV2974" s="38"/>
      <c r="AW2974" s="38"/>
      <c r="AX2974" s="38"/>
      <c r="AY2974" s="38"/>
      <c r="AZ2974" s="38"/>
      <c r="BA2974" s="38"/>
      <c r="BB2974" s="38"/>
      <c r="BC2974" s="38"/>
      <c r="BD2974" s="38"/>
      <c r="BE2974" s="38"/>
      <c r="BF2974" s="38"/>
      <c r="BG2974" s="38"/>
      <c r="BH2974" s="38"/>
      <c r="BI2974" s="38"/>
      <c r="BJ2974" s="38"/>
      <c r="BK2974" s="38"/>
      <c r="BL2974" s="38"/>
      <c r="BM2974" s="38"/>
      <c r="BN2974" s="38"/>
      <c r="BO2974" s="38"/>
      <c r="BP2974" s="38"/>
      <c r="BQ2974" s="38"/>
    </row>
    <row r="2975">
      <c r="A2975" s="16"/>
      <c r="B2975" s="16"/>
      <c r="C2975" s="146"/>
      <c r="D2975" s="146"/>
      <c r="E2975" s="16"/>
      <c r="F2975" s="91"/>
      <c r="G2975" s="16"/>
      <c r="H2975" s="320" t="str">
        <f t="shared" si="33"/>
        <v/>
      </c>
      <c r="I2975" s="16"/>
      <c r="J2975" s="16"/>
      <c r="K2975" s="16"/>
      <c r="L2975" s="16"/>
      <c r="M2975" s="15"/>
      <c r="N2975" s="15"/>
      <c r="O2975" s="16"/>
      <c r="P2975" s="16"/>
      <c r="Q2975" s="16"/>
      <c r="R2975" s="16"/>
      <c r="S2975" s="37" t="str">
        <f>IFERROR(__xludf.DUMMYFUNCTION("if(not(iserror(index(split(C2975, "" ""),2))), index(split(C2975, "" ""),1),"""")"),"")</f>
        <v/>
      </c>
      <c r="T2975" s="315" t="str">
        <f>IFERROR(__xludf.DUMMYFUNCTION("if(S2975="""",C2975,if(not(iserror(index(split(C2975, "" ""),3))), index(split(C2975, "" ""),3),index(split(C2975, "" ""),2)))"),"")</f>
        <v/>
      </c>
      <c r="U2975" s="38" t="b">
        <f t="shared" si="34"/>
        <v>0</v>
      </c>
      <c r="V2975" s="38"/>
      <c r="W2975" s="40"/>
      <c r="X2975" s="40"/>
      <c r="Y2975" s="38"/>
      <c r="Z2975" s="38"/>
      <c r="AA2975" s="38"/>
      <c r="AB2975" s="38"/>
      <c r="AC2975" s="38"/>
      <c r="AD2975" s="38"/>
      <c r="AE2975" s="38"/>
      <c r="AF2975" s="38"/>
      <c r="AG2975" s="38"/>
      <c r="AH2975" s="38"/>
      <c r="AI2975" s="38"/>
      <c r="AJ2975" s="38"/>
      <c r="AK2975" s="38"/>
      <c r="AL2975" s="38"/>
      <c r="AM2975" s="38"/>
      <c r="AN2975" s="38"/>
      <c r="AO2975" s="38"/>
      <c r="AP2975" s="38"/>
      <c r="AQ2975" s="38"/>
      <c r="AR2975" s="38"/>
      <c r="AS2975" s="38"/>
      <c r="AT2975" s="38"/>
      <c r="AU2975" s="38"/>
      <c r="AV2975" s="38"/>
      <c r="AW2975" s="38"/>
      <c r="AX2975" s="38"/>
      <c r="AY2975" s="38"/>
      <c r="AZ2975" s="38"/>
      <c r="BA2975" s="38"/>
      <c r="BB2975" s="38"/>
      <c r="BC2975" s="38"/>
      <c r="BD2975" s="38"/>
      <c r="BE2975" s="38"/>
      <c r="BF2975" s="38"/>
      <c r="BG2975" s="38"/>
      <c r="BH2975" s="38"/>
      <c r="BI2975" s="38"/>
      <c r="BJ2975" s="38"/>
      <c r="BK2975" s="38"/>
      <c r="BL2975" s="38"/>
      <c r="BM2975" s="38"/>
      <c r="BN2975" s="38"/>
      <c r="BO2975" s="38"/>
      <c r="BP2975" s="38"/>
      <c r="BQ2975" s="38"/>
    </row>
    <row r="2976">
      <c r="A2976" s="16"/>
      <c r="B2976" s="16"/>
      <c r="C2976" s="146"/>
      <c r="D2976" s="146"/>
      <c r="E2976" s="16"/>
      <c r="F2976" s="91"/>
      <c r="G2976" s="16"/>
      <c r="H2976" s="320" t="str">
        <f t="shared" si="33"/>
        <v/>
      </c>
      <c r="I2976" s="16"/>
      <c r="J2976" s="16"/>
      <c r="K2976" s="16"/>
      <c r="L2976" s="16"/>
      <c r="M2976" s="15"/>
      <c r="N2976" s="15"/>
      <c r="O2976" s="16"/>
      <c r="P2976" s="16"/>
      <c r="Q2976" s="16"/>
      <c r="R2976" s="16"/>
      <c r="S2976" s="37" t="str">
        <f>IFERROR(__xludf.DUMMYFUNCTION("if(not(iserror(index(split(C2976, "" ""),2))), index(split(C2976, "" ""),1),"""")"),"")</f>
        <v/>
      </c>
      <c r="T2976" s="315" t="str">
        <f>IFERROR(__xludf.DUMMYFUNCTION("if(S2976="""",C2976,if(not(iserror(index(split(C2976, "" ""),3))), index(split(C2976, "" ""),3),index(split(C2976, "" ""),2)))"),"")</f>
        <v/>
      </c>
      <c r="U2976" s="38" t="b">
        <f t="shared" si="34"/>
        <v>0</v>
      </c>
      <c r="V2976" s="38"/>
      <c r="W2976" s="40"/>
      <c r="X2976" s="40"/>
      <c r="Y2976" s="38"/>
      <c r="Z2976" s="38"/>
      <c r="AA2976" s="38"/>
      <c r="AB2976" s="38"/>
      <c r="AC2976" s="38"/>
      <c r="AD2976" s="38"/>
      <c r="AE2976" s="38"/>
      <c r="AF2976" s="38"/>
      <c r="AG2976" s="38"/>
      <c r="AH2976" s="38"/>
      <c r="AI2976" s="38"/>
      <c r="AJ2976" s="38"/>
      <c r="AK2976" s="38"/>
      <c r="AL2976" s="38"/>
      <c r="AM2976" s="38"/>
      <c r="AN2976" s="38"/>
      <c r="AO2976" s="38"/>
      <c r="AP2976" s="38"/>
      <c r="AQ2976" s="38"/>
      <c r="AR2976" s="38"/>
      <c r="AS2976" s="38"/>
      <c r="AT2976" s="38"/>
      <c r="AU2976" s="38"/>
      <c r="AV2976" s="38"/>
      <c r="AW2976" s="38"/>
      <c r="AX2976" s="38"/>
      <c r="AY2976" s="38"/>
      <c r="AZ2976" s="38"/>
      <c r="BA2976" s="38"/>
      <c r="BB2976" s="38"/>
      <c r="BC2976" s="38"/>
      <c r="BD2976" s="38"/>
      <c r="BE2976" s="38"/>
      <c r="BF2976" s="38"/>
      <c r="BG2976" s="38"/>
      <c r="BH2976" s="38"/>
      <c r="BI2976" s="38"/>
      <c r="BJ2976" s="38"/>
      <c r="BK2976" s="38"/>
      <c r="BL2976" s="38"/>
      <c r="BM2976" s="38"/>
      <c r="BN2976" s="38"/>
      <c r="BO2976" s="38"/>
      <c r="BP2976" s="38"/>
      <c r="BQ2976" s="38"/>
    </row>
    <row r="2977">
      <c r="A2977" s="16"/>
      <c r="B2977" s="16"/>
      <c r="C2977" s="146"/>
      <c r="D2977" s="146"/>
      <c r="E2977" s="16"/>
      <c r="F2977" s="91"/>
      <c r="G2977" s="16"/>
      <c r="H2977" s="320" t="str">
        <f t="shared" si="33"/>
        <v/>
      </c>
      <c r="I2977" s="16"/>
      <c r="J2977" s="16"/>
      <c r="K2977" s="16"/>
      <c r="L2977" s="16"/>
      <c r="M2977" s="15"/>
      <c r="N2977" s="15"/>
      <c r="O2977" s="16"/>
      <c r="P2977" s="16"/>
      <c r="Q2977" s="16"/>
      <c r="R2977" s="16"/>
      <c r="S2977" s="37" t="str">
        <f>IFERROR(__xludf.DUMMYFUNCTION("if(not(iserror(index(split(C2977, "" ""),2))), index(split(C2977, "" ""),1),"""")"),"")</f>
        <v/>
      </c>
      <c r="T2977" s="315" t="str">
        <f>IFERROR(__xludf.DUMMYFUNCTION("if(S2977="""",C2977,if(not(iserror(index(split(C2977, "" ""),3))), index(split(C2977, "" ""),3),index(split(C2977, "" ""),2)))"),"")</f>
        <v/>
      </c>
      <c r="U2977" s="38" t="b">
        <f t="shared" si="34"/>
        <v>0</v>
      </c>
      <c r="V2977" s="38"/>
      <c r="W2977" s="40"/>
      <c r="X2977" s="40"/>
      <c r="Y2977" s="38"/>
      <c r="Z2977" s="38"/>
      <c r="AA2977" s="38"/>
      <c r="AB2977" s="38"/>
      <c r="AC2977" s="38"/>
      <c r="AD2977" s="38"/>
      <c r="AE2977" s="38"/>
      <c r="AF2977" s="38"/>
      <c r="AG2977" s="38"/>
      <c r="AH2977" s="38"/>
      <c r="AI2977" s="38"/>
      <c r="AJ2977" s="38"/>
      <c r="AK2977" s="38"/>
      <c r="AL2977" s="38"/>
      <c r="AM2977" s="38"/>
      <c r="AN2977" s="38"/>
      <c r="AO2977" s="38"/>
      <c r="AP2977" s="38"/>
      <c r="AQ2977" s="38"/>
      <c r="AR2977" s="38"/>
      <c r="AS2977" s="38"/>
      <c r="AT2977" s="38"/>
      <c r="AU2977" s="38"/>
      <c r="AV2977" s="38"/>
      <c r="AW2977" s="38"/>
      <c r="AX2977" s="38"/>
      <c r="AY2977" s="38"/>
      <c r="AZ2977" s="38"/>
      <c r="BA2977" s="38"/>
      <c r="BB2977" s="38"/>
      <c r="BC2977" s="38"/>
      <c r="BD2977" s="38"/>
      <c r="BE2977" s="38"/>
      <c r="BF2977" s="38"/>
      <c r="BG2977" s="38"/>
      <c r="BH2977" s="38"/>
      <c r="BI2977" s="38"/>
      <c r="BJ2977" s="38"/>
      <c r="BK2977" s="38"/>
      <c r="BL2977" s="38"/>
      <c r="BM2977" s="38"/>
      <c r="BN2977" s="38"/>
      <c r="BO2977" s="38"/>
      <c r="BP2977" s="38"/>
      <c r="BQ2977" s="38"/>
    </row>
    <row r="2978">
      <c r="A2978" s="16"/>
      <c r="B2978" s="16"/>
      <c r="C2978" s="146"/>
      <c r="D2978" s="146"/>
      <c r="E2978" s="16"/>
      <c r="F2978" s="91"/>
      <c r="G2978" s="16"/>
      <c r="H2978" s="320" t="str">
        <f t="shared" si="33"/>
        <v/>
      </c>
      <c r="I2978" s="16"/>
      <c r="J2978" s="16"/>
      <c r="K2978" s="16"/>
      <c r="L2978" s="16"/>
      <c r="M2978" s="15"/>
      <c r="N2978" s="15"/>
      <c r="O2978" s="16"/>
      <c r="P2978" s="16"/>
      <c r="Q2978" s="16"/>
      <c r="R2978" s="16"/>
      <c r="S2978" s="37" t="str">
        <f>IFERROR(__xludf.DUMMYFUNCTION("if(not(iserror(index(split(C2978, "" ""),2))), index(split(C2978, "" ""),1),"""")"),"")</f>
        <v/>
      </c>
      <c r="T2978" s="315" t="str">
        <f>IFERROR(__xludf.DUMMYFUNCTION("if(S2978="""",C2978,if(not(iserror(index(split(C2978, "" ""),3))), index(split(C2978, "" ""),3),index(split(C2978, "" ""),2)))"),"")</f>
        <v/>
      </c>
      <c r="U2978" s="38" t="b">
        <f t="shared" si="34"/>
        <v>0</v>
      </c>
      <c r="V2978" s="38"/>
      <c r="W2978" s="40"/>
      <c r="X2978" s="40"/>
      <c r="Y2978" s="38"/>
      <c r="Z2978" s="38"/>
      <c r="AA2978" s="38"/>
      <c r="AB2978" s="38"/>
      <c r="AC2978" s="38"/>
      <c r="AD2978" s="38"/>
      <c r="AE2978" s="38"/>
      <c r="AF2978" s="38"/>
      <c r="AG2978" s="38"/>
      <c r="AH2978" s="38"/>
      <c r="AI2978" s="38"/>
      <c r="AJ2978" s="38"/>
      <c r="AK2978" s="38"/>
      <c r="AL2978" s="38"/>
      <c r="AM2978" s="38"/>
      <c r="AN2978" s="38"/>
      <c r="AO2978" s="38"/>
      <c r="AP2978" s="38"/>
      <c r="AQ2978" s="38"/>
      <c r="AR2978" s="38"/>
      <c r="AS2978" s="38"/>
      <c r="AT2978" s="38"/>
      <c r="AU2978" s="38"/>
      <c r="AV2978" s="38"/>
      <c r="AW2978" s="38"/>
      <c r="AX2978" s="38"/>
      <c r="AY2978" s="38"/>
      <c r="AZ2978" s="38"/>
      <c r="BA2978" s="38"/>
      <c r="BB2978" s="38"/>
      <c r="BC2978" s="38"/>
      <c r="BD2978" s="38"/>
      <c r="BE2978" s="38"/>
      <c r="BF2978" s="38"/>
      <c r="BG2978" s="38"/>
      <c r="BH2978" s="38"/>
      <c r="BI2978" s="38"/>
      <c r="BJ2978" s="38"/>
      <c r="BK2978" s="38"/>
      <c r="BL2978" s="38"/>
      <c r="BM2978" s="38"/>
      <c r="BN2978" s="38"/>
      <c r="BO2978" s="38"/>
      <c r="BP2978" s="38"/>
      <c r="BQ2978" s="38"/>
    </row>
    <row r="2979">
      <c r="A2979" s="16"/>
      <c r="B2979" s="16"/>
      <c r="C2979" s="146"/>
      <c r="D2979" s="146"/>
      <c r="E2979" s="16"/>
      <c r="F2979" s="91"/>
      <c r="G2979" s="16"/>
      <c r="H2979" s="320" t="str">
        <f t="shared" si="33"/>
        <v/>
      </c>
      <c r="I2979" s="16"/>
      <c r="J2979" s="16"/>
      <c r="K2979" s="16"/>
      <c r="L2979" s="16"/>
      <c r="M2979" s="15"/>
      <c r="N2979" s="15"/>
      <c r="O2979" s="16"/>
      <c r="P2979" s="16"/>
      <c r="Q2979" s="16"/>
      <c r="R2979" s="16"/>
      <c r="S2979" s="37" t="str">
        <f>IFERROR(__xludf.DUMMYFUNCTION("if(not(iserror(index(split(C2979, "" ""),2))), index(split(C2979, "" ""),1),"""")"),"")</f>
        <v/>
      </c>
      <c r="T2979" s="315" t="str">
        <f>IFERROR(__xludf.DUMMYFUNCTION("if(S2979="""",C2979,if(not(iserror(index(split(C2979, "" ""),3))), index(split(C2979, "" ""),3),index(split(C2979, "" ""),2)))"),"")</f>
        <v/>
      </c>
      <c r="U2979" s="38" t="b">
        <f t="shared" si="34"/>
        <v>0</v>
      </c>
      <c r="V2979" s="38"/>
      <c r="W2979" s="40"/>
      <c r="X2979" s="40"/>
      <c r="Y2979" s="38"/>
      <c r="Z2979" s="38"/>
      <c r="AA2979" s="38"/>
      <c r="AB2979" s="38"/>
      <c r="AC2979" s="38"/>
      <c r="AD2979" s="38"/>
      <c r="AE2979" s="38"/>
      <c r="AF2979" s="38"/>
      <c r="AG2979" s="38"/>
      <c r="AH2979" s="38"/>
      <c r="AI2979" s="38"/>
      <c r="AJ2979" s="38"/>
      <c r="AK2979" s="38"/>
      <c r="AL2979" s="38"/>
      <c r="AM2979" s="38"/>
      <c r="AN2979" s="38"/>
      <c r="AO2979" s="38"/>
      <c r="AP2979" s="38"/>
      <c r="AQ2979" s="38"/>
      <c r="AR2979" s="38"/>
      <c r="AS2979" s="38"/>
      <c r="AT2979" s="38"/>
      <c r="AU2979" s="38"/>
      <c r="AV2979" s="38"/>
      <c r="AW2979" s="38"/>
      <c r="AX2979" s="38"/>
      <c r="AY2979" s="38"/>
      <c r="AZ2979" s="38"/>
      <c r="BA2979" s="38"/>
      <c r="BB2979" s="38"/>
      <c r="BC2979" s="38"/>
      <c r="BD2979" s="38"/>
      <c r="BE2979" s="38"/>
      <c r="BF2979" s="38"/>
      <c r="BG2979" s="38"/>
      <c r="BH2979" s="38"/>
      <c r="BI2979" s="38"/>
      <c r="BJ2979" s="38"/>
      <c r="BK2979" s="38"/>
      <c r="BL2979" s="38"/>
      <c r="BM2979" s="38"/>
      <c r="BN2979" s="38"/>
      <c r="BO2979" s="38"/>
      <c r="BP2979" s="38"/>
      <c r="BQ2979" s="38"/>
    </row>
    <row r="2980">
      <c r="A2980" s="16"/>
      <c r="B2980" s="16"/>
      <c r="C2980" s="146"/>
      <c r="D2980" s="146"/>
      <c r="E2980" s="16"/>
      <c r="F2980" s="91"/>
      <c r="G2980" s="16"/>
      <c r="H2980" s="320" t="str">
        <f t="shared" si="33"/>
        <v/>
      </c>
      <c r="I2980" s="16"/>
      <c r="J2980" s="16"/>
      <c r="K2980" s="16"/>
      <c r="L2980" s="16"/>
      <c r="M2980" s="15"/>
      <c r="N2980" s="15"/>
      <c r="O2980" s="16"/>
      <c r="P2980" s="16"/>
      <c r="Q2980" s="16"/>
      <c r="R2980" s="16"/>
      <c r="S2980" s="37" t="str">
        <f>IFERROR(__xludf.DUMMYFUNCTION("if(not(iserror(index(split(C2980, "" ""),2))), index(split(C2980, "" ""),1),"""")"),"")</f>
        <v/>
      </c>
      <c r="T2980" s="315" t="str">
        <f>IFERROR(__xludf.DUMMYFUNCTION("if(S2980="""",C2980,if(not(iserror(index(split(C2980, "" ""),3))), index(split(C2980, "" ""),3),index(split(C2980, "" ""),2)))"),"")</f>
        <v/>
      </c>
      <c r="U2980" s="38" t="b">
        <f t="shared" si="34"/>
        <v>0</v>
      </c>
      <c r="V2980" s="38"/>
      <c r="W2980" s="40"/>
      <c r="X2980" s="40"/>
      <c r="Y2980" s="38"/>
      <c r="Z2980" s="38"/>
      <c r="AA2980" s="38"/>
      <c r="AB2980" s="38"/>
      <c r="AC2980" s="38"/>
      <c r="AD2980" s="38"/>
      <c r="AE2980" s="38"/>
      <c r="AF2980" s="38"/>
      <c r="AG2980" s="38"/>
      <c r="AH2980" s="38"/>
      <c r="AI2980" s="38"/>
      <c r="AJ2980" s="38"/>
      <c r="AK2980" s="38"/>
      <c r="AL2980" s="38"/>
      <c r="AM2980" s="38"/>
      <c r="AN2980" s="38"/>
      <c r="AO2980" s="38"/>
      <c r="AP2980" s="38"/>
      <c r="AQ2980" s="38"/>
      <c r="AR2980" s="38"/>
      <c r="AS2980" s="38"/>
      <c r="AT2980" s="38"/>
      <c r="AU2980" s="38"/>
      <c r="AV2980" s="38"/>
      <c r="AW2980" s="38"/>
      <c r="AX2980" s="38"/>
      <c r="AY2980" s="38"/>
      <c r="AZ2980" s="38"/>
      <c r="BA2980" s="38"/>
      <c r="BB2980" s="38"/>
      <c r="BC2980" s="38"/>
      <c r="BD2980" s="38"/>
      <c r="BE2980" s="38"/>
      <c r="BF2980" s="38"/>
      <c r="BG2980" s="38"/>
      <c r="BH2980" s="38"/>
      <c r="BI2980" s="38"/>
      <c r="BJ2980" s="38"/>
      <c r="BK2980" s="38"/>
      <c r="BL2980" s="38"/>
      <c r="BM2980" s="38"/>
      <c r="BN2980" s="38"/>
      <c r="BO2980" s="38"/>
      <c r="BP2980" s="38"/>
      <c r="BQ2980" s="38"/>
    </row>
    <row r="2981">
      <c r="A2981" s="16"/>
      <c r="B2981" s="16"/>
      <c r="C2981" s="146"/>
      <c r="D2981" s="146"/>
      <c r="E2981" s="16"/>
      <c r="F2981" s="91"/>
      <c r="G2981" s="16"/>
      <c r="H2981" s="320" t="str">
        <f t="shared" si="33"/>
        <v/>
      </c>
      <c r="I2981" s="16"/>
      <c r="J2981" s="16"/>
      <c r="K2981" s="16"/>
      <c r="L2981" s="16"/>
      <c r="M2981" s="15"/>
      <c r="N2981" s="15"/>
      <c r="O2981" s="16"/>
      <c r="P2981" s="16"/>
      <c r="Q2981" s="16"/>
      <c r="R2981" s="16"/>
      <c r="S2981" s="37" t="str">
        <f>IFERROR(__xludf.DUMMYFUNCTION("if(not(iserror(index(split(C2981, "" ""),2))), index(split(C2981, "" ""),1),"""")"),"")</f>
        <v/>
      </c>
      <c r="T2981" s="315" t="str">
        <f>IFERROR(__xludf.DUMMYFUNCTION("if(S2981="""",C2981,if(not(iserror(index(split(C2981, "" ""),3))), index(split(C2981, "" ""),3),index(split(C2981, "" ""),2)))"),"")</f>
        <v/>
      </c>
      <c r="U2981" s="38" t="b">
        <f t="shared" si="34"/>
        <v>0</v>
      </c>
      <c r="V2981" s="38"/>
      <c r="W2981" s="40"/>
      <c r="X2981" s="40"/>
      <c r="Y2981" s="38"/>
      <c r="Z2981" s="38"/>
      <c r="AA2981" s="38"/>
      <c r="AB2981" s="38"/>
      <c r="AC2981" s="38"/>
      <c r="AD2981" s="38"/>
      <c r="AE2981" s="38"/>
      <c r="AF2981" s="38"/>
      <c r="AG2981" s="38"/>
      <c r="AH2981" s="38"/>
      <c r="AI2981" s="38"/>
      <c r="AJ2981" s="38"/>
      <c r="AK2981" s="38"/>
      <c r="AL2981" s="38"/>
      <c r="AM2981" s="38"/>
      <c r="AN2981" s="38"/>
      <c r="AO2981" s="38"/>
      <c r="AP2981" s="38"/>
      <c r="AQ2981" s="38"/>
      <c r="AR2981" s="38"/>
      <c r="AS2981" s="38"/>
      <c r="AT2981" s="38"/>
      <c r="AU2981" s="38"/>
      <c r="AV2981" s="38"/>
      <c r="AW2981" s="38"/>
      <c r="AX2981" s="38"/>
      <c r="AY2981" s="38"/>
      <c r="AZ2981" s="38"/>
      <c r="BA2981" s="38"/>
      <c r="BB2981" s="38"/>
      <c r="BC2981" s="38"/>
      <c r="BD2981" s="38"/>
      <c r="BE2981" s="38"/>
      <c r="BF2981" s="38"/>
      <c r="BG2981" s="38"/>
      <c r="BH2981" s="38"/>
      <c r="BI2981" s="38"/>
      <c r="BJ2981" s="38"/>
      <c r="BK2981" s="38"/>
      <c r="BL2981" s="38"/>
      <c r="BM2981" s="38"/>
      <c r="BN2981" s="38"/>
      <c r="BO2981" s="38"/>
      <c r="BP2981" s="38"/>
      <c r="BQ2981" s="38"/>
    </row>
    <row r="2982">
      <c r="A2982" s="16"/>
      <c r="B2982" s="16"/>
      <c r="C2982" s="146"/>
      <c r="D2982" s="146"/>
      <c r="E2982" s="16"/>
      <c r="F2982" s="91"/>
      <c r="G2982" s="16"/>
      <c r="H2982" s="320" t="str">
        <f t="shared" si="33"/>
        <v/>
      </c>
      <c r="I2982" s="16"/>
      <c r="J2982" s="16"/>
      <c r="K2982" s="16"/>
      <c r="L2982" s="16"/>
      <c r="M2982" s="15"/>
      <c r="N2982" s="15"/>
      <c r="O2982" s="16"/>
      <c r="P2982" s="16"/>
      <c r="Q2982" s="16"/>
      <c r="R2982" s="16"/>
      <c r="S2982" s="37" t="str">
        <f>IFERROR(__xludf.DUMMYFUNCTION("if(not(iserror(index(split(C2982, "" ""),2))), index(split(C2982, "" ""),1),"""")"),"")</f>
        <v/>
      </c>
      <c r="T2982" s="315" t="str">
        <f>IFERROR(__xludf.DUMMYFUNCTION("if(S2982="""",C2982,if(not(iserror(index(split(C2982, "" ""),3))), index(split(C2982, "" ""),3),index(split(C2982, "" ""),2)))"),"")</f>
        <v/>
      </c>
      <c r="U2982" s="38" t="b">
        <f t="shared" si="34"/>
        <v>0</v>
      </c>
      <c r="V2982" s="38"/>
      <c r="W2982" s="40"/>
      <c r="X2982" s="40"/>
      <c r="Y2982" s="38"/>
      <c r="Z2982" s="38"/>
      <c r="AA2982" s="38"/>
      <c r="AB2982" s="38"/>
      <c r="AC2982" s="38"/>
      <c r="AD2982" s="38"/>
      <c r="AE2982" s="38"/>
      <c r="AF2982" s="38"/>
      <c r="AG2982" s="38"/>
      <c r="AH2982" s="38"/>
      <c r="AI2982" s="38"/>
      <c r="AJ2982" s="38"/>
      <c r="AK2982" s="38"/>
      <c r="AL2982" s="38"/>
      <c r="AM2982" s="38"/>
      <c r="AN2982" s="38"/>
      <c r="AO2982" s="38"/>
      <c r="AP2982" s="38"/>
      <c r="AQ2982" s="38"/>
      <c r="AR2982" s="38"/>
      <c r="AS2982" s="38"/>
      <c r="AT2982" s="38"/>
      <c r="AU2982" s="38"/>
      <c r="AV2982" s="38"/>
      <c r="AW2982" s="38"/>
      <c r="AX2982" s="38"/>
      <c r="AY2982" s="38"/>
      <c r="AZ2982" s="38"/>
      <c r="BA2982" s="38"/>
      <c r="BB2982" s="38"/>
      <c r="BC2982" s="38"/>
      <c r="BD2982" s="38"/>
      <c r="BE2982" s="38"/>
      <c r="BF2982" s="38"/>
      <c r="BG2982" s="38"/>
      <c r="BH2982" s="38"/>
      <c r="BI2982" s="38"/>
      <c r="BJ2982" s="38"/>
      <c r="BK2982" s="38"/>
      <c r="BL2982" s="38"/>
      <c r="BM2982" s="38"/>
      <c r="BN2982" s="38"/>
      <c r="BO2982" s="38"/>
      <c r="BP2982" s="38"/>
      <c r="BQ2982" s="38"/>
    </row>
    <row r="2983">
      <c r="A2983" s="16"/>
      <c r="B2983" s="16"/>
      <c r="C2983" s="146"/>
      <c r="D2983" s="146"/>
      <c r="E2983" s="16"/>
      <c r="F2983" s="91"/>
      <c r="G2983" s="16"/>
      <c r="H2983" s="320" t="str">
        <f t="shared" si="33"/>
        <v/>
      </c>
      <c r="I2983" s="16"/>
      <c r="J2983" s="16"/>
      <c r="K2983" s="16"/>
      <c r="L2983" s="16"/>
      <c r="M2983" s="15"/>
      <c r="N2983" s="15"/>
      <c r="O2983" s="16"/>
      <c r="P2983" s="16"/>
      <c r="Q2983" s="16"/>
      <c r="R2983" s="16"/>
      <c r="S2983" s="37" t="str">
        <f>IFERROR(__xludf.DUMMYFUNCTION("if(not(iserror(index(split(C2983, "" ""),2))), index(split(C2983, "" ""),1),"""")"),"")</f>
        <v/>
      </c>
      <c r="T2983" s="315" t="str">
        <f>IFERROR(__xludf.DUMMYFUNCTION("if(S2983="""",C2983,if(not(iserror(index(split(C2983, "" ""),3))), index(split(C2983, "" ""),3),index(split(C2983, "" ""),2)))"),"")</f>
        <v/>
      </c>
      <c r="U2983" s="38" t="b">
        <f t="shared" si="34"/>
        <v>0</v>
      </c>
      <c r="V2983" s="38"/>
      <c r="W2983" s="40"/>
      <c r="X2983" s="40"/>
      <c r="Y2983" s="38"/>
      <c r="Z2983" s="38"/>
      <c r="AA2983" s="38"/>
      <c r="AB2983" s="38"/>
      <c r="AC2983" s="38"/>
      <c r="AD2983" s="38"/>
      <c r="AE2983" s="38"/>
      <c r="AF2983" s="38"/>
      <c r="AG2983" s="38"/>
      <c r="AH2983" s="38"/>
      <c r="AI2983" s="38"/>
      <c r="AJ2983" s="38"/>
      <c r="AK2983" s="38"/>
      <c r="AL2983" s="38"/>
      <c r="AM2983" s="38"/>
      <c r="AN2983" s="38"/>
      <c r="AO2983" s="38"/>
      <c r="AP2983" s="38"/>
      <c r="AQ2983" s="38"/>
      <c r="AR2983" s="38"/>
      <c r="AS2983" s="38"/>
      <c r="AT2983" s="38"/>
      <c r="AU2983" s="38"/>
      <c r="AV2983" s="38"/>
      <c r="AW2983" s="38"/>
      <c r="AX2983" s="38"/>
      <c r="AY2983" s="38"/>
      <c r="AZ2983" s="38"/>
      <c r="BA2983" s="38"/>
      <c r="BB2983" s="38"/>
      <c r="BC2983" s="38"/>
      <c r="BD2983" s="38"/>
      <c r="BE2983" s="38"/>
      <c r="BF2983" s="38"/>
      <c r="BG2983" s="38"/>
      <c r="BH2983" s="38"/>
      <c r="BI2983" s="38"/>
      <c r="BJ2983" s="38"/>
      <c r="BK2983" s="38"/>
      <c r="BL2983" s="38"/>
      <c r="BM2983" s="38"/>
      <c r="BN2983" s="38"/>
      <c r="BO2983" s="38"/>
      <c r="BP2983" s="38"/>
      <c r="BQ2983" s="38"/>
    </row>
    <row r="2984">
      <c r="A2984" s="16"/>
      <c r="B2984" s="16"/>
      <c r="C2984" s="146"/>
      <c r="D2984" s="146"/>
      <c r="E2984" s="16"/>
      <c r="F2984" s="91"/>
      <c r="G2984" s="16"/>
      <c r="H2984" s="320" t="str">
        <f t="shared" si="33"/>
        <v/>
      </c>
      <c r="I2984" s="16"/>
      <c r="J2984" s="16"/>
      <c r="K2984" s="16"/>
      <c r="L2984" s="16"/>
      <c r="M2984" s="15"/>
      <c r="N2984" s="15"/>
      <c r="O2984" s="16"/>
      <c r="P2984" s="16"/>
      <c r="Q2984" s="16"/>
      <c r="R2984" s="16"/>
      <c r="S2984" s="37" t="str">
        <f>IFERROR(__xludf.DUMMYFUNCTION("if(not(iserror(index(split(C2984, "" ""),2))), index(split(C2984, "" ""),1),"""")"),"")</f>
        <v/>
      </c>
      <c r="T2984" s="315" t="str">
        <f>IFERROR(__xludf.DUMMYFUNCTION("if(S2984="""",C2984,if(not(iserror(index(split(C2984, "" ""),3))), index(split(C2984, "" ""),3),index(split(C2984, "" ""),2)))"),"")</f>
        <v/>
      </c>
      <c r="U2984" s="38" t="b">
        <f t="shared" si="34"/>
        <v>0</v>
      </c>
      <c r="V2984" s="38"/>
      <c r="W2984" s="40"/>
      <c r="X2984" s="40"/>
      <c r="Y2984" s="38"/>
      <c r="Z2984" s="38"/>
      <c r="AA2984" s="38"/>
      <c r="AB2984" s="38"/>
      <c r="AC2984" s="38"/>
      <c r="AD2984" s="38"/>
      <c r="AE2984" s="38"/>
      <c r="AF2984" s="38"/>
      <c r="AG2984" s="38"/>
      <c r="AH2984" s="38"/>
      <c r="AI2984" s="38"/>
      <c r="AJ2984" s="38"/>
      <c r="AK2984" s="38"/>
      <c r="AL2984" s="38"/>
      <c r="AM2984" s="38"/>
      <c r="AN2984" s="38"/>
      <c r="AO2984" s="38"/>
      <c r="AP2984" s="38"/>
      <c r="AQ2984" s="38"/>
      <c r="AR2984" s="38"/>
      <c r="AS2984" s="38"/>
      <c r="AT2984" s="38"/>
      <c r="AU2984" s="38"/>
      <c r="AV2984" s="38"/>
      <c r="AW2984" s="38"/>
      <c r="AX2984" s="38"/>
      <c r="AY2984" s="38"/>
      <c r="AZ2984" s="38"/>
      <c r="BA2984" s="38"/>
      <c r="BB2984" s="38"/>
      <c r="BC2984" s="38"/>
      <c r="BD2984" s="38"/>
      <c r="BE2984" s="38"/>
      <c r="BF2984" s="38"/>
      <c r="BG2984" s="38"/>
      <c r="BH2984" s="38"/>
      <c r="BI2984" s="38"/>
      <c r="BJ2984" s="38"/>
      <c r="BK2984" s="38"/>
      <c r="BL2984" s="38"/>
      <c r="BM2984" s="38"/>
      <c r="BN2984" s="38"/>
      <c r="BO2984" s="38"/>
      <c r="BP2984" s="38"/>
      <c r="BQ2984" s="38"/>
    </row>
    <row r="2985">
      <c r="A2985" s="16"/>
      <c r="B2985" s="16"/>
      <c r="C2985" s="146"/>
      <c r="D2985" s="146"/>
      <c r="E2985" s="16"/>
      <c r="F2985" s="91"/>
      <c r="G2985" s="16"/>
      <c r="H2985" s="320" t="str">
        <f t="shared" si="33"/>
        <v/>
      </c>
      <c r="I2985" s="16"/>
      <c r="J2985" s="16"/>
      <c r="K2985" s="16"/>
      <c r="L2985" s="16"/>
      <c r="M2985" s="15"/>
      <c r="N2985" s="15"/>
      <c r="O2985" s="16"/>
      <c r="P2985" s="16"/>
      <c r="Q2985" s="16"/>
      <c r="R2985" s="16"/>
      <c r="S2985" s="37" t="str">
        <f>IFERROR(__xludf.DUMMYFUNCTION("if(not(iserror(index(split(C2985, "" ""),2))), index(split(C2985, "" ""),1),"""")"),"")</f>
        <v/>
      </c>
      <c r="T2985" s="315" t="str">
        <f>IFERROR(__xludf.DUMMYFUNCTION("if(S2985="""",C2985,if(not(iserror(index(split(C2985, "" ""),3))), index(split(C2985, "" ""),3),index(split(C2985, "" ""),2)))"),"")</f>
        <v/>
      </c>
      <c r="U2985" s="38" t="b">
        <f t="shared" si="34"/>
        <v>0</v>
      </c>
      <c r="V2985" s="38"/>
      <c r="W2985" s="40"/>
      <c r="X2985" s="40"/>
      <c r="Y2985" s="38"/>
      <c r="Z2985" s="38"/>
      <c r="AA2985" s="38"/>
      <c r="AB2985" s="38"/>
      <c r="AC2985" s="38"/>
      <c r="AD2985" s="38"/>
      <c r="AE2985" s="38"/>
      <c r="AF2985" s="38"/>
      <c r="AG2985" s="38"/>
      <c r="AH2985" s="38"/>
      <c r="AI2985" s="38"/>
      <c r="AJ2985" s="38"/>
      <c r="AK2985" s="38"/>
      <c r="AL2985" s="38"/>
      <c r="AM2985" s="38"/>
      <c r="AN2985" s="38"/>
      <c r="AO2985" s="38"/>
      <c r="AP2985" s="38"/>
      <c r="AQ2985" s="38"/>
      <c r="AR2985" s="38"/>
      <c r="AS2985" s="38"/>
      <c r="AT2985" s="38"/>
      <c r="AU2985" s="38"/>
      <c r="AV2985" s="38"/>
      <c r="AW2985" s="38"/>
      <c r="AX2985" s="38"/>
      <c r="AY2985" s="38"/>
      <c r="AZ2985" s="38"/>
      <c r="BA2985" s="38"/>
      <c r="BB2985" s="38"/>
      <c r="BC2985" s="38"/>
      <c r="BD2985" s="38"/>
      <c r="BE2985" s="38"/>
      <c r="BF2985" s="38"/>
      <c r="BG2985" s="38"/>
      <c r="BH2985" s="38"/>
      <c r="BI2985" s="38"/>
      <c r="BJ2985" s="38"/>
      <c r="BK2985" s="38"/>
      <c r="BL2985" s="38"/>
      <c r="BM2985" s="38"/>
      <c r="BN2985" s="38"/>
      <c r="BO2985" s="38"/>
      <c r="BP2985" s="38"/>
      <c r="BQ2985" s="38"/>
    </row>
    <row r="2986">
      <c r="A2986" s="16"/>
      <c r="B2986" s="16"/>
      <c r="C2986" s="146"/>
      <c r="D2986" s="146"/>
      <c r="E2986" s="16"/>
      <c r="F2986" s="91"/>
      <c r="G2986" s="16"/>
      <c r="H2986" s="320" t="str">
        <f t="shared" si="33"/>
        <v/>
      </c>
      <c r="I2986" s="16"/>
      <c r="J2986" s="16"/>
      <c r="K2986" s="16"/>
      <c r="L2986" s="16"/>
      <c r="M2986" s="15"/>
      <c r="N2986" s="15"/>
      <c r="O2986" s="16"/>
      <c r="P2986" s="16"/>
      <c r="Q2986" s="16"/>
      <c r="R2986" s="16"/>
      <c r="S2986" s="37" t="str">
        <f>IFERROR(__xludf.DUMMYFUNCTION("if(not(iserror(index(split(C2986, "" ""),2))), index(split(C2986, "" ""),1),"""")"),"")</f>
        <v/>
      </c>
      <c r="T2986" s="315" t="str">
        <f>IFERROR(__xludf.DUMMYFUNCTION("if(S2986="""",C2986,if(not(iserror(index(split(C2986, "" ""),3))), index(split(C2986, "" ""),3),index(split(C2986, "" ""),2)))"),"")</f>
        <v/>
      </c>
      <c r="U2986" s="38" t="b">
        <f t="shared" si="34"/>
        <v>0</v>
      </c>
      <c r="V2986" s="38"/>
      <c r="W2986" s="40"/>
      <c r="X2986" s="40"/>
      <c r="Y2986" s="38"/>
      <c r="Z2986" s="38"/>
      <c r="AA2986" s="38"/>
      <c r="AB2986" s="38"/>
      <c r="AC2986" s="38"/>
      <c r="AD2986" s="38"/>
      <c r="AE2986" s="38"/>
      <c r="AF2986" s="38"/>
      <c r="AG2986" s="38"/>
      <c r="AH2986" s="38"/>
      <c r="AI2986" s="38"/>
      <c r="AJ2986" s="38"/>
      <c r="AK2986" s="38"/>
      <c r="AL2986" s="38"/>
      <c r="AM2986" s="38"/>
      <c r="AN2986" s="38"/>
      <c r="AO2986" s="38"/>
      <c r="AP2986" s="38"/>
      <c r="AQ2986" s="38"/>
      <c r="AR2986" s="38"/>
      <c r="AS2986" s="38"/>
      <c r="AT2986" s="38"/>
      <c r="AU2986" s="38"/>
      <c r="AV2986" s="38"/>
      <c r="AW2986" s="38"/>
      <c r="AX2986" s="38"/>
      <c r="AY2986" s="38"/>
      <c r="AZ2986" s="38"/>
      <c r="BA2986" s="38"/>
      <c r="BB2986" s="38"/>
      <c r="BC2986" s="38"/>
      <c r="BD2986" s="38"/>
      <c r="BE2986" s="38"/>
      <c r="BF2986" s="38"/>
      <c r="BG2986" s="38"/>
      <c r="BH2986" s="38"/>
      <c r="BI2986" s="38"/>
      <c r="BJ2986" s="38"/>
      <c r="BK2986" s="38"/>
      <c r="BL2986" s="38"/>
      <c r="BM2986" s="38"/>
      <c r="BN2986" s="38"/>
      <c r="BO2986" s="38"/>
      <c r="BP2986" s="38"/>
      <c r="BQ2986" s="38"/>
    </row>
    <row r="2987">
      <c r="A2987" s="16"/>
      <c r="B2987" s="16"/>
      <c r="C2987" s="146"/>
      <c r="D2987" s="146"/>
      <c r="E2987" s="16"/>
      <c r="F2987" s="91"/>
      <c r="G2987" s="16"/>
      <c r="H2987" s="320" t="str">
        <f t="shared" si="33"/>
        <v/>
      </c>
      <c r="I2987" s="16"/>
      <c r="J2987" s="16"/>
      <c r="K2987" s="16"/>
      <c r="L2987" s="16"/>
      <c r="M2987" s="15"/>
      <c r="N2987" s="15"/>
      <c r="O2987" s="16"/>
      <c r="P2987" s="16"/>
      <c r="Q2987" s="16"/>
      <c r="R2987" s="16"/>
      <c r="S2987" s="37" t="str">
        <f>IFERROR(__xludf.DUMMYFUNCTION("if(not(iserror(index(split(C2987, "" ""),2))), index(split(C2987, "" ""),1),"""")"),"")</f>
        <v/>
      </c>
      <c r="T2987" s="315" t="str">
        <f>IFERROR(__xludf.DUMMYFUNCTION("if(S2987="""",C2987,if(not(iserror(index(split(C2987, "" ""),3))), index(split(C2987, "" ""),3),index(split(C2987, "" ""),2)))"),"")</f>
        <v/>
      </c>
      <c r="U2987" s="38" t="b">
        <f t="shared" si="34"/>
        <v>0</v>
      </c>
      <c r="V2987" s="38"/>
      <c r="W2987" s="40"/>
      <c r="X2987" s="40"/>
      <c r="Y2987" s="38"/>
      <c r="Z2987" s="38"/>
      <c r="AA2987" s="38"/>
      <c r="AB2987" s="38"/>
      <c r="AC2987" s="38"/>
      <c r="AD2987" s="38"/>
      <c r="AE2987" s="38"/>
      <c r="AF2987" s="38"/>
      <c r="AG2987" s="38"/>
      <c r="AH2987" s="38"/>
      <c r="AI2987" s="38"/>
      <c r="AJ2987" s="38"/>
      <c r="AK2987" s="38"/>
      <c r="AL2987" s="38"/>
      <c r="AM2987" s="38"/>
      <c r="AN2987" s="38"/>
      <c r="AO2987" s="38"/>
      <c r="AP2987" s="38"/>
      <c r="AQ2987" s="38"/>
      <c r="AR2987" s="38"/>
      <c r="AS2987" s="38"/>
      <c r="AT2987" s="38"/>
      <c r="AU2987" s="38"/>
      <c r="AV2987" s="38"/>
      <c r="AW2987" s="38"/>
      <c r="AX2987" s="38"/>
      <c r="AY2987" s="38"/>
      <c r="AZ2987" s="38"/>
      <c r="BA2987" s="38"/>
      <c r="BB2987" s="38"/>
      <c r="BC2987" s="38"/>
      <c r="BD2987" s="38"/>
      <c r="BE2987" s="38"/>
      <c r="BF2987" s="38"/>
      <c r="BG2987" s="38"/>
      <c r="BH2987" s="38"/>
      <c r="BI2987" s="38"/>
      <c r="BJ2987" s="38"/>
      <c r="BK2987" s="38"/>
      <c r="BL2987" s="38"/>
      <c r="BM2987" s="38"/>
      <c r="BN2987" s="38"/>
      <c r="BO2987" s="38"/>
      <c r="BP2987" s="38"/>
      <c r="BQ2987" s="38"/>
    </row>
    <row r="2988">
      <c r="A2988" s="16"/>
      <c r="B2988" s="16"/>
      <c r="C2988" s="146"/>
      <c r="D2988" s="146"/>
      <c r="E2988" s="16"/>
      <c r="F2988" s="91"/>
      <c r="G2988" s="16"/>
      <c r="H2988" s="320" t="str">
        <f t="shared" si="33"/>
        <v/>
      </c>
      <c r="I2988" s="16"/>
      <c r="J2988" s="16"/>
      <c r="K2988" s="16"/>
      <c r="L2988" s="16"/>
      <c r="M2988" s="15"/>
      <c r="N2988" s="15"/>
      <c r="O2988" s="16"/>
      <c r="P2988" s="16"/>
      <c r="Q2988" s="16"/>
      <c r="R2988" s="16"/>
      <c r="S2988" s="37" t="str">
        <f>IFERROR(__xludf.DUMMYFUNCTION("if(not(iserror(index(split(C2988, "" ""),2))), index(split(C2988, "" ""),1),"""")"),"")</f>
        <v/>
      </c>
      <c r="T2988" s="315" t="str">
        <f>IFERROR(__xludf.DUMMYFUNCTION("if(S2988="""",C2988,if(not(iserror(index(split(C2988, "" ""),3))), index(split(C2988, "" ""),3),index(split(C2988, "" ""),2)))"),"")</f>
        <v/>
      </c>
      <c r="U2988" s="38" t="b">
        <f t="shared" si="34"/>
        <v>0</v>
      </c>
      <c r="V2988" s="38"/>
      <c r="W2988" s="40"/>
      <c r="X2988" s="40"/>
      <c r="Y2988" s="38"/>
      <c r="Z2988" s="38"/>
      <c r="AA2988" s="38"/>
      <c r="AB2988" s="38"/>
      <c r="AC2988" s="38"/>
      <c r="AD2988" s="38"/>
      <c r="AE2988" s="38"/>
      <c r="AF2988" s="38"/>
      <c r="AG2988" s="38"/>
      <c r="AH2988" s="38"/>
      <c r="AI2988" s="38"/>
      <c r="AJ2988" s="38"/>
      <c r="AK2988" s="38"/>
      <c r="AL2988" s="38"/>
      <c r="AM2988" s="38"/>
      <c r="AN2988" s="38"/>
      <c r="AO2988" s="38"/>
      <c r="AP2988" s="38"/>
      <c r="AQ2988" s="38"/>
      <c r="AR2988" s="38"/>
      <c r="AS2988" s="38"/>
      <c r="AT2988" s="38"/>
      <c r="AU2988" s="38"/>
      <c r="AV2988" s="38"/>
      <c r="AW2988" s="38"/>
      <c r="AX2988" s="38"/>
      <c r="AY2988" s="38"/>
      <c r="AZ2988" s="38"/>
      <c r="BA2988" s="38"/>
      <c r="BB2988" s="38"/>
      <c r="BC2988" s="38"/>
      <c r="BD2988" s="38"/>
      <c r="BE2988" s="38"/>
      <c r="BF2988" s="38"/>
      <c r="BG2988" s="38"/>
      <c r="BH2988" s="38"/>
      <c r="BI2988" s="38"/>
      <c r="BJ2988" s="38"/>
      <c r="BK2988" s="38"/>
      <c r="BL2988" s="38"/>
      <c r="BM2988" s="38"/>
      <c r="BN2988" s="38"/>
      <c r="BO2988" s="38"/>
      <c r="BP2988" s="38"/>
      <c r="BQ2988" s="38"/>
    </row>
    <row r="2989">
      <c r="A2989" s="16"/>
      <c r="B2989" s="16"/>
      <c r="C2989" s="146"/>
      <c r="D2989" s="146"/>
      <c r="E2989" s="16"/>
      <c r="F2989" s="91"/>
      <c r="G2989" s="16"/>
      <c r="H2989" s="320" t="str">
        <f t="shared" si="33"/>
        <v/>
      </c>
      <c r="I2989" s="16"/>
      <c r="J2989" s="16"/>
      <c r="K2989" s="16"/>
      <c r="L2989" s="16"/>
      <c r="M2989" s="15"/>
      <c r="N2989" s="15"/>
      <c r="O2989" s="16"/>
      <c r="P2989" s="16"/>
      <c r="Q2989" s="16"/>
      <c r="R2989" s="16"/>
      <c r="S2989" s="37" t="str">
        <f>IFERROR(__xludf.DUMMYFUNCTION("if(not(iserror(index(split(C2989, "" ""),2))), index(split(C2989, "" ""),1),"""")"),"")</f>
        <v/>
      </c>
      <c r="T2989" s="315" t="str">
        <f>IFERROR(__xludf.DUMMYFUNCTION("if(S2989="""",C2989,if(not(iserror(index(split(C2989, "" ""),3))), index(split(C2989, "" ""),3),index(split(C2989, "" ""),2)))"),"")</f>
        <v/>
      </c>
      <c r="U2989" s="38" t="b">
        <f t="shared" si="34"/>
        <v>0</v>
      </c>
      <c r="V2989" s="38"/>
      <c r="W2989" s="40"/>
      <c r="X2989" s="40"/>
      <c r="Y2989" s="38"/>
      <c r="Z2989" s="38"/>
      <c r="AA2989" s="38"/>
      <c r="AB2989" s="38"/>
      <c r="AC2989" s="38"/>
      <c r="AD2989" s="38"/>
      <c r="AE2989" s="38"/>
      <c r="AF2989" s="38"/>
      <c r="AG2989" s="38"/>
      <c r="AH2989" s="38"/>
      <c r="AI2989" s="38"/>
      <c r="AJ2989" s="38"/>
      <c r="AK2989" s="38"/>
      <c r="AL2989" s="38"/>
      <c r="AM2989" s="38"/>
      <c r="AN2989" s="38"/>
      <c r="AO2989" s="38"/>
      <c r="AP2989" s="38"/>
      <c r="AQ2989" s="38"/>
      <c r="AR2989" s="38"/>
      <c r="AS2989" s="38"/>
      <c r="AT2989" s="38"/>
      <c r="AU2989" s="38"/>
      <c r="AV2989" s="38"/>
      <c r="AW2989" s="38"/>
      <c r="AX2989" s="38"/>
      <c r="AY2989" s="38"/>
      <c r="AZ2989" s="38"/>
      <c r="BA2989" s="38"/>
      <c r="BB2989" s="38"/>
      <c r="BC2989" s="38"/>
      <c r="BD2989" s="38"/>
      <c r="BE2989" s="38"/>
      <c r="BF2989" s="38"/>
      <c r="BG2989" s="38"/>
      <c r="BH2989" s="38"/>
      <c r="BI2989" s="38"/>
      <c r="BJ2989" s="38"/>
      <c r="BK2989" s="38"/>
      <c r="BL2989" s="38"/>
      <c r="BM2989" s="38"/>
      <c r="BN2989" s="38"/>
      <c r="BO2989" s="38"/>
      <c r="BP2989" s="38"/>
      <c r="BQ2989" s="38"/>
    </row>
    <row r="2990">
      <c r="A2990" s="16"/>
      <c r="B2990" s="16"/>
      <c r="C2990" s="146"/>
      <c r="D2990" s="146"/>
      <c r="E2990" s="16"/>
      <c r="F2990" s="91"/>
      <c r="G2990" s="16"/>
      <c r="H2990" s="320" t="str">
        <f t="shared" si="33"/>
        <v/>
      </c>
      <c r="I2990" s="16"/>
      <c r="J2990" s="16"/>
      <c r="K2990" s="16"/>
      <c r="L2990" s="16"/>
      <c r="M2990" s="15"/>
      <c r="N2990" s="15"/>
      <c r="O2990" s="16"/>
      <c r="P2990" s="16"/>
      <c r="Q2990" s="16"/>
      <c r="R2990" s="16"/>
      <c r="S2990" s="37" t="str">
        <f>IFERROR(__xludf.DUMMYFUNCTION("if(not(iserror(index(split(C2990, "" ""),2))), index(split(C2990, "" ""),1),"""")"),"")</f>
        <v/>
      </c>
      <c r="T2990" s="315" t="str">
        <f>IFERROR(__xludf.DUMMYFUNCTION("if(S2990="""",C2990,if(not(iserror(index(split(C2990, "" ""),3))), index(split(C2990, "" ""),3),index(split(C2990, "" ""),2)))"),"")</f>
        <v/>
      </c>
      <c r="U2990" s="38" t="b">
        <f t="shared" si="34"/>
        <v>0</v>
      </c>
      <c r="V2990" s="38"/>
      <c r="W2990" s="40"/>
      <c r="X2990" s="40"/>
      <c r="Y2990" s="38"/>
      <c r="Z2990" s="38"/>
      <c r="AA2990" s="38"/>
      <c r="AB2990" s="38"/>
      <c r="AC2990" s="38"/>
      <c r="AD2990" s="38"/>
      <c r="AE2990" s="38"/>
      <c r="AF2990" s="38"/>
      <c r="AG2990" s="38"/>
      <c r="AH2990" s="38"/>
      <c r="AI2990" s="38"/>
      <c r="AJ2990" s="38"/>
      <c r="AK2990" s="38"/>
      <c r="AL2990" s="38"/>
      <c r="AM2990" s="38"/>
      <c r="AN2990" s="38"/>
      <c r="AO2990" s="38"/>
      <c r="AP2990" s="38"/>
      <c r="AQ2990" s="38"/>
      <c r="AR2990" s="38"/>
      <c r="AS2990" s="38"/>
      <c r="AT2990" s="38"/>
      <c r="AU2990" s="38"/>
      <c r="AV2990" s="38"/>
      <c r="AW2990" s="38"/>
      <c r="AX2990" s="38"/>
      <c r="AY2990" s="38"/>
      <c r="AZ2990" s="38"/>
      <c r="BA2990" s="38"/>
      <c r="BB2990" s="38"/>
      <c r="BC2990" s="38"/>
      <c r="BD2990" s="38"/>
      <c r="BE2990" s="38"/>
      <c r="BF2990" s="38"/>
      <c r="BG2990" s="38"/>
      <c r="BH2990" s="38"/>
      <c r="BI2990" s="38"/>
      <c r="BJ2990" s="38"/>
      <c r="BK2990" s="38"/>
      <c r="BL2990" s="38"/>
      <c r="BM2990" s="38"/>
      <c r="BN2990" s="38"/>
      <c r="BO2990" s="38"/>
      <c r="BP2990" s="38"/>
      <c r="BQ2990" s="38"/>
    </row>
    <row r="2991">
      <c r="A2991" s="16"/>
      <c r="B2991" s="16"/>
      <c r="C2991" s="146"/>
      <c r="D2991" s="146"/>
      <c r="E2991" s="16"/>
      <c r="F2991" s="91"/>
      <c r="G2991" s="16"/>
      <c r="H2991" s="320" t="str">
        <f t="shared" si="33"/>
        <v/>
      </c>
      <c r="I2991" s="16"/>
      <c r="J2991" s="16"/>
      <c r="K2991" s="16"/>
      <c r="L2991" s="16"/>
      <c r="M2991" s="15"/>
      <c r="N2991" s="15"/>
      <c r="O2991" s="16"/>
      <c r="P2991" s="16"/>
      <c r="Q2991" s="16"/>
      <c r="R2991" s="16"/>
      <c r="S2991" s="37" t="str">
        <f>IFERROR(__xludf.DUMMYFUNCTION("if(not(iserror(index(split(C2991, "" ""),2))), index(split(C2991, "" ""),1),"""")"),"")</f>
        <v/>
      </c>
      <c r="T2991" s="315" t="str">
        <f>IFERROR(__xludf.DUMMYFUNCTION("if(S2991="""",C2991,if(not(iserror(index(split(C2991, "" ""),3))), index(split(C2991, "" ""),3),index(split(C2991, "" ""),2)))"),"")</f>
        <v/>
      </c>
      <c r="U2991" s="38" t="b">
        <f t="shared" si="34"/>
        <v>0</v>
      </c>
      <c r="V2991" s="38"/>
      <c r="W2991" s="40"/>
      <c r="X2991" s="40"/>
      <c r="Y2991" s="38"/>
      <c r="Z2991" s="38"/>
      <c r="AA2991" s="38"/>
      <c r="AB2991" s="38"/>
      <c r="AC2991" s="38"/>
      <c r="AD2991" s="38"/>
      <c r="AE2991" s="38"/>
      <c r="AF2991" s="38"/>
      <c r="AG2991" s="38"/>
      <c r="AH2991" s="38"/>
      <c r="AI2991" s="38"/>
      <c r="AJ2991" s="38"/>
      <c r="AK2991" s="38"/>
      <c r="AL2991" s="38"/>
      <c r="AM2991" s="38"/>
      <c r="AN2991" s="38"/>
      <c r="AO2991" s="38"/>
      <c r="AP2991" s="38"/>
      <c r="AQ2991" s="38"/>
      <c r="AR2991" s="38"/>
      <c r="AS2991" s="38"/>
      <c r="AT2991" s="38"/>
      <c r="AU2991" s="38"/>
      <c r="AV2991" s="38"/>
      <c r="AW2991" s="38"/>
      <c r="AX2991" s="38"/>
      <c r="AY2991" s="38"/>
      <c r="AZ2991" s="38"/>
      <c r="BA2991" s="38"/>
      <c r="BB2991" s="38"/>
      <c r="BC2991" s="38"/>
      <c r="BD2991" s="38"/>
      <c r="BE2991" s="38"/>
      <c r="BF2991" s="38"/>
      <c r="BG2991" s="38"/>
      <c r="BH2991" s="38"/>
      <c r="BI2991" s="38"/>
      <c r="BJ2991" s="38"/>
      <c r="BK2991" s="38"/>
      <c r="BL2991" s="38"/>
      <c r="BM2991" s="38"/>
      <c r="BN2991" s="38"/>
      <c r="BO2991" s="38"/>
      <c r="BP2991" s="38"/>
      <c r="BQ2991" s="38"/>
    </row>
    <row r="2992">
      <c r="A2992" s="16"/>
      <c r="B2992" s="16"/>
      <c r="C2992" s="146"/>
      <c r="D2992" s="146"/>
      <c r="E2992" s="16"/>
      <c r="F2992" s="91"/>
      <c r="G2992" s="16"/>
      <c r="H2992" s="320" t="str">
        <f t="shared" si="33"/>
        <v/>
      </c>
      <c r="I2992" s="16"/>
      <c r="J2992" s="16"/>
      <c r="K2992" s="16"/>
      <c r="L2992" s="16"/>
      <c r="M2992" s="15"/>
      <c r="N2992" s="15"/>
      <c r="O2992" s="16"/>
      <c r="P2992" s="16"/>
      <c r="Q2992" s="16"/>
      <c r="R2992" s="16"/>
      <c r="S2992" s="37" t="str">
        <f>IFERROR(__xludf.DUMMYFUNCTION("if(not(iserror(index(split(C2992, "" ""),2))), index(split(C2992, "" ""),1),"""")"),"")</f>
        <v/>
      </c>
      <c r="T2992" s="315" t="str">
        <f>IFERROR(__xludf.DUMMYFUNCTION("if(S2992="""",C2992,if(not(iserror(index(split(C2992, "" ""),3))), index(split(C2992, "" ""),3),index(split(C2992, "" ""),2)))"),"")</f>
        <v/>
      </c>
      <c r="U2992" s="38" t="b">
        <f t="shared" si="34"/>
        <v>0</v>
      </c>
      <c r="V2992" s="38"/>
      <c r="W2992" s="40"/>
      <c r="X2992" s="40"/>
      <c r="Y2992" s="38"/>
      <c r="Z2992" s="38"/>
      <c r="AA2992" s="38"/>
      <c r="AB2992" s="38"/>
      <c r="AC2992" s="38"/>
      <c r="AD2992" s="38"/>
      <c r="AE2992" s="38"/>
      <c r="AF2992" s="38"/>
      <c r="AG2992" s="38"/>
      <c r="AH2992" s="38"/>
      <c r="AI2992" s="38"/>
      <c r="AJ2992" s="38"/>
      <c r="AK2992" s="38"/>
      <c r="AL2992" s="38"/>
      <c r="AM2992" s="38"/>
      <c r="AN2992" s="38"/>
      <c r="AO2992" s="38"/>
      <c r="AP2992" s="38"/>
      <c r="AQ2992" s="38"/>
      <c r="AR2992" s="38"/>
      <c r="AS2992" s="38"/>
      <c r="AT2992" s="38"/>
      <c r="AU2992" s="38"/>
      <c r="AV2992" s="38"/>
      <c r="AW2992" s="38"/>
      <c r="AX2992" s="38"/>
      <c r="AY2992" s="38"/>
      <c r="AZ2992" s="38"/>
      <c r="BA2992" s="38"/>
      <c r="BB2992" s="38"/>
      <c r="BC2992" s="38"/>
      <c r="BD2992" s="38"/>
      <c r="BE2992" s="38"/>
      <c r="BF2992" s="38"/>
      <c r="BG2992" s="38"/>
      <c r="BH2992" s="38"/>
      <c r="BI2992" s="38"/>
      <c r="BJ2992" s="38"/>
      <c r="BK2992" s="38"/>
      <c r="BL2992" s="38"/>
      <c r="BM2992" s="38"/>
      <c r="BN2992" s="38"/>
      <c r="BO2992" s="38"/>
      <c r="BP2992" s="38"/>
      <c r="BQ2992" s="38"/>
    </row>
    <row r="2993">
      <c r="A2993" s="16"/>
      <c r="B2993" s="16"/>
      <c r="C2993" s="146"/>
      <c r="D2993" s="146"/>
      <c r="E2993" s="16"/>
      <c r="F2993" s="91"/>
      <c r="G2993" s="16"/>
      <c r="H2993" s="320" t="str">
        <f t="shared" si="33"/>
        <v/>
      </c>
      <c r="I2993" s="16"/>
      <c r="J2993" s="16"/>
      <c r="K2993" s="16"/>
      <c r="L2993" s="16"/>
      <c r="M2993" s="15"/>
      <c r="N2993" s="15"/>
      <c r="O2993" s="16"/>
      <c r="P2993" s="16"/>
      <c r="Q2993" s="16"/>
      <c r="R2993" s="16"/>
      <c r="S2993" s="37" t="str">
        <f>IFERROR(__xludf.DUMMYFUNCTION("if(not(iserror(index(split(C2993, "" ""),2))), index(split(C2993, "" ""),1),"""")"),"")</f>
        <v/>
      </c>
      <c r="T2993" s="315" t="str">
        <f>IFERROR(__xludf.DUMMYFUNCTION("if(S2993="""",C2993,if(not(iserror(index(split(C2993, "" ""),3))), index(split(C2993, "" ""),3),index(split(C2993, "" ""),2)))"),"")</f>
        <v/>
      </c>
      <c r="U2993" s="38" t="b">
        <f t="shared" si="34"/>
        <v>0</v>
      </c>
      <c r="V2993" s="38"/>
      <c r="W2993" s="40"/>
      <c r="X2993" s="40"/>
      <c r="Y2993" s="38"/>
      <c r="Z2993" s="38"/>
      <c r="AA2993" s="38"/>
      <c r="AB2993" s="38"/>
      <c r="AC2993" s="38"/>
      <c r="AD2993" s="38"/>
      <c r="AE2993" s="38"/>
      <c r="AF2993" s="38"/>
      <c r="AG2993" s="38"/>
      <c r="AH2993" s="38"/>
      <c r="AI2993" s="38"/>
      <c r="AJ2993" s="38"/>
      <c r="AK2993" s="38"/>
      <c r="AL2993" s="38"/>
      <c r="AM2993" s="38"/>
      <c r="AN2993" s="38"/>
      <c r="AO2993" s="38"/>
      <c r="AP2993" s="38"/>
      <c r="AQ2993" s="38"/>
      <c r="AR2993" s="38"/>
      <c r="AS2993" s="38"/>
      <c r="AT2993" s="38"/>
      <c r="AU2993" s="38"/>
      <c r="AV2993" s="38"/>
      <c r="AW2993" s="38"/>
      <c r="AX2993" s="38"/>
      <c r="AY2993" s="38"/>
      <c r="AZ2993" s="38"/>
      <c r="BA2993" s="38"/>
      <c r="BB2993" s="38"/>
      <c r="BC2993" s="38"/>
      <c r="BD2993" s="38"/>
      <c r="BE2993" s="38"/>
      <c r="BF2993" s="38"/>
      <c r="BG2993" s="38"/>
      <c r="BH2993" s="38"/>
      <c r="BI2993" s="38"/>
      <c r="BJ2993" s="38"/>
      <c r="BK2993" s="38"/>
      <c r="BL2993" s="38"/>
      <c r="BM2993" s="38"/>
      <c r="BN2993" s="38"/>
      <c r="BO2993" s="38"/>
      <c r="BP2993" s="38"/>
      <c r="BQ2993" s="38"/>
    </row>
    <row r="2994">
      <c r="A2994" s="16"/>
      <c r="B2994" s="16"/>
      <c r="C2994" s="146"/>
      <c r="D2994" s="146"/>
      <c r="E2994" s="16"/>
      <c r="F2994" s="91"/>
      <c r="G2994" s="16"/>
      <c r="H2994" s="320" t="str">
        <f t="shared" si="33"/>
        <v/>
      </c>
      <c r="I2994" s="16"/>
      <c r="J2994" s="16"/>
      <c r="K2994" s="16"/>
      <c r="L2994" s="16"/>
      <c r="M2994" s="15"/>
      <c r="N2994" s="15"/>
      <c r="O2994" s="16"/>
      <c r="P2994" s="16"/>
      <c r="Q2994" s="16"/>
      <c r="R2994" s="16"/>
      <c r="S2994" s="37" t="str">
        <f>IFERROR(__xludf.DUMMYFUNCTION("if(not(iserror(index(split(C2994, "" ""),2))), index(split(C2994, "" ""),1),"""")"),"")</f>
        <v/>
      </c>
      <c r="T2994" s="315" t="str">
        <f>IFERROR(__xludf.DUMMYFUNCTION("if(S2994="""",C2994,if(not(iserror(index(split(C2994, "" ""),3))), index(split(C2994, "" ""),3),index(split(C2994, "" ""),2)))"),"")</f>
        <v/>
      </c>
      <c r="U2994" s="38" t="b">
        <f t="shared" si="34"/>
        <v>0</v>
      </c>
      <c r="V2994" s="38"/>
      <c r="W2994" s="40"/>
      <c r="X2994" s="40"/>
      <c r="Y2994" s="38"/>
      <c r="Z2994" s="38"/>
      <c r="AA2994" s="38"/>
      <c r="AB2994" s="38"/>
      <c r="AC2994" s="38"/>
      <c r="AD2994" s="38"/>
      <c r="AE2994" s="38"/>
      <c r="AF2994" s="38"/>
      <c r="AG2994" s="38"/>
      <c r="AH2994" s="38"/>
      <c r="AI2994" s="38"/>
      <c r="AJ2994" s="38"/>
      <c r="AK2994" s="38"/>
      <c r="AL2994" s="38"/>
      <c r="AM2994" s="38"/>
      <c r="AN2994" s="38"/>
      <c r="AO2994" s="38"/>
      <c r="AP2994" s="38"/>
      <c r="AQ2994" s="38"/>
      <c r="AR2994" s="38"/>
      <c r="AS2994" s="38"/>
      <c r="AT2994" s="38"/>
      <c r="AU2994" s="38"/>
      <c r="AV2994" s="38"/>
      <c r="AW2994" s="38"/>
      <c r="AX2994" s="38"/>
      <c r="AY2994" s="38"/>
      <c r="AZ2994" s="38"/>
      <c r="BA2994" s="38"/>
      <c r="BB2994" s="38"/>
      <c r="BC2994" s="38"/>
      <c r="BD2994" s="38"/>
      <c r="BE2994" s="38"/>
      <c r="BF2994" s="38"/>
      <c r="BG2994" s="38"/>
      <c r="BH2994" s="38"/>
      <c r="BI2994" s="38"/>
      <c r="BJ2994" s="38"/>
      <c r="BK2994" s="38"/>
      <c r="BL2994" s="38"/>
      <c r="BM2994" s="38"/>
      <c r="BN2994" s="38"/>
      <c r="BO2994" s="38"/>
      <c r="BP2994" s="38"/>
      <c r="BQ2994" s="38"/>
    </row>
    <row r="2995">
      <c r="A2995" s="16"/>
      <c r="B2995" s="16"/>
      <c r="C2995" s="146"/>
      <c r="D2995" s="146"/>
      <c r="E2995" s="16"/>
      <c r="F2995" s="91"/>
      <c r="G2995" s="16"/>
      <c r="H2995" s="320" t="str">
        <f t="shared" si="33"/>
        <v/>
      </c>
      <c r="I2995" s="16"/>
      <c r="J2995" s="16"/>
      <c r="K2995" s="16"/>
      <c r="L2995" s="16"/>
      <c r="M2995" s="15"/>
      <c r="N2995" s="15"/>
      <c r="O2995" s="16"/>
      <c r="P2995" s="16"/>
      <c r="Q2995" s="16"/>
      <c r="R2995" s="16"/>
      <c r="S2995" s="37" t="str">
        <f>IFERROR(__xludf.DUMMYFUNCTION("if(not(iserror(index(split(C2995, "" ""),2))), index(split(C2995, "" ""),1),"""")"),"")</f>
        <v/>
      </c>
      <c r="T2995" s="315" t="str">
        <f>IFERROR(__xludf.DUMMYFUNCTION("if(S2995="""",C2995,if(not(iserror(index(split(C2995, "" ""),3))), index(split(C2995, "" ""),3),index(split(C2995, "" ""),2)))"),"")</f>
        <v/>
      </c>
      <c r="U2995" s="38" t="b">
        <f t="shared" si="34"/>
        <v>0</v>
      </c>
      <c r="V2995" s="38"/>
      <c r="W2995" s="40"/>
      <c r="X2995" s="40"/>
      <c r="Y2995" s="38"/>
      <c r="Z2995" s="38"/>
      <c r="AA2995" s="38"/>
      <c r="AB2995" s="38"/>
      <c r="AC2995" s="38"/>
      <c r="AD2995" s="38"/>
      <c r="AE2995" s="38"/>
      <c r="AF2995" s="38"/>
      <c r="AG2995" s="38"/>
      <c r="AH2995" s="38"/>
      <c r="AI2995" s="38"/>
      <c r="AJ2995" s="38"/>
      <c r="AK2995" s="38"/>
      <c r="AL2995" s="38"/>
      <c r="AM2995" s="38"/>
      <c r="AN2995" s="38"/>
      <c r="AO2995" s="38"/>
      <c r="AP2995" s="38"/>
      <c r="AQ2995" s="38"/>
      <c r="AR2995" s="38"/>
      <c r="AS2995" s="38"/>
      <c r="AT2995" s="38"/>
      <c r="AU2995" s="38"/>
      <c r="AV2995" s="38"/>
      <c r="AW2995" s="38"/>
      <c r="AX2995" s="38"/>
      <c r="AY2995" s="38"/>
      <c r="AZ2995" s="38"/>
      <c r="BA2995" s="38"/>
      <c r="BB2995" s="38"/>
      <c r="BC2995" s="38"/>
      <c r="BD2995" s="38"/>
      <c r="BE2995" s="38"/>
      <c r="BF2995" s="38"/>
      <c r="BG2995" s="38"/>
      <c r="BH2995" s="38"/>
      <c r="BI2995" s="38"/>
      <c r="BJ2995" s="38"/>
      <c r="BK2995" s="38"/>
      <c r="BL2995" s="38"/>
      <c r="BM2995" s="38"/>
      <c r="BN2995" s="38"/>
      <c r="BO2995" s="38"/>
      <c r="BP2995" s="38"/>
      <c r="BQ2995" s="38"/>
    </row>
    <row r="2996">
      <c r="A2996" s="16"/>
      <c r="B2996" s="16"/>
      <c r="C2996" s="146"/>
      <c r="D2996" s="146"/>
      <c r="E2996" s="16"/>
      <c r="F2996" s="91"/>
      <c r="G2996" s="16"/>
      <c r="H2996" s="320" t="str">
        <f t="shared" si="33"/>
        <v/>
      </c>
      <c r="I2996" s="16"/>
      <c r="J2996" s="16"/>
      <c r="K2996" s="16"/>
      <c r="L2996" s="16"/>
      <c r="M2996" s="15"/>
      <c r="N2996" s="15"/>
      <c r="O2996" s="16"/>
      <c r="P2996" s="16"/>
      <c r="Q2996" s="16"/>
      <c r="R2996" s="16"/>
      <c r="S2996" s="37" t="str">
        <f>IFERROR(__xludf.DUMMYFUNCTION("if(not(iserror(index(split(C2996, "" ""),2))), index(split(C2996, "" ""),1),"""")"),"")</f>
        <v/>
      </c>
      <c r="T2996" s="315" t="str">
        <f>IFERROR(__xludf.DUMMYFUNCTION("if(S2996="""",C2996,if(not(iserror(index(split(C2996, "" ""),3))), index(split(C2996, "" ""),3),index(split(C2996, "" ""),2)))"),"")</f>
        <v/>
      </c>
      <c r="U2996" s="38" t="b">
        <f t="shared" si="34"/>
        <v>0</v>
      </c>
      <c r="V2996" s="38"/>
      <c r="W2996" s="40"/>
      <c r="X2996" s="40"/>
      <c r="Y2996" s="38"/>
      <c r="Z2996" s="38"/>
      <c r="AA2996" s="38"/>
      <c r="AB2996" s="38"/>
      <c r="AC2996" s="38"/>
      <c r="AD2996" s="38"/>
      <c r="AE2996" s="38"/>
      <c r="AF2996" s="38"/>
      <c r="AG2996" s="38"/>
      <c r="AH2996" s="38"/>
      <c r="AI2996" s="38"/>
      <c r="AJ2996" s="38"/>
      <c r="AK2996" s="38"/>
      <c r="AL2996" s="38"/>
      <c r="AM2996" s="38"/>
      <c r="AN2996" s="38"/>
      <c r="AO2996" s="38"/>
      <c r="AP2996" s="38"/>
      <c r="AQ2996" s="38"/>
      <c r="AR2996" s="38"/>
      <c r="AS2996" s="38"/>
      <c r="AT2996" s="38"/>
      <c r="AU2996" s="38"/>
      <c r="AV2996" s="38"/>
      <c r="AW2996" s="38"/>
      <c r="AX2996" s="38"/>
      <c r="AY2996" s="38"/>
      <c r="AZ2996" s="38"/>
      <c r="BA2996" s="38"/>
      <c r="BB2996" s="38"/>
      <c r="BC2996" s="38"/>
      <c r="BD2996" s="38"/>
      <c r="BE2996" s="38"/>
      <c r="BF2996" s="38"/>
      <c r="BG2996" s="38"/>
      <c r="BH2996" s="38"/>
      <c r="BI2996" s="38"/>
      <c r="BJ2996" s="38"/>
      <c r="BK2996" s="38"/>
      <c r="BL2996" s="38"/>
      <c r="BM2996" s="38"/>
      <c r="BN2996" s="38"/>
      <c r="BO2996" s="38"/>
      <c r="BP2996" s="38"/>
      <c r="BQ2996" s="38"/>
    </row>
    <row r="2997">
      <c r="A2997" s="16"/>
      <c r="B2997" s="16"/>
      <c r="C2997" s="146"/>
      <c r="D2997" s="146"/>
      <c r="E2997" s="16"/>
      <c r="F2997" s="91"/>
      <c r="G2997" s="16"/>
      <c r="H2997" s="320" t="str">
        <f t="shared" si="33"/>
        <v/>
      </c>
      <c r="I2997" s="16"/>
      <c r="J2997" s="16"/>
      <c r="K2997" s="16"/>
      <c r="L2997" s="16"/>
      <c r="M2997" s="15"/>
      <c r="N2997" s="15"/>
      <c r="O2997" s="16"/>
      <c r="P2997" s="16"/>
      <c r="Q2997" s="16"/>
      <c r="R2997" s="16"/>
      <c r="S2997" s="37" t="str">
        <f>IFERROR(__xludf.DUMMYFUNCTION("if(not(iserror(index(split(C2997, "" ""),2))), index(split(C2997, "" ""),1),"""")"),"")</f>
        <v/>
      </c>
      <c r="T2997" s="315" t="str">
        <f>IFERROR(__xludf.DUMMYFUNCTION("if(S2997="""",C2997,if(not(iserror(index(split(C2997, "" ""),3))), index(split(C2997, "" ""),3),index(split(C2997, "" ""),2)))"),"")</f>
        <v/>
      </c>
      <c r="U2997" s="38" t="b">
        <f t="shared" si="34"/>
        <v>0</v>
      </c>
      <c r="V2997" s="38"/>
      <c r="W2997" s="40"/>
      <c r="X2997" s="40"/>
      <c r="Y2997" s="38"/>
      <c r="Z2997" s="38"/>
      <c r="AA2997" s="38"/>
      <c r="AB2997" s="38"/>
      <c r="AC2997" s="38"/>
      <c r="AD2997" s="38"/>
      <c r="AE2997" s="38"/>
      <c r="AF2997" s="38"/>
      <c r="AG2997" s="38"/>
      <c r="AH2997" s="38"/>
      <c r="AI2997" s="38"/>
      <c r="AJ2997" s="38"/>
      <c r="AK2997" s="38"/>
      <c r="AL2997" s="38"/>
      <c r="AM2997" s="38"/>
      <c r="AN2997" s="38"/>
      <c r="AO2997" s="38"/>
      <c r="AP2997" s="38"/>
      <c r="AQ2997" s="38"/>
      <c r="AR2997" s="38"/>
      <c r="AS2997" s="38"/>
      <c r="AT2997" s="38"/>
      <c r="AU2997" s="38"/>
      <c r="AV2997" s="38"/>
      <c r="AW2997" s="38"/>
      <c r="AX2997" s="38"/>
      <c r="AY2997" s="38"/>
      <c r="AZ2997" s="38"/>
      <c r="BA2997" s="38"/>
      <c r="BB2997" s="38"/>
      <c r="BC2997" s="38"/>
      <c r="BD2997" s="38"/>
      <c r="BE2997" s="38"/>
      <c r="BF2997" s="38"/>
      <c r="BG2997" s="38"/>
      <c r="BH2997" s="38"/>
      <c r="BI2997" s="38"/>
      <c r="BJ2997" s="38"/>
      <c r="BK2997" s="38"/>
      <c r="BL2997" s="38"/>
      <c r="BM2997" s="38"/>
      <c r="BN2997" s="38"/>
      <c r="BO2997" s="38"/>
      <c r="BP2997" s="38"/>
      <c r="BQ2997" s="38"/>
    </row>
    <row r="2998">
      <c r="A2998" s="16"/>
      <c r="B2998" s="16"/>
      <c r="C2998" s="146"/>
      <c r="D2998" s="146"/>
      <c r="E2998" s="16"/>
      <c r="F2998" s="91"/>
      <c r="G2998" s="16"/>
      <c r="H2998" s="320" t="str">
        <f t="shared" si="33"/>
        <v/>
      </c>
      <c r="I2998" s="16"/>
      <c r="J2998" s="16"/>
      <c r="K2998" s="16"/>
      <c r="L2998" s="16"/>
      <c r="M2998" s="15"/>
      <c r="N2998" s="15"/>
      <c r="O2998" s="16"/>
      <c r="P2998" s="16"/>
      <c r="Q2998" s="16"/>
      <c r="R2998" s="16"/>
      <c r="S2998" s="37" t="str">
        <f>IFERROR(__xludf.DUMMYFUNCTION("if(not(iserror(index(split(C2998, "" ""),2))), index(split(C2998, "" ""),1),"""")"),"")</f>
        <v/>
      </c>
      <c r="T2998" s="315" t="str">
        <f>IFERROR(__xludf.DUMMYFUNCTION("if(S2998="""",C2998,if(not(iserror(index(split(C2998, "" ""),3))), index(split(C2998, "" ""),3),index(split(C2998, "" ""),2)))"),"")</f>
        <v/>
      </c>
      <c r="U2998" s="38" t="b">
        <f t="shared" si="34"/>
        <v>0</v>
      </c>
      <c r="V2998" s="38"/>
      <c r="W2998" s="40"/>
      <c r="X2998" s="40"/>
      <c r="Y2998" s="38"/>
      <c r="Z2998" s="38"/>
      <c r="AA2998" s="38"/>
      <c r="AB2998" s="38"/>
      <c r="AC2998" s="38"/>
      <c r="AD2998" s="38"/>
      <c r="AE2998" s="38"/>
      <c r="AF2998" s="38"/>
      <c r="AG2998" s="38"/>
      <c r="AH2998" s="38"/>
      <c r="AI2998" s="38"/>
      <c r="AJ2998" s="38"/>
      <c r="AK2998" s="38"/>
      <c r="AL2998" s="38"/>
      <c r="AM2998" s="38"/>
      <c r="AN2998" s="38"/>
      <c r="AO2998" s="38"/>
      <c r="AP2998" s="38"/>
      <c r="AQ2998" s="38"/>
      <c r="AR2998" s="38"/>
      <c r="AS2998" s="38"/>
      <c r="AT2998" s="38"/>
      <c r="AU2998" s="38"/>
      <c r="AV2998" s="38"/>
      <c r="AW2998" s="38"/>
      <c r="AX2998" s="38"/>
      <c r="AY2998" s="38"/>
      <c r="AZ2998" s="38"/>
      <c r="BA2998" s="38"/>
      <c r="BB2998" s="38"/>
      <c r="BC2998" s="38"/>
      <c r="BD2998" s="38"/>
      <c r="BE2998" s="38"/>
      <c r="BF2998" s="38"/>
      <c r="BG2998" s="38"/>
      <c r="BH2998" s="38"/>
      <c r="BI2998" s="38"/>
      <c r="BJ2998" s="38"/>
      <c r="BK2998" s="38"/>
      <c r="BL2998" s="38"/>
      <c r="BM2998" s="38"/>
      <c r="BN2998" s="38"/>
      <c r="BO2998" s="38"/>
      <c r="BP2998" s="38"/>
      <c r="BQ2998" s="38"/>
    </row>
    <row r="2999">
      <c r="A2999" s="16"/>
      <c r="B2999" s="16"/>
      <c r="C2999" s="146"/>
      <c r="D2999" s="146"/>
      <c r="E2999" s="16"/>
      <c r="F2999" s="91"/>
      <c r="G2999" s="16"/>
      <c r="H2999" s="320" t="str">
        <f t="shared" si="33"/>
        <v/>
      </c>
      <c r="I2999" s="16"/>
      <c r="J2999" s="16"/>
      <c r="K2999" s="16"/>
      <c r="L2999" s="16"/>
      <c r="M2999" s="15"/>
      <c r="N2999" s="15"/>
      <c r="O2999" s="16"/>
      <c r="P2999" s="16"/>
      <c r="Q2999" s="16"/>
      <c r="R2999" s="16"/>
      <c r="S2999" s="37" t="str">
        <f>IFERROR(__xludf.DUMMYFUNCTION("if(not(iserror(index(split(C2999, "" ""),2))), index(split(C2999, "" ""),1),"""")"),"")</f>
        <v/>
      </c>
      <c r="T2999" s="315" t="str">
        <f>IFERROR(__xludf.DUMMYFUNCTION("if(S2999="""",C2999,if(not(iserror(index(split(C2999, "" ""),3))), index(split(C2999, "" ""),3),index(split(C2999, "" ""),2)))"),"")</f>
        <v/>
      </c>
      <c r="U2999" s="38" t="b">
        <f t="shared" si="34"/>
        <v>0</v>
      </c>
      <c r="V2999" s="38"/>
      <c r="W2999" s="40"/>
      <c r="X2999" s="40"/>
      <c r="Y2999" s="38"/>
      <c r="Z2999" s="38"/>
      <c r="AA2999" s="38"/>
      <c r="AB2999" s="38"/>
      <c r="AC2999" s="38"/>
      <c r="AD2999" s="38"/>
      <c r="AE2999" s="38"/>
      <c r="AF2999" s="38"/>
      <c r="AG2999" s="38"/>
      <c r="AH2999" s="38"/>
      <c r="AI2999" s="38"/>
      <c r="AJ2999" s="38"/>
      <c r="AK2999" s="38"/>
      <c r="AL2999" s="38"/>
      <c r="AM2999" s="38"/>
      <c r="AN2999" s="38"/>
      <c r="AO2999" s="38"/>
      <c r="AP2999" s="38"/>
      <c r="AQ2999" s="38"/>
      <c r="AR2999" s="38"/>
      <c r="AS2999" s="38"/>
      <c r="AT2999" s="38"/>
      <c r="AU2999" s="38"/>
      <c r="AV2999" s="38"/>
      <c r="AW2999" s="38"/>
      <c r="AX2999" s="38"/>
      <c r="AY2999" s="38"/>
      <c r="AZ2999" s="38"/>
      <c r="BA2999" s="38"/>
      <c r="BB2999" s="38"/>
      <c r="BC2999" s="38"/>
      <c r="BD2999" s="38"/>
      <c r="BE2999" s="38"/>
      <c r="BF2999" s="38"/>
      <c r="BG2999" s="38"/>
      <c r="BH2999" s="38"/>
      <c r="BI2999" s="38"/>
      <c r="BJ2999" s="38"/>
      <c r="BK2999" s="38"/>
      <c r="BL2999" s="38"/>
      <c r="BM2999" s="38"/>
      <c r="BN2999" s="38"/>
      <c r="BO2999" s="38"/>
      <c r="BP2999" s="38"/>
      <c r="BQ2999" s="38"/>
    </row>
    <row r="3000">
      <c r="A3000" s="16"/>
      <c r="B3000" s="16"/>
      <c r="C3000" s="146"/>
      <c r="D3000" s="146"/>
      <c r="E3000" s="16"/>
      <c r="F3000" s="91"/>
      <c r="G3000" s="16"/>
      <c r="H3000" s="320" t="str">
        <f t="shared" si="33"/>
        <v/>
      </c>
      <c r="I3000" s="16"/>
      <c r="J3000" s="16"/>
      <c r="K3000" s="16"/>
      <c r="L3000" s="16"/>
      <c r="M3000" s="15"/>
      <c r="N3000" s="15"/>
      <c r="O3000" s="16"/>
      <c r="P3000" s="16"/>
      <c r="Q3000" s="16"/>
      <c r="R3000" s="16"/>
      <c r="S3000" s="37" t="str">
        <f>IFERROR(__xludf.DUMMYFUNCTION("if(not(iserror(index(split(C3000, "" ""),2))), index(split(C3000, "" ""),1),"""")"),"")</f>
        <v/>
      </c>
      <c r="T3000" s="315" t="str">
        <f>IFERROR(__xludf.DUMMYFUNCTION("if(S3000="""",C3000,if(not(iserror(index(split(C3000, "" ""),3))), index(split(C3000, "" ""),3),index(split(C3000, "" ""),2)))"),"")</f>
        <v/>
      </c>
      <c r="U3000" s="38" t="b">
        <f t="shared" si="34"/>
        <v>0</v>
      </c>
      <c r="V3000" s="38"/>
      <c r="W3000" s="40"/>
      <c r="X3000" s="40"/>
      <c r="Y3000" s="38"/>
      <c r="Z3000" s="38"/>
      <c r="AA3000" s="38"/>
      <c r="AB3000" s="38"/>
      <c r="AC3000" s="38"/>
      <c r="AD3000" s="38"/>
      <c r="AE3000" s="38"/>
      <c r="AF3000" s="38"/>
      <c r="AG3000" s="38"/>
      <c r="AH3000" s="38"/>
      <c r="AI3000" s="38"/>
      <c r="AJ3000" s="38"/>
      <c r="AK3000" s="38"/>
      <c r="AL3000" s="38"/>
      <c r="AM3000" s="38"/>
      <c r="AN3000" s="38"/>
      <c r="AO3000" s="38"/>
      <c r="AP3000" s="38"/>
      <c r="AQ3000" s="38"/>
      <c r="AR3000" s="38"/>
      <c r="AS3000" s="38"/>
      <c r="AT3000" s="38"/>
      <c r="AU3000" s="38"/>
      <c r="AV3000" s="38"/>
      <c r="AW3000" s="38"/>
      <c r="AX3000" s="38"/>
      <c r="AY3000" s="38"/>
      <c r="AZ3000" s="38"/>
      <c r="BA3000" s="38"/>
      <c r="BB3000" s="38"/>
      <c r="BC3000" s="38"/>
      <c r="BD3000" s="38"/>
      <c r="BE3000" s="38"/>
      <c r="BF3000" s="38"/>
      <c r="BG3000" s="38"/>
      <c r="BH3000" s="38"/>
      <c r="BI3000" s="38"/>
      <c r="BJ3000" s="38"/>
      <c r="BK3000" s="38"/>
      <c r="BL3000" s="38"/>
      <c r="BM3000" s="38"/>
      <c r="BN3000" s="38"/>
      <c r="BO3000" s="38"/>
      <c r="BP3000" s="38"/>
      <c r="BQ3000" s="38"/>
    </row>
    <row r="3001">
      <c r="A3001" s="16"/>
      <c r="B3001" s="16"/>
      <c r="C3001" s="146"/>
      <c r="D3001" s="146"/>
      <c r="E3001" s="16"/>
      <c r="F3001" s="91"/>
      <c r="G3001" s="16"/>
      <c r="H3001" s="320" t="str">
        <f t="shared" si="33"/>
        <v/>
      </c>
      <c r="I3001" s="16"/>
      <c r="J3001" s="16"/>
      <c r="K3001" s="16"/>
      <c r="L3001" s="16"/>
      <c r="M3001" s="15"/>
      <c r="N3001" s="15"/>
      <c r="O3001" s="16"/>
      <c r="P3001" s="16"/>
      <c r="Q3001" s="16"/>
      <c r="R3001" s="16"/>
      <c r="S3001" s="37" t="str">
        <f>IFERROR(__xludf.DUMMYFUNCTION("if(not(iserror(index(split(C3001, "" ""),2))), index(split(C3001, "" ""),1),"""")"),"")</f>
        <v/>
      </c>
      <c r="T3001" s="315" t="str">
        <f>IFERROR(__xludf.DUMMYFUNCTION("if(S3001="""",C3001,if(not(iserror(index(split(C3001, "" ""),3))), index(split(C3001, "" ""),3),index(split(C3001, "" ""),2)))"),"")</f>
        <v/>
      </c>
      <c r="U3001" s="38" t="b">
        <f t="shared" si="34"/>
        <v>0</v>
      </c>
      <c r="V3001" s="38"/>
      <c r="W3001" s="40"/>
      <c r="X3001" s="40"/>
      <c r="Y3001" s="38"/>
      <c r="Z3001" s="38"/>
      <c r="AA3001" s="38"/>
      <c r="AB3001" s="38"/>
      <c r="AC3001" s="38"/>
      <c r="AD3001" s="38"/>
      <c r="AE3001" s="38"/>
      <c r="AF3001" s="38"/>
      <c r="AG3001" s="38"/>
      <c r="AH3001" s="38"/>
      <c r="AI3001" s="38"/>
      <c r="AJ3001" s="38"/>
      <c r="AK3001" s="38"/>
      <c r="AL3001" s="38"/>
      <c r="AM3001" s="38"/>
      <c r="AN3001" s="38"/>
      <c r="AO3001" s="38"/>
      <c r="AP3001" s="38"/>
      <c r="AQ3001" s="38"/>
      <c r="AR3001" s="38"/>
      <c r="AS3001" s="38"/>
      <c r="AT3001" s="38"/>
      <c r="AU3001" s="38"/>
      <c r="AV3001" s="38"/>
      <c r="AW3001" s="38"/>
      <c r="AX3001" s="38"/>
      <c r="AY3001" s="38"/>
      <c r="AZ3001" s="38"/>
      <c r="BA3001" s="38"/>
      <c r="BB3001" s="38"/>
      <c r="BC3001" s="38"/>
      <c r="BD3001" s="38"/>
      <c r="BE3001" s="38"/>
      <c r="BF3001" s="38"/>
      <c r="BG3001" s="38"/>
      <c r="BH3001" s="38"/>
      <c r="BI3001" s="38"/>
      <c r="BJ3001" s="38"/>
      <c r="BK3001" s="38"/>
      <c r="BL3001" s="38"/>
      <c r="BM3001" s="38"/>
      <c r="BN3001" s="38"/>
      <c r="BO3001" s="38"/>
      <c r="BP3001" s="38"/>
      <c r="BQ3001" s="38"/>
    </row>
    <row r="3002">
      <c r="A3002" s="16"/>
      <c r="B3002" s="16"/>
      <c r="C3002" s="146"/>
      <c r="D3002" s="146"/>
      <c r="E3002" s="16"/>
      <c r="F3002" s="91"/>
      <c r="G3002" s="16"/>
      <c r="H3002" s="320" t="str">
        <f t="shared" si="33"/>
        <v/>
      </c>
      <c r="I3002" s="16"/>
      <c r="J3002" s="16"/>
      <c r="K3002" s="16"/>
      <c r="L3002" s="16"/>
      <c r="M3002" s="15"/>
      <c r="N3002" s="15"/>
      <c r="O3002" s="16"/>
      <c r="P3002" s="16"/>
      <c r="Q3002" s="16"/>
      <c r="R3002" s="16"/>
      <c r="S3002" s="37" t="str">
        <f>IFERROR(__xludf.DUMMYFUNCTION("if(not(iserror(index(split(C3002, "" ""),2))), index(split(C3002, "" ""),1),"""")"),"")</f>
        <v/>
      </c>
      <c r="T3002" s="315" t="str">
        <f>IFERROR(__xludf.DUMMYFUNCTION("if(S3002="""",C3002,if(not(iserror(index(split(C3002, "" ""),3))), index(split(C3002, "" ""),3),index(split(C3002, "" ""),2)))"),"")</f>
        <v/>
      </c>
      <c r="U3002" s="38" t="b">
        <f t="shared" si="34"/>
        <v>0</v>
      </c>
      <c r="V3002" s="38"/>
      <c r="W3002" s="40"/>
      <c r="X3002" s="40"/>
      <c r="Y3002" s="38"/>
      <c r="Z3002" s="38"/>
      <c r="AA3002" s="38"/>
      <c r="AB3002" s="38"/>
      <c r="AC3002" s="38"/>
      <c r="AD3002" s="38"/>
      <c r="AE3002" s="38"/>
      <c r="AF3002" s="38"/>
      <c r="AG3002" s="38"/>
      <c r="AH3002" s="38"/>
      <c r="AI3002" s="38"/>
      <c r="AJ3002" s="38"/>
      <c r="AK3002" s="38"/>
      <c r="AL3002" s="38"/>
      <c r="AM3002" s="38"/>
      <c r="AN3002" s="38"/>
      <c r="AO3002" s="38"/>
      <c r="AP3002" s="38"/>
      <c r="AQ3002" s="38"/>
      <c r="AR3002" s="38"/>
      <c r="AS3002" s="38"/>
      <c r="AT3002" s="38"/>
      <c r="AU3002" s="38"/>
      <c r="AV3002" s="38"/>
      <c r="AW3002" s="38"/>
      <c r="AX3002" s="38"/>
      <c r="AY3002" s="38"/>
      <c r="AZ3002" s="38"/>
      <c r="BA3002" s="38"/>
      <c r="BB3002" s="38"/>
      <c r="BC3002" s="38"/>
      <c r="BD3002" s="38"/>
      <c r="BE3002" s="38"/>
      <c r="BF3002" s="38"/>
      <c r="BG3002" s="38"/>
      <c r="BH3002" s="38"/>
      <c r="BI3002" s="38"/>
      <c r="BJ3002" s="38"/>
      <c r="BK3002" s="38"/>
      <c r="BL3002" s="38"/>
      <c r="BM3002" s="38"/>
      <c r="BN3002" s="38"/>
      <c r="BO3002" s="38"/>
      <c r="BP3002" s="38"/>
      <c r="BQ3002" s="38"/>
    </row>
    <row r="3003">
      <c r="A3003" s="16"/>
      <c r="B3003" s="16"/>
      <c r="C3003" s="146"/>
      <c r="D3003" s="146"/>
      <c r="E3003" s="16"/>
      <c r="F3003" s="91"/>
      <c r="G3003" s="16"/>
      <c r="H3003" s="320" t="str">
        <f t="shared" si="33"/>
        <v/>
      </c>
      <c r="I3003" s="16"/>
      <c r="J3003" s="16"/>
      <c r="K3003" s="16"/>
      <c r="L3003" s="16"/>
      <c r="M3003" s="15"/>
      <c r="N3003" s="15"/>
      <c r="O3003" s="16"/>
      <c r="P3003" s="16"/>
      <c r="Q3003" s="16"/>
      <c r="R3003" s="16"/>
      <c r="S3003" s="37" t="str">
        <f>IFERROR(__xludf.DUMMYFUNCTION("if(not(iserror(index(split(C3003, "" ""),2))), index(split(C3003, "" ""),1),"""")"),"")</f>
        <v/>
      </c>
      <c r="T3003" s="315" t="str">
        <f>IFERROR(__xludf.DUMMYFUNCTION("if(S3003="""",C3003,if(not(iserror(index(split(C3003, "" ""),3))), index(split(C3003, "" ""),3),index(split(C3003, "" ""),2)))"),"")</f>
        <v/>
      </c>
      <c r="U3003" s="38" t="b">
        <f t="shared" si="34"/>
        <v>0</v>
      </c>
      <c r="V3003" s="38"/>
      <c r="W3003" s="40"/>
      <c r="X3003" s="40"/>
      <c r="Y3003" s="38"/>
      <c r="Z3003" s="38"/>
      <c r="AA3003" s="38"/>
      <c r="AB3003" s="38"/>
      <c r="AC3003" s="38"/>
      <c r="AD3003" s="38"/>
      <c r="AE3003" s="38"/>
      <c r="AF3003" s="38"/>
      <c r="AG3003" s="38"/>
      <c r="AH3003" s="38"/>
      <c r="AI3003" s="38"/>
      <c r="AJ3003" s="38"/>
      <c r="AK3003" s="38"/>
      <c r="AL3003" s="38"/>
      <c r="AM3003" s="38"/>
      <c r="AN3003" s="38"/>
      <c r="AO3003" s="38"/>
      <c r="AP3003" s="38"/>
      <c r="AQ3003" s="38"/>
      <c r="AR3003" s="38"/>
      <c r="AS3003" s="38"/>
      <c r="AT3003" s="38"/>
      <c r="AU3003" s="38"/>
      <c r="AV3003" s="38"/>
      <c r="AW3003" s="38"/>
      <c r="AX3003" s="38"/>
      <c r="AY3003" s="38"/>
      <c r="AZ3003" s="38"/>
      <c r="BA3003" s="38"/>
      <c r="BB3003" s="38"/>
      <c r="BC3003" s="38"/>
      <c r="BD3003" s="38"/>
      <c r="BE3003" s="38"/>
      <c r="BF3003" s="38"/>
      <c r="BG3003" s="38"/>
      <c r="BH3003" s="38"/>
      <c r="BI3003" s="38"/>
      <c r="BJ3003" s="38"/>
      <c r="BK3003" s="38"/>
      <c r="BL3003" s="38"/>
      <c r="BM3003" s="38"/>
      <c r="BN3003" s="38"/>
      <c r="BO3003" s="38"/>
      <c r="BP3003" s="38"/>
      <c r="BQ3003" s="38"/>
    </row>
    <row r="3004">
      <c r="A3004" s="16"/>
      <c r="B3004" s="16"/>
      <c r="C3004" s="146"/>
      <c r="D3004" s="146"/>
      <c r="E3004" s="16"/>
      <c r="F3004" s="91"/>
      <c r="G3004" s="16"/>
      <c r="H3004" s="320" t="str">
        <f t="shared" si="33"/>
        <v/>
      </c>
      <c r="I3004" s="16"/>
      <c r="J3004" s="16"/>
      <c r="K3004" s="16"/>
      <c r="L3004" s="16"/>
      <c r="M3004" s="15"/>
      <c r="N3004" s="15"/>
      <c r="O3004" s="16"/>
      <c r="P3004" s="16"/>
      <c r="Q3004" s="16"/>
      <c r="R3004" s="16"/>
      <c r="S3004" s="37" t="str">
        <f>IFERROR(__xludf.DUMMYFUNCTION("if(not(iserror(index(split(C3004, "" ""),2))), index(split(C3004, "" ""),1),"""")"),"")</f>
        <v/>
      </c>
      <c r="T3004" s="315" t="str">
        <f>IFERROR(__xludf.DUMMYFUNCTION("if(S3004="""",C3004,if(not(iserror(index(split(C3004, "" ""),3))), index(split(C3004, "" ""),3),index(split(C3004, "" ""),2)))"),"")</f>
        <v/>
      </c>
      <c r="U3004" s="38" t="b">
        <f t="shared" si="34"/>
        <v>0</v>
      </c>
      <c r="V3004" s="38"/>
      <c r="W3004" s="40"/>
      <c r="X3004" s="40"/>
      <c r="Y3004" s="38"/>
      <c r="Z3004" s="38"/>
      <c r="AA3004" s="38"/>
      <c r="AB3004" s="38"/>
      <c r="AC3004" s="38"/>
      <c r="AD3004" s="38"/>
      <c r="AE3004" s="38"/>
      <c r="AF3004" s="38"/>
      <c r="AG3004" s="38"/>
      <c r="AH3004" s="38"/>
      <c r="AI3004" s="38"/>
      <c r="AJ3004" s="38"/>
      <c r="AK3004" s="38"/>
      <c r="AL3004" s="38"/>
      <c r="AM3004" s="38"/>
      <c r="AN3004" s="38"/>
      <c r="AO3004" s="38"/>
      <c r="AP3004" s="38"/>
      <c r="AQ3004" s="38"/>
      <c r="AR3004" s="38"/>
      <c r="AS3004" s="38"/>
      <c r="AT3004" s="38"/>
      <c r="AU3004" s="38"/>
      <c r="AV3004" s="38"/>
      <c r="AW3004" s="38"/>
      <c r="AX3004" s="38"/>
      <c r="AY3004" s="38"/>
      <c r="AZ3004" s="38"/>
      <c r="BA3004" s="38"/>
      <c r="BB3004" s="38"/>
      <c r="BC3004" s="38"/>
      <c r="BD3004" s="38"/>
      <c r="BE3004" s="38"/>
      <c r="BF3004" s="38"/>
      <c r="BG3004" s="38"/>
      <c r="BH3004" s="38"/>
      <c r="BI3004" s="38"/>
      <c r="BJ3004" s="38"/>
      <c r="BK3004" s="38"/>
      <c r="BL3004" s="38"/>
      <c r="BM3004" s="38"/>
      <c r="BN3004" s="38"/>
      <c r="BO3004" s="38"/>
      <c r="BP3004" s="38"/>
      <c r="BQ3004" s="38"/>
    </row>
    <row r="3005">
      <c r="A3005" s="16"/>
      <c r="B3005" s="16"/>
      <c r="C3005" s="146"/>
      <c r="D3005" s="146"/>
      <c r="E3005" s="16"/>
      <c r="F3005" s="91"/>
      <c r="G3005" s="16"/>
      <c r="H3005" s="320" t="str">
        <f t="shared" si="33"/>
        <v/>
      </c>
      <c r="I3005" s="16"/>
      <c r="J3005" s="16"/>
      <c r="K3005" s="16"/>
      <c r="L3005" s="16"/>
      <c r="M3005" s="15"/>
      <c r="N3005" s="15"/>
      <c r="O3005" s="16"/>
      <c r="P3005" s="16"/>
      <c r="Q3005" s="16"/>
      <c r="R3005" s="16"/>
      <c r="S3005" s="37" t="str">
        <f>IFERROR(__xludf.DUMMYFUNCTION("if(not(iserror(index(split(C3005, "" ""),2))), index(split(C3005, "" ""),1),"""")"),"")</f>
        <v/>
      </c>
      <c r="T3005" s="315" t="str">
        <f>IFERROR(__xludf.DUMMYFUNCTION("if(S3005="""",C3005,if(not(iserror(index(split(C3005, "" ""),3))), index(split(C3005, "" ""),3),index(split(C3005, "" ""),2)))"),"")</f>
        <v/>
      </c>
      <c r="U3005" s="38" t="b">
        <f t="shared" si="34"/>
        <v>0</v>
      </c>
      <c r="V3005" s="38"/>
      <c r="W3005" s="40"/>
      <c r="X3005" s="40"/>
      <c r="Y3005" s="38"/>
      <c r="Z3005" s="38"/>
      <c r="AA3005" s="38"/>
      <c r="AB3005" s="38"/>
      <c r="AC3005" s="38"/>
      <c r="AD3005" s="38"/>
      <c r="AE3005" s="38"/>
      <c r="AF3005" s="38"/>
      <c r="AG3005" s="38"/>
      <c r="AH3005" s="38"/>
      <c r="AI3005" s="38"/>
      <c r="AJ3005" s="38"/>
      <c r="AK3005" s="38"/>
      <c r="AL3005" s="38"/>
      <c r="AM3005" s="38"/>
      <c r="AN3005" s="38"/>
      <c r="AO3005" s="38"/>
      <c r="AP3005" s="38"/>
      <c r="AQ3005" s="38"/>
      <c r="AR3005" s="38"/>
      <c r="AS3005" s="38"/>
      <c r="AT3005" s="38"/>
      <c r="AU3005" s="38"/>
      <c r="AV3005" s="38"/>
      <c r="AW3005" s="38"/>
      <c r="AX3005" s="38"/>
      <c r="AY3005" s="38"/>
      <c r="AZ3005" s="38"/>
      <c r="BA3005" s="38"/>
      <c r="BB3005" s="38"/>
      <c r="BC3005" s="38"/>
      <c r="BD3005" s="38"/>
      <c r="BE3005" s="38"/>
      <c r="BF3005" s="38"/>
      <c r="BG3005" s="38"/>
      <c r="BH3005" s="38"/>
      <c r="BI3005" s="38"/>
      <c r="BJ3005" s="38"/>
      <c r="BK3005" s="38"/>
      <c r="BL3005" s="38"/>
      <c r="BM3005" s="38"/>
      <c r="BN3005" s="38"/>
      <c r="BO3005" s="38"/>
      <c r="BP3005" s="38"/>
      <c r="BQ3005" s="38"/>
    </row>
    <row r="3006">
      <c r="A3006" s="16"/>
      <c r="B3006" s="16"/>
      <c r="C3006" s="146"/>
      <c r="D3006" s="146"/>
      <c r="E3006" s="16"/>
      <c r="F3006" s="91"/>
      <c r="G3006" s="16"/>
      <c r="H3006" s="320"/>
      <c r="I3006" s="16"/>
      <c r="J3006" s="16"/>
      <c r="K3006" s="16"/>
      <c r="L3006" s="16"/>
      <c r="M3006" s="15"/>
      <c r="N3006" s="15"/>
      <c r="O3006" s="16"/>
      <c r="P3006" s="16"/>
      <c r="Q3006" s="16"/>
      <c r="R3006" s="16"/>
      <c r="S3006" s="37" t="str">
        <f>IFERROR(__xludf.DUMMYFUNCTION("if(not(iserror(index(split(C3006, "" ""),2))), index(split(C3006, "" ""),1),"""")"),"")</f>
        <v/>
      </c>
      <c r="T3006" s="315" t="str">
        <f>IFERROR(__xludf.DUMMYFUNCTION("if(S3006="""",C3006,if(not(iserror(index(split(C3006, "" ""),3))), index(split(C3006, "" ""),3),index(split(C3006, "" ""),2)))"),"")</f>
        <v/>
      </c>
      <c r="U3006" s="38" t="b">
        <f t="shared" si="34"/>
        <v>0</v>
      </c>
      <c r="V3006" s="38"/>
      <c r="W3006" s="40"/>
      <c r="X3006" s="40"/>
      <c r="Y3006" s="38"/>
      <c r="Z3006" s="38"/>
      <c r="AA3006" s="38"/>
      <c r="AB3006" s="38"/>
      <c r="AC3006" s="38"/>
      <c r="AD3006" s="38"/>
      <c r="AE3006" s="38"/>
      <c r="AF3006" s="38"/>
      <c r="AG3006" s="38"/>
      <c r="AH3006" s="38"/>
      <c r="AI3006" s="38"/>
      <c r="AJ3006" s="38"/>
      <c r="AK3006" s="38"/>
      <c r="AL3006" s="38"/>
      <c r="AM3006" s="38"/>
      <c r="AN3006" s="38"/>
      <c r="AO3006" s="38"/>
      <c r="AP3006" s="38"/>
      <c r="AQ3006" s="38"/>
      <c r="AR3006" s="38"/>
      <c r="AS3006" s="38"/>
      <c r="AT3006" s="38"/>
      <c r="AU3006" s="38"/>
      <c r="AV3006" s="38"/>
      <c r="AW3006" s="38"/>
      <c r="AX3006" s="38"/>
      <c r="AY3006" s="38"/>
      <c r="AZ3006" s="38"/>
      <c r="BA3006" s="38"/>
      <c r="BB3006" s="38"/>
      <c r="BC3006" s="38"/>
      <c r="BD3006" s="38"/>
      <c r="BE3006" s="38"/>
      <c r="BF3006" s="38"/>
      <c r="BG3006" s="38"/>
      <c r="BH3006" s="38"/>
      <c r="BI3006" s="38"/>
      <c r="BJ3006" s="38"/>
      <c r="BK3006" s="38"/>
      <c r="BL3006" s="38"/>
      <c r="BM3006" s="38"/>
      <c r="BN3006" s="38"/>
      <c r="BO3006" s="38"/>
      <c r="BP3006" s="38"/>
      <c r="BQ3006" s="38"/>
    </row>
  </sheetData>
  <customSheetViews>
    <customSheetView guid="{4483C7C5-39AD-481B-8B5C-9828FE8855DD}" filter="1" showAutoFilter="1">
      <autoFilter ref="$A$3:$U$2029"/>
    </customSheetView>
    <customSheetView guid="{6F77D639-6DBE-4A73-82B8-76ACDC53E60F}" filter="1" showAutoFilter="1">
      <autoFilter ref="$A$3:$U$2029">
        <filterColumn colId="0">
          <filters blank="1">
            <filter val="Richard L Britt"/>
            <filter val="Charles Walter Christopher"/>
            <filter val="Jose Manuel Santos"/>
            <filter val="Robert Shiflet"/>
            <filter val="Steven Lockhart"/>
            <filter val="Conrad Good Voice, Jr"/>
            <filter val="Ismael Valdez"/>
            <filter val="Kenneth Lewis Barrett"/>
            <filter val="Thomas Wilson Parks, Jr."/>
            <filter val="Rafael Mercado Berrios, aka Jose Berrios"/>
            <filter val="Kenneth Mitchell Fongers"/>
            <filter val="Jeffrey Aronofsky"/>
            <filter val="William Scott Smith"/>
            <filter val="Robert Hadden"/>
            <filter val="John Joseph Wallace, Jr"/>
            <filter val="Steven D Hathaway"/>
            <filter val="Rolando Hernandes"/>
            <filter val="Peter James Hufferd"/>
            <filter val="Neil Streich"/>
            <filter val="Robert Patrick King"/>
            <filter val="Donald E. Ward"/>
            <filter val="Kristopher Meacham"/>
            <filter val="Sarah Norton"/>
            <filter val="David Wayne Kane"/>
            <filter val="Larry Woods"/>
            <filter val="Alan Asbell"/>
            <filter val="John C Fortner"/>
            <filter val="Verlin Old Horse"/>
            <filter val="Jeffrey William Sexton, Jr."/>
            <filter val="Vince Edward Lasane"/>
            <filter val="Clint Baer"/>
            <filter val="Randal Wise"/>
            <filter val="Jonathan Berrier"/>
            <filter val="Ryan Scott Kibble"/>
            <filter val="Joshua Kevin Laxton"/>
            <filter val="David Cerasuolo"/>
            <filter val="Jeremy Custer"/>
            <filter val="John David Martinez"/>
            <filter val="Joshua T. Koenig"/>
            <filter val="Steven Orozco"/>
            <filter val="Jeremy Aungie"/>
            <filter val="Luther R Nash"/>
            <filter val="Harold Lee Redhouse"/>
            <filter val="Robert McAdam"/>
            <filter val="Michael Ray Hudson"/>
            <filter val="Carlos Alberto Arrieta Rojas"/>
            <filter val="Thomas Donald Boatright"/>
            <filter val="Jason Ray Smith"/>
            <filter val="Sylanus Flute"/>
            <filter val="McKean Walton"/>
            <filter val="Gerald Ryan Davis"/>
            <filter val="Carl Ray Smith"/>
            <filter val="Thomas McLucky Hammond"/>
            <filter val="Tommy Lee Jenkins"/>
            <filter val="Chaminda Prabhath Palliyaguru"/>
            <filter val="Richard  &quot;Bitsy&quot; Smith"/>
            <filter val="Jesse James Leader Charge"/>
            <filter val="Nolan Nishida"/>
            <filter val="Edward Ray Loretto"/>
            <filter val="J Scott Moretti"/>
            <filter val="Jerry Wayne Hamilton"/>
            <filter val="Owen Cordell Smith"/>
            <filter val="Eugene Enrique Torres"/>
            <filter val="Jaelen Thunder Bull"/>
            <filter val="Jeremy Wayne Martinez"/>
            <filter val="Thomas Monti"/>
            <filter val="Robert William Perry II"/>
            <filter val="James Allen Farrow"/>
            <filter val="Thomas Lawton Evans Jr"/>
            <filter val="Mohammed Abdul Malek"/>
            <filter val="Jay Scott Cloutier"/>
            <filter val="Larry Nathaniel"/>
            <filter val="Michael David Kirk"/>
            <filter val="Amin Ricker"/>
            <filter val="Lawrence James Halamek"/>
            <filter val="Shondell Hodges"/>
            <filter val="Dean Picariello"/>
            <filter val="Richard Gerald Caudill"/>
            <filter val="Carl Gene Ortner"/>
            <filter val="Larry Richard Dickerson"/>
            <filter val="Michael Wilson"/>
            <filter val="Elvin Castron-Murcia"/>
            <filter val="Cayetano Lopez"/>
            <filter val="James Hammonds"/>
            <filter val="Arturo Vasquez Tovar"/>
            <filter val="Manuel Oppenheimer"/>
            <filter val="Kevin Connor Armitage"/>
            <filter val="Arthur James Mann"/>
            <filter val="Terry Clement Blaine"/>
            <filter val="James R Sears"/>
            <filter val="Anthony Tew"/>
            <filter val="Royce Wade Lander"/>
            <filter val="Cesar Lopez-Pinon"/>
            <filter val="Fredy Hernandez-Gomez"/>
            <filter val="Kevin Hassan Prósperes-Sosa"/>
            <filter val="Storm Gaylord Blue"/>
            <filter val="Jason Hernandez"/>
            <filter val="James R Vance"/>
            <filter val="Joel Michael Max"/>
            <filter val="Floye Preston Miller"/>
            <filter val="Victor Alfonso Vasquez"/>
            <filter val="Recep Sandikci"/>
            <filter val="Liam Heim"/>
            <filter val="Nick Vincent Senor"/>
            <filter val="Romer J Jaure"/>
            <filter val="Amish Jayant Patel"/>
            <filter val="Eric Hogan"/>
            <filter val="Donald Threatt"/>
            <filter val="Jimmy Andrés Díaz Rosa"/>
            <filter val="Joseph Allen Wilcher"/>
            <filter val="Timothy Lyle Dean"/>
            <filter val="James Palmucci"/>
            <filter val="Michael Robert McKinney"/>
            <filter val="Jacob Gardea"/>
            <filter val="Stephen Ross"/>
            <filter val="Michael Louis McCarron"/>
            <filter val="Timothy M. Zukoski"/>
            <filter val="John Timothy Whicher"/>
            <filter val="Damien Kelso"/>
            <filter val="Donald F Bollinger"/>
            <filter val="Brian Kosanovich"/>
            <filter val="Blake Lee Bissell"/>
            <filter val="Tomy J. Fitton"/>
            <filter val="Dawson Donner"/>
            <filter val="Alexander N Barter"/>
            <filter val="Mark Randy Magee"/>
            <filter val="Brian Botsford"/>
            <filter val="William Sage"/>
            <filter val="Mewael Berhane"/>
            <filter val="Daniel Fleischauer"/>
            <filter val="Roland J Brant"/>
            <filter val="Richard Buffalo"/>
            <filter val="Henri Michelle Piette"/>
            <filter val="David Vance"/>
            <filter val="Christopher Bald Eagle"/>
            <filter val="Elliot Brave"/>
            <filter val="Matthew John Dietz"/>
            <filter val="Robert Sean Thomas Davis"/>
            <filter val="Jonathan Matthew Taylor"/>
            <filter val="Eric Butler"/>
            <filter val="Carl Francis Martin, a/k/a Roy Martin"/>
            <filter val="Sean Matthew Williams"/>
            <filter val="David Moses Seaboy"/>
            <filter val="Andrew Steven Newport"/>
            <filter val="Dale Martin Alvin Scering"/>
            <filter val="Adam Swift"/>
            <filter val="Phillip Little Hoop"/>
            <filter val="Randy Eignor"/>
            <filter val="Emmanuel D Abdon"/>
            <filter val="Jason King"/>
            <filter val="Gabriel Murillo"/>
            <filter val="Alfredo Ramos"/>
            <filter val="Nathan Yellow Lodge"/>
            <filter val="Mack Doak / Jaycee Doak"/>
            <filter val="Travis Dray Stewart"/>
            <filter val="John Wesley Ambrose"/>
            <filter val="Brendan Chandler"/>
            <filter val="Joseph Dallas Spotted Horse"/>
            <filter val="Thomas Bauer"/>
            <filter val="Earnest Lee Pittman, Jr"/>
            <filter val="Damien Pernell Shepherd"/>
            <filter val="Dee Hawk Moran"/>
            <filter val="Kenneth Lee Boston"/>
            <filter val="Mychal Thomas Damon"/>
            <filter val="Oscar Manuel Cabrera-Westerheidy"/>
            <filter val="Andrew Pitts"/>
            <filter val="Jazzie Simmons"/>
            <filter val="Juan Luis Rosario Rivera"/>
            <filter val="Justin Paul Keener"/>
            <filter val="Ryan I. Woodruff"/>
            <filter val="Kenneth Earle Ewing"/>
            <filter val="Christopher Allen Carmichael"/>
            <filter val="James Simons, Jr."/>
            <filter val="Mirza Afzal Hussain"/>
            <filter val="Nathan Lee Kempter"/>
            <filter val="Austin Stevens"/>
            <filter val="Chandos Bemus"/>
            <filter val="Dennis Cotto-Alvarado"/>
            <filter val="Reinaldo Rodríguez Colón"/>
            <filter val="Billie Gene Spears"/>
            <filter val="Michael Willins"/>
            <filter val="Joseph McGrain"/>
            <filter val="Jason Leonard Valdivia"/>
            <filter val="Darick McPherson"/>
            <filter val="James Dean Kalani Goeas"/>
            <filter val="Keith Madson"/>
            <filter val="Anthony Parrish"/>
            <filter val="Bruce Dragonfly"/>
            <filter val="Michael John Davidson"/>
            <filter val="Theodore Taylor, Jr"/>
            <filter val="Lazaro Benito Rocha"/>
            <filter val="Logan Procell"/>
            <filter val="Robert Shawn Anderson"/>
            <filter val="Jacob Gorman"/>
            <filter val="Jonathan Jensen"/>
            <filter val="Sachin Aji Bhaskar"/>
            <filter val="Daniel S. Dixon Jr. Tubby"/>
            <filter val="Elmer Yellow Hair III"/>
            <filter val="Juan Miguel Bustos Jr.,"/>
            <filter val="Brian D Wickersham"/>
            <filter val="Brandon Lee Dietz"/>
            <filter val="Chad Pease / Julia Pease"/>
            <filter val="Chazzman K. Chung"/>
            <filter val="Montoryon Harris"/>
            <filter val="Rene Gloria"/>
            <filter val="Christopher Covey Dale Truax"/>
            <filter val="Juan Ubaldo Guerra"/>
            <filter val="Steve Rosado"/>
            <filter val="Jeriah Mast"/>
            <filter val="Eduardo Guerrero"/>
            <filter val="Bryan P. Krynicki"/>
            <filter val="Cory Ryan Day"/>
            <filter val="Cesar Agusto Guerrero, Jr"/>
            <filter val="Tadashi Mitchell Harvey"/>
            <filter val="Yoel Oberlander"/>
            <filter val="Steven Daniel Tutor"/>
            <filter val="Anthony Cory Plante"/>
            <filter val="Matthew D Lincoln"/>
            <filter val="Fernando Miguel Velázquez-Pérez"/>
            <filter val="Shannon Kuchler"/>
            <filter val="Eduardo Silva"/>
            <filter val="Rodney Flucas"/>
            <filter val="Hector Martinez"/>
            <filter val="Casey Adam Parker"/>
            <filter val="Vincente Montalvo-Rodriguez"/>
            <filter val="Kyle Brackman"/>
            <filter val="Thomas Perry Stultz"/>
            <filter val="Jacob N. Beeney"/>
            <filter val="Kerry Sloan"/>
            <filter val="James Hughes Morriss"/>
            <filter val="Kevin Christopher Oldland"/>
            <filter val="Gerald Joseph Braud, Jr."/>
            <filter val="Marc Punzalan"/>
            <filter val="Joseph Adam Longanecker"/>
            <filter val="Matthew Neberman"/>
            <filter val="Urbano Vazquez"/>
            <filter val="Justin S Hunt"/>
            <filter val="Micky Rife"/>
            <filter val="Michael Dean Johnson"/>
            <filter val="Kenil Leonel Iriarte-Banegas"/>
            <filter val="Alexander Davis"/>
            <filter val="Evan Burgess"/>
            <filter val="Dale Kenyon"/>
            <filter val="Mikel Bradley Smith"/>
            <filter val="Robert J. Kapishkowit"/>
            <filter val="Patrick Karl Tate"/>
            <filter val="Joseph Hamilton"/>
            <filter val="Anmol Chugh"/>
            <filter val="Ira Little Bear"/>
            <filter val="Christopher Capozza"/>
            <filter val="Aungsun Naywin"/>
            <filter val="Ryan Lee"/>
            <filter val="Rafael Ceba-Garcia"/>
            <filter val="Jeffrey Alan Bosaw"/>
            <filter val="Scott Riley Hall"/>
            <filter val="Mitchell O Smith"/>
            <filter val="Douglas Wayne Kemp"/>
            <filter val="Peter N. Allen"/>
            <filter val="John Daniel Nielsen, Sr"/>
            <filter val="Barry Allen Gabelman"/>
            <filter val="David Lettieri"/>
            <filter val="Stephen Mendoza Arellano"/>
            <filter val="Cody J Hansen"/>
            <filter val="Zachariah Fredrickson"/>
            <filter val="Thomas L Bishop"/>
            <filter val="Terrell Armstead"/>
            <filter val="Solomon Lamont Horsechief"/>
            <filter val="Mark Coleman"/>
            <filter val="Lawrence Martin Jr"/>
            <filter val="Donald Ray Gardner"/>
            <filter val="Ehab Sadeek"/>
            <filter val="David George Hopkins"/>
            <filter val="Juan Ramon Vasquez"/>
            <filter val="Timothy Dwayne Parker"/>
            <filter val="Joseph Daniel Kelly"/>
            <filter val="Leticia Lowery"/>
            <filter val="Jean Fouad Yazbek"/>
            <filter val="Gerald S Sewell"/>
            <filter val="Bryan James Hogle"/>
            <filter val="JImcy McGirt"/>
            <filter val="Okokipe Jones"/>
            <filter val="Nathan Landrum"/>
            <filter val="Stephen Shipps"/>
            <filter val="Charles Hustis"/>
            <filter val="Kraig David Van Winkle"/>
            <filter val="Charles Richeards Jr"/>
            <filter val="Justice Galloway"/>
            <filter val="Carlito Santiago Santos"/>
            <filter val="James Darius Caje"/>
            <filter val="Finis Ewin Hill aka &quot;Pete&quot; Hill"/>
            <filter val="Garrith Bitsilly"/>
            <filter val="Pedro Sanchez-Valladares"/>
            <filter val="Orlando L Webber"/>
            <filter val="WIilliam Art Guoladdle, Sr"/>
            <filter val="Philip M Reis"/>
            <filter val="Andrew Al Littleman"/>
            <filter val="Eril Lainez-Corea"/>
            <filter val="Jose Enrique Saldana Perez"/>
            <filter val="Adam Christopher Boyd"/>
            <filter val="Jdawaun Grant"/>
            <filter val="Ricardo Ortiz"/>
            <filter val="Matthew Faubel"/>
            <filter val="Jayce Michael Mosquito"/>
            <filter val="William Pruitt"/>
            <filter val="Brian L Turek"/>
            <filter val="Brett Brimberry"/>
            <filter val="Kyle Ellery"/>
            <filter val="Jesse Rodriguez"/>
            <filter val="Douglas Michael Speer"/>
            <filter val="Wayne Dale Epps, Jr."/>
            <filter val="Tzu Fan Chen"/>
            <filter val="Daniel Jason Wnek"/>
            <filter val="Amy Adkins"/>
            <filter val="Kokou Domkpo"/>
            <filter val="Joseph A Defilippi"/>
            <filter val="Gildardo Perez-Reyes"/>
            <filter val="Justimiano Perez Diaz"/>
            <filter val="Brad Eugene Collins, Jr."/>
            <filter val="Mark Hanna"/>
            <filter val="Shane R. Ferris"/>
            <filter val="Troy Douglas Blaylock, Sr"/>
            <filter val="Juan Carlos Morales-Pedraza"/>
            <filter val="Douglas Scott Phillips"/>
            <filter val="Gregory Dow"/>
            <filter val="James Jensen"/>
            <filter val="Cole Montgomery"/>
            <filter val="Dylan Neill"/>
            <filter val="Asa Nall"/>
            <filter val="Michael D McNeil"/>
            <filter val="Oliver Whitewing-Saul"/>
            <filter val="Roy James Smith"/>
            <filter val="Jeremiah Elijah Jim / Bryan Bull"/>
            <filter val="Thomas John Boukamp"/>
            <filter val="Devin Herman"/>
            <filter val="Kevin Vigil"/>
            <filter val="John Curley"/>
            <filter val="Charles E. Brinkley"/>
            <filter val="Tyrus Eugene Brockie"/>
            <filter val="Cecil Long"/>
            <filter val="Jesus Maldonado"/>
            <filter val="Coalton Payne Guinn"/>
            <filter val="Casey Brandon Peterson"/>
            <filter val="Sanjay Lama"/>
            <filter val="Matthew C Riley"/>
            <filter val="Michael Varian"/>
            <filter val="Ricky Dewayne Stone"/>
            <filter val="Robert Dowty"/>
            <filter val="Gary Ryan"/>
            <filter val="Juan Francisco Leal-Coronado"/>
            <filter val="Thomas Squires"/>
            <filter val="Ryan Joseph Cantrell"/>
            <filter val="Jesus Trejo-Garcia"/>
            <filter val="Donald Lee Blackbird"/>
            <filter val="Brandon Lindemann, a/k/a Brandon Lindeman"/>
            <filter val="Nathan Roger Belcher"/>
            <filter val="Thomas R. Alt"/>
            <filter val="Dwayne L. Schutt"/>
            <filter val="Joey Michael King"/>
            <filter val="Brian Lotz"/>
            <filter val="Brandon Galvez / Jose Serrano-Ramos"/>
            <filter val="Tristan Warner"/>
            <filter val="Ernest Bewanika"/>
            <filter val="James Blue"/>
            <filter val="Seth Weidemann"/>
            <filter val="Matthew Peters"/>
            <filter val="Cole S Crocker"/>
            <filter val="Chance Lone Bear"/>
            <filter val="Jeffrey Scott Cooper"/>
            <filter val="Joshua Dale Armstrong"/>
            <filter val="Arun Dhavamani"/>
            <filter val="Jody L. Lagesse"/>
            <filter val="Thomas Kyle Williams"/>
            <filter val="William Bear Robe"/>
            <filter val="Daniel Wayne Little, II"/>
            <filter val="Yvon Loretto"/>
            <filter val="Johnny Wayne Harjo Jr"/>
            <filter val="James Seeley"/>
            <filter val="Japher Rajab"/>
            <filter val="Darren Wilber Harrison"/>
            <filter val="Jack Preston Coversup"/>
            <filter val="Brian Cushman"/>
            <filter val="Meighan O’Donnell"/>
            <filter val="Renad Bautista"/>
            <filter val="Eduardo Bernal-Nava"/>
            <filter val="Stanley Patrick Weber"/>
            <filter val="Brandon Iron Shell"/>
            <filter val="William Nicholas Riley"/>
            <filter val="Joseph L. Hughes"/>
            <filter val="Quentin Peter Bruguier, Jr.,"/>
            <filter val="Primitivo Rico Garza"/>
            <filter val="Ryan Edward Mausner"/>
            <filter val="James Daniel Stinchcomb"/>
            <filter val="Richard Franklin Jensen, III"/>
            <filter val="Patrick Lanan"/>
            <filter val="Travis John McDonald"/>
            <filter val="Oscar Daniel Munoz-Valdez"/>
            <filter val="Jason Jay Tallbull"/>
            <filter val="Bruce Ward"/>
            <filter val="Jeffrey Judd"/>
            <filter val="Cody Wayne Hopkins"/>
            <filter val="Mauricio Delgado"/>
            <filter val="Michael Don Billups,"/>
            <filter val="Jeffrey Pittman"/>
            <filter val="Benjamin Michael Tschirhart"/>
            <filter val="Bruce A. Wakker"/>
            <filter val="James A Diggs"/>
            <filter val="Roger Decoteau"/>
            <filter val="Timothy Carter"/>
            <filter val="Travis Koch"/>
            <filter val="Roy Brushbreaker III"/>
            <filter val="Jeffrey Charles Johnson"/>
            <filter val="James G Smith"/>
            <filter val="Casey Austin Desmuke"/>
            <filter val="Matthew Wetzel"/>
            <filter val="Eric Bland"/>
            <filter val="Brandon Wood"/>
            <filter val="Douglas Peacock"/>
            <filter val="Bo Lane"/>
            <filter val="Gary Wayne Lilly"/>
            <filter val="Scott Cohen"/>
            <filter val="Bryan Rossi"/>
            <filter val="Alan Dennis Wolff"/>
            <filter val="Zachary Jones"/>
            <filter val="Nathan L. Troup"/>
            <filter val="Travis Wilmoth"/>
            <filter val="Guillermo Martinez-Pedraza"/>
            <filter val="Christian Cruz"/>
            <filter val="Kenneth B Hendricks"/>
            <filter val="Urich Gaines"/>
            <filter val="Bradley Don Goodin"/>
            <filter val="Andrew Cunningham"/>
            <filter val="Matthew T. Gribbon"/>
            <filter val="Terry Allen Miles"/>
            <filter val="Tyler D. Lee"/>
            <filter val="Mandrell Ray Roberts"/>
            <filter val="Clint Edwards"/>
            <filter val="Austin Smith"/>
            <filter val="Peter Robert Bobal"/>
            <filter val="Lori Wilson"/>
            <filter val="Julian Tail"/>
            <filter val="Travis Shubert"/>
            <filter val="Kyren Williams"/>
            <filter val="Kevin Kamler"/>
            <filter val="Roger Moran"/>
            <filter val="Scott Royal"/>
            <filter val="Vernon Schermerhorn III"/>
            <filter val="Franklin Love McDaniel"/>
            <filter val="William Meier"/>
            <filter val="Stacey Furlow"/>
            <filter val="Pedro Antonio Hernandez-Aparicio"/>
            <filter val="Wayne King"/>
            <filter val="Bernard Waibel"/>
            <filter val="Jerrell West"/>
            <filter val="Ricky Joe Cornish Jr."/>
            <filter val="Richard O’Hara"/>
            <filter val="Fredrick Lamar Smith"/>
            <filter val="Trevor Leslie Doyle"/>
            <filter val="Ryan Palmieri"/>
            <filter val="Dameon Kerk Allen"/>
            <filter val="Priscilla Vogelbacher"/>
            <filter val="Ryan Kee Jones"/>
            <filter val="Ricardo D Minor"/>
            <filter val="Kevin Lee Farmer"/>
            <filter val="Mario Escalante Sr"/>
            <filter val="David Morales-Zenquis"/>
            <filter val="Yeison Lopez-Martinez"/>
            <filter val="Jeremy OKieth Kyle aka Corey Webster"/>
            <filter val="Daniel Rowland"/>
            <filter val="Preston Thomas"/>
            <filter val="Brian Ray Dunlap"/>
            <filter val="Adam Rene Rodriguez"/>
            <filter val="Charlie P Conant"/>
            <filter val="Jerald Sells"/>
            <filter val="Jeffrey Weber"/>
            <filter val="Ivan Small Bear"/>
            <filter val="Peter Bright"/>
            <filter val="Ronnie White Mountain"/>
            <filter val="Glenn Varrin"/>
            <filter val="Jeffery Goldstein"/>
            <filter val="Max Paul Levine"/>
            <filter val="Timothy Reddin"/>
            <filter val="Angelo Ashley"/>
            <filter val="Damon Whitebreast"/>
            <filter val="Davin Seth Waters"/>
            <filter val="Cory Shane Disotell"/>
            <filter val="Wayne Arthur Silsbee"/>
            <filter val="Jose Cruz Naranjo Silva"/>
            <filter val="Alastair Lee Stewart"/>
          </filters>
        </filterColumn>
        <filterColumn colId="20">
          <filters blank="1">
            <filter val="TRUE"/>
          </filters>
        </filterColumn>
      </autoFilter>
    </customSheetView>
  </customSheetViews>
  <mergeCells count="2">
    <mergeCell ref="B1:J1"/>
    <mergeCell ref="D2:E2"/>
  </mergeCells>
  <conditionalFormatting sqref="A192:Q193">
    <cfRule type="expression" dxfId="0" priority="1">
      <formula>and(if($R192,1,0),if($Q192,1,0))</formula>
    </cfRule>
  </conditionalFormatting>
  <conditionalFormatting sqref="A192:Q193">
    <cfRule type="expression" dxfId="1" priority="2">
      <formula>and(if($R192,1,0),not(if($Q192,1,0)))</formula>
    </cfRule>
  </conditionalFormatting>
  <conditionalFormatting sqref="A192:Q193">
    <cfRule type="expression" dxfId="2" priority="3">
      <formula>and(if($Q192,1,0),not(if($R192,1,0)))</formula>
    </cfRule>
  </conditionalFormatting>
  <conditionalFormatting sqref="A150:Q150">
    <cfRule type="expression" dxfId="0" priority="4">
      <formula>and(if($R150,1,0),if($Q150,1,0))</formula>
    </cfRule>
  </conditionalFormatting>
  <conditionalFormatting sqref="A150:Q150">
    <cfRule type="expression" dxfId="1" priority="5">
      <formula>and(if($R150,1,0),not(if($Q150,1,0)))</formula>
    </cfRule>
  </conditionalFormatting>
  <conditionalFormatting sqref="A150:Q150">
    <cfRule type="expression" dxfId="2" priority="6">
      <formula>and(if($Q150,1,0),not(if($R150,1,0)))</formula>
    </cfRule>
  </conditionalFormatting>
  <conditionalFormatting sqref="R150">
    <cfRule type="cellIs" dxfId="3" priority="7" operator="equal">
      <formula>1</formula>
    </cfRule>
  </conditionalFormatting>
  <conditionalFormatting sqref="A14:Q14">
    <cfRule type="expression" dxfId="0" priority="8">
      <formula>and(if($R14,1,0),if($Q14,1,0))</formula>
    </cfRule>
  </conditionalFormatting>
  <conditionalFormatting sqref="A14:Q14">
    <cfRule type="expression" dxfId="1" priority="9">
      <formula>and(if($R14,1,0),not(if($Q14,1,0)))</formula>
    </cfRule>
  </conditionalFormatting>
  <conditionalFormatting sqref="A14:Q14">
    <cfRule type="expression" dxfId="2" priority="10">
      <formula>and(if($Q14,1,0),not(if($R14,1,0)))</formula>
    </cfRule>
  </conditionalFormatting>
  <conditionalFormatting sqref="R14">
    <cfRule type="cellIs" dxfId="3" priority="11" operator="equal">
      <formula>1</formula>
    </cfRule>
  </conditionalFormatting>
  <conditionalFormatting sqref="B503 C503:C504">
    <cfRule type="expression" dxfId="0" priority="12">
      <formula>and(if($R503,1,0),if($Q503,1,0))</formula>
    </cfRule>
  </conditionalFormatting>
  <conditionalFormatting sqref="B503 C503:C504">
    <cfRule type="expression" dxfId="1" priority="13">
      <formula>and(if($R503,1,0),not(if($Q503,1,0)))</formula>
    </cfRule>
  </conditionalFormatting>
  <conditionalFormatting sqref="B503 C503:C504">
    <cfRule type="expression" dxfId="2" priority="14">
      <formula>and(if($Q503,1,0),not(if($R503,1,0)))</formula>
    </cfRule>
  </conditionalFormatting>
  <conditionalFormatting sqref="R161:R163">
    <cfRule type="cellIs" dxfId="3" priority="15" operator="equal">
      <formula>1</formula>
    </cfRule>
  </conditionalFormatting>
  <conditionalFormatting sqref="A161:Q163">
    <cfRule type="expression" dxfId="0" priority="16">
      <formula>and(if($R161,1,0),if($Q161,1,0))</formula>
    </cfRule>
  </conditionalFormatting>
  <conditionalFormatting sqref="A161:Q163">
    <cfRule type="expression" dxfId="1" priority="17">
      <formula>and(if($R161,1,0),not(if($Q161,1,0)))</formula>
    </cfRule>
  </conditionalFormatting>
  <conditionalFormatting sqref="A161:Q163">
    <cfRule type="expression" dxfId="2" priority="18">
      <formula>and(if($Q161,1,0),not(if($R161,1,0)))</formula>
    </cfRule>
  </conditionalFormatting>
  <conditionalFormatting sqref="A3:P3 S3:BQ3">
    <cfRule type="notContainsBlanks" dxfId="4" priority="19">
      <formula>LEN(TRIM(A3))&gt;0</formula>
    </cfRule>
  </conditionalFormatting>
  <conditionalFormatting sqref="A4:Q3006">
    <cfRule type="expression" dxfId="2" priority="20">
      <formula>and(if($Q4,1,0),not(if($R4,1,0)))</formula>
    </cfRule>
  </conditionalFormatting>
  <conditionalFormatting sqref="R4:R13 R15:R149 AD112:AD113 R151:R160 R194:R3006">
    <cfRule type="cellIs" dxfId="3" priority="21" operator="equal">
      <formula>1</formula>
    </cfRule>
  </conditionalFormatting>
  <conditionalFormatting sqref="A4:Q3006">
    <cfRule type="expression" dxfId="1" priority="22">
      <formula>and(if($R4,1,0),not(if($Q4,1,0)))</formula>
    </cfRule>
  </conditionalFormatting>
  <conditionalFormatting sqref="A4:Q3006">
    <cfRule type="expression" dxfId="0" priority="23">
      <formula>and(if($R4,1,0),if($Q4,1,0))</formula>
    </cfRule>
  </conditionalFormatting>
  <hyperlinks>
    <hyperlink r:id="rId2" ref="M6"/>
    <hyperlink r:id="rId3" ref="W6"/>
    <hyperlink r:id="rId4" ref="M7"/>
    <hyperlink r:id="rId5" ref="W7"/>
    <hyperlink r:id="rId6" ref="X7"/>
    <hyperlink r:id="rId7" ref="M8"/>
    <hyperlink r:id="rId8" ref="M9"/>
    <hyperlink r:id="rId9" ref="M10"/>
    <hyperlink r:id="rId10" ref="M11"/>
    <hyperlink r:id="rId11" ref="P11"/>
    <hyperlink r:id="rId12" ref="P12"/>
    <hyperlink r:id="rId13" ref="M13"/>
    <hyperlink r:id="rId14" ref="M14"/>
    <hyperlink r:id="rId15" ref="P14"/>
    <hyperlink r:id="rId16" ref="P15"/>
    <hyperlink r:id="rId17" ref="M16"/>
    <hyperlink r:id="rId18" ref="P16"/>
    <hyperlink r:id="rId19" ref="M17"/>
    <hyperlink r:id="rId20" ref="P17"/>
    <hyperlink r:id="rId21" ref="M18"/>
    <hyperlink r:id="rId22" ref="M19"/>
    <hyperlink r:id="rId23" ref="N19"/>
    <hyperlink r:id="rId24" ref="W19"/>
    <hyperlink r:id="rId25" ref="X19"/>
    <hyperlink r:id="rId26" ref="M21"/>
    <hyperlink r:id="rId27" ref="W21"/>
    <hyperlink r:id="rId28" ref="X21"/>
    <hyperlink r:id="rId29" ref="M22"/>
    <hyperlink r:id="rId30" ref="M23"/>
    <hyperlink r:id="rId31" ref="N23"/>
    <hyperlink r:id="rId32" ref="M24"/>
    <hyperlink r:id="rId33" ref="N24"/>
    <hyperlink r:id="rId34" ref="W24"/>
    <hyperlink r:id="rId35" ref="X24"/>
    <hyperlink r:id="rId36" ref="M25"/>
    <hyperlink r:id="rId37" ref="M26"/>
    <hyperlink r:id="rId38" ref="N26"/>
    <hyperlink r:id="rId39" ref="W26"/>
    <hyperlink r:id="rId40" ref="X26"/>
    <hyperlink r:id="rId41" ref="M27"/>
    <hyperlink r:id="rId42" ref="N27"/>
    <hyperlink r:id="rId43" ref="M28"/>
    <hyperlink r:id="rId44" ref="N28"/>
    <hyperlink r:id="rId45" ref="W28"/>
    <hyperlink r:id="rId46" ref="X28"/>
    <hyperlink r:id="rId47" ref="N29"/>
    <hyperlink r:id="rId48" ref="W29"/>
    <hyperlink r:id="rId49" ref="X29"/>
    <hyperlink r:id="rId50" ref="M30"/>
    <hyperlink r:id="rId51" ref="N30"/>
    <hyperlink r:id="rId52" ref="P30"/>
    <hyperlink r:id="rId53" ref="W30"/>
    <hyperlink r:id="rId54" ref="X30"/>
    <hyperlink r:id="rId55" ref="M31"/>
    <hyperlink r:id="rId56" ref="P32"/>
    <hyperlink r:id="rId57" ref="W32"/>
    <hyperlink r:id="rId58" ref="X32"/>
    <hyperlink r:id="rId59" ref="M33"/>
    <hyperlink r:id="rId60" ref="M34"/>
    <hyperlink r:id="rId61" ref="M35"/>
    <hyperlink r:id="rId62" ref="M36"/>
    <hyperlink r:id="rId63" ref="M37"/>
    <hyperlink r:id="rId64" ref="M38"/>
    <hyperlink r:id="rId65" ref="P38"/>
    <hyperlink r:id="rId66" ref="M39"/>
    <hyperlink r:id="rId67" ref="P39"/>
    <hyperlink r:id="rId68" ref="M40"/>
    <hyperlink r:id="rId69" ref="N40"/>
    <hyperlink r:id="rId70" ref="P40"/>
    <hyperlink r:id="rId71" ref="W40"/>
    <hyperlink r:id="rId72" ref="X40"/>
    <hyperlink r:id="rId73" ref="M41"/>
    <hyperlink r:id="rId74" ref="P41"/>
    <hyperlink r:id="rId75" ref="M42"/>
    <hyperlink r:id="rId76" ref="P42"/>
    <hyperlink r:id="rId77" ref="N43"/>
    <hyperlink r:id="rId78" ref="W43"/>
    <hyperlink r:id="rId79" ref="X43"/>
    <hyperlink r:id="rId80" ref="M44"/>
    <hyperlink r:id="rId81" ref="W44"/>
    <hyperlink r:id="rId82" ref="X44"/>
    <hyperlink r:id="rId83" ref="M45"/>
    <hyperlink r:id="rId84" ref="P47"/>
    <hyperlink r:id="rId85" ref="M48"/>
    <hyperlink r:id="rId86" ref="P48"/>
    <hyperlink r:id="rId87" ref="M49"/>
    <hyperlink r:id="rId88" ref="N49"/>
    <hyperlink r:id="rId89" ref="W49"/>
    <hyperlink r:id="rId90" ref="X49"/>
    <hyperlink r:id="rId91" ref="P50"/>
    <hyperlink r:id="rId92" ref="M51"/>
    <hyperlink r:id="rId93" ref="P51"/>
    <hyperlink r:id="rId94" ref="M52"/>
    <hyperlink r:id="rId95" ref="N52"/>
    <hyperlink r:id="rId96" ref="P52"/>
    <hyperlink r:id="rId97" ref="M53"/>
    <hyperlink r:id="rId98" ref="P53"/>
    <hyperlink r:id="rId99" ref="M54"/>
    <hyperlink r:id="rId100" ref="P54"/>
    <hyperlink r:id="rId101" ref="M55"/>
    <hyperlink r:id="rId102" ref="M56"/>
    <hyperlink r:id="rId103" ref="M57"/>
    <hyperlink r:id="rId104" ref="P58"/>
    <hyperlink r:id="rId105" ref="M59"/>
    <hyperlink r:id="rId106" ref="M60"/>
    <hyperlink r:id="rId107" ref="M61"/>
    <hyperlink r:id="rId108" ref="N61"/>
    <hyperlink r:id="rId109" ref="W61"/>
    <hyperlink r:id="rId110" ref="X61"/>
    <hyperlink r:id="rId111" ref="M62"/>
    <hyperlink r:id="rId112" ref="P62"/>
    <hyperlink r:id="rId113" ref="M63"/>
    <hyperlink r:id="rId114" ref="N63"/>
    <hyperlink r:id="rId115" ref="W63"/>
    <hyperlink r:id="rId116" ref="M64"/>
    <hyperlink r:id="rId117" ref="M65"/>
    <hyperlink r:id="rId118" ref="N65"/>
    <hyperlink r:id="rId119" ref="P65"/>
    <hyperlink r:id="rId120" ref="W65"/>
    <hyperlink r:id="rId121" ref="X65"/>
    <hyperlink r:id="rId122" ref="M67"/>
    <hyperlink r:id="rId123" ref="N67"/>
    <hyperlink r:id="rId124" ref="P67"/>
    <hyperlink r:id="rId125" ref="W67"/>
    <hyperlink r:id="rId126" ref="M68"/>
    <hyperlink r:id="rId127" ref="P69"/>
    <hyperlink r:id="rId128" ref="M70"/>
    <hyperlink r:id="rId129" ref="N70"/>
    <hyperlink r:id="rId130" ref="P70"/>
    <hyperlink r:id="rId131" ref="M71"/>
    <hyperlink r:id="rId132" ref="P71"/>
    <hyperlink r:id="rId133" ref="M72"/>
    <hyperlink r:id="rId134" ref="N72"/>
    <hyperlink r:id="rId135" ref="P72"/>
    <hyperlink r:id="rId136" ref="W72"/>
    <hyperlink r:id="rId137" ref="M73"/>
    <hyperlink r:id="rId138" ref="P73"/>
    <hyperlink r:id="rId139" ref="M74"/>
    <hyperlink r:id="rId140" ref="P74"/>
    <hyperlink r:id="rId141" ref="M75"/>
    <hyperlink r:id="rId142" ref="M76"/>
    <hyperlink r:id="rId143" ref="M77"/>
    <hyperlink r:id="rId144" ref="M79"/>
    <hyperlink r:id="rId145" ref="P79"/>
    <hyperlink r:id="rId146" ref="P80"/>
    <hyperlink r:id="rId147" ref="M81"/>
    <hyperlink r:id="rId148" ref="P81"/>
    <hyperlink r:id="rId149" ref="M82"/>
    <hyperlink r:id="rId150" ref="P83"/>
    <hyperlink r:id="rId151" ref="M84"/>
    <hyperlink r:id="rId152" ref="N84"/>
    <hyperlink r:id="rId153" ref="M85"/>
    <hyperlink r:id="rId154" ref="M86"/>
    <hyperlink r:id="rId155" ref="P86"/>
    <hyperlink r:id="rId156" ref="M87"/>
    <hyperlink r:id="rId157" ref="N87"/>
    <hyperlink r:id="rId158" ref="W87"/>
    <hyperlink r:id="rId159" ref="X87"/>
    <hyperlink r:id="rId160" ref="M88"/>
    <hyperlink r:id="rId161" ref="M89"/>
    <hyperlink r:id="rId162" ref="P89"/>
    <hyperlink r:id="rId163" ref="M90"/>
    <hyperlink r:id="rId164" ref="P90"/>
    <hyperlink r:id="rId165" ref="M91"/>
    <hyperlink r:id="rId166" ref="M92"/>
    <hyperlink r:id="rId167" ref="P92"/>
    <hyperlink r:id="rId168" ref="M93"/>
    <hyperlink r:id="rId169" ref="P93"/>
    <hyperlink r:id="rId170" ref="M94"/>
    <hyperlink r:id="rId171" ref="M95"/>
    <hyperlink r:id="rId172" ref="M96"/>
    <hyperlink r:id="rId173" ref="N96"/>
    <hyperlink r:id="rId174" ref="M97"/>
    <hyperlink r:id="rId175" ref="P97"/>
    <hyperlink r:id="rId176" ref="M98"/>
    <hyperlink r:id="rId177" ref="M99"/>
    <hyperlink r:id="rId178" ref="M100"/>
    <hyperlink r:id="rId179" ref="M101"/>
    <hyperlink r:id="rId180" ref="M102"/>
    <hyperlink r:id="rId181" ref="P102"/>
    <hyperlink r:id="rId182" ref="M104"/>
    <hyperlink r:id="rId183" ref="P104"/>
    <hyperlink r:id="rId184" ref="M105"/>
    <hyperlink r:id="rId185" ref="N105"/>
    <hyperlink r:id="rId186" ref="P105"/>
    <hyperlink r:id="rId187" ref="M106"/>
    <hyperlink r:id="rId188" ref="M107"/>
    <hyperlink r:id="rId189" ref="P107"/>
    <hyperlink r:id="rId190" ref="M108"/>
    <hyperlink r:id="rId191" ref="M109"/>
    <hyperlink r:id="rId192" ref="P109"/>
    <hyperlink r:id="rId193" ref="P110"/>
    <hyperlink r:id="rId194" ref="M111"/>
    <hyperlink r:id="rId195" ref="P111"/>
    <hyperlink r:id="rId196" ref="M112"/>
    <hyperlink r:id="rId197" ref="M113"/>
    <hyperlink r:id="rId198" ref="P113"/>
    <hyperlink r:id="rId199" ref="M114"/>
    <hyperlink r:id="rId200" ref="P114"/>
    <hyperlink r:id="rId201" ref="M115"/>
    <hyperlink r:id="rId202" ref="N117"/>
    <hyperlink r:id="rId203" ref="P117"/>
    <hyperlink r:id="rId204" ref="M118"/>
    <hyperlink r:id="rId205" ref="M119"/>
    <hyperlink r:id="rId206" ref="P119"/>
    <hyperlink r:id="rId207" ref="M120"/>
    <hyperlink r:id="rId208" ref="N120"/>
    <hyperlink r:id="rId209" ref="W120"/>
    <hyperlink r:id="rId210" ref="M121"/>
    <hyperlink r:id="rId211" ref="P121"/>
    <hyperlink r:id="rId212" ref="M122"/>
    <hyperlink r:id="rId213" ref="P122"/>
    <hyperlink r:id="rId214" ref="P123"/>
    <hyperlink r:id="rId215" ref="P124"/>
    <hyperlink r:id="rId216" ref="M125"/>
    <hyperlink r:id="rId217" ref="M126"/>
    <hyperlink r:id="rId218" ref="M127"/>
    <hyperlink r:id="rId219" ref="P127"/>
    <hyperlink r:id="rId220" ref="M128"/>
    <hyperlink r:id="rId221" ref="M129"/>
    <hyperlink r:id="rId222" ref="P129"/>
    <hyperlink r:id="rId223" ref="M130"/>
    <hyperlink r:id="rId224" ref="M131"/>
    <hyperlink r:id="rId225" ref="P131"/>
    <hyperlink r:id="rId226" ref="M132"/>
    <hyperlink r:id="rId227" ref="P132"/>
    <hyperlink r:id="rId228" ref="M133"/>
    <hyperlink r:id="rId229" ref="P133"/>
    <hyperlink r:id="rId230" ref="N134"/>
    <hyperlink r:id="rId231" ref="P134"/>
    <hyperlink r:id="rId232" ref="W134"/>
    <hyperlink r:id="rId233" ref="X134"/>
    <hyperlink r:id="rId234" ref="M135"/>
    <hyperlink r:id="rId235" ref="N135"/>
    <hyperlink r:id="rId236" ref="L136"/>
    <hyperlink r:id="rId237" ref="M136"/>
    <hyperlink r:id="rId238" ref="M137"/>
    <hyperlink r:id="rId239" ref="N137"/>
    <hyperlink r:id="rId240" ref="P138"/>
    <hyperlink r:id="rId241" ref="M139"/>
    <hyperlink r:id="rId242" ref="M140"/>
    <hyperlink r:id="rId243" ref="P140"/>
    <hyperlink r:id="rId244" ref="M141"/>
    <hyperlink r:id="rId245" ref="N141"/>
    <hyperlink r:id="rId246" ref="W141"/>
    <hyperlink r:id="rId247" ref="X141"/>
    <hyperlink r:id="rId248" ref="N142"/>
    <hyperlink r:id="rId249" ref="M143"/>
    <hyperlink r:id="rId250" ref="P143"/>
    <hyperlink r:id="rId251" ref="M144"/>
    <hyperlink r:id="rId252" ref="P144"/>
    <hyperlink r:id="rId253" ref="M145"/>
    <hyperlink r:id="rId254" ref="P145"/>
    <hyperlink r:id="rId255" ref="P146"/>
    <hyperlink r:id="rId256" ref="P147"/>
    <hyperlink r:id="rId257" ref="M148"/>
    <hyperlink r:id="rId258" ref="N148"/>
    <hyperlink r:id="rId259" ref="M149"/>
    <hyperlink r:id="rId260" ref="P149"/>
    <hyperlink r:id="rId261" ref="M150"/>
    <hyperlink r:id="rId262" ref="P150"/>
    <hyperlink r:id="rId263" ref="M151"/>
    <hyperlink r:id="rId264" ref="P151"/>
    <hyperlink r:id="rId265" ref="M152"/>
    <hyperlink r:id="rId266" ref="M153"/>
    <hyperlink r:id="rId267" ref="P153"/>
    <hyperlink r:id="rId268" ref="M154"/>
    <hyperlink r:id="rId269" ref="M155"/>
    <hyperlink r:id="rId270" ref="M156"/>
    <hyperlink r:id="rId271" ref="P156"/>
    <hyperlink r:id="rId272" ref="M157"/>
    <hyperlink r:id="rId273" ref="M158"/>
    <hyperlink r:id="rId274" ref="P158"/>
    <hyperlink r:id="rId275" ref="M160"/>
    <hyperlink r:id="rId276" ref="P160"/>
    <hyperlink r:id="rId277" ref="M161"/>
    <hyperlink r:id="rId278" ref="M162"/>
    <hyperlink r:id="rId279" ref="M163"/>
    <hyperlink r:id="rId280" ref="P163"/>
    <hyperlink r:id="rId281" ref="M164"/>
    <hyperlink r:id="rId282" ref="N164"/>
    <hyperlink r:id="rId283" ref="M165"/>
    <hyperlink r:id="rId284" ref="M166"/>
    <hyperlink r:id="rId285" ref="M167"/>
    <hyperlink r:id="rId286" ref="M168"/>
    <hyperlink r:id="rId287" ref="N168"/>
    <hyperlink r:id="rId288" ref="W168"/>
    <hyperlink r:id="rId289" ref="X168"/>
    <hyperlink r:id="rId290" ref="M169"/>
    <hyperlink r:id="rId291" ref="M170"/>
    <hyperlink r:id="rId292" ref="M171"/>
    <hyperlink r:id="rId293" ref="P173"/>
    <hyperlink r:id="rId294" ref="M174"/>
    <hyperlink r:id="rId295" ref="M175"/>
    <hyperlink r:id="rId296" ref="N176"/>
    <hyperlink r:id="rId297" ref="W176"/>
    <hyperlink r:id="rId298" ref="M177"/>
    <hyperlink r:id="rId299" ref="M178"/>
    <hyperlink r:id="rId300" ref="P178"/>
    <hyperlink r:id="rId301" ref="M179"/>
    <hyperlink r:id="rId302" ref="P179"/>
    <hyperlink r:id="rId303" ref="P180"/>
    <hyperlink r:id="rId304" ref="M181"/>
    <hyperlink r:id="rId305" ref="M182"/>
    <hyperlink r:id="rId306" ref="M183"/>
    <hyperlink r:id="rId307" ref="M184"/>
    <hyperlink r:id="rId308" ref="P184"/>
    <hyperlink r:id="rId309" ref="M185"/>
    <hyperlink r:id="rId310" ref="M186"/>
    <hyperlink r:id="rId311" ref="M187"/>
    <hyperlink r:id="rId312" ref="N187"/>
    <hyperlink r:id="rId313" ref="W187"/>
    <hyperlink r:id="rId314" ref="X187"/>
    <hyperlink r:id="rId315" ref="M188"/>
    <hyperlink r:id="rId316" ref="M191"/>
    <hyperlink r:id="rId317" ref="P191"/>
    <hyperlink r:id="rId318" ref="M192"/>
    <hyperlink r:id="rId319" ref="N192"/>
    <hyperlink r:id="rId320" ref="W192"/>
    <hyperlink r:id="rId321" ref="X192"/>
    <hyperlink r:id="rId322" ref="M193"/>
    <hyperlink r:id="rId323" ref="M194"/>
    <hyperlink r:id="rId324" ref="M195"/>
    <hyperlink r:id="rId325" ref="P197"/>
    <hyperlink r:id="rId326" ref="M198"/>
    <hyperlink r:id="rId327" ref="M200"/>
    <hyperlink r:id="rId328" ref="P200"/>
    <hyperlink r:id="rId329" ref="M202"/>
    <hyperlink r:id="rId330" ref="P202"/>
    <hyperlink r:id="rId331" ref="M203"/>
    <hyperlink r:id="rId332" ref="M204"/>
    <hyperlink r:id="rId333" ref="P204"/>
    <hyperlink r:id="rId334" ref="M206"/>
    <hyperlink r:id="rId335" ref="M207"/>
    <hyperlink r:id="rId336" ref="M208"/>
    <hyperlink r:id="rId337" ref="M209"/>
    <hyperlink r:id="rId338" ref="M210"/>
    <hyperlink r:id="rId339" ref="M211"/>
    <hyperlink r:id="rId340" ref="P211"/>
    <hyperlink r:id="rId341" ref="W212"/>
    <hyperlink r:id="rId342" ref="X212"/>
    <hyperlink r:id="rId343" ref="M214"/>
    <hyperlink r:id="rId344" ref="M215"/>
    <hyperlink r:id="rId345" ref="P215"/>
    <hyperlink r:id="rId346" ref="M216"/>
    <hyperlink r:id="rId347" ref="M217"/>
    <hyperlink r:id="rId348" ref="M218"/>
    <hyperlink r:id="rId349" ref="M219"/>
    <hyperlink r:id="rId350" ref="N219"/>
    <hyperlink r:id="rId351" ref="W219"/>
    <hyperlink r:id="rId352" ref="X219"/>
    <hyperlink r:id="rId353" ref="M221"/>
    <hyperlink r:id="rId354" ref="M224"/>
    <hyperlink r:id="rId355" ref="N226"/>
    <hyperlink r:id="rId356" ref="W226"/>
    <hyperlink r:id="rId357" ref="X226"/>
    <hyperlink r:id="rId358" ref="M227"/>
    <hyperlink r:id="rId359" ref="M228"/>
    <hyperlink r:id="rId360" ref="M230"/>
    <hyperlink r:id="rId361" ref="N231"/>
    <hyperlink r:id="rId362" ref="W231"/>
    <hyperlink r:id="rId363" ref="X231"/>
    <hyperlink r:id="rId364" ref="M233"/>
    <hyperlink r:id="rId365" ref="M234"/>
    <hyperlink r:id="rId366" ref="M235"/>
    <hyperlink r:id="rId367" ref="M236"/>
    <hyperlink r:id="rId368" ref="M237"/>
    <hyperlink r:id="rId369" ref="M239"/>
    <hyperlink r:id="rId370" ref="M240"/>
    <hyperlink r:id="rId371" ref="M241"/>
    <hyperlink r:id="rId372" ref="M242"/>
    <hyperlink r:id="rId373" ref="M243"/>
    <hyperlink r:id="rId374" ref="M244"/>
    <hyperlink r:id="rId375" ref="M245"/>
    <hyperlink r:id="rId376" ref="N246"/>
    <hyperlink r:id="rId377" ref="W246"/>
    <hyperlink r:id="rId378" ref="X246"/>
    <hyperlink r:id="rId379" ref="M247"/>
    <hyperlink r:id="rId380" ref="M250"/>
    <hyperlink r:id="rId381" ref="M251"/>
    <hyperlink r:id="rId382" ref="M253"/>
    <hyperlink r:id="rId383" ref="M254"/>
    <hyperlink r:id="rId384" ref="M255"/>
    <hyperlink r:id="rId385" ref="M256"/>
    <hyperlink r:id="rId386" ref="P256"/>
    <hyperlink r:id="rId387" ref="M257"/>
    <hyperlink r:id="rId388" ref="M258"/>
    <hyperlink r:id="rId389" ref="M259"/>
    <hyperlink r:id="rId390" ref="M260"/>
    <hyperlink r:id="rId391" ref="M261"/>
    <hyperlink r:id="rId392" ref="M262"/>
    <hyperlink r:id="rId393" ref="M263"/>
    <hyperlink r:id="rId394" ref="M264"/>
    <hyperlink r:id="rId395" ref="M265"/>
    <hyperlink r:id="rId396" ref="M266"/>
    <hyperlink r:id="rId397" ref="M268"/>
    <hyperlink r:id="rId398" ref="M269"/>
    <hyperlink r:id="rId399" ref="M270"/>
    <hyperlink r:id="rId400" ref="N271"/>
    <hyperlink r:id="rId401" ref="Y271"/>
    <hyperlink r:id="rId402" ref="M273"/>
    <hyperlink r:id="rId403" ref="M274"/>
    <hyperlink r:id="rId404" ref="W276"/>
    <hyperlink r:id="rId405" ref="X276"/>
    <hyperlink r:id="rId406" ref="M277"/>
    <hyperlink r:id="rId407" ref="M278"/>
    <hyperlink r:id="rId408" ref="M279"/>
    <hyperlink r:id="rId409" ref="M280"/>
    <hyperlink r:id="rId410" ref="M289"/>
    <hyperlink r:id="rId411" ref="M290"/>
    <hyperlink r:id="rId412" ref="W290"/>
    <hyperlink r:id="rId413" ref="X290"/>
    <hyperlink r:id="rId414" ref="N291"/>
    <hyperlink r:id="rId415" ref="W291"/>
    <hyperlink r:id="rId416" ref="X291"/>
    <hyperlink r:id="rId417" ref="M292"/>
    <hyperlink r:id="rId418" ref="M293"/>
    <hyperlink r:id="rId419" ref="M294"/>
    <hyperlink r:id="rId420" ref="M295"/>
    <hyperlink r:id="rId421" ref="N295"/>
    <hyperlink r:id="rId422" ref="W295"/>
    <hyperlink r:id="rId423" ref="X295"/>
    <hyperlink r:id="rId424" ref="M297"/>
    <hyperlink r:id="rId425" ref="M301"/>
    <hyperlink r:id="rId426" ref="M302"/>
    <hyperlink r:id="rId427" ref="N302"/>
    <hyperlink r:id="rId428" ref="W302"/>
    <hyperlink r:id="rId429" ref="X302"/>
    <hyperlink r:id="rId430" ref="M303"/>
    <hyperlink r:id="rId431" ref="N303"/>
    <hyperlink r:id="rId432" ref="W303"/>
    <hyperlink r:id="rId433" ref="X303"/>
    <hyperlink r:id="rId434" ref="M304"/>
    <hyperlink r:id="rId435" ref="M305"/>
    <hyperlink r:id="rId436" ref="M306"/>
    <hyperlink r:id="rId437" ref="M307"/>
    <hyperlink r:id="rId438" ref="M308"/>
    <hyperlink r:id="rId439" ref="M309"/>
    <hyperlink r:id="rId440" ref="M310"/>
    <hyperlink r:id="rId441" ref="M311"/>
    <hyperlink r:id="rId442" ref="M312"/>
    <hyperlink r:id="rId443" ref="M313"/>
    <hyperlink r:id="rId444" ref="M314"/>
    <hyperlink r:id="rId445" ref="M315"/>
    <hyperlink r:id="rId446" ref="M317"/>
    <hyperlink r:id="rId447" ref="M318"/>
    <hyperlink r:id="rId448" ref="M319"/>
    <hyperlink r:id="rId449" ref="M320"/>
    <hyperlink r:id="rId450" ref="M321"/>
    <hyperlink r:id="rId451" ref="M322"/>
    <hyperlink r:id="rId452" ref="M323"/>
    <hyperlink r:id="rId453" ref="M324"/>
    <hyperlink r:id="rId454" ref="M325"/>
    <hyperlink r:id="rId455" ref="M326"/>
    <hyperlink r:id="rId456" ref="M327"/>
    <hyperlink r:id="rId457" ref="M328"/>
    <hyperlink r:id="rId458" ref="M329"/>
    <hyperlink r:id="rId459" ref="M330"/>
    <hyperlink r:id="rId460" ref="M331"/>
    <hyperlink r:id="rId461" ref="M332"/>
    <hyperlink r:id="rId462" ref="M333"/>
    <hyperlink r:id="rId463" ref="M334"/>
    <hyperlink r:id="rId464" ref="M336"/>
    <hyperlink r:id="rId465" ref="M337"/>
    <hyperlink r:id="rId466" ref="M338"/>
    <hyperlink r:id="rId467" ref="M339"/>
    <hyperlink r:id="rId468" ref="M340"/>
    <hyperlink r:id="rId469" ref="M341"/>
    <hyperlink r:id="rId470" ref="X341"/>
    <hyperlink r:id="rId471" ref="M342"/>
    <hyperlink r:id="rId472" ref="W342"/>
    <hyperlink r:id="rId473" ref="X342"/>
    <hyperlink r:id="rId474" ref="M343"/>
    <hyperlink r:id="rId475" ref="M344"/>
    <hyperlink r:id="rId476" ref="M345"/>
    <hyperlink r:id="rId477" ref="M346"/>
    <hyperlink r:id="rId478" ref="M347"/>
    <hyperlink r:id="rId479" ref="M350"/>
    <hyperlink r:id="rId480" ref="M351"/>
    <hyperlink r:id="rId481" ref="W351"/>
    <hyperlink r:id="rId482" ref="X351"/>
    <hyperlink r:id="rId483" ref="M352"/>
    <hyperlink r:id="rId484" ref="M353"/>
    <hyperlink r:id="rId485" ref="M354"/>
    <hyperlink r:id="rId486" ref="W354"/>
    <hyperlink r:id="rId487" ref="X354"/>
    <hyperlink r:id="rId488" ref="M355"/>
    <hyperlink r:id="rId489" ref="M356"/>
    <hyperlink r:id="rId490" ref="M358"/>
    <hyperlink r:id="rId491" ref="M360"/>
    <hyperlink r:id="rId492" ref="M361"/>
    <hyperlink r:id="rId493" ref="M363"/>
    <hyperlink r:id="rId494" ref="M364"/>
    <hyperlink r:id="rId495" ref="M365"/>
    <hyperlink r:id="rId496" ref="M366"/>
    <hyperlink r:id="rId497" ref="X366"/>
    <hyperlink r:id="rId498" ref="M367"/>
    <hyperlink r:id="rId499" ref="X367"/>
    <hyperlink r:id="rId500" ref="M368"/>
    <hyperlink r:id="rId501" ref="X368"/>
    <hyperlink r:id="rId502" ref="M369"/>
    <hyperlink r:id="rId503" ref="M371"/>
    <hyperlink r:id="rId504" ref="M372"/>
    <hyperlink r:id="rId505" ref="M382"/>
    <hyperlink r:id="rId506" ref="M383"/>
    <hyperlink r:id="rId507" ref="M385"/>
    <hyperlink r:id="rId508" ref="M390"/>
    <hyperlink r:id="rId509" ref="N390"/>
    <hyperlink r:id="rId510" ref="W390"/>
    <hyperlink r:id="rId511" ref="X390"/>
    <hyperlink r:id="rId512" ref="M391"/>
    <hyperlink r:id="rId513" ref="M392"/>
    <hyperlink r:id="rId514" ref="M393"/>
    <hyperlink r:id="rId515" ref="M394"/>
    <hyperlink r:id="rId516" ref="M395"/>
    <hyperlink r:id="rId517" ref="M396"/>
    <hyperlink r:id="rId518" ref="M397"/>
    <hyperlink r:id="rId519" ref="M398"/>
    <hyperlink r:id="rId520" ref="M399"/>
    <hyperlink r:id="rId521" ref="M400"/>
    <hyperlink r:id="rId522" ref="M401"/>
    <hyperlink r:id="rId523" ref="M402"/>
    <hyperlink r:id="rId524" ref="M403"/>
    <hyperlink r:id="rId525" ref="M404"/>
    <hyperlink r:id="rId526" ref="M406"/>
    <hyperlink r:id="rId527" ref="M407"/>
    <hyperlink r:id="rId528" ref="M408"/>
    <hyperlink r:id="rId529" ref="M409"/>
    <hyperlink r:id="rId530" ref="M410"/>
    <hyperlink r:id="rId531" ref="M411"/>
    <hyperlink r:id="rId532" ref="M412"/>
    <hyperlink r:id="rId533" ref="M413"/>
    <hyperlink r:id="rId534" ref="M414"/>
    <hyperlink r:id="rId535" ref="M415"/>
    <hyperlink r:id="rId536" ref="M417"/>
    <hyperlink r:id="rId537" ref="M419"/>
    <hyperlink r:id="rId538" ref="M420"/>
    <hyperlink r:id="rId539" ref="M422"/>
    <hyperlink r:id="rId540" ref="M423"/>
    <hyperlink r:id="rId541" ref="M424"/>
    <hyperlink r:id="rId542" ref="M425"/>
    <hyperlink r:id="rId543" ref="M426"/>
    <hyperlink r:id="rId544" ref="M427"/>
    <hyperlink r:id="rId545" ref="N427"/>
    <hyperlink r:id="rId546" ref="W427"/>
    <hyperlink r:id="rId547" ref="X427"/>
    <hyperlink r:id="rId548" ref="M428"/>
    <hyperlink r:id="rId549" ref="M429"/>
    <hyperlink r:id="rId550" ref="M430"/>
    <hyperlink r:id="rId551" ref="M431"/>
    <hyperlink r:id="rId552" ref="M432"/>
    <hyperlink r:id="rId553" ref="M433"/>
    <hyperlink r:id="rId554" ref="W433"/>
    <hyperlink r:id="rId555" ref="X433"/>
    <hyperlink r:id="rId556" ref="M434"/>
    <hyperlink r:id="rId557" ref="M435"/>
    <hyperlink r:id="rId558" ref="M436"/>
    <hyperlink r:id="rId559" ref="M437"/>
    <hyperlink r:id="rId560" ref="M438"/>
    <hyperlink r:id="rId561" ref="M439"/>
    <hyperlink r:id="rId562" ref="M440"/>
    <hyperlink r:id="rId563" ref="M441"/>
    <hyperlink r:id="rId564" ref="M442"/>
    <hyperlink r:id="rId565" ref="W442"/>
    <hyperlink r:id="rId566" ref="X442"/>
    <hyperlink r:id="rId567" ref="M443"/>
    <hyperlink r:id="rId568" ref="M444"/>
    <hyperlink r:id="rId569" ref="M445"/>
    <hyperlink r:id="rId570" ref="M446"/>
    <hyperlink r:id="rId571" ref="M447"/>
    <hyperlink r:id="rId572" ref="M448"/>
    <hyperlink r:id="rId573" ref="M449"/>
    <hyperlink r:id="rId574" ref="M451"/>
    <hyperlink r:id="rId575" ref="M452"/>
    <hyperlink r:id="rId576" ref="M453"/>
    <hyperlink r:id="rId577" ref="M454"/>
    <hyperlink r:id="rId578" ref="M456"/>
    <hyperlink r:id="rId579" ref="M457"/>
    <hyperlink r:id="rId580" ref="M458"/>
    <hyperlink r:id="rId581" ref="M459"/>
    <hyperlink r:id="rId582" ref="M460"/>
    <hyperlink r:id="rId583" ref="M461"/>
    <hyperlink r:id="rId584" ref="M462"/>
    <hyperlink r:id="rId585" ref="M463"/>
    <hyperlink r:id="rId586" ref="M464"/>
    <hyperlink r:id="rId587" ref="M465"/>
    <hyperlink r:id="rId588" ref="M466"/>
    <hyperlink r:id="rId589" ref="M467"/>
    <hyperlink r:id="rId590" ref="M468"/>
    <hyperlink r:id="rId591" ref="M469"/>
    <hyperlink r:id="rId592" ref="M470"/>
    <hyperlink r:id="rId593" ref="M471"/>
    <hyperlink r:id="rId594" ref="M472"/>
    <hyperlink r:id="rId595" ref="M473"/>
    <hyperlink r:id="rId596" ref="M474"/>
    <hyperlink r:id="rId597" ref="M475"/>
    <hyperlink r:id="rId598" ref="M476"/>
    <hyperlink r:id="rId599" ref="M477"/>
    <hyperlink r:id="rId600" ref="M478"/>
    <hyperlink r:id="rId601" ref="M479"/>
    <hyperlink r:id="rId602" ref="M480"/>
    <hyperlink r:id="rId603" ref="M481"/>
    <hyperlink r:id="rId604" ref="M482"/>
    <hyperlink r:id="rId605" ref="X482"/>
    <hyperlink r:id="rId606" ref="M483"/>
    <hyperlink r:id="rId607" ref="M484"/>
    <hyperlink r:id="rId608" ref="M485"/>
    <hyperlink r:id="rId609" ref="M486"/>
    <hyperlink r:id="rId610" ref="M487"/>
    <hyperlink r:id="rId611" ref="M488"/>
    <hyperlink r:id="rId612" ref="M489"/>
    <hyperlink r:id="rId613" ref="M490"/>
    <hyperlink r:id="rId614" ref="M491"/>
    <hyperlink r:id="rId615" ref="M492"/>
    <hyperlink r:id="rId616" ref="M493"/>
    <hyperlink r:id="rId617" ref="M494"/>
    <hyperlink r:id="rId618" ref="M495"/>
    <hyperlink r:id="rId619" ref="M496"/>
    <hyperlink r:id="rId620" ref="M497"/>
    <hyperlink r:id="rId621" ref="M498"/>
    <hyperlink r:id="rId622" ref="M499"/>
    <hyperlink r:id="rId623" ref="M501"/>
  </hyperlinks>
  <printOptions gridLines="1" horizontalCentered="1"/>
  <pageMargins bottom="0.75" footer="0.0" header="0.0" left="0.7" right="0.7" top="0.75"/>
  <pageSetup fitToHeight="0" cellComments="atEnd" orientation="landscape" pageOrder="overThenDown"/>
  <drawing r:id="rId624"/>
  <legacyDrawing r:id="rId62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75"/>
  <cols>
    <col customWidth="1" min="1" max="1" width="31.5"/>
    <col customWidth="1" hidden="1" min="2" max="2" width="15.5"/>
    <col customWidth="1" min="3" max="3" width="19.38"/>
    <col customWidth="1" hidden="1" min="4" max="4" width="16.13"/>
    <col customWidth="1" min="5" max="5" width="13.63"/>
    <col customWidth="1" min="6" max="6" width="11.0"/>
    <col customWidth="1" min="7" max="7" width="10.5"/>
    <col customWidth="1" hidden="1" min="8" max="8" width="9.13"/>
    <col customWidth="1" min="9" max="9" width="9.13"/>
    <col customWidth="1" min="10" max="10" width="7.75"/>
    <col customWidth="1" hidden="1" min="11" max="11" width="11.13"/>
    <col customWidth="1" min="12" max="12" width="14.13"/>
    <col customWidth="1" min="13" max="13" width="12.25"/>
    <col customWidth="1" min="14" max="14" width="17.0"/>
    <col customWidth="1" min="15" max="15" width="55.0"/>
    <col customWidth="1" min="16" max="16" width="36.63"/>
    <col customWidth="1" min="17" max="17" width="31.25"/>
    <col customWidth="1" min="18" max="18" width="19.25"/>
    <col customWidth="1" hidden="1" min="19" max="19" width="22.5"/>
    <col customWidth="1" hidden="1" min="20" max="20" width="12.63"/>
    <col customWidth="1" hidden="1" min="21" max="24" width="14.13"/>
    <col customWidth="1" min="25" max="59" width="14.13"/>
  </cols>
  <sheetData>
    <row r="1" ht="26.25" customHeight="1">
      <c r="A1" s="3"/>
      <c r="B1" s="3" t="s">
        <v>9346</v>
      </c>
      <c r="K1" s="3"/>
      <c r="L1" s="8"/>
      <c r="M1" s="3"/>
      <c r="N1" s="3"/>
      <c r="O1" s="3"/>
      <c r="P1" s="6"/>
      <c r="Q1" s="7"/>
      <c r="R1" s="8"/>
      <c r="S1" s="8"/>
      <c r="T1" s="8"/>
      <c r="U1" s="8"/>
      <c r="V1" s="8"/>
      <c r="W1" s="8"/>
      <c r="X1" s="8"/>
      <c r="Y1" s="8"/>
      <c r="Z1" s="7"/>
      <c r="AA1" s="7"/>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row>
    <row r="2">
      <c r="B2" s="10" t="s">
        <v>4</v>
      </c>
      <c r="C2" s="10" t="s">
        <v>4</v>
      </c>
      <c r="D2" s="11"/>
      <c r="E2" s="12" t="s">
        <v>5</v>
      </c>
      <c r="G2" s="11" t="s">
        <v>6</v>
      </c>
      <c r="H2" s="11"/>
      <c r="I2" s="11"/>
      <c r="J2" s="11"/>
      <c r="K2" s="13"/>
      <c r="L2" s="16"/>
      <c r="M2" s="13"/>
      <c r="N2" s="13"/>
      <c r="O2" s="13"/>
      <c r="P2" s="14"/>
      <c r="Q2" s="15"/>
      <c r="R2" s="16"/>
      <c r="S2" s="16"/>
      <c r="T2" s="16"/>
      <c r="U2" s="16"/>
      <c r="V2" s="16"/>
      <c r="W2" s="16"/>
      <c r="X2" s="16"/>
      <c r="Y2" s="16"/>
      <c r="Z2" s="15"/>
      <c r="AA2" s="15"/>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row>
    <row r="3" ht="26.25" customHeight="1">
      <c r="A3" s="17" t="s">
        <v>7</v>
      </c>
      <c r="B3" s="21" t="s">
        <v>8</v>
      </c>
      <c r="C3" s="408" t="s">
        <v>10604</v>
      </c>
      <c r="D3" s="19" t="s">
        <v>10</v>
      </c>
      <c r="E3" s="17" t="s">
        <v>11</v>
      </c>
      <c r="F3" s="21" t="str">
        <f>"("&amp;sum(F84:F93)&amp;") # Arrested"</f>
        <v>(5) # Arrested</v>
      </c>
      <c r="G3" s="21" t="str">
        <f>"("&amp;sum(H84:H93)&amp;"+) # Rescued"</f>
        <v>(22+) # Rescued</v>
      </c>
      <c r="H3" s="22" t="s">
        <v>12</v>
      </c>
      <c r="I3" s="17" t="s">
        <v>13</v>
      </c>
      <c r="J3" s="17" t="s">
        <v>14</v>
      </c>
      <c r="K3" s="21" t="s">
        <v>15</v>
      </c>
      <c r="L3" s="17" t="s">
        <v>28</v>
      </c>
      <c r="M3" s="17" t="s">
        <v>10605</v>
      </c>
      <c r="N3" s="17" t="s">
        <v>10606</v>
      </c>
      <c r="O3" s="17" t="s">
        <v>16</v>
      </c>
      <c r="P3" s="23" t="s">
        <v>17</v>
      </c>
      <c r="Q3" s="23" t="s">
        <v>18</v>
      </c>
      <c r="R3" s="17" t="s">
        <v>19</v>
      </c>
      <c r="S3" s="17" t="s">
        <v>20</v>
      </c>
      <c r="T3" s="409" t="str">
        <f>hyperlink("https://drive.google.com/open?id=1kVQwX9l9HJ5F76x05ic_YnU_Z5yiVS96LbzAOP66EzA", "("&amp;sum(T92:T2596)&amp;") Fed. Indictments")</f>
        <v>(0) Fed. Indictments</v>
      </c>
      <c r="U3" s="25" t="str">
        <f>hyperlink("https://docs.google.com/spreadsheets/d/1B-95giwldeKgsd0nYiw_sEaSf4kGNLZgEIvEhL2mVAw/", "("&amp;sum(U92:U2596)&amp;") Resignations")</f>
        <v>(0) Resignations</v>
      </c>
      <c r="V3" s="26" t="s">
        <v>21</v>
      </c>
      <c r="W3" s="26" t="s">
        <v>22</v>
      </c>
      <c r="X3" s="26" t="s">
        <v>23</v>
      </c>
      <c r="Y3" s="27" t="s">
        <v>24</v>
      </c>
      <c r="Z3" s="28" t="s">
        <v>25</v>
      </c>
      <c r="AA3" s="28" t="s">
        <v>26</v>
      </c>
      <c r="AB3" s="28" t="s">
        <v>27</v>
      </c>
      <c r="AC3" s="26" t="s">
        <v>10607</v>
      </c>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row>
    <row r="4">
      <c r="A4" s="37" t="s">
        <v>10608</v>
      </c>
      <c r="B4" s="322"/>
      <c r="C4" s="100">
        <v>30498.0</v>
      </c>
      <c r="D4" s="144"/>
      <c r="E4" s="37" t="s">
        <v>31</v>
      </c>
      <c r="F4" s="37">
        <v>1.0</v>
      </c>
      <c r="G4" s="37">
        <v>1.0</v>
      </c>
      <c r="H4" s="50">
        <v>1.0</v>
      </c>
      <c r="I4" s="37" t="s">
        <v>33</v>
      </c>
      <c r="J4" s="37" t="s">
        <v>410</v>
      </c>
      <c r="K4" s="37"/>
      <c r="L4" s="38">
        <v>4630.0</v>
      </c>
      <c r="M4" s="37" t="s">
        <v>10609</v>
      </c>
      <c r="N4" s="37" t="s">
        <v>10610</v>
      </c>
      <c r="O4" s="37" t="s">
        <v>10611</v>
      </c>
      <c r="P4" s="46" t="s">
        <v>10612</v>
      </c>
      <c r="Q4" s="106" t="s">
        <v>10613</v>
      </c>
      <c r="R4" s="16"/>
      <c r="S4" s="37"/>
      <c r="T4" s="64"/>
      <c r="U4" s="16"/>
      <c r="V4" s="37"/>
      <c r="W4" s="38"/>
      <c r="X4" s="38"/>
      <c r="Y4" s="38" t="s">
        <v>33</v>
      </c>
      <c r="Z4" s="39" t="s">
        <v>10614</v>
      </c>
      <c r="AA4" s="39" t="s">
        <v>10615</v>
      </c>
      <c r="AB4" s="38"/>
      <c r="AC4" s="279">
        <v>39004.0</v>
      </c>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row>
    <row r="5">
      <c r="A5" s="37" t="s">
        <v>10616</v>
      </c>
      <c r="B5" s="322"/>
      <c r="C5" s="100">
        <v>38473.0</v>
      </c>
      <c r="D5" s="144"/>
      <c r="E5" s="37" t="s">
        <v>41</v>
      </c>
      <c r="F5" s="37">
        <v>1.0</v>
      </c>
      <c r="G5" s="37" t="s">
        <v>32</v>
      </c>
      <c r="H5" s="50">
        <v>1.0</v>
      </c>
      <c r="I5" s="37" t="s">
        <v>33</v>
      </c>
      <c r="J5" s="37" t="s">
        <v>89</v>
      </c>
      <c r="K5" s="37"/>
      <c r="L5" s="38">
        <v>4630.0</v>
      </c>
      <c r="M5" s="37" t="s">
        <v>10609</v>
      </c>
      <c r="N5" s="37" t="s">
        <v>10617</v>
      </c>
      <c r="O5" s="37" t="s">
        <v>10618</v>
      </c>
      <c r="P5" s="46" t="s">
        <v>10619</v>
      </c>
      <c r="Q5" s="106"/>
      <c r="R5" s="16"/>
      <c r="S5" s="37"/>
      <c r="T5" s="64"/>
      <c r="U5" s="16"/>
      <c r="V5" s="37"/>
      <c r="W5" s="38"/>
      <c r="X5" s="38"/>
      <c r="Y5" s="38" t="s">
        <v>33</v>
      </c>
      <c r="Z5" s="39" t="s">
        <v>10620</v>
      </c>
      <c r="AA5" s="40"/>
      <c r="AB5" s="38"/>
      <c r="AC5" s="384"/>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row>
    <row r="6">
      <c r="A6" s="37" t="s">
        <v>10621</v>
      </c>
      <c r="B6" s="322"/>
      <c r="C6" s="99">
        <v>38513.0</v>
      </c>
      <c r="D6" s="144"/>
      <c r="E6" s="37" t="s">
        <v>41</v>
      </c>
      <c r="F6" s="37">
        <v>1.0</v>
      </c>
      <c r="G6" s="37" t="s">
        <v>32</v>
      </c>
      <c r="H6" s="50">
        <v>1.0</v>
      </c>
      <c r="I6" s="37" t="s">
        <v>33</v>
      </c>
      <c r="J6" s="37" t="s">
        <v>172</v>
      </c>
      <c r="K6" s="37"/>
      <c r="L6" s="38">
        <v>4630.0</v>
      </c>
      <c r="M6" s="37" t="s">
        <v>10609</v>
      </c>
      <c r="N6" s="37" t="s">
        <v>10622</v>
      </c>
      <c r="O6" s="37" t="s">
        <v>10623</v>
      </c>
      <c r="P6" s="46" t="s">
        <v>10624</v>
      </c>
      <c r="Q6" s="106" t="s">
        <v>10625</v>
      </c>
      <c r="R6" s="16"/>
      <c r="S6" s="37"/>
      <c r="T6" s="64"/>
      <c r="U6" s="16"/>
      <c r="V6" s="37"/>
      <c r="W6" s="38"/>
      <c r="X6" s="38"/>
      <c r="Y6" s="38" t="s">
        <v>33</v>
      </c>
      <c r="Z6" s="39" t="s">
        <v>10626</v>
      </c>
      <c r="AA6" s="40"/>
      <c r="AB6" s="38"/>
      <c r="AC6" s="384"/>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row>
    <row r="7">
      <c r="A7" s="37" t="s">
        <v>10627</v>
      </c>
      <c r="B7" s="322"/>
      <c r="C7" s="100">
        <v>40391.0</v>
      </c>
      <c r="D7" s="144"/>
      <c r="E7" s="37" t="s">
        <v>31</v>
      </c>
      <c r="F7" s="37">
        <v>1.0</v>
      </c>
      <c r="G7" s="37" t="s">
        <v>32</v>
      </c>
      <c r="H7" s="50">
        <v>1.0</v>
      </c>
      <c r="I7" s="37" t="s">
        <v>33</v>
      </c>
      <c r="J7" s="37" t="s">
        <v>147</v>
      </c>
      <c r="K7" s="37"/>
      <c r="L7" s="38">
        <v>4630.0</v>
      </c>
      <c r="M7" s="37" t="s">
        <v>10609</v>
      </c>
      <c r="N7" s="37" t="s">
        <v>10617</v>
      </c>
      <c r="O7" s="37" t="s">
        <v>10628</v>
      </c>
      <c r="P7" s="46" t="s">
        <v>10629</v>
      </c>
      <c r="Q7" s="282" t="s">
        <v>10630</v>
      </c>
      <c r="R7" s="16"/>
      <c r="S7" s="37"/>
      <c r="T7" s="64"/>
      <c r="U7" s="16"/>
      <c r="V7" s="37"/>
      <c r="W7" s="38"/>
      <c r="X7" s="38"/>
      <c r="Y7" s="38" t="s">
        <v>33</v>
      </c>
      <c r="Z7" s="39" t="s">
        <v>10631</v>
      </c>
      <c r="AA7" s="39" t="s">
        <v>10632</v>
      </c>
      <c r="AB7" s="38"/>
      <c r="AC7" s="384"/>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row>
    <row r="8">
      <c r="A8" s="37" t="s">
        <v>10633</v>
      </c>
      <c r="B8" s="322"/>
      <c r="C8" s="100">
        <v>41365.0</v>
      </c>
      <c r="D8" s="144"/>
      <c r="E8" s="37" t="s">
        <v>31</v>
      </c>
      <c r="F8" s="37">
        <v>1.0</v>
      </c>
      <c r="G8" s="37" t="s">
        <v>32</v>
      </c>
      <c r="H8" s="50">
        <v>1.0</v>
      </c>
      <c r="I8" s="37" t="s">
        <v>33</v>
      </c>
      <c r="J8" s="37" t="s">
        <v>184</v>
      </c>
      <c r="K8" s="37"/>
      <c r="L8" s="38">
        <v>4630.0</v>
      </c>
      <c r="M8" s="37" t="s">
        <v>10609</v>
      </c>
      <c r="N8" s="37" t="s">
        <v>10634</v>
      </c>
      <c r="O8" s="37" t="s">
        <v>10635</v>
      </c>
      <c r="P8" s="46" t="s">
        <v>10636</v>
      </c>
      <c r="Q8" s="46" t="s">
        <v>10637</v>
      </c>
      <c r="R8" s="16"/>
      <c r="S8" s="37"/>
      <c r="T8" s="64"/>
      <c r="U8" s="16"/>
      <c r="V8" s="37"/>
      <c r="W8" s="38"/>
      <c r="X8" s="38"/>
      <c r="Y8" s="38" t="s">
        <v>33</v>
      </c>
      <c r="Z8" s="39" t="s">
        <v>10638</v>
      </c>
      <c r="AA8" s="39" t="s">
        <v>10639</v>
      </c>
      <c r="AB8" s="38"/>
      <c r="AC8" s="384">
        <v>42904.0</v>
      </c>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row>
    <row r="9">
      <c r="A9" s="37" t="s">
        <v>10640</v>
      </c>
      <c r="B9" s="322"/>
      <c r="C9" s="99">
        <v>41828.0</v>
      </c>
      <c r="D9" s="144"/>
      <c r="E9" s="37" t="s">
        <v>31</v>
      </c>
      <c r="F9" s="37">
        <v>1.0</v>
      </c>
      <c r="G9" s="37" t="s">
        <v>32</v>
      </c>
      <c r="H9" s="50">
        <v>1.0</v>
      </c>
      <c r="I9" s="37" t="s">
        <v>33</v>
      </c>
      <c r="J9" s="37" t="s">
        <v>179</v>
      </c>
      <c r="K9" s="37"/>
      <c r="L9" s="38">
        <v>4630.0</v>
      </c>
      <c r="M9" s="37" t="s">
        <v>10609</v>
      </c>
      <c r="N9" s="37" t="s">
        <v>10641</v>
      </c>
      <c r="O9" s="37" t="s">
        <v>10642</v>
      </c>
      <c r="P9" s="46" t="s">
        <v>10643</v>
      </c>
      <c r="Q9" s="282" t="s">
        <v>10644</v>
      </c>
      <c r="R9" s="16"/>
      <c r="S9" s="37"/>
      <c r="T9" s="64"/>
      <c r="U9" s="16"/>
      <c r="V9" s="37"/>
      <c r="W9" s="38"/>
      <c r="X9" s="38"/>
      <c r="Y9" s="38" t="s">
        <v>33</v>
      </c>
      <c r="Z9" s="39" t="s">
        <v>10645</v>
      </c>
      <c r="AA9" s="39" t="s">
        <v>10646</v>
      </c>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row>
    <row r="10">
      <c r="A10" s="37" t="s">
        <v>10647</v>
      </c>
      <c r="B10" s="322"/>
      <c r="C10" s="99">
        <v>41929.0</v>
      </c>
      <c r="D10" s="144"/>
      <c r="E10" s="37" t="s">
        <v>31</v>
      </c>
      <c r="F10" s="37">
        <v>1.0</v>
      </c>
      <c r="G10" s="37" t="s">
        <v>32</v>
      </c>
      <c r="H10" s="50">
        <v>1.0</v>
      </c>
      <c r="I10" s="37" t="s">
        <v>33</v>
      </c>
      <c r="J10" s="37" t="s">
        <v>402</v>
      </c>
      <c r="K10" s="37"/>
      <c r="L10" s="38">
        <v>4630.0</v>
      </c>
      <c r="M10" s="37" t="s">
        <v>10609</v>
      </c>
      <c r="N10" s="37" t="s">
        <v>10648</v>
      </c>
      <c r="O10" s="37" t="s">
        <v>10649</v>
      </c>
      <c r="P10" s="46" t="s">
        <v>10650</v>
      </c>
      <c r="Q10" s="282" t="s">
        <v>10651</v>
      </c>
      <c r="R10" s="16"/>
      <c r="S10" s="37"/>
      <c r="T10" s="64"/>
      <c r="U10" s="16"/>
      <c r="V10" s="37"/>
      <c r="W10" s="38"/>
      <c r="X10" s="38"/>
      <c r="Y10" s="38" t="s">
        <v>33</v>
      </c>
      <c r="Z10" s="39" t="s">
        <v>10652</v>
      </c>
      <c r="AA10" s="39" t="s">
        <v>10653</v>
      </c>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row>
    <row r="11">
      <c r="A11" s="37" t="s">
        <v>10654</v>
      </c>
      <c r="B11" s="322"/>
      <c r="C11" s="100">
        <v>41944.0</v>
      </c>
      <c r="D11" s="144"/>
      <c r="E11" s="37" t="s">
        <v>31</v>
      </c>
      <c r="F11" s="37">
        <v>1.0</v>
      </c>
      <c r="G11" s="37">
        <v>1.0</v>
      </c>
      <c r="H11" s="50">
        <v>1.0</v>
      </c>
      <c r="I11" s="37" t="s">
        <v>33</v>
      </c>
      <c r="J11" s="37" t="s">
        <v>68</v>
      </c>
      <c r="K11" s="37"/>
      <c r="L11" s="38">
        <v>4630.0</v>
      </c>
      <c r="M11" s="37" t="s">
        <v>10609</v>
      </c>
      <c r="N11" s="37" t="s">
        <v>10655</v>
      </c>
      <c r="O11" s="37" t="s">
        <v>10656</v>
      </c>
      <c r="P11" s="46" t="s">
        <v>10657</v>
      </c>
      <c r="Q11" s="282" t="s">
        <v>10658</v>
      </c>
      <c r="R11" s="16"/>
      <c r="S11" s="37"/>
      <c r="T11" s="64"/>
      <c r="U11" s="16"/>
      <c r="V11" s="37"/>
      <c r="W11" s="38"/>
      <c r="X11" s="38"/>
      <c r="Y11" s="38" t="s">
        <v>33</v>
      </c>
      <c r="Z11" s="39" t="s">
        <v>10659</v>
      </c>
      <c r="AA11" s="39" t="s">
        <v>10660</v>
      </c>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row>
    <row r="12">
      <c r="A12" s="37" t="s">
        <v>10661</v>
      </c>
      <c r="B12" s="322"/>
      <c r="C12" s="99">
        <v>42485.0</v>
      </c>
      <c r="D12" s="144"/>
      <c r="E12" s="37" t="s">
        <v>31</v>
      </c>
      <c r="F12" s="37">
        <v>1.0</v>
      </c>
      <c r="G12" s="37" t="s">
        <v>32</v>
      </c>
      <c r="H12" s="50">
        <v>1.0</v>
      </c>
      <c r="I12" s="37" t="s">
        <v>33</v>
      </c>
      <c r="J12" s="37" t="s">
        <v>106</v>
      </c>
      <c r="K12" s="37"/>
      <c r="L12" s="38">
        <v>4630.0</v>
      </c>
      <c r="M12" s="37" t="s">
        <v>10609</v>
      </c>
      <c r="N12" s="37" t="s">
        <v>10662</v>
      </c>
      <c r="O12" s="37" t="s">
        <v>10663</v>
      </c>
      <c r="P12" s="46" t="s">
        <v>10664</v>
      </c>
      <c r="Q12" s="282" t="s">
        <v>10665</v>
      </c>
      <c r="R12" s="16"/>
      <c r="S12" s="37"/>
      <c r="T12" s="64"/>
      <c r="U12" s="16"/>
      <c r="V12" s="37"/>
      <c r="W12" s="38"/>
      <c r="X12" s="38"/>
      <c r="Y12" s="38" t="s">
        <v>33</v>
      </c>
      <c r="Z12" s="39" t="s">
        <v>10666</v>
      </c>
      <c r="AA12" s="39" t="s">
        <v>10667</v>
      </c>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row>
    <row r="13">
      <c r="A13" s="37" t="s">
        <v>10668</v>
      </c>
      <c r="B13" s="322"/>
      <c r="C13" s="99">
        <v>42529.0</v>
      </c>
      <c r="D13" s="144"/>
      <c r="E13" s="37" t="s">
        <v>31</v>
      </c>
      <c r="F13" s="37">
        <v>1.0</v>
      </c>
      <c r="G13" s="37">
        <v>2.0</v>
      </c>
      <c r="H13" s="50">
        <v>2.0</v>
      </c>
      <c r="I13" s="37" t="s">
        <v>33</v>
      </c>
      <c r="J13" s="37" t="s">
        <v>98</v>
      </c>
      <c r="K13" s="37"/>
      <c r="L13" s="38">
        <v>4630.0</v>
      </c>
      <c r="M13" s="37" t="s">
        <v>10609</v>
      </c>
      <c r="N13" s="37" t="s">
        <v>10669</v>
      </c>
      <c r="O13" s="14" t="s">
        <v>10670</v>
      </c>
      <c r="P13" s="46" t="s">
        <v>10671</v>
      </c>
      <c r="Q13" s="46" t="s">
        <v>10672</v>
      </c>
      <c r="R13" s="16"/>
      <c r="S13" s="37"/>
      <c r="T13" s="64"/>
      <c r="U13" s="16"/>
      <c r="V13" s="37"/>
      <c r="W13" s="38"/>
      <c r="X13" s="38"/>
      <c r="Y13" s="38" t="s">
        <v>33</v>
      </c>
      <c r="Z13" s="121" t="s">
        <v>10673</v>
      </c>
      <c r="AA13" s="39" t="s">
        <v>10674</v>
      </c>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row>
    <row r="14">
      <c r="A14" s="37" t="s">
        <v>10675</v>
      </c>
      <c r="B14" s="322"/>
      <c r="C14" s="99">
        <v>42583.0</v>
      </c>
      <c r="D14" s="144"/>
      <c r="E14" s="37" t="s">
        <v>31</v>
      </c>
      <c r="F14" s="37">
        <v>1.0</v>
      </c>
      <c r="G14" s="37">
        <v>1.0</v>
      </c>
      <c r="H14" s="50">
        <v>1.0</v>
      </c>
      <c r="I14" s="37" t="s">
        <v>33</v>
      </c>
      <c r="J14" s="37" t="s">
        <v>124</v>
      </c>
      <c r="K14" s="37"/>
      <c r="L14" s="38">
        <v>4630.0</v>
      </c>
      <c r="M14" s="37" t="s">
        <v>10609</v>
      </c>
      <c r="N14" s="37" t="s">
        <v>10676</v>
      </c>
      <c r="O14" s="37" t="s">
        <v>10677</v>
      </c>
      <c r="P14" s="46" t="s">
        <v>10678</v>
      </c>
      <c r="Q14" s="106" t="s">
        <v>10679</v>
      </c>
      <c r="R14" s="16"/>
      <c r="S14" s="37"/>
      <c r="T14" s="64"/>
      <c r="U14" s="16"/>
      <c r="V14" s="37"/>
      <c r="W14" s="38"/>
      <c r="X14" s="38"/>
      <c r="Y14" s="38" t="s">
        <v>33</v>
      </c>
      <c r="Z14" s="39" t="s">
        <v>10680</v>
      </c>
      <c r="AA14" s="39" t="s">
        <v>10681</v>
      </c>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row>
    <row r="15">
      <c r="A15" s="37" t="s">
        <v>10682</v>
      </c>
      <c r="B15" s="322"/>
      <c r="C15" s="99">
        <v>42586.0</v>
      </c>
      <c r="D15" s="144"/>
      <c r="E15" s="37" t="s">
        <v>31</v>
      </c>
      <c r="F15" s="37">
        <v>1.0</v>
      </c>
      <c r="G15" s="37" t="s">
        <v>32</v>
      </c>
      <c r="H15" s="50">
        <v>1.0</v>
      </c>
      <c r="I15" s="37" t="s">
        <v>33</v>
      </c>
      <c r="J15" s="37" t="s">
        <v>111</v>
      </c>
      <c r="K15" s="37"/>
      <c r="L15" s="38">
        <v>4630.0</v>
      </c>
      <c r="M15" s="37" t="s">
        <v>10609</v>
      </c>
      <c r="N15" s="37" t="s">
        <v>10669</v>
      </c>
      <c r="O15" s="37" t="s">
        <v>10683</v>
      </c>
      <c r="P15" s="46" t="s">
        <v>10684</v>
      </c>
      <c r="Q15" s="46" t="s">
        <v>10685</v>
      </c>
      <c r="R15" s="16"/>
      <c r="S15" s="37"/>
      <c r="T15" s="64"/>
      <c r="U15" s="16"/>
      <c r="V15" s="37"/>
      <c r="W15" s="38"/>
      <c r="X15" s="38"/>
      <c r="Y15" s="38" t="s">
        <v>33</v>
      </c>
      <c r="Z15" s="39" t="s">
        <v>10686</v>
      </c>
      <c r="AA15" s="39" t="s">
        <v>10687</v>
      </c>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row>
    <row r="16">
      <c r="A16" s="37" t="s">
        <v>10688</v>
      </c>
      <c r="B16" s="322"/>
      <c r="C16" s="99">
        <v>42677.0</v>
      </c>
      <c r="D16" s="144"/>
      <c r="E16" s="37" t="s">
        <v>31</v>
      </c>
      <c r="F16" s="37">
        <v>1.0</v>
      </c>
      <c r="G16" s="37">
        <v>7.0</v>
      </c>
      <c r="H16" s="50">
        <v>7.0</v>
      </c>
      <c r="I16" s="37" t="s">
        <v>33</v>
      </c>
      <c r="J16" s="37" t="s">
        <v>147</v>
      </c>
      <c r="K16" s="37"/>
      <c r="L16" s="38">
        <v>4630.0</v>
      </c>
      <c r="M16" s="37" t="s">
        <v>10609</v>
      </c>
      <c r="N16" s="37" t="s">
        <v>10689</v>
      </c>
      <c r="O16" s="37" t="s">
        <v>10690</v>
      </c>
      <c r="P16" s="46" t="s">
        <v>10691</v>
      </c>
      <c r="Q16" s="46" t="s">
        <v>10692</v>
      </c>
      <c r="R16" s="16"/>
      <c r="S16" s="37"/>
      <c r="T16" s="64"/>
      <c r="U16" s="16"/>
      <c r="V16" s="37"/>
      <c r="W16" s="38"/>
      <c r="X16" s="38"/>
      <c r="Y16" s="38" t="s">
        <v>33</v>
      </c>
      <c r="Z16" s="39" t="s">
        <v>10693</v>
      </c>
      <c r="AA16" s="39" t="s">
        <v>10694</v>
      </c>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row>
    <row r="17">
      <c r="A17" s="37" t="s">
        <v>10695</v>
      </c>
      <c r="B17" s="322"/>
      <c r="C17" s="99">
        <v>42715.0</v>
      </c>
      <c r="D17" s="144"/>
      <c r="E17" s="37" t="s">
        <v>31</v>
      </c>
      <c r="F17" s="37">
        <v>1.0</v>
      </c>
      <c r="G17" s="37">
        <v>1.0</v>
      </c>
      <c r="H17" s="50">
        <v>1.0</v>
      </c>
      <c r="I17" s="37" t="s">
        <v>33</v>
      </c>
      <c r="J17" s="37" t="s">
        <v>93</v>
      </c>
      <c r="K17" s="37"/>
      <c r="L17" s="38">
        <v>4630.0</v>
      </c>
      <c r="M17" s="37" t="s">
        <v>10609</v>
      </c>
      <c r="N17" s="37" t="s">
        <v>10676</v>
      </c>
      <c r="O17" s="37" t="s">
        <v>10696</v>
      </c>
      <c r="P17" s="46" t="s">
        <v>10697</v>
      </c>
      <c r="Q17" s="282" t="s">
        <v>10698</v>
      </c>
      <c r="R17" s="16"/>
      <c r="S17" s="37"/>
      <c r="T17" s="64"/>
      <c r="U17" s="16"/>
      <c r="V17" s="37"/>
      <c r="W17" s="38"/>
      <c r="X17" s="38"/>
      <c r="Y17" s="38" t="s">
        <v>33</v>
      </c>
      <c r="Z17" s="39" t="s">
        <v>10699</v>
      </c>
      <c r="AA17" s="39" t="s">
        <v>10700</v>
      </c>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row>
    <row r="18">
      <c r="A18" s="37" t="s">
        <v>9360</v>
      </c>
      <c r="B18" s="322"/>
      <c r="C18" s="99">
        <v>42813.0</v>
      </c>
      <c r="D18" s="144"/>
      <c r="E18" s="37" t="s">
        <v>31</v>
      </c>
      <c r="F18" s="37">
        <v>1.0</v>
      </c>
      <c r="G18" s="37" t="s">
        <v>32</v>
      </c>
      <c r="H18" s="50">
        <v>1.0</v>
      </c>
      <c r="I18" s="37" t="s">
        <v>33</v>
      </c>
      <c r="J18" s="37" t="s">
        <v>68</v>
      </c>
      <c r="K18" s="37"/>
      <c r="L18" s="38">
        <v>4630.0</v>
      </c>
      <c r="M18" s="37" t="s">
        <v>10609</v>
      </c>
      <c r="N18" s="37" t="s">
        <v>10669</v>
      </c>
      <c r="O18" s="37" t="s">
        <v>10701</v>
      </c>
      <c r="P18" s="46" t="s">
        <v>9362</v>
      </c>
      <c r="Q18" s="106"/>
      <c r="R18" s="16"/>
      <c r="S18" s="37"/>
      <c r="T18" s="64"/>
      <c r="U18" s="16"/>
      <c r="V18" s="37"/>
      <c r="W18" s="38"/>
      <c r="X18" s="38"/>
      <c r="Y18" s="38" t="s">
        <v>33</v>
      </c>
      <c r="Z18" s="39" t="s">
        <v>9363</v>
      </c>
      <c r="AA18" s="39" t="s">
        <v>9364</v>
      </c>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row>
    <row r="19">
      <c r="A19" s="87" t="s">
        <v>9407</v>
      </c>
      <c r="B19" s="322"/>
      <c r="C19" s="99">
        <v>42948.0</v>
      </c>
      <c r="D19" s="144"/>
      <c r="E19" s="37" t="s">
        <v>31</v>
      </c>
      <c r="F19" s="37">
        <v>1.0</v>
      </c>
      <c r="G19" s="37">
        <v>1.0</v>
      </c>
      <c r="H19" s="50">
        <v>1.0</v>
      </c>
      <c r="I19" s="37" t="s">
        <v>33</v>
      </c>
      <c r="J19" s="37" t="s">
        <v>288</v>
      </c>
      <c r="K19" s="37"/>
      <c r="L19" s="38">
        <v>4630.0</v>
      </c>
      <c r="M19" s="37" t="s">
        <v>10609</v>
      </c>
      <c r="N19" s="37" t="s">
        <v>10669</v>
      </c>
      <c r="O19" s="37" t="s">
        <v>10702</v>
      </c>
      <c r="P19" s="36" t="s">
        <v>9409</v>
      </c>
      <c r="Q19" s="14"/>
      <c r="R19" s="16"/>
      <c r="S19" s="91"/>
      <c r="T19" s="16"/>
      <c r="U19" s="16"/>
      <c r="V19" s="37"/>
      <c r="W19" s="38"/>
      <c r="X19" s="38"/>
      <c r="Y19" s="38" t="s">
        <v>33</v>
      </c>
      <c r="Z19" s="39" t="s">
        <v>10703</v>
      </c>
      <c r="AA19" s="39" t="s">
        <v>10704</v>
      </c>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row>
    <row r="20">
      <c r="A20" s="87" t="s">
        <v>1211</v>
      </c>
      <c r="B20" s="322"/>
      <c r="C20" s="99">
        <v>42978.0</v>
      </c>
      <c r="D20" s="144"/>
      <c r="E20" s="37" t="s">
        <v>31</v>
      </c>
      <c r="F20" s="37">
        <v>1.0</v>
      </c>
      <c r="G20" s="37" t="s">
        <v>32</v>
      </c>
      <c r="H20" s="50">
        <v>1.0</v>
      </c>
      <c r="I20" s="37" t="s">
        <v>33</v>
      </c>
      <c r="J20" s="37" t="s">
        <v>93</v>
      </c>
      <c r="K20" s="37"/>
      <c r="L20" s="38">
        <v>4630.0</v>
      </c>
      <c r="M20" s="37" t="s">
        <v>10705</v>
      </c>
      <c r="N20" s="37" t="s">
        <v>10676</v>
      </c>
      <c r="O20" s="37" t="s">
        <v>10706</v>
      </c>
      <c r="P20" s="36" t="s">
        <v>10707</v>
      </c>
      <c r="Q20" s="14" t="s">
        <v>10708</v>
      </c>
      <c r="R20" s="16"/>
      <c r="S20" s="91"/>
      <c r="T20" s="16"/>
      <c r="U20" s="16"/>
      <c r="V20" s="37"/>
      <c r="W20" s="38"/>
      <c r="X20" s="38"/>
      <c r="Y20" s="38" t="s">
        <v>33</v>
      </c>
      <c r="Z20" s="39" t="s">
        <v>10709</v>
      </c>
      <c r="AA20" s="39" t="s">
        <v>10710</v>
      </c>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row>
    <row r="21">
      <c r="A21" s="87" t="s">
        <v>9416</v>
      </c>
      <c r="B21" s="322"/>
      <c r="C21" s="99">
        <v>42985.0</v>
      </c>
      <c r="D21" s="144"/>
      <c r="E21" s="37" t="s">
        <v>31</v>
      </c>
      <c r="F21" s="37">
        <v>1.0</v>
      </c>
      <c r="G21" s="37" t="s">
        <v>32</v>
      </c>
      <c r="H21" s="50">
        <v>1.0</v>
      </c>
      <c r="I21" s="37" t="s">
        <v>33</v>
      </c>
      <c r="J21" s="37" t="s">
        <v>93</v>
      </c>
      <c r="K21" s="37"/>
      <c r="L21" s="38">
        <v>4630.0</v>
      </c>
      <c r="M21" s="37" t="s">
        <v>10609</v>
      </c>
      <c r="N21" s="37" t="s">
        <v>10676</v>
      </c>
      <c r="O21" s="37" t="s">
        <v>10711</v>
      </c>
      <c r="P21" s="36" t="s">
        <v>9418</v>
      </c>
      <c r="Q21" s="36" t="s">
        <v>9419</v>
      </c>
      <c r="R21" s="16"/>
      <c r="S21" s="91"/>
      <c r="T21" s="16"/>
      <c r="U21" s="16"/>
      <c r="V21" s="37"/>
      <c r="W21" s="38"/>
      <c r="X21" s="38"/>
      <c r="Y21" s="38" t="s">
        <v>33</v>
      </c>
      <c r="Z21" s="39" t="s">
        <v>9420</v>
      </c>
      <c r="AA21" s="39" t="s">
        <v>9421</v>
      </c>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row>
    <row r="22">
      <c r="A22" s="87" t="s">
        <v>1474</v>
      </c>
      <c r="B22" s="322">
        <v>43031.0</v>
      </c>
      <c r="C22" s="99">
        <v>43019.0</v>
      </c>
      <c r="D22" s="144" t="s">
        <v>1472</v>
      </c>
      <c r="E22" s="37" t="s">
        <v>31</v>
      </c>
      <c r="F22" s="37">
        <v>1.0</v>
      </c>
      <c r="G22" s="37" t="s">
        <v>32</v>
      </c>
      <c r="H22" s="328">
        <v>1.0</v>
      </c>
      <c r="I22" s="37" t="s">
        <v>33</v>
      </c>
      <c r="J22" s="37" t="s">
        <v>115</v>
      </c>
      <c r="K22" s="37" t="s">
        <v>32</v>
      </c>
      <c r="L22" s="38">
        <v>4630.0</v>
      </c>
      <c r="M22" s="37" t="s">
        <v>10609</v>
      </c>
      <c r="N22" s="37" t="s">
        <v>10712</v>
      </c>
      <c r="O22" s="37" t="s">
        <v>10713</v>
      </c>
      <c r="P22" s="103" t="s">
        <v>1477</v>
      </c>
      <c r="Q22" s="46" t="s">
        <v>10714</v>
      </c>
      <c r="R22" s="64"/>
      <c r="S22" s="37"/>
      <c r="T22" s="37">
        <v>1.0</v>
      </c>
      <c r="U22" s="64">
        <v>1.0</v>
      </c>
      <c r="V22" s="37" t="s">
        <v>9768</v>
      </c>
      <c r="W22" s="38">
        <v>2017.0</v>
      </c>
      <c r="X22" s="38" t="b">
        <v>0</v>
      </c>
      <c r="Y22" s="38" t="s">
        <v>33</v>
      </c>
      <c r="Z22" s="410" t="s">
        <v>10715</v>
      </c>
      <c r="AA22" s="410" t="s">
        <v>1479</v>
      </c>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row>
    <row r="23">
      <c r="A23" s="87" t="s">
        <v>5588</v>
      </c>
      <c r="B23" s="322">
        <v>43410.0</v>
      </c>
      <c r="C23" s="99">
        <v>43409.0</v>
      </c>
      <c r="D23" s="144" t="s">
        <v>5589</v>
      </c>
      <c r="E23" s="37" t="s">
        <v>31</v>
      </c>
      <c r="F23" s="37">
        <v>1.0</v>
      </c>
      <c r="G23" s="37" t="s">
        <v>32</v>
      </c>
      <c r="H23" s="328">
        <v>1.0</v>
      </c>
      <c r="I23" s="37" t="s">
        <v>33</v>
      </c>
      <c r="J23" s="37" t="s">
        <v>514</v>
      </c>
      <c r="K23" s="37" t="s">
        <v>32</v>
      </c>
      <c r="L23" s="38">
        <v>4630.0</v>
      </c>
      <c r="M23" s="37" t="s">
        <v>10609</v>
      </c>
      <c r="N23" s="37" t="s">
        <v>10716</v>
      </c>
      <c r="O23" s="37" t="s">
        <v>10717</v>
      </c>
      <c r="P23" s="294" t="s">
        <v>5591</v>
      </c>
      <c r="Q23" s="46" t="s">
        <v>10718</v>
      </c>
      <c r="R23" s="64" t="s">
        <v>10719</v>
      </c>
      <c r="S23" s="37"/>
      <c r="T23" s="64">
        <v>1.0</v>
      </c>
      <c r="U23" s="64">
        <v>1.0</v>
      </c>
      <c r="V23" s="37" t="s">
        <v>5566</v>
      </c>
      <c r="W23" s="38">
        <v>2018.0</v>
      </c>
      <c r="X23" s="38" t="b">
        <v>0</v>
      </c>
      <c r="Y23" s="38" t="s">
        <v>33</v>
      </c>
      <c r="Z23" s="411" t="s">
        <v>5592</v>
      </c>
      <c r="AA23" s="410" t="s">
        <v>5593</v>
      </c>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row>
    <row r="24">
      <c r="A24" s="37" t="s">
        <v>10720</v>
      </c>
      <c r="B24" s="322"/>
      <c r="C24" s="37">
        <v>1941.0</v>
      </c>
      <c r="D24" s="144"/>
      <c r="E24" s="37" t="s">
        <v>31</v>
      </c>
      <c r="F24" s="37">
        <v>0.0</v>
      </c>
      <c r="G24" s="37">
        <v>0.0</v>
      </c>
      <c r="H24" s="50">
        <v>0.0</v>
      </c>
      <c r="I24" s="37" t="s">
        <v>33</v>
      </c>
      <c r="J24" s="37" t="s">
        <v>850</v>
      </c>
      <c r="K24" s="37"/>
      <c r="L24" s="38">
        <v>4631.0</v>
      </c>
      <c r="M24" s="37" t="s">
        <v>10705</v>
      </c>
      <c r="N24" s="14" t="s">
        <v>10721</v>
      </c>
      <c r="O24" s="37" t="s">
        <v>10722</v>
      </c>
      <c r="P24" s="46" t="s">
        <v>10723</v>
      </c>
      <c r="Q24" s="46" t="s">
        <v>10724</v>
      </c>
      <c r="R24" s="16"/>
      <c r="S24" s="37"/>
      <c r="T24" s="64"/>
      <c r="U24" s="16"/>
      <c r="V24" s="37"/>
      <c r="W24" s="38"/>
      <c r="X24" s="38"/>
      <c r="Y24" s="38" t="s">
        <v>33</v>
      </c>
      <c r="Z24" s="39" t="s">
        <v>10725</v>
      </c>
      <c r="AA24" s="39" t="s">
        <v>10726</v>
      </c>
      <c r="AB24" s="38"/>
      <c r="AC24" s="279">
        <v>37798.0</v>
      </c>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row>
    <row r="25">
      <c r="A25" s="37" t="s">
        <v>10727</v>
      </c>
      <c r="B25" s="322"/>
      <c r="C25" s="99">
        <v>29497.0</v>
      </c>
      <c r="D25" s="144"/>
      <c r="E25" s="37" t="s">
        <v>31</v>
      </c>
      <c r="F25" s="37">
        <v>1.0</v>
      </c>
      <c r="G25" s="37">
        <v>1.0</v>
      </c>
      <c r="H25" s="50">
        <v>1.0</v>
      </c>
      <c r="I25" s="37" t="s">
        <v>33</v>
      </c>
      <c r="J25" s="37" t="s">
        <v>115</v>
      </c>
      <c r="K25" s="37"/>
      <c r="L25" s="38">
        <v>4631.0</v>
      </c>
      <c r="M25" s="37" t="s">
        <v>10705</v>
      </c>
      <c r="N25" s="37" t="s">
        <v>10610</v>
      </c>
      <c r="O25" s="37" t="s">
        <v>10728</v>
      </c>
      <c r="P25" s="46" t="s">
        <v>10729</v>
      </c>
      <c r="Q25" s="106"/>
      <c r="R25" s="16"/>
      <c r="S25" s="37"/>
      <c r="T25" s="64"/>
      <c r="U25" s="16"/>
      <c r="V25" s="37"/>
      <c r="W25" s="38"/>
      <c r="X25" s="38"/>
      <c r="Y25" s="38" t="s">
        <v>33</v>
      </c>
      <c r="Z25" s="121" t="s">
        <v>10730</v>
      </c>
      <c r="AA25" s="39" t="s">
        <v>10731</v>
      </c>
      <c r="AB25" s="38"/>
      <c r="AC25" s="279"/>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row>
    <row r="26">
      <c r="A26" s="37" t="s">
        <v>10732</v>
      </c>
      <c r="B26" s="322"/>
      <c r="C26" s="37">
        <v>1983.0</v>
      </c>
      <c r="D26" s="144"/>
      <c r="E26" s="37" t="s">
        <v>31</v>
      </c>
      <c r="F26" s="37"/>
      <c r="G26" s="37">
        <v>1.0</v>
      </c>
      <c r="H26" s="50">
        <v>1.0</v>
      </c>
      <c r="I26" s="37" t="s">
        <v>33</v>
      </c>
      <c r="J26" s="37" t="s">
        <v>184</v>
      </c>
      <c r="K26" s="37"/>
      <c r="L26" s="38">
        <v>4631.0</v>
      </c>
      <c r="M26" s="37" t="s">
        <v>10705</v>
      </c>
      <c r="N26" s="37" t="s">
        <v>10610</v>
      </c>
      <c r="O26" s="37" t="s">
        <v>10733</v>
      </c>
      <c r="P26" s="46" t="s">
        <v>10734</v>
      </c>
      <c r="Q26" s="282" t="s">
        <v>10735</v>
      </c>
      <c r="R26" s="16"/>
      <c r="S26" s="37"/>
      <c r="T26" s="64"/>
      <c r="U26" s="16"/>
      <c r="V26" s="37"/>
      <c r="W26" s="38"/>
      <c r="X26" s="38"/>
      <c r="Y26" s="38" t="s">
        <v>33</v>
      </c>
      <c r="Z26" s="39" t="s">
        <v>10734</v>
      </c>
      <c r="AA26" s="39" t="s">
        <v>10736</v>
      </c>
      <c r="AB26" s="38"/>
      <c r="AC26" s="279">
        <v>43613.0</v>
      </c>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row>
    <row r="27">
      <c r="A27" s="37" t="s">
        <v>10737</v>
      </c>
      <c r="B27" s="322"/>
      <c r="C27" s="37">
        <v>1988.0</v>
      </c>
      <c r="D27" s="144"/>
      <c r="E27" s="37" t="s">
        <v>41</v>
      </c>
      <c r="F27" s="37">
        <v>0.0</v>
      </c>
      <c r="G27" s="37">
        <v>0.0</v>
      </c>
      <c r="H27" s="50">
        <v>0.0</v>
      </c>
      <c r="I27" s="37" t="s">
        <v>33</v>
      </c>
      <c r="J27" s="37" t="s">
        <v>850</v>
      </c>
      <c r="K27" s="37"/>
      <c r="L27" s="38">
        <v>4631.0</v>
      </c>
      <c r="M27" s="37" t="s">
        <v>10705</v>
      </c>
      <c r="N27" s="37" t="s">
        <v>10738</v>
      </c>
      <c r="O27" s="37" t="s">
        <v>10739</v>
      </c>
      <c r="P27" s="46" t="s">
        <v>10740</v>
      </c>
      <c r="Q27" s="282" t="s">
        <v>10741</v>
      </c>
      <c r="R27" s="16"/>
      <c r="S27" s="37"/>
      <c r="T27" s="64"/>
      <c r="U27" s="16"/>
      <c r="V27" s="37"/>
      <c r="W27" s="38"/>
      <c r="X27" s="38"/>
      <c r="Y27" s="38" t="s">
        <v>33</v>
      </c>
      <c r="Z27" s="39" t="s">
        <v>10742</v>
      </c>
      <c r="AA27" s="40"/>
      <c r="AB27" s="38"/>
      <c r="AC27" s="279"/>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row>
    <row r="28">
      <c r="A28" s="37" t="s">
        <v>10743</v>
      </c>
      <c r="B28" s="322"/>
      <c r="C28" s="37">
        <v>1989.0</v>
      </c>
      <c r="D28" s="144"/>
      <c r="E28" s="37" t="s">
        <v>31</v>
      </c>
      <c r="F28" s="37">
        <v>1.0</v>
      </c>
      <c r="G28" s="37">
        <v>1.0</v>
      </c>
      <c r="H28" s="50">
        <v>1.0</v>
      </c>
      <c r="I28" s="37" t="s">
        <v>33</v>
      </c>
      <c r="J28" s="37" t="s">
        <v>124</v>
      </c>
      <c r="K28" s="37"/>
      <c r="L28" s="38">
        <v>4631.0</v>
      </c>
      <c r="M28" s="37" t="s">
        <v>10705</v>
      </c>
      <c r="N28" s="37" t="s">
        <v>10610</v>
      </c>
      <c r="O28" s="37" t="s">
        <v>10744</v>
      </c>
      <c r="P28" s="46" t="s">
        <v>10745</v>
      </c>
      <c r="Q28" s="282" t="s">
        <v>10746</v>
      </c>
      <c r="R28" s="16"/>
      <c r="S28" s="37"/>
      <c r="T28" s="64"/>
      <c r="U28" s="16"/>
      <c r="V28" s="37"/>
      <c r="W28" s="38"/>
      <c r="X28" s="38"/>
      <c r="Y28" s="38" t="s">
        <v>33</v>
      </c>
      <c r="Z28" s="39" t="s">
        <v>10747</v>
      </c>
      <c r="AA28" s="39" t="s">
        <v>10748</v>
      </c>
      <c r="AB28" s="38"/>
      <c r="AC28" s="279">
        <v>40320.0</v>
      </c>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row>
    <row r="29">
      <c r="A29" s="37" t="s">
        <v>10749</v>
      </c>
      <c r="B29" s="322"/>
      <c r="C29" s="37">
        <v>1992.0</v>
      </c>
      <c r="D29" s="144"/>
      <c r="E29" s="37" t="s">
        <v>31</v>
      </c>
      <c r="F29" s="37">
        <v>1.0</v>
      </c>
      <c r="G29" s="37" t="s">
        <v>32</v>
      </c>
      <c r="H29" s="50">
        <v>1.0</v>
      </c>
      <c r="I29" s="37" t="s">
        <v>33</v>
      </c>
      <c r="J29" s="37" t="s">
        <v>47</v>
      </c>
      <c r="K29" s="37"/>
      <c r="L29" s="38">
        <v>4631.0</v>
      </c>
      <c r="M29" s="37" t="s">
        <v>10705</v>
      </c>
      <c r="N29" s="37" t="s">
        <v>10750</v>
      </c>
      <c r="O29" s="37" t="s">
        <v>10751</v>
      </c>
      <c r="P29" s="46" t="s">
        <v>10752</v>
      </c>
      <c r="Q29" s="46" t="s">
        <v>10753</v>
      </c>
      <c r="R29" s="16"/>
      <c r="S29" s="37"/>
      <c r="T29" s="64"/>
      <c r="U29" s="16"/>
      <c r="V29" s="37"/>
      <c r="W29" s="38"/>
      <c r="X29" s="38"/>
      <c r="Y29" s="38" t="s">
        <v>33</v>
      </c>
      <c r="Z29" s="39" t="s">
        <v>10752</v>
      </c>
      <c r="AA29" s="39" t="s">
        <v>10754</v>
      </c>
      <c r="AB29" s="38"/>
      <c r="AC29" s="384"/>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row>
    <row r="30">
      <c r="A30" s="37" t="s">
        <v>10755</v>
      </c>
      <c r="B30" s="322"/>
      <c r="C30" s="37">
        <v>2001.0</v>
      </c>
      <c r="D30" s="144"/>
      <c r="E30" s="37" t="s">
        <v>41</v>
      </c>
      <c r="F30" s="37">
        <v>1.0</v>
      </c>
      <c r="G30" s="37" t="s">
        <v>32</v>
      </c>
      <c r="H30" s="50">
        <v>1.0</v>
      </c>
      <c r="I30" s="37" t="s">
        <v>33</v>
      </c>
      <c r="J30" s="37" t="s">
        <v>55</v>
      </c>
      <c r="K30" s="37"/>
      <c r="L30" s="38">
        <v>4631.0</v>
      </c>
      <c r="M30" s="37" t="s">
        <v>10705</v>
      </c>
      <c r="N30" s="37" t="s">
        <v>10750</v>
      </c>
      <c r="O30" s="37" t="s">
        <v>10756</v>
      </c>
      <c r="P30" s="46" t="s">
        <v>10757</v>
      </c>
      <c r="Q30" s="106"/>
      <c r="R30" s="16"/>
      <c r="S30" s="37"/>
      <c r="T30" s="64"/>
      <c r="U30" s="16"/>
      <c r="V30" s="37"/>
      <c r="W30" s="38"/>
      <c r="X30" s="38"/>
      <c r="Y30" s="38" t="s">
        <v>33</v>
      </c>
      <c r="Z30" s="39" t="s">
        <v>10758</v>
      </c>
      <c r="AA30" s="40"/>
      <c r="AB30" s="38"/>
      <c r="AC30" s="384"/>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row>
    <row r="31">
      <c r="A31" s="37" t="s">
        <v>10759</v>
      </c>
      <c r="B31" s="322"/>
      <c r="C31" s="37">
        <v>2001.0</v>
      </c>
      <c r="D31" s="144"/>
      <c r="E31" s="37" t="s">
        <v>31</v>
      </c>
      <c r="F31" s="37">
        <v>1.0</v>
      </c>
      <c r="G31" s="37">
        <v>2.0</v>
      </c>
      <c r="H31" s="50">
        <v>2.0</v>
      </c>
      <c r="I31" s="37" t="s">
        <v>33</v>
      </c>
      <c r="J31" s="37" t="s">
        <v>179</v>
      </c>
      <c r="K31" s="37"/>
      <c r="L31" s="38">
        <v>4631.0</v>
      </c>
      <c r="M31" s="37" t="s">
        <v>10705</v>
      </c>
      <c r="N31" s="37" t="s">
        <v>10760</v>
      </c>
      <c r="O31" s="37" t="s">
        <v>10761</v>
      </c>
      <c r="P31" s="46" t="s">
        <v>10762</v>
      </c>
      <c r="Q31" s="46" t="s">
        <v>10763</v>
      </c>
      <c r="R31" s="16"/>
      <c r="S31" s="37"/>
      <c r="T31" s="64"/>
      <c r="U31" s="16"/>
      <c r="V31" s="37"/>
      <c r="W31" s="38"/>
      <c r="X31" s="38"/>
      <c r="Y31" s="38" t="s">
        <v>33</v>
      </c>
      <c r="Z31" s="39" t="s">
        <v>10764</v>
      </c>
      <c r="AA31" s="121" t="s">
        <v>10765</v>
      </c>
      <c r="AB31" s="38"/>
      <c r="AC31" s="384"/>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row>
    <row r="32">
      <c r="A32" s="37" t="s">
        <v>10766</v>
      </c>
      <c r="B32" s="322"/>
      <c r="C32" s="99">
        <v>36943.0</v>
      </c>
      <c r="D32" s="144"/>
      <c r="E32" s="37" t="s">
        <v>31</v>
      </c>
      <c r="F32" s="37">
        <v>1.0</v>
      </c>
      <c r="G32" s="37" t="s">
        <v>32</v>
      </c>
      <c r="H32" s="50">
        <v>1.0</v>
      </c>
      <c r="I32" s="37" t="s">
        <v>33</v>
      </c>
      <c r="J32" s="37" t="s">
        <v>111</v>
      </c>
      <c r="K32" s="37"/>
      <c r="L32" s="38">
        <v>4631.0</v>
      </c>
      <c r="M32" s="37" t="s">
        <v>10705</v>
      </c>
      <c r="N32" s="37" t="s">
        <v>10767</v>
      </c>
      <c r="O32" s="37" t="s">
        <v>10768</v>
      </c>
      <c r="P32" s="46" t="s">
        <v>10769</v>
      </c>
      <c r="Q32" s="106"/>
      <c r="R32" s="16"/>
      <c r="S32" s="37"/>
      <c r="T32" s="64"/>
      <c r="U32" s="16"/>
      <c r="V32" s="37"/>
      <c r="W32" s="38"/>
      <c r="X32" s="38"/>
      <c r="Y32" s="38" t="s">
        <v>33</v>
      </c>
      <c r="Z32" s="39" t="s">
        <v>10770</v>
      </c>
      <c r="AA32" s="121" t="s">
        <v>10771</v>
      </c>
      <c r="AB32" s="38"/>
      <c r="AC32" s="384"/>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row>
    <row r="33">
      <c r="A33" s="37" t="s">
        <v>10772</v>
      </c>
      <c r="B33" s="322"/>
      <c r="C33" s="100">
        <v>37104.0</v>
      </c>
      <c r="D33" s="144"/>
      <c r="E33" s="37" t="s">
        <v>31</v>
      </c>
      <c r="F33" s="37">
        <v>1.0</v>
      </c>
      <c r="G33" s="37">
        <v>1.0</v>
      </c>
      <c r="H33" s="50">
        <v>1.0</v>
      </c>
      <c r="I33" s="37" t="s">
        <v>33</v>
      </c>
      <c r="J33" s="37" t="s">
        <v>504</v>
      </c>
      <c r="K33" s="37"/>
      <c r="L33" s="38">
        <v>4631.0</v>
      </c>
      <c r="M33" s="37" t="s">
        <v>10705</v>
      </c>
      <c r="N33" s="37" t="s">
        <v>10760</v>
      </c>
      <c r="O33" s="37" t="s">
        <v>10773</v>
      </c>
      <c r="P33" s="46" t="s">
        <v>10774</v>
      </c>
      <c r="Q33" s="46" t="s">
        <v>10775</v>
      </c>
      <c r="R33" s="16"/>
      <c r="S33" s="37"/>
      <c r="T33" s="64"/>
      <c r="U33" s="16"/>
      <c r="V33" s="37"/>
      <c r="W33" s="38"/>
      <c r="X33" s="38"/>
      <c r="Y33" s="38" t="s">
        <v>33</v>
      </c>
      <c r="Z33" s="121" t="s">
        <v>10776</v>
      </c>
      <c r="AA33" s="121" t="s">
        <v>10777</v>
      </c>
      <c r="AB33" s="38"/>
      <c r="AC33" s="384"/>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row>
    <row r="34">
      <c r="A34" s="37" t="s">
        <v>10778</v>
      </c>
      <c r="B34" s="322"/>
      <c r="C34" s="100">
        <v>37196.0</v>
      </c>
      <c r="D34" s="144"/>
      <c r="E34" s="37" t="s">
        <v>31</v>
      </c>
      <c r="F34" s="37">
        <v>1.0</v>
      </c>
      <c r="G34" s="37">
        <v>1.0</v>
      </c>
      <c r="H34" s="50">
        <v>1.0</v>
      </c>
      <c r="I34" s="37" t="s">
        <v>33</v>
      </c>
      <c r="J34" s="37" t="s">
        <v>179</v>
      </c>
      <c r="K34" s="37"/>
      <c r="L34" s="38">
        <v>4631.0</v>
      </c>
      <c r="M34" s="37" t="s">
        <v>10705</v>
      </c>
      <c r="N34" s="37" t="s">
        <v>10779</v>
      </c>
      <c r="O34" s="37" t="s">
        <v>10780</v>
      </c>
      <c r="P34" s="46" t="s">
        <v>10781</v>
      </c>
      <c r="Q34" s="46" t="s">
        <v>10782</v>
      </c>
      <c r="R34" s="16"/>
      <c r="S34" s="37"/>
      <c r="T34" s="64"/>
      <c r="U34" s="16"/>
      <c r="V34" s="37"/>
      <c r="W34" s="38"/>
      <c r="X34" s="38"/>
      <c r="Y34" s="38" t="s">
        <v>33</v>
      </c>
      <c r="Z34" s="39" t="s">
        <v>10783</v>
      </c>
      <c r="AA34" s="121" t="s">
        <v>10784</v>
      </c>
      <c r="AB34" s="38"/>
      <c r="AC34" s="384"/>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row>
    <row r="35">
      <c r="A35" s="37" t="s">
        <v>10785</v>
      </c>
      <c r="B35" s="322"/>
      <c r="C35" s="99">
        <v>37483.0</v>
      </c>
      <c r="D35" s="144"/>
      <c r="E35" s="37" t="s">
        <v>31</v>
      </c>
      <c r="F35" s="37">
        <v>1.0</v>
      </c>
      <c r="G35" s="37">
        <v>1.0</v>
      </c>
      <c r="H35" s="50">
        <v>1.0</v>
      </c>
      <c r="I35" s="37" t="s">
        <v>33</v>
      </c>
      <c r="J35" s="37" t="s">
        <v>228</v>
      </c>
      <c r="K35" s="37"/>
      <c r="L35" s="38">
        <v>4631.0</v>
      </c>
      <c r="M35" s="37" t="s">
        <v>10705</v>
      </c>
      <c r="N35" s="37" t="s">
        <v>10786</v>
      </c>
      <c r="O35" s="37" t="s">
        <v>10787</v>
      </c>
      <c r="P35" s="46" t="s">
        <v>10788</v>
      </c>
      <c r="Q35" s="46" t="s">
        <v>10789</v>
      </c>
      <c r="R35" s="16"/>
      <c r="S35" s="37"/>
      <c r="T35" s="64"/>
      <c r="U35" s="16"/>
      <c r="V35" s="37"/>
      <c r="W35" s="38"/>
      <c r="X35" s="38"/>
      <c r="Y35" s="38" t="s">
        <v>33</v>
      </c>
      <c r="Z35" s="39" t="s">
        <v>10790</v>
      </c>
      <c r="AA35" s="121" t="s">
        <v>10791</v>
      </c>
      <c r="AB35" s="38"/>
      <c r="AC35" s="384"/>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row>
    <row r="36">
      <c r="A36" s="37" t="s">
        <v>10792</v>
      </c>
      <c r="B36" s="322"/>
      <c r="C36" s="37">
        <v>2004.0</v>
      </c>
      <c r="D36" s="144"/>
      <c r="E36" s="37" t="s">
        <v>41</v>
      </c>
      <c r="F36" s="37">
        <v>1.0</v>
      </c>
      <c r="G36" s="37">
        <v>1.0</v>
      </c>
      <c r="H36" s="50">
        <v>1.0</v>
      </c>
      <c r="I36" s="37" t="s">
        <v>33</v>
      </c>
      <c r="J36" s="37" t="s">
        <v>124</v>
      </c>
      <c r="K36" s="37"/>
      <c r="L36" s="38">
        <v>4631.0</v>
      </c>
      <c r="M36" s="37" t="s">
        <v>10705</v>
      </c>
      <c r="N36" s="37" t="s">
        <v>10793</v>
      </c>
      <c r="O36" s="37" t="s">
        <v>10794</v>
      </c>
      <c r="P36" s="46" t="s">
        <v>10795</v>
      </c>
      <c r="Q36" s="106" t="s">
        <v>10796</v>
      </c>
      <c r="R36" s="16"/>
      <c r="S36" s="37"/>
      <c r="T36" s="64"/>
      <c r="U36" s="16"/>
      <c r="V36" s="37"/>
      <c r="W36" s="38"/>
      <c r="X36" s="38"/>
      <c r="Y36" s="38" t="s">
        <v>33</v>
      </c>
      <c r="Z36" s="39" t="s">
        <v>10797</v>
      </c>
      <c r="AA36" s="39" t="s">
        <v>10798</v>
      </c>
      <c r="AB36" s="38"/>
      <c r="AC36" s="384"/>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row>
    <row r="37">
      <c r="A37" s="37" t="s">
        <v>10799</v>
      </c>
      <c r="B37" s="322"/>
      <c r="C37" s="100">
        <v>37987.0</v>
      </c>
      <c r="D37" s="144"/>
      <c r="E37" s="37" t="s">
        <v>31</v>
      </c>
      <c r="F37" s="37">
        <v>1.0</v>
      </c>
      <c r="G37" s="37">
        <v>1.0</v>
      </c>
      <c r="H37" s="50">
        <v>1.0</v>
      </c>
      <c r="I37" s="37" t="s">
        <v>33</v>
      </c>
      <c r="J37" s="37" t="s">
        <v>115</v>
      </c>
      <c r="K37" s="37"/>
      <c r="L37" s="38">
        <v>4631.0</v>
      </c>
      <c r="M37" s="37" t="s">
        <v>10705</v>
      </c>
      <c r="N37" s="37" t="s">
        <v>10800</v>
      </c>
      <c r="O37" s="37" t="s">
        <v>10801</v>
      </c>
      <c r="P37" s="106" t="s">
        <v>10802</v>
      </c>
      <c r="Q37" s="106" t="s">
        <v>10803</v>
      </c>
      <c r="R37" s="16"/>
      <c r="S37" s="37"/>
      <c r="T37" s="64"/>
      <c r="U37" s="16"/>
      <c r="V37" s="37"/>
      <c r="W37" s="38"/>
      <c r="X37" s="38"/>
      <c r="Y37" s="38" t="s">
        <v>33</v>
      </c>
      <c r="Z37" s="39" t="s">
        <v>10804</v>
      </c>
      <c r="AA37" s="39" t="s">
        <v>10805</v>
      </c>
      <c r="AB37" s="38"/>
      <c r="AC37" s="384"/>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row>
    <row r="38">
      <c r="A38" s="37" t="s">
        <v>10806</v>
      </c>
      <c r="B38" s="322"/>
      <c r="C38" s="100">
        <v>38047.0</v>
      </c>
      <c r="D38" s="144"/>
      <c r="E38" s="37" t="s">
        <v>41</v>
      </c>
      <c r="F38" s="37">
        <v>1.0</v>
      </c>
      <c r="G38" s="37">
        <v>1.0</v>
      </c>
      <c r="H38" s="50">
        <v>1.0</v>
      </c>
      <c r="I38" s="37" t="s">
        <v>33</v>
      </c>
      <c r="J38" s="37" t="s">
        <v>440</v>
      </c>
      <c r="K38" s="37"/>
      <c r="L38" s="38">
        <v>4631.0</v>
      </c>
      <c r="M38" s="37" t="s">
        <v>10705</v>
      </c>
      <c r="N38" s="37" t="s">
        <v>10807</v>
      </c>
      <c r="O38" s="37" t="s">
        <v>10808</v>
      </c>
      <c r="P38" s="46" t="s">
        <v>10809</v>
      </c>
      <c r="Q38" s="106"/>
      <c r="R38" s="16"/>
      <c r="S38" s="37"/>
      <c r="T38" s="64"/>
      <c r="U38" s="16"/>
      <c r="V38" s="37"/>
      <c r="W38" s="38"/>
      <c r="X38" s="38"/>
      <c r="Y38" s="38" t="s">
        <v>33</v>
      </c>
      <c r="Z38" s="39" t="s">
        <v>10810</v>
      </c>
      <c r="AA38" s="40"/>
      <c r="AB38" s="38"/>
      <c r="AC38" s="384"/>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row>
    <row r="39">
      <c r="A39" s="37" t="s">
        <v>10811</v>
      </c>
      <c r="B39" s="322"/>
      <c r="C39" s="100">
        <v>38329.0</v>
      </c>
      <c r="D39" s="144"/>
      <c r="E39" s="37" t="s">
        <v>41</v>
      </c>
      <c r="F39" s="37">
        <v>1.0</v>
      </c>
      <c r="G39" s="37">
        <v>1.0</v>
      </c>
      <c r="H39" s="50">
        <v>1.0</v>
      </c>
      <c r="I39" s="37" t="s">
        <v>33</v>
      </c>
      <c r="J39" s="37" t="s">
        <v>460</v>
      </c>
      <c r="K39" s="37"/>
      <c r="L39" s="38">
        <v>4631.0</v>
      </c>
      <c r="M39" s="37" t="s">
        <v>10705</v>
      </c>
      <c r="N39" s="37" t="s">
        <v>10812</v>
      </c>
      <c r="O39" s="37" t="s">
        <v>10813</v>
      </c>
      <c r="P39" s="46" t="s">
        <v>10814</v>
      </c>
      <c r="Q39" s="46" t="s">
        <v>10815</v>
      </c>
      <c r="R39" s="16"/>
      <c r="S39" s="37"/>
      <c r="T39" s="64"/>
      <c r="U39" s="16"/>
      <c r="V39" s="37"/>
      <c r="W39" s="38"/>
      <c r="X39" s="38"/>
      <c r="Y39" s="38" t="s">
        <v>33</v>
      </c>
      <c r="Z39" s="39" t="s">
        <v>10816</v>
      </c>
      <c r="AA39" s="40"/>
      <c r="AB39" s="38"/>
      <c r="AC39" s="384"/>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row>
    <row r="40">
      <c r="A40" s="37" t="s">
        <v>10817</v>
      </c>
      <c r="B40" s="322"/>
      <c r="C40" s="99">
        <v>38353.0</v>
      </c>
      <c r="D40" s="144"/>
      <c r="E40" s="37" t="s">
        <v>31</v>
      </c>
      <c r="F40" s="37">
        <v>1.0</v>
      </c>
      <c r="G40" s="37">
        <v>1.0</v>
      </c>
      <c r="H40" s="50">
        <v>1.0</v>
      </c>
      <c r="I40" s="37" t="s">
        <v>33</v>
      </c>
      <c r="J40" s="37" t="s">
        <v>55</v>
      </c>
      <c r="K40" s="37"/>
      <c r="L40" s="38">
        <v>4631.0</v>
      </c>
      <c r="M40" s="37" t="s">
        <v>10705</v>
      </c>
      <c r="N40" s="37" t="s">
        <v>10818</v>
      </c>
      <c r="O40" s="37" t="s">
        <v>10819</v>
      </c>
      <c r="P40" s="46" t="s">
        <v>10820</v>
      </c>
      <c r="Q40" s="46" t="s">
        <v>10821</v>
      </c>
      <c r="R40" s="16"/>
      <c r="S40" s="37"/>
      <c r="T40" s="64"/>
      <c r="U40" s="16"/>
      <c r="V40" s="37"/>
      <c r="W40" s="38"/>
      <c r="X40" s="38"/>
      <c r="Y40" s="38" t="s">
        <v>33</v>
      </c>
      <c r="Z40" s="39" t="s">
        <v>10822</v>
      </c>
      <c r="AA40" s="121" t="s">
        <v>10823</v>
      </c>
      <c r="AB40" s="38"/>
      <c r="AC40" s="384"/>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row>
    <row r="41">
      <c r="A41" s="37" t="s">
        <v>10824</v>
      </c>
      <c r="B41" s="322"/>
      <c r="C41" s="99">
        <v>39759.0</v>
      </c>
      <c r="D41" s="144"/>
      <c r="E41" s="37" t="s">
        <v>31</v>
      </c>
      <c r="F41" s="37">
        <v>1.0</v>
      </c>
      <c r="G41" s="37" t="s">
        <v>32</v>
      </c>
      <c r="H41" s="50">
        <v>1.0</v>
      </c>
      <c r="I41" s="37" t="s">
        <v>33</v>
      </c>
      <c r="J41" s="37" t="s">
        <v>179</v>
      </c>
      <c r="K41" s="37"/>
      <c r="L41" s="38">
        <v>4631.0</v>
      </c>
      <c r="M41" s="37" t="s">
        <v>10609</v>
      </c>
      <c r="N41" s="37" t="s">
        <v>10825</v>
      </c>
      <c r="O41" s="37" t="s">
        <v>10826</v>
      </c>
      <c r="P41" s="46" t="s">
        <v>10827</v>
      </c>
      <c r="Q41" s="282" t="s">
        <v>10828</v>
      </c>
      <c r="R41" s="16"/>
      <c r="S41" s="37"/>
      <c r="T41" s="64"/>
      <c r="U41" s="16"/>
      <c r="V41" s="37"/>
      <c r="W41" s="38"/>
      <c r="X41" s="38"/>
      <c r="Y41" s="38" t="s">
        <v>33</v>
      </c>
      <c r="Z41" s="121" t="s">
        <v>10829</v>
      </c>
      <c r="AA41" s="39" t="s">
        <v>10830</v>
      </c>
      <c r="AB41" s="38"/>
      <c r="AC41" s="384"/>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row>
    <row r="42">
      <c r="A42" s="37" t="s">
        <v>10831</v>
      </c>
      <c r="B42" s="322"/>
      <c r="C42" s="99">
        <v>39799.0</v>
      </c>
      <c r="D42" s="144"/>
      <c r="E42" s="37" t="s">
        <v>31</v>
      </c>
      <c r="F42" s="37">
        <v>1.0</v>
      </c>
      <c r="G42" s="37" t="s">
        <v>32</v>
      </c>
      <c r="H42" s="50">
        <v>1.0</v>
      </c>
      <c r="I42" s="37" t="s">
        <v>33</v>
      </c>
      <c r="J42" s="37" t="s">
        <v>55</v>
      </c>
      <c r="K42" s="37"/>
      <c r="L42" s="38">
        <v>4631.0</v>
      </c>
      <c r="M42" s="37" t="s">
        <v>10609</v>
      </c>
      <c r="N42" s="37" t="s">
        <v>10832</v>
      </c>
      <c r="O42" s="37" t="s">
        <v>10833</v>
      </c>
      <c r="P42" s="46" t="s">
        <v>10834</v>
      </c>
      <c r="Q42" s="282" t="s">
        <v>10835</v>
      </c>
      <c r="R42" s="16"/>
      <c r="S42" s="37"/>
      <c r="T42" s="64"/>
      <c r="U42" s="16"/>
      <c r="V42" s="37"/>
      <c r="W42" s="38"/>
      <c r="X42" s="38"/>
      <c r="Y42" s="38" t="s">
        <v>33</v>
      </c>
      <c r="Z42" s="39" t="s">
        <v>10836</v>
      </c>
      <c r="AA42" s="39" t="s">
        <v>10837</v>
      </c>
      <c r="AB42" s="38"/>
      <c r="AC42" s="384"/>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row>
    <row r="43">
      <c r="A43" s="37" t="s">
        <v>10838</v>
      </c>
      <c r="B43" s="322"/>
      <c r="C43" s="99">
        <v>42803.0</v>
      </c>
      <c r="D43" s="144"/>
      <c r="E43" s="37" t="s">
        <v>31</v>
      </c>
      <c r="F43" s="37">
        <v>1.0</v>
      </c>
      <c r="G43" s="37">
        <v>1.0</v>
      </c>
      <c r="H43" s="50">
        <v>1.0</v>
      </c>
      <c r="I43" s="37" t="s">
        <v>33</v>
      </c>
      <c r="J43" s="37" t="s">
        <v>268</v>
      </c>
      <c r="K43" s="37"/>
      <c r="L43" s="38">
        <v>4631.0</v>
      </c>
      <c r="M43" s="37" t="s">
        <v>10705</v>
      </c>
      <c r="N43" s="37" t="s">
        <v>10839</v>
      </c>
      <c r="O43" s="37" t="s">
        <v>10840</v>
      </c>
      <c r="P43" s="46" t="s">
        <v>10841</v>
      </c>
      <c r="Q43" s="106" t="s">
        <v>10842</v>
      </c>
      <c r="R43" s="16"/>
      <c r="S43" s="37"/>
      <c r="T43" s="64"/>
      <c r="U43" s="16"/>
      <c r="V43" s="37"/>
      <c r="W43" s="38"/>
      <c r="X43" s="38"/>
      <c r="Y43" s="38" t="s">
        <v>33</v>
      </c>
      <c r="Z43" s="39" t="s">
        <v>10843</v>
      </c>
      <c r="AA43" s="39" t="s">
        <v>385</v>
      </c>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row>
    <row r="44">
      <c r="A44" s="37" t="s">
        <v>10844</v>
      </c>
      <c r="B44" s="322"/>
      <c r="C44" s="99">
        <v>42807.0</v>
      </c>
      <c r="D44" s="144"/>
      <c r="E44" s="37" t="s">
        <v>31</v>
      </c>
      <c r="F44" s="37">
        <v>1.0</v>
      </c>
      <c r="G44" s="37">
        <v>7.0</v>
      </c>
      <c r="H44" s="50">
        <v>7.0</v>
      </c>
      <c r="I44" s="37" t="s">
        <v>33</v>
      </c>
      <c r="J44" s="37" t="s">
        <v>524</v>
      </c>
      <c r="K44" s="37"/>
      <c r="L44" s="38">
        <v>4631.0</v>
      </c>
      <c r="M44" s="37" t="s">
        <v>10609</v>
      </c>
      <c r="N44" s="37" t="s">
        <v>10634</v>
      </c>
      <c r="O44" s="37" t="s">
        <v>10845</v>
      </c>
      <c r="P44" s="46" t="s">
        <v>10846</v>
      </c>
      <c r="Q44" s="106" t="s">
        <v>10847</v>
      </c>
      <c r="R44" s="16"/>
      <c r="S44" s="37"/>
      <c r="T44" s="64"/>
      <c r="U44" s="16"/>
      <c r="V44" s="37"/>
      <c r="W44" s="38"/>
      <c r="X44" s="38"/>
      <c r="Y44" s="38" t="s">
        <v>33</v>
      </c>
      <c r="Z44" s="39" t="s">
        <v>10846</v>
      </c>
      <c r="AA44" s="39" t="s">
        <v>10848</v>
      </c>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row>
    <row r="45">
      <c r="A45" s="87" t="s">
        <v>581</v>
      </c>
      <c r="B45" s="322"/>
      <c r="C45" s="99">
        <v>42845.0</v>
      </c>
      <c r="D45" s="144"/>
      <c r="E45" s="37" t="s">
        <v>31</v>
      </c>
      <c r="F45" s="37">
        <v>1.0</v>
      </c>
      <c r="G45" s="37" t="s">
        <v>32</v>
      </c>
      <c r="H45" s="50">
        <v>1.0</v>
      </c>
      <c r="I45" s="37" t="s">
        <v>33</v>
      </c>
      <c r="J45" s="37" t="s">
        <v>75</v>
      </c>
      <c r="K45" s="37"/>
      <c r="L45" s="38">
        <v>4631.0</v>
      </c>
      <c r="M45" s="37" t="s">
        <v>10705</v>
      </c>
      <c r="N45" s="14" t="s">
        <v>10849</v>
      </c>
      <c r="O45" s="37" t="s">
        <v>10850</v>
      </c>
      <c r="P45" s="36" t="s">
        <v>584</v>
      </c>
      <c r="Q45" s="36" t="s">
        <v>10851</v>
      </c>
      <c r="R45" s="16"/>
      <c r="S45" s="91"/>
      <c r="T45" s="16"/>
      <c r="U45" s="16"/>
      <c r="V45" s="37"/>
      <c r="W45" s="38"/>
      <c r="X45" s="38"/>
      <c r="Y45" s="38" t="s">
        <v>33</v>
      </c>
      <c r="Z45" s="39" t="s">
        <v>585</v>
      </c>
      <c r="AA45" s="39" t="s">
        <v>586</v>
      </c>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row>
    <row r="46">
      <c r="A46" s="87" t="s">
        <v>10852</v>
      </c>
      <c r="B46" s="322"/>
      <c r="C46" s="99">
        <v>43221.0</v>
      </c>
      <c r="D46" s="144"/>
      <c r="E46" s="37" t="s">
        <v>31</v>
      </c>
      <c r="F46" s="37">
        <v>1.0</v>
      </c>
      <c r="G46" s="37" t="s">
        <v>32</v>
      </c>
      <c r="H46" s="50" t="s">
        <v>903</v>
      </c>
      <c r="I46" s="37" t="s">
        <v>33</v>
      </c>
      <c r="J46" s="37" t="s">
        <v>111</v>
      </c>
      <c r="K46" s="37"/>
      <c r="L46" s="38">
        <v>4631.0</v>
      </c>
      <c r="M46" s="37" t="s">
        <v>10609</v>
      </c>
      <c r="N46" s="37" t="s">
        <v>10610</v>
      </c>
      <c r="O46" s="37" t="s">
        <v>10853</v>
      </c>
      <c r="P46" s="46" t="s">
        <v>10854</v>
      </c>
      <c r="Q46" s="282" t="s">
        <v>10855</v>
      </c>
      <c r="R46" s="64"/>
      <c r="S46" s="37"/>
      <c r="T46" s="64"/>
      <c r="U46" s="64"/>
      <c r="V46" s="37"/>
      <c r="W46" s="38"/>
      <c r="X46" s="38"/>
      <c r="Y46" s="38" t="s">
        <v>33</v>
      </c>
      <c r="Z46" s="411" t="s">
        <v>10856</v>
      </c>
      <c r="AA46" s="410" t="s">
        <v>10857</v>
      </c>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row>
    <row r="47">
      <c r="A47" s="37" t="s">
        <v>10858</v>
      </c>
      <c r="B47" s="322"/>
      <c r="C47" s="37"/>
      <c r="D47" s="144"/>
      <c r="E47" s="37"/>
      <c r="F47" s="37"/>
      <c r="G47" s="37"/>
      <c r="H47" s="50"/>
      <c r="I47" s="37" t="s">
        <v>33</v>
      </c>
      <c r="J47" s="37"/>
      <c r="K47" s="37"/>
      <c r="L47" s="38">
        <v>4632.0</v>
      </c>
      <c r="M47" s="37" t="s">
        <v>10705</v>
      </c>
      <c r="N47" s="14" t="s">
        <v>10859</v>
      </c>
      <c r="O47" s="37" t="s">
        <v>10555</v>
      </c>
      <c r="P47" s="106"/>
      <c r="Q47" s="106"/>
      <c r="R47" s="16"/>
      <c r="S47" s="37"/>
      <c r="T47" s="64"/>
      <c r="U47" s="16"/>
      <c r="V47" s="37"/>
      <c r="W47" s="38"/>
      <c r="X47" s="38"/>
      <c r="Y47" s="38"/>
      <c r="Z47" s="40"/>
      <c r="AA47" s="40"/>
      <c r="AB47" s="38"/>
      <c r="AC47" s="279"/>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row>
    <row r="48">
      <c r="A48" s="37" t="s">
        <v>10860</v>
      </c>
      <c r="B48" s="322"/>
      <c r="C48" s="37"/>
      <c r="D48" s="144"/>
      <c r="E48" s="37"/>
      <c r="F48" s="37"/>
      <c r="G48" s="37"/>
      <c r="H48" s="50"/>
      <c r="I48" s="37" t="s">
        <v>33</v>
      </c>
      <c r="J48" s="37"/>
      <c r="K48" s="37"/>
      <c r="L48" s="38">
        <v>4632.0</v>
      </c>
      <c r="M48" s="37" t="s">
        <v>10705</v>
      </c>
      <c r="N48" s="14" t="s">
        <v>10859</v>
      </c>
      <c r="O48" s="37" t="s">
        <v>10861</v>
      </c>
      <c r="P48" s="106"/>
      <c r="Q48" s="106"/>
      <c r="R48" s="16"/>
      <c r="S48" s="37"/>
      <c r="T48" s="64"/>
      <c r="U48" s="16"/>
      <c r="V48" s="37"/>
      <c r="W48" s="38"/>
      <c r="X48" s="38"/>
      <c r="Y48" s="38" t="s">
        <v>33</v>
      </c>
      <c r="Z48" s="40"/>
      <c r="AA48" s="40"/>
      <c r="AB48" s="38"/>
      <c r="AC48" s="279"/>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row>
    <row r="49">
      <c r="A49" s="37" t="s">
        <v>10862</v>
      </c>
      <c r="B49" s="322"/>
      <c r="C49" s="37"/>
      <c r="D49" s="144"/>
      <c r="E49" s="37"/>
      <c r="F49" s="37"/>
      <c r="G49" s="37"/>
      <c r="H49" s="50"/>
      <c r="I49" s="37" t="s">
        <v>33</v>
      </c>
      <c r="J49" s="37"/>
      <c r="K49" s="37"/>
      <c r="L49" s="38">
        <v>4632.0</v>
      </c>
      <c r="M49" s="37" t="s">
        <v>10705</v>
      </c>
      <c r="N49" s="14" t="s">
        <v>10863</v>
      </c>
      <c r="O49" s="37" t="s">
        <v>10864</v>
      </c>
      <c r="P49" s="106"/>
      <c r="Q49" s="106"/>
      <c r="R49" s="16"/>
      <c r="S49" s="37"/>
      <c r="T49" s="64"/>
      <c r="U49" s="16"/>
      <c r="V49" s="37"/>
      <c r="W49" s="38"/>
      <c r="X49" s="38"/>
      <c r="Y49" s="38"/>
      <c r="Z49" s="40"/>
      <c r="AA49" s="40"/>
      <c r="AB49" s="38"/>
      <c r="AC49" s="279"/>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row>
    <row r="50">
      <c r="A50" s="37" t="s">
        <v>10865</v>
      </c>
      <c r="B50" s="322"/>
      <c r="C50" s="37"/>
      <c r="D50" s="144"/>
      <c r="E50" s="37"/>
      <c r="F50" s="37"/>
      <c r="G50" s="37"/>
      <c r="H50" s="50"/>
      <c r="I50" s="37" t="s">
        <v>33</v>
      </c>
      <c r="J50" s="37"/>
      <c r="K50" s="37"/>
      <c r="L50" s="38">
        <v>4632.0</v>
      </c>
      <c r="M50" s="37" t="s">
        <v>10705</v>
      </c>
      <c r="N50" s="14" t="s">
        <v>10866</v>
      </c>
      <c r="O50" s="14" t="s">
        <v>10867</v>
      </c>
      <c r="P50" s="106"/>
      <c r="Q50" s="106"/>
      <c r="R50" s="16"/>
      <c r="S50" s="37"/>
      <c r="T50" s="64"/>
      <c r="U50" s="16"/>
      <c r="V50" s="37"/>
      <c r="W50" s="38"/>
      <c r="X50" s="38"/>
      <c r="Y50" s="38"/>
      <c r="Z50" s="40"/>
      <c r="AA50" s="40"/>
      <c r="AB50" s="38"/>
      <c r="AC50" s="279"/>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row>
    <row r="51">
      <c r="A51" s="37" t="s">
        <v>10868</v>
      </c>
      <c r="B51" s="322"/>
      <c r="C51" s="37">
        <v>1988.0</v>
      </c>
      <c r="D51" s="144"/>
      <c r="E51" s="37" t="s">
        <v>41</v>
      </c>
      <c r="F51" s="37">
        <v>1.0</v>
      </c>
      <c r="G51" s="37">
        <v>2.0</v>
      </c>
      <c r="H51" s="50">
        <v>2.0</v>
      </c>
      <c r="I51" s="37" t="s">
        <v>33</v>
      </c>
      <c r="J51" s="37" t="s">
        <v>318</v>
      </c>
      <c r="K51" s="37"/>
      <c r="L51" s="38">
        <v>4632.0</v>
      </c>
      <c r="M51" s="37" t="s">
        <v>10705</v>
      </c>
      <c r="N51" s="14" t="s">
        <v>10869</v>
      </c>
      <c r="O51" s="37" t="s">
        <v>10870</v>
      </c>
      <c r="P51" s="46" t="s">
        <v>10871</v>
      </c>
      <c r="Q51" s="282" t="s">
        <v>10872</v>
      </c>
      <c r="R51" s="16"/>
      <c r="S51" s="37"/>
      <c r="T51" s="64"/>
      <c r="U51" s="16"/>
      <c r="V51" s="37"/>
      <c r="W51" s="38"/>
      <c r="X51" s="38"/>
      <c r="Y51" s="38" t="s">
        <v>33</v>
      </c>
      <c r="Z51" s="121" t="s">
        <v>10873</v>
      </c>
      <c r="AA51" s="39" t="s">
        <v>10874</v>
      </c>
      <c r="AB51" s="38"/>
      <c r="AC51" s="279"/>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row>
    <row r="52">
      <c r="A52" s="37" t="s">
        <v>10875</v>
      </c>
      <c r="B52" s="322"/>
      <c r="C52" s="37">
        <v>1990.0</v>
      </c>
      <c r="D52" s="144"/>
      <c r="E52" s="37" t="s">
        <v>41</v>
      </c>
      <c r="F52" s="37">
        <v>0.0</v>
      </c>
      <c r="G52" s="37">
        <v>1.0</v>
      </c>
      <c r="H52" s="50">
        <v>1.0</v>
      </c>
      <c r="I52" s="37" t="s">
        <v>33</v>
      </c>
      <c r="J52" s="37" t="s">
        <v>140</v>
      </c>
      <c r="K52" s="37"/>
      <c r="L52" s="38">
        <v>4632.0</v>
      </c>
      <c r="M52" s="37" t="s">
        <v>10705</v>
      </c>
      <c r="N52" s="37" t="s">
        <v>10876</v>
      </c>
      <c r="O52" s="37" t="s">
        <v>10877</v>
      </c>
      <c r="P52" s="46" t="s">
        <v>10878</v>
      </c>
      <c r="Q52" s="46" t="s">
        <v>10879</v>
      </c>
      <c r="R52" s="16"/>
      <c r="S52" s="37"/>
      <c r="T52" s="64"/>
      <c r="U52" s="16"/>
      <c r="V52" s="37"/>
      <c r="W52" s="38"/>
      <c r="X52" s="38"/>
      <c r="Y52" s="38" t="s">
        <v>33</v>
      </c>
      <c r="Z52" s="39" t="s">
        <v>10880</v>
      </c>
      <c r="AA52" s="40"/>
      <c r="AB52" s="38"/>
      <c r="AC52" s="384"/>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row>
    <row r="53">
      <c r="A53" s="37" t="s">
        <v>10881</v>
      </c>
      <c r="B53" s="322"/>
      <c r="C53" s="100">
        <v>33147.0</v>
      </c>
      <c r="D53" s="144"/>
      <c r="E53" s="37" t="s">
        <v>31</v>
      </c>
      <c r="F53" s="37">
        <v>1.0</v>
      </c>
      <c r="G53" s="37">
        <v>0.0</v>
      </c>
      <c r="H53" s="50">
        <v>0.0</v>
      </c>
      <c r="I53" s="37" t="s">
        <v>33</v>
      </c>
      <c r="J53" s="37" t="s">
        <v>433</v>
      </c>
      <c r="K53" s="37"/>
      <c r="L53" s="38">
        <v>4632.0</v>
      </c>
      <c r="M53" s="37" t="s">
        <v>10705</v>
      </c>
      <c r="N53" s="37" t="s">
        <v>10882</v>
      </c>
      <c r="O53" s="37" t="s">
        <v>10883</v>
      </c>
      <c r="P53" s="46" t="s">
        <v>10884</v>
      </c>
      <c r="Q53" s="46" t="s">
        <v>10885</v>
      </c>
      <c r="R53" s="16"/>
      <c r="S53" s="37"/>
      <c r="T53" s="64"/>
      <c r="U53" s="16"/>
      <c r="V53" s="37"/>
      <c r="W53" s="38"/>
      <c r="X53" s="38"/>
      <c r="Y53" s="38" t="s">
        <v>33</v>
      </c>
      <c r="Z53" s="39" t="s">
        <v>10886</v>
      </c>
      <c r="AA53" s="39" t="s">
        <v>10887</v>
      </c>
      <c r="AB53" s="38"/>
      <c r="AC53" s="384"/>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row>
    <row r="54">
      <c r="A54" s="65" t="s">
        <v>10888</v>
      </c>
      <c r="B54" s="322"/>
      <c r="C54" s="37">
        <v>1995.0</v>
      </c>
      <c r="D54" s="144"/>
      <c r="E54" s="37" t="s">
        <v>31</v>
      </c>
      <c r="F54" s="37">
        <v>1.0</v>
      </c>
      <c r="G54" s="37">
        <v>0.0</v>
      </c>
      <c r="H54" s="50">
        <v>0.0</v>
      </c>
      <c r="I54" s="37" t="s">
        <v>33</v>
      </c>
      <c r="J54" s="37" t="s">
        <v>268</v>
      </c>
      <c r="K54" s="37"/>
      <c r="L54" s="38">
        <v>4632.0</v>
      </c>
      <c r="M54" s="37" t="s">
        <v>10705</v>
      </c>
      <c r="N54" s="37" t="s">
        <v>10889</v>
      </c>
      <c r="O54" s="37" t="s">
        <v>10890</v>
      </c>
      <c r="P54" s="46" t="s">
        <v>10891</v>
      </c>
      <c r="Q54" s="46" t="s">
        <v>10892</v>
      </c>
      <c r="R54" s="16"/>
      <c r="S54" s="37"/>
      <c r="T54" s="64"/>
      <c r="U54" s="16"/>
      <c r="V54" s="37"/>
      <c r="W54" s="38"/>
      <c r="X54" s="38"/>
      <c r="Y54" s="38" t="s">
        <v>33</v>
      </c>
      <c r="Z54" s="39" t="s">
        <v>10893</v>
      </c>
      <c r="AA54" s="39" t="s">
        <v>10894</v>
      </c>
      <c r="AB54" s="38"/>
      <c r="AC54" s="384"/>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row>
    <row r="55">
      <c r="A55" s="65" t="s">
        <v>10895</v>
      </c>
      <c r="B55" s="322"/>
      <c r="C55" s="100">
        <v>35916.0</v>
      </c>
      <c r="D55" s="144"/>
      <c r="E55" s="37" t="s">
        <v>31</v>
      </c>
      <c r="F55" s="37">
        <v>1.0</v>
      </c>
      <c r="G55" s="37">
        <v>1.0</v>
      </c>
      <c r="H55" s="50">
        <v>1.0</v>
      </c>
      <c r="I55" s="37" t="s">
        <v>33</v>
      </c>
      <c r="J55" s="37" t="s">
        <v>402</v>
      </c>
      <c r="K55" s="37"/>
      <c r="L55" s="38">
        <v>4632.0</v>
      </c>
      <c r="M55" s="37" t="s">
        <v>10705</v>
      </c>
      <c r="N55" s="37" t="s">
        <v>10896</v>
      </c>
      <c r="O55" s="37" t="s">
        <v>10897</v>
      </c>
      <c r="P55" s="46" t="s">
        <v>10898</v>
      </c>
      <c r="Q55" s="46" t="s">
        <v>10899</v>
      </c>
      <c r="R55" s="16"/>
      <c r="S55" s="37"/>
      <c r="T55" s="64"/>
      <c r="U55" s="16"/>
      <c r="V55" s="37"/>
      <c r="W55" s="38"/>
      <c r="X55" s="38"/>
      <c r="Y55" s="38" t="s">
        <v>33</v>
      </c>
      <c r="Z55" s="39" t="s">
        <v>10900</v>
      </c>
      <c r="AA55" s="39" t="s">
        <v>10901</v>
      </c>
      <c r="AB55" s="38"/>
      <c r="AC55" s="384"/>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row>
    <row r="56">
      <c r="A56" s="65" t="s">
        <v>10902</v>
      </c>
      <c r="B56" s="322"/>
      <c r="C56" s="100">
        <v>36100.0</v>
      </c>
      <c r="D56" s="144"/>
      <c r="E56" s="37" t="s">
        <v>41</v>
      </c>
      <c r="F56" s="37">
        <v>1.0</v>
      </c>
      <c r="G56" s="37">
        <v>1.0</v>
      </c>
      <c r="H56" s="50">
        <v>1.0</v>
      </c>
      <c r="I56" s="37" t="s">
        <v>33</v>
      </c>
      <c r="J56" s="37" t="s">
        <v>140</v>
      </c>
      <c r="K56" s="37"/>
      <c r="L56" s="38">
        <v>4632.0</v>
      </c>
      <c r="M56" s="37" t="s">
        <v>10705</v>
      </c>
      <c r="N56" s="37" t="s">
        <v>10903</v>
      </c>
      <c r="O56" s="37" t="s">
        <v>10904</v>
      </c>
      <c r="P56" s="106" t="s">
        <v>10905</v>
      </c>
      <c r="Q56" s="106"/>
      <c r="R56" s="16"/>
      <c r="S56" s="37"/>
      <c r="T56" s="64"/>
      <c r="U56" s="16"/>
      <c r="V56" s="37"/>
      <c r="W56" s="38"/>
      <c r="X56" s="38"/>
      <c r="Y56" s="38" t="s">
        <v>33</v>
      </c>
      <c r="Z56" s="39" t="s">
        <v>10906</v>
      </c>
      <c r="AA56" s="40"/>
      <c r="AB56" s="38"/>
      <c r="AC56" s="384"/>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row>
    <row r="57">
      <c r="A57" s="65" t="s">
        <v>10907</v>
      </c>
      <c r="B57" s="322"/>
      <c r="C57" s="37">
        <v>2000.0</v>
      </c>
      <c r="D57" s="144"/>
      <c r="E57" s="37" t="s">
        <v>41</v>
      </c>
      <c r="F57" s="37">
        <v>0.0</v>
      </c>
      <c r="G57" s="37">
        <v>1.0</v>
      </c>
      <c r="H57" s="50">
        <v>1.0</v>
      </c>
      <c r="I57" s="37" t="s">
        <v>33</v>
      </c>
      <c r="J57" s="37" t="s">
        <v>3531</v>
      </c>
      <c r="K57" s="37"/>
      <c r="L57" s="38">
        <v>4632.0</v>
      </c>
      <c r="M57" s="37" t="s">
        <v>10705</v>
      </c>
      <c r="N57" s="37" t="s">
        <v>10908</v>
      </c>
      <c r="O57" s="37" t="s">
        <v>10909</v>
      </c>
      <c r="P57" s="46" t="s">
        <v>10910</v>
      </c>
      <c r="Q57" s="46" t="s">
        <v>10911</v>
      </c>
      <c r="R57" s="16"/>
      <c r="S57" s="37"/>
      <c r="T57" s="64"/>
      <c r="U57" s="16"/>
      <c r="V57" s="37"/>
      <c r="W57" s="38"/>
      <c r="X57" s="38"/>
      <c r="Y57" s="38" t="s">
        <v>33</v>
      </c>
      <c r="Z57" s="39" t="s">
        <v>10912</v>
      </c>
      <c r="AA57" s="40"/>
      <c r="AB57" s="38"/>
      <c r="AC57" s="384"/>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row>
    <row r="58">
      <c r="A58" s="37" t="s">
        <v>10913</v>
      </c>
      <c r="B58" s="322"/>
      <c r="C58" s="100">
        <v>36526.0</v>
      </c>
      <c r="D58" s="144"/>
      <c r="E58" s="37" t="s">
        <v>31</v>
      </c>
      <c r="F58" s="37">
        <v>1.0</v>
      </c>
      <c r="G58" s="37">
        <v>1.0</v>
      </c>
      <c r="H58" s="50">
        <v>1.0</v>
      </c>
      <c r="I58" s="37" t="s">
        <v>33</v>
      </c>
      <c r="J58" s="37" t="s">
        <v>47</v>
      </c>
      <c r="K58" s="37"/>
      <c r="L58" s="38">
        <v>4632.0</v>
      </c>
      <c r="M58" s="37" t="s">
        <v>10705</v>
      </c>
      <c r="N58" s="37" t="s">
        <v>10760</v>
      </c>
      <c r="O58" s="37" t="s">
        <v>10914</v>
      </c>
      <c r="P58" s="46" t="s">
        <v>10915</v>
      </c>
      <c r="Q58" s="46" t="s">
        <v>10916</v>
      </c>
      <c r="R58" s="16"/>
      <c r="S58" s="37"/>
      <c r="T58" s="64"/>
      <c r="U58" s="16"/>
      <c r="V58" s="37"/>
      <c r="W58" s="38"/>
      <c r="X58" s="38"/>
      <c r="Y58" s="38" t="s">
        <v>33</v>
      </c>
      <c r="Z58" s="40"/>
      <c r="AA58" s="39" t="s">
        <v>10917</v>
      </c>
      <c r="AB58" s="38"/>
      <c r="AC58" s="384"/>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row>
    <row r="59">
      <c r="A59" s="37" t="s">
        <v>10918</v>
      </c>
      <c r="B59" s="322"/>
      <c r="C59" s="99">
        <v>36951.0</v>
      </c>
      <c r="D59" s="144"/>
      <c r="E59" s="37" t="s">
        <v>41</v>
      </c>
      <c r="F59" s="37">
        <v>1.0</v>
      </c>
      <c r="G59" s="37">
        <v>1.0</v>
      </c>
      <c r="H59" s="50">
        <v>1.0</v>
      </c>
      <c r="I59" s="37" t="s">
        <v>33</v>
      </c>
      <c r="J59" s="37" t="s">
        <v>184</v>
      </c>
      <c r="K59" s="37"/>
      <c r="L59" s="38">
        <v>4632.0</v>
      </c>
      <c r="M59" s="37" t="s">
        <v>10705</v>
      </c>
      <c r="N59" s="37" t="s">
        <v>10919</v>
      </c>
      <c r="O59" s="37" t="s">
        <v>10920</v>
      </c>
      <c r="P59" s="46" t="s">
        <v>10921</v>
      </c>
      <c r="Q59" s="46" t="s">
        <v>10922</v>
      </c>
      <c r="R59" s="16"/>
      <c r="S59" s="37"/>
      <c r="T59" s="64"/>
      <c r="U59" s="16"/>
      <c r="V59" s="37"/>
      <c r="W59" s="38"/>
      <c r="X59" s="38"/>
      <c r="Y59" s="38" t="s">
        <v>33</v>
      </c>
      <c r="Z59" s="121" t="s">
        <v>10923</v>
      </c>
      <c r="AA59" s="121"/>
      <c r="AB59" s="38"/>
      <c r="AC59" s="384"/>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row>
    <row r="60">
      <c r="A60" s="37" t="s">
        <v>10924</v>
      </c>
      <c r="B60" s="322"/>
      <c r="C60" s="100">
        <v>36982.0</v>
      </c>
      <c r="D60" s="144"/>
      <c r="E60" s="37" t="s">
        <v>31</v>
      </c>
      <c r="F60" s="37">
        <v>1.0</v>
      </c>
      <c r="G60" s="37" t="s">
        <v>32</v>
      </c>
      <c r="H60" s="50">
        <v>1.0</v>
      </c>
      <c r="I60" s="37" t="s">
        <v>33</v>
      </c>
      <c r="J60" s="37" t="s">
        <v>179</v>
      </c>
      <c r="K60" s="37"/>
      <c r="L60" s="38">
        <v>4632.0</v>
      </c>
      <c r="M60" s="37" t="s">
        <v>10705</v>
      </c>
      <c r="N60" s="37" t="s">
        <v>10925</v>
      </c>
      <c r="O60" s="37" t="s">
        <v>10926</v>
      </c>
      <c r="P60" s="106" t="s">
        <v>10927</v>
      </c>
      <c r="Q60" s="106" t="s">
        <v>10928</v>
      </c>
      <c r="R60" s="16"/>
      <c r="S60" s="37"/>
      <c r="T60" s="64"/>
      <c r="U60" s="16"/>
      <c r="V60" s="37"/>
      <c r="W60" s="38"/>
      <c r="X60" s="38"/>
      <c r="Y60" s="38" t="s">
        <v>33</v>
      </c>
      <c r="Z60" s="121" t="s">
        <v>10929</v>
      </c>
      <c r="AA60" s="121" t="s">
        <v>10930</v>
      </c>
      <c r="AB60" s="38"/>
      <c r="AC60" s="384"/>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row>
    <row r="61">
      <c r="A61" s="37" t="s">
        <v>10931</v>
      </c>
      <c r="B61" s="322"/>
      <c r="C61" s="100">
        <v>37196.0</v>
      </c>
      <c r="D61" s="144"/>
      <c r="E61" s="37" t="s">
        <v>41</v>
      </c>
      <c r="F61" s="37">
        <v>1.0</v>
      </c>
      <c r="G61" s="37">
        <v>1.0</v>
      </c>
      <c r="H61" s="50">
        <v>1.0</v>
      </c>
      <c r="I61" s="37" t="s">
        <v>33</v>
      </c>
      <c r="J61" s="37" t="s">
        <v>111</v>
      </c>
      <c r="K61" s="37"/>
      <c r="L61" s="38">
        <v>4632.0</v>
      </c>
      <c r="M61" s="37" t="s">
        <v>10705</v>
      </c>
      <c r="N61" s="37" t="s">
        <v>10932</v>
      </c>
      <c r="O61" s="37" t="s">
        <v>10933</v>
      </c>
      <c r="P61" s="46" t="s">
        <v>10934</v>
      </c>
      <c r="Q61" s="46" t="s">
        <v>10935</v>
      </c>
      <c r="R61" s="16"/>
      <c r="S61" s="37"/>
      <c r="T61" s="64"/>
      <c r="U61" s="16"/>
      <c r="V61" s="37"/>
      <c r="W61" s="38"/>
      <c r="X61" s="38"/>
      <c r="Y61" s="38" t="s">
        <v>33</v>
      </c>
      <c r="Z61" s="39" t="s">
        <v>10936</v>
      </c>
      <c r="AA61" s="121"/>
      <c r="AB61" s="38"/>
      <c r="AC61" s="384"/>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row>
    <row r="62">
      <c r="A62" s="37" t="s">
        <v>10937</v>
      </c>
      <c r="B62" s="322"/>
      <c r="C62" s="100">
        <v>37226.0</v>
      </c>
      <c r="D62" s="144"/>
      <c r="E62" s="37" t="s">
        <v>41</v>
      </c>
      <c r="F62" s="37">
        <v>1.0</v>
      </c>
      <c r="G62" s="37" t="s">
        <v>32</v>
      </c>
      <c r="H62" s="50">
        <v>1.0</v>
      </c>
      <c r="I62" s="37" t="s">
        <v>33</v>
      </c>
      <c r="J62" s="37" t="s">
        <v>504</v>
      </c>
      <c r="K62" s="37"/>
      <c r="L62" s="38">
        <v>4632.0</v>
      </c>
      <c r="M62" s="37" t="s">
        <v>10705</v>
      </c>
      <c r="N62" s="37" t="s">
        <v>10938</v>
      </c>
      <c r="O62" s="37" t="s">
        <v>10939</v>
      </c>
      <c r="P62" s="106" t="s">
        <v>10940</v>
      </c>
      <c r="Q62" s="106" t="s">
        <v>10941</v>
      </c>
      <c r="R62" s="16"/>
      <c r="S62" s="37"/>
      <c r="T62" s="64"/>
      <c r="U62" s="16"/>
      <c r="V62" s="37"/>
      <c r="W62" s="38"/>
      <c r="X62" s="38"/>
      <c r="Y62" s="38" t="s">
        <v>33</v>
      </c>
      <c r="Z62" s="39" t="s">
        <v>10942</v>
      </c>
      <c r="AA62" s="121"/>
      <c r="AB62" s="38"/>
      <c r="AC62" s="384"/>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row>
    <row r="63">
      <c r="A63" s="37" t="s">
        <v>10943</v>
      </c>
      <c r="B63" s="322"/>
      <c r="C63" s="100">
        <v>37408.0</v>
      </c>
      <c r="D63" s="144"/>
      <c r="E63" s="37" t="s">
        <v>41</v>
      </c>
      <c r="F63" s="37">
        <v>1.0</v>
      </c>
      <c r="G63" s="37">
        <v>3.0</v>
      </c>
      <c r="H63" s="50">
        <v>3.0</v>
      </c>
      <c r="I63" s="37" t="s">
        <v>33</v>
      </c>
      <c r="J63" s="37" t="s">
        <v>89</v>
      </c>
      <c r="K63" s="37"/>
      <c r="L63" s="38">
        <v>4632.0</v>
      </c>
      <c r="M63" s="37" t="s">
        <v>10705</v>
      </c>
      <c r="N63" s="37" t="s">
        <v>10610</v>
      </c>
      <c r="O63" s="37" t="s">
        <v>10944</v>
      </c>
      <c r="P63" s="46" t="s">
        <v>10945</v>
      </c>
      <c r="Q63" s="106" t="s">
        <v>10946</v>
      </c>
      <c r="R63" s="16"/>
      <c r="S63" s="37"/>
      <c r="T63" s="64"/>
      <c r="U63" s="16"/>
      <c r="V63" s="37"/>
      <c r="W63" s="38"/>
      <c r="X63" s="38"/>
      <c r="Y63" s="38" t="s">
        <v>33</v>
      </c>
      <c r="Z63" s="39" t="s">
        <v>10947</v>
      </c>
      <c r="AA63" s="40"/>
      <c r="AB63" s="38"/>
      <c r="AC63" s="279">
        <v>37426.0</v>
      </c>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row>
    <row r="64">
      <c r="A64" s="37" t="s">
        <v>10948</v>
      </c>
      <c r="B64" s="322"/>
      <c r="C64" s="100">
        <v>37631.0</v>
      </c>
      <c r="D64" s="144"/>
      <c r="E64" s="37" t="s">
        <v>31</v>
      </c>
      <c r="F64" s="37">
        <v>1.0</v>
      </c>
      <c r="G64" s="37" t="s">
        <v>32</v>
      </c>
      <c r="H64" s="50">
        <v>1.0</v>
      </c>
      <c r="I64" s="37" t="s">
        <v>33</v>
      </c>
      <c r="J64" s="37" t="s">
        <v>179</v>
      </c>
      <c r="K64" s="37"/>
      <c r="L64" s="38">
        <v>4632.0</v>
      </c>
      <c r="M64" s="37" t="s">
        <v>10705</v>
      </c>
      <c r="N64" s="37" t="s">
        <v>10949</v>
      </c>
      <c r="O64" s="37" t="s">
        <v>10950</v>
      </c>
      <c r="P64" s="106" t="s">
        <v>10951</v>
      </c>
      <c r="Q64" s="412" t="s">
        <v>10952</v>
      </c>
      <c r="R64" s="16"/>
      <c r="S64" s="37"/>
      <c r="T64" s="64"/>
      <c r="U64" s="16"/>
      <c r="V64" s="37"/>
      <c r="W64" s="38"/>
      <c r="X64" s="38"/>
      <c r="Y64" s="38" t="s">
        <v>33</v>
      </c>
      <c r="Z64" s="39" t="s">
        <v>10953</v>
      </c>
      <c r="AA64" s="39" t="s">
        <v>10954</v>
      </c>
      <c r="AB64" s="38"/>
      <c r="AC64" s="384"/>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row>
    <row r="65">
      <c r="A65" s="37" t="s">
        <v>10955</v>
      </c>
      <c r="B65" s="322"/>
      <c r="C65" s="100">
        <v>37773.0</v>
      </c>
      <c r="D65" s="144"/>
      <c r="E65" s="37" t="s">
        <v>31</v>
      </c>
      <c r="F65" s="37">
        <v>1.0</v>
      </c>
      <c r="G65" s="37">
        <v>1.0</v>
      </c>
      <c r="H65" s="50">
        <v>1.0</v>
      </c>
      <c r="I65" s="37" t="s">
        <v>33</v>
      </c>
      <c r="J65" s="37" t="s">
        <v>47</v>
      </c>
      <c r="K65" s="37"/>
      <c r="L65" s="38">
        <v>4632.0</v>
      </c>
      <c r="M65" s="37" t="s">
        <v>10705</v>
      </c>
      <c r="N65" s="37" t="s">
        <v>10750</v>
      </c>
      <c r="O65" s="37" t="s">
        <v>10956</v>
      </c>
      <c r="P65" s="46" t="s">
        <v>10957</v>
      </c>
      <c r="Q65" s="296" t="s">
        <v>10958</v>
      </c>
      <c r="R65" s="16"/>
      <c r="S65" s="37"/>
      <c r="T65" s="64"/>
      <c r="U65" s="16"/>
      <c r="V65" s="37"/>
      <c r="W65" s="38"/>
      <c r="X65" s="38"/>
      <c r="Y65" s="38" t="s">
        <v>33</v>
      </c>
      <c r="Z65" s="39" t="s">
        <v>10959</v>
      </c>
      <c r="AA65" s="39" t="s">
        <v>10960</v>
      </c>
      <c r="AB65" s="38"/>
      <c r="AC65" s="384"/>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row>
    <row r="66">
      <c r="A66" s="37" t="s">
        <v>10961</v>
      </c>
      <c r="B66" s="322"/>
      <c r="C66" s="100">
        <v>37773.0</v>
      </c>
      <c r="D66" s="144"/>
      <c r="E66" s="37" t="s">
        <v>31</v>
      </c>
      <c r="F66" s="37">
        <v>1.0</v>
      </c>
      <c r="G66" s="37">
        <v>1.0</v>
      </c>
      <c r="H66" s="50">
        <v>1.0</v>
      </c>
      <c r="I66" s="37" t="s">
        <v>33</v>
      </c>
      <c r="J66" s="37" t="s">
        <v>115</v>
      </c>
      <c r="K66" s="37"/>
      <c r="L66" s="38">
        <v>4632.0</v>
      </c>
      <c r="M66" s="37" t="s">
        <v>10705</v>
      </c>
      <c r="N66" s="37" t="s">
        <v>10962</v>
      </c>
      <c r="O66" s="37" t="s">
        <v>10963</v>
      </c>
      <c r="P66" s="46" t="s">
        <v>10964</v>
      </c>
      <c r="Q66" s="296" t="s">
        <v>10965</v>
      </c>
      <c r="R66" s="16"/>
      <c r="S66" s="37"/>
      <c r="T66" s="64"/>
      <c r="U66" s="16"/>
      <c r="V66" s="37"/>
      <c r="W66" s="38"/>
      <c r="X66" s="38"/>
      <c r="Y66" s="38" t="s">
        <v>33</v>
      </c>
      <c r="Z66" s="39" t="s">
        <v>10966</v>
      </c>
      <c r="AA66" s="39" t="s">
        <v>10967</v>
      </c>
      <c r="AB66" s="38"/>
      <c r="AC66" s="384"/>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row>
    <row r="67">
      <c r="A67" s="37" t="s">
        <v>10968</v>
      </c>
      <c r="B67" s="322"/>
      <c r="C67" s="99">
        <v>37936.0</v>
      </c>
      <c r="D67" s="144"/>
      <c r="E67" s="37" t="s">
        <v>31</v>
      </c>
      <c r="F67" s="37">
        <v>1.0</v>
      </c>
      <c r="G67" s="37">
        <v>1.0</v>
      </c>
      <c r="H67" s="50">
        <v>1.0</v>
      </c>
      <c r="I67" s="37" t="s">
        <v>33</v>
      </c>
      <c r="J67" s="37" t="s">
        <v>147</v>
      </c>
      <c r="K67" s="37"/>
      <c r="L67" s="38">
        <v>4632.0</v>
      </c>
      <c r="M67" s="37" t="s">
        <v>10705</v>
      </c>
      <c r="N67" s="37" t="s">
        <v>10969</v>
      </c>
      <c r="O67" s="37" t="s">
        <v>10970</v>
      </c>
      <c r="P67" s="46" t="s">
        <v>10971</v>
      </c>
      <c r="Q67" s="106" t="s">
        <v>10972</v>
      </c>
      <c r="R67" s="16"/>
      <c r="S67" s="37"/>
      <c r="T67" s="64"/>
      <c r="U67" s="16"/>
      <c r="V67" s="37"/>
      <c r="W67" s="38"/>
      <c r="X67" s="38"/>
      <c r="Y67" s="38" t="s">
        <v>33</v>
      </c>
      <c r="Z67" s="39" t="s">
        <v>10973</v>
      </c>
      <c r="AA67" s="39" t="s">
        <v>10974</v>
      </c>
      <c r="AB67" s="38"/>
      <c r="AC67" s="384"/>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row>
    <row r="68">
      <c r="A68" s="37" t="s">
        <v>10975</v>
      </c>
      <c r="B68" s="322"/>
      <c r="C68" s="100">
        <v>38200.0</v>
      </c>
      <c r="D68" s="144"/>
      <c r="E68" s="37" t="s">
        <v>31</v>
      </c>
      <c r="F68" s="37">
        <v>1.0</v>
      </c>
      <c r="G68" s="37">
        <v>1.0</v>
      </c>
      <c r="H68" s="50">
        <v>1.0</v>
      </c>
      <c r="I68" s="37" t="s">
        <v>33</v>
      </c>
      <c r="J68" s="37" t="s">
        <v>115</v>
      </c>
      <c r="K68" s="37"/>
      <c r="L68" s="38">
        <v>4632.0</v>
      </c>
      <c r="M68" s="37" t="s">
        <v>10705</v>
      </c>
      <c r="N68" s="37" t="s">
        <v>10866</v>
      </c>
      <c r="O68" s="37" t="s">
        <v>10976</v>
      </c>
      <c r="P68" s="46" t="s">
        <v>10977</v>
      </c>
      <c r="Q68" s="46" t="s">
        <v>10978</v>
      </c>
      <c r="R68" s="16"/>
      <c r="S68" s="37"/>
      <c r="T68" s="64"/>
      <c r="U68" s="16"/>
      <c r="V68" s="37"/>
      <c r="W68" s="38"/>
      <c r="X68" s="38"/>
      <c r="Y68" s="38" t="s">
        <v>33</v>
      </c>
      <c r="Z68" s="39" t="s">
        <v>10979</v>
      </c>
      <c r="AA68" s="39" t="s">
        <v>10980</v>
      </c>
      <c r="AB68" s="38"/>
      <c r="AC68" s="384"/>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row>
    <row r="69">
      <c r="A69" s="37" t="s">
        <v>10981</v>
      </c>
      <c r="B69" s="322"/>
      <c r="C69" s="99">
        <v>28208.0</v>
      </c>
      <c r="D69" s="144"/>
      <c r="E69" s="37" t="s">
        <v>31</v>
      </c>
      <c r="F69" s="37">
        <v>1.0</v>
      </c>
      <c r="G69" s="37">
        <v>1.0</v>
      </c>
      <c r="H69" s="50">
        <v>1.0</v>
      </c>
      <c r="I69" s="37" t="s">
        <v>33</v>
      </c>
      <c r="J69" s="37" t="s">
        <v>111</v>
      </c>
      <c r="K69" s="37"/>
      <c r="L69" s="38">
        <v>4633.0</v>
      </c>
      <c r="M69" s="37" t="s">
        <v>10609</v>
      </c>
      <c r="N69" s="37" t="s">
        <v>10982</v>
      </c>
      <c r="O69" s="37" t="s">
        <v>10983</v>
      </c>
      <c r="P69" s="46" t="s">
        <v>10984</v>
      </c>
      <c r="Q69" s="106"/>
      <c r="R69" s="16"/>
      <c r="S69" s="37"/>
      <c r="T69" s="64"/>
      <c r="U69" s="16"/>
      <c r="V69" s="37"/>
      <c r="W69" s="38"/>
      <c r="X69" s="38"/>
      <c r="Y69" s="38" t="s">
        <v>33</v>
      </c>
      <c r="Z69" s="121" t="s">
        <v>10985</v>
      </c>
      <c r="AA69" s="39" t="s">
        <v>10986</v>
      </c>
      <c r="AB69" s="38"/>
      <c r="AC69" s="279"/>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row>
    <row r="70">
      <c r="A70" s="37" t="s">
        <v>10987</v>
      </c>
      <c r="B70" s="322"/>
      <c r="C70" s="37">
        <v>1978.0</v>
      </c>
      <c r="D70" s="144"/>
      <c r="E70" s="37" t="s">
        <v>31</v>
      </c>
      <c r="F70" s="37">
        <v>1.0</v>
      </c>
      <c r="G70" s="37">
        <v>1.0</v>
      </c>
      <c r="H70" s="50">
        <v>1.0</v>
      </c>
      <c r="I70" s="37" t="s">
        <v>33</v>
      </c>
      <c r="J70" s="37" t="s">
        <v>93</v>
      </c>
      <c r="K70" s="37"/>
      <c r="L70" s="38">
        <v>4633.0</v>
      </c>
      <c r="M70" s="37" t="s">
        <v>10609</v>
      </c>
      <c r="N70" s="37" t="s">
        <v>10988</v>
      </c>
      <c r="O70" s="37" t="s">
        <v>10989</v>
      </c>
      <c r="P70" s="46" t="s">
        <v>10990</v>
      </c>
      <c r="Q70" s="46" t="s">
        <v>10991</v>
      </c>
      <c r="R70" s="16"/>
      <c r="S70" s="37"/>
      <c r="T70" s="64"/>
      <c r="U70" s="16"/>
      <c r="V70" s="37"/>
      <c r="W70" s="38"/>
      <c r="X70" s="38"/>
      <c r="Y70" s="38" t="s">
        <v>33</v>
      </c>
      <c r="Z70" s="121" t="s">
        <v>10992</v>
      </c>
      <c r="AA70" s="39" t="s">
        <v>10993</v>
      </c>
      <c r="AB70" s="38"/>
      <c r="AC70" s="279">
        <v>43827.0</v>
      </c>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row>
    <row r="71">
      <c r="A71" s="37" t="s">
        <v>10994</v>
      </c>
      <c r="B71" s="322"/>
      <c r="C71" s="99">
        <v>32709.0</v>
      </c>
      <c r="D71" s="144"/>
      <c r="E71" s="37" t="s">
        <v>31</v>
      </c>
      <c r="F71" s="37" t="s">
        <v>41</v>
      </c>
      <c r="G71" s="37">
        <v>0.0</v>
      </c>
      <c r="H71" s="50">
        <v>0.0</v>
      </c>
      <c r="I71" s="37" t="s">
        <v>33</v>
      </c>
      <c r="J71" s="37" t="s">
        <v>184</v>
      </c>
      <c r="K71" s="37"/>
      <c r="L71" s="38">
        <v>4633.0</v>
      </c>
      <c r="M71" s="37" t="s">
        <v>10609</v>
      </c>
      <c r="N71" s="37" t="s">
        <v>10988</v>
      </c>
      <c r="O71" s="37" t="s">
        <v>10995</v>
      </c>
      <c r="P71" s="46" t="s">
        <v>10996</v>
      </c>
      <c r="Q71" s="106"/>
      <c r="R71" s="16"/>
      <c r="S71" s="37"/>
      <c r="T71" s="64"/>
      <c r="U71" s="16"/>
      <c r="V71" s="37"/>
      <c r="W71" s="38"/>
      <c r="X71" s="38"/>
      <c r="Y71" s="38" t="s">
        <v>33</v>
      </c>
      <c r="Z71" s="39" t="s">
        <v>10997</v>
      </c>
      <c r="AA71" s="39" t="s">
        <v>10998</v>
      </c>
      <c r="AB71" s="38"/>
      <c r="AC71" s="384">
        <v>42308.0</v>
      </c>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row>
    <row r="72">
      <c r="A72" s="65" t="s">
        <v>10999</v>
      </c>
      <c r="B72" s="322"/>
      <c r="C72" s="37">
        <v>1993.0</v>
      </c>
      <c r="D72" s="144"/>
      <c r="E72" s="37" t="s">
        <v>31</v>
      </c>
      <c r="F72" s="37">
        <v>0.0</v>
      </c>
      <c r="G72" s="37">
        <v>0.0</v>
      </c>
      <c r="H72" s="50">
        <v>0.0</v>
      </c>
      <c r="I72" s="37" t="s">
        <v>33</v>
      </c>
      <c r="J72" s="37" t="s">
        <v>524</v>
      </c>
      <c r="K72" s="37"/>
      <c r="L72" s="38">
        <v>4633.0</v>
      </c>
      <c r="M72" s="37" t="s">
        <v>10609</v>
      </c>
      <c r="N72" s="37" t="s">
        <v>11000</v>
      </c>
      <c r="O72" s="37" t="s">
        <v>11001</v>
      </c>
      <c r="P72" s="46" t="s">
        <v>11002</v>
      </c>
      <c r="Q72" s="46" t="s">
        <v>11003</v>
      </c>
      <c r="R72" s="16"/>
      <c r="S72" s="37"/>
      <c r="T72" s="64"/>
      <c r="U72" s="16"/>
      <c r="V72" s="37"/>
      <c r="W72" s="38"/>
      <c r="X72" s="38"/>
      <c r="Y72" s="38" t="s">
        <v>33</v>
      </c>
      <c r="Z72" s="39" t="s">
        <v>11004</v>
      </c>
      <c r="AA72" s="39" t="s">
        <v>11005</v>
      </c>
      <c r="AB72" s="38"/>
      <c r="AC72" s="384"/>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row>
    <row r="73">
      <c r="A73" s="65" t="s">
        <v>11006</v>
      </c>
      <c r="B73" s="322"/>
      <c r="C73" s="100">
        <v>34547.0</v>
      </c>
      <c r="D73" s="144"/>
      <c r="E73" s="37" t="s">
        <v>31</v>
      </c>
      <c r="F73" s="37">
        <v>1.0</v>
      </c>
      <c r="G73" s="37">
        <v>1.0</v>
      </c>
      <c r="H73" s="50">
        <v>1.0</v>
      </c>
      <c r="I73" s="37" t="s">
        <v>33</v>
      </c>
      <c r="J73" s="37" t="s">
        <v>184</v>
      </c>
      <c r="K73" s="37"/>
      <c r="L73" s="38">
        <v>4633.0</v>
      </c>
      <c r="M73" s="37" t="s">
        <v>10609</v>
      </c>
      <c r="N73" s="37" t="s">
        <v>10988</v>
      </c>
      <c r="O73" s="37" t="s">
        <v>11007</v>
      </c>
      <c r="P73" s="106" t="s">
        <v>11008</v>
      </c>
      <c r="Q73" s="106"/>
      <c r="R73" s="16"/>
      <c r="S73" s="37"/>
      <c r="T73" s="64"/>
      <c r="U73" s="16"/>
      <c r="V73" s="37"/>
      <c r="W73" s="38"/>
      <c r="X73" s="38"/>
      <c r="Y73" s="38" t="s">
        <v>33</v>
      </c>
      <c r="Z73" s="39" t="s">
        <v>11009</v>
      </c>
      <c r="AA73" s="39" t="s">
        <v>11010</v>
      </c>
      <c r="AB73" s="38"/>
      <c r="AC73" s="384"/>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row>
    <row r="74">
      <c r="A74" s="37" t="s">
        <v>11011</v>
      </c>
      <c r="B74" s="322"/>
      <c r="C74" s="100">
        <v>38024.0</v>
      </c>
      <c r="D74" s="144"/>
      <c r="E74" s="37" t="s">
        <v>31</v>
      </c>
      <c r="F74" s="37">
        <v>1.0</v>
      </c>
      <c r="G74" s="37" t="s">
        <v>32</v>
      </c>
      <c r="H74" s="50">
        <v>1.0</v>
      </c>
      <c r="I74" s="37" t="s">
        <v>33</v>
      </c>
      <c r="J74" s="37" t="s">
        <v>144</v>
      </c>
      <c r="K74" s="37"/>
      <c r="L74" s="38">
        <v>4633.0</v>
      </c>
      <c r="M74" s="37" t="s">
        <v>10705</v>
      </c>
      <c r="N74" s="37" t="s">
        <v>11012</v>
      </c>
      <c r="O74" s="37" t="s">
        <v>11013</v>
      </c>
      <c r="P74" s="46" t="s">
        <v>11014</v>
      </c>
      <c r="Q74" s="106"/>
      <c r="R74" s="16"/>
      <c r="S74" s="37"/>
      <c r="T74" s="64"/>
      <c r="U74" s="16"/>
      <c r="V74" s="37"/>
      <c r="W74" s="38"/>
      <c r="X74" s="38"/>
      <c r="Y74" s="38" t="s">
        <v>33</v>
      </c>
      <c r="Z74" s="39" t="s">
        <v>11015</v>
      </c>
      <c r="AA74" s="39" t="s">
        <v>11016</v>
      </c>
      <c r="AB74" s="38"/>
      <c r="AC74" s="384"/>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row>
    <row r="75">
      <c r="A75" s="37" t="s">
        <v>11017</v>
      </c>
      <c r="B75" s="322"/>
      <c r="C75" s="99">
        <v>38108.0</v>
      </c>
      <c r="D75" s="144"/>
      <c r="E75" s="37" t="s">
        <v>31</v>
      </c>
      <c r="F75" s="37">
        <v>0.0</v>
      </c>
      <c r="G75" s="37" t="s">
        <v>32</v>
      </c>
      <c r="H75" s="50">
        <v>1.0</v>
      </c>
      <c r="I75" s="37" t="s">
        <v>33</v>
      </c>
      <c r="J75" s="37" t="s">
        <v>68</v>
      </c>
      <c r="K75" s="37"/>
      <c r="L75" s="38">
        <v>4633.0</v>
      </c>
      <c r="M75" s="37" t="s">
        <v>10609</v>
      </c>
      <c r="N75" s="37" t="s">
        <v>11018</v>
      </c>
      <c r="O75" s="37" t="s">
        <v>11019</v>
      </c>
      <c r="P75" s="46" t="s">
        <v>11020</v>
      </c>
      <c r="Q75" s="46" t="s">
        <v>11021</v>
      </c>
      <c r="R75" s="16"/>
      <c r="S75" s="37"/>
      <c r="T75" s="64"/>
      <c r="U75" s="16"/>
      <c r="V75" s="37"/>
      <c r="W75" s="38"/>
      <c r="X75" s="38"/>
      <c r="Y75" s="38" t="s">
        <v>33</v>
      </c>
      <c r="Z75" s="39" t="s">
        <v>11022</v>
      </c>
      <c r="AA75" s="121" t="s">
        <v>11023</v>
      </c>
      <c r="AB75" s="38"/>
      <c r="AC75" s="384"/>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row>
    <row r="76">
      <c r="A76" s="37" t="s">
        <v>11024</v>
      </c>
      <c r="B76" s="322"/>
      <c r="C76" s="99">
        <v>39345.0</v>
      </c>
      <c r="D76" s="144"/>
      <c r="E76" s="37" t="s">
        <v>31</v>
      </c>
      <c r="F76" s="37">
        <v>1.0</v>
      </c>
      <c r="G76" s="37" t="s">
        <v>32</v>
      </c>
      <c r="H76" s="50">
        <v>1.0</v>
      </c>
      <c r="I76" s="37" t="s">
        <v>33</v>
      </c>
      <c r="J76" s="37" t="s">
        <v>111</v>
      </c>
      <c r="K76" s="37"/>
      <c r="L76" s="38">
        <v>4633.0</v>
      </c>
      <c r="M76" s="37" t="s">
        <v>10609</v>
      </c>
      <c r="N76" s="37" t="s">
        <v>11025</v>
      </c>
      <c r="O76" s="37" t="s">
        <v>11026</v>
      </c>
      <c r="P76" s="46" t="s">
        <v>11027</v>
      </c>
      <c r="Q76" s="282" t="s">
        <v>11028</v>
      </c>
      <c r="R76" s="16"/>
      <c r="S76" s="37"/>
      <c r="T76" s="64"/>
      <c r="U76" s="16"/>
      <c r="V76" s="37"/>
      <c r="W76" s="38"/>
      <c r="X76" s="38"/>
      <c r="Y76" s="38" t="s">
        <v>33</v>
      </c>
      <c r="Z76" s="121" t="s">
        <v>11029</v>
      </c>
      <c r="AA76" s="39" t="s">
        <v>11030</v>
      </c>
      <c r="AB76" s="38"/>
      <c r="AC76" s="384"/>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row>
    <row r="77">
      <c r="A77" s="37" t="s">
        <v>11031</v>
      </c>
      <c r="B77" s="322"/>
      <c r="C77" s="100">
        <v>39814.0</v>
      </c>
      <c r="D77" s="144"/>
      <c r="E77" s="37" t="s">
        <v>31</v>
      </c>
      <c r="F77" s="37">
        <v>1.0</v>
      </c>
      <c r="G77" s="37" t="s">
        <v>32</v>
      </c>
      <c r="H77" s="50">
        <v>1.0</v>
      </c>
      <c r="I77" s="37" t="s">
        <v>33</v>
      </c>
      <c r="J77" s="37" t="s">
        <v>222</v>
      </c>
      <c r="K77" s="37"/>
      <c r="L77" s="38">
        <v>4633.0</v>
      </c>
      <c r="M77" s="37" t="s">
        <v>10609</v>
      </c>
      <c r="N77" s="37" t="s">
        <v>11032</v>
      </c>
      <c r="O77" s="37" t="s">
        <v>11033</v>
      </c>
      <c r="P77" s="46" t="s">
        <v>11034</v>
      </c>
      <c r="Q77" s="282" t="s">
        <v>11035</v>
      </c>
      <c r="R77" s="16"/>
      <c r="S77" s="37"/>
      <c r="T77" s="64"/>
      <c r="U77" s="16"/>
      <c r="V77" s="37"/>
      <c r="W77" s="38"/>
      <c r="X77" s="38"/>
      <c r="Y77" s="38" t="s">
        <v>33</v>
      </c>
      <c r="Z77" s="39" t="s">
        <v>11036</v>
      </c>
      <c r="AA77" s="39" t="s">
        <v>11037</v>
      </c>
      <c r="AB77" s="38"/>
      <c r="AC77" s="384"/>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row>
    <row r="78">
      <c r="A78" s="37" t="s">
        <v>11038</v>
      </c>
      <c r="B78" s="322"/>
      <c r="C78" s="100">
        <v>40835.0</v>
      </c>
      <c r="D78" s="144"/>
      <c r="E78" s="37" t="s">
        <v>31</v>
      </c>
      <c r="F78" s="37">
        <v>1.0</v>
      </c>
      <c r="G78" s="37" t="s">
        <v>32</v>
      </c>
      <c r="H78" s="50">
        <v>1.0</v>
      </c>
      <c r="I78" s="37" t="s">
        <v>33</v>
      </c>
      <c r="J78" s="37" t="s">
        <v>47</v>
      </c>
      <c r="K78" s="37"/>
      <c r="L78" s="38">
        <v>4633.0</v>
      </c>
      <c r="M78" s="37" t="s">
        <v>10609</v>
      </c>
      <c r="N78" s="37" t="s">
        <v>11039</v>
      </c>
      <c r="O78" s="37" t="s">
        <v>11040</v>
      </c>
      <c r="P78" s="46" t="s">
        <v>11041</v>
      </c>
      <c r="Q78" s="46" t="s">
        <v>11042</v>
      </c>
      <c r="R78" s="16"/>
      <c r="S78" s="37"/>
      <c r="T78" s="64"/>
      <c r="U78" s="16"/>
      <c r="V78" s="37"/>
      <c r="W78" s="38"/>
      <c r="X78" s="38"/>
      <c r="Y78" s="38" t="s">
        <v>33</v>
      </c>
      <c r="Z78" s="39" t="s">
        <v>11043</v>
      </c>
      <c r="AA78" s="39" t="s">
        <v>11044</v>
      </c>
      <c r="AB78" s="38"/>
      <c r="AC78" s="384"/>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row>
    <row r="79">
      <c r="A79" s="37" t="s">
        <v>11045</v>
      </c>
      <c r="B79" s="322"/>
      <c r="C79" s="99">
        <v>41008.0</v>
      </c>
      <c r="D79" s="144"/>
      <c r="E79" s="37" t="s">
        <v>31</v>
      </c>
      <c r="F79" s="37">
        <v>1.0</v>
      </c>
      <c r="G79" s="37" t="s">
        <v>32</v>
      </c>
      <c r="H79" s="50">
        <v>1.0</v>
      </c>
      <c r="I79" s="37" t="s">
        <v>33</v>
      </c>
      <c r="J79" s="37" t="s">
        <v>179</v>
      </c>
      <c r="K79" s="37"/>
      <c r="L79" s="38">
        <v>4633.0</v>
      </c>
      <c r="M79" s="37" t="s">
        <v>10609</v>
      </c>
      <c r="N79" s="37" t="s">
        <v>11046</v>
      </c>
      <c r="O79" s="37" t="s">
        <v>11047</v>
      </c>
      <c r="P79" s="46" t="s">
        <v>11048</v>
      </c>
      <c r="Q79" s="106"/>
      <c r="R79" s="16"/>
      <c r="S79" s="37"/>
      <c r="T79" s="64"/>
      <c r="U79" s="16"/>
      <c r="V79" s="37"/>
      <c r="W79" s="38"/>
      <c r="X79" s="38"/>
      <c r="Y79" s="38" t="s">
        <v>33</v>
      </c>
      <c r="Z79" s="39" t="s">
        <v>11049</v>
      </c>
      <c r="AA79" s="39" t="s">
        <v>11050</v>
      </c>
      <c r="AB79" s="38"/>
      <c r="AC79" s="384"/>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row>
    <row r="80">
      <c r="A80" s="37" t="s">
        <v>11051</v>
      </c>
      <c r="B80" s="322"/>
      <c r="C80" s="100">
        <v>41142.0</v>
      </c>
      <c r="D80" s="144"/>
      <c r="E80" s="37" t="s">
        <v>31</v>
      </c>
      <c r="F80" s="37">
        <v>1.0</v>
      </c>
      <c r="G80" s="37" t="s">
        <v>32</v>
      </c>
      <c r="H80" s="50">
        <v>1.0</v>
      </c>
      <c r="I80" s="37" t="s">
        <v>33</v>
      </c>
      <c r="J80" s="37" t="s">
        <v>410</v>
      </c>
      <c r="K80" s="37"/>
      <c r="L80" s="38">
        <v>4633.0</v>
      </c>
      <c r="M80" s="37" t="s">
        <v>10609</v>
      </c>
      <c r="N80" s="37" t="s">
        <v>11052</v>
      </c>
      <c r="O80" s="37" t="s">
        <v>11053</v>
      </c>
      <c r="P80" s="46" t="s">
        <v>11054</v>
      </c>
      <c r="Q80" s="46" t="s">
        <v>11055</v>
      </c>
      <c r="R80" s="16"/>
      <c r="S80" s="37"/>
      <c r="T80" s="64"/>
      <c r="U80" s="16"/>
      <c r="V80" s="37"/>
      <c r="W80" s="38"/>
      <c r="X80" s="38"/>
      <c r="Y80" s="38" t="s">
        <v>33</v>
      </c>
      <c r="Z80" s="39" t="s">
        <v>11056</v>
      </c>
      <c r="AA80" s="39" t="s">
        <v>11057</v>
      </c>
      <c r="AB80" s="38"/>
      <c r="AC80" s="384"/>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row>
    <row r="81">
      <c r="A81" s="37" t="s">
        <v>11058</v>
      </c>
      <c r="B81" s="322"/>
      <c r="C81" s="100">
        <v>41245.0</v>
      </c>
      <c r="D81" s="144"/>
      <c r="E81" s="37" t="s">
        <v>31</v>
      </c>
      <c r="F81" s="37">
        <v>1.0</v>
      </c>
      <c r="G81" s="37" t="s">
        <v>32</v>
      </c>
      <c r="H81" s="50">
        <v>1.0</v>
      </c>
      <c r="I81" s="37" t="s">
        <v>33</v>
      </c>
      <c r="J81" s="37" t="s">
        <v>140</v>
      </c>
      <c r="K81" s="37"/>
      <c r="L81" s="38">
        <v>4633.0</v>
      </c>
      <c r="M81" s="37" t="s">
        <v>10609</v>
      </c>
      <c r="N81" s="37" t="s">
        <v>11059</v>
      </c>
      <c r="O81" s="37" t="s">
        <v>11060</v>
      </c>
      <c r="P81" s="46" t="s">
        <v>11061</v>
      </c>
      <c r="Q81" s="46" t="s">
        <v>11062</v>
      </c>
      <c r="R81" s="16"/>
      <c r="S81" s="37"/>
      <c r="T81" s="64"/>
      <c r="U81" s="16"/>
      <c r="V81" s="37"/>
      <c r="W81" s="38"/>
      <c r="X81" s="38"/>
      <c r="Y81" s="38" t="s">
        <v>33</v>
      </c>
      <c r="Z81" s="39" t="s">
        <v>11063</v>
      </c>
      <c r="AA81" s="39" t="s">
        <v>11064</v>
      </c>
      <c r="AB81" s="38"/>
      <c r="AC81" s="384"/>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row>
    <row r="82">
      <c r="A82" s="37" t="s">
        <v>11065</v>
      </c>
      <c r="B82" s="322"/>
      <c r="C82" s="99">
        <v>42059.0</v>
      </c>
      <c r="D82" s="144"/>
      <c r="E82" s="37" t="s">
        <v>31</v>
      </c>
      <c r="F82" s="37">
        <v>1.0</v>
      </c>
      <c r="G82" s="37">
        <v>1.0</v>
      </c>
      <c r="H82" s="50">
        <v>1.0</v>
      </c>
      <c r="I82" s="37" t="s">
        <v>33</v>
      </c>
      <c r="J82" s="37" t="s">
        <v>1111</v>
      </c>
      <c r="K82" s="37"/>
      <c r="L82" s="38">
        <v>4633.0</v>
      </c>
      <c r="M82" s="37" t="s">
        <v>10609</v>
      </c>
      <c r="N82" s="37" t="s">
        <v>11046</v>
      </c>
      <c r="O82" s="37" t="s">
        <v>11066</v>
      </c>
      <c r="P82" s="46" t="s">
        <v>11067</v>
      </c>
      <c r="Q82" s="282"/>
      <c r="R82" s="16"/>
      <c r="S82" s="37"/>
      <c r="T82" s="64"/>
      <c r="U82" s="16"/>
      <c r="V82" s="37"/>
      <c r="W82" s="38"/>
      <c r="X82" s="38"/>
      <c r="Y82" s="38" t="s">
        <v>33</v>
      </c>
      <c r="Z82" s="39" t="s">
        <v>11068</v>
      </c>
      <c r="AA82" s="39" t="s">
        <v>11069</v>
      </c>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row>
    <row r="83">
      <c r="A83" s="37" t="s">
        <v>11070</v>
      </c>
      <c r="B83" s="322"/>
      <c r="C83" s="99">
        <v>42235.0</v>
      </c>
      <c r="D83" s="144"/>
      <c r="E83" s="37" t="s">
        <v>31</v>
      </c>
      <c r="F83" s="37">
        <v>1.0</v>
      </c>
      <c r="G83" s="37" t="s">
        <v>32</v>
      </c>
      <c r="H83" s="50">
        <v>1.0</v>
      </c>
      <c r="I83" s="37" t="s">
        <v>33</v>
      </c>
      <c r="J83" s="37" t="s">
        <v>402</v>
      </c>
      <c r="K83" s="37"/>
      <c r="L83" s="38">
        <v>4633.0</v>
      </c>
      <c r="M83" s="37" t="s">
        <v>10609</v>
      </c>
      <c r="N83" s="37" t="s">
        <v>11071</v>
      </c>
      <c r="O83" s="37" t="s">
        <v>11072</v>
      </c>
      <c r="P83" s="106" t="s">
        <v>11073</v>
      </c>
      <c r="Q83" s="282" t="s">
        <v>11074</v>
      </c>
      <c r="R83" s="16"/>
      <c r="S83" s="37"/>
      <c r="T83" s="64"/>
      <c r="U83" s="16"/>
      <c r="V83" s="37"/>
      <c r="W83" s="38"/>
      <c r="X83" s="38"/>
      <c r="Y83" s="38" t="s">
        <v>33</v>
      </c>
      <c r="Z83" s="39" t="s">
        <v>11075</v>
      </c>
      <c r="AA83" s="39" t="s">
        <v>11076</v>
      </c>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row>
    <row r="84">
      <c r="A84" s="87" t="s">
        <v>11077</v>
      </c>
      <c r="B84" s="322"/>
      <c r="C84" s="99">
        <v>42856.0</v>
      </c>
      <c r="D84" s="144"/>
      <c r="E84" s="37" t="s">
        <v>31</v>
      </c>
      <c r="F84" s="37">
        <v>1.0</v>
      </c>
      <c r="G84" s="37" t="s">
        <v>32</v>
      </c>
      <c r="H84" s="50">
        <v>1.0</v>
      </c>
      <c r="I84" s="37" t="s">
        <v>33</v>
      </c>
      <c r="J84" s="37" t="s">
        <v>93</v>
      </c>
      <c r="K84" s="37"/>
      <c r="L84" s="38">
        <v>4633.0</v>
      </c>
      <c r="M84" s="37" t="s">
        <v>10609</v>
      </c>
      <c r="N84" s="37" t="s">
        <v>11078</v>
      </c>
      <c r="O84" s="37" t="s">
        <v>11079</v>
      </c>
      <c r="P84" s="36" t="s">
        <v>11080</v>
      </c>
      <c r="Q84" s="36" t="s">
        <v>11081</v>
      </c>
      <c r="R84" s="16"/>
      <c r="S84" s="37"/>
      <c r="T84" s="37"/>
      <c r="U84" s="16"/>
      <c r="V84" s="37"/>
      <c r="W84" s="38"/>
      <c r="X84" s="38"/>
      <c r="Y84" s="38" t="s">
        <v>33</v>
      </c>
      <c r="Z84" s="39" t="s">
        <v>11082</v>
      </c>
      <c r="AA84" s="39" t="s">
        <v>11083</v>
      </c>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row>
    <row r="85">
      <c r="A85" s="289" t="s">
        <v>714</v>
      </c>
      <c r="B85" s="380"/>
      <c r="C85" s="145">
        <v>42874.0</v>
      </c>
      <c r="D85" s="146"/>
      <c r="E85" s="91" t="s">
        <v>31</v>
      </c>
      <c r="F85" s="91">
        <v>1.0</v>
      </c>
      <c r="G85" s="91" t="s">
        <v>32</v>
      </c>
      <c r="H85" s="328">
        <v>1.0</v>
      </c>
      <c r="I85" s="91" t="s">
        <v>33</v>
      </c>
      <c r="J85" s="91" t="s">
        <v>93</v>
      </c>
      <c r="K85" s="91"/>
      <c r="L85" s="96">
        <v>4633.0</v>
      </c>
      <c r="M85" s="91" t="s">
        <v>10609</v>
      </c>
      <c r="N85" s="91" t="s">
        <v>11084</v>
      </c>
      <c r="O85" s="91" t="s">
        <v>11085</v>
      </c>
      <c r="P85" s="36" t="s">
        <v>11086</v>
      </c>
      <c r="Q85" s="95" t="s">
        <v>11087</v>
      </c>
      <c r="R85" s="16"/>
      <c r="S85" s="91"/>
      <c r="T85" s="91"/>
      <c r="U85" s="16"/>
      <c r="V85" s="91"/>
      <c r="W85" s="96"/>
      <c r="X85" s="96"/>
      <c r="Y85" s="96" t="s">
        <v>33</v>
      </c>
      <c r="Z85" s="39" t="s">
        <v>11088</v>
      </c>
      <c r="AA85" s="39" t="s">
        <v>11089</v>
      </c>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row>
    <row r="86">
      <c r="A86" s="87" t="s">
        <v>11090</v>
      </c>
      <c r="B86" s="322"/>
      <c r="C86" s="99">
        <v>42917.0</v>
      </c>
      <c r="D86" s="144"/>
      <c r="E86" s="37" t="s">
        <v>31</v>
      </c>
      <c r="F86" s="37">
        <v>0.0</v>
      </c>
      <c r="G86" s="37" t="s">
        <v>32</v>
      </c>
      <c r="H86" s="50">
        <v>1.0</v>
      </c>
      <c r="I86" s="37" t="s">
        <v>33</v>
      </c>
      <c r="J86" s="37" t="s">
        <v>318</v>
      </c>
      <c r="K86" s="37"/>
      <c r="L86" s="38">
        <v>4633.0</v>
      </c>
      <c r="M86" s="37" t="s">
        <v>10609</v>
      </c>
      <c r="N86" s="37" t="s">
        <v>11091</v>
      </c>
      <c r="O86" s="37" t="s">
        <v>11092</v>
      </c>
      <c r="P86" s="36" t="s">
        <v>11093</v>
      </c>
      <c r="Q86" s="36" t="s">
        <v>11094</v>
      </c>
      <c r="R86" s="16"/>
      <c r="S86" s="37"/>
      <c r="T86" s="37"/>
      <c r="U86" s="37">
        <v>1.0</v>
      </c>
      <c r="V86" s="37"/>
      <c r="W86" s="38"/>
      <c r="X86" s="38"/>
      <c r="Y86" s="38" t="s">
        <v>33</v>
      </c>
      <c r="Z86" s="39" t="s">
        <v>11095</v>
      </c>
      <c r="AA86" s="39" t="s">
        <v>11096</v>
      </c>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row>
    <row r="87">
      <c r="A87" s="87" t="s">
        <v>1027</v>
      </c>
      <c r="B87" s="322"/>
      <c r="C87" s="99">
        <v>42941.0</v>
      </c>
      <c r="D87" s="144"/>
      <c r="E87" s="37" t="s">
        <v>31</v>
      </c>
      <c r="F87" s="37">
        <v>1.0</v>
      </c>
      <c r="G87" s="37" t="s">
        <v>32</v>
      </c>
      <c r="H87" s="50">
        <v>1.0</v>
      </c>
      <c r="I87" s="37" t="s">
        <v>33</v>
      </c>
      <c r="J87" s="37" t="s">
        <v>111</v>
      </c>
      <c r="K87" s="37"/>
      <c r="L87" s="38">
        <v>4633.0</v>
      </c>
      <c r="M87" s="37" t="s">
        <v>10609</v>
      </c>
      <c r="N87" s="37" t="s">
        <v>11097</v>
      </c>
      <c r="O87" s="37" t="s">
        <v>11098</v>
      </c>
      <c r="P87" s="36" t="s">
        <v>11099</v>
      </c>
      <c r="Q87" s="36" t="s">
        <v>1031</v>
      </c>
      <c r="R87" s="16"/>
      <c r="S87" s="37"/>
      <c r="T87" s="37">
        <v>1.0</v>
      </c>
      <c r="U87" s="16"/>
      <c r="V87" s="37"/>
      <c r="W87" s="38"/>
      <c r="X87" s="38"/>
      <c r="Y87" s="38" t="s">
        <v>33</v>
      </c>
      <c r="Z87" s="39" t="s">
        <v>1032</v>
      </c>
      <c r="AA87" s="39" t="s">
        <v>1033</v>
      </c>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row>
    <row r="88">
      <c r="A88" s="87" t="s">
        <v>11100</v>
      </c>
      <c r="B88" s="322"/>
      <c r="C88" s="99">
        <v>43040.0</v>
      </c>
      <c r="D88" s="144"/>
      <c r="E88" s="37" t="s">
        <v>31</v>
      </c>
      <c r="F88" s="37" t="s">
        <v>1369</v>
      </c>
      <c r="G88" s="37" t="s">
        <v>32</v>
      </c>
      <c r="H88" s="50">
        <v>0.0</v>
      </c>
      <c r="I88" s="37" t="s">
        <v>33</v>
      </c>
      <c r="J88" s="37" t="s">
        <v>111</v>
      </c>
      <c r="K88" s="37"/>
      <c r="L88" s="38">
        <v>4633.0</v>
      </c>
      <c r="M88" s="37" t="s">
        <v>10609</v>
      </c>
      <c r="N88" s="37" t="s">
        <v>11101</v>
      </c>
      <c r="O88" s="37" t="s">
        <v>11102</v>
      </c>
      <c r="P88" s="46" t="s">
        <v>11103</v>
      </c>
      <c r="Q88" s="282" t="s">
        <v>11104</v>
      </c>
      <c r="R88" s="16"/>
      <c r="S88" s="37"/>
      <c r="T88" s="64"/>
      <c r="U88" s="16"/>
      <c r="V88" s="37"/>
      <c r="W88" s="38"/>
      <c r="X88" s="38"/>
      <c r="Y88" s="38" t="s">
        <v>33</v>
      </c>
      <c r="Z88" s="411" t="s">
        <v>11105</v>
      </c>
      <c r="AA88" s="410" t="s">
        <v>11106</v>
      </c>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row>
    <row r="89">
      <c r="A89" s="87" t="s">
        <v>11107</v>
      </c>
      <c r="B89" s="322"/>
      <c r="C89" s="99">
        <v>43245.0</v>
      </c>
      <c r="D89" s="144"/>
      <c r="E89" s="37" t="s">
        <v>31</v>
      </c>
      <c r="F89" s="37">
        <v>1.0</v>
      </c>
      <c r="G89" s="37" t="s">
        <v>32</v>
      </c>
      <c r="H89" s="50">
        <v>18.0</v>
      </c>
      <c r="I89" s="37" t="s">
        <v>33</v>
      </c>
      <c r="J89" s="37" t="s">
        <v>93</v>
      </c>
      <c r="K89" s="37"/>
      <c r="L89" s="38">
        <v>4633.0</v>
      </c>
      <c r="M89" s="37" t="s">
        <v>10609</v>
      </c>
      <c r="N89" s="37" t="s">
        <v>11108</v>
      </c>
      <c r="O89" s="37" t="s">
        <v>11109</v>
      </c>
      <c r="P89" s="294" t="s">
        <v>11110</v>
      </c>
      <c r="Q89" s="106" t="s">
        <v>11111</v>
      </c>
      <c r="R89" s="16"/>
      <c r="S89" s="37"/>
      <c r="T89" s="64"/>
      <c r="U89" s="64">
        <v>1.0</v>
      </c>
      <c r="V89" s="37"/>
      <c r="W89" s="38"/>
      <c r="X89" s="38"/>
      <c r="Y89" s="38" t="s">
        <v>33</v>
      </c>
      <c r="Z89" s="411" t="s">
        <v>11112</v>
      </c>
      <c r="AA89" s="410" t="s">
        <v>11113</v>
      </c>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row>
    <row r="90">
      <c r="A90" s="87" t="s">
        <v>11114</v>
      </c>
      <c r="B90" s="322"/>
      <c r="C90" s="99">
        <v>43313.0</v>
      </c>
      <c r="D90" s="144"/>
      <c r="E90" s="37" t="s">
        <v>31</v>
      </c>
      <c r="F90" s="37" t="s">
        <v>41</v>
      </c>
      <c r="G90" s="37">
        <v>0.0</v>
      </c>
      <c r="H90" s="50">
        <v>0.0</v>
      </c>
      <c r="I90" s="37" t="s">
        <v>33</v>
      </c>
      <c r="J90" s="37" t="s">
        <v>111</v>
      </c>
      <c r="K90" s="37"/>
      <c r="L90" s="38">
        <v>4633.0</v>
      </c>
      <c r="M90" s="37" t="s">
        <v>10609</v>
      </c>
      <c r="N90" s="37" t="s">
        <v>11115</v>
      </c>
      <c r="O90" s="37" t="s">
        <v>11116</v>
      </c>
      <c r="P90" s="294" t="s">
        <v>11117</v>
      </c>
      <c r="Q90" s="106" t="s">
        <v>11118</v>
      </c>
      <c r="R90" s="16"/>
      <c r="S90" s="37"/>
      <c r="T90" s="64"/>
      <c r="U90" s="16"/>
      <c r="V90" s="37"/>
      <c r="W90" s="38"/>
      <c r="X90" s="38"/>
      <c r="Y90" s="38" t="s">
        <v>11119</v>
      </c>
      <c r="Z90" s="411" t="s">
        <v>11120</v>
      </c>
      <c r="AA90" s="297" t="s">
        <v>11121</v>
      </c>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row>
    <row r="91">
      <c r="A91" s="87" t="s">
        <v>7092</v>
      </c>
      <c r="B91" s="322"/>
      <c r="C91" s="99">
        <v>43652.0</v>
      </c>
      <c r="D91" s="144"/>
      <c r="E91" s="37" t="s">
        <v>31</v>
      </c>
      <c r="F91" s="37">
        <v>1.0</v>
      </c>
      <c r="G91" s="37" t="s">
        <v>32</v>
      </c>
      <c r="H91" s="50"/>
      <c r="I91" s="37" t="s">
        <v>33</v>
      </c>
      <c r="J91" s="37" t="s">
        <v>93</v>
      </c>
      <c r="K91" s="37"/>
      <c r="L91" s="38">
        <v>4633.0</v>
      </c>
      <c r="M91" s="37" t="s">
        <v>10609</v>
      </c>
      <c r="N91" s="37" t="s">
        <v>11122</v>
      </c>
      <c r="O91" s="37" t="s">
        <v>11123</v>
      </c>
      <c r="P91" s="294" t="s">
        <v>7094</v>
      </c>
      <c r="Q91" s="106" t="s">
        <v>11124</v>
      </c>
      <c r="R91" s="16"/>
      <c r="S91" s="37"/>
      <c r="T91" s="64">
        <v>1.0</v>
      </c>
      <c r="U91" s="64">
        <v>1.0</v>
      </c>
      <c r="V91" s="37"/>
      <c r="W91" s="38"/>
      <c r="X91" s="38"/>
      <c r="Y91" s="38" t="s">
        <v>33</v>
      </c>
      <c r="Z91" s="413" t="s">
        <v>11125</v>
      </c>
      <c r="AA91" s="414" t="s">
        <v>11126</v>
      </c>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row>
    <row r="92">
      <c r="A92" s="87"/>
      <c r="B92" s="92"/>
      <c r="C92" s="30"/>
      <c r="D92" s="92"/>
      <c r="E92" s="13"/>
      <c r="F92" s="13"/>
      <c r="G92" s="13"/>
      <c r="H92" s="50"/>
      <c r="I92" s="13"/>
      <c r="J92" s="13"/>
      <c r="K92" s="92"/>
      <c r="L92" s="313"/>
      <c r="M92" s="34"/>
      <c r="N92" s="34"/>
      <c r="O92" s="34"/>
      <c r="P92" s="106"/>
      <c r="Q92" s="106"/>
      <c r="R92" s="145"/>
      <c r="S92" s="145"/>
      <c r="T92" s="37"/>
      <c r="U92" s="145"/>
      <c r="V92" s="145"/>
      <c r="W92" s="313"/>
      <c r="X92" s="38"/>
      <c r="Y92" s="38"/>
      <c r="Z92" s="40"/>
      <c r="AA92" s="40"/>
      <c r="AB92" s="349"/>
      <c r="AC92" s="313"/>
      <c r="AD92" s="313"/>
      <c r="AE92" s="313"/>
      <c r="AF92" s="313"/>
      <c r="AG92" s="313"/>
      <c r="AH92" s="313"/>
      <c r="AI92" s="313"/>
      <c r="AJ92" s="313"/>
      <c r="AK92" s="313"/>
      <c r="AL92" s="313"/>
      <c r="AM92" s="313"/>
      <c r="AN92" s="313"/>
      <c r="AO92" s="313"/>
      <c r="AP92" s="313"/>
      <c r="AQ92" s="313"/>
      <c r="AR92" s="313"/>
      <c r="AS92" s="313"/>
      <c r="AT92" s="313"/>
      <c r="AU92" s="313"/>
      <c r="AV92" s="313"/>
      <c r="AW92" s="313"/>
      <c r="AX92" s="313"/>
      <c r="AY92" s="313"/>
      <c r="AZ92" s="313"/>
      <c r="BA92" s="313"/>
      <c r="BB92" s="313"/>
      <c r="BC92" s="313"/>
      <c r="BD92" s="313"/>
      <c r="BE92" s="313"/>
      <c r="BF92" s="313"/>
      <c r="BG92" s="313"/>
    </row>
    <row r="93">
      <c r="A93" s="37"/>
      <c r="B93" s="318"/>
      <c r="C93" s="318"/>
      <c r="D93" s="144"/>
      <c r="E93" s="37"/>
      <c r="F93" s="37"/>
      <c r="G93" s="37"/>
      <c r="H93" s="33" t="str">
        <f t="shared" ref="H93:H2595" si="1">if(G93="Unknown",1,G93)</f>
        <v/>
      </c>
      <c r="I93" s="37"/>
      <c r="J93" s="37"/>
      <c r="K93" s="37"/>
      <c r="L93" s="38"/>
      <c r="M93" s="37"/>
      <c r="N93" s="37"/>
      <c r="O93" s="37"/>
      <c r="P93" s="14"/>
      <c r="Q93" s="15"/>
      <c r="R93" s="16"/>
      <c r="S93" s="37"/>
      <c r="T93" s="64"/>
      <c r="U93" s="16"/>
      <c r="V93" s="37" t="str">
        <f>IFERROR(__xludf.DUMMYFUNCTION("if(not(iserror(index(split(C93, "" ""),2))), index(split(C93, "" ""),1),"""")"),"")</f>
        <v/>
      </c>
      <c r="W93" s="38" t="str">
        <f>IFERROR(__xludf.DUMMYFUNCTION("if(V93="""",C93,if(not(iserror(index(split(C93, "" ""),3))), index(split(C93, "" ""),3),index(split(C93, "" ""),2)))"),"")</f>
        <v/>
      </c>
      <c r="X93" s="38" t="b">
        <f t="shared" ref="X93:X2596" si="2">countif(A$76:A2596, A93)&gt;1</f>
        <v>0</v>
      </c>
      <c r="Y93" s="38"/>
      <c r="Z93" s="40"/>
      <c r="AA93" s="40"/>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row>
    <row r="94">
      <c r="A94" s="37"/>
      <c r="B94" s="322"/>
      <c r="C94" s="318" t="s">
        <v>9345</v>
      </c>
      <c r="D94" s="144"/>
      <c r="E94" s="37"/>
      <c r="F94" s="318">
        <f>sum(F62:F93)</f>
        <v>24</v>
      </c>
      <c r="G94" s="318">
        <f>sum(H62:H93)</f>
        <v>44</v>
      </c>
      <c r="H94" s="33">
        <f t="shared" si="1"/>
        <v>44</v>
      </c>
      <c r="I94" s="37"/>
      <c r="J94" s="37"/>
      <c r="K94" s="37"/>
      <c r="L94" s="38"/>
      <c r="M94" s="37"/>
      <c r="N94" s="37"/>
      <c r="O94" s="37"/>
      <c r="P94" s="14"/>
      <c r="Q94" s="15"/>
      <c r="R94" s="16"/>
      <c r="S94" s="37"/>
      <c r="T94" s="64"/>
      <c r="U94" s="16"/>
      <c r="V94" s="37" t="str">
        <f>IFERROR(__xludf.DUMMYFUNCTION("if(not(iserror(index(split(C94, "" ""),2))), index(split(C94, "" ""),1),"""")"),"")</f>
        <v/>
      </c>
      <c r="W94" s="38" t="str">
        <f>IFERROR(__xludf.DUMMYFUNCTION("if(V94="""",C94,if(not(iserror(index(split(C94, "" ""),3))), index(split(C94, "" ""),3),index(split(C94, "" ""),2)))"),"Totals")</f>
        <v>Totals</v>
      </c>
      <c r="X94" s="38" t="b">
        <f t="shared" si="2"/>
        <v>0</v>
      </c>
      <c r="Y94" s="38"/>
      <c r="Z94" s="40"/>
      <c r="AA94" s="40"/>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row>
    <row r="95">
      <c r="A95" s="37"/>
      <c r="B95" s="322"/>
      <c r="C95" s="144"/>
      <c r="D95" s="144"/>
      <c r="E95" s="37"/>
      <c r="F95" s="37"/>
      <c r="G95" s="37"/>
      <c r="H95" s="33" t="str">
        <f t="shared" si="1"/>
        <v/>
      </c>
      <c r="I95" s="37"/>
      <c r="J95" s="37"/>
      <c r="K95" s="37"/>
      <c r="L95" s="38"/>
      <c r="M95" s="37"/>
      <c r="N95" s="37"/>
      <c r="O95" s="37"/>
      <c r="P95" s="14"/>
      <c r="Q95" s="15"/>
      <c r="R95" s="16"/>
      <c r="S95" s="16"/>
      <c r="T95" s="16"/>
      <c r="U95" s="16"/>
      <c r="V95" s="37" t="str">
        <f>IFERROR(__xludf.DUMMYFUNCTION("if(not(iserror(index(split(C95, "" ""),2))), index(split(C95, "" ""),1),"""")"),"")</f>
        <v/>
      </c>
      <c r="W95" s="315" t="str">
        <f>IFERROR(__xludf.DUMMYFUNCTION("if(V95="""",C95,if(not(iserror(index(split(C95, "" ""),3))), index(split(C95, "" ""),3),index(split(C95, "" ""),2)))"),"")</f>
        <v/>
      </c>
      <c r="X95" s="38" t="b">
        <f t="shared" si="2"/>
        <v>0</v>
      </c>
      <c r="Y95" s="38"/>
      <c r="Z95" s="40"/>
      <c r="AA95" s="40"/>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row>
    <row r="96">
      <c r="A96" s="37"/>
      <c r="B96" s="322"/>
      <c r="C96" s="144"/>
      <c r="D96" s="144"/>
      <c r="E96" s="37"/>
      <c r="F96" s="37"/>
      <c r="G96" s="37"/>
      <c r="H96" s="33" t="str">
        <f t="shared" si="1"/>
        <v/>
      </c>
      <c r="I96" s="37"/>
      <c r="J96" s="37"/>
      <c r="K96" s="37"/>
      <c r="L96" s="38"/>
      <c r="M96" s="37"/>
      <c r="N96" s="37"/>
      <c r="O96" s="37"/>
      <c r="P96" s="14"/>
      <c r="Q96" s="15"/>
      <c r="R96" s="16"/>
      <c r="S96" s="16"/>
      <c r="T96" s="16"/>
      <c r="U96" s="16"/>
      <c r="V96" s="37" t="str">
        <f>IFERROR(__xludf.DUMMYFUNCTION("if(not(iserror(index(split(C96, "" ""),2))), index(split(C96, "" ""),1),"""")"),"")</f>
        <v/>
      </c>
      <c r="W96" s="315" t="str">
        <f>IFERROR(__xludf.DUMMYFUNCTION("if(V96="""",C96,if(not(iserror(index(split(C96, "" ""),3))), index(split(C96, "" ""),3),index(split(C96, "" ""),2)))"),"")</f>
        <v/>
      </c>
      <c r="X96" s="38" t="b">
        <f t="shared" si="2"/>
        <v>0</v>
      </c>
      <c r="Y96" s="38"/>
      <c r="Z96" s="40"/>
      <c r="AA96" s="40"/>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row>
    <row r="97">
      <c r="A97" s="37"/>
      <c r="B97" s="322"/>
      <c r="C97" s="144"/>
      <c r="D97" s="144"/>
      <c r="E97" s="37"/>
      <c r="F97" s="37"/>
      <c r="G97" s="37"/>
      <c r="H97" s="33" t="str">
        <f t="shared" si="1"/>
        <v/>
      </c>
      <c r="I97" s="37"/>
      <c r="J97" s="37"/>
      <c r="K97" s="37"/>
      <c r="L97" s="38"/>
      <c r="M97" s="37"/>
      <c r="N97" s="37"/>
      <c r="O97" s="37"/>
      <c r="P97" s="14"/>
      <c r="Q97" s="15"/>
      <c r="R97" s="16"/>
      <c r="S97" s="16"/>
      <c r="T97" s="16"/>
      <c r="U97" s="16"/>
      <c r="V97" s="37" t="str">
        <f>IFERROR(__xludf.DUMMYFUNCTION("if(not(iserror(index(split(C97, "" ""),2))), index(split(C97, "" ""),1),"""")"),"")</f>
        <v/>
      </c>
      <c r="W97" s="315" t="str">
        <f>IFERROR(__xludf.DUMMYFUNCTION("if(V97="""",C97,if(not(iserror(index(split(C97, "" ""),3))), index(split(C97, "" ""),3),index(split(C97, "" ""),2)))"),"")</f>
        <v/>
      </c>
      <c r="X97" s="38" t="b">
        <f t="shared" si="2"/>
        <v>0</v>
      </c>
      <c r="Y97" s="38"/>
      <c r="Z97" s="40"/>
      <c r="AA97" s="40"/>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row>
    <row r="98">
      <c r="A98" s="37"/>
      <c r="B98" s="322"/>
      <c r="C98" s="144"/>
      <c r="D98" s="144"/>
      <c r="E98" s="37"/>
      <c r="F98" s="37"/>
      <c r="G98" s="37"/>
      <c r="H98" s="33" t="str">
        <f t="shared" si="1"/>
        <v/>
      </c>
      <c r="I98" s="37"/>
      <c r="J98" s="37"/>
      <c r="K98" s="37"/>
      <c r="L98" s="38"/>
      <c r="M98" s="37"/>
      <c r="N98" s="37"/>
      <c r="O98" s="37"/>
      <c r="P98" s="14"/>
      <c r="Q98" s="15"/>
      <c r="R98" s="16"/>
      <c r="S98" s="16"/>
      <c r="T98" s="16"/>
      <c r="U98" s="16"/>
      <c r="V98" s="37" t="str">
        <f>IFERROR(__xludf.DUMMYFUNCTION("if(not(iserror(index(split(C98, "" ""),2))), index(split(C98, "" ""),1),"""")"),"")</f>
        <v/>
      </c>
      <c r="W98" s="315" t="str">
        <f>IFERROR(__xludf.DUMMYFUNCTION("if(V98="""",C98,if(not(iserror(index(split(C98, "" ""),3))), index(split(C98, "" ""),3),index(split(C98, "" ""),2)))"),"")</f>
        <v/>
      </c>
      <c r="X98" s="38" t="b">
        <f t="shared" si="2"/>
        <v>0</v>
      </c>
      <c r="Y98" s="38"/>
      <c r="Z98" s="40"/>
      <c r="AA98" s="40"/>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row>
    <row r="99">
      <c r="A99" s="37"/>
      <c r="B99" s="159"/>
      <c r="C99" s="144"/>
      <c r="D99" s="144"/>
      <c r="E99" s="37"/>
      <c r="F99" s="37"/>
      <c r="G99" s="37"/>
      <c r="H99" s="33" t="str">
        <f t="shared" si="1"/>
        <v/>
      </c>
      <c r="I99" s="37"/>
      <c r="J99" s="37"/>
      <c r="K99" s="37"/>
      <c r="L99" s="38"/>
      <c r="M99" s="37"/>
      <c r="N99" s="37"/>
      <c r="O99" s="37"/>
      <c r="P99" s="14"/>
      <c r="Q99" s="15"/>
      <c r="R99" s="16"/>
      <c r="S99" s="16"/>
      <c r="T99" s="16"/>
      <c r="U99" s="16"/>
      <c r="V99" s="37" t="str">
        <f>IFERROR(__xludf.DUMMYFUNCTION("if(not(iserror(index(split(C99, "" ""),2))), index(split(C99, "" ""),1),"""")"),"")</f>
        <v/>
      </c>
      <c r="W99" s="315" t="str">
        <f>IFERROR(__xludf.DUMMYFUNCTION("if(V99="""",C99,if(not(iserror(index(split(C99, "" ""),3))), index(split(C99, "" ""),3),index(split(C99, "" ""),2)))"),"")</f>
        <v/>
      </c>
      <c r="X99" s="38" t="b">
        <f t="shared" si="2"/>
        <v>0</v>
      </c>
      <c r="Y99" s="38"/>
      <c r="Z99" s="40"/>
      <c r="AA99" s="40"/>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row>
    <row r="100">
      <c r="A100" s="37"/>
      <c r="B100" s="322"/>
      <c r="C100" s="144"/>
      <c r="D100" s="144"/>
      <c r="E100" s="37"/>
      <c r="F100" s="37"/>
      <c r="G100" s="37"/>
      <c r="H100" s="33" t="str">
        <f t="shared" si="1"/>
        <v/>
      </c>
      <c r="I100" s="37"/>
      <c r="J100" s="37"/>
      <c r="K100" s="37"/>
      <c r="L100" s="38"/>
      <c r="M100" s="37"/>
      <c r="N100" s="37"/>
      <c r="O100" s="37"/>
      <c r="P100" s="14"/>
      <c r="Q100" s="15"/>
      <c r="R100" s="16"/>
      <c r="S100" s="16"/>
      <c r="T100" s="16"/>
      <c r="U100" s="16"/>
      <c r="V100" s="37" t="str">
        <f>IFERROR(__xludf.DUMMYFUNCTION("if(not(iserror(index(split(C100, "" ""),2))), index(split(C100, "" ""),1),"""")"),"")</f>
        <v/>
      </c>
      <c r="W100" s="315" t="str">
        <f>IFERROR(__xludf.DUMMYFUNCTION("if(V100="""",C100,if(not(iserror(index(split(C100, "" ""),3))), index(split(C100, "" ""),3),index(split(C100, "" ""),2)))"),"")</f>
        <v/>
      </c>
      <c r="X100" s="38" t="b">
        <f t="shared" si="2"/>
        <v>0</v>
      </c>
      <c r="Y100" s="38"/>
      <c r="Z100" s="40"/>
      <c r="AA100" s="40"/>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row>
    <row r="101">
      <c r="A101" s="37"/>
      <c r="B101" s="322"/>
      <c r="C101" s="144"/>
      <c r="D101" s="144"/>
      <c r="E101" s="37"/>
      <c r="F101" s="37"/>
      <c r="G101" s="37"/>
      <c r="H101" s="33" t="str">
        <f t="shared" si="1"/>
        <v/>
      </c>
      <c r="I101" s="37"/>
      <c r="J101" s="37"/>
      <c r="K101" s="37"/>
      <c r="L101" s="38"/>
      <c r="M101" s="37"/>
      <c r="N101" s="37"/>
      <c r="O101" s="37"/>
      <c r="P101" s="14"/>
      <c r="Q101" s="15"/>
      <c r="R101" s="16"/>
      <c r="S101" s="16"/>
      <c r="T101" s="16"/>
      <c r="U101" s="16"/>
      <c r="V101" s="37" t="str">
        <f>IFERROR(__xludf.DUMMYFUNCTION("if(not(iserror(index(split(C101, "" ""),2))), index(split(C101, "" ""),1),"""")"),"")</f>
        <v/>
      </c>
      <c r="W101" s="315" t="str">
        <f>IFERROR(__xludf.DUMMYFUNCTION("if(V101="""",C101,if(not(iserror(index(split(C101, "" ""),3))), index(split(C101, "" ""),3),index(split(C101, "" ""),2)))"),"")</f>
        <v/>
      </c>
      <c r="X101" s="38" t="b">
        <f t="shared" si="2"/>
        <v>0</v>
      </c>
      <c r="Y101" s="38"/>
      <c r="Z101" s="40"/>
      <c r="AA101" s="40"/>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row>
    <row r="102">
      <c r="A102" s="37"/>
      <c r="B102" s="159"/>
      <c r="C102" s="144"/>
      <c r="D102" s="144"/>
      <c r="E102" s="37"/>
      <c r="F102" s="37"/>
      <c r="G102" s="37"/>
      <c r="H102" s="33" t="str">
        <f t="shared" si="1"/>
        <v/>
      </c>
      <c r="I102" s="37"/>
      <c r="J102" s="37"/>
      <c r="K102" s="37"/>
      <c r="L102" s="38"/>
      <c r="M102" s="37"/>
      <c r="N102" s="37"/>
      <c r="O102" s="37"/>
      <c r="P102" s="14"/>
      <c r="Q102" s="15"/>
      <c r="R102" s="16"/>
      <c r="S102" s="16"/>
      <c r="T102" s="16"/>
      <c r="U102" s="16"/>
      <c r="V102" s="37" t="str">
        <f>IFERROR(__xludf.DUMMYFUNCTION("if(not(iserror(index(split(C102, "" ""),2))), index(split(C102, "" ""),1),"""")"),"")</f>
        <v/>
      </c>
      <c r="W102" s="315" t="str">
        <f>IFERROR(__xludf.DUMMYFUNCTION("if(V102="""",C102,if(not(iserror(index(split(C102, "" ""),3))), index(split(C102, "" ""),3),index(split(C102, "" ""),2)))"),"")</f>
        <v/>
      </c>
      <c r="X102" s="38" t="b">
        <f t="shared" si="2"/>
        <v>0</v>
      </c>
      <c r="Y102" s="38"/>
      <c r="Z102" s="40"/>
      <c r="AA102" s="40"/>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row>
    <row r="103">
      <c r="A103" s="37"/>
      <c r="B103" s="159"/>
      <c r="C103" s="144"/>
      <c r="D103" s="144"/>
      <c r="E103" s="37"/>
      <c r="F103" s="37"/>
      <c r="G103" s="37"/>
      <c r="H103" s="33" t="str">
        <f t="shared" si="1"/>
        <v/>
      </c>
      <c r="I103" s="37"/>
      <c r="J103" s="37"/>
      <c r="K103" s="37"/>
      <c r="L103" s="38"/>
      <c r="M103" s="37"/>
      <c r="N103" s="37"/>
      <c r="O103" s="37"/>
      <c r="P103" s="14"/>
      <c r="Q103" s="14"/>
      <c r="R103" s="16"/>
      <c r="S103" s="16"/>
      <c r="T103" s="16"/>
      <c r="U103" s="16"/>
      <c r="V103" s="37" t="str">
        <f>IFERROR(__xludf.DUMMYFUNCTION("if(not(iserror(index(split(C103, "" ""),2))), index(split(C103, "" ""),1),"""")"),"")</f>
        <v/>
      </c>
      <c r="W103" s="315" t="str">
        <f>IFERROR(__xludf.DUMMYFUNCTION("if(V103="""",C103,if(not(iserror(index(split(C103, "" ""),3))), index(split(C103, "" ""),3),index(split(C103, "" ""),2)))"),"")</f>
        <v/>
      </c>
      <c r="X103" s="38" t="b">
        <f t="shared" si="2"/>
        <v>0</v>
      </c>
      <c r="Y103" s="38"/>
      <c r="Z103" s="40"/>
      <c r="AA103" s="40"/>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row>
    <row r="104">
      <c r="A104" s="37"/>
      <c r="B104" s="159"/>
      <c r="C104" s="144"/>
      <c r="D104" s="144"/>
      <c r="E104" s="37"/>
      <c r="F104" s="37"/>
      <c r="G104" s="37"/>
      <c r="H104" s="33" t="str">
        <f t="shared" si="1"/>
        <v/>
      </c>
      <c r="I104" s="37"/>
      <c r="J104" s="37"/>
      <c r="K104" s="37"/>
      <c r="L104" s="38"/>
      <c r="M104" s="37"/>
      <c r="N104" s="37"/>
      <c r="O104" s="37"/>
      <c r="P104" s="14"/>
      <c r="Q104" s="14"/>
      <c r="R104" s="16"/>
      <c r="S104" s="16"/>
      <c r="T104" s="16"/>
      <c r="U104" s="16"/>
      <c r="V104" s="37" t="str">
        <f>IFERROR(__xludf.DUMMYFUNCTION("if(not(iserror(index(split(C104, "" ""),2))), index(split(C104, "" ""),1),"""")"),"")</f>
        <v/>
      </c>
      <c r="W104" s="315" t="str">
        <f>IFERROR(__xludf.DUMMYFUNCTION("if(V104="""",C104,if(not(iserror(index(split(C104, "" ""),3))), index(split(C104, "" ""),3),index(split(C104, "" ""),2)))"),"")</f>
        <v/>
      </c>
      <c r="X104" s="38" t="b">
        <f t="shared" si="2"/>
        <v>0</v>
      </c>
      <c r="Y104" s="38"/>
      <c r="Z104" s="40"/>
      <c r="AA104" s="40"/>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row>
    <row r="105">
      <c r="A105" s="37"/>
      <c r="B105" s="159"/>
      <c r="C105" s="144"/>
      <c r="D105" s="144"/>
      <c r="E105" s="37"/>
      <c r="F105" s="37"/>
      <c r="G105" s="37"/>
      <c r="H105" s="33" t="str">
        <f t="shared" si="1"/>
        <v/>
      </c>
      <c r="I105" s="37"/>
      <c r="J105" s="37"/>
      <c r="K105" s="37"/>
      <c r="L105" s="38"/>
      <c r="M105" s="37"/>
      <c r="N105" s="37"/>
      <c r="O105" s="37"/>
      <c r="P105" s="14"/>
      <c r="Q105" s="15"/>
      <c r="R105" s="16"/>
      <c r="S105" s="16"/>
      <c r="T105" s="16"/>
      <c r="U105" s="16"/>
      <c r="V105" s="37" t="str">
        <f>IFERROR(__xludf.DUMMYFUNCTION("if(not(iserror(index(split(C105, "" ""),2))), index(split(C105, "" ""),1),"""")"),"")</f>
        <v/>
      </c>
      <c r="W105" s="315" t="str">
        <f>IFERROR(__xludf.DUMMYFUNCTION("if(V105="""",C105,if(not(iserror(index(split(C105, "" ""),3))), index(split(C105, "" ""),3),index(split(C105, "" ""),2)))"),"")</f>
        <v/>
      </c>
      <c r="X105" s="38" t="b">
        <f t="shared" si="2"/>
        <v>0</v>
      </c>
      <c r="Y105" s="38"/>
      <c r="Z105" s="40"/>
      <c r="AA105" s="40"/>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row>
    <row r="106">
      <c r="A106" s="37"/>
      <c r="B106" s="159"/>
      <c r="C106" s="144"/>
      <c r="D106" s="144"/>
      <c r="E106" s="37"/>
      <c r="F106" s="37"/>
      <c r="G106" s="37"/>
      <c r="H106" s="33" t="str">
        <f t="shared" si="1"/>
        <v/>
      </c>
      <c r="I106" s="37"/>
      <c r="J106" s="37"/>
      <c r="K106" s="37"/>
      <c r="L106" s="38"/>
      <c r="M106" s="37"/>
      <c r="N106" s="37"/>
      <c r="O106" s="37"/>
      <c r="P106" s="14"/>
      <c r="Q106" s="15"/>
      <c r="R106" s="16"/>
      <c r="S106" s="16"/>
      <c r="T106" s="16"/>
      <c r="U106" s="16"/>
      <c r="V106" s="37" t="str">
        <f>IFERROR(__xludf.DUMMYFUNCTION("if(not(iserror(index(split(C106, "" ""),2))), index(split(C106, "" ""),1),"""")"),"")</f>
        <v/>
      </c>
      <c r="W106" s="315" t="str">
        <f>IFERROR(__xludf.DUMMYFUNCTION("if(V106="""",C106,if(not(iserror(index(split(C106, "" ""),3))), index(split(C106, "" ""),3),index(split(C106, "" ""),2)))"),"")</f>
        <v/>
      </c>
      <c r="X106" s="38" t="b">
        <f t="shared" si="2"/>
        <v>0</v>
      </c>
      <c r="Y106" s="38"/>
      <c r="Z106" s="40"/>
      <c r="AA106" s="40"/>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row>
    <row r="107">
      <c r="A107" s="37"/>
      <c r="B107" s="159"/>
      <c r="C107" s="144"/>
      <c r="D107" s="144"/>
      <c r="E107" s="37"/>
      <c r="F107" s="37"/>
      <c r="G107" s="37"/>
      <c r="H107" s="33" t="str">
        <f t="shared" si="1"/>
        <v/>
      </c>
      <c r="I107" s="37"/>
      <c r="J107" s="37"/>
      <c r="K107" s="37"/>
      <c r="L107" s="38"/>
      <c r="M107" s="37"/>
      <c r="N107" s="37"/>
      <c r="O107" s="37"/>
      <c r="P107" s="14"/>
      <c r="Q107" s="15"/>
      <c r="R107" s="16"/>
      <c r="S107" s="16"/>
      <c r="T107" s="16"/>
      <c r="U107" s="16"/>
      <c r="V107" s="37" t="str">
        <f>IFERROR(__xludf.DUMMYFUNCTION("if(not(iserror(index(split(C107, "" ""),2))), index(split(C107, "" ""),1),"""")"),"")</f>
        <v/>
      </c>
      <c r="W107" s="315" t="str">
        <f>IFERROR(__xludf.DUMMYFUNCTION("if(V107="""",C107,if(not(iserror(index(split(C107, "" ""),3))), index(split(C107, "" ""),3),index(split(C107, "" ""),2)))"),"")</f>
        <v/>
      </c>
      <c r="X107" s="38" t="b">
        <f t="shared" si="2"/>
        <v>0</v>
      </c>
      <c r="Y107" s="38"/>
      <c r="Z107" s="40"/>
      <c r="AA107" s="40"/>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row>
    <row r="108">
      <c r="A108" s="37"/>
      <c r="B108" s="159"/>
      <c r="C108" s="144"/>
      <c r="D108" s="144"/>
      <c r="E108" s="37"/>
      <c r="F108" s="37"/>
      <c r="G108" s="37"/>
      <c r="H108" s="33" t="str">
        <f t="shared" si="1"/>
        <v/>
      </c>
      <c r="I108" s="37"/>
      <c r="J108" s="37"/>
      <c r="K108" s="37"/>
      <c r="L108" s="38"/>
      <c r="M108" s="58"/>
      <c r="N108" s="58"/>
      <c r="O108" s="58"/>
      <c r="P108" s="14"/>
      <c r="Q108" s="14"/>
      <c r="R108" s="16"/>
      <c r="S108" s="16"/>
      <c r="T108" s="16"/>
      <c r="U108" s="16"/>
      <c r="V108" s="37" t="str">
        <f>IFERROR(__xludf.DUMMYFUNCTION("if(not(iserror(index(split(C108, "" ""),2))), index(split(C108, "" ""),1),"""")"),"")</f>
        <v/>
      </c>
      <c r="W108" s="315" t="str">
        <f>IFERROR(__xludf.DUMMYFUNCTION("if(V108="""",C108,if(not(iserror(index(split(C108, "" ""),3))), index(split(C108, "" ""),3),index(split(C108, "" ""),2)))"),"")</f>
        <v/>
      </c>
      <c r="X108" s="38" t="b">
        <f t="shared" si="2"/>
        <v>0</v>
      </c>
      <c r="Y108" s="38"/>
      <c r="Z108" s="40"/>
      <c r="AA108" s="40"/>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row>
    <row r="109">
      <c r="A109" s="37"/>
      <c r="B109" s="159"/>
      <c r="C109" s="144"/>
      <c r="D109" s="144"/>
      <c r="E109" s="37"/>
      <c r="F109" s="37"/>
      <c r="G109" s="37"/>
      <c r="H109" s="33" t="str">
        <f t="shared" si="1"/>
        <v/>
      </c>
      <c r="I109" s="37"/>
      <c r="J109" s="37"/>
      <c r="K109" s="37"/>
      <c r="L109" s="38"/>
      <c r="M109" s="58"/>
      <c r="N109" s="58"/>
      <c r="O109" s="58"/>
      <c r="P109" s="14"/>
      <c r="Q109" s="15"/>
      <c r="R109" s="16"/>
      <c r="S109" s="16"/>
      <c r="T109" s="16"/>
      <c r="U109" s="16"/>
      <c r="V109" s="37" t="str">
        <f>IFERROR(__xludf.DUMMYFUNCTION("if(not(iserror(index(split(C109, "" ""),2))), index(split(C109, "" ""),1),"""")"),"")</f>
        <v/>
      </c>
      <c r="W109" s="315" t="str">
        <f>IFERROR(__xludf.DUMMYFUNCTION("if(V109="""",C109,if(not(iserror(index(split(C109, "" ""),3))), index(split(C109, "" ""),3),index(split(C109, "" ""),2)))"),"")</f>
        <v/>
      </c>
      <c r="X109" s="38" t="b">
        <f t="shared" si="2"/>
        <v>0</v>
      </c>
      <c r="Y109" s="38"/>
      <c r="Z109" s="40"/>
      <c r="AA109" s="40"/>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row>
    <row r="110">
      <c r="A110" s="37"/>
      <c r="B110" s="159"/>
      <c r="C110" s="144"/>
      <c r="D110" s="144"/>
      <c r="E110" s="37"/>
      <c r="F110" s="37"/>
      <c r="G110" s="37"/>
      <c r="H110" s="33" t="str">
        <f t="shared" si="1"/>
        <v/>
      </c>
      <c r="I110" s="37"/>
      <c r="J110" s="37"/>
      <c r="K110" s="37"/>
      <c r="L110" s="38"/>
      <c r="M110" s="58"/>
      <c r="N110" s="58"/>
      <c r="O110" s="58"/>
      <c r="P110" s="14"/>
      <c r="Q110" s="15"/>
      <c r="R110" s="16"/>
      <c r="S110" s="16"/>
      <c r="T110" s="16"/>
      <c r="U110" s="16"/>
      <c r="V110" s="37" t="str">
        <f>IFERROR(__xludf.DUMMYFUNCTION("if(not(iserror(index(split(C110, "" ""),2))), index(split(C110, "" ""),1),"""")"),"")</f>
        <v/>
      </c>
      <c r="W110" s="315" t="str">
        <f>IFERROR(__xludf.DUMMYFUNCTION("if(V110="""",C110,if(not(iserror(index(split(C110, "" ""),3))), index(split(C110, "" ""),3),index(split(C110, "" ""),2)))"),"")</f>
        <v/>
      </c>
      <c r="X110" s="38" t="b">
        <f t="shared" si="2"/>
        <v>0</v>
      </c>
      <c r="Y110" s="38"/>
      <c r="Z110" s="40"/>
      <c r="AA110" s="40"/>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row>
    <row r="111">
      <c r="A111" s="37"/>
      <c r="B111" s="159"/>
      <c r="C111" s="144"/>
      <c r="D111" s="144"/>
      <c r="E111" s="37"/>
      <c r="F111" s="37"/>
      <c r="G111" s="37"/>
      <c r="H111" s="33" t="str">
        <f t="shared" si="1"/>
        <v/>
      </c>
      <c r="I111" s="37"/>
      <c r="J111" s="37"/>
      <c r="K111" s="37"/>
      <c r="L111" s="38"/>
      <c r="M111" s="58"/>
      <c r="N111" s="58"/>
      <c r="O111" s="58"/>
      <c r="P111" s="14"/>
      <c r="Q111" s="15"/>
      <c r="R111" s="16"/>
      <c r="S111" s="16"/>
      <c r="T111" s="16"/>
      <c r="U111" s="16"/>
      <c r="V111" s="37" t="str">
        <f>IFERROR(__xludf.DUMMYFUNCTION("if(not(iserror(index(split(C111, "" ""),2))), index(split(C111, "" ""),1),"""")"),"")</f>
        <v/>
      </c>
      <c r="W111" s="315" t="str">
        <f>IFERROR(__xludf.DUMMYFUNCTION("if(V111="""",C111,if(not(iserror(index(split(C111, "" ""),3))), index(split(C111, "" ""),3),index(split(C111, "" ""),2)))"),"")</f>
        <v/>
      </c>
      <c r="X111" s="38" t="b">
        <f t="shared" si="2"/>
        <v>0</v>
      </c>
      <c r="Y111" s="38"/>
      <c r="Z111" s="40"/>
      <c r="AA111" s="40"/>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row>
    <row r="112">
      <c r="A112" s="37"/>
      <c r="B112" s="159"/>
      <c r="C112" s="144"/>
      <c r="D112" s="144"/>
      <c r="E112" s="37"/>
      <c r="F112" s="37"/>
      <c r="G112" s="37"/>
      <c r="H112" s="33" t="str">
        <f t="shared" si="1"/>
        <v/>
      </c>
      <c r="I112" s="37"/>
      <c r="J112" s="37"/>
      <c r="K112" s="37"/>
      <c r="L112" s="38"/>
      <c r="M112" s="37"/>
      <c r="N112" s="37"/>
      <c r="O112" s="37"/>
      <c r="P112" s="14"/>
      <c r="Q112" s="15"/>
      <c r="R112" s="16"/>
      <c r="S112" s="16"/>
      <c r="T112" s="16"/>
      <c r="U112" s="16"/>
      <c r="V112" s="37" t="str">
        <f>IFERROR(__xludf.DUMMYFUNCTION("if(not(iserror(index(split(C112, "" ""),2))), index(split(C112, "" ""),1),"""")"),"")</f>
        <v/>
      </c>
      <c r="W112" s="315" t="str">
        <f>IFERROR(__xludf.DUMMYFUNCTION("if(V112="""",C112,if(not(iserror(index(split(C112, "" ""),3))), index(split(C112, "" ""),3),index(split(C112, "" ""),2)))"),"")</f>
        <v/>
      </c>
      <c r="X112" s="38" t="b">
        <f t="shared" si="2"/>
        <v>0</v>
      </c>
      <c r="Y112" s="38"/>
      <c r="Z112" s="40"/>
      <c r="AA112" s="40"/>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row>
    <row r="113">
      <c r="A113" s="37"/>
      <c r="B113" s="159"/>
      <c r="C113" s="144"/>
      <c r="D113" s="144"/>
      <c r="E113" s="37"/>
      <c r="F113" s="37"/>
      <c r="G113" s="37"/>
      <c r="H113" s="33" t="str">
        <f t="shared" si="1"/>
        <v/>
      </c>
      <c r="I113" s="37"/>
      <c r="J113" s="37"/>
      <c r="K113" s="37"/>
      <c r="L113" s="38"/>
      <c r="M113" s="37"/>
      <c r="N113" s="37"/>
      <c r="O113" s="37"/>
      <c r="P113" s="14"/>
      <c r="Q113" s="14"/>
      <c r="R113" s="16"/>
      <c r="S113" s="16"/>
      <c r="T113" s="16"/>
      <c r="U113" s="16"/>
      <c r="V113" s="37" t="str">
        <f>IFERROR(__xludf.DUMMYFUNCTION("if(not(iserror(index(split(C113, "" ""),2))), index(split(C113, "" ""),1),"""")"),"")</f>
        <v/>
      </c>
      <c r="W113" s="315" t="str">
        <f>IFERROR(__xludf.DUMMYFUNCTION("if(V113="""",C113,if(not(iserror(index(split(C113, "" ""),3))), index(split(C113, "" ""),3),index(split(C113, "" ""),2)))"),"")</f>
        <v/>
      </c>
      <c r="X113" s="38" t="b">
        <f t="shared" si="2"/>
        <v>0</v>
      </c>
      <c r="Y113" s="38"/>
      <c r="Z113" s="40"/>
      <c r="AA113" s="40"/>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row>
    <row r="114">
      <c r="A114" s="37"/>
      <c r="B114" s="159"/>
      <c r="C114" s="144"/>
      <c r="D114" s="144"/>
      <c r="E114" s="37"/>
      <c r="F114" s="37"/>
      <c r="G114" s="37"/>
      <c r="H114" s="33" t="str">
        <f t="shared" si="1"/>
        <v/>
      </c>
      <c r="I114" s="37"/>
      <c r="J114" s="37"/>
      <c r="K114" s="37"/>
      <c r="L114" s="38"/>
      <c r="M114" s="37"/>
      <c r="N114" s="37"/>
      <c r="O114" s="37"/>
      <c r="P114" s="14"/>
      <c r="Q114" s="14"/>
      <c r="R114" s="16"/>
      <c r="S114" s="16"/>
      <c r="T114" s="16"/>
      <c r="U114" s="16"/>
      <c r="V114" s="37" t="str">
        <f>IFERROR(__xludf.DUMMYFUNCTION("if(not(iserror(index(split(C114, "" ""),2))), index(split(C114, "" ""),1),"""")"),"")</f>
        <v/>
      </c>
      <c r="W114" s="315" t="str">
        <f>IFERROR(__xludf.DUMMYFUNCTION("if(V114="""",C114,if(not(iserror(index(split(C114, "" ""),3))), index(split(C114, "" ""),3),index(split(C114, "" ""),2)))"),"")</f>
        <v/>
      </c>
      <c r="X114" s="38" t="b">
        <f t="shared" si="2"/>
        <v>0</v>
      </c>
      <c r="Y114" s="38"/>
      <c r="Z114" s="40"/>
      <c r="AA114" s="40"/>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row>
    <row r="115">
      <c r="A115" s="90"/>
      <c r="B115" s="159"/>
      <c r="C115" s="144"/>
      <c r="D115" s="144"/>
      <c r="E115" s="37"/>
      <c r="F115" s="37"/>
      <c r="G115" s="37"/>
      <c r="H115" s="33" t="str">
        <f t="shared" si="1"/>
        <v/>
      </c>
      <c r="I115" s="37"/>
      <c r="J115" s="37"/>
      <c r="K115" s="37"/>
      <c r="L115" s="38"/>
      <c r="M115" s="37"/>
      <c r="N115" s="37"/>
      <c r="O115" s="37"/>
      <c r="P115" s="14"/>
      <c r="Q115" s="15"/>
      <c r="R115" s="16"/>
      <c r="S115" s="16"/>
      <c r="T115" s="16"/>
      <c r="U115" s="16"/>
      <c r="V115" s="37" t="str">
        <f>IFERROR(__xludf.DUMMYFUNCTION("if(not(iserror(index(split(C115, "" ""),2))), index(split(C115, "" ""),1),"""")"),"")</f>
        <v/>
      </c>
      <c r="W115" s="315" t="str">
        <f>IFERROR(__xludf.DUMMYFUNCTION("if(V115="""",C115,if(not(iserror(index(split(C115, "" ""),3))), index(split(C115, "" ""),3),index(split(C115, "" ""),2)))"),"")</f>
        <v/>
      </c>
      <c r="X115" s="38" t="b">
        <f t="shared" si="2"/>
        <v>0</v>
      </c>
      <c r="Y115" s="38"/>
      <c r="Z115" s="40"/>
      <c r="AA115" s="40"/>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row>
    <row r="116">
      <c r="A116" s="37"/>
      <c r="B116" s="159"/>
      <c r="C116" s="144"/>
      <c r="D116" s="144"/>
      <c r="E116" s="37"/>
      <c r="F116" s="37"/>
      <c r="G116" s="37"/>
      <c r="H116" s="33" t="str">
        <f t="shared" si="1"/>
        <v/>
      </c>
      <c r="I116" s="37"/>
      <c r="J116" s="37"/>
      <c r="K116" s="37"/>
      <c r="L116" s="38"/>
      <c r="M116" s="37"/>
      <c r="N116" s="37"/>
      <c r="O116" s="37"/>
      <c r="P116" s="14"/>
      <c r="Q116" s="15"/>
      <c r="R116" s="16"/>
      <c r="S116" s="16"/>
      <c r="T116" s="16"/>
      <c r="U116" s="16"/>
      <c r="V116" s="37" t="str">
        <f>IFERROR(__xludf.DUMMYFUNCTION("if(not(iserror(index(split(C116, "" ""),2))), index(split(C116, "" ""),1),"""")"),"")</f>
        <v/>
      </c>
      <c r="W116" s="315" t="str">
        <f>IFERROR(__xludf.DUMMYFUNCTION("if(V116="""",C116,if(not(iserror(index(split(C116, "" ""),3))), index(split(C116, "" ""),3),index(split(C116, "" ""),2)))"),"")</f>
        <v/>
      </c>
      <c r="X116" s="38" t="b">
        <f t="shared" si="2"/>
        <v>0</v>
      </c>
      <c r="Y116" s="38"/>
      <c r="Z116" s="40"/>
      <c r="AA116" s="40"/>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row>
    <row r="117">
      <c r="A117" s="37"/>
      <c r="B117" s="159"/>
      <c r="C117" s="144"/>
      <c r="D117" s="144"/>
      <c r="E117" s="37"/>
      <c r="F117" s="37"/>
      <c r="G117" s="37"/>
      <c r="H117" s="33" t="str">
        <f t="shared" si="1"/>
        <v/>
      </c>
      <c r="I117" s="37"/>
      <c r="J117" s="37"/>
      <c r="K117" s="37"/>
      <c r="L117" s="38"/>
      <c r="M117" s="37"/>
      <c r="N117" s="37"/>
      <c r="O117" s="37"/>
      <c r="P117" s="14"/>
      <c r="Q117" s="15"/>
      <c r="R117" s="16"/>
      <c r="S117" s="16"/>
      <c r="T117" s="16"/>
      <c r="U117" s="16"/>
      <c r="V117" s="37" t="str">
        <f>IFERROR(__xludf.DUMMYFUNCTION("if(not(iserror(index(split(C117, "" ""),2))), index(split(C117, "" ""),1),"""")"),"")</f>
        <v/>
      </c>
      <c r="W117" s="315" t="str">
        <f>IFERROR(__xludf.DUMMYFUNCTION("if(V117="""",C117,if(not(iserror(index(split(C117, "" ""),3))), index(split(C117, "" ""),3),index(split(C117, "" ""),2)))"),"")</f>
        <v/>
      </c>
      <c r="X117" s="38" t="b">
        <f t="shared" si="2"/>
        <v>0</v>
      </c>
      <c r="Y117" s="38"/>
      <c r="Z117" s="40"/>
      <c r="AA117" s="40"/>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row>
    <row r="118">
      <c r="B118" s="159"/>
      <c r="C118" s="144"/>
      <c r="D118" s="144"/>
      <c r="E118" s="37"/>
      <c r="F118" s="37"/>
      <c r="G118" s="37"/>
      <c r="H118" s="33" t="str">
        <f t="shared" si="1"/>
        <v/>
      </c>
      <c r="I118" s="37"/>
      <c r="J118" s="37"/>
      <c r="K118" s="37"/>
      <c r="L118" s="38"/>
      <c r="M118" s="37"/>
      <c r="N118" s="37"/>
      <c r="O118" s="37"/>
      <c r="P118" s="14"/>
      <c r="Q118" s="14"/>
      <c r="R118" s="16"/>
      <c r="S118" s="16"/>
      <c r="T118" s="16"/>
      <c r="U118" s="16"/>
      <c r="V118" s="37" t="str">
        <f>IFERROR(__xludf.DUMMYFUNCTION("if(not(iserror(index(split(C118, "" ""),2))), index(split(C118, "" ""),1),"""")"),"")</f>
        <v/>
      </c>
      <c r="W118" s="315" t="str">
        <f>IFERROR(__xludf.DUMMYFUNCTION("if(V118="""",C118,if(not(iserror(index(split(C118, "" ""),3))), index(split(C118, "" ""),3),index(split(C118, "" ""),2)))"),"")</f>
        <v/>
      </c>
      <c r="X118" s="38" t="b">
        <f t="shared" si="2"/>
        <v>0</v>
      </c>
      <c r="Y118" s="38"/>
      <c r="Z118" s="40"/>
      <c r="AA118" s="40"/>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row>
    <row r="119">
      <c r="A119" s="37"/>
      <c r="B119" s="159"/>
      <c r="C119" s="144"/>
      <c r="D119" s="144"/>
      <c r="E119" s="37"/>
      <c r="F119" s="37"/>
      <c r="G119" s="37"/>
      <c r="H119" s="33" t="str">
        <f t="shared" si="1"/>
        <v/>
      </c>
      <c r="I119" s="37"/>
      <c r="J119" s="37"/>
      <c r="K119" s="37"/>
      <c r="L119" s="38"/>
      <c r="M119" s="37"/>
      <c r="N119" s="37"/>
      <c r="O119" s="37"/>
      <c r="P119" s="14"/>
      <c r="Q119" s="15"/>
      <c r="R119" s="16"/>
      <c r="S119" s="16"/>
      <c r="T119" s="16"/>
      <c r="U119" s="16"/>
      <c r="V119" s="37" t="str">
        <f>IFERROR(__xludf.DUMMYFUNCTION("if(not(iserror(index(split(C119, "" ""),2))), index(split(C119, "" ""),1),"""")"),"")</f>
        <v/>
      </c>
      <c r="W119" s="315" t="str">
        <f>IFERROR(__xludf.DUMMYFUNCTION("if(V119="""",C119,if(not(iserror(index(split(C119, "" ""),3))), index(split(C119, "" ""),3),index(split(C119, "" ""),2)))"),"")</f>
        <v/>
      </c>
      <c r="X119" s="38" t="b">
        <f t="shared" si="2"/>
        <v>0</v>
      </c>
      <c r="Y119" s="38"/>
      <c r="Z119" s="40"/>
      <c r="AA119" s="40"/>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row>
    <row r="120">
      <c r="A120" s="37"/>
      <c r="B120" s="159"/>
      <c r="C120" s="144"/>
      <c r="D120" s="144"/>
      <c r="E120" s="37"/>
      <c r="F120" s="37"/>
      <c r="G120" s="37"/>
      <c r="H120" s="33" t="str">
        <f t="shared" si="1"/>
        <v/>
      </c>
      <c r="I120" s="37"/>
      <c r="J120" s="37"/>
      <c r="K120" s="37"/>
      <c r="L120" s="38"/>
      <c r="M120" s="37"/>
      <c r="N120" s="37"/>
      <c r="O120" s="37"/>
      <c r="P120" s="14"/>
      <c r="Q120" s="15"/>
      <c r="R120" s="16"/>
      <c r="S120" s="16"/>
      <c r="T120" s="16"/>
      <c r="U120" s="16"/>
      <c r="V120" s="37" t="str">
        <f>IFERROR(__xludf.DUMMYFUNCTION("if(not(iserror(index(split(C120, "" ""),2))), index(split(C120, "" ""),1),"""")"),"")</f>
        <v/>
      </c>
      <c r="W120" s="315" t="str">
        <f>IFERROR(__xludf.DUMMYFUNCTION("if(V120="""",C120,if(not(iserror(index(split(C120, "" ""),3))), index(split(C120, "" ""),3),index(split(C120, "" ""),2)))"),"")</f>
        <v/>
      </c>
      <c r="X120" s="38" t="b">
        <f t="shared" si="2"/>
        <v>0</v>
      </c>
      <c r="Y120" s="38"/>
      <c r="Z120" s="40"/>
      <c r="AA120" s="40"/>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row>
    <row r="121">
      <c r="A121" s="37"/>
      <c r="B121" s="159"/>
      <c r="C121" s="144"/>
      <c r="D121" s="144"/>
      <c r="E121" s="37"/>
      <c r="F121" s="37"/>
      <c r="G121" s="37"/>
      <c r="H121" s="33" t="str">
        <f t="shared" si="1"/>
        <v/>
      </c>
      <c r="I121" s="37"/>
      <c r="J121" s="37"/>
      <c r="K121" s="37"/>
      <c r="L121" s="38"/>
      <c r="M121" s="37"/>
      <c r="N121" s="37"/>
      <c r="O121" s="37"/>
      <c r="P121" s="14"/>
      <c r="Q121" s="15"/>
      <c r="R121" s="16"/>
      <c r="S121" s="16"/>
      <c r="T121" s="16"/>
      <c r="U121" s="16"/>
      <c r="V121" s="37" t="str">
        <f>IFERROR(__xludf.DUMMYFUNCTION("if(not(iserror(index(split(C121, "" ""),2))), index(split(C121, "" ""),1),"""")"),"")</f>
        <v/>
      </c>
      <c r="W121" s="315" t="str">
        <f>IFERROR(__xludf.DUMMYFUNCTION("if(V121="""",C121,if(not(iserror(index(split(C121, "" ""),3))), index(split(C121, "" ""),3),index(split(C121, "" ""),2)))"),"")</f>
        <v/>
      </c>
      <c r="X121" s="38" t="b">
        <f t="shared" si="2"/>
        <v>0</v>
      </c>
      <c r="Y121" s="38"/>
      <c r="Z121" s="40"/>
      <c r="AA121" s="40"/>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row>
    <row r="122">
      <c r="A122" s="37"/>
      <c r="B122" s="159"/>
      <c r="C122" s="144"/>
      <c r="D122" s="144"/>
      <c r="E122" s="37"/>
      <c r="F122" s="37"/>
      <c r="G122" s="37"/>
      <c r="H122" s="33" t="str">
        <f t="shared" si="1"/>
        <v/>
      </c>
      <c r="I122" s="37"/>
      <c r="J122" s="37"/>
      <c r="K122" s="37"/>
      <c r="L122" s="38"/>
      <c r="M122" s="37"/>
      <c r="N122" s="37"/>
      <c r="O122" s="37"/>
      <c r="P122" s="14"/>
      <c r="Q122" s="15"/>
      <c r="R122" s="16"/>
      <c r="S122" s="16"/>
      <c r="T122" s="16"/>
      <c r="U122" s="16"/>
      <c r="V122" s="37" t="str">
        <f>IFERROR(__xludf.DUMMYFUNCTION("if(not(iserror(index(split(C122, "" ""),2))), index(split(C122, "" ""),1),"""")"),"")</f>
        <v/>
      </c>
      <c r="W122" s="315" t="str">
        <f>IFERROR(__xludf.DUMMYFUNCTION("if(V122="""",C122,if(not(iserror(index(split(C122, "" ""),3))), index(split(C122, "" ""),3),index(split(C122, "" ""),2)))"),"")</f>
        <v/>
      </c>
      <c r="X122" s="38" t="b">
        <f t="shared" si="2"/>
        <v>0</v>
      </c>
      <c r="Y122" s="38"/>
      <c r="Z122" s="40"/>
      <c r="AA122" s="40"/>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row>
    <row r="123">
      <c r="A123" s="37"/>
      <c r="B123" s="37"/>
      <c r="C123" s="144"/>
      <c r="D123" s="144"/>
      <c r="E123" s="37"/>
      <c r="F123" s="37"/>
      <c r="G123" s="37"/>
      <c r="H123" s="33" t="str">
        <f t="shared" si="1"/>
        <v/>
      </c>
      <c r="I123" s="37"/>
      <c r="J123" s="37"/>
      <c r="K123" s="37"/>
      <c r="L123" s="38"/>
      <c r="M123" s="37"/>
      <c r="N123" s="37"/>
      <c r="O123" s="37"/>
      <c r="P123" s="14"/>
      <c r="Q123" s="15"/>
      <c r="R123" s="16"/>
      <c r="S123" s="16"/>
      <c r="T123" s="16"/>
      <c r="U123" s="16"/>
      <c r="V123" s="37" t="str">
        <f>IFERROR(__xludf.DUMMYFUNCTION("if(not(iserror(index(split(C123, "" ""),2))), index(split(C123, "" ""),1),"""")"),"")</f>
        <v/>
      </c>
      <c r="W123" s="315" t="str">
        <f>IFERROR(__xludf.DUMMYFUNCTION("if(V123="""",C123,if(not(iserror(index(split(C123, "" ""),3))), index(split(C123, "" ""),3),index(split(C123, "" ""),2)))"),"")</f>
        <v/>
      </c>
      <c r="X123" s="38" t="b">
        <f t="shared" si="2"/>
        <v>0</v>
      </c>
      <c r="Y123" s="38"/>
      <c r="Z123" s="40"/>
      <c r="AA123" s="40"/>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row>
    <row r="124">
      <c r="A124" s="37"/>
      <c r="B124" s="322"/>
      <c r="C124" s="144"/>
      <c r="D124" s="144"/>
      <c r="E124" s="37"/>
      <c r="F124" s="37"/>
      <c r="G124" s="37"/>
      <c r="H124" s="33" t="str">
        <f t="shared" si="1"/>
        <v/>
      </c>
      <c r="I124" s="37"/>
      <c r="J124" s="37"/>
      <c r="K124" s="37"/>
      <c r="L124" s="38"/>
      <c r="M124" s="37"/>
      <c r="N124" s="37"/>
      <c r="O124" s="37"/>
      <c r="P124" s="14"/>
      <c r="Q124" s="14"/>
      <c r="R124" s="37"/>
      <c r="S124" s="37"/>
      <c r="T124" s="64"/>
      <c r="U124" s="16"/>
      <c r="V124" s="37" t="str">
        <f>IFERROR(__xludf.DUMMYFUNCTION("if(not(iserror(index(split(C124, "" ""),2))), index(split(C124, "" ""),1),"""")"),"")</f>
        <v/>
      </c>
      <c r="W124" s="315" t="str">
        <f>IFERROR(__xludf.DUMMYFUNCTION("if(V124="""",C124,if(not(iserror(index(split(C124, "" ""),3))), index(split(C124, "" ""),3),index(split(C124, "" ""),2)))"),"")</f>
        <v/>
      </c>
      <c r="X124" s="38" t="b">
        <f t="shared" si="2"/>
        <v>0</v>
      </c>
      <c r="Y124" s="38"/>
      <c r="Z124" s="40"/>
      <c r="AA124" s="40"/>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row>
    <row r="125">
      <c r="A125" s="37"/>
      <c r="B125" s="322"/>
      <c r="C125" s="144"/>
      <c r="D125" s="144"/>
      <c r="E125" s="37"/>
      <c r="F125" s="37"/>
      <c r="G125" s="37"/>
      <c r="H125" s="33" t="str">
        <f t="shared" si="1"/>
        <v/>
      </c>
      <c r="I125" s="37"/>
      <c r="J125" s="37"/>
      <c r="K125" s="37"/>
      <c r="L125" s="38"/>
      <c r="M125" s="37"/>
      <c r="N125" s="37"/>
      <c r="O125" s="37"/>
      <c r="P125" s="14"/>
      <c r="Q125" s="15"/>
      <c r="R125" s="16"/>
      <c r="S125" s="16"/>
      <c r="T125" s="16"/>
      <c r="U125" s="16"/>
      <c r="V125" s="37" t="str">
        <f>IFERROR(__xludf.DUMMYFUNCTION("if(not(iserror(index(split(C125, "" ""),2))), index(split(C125, "" ""),1),"""")"),"")</f>
        <v/>
      </c>
      <c r="W125" s="315" t="str">
        <f>IFERROR(__xludf.DUMMYFUNCTION("if(V125="""",C125,if(not(iserror(index(split(C125, "" ""),3))), index(split(C125, "" ""),3),index(split(C125, "" ""),2)))"),"")</f>
        <v/>
      </c>
      <c r="X125" s="38" t="b">
        <f t="shared" si="2"/>
        <v>0</v>
      </c>
      <c r="Y125" s="38"/>
      <c r="Z125" s="40"/>
      <c r="AA125" s="40"/>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row>
    <row r="126">
      <c r="A126" s="37"/>
      <c r="B126" s="322"/>
      <c r="C126" s="144"/>
      <c r="D126" s="144"/>
      <c r="E126" s="37"/>
      <c r="F126" s="37"/>
      <c r="G126" s="37"/>
      <c r="H126" s="33" t="str">
        <f t="shared" si="1"/>
        <v/>
      </c>
      <c r="I126" s="37"/>
      <c r="J126" s="37"/>
      <c r="K126" s="37"/>
      <c r="L126" s="38"/>
      <c r="M126" s="37"/>
      <c r="N126" s="37"/>
      <c r="O126" s="37"/>
      <c r="P126" s="14"/>
      <c r="Q126" s="15"/>
      <c r="R126" s="16"/>
      <c r="S126" s="16"/>
      <c r="T126" s="16"/>
      <c r="U126" s="16"/>
      <c r="V126" s="37" t="str">
        <f>IFERROR(__xludf.DUMMYFUNCTION("if(not(iserror(index(split(C126, "" ""),2))), index(split(C126, "" ""),1),"""")"),"")</f>
        <v/>
      </c>
      <c r="W126" s="315" t="str">
        <f>IFERROR(__xludf.DUMMYFUNCTION("if(V126="""",C126,if(not(iserror(index(split(C126, "" ""),3))), index(split(C126, "" ""),3),index(split(C126, "" ""),2)))"),"")</f>
        <v/>
      </c>
      <c r="X126" s="38" t="b">
        <f t="shared" si="2"/>
        <v>0</v>
      </c>
      <c r="Y126" s="38"/>
      <c r="Z126" s="40"/>
      <c r="AA126" s="40"/>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row>
    <row r="127">
      <c r="A127" s="37"/>
      <c r="B127" s="322"/>
      <c r="C127" s="144"/>
      <c r="D127" s="144"/>
      <c r="E127" s="37"/>
      <c r="F127" s="37"/>
      <c r="G127" s="37"/>
      <c r="H127" s="33" t="str">
        <f t="shared" si="1"/>
        <v/>
      </c>
      <c r="I127" s="37"/>
      <c r="J127" s="37"/>
      <c r="K127" s="37"/>
      <c r="L127" s="38"/>
      <c r="M127" s="37"/>
      <c r="N127" s="37"/>
      <c r="O127" s="37"/>
      <c r="P127" s="14"/>
      <c r="Q127" s="15"/>
      <c r="R127" s="16"/>
      <c r="S127" s="16"/>
      <c r="T127" s="16"/>
      <c r="U127" s="16"/>
      <c r="V127" s="37" t="str">
        <f>IFERROR(__xludf.DUMMYFUNCTION("if(not(iserror(index(split(C127, "" ""),2))), index(split(C127, "" ""),1),"""")"),"")</f>
        <v/>
      </c>
      <c r="W127" s="315" t="str">
        <f>IFERROR(__xludf.DUMMYFUNCTION("if(V127="""",C127,if(not(iserror(index(split(C127, "" ""),3))), index(split(C127, "" ""),3),index(split(C127, "" ""),2)))"),"")</f>
        <v/>
      </c>
      <c r="X127" s="38" t="b">
        <f t="shared" si="2"/>
        <v>0</v>
      </c>
      <c r="Y127" s="38"/>
      <c r="Z127" s="40"/>
      <c r="AA127" s="40"/>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row>
    <row r="128">
      <c r="A128" s="90"/>
      <c r="B128" s="322"/>
      <c r="C128" s="144"/>
      <c r="D128" s="144"/>
      <c r="E128" s="37"/>
      <c r="F128" s="37"/>
      <c r="G128" s="37"/>
      <c r="H128" s="33" t="str">
        <f t="shared" si="1"/>
        <v/>
      </c>
      <c r="I128" s="37"/>
      <c r="J128" s="37"/>
      <c r="K128" s="37"/>
      <c r="L128" s="38"/>
      <c r="M128" s="37"/>
      <c r="N128" s="37"/>
      <c r="O128" s="37"/>
      <c r="P128" s="14"/>
      <c r="Q128" s="15"/>
      <c r="R128" s="16"/>
      <c r="S128" s="16"/>
      <c r="T128" s="16"/>
      <c r="U128" s="16"/>
      <c r="V128" s="37" t="str">
        <f>IFERROR(__xludf.DUMMYFUNCTION("if(not(iserror(index(split(C128, "" ""),2))), index(split(C128, "" ""),1),"""")"),"")</f>
        <v/>
      </c>
      <c r="W128" s="315" t="str">
        <f>IFERROR(__xludf.DUMMYFUNCTION("if(V128="""",C128,if(not(iserror(index(split(C128, "" ""),3))), index(split(C128, "" ""),3),index(split(C128, "" ""),2)))"),"")</f>
        <v/>
      </c>
      <c r="X128" s="38" t="b">
        <f t="shared" si="2"/>
        <v>0</v>
      </c>
      <c r="Y128" s="38"/>
      <c r="Z128" s="40"/>
      <c r="AA128" s="40"/>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row>
    <row r="129">
      <c r="A129" s="37"/>
      <c r="B129" s="322"/>
      <c r="C129" s="144"/>
      <c r="D129" s="144"/>
      <c r="E129" s="37"/>
      <c r="F129" s="37"/>
      <c r="G129" s="37"/>
      <c r="H129" s="33" t="str">
        <f t="shared" si="1"/>
        <v/>
      </c>
      <c r="I129" s="37"/>
      <c r="J129" s="37"/>
      <c r="K129" s="37"/>
      <c r="L129" s="38"/>
      <c r="M129" s="37"/>
      <c r="N129" s="37"/>
      <c r="O129" s="37"/>
      <c r="P129" s="14"/>
      <c r="Q129" s="15"/>
      <c r="R129" s="16"/>
      <c r="S129" s="16"/>
      <c r="T129" s="16"/>
      <c r="U129" s="16"/>
      <c r="V129" s="37" t="str">
        <f>IFERROR(__xludf.DUMMYFUNCTION("if(not(iserror(index(split(C129, "" ""),2))), index(split(C129, "" ""),1),"""")"),"")</f>
        <v/>
      </c>
      <c r="W129" s="315" t="str">
        <f>IFERROR(__xludf.DUMMYFUNCTION("if(V129="""",C129,if(not(iserror(index(split(C129, "" ""),3))), index(split(C129, "" ""),3),index(split(C129, "" ""),2)))"),"")</f>
        <v/>
      </c>
      <c r="X129" s="38" t="b">
        <f t="shared" si="2"/>
        <v>0</v>
      </c>
      <c r="Y129" s="38"/>
      <c r="Z129" s="40"/>
      <c r="AA129" s="40"/>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row>
    <row r="130">
      <c r="A130" s="37"/>
      <c r="B130" s="322"/>
      <c r="C130" s="144"/>
      <c r="D130" s="144"/>
      <c r="E130" s="37"/>
      <c r="F130" s="37"/>
      <c r="G130" s="37"/>
      <c r="H130" s="33" t="str">
        <f t="shared" si="1"/>
        <v/>
      </c>
      <c r="I130" s="37"/>
      <c r="J130" s="37"/>
      <c r="K130" s="37"/>
      <c r="L130" s="38"/>
      <c r="M130" s="37"/>
      <c r="N130" s="37"/>
      <c r="O130" s="37"/>
      <c r="P130" s="14"/>
      <c r="Q130" s="15"/>
      <c r="R130" s="16"/>
      <c r="S130" s="16"/>
      <c r="T130" s="16"/>
      <c r="U130" s="16"/>
      <c r="V130" s="37" t="str">
        <f>IFERROR(__xludf.DUMMYFUNCTION("if(not(iserror(index(split(C130, "" ""),2))), index(split(C130, "" ""),1),"""")"),"")</f>
        <v/>
      </c>
      <c r="W130" s="315" t="str">
        <f>IFERROR(__xludf.DUMMYFUNCTION("if(V130="""",C130,if(not(iserror(index(split(C130, "" ""),3))), index(split(C130, "" ""),3),index(split(C130, "" ""),2)))"),"")</f>
        <v/>
      </c>
      <c r="X130" s="38" t="b">
        <f t="shared" si="2"/>
        <v>0</v>
      </c>
      <c r="Y130" s="38"/>
      <c r="Z130" s="40"/>
      <c r="AA130" s="40"/>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row>
    <row r="131">
      <c r="A131" s="37"/>
      <c r="B131" s="322"/>
      <c r="C131" s="144"/>
      <c r="D131" s="144"/>
      <c r="E131" s="37"/>
      <c r="F131" s="37"/>
      <c r="G131" s="37"/>
      <c r="H131" s="33" t="str">
        <f t="shared" si="1"/>
        <v/>
      </c>
      <c r="I131" s="37"/>
      <c r="J131" s="37"/>
      <c r="K131" s="37"/>
      <c r="L131" s="38"/>
      <c r="M131" s="37"/>
      <c r="N131" s="37"/>
      <c r="O131" s="37"/>
      <c r="P131" s="14"/>
      <c r="Q131" s="15"/>
      <c r="R131" s="16"/>
      <c r="S131" s="16"/>
      <c r="T131" s="16"/>
      <c r="U131" s="16"/>
      <c r="V131" s="37" t="str">
        <f>IFERROR(__xludf.DUMMYFUNCTION("if(not(iserror(index(split(C131, "" ""),2))), index(split(C131, "" ""),1),"""")"),"")</f>
        <v/>
      </c>
      <c r="W131" s="315" t="str">
        <f>IFERROR(__xludf.DUMMYFUNCTION("if(V131="""",C131,if(not(iserror(index(split(C131, "" ""),3))), index(split(C131, "" ""),3),index(split(C131, "" ""),2)))"),"")</f>
        <v/>
      </c>
      <c r="X131" s="38" t="b">
        <f t="shared" si="2"/>
        <v>0</v>
      </c>
      <c r="Y131" s="38"/>
      <c r="Z131" s="40"/>
      <c r="AA131" s="40"/>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row>
    <row r="132">
      <c r="A132" s="37"/>
      <c r="B132" s="322"/>
      <c r="C132" s="144"/>
      <c r="D132" s="144"/>
      <c r="E132" s="37"/>
      <c r="F132" s="37"/>
      <c r="G132" s="37"/>
      <c r="H132" s="33" t="str">
        <f t="shared" si="1"/>
        <v/>
      </c>
      <c r="I132" s="37"/>
      <c r="J132" s="37"/>
      <c r="K132" s="37"/>
      <c r="L132" s="38"/>
      <c r="M132" s="37"/>
      <c r="N132" s="37"/>
      <c r="O132" s="37"/>
      <c r="P132" s="14"/>
      <c r="Q132" s="15"/>
      <c r="R132" s="16"/>
      <c r="S132" s="16"/>
      <c r="T132" s="16"/>
      <c r="U132" s="16"/>
      <c r="V132" s="37" t="str">
        <f>IFERROR(__xludf.DUMMYFUNCTION("if(not(iserror(index(split(C132, "" ""),2))), index(split(C132, "" ""),1),"""")"),"")</f>
        <v/>
      </c>
      <c r="W132" s="315" t="str">
        <f>IFERROR(__xludf.DUMMYFUNCTION("if(V132="""",C132,if(not(iserror(index(split(C132, "" ""),3))), index(split(C132, "" ""),3),index(split(C132, "" ""),2)))"),"")</f>
        <v/>
      </c>
      <c r="X132" s="38" t="b">
        <f t="shared" si="2"/>
        <v>0</v>
      </c>
      <c r="Y132" s="38"/>
      <c r="Z132" s="40"/>
      <c r="AA132" s="40"/>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row>
    <row r="133">
      <c r="A133" s="37"/>
      <c r="B133" s="322"/>
      <c r="C133" s="144"/>
      <c r="D133" s="144"/>
      <c r="E133" s="37"/>
      <c r="F133" s="37"/>
      <c r="G133" s="37"/>
      <c r="H133" s="33" t="str">
        <f t="shared" si="1"/>
        <v/>
      </c>
      <c r="I133" s="37"/>
      <c r="J133" s="37"/>
      <c r="K133" s="37"/>
      <c r="L133" s="38"/>
      <c r="M133" s="37"/>
      <c r="N133" s="37"/>
      <c r="O133" s="37"/>
      <c r="P133" s="14"/>
      <c r="Q133" s="15"/>
      <c r="R133" s="16"/>
      <c r="S133" s="16"/>
      <c r="T133" s="16"/>
      <c r="U133" s="16"/>
      <c r="V133" s="37" t="str">
        <f>IFERROR(__xludf.DUMMYFUNCTION("if(not(iserror(index(split(C133, "" ""),2))), index(split(C133, "" ""),1),"""")"),"")</f>
        <v/>
      </c>
      <c r="W133" s="315" t="str">
        <f>IFERROR(__xludf.DUMMYFUNCTION("if(V133="""",C133,if(not(iserror(index(split(C133, "" ""),3))), index(split(C133, "" ""),3),index(split(C133, "" ""),2)))"),"")</f>
        <v/>
      </c>
      <c r="X133" s="38" t="b">
        <f t="shared" si="2"/>
        <v>0</v>
      </c>
      <c r="Y133" s="38"/>
      <c r="Z133" s="40"/>
      <c r="AA133" s="40"/>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row>
    <row r="134">
      <c r="A134" s="37"/>
      <c r="B134" s="322"/>
      <c r="C134" s="144"/>
      <c r="D134" s="144"/>
      <c r="E134" s="37"/>
      <c r="F134" s="37"/>
      <c r="G134" s="37"/>
      <c r="H134" s="33" t="str">
        <f t="shared" si="1"/>
        <v/>
      </c>
      <c r="I134" s="37"/>
      <c r="J134" s="37"/>
      <c r="K134" s="37"/>
      <c r="L134" s="38"/>
      <c r="M134" s="37"/>
      <c r="N134" s="37"/>
      <c r="O134" s="37"/>
      <c r="P134" s="14"/>
      <c r="Q134" s="15"/>
      <c r="R134" s="16"/>
      <c r="S134" s="16"/>
      <c r="T134" s="16"/>
      <c r="U134" s="16"/>
      <c r="V134" s="37" t="str">
        <f>IFERROR(__xludf.DUMMYFUNCTION("if(not(iserror(index(split(C134, "" ""),2))), index(split(C134, "" ""),1),"""")"),"")</f>
        <v/>
      </c>
      <c r="W134" s="315" t="str">
        <f>IFERROR(__xludf.DUMMYFUNCTION("if(V134="""",C134,if(not(iserror(index(split(C134, "" ""),3))), index(split(C134, "" ""),3),index(split(C134, "" ""),2)))"),"")</f>
        <v/>
      </c>
      <c r="X134" s="38" t="b">
        <f t="shared" si="2"/>
        <v>0</v>
      </c>
      <c r="Y134" s="38"/>
      <c r="Z134" s="40"/>
      <c r="AA134" s="40"/>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row>
    <row r="135">
      <c r="A135" s="37"/>
      <c r="B135" s="322"/>
      <c r="C135" s="144"/>
      <c r="D135" s="144"/>
      <c r="E135" s="37"/>
      <c r="F135" s="37"/>
      <c r="G135" s="37"/>
      <c r="H135" s="33" t="str">
        <f t="shared" si="1"/>
        <v/>
      </c>
      <c r="I135" s="37"/>
      <c r="J135" s="37"/>
      <c r="K135" s="37"/>
      <c r="L135" s="38"/>
      <c r="M135" s="37"/>
      <c r="N135" s="37"/>
      <c r="O135" s="37"/>
      <c r="P135" s="14"/>
      <c r="Q135" s="15"/>
      <c r="R135" s="16"/>
      <c r="S135" s="16"/>
      <c r="T135" s="16"/>
      <c r="U135" s="16"/>
      <c r="V135" s="37" t="str">
        <f>IFERROR(__xludf.DUMMYFUNCTION("if(not(iserror(index(split(C135, "" ""),2))), index(split(C135, "" ""),1),"""")"),"")</f>
        <v/>
      </c>
      <c r="W135" s="315" t="str">
        <f>IFERROR(__xludf.DUMMYFUNCTION("if(V135="""",C135,if(not(iserror(index(split(C135, "" ""),3))), index(split(C135, "" ""),3),index(split(C135, "" ""),2)))"),"")</f>
        <v/>
      </c>
      <c r="X135" s="38" t="b">
        <f t="shared" si="2"/>
        <v>0</v>
      </c>
      <c r="Y135" s="38"/>
      <c r="Z135" s="40"/>
      <c r="AA135" s="40"/>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row>
    <row r="136">
      <c r="A136" s="37"/>
      <c r="B136" s="322"/>
      <c r="C136" s="144"/>
      <c r="D136" s="144"/>
      <c r="E136" s="37"/>
      <c r="F136" s="37"/>
      <c r="G136" s="37"/>
      <c r="H136" s="33" t="str">
        <f t="shared" si="1"/>
        <v/>
      </c>
      <c r="I136" s="37"/>
      <c r="J136" s="37"/>
      <c r="K136" s="37"/>
      <c r="L136" s="38"/>
      <c r="M136" s="37"/>
      <c r="N136" s="37"/>
      <c r="O136" s="37"/>
      <c r="P136" s="14"/>
      <c r="Q136" s="15"/>
      <c r="R136" s="16"/>
      <c r="S136" s="16"/>
      <c r="T136" s="16"/>
      <c r="U136" s="16"/>
      <c r="V136" s="37" t="str">
        <f>IFERROR(__xludf.DUMMYFUNCTION("if(not(iserror(index(split(C136, "" ""),2))), index(split(C136, "" ""),1),"""")"),"")</f>
        <v/>
      </c>
      <c r="W136" s="315" t="str">
        <f>IFERROR(__xludf.DUMMYFUNCTION("if(V136="""",C136,if(not(iserror(index(split(C136, "" ""),3))), index(split(C136, "" ""),3),index(split(C136, "" ""),2)))"),"")</f>
        <v/>
      </c>
      <c r="X136" s="38" t="b">
        <f t="shared" si="2"/>
        <v>0</v>
      </c>
      <c r="Y136" s="38"/>
      <c r="Z136" s="40"/>
      <c r="AA136" s="40"/>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row>
    <row r="137">
      <c r="A137" s="37"/>
      <c r="B137" s="322"/>
      <c r="C137" s="144"/>
      <c r="D137" s="144"/>
      <c r="E137" s="37"/>
      <c r="F137" s="37"/>
      <c r="G137" s="37"/>
      <c r="H137" s="33" t="str">
        <f t="shared" si="1"/>
        <v/>
      </c>
      <c r="I137" s="37"/>
      <c r="J137" s="37"/>
      <c r="K137" s="37"/>
      <c r="L137" s="38"/>
      <c r="M137" s="37"/>
      <c r="N137" s="37"/>
      <c r="O137" s="37"/>
      <c r="P137" s="14"/>
      <c r="Q137" s="15"/>
      <c r="R137" s="16"/>
      <c r="S137" s="16"/>
      <c r="T137" s="16"/>
      <c r="U137" s="16"/>
      <c r="V137" s="37" t="str">
        <f>IFERROR(__xludf.DUMMYFUNCTION("if(not(iserror(index(split(C137, "" ""),2))), index(split(C137, "" ""),1),"""")"),"")</f>
        <v/>
      </c>
      <c r="W137" s="315" t="str">
        <f>IFERROR(__xludf.DUMMYFUNCTION("if(V137="""",C137,if(not(iserror(index(split(C137, "" ""),3))), index(split(C137, "" ""),3),index(split(C137, "" ""),2)))"),"")</f>
        <v/>
      </c>
      <c r="X137" s="38" t="b">
        <f t="shared" si="2"/>
        <v>0</v>
      </c>
      <c r="Y137" s="38"/>
      <c r="Z137" s="40"/>
      <c r="AA137" s="40"/>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row>
    <row r="138">
      <c r="A138" s="37"/>
      <c r="B138" s="322"/>
      <c r="C138" s="144"/>
      <c r="D138" s="144"/>
      <c r="E138" s="37"/>
      <c r="F138" s="37"/>
      <c r="G138" s="37"/>
      <c r="H138" s="33" t="str">
        <f t="shared" si="1"/>
        <v/>
      </c>
      <c r="I138" s="37"/>
      <c r="J138" s="37"/>
      <c r="K138" s="37"/>
      <c r="L138" s="38"/>
      <c r="M138" s="37"/>
      <c r="N138" s="37"/>
      <c r="O138" s="37"/>
      <c r="P138" s="14"/>
      <c r="Q138" s="15"/>
      <c r="R138" s="16"/>
      <c r="S138" s="16"/>
      <c r="T138" s="16"/>
      <c r="U138" s="16"/>
      <c r="V138" s="37" t="str">
        <f>IFERROR(__xludf.DUMMYFUNCTION("if(not(iserror(index(split(C138, "" ""),2))), index(split(C138, "" ""),1),"""")"),"")</f>
        <v/>
      </c>
      <c r="W138" s="315" t="str">
        <f>IFERROR(__xludf.DUMMYFUNCTION("if(V138="""",C138,if(not(iserror(index(split(C138, "" ""),3))), index(split(C138, "" ""),3),index(split(C138, "" ""),2)))"),"")</f>
        <v/>
      </c>
      <c r="X138" s="38" t="b">
        <f t="shared" si="2"/>
        <v>0</v>
      </c>
      <c r="Y138" s="38"/>
      <c r="Z138" s="40"/>
      <c r="AA138" s="40"/>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row>
    <row r="139">
      <c r="A139" s="37"/>
      <c r="B139" s="322"/>
      <c r="C139" s="144"/>
      <c r="D139" s="144"/>
      <c r="E139" s="37"/>
      <c r="F139" s="37"/>
      <c r="G139" s="37"/>
      <c r="H139" s="33" t="str">
        <f t="shared" si="1"/>
        <v/>
      </c>
      <c r="I139" s="37"/>
      <c r="J139" s="37"/>
      <c r="K139" s="37"/>
      <c r="L139" s="38"/>
      <c r="M139" s="37"/>
      <c r="N139" s="37"/>
      <c r="O139" s="37"/>
      <c r="P139" s="14"/>
      <c r="Q139" s="14"/>
      <c r="R139" s="16"/>
      <c r="S139" s="16"/>
      <c r="T139" s="16"/>
      <c r="U139" s="16"/>
      <c r="V139" s="37" t="str">
        <f>IFERROR(__xludf.DUMMYFUNCTION("if(not(iserror(index(split(C139, "" ""),2))), index(split(C139, "" ""),1),"""")"),"")</f>
        <v/>
      </c>
      <c r="W139" s="315" t="str">
        <f>IFERROR(__xludf.DUMMYFUNCTION("if(V139="""",C139,if(not(iserror(index(split(C139, "" ""),3))), index(split(C139, "" ""),3),index(split(C139, "" ""),2)))"),"")</f>
        <v/>
      </c>
      <c r="X139" s="38" t="b">
        <f t="shared" si="2"/>
        <v>0</v>
      </c>
      <c r="Y139" s="38"/>
      <c r="Z139" s="40"/>
      <c r="AA139" s="40"/>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row>
    <row r="140">
      <c r="A140" s="37"/>
      <c r="B140" s="322"/>
      <c r="C140" s="144"/>
      <c r="D140" s="144"/>
      <c r="E140" s="37"/>
      <c r="F140" s="37"/>
      <c r="G140" s="37"/>
      <c r="H140" s="33" t="str">
        <f t="shared" si="1"/>
        <v/>
      </c>
      <c r="I140" s="37"/>
      <c r="J140" s="37"/>
      <c r="K140" s="37"/>
      <c r="L140" s="38"/>
      <c r="M140" s="37"/>
      <c r="N140" s="37"/>
      <c r="O140" s="37"/>
      <c r="P140" s="14"/>
      <c r="Q140" s="15"/>
      <c r="R140" s="16"/>
      <c r="S140" s="16"/>
      <c r="T140" s="16"/>
      <c r="U140" s="16"/>
      <c r="V140" s="37" t="str">
        <f>IFERROR(__xludf.DUMMYFUNCTION("if(not(iserror(index(split(C140, "" ""),2))), index(split(C140, "" ""),1),"""")"),"")</f>
        <v/>
      </c>
      <c r="W140" s="315" t="str">
        <f>IFERROR(__xludf.DUMMYFUNCTION("if(V140="""",C140,if(not(iserror(index(split(C140, "" ""),3))), index(split(C140, "" ""),3),index(split(C140, "" ""),2)))"),"")</f>
        <v/>
      </c>
      <c r="X140" s="38" t="b">
        <f t="shared" si="2"/>
        <v>0</v>
      </c>
      <c r="Y140" s="38"/>
      <c r="Z140" s="40"/>
      <c r="AA140" s="40"/>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row>
    <row r="141">
      <c r="A141" s="37"/>
      <c r="B141" s="322"/>
      <c r="C141" s="144"/>
      <c r="D141" s="144"/>
      <c r="E141" s="37"/>
      <c r="F141" s="37"/>
      <c r="G141" s="37"/>
      <c r="H141" s="33" t="str">
        <f t="shared" si="1"/>
        <v/>
      </c>
      <c r="I141" s="37"/>
      <c r="J141" s="37"/>
      <c r="K141" s="37"/>
      <c r="L141" s="38"/>
      <c r="M141" s="37"/>
      <c r="N141" s="37"/>
      <c r="O141" s="37"/>
      <c r="P141" s="14"/>
      <c r="Q141" s="15"/>
      <c r="R141" s="16"/>
      <c r="S141" s="16"/>
      <c r="T141" s="16"/>
      <c r="U141" s="16"/>
      <c r="V141" s="37" t="str">
        <f>IFERROR(__xludf.DUMMYFUNCTION("if(not(iserror(index(split(C141, "" ""),2))), index(split(C141, "" ""),1),"""")"),"")</f>
        <v/>
      </c>
      <c r="W141" s="315" t="str">
        <f>IFERROR(__xludf.DUMMYFUNCTION("if(V141="""",C141,if(not(iserror(index(split(C141, "" ""),3))), index(split(C141, "" ""),3),index(split(C141, "" ""),2)))"),"")</f>
        <v/>
      </c>
      <c r="X141" s="38" t="b">
        <f t="shared" si="2"/>
        <v>0</v>
      </c>
      <c r="Y141" s="38"/>
      <c r="Z141" s="40"/>
      <c r="AA141" s="40"/>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row>
    <row r="142">
      <c r="A142" s="37"/>
      <c r="B142" s="322"/>
      <c r="C142" s="144"/>
      <c r="D142" s="144"/>
      <c r="E142" s="37"/>
      <c r="F142" s="37"/>
      <c r="G142" s="37"/>
      <c r="H142" s="33" t="str">
        <f t="shared" si="1"/>
        <v/>
      </c>
      <c r="I142" s="37"/>
      <c r="J142" s="37"/>
      <c r="K142" s="37"/>
      <c r="L142" s="38"/>
      <c r="M142" s="37"/>
      <c r="N142" s="37"/>
      <c r="O142" s="37"/>
      <c r="P142" s="14"/>
      <c r="Q142" s="15"/>
      <c r="R142" s="16"/>
      <c r="S142" s="16"/>
      <c r="T142" s="16"/>
      <c r="U142" s="16"/>
      <c r="V142" s="37" t="str">
        <f>IFERROR(__xludf.DUMMYFUNCTION("if(not(iserror(index(split(C142, "" ""),2))), index(split(C142, "" ""),1),"""")"),"")</f>
        <v/>
      </c>
      <c r="W142" s="315" t="str">
        <f>IFERROR(__xludf.DUMMYFUNCTION("if(V142="""",C142,if(not(iserror(index(split(C142, "" ""),3))), index(split(C142, "" ""),3),index(split(C142, "" ""),2)))"),"")</f>
        <v/>
      </c>
      <c r="X142" s="38" t="b">
        <f t="shared" si="2"/>
        <v>0</v>
      </c>
      <c r="Y142" s="38"/>
      <c r="Z142" s="40"/>
      <c r="AA142" s="40"/>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row>
    <row r="143">
      <c r="A143" s="37"/>
      <c r="B143" s="322"/>
      <c r="C143" s="144"/>
      <c r="D143" s="144"/>
      <c r="E143" s="37"/>
      <c r="F143" s="37"/>
      <c r="G143" s="37"/>
      <c r="H143" s="33" t="str">
        <f t="shared" si="1"/>
        <v/>
      </c>
      <c r="I143" s="37"/>
      <c r="J143" s="37"/>
      <c r="K143" s="37"/>
      <c r="L143" s="38"/>
      <c r="M143" s="37"/>
      <c r="N143" s="37"/>
      <c r="O143" s="37"/>
      <c r="P143" s="14"/>
      <c r="Q143" s="15"/>
      <c r="R143" s="16"/>
      <c r="S143" s="16"/>
      <c r="T143" s="16"/>
      <c r="U143" s="16"/>
      <c r="V143" s="37" t="str">
        <f>IFERROR(__xludf.DUMMYFUNCTION("if(not(iserror(index(split(C143, "" ""),2))), index(split(C143, "" ""),1),"""")"),"")</f>
        <v/>
      </c>
      <c r="W143" s="315" t="str">
        <f>IFERROR(__xludf.DUMMYFUNCTION("if(V143="""",C143,if(not(iserror(index(split(C143, "" ""),3))), index(split(C143, "" ""),3),index(split(C143, "" ""),2)))"),"")</f>
        <v/>
      </c>
      <c r="X143" s="38" t="b">
        <f t="shared" si="2"/>
        <v>0</v>
      </c>
      <c r="Y143" s="38"/>
      <c r="Z143" s="40"/>
      <c r="AA143" s="40"/>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row>
    <row r="144">
      <c r="A144" s="90"/>
      <c r="B144" s="322"/>
      <c r="C144" s="144"/>
      <c r="D144" s="144"/>
      <c r="E144" s="37"/>
      <c r="F144" s="37"/>
      <c r="G144" s="37"/>
      <c r="H144" s="33" t="str">
        <f t="shared" si="1"/>
        <v/>
      </c>
      <c r="I144" s="37"/>
      <c r="J144" s="37"/>
      <c r="K144" s="37"/>
      <c r="L144" s="38"/>
      <c r="M144" s="37"/>
      <c r="N144" s="37"/>
      <c r="O144" s="37"/>
      <c r="P144" s="14"/>
      <c r="Q144" s="15"/>
      <c r="R144" s="16"/>
      <c r="S144" s="16"/>
      <c r="T144" s="16"/>
      <c r="U144" s="16"/>
      <c r="V144" s="37" t="str">
        <f>IFERROR(__xludf.DUMMYFUNCTION("if(not(iserror(index(split(C144, "" ""),2))), index(split(C144, "" ""),1),"""")"),"")</f>
        <v/>
      </c>
      <c r="W144" s="315" t="str">
        <f>IFERROR(__xludf.DUMMYFUNCTION("if(V144="""",C144,if(not(iserror(index(split(C144, "" ""),3))), index(split(C144, "" ""),3),index(split(C144, "" ""),2)))"),"")</f>
        <v/>
      </c>
      <c r="X144" s="38" t="b">
        <f t="shared" si="2"/>
        <v>0</v>
      </c>
      <c r="Y144" s="38"/>
      <c r="Z144" s="40"/>
      <c r="AA144" s="40"/>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row>
    <row r="145">
      <c r="A145" s="90"/>
      <c r="B145" s="322"/>
      <c r="C145" s="144"/>
      <c r="D145" s="144"/>
      <c r="E145" s="37"/>
      <c r="F145" s="37"/>
      <c r="G145" s="37"/>
      <c r="H145" s="33" t="str">
        <f t="shared" si="1"/>
        <v/>
      </c>
      <c r="I145" s="37"/>
      <c r="J145" s="37"/>
      <c r="K145" s="37"/>
      <c r="L145" s="38"/>
      <c r="M145" s="37"/>
      <c r="N145" s="37"/>
      <c r="O145" s="37"/>
      <c r="P145" s="14"/>
      <c r="Q145" s="15"/>
      <c r="R145" s="16"/>
      <c r="S145" s="16"/>
      <c r="T145" s="16"/>
      <c r="U145" s="16"/>
      <c r="V145" s="37" t="str">
        <f>IFERROR(__xludf.DUMMYFUNCTION("if(not(iserror(index(split(C145, "" ""),2))), index(split(C145, "" ""),1),"""")"),"")</f>
        <v/>
      </c>
      <c r="W145" s="315" t="str">
        <f>IFERROR(__xludf.DUMMYFUNCTION("if(V145="""",C145,if(not(iserror(index(split(C145, "" ""),3))), index(split(C145, "" ""),3),index(split(C145, "" ""),2)))"),"")</f>
        <v/>
      </c>
      <c r="X145" s="38" t="b">
        <f t="shared" si="2"/>
        <v>0</v>
      </c>
      <c r="Y145" s="38"/>
      <c r="Z145" s="40"/>
      <c r="AA145" s="40"/>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row>
    <row r="146">
      <c r="A146" s="90"/>
      <c r="B146" s="322"/>
      <c r="C146" s="144"/>
      <c r="D146" s="144"/>
      <c r="E146" s="37"/>
      <c r="F146" s="37"/>
      <c r="G146" s="37"/>
      <c r="H146" s="33" t="str">
        <f t="shared" si="1"/>
        <v/>
      </c>
      <c r="I146" s="37"/>
      <c r="J146" s="37"/>
      <c r="K146" s="37"/>
      <c r="L146" s="38"/>
      <c r="M146" s="37"/>
      <c r="N146" s="37"/>
      <c r="O146" s="37"/>
      <c r="P146" s="14"/>
      <c r="Q146" s="15"/>
      <c r="R146" s="16"/>
      <c r="S146" s="16"/>
      <c r="T146" s="16"/>
      <c r="U146" s="16"/>
      <c r="V146" s="37" t="str">
        <f>IFERROR(__xludf.DUMMYFUNCTION("if(not(iserror(index(split(C146, "" ""),2))), index(split(C146, "" ""),1),"""")"),"")</f>
        <v/>
      </c>
      <c r="W146" s="315" t="str">
        <f>IFERROR(__xludf.DUMMYFUNCTION("if(V146="""",C146,if(not(iserror(index(split(C146, "" ""),3))), index(split(C146, "" ""),3),index(split(C146, "" ""),2)))"),"")</f>
        <v/>
      </c>
      <c r="X146" s="38" t="b">
        <f t="shared" si="2"/>
        <v>0</v>
      </c>
      <c r="Y146" s="38"/>
      <c r="Z146" s="40"/>
      <c r="AA146" s="40"/>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row>
    <row r="147">
      <c r="A147" s="90"/>
      <c r="B147" s="322"/>
      <c r="C147" s="144"/>
      <c r="D147" s="144"/>
      <c r="E147" s="37"/>
      <c r="F147" s="37"/>
      <c r="G147" s="37"/>
      <c r="H147" s="33" t="str">
        <f t="shared" si="1"/>
        <v/>
      </c>
      <c r="I147" s="37"/>
      <c r="J147" s="37"/>
      <c r="K147" s="37"/>
      <c r="L147" s="38"/>
      <c r="M147" s="37"/>
      <c r="N147" s="37"/>
      <c r="O147" s="37"/>
      <c r="P147" s="14"/>
      <c r="Q147" s="15"/>
      <c r="R147" s="16"/>
      <c r="S147" s="16"/>
      <c r="T147" s="16"/>
      <c r="U147" s="16"/>
      <c r="V147" s="37" t="str">
        <f>IFERROR(__xludf.DUMMYFUNCTION("if(not(iserror(index(split(C147, "" ""),2))), index(split(C147, "" ""),1),"""")"),"")</f>
        <v/>
      </c>
      <c r="W147" s="315" t="str">
        <f>IFERROR(__xludf.DUMMYFUNCTION("if(V147="""",C147,if(not(iserror(index(split(C147, "" ""),3))), index(split(C147, "" ""),3),index(split(C147, "" ""),2)))"),"")</f>
        <v/>
      </c>
      <c r="X147" s="38" t="b">
        <f t="shared" si="2"/>
        <v>0</v>
      </c>
      <c r="Y147" s="38"/>
      <c r="Z147" s="40"/>
      <c r="AA147" s="40"/>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row>
    <row r="148">
      <c r="A148" s="90"/>
      <c r="B148" s="322"/>
      <c r="C148" s="144"/>
      <c r="D148" s="144"/>
      <c r="E148" s="37"/>
      <c r="F148" s="37"/>
      <c r="G148" s="37"/>
      <c r="H148" s="33" t="str">
        <f t="shared" si="1"/>
        <v/>
      </c>
      <c r="I148" s="37"/>
      <c r="J148" s="37"/>
      <c r="K148" s="37"/>
      <c r="L148" s="38"/>
      <c r="M148" s="37"/>
      <c r="N148" s="37"/>
      <c r="O148" s="37"/>
      <c r="P148" s="14"/>
      <c r="Q148" s="15"/>
      <c r="R148" s="16"/>
      <c r="S148" s="16"/>
      <c r="T148" s="16"/>
      <c r="U148" s="16"/>
      <c r="V148" s="37" t="str">
        <f>IFERROR(__xludf.DUMMYFUNCTION("if(not(iserror(index(split(C148, "" ""),2))), index(split(C148, "" ""),1),"""")"),"")</f>
        <v/>
      </c>
      <c r="W148" s="315" t="str">
        <f>IFERROR(__xludf.DUMMYFUNCTION("if(V148="""",C148,if(not(iserror(index(split(C148, "" ""),3))), index(split(C148, "" ""),3),index(split(C148, "" ""),2)))"),"")</f>
        <v/>
      </c>
      <c r="X148" s="38" t="b">
        <f t="shared" si="2"/>
        <v>0</v>
      </c>
      <c r="Y148" s="38"/>
      <c r="Z148" s="40"/>
      <c r="AA148" s="40"/>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row>
    <row r="149">
      <c r="A149" s="37"/>
      <c r="B149" s="322"/>
      <c r="C149" s="144"/>
      <c r="D149" s="144"/>
      <c r="E149" s="37"/>
      <c r="F149" s="37"/>
      <c r="G149" s="37"/>
      <c r="H149" s="33" t="str">
        <f t="shared" si="1"/>
        <v/>
      </c>
      <c r="I149" s="37"/>
      <c r="J149" s="37"/>
      <c r="K149" s="37"/>
      <c r="L149" s="38"/>
      <c r="M149" s="37"/>
      <c r="N149" s="37"/>
      <c r="O149" s="37"/>
      <c r="P149" s="14"/>
      <c r="Q149" s="15"/>
      <c r="R149" s="16"/>
      <c r="S149" s="16"/>
      <c r="T149" s="16"/>
      <c r="U149" s="16"/>
      <c r="V149" s="37" t="str">
        <f>IFERROR(__xludf.DUMMYFUNCTION("if(not(iserror(index(split(C149, "" ""),2))), index(split(C149, "" ""),1),"""")"),"")</f>
        <v/>
      </c>
      <c r="W149" s="315" t="str">
        <f>IFERROR(__xludf.DUMMYFUNCTION("if(V149="""",C149,if(not(iserror(index(split(C149, "" ""),3))), index(split(C149, "" ""),3),index(split(C149, "" ""),2)))"),"")</f>
        <v/>
      </c>
      <c r="X149" s="38" t="b">
        <f t="shared" si="2"/>
        <v>0</v>
      </c>
      <c r="Y149" s="38"/>
      <c r="Z149" s="40"/>
      <c r="AA149" s="40"/>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row>
    <row r="150">
      <c r="A150" s="37"/>
      <c r="B150" s="322"/>
      <c r="C150" s="144"/>
      <c r="D150" s="144"/>
      <c r="E150" s="37"/>
      <c r="F150" s="37"/>
      <c r="G150" s="37"/>
      <c r="H150" s="33" t="str">
        <f t="shared" si="1"/>
        <v/>
      </c>
      <c r="I150" s="37"/>
      <c r="J150" s="37"/>
      <c r="K150" s="37"/>
      <c r="L150" s="38"/>
      <c r="M150" s="37"/>
      <c r="N150" s="37"/>
      <c r="O150" s="37"/>
      <c r="P150" s="14"/>
      <c r="Q150" s="14"/>
      <c r="R150" s="16"/>
      <c r="S150" s="16"/>
      <c r="T150" s="16"/>
      <c r="U150" s="16"/>
      <c r="V150" s="37" t="str">
        <f>IFERROR(__xludf.DUMMYFUNCTION("if(not(iserror(index(split(C150, "" ""),2))), index(split(C150, "" ""),1),"""")"),"")</f>
        <v/>
      </c>
      <c r="W150" s="315" t="str">
        <f>IFERROR(__xludf.DUMMYFUNCTION("if(V150="""",C150,if(not(iserror(index(split(C150, "" ""),3))), index(split(C150, "" ""),3),index(split(C150, "" ""),2)))"),"")</f>
        <v/>
      </c>
      <c r="X150" s="38" t="b">
        <f t="shared" si="2"/>
        <v>0</v>
      </c>
      <c r="Y150" s="38"/>
      <c r="Z150" s="40"/>
      <c r="AA150" s="40"/>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row>
    <row r="151">
      <c r="A151" s="37"/>
      <c r="B151" s="322"/>
      <c r="C151" s="144"/>
      <c r="D151" s="144"/>
      <c r="E151" s="37"/>
      <c r="F151" s="37"/>
      <c r="G151" s="37"/>
      <c r="H151" s="33" t="str">
        <f t="shared" si="1"/>
        <v/>
      </c>
      <c r="I151" s="37"/>
      <c r="J151" s="37"/>
      <c r="K151" s="37"/>
      <c r="L151" s="38"/>
      <c r="M151" s="37"/>
      <c r="N151" s="37"/>
      <c r="O151" s="37"/>
      <c r="P151" s="14"/>
      <c r="Q151" s="15"/>
      <c r="R151" s="16"/>
      <c r="S151" s="16"/>
      <c r="T151" s="16"/>
      <c r="U151" s="16"/>
      <c r="V151" s="37" t="str">
        <f>IFERROR(__xludf.DUMMYFUNCTION("if(not(iserror(index(split(C151, "" ""),2))), index(split(C151, "" ""),1),"""")"),"")</f>
        <v/>
      </c>
      <c r="W151" s="315" t="str">
        <f>IFERROR(__xludf.DUMMYFUNCTION("if(V151="""",C151,if(not(iserror(index(split(C151, "" ""),3))), index(split(C151, "" ""),3),index(split(C151, "" ""),2)))"),"")</f>
        <v/>
      </c>
      <c r="X151" s="38" t="b">
        <f t="shared" si="2"/>
        <v>0</v>
      </c>
      <c r="Y151" s="38"/>
      <c r="Z151" s="40"/>
      <c r="AA151" s="40"/>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row>
    <row r="152">
      <c r="A152" s="37"/>
      <c r="B152" s="322"/>
      <c r="C152" s="144"/>
      <c r="D152" s="144"/>
      <c r="E152" s="37"/>
      <c r="F152" s="37"/>
      <c r="G152" s="37"/>
      <c r="H152" s="33" t="str">
        <f t="shared" si="1"/>
        <v/>
      </c>
      <c r="I152" s="37"/>
      <c r="J152" s="37"/>
      <c r="K152" s="37"/>
      <c r="L152" s="38"/>
      <c r="M152" s="37"/>
      <c r="N152" s="37"/>
      <c r="O152" s="37"/>
      <c r="P152" s="14"/>
      <c r="Q152" s="15"/>
      <c r="R152" s="16"/>
      <c r="S152" s="16"/>
      <c r="T152" s="16"/>
      <c r="U152" s="16"/>
      <c r="V152" s="37" t="str">
        <f>IFERROR(__xludf.DUMMYFUNCTION("if(not(iserror(index(split(C152, "" ""),2))), index(split(C152, "" ""),1),"""")"),"")</f>
        <v/>
      </c>
      <c r="W152" s="315" t="str">
        <f>IFERROR(__xludf.DUMMYFUNCTION("if(V152="""",C152,if(not(iserror(index(split(C152, "" ""),3))), index(split(C152, "" ""),3),index(split(C152, "" ""),2)))"),"")</f>
        <v/>
      </c>
      <c r="X152" s="38" t="b">
        <f t="shared" si="2"/>
        <v>0</v>
      </c>
      <c r="Y152" s="38"/>
      <c r="Z152" s="40"/>
      <c r="AA152" s="40"/>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row>
    <row r="153">
      <c r="A153" s="37"/>
      <c r="B153" s="322"/>
      <c r="C153" s="144"/>
      <c r="D153" s="144"/>
      <c r="E153" s="37"/>
      <c r="F153" s="37"/>
      <c r="G153" s="37"/>
      <c r="H153" s="33" t="str">
        <f t="shared" si="1"/>
        <v/>
      </c>
      <c r="I153" s="37"/>
      <c r="J153" s="37"/>
      <c r="K153" s="37"/>
      <c r="L153" s="38"/>
      <c r="M153" s="37"/>
      <c r="N153" s="37"/>
      <c r="O153" s="37"/>
      <c r="P153" s="14"/>
      <c r="Q153" s="15"/>
      <c r="R153" s="16"/>
      <c r="S153" s="16"/>
      <c r="T153" s="16"/>
      <c r="U153" s="16"/>
      <c r="V153" s="37" t="str">
        <f>IFERROR(__xludf.DUMMYFUNCTION("if(not(iserror(index(split(C153, "" ""),2))), index(split(C153, "" ""),1),"""")"),"")</f>
        <v/>
      </c>
      <c r="W153" s="315" t="str">
        <f>IFERROR(__xludf.DUMMYFUNCTION("if(V153="""",C153,if(not(iserror(index(split(C153, "" ""),3))), index(split(C153, "" ""),3),index(split(C153, "" ""),2)))"),"")</f>
        <v/>
      </c>
      <c r="X153" s="38" t="b">
        <f t="shared" si="2"/>
        <v>0</v>
      </c>
      <c r="Y153" s="38"/>
      <c r="Z153" s="40"/>
      <c r="AA153" s="40"/>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row>
    <row r="154">
      <c r="A154" s="368"/>
      <c r="B154" s="322"/>
      <c r="C154" s="144"/>
      <c r="D154" s="144"/>
      <c r="E154" s="37"/>
      <c r="F154" s="37"/>
      <c r="G154" s="37"/>
      <c r="H154" s="33" t="str">
        <f t="shared" si="1"/>
        <v/>
      </c>
      <c r="I154" s="37"/>
      <c r="J154" s="37"/>
      <c r="K154" s="37"/>
      <c r="L154" s="38"/>
      <c r="M154" s="37"/>
      <c r="N154" s="37"/>
      <c r="O154" s="37"/>
      <c r="P154" s="14"/>
      <c r="Q154" s="15"/>
      <c r="R154" s="16"/>
      <c r="S154" s="16"/>
      <c r="T154" s="16"/>
      <c r="U154" s="16"/>
      <c r="V154" s="37" t="str">
        <f>IFERROR(__xludf.DUMMYFUNCTION("if(not(iserror(index(split(C154, "" ""),2))), index(split(C154, "" ""),1),"""")"),"")</f>
        <v/>
      </c>
      <c r="W154" s="315" t="str">
        <f>IFERROR(__xludf.DUMMYFUNCTION("if(V154="""",C154,if(not(iserror(index(split(C154, "" ""),3))), index(split(C154, "" ""),3),index(split(C154, "" ""),2)))"),"")</f>
        <v/>
      </c>
      <c r="X154" s="38" t="b">
        <f t="shared" si="2"/>
        <v>0</v>
      </c>
      <c r="Y154" s="38"/>
      <c r="Z154" s="40"/>
      <c r="AA154" s="40"/>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row>
    <row r="155">
      <c r="A155" s="368"/>
      <c r="B155" s="322"/>
      <c r="C155" s="144"/>
      <c r="D155" s="144"/>
      <c r="E155" s="37"/>
      <c r="F155" s="37"/>
      <c r="G155" s="37"/>
      <c r="H155" s="33" t="str">
        <f t="shared" si="1"/>
        <v/>
      </c>
      <c r="I155" s="37"/>
      <c r="J155" s="37"/>
      <c r="K155" s="37"/>
      <c r="L155" s="38"/>
      <c r="M155" s="37"/>
      <c r="N155" s="37"/>
      <c r="O155" s="37"/>
      <c r="P155" s="14"/>
      <c r="Q155" s="15"/>
      <c r="R155" s="16"/>
      <c r="S155" s="16"/>
      <c r="T155" s="16"/>
      <c r="U155" s="16"/>
      <c r="V155" s="37" t="str">
        <f>IFERROR(__xludf.DUMMYFUNCTION("if(not(iserror(index(split(C155, "" ""),2))), index(split(C155, "" ""),1),"""")"),"")</f>
        <v/>
      </c>
      <c r="W155" s="315" t="str">
        <f>IFERROR(__xludf.DUMMYFUNCTION("if(V155="""",C155,if(not(iserror(index(split(C155, "" ""),3))), index(split(C155, "" ""),3),index(split(C155, "" ""),2)))"),"")</f>
        <v/>
      </c>
      <c r="X155" s="38" t="b">
        <f t="shared" si="2"/>
        <v>0</v>
      </c>
      <c r="Y155" s="38"/>
      <c r="Z155" s="40"/>
      <c r="AA155" s="40"/>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row>
    <row r="156">
      <c r="A156" s="368"/>
      <c r="B156" s="322"/>
      <c r="C156" s="144"/>
      <c r="D156" s="144"/>
      <c r="E156" s="37"/>
      <c r="F156" s="37"/>
      <c r="G156" s="37"/>
      <c r="H156" s="33" t="str">
        <f t="shared" si="1"/>
        <v/>
      </c>
      <c r="I156" s="37"/>
      <c r="J156" s="37"/>
      <c r="K156" s="37"/>
      <c r="L156" s="38"/>
      <c r="M156" s="37"/>
      <c r="N156" s="37"/>
      <c r="O156" s="37"/>
      <c r="P156" s="14"/>
      <c r="Q156" s="15"/>
      <c r="R156" s="16"/>
      <c r="S156" s="16"/>
      <c r="T156" s="16"/>
      <c r="U156" s="16"/>
      <c r="V156" s="37" t="str">
        <f>IFERROR(__xludf.DUMMYFUNCTION("if(not(iserror(index(split(C156, "" ""),2))), index(split(C156, "" ""),1),"""")"),"")</f>
        <v/>
      </c>
      <c r="W156" s="315" t="str">
        <f>IFERROR(__xludf.DUMMYFUNCTION("if(V156="""",C156,if(not(iserror(index(split(C156, "" ""),3))), index(split(C156, "" ""),3),index(split(C156, "" ""),2)))"),"")</f>
        <v/>
      </c>
      <c r="X156" s="38" t="b">
        <f t="shared" si="2"/>
        <v>0</v>
      </c>
      <c r="Y156" s="38"/>
      <c r="Z156" s="40"/>
      <c r="AA156" s="40"/>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row>
    <row r="157">
      <c r="A157" s="369"/>
      <c r="B157" s="322"/>
      <c r="C157" s="144"/>
      <c r="D157" s="144"/>
      <c r="E157" s="37"/>
      <c r="F157" s="37"/>
      <c r="G157" s="37"/>
      <c r="H157" s="33" t="str">
        <f t="shared" si="1"/>
        <v/>
      </c>
      <c r="I157" s="37"/>
      <c r="J157" s="37"/>
      <c r="K157" s="37"/>
      <c r="L157" s="38"/>
      <c r="M157" s="37"/>
      <c r="N157" s="37"/>
      <c r="O157" s="37"/>
      <c r="P157" s="14"/>
      <c r="Q157" s="15"/>
      <c r="R157" s="16"/>
      <c r="S157" s="16"/>
      <c r="T157" s="16"/>
      <c r="U157" s="16"/>
      <c r="V157" s="37" t="str">
        <f>IFERROR(__xludf.DUMMYFUNCTION("if(not(iserror(index(split(C157, "" ""),2))), index(split(C157, "" ""),1),"""")"),"")</f>
        <v/>
      </c>
      <c r="W157" s="315" t="str">
        <f>IFERROR(__xludf.DUMMYFUNCTION("if(V157="""",C157,if(not(iserror(index(split(C157, "" ""),3))), index(split(C157, "" ""),3),index(split(C157, "" ""),2)))"),"")</f>
        <v/>
      </c>
      <c r="X157" s="38" t="b">
        <f t="shared" si="2"/>
        <v>0</v>
      </c>
      <c r="Y157" s="38"/>
      <c r="Z157" s="40"/>
      <c r="AA157" s="40"/>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row>
    <row r="158">
      <c r="A158" s="368"/>
      <c r="B158" s="322"/>
      <c r="C158" s="144"/>
      <c r="D158" s="144"/>
      <c r="E158" s="37"/>
      <c r="F158" s="37"/>
      <c r="G158" s="37"/>
      <c r="H158" s="33" t="str">
        <f t="shared" si="1"/>
        <v/>
      </c>
      <c r="I158" s="37"/>
      <c r="J158" s="37"/>
      <c r="K158" s="37"/>
      <c r="L158" s="38"/>
      <c r="M158" s="58"/>
      <c r="N158" s="58"/>
      <c r="O158" s="58"/>
      <c r="P158" s="14"/>
      <c r="Q158" s="15"/>
      <c r="R158" s="16"/>
      <c r="S158" s="16"/>
      <c r="T158" s="16"/>
      <c r="U158" s="16"/>
      <c r="V158" s="37" t="str">
        <f>IFERROR(__xludf.DUMMYFUNCTION("if(not(iserror(index(split(C158, "" ""),2))), index(split(C158, "" ""),1),"""")"),"")</f>
        <v/>
      </c>
      <c r="W158" s="315" t="str">
        <f>IFERROR(__xludf.DUMMYFUNCTION("if(V158="""",C158,if(not(iserror(index(split(C158, "" ""),3))), index(split(C158, "" ""),3),index(split(C158, "" ""),2)))"),"")</f>
        <v/>
      </c>
      <c r="X158" s="38" t="b">
        <f t="shared" si="2"/>
        <v>0</v>
      </c>
      <c r="Y158" s="38"/>
      <c r="Z158" s="40"/>
      <c r="AA158" s="40"/>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row>
    <row r="159">
      <c r="A159" s="368"/>
      <c r="B159" s="322"/>
      <c r="C159" s="144"/>
      <c r="D159" s="144"/>
      <c r="E159" s="37"/>
      <c r="F159" s="37"/>
      <c r="G159" s="37"/>
      <c r="H159" s="33" t="str">
        <f t="shared" si="1"/>
        <v/>
      </c>
      <c r="I159" s="37"/>
      <c r="J159" s="37"/>
      <c r="K159" s="37"/>
      <c r="L159" s="38"/>
      <c r="M159" s="37"/>
      <c r="N159" s="37"/>
      <c r="O159" s="37"/>
      <c r="P159" s="14"/>
      <c r="Q159" s="15"/>
      <c r="R159" s="16"/>
      <c r="S159" s="16"/>
      <c r="T159" s="16"/>
      <c r="U159" s="16"/>
      <c r="V159" s="37" t="str">
        <f>IFERROR(__xludf.DUMMYFUNCTION("if(not(iserror(index(split(C159, "" ""),2))), index(split(C159, "" ""),1),"""")"),"")</f>
        <v/>
      </c>
      <c r="W159" s="315" t="str">
        <f>IFERROR(__xludf.DUMMYFUNCTION("if(V159="""",C159,if(not(iserror(index(split(C159, "" ""),3))), index(split(C159, "" ""),3),index(split(C159, "" ""),2)))"),"")</f>
        <v/>
      </c>
      <c r="X159" s="38" t="b">
        <f t="shared" si="2"/>
        <v>0</v>
      </c>
      <c r="Y159" s="38"/>
      <c r="Z159" s="40"/>
      <c r="AA159" s="40"/>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row>
    <row r="160">
      <c r="A160" s="368"/>
      <c r="B160" s="322"/>
      <c r="C160" s="144"/>
      <c r="D160" s="144"/>
      <c r="E160" s="37"/>
      <c r="F160" s="37"/>
      <c r="G160" s="37"/>
      <c r="H160" s="33" t="str">
        <f t="shared" si="1"/>
        <v/>
      </c>
      <c r="I160" s="37"/>
      <c r="J160" s="37"/>
      <c r="K160" s="37"/>
      <c r="L160" s="38"/>
      <c r="M160" s="37"/>
      <c r="N160" s="37"/>
      <c r="O160" s="37"/>
      <c r="P160" s="14"/>
      <c r="Q160" s="15"/>
      <c r="R160" s="16"/>
      <c r="S160" s="16"/>
      <c r="T160" s="16"/>
      <c r="U160" s="16"/>
      <c r="V160" s="37" t="str">
        <f>IFERROR(__xludf.DUMMYFUNCTION("if(not(iserror(index(split(C160, "" ""),2))), index(split(C160, "" ""),1),"""")"),"")</f>
        <v/>
      </c>
      <c r="W160" s="315" t="str">
        <f>IFERROR(__xludf.DUMMYFUNCTION("if(V160="""",C160,if(not(iserror(index(split(C160, "" ""),3))), index(split(C160, "" ""),3),index(split(C160, "" ""),2)))"),"")</f>
        <v/>
      </c>
      <c r="X160" s="38" t="b">
        <f t="shared" si="2"/>
        <v>0</v>
      </c>
      <c r="Y160" s="38"/>
      <c r="Z160" s="40"/>
      <c r="AA160" s="40"/>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row>
    <row r="161">
      <c r="A161" s="368"/>
      <c r="B161" s="322"/>
      <c r="C161" s="144"/>
      <c r="D161" s="144"/>
      <c r="E161" s="37"/>
      <c r="F161" s="37"/>
      <c r="G161" s="37"/>
      <c r="H161" s="33" t="str">
        <f t="shared" si="1"/>
        <v/>
      </c>
      <c r="I161" s="37"/>
      <c r="J161" s="37"/>
      <c r="K161" s="37"/>
      <c r="L161" s="38"/>
      <c r="M161" s="37"/>
      <c r="N161" s="37"/>
      <c r="O161" s="37"/>
      <c r="P161" s="14"/>
      <c r="Q161" s="15"/>
      <c r="R161" s="16"/>
      <c r="S161" s="16"/>
      <c r="T161" s="16"/>
      <c r="U161" s="16"/>
      <c r="V161" s="37" t="str">
        <f>IFERROR(__xludf.DUMMYFUNCTION("if(not(iserror(index(split(C161, "" ""),2))), index(split(C161, "" ""),1),"""")"),"")</f>
        <v/>
      </c>
      <c r="W161" s="315" t="str">
        <f>IFERROR(__xludf.DUMMYFUNCTION("if(V161="""",C161,if(not(iserror(index(split(C161, "" ""),3))), index(split(C161, "" ""),3),index(split(C161, "" ""),2)))"),"")</f>
        <v/>
      </c>
      <c r="X161" s="38" t="b">
        <f t="shared" si="2"/>
        <v>0</v>
      </c>
      <c r="Y161" s="38"/>
      <c r="Z161" s="40"/>
      <c r="AA161" s="40"/>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row>
    <row r="162">
      <c r="A162" s="368"/>
      <c r="B162" s="322"/>
      <c r="C162" s="144"/>
      <c r="D162" s="144"/>
      <c r="E162" s="37"/>
      <c r="F162" s="37"/>
      <c r="G162" s="37"/>
      <c r="H162" s="33" t="str">
        <f t="shared" si="1"/>
        <v/>
      </c>
      <c r="I162" s="37"/>
      <c r="J162" s="37"/>
      <c r="K162" s="37"/>
      <c r="L162" s="38"/>
      <c r="M162" s="37"/>
      <c r="N162" s="37"/>
      <c r="O162" s="37"/>
      <c r="P162" s="14"/>
      <c r="Q162" s="15"/>
      <c r="R162" s="16"/>
      <c r="S162" s="16"/>
      <c r="T162" s="16"/>
      <c r="U162" s="16"/>
      <c r="V162" s="37" t="str">
        <f>IFERROR(__xludf.DUMMYFUNCTION("if(not(iserror(index(split(C162, "" ""),2))), index(split(C162, "" ""),1),"""")"),"")</f>
        <v/>
      </c>
      <c r="W162" s="315" t="str">
        <f>IFERROR(__xludf.DUMMYFUNCTION("if(V162="""",C162,if(not(iserror(index(split(C162, "" ""),3))), index(split(C162, "" ""),3),index(split(C162, "" ""),2)))"),"")</f>
        <v/>
      </c>
      <c r="X162" s="38" t="b">
        <f t="shared" si="2"/>
        <v>0</v>
      </c>
      <c r="Y162" s="38"/>
      <c r="Z162" s="40"/>
      <c r="AA162" s="40"/>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row>
    <row r="163">
      <c r="A163" s="368"/>
      <c r="B163" s="322"/>
      <c r="C163" s="144"/>
      <c r="D163" s="144"/>
      <c r="E163" s="37"/>
      <c r="F163" s="37"/>
      <c r="G163" s="37"/>
      <c r="H163" s="33" t="str">
        <f t="shared" si="1"/>
        <v/>
      </c>
      <c r="I163" s="37"/>
      <c r="J163" s="37"/>
      <c r="K163" s="37"/>
      <c r="L163" s="38"/>
      <c r="M163" s="37"/>
      <c r="N163" s="37"/>
      <c r="O163" s="37"/>
      <c r="P163" s="14"/>
      <c r="Q163" s="15"/>
      <c r="R163" s="16"/>
      <c r="S163" s="16"/>
      <c r="T163" s="16"/>
      <c r="U163" s="16"/>
      <c r="V163" s="37" t="str">
        <f>IFERROR(__xludf.DUMMYFUNCTION("if(not(iserror(index(split(C163, "" ""),2))), index(split(C163, "" ""),1),"""")"),"")</f>
        <v/>
      </c>
      <c r="W163" s="315" t="str">
        <f>IFERROR(__xludf.DUMMYFUNCTION("if(V163="""",C163,if(not(iserror(index(split(C163, "" ""),3))), index(split(C163, "" ""),3),index(split(C163, "" ""),2)))"),"")</f>
        <v/>
      </c>
      <c r="X163" s="38" t="b">
        <f t="shared" si="2"/>
        <v>0</v>
      </c>
      <c r="Y163" s="38"/>
      <c r="Z163" s="40"/>
      <c r="AA163" s="40"/>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row>
    <row r="164">
      <c r="A164" s="368"/>
      <c r="B164" s="322"/>
      <c r="C164" s="144"/>
      <c r="D164" s="144"/>
      <c r="E164" s="37"/>
      <c r="F164" s="37"/>
      <c r="G164" s="37"/>
      <c r="H164" s="33" t="str">
        <f t="shared" si="1"/>
        <v/>
      </c>
      <c r="I164" s="37"/>
      <c r="J164" s="37"/>
      <c r="K164" s="37"/>
      <c r="L164" s="38"/>
      <c r="M164" s="37"/>
      <c r="N164" s="37"/>
      <c r="O164" s="37"/>
      <c r="P164" s="14"/>
      <c r="Q164" s="15"/>
      <c r="R164" s="16"/>
      <c r="S164" s="16"/>
      <c r="T164" s="16"/>
      <c r="U164" s="16"/>
      <c r="V164" s="37" t="str">
        <f>IFERROR(__xludf.DUMMYFUNCTION("if(not(iserror(index(split(C164, "" ""),2))), index(split(C164, "" ""),1),"""")"),"")</f>
        <v/>
      </c>
      <c r="W164" s="315" t="str">
        <f>IFERROR(__xludf.DUMMYFUNCTION("if(V164="""",C164,if(not(iserror(index(split(C164, "" ""),3))), index(split(C164, "" ""),3),index(split(C164, "" ""),2)))"),"")</f>
        <v/>
      </c>
      <c r="X164" s="38" t="b">
        <f t="shared" si="2"/>
        <v>0</v>
      </c>
      <c r="Y164" s="38"/>
      <c r="Z164" s="40"/>
      <c r="AA164" s="40"/>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row>
    <row r="165">
      <c r="A165" s="368"/>
      <c r="B165" s="322"/>
      <c r="C165" s="144"/>
      <c r="D165" s="144"/>
      <c r="E165" s="37"/>
      <c r="F165" s="37"/>
      <c r="G165" s="37"/>
      <c r="H165" s="33" t="str">
        <f t="shared" si="1"/>
        <v/>
      </c>
      <c r="I165" s="37"/>
      <c r="J165" s="37"/>
      <c r="K165" s="37"/>
      <c r="L165" s="38"/>
      <c r="M165" s="37"/>
      <c r="N165" s="37"/>
      <c r="O165" s="37"/>
      <c r="P165" s="14"/>
      <c r="Q165" s="15"/>
      <c r="R165" s="16"/>
      <c r="S165" s="16"/>
      <c r="T165" s="16"/>
      <c r="U165" s="16"/>
      <c r="V165" s="37" t="str">
        <f>IFERROR(__xludf.DUMMYFUNCTION("if(not(iserror(index(split(C165, "" ""),2))), index(split(C165, "" ""),1),"""")"),"")</f>
        <v/>
      </c>
      <c r="W165" s="315" t="str">
        <f>IFERROR(__xludf.DUMMYFUNCTION("if(V165="""",C165,if(not(iserror(index(split(C165, "" ""),3))), index(split(C165, "" ""),3),index(split(C165, "" ""),2)))"),"")</f>
        <v/>
      </c>
      <c r="X165" s="38" t="b">
        <f t="shared" si="2"/>
        <v>0</v>
      </c>
      <c r="Y165" s="38"/>
      <c r="Z165" s="40"/>
      <c r="AA165" s="40"/>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row>
    <row r="166">
      <c r="A166" s="37"/>
      <c r="B166" s="322"/>
      <c r="C166" s="144"/>
      <c r="D166" s="144"/>
      <c r="E166" s="37"/>
      <c r="F166" s="37"/>
      <c r="G166" s="37"/>
      <c r="H166" s="33" t="str">
        <f t="shared" si="1"/>
        <v/>
      </c>
      <c r="I166" s="37"/>
      <c r="J166" s="37"/>
      <c r="K166" s="37"/>
      <c r="L166" s="38"/>
      <c r="M166" s="58"/>
      <c r="N166" s="58"/>
      <c r="O166" s="58"/>
      <c r="P166" s="14"/>
      <c r="Q166" s="15"/>
      <c r="R166" s="16"/>
      <c r="S166" s="16"/>
      <c r="T166" s="16"/>
      <c r="U166" s="16"/>
      <c r="V166" s="37" t="str">
        <f>IFERROR(__xludf.DUMMYFUNCTION("if(not(iserror(index(split(C166, "" ""),2))), index(split(C166, "" ""),1),"""")"),"")</f>
        <v/>
      </c>
      <c r="W166" s="315" t="str">
        <f>IFERROR(__xludf.DUMMYFUNCTION("if(V166="""",C166,if(not(iserror(index(split(C166, "" ""),3))), index(split(C166, "" ""),3),index(split(C166, "" ""),2)))"),"")</f>
        <v/>
      </c>
      <c r="X166" s="38" t="b">
        <f t="shared" si="2"/>
        <v>0</v>
      </c>
      <c r="Y166" s="38"/>
      <c r="Z166" s="40"/>
      <c r="AA166" s="40"/>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row>
    <row r="167">
      <c r="A167" s="37"/>
      <c r="B167" s="322"/>
      <c r="C167" s="144"/>
      <c r="D167" s="144"/>
      <c r="E167" s="37"/>
      <c r="F167" s="37"/>
      <c r="G167" s="37"/>
      <c r="H167" s="33" t="str">
        <f t="shared" si="1"/>
        <v/>
      </c>
      <c r="I167" s="37"/>
      <c r="J167" s="37"/>
      <c r="K167" s="37"/>
      <c r="L167" s="38"/>
      <c r="M167" s="58"/>
      <c r="N167" s="58"/>
      <c r="O167" s="58"/>
      <c r="P167" s="14"/>
      <c r="Q167" s="15"/>
      <c r="R167" s="16"/>
      <c r="S167" s="16"/>
      <c r="T167" s="16"/>
      <c r="U167" s="16"/>
      <c r="V167" s="37" t="str">
        <f>IFERROR(__xludf.DUMMYFUNCTION("if(not(iserror(index(split(C167, "" ""),2))), index(split(C167, "" ""),1),"""")"),"")</f>
        <v/>
      </c>
      <c r="W167" s="315" t="str">
        <f>IFERROR(__xludf.DUMMYFUNCTION("if(V167="""",C167,if(not(iserror(index(split(C167, "" ""),3))), index(split(C167, "" ""),3),index(split(C167, "" ""),2)))"),"")</f>
        <v/>
      </c>
      <c r="X167" s="38" t="b">
        <f t="shared" si="2"/>
        <v>0</v>
      </c>
      <c r="Y167" s="38"/>
      <c r="Z167" s="40"/>
      <c r="AA167" s="40"/>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row>
    <row r="168">
      <c r="A168" s="37"/>
      <c r="B168" s="322"/>
      <c r="C168" s="144"/>
      <c r="D168" s="144"/>
      <c r="E168" s="37"/>
      <c r="F168" s="37"/>
      <c r="G168" s="37"/>
      <c r="H168" s="33" t="str">
        <f t="shared" si="1"/>
        <v/>
      </c>
      <c r="I168" s="37"/>
      <c r="J168" s="37"/>
      <c r="K168" s="37"/>
      <c r="L168" s="38"/>
      <c r="M168" s="58"/>
      <c r="N168" s="58"/>
      <c r="O168" s="58"/>
      <c r="P168" s="14"/>
      <c r="Q168" s="15"/>
      <c r="R168" s="16"/>
      <c r="S168" s="16"/>
      <c r="T168" s="16"/>
      <c r="U168" s="16"/>
      <c r="V168" s="37" t="str">
        <f>IFERROR(__xludf.DUMMYFUNCTION("if(not(iserror(index(split(C168, "" ""),2))), index(split(C168, "" ""),1),"""")"),"")</f>
        <v/>
      </c>
      <c r="W168" s="315" t="str">
        <f>IFERROR(__xludf.DUMMYFUNCTION("if(V168="""",C168,if(not(iserror(index(split(C168, "" ""),3))), index(split(C168, "" ""),3),index(split(C168, "" ""),2)))"),"")</f>
        <v/>
      </c>
      <c r="X168" s="38" t="b">
        <f t="shared" si="2"/>
        <v>0</v>
      </c>
      <c r="Y168" s="38"/>
      <c r="Z168" s="40"/>
      <c r="AA168" s="40"/>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row>
    <row r="169">
      <c r="A169" s="37"/>
      <c r="B169" s="322"/>
      <c r="C169" s="144"/>
      <c r="D169" s="144"/>
      <c r="E169" s="37"/>
      <c r="F169" s="37"/>
      <c r="G169" s="37"/>
      <c r="H169" s="33" t="str">
        <f t="shared" si="1"/>
        <v/>
      </c>
      <c r="I169" s="37"/>
      <c r="J169" s="37"/>
      <c r="K169" s="37"/>
      <c r="L169" s="38"/>
      <c r="M169" s="58"/>
      <c r="N169" s="58"/>
      <c r="O169" s="58"/>
      <c r="P169" s="14"/>
      <c r="Q169" s="15"/>
      <c r="R169" s="16"/>
      <c r="S169" s="16"/>
      <c r="T169" s="16"/>
      <c r="U169" s="16"/>
      <c r="V169" s="37" t="str">
        <f>IFERROR(__xludf.DUMMYFUNCTION("if(not(iserror(index(split(C169, "" ""),2))), index(split(C169, "" ""),1),"""")"),"")</f>
        <v/>
      </c>
      <c r="W169" s="315" t="str">
        <f>IFERROR(__xludf.DUMMYFUNCTION("if(V169="""",C169,if(not(iserror(index(split(C169, "" ""),3))), index(split(C169, "" ""),3),index(split(C169, "" ""),2)))"),"")</f>
        <v/>
      </c>
      <c r="X169" s="38" t="b">
        <f t="shared" si="2"/>
        <v>0</v>
      </c>
      <c r="Y169" s="38"/>
      <c r="Z169" s="40"/>
      <c r="AA169" s="40"/>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row>
    <row r="170">
      <c r="A170" s="37"/>
      <c r="B170" s="322"/>
      <c r="C170" s="144"/>
      <c r="D170" s="144"/>
      <c r="E170" s="37"/>
      <c r="F170" s="37"/>
      <c r="G170" s="37"/>
      <c r="H170" s="33" t="str">
        <f t="shared" si="1"/>
        <v/>
      </c>
      <c r="I170" s="37"/>
      <c r="J170" s="37"/>
      <c r="K170" s="37"/>
      <c r="L170" s="38"/>
      <c r="M170" s="58"/>
      <c r="N170" s="58"/>
      <c r="O170" s="58"/>
      <c r="P170" s="14"/>
      <c r="Q170" s="15"/>
      <c r="R170" s="16"/>
      <c r="S170" s="16"/>
      <c r="T170" s="16"/>
      <c r="U170" s="16"/>
      <c r="V170" s="37" t="str">
        <f>IFERROR(__xludf.DUMMYFUNCTION("if(not(iserror(index(split(C170, "" ""),2))), index(split(C170, "" ""),1),"""")"),"")</f>
        <v/>
      </c>
      <c r="W170" s="315" t="str">
        <f>IFERROR(__xludf.DUMMYFUNCTION("if(V170="""",C170,if(not(iserror(index(split(C170, "" ""),3))), index(split(C170, "" ""),3),index(split(C170, "" ""),2)))"),"")</f>
        <v/>
      </c>
      <c r="X170" s="38" t="b">
        <f t="shared" si="2"/>
        <v>0</v>
      </c>
      <c r="Y170" s="38"/>
      <c r="Z170" s="40"/>
      <c r="AA170" s="40"/>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row>
    <row r="171">
      <c r="A171" s="37"/>
      <c r="B171" s="322"/>
      <c r="C171" s="144"/>
      <c r="D171" s="144"/>
      <c r="E171" s="37"/>
      <c r="F171" s="37"/>
      <c r="G171" s="37"/>
      <c r="H171" s="33" t="str">
        <f t="shared" si="1"/>
        <v/>
      </c>
      <c r="I171" s="37"/>
      <c r="J171" s="37"/>
      <c r="K171" s="37"/>
      <c r="L171" s="38"/>
      <c r="M171" s="37"/>
      <c r="N171" s="37"/>
      <c r="O171" s="37"/>
      <c r="P171" s="14"/>
      <c r="Q171" s="15"/>
      <c r="R171" s="16"/>
      <c r="S171" s="16"/>
      <c r="T171" s="16"/>
      <c r="U171" s="16"/>
      <c r="V171" s="37" t="str">
        <f>IFERROR(__xludf.DUMMYFUNCTION("if(not(iserror(index(split(C171, "" ""),2))), index(split(C171, "" ""),1),"""")"),"")</f>
        <v/>
      </c>
      <c r="W171" s="315" t="str">
        <f>IFERROR(__xludf.DUMMYFUNCTION("if(V171="""",C171,if(not(iserror(index(split(C171, "" ""),3))), index(split(C171, "" ""),3),index(split(C171, "" ""),2)))"),"")</f>
        <v/>
      </c>
      <c r="X171" s="38" t="b">
        <f t="shared" si="2"/>
        <v>0</v>
      </c>
      <c r="Y171" s="38"/>
      <c r="Z171" s="40"/>
      <c r="AA171" s="40"/>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row>
    <row r="172">
      <c r="A172" s="37"/>
      <c r="B172" s="322"/>
      <c r="C172" s="144"/>
      <c r="D172" s="144"/>
      <c r="E172" s="37"/>
      <c r="F172" s="37"/>
      <c r="G172" s="37"/>
      <c r="H172" s="33" t="str">
        <f t="shared" si="1"/>
        <v/>
      </c>
      <c r="I172" s="37"/>
      <c r="J172" s="37"/>
      <c r="K172" s="37"/>
      <c r="L172" s="38"/>
      <c r="M172" s="37"/>
      <c r="N172" s="37"/>
      <c r="O172" s="37"/>
      <c r="P172" s="14"/>
      <c r="Q172" s="15"/>
      <c r="R172" s="16"/>
      <c r="S172" s="16"/>
      <c r="T172" s="16"/>
      <c r="U172" s="16"/>
      <c r="V172" s="37" t="str">
        <f>IFERROR(__xludf.DUMMYFUNCTION("if(not(iserror(index(split(C172, "" ""),2))), index(split(C172, "" ""),1),"""")"),"")</f>
        <v/>
      </c>
      <c r="W172" s="315" t="str">
        <f>IFERROR(__xludf.DUMMYFUNCTION("if(V172="""",C172,if(not(iserror(index(split(C172, "" ""),3))), index(split(C172, "" ""),3),index(split(C172, "" ""),2)))"),"")</f>
        <v/>
      </c>
      <c r="X172" s="38" t="b">
        <f t="shared" si="2"/>
        <v>0</v>
      </c>
      <c r="Y172" s="38"/>
      <c r="Z172" s="40"/>
      <c r="AA172" s="40"/>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row>
    <row r="173">
      <c r="A173" s="37"/>
      <c r="B173" s="322"/>
      <c r="C173" s="144"/>
      <c r="D173" s="144"/>
      <c r="E173" s="37"/>
      <c r="F173" s="37"/>
      <c r="G173" s="37"/>
      <c r="H173" s="33" t="str">
        <f t="shared" si="1"/>
        <v/>
      </c>
      <c r="I173" s="37"/>
      <c r="J173" s="37"/>
      <c r="K173" s="37"/>
      <c r="L173" s="38"/>
      <c r="M173" s="37"/>
      <c r="N173" s="37"/>
      <c r="O173" s="37"/>
      <c r="P173" s="14"/>
      <c r="Q173" s="15"/>
      <c r="R173" s="16"/>
      <c r="S173" s="16"/>
      <c r="T173" s="16"/>
      <c r="U173" s="16"/>
      <c r="V173" s="37" t="str">
        <f>IFERROR(__xludf.DUMMYFUNCTION("if(not(iserror(index(split(C173, "" ""),2))), index(split(C173, "" ""),1),"""")"),"")</f>
        <v/>
      </c>
      <c r="W173" s="315" t="str">
        <f>IFERROR(__xludf.DUMMYFUNCTION("if(V173="""",C173,if(not(iserror(index(split(C173, "" ""),3))), index(split(C173, "" ""),3),index(split(C173, "" ""),2)))"),"")</f>
        <v/>
      </c>
      <c r="X173" s="38" t="b">
        <f t="shared" si="2"/>
        <v>0</v>
      </c>
      <c r="Y173" s="38"/>
      <c r="Z173" s="40"/>
      <c r="AA173" s="40"/>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row>
    <row r="174">
      <c r="A174" s="37"/>
      <c r="B174" s="322"/>
      <c r="C174" s="144"/>
      <c r="D174" s="144"/>
      <c r="E174" s="37"/>
      <c r="F174" s="37"/>
      <c r="G174" s="37"/>
      <c r="H174" s="33" t="str">
        <f t="shared" si="1"/>
        <v/>
      </c>
      <c r="I174" s="37"/>
      <c r="J174" s="37"/>
      <c r="K174" s="37"/>
      <c r="L174" s="38"/>
      <c r="M174" s="37"/>
      <c r="N174" s="37"/>
      <c r="O174" s="37"/>
      <c r="P174" s="14"/>
      <c r="Q174" s="15"/>
      <c r="R174" s="16"/>
      <c r="S174" s="16"/>
      <c r="T174" s="16"/>
      <c r="U174" s="16"/>
      <c r="V174" s="37" t="str">
        <f>IFERROR(__xludf.DUMMYFUNCTION("if(not(iserror(index(split(C174, "" ""),2))), index(split(C174, "" ""),1),"""")"),"")</f>
        <v/>
      </c>
      <c r="W174" s="315" t="str">
        <f>IFERROR(__xludf.DUMMYFUNCTION("if(V174="""",C174,if(not(iserror(index(split(C174, "" ""),3))), index(split(C174, "" ""),3),index(split(C174, "" ""),2)))"),"")</f>
        <v/>
      </c>
      <c r="X174" s="38" t="b">
        <f t="shared" si="2"/>
        <v>0</v>
      </c>
      <c r="Y174" s="38"/>
      <c r="Z174" s="40"/>
      <c r="AA174" s="40"/>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row>
    <row r="175">
      <c r="A175" s="37"/>
      <c r="B175" s="322"/>
      <c r="C175" s="144"/>
      <c r="D175" s="144"/>
      <c r="E175" s="37"/>
      <c r="F175" s="37"/>
      <c r="G175" s="37"/>
      <c r="H175" s="33" t="str">
        <f t="shared" si="1"/>
        <v/>
      </c>
      <c r="I175" s="37"/>
      <c r="J175" s="37"/>
      <c r="K175" s="37"/>
      <c r="L175" s="38"/>
      <c r="M175" s="37"/>
      <c r="N175" s="37"/>
      <c r="O175" s="37"/>
      <c r="P175" s="14"/>
      <c r="Q175" s="15"/>
      <c r="R175" s="16"/>
      <c r="S175" s="16"/>
      <c r="T175" s="16"/>
      <c r="U175" s="16"/>
      <c r="V175" s="37" t="str">
        <f>IFERROR(__xludf.DUMMYFUNCTION("if(not(iserror(index(split(C175, "" ""),2))), index(split(C175, "" ""),1),"""")"),"")</f>
        <v/>
      </c>
      <c r="W175" s="315" t="str">
        <f>IFERROR(__xludf.DUMMYFUNCTION("if(V175="""",C175,if(not(iserror(index(split(C175, "" ""),3))), index(split(C175, "" ""),3),index(split(C175, "" ""),2)))"),"")</f>
        <v/>
      </c>
      <c r="X175" s="38" t="b">
        <f t="shared" si="2"/>
        <v>0</v>
      </c>
      <c r="Y175" s="38"/>
      <c r="Z175" s="40"/>
      <c r="AA175" s="40"/>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row>
    <row r="176">
      <c r="A176" s="37"/>
      <c r="B176" s="322"/>
      <c r="C176" s="144"/>
      <c r="D176" s="144"/>
      <c r="E176" s="37"/>
      <c r="F176" s="37"/>
      <c r="G176" s="37"/>
      <c r="H176" s="33" t="str">
        <f t="shared" si="1"/>
        <v/>
      </c>
      <c r="I176" s="37"/>
      <c r="J176" s="37"/>
      <c r="K176" s="37"/>
      <c r="L176" s="38"/>
      <c r="M176" s="58"/>
      <c r="N176" s="58"/>
      <c r="O176" s="58"/>
      <c r="P176" s="14"/>
      <c r="Q176" s="15"/>
      <c r="R176" s="16"/>
      <c r="S176" s="16"/>
      <c r="T176" s="16"/>
      <c r="U176" s="16"/>
      <c r="V176" s="37" t="str">
        <f>IFERROR(__xludf.DUMMYFUNCTION("if(not(iserror(index(split(C176, "" ""),2))), index(split(C176, "" ""),1),"""")"),"")</f>
        <v/>
      </c>
      <c r="W176" s="315" t="str">
        <f>IFERROR(__xludf.DUMMYFUNCTION("if(V176="""",C176,if(not(iserror(index(split(C176, "" ""),3))), index(split(C176, "" ""),3),index(split(C176, "" ""),2)))"),"")</f>
        <v/>
      </c>
      <c r="X176" s="38" t="b">
        <f t="shared" si="2"/>
        <v>0</v>
      </c>
      <c r="Y176" s="38"/>
      <c r="Z176" s="40"/>
      <c r="AA176" s="40"/>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row>
    <row r="177">
      <c r="A177" s="37"/>
      <c r="B177" s="322"/>
      <c r="C177" s="144"/>
      <c r="D177" s="144"/>
      <c r="E177" s="37"/>
      <c r="F177" s="37"/>
      <c r="G177" s="37"/>
      <c r="H177" s="33" t="str">
        <f t="shared" si="1"/>
        <v/>
      </c>
      <c r="I177" s="37"/>
      <c r="J177" s="37"/>
      <c r="K177" s="37"/>
      <c r="L177" s="38"/>
      <c r="M177" s="58"/>
      <c r="N177" s="58"/>
      <c r="O177" s="58"/>
      <c r="P177" s="14"/>
      <c r="Q177" s="15"/>
      <c r="R177" s="16"/>
      <c r="S177" s="16"/>
      <c r="T177" s="16"/>
      <c r="U177" s="16"/>
      <c r="V177" s="37" t="str">
        <f>IFERROR(__xludf.DUMMYFUNCTION("if(not(iserror(index(split(C177, "" ""),2))), index(split(C177, "" ""),1),"""")"),"")</f>
        <v/>
      </c>
      <c r="W177" s="315" t="str">
        <f>IFERROR(__xludf.DUMMYFUNCTION("if(V177="""",C177,if(not(iserror(index(split(C177, "" ""),3))), index(split(C177, "" ""),3),index(split(C177, "" ""),2)))"),"")</f>
        <v/>
      </c>
      <c r="X177" s="38" t="b">
        <f t="shared" si="2"/>
        <v>0</v>
      </c>
      <c r="Y177" s="38"/>
      <c r="Z177" s="40"/>
      <c r="AA177" s="40"/>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row>
    <row r="178">
      <c r="A178" s="37"/>
      <c r="B178" s="322"/>
      <c r="C178" s="144"/>
      <c r="D178" s="144"/>
      <c r="E178" s="37"/>
      <c r="F178" s="37"/>
      <c r="G178" s="37"/>
      <c r="H178" s="33" t="str">
        <f t="shared" si="1"/>
        <v/>
      </c>
      <c r="I178" s="37"/>
      <c r="J178" s="37"/>
      <c r="K178" s="37"/>
      <c r="L178" s="38"/>
      <c r="M178" s="58"/>
      <c r="N178" s="58"/>
      <c r="O178" s="58"/>
      <c r="P178" s="14"/>
      <c r="Q178" s="15"/>
      <c r="R178" s="16"/>
      <c r="S178" s="16"/>
      <c r="T178" s="16"/>
      <c r="U178" s="16"/>
      <c r="V178" s="37" t="str">
        <f>IFERROR(__xludf.DUMMYFUNCTION("if(not(iserror(index(split(C178, "" ""),2))), index(split(C178, "" ""),1),"""")"),"")</f>
        <v/>
      </c>
      <c r="W178" s="315" t="str">
        <f>IFERROR(__xludf.DUMMYFUNCTION("if(V178="""",C178,if(not(iserror(index(split(C178, "" ""),3))), index(split(C178, "" ""),3),index(split(C178, "" ""),2)))"),"")</f>
        <v/>
      </c>
      <c r="X178" s="38" t="b">
        <f t="shared" si="2"/>
        <v>0</v>
      </c>
      <c r="Y178" s="38"/>
      <c r="Z178" s="40"/>
      <c r="AA178" s="40"/>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row>
    <row r="179">
      <c r="A179" s="37"/>
      <c r="B179" s="322"/>
      <c r="C179" s="144"/>
      <c r="D179" s="144"/>
      <c r="E179" s="37"/>
      <c r="F179" s="37"/>
      <c r="G179" s="37"/>
      <c r="H179" s="33" t="str">
        <f t="shared" si="1"/>
        <v/>
      </c>
      <c r="I179" s="37"/>
      <c r="J179" s="37"/>
      <c r="K179" s="37"/>
      <c r="L179" s="38"/>
      <c r="M179" s="37"/>
      <c r="N179" s="37"/>
      <c r="O179" s="37"/>
      <c r="P179" s="14"/>
      <c r="Q179" s="15"/>
      <c r="R179" s="16"/>
      <c r="S179" s="16"/>
      <c r="T179" s="16"/>
      <c r="U179" s="16"/>
      <c r="V179" s="37" t="str">
        <f>IFERROR(__xludf.DUMMYFUNCTION("if(not(iserror(index(split(C179, "" ""),2))), index(split(C179, "" ""),1),"""")"),"")</f>
        <v/>
      </c>
      <c r="W179" s="315" t="str">
        <f>IFERROR(__xludf.DUMMYFUNCTION("if(V179="""",C179,if(not(iserror(index(split(C179, "" ""),3))), index(split(C179, "" ""),3),index(split(C179, "" ""),2)))"),"")</f>
        <v/>
      </c>
      <c r="X179" s="38" t="b">
        <f t="shared" si="2"/>
        <v>0</v>
      </c>
      <c r="Y179" s="38"/>
      <c r="Z179" s="40"/>
      <c r="AA179" s="40"/>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row>
    <row r="180">
      <c r="A180" s="37"/>
      <c r="B180" s="322"/>
      <c r="C180" s="144"/>
      <c r="D180" s="144"/>
      <c r="E180" s="37"/>
      <c r="F180" s="37"/>
      <c r="G180" s="37"/>
      <c r="H180" s="33" t="str">
        <f t="shared" si="1"/>
        <v/>
      </c>
      <c r="I180" s="37"/>
      <c r="J180" s="37"/>
      <c r="K180" s="37"/>
      <c r="L180" s="38"/>
      <c r="M180" s="37"/>
      <c r="N180" s="37"/>
      <c r="O180" s="37"/>
      <c r="P180" s="14"/>
      <c r="Q180" s="15"/>
      <c r="R180" s="16"/>
      <c r="S180" s="16"/>
      <c r="T180" s="16"/>
      <c r="U180" s="16"/>
      <c r="V180" s="37" t="str">
        <f>IFERROR(__xludf.DUMMYFUNCTION("if(not(iserror(index(split(C180, "" ""),2))), index(split(C180, "" ""),1),"""")"),"")</f>
        <v/>
      </c>
      <c r="W180" s="315" t="str">
        <f>IFERROR(__xludf.DUMMYFUNCTION("if(V180="""",C180,if(not(iserror(index(split(C180, "" ""),3))), index(split(C180, "" ""),3),index(split(C180, "" ""),2)))"),"")</f>
        <v/>
      </c>
      <c r="X180" s="38" t="b">
        <f t="shared" si="2"/>
        <v>0</v>
      </c>
      <c r="Y180" s="38"/>
      <c r="Z180" s="40"/>
      <c r="AA180" s="40"/>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row>
    <row r="181">
      <c r="A181" s="37"/>
      <c r="B181" s="322"/>
      <c r="C181" s="144"/>
      <c r="D181" s="144"/>
      <c r="E181" s="37"/>
      <c r="F181" s="37"/>
      <c r="G181" s="37"/>
      <c r="H181" s="33" t="str">
        <f t="shared" si="1"/>
        <v/>
      </c>
      <c r="I181" s="37"/>
      <c r="J181" s="37"/>
      <c r="K181" s="37"/>
      <c r="L181" s="38"/>
      <c r="M181" s="37"/>
      <c r="N181" s="37"/>
      <c r="O181" s="37"/>
      <c r="P181" s="14"/>
      <c r="Q181" s="15"/>
      <c r="R181" s="16"/>
      <c r="S181" s="16"/>
      <c r="T181" s="16"/>
      <c r="U181" s="16"/>
      <c r="V181" s="37" t="str">
        <f>IFERROR(__xludf.DUMMYFUNCTION("if(not(iserror(index(split(C181, "" ""),2))), index(split(C181, "" ""),1),"""")"),"")</f>
        <v/>
      </c>
      <c r="W181" s="315" t="str">
        <f>IFERROR(__xludf.DUMMYFUNCTION("if(V181="""",C181,if(not(iserror(index(split(C181, "" ""),3))), index(split(C181, "" ""),3),index(split(C181, "" ""),2)))"),"")</f>
        <v/>
      </c>
      <c r="X181" s="38" t="b">
        <f t="shared" si="2"/>
        <v>0</v>
      </c>
      <c r="Y181" s="38"/>
      <c r="Z181" s="40"/>
      <c r="AA181" s="40"/>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row>
    <row r="182">
      <c r="A182" s="37"/>
      <c r="B182" s="322"/>
      <c r="C182" s="144"/>
      <c r="D182" s="144"/>
      <c r="E182" s="37"/>
      <c r="F182" s="37"/>
      <c r="G182" s="37"/>
      <c r="H182" s="33" t="str">
        <f t="shared" si="1"/>
        <v/>
      </c>
      <c r="I182" s="37"/>
      <c r="J182" s="37"/>
      <c r="K182" s="37"/>
      <c r="L182" s="38"/>
      <c r="M182" s="37"/>
      <c r="N182" s="37"/>
      <c r="O182" s="37"/>
      <c r="P182" s="14"/>
      <c r="Q182" s="15"/>
      <c r="R182" s="16"/>
      <c r="S182" s="16"/>
      <c r="T182" s="16"/>
      <c r="U182" s="16"/>
      <c r="V182" s="37" t="str">
        <f>IFERROR(__xludf.DUMMYFUNCTION("if(not(iserror(index(split(C182, "" ""),2))), index(split(C182, "" ""),1),"""")"),"")</f>
        <v/>
      </c>
      <c r="W182" s="315" t="str">
        <f>IFERROR(__xludf.DUMMYFUNCTION("if(V182="""",C182,if(not(iserror(index(split(C182, "" ""),3))), index(split(C182, "" ""),3),index(split(C182, "" ""),2)))"),"")</f>
        <v/>
      </c>
      <c r="X182" s="38" t="b">
        <f t="shared" si="2"/>
        <v>0</v>
      </c>
      <c r="Y182" s="38"/>
      <c r="Z182" s="40"/>
      <c r="AA182" s="40"/>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row>
    <row r="183">
      <c r="A183" s="37"/>
      <c r="B183" s="322"/>
      <c r="C183" s="144"/>
      <c r="D183" s="144"/>
      <c r="E183" s="37"/>
      <c r="F183" s="37"/>
      <c r="G183" s="37"/>
      <c r="H183" s="33" t="str">
        <f t="shared" si="1"/>
        <v/>
      </c>
      <c r="I183" s="37"/>
      <c r="J183" s="37"/>
      <c r="K183" s="37"/>
      <c r="L183" s="38"/>
      <c r="M183" s="37"/>
      <c r="N183" s="37"/>
      <c r="O183" s="37"/>
      <c r="P183" s="14"/>
      <c r="Q183" s="15"/>
      <c r="R183" s="16"/>
      <c r="S183" s="16"/>
      <c r="T183" s="16"/>
      <c r="U183" s="16"/>
      <c r="V183" s="37" t="str">
        <f>IFERROR(__xludf.DUMMYFUNCTION("if(not(iserror(index(split(C183, "" ""),2))), index(split(C183, "" ""),1),"""")"),"")</f>
        <v/>
      </c>
      <c r="W183" s="315" t="str">
        <f>IFERROR(__xludf.DUMMYFUNCTION("if(V183="""",C183,if(not(iserror(index(split(C183, "" ""),3))), index(split(C183, "" ""),3),index(split(C183, "" ""),2)))"),"")</f>
        <v/>
      </c>
      <c r="X183" s="38" t="b">
        <f t="shared" si="2"/>
        <v>0</v>
      </c>
      <c r="Y183" s="38"/>
      <c r="Z183" s="40"/>
      <c r="AA183" s="40"/>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row>
    <row r="184">
      <c r="A184" s="37"/>
      <c r="B184" s="322"/>
      <c r="C184" s="144"/>
      <c r="D184" s="144"/>
      <c r="E184" s="37"/>
      <c r="F184" s="37"/>
      <c r="G184" s="37"/>
      <c r="H184" s="33" t="str">
        <f t="shared" si="1"/>
        <v/>
      </c>
      <c r="I184" s="37"/>
      <c r="J184" s="37"/>
      <c r="K184" s="37"/>
      <c r="L184" s="38"/>
      <c r="M184" s="37"/>
      <c r="N184" s="37"/>
      <c r="O184" s="37"/>
      <c r="P184" s="14"/>
      <c r="Q184" s="15"/>
      <c r="R184" s="16"/>
      <c r="S184" s="16"/>
      <c r="T184" s="16"/>
      <c r="U184" s="16"/>
      <c r="V184" s="37" t="str">
        <f>IFERROR(__xludf.DUMMYFUNCTION("if(not(iserror(index(split(C184, "" ""),2))), index(split(C184, "" ""),1),"""")"),"")</f>
        <v/>
      </c>
      <c r="W184" s="315" t="str">
        <f>IFERROR(__xludf.DUMMYFUNCTION("if(V184="""",C184,if(not(iserror(index(split(C184, "" ""),3))), index(split(C184, "" ""),3),index(split(C184, "" ""),2)))"),"")</f>
        <v/>
      </c>
      <c r="X184" s="38" t="b">
        <f t="shared" si="2"/>
        <v>0</v>
      </c>
      <c r="Y184" s="38"/>
      <c r="Z184" s="40"/>
      <c r="AA184" s="40"/>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row>
    <row r="185">
      <c r="A185" s="37"/>
      <c r="B185" s="322"/>
      <c r="C185" s="144"/>
      <c r="D185" s="144"/>
      <c r="E185" s="37"/>
      <c r="F185" s="37"/>
      <c r="G185" s="37"/>
      <c r="H185" s="33" t="str">
        <f t="shared" si="1"/>
        <v/>
      </c>
      <c r="I185" s="37"/>
      <c r="J185" s="37"/>
      <c r="K185" s="37"/>
      <c r="L185" s="38"/>
      <c r="M185" s="37"/>
      <c r="N185" s="37"/>
      <c r="O185" s="37"/>
      <c r="P185" s="14"/>
      <c r="Q185" s="14"/>
      <c r="R185" s="16"/>
      <c r="S185" s="16"/>
      <c r="T185" s="16"/>
      <c r="U185" s="16"/>
      <c r="V185" s="37" t="str">
        <f>IFERROR(__xludf.DUMMYFUNCTION("if(not(iserror(index(split(C185, "" ""),2))), index(split(C185, "" ""),1),"""")"),"")</f>
        <v/>
      </c>
      <c r="W185" s="315" t="str">
        <f>IFERROR(__xludf.DUMMYFUNCTION("if(V185="""",C185,if(not(iserror(index(split(C185, "" ""),3))), index(split(C185, "" ""),3),index(split(C185, "" ""),2)))"),"")</f>
        <v/>
      </c>
      <c r="X185" s="38" t="b">
        <f t="shared" si="2"/>
        <v>0</v>
      </c>
      <c r="Y185" s="38"/>
      <c r="Z185" s="40"/>
      <c r="AA185" s="40"/>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row>
    <row r="186">
      <c r="A186" s="37"/>
      <c r="B186" s="322"/>
      <c r="C186" s="144"/>
      <c r="D186" s="144"/>
      <c r="E186" s="37"/>
      <c r="F186" s="37"/>
      <c r="G186" s="37"/>
      <c r="H186" s="33" t="str">
        <f t="shared" si="1"/>
        <v/>
      </c>
      <c r="I186" s="37"/>
      <c r="J186" s="37"/>
      <c r="K186" s="37"/>
      <c r="L186" s="38"/>
      <c r="M186" s="37"/>
      <c r="N186" s="37"/>
      <c r="O186" s="37"/>
      <c r="P186" s="14"/>
      <c r="Q186" s="15"/>
      <c r="R186" s="16"/>
      <c r="S186" s="16"/>
      <c r="T186" s="16"/>
      <c r="U186" s="16"/>
      <c r="V186" s="37" t="str">
        <f>IFERROR(__xludf.DUMMYFUNCTION("if(not(iserror(index(split(C186, "" ""),2))), index(split(C186, "" ""),1),"""")"),"")</f>
        <v/>
      </c>
      <c r="W186" s="315" t="str">
        <f>IFERROR(__xludf.DUMMYFUNCTION("if(V186="""",C186,if(not(iserror(index(split(C186, "" ""),3))), index(split(C186, "" ""),3),index(split(C186, "" ""),2)))"),"")</f>
        <v/>
      </c>
      <c r="X186" s="38" t="b">
        <f t="shared" si="2"/>
        <v>0</v>
      </c>
      <c r="Y186" s="38"/>
      <c r="Z186" s="40"/>
      <c r="AA186" s="40"/>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row>
    <row r="187">
      <c r="A187" s="37"/>
      <c r="B187" s="322"/>
      <c r="C187" s="144"/>
      <c r="D187" s="144"/>
      <c r="E187" s="37"/>
      <c r="F187" s="37"/>
      <c r="G187" s="37"/>
      <c r="H187" s="33" t="str">
        <f t="shared" si="1"/>
        <v/>
      </c>
      <c r="I187" s="37"/>
      <c r="J187" s="37"/>
      <c r="K187" s="37"/>
      <c r="L187" s="38"/>
      <c r="M187" s="37"/>
      <c r="N187" s="37"/>
      <c r="O187" s="37"/>
      <c r="P187" s="14"/>
      <c r="Q187" s="15"/>
      <c r="R187" s="16"/>
      <c r="S187" s="16"/>
      <c r="T187" s="16"/>
      <c r="U187" s="16"/>
      <c r="V187" s="37" t="str">
        <f>IFERROR(__xludf.DUMMYFUNCTION("if(not(iserror(index(split(C187, "" ""),2))), index(split(C187, "" ""),1),"""")"),"")</f>
        <v/>
      </c>
      <c r="W187" s="315" t="str">
        <f>IFERROR(__xludf.DUMMYFUNCTION("if(V187="""",C187,if(not(iserror(index(split(C187, "" ""),3))), index(split(C187, "" ""),3),index(split(C187, "" ""),2)))"),"")</f>
        <v/>
      </c>
      <c r="X187" s="38" t="b">
        <f t="shared" si="2"/>
        <v>0</v>
      </c>
      <c r="Y187" s="38"/>
      <c r="Z187" s="40"/>
      <c r="AA187" s="40"/>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row>
    <row r="188">
      <c r="A188" s="37"/>
      <c r="B188" s="322"/>
      <c r="C188" s="144"/>
      <c r="D188" s="144"/>
      <c r="E188" s="37"/>
      <c r="F188" s="37"/>
      <c r="G188" s="37"/>
      <c r="H188" s="33" t="str">
        <f t="shared" si="1"/>
        <v/>
      </c>
      <c r="I188" s="37"/>
      <c r="J188" s="37"/>
      <c r="K188" s="37"/>
      <c r="L188" s="38"/>
      <c r="M188" s="37"/>
      <c r="N188" s="37"/>
      <c r="O188" s="37"/>
      <c r="P188" s="14"/>
      <c r="Q188" s="15"/>
      <c r="R188" s="16"/>
      <c r="S188" s="16"/>
      <c r="T188" s="16"/>
      <c r="U188" s="16"/>
      <c r="V188" s="37" t="str">
        <f>IFERROR(__xludf.DUMMYFUNCTION("if(not(iserror(index(split(C188, "" ""),2))), index(split(C188, "" ""),1),"""")"),"")</f>
        <v/>
      </c>
      <c r="W188" s="315" t="str">
        <f>IFERROR(__xludf.DUMMYFUNCTION("if(V188="""",C188,if(not(iserror(index(split(C188, "" ""),3))), index(split(C188, "" ""),3),index(split(C188, "" ""),2)))"),"")</f>
        <v/>
      </c>
      <c r="X188" s="38" t="b">
        <f t="shared" si="2"/>
        <v>0</v>
      </c>
      <c r="Y188" s="38"/>
      <c r="Z188" s="40"/>
      <c r="AA188" s="40"/>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row>
    <row r="189">
      <c r="A189" s="37"/>
      <c r="B189" s="322"/>
      <c r="C189" s="144"/>
      <c r="D189" s="144"/>
      <c r="E189" s="37"/>
      <c r="F189" s="37"/>
      <c r="G189" s="37"/>
      <c r="H189" s="33" t="str">
        <f t="shared" si="1"/>
        <v/>
      </c>
      <c r="I189" s="37"/>
      <c r="J189" s="37"/>
      <c r="K189" s="37"/>
      <c r="L189" s="38"/>
      <c r="M189" s="37"/>
      <c r="N189" s="37"/>
      <c r="O189" s="37"/>
      <c r="P189" s="14"/>
      <c r="Q189" s="15"/>
      <c r="R189" s="16"/>
      <c r="S189" s="16"/>
      <c r="T189" s="16"/>
      <c r="U189" s="16"/>
      <c r="V189" s="37" t="str">
        <f>IFERROR(__xludf.DUMMYFUNCTION("if(not(iserror(index(split(C189, "" ""),2))), index(split(C189, "" ""),1),"""")"),"")</f>
        <v/>
      </c>
      <c r="W189" s="315" t="str">
        <f>IFERROR(__xludf.DUMMYFUNCTION("if(V189="""",C189,if(not(iserror(index(split(C189, "" ""),3))), index(split(C189, "" ""),3),index(split(C189, "" ""),2)))"),"")</f>
        <v/>
      </c>
      <c r="X189" s="38" t="b">
        <f t="shared" si="2"/>
        <v>0</v>
      </c>
      <c r="Y189" s="38"/>
      <c r="Z189" s="40"/>
      <c r="AA189" s="40"/>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row>
    <row r="190">
      <c r="A190" s="37"/>
      <c r="B190" s="322"/>
      <c r="C190" s="144"/>
      <c r="D190" s="144"/>
      <c r="E190" s="37"/>
      <c r="F190" s="37"/>
      <c r="G190" s="37"/>
      <c r="H190" s="33" t="str">
        <f t="shared" si="1"/>
        <v/>
      </c>
      <c r="I190" s="37"/>
      <c r="J190" s="37"/>
      <c r="K190" s="37"/>
      <c r="L190" s="38"/>
      <c r="M190" s="37"/>
      <c r="N190" s="37"/>
      <c r="O190" s="37"/>
      <c r="P190" s="14"/>
      <c r="Q190" s="15"/>
      <c r="R190" s="16"/>
      <c r="S190" s="16"/>
      <c r="T190" s="16"/>
      <c r="U190" s="16"/>
      <c r="V190" s="37" t="str">
        <f>IFERROR(__xludf.DUMMYFUNCTION("if(not(iserror(index(split(C190, "" ""),2))), index(split(C190, "" ""),1),"""")"),"")</f>
        <v/>
      </c>
      <c r="W190" s="315" t="str">
        <f>IFERROR(__xludf.DUMMYFUNCTION("if(V190="""",C190,if(not(iserror(index(split(C190, "" ""),3))), index(split(C190, "" ""),3),index(split(C190, "" ""),2)))"),"")</f>
        <v/>
      </c>
      <c r="X190" s="38" t="b">
        <f t="shared" si="2"/>
        <v>0</v>
      </c>
      <c r="Y190" s="38"/>
      <c r="Z190" s="40"/>
      <c r="AA190" s="40"/>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row>
    <row r="191">
      <c r="A191" s="37"/>
      <c r="B191" s="322"/>
      <c r="C191" s="144"/>
      <c r="D191" s="144"/>
      <c r="E191" s="37"/>
      <c r="F191" s="37"/>
      <c r="G191" s="37"/>
      <c r="H191" s="33" t="str">
        <f t="shared" si="1"/>
        <v/>
      </c>
      <c r="I191" s="37"/>
      <c r="J191" s="37"/>
      <c r="K191" s="37"/>
      <c r="L191" s="38"/>
      <c r="M191" s="37"/>
      <c r="N191" s="37"/>
      <c r="O191" s="37"/>
      <c r="P191" s="14"/>
      <c r="Q191" s="15"/>
      <c r="R191" s="16"/>
      <c r="S191" s="16"/>
      <c r="T191" s="16"/>
      <c r="U191" s="16"/>
      <c r="V191" s="37" t="str">
        <f>IFERROR(__xludf.DUMMYFUNCTION("if(not(iserror(index(split(C191, "" ""),2))), index(split(C191, "" ""),1),"""")"),"")</f>
        <v/>
      </c>
      <c r="W191" s="315" t="str">
        <f>IFERROR(__xludf.DUMMYFUNCTION("if(V191="""",C191,if(not(iserror(index(split(C191, "" ""),3))), index(split(C191, "" ""),3),index(split(C191, "" ""),2)))"),"")</f>
        <v/>
      </c>
      <c r="X191" s="38" t="b">
        <f t="shared" si="2"/>
        <v>0</v>
      </c>
      <c r="Y191" s="38"/>
      <c r="Z191" s="40"/>
      <c r="AA191" s="40"/>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row>
    <row r="192">
      <c r="A192" s="37"/>
      <c r="B192" s="322"/>
      <c r="C192" s="144"/>
      <c r="D192" s="144"/>
      <c r="E192" s="37"/>
      <c r="F192" s="37"/>
      <c r="G192" s="37"/>
      <c r="H192" s="33" t="str">
        <f t="shared" si="1"/>
        <v/>
      </c>
      <c r="I192" s="37"/>
      <c r="J192" s="37"/>
      <c r="K192" s="37"/>
      <c r="L192" s="38"/>
      <c r="M192" s="37"/>
      <c r="N192" s="37"/>
      <c r="O192" s="37"/>
      <c r="P192" s="14"/>
      <c r="Q192" s="15"/>
      <c r="R192" s="16"/>
      <c r="S192" s="16"/>
      <c r="T192" s="16"/>
      <c r="U192" s="16"/>
      <c r="V192" s="37" t="str">
        <f>IFERROR(__xludf.DUMMYFUNCTION("if(not(iserror(index(split(C192, "" ""),2))), index(split(C192, "" ""),1),"""")"),"")</f>
        <v/>
      </c>
      <c r="W192" s="315" t="str">
        <f>IFERROR(__xludf.DUMMYFUNCTION("if(V192="""",C192,if(not(iserror(index(split(C192, "" ""),3))), index(split(C192, "" ""),3),index(split(C192, "" ""),2)))"),"")</f>
        <v/>
      </c>
      <c r="X192" s="38" t="b">
        <f t="shared" si="2"/>
        <v>0</v>
      </c>
      <c r="Y192" s="38"/>
      <c r="Z192" s="40"/>
      <c r="AA192" s="40"/>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row>
    <row r="193">
      <c r="A193" s="37"/>
      <c r="B193" s="322"/>
      <c r="C193" s="144"/>
      <c r="D193" s="144"/>
      <c r="E193" s="37"/>
      <c r="F193" s="37"/>
      <c r="G193" s="37"/>
      <c r="H193" s="33" t="str">
        <f t="shared" si="1"/>
        <v/>
      </c>
      <c r="I193" s="37"/>
      <c r="J193" s="37"/>
      <c r="K193" s="37"/>
      <c r="L193" s="38"/>
      <c r="M193" s="37"/>
      <c r="N193" s="37"/>
      <c r="O193" s="37"/>
      <c r="P193" s="14"/>
      <c r="Q193" s="15"/>
      <c r="R193" s="16"/>
      <c r="S193" s="16"/>
      <c r="T193" s="16"/>
      <c r="U193" s="16"/>
      <c r="V193" s="37" t="str">
        <f>IFERROR(__xludf.DUMMYFUNCTION("if(not(iserror(index(split(C193, "" ""),2))), index(split(C193, "" ""),1),"""")"),"")</f>
        <v/>
      </c>
      <c r="W193" s="315" t="str">
        <f>IFERROR(__xludf.DUMMYFUNCTION("if(V193="""",C193,if(not(iserror(index(split(C193, "" ""),3))), index(split(C193, "" ""),3),index(split(C193, "" ""),2)))"),"")</f>
        <v/>
      </c>
      <c r="X193" s="38" t="b">
        <f t="shared" si="2"/>
        <v>0</v>
      </c>
      <c r="Y193" s="38"/>
      <c r="Z193" s="40"/>
      <c r="AA193" s="40"/>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row>
    <row r="194" ht="17.25" customHeight="1">
      <c r="A194" s="37"/>
      <c r="B194" s="322"/>
      <c r="C194" s="144"/>
      <c r="D194" s="144"/>
      <c r="E194" s="37"/>
      <c r="F194" s="37"/>
      <c r="G194" s="37"/>
      <c r="H194" s="33" t="str">
        <f t="shared" si="1"/>
        <v/>
      </c>
      <c r="I194" s="37"/>
      <c r="J194" s="37"/>
      <c r="K194" s="37"/>
      <c r="L194" s="38"/>
      <c r="M194" s="37"/>
      <c r="N194" s="37"/>
      <c r="O194" s="37"/>
      <c r="P194" s="14"/>
      <c r="Q194" s="15"/>
      <c r="R194" s="16"/>
      <c r="S194" s="16"/>
      <c r="T194" s="16"/>
      <c r="U194" s="16"/>
      <c r="V194" s="37" t="str">
        <f>IFERROR(__xludf.DUMMYFUNCTION("if(not(iserror(index(split(C194, "" ""),2))), index(split(C194, "" ""),1),"""")"),"")</f>
        <v/>
      </c>
      <c r="W194" s="315" t="str">
        <f>IFERROR(__xludf.DUMMYFUNCTION("if(V194="""",C194,if(not(iserror(index(split(C194, "" ""),3))), index(split(C194, "" ""),3),index(split(C194, "" ""),2)))"),"")</f>
        <v/>
      </c>
      <c r="X194" s="38" t="b">
        <f t="shared" si="2"/>
        <v>0</v>
      </c>
      <c r="Y194" s="38"/>
      <c r="Z194" s="40"/>
      <c r="AA194" s="40"/>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row>
    <row r="195" ht="17.25" customHeight="1">
      <c r="A195" s="37"/>
      <c r="B195" s="322"/>
      <c r="C195" s="144"/>
      <c r="D195" s="144"/>
      <c r="E195" s="37"/>
      <c r="F195" s="37"/>
      <c r="G195" s="37"/>
      <c r="H195" s="33" t="str">
        <f t="shared" si="1"/>
        <v/>
      </c>
      <c r="I195" s="37"/>
      <c r="J195" s="37"/>
      <c r="K195" s="37"/>
      <c r="L195" s="38"/>
      <c r="M195" s="37"/>
      <c r="N195" s="37"/>
      <c r="O195" s="37"/>
      <c r="P195" s="14"/>
      <c r="Q195" s="15"/>
      <c r="R195" s="16"/>
      <c r="S195" s="16"/>
      <c r="T195" s="16"/>
      <c r="U195" s="16"/>
      <c r="V195" s="37" t="str">
        <f>IFERROR(__xludf.DUMMYFUNCTION("if(not(iserror(index(split(C195, "" ""),2))), index(split(C195, "" ""),1),"""")"),"")</f>
        <v/>
      </c>
      <c r="W195" s="315" t="str">
        <f>IFERROR(__xludf.DUMMYFUNCTION("if(V195="""",C195,if(not(iserror(index(split(C195, "" ""),3))), index(split(C195, "" ""),3),index(split(C195, "" ""),2)))"),"")</f>
        <v/>
      </c>
      <c r="X195" s="38" t="b">
        <f t="shared" si="2"/>
        <v>0</v>
      </c>
      <c r="Y195" s="38"/>
      <c r="Z195" s="40"/>
      <c r="AA195" s="40"/>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row>
    <row r="196" ht="17.25" customHeight="1">
      <c r="A196" s="90"/>
      <c r="B196" s="322"/>
      <c r="C196" s="144"/>
      <c r="D196" s="144"/>
      <c r="E196" s="37"/>
      <c r="F196" s="37"/>
      <c r="G196" s="37"/>
      <c r="H196" s="33" t="str">
        <f t="shared" si="1"/>
        <v/>
      </c>
      <c r="I196" s="37"/>
      <c r="J196" s="37"/>
      <c r="K196" s="37"/>
      <c r="L196" s="38"/>
      <c r="M196" s="37"/>
      <c r="N196" s="37"/>
      <c r="O196" s="37"/>
      <c r="P196" s="14"/>
      <c r="Q196" s="14"/>
      <c r="R196" s="16"/>
      <c r="S196" s="16"/>
      <c r="T196" s="16"/>
      <c r="U196" s="16"/>
      <c r="V196" s="37" t="str">
        <f>IFERROR(__xludf.DUMMYFUNCTION("if(not(iserror(index(split(C196, "" ""),2))), index(split(C196, "" ""),1),"""")"),"")</f>
        <v/>
      </c>
      <c r="W196" s="315" t="str">
        <f>IFERROR(__xludf.DUMMYFUNCTION("if(V196="""",C196,if(not(iserror(index(split(C196, "" ""),3))), index(split(C196, "" ""),3),index(split(C196, "" ""),2)))"),"")</f>
        <v/>
      </c>
      <c r="X196" s="38" t="b">
        <f t="shared" si="2"/>
        <v>0</v>
      </c>
      <c r="Y196" s="38"/>
      <c r="Z196" s="40"/>
      <c r="AA196" s="40"/>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row>
    <row r="197" ht="9.0" customHeight="1">
      <c r="A197" s="90"/>
      <c r="B197" s="322"/>
      <c r="C197" s="144"/>
      <c r="D197" s="144"/>
      <c r="E197" s="37"/>
      <c r="F197" s="37"/>
      <c r="G197" s="37"/>
      <c r="H197" s="33" t="str">
        <f t="shared" si="1"/>
        <v/>
      </c>
      <c r="I197" s="37"/>
      <c r="J197" s="37"/>
      <c r="K197" s="37"/>
      <c r="L197" s="38"/>
      <c r="M197" s="37"/>
      <c r="N197" s="37"/>
      <c r="O197" s="37"/>
      <c r="P197" s="14"/>
      <c r="Q197" s="14"/>
      <c r="R197" s="16"/>
      <c r="S197" s="16"/>
      <c r="T197" s="16"/>
      <c r="U197" s="16"/>
      <c r="V197" s="37" t="str">
        <f>IFERROR(__xludf.DUMMYFUNCTION("if(not(iserror(index(split(C197, "" ""),2))), index(split(C197, "" ""),1),"""")"),"")</f>
        <v/>
      </c>
      <c r="W197" s="315" t="str">
        <f>IFERROR(__xludf.DUMMYFUNCTION("if(V197="""",C197,if(not(iserror(index(split(C197, "" ""),3))), index(split(C197, "" ""),3),index(split(C197, "" ""),2)))"),"")</f>
        <v/>
      </c>
      <c r="X197" s="38" t="b">
        <f t="shared" si="2"/>
        <v>0</v>
      </c>
      <c r="Y197" s="38"/>
      <c r="Z197" s="40"/>
      <c r="AA197" s="40"/>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row>
    <row r="198">
      <c r="A198" s="370"/>
      <c r="B198" s="371"/>
      <c r="C198" s="372"/>
      <c r="D198" s="372"/>
      <c r="E198" s="370"/>
      <c r="F198" s="370"/>
      <c r="G198" s="370"/>
      <c r="H198" s="33" t="str">
        <f t="shared" si="1"/>
        <v/>
      </c>
      <c r="I198" s="370"/>
      <c r="J198" s="370"/>
      <c r="K198" s="370"/>
      <c r="L198" s="38"/>
      <c r="M198" s="370"/>
      <c r="N198" s="370"/>
      <c r="O198" s="370"/>
      <c r="P198" s="373"/>
      <c r="Q198" s="373"/>
      <c r="R198" s="119"/>
      <c r="S198" s="119"/>
      <c r="T198" s="119"/>
      <c r="U198" s="119"/>
      <c r="V198" s="37" t="str">
        <f>IFERROR(__xludf.DUMMYFUNCTION("if(not(iserror(index(split(C198, "" ""),2))), index(split(C198, "" ""),1),"""")"),"")</f>
        <v/>
      </c>
      <c r="W198" s="315" t="str">
        <f>IFERROR(__xludf.DUMMYFUNCTION("if(V198="""",C198,if(not(iserror(index(split(C198, "" ""),3))), index(split(C198, "" ""),3),index(split(C198, "" ""),2)))"),"")</f>
        <v/>
      </c>
      <c r="X198" s="38" t="b">
        <f t="shared" si="2"/>
        <v>0</v>
      </c>
      <c r="Y198" s="38"/>
      <c r="Z198" s="40"/>
      <c r="AA198" s="40"/>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row>
    <row r="199">
      <c r="A199" s="37"/>
      <c r="B199" s="322"/>
      <c r="C199" s="144"/>
      <c r="D199" s="144"/>
      <c r="E199" s="37"/>
      <c r="F199" s="37"/>
      <c r="G199" s="37"/>
      <c r="H199" s="33" t="str">
        <f t="shared" si="1"/>
        <v/>
      </c>
      <c r="I199" s="37"/>
      <c r="J199" s="37"/>
      <c r="K199" s="37"/>
      <c r="L199" s="38"/>
      <c r="M199" s="37"/>
      <c r="N199" s="37"/>
      <c r="O199" s="37"/>
      <c r="P199" s="14"/>
      <c r="Q199" s="15"/>
      <c r="R199" s="16"/>
      <c r="S199" s="16"/>
      <c r="T199" s="16"/>
      <c r="U199" s="16"/>
      <c r="V199" s="37" t="str">
        <f>IFERROR(__xludf.DUMMYFUNCTION("if(not(iserror(index(split(C199, "" ""),2))), index(split(C199, "" ""),1),"""")"),"")</f>
        <v/>
      </c>
      <c r="W199" s="315" t="str">
        <f>IFERROR(__xludf.DUMMYFUNCTION("if(V199="""",C199,if(not(iserror(index(split(C199, "" ""),3))), index(split(C199, "" ""),3),index(split(C199, "" ""),2)))"),"")</f>
        <v/>
      </c>
      <c r="X199" s="38" t="b">
        <f t="shared" si="2"/>
        <v>0</v>
      </c>
      <c r="Y199" s="38"/>
      <c r="Z199" s="40"/>
      <c r="AA199" s="40"/>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row>
    <row r="200">
      <c r="A200" s="37"/>
      <c r="B200" s="322"/>
      <c r="C200" s="144"/>
      <c r="D200" s="144"/>
      <c r="E200" s="37"/>
      <c r="F200" s="37"/>
      <c r="G200" s="37"/>
      <c r="H200" s="33" t="str">
        <f t="shared" si="1"/>
        <v/>
      </c>
      <c r="I200" s="37"/>
      <c r="J200" s="37"/>
      <c r="K200" s="37"/>
      <c r="L200" s="38"/>
      <c r="M200" s="37"/>
      <c r="N200" s="37"/>
      <c r="O200" s="37"/>
      <c r="P200" s="14"/>
      <c r="Q200" s="15"/>
      <c r="R200" s="16"/>
      <c r="S200" s="16"/>
      <c r="T200" s="16"/>
      <c r="U200" s="16"/>
      <c r="V200" s="37" t="str">
        <f>IFERROR(__xludf.DUMMYFUNCTION("if(not(iserror(index(split(C200, "" ""),2))), index(split(C200, "" ""),1),"""")"),"")</f>
        <v/>
      </c>
      <c r="W200" s="315" t="str">
        <f>IFERROR(__xludf.DUMMYFUNCTION("if(V200="""",C200,if(not(iserror(index(split(C200, "" ""),3))), index(split(C200, "" ""),3),index(split(C200, "" ""),2)))"),"")</f>
        <v/>
      </c>
      <c r="X200" s="38" t="b">
        <f t="shared" si="2"/>
        <v>0</v>
      </c>
      <c r="Y200" s="38"/>
      <c r="Z200" s="40"/>
      <c r="AA200" s="40"/>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row>
    <row r="201">
      <c r="A201" s="37"/>
      <c r="B201" s="322"/>
      <c r="C201" s="144"/>
      <c r="D201" s="144"/>
      <c r="E201" s="37"/>
      <c r="F201" s="37"/>
      <c r="G201" s="37"/>
      <c r="H201" s="33" t="str">
        <f t="shared" si="1"/>
        <v/>
      </c>
      <c r="I201" s="37"/>
      <c r="J201" s="37"/>
      <c r="K201" s="37"/>
      <c r="L201" s="38"/>
      <c r="M201" s="37"/>
      <c r="N201" s="37"/>
      <c r="O201" s="37"/>
      <c r="P201" s="14"/>
      <c r="Q201" s="15"/>
      <c r="R201" s="16"/>
      <c r="S201" s="16"/>
      <c r="T201" s="16"/>
      <c r="U201" s="16"/>
      <c r="V201" s="37" t="str">
        <f>IFERROR(__xludf.DUMMYFUNCTION("if(not(iserror(index(split(C201, "" ""),2))), index(split(C201, "" ""),1),"""")"),"")</f>
        <v/>
      </c>
      <c r="W201" s="315" t="str">
        <f>IFERROR(__xludf.DUMMYFUNCTION("if(V201="""",C201,if(not(iserror(index(split(C201, "" ""),3))), index(split(C201, "" ""),3),index(split(C201, "" ""),2)))"),"")</f>
        <v/>
      </c>
      <c r="X201" s="38" t="b">
        <f t="shared" si="2"/>
        <v>0</v>
      </c>
      <c r="Y201" s="38"/>
      <c r="Z201" s="40"/>
      <c r="AA201" s="40"/>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row>
    <row r="202">
      <c r="A202" s="37"/>
      <c r="B202" s="322"/>
      <c r="C202" s="144"/>
      <c r="D202" s="144"/>
      <c r="E202" s="37"/>
      <c r="F202" s="37"/>
      <c r="G202" s="37"/>
      <c r="H202" s="33" t="str">
        <f t="shared" si="1"/>
        <v/>
      </c>
      <c r="I202" s="37"/>
      <c r="J202" s="37"/>
      <c r="K202" s="37"/>
      <c r="L202" s="38"/>
      <c r="M202" s="37"/>
      <c r="N202" s="37"/>
      <c r="O202" s="37"/>
      <c r="P202" s="14"/>
      <c r="Q202" s="15"/>
      <c r="R202" s="16"/>
      <c r="S202" s="16"/>
      <c r="T202" s="16"/>
      <c r="U202" s="16"/>
      <c r="V202" s="37" t="str">
        <f>IFERROR(__xludf.DUMMYFUNCTION("if(not(iserror(index(split(C202, "" ""),2))), index(split(C202, "" ""),1),"""")"),"")</f>
        <v/>
      </c>
      <c r="W202" s="315" t="str">
        <f>IFERROR(__xludf.DUMMYFUNCTION("if(V202="""",C202,if(not(iserror(index(split(C202, "" ""),3))), index(split(C202, "" ""),3),index(split(C202, "" ""),2)))"),"")</f>
        <v/>
      </c>
      <c r="X202" s="38" t="b">
        <f t="shared" si="2"/>
        <v>0</v>
      </c>
      <c r="Y202" s="38"/>
      <c r="Z202" s="40"/>
      <c r="AA202" s="40"/>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row>
    <row r="203">
      <c r="A203" s="37"/>
      <c r="B203" s="322"/>
      <c r="C203" s="144"/>
      <c r="D203" s="144"/>
      <c r="E203" s="37"/>
      <c r="F203" s="37"/>
      <c r="G203" s="37"/>
      <c r="H203" s="33" t="str">
        <f t="shared" si="1"/>
        <v/>
      </c>
      <c r="I203" s="37"/>
      <c r="J203" s="37"/>
      <c r="K203" s="37"/>
      <c r="L203" s="38"/>
      <c r="M203" s="37"/>
      <c r="N203" s="37"/>
      <c r="O203" s="37"/>
      <c r="P203" s="14"/>
      <c r="Q203" s="15"/>
      <c r="R203" s="16"/>
      <c r="S203" s="16"/>
      <c r="T203" s="16"/>
      <c r="U203" s="16"/>
      <c r="V203" s="37" t="str">
        <f>IFERROR(__xludf.DUMMYFUNCTION("if(not(iserror(index(split(C203, "" ""),2))), index(split(C203, "" ""),1),"""")"),"")</f>
        <v/>
      </c>
      <c r="W203" s="315" t="str">
        <f>IFERROR(__xludf.DUMMYFUNCTION("if(V203="""",C203,if(not(iserror(index(split(C203, "" ""),3))), index(split(C203, "" ""),3),index(split(C203, "" ""),2)))"),"")</f>
        <v/>
      </c>
      <c r="X203" s="38" t="b">
        <f t="shared" si="2"/>
        <v>0</v>
      </c>
      <c r="Y203" s="38"/>
      <c r="Z203" s="40"/>
      <c r="AA203" s="40"/>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row>
    <row r="204">
      <c r="A204" s="90"/>
      <c r="B204" s="322"/>
      <c r="C204" s="144"/>
      <c r="D204" s="144"/>
      <c r="E204" s="37"/>
      <c r="F204" s="37"/>
      <c r="G204" s="37"/>
      <c r="H204" s="33" t="str">
        <f t="shared" si="1"/>
        <v/>
      </c>
      <c r="I204" s="37"/>
      <c r="J204" s="37"/>
      <c r="K204" s="37"/>
      <c r="L204" s="38"/>
      <c r="M204" s="37"/>
      <c r="N204" s="37"/>
      <c r="O204" s="37"/>
      <c r="P204" s="14"/>
      <c r="Q204" s="15"/>
      <c r="R204" s="16"/>
      <c r="S204" s="16"/>
      <c r="T204" s="16"/>
      <c r="U204" s="16"/>
      <c r="V204" s="37" t="str">
        <f>IFERROR(__xludf.DUMMYFUNCTION("if(not(iserror(index(split(C204, "" ""),2))), index(split(C204, "" ""),1),"""")"),"")</f>
        <v/>
      </c>
      <c r="W204" s="315" t="str">
        <f>IFERROR(__xludf.DUMMYFUNCTION("if(V204="""",C204,if(not(iserror(index(split(C204, "" ""),3))), index(split(C204, "" ""),3),index(split(C204, "" ""),2)))"),"")</f>
        <v/>
      </c>
      <c r="X204" s="38" t="b">
        <f t="shared" si="2"/>
        <v>0</v>
      </c>
      <c r="Y204" s="38"/>
      <c r="Z204" s="40"/>
      <c r="AA204" s="40"/>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row>
    <row r="205">
      <c r="A205" s="37"/>
      <c r="B205" s="322"/>
      <c r="C205" s="144"/>
      <c r="D205" s="144"/>
      <c r="E205" s="37"/>
      <c r="F205" s="37"/>
      <c r="G205" s="37"/>
      <c r="H205" s="33" t="str">
        <f t="shared" si="1"/>
        <v/>
      </c>
      <c r="I205" s="37"/>
      <c r="J205" s="37"/>
      <c r="K205" s="37"/>
      <c r="L205" s="38"/>
      <c r="M205" s="37"/>
      <c r="N205" s="37"/>
      <c r="O205" s="37"/>
      <c r="P205" s="14"/>
      <c r="Q205" s="15"/>
      <c r="R205" s="16"/>
      <c r="S205" s="16"/>
      <c r="T205" s="16"/>
      <c r="U205" s="16"/>
      <c r="V205" s="37" t="str">
        <f>IFERROR(__xludf.DUMMYFUNCTION("if(not(iserror(index(split(C205, "" ""),2))), index(split(C205, "" ""),1),"""")"),"")</f>
        <v/>
      </c>
      <c r="W205" s="315" t="str">
        <f>IFERROR(__xludf.DUMMYFUNCTION("if(V205="""",C205,if(not(iserror(index(split(C205, "" ""),3))), index(split(C205, "" ""),3),index(split(C205, "" ""),2)))"),"")</f>
        <v/>
      </c>
      <c r="X205" s="38" t="b">
        <f t="shared" si="2"/>
        <v>0</v>
      </c>
      <c r="Y205" s="38"/>
      <c r="Z205" s="40"/>
      <c r="AA205" s="40"/>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row>
    <row r="206">
      <c r="A206" s="37"/>
      <c r="B206" s="322"/>
      <c r="C206" s="144"/>
      <c r="D206" s="144"/>
      <c r="E206" s="37"/>
      <c r="F206" s="37"/>
      <c r="G206" s="37"/>
      <c r="H206" s="33" t="str">
        <f t="shared" si="1"/>
        <v/>
      </c>
      <c r="I206" s="37"/>
      <c r="J206" s="37"/>
      <c r="K206" s="37"/>
      <c r="L206" s="38"/>
      <c r="M206" s="37"/>
      <c r="N206" s="37"/>
      <c r="O206" s="37"/>
      <c r="P206" s="14"/>
      <c r="Q206" s="15"/>
      <c r="R206" s="16"/>
      <c r="S206" s="16"/>
      <c r="T206" s="16"/>
      <c r="U206" s="16"/>
      <c r="V206" s="37" t="str">
        <f>IFERROR(__xludf.DUMMYFUNCTION("if(not(iserror(index(split(C206, "" ""),2))), index(split(C206, "" ""),1),"""")"),"")</f>
        <v/>
      </c>
      <c r="W206" s="315" t="str">
        <f>IFERROR(__xludf.DUMMYFUNCTION("if(V206="""",C206,if(not(iserror(index(split(C206, "" ""),3))), index(split(C206, "" ""),3),index(split(C206, "" ""),2)))"),"")</f>
        <v/>
      </c>
      <c r="X206" s="38" t="b">
        <f t="shared" si="2"/>
        <v>0</v>
      </c>
      <c r="Y206" s="38"/>
      <c r="Z206" s="40"/>
      <c r="AA206" s="40"/>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row>
    <row r="207">
      <c r="A207" s="37"/>
      <c r="B207" s="322"/>
      <c r="C207" s="144"/>
      <c r="D207" s="144"/>
      <c r="E207" s="37"/>
      <c r="F207" s="37"/>
      <c r="G207" s="37"/>
      <c r="H207" s="33" t="str">
        <f t="shared" si="1"/>
        <v/>
      </c>
      <c r="I207" s="37"/>
      <c r="J207" s="37"/>
      <c r="K207" s="37"/>
      <c r="L207" s="38"/>
      <c r="M207" s="37"/>
      <c r="N207" s="37"/>
      <c r="O207" s="37"/>
      <c r="P207" s="14"/>
      <c r="Q207" s="15"/>
      <c r="R207" s="16"/>
      <c r="S207" s="16"/>
      <c r="T207" s="16"/>
      <c r="U207" s="16"/>
      <c r="V207" s="37" t="str">
        <f>IFERROR(__xludf.DUMMYFUNCTION("if(not(iserror(index(split(C207, "" ""),2))), index(split(C207, "" ""),1),"""")"),"")</f>
        <v/>
      </c>
      <c r="W207" s="315" t="str">
        <f>IFERROR(__xludf.DUMMYFUNCTION("if(V207="""",C207,if(not(iserror(index(split(C207, "" ""),3))), index(split(C207, "" ""),3),index(split(C207, "" ""),2)))"),"")</f>
        <v/>
      </c>
      <c r="X207" s="38" t="b">
        <f t="shared" si="2"/>
        <v>0</v>
      </c>
      <c r="Y207" s="38"/>
      <c r="Z207" s="40"/>
      <c r="AA207" s="40"/>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row>
    <row r="208">
      <c r="A208" s="37"/>
      <c r="B208" s="322"/>
      <c r="C208" s="144"/>
      <c r="D208" s="144"/>
      <c r="E208" s="37"/>
      <c r="F208" s="37"/>
      <c r="G208" s="37"/>
      <c r="H208" s="33" t="str">
        <f t="shared" si="1"/>
        <v/>
      </c>
      <c r="I208" s="37"/>
      <c r="J208" s="37"/>
      <c r="K208" s="37"/>
      <c r="L208" s="38"/>
      <c r="M208" s="37"/>
      <c r="N208" s="37"/>
      <c r="O208" s="37"/>
      <c r="P208" s="14"/>
      <c r="Q208" s="15"/>
      <c r="R208" s="16"/>
      <c r="S208" s="16"/>
      <c r="T208" s="16"/>
      <c r="U208" s="16"/>
      <c r="V208" s="37" t="str">
        <f>IFERROR(__xludf.DUMMYFUNCTION("if(not(iserror(index(split(C208, "" ""),2))), index(split(C208, "" ""),1),"""")"),"")</f>
        <v/>
      </c>
      <c r="W208" s="315" t="str">
        <f>IFERROR(__xludf.DUMMYFUNCTION("if(V208="""",C208,if(not(iserror(index(split(C208, "" ""),3))), index(split(C208, "" ""),3),index(split(C208, "" ""),2)))"),"")</f>
        <v/>
      </c>
      <c r="X208" s="38" t="b">
        <f t="shared" si="2"/>
        <v>0</v>
      </c>
      <c r="Y208" s="38"/>
      <c r="Z208" s="40"/>
      <c r="AA208" s="40"/>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row>
    <row r="209">
      <c r="A209" s="37"/>
      <c r="B209" s="322"/>
      <c r="C209" s="144"/>
      <c r="D209" s="144"/>
      <c r="E209" s="37"/>
      <c r="F209" s="37"/>
      <c r="G209" s="37"/>
      <c r="H209" s="33" t="str">
        <f t="shared" si="1"/>
        <v/>
      </c>
      <c r="I209" s="37"/>
      <c r="J209" s="37"/>
      <c r="K209" s="37"/>
      <c r="L209" s="38"/>
      <c r="M209" s="58"/>
      <c r="N209" s="58"/>
      <c r="O209" s="58"/>
      <c r="P209" s="14"/>
      <c r="Q209" s="15"/>
      <c r="R209" s="16"/>
      <c r="S209" s="16"/>
      <c r="T209" s="16"/>
      <c r="U209" s="16"/>
      <c r="V209" s="37" t="str">
        <f>IFERROR(__xludf.DUMMYFUNCTION("if(not(iserror(index(split(C209, "" ""),2))), index(split(C209, "" ""),1),"""")"),"")</f>
        <v/>
      </c>
      <c r="W209" s="315" t="str">
        <f>IFERROR(__xludf.DUMMYFUNCTION("if(V209="""",C209,if(not(iserror(index(split(C209, "" ""),3))), index(split(C209, "" ""),3),index(split(C209, "" ""),2)))"),"")</f>
        <v/>
      </c>
      <c r="X209" s="38" t="b">
        <f t="shared" si="2"/>
        <v>0</v>
      </c>
      <c r="Y209" s="38"/>
      <c r="Z209" s="40"/>
      <c r="AA209" s="40"/>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row>
    <row r="210">
      <c r="A210" s="37"/>
      <c r="B210" s="322"/>
      <c r="C210" s="144"/>
      <c r="D210" s="144"/>
      <c r="E210" s="37"/>
      <c r="F210" s="37"/>
      <c r="G210" s="37"/>
      <c r="H210" s="33" t="str">
        <f t="shared" si="1"/>
        <v/>
      </c>
      <c r="I210" s="37"/>
      <c r="J210" s="37"/>
      <c r="K210" s="37"/>
      <c r="L210" s="38"/>
      <c r="M210" s="37"/>
      <c r="N210" s="37"/>
      <c r="O210" s="37"/>
      <c r="P210" s="106"/>
      <c r="Q210" s="15"/>
      <c r="R210" s="16"/>
      <c r="S210" s="16"/>
      <c r="T210" s="16"/>
      <c r="U210" s="16"/>
      <c r="V210" s="37" t="str">
        <f>IFERROR(__xludf.DUMMYFUNCTION("if(not(iserror(index(split(C210, "" ""),2))), index(split(C210, "" ""),1),"""")"),"")</f>
        <v/>
      </c>
      <c r="W210" s="315" t="str">
        <f>IFERROR(__xludf.DUMMYFUNCTION("if(V210="""",C210,if(not(iserror(index(split(C210, "" ""),3))), index(split(C210, "" ""),3),index(split(C210, "" ""),2)))"),"")</f>
        <v/>
      </c>
      <c r="X210" s="38" t="b">
        <f t="shared" si="2"/>
        <v>0</v>
      </c>
      <c r="Y210" s="38"/>
      <c r="Z210" s="40"/>
      <c r="AA210" s="40"/>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row>
    <row r="211">
      <c r="A211" s="37"/>
      <c r="B211" s="322"/>
      <c r="C211" s="144"/>
      <c r="D211" s="144"/>
      <c r="E211" s="37"/>
      <c r="F211" s="37"/>
      <c r="G211" s="37"/>
      <c r="H211" s="33" t="str">
        <f t="shared" si="1"/>
        <v/>
      </c>
      <c r="I211" s="37"/>
      <c r="J211" s="37"/>
      <c r="K211" s="37"/>
      <c r="L211" s="38"/>
      <c r="M211" s="37"/>
      <c r="N211" s="37"/>
      <c r="O211" s="37"/>
      <c r="P211" s="14"/>
      <c r="Q211" s="15"/>
      <c r="R211" s="16"/>
      <c r="S211" s="16"/>
      <c r="T211" s="16"/>
      <c r="U211" s="16"/>
      <c r="V211" s="37" t="str">
        <f>IFERROR(__xludf.DUMMYFUNCTION("if(not(iserror(index(split(C211, "" ""),2))), index(split(C211, "" ""),1),"""")"),"")</f>
        <v/>
      </c>
      <c r="W211" s="315" t="str">
        <f>IFERROR(__xludf.DUMMYFUNCTION("if(V211="""",C211,if(not(iserror(index(split(C211, "" ""),3))), index(split(C211, "" ""),3),index(split(C211, "" ""),2)))"),"")</f>
        <v/>
      </c>
      <c r="X211" s="38" t="b">
        <f t="shared" si="2"/>
        <v>0</v>
      </c>
      <c r="Y211" s="38"/>
      <c r="Z211" s="40"/>
      <c r="AA211" s="40"/>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row>
    <row r="212">
      <c r="A212" s="37"/>
      <c r="B212" s="322"/>
      <c r="C212" s="144"/>
      <c r="D212" s="144"/>
      <c r="E212" s="37"/>
      <c r="F212" s="37"/>
      <c r="G212" s="37"/>
      <c r="H212" s="33" t="str">
        <f t="shared" si="1"/>
        <v/>
      </c>
      <c r="I212" s="37"/>
      <c r="J212" s="37"/>
      <c r="K212" s="37"/>
      <c r="L212" s="38"/>
      <c r="M212" s="37"/>
      <c r="N212" s="37"/>
      <c r="O212" s="37"/>
      <c r="P212" s="14"/>
      <c r="Q212" s="15"/>
      <c r="R212" s="16"/>
      <c r="S212" s="16"/>
      <c r="T212" s="16"/>
      <c r="U212" s="16"/>
      <c r="V212" s="37" t="str">
        <f>IFERROR(__xludf.DUMMYFUNCTION("if(not(iserror(index(split(C212, "" ""),2))), index(split(C212, "" ""),1),"""")"),"")</f>
        <v/>
      </c>
      <c r="W212" s="315" t="str">
        <f>IFERROR(__xludf.DUMMYFUNCTION("if(V212="""",C212,if(not(iserror(index(split(C212, "" ""),3))), index(split(C212, "" ""),3),index(split(C212, "" ""),2)))"),"")</f>
        <v/>
      </c>
      <c r="X212" s="38" t="b">
        <f t="shared" si="2"/>
        <v>0</v>
      </c>
      <c r="Y212" s="38"/>
      <c r="Z212" s="40"/>
      <c r="AA212" s="40"/>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row>
    <row r="213">
      <c r="B213" s="322"/>
      <c r="C213" s="144"/>
      <c r="D213" s="144"/>
      <c r="E213" s="37"/>
      <c r="F213" s="37"/>
      <c r="G213" s="37"/>
      <c r="H213" s="33" t="str">
        <f t="shared" si="1"/>
        <v/>
      </c>
      <c r="I213" s="37"/>
      <c r="J213" s="37"/>
      <c r="K213" s="37"/>
      <c r="L213" s="38"/>
      <c r="M213" s="37"/>
      <c r="N213" s="37"/>
      <c r="O213" s="37"/>
      <c r="P213" s="14"/>
      <c r="Q213" s="15"/>
      <c r="R213" s="16"/>
      <c r="S213" s="16"/>
      <c r="T213" s="16"/>
      <c r="U213" s="16"/>
      <c r="V213" s="37" t="str">
        <f>IFERROR(__xludf.DUMMYFUNCTION("if(not(iserror(index(split(C213, "" ""),2))), index(split(C213, "" ""),1),"""")"),"")</f>
        <v/>
      </c>
      <c r="W213" s="315" t="str">
        <f>IFERROR(__xludf.DUMMYFUNCTION("if(V213="""",C213,if(not(iserror(index(split(C213, "" ""),3))), index(split(C213, "" ""),3),index(split(C213, "" ""),2)))"),"")</f>
        <v/>
      </c>
      <c r="X213" s="38" t="b">
        <f t="shared" si="2"/>
        <v>0</v>
      </c>
      <c r="Y213" s="38"/>
      <c r="Z213" s="40"/>
      <c r="AA213" s="40"/>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row>
    <row r="214">
      <c r="B214" s="322"/>
      <c r="C214" s="144"/>
      <c r="D214" s="144"/>
      <c r="E214" s="37"/>
      <c r="F214" s="37"/>
      <c r="G214" s="37"/>
      <c r="H214" s="33" t="str">
        <f t="shared" si="1"/>
        <v/>
      </c>
      <c r="I214" s="37"/>
      <c r="J214" s="37"/>
      <c r="K214" s="37"/>
      <c r="L214" s="38"/>
      <c r="M214" s="37"/>
      <c r="N214" s="37"/>
      <c r="O214" s="37"/>
      <c r="P214" s="14"/>
      <c r="Q214" s="15"/>
      <c r="R214" s="16"/>
      <c r="S214" s="16"/>
      <c r="T214" s="16"/>
      <c r="U214" s="16"/>
      <c r="V214" s="37" t="str">
        <f>IFERROR(__xludf.DUMMYFUNCTION("if(not(iserror(index(split(C214, "" ""),2))), index(split(C214, "" ""),1),"""")"),"")</f>
        <v/>
      </c>
      <c r="W214" s="315" t="str">
        <f>IFERROR(__xludf.DUMMYFUNCTION("if(V214="""",C214,if(not(iserror(index(split(C214, "" ""),3))), index(split(C214, "" ""),3),index(split(C214, "" ""),2)))"),"")</f>
        <v/>
      </c>
      <c r="X214" s="38" t="b">
        <f t="shared" si="2"/>
        <v>0</v>
      </c>
      <c r="Y214" s="38"/>
      <c r="Z214" s="40"/>
      <c r="AA214" s="40"/>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row>
    <row r="215">
      <c r="B215" s="322"/>
      <c r="C215" s="144"/>
      <c r="D215" s="144"/>
      <c r="E215" s="37"/>
      <c r="F215" s="37"/>
      <c r="G215" s="37"/>
      <c r="H215" s="33" t="str">
        <f t="shared" si="1"/>
        <v/>
      </c>
      <c r="I215" s="37"/>
      <c r="J215" s="37"/>
      <c r="K215" s="37"/>
      <c r="L215" s="38"/>
      <c r="M215" s="37"/>
      <c r="N215" s="37"/>
      <c r="O215" s="37"/>
      <c r="P215" s="14"/>
      <c r="Q215" s="15"/>
      <c r="R215" s="16"/>
      <c r="S215" s="16"/>
      <c r="T215" s="16"/>
      <c r="U215" s="16"/>
      <c r="V215" s="37" t="str">
        <f>IFERROR(__xludf.DUMMYFUNCTION("if(not(iserror(index(split(C215, "" ""),2))), index(split(C215, "" ""),1),"""")"),"")</f>
        <v/>
      </c>
      <c r="W215" s="315" t="str">
        <f>IFERROR(__xludf.DUMMYFUNCTION("if(V215="""",C215,if(not(iserror(index(split(C215, "" ""),3))), index(split(C215, "" ""),3),index(split(C215, "" ""),2)))"),"")</f>
        <v/>
      </c>
      <c r="X215" s="38" t="b">
        <f t="shared" si="2"/>
        <v>0</v>
      </c>
      <c r="Y215" s="38"/>
      <c r="Z215" s="40"/>
      <c r="AA215" s="40"/>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row>
    <row r="216">
      <c r="A216" s="37"/>
      <c r="B216" s="322"/>
      <c r="C216" s="144"/>
      <c r="D216" s="144"/>
      <c r="E216" s="37"/>
      <c r="F216" s="37"/>
      <c r="G216" s="37"/>
      <c r="H216" s="33" t="str">
        <f t="shared" si="1"/>
        <v/>
      </c>
      <c r="I216" s="37"/>
      <c r="J216" s="37"/>
      <c r="K216" s="37"/>
      <c r="L216" s="38"/>
      <c r="M216" s="37"/>
      <c r="N216" s="37"/>
      <c r="O216" s="37"/>
      <c r="P216" s="14"/>
      <c r="Q216" s="15"/>
      <c r="R216" s="16"/>
      <c r="S216" s="16"/>
      <c r="T216" s="16"/>
      <c r="U216" s="16"/>
      <c r="V216" s="37" t="str">
        <f>IFERROR(__xludf.DUMMYFUNCTION("if(not(iserror(index(split(C216, "" ""),2))), index(split(C216, "" ""),1),"""")"),"")</f>
        <v/>
      </c>
      <c r="W216" s="315" t="str">
        <f>IFERROR(__xludf.DUMMYFUNCTION("if(V216="""",C216,if(not(iserror(index(split(C216, "" ""),3))), index(split(C216, "" ""),3),index(split(C216, "" ""),2)))"),"")</f>
        <v/>
      </c>
      <c r="X216" s="38" t="b">
        <f t="shared" si="2"/>
        <v>0</v>
      </c>
      <c r="Y216" s="38"/>
      <c r="Z216" s="40"/>
      <c r="AA216" s="40"/>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row>
    <row r="217">
      <c r="A217" s="37"/>
      <c r="B217" s="322"/>
      <c r="C217" s="144"/>
      <c r="D217" s="144"/>
      <c r="E217" s="37"/>
      <c r="F217" s="37"/>
      <c r="G217" s="37"/>
      <c r="H217" s="33" t="str">
        <f t="shared" si="1"/>
        <v/>
      </c>
      <c r="I217" s="37"/>
      <c r="J217" s="37"/>
      <c r="K217" s="37"/>
      <c r="L217" s="38"/>
      <c r="M217" s="37"/>
      <c r="N217" s="37"/>
      <c r="O217" s="37"/>
      <c r="P217" s="14"/>
      <c r="Q217" s="15"/>
      <c r="R217" s="16"/>
      <c r="S217" s="16"/>
      <c r="T217" s="16"/>
      <c r="U217" s="16"/>
      <c r="V217" s="37" t="str">
        <f>IFERROR(__xludf.DUMMYFUNCTION("if(not(iserror(index(split(C217, "" ""),2))), index(split(C217, "" ""),1),"""")"),"")</f>
        <v/>
      </c>
      <c r="W217" s="315" t="str">
        <f>IFERROR(__xludf.DUMMYFUNCTION("if(V217="""",C217,if(not(iserror(index(split(C217, "" ""),3))), index(split(C217, "" ""),3),index(split(C217, "" ""),2)))"),"")</f>
        <v/>
      </c>
      <c r="X217" s="38" t="b">
        <f t="shared" si="2"/>
        <v>0</v>
      </c>
      <c r="Y217" s="38"/>
      <c r="Z217" s="40"/>
      <c r="AA217" s="40"/>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row>
    <row r="218">
      <c r="A218" s="37"/>
      <c r="B218" s="322"/>
      <c r="C218" s="144"/>
      <c r="D218" s="144"/>
      <c r="E218" s="37"/>
      <c r="F218" s="37"/>
      <c r="G218" s="37"/>
      <c r="H218" s="33" t="str">
        <f t="shared" si="1"/>
        <v/>
      </c>
      <c r="I218" s="37"/>
      <c r="J218" s="37"/>
      <c r="K218" s="37"/>
      <c r="L218" s="38"/>
      <c r="M218" s="37"/>
      <c r="N218" s="37"/>
      <c r="O218" s="37"/>
      <c r="P218" s="14"/>
      <c r="Q218" s="15"/>
      <c r="R218" s="16"/>
      <c r="S218" s="16"/>
      <c r="T218" s="16"/>
      <c r="U218" s="16"/>
      <c r="V218" s="37" t="str">
        <f>IFERROR(__xludf.DUMMYFUNCTION("if(not(iserror(index(split(C218, "" ""),2))), index(split(C218, "" ""),1),"""")"),"")</f>
        <v/>
      </c>
      <c r="W218" s="315" t="str">
        <f>IFERROR(__xludf.DUMMYFUNCTION("if(V218="""",C218,if(not(iserror(index(split(C218, "" ""),3))), index(split(C218, "" ""),3),index(split(C218, "" ""),2)))"),"")</f>
        <v/>
      </c>
      <c r="X218" s="38" t="b">
        <f t="shared" si="2"/>
        <v>0</v>
      </c>
      <c r="Y218" s="38"/>
      <c r="Z218" s="40"/>
      <c r="AA218" s="40"/>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row>
    <row r="219">
      <c r="A219" s="90"/>
      <c r="B219" s="322"/>
      <c r="C219" s="144"/>
      <c r="D219" s="144"/>
      <c r="E219" s="37"/>
      <c r="F219" s="37"/>
      <c r="G219" s="37"/>
      <c r="H219" s="33" t="str">
        <f t="shared" si="1"/>
        <v/>
      </c>
      <c r="I219" s="37"/>
      <c r="J219" s="37"/>
      <c r="K219" s="37"/>
      <c r="L219" s="38"/>
      <c r="M219" s="37"/>
      <c r="N219" s="37"/>
      <c r="O219" s="37"/>
      <c r="P219" s="14"/>
      <c r="Q219" s="15"/>
      <c r="R219" s="16"/>
      <c r="S219" s="16"/>
      <c r="T219" s="16"/>
      <c r="U219" s="16"/>
      <c r="V219" s="37" t="str">
        <f>IFERROR(__xludf.DUMMYFUNCTION("if(not(iserror(index(split(C219, "" ""),2))), index(split(C219, "" ""),1),"""")"),"")</f>
        <v/>
      </c>
      <c r="W219" s="315" t="str">
        <f>IFERROR(__xludf.DUMMYFUNCTION("if(V219="""",C219,if(not(iserror(index(split(C219, "" ""),3))), index(split(C219, "" ""),3),index(split(C219, "" ""),2)))"),"")</f>
        <v/>
      </c>
      <c r="X219" s="38" t="b">
        <f t="shared" si="2"/>
        <v>0</v>
      </c>
      <c r="Y219" s="38"/>
      <c r="Z219" s="40"/>
      <c r="AA219" s="40"/>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row>
    <row r="220">
      <c r="A220" s="37"/>
      <c r="B220" s="322"/>
      <c r="C220" s="144"/>
      <c r="D220" s="144"/>
      <c r="E220" s="37"/>
      <c r="F220" s="37"/>
      <c r="G220" s="37"/>
      <c r="H220" s="33" t="str">
        <f t="shared" si="1"/>
        <v/>
      </c>
      <c r="I220" s="37"/>
      <c r="J220" s="37"/>
      <c r="K220" s="37"/>
      <c r="L220" s="38"/>
      <c r="M220" s="37"/>
      <c r="N220" s="37"/>
      <c r="O220" s="37"/>
      <c r="P220" s="14"/>
      <c r="Q220" s="15"/>
      <c r="R220" s="16"/>
      <c r="S220" s="16"/>
      <c r="T220" s="16"/>
      <c r="U220" s="16"/>
      <c r="V220" s="37" t="str">
        <f>IFERROR(__xludf.DUMMYFUNCTION("if(not(iserror(index(split(C220, "" ""),2))), index(split(C220, "" ""),1),"""")"),"")</f>
        <v/>
      </c>
      <c r="W220" s="315" t="str">
        <f>IFERROR(__xludf.DUMMYFUNCTION("if(V220="""",C220,if(not(iserror(index(split(C220, "" ""),3))), index(split(C220, "" ""),3),index(split(C220, "" ""),2)))"),"")</f>
        <v/>
      </c>
      <c r="X220" s="38" t="b">
        <f t="shared" si="2"/>
        <v>0</v>
      </c>
      <c r="Y220" s="38"/>
      <c r="Z220" s="40"/>
      <c r="AA220" s="40"/>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row>
    <row r="221">
      <c r="A221" s="37"/>
      <c r="B221" s="322"/>
      <c r="C221" s="144"/>
      <c r="D221" s="144"/>
      <c r="E221" s="37"/>
      <c r="F221" s="37"/>
      <c r="G221" s="37"/>
      <c r="H221" s="33" t="str">
        <f t="shared" si="1"/>
        <v/>
      </c>
      <c r="I221" s="37"/>
      <c r="J221" s="37"/>
      <c r="K221" s="37"/>
      <c r="L221" s="38"/>
      <c r="M221" s="37"/>
      <c r="N221" s="37"/>
      <c r="O221" s="37"/>
      <c r="P221" s="14"/>
      <c r="Q221" s="15"/>
      <c r="R221" s="16"/>
      <c r="S221" s="16"/>
      <c r="T221" s="16"/>
      <c r="U221" s="16"/>
      <c r="V221" s="37" t="str">
        <f>IFERROR(__xludf.DUMMYFUNCTION("if(not(iserror(index(split(C221, "" ""),2))), index(split(C221, "" ""),1),"""")"),"")</f>
        <v/>
      </c>
      <c r="W221" s="315" t="str">
        <f>IFERROR(__xludf.DUMMYFUNCTION("if(V221="""",C221,if(not(iserror(index(split(C221, "" ""),3))), index(split(C221, "" ""),3),index(split(C221, "" ""),2)))"),"")</f>
        <v/>
      </c>
      <c r="X221" s="38" t="b">
        <f t="shared" si="2"/>
        <v>0</v>
      </c>
      <c r="Y221" s="38"/>
      <c r="Z221" s="40"/>
      <c r="AA221" s="40"/>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row>
    <row r="222">
      <c r="A222" s="37"/>
      <c r="B222" s="322"/>
      <c r="C222" s="144"/>
      <c r="D222" s="144"/>
      <c r="E222" s="37"/>
      <c r="F222" s="37"/>
      <c r="G222" s="37"/>
      <c r="H222" s="33" t="str">
        <f t="shared" si="1"/>
        <v/>
      </c>
      <c r="I222" s="37"/>
      <c r="J222" s="37"/>
      <c r="K222" s="37"/>
      <c r="L222" s="38"/>
      <c r="M222" s="37"/>
      <c r="N222" s="37"/>
      <c r="O222" s="37"/>
      <c r="P222" s="14"/>
      <c r="Q222" s="15"/>
      <c r="R222" s="16"/>
      <c r="S222" s="16"/>
      <c r="T222" s="16"/>
      <c r="U222" s="16"/>
      <c r="V222" s="37" t="str">
        <f>IFERROR(__xludf.DUMMYFUNCTION("if(not(iserror(index(split(C222, "" ""),2))), index(split(C222, "" ""),1),"""")"),"")</f>
        <v/>
      </c>
      <c r="W222" s="315" t="str">
        <f>IFERROR(__xludf.DUMMYFUNCTION("if(V222="""",C222,if(not(iserror(index(split(C222, "" ""),3))), index(split(C222, "" ""),3),index(split(C222, "" ""),2)))"),"")</f>
        <v/>
      </c>
      <c r="X222" s="38" t="b">
        <f t="shared" si="2"/>
        <v>0</v>
      </c>
      <c r="Y222" s="38"/>
      <c r="Z222" s="40"/>
      <c r="AA222" s="40"/>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row>
    <row r="223">
      <c r="A223" s="37"/>
      <c r="B223" s="322"/>
      <c r="C223" s="144"/>
      <c r="D223" s="144"/>
      <c r="E223" s="37"/>
      <c r="F223" s="37"/>
      <c r="G223" s="37"/>
      <c r="H223" s="33" t="str">
        <f t="shared" si="1"/>
        <v/>
      </c>
      <c r="I223" s="37"/>
      <c r="J223" s="37"/>
      <c r="K223" s="37"/>
      <c r="L223" s="38"/>
      <c r="M223" s="37"/>
      <c r="N223" s="37"/>
      <c r="O223" s="37"/>
      <c r="P223" s="14"/>
      <c r="Q223" s="15"/>
      <c r="R223" s="16"/>
      <c r="S223" s="16"/>
      <c r="T223" s="16"/>
      <c r="U223" s="16"/>
      <c r="V223" s="37" t="str">
        <f>IFERROR(__xludf.DUMMYFUNCTION("if(not(iserror(index(split(C223, "" ""),2))), index(split(C223, "" ""),1),"""")"),"")</f>
        <v/>
      </c>
      <c r="W223" s="315" t="str">
        <f>IFERROR(__xludf.DUMMYFUNCTION("if(V223="""",C223,if(not(iserror(index(split(C223, "" ""),3))), index(split(C223, "" ""),3),index(split(C223, "" ""),2)))"),"")</f>
        <v/>
      </c>
      <c r="X223" s="38" t="b">
        <f t="shared" si="2"/>
        <v>0</v>
      </c>
      <c r="Y223" s="38"/>
      <c r="Z223" s="40"/>
      <c r="AA223" s="40"/>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row>
    <row r="224">
      <c r="B224" s="322"/>
      <c r="C224" s="144"/>
      <c r="D224" s="144"/>
      <c r="E224" s="37"/>
      <c r="F224" s="37"/>
      <c r="G224" s="37"/>
      <c r="H224" s="33" t="str">
        <f t="shared" si="1"/>
        <v/>
      </c>
      <c r="I224" s="37"/>
      <c r="J224" s="37"/>
      <c r="K224" s="37"/>
      <c r="L224" s="38"/>
      <c r="M224" s="37"/>
      <c r="N224" s="37"/>
      <c r="O224" s="37"/>
      <c r="P224" s="14"/>
      <c r="Q224" s="15"/>
      <c r="R224" s="16"/>
      <c r="S224" s="16"/>
      <c r="T224" s="16"/>
      <c r="U224" s="16"/>
      <c r="V224" s="37" t="str">
        <f>IFERROR(__xludf.DUMMYFUNCTION("if(not(iserror(index(split(C224, "" ""),2))), index(split(C224, "" ""),1),"""")"),"")</f>
        <v/>
      </c>
      <c r="W224" s="315" t="str">
        <f>IFERROR(__xludf.DUMMYFUNCTION("if(V224="""",C224,if(not(iserror(index(split(C224, "" ""),3))), index(split(C224, "" ""),3),index(split(C224, "" ""),2)))"),"")</f>
        <v/>
      </c>
      <c r="X224" s="38" t="b">
        <f t="shared" si="2"/>
        <v>0</v>
      </c>
      <c r="Y224" s="38"/>
      <c r="Z224" s="40"/>
      <c r="AA224" s="40"/>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row>
    <row r="225">
      <c r="A225" s="37"/>
      <c r="B225" s="322"/>
      <c r="C225" s="144"/>
      <c r="D225" s="144"/>
      <c r="E225" s="37"/>
      <c r="F225" s="37"/>
      <c r="G225" s="37"/>
      <c r="H225" s="33" t="str">
        <f t="shared" si="1"/>
        <v/>
      </c>
      <c r="I225" s="37"/>
      <c r="J225" s="37"/>
      <c r="K225" s="37"/>
      <c r="L225" s="38"/>
      <c r="M225" s="37"/>
      <c r="N225" s="37"/>
      <c r="O225" s="37"/>
      <c r="P225" s="14"/>
      <c r="Q225" s="15"/>
      <c r="R225" s="16"/>
      <c r="S225" s="16"/>
      <c r="T225" s="16"/>
      <c r="U225" s="16"/>
      <c r="V225" s="37" t="str">
        <f>IFERROR(__xludf.DUMMYFUNCTION("if(not(iserror(index(split(C225, "" ""),2))), index(split(C225, "" ""),1),"""")"),"")</f>
        <v/>
      </c>
      <c r="W225" s="315" t="str">
        <f>IFERROR(__xludf.DUMMYFUNCTION("if(V225="""",C225,if(not(iserror(index(split(C225, "" ""),3))), index(split(C225, "" ""),3),index(split(C225, "" ""),2)))"),"")</f>
        <v/>
      </c>
      <c r="X225" s="38" t="b">
        <f t="shared" si="2"/>
        <v>0</v>
      </c>
      <c r="Y225" s="38"/>
      <c r="Z225" s="40"/>
      <c r="AA225" s="40"/>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row>
    <row r="226">
      <c r="A226" s="37"/>
      <c r="B226" s="322"/>
      <c r="C226" s="144"/>
      <c r="D226" s="144"/>
      <c r="E226" s="37"/>
      <c r="F226" s="37"/>
      <c r="G226" s="37"/>
      <c r="H226" s="33" t="str">
        <f t="shared" si="1"/>
        <v/>
      </c>
      <c r="I226" s="37"/>
      <c r="J226" s="37"/>
      <c r="K226" s="37"/>
      <c r="L226" s="38"/>
      <c r="M226" s="58"/>
      <c r="N226" s="58"/>
      <c r="O226" s="58"/>
      <c r="P226" s="14"/>
      <c r="Q226" s="15"/>
      <c r="R226" s="16"/>
      <c r="S226" s="16"/>
      <c r="T226" s="16"/>
      <c r="U226" s="16"/>
      <c r="V226" s="37" t="str">
        <f>IFERROR(__xludf.DUMMYFUNCTION("if(not(iserror(index(split(C226, "" ""),2))), index(split(C226, "" ""),1),"""")"),"")</f>
        <v/>
      </c>
      <c r="W226" s="315" t="str">
        <f>IFERROR(__xludf.DUMMYFUNCTION("if(V226="""",C226,if(not(iserror(index(split(C226, "" ""),3))), index(split(C226, "" ""),3),index(split(C226, "" ""),2)))"),"")</f>
        <v/>
      </c>
      <c r="X226" s="38" t="b">
        <f t="shared" si="2"/>
        <v>0</v>
      </c>
      <c r="Y226" s="38"/>
      <c r="Z226" s="40"/>
      <c r="AA226" s="40"/>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row>
    <row r="227">
      <c r="A227" s="37"/>
      <c r="B227" s="322"/>
      <c r="C227" s="144"/>
      <c r="D227" s="144"/>
      <c r="E227" s="37"/>
      <c r="F227" s="37"/>
      <c r="G227" s="37"/>
      <c r="H227" s="33" t="str">
        <f t="shared" si="1"/>
        <v/>
      </c>
      <c r="I227" s="37"/>
      <c r="J227" s="37"/>
      <c r="K227" s="37"/>
      <c r="L227" s="38"/>
      <c r="M227" s="58"/>
      <c r="N227" s="58"/>
      <c r="O227" s="58"/>
      <c r="P227" s="14"/>
      <c r="Q227" s="15"/>
      <c r="R227" s="16"/>
      <c r="S227" s="16"/>
      <c r="T227" s="16"/>
      <c r="U227" s="16"/>
      <c r="V227" s="37" t="str">
        <f>IFERROR(__xludf.DUMMYFUNCTION("if(not(iserror(index(split(C227, "" ""),2))), index(split(C227, "" ""),1),"""")"),"")</f>
        <v/>
      </c>
      <c r="W227" s="315" t="str">
        <f>IFERROR(__xludf.DUMMYFUNCTION("if(V227="""",C227,if(not(iserror(index(split(C227, "" ""),3))), index(split(C227, "" ""),3),index(split(C227, "" ""),2)))"),"")</f>
        <v/>
      </c>
      <c r="X227" s="38" t="b">
        <f t="shared" si="2"/>
        <v>0</v>
      </c>
      <c r="Y227" s="38"/>
      <c r="Z227" s="40"/>
      <c r="AA227" s="40"/>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row>
    <row r="228">
      <c r="A228" s="37"/>
      <c r="B228" s="322"/>
      <c r="C228" s="144"/>
      <c r="D228" s="144"/>
      <c r="E228" s="37"/>
      <c r="F228" s="37"/>
      <c r="G228" s="37"/>
      <c r="H228" s="33" t="str">
        <f t="shared" si="1"/>
        <v/>
      </c>
      <c r="I228" s="37"/>
      <c r="J228" s="37"/>
      <c r="K228" s="37"/>
      <c r="L228" s="38"/>
      <c r="M228" s="58"/>
      <c r="N228" s="58"/>
      <c r="O228" s="58"/>
      <c r="P228" s="14"/>
      <c r="Q228" s="15"/>
      <c r="R228" s="16"/>
      <c r="S228" s="16"/>
      <c r="T228" s="16"/>
      <c r="U228" s="16"/>
      <c r="V228" s="37" t="str">
        <f>IFERROR(__xludf.DUMMYFUNCTION("if(not(iserror(index(split(C228, "" ""),2))), index(split(C228, "" ""),1),"""")"),"")</f>
        <v/>
      </c>
      <c r="W228" s="315" t="str">
        <f>IFERROR(__xludf.DUMMYFUNCTION("if(V228="""",C228,if(not(iserror(index(split(C228, "" ""),3))), index(split(C228, "" ""),3),index(split(C228, "" ""),2)))"),"")</f>
        <v/>
      </c>
      <c r="X228" s="38" t="b">
        <f t="shared" si="2"/>
        <v>0</v>
      </c>
      <c r="Y228" s="38"/>
      <c r="Z228" s="40"/>
      <c r="AA228" s="40"/>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row>
    <row r="229">
      <c r="A229" s="37"/>
      <c r="B229" s="322"/>
      <c r="C229" s="144"/>
      <c r="D229" s="144"/>
      <c r="E229" s="37"/>
      <c r="F229" s="37"/>
      <c r="G229" s="37"/>
      <c r="H229" s="33" t="str">
        <f t="shared" si="1"/>
        <v/>
      </c>
      <c r="I229" s="37"/>
      <c r="J229" s="37"/>
      <c r="K229" s="37"/>
      <c r="L229" s="38"/>
      <c r="M229" s="58"/>
      <c r="N229" s="58"/>
      <c r="O229" s="58"/>
      <c r="P229" s="14"/>
      <c r="Q229" s="15"/>
      <c r="R229" s="16"/>
      <c r="S229" s="16"/>
      <c r="T229" s="16"/>
      <c r="U229" s="16"/>
      <c r="V229" s="37" t="str">
        <f>IFERROR(__xludf.DUMMYFUNCTION("if(not(iserror(index(split(C229, "" ""),2))), index(split(C229, "" ""),1),"""")"),"")</f>
        <v/>
      </c>
      <c r="W229" s="315" t="str">
        <f>IFERROR(__xludf.DUMMYFUNCTION("if(V229="""",C229,if(not(iserror(index(split(C229, "" ""),3))), index(split(C229, "" ""),3),index(split(C229, "" ""),2)))"),"")</f>
        <v/>
      </c>
      <c r="X229" s="38" t="b">
        <f t="shared" si="2"/>
        <v>0</v>
      </c>
      <c r="Y229" s="38"/>
      <c r="Z229" s="40"/>
      <c r="AA229" s="40"/>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row>
    <row r="230">
      <c r="A230" s="37"/>
      <c r="B230" s="322"/>
      <c r="C230" s="144"/>
      <c r="D230" s="144"/>
      <c r="E230" s="37"/>
      <c r="F230" s="37"/>
      <c r="G230" s="37"/>
      <c r="H230" s="33" t="str">
        <f t="shared" si="1"/>
        <v/>
      </c>
      <c r="I230" s="37"/>
      <c r="J230" s="37"/>
      <c r="K230" s="37"/>
      <c r="L230" s="38"/>
      <c r="M230" s="58"/>
      <c r="N230" s="58"/>
      <c r="O230" s="58"/>
      <c r="P230" s="14"/>
      <c r="Q230" s="15"/>
      <c r="R230" s="16"/>
      <c r="S230" s="16"/>
      <c r="T230" s="16"/>
      <c r="U230" s="16"/>
      <c r="V230" s="37" t="str">
        <f>IFERROR(__xludf.DUMMYFUNCTION("if(not(iserror(index(split(C230, "" ""),2))), index(split(C230, "" ""),1),"""")"),"")</f>
        <v/>
      </c>
      <c r="W230" s="315" t="str">
        <f>IFERROR(__xludf.DUMMYFUNCTION("if(V230="""",C230,if(not(iserror(index(split(C230, "" ""),3))), index(split(C230, "" ""),3),index(split(C230, "" ""),2)))"),"")</f>
        <v/>
      </c>
      <c r="X230" s="38" t="b">
        <f t="shared" si="2"/>
        <v>0</v>
      </c>
      <c r="Y230" s="38"/>
      <c r="Z230" s="40"/>
      <c r="AA230" s="40"/>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row>
    <row r="231">
      <c r="A231" s="37"/>
      <c r="B231" s="322"/>
      <c r="C231" s="144"/>
      <c r="D231" s="144"/>
      <c r="E231" s="37"/>
      <c r="F231" s="37"/>
      <c r="G231" s="37"/>
      <c r="H231" s="33" t="str">
        <f t="shared" si="1"/>
        <v/>
      </c>
      <c r="I231" s="37"/>
      <c r="J231" s="37"/>
      <c r="K231" s="37"/>
      <c r="L231" s="38"/>
      <c r="M231" s="58"/>
      <c r="N231" s="58"/>
      <c r="O231" s="58"/>
      <c r="P231" s="14"/>
      <c r="Q231" s="15"/>
      <c r="R231" s="16"/>
      <c r="S231" s="16"/>
      <c r="T231" s="16"/>
      <c r="U231" s="16"/>
      <c r="V231" s="37" t="str">
        <f>IFERROR(__xludf.DUMMYFUNCTION("if(not(iserror(index(split(C231, "" ""),2))), index(split(C231, "" ""),1),"""")"),"")</f>
        <v/>
      </c>
      <c r="W231" s="315" t="str">
        <f>IFERROR(__xludf.DUMMYFUNCTION("if(V231="""",C231,if(not(iserror(index(split(C231, "" ""),3))), index(split(C231, "" ""),3),index(split(C231, "" ""),2)))"),"")</f>
        <v/>
      </c>
      <c r="X231" s="38" t="b">
        <f t="shared" si="2"/>
        <v>0</v>
      </c>
      <c r="Y231" s="38"/>
      <c r="Z231" s="40"/>
      <c r="AA231" s="40"/>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row>
    <row r="232">
      <c r="A232" s="37"/>
      <c r="B232" s="322"/>
      <c r="C232" s="144"/>
      <c r="D232" s="144"/>
      <c r="E232" s="37"/>
      <c r="F232" s="37"/>
      <c r="G232" s="37"/>
      <c r="H232" s="33" t="str">
        <f t="shared" si="1"/>
        <v/>
      </c>
      <c r="I232" s="37"/>
      <c r="J232" s="37"/>
      <c r="K232" s="37"/>
      <c r="L232" s="38"/>
      <c r="M232" s="37"/>
      <c r="N232" s="37"/>
      <c r="O232" s="37"/>
      <c r="P232" s="14"/>
      <c r="Q232" s="15"/>
      <c r="R232" s="16"/>
      <c r="S232" s="16"/>
      <c r="T232" s="16"/>
      <c r="U232" s="16"/>
      <c r="V232" s="37" t="str">
        <f>IFERROR(__xludf.DUMMYFUNCTION("if(not(iserror(index(split(C232, "" ""),2))), index(split(C232, "" ""),1),"""")"),"")</f>
        <v/>
      </c>
      <c r="W232" s="315" t="str">
        <f>IFERROR(__xludf.DUMMYFUNCTION("if(V232="""",C232,if(not(iserror(index(split(C232, "" ""),3))), index(split(C232, "" ""),3),index(split(C232, "" ""),2)))"),"")</f>
        <v/>
      </c>
      <c r="X232" s="38" t="b">
        <f t="shared" si="2"/>
        <v>0</v>
      </c>
      <c r="Y232" s="38"/>
      <c r="Z232" s="40"/>
      <c r="AA232" s="40"/>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row>
    <row r="233">
      <c r="A233" s="37"/>
      <c r="B233" s="322"/>
      <c r="C233" s="144"/>
      <c r="D233" s="144"/>
      <c r="E233" s="37"/>
      <c r="F233" s="37"/>
      <c r="G233" s="37"/>
      <c r="H233" s="33" t="str">
        <f t="shared" si="1"/>
        <v/>
      </c>
      <c r="I233" s="37"/>
      <c r="J233" s="37"/>
      <c r="K233" s="37"/>
      <c r="L233" s="38"/>
      <c r="M233" s="37"/>
      <c r="N233" s="37"/>
      <c r="O233" s="37"/>
      <c r="P233" s="14"/>
      <c r="Q233" s="15"/>
      <c r="R233" s="37"/>
      <c r="S233" s="16"/>
      <c r="T233" s="64"/>
      <c r="U233" s="16"/>
      <c r="V233" s="37" t="str">
        <f>IFERROR(__xludf.DUMMYFUNCTION("if(not(iserror(index(split(C233, "" ""),2))), index(split(C233, "" ""),1),"""")"),"")</f>
        <v/>
      </c>
      <c r="W233" s="315" t="str">
        <f>IFERROR(__xludf.DUMMYFUNCTION("if(V233="""",C233,if(not(iserror(index(split(C233, "" ""),3))), index(split(C233, "" ""),3),index(split(C233, "" ""),2)))"),"")</f>
        <v/>
      </c>
      <c r="X233" s="38" t="b">
        <f t="shared" si="2"/>
        <v>0</v>
      </c>
      <c r="Y233" s="38"/>
      <c r="Z233" s="40"/>
      <c r="AA233" s="40"/>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row>
    <row r="234">
      <c r="A234" s="37"/>
      <c r="B234" s="322"/>
      <c r="C234" s="144"/>
      <c r="D234" s="144"/>
      <c r="E234" s="37"/>
      <c r="F234" s="37"/>
      <c r="G234" s="37"/>
      <c r="H234" s="33" t="str">
        <f t="shared" si="1"/>
        <v/>
      </c>
      <c r="I234" s="37"/>
      <c r="J234" s="37"/>
      <c r="K234" s="37"/>
      <c r="L234" s="38"/>
      <c r="M234" s="37"/>
      <c r="N234" s="37"/>
      <c r="O234" s="37"/>
      <c r="P234" s="14"/>
      <c r="Q234" s="14"/>
      <c r="R234" s="37"/>
      <c r="S234" s="37"/>
      <c r="T234" s="37"/>
      <c r="U234" s="16"/>
      <c r="V234" s="37" t="str">
        <f>IFERROR(__xludf.DUMMYFUNCTION("if(not(iserror(index(split(C234, "" ""),2))), index(split(C234, "" ""),1),"""")"),"")</f>
        <v/>
      </c>
      <c r="W234" s="315" t="str">
        <f>IFERROR(__xludf.DUMMYFUNCTION("if(V234="""",C234,if(not(iserror(index(split(C234, "" ""),3))), index(split(C234, "" ""),3),index(split(C234, "" ""),2)))"),"")</f>
        <v/>
      </c>
      <c r="X234" s="38" t="b">
        <f t="shared" si="2"/>
        <v>0</v>
      </c>
      <c r="Y234" s="38"/>
      <c r="Z234" s="40"/>
      <c r="AA234" s="40"/>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row>
    <row r="235">
      <c r="A235" s="37"/>
      <c r="B235" s="322"/>
      <c r="C235" s="144"/>
      <c r="D235" s="144"/>
      <c r="E235" s="37"/>
      <c r="F235" s="37"/>
      <c r="G235" s="37"/>
      <c r="H235" s="33" t="str">
        <f t="shared" si="1"/>
        <v/>
      </c>
      <c r="I235" s="37"/>
      <c r="J235" s="37"/>
      <c r="K235" s="37"/>
      <c r="L235" s="38"/>
      <c r="M235" s="37"/>
      <c r="N235" s="37"/>
      <c r="O235" s="37"/>
      <c r="P235" s="14"/>
      <c r="Q235" s="15"/>
      <c r="R235" s="16"/>
      <c r="S235" s="16"/>
      <c r="T235" s="16"/>
      <c r="U235" s="16"/>
      <c r="V235" s="37" t="str">
        <f>IFERROR(__xludf.DUMMYFUNCTION("if(not(iserror(index(split(C235, "" ""),2))), index(split(C235, "" ""),1),"""")"),"")</f>
        <v/>
      </c>
      <c r="W235" s="315" t="str">
        <f>IFERROR(__xludf.DUMMYFUNCTION("if(V235="""",C235,if(not(iserror(index(split(C235, "" ""),3))), index(split(C235, "" ""),3),index(split(C235, "" ""),2)))"),"")</f>
        <v/>
      </c>
      <c r="X235" s="38" t="b">
        <f t="shared" si="2"/>
        <v>0</v>
      </c>
      <c r="Y235" s="38"/>
      <c r="Z235" s="40"/>
      <c r="AA235" s="40"/>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row>
    <row r="236">
      <c r="A236" s="37"/>
      <c r="B236" s="322"/>
      <c r="C236" s="144"/>
      <c r="D236" s="144"/>
      <c r="E236" s="37"/>
      <c r="F236" s="37"/>
      <c r="G236" s="37"/>
      <c r="H236" s="33" t="str">
        <f t="shared" si="1"/>
        <v/>
      </c>
      <c r="I236" s="37"/>
      <c r="J236" s="37"/>
      <c r="K236" s="37"/>
      <c r="L236" s="38"/>
      <c r="M236" s="37"/>
      <c r="N236" s="37"/>
      <c r="O236" s="37"/>
      <c r="P236" s="14"/>
      <c r="Q236" s="14"/>
      <c r="R236" s="16"/>
      <c r="S236" s="16"/>
      <c r="T236" s="16"/>
      <c r="U236" s="16"/>
      <c r="V236" s="37" t="str">
        <f>IFERROR(__xludf.DUMMYFUNCTION("if(not(iserror(index(split(C236, "" ""),2))), index(split(C236, "" ""),1),"""")"),"")</f>
        <v/>
      </c>
      <c r="W236" s="315" t="str">
        <f>IFERROR(__xludf.DUMMYFUNCTION("if(V236="""",C236,if(not(iserror(index(split(C236, "" ""),3))), index(split(C236, "" ""),3),index(split(C236, "" ""),2)))"),"")</f>
        <v/>
      </c>
      <c r="X236" s="38" t="b">
        <f t="shared" si="2"/>
        <v>0</v>
      </c>
      <c r="Y236" s="38"/>
      <c r="Z236" s="40"/>
      <c r="AA236" s="40"/>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row>
    <row r="237">
      <c r="A237" s="37"/>
      <c r="B237" s="322"/>
      <c r="C237" s="144"/>
      <c r="D237" s="144"/>
      <c r="E237" s="37"/>
      <c r="F237" s="37"/>
      <c r="G237" s="37"/>
      <c r="H237" s="33" t="str">
        <f t="shared" si="1"/>
        <v/>
      </c>
      <c r="I237" s="37"/>
      <c r="J237" s="37"/>
      <c r="K237" s="37"/>
      <c r="L237" s="38"/>
      <c r="M237" s="37"/>
      <c r="N237" s="37"/>
      <c r="O237" s="37"/>
      <c r="P237" s="14"/>
      <c r="Q237" s="15"/>
      <c r="R237" s="16"/>
      <c r="S237" s="16"/>
      <c r="T237" s="16"/>
      <c r="U237" s="16"/>
      <c r="V237" s="37" t="str">
        <f>IFERROR(__xludf.DUMMYFUNCTION("if(not(iserror(index(split(C237, "" ""),2))), index(split(C237, "" ""),1),"""")"),"")</f>
        <v/>
      </c>
      <c r="W237" s="315" t="str">
        <f>IFERROR(__xludf.DUMMYFUNCTION("if(V237="""",C237,if(not(iserror(index(split(C237, "" ""),3))), index(split(C237, "" ""),3),index(split(C237, "" ""),2)))"),"")</f>
        <v/>
      </c>
      <c r="X237" s="38" t="b">
        <f t="shared" si="2"/>
        <v>0</v>
      </c>
      <c r="Y237" s="38"/>
      <c r="Z237" s="40"/>
      <c r="AA237" s="40"/>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row>
    <row r="238">
      <c r="A238" s="37"/>
      <c r="B238" s="322"/>
      <c r="C238" s="144"/>
      <c r="D238" s="144"/>
      <c r="E238" s="37"/>
      <c r="F238" s="37"/>
      <c r="G238" s="37"/>
      <c r="H238" s="33" t="str">
        <f t="shared" si="1"/>
        <v/>
      </c>
      <c r="I238" s="37"/>
      <c r="J238" s="37"/>
      <c r="K238" s="37"/>
      <c r="L238" s="38"/>
      <c r="M238" s="37"/>
      <c r="N238" s="37"/>
      <c r="O238" s="37"/>
      <c r="P238" s="14"/>
      <c r="Q238" s="15"/>
      <c r="R238" s="16"/>
      <c r="S238" s="16"/>
      <c r="T238" s="16"/>
      <c r="U238" s="16"/>
      <c r="V238" s="37" t="str">
        <f>IFERROR(__xludf.DUMMYFUNCTION("if(not(iserror(index(split(C238, "" ""),2))), index(split(C238, "" ""),1),"""")"),"")</f>
        <v/>
      </c>
      <c r="W238" s="315" t="str">
        <f>IFERROR(__xludf.DUMMYFUNCTION("if(V238="""",C238,if(not(iserror(index(split(C238, "" ""),3))), index(split(C238, "" ""),3),index(split(C238, "" ""),2)))"),"")</f>
        <v/>
      </c>
      <c r="X238" s="38" t="b">
        <f t="shared" si="2"/>
        <v>0</v>
      </c>
      <c r="Y238" s="38"/>
      <c r="Z238" s="40"/>
      <c r="AA238" s="40"/>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row>
    <row r="239">
      <c r="A239" s="37"/>
      <c r="B239" s="322"/>
      <c r="C239" s="144"/>
      <c r="D239" s="144"/>
      <c r="E239" s="37"/>
      <c r="F239" s="37"/>
      <c r="G239" s="37"/>
      <c r="H239" s="33" t="str">
        <f t="shared" si="1"/>
        <v/>
      </c>
      <c r="I239" s="37"/>
      <c r="J239" s="37"/>
      <c r="K239" s="37"/>
      <c r="L239" s="38"/>
      <c r="M239" s="37"/>
      <c r="N239" s="37"/>
      <c r="O239" s="37"/>
      <c r="P239" s="14"/>
      <c r="Q239" s="15"/>
      <c r="R239" s="16"/>
      <c r="S239" s="16"/>
      <c r="T239" s="16"/>
      <c r="U239" s="16"/>
      <c r="V239" s="37" t="str">
        <f>IFERROR(__xludf.DUMMYFUNCTION("if(not(iserror(index(split(C239, "" ""),2))), index(split(C239, "" ""),1),"""")"),"")</f>
        <v/>
      </c>
      <c r="W239" s="315" t="str">
        <f>IFERROR(__xludf.DUMMYFUNCTION("if(V239="""",C239,if(not(iserror(index(split(C239, "" ""),3))), index(split(C239, "" ""),3),index(split(C239, "" ""),2)))"),"")</f>
        <v/>
      </c>
      <c r="X239" s="38" t="b">
        <f t="shared" si="2"/>
        <v>0</v>
      </c>
      <c r="Y239" s="38"/>
      <c r="Z239" s="40"/>
      <c r="AA239" s="40"/>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row>
    <row r="240">
      <c r="A240" s="37"/>
      <c r="B240" s="322"/>
      <c r="C240" s="144"/>
      <c r="D240" s="144"/>
      <c r="E240" s="37"/>
      <c r="F240" s="37"/>
      <c r="G240" s="37"/>
      <c r="H240" s="33" t="str">
        <f t="shared" si="1"/>
        <v/>
      </c>
      <c r="I240" s="37"/>
      <c r="J240" s="37"/>
      <c r="K240" s="37"/>
      <c r="L240" s="38"/>
      <c r="M240" s="37"/>
      <c r="N240" s="37"/>
      <c r="O240" s="37"/>
      <c r="P240" s="14"/>
      <c r="Q240" s="15"/>
      <c r="R240" s="16"/>
      <c r="S240" s="16"/>
      <c r="T240" s="16"/>
      <c r="U240" s="16"/>
      <c r="V240" s="37" t="str">
        <f>IFERROR(__xludf.DUMMYFUNCTION("if(not(iserror(index(split(C240, "" ""),2))), index(split(C240, "" ""),1),"""")"),"")</f>
        <v/>
      </c>
      <c r="W240" s="315" t="str">
        <f>IFERROR(__xludf.DUMMYFUNCTION("if(V240="""",C240,if(not(iserror(index(split(C240, "" ""),3))), index(split(C240, "" ""),3),index(split(C240, "" ""),2)))"),"")</f>
        <v/>
      </c>
      <c r="X240" s="38" t="b">
        <f t="shared" si="2"/>
        <v>0</v>
      </c>
      <c r="Y240" s="38"/>
      <c r="Z240" s="40"/>
      <c r="AA240" s="40"/>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row>
    <row r="241">
      <c r="A241" s="37"/>
      <c r="B241" s="322"/>
      <c r="C241" s="144"/>
      <c r="D241" s="144"/>
      <c r="E241" s="37"/>
      <c r="F241" s="37"/>
      <c r="G241" s="37"/>
      <c r="H241" s="33" t="str">
        <f t="shared" si="1"/>
        <v/>
      </c>
      <c r="I241" s="37"/>
      <c r="J241" s="37"/>
      <c r="K241" s="37"/>
      <c r="L241" s="38"/>
      <c r="M241" s="37"/>
      <c r="N241" s="37"/>
      <c r="O241" s="37"/>
      <c r="P241" s="14"/>
      <c r="Q241" s="15"/>
      <c r="R241" s="16"/>
      <c r="S241" s="16"/>
      <c r="T241" s="16"/>
      <c r="U241" s="16"/>
      <c r="V241" s="37" t="str">
        <f>IFERROR(__xludf.DUMMYFUNCTION("if(not(iserror(index(split(C241, "" ""),2))), index(split(C241, "" ""),1),"""")"),"")</f>
        <v/>
      </c>
      <c r="W241" s="315" t="str">
        <f>IFERROR(__xludf.DUMMYFUNCTION("if(V241="""",C241,if(not(iserror(index(split(C241, "" ""),3))), index(split(C241, "" ""),3),index(split(C241, "" ""),2)))"),"")</f>
        <v/>
      </c>
      <c r="X241" s="38" t="b">
        <f t="shared" si="2"/>
        <v>0</v>
      </c>
      <c r="Y241" s="38"/>
      <c r="Z241" s="40"/>
      <c r="AA241" s="40"/>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row>
    <row r="242">
      <c r="A242" s="37"/>
      <c r="B242" s="322"/>
      <c r="C242" s="144"/>
      <c r="D242" s="144"/>
      <c r="E242" s="37"/>
      <c r="F242" s="37"/>
      <c r="G242" s="37"/>
      <c r="H242" s="33" t="str">
        <f t="shared" si="1"/>
        <v/>
      </c>
      <c r="I242" s="37"/>
      <c r="J242" s="37"/>
      <c r="K242" s="37"/>
      <c r="L242" s="38"/>
      <c r="M242" s="37"/>
      <c r="N242" s="37"/>
      <c r="O242" s="37"/>
      <c r="P242" s="14"/>
      <c r="Q242" s="15"/>
      <c r="R242" s="16"/>
      <c r="S242" s="16"/>
      <c r="T242" s="16"/>
      <c r="U242" s="16"/>
      <c r="V242" s="37" t="str">
        <f>IFERROR(__xludf.DUMMYFUNCTION("if(not(iserror(index(split(C242, "" ""),2))), index(split(C242, "" ""),1),"""")"),"")</f>
        <v/>
      </c>
      <c r="W242" s="315" t="str">
        <f>IFERROR(__xludf.DUMMYFUNCTION("if(V242="""",C242,if(not(iserror(index(split(C242, "" ""),3))), index(split(C242, "" ""),3),index(split(C242, "" ""),2)))"),"")</f>
        <v/>
      </c>
      <c r="X242" s="38" t="b">
        <f t="shared" si="2"/>
        <v>0</v>
      </c>
      <c r="Y242" s="38"/>
      <c r="Z242" s="40"/>
      <c r="AA242" s="40"/>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row>
    <row r="243">
      <c r="A243" s="37"/>
      <c r="B243" s="322"/>
      <c r="C243" s="144"/>
      <c r="D243" s="144"/>
      <c r="E243" s="37"/>
      <c r="F243" s="37"/>
      <c r="G243" s="37"/>
      <c r="H243" s="33" t="str">
        <f t="shared" si="1"/>
        <v/>
      </c>
      <c r="I243" s="37"/>
      <c r="J243" s="37"/>
      <c r="K243" s="37"/>
      <c r="L243" s="38"/>
      <c r="M243" s="37"/>
      <c r="N243" s="37"/>
      <c r="O243" s="37"/>
      <c r="P243" s="14"/>
      <c r="Q243" s="15"/>
      <c r="R243" s="16"/>
      <c r="S243" s="16"/>
      <c r="T243" s="16"/>
      <c r="U243" s="16"/>
      <c r="V243" s="37" t="str">
        <f>IFERROR(__xludf.DUMMYFUNCTION("if(not(iserror(index(split(C243, "" ""),2))), index(split(C243, "" ""),1),"""")"),"")</f>
        <v/>
      </c>
      <c r="W243" s="315" t="str">
        <f>IFERROR(__xludf.DUMMYFUNCTION("if(V243="""",C243,if(not(iserror(index(split(C243, "" ""),3))), index(split(C243, "" ""),3),index(split(C243, "" ""),2)))"),"")</f>
        <v/>
      </c>
      <c r="X243" s="38" t="b">
        <f t="shared" si="2"/>
        <v>0</v>
      </c>
      <c r="Y243" s="38"/>
      <c r="Z243" s="40"/>
      <c r="AA243" s="40"/>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row>
    <row r="244">
      <c r="A244" s="37"/>
      <c r="B244" s="322"/>
      <c r="C244" s="144"/>
      <c r="D244" s="144"/>
      <c r="E244" s="37"/>
      <c r="F244" s="37"/>
      <c r="G244" s="37"/>
      <c r="H244" s="33" t="str">
        <f t="shared" si="1"/>
        <v/>
      </c>
      <c r="I244" s="37"/>
      <c r="J244" s="37"/>
      <c r="K244" s="37"/>
      <c r="L244" s="38"/>
      <c r="M244" s="37"/>
      <c r="N244" s="37"/>
      <c r="O244" s="37"/>
      <c r="P244" s="14"/>
      <c r="Q244" s="15"/>
      <c r="R244" s="16"/>
      <c r="S244" s="16"/>
      <c r="T244" s="16"/>
      <c r="U244" s="16"/>
      <c r="V244" s="37" t="str">
        <f>IFERROR(__xludf.DUMMYFUNCTION("if(not(iserror(index(split(C244, "" ""),2))), index(split(C244, "" ""),1),"""")"),"")</f>
        <v/>
      </c>
      <c r="W244" s="315" t="str">
        <f>IFERROR(__xludf.DUMMYFUNCTION("if(V244="""",C244,if(not(iserror(index(split(C244, "" ""),3))), index(split(C244, "" ""),3),index(split(C244, "" ""),2)))"),"")</f>
        <v/>
      </c>
      <c r="X244" s="38" t="b">
        <f t="shared" si="2"/>
        <v>0</v>
      </c>
      <c r="Y244" s="38"/>
      <c r="Z244" s="40"/>
      <c r="AA244" s="40"/>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row>
    <row r="245">
      <c r="A245" s="37"/>
      <c r="B245" s="322"/>
      <c r="C245" s="144"/>
      <c r="D245" s="144"/>
      <c r="E245" s="37"/>
      <c r="F245" s="37"/>
      <c r="G245" s="37"/>
      <c r="H245" s="33" t="str">
        <f t="shared" si="1"/>
        <v/>
      </c>
      <c r="I245" s="37"/>
      <c r="J245" s="37"/>
      <c r="K245" s="37"/>
      <c r="L245" s="38"/>
      <c r="M245" s="37"/>
      <c r="N245" s="37"/>
      <c r="O245" s="37"/>
      <c r="P245" s="14"/>
      <c r="Q245" s="15"/>
      <c r="R245" s="16"/>
      <c r="S245" s="16"/>
      <c r="T245" s="16"/>
      <c r="U245" s="16"/>
      <c r="V245" s="37" t="str">
        <f>IFERROR(__xludf.DUMMYFUNCTION("if(not(iserror(index(split(C245, "" ""),2))), index(split(C245, "" ""),1),"""")"),"")</f>
        <v/>
      </c>
      <c r="W245" s="315" t="str">
        <f>IFERROR(__xludf.DUMMYFUNCTION("if(V245="""",C245,if(not(iserror(index(split(C245, "" ""),3))), index(split(C245, "" ""),3),index(split(C245, "" ""),2)))"),"")</f>
        <v/>
      </c>
      <c r="X245" s="38" t="b">
        <f t="shared" si="2"/>
        <v>0</v>
      </c>
      <c r="Y245" s="38"/>
      <c r="Z245" s="40"/>
      <c r="AA245" s="40"/>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row>
    <row r="246">
      <c r="A246" s="37"/>
      <c r="B246" s="322"/>
      <c r="C246" s="144"/>
      <c r="D246" s="144"/>
      <c r="E246" s="37"/>
      <c r="F246" s="37"/>
      <c r="G246" s="37"/>
      <c r="H246" s="33" t="str">
        <f t="shared" si="1"/>
        <v/>
      </c>
      <c r="I246" s="37"/>
      <c r="J246" s="37"/>
      <c r="K246" s="37"/>
      <c r="L246" s="38"/>
      <c r="M246" s="37"/>
      <c r="N246" s="37"/>
      <c r="O246" s="37"/>
      <c r="P246" s="14"/>
      <c r="Q246" s="15"/>
      <c r="R246" s="16"/>
      <c r="S246" s="16"/>
      <c r="T246" s="16"/>
      <c r="U246" s="16"/>
      <c r="V246" s="37" t="str">
        <f>IFERROR(__xludf.DUMMYFUNCTION("if(not(iserror(index(split(C246, "" ""),2))), index(split(C246, "" ""),1),"""")"),"")</f>
        <v/>
      </c>
      <c r="W246" s="315" t="str">
        <f>IFERROR(__xludf.DUMMYFUNCTION("if(V246="""",C246,if(not(iserror(index(split(C246, "" ""),3))), index(split(C246, "" ""),3),index(split(C246, "" ""),2)))"),"")</f>
        <v/>
      </c>
      <c r="X246" s="38" t="b">
        <f t="shared" si="2"/>
        <v>0</v>
      </c>
      <c r="Y246" s="38"/>
      <c r="Z246" s="40"/>
      <c r="AA246" s="40"/>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row>
    <row r="247">
      <c r="A247" s="37"/>
      <c r="B247" s="322"/>
      <c r="C247" s="144"/>
      <c r="D247" s="144"/>
      <c r="E247" s="37"/>
      <c r="F247" s="37"/>
      <c r="G247" s="37"/>
      <c r="H247" s="33" t="str">
        <f t="shared" si="1"/>
        <v/>
      </c>
      <c r="I247" s="37"/>
      <c r="J247" s="37"/>
      <c r="K247" s="37"/>
      <c r="L247" s="38"/>
      <c r="M247" s="37"/>
      <c r="N247" s="37"/>
      <c r="O247" s="37"/>
      <c r="P247" s="14"/>
      <c r="Q247" s="15"/>
      <c r="R247" s="16"/>
      <c r="S247" s="16"/>
      <c r="T247" s="16"/>
      <c r="U247" s="16"/>
      <c r="V247" s="37" t="str">
        <f>IFERROR(__xludf.DUMMYFUNCTION("if(not(iserror(index(split(C247, "" ""),2))), index(split(C247, "" ""),1),"""")"),"")</f>
        <v/>
      </c>
      <c r="W247" s="315" t="str">
        <f>IFERROR(__xludf.DUMMYFUNCTION("if(V247="""",C247,if(not(iserror(index(split(C247, "" ""),3))), index(split(C247, "" ""),3),index(split(C247, "" ""),2)))"),"")</f>
        <v/>
      </c>
      <c r="X247" s="38" t="b">
        <f t="shared" si="2"/>
        <v>0</v>
      </c>
      <c r="Y247" s="38"/>
      <c r="Z247" s="40"/>
      <c r="AA247" s="40"/>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row>
    <row r="248">
      <c r="A248" s="37"/>
      <c r="B248" s="322"/>
      <c r="C248" s="144"/>
      <c r="D248" s="144"/>
      <c r="E248" s="37"/>
      <c r="F248" s="37"/>
      <c r="G248" s="37"/>
      <c r="H248" s="33" t="str">
        <f t="shared" si="1"/>
        <v/>
      </c>
      <c r="I248" s="37"/>
      <c r="J248" s="37"/>
      <c r="K248" s="37"/>
      <c r="L248" s="38"/>
      <c r="M248" s="37"/>
      <c r="N248" s="37"/>
      <c r="O248" s="37"/>
      <c r="P248" s="14"/>
      <c r="Q248" s="15"/>
      <c r="R248" s="16"/>
      <c r="S248" s="16"/>
      <c r="T248" s="16"/>
      <c r="U248" s="16"/>
      <c r="V248" s="37" t="str">
        <f>IFERROR(__xludf.DUMMYFUNCTION("if(not(iserror(index(split(C248, "" ""),2))), index(split(C248, "" ""),1),"""")"),"")</f>
        <v/>
      </c>
      <c r="W248" s="315" t="str">
        <f>IFERROR(__xludf.DUMMYFUNCTION("if(V248="""",C248,if(not(iserror(index(split(C248, "" ""),3))), index(split(C248, "" ""),3),index(split(C248, "" ""),2)))"),"")</f>
        <v/>
      </c>
      <c r="X248" s="38" t="b">
        <f t="shared" si="2"/>
        <v>0</v>
      </c>
      <c r="Y248" s="38"/>
      <c r="Z248" s="40"/>
      <c r="AA248" s="40"/>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row>
    <row r="249">
      <c r="A249" s="37"/>
      <c r="B249" s="322"/>
      <c r="C249" s="144"/>
      <c r="D249" s="144"/>
      <c r="E249" s="37"/>
      <c r="F249" s="37"/>
      <c r="G249" s="37"/>
      <c r="H249" s="33" t="str">
        <f t="shared" si="1"/>
        <v/>
      </c>
      <c r="I249" s="37"/>
      <c r="J249" s="37"/>
      <c r="K249" s="37"/>
      <c r="L249" s="38"/>
      <c r="M249" s="37"/>
      <c r="N249" s="37"/>
      <c r="O249" s="37"/>
      <c r="P249" s="14"/>
      <c r="Q249" s="15"/>
      <c r="R249" s="16"/>
      <c r="S249" s="16"/>
      <c r="T249" s="16"/>
      <c r="U249" s="16"/>
      <c r="V249" s="37" t="str">
        <f>IFERROR(__xludf.DUMMYFUNCTION("if(not(iserror(index(split(C249, "" ""),2))), index(split(C249, "" ""),1),"""")"),"")</f>
        <v/>
      </c>
      <c r="W249" s="315" t="str">
        <f>IFERROR(__xludf.DUMMYFUNCTION("if(V249="""",C249,if(not(iserror(index(split(C249, "" ""),3))), index(split(C249, "" ""),3),index(split(C249, "" ""),2)))"),"")</f>
        <v/>
      </c>
      <c r="X249" s="38" t="b">
        <f t="shared" si="2"/>
        <v>0</v>
      </c>
      <c r="Y249" s="38"/>
      <c r="Z249" s="40"/>
      <c r="AA249" s="40"/>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row>
    <row r="250">
      <c r="A250" s="37"/>
      <c r="B250" s="322"/>
      <c r="C250" s="144"/>
      <c r="D250" s="144"/>
      <c r="E250" s="37"/>
      <c r="F250" s="37"/>
      <c r="G250" s="37"/>
      <c r="H250" s="33" t="str">
        <f t="shared" si="1"/>
        <v/>
      </c>
      <c r="I250" s="37"/>
      <c r="J250" s="37"/>
      <c r="K250" s="37"/>
      <c r="L250" s="38"/>
      <c r="M250" s="37"/>
      <c r="N250" s="37"/>
      <c r="O250" s="37"/>
      <c r="P250" s="14"/>
      <c r="Q250" s="15"/>
      <c r="R250" s="16"/>
      <c r="S250" s="16"/>
      <c r="T250" s="16"/>
      <c r="U250" s="16"/>
      <c r="V250" s="37" t="str">
        <f>IFERROR(__xludf.DUMMYFUNCTION("if(not(iserror(index(split(C250, "" ""),2))), index(split(C250, "" ""),1),"""")"),"")</f>
        <v/>
      </c>
      <c r="W250" s="315" t="str">
        <f>IFERROR(__xludf.DUMMYFUNCTION("if(V250="""",C250,if(not(iserror(index(split(C250, "" ""),3))), index(split(C250, "" ""),3),index(split(C250, "" ""),2)))"),"")</f>
        <v/>
      </c>
      <c r="X250" s="38" t="b">
        <f t="shared" si="2"/>
        <v>0</v>
      </c>
      <c r="Y250" s="38"/>
      <c r="Z250" s="40"/>
      <c r="AA250" s="40"/>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row>
    <row r="251">
      <c r="A251" s="37"/>
      <c r="B251" s="322"/>
      <c r="C251" s="144"/>
      <c r="D251" s="144"/>
      <c r="E251" s="37"/>
      <c r="F251" s="37"/>
      <c r="G251" s="37"/>
      <c r="H251" s="33" t="str">
        <f t="shared" si="1"/>
        <v/>
      </c>
      <c r="I251" s="37"/>
      <c r="J251" s="37"/>
      <c r="K251" s="37"/>
      <c r="L251" s="38"/>
      <c r="M251" s="37"/>
      <c r="N251" s="37"/>
      <c r="O251" s="37"/>
      <c r="P251" s="14"/>
      <c r="Q251" s="15"/>
      <c r="R251" s="16"/>
      <c r="S251" s="16"/>
      <c r="T251" s="16"/>
      <c r="U251" s="16"/>
      <c r="V251" s="37" t="str">
        <f>IFERROR(__xludf.DUMMYFUNCTION("if(not(iserror(index(split(C251, "" ""),2))), index(split(C251, "" ""),1),"""")"),"")</f>
        <v/>
      </c>
      <c r="W251" s="315" t="str">
        <f>IFERROR(__xludf.DUMMYFUNCTION("if(V251="""",C251,if(not(iserror(index(split(C251, "" ""),3))), index(split(C251, "" ""),3),index(split(C251, "" ""),2)))"),"")</f>
        <v/>
      </c>
      <c r="X251" s="38" t="b">
        <f t="shared" si="2"/>
        <v>0</v>
      </c>
      <c r="Y251" s="38"/>
      <c r="Z251" s="40"/>
      <c r="AA251" s="40"/>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row>
    <row r="252">
      <c r="A252" s="37"/>
      <c r="B252" s="159"/>
      <c r="C252" s="144"/>
      <c r="D252" s="144"/>
      <c r="E252" s="37"/>
      <c r="F252" s="37"/>
      <c r="G252" s="37"/>
      <c r="H252" s="33" t="str">
        <f t="shared" si="1"/>
        <v/>
      </c>
      <c r="I252" s="37"/>
      <c r="J252" s="37"/>
      <c r="K252" s="37"/>
      <c r="L252" s="38"/>
      <c r="M252" s="37"/>
      <c r="N252" s="37"/>
      <c r="O252" s="37"/>
      <c r="P252" s="14"/>
      <c r="Q252" s="15"/>
      <c r="R252" s="16"/>
      <c r="S252" s="16"/>
      <c r="T252" s="16"/>
      <c r="U252" s="16"/>
      <c r="V252" s="37" t="str">
        <f>IFERROR(__xludf.DUMMYFUNCTION("if(not(iserror(index(split(C252, "" ""),2))), index(split(C252, "" ""),1),"""")"),"")</f>
        <v/>
      </c>
      <c r="W252" s="315" t="str">
        <f>IFERROR(__xludf.DUMMYFUNCTION("if(V252="""",C252,if(not(iserror(index(split(C252, "" ""),3))), index(split(C252, "" ""),3),index(split(C252, "" ""),2)))"),"")</f>
        <v/>
      </c>
      <c r="X252" s="38" t="b">
        <f t="shared" si="2"/>
        <v>0</v>
      </c>
      <c r="Y252" s="38"/>
      <c r="Z252" s="40"/>
      <c r="AA252" s="40"/>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row>
    <row r="253">
      <c r="A253" s="37"/>
      <c r="B253" s="159"/>
      <c r="C253" s="144"/>
      <c r="D253" s="144"/>
      <c r="E253" s="37"/>
      <c r="F253" s="37"/>
      <c r="G253" s="37"/>
      <c r="H253" s="33" t="str">
        <f t="shared" si="1"/>
        <v/>
      </c>
      <c r="I253" s="37"/>
      <c r="J253" s="37"/>
      <c r="K253" s="37"/>
      <c r="L253" s="38"/>
      <c r="M253" s="37"/>
      <c r="N253" s="37"/>
      <c r="O253" s="37"/>
      <c r="P253" s="14"/>
      <c r="Q253" s="15"/>
      <c r="R253" s="16"/>
      <c r="S253" s="16"/>
      <c r="T253" s="16"/>
      <c r="U253" s="16"/>
      <c r="V253" s="37" t="str">
        <f>IFERROR(__xludf.DUMMYFUNCTION("if(not(iserror(index(split(C253, "" ""),2))), index(split(C253, "" ""),1),"""")"),"")</f>
        <v/>
      </c>
      <c r="W253" s="315" t="str">
        <f>IFERROR(__xludf.DUMMYFUNCTION("if(V253="""",C253,if(not(iserror(index(split(C253, "" ""),3))), index(split(C253, "" ""),3),index(split(C253, "" ""),2)))"),"")</f>
        <v/>
      </c>
      <c r="X253" s="38" t="b">
        <f t="shared" si="2"/>
        <v>0</v>
      </c>
      <c r="Y253" s="38"/>
      <c r="Z253" s="40"/>
      <c r="AA253" s="40"/>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row>
    <row r="254">
      <c r="A254" s="37"/>
      <c r="B254" s="159"/>
      <c r="C254" s="144"/>
      <c r="D254" s="144"/>
      <c r="E254" s="37"/>
      <c r="F254" s="37"/>
      <c r="G254" s="37"/>
      <c r="H254" s="33" t="str">
        <f t="shared" si="1"/>
        <v/>
      </c>
      <c r="I254" s="37"/>
      <c r="J254" s="37"/>
      <c r="K254" s="37"/>
      <c r="L254" s="38"/>
      <c r="M254" s="37"/>
      <c r="N254" s="37"/>
      <c r="O254" s="37"/>
      <c r="P254" s="14"/>
      <c r="Q254" s="15"/>
      <c r="R254" s="16"/>
      <c r="S254" s="16"/>
      <c r="T254" s="16"/>
      <c r="U254" s="16"/>
      <c r="V254" s="37" t="str">
        <f>IFERROR(__xludf.DUMMYFUNCTION("if(not(iserror(index(split(C254, "" ""),2))), index(split(C254, "" ""),1),"""")"),"")</f>
        <v/>
      </c>
      <c r="W254" s="315" t="str">
        <f>IFERROR(__xludf.DUMMYFUNCTION("if(V254="""",C254,if(not(iserror(index(split(C254, "" ""),3))), index(split(C254, "" ""),3),index(split(C254, "" ""),2)))"),"")</f>
        <v/>
      </c>
      <c r="X254" s="38" t="b">
        <f t="shared" si="2"/>
        <v>0</v>
      </c>
      <c r="Y254" s="38"/>
      <c r="Z254" s="40"/>
      <c r="AA254" s="40"/>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row>
    <row r="255">
      <c r="A255" s="37"/>
      <c r="B255" s="322"/>
      <c r="C255" s="144"/>
      <c r="D255" s="144"/>
      <c r="E255" s="37"/>
      <c r="F255" s="37"/>
      <c r="G255" s="37"/>
      <c r="H255" s="33" t="str">
        <f t="shared" si="1"/>
        <v/>
      </c>
      <c r="I255" s="37"/>
      <c r="J255" s="37"/>
      <c r="K255" s="37"/>
      <c r="L255" s="38"/>
      <c r="M255" s="37"/>
      <c r="N255" s="37"/>
      <c r="O255" s="37"/>
      <c r="P255" s="14"/>
      <c r="Q255" s="14"/>
      <c r="R255" s="16"/>
      <c r="S255" s="16"/>
      <c r="T255" s="16"/>
      <c r="U255" s="16"/>
      <c r="V255" s="37" t="str">
        <f>IFERROR(__xludf.DUMMYFUNCTION("if(not(iserror(index(split(C255, "" ""),2))), index(split(C255, "" ""),1),"""")"),"")</f>
        <v/>
      </c>
      <c r="W255" s="315" t="str">
        <f>IFERROR(__xludf.DUMMYFUNCTION("if(V255="""",C255,if(not(iserror(index(split(C255, "" ""),3))), index(split(C255, "" ""),3),index(split(C255, "" ""),2)))"),"")</f>
        <v/>
      </c>
      <c r="X255" s="38" t="b">
        <f t="shared" si="2"/>
        <v>0</v>
      </c>
      <c r="Y255" s="38"/>
      <c r="Z255" s="40"/>
      <c r="AA255" s="40"/>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row>
    <row r="256">
      <c r="A256" s="37"/>
      <c r="B256" s="322"/>
      <c r="C256" s="144"/>
      <c r="D256" s="144"/>
      <c r="E256" s="37"/>
      <c r="F256" s="37"/>
      <c r="G256" s="37"/>
      <c r="H256" s="33" t="str">
        <f t="shared" si="1"/>
        <v/>
      </c>
      <c r="I256" s="37"/>
      <c r="J256" s="37"/>
      <c r="K256" s="37"/>
      <c r="L256" s="38"/>
      <c r="M256" s="37"/>
      <c r="N256" s="37"/>
      <c r="O256" s="37"/>
      <c r="P256" s="14"/>
      <c r="Q256" s="14"/>
      <c r="R256" s="16"/>
      <c r="S256" s="16"/>
      <c r="T256" s="16"/>
      <c r="U256" s="16"/>
      <c r="V256" s="37" t="str">
        <f>IFERROR(__xludf.DUMMYFUNCTION("if(not(iserror(index(split(C256, "" ""),2))), index(split(C256, "" ""),1),"""")"),"")</f>
        <v/>
      </c>
      <c r="W256" s="315" t="str">
        <f>IFERROR(__xludf.DUMMYFUNCTION("if(V256="""",C256,if(not(iserror(index(split(C256, "" ""),3))), index(split(C256, "" ""),3),index(split(C256, "" ""),2)))"),"")</f>
        <v/>
      </c>
      <c r="X256" s="38" t="b">
        <f t="shared" si="2"/>
        <v>0</v>
      </c>
      <c r="Y256" s="38"/>
      <c r="Z256" s="40"/>
      <c r="AA256" s="40"/>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row>
    <row r="257">
      <c r="A257" s="37"/>
      <c r="B257" s="322"/>
      <c r="C257" s="144"/>
      <c r="D257" s="144"/>
      <c r="E257" s="37"/>
      <c r="F257" s="37"/>
      <c r="G257" s="37"/>
      <c r="H257" s="33" t="str">
        <f t="shared" si="1"/>
        <v/>
      </c>
      <c r="I257" s="37"/>
      <c r="J257" s="37"/>
      <c r="K257" s="37"/>
      <c r="L257" s="38"/>
      <c r="M257" s="37"/>
      <c r="N257" s="37"/>
      <c r="O257" s="37"/>
      <c r="P257" s="14"/>
      <c r="Q257" s="14"/>
      <c r="R257" s="16"/>
      <c r="S257" s="16"/>
      <c r="T257" s="16"/>
      <c r="U257" s="16"/>
      <c r="V257" s="37" t="str">
        <f>IFERROR(__xludf.DUMMYFUNCTION("if(not(iserror(index(split(C257, "" ""),2))), index(split(C257, "" ""),1),"""")"),"")</f>
        <v/>
      </c>
      <c r="W257" s="315" t="str">
        <f>IFERROR(__xludf.DUMMYFUNCTION("if(V257="""",C257,if(not(iserror(index(split(C257, "" ""),3))), index(split(C257, "" ""),3),index(split(C257, "" ""),2)))"),"")</f>
        <v/>
      </c>
      <c r="X257" s="38" t="b">
        <f t="shared" si="2"/>
        <v>0</v>
      </c>
      <c r="Y257" s="38"/>
      <c r="Z257" s="40"/>
      <c r="AA257" s="40"/>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row>
    <row r="258">
      <c r="A258" s="37"/>
      <c r="B258" s="322"/>
      <c r="C258" s="144"/>
      <c r="D258" s="144"/>
      <c r="E258" s="37"/>
      <c r="F258" s="37"/>
      <c r="G258" s="37"/>
      <c r="H258" s="33" t="str">
        <f t="shared" si="1"/>
        <v/>
      </c>
      <c r="I258" s="37"/>
      <c r="J258" s="37"/>
      <c r="K258" s="37"/>
      <c r="L258" s="38"/>
      <c r="M258" s="37"/>
      <c r="N258" s="37"/>
      <c r="O258" s="37"/>
      <c r="P258" s="14"/>
      <c r="Q258" s="14"/>
      <c r="R258" s="16"/>
      <c r="S258" s="16"/>
      <c r="T258" s="16"/>
      <c r="U258" s="16"/>
      <c r="V258" s="37" t="str">
        <f>IFERROR(__xludf.DUMMYFUNCTION("if(not(iserror(index(split(C258, "" ""),2))), index(split(C258, "" ""),1),"""")"),"")</f>
        <v/>
      </c>
      <c r="W258" s="315" t="str">
        <f>IFERROR(__xludf.DUMMYFUNCTION("if(V258="""",C258,if(not(iserror(index(split(C258, "" ""),3))), index(split(C258, "" ""),3),index(split(C258, "" ""),2)))"),"")</f>
        <v/>
      </c>
      <c r="X258" s="38" t="b">
        <f t="shared" si="2"/>
        <v>0</v>
      </c>
      <c r="Y258" s="38"/>
      <c r="Z258" s="40"/>
      <c r="AA258" s="40"/>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row>
    <row r="259">
      <c r="A259" s="37"/>
      <c r="B259" s="322"/>
      <c r="C259" s="144"/>
      <c r="D259" s="144"/>
      <c r="E259" s="37"/>
      <c r="F259" s="37"/>
      <c r="G259" s="37"/>
      <c r="H259" s="33" t="str">
        <f t="shared" si="1"/>
        <v/>
      </c>
      <c r="I259" s="37"/>
      <c r="J259" s="37"/>
      <c r="K259" s="37"/>
      <c r="L259" s="38"/>
      <c r="M259" s="37"/>
      <c r="N259" s="37"/>
      <c r="O259" s="37"/>
      <c r="P259" s="14"/>
      <c r="Q259" s="14"/>
      <c r="R259" s="16"/>
      <c r="S259" s="16"/>
      <c r="T259" s="16"/>
      <c r="U259" s="16"/>
      <c r="V259" s="37" t="str">
        <f>IFERROR(__xludf.DUMMYFUNCTION("if(not(iserror(index(split(C259, "" ""),2))), index(split(C259, "" ""),1),"""")"),"")</f>
        <v/>
      </c>
      <c r="W259" s="315" t="str">
        <f>IFERROR(__xludf.DUMMYFUNCTION("if(V259="""",C259,if(not(iserror(index(split(C259, "" ""),3))), index(split(C259, "" ""),3),index(split(C259, "" ""),2)))"),"")</f>
        <v/>
      </c>
      <c r="X259" s="38" t="b">
        <f t="shared" si="2"/>
        <v>0</v>
      </c>
      <c r="Y259" s="38"/>
      <c r="Z259" s="40"/>
      <c r="AA259" s="40"/>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row>
    <row r="260">
      <c r="A260" s="37"/>
      <c r="B260" s="322"/>
      <c r="C260" s="144"/>
      <c r="D260" s="144"/>
      <c r="E260" s="37"/>
      <c r="F260" s="37"/>
      <c r="G260" s="37"/>
      <c r="H260" s="33" t="str">
        <f t="shared" si="1"/>
        <v/>
      </c>
      <c r="I260" s="37"/>
      <c r="J260" s="37"/>
      <c r="K260" s="37"/>
      <c r="L260" s="38"/>
      <c r="M260" s="37"/>
      <c r="N260" s="37"/>
      <c r="O260" s="37"/>
      <c r="P260" s="14"/>
      <c r="Q260" s="14"/>
      <c r="R260" s="16"/>
      <c r="S260" s="16"/>
      <c r="T260" s="16"/>
      <c r="U260" s="16"/>
      <c r="V260" s="37" t="str">
        <f>IFERROR(__xludf.DUMMYFUNCTION("if(not(iserror(index(split(C260, "" ""),2))), index(split(C260, "" ""),1),"""")"),"")</f>
        <v/>
      </c>
      <c r="W260" s="315" t="str">
        <f>IFERROR(__xludf.DUMMYFUNCTION("if(V260="""",C260,if(not(iserror(index(split(C260, "" ""),3))), index(split(C260, "" ""),3),index(split(C260, "" ""),2)))"),"")</f>
        <v/>
      </c>
      <c r="X260" s="38" t="b">
        <f t="shared" si="2"/>
        <v>0</v>
      </c>
      <c r="Y260" s="38"/>
      <c r="Z260" s="40"/>
      <c r="AA260" s="40"/>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row>
    <row r="261">
      <c r="A261" s="37"/>
      <c r="B261" s="322"/>
      <c r="C261" s="144"/>
      <c r="D261" s="144"/>
      <c r="E261" s="37"/>
      <c r="F261" s="37"/>
      <c r="G261" s="37"/>
      <c r="H261" s="33" t="str">
        <f t="shared" si="1"/>
        <v/>
      </c>
      <c r="I261" s="37"/>
      <c r="J261" s="37"/>
      <c r="K261" s="37"/>
      <c r="L261" s="38"/>
      <c r="M261" s="37"/>
      <c r="N261" s="37"/>
      <c r="O261" s="37"/>
      <c r="P261" s="14"/>
      <c r="Q261" s="14"/>
      <c r="R261" s="16"/>
      <c r="S261" s="16"/>
      <c r="T261" s="16"/>
      <c r="U261" s="16"/>
      <c r="V261" s="37" t="str">
        <f>IFERROR(__xludf.DUMMYFUNCTION("if(not(iserror(index(split(C261, "" ""),2))), index(split(C261, "" ""),1),"""")"),"")</f>
        <v/>
      </c>
      <c r="W261" s="315" t="str">
        <f>IFERROR(__xludf.DUMMYFUNCTION("if(V261="""",C261,if(not(iserror(index(split(C261, "" ""),3))), index(split(C261, "" ""),3),index(split(C261, "" ""),2)))"),"")</f>
        <v/>
      </c>
      <c r="X261" s="38" t="b">
        <f t="shared" si="2"/>
        <v>0</v>
      </c>
      <c r="Y261" s="38"/>
      <c r="Z261" s="40"/>
      <c r="AA261" s="40"/>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row>
    <row r="262">
      <c r="A262" s="37"/>
      <c r="B262" s="322"/>
      <c r="C262" s="144"/>
      <c r="D262" s="144"/>
      <c r="E262" s="37"/>
      <c r="F262" s="37"/>
      <c r="G262" s="37"/>
      <c r="H262" s="33" t="str">
        <f t="shared" si="1"/>
        <v/>
      </c>
      <c r="I262" s="37"/>
      <c r="J262" s="37"/>
      <c r="K262" s="37"/>
      <c r="L262" s="38"/>
      <c r="M262" s="37"/>
      <c r="N262" s="37"/>
      <c r="O262" s="37"/>
      <c r="P262" s="14"/>
      <c r="Q262" s="14"/>
      <c r="R262" s="16"/>
      <c r="S262" s="16"/>
      <c r="T262" s="16"/>
      <c r="U262" s="16"/>
      <c r="V262" s="37" t="str">
        <f>IFERROR(__xludf.DUMMYFUNCTION("if(not(iserror(index(split(C262, "" ""),2))), index(split(C262, "" ""),1),"""")"),"")</f>
        <v/>
      </c>
      <c r="W262" s="315" t="str">
        <f>IFERROR(__xludf.DUMMYFUNCTION("if(V262="""",C262,if(not(iserror(index(split(C262, "" ""),3))), index(split(C262, "" ""),3),index(split(C262, "" ""),2)))"),"")</f>
        <v/>
      </c>
      <c r="X262" s="38" t="b">
        <f t="shared" si="2"/>
        <v>0</v>
      </c>
      <c r="Y262" s="38"/>
      <c r="Z262" s="40"/>
      <c r="AA262" s="40"/>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row>
    <row r="263">
      <c r="A263" s="37"/>
      <c r="B263" s="322"/>
      <c r="C263" s="144"/>
      <c r="D263" s="144"/>
      <c r="E263" s="37"/>
      <c r="F263" s="37"/>
      <c r="G263" s="37"/>
      <c r="H263" s="33" t="str">
        <f t="shared" si="1"/>
        <v/>
      </c>
      <c r="I263" s="37"/>
      <c r="J263" s="37"/>
      <c r="K263" s="37"/>
      <c r="L263" s="38"/>
      <c r="M263" s="37"/>
      <c r="N263" s="37"/>
      <c r="O263" s="37"/>
      <c r="P263" s="14"/>
      <c r="Q263" s="15"/>
      <c r="R263" s="16"/>
      <c r="S263" s="16"/>
      <c r="T263" s="16"/>
      <c r="U263" s="16"/>
      <c r="V263" s="37" t="str">
        <f>IFERROR(__xludf.DUMMYFUNCTION("if(not(iserror(index(split(C263, "" ""),2))), index(split(C263, "" ""),1),"""")"),"")</f>
        <v/>
      </c>
      <c r="W263" s="315" t="str">
        <f>IFERROR(__xludf.DUMMYFUNCTION("if(V263="""",C263,if(not(iserror(index(split(C263, "" ""),3))), index(split(C263, "" ""),3),index(split(C263, "" ""),2)))"),"")</f>
        <v/>
      </c>
      <c r="X263" s="38" t="b">
        <f t="shared" si="2"/>
        <v>0</v>
      </c>
      <c r="Y263" s="38"/>
      <c r="Z263" s="40"/>
      <c r="AA263" s="40"/>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row>
    <row r="264">
      <c r="A264" s="37"/>
      <c r="B264" s="322"/>
      <c r="C264" s="144"/>
      <c r="D264" s="144"/>
      <c r="E264" s="37"/>
      <c r="F264" s="37"/>
      <c r="G264" s="37"/>
      <c r="H264" s="33" t="str">
        <f t="shared" si="1"/>
        <v/>
      </c>
      <c r="I264" s="37"/>
      <c r="J264" s="37"/>
      <c r="K264" s="37"/>
      <c r="L264" s="38"/>
      <c r="M264" s="37"/>
      <c r="N264" s="37"/>
      <c r="O264" s="37"/>
      <c r="P264" s="210"/>
      <c r="Q264" s="15"/>
      <c r="R264" s="16"/>
      <c r="S264" s="16"/>
      <c r="T264" s="16"/>
      <c r="U264" s="16"/>
      <c r="V264" s="37" t="str">
        <f>IFERROR(__xludf.DUMMYFUNCTION("if(not(iserror(index(split(C264, "" ""),2))), index(split(C264, "" ""),1),"""")"),"")</f>
        <v/>
      </c>
      <c r="W264" s="315" t="str">
        <f>IFERROR(__xludf.DUMMYFUNCTION("if(V264="""",C264,if(not(iserror(index(split(C264, "" ""),3))), index(split(C264, "" ""),3),index(split(C264, "" ""),2)))"),"")</f>
        <v/>
      </c>
      <c r="X264" s="38" t="b">
        <f t="shared" si="2"/>
        <v>0</v>
      </c>
      <c r="Y264" s="38"/>
      <c r="Z264" s="40"/>
      <c r="AA264" s="40"/>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row>
    <row r="265">
      <c r="A265" s="37"/>
      <c r="B265" s="322"/>
      <c r="C265" s="144"/>
      <c r="D265" s="144"/>
      <c r="E265" s="37"/>
      <c r="F265" s="37"/>
      <c r="G265" s="37"/>
      <c r="H265" s="33" t="str">
        <f t="shared" si="1"/>
        <v/>
      </c>
      <c r="I265" s="37"/>
      <c r="J265" s="37"/>
      <c r="K265" s="37"/>
      <c r="L265" s="38"/>
      <c r="M265" s="37"/>
      <c r="N265" s="37"/>
      <c r="O265" s="37"/>
      <c r="P265" s="374"/>
      <c r="Q265" s="14"/>
      <c r="R265" s="16"/>
      <c r="S265" s="16"/>
      <c r="T265" s="16"/>
      <c r="U265" s="16"/>
      <c r="V265" s="37" t="str">
        <f>IFERROR(__xludf.DUMMYFUNCTION("if(not(iserror(index(split(C265, "" ""),2))), index(split(C265, "" ""),1),"""")"),"")</f>
        <v/>
      </c>
      <c r="W265" s="315" t="str">
        <f>IFERROR(__xludf.DUMMYFUNCTION("if(V265="""",C265,if(not(iserror(index(split(C265, "" ""),3))), index(split(C265, "" ""),3),index(split(C265, "" ""),2)))"),"")</f>
        <v/>
      </c>
      <c r="X265" s="38" t="b">
        <f t="shared" si="2"/>
        <v>0</v>
      </c>
      <c r="Y265" s="38"/>
      <c r="Z265" s="40"/>
      <c r="AA265" s="40"/>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row>
    <row r="266">
      <c r="A266" s="37"/>
      <c r="B266" s="322"/>
      <c r="C266" s="144"/>
      <c r="D266" s="144"/>
      <c r="E266" s="37"/>
      <c r="F266" s="37"/>
      <c r="G266" s="37"/>
      <c r="H266" s="33" t="str">
        <f t="shared" si="1"/>
        <v/>
      </c>
      <c r="I266" s="37"/>
      <c r="J266" s="37"/>
      <c r="K266" s="37"/>
      <c r="L266" s="38"/>
      <c r="M266" s="37"/>
      <c r="N266" s="37"/>
      <c r="O266" s="37"/>
      <c r="P266" s="374"/>
      <c r="Q266" s="15"/>
      <c r="R266" s="16"/>
      <c r="S266" s="16"/>
      <c r="T266" s="16"/>
      <c r="U266" s="16"/>
      <c r="V266" s="37" t="str">
        <f>IFERROR(__xludf.DUMMYFUNCTION("if(not(iserror(index(split(C266, "" ""),2))), index(split(C266, "" ""),1),"""")"),"")</f>
        <v/>
      </c>
      <c r="W266" s="315" t="str">
        <f>IFERROR(__xludf.DUMMYFUNCTION("if(V266="""",C266,if(not(iserror(index(split(C266, "" ""),3))), index(split(C266, "" ""),3),index(split(C266, "" ""),2)))"),"")</f>
        <v/>
      </c>
      <c r="X266" s="38" t="b">
        <f t="shared" si="2"/>
        <v>0</v>
      </c>
      <c r="Y266" s="38"/>
      <c r="Z266" s="40"/>
      <c r="AA266" s="40"/>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row>
    <row r="267">
      <c r="A267" s="37"/>
      <c r="B267" s="322"/>
      <c r="C267" s="144"/>
      <c r="D267" s="144"/>
      <c r="E267" s="37"/>
      <c r="F267" s="37"/>
      <c r="G267" s="37"/>
      <c r="H267" s="33" t="str">
        <f t="shared" si="1"/>
        <v/>
      </c>
      <c r="I267" s="37"/>
      <c r="J267" s="37"/>
      <c r="K267" s="37"/>
      <c r="L267" s="38"/>
      <c r="M267" s="58"/>
      <c r="N267" s="58"/>
      <c r="O267" s="58"/>
      <c r="P267" s="14"/>
      <c r="Q267" s="15"/>
      <c r="R267" s="16"/>
      <c r="S267" s="16"/>
      <c r="T267" s="16"/>
      <c r="U267" s="16"/>
      <c r="V267" s="37" t="str">
        <f>IFERROR(__xludf.DUMMYFUNCTION("if(not(iserror(index(split(C267, "" ""),2))), index(split(C267, "" ""),1),"""")"),"")</f>
        <v/>
      </c>
      <c r="W267" s="315" t="str">
        <f>IFERROR(__xludf.DUMMYFUNCTION("if(V267="""",C267,if(not(iserror(index(split(C267, "" ""),3))), index(split(C267, "" ""),3),index(split(C267, "" ""),2)))"),"")</f>
        <v/>
      </c>
      <c r="X267" s="38" t="b">
        <f t="shared" si="2"/>
        <v>0</v>
      </c>
      <c r="Y267" s="38"/>
      <c r="Z267" s="40"/>
      <c r="AA267" s="40"/>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row>
    <row r="268">
      <c r="A268" s="37"/>
      <c r="B268" s="322"/>
      <c r="C268" s="144"/>
      <c r="D268" s="144"/>
      <c r="E268" s="37"/>
      <c r="F268" s="37"/>
      <c r="G268" s="37"/>
      <c r="H268" s="33" t="str">
        <f t="shared" si="1"/>
        <v/>
      </c>
      <c r="I268" s="37"/>
      <c r="J268" s="37"/>
      <c r="K268" s="37"/>
      <c r="L268" s="38"/>
      <c r="M268" s="37"/>
      <c r="N268" s="37"/>
      <c r="O268" s="37"/>
      <c r="P268" s="374"/>
      <c r="Q268" s="15"/>
      <c r="R268" s="37"/>
      <c r="S268" s="16"/>
      <c r="T268" s="64"/>
      <c r="U268" s="16"/>
      <c r="V268" s="37" t="str">
        <f>IFERROR(__xludf.DUMMYFUNCTION("if(not(iserror(index(split(C268, "" ""),2))), index(split(C268, "" ""),1),"""")"),"")</f>
        <v/>
      </c>
      <c r="W268" s="315" t="str">
        <f>IFERROR(__xludf.DUMMYFUNCTION("if(V268="""",C268,if(not(iserror(index(split(C268, "" ""),3))), index(split(C268, "" ""),3),index(split(C268, "" ""),2)))"),"")</f>
        <v/>
      </c>
      <c r="X268" s="38" t="b">
        <f t="shared" si="2"/>
        <v>0</v>
      </c>
      <c r="Y268" s="38"/>
      <c r="Z268" s="40"/>
      <c r="AA268" s="40"/>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row>
    <row r="269">
      <c r="A269" s="37"/>
      <c r="B269" s="322"/>
      <c r="C269" s="144"/>
      <c r="D269" s="144"/>
      <c r="E269" s="37"/>
      <c r="F269" s="37"/>
      <c r="G269" s="37"/>
      <c r="H269" s="33" t="str">
        <f t="shared" si="1"/>
        <v/>
      </c>
      <c r="I269" s="37"/>
      <c r="J269" s="37"/>
      <c r="K269" s="37"/>
      <c r="L269" s="38"/>
      <c r="M269" s="37"/>
      <c r="N269" s="37"/>
      <c r="O269" s="37"/>
      <c r="P269" s="14"/>
      <c r="Q269" s="14"/>
      <c r="R269" s="37"/>
      <c r="S269" s="16"/>
      <c r="T269" s="64"/>
      <c r="U269" s="16"/>
      <c r="V269" s="37" t="str">
        <f>IFERROR(__xludf.DUMMYFUNCTION("if(not(iserror(index(split(C269, "" ""),2))), index(split(C269, "" ""),1),"""")"),"")</f>
        <v/>
      </c>
      <c r="W269" s="315" t="str">
        <f>IFERROR(__xludf.DUMMYFUNCTION("if(V269="""",C269,if(not(iserror(index(split(C269, "" ""),3))), index(split(C269, "" ""),3),index(split(C269, "" ""),2)))"),"")</f>
        <v/>
      </c>
      <c r="X269" s="38" t="b">
        <f t="shared" si="2"/>
        <v>0</v>
      </c>
      <c r="Y269" s="38"/>
      <c r="Z269" s="40"/>
      <c r="AA269" s="40"/>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row>
    <row r="270">
      <c r="A270" s="37"/>
      <c r="B270" s="322"/>
      <c r="C270" s="144"/>
      <c r="D270" s="144"/>
      <c r="E270" s="37"/>
      <c r="F270" s="37"/>
      <c r="G270" s="37"/>
      <c r="H270" s="33" t="str">
        <f t="shared" si="1"/>
        <v/>
      </c>
      <c r="I270" s="37"/>
      <c r="J270" s="37"/>
      <c r="K270" s="37"/>
      <c r="L270" s="38"/>
      <c r="M270" s="37"/>
      <c r="N270" s="37"/>
      <c r="O270" s="37"/>
      <c r="P270" s="14"/>
      <c r="Q270" s="15"/>
      <c r="R270" s="16"/>
      <c r="S270" s="37"/>
      <c r="T270" s="64"/>
      <c r="U270" s="16"/>
      <c r="V270" s="37" t="str">
        <f>IFERROR(__xludf.DUMMYFUNCTION("if(not(iserror(index(split(C270, "" ""),2))), index(split(C270, "" ""),1),"""")"),"")</f>
        <v/>
      </c>
      <c r="W270" s="315" t="str">
        <f>IFERROR(__xludf.DUMMYFUNCTION("if(V270="""",C270,if(not(iserror(index(split(C270, "" ""),3))), index(split(C270, "" ""),3),index(split(C270, "" ""),2)))"),"")</f>
        <v/>
      </c>
      <c r="X270" s="38" t="b">
        <f t="shared" si="2"/>
        <v>0</v>
      </c>
      <c r="Y270" s="38"/>
      <c r="Z270" s="40"/>
      <c r="AA270" s="40"/>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row>
    <row r="271">
      <c r="A271" s="37"/>
      <c r="B271" s="322"/>
      <c r="C271" s="144"/>
      <c r="D271" s="144"/>
      <c r="E271" s="37"/>
      <c r="F271" s="37"/>
      <c r="G271" s="37"/>
      <c r="H271" s="33" t="str">
        <f t="shared" si="1"/>
        <v/>
      </c>
      <c r="I271" s="37"/>
      <c r="J271" s="37"/>
      <c r="K271" s="37"/>
      <c r="L271" s="38"/>
      <c r="M271" s="37"/>
      <c r="N271" s="37"/>
      <c r="O271" s="37"/>
      <c r="P271" s="14"/>
      <c r="Q271" s="14"/>
      <c r="R271" s="120"/>
      <c r="S271" s="120"/>
      <c r="T271" s="37"/>
      <c r="U271" s="37"/>
      <c r="V271" s="37" t="str">
        <f>IFERROR(__xludf.DUMMYFUNCTION("if(not(iserror(index(split(C271, "" ""),2))), index(split(C271, "" ""),1),"""")"),"")</f>
        <v/>
      </c>
      <c r="W271" s="315" t="str">
        <f>IFERROR(__xludf.DUMMYFUNCTION("if(V271="""",C271,if(not(iserror(index(split(C271, "" ""),3))), index(split(C271, "" ""),3),index(split(C271, "" ""),2)))"),"")</f>
        <v/>
      </c>
      <c r="X271" s="38" t="b">
        <f t="shared" si="2"/>
        <v>0</v>
      </c>
      <c r="Y271" s="38"/>
      <c r="Z271" s="40"/>
      <c r="AA271" s="40"/>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row>
    <row r="272">
      <c r="A272" s="37"/>
      <c r="B272" s="322"/>
      <c r="C272" s="144"/>
      <c r="D272" s="144"/>
      <c r="E272" s="37"/>
      <c r="F272" s="37"/>
      <c r="G272" s="37"/>
      <c r="H272" s="33" t="str">
        <f t="shared" si="1"/>
        <v/>
      </c>
      <c r="I272" s="37"/>
      <c r="J272" s="37"/>
      <c r="K272" s="37"/>
      <c r="L272" s="38"/>
      <c r="M272" s="37"/>
      <c r="N272" s="37"/>
      <c r="O272" s="37"/>
      <c r="P272" s="14"/>
      <c r="Q272" s="15"/>
      <c r="R272" s="16"/>
      <c r="S272" s="16"/>
      <c r="T272" s="16"/>
      <c r="U272" s="16"/>
      <c r="V272" s="37" t="str">
        <f>IFERROR(__xludf.DUMMYFUNCTION("if(not(iserror(index(split(C272, "" ""),2))), index(split(C272, "" ""),1),"""")"),"")</f>
        <v/>
      </c>
      <c r="W272" s="315" t="str">
        <f>IFERROR(__xludf.DUMMYFUNCTION("if(V272="""",C272,if(not(iserror(index(split(C272, "" ""),3))), index(split(C272, "" ""),3),index(split(C272, "" ""),2)))"),"")</f>
        <v/>
      </c>
      <c r="X272" s="38" t="b">
        <f t="shared" si="2"/>
        <v>0</v>
      </c>
      <c r="Y272" s="38"/>
      <c r="Z272" s="40"/>
      <c r="AA272" s="40"/>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row>
    <row r="273">
      <c r="A273" s="37"/>
      <c r="B273" s="322"/>
      <c r="C273" s="144"/>
      <c r="D273" s="144"/>
      <c r="E273" s="37"/>
      <c r="F273" s="37"/>
      <c r="G273" s="37"/>
      <c r="H273" s="33" t="str">
        <f t="shared" si="1"/>
        <v/>
      </c>
      <c r="I273" s="37"/>
      <c r="J273" s="37"/>
      <c r="K273" s="37"/>
      <c r="L273" s="38"/>
      <c r="M273" s="37"/>
      <c r="N273" s="37"/>
      <c r="O273" s="37"/>
      <c r="P273" s="14"/>
      <c r="Q273" s="15"/>
      <c r="R273" s="16"/>
      <c r="S273" s="16"/>
      <c r="T273" s="16"/>
      <c r="U273" s="16"/>
      <c r="V273" s="37" t="str">
        <f>IFERROR(__xludf.DUMMYFUNCTION("if(not(iserror(index(split(C273, "" ""),2))), index(split(C273, "" ""),1),"""")"),"")</f>
        <v/>
      </c>
      <c r="W273" s="315" t="str">
        <f>IFERROR(__xludf.DUMMYFUNCTION("if(V273="""",C273,if(not(iserror(index(split(C273, "" ""),3))), index(split(C273, "" ""),3),index(split(C273, "" ""),2)))"),"")</f>
        <v/>
      </c>
      <c r="X273" s="38" t="b">
        <f t="shared" si="2"/>
        <v>0</v>
      </c>
      <c r="Y273" s="38"/>
      <c r="Z273" s="40"/>
      <c r="AA273" s="40"/>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row>
    <row r="274">
      <c r="A274" s="37"/>
      <c r="B274" s="322"/>
      <c r="C274" s="144"/>
      <c r="D274" s="144"/>
      <c r="E274" s="37"/>
      <c r="F274" s="37"/>
      <c r="G274" s="37"/>
      <c r="H274" s="33" t="str">
        <f t="shared" si="1"/>
        <v/>
      </c>
      <c r="I274" s="37"/>
      <c r="J274" s="37"/>
      <c r="K274" s="37"/>
      <c r="L274" s="38"/>
      <c r="M274" s="37"/>
      <c r="N274" s="37"/>
      <c r="O274" s="37"/>
      <c r="P274" s="14"/>
      <c r="Q274" s="15"/>
      <c r="R274" s="16"/>
      <c r="S274" s="16"/>
      <c r="T274" s="16"/>
      <c r="U274" s="16"/>
      <c r="V274" s="37" t="str">
        <f>IFERROR(__xludf.DUMMYFUNCTION("if(not(iserror(index(split(C274, "" ""),2))), index(split(C274, "" ""),1),"""")"),"")</f>
        <v/>
      </c>
      <c r="W274" s="315" t="str">
        <f>IFERROR(__xludf.DUMMYFUNCTION("if(V274="""",C274,if(not(iserror(index(split(C274, "" ""),3))), index(split(C274, "" ""),3),index(split(C274, "" ""),2)))"),"")</f>
        <v/>
      </c>
      <c r="X274" s="38" t="b">
        <f t="shared" si="2"/>
        <v>0</v>
      </c>
      <c r="Y274" s="38"/>
      <c r="Z274" s="40"/>
      <c r="AA274" s="40"/>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row>
    <row r="275">
      <c r="A275" s="37"/>
      <c r="B275" s="322"/>
      <c r="C275" s="144"/>
      <c r="D275" s="144"/>
      <c r="E275" s="37"/>
      <c r="F275" s="37"/>
      <c r="G275" s="37"/>
      <c r="H275" s="33" t="str">
        <f t="shared" si="1"/>
        <v/>
      </c>
      <c r="I275" s="37"/>
      <c r="J275" s="37"/>
      <c r="K275" s="37"/>
      <c r="L275" s="38"/>
      <c r="M275" s="37"/>
      <c r="N275" s="37"/>
      <c r="O275" s="37"/>
      <c r="P275" s="14"/>
      <c r="Q275" s="15"/>
      <c r="R275" s="16"/>
      <c r="S275" s="16"/>
      <c r="T275" s="16"/>
      <c r="U275" s="16"/>
      <c r="V275" s="37" t="str">
        <f>IFERROR(__xludf.DUMMYFUNCTION("if(not(iserror(index(split(C275, "" ""),2))), index(split(C275, "" ""),1),"""")"),"")</f>
        <v/>
      </c>
      <c r="W275" s="315" t="str">
        <f>IFERROR(__xludf.DUMMYFUNCTION("if(V275="""",C275,if(not(iserror(index(split(C275, "" ""),3))), index(split(C275, "" ""),3),index(split(C275, "" ""),2)))"),"")</f>
        <v/>
      </c>
      <c r="X275" s="38" t="b">
        <f t="shared" si="2"/>
        <v>0</v>
      </c>
      <c r="Y275" s="38"/>
      <c r="Z275" s="40"/>
      <c r="AA275" s="40"/>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row>
    <row r="276">
      <c r="A276" s="37"/>
      <c r="B276" s="322"/>
      <c r="C276" s="144"/>
      <c r="D276" s="144"/>
      <c r="E276" s="37"/>
      <c r="F276" s="37"/>
      <c r="G276" s="37"/>
      <c r="H276" s="33" t="str">
        <f t="shared" si="1"/>
        <v/>
      </c>
      <c r="I276" s="37"/>
      <c r="J276" s="37"/>
      <c r="K276" s="37"/>
      <c r="L276" s="38"/>
      <c r="M276" s="37"/>
      <c r="N276" s="37"/>
      <c r="O276" s="37"/>
      <c r="P276" s="14"/>
      <c r="Q276" s="15"/>
      <c r="R276" s="16"/>
      <c r="S276" s="16"/>
      <c r="T276" s="16"/>
      <c r="U276" s="16"/>
      <c r="V276" s="37" t="str">
        <f>IFERROR(__xludf.DUMMYFUNCTION("if(not(iserror(index(split(C276, "" ""),2))), index(split(C276, "" ""),1),"""")"),"")</f>
        <v/>
      </c>
      <c r="W276" s="315" t="str">
        <f>IFERROR(__xludf.DUMMYFUNCTION("if(V276="""",C276,if(not(iserror(index(split(C276, "" ""),3))), index(split(C276, "" ""),3),index(split(C276, "" ""),2)))"),"")</f>
        <v/>
      </c>
      <c r="X276" s="38" t="b">
        <f t="shared" si="2"/>
        <v>0</v>
      </c>
      <c r="Y276" s="38"/>
      <c r="Z276" s="40"/>
      <c r="AA276" s="40"/>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row>
    <row r="277">
      <c r="A277" s="37"/>
      <c r="B277" s="322"/>
      <c r="C277" s="144"/>
      <c r="D277" s="144"/>
      <c r="E277" s="37"/>
      <c r="F277" s="37"/>
      <c r="G277" s="37"/>
      <c r="H277" s="33" t="str">
        <f t="shared" si="1"/>
        <v/>
      </c>
      <c r="I277" s="37"/>
      <c r="J277" s="37"/>
      <c r="K277" s="37"/>
      <c r="L277" s="38"/>
      <c r="M277" s="58"/>
      <c r="N277" s="58"/>
      <c r="O277" s="58"/>
      <c r="P277" s="14"/>
      <c r="Q277" s="15"/>
      <c r="R277" s="16"/>
      <c r="S277" s="16"/>
      <c r="T277" s="16"/>
      <c r="U277" s="16"/>
      <c r="V277" s="37" t="str">
        <f>IFERROR(__xludf.DUMMYFUNCTION("if(not(iserror(index(split(C277, "" ""),2))), index(split(C277, "" ""),1),"""")"),"")</f>
        <v/>
      </c>
      <c r="W277" s="315" t="str">
        <f>IFERROR(__xludf.DUMMYFUNCTION("if(V277="""",C277,if(not(iserror(index(split(C277, "" ""),3))), index(split(C277, "" ""),3),index(split(C277, "" ""),2)))"),"")</f>
        <v/>
      </c>
      <c r="X277" s="38" t="b">
        <f t="shared" si="2"/>
        <v>0</v>
      </c>
      <c r="Y277" s="38"/>
      <c r="Z277" s="40"/>
      <c r="AA277" s="40"/>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row>
    <row r="278">
      <c r="A278" s="37"/>
      <c r="B278" s="322"/>
      <c r="C278" s="144"/>
      <c r="D278" s="144"/>
      <c r="E278" s="37"/>
      <c r="F278" s="37"/>
      <c r="G278" s="37"/>
      <c r="H278" s="33" t="str">
        <f t="shared" si="1"/>
        <v/>
      </c>
      <c r="I278" s="37"/>
      <c r="J278" s="37"/>
      <c r="K278" s="37"/>
      <c r="L278" s="38"/>
      <c r="M278" s="58"/>
      <c r="N278" s="58"/>
      <c r="O278" s="58"/>
      <c r="P278" s="14"/>
      <c r="Q278" s="15"/>
      <c r="R278" s="16"/>
      <c r="S278" s="16"/>
      <c r="T278" s="16"/>
      <c r="U278" s="16"/>
      <c r="V278" s="37" t="str">
        <f>IFERROR(__xludf.DUMMYFUNCTION("if(not(iserror(index(split(C278, "" ""),2))), index(split(C278, "" ""),1),"""")"),"")</f>
        <v/>
      </c>
      <c r="W278" s="315" t="str">
        <f>IFERROR(__xludf.DUMMYFUNCTION("if(V278="""",C278,if(not(iserror(index(split(C278, "" ""),3))), index(split(C278, "" ""),3),index(split(C278, "" ""),2)))"),"")</f>
        <v/>
      </c>
      <c r="X278" s="38" t="b">
        <f t="shared" si="2"/>
        <v>0</v>
      </c>
      <c r="Y278" s="38"/>
      <c r="Z278" s="40"/>
      <c r="AA278" s="40"/>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row>
    <row r="279">
      <c r="A279" s="37"/>
      <c r="B279" s="322"/>
      <c r="C279" s="144"/>
      <c r="D279" s="144"/>
      <c r="E279" s="37"/>
      <c r="F279" s="37"/>
      <c r="G279" s="37"/>
      <c r="H279" s="33" t="str">
        <f t="shared" si="1"/>
        <v/>
      </c>
      <c r="I279" s="37"/>
      <c r="J279" s="37"/>
      <c r="K279" s="37"/>
      <c r="L279" s="38"/>
      <c r="M279" s="58"/>
      <c r="N279" s="58"/>
      <c r="O279" s="58"/>
      <c r="P279" s="14"/>
      <c r="Q279" s="15"/>
      <c r="R279" s="16"/>
      <c r="S279" s="16"/>
      <c r="T279" s="16"/>
      <c r="U279" s="16"/>
      <c r="V279" s="37" t="str">
        <f>IFERROR(__xludf.DUMMYFUNCTION("if(not(iserror(index(split(C279, "" ""),2))), index(split(C279, "" ""),1),"""")"),"")</f>
        <v/>
      </c>
      <c r="W279" s="315" t="str">
        <f>IFERROR(__xludf.DUMMYFUNCTION("if(V279="""",C279,if(not(iserror(index(split(C279, "" ""),3))), index(split(C279, "" ""),3),index(split(C279, "" ""),2)))"),"")</f>
        <v/>
      </c>
      <c r="X279" s="38" t="b">
        <f t="shared" si="2"/>
        <v>0</v>
      </c>
      <c r="Y279" s="38"/>
      <c r="Z279" s="40"/>
      <c r="AA279" s="40"/>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row>
    <row r="280">
      <c r="A280" s="90"/>
      <c r="B280" s="322"/>
      <c r="C280" s="144"/>
      <c r="D280" s="144"/>
      <c r="E280" s="37"/>
      <c r="F280" s="37"/>
      <c r="G280" s="37"/>
      <c r="H280" s="33" t="str">
        <f t="shared" si="1"/>
        <v/>
      </c>
      <c r="I280" s="37"/>
      <c r="J280" s="37"/>
      <c r="K280" s="37"/>
      <c r="L280" s="38"/>
      <c r="M280" s="37"/>
      <c r="N280" s="37"/>
      <c r="O280" s="37"/>
      <c r="P280" s="14"/>
      <c r="Q280" s="14"/>
      <c r="R280" s="16"/>
      <c r="S280" s="16"/>
      <c r="T280" s="16"/>
      <c r="U280" s="16"/>
      <c r="V280" s="37" t="str">
        <f>IFERROR(__xludf.DUMMYFUNCTION("if(not(iserror(index(split(C280, "" ""),2))), index(split(C280, "" ""),1),"""")"),"")</f>
        <v/>
      </c>
      <c r="W280" s="315" t="str">
        <f>IFERROR(__xludf.DUMMYFUNCTION("if(V280="""",C280,if(not(iserror(index(split(C280, "" ""),3))), index(split(C280, "" ""),3),index(split(C280, "" ""),2)))"),"")</f>
        <v/>
      </c>
      <c r="X280" s="38" t="b">
        <f t="shared" si="2"/>
        <v>0</v>
      </c>
      <c r="Y280" s="38"/>
      <c r="Z280" s="40"/>
      <c r="AA280" s="40"/>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row>
    <row r="281">
      <c r="A281" s="90"/>
      <c r="B281" s="322"/>
      <c r="C281" s="144"/>
      <c r="D281" s="144"/>
      <c r="E281" s="37"/>
      <c r="F281" s="37"/>
      <c r="G281" s="37"/>
      <c r="H281" s="33" t="str">
        <f t="shared" si="1"/>
        <v/>
      </c>
      <c r="I281" s="37"/>
      <c r="J281" s="37"/>
      <c r="K281" s="37"/>
      <c r="L281" s="38"/>
      <c r="M281" s="37"/>
      <c r="N281" s="37"/>
      <c r="O281" s="37"/>
      <c r="P281" s="14"/>
      <c r="Q281" s="14"/>
      <c r="R281" s="16"/>
      <c r="S281" s="16"/>
      <c r="T281" s="16"/>
      <c r="U281" s="16"/>
      <c r="V281" s="37" t="str">
        <f>IFERROR(__xludf.DUMMYFUNCTION("if(not(iserror(index(split(C281, "" ""),2))), index(split(C281, "" ""),1),"""")"),"")</f>
        <v/>
      </c>
      <c r="W281" s="315" t="str">
        <f>IFERROR(__xludf.DUMMYFUNCTION("if(V281="""",C281,if(not(iserror(index(split(C281, "" ""),3))), index(split(C281, "" ""),3),index(split(C281, "" ""),2)))"),"")</f>
        <v/>
      </c>
      <c r="X281" s="38" t="b">
        <f t="shared" si="2"/>
        <v>0</v>
      </c>
      <c r="Y281" s="38"/>
      <c r="Z281" s="40"/>
      <c r="AA281" s="40"/>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row>
    <row r="282">
      <c r="A282" s="37"/>
      <c r="B282" s="322"/>
      <c r="C282" s="144"/>
      <c r="D282" s="144"/>
      <c r="E282" s="37"/>
      <c r="F282" s="37"/>
      <c r="G282" s="37"/>
      <c r="H282" s="33" t="str">
        <f t="shared" si="1"/>
        <v/>
      </c>
      <c r="I282" s="37"/>
      <c r="J282" s="37"/>
      <c r="K282" s="37"/>
      <c r="L282" s="38"/>
      <c r="M282" s="37"/>
      <c r="N282" s="37"/>
      <c r="O282" s="37"/>
      <c r="P282" s="14"/>
      <c r="Q282" s="15"/>
      <c r="R282" s="16"/>
      <c r="S282" s="16"/>
      <c r="T282" s="16"/>
      <c r="U282" s="16"/>
      <c r="V282" s="37" t="str">
        <f>IFERROR(__xludf.DUMMYFUNCTION("if(not(iserror(index(split(C282, "" ""),2))), index(split(C282, "" ""),1),"""")"),"")</f>
        <v/>
      </c>
      <c r="W282" s="315" t="str">
        <f>IFERROR(__xludf.DUMMYFUNCTION("if(V282="""",C282,if(not(iserror(index(split(C282, "" ""),3))), index(split(C282, "" ""),3),index(split(C282, "" ""),2)))"),"")</f>
        <v/>
      </c>
      <c r="X282" s="38" t="b">
        <f t="shared" si="2"/>
        <v>0</v>
      </c>
      <c r="Y282" s="38"/>
      <c r="Z282" s="40"/>
      <c r="AA282" s="40"/>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row>
    <row r="283">
      <c r="A283" s="37"/>
      <c r="B283" s="322"/>
      <c r="C283" s="144"/>
      <c r="D283" s="144"/>
      <c r="E283" s="37"/>
      <c r="F283" s="37"/>
      <c r="G283" s="37"/>
      <c r="H283" s="33" t="str">
        <f t="shared" si="1"/>
        <v/>
      </c>
      <c r="I283" s="37"/>
      <c r="J283" s="37"/>
      <c r="K283" s="37"/>
      <c r="L283" s="38"/>
      <c r="M283" s="37"/>
      <c r="N283" s="37"/>
      <c r="O283" s="37"/>
      <c r="P283" s="14"/>
      <c r="Q283" s="15"/>
      <c r="R283" s="16"/>
      <c r="S283" s="37"/>
      <c r="T283" s="64"/>
      <c r="U283" s="16"/>
      <c r="V283" s="37" t="str">
        <f>IFERROR(__xludf.DUMMYFUNCTION("if(not(iserror(index(split(C283, "" ""),2))), index(split(C283, "" ""),1),"""")"),"")</f>
        <v/>
      </c>
      <c r="W283" s="315" t="str">
        <f>IFERROR(__xludf.DUMMYFUNCTION("if(V283="""",C283,if(not(iserror(index(split(C283, "" ""),3))), index(split(C283, "" ""),3),index(split(C283, "" ""),2)))"),"")</f>
        <v/>
      </c>
      <c r="X283" s="38" t="b">
        <f t="shared" si="2"/>
        <v>0</v>
      </c>
      <c r="Y283" s="38"/>
      <c r="Z283" s="40"/>
      <c r="AA283" s="40"/>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row>
    <row r="284">
      <c r="B284" s="322"/>
      <c r="C284" s="144"/>
      <c r="D284" s="144"/>
      <c r="E284" s="37"/>
      <c r="F284" s="37"/>
      <c r="G284" s="37"/>
      <c r="H284" s="33" t="str">
        <f t="shared" si="1"/>
        <v/>
      </c>
      <c r="I284" s="37"/>
      <c r="J284" s="37"/>
      <c r="K284" s="37"/>
      <c r="L284" s="38"/>
      <c r="M284" s="37"/>
      <c r="N284" s="37"/>
      <c r="O284" s="37"/>
      <c r="P284" s="106"/>
      <c r="Q284" s="15"/>
      <c r="R284" s="16"/>
      <c r="S284" s="16"/>
      <c r="T284" s="16"/>
      <c r="U284" s="16"/>
      <c r="V284" s="37" t="str">
        <f>IFERROR(__xludf.DUMMYFUNCTION("if(not(iserror(index(split(C284, "" ""),2))), index(split(C284, "" ""),1),"""")"),"")</f>
        <v/>
      </c>
      <c r="W284" s="315" t="str">
        <f>IFERROR(__xludf.DUMMYFUNCTION("if(V284="""",C284,if(not(iserror(index(split(C284, "" ""),3))), index(split(C284, "" ""),3),index(split(C284, "" ""),2)))"),"")</f>
        <v/>
      </c>
      <c r="X284" s="38" t="b">
        <f t="shared" si="2"/>
        <v>0</v>
      </c>
      <c r="Y284" s="38"/>
      <c r="Z284" s="40"/>
      <c r="AA284" s="40"/>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row>
    <row r="285">
      <c r="B285" s="322"/>
      <c r="C285" s="144"/>
      <c r="D285" s="144"/>
      <c r="E285" s="37"/>
      <c r="F285" s="37"/>
      <c r="G285" s="37"/>
      <c r="H285" s="33" t="str">
        <f t="shared" si="1"/>
        <v/>
      </c>
      <c r="I285" s="37"/>
      <c r="J285" s="37"/>
      <c r="K285" s="37"/>
      <c r="L285" s="38"/>
      <c r="M285" s="37"/>
      <c r="N285" s="37"/>
      <c r="O285" s="37"/>
      <c r="P285" s="106"/>
      <c r="Q285" s="15"/>
      <c r="R285" s="16"/>
      <c r="S285" s="16"/>
      <c r="T285" s="16"/>
      <c r="U285" s="16"/>
      <c r="V285" s="37" t="str">
        <f>IFERROR(__xludf.DUMMYFUNCTION("if(not(iserror(index(split(C285, "" ""),2))), index(split(C285, "" ""),1),"""")"),"")</f>
        <v/>
      </c>
      <c r="W285" s="315" t="str">
        <f>IFERROR(__xludf.DUMMYFUNCTION("if(V285="""",C285,if(not(iserror(index(split(C285, "" ""),3))), index(split(C285, "" ""),3),index(split(C285, "" ""),2)))"),"")</f>
        <v/>
      </c>
      <c r="X285" s="38" t="b">
        <f t="shared" si="2"/>
        <v>0</v>
      </c>
      <c r="Y285" s="38"/>
      <c r="Z285" s="40"/>
      <c r="AA285" s="40"/>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row>
    <row r="286">
      <c r="A286" s="37"/>
      <c r="B286" s="322"/>
      <c r="C286" s="144"/>
      <c r="D286" s="144"/>
      <c r="E286" s="37"/>
      <c r="F286" s="37"/>
      <c r="G286" s="37"/>
      <c r="H286" s="33" t="str">
        <f t="shared" si="1"/>
        <v/>
      </c>
      <c r="I286" s="37"/>
      <c r="J286" s="37"/>
      <c r="K286" s="37"/>
      <c r="L286" s="38"/>
      <c r="M286" s="37"/>
      <c r="N286" s="37"/>
      <c r="O286" s="37"/>
      <c r="P286" s="14"/>
      <c r="Q286" s="14"/>
      <c r="R286" s="16"/>
      <c r="S286" s="16"/>
      <c r="T286" s="16"/>
      <c r="U286" s="16"/>
      <c r="V286" s="37" t="str">
        <f>IFERROR(__xludf.DUMMYFUNCTION("if(not(iserror(index(split(C286, "" ""),2))), index(split(C286, "" ""),1),"""")"),"")</f>
        <v/>
      </c>
      <c r="W286" s="315" t="str">
        <f>IFERROR(__xludf.DUMMYFUNCTION("if(V286="""",C286,if(not(iserror(index(split(C286, "" ""),3))), index(split(C286, "" ""),3),index(split(C286, "" ""),2)))"),"")</f>
        <v/>
      </c>
      <c r="X286" s="38" t="b">
        <f t="shared" si="2"/>
        <v>0</v>
      </c>
      <c r="Y286" s="38"/>
      <c r="Z286" s="40"/>
      <c r="AA286" s="40"/>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row>
    <row r="287">
      <c r="A287" s="37"/>
      <c r="B287" s="322"/>
      <c r="C287" s="144"/>
      <c r="D287" s="144"/>
      <c r="E287" s="37"/>
      <c r="F287" s="37"/>
      <c r="G287" s="37"/>
      <c r="H287" s="33" t="str">
        <f t="shared" si="1"/>
        <v/>
      </c>
      <c r="I287" s="37"/>
      <c r="J287" s="37"/>
      <c r="K287" s="37"/>
      <c r="L287" s="38"/>
      <c r="M287" s="37"/>
      <c r="N287" s="37"/>
      <c r="O287" s="37"/>
      <c r="P287" s="14"/>
      <c r="Q287" s="15"/>
      <c r="R287" s="16"/>
      <c r="S287" s="16"/>
      <c r="T287" s="16"/>
      <c r="U287" s="16"/>
      <c r="V287" s="37" t="str">
        <f>IFERROR(__xludf.DUMMYFUNCTION("if(not(iserror(index(split(C287, "" ""),2))), index(split(C287, "" ""),1),"""")"),"")</f>
        <v/>
      </c>
      <c r="W287" s="315" t="str">
        <f>IFERROR(__xludf.DUMMYFUNCTION("if(V287="""",C287,if(not(iserror(index(split(C287, "" ""),3))), index(split(C287, "" ""),3),index(split(C287, "" ""),2)))"),"")</f>
        <v/>
      </c>
      <c r="X287" s="38" t="b">
        <f t="shared" si="2"/>
        <v>0</v>
      </c>
      <c r="Y287" s="38"/>
      <c r="Z287" s="40"/>
      <c r="AA287" s="40"/>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row>
    <row r="288">
      <c r="B288" s="322"/>
      <c r="C288" s="144"/>
      <c r="D288" s="144"/>
      <c r="E288" s="37"/>
      <c r="F288" s="37"/>
      <c r="G288" s="37"/>
      <c r="H288" s="33" t="str">
        <f t="shared" si="1"/>
        <v/>
      </c>
      <c r="I288" s="37"/>
      <c r="J288" s="37"/>
      <c r="K288" s="37"/>
      <c r="L288" s="38"/>
      <c r="M288" s="37"/>
      <c r="N288" s="37"/>
      <c r="O288" s="37"/>
      <c r="P288" s="14"/>
      <c r="Q288" s="15"/>
      <c r="R288" s="16"/>
      <c r="S288" s="16"/>
      <c r="T288" s="16"/>
      <c r="U288" s="16"/>
      <c r="V288" s="37" t="str">
        <f>IFERROR(__xludf.DUMMYFUNCTION("if(not(iserror(index(split(C288, "" ""),2))), index(split(C288, "" ""),1),"""")"),"")</f>
        <v/>
      </c>
      <c r="W288" s="315" t="str">
        <f>IFERROR(__xludf.DUMMYFUNCTION("if(V288="""",C288,if(not(iserror(index(split(C288, "" ""),3))), index(split(C288, "" ""),3),index(split(C288, "" ""),2)))"),"")</f>
        <v/>
      </c>
      <c r="X288" s="38" t="b">
        <f t="shared" si="2"/>
        <v>0</v>
      </c>
      <c r="Y288" s="38"/>
      <c r="Z288" s="40"/>
      <c r="AA288" s="40"/>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row>
    <row r="289">
      <c r="B289" s="322"/>
      <c r="C289" s="144"/>
      <c r="D289" s="144"/>
      <c r="E289" s="37"/>
      <c r="F289" s="37"/>
      <c r="G289" s="37"/>
      <c r="H289" s="33" t="str">
        <f t="shared" si="1"/>
        <v/>
      </c>
      <c r="I289" s="37"/>
      <c r="J289" s="37"/>
      <c r="K289" s="37"/>
      <c r="L289" s="38"/>
      <c r="M289" s="37"/>
      <c r="N289" s="37"/>
      <c r="O289" s="37"/>
      <c r="P289" s="14"/>
      <c r="Q289" s="15"/>
      <c r="R289" s="16"/>
      <c r="S289" s="16"/>
      <c r="T289" s="16"/>
      <c r="U289" s="16"/>
      <c r="V289" s="37" t="str">
        <f>IFERROR(__xludf.DUMMYFUNCTION("if(not(iserror(index(split(C289, "" ""),2))), index(split(C289, "" ""),1),"""")"),"")</f>
        <v/>
      </c>
      <c r="W289" s="315" t="str">
        <f>IFERROR(__xludf.DUMMYFUNCTION("if(V289="""",C289,if(not(iserror(index(split(C289, "" ""),3))), index(split(C289, "" ""),3),index(split(C289, "" ""),2)))"),"")</f>
        <v/>
      </c>
      <c r="X289" s="38" t="b">
        <f t="shared" si="2"/>
        <v>0</v>
      </c>
      <c r="Y289" s="38"/>
      <c r="Z289" s="40"/>
      <c r="AA289" s="40"/>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row>
    <row r="290">
      <c r="B290" s="322"/>
      <c r="C290" s="144"/>
      <c r="D290" s="144"/>
      <c r="E290" s="37"/>
      <c r="F290" s="37"/>
      <c r="G290" s="37"/>
      <c r="H290" s="33" t="str">
        <f t="shared" si="1"/>
        <v/>
      </c>
      <c r="I290" s="37"/>
      <c r="J290" s="37"/>
      <c r="K290" s="37"/>
      <c r="L290" s="38"/>
      <c r="M290" s="37"/>
      <c r="N290" s="37"/>
      <c r="O290" s="37"/>
      <c r="P290" s="14"/>
      <c r="Q290" s="15"/>
      <c r="R290" s="16"/>
      <c r="S290" s="16"/>
      <c r="T290" s="16"/>
      <c r="U290" s="16"/>
      <c r="V290" s="37" t="str">
        <f>IFERROR(__xludf.DUMMYFUNCTION("if(not(iserror(index(split(C290, "" ""),2))), index(split(C290, "" ""),1),"""")"),"")</f>
        <v/>
      </c>
      <c r="W290" s="315" t="str">
        <f>IFERROR(__xludf.DUMMYFUNCTION("if(V290="""",C290,if(not(iserror(index(split(C290, "" ""),3))), index(split(C290, "" ""),3),index(split(C290, "" ""),2)))"),"")</f>
        <v/>
      </c>
      <c r="X290" s="38" t="b">
        <f t="shared" si="2"/>
        <v>0</v>
      </c>
      <c r="Y290" s="38"/>
      <c r="Z290" s="40"/>
      <c r="AA290" s="40"/>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row>
    <row r="291">
      <c r="A291" s="375"/>
      <c r="B291" s="159"/>
      <c r="C291" s="144"/>
      <c r="D291" s="144"/>
      <c r="E291" s="37"/>
      <c r="F291" s="37"/>
      <c r="G291" s="37"/>
      <c r="H291" s="33" t="str">
        <f t="shared" si="1"/>
        <v/>
      </c>
      <c r="I291" s="37"/>
      <c r="J291" s="37"/>
      <c r="K291" s="37"/>
      <c r="L291" s="38"/>
      <c r="M291" s="37"/>
      <c r="N291" s="37"/>
      <c r="O291" s="37"/>
      <c r="P291" s="14"/>
      <c r="Q291" s="15"/>
      <c r="R291" s="16"/>
      <c r="S291" s="16"/>
      <c r="T291" s="37"/>
      <c r="U291" s="16"/>
      <c r="V291" s="37" t="str">
        <f>IFERROR(__xludf.DUMMYFUNCTION("if(not(iserror(index(split(C291, "" ""),2))), index(split(C291, "" ""),1),"""")"),"")</f>
        <v/>
      </c>
      <c r="W291" s="315" t="str">
        <f>IFERROR(__xludf.DUMMYFUNCTION("if(V291="""",C291,if(not(iserror(index(split(C291, "" ""),3))), index(split(C291, "" ""),3),index(split(C291, "" ""),2)))"),"")</f>
        <v/>
      </c>
      <c r="X291" s="38" t="b">
        <f t="shared" si="2"/>
        <v>0</v>
      </c>
      <c r="Y291" s="38"/>
      <c r="Z291" s="40"/>
      <c r="AA291" s="40"/>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row>
    <row r="292">
      <c r="A292" s="37"/>
      <c r="B292" s="322"/>
      <c r="C292" s="144"/>
      <c r="D292" s="144"/>
      <c r="E292" s="37"/>
      <c r="F292" s="37"/>
      <c r="G292" s="37"/>
      <c r="H292" s="33" t="str">
        <f t="shared" si="1"/>
        <v/>
      </c>
      <c r="I292" s="37"/>
      <c r="J292" s="37"/>
      <c r="K292" s="37"/>
      <c r="L292" s="38"/>
      <c r="M292" s="37"/>
      <c r="N292" s="37"/>
      <c r="O292" s="37"/>
      <c r="P292" s="14"/>
      <c r="Q292" s="15"/>
      <c r="R292" s="16"/>
      <c r="S292" s="16"/>
      <c r="T292" s="16"/>
      <c r="U292" s="16"/>
      <c r="V292" s="37" t="str">
        <f>IFERROR(__xludf.DUMMYFUNCTION("if(not(iserror(index(split(C292, "" ""),2))), index(split(C292, "" ""),1),"""")"),"")</f>
        <v/>
      </c>
      <c r="W292" s="315" t="str">
        <f>IFERROR(__xludf.DUMMYFUNCTION("if(V292="""",C292,if(not(iserror(index(split(C292, "" ""),3))), index(split(C292, "" ""),3),index(split(C292, "" ""),2)))"),"")</f>
        <v/>
      </c>
      <c r="X292" s="38" t="b">
        <f t="shared" si="2"/>
        <v>0</v>
      </c>
      <c r="Y292" s="38"/>
      <c r="Z292" s="40"/>
      <c r="AA292" s="40"/>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row>
    <row r="293">
      <c r="A293" s="37"/>
      <c r="B293" s="322"/>
      <c r="C293" s="144"/>
      <c r="D293" s="144"/>
      <c r="E293" s="37"/>
      <c r="F293" s="37"/>
      <c r="G293" s="37"/>
      <c r="H293" s="33" t="str">
        <f t="shared" si="1"/>
        <v/>
      </c>
      <c r="I293" s="37"/>
      <c r="J293" s="37"/>
      <c r="K293" s="37"/>
      <c r="L293" s="38"/>
      <c r="M293" s="37"/>
      <c r="N293" s="37"/>
      <c r="O293" s="37"/>
      <c r="P293" s="14"/>
      <c r="Q293" s="15"/>
      <c r="R293" s="16"/>
      <c r="S293" s="16"/>
      <c r="T293" s="16"/>
      <c r="U293" s="16"/>
      <c r="V293" s="37" t="str">
        <f>IFERROR(__xludf.DUMMYFUNCTION("if(not(iserror(index(split(C293, "" ""),2))), index(split(C293, "" ""),1),"""")"),"")</f>
        <v/>
      </c>
      <c r="W293" s="315" t="str">
        <f>IFERROR(__xludf.DUMMYFUNCTION("if(V293="""",C293,if(not(iserror(index(split(C293, "" ""),3))), index(split(C293, "" ""),3),index(split(C293, "" ""),2)))"),"")</f>
        <v/>
      </c>
      <c r="X293" s="38" t="b">
        <f t="shared" si="2"/>
        <v>0</v>
      </c>
      <c r="Y293" s="38"/>
      <c r="Z293" s="40"/>
      <c r="AA293" s="40"/>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row>
    <row r="294">
      <c r="A294" s="37"/>
      <c r="B294" s="159"/>
      <c r="C294" s="144"/>
      <c r="D294" s="144"/>
      <c r="E294" s="37"/>
      <c r="F294" s="37"/>
      <c r="G294" s="37"/>
      <c r="H294" s="33" t="str">
        <f t="shared" si="1"/>
        <v/>
      </c>
      <c r="I294" s="37"/>
      <c r="J294" s="37"/>
      <c r="K294" s="37"/>
      <c r="L294" s="38"/>
      <c r="M294" s="37"/>
      <c r="N294" s="37"/>
      <c r="O294" s="37"/>
      <c r="P294" s="14"/>
      <c r="Q294" s="15"/>
      <c r="R294" s="16"/>
      <c r="S294" s="16"/>
      <c r="T294" s="16"/>
      <c r="U294" s="16"/>
      <c r="V294" s="37" t="str">
        <f>IFERROR(__xludf.DUMMYFUNCTION("if(not(iserror(index(split(C294, "" ""),2))), index(split(C294, "" ""),1),"""")"),"")</f>
        <v/>
      </c>
      <c r="W294" s="315" t="str">
        <f>IFERROR(__xludf.DUMMYFUNCTION("if(V294="""",C294,if(not(iserror(index(split(C294, "" ""),3))), index(split(C294, "" ""),3),index(split(C294, "" ""),2)))"),"")</f>
        <v/>
      </c>
      <c r="X294" s="38" t="b">
        <f t="shared" si="2"/>
        <v>0</v>
      </c>
      <c r="Y294" s="38"/>
      <c r="Z294" s="40"/>
      <c r="AA294" s="40"/>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row>
    <row r="295">
      <c r="A295" s="37"/>
      <c r="B295" s="322"/>
      <c r="C295" s="144"/>
      <c r="D295" s="144"/>
      <c r="E295" s="37"/>
      <c r="F295" s="37"/>
      <c r="G295" s="37"/>
      <c r="H295" s="33" t="str">
        <f t="shared" si="1"/>
        <v/>
      </c>
      <c r="I295" s="37"/>
      <c r="J295" s="37"/>
      <c r="K295" s="37"/>
      <c r="L295" s="38"/>
      <c r="M295" s="37"/>
      <c r="N295" s="37"/>
      <c r="O295" s="37"/>
      <c r="P295" s="14"/>
      <c r="Q295" s="15"/>
      <c r="R295" s="16"/>
      <c r="S295" s="16"/>
      <c r="T295" s="16"/>
      <c r="U295" s="16"/>
      <c r="V295" s="37" t="str">
        <f>IFERROR(__xludf.DUMMYFUNCTION("if(not(iserror(index(split(C295, "" ""),2))), index(split(C295, "" ""),1),"""")"),"")</f>
        <v/>
      </c>
      <c r="W295" s="315" t="str">
        <f>IFERROR(__xludf.DUMMYFUNCTION("if(V295="""",C295,if(not(iserror(index(split(C295, "" ""),3))), index(split(C295, "" ""),3),index(split(C295, "" ""),2)))"),"")</f>
        <v/>
      </c>
      <c r="X295" s="38" t="b">
        <f t="shared" si="2"/>
        <v>0</v>
      </c>
      <c r="Y295" s="38"/>
      <c r="Z295" s="40"/>
      <c r="AA295" s="40"/>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row>
    <row r="296">
      <c r="A296" s="37"/>
      <c r="B296" s="322"/>
      <c r="C296" s="144"/>
      <c r="D296" s="144"/>
      <c r="E296" s="37"/>
      <c r="F296" s="37"/>
      <c r="G296" s="37"/>
      <c r="H296" s="33" t="str">
        <f t="shared" si="1"/>
        <v/>
      </c>
      <c r="I296" s="37"/>
      <c r="J296" s="37"/>
      <c r="K296" s="37"/>
      <c r="L296" s="38"/>
      <c r="M296" s="37"/>
      <c r="N296" s="37"/>
      <c r="O296" s="37"/>
      <c r="P296" s="14"/>
      <c r="Q296" s="15"/>
      <c r="R296" s="16"/>
      <c r="S296" s="16"/>
      <c r="T296" s="16"/>
      <c r="U296" s="16"/>
      <c r="V296" s="37" t="str">
        <f>IFERROR(__xludf.DUMMYFUNCTION("if(not(iserror(index(split(C296, "" ""),2))), index(split(C296, "" ""),1),"""")"),"")</f>
        <v/>
      </c>
      <c r="W296" s="315" t="str">
        <f>IFERROR(__xludf.DUMMYFUNCTION("if(V296="""",C296,if(not(iserror(index(split(C296, "" ""),3))), index(split(C296, "" ""),3),index(split(C296, "" ""),2)))"),"")</f>
        <v/>
      </c>
      <c r="X296" s="38" t="b">
        <f t="shared" si="2"/>
        <v>0</v>
      </c>
      <c r="Y296" s="38"/>
      <c r="Z296" s="40"/>
      <c r="AA296" s="40"/>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row>
    <row r="297">
      <c r="B297" s="322"/>
      <c r="C297" s="144"/>
      <c r="D297" s="144"/>
      <c r="E297" s="37"/>
      <c r="F297" s="37"/>
      <c r="G297" s="37"/>
      <c r="H297" s="33" t="str">
        <f t="shared" si="1"/>
        <v/>
      </c>
      <c r="I297" s="37"/>
      <c r="J297" s="37"/>
      <c r="K297" s="37"/>
      <c r="L297" s="38"/>
      <c r="M297" s="37"/>
      <c r="N297" s="37"/>
      <c r="O297" s="37"/>
      <c r="P297" s="14"/>
      <c r="Q297" s="15"/>
      <c r="R297" s="16"/>
      <c r="S297" s="16"/>
      <c r="T297" s="16"/>
      <c r="U297" s="16"/>
      <c r="V297" s="37" t="str">
        <f>IFERROR(__xludf.DUMMYFUNCTION("if(not(iserror(index(split(C297, "" ""),2))), index(split(C297, "" ""),1),"""")"),"")</f>
        <v/>
      </c>
      <c r="W297" s="315" t="str">
        <f>IFERROR(__xludf.DUMMYFUNCTION("if(V297="""",C297,if(not(iserror(index(split(C297, "" ""),3))), index(split(C297, "" ""),3),index(split(C297, "" ""),2)))"),"")</f>
        <v/>
      </c>
      <c r="X297" s="38" t="b">
        <f t="shared" si="2"/>
        <v>0</v>
      </c>
      <c r="Y297" s="38"/>
      <c r="Z297" s="40"/>
      <c r="AA297" s="40"/>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row>
    <row r="298">
      <c r="A298" s="37"/>
      <c r="B298" s="322"/>
      <c r="C298" s="144"/>
      <c r="D298" s="144"/>
      <c r="E298" s="37"/>
      <c r="F298" s="37"/>
      <c r="G298" s="37"/>
      <c r="H298" s="33" t="str">
        <f t="shared" si="1"/>
        <v/>
      </c>
      <c r="I298" s="37"/>
      <c r="J298" s="37"/>
      <c r="K298" s="37"/>
      <c r="L298" s="38"/>
      <c r="M298" s="37"/>
      <c r="N298" s="37"/>
      <c r="O298" s="37"/>
      <c r="P298" s="14"/>
      <c r="Q298" s="15"/>
      <c r="R298" s="37"/>
      <c r="S298" s="37"/>
      <c r="T298" s="64"/>
      <c r="U298" s="16"/>
      <c r="V298" s="37" t="str">
        <f>IFERROR(__xludf.DUMMYFUNCTION("if(not(iserror(index(split(C298, "" ""),2))), index(split(C298, "" ""),1),"""")"),"")</f>
        <v/>
      </c>
      <c r="W298" s="315" t="str">
        <f>IFERROR(__xludf.DUMMYFUNCTION("if(V298="""",C298,if(not(iserror(index(split(C298, "" ""),3))), index(split(C298, "" ""),3),index(split(C298, "" ""),2)))"),"")</f>
        <v/>
      </c>
      <c r="X298" s="38" t="b">
        <f t="shared" si="2"/>
        <v>0</v>
      </c>
      <c r="Y298" s="38"/>
      <c r="Z298" s="40"/>
      <c r="AA298" s="40"/>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row>
    <row r="299">
      <c r="A299" s="37"/>
      <c r="B299" s="322"/>
      <c r="C299" s="144"/>
      <c r="D299" s="144"/>
      <c r="E299" s="37"/>
      <c r="F299" s="37"/>
      <c r="G299" s="37"/>
      <c r="H299" s="33" t="str">
        <f t="shared" si="1"/>
        <v/>
      </c>
      <c r="I299" s="37"/>
      <c r="J299" s="37"/>
      <c r="K299" s="37"/>
      <c r="L299" s="38"/>
      <c r="M299" s="37"/>
      <c r="N299" s="37"/>
      <c r="O299" s="37"/>
      <c r="P299" s="374"/>
      <c r="Q299" s="15"/>
      <c r="R299" s="37"/>
      <c r="S299" s="37"/>
      <c r="T299" s="64"/>
      <c r="U299" s="16"/>
      <c r="V299" s="37" t="str">
        <f>IFERROR(__xludf.DUMMYFUNCTION("if(not(iserror(index(split(C299, "" ""),2))), index(split(C299, "" ""),1),"""")"),"")</f>
        <v/>
      </c>
      <c r="W299" s="315" t="str">
        <f>IFERROR(__xludf.DUMMYFUNCTION("if(V299="""",C299,if(not(iserror(index(split(C299, "" ""),3))), index(split(C299, "" ""),3),index(split(C299, "" ""),2)))"),"")</f>
        <v/>
      </c>
      <c r="X299" s="38" t="b">
        <f t="shared" si="2"/>
        <v>0</v>
      </c>
      <c r="Y299" s="38"/>
      <c r="Z299" s="40"/>
      <c r="AA299" s="40"/>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row>
    <row r="300">
      <c r="A300" s="37"/>
      <c r="B300" s="322"/>
      <c r="C300" s="144"/>
      <c r="D300" s="144"/>
      <c r="E300" s="37"/>
      <c r="F300" s="37"/>
      <c r="G300" s="37"/>
      <c r="H300" s="33" t="str">
        <f t="shared" si="1"/>
        <v/>
      </c>
      <c r="I300" s="37"/>
      <c r="J300" s="37"/>
      <c r="K300" s="37"/>
      <c r="L300" s="38"/>
      <c r="M300" s="37"/>
      <c r="N300" s="37"/>
      <c r="O300" s="37"/>
      <c r="P300" s="374"/>
      <c r="Q300" s="15"/>
      <c r="R300" s="37"/>
      <c r="S300" s="37"/>
      <c r="T300" s="64"/>
      <c r="U300" s="16"/>
      <c r="V300" s="37" t="str">
        <f>IFERROR(__xludf.DUMMYFUNCTION("if(not(iserror(index(split(C300, "" ""),2))), index(split(C300, "" ""),1),"""")"),"")</f>
        <v/>
      </c>
      <c r="W300" s="315" t="str">
        <f>IFERROR(__xludf.DUMMYFUNCTION("if(V300="""",C300,if(not(iserror(index(split(C300, "" ""),3))), index(split(C300, "" ""),3),index(split(C300, "" ""),2)))"),"")</f>
        <v/>
      </c>
      <c r="X300" s="38" t="b">
        <f t="shared" si="2"/>
        <v>0</v>
      </c>
      <c r="Y300" s="38"/>
      <c r="Z300" s="40"/>
      <c r="AA300" s="40"/>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row>
    <row r="301">
      <c r="A301" s="37"/>
      <c r="B301" s="322"/>
      <c r="C301" s="144"/>
      <c r="D301" s="144"/>
      <c r="E301" s="37"/>
      <c r="F301" s="37"/>
      <c r="G301" s="37"/>
      <c r="H301" s="33" t="str">
        <f t="shared" si="1"/>
        <v/>
      </c>
      <c r="I301" s="37"/>
      <c r="J301" s="37"/>
      <c r="K301" s="37"/>
      <c r="L301" s="38"/>
      <c r="M301" s="37"/>
      <c r="N301" s="37"/>
      <c r="O301" s="37"/>
      <c r="P301" s="374"/>
      <c r="Q301" s="14"/>
      <c r="R301" s="37"/>
      <c r="S301" s="37"/>
      <c r="T301" s="64"/>
      <c r="U301" s="16"/>
      <c r="V301" s="37" t="str">
        <f>IFERROR(__xludf.DUMMYFUNCTION("if(not(iserror(index(split(C301, "" ""),2))), index(split(C301, "" ""),1),"""")"),"")</f>
        <v/>
      </c>
      <c r="W301" s="315" t="str">
        <f>IFERROR(__xludf.DUMMYFUNCTION("if(V301="""",C301,if(not(iserror(index(split(C301, "" ""),3))), index(split(C301, "" ""),3),index(split(C301, "" ""),2)))"),"")</f>
        <v/>
      </c>
      <c r="X301" s="38" t="b">
        <f t="shared" si="2"/>
        <v>0</v>
      </c>
      <c r="Y301" s="38"/>
      <c r="Z301" s="40"/>
      <c r="AA301" s="40"/>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row>
    <row r="302">
      <c r="A302" s="37"/>
      <c r="B302" s="322"/>
      <c r="C302" s="144"/>
      <c r="D302" s="144"/>
      <c r="E302" s="37"/>
      <c r="F302" s="37"/>
      <c r="G302" s="37"/>
      <c r="H302" s="33" t="str">
        <f t="shared" si="1"/>
        <v/>
      </c>
      <c r="I302" s="37"/>
      <c r="J302" s="37"/>
      <c r="K302" s="37"/>
      <c r="L302" s="38"/>
      <c r="M302" s="37"/>
      <c r="N302" s="37"/>
      <c r="O302" s="37"/>
      <c r="P302" s="374"/>
      <c r="Q302" s="15"/>
      <c r="R302" s="37"/>
      <c r="S302" s="16"/>
      <c r="T302" s="64"/>
      <c r="U302" s="16"/>
      <c r="V302" s="37" t="str">
        <f>IFERROR(__xludf.DUMMYFUNCTION("if(not(iserror(index(split(C302, "" ""),2))), index(split(C302, "" ""),1),"""")"),"")</f>
        <v/>
      </c>
      <c r="W302" s="315" t="str">
        <f>IFERROR(__xludf.DUMMYFUNCTION("if(V302="""",C302,if(not(iserror(index(split(C302, "" ""),3))), index(split(C302, "" ""),3),index(split(C302, "" ""),2)))"),"")</f>
        <v/>
      </c>
      <c r="X302" s="38" t="b">
        <f t="shared" si="2"/>
        <v>0</v>
      </c>
      <c r="Y302" s="38"/>
      <c r="Z302" s="40"/>
      <c r="AA302" s="40"/>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row>
    <row r="303">
      <c r="A303" s="37"/>
      <c r="B303" s="322"/>
      <c r="C303" s="144"/>
      <c r="D303" s="144"/>
      <c r="E303" s="37"/>
      <c r="F303" s="37"/>
      <c r="G303" s="37"/>
      <c r="H303" s="33" t="str">
        <f t="shared" si="1"/>
        <v/>
      </c>
      <c r="I303" s="37"/>
      <c r="J303" s="37"/>
      <c r="K303" s="37"/>
      <c r="L303" s="38"/>
      <c r="M303" s="37"/>
      <c r="N303" s="37"/>
      <c r="O303" s="37"/>
      <c r="P303" s="374"/>
      <c r="Q303" s="15"/>
      <c r="R303" s="37"/>
      <c r="S303" s="16"/>
      <c r="T303" s="64"/>
      <c r="U303" s="16"/>
      <c r="V303" s="37" t="str">
        <f>IFERROR(__xludf.DUMMYFUNCTION("if(not(iserror(index(split(C303, "" ""),2))), index(split(C303, "" ""),1),"""")"),"")</f>
        <v/>
      </c>
      <c r="W303" s="315" t="str">
        <f>IFERROR(__xludf.DUMMYFUNCTION("if(V303="""",C303,if(not(iserror(index(split(C303, "" ""),3))), index(split(C303, "" ""),3),index(split(C303, "" ""),2)))"),"")</f>
        <v/>
      </c>
      <c r="X303" s="38" t="b">
        <f t="shared" si="2"/>
        <v>0</v>
      </c>
      <c r="Y303" s="38"/>
      <c r="Z303" s="40"/>
      <c r="AA303" s="40"/>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row>
    <row r="304">
      <c r="A304" s="37"/>
      <c r="B304" s="322"/>
      <c r="C304" s="144"/>
      <c r="D304" s="144"/>
      <c r="E304" s="37"/>
      <c r="F304" s="37"/>
      <c r="G304" s="37"/>
      <c r="H304" s="33" t="str">
        <f t="shared" si="1"/>
        <v/>
      </c>
      <c r="I304" s="37"/>
      <c r="J304" s="37"/>
      <c r="K304" s="37"/>
      <c r="L304" s="38"/>
      <c r="M304" s="37"/>
      <c r="N304" s="37"/>
      <c r="O304" s="37"/>
      <c r="P304" s="374"/>
      <c r="Q304" s="14"/>
      <c r="R304" s="16"/>
      <c r="S304" s="16"/>
      <c r="T304" s="64"/>
      <c r="U304" s="16"/>
      <c r="V304" s="37" t="str">
        <f>IFERROR(__xludf.DUMMYFUNCTION("if(not(iserror(index(split(C304, "" ""),2))), index(split(C304, "" ""),1),"""")"),"")</f>
        <v/>
      </c>
      <c r="W304" s="315" t="str">
        <f>IFERROR(__xludf.DUMMYFUNCTION("if(V304="""",C304,if(not(iserror(index(split(C304, "" ""),3))), index(split(C304, "" ""),3),index(split(C304, "" ""),2)))"),"")</f>
        <v/>
      </c>
      <c r="X304" s="38" t="b">
        <f t="shared" si="2"/>
        <v>0</v>
      </c>
      <c r="Y304" s="38"/>
      <c r="Z304" s="40"/>
      <c r="AA304" s="40"/>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row>
    <row r="305">
      <c r="A305" s="37"/>
      <c r="B305" s="322"/>
      <c r="C305" s="144"/>
      <c r="D305" s="144"/>
      <c r="E305" s="37"/>
      <c r="F305" s="37"/>
      <c r="G305" s="37"/>
      <c r="H305" s="33" t="str">
        <f t="shared" si="1"/>
        <v/>
      </c>
      <c r="I305" s="37"/>
      <c r="J305" s="37"/>
      <c r="K305" s="37"/>
      <c r="L305" s="38"/>
      <c r="M305" s="37"/>
      <c r="N305" s="37"/>
      <c r="O305" s="37"/>
      <c r="P305" s="374"/>
      <c r="Q305" s="15"/>
      <c r="R305" s="16"/>
      <c r="S305" s="16"/>
      <c r="T305" s="16"/>
      <c r="U305" s="16"/>
      <c r="V305" s="37" t="str">
        <f>IFERROR(__xludf.DUMMYFUNCTION("if(not(iserror(index(split(C305, "" ""),2))), index(split(C305, "" ""),1),"""")"),"")</f>
        <v/>
      </c>
      <c r="W305" s="315" t="str">
        <f>IFERROR(__xludf.DUMMYFUNCTION("if(V305="""",C305,if(not(iserror(index(split(C305, "" ""),3))), index(split(C305, "" ""),3),index(split(C305, "" ""),2)))"),"")</f>
        <v/>
      </c>
      <c r="X305" s="38" t="b">
        <f t="shared" si="2"/>
        <v>0</v>
      </c>
      <c r="Y305" s="38"/>
      <c r="Z305" s="40"/>
      <c r="AA305" s="40"/>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row>
    <row r="306">
      <c r="A306" s="37"/>
      <c r="B306" s="322"/>
      <c r="C306" s="144"/>
      <c r="D306" s="144"/>
      <c r="E306" s="37"/>
      <c r="F306" s="37"/>
      <c r="G306" s="37"/>
      <c r="H306" s="33" t="str">
        <f t="shared" si="1"/>
        <v/>
      </c>
      <c r="I306" s="37"/>
      <c r="J306" s="37"/>
      <c r="K306" s="37"/>
      <c r="L306" s="38"/>
      <c r="M306" s="37"/>
      <c r="N306" s="37"/>
      <c r="O306" s="37"/>
      <c r="P306" s="374"/>
      <c r="Q306" s="15"/>
      <c r="R306" s="37"/>
      <c r="S306" s="37"/>
      <c r="T306" s="64"/>
      <c r="U306" s="16"/>
      <c r="V306" s="37" t="str">
        <f>IFERROR(__xludf.DUMMYFUNCTION("if(not(iserror(index(split(C306, "" ""),2))), index(split(C306, "" ""),1),"""")"),"")</f>
        <v/>
      </c>
      <c r="W306" s="315" t="str">
        <f>IFERROR(__xludf.DUMMYFUNCTION("if(V306="""",C306,if(not(iserror(index(split(C306, "" ""),3))), index(split(C306, "" ""),3),index(split(C306, "" ""),2)))"),"")</f>
        <v/>
      </c>
      <c r="X306" s="38" t="b">
        <f t="shared" si="2"/>
        <v>0</v>
      </c>
      <c r="Y306" s="38"/>
      <c r="Z306" s="40"/>
      <c r="AA306" s="40"/>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row>
    <row r="307">
      <c r="A307" s="37"/>
      <c r="B307" s="322"/>
      <c r="C307" s="144"/>
      <c r="D307" s="144"/>
      <c r="E307" s="37"/>
      <c r="F307" s="37"/>
      <c r="G307" s="37"/>
      <c r="H307" s="33" t="str">
        <f t="shared" si="1"/>
        <v/>
      </c>
      <c r="I307" s="37"/>
      <c r="J307" s="37"/>
      <c r="K307" s="37"/>
      <c r="L307" s="38"/>
      <c r="M307" s="37"/>
      <c r="N307" s="37"/>
      <c r="O307" s="37"/>
      <c r="P307" s="374"/>
      <c r="Q307" s="15"/>
      <c r="R307" s="37"/>
      <c r="S307" s="37"/>
      <c r="T307" s="64"/>
      <c r="U307" s="16"/>
      <c r="V307" s="37" t="str">
        <f>IFERROR(__xludf.DUMMYFUNCTION("if(not(iserror(index(split(C307, "" ""),2))), index(split(C307, "" ""),1),"""")"),"")</f>
        <v/>
      </c>
      <c r="W307" s="315" t="str">
        <f>IFERROR(__xludf.DUMMYFUNCTION("if(V307="""",C307,if(not(iserror(index(split(C307, "" ""),3))), index(split(C307, "" ""),3),index(split(C307, "" ""),2)))"),"")</f>
        <v/>
      </c>
      <c r="X307" s="38" t="b">
        <f t="shared" si="2"/>
        <v>0</v>
      </c>
      <c r="Y307" s="38"/>
      <c r="Z307" s="40"/>
      <c r="AA307" s="40"/>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row>
    <row r="308">
      <c r="A308" s="37"/>
      <c r="B308" s="322"/>
      <c r="C308" s="144"/>
      <c r="D308" s="144"/>
      <c r="E308" s="37"/>
      <c r="F308" s="37"/>
      <c r="G308" s="37"/>
      <c r="H308" s="33" t="str">
        <f t="shared" si="1"/>
        <v/>
      </c>
      <c r="I308" s="37"/>
      <c r="J308" s="37"/>
      <c r="K308" s="37"/>
      <c r="L308" s="38"/>
      <c r="M308" s="37"/>
      <c r="N308" s="37"/>
      <c r="O308" s="37"/>
      <c r="P308" s="374"/>
      <c r="Q308" s="14"/>
      <c r="R308" s="37"/>
      <c r="S308" s="16"/>
      <c r="T308" s="64"/>
      <c r="U308" s="16"/>
      <c r="V308" s="37" t="str">
        <f>IFERROR(__xludf.DUMMYFUNCTION("if(not(iserror(index(split(C308, "" ""),2))), index(split(C308, "" ""),1),"""")"),"")</f>
        <v/>
      </c>
      <c r="W308" s="315" t="str">
        <f>IFERROR(__xludf.DUMMYFUNCTION("if(V308="""",C308,if(not(iserror(index(split(C308, "" ""),3))), index(split(C308, "" ""),3),index(split(C308, "" ""),2)))"),"")</f>
        <v/>
      </c>
      <c r="X308" s="38" t="b">
        <f t="shared" si="2"/>
        <v>0</v>
      </c>
      <c r="Y308" s="38"/>
      <c r="Z308" s="40"/>
      <c r="AA308" s="40"/>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row>
    <row r="309">
      <c r="A309" s="37"/>
      <c r="B309" s="322"/>
      <c r="C309" s="144"/>
      <c r="D309" s="144"/>
      <c r="E309" s="37"/>
      <c r="F309" s="37"/>
      <c r="G309" s="37"/>
      <c r="H309" s="33" t="str">
        <f t="shared" si="1"/>
        <v/>
      </c>
      <c r="I309" s="37"/>
      <c r="J309" s="37"/>
      <c r="K309" s="37"/>
      <c r="L309" s="38"/>
      <c r="M309" s="37"/>
      <c r="N309" s="37"/>
      <c r="O309" s="37"/>
      <c r="P309" s="374"/>
      <c r="Q309" s="15"/>
      <c r="R309" s="16"/>
      <c r="S309" s="16"/>
      <c r="T309" s="16"/>
      <c r="U309" s="16"/>
      <c r="V309" s="37" t="str">
        <f>IFERROR(__xludf.DUMMYFUNCTION("if(not(iserror(index(split(C309, "" ""),2))), index(split(C309, "" ""),1),"""")"),"")</f>
        <v/>
      </c>
      <c r="W309" s="315" t="str">
        <f>IFERROR(__xludf.DUMMYFUNCTION("if(V309="""",C309,if(not(iserror(index(split(C309, "" ""),3))), index(split(C309, "" ""),3),index(split(C309, "" ""),2)))"),"")</f>
        <v/>
      </c>
      <c r="X309" s="38" t="b">
        <f t="shared" si="2"/>
        <v>0</v>
      </c>
      <c r="Y309" s="38"/>
      <c r="Z309" s="40"/>
      <c r="AA309" s="40"/>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row>
    <row r="310">
      <c r="A310" s="37"/>
      <c r="B310" s="322"/>
      <c r="C310" s="144"/>
      <c r="D310" s="144"/>
      <c r="E310" s="37"/>
      <c r="F310" s="37"/>
      <c r="G310" s="37"/>
      <c r="H310" s="33" t="str">
        <f t="shared" si="1"/>
        <v/>
      </c>
      <c r="I310" s="37"/>
      <c r="J310" s="16"/>
      <c r="K310" s="37"/>
      <c r="L310" s="38"/>
      <c r="M310" s="37"/>
      <c r="N310" s="37"/>
      <c r="O310" s="37"/>
      <c r="P310" s="374"/>
      <c r="Q310" s="15"/>
      <c r="R310" s="16"/>
      <c r="S310" s="16"/>
      <c r="T310" s="16"/>
      <c r="U310" s="16"/>
      <c r="V310" s="37" t="str">
        <f>IFERROR(__xludf.DUMMYFUNCTION("if(not(iserror(index(split(C310, "" ""),2))), index(split(C310, "" ""),1),"""")"),"")</f>
        <v/>
      </c>
      <c r="W310" s="315" t="str">
        <f>IFERROR(__xludf.DUMMYFUNCTION("if(V310="""",C310,if(not(iserror(index(split(C310, "" ""),3))), index(split(C310, "" ""),3),index(split(C310, "" ""),2)))"),"")</f>
        <v/>
      </c>
      <c r="X310" s="38" t="b">
        <f t="shared" si="2"/>
        <v>0</v>
      </c>
      <c r="Y310" s="38"/>
      <c r="Z310" s="40"/>
      <c r="AA310" s="40"/>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row>
    <row r="311">
      <c r="A311" s="37"/>
      <c r="B311" s="322"/>
      <c r="C311" s="144"/>
      <c r="D311" s="144"/>
      <c r="E311" s="37"/>
      <c r="F311" s="37"/>
      <c r="G311" s="37"/>
      <c r="H311" s="33" t="str">
        <f t="shared" si="1"/>
        <v/>
      </c>
      <c r="I311" s="37"/>
      <c r="J311" s="37"/>
      <c r="K311" s="37"/>
      <c r="L311" s="38"/>
      <c r="M311" s="37"/>
      <c r="N311" s="37"/>
      <c r="O311" s="37"/>
      <c r="P311" s="177"/>
      <c r="Q311" s="15"/>
      <c r="R311" s="37"/>
      <c r="S311" s="16"/>
      <c r="T311" s="64"/>
      <c r="U311" s="16"/>
      <c r="V311" s="37" t="str">
        <f>IFERROR(__xludf.DUMMYFUNCTION("if(not(iserror(index(split(C311, "" ""),2))), index(split(C311, "" ""),1),"""")"),"")</f>
        <v/>
      </c>
      <c r="W311" s="315" t="str">
        <f>IFERROR(__xludf.DUMMYFUNCTION("if(V311="""",C311,if(not(iserror(index(split(C311, "" ""),3))), index(split(C311, "" ""),3),index(split(C311, "" ""),2)))"),"")</f>
        <v/>
      </c>
      <c r="X311" s="38" t="b">
        <f t="shared" si="2"/>
        <v>0</v>
      </c>
      <c r="Y311" s="38"/>
      <c r="Z311" s="40"/>
      <c r="AA311" s="40"/>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row>
    <row r="312">
      <c r="A312" s="37"/>
      <c r="B312" s="322"/>
      <c r="C312" s="144"/>
      <c r="D312" s="144"/>
      <c r="E312" s="37"/>
      <c r="F312" s="37"/>
      <c r="G312" s="37"/>
      <c r="H312" s="33" t="str">
        <f t="shared" si="1"/>
        <v/>
      </c>
      <c r="I312" s="37"/>
      <c r="J312" s="37"/>
      <c r="K312" s="37"/>
      <c r="L312" s="38"/>
      <c r="M312" s="37"/>
      <c r="N312" s="37"/>
      <c r="O312" s="37"/>
      <c r="P312" s="177"/>
      <c r="Q312" s="15"/>
      <c r="R312" s="37"/>
      <c r="S312" s="16"/>
      <c r="T312" s="64"/>
      <c r="U312" s="16"/>
      <c r="V312" s="37" t="str">
        <f>IFERROR(__xludf.DUMMYFUNCTION("if(not(iserror(index(split(C312, "" ""),2))), index(split(C312, "" ""),1),"""")"),"")</f>
        <v/>
      </c>
      <c r="W312" s="315" t="str">
        <f>IFERROR(__xludf.DUMMYFUNCTION("if(V312="""",C312,if(not(iserror(index(split(C312, "" ""),3))), index(split(C312, "" ""),3),index(split(C312, "" ""),2)))"),"")</f>
        <v/>
      </c>
      <c r="X312" s="38" t="b">
        <f t="shared" si="2"/>
        <v>0</v>
      </c>
      <c r="Y312" s="38"/>
      <c r="Z312" s="40"/>
      <c r="AA312" s="40"/>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row>
    <row r="313">
      <c r="A313" s="37"/>
      <c r="B313" s="322"/>
      <c r="C313" s="144"/>
      <c r="D313" s="144"/>
      <c r="E313" s="37"/>
      <c r="F313" s="37"/>
      <c r="G313" s="37"/>
      <c r="H313" s="33" t="str">
        <f t="shared" si="1"/>
        <v/>
      </c>
      <c r="I313" s="37"/>
      <c r="J313" s="37"/>
      <c r="K313" s="37"/>
      <c r="L313" s="38"/>
      <c r="M313" s="37"/>
      <c r="N313" s="37"/>
      <c r="O313" s="37"/>
      <c r="P313" s="177"/>
      <c r="Q313" s="15"/>
      <c r="R313" s="37"/>
      <c r="S313" s="16"/>
      <c r="T313" s="64"/>
      <c r="U313" s="16"/>
      <c r="V313" s="37" t="str">
        <f>IFERROR(__xludf.DUMMYFUNCTION("if(not(iserror(index(split(C313, "" ""),2))), index(split(C313, "" ""),1),"""")"),"")</f>
        <v/>
      </c>
      <c r="W313" s="315" t="str">
        <f>IFERROR(__xludf.DUMMYFUNCTION("if(V313="""",C313,if(not(iserror(index(split(C313, "" ""),3))), index(split(C313, "" ""),3),index(split(C313, "" ""),2)))"),"")</f>
        <v/>
      </c>
      <c r="X313" s="38" t="b">
        <f t="shared" si="2"/>
        <v>0</v>
      </c>
      <c r="Y313" s="38"/>
      <c r="Z313" s="40"/>
      <c r="AA313" s="40"/>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row>
    <row r="314">
      <c r="A314" s="37"/>
      <c r="B314" s="341"/>
      <c r="C314" s="60"/>
      <c r="D314" s="60"/>
      <c r="E314" s="58"/>
      <c r="F314" s="58"/>
      <c r="G314" s="58"/>
      <c r="H314" s="33" t="str">
        <f t="shared" si="1"/>
        <v/>
      </c>
      <c r="I314" s="58"/>
      <c r="J314" s="58"/>
      <c r="K314" s="58"/>
      <c r="L314" s="38"/>
      <c r="M314" s="58"/>
      <c r="N314" s="58"/>
      <c r="O314" s="58"/>
      <c r="P314" s="14"/>
      <c r="Q314" s="77"/>
      <c r="R314" s="58"/>
      <c r="S314" s="58"/>
      <c r="T314" s="84"/>
      <c r="U314" s="58"/>
      <c r="V314" s="37" t="str">
        <f>IFERROR(__xludf.DUMMYFUNCTION("if(not(iserror(index(split(C314, "" ""),2))), index(split(C314, "" ""),1),"""")"),"")</f>
        <v/>
      </c>
      <c r="W314" s="315" t="str">
        <f>IFERROR(__xludf.DUMMYFUNCTION("if(V314="""",C314,if(not(iserror(index(split(C314, "" ""),3))), index(split(C314, "" ""),3),index(split(C314, "" ""),2)))"),"")</f>
        <v/>
      </c>
      <c r="X314" s="38" t="b">
        <f t="shared" si="2"/>
        <v>0</v>
      </c>
      <c r="Y314" s="38"/>
      <c r="Z314" s="40"/>
      <c r="AA314" s="40"/>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row>
    <row r="315">
      <c r="A315" s="37"/>
      <c r="B315" s="322"/>
      <c r="C315" s="144"/>
      <c r="D315" s="144"/>
      <c r="E315" s="37"/>
      <c r="F315" s="37"/>
      <c r="G315" s="37"/>
      <c r="H315" s="33" t="str">
        <f t="shared" si="1"/>
        <v/>
      </c>
      <c r="I315" s="37"/>
      <c r="J315" s="37"/>
      <c r="K315" s="37"/>
      <c r="L315" s="38"/>
      <c r="M315" s="37"/>
      <c r="N315" s="37"/>
      <c r="O315" s="37"/>
      <c r="P315" s="376"/>
      <c r="Q315" s="15"/>
      <c r="R315" s="37"/>
      <c r="S315" s="37"/>
      <c r="T315" s="64"/>
      <c r="U315" s="37"/>
      <c r="V315" s="37" t="str">
        <f>IFERROR(__xludf.DUMMYFUNCTION("if(not(iserror(index(split(C315, "" ""),2))), index(split(C315, "" ""),1),"""")"),"")</f>
        <v/>
      </c>
      <c r="W315" s="315" t="str">
        <f>IFERROR(__xludf.DUMMYFUNCTION("if(V315="""",C315,if(not(iserror(index(split(C315, "" ""),3))), index(split(C315, "" ""),3),index(split(C315, "" ""),2)))"),"")</f>
        <v/>
      </c>
      <c r="X315" s="38" t="b">
        <f t="shared" si="2"/>
        <v>0</v>
      </c>
      <c r="Y315" s="38"/>
      <c r="Z315" s="40"/>
      <c r="AA315" s="40"/>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row>
    <row r="316">
      <c r="A316" s="37"/>
      <c r="B316" s="322"/>
      <c r="C316" s="144"/>
      <c r="D316" s="144"/>
      <c r="E316" s="37"/>
      <c r="F316" s="37"/>
      <c r="G316" s="37"/>
      <c r="H316" s="33" t="str">
        <f t="shared" si="1"/>
        <v/>
      </c>
      <c r="I316" s="37"/>
      <c r="J316" s="37"/>
      <c r="K316" s="37"/>
      <c r="L316" s="38"/>
      <c r="M316" s="37"/>
      <c r="N316" s="37"/>
      <c r="O316" s="37"/>
      <c r="P316" s="376"/>
      <c r="Q316" s="15"/>
      <c r="R316" s="16"/>
      <c r="S316" s="16"/>
      <c r="T316" s="16"/>
      <c r="U316" s="16"/>
      <c r="V316" s="37" t="str">
        <f>IFERROR(__xludf.DUMMYFUNCTION("if(not(iserror(index(split(C316, "" ""),2))), index(split(C316, "" ""),1),"""")"),"")</f>
        <v/>
      </c>
      <c r="W316" s="315" t="str">
        <f>IFERROR(__xludf.DUMMYFUNCTION("if(V316="""",C316,if(not(iserror(index(split(C316, "" ""),3))), index(split(C316, "" ""),3),index(split(C316, "" ""),2)))"),"")</f>
        <v/>
      </c>
      <c r="X316" s="38" t="b">
        <f t="shared" si="2"/>
        <v>0</v>
      </c>
      <c r="Y316" s="38"/>
      <c r="Z316" s="40"/>
      <c r="AA316" s="40"/>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row>
    <row r="317">
      <c r="A317" s="37"/>
      <c r="B317" s="322"/>
      <c r="C317" s="144"/>
      <c r="D317" s="144"/>
      <c r="E317" s="37"/>
      <c r="F317" s="37"/>
      <c r="G317" s="37"/>
      <c r="H317" s="33" t="str">
        <f t="shared" si="1"/>
        <v/>
      </c>
      <c r="I317" s="37"/>
      <c r="J317" s="37"/>
      <c r="K317" s="37"/>
      <c r="L317" s="38"/>
      <c r="M317" s="37"/>
      <c r="N317" s="37"/>
      <c r="O317" s="37"/>
      <c r="P317" s="376"/>
      <c r="Q317" s="15"/>
      <c r="R317" s="16"/>
      <c r="S317" s="16"/>
      <c r="T317" s="16"/>
      <c r="U317" s="16"/>
      <c r="V317" s="37" t="str">
        <f>IFERROR(__xludf.DUMMYFUNCTION("if(not(iserror(index(split(C317, "" ""),2))), index(split(C317, "" ""),1),"""")"),"")</f>
        <v/>
      </c>
      <c r="W317" s="315" t="str">
        <f>IFERROR(__xludf.DUMMYFUNCTION("if(V317="""",C317,if(not(iserror(index(split(C317, "" ""),3))), index(split(C317, "" ""),3),index(split(C317, "" ""),2)))"),"")</f>
        <v/>
      </c>
      <c r="X317" s="38" t="b">
        <f t="shared" si="2"/>
        <v>0</v>
      </c>
      <c r="Y317" s="38"/>
      <c r="Z317" s="40"/>
      <c r="AA317" s="40"/>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row>
    <row r="318">
      <c r="A318" s="37"/>
      <c r="B318" s="322"/>
      <c r="C318" s="144"/>
      <c r="D318" s="144"/>
      <c r="E318" s="37"/>
      <c r="F318" s="37"/>
      <c r="G318" s="37"/>
      <c r="H318" s="33" t="str">
        <f t="shared" si="1"/>
        <v/>
      </c>
      <c r="I318" s="37"/>
      <c r="J318" s="37"/>
      <c r="K318" s="37"/>
      <c r="L318" s="38"/>
      <c r="M318" s="37"/>
      <c r="N318" s="37"/>
      <c r="O318" s="37"/>
      <c r="P318" s="376"/>
      <c r="Q318" s="15"/>
      <c r="R318" s="16"/>
      <c r="S318" s="16"/>
      <c r="T318" s="16"/>
      <c r="U318" s="16"/>
      <c r="V318" s="37" t="str">
        <f>IFERROR(__xludf.DUMMYFUNCTION("if(not(iserror(index(split(C318, "" ""),2))), index(split(C318, "" ""),1),"""")"),"")</f>
        <v/>
      </c>
      <c r="W318" s="315" t="str">
        <f>IFERROR(__xludf.DUMMYFUNCTION("if(V318="""",C318,if(not(iserror(index(split(C318, "" ""),3))), index(split(C318, "" ""),3),index(split(C318, "" ""),2)))"),"")</f>
        <v/>
      </c>
      <c r="X318" s="38" t="b">
        <f t="shared" si="2"/>
        <v>0</v>
      </c>
      <c r="Y318" s="38"/>
      <c r="Z318" s="40"/>
      <c r="AA318" s="40"/>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row>
    <row r="319">
      <c r="A319" s="37"/>
      <c r="B319" s="322"/>
      <c r="C319" s="144"/>
      <c r="D319" s="144"/>
      <c r="E319" s="37"/>
      <c r="F319" s="37"/>
      <c r="G319" s="37"/>
      <c r="H319" s="33" t="str">
        <f t="shared" si="1"/>
        <v/>
      </c>
      <c r="I319" s="37"/>
      <c r="J319" s="37"/>
      <c r="K319" s="37"/>
      <c r="L319" s="38"/>
      <c r="M319" s="37"/>
      <c r="N319" s="37"/>
      <c r="O319" s="37"/>
      <c r="P319" s="376"/>
      <c r="Q319" s="15"/>
      <c r="R319" s="16"/>
      <c r="S319" s="16"/>
      <c r="T319" s="16"/>
      <c r="U319" s="16"/>
      <c r="V319" s="37" t="str">
        <f>IFERROR(__xludf.DUMMYFUNCTION("if(not(iserror(index(split(C319, "" ""),2))), index(split(C319, "" ""),1),"""")"),"")</f>
        <v/>
      </c>
      <c r="W319" s="315" t="str">
        <f>IFERROR(__xludf.DUMMYFUNCTION("if(V319="""",C319,if(not(iserror(index(split(C319, "" ""),3))), index(split(C319, "" ""),3),index(split(C319, "" ""),2)))"),"")</f>
        <v/>
      </c>
      <c r="X319" s="38" t="b">
        <f t="shared" si="2"/>
        <v>0</v>
      </c>
      <c r="Y319" s="38"/>
      <c r="Z319" s="40"/>
      <c r="AA319" s="40"/>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row>
    <row r="320">
      <c r="A320" s="37"/>
      <c r="B320" s="322"/>
      <c r="C320" s="144"/>
      <c r="D320" s="144"/>
      <c r="E320" s="37"/>
      <c r="F320" s="37"/>
      <c r="G320" s="37"/>
      <c r="H320" s="33" t="str">
        <f t="shared" si="1"/>
        <v/>
      </c>
      <c r="I320" s="37"/>
      <c r="J320" s="37"/>
      <c r="K320" s="37"/>
      <c r="L320" s="38"/>
      <c r="M320" s="37"/>
      <c r="N320" s="37"/>
      <c r="O320" s="37"/>
      <c r="P320" s="376"/>
      <c r="Q320" s="15"/>
      <c r="R320" s="16"/>
      <c r="S320" s="16"/>
      <c r="T320" s="16"/>
      <c r="U320" s="16"/>
      <c r="V320" s="37" t="str">
        <f>IFERROR(__xludf.DUMMYFUNCTION("if(not(iserror(index(split(C320, "" ""),2))), index(split(C320, "" ""),1),"""")"),"")</f>
        <v/>
      </c>
      <c r="W320" s="315" t="str">
        <f>IFERROR(__xludf.DUMMYFUNCTION("if(V320="""",C320,if(not(iserror(index(split(C320, "" ""),3))), index(split(C320, "" ""),3),index(split(C320, "" ""),2)))"),"")</f>
        <v/>
      </c>
      <c r="X320" s="38" t="b">
        <f t="shared" si="2"/>
        <v>0</v>
      </c>
      <c r="Y320" s="38"/>
      <c r="Z320" s="40"/>
      <c r="AA320" s="40"/>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row>
    <row r="321">
      <c r="A321" s="37"/>
      <c r="B321" s="322"/>
      <c r="C321" s="144"/>
      <c r="D321" s="144"/>
      <c r="E321" s="37"/>
      <c r="F321" s="37"/>
      <c r="G321" s="37"/>
      <c r="H321" s="33" t="str">
        <f t="shared" si="1"/>
        <v/>
      </c>
      <c r="I321" s="37"/>
      <c r="J321" s="37"/>
      <c r="K321" s="37"/>
      <c r="L321" s="38"/>
      <c r="M321" s="37"/>
      <c r="N321" s="37"/>
      <c r="O321" s="37"/>
      <c r="P321" s="376"/>
      <c r="Q321" s="15"/>
      <c r="R321" s="16"/>
      <c r="S321" s="16"/>
      <c r="T321" s="16"/>
      <c r="U321" s="16"/>
      <c r="V321" s="37" t="str">
        <f>IFERROR(__xludf.DUMMYFUNCTION("if(not(iserror(index(split(C321, "" ""),2))), index(split(C321, "" ""),1),"""")"),"")</f>
        <v/>
      </c>
      <c r="W321" s="315" t="str">
        <f>IFERROR(__xludf.DUMMYFUNCTION("if(V321="""",C321,if(not(iserror(index(split(C321, "" ""),3))), index(split(C321, "" ""),3),index(split(C321, "" ""),2)))"),"")</f>
        <v/>
      </c>
      <c r="X321" s="38" t="b">
        <f t="shared" si="2"/>
        <v>0</v>
      </c>
      <c r="Y321" s="38"/>
      <c r="Z321" s="40"/>
      <c r="AA321" s="40"/>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row>
    <row r="322">
      <c r="A322" s="37"/>
      <c r="B322" s="322"/>
      <c r="C322" s="144"/>
      <c r="D322" s="144"/>
      <c r="E322" s="37"/>
      <c r="F322" s="37"/>
      <c r="G322" s="37"/>
      <c r="H322" s="33" t="str">
        <f t="shared" si="1"/>
        <v/>
      </c>
      <c r="I322" s="37"/>
      <c r="J322" s="37"/>
      <c r="K322" s="37"/>
      <c r="L322" s="38"/>
      <c r="M322" s="37"/>
      <c r="N322" s="37"/>
      <c r="O322" s="37"/>
      <c r="P322" s="376"/>
      <c r="Q322" s="15"/>
      <c r="R322" s="16"/>
      <c r="S322" s="16"/>
      <c r="T322" s="16"/>
      <c r="U322" s="16"/>
      <c r="V322" s="37" t="str">
        <f>IFERROR(__xludf.DUMMYFUNCTION("if(not(iserror(index(split(C322, "" ""),2))), index(split(C322, "" ""),1),"""")"),"")</f>
        <v/>
      </c>
      <c r="W322" s="315" t="str">
        <f>IFERROR(__xludf.DUMMYFUNCTION("if(V322="""",C322,if(not(iserror(index(split(C322, "" ""),3))), index(split(C322, "" ""),3),index(split(C322, "" ""),2)))"),"")</f>
        <v/>
      </c>
      <c r="X322" s="38" t="b">
        <f t="shared" si="2"/>
        <v>0</v>
      </c>
      <c r="Y322" s="38"/>
      <c r="Z322" s="40"/>
      <c r="AA322" s="40"/>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row>
    <row r="323">
      <c r="A323" s="37"/>
      <c r="B323" s="322"/>
      <c r="C323" s="144"/>
      <c r="D323" s="144"/>
      <c r="E323" s="37"/>
      <c r="F323" s="37"/>
      <c r="G323" s="37"/>
      <c r="H323" s="33" t="str">
        <f t="shared" si="1"/>
        <v/>
      </c>
      <c r="I323" s="37"/>
      <c r="J323" s="37"/>
      <c r="K323" s="37"/>
      <c r="L323" s="38"/>
      <c r="M323" s="37"/>
      <c r="N323" s="37"/>
      <c r="O323" s="37"/>
      <c r="P323" s="376"/>
      <c r="Q323" s="15"/>
      <c r="R323" s="16"/>
      <c r="S323" s="16"/>
      <c r="T323" s="16"/>
      <c r="U323" s="16"/>
      <c r="V323" s="37" t="str">
        <f>IFERROR(__xludf.DUMMYFUNCTION("if(not(iserror(index(split(C323, "" ""),2))), index(split(C323, "" ""),1),"""")"),"")</f>
        <v/>
      </c>
      <c r="W323" s="315" t="str">
        <f>IFERROR(__xludf.DUMMYFUNCTION("if(V323="""",C323,if(not(iserror(index(split(C323, "" ""),3))), index(split(C323, "" ""),3),index(split(C323, "" ""),2)))"),"")</f>
        <v/>
      </c>
      <c r="X323" s="38" t="b">
        <f t="shared" si="2"/>
        <v>0</v>
      </c>
      <c r="Y323" s="38"/>
      <c r="Z323" s="40"/>
      <c r="AA323" s="40"/>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row>
    <row r="324">
      <c r="A324" s="90"/>
      <c r="B324" s="322"/>
      <c r="C324" s="144"/>
      <c r="D324" s="144"/>
      <c r="E324" s="37"/>
      <c r="F324" s="37"/>
      <c r="G324" s="37"/>
      <c r="H324" s="33" t="str">
        <f t="shared" si="1"/>
        <v/>
      </c>
      <c r="I324" s="37"/>
      <c r="J324" s="37"/>
      <c r="K324" s="37"/>
      <c r="L324" s="38"/>
      <c r="M324" s="37"/>
      <c r="N324" s="37"/>
      <c r="O324" s="37"/>
      <c r="P324" s="377"/>
      <c r="Q324" s="15"/>
      <c r="R324" s="16"/>
      <c r="S324" s="16"/>
      <c r="T324" s="16"/>
      <c r="U324" s="16"/>
      <c r="V324" s="37" t="str">
        <f>IFERROR(__xludf.DUMMYFUNCTION("if(not(iserror(index(split(C324, "" ""),2))), index(split(C324, "" ""),1),"""")"),"")</f>
        <v/>
      </c>
      <c r="W324" s="315" t="str">
        <f>IFERROR(__xludf.DUMMYFUNCTION("if(V324="""",C324,if(not(iserror(index(split(C324, "" ""),3))), index(split(C324, "" ""),3),index(split(C324, "" ""),2)))"),"")</f>
        <v/>
      </c>
      <c r="X324" s="38" t="b">
        <f t="shared" si="2"/>
        <v>0</v>
      </c>
      <c r="Y324" s="38"/>
      <c r="Z324" s="40"/>
      <c r="AA324" s="40"/>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row>
    <row r="325">
      <c r="A325" s="90"/>
      <c r="B325" s="322"/>
      <c r="C325" s="144"/>
      <c r="D325" s="144"/>
      <c r="E325" s="37"/>
      <c r="F325" s="37"/>
      <c r="G325" s="37"/>
      <c r="H325" s="33" t="str">
        <f t="shared" si="1"/>
        <v/>
      </c>
      <c r="I325" s="37"/>
      <c r="J325" s="37"/>
      <c r="K325" s="37"/>
      <c r="L325" s="38"/>
      <c r="M325" s="37"/>
      <c r="N325" s="37"/>
      <c r="O325" s="37"/>
      <c r="P325" s="377"/>
      <c r="Q325" s="14"/>
      <c r="R325" s="16"/>
      <c r="S325" s="16"/>
      <c r="T325" s="16"/>
      <c r="U325" s="16"/>
      <c r="V325" s="37" t="str">
        <f>IFERROR(__xludf.DUMMYFUNCTION("if(not(iserror(index(split(C325, "" ""),2))), index(split(C325, "" ""),1),"""")"),"")</f>
        <v/>
      </c>
      <c r="W325" s="315" t="str">
        <f>IFERROR(__xludf.DUMMYFUNCTION("if(V325="""",C325,if(not(iserror(index(split(C325, "" ""),3))), index(split(C325, "" ""),3),index(split(C325, "" ""),2)))"),"")</f>
        <v/>
      </c>
      <c r="X325" s="38" t="b">
        <f t="shared" si="2"/>
        <v>0</v>
      </c>
      <c r="Y325" s="38"/>
      <c r="Z325" s="40"/>
      <c r="AA325" s="40"/>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row>
    <row r="326">
      <c r="A326" s="37"/>
      <c r="B326" s="322"/>
      <c r="C326" s="144"/>
      <c r="D326" s="144"/>
      <c r="E326" s="37"/>
      <c r="F326" s="37"/>
      <c r="G326" s="37"/>
      <c r="H326" s="33" t="str">
        <f t="shared" si="1"/>
        <v/>
      </c>
      <c r="I326" s="37"/>
      <c r="J326" s="37"/>
      <c r="K326" s="37"/>
      <c r="L326" s="38"/>
      <c r="M326" s="37"/>
      <c r="N326" s="37"/>
      <c r="O326" s="37"/>
      <c r="P326" s="376"/>
      <c r="Q326" s="15"/>
      <c r="R326" s="16"/>
      <c r="S326" s="16"/>
      <c r="T326" s="16"/>
      <c r="U326" s="16"/>
      <c r="V326" s="37" t="str">
        <f>IFERROR(__xludf.DUMMYFUNCTION("if(not(iserror(index(split(C326, "" ""),2))), index(split(C326, "" ""),1),"""")"),"")</f>
        <v/>
      </c>
      <c r="W326" s="315" t="str">
        <f>IFERROR(__xludf.DUMMYFUNCTION("if(V326="""",C326,if(not(iserror(index(split(C326, "" ""),3))), index(split(C326, "" ""),3),index(split(C326, "" ""),2)))"),"")</f>
        <v/>
      </c>
      <c r="X326" s="38" t="b">
        <f t="shared" si="2"/>
        <v>0</v>
      </c>
      <c r="Y326" s="38"/>
      <c r="Z326" s="40"/>
      <c r="AA326" s="40"/>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row>
    <row r="327">
      <c r="A327" s="37"/>
      <c r="B327" s="322"/>
      <c r="C327" s="144"/>
      <c r="D327" s="144"/>
      <c r="E327" s="37"/>
      <c r="F327" s="37"/>
      <c r="G327" s="37"/>
      <c r="H327" s="33" t="str">
        <f t="shared" si="1"/>
        <v/>
      </c>
      <c r="I327" s="37"/>
      <c r="J327" s="37"/>
      <c r="K327" s="37"/>
      <c r="L327" s="38"/>
      <c r="M327" s="37"/>
      <c r="N327" s="37"/>
      <c r="O327" s="37"/>
      <c r="P327" s="376"/>
      <c r="Q327" s="15"/>
      <c r="R327" s="16"/>
      <c r="S327" s="16"/>
      <c r="T327" s="16"/>
      <c r="U327" s="16"/>
      <c r="V327" s="37" t="str">
        <f>IFERROR(__xludf.DUMMYFUNCTION("if(not(iserror(index(split(C327, "" ""),2))), index(split(C327, "" ""),1),"""")"),"")</f>
        <v/>
      </c>
      <c r="W327" s="315" t="str">
        <f>IFERROR(__xludf.DUMMYFUNCTION("if(V327="""",C327,if(not(iserror(index(split(C327, "" ""),3))), index(split(C327, "" ""),3),index(split(C327, "" ""),2)))"),"")</f>
        <v/>
      </c>
      <c r="X327" s="38" t="b">
        <f t="shared" si="2"/>
        <v>0</v>
      </c>
      <c r="Y327" s="38"/>
      <c r="Z327" s="40"/>
      <c r="AA327" s="40"/>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row>
    <row r="328">
      <c r="A328" s="37"/>
      <c r="B328" s="322"/>
      <c r="C328" s="144"/>
      <c r="D328" s="144"/>
      <c r="E328" s="37"/>
      <c r="F328" s="37"/>
      <c r="G328" s="37"/>
      <c r="H328" s="33" t="str">
        <f t="shared" si="1"/>
        <v/>
      </c>
      <c r="I328" s="37"/>
      <c r="J328" s="37"/>
      <c r="K328" s="37"/>
      <c r="L328" s="38"/>
      <c r="M328" s="37"/>
      <c r="N328" s="37"/>
      <c r="O328" s="37"/>
      <c r="P328" s="376"/>
      <c r="Q328" s="15"/>
      <c r="R328" s="16"/>
      <c r="S328" s="16"/>
      <c r="T328" s="16"/>
      <c r="U328" s="16"/>
      <c r="V328" s="37" t="str">
        <f>IFERROR(__xludf.DUMMYFUNCTION("if(not(iserror(index(split(C328, "" ""),2))), index(split(C328, "" ""),1),"""")"),"")</f>
        <v/>
      </c>
      <c r="W328" s="315" t="str">
        <f>IFERROR(__xludf.DUMMYFUNCTION("if(V328="""",C328,if(not(iserror(index(split(C328, "" ""),3))), index(split(C328, "" ""),3),index(split(C328, "" ""),2)))"),"")</f>
        <v/>
      </c>
      <c r="X328" s="38" t="b">
        <f t="shared" si="2"/>
        <v>0</v>
      </c>
      <c r="Y328" s="38"/>
      <c r="Z328" s="40"/>
      <c r="AA328" s="40"/>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row>
    <row r="329">
      <c r="A329" s="37"/>
      <c r="B329" s="322"/>
      <c r="C329" s="144"/>
      <c r="D329" s="144"/>
      <c r="E329" s="37"/>
      <c r="F329" s="37"/>
      <c r="G329" s="37"/>
      <c r="H329" s="33" t="str">
        <f t="shared" si="1"/>
        <v/>
      </c>
      <c r="I329" s="37"/>
      <c r="J329" s="37"/>
      <c r="K329" s="37"/>
      <c r="L329" s="38"/>
      <c r="M329" s="37"/>
      <c r="N329" s="37"/>
      <c r="O329" s="37"/>
      <c r="P329" s="376"/>
      <c r="Q329" s="15"/>
      <c r="R329" s="16"/>
      <c r="S329" s="16"/>
      <c r="T329" s="16"/>
      <c r="U329" s="16"/>
      <c r="V329" s="37" t="str">
        <f>IFERROR(__xludf.DUMMYFUNCTION("if(not(iserror(index(split(C329, "" ""),2))), index(split(C329, "" ""),1),"""")"),"")</f>
        <v/>
      </c>
      <c r="W329" s="315" t="str">
        <f>IFERROR(__xludf.DUMMYFUNCTION("if(V329="""",C329,if(not(iserror(index(split(C329, "" ""),3))), index(split(C329, "" ""),3),index(split(C329, "" ""),2)))"),"")</f>
        <v/>
      </c>
      <c r="X329" s="38" t="b">
        <f t="shared" si="2"/>
        <v>0</v>
      </c>
      <c r="Y329" s="38"/>
      <c r="Z329" s="40"/>
      <c r="AA329" s="40"/>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row>
    <row r="330">
      <c r="A330" s="37"/>
      <c r="B330" s="322"/>
      <c r="C330" s="144"/>
      <c r="D330" s="144"/>
      <c r="E330" s="37"/>
      <c r="F330" s="37"/>
      <c r="G330" s="37"/>
      <c r="H330" s="33" t="str">
        <f t="shared" si="1"/>
        <v/>
      </c>
      <c r="I330" s="37"/>
      <c r="J330" s="37"/>
      <c r="K330" s="37"/>
      <c r="L330" s="38"/>
      <c r="M330" s="37"/>
      <c r="N330" s="37"/>
      <c r="O330" s="37"/>
      <c r="P330" s="376"/>
      <c r="Q330" s="15"/>
      <c r="R330" s="16"/>
      <c r="S330" s="16"/>
      <c r="T330" s="16"/>
      <c r="U330" s="16"/>
      <c r="V330" s="37" t="str">
        <f>IFERROR(__xludf.DUMMYFUNCTION("if(not(iserror(index(split(C330, "" ""),2))), index(split(C330, "" ""),1),"""")"),"")</f>
        <v/>
      </c>
      <c r="W330" s="315" t="str">
        <f>IFERROR(__xludf.DUMMYFUNCTION("if(V330="""",C330,if(not(iserror(index(split(C330, "" ""),3))), index(split(C330, "" ""),3),index(split(C330, "" ""),2)))"),"")</f>
        <v/>
      </c>
      <c r="X330" s="38" t="b">
        <f t="shared" si="2"/>
        <v>0</v>
      </c>
      <c r="Y330" s="38"/>
      <c r="Z330" s="40"/>
      <c r="AA330" s="40"/>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row>
    <row r="331">
      <c r="A331" s="37"/>
      <c r="B331" s="322"/>
      <c r="C331" s="144"/>
      <c r="D331" s="144"/>
      <c r="E331" s="37"/>
      <c r="F331" s="37"/>
      <c r="G331" s="37"/>
      <c r="H331" s="33" t="str">
        <f t="shared" si="1"/>
        <v/>
      </c>
      <c r="I331" s="37"/>
      <c r="J331" s="37"/>
      <c r="K331" s="37"/>
      <c r="L331" s="38"/>
      <c r="M331" s="37"/>
      <c r="N331" s="37"/>
      <c r="O331" s="37"/>
      <c r="P331" s="177"/>
      <c r="Q331" s="15"/>
      <c r="R331" s="37"/>
      <c r="S331" s="16"/>
      <c r="T331" s="64"/>
      <c r="U331" s="16"/>
      <c r="V331" s="37" t="str">
        <f>IFERROR(__xludf.DUMMYFUNCTION("if(not(iserror(index(split(C331, "" ""),2))), index(split(C331, "" ""),1),"""")"),"")</f>
        <v/>
      </c>
      <c r="W331" s="315" t="str">
        <f>IFERROR(__xludf.DUMMYFUNCTION("if(V331="""",C331,if(not(iserror(index(split(C331, "" ""),3))), index(split(C331, "" ""),3),index(split(C331, "" ""),2)))"),"")</f>
        <v/>
      </c>
      <c r="X331" s="38" t="b">
        <f t="shared" si="2"/>
        <v>0</v>
      </c>
      <c r="Y331" s="38"/>
      <c r="Z331" s="40"/>
      <c r="AA331" s="40"/>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row>
    <row r="332">
      <c r="A332" s="37"/>
      <c r="B332" s="322"/>
      <c r="C332" s="144"/>
      <c r="D332" s="144"/>
      <c r="E332" s="37"/>
      <c r="F332" s="37"/>
      <c r="G332" s="37"/>
      <c r="H332" s="33" t="str">
        <f t="shared" si="1"/>
        <v/>
      </c>
      <c r="I332" s="37"/>
      <c r="J332" s="37"/>
      <c r="K332" s="37"/>
      <c r="L332" s="38"/>
      <c r="M332" s="37"/>
      <c r="N332" s="37"/>
      <c r="O332" s="37"/>
      <c r="P332" s="177"/>
      <c r="Q332" s="15"/>
      <c r="R332" s="37"/>
      <c r="S332" s="37"/>
      <c r="T332" s="64"/>
      <c r="U332" s="16"/>
      <c r="V332" s="37" t="str">
        <f>IFERROR(__xludf.DUMMYFUNCTION("if(not(iserror(index(split(C332, "" ""),2))), index(split(C332, "" ""),1),"""")"),"")</f>
        <v/>
      </c>
      <c r="W332" s="315" t="str">
        <f>IFERROR(__xludf.DUMMYFUNCTION("if(V332="""",C332,if(not(iserror(index(split(C332, "" ""),3))), index(split(C332, "" ""),3),index(split(C332, "" ""),2)))"),"")</f>
        <v/>
      </c>
      <c r="X332" s="38" t="b">
        <f t="shared" si="2"/>
        <v>0</v>
      </c>
      <c r="Y332" s="38"/>
      <c r="Z332" s="40"/>
      <c r="AA332" s="40"/>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row>
    <row r="333">
      <c r="A333" s="285"/>
      <c r="B333" s="378"/>
      <c r="C333" s="379"/>
      <c r="D333" s="379"/>
      <c r="E333" s="285"/>
      <c r="F333" s="285"/>
      <c r="G333" s="285"/>
      <c r="H333" s="33" t="str">
        <f t="shared" si="1"/>
        <v/>
      </c>
      <c r="I333" s="285"/>
      <c r="J333" s="285"/>
      <c r="K333" s="285"/>
      <c r="L333" s="38"/>
      <c r="M333" s="285"/>
      <c r="N333" s="285"/>
      <c r="O333" s="285"/>
      <c r="P333" s="288"/>
      <c r="Q333" s="102"/>
      <c r="R333" s="37"/>
      <c r="S333" s="37"/>
      <c r="T333" s="64"/>
      <c r="U333" s="16"/>
      <c r="V333" s="37" t="str">
        <f>IFERROR(__xludf.DUMMYFUNCTION("if(not(iserror(index(split(C333, "" ""),2))), index(split(C333, "" ""),1),"""")"),"")</f>
        <v/>
      </c>
      <c r="W333" s="315" t="str">
        <f>IFERROR(__xludf.DUMMYFUNCTION("if(V333="""",C333,if(not(iserror(index(split(C333, "" ""),3))), index(split(C333, "" ""),3),index(split(C333, "" ""),2)))"),"")</f>
        <v/>
      </c>
      <c r="X333" s="38" t="b">
        <f t="shared" si="2"/>
        <v>0</v>
      </c>
      <c r="Y333" s="38"/>
      <c r="Z333" s="40"/>
      <c r="AA333" s="40"/>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row>
    <row r="334">
      <c r="A334" s="37"/>
      <c r="B334" s="322"/>
      <c r="C334" s="144"/>
      <c r="D334" s="144"/>
      <c r="E334" s="37"/>
      <c r="F334" s="37"/>
      <c r="G334" s="37"/>
      <c r="H334" s="33" t="str">
        <f t="shared" si="1"/>
        <v/>
      </c>
      <c r="I334" s="37"/>
      <c r="J334" s="37"/>
      <c r="K334" s="37"/>
      <c r="L334" s="38"/>
      <c r="M334" s="37"/>
      <c r="N334" s="37"/>
      <c r="O334" s="37"/>
      <c r="P334" s="177"/>
      <c r="Q334" s="15"/>
      <c r="R334" s="37"/>
      <c r="S334" s="16"/>
      <c r="T334" s="64"/>
      <c r="U334" s="16"/>
      <c r="V334" s="37" t="str">
        <f>IFERROR(__xludf.DUMMYFUNCTION("if(not(iserror(index(split(C334, "" ""),2))), index(split(C334, "" ""),1),"""")"),"")</f>
        <v/>
      </c>
      <c r="W334" s="315" t="str">
        <f>IFERROR(__xludf.DUMMYFUNCTION("if(V334="""",C334,if(not(iserror(index(split(C334, "" ""),3))), index(split(C334, "" ""),3),index(split(C334, "" ""),2)))"),"")</f>
        <v/>
      </c>
      <c r="X334" s="38" t="b">
        <f t="shared" si="2"/>
        <v>0</v>
      </c>
      <c r="Y334" s="38"/>
      <c r="Z334" s="40"/>
      <c r="AA334" s="40"/>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row>
    <row r="335">
      <c r="A335" s="37"/>
      <c r="B335" s="322"/>
      <c r="C335" s="144"/>
      <c r="D335" s="144"/>
      <c r="E335" s="37"/>
      <c r="F335" s="37"/>
      <c r="G335" s="37"/>
      <c r="H335" s="33" t="str">
        <f t="shared" si="1"/>
        <v/>
      </c>
      <c r="I335" s="37"/>
      <c r="J335" s="37"/>
      <c r="K335" s="37"/>
      <c r="L335" s="38"/>
      <c r="M335" s="37"/>
      <c r="N335" s="37"/>
      <c r="O335" s="37"/>
      <c r="P335" s="177"/>
      <c r="Q335" s="15"/>
      <c r="R335" s="37"/>
      <c r="S335" s="37"/>
      <c r="T335" s="64"/>
      <c r="U335" s="16"/>
      <c r="V335" s="37" t="str">
        <f>IFERROR(__xludf.DUMMYFUNCTION("if(not(iserror(index(split(C335, "" ""),2))), index(split(C335, "" ""),1),"""")"),"")</f>
        <v/>
      </c>
      <c r="W335" s="315" t="str">
        <f>IFERROR(__xludf.DUMMYFUNCTION("if(V335="""",C335,if(not(iserror(index(split(C335, "" ""),3))), index(split(C335, "" ""),3),index(split(C335, "" ""),2)))"),"")</f>
        <v/>
      </c>
      <c r="X335" s="38" t="b">
        <f t="shared" si="2"/>
        <v>0</v>
      </c>
      <c r="Y335" s="38"/>
      <c r="Z335" s="40"/>
      <c r="AA335" s="40"/>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row>
    <row r="336">
      <c r="A336" s="37"/>
      <c r="B336" s="322"/>
      <c r="C336" s="144"/>
      <c r="D336" s="144"/>
      <c r="E336" s="37"/>
      <c r="F336" s="37"/>
      <c r="G336" s="37"/>
      <c r="H336" s="33" t="str">
        <f t="shared" si="1"/>
        <v/>
      </c>
      <c r="I336" s="37"/>
      <c r="J336" s="37"/>
      <c r="K336" s="37"/>
      <c r="L336" s="38"/>
      <c r="M336" s="37"/>
      <c r="N336" s="37"/>
      <c r="O336" s="37"/>
      <c r="P336" s="177"/>
      <c r="Q336" s="15"/>
      <c r="R336" s="37"/>
      <c r="S336" s="37"/>
      <c r="T336" s="64"/>
      <c r="U336" s="16"/>
      <c r="V336" s="37" t="str">
        <f>IFERROR(__xludf.DUMMYFUNCTION("if(not(iserror(index(split(C336, "" ""),2))), index(split(C336, "" ""),1),"""")"),"")</f>
        <v/>
      </c>
      <c r="W336" s="315" t="str">
        <f>IFERROR(__xludf.DUMMYFUNCTION("if(V336="""",C336,if(not(iserror(index(split(C336, "" ""),3))), index(split(C336, "" ""),3),index(split(C336, "" ""),2)))"),"")</f>
        <v/>
      </c>
      <c r="X336" s="38" t="b">
        <f t="shared" si="2"/>
        <v>0</v>
      </c>
      <c r="Y336" s="38"/>
      <c r="Z336" s="40"/>
      <c r="AA336" s="40"/>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row>
    <row r="337">
      <c r="A337" s="37"/>
      <c r="B337" s="322"/>
      <c r="C337" s="144"/>
      <c r="D337" s="144"/>
      <c r="E337" s="37"/>
      <c r="F337" s="37"/>
      <c r="G337" s="37"/>
      <c r="H337" s="33" t="str">
        <f t="shared" si="1"/>
        <v/>
      </c>
      <c r="I337" s="37"/>
      <c r="J337" s="37"/>
      <c r="K337" s="37"/>
      <c r="L337" s="38"/>
      <c r="M337" s="37"/>
      <c r="N337" s="37"/>
      <c r="O337" s="37"/>
      <c r="P337" s="177"/>
      <c r="Q337" s="15"/>
      <c r="R337" s="37"/>
      <c r="S337" s="37"/>
      <c r="T337" s="64"/>
      <c r="U337" s="16"/>
      <c r="V337" s="37" t="str">
        <f>IFERROR(__xludf.DUMMYFUNCTION("if(not(iserror(index(split(C337, "" ""),2))), index(split(C337, "" ""),1),"""")"),"")</f>
        <v/>
      </c>
      <c r="W337" s="315" t="str">
        <f>IFERROR(__xludf.DUMMYFUNCTION("if(V337="""",C337,if(not(iserror(index(split(C337, "" ""),3))), index(split(C337, "" ""),3),index(split(C337, "" ""),2)))"),"")</f>
        <v/>
      </c>
      <c r="X337" s="38" t="b">
        <f t="shared" si="2"/>
        <v>0</v>
      </c>
      <c r="Y337" s="38"/>
      <c r="Z337" s="40"/>
      <c r="AA337" s="40"/>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row>
    <row r="338">
      <c r="A338" s="37"/>
      <c r="B338" s="322"/>
      <c r="C338" s="144"/>
      <c r="D338" s="144"/>
      <c r="E338" s="37"/>
      <c r="F338" s="37"/>
      <c r="G338" s="37"/>
      <c r="H338" s="33" t="str">
        <f t="shared" si="1"/>
        <v/>
      </c>
      <c r="I338" s="37"/>
      <c r="J338" s="37"/>
      <c r="K338" s="37"/>
      <c r="L338" s="38"/>
      <c r="M338" s="37"/>
      <c r="N338" s="37"/>
      <c r="O338" s="37"/>
      <c r="P338" s="177"/>
      <c r="Q338" s="14"/>
      <c r="R338" s="16"/>
      <c r="S338" s="16"/>
      <c r="T338" s="16"/>
      <c r="U338" s="16"/>
      <c r="V338" s="37" t="str">
        <f>IFERROR(__xludf.DUMMYFUNCTION("if(not(iserror(index(split(C338, "" ""),2))), index(split(C338, "" ""),1),"""")"),"")</f>
        <v/>
      </c>
      <c r="W338" s="315" t="str">
        <f>IFERROR(__xludf.DUMMYFUNCTION("if(V338="""",C338,if(not(iserror(index(split(C338, "" ""),3))), index(split(C338, "" ""),3),index(split(C338, "" ""),2)))"),"")</f>
        <v/>
      </c>
      <c r="X338" s="38" t="b">
        <f t="shared" si="2"/>
        <v>0</v>
      </c>
      <c r="Y338" s="38"/>
      <c r="Z338" s="40"/>
      <c r="AA338" s="40"/>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row>
    <row r="339">
      <c r="A339" s="37"/>
      <c r="B339" s="322"/>
      <c r="C339" s="144"/>
      <c r="D339" s="144"/>
      <c r="E339" s="37"/>
      <c r="F339" s="37"/>
      <c r="G339" s="37"/>
      <c r="H339" s="33" t="str">
        <f t="shared" si="1"/>
        <v/>
      </c>
      <c r="I339" s="37"/>
      <c r="J339" s="37"/>
      <c r="K339" s="37"/>
      <c r="L339" s="38"/>
      <c r="M339" s="37"/>
      <c r="N339" s="37"/>
      <c r="O339" s="37"/>
      <c r="P339" s="177"/>
      <c r="Q339" s="15"/>
      <c r="R339" s="16"/>
      <c r="S339" s="16"/>
      <c r="T339" s="16"/>
      <c r="U339" s="16"/>
      <c r="V339" s="37" t="str">
        <f>IFERROR(__xludf.DUMMYFUNCTION("if(not(iserror(index(split(C339, "" ""),2))), index(split(C339, "" ""),1),"""")"),"")</f>
        <v/>
      </c>
      <c r="W339" s="315" t="str">
        <f>IFERROR(__xludf.DUMMYFUNCTION("if(V339="""",C339,if(not(iserror(index(split(C339, "" ""),3))), index(split(C339, "" ""),3),index(split(C339, "" ""),2)))"),"")</f>
        <v/>
      </c>
      <c r="X339" s="38" t="b">
        <f t="shared" si="2"/>
        <v>0</v>
      </c>
      <c r="Y339" s="38"/>
      <c r="Z339" s="40"/>
      <c r="AA339" s="40"/>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row>
    <row r="340">
      <c r="A340" s="37"/>
      <c r="B340" s="322"/>
      <c r="C340" s="144"/>
      <c r="D340" s="144"/>
      <c r="E340" s="37"/>
      <c r="F340" s="37"/>
      <c r="G340" s="37"/>
      <c r="H340" s="33" t="str">
        <f t="shared" si="1"/>
        <v/>
      </c>
      <c r="I340" s="37"/>
      <c r="J340" s="37"/>
      <c r="K340" s="37"/>
      <c r="L340" s="38"/>
      <c r="M340" s="58"/>
      <c r="N340" s="58"/>
      <c r="O340" s="58"/>
      <c r="P340" s="177"/>
      <c r="Q340" s="15"/>
      <c r="R340" s="37"/>
      <c r="S340" s="37"/>
      <c r="T340" s="64"/>
      <c r="U340" s="16"/>
      <c r="V340" s="37" t="str">
        <f>IFERROR(__xludf.DUMMYFUNCTION("if(not(iserror(index(split(C340, "" ""),2))), index(split(C340, "" ""),1),"""")"),"")</f>
        <v/>
      </c>
      <c r="W340" s="315" t="str">
        <f>IFERROR(__xludf.DUMMYFUNCTION("if(V340="""",C340,if(not(iserror(index(split(C340, "" ""),3))), index(split(C340, "" ""),3),index(split(C340, "" ""),2)))"),"")</f>
        <v/>
      </c>
      <c r="X340" s="38" t="b">
        <f t="shared" si="2"/>
        <v>0</v>
      </c>
      <c r="Y340" s="38"/>
      <c r="Z340" s="40"/>
      <c r="AA340" s="40"/>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row>
    <row r="341">
      <c r="A341" s="37"/>
      <c r="B341" s="322"/>
      <c r="C341" s="144"/>
      <c r="D341" s="144"/>
      <c r="E341" s="37"/>
      <c r="F341" s="37"/>
      <c r="G341" s="37"/>
      <c r="H341" s="33" t="str">
        <f t="shared" si="1"/>
        <v/>
      </c>
      <c r="I341" s="37"/>
      <c r="J341" s="37"/>
      <c r="K341" s="37"/>
      <c r="L341" s="38"/>
      <c r="M341" s="58"/>
      <c r="N341" s="58"/>
      <c r="O341" s="58"/>
      <c r="P341" s="177"/>
      <c r="Q341" s="15"/>
      <c r="R341" s="37"/>
      <c r="S341" s="37"/>
      <c r="T341" s="64"/>
      <c r="U341" s="16"/>
      <c r="V341" s="37" t="str">
        <f>IFERROR(__xludf.DUMMYFUNCTION("if(not(iserror(index(split(C341, "" ""),2))), index(split(C341, "" ""),1),"""")"),"")</f>
        <v/>
      </c>
      <c r="W341" s="315" t="str">
        <f>IFERROR(__xludf.DUMMYFUNCTION("if(V341="""",C341,if(not(iserror(index(split(C341, "" ""),3))), index(split(C341, "" ""),3),index(split(C341, "" ""),2)))"),"")</f>
        <v/>
      </c>
      <c r="X341" s="38" t="b">
        <f t="shared" si="2"/>
        <v>0</v>
      </c>
      <c r="Y341" s="38"/>
      <c r="Z341" s="40"/>
      <c r="AA341" s="40"/>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row>
    <row r="342">
      <c r="A342" s="37"/>
      <c r="B342" s="322"/>
      <c r="C342" s="144"/>
      <c r="D342" s="144"/>
      <c r="E342" s="37"/>
      <c r="F342" s="37"/>
      <c r="G342" s="37"/>
      <c r="H342" s="33" t="str">
        <f t="shared" si="1"/>
        <v/>
      </c>
      <c r="I342" s="37"/>
      <c r="J342" s="37"/>
      <c r="K342" s="37"/>
      <c r="L342" s="38"/>
      <c r="M342" s="58"/>
      <c r="N342" s="58"/>
      <c r="O342" s="58"/>
      <c r="P342" s="177"/>
      <c r="Q342" s="15"/>
      <c r="R342" s="37"/>
      <c r="S342" s="37"/>
      <c r="T342" s="64"/>
      <c r="U342" s="16"/>
      <c r="V342" s="37" t="str">
        <f>IFERROR(__xludf.DUMMYFUNCTION("if(not(iserror(index(split(C342, "" ""),2))), index(split(C342, "" ""),1),"""")"),"")</f>
        <v/>
      </c>
      <c r="W342" s="315" t="str">
        <f>IFERROR(__xludf.DUMMYFUNCTION("if(V342="""",C342,if(not(iserror(index(split(C342, "" ""),3))), index(split(C342, "" ""),3),index(split(C342, "" ""),2)))"),"")</f>
        <v/>
      </c>
      <c r="X342" s="38" t="b">
        <f t="shared" si="2"/>
        <v>0</v>
      </c>
      <c r="Y342" s="38"/>
      <c r="Z342" s="40"/>
      <c r="AA342" s="40"/>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row>
    <row r="343">
      <c r="A343" s="91"/>
      <c r="B343" s="380"/>
      <c r="C343" s="146"/>
      <c r="D343" s="146"/>
      <c r="E343" s="91"/>
      <c r="F343" s="91"/>
      <c r="G343" s="91"/>
      <c r="H343" s="33" t="str">
        <f t="shared" si="1"/>
        <v/>
      </c>
      <c r="I343" s="91"/>
      <c r="J343" s="91"/>
      <c r="K343" s="91"/>
      <c r="L343" s="38"/>
      <c r="M343" s="91"/>
      <c r="N343" s="91"/>
      <c r="O343" s="91"/>
      <c r="P343" s="14"/>
      <c r="Q343" s="95"/>
      <c r="T343" s="37"/>
      <c r="U343" s="16"/>
      <c r="V343" s="37" t="str">
        <f>IFERROR(__xludf.DUMMYFUNCTION("if(not(iserror(index(split(C343, "" ""),2))), index(split(C343, "" ""),1),"""")"),"")</f>
        <v/>
      </c>
      <c r="W343" s="315" t="str">
        <f>IFERROR(__xludf.DUMMYFUNCTION("if(V343="""",C343,if(not(iserror(index(split(C343, "" ""),3))), index(split(C343, "" ""),3),index(split(C343, "" ""),2)))"),"")</f>
        <v/>
      </c>
      <c r="X343" s="38" t="b">
        <f t="shared" si="2"/>
        <v>0</v>
      </c>
      <c r="Y343" s="38"/>
      <c r="Z343" s="40"/>
      <c r="AA343" s="40"/>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row>
    <row r="344">
      <c r="A344" s="37"/>
      <c r="B344" s="322"/>
      <c r="C344" s="144"/>
      <c r="D344" s="144"/>
      <c r="E344" s="37"/>
      <c r="F344" s="37"/>
      <c r="G344" s="37"/>
      <c r="H344" s="33" t="str">
        <f t="shared" si="1"/>
        <v/>
      </c>
      <c r="I344" s="37"/>
      <c r="J344" s="37"/>
      <c r="K344" s="37"/>
      <c r="L344" s="38"/>
      <c r="M344" s="37"/>
      <c r="N344" s="37"/>
      <c r="O344" s="37"/>
      <c r="P344" s="177"/>
      <c r="Q344" s="14"/>
      <c r="R344" s="37"/>
      <c r="S344" s="37"/>
      <c r="T344" s="64"/>
      <c r="U344" s="16"/>
      <c r="V344" s="37" t="str">
        <f>IFERROR(__xludf.DUMMYFUNCTION("if(not(iserror(index(split(C344, "" ""),2))), index(split(C344, "" ""),1),"""")"),"")</f>
        <v/>
      </c>
      <c r="W344" s="315" t="str">
        <f>IFERROR(__xludf.DUMMYFUNCTION("if(V344="""",C344,if(not(iserror(index(split(C344, "" ""),3))), index(split(C344, "" ""),3),index(split(C344, "" ""),2)))"),"")</f>
        <v/>
      </c>
      <c r="X344" s="38" t="b">
        <f t="shared" si="2"/>
        <v>0</v>
      </c>
      <c r="Y344" s="38"/>
      <c r="Z344" s="40"/>
      <c r="AA344" s="40"/>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row>
    <row r="345">
      <c r="A345" s="285"/>
      <c r="B345" s="378"/>
      <c r="C345" s="379"/>
      <c r="D345" s="379"/>
      <c r="E345" s="285"/>
      <c r="F345" s="285"/>
      <c r="G345" s="285"/>
      <c r="H345" s="33" t="str">
        <f t="shared" si="1"/>
        <v/>
      </c>
      <c r="I345" s="285"/>
      <c r="J345" s="285"/>
      <c r="K345" s="285"/>
      <c r="L345" s="38"/>
      <c r="M345" s="285"/>
      <c r="N345" s="285"/>
      <c r="O345" s="285"/>
      <c r="P345" s="288"/>
      <c r="Q345" s="15"/>
      <c r="R345" s="37"/>
      <c r="S345" s="37"/>
      <c r="T345" s="64"/>
      <c r="U345" s="16"/>
      <c r="V345" s="37" t="str">
        <f>IFERROR(__xludf.DUMMYFUNCTION("if(not(iserror(index(split(C345, "" ""),2))), index(split(C345, "" ""),1),"""")"),"")</f>
        <v/>
      </c>
      <c r="W345" s="315" t="str">
        <f>IFERROR(__xludf.DUMMYFUNCTION("if(V345="""",C345,if(not(iserror(index(split(C345, "" ""),3))), index(split(C345, "" ""),3),index(split(C345, "" ""),2)))"),"")</f>
        <v/>
      </c>
      <c r="X345" s="38" t="b">
        <f t="shared" si="2"/>
        <v>0</v>
      </c>
      <c r="Y345" s="38"/>
      <c r="Z345" s="40"/>
      <c r="AA345" s="40"/>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row>
    <row r="346">
      <c r="A346" s="37"/>
      <c r="B346" s="322"/>
      <c r="C346" s="144"/>
      <c r="D346" s="144"/>
      <c r="E346" s="37"/>
      <c r="F346" s="37"/>
      <c r="G346" s="37"/>
      <c r="H346" s="33" t="str">
        <f t="shared" si="1"/>
        <v/>
      </c>
      <c r="I346" s="37"/>
      <c r="J346" s="37"/>
      <c r="K346" s="37"/>
      <c r="L346" s="38"/>
      <c r="M346" s="37"/>
      <c r="N346" s="37"/>
      <c r="O346" s="37"/>
      <c r="P346" s="177"/>
      <c r="Q346" s="15"/>
      <c r="R346" s="37"/>
      <c r="S346" s="16"/>
      <c r="T346" s="64"/>
      <c r="U346" s="16"/>
      <c r="V346" s="37" t="str">
        <f>IFERROR(__xludf.DUMMYFUNCTION("if(not(iserror(index(split(C346, "" ""),2))), index(split(C346, "" ""),1),"""")"),"")</f>
        <v/>
      </c>
      <c r="W346" s="315" t="str">
        <f>IFERROR(__xludf.DUMMYFUNCTION("if(V346="""",C346,if(not(iserror(index(split(C346, "" ""),3))), index(split(C346, "" ""),3),index(split(C346, "" ""),2)))"),"")</f>
        <v/>
      </c>
      <c r="X346" s="38" t="b">
        <f t="shared" si="2"/>
        <v>0</v>
      </c>
      <c r="Y346" s="38"/>
      <c r="Z346" s="40"/>
      <c r="AA346" s="40"/>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row>
    <row r="347">
      <c r="A347" s="37"/>
      <c r="B347" s="322"/>
      <c r="C347" s="144"/>
      <c r="D347" s="144"/>
      <c r="E347" s="37"/>
      <c r="F347" s="37"/>
      <c r="G347" s="37"/>
      <c r="H347" s="33" t="str">
        <f t="shared" si="1"/>
        <v/>
      </c>
      <c r="I347" s="37"/>
      <c r="J347" s="37"/>
      <c r="K347" s="37"/>
      <c r="L347" s="38"/>
      <c r="M347" s="37"/>
      <c r="N347" s="37"/>
      <c r="O347" s="37"/>
      <c r="P347" s="177"/>
      <c r="Q347" s="15"/>
      <c r="R347" s="37"/>
      <c r="S347" s="16"/>
      <c r="T347" s="64"/>
      <c r="U347" s="16"/>
      <c r="V347" s="37" t="str">
        <f>IFERROR(__xludf.DUMMYFUNCTION("if(not(iserror(index(split(C347, "" ""),2))), index(split(C347, "" ""),1),"""")"),"")</f>
        <v/>
      </c>
      <c r="W347" s="315" t="str">
        <f>IFERROR(__xludf.DUMMYFUNCTION("if(V347="""",C347,if(not(iserror(index(split(C347, "" ""),3))), index(split(C347, "" ""),3),index(split(C347, "" ""),2)))"),"")</f>
        <v/>
      </c>
      <c r="X347" s="38" t="b">
        <f t="shared" si="2"/>
        <v>0</v>
      </c>
      <c r="Y347" s="38"/>
      <c r="Z347" s="40"/>
      <c r="AA347" s="40"/>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row>
    <row r="348">
      <c r="A348" s="37"/>
      <c r="B348" s="322"/>
      <c r="C348" s="144"/>
      <c r="D348" s="379"/>
      <c r="E348" s="37"/>
      <c r="F348" s="37"/>
      <c r="G348" s="37"/>
      <c r="H348" s="33" t="str">
        <f t="shared" si="1"/>
        <v/>
      </c>
      <c r="I348" s="37"/>
      <c r="J348" s="37"/>
      <c r="K348" s="37"/>
      <c r="L348" s="38"/>
      <c r="M348" s="37"/>
      <c r="N348" s="37"/>
      <c r="O348" s="37"/>
      <c r="P348" s="177"/>
      <c r="Q348" s="15"/>
      <c r="R348" s="16"/>
      <c r="S348" s="16"/>
      <c r="T348" s="16"/>
      <c r="U348" s="16"/>
      <c r="V348" s="37" t="str">
        <f>IFERROR(__xludf.DUMMYFUNCTION("if(not(iserror(index(split(C348, "" ""),2))), index(split(C348, "" ""),1),"""")"),"")</f>
        <v/>
      </c>
      <c r="W348" s="315" t="str">
        <f>IFERROR(__xludf.DUMMYFUNCTION("if(V348="""",C348,if(not(iserror(index(split(C348, "" ""),3))), index(split(C348, "" ""),3),index(split(C348, "" ""),2)))"),"")</f>
        <v/>
      </c>
      <c r="X348" s="38" t="b">
        <f t="shared" si="2"/>
        <v>0</v>
      </c>
      <c r="Y348" s="38"/>
      <c r="Z348" s="40"/>
      <c r="AA348" s="40"/>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row>
    <row r="349">
      <c r="A349" s="37"/>
      <c r="B349" s="322"/>
      <c r="C349" s="144"/>
      <c r="D349" s="144"/>
      <c r="E349" s="37"/>
      <c r="F349" s="37"/>
      <c r="G349" s="37"/>
      <c r="H349" s="33" t="str">
        <f t="shared" si="1"/>
        <v/>
      </c>
      <c r="I349" s="37"/>
      <c r="J349" s="37"/>
      <c r="K349" s="37"/>
      <c r="L349" s="38"/>
      <c r="M349" s="37"/>
      <c r="N349" s="37"/>
      <c r="O349" s="37"/>
      <c r="P349" s="374"/>
      <c r="Q349" s="15"/>
      <c r="R349" s="16"/>
      <c r="S349" s="16"/>
      <c r="T349" s="16"/>
      <c r="U349" s="16"/>
      <c r="V349" s="37" t="str">
        <f>IFERROR(__xludf.DUMMYFUNCTION("if(not(iserror(index(split(C349, "" ""),2))), index(split(C349, "" ""),1),"""")"),"")</f>
        <v/>
      </c>
      <c r="W349" s="315" t="str">
        <f>IFERROR(__xludf.DUMMYFUNCTION("if(V349="""",C349,if(not(iserror(index(split(C349, "" ""),3))), index(split(C349, "" ""),3),index(split(C349, "" ""),2)))"),"")</f>
        <v/>
      </c>
      <c r="X349" s="38" t="b">
        <f t="shared" si="2"/>
        <v>0</v>
      </c>
      <c r="Y349" s="38"/>
      <c r="Z349" s="40"/>
      <c r="AA349" s="40"/>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row>
    <row r="350">
      <c r="A350" s="37"/>
      <c r="B350" s="159"/>
      <c r="C350" s="144"/>
      <c r="D350" s="144"/>
      <c r="E350" s="37"/>
      <c r="F350" s="37"/>
      <c r="G350" s="37"/>
      <c r="H350" s="33" t="str">
        <f t="shared" si="1"/>
        <v/>
      </c>
      <c r="I350" s="37"/>
      <c r="J350" s="37"/>
      <c r="K350" s="37"/>
      <c r="L350" s="38"/>
      <c r="M350" s="37"/>
      <c r="N350" s="37"/>
      <c r="O350" s="37"/>
      <c r="P350" s="374"/>
      <c r="Q350" s="15"/>
      <c r="R350" s="16"/>
      <c r="S350" s="16"/>
      <c r="T350" s="16"/>
      <c r="U350" s="16"/>
      <c r="V350" s="37" t="str">
        <f>IFERROR(__xludf.DUMMYFUNCTION("if(not(iserror(index(split(C350, "" ""),2))), index(split(C350, "" ""),1),"""")"),"")</f>
        <v/>
      </c>
      <c r="W350" s="315" t="str">
        <f>IFERROR(__xludf.DUMMYFUNCTION("if(V350="""",C350,if(not(iserror(index(split(C350, "" ""),3))), index(split(C350, "" ""),3),index(split(C350, "" ""),2)))"),"")</f>
        <v/>
      </c>
      <c r="X350" s="38" t="b">
        <f t="shared" si="2"/>
        <v>0</v>
      </c>
      <c r="Y350" s="38"/>
      <c r="Z350" s="40"/>
      <c r="AA350" s="40"/>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row>
    <row r="351">
      <c r="A351" s="37"/>
      <c r="B351" s="322"/>
      <c r="C351" s="144"/>
      <c r="D351" s="144"/>
      <c r="E351" s="37"/>
      <c r="F351" s="37"/>
      <c r="G351" s="37"/>
      <c r="H351" s="33" t="str">
        <f t="shared" si="1"/>
        <v/>
      </c>
      <c r="I351" s="37"/>
      <c r="J351" s="37"/>
      <c r="K351" s="37"/>
      <c r="L351" s="38"/>
      <c r="M351" s="37"/>
      <c r="N351" s="37"/>
      <c r="O351" s="37"/>
      <c r="P351" s="374"/>
      <c r="Q351" s="15"/>
      <c r="R351" s="16"/>
      <c r="S351" s="16"/>
      <c r="T351" s="16"/>
      <c r="U351" s="16"/>
      <c r="V351" s="37" t="str">
        <f>IFERROR(__xludf.DUMMYFUNCTION("if(not(iserror(index(split(C351, "" ""),2))), index(split(C351, "" ""),1),"""")"),"")</f>
        <v/>
      </c>
      <c r="W351" s="315" t="str">
        <f>IFERROR(__xludf.DUMMYFUNCTION("if(V351="""",C351,if(not(iserror(index(split(C351, "" ""),3))), index(split(C351, "" ""),3),index(split(C351, "" ""),2)))"),"")</f>
        <v/>
      </c>
      <c r="X351" s="38" t="b">
        <f t="shared" si="2"/>
        <v>0</v>
      </c>
      <c r="Y351" s="38"/>
      <c r="Z351" s="40"/>
      <c r="AA351" s="40"/>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row>
    <row r="352">
      <c r="A352" s="37"/>
      <c r="B352" s="322"/>
      <c r="C352" s="144"/>
      <c r="D352" s="144"/>
      <c r="E352" s="37"/>
      <c r="F352" s="37"/>
      <c r="G352" s="37"/>
      <c r="H352" s="33" t="str">
        <f t="shared" si="1"/>
        <v/>
      </c>
      <c r="I352" s="37"/>
      <c r="J352" s="37"/>
      <c r="K352" s="37"/>
      <c r="L352" s="38"/>
      <c r="M352" s="37"/>
      <c r="N352" s="37"/>
      <c r="O352" s="37"/>
      <c r="P352" s="374"/>
      <c r="Q352" s="15"/>
      <c r="R352" s="16"/>
      <c r="S352" s="16"/>
      <c r="T352" s="16"/>
      <c r="U352" s="16"/>
      <c r="V352" s="37" t="str">
        <f>IFERROR(__xludf.DUMMYFUNCTION("if(not(iserror(index(split(C352, "" ""),2))), index(split(C352, "" ""),1),"""")"),"")</f>
        <v/>
      </c>
      <c r="W352" s="315" t="str">
        <f>IFERROR(__xludf.DUMMYFUNCTION("if(V352="""",C352,if(not(iserror(index(split(C352, "" ""),3))), index(split(C352, "" ""),3),index(split(C352, "" ""),2)))"),"")</f>
        <v/>
      </c>
      <c r="X352" s="38" t="b">
        <f t="shared" si="2"/>
        <v>0</v>
      </c>
      <c r="Y352" s="38"/>
      <c r="Z352" s="40"/>
      <c r="AA352" s="40"/>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row>
    <row r="353">
      <c r="A353" s="37"/>
      <c r="B353" s="322"/>
      <c r="C353" s="144"/>
      <c r="D353" s="144"/>
      <c r="E353" s="37"/>
      <c r="F353" s="37"/>
      <c r="G353" s="37"/>
      <c r="H353" s="33" t="str">
        <f t="shared" si="1"/>
        <v/>
      </c>
      <c r="I353" s="37"/>
      <c r="J353" s="37"/>
      <c r="K353" s="37"/>
      <c r="L353" s="38"/>
      <c r="M353" s="37"/>
      <c r="N353" s="37"/>
      <c r="O353" s="37"/>
      <c r="P353" s="374"/>
      <c r="Q353" s="15"/>
      <c r="R353" s="37"/>
      <c r="S353" s="16"/>
      <c r="T353" s="64"/>
      <c r="U353" s="16"/>
      <c r="V353" s="37" t="str">
        <f>IFERROR(__xludf.DUMMYFUNCTION("if(not(iserror(index(split(C353, "" ""),2))), index(split(C353, "" ""),1),"""")"),"")</f>
        <v/>
      </c>
      <c r="W353" s="315" t="str">
        <f>IFERROR(__xludf.DUMMYFUNCTION("if(V353="""",C353,if(not(iserror(index(split(C353, "" ""),3))), index(split(C353, "" ""),3),index(split(C353, "" ""),2)))"),"")</f>
        <v/>
      </c>
      <c r="X353" s="38" t="b">
        <f t="shared" si="2"/>
        <v>0</v>
      </c>
      <c r="Y353" s="38"/>
      <c r="Z353" s="40"/>
      <c r="AA353" s="40"/>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row>
    <row r="354">
      <c r="A354" s="90"/>
      <c r="B354" s="322"/>
      <c r="C354" s="144"/>
      <c r="D354" s="144"/>
      <c r="E354" s="37"/>
      <c r="F354" s="37"/>
      <c r="G354" s="37"/>
      <c r="H354" s="33" t="str">
        <f t="shared" si="1"/>
        <v/>
      </c>
      <c r="I354" s="37"/>
      <c r="J354" s="37"/>
      <c r="K354" s="37"/>
      <c r="L354" s="38"/>
      <c r="M354" s="37"/>
      <c r="N354" s="37"/>
      <c r="O354" s="37"/>
      <c r="P354" s="374"/>
      <c r="Q354" s="15"/>
      <c r="R354" s="37"/>
      <c r="S354" s="16"/>
      <c r="T354" s="64"/>
      <c r="U354" s="16"/>
      <c r="V354" s="37" t="str">
        <f>IFERROR(__xludf.DUMMYFUNCTION("if(not(iserror(index(split(C354, "" ""),2))), index(split(C354, "" ""),1),"""")"),"")</f>
        <v/>
      </c>
      <c r="W354" s="315" t="str">
        <f>IFERROR(__xludf.DUMMYFUNCTION("if(V354="""",C354,if(not(iserror(index(split(C354, "" ""),3))), index(split(C354, "" ""),3),index(split(C354, "" ""),2)))"),"")</f>
        <v/>
      </c>
      <c r="X354" s="38" t="b">
        <f t="shared" si="2"/>
        <v>0</v>
      </c>
      <c r="Y354" s="38"/>
      <c r="Z354" s="40"/>
      <c r="AA354" s="40"/>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row>
    <row r="355">
      <c r="A355" s="90"/>
      <c r="B355" s="322"/>
      <c r="C355" s="144"/>
      <c r="D355" s="144"/>
      <c r="E355" s="37"/>
      <c r="F355" s="37"/>
      <c r="G355" s="37"/>
      <c r="H355" s="33" t="str">
        <f t="shared" si="1"/>
        <v/>
      </c>
      <c r="I355" s="37"/>
      <c r="J355" s="37"/>
      <c r="K355" s="37"/>
      <c r="L355" s="38"/>
      <c r="M355" s="37"/>
      <c r="N355" s="37"/>
      <c r="O355" s="37"/>
      <c r="P355" s="374"/>
      <c r="Q355" s="15"/>
      <c r="R355" s="37"/>
      <c r="S355" s="16"/>
      <c r="T355" s="64"/>
      <c r="U355" s="16"/>
      <c r="V355" s="37" t="str">
        <f>IFERROR(__xludf.DUMMYFUNCTION("if(not(iserror(index(split(C355, "" ""),2))), index(split(C355, "" ""),1),"""")"),"")</f>
        <v/>
      </c>
      <c r="W355" s="315" t="str">
        <f>IFERROR(__xludf.DUMMYFUNCTION("if(V355="""",C355,if(not(iserror(index(split(C355, "" ""),3))), index(split(C355, "" ""),3),index(split(C355, "" ""),2)))"),"")</f>
        <v/>
      </c>
      <c r="X355" s="38" t="b">
        <f t="shared" si="2"/>
        <v>0</v>
      </c>
      <c r="Y355" s="38"/>
      <c r="Z355" s="40"/>
      <c r="AA355" s="40"/>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row>
    <row r="356">
      <c r="A356" s="37"/>
      <c r="B356" s="322"/>
      <c r="C356" s="144"/>
      <c r="D356" s="144"/>
      <c r="E356" s="37"/>
      <c r="F356" s="37"/>
      <c r="G356" s="37"/>
      <c r="H356" s="33" t="str">
        <f t="shared" si="1"/>
        <v/>
      </c>
      <c r="I356" s="37"/>
      <c r="J356" s="37"/>
      <c r="K356" s="37"/>
      <c r="L356" s="38"/>
      <c r="M356" s="37"/>
      <c r="N356" s="37"/>
      <c r="O356" s="37"/>
      <c r="P356" s="374"/>
      <c r="Q356" s="15"/>
      <c r="R356" s="37"/>
      <c r="S356" s="16"/>
      <c r="T356" s="64"/>
      <c r="U356" s="16"/>
      <c r="V356" s="37" t="str">
        <f>IFERROR(__xludf.DUMMYFUNCTION("if(not(iserror(index(split(C356, "" ""),2))), index(split(C356, "" ""),1),"""")"),"")</f>
        <v/>
      </c>
      <c r="W356" s="315" t="str">
        <f>IFERROR(__xludf.DUMMYFUNCTION("if(V356="""",C356,if(not(iserror(index(split(C356, "" ""),3))), index(split(C356, "" ""),3),index(split(C356, "" ""),2)))"),"")</f>
        <v/>
      </c>
      <c r="X356" s="38" t="b">
        <f t="shared" si="2"/>
        <v>0</v>
      </c>
      <c r="Y356" s="38"/>
      <c r="Z356" s="40"/>
      <c r="AA356" s="40"/>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row>
    <row r="357">
      <c r="A357" s="37"/>
      <c r="B357" s="322"/>
      <c r="C357" s="144"/>
      <c r="D357" s="144"/>
      <c r="E357" s="37"/>
      <c r="F357" s="37"/>
      <c r="G357" s="37"/>
      <c r="H357" s="33" t="str">
        <f t="shared" si="1"/>
        <v/>
      </c>
      <c r="I357" s="37"/>
      <c r="J357" s="37"/>
      <c r="K357" s="37"/>
      <c r="L357" s="38"/>
      <c r="M357" s="37"/>
      <c r="N357" s="37"/>
      <c r="O357" s="37"/>
      <c r="P357" s="374"/>
      <c r="Q357" s="15"/>
      <c r="R357" s="16"/>
      <c r="S357" s="16"/>
      <c r="T357" s="16"/>
      <c r="U357" s="16"/>
      <c r="V357" s="37" t="str">
        <f>IFERROR(__xludf.DUMMYFUNCTION("if(not(iserror(index(split(C357, "" ""),2))), index(split(C357, "" ""),1),"""")"),"")</f>
        <v/>
      </c>
      <c r="W357" s="315" t="str">
        <f>IFERROR(__xludf.DUMMYFUNCTION("if(V357="""",C357,if(not(iserror(index(split(C357, "" ""),3))), index(split(C357, "" ""),3),index(split(C357, "" ""),2)))"),"")</f>
        <v/>
      </c>
      <c r="X357" s="38" t="b">
        <f t="shared" si="2"/>
        <v>0</v>
      </c>
      <c r="Y357" s="38"/>
      <c r="Z357" s="40"/>
      <c r="AA357" s="40"/>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row>
    <row r="358">
      <c r="A358" s="37"/>
      <c r="B358" s="322"/>
      <c r="C358" s="144"/>
      <c r="D358" s="144"/>
      <c r="E358" s="37"/>
      <c r="F358" s="37"/>
      <c r="G358" s="37"/>
      <c r="H358" s="33" t="str">
        <f t="shared" si="1"/>
        <v/>
      </c>
      <c r="I358" s="37"/>
      <c r="J358" s="37"/>
      <c r="K358" s="37"/>
      <c r="L358" s="38"/>
      <c r="M358" s="37"/>
      <c r="N358" s="37"/>
      <c r="O358" s="37"/>
      <c r="P358" s="374"/>
      <c r="Q358" s="15"/>
      <c r="R358" s="16"/>
      <c r="S358" s="16"/>
      <c r="T358" s="16"/>
      <c r="U358" s="16"/>
      <c r="V358" s="37" t="str">
        <f>IFERROR(__xludf.DUMMYFUNCTION("if(not(iserror(index(split(C358, "" ""),2))), index(split(C358, "" ""),1),"""")"),"")</f>
        <v/>
      </c>
      <c r="W358" s="315" t="str">
        <f>IFERROR(__xludf.DUMMYFUNCTION("if(V358="""",C358,if(not(iserror(index(split(C358, "" ""),3))), index(split(C358, "" ""),3),index(split(C358, "" ""),2)))"),"")</f>
        <v/>
      </c>
      <c r="X358" s="38" t="b">
        <f t="shared" si="2"/>
        <v>0</v>
      </c>
      <c r="Y358" s="38"/>
      <c r="Z358" s="40"/>
      <c r="AA358" s="40"/>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row>
    <row r="359">
      <c r="A359" s="37"/>
      <c r="B359" s="322"/>
      <c r="C359" s="144"/>
      <c r="D359" s="144"/>
      <c r="E359" s="37"/>
      <c r="F359" s="37"/>
      <c r="G359" s="37"/>
      <c r="H359" s="33" t="str">
        <f t="shared" si="1"/>
        <v/>
      </c>
      <c r="I359" s="37"/>
      <c r="J359" s="37"/>
      <c r="K359" s="37"/>
      <c r="L359" s="38"/>
      <c r="M359" s="37"/>
      <c r="N359" s="37"/>
      <c r="O359" s="37"/>
      <c r="P359" s="374"/>
      <c r="Q359" s="15"/>
      <c r="R359" s="37"/>
      <c r="S359" s="37"/>
      <c r="T359" s="64"/>
      <c r="U359" s="16"/>
      <c r="V359" s="37" t="str">
        <f>IFERROR(__xludf.DUMMYFUNCTION("if(not(iserror(index(split(C359, "" ""),2))), index(split(C359, "" ""),1),"""")"),"")</f>
        <v/>
      </c>
      <c r="W359" s="315" t="str">
        <f>IFERROR(__xludf.DUMMYFUNCTION("if(V359="""",C359,if(not(iserror(index(split(C359, "" ""),3))), index(split(C359, "" ""),3),index(split(C359, "" ""),2)))"),"")</f>
        <v/>
      </c>
      <c r="X359" s="38" t="b">
        <f t="shared" si="2"/>
        <v>0</v>
      </c>
      <c r="Y359" s="38"/>
      <c r="Z359" s="40"/>
      <c r="AA359" s="40"/>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row>
    <row r="360">
      <c r="A360" s="37"/>
      <c r="B360" s="322"/>
      <c r="C360" s="144"/>
      <c r="D360" s="144"/>
      <c r="E360" s="37"/>
      <c r="F360" s="37"/>
      <c r="G360" s="37"/>
      <c r="H360" s="33" t="str">
        <f t="shared" si="1"/>
        <v/>
      </c>
      <c r="I360" s="37"/>
      <c r="J360" s="37"/>
      <c r="K360" s="37"/>
      <c r="L360" s="38"/>
      <c r="M360" s="37"/>
      <c r="N360" s="37"/>
      <c r="O360" s="37"/>
      <c r="P360" s="374"/>
      <c r="Q360" s="15"/>
      <c r="R360" s="37"/>
      <c r="S360" s="37"/>
      <c r="T360" s="64"/>
      <c r="U360" s="16"/>
      <c r="V360" s="37" t="str">
        <f>IFERROR(__xludf.DUMMYFUNCTION("if(not(iserror(index(split(C360, "" ""),2))), index(split(C360, "" ""),1),"""")"),"")</f>
        <v/>
      </c>
      <c r="W360" s="315" t="str">
        <f>IFERROR(__xludf.DUMMYFUNCTION("if(V360="""",C360,if(not(iserror(index(split(C360, "" ""),3))), index(split(C360, "" ""),3),index(split(C360, "" ""),2)))"),"")</f>
        <v/>
      </c>
      <c r="X360" s="38" t="b">
        <f t="shared" si="2"/>
        <v>0</v>
      </c>
      <c r="Y360" s="38"/>
      <c r="Z360" s="40"/>
      <c r="AA360" s="40"/>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row>
    <row r="361">
      <c r="A361" s="37"/>
      <c r="B361" s="322"/>
      <c r="C361" s="144"/>
      <c r="D361" s="144"/>
      <c r="E361" s="37"/>
      <c r="F361" s="37"/>
      <c r="G361" s="37"/>
      <c r="H361" s="33" t="str">
        <f t="shared" si="1"/>
        <v/>
      </c>
      <c r="I361" s="37"/>
      <c r="J361" s="37"/>
      <c r="K361" s="37"/>
      <c r="L361" s="38"/>
      <c r="M361" s="37"/>
      <c r="N361" s="37"/>
      <c r="O361" s="37"/>
      <c r="P361" s="374"/>
      <c r="Q361" s="15"/>
      <c r="R361" s="37"/>
      <c r="S361" s="37"/>
      <c r="T361" s="64"/>
      <c r="U361" s="16"/>
      <c r="V361" s="37" t="str">
        <f>IFERROR(__xludf.DUMMYFUNCTION("if(not(iserror(index(split(C361, "" ""),2))), index(split(C361, "" ""),1),"""")"),"")</f>
        <v/>
      </c>
      <c r="W361" s="315" t="str">
        <f>IFERROR(__xludf.DUMMYFUNCTION("if(V361="""",C361,if(not(iserror(index(split(C361, "" ""),3))), index(split(C361, "" ""),3),index(split(C361, "" ""),2)))"),"")</f>
        <v/>
      </c>
      <c r="X361" s="38" t="b">
        <f t="shared" si="2"/>
        <v>0</v>
      </c>
      <c r="Y361" s="38"/>
      <c r="Z361" s="40"/>
      <c r="AA361" s="40"/>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row>
    <row r="362">
      <c r="A362" s="37"/>
      <c r="B362" s="322"/>
      <c r="C362" s="144"/>
      <c r="D362" s="144"/>
      <c r="E362" s="37"/>
      <c r="F362" s="37"/>
      <c r="G362" s="37"/>
      <c r="H362" s="33" t="str">
        <f t="shared" si="1"/>
        <v/>
      </c>
      <c r="I362" s="37"/>
      <c r="J362" s="37"/>
      <c r="K362" s="37"/>
      <c r="L362" s="38"/>
      <c r="M362" s="37"/>
      <c r="N362" s="37"/>
      <c r="O362" s="37"/>
      <c r="P362" s="374"/>
      <c r="Q362" s="15"/>
      <c r="R362" s="37"/>
      <c r="S362" s="37"/>
      <c r="T362" s="64"/>
      <c r="U362" s="16"/>
      <c r="V362" s="37" t="str">
        <f>IFERROR(__xludf.DUMMYFUNCTION("if(not(iserror(index(split(C362, "" ""),2))), index(split(C362, "" ""),1),"""")"),"")</f>
        <v/>
      </c>
      <c r="W362" s="315" t="str">
        <f>IFERROR(__xludf.DUMMYFUNCTION("if(V362="""",C362,if(not(iserror(index(split(C362, "" ""),3))), index(split(C362, "" ""),3),index(split(C362, "" ""),2)))"),"")</f>
        <v/>
      </c>
      <c r="X362" s="38" t="b">
        <f t="shared" si="2"/>
        <v>0</v>
      </c>
      <c r="Y362" s="38"/>
      <c r="Z362" s="40"/>
      <c r="AA362" s="40"/>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row>
    <row r="363">
      <c r="A363" s="37"/>
      <c r="B363" s="322"/>
      <c r="C363" s="144"/>
      <c r="D363" s="144"/>
      <c r="E363" s="37"/>
      <c r="F363" s="37"/>
      <c r="G363" s="37"/>
      <c r="H363" s="33" t="str">
        <f t="shared" si="1"/>
        <v/>
      </c>
      <c r="I363" s="37"/>
      <c r="J363" s="37"/>
      <c r="K363" s="37"/>
      <c r="L363" s="38"/>
      <c r="M363" s="37"/>
      <c r="N363" s="37"/>
      <c r="O363" s="37"/>
      <c r="P363" s="374"/>
      <c r="Q363" s="15"/>
      <c r="R363" s="37"/>
      <c r="S363" s="37"/>
      <c r="T363" s="37"/>
      <c r="U363" s="16"/>
      <c r="V363" s="37" t="str">
        <f>IFERROR(__xludf.DUMMYFUNCTION("if(not(iserror(index(split(C363, "" ""),2))), index(split(C363, "" ""),1),"""")"),"")</f>
        <v/>
      </c>
      <c r="W363" s="315" t="str">
        <f>IFERROR(__xludf.DUMMYFUNCTION("if(V363="""",C363,if(not(iserror(index(split(C363, "" ""),3))), index(split(C363, "" ""),3),index(split(C363, "" ""),2)))"),"")</f>
        <v/>
      </c>
      <c r="X363" s="38" t="b">
        <f t="shared" si="2"/>
        <v>0</v>
      </c>
      <c r="Y363" s="38"/>
      <c r="Z363" s="40"/>
      <c r="AA363" s="40"/>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row>
    <row r="364">
      <c r="A364" s="37"/>
      <c r="B364" s="322"/>
      <c r="C364" s="144"/>
      <c r="D364" s="144"/>
      <c r="E364" s="37"/>
      <c r="F364" s="37"/>
      <c r="G364" s="37"/>
      <c r="H364" s="33" t="str">
        <f t="shared" si="1"/>
        <v/>
      </c>
      <c r="I364" s="37"/>
      <c r="J364" s="37"/>
      <c r="K364" s="37"/>
      <c r="L364" s="38"/>
      <c r="M364" s="37"/>
      <c r="N364" s="37"/>
      <c r="O364" s="37"/>
      <c r="P364" s="374"/>
      <c r="Q364" s="15"/>
      <c r="R364" s="16"/>
      <c r="S364" s="16"/>
      <c r="T364" s="16"/>
      <c r="U364" s="16"/>
      <c r="V364" s="37" t="str">
        <f>IFERROR(__xludf.DUMMYFUNCTION("if(not(iserror(index(split(C364, "" ""),2))), index(split(C364, "" ""),1),"""")"),"")</f>
        <v/>
      </c>
      <c r="W364" s="315" t="str">
        <f>IFERROR(__xludf.DUMMYFUNCTION("if(V364="""",C364,if(not(iserror(index(split(C364, "" ""),3))), index(split(C364, "" ""),3),index(split(C364, "" ""),2)))"),"")</f>
        <v/>
      </c>
      <c r="X364" s="38" t="b">
        <f t="shared" si="2"/>
        <v>0</v>
      </c>
      <c r="Y364" s="38"/>
      <c r="Z364" s="40"/>
      <c r="AA364" s="40"/>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row>
    <row r="365">
      <c r="A365" s="37"/>
      <c r="B365" s="322"/>
      <c r="C365" s="144"/>
      <c r="D365" s="144"/>
      <c r="E365" s="37"/>
      <c r="F365" s="37"/>
      <c r="G365" s="37"/>
      <c r="H365" s="33" t="str">
        <f t="shared" si="1"/>
        <v/>
      </c>
      <c r="I365" s="37"/>
      <c r="J365" s="37"/>
      <c r="K365" s="37"/>
      <c r="L365" s="38"/>
      <c r="M365" s="37"/>
      <c r="N365" s="37"/>
      <c r="O365" s="37"/>
      <c r="P365" s="374"/>
      <c r="Q365" s="15"/>
      <c r="R365" s="37"/>
      <c r="S365" s="37"/>
      <c r="T365" s="64"/>
      <c r="U365" s="16"/>
      <c r="V365" s="37" t="str">
        <f>IFERROR(__xludf.DUMMYFUNCTION("if(not(iserror(index(split(C365, "" ""),2))), index(split(C365, "" ""),1),"""")"),"")</f>
        <v/>
      </c>
      <c r="W365" s="315" t="str">
        <f>IFERROR(__xludf.DUMMYFUNCTION("if(V365="""",C365,if(not(iserror(index(split(C365, "" ""),3))), index(split(C365, "" ""),3),index(split(C365, "" ""),2)))"),"")</f>
        <v/>
      </c>
      <c r="X365" s="38" t="b">
        <f t="shared" si="2"/>
        <v>0</v>
      </c>
      <c r="Y365" s="38"/>
      <c r="Z365" s="40"/>
      <c r="AA365" s="40"/>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row>
    <row r="366">
      <c r="A366" s="37"/>
      <c r="B366" s="322"/>
      <c r="C366" s="144"/>
      <c r="D366" s="144"/>
      <c r="E366" s="37"/>
      <c r="F366" s="37"/>
      <c r="G366" s="37"/>
      <c r="H366" s="33" t="str">
        <f t="shared" si="1"/>
        <v/>
      </c>
      <c r="I366" s="37"/>
      <c r="J366" s="37"/>
      <c r="K366" s="37"/>
      <c r="L366" s="38"/>
      <c r="M366" s="37"/>
      <c r="N366" s="37"/>
      <c r="O366" s="37"/>
      <c r="P366" s="374"/>
      <c r="Q366" s="15"/>
      <c r="R366" s="37"/>
      <c r="S366" s="37"/>
      <c r="T366" s="64"/>
      <c r="U366" s="16"/>
      <c r="V366" s="37" t="str">
        <f>IFERROR(__xludf.DUMMYFUNCTION("if(not(iserror(index(split(C366, "" ""),2))), index(split(C366, "" ""),1),"""")"),"")</f>
        <v/>
      </c>
      <c r="W366" s="315" t="str">
        <f>IFERROR(__xludf.DUMMYFUNCTION("if(V366="""",C366,if(not(iserror(index(split(C366, "" ""),3))), index(split(C366, "" ""),3),index(split(C366, "" ""),2)))"),"")</f>
        <v/>
      </c>
      <c r="X366" s="38" t="b">
        <f t="shared" si="2"/>
        <v>0</v>
      </c>
      <c r="Y366" s="38"/>
      <c r="Z366" s="40"/>
      <c r="AA366" s="40"/>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row>
    <row r="367">
      <c r="A367" s="178"/>
      <c r="B367" s="322"/>
      <c r="C367" s="144"/>
      <c r="D367" s="144"/>
      <c r="E367" s="37"/>
      <c r="F367" s="37"/>
      <c r="G367" s="37"/>
      <c r="H367" s="33" t="str">
        <f t="shared" si="1"/>
        <v/>
      </c>
      <c r="I367" s="37"/>
      <c r="J367" s="37"/>
      <c r="K367" s="37"/>
      <c r="L367" s="38"/>
      <c r="M367" s="37"/>
      <c r="N367" s="37"/>
      <c r="O367" s="37"/>
      <c r="P367" s="106"/>
      <c r="Q367" s="106"/>
      <c r="R367" s="37"/>
      <c r="S367" s="37"/>
      <c r="T367" s="64"/>
      <c r="U367" s="16"/>
      <c r="V367" s="37" t="str">
        <f>IFERROR(__xludf.DUMMYFUNCTION("if(not(iserror(index(split(C367, "" ""),2))), index(split(C367, "" ""),1),"""")"),"")</f>
        <v/>
      </c>
      <c r="W367" s="315" t="str">
        <f>IFERROR(__xludf.DUMMYFUNCTION("if(V367="""",C367,if(not(iserror(index(split(C367, "" ""),3))), index(split(C367, "" ""),3),index(split(C367, "" ""),2)))"),"")</f>
        <v/>
      </c>
      <c r="X367" s="38" t="b">
        <f t="shared" si="2"/>
        <v>0</v>
      </c>
      <c r="Y367" s="38"/>
      <c r="Z367" s="40"/>
      <c r="AA367" s="40"/>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row>
    <row r="368">
      <c r="A368" s="178"/>
      <c r="B368" s="322"/>
      <c r="C368" s="144"/>
      <c r="D368" s="144"/>
      <c r="E368" s="37"/>
      <c r="F368" s="37"/>
      <c r="G368" s="37"/>
      <c r="H368" s="33" t="str">
        <f t="shared" si="1"/>
        <v/>
      </c>
      <c r="I368" s="37"/>
      <c r="J368" s="37"/>
      <c r="K368" s="37"/>
      <c r="L368" s="38"/>
      <c r="M368" s="37"/>
      <c r="N368" s="37"/>
      <c r="O368" s="37"/>
      <c r="P368" s="374"/>
      <c r="Q368" s="15"/>
      <c r="R368" s="37"/>
      <c r="S368" s="37"/>
      <c r="T368" s="64"/>
      <c r="U368" s="16"/>
      <c r="V368" s="37" t="str">
        <f>IFERROR(__xludf.DUMMYFUNCTION("if(not(iserror(index(split(C368, "" ""),2))), index(split(C368, "" ""),1),"""")"),"")</f>
        <v/>
      </c>
      <c r="W368" s="315" t="str">
        <f>IFERROR(__xludf.DUMMYFUNCTION("if(V368="""",C368,if(not(iserror(index(split(C368, "" ""),3))), index(split(C368, "" ""),3),index(split(C368, "" ""),2)))"),"")</f>
        <v/>
      </c>
      <c r="X368" s="38" t="b">
        <f t="shared" si="2"/>
        <v>0</v>
      </c>
      <c r="Y368" s="38"/>
      <c r="Z368" s="40"/>
      <c r="AA368" s="40"/>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row>
    <row r="369">
      <c r="A369" s="178"/>
      <c r="B369" s="322"/>
      <c r="C369" s="144"/>
      <c r="D369" s="144"/>
      <c r="E369" s="37"/>
      <c r="F369" s="37"/>
      <c r="G369" s="37"/>
      <c r="H369" s="33" t="str">
        <f t="shared" si="1"/>
        <v/>
      </c>
      <c r="I369" s="37"/>
      <c r="J369" s="37"/>
      <c r="K369" s="37"/>
      <c r="L369" s="38"/>
      <c r="M369" s="37"/>
      <c r="N369" s="37"/>
      <c r="O369" s="37"/>
      <c r="P369" s="374"/>
      <c r="Q369" s="15"/>
      <c r="R369" s="37"/>
      <c r="S369" s="37"/>
      <c r="T369" s="64"/>
      <c r="U369" s="16"/>
      <c r="V369" s="37" t="str">
        <f>IFERROR(__xludf.DUMMYFUNCTION("if(not(iserror(index(split(C369, "" ""),2))), index(split(C369, "" ""),1),"""")"),"")</f>
        <v/>
      </c>
      <c r="W369" s="315" t="str">
        <f>IFERROR(__xludf.DUMMYFUNCTION("if(V369="""",C369,if(not(iserror(index(split(C369, "" ""),3))), index(split(C369, "" ""),3),index(split(C369, "" ""),2)))"),"")</f>
        <v/>
      </c>
      <c r="X369" s="38" t="b">
        <f t="shared" si="2"/>
        <v>0</v>
      </c>
      <c r="Y369" s="38"/>
      <c r="Z369" s="40"/>
      <c r="AA369" s="40"/>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row>
    <row r="370">
      <c r="A370" s="37"/>
      <c r="B370" s="322"/>
      <c r="C370" s="144"/>
      <c r="D370" s="144"/>
      <c r="E370" s="37"/>
      <c r="F370" s="37"/>
      <c r="G370" s="37"/>
      <c r="H370" s="33" t="str">
        <f t="shared" si="1"/>
        <v/>
      </c>
      <c r="I370" s="37"/>
      <c r="J370" s="37"/>
      <c r="K370" s="37"/>
      <c r="L370" s="38"/>
      <c r="M370" s="37"/>
      <c r="N370" s="37"/>
      <c r="O370" s="37"/>
      <c r="P370" s="374"/>
      <c r="Q370" s="15"/>
      <c r="R370" s="16"/>
      <c r="S370" s="16"/>
      <c r="T370" s="16"/>
      <c r="U370" s="16"/>
      <c r="V370" s="37" t="str">
        <f>IFERROR(__xludf.DUMMYFUNCTION("if(not(iserror(index(split(C370, "" ""),2))), index(split(C370, "" ""),1),"""")"),"")</f>
        <v/>
      </c>
      <c r="W370" s="315" t="str">
        <f>IFERROR(__xludf.DUMMYFUNCTION("if(V370="""",C370,if(not(iserror(index(split(C370, "" ""),3))), index(split(C370, "" ""),3),index(split(C370, "" ""),2)))"),"")</f>
        <v/>
      </c>
      <c r="X370" s="38" t="b">
        <f t="shared" si="2"/>
        <v>0</v>
      </c>
      <c r="Y370" s="38"/>
      <c r="Z370" s="40"/>
      <c r="AA370" s="40"/>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row>
    <row r="371">
      <c r="A371" s="37"/>
      <c r="B371" s="322"/>
      <c r="C371" s="144"/>
      <c r="D371" s="144"/>
      <c r="E371" s="37"/>
      <c r="F371" s="37"/>
      <c r="G371" s="37"/>
      <c r="H371" s="33" t="str">
        <f t="shared" si="1"/>
        <v/>
      </c>
      <c r="I371" s="37"/>
      <c r="J371" s="37"/>
      <c r="K371" s="37"/>
      <c r="L371" s="38"/>
      <c r="M371" s="37"/>
      <c r="N371" s="37"/>
      <c r="O371" s="37"/>
      <c r="P371" s="374"/>
      <c r="Q371" s="15"/>
      <c r="R371" s="37"/>
      <c r="S371" s="37"/>
      <c r="T371" s="64"/>
      <c r="U371" s="16"/>
      <c r="V371" s="37" t="str">
        <f>IFERROR(__xludf.DUMMYFUNCTION("if(not(iserror(index(split(C371, "" ""),2))), index(split(C371, "" ""),1),"""")"),"")</f>
        <v/>
      </c>
      <c r="W371" s="315" t="str">
        <f>IFERROR(__xludf.DUMMYFUNCTION("if(V371="""",C371,if(not(iserror(index(split(C371, "" ""),3))), index(split(C371, "" ""),3),index(split(C371, "" ""),2)))"),"")</f>
        <v/>
      </c>
      <c r="X371" s="38" t="b">
        <f t="shared" si="2"/>
        <v>0</v>
      </c>
      <c r="Y371" s="38"/>
      <c r="Z371" s="40"/>
      <c r="AA371" s="40"/>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row>
    <row r="372">
      <c r="A372" s="91"/>
      <c r="B372" s="380"/>
      <c r="C372" s="146"/>
      <c r="D372" s="146"/>
      <c r="E372" s="91"/>
      <c r="F372" s="91"/>
      <c r="G372" s="91"/>
      <c r="H372" s="33" t="str">
        <f t="shared" si="1"/>
        <v/>
      </c>
      <c r="I372" s="91"/>
      <c r="J372" s="91"/>
      <c r="K372" s="91"/>
      <c r="L372" s="38"/>
      <c r="M372" s="91"/>
      <c r="N372" s="91"/>
      <c r="O372" s="91"/>
      <c r="P372" s="95"/>
      <c r="Q372" s="95"/>
      <c r="R372" s="37"/>
      <c r="S372" s="37"/>
      <c r="T372" s="64"/>
      <c r="U372" s="16"/>
      <c r="V372" s="37" t="str">
        <f>IFERROR(__xludf.DUMMYFUNCTION("if(not(iserror(index(split(C372, "" ""),2))), index(split(C372, "" ""),1),"""")"),"")</f>
        <v/>
      </c>
      <c r="W372" s="315" t="str">
        <f>IFERROR(__xludf.DUMMYFUNCTION("if(V372="""",C372,if(not(iserror(index(split(C372, "" ""),3))), index(split(C372, "" ""),3),index(split(C372, "" ""),2)))"),"")</f>
        <v/>
      </c>
      <c r="X372" s="38" t="b">
        <f t="shared" si="2"/>
        <v>0</v>
      </c>
      <c r="Y372" s="38"/>
      <c r="Z372" s="40"/>
      <c r="AA372" s="40"/>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row>
    <row r="373">
      <c r="A373" s="37"/>
      <c r="B373" s="322"/>
      <c r="C373" s="144"/>
      <c r="D373" s="144"/>
      <c r="E373" s="37"/>
      <c r="F373" s="37"/>
      <c r="G373" s="37"/>
      <c r="H373" s="33" t="str">
        <f t="shared" si="1"/>
        <v/>
      </c>
      <c r="I373" s="37"/>
      <c r="J373" s="37"/>
      <c r="K373" s="37"/>
      <c r="L373" s="38"/>
      <c r="M373" s="37"/>
      <c r="N373" s="37"/>
      <c r="O373" s="37"/>
      <c r="P373" s="374"/>
      <c r="Q373" s="15"/>
      <c r="R373" s="16"/>
      <c r="S373" s="16"/>
      <c r="T373" s="16"/>
      <c r="U373" s="16"/>
      <c r="V373" s="37" t="str">
        <f>IFERROR(__xludf.DUMMYFUNCTION("if(not(iserror(index(split(C373, "" ""),2))), index(split(C373, "" ""),1),"""")"),"")</f>
        <v/>
      </c>
      <c r="W373" s="315" t="str">
        <f>IFERROR(__xludf.DUMMYFUNCTION("if(V373="""",C373,if(not(iserror(index(split(C373, "" ""),3))), index(split(C373, "" ""),3),index(split(C373, "" ""),2)))"),"")</f>
        <v/>
      </c>
      <c r="X373" s="38" t="b">
        <f t="shared" si="2"/>
        <v>0</v>
      </c>
      <c r="Y373" s="38"/>
      <c r="Z373" s="40"/>
      <c r="AA373" s="40"/>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row>
    <row r="374">
      <c r="A374" s="37"/>
      <c r="B374" s="322"/>
      <c r="C374" s="144"/>
      <c r="D374" s="144"/>
      <c r="E374" s="37"/>
      <c r="F374" s="37"/>
      <c r="G374" s="37"/>
      <c r="H374" s="33" t="str">
        <f t="shared" si="1"/>
        <v/>
      </c>
      <c r="I374" s="37"/>
      <c r="J374" s="37"/>
      <c r="K374" s="37"/>
      <c r="L374" s="38"/>
      <c r="M374" s="37"/>
      <c r="N374" s="37"/>
      <c r="O374" s="37"/>
      <c r="P374" s="374"/>
      <c r="Q374" s="15"/>
      <c r="R374" s="16"/>
      <c r="S374" s="16"/>
      <c r="T374" s="16"/>
      <c r="U374" s="16"/>
      <c r="V374" s="37" t="str">
        <f>IFERROR(__xludf.DUMMYFUNCTION("if(not(iserror(index(split(C374, "" ""),2))), index(split(C374, "" ""),1),"""")"),"")</f>
        <v/>
      </c>
      <c r="W374" s="315" t="str">
        <f>IFERROR(__xludf.DUMMYFUNCTION("if(V374="""",C374,if(not(iserror(index(split(C374, "" ""),3))), index(split(C374, "" ""),3),index(split(C374, "" ""),2)))"),"")</f>
        <v/>
      </c>
      <c r="X374" s="38" t="b">
        <f t="shared" si="2"/>
        <v>0</v>
      </c>
      <c r="Y374" s="38"/>
      <c r="Z374" s="40"/>
      <c r="AA374" s="40"/>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row>
    <row r="375">
      <c r="A375" s="37"/>
      <c r="B375" s="322"/>
      <c r="C375" s="144"/>
      <c r="D375" s="144"/>
      <c r="E375" s="37"/>
      <c r="F375" s="37"/>
      <c r="G375" s="37"/>
      <c r="H375" s="33" t="str">
        <f t="shared" si="1"/>
        <v/>
      </c>
      <c r="I375" s="37"/>
      <c r="J375" s="37"/>
      <c r="K375" s="37"/>
      <c r="L375" s="38"/>
      <c r="M375" s="37"/>
      <c r="N375" s="37"/>
      <c r="O375" s="37"/>
      <c r="P375" s="374"/>
      <c r="Q375" s="15"/>
      <c r="R375" s="16"/>
      <c r="S375" s="16"/>
      <c r="T375" s="16"/>
      <c r="U375" s="16"/>
      <c r="V375" s="37" t="str">
        <f>IFERROR(__xludf.DUMMYFUNCTION("if(not(iserror(index(split(C375, "" ""),2))), index(split(C375, "" ""),1),"""")"),"")</f>
        <v/>
      </c>
      <c r="W375" s="315" t="str">
        <f>IFERROR(__xludf.DUMMYFUNCTION("if(V375="""",C375,if(not(iserror(index(split(C375, "" ""),3))), index(split(C375, "" ""),3),index(split(C375, "" ""),2)))"),"")</f>
        <v/>
      </c>
      <c r="X375" s="38" t="b">
        <f t="shared" si="2"/>
        <v>0</v>
      </c>
      <c r="Y375" s="38"/>
      <c r="Z375" s="40"/>
      <c r="AA375" s="40"/>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row>
    <row r="376">
      <c r="A376" s="37"/>
      <c r="B376" s="322"/>
      <c r="C376" s="144"/>
      <c r="D376" s="144"/>
      <c r="E376" s="37"/>
      <c r="F376" s="37"/>
      <c r="G376" s="37"/>
      <c r="H376" s="33" t="str">
        <f t="shared" si="1"/>
        <v/>
      </c>
      <c r="I376" s="37"/>
      <c r="J376" s="37"/>
      <c r="K376" s="37"/>
      <c r="L376" s="38"/>
      <c r="M376" s="37"/>
      <c r="N376" s="37"/>
      <c r="O376" s="37"/>
      <c r="P376" s="14"/>
      <c r="Q376" s="15"/>
      <c r="R376" s="16"/>
      <c r="S376" s="16"/>
      <c r="T376" s="16"/>
      <c r="U376" s="16"/>
      <c r="V376" s="37" t="str">
        <f>IFERROR(__xludf.DUMMYFUNCTION("if(not(iserror(index(split(C376, "" ""),2))), index(split(C376, "" ""),1),"""")"),"")</f>
        <v/>
      </c>
      <c r="W376" s="315" t="str">
        <f>IFERROR(__xludf.DUMMYFUNCTION("if(V376="""",C376,if(not(iserror(index(split(C376, "" ""),3))), index(split(C376, "" ""),3),index(split(C376, "" ""),2)))"),"")</f>
        <v/>
      </c>
      <c r="X376" s="38" t="b">
        <f t="shared" si="2"/>
        <v>0</v>
      </c>
      <c r="Y376" s="38"/>
      <c r="Z376" s="40"/>
      <c r="AA376" s="40"/>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row>
    <row r="377">
      <c r="A377" s="37"/>
      <c r="B377" s="322"/>
      <c r="C377" s="144"/>
      <c r="D377" s="144"/>
      <c r="E377" s="37"/>
      <c r="F377" s="37"/>
      <c r="G377" s="37"/>
      <c r="H377" s="33" t="str">
        <f t="shared" si="1"/>
        <v/>
      </c>
      <c r="I377" s="37"/>
      <c r="J377" s="37"/>
      <c r="K377" s="37"/>
      <c r="L377" s="38"/>
      <c r="M377" s="37"/>
      <c r="N377" s="37"/>
      <c r="O377" s="37"/>
      <c r="P377" s="14"/>
      <c r="Q377" s="15"/>
      <c r="R377" s="37"/>
      <c r="S377" s="37"/>
      <c r="T377" s="64"/>
      <c r="U377" s="16"/>
      <c r="V377" s="37" t="str">
        <f>IFERROR(__xludf.DUMMYFUNCTION("if(not(iserror(index(split(C377, "" ""),2))), index(split(C377, "" ""),1),"""")"),"")</f>
        <v/>
      </c>
      <c r="W377" s="315" t="str">
        <f>IFERROR(__xludf.DUMMYFUNCTION("if(V377="""",C377,if(not(iserror(index(split(C377, "" ""),3))), index(split(C377, "" ""),3),index(split(C377, "" ""),2)))"),"")</f>
        <v/>
      </c>
      <c r="X377" s="38" t="b">
        <f t="shared" si="2"/>
        <v>0</v>
      </c>
      <c r="Y377" s="38"/>
      <c r="Z377" s="40"/>
      <c r="AA377" s="40"/>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row>
    <row r="378">
      <c r="A378" s="37"/>
      <c r="B378" s="322"/>
      <c r="C378" s="144"/>
      <c r="D378" s="144"/>
      <c r="E378" s="37"/>
      <c r="F378" s="37"/>
      <c r="G378" s="37"/>
      <c r="H378" s="33" t="str">
        <f t="shared" si="1"/>
        <v/>
      </c>
      <c r="I378" s="37"/>
      <c r="J378" s="37"/>
      <c r="K378" s="37"/>
      <c r="L378" s="38"/>
      <c r="M378" s="37"/>
      <c r="N378" s="37"/>
      <c r="O378" s="37"/>
      <c r="P378" s="14"/>
      <c r="Q378" s="15"/>
      <c r="R378" s="37"/>
      <c r="S378" s="37"/>
      <c r="T378" s="64"/>
      <c r="U378" s="16"/>
      <c r="V378" s="37" t="str">
        <f>IFERROR(__xludf.DUMMYFUNCTION("if(not(iserror(index(split(C378, "" ""),2))), index(split(C378, "" ""),1),"""")"),"")</f>
        <v/>
      </c>
      <c r="W378" s="315" t="str">
        <f>IFERROR(__xludf.DUMMYFUNCTION("if(V378="""",C378,if(not(iserror(index(split(C378, "" ""),3))), index(split(C378, "" ""),3),index(split(C378, "" ""),2)))"),"")</f>
        <v/>
      </c>
      <c r="X378" s="38" t="b">
        <f t="shared" si="2"/>
        <v>0</v>
      </c>
      <c r="Y378" s="38"/>
      <c r="Z378" s="40"/>
      <c r="AA378" s="40"/>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row>
    <row r="379">
      <c r="A379" s="37"/>
      <c r="B379" s="322"/>
      <c r="C379" s="144"/>
      <c r="D379" s="144"/>
      <c r="E379" s="37"/>
      <c r="F379" s="37"/>
      <c r="G379" s="37"/>
      <c r="H379" s="33" t="str">
        <f t="shared" si="1"/>
        <v/>
      </c>
      <c r="I379" s="37"/>
      <c r="J379" s="37"/>
      <c r="K379" s="37"/>
      <c r="L379" s="38"/>
      <c r="M379" s="37"/>
      <c r="N379" s="37"/>
      <c r="O379" s="37"/>
      <c r="P379" s="14"/>
      <c r="Q379" s="15"/>
      <c r="R379" s="37"/>
      <c r="S379" s="37"/>
      <c r="T379" s="64"/>
      <c r="U379" s="16"/>
      <c r="V379" s="37" t="str">
        <f>IFERROR(__xludf.DUMMYFUNCTION("if(not(iserror(index(split(C379, "" ""),2))), index(split(C379, "" ""),1),"""")"),"")</f>
        <v/>
      </c>
      <c r="W379" s="315" t="str">
        <f>IFERROR(__xludf.DUMMYFUNCTION("if(V379="""",C379,if(not(iserror(index(split(C379, "" ""),3))), index(split(C379, "" ""),3),index(split(C379, "" ""),2)))"),"")</f>
        <v/>
      </c>
      <c r="X379" s="38" t="b">
        <f t="shared" si="2"/>
        <v>0</v>
      </c>
      <c r="Y379" s="38"/>
      <c r="Z379" s="40"/>
      <c r="AA379" s="40"/>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row>
    <row r="380">
      <c r="A380" s="37"/>
      <c r="B380" s="322"/>
      <c r="C380" s="144"/>
      <c r="D380" s="144"/>
      <c r="E380" s="37"/>
      <c r="F380" s="37"/>
      <c r="G380" s="37"/>
      <c r="H380" s="33" t="str">
        <f t="shared" si="1"/>
        <v/>
      </c>
      <c r="I380" s="37"/>
      <c r="J380" s="37"/>
      <c r="K380" s="37"/>
      <c r="L380" s="38"/>
      <c r="M380" s="37"/>
      <c r="N380" s="37"/>
      <c r="O380" s="37"/>
      <c r="P380" s="14"/>
      <c r="Q380" s="15"/>
      <c r="R380" s="37"/>
      <c r="S380" s="37"/>
      <c r="T380" s="64"/>
      <c r="U380" s="16"/>
      <c r="V380" s="37" t="str">
        <f>IFERROR(__xludf.DUMMYFUNCTION("if(not(iserror(index(split(C380, "" ""),2))), index(split(C380, "" ""),1),"""")"),"")</f>
        <v/>
      </c>
      <c r="W380" s="315" t="str">
        <f>IFERROR(__xludf.DUMMYFUNCTION("if(V380="""",C380,if(not(iserror(index(split(C380, "" ""),3))), index(split(C380, "" ""),3),index(split(C380, "" ""),2)))"),"")</f>
        <v/>
      </c>
      <c r="X380" s="38" t="b">
        <f t="shared" si="2"/>
        <v>0</v>
      </c>
      <c r="Y380" s="38"/>
      <c r="Z380" s="40"/>
      <c r="AA380" s="40"/>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row>
    <row r="381">
      <c r="A381" s="37"/>
      <c r="B381" s="322"/>
      <c r="C381" s="144"/>
      <c r="D381" s="144"/>
      <c r="E381" s="37"/>
      <c r="F381" s="37"/>
      <c r="G381" s="37"/>
      <c r="H381" s="33" t="str">
        <f t="shared" si="1"/>
        <v/>
      </c>
      <c r="I381" s="37"/>
      <c r="J381" s="37"/>
      <c r="K381" s="37"/>
      <c r="L381" s="38"/>
      <c r="M381" s="37"/>
      <c r="N381" s="37"/>
      <c r="O381" s="37"/>
      <c r="P381" s="14"/>
      <c r="Q381" s="15"/>
      <c r="R381" s="37"/>
      <c r="S381" s="37"/>
      <c r="T381" s="64"/>
      <c r="U381" s="16"/>
      <c r="V381" s="37" t="str">
        <f>IFERROR(__xludf.DUMMYFUNCTION("if(not(iserror(index(split(C381, "" ""),2))), index(split(C381, "" ""),1),"""")"),"")</f>
        <v/>
      </c>
      <c r="W381" s="315" t="str">
        <f>IFERROR(__xludf.DUMMYFUNCTION("if(V381="""",C381,if(not(iserror(index(split(C381, "" ""),3))), index(split(C381, "" ""),3),index(split(C381, "" ""),2)))"),"")</f>
        <v/>
      </c>
      <c r="X381" s="38" t="b">
        <f t="shared" si="2"/>
        <v>0</v>
      </c>
      <c r="Y381" s="38"/>
      <c r="Z381" s="40"/>
      <c r="AA381" s="40"/>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row>
    <row r="382">
      <c r="A382" s="37"/>
      <c r="B382" s="322"/>
      <c r="C382" s="144"/>
      <c r="D382" s="144"/>
      <c r="E382" s="37"/>
      <c r="F382" s="37"/>
      <c r="G382" s="37"/>
      <c r="H382" s="33" t="str">
        <f t="shared" si="1"/>
        <v/>
      </c>
      <c r="I382" s="37"/>
      <c r="J382" s="37"/>
      <c r="K382" s="37"/>
      <c r="L382" s="38"/>
      <c r="M382" s="37"/>
      <c r="N382" s="37"/>
      <c r="O382" s="37"/>
      <c r="P382" s="14"/>
      <c r="Q382" s="15"/>
      <c r="R382" s="37"/>
      <c r="S382" s="37"/>
      <c r="T382" s="64"/>
      <c r="U382" s="16"/>
      <c r="V382" s="37" t="str">
        <f>IFERROR(__xludf.DUMMYFUNCTION("if(not(iserror(index(split(C382, "" ""),2))), index(split(C382, "" ""),1),"""")"),"")</f>
        <v/>
      </c>
      <c r="W382" s="315" t="str">
        <f>IFERROR(__xludf.DUMMYFUNCTION("if(V382="""",C382,if(not(iserror(index(split(C382, "" ""),3))), index(split(C382, "" ""),3),index(split(C382, "" ""),2)))"),"")</f>
        <v/>
      </c>
      <c r="X382" s="38" t="b">
        <f t="shared" si="2"/>
        <v>0</v>
      </c>
      <c r="Y382" s="38"/>
      <c r="Z382" s="40"/>
      <c r="AA382" s="40"/>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row>
    <row r="383">
      <c r="A383" s="37"/>
      <c r="B383" s="322"/>
      <c r="C383" s="144"/>
      <c r="D383" s="144"/>
      <c r="E383" s="37"/>
      <c r="F383" s="37"/>
      <c r="G383" s="37"/>
      <c r="H383" s="33" t="str">
        <f t="shared" si="1"/>
        <v/>
      </c>
      <c r="I383" s="37"/>
      <c r="J383" s="37"/>
      <c r="K383" s="37"/>
      <c r="L383" s="38"/>
      <c r="M383" s="37"/>
      <c r="N383" s="37"/>
      <c r="O383" s="37"/>
      <c r="P383" s="14"/>
      <c r="Q383" s="15"/>
      <c r="R383" s="16"/>
      <c r="S383" s="16"/>
      <c r="T383" s="16"/>
      <c r="U383" s="16"/>
      <c r="V383" s="37" t="str">
        <f>IFERROR(__xludf.DUMMYFUNCTION("if(not(iserror(index(split(C383, "" ""),2))), index(split(C383, "" ""),1),"""")"),"")</f>
        <v/>
      </c>
      <c r="W383" s="315" t="str">
        <f>IFERROR(__xludf.DUMMYFUNCTION("if(V383="""",C383,if(not(iserror(index(split(C383, "" ""),3))), index(split(C383, "" ""),3),index(split(C383, "" ""),2)))"),"")</f>
        <v/>
      </c>
      <c r="X383" s="38" t="b">
        <f t="shared" si="2"/>
        <v>0</v>
      </c>
      <c r="Y383" s="38"/>
      <c r="Z383" s="40"/>
      <c r="AA383" s="40"/>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row>
    <row r="384">
      <c r="A384" s="37"/>
      <c r="B384" s="322"/>
      <c r="C384" s="144"/>
      <c r="D384" s="144"/>
      <c r="E384" s="37"/>
      <c r="F384" s="37"/>
      <c r="G384" s="37"/>
      <c r="H384" s="33" t="str">
        <f t="shared" si="1"/>
        <v/>
      </c>
      <c r="I384" s="37"/>
      <c r="J384" s="37"/>
      <c r="K384" s="37"/>
      <c r="L384" s="38"/>
      <c r="M384" s="37"/>
      <c r="N384" s="37"/>
      <c r="O384" s="37"/>
      <c r="P384" s="14"/>
      <c r="Q384" s="15"/>
      <c r="R384" s="16"/>
      <c r="S384" s="16"/>
      <c r="T384" s="16"/>
      <c r="U384" s="16"/>
      <c r="V384" s="37" t="str">
        <f>IFERROR(__xludf.DUMMYFUNCTION("if(not(iserror(index(split(C384, "" ""),2))), index(split(C384, "" ""),1),"""")"),"")</f>
        <v/>
      </c>
      <c r="W384" s="315" t="str">
        <f>IFERROR(__xludf.DUMMYFUNCTION("if(V384="""",C384,if(not(iserror(index(split(C384, "" ""),3))), index(split(C384, "" ""),3),index(split(C384, "" ""),2)))"),"")</f>
        <v/>
      </c>
      <c r="X384" s="38" t="b">
        <f t="shared" si="2"/>
        <v>0</v>
      </c>
      <c r="Y384" s="38"/>
      <c r="Z384" s="40"/>
      <c r="AA384" s="40"/>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row>
    <row r="385">
      <c r="A385" s="37"/>
      <c r="B385" s="322"/>
      <c r="C385" s="144"/>
      <c r="D385" s="144"/>
      <c r="E385" s="37"/>
      <c r="F385" s="37"/>
      <c r="G385" s="37"/>
      <c r="H385" s="33" t="str">
        <f t="shared" si="1"/>
        <v/>
      </c>
      <c r="I385" s="37"/>
      <c r="J385" s="37"/>
      <c r="K385" s="37"/>
      <c r="L385" s="38"/>
      <c r="M385" s="37"/>
      <c r="N385" s="37"/>
      <c r="O385" s="37"/>
      <c r="P385" s="14"/>
      <c r="Q385" s="15"/>
      <c r="R385" s="37"/>
      <c r="S385" s="37"/>
      <c r="T385" s="64"/>
      <c r="U385" s="16"/>
      <c r="V385" s="37" t="str">
        <f>IFERROR(__xludf.DUMMYFUNCTION("if(not(iserror(index(split(C385, "" ""),2))), index(split(C385, "" ""),1),"""")"),"")</f>
        <v/>
      </c>
      <c r="W385" s="315" t="str">
        <f>IFERROR(__xludf.DUMMYFUNCTION("if(V385="""",C385,if(not(iserror(index(split(C385, "" ""),3))), index(split(C385, "" ""),3),index(split(C385, "" ""),2)))"),"")</f>
        <v/>
      </c>
      <c r="X385" s="38" t="b">
        <f t="shared" si="2"/>
        <v>0</v>
      </c>
      <c r="Y385" s="38"/>
      <c r="Z385" s="40"/>
      <c r="AA385" s="40"/>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row>
    <row r="386">
      <c r="A386" s="91"/>
      <c r="B386" s="380"/>
      <c r="C386" s="146"/>
      <c r="D386" s="146"/>
      <c r="E386" s="91"/>
      <c r="F386" s="91"/>
      <c r="G386" s="91"/>
      <c r="H386" s="33" t="str">
        <f t="shared" si="1"/>
        <v/>
      </c>
      <c r="I386" s="91"/>
      <c r="J386" s="91"/>
      <c r="K386" s="91"/>
      <c r="L386" s="38"/>
      <c r="M386" s="91"/>
      <c r="N386" s="91"/>
      <c r="O386" s="91"/>
      <c r="P386" s="95"/>
      <c r="Q386" s="95"/>
      <c r="R386" s="37"/>
      <c r="S386" s="37"/>
      <c r="T386" s="64"/>
      <c r="U386" s="16"/>
      <c r="V386" s="37" t="str">
        <f>IFERROR(__xludf.DUMMYFUNCTION("if(not(iserror(index(split(C386, "" ""),2))), index(split(C386, "" ""),1),"""")"),"")</f>
        <v/>
      </c>
      <c r="W386" s="315" t="str">
        <f>IFERROR(__xludf.DUMMYFUNCTION("if(V386="""",C386,if(not(iserror(index(split(C386, "" ""),3))), index(split(C386, "" ""),3),index(split(C386, "" ""),2)))"),"")</f>
        <v/>
      </c>
      <c r="X386" s="38" t="b">
        <f t="shared" si="2"/>
        <v>0</v>
      </c>
      <c r="Y386" s="38"/>
      <c r="Z386" s="40"/>
      <c r="AA386" s="40"/>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row>
    <row r="387">
      <c r="A387" s="37"/>
      <c r="B387" s="322"/>
      <c r="C387" s="144"/>
      <c r="D387" s="144"/>
      <c r="E387" s="37"/>
      <c r="F387" s="37"/>
      <c r="G387" s="37"/>
      <c r="H387" s="33" t="str">
        <f t="shared" si="1"/>
        <v/>
      </c>
      <c r="I387" s="37"/>
      <c r="J387" s="37"/>
      <c r="K387" s="37"/>
      <c r="L387" s="38"/>
      <c r="M387" s="37"/>
      <c r="N387" s="37"/>
      <c r="O387" s="37"/>
      <c r="P387" s="14"/>
      <c r="Q387" s="15"/>
      <c r="R387" s="37"/>
      <c r="S387" s="37"/>
      <c r="T387" s="64"/>
      <c r="U387" s="16"/>
      <c r="V387" s="37" t="str">
        <f>IFERROR(__xludf.DUMMYFUNCTION("if(not(iserror(index(split(C387, "" ""),2))), index(split(C387, "" ""),1),"""")"),"")</f>
        <v/>
      </c>
      <c r="W387" s="315" t="str">
        <f>IFERROR(__xludf.DUMMYFUNCTION("if(V387="""",C387,if(not(iserror(index(split(C387, "" ""),3))), index(split(C387, "" ""),3),index(split(C387, "" ""),2)))"),"")</f>
        <v/>
      </c>
      <c r="X387" s="38" t="b">
        <f t="shared" si="2"/>
        <v>0</v>
      </c>
      <c r="Y387" s="38"/>
      <c r="Z387" s="40"/>
      <c r="AA387" s="40"/>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row>
    <row r="388">
      <c r="A388" s="37"/>
      <c r="B388" s="322"/>
      <c r="C388" s="144"/>
      <c r="D388" s="144"/>
      <c r="E388" s="37"/>
      <c r="F388" s="37"/>
      <c r="G388" s="37"/>
      <c r="H388" s="33" t="str">
        <f t="shared" si="1"/>
        <v/>
      </c>
      <c r="I388" s="37"/>
      <c r="J388" s="37"/>
      <c r="K388" s="37"/>
      <c r="L388" s="38"/>
      <c r="M388" s="37"/>
      <c r="N388" s="37"/>
      <c r="O388" s="37"/>
      <c r="P388" s="14"/>
      <c r="Q388" s="14"/>
      <c r="R388" s="37"/>
      <c r="S388" s="37"/>
      <c r="T388" s="64"/>
      <c r="U388" s="16"/>
      <c r="V388" s="37" t="str">
        <f>IFERROR(__xludf.DUMMYFUNCTION("if(not(iserror(index(split(C388, "" ""),2))), index(split(C388, "" ""),1),"""")"),"")</f>
        <v/>
      </c>
      <c r="W388" s="315" t="str">
        <f>IFERROR(__xludf.DUMMYFUNCTION("if(V388="""",C388,if(not(iserror(index(split(C388, "" ""),3))), index(split(C388, "" ""),3),index(split(C388, "" ""),2)))"),"")</f>
        <v/>
      </c>
      <c r="X388" s="38" t="b">
        <f t="shared" si="2"/>
        <v>0</v>
      </c>
      <c r="Y388" s="38"/>
      <c r="Z388" s="40"/>
      <c r="AA388" s="40"/>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row>
    <row r="389">
      <c r="A389" s="37"/>
      <c r="B389" s="322"/>
      <c r="C389" s="144"/>
      <c r="D389" s="144"/>
      <c r="E389" s="37"/>
      <c r="F389" s="37"/>
      <c r="G389" s="37"/>
      <c r="H389" s="33" t="str">
        <f t="shared" si="1"/>
        <v/>
      </c>
      <c r="I389" s="37"/>
      <c r="J389" s="37"/>
      <c r="K389" s="37"/>
      <c r="L389" s="38"/>
      <c r="M389" s="37"/>
      <c r="N389" s="37"/>
      <c r="O389" s="37"/>
      <c r="P389" s="14"/>
      <c r="Q389" s="15"/>
      <c r="R389" s="16"/>
      <c r="S389" s="16"/>
      <c r="T389" s="16"/>
      <c r="U389" s="16"/>
      <c r="V389" s="37" t="str">
        <f>IFERROR(__xludf.DUMMYFUNCTION("if(not(iserror(index(split(C389, "" ""),2))), index(split(C389, "" ""),1),"""")"),"")</f>
        <v/>
      </c>
      <c r="W389" s="315" t="str">
        <f>IFERROR(__xludf.DUMMYFUNCTION("if(V389="""",C389,if(not(iserror(index(split(C389, "" ""),3))), index(split(C389, "" ""),3),index(split(C389, "" ""),2)))"),"")</f>
        <v/>
      </c>
      <c r="X389" s="38" t="b">
        <f t="shared" si="2"/>
        <v>0</v>
      </c>
      <c r="Y389" s="38"/>
      <c r="Z389" s="40"/>
      <c r="AA389" s="40"/>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row>
    <row r="390">
      <c r="B390" s="322"/>
      <c r="C390" s="144"/>
      <c r="D390" s="144"/>
      <c r="E390" s="37"/>
      <c r="F390" s="37"/>
      <c r="G390" s="37"/>
      <c r="H390" s="33" t="str">
        <f t="shared" si="1"/>
        <v/>
      </c>
      <c r="I390" s="37"/>
      <c r="J390" s="37"/>
      <c r="K390" s="37"/>
      <c r="L390" s="38"/>
      <c r="M390" s="37"/>
      <c r="N390" s="37"/>
      <c r="O390" s="37"/>
      <c r="P390" s="14"/>
      <c r="Q390" s="15"/>
      <c r="R390" s="16"/>
      <c r="S390" s="16"/>
      <c r="T390" s="16"/>
      <c r="U390" s="16"/>
      <c r="V390" s="37" t="str">
        <f>IFERROR(__xludf.DUMMYFUNCTION("if(not(iserror(index(split(C390, "" ""),2))), index(split(C390, "" ""),1),"""")"),"")</f>
        <v/>
      </c>
      <c r="W390" s="315" t="str">
        <f>IFERROR(__xludf.DUMMYFUNCTION("if(V390="""",C390,if(not(iserror(index(split(C390, "" ""),3))), index(split(C390, "" ""),3),index(split(C390, "" ""),2)))"),"")</f>
        <v/>
      </c>
      <c r="X390" s="38" t="b">
        <f t="shared" si="2"/>
        <v>0</v>
      </c>
      <c r="Y390" s="38"/>
      <c r="Z390" s="40"/>
      <c r="AA390" s="40"/>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row>
    <row r="391">
      <c r="A391" s="37"/>
      <c r="B391" s="322"/>
      <c r="C391" s="144"/>
      <c r="D391" s="144"/>
      <c r="E391" s="37"/>
      <c r="F391" s="37"/>
      <c r="G391" s="37"/>
      <c r="H391" s="33" t="str">
        <f t="shared" si="1"/>
        <v/>
      </c>
      <c r="I391" s="37"/>
      <c r="J391" s="37"/>
      <c r="K391" s="37"/>
      <c r="L391" s="38"/>
      <c r="M391" s="37"/>
      <c r="N391" s="37"/>
      <c r="O391" s="37"/>
      <c r="P391" s="14"/>
      <c r="Q391" s="15"/>
      <c r="R391" s="37"/>
      <c r="S391" s="37"/>
      <c r="T391" s="64"/>
      <c r="U391" s="16"/>
      <c r="V391" s="37" t="str">
        <f>IFERROR(__xludf.DUMMYFUNCTION("if(not(iserror(index(split(C391, "" ""),2))), index(split(C391, "" ""),1),"""")"),"")</f>
        <v/>
      </c>
      <c r="W391" s="315" t="str">
        <f>IFERROR(__xludf.DUMMYFUNCTION("if(V391="""",C391,if(not(iserror(index(split(C391, "" ""),3))), index(split(C391, "" ""),3),index(split(C391, "" ""),2)))"),"")</f>
        <v/>
      </c>
      <c r="X391" s="38" t="b">
        <f t="shared" si="2"/>
        <v>0</v>
      </c>
      <c r="Y391" s="38"/>
      <c r="Z391" s="40"/>
      <c r="AA391" s="40"/>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row>
    <row r="392">
      <c r="A392" s="37"/>
      <c r="B392" s="322"/>
      <c r="C392" s="144"/>
      <c r="D392" s="144"/>
      <c r="E392" s="37"/>
      <c r="F392" s="37"/>
      <c r="G392" s="37"/>
      <c r="H392" s="33" t="str">
        <f t="shared" si="1"/>
        <v/>
      </c>
      <c r="I392" s="37"/>
      <c r="J392" s="37"/>
      <c r="K392" s="37"/>
      <c r="L392" s="38"/>
      <c r="M392" s="37"/>
      <c r="N392" s="37"/>
      <c r="O392" s="37"/>
      <c r="P392" s="14"/>
      <c r="Q392" s="15"/>
      <c r="R392" s="37"/>
      <c r="S392" s="37"/>
      <c r="T392" s="64"/>
      <c r="U392" s="16"/>
      <c r="V392" s="37" t="str">
        <f>IFERROR(__xludf.DUMMYFUNCTION("if(not(iserror(index(split(C392, "" ""),2))), index(split(C392, "" ""),1),"""")"),"")</f>
        <v/>
      </c>
      <c r="W392" s="315" t="str">
        <f>IFERROR(__xludf.DUMMYFUNCTION("if(V392="""",C392,if(not(iserror(index(split(C392, "" ""),3))), index(split(C392, "" ""),3),index(split(C392, "" ""),2)))"),"")</f>
        <v/>
      </c>
      <c r="X392" s="38" t="b">
        <f t="shared" si="2"/>
        <v>0</v>
      </c>
      <c r="Y392" s="38"/>
      <c r="Z392" s="40"/>
      <c r="AA392" s="40"/>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row>
    <row r="393">
      <c r="A393" s="37"/>
      <c r="B393" s="322"/>
      <c r="C393" s="144"/>
      <c r="D393" s="144"/>
      <c r="E393" s="37"/>
      <c r="F393" s="37"/>
      <c r="G393" s="37"/>
      <c r="H393" s="33" t="str">
        <f t="shared" si="1"/>
        <v/>
      </c>
      <c r="I393" s="37"/>
      <c r="J393" s="37"/>
      <c r="K393" s="37"/>
      <c r="L393" s="38"/>
      <c r="M393" s="37"/>
      <c r="N393" s="37"/>
      <c r="O393" s="37"/>
      <c r="P393" s="14"/>
      <c r="Q393" s="15"/>
      <c r="R393" s="16"/>
      <c r="S393" s="16"/>
      <c r="T393" s="16"/>
      <c r="U393" s="16"/>
      <c r="V393" s="37" t="str">
        <f>IFERROR(__xludf.DUMMYFUNCTION("if(not(iserror(index(split(C393, "" ""),2))), index(split(C393, "" ""),1),"""")"),"")</f>
        <v/>
      </c>
      <c r="W393" s="315" t="str">
        <f>IFERROR(__xludf.DUMMYFUNCTION("if(V393="""",C393,if(not(iserror(index(split(C393, "" ""),3))), index(split(C393, "" ""),3),index(split(C393, "" ""),2)))"),"")</f>
        <v/>
      </c>
      <c r="X393" s="38" t="b">
        <f t="shared" si="2"/>
        <v>0</v>
      </c>
      <c r="Y393" s="38"/>
      <c r="Z393" s="40"/>
      <c r="AA393" s="40"/>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row>
    <row r="394">
      <c r="A394" s="37"/>
      <c r="B394" s="322"/>
      <c r="C394" s="144"/>
      <c r="D394" s="144"/>
      <c r="E394" s="37"/>
      <c r="F394" s="37"/>
      <c r="G394" s="37"/>
      <c r="H394" s="33" t="str">
        <f t="shared" si="1"/>
        <v/>
      </c>
      <c r="I394" s="37"/>
      <c r="J394" s="37"/>
      <c r="K394" s="37"/>
      <c r="L394" s="38"/>
      <c r="M394" s="37"/>
      <c r="N394" s="37"/>
      <c r="O394" s="37"/>
      <c r="P394" s="14"/>
      <c r="Q394" s="15"/>
      <c r="R394" s="37"/>
      <c r="S394" s="16"/>
      <c r="T394" s="64"/>
      <c r="U394" s="16"/>
      <c r="V394" s="37" t="str">
        <f>IFERROR(__xludf.DUMMYFUNCTION("if(not(iserror(index(split(C394, "" ""),2))), index(split(C394, "" ""),1),"""")"),"")</f>
        <v/>
      </c>
      <c r="W394" s="315" t="str">
        <f>IFERROR(__xludf.DUMMYFUNCTION("if(V394="""",C394,if(not(iserror(index(split(C394, "" ""),3))), index(split(C394, "" ""),3),index(split(C394, "" ""),2)))"),"")</f>
        <v/>
      </c>
      <c r="X394" s="38" t="b">
        <f t="shared" si="2"/>
        <v>0</v>
      </c>
      <c r="Y394" s="38"/>
      <c r="Z394" s="40"/>
      <c r="AA394" s="40"/>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row>
    <row r="395">
      <c r="A395" s="37"/>
      <c r="B395" s="381"/>
      <c r="C395" s="144"/>
      <c r="D395" s="144"/>
      <c r="E395" s="37"/>
      <c r="F395" s="37"/>
      <c r="G395" s="37"/>
      <c r="H395" s="33" t="str">
        <f t="shared" si="1"/>
        <v/>
      </c>
      <c r="I395" s="37"/>
      <c r="J395" s="37"/>
      <c r="K395" s="37"/>
      <c r="L395" s="38"/>
      <c r="M395" s="37"/>
      <c r="N395" s="37"/>
      <c r="O395" s="37"/>
      <c r="P395" s="14"/>
      <c r="Q395" s="15"/>
      <c r="R395" s="37"/>
      <c r="S395" s="37"/>
      <c r="T395" s="64"/>
      <c r="U395" s="16"/>
      <c r="V395" s="37" t="str">
        <f>IFERROR(__xludf.DUMMYFUNCTION("if(not(iserror(index(split(C395, "" ""),2))), index(split(C395, "" ""),1),"""")"),"")</f>
        <v/>
      </c>
      <c r="W395" s="315" t="str">
        <f>IFERROR(__xludf.DUMMYFUNCTION("if(V395="""",C395,if(not(iserror(index(split(C395, "" ""),3))), index(split(C395, "" ""),3),index(split(C395, "" ""),2)))"),"")</f>
        <v/>
      </c>
      <c r="X395" s="38" t="b">
        <f t="shared" si="2"/>
        <v>0</v>
      </c>
      <c r="Y395" s="38"/>
      <c r="Z395" s="40"/>
      <c r="AA395" s="40"/>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row>
    <row r="396">
      <c r="A396" s="37"/>
      <c r="B396" s="381"/>
      <c r="C396" s="144"/>
      <c r="D396" s="144"/>
      <c r="E396" s="37"/>
      <c r="F396" s="37"/>
      <c r="G396" s="37"/>
      <c r="H396" s="33" t="str">
        <f t="shared" si="1"/>
        <v/>
      </c>
      <c r="I396" s="37"/>
      <c r="J396" s="37"/>
      <c r="K396" s="37"/>
      <c r="L396" s="38"/>
      <c r="M396" s="37"/>
      <c r="N396" s="37"/>
      <c r="O396" s="37"/>
      <c r="P396" s="14"/>
      <c r="Q396" s="15"/>
      <c r="R396" s="37"/>
      <c r="S396" s="37"/>
      <c r="T396" s="64"/>
      <c r="U396" s="16"/>
      <c r="V396" s="37" t="str">
        <f>IFERROR(__xludf.DUMMYFUNCTION("if(not(iserror(index(split(C396, "" ""),2))), index(split(C396, "" ""),1),"""")"),"")</f>
        <v/>
      </c>
      <c r="W396" s="315" t="str">
        <f>IFERROR(__xludf.DUMMYFUNCTION("if(V396="""",C396,if(not(iserror(index(split(C396, "" ""),3))), index(split(C396, "" ""),3),index(split(C396, "" ""),2)))"),"")</f>
        <v/>
      </c>
      <c r="X396" s="38" t="b">
        <f t="shared" si="2"/>
        <v>0</v>
      </c>
      <c r="Y396" s="38"/>
      <c r="Z396" s="40"/>
      <c r="AA396" s="40"/>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row>
    <row r="397">
      <c r="A397" s="37"/>
      <c r="B397" s="381"/>
      <c r="C397" s="144"/>
      <c r="D397" s="144"/>
      <c r="E397" s="37"/>
      <c r="F397" s="37"/>
      <c r="G397" s="37"/>
      <c r="H397" s="33" t="str">
        <f t="shared" si="1"/>
        <v/>
      </c>
      <c r="I397" s="37"/>
      <c r="J397" s="37"/>
      <c r="K397" s="37"/>
      <c r="L397" s="38"/>
      <c r="M397" s="37"/>
      <c r="N397" s="37"/>
      <c r="O397" s="37"/>
      <c r="P397" s="14"/>
      <c r="Q397" s="15"/>
      <c r="R397" s="16"/>
      <c r="S397" s="16"/>
      <c r="T397" s="16"/>
      <c r="U397" s="16"/>
      <c r="V397" s="37" t="str">
        <f>IFERROR(__xludf.DUMMYFUNCTION("if(not(iserror(index(split(C397, "" ""),2))), index(split(C397, "" ""),1),"""")"),"")</f>
        <v/>
      </c>
      <c r="W397" s="315" t="str">
        <f>IFERROR(__xludf.DUMMYFUNCTION("if(V397="""",C397,if(not(iserror(index(split(C397, "" ""),3))), index(split(C397, "" ""),3),index(split(C397, "" ""),2)))"),"")</f>
        <v/>
      </c>
      <c r="X397" s="38" t="b">
        <f t="shared" si="2"/>
        <v>0</v>
      </c>
      <c r="Y397" s="38"/>
      <c r="Z397" s="40"/>
      <c r="AA397" s="40"/>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row>
    <row r="398">
      <c r="A398" s="37"/>
      <c r="B398" s="381"/>
      <c r="C398" s="144"/>
      <c r="D398" s="144"/>
      <c r="E398" s="37"/>
      <c r="F398" s="37"/>
      <c r="G398" s="37"/>
      <c r="H398" s="33" t="str">
        <f t="shared" si="1"/>
        <v/>
      </c>
      <c r="I398" s="37"/>
      <c r="J398" s="37"/>
      <c r="K398" s="37"/>
      <c r="L398" s="38"/>
      <c r="M398" s="37"/>
      <c r="N398" s="37"/>
      <c r="O398" s="37"/>
      <c r="P398" s="14"/>
      <c r="Q398" s="15"/>
      <c r="R398" s="16"/>
      <c r="S398" s="16"/>
      <c r="T398" s="16"/>
      <c r="U398" s="16"/>
      <c r="V398" s="37" t="str">
        <f>IFERROR(__xludf.DUMMYFUNCTION("if(not(iserror(index(split(C398, "" ""),2))), index(split(C398, "" ""),1),"""")"),"")</f>
        <v/>
      </c>
      <c r="W398" s="315" t="str">
        <f>IFERROR(__xludf.DUMMYFUNCTION("if(V398="""",C398,if(not(iserror(index(split(C398, "" ""),3))), index(split(C398, "" ""),3),index(split(C398, "" ""),2)))"),"")</f>
        <v/>
      </c>
      <c r="X398" s="38" t="b">
        <f t="shared" si="2"/>
        <v>0</v>
      </c>
      <c r="Y398" s="38"/>
      <c r="Z398" s="40"/>
      <c r="AA398" s="40"/>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row>
    <row r="399">
      <c r="A399" s="37"/>
      <c r="B399" s="381"/>
      <c r="C399" s="144"/>
      <c r="D399" s="144"/>
      <c r="E399" s="37"/>
      <c r="F399" s="37"/>
      <c r="G399" s="37"/>
      <c r="H399" s="33" t="str">
        <f t="shared" si="1"/>
        <v/>
      </c>
      <c r="I399" s="37"/>
      <c r="J399" s="37"/>
      <c r="K399" s="37"/>
      <c r="L399" s="38"/>
      <c r="M399" s="37"/>
      <c r="N399" s="37"/>
      <c r="O399" s="37"/>
      <c r="P399" s="14"/>
      <c r="Q399" s="15"/>
      <c r="R399" s="16"/>
      <c r="S399" s="16"/>
      <c r="T399" s="16"/>
      <c r="U399" s="16"/>
      <c r="V399" s="37" t="str">
        <f>IFERROR(__xludf.DUMMYFUNCTION("if(not(iserror(index(split(C399, "" ""),2))), index(split(C399, "" ""),1),"""")"),"")</f>
        <v/>
      </c>
      <c r="W399" s="315" t="str">
        <f>IFERROR(__xludf.DUMMYFUNCTION("if(V399="""",C399,if(not(iserror(index(split(C399, "" ""),3))), index(split(C399, "" ""),3),index(split(C399, "" ""),2)))"),"")</f>
        <v/>
      </c>
      <c r="X399" s="38" t="b">
        <f t="shared" si="2"/>
        <v>0</v>
      </c>
      <c r="Y399" s="38"/>
      <c r="Z399" s="40"/>
      <c r="AA399" s="40"/>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row>
    <row r="400">
      <c r="A400" s="37"/>
      <c r="B400" s="381"/>
      <c r="C400" s="144"/>
      <c r="D400" s="144"/>
      <c r="E400" s="37"/>
      <c r="F400" s="37"/>
      <c r="G400" s="37"/>
      <c r="H400" s="33" t="str">
        <f t="shared" si="1"/>
        <v/>
      </c>
      <c r="I400" s="37"/>
      <c r="J400" s="37"/>
      <c r="K400" s="37"/>
      <c r="L400" s="38"/>
      <c r="M400" s="37"/>
      <c r="N400" s="37"/>
      <c r="O400" s="37"/>
      <c r="P400" s="14"/>
      <c r="Q400" s="15"/>
      <c r="R400" s="16"/>
      <c r="S400" s="16"/>
      <c r="T400" s="16"/>
      <c r="U400" s="16"/>
      <c r="V400" s="37" t="str">
        <f>IFERROR(__xludf.DUMMYFUNCTION("if(not(iserror(index(split(C400, "" ""),2))), index(split(C400, "" ""),1),"""")"),"")</f>
        <v/>
      </c>
      <c r="W400" s="315" t="str">
        <f>IFERROR(__xludf.DUMMYFUNCTION("if(V400="""",C400,if(not(iserror(index(split(C400, "" ""),3))), index(split(C400, "" ""),3),index(split(C400, "" ""),2)))"),"")</f>
        <v/>
      </c>
      <c r="X400" s="38" t="b">
        <f t="shared" si="2"/>
        <v>0</v>
      </c>
      <c r="Y400" s="38"/>
      <c r="Z400" s="40"/>
      <c r="AA400" s="40"/>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row>
    <row r="401">
      <c r="A401" s="37"/>
      <c r="B401" s="381"/>
      <c r="C401" s="144"/>
      <c r="D401" s="144"/>
      <c r="E401" s="37"/>
      <c r="F401" s="37"/>
      <c r="G401" s="37"/>
      <c r="H401" s="33" t="str">
        <f t="shared" si="1"/>
        <v/>
      </c>
      <c r="I401" s="37"/>
      <c r="J401" s="37"/>
      <c r="K401" s="37"/>
      <c r="L401" s="38"/>
      <c r="M401" s="37"/>
      <c r="N401" s="37"/>
      <c r="O401" s="37"/>
      <c r="P401" s="14"/>
      <c r="Q401" s="15"/>
      <c r="R401" s="16"/>
      <c r="S401" s="16"/>
      <c r="T401" s="16"/>
      <c r="U401" s="16"/>
      <c r="V401" s="37" t="str">
        <f>IFERROR(__xludf.DUMMYFUNCTION("if(not(iserror(index(split(C401, "" ""),2))), index(split(C401, "" ""),1),"""")"),"")</f>
        <v/>
      </c>
      <c r="W401" s="315" t="str">
        <f>IFERROR(__xludf.DUMMYFUNCTION("if(V401="""",C401,if(not(iserror(index(split(C401, "" ""),3))), index(split(C401, "" ""),3),index(split(C401, "" ""),2)))"),"")</f>
        <v/>
      </c>
      <c r="X401" s="38" t="b">
        <f t="shared" si="2"/>
        <v>0</v>
      </c>
      <c r="Y401" s="38"/>
      <c r="Z401" s="40"/>
      <c r="AA401" s="40"/>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row>
    <row r="402">
      <c r="A402" s="37"/>
      <c r="B402" s="381"/>
      <c r="C402" s="144"/>
      <c r="D402" s="144"/>
      <c r="E402" s="37"/>
      <c r="F402" s="37"/>
      <c r="G402" s="37"/>
      <c r="H402" s="33" t="str">
        <f t="shared" si="1"/>
        <v/>
      </c>
      <c r="I402" s="37"/>
      <c r="J402" s="37"/>
      <c r="K402" s="37"/>
      <c r="L402" s="38"/>
      <c r="M402" s="37"/>
      <c r="N402" s="37"/>
      <c r="O402" s="37"/>
      <c r="P402" s="14"/>
      <c r="Q402" s="15"/>
      <c r="R402" s="16"/>
      <c r="S402" s="16"/>
      <c r="T402" s="16"/>
      <c r="U402" s="16"/>
      <c r="V402" s="37" t="str">
        <f>IFERROR(__xludf.DUMMYFUNCTION("if(not(iserror(index(split(C402, "" ""),2))), index(split(C402, "" ""),1),"""")"),"")</f>
        <v/>
      </c>
      <c r="W402" s="315" t="str">
        <f>IFERROR(__xludf.DUMMYFUNCTION("if(V402="""",C402,if(not(iserror(index(split(C402, "" ""),3))), index(split(C402, "" ""),3),index(split(C402, "" ""),2)))"),"")</f>
        <v/>
      </c>
      <c r="X402" s="38" t="b">
        <f t="shared" si="2"/>
        <v>0</v>
      </c>
      <c r="Y402" s="38"/>
      <c r="Z402" s="40"/>
      <c r="AA402" s="40"/>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row>
    <row r="403">
      <c r="A403" s="37"/>
      <c r="B403" s="381"/>
      <c r="C403" s="144"/>
      <c r="D403" s="144"/>
      <c r="E403" s="37"/>
      <c r="F403" s="37"/>
      <c r="G403" s="37"/>
      <c r="H403" s="33" t="str">
        <f t="shared" si="1"/>
        <v/>
      </c>
      <c r="I403" s="37"/>
      <c r="J403" s="37"/>
      <c r="K403" s="37"/>
      <c r="L403" s="38"/>
      <c r="M403" s="37"/>
      <c r="N403" s="37"/>
      <c r="O403" s="37"/>
      <c r="P403" s="14"/>
      <c r="Q403" s="15"/>
      <c r="R403" s="16"/>
      <c r="S403" s="16"/>
      <c r="T403" s="16"/>
      <c r="U403" s="16"/>
      <c r="V403" s="37" t="str">
        <f>IFERROR(__xludf.DUMMYFUNCTION("if(not(iserror(index(split(C403, "" ""),2))), index(split(C403, "" ""),1),"""")"),"")</f>
        <v/>
      </c>
      <c r="W403" s="315" t="str">
        <f>IFERROR(__xludf.DUMMYFUNCTION("if(V403="""",C403,if(not(iserror(index(split(C403, "" ""),3))), index(split(C403, "" ""),3),index(split(C403, "" ""),2)))"),"")</f>
        <v/>
      </c>
      <c r="X403" s="38" t="b">
        <f t="shared" si="2"/>
        <v>0</v>
      </c>
      <c r="Y403" s="38"/>
      <c r="Z403" s="40"/>
      <c r="AA403" s="40"/>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row>
    <row r="404">
      <c r="A404" s="37"/>
      <c r="B404" s="381"/>
      <c r="C404" s="144"/>
      <c r="D404" s="144"/>
      <c r="E404" s="37"/>
      <c r="F404" s="37"/>
      <c r="G404" s="37"/>
      <c r="H404" s="33" t="str">
        <f t="shared" si="1"/>
        <v/>
      </c>
      <c r="I404" s="37"/>
      <c r="J404" s="37"/>
      <c r="K404" s="37"/>
      <c r="L404" s="38"/>
      <c r="M404" s="37"/>
      <c r="N404" s="37"/>
      <c r="O404" s="37"/>
      <c r="P404" s="14"/>
      <c r="Q404" s="15"/>
      <c r="R404" s="16"/>
      <c r="S404" s="16"/>
      <c r="T404" s="16"/>
      <c r="U404" s="16"/>
      <c r="V404" s="37" t="str">
        <f>IFERROR(__xludf.DUMMYFUNCTION("if(not(iserror(index(split(C404, "" ""),2))), index(split(C404, "" ""),1),"""")"),"")</f>
        <v/>
      </c>
      <c r="W404" s="315" t="str">
        <f>IFERROR(__xludf.DUMMYFUNCTION("if(V404="""",C404,if(not(iserror(index(split(C404, "" ""),3))), index(split(C404, "" ""),3),index(split(C404, "" ""),2)))"),"")</f>
        <v/>
      </c>
      <c r="X404" s="38" t="b">
        <f t="shared" si="2"/>
        <v>0</v>
      </c>
      <c r="Y404" s="38"/>
      <c r="Z404" s="40"/>
      <c r="AA404" s="40"/>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row>
    <row r="405">
      <c r="A405" s="37"/>
      <c r="B405" s="322"/>
      <c r="C405" s="144"/>
      <c r="D405" s="144"/>
      <c r="E405" s="37"/>
      <c r="F405" s="37"/>
      <c r="G405" s="37"/>
      <c r="H405" s="33" t="str">
        <f t="shared" si="1"/>
        <v/>
      </c>
      <c r="I405" s="37"/>
      <c r="J405" s="37"/>
      <c r="K405" s="37"/>
      <c r="L405" s="38"/>
      <c r="M405" s="37"/>
      <c r="N405" s="37"/>
      <c r="O405" s="37"/>
      <c r="P405" s="80"/>
      <c r="Q405" s="15"/>
      <c r="R405" s="16"/>
      <c r="S405" s="16"/>
      <c r="T405" s="37"/>
      <c r="U405" s="16"/>
      <c r="V405" s="37" t="str">
        <f>IFERROR(__xludf.DUMMYFUNCTION("if(not(iserror(index(split(C405, "" ""),2))), index(split(C405, "" ""),1),"""")"),"")</f>
        <v/>
      </c>
      <c r="W405" s="315" t="str">
        <f>IFERROR(__xludf.DUMMYFUNCTION("if(V405="""",C405,if(not(iserror(index(split(C405, "" ""),3))), index(split(C405, "" ""),3),index(split(C405, "" ""),2)))"),"")</f>
        <v/>
      </c>
      <c r="X405" s="38" t="b">
        <f t="shared" si="2"/>
        <v>0</v>
      </c>
      <c r="Y405" s="38"/>
      <c r="Z405" s="40"/>
      <c r="AA405" s="40"/>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row>
    <row r="406">
      <c r="A406" s="37"/>
      <c r="B406" s="322"/>
      <c r="C406" s="144"/>
      <c r="D406" s="144"/>
      <c r="E406" s="37"/>
      <c r="F406" s="37"/>
      <c r="G406" s="37"/>
      <c r="H406" s="33" t="str">
        <f t="shared" si="1"/>
        <v/>
      </c>
      <c r="I406" s="37"/>
      <c r="J406" s="37"/>
      <c r="K406" s="37"/>
      <c r="L406" s="38"/>
      <c r="M406" s="37"/>
      <c r="N406" s="37"/>
      <c r="O406" s="37"/>
      <c r="P406" s="80"/>
      <c r="Q406" s="15"/>
      <c r="R406" s="16"/>
      <c r="S406" s="16"/>
      <c r="T406" s="16"/>
      <c r="U406" s="16"/>
      <c r="V406" s="37" t="str">
        <f>IFERROR(__xludf.DUMMYFUNCTION("if(not(iserror(index(split(C406, "" ""),2))), index(split(C406, "" ""),1),"""")"),"")</f>
        <v/>
      </c>
      <c r="W406" s="315" t="str">
        <f>IFERROR(__xludf.DUMMYFUNCTION("if(V406="""",C406,if(not(iserror(index(split(C406, "" ""),3))), index(split(C406, "" ""),3),index(split(C406, "" ""),2)))"),"")</f>
        <v/>
      </c>
      <c r="X406" s="38" t="b">
        <f t="shared" si="2"/>
        <v>0</v>
      </c>
      <c r="Y406" s="38"/>
      <c r="Z406" s="40"/>
      <c r="AA406" s="40"/>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row>
    <row r="407">
      <c r="A407" s="37"/>
      <c r="B407" s="322"/>
      <c r="C407" s="144"/>
      <c r="D407" s="144"/>
      <c r="E407" s="37"/>
      <c r="F407" s="37"/>
      <c r="G407" s="37"/>
      <c r="H407" s="33" t="str">
        <f t="shared" si="1"/>
        <v/>
      </c>
      <c r="I407" s="37"/>
      <c r="J407" s="37"/>
      <c r="K407" s="37"/>
      <c r="L407" s="38"/>
      <c r="M407" s="37"/>
      <c r="N407" s="37"/>
      <c r="O407" s="37"/>
      <c r="P407" s="374"/>
      <c r="Q407" s="15"/>
      <c r="R407" s="16"/>
      <c r="S407" s="16"/>
      <c r="T407" s="16"/>
      <c r="U407" s="16"/>
      <c r="V407" s="37" t="str">
        <f>IFERROR(__xludf.DUMMYFUNCTION("if(not(iserror(index(split(C407, "" ""),2))), index(split(C407, "" ""),1),"""")"),"")</f>
        <v/>
      </c>
      <c r="W407" s="315" t="str">
        <f>IFERROR(__xludf.DUMMYFUNCTION("if(V407="""",C407,if(not(iserror(index(split(C407, "" ""),3))), index(split(C407, "" ""),3),index(split(C407, "" ""),2)))"),"")</f>
        <v/>
      </c>
      <c r="X407" s="38" t="b">
        <f t="shared" si="2"/>
        <v>0</v>
      </c>
      <c r="Y407" s="38"/>
      <c r="Z407" s="40"/>
      <c r="AA407" s="40"/>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row>
    <row r="408">
      <c r="A408" s="37"/>
      <c r="B408" s="322"/>
      <c r="C408" s="144"/>
      <c r="D408" s="144"/>
      <c r="E408" s="37"/>
      <c r="F408" s="37"/>
      <c r="G408" s="37"/>
      <c r="H408" s="33" t="str">
        <f t="shared" si="1"/>
        <v/>
      </c>
      <c r="I408" s="37"/>
      <c r="J408" s="37"/>
      <c r="K408" s="37"/>
      <c r="L408" s="38"/>
      <c r="M408" s="37"/>
      <c r="N408" s="37"/>
      <c r="O408" s="37"/>
      <c r="P408" s="374"/>
      <c r="Q408" s="15"/>
      <c r="R408" s="16"/>
      <c r="S408" s="16"/>
      <c r="T408" s="16"/>
      <c r="U408" s="16"/>
      <c r="V408" s="37" t="str">
        <f>IFERROR(__xludf.DUMMYFUNCTION("if(not(iserror(index(split(C408, "" ""),2))), index(split(C408, "" ""),1),"""")"),"")</f>
        <v/>
      </c>
      <c r="W408" s="315" t="str">
        <f>IFERROR(__xludf.DUMMYFUNCTION("if(V408="""",C408,if(not(iserror(index(split(C408, "" ""),3))), index(split(C408, "" ""),3),index(split(C408, "" ""),2)))"),"")</f>
        <v/>
      </c>
      <c r="X408" s="38" t="b">
        <f t="shared" si="2"/>
        <v>0</v>
      </c>
      <c r="Y408" s="38"/>
      <c r="Z408" s="40"/>
      <c r="AA408" s="40"/>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row>
    <row r="409">
      <c r="A409" s="37"/>
      <c r="B409" s="322"/>
      <c r="C409" s="144"/>
      <c r="D409" s="144"/>
      <c r="E409" s="37"/>
      <c r="F409" s="37"/>
      <c r="G409" s="37"/>
      <c r="H409" s="33" t="str">
        <f t="shared" si="1"/>
        <v/>
      </c>
      <c r="I409" s="37"/>
      <c r="J409" s="37"/>
      <c r="K409" s="37"/>
      <c r="L409" s="38"/>
      <c r="M409" s="37"/>
      <c r="N409" s="37"/>
      <c r="O409" s="37"/>
      <c r="P409" s="374"/>
      <c r="Q409" s="15"/>
      <c r="R409" s="16"/>
      <c r="S409" s="16"/>
      <c r="T409" s="16"/>
      <c r="U409" s="16"/>
      <c r="V409" s="37" t="str">
        <f>IFERROR(__xludf.DUMMYFUNCTION("if(not(iserror(index(split(C409, "" ""),2))), index(split(C409, "" ""),1),"""")"),"")</f>
        <v/>
      </c>
      <c r="W409" s="315" t="str">
        <f>IFERROR(__xludf.DUMMYFUNCTION("if(V409="""",C409,if(not(iserror(index(split(C409, "" ""),3))), index(split(C409, "" ""),3),index(split(C409, "" ""),2)))"),"")</f>
        <v/>
      </c>
      <c r="X409" s="38" t="b">
        <f t="shared" si="2"/>
        <v>0</v>
      </c>
      <c r="Y409" s="38"/>
      <c r="Z409" s="40"/>
      <c r="AA409" s="40"/>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row>
    <row r="410">
      <c r="A410" s="37"/>
      <c r="B410" s="322"/>
      <c r="C410" s="144"/>
      <c r="D410" s="144"/>
      <c r="E410" s="37"/>
      <c r="F410" s="37"/>
      <c r="G410" s="37"/>
      <c r="H410" s="33" t="str">
        <f t="shared" si="1"/>
        <v/>
      </c>
      <c r="I410" s="37"/>
      <c r="J410" s="37"/>
      <c r="K410" s="37"/>
      <c r="L410" s="38"/>
      <c r="M410" s="37"/>
      <c r="N410" s="37"/>
      <c r="O410" s="37"/>
      <c r="P410" s="374"/>
      <c r="Q410" s="15"/>
      <c r="R410" s="16"/>
      <c r="S410" s="16"/>
      <c r="T410" s="16"/>
      <c r="U410" s="16"/>
      <c r="V410" s="37" t="str">
        <f>IFERROR(__xludf.DUMMYFUNCTION("if(not(iserror(index(split(C410, "" ""),2))), index(split(C410, "" ""),1),"""")"),"")</f>
        <v/>
      </c>
      <c r="W410" s="315" t="str">
        <f>IFERROR(__xludf.DUMMYFUNCTION("if(V410="""",C410,if(not(iserror(index(split(C410, "" ""),3))), index(split(C410, "" ""),3),index(split(C410, "" ""),2)))"),"")</f>
        <v/>
      </c>
      <c r="X410" s="38" t="b">
        <f t="shared" si="2"/>
        <v>0</v>
      </c>
      <c r="Y410" s="38"/>
      <c r="Z410" s="40"/>
      <c r="AA410" s="40"/>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row>
    <row r="411">
      <c r="A411" s="37"/>
      <c r="B411" s="322"/>
      <c r="C411" s="144"/>
      <c r="D411" s="144"/>
      <c r="E411" s="37"/>
      <c r="F411" s="37"/>
      <c r="G411" s="37"/>
      <c r="H411" s="33" t="str">
        <f t="shared" si="1"/>
        <v/>
      </c>
      <c r="I411" s="37"/>
      <c r="J411" s="37"/>
      <c r="K411" s="37"/>
      <c r="L411" s="38"/>
      <c r="M411" s="37"/>
      <c r="N411" s="37"/>
      <c r="O411" s="37"/>
      <c r="P411" s="374"/>
      <c r="Q411" s="15"/>
      <c r="R411" s="16"/>
      <c r="S411" s="16"/>
      <c r="T411" s="16"/>
      <c r="U411" s="16"/>
      <c r="V411" s="37" t="str">
        <f>IFERROR(__xludf.DUMMYFUNCTION("if(not(iserror(index(split(C411, "" ""),2))), index(split(C411, "" ""),1),"""")"),"")</f>
        <v/>
      </c>
      <c r="W411" s="315" t="str">
        <f>IFERROR(__xludf.DUMMYFUNCTION("if(V411="""",C411,if(not(iserror(index(split(C411, "" ""),3))), index(split(C411, "" ""),3),index(split(C411, "" ""),2)))"),"")</f>
        <v/>
      </c>
      <c r="X411" s="38" t="b">
        <f t="shared" si="2"/>
        <v>0</v>
      </c>
      <c r="Y411" s="38"/>
      <c r="Z411" s="40"/>
      <c r="AA411" s="40"/>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row>
    <row r="412">
      <c r="A412" s="37"/>
      <c r="B412" s="322"/>
      <c r="C412" s="144"/>
      <c r="D412" s="144"/>
      <c r="E412" s="37"/>
      <c r="F412" s="37"/>
      <c r="G412" s="37"/>
      <c r="H412" s="33" t="str">
        <f t="shared" si="1"/>
        <v/>
      </c>
      <c r="I412" s="37"/>
      <c r="J412" s="37"/>
      <c r="K412" s="37"/>
      <c r="L412" s="38"/>
      <c r="M412" s="37"/>
      <c r="N412" s="37"/>
      <c r="O412" s="37"/>
      <c r="P412" s="374"/>
      <c r="Q412" s="15"/>
      <c r="R412" s="16"/>
      <c r="S412" s="16"/>
      <c r="T412" s="16"/>
      <c r="U412" s="16"/>
      <c r="V412" s="37" t="str">
        <f>IFERROR(__xludf.DUMMYFUNCTION("if(not(iserror(index(split(C412, "" ""),2))), index(split(C412, "" ""),1),"""")"),"")</f>
        <v/>
      </c>
      <c r="W412" s="315" t="str">
        <f>IFERROR(__xludf.DUMMYFUNCTION("if(V412="""",C412,if(not(iserror(index(split(C412, "" ""),3))), index(split(C412, "" ""),3),index(split(C412, "" ""),2)))"),"")</f>
        <v/>
      </c>
      <c r="X412" s="38" t="b">
        <f t="shared" si="2"/>
        <v>0</v>
      </c>
      <c r="Y412" s="38"/>
      <c r="Z412" s="40"/>
      <c r="AA412" s="40"/>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row>
    <row r="413">
      <c r="A413" s="37"/>
      <c r="B413" s="322"/>
      <c r="C413" s="144"/>
      <c r="D413" s="144"/>
      <c r="E413" s="37"/>
      <c r="F413" s="37"/>
      <c r="G413" s="37"/>
      <c r="H413" s="33" t="str">
        <f t="shared" si="1"/>
        <v/>
      </c>
      <c r="I413" s="37"/>
      <c r="J413" s="37"/>
      <c r="K413" s="37"/>
      <c r="L413" s="38"/>
      <c r="M413" s="37"/>
      <c r="N413" s="37"/>
      <c r="O413" s="37"/>
      <c r="P413" s="374"/>
      <c r="Q413" s="15"/>
      <c r="R413" s="37"/>
      <c r="S413" s="16"/>
      <c r="T413" s="64"/>
      <c r="U413" s="16"/>
      <c r="V413" s="37" t="str">
        <f>IFERROR(__xludf.DUMMYFUNCTION("if(not(iserror(index(split(C413, "" ""),2))), index(split(C413, "" ""),1),"""")"),"")</f>
        <v/>
      </c>
      <c r="W413" s="315" t="str">
        <f>IFERROR(__xludf.DUMMYFUNCTION("if(V413="""",C413,if(not(iserror(index(split(C413, "" ""),3))), index(split(C413, "" ""),3),index(split(C413, "" ""),2)))"),"")</f>
        <v/>
      </c>
      <c r="X413" s="38" t="b">
        <f t="shared" si="2"/>
        <v>0</v>
      </c>
      <c r="Y413" s="38"/>
      <c r="Z413" s="40"/>
      <c r="AA413" s="40"/>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row>
    <row r="414">
      <c r="A414" s="37"/>
      <c r="B414" s="322"/>
      <c r="C414" s="144"/>
      <c r="D414" s="144"/>
      <c r="E414" s="37"/>
      <c r="F414" s="37"/>
      <c r="G414" s="37"/>
      <c r="H414" s="33" t="str">
        <f t="shared" si="1"/>
        <v/>
      </c>
      <c r="I414" s="37"/>
      <c r="J414" s="37"/>
      <c r="K414" s="37"/>
      <c r="L414" s="38"/>
      <c r="M414" s="37"/>
      <c r="N414" s="37"/>
      <c r="O414" s="37"/>
      <c r="P414" s="374"/>
      <c r="Q414" s="14"/>
      <c r="R414" s="37"/>
      <c r="S414" s="37"/>
      <c r="T414" s="64"/>
      <c r="U414" s="16"/>
      <c r="V414" s="37" t="str">
        <f>IFERROR(__xludf.DUMMYFUNCTION("if(not(iserror(index(split(C414, "" ""),2))), index(split(C414, "" ""),1),"""")"),"")</f>
        <v/>
      </c>
      <c r="W414" s="315" t="str">
        <f>IFERROR(__xludf.DUMMYFUNCTION("if(V414="""",C414,if(not(iserror(index(split(C414, "" ""),3))), index(split(C414, "" ""),3),index(split(C414, "" ""),2)))"),"")</f>
        <v/>
      </c>
      <c r="X414" s="38" t="b">
        <f t="shared" si="2"/>
        <v>0</v>
      </c>
      <c r="Y414" s="38"/>
      <c r="Z414" s="40"/>
      <c r="AA414" s="40"/>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row>
    <row r="415">
      <c r="A415" s="37"/>
      <c r="B415" s="322"/>
      <c r="C415" s="144"/>
      <c r="D415" s="144"/>
      <c r="E415" s="37"/>
      <c r="F415" s="37"/>
      <c r="G415" s="37"/>
      <c r="H415" s="33" t="str">
        <f t="shared" si="1"/>
        <v/>
      </c>
      <c r="I415" s="37"/>
      <c r="J415" s="37"/>
      <c r="K415" s="37"/>
      <c r="L415" s="38"/>
      <c r="M415" s="37"/>
      <c r="N415" s="37"/>
      <c r="O415" s="37"/>
      <c r="P415" s="374"/>
      <c r="Q415" s="15"/>
      <c r="R415" s="37"/>
      <c r="S415" s="37"/>
      <c r="T415" s="37"/>
      <c r="U415" s="16"/>
      <c r="V415" s="37" t="str">
        <f>IFERROR(__xludf.DUMMYFUNCTION("if(not(iserror(index(split(C415, "" ""),2))), index(split(C415, "" ""),1),"""")"),"")</f>
        <v/>
      </c>
      <c r="W415" s="315" t="str">
        <f>IFERROR(__xludf.DUMMYFUNCTION("if(V415="""",C415,if(not(iserror(index(split(C415, "" ""),3))), index(split(C415, "" ""),3),index(split(C415, "" ""),2)))"),"")</f>
        <v/>
      </c>
      <c r="X415" s="38" t="b">
        <f t="shared" si="2"/>
        <v>0</v>
      </c>
      <c r="Y415" s="38"/>
      <c r="Z415" s="40"/>
      <c r="AA415" s="40"/>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row>
    <row r="416">
      <c r="A416" s="37"/>
      <c r="B416" s="322"/>
      <c r="C416" s="144"/>
      <c r="D416" s="144"/>
      <c r="E416" s="37"/>
      <c r="F416" s="37"/>
      <c r="G416" s="37"/>
      <c r="H416" s="33" t="str">
        <f t="shared" si="1"/>
        <v/>
      </c>
      <c r="I416" s="37"/>
      <c r="J416" s="37"/>
      <c r="K416" s="37"/>
      <c r="L416" s="38"/>
      <c r="M416" s="37"/>
      <c r="N416" s="37"/>
      <c r="O416" s="37"/>
      <c r="P416" s="374"/>
      <c r="Q416" s="15"/>
      <c r="R416" s="16"/>
      <c r="S416" s="16"/>
      <c r="T416" s="16"/>
      <c r="U416" s="16"/>
      <c r="V416" s="37" t="str">
        <f>IFERROR(__xludf.DUMMYFUNCTION("if(not(iserror(index(split(C416, "" ""),2))), index(split(C416, "" ""),1),"""")"),"")</f>
        <v/>
      </c>
      <c r="W416" s="315" t="str">
        <f>IFERROR(__xludf.DUMMYFUNCTION("if(V416="""",C416,if(not(iserror(index(split(C416, "" ""),3))), index(split(C416, "" ""),3),index(split(C416, "" ""),2)))"),"")</f>
        <v/>
      </c>
      <c r="X416" s="38" t="b">
        <f t="shared" si="2"/>
        <v>0</v>
      </c>
      <c r="Y416" s="38"/>
      <c r="Z416" s="40"/>
      <c r="AA416" s="40"/>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row>
    <row r="417">
      <c r="A417" s="37"/>
      <c r="B417" s="322"/>
      <c r="C417" s="144"/>
      <c r="D417" s="144"/>
      <c r="E417" s="37"/>
      <c r="F417" s="37"/>
      <c r="G417" s="37"/>
      <c r="H417" s="33" t="str">
        <f t="shared" si="1"/>
        <v/>
      </c>
      <c r="I417" s="37"/>
      <c r="J417" s="37"/>
      <c r="K417" s="37"/>
      <c r="L417" s="38"/>
      <c r="M417" s="37"/>
      <c r="N417" s="37"/>
      <c r="O417" s="37"/>
      <c r="P417" s="374"/>
      <c r="Q417" s="15"/>
      <c r="R417" s="16"/>
      <c r="S417" s="16"/>
      <c r="T417" s="16"/>
      <c r="U417" s="16"/>
      <c r="V417" s="37" t="str">
        <f>IFERROR(__xludf.DUMMYFUNCTION("if(not(iserror(index(split(C417, "" ""),2))), index(split(C417, "" ""),1),"""")"),"")</f>
        <v/>
      </c>
      <c r="W417" s="315" t="str">
        <f>IFERROR(__xludf.DUMMYFUNCTION("if(V417="""",C417,if(not(iserror(index(split(C417, "" ""),3))), index(split(C417, "" ""),3),index(split(C417, "" ""),2)))"),"")</f>
        <v/>
      </c>
      <c r="X417" s="38" t="b">
        <f t="shared" si="2"/>
        <v>0</v>
      </c>
      <c r="Y417" s="38"/>
      <c r="Z417" s="40"/>
      <c r="AA417" s="40"/>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row>
    <row r="418">
      <c r="A418" s="37"/>
      <c r="B418" s="381"/>
      <c r="C418" s="144"/>
      <c r="D418" s="144"/>
      <c r="E418" s="37"/>
      <c r="F418" s="37"/>
      <c r="G418" s="37"/>
      <c r="H418" s="33" t="str">
        <f t="shared" si="1"/>
        <v/>
      </c>
      <c r="I418" s="37"/>
      <c r="J418" s="37"/>
      <c r="K418" s="37"/>
      <c r="L418" s="38"/>
      <c r="M418" s="37"/>
      <c r="N418" s="37"/>
      <c r="O418" s="37"/>
      <c r="P418" s="14"/>
      <c r="Q418" s="15"/>
      <c r="R418" s="16"/>
      <c r="S418" s="16"/>
      <c r="T418" s="16"/>
      <c r="U418" s="16"/>
      <c r="V418" s="37" t="str">
        <f>IFERROR(__xludf.DUMMYFUNCTION("if(not(iserror(index(split(C418, "" ""),2))), index(split(C418, "" ""),1),"""")"),"")</f>
        <v/>
      </c>
      <c r="W418" s="315" t="str">
        <f>IFERROR(__xludf.DUMMYFUNCTION("if(V418="""",C418,if(not(iserror(index(split(C418, "" ""),3))), index(split(C418, "" ""),3),index(split(C418, "" ""),2)))"),"")</f>
        <v/>
      </c>
      <c r="X418" s="38" t="b">
        <f t="shared" si="2"/>
        <v>0</v>
      </c>
      <c r="Y418" s="38"/>
      <c r="Z418" s="40"/>
      <c r="AA418" s="40"/>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row>
    <row r="419">
      <c r="A419" s="37"/>
      <c r="B419" s="381"/>
      <c r="C419" s="144"/>
      <c r="D419" s="144"/>
      <c r="E419" s="37"/>
      <c r="F419" s="37"/>
      <c r="G419" s="37"/>
      <c r="H419" s="33" t="str">
        <f t="shared" si="1"/>
        <v/>
      </c>
      <c r="I419" s="37"/>
      <c r="J419" s="37"/>
      <c r="K419" s="37"/>
      <c r="L419" s="38"/>
      <c r="M419" s="37"/>
      <c r="N419" s="37"/>
      <c r="O419" s="37"/>
      <c r="P419" s="14"/>
      <c r="Q419" s="15"/>
      <c r="R419" s="37"/>
      <c r="S419" s="37"/>
      <c r="T419" s="64"/>
      <c r="U419" s="16"/>
      <c r="V419" s="37" t="str">
        <f>IFERROR(__xludf.DUMMYFUNCTION("if(not(iserror(index(split(C419, "" ""),2))), index(split(C419, "" ""),1),"""")"),"")</f>
        <v/>
      </c>
      <c r="W419" s="315" t="str">
        <f>IFERROR(__xludf.DUMMYFUNCTION("if(V419="""",C419,if(not(iserror(index(split(C419, "" ""),3))), index(split(C419, "" ""),3),index(split(C419, "" ""),2)))"),"")</f>
        <v/>
      </c>
      <c r="X419" s="38" t="b">
        <f t="shared" si="2"/>
        <v>0</v>
      </c>
      <c r="Y419" s="38"/>
      <c r="Z419" s="40"/>
      <c r="AA419" s="40"/>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row>
    <row r="420">
      <c r="A420" s="37"/>
      <c r="B420" s="381"/>
      <c r="C420" s="144"/>
      <c r="D420" s="144"/>
      <c r="E420" s="37"/>
      <c r="F420" s="37"/>
      <c r="G420" s="37"/>
      <c r="H420" s="33" t="str">
        <f t="shared" si="1"/>
        <v/>
      </c>
      <c r="I420" s="37"/>
      <c r="J420" s="37"/>
      <c r="K420" s="37"/>
      <c r="L420" s="38"/>
      <c r="M420" s="37"/>
      <c r="N420" s="37"/>
      <c r="O420" s="37"/>
      <c r="P420" s="14"/>
      <c r="Q420" s="14"/>
      <c r="R420" s="37"/>
      <c r="S420" s="37"/>
      <c r="T420" s="37"/>
      <c r="U420" s="16"/>
      <c r="V420" s="37" t="str">
        <f>IFERROR(__xludf.DUMMYFUNCTION("if(not(iserror(index(split(C420, "" ""),2))), index(split(C420, "" ""),1),"""")"),"")</f>
        <v/>
      </c>
      <c r="W420" s="315" t="str">
        <f>IFERROR(__xludf.DUMMYFUNCTION("if(V420="""",C420,if(not(iserror(index(split(C420, "" ""),3))), index(split(C420, "" ""),3),index(split(C420, "" ""),2)))"),"")</f>
        <v/>
      </c>
      <c r="X420" s="38" t="b">
        <f t="shared" si="2"/>
        <v>0</v>
      </c>
      <c r="Y420" s="38"/>
      <c r="Z420" s="40"/>
      <c r="AA420" s="40"/>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row>
    <row r="421">
      <c r="A421" s="37"/>
      <c r="B421" s="381"/>
      <c r="C421" s="144"/>
      <c r="D421" s="144"/>
      <c r="E421" s="37"/>
      <c r="F421" s="37"/>
      <c r="G421" s="37"/>
      <c r="H421" s="33" t="str">
        <f t="shared" si="1"/>
        <v/>
      </c>
      <c r="I421" s="37"/>
      <c r="J421" s="37"/>
      <c r="K421" s="37"/>
      <c r="L421" s="38"/>
      <c r="M421" s="37"/>
      <c r="N421" s="37"/>
      <c r="O421" s="37"/>
      <c r="P421" s="14"/>
      <c r="Q421" s="15"/>
      <c r="R421" s="37"/>
      <c r="S421" s="37"/>
      <c r="T421" s="64"/>
      <c r="U421" s="16"/>
      <c r="V421" s="37" t="str">
        <f>IFERROR(__xludf.DUMMYFUNCTION("if(not(iserror(index(split(C421, "" ""),2))), index(split(C421, "" ""),1),"""")"),"")</f>
        <v/>
      </c>
      <c r="W421" s="315" t="str">
        <f>IFERROR(__xludf.DUMMYFUNCTION("if(V421="""",C421,if(not(iserror(index(split(C421, "" ""),3))), index(split(C421, "" ""),3),index(split(C421, "" ""),2)))"),"")</f>
        <v/>
      </c>
      <c r="X421" s="38" t="b">
        <f t="shared" si="2"/>
        <v>0</v>
      </c>
      <c r="Y421" s="38"/>
      <c r="Z421" s="40"/>
      <c r="AA421" s="40"/>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row>
    <row r="422">
      <c r="A422" s="37"/>
      <c r="B422" s="381"/>
      <c r="C422" s="144"/>
      <c r="D422" s="144"/>
      <c r="E422" s="37"/>
      <c r="F422" s="37"/>
      <c r="G422" s="37"/>
      <c r="H422" s="33" t="str">
        <f t="shared" si="1"/>
        <v/>
      </c>
      <c r="I422" s="37"/>
      <c r="J422" s="37"/>
      <c r="K422" s="37"/>
      <c r="L422" s="38"/>
      <c r="M422" s="37"/>
      <c r="N422" s="37"/>
      <c r="O422" s="37"/>
      <c r="P422" s="14"/>
      <c r="Q422" s="15"/>
      <c r="R422" s="37"/>
      <c r="S422" s="37"/>
      <c r="T422" s="64"/>
      <c r="U422" s="16"/>
      <c r="V422" s="37" t="str">
        <f>IFERROR(__xludf.DUMMYFUNCTION("if(not(iserror(index(split(C422, "" ""),2))), index(split(C422, "" ""),1),"""")"),"")</f>
        <v/>
      </c>
      <c r="W422" s="315" t="str">
        <f>IFERROR(__xludf.DUMMYFUNCTION("if(V422="""",C422,if(not(iserror(index(split(C422, "" ""),3))), index(split(C422, "" ""),3),index(split(C422, "" ""),2)))"),"")</f>
        <v/>
      </c>
      <c r="X422" s="38" t="b">
        <f t="shared" si="2"/>
        <v>0</v>
      </c>
      <c r="Y422" s="38"/>
      <c r="Z422" s="40"/>
      <c r="AA422" s="40"/>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row>
    <row r="423">
      <c r="A423" s="37"/>
      <c r="B423" s="381"/>
      <c r="C423" s="144"/>
      <c r="D423" s="144"/>
      <c r="E423" s="37"/>
      <c r="F423" s="37"/>
      <c r="G423" s="37"/>
      <c r="H423" s="33" t="str">
        <f t="shared" si="1"/>
        <v/>
      </c>
      <c r="I423" s="37"/>
      <c r="J423" s="37"/>
      <c r="K423" s="37"/>
      <c r="L423" s="38"/>
      <c r="M423" s="37"/>
      <c r="N423" s="37"/>
      <c r="O423" s="37"/>
      <c r="P423" s="14"/>
      <c r="Q423" s="14"/>
      <c r="R423" s="37"/>
      <c r="S423" s="37"/>
      <c r="T423" s="37"/>
      <c r="U423" s="16"/>
      <c r="V423" s="37" t="str">
        <f>IFERROR(__xludf.DUMMYFUNCTION("if(not(iserror(index(split(C423, "" ""),2))), index(split(C423, "" ""),1),"""")"),"")</f>
        <v/>
      </c>
      <c r="W423" s="315" t="str">
        <f>IFERROR(__xludf.DUMMYFUNCTION("if(V423="""",C423,if(not(iserror(index(split(C423, "" ""),3))), index(split(C423, "" ""),3),index(split(C423, "" ""),2)))"),"")</f>
        <v/>
      </c>
      <c r="X423" s="38" t="b">
        <f t="shared" si="2"/>
        <v>0</v>
      </c>
      <c r="Y423" s="38"/>
      <c r="Z423" s="40"/>
      <c r="AA423" s="40"/>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row>
    <row r="424">
      <c r="A424" s="91"/>
      <c r="B424" s="382"/>
      <c r="C424" s="146"/>
      <c r="D424" s="146"/>
      <c r="E424" s="91"/>
      <c r="F424" s="91"/>
      <c r="G424" s="91"/>
      <c r="H424" s="33" t="str">
        <f t="shared" si="1"/>
        <v/>
      </c>
      <c r="I424" s="91"/>
      <c r="J424" s="91"/>
      <c r="K424" s="91"/>
      <c r="L424" s="38"/>
      <c r="M424" s="37"/>
      <c r="N424" s="37"/>
      <c r="O424" s="37"/>
      <c r="P424" s="95"/>
      <c r="Q424" s="95"/>
      <c r="R424" s="37"/>
      <c r="S424" s="37"/>
      <c r="T424" s="64"/>
      <c r="U424" s="16"/>
      <c r="V424" s="37" t="str">
        <f>IFERROR(__xludf.DUMMYFUNCTION("if(not(iserror(index(split(C424, "" ""),2))), index(split(C424, "" ""),1),"""")"),"")</f>
        <v/>
      </c>
      <c r="W424" s="315" t="str">
        <f>IFERROR(__xludf.DUMMYFUNCTION("if(V424="""",C424,if(not(iserror(index(split(C424, "" ""),3))), index(split(C424, "" ""),3),index(split(C424, "" ""),2)))"),"")</f>
        <v/>
      </c>
      <c r="X424" s="38" t="b">
        <f t="shared" si="2"/>
        <v>0</v>
      </c>
      <c r="Y424" s="38"/>
      <c r="Z424" s="40"/>
      <c r="AA424" s="40"/>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row>
    <row r="425">
      <c r="A425" s="37"/>
      <c r="B425" s="159"/>
      <c r="C425" s="144"/>
      <c r="D425" s="144"/>
      <c r="E425" s="37"/>
      <c r="F425" s="37"/>
      <c r="G425" s="37"/>
      <c r="H425" s="33" t="str">
        <f t="shared" si="1"/>
        <v/>
      </c>
      <c r="I425" s="37"/>
      <c r="J425" s="37"/>
      <c r="K425" s="37"/>
      <c r="L425" s="38"/>
      <c r="M425" s="37"/>
      <c r="N425" s="37"/>
      <c r="O425" s="37"/>
      <c r="P425" s="14"/>
      <c r="Q425" s="15"/>
      <c r="R425" s="37"/>
      <c r="S425" s="37"/>
      <c r="T425" s="64"/>
      <c r="U425" s="16"/>
      <c r="V425" s="37" t="str">
        <f>IFERROR(__xludf.DUMMYFUNCTION("if(not(iserror(index(split(C425, "" ""),2))), index(split(C425, "" ""),1),"""")"),"")</f>
        <v/>
      </c>
      <c r="W425" s="315" t="str">
        <f>IFERROR(__xludf.DUMMYFUNCTION("if(V425="""",C425,if(not(iserror(index(split(C425, "" ""),3))), index(split(C425, "" ""),3),index(split(C425, "" ""),2)))"),"")</f>
        <v/>
      </c>
      <c r="X425" s="38" t="b">
        <f t="shared" si="2"/>
        <v>0</v>
      </c>
      <c r="Y425" s="38"/>
      <c r="Z425" s="40"/>
      <c r="AA425" s="40"/>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row>
    <row r="426">
      <c r="A426" s="37"/>
      <c r="B426" s="159"/>
      <c r="C426" s="144"/>
      <c r="D426" s="144"/>
      <c r="E426" s="37"/>
      <c r="F426" s="37"/>
      <c r="G426" s="37"/>
      <c r="H426" s="33" t="str">
        <f t="shared" si="1"/>
        <v/>
      </c>
      <c r="I426" s="37"/>
      <c r="J426" s="37"/>
      <c r="K426" s="37"/>
      <c r="L426" s="38"/>
      <c r="M426" s="37"/>
      <c r="N426" s="37"/>
      <c r="O426" s="37"/>
      <c r="P426" s="14"/>
      <c r="Q426" s="15"/>
      <c r="R426" s="37"/>
      <c r="S426" s="37"/>
      <c r="T426" s="64"/>
      <c r="U426" s="16"/>
      <c r="V426" s="37" t="str">
        <f>IFERROR(__xludf.DUMMYFUNCTION("if(not(iserror(index(split(C426, "" ""),2))), index(split(C426, "" ""),1),"""")"),"")</f>
        <v/>
      </c>
      <c r="W426" s="315" t="str">
        <f>IFERROR(__xludf.DUMMYFUNCTION("if(V426="""",C426,if(not(iserror(index(split(C426, "" ""),3))), index(split(C426, "" ""),3),index(split(C426, "" ""),2)))"),"")</f>
        <v/>
      </c>
      <c r="X426" s="38" t="b">
        <f t="shared" si="2"/>
        <v>0</v>
      </c>
      <c r="Y426" s="38"/>
      <c r="Z426" s="40"/>
      <c r="AA426" s="40"/>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row>
    <row r="427">
      <c r="A427" s="37"/>
      <c r="B427" s="159"/>
      <c r="C427" s="144"/>
      <c r="D427" s="144"/>
      <c r="E427" s="37"/>
      <c r="F427" s="37"/>
      <c r="G427" s="37"/>
      <c r="H427" s="33" t="str">
        <f t="shared" si="1"/>
        <v/>
      </c>
      <c r="I427" s="37"/>
      <c r="J427" s="37"/>
      <c r="K427" s="37"/>
      <c r="L427" s="38"/>
      <c r="M427" s="37"/>
      <c r="N427" s="37"/>
      <c r="O427" s="37"/>
      <c r="P427" s="14"/>
      <c r="Q427" s="15"/>
      <c r="R427" s="37"/>
      <c r="S427" s="37"/>
      <c r="T427" s="64"/>
      <c r="U427" s="16"/>
      <c r="V427" s="37" t="str">
        <f>IFERROR(__xludf.DUMMYFUNCTION("if(not(iserror(index(split(C427, "" ""),2))), index(split(C427, "" ""),1),"""")"),"")</f>
        <v/>
      </c>
      <c r="W427" s="315" t="str">
        <f>IFERROR(__xludf.DUMMYFUNCTION("if(V427="""",C427,if(not(iserror(index(split(C427, "" ""),3))), index(split(C427, "" ""),3),index(split(C427, "" ""),2)))"),"")</f>
        <v/>
      </c>
      <c r="X427" s="38" t="b">
        <f t="shared" si="2"/>
        <v>0</v>
      </c>
      <c r="Y427" s="38"/>
      <c r="Z427" s="40"/>
      <c r="AA427" s="40"/>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row>
    <row r="428">
      <c r="A428" s="91"/>
      <c r="B428" s="382"/>
      <c r="C428" s="146"/>
      <c r="D428" s="146"/>
      <c r="E428" s="91"/>
      <c r="F428" s="91"/>
      <c r="G428" s="91"/>
      <c r="H428" s="33" t="str">
        <f t="shared" si="1"/>
        <v/>
      </c>
      <c r="I428" s="91"/>
      <c r="J428" s="91"/>
      <c r="K428" s="91"/>
      <c r="L428" s="38"/>
      <c r="M428" s="91"/>
      <c r="N428" s="91"/>
      <c r="O428" s="91"/>
      <c r="P428" s="95"/>
      <c r="Q428" s="15"/>
      <c r="R428" s="37"/>
      <c r="S428" s="37"/>
      <c r="T428" s="64"/>
      <c r="U428" s="16"/>
      <c r="V428" s="37" t="str">
        <f>IFERROR(__xludf.DUMMYFUNCTION("if(not(iserror(index(split(C428, "" ""),2))), index(split(C428, "" ""),1),"""")"),"")</f>
        <v/>
      </c>
      <c r="W428" s="315" t="str">
        <f>IFERROR(__xludf.DUMMYFUNCTION("if(V428="""",C428,if(not(iserror(index(split(C428, "" ""),3))), index(split(C428, "" ""),3),index(split(C428, "" ""),2)))"),"")</f>
        <v/>
      </c>
      <c r="X428" s="38" t="b">
        <f t="shared" si="2"/>
        <v>0</v>
      </c>
      <c r="Y428" s="38"/>
      <c r="Z428" s="40"/>
      <c r="AA428" s="40"/>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row>
    <row r="429">
      <c r="A429" s="375"/>
      <c r="B429" s="381"/>
      <c r="C429" s="144"/>
      <c r="D429" s="144"/>
      <c r="E429" s="37"/>
      <c r="F429" s="37"/>
      <c r="G429" s="37"/>
      <c r="H429" s="33" t="str">
        <f t="shared" si="1"/>
        <v/>
      </c>
      <c r="I429" s="37"/>
      <c r="J429" s="37"/>
      <c r="K429" s="37"/>
      <c r="L429" s="38"/>
      <c r="M429" s="37"/>
      <c r="N429" s="37"/>
      <c r="O429" s="37"/>
      <c r="P429" s="120"/>
      <c r="Q429" s="15"/>
      <c r="R429" s="37"/>
      <c r="S429" s="16"/>
      <c r="T429" s="37"/>
      <c r="U429" s="16"/>
      <c r="V429" s="37" t="str">
        <f>IFERROR(__xludf.DUMMYFUNCTION("if(not(iserror(index(split(C429, "" ""),2))), index(split(C429, "" ""),1),"""")"),"")</f>
        <v/>
      </c>
      <c r="W429" s="315" t="str">
        <f>IFERROR(__xludf.DUMMYFUNCTION("if(V429="""",C429,if(not(iserror(index(split(C429, "" ""),3))), index(split(C429, "" ""),3),index(split(C429, "" ""),2)))"),"")</f>
        <v/>
      </c>
      <c r="X429" s="38" t="b">
        <f t="shared" si="2"/>
        <v>0</v>
      </c>
      <c r="Y429" s="38"/>
      <c r="Z429" s="40"/>
      <c r="AA429" s="40"/>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row>
    <row r="430">
      <c r="A430" s="37"/>
      <c r="B430" s="381"/>
      <c r="C430" s="144"/>
      <c r="D430" s="144"/>
      <c r="E430" s="37"/>
      <c r="F430" s="37"/>
      <c r="G430" s="37"/>
      <c r="H430" s="33" t="str">
        <f t="shared" si="1"/>
        <v/>
      </c>
      <c r="I430" s="37"/>
      <c r="J430" s="37"/>
      <c r="K430" s="37"/>
      <c r="L430" s="38"/>
      <c r="M430" s="37"/>
      <c r="N430" s="37"/>
      <c r="O430" s="37"/>
      <c r="P430" s="14"/>
      <c r="Q430" s="15"/>
      <c r="R430" s="16"/>
      <c r="S430" s="16"/>
      <c r="T430" s="16"/>
      <c r="U430" s="16"/>
      <c r="V430" s="37" t="str">
        <f>IFERROR(__xludf.DUMMYFUNCTION("if(not(iserror(index(split(C430, "" ""),2))), index(split(C430, "" ""),1),"""")"),"")</f>
        <v/>
      </c>
      <c r="W430" s="315" t="str">
        <f>IFERROR(__xludf.DUMMYFUNCTION("if(V430="""",C430,if(not(iserror(index(split(C430, "" ""),3))), index(split(C430, "" ""),3),index(split(C430, "" ""),2)))"),"")</f>
        <v/>
      </c>
      <c r="X430" s="38" t="b">
        <f t="shared" si="2"/>
        <v>0</v>
      </c>
      <c r="Y430" s="38"/>
      <c r="Z430" s="40"/>
      <c r="AA430" s="40"/>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row>
    <row r="431">
      <c r="A431" s="37"/>
      <c r="B431" s="381"/>
      <c r="C431" s="144"/>
      <c r="D431" s="144"/>
      <c r="E431" s="37"/>
      <c r="F431" s="37"/>
      <c r="G431" s="37"/>
      <c r="H431" s="33" t="str">
        <f t="shared" si="1"/>
        <v/>
      </c>
      <c r="I431" s="37"/>
      <c r="J431" s="37"/>
      <c r="K431" s="37"/>
      <c r="L431" s="38"/>
      <c r="M431" s="37"/>
      <c r="N431" s="37"/>
      <c r="O431" s="37"/>
      <c r="P431" s="14"/>
      <c r="Q431" s="15"/>
      <c r="R431" s="16"/>
      <c r="S431" s="16"/>
      <c r="T431" s="16"/>
      <c r="U431" s="16"/>
      <c r="V431" s="37" t="str">
        <f>IFERROR(__xludf.DUMMYFUNCTION("if(not(iserror(index(split(C431, "" ""),2))), index(split(C431, "" ""),1),"""")"),"")</f>
        <v/>
      </c>
      <c r="W431" s="315" t="str">
        <f>IFERROR(__xludf.DUMMYFUNCTION("if(V431="""",C431,if(not(iserror(index(split(C431, "" ""),3))), index(split(C431, "" ""),3),index(split(C431, "" ""),2)))"),"")</f>
        <v/>
      </c>
      <c r="X431" s="38" t="b">
        <f t="shared" si="2"/>
        <v>0</v>
      </c>
      <c r="Y431" s="38"/>
      <c r="Z431" s="40"/>
      <c r="AA431" s="40"/>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row>
    <row r="432">
      <c r="A432" s="37"/>
      <c r="B432" s="381"/>
      <c r="C432" s="144"/>
      <c r="D432" s="144"/>
      <c r="E432" s="37"/>
      <c r="F432" s="37"/>
      <c r="G432" s="37"/>
      <c r="H432" s="33" t="str">
        <f t="shared" si="1"/>
        <v/>
      </c>
      <c r="I432" s="37"/>
      <c r="J432" s="37"/>
      <c r="K432" s="37"/>
      <c r="L432" s="38"/>
      <c r="M432" s="37"/>
      <c r="N432" s="37"/>
      <c r="O432" s="37"/>
      <c r="P432" s="14"/>
      <c r="Q432" s="15"/>
      <c r="R432" s="16"/>
      <c r="S432" s="16"/>
      <c r="T432" s="16"/>
      <c r="U432" s="16"/>
      <c r="V432" s="37" t="str">
        <f>IFERROR(__xludf.DUMMYFUNCTION("if(not(iserror(index(split(C432, "" ""),2))), index(split(C432, "" ""),1),"""")"),"")</f>
        <v/>
      </c>
      <c r="W432" s="315" t="str">
        <f>IFERROR(__xludf.DUMMYFUNCTION("if(V432="""",C432,if(not(iserror(index(split(C432, "" ""),3))), index(split(C432, "" ""),3),index(split(C432, "" ""),2)))"),"")</f>
        <v/>
      </c>
      <c r="X432" s="38" t="b">
        <f t="shared" si="2"/>
        <v>0</v>
      </c>
      <c r="Y432" s="38"/>
      <c r="Z432" s="40"/>
      <c r="AA432" s="40"/>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row>
    <row r="433">
      <c r="A433" s="37"/>
      <c r="B433" s="381"/>
      <c r="C433" s="144"/>
      <c r="D433" s="144"/>
      <c r="E433" s="37"/>
      <c r="F433" s="37"/>
      <c r="G433" s="37"/>
      <c r="H433" s="33" t="str">
        <f t="shared" si="1"/>
        <v/>
      </c>
      <c r="I433" s="37"/>
      <c r="J433" s="37"/>
      <c r="K433" s="37"/>
      <c r="L433" s="38"/>
      <c r="M433" s="37"/>
      <c r="N433" s="37"/>
      <c r="O433" s="37"/>
      <c r="P433" s="14"/>
      <c r="Q433" s="15"/>
      <c r="R433" s="37"/>
      <c r="S433" s="37"/>
      <c r="T433" s="64"/>
      <c r="U433" s="16"/>
      <c r="V433" s="37" t="str">
        <f>IFERROR(__xludf.DUMMYFUNCTION("if(not(iserror(index(split(C433, "" ""),2))), index(split(C433, "" ""),1),"""")"),"")</f>
        <v/>
      </c>
      <c r="W433" s="315" t="str">
        <f>IFERROR(__xludf.DUMMYFUNCTION("if(V433="""",C433,if(not(iserror(index(split(C433, "" ""),3))), index(split(C433, "" ""),3),index(split(C433, "" ""),2)))"),"")</f>
        <v/>
      </c>
      <c r="X433" s="38" t="b">
        <f t="shared" si="2"/>
        <v>0</v>
      </c>
      <c r="Y433" s="38"/>
      <c r="Z433" s="40"/>
      <c r="AA433" s="40"/>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row>
    <row r="434">
      <c r="A434" s="37"/>
      <c r="B434" s="381"/>
      <c r="C434" s="144"/>
      <c r="D434" s="144"/>
      <c r="E434" s="37"/>
      <c r="F434" s="37"/>
      <c r="G434" s="37"/>
      <c r="H434" s="33" t="str">
        <f t="shared" si="1"/>
        <v/>
      </c>
      <c r="I434" s="37"/>
      <c r="J434" s="37"/>
      <c r="K434" s="37"/>
      <c r="L434" s="38"/>
      <c r="M434" s="37"/>
      <c r="N434" s="37"/>
      <c r="O434" s="37"/>
      <c r="P434" s="14"/>
      <c r="Q434" s="15"/>
      <c r="R434" s="37"/>
      <c r="S434" s="37"/>
      <c r="T434" s="64"/>
      <c r="U434" s="16"/>
      <c r="V434" s="37" t="str">
        <f>IFERROR(__xludf.DUMMYFUNCTION("if(not(iserror(index(split(C434, "" ""),2))), index(split(C434, "" ""),1),"""")"),"")</f>
        <v/>
      </c>
      <c r="W434" s="315" t="str">
        <f>IFERROR(__xludf.DUMMYFUNCTION("if(V434="""",C434,if(not(iserror(index(split(C434, "" ""),3))), index(split(C434, "" ""),3),index(split(C434, "" ""),2)))"),"")</f>
        <v/>
      </c>
      <c r="X434" s="38" t="b">
        <f t="shared" si="2"/>
        <v>0</v>
      </c>
      <c r="Y434" s="38"/>
      <c r="Z434" s="40"/>
      <c r="AA434" s="40"/>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row>
    <row r="435">
      <c r="A435" s="37"/>
      <c r="B435" s="381"/>
      <c r="C435" s="144"/>
      <c r="D435" s="144"/>
      <c r="E435" s="37"/>
      <c r="F435" s="37"/>
      <c r="G435" s="37"/>
      <c r="H435" s="33" t="str">
        <f t="shared" si="1"/>
        <v/>
      </c>
      <c r="I435" s="37"/>
      <c r="J435" s="37"/>
      <c r="K435" s="37"/>
      <c r="L435" s="38"/>
      <c r="M435" s="58"/>
      <c r="N435" s="58"/>
      <c r="O435" s="58"/>
      <c r="P435" s="14"/>
      <c r="Q435" s="14"/>
      <c r="R435" s="37"/>
      <c r="S435" s="37"/>
      <c r="T435" s="64"/>
      <c r="U435" s="16"/>
      <c r="V435" s="37" t="str">
        <f>IFERROR(__xludf.DUMMYFUNCTION("if(not(iserror(index(split(C435, "" ""),2))), index(split(C435, "" ""),1),"""")"),"")</f>
        <v/>
      </c>
      <c r="W435" s="315" t="str">
        <f>IFERROR(__xludf.DUMMYFUNCTION("if(V435="""",C435,if(not(iserror(index(split(C435, "" ""),3))), index(split(C435, "" ""),3),index(split(C435, "" ""),2)))"),"")</f>
        <v/>
      </c>
      <c r="X435" s="38" t="b">
        <f t="shared" si="2"/>
        <v>0</v>
      </c>
      <c r="Y435" s="38"/>
      <c r="Z435" s="40"/>
      <c r="AA435" s="40"/>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row>
    <row r="436">
      <c r="A436" s="37"/>
      <c r="B436" s="381"/>
      <c r="C436" s="144"/>
      <c r="D436" s="144"/>
      <c r="E436" s="37"/>
      <c r="F436" s="37"/>
      <c r="G436" s="37"/>
      <c r="H436" s="33" t="str">
        <f t="shared" si="1"/>
        <v/>
      </c>
      <c r="I436" s="37"/>
      <c r="J436" s="37"/>
      <c r="K436" s="37"/>
      <c r="L436" s="38"/>
      <c r="M436" s="37"/>
      <c r="N436" s="37"/>
      <c r="O436" s="37"/>
      <c r="P436" s="14"/>
      <c r="Q436" s="15"/>
      <c r="R436" s="37"/>
      <c r="S436" s="37"/>
      <c r="T436" s="64"/>
      <c r="U436" s="16"/>
      <c r="V436" s="37" t="str">
        <f>IFERROR(__xludf.DUMMYFUNCTION("if(not(iserror(index(split(C436, "" ""),2))), index(split(C436, "" ""),1),"""")"),"")</f>
        <v/>
      </c>
      <c r="W436" s="315" t="str">
        <f>IFERROR(__xludf.DUMMYFUNCTION("if(V436="""",C436,if(not(iserror(index(split(C436, "" ""),3))), index(split(C436, "" ""),3),index(split(C436, "" ""),2)))"),"")</f>
        <v/>
      </c>
      <c r="X436" s="38" t="b">
        <f t="shared" si="2"/>
        <v>0</v>
      </c>
      <c r="Y436" s="38"/>
      <c r="Z436" s="40"/>
      <c r="AA436" s="40"/>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row>
    <row r="437">
      <c r="A437" s="37"/>
      <c r="B437" s="381"/>
      <c r="C437" s="144"/>
      <c r="D437" s="144"/>
      <c r="E437" s="37"/>
      <c r="F437" s="37"/>
      <c r="G437" s="37"/>
      <c r="H437" s="33" t="str">
        <f t="shared" si="1"/>
        <v/>
      </c>
      <c r="I437" s="37"/>
      <c r="J437" s="37"/>
      <c r="K437" s="37"/>
      <c r="L437" s="38"/>
      <c r="M437" s="37"/>
      <c r="N437" s="37"/>
      <c r="O437" s="37"/>
      <c r="P437" s="14"/>
      <c r="Q437" s="15"/>
      <c r="R437" s="37"/>
      <c r="S437" s="37"/>
      <c r="T437" s="64"/>
      <c r="U437" s="16"/>
      <c r="V437" s="37" t="str">
        <f>IFERROR(__xludf.DUMMYFUNCTION("if(not(iserror(index(split(C437, "" ""),2))), index(split(C437, "" ""),1),"""")"),"")</f>
        <v/>
      </c>
      <c r="W437" s="315" t="str">
        <f>IFERROR(__xludf.DUMMYFUNCTION("if(V437="""",C437,if(not(iserror(index(split(C437, "" ""),3))), index(split(C437, "" ""),3),index(split(C437, "" ""),2)))"),"")</f>
        <v/>
      </c>
      <c r="X437" s="38" t="b">
        <f t="shared" si="2"/>
        <v>0</v>
      </c>
      <c r="Y437" s="38"/>
      <c r="Z437" s="40"/>
      <c r="AA437" s="40"/>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row>
    <row r="438">
      <c r="A438" s="37"/>
      <c r="B438" s="381"/>
      <c r="C438" s="144"/>
      <c r="D438" s="144"/>
      <c r="E438" s="37"/>
      <c r="F438" s="37"/>
      <c r="G438" s="37"/>
      <c r="H438" s="33" t="str">
        <f t="shared" si="1"/>
        <v/>
      </c>
      <c r="I438" s="37"/>
      <c r="J438" s="37"/>
      <c r="K438" s="37"/>
      <c r="L438" s="38"/>
      <c r="M438" s="37"/>
      <c r="N438" s="37"/>
      <c r="O438" s="37"/>
      <c r="P438" s="14"/>
      <c r="Q438" s="15"/>
      <c r="R438" s="16"/>
      <c r="S438" s="16"/>
      <c r="T438" s="16"/>
      <c r="U438" s="16"/>
      <c r="V438" s="37" t="str">
        <f>IFERROR(__xludf.DUMMYFUNCTION("if(not(iserror(index(split(C438, "" ""),2))), index(split(C438, "" ""),1),"""")"),"")</f>
        <v/>
      </c>
      <c r="W438" s="315" t="str">
        <f>IFERROR(__xludf.DUMMYFUNCTION("if(V438="""",C438,if(not(iserror(index(split(C438, "" ""),3))), index(split(C438, "" ""),3),index(split(C438, "" ""),2)))"),"")</f>
        <v/>
      </c>
      <c r="X438" s="38" t="b">
        <f t="shared" si="2"/>
        <v>0</v>
      </c>
      <c r="Y438" s="38"/>
      <c r="Z438" s="40"/>
      <c r="AA438" s="40"/>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row>
    <row r="439">
      <c r="A439" s="37"/>
      <c r="B439" s="381"/>
      <c r="C439" s="144"/>
      <c r="D439" s="144"/>
      <c r="E439" s="37"/>
      <c r="F439" s="37"/>
      <c r="G439" s="37"/>
      <c r="H439" s="33" t="str">
        <f t="shared" si="1"/>
        <v/>
      </c>
      <c r="I439" s="37"/>
      <c r="J439" s="37"/>
      <c r="K439" s="37"/>
      <c r="L439" s="38"/>
      <c r="M439" s="37"/>
      <c r="N439" s="37"/>
      <c r="O439" s="37"/>
      <c r="P439" s="14"/>
      <c r="Q439" s="15"/>
      <c r="R439" s="37"/>
      <c r="S439" s="37"/>
      <c r="T439" s="64"/>
      <c r="U439" s="16"/>
      <c r="V439" s="37" t="str">
        <f>IFERROR(__xludf.DUMMYFUNCTION("if(not(iserror(index(split(C439, "" ""),2))), index(split(C439, "" ""),1),"""")"),"")</f>
        <v/>
      </c>
      <c r="W439" s="315" t="str">
        <f>IFERROR(__xludf.DUMMYFUNCTION("if(V439="""",C439,if(not(iserror(index(split(C439, "" ""),3))), index(split(C439, "" ""),3),index(split(C439, "" ""),2)))"),"")</f>
        <v/>
      </c>
      <c r="X439" s="38" t="b">
        <f t="shared" si="2"/>
        <v>0</v>
      </c>
      <c r="Y439" s="38"/>
      <c r="Z439" s="40"/>
      <c r="AA439" s="40"/>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row>
    <row r="440">
      <c r="A440" s="37"/>
      <c r="B440" s="381"/>
      <c r="C440" s="144"/>
      <c r="D440" s="144"/>
      <c r="E440" s="37"/>
      <c r="F440" s="37"/>
      <c r="G440" s="37"/>
      <c r="H440" s="33" t="str">
        <f t="shared" si="1"/>
        <v/>
      </c>
      <c r="I440" s="37"/>
      <c r="J440" s="37"/>
      <c r="K440" s="37"/>
      <c r="L440" s="38"/>
      <c r="M440" s="37"/>
      <c r="N440" s="37"/>
      <c r="O440" s="37"/>
      <c r="P440" s="14"/>
      <c r="Q440" s="15"/>
      <c r="R440" s="37"/>
      <c r="S440" s="37"/>
      <c r="T440" s="64"/>
      <c r="U440" s="16"/>
      <c r="V440" s="37" t="str">
        <f>IFERROR(__xludf.DUMMYFUNCTION("if(not(iserror(index(split(C440, "" ""),2))), index(split(C440, "" ""),1),"""")"),"")</f>
        <v/>
      </c>
      <c r="W440" s="315" t="str">
        <f>IFERROR(__xludf.DUMMYFUNCTION("if(V440="""",C440,if(not(iserror(index(split(C440, "" ""),3))), index(split(C440, "" ""),3),index(split(C440, "" ""),2)))"),"")</f>
        <v/>
      </c>
      <c r="X440" s="38" t="b">
        <f t="shared" si="2"/>
        <v>0</v>
      </c>
      <c r="Y440" s="38"/>
      <c r="Z440" s="40"/>
      <c r="AA440" s="40"/>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row>
    <row r="441">
      <c r="A441" s="37"/>
      <c r="B441" s="381"/>
      <c r="C441" s="144"/>
      <c r="D441" s="144"/>
      <c r="E441" s="37"/>
      <c r="F441" s="37"/>
      <c r="G441" s="37"/>
      <c r="H441" s="33" t="str">
        <f t="shared" si="1"/>
        <v/>
      </c>
      <c r="I441" s="37"/>
      <c r="J441" s="37"/>
      <c r="K441" s="37"/>
      <c r="L441" s="38"/>
      <c r="M441" s="37"/>
      <c r="N441" s="37"/>
      <c r="O441" s="37"/>
      <c r="P441" s="14"/>
      <c r="Q441" s="15"/>
      <c r="R441" s="37"/>
      <c r="S441" s="37"/>
      <c r="T441" s="64"/>
      <c r="U441" s="16"/>
      <c r="V441" s="37" t="str">
        <f>IFERROR(__xludf.DUMMYFUNCTION("if(not(iserror(index(split(C441, "" ""),2))), index(split(C441, "" ""),1),"""")"),"")</f>
        <v/>
      </c>
      <c r="W441" s="315" t="str">
        <f>IFERROR(__xludf.DUMMYFUNCTION("if(V441="""",C441,if(not(iserror(index(split(C441, "" ""),3))), index(split(C441, "" ""),3),index(split(C441, "" ""),2)))"),"")</f>
        <v/>
      </c>
      <c r="X441" s="38" t="b">
        <f t="shared" si="2"/>
        <v>0</v>
      </c>
      <c r="Y441" s="38"/>
      <c r="Z441" s="40"/>
      <c r="AA441" s="40"/>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row>
    <row r="442">
      <c r="A442" s="37"/>
      <c r="B442" s="381"/>
      <c r="C442" s="144"/>
      <c r="D442" s="144"/>
      <c r="E442" s="37"/>
      <c r="F442" s="37"/>
      <c r="G442" s="37"/>
      <c r="H442" s="33" t="str">
        <f t="shared" si="1"/>
        <v/>
      </c>
      <c r="I442" s="37"/>
      <c r="J442" s="37"/>
      <c r="K442" s="37"/>
      <c r="L442" s="38"/>
      <c r="M442" s="37"/>
      <c r="N442" s="37"/>
      <c r="O442" s="37"/>
      <c r="P442" s="14"/>
      <c r="Q442" s="15"/>
      <c r="R442" s="16"/>
      <c r="S442" s="16"/>
      <c r="T442" s="16"/>
      <c r="U442" s="16"/>
      <c r="V442" s="37" t="str">
        <f>IFERROR(__xludf.DUMMYFUNCTION("if(not(iserror(index(split(C442, "" ""),2))), index(split(C442, "" ""),1),"""")"),"")</f>
        <v/>
      </c>
      <c r="W442" s="315" t="str">
        <f>IFERROR(__xludf.DUMMYFUNCTION("if(V442="""",C442,if(not(iserror(index(split(C442, "" ""),3))), index(split(C442, "" ""),3),index(split(C442, "" ""),2)))"),"")</f>
        <v/>
      </c>
      <c r="X442" s="38" t="b">
        <f t="shared" si="2"/>
        <v>0</v>
      </c>
      <c r="Y442" s="38"/>
      <c r="Z442" s="40"/>
      <c r="AA442" s="40"/>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row>
    <row r="443">
      <c r="A443" s="37"/>
      <c r="B443" s="381"/>
      <c r="C443" s="144"/>
      <c r="D443" s="144"/>
      <c r="E443" s="37"/>
      <c r="F443" s="37"/>
      <c r="G443" s="37"/>
      <c r="H443" s="33" t="str">
        <f t="shared" si="1"/>
        <v/>
      </c>
      <c r="I443" s="37"/>
      <c r="J443" s="37"/>
      <c r="K443" s="37"/>
      <c r="L443" s="38"/>
      <c r="M443" s="37"/>
      <c r="N443" s="37"/>
      <c r="O443" s="37"/>
      <c r="P443" s="14"/>
      <c r="Q443" s="15"/>
      <c r="R443" s="16"/>
      <c r="S443" s="16"/>
      <c r="T443" s="16"/>
      <c r="U443" s="16"/>
      <c r="V443" s="37" t="str">
        <f>IFERROR(__xludf.DUMMYFUNCTION("if(not(iserror(index(split(C443, "" ""),2))), index(split(C443, "" ""),1),"""")"),"")</f>
        <v/>
      </c>
      <c r="W443" s="315" t="str">
        <f>IFERROR(__xludf.DUMMYFUNCTION("if(V443="""",C443,if(not(iserror(index(split(C443, "" ""),3))), index(split(C443, "" ""),3),index(split(C443, "" ""),2)))"),"")</f>
        <v/>
      </c>
      <c r="X443" s="38" t="b">
        <f t="shared" si="2"/>
        <v>0</v>
      </c>
      <c r="Y443" s="38"/>
      <c r="Z443" s="40"/>
      <c r="AA443" s="40"/>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row>
    <row r="444">
      <c r="A444" s="37"/>
      <c r="B444" s="322"/>
      <c r="C444" s="144"/>
      <c r="D444" s="144"/>
      <c r="E444" s="37"/>
      <c r="F444" s="37"/>
      <c r="G444" s="37"/>
      <c r="H444" s="33" t="str">
        <f t="shared" si="1"/>
        <v/>
      </c>
      <c r="I444" s="37"/>
      <c r="J444" s="37"/>
      <c r="K444" s="37"/>
      <c r="L444" s="38"/>
      <c r="M444" s="37"/>
      <c r="N444" s="37"/>
      <c r="O444" s="37"/>
      <c r="P444" s="14"/>
      <c r="Q444" s="15"/>
      <c r="R444" s="16"/>
      <c r="S444" s="16"/>
      <c r="T444" s="16"/>
      <c r="U444" s="16"/>
      <c r="V444" s="37" t="str">
        <f>IFERROR(__xludf.DUMMYFUNCTION("if(not(iserror(index(split(C444, "" ""),2))), index(split(C444, "" ""),1),"""")"),"")</f>
        <v/>
      </c>
      <c r="W444" s="315" t="str">
        <f>IFERROR(__xludf.DUMMYFUNCTION("if(V444="""",C444,if(not(iserror(index(split(C444, "" ""),3))), index(split(C444, "" ""),3),index(split(C444, "" ""),2)))"),"")</f>
        <v/>
      </c>
      <c r="X444" s="38" t="b">
        <f t="shared" si="2"/>
        <v>0</v>
      </c>
      <c r="Y444" s="38"/>
      <c r="Z444" s="40"/>
      <c r="AA444" s="40"/>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row>
    <row r="445">
      <c r="A445" s="37"/>
      <c r="B445" s="322"/>
      <c r="C445" s="144"/>
      <c r="D445" s="144"/>
      <c r="E445" s="37"/>
      <c r="F445" s="37"/>
      <c r="G445" s="37"/>
      <c r="H445" s="33" t="str">
        <f t="shared" si="1"/>
        <v/>
      </c>
      <c r="I445" s="37"/>
      <c r="J445" s="37"/>
      <c r="K445" s="37"/>
      <c r="L445" s="38"/>
      <c r="M445" s="37"/>
      <c r="N445" s="37"/>
      <c r="O445" s="37"/>
      <c r="P445" s="14"/>
      <c r="Q445" s="15"/>
      <c r="R445" s="16"/>
      <c r="S445" s="16"/>
      <c r="T445" s="16"/>
      <c r="U445" s="16"/>
      <c r="V445" s="37" t="str">
        <f>IFERROR(__xludf.DUMMYFUNCTION("if(not(iserror(index(split(C445, "" ""),2))), index(split(C445, "" ""),1),"""")"),"")</f>
        <v/>
      </c>
      <c r="W445" s="315" t="str">
        <f>IFERROR(__xludf.DUMMYFUNCTION("if(V445="""",C445,if(not(iserror(index(split(C445, "" ""),3))), index(split(C445, "" ""),3),index(split(C445, "" ""),2)))"),"")</f>
        <v/>
      </c>
      <c r="X445" s="38" t="b">
        <f t="shared" si="2"/>
        <v>0</v>
      </c>
      <c r="Y445" s="38"/>
      <c r="Z445" s="40"/>
      <c r="AA445" s="40"/>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row>
    <row r="446">
      <c r="A446" s="37"/>
      <c r="B446" s="322"/>
      <c r="C446" s="144"/>
      <c r="D446" s="144"/>
      <c r="E446" s="37"/>
      <c r="F446" s="37"/>
      <c r="G446" s="37"/>
      <c r="H446" s="33" t="str">
        <f t="shared" si="1"/>
        <v/>
      </c>
      <c r="I446" s="37"/>
      <c r="J446" s="37"/>
      <c r="K446" s="37"/>
      <c r="L446" s="38"/>
      <c r="M446" s="37"/>
      <c r="N446" s="37"/>
      <c r="O446" s="37"/>
      <c r="P446" s="14"/>
      <c r="Q446" s="15"/>
      <c r="R446" s="37"/>
      <c r="S446" s="16"/>
      <c r="T446" s="64"/>
      <c r="U446" s="16"/>
      <c r="V446" s="37" t="str">
        <f>IFERROR(__xludf.DUMMYFUNCTION("if(not(iserror(index(split(C446, "" ""),2))), index(split(C446, "" ""),1),"""")"),"")</f>
        <v/>
      </c>
      <c r="W446" s="315" t="str">
        <f>IFERROR(__xludf.DUMMYFUNCTION("if(V446="""",C446,if(not(iserror(index(split(C446, "" ""),3))), index(split(C446, "" ""),3),index(split(C446, "" ""),2)))"),"")</f>
        <v/>
      </c>
      <c r="X446" s="38" t="b">
        <f t="shared" si="2"/>
        <v>0</v>
      </c>
      <c r="Y446" s="38"/>
      <c r="Z446" s="40"/>
      <c r="AA446" s="40"/>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row>
    <row r="447">
      <c r="A447" s="37"/>
      <c r="B447" s="322"/>
      <c r="C447" s="144"/>
      <c r="D447" s="144"/>
      <c r="E447" s="37"/>
      <c r="F447" s="37"/>
      <c r="G447" s="37"/>
      <c r="H447" s="33" t="str">
        <f t="shared" si="1"/>
        <v/>
      </c>
      <c r="I447" s="37"/>
      <c r="J447" s="37"/>
      <c r="K447" s="37"/>
      <c r="L447" s="38"/>
      <c r="M447" s="37"/>
      <c r="N447" s="37"/>
      <c r="O447" s="37"/>
      <c r="P447" s="14"/>
      <c r="Q447" s="15"/>
      <c r="R447" s="37"/>
      <c r="S447" s="16"/>
      <c r="T447" s="64"/>
      <c r="U447" s="16"/>
      <c r="V447" s="37" t="str">
        <f>IFERROR(__xludf.DUMMYFUNCTION("if(not(iserror(index(split(C447, "" ""),2))), index(split(C447, "" ""),1),"""")"),"")</f>
        <v/>
      </c>
      <c r="W447" s="315" t="str">
        <f>IFERROR(__xludf.DUMMYFUNCTION("if(V447="""",C447,if(not(iserror(index(split(C447, "" ""),3))), index(split(C447, "" ""),3),index(split(C447, "" ""),2)))"),"")</f>
        <v/>
      </c>
      <c r="X447" s="38" t="b">
        <f t="shared" si="2"/>
        <v>0</v>
      </c>
      <c r="Y447" s="38"/>
      <c r="Z447" s="40"/>
      <c r="AA447" s="40"/>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row>
    <row r="448">
      <c r="A448" s="37"/>
      <c r="B448" s="322"/>
      <c r="C448" s="144"/>
      <c r="D448" s="144"/>
      <c r="E448" s="37"/>
      <c r="F448" s="37"/>
      <c r="G448" s="37"/>
      <c r="H448" s="33" t="str">
        <f t="shared" si="1"/>
        <v/>
      </c>
      <c r="I448" s="37"/>
      <c r="J448" s="37"/>
      <c r="K448" s="37"/>
      <c r="L448" s="38"/>
      <c r="M448" s="37"/>
      <c r="N448" s="37"/>
      <c r="O448" s="37"/>
      <c r="P448" s="14"/>
      <c r="Q448" s="15"/>
      <c r="R448" s="37"/>
      <c r="S448" s="37"/>
      <c r="T448" s="64"/>
      <c r="U448" s="16"/>
      <c r="V448" s="37" t="str">
        <f>IFERROR(__xludf.DUMMYFUNCTION("if(not(iserror(index(split(C448, "" ""),2))), index(split(C448, "" ""),1),"""")"),"")</f>
        <v/>
      </c>
      <c r="W448" s="315" t="str">
        <f>IFERROR(__xludf.DUMMYFUNCTION("if(V448="""",C448,if(not(iserror(index(split(C448, "" ""),3))), index(split(C448, "" ""),3),index(split(C448, "" ""),2)))"),"")</f>
        <v/>
      </c>
      <c r="X448" s="38" t="b">
        <f t="shared" si="2"/>
        <v>0</v>
      </c>
      <c r="Y448" s="38"/>
      <c r="Z448" s="40"/>
      <c r="AA448" s="40"/>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row>
    <row r="449">
      <c r="A449" s="37"/>
      <c r="B449" s="322"/>
      <c r="C449" s="144"/>
      <c r="D449" s="144"/>
      <c r="E449" s="37"/>
      <c r="F449" s="37"/>
      <c r="G449" s="37"/>
      <c r="H449" s="33" t="str">
        <f t="shared" si="1"/>
        <v/>
      </c>
      <c r="I449" s="37"/>
      <c r="J449" s="37"/>
      <c r="K449" s="37"/>
      <c r="L449" s="38"/>
      <c r="M449" s="37"/>
      <c r="N449" s="37"/>
      <c r="O449" s="37"/>
      <c r="P449" s="14"/>
      <c r="Q449" s="14"/>
      <c r="T449" s="64"/>
      <c r="U449" s="16"/>
      <c r="V449" s="37" t="str">
        <f>IFERROR(__xludf.DUMMYFUNCTION("if(not(iserror(index(split(C449, "" ""),2))), index(split(C449, "" ""),1),"""")"),"")</f>
        <v/>
      </c>
      <c r="W449" s="315" t="str">
        <f>IFERROR(__xludf.DUMMYFUNCTION("if(V449="""",C449,if(not(iserror(index(split(C449, "" ""),3))), index(split(C449, "" ""),3),index(split(C449, "" ""),2)))"),"")</f>
        <v/>
      </c>
      <c r="X449" s="38" t="b">
        <f t="shared" si="2"/>
        <v>0</v>
      </c>
      <c r="Y449" s="38"/>
      <c r="Z449" s="40"/>
      <c r="AA449" s="40"/>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row>
    <row r="450">
      <c r="A450" s="91"/>
      <c r="B450" s="380"/>
      <c r="C450" s="146"/>
      <c r="D450" s="146"/>
      <c r="E450" s="91"/>
      <c r="F450" s="91"/>
      <c r="G450" s="91"/>
      <c r="H450" s="33" t="str">
        <f t="shared" si="1"/>
        <v/>
      </c>
      <c r="I450" s="91"/>
      <c r="J450" s="91"/>
      <c r="K450" s="91"/>
      <c r="L450" s="38"/>
      <c r="M450" s="91"/>
      <c r="N450" s="91"/>
      <c r="O450" s="91"/>
      <c r="P450" s="95"/>
      <c r="Q450" s="95"/>
      <c r="R450" s="37"/>
      <c r="S450" s="16"/>
      <c r="T450" s="64"/>
      <c r="U450" s="16"/>
      <c r="V450" s="37" t="str">
        <f>IFERROR(__xludf.DUMMYFUNCTION("if(not(iserror(index(split(C450, "" ""),2))), index(split(C450, "" ""),1),"""")"),"")</f>
        <v/>
      </c>
      <c r="W450" s="315" t="str">
        <f>IFERROR(__xludf.DUMMYFUNCTION("if(V450="""",C450,if(not(iserror(index(split(C450, "" ""),3))), index(split(C450, "" ""),3),index(split(C450, "" ""),2)))"),"")</f>
        <v/>
      </c>
      <c r="X450" s="38" t="b">
        <f t="shared" si="2"/>
        <v>0</v>
      </c>
      <c r="Y450" s="38"/>
      <c r="Z450" s="40"/>
      <c r="AA450" s="40"/>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row>
    <row r="451">
      <c r="A451" s="37"/>
      <c r="B451" s="322"/>
      <c r="C451" s="144"/>
      <c r="D451" s="144"/>
      <c r="E451" s="37"/>
      <c r="F451" s="37"/>
      <c r="G451" s="37"/>
      <c r="H451" s="33" t="str">
        <f t="shared" si="1"/>
        <v/>
      </c>
      <c r="I451" s="37"/>
      <c r="J451" s="37"/>
      <c r="K451" s="37"/>
      <c r="L451" s="38"/>
      <c r="M451" s="37"/>
      <c r="N451" s="37"/>
      <c r="O451" s="37"/>
      <c r="P451" s="14"/>
      <c r="Q451" s="15"/>
      <c r="R451" s="16"/>
      <c r="S451" s="16"/>
      <c r="T451" s="16"/>
      <c r="U451" s="16"/>
      <c r="V451" s="37" t="str">
        <f>IFERROR(__xludf.DUMMYFUNCTION("if(not(iserror(index(split(C451, "" ""),2))), index(split(C451, "" ""),1),"""")"),"")</f>
        <v/>
      </c>
      <c r="W451" s="315" t="str">
        <f>IFERROR(__xludf.DUMMYFUNCTION("if(V451="""",C451,if(not(iserror(index(split(C451, "" ""),3))), index(split(C451, "" ""),3),index(split(C451, "" ""),2)))"),"")</f>
        <v/>
      </c>
      <c r="X451" s="38" t="b">
        <f t="shared" si="2"/>
        <v>0</v>
      </c>
      <c r="Y451" s="38"/>
      <c r="Z451" s="40"/>
      <c r="AA451" s="40"/>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row>
    <row r="452">
      <c r="A452" s="37"/>
      <c r="B452" s="322"/>
      <c r="C452" s="144"/>
      <c r="D452" s="144"/>
      <c r="E452" s="37"/>
      <c r="F452" s="37"/>
      <c r="G452" s="37"/>
      <c r="H452" s="33" t="str">
        <f t="shared" si="1"/>
        <v/>
      </c>
      <c r="I452" s="37"/>
      <c r="J452" s="37"/>
      <c r="K452" s="37"/>
      <c r="L452" s="38"/>
      <c r="M452" s="37"/>
      <c r="N452" s="37"/>
      <c r="O452" s="37"/>
      <c r="P452" s="14"/>
      <c r="Q452" s="15"/>
      <c r="R452" s="37"/>
      <c r="S452" s="37"/>
      <c r="T452" s="64"/>
      <c r="U452" s="16"/>
      <c r="V452" s="37" t="str">
        <f>IFERROR(__xludf.DUMMYFUNCTION("if(not(iserror(index(split(C452, "" ""),2))), index(split(C452, "" ""),1),"""")"),"")</f>
        <v/>
      </c>
      <c r="W452" s="315" t="str">
        <f>IFERROR(__xludf.DUMMYFUNCTION("if(V452="""",C452,if(not(iserror(index(split(C452, "" ""),3))), index(split(C452, "" ""),3),index(split(C452, "" ""),2)))"),"")</f>
        <v/>
      </c>
      <c r="X452" s="38" t="b">
        <f t="shared" si="2"/>
        <v>0</v>
      </c>
      <c r="Y452" s="38"/>
      <c r="Z452" s="40"/>
      <c r="AA452" s="40"/>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row>
    <row r="453">
      <c r="A453" s="91"/>
      <c r="B453" s="380"/>
      <c r="C453" s="146"/>
      <c r="D453" s="146"/>
      <c r="E453" s="91"/>
      <c r="F453" s="91"/>
      <c r="G453" s="91"/>
      <c r="H453" s="33" t="str">
        <f t="shared" si="1"/>
        <v/>
      </c>
      <c r="I453" s="91"/>
      <c r="J453" s="91"/>
      <c r="K453" s="91"/>
      <c r="L453" s="38"/>
      <c r="M453" s="91"/>
      <c r="N453" s="91"/>
      <c r="O453" s="91"/>
      <c r="P453" s="95"/>
      <c r="Q453" s="95"/>
      <c r="R453" s="37"/>
      <c r="S453" s="37"/>
      <c r="T453" s="64"/>
      <c r="U453" s="16"/>
      <c r="V453" s="37" t="str">
        <f>IFERROR(__xludf.DUMMYFUNCTION("if(not(iserror(index(split(C453, "" ""),2))), index(split(C453, "" ""),1),"""")"),"")</f>
        <v/>
      </c>
      <c r="W453" s="315" t="str">
        <f>IFERROR(__xludf.DUMMYFUNCTION("if(V453="""",C453,if(not(iserror(index(split(C453, "" ""),3))), index(split(C453, "" ""),3),index(split(C453, "" ""),2)))"),"")</f>
        <v/>
      </c>
      <c r="X453" s="38" t="b">
        <f t="shared" si="2"/>
        <v>0</v>
      </c>
      <c r="Y453" s="38"/>
      <c r="Z453" s="40"/>
      <c r="AA453" s="40"/>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row>
    <row r="454">
      <c r="A454" s="37"/>
      <c r="B454" s="322"/>
      <c r="C454" s="144"/>
      <c r="D454" s="144"/>
      <c r="E454" s="37"/>
      <c r="F454" s="37"/>
      <c r="G454" s="37"/>
      <c r="H454" s="33" t="str">
        <f t="shared" si="1"/>
        <v/>
      </c>
      <c r="I454" s="37"/>
      <c r="J454" s="37"/>
      <c r="K454" s="37"/>
      <c r="L454" s="38"/>
      <c r="M454" s="37"/>
      <c r="N454" s="37"/>
      <c r="O454" s="37"/>
      <c r="P454" s="14"/>
      <c r="Q454" s="15"/>
      <c r="R454" s="37"/>
      <c r="S454" s="37"/>
      <c r="T454" s="64"/>
      <c r="U454" s="16"/>
      <c r="V454" s="37" t="str">
        <f>IFERROR(__xludf.DUMMYFUNCTION("if(not(iserror(index(split(C454, "" ""),2))), index(split(C454, "" ""),1),"""")"),"")</f>
        <v/>
      </c>
      <c r="W454" s="315" t="str">
        <f>IFERROR(__xludf.DUMMYFUNCTION("if(V454="""",C454,if(not(iserror(index(split(C454, "" ""),3))), index(split(C454, "" ""),3),index(split(C454, "" ""),2)))"),"")</f>
        <v/>
      </c>
      <c r="X454" s="38" t="b">
        <f t="shared" si="2"/>
        <v>0</v>
      </c>
      <c r="Y454" s="38"/>
      <c r="Z454" s="40"/>
      <c r="AA454" s="40"/>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row>
    <row r="455">
      <c r="A455" s="37"/>
      <c r="B455" s="322"/>
      <c r="C455" s="144"/>
      <c r="D455" s="144"/>
      <c r="E455" s="37"/>
      <c r="F455" s="37"/>
      <c r="G455" s="37"/>
      <c r="H455" s="33" t="str">
        <f t="shared" si="1"/>
        <v/>
      </c>
      <c r="I455" s="37"/>
      <c r="J455" s="37"/>
      <c r="K455" s="37"/>
      <c r="L455" s="38"/>
      <c r="M455" s="37"/>
      <c r="N455" s="37"/>
      <c r="O455" s="37"/>
      <c r="P455" s="14"/>
      <c r="Q455" s="15"/>
      <c r="R455" s="120"/>
      <c r="S455" s="120"/>
      <c r="T455" s="64"/>
      <c r="U455" s="16"/>
      <c r="V455" s="37" t="str">
        <f>IFERROR(__xludf.DUMMYFUNCTION("if(not(iserror(index(split(C455, "" ""),2))), index(split(C455, "" ""),1),"""")"),"")</f>
        <v/>
      </c>
      <c r="W455" s="315" t="str">
        <f>IFERROR(__xludf.DUMMYFUNCTION("if(V455="""",C455,if(not(iserror(index(split(C455, "" ""),3))), index(split(C455, "" ""),3),index(split(C455, "" ""),2)))"),"")</f>
        <v/>
      </c>
      <c r="X455" s="38" t="b">
        <f t="shared" si="2"/>
        <v>0</v>
      </c>
      <c r="Y455" s="38"/>
      <c r="Z455" s="40"/>
      <c r="AA455" s="40"/>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row>
    <row r="456">
      <c r="A456" s="37"/>
      <c r="B456" s="322"/>
      <c r="C456" s="144"/>
      <c r="D456" s="144"/>
      <c r="E456" s="37"/>
      <c r="F456" s="37"/>
      <c r="G456" s="37"/>
      <c r="H456" s="33" t="str">
        <f t="shared" si="1"/>
        <v/>
      </c>
      <c r="I456" s="37"/>
      <c r="J456" s="37"/>
      <c r="K456" s="37"/>
      <c r="L456" s="38"/>
      <c r="M456" s="37"/>
      <c r="N456" s="37"/>
      <c r="O456" s="37"/>
      <c r="P456" s="14"/>
      <c r="Q456" s="80"/>
      <c r="R456" s="37"/>
      <c r="S456" s="37"/>
      <c r="T456" s="64"/>
      <c r="U456" s="16"/>
      <c r="V456" s="37" t="str">
        <f>IFERROR(__xludf.DUMMYFUNCTION("if(not(iserror(index(split(C456, "" ""),2))), index(split(C456, "" ""),1),"""")"),"")</f>
        <v/>
      </c>
      <c r="W456" s="315" t="str">
        <f>IFERROR(__xludf.DUMMYFUNCTION("if(V456="""",C456,if(not(iserror(index(split(C456, "" ""),3))), index(split(C456, "" ""),3),index(split(C456, "" ""),2)))"),"")</f>
        <v/>
      </c>
      <c r="X456" s="38" t="b">
        <f t="shared" si="2"/>
        <v>0</v>
      </c>
      <c r="Y456" s="38"/>
      <c r="Z456" s="40"/>
      <c r="AA456" s="40"/>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row>
    <row r="457">
      <c r="A457" s="37"/>
      <c r="B457" s="322"/>
      <c r="C457" s="144"/>
      <c r="D457" s="144"/>
      <c r="E457" s="37"/>
      <c r="F457" s="37"/>
      <c r="G457" s="37"/>
      <c r="H457" s="33" t="str">
        <f t="shared" si="1"/>
        <v/>
      </c>
      <c r="I457" s="37"/>
      <c r="J457" s="37"/>
      <c r="K457" s="37"/>
      <c r="L457" s="38"/>
      <c r="M457" s="37"/>
      <c r="N457" s="37"/>
      <c r="O457" s="37"/>
      <c r="P457" s="14"/>
      <c r="Q457" s="15"/>
      <c r="R457" s="16"/>
      <c r="S457" s="16"/>
      <c r="T457" s="16"/>
      <c r="U457" s="16"/>
      <c r="V457" s="37" t="str">
        <f>IFERROR(__xludf.DUMMYFUNCTION("if(not(iserror(index(split(C457, "" ""),2))), index(split(C457, "" ""),1),"""")"),"")</f>
        <v/>
      </c>
      <c r="W457" s="315" t="str">
        <f>IFERROR(__xludf.DUMMYFUNCTION("if(V457="""",C457,if(not(iserror(index(split(C457, "" ""),3))), index(split(C457, "" ""),3),index(split(C457, "" ""),2)))"),"")</f>
        <v/>
      </c>
      <c r="X457" s="38" t="b">
        <f t="shared" si="2"/>
        <v>0</v>
      </c>
      <c r="Y457" s="38"/>
      <c r="Z457" s="40"/>
      <c r="AA457" s="40"/>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row>
    <row r="458">
      <c r="A458" s="37"/>
      <c r="B458" s="322"/>
      <c r="C458" s="144"/>
      <c r="D458" s="144"/>
      <c r="E458" s="37"/>
      <c r="F458" s="37"/>
      <c r="G458" s="37"/>
      <c r="H458" s="33" t="str">
        <f t="shared" si="1"/>
        <v/>
      </c>
      <c r="I458" s="37"/>
      <c r="J458" s="37"/>
      <c r="K458" s="37"/>
      <c r="L458" s="38"/>
      <c r="M458" s="37"/>
      <c r="N458" s="37"/>
      <c r="O458" s="37"/>
      <c r="P458" s="14"/>
      <c r="Q458" s="15"/>
      <c r="R458" s="16"/>
      <c r="S458" s="16"/>
      <c r="T458" s="16"/>
      <c r="U458" s="16"/>
      <c r="V458" s="37" t="str">
        <f>IFERROR(__xludf.DUMMYFUNCTION("if(not(iserror(index(split(C458, "" ""),2))), index(split(C458, "" ""),1),"""")"),"")</f>
        <v/>
      </c>
      <c r="W458" s="315" t="str">
        <f>IFERROR(__xludf.DUMMYFUNCTION("if(V458="""",C458,if(not(iserror(index(split(C458, "" ""),3))), index(split(C458, "" ""),3),index(split(C458, "" ""),2)))"),"")</f>
        <v/>
      </c>
      <c r="X458" s="38" t="b">
        <f t="shared" si="2"/>
        <v>0</v>
      </c>
      <c r="Y458" s="38"/>
      <c r="Z458" s="40"/>
      <c r="AA458" s="40"/>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row>
    <row r="459">
      <c r="A459" s="37"/>
      <c r="B459" s="322"/>
      <c r="C459" s="144"/>
      <c r="D459" s="144"/>
      <c r="E459" s="37"/>
      <c r="F459" s="37"/>
      <c r="G459" s="37"/>
      <c r="H459" s="33" t="str">
        <f t="shared" si="1"/>
        <v/>
      </c>
      <c r="I459" s="37"/>
      <c r="J459" s="37"/>
      <c r="K459" s="37"/>
      <c r="L459" s="38"/>
      <c r="M459" s="37"/>
      <c r="N459" s="37"/>
      <c r="O459" s="37"/>
      <c r="P459" s="14"/>
      <c r="Q459" s="15"/>
      <c r="R459" s="16"/>
      <c r="S459" s="16"/>
      <c r="T459" s="16"/>
      <c r="U459" s="16"/>
      <c r="V459" s="37" t="str">
        <f>IFERROR(__xludf.DUMMYFUNCTION("if(not(iserror(index(split(C459, "" ""),2))), index(split(C459, "" ""),1),"""")"),"")</f>
        <v/>
      </c>
      <c r="W459" s="315" t="str">
        <f>IFERROR(__xludf.DUMMYFUNCTION("if(V459="""",C459,if(not(iserror(index(split(C459, "" ""),3))), index(split(C459, "" ""),3),index(split(C459, "" ""),2)))"),"")</f>
        <v/>
      </c>
      <c r="X459" s="38" t="b">
        <f t="shared" si="2"/>
        <v>0</v>
      </c>
      <c r="Y459" s="38"/>
      <c r="Z459" s="40"/>
      <c r="AA459" s="40"/>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row>
    <row r="460">
      <c r="A460" s="37"/>
      <c r="B460" s="322"/>
      <c r="C460" s="144"/>
      <c r="D460" s="144"/>
      <c r="E460" s="37"/>
      <c r="F460" s="37"/>
      <c r="G460" s="37"/>
      <c r="H460" s="33" t="str">
        <f t="shared" si="1"/>
        <v/>
      </c>
      <c r="I460" s="37"/>
      <c r="J460" s="37"/>
      <c r="K460" s="37"/>
      <c r="L460" s="38"/>
      <c r="M460" s="37"/>
      <c r="N460" s="37"/>
      <c r="O460" s="37"/>
      <c r="P460" s="14"/>
      <c r="Q460" s="15"/>
      <c r="R460" s="16"/>
      <c r="S460" s="16"/>
      <c r="T460" s="16"/>
      <c r="U460" s="16"/>
      <c r="V460" s="37" t="str">
        <f>IFERROR(__xludf.DUMMYFUNCTION("if(not(iserror(index(split(C460, "" ""),2))), index(split(C460, "" ""),1),"""")"),"")</f>
        <v/>
      </c>
      <c r="W460" s="315" t="str">
        <f>IFERROR(__xludf.DUMMYFUNCTION("if(V460="""",C460,if(not(iserror(index(split(C460, "" ""),3))), index(split(C460, "" ""),3),index(split(C460, "" ""),2)))"),"")</f>
        <v/>
      </c>
      <c r="X460" s="38" t="b">
        <f t="shared" si="2"/>
        <v>0</v>
      </c>
      <c r="Y460" s="38"/>
      <c r="Z460" s="40"/>
      <c r="AA460" s="40"/>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row>
    <row r="461">
      <c r="A461" s="37"/>
      <c r="B461" s="322"/>
      <c r="C461" s="144"/>
      <c r="D461" s="144"/>
      <c r="E461" s="37"/>
      <c r="F461" s="37"/>
      <c r="G461" s="37"/>
      <c r="H461" s="33" t="str">
        <f t="shared" si="1"/>
        <v/>
      </c>
      <c r="I461" s="37"/>
      <c r="J461" s="37"/>
      <c r="K461" s="37"/>
      <c r="L461" s="38"/>
      <c r="M461" s="37"/>
      <c r="N461" s="37"/>
      <c r="O461" s="37"/>
      <c r="P461" s="14"/>
      <c r="Q461" s="15"/>
      <c r="R461" s="16"/>
      <c r="S461" s="16"/>
      <c r="T461" s="16"/>
      <c r="U461" s="16"/>
      <c r="V461" s="37" t="str">
        <f>IFERROR(__xludf.DUMMYFUNCTION("if(not(iserror(index(split(C461, "" ""),2))), index(split(C461, "" ""),1),"""")"),"")</f>
        <v/>
      </c>
      <c r="W461" s="315" t="str">
        <f>IFERROR(__xludf.DUMMYFUNCTION("if(V461="""",C461,if(not(iserror(index(split(C461, "" ""),3))), index(split(C461, "" ""),3),index(split(C461, "" ""),2)))"),"")</f>
        <v/>
      </c>
      <c r="X461" s="38" t="b">
        <f t="shared" si="2"/>
        <v>0</v>
      </c>
      <c r="Y461" s="38"/>
      <c r="Z461" s="40"/>
      <c r="AA461" s="40"/>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row>
    <row r="462">
      <c r="A462" s="37"/>
      <c r="B462" s="322"/>
      <c r="C462" s="144"/>
      <c r="D462" s="144"/>
      <c r="E462" s="37"/>
      <c r="F462" s="37"/>
      <c r="G462" s="37"/>
      <c r="H462" s="33" t="str">
        <f t="shared" si="1"/>
        <v/>
      </c>
      <c r="I462" s="37"/>
      <c r="J462" s="37"/>
      <c r="K462" s="37"/>
      <c r="L462" s="38"/>
      <c r="M462" s="37"/>
      <c r="N462" s="37"/>
      <c r="O462" s="37"/>
      <c r="P462" s="14"/>
      <c r="Q462" s="15"/>
      <c r="R462" s="16"/>
      <c r="S462" s="16"/>
      <c r="T462" s="16"/>
      <c r="U462" s="16"/>
      <c r="V462" s="37" t="str">
        <f>IFERROR(__xludf.DUMMYFUNCTION("if(not(iserror(index(split(C462, "" ""),2))), index(split(C462, "" ""),1),"""")"),"")</f>
        <v/>
      </c>
      <c r="W462" s="315" t="str">
        <f>IFERROR(__xludf.DUMMYFUNCTION("if(V462="""",C462,if(not(iserror(index(split(C462, "" ""),3))), index(split(C462, "" ""),3),index(split(C462, "" ""),2)))"),"")</f>
        <v/>
      </c>
      <c r="X462" s="38" t="b">
        <f t="shared" si="2"/>
        <v>0</v>
      </c>
      <c r="Y462" s="38"/>
      <c r="Z462" s="40"/>
      <c r="AA462" s="40"/>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row>
    <row r="463">
      <c r="A463" s="37"/>
      <c r="B463" s="322"/>
      <c r="C463" s="144"/>
      <c r="D463" s="144"/>
      <c r="E463" s="37"/>
      <c r="F463" s="37"/>
      <c r="G463" s="37"/>
      <c r="H463" s="33" t="str">
        <f t="shared" si="1"/>
        <v/>
      </c>
      <c r="I463" s="37"/>
      <c r="J463" s="37"/>
      <c r="K463" s="37"/>
      <c r="L463" s="38"/>
      <c r="M463" s="37"/>
      <c r="N463" s="37"/>
      <c r="O463" s="37"/>
      <c r="P463" s="14"/>
      <c r="Q463" s="15"/>
      <c r="R463" s="16"/>
      <c r="S463" s="16"/>
      <c r="T463" s="16"/>
      <c r="U463" s="16"/>
      <c r="V463" s="37" t="str">
        <f>IFERROR(__xludf.DUMMYFUNCTION("if(not(iserror(index(split(C463, "" ""),2))), index(split(C463, "" ""),1),"""")"),"")</f>
        <v/>
      </c>
      <c r="W463" s="315" t="str">
        <f>IFERROR(__xludf.DUMMYFUNCTION("if(V463="""",C463,if(not(iserror(index(split(C463, "" ""),3))), index(split(C463, "" ""),3),index(split(C463, "" ""),2)))"),"")</f>
        <v/>
      </c>
      <c r="X463" s="38" t="b">
        <f t="shared" si="2"/>
        <v>0</v>
      </c>
      <c r="Y463" s="38"/>
      <c r="Z463" s="40"/>
      <c r="AA463" s="40"/>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row>
    <row r="464">
      <c r="A464" s="37"/>
      <c r="B464" s="322"/>
      <c r="C464" s="144"/>
      <c r="D464" s="144"/>
      <c r="E464" s="37"/>
      <c r="F464" s="37"/>
      <c r="G464" s="37"/>
      <c r="H464" s="33" t="str">
        <f t="shared" si="1"/>
        <v/>
      </c>
      <c r="I464" s="37"/>
      <c r="J464" s="37"/>
      <c r="K464" s="37"/>
      <c r="L464" s="38"/>
      <c r="M464" s="37"/>
      <c r="N464" s="37"/>
      <c r="O464" s="37"/>
      <c r="P464" s="14"/>
      <c r="Q464" s="15"/>
      <c r="R464" s="16"/>
      <c r="S464" s="16"/>
      <c r="T464" s="16"/>
      <c r="U464" s="16"/>
      <c r="V464" s="37" t="str">
        <f>IFERROR(__xludf.DUMMYFUNCTION("if(not(iserror(index(split(C464, "" ""),2))), index(split(C464, "" ""),1),"""")"),"")</f>
        <v/>
      </c>
      <c r="W464" s="315" t="str">
        <f>IFERROR(__xludf.DUMMYFUNCTION("if(V464="""",C464,if(not(iserror(index(split(C464, "" ""),3))), index(split(C464, "" ""),3),index(split(C464, "" ""),2)))"),"")</f>
        <v/>
      </c>
      <c r="X464" s="38" t="b">
        <f t="shared" si="2"/>
        <v>0</v>
      </c>
      <c r="Y464" s="38"/>
      <c r="Z464" s="40"/>
      <c r="AA464" s="40"/>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row>
    <row r="465">
      <c r="A465" s="37"/>
      <c r="B465" s="322"/>
      <c r="C465" s="144"/>
      <c r="D465" s="144"/>
      <c r="E465" s="37"/>
      <c r="F465" s="37"/>
      <c r="G465" s="37"/>
      <c r="H465" s="33" t="str">
        <f t="shared" si="1"/>
        <v/>
      </c>
      <c r="I465" s="37"/>
      <c r="J465" s="37"/>
      <c r="K465" s="37"/>
      <c r="L465" s="38"/>
      <c r="M465" s="37"/>
      <c r="N465" s="37"/>
      <c r="O465" s="37"/>
      <c r="P465" s="14"/>
      <c r="Q465" s="15"/>
      <c r="R465" s="37"/>
      <c r="S465" s="37"/>
      <c r="T465" s="64"/>
      <c r="U465" s="16"/>
      <c r="V465" s="37" t="str">
        <f>IFERROR(__xludf.DUMMYFUNCTION("if(not(iserror(index(split(C465, "" ""),2))), index(split(C465, "" ""),1),"""")"),"")</f>
        <v/>
      </c>
      <c r="W465" s="315" t="str">
        <f>IFERROR(__xludf.DUMMYFUNCTION("if(V465="""",C465,if(not(iserror(index(split(C465, "" ""),3))), index(split(C465, "" ""),3),index(split(C465, "" ""),2)))"),"")</f>
        <v/>
      </c>
      <c r="X465" s="38" t="b">
        <f t="shared" si="2"/>
        <v>0</v>
      </c>
      <c r="Y465" s="38"/>
      <c r="Z465" s="40"/>
      <c r="AA465" s="40"/>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row>
    <row r="466">
      <c r="A466" s="37"/>
      <c r="B466" s="322"/>
      <c r="C466" s="144"/>
      <c r="D466" s="144"/>
      <c r="E466" s="37"/>
      <c r="F466" s="37"/>
      <c r="G466" s="37"/>
      <c r="H466" s="33" t="str">
        <f t="shared" si="1"/>
        <v/>
      </c>
      <c r="I466" s="37"/>
      <c r="J466" s="37"/>
      <c r="K466" s="37"/>
      <c r="L466" s="38"/>
      <c r="M466" s="37"/>
      <c r="N466" s="37"/>
      <c r="O466" s="37"/>
      <c r="P466" s="14"/>
      <c r="Q466" s="15"/>
      <c r="R466" s="37"/>
      <c r="S466" s="37"/>
      <c r="T466" s="64"/>
      <c r="U466" s="16"/>
      <c r="V466" s="37" t="str">
        <f>IFERROR(__xludf.DUMMYFUNCTION("if(not(iserror(index(split(C466, "" ""),2))), index(split(C466, "" ""),1),"""")"),"")</f>
        <v/>
      </c>
      <c r="W466" s="315" t="str">
        <f>IFERROR(__xludf.DUMMYFUNCTION("if(V466="""",C466,if(not(iserror(index(split(C466, "" ""),3))), index(split(C466, "" ""),3),index(split(C466, "" ""),2)))"),"")</f>
        <v/>
      </c>
      <c r="X466" s="38" t="b">
        <f t="shared" si="2"/>
        <v>0</v>
      </c>
      <c r="Y466" s="38"/>
      <c r="Z466" s="40"/>
      <c r="AA466" s="40"/>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row>
    <row r="467">
      <c r="A467" s="37"/>
      <c r="B467" s="322"/>
      <c r="C467" s="144"/>
      <c r="D467" s="144"/>
      <c r="E467" s="37"/>
      <c r="F467" s="37"/>
      <c r="G467" s="37"/>
      <c r="H467" s="33" t="str">
        <f t="shared" si="1"/>
        <v/>
      </c>
      <c r="I467" s="37"/>
      <c r="J467" s="37"/>
      <c r="K467" s="37"/>
      <c r="L467" s="38"/>
      <c r="M467" s="37"/>
      <c r="N467" s="37"/>
      <c r="O467" s="37"/>
      <c r="P467" s="14"/>
      <c r="Q467" s="15"/>
      <c r="R467" s="37"/>
      <c r="S467" s="37"/>
      <c r="T467" s="64"/>
      <c r="U467" s="16"/>
      <c r="V467" s="37" t="str">
        <f>IFERROR(__xludf.DUMMYFUNCTION("if(not(iserror(index(split(C467, "" ""),2))), index(split(C467, "" ""),1),"""")"),"")</f>
        <v/>
      </c>
      <c r="W467" s="315" t="str">
        <f>IFERROR(__xludf.DUMMYFUNCTION("if(V467="""",C467,if(not(iserror(index(split(C467, "" ""),3))), index(split(C467, "" ""),3),index(split(C467, "" ""),2)))"),"")</f>
        <v/>
      </c>
      <c r="X467" s="38" t="b">
        <f t="shared" si="2"/>
        <v>0</v>
      </c>
      <c r="Y467" s="38"/>
      <c r="Z467" s="40"/>
      <c r="AA467" s="40"/>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row>
    <row r="468">
      <c r="A468" s="37"/>
      <c r="B468" s="322"/>
      <c r="C468" s="144"/>
      <c r="D468" s="144"/>
      <c r="E468" s="37"/>
      <c r="F468" s="37"/>
      <c r="G468" s="37"/>
      <c r="H468" s="33" t="str">
        <f t="shared" si="1"/>
        <v/>
      </c>
      <c r="I468" s="37"/>
      <c r="J468" s="37"/>
      <c r="K468" s="37"/>
      <c r="L468" s="38"/>
      <c r="M468" s="37"/>
      <c r="N468" s="37"/>
      <c r="O468" s="37"/>
      <c r="P468" s="14"/>
      <c r="Q468" s="15"/>
      <c r="R468" s="37"/>
      <c r="S468" s="37"/>
      <c r="T468" s="64"/>
      <c r="U468" s="16"/>
      <c r="V468" s="37" t="str">
        <f>IFERROR(__xludf.DUMMYFUNCTION("if(not(iserror(index(split(C468, "" ""),2))), index(split(C468, "" ""),1),"""")"),"")</f>
        <v/>
      </c>
      <c r="W468" s="315" t="str">
        <f>IFERROR(__xludf.DUMMYFUNCTION("if(V468="""",C468,if(not(iserror(index(split(C468, "" ""),3))), index(split(C468, "" ""),3),index(split(C468, "" ""),2)))"),"")</f>
        <v/>
      </c>
      <c r="X468" s="38" t="b">
        <f t="shared" si="2"/>
        <v>0</v>
      </c>
      <c r="Y468" s="38"/>
      <c r="Z468" s="40"/>
      <c r="AA468" s="40"/>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row>
    <row r="469">
      <c r="A469" s="37"/>
      <c r="B469" s="322"/>
      <c r="C469" s="144"/>
      <c r="D469" s="144"/>
      <c r="E469" s="37"/>
      <c r="F469" s="37"/>
      <c r="G469" s="37"/>
      <c r="H469" s="33" t="str">
        <f t="shared" si="1"/>
        <v/>
      </c>
      <c r="I469" s="37"/>
      <c r="J469" s="37"/>
      <c r="K469" s="37"/>
      <c r="L469" s="38"/>
      <c r="M469" s="37"/>
      <c r="N469" s="37"/>
      <c r="O469" s="37"/>
      <c r="P469" s="14"/>
      <c r="Q469" s="15"/>
      <c r="R469" s="37"/>
      <c r="S469" s="37"/>
      <c r="T469" s="64"/>
      <c r="U469" s="16"/>
      <c r="V469" s="37" t="str">
        <f>IFERROR(__xludf.DUMMYFUNCTION("if(not(iserror(index(split(C469, "" ""),2))), index(split(C469, "" ""),1),"""")"),"")</f>
        <v/>
      </c>
      <c r="W469" s="315" t="str">
        <f>IFERROR(__xludf.DUMMYFUNCTION("if(V469="""",C469,if(not(iserror(index(split(C469, "" ""),3))), index(split(C469, "" ""),3),index(split(C469, "" ""),2)))"),"")</f>
        <v/>
      </c>
      <c r="X469" s="38" t="b">
        <f t="shared" si="2"/>
        <v>0</v>
      </c>
      <c r="Y469" s="38"/>
      <c r="Z469" s="40"/>
      <c r="AA469" s="40"/>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row>
    <row r="470">
      <c r="A470" s="91"/>
      <c r="B470" s="380"/>
      <c r="C470" s="146"/>
      <c r="D470" s="146"/>
      <c r="E470" s="91"/>
      <c r="F470" s="91"/>
      <c r="G470" s="91"/>
      <c r="H470" s="33" t="str">
        <f t="shared" si="1"/>
        <v/>
      </c>
      <c r="I470" s="91"/>
      <c r="J470" s="91"/>
      <c r="K470" s="91"/>
      <c r="L470" s="38"/>
      <c r="M470" s="91"/>
      <c r="N470" s="91"/>
      <c r="O470" s="91"/>
      <c r="P470" s="95"/>
      <c r="Q470" s="14"/>
      <c r="R470" s="37"/>
      <c r="S470" s="37"/>
      <c r="T470" s="64"/>
      <c r="U470" s="16"/>
      <c r="V470" s="37" t="str">
        <f>IFERROR(__xludf.DUMMYFUNCTION("if(not(iserror(index(split(C470, "" ""),2))), index(split(C470, "" ""),1),"""")"),"")</f>
        <v/>
      </c>
      <c r="W470" s="315" t="str">
        <f>IFERROR(__xludf.DUMMYFUNCTION("if(V470="""",C470,if(not(iserror(index(split(C470, "" ""),3))), index(split(C470, "" ""),3),index(split(C470, "" ""),2)))"),"")</f>
        <v/>
      </c>
      <c r="X470" s="38" t="b">
        <f t="shared" si="2"/>
        <v>0</v>
      </c>
      <c r="Y470" s="38"/>
      <c r="Z470" s="40"/>
      <c r="AA470" s="40"/>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row>
    <row r="471">
      <c r="A471" s="37"/>
      <c r="B471" s="322"/>
      <c r="C471" s="144"/>
      <c r="D471" s="144"/>
      <c r="E471" s="37"/>
      <c r="F471" s="37"/>
      <c r="G471" s="37"/>
      <c r="H471" s="33" t="str">
        <f t="shared" si="1"/>
        <v/>
      </c>
      <c r="I471" s="37"/>
      <c r="J471" s="37"/>
      <c r="K471" s="37"/>
      <c r="L471" s="38"/>
      <c r="M471" s="37"/>
      <c r="N471" s="37"/>
      <c r="O471" s="37"/>
      <c r="P471" s="14"/>
      <c r="Q471" s="15"/>
      <c r="R471" s="37"/>
      <c r="S471" s="37"/>
      <c r="T471" s="64"/>
      <c r="U471" s="16"/>
      <c r="V471" s="37" t="str">
        <f>IFERROR(__xludf.DUMMYFUNCTION("if(not(iserror(index(split(C471, "" ""),2))), index(split(C471, "" ""),1),"""")"),"")</f>
        <v/>
      </c>
      <c r="W471" s="315" t="str">
        <f>IFERROR(__xludf.DUMMYFUNCTION("if(V471="""",C471,if(not(iserror(index(split(C471, "" ""),3))), index(split(C471, "" ""),3),index(split(C471, "" ""),2)))"),"")</f>
        <v/>
      </c>
      <c r="X471" s="38" t="b">
        <f t="shared" si="2"/>
        <v>0</v>
      </c>
      <c r="Y471" s="38"/>
      <c r="Z471" s="40"/>
      <c r="AA471" s="40"/>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row>
    <row r="472">
      <c r="A472" s="375"/>
      <c r="B472" s="322"/>
      <c r="C472" s="144"/>
      <c r="D472" s="144"/>
      <c r="E472" s="37"/>
      <c r="F472" s="37"/>
      <c r="G472" s="37"/>
      <c r="H472" s="33" t="str">
        <f t="shared" si="1"/>
        <v/>
      </c>
      <c r="I472" s="37"/>
      <c r="J472" s="37"/>
      <c r="K472" s="37"/>
      <c r="L472" s="38"/>
      <c r="M472" s="37"/>
      <c r="N472" s="37"/>
      <c r="O472" s="37"/>
      <c r="P472" s="14"/>
      <c r="Q472" s="14"/>
      <c r="R472" s="37"/>
      <c r="S472" s="37"/>
      <c r="T472" s="64"/>
      <c r="U472" s="16"/>
      <c r="V472" s="37" t="str">
        <f>IFERROR(__xludf.DUMMYFUNCTION("if(not(iserror(index(split(C472, "" ""),2))), index(split(C472, "" ""),1),"""")"),"")</f>
        <v/>
      </c>
      <c r="W472" s="315" t="str">
        <f>IFERROR(__xludf.DUMMYFUNCTION("if(V472="""",C472,if(not(iserror(index(split(C472, "" ""),3))), index(split(C472, "" ""),3),index(split(C472, "" ""),2)))"),"")</f>
        <v/>
      </c>
      <c r="X472" s="38" t="b">
        <f t="shared" si="2"/>
        <v>0</v>
      </c>
      <c r="Y472" s="38"/>
      <c r="Z472" s="40"/>
      <c r="AA472" s="40"/>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row>
    <row r="473">
      <c r="A473" s="375"/>
      <c r="B473" s="322"/>
      <c r="C473" s="144"/>
      <c r="D473" s="144"/>
      <c r="E473" s="37"/>
      <c r="F473" s="37"/>
      <c r="G473" s="37"/>
      <c r="H473" s="33" t="str">
        <f t="shared" si="1"/>
        <v/>
      </c>
      <c r="I473" s="37"/>
      <c r="J473" s="37"/>
      <c r="K473" s="37"/>
      <c r="L473" s="38"/>
      <c r="M473" s="37"/>
      <c r="N473" s="37"/>
      <c r="O473" s="37"/>
      <c r="P473" s="14"/>
      <c r="Q473" s="14"/>
      <c r="R473" s="37"/>
      <c r="S473" s="37"/>
      <c r="T473" s="64"/>
      <c r="U473" s="16"/>
      <c r="V473" s="37" t="str">
        <f>IFERROR(__xludf.DUMMYFUNCTION("if(not(iserror(index(split(C473, "" ""),2))), index(split(C473, "" ""),1),"""")"),"")</f>
        <v/>
      </c>
      <c r="W473" s="315" t="str">
        <f>IFERROR(__xludf.DUMMYFUNCTION("if(V473="""",C473,if(not(iserror(index(split(C473, "" ""),3))), index(split(C473, "" ""),3),index(split(C473, "" ""),2)))"),"")</f>
        <v/>
      </c>
      <c r="X473" s="38" t="b">
        <f t="shared" si="2"/>
        <v>0</v>
      </c>
      <c r="Y473" s="38"/>
      <c r="Z473" s="40"/>
      <c r="AA473" s="40"/>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row>
    <row r="474">
      <c r="A474" s="37"/>
      <c r="B474" s="322"/>
      <c r="C474" s="144"/>
      <c r="D474" s="144"/>
      <c r="E474" s="37"/>
      <c r="F474" s="37"/>
      <c r="G474" s="37"/>
      <c r="H474" s="33" t="str">
        <f t="shared" si="1"/>
        <v/>
      </c>
      <c r="I474" s="37"/>
      <c r="J474" s="37"/>
      <c r="K474" s="37"/>
      <c r="L474" s="38"/>
      <c r="M474" s="37"/>
      <c r="N474" s="37"/>
      <c r="O474" s="37"/>
      <c r="P474" s="14"/>
      <c r="Q474" s="15"/>
      <c r="R474" s="16"/>
      <c r="S474" s="16"/>
      <c r="T474" s="16"/>
      <c r="U474" s="16"/>
      <c r="V474" s="37" t="str">
        <f>IFERROR(__xludf.DUMMYFUNCTION("if(not(iserror(index(split(C474, "" ""),2))), index(split(C474, "" ""),1),"""")"),"")</f>
        <v/>
      </c>
      <c r="W474" s="315" t="str">
        <f>IFERROR(__xludf.DUMMYFUNCTION("if(V474="""",C474,if(not(iserror(index(split(C474, "" ""),3))), index(split(C474, "" ""),3),index(split(C474, "" ""),2)))"),"")</f>
        <v/>
      </c>
      <c r="X474" s="38" t="b">
        <f t="shared" si="2"/>
        <v>0</v>
      </c>
      <c r="Y474" s="38"/>
      <c r="Z474" s="40"/>
      <c r="AA474" s="40"/>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row>
    <row r="475">
      <c r="A475" s="37"/>
      <c r="B475" s="322"/>
      <c r="C475" s="144"/>
      <c r="D475" s="144"/>
      <c r="E475" s="37"/>
      <c r="F475" s="37"/>
      <c r="G475" s="37"/>
      <c r="H475" s="33" t="str">
        <f t="shared" si="1"/>
        <v/>
      </c>
      <c r="I475" s="37"/>
      <c r="J475" s="37"/>
      <c r="K475" s="37"/>
      <c r="L475" s="38"/>
      <c r="M475" s="37"/>
      <c r="N475" s="37"/>
      <c r="O475" s="37"/>
      <c r="P475" s="14"/>
      <c r="Q475" s="15"/>
      <c r="R475" s="37"/>
      <c r="S475" s="37"/>
      <c r="T475" s="64"/>
      <c r="U475" s="16"/>
      <c r="V475" s="37" t="str">
        <f>IFERROR(__xludf.DUMMYFUNCTION("if(not(iserror(index(split(C475, "" ""),2))), index(split(C475, "" ""),1),"""")"),"")</f>
        <v/>
      </c>
      <c r="W475" s="315" t="str">
        <f>IFERROR(__xludf.DUMMYFUNCTION("if(V475="""",C475,if(not(iserror(index(split(C475, "" ""),3))), index(split(C475, "" ""),3),index(split(C475, "" ""),2)))"),"")</f>
        <v/>
      </c>
      <c r="X475" s="38" t="b">
        <f t="shared" si="2"/>
        <v>0</v>
      </c>
      <c r="Y475" s="38"/>
      <c r="Z475" s="40"/>
      <c r="AA475" s="40"/>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row>
    <row r="476">
      <c r="A476" s="37"/>
      <c r="B476" s="322"/>
      <c r="C476" s="144"/>
      <c r="D476" s="144"/>
      <c r="E476" s="37"/>
      <c r="F476" s="37"/>
      <c r="G476" s="37"/>
      <c r="H476" s="33" t="str">
        <f t="shared" si="1"/>
        <v/>
      </c>
      <c r="I476" s="37"/>
      <c r="J476" s="37"/>
      <c r="K476" s="37"/>
      <c r="L476" s="38"/>
      <c r="M476" s="37"/>
      <c r="N476" s="37"/>
      <c r="O476" s="37"/>
      <c r="P476" s="14"/>
      <c r="Q476" s="15"/>
      <c r="R476" s="37"/>
      <c r="S476" s="37"/>
      <c r="T476" s="64"/>
      <c r="U476" s="16"/>
      <c r="V476" s="37" t="str">
        <f>IFERROR(__xludf.DUMMYFUNCTION("if(not(iserror(index(split(C476, "" ""),2))), index(split(C476, "" ""),1),"""")"),"")</f>
        <v/>
      </c>
      <c r="W476" s="315" t="str">
        <f>IFERROR(__xludf.DUMMYFUNCTION("if(V476="""",C476,if(not(iserror(index(split(C476, "" ""),3))), index(split(C476, "" ""),3),index(split(C476, "" ""),2)))"),"")</f>
        <v/>
      </c>
      <c r="X476" s="38" t="b">
        <f t="shared" si="2"/>
        <v>0</v>
      </c>
      <c r="Y476" s="38"/>
      <c r="Z476" s="40"/>
      <c r="AA476" s="40"/>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row>
    <row r="477">
      <c r="A477" s="37"/>
      <c r="B477" s="322"/>
      <c r="C477" s="144"/>
      <c r="D477" s="144"/>
      <c r="E477" s="37"/>
      <c r="F477" s="37"/>
      <c r="G477" s="37"/>
      <c r="H477" s="33" t="str">
        <f t="shared" si="1"/>
        <v/>
      </c>
      <c r="I477" s="37"/>
      <c r="J477" s="37"/>
      <c r="K477" s="37"/>
      <c r="L477" s="38"/>
      <c r="M477" s="37"/>
      <c r="N477" s="37"/>
      <c r="O477" s="37"/>
      <c r="P477" s="14"/>
      <c r="Q477" s="15"/>
      <c r="R477" s="37"/>
      <c r="S477" s="37"/>
      <c r="T477" s="64"/>
      <c r="U477" s="16"/>
      <c r="V477" s="37" t="str">
        <f>IFERROR(__xludf.DUMMYFUNCTION("if(not(iserror(index(split(C477, "" ""),2))), index(split(C477, "" ""),1),"""")"),"")</f>
        <v/>
      </c>
      <c r="W477" s="315" t="str">
        <f>IFERROR(__xludf.DUMMYFUNCTION("if(V477="""",C477,if(not(iserror(index(split(C477, "" ""),3))), index(split(C477, "" ""),3),index(split(C477, "" ""),2)))"),"")</f>
        <v/>
      </c>
      <c r="X477" s="38" t="b">
        <f t="shared" si="2"/>
        <v>0</v>
      </c>
      <c r="Y477" s="38"/>
      <c r="Z477" s="40"/>
      <c r="AA477" s="40"/>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row>
    <row r="478">
      <c r="A478" s="37"/>
      <c r="B478" s="322"/>
      <c r="C478" s="144"/>
      <c r="D478" s="144"/>
      <c r="E478" s="37"/>
      <c r="F478" s="37"/>
      <c r="G478" s="37"/>
      <c r="H478" s="33" t="str">
        <f t="shared" si="1"/>
        <v/>
      </c>
      <c r="I478" s="37"/>
      <c r="J478" s="37"/>
      <c r="K478" s="37"/>
      <c r="L478" s="38"/>
      <c r="M478" s="37"/>
      <c r="N478" s="37"/>
      <c r="O478" s="37"/>
      <c r="P478" s="14"/>
      <c r="Q478" s="15"/>
      <c r="R478" s="16"/>
      <c r="S478" s="16"/>
      <c r="T478" s="16"/>
      <c r="U478" s="16"/>
      <c r="V478" s="37" t="str">
        <f>IFERROR(__xludf.DUMMYFUNCTION("if(not(iserror(index(split(C478, "" ""),2))), index(split(C478, "" ""),1),"""")"),"")</f>
        <v/>
      </c>
      <c r="W478" s="315" t="str">
        <f>IFERROR(__xludf.DUMMYFUNCTION("if(V478="""",C478,if(not(iserror(index(split(C478, "" ""),3))), index(split(C478, "" ""),3),index(split(C478, "" ""),2)))"),"")</f>
        <v/>
      </c>
      <c r="X478" s="38" t="b">
        <f t="shared" si="2"/>
        <v>0</v>
      </c>
      <c r="Y478" s="38"/>
      <c r="Z478" s="40"/>
      <c r="AA478" s="40"/>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row>
    <row r="479">
      <c r="A479" s="37"/>
      <c r="B479" s="322"/>
      <c r="C479" s="144"/>
      <c r="D479" s="144"/>
      <c r="E479" s="37"/>
      <c r="F479" s="37"/>
      <c r="G479" s="37"/>
      <c r="H479" s="33" t="str">
        <f t="shared" si="1"/>
        <v/>
      </c>
      <c r="I479" s="37"/>
      <c r="J479" s="37"/>
      <c r="K479" s="37"/>
      <c r="L479" s="38"/>
      <c r="M479" s="37"/>
      <c r="N479" s="37"/>
      <c r="O479" s="37"/>
      <c r="P479" s="14"/>
      <c r="Q479" s="15"/>
      <c r="R479" s="16"/>
      <c r="S479" s="16"/>
      <c r="T479" s="16"/>
      <c r="U479" s="16"/>
      <c r="V479" s="37" t="str">
        <f>IFERROR(__xludf.DUMMYFUNCTION("if(not(iserror(index(split(C479, "" ""),2))), index(split(C479, "" ""),1),"""")"),"")</f>
        <v/>
      </c>
      <c r="W479" s="315" t="str">
        <f>IFERROR(__xludf.DUMMYFUNCTION("if(V479="""",C479,if(not(iserror(index(split(C479, "" ""),3))), index(split(C479, "" ""),3),index(split(C479, "" ""),2)))"),"")</f>
        <v/>
      </c>
      <c r="X479" s="38" t="b">
        <f t="shared" si="2"/>
        <v>0</v>
      </c>
      <c r="Y479" s="38"/>
      <c r="Z479" s="40"/>
      <c r="AA479" s="40"/>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row>
    <row r="480">
      <c r="A480" s="37"/>
      <c r="B480" s="322"/>
      <c r="C480" s="144"/>
      <c r="D480" s="144"/>
      <c r="E480" s="37"/>
      <c r="F480" s="37"/>
      <c r="G480" s="37"/>
      <c r="H480" s="33" t="str">
        <f t="shared" si="1"/>
        <v/>
      </c>
      <c r="I480" s="37"/>
      <c r="J480" s="37"/>
      <c r="K480" s="37"/>
      <c r="L480" s="38"/>
      <c r="M480" s="37"/>
      <c r="N480" s="37"/>
      <c r="O480" s="37"/>
      <c r="P480" s="14"/>
      <c r="Q480" s="15"/>
      <c r="R480" s="16"/>
      <c r="S480" s="16"/>
      <c r="T480" s="16"/>
      <c r="U480" s="16"/>
      <c r="V480" s="37" t="str">
        <f>IFERROR(__xludf.DUMMYFUNCTION("if(not(iserror(index(split(C480, "" ""),2))), index(split(C480, "" ""),1),"""")"),"")</f>
        <v/>
      </c>
      <c r="W480" s="315" t="str">
        <f>IFERROR(__xludf.DUMMYFUNCTION("if(V480="""",C480,if(not(iserror(index(split(C480, "" ""),3))), index(split(C480, "" ""),3),index(split(C480, "" ""),2)))"),"")</f>
        <v/>
      </c>
      <c r="X480" s="38" t="b">
        <f t="shared" si="2"/>
        <v>0</v>
      </c>
      <c r="Y480" s="38"/>
      <c r="Z480" s="40"/>
      <c r="AA480" s="40"/>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row>
    <row r="481">
      <c r="A481" s="37"/>
      <c r="B481" s="322"/>
      <c r="C481" s="144"/>
      <c r="D481" s="144"/>
      <c r="E481" s="37"/>
      <c r="F481" s="37"/>
      <c r="G481" s="37"/>
      <c r="H481" s="33" t="str">
        <f t="shared" si="1"/>
        <v/>
      </c>
      <c r="I481" s="37"/>
      <c r="J481" s="37"/>
      <c r="K481" s="37"/>
      <c r="L481" s="38"/>
      <c r="M481" s="37"/>
      <c r="N481" s="37"/>
      <c r="O481" s="37"/>
      <c r="P481" s="14"/>
      <c r="Q481" s="15"/>
      <c r="R481" s="37"/>
      <c r="S481" s="16"/>
      <c r="T481" s="64"/>
      <c r="U481" s="16"/>
      <c r="V481" s="37" t="str">
        <f>IFERROR(__xludf.DUMMYFUNCTION("if(not(iserror(index(split(C481, "" ""),2))), index(split(C481, "" ""),1),"""")"),"")</f>
        <v/>
      </c>
      <c r="W481" s="315" t="str">
        <f>IFERROR(__xludf.DUMMYFUNCTION("if(V481="""",C481,if(not(iserror(index(split(C481, "" ""),3))), index(split(C481, "" ""),3),index(split(C481, "" ""),2)))"),"")</f>
        <v/>
      </c>
      <c r="X481" s="38" t="b">
        <f t="shared" si="2"/>
        <v>0</v>
      </c>
      <c r="Y481" s="38"/>
      <c r="Z481" s="40"/>
      <c r="AA481" s="40"/>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row>
    <row r="482">
      <c r="A482" s="37"/>
      <c r="B482" s="322"/>
      <c r="C482" s="144"/>
      <c r="D482" s="144"/>
      <c r="E482" s="37"/>
      <c r="F482" s="37"/>
      <c r="G482" s="37"/>
      <c r="H482" s="33" t="str">
        <f t="shared" si="1"/>
        <v/>
      </c>
      <c r="I482" s="37"/>
      <c r="J482" s="37"/>
      <c r="K482" s="37"/>
      <c r="L482" s="38"/>
      <c r="M482" s="37"/>
      <c r="N482" s="37"/>
      <c r="O482" s="37"/>
      <c r="P482" s="14"/>
      <c r="Q482" s="14"/>
      <c r="R482" s="37"/>
      <c r="S482" s="16"/>
      <c r="T482" s="64"/>
      <c r="U482" s="16"/>
      <c r="V482" s="37" t="str">
        <f>IFERROR(__xludf.DUMMYFUNCTION("if(not(iserror(index(split(C482, "" ""),2))), index(split(C482, "" ""),1),"""")"),"")</f>
        <v/>
      </c>
      <c r="W482" s="315" t="str">
        <f>IFERROR(__xludf.DUMMYFUNCTION("if(V482="""",C482,if(not(iserror(index(split(C482, "" ""),3))), index(split(C482, "" ""),3),index(split(C482, "" ""),2)))"),"")</f>
        <v/>
      </c>
      <c r="X482" s="38" t="b">
        <f t="shared" si="2"/>
        <v>0</v>
      </c>
      <c r="Y482" s="38"/>
      <c r="Z482" s="40"/>
      <c r="AA482" s="40"/>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row>
    <row r="483">
      <c r="A483" s="37"/>
      <c r="B483" s="322"/>
      <c r="C483" s="144"/>
      <c r="D483" s="144"/>
      <c r="E483" s="37"/>
      <c r="F483" s="37"/>
      <c r="G483" s="37"/>
      <c r="H483" s="33" t="str">
        <f t="shared" si="1"/>
        <v/>
      </c>
      <c r="I483" s="37"/>
      <c r="J483" s="37"/>
      <c r="K483" s="37"/>
      <c r="L483" s="38"/>
      <c r="M483" s="37"/>
      <c r="N483" s="37"/>
      <c r="O483" s="37"/>
      <c r="P483" s="14"/>
      <c r="Q483" s="15"/>
      <c r="R483" s="16"/>
      <c r="S483" s="16"/>
      <c r="T483" s="16"/>
      <c r="U483" s="16"/>
      <c r="V483" s="37" t="str">
        <f>IFERROR(__xludf.DUMMYFUNCTION("if(not(iserror(index(split(C483, "" ""),2))), index(split(C483, "" ""),1),"""")"),"")</f>
        <v/>
      </c>
      <c r="W483" s="315" t="str">
        <f>IFERROR(__xludf.DUMMYFUNCTION("if(V483="""",C483,if(not(iserror(index(split(C483, "" ""),3))), index(split(C483, "" ""),3),index(split(C483, "" ""),2)))"),"")</f>
        <v/>
      </c>
      <c r="X483" s="38" t="b">
        <f t="shared" si="2"/>
        <v>0</v>
      </c>
      <c r="Y483" s="38"/>
      <c r="Z483" s="40"/>
      <c r="AA483" s="40"/>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row>
    <row r="484">
      <c r="A484" s="37"/>
      <c r="B484" s="322"/>
      <c r="C484" s="144"/>
      <c r="D484" s="144"/>
      <c r="E484" s="37"/>
      <c r="F484" s="37"/>
      <c r="G484" s="37"/>
      <c r="H484" s="33" t="str">
        <f t="shared" si="1"/>
        <v/>
      </c>
      <c r="I484" s="37"/>
      <c r="J484" s="37"/>
      <c r="K484" s="37"/>
      <c r="L484" s="38"/>
      <c r="M484" s="37"/>
      <c r="N484" s="37"/>
      <c r="O484" s="37"/>
      <c r="P484" s="14"/>
      <c r="Q484" s="15"/>
      <c r="R484" s="37"/>
      <c r="S484" s="37"/>
      <c r="T484" s="64"/>
      <c r="U484" s="16"/>
      <c r="V484" s="37" t="str">
        <f>IFERROR(__xludf.DUMMYFUNCTION("if(not(iserror(index(split(C484, "" ""),2))), index(split(C484, "" ""),1),"""")"),"")</f>
        <v/>
      </c>
      <c r="W484" s="315" t="str">
        <f>IFERROR(__xludf.DUMMYFUNCTION("if(V484="""",C484,if(not(iserror(index(split(C484, "" ""),3))), index(split(C484, "" ""),3),index(split(C484, "" ""),2)))"),"")</f>
        <v/>
      </c>
      <c r="X484" s="38" t="b">
        <f t="shared" si="2"/>
        <v>0</v>
      </c>
      <c r="Y484" s="38"/>
      <c r="Z484" s="40"/>
      <c r="AA484" s="40"/>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row>
    <row r="485">
      <c r="A485" s="37"/>
      <c r="B485" s="322"/>
      <c r="C485" s="144"/>
      <c r="D485" s="144"/>
      <c r="E485" s="37"/>
      <c r="F485" s="37"/>
      <c r="G485" s="37"/>
      <c r="H485" s="33" t="str">
        <f t="shared" si="1"/>
        <v/>
      </c>
      <c r="I485" s="37"/>
      <c r="J485" s="37"/>
      <c r="K485" s="37"/>
      <c r="L485" s="38"/>
      <c r="M485" s="37"/>
      <c r="N485" s="37"/>
      <c r="O485" s="37"/>
      <c r="P485" s="14"/>
      <c r="Q485" s="15"/>
      <c r="R485" s="37"/>
      <c r="S485" s="37"/>
      <c r="T485" s="64"/>
      <c r="U485" s="16"/>
      <c r="V485" s="37" t="str">
        <f>IFERROR(__xludf.DUMMYFUNCTION("if(not(iserror(index(split(C485, "" ""),2))), index(split(C485, "" ""),1),"""")"),"")</f>
        <v/>
      </c>
      <c r="W485" s="315" t="str">
        <f>IFERROR(__xludf.DUMMYFUNCTION("if(V485="""",C485,if(not(iserror(index(split(C485, "" ""),3))), index(split(C485, "" ""),3),index(split(C485, "" ""),2)))"),"")</f>
        <v/>
      </c>
      <c r="X485" s="38" t="b">
        <f t="shared" si="2"/>
        <v>0</v>
      </c>
      <c r="Y485" s="38"/>
      <c r="Z485" s="40"/>
      <c r="AA485" s="40"/>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row>
    <row r="486">
      <c r="A486" s="37"/>
      <c r="B486" s="322"/>
      <c r="C486" s="144"/>
      <c r="D486" s="144"/>
      <c r="E486" s="37"/>
      <c r="F486" s="37"/>
      <c r="G486" s="37"/>
      <c r="H486" s="33" t="str">
        <f t="shared" si="1"/>
        <v/>
      </c>
      <c r="I486" s="37"/>
      <c r="J486" s="37"/>
      <c r="K486" s="37"/>
      <c r="L486" s="38"/>
      <c r="M486" s="37"/>
      <c r="N486" s="37"/>
      <c r="O486" s="37"/>
      <c r="P486" s="14"/>
      <c r="Q486" s="15"/>
      <c r="R486" s="37"/>
      <c r="S486" s="37"/>
      <c r="T486" s="64"/>
      <c r="U486" s="16"/>
      <c r="V486" s="37" t="str">
        <f>IFERROR(__xludf.DUMMYFUNCTION("if(not(iserror(index(split(C486, "" ""),2))), index(split(C486, "" ""),1),"""")"),"")</f>
        <v/>
      </c>
      <c r="W486" s="315" t="str">
        <f>IFERROR(__xludf.DUMMYFUNCTION("if(V486="""",C486,if(not(iserror(index(split(C486, "" ""),3))), index(split(C486, "" ""),3),index(split(C486, "" ""),2)))"),"")</f>
        <v/>
      </c>
      <c r="X486" s="38" t="b">
        <f t="shared" si="2"/>
        <v>0</v>
      </c>
      <c r="Y486" s="38"/>
      <c r="Z486" s="40"/>
      <c r="AA486" s="40"/>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row>
    <row r="487">
      <c r="A487" s="37"/>
      <c r="B487" s="322"/>
      <c r="C487" s="144"/>
      <c r="D487" s="144"/>
      <c r="E487" s="37"/>
      <c r="F487" s="37"/>
      <c r="G487" s="37"/>
      <c r="H487" s="33" t="str">
        <f t="shared" si="1"/>
        <v/>
      </c>
      <c r="I487" s="37"/>
      <c r="J487" s="37"/>
      <c r="K487" s="37"/>
      <c r="L487" s="38"/>
      <c r="M487" s="37"/>
      <c r="N487" s="37"/>
      <c r="O487" s="37"/>
      <c r="P487" s="14"/>
      <c r="Q487" s="15"/>
      <c r="R487" s="37"/>
      <c r="S487" s="16"/>
      <c r="T487" s="64"/>
      <c r="U487" s="16"/>
      <c r="V487" s="37" t="str">
        <f>IFERROR(__xludf.DUMMYFUNCTION("if(not(iserror(index(split(C487, "" ""),2))), index(split(C487, "" ""),1),"""")"),"")</f>
        <v/>
      </c>
      <c r="W487" s="315" t="str">
        <f>IFERROR(__xludf.DUMMYFUNCTION("if(V487="""",C487,if(not(iserror(index(split(C487, "" ""),3))), index(split(C487, "" ""),3),index(split(C487, "" ""),2)))"),"")</f>
        <v/>
      </c>
      <c r="X487" s="38" t="b">
        <f t="shared" si="2"/>
        <v>0</v>
      </c>
      <c r="Y487" s="38"/>
      <c r="Z487" s="40"/>
      <c r="AA487" s="40"/>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row>
    <row r="488">
      <c r="A488" s="37"/>
      <c r="B488" s="322"/>
      <c r="C488" s="144"/>
      <c r="D488" s="144"/>
      <c r="E488" s="37"/>
      <c r="F488" s="37"/>
      <c r="G488" s="37"/>
      <c r="H488" s="33" t="str">
        <f t="shared" si="1"/>
        <v/>
      </c>
      <c r="I488" s="37"/>
      <c r="J488" s="37"/>
      <c r="K488" s="37"/>
      <c r="L488" s="38"/>
      <c r="M488" s="37"/>
      <c r="N488" s="37"/>
      <c r="O488" s="37"/>
      <c r="P488" s="14"/>
      <c r="Q488" s="15"/>
      <c r="R488" s="37"/>
      <c r="S488" s="16"/>
      <c r="T488" s="64"/>
      <c r="U488" s="16"/>
      <c r="V488" s="37" t="str">
        <f>IFERROR(__xludf.DUMMYFUNCTION("if(not(iserror(index(split(C488, "" ""),2))), index(split(C488, "" ""),1),"""")"),"")</f>
        <v/>
      </c>
      <c r="W488" s="315" t="str">
        <f>IFERROR(__xludf.DUMMYFUNCTION("if(V488="""",C488,if(not(iserror(index(split(C488, "" ""),3))), index(split(C488, "" ""),3),index(split(C488, "" ""),2)))"),"")</f>
        <v/>
      </c>
      <c r="X488" s="38" t="b">
        <f t="shared" si="2"/>
        <v>0</v>
      </c>
      <c r="Y488" s="38"/>
      <c r="Z488" s="40"/>
      <c r="AA488" s="40"/>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row>
    <row r="489">
      <c r="A489" s="37"/>
      <c r="B489" s="322"/>
      <c r="C489" s="144"/>
      <c r="D489" s="144"/>
      <c r="E489" s="37"/>
      <c r="F489" s="37"/>
      <c r="G489" s="37"/>
      <c r="H489" s="33" t="str">
        <f t="shared" si="1"/>
        <v/>
      </c>
      <c r="I489" s="37"/>
      <c r="J489" s="37"/>
      <c r="K489" s="37"/>
      <c r="L489" s="38"/>
      <c r="M489" s="37"/>
      <c r="N489" s="37"/>
      <c r="O489" s="37"/>
      <c r="P489" s="14"/>
      <c r="Q489" s="15"/>
      <c r="R489" s="37"/>
      <c r="S489" s="37"/>
      <c r="T489" s="64"/>
      <c r="U489" s="16"/>
      <c r="V489" s="37" t="str">
        <f>IFERROR(__xludf.DUMMYFUNCTION("if(not(iserror(index(split(C489, "" ""),2))), index(split(C489, "" ""),1),"""")"),"")</f>
        <v/>
      </c>
      <c r="W489" s="315" t="str">
        <f>IFERROR(__xludf.DUMMYFUNCTION("if(V489="""",C489,if(not(iserror(index(split(C489, "" ""),3))), index(split(C489, "" ""),3),index(split(C489, "" ""),2)))"),"")</f>
        <v/>
      </c>
      <c r="X489" s="38" t="b">
        <f t="shared" si="2"/>
        <v>0</v>
      </c>
      <c r="Y489" s="38"/>
      <c r="Z489" s="40"/>
      <c r="AA489" s="40"/>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row>
    <row r="490">
      <c r="A490" s="37"/>
      <c r="B490" s="322"/>
      <c r="C490" s="144"/>
      <c r="D490" s="144"/>
      <c r="E490" s="37"/>
      <c r="F490" s="37"/>
      <c r="G490" s="37"/>
      <c r="H490" s="33" t="str">
        <f t="shared" si="1"/>
        <v/>
      </c>
      <c r="I490" s="37"/>
      <c r="J490" s="37"/>
      <c r="K490" s="37"/>
      <c r="L490" s="38"/>
      <c r="M490" s="37"/>
      <c r="N490" s="37"/>
      <c r="O490" s="37"/>
      <c r="P490" s="14"/>
      <c r="Q490" s="15"/>
      <c r="R490" s="37"/>
      <c r="S490" s="37"/>
      <c r="T490" s="64"/>
      <c r="U490" s="16"/>
      <c r="V490" s="37" t="str">
        <f>IFERROR(__xludf.DUMMYFUNCTION("if(not(iserror(index(split(C490, "" ""),2))), index(split(C490, "" ""),1),"""")"),"")</f>
        <v/>
      </c>
      <c r="W490" s="315" t="str">
        <f>IFERROR(__xludf.DUMMYFUNCTION("if(V490="""",C490,if(not(iserror(index(split(C490, "" ""),3))), index(split(C490, "" ""),3),index(split(C490, "" ""),2)))"),"")</f>
        <v/>
      </c>
      <c r="X490" s="38" t="b">
        <f t="shared" si="2"/>
        <v>0</v>
      </c>
      <c r="Y490" s="38"/>
      <c r="Z490" s="40"/>
      <c r="AA490" s="40"/>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row>
    <row r="491">
      <c r="A491" s="91"/>
      <c r="B491" s="383"/>
      <c r="C491" s="146"/>
      <c r="D491" s="146"/>
      <c r="E491" s="91"/>
      <c r="F491" s="91"/>
      <c r="G491" s="91"/>
      <c r="H491" s="33" t="str">
        <f t="shared" si="1"/>
        <v/>
      </c>
      <c r="I491" s="91"/>
      <c r="J491" s="91"/>
      <c r="K491" s="91"/>
      <c r="L491" s="38"/>
      <c r="M491" s="91"/>
      <c r="N491" s="91"/>
      <c r="O491" s="91"/>
      <c r="P491" s="95"/>
      <c r="Q491" s="15"/>
      <c r="R491" s="37"/>
      <c r="S491" s="37"/>
      <c r="T491" s="64"/>
      <c r="U491" s="16"/>
      <c r="V491" s="37" t="str">
        <f>IFERROR(__xludf.DUMMYFUNCTION("if(not(iserror(index(split(C491, "" ""),2))), index(split(C491, "" ""),1),"""")"),"")</f>
        <v/>
      </c>
      <c r="W491" s="315" t="str">
        <f>IFERROR(__xludf.DUMMYFUNCTION("if(V491="""",C491,if(not(iserror(index(split(C491, "" ""),3))), index(split(C491, "" ""),3),index(split(C491, "" ""),2)))"),"")</f>
        <v/>
      </c>
      <c r="X491" s="38" t="b">
        <f t="shared" si="2"/>
        <v>0</v>
      </c>
      <c r="Y491" s="38"/>
      <c r="Z491" s="40"/>
      <c r="AA491" s="40"/>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row>
    <row r="492">
      <c r="A492" s="37"/>
      <c r="B492" s="322"/>
      <c r="C492" s="144"/>
      <c r="D492" s="144"/>
      <c r="E492" s="37"/>
      <c r="F492" s="37"/>
      <c r="G492" s="37"/>
      <c r="H492" s="33" t="str">
        <f t="shared" si="1"/>
        <v/>
      </c>
      <c r="I492" s="37"/>
      <c r="J492" s="37"/>
      <c r="K492" s="37"/>
      <c r="L492" s="38"/>
      <c r="M492" s="37"/>
      <c r="N492" s="37"/>
      <c r="O492" s="37"/>
      <c r="P492" s="14"/>
      <c r="Q492" s="15"/>
      <c r="R492" s="16"/>
      <c r="S492" s="16"/>
      <c r="T492" s="16"/>
      <c r="U492" s="16"/>
      <c r="V492" s="37" t="str">
        <f>IFERROR(__xludf.DUMMYFUNCTION("if(not(iserror(index(split(C492, "" ""),2))), index(split(C492, "" ""),1),"""")"),"")</f>
        <v/>
      </c>
      <c r="W492" s="315" t="str">
        <f>IFERROR(__xludf.DUMMYFUNCTION("if(V492="""",C492,if(not(iserror(index(split(C492, "" ""),3))), index(split(C492, "" ""),3),index(split(C492, "" ""),2)))"),"")</f>
        <v/>
      </c>
      <c r="X492" s="38" t="b">
        <f t="shared" si="2"/>
        <v>0</v>
      </c>
      <c r="Y492" s="38"/>
      <c r="Z492" s="40"/>
      <c r="AA492" s="40"/>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row>
    <row r="493">
      <c r="A493" s="37"/>
      <c r="B493" s="322"/>
      <c r="C493" s="144"/>
      <c r="D493" s="144"/>
      <c r="E493" s="37"/>
      <c r="F493" s="37"/>
      <c r="G493" s="37"/>
      <c r="H493" s="33" t="str">
        <f t="shared" si="1"/>
        <v/>
      </c>
      <c r="I493" s="37"/>
      <c r="J493" s="37"/>
      <c r="K493" s="37"/>
      <c r="L493" s="38"/>
      <c r="M493" s="37"/>
      <c r="N493" s="37"/>
      <c r="O493" s="37"/>
      <c r="P493" s="14"/>
      <c r="Q493" s="15"/>
      <c r="R493" s="16"/>
      <c r="S493" s="16"/>
      <c r="T493" s="16"/>
      <c r="U493" s="16"/>
      <c r="V493" s="37" t="str">
        <f>IFERROR(__xludf.DUMMYFUNCTION("if(not(iserror(index(split(C493, "" ""),2))), index(split(C493, "" ""),1),"""")"),"")</f>
        <v/>
      </c>
      <c r="W493" s="315" t="str">
        <f>IFERROR(__xludf.DUMMYFUNCTION("if(V493="""",C493,if(not(iserror(index(split(C493, "" ""),3))), index(split(C493, "" ""),3),index(split(C493, "" ""),2)))"),"")</f>
        <v/>
      </c>
      <c r="X493" s="38" t="b">
        <f t="shared" si="2"/>
        <v>0</v>
      </c>
      <c r="Y493" s="38"/>
      <c r="Z493" s="40"/>
      <c r="AA493" s="40"/>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row>
    <row r="494">
      <c r="A494" s="37"/>
      <c r="B494" s="322"/>
      <c r="C494" s="144"/>
      <c r="D494" s="144"/>
      <c r="E494" s="37"/>
      <c r="F494" s="37"/>
      <c r="G494" s="37"/>
      <c r="H494" s="33" t="str">
        <f t="shared" si="1"/>
        <v/>
      </c>
      <c r="I494" s="37"/>
      <c r="J494" s="37"/>
      <c r="K494" s="37"/>
      <c r="L494" s="38"/>
      <c r="M494" s="37"/>
      <c r="N494" s="37"/>
      <c r="O494" s="37"/>
      <c r="P494" s="14"/>
      <c r="Q494" s="15"/>
      <c r="R494" s="37"/>
      <c r="S494" s="37"/>
      <c r="T494" s="64"/>
      <c r="U494" s="16"/>
      <c r="V494" s="37" t="str">
        <f>IFERROR(__xludf.DUMMYFUNCTION("if(not(iserror(index(split(C494, "" ""),2))), index(split(C494, "" ""),1),"""")"),"")</f>
        <v/>
      </c>
      <c r="W494" s="315" t="str">
        <f>IFERROR(__xludf.DUMMYFUNCTION("if(V494="""",C494,if(not(iserror(index(split(C494, "" ""),3))), index(split(C494, "" ""),3),index(split(C494, "" ""),2)))"),"")</f>
        <v/>
      </c>
      <c r="X494" s="38" t="b">
        <f t="shared" si="2"/>
        <v>0</v>
      </c>
      <c r="Y494" s="38"/>
      <c r="Z494" s="40"/>
      <c r="AA494" s="40"/>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row>
    <row r="495">
      <c r="A495" s="37"/>
      <c r="B495" s="322"/>
      <c r="C495" s="144"/>
      <c r="D495" s="144"/>
      <c r="E495" s="37"/>
      <c r="F495" s="37"/>
      <c r="G495" s="37"/>
      <c r="H495" s="33" t="str">
        <f t="shared" si="1"/>
        <v/>
      </c>
      <c r="I495" s="37"/>
      <c r="J495" s="37"/>
      <c r="K495" s="37"/>
      <c r="L495" s="38"/>
      <c r="M495" s="37"/>
      <c r="N495" s="37"/>
      <c r="O495" s="37"/>
      <c r="P495" s="14"/>
      <c r="Q495" s="15"/>
      <c r="R495" s="37"/>
      <c r="S495" s="37"/>
      <c r="T495" s="64"/>
      <c r="U495" s="16"/>
      <c r="V495" s="37" t="str">
        <f>IFERROR(__xludf.DUMMYFUNCTION("if(not(iserror(index(split(C495, "" ""),2))), index(split(C495, "" ""),1),"""")"),"")</f>
        <v/>
      </c>
      <c r="W495" s="315" t="str">
        <f>IFERROR(__xludf.DUMMYFUNCTION("if(V495="""",C495,if(not(iserror(index(split(C495, "" ""),3))), index(split(C495, "" ""),3),index(split(C495, "" ""),2)))"),"")</f>
        <v/>
      </c>
      <c r="X495" s="38" t="b">
        <f t="shared" si="2"/>
        <v>0</v>
      </c>
      <c r="Y495" s="38"/>
      <c r="Z495" s="40"/>
      <c r="AA495" s="40"/>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row>
    <row r="496">
      <c r="A496" s="37"/>
      <c r="B496" s="322"/>
      <c r="C496" s="144"/>
      <c r="D496" s="144"/>
      <c r="E496" s="37"/>
      <c r="F496" s="37"/>
      <c r="G496" s="37"/>
      <c r="H496" s="33" t="str">
        <f t="shared" si="1"/>
        <v/>
      </c>
      <c r="I496" s="37"/>
      <c r="J496" s="37"/>
      <c r="K496" s="37"/>
      <c r="L496" s="38"/>
      <c r="M496" s="37"/>
      <c r="N496" s="37"/>
      <c r="O496" s="37"/>
      <c r="P496" s="14"/>
      <c r="Q496" s="14"/>
      <c r="R496" s="37"/>
      <c r="S496" s="37"/>
      <c r="T496" s="64"/>
      <c r="U496" s="16"/>
      <c r="V496" s="37" t="str">
        <f>IFERROR(__xludf.DUMMYFUNCTION("if(not(iserror(index(split(C496, "" ""),2))), index(split(C496, "" ""),1),"""")"),"")</f>
        <v/>
      </c>
      <c r="W496" s="315" t="str">
        <f>IFERROR(__xludf.DUMMYFUNCTION("if(V496="""",C496,if(not(iserror(index(split(C496, "" ""),3))), index(split(C496, "" ""),3),index(split(C496, "" ""),2)))"),"")</f>
        <v/>
      </c>
      <c r="X496" s="38" t="b">
        <f t="shared" si="2"/>
        <v>0</v>
      </c>
      <c r="Y496" s="38"/>
      <c r="Z496" s="40"/>
      <c r="AA496" s="40"/>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row>
    <row r="497">
      <c r="A497" s="37"/>
      <c r="B497" s="322"/>
      <c r="C497" s="144"/>
      <c r="D497" s="144"/>
      <c r="E497" s="37"/>
      <c r="F497" s="37"/>
      <c r="G497" s="37"/>
      <c r="H497" s="33" t="str">
        <f t="shared" si="1"/>
        <v/>
      </c>
      <c r="I497" s="37"/>
      <c r="J497" s="37"/>
      <c r="K497" s="37"/>
      <c r="L497" s="38"/>
      <c r="M497" s="37"/>
      <c r="N497" s="37"/>
      <c r="O497" s="37"/>
      <c r="P497" s="14"/>
      <c r="Q497" s="15"/>
      <c r="R497" s="37"/>
      <c r="S497" s="16"/>
      <c r="T497" s="64"/>
      <c r="U497" s="16"/>
      <c r="V497" s="37" t="str">
        <f>IFERROR(__xludf.DUMMYFUNCTION("if(not(iserror(index(split(C497, "" ""),2))), index(split(C497, "" ""),1),"""")"),"")</f>
        <v/>
      </c>
      <c r="W497" s="315" t="str">
        <f>IFERROR(__xludf.DUMMYFUNCTION("if(V497="""",C497,if(not(iserror(index(split(C497, "" ""),3))), index(split(C497, "" ""),3),index(split(C497, "" ""),2)))"),"")</f>
        <v/>
      </c>
      <c r="X497" s="38" t="b">
        <f t="shared" si="2"/>
        <v>0</v>
      </c>
      <c r="Y497" s="38"/>
      <c r="Z497" s="40"/>
      <c r="AA497" s="40"/>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row>
    <row r="498">
      <c r="A498" s="37"/>
      <c r="B498" s="322"/>
      <c r="C498" s="144"/>
      <c r="D498" s="144"/>
      <c r="E498" s="37"/>
      <c r="F498" s="37"/>
      <c r="G498" s="37"/>
      <c r="H498" s="33" t="str">
        <f t="shared" si="1"/>
        <v/>
      </c>
      <c r="I498" s="37"/>
      <c r="J498" s="37"/>
      <c r="K498" s="37"/>
      <c r="L498" s="38"/>
      <c r="M498" s="37"/>
      <c r="N498" s="37"/>
      <c r="O498" s="37"/>
      <c r="P498" s="14"/>
      <c r="Q498" s="14"/>
      <c r="R498" s="37"/>
      <c r="S498" s="37"/>
      <c r="T498" s="64"/>
      <c r="U498" s="16"/>
      <c r="V498" s="37" t="str">
        <f>IFERROR(__xludf.DUMMYFUNCTION("if(not(iserror(index(split(C498, "" ""),2))), index(split(C498, "" ""),1),"""")"),"")</f>
        <v/>
      </c>
      <c r="W498" s="315" t="str">
        <f>IFERROR(__xludf.DUMMYFUNCTION("if(V498="""",C498,if(not(iserror(index(split(C498, "" ""),3))), index(split(C498, "" ""),3),index(split(C498, "" ""),2)))"),"")</f>
        <v/>
      </c>
      <c r="X498" s="38" t="b">
        <f t="shared" si="2"/>
        <v>0</v>
      </c>
      <c r="Y498" s="38"/>
      <c r="Z498" s="40"/>
      <c r="AA498" s="40"/>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row>
    <row r="499">
      <c r="A499" s="37"/>
      <c r="B499" s="322"/>
      <c r="C499" s="144"/>
      <c r="D499" s="144"/>
      <c r="E499" s="37"/>
      <c r="F499" s="37"/>
      <c r="G499" s="37"/>
      <c r="H499" s="33" t="str">
        <f t="shared" si="1"/>
        <v/>
      </c>
      <c r="I499" s="37"/>
      <c r="J499" s="37"/>
      <c r="K499" s="37"/>
      <c r="L499" s="38"/>
      <c r="M499" s="37"/>
      <c r="N499" s="37"/>
      <c r="O499" s="37"/>
      <c r="P499" s="14"/>
      <c r="Q499" s="15"/>
      <c r="R499" s="37"/>
      <c r="S499" s="37"/>
      <c r="T499" s="64"/>
      <c r="U499" s="16"/>
      <c r="V499" s="37" t="str">
        <f>IFERROR(__xludf.DUMMYFUNCTION("if(not(iserror(index(split(C499, "" ""),2))), index(split(C499, "" ""),1),"""")"),"")</f>
        <v/>
      </c>
      <c r="W499" s="315" t="str">
        <f>IFERROR(__xludf.DUMMYFUNCTION("if(V499="""",C499,if(not(iserror(index(split(C499, "" ""),3))), index(split(C499, "" ""),3),index(split(C499, "" ""),2)))"),"")</f>
        <v/>
      </c>
      <c r="X499" s="38" t="b">
        <f t="shared" si="2"/>
        <v>0</v>
      </c>
      <c r="Y499" s="38"/>
      <c r="Z499" s="40"/>
      <c r="AA499" s="40"/>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row>
    <row r="500">
      <c r="A500" s="37"/>
      <c r="B500" s="322"/>
      <c r="C500" s="144"/>
      <c r="D500" s="144"/>
      <c r="E500" s="37"/>
      <c r="F500" s="37"/>
      <c r="G500" s="37"/>
      <c r="H500" s="33" t="str">
        <f t="shared" si="1"/>
        <v/>
      </c>
      <c r="I500" s="37"/>
      <c r="J500" s="37"/>
      <c r="K500" s="37"/>
      <c r="L500" s="38"/>
      <c r="M500" s="37"/>
      <c r="N500" s="37"/>
      <c r="O500" s="37"/>
      <c r="P500" s="14"/>
      <c r="Q500" s="15"/>
      <c r="R500" s="16"/>
      <c r="S500" s="16"/>
      <c r="T500" s="16"/>
      <c r="U500" s="16"/>
      <c r="V500" s="37" t="str">
        <f>IFERROR(__xludf.DUMMYFUNCTION("if(not(iserror(index(split(C500, "" ""),2))), index(split(C500, "" ""),1),"""")"),"")</f>
        <v/>
      </c>
      <c r="W500" s="315" t="str">
        <f>IFERROR(__xludf.DUMMYFUNCTION("if(V500="""",C500,if(not(iserror(index(split(C500, "" ""),3))), index(split(C500, "" ""),3),index(split(C500, "" ""),2)))"),"")</f>
        <v/>
      </c>
      <c r="X500" s="38" t="b">
        <f t="shared" si="2"/>
        <v>0</v>
      </c>
      <c r="Y500" s="38"/>
      <c r="Z500" s="40"/>
      <c r="AA500" s="40"/>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row>
    <row r="501">
      <c r="A501" s="37"/>
      <c r="B501" s="322"/>
      <c r="C501" s="144"/>
      <c r="D501" s="144"/>
      <c r="E501" s="37"/>
      <c r="F501" s="37"/>
      <c r="G501" s="37"/>
      <c r="H501" s="33" t="str">
        <f t="shared" si="1"/>
        <v/>
      </c>
      <c r="I501" s="37"/>
      <c r="J501" s="37"/>
      <c r="K501" s="37"/>
      <c r="L501" s="38"/>
      <c r="M501" s="37"/>
      <c r="N501" s="37"/>
      <c r="O501" s="37"/>
      <c r="P501" s="14"/>
      <c r="Q501" s="15"/>
      <c r="R501" s="16"/>
      <c r="S501" s="16"/>
      <c r="T501" s="16"/>
      <c r="U501" s="16"/>
      <c r="V501" s="37" t="str">
        <f>IFERROR(__xludf.DUMMYFUNCTION("if(not(iserror(index(split(C501, "" ""),2))), index(split(C501, "" ""),1),"""")"),"")</f>
        <v/>
      </c>
      <c r="W501" s="315" t="str">
        <f>IFERROR(__xludf.DUMMYFUNCTION("if(V501="""",C501,if(not(iserror(index(split(C501, "" ""),3))), index(split(C501, "" ""),3),index(split(C501, "" ""),2)))"),"")</f>
        <v/>
      </c>
      <c r="X501" s="38" t="b">
        <f t="shared" si="2"/>
        <v>0</v>
      </c>
      <c r="Y501" s="38"/>
      <c r="Z501" s="40"/>
      <c r="AA501" s="40"/>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row>
    <row r="502">
      <c r="A502" s="37"/>
      <c r="B502" s="322"/>
      <c r="C502" s="144"/>
      <c r="D502" s="144"/>
      <c r="E502" s="37"/>
      <c r="F502" s="37"/>
      <c r="G502" s="37"/>
      <c r="H502" s="33" t="str">
        <f t="shared" si="1"/>
        <v/>
      </c>
      <c r="I502" s="37"/>
      <c r="J502" s="37"/>
      <c r="K502" s="37"/>
      <c r="L502" s="38"/>
      <c r="M502" s="37"/>
      <c r="N502" s="37"/>
      <c r="O502" s="37"/>
      <c r="P502" s="14"/>
      <c r="Q502" s="15"/>
      <c r="R502" s="16"/>
      <c r="S502" s="16"/>
      <c r="T502" s="16"/>
      <c r="U502" s="16"/>
      <c r="V502" s="37" t="str">
        <f>IFERROR(__xludf.DUMMYFUNCTION("if(not(iserror(index(split(C502, "" ""),2))), index(split(C502, "" ""),1),"""")"),"")</f>
        <v/>
      </c>
      <c r="W502" s="315" t="str">
        <f>IFERROR(__xludf.DUMMYFUNCTION("if(V502="""",C502,if(not(iserror(index(split(C502, "" ""),3))), index(split(C502, "" ""),3),index(split(C502, "" ""),2)))"),"")</f>
        <v/>
      </c>
      <c r="X502" s="38" t="b">
        <f t="shared" si="2"/>
        <v>0</v>
      </c>
      <c r="Y502" s="38"/>
      <c r="Z502" s="40"/>
      <c r="AA502" s="40"/>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row>
    <row r="503">
      <c r="A503" s="37"/>
      <c r="B503" s="322"/>
      <c r="C503" s="144"/>
      <c r="D503" s="144"/>
      <c r="E503" s="37"/>
      <c r="F503" s="37"/>
      <c r="G503" s="37"/>
      <c r="H503" s="33" t="str">
        <f t="shared" si="1"/>
        <v/>
      </c>
      <c r="I503" s="37"/>
      <c r="J503" s="37"/>
      <c r="K503" s="37"/>
      <c r="L503" s="38"/>
      <c r="M503" s="37"/>
      <c r="N503" s="37"/>
      <c r="O503" s="37"/>
      <c r="P503" s="14"/>
      <c r="Q503" s="15"/>
      <c r="R503" s="16"/>
      <c r="S503" s="16"/>
      <c r="T503" s="16"/>
      <c r="U503" s="16"/>
      <c r="V503" s="37" t="str">
        <f>IFERROR(__xludf.DUMMYFUNCTION("if(not(iserror(index(split(C503, "" ""),2))), index(split(C503, "" ""),1),"""")"),"")</f>
        <v/>
      </c>
      <c r="W503" s="315" t="str">
        <f>IFERROR(__xludf.DUMMYFUNCTION("if(V503="""",C503,if(not(iserror(index(split(C503, "" ""),3))), index(split(C503, "" ""),3),index(split(C503, "" ""),2)))"),"")</f>
        <v/>
      </c>
      <c r="X503" s="38" t="b">
        <f t="shared" si="2"/>
        <v>0</v>
      </c>
      <c r="Y503" s="38"/>
      <c r="Z503" s="40"/>
      <c r="AA503" s="40"/>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row>
    <row r="504">
      <c r="A504" s="37"/>
      <c r="B504" s="322"/>
      <c r="C504" s="144"/>
      <c r="D504" s="144"/>
      <c r="E504" s="37"/>
      <c r="F504" s="37"/>
      <c r="G504" s="37"/>
      <c r="H504" s="33" t="str">
        <f t="shared" si="1"/>
        <v/>
      </c>
      <c r="I504" s="37"/>
      <c r="J504" s="37"/>
      <c r="K504" s="37"/>
      <c r="L504" s="38"/>
      <c r="M504" s="37"/>
      <c r="N504" s="37"/>
      <c r="O504" s="37"/>
      <c r="P504" s="14"/>
      <c r="Q504" s="15"/>
      <c r="R504" s="16"/>
      <c r="S504" s="16"/>
      <c r="T504" s="16"/>
      <c r="U504" s="16"/>
      <c r="V504" s="37" t="str">
        <f>IFERROR(__xludf.DUMMYFUNCTION("if(not(iserror(index(split(C504, "" ""),2))), index(split(C504, "" ""),1),"""")"),"")</f>
        <v/>
      </c>
      <c r="W504" s="315" t="str">
        <f>IFERROR(__xludf.DUMMYFUNCTION("if(V504="""",C504,if(not(iserror(index(split(C504, "" ""),3))), index(split(C504, "" ""),3),index(split(C504, "" ""),2)))"),"")</f>
        <v/>
      </c>
      <c r="X504" s="38" t="b">
        <f t="shared" si="2"/>
        <v>0</v>
      </c>
      <c r="Y504" s="38"/>
      <c r="Z504" s="40"/>
      <c r="AA504" s="40"/>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row>
    <row r="505">
      <c r="A505" s="37"/>
      <c r="B505" s="322"/>
      <c r="C505" s="144"/>
      <c r="D505" s="144"/>
      <c r="E505" s="37"/>
      <c r="F505" s="37"/>
      <c r="G505" s="37"/>
      <c r="H505" s="33" t="str">
        <f t="shared" si="1"/>
        <v/>
      </c>
      <c r="I505" s="37"/>
      <c r="J505" s="37"/>
      <c r="K505" s="37"/>
      <c r="L505" s="38"/>
      <c r="M505" s="37"/>
      <c r="N505" s="37"/>
      <c r="O505" s="37"/>
      <c r="P505" s="14"/>
      <c r="Q505" s="15"/>
      <c r="R505" s="16"/>
      <c r="S505" s="16"/>
      <c r="T505" s="37"/>
      <c r="U505" s="16"/>
      <c r="V505" s="37" t="str">
        <f>IFERROR(__xludf.DUMMYFUNCTION("if(not(iserror(index(split(C505, "" ""),2))), index(split(C505, "" ""),1),"""")"),"")</f>
        <v/>
      </c>
      <c r="W505" s="315" t="str">
        <f>IFERROR(__xludf.DUMMYFUNCTION("if(V505="""",C505,if(not(iserror(index(split(C505, "" ""),3))), index(split(C505, "" ""),3),index(split(C505, "" ""),2)))"),"")</f>
        <v/>
      </c>
      <c r="X505" s="38" t="b">
        <f t="shared" si="2"/>
        <v>0</v>
      </c>
      <c r="Y505" s="38"/>
      <c r="Z505" s="40"/>
      <c r="AA505" s="40"/>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row>
    <row r="506">
      <c r="A506" s="37"/>
      <c r="B506" s="322"/>
      <c r="C506" s="144"/>
      <c r="D506" s="144"/>
      <c r="E506" s="37"/>
      <c r="F506" s="37"/>
      <c r="G506" s="37"/>
      <c r="H506" s="33" t="str">
        <f t="shared" si="1"/>
        <v/>
      </c>
      <c r="I506" s="37"/>
      <c r="J506" s="16"/>
      <c r="K506" s="37"/>
      <c r="L506" s="38"/>
      <c r="M506" s="37"/>
      <c r="N506" s="37"/>
      <c r="O506" s="37"/>
      <c r="P506" s="14"/>
      <c r="Q506" s="15"/>
      <c r="R506" s="16"/>
      <c r="S506" s="16"/>
      <c r="T506" s="16"/>
      <c r="U506" s="16"/>
      <c r="V506" s="37" t="str">
        <f>IFERROR(__xludf.DUMMYFUNCTION("if(not(iserror(index(split(C506, "" ""),2))), index(split(C506, "" ""),1),"""")"),"")</f>
        <v/>
      </c>
      <c r="W506" s="315" t="str">
        <f>IFERROR(__xludf.DUMMYFUNCTION("if(V506="""",C506,if(not(iserror(index(split(C506, "" ""),3))), index(split(C506, "" ""),3),index(split(C506, "" ""),2)))"),"")</f>
        <v/>
      </c>
      <c r="X506" s="38" t="b">
        <f t="shared" si="2"/>
        <v>0</v>
      </c>
      <c r="Y506" s="38"/>
      <c r="Z506" s="40"/>
      <c r="AA506" s="40"/>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row>
    <row r="507">
      <c r="A507" s="37"/>
      <c r="B507" s="322"/>
      <c r="C507" s="144"/>
      <c r="D507" s="144"/>
      <c r="E507" s="37"/>
      <c r="F507" s="37"/>
      <c r="G507" s="37"/>
      <c r="H507" s="33" t="str">
        <f t="shared" si="1"/>
        <v/>
      </c>
      <c r="I507" s="37"/>
      <c r="J507" s="16"/>
      <c r="K507" s="37"/>
      <c r="L507" s="38"/>
      <c r="M507" s="37"/>
      <c r="N507" s="37"/>
      <c r="O507" s="37"/>
      <c r="P507" s="14"/>
      <c r="Q507" s="15"/>
      <c r="R507" s="16"/>
      <c r="S507" s="16"/>
      <c r="T507" s="16"/>
      <c r="U507" s="16"/>
      <c r="V507" s="37" t="str">
        <f>IFERROR(__xludf.DUMMYFUNCTION("if(not(iserror(index(split(C507, "" ""),2))), index(split(C507, "" ""),1),"""")"),"")</f>
        <v/>
      </c>
      <c r="W507" s="315" t="str">
        <f>IFERROR(__xludf.DUMMYFUNCTION("if(V507="""",C507,if(not(iserror(index(split(C507, "" ""),3))), index(split(C507, "" ""),3),index(split(C507, "" ""),2)))"),"")</f>
        <v/>
      </c>
      <c r="X507" s="38" t="b">
        <f t="shared" si="2"/>
        <v>0</v>
      </c>
      <c r="Y507" s="38"/>
      <c r="Z507" s="40"/>
      <c r="AA507" s="40"/>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row>
    <row r="508">
      <c r="A508" s="37"/>
      <c r="B508" s="381"/>
      <c r="C508" s="144"/>
      <c r="D508" s="144"/>
      <c r="E508" s="37"/>
      <c r="F508" s="37"/>
      <c r="G508" s="37"/>
      <c r="H508" s="33" t="str">
        <f t="shared" si="1"/>
        <v/>
      </c>
      <c r="I508" s="37"/>
      <c r="J508" s="37"/>
      <c r="K508" s="37"/>
      <c r="L508" s="38"/>
      <c r="M508" s="37"/>
      <c r="N508" s="37"/>
      <c r="O508" s="37"/>
      <c r="P508" s="14"/>
      <c r="Q508" s="15"/>
      <c r="R508" s="16"/>
      <c r="S508" s="16"/>
      <c r="T508" s="16"/>
      <c r="U508" s="16"/>
      <c r="V508" s="37" t="str">
        <f>IFERROR(__xludf.DUMMYFUNCTION("if(not(iserror(index(split(C508, "" ""),2))), index(split(C508, "" ""),1),"""")"),"")</f>
        <v/>
      </c>
      <c r="W508" s="315" t="str">
        <f>IFERROR(__xludf.DUMMYFUNCTION("if(V508="""",C508,if(not(iserror(index(split(C508, "" ""),3))), index(split(C508, "" ""),3),index(split(C508, "" ""),2)))"),"")</f>
        <v/>
      </c>
      <c r="X508" s="38" t="b">
        <f t="shared" si="2"/>
        <v>0</v>
      </c>
      <c r="Y508" s="38"/>
      <c r="Z508" s="40"/>
      <c r="AA508" s="40"/>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row>
    <row r="509">
      <c r="A509" s="37"/>
      <c r="B509" s="381"/>
      <c r="C509" s="144"/>
      <c r="D509" s="144"/>
      <c r="E509" s="37"/>
      <c r="F509" s="37"/>
      <c r="G509" s="37"/>
      <c r="H509" s="33" t="str">
        <f t="shared" si="1"/>
        <v/>
      </c>
      <c r="I509" s="37"/>
      <c r="J509" s="37"/>
      <c r="K509" s="37"/>
      <c r="L509" s="38"/>
      <c r="M509" s="37"/>
      <c r="N509" s="37"/>
      <c r="O509" s="37"/>
      <c r="P509" s="14"/>
      <c r="Q509" s="15"/>
      <c r="R509" s="16"/>
      <c r="S509" s="16"/>
      <c r="T509" s="16"/>
      <c r="U509" s="16"/>
      <c r="V509" s="37" t="str">
        <f>IFERROR(__xludf.DUMMYFUNCTION("if(not(iserror(index(split(C509, "" ""),2))), index(split(C509, "" ""),1),"""")"),"")</f>
        <v/>
      </c>
      <c r="W509" s="315" t="str">
        <f>IFERROR(__xludf.DUMMYFUNCTION("if(V509="""",C509,if(not(iserror(index(split(C509, "" ""),3))), index(split(C509, "" ""),3),index(split(C509, "" ""),2)))"),"")</f>
        <v/>
      </c>
      <c r="X509" s="38" t="b">
        <f t="shared" si="2"/>
        <v>0</v>
      </c>
      <c r="Y509" s="38"/>
      <c r="Z509" s="40"/>
      <c r="AA509" s="40"/>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row>
    <row r="510">
      <c r="A510" s="37"/>
      <c r="B510" s="381"/>
      <c r="C510" s="144"/>
      <c r="D510" s="144"/>
      <c r="E510" s="37"/>
      <c r="F510" s="37"/>
      <c r="G510" s="37"/>
      <c r="H510" s="33" t="str">
        <f t="shared" si="1"/>
        <v/>
      </c>
      <c r="I510" s="37"/>
      <c r="J510" s="37"/>
      <c r="K510" s="37"/>
      <c r="L510" s="38"/>
      <c r="M510" s="37"/>
      <c r="N510" s="37"/>
      <c r="O510" s="37"/>
      <c r="P510" s="14"/>
      <c r="Q510" s="15"/>
      <c r="R510" s="37"/>
      <c r="S510" s="37"/>
      <c r="T510" s="64"/>
      <c r="U510" s="16"/>
      <c r="V510" s="37" t="str">
        <f>IFERROR(__xludf.DUMMYFUNCTION("if(not(iserror(index(split(C510, "" ""),2))), index(split(C510, "" ""),1),"""")"),"")</f>
        <v/>
      </c>
      <c r="W510" s="315" t="str">
        <f>IFERROR(__xludf.DUMMYFUNCTION("if(V510="""",C510,if(not(iserror(index(split(C510, "" ""),3))), index(split(C510, "" ""),3),index(split(C510, "" ""),2)))"),"")</f>
        <v/>
      </c>
      <c r="X510" s="38" t="b">
        <f t="shared" si="2"/>
        <v>0</v>
      </c>
      <c r="Y510" s="38"/>
      <c r="Z510" s="40"/>
      <c r="AA510" s="40"/>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row>
    <row r="511">
      <c r="A511" s="37"/>
      <c r="B511" s="381"/>
      <c r="C511" s="144"/>
      <c r="D511" s="144"/>
      <c r="E511" s="37"/>
      <c r="F511" s="37"/>
      <c r="G511" s="37"/>
      <c r="H511" s="33" t="str">
        <f t="shared" si="1"/>
        <v/>
      </c>
      <c r="I511" s="37"/>
      <c r="J511" s="37"/>
      <c r="K511" s="37"/>
      <c r="L511" s="38"/>
      <c r="M511" s="37"/>
      <c r="N511" s="37"/>
      <c r="O511" s="37"/>
      <c r="P511" s="14"/>
      <c r="Q511" s="15"/>
      <c r="R511" s="37"/>
      <c r="S511" s="37"/>
      <c r="T511" s="64"/>
      <c r="U511" s="16"/>
      <c r="V511" s="37" t="str">
        <f>IFERROR(__xludf.DUMMYFUNCTION("if(not(iserror(index(split(C511, "" ""),2))), index(split(C511, "" ""),1),"""")"),"")</f>
        <v/>
      </c>
      <c r="W511" s="315" t="str">
        <f>IFERROR(__xludf.DUMMYFUNCTION("if(V511="""",C511,if(not(iserror(index(split(C511, "" ""),3))), index(split(C511, "" ""),3),index(split(C511, "" ""),2)))"),"")</f>
        <v/>
      </c>
      <c r="X511" s="38" t="b">
        <f t="shared" si="2"/>
        <v>0</v>
      </c>
      <c r="Y511" s="38"/>
      <c r="Z511" s="40"/>
      <c r="AA511" s="40"/>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row>
    <row r="512">
      <c r="A512" s="37"/>
      <c r="B512" s="381"/>
      <c r="C512" s="144"/>
      <c r="D512" s="144"/>
      <c r="E512" s="37"/>
      <c r="F512" s="37"/>
      <c r="G512" s="37"/>
      <c r="H512" s="33" t="str">
        <f t="shared" si="1"/>
        <v/>
      </c>
      <c r="I512" s="37"/>
      <c r="J512" s="37"/>
      <c r="K512" s="37"/>
      <c r="L512" s="38"/>
      <c r="M512" s="37"/>
      <c r="N512" s="37"/>
      <c r="O512" s="37"/>
      <c r="P512" s="14"/>
      <c r="Q512" s="15"/>
      <c r="R512" s="16"/>
      <c r="S512" s="16"/>
      <c r="T512" s="16"/>
      <c r="U512" s="16"/>
      <c r="V512" s="37" t="str">
        <f>IFERROR(__xludf.DUMMYFUNCTION("if(not(iserror(index(split(C512, "" ""),2))), index(split(C512, "" ""),1),"""")"),"")</f>
        <v/>
      </c>
      <c r="W512" s="315" t="str">
        <f>IFERROR(__xludf.DUMMYFUNCTION("if(V512="""",C512,if(not(iserror(index(split(C512, "" ""),3))), index(split(C512, "" ""),3),index(split(C512, "" ""),2)))"),"")</f>
        <v/>
      </c>
      <c r="X512" s="38" t="b">
        <f t="shared" si="2"/>
        <v>0</v>
      </c>
      <c r="Y512" s="38"/>
      <c r="Z512" s="40"/>
      <c r="AA512" s="40"/>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row>
    <row r="513">
      <c r="A513" s="37"/>
      <c r="B513" s="381"/>
      <c r="C513" s="144"/>
      <c r="D513" s="144"/>
      <c r="E513" s="37"/>
      <c r="F513" s="37"/>
      <c r="G513" s="37"/>
      <c r="H513" s="33" t="str">
        <f t="shared" si="1"/>
        <v/>
      </c>
      <c r="I513" s="37"/>
      <c r="J513" s="37"/>
      <c r="K513" s="37"/>
      <c r="L513" s="38"/>
      <c r="M513" s="37"/>
      <c r="N513" s="37"/>
      <c r="O513" s="37"/>
      <c r="P513" s="14"/>
      <c r="Q513" s="15"/>
      <c r="R513" s="16"/>
      <c r="S513" s="16"/>
      <c r="T513" s="16"/>
      <c r="U513" s="16"/>
      <c r="V513" s="37" t="str">
        <f>IFERROR(__xludf.DUMMYFUNCTION("if(not(iserror(index(split(C513, "" ""),2))), index(split(C513, "" ""),1),"""")"),"")</f>
        <v/>
      </c>
      <c r="W513" s="315" t="str">
        <f>IFERROR(__xludf.DUMMYFUNCTION("if(V513="""",C513,if(not(iserror(index(split(C513, "" ""),3))), index(split(C513, "" ""),3),index(split(C513, "" ""),2)))"),"")</f>
        <v/>
      </c>
      <c r="X513" s="38" t="b">
        <f t="shared" si="2"/>
        <v>0</v>
      </c>
      <c r="Y513" s="38"/>
      <c r="Z513" s="40"/>
      <c r="AA513" s="40"/>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row>
    <row r="514">
      <c r="A514" s="37"/>
      <c r="B514" s="322"/>
      <c r="C514" s="144"/>
      <c r="D514" s="144"/>
      <c r="E514" s="37"/>
      <c r="F514" s="37"/>
      <c r="G514" s="37"/>
      <c r="H514" s="33" t="str">
        <f t="shared" si="1"/>
        <v/>
      </c>
      <c r="I514" s="37"/>
      <c r="J514" s="16"/>
      <c r="K514" s="37"/>
      <c r="L514" s="38"/>
      <c r="M514" s="37"/>
      <c r="N514" s="37"/>
      <c r="O514" s="37"/>
      <c r="P514" s="14"/>
      <c r="Q514" s="15"/>
      <c r="R514" s="16"/>
      <c r="S514" s="16"/>
      <c r="T514" s="16"/>
      <c r="U514" s="16"/>
      <c r="V514" s="37" t="str">
        <f>IFERROR(__xludf.DUMMYFUNCTION("if(not(iserror(index(split(C514, "" ""),2))), index(split(C514, "" ""),1),"""")"),"")</f>
        <v/>
      </c>
      <c r="W514" s="315" t="str">
        <f>IFERROR(__xludf.DUMMYFUNCTION("if(V514="""",C514,if(not(iserror(index(split(C514, "" ""),3))), index(split(C514, "" ""),3),index(split(C514, "" ""),2)))"),"")</f>
        <v/>
      </c>
      <c r="X514" s="38" t="b">
        <f t="shared" si="2"/>
        <v>0</v>
      </c>
      <c r="Y514" s="38"/>
      <c r="Z514" s="40"/>
      <c r="AA514" s="40"/>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row>
    <row r="515">
      <c r="A515" s="37"/>
      <c r="B515" s="322"/>
      <c r="C515" s="144"/>
      <c r="D515" s="144"/>
      <c r="E515" s="37"/>
      <c r="F515" s="37"/>
      <c r="G515" s="37"/>
      <c r="H515" s="33" t="str">
        <f t="shared" si="1"/>
        <v/>
      </c>
      <c r="I515" s="37"/>
      <c r="J515" s="37"/>
      <c r="K515" s="37"/>
      <c r="L515" s="38"/>
      <c r="M515" s="37"/>
      <c r="N515" s="37"/>
      <c r="O515" s="37"/>
      <c r="P515" s="14"/>
      <c r="Q515" s="15"/>
      <c r="R515" s="37"/>
      <c r="S515" s="37"/>
      <c r="T515" s="64"/>
      <c r="U515" s="16"/>
      <c r="V515" s="37" t="str">
        <f>IFERROR(__xludf.DUMMYFUNCTION("if(not(iserror(index(split(C515, "" ""),2))), index(split(C515, "" ""),1),"""")"),"")</f>
        <v/>
      </c>
      <c r="W515" s="315" t="str">
        <f>IFERROR(__xludf.DUMMYFUNCTION("if(V515="""",C515,if(not(iserror(index(split(C515, "" ""),3))), index(split(C515, "" ""),3),index(split(C515, "" ""),2)))"),"")</f>
        <v/>
      </c>
      <c r="X515" s="38" t="b">
        <f t="shared" si="2"/>
        <v>0</v>
      </c>
      <c r="Y515" s="38"/>
      <c r="Z515" s="40"/>
      <c r="AA515" s="40"/>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row>
    <row r="516">
      <c r="A516" s="37"/>
      <c r="B516" s="322"/>
      <c r="C516" s="144"/>
      <c r="D516" s="144"/>
      <c r="E516" s="37"/>
      <c r="F516" s="37"/>
      <c r="G516" s="37"/>
      <c r="H516" s="33" t="str">
        <f t="shared" si="1"/>
        <v/>
      </c>
      <c r="I516" s="37"/>
      <c r="J516" s="37"/>
      <c r="K516" s="37"/>
      <c r="L516" s="38"/>
      <c r="M516" s="37"/>
      <c r="N516" s="37"/>
      <c r="O516" s="37"/>
      <c r="P516" s="14"/>
      <c r="Q516" s="15"/>
      <c r="R516" s="37"/>
      <c r="S516" s="37"/>
      <c r="T516" s="64"/>
      <c r="U516" s="16"/>
      <c r="V516" s="37" t="str">
        <f>IFERROR(__xludf.DUMMYFUNCTION("if(not(iserror(index(split(C516, "" ""),2))), index(split(C516, "" ""),1),"""")"),"")</f>
        <v/>
      </c>
      <c r="W516" s="315" t="str">
        <f>IFERROR(__xludf.DUMMYFUNCTION("if(V516="""",C516,if(not(iserror(index(split(C516, "" ""),3))), index(split(C516, "" ""),3),index(split(C516, "" ""),2)))"),"")</f>
        <v/>
      </c>
      <c r="X516" s="38" t="b">
        <f t="shared" si="2"/>
        <v>0</v>
      </c>
      <c r="Y516" s="38"/>
      <c r="Z516" s="40"/>
      <c r="AA516" s="40"/>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row>
    <row r="517">
      <c r="A517" s="37"/>
      <c r="B517" s="322"/>
      <c r="C517" s="144"/>
      <c r="D517" s="144"/>
      <c r="E517" s="37"/>
      <c r="F517" s="37"/>
      <c r="G517" s="37"/>
      <c r="H517" s="33" t="str">
        <f t="shared" si="1"/>
        <v/>
      </c>
      <c r="I517" s="37"/>
      <c r="J517" s="37"/>
      <c r="K517" s="37"/>
      <c r="L517" s="38"/>
      <c r="M517" s="37"/>
      <c r="N517" s="37"/>
      <c r="O517" s="37"/>
      <c r="P517" s="14"/>
      <c r="Q517" s="15"/>
      <c r="R517" s="37"/>
      <c r="S517" s="37"/>
      <c r="T517" s="64"/>
      <c r="U517" s="16"/>
      <c r="V517" s="37" t="str">
        <f>IFERROR(__xludf.DUMMYFUNCTION("if(not(iserror(index(split(C517, "" ""),2))), index(split(C517, "" ""),1),"""")"),"")</f>
        <v/>
      </c>
      <c r="W517" s="315" t="str">
        <f>IFERROR(__xludf.DUMMYFUNCTION("if(V517="""",C517,if(not(iserror(index(split(C517, "" ""),3))), index(split(C517, "" ""),3),index(split(C517, "" ""),2)))"),"")</f>
        <v/>
      </c>
      <c r="X517" s="38" t="b">
        <f t="shared" si="2"/>
        <v>0</v>
      </c>
      <c r="Y517" s="38"/>
      <c r="Z517" s="40"/>
      <c r="AA517" s="40"/>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row>
    <row r="518">
      <c r="A518" s="37"/>
      <c r="B518" s="322"/>
      <c r="C518" s="144"/>
      <c r="D518" s="144"/>
      <c r="E518" s="37"/>
      <c r="F518" s="37"/>
      <c r="G518" s="37"/>
      <c r="H518" s="33" t="str">
        <f t="shared" si="1"/>
        <v/>
      </c>
      <c r="I518" s="37"/>
      <c r="J518" s="37"/>
      <c r="K518" s="37"/>
      <c r="L518" s="38"/>
      <c r="M518" s="37"/>
      <c r="N518" s="37"/>
      <c r="O518" s="37"/>
      <c r="P518" s="14"/>
      <c r="Q518" s="15"/>
      <c r="R518" s="16"/>
      <c r="S518" s="16"/>
      <c r="T518" s="16"/>
      <c r="U518" s="16"/>
      <c r="V518" s="37" t="str">
        <f>IFERROR(__xludf.DUMMYFUNCTION("if(not(iserror(index(split(C518, "" ""),2))), index(split(C518, "" ""),1),"""")"),"")</f>
        <v/>
      </c>
      <c r="W518" s="315" t="str">
        <f>IFERROR(__xludf.DUMMYFUNCTION("if(V518="""",C518,if(not(iserror(index(split(C518, "" ""),3))), index(split(C518, "" ""),3),index(split(C518, "" ""),2)))"),"")</f>
        <v/>
      </c>
      <c r="X518" s="38" t="b">
        <f t="shared" si="2"/>
        <v>0</v>
      </c>
      <c r="Y518" s="38"/>
      <c r="Z518" s="40"/>
      <c r="AA518" s="40"/>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row>
    <row r="519">
      <c r="A519" s="37"/>
      <c r="B519" s="322"/>
      <c r="C519" s="144"/>
      <c r="D519" s="144"/>
      <c r="E519" s="37"/>
      <c r="F519" s="37"/>
      <c r="G519" s="37"/>
      <c r="H519" s="33" t="str">
        <f t="shared" si="1"/>
        <v/>
      </c>
      <c r="I519" s="37"/>
      <c r="J519" s="37"/>
      <c r="K519" s="37"/>
      <c r="L519" s="38"/>
      <c r="M519" s="37"/>
      <c r="N519" s="37"/>
      <c r="O519" s="37"/>
      <c r="P519" s="14"/>
      <c r="Q519" s="15"/>
      <c r="R519" s="16"/>
      <c r="S519" s="16"/>
      <c r="T519" s="16"/>
      <c r="U519" s="16"/>
      <c r="V519" s="37" t="str">
        <f>IFERROR(__xludf.DUMMYFUNCTION("if(not(iserror(index(split(C519, "" ""),2))), index(split(C519, "" ""),1),"""")"),"")</f>
        <v/>
      </c>
      <c r="W519" s="315" t="str">
        <f>IFERROR(__xludf.DUMMYFUNCTION("if(V519="""",C519,if(not(iserror(index(split(C519, "" ""),3))), index(split(C519, "" ""),3),index(split(C519, "" ""),2)))"),"")</f>
        <v/>
      </c>
      <c r="X519" s="38" t="b">
        <f t="shared" si="2"/>
        <v>0</v>
      </c>
      <c r="Y519" s="38"/>
      <c r="Z519" s="40"/>
      <c r="AA519" s="40"/>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row>
    <row r="520">
      <c r="A520" s="37"/>
      <c r="B520" s="322"/>
      <c r="C520" s="144"/>
      <c r="D520" s="144"/>
      <c r="E520" s="37"/>
      <c r="F520" s="37"/>
      <c r="G520" s="37"/>
      <c r="H520" s="33" t="str">
        <f t="shared" si="1"/>
        <v/>
      </c>
      <c r="I520" s="37"/>
      <c r="J520" s="37"/>
      <c r="K520" s="37"/>
      <c r="L520" s="38"/>
      <c r="M520" s="37"/>
      <c r="N520" s="37"/>
      <c r="O520" s="37"/>
      <c r="P520" s="14"/>
      <c r="Q520" s="15"/>
      <c r="R520" s="16"/>
      <c r="S520" s="16"/>
      <c r="T520" s="16"/>
      <c r="U520" s="16"/>
      <c r="V520" s="37" t="str">
        <f>IFERROR(__xludf.DUMMYFUNCTION("if(not(iserror(index(split(C520, "" ""),2))), index(split(C520, "" ""),1),"""")"),"")</f>
        <v/>
      </c>
      <c r="W520" s="315" t="str">
        <f>IFERROR(__xludf.DUMMYFUNCTION("if(V520="""",C520,if(not(iserror(index(split(C520, "" ""),3))), index(split(C520, "" ""),3),index(split(C520, "" ""),2)))"),"")</f>
        <v/>
      </c>
      <c r="X520" s="38" t="b">
        <f t="shared" si="2"/>
        <v>0</v>
      </c>
      <c r="Y520" s="38"/>
      <c r="Z520" s="40"/>
      <c r="AA520" s="40"/>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row>
    <row r="521">
      <c r="A521" s="37"/>
      <c r="B521" s="322"/>
      <c r="C521" s="144"/>
      <c r="D521" s="144"/>
      <c r="E521" s="37"/>
      <c r="F521" s="37"/>
      <c r="G521" s="37"/>
      <c r="H521" s="33" t="str">
        <f t="shared" si="1"/>
        <v/>
      </c>
      <c r="I521" s="37"/>
      <c r="J521" s="37"/>
      <c r="K521" s="37"/>
      <c r="L521" s="38"/>
      <c r="M521" s="37"/>
      <c r="N521" s="37"/>
      <c r="O521" s="37"/>
      <c r="P521" s="14"/>
      <c r="Q521" s="15"/>
      <c r="R521" s="16"/>
      <c r="S521" s="16"/>
      <c r="T521" s="16"/>
      <c r="U521" s="16"/>
      <c r="V521" s="37" t="str">
        <f>IFERROR(__xludf.DUMMYFUNCTION("if(not(iserror(index(split(C521, "" ""),2))), index(split(C521, "" ""),1),"""")"),"")</f>
        <v/>
      </c>
      <c r="W521" s="315" t="str">
        <f>IFERROR(__xludf.DUMMYFUNCTION("if(V521="""",C521,if(not(iserror(index(split(C521, "" ""),3))), index(split(C521, "" ""),3),index(split(C521, "" ""),2)))"),"")</f>
        <v/>
      </c>
      <c r="X521" s="38" t="b">
        <f t="shared" si="2"/>
        <v>0</v>
      </c>
      <c r="Y521" s="38"/>
      <c r="Z521" s="40"/>
      <c r="AA521" s="40"/>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row>
    <row r="522">
      <c r="A522" s="37"/>
      <c r="B522" s="322"/>
      <c r="C522" s="144"/>
      <c r="D522" s="144"/>
      <c r="E522" s="37"/>
      <c r="F522" s="37"/>
      <c r="G522" s="37"/>
      <c r="H522" s="33" t="str">
        <f t="shared" si="1"/>
        <v/>
      </c>
      <c r="I522" s="37"/>
      <c r="J522" s="37"/>
      <c r="K522" s="37"/>
      <c r="L522" s="38"/>
      <c r="M522" s="37"/>
      <c r="N522" s="37"/>
      <c r="O522" s="37"/>
      <c r="P522" s="14"/>
      <c r="Q522" s="15"/>
      <c r="R522" s="16"/>
      <c r="S522" s="16"/>
      <c r="T522" s="16"/>
      <c r="U522" s="16"/>
      <c r="V522" s="37" t="str">
        <f>IFERROR(__xludf.DUMMYFUNCTION("if(not(iserror(index(split(C522, "" ""),2))), index(split(C522, "" ""),1),"""")"),"")</f>
        <v/>
      </c>
      <c r="W522" s="315" t="str">
        <f>IFERROR(__xludf.DUMMYFUNCTION("if(V522="""",C522,if(not(iserror(index(split(C522, "" ""),3))), index(split(C522, "" ""),3),index(split(C522, "" ""),2)))"),"")</f>
        <v/>
      </c>
      <c r="X522" s="38" t="b">
        <f t="shared" si="2"/>
        <v>0</v>
      </c>
      <c r="Y522" s="38"/>
      <c r="Z522" s="40"/>
      <c r="AA522" s="40"/>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row>
    <row r="523">
      <c r="A523" s="37"/>
      <c r="B523" s="322"/>
      <c r="C523" s="144"/>
      <c r="D523" s="144"/>
      <c r="E523" s="37"/>
      <c r="F523" s="37"/>
      <c r="G523" s="37"/>
      <c r="H523" s="33" t="str">
        <f t="shared" si="1"/>
        <v/>
      </c>
      <c r="I523" s="37"/>
      <c r="J523" s="37"/>
      <c r="K523" s="37"/>
      <c r="L523" s="38"/>
      <c r="M523" s="37"/>
      <c r="N523" s="37"/>
      <c r="O523" s="37"/>
      <c r="P523" s="14"/>
      <c r="Q523" s="15"/>
      <c r="R523" s="16"/>
      <c r="S523" s="16"/>
      <c r="T523" s="16"/>
      <c r="U523" s="16"/>
      <c r="V523" s="37" t="str">
        <f>IFERROR(__xludf.DUMMYFUNCTION("if(not(iserror(index(split(C523, "" ""),2))), index(split(C523, "" ""),1),"""")"),"")</f>
        <v/>
      </c>
      <c r="W523" s="315" t="str">
        <f>IFERROR(__xludf.DUMMYFUNCTION("if(V523="""",C523,if(not(iserror(index(split(C523, "" ""),3))), index(split(C523, "" ""),3),index(split(C523, "" ""),2)))"),"")</f>
        <v/>
      </c>
      <c r="X523" s="38" t="b">
        <f t="shared" si="2"/>
        <v>0</v>
      </c>
      <c r="Y523" s="38"/>
      <c r="Z523" s="40"/>
      <c r="AA523" s="40"/>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row>
    <row r="524">
      <c r="A524" s="37"/>
      <c r="B524" s="322"/>
      <c r="C524" s="144"/>
      <c r="D524" s="144"/>
      <c r="E524" s="37"/>
      <c r="F524" s="37"/>
      <c r="G524" s="37"/>
      <c r="H524" s="33" t="str">
        <f t="shared" si="1"/>
        <v/>
      </c>
      <c r="I524" s="37"/>
      <c r="J524" s="37"/>
      <c r="K524" s="37"/>
      <c r="L524" s="38"/>
      <c r="M524" s="37"/>
      <c r="N524" s="37"/>
      <c r="O524" s="37"/>
      <c r="P524" s="14"/>
      <c r="Q524" s="15"/>
      <c r="R524" s="37"/>
      <c r="S524" s="37"/>
      <c r="T524" s="64"/>
      <c r="U524" s="16"/>
      <c r="V524" s="37" t="str">
        <f>IFERROR(__xludf.DUMMYFUNCTION("if(not(iserror(index(split(C524, "" ""),2))), index(split(C524, "" ""),1),"""")"),"")</f>
        <v/>
      </c>
      <c r="W524" s="315" t="str">
        <f>IFERROR(__xludf.DUMMYFUNCTION("if(V524="""",C524,if(not(iserror(index(split(C524, "" ""),3))), index(split(C524, "" ""),3),index(split(C524, "" ""),2)))"),"")</f>
        <v/>
      </c>
      <c r="X524" s="38" t="b">
        <f t="shared" si="2"/>
        <v>0</v>
      </c>
      <c r="Y524" s="38"/>
      <c r="Z524" s="40"/>
      <c r="AA524" s="40"/>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row>
    <row r="525">
      <c r="A525" s="37"/>
      <c r="B525" s="322"/>
      <c r="C525" s="144"/>
      <c r="D525" s="144"/>
      <c r="E525" s="37"/>
      <c r="F525" s="37"/>
      <c r="G525" s="37"/>
      <c r="H525" s="33" t="str">
        <f t="shared" si="1"/>
        <v/>
      </c>
      <c r="I525" s="37"/>
      <c r="J525" s="37"/>
      <c r="K525" s="37"/>
      <c r="L525" s="38"/>
      <c r="M525" s="37"/>
      <c r="N525" s="37"/>
      <c r="O525" s="37"/>
      <c r="P525" s="14"/>
      <c r="Q525" s="15"/>
      <c r="R525" s="37"/>
      <c r="S525" s="37"/>
      <c r="T525" s="64"/>
      <c r="U525" s="16"/>
      <c r="V525" s="37" t="str">
        <f>IFERROR(__xludf.DUMMYFUNCTION("if(not(iserror(index(split(C525, "" ""),2))), index(split(C525, "" ""),1),"""")"),"")</f>
        <v/>
      </c>
      <c r="W525" s="315" t="str">
        <f>IFERROR(__xludf.DUMMYFUNCTION("if(V525="""",C525,if(not(iserror(index(split(C525, "" ""),3))), index(split(C525, "" ""),3),index(split(C525, "" ""),2)))"),"")</f>
        <v/>
      </c>
      <c r="X525" s="38" t="b">
        <f t="shared" si="2"/>
        <v>0</v>
      </c>
      <c r="Y525" s="38"/>
      <c r="Z525" s="40"/>
      <c r="AA525" s="40"/>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row>
    <row r="526">
      <c r="A526" s="37"/>
      <c r="B526" s="322"/>
      <c r="C526" s="144"/>
      <c r="D526" s="144"/>
      <c r="E526" s="37"/>
      <c r="F526" s="37"/>
      <c r="G526" s="37"/>
      <c r="H526" s="33" t="str">
        <f t="shared" si="1"/>
        <v/>
      </c>
      <c r="I526" s="37"/>
      <c r="J526" s="37"/>
      <c r="K526" s="37"/>
      <c r="L526" s="38"/>
      <c r="M526" s="37"/>
      <c r="N526" s="37"/>
      <c r="O526" s="37"/>
      <c r="P526" s="14"/>
      <c r="Q526" s="15"/>
      <c r="R526" s="16"/>
      <c r="S526" s="16"/>
      <c r="T526" s="16"/>
      <c r="U526" s="16"/>
      <c r="V526" s="37" t="str">
        <f>IFERROR(__xludf.DUMMYFUNCTION("if(not(iserror(index(split(C526, "" ""),2))), index(split(C526, "" ""),1),"""")"),"")</f>
        <v/>
      </c>
      <c r="W526" s="315" t="str">
        <f>IFERROR(__xludf.DUMMYFUNCTION("if(V526="""",C526,if(not(iserror(index(split(C526, "" ""),3))), index(split(C526, "" ""),3),index(split(C526, "" ""),2)))"),"")</f>
        <v/>
      </c>
      <c r="X526" s="38" t="b">
        <f t="shared" si="2"/>
        <v>0</v>
      </c>
      <c r="Y526" s="38"/>
      <c r="Z526" s="40"/>
      <c r="AA526" s="40"/>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row>
    <row r="527">
      <c r="A527" s="37"/>
      <c r="B527" s="322"/>
      <c r="C527" s="144"/>
      <c r="D527" s="144"/>
      <c r="E527" s="37"/>
      <c r="F527" s="37"/>
      <c r="G527" s="37"/>
      <c r="H527" s="33" t="str">
        <f t="shared" si="1"/>
        <v/>
      </c>
      <c r="I527" s="37"/>
      <c r="J527" s="37"/>
      <c r="K527" s="37"/>
      <c r="L527" s="38"/>
      <c r="M527" s="37"/>
      <c r="N527" s="37"/>
      <c r="O527" s="37"/>
      <c r="P527" s="14"/>
      <c r="Q527" s="15"/>
      <c r="R527" s="16"/>
      <c r="S527" s="16"/>
      <c r="T527" s="16"/>
      <c r="U527" s="16"/>
      <c r="V527" s="37" t="str">
        <f>IFERROR(__xludf.DUMMYFUNCTION("if(not(iserror(index(split(C527, "" ""),2))), index(split(C527, "" ""),1),"""")"),"")</f>
        <v/>
      </c>
      <c r="W527" s="315" t="str">
        <f>IFERROR(__xludf.DUMMYFUNCTION("if(V527="""",C527,if(not(iserror(index(split(C527, "" ""),3))), index(split(C527, "" ""),3),index(split(C527, "" ""),2)))"),"")</f>
        <v/>
      </c>
      <c r="X527" s="38" t="b">
        <f t="shared" si="2"/>
        <v>0</v>
      </c>
      <c r="Y527" s="38"/>
      <c r="Z527" s="40"/>
      <c r="AA527" s="40"/>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row>
    <row r="528">
      <c r="A528" s="37"/>
      <c r="B528" s="322"/>
      <c r="C528" s="144"/>
      <c r="D528" s="144"/>
      <c r="E528" s="37"/>
      <c r="F528" s="37"/>
      <c r="G528" s="37"/>
      <c r="H528" s="33" t="str">
        <f t="shared" si="1"/>
        <v/>
      </c>
      <c r="I528" s="37"/>
      <c r="J528" s="37"/>
      <c r="K528" s="37"/>
      <c r="L528" s="38"/>
      <c r="M528" s="37"/>
      <c r="N528" s="37"/>
      <c r="O528" s="37"/>
      <c r="P528" s="14"/>
      <c r="Q528" s="15"/>
      <c r="R528" s="37"/>
      <c r="S528" s="37"/>
      <c r="T528" s="64"/>
      <c r="U528" s="16"/>
      <c r="V528" s="37" t="str">
        <f>IFERROR(__xludf.DUMMYFUNCTION("if(not(iserror(index(split(C528, "" ""),2))), index(split(C528, "" ""),1),"""")"),"")</f>
        <v/>
      </c>
      <c r="W528" s="315" t="str">
        <f>IFERROR(__xludf.DUMMYFUNCTION("if(V528="""",C528,if(not(iserror(index(split(C528, "" ""),3))), index(split(C528, "" ""),3),index(split(C528, "" ""),2)))"),"")</f>
        <v/>
      </c>
      <c r="X528" s="38" t="b">
        <f t="shared" si="2"/>
        <v>0</v>
      </c>
      <c r="Y528" s="38"/>
      <c r="Z528" s="40"/>
      <c r="AA528" s="40"/>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row>
    <row r="529">
      <c r="A529" s="37"/>
      <c r="B529" s="322"/>
      <c r="C529" s="144"/>
      <c r="D529" s="144"/>
      <c r="E529" s="37"/>
      <c r="F529" s="37"/>
      <c r="G529" s="37"/>
      <c r="H529" s="33" t="str">
        <f t="shared" si="1"/>
        <v/>
      </c>
      <c r="I529" s="37"/>
      <c r="J529" s="16"/>
      <c r="K529" s="37"/>
      <c r="L529" s="38"/>
      <c r="M529" s="37"/>
      <c r="N529" s="37"/>
      <c r="O529" s="37"/>
      <c r="P529" s="14"/>
      <c r="Q529" s="15"/>
      <c r="R529" s="37"/>
      <c r="S529" s="37"/>
      <c r="T529" s="64"/>
      <c r="U529" s="16"/>
      <c r="V529" s="37" t="str">
        <f>IFERROR(__xludf.DUMMYFUNCTION("if(not(iserror(index(split(C529, "" ""),2))), index(split(C529, "" ""),1),"""")"),"")</f>
        <v/>
      </c>
      <c r="W529" s="315" t="str">
        <f>IFERROR(__xludf.DUMMYFUNCTION("if(V529="""",C529,if(not(iserror(index(split(C529, "" ""),3))), index(split(C529, "" ""),3),index(split(C529, "" ""),2)))"),"")</f>
        <v/>
      </c>
      <c r="X529" s="38" t="b">
        <f t="shared" si="2"/>
        <v>0</v>
      </c>
      <c r="Y529" s="38"/>
      <c r="Z529" s="40"/>
      <c r="AA529" s="40"/>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row>
    <row r="530">
      <c r="A530" s="37"/>
      <c r="B530" s="322"/>
      <c r="C530" s="144"/>
      <c r="D530" s="144"/>
      <c r="E530" s="37"/>
      <c r="F530" s="37"/>
      <c r="G530" s="37"/>
      <c r="H530" s="33" t="str">
        <f t="shared" si="1"/>
        <v/>
      </c>
      <c r="I530" s="37"/>
      <c r="J530" s="37"/>
      <c r="K530" s="37"/>
      <c r="L530" s="38"/>
      <c r="M530" s="37"/>
      <c r="N530" s="37"/>
      <c r="O530" s="37"/>
      <c r="P530" s="14"/>
      <c r="Q530" s="14"/>
      <c r="R530" s="37"/>
      <c r="S530" s="37"/>
      <c r="T530" s="37"/>
      <c r="U530" s="16"/>
      <c r="V530" s="37" t="str">
        <f>IFERROR(__xludf.DUMMYFUNCTION("if(not(iserror(index(split(C530, "" ""),2))), index(split(C530, "" ""),1),"""")"),"")</f>
        <v/>
      </c>
      <c r="W530" s="315" t="str">
        <f>IFERROR(__xludf.DUMMYFUNCTION("if(V530="""",C530,if(not(iserror(index(split(C530, "" ""),3))), index(split(C530, "" ""),3),index(split(C530, "" ""),2)))"),"")</f>
        <v/>
      </c>
      <c r="X530" s="38" t="b">
        <f t="shared" si="2"/>
        <v>0</v>
      </c>
      <c r="Y530" s="38"/>
      <c r="Z530" s="40"/>
      <c r="AA530" s="40"/>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row>
    <row r="531">
      <c r="A531" s="37"/>
      <c r="B531" s="322"/>
      <c r="C531" s="144"/>
      <c r="D531" s="144"/>
      <c r="E531" s="37"/>
      <c r="F531" s="37"/>
      <c r="G531" s="37"/>
      <c r="H531" s="33" t="str">
        <f t="shared" si="1"/>
        <v/>
      </c>
      <c r="I531" s="37"/>
      <c r="J531" s="37"/>
      <c r="K531" s="37"/>
      <c r="L531" s="38"/>
      <c r="M531" s="37"/>
      <c r="N531" s="37"/>
      <c r="O531" s="37"/>
      <c r="P531" s="14"/>
      <c r="Q531" s="15"/>
      <c r="R531" s="16"/>
      <c r="S531" s="16"/>
      <c r="T531" s="16"/>
      <c r="U531" s="16"/>
      <c r="V531" s="37" t="str">
        <f>IFERROR(__xludf.DUMMYFUNCTION("if(not(iserror(index(split(C531, "" ""),2))), index(split(C531, "" ""),1),"""")"),"")</f>
        <v/>
      </c>
      <c r="W531" s="315" t="str">
        <f>IFERROR(__xludf.DUMMYFUNCTION("if(V531="""",C531,if(not(iserror(index(split(C531, "" ""),3))), index(split(C531, "" ""),3),index(split(C531, "" ""),2)))"),"")</f>
        <v/>
      </c>
      <c r="X531" s="38" t="b">
        <f t="shared" si="2"/>
        <v>0</v>
      </c>
      <c r="Y531" s="38"/>
      <c r="Z531" s="40"/>
      <c r="AA531" s="40"/>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row>
    <row r="532">
      <c r="A532" s="37"/>
      <c r="B532" s="322"/>
      <c r="C532" s="144"/>
      <c r="D532" s="144"/>
      <c r="E532" s="37"/>
      <c r="F532" s="37"/>
      <c r="G532" s="37"/>
      <c r="H532" s="33" t="str">
        <f t="shared" si="1"/>
        <v/>
      </c>
      <c r="I532" s="37"/>
      <c r="J532" s="37"/>
      <c r="K532" s="37"/>
      <c r="L532" s="38"/>
      <c r="M532" s="37"/>
      <c r="N532" s="37"/>
      <c r="O532" s="37"/>
      <c r="P532" s="14"/>
      <c r="Q532" s="15"/>
      <c r="R532" s="16"/>
      <c r="S532" s="16"/>
      <c r="T532" s="16"/>
      <c r="U532" s="16"/>
      <c r="V532" s="37" t="str">
        <f>IFERROR(__xludf.DUMMYFUNCTION("if(not(iserror(index(split(C532, "" ""),2))), index(split(C532, "" ""),1),"""")"),"")</f>
        <v/>
      </c>
      <c r="W532" s="315" t="str">
        <f>IFERROR(__xludf.DUMMYFUNCTION("if(V532="""",C532,if(not(iserror(index(split(C532, "" ""),3))), index(split(C532, "" ""),3),index(split(C532, "" ""),2)))"),"")</f>
        <v/>
      </c>
      <c r="X532" s="38" t="b">
        <f t="shared" si="2"/>
        <v>0</v>
      </c>
      <c r="Y532" s="38"/>
      <c r="Z532" s="40"/>
      <c r="AA532" s="40"/>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row>
    <row r="533">
      <c r="A533" s="37"/>
      <c r="B533" s="322"/>
      <c r="C533" s="144"/>
      <c r="D533" s="144"/>
      <c r="E533" s="37"/>
      <c r="F533" s="37"/>
      <c r="G533" s="37"/>
      <c r="H533" s="33" t="str">
        <f t="shared" si="1"/>
        <v/>
      </c>
      <c r="I533" s="37"/>
      <c r="J533" s="37"/>
      <c r="K533" s="37"/>
      <c r="L533" s="38"/>
      <c r="M533" s="37"/>
      <c r="N533" s="37"/>
      <c r="O533" s="37"/>
      <c r="P533" s="14"/>
      <c r="Q533" s="15"/>
      <c r="R533" s="16"/>
      <c r="S533" s="16"/>
      <c r="T533" s="16"/>
      <c r="U533" s="16"/>
      <c r="V533" s="37" t="str">
        <f>IFERROR(__xludf.DUMMYFUNCTION("if(not(iserror(index(split(C533, "" ""),2))), index(split(C533, "" ""),1),"""")"),"")</f>
        <v/>
      </c>
      <c r="W533" s="315" t="str">
        <f>IFERROR(__xludf.DUMMYFUNCTION("if(V533="""",C533,if(not(iserror(index(split(C533, "" ""),3))), index(split(C533, "" ""),3),index(split(C533, "" ""),2)))"),"")</f>
        <v/>
      </c>
      <c r="X533" s="38" t="b">
        <f t="shared" si="2"/>
        <v>0</v>
      </c>
      <c r="Y533" s="38"/>
      <c r="Z533" s="40"/>
      <c r="AA533" s="40"/>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row>
    <row r="534">
      <c r="A534" s="37"/>
      <c r="B534" s="322"/>
      <c r="C534" s="144"/>
      <c r="D534" s="144"/>
      <c r="E534" s="37"/>
      <c r="F534" s="37"/>
      <c r="G534" s="37"/>
      <c r="H534" s="33" t="str">
        <f t="shared" si="1"/>
        <v/>
      </c>
      <c r="I534" s="37"/>
      <c r="J534" s="16"/>
      <c r="K534" s="37"/>
      <c r="L534" s="38"/>
      <c r="M534" s="37"/>
      <c r="N534" s="37"/>
      <c r="O534" s="37"/>
      <c r="P534" s="14"/>
      <c r="Q534" s="15"/>
      <c r="R534" s="16"/>
      <c r="S534" s="16"/>
      <c r="T534" s="16"/>
      <c r="U534" s="16"/>
      <c r="V534" s="37" t="str">
        <f>IFERROR(__xludf.DUMMYFUNCTION("if(not(iserror(index(split(C534, "" ""),2))), index(split(C534, "" ""),1),"""")"),"")</f>
        <v/>
      </c>
      <c r="W534" s="315" t="str">
        <f>IFERROR(__xludf.DUMMYFUNCTION("if(V534="""",C534,if(not(iserror(index(split(C534, "" ""),3))), index(split(C534, "" ""),3),index(split(C534, "" ""),2)))"),"")</f>
        <v/>
      </c>
      <c r="X534" s="38" t="b">
        <f t="shared" si="2"/>
        <v>0</v>
      </c>
      <c r="Y534" s="38"/>
      <c r="Z534" s="40"/>
      <c r="AA534" s="40"/>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row>
    <row r="535">
      <c r="A535" s="37"/>
      <c r="B535" s="322"/>
      <c r="C535" s="144"/>
      <c r="D535" s="144"/>
      <c r="E535" s="37"/>
      <c r="F535" s="37"/>
      <c r="G535" s="37"/>
      <c r="H535" s="33" t="str">
        <f t="shared" si="1"/>
        <v/>
      </c>
      <c r="I535" s="37"/>
      <c r="J535" s="16"/>
      <c r="K535" s="37"/>
      <c r="L535" s="38"/>
      <c r="M535" s="37"/>
      <c r="N535" s="37"/>
      <c r="O535" s="37"/>
      <c r="P535" s="14"/>
      <c r="Q535" s="15"/>
      <c r="R535" s="16"/>
      <c r="S535" s="16"/>
      <c r="T535" s="16"/>
      <c r="U535" s="16"/>
      <c r="V535" s="37" t="str">
        <f>IFERROR(__xludf.DUMMYFUNCTION("if(not(iserror(index(split(C535, "" ""),2))), index(split(C535, "" ""),1),"""")"),"")</f>
        <v/>
      </c>
      <c r="W535" s="315" t="str">
        <f>IFERROR(__xludf.DUMMYFUNCTION("if(V535="""",C535,if(not(iserror(index(split(C535, "" ""),3))), index(split(C535, "" ""),3),index(split(C535, "" ""),2)))"),"")</f>
        <v/>
      </c>
      <c r="X535" s="38" t="b">
        <f t="shared" si="2"/>
        <v>0</v>
      </c>
      <c r="Y535" s="38"/>
      <c r="Z535" s="40"/>
      <c r="AA535" s="40"/>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row>
    <row r="536">
      <c r="A536" s="37"/>
      <c r="B536" s="322"/>
      <c r="C536" s="144"/>
      <c r="D536" s="144"/>
      <c r="E536" s="37"/>
      <c r="F536" s="37"/>
      <c r="G536" s="37"/>
      <c r="H536" s="33" t="str">
        <f t="shared" si="1"/>
        <v/>
      </c>
      <c r="I536" s="37"/>
      <c r="J536" s="37"/>
      <c r="K536" s="37"/>
      <c r="L536" s="38"/>
      <c r="M536" s="37"/>
      <c r="N536" s="37"/>
      <c r="O536" s="37"/>
      <c r="P536" s="14"/>
      <c r="Q536" s="15"/>
      <c r="R536" s="16"/>
      <c r="S536" s="16"/>
      <c r="T536" s="16"/>
      <c r="U536" s="16"/>
      <c r="V536" s="37" t="str">
        <f>IFERROR(__xludf.DUMMYFUNCTION("if(not(iserror(index(split(C536, "" ""),2))), index(split(C536, "" ""),1),"""")"),"")</f>
        <v/>
      </c>
      <c r="W536" s="315" t="str">
        <f>IFERROR(__xludf.DUMMYFUNCTION("if(V536="""",C536,if(not(iserror(index(split(C536, "" ""),3))), index(split(C536, "" ""),3),index(split(C536, "" ""),2)))"),"")</f>
        <v/>
      </c>
      <c r="X536" s="38" t="b">
        <f t="shared" si="2"/>
        <v>0</v>
      </c>
      <c r="Y536" s="38"/>
      <c r="Z536" s="40"/>
      <c r="AA536" s="40"/>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row>
    <row r="537">
      <c r="A537" s="37"/>
      <c r="B537" s="322"/>
      <c r="C537" s="144"/>
      <c r="D537" s="144"/>
      <c r="E537" s="37"/>
      <c r="F537" s="37"/>
      <c r="G537" s="37"/>
      <c r="H537" s="33" t="str">
        <f t="shared" si="1"/>
        <v/>
      </c>
      <c r="I537" s="37"/>
      <c r="J537" s="37"/>
      <c r="K537" s="37"/>
      <c r="L537" s="38"/>
      <c r="M537" s="37"/>
      <c r="N537" s="37"/>
      <c r="O537" s="37"/>
      <c r="P537" s="14"/>
      <c r="Q537" s="15"/>
      <c r="R537" s="16"/>
      <c r="S537" s="16"/>
      <c r="T537" s="16"/>
      <c r="U537" s="16"/>
      <c r="V537" s="37" t="str">
        <f>IFERROR(__xludf.DUMMYFUNCTION("if(not(iserror(index(split(C537, "" ""),2))), index(split(C537, "" ""),1),"""")"),"")</f>
        <v/>
      </c>
      <c r="W537" s="315" t="str">
        <f>IFERROR(__xludf.DUMMYFUNCTION("if(V537="""",C537,if(not(iserror(index(split(C537, "" ""),3))), index(split(C537, "" ""),3),index(split(C537, "" ""),2)))"),"")</f>
        <v/>
      </c>
      <c r="X537" s="38" t="b">
        <f t="shared" si="2"/>
        <v>0</v>
      </c>
      <c r="Y537" s="38"/>
      <c r="Z537" s="40"/>
      <c r="AA537" s="40"/>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row>
    <row r="538">
      <c r="A538" s="37"/>
      <c r="B538" s="322"/>
      <c r="C538" s="144"/>
      <c r="D538" s="144"/>
      <c r="E538" s="37"/>
      <c r="F538" s="37"/>
      <c r="G538" s="37"/>
      <c r="H538" s="33" t="str">
        <f t="shared" si="1"/>
        <v/>
      </c>
      <c r="I538" s="37"/>
      <c r="J538" s="37"/>
      <c r="K538" s="37"/>
      <c r="L538" s="38"/>
      <c r="M538" s="37"/>
      <c r="N538" s="37"/>
      <c r="O538" s="37"/>
      <c r="P538" s="14"/>
      <c r="Q538" s="15"/>
      <c r="R538" s="16"/>
      <c r="S538" s="16"/>
      <c r="T538" s="16"/>
      <c r="U538" s="16"/>
      <c r="V538" s="37" t="str">
        <f>IFERROR(__xludf.DUMMYFUNCTION("if(not(iserror(index(split(C538, "" ""),2))), index(split(C538, "" ""),1),"""")"),"")</f>
        <v/>
      </c>
      <c r="W538" s="315" t="str">
        <f>IFERROR(__xludf.DUMMYFUNCTION("if(V538="""",C538,if(not(iserror(index(split(C538, "" ""),3))), index(split(C538, "" ""),3),index(split(C538, "" ""),2)))"),"")</f>
        <v/>
      </c>
      <c r="X538" s="38" t="b">
        <f t="shared" si="2"/>
        <v>0</v>
      </c>
      <c r="Y538" s="38"/>
      <c r="Z538" s="40"/>
      <c r="AA538" s="40"/>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row>
    <row r="539">
      <c r="A539" s="37"/>
      <c r="B539" s="159"/>
      <c r="C539" s="144"/>
      <c r="D539" s="101"/>
      <c r="E539" s="37"/>
      <c r="F539" s="37"/>
      <c r="G539" s="37"/>
      <c r="H539" s="33" t="str">
        <f t="shared" si="1"/>
        <v/>
      </c>
      <c r="I539" s="37"/>
      <c r="J539" s="37"/>
      <c r="K539" s="37"/>
      <c r="L539" s="38"/>
      <c r="M539" s="37"/>
      <c r="N539" s="37"/>
      <c r="O539" s="37"/>
      <c r="P539" s="14"/>
      <c r="Q539" s="15"/>
      <c r="R539" s="37"/>
      <c r="S539" s="16"/>
      <c r="T539" s="64"/>
      <c r="U539" s="16"/>
      <c r="V539" s="37" t="str">
        <f>IFERROR(__xludf.DUMMYFUNCTION("if(not(iserror(index(split(C539, "" ""),2))), index(split(C539, "" ""),1),"""")"),"")</f>
        <v/>
      </c>
      <c r="W539" s="315" t="str">
        <f>IFERROR(__xludf.DUMMYFUNCTION("if(V539="""",C539,if(not(iserror(index(split(C539, "" ""),3))), index(split(C539, "" ""),3),index(split(C539, "" ""),2)))"),"")</f>
        <v/>
      </c>
      <c r="X539" s="38" t="b">
        <f t="shared" si="2"/>
        <v>0</v>
      </c>
      <c r="Y539" s="38"/>
      <c r="Z539" s="40"/>
      <c r="AA539" s="40"/>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row>
    <row r="540">
      <c r="A540" s="37"/>
      <c r="B540" s="159"/>
      <c r="C540" s="144"/>
      <c r="D540" s="101"/>
      <c r="E540" s="37"/>
      <c r="F540" s="37"/>
      <c r="G540" s="37"/>
      <c r="H540" s="33" t="str">
        <f t="shared" si="1"/>
        <v/>
      </c>
      <c r="I540" s="37"/>
      <c r="J540" s="37"/>
      <c r="K540" s="37"/>
      <c r="L540" s="38"/>
      <c r="M540" s="37"/>
      <c r="N540" s="37"/>
      <c r="O540" s="37"/>
      <c r="P540" s="14"/>
      <c r="Q540" s="15"/>
      <c r="R540" s="37"/>
      <c r="S540" s="16"/>
      <c r="T540" s="64"/>
      <c r="U540" s="16"/>
      <c r="V540" s="37" t="str">
        <f>IFERROR(__xludf.DUMMYFUNCTION("if(not(iserror(index(split(C540, "" ""),2))), index(split(C540, "" ""),1),"""")"),"")</f>
        <v/>
      </c>
      <c r="W540" s="315" t="str">
        <f>IFERROR(__xludf.DUMMYFUNCTION("if(V540="""",C540,if(not(iserror(index(split(C540, "" ""),3))), index(split(C540, "" ""),3),index(split(C540, "" ""),2)))"),"")</f>
        <v/>
      </c>
      <c r="X540" s="38" t="b">
        <f t="shared" si="2"/>
        <v>0</v>
      </c>
      <c r="Y540" s="38"/>
      <c r="Z540" s="40"/>
      <c r="AA540" s="40"/>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row>
    <row r="541">
      <c r="A541" s="37"/>
      <c r="B541" s="159"/>
      <c r="C541" s="144"/>
      <c r="D541" s="101"/>
      <c r="E541" s="37"/>
      <c r="F541" s="37"/>
      <c r="G541" s="37"/>
      <c r="H541" s="33" t="str">
        <f t="shared" si="1"/>
        <v/>
      </c>
      <c r="I541" s="37"/>
      <c r="J541" s="37"/>
      <c r="K541" s="37"/>
      <c r="L541" s="38"/>
      <c r="M541" s="37"/>
      <c r="N541" s="37"/>
      <c r="O541" s="37"/>
      <c r="P541" s="14"/>
      <c r="Q541" s="15"/>
      <c r="R541" s="16"/>
      <c r="S541" s="16"/>
      <c r="T541" s="16"/>
      <c r="U541" s="16"/>
      <c r="V541" s="37" t="str">
        <f>IFERROR(__xludf.DUMMYFUNCTION("if(not(iserror(index(split(C541, "" ""),2))), index(split(C541, "" ""),1),"""")"),"")</f>
        <v/>
      </c>
      <c r="W541" s="315" t="str">
        <f>IFERROR(__xludf.DUMMYFUNCTION("if(V541="""",C541,if(not(iserror(index(split(C541, "" ""),3))), index(split(C541, "" ""),3),index(split(C541, "" ""),2)))"),"")</f>
        <v/>
      </c>
      <c r="X541" s="38" t="b">
        <f t="shared" si="2"/>
        <v>0</v>
      </c>
      <c r="Y541" s="38"/>
      <c r="Z541" s="40"/>
      <c r="AA541" s="40"/>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row>
    <row r="542">
      <c r="A542" s="37"/>
      <c r="B542" s="159"/>
      <c r="C542" s="144"/>
      <c r="D542" s="101"/>
      <c r="E542" s="37"/>
      <c r="F542" s="37"/>
      <c r="G542" s="37"/>
      <c r="H542" s="33" t="str">
        <f t="shared" si="1"/>
        <v/>
      </c>
      <c r="I542" s="37"/>
      <c r="J542" s="37"/>
      <c r="K542" s="37"/>
      <c r="L542" s="38"/>
      <c r="M542" s="37"/>
      <c r="N542" s="37"/>
      <c r="O542" s="37"/>
      <c r="P542" s="14"/>
      <c r="Q542" s="14"/>
      <c r="R542" s="37"/>
      <c r="S542" s="37"/>
      <c r="T542" s="64"/>
      <c r="U542" s="16"/>
      <c r="V542" s="37" t="str">
        <f>IFERROR(__xludf.DUMMYFUNCTION("if(not(iserror(index(split(C542, "" ""),2))), index(split(C542, "" ""),1),"""")"),"")</f>
        <v/>
      </c>
      <c r="W542" s="315" t="str">
        <f>IFERROR(__xludf.DUMMYFUNCTION("if(V542="""",C542,if(not(iserror(index(split(C542, "" ""),3))), index(split(C542, "" ""),3),index(split(C542, "" ""),2)))"),"")</f>
        <v/>
      </c>
      <c r="X542" s="38" t="b">
        <f t="shared" si="2"/>
        <v>0</v>
      </c>
      <c r="Y542" s="38"/>
      <c r="Z542" s="40"/>
      <c r="AA542" s="40"/>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row>
    <row r="543">
      <c r="A543" s="37"/>
      <c r="B543" s="159"/>
      <c r="C543" s="144"/>
      <c r="D543" s="101"/>
      <c r="E543" s="37"/>
      <c r="F543" s="37"/>
      <c r="G543" s="37"/>
      <c r="H543" s="33" t="str">
        <f t="shared" si="1"/>
        <v/>
      </c>
      <c r="I543" s="37"/>
      <c r="J543" s="37"/>
      <c r="K543" s="37"/>
      <c r="L543" s="38"/>
      <c r="M543" s="37"/>
      <c r="N543" s="37"/>
      <c r="O543" s="37"/>
      <c r="P543" s="14"/>
      <c r="Q543" s="15"/>
      <c r="R543" s="37"/>
      <c r="S543" s="37"/>
      <c r="T543" s="64"/>
      <c r="U543" s="16"/>
      <c r="V543" s="37" t="str">
        <f>IFERROR(__xludf.DUMMYFUNCTION("if(not(iserror(index(split(C543, "" ""),2))), index(split(C543, "" ""),1),"""")"),"")</f>
        <v/>
      </c>
      <c r="W543" s="315" t="str">
        <f>IFERROR(__xludf.DUMMYFUNCTION("if(V543="""",C543,if(not(iserror(index(split(C543, "" ""),3))), index(split(C543, "" ""),3),index(split(C543, "" ""),2)))"),"")</f>
        <v/>
      </c>
      <c r="X543" s="38" t="b">
        <f t="shared" si="2"/>
        <v>0</v>
      </c>
      <c r="Y543" s="38"/>
      <c r="Z543" s="40"/>
      <c r="AA543" s="40"/>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row>
    <row r="544">
      <c r="A544" s="37"/>
      <c r="B544" s="159"/>
      <c r="C544" s="144"/>
      <c r="D544" s="101"/>
      <c r="E544" s="37"/>
      <c r="F544" s="37"/>
      <c r="G544" s="37"/>
      <c r="H544" s="33" t="str">
        <f t="shared" si="1"/>
        <v/>
      </c>
      <c r="I544" s="37"/>
      <c r="J544" s="37"/>
      <c r="K544" s="37"/>
      <c r="L544" s="38"/>
      <c r="M544" s="37"/>
      <c r="N544" s="37"/>
      <c r="O544" s="37"/>
      <c r="P544" s="14"/>
      <c r="Q544" s="15"/>
      <c r="R544" s="16"/>
      <c r="S544" s="16"/>
      <c r="T544" s="16"/>
      <c r="U544" s="16"/>
      <c r="V544" s="37" t="str">
        <f>IFERROR(__xludf.DUMMYFUNCTION("if(not(iserror(index(split(C544, "" ""),2))), index(split(C544, "" ""),1),"""")"),"")</f>
        <v/>
      </c>
      <c r="W544" s="315" t="str">
        <f>IFERROR(__xludf.DUMMYFUNCTION("if(V544="""",C544,if(not(iserror(index(split(C544, "" ""),3))), index(split(C544, "" ""),3),index(split(C544, "" ""),2)))"),"")</f>
        <v/>
      </c>
      <c r="X544" s="38" t="b">
        <f t="shared" si="2"/>
        <v>0</v>
      </c>
      <c r="Y544" s="38"/>
      <c r="Z544" s="40"/>
      <c r="AA544" s="40"/>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row>
    <row r="545">
      <c r="A545" s="37"/>
      <c r="B545" s="159"/>
      <c r="C545" s="144"/>
      <c r="D545" s="101"/>
      <c r="E545" s="37"/>
      <c r="F545" s="37"/>
      <c r="G545" s="37"/>
      <c r="H545" s="33" t="str">
        <f t="shared" si="1"/>
        <v/>
      </c>
      <c r="I545" s="37"/>
      <c r="J545" s="37"/>
      <c r="K545" s="37"/>
      <c r="L545" s="38"/>
      <c r="M545" s="37"/>
      <c r="N545" s="37"/>
      <c r="O545" s="37"/>
      <c r="P545" s="14"/>
      <c r="Q545" s="15"/>
      <c r="R545" s="37"/>
      <c r="S545" s="37"/>
      <c r="T545" s="64"/>
      <c r="U545" s="16"/>
      <c r="V545" s="37" t="str">
        <f>IFERROR(__xludf.DUMMYFUNCTION("if(not(iserror(index(split(C545, "" ""),2))), index(split(C545, "" ""),1),"""")"),"")</f>
        <v/>
      </c>
      <c r="W545" s="315" t="str">
        <f>IFERROR(__xludf.DUMMYFUNCTION("if(V545="""",C545,if(not(iserror(index(split(C545, "" ""),3))), index(split(C545, "" ""),3),index(split(C545, "" ""),2)))"),"")</f>
        <v/>
      </c>
      <c r="X545" s="38" t="b">
        <f t="shared" si="2"/>
        <v>0</v>
      </c>
      <c r="Y545" s="38"/>
      <c r="Z545" s="40"/>
      <c r="AA545" s="40"/>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row>
    <row r="546">
      <c r="A546" s="37"/>
      <c r="B546" s="159"/>
      <c r="C546" s="144"/>
      <c r="D546" s="101"/>
      <c r="E546" s="37"/>
      <c r="F546" s="37"/>
      <c r="G546" s="37"/>
      <c r="H546" s="33" t="str">
        <f t="shared" si="1"/>
        <v/>
      </c>
      <c r="I546" s="37"/>
      <c r="J546" s="37"/>
      <c r="K546" s="37"/>
      <c r="L546" s="38"/>
      <c r="M546" s="37"/>
      <c r="N546" s="37"/>
      <c r="O546" s="37"/>
      <c r="P546" s="14"/>
      <c r="Q546" s="15"/>
      <c r="R546" s="37"/>
      <c r="S546" s="37"/>
      <c r="T546" s="64"/>
      <c r="U546" s="16"/>
      <c r="V546" s="37" t="str">
        <f>IFERROR(__xludf.DUMMYFUNCTION("if(not(iserror(index(split(C546, "" ""),2))), index(split(C546, "" ""),1),"""")"),"")</f>
        <v/>
      </c>
      <c r="W546" s="315" t="str">
        <f>IFERROR(__xludf.DUMMYFUNCTION("if(V546="""",C546,if(not(iserror(index(split(C546, "" ""),3))), index(split(C546, "" ""),3),index(split(C546, "" ""),2)))"),"")</f>
        <v/>
      </c>
      <c r="X546" s="38" t="b">
        <f t="shared" si="2"/>
        <v>0</v>
      </c>
      <c r="Y546" s="38"/>
      <c r="Z546" s="40"/>
      <c r="AA546" s="40"/>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row>
    <row r="547">
      <c r="A547" s="37"/>
      <c r="B547" s="159"/>
      <c r="C547" s="144"/>
      <c r="D547" s="144"/>
      <c r="E547" s="37"/>
      <c r="F547" s="37"/>
      <c r="G547" s="37"/>
      <c r="H547" s="33" t="str">
        <f t="shared" si="1"/>
        <v/>
      </c>
      <c r="I547" s="37"/>
      <c r="J547" s="37"/>
      <c r="K547" s="37"/>
      <c r="L547" s="38"/>
      <c r="M547" s="37"/>
      <c r="N547" s="37"/>
      <c r="O547" s="37"/>
      <c r="P547" s="14"/>
      <c r="Q547" s="15"/>
      <c r="R547" s="37"/>
      <c r="S547" s="37"/>
      <c r="T547" s="64"/>
      <c r="U547" s="16"/>
      <c r="V547" s="37" t="str">
        <f>IFERROR(__xludf.DUMMYFUNCTION("if(not(iserror(index(split(C547, "" ""),2))), index(split(C547, "" ""),1),"""")"),"")</f>
        <v/>
      </c>
      <c r="W547" s="315" t="str">
        <f>IFERROR(__xludf.DUMMYFUNCTION("if(V547="""",C547,if(not(iserror(index(split(C547, "" ""),3))), index(split(C547, "" ""),3),index(split(C547, "" ""),2)))"),"")</f>
        <v/>
      </c>
      <c r="X547" s="38" t="b">
        <f t="shared" si="2"/>
        <v>0</v>
      </c>
      <c r="Y547" s="38"/>
      <c r="Z547" s="40"/>
      <c r="AA547" s="40"/>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row>
    <row r="548">
      <c r="A548" s="375"/>
      <c r="B548" s="159"/>
      <c r="C548" s="144"/>
      <c r="D548" s="101"/>
      <c r="E548" s="37"/>
      <c r="F548" s="37"/>
      <c r="G548" s="37"/>
      <c r="H548" s="33" t="str">
        <f t="shared" si="1"/>
        <v/>
      </c>
      <c r="I548" s="37"/>
      <c r="J548" s="37"/>
      <c r="K548" s="37"/>
      <c r="L548" s="38"/>
      <c r="M548" s="37"/>
      <c r="N548" s="37"/>
      <c r="O548" s="37"/>
      <c r="P548" s="14"/>
      <c r="Q548" s="15"/>
      <c r="R548" s="37"/>
      <c r="S548" s="37"/>
      <c r="T548" s="64"/>
      <c r="U548" s="16"/>
      <c r="V548" s="37" t="str">
        <f>IFERROR(__xludf.DUMMYFUNCTION("if(not(iserror(index(split(C548, "" ""),2))), index(split(C548, "" ""),1),"""")"),"")</f>
        <v/>
      </c>
      <c r="W548" s="315" t="str">
        <f>IFERROR(__xludf.DUMMYFUNCTION("if(V548="""",C548,if(not(iserror(index(split(C548, "" ""),3))), index(split(C548, "" ""),3),index(split(C548, "" ""),2)))"),"")</f>
        <v/>
      </c>
      <c r="X548" s="38" t="b">
        <f t="shared" si="2"/>
        <v>0</v>
      </c>
      <c r="Y548" s="38"/>
      <c r="Z548" s="40"/>
      <c r="AA548" s="40"/>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row>
    <row r="549">
      <c r="A549" s="37"/>
      <c r="B549" s="159"/>
      <c r="C549" s="144"/>
      <c r="D549" s="101"/>
      <c r="E549" s="37"/>
      <c r="F549" s="37"/>
      <c r="G549" s="37"/>
      <c r="H549" s="33" t="str">
        <f t="shared" si="1"/>
        <v/>
      </c>
      <c r="I549" s="37"/>
      <c r="J549" s="37"/>
      <c r="K549" s="37"/>
      <c r="L549" s="38"/>
      <c r="M549" s="37"/>
      <c r="N549" s="37"/>
      <c r="O549" s="37"/>
      <c r="P549" s="14"/>
      <c r="Q549" s="15"/>
      <c r="R549" s="37"/>
      <c r="S549" s="37"/>
      <c r="T549" s="64"/>
      <c r="U549" s="16"/>
      <c r="V549" s="37" t="str">
        <f>IFERROR(__xludf.DUMMYFUNCTION("if(not(iserror(index(split(C549, "" ""),2))), index(split(C549, "" ""),1),"""")"),"")</f>
        <v/>
      </c>
      <c r="W549" s="315" t="str">
        <f>IFERROR(__xludf.DUMMYFUNCTION("if(V549="""",C549,if(not(iserror(index(split(C549, "" ""),3))), index(split(C549, "" ""),3),index(split(C549, "" ""),2)))"),"")</f>
        <v/>
      </c>
      <c r="X549" s="38" t="b">
        <f t="shared" si="2"/>
        <v>0</v>
      </c>
      <c r="Y549" s="38"/>
      <c r="Z549" s="40"/>
      <c r="AA549" s="40"/>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row>
    <row r="550">
      <c r="A550" s="37"/>
      <c r="B550" s="159"/>
      <c r="C550" s="159"/>
      <c r="D550" s="101"/>
      <c r="E550" s="37"/>
      <c r="F550" s="37"/>
      <c r="G550" s="37"/>
      <c r="H550" s="33" t="str">
        <f t="shared" si="1"/>
        <v/>
      </c>
      <c r="I550" s="37"/>
      <c r="J550" s="37"/>
      <c r="K550" s="37"/>
      <c r="L550" s="38"/>
      <c r="M550" s="37"/>
      <c r="N550" s="37"/>
      <c r="O550" s="37"/>
      <c r="P550" s="14"/>
      <c r="Q550" s="15"/>
      <c r="R550" s="37"/>
      <c r="S550" s="37"/>
      <c r="T550" s="64"/>
      <c r="U550" s="16"/>
      <c r="V550" s="37" t="str">
        <f>IFERROR(__xludf.DUMMYFUNCTION("if(not(iserror(index(split(C550, "" ""),2))), index(split(C550, "" ""),1),"""")"),"")</f>
        <v/>
      </c>
      <c r="W550" s="384" t="str">
        <f>IFERROR(__xludf.DUMMYFUNCTION("if(V550="""",C550,if(not(iserror(index(split(C550, "" ""),3))), index(split(C550, "" ""),3),index(split(C550, "" ""),2)))"),"")</f>
        <v/>
      </c>
      <c r="X550" s="38" t="b">
        <f t="shared" si="2"/>
        <v>0</v>
      </c>
      <c r="Y550" s="38"/>
      <c r="Z550" s="40"/>
      <c r="AA550" s="40"/>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row>
    <row r="551">
      <c r="A551" s="37"/>
      <c r="B551" s="159"/>
      <c r="C551" s="159"/>
      <c r="D551" s="101"/>
      <c r="E551" s="37"/>
      <c r="F551" s="37"/>
      <c r="G551" s="37"/>
      <c r="H551" s="33" t="str">
        <f t="shared" si="1"/>
        <v/>
      </c>
      <c r="I551" s="37"/>
      <c r="J551" s="37"/>
      <c r="K551" s="37"/>
      <c r="L551" s="38"/>
      <c r="M551" s="37"/>
      <c r="N551" s="37"/>
      <c r="O551" s="37"/>
      <c r="P551" s="14"/>
      <c r="Q551" s="15"/>
      <c r="R551" s="37"/>
      <c r="S551" s="37"/>
      <c r="T551" s="64"/>
      <c r="U551" s="16"/>
      <c r="V551" s="37" t="str">
        <f>IFERROR(__xludf.DUMMYFUNCTION("if(not(iserror(index(split(C551, "" ""),2))), index(split(C551, "" ""),1),"""")"),"")</f>
        <v/>
      </c>
      <c r="W551" s="384" t="str">
        <f>IFERROR(__xludf.DUMMYFUNCTION("if(V551="""",C551,if(not(iserror(index(split(C551, "" ""),3))), index(split(C551, "" ""),3),index(split(C551, "" ""),2)))"),"")</f>
        <v/>
      </c>
      <c r="X551" s="38" t="b">
        <f t="shared" si="2"/>
        <v>0</v>
      </c>
      <c r="Y551" s="38"/>
      <c r="Z551" s="40"/>
      <c r="AA551" s="40"/>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row>
    <row r="552">
      <c r="A552" s="91"/>
      <c r="B552" s="383"/>
      <c r="C552" s="383"/>
      <c r="D552" s="206"/>
      <c r="E552" s="91"/>
      <c r="F552" s="91"/>
      <c r="G552" s="91"/>
      <c r="H552" s="33" t="str">
        <f t="shared" si="1"/>
        <v/>
      </c>
      <c r="I552" s="91"/>
      <c r="J552" s="91"/>
      <c r="K552" s="91"/>
      <c r="L552" s="38"/>
      <c r="M552" s="37"/>
      <c r="N552" s="37"/>
      <c r="O552" s="37"/>
      <c r="P552" s="102"/>
      <c r="Q552" s="95"/>
      <c r="R552" s="120"/>
      <c r="S552" s="120"/>
      <c r="T552" s="37"/>
      <c r="U552" s="16"/>
      <c r="V552" s="37" t="str">
        <f>IFERROR(__xludf.DUMMYFUNCTION("if(not(iserror(index(split(C552, "" ""),2))), index(split(C552, "" ""),1),"""")"),"")</f>
        <v/>
      </c>
      <c r="W552" s="384" t="str">
        <f>IFERROR(__xludf.DUMMYFUNCTION("if(V552="""",C552,if(not(iserror(index(split(C552, "" ""),3))), index(split(C552, "" ""),3),index(split(C552, "" ""),2)))"),"")</f>
        <v/>
      </c>
      <c r="X552" s="38" t="b">
        <f t="shared" si="2"/>
        <v>0</v>
      </c>
      <c r="Y552" s="38"/>
      <c r="Z552" s="40"/>
      <c r="AA552" s="40"/>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row>
    <row r="553">
      <c r="A553" s="37"/>
      <c r="B553" s="159"/>
      <c r="C553" s="159"/>
      <c r="D553" s="101"/>
      <c r="E553" s="37"/>
      <c r="F553" s="37"/>
      <c r="G553" s="37"/>
      <c r="H553" s="33" t="str">
        <f t="shared" si="1"/>
        <v/>
      </c>
      <c r="I553" s="37"/>
      <c r="J553" s="37"/>
      <c r="K553" s="37"/>
      <c r="L553" s="38"/>
      <c r="M553" s="37"/>
      <c r="N553" s="37"/>
      <c r="O553" s="37"/>
      <c r="P553" s="14"/>
      <c r="Q553" s="15"/>
      <c r="R553" s="16"/>
      <c r="S553" s="16"/>
      <c r="T553" s="16"/>
      <c r="U553" s="16"/>
      <c r="V553" s="37" t="str">
        <f>IFERROR(__xludf.DUMMYFUNCTION("if(not(iserror(index(split(C553, "" ""),2))), index(split(C553, "" ""),1),"""")"),"")</f>
        <v/>
      </c>
      <c r="W553" s="384" t="str">
        <f>IFERROR(__xludf.DUMMYFUNCTION("if(V553="""",C553,if(not(iserror(index(split(C553, "" ""),3))), index(split(C553, "" ""),3),index(split(C553, "" ""),2)))"),"")</f>
        <v/>
      </c>
      <c r="X553" s="38" t="b">
        <f t="shared" si="2"/>
        <v>0</v>
      </c>
      <c r="Y553" s="38"/>
      <c r="Z553" s="40"/>
      <c r="AA553" s="40"/>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row>
    <row r="554">
      <c r="A554" s="37"/>
      <c r="B554" s="159"/>
      <c r="C554" s="159"/>
      <c r="D554" s="101"/>
      <c r="E554" s="37"/>
      <c r="F554" s="37"/>
      <c r="G554" s="37"/>
      <c r="H554" s="33" t="str">
        <f t="shared" si="1"/>
        <v/>
      </c>
      <c r="I554" s="37"/>
      <c r="J554" s="37"/>
      <c r="K554" s="37"/>
      <c r="L554" s="38"/>
      <c r="M554" s="37"/>
      <c r="N554" s="37"/>
      <c r="O554" s="37"/>
      <c r="P554" s="14"/>
      <c r="Q554" s="15"/>
      <c r="R554" s="16"/>
      <c r="S554" s="16"/>
      <c r="T554" s="16"/>
      <c r="U554" s="16"/>
      <c r="V554" s="37" t="str">
        <f>IFERROR(__xludf.DUMMYFUNCTION("if(not(iserror(index(split(C554, "" ""),2))), index(split(C554, "" ""),1),"""")"),"")</f>
        <v/>
      </c>
      <c r="W554" s="384" t="str">
        <f>IFERROR(__xludf.DUMMYFUNCTION("if(V554="""",C554,if(not(iserror(index(split(C554, "" ""),3))), index(split(C554, "" ""),3),index(split(C554, "" ""),2)))"),"")</f>
        <v/>
      </c>
      <c r="X554" s="38" t="b">
        <f t="shared" si="2"/>
        <v>0</v>
      </c>
      <c r="Y554" s="38"/>
      <c r="Z554" s="40"/>
      <c r="AA554" s="40"/>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row>
    <row r="555">
      <c r="A555" s="37"/>
      <c r="B555" s="159"/>
      <c r="C555" s="159"/>
      <c r="D555" s="101"/>
      <c r="E555" s="37"/>
      <c r="F555" s="37"/>
      <c r="G555" s="37"/>
      <c r="H555" s="33" t="str">
        <f t="shared" si="1"/>
        <v/>
      </c>
      <c r="I555" s="37"/>
      <c r="J555" s="37"/>
      <c r="K555" s="37"/>
      <c r="L555" s="38"/>
      <c r="M555" s="37"/>
      <c r="N555" s="37"/>
      <c r="O555" s="37"/>
      <c r="P555" s="14"/>
      <c r="Q555" s="15"/>
      <c r="R555" s="16"/>
      <c r="S555" s="16"/>
      <c r="T555" s="16"/>
      <c r="U555" s="16"/>
      <c r="V555" s="37" t="str">
        <f>IFERROR(__xludf.DUMMYFUNCTION("if(not(iserror(index(split(C555, "" ""),2))), index(split(C555, "" ""),1),"""")"),"")</f>
        <v/>
      </c>
      <c r="W555" s="384" t="str">
        <f>IFERROR(__xludf.DUMMYFUNCTION("if(V555="""",C555,if(not(iserror(index(split(C555, "" ""),3))), index(split(C555, "" ""),3),index(split(C555, "" ""),2)))"),"")</f>
        <v/>
      </c>
      <c r="X555" s="38" t="b">
        <f t="shared" si="2"/>
        <v>0</v>
      </c>
      <c r="Y555" s="38"/>
      <c r="Z555" s="40"/>
      <c r="AA555" s="40"/>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row>
    <row r="556">
      <c r="A556" s="37"/>
      <c r="B556" s="159"/>
      <c r="C556" s="159"/>
      <c r="D556" s="101"/>
      <c r="E556" s="37"/>
      <c r="F556" s="37"/>
      <c r="G556" s="37"/>
      <c r="H556" s="33" t="str">
        <f t="shared" si="1"/>
        <v/>
      </c>
      <c r="I556" s="37"/>
      <c r="J556" s="37"/>
      <c r="K556" s="37"/>
      <c r="L556" s="38"/>
      <c r="M556" s="37"/>
      <c r="N556" s="37"/>
      <c r="O556" s="37"/>
      <c r="P556" s="14"/>
      <c r="Q556" s="15"/>
      <c r="R556" s="16"/>
      <c r="S556" s="16"/>
      <c r="T556" s="16"/>
      <c r="U556" s="16"/>
      <c r="V556" s="37" t="str">
        <f>IFERROR(__xludf.DUMMYFUNCTION("if(not(iserror(index(split(C556, "" ""),2))), index(split(C556, "" ""),1),"""")"),"")</f>
        <v/>
      </c>
      <c r="W556" s="384" t="str">
        <f>IFERROR(__xludf.DUMMYFUNCTION("if(V556="""",C556,if(not(iserror(index(split(C556, "" ""),3))), index(split(C556, "" ""),3),index(split(C556, "" ""),2)))"),"")</f>
        <v/>
      </c>
      <c r="X556" s="38" t="b">
        <f t="shared" si="2"/>
        <v>0</v>
      </c>
      <c r="Y556" s="38"/>
      <c r="Z556" s="40"/>
      <c r="AA556" s="40"/>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row>
    <row r="557">
      <c r="A557" s="37"/>
      <c r="B557" s="159"/>
      <c r="C557" s="159"/>
      <c r="D557" s="101"/>
      <c r="E557" s="37"/>
      <c r="F557" s="37"/>
      <c r="G557" s="37"/>
      <c r="H557" s="33" t="str">
        <f t="shared" si="1"/>
        <v/>
      </c>
      <c r="I557" s="37"/>
      <c r="J557" s="37"/>
      <c r="K557" s="37"/>
      <c r="L557" s="38"/>
      <c r="M557" s="37"/>
      <c r="N557" s="37"/>
      <c r="O557" s="37"/>
      <c r="P557" s="14"/>
      <c r="Q557" s="15"/>
      <c r="R557" s="16"/>
      <c r="S557" s="16"/>
      <c r="T557" s="16"/>
      <c r="U557" s="16"/>
      <c r="V557" s="37" t="str">
        <f>IFERROR(__xludf.DUMMYFUNCTION("if(not(iserror(index(split(C557, "" ""),2))), index(split(C557, "" ""),1),"""")"),"")</f>
        <v/>
      </c>
      <c r="W557" s="384" t="str">
        <f>IFERROR(__xludf.DUMMYFUNCTION("if(V557="""",C557,if(not(iserror(index(split(C557, "" ""),3))), index(split(C557, "" ""),3),index(split(C557, "" ""),2)))"),"")</f>
        <v/>
      </c>
      <c r="X557" s="38" t="b">
        <f t="shared" si="2"/>
        <v>0</v>
      </c>
      <c r="Y557" s="38"/>
      <c r="Z557" s="40"/>
      <c r="AA557" s="40"/>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row>
    <row r="558">
      <c r="A558" s="37"/>
      <c r="B558" s="159"/>
      <c r="C558" s="159"/>
      <c r="D558" s="101"/>
      <c r="E558" s="37"/>
      <c r="F558" s="37"/>
      <c r="G558" s="37"/>
      <c r="H558" s="33" t="str">
        <f t="shared" si="1"/>
        <v/>
      </c>
      <c r="I558" s="37"/>
      <c r="J558" s="37"/>
      <c r="K558" s="37"/>
      <c r="L558" s="38"/>
      <c r="M558" s="37"/>
      <c r="N558" s="37"/>
      <c r="O558" s="37"/>
      <c r="P558" s="14"/>
      <c r="Q558" s="15"/>
      <c r="R558" s="16"/>
      <c r="S558" s="16"/>
      <c r="T558" s="16"/>
      <c r="U558" s="16"/>
      <c r="V558" s="37" t="str">
        <f>IFERROR(__xludf.DUMMYFUNCTION("if(not(iserror(index(split(C558, "" ""),2))), index(split(C558, "" ""),1),"""")"),"")</f>
        <v/>
      </c>
      <c r="W558" s="384" t="str">
        <f>IFERROR(__xludf.DUMMYFUNCTION("if(V558="""",C558,if(not(iserror(index(split(C558, "" ""),3))), index(split(C558, "" ""),3),index(split(C558, "" ""),2)))"),"")</f>
        <v/>
      </c>
      <c r="X558" s="38" t="b">
        <f t="shared" si="2"/>
        <v>0</v>
      </c>
      <c r="Y558" s="38"/>
      <c r="Z558" s="40"/>
      <c r="AA558" s="40"/>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row>
    <row r="559">
      <c r="A559" s="37"/>
      <c r="B559" s="159"/>
      <c r="C559" s="159"/>
      <c r="D559" s="101"/>
      <c r="E559" s="37"/>
      <c r="F559" s="37"/>
      <c r="G559" s="37"/>
      <c r="H559" s="33" t="str">
        <f t="shared" si="1"/>
        <v/>
      </c>
      <c r="I559" s="37"/>
      <c r="J559" s="37"/>
      <c r="K559" s="37"/>
      <c r="L559" s="38"/>
      <c r="M559" s="37"/>
      <c r="N559" s="37"/>
      <c r="O559" s="37"/>
      <c r="P559" s="14"/>
      <c r="Q559" s="15"/>
      <c r="R559" s="16"/>
      <c r="S559" s="16"/>
      <c r="T559" s="16"/>
      <c r="U559" s="16"/>
      <c r="V559" s="37" t="str">
        <f>IFERROR(__xludf.DUMMYFUNCTION("if(not(iserror(index(split(C559, "" ""),2))), index(split(C559, "" ""),1),"""")"),"")</f>
        <v/>
      </c>
      <c r="W559" s="384" t="str">
        <f>IFERROR(__xludf.DUMMYFUNCTION("if(V559="""",C559,if(not(iserror(index(split(C559, "" ""),3))), index(split(C559, "" ""),3),index(split(C559, "" ""),2)))"),"")</f>
        <v/>
      </c>
      <c r="X559" s="38" t="b">
        <f t="shared" si="2"/>
        <v>0</v>
      </c>
      <c r="Y559" s="38"/>
      <c r="Z559" s="40"/>
      <c r="AA559" s="40"/>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row>
    <row r="560">
      <c r="A560" s="37"/>
      <c r="B560" s="322"/>
      <c r="C560" s="144"/>
      <c r="D560" s="144"/>
      <c r="E560" s="37"/>
      <c r="F560" s="37"/>
      <c r="G560" s="37"/>
      <c r="H560" s="33" t="str">
        <f t="shared" si="1"/>
        <v/>
      </c>
      <c r="I560" s="37"/>
      <c r="J560" s="37"/>
      <c r="K560" s="37"/>
      <c r="L560" s="38"/>
      <c r="M560" s="37"/>
      <c r="N560" s="37"/>
      <c r="O560" s="37"/>
      <c r="P560" s="14"/>
      <c r="Q560" s="15"/>
      <c r="R560" s="16"/>
      <c r="S560" s="16"/>
      <c r="T560" s="16"/>
      <c r="U560" s="16"/>
      <c r="V560" s="37" t="str">
        <f>IFERROR(__xludf.DUMMYFUNCTION("if(not(iserror(index(split(C560, "" ""),2))), index(split(C560, "" ""),1),"""")"),"")</f>
        <v/>
      </c>
      <c r="W560" s="315" t="str">
        <f>IFERROR(__xludf.DUMMYFUNCTION("if(V560="""",C560,if(not(iserror(index(split(C560, "" ""),3))), index(split(C560, "" ""),3),index(split(C560, "" ""),2)))"),"")</f>
        <v/>
      </c>
      <c r="X560" s="38" t="b">
        <f t="shared" si="2"/>
        <v>0</v>
      </c>
      <c r="Y560" s="38"/>
      <c r="Z560" s="40"/>
      <c r="AA560" s="40"/>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row>
    <row r="561">
      <c r="A561" s="37"/>
      <c r="B561" s="322"/>
      <c r="C561" s="144"/>
      <c r="D561" s="144"/>
      <c r="E561" s="37"/>
      <c r="F561" s="37"/>
      <c r="G561" s="37"/>
      <c r="H561" s="33" t="str">
        <f t="shared" si="1"/>
        <v/>
      </c>
      <c r="I561" s="37"/>
      <c r="J561" s="37"/>
      <c r="K561" s="37"/>
      <c r="L561" s="38"/>
      <c r="M561" s="37"/>
      <c r="N561" s="37"/>
      <c r="O561" s="37"/>
      <c r="P561" s="14"/>
      <c r="Q561" s="15"/>
      <c r="R561" s="16"/>
      <c r="S561" s="16"/>
      <c r="T561" s="16"/>
      <c r="U561" s="16"/>
      <c r="V561" s="37" t="str">
        <f>IFERROR(__xludf.DUMMYFUNCTION("if(not(iserror(index(split(C561, "" ""),2))), index(split(C561, "" ""),1),"""")"),"")</f>
        <v/>
      </c>
      <c r="W561" s="315" t="str">
        <f>IFERROR(__xludf.DUMMYFUNCTION("if(V561="""",C561,if(not(iserror(index(split(C561, "" ""),3))), index(split(C561, "" ""),3),index(split(C561, "" ""),2)))"),"")</f>
        <v/>
      </c>
      <c r="X561" s="38" t="b">
        <f t="shared" si="2"/>
        <v>0</v>
      </c>
      <c r="Y561" s="38"/>
      <c r="Z561" s="40"/>
      <c r="AA561" s="40"/>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row>
    <row r="562">
      <c r="A562" s="37"/>
      <c r="B562" s="322"/>
      <c r="C562" s="144"/>
      <c r="D562" s="144"/>
      <c r="E562" s="37"/>
      <c r="F562" s="37"/>
      <c r="G562" s="37"/>
      <c r="H562" s="33" t="str">
        <f t="shared" si="1"/>
        <v/>
      </c>
      <c r="I562" s="37"/>
      <c r="J562" s="37"/>
      <c r="K562" s="37"/>
      <c r="L562" s="38"/>
      <c r="M562" s="37"/>
      <c r="N562" s="37"/>
      <c r="O562" s="37"/>
      <c r="P562" s="14"/>
      <c r="Q562" s="15"/>
      <c r="R562" s="16"/>
      <c r="S562" s="16"/>
      <c r="T562" s="16"/>
      <c r="U562" s="16"/>
      <c r="V562" s="37" t="str">
        <f>IFERROR(__xludf.DUMMYFUNCTION("if(not(iserror(index(split(C562, "" ""),2))), index(split(C562, "" ""),1),"""")"),"")</f>
        <v/>
      </c>
      <c r="W562" s="315" t="str">
        <f>IFERROR(__xludf.DUMMYFUNCTION("if(V562="""",C562,if(not(iserror(index(split(C562, "" ""),3))), index(split(C562, "" ""),3),index(split(C562, "" ""),2)))"),"")</f>
        <v/>
      </c>
      <c r="X562" s="38" t="b">
        <f t="shared" si="2"/>
        <v>0</v>
      </c>
      <c r="Y562" s="38"/>
      <c r="Z562" s="40"/>
      <c r="AA562" s="40"/>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row>
    <row r="563">
      <c r="A563" s="37"/>
      <c r="B563" s="322"/>
      <c r="C563" s="144"/>
      <c r="D563" s="144"/>
      <c r="E563" s="37"/>
      <c r="F563" s="37"/>
      <c r="G563" s="37"/>
      <c r="H563" s="33" t="str">
        <f t="shared" si="1"/>
        <v/>
      </c>
      <c r="I563" s="37"/>
      <c r="J563" s="37"/>
      <c r="K563" s="37"/>
      <c r="L563" s="38"/>
      <c r="M563" s="37"/>
      <c r="N563" s="37"/>
      <c r="O563" s="37"/>
      <c r="P563" s="14"/>
      <c r="Q563" s="15"/>
      <c r="R563" s="16"/>
      <c r="S563" s="16"/>
      <c r="T563" s="16"/>
      <c r="U563" s="16"/>
      <c r="V563" s="37" t="str">
        <f>IFERROR(__xludf.DUMMYFUNCTION("if(not(iserror(index(split(C563, "" ""),2))), index(split(C563, "" ""),1),"""")"),"")</f>
        <v/>
      </c>
      <c r="W563" s="315" t="str">
        <f>IFERROR(__xludf.DUMMYFUNCTION("if(V563="""",C563,if(not(iserror(index(split(C563, "" ""),3))), index(split(C563, "" ""),3),index(split(C563, "" ""),2)))"),"")</f>
        <v/>
      </c>
      <c r="X563" s="38" t="b">
        <f t="shared" si="2"/>
        <v>0</v>
      </c>
      <c r="Y563" s="38"/>
      <c r="Z563" s="40"/>
      <c r="AA563" s="40"/>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row>
    <row r="564">
      <c r="A564" s="37"/>
      <c r="B564" s="322"/>
      <c r="C564" s="144"/>
      <c r="D564" s="144"/>
      <c r="E564" s="37"/>
      <c r="F564" s="37"/>
      <c r="G564" s="37"/>
      <c r="H564" s="33" t="str">
        <f t="shared" si="1"/>
        <v/>
      </c>
      <c r="I564" s="37"/>
      <c r="J564" s="37"/>
      <c r="K564" s="37"/>
      <c r="L564" s="38"/>
      <c r="M564" s="37"/>
      <c r="N564" s="37"/>
      <c r="O564" s="37"/>
      <c r="P564" s="14"/>
      <c r="Q564" s="15"/>
      <c r="R564" s="37"/>
      <c r="S564" s="37"/>
      <c r="T564" s="64"/>
      <c r="U564" s="16"/>
      <c r="V564" s="37" t="str">
        <f>IFERROR(__xludf.DUMMYFUNCTION("if(not(iserror(index(split(C564, "" ""),2))), index(split(C564, "" ""),1),"""")"),"")</f>
        <v/>
      </c>
      <c r="W564" s="315" t="str">
        <f>IFERROR(__xludf.DUMMYFUNCTION("if(V564="""",C564,if(not(iserror(index(split(C564, "" ""),3))), index(split(C564, "" ""),3),index(split(C564, "" ""),2)))"),"")</f>
        <v/>
      </c>
      <c r="X564" s="38" t="b">
        <f t="shared" si="2"/>
        <v>0</v>
      </c>
      <c r="Y564" s="38"/>
      <c r="Z564" s="40"/>
      <c r="AA564" s="40"/>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row>
    <row r="565">
      <c r="A565" s="37"/>
      <c r="B565" s="322"/>
      <c r="C565" s="144"/>
      <c r="D565" s="144"/>
      <c r="E565" s="37"/>
      <c r="F565" s="37"/>
      <c r="G565" s="37"/>
      <c r="H565" s="33" t="str">
        <f t="shared" si="1"/>
        <v/>
      </c>
      <c r="I565" s="37"/>
      <c r="J565" s="37"/>
      <c r="K565" s="37"/>
      <c r="L565" s="38"/>
      <c r="M565" s="37"/>
      <c r="N565" s="37"/>
      <c r="O565" s="37"/>
      <c r="P565" s="14"/>
      <c r="Q565" s="14"/>
      <c r="R565" s="37"/>
      <c r="S565" s="37"/>
      <c r="T565" s="64"/>
      <c r="U565" s="16"/>
      <c r="V565" s="37" t="str">
        <f>IFERROR(__xludf.DUMMYFUNCTION("if(not(iserror(index(split(C565, "" ""),2))), index(split(C565, "" ""),1),"""")"),"")</f>
        <v/>
      </c>
      <c r="W565" s="315" t="str">
        <f>IFERROR(__xludf.DUMMYFUNCTION("if(V565="""",C565,if(not(iserror(index(split(C565, "" ""),3))), index(split(C565, "" ""),3),index(split(C565, "" ""),2)))"),"")</f>
        <v/>
      </c>
      <c r="X565" s="38" t="b">
        <f t="shared" si="2"/>
        <v>0</v>
      </c>
      <c r="Y565" s="38"/>
      <c r="Z565" s="40"/>
      <c r="AA565" s="40"/>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row>
    <row r="566">
      <c r="A566" s="37"/>
      <c r="B566" s="322"/>
      <c r="C566" s="144"/>
      <c r="D566" s="144"/>
      <c r="E566" s="37"/>
      <c r="F566" s="37"/>
      <c r="G566" s="37"/>
      <c r="H566" s="33" t="str">
        <f t="shared" si="1"/>
        <v/>
      </c>
      <c r="I566" s="37"/>
      <c r="J566" s="37"/>
      <c r="K566" s="37"/>
      <c r="L566" s="38"/>
      <c r="M566" s="37"/>
      <c r="N566" s="37"/>
      <c r="O566" s="37"/>
      <c r="P566" s="14"/>
      <c r="Q566" s="15"/>
      <c r="R566" s="37"/>
      <c r="S566" s="37"/>
      <c r="T566" s="64"/>
      <c r="U566" s="16"/>
      <c r="V566" s="37" t="str">
        <f>IFERROR(__xludf.DUMMYFUNCTION("if(not(iserror(index(split(C566, "" ""),2))), index(split(C566, "" ""),1),"""")"),"")</f>
        <v/>
      </c>
      <c r="W566" s="315" t="str">
        <f>IFERROR(__xludf.DUMMYFUNCTION("if(V566="""",C566,if(not(iserror(index(split(C566, "" ""),3))), index(split(C566, "" ""),3),index(split(C566, "" ""),2)))"),"")</f>
        <v/>
      </c>
      <c r="X566" s="38" t="b">
        <f t="shared" si="2"/>
        <v>0</v>
      </c>
      <c r="Y566" s="38"/>
      <c r="Z566" s="40"/>
      <c r="AA566" s="40"/>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row>
    <row r="567">
      <c r="A567" s="285"/>
      <c r="B567" s="380"/>
      <c r="C567" s="379"/>
      <c r="D567" s="379"/>
      <c r="E567" s="285"/>
      <c r="F567" s="91"/>
      <c r="G567" s="285"/>
      <c r="H567" s="33" t="str">
        <f t="shared" si="1"/>
        <v/>
      </c>
      <c r="I567" s="285"/>
      <c r="J567" s="285"/>
      <c r="K567" s="91"/>
      <c r="L567" s="38"/>
      <c r="M567" s="285"/>
      <c r="N567" s="285"/>
      <c r="O567" s="285"/>
      <c r="P567" s="288"/>
      <c r="Q567" s="15"/>
      <c r="R567" s="37"/>
      <c r="S567" s="37"/>
      <c r="T567" s="64"/>
      <c r="U567" s="16"/>
      <c r="V567" s="37" t="str">
        <f>IFERROR(__xludf.DUMMYFUNCTION("if(not(iserror(index(split(C567, "" ""),2))), index(split(C567, "" ""),1),"""")"),"")</f>
        <v/>
      </c>
      <c r="W567" s="315" t="str">
        <f>IFERROR(__xludf.DUMMYFUNCTION("if(V567="""",C567,if(not(iserror(index(split(C567, "" ""),3))), index(split(C567, "" ""),3),index(split(C567, "" ""),2)))"),"")</f>
        <v/>
      </c>
      <c r="X567" s="38" t="b">
        <f t="shared" si="2"/>
        <v>0</v>
      </c>
      <c r="Y567" s="38"/>
      <c r="Z567" s="40"/>
      <c r="AA567" s="40"/>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row>
    <row r="568">
      <c r="A568" s="37"/>
      <c r="B568" s="322"/>
      <c r="C568" s="144"/>
      <c r="D568" s="144"/>
      <c r="E568" s="37"/>
      <c r="F568" s="37"/>
      <c r="G568" s="37"/>
      <c r="H568" s="33" t="str">
        <f t="shared" si="1"/>
        <v/>
      </c>
      <c r="I568" s="37"/>
      <c r="J568" s="37"/>
      <c r="K568" s="37"/>
      <c r="L568" s="38"/>
      <c r="M568" s="37"/>
      <c r="N568" s="37"/>
      <c r="O568" s="37"/>
      <c r="P568" s="102"/>
      <c r="Q568" s="14"/>
      <c r="R568" s="37"/>
      <c r="S568" s="16"/>
      <c r="T568" s="37"/>
      <c r="U568" s="16"/>
      <c r="V568" s="37" t="str">
        <f>IFERROR(__xludf.DUMMYFUNCTION("if(not(iserror(index(split(C568, "" ""),2))), index(split(C568, "" ""),1),"""")"),"")</f>
        <v/>
      </c>
      <c r="W568" s="315" t="str">
        <f>IFERROR(__xludf.DUMMYFUNCTION("if(V568="""",C568,if(not(iserror(index(split(C568, "" ""),3))), index(split(C568, "" ""),3),index(split(C568, "" ""),2)))"),"")</f>
        <v/>
      </c>
      <c r="X568" s="38" t="b">
        <f t="shared" si="2"/>
        <v>0</v>
      </c>
      <c r="Y568" s="38"/>
      <c r="Z568" s="40"/>
      <c r="AA568" s="40"/>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row>
    <row r="569">
      <c r="A569" s="37"/>
      <c r="B569" s="322"/>
      <c r="C569" s="144"/>
      <c r="D569" s="144"/>
      <c r="E569" s="37"/>
      <c r="F569" s="37"/>
      <c r="G569" s="37"/>
      <c r="H569" s="33" t="str">
        <f t="shared" si="1"/>
        <v/>
      </c>
      <c r="I569" s="37"/>
      <c r="J569" s="37"/>
      <c r="K569" s="37"/>
      <c r="L569" s="38"/>
      <c r="M569" s="37"/>
      <c r="N569" s="37"/>
      <c r="O569" s="37"/>
      <c r="P569" s="14"/>
      <c r="Q569" s="15"/>
      <c r="R569" s="16"/>
      <c r="S569" s="16"/>
      <c r="T569" s="16"/>
      <c r="U569" s="16"/>
      <c r="V569" s="37" t="str">
        <f>IFERROR(__xludf.DUMMYFUNCTION("if(not(iserror(index(split(C569, "" ""),2))), index(split(C569, "" ""),1),"""")"),"")</f>
        <v/>
      </c>
      <c r="W569" s="315" t="str">
        <f>IFERROR(__xludf.DUMMYFUNCTION("if(V569="""",C569,if(not(iserror(index(split(C569, "" ""),3))), index(split(C569, "" ""),3),index(split(C569, "" ""),2)))"),"")</f>
        <v/>
      </c>
      <c r="X569" s="38" t="b">
        <f t="shared" si="2"/>
        <v>0</v>
      </c>
      <c r="Y569" s="38"/>
      <c r="Z569" s="40"/>
      <c r="AA569" s="40"/>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row>
    <row r="570">
      <c r="A570" s="70"/>
      <c r="B570" s="385"/>
      <c r="C570" s="386"/>
      <c r="D570" s="386"/>
      <c r="E570" s="70"/>
      <c r="F570" s="70"/>
      <c r="G570" s="70"/>
      <c r="H570" s="33" t="str">
        <f t="shared" si="1"/>
        <v/>
      </c>
      <c r="I570" s="70"/>
      <c r="J570" s="70"/>
      <c r="K570" s="70"/>
      <c r="L570" s="38"/>
      <c r="M570" s="70"/>
      <c r="N570" s="70"/>
      <c r="O570" s="70"/>
      <c r="P570" s="210"/>
      <c r="Q570" s="69"/>
      <c r="R570" s="70"/>
      <c r="S570" s="70"/>
      <c r="T570" s="71"/>
      <c r="U570" s="72"/>
      <c r="V570" s="37" t="str">
        <f>IFERROR(__xludf.DUMMYFUNCTION("if(not(iserror(index(split(C570, "" ""),2))), index(split(C570, "" ""),1),"""")"),"")</f>
        <v/>
      </c>
      <c r="W570" s="315" t="str">
        <f>IFERROR(__xludf.DUMMYFUNCTION("if(V570="""",C570,if(not(iserror(index(split(C570, "" ""),3))), index(split(C570, "" ""),3),index(split(C570, "" ""),2)))"),"")</f>
        <v/>
      </c>
      <c r="X570" s="38" t="b">
        <f t="shared" si="2"/>
        <v>0</v>
      </c>
      <c r="Y570" s="38"/>
      <c r="Z570" s="40"/>
      <c r="AA570" s="40"/>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row>
    <row r="571">
      <c r="A571" s="70"/>
      <c r="B571" s="385"/>
      <c r="C571" s="386"/>
      <c r="D571" s="386"/>
      <c r="E571" s="70"/>
      <c r="F571" s="70"/>
      <c r="G571" s="70"/>
      <c r="H571" s="33" t="str">
        <f t="shared" si="1"/>
        <v/>
      </c>
      <c r="I571" s="70"/>
      <c r="J571" s="70"/>
      <c r="K571" s="70"/>
      <c r="L571" s="38"/>
      <c r="M571" s="70"/>
      <c r="N571" s="70"/>
      <c r="O571" s="70"/>
      <c r="P571" s="210"/>
      <c r="Q571" s="69"/>
      <c r="R571" s="70"/>
      <c r="S571" s="70"/>
      <c r="T571" s="71"/>
      <c r="U571" s="72"/>
      <c r="V571" s="37" t="str">
        <f>IFERROR(__xludf.DUMMYFUNCTION("if(not(iserror(index(split(C571, "" ""),2))), index(split(C571, "" ""),1),"""")"),"")</f>
        <v/>
      </c>
      <c r="W571" s="315" t="str">
        <f>IFERROR(__xludf.DUMMYFUNCTION("if(V571="""",C571,if(not(iserror(index(split(C571, "" ""),3))), index(split(C571, "" ""),3),index(split(C571, "" ""),2)))"),"")</f>
        <v/>
      </c>
      <c r="X571" s="38" t="b">
        <f t="shared" si="2"/>
        <v>0</v>
      </c>
      <c r="Y571" s="38"/>
      <c r="Z571" s="40"/>
      <c r="AA571" s="40"/>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row>
    <row r="572">
      <c r="A572" s="37"/>
      <c r="B572" s="322"/>
      <c r="C572" s="144"/>
      <c r="D572" s="144"/>
      <c r="E572" s="37"/>
      <c r="F572" s="37"/>
      <c r="G572" s="37"/>
      <c r="H572" s="33" t="str">
        <f t="shared" si="1"/>
        <v/>
      </c>
      <c r="I572" s="37"/>
      <c r="J572" s="37"/>
      <c r="K572" s="37"/>
      <c r="L572" s="38"/>
      <c r="M572" s="37"/>
      <c r="N572" s="37"/>
      <c r="O572" s="37"/>
      <c r="P572" s="14"/>
      <c r="Q572" s="15"/>
      <c r="R572" s="16"/>
      <c r="S572" s="16"/>
      <c r="T572" s="16"/>
      <c r="U572" s="16"/>
      <c r="V572" s="37" t="str">
        <f>IFERROR(__xludf.DUMMYFUNCTION("if(not(iserror(index(split(C572, "" ""),2))), index(split(C572, "" ""),1),"""")"),"")</f>
        <v/>
      </c>
      <c r="W572" s="315" t="str">
        <f>IFERROR(__xludf.DUMMYFUNCTION("if(V572="""",C572,if(not(iserror(index(split(C572, "" ""),3))), index(split(C572, "" ""),3),index(split(C572, "" ""),2)))"),"")</f>
        <v/>
      </c>
      <c r="X572" s="38" t="b">
        <f t="shared" si="2"/>
        <v>0</v>
      </c>
      <c r="Y572" s="38"/>
      <c r="Z572" s="40"/>
      <c r="AA572" s="40"/>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row>
    <row r="573">
      <c r="A573" s="37"/>
      <c r="B573" s="322"/>
      <c r="C573" s="144"/>
      <c r="D573" s="144"/>
      <c r="E573" s="37"/>
      <c r="F573" s="37"/>
      <c r="G573" s="37"/>
      <c r="H573" s="33" t="str">
        <f t="shared" si="1"/>
        <v/>
      </c>
      <c r="I573" s="37"/>
      <c r="J573" s="37"/>
      <c r="K573" s="37"/>
      <c r="L573" s="38"/>
      <c r="M573" s="37"/>
      <c r="N573" s="37"/>
      <c r="O573" s="37"/>
      <c r="P573" s="14"/>
      <c r="Q573" s="15"/>
      <c r="R573" s="16"/>
      <c r="S573" s="16"/>
      <c r="T573" s="16"/>
      <c r="U573" s="16"/>
      <c r="V573" s="37" t="str">
        <f>IFERROR(__xludf.DUMMYFUNCTION("if(not(iserror(index(split(C573, "" ""),2))), index(split(C573, "" ""),1),"""")"),"")</f>
        <v/>
      </c>
      <c r="W573" s="315" t="str">
        <f>IFERROR(__xludf.DUMMYFUNCTION("if(V573="""",C573,if(not(iserror(index(split(C573, "" ""),3))), index(split(C573, "" ""),3),index(split(C573, "" ""),2)))"),"")</f>
        <v/>
      </c>
      <c r="X573" s="38" t="b">
        <f t="shared" si="2"/>
        <v>0</v>
      </c>
      <c r="Y573" s="38"/>
      <c r="Z573" s="40"/>
      <c r="AA573" s="40"/>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row>
    <row r="574">
      <c r="A574" s="37"/>
      <c r="B574" s="322"/>
      <c r="C574" s="144"/>
      <c r="D574" s="144"/>
      <c r="E574" s="37"/>
      <c r="F574" s="37"/>
      <c r="G574" s="37"/>
      <c r="H574" s="33" t="str">
        <f t="shared" si="1"/>
        <v/>
      </c>
      <c r="I574" s="37"/>
      <c r="J574" s="37"/>
      <c r="K574" s="37"/>
      <c r="L574" s="38"/>
      <c r="M574" s="37"/>
      <c r="N574" s="37"/>
      <c r="O574" s="37"/>
      <c r="P574" s="14"/>
      <c r="Q574" s="15"/>
      <c r="R574" s="16"/>
      <c r="S574" s="16"/>
      <c r="T574" s="16"/>
      <c r="U574" s="16"/>
      <c r="V574" s="37" t="str">
        <f>IFERROR(__xludf.DUMMYFUNCTION("if(not(iserror(index(split(C574, "" ""),2))), index(split(C574, "" ""),1),"""")"),"")</f>
        <v/>
      </c>
      <c r="W574" s="315" t="str">
        <f>IFERROR(__xludf.DUMMYFUNCTION("if(V574="""",C574,if(not(iserror(index(split(C574, "" ""),3))), index(split(C574, "" ""),3),index(split(C574, "" ""),2)))"),"")</f>
        <v/>
      </c>
      <c r="X574" s="38" t="b">
        <f t="shared" si="2"/>
        <v>0</v>
      </c>
      <c r="Y574" s="38"/>
      <c r="Z574" s="40"/>
      <c r="AA574" s="40"/>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row>
    <row r="575">
      <c r="A575" s="37"/>
      <c r="B575" s="322"/>
      <c r="C575" s="144"/>
      <c r="D575" s="144"/>
      <c r="E575" s="37"/>
      <c r="F575" s="37"/>
      <c r="G575" s="37"/>
      <c r="H575" s="33" t="str">
        <f t="shared" si="1"/>
        <v/>
      </c>
      <c r="I575" s="37"/>
      <c r="J575" s="16"/>
      <c r="K575" s="37"/>
      <c r="L575" s="38"/>
      <c r="M575" s="37"/>
      <c r="N575" s="37"/>
      <c r="O575" s="37"/>
      <c r="P575" s="14"/>
      <c r="Q575" s="15"/>
      <c r="R575" s="16"/>
      <c r="S575" s="16"/>
      <c r="T575" s="16"/>
      <c r="U575" s="16"/>
      <c r="V575" s="37" t="str">
        <f>IFERROR(__xludf.DUMMYFUNCTION("if(not(iserror(index(split(C575, "" ""),2))), index(split(C575, "" ""),1),"""")"),"")</f>
        <v/>
      </c>
      <c r="W575" s="315" t="str">
        <f>IFERROR(__xludf.DUMMYFUNCTION("if(V575="""",C575,if(not(iserror(index(split(C575, "" ""),3))), index(split(C575, "" ""),3),index(split(C575, "" ""),2)))"),"")</f>
        <v/>
      </c>
      <c r="X575" s="38" t="b">
        <f t="shared" si="2"/>
        <v>0</v>
      </c>
      <c r="Y575" s="38"/>
      <c r="Z575" s="40"/>
      <c r="AA575" s="40"/>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row>
    <row r="576">
      <c r="A576" s="37"/>
      <c r="B576" s="322"/>
      <c r="C576" s="144"/>
      <c r="D576" s="144"/>
      <c r="E576" s="37"/>
      <c r="F576" s="37"/>
      <c r="G576" s="37"/>
      <c r="H576" s="33" t="str">
        <f t="shared" si="1"/>
        <v/>
      </c>
      <c r="I576" s="37"/>
      <c r="J576" s="37"/>
      <c r="K576" s="37"/>
      <c r="L576" s="38"/>
      <c r="M576" s="37"/>
      <c r="N576" s="37"/>
      <c r="O576" s="37"/>
      <c r="P576" s="14"/>
      <c r="Q576" s="15"/>
      <c r="R576" s="37"/>
      <c r="S576" s="16"/>
      <c r="T576" s="64"/>
      <c r="U576" s="16"/>
      <c r="V576" s="37" t="str">
        <f>IFERROR(__xludf.DUMMYFUNCTION("if(not(iserror(index(split(C576, "" ""),2))), index(split(C576, "" ""),1),"""")"),"")</f>
        <v/>
      </c>
      <c r="W576" s="315" t="str">
        <f>IFERROR(__xludf.DUMMYFUNCTION("if(V576="""",C576,if(not(iserror(index(split(C576, "" ""),3))), index(split(C576, "" ""),3),index(split(C576, "" ""),2)))"),"")</f>
        <v/>
      </c>
      <c r="X576" s="38" t="b">
        <f t="shared" si="2"/>
        <v>0</v>
      </c>
      <c r="Y576" s="38"/>
      <c r="Z576" s="40"/>
      <c r="AA576" s="40"/>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row>
    <row r="577">
      <c r="A577" s="58"/>
      <c r="B577" s="341"/>
      <c r="C577" s="60"/>
      <c r="D577" s="60"/>
      <c r="E577" s="58"/>
      <c r="F577" s="58"/>
      <c r="G577" s="58"/>
      <c r="H577" s="33" t="str">
        <f t="shared" si="1"/>
        <v/>
      </c>
      <c r="I577" s="58"/>
      <c r="J577" s="58"/>
      <c r="K577" s="58"/>
      <c r="L577" s="38"/>
      <c r="M577" s="58"/>
      <c r="N577" s="58"/>
      <c r="O577" s="58"/>
      <c r="P577" s="80"/>
      <c r="Q577" s="80"/>
      <c r="R577" s="58"/>
      <c r="S577" s="62"/>
      <c r="T577" s="58"/>
      <c r="U577" s="62"/>
      <c r="V577" s="37" t="str">
        <f>IFERROR(__xludf.DUMMYFUNCTION("if(not(iserror(index(split(C577, "" ""),2))), index(split(C577, "" ""),1),"""")"),"")</f>
        <v/>
      </c>
      <c r="W577" s="315" t="str">
        <f>IFERROR(__xludf.DUMMYFUNCTION("if(V577="""",C577,if(not(iserror(index(split(C577, "" ""),3))), index(split(C577, "" ""),3),index(split(C577, "" ""),2)))"),"")</f>
        <v/>
      </c>
      <c r="X577" s="38" t="b">
        <f t="shared" si="2"/>
        <v>0</v>
      </c>
      <c r="Y577" s="38"/>
      <c r="Z577" s="40"/>
      <c r="AA577" s="40"/>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row>
    <row r="578">
      <c r="A578" s="58"/>
      <c r="B578" s="341"/>
      <c r="C578" s="60"/>
      <c r="D578" s="60"/>
      <c r="E578" s="58"/>
      <c r="F578" s="58"/>
      <c r="G578" s="58"/>
      <c r="H578" s="33" t="str">
        <f t="shared" si="1"/>
        <v/>
      </c>
      <c r="I578" s="58"/>
      <c r="J578" s="58"/>
      <c r="K578" s="58"/>
      <c r="L578" s="38"/>
      <c r="M578" s="58"/>
      <c r="N578" s="58"/>
      <c r="O578" s="58"/>
      <c r="P578" s="80"/>
      <c r="Q578" s="80"/>
      <c r="R578" s="58"/>
      <c r="S578" s="62"/>
      <c r="T578" s="84"/>
      <c r="U578" s="62"/>
      <c r="V578" s="37" t="str">
        <f>IFERROR(__xludf.DUMMYFUNCTION("if(not(iserror(index(split(C578, "" ""),2))), index(split(C578, "" ""),1),"""")"),"")</f>
        <v/>
      </c>
      <c r="W578" s="315" t="str">
        <f>IFERROR(__xludf.DUMMYFUNCTION("if(V578="""",C578,if(not(iserror(index(split(C578, "" ""),3))), index(split(C578, "" ""),3),index(split(C578, "" ""),2)))"),"")</f>
        <v/>
      </c>
      <c r="X578" s="38" t="b">
        <f t="shared" si="2"/>
        <v>0</v>
      </c>
      <c r="Y578" s="38"/>
      <c r="Z578" s="40"/>
      <c r="AA578" s="40"/>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row>
    <row r="579">
      <c r="A579" s="58"/>
      <c r="B579" s="341"/>
      <c r="C579" s="60"/>
      <c r="D579" s="60"/>
      <c r="E579" s="58"/>
      <c r="F579" s="58"/>
      <c r="G579" s="58"/>
      <c r="H579" s="33" t="str">
        <f t="shared" si="1"/>
        <v/>
      </c>
      <c r="I579" s="58"/>
      <c r="J579" s="58"/>
      <c r="K579" s="58"/>
      <c r="L579" s="38"/>
      <c r="M579" s="58"/>
      <c r="N579" s="58"/>
      <c r="O579" s="58"/>
      <c r="P579" s="80"/>
      <c r="Q579" s="77"/>
      <c r="R579" s="62"/>
      <c r="S579" s="62"/>
      <c r="T579" s="62"/>
      <c r="U579" s="62"/>
      <c r="V579" s="37" t="str">
        <f>IFERROR(__xludf.DUMMYFUNCTION("if(not(iserror(index(split(C579, "" ""),2))), index(split(C579, "" ""),1),"""")"),"")</f>
        <v/>
      </c>
      <c r="W579" s="315" t="str">
        <f>IFERROR(__xludf.DUMMYFUNCTION("if(V579="""",C579,if(not(iserror(index(split(C579, "" ""),3))), index(split(C579, "" ""),3),index(split(C579, "" ""),2)))"),"")</f>
        <v/>
      </c>
      <c r="X579" s="38" t="b">
        <f t="shared" si="2"/>
        <v>0</v>
      </c>
      <c r="Y579" s="38"/>
      <c r="Z579" s="40"/>
      <c r="AA579" s="40"/>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row>
    <row r="580">
      <c r="A580" s="58"/>
      <c r="B580" s="341"/>
      <c r="C580" s="60"/>
      <c r="D580" s="60"/>
      <c r="E580" s="58"/>
      <c r="F580" s="58"/>
      <c r="G580" s="58"/>
      <c r="H580" s="33" t="str">
        <f t="shared" si="1"/>
        <v/>
      </c>
      <c r="I580" s="58"/>
      <c r="J580" s="58"/>
      <c r="K580" s="58"/>
      <c r="L580" s="38"/>
      <c r="M580" s="58"/>
      <c r="N580" s="58"/>
      <c r="O580" s="58"/>
      <c r="P580" s="80"/>
      <c r="Q580" s="77"/>
      <c r="R580" s="62"/>
      <c r="S580" s="62"/>
      <c r="T580" s="62"/>
      <c r="U580" s="62"/>
      <c r="V580" s="37" t="str">
        <f>IFERROR(__xludf.DUMMYFUNCTION("if(not(iserror(index(split(C580, "" ""),2))), index(split(C580, "" ""),1),"""")"),"")</f>
        <v/>
      </c>
      <c r="W580" s="315" t="str">
        <f>IFERROR(__xludf.DUMMYFUNCTION("if(V580="""",C580,if(not(iserror(index(split(C580, "" ""),3))), index(split(C580, "" ""),3),index(split(C580, "" ""),2)))"),"")</f>
        <v/>
      </c>
      <c r="X580" s="38" t="b">
        <f t="shared" si="2"/>
        <v>0</v>
      </c>
      <c r="Y580" s="38"/>
      <c r="Z580" s="40"/>
      <c r="AA580" s="40"/>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row>
    <row r="581">
      <c r="A581" s="58"/>
      <c r="B581" s="341"/>
      <c r="C581" s="60"/>
      <c r="D581" s="60"/>
      <c r="E581" s="58"/>
      <c r="F581" s="58"/>
      <c r="G581" s="58"/>
      <c r="H581" s="33" t="str">
        <f t="shared" si="1"/>
        <v/>
      </c>
      <c r="I581" s="58"/>
      <c r="J581" s="58"/>
      <c r="K581" s="58"/>
      <c r="L581" s="38"/>
      <c r="M581" s="58"/>
      <c r="N581" s="58"/>
      <c r="O581" s="58"/>
      <c r="P581" s="80"/>
      <c r="Q581" s="77"/>
      <c r="R581" s="58"/>
      <c r="S581" s="62"/>
      <c r="T581" s="84"/>
      <c r="U581" s="62"/>
      <c r="V581" s="37" t="str">
        <f>IFERROR(__xludf.DUMMYFUNCTION("if(not(iserror(index(split(C581, "" ""),2))), index(split(C581, "" ""),1),"""")"),"")</f>
        <v/>
      </c>
      <c r="W581" s="315" t="str">
        <f>IFERROR(__xludf.DUMMYFUNCTION("if(V581="""",C581,if(not(iserror(index(split(C581, "" ""),3))), index(split(C581, "" ""),3),index(split(C581, "" ""),2)))"),"")</f>
        <v/>
      </c>
      <c r="X581" s="38" t="b">
        <f t="shared" si="2"/>
        <v>0</v>
      </c>
      <c r="Y581" s="38"/>
      <c r="Z581" s="40"/>
      <c r="AA581" s="40"/>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row>
    <row r="582">
      <c r="A582" s="58"/>
      <c r="B582" s="341"/>
      <c r="C582" s="60"/>
      <c r="D582" s="60"/>
      <c r="E582" s="58"/>
      <c r="F582" s="58"/>
      <c r="G582" s="58"/>
      <c r="H582" s="33" t="str">
        <f t="shared" si="1"/>
        <v/>
      </c>
      <c r="I582" s="58"/>
      <c r="J582" s="58"/>
      <c r="K582" s="58"/>
      <c r="L582" s="38"/>
      <c r="M582" s="58"/>
      <c r="N582" s="58"/>
      <c r="O582" s="58"/>
      <c r="P582" s="80"/>
      <c r="Q582" s="80"/>
      <c r="R582" s="58"/>
      <c r="S582" s="62"/>
      <c r="T582" s="84"/>
      <c r="U582" s="62"/>
      <c r="V582" s="37" t="str">
        <f>IFERROR(__xludf.DUMMYFUNCTION("if(not(iserror(index(split(C582, "" ""),2))), index(split(C582, "" ""),1),"""")"),"")</f>
        <v/>
      </c>
      <c r="W582" s="315" t="str">
        <f>IFERROR(__xludf.DUMMYFUNCTION("if(V582="""",C582,if(not(iserror(index(split(C582, "" ""),3))), index(split(C582, "" ""),3),index(split(C582, "" ""),2)))"),"")</f>
        <v/>
      </c>
      <c r="X582" s="38" t="b">
        <f t="shared" si="2"/>
        <v>0</v>
      </c>
      <c r="Y582" s="38"/>
      <c r="Z582" s="40"/>
      <c r="AA582" s="40"/>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row>
    <row r="583">
      <c r="A583" s="58"/>
      <c r="B583" s="341"/>
      <c r="C583" s="60"/>
      <c r="D583" s="60"/>
      <c r="E583" s="58"/>
      <c r="F583" s="58"/>
      <c r="G583" s="58"/>
      <c r="H583" s="33" t="str">
        <f t="shared" si="1"/>
        <v/>
      </c>
      <c r="I583" s="58"/>
      <c r="J583" s="58"/>
      <c r="K583" s="58"/>
      <c r="L583" s="38"/>
      <c r="M583" s="58"/>
      <c r="N583" s="58"/>
      <c r="O583" s="58"/>
      <c r="P583" s="80"/>
      <c r="Q583" s="77"/>
      <c r="R583" s="62"/>
      <c r="S583" s="62"/>
      <c r="T583" s="62"/>
      <c r="U583" s="62"/>
      <c r="V583" s="37" t="str">
        <f>IFERROR(__xludf.DUMMYFUNCTION("if(not(iserror(index(split(C583, "" ""),2))), index(split(C583, "" ""),1),"""")"),"")</f>
        <v/>
      </c>
      <c r="W583" s="315" t="str">
        <f>IFERROR(__xludf.DUMMYFUNCTION("if(V583="""",C583,if(not(iserror(index(split(C583, "" ""),3))), index(split(C583, "" ""),3),index(split(C583, "" ""),2)))"),"")</f>
        <v/>
      </c>
      <c r="X583" s="38" t="b">
        <f t="shared" si="2"/>
        <v>0</v>
      </c>
      <c r="Y583" s="38"/>
      <c r="Z583" s="40"/>
      <c r="AA583" s="40"/>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row>
    <row r="584">
      <c r="A584" s="58"/>
      <c r="B584" s="341"/>
      <c r="C584" s="60"/>
      <c r="D584" s="60"/>
      <c r="E584" s="58"/>
      <c r="F584" s="58"/>
      <c r="G584" s="58"/>
      <c r="H584" s="33" t="str">
        <f t="shared" si="1"/>
        <v/>
      </c>
      <c r="I584" s="58"/>
      <c r="J584" s="58"/>
      <c r="K584" s="58"/>
      <c r="L584" s="38"/>
      <c r="M584" s="58"/>
      <c r="N584" s="58"/>
      <c r="O584" s="58"/>
      <c r="P584" s="80"/>
      <c r="Q584" s="77"/>
      <c r="R584" s="62"/>
      <c r="S584" s="62"/>
      <c r="T584" s="62"/>
      <c r="U584" s="62"/>
      <c r="V584" s="37" t="str">
        <f>IFERROR(__xludf.DUMMYFUNCTION("if(not(iserror(index(split(C584, "" ""),2))), index(split(C584, "" ""),1),"""")"),"")</f>
        <v/>
      </c>
      <c r="W584" s="315" t="str">
        <f>IFERROR(__xludf.DUMMYFUNCTION("if(V584="""",C584,if(not(iserror(index(split(C584, "" ""),3))), index(split(C584, "" ""),3),index(split(C584, "" ""),2)))"),"")</f>
        <v/>
      </c>
      <c r="X584" s="38" t="b">
        <f t="shared" si="2"/>
        <v>0</v>
      </c>
      <c r="Y584" s="38"/>
      <c r="Z584" s="40"/>
      <c r="AA584" s="40"/>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row>
    <row r="585">
      <c r="A585" s="58"/>
      <c r="B585" s="341"/>
      <c r="C585" s="60"/>
      <c r="D585" s="60"/>
      <c r="E585" s="58"/>
      <c r="F585" s="58"/>
      <c r="G585" s="58"/>
      <c r="H585" s="33" t="str">
        <f t="shared" si="1"/>
        <v/>
      </c>
      <c r="I585" s="58"/>
      <c r="J585" s="58"/>
      <c r="K585" s="58"/>
      <c r="L585" s="38"/>
      <c r="M585" s="58"/>
      <c r="N585" s="58"/>
      <c r="O585" s="58"/>
      <c r="P585" s="14"/>
      <c r="Q585" s="77"/>
      <c r="R585" s="62"/>
      <c r="S585" s="62"/>
      <c r="T585" s="62"/>
      <c r="U585" s="62"/>
      <c r="V585" s="37" t="str">
        <f>IFERROR(__xludf.DUMMYFUNCTION("if(not(iserror(index(split(C585, "" ""),2))), index(split(C585, "" ""),1),"""")"),"")</f>
        <v/>
      </c>
      <c r="W585" s="315" t="str">
        <f>IFERROR(__xludf.DUMMYFUNCTION("if(V585="""",C585,if(not(iserror(index(split(C585, "" ""),3))), index(split(C585, "" ""),3),index(split(C585, "" ""),2)))"),"")</f>
        <v/>
      </c>
      <c r="X585" s="38" t="b">
        <f t="shared" si="2"/>
        <v>0</v>
      </c>
      <c r="Y585" s="38"/>
      <c r="Z585" s="40"/>
      <c r="AA585" s="40"/>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row>
    <row r="586">
      <c r="A586" s="58"/>
      <c r="B586" s="341"/>
      <c r="C586" s="60"/>
      <c r="D586" s="60"/>
      <c r="E586" s="58"/>
      <c r="F586" s="58"/>
      <c r="G586" s="58"/>
      <c r="H586" s="33" t="str">
        <f t="shared" si="1"/>
        <v/>
      </c>
      <c r="I586" s="58"/>
      <c r="J586" s="58"/>
      <c r="K586" s="58"/>
      <c r="L586" s="38"/>
      <c r="M586" s="58"/>
      <c r="N586" s="58"/>
      <c r="O586" s="58"/>
      <c r="P586" s="80"/>
      <c r="Q586" s="77"/>
      <c r="R586" s="62"/>
      <c r="S586" s="62"/>
      <c r="T586" s="84"/>
      <c r="U586" s="62"/>
      <c r="V586" s="37" t="str">
        <f>IFERROR(__xludf.DUMMYFUNCTION("if(not(iserror(index(split(C586, "" ""),2))), index(split(C586, "" ""),1),"""")"),"")</f>
        <v/>
      </c>
      <c r="W586" s="315" t="str">
        <f>IFERROR(__xludf.DUMMYFUNCTION("if(V586="""",C586,if(not(iserror(index(split(C586, "" ""),3))), index(split(C586, "" ""),3),index(split(C586, "" ""),2)))"),"")</f>
        <v/>
      </c>
      <c r="X586" s="38" t="b">
        <f t="shared" si="2"/>
        <v>0</v>
      </c>
      <c r="Y586" s="38"/>
      <c r="Z586" s="40"/>
      <c r="AA586" s="40"/>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row>
    <row r="587">
      <c r="A587" s="58"/>
      <c r="B587" s="341"/>
      <c r="C587" s="60"/>
      <c r="D587" s="60"/>
      <c r="E587" s="58"/>
      <c r="F587" s="58"/>
      <c r="G587" s="58"/>
      <c r="H587" s="33" t="str">
        <f t="shared" si="1"/>
        <v/>
      </c>
      <c r="I587" s="58"/>
      <c r="J587" s="58"/>
      <c r="K587" s="58"/>
      <c r="L587" s="38"/>
      <c r="M587" s="58"/>
      <c r="N587" s="58"/>
      <c r="O587" s="58"/>
      <c r="P587" s="80"/>
      <c r="Q587" s="80"/>
      <c r="R587" s="120"/>
      <c r="S587" s="120"/>
      <c r="T587" s="58"/>
      <c r="U587" s="62"/>
      <c r="V587" s="37" t="str">
        <f>IFERROR(__xludf.DUMMYFUNCTION("if(not(iserror(index(split(C587, "" ""),2))), index(split(C587, "" ""),1),"""")"),"")</f>
        <v/>
      </c>
      <c r="W587" s="315" t="str">
        <f>IFERROR(__xludf.DUMMYFUNCTION("if(V587="""",C587,if(not(iserror(index(split(C587, "" ""),3))), index(split(C587, "" ""),3),index(split(C587, "" ""),2)))"),"")</f>
        <v/>
      </c>
      <c r="X587" s="38" t="b">
        <f t="shared" si="2"/>
        <v>0</v>
      </c>
      <c r="Y587" s="38"/>
      <c r="Z587" s="40"/>
      <c r="AA587" s="40"/>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row>
    <row r="588">
      <c r="A588" s="58"/>
      <c r="B588" s="341"/>
      <c r="C588" s="60"/>
      <c r="D588" s="60"/>
      <c r="E588" s="58"/>
      <c r="F588" s="58"/>
      <c r="G588" s="58"/>
      <c r="H588" s="33" t="str">
        <f t="shared" si="1"/>
        <v/>
      </c>
      <c r="I588" s="58"/>
      <c r="J588" s="58"/>
      <c r="K588" s="58"/>
      <c r="L588" s="38"/>
      <c r="M588" s="58"/>
      <c r="N588" s="58"/>
      <c r="O588" s="58"/>
      <c r="P588" s="80"/>
      <c r="Q588" s="80"/>
      <c r="R588" s="120"/>
      <c r="S588" s="120"/>
      <c r="T588" s="58"/>
      <c r="U588" s="62"/>
      <c r="V588" s="37" t="str">
        <f>IFERROR(__xludf.DUMMYFUNCTION("if(not(iserror(index(split(C588, "" ""),2))), index(split(C588, "" ""),1),"""")"),"")</f>
        <v/>
      </c>
      <c r="W588" s="315" t="str">
        <f>IFERROR(__xludf.DUMMYFUNCTION("if(V588="""",C588,if(not(iserror(index(split(C588, "" ""),3))), index(split(C588, "" ""),3),index(split(C588, "" ""),2)))"),"")</f>
        <v/>
      </c>
      <c r="X588" s="38" t="b">
        <f t="shared" si="2"/>
        <v>0</v>
      </c>
      <c r="Y588" s="38"/>
      <c r="Z588" s="40"/>
      <c r="AA588" s="40"/>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row>
    <row r="589">
      <c r="A589" s="58"/>
      <c r="B589" s="341"/>
      <c r="C589" s="60"/>
      <c r="D589" s="60"/>
      <c r="E589" s="58"/>
      <c r="F589" s="58"/>
      <c r="G589" s="58"/>
      <c r="H589" s="33" t="str">
        <f t="shared" si="1"/>
        <v/>
      </c>
      <c r="I589" s="58"/>
      <c r="J589" s="58"/>
      <c r="K589" s="58"/>
      <c r="L589" s="38"/>
      <c r="M589" s="58"/>
      <c r="N589" s="58"/>
      <c r="O589" s="58"/>
      <c r="P589" s="80"/>
      <c r="Q589" s="80"/>
      <c r="R589" s="120"/>
      <c r="S589" s="120"/>
      <c r="T589" s="58"/>
      <c r="U589" s="62"/>
      <c r="V589" s="37" t="str">
        <f>IFERROR(__xludf.DUMMYFUNCTION("if(not(iserror(index(split(C589, "" ""),2))), index(split(C589, "" ""),1),"""")"),"")</f>
        <v/>
      </c>
      <c r="W589" s="315" t="str">
        <f>IFERROR(__xludf.DUMMYFUNCTION("if(V589="""",C589,if(not(iserror(index(split(C589, "" ""),3))), index(split(C589, "" ""),3),index(split(C589, "" ""),2)))"),"")</f>
        <v/>
      </c>
      <c r="X589" s="38" t="b">
        <f t="shared" si="2"/>
        <v>0</v>
      </c>
      <c r="Y589" s="38"/>
      <c r="Z589" s="40"/>
      <c r="AA589" s="40"/>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row>
    <row r="590">
      <c r="A590" s="58"/>
      <c r="B590" s="341"/>
      <c r="C590" s="60"/>
      <c r="D590" s="60"/>
      <c r="E590" s="58"/>
      <c r="F590" s="58"/>
      <c r="G590" s="58"/>
      <c r="H590" s="33" t="str">
        <f t="shared" si="1"/>
        <v/>
      </c>
      <c r="I590" s="58"/>
      <c r="J590" s="58"/>
      <c r="K590" s="58"/>
      <c r="L590" s="38"/>
      <c r="M590" s="58"/>
      <c r="N590" s="58"/>
      <c r="O590" s="58"/>
      <c r="P590" s="80"/>
      <c r="Q590" s="80"/>
      <c r="R590" s="120"/>
      <c r="S590" s="120"/>
      <c r="T590" s="58"/>
      <c r="U590" s="62"/>
      <c r="V590" s="37" t="str">
        <f>IFERROR(__xludf.DUMMYFUNCTION("if(not(iserror(index(split(C590, "" ""),2))), index(split(C590, "" ""),1),"""")"),"")</f>
        <v/>
      </c>
      <c r="W590" s="315" t="str">
        <f>IFERROR(__xludf.DUMMYFUNCTION("if(V590="""",C590,if(not(iserror(index(split(C590, "" ""),3))), index(split(C590, "" ""),3),index(split(C590, "" ""),2)))"),"")</f>
        <v/>
      </c>
      <c r="X590" s="38" t="b">
        <f t="shared" si="2"/>
        <v>0</v>
      </c>
      <c r="Y590" s="38"/>
      <c r="Z590" s="40"/>
      <c r="AA590" s="40"/>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row>
    <row r="591">
      <c r="A591" s="58"/>
      <c r="B591" s="341"/>
      <c r="C591" s="60"/>
      <c r="D591" s="60"/>
      <c r="E591" s="58"/>
      <c r="F591" s="58"/>
      <c r="G591" s="58"/>
      <c r="H591" s="33" t="str">
        <f t="shared" si="1"/>
        <v/>
      </c>
      <c r="I591" s="58"/>
      <c r="J591" s="58"/>
      <c r="K591" s="58"/>
      <c r="L591" s="38"/>
      <c r="M591" s="58"/>
      <c r="N591" s="58"/>
      <c r="O591" s="58"/>
      <c r="P591" s="80"/>
      <c r="Q591" s="80"/>
      <c r="R591" s="120"/>
      <c r="S591" s="120"/>
      <c r="T591" s="58"/>
      <c r="U591" s="62"/>
      <c r="V591" s="37" t="str">
        <f>IFERROR(__xludf.DUMMYFUNCTION("if(not(iserror(index(split(C591, "" ""),2))), index(split(C591, "" ""),1),"""")"),"")</f>
        <v/>
      </c>
      <c r="W591" s="315" t="str">
        <f>IFERROR(__xludf.DUMMYFUNCTION("if(V591="""",C591,if(not(iserror(index(split(C591, "" ""),3))), index(split(C591, "" ""),3),index(split(C591, "" ""),2)))"),"")</f>
        <v/>
      </c>
      <c r="X591" s="38" t="b">
        <f t="shared" si="2"/>
        <v>0</v>
      </c>
      <c r="Y591" s="38"/>
      <c r="Z591" s="40"/>
      <c r="AA591" s="40"/>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row>
    <row r="592">
      <c r="A592" s="58"/>
      <c r="B592" s="341"/>
      <c r="C592" s="60"/>
      <c r="D592" s="60"/>
      <c r="E592" s="58"/>
      <c r="F592" s="58"/>
      <c r="G592" s="58"/>
      <c r="H592" s="33" t="str">
        <f t="shared" si="1"/>
        <v/>
      </c>
      <c r="I592" s="58"/>
      <c r="J592" s="58"/>
      <c r="K592" s="58"/>
      <c r="L592" s="38"/>
      <c r="M592" s="58"/>
      <c r="N592" s="58"/>
      <c r="O592" s="58"/>
      <c r="P592" s="80"/>
      <c r="Q592" s="80"/>
      <c r="R592" s="120"/>
      <c r="S592" s="120"/>
      <c r="T592" s="58"/>
      <c r="U592" s="62"/>
      <c r="V592" s="37" t="str">
        <f>IFERROR(__xludf.DUMMYFUNCTION("if(not(iserror(index(split(C592, "" ""),2))), index(split(C592, "" ""),1),"""")"),"")</f>
        <v/>
      </c>
      <c r="W592" s="315" t="str">
        <f>IFERROR(__xludf.DUMMYFUNCTION("if(V592="""",C592,if(not(iserror(index(split(C592, "" ""),3))), index(split(C592, "" ""),3),index(split(C592, "" ""),2)))"),"")</f>
        <v/>
      </c>
      <c r="X592" s="38" t="b">
        <f t="shared" si="2"/>
        <v>0</v>
      </c>
      <c r="Y592" s="38"/>
      <c r="Z592" s="40"/>
      <c r="AA592" s="40"/>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row>
    <row r="593">
      <c r="A593" s="58"/>
      <c r="B593" s="341"/>
      <c r="C593" s="60"/>
      <c r="D593" s="60"/>
      <c r="E593" s="58"/>
      <c r="F593" s="58"/>
      <c r="G593" s="58"/>
      <c r="H593" s="33" t="str">
        <f t="shared" si="1"/>
        <v/>
      </c>
      <c r="I593" s="58"/>
      <c r="J593" s="58"/>
      <c r="K593" s="58"/>
      <c r="L593" s="38"/>
      <c r="M593" s="58"/>
      <c r="N593" s="58"/>
      <c r="O593" s="58"/>
      <c r="P593" s="80"/>
      <c r="Q593" s="80"/>
      <c r="R593" s="120"/>
      <c r="S593" s="120"/>
      <c r="T593" s="58"/>
      <c r="U593" s="62"/>
      <c r="V593" s="37" t="str">
        <f>IFERROR(__xludf.DUMMYFUNCTION("if(not(iserror(index(split(C593, "" ""),2))), index(split(C593, "" ""),1),"""")"),"")</f>
        <v/>
      </c>
      <c r="W593" s="315" t="str">
        <f>IFERROR(__xludf.DUMMYFUNCTION("if(V593="""",C593,if(not(iserror(index(split(C593, "" ""),3))), index(split(C593, "" ""),3),index(split(C593, "" ""),2)))"),"")</f>
        <v/>
      </c>
      <c r="X593" s="38" t="b">
        <f t="shared" si="2"/>
        <v>0</v>
      </c>
      <c r="Y593" s="38"/>
      <c r="Z593" s="40"/>
      <c r="AA593" s="40"/>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row>
    <row r="594">
      <c r="A594" s="58"/>
      <c r="B594" s="341"/>
      <c r="C594" s="60"/>
      <c r="D594" s="60"/>
      <c r="E594" s="58"/>
      <c r="F594" s="58"/>
      <c r="G594" s="58"/>
      <c r="H594" s="33" t="str">
        <f t="shared" si="1"/>
        <v/>
      </c>
      <c r="I594" s="58"/>
      <c r="J594" s="58"/>
      <c r="K594" s="58"/>
      <c r="L594" s="38"/>
      <c r="M594" s="58"/>
      <c r="N594" s="58"/>
      <c r="O594" s="58"/>
      <c r="P594" s="80"/>
      <c r="Q594" s="77"/>
      <c r="R594" s="120"/>
      <c r="S594" s="120"/>
      <c r="T594" s="58"/>
      <c r="U594" s="62"/>
      <c r="V594" s="37" t="str">
        <f>IFERROR(__xludf.DUMMYFUNCTION("if(not(iserror(index(split(C594, "" ""),2))), index(split(C594, "" ""),1),"""")"),"")</f>
        <v/>
      </c>
      <c r="W594" s="315" t="str">
        <f>IFERROR(__xludf.DUMMYFUNCTION("if(V594="""",C594,if(not(iserror(index(split(C594, "" ""),3))), index(split(C594, "" ""),3),index(split(C594, "" ""),2)))"),"")</f>
        <v/>
      </c>
      <c r="X594" s="38" t="b">
        <f t="shared" si="2"/>
        <v>0</v>
      </c>
      <c r="Y594" s="38"/>
      <c r="Z594" s="40"/>
      <c r="AA594" s="40"/>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row>
    <row r="595">
      <c r="A595" s="58"/>
      <c r="B595" s="341"/>
      <c r="C595" s="60"/>
      <c r="D595" s="60"/>
      <c r="E595" s="58"/>
      <c r="F595" s="58"/>
      <c r="G595" s="58"/>
      <c r="H595" s="33" t="str">
        <f t="shared" si="1"/>
        <v/>
      </c>
      <c r="I595" s="58"/>
      <c r="J595" s="58"/>
      <c r="K595" s="58"/>
      <c r="L595" s="38"/>
      <c r="M595" s="58"/>
      <c r="N595" s="58"/>
      <c r="O595" s="58"/>
      <c r="P595" s="80"/>
      <c r="Q595" s="80"/>
      <c r="R595" s="58"/>
      <c r="S595" s="58"/>
      <c r="T595" s="84"/>
      <c r="U595" s="62"/>
      <c r="V595" s="37" t="str">
        <f>IFERROR(__xludf.DUMMYFUNCTION("if(not(iserror(index(split(C595, "" ""),2))), index(split(C595, "" ""),1),"""")"),"")</f>
        <v/>
      </c>
      <c r="W595" s="315" t="str">
        <f>IFERROR(__xludf.DUMMYFUNCTION("if(V595="""",C595,if(not(iserror(index(split(C595, "" ""),3))), index(split(C595, "" ""),3),index(split(C595, "" ""),2)))"),"")</f>
        <v/>
      </c>
      <c r="X595" s="38" t="b">
        <f t="shared" si="2"/>
        <v>0</v>
      </c>
      <c r="Y595" s="38"/>
      <c r="Z595" s="40"/>
      <c r="AA595" s="40"/>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row>
    <row r="596">
      <c r="A596" s="58"/>
      <c r="B596" s="341"/>
      <c r="C596" s="60"/>
      <c r="D596" s="60"/>
      <c r="E596" s="58"/>
      <c r="F596" s="58"/>
      <c r="G596" s="58"/>
      <c r="H596" s="33" t="str">
        <f t="shared" si="1"/>
        <v/>
      </c>
      <c r="I596" s="58"/>
      <c r="J596" s="58"/>
      <c r="K596" s="58"/>
      <c r="L596" s="38"/>
      <c r="M596" s="58"/>
      <c r="N596" s="58"/>
      <c r="O596" s="58"/>
      <c r="P596" s="80"/>
      <c r="Q596" s="77"/>
      <c r="R596" s="58"/>
      <c r="S596" s="58"/>
      <c r="T596" s="84"/>
      <c r="U596" s="62"/>
      <c r="V596" s="37" t="str">
        <f>IFERROR(__xludf.DUMMYFUNCTION("if(not(iserror(index(split(C596, "" ""),2))), index(split(C596, "" ""),1),"""")"),"")</f>
        <v/>
      </c>
      <c r="W596" s="315" t="str">
        <f>IFERROR(__xludf.DUMMYFUNCTION("if(V596="""",C596,if(not(iserror(index(split(C596, "" ""),3))), index(split(C596, "" ""),3),index(split(C596, "" ""),2)))"),"")</f>
        <v/>
      </c>
      <c r="X596" s="38" t="b">
        <f t="shared" si="2"/>
        <v>0</v>
      </c>
      <c r="Y596" s="38"/>
      <c r="Z596" s="40"/>
      <c r="AA596" s="40"/>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row>
    <row r="597">
      <c r="A597" s="91"/>
      <c r="B597" s="383"/>
      <c r="C597" s="146"/>
      <c r="D597" s="146"/>
      <c r="E597" s="91"/>
      <c r="F597" s="91"/>
      <c r="G597" s="91"/>
      <c r="H597" s="33" t="str">
        <f t="shared" si="1"/>
        <v/>
      </c>
      <c r="I597" s="91"/>
      <c r="J597" s="91"/>
      <c r="K597" s="91"/>
      <c r="L597" s="38"/>
      <c r="M597" s="91"/>
      <c r="N597" s="91"/>
      <c r="O597" s="91"/>
      <c r="P597" s="95"/>
      <c r="Q597" s="95"/>
      <c r="R597" s="58"/>
      <c r="S597" s="58"/>
      <c r="T597" s="84"/>
      <c r="U597" s="62"/>
      <c r="V597" s="37" t="str">
        <f>IFERROR(__xludf.DUMMYFUNCTION("if(not(iserror(index(split(C597, "" ""),2))), index(split(C597, "" ""),1),"""")"),"")</f>
        <v/>
      </c>
      <c r="W597" s="315" t="str">
        <f>IFERROR(__xludf.DUMMYFUNCTION("if(V597="""",C597,if(not(iserror(index(split(C597, "" ""),3))), index(split(C597, "" ""),3),index(split(C597, "" ""),2)))"),"")</f>
        <v/>
      </c>
      <c r="X597" s="38" t="b">
        <f t="shared" si="2"/>
        <v>0</v>
      </c>
      <c r="Y597" s="38"/>
      <c r="Z597" s="40"/>
      <c r="AA597" s="40"/>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row>
    <row r="598">
      <c r="A598" s="58"/>
      <c r="B598" s="341"/>
      <c r="C598" s="60"/>
      <c r="D598" s="60"/>
      <c r="E598" s="58"/>
      <c r="F598" s="58"/>
      <c r="G598" s="58"/>
      <c r="H598" s="33" t="str">
        <f t="shared" si="1"/>
        <v/>
      </c>
      <c r="I598" s="58"/>
      <c r="J598" s="58"/>
      <c r="K598" s="58"/>
      <c r="L598" s="38"/>
      <c r="M598" s="58"/>
      <c r="N598" s="58"/>
      <c r="O598" s="58"/>
      <c r="P598" s="80"/>
      <c r="Q598" s="77"/>
      <c r="R598" s="62"/>
      <c r="S598" s="62"/>
      <c r="T598" s="62"/>
      <c r="U598" s="62"/>
      <c r="V598" s="37" t="str">
        <f>IFERROR(__xludf.DUMMYFUNCTION("if(not(iserror(index(split(C598, "" ""),2))), index(split(C598, "" ""),1),"""")"),"")</f>
        <v/>
      </c>
      <c r="W598" s="315" t="str">
        <f>IFERROR(__xludf.DUMMYFUNCTION("if(V598="""",C598,if(not(iserror(index(split(C598, "" ""),3))), index(split(C598, "" ""),3),index(split(C598, "" ""),2)))"),"")</f>
        <v/>
      </c>
      <c r="X598" s="38" t="b">
        <f t="shared" si="2"/>
        <v>0</v>
      </c>
      <c r="Y598" s="38"/>
      <c r="Z598" s="40"/>
      <c r="AA598" s="40"/>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row>
    <row r="599">
      <c r="A599" s="58"/>
      <c r="B599" s="341"/>
      <c r="C599" s="60"/>
      <c r="D599" s="60"/>
      <c r="E599" s="58"/>
      <c r="F599" s="58"/>
      <c r="G599" s="58"/>
      <c r="H599" s="33" t="str">
        <f t="shared" si="1"/>
        <v/>
      </c>
      <c r="I599" s="58"/>
      <c r="J599" s="58"/>
      <c r="K599" s="58"/>
      <c r="L599" s="38"/>
      <c r="M599" s="58"/>
      <c r="N599" s="58"/>
      <c r="O599" s="58"/>
      <c r="P599" s="80"/>
      <c r="Q599" s="77"/>
      <c r="R599" s="62"/>
      <c r="S599" s="62"/>
      <c r="T599" s="62"/>
      <c r="U599" s="62"/>
      <c r="V599" s="37" t="str">
        <f>IFERROR(__xludf.DUMMYFUNCTION("if(not(iserror(index(split(C599, "" ""),2))), index(split(C599, "" ""),1),"""")"),"")</f>
        <v/>
      </c>
      <c r="W599" s="315" t="str">
        <f>IFERROR(__xludf.DUMMYFUNCTION("if(V599="""",C599,if(not(iserror(index(split(C599, "" ""),3))), index(split(C599, "" ""),3),index(split(C599, "" ""),2)))"),"")</f>
        <v/>
      </c>
      <c r="X599" s="38" t="b">
        <f t="shared" si="2"/>
        <v>0</v>
      </c>
      <c r="Y599" s="38"/>
      <c r="Z599" s="40"/>
      <c r="AA599" s="40"/>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row>
    <row r="600">
      <c r="A600" s="58"/>
      <c r="B600" s="341"/>
      <c r="C600" s="60"/>
      <c r="D600" s="60"/>
      <c r="E600" s="58"/>
      <c r="F600" s="58"/>
      <c r="G600" s="58"/>
      <c r="H600" s="33" t="str">
        <f t="shared" si="1"/>
        <v/>
      </c>
      <c r="I600" s="58"/>
      <c r="J600" s="58"/>
      <c r="K600" s="58"/>
      <c r="L600" s="38"/>
      <c r="M600" s="58"/>
      <c r="N600" s="58"/>
      <c r="O600" s="58"/>
      <c r="P600" s="80"/>
      <c r="Q600" s="77"/>
      <c r="R600" s="62"/>
      <c r="S600" s="62"/>
      <c r="T600" s="62"/>
      <c r="U600" s="62"/>
      <c r="V600" s="37" t="str">
        <f>IFERROR(__xludf.DUMMYFUNCTION("if(not(iserror(index(split(C600, "" ""),2))), index(split(C600, "" ""),1),"""")"),"")</f>
        <v/>
      </c>
      <c r="W600" s="315" t="str">
        <f>IFERROR(__xludf.DUMMYFUNCTION("if(V600="""",C600,if(not(iserror(index(split(C600, "" ""),3))), index(split(C600, "" ""),3),index(split(C600, "" ""),2)))"),"")</f>
        <v/>
      </c>
      <c r="X600" s="38" t="b">
        <f t="shared" si="2"/>
        <v>0</v>
      </c>
      <c r="Y600" s="38"/>
      <c r="Z600" s="40"/>
      <c r="AA600" s="40"/>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row>
    <row r="601">
      <c r="A601" s="58"/>
      <c r="B601" s="341"/>
      <c r="C601" s="60"/>
      <c r="D601" s="60"/>
      <c r="E601" s="58"/>
      <c r="F601" s="58"/>
      <c r="G601" s="58"/>
      <c r="H601" s="33" t="str">
        <f t="shared" si="1"/>
        <v/>
      </c>
      <c r="I601" s="58"/>
      <c r="J601" s="58"/>
      <c r="K601" s="58"/>
      <c r="L601" s="38"/>
      <c r="M601" s="58"/>
      <c r="N601" s="58"/>
      <c r="O601" s="58"/>
      <c r="P601" s="80"/>
      <c r="Q601" s="77"/>
      <c r="R601" s="62"/>
      <c r="S601" s="62"/>
      <c r="T601" s="62"/>
      <c r="U601" s="62"/>
      <c r="V601" s="37" t="str">
        <f>IFERROR(__xludf.DUMMYFUNCTION("if(not(iserror(index(split(C601, "" ""),2))), index(split(C601, "" ""),1),"""")"),"")</f>
        <v/>
      </c>
      <c r="W601" s="315" t="str">
        <f>IFERROR(__xludf.DUMMYFUNCTION("if(V601="""",C601,if(not(iserror(index(split(C601, "" ""),3))), index(split(C601, "" ""),3),index(split(C601, "" ""),2)))"),"")</f>
        <v/>
      </c>
      <c r="X601" s="38" t="b">
        <f t="shared" si="2"/>
        <v>0</v>
      </c>
      <c r="Y601" s="38"/>
      <c r="Z601" s="40"/>
      <c r="AA601" s="40"/>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row>
    <row r="602">
      <c r="A602" s="58"/>
      <c r="B602" s="341"/>
      <c r="C602" s="60"/>
      <c r="D602" s="60"/>
      <c r="E602" s="58"/>
      <c r="F602" s="58"/>
      <c r="G602" s="58"/>
      <c r="H602" s="33" t="str">
        <f t="shared" si="1"/>
        <v/>
      </c>
      <c r="I602" s="58"/>
      <c r="J602" s="58"/>
      <c r="K602" s="58"/>
      <c r="L602" s="38"/>
      <c r="M602" s="58"/>
      <c r="N602" s="58"/>
      <c r="O602" s="58"/>
      <c r="P602" s="80"/>
      <c r="Q602" s="77"/>
      <c r="R602" s="62"/>
      <c r="S602" s="62"/>
      <c r="T602" s="62"/>
      <c r="U602" s="62"/>
      <c r="V602" s="37" t="str">
        <f>IFERROR(__xludf.DUMMYFUNCTION("if(not(iserror(index(split(C602, "" ""),2))), index(split(C602, "" ""),1),"""")"),"")</f>
        <v/>
      </c>
      <c r="W602" s="315" t="str">
        <f>IFERROR(__xludf.DUMMYFUNCTION("if(V602="""",C602,if(not(iserror(index(split(C602, "" ""),3))), index(split(C602, "" ""),3),index(split(C602, "" ""),2)))"),"")</f>
        <v/>
      </c>
      <c r="X602" s="38" t="b">
        <f t="shared" si="2"/>
        <v>0</v>
      </c>
      <c r="Y602" s="38"/>
      <c r="Z602" s="40"/>
      <c r="AA602" s="40"/>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row>
    <row r="603">
      <c r="A603" s="58"/>
      <c r="B603" s="341"/>
      <c r="C603" s="60"/>
      <c r="D603" s="60"/>
      <c r="E603" s="58"/>
      <c r="F603" s="58"/>
      <c r="G603" s="58"/>
      <c r="H603" s="33" t="str">
        <f t="shared" si="1"/>
        <v/>
      </c>
      <c r="I603" s="58"/>
      <c r="J603" s="58"/>
      <c r="K603" s="58"/>
      <c r="L603" s="38"/>
      <c r="M603" s="58"/>
      <c r="N603" s="58"/>
      <c r="O603" s="58"/>
      <c r="P603" s="14"/>
      <c r="Q603" s="77"/>
      <c r="R603" s="62"/>
      <c r="S603" s="62"/>
      <c r="T603" s="62"/>
      <c r="U603" s="62"/>
      <c r="V603" s="37" t="str">
        <f>IFERROR(__xludf.DUMMYFUNCTION("if(not(iserror(index(split(C603, "" ""),2))), index(split(C603, "" ""),1),"""")"),"")</f>
        <v/>
      </c>
      <c r="W603" s="315" t="str">
        <f>IFERROR(__xludf.DUMMYFUNCTION("if(V603="""",C603,if(not(iserror(index(split(C603, "" ""),3))), index(split(C603, "" ""),3),index(split(C603, "" ""),2)))"),"")</f>
        <v/>
      </c>
      <c r="X603" s="38" t="b">
        <f t="shared" si="2"/>
        <v>0</v>
      </c>
      <c r="Y603" s="38"/>
      <c r="Z603" s="40"/>
      <c r="AA603" s="40"/>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row>
    <row r="604">
      <c r="A604" s="58"/>
      <c r="B604" s="341"/>
      <c r="C604" s="60"/>
      <c r="D604" s="60"/>
      <c r="E604" s="58"/>
      <c r="F604" s="58"/>
      <c r="G604" s="58"/>
      <c r="H604" s="33" t="str">
        <f t="shared" si="1"/>
        <v/>
      </c>
      <c r="I604" s="58"/>
      <c r="J604" s="58"/>
      <c r="K604" s="58"/>
      <c r="L604" s="38"/>
      <c r="M604" s="58"/>
      <c r="N604" s="58"/>
      <c r="O604" s="58"/>
      <c r="P604" s="80"/>
      <c r="Q604" s="77"/>
      <c r="R604" s="58"/>
      <c r="S604" s="58"/>
      <c r="T604" s="84"/>
      <c r="U604" s="62"/>
      <c r="V604" s="37" t="str">
        <f>IFERROR(__xludf.DUMMYFUNCTION("if(not(iserror(index(split(C604, "" ""),2))), index(split(C604, "" ""),1),"""")"),"")</f>
        <v/>
      </c>
      <c r="W604" s="315" t="str">
        <f>IFERROR(__xludf.DUMMYFUNCTION("if(V604="""",C604,if(not(iserror(index(split(C604, "" ""),3))), index(split(C604, "" ""),3),index(split(C604, "" ""),2)))"),"")</f>
        <v/>
      </c>
      <c r="X604" s="38" t="b">
        <f t="shared" si="2"/>
        <v>0</v>
      </c>
      <c r="Y604" s="38"/>
      <c r="Z604" s="40"/>
      <c r="AA604" s="40"/>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row>
    <row r="605">
      <c r="A605" s="91"/>
      <c r="B605" s="383"/>
      <c r="C605" s="146"/>
      <c r="D605" s="146"/>
      <c r="E605" s="91"/>
      <c r="F605" s="91"/>
      <c r="G605" s="91"/>
      <c r="H605" s="33" t="str">
        <f t="shared" si="1"/>
        <v/>
      </c>
      <c r="I605" s="91"/>
      <c r="J605" s="91"/>
      <c r="K605" s="91"/>
      <c r="L605" s="38"/>
      <c r="M605" s="91"/>
      <c r="N605" s="91"/>
      <c r="O605" s="91"/>
      <c r="P605" s="95"/>
      <c r="Q605" s="14"/>
      <c r="R605" s="58"/>
      <c r="S605" s="58"/>
      <c r="T605" s="84"/>
      <c r="U605" s="62"/>
      <c r="V605" s="37" t="str">
        <f>IFERROR(__xludf.DUMMYFUNCTION("if(not(iserror(index(split(C605, "" ""),2))), index(split(C605, "" ""),1),"""")"),"")</f>
        <v/>
      </c>
      <c r="W605" s="315" t="str">
        <f>IFERROR(__xludf.DUMMYFUNCTION("if(V605="""",C605,if(not(iserror(index(split(C605, "" ""),3))), index(split(C605, "" ""),3),index(split(C605, "" ""),2)))"),"")</f>
        <v/>
      </c>
      <c r="X605" s="38" t="b">
        <f t="shared" si="2"/>
        <v>0</v>
      </c>
      <c r="Y605" s="38"/>
      <c r="Z605" s="40"/>
      <c r="AA605" s="40"/>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row>
    <row r="606">
      <c r="A606" s="58"/>
      <c r="B606" s="341"/>
      <c r="C606" s="60"/>
      <c r="D606" s="60"/>
      <c r="E606" s="58"/>
      <c r="F606" s="58"/>
      <c r="G606" s="58"/>
      <c r="H606" s="33" t="str">
        <f t="shared" si="1"/>
        <v/>
      </c>
      <c r="I606" s="58"/>
      <c r="J606" s="58"/>
      <c r="K606" s="58"/>
      <c r="L606" s="38"/>
      <c r="M606" s="58"/>
      <c r="N606" s="58"/>
      <c r="O606" s="58"/>
      <c r="P606" s="80"/>
      <c r="Q606" s="80"/>
      <c r="R606" s="62"/>
      <c r="S606" s="62"/>
      <c r="T606" s="84"/>
      <c r="U606" s="62"/>
      <c r="V606" s="37" t="str">
        <f>IFERROR(__xludf.DUMMYFUNCTION("if(not(iserror(index(split(C606, "" ""),2))), index(split(C606, "" ""),1),"""")"),"")</f>
        <v/>
      </c>
      <c r="W606" s="315" t="str">
        <f>IFERROR(__xludf.DUMMYFUNCTION("if(V606="""",C606,if(not(iserror(index(split(C606, "" ""),3))), index(split(C606, "" ""),3),index(split(C606, "" ""),2)))"),"")</f>
        <v/>
      </c>
      <c r="X606" s="38" t="b">
        <f t="shared" si="2"/>
        <v>0</v>
      </c>
      <c r="Y606" s="38"/>
      <c r="Z606" s="40"/>
      <c r="AA606" s="40"/>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row>
    <row r="607">
      <c r="A607" s="58"/>
      <c r="B607" s="341"/>
      <c r="C607" s="60"/>
      <c r="D607" s="60"/>
      <c r="E607" s="58"/>
      <c r="F607" s="58"/>
      <c r="G607" s="58"/>
      <c r="H607" s="33" t="str">
        <f t="shared" si="1"/>
        <v/>
      </c>
      <c r="I607" s="58"/>
      <c r="J607" s="58"/>
      <c r="K607" s="58"/>
      <c r="L607" s="38"/>
      <c r="M607" s="58"/>
      <c r="N607" s="58"/>
      <c r="O607" s="58"/>
      <c r="P607" s="102"/>
      <c r="Q607" s="80"/>
      <c r="R607" s="62"/>
      <c r="S607" s="58"/>
      <c r="T607" s="58"/>
      <c r="U607" s="62"/>
      <c r="V607" s="37" t="str">
        <f>IFERROR(__xludf.DUMMYFUNCTION("if(not(iserror(index(split(C607, "" ""),2))), index(split(C607, "" ""),1),"""")"),"")</f>
        <v/>
      </c>
      <c r="W607" s="315" t="str">
        <f>IFERROR(__xludf.DUMMYFUNCTION("if(V607="""",C607,if(not(iserror(index(split(C607, "" ""),3))), index(split(C607, "" ""),3),index(split(C607, "" ""),2)))"),"")</f>
        <v/>
      </c>
      <c r="X607" s="38" t="b">
        <f t="shared" si="2"/>
        <v>0</v>
      </c>
      <c r="Y607" s="38"/>
      <c r="Z607" s="40"/>
      <c r="AA607" s="40"/>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row>
    <row r="608">
      <c r="A608" s="58"/>
      <c r="B608" s="341"/>
      <c r="C608" s="60"/>
      <c r="D608" s="60"/>
      <c r="E608" s="58"/>
      <c r="F608" s="58"/>
      <c r="G608" s="58"/>
      <c r="H608" s="33" t="str">
        <f t="shared" si="1"/>
        <v/>
      </c>
      <c r="I608" s="58"/>
      <c r="J608" s="58"/>
      <c r="K608" s="58"/>
      <c r="L608" s="38"/>
      <c r="M608" s="58"/>
      <c r="N608" s="58"/>
      <c r="O608" s="58"/>
      <c r="P608" s="210"/>
      <c r="Q608" s="77"/>
      <c r="R608" s="62"/>
      <c r="S608" s="62"/>
      <c r="T608" s="62"/>
      <c r="U608" s="62"/>
      <c r="V608" s="37" t="str">
        <f>IFERROR(__xludf.DUMMYFUNCTION("if(not(iserror(index(split(C608, "" ""),2))), index(split(C608, "" ""),1),"""")"),"")</f>
        <v/>
      </c>
      <c r="W608" s="315" t="str">
        <f>IFERROR(__xludf.DUMMYFUNCTION("if(V608="""",C608,if(not(iserror(index(split(C608, "" ""),3))), index(split(C608, "" ""),3),index(split(C608, "" ""),2)))"),"")</f>
        <v/>
      </c>
      <c r="X608" s="38" t="b">
        <f t="shared" si="2"/>
        <v>0</v>
      </c>
      <c r="Y608" s="38"/>
      <c r="Z608" s="40"/>
      <c r="AA608" s="40"/>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row>
    <row r="609">
      <c r="A609" s="58"/>
      <c r="B609" s="341"/>
      <c r="C609" s="60"/>
      <c r="D609" s="60"/>
      <c r="E609" s="58"/>
      <c r="F609" s="58"/>
      <c r="G609" s="58"/>
      <c r="H609" s="33" t="str">
        <f t="shared" si="1"/>
        <v/>
      </c>
      <c r="I609" s="58"/>
      <c r="J609" s="58"/>
      <c r="K609" s="58"/>
      <c r="L609" s="38"/>
      <c r="M609" s="58"/>
      <c r="N609" s="58"/>
      <c r="O609" s="58"/>
      <c r="P609" s="80"/>
      <c r="Q609" s="77"/>
      <c r="R609" s="58"/>
      <c r="S609" s="62"/>
      <c r="T609" s="84"/>
      <c r="U609" s="62"/>
      <c r="V609" s="37" t="str">
        <f>IFERROR(__xludf.DUMMYFUNCTION("if(not(iserror(index(split(C609, "" ""),2))), index(split(C609, "" ""),1),"""")"),"")</f>
        <v/>
      </c>
      <c r="W609" s="315" t="str">
        <f>IFERROR(__xludf.DUMMYFUNCTION("if(V609="""",C609,if(not(iserror(index(split(C609, "" ""),3))), index(split(C609, "" ""),3),index(split(C609, "" ""),2)))"),"")</f>
        <v/>
      </c>
      <c r="X609" s="38" t="b">
        <f t="shared" si="2"/>
        <v>0</v>
      </c>
      <c r="Y609" s="38"/>
      <c r="Z609" s="40"/>
      <c r="AA609" s="40"/>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row>
    <row r="610">
      <c r="A610" s="37"/>
      <c r="B610" s="341"/>
      <c r="C610" s="60"/>
      <c r="D610" s="60"/>
      <c r="E610" s="58"/>
      <c r="F610" s="58"/>
      <c r="G610" s="58"/>
      <c r="H610" s="33" t="str">
        <f t="shared" si="1"/>
        <v/>
      </c>
      <c r="I610" s="58"/>
      <c r="J610" s="58"/>
      <c r="K610" s="58"/>
      <c r="L610" s="38"/>
      <c r="M610" s="58"/>
      <c r="N610" s="58"/>
      <c r="O610" s="58"/>
      <c r="P610" s="80"/>
      <c r="Q610" s="77"/>
      <c r="R610" s="58"/>
      <c r="S610" s="62"/>
      <c r="T610" s="84"/>
      <c r="U610" s="62"/>
      <c r="V610" s="37" t="str">
        <f>IFERROR(__xludf.DUMMYFUNCTION("if(not(iserror(index(split(C610, "" ""),2))), index(split(C610, "" ""),1),"""")"),"")</f>
        <v/>
      </c>
      <c r="W610" s="315" t="str">
        <f>IFERROR(__xludf.DUMMYFUNCTION("if(V610="""",C610,if(not(iserror(index(split(C610, "" ""),3))), index(split(C610, "" ""),3),index(split(C610, "" ""),2)))"),"")</f>
        <v/>
      </c>
      <c r="X610" s="38" t="b">
        <f t="shared" si="2"/>
        <v>0</v>
      </c>
      <c r="Y610" s="38"/>
      <c r="Z610" s="40"/>
      <c r="AA610" s="40"/>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row>
    <row r="611">
      <c r="A611" s="37"/>
      <c r="B611" s="341"/>
      <c r="C611" s="60"/>
      <c r="D611" s="60"/>
      <c r="E611" s="58"/>
      <c r="F611" s="58"/>
      <c r="G611" s="58"/>
      <c r="H611" s="33" t="str">
        <f t="shared" si="1"/>
        <v/>
      </c>
      <c r="I611" s="58"/>
      <c r="J611" s="58"/>
      <c r="K611" s="58"/>
      <c r="L611" s="38"/>
      <c r="M611" s="58"/>
      <c r="N611" s="58"/>
      <c r="O611" s="58"/>
      <c r="P611" s="80"/>
      <c r="Q611" s="77"/>
      <c r="R611" s="62"/>
      <c r="S611" s="62"/>
      <c r="T611" s="62"/>
      <c r="U611" s="62"/>
      <c r="V611" s="37" t="str">
        <f>IFERROR(__xludf.DUMMYFUNCTION("if(not(iserror(index(split(C611, "" ""),2))), index(split(C611, "" ""),1),"""")"),"")</f>
        <v/>
      </c>
      <c r="W611" s="315" t="str">
        <f>IFERROR(__xludf.DUMMYFUNCTION("if(V611="""",C611,if(not(iserror(index(split(C611, "" ""),3))), index(split(C611, "" ""),3),index(split(C611, "" ""),2)))"),"")</f>
        <v/>
      </c>
      <c r="X611" s="38" t="b">
        <f t="shared" si="2"/>
        <v>0</v>
      </c>
      <c r="Y611" s="38"/>
      <c r="Z611" s="40"/>
      <c r="AA611" s="40"/>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row>
    <row r="612">
      <c r="A612" s="37"/>
      <c r="B612" s="341"/>
      <c r="C612" s="60"/>
      <c r="D612" s="60"/>
      <c r="E612" s="58"/>
      <c r="F612" s="58"/>
      <c r="G612" s="58"/>
      <c r="H612" s="33" t="str">
        <f t="shared" si="1"/>
        <v/>
      </c>
      <c r="I612" s="58"/>
      <c r="J612" s="58"/>
      <c r="K612" s="58"/>
      <c r="L612" s="38"/>
      <c r="M612" s="58"/>
      <c r="N612" s="58"/>
      <c r="O612" s="58"/>
      <c r="P612" s="80"/>
      <c r="Q612" s="77"/>
      <c r="R612" s="62"/>
      <c r="S612" s="62"/>
      <c r="T612" s="58"/>
      <c r="U612" s="62"/>
      <c r="V612" s="37" t="str">
        <f>IFERROR(__xludf.DUMMYFUNCTION("if(not(iserror(index(split(C612, "" ""),2))), index(split(C612, "" ""),1),"""")"),"")</f>
        <v/>
      </c>
      <c r="W612" s="315" t="str">
        <f>IFERROR(__xludf.DUMMYFUNCTION("if(V612="""",C612,if(not(iserror(index(split(C612, "" ""),3))), index(split(C612, "" ""),3),index(split(C612, "" ""),2)))"),"")</f>
        <v/>
      </c>
      <c r="X612" s="38" t="b">
        <f t="shared" si="2"/>
        <v>0</v>
      </c>
      <c r="Y612" s="38"/>
      <c r="Z612" s="40"/>
      <c r="AA612" s="40"/>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row>
    <row r="613">
      <c r="A613" s="37"/>
      <c r="B613" s="341"/>
      <c r="C613" s="60"/>
      <c r="D613" s="60"/>
      <c r="E613" s="58"/>
      <c r="F613" s="58"/>
      <c r="G613" s="58"/>
      <c r="H613" s="33" t="str">
        <f t="shared" si="1"/>
        <v/>
      </c>
      <c r="I613" s="58"/>
      <c r="J613" s="58"/>
      <c r="K613" s="58"/>
      <c r="L613" s="38"/>
      <c r="M613" s="58"/>
      <c r="N613" s="58"/>
      <c r="O613" s="58"/>
      <c r="P613" s="80"/>
      <c r="Q613" s="77"/>
      <c r="R613" s="62"/>
      <c r="S613" s="62"/>
      <c r="T613" s="62"/>
      <c r="U613" s="62"/>
      <c r="V613" s="37" t="str">
        <f>IFERROR(__xludf.DUMMYFUNCTION("if(not(iserror(index(split(C613, "" ""),2))), index(split(C613, "" ""),1),"""")"),"")</f>
        <v/>
      </c>
      <c r="W613" s="315" t="str">
        <f>IFERROR(__xludf.DUMMYFUNCTION("if(V613="""",C613,if(not(iserror(index(split(C613, "" ""),3))), index(split(C613, "" ""),3),index(split(C613, "" ""),2)))"),"")</f>
        <v/>
      </c>
      <c r="X613" s="38" t="b">
        <f t="shared" si="2"/>
        <v>0</v>
      </c>
      <c r="Y613" s="38"/>
      <c r="Z613" s="40"/>
      <c r="AA613" s="40"/>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row>
    <row r="614">
      <c r="A614" s="37"/>
      <c r="B614" s="341"/>
      <c r="C614" s="60"/>
      <c r="D614" s="60"/>
      <c r="E614" s="58"/>
      <c r="F614" s="58"/>
      <c r="G614" s="58"/>
      <c r="H614" s="33" t="str">
        <f t="shared" si="1"/>
        <v/>
      </c>
      <c r="I614" s="58"/>
      <c r="J614" s="58"/>
      <c r="K614" s="58"/>
      <c r="L614" s="38"/>
      <c r="M614" s="58"/>
      <c r="N614" s="58"/>
      <c r="O614" s="58"/>
      <c r="P614" s="80"/>
      <c r="Q614" s="77"/>
      <c r="R614" s="58"/>
      <c r="S614" s="62"/>
      <c r="T614" s="84"/>
      <c r="U614" s="62"/>
      <c r="V614" s="37" t="str">
        <f>IFERROR(__xludf.DUMMYFUNCTION("if(not(iserror(index(split(C614, "" ""),2))), index(split(C614, "" ""),1),"""")"),"")</f>
        <v/>
      </c>
      <c r="W614" s="315" t="str">
        <f>IFERROR(__xludf.DUMMYFUNCTION("if(V614="""",C614,if(not(iserror(index(split(C614, "" ""),3))), index(split(C614, "" ""),3),index(split(C614, "" ""),2)))"),"")</f>
        <v/>
      </c>
      <c r="X614" s="38" t="b">
        <f t="shared" si="2"/>
        <v>0</v>
      </c>
      <c r="Y614" s="38"/>
      <c r="Z614" s="40"/>
      <c r="AA614" s="40"/>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row>
    <row r="615">
      <c r="A615" s="37"/>
      <c r="B615" s="341"/>
      <c r="C615" s="60"/>
      <c r="D615" s="60"/>
      <c r="E615" s="58"/>
      <c r="F615" s="58"/>
      <c r="G615" s="58"/>
      <c r="H615" s="33" t="str">
        <f t="shared" si="1"/>
        <v/>
      </c>
      <c r="I615" s="58"/>
      <c r="J615" s="58"/>
      <c r="K615" s="58"/>
      <c r="L615" s="38"/>
      <c r="M615" s="58"/>
      <c r="N615" s="58"/>
      <c r="O615" s="58"/>
      <c r="P615" s="80"/>
      <c r="Q615" s="80"/>
      <c r="R615" s="58"/>
      <c r="S615" s="62"/>
      <c r="T615" s="58"/>
      <c r="U615" s="62"/>
      <c r="V615" s="37" t="str">
        <f>IFERROR(__xludf.DUMMYFUNCTION("if(not(iserror(index(split(C615, "" ""),2))), index(split(C615, "" ""),1),"""")"),"")</f>
        <v/>
      </c>
      <c r="W615" s="315" t="str">
        <f>IFERROR(__xludf.DUMMYFUNCTION("if(V615="""",C615,if(not(iserror(index(split(C615, "" ""),3))), index(split(C615, "" ""),3),index(split(C615, "" ""),2)))"),"")</f>
        <v/>
      </c>
      <c r="X615" s="38" t="b">
        <f t="shared" si="2"/>
        <v>0</v>
      </c>
      <c r="Y615" s="38"/>
      <c r="Z615" s="40"/>
      <c r="AA615" s="40"/>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row>
    <row r="616">
      <c r="A616" s="58"/>
      <c r="B616" s="341"/>
      <c r="C616" s="60"/>
      <c r="D616" s="60"/>
      <c r="E616" s="58"/>
      <c r="F616" s="58"/>
      <c r="G616" s="58"/>
      <c r="H616" s="33" t="str">
        <f t="shared" si="1"/>
        <v/>
      </c>
      <c r="I616" s="58"/>
      <c r="J616" s="58"/>
      <c r="K616" s="58"/>
      <c r="L616" s="38"/>
      <c r="M616" s="58"/>
      <c r="N616" s="58"/>
      <c r="O616" s="58"/>
      <c r="P616" s="80"/>
      <c r="Q616" s="77"/>
      <c r="R616" s="58"/>
      <c r="S616" s="58"/>
      <c r="T616" s="84"/>
      <c r="U616" s="62"/>
      <c r="V616" s="37" t="str">
        <f>IFERROR(__xludf.DUMMYFUNCTION("if(not(iserror(index(split(C616, "" ""),2))), index(split(C616, "" ""),1),"""")"),"")</f>
        <v/>
      </c>
      <c r="W616" s="315" t="str">
        <f>IFERROR(__xludf.DUMMYFUNCTION("if(V616="""",C616,if(not(iserror(index(split(C616, "" ""),3))), index(split(C616, "" ""),3),index(split(C616, "" ""),2)))"),"")</f>
        <v/>
      </c>
      <c r="X616" s="38" t="b">
        <f t="shared" si="2"/>
        <v>0</v>
      </c>
      <c r="Y616" s="38"/>
      <c r="Z616" s="40"/>
      <c r="AA616" s="40"/>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row>
    <row r="617">
      <c r="A617" s="58"/>
      <c r="B617" s="341"/>
      <c r="C617" s="60"/>
      <c r="D617" s="60"/>
      <c r="E617" s="58"/>
      <c r="F617" s="58"/>
      <c r="G617" s="58"/>
      <c r="H617" s="33" t="str">
        <f t="shared" si="1"/>
        <v/>
      </c>
      <c r="I617" s="58"/>
      <c r="J617" s="58"/>
      <c r="K617" s="58"/>
      <c r="L617" s="38"/>
      <c r="M617" s="58"/>
      <c r="N617" s="58"/>
      <c r="O617" s="58"/>
      <c r="P617" s="80"/>
      <c r="Q617" s="77"/>
      <c r="R617" s="58"/>
      <c r="S617" s="58"/>
      <c r="T617" s="84"/>
      <c r="U617" s="62"/>
      <c r="V617" s="37" t="str">
        <f>IFERROR(__xludf.DUMMYFUNCTION("if(not(iserror(index(split(C617, "" ""),2))), index(split(C617, "" ""),1),"""")"),"")</f>
        <v/>
      </c>
      <c r="W617" s="315" t="str">
        <f>IFERROR(__xludf.DUMMYFUNCTION("if(V617="""",C617,if(not(iserror(index(split(C617, "" ""),3))), index(split(C617, "" ""),3),index(split(C617, "" ""),2)))"),"")</f>
        <v/>
      </c>
      <c r="X617" s="38" t="b">
        <f t="shared" si="2"/>
        <v>0</v>
      </c>
      <c r="Y617" s="38"/>
      <c r="Z617" s="40"/>
      <c r="AA617" s="40"/>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row>
    <row r="618">
      <c r="A618" s="58"/>
      <c r="B618" s="341"/>
      <c r="C618" s="60"/>
      <c r="D618" s="60"/>
      <c r="E618" s="58"/>
      <c r="F618" s="58"/>
      <c r="G618" s="58"/>
      <c r="H618" s="33" t="str">
        <f t="shared" si="1"/>
        <v/>
      </c>
      <c r="I618" s="58"/>
      <c r="J618" s="58"/>
      <c r="K618" s="58"/>
      <c r="L618" s="38"/>
      <c r="M618" s="58"/>
      <c r="N618" s="58"/>
      <c r="O618" s="58"/>
      <c r="P618" s="80"/>
      <c r="Q618" s="77"/>
      <c r="R618" s="58"/>
      <c r="S618" s="58"/>
      <c r="T618" s="84"/>
      <c r="U618" s="62"/>
      <c r="V618" s="37" t="str">
        <f>IFERROR(__xludf.DUMMYFUNCTION("if(not(iserror(index(split(C618, "" ""),2))), index(split(C618, "" ""),1),"""")"),"")</f>
        <v/>
      </c>
      <c r="W618" s="315" t="str">
        <f>IFERROR(__xludf.DUMMYFUNCTION("if(V618="""",C618,if(not(iserror(index(split(C618, "" ""),3))), index(split(C618, "" ""),3),index(split(C618, "" ""),2)))"),"")</f>
        <v/>
      </c>
      <c r="X618" s="38" t="b">
        <f t="shared" si="2"/>
        <v>0</v>
      </c>
      <c r="Y618" s="38"/>
      <c r="Z618" s="40"/>
      <c r="AA618" s="40"/>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row>
    <row r="619">
      <c r="A619" s="91"/>
      <c r="B619" s="380"/>
      <c r="C619" s="146"/>
      <c r="D619" s="146"/>
      <c r="E619" s="91"/>
      <c r="F619" s="91"/>
      <c r="G619" s="91"/>
      <c r="H619" s="33" t="str">
        <f t="shared" si="1"/>
        <v/>
      </c>
      <c r="I619" s="91"/>
      <c r="J619" s="91"/>
      <c r="K619" s="91"/>
      <c r="L619" s="38"/>
      <c r="M619" s="91"/>
      <c r="N619" s="91"/>
      <c r="O619" s="91"/>
      <c r="P619" s="95"/>
      <c r="Q619" s="14"/>
      <c r="R619" s="37"/>
      <c r="S619" s="37"/>
      <c r="T619" s="64"/>
      <c r="U619" s="16"/>
      <c r="V619" s="37" t="str">
        <f>IFERROR(__xludf.DUMMYFUNCTION("if(not(iserror(index(split(C619, "" ""),2))), index(split(C619, "" ""),1),"""")"),"")</f>
        <v/>
      </c>
      <c r="W619" s="315" t="str">
        <f>IFERROR(__xludf.DUMMYFUNCTION("if(V619="""",C619,if(not(iserror(index(split(C619, "" ""),3))), index(split(C619, "" ""),3),index(split(C619, "" ""),2)))"),"")</f>
        <v/>
      </c>
      <c r="X619" s="38" t="b">
        <f t="shared" si="2"/>
        <v>0</v>
      </c>
      <c r="Y619" s="38"/>
      <c r="Z619" s="40"/>
      <c r="AA619" s="40"/>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row>
    <row r="620">
      <c r="A620" s="37"/>
      <c r="B620" s="322"/>
      <c r="C620" s="144"/>
      <c r="D620" s="144"/>
      <c r="E620" s="37"/>
      <c r="F620" s="37"/>
      <c r="G620" s="37"/>
      <c r="H620" s="33" t="str">
        <f t="shared" si="1"/>
        <v/>
      </c>
      <c r="I620" s="37"/>
      <c r="J620" s="37"/>
      <c r="K620" s="37"/>
      <c r="L620" s="38"/>
      <c r="M620" s="37"/>
      <c r="N620" s="37"/>
      <c r="O620" s="37"/>
      <c r="P620" s="14"/>
      <c r="Q620" s="15"/>
      <c r="R620" s="37"/>
      <c r="S620" s="37"/>
      <c r="T620" s="64"/>
      <c r="U620" s="16"/>
      <c r="V620" s="37" t="str">
        <f>IFERROR(__xludf.DUMMYFUNCTION("if(not(iserror(index(split(C620, "" ""),2))), index(split(C620, "" ""),1),"""")"),"")</f>
        <v/>
      </c>
      <c r="W620" s="315" t="str">
        <f>IFERROR(__xludf.DUMMYFUNCTION("if(V620="""",C620,if(not(iserror(index(split(C620, "" ""),3))), index(split(C620, "" ""),3),index(split(C620, "" ""),2)))"),"")</f>
        <v/>
      </c>
      <c r="X620" s="38" t="b">
        <f t="shared" si="2"/>
        <v>0</v>
      </c>
      <c r="Y620" s="38"/>
      <c r="Z620" s="40"/>
      <c r="AA620" s="40"/>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row>
    <row r="621">
      <c r="A621" s="37"/>
      <c r="B621" s="159"/>
      <c r="C621" s="101"/>
      <c r="D621" s="101"/>
      <c r="E621" s="37"/>
      <c r="F621" s="37"/>
      <c r="G621" s="37"/>
      <c r="H621" s="33" t="str">
        <f t="shared" si="1"/>
        <v/>
      </c>
      <c r="I621" s="37"/>
      <c r="J621" s="37"/>
      <c r="K621" s="37"/>
      <c r="L621" s="38"/>
      <c r="M621" s="37"/>
      <c r="N621" s="37"/>
      <c r="O621" s="37"/>
      <c r="P621" s="14"/>
      <c r="Q621" s="102"/>
      <c r="T621" s="64"/>
      <c r="V621" s="37" t="str">
        <f>IFERROR(__xludf.DUMMYFUNCTION("if(not(iserror(index(split(C621, "" ""),2))), index(split(C621, "" ""),1),"""")"),"")</f>
        <v/>
      </c>
      <c r="W621" s="316" t="str">
        <f>IFERROR(__xludf.DUMMYFUNCTION("if(V621="""",C621,if(not(iserror(index(split(C621, "" ""),3))), index(split(C621, "" ""),3),index(split(C621, "" ""),2)))"),"")</f>
        <v/>
      </c>
      <c r="X621" s="38" t="b">
        <f t="shared" si="2"/>
        <v>0</v>
      </c>
      <c r="Y621" s="38"/>
      <c r="Z621" s="40"/>
      <c r="AA621" s="40"/>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row>
    <row r="622">
      <c r="A622" s="37"/>
      <c r="B622" s="159"/>
      <c r="C622" s="101"/>
      <c r="D622" s="159"/>
      <c r="E622" s="37"/>
      <c r="F622" s="37"/>
      <c r="G622" s="37"/>
      <c r="H622" s="33" t="str">
        <f t="shared" si="1"/>
        <v/>
      </c>
      <c r="I622" s="37"/>
      <c r="J622" s="37"/>
      <c r="K622" s="37"/>
      <c r="L622" s="38"/>
      <c r="M622" s="37"/>
      <c r="N622" s="37"/>
      <c r="O622" s="37"/>
      <c r="P622" s="14"/>
      <c r="Q622" s="102"/>
      <c r="T622" s="64"/>
      <c r="V622" s="37" t="str">
        <f>IFERROR(__xludf.DUMMYFUNCTION("if(not(iserror(index(split(C622, "" ""),2))), index(split(C622, "" ""),1),"""")"),"")</f>
        <v/>
      </c>
      <c r="W622" s="316" t="str">
        <f>IFERROR(__xludf.DUMMYFUNCTION("if(V622="""",C622,if(not(iserror(index(split(C622, "" ""),3))), index(split(C622, "" ""),3),index(split(C622, "" ""),2)))"),"")</f>
        <v/>
      </c>
      <c r="X622" s="38" t="b">
        <f t="shared" si="2"/>
        <v>0</v>
      </c>
      <c r="Y622" s="38"/>
      <c r="Z622" s="40"/>
      <c r="AA622" s="40"/>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row>
    <row r="623">
      <c r="A623" s="37"/>
      <c r="B623" s="159"/>
      <c r="C623" s="37"/>
      <c r="D623" s="37"/>
      <c r="E623" s="37"/>
      <c r="F623" s="37"/>
      <c r="G623" s="37"/>
      <c r="H623" s="33" t="str">
        <f t="shared" si="1"/>
        <v/>
      </c>
      <c r="I623" s="37"/>
      <c r="J623" s="37"/>
      <c r="K623" s="37"/>
      <c r="L623" s="38"/>
      <c r="M623" s="37"/>
      <c r="N623" s="37"/>
      <c r="O623" s="37"/>
      <c r="P623" s="14"/>
      <c r="Q623" s="102"/>
      <c r="T623" s="64"/>
      <c r="V623" s="37" t="str">
        <f>IFERROR(__xludf.DUMMYFUNCTION("if(not(iserror(index(split(C623, "" ""),2))), index(split(C623, "" ""),1),"""")"),"")</f>
        <v/>
      </c>
      <c r="W623" s="38" t="str">
        <f>IFERROR(__xludf.DUMMYFUNCTION("if(V623="""",C623,if(not(iserror(index(split(C623, "" ""),3))), index(split(C623, "" ""),3),index(split(C623, "" ""),2)))"),"")</f>
        <v/>
      </c>
      <c r="X623" s="38" t="b">
        <f t="shared" si="2"/>
        <v>0</v>
      </c>
      <c r="Y623" s="38"/>
      <c r="Z623" s="40"/>
      <c r="AA623" s="40"/>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row>
    <row r="624">
      <c r="A624" s="58"/>
      <c r="B624" s="341"/>
      <c r="C624" s="60"/>
      <c r="D624" s="60"/>
      <c r="E624" s="58"/>
      <c r="F624" s="58"/>
      <c r="G624" s="58"/>
      <c r="H624" s="33" t="str">
        <f t="shared" si="1"/>
        <v/>
      </c>
      <c r="I624" s="58"/>
      <c r="J624" s="58"/>
      <c r="K624" s="58"/>
      <c r="L624" s="38"/>
      <c r="M624" s="58"/>
      <c r="N624" s="58"/>
      <c r="O624" s="58"/>
      <c r="P624" s="14"/>
      <c r="Q624" s="80"/>
      <c r="R624" s="58"/>
      <c r="S624" s="62"/>
      <c r="T624" s="84"/>
      <c r="U624" s="62"/>
      <c r="V624" s="37" t="str">
        <f>IFERROR(__xludf.DUMMYFUNCTION("if(not(iserror(index(split(C624, "" ""),2))), index(split(C624, "" ""),1),"""")"),"")</f>
        <v/>
      </c>
      <c r="W624" s="315" t="str">
        <f>IFERROR(__xludf.DUMMYFUNCTION("if(V624="""",C624,if(not(iserror(index(split(C624, "" ""),3))), index(split(C624, "" ""),3),index(split(C624, "" ""),2)))"),"")</f>
        <v/>
      </c>
      <c r="X624" s="38" t="b">
        <f t="shared" si="2"/>
        <v>0</v>
      </c>
      <c r="Y624" s="38"/>
      <c r="Z624" s="40"/>
      <c r="AA624" s="40"/>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row>
    <row r="625">
      <c r="A625" s="58"/>
      <c r="B625" s="341"/>
      <c r="C625" s="60"/>
      <c r="D625" s="60"/>
      <c r="E625" s="58"/>
      <c r="F625" s="58"/>
      <c r="G625" s="58"/>
      <c r="H625" s="33" t="str">
        <f t="shared" si="1"/>
        <v/>
      </c>
      <c r="I625" s="58"/>
      <c r="J625" s="62"/>
      <c r="K625" s="58"/>
      <c r="L625" s="38"/>
      <c r="M625" s="58"/>
      <c r="N625" s="58"/>
      <c r="O625" s="58"/>
      <c r="P625" s="14"/>
      <c r="Q625" s="77"/>
      <c r="R625" s="62"/>
      <c r="S625" s="62"/>
      <c r="T625" s="62"/>
      <c r="U625" s="62"/>
      <c r="V625" s="37" t="str">
        <f>IFERROR(__xludf.DUMMYFUNCTION("if(not(iserror(index(split(C625, "" ""),2))), index(split(C625, "" ""),1),"""")"),"")</f>
        <v/>
      </c>
      <c r="W625" s="315" t="str">
        <f>IFERROR(__xludf.DUMMYFUNCTION("if(V625="""",C625,if(not(iserror(index(split(C625, "" ""),3))), index(split(C625, "" ""),3),index(split(C625, "" ""),2)))"),"")</f>
        <v/>
      </c>
      <c r="X625" s="38" t="b">
        <f t="shared" si="2"/>
        <v>0</v>
      </c>
      <c r="Y625" s="38"/>
      <c r="Z625" s="40"/>
      <c r="AA625" s="40"/>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row>
    <row r="626">
      <c r="A626" s="37"/>
      <c r="B626" s="322"/>
      <c r="C626" s="144"/>
      <c r="D626" s="144"/>
      <c r="E626" s="37"/>
      <c r="F626" s="37"/>
      <c r="G626" s="37"/>
      <c r="H626" s="33" t="str">
        <f t="shared" si="1"/>
        <v/>
      </c>
      <c r="I626" s="37"/>
      <c r="J626" s="37"/>
      <c r="K626" s="37"/>
      <c r="L626" s="38"/>
      <c r="M626" s="37"/>
      <c r="N626" s="37"/>
      <c r="O626" s="37"/>
      <c r="P626" s="14"/>
      <c r="Q626" s="15"/>
      <c r="R626" s="16"/>
      <c r="S626" s="16"/>
      <c r="T626" s="16"/>
      <c r="U626" s="16"/>
      <c r="V626" s="37" t="str">
        <f>IFERROR(__xludf.DUMMYFUNCTION("if(not(iserror(index(split(C626, "" ""),2))), index(split(C626, "" ""),1),"""")"),"")</f>
        <v/>
      </c>
      <c r="W626" s="315" t="str">
        <f>IFERROR(__xludf.DUMMYFUNCTION("if(V626="""",C626,if(not(iserror(index(split(C626, "" ""),3))), index(split(C626, "" ""),3),index(split(C626, "" ""),2)))"),"")</f>
        <v/>
      </c>
      <c r="X626" s="38" t="b">
        <f t="shared" si="2"/>
        <v>0</v>
      </c>
      <c r="Y626" s="38"/>
      <c r="Z626" s="40"/>
      <c r="AA626" s="40"/>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row>
    <row r="627">
      <c r="A627" s="37"/>
      <c r="B627" s="322"/>
      <c r="C627" s="144"/>
      <c r="D627" s="144"/>
      <c r="E627" s="37"/>
      <c r="F627" s="37"/>
      <c r="G627" s="37"/>
      <c r="H627" s="33" t="str">
        <f t="shared" si="1"/>
        <v/>
      </c>
      <c r="I627" s="37"/>
      <c r="J627" s="37"/>
      <c r="K627" s="37"/>
      <c r="L627" s="38"/>
      <c r="M627" s="37"/>
      <c r="N627" s="37"/>
      <c r="O627" s="37"/>
      <c r="P627" s="14"/>
      <c r="Q627" s="15"/>
      <c r="R627" s="16"/>
      <c r="S627" s="16"/>
      <c r="T627" s="16"/>
      <c r="U627" s="16"/>
      <c r="V627" s="37" t="str">
        <f>IFERROR(__xludf.DUMMYFUNCTION("if(not(iserror(index(split(C627, "" ""),2))), index(split(C627, "" ""),1),"""")"),"")</f>
        <v/>
      </c>
      <c r="W627" s="315" t="str">
        <f>IFERROR(__xludf.DUMMYFUNCTION("if(V627="""",C627,if(not(iserror(index(split(C627, "" ""),3))), index(split(C627, "" ""),3),index(split(C627, "" ""),2)))"),"")</f>
        <v/>
      </c>
      <c r="X627" s="38" t="b">
        <f t="shared" si="2"/>
        <v>0</v>
      </c>
      <c r="Y627" s="38"/>
      <c r="Z627" s="40"/>
      <c r="AA627" s="40"/>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row>
    <row r="628">
      <c r="A628" s="37"/>
      <c r="B628" s="322"/>
      <c r="C628" s="144"/>
      <c r="D628" s="144"/>
      <c r="E628" s="37"/>
      <c r="F628" s="37"/>
      <c r="G628" s="37"/>
      <c r="H628" s="33" t="str">
        <f t="shared" si="1"/>
        <v/>
      </c>
      <c r="I628" s="37"/>
      <c r="J628" s="37"/>
      <c r="K628" s="37"/>
      <c r="L628" s="38"/>
      <c r="M628" s="37"/>
      <c r="N628" s="37"/>
      <c r="O628" s="37"/>
      <c r="P628" s="14"/>
      <c r="Q628" s="15"/>
      <c r="R628" s="16"/>
      <c r="S628" s="16"/>
      <c r="T628" s="16"/>
      <c r="U628" s="16"/>
      <c r="V628" s="37" t="str">
        <f>IFERROR(__xludf.DUMMYFUNCTION("if(not(iserror(index(split(C628, "" ""),2))), index(split(C628, "" ""),1),"""")"),"")</f>
        <v/>
      </c>
      <c r="W628" s="315" t="str">
        <f>IFERROR(__xludf.DUMMYFUNCTION("if(V628="""",C628,if(not(iserror(index(split(C628, "" ""),3))), index(split(C628, "" ""),3),index(split(C628, "" ""),2)))"),"")</f>
        <v/>
      </c>
      <c r="X628" s="38" t="b">
        <f t="shared" si="2"/>
        <v>0</v>
      </c>
      <c r="Y628" s="38"/>
      <c r="Z628" s="40"/>
      <c r="AA628" s="40"/>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row>
    <row r="629">
      <c r="A629" s="37"/>
      <c r="B629" s="322"/>
      <c r="C629" s="144"/>
      <c r="D629" s="144"/>
      <c r="E629" s="37"/>
      <c r="F629" s="37"/>
      <c r="G629" s="37"/>
      <c r="H629" s="33" t="str">
        <f t="shared" si="1"/>
        <v/>
      </c>
      <c r="I629" s="37"/>
      <c r="J629" s="37"/>
      <c r="K629" s="37"/>
      <c r="L629" s="38"/>
      <c r="M629" s="37"/>
      <c r="N629" s="37"/>
      <c r="O629" s="37"/>
      <c r="P629" s="14"/>
      <c r="Q629" s="15"/>
      <c r="R629" s="16"/>
      <c r="S629" s="16"/>
      <c r="T629" s="16"/>
      <c r="U629" s="16"/>
      <c r="V629" s="37" t="str">
        <f>IFERROR(__xludf.DUMMYFUNCTION("if(not(iserror(index(split(C629, "" ""),2))), index(split(C629, "" ""),1),"""")"),"")</f>
        <v/>
      </c>
      <c r="W629" s="315" t="str">
        <f>IFERROR(__xludf.DUMMYFUNCTION("if(V629="""",C629,if(not(iserror(index(split(C629, "" ""),3))), index(split(C629, "" ""),3),index(split(C629, "" ""),2)))"),"")</f>
        <v/>
      </c>
      <c r="X629" s="38" t="b">
        <f t="shared" si="2"/>
        <v>0</v>
      </c>
      <c r="Y629" s="38"/>
      <c r="Z629" s="40"/>
      <c r="AA629" s="40"/>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row>
    <row r="630">
      <c r="A630" s="37"/>
      <c r="B630" s="322"/>
      <c r="C630" s="144"/>
      <c r="D630" s="144"/>
      <c r="E630" s="37"/>
      <c r="F630" s="37"/>
      <c r="G630" s="37"/>
      <c r="H630" s="33" t="str">
        <f t="shared" si="1"/>
        <v/>
      </c>
      <c r="I630" s="37"/>
      <c r="J630" s="37"/>
      <c r="K630" s="37"/>
      <c r="L630" s="38"/>
      <c r="M630" s="37"/>
      <c r="N630" s="37"/>
      <c r="O630" s="37"/>
      <c r="P630" s="14"/>
      <c r="Q630" s="15"/>
      <c r="R630" s="16"/>
      <c r="S630" s="16"/>
      <c r="T630" s="16"/>
      <c r="U630" s="16"/>
      <c r="V630" s="37" t="str">
        <f>IFERROR(__xludf.DUMMYFUNCTION("if(not(iserror(index(split(C630, "" ""),2))), index(split(C630, "" ""),1),"""")"),"")</f>
        <v/>
      </c>
      <c r="W630" s="315" t="str">
        <f>IFERROR(__xludf.DUMMYFUNCTION("if(V630="""",C630,if(not(iserror(index(split(C630, "" ""),3))), index(split(C630, "" ""),3),index(split(C630, "" ""),2)))"),"")</f>
        <v/>
      </c>
      <c r="X630" s="38" t="b">
        <f t="shared" si="2"/>
        <v>0</v>
      </c>
      <c r="Y630" s="38"/>
      <c r="Z630" s="40"/>
      <c r="AA630" s="40"/>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row>
    <row r="631">
      <c r="A631" s="37"/>
      <c r="B631" s="322"/>
      <c r="C631" s="144"/>
      <c r="D631" s="144"/>
      <c r="E631" s="37"/>
      <c r="F631" s="37"/>
      <c r="G631" s="37"/>
      <c r="H631" s="33" t="str">
        <f t="shared" si="1"/>
        <v/>
      </c>
      <c r="I631" s="37"/>
      <c r="J631" s="37"/>
      <c r="K631" s="37"/>
      <c r="L631" s="38"/>
      <c r="M631" s="37"/>
      <c r="N631" s="37"/>
      <c r="O631" s="37"/>
      <c r="P631" s="14"/>
      <c r="Q631" s="15"/>
      <c r="R631" s="37"/>
      <c r="S631" s="37"/>
      <c r="T631" s="64"/>
      <c r="U631" s="16"/>
      <c r="V631" s="37" t="str">
        <f>IFERROR(__xludf.DUMMYFUNCTION("if(not(iserror(index(split(C631, "" ""),2))), index(split(C631, "" ""),1),"""")"),"")</f>
        <v/>
      </c>
      <c r="W631" s="315" t="str">
        <f>IFERROR(__xludf.DUMMYFUNCTION("if(V631="""",C631,if(not(iserror(index(split(C631, "" ""),3))), index(split(C631, "" ""),3),index(split(C631, "" ""),2)))"),"")</f>
        <v/>
      </c>
      <c r="X631" s="38" t="b">
        <f t="shared" si="2"/>
        <v>0</v>
      </c>
      <c r="Y631" s="38"/>
      <c r="Z631" s="40"/>
      <c r="AA631" s="40"/>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row>
    <row r="632">
      <c r="A632" s="37"/>
      <c r="B632" s="322"/>
      <c r="C632" s="144"/>
      <c r="D632" s="144"/>
      <c r="E632" s="37"/>
      <c r="F632" s="37"/>
      <c r="G632" s="37"/>
      <c r="H632" s="33" t="str">
        <f t="shared" si="1"/>
        <v/>
      </c>
      <c r="I632" s="37"/>
      <c r="J632" s="37"/>
      <c r="K632" s="37"/>
      <c r="L632" s="38"/>
      <c r="M632" s="37"/>
      <c r="N632" s="37"/>
      <c r="O632" s="37"/>
      <c r="P632" s="14"/>
      <c r="Q632" s="14"/>
      <c r="R632" s="37"/>
      <c r="S632" s="37"/>
      <c r="T632" s="37"/>
      <c r="U632" s="16"/>
      <c r="V632" s="37" t="str">
        <f>IFERROR(__xludf.DUMMYFUNCTION("if(not(iserror(index(split(C632, "" ""),2))), index(split(C632, "" ""),1),"""")"),"")</f>
        <v/>
      </c>
      <c r="W632" s="315" t="str">
        <f>IFERROR(__xludf.DUMMYFUNCTION("if(V632="""",C632,if(not(iserror(index(split(C632, "" ""),3))), index(split(C632, "" ""),3),index(split(C632, "" ""),2)))"),"")</f>
        <v/>
      </c>
      <c r="X632" s="38" t="b">
        <f t="shared" si="2"/>
        <v>0</v>
      </c>
      <c r="Y632" s="38"/>
      <c r="Z632" s="40"/>
      <c r="AA632" s="40"/>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row>
    <row r="633">
      <c r="A633" s="37"/>
      <c r="B633" s="322"/>
      <c r="C633" s="144"/>
      <c r="D633" s="144"/>
      <c r="E633" s="37"/>
      <c r="F633" s="37"/>
      <c r="G633" s="37"/>
      <c r="H633" s="33" t="str">
        <f t="shared" si="1"/>
        <v/>
      </c>
      <c r="I633" s="37"/>
      <c r="J633" s="37"/>
      <c r="K633" s="37"/>
      <c r="L633" s="38"/>
      <c r="M633" s="37"/>
      <c r="N633" s="37"/>
      <c r="O633" s="37"/>
      <c r="P633" s="14"/>
      <c r="Q633" s="15"/>
      <c r="R633" s="37"/>
      <c r="S633" s="37"/>
      <c r="T633" s="64"/>
      <c r="U633" s="16"/>
      <c r="V633" s="37" t="str">
        <f>IFERROR(__xludf.DUMMYFUNCTION("if(not(iserror(index(split(C633, "" ""),2))), index(split(C633, "" ""),1),"""")"),"")</f>
        <v/>
      </c>
      <c r="W633" s="315" t="str">
        <f>IFERROR(__xludf.DUMMYFUNCTION("if(V633="""",C633,if(not(iserror(index(split(C633, "" ""),3))), index(split(C633, "" ""),3),index(split(C633, "" ""),2)))"),"")</f>
        <v/>
      </c>
      <c r="X633" s="38" t="b">
        <f t="shared" si="2"/>
        <v>0</v>
      </c>
      <c r="Y633" s="38"/>
      <c r="Z633" s="40"/>
      <c r="AA633" s="40"/>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row>
    <row r="634">
      <c r="A634" s="37"/>
      <c r="B634" s="322"/>
      <c r="C634" s="144"/>
      <c r="D634" s="144"/>
      <c r="E634" s="37"/>
      <c r="F634" s="37"/>
      <c r="G634" s="37"/>
      <c r="H634" s="33" t="str">
        <f t="shared" si="1"/>
        <v/>
      </c>
      <c r="I634" s="37"/>
      <c r="J634" s="37"/>
      <c r="K634" s="37"/>
      <c r="L634" s="38"/>
      <c r="M634" s="37"/>
      <c r="N634" s="37"/>
      <c r="O634" s="37"/>
      <c r="P634" s="14"/>
      <c r="Q634" s="15"/>
      <c r="R634" s="16"/>
      <c r="S634" s="16"/>
      <c r="T634" s="16"/>
      <c r="U634" s="16"/>
      <c r="V634" s="37" t="str">
        <f>IFERROR(__xludf.DUMMYFUNCTION("if(not(iserror(index(split(C634, "" ""),2))), index(split(C634, "" ""),1),"""")"),"")</f>
        <v/>
      </c>
      <c r="W634" s="315" t="str">
        <f>IFERROR(__xludf.DUMMYFUNCTION("if(V634="""",C634,if(not(iserror(index(split(C634, "" ""),3))), index(split(C634, "" ""),3),index(split(C634, "" ""),2)))"),"")</f>
        <v/>
      </c>
      <c r="X634" s="38" t="b">
        <f t="shared" si="2"/>
        <v>0</v>
      </c>
      <c r="Y634" s="38"/>
      <c r="Z634" s="40"/>
      <c r="AA634" s="40"/>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row>
    <row r="635">
      <c r="A635" s="37"/>
      <c r="B635" s="322"/>
      <c r="C635" s="144"/>
      <c r="D635" s="144"/>
      <c r="E635" s="37"/>
      <c r="F635" s="37"/>
      <c r="G635" s="37"/>
      <c r="H635" s="33" t="str">
        <f t="shared" si="1"/>
        <v/>
      </c>
      <c r="I635" s="37"/>
      <c r="J635" s="37"/>
      <c r="K635" s="37"/>
      <c r="L635" s="38"/>
      <c r="M635" s="37"/>
      <c r="N635" s="37"/>
      <c r="O635" s="37"/>
      <c r="P635" s="14"/>
      <c r="Q635" s="15"/>
      <c r="R635" s="16"/>
      <c r="S635" s="16"/>
      <c r="T635" s="16"/>
      <c r="U635" s="16"/>
      <c r="V635" s="37" t="str">
        <f>IFERROR(__xludf.DUMMYFUNCTION("if(not(iserror(index(split(C635, "" ""),2))), index(split(C635, "" ""),1),"""")"),"")</f>
        <v/>
      </c>
      <c r="W635" s="315" t="str">
        <f>IFERROR(__xludf.DUMMYFUNCTION("if(V635="""",C635,if(not(iserror(index(split(C635, "" ""),3))), index(split(C635, "" ""),3),index(split(C635, "" ""),2)))"),"")</f>
        <v/>
      </c>
      <c r="X635" s="38" t="b">
        <f t="shared" si="2"/>
        <v>0</v>
      </c>
      <c r="Y635" s="38"/>
      <c r="Z635" s="40"/>
      <c r="AA635" s="40"/>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row>
    <row r="636">
      <c r="A636" s="37"/>
      <c r="B636" s="322"/>
      <c r="C636" s="144"/>
      <c r="D636" s="144"/>
      <c r="E636" s="37"/>
      <c r="F636" s="37"/>
      <c r="G636" s="37"/>
      <c r="H636" s="33" t="str">
        <f t="shared" si="1"/>
        <v/>
      </c>
      <c r="I636" s="37"/>
      <c r="J636" s="37"/>
      <c r="K636" s="37"/>
      <c r="L636" s="38"/>
      <c r="M636" s="37"/>
      <c r="N636" s="37"/>
      <c r="O636" s="37"/>
      <c r="P636" s="14"/>
      <c r="Q636" s="15"/>
      <c r="R636" s="16"/>
      <c r="S636" s="16"/>
      <c r="T636" s="16"/>
      <c r="U636" s="16"/>
      <c r="V636" s="37" t="str">
        <f>IFERROR(__xludf.DUMMYFUNCTION("if(not(iserror(index(split(C636, "" ""),2))), index(split(C636, "" ""),1),"""")"),"")</f>
        <v/>
      </c>
      <c r="W636" s="315" t="str">
        <f>IFERROR(__xludf.DUMMYFUNCTION("if(V636="""",C636,if(not(iserror(index(split(C636, "" ""),3))), index(split(C636, "" ""),3),index(split(C636, "" ""),2)))"),"")</f>
        <v/>
      </c>
      <c r="X636" s="38" t="b">
        <f t="shared" si="2"/>
        <v>0</v>
      </c>
      <c r="Y636" s="38"/>
      <c r="Z636" s="40"/>
      <c r="AA636" s="40"/>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row>
    <row r="637">
      <c r="A637" s="37"/>
      <c r="B637" s="322"/>
      <c r="C637" s="144"/>
      <c r="D637" s="144"/>
      <c r="E637" s="37"/>
      <c r="F637" s="37"/>
      <c r="G637" s="37"/>
      <c r="H637" s="33" t="str">
        <f t="shared" si="1"/>
        <v/>
      </c>
      <c r="I637" s="37"/>
      <c r="J637" s="37"/>
      <c r="K637" s="37"/>
      <c r="L637" s="38"/>
      <c r="M637" s="37"/>
      <c r="N637" s="37"/>
      <c r="O637" s="37"/>
      <c r="P637" s="14"/>
      <c r="Q637" s="15"/>
      <c r="R637" s="37"/>
      <c r="S637" s="37"/>
      <c r="T637" s="64"/>
      <c r="U637" s="16"/>
      <c r="V637" s="37" t="str">
        <f>IFERROR(__xludf.DUMMYFUNCTION("if(not(iserror(index(split(C637, "" ""),2))), index(split(C637, "" ""),1),"""")"),"")</f>
        <v/>
      </c>
      <c r="W637" s="315" t="str">
        <f>IFERROR(__xludf.DUMMYFUNCTION("if(V637="""",C637,if(not(iserror(index(split(C637, "" ""),3))), index(split(C637, "" ""),3),index(split(C637, "" ""),2)))"),"")</f>
        <v/>
      </c>
      <c r="X637" s="38" t="b">
        <f t="shared" si="2"/>
        <v>0</v>
      </c>
      <c r="Y637" s="38"/>
      <c r="Z637" s="40"/>
      <c r="AA637" s="40"/>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row>
    <row r="638">
      <c r="A638" s="37"/>
      <c r="B638" s="322"/>
      <c r="C638" s="144"/>
      <c r="D638" s="144"/>
      <c r="E638" s="37"/>
      <c r="F638" s="37"/>
      <c r="G638" s="37"/>
      <c r="H638" s="33" t="str">
        <f t="shared" si="1"/>
        <v/>
      </c>
      <c r="I638" s="37"/>
      <c r="J638" s="37"/>
      <c r="K638" s="37"/>
      <c r="L638" s="38"/>
      <c r="M638" s="37"/>
      <c r="N638" s="37"/>
      <c r="O638" s="37"/>
      <c r="P638" s="14"/>
      <c r="Q638" s="15"/>
      <c r="R638" s="16"/>
      <c r="S638" s="37"/>
      <c r="T638" s="64"/>
      <c r="U638" s="16"/>
      <c r="V638" s="37" t="str">
        <f>IFERROR(__xludf.DUMMYFUNCTION("if(not(iserror(index(split(C638, "" ""),2))), index(split(C638, "" ""),1),"""")"),"")</f>
        <v/>
      </c>
      <c r="W638" s="315" t="str">
        <f>IFERROR(__xludf.DUMMYFUNCTION("if(V638="""",C638,if(not(iserror(index(split(C638, "" ""),3))), index(split(C638, "" ""),3),index(split(C638, "" ""),2)))"),"")</f>
        <v/>
      </c>
      <c r="X638" s="38" t="b">
        <f t="shared" si="2"/>
        <v>0</v>
      </c>
      <c r="Y638" s="38"/>
      <c r="Z638" s="40"/>
      <c r="AA638" s="40"/>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row>
    <row r="639">
      <c r="A639" s="37"/>
      <c r="B639" s="322"/>
      <c r="C639" s="144"/>
      <c r="D639" s="144"/>
      <c r="E639" s="37"/>
      <c r="F639" s="37"/>
      <c r="G639" s="37"/>
      <c r="H639" s="33" t="str">
        <f t="shared" si="1"/>
        <v/>
      </c>
      <c r="I639" s="37"/>
      <c r="J639" s="37"/>
      <c r="K639" s="37"/>
      <c r="L639" s="38"/>
      <c r="M639" s="37"/>
      <c r="N639" s="37"/>
      <c r="O639" s="37"/>
      <c r="P639" s="14"/>
      <c r="Q639" s="15"/>
      <c r="R639" s="16"/>
      <c r="S639" s="16"/>
      <c r="T639" s="16"/>
      <c r="U639" s="16"/>
      <c r="V639" s="37" t="str">
        <f>IFERROR(__xludf.DUMMYFUNCTION("if(not(iserror(index(split(C639, "" ""),2))), index(split(C639, "" ""),1),"""")"),"")</f>
        <v/>
      </c>
      <c r="W639" s="315" t="str">
        <f>IFERROR(__xludf.DUMMYFUNCTION("if(V639="""",C639,if(not(iserror(index(split(C639, "" ""),3))), index(split(C639, "" ""),3),index(split(C639, "" ""),2)))"),"")</f>
        <v/>
      </c>
      <c r="X639" s="38" t="b">
        <f t="shared" si="2"/>
        <v>0</v>
      </c>
      <c r="Y639" s="38"/>
      <c r="Z639" s="40"/>
      <c r="AA639" s="40"/>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row>
    <row r="640">
      <c r="A640" s="37"/>
      <c r="B640" s="322"/>
      <c r="C640" s="144"/>
      <c r="D640" s="144"/>
      <c r="E640" s="37"/>
      <c r="F640" s="37"/>
      <c r="G640" s="37"/>
      <c r="H640" s="33" t="str">
        <f t="shared" si="1"/>
        <v/>
      </c>
      <c r="I640" s="37"/>
      <c r="J640" s="37"/>
      <c r="K640" s="37"/>
      <c r="L640" s="38"/>
      <c r="M640" s="37"/>
      <c r="N640" s="37"/>
      <c r="O640" s="37"/>
      <c r="P640" s="14"/>
      <c r="Q640" s="15"/>
      <c r="R640" s="37"/>
      <c r="S640" s="37"/>
      <c r="T640" s="64"/>
      <c r="U640" s="16"/>
      <c r="V640" s="37" t="str">
        <f>IFERROR(__xludf.DUMMYFUNCTION("if(not(iserror(index(split(C640, "" ""),2))), index(split(C640, "" ""),1),"""")"),"")</f>
        <v/>
      </c>
      <c r="W640" s="315" t="str">
        <f>IFERROR(__xludf.DUMMYFUNCTION("if(V640="""",C640,if(not(iserror(index(split(C640, "" ""),3))), index(split(C640, "" ""),3),index(split(C640, "" ""),2)))"),"")</f>
        <v/>
      </c>
      <c r="X640" s="38" t="b">
        <f t="shared" si="2"/>
        <v>0</v>
      </c>
      <c r="Y640" s="38"/>
      <c r="Z640" s="40"/>
      <c r="AA640" s="40"/>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row>
    <row r="641">
      <c r="A641" s="37"/>
      <c r="B641" s="322"/>
      <c r="C641" s="144"/>
      <c r="D641" s="144"/>
      <c r="E641" s="37"/>
      <c r="F641" s="37"/>
      <c r="G641" s="37"/>
      <c r="H641" s="33" t="str">
        <f t="shared" si="1"/>
        <v/>
      </c>
      <c r="I641" s="37"/>
      <c r="J641" s="37"/>
      <c r="K641" s="37"/>
      <c r="L641" s="38"/>
      <c r="M641" s="37"/>
      <c r="N641" s="37"/>
      <c r="O641" s="37"/>
      <c r="P641" s="14"/>
      <c r="Q641" s="15"/>
      <c r="R641" s="16"/>
      <c r="S641" s="37"/>
      <c r="T641" s="64"/>
      <c r="U641" s="16"/>
      <c r="V641" s="37" t="str">
        <f>IFERROR(__xludf.DUMMYFUNCTION("if(not(iserror(index(split(C641, "" ""),2))), index(split(C641, "" ""),1),"""")"),"")</f>
        <v/>
      </c>
      <c r="W641" s="315" t="str">
        <f>IFERROR(__xludf.DUMMYFUNCTION("if(V641="""",C641,if(not(iserror(index(split(C641, "" ""),3))), index(split(C641, "" ""),3),index(split(C641, "" ""),2)))"),"")</f>
        <v/>
      </c>
      <c r="X641" s="38" t="b">
        <f t="shared" si="2"/>
        <v>0</v>
      </c>
      <c r="Y641" s="38"/>
      <c r="Z641" s="40"/>
      <c r="AA641" s="40"/>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row>
    <row r="642">
      <c r="A642" s="37"/>
      <c r="B642" s="322"/>
      <c r="C642" s="144"/>
      <c r="D642" s="144"/>
      <c r="E642" s="37"/>
      <c r="F642" s="37"/>
      <c r="G642" s="37"/>
      <c r="H642" s="33" t="str">
        <f t="shared" si="1"/>
        <v/>
      </c>
      <c r="I642" s="37"/>
      <c r="J642" s="37"/>
      <c r="K642" s="37"/>
      <c r="L642" s="38"/>
      <c r="M642" s="58"/>
      <c r="N642" s="58"/>
      <c r="O642" s="58"/>
      <c r="P642" s="14"/>
      <c r="Q642" s="15"/>
      <c r="R642" s="37"/>
      <c r="S642" s="16"/>
      <c r="T642" s="64"/>
      <c r="U642" s="16"/>
      <c r="V642" s="37" t="str">
        <f>IFERROR(__xludf.DUMMYFUNCTION("if(not(iserror(index(split(C642, "" ""),2))), index(split(C642, "" ""),1),"""")"),"")</f>
        <v/>
      </c>
      <c r="W642" s="315" t="str">
        <f>IFERROR(__xludf.DUMMYFUNCTION("if(V642="""",C642,if(not(iserror(index(split(C642, "" ""),3))), index(split(C642, "" ""),3),index(split(C642, "" ""),2)))"),"")</f>
        <v/>
      </c>
      <c r="X642" s="38" t="b">
        <f t="shared" si="2"/>
        <v>0</v>
      </c>
      <c r="Y642" s="38"/>
      <c r="Z642" s="40"/>
      <c r="AA642" s="40"/>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row>
    <row r="643">
      <c r="A643" s="37"/>
      <c r="B643" s="159"/>
      <c r="C643" s="144"/>
      <c r="D643" s="144"/>
      <c r="E643" s="37"/>
      <c r="F643" s="37"/>
      <c r="G643" s="37"/>
      <c r="H643" s="33" t="str">
        <f t="shared" si="1"/>
        <v/>
      </c>
      <c r="I643" s="37"/>
      <c r="J643" s="37"/>
      <c r="K643" s="37"/>
      <c r="L643" s="38"/>
      <c r="M643" s="58"/>
      <c r="N643" s="58"/>
      <c r="O643" s="58"/>
      <c r="P643" s="14"/>
      <c r="Q643" s="15"/>
      <c r="R643" s="37"/>
      <c r="S643" s="16"/>
      <c r="T643" s="37"/>
      <c r="U643" s="16"/>
      <c r="V643" s="37" t="str">
        <f>IFERROR(__xludf.DUMMYFUNCTION("if(not(iserror(index(split(C643, "" ""),2))), index(split(C643, "" ""),1),"""")"),"")</f>
        <v/>
      </c>
      <c r="W643" s="315" t="str">
        <f>IFERROR(__xludf.DUMMYFUNCTION("if(V643="""",C643,if(not(iserror(index(split(C643, "" ""),3))), index(split(C643, "" ""),3),index(split(C643, "" ""),2)))"),"")</f>
        <v/>
      </c>
      <c r="X643" s="38" t="b">
        <f t="shared" si="2"/>
        <v>0</v>
      </c>
      <c r="Y643" s="38"/>
      <c r="Z643" s="40"/>
      <c r="AA643" s="40"/>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row>
    <row r="644">
      <c r="A644" s="37"/>
      <c r="B644" s="322"/>
      <c r="C644" s="144"/>
      <c r="D644" s="144"/>
      <c r="E644" s="37"/>
      <c r="F644" s="37"/>
      <c r="G644" s="37"/>
      <c r="H644" s="33" t="str">
        <f t="shared" si="1"/>
        <v/>
      </c>
      <c r="I644" s="37"/>
      <c r="J644" s="37"/>
      <c r="K644" s="37"/>
      <c r="L644" s="38"/>
      <c r="M644" s="37"/>
      <c r="N644" s="37"/>
      <c r="O644" s="37"/>
      <c r="P644" s="14"/>
      <c r="Q644" s="14"/>
      <c r="T644" s="64"/>
      <c r="U644" s="16"/>
      <c r="V644" s="37" t="str">
        <f>IFERROR(__xludf.DUMMYFUNCTION("if(not(iserror(index(split(C644, "" ""),2))), index(split(C644, "" ""),1),"""")"),"")</f>
        <v/>
      </c>
      <c r="W644" s="315" t="str">
        <f>IFERROR(__xludf.DUMMYFUNCTION("if(V644="""",C644,if(not(iserror(index(split(C644, "" ""),3))), index(split(C644, "" ""),3),index(split(C644, "" ""),2)))"),"")</f>
        <v/>
      </c>
      <c r="X644" s="38" t="b">
        <f t="shared" si="2"/>
        <v>0</v>
      </c>
      <c r="Y644" s="38"/>
      <c r="Z644" s="40"/>
      <c r="AA644" s="40"/>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row>
    <row r="645">
      <c r="A645" s="37"/>
      <c r="B645" s="341"/>
      <c r="C645" s="60"/>
      <c r="D645" s="60"/>
      <c r="E645" s="58"/>
      <c r="F645" s="58"/>
      <c r="G645" s="58"/>
      <c r="H645" s="33" t="str">
        <f t="shared" si="1"/>
        <v/>
      </c>
      <c r="I645" s="58"/>
      <c r="J645" s="58"/>
      <c r="K645" s="58"/>
      <c r="L645" s="38"/>
      <c r="M645" s="58"/>
      <c r="N645" s="58"/>
      <c r="O645" s="58"/>
      <c r="P645" s="80"/>
      <c r="Q645" s="77"/>
      <c r="R645" s="62"/>
      <c r="S645" s="62"/>
      <c r="T645" s="62"/>
      <c r="U645" s="62"/>
      <c r="V645" s="37" t="str">
        <f>IFERROR(__xludf.DUMMYFUNCTION("if(not(iserror(index(split(C645, "" ""),2))), index(split(C645, "" ""),1),"""")"),"")</f>
        <v/>
      </c>
      <c r="W645" s="315" t="str">
        <f>IFERROR(__xludf.DUMMYFUNCTION("if(V645="""",C645,if(not(iserror(index(split(C645, "" ""),3))), index(split(C645, "" ""),3),index(split(C645, "" ""),2)))"),"")</f>
        <v/>
      </c>
      <c r="X645" s="38" t="b">
        <f t="shared" si="2"/>
        <v>0</v>
      </c>
      <c r="Y645" s="38"/>
      <c r="Z645" s="40"/>
      <c r="AA645" s="40"/>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row>
    <row r="646">
      <c r="A646" s="37"/>
      <c r="B646" s="341"/>
      <c r="C646" s="60"/>
      <c r="D646" s="60"/>
      <c r="E646" s="58"/>
      <c r="F646" s="58"/>
      <c r="G646" s="58"/>
      <c r="H646" s="33" t="str">
        <f t="shared" si="1"/>
        <v/>
      </c>
      <c r="I646" s="58"/>
      <c r="J646" s="58"/>
      <c r="K646" s="58"/>
      <c r="L646" s="38"/>
      <c r="M646" s="58"/>
      <c r="N646" s="58"/>
      <c r="O646" s="58"/>
      <c r="P646" s="80"/>
      <c r="Q646" s="77"/>
      <c r="R646" s="62"/>
      <c r="S646" s="62"/>
      <c r="T646" s="62"/>
      <c r="U646" s="62"/>
      <c r="V646" s="37" t="str">
        <f>IFERROR(__xludf.DUMMYFUNCTION("if(not(iserror(index(split(C646, "" ""),2))), index(split(C646, "" ""),1),"""")"),"")</f>
        <v/>
      </c>
      <c r="W646" s="315" t="str">
        <f>IFERROR(__xludf.DUMMYFUNCTION("if(V646="""",C646,if(not(iserror(index(split(C646, "" ""),3))), index(split(C646, "" ""),3),index(split(C646, "" ""),2)))"),"")</f>
        <v/>
      </c>
      <c r="X646" s="38" t="b">
        <f t="shared" si="2"/>
        <v>0</v>
      </c>
      <c r="Y646" s="38"/>
      <c r="Z646" s="40"/>
      <c r="AA646" s="40"/>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row>
    <row r="647">
      <c r="A647" s="37"/>
      <c r="B647" s="341"/>
      <c r="C647" s="60"/>
      <c r="D647" s="60"/>
      <c r="E647" s="58"/>
      <c r="F647" s="58"/>
      <c r="G647" s="58"/>
      <c r="H647" s="33" t="str">
        <f t="shared" si="1"/>
        <v/>
      </c>
      <c r="I647" s="58"/>
      <c r="J647" s="58"/>
      <c r="K647" s="58"/>
      <c r="L647" s="38"/>
      <c r="M647" s="58"/>
      <c r="N647" s="58"/>
      <c r="O647" s="58"/>
      <c r="P647" s="80"/>
      <c r="Q647" s="77"/>
      <c r="R647" s="62"/>
      <c r="S647" s="62"/>
      <c r="T647" s="62"/>
      <c r="U647" s="62"/>
      <c r="V647" s="37" t="str">
        <f>IFERROR(__xludf.DUMMYFUNCTION("if(not(iserror(index(split(C647, "" ""),2))), index(split(C647, "" ""),1),"""")"),"")</f>
        <v/>
      </c>
      <c r="W647" s="315" t="str">
        <f>IFERROR(__xludf.DUMMYFUNCTION("if(V647="""",C647,if(not(iserror(index(split(C647, "" ""),3))), index(split(C647, "" ""),3),index(split(C647, "" ""),2)))"),"")</f>
        <v/>
      </c>
      <c r="X647" s="38" t="b">
        <f t="shared" si="2"/>
        <v>0</v>
      </c>
      <c r="Y647" s="38"/>
      <c r="Z647" s="40"/>
      <c r="AA647" s="40"/>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row>
    <row r="648">
      <c r="A648" s="37"/>
      <c r="B648" s="341"/>
      <c r="C648" s="60"/>
      <c r="D648" s="60"/>
      <c r="E648" s="58"/>
      <c r="F648" s="58"/>
      <c r="G648" s="58"/>
      <c r="H648" s="33" t="str">
        <f t="shared" si="1"/>
        <v/>
      </c>
      <c r="I648" s="58"/>
      <c r="J648" s="58"/>
      <c r="K648" s="58"/>
      <c r="L648" s="38"/>
      <c r="M648" s="58"/>
      <c r="N648" s="58"/>
      <c r="O648" s="58"/>
      <c r="P648" s="80"/>
      <c r="Q648" s="77"/>
      <c r="R648" s="58"/>
      <c r="S648" s="62"/>
      <c r="T648" s="84"/>
      <c r="U648" s="62"/>
      <c r="V648" s="37" t="str">
        <f>IFERROR(__xludf.DUMMYFUNCTION("if(not(iserror(index(split(C648, "" ""),2))), index(split(C648, "" ""),1),"""")"),"")</f>
        <v/>
      </c>
      <c r="W648" s="315" t="str">
        <f>IFERROR(__xludf.DUMMYFUNCTION("if(V648="""",C648,if(not(iserror(index(split(C648, "" ""),3))), index(split(C648, "" ""),3),index(split(C648, "" ""),2)))"),"")</f>
        <v/>
      </c>
      <c r="X648" s="38" t="b">
        <f t="shared" si="2"/>
        <v>0</v>
      </c>
      <c r="Y648" s="38"/>
      <c r="Z648" s="40"/>
      <c r="AA648" s="40"/>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row>
    <row r="649">
      <c r="A649" s="58"/>
      <c r="B649" s="341"/>
      <c r="C649" s="60"/>
      <c r="D649" s="60"/>
      <c r="E649" s="58"/>
      <c r="F649" s="58"/>
      <c r="G649" s="58"/>
      <c r="H649" s="33" t="str">
        <f t="shared" si="1"/>
        <v/>
      </c>
      <c r="I649" s="58"/>
      <c r="J649" s="58"/>
      <c r="K649" s="58"/>
      <c r="L649" s="38"/>
      <c r="M649" s="58"/>
      <c r="N649" s="58"/>
      <c r="O649" s="58"/>
      <c r="P649" s="80"/>
      <c r="Q649" s="77"/>
      <c r="R649" s="62"/>
      <c r="S649" s="62"/>
      <c r="T649" s="84"/>
      <c r="U649" s="62"/>
      <c r="V649" s="37" t="str">
        <f>IFERROR(__xludf.DUMMYFUNCTION("if(not(iserror(index(split(C649, "" ""),2))), index(split(C649, "" ""),1),"""")"),"")</f>
        <v/>
      </c>
      <c r="W649" s="315" t="str">
        <f>IFERROR(__xludf.DUMMYFUNCTION("if(V649="""",C649,if(not(iserror(index(split(C649, "" ""),3))), index(split(C649, "" ""),3),index(split(C649, "" ""),2)))"),"")</f>
        <v/>
      </c>
      <c r="X649" s="38" t="b">
        <f t="shared" si="2"/>
        <v>0</v>
      </c>
      <c r="Y649" s="38"/>
      <c r="Z649" s="40"/>
      <c r="AA649" s="40"/>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row>
    <row r="650">
      <c r="A650" s="37"/>
      <c r="B650" s="341"/>
      <c r="C650" s="60"/>
      <c r="D650" s="60"/>
      <c r="E650" s="58"/>
      <c r="F650" s="58"/>
      <c r="G650" s="58"/>
      <c r="H650" s="33" t="str">
        <f t="shared" si="1"/>
        <v/>
      </c>
      <c r="I650" s="58"/>
      <c r="J650" s="58"/>
      <c r="K650" s="58"/>
      <c r="L650" s="38"/>
      <c r="M650" s="58"/>
      <c r="N650" s="58"/>
      <c r="O650" s="58"/>
      <c r="P650" s="80"/>
      <c r="Q650" s="77"/>
      <c r="R650" s="62"/>
      <c r="S650" s="62"/>
      <c r="T650" s="62"/>
      <c r="U650" s="62"/>
      <c r="V650" s="37" t="str">
        <f>IFERROR(__xludf.DUMMYFUNCTION("if(not(iserror(index(split(C650, "" ""),2))), index(split(C650, "" ""),1),"""")"),"")</f>
        <v/>
      </c>
      <c r="W650" s="315" t="str">
        <f>IFERROR(__xludf.DUMMYFUNCTION("if(V650="""",C650,if(not(iserror(index(split(C650, "" ""),3))), index(split(C650, "" ""),3),index(split(C650, "" ""),2)))"),"")</f>
        <v/>
      </c>
      <c r="X650" s="38" t="b">
        <f t="shared" si="2"/>
        <v>0</v>
      </c>
      <c r="Y650" s="38"/>
      <c r="Z650" s="40"/>
      <c r="AA650" s="40"/>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row>
    <row r="651">
      <c r="A651" s="37"/>
      <c r="B651" s="341"/>
      <c r="C651" s="60"/>
      <c r="D651" s="60"/>
      <c r="E651" s="58"/>
      <c r="F651" s="58"/>
      <c r="G651" s="58"/>
      <c r="H651" s="33" t="str">
        <f t="shared" si="1"/>
        <v/>
      </c>
      <c r="I651" s="58"/>
      <c r="J651" s="58"/>
      <c r="K651" s="58"/>
      <c r="L651" s="38"/>
      <c r="M651" s="58"/>
      <c r="N651" s="58"/>
      <c r="O651" s="58"/>
      <c r="P651" s="80"/>
      <c r="Q651" s="77"/>
      <c r="R651" s="62"/>
      <c r="S651" s="62"/>
      <c r="T651" s="62"/>
      <c r="U651" s="62"/>
      <c r="V651" s="37" t="str">
        <f>IFERROR(__xludf.DUMMYFUNCTION("if(not(iserror(index(split(C651, "" ""),2))), index(split(C651, "" ""),1),"""")"),"")</f>
        <v/>
      </c>
      <c r="W651" s="315" t="str">
        <f>IFERROR(__xludf.DUMMYFUNCTION("if(V651="""",C651,if(not(iserror(index(split(C651, "" ""),3))), index(split(C651, "" ""),3),index(split(C651, "" ""),2)))"),"")</f>
        <v/>
      </c>
      <c r="X651" s="38" t="b">
        <f t="shared" si="2"/>
        <v>0</v>
      </c>
      <c r="Y651" s="38"/>
      <c r="Z651" s="40"/>
      <c r="AA651" s="40"/>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row>
    <row r="652">
      <c r="A652" s="37"/>
      <c r="B652" s="341"/>
      <c r="C652" s="60"/>
      <c r="D652" s="60"/>
      <c r="E652" s="58"/>
      <c r="F652" s="58"/>
      <c r="G652" s="58"/>
      <c r="H652" s="33" t="str">
        <f t="shared" si="1"/>
        <v/>
      </c>
      <c r="I652" s="58"/>
      <c r="J652" s="58"/>
      <c r="K652" s="58"/>
      <c r="L652" s="38"/>
      <c r="M652" s="58"/>
      <c r="N652" s="58"/>
      <c r="O652" s="58"/>
      <c r="P652" s="14"/>
      <c r="Q652" s="77"/>
      <c r="R652" s="62"/>
      <c r="S652" s="62"/>
      <c r="T652" s="62"/>
      <c r="U652" s="62"/>
      <c r="V652" s="37" t="str">
        <f>IFERROR(__xludf.DUMMYFUNCTION("if(not(iserror(index(split(C652, "" ""),2))), index(split(C652, "" ""),1),"""")"),"")</f>
        <v/>
      </c>
      <c r="W652" s="315" t="str">
        <f>IFERROR(__xludf.DUMMYFUNCTION("if(V652="""",C652,if(not(iserror(index(split(C652, "" ""),3))), index(split(C652, "" ""),3),index(split(C652, "" ""),2)))"),"")</f>
        <v/>
      </c>
      <c r="X652" s="38" t="b">
        <f t="shared" si="2"/>
        <v>0</v>
      </c>
      <c r="Y652" s="38"/>
      <c r="Z652" s="40"/>
      <c r="AA652" s="40"/>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row>
    <row r="653">
      <c r="A653" s="37"/>
      <c r="B653" s="341"/>
      <c r="C653" s="60"/>
      <c r="D653" s="60"/>
      <c r="E653" s="58"/>
      <c r="F653" s="58"/>
      <c r="G653" s="58"/>
      <c r="H653" s="33" t="str">
        <f t="shared" si="1"/>
        <v/>
      </c>
      <c r="I653" s="58"/>
      <c r="J653" s="58"/>
      <c r="K653" s="58"/>
      <c r="L653" s="38"/>
      <c r="M653" s="58"/>
      <c r="N653" s="58"/>
      <c r="O653" s="58"/>
      <c r="P653" s="14"/>
      <c r="Q653" s="77"/>
      <c r="R653" s="62"/>
      <c r="S653" s="62"/>
      <c r="T653" s="62"/>
      <c r="U653" s="62"/>
      <c r="V653" s="37" t="str">
        <f>IFERROR(__xludf.DUMMYFUNCTION("if(not(iserror(index(split(C653, "" ""),2))), index(split(C653, "" ""),1),"""")"),"")</f>
        <v/>
      </c>
      <c r="W653" s="315" t="str">
        <f>IFERROR(__xludf.DUMMYFUNCTION("if(V653="""",C653,if(not(iserror(index(split(C653, "" ""),3))), index(split(C653, "" ""),3),index(split(C653, "" ""),2)))"),"")</f>
        <v/>
      </c>
      <c r="X653" s="38" t="b">
        <f t="shared" si="2"/>
        <v>0</v>
      </c>
      <c r="Y653" s="38"/>
      <c r="Z653" s="40"/>
      <c r="AA653" s="40"/>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row>
    <row r="654">
      <c r="A654" s="37"/>
      <c r="B654" s="341"/>
      <c r="C654" s="60"/>
      <c r="D654" s="60"/>
      <c r="E654" s="58"/>
      <c r="F654" s="58"/>
      <c r="G654" s="58"/>
      <c r="H654" s="33" t="str">
        <f t="shared" si="1"/>
        <v/>
      </c>
      <c r="I654" s="58"/>
      <c r="J654" s="58"/>
      <c r="K654" s="58"/>
      <c r="L654" s="38"/>
      <c r="M654" s="58"/>
      <c r="N654" s="58"/>
      <c r="O654" s="58"/>
      <c r="P654" s="80"/>
      <c r="Q654" s="77"/>
      <c r="R654" s="62"/>
      <c r="S654" s="62"/>
      <c r="T654" s="62"/>
      <c r="U654" s="62"/>
      <c r="V654" s="37" t="str">
        <f>IFERROR(__xludf.DUMMYFUNCTION("if(not(iserror(index(split(C654, "" ""),2))), index(split(C654, "" ""),1),"""")"),"")</f>
        <v/>
      </c>
      <c r="W654" s="315" t="str">
        <f>IFERROR(__xludf.DUMMYFUNCTION("if(V654="""",C654,if(not(iserror(index(split(C654, "" ""),3))), index(split(C654, "" ""),3),index(split(C654, "" ""),2)))"),"")</f>
        <v/>
      </c>
      <c r="X654" s="38" t="b">
        <f t="shared" si="2"/>
        <v>0</v>
      </c>
      <c r="Y654" s="38"/>
      <c r="Z654" s="40"/>
      <c r="AA654" s="40"/>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row>
    <row r="655">
      <c r="A655" s="37"/>
      <c r="B655" s="341"/>
      <c r="C655" s="60"/>
      <c r="D655" s="60"/>
      <c r="E655" s="58"/>
      <c r="F655" s="58"/>
      <c r="G655" s="58"/>
      <c r="H655" s="33" t="str">
        <f t="shared" si="1"/>
        <v/>
      </c>
      <c r="I655" s="58"/>
      <c r="J655" s="58"/>
      <c r="K655" s="58"/>
      <c r="L655" s="38"/>
      <c r="M655" s="58"/>
      <c r="N655" s="58"/>
      <c r="O655" s="58"/>
      <c r="P655" s="80"/>
      <c r="Q655" s="77"/>
      <c r="R655" s="62"/>
      <c r="S655" s="62"/>
      <c r="T655" s="62"/>
      <c r="U655" s="62"/>
      <c r="V655" s="37" t="str">
        <f>IFERROR(__xludf.DUMMYFUNCTION("if(not(iserror(index(split(C655, "" ""),2))), index(split(C655, "" ""),1),"""")"),"")</f>
        <v/>
      </c>
      <c r="W655" s="315" t="str">
        <f>IFERROR(__xludf.DUMMYFUNCTION("if(V655="""",C655,if(not(iserror(index(split(C655, "" ""),3))), index(split(C655, "" ""),3),index(split(C655, "" ""),2)))"),"")</f>
        <v/>
      </c>
      <c r="X655" s="38" t="b">
        <f t="shared" si="2"/>
        <v>0</v>
      </c>
      <c r="Y655" s="38"/>
      <c r="Z655" s="40"/>
      <c r="AA655" s="40"/>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row>
    <row r="656">
      <c r="A656" s="58"/>
      <c r="B656" s="341"/>
      <c r="C656" s="60"/>
      <c r="D656" s="60"/>
      <c r="E656" s="58"/>
      <c r="F656" s="58"/>
      <c r="G656" s="58"/>
      <c r="H656" s="33" t="str">
        <f t="shared" si="1"/>
        <v/>
      </c>
      <c r="I656" s="58"/>
      <c r="J656" s="58"/>
      <c r="K656" s="58"/>
      <c r="L656" s="38"/>
      <c r="M656" s="58"/>
      <c r="N656" s="58"/>
      <c r="O656" s="58"/>
      <c r="P656" s="80"/>
      <c r="Q656" s="77"/>
      <c r="R656" s="58"/>
      <c r="S656" s="62"/>
      <c r="T656" s="84"/>
      <c r="U656" s="62"/>
      <c r="V656" s="37" t="str">
        <f>IFERROR(__xludf.DUMMYFUNCTION("if(not(iserror(index(split(C656, "" ""),2))), index(split(C656, "" ""),1),"""")"),"")</f>
        <v/>
      </c>
      <c r="W656" s="315" t="str">
        <f>IFERROR(__xludf.DUMMYFUNCTION("if(V656="""",C656,if(not(iserror(index(split(C656, "" ""),3))), index(split(C656, "" ""),3),index(split(C656, "" ""),2)))"),"")</f>
        <v/>
      </c>
      <c r="X656" s="38" t="b">
        <f t="shared" si="2"/>
        <v>0</v>
      </c>
      <c r="Y656" s="38"/>
      <c r="Z656" s="40"/>
      <c r="AA656" s="40"/>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row>
    <row r="657">
      <c r="A657" s="58"/>
      <c r="B657" s="341"/>
      <c r="C657" s="60"/>
      <c r="D657" s="60"/>
      <c r="E657" s="58"/>
      <c r="F657" s="58"/>
      <c r="G657" s="58"/>
      <c r="H657" s="33" t="str">
        <f t="shared" si="1"/>
        <v/>
      </c>
      <c r="I657" s="58"/>
      <c r="J657" s="58"/>
      <c r="K657" s="58"/>
      <c r="L657" s="38"/>
      <c r="M657" s="58"/>
      <c r="N657" s="58"/>
      <c r="O657" s="58"/>
      <c r="P657" s="80"/>
      <c r="Q657" s="77"/>
      <c r="R657" s="62"/>
      <c r="S657" s="58"/>
      <c r="T657" s="84"/>
      <c r="U657" s="62"/>
      <c r="V657" s="37" t="str">
        <f>IFERROR(__xludf.DUMMYFUNCTION("if(not(iserror(index(split(C657, "" ""),2))), index(split(C657, "" ""),1),"""")"),"")</f>
        <v/>
      </c>
      <c r="W657" s="315" t="str">
        <f>IFERROR(__xludf.DUMMYFUNCTION("if(V657="""",C657,if(not(iserror(index(split(C657, "" ""),3))), index(split(C657, "" ""),3),index(split(C657, "" ""),2)))"),"")</f>
        <v/>
      </c>
      <c r="X657" s="38" t="b">
        <f t="shared" si="2"/>
        <v>0</v>
      </c>
      <c r="Y657" s="38"/>
      <c r="Z657" s="40"/>
      <c r="AA657" s="40"/>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row>
    <row r="658">
      <c r="A658" s="37"/>
      <c r="B658" s="341"/>
      <c r="C658" s="60"/>
      <c r="D658" s="60"/>
      <c r="E658" s="58"/>
      <c r="F658" s="58"/>
      <c r="G658" s="58"/>
      <c r="H658" s="33" t="str">
        <f t="shared" si="1"/>
        <v/>
      </c>
      <c r="I658" s="58"/>
      <c r="J658" s="58"/>
      <c r="K658" s="58"/>
      <c r="L658" s="38"/>
      <c r="M658" s="58"/>
      <c r="N658" s="58"/>
      <c r="O658" s="58"/>
      <c r="P658" s="80"/>
      <c r="Q658" s="77"/>
      <c r="R658" s="58"/>
      <c r="S658" s="58"/>
      <c r="T658" s="84"/>
      <c r="U658" s="62"/>
      <c r="V658" s="37" t="str">
        <f>IFERROR(__xludf.DUMMYFUNCTION("if(not(iserror(index(split(C658, "" ""),2))), index(split(C658, "" ""),1),"""")"),"")</f>
        <v/>
      </c>
      <c r="W658" s="315" t="str">
        <f>IFERROR(__xludf.DUMMYFUNCTION("if(V658="""",C658,if(not(iserror(index(split(C658, "" ""),3))), index(split(C658, "" ""),3),index(split(C658, "" ""),2)))"),"")</f>
        <v/>
      </c>
      <c r="X658" s="38" t="b">
        <f t="shared" si="2"/>
        <v>0</v>
      </c>
      <c r="Y658" s="38"/>
      <c r="Z658" s="40"/>
      <c r="AA658" s="40"/>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row>
    <row r="659">
      <c r="A659" s="37"/>
      <c r="B659" s="341"/>
      <c r="C659" s="60"/>
      <c r="D659" s="60"/>
      <c r="E659" s="58"/>
      <c r="F659" s="58"/>
      <c r="G659" s="58"/>
      <c r="H659" s="33" t="str">
        <f t="shared" si="1"/>
        <v/>
      </c>
      <c r="I659" s="58"/>
      <c r="J659" s="58"/>
      <c r="K659" s="58"/>
      <c r="L659" s="38"/>
      <c r="M659" s="58"/>
      <c r="N659" s="58"/>
      <c r="O659" s="58"/>
      <c r="P659" s="14"/>
      <c r="Q659" s="77"/>
      <c r="R659" s="62"/>
      <c r="S659" s="62"/>
      <c r="T659" s="62"/>
      <c r="U659" s="62"/>
      <c r="V659" s="37" t="str">
        <f>IFERROR(__xludf.DUMMYFUNCTION("if(not(iserror(index(split(C659, "" ""),2))), index(split(C659, "" ""),1),"""")"),"")</f>
        <v/>
      </c>
      <c r="W659" s="315" t="str">
        <f>IFERROR(__xludf.DUMMYFUNCTION("if(V659="""",C659,if(not(iserror(index(split(C659, "" ""),3))), index(split(C659, "" ""),3),index(split(C659, "" ""),2)))"),"")</f>
        <v/>
      </c>
      <c r="X659" s="38" t="b">
        <f t="shared" si="2"/>
        <v>0</v>
      </c>
      <c r="Y659" s="38"/>
      <c r="Z659" s="40"/>
      <c r="AA659" s="40"/>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row>
    <row r="660">
      <c r="A660" s="37"/>
      <c r="B660" s="341"/>
      <c r="C660" s="60"/>
      <c r="D660" s="60"/>
      <c r="E660" s="58"/>
      <c r="F660" s="58"/>
      <c r="G660" s="58"/>
      <c r="H660" s="33" t="str">
        <f t="shared" si="1"/>
        <v/>
      </c>
      <c r="I660" s="58"/>
      <c r="J660" s="58"/>
      <c r="K660" s="58"/>
      <c r="L660" s="38"/>
      <c r="M660" s="58"/>
      <c r="N660" s="58"/>
      <c r="O660" s="58"/>
      <c r="P660" s="14"/>
      <c r="Q660" s="77"/>
      <c r="R660" s="62"/>
      <c r="S660" s="62"/>
      <c r="T660" s="62"/>
      <c r="U660" s="62"/>
      <c r="V660" s="37" t="str">
        <f>IFERROR(__xludf.DUMMYFUNCTION("if(not(iserror(index(split(C660, "" ""),2))), index(split(C660, "" ""),1),"""")"),"")</f>
        <v/>
      </c>
      <c r="W660" s="315" t="str">
        <f>IFERROR(__xludf.DUMMYFUNCTION("if(V660="""",C660,if(not(iserror(index(split(C660, "" ""),3))), index(split(C660, "" ""),3),index(split(C660, "" ""),2)))"),"")</f>
        <v/>
      </c>
      <c r="X660" s="38" t="b">
        <f t="shared" si="2"/>
        <v>0</v>
      </c>
      <c r="Y660" s="38"/>
      <c r="Z660" s="40"/>
      <c r="AA660" s="40"/>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row>
    <row r="661">
      <c r="A661" s="37"/>
      <c r="B661" s="341"/>
      <c r="C661" s="60"/>
      <c r="D661" s="60"/>
      <c r="E661" s="58"/>
      <c r="F661" s="58"/>
      <c r="G661" s="58"/>
      <c r="H661" s="33" t="str">
        <f t="shared" si="1"/>
        <v/>
      </c>
      <c r="I661" s="58"/>
      <c r="J661" s="58"/>
      <c r="K661" s="58"/>
      <c r="L661" s="38"/>
      <c r="M661" s="58"/>
      <c r="N661" s="58"/>
      <c r="O661" s="58"/>
      <c r="P661" s="80"/>
      <c r="Q661" s="77"/>
      <c r="R661" s="62"/>
      <c r="S661" s="62"/>
      <c r="T661" s="62"/>
      <c r="U661" s="62"/>
      <c r="V661" s="37" t="str">
        <f>IFERROR(__xludf.DUMMYFUNCTION("if(not(iserror(index(split(C661, "" ""),2))), index(split(C661, "" ""),1),"""")"),"")</f>
        <v/>
      </c>
      <c r="W661" s="315" t="str">
        <f>IFERROR(__xludf.DUMMYFUNCTION("if(V661="""",C661,if(not(iserror(index(split(C661, "" ""),3))), index(split(C661, "" ""),3),index(split(C661, "" ""),2)))"),"")</f>
        <v/>
      </c>
      <c r="X661" s="38" t="b">
        <f t="shared" si="2"/>
        <v>0</v>
      </c>
      <c r="Y661" s="38"/>
      <c r="Z661" s="40"/>
      <c r="AA661" s="40"/>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row>
    <row r="662">
      <c r="A662" s="37"/>
      <c r="B662" s="341"/>
      <c r="C662" s="60"/>
      <c r="D662" s="60"/>
      <c r="E662" s="58"/>
      <c r="F662" s="58"/>
      <c r="G662" s="58"/>
      <c r="H662" s="33" t="str">
        <f t="shared" si="1"/>
        <v/>
      </c>
      <c r="I662" s="58"/>
      <c r="J662" s="58"/>
      <c r="K662" s="58"/>
      <c r="L662" s="38"/>
      <c r="M662" s="58"/>
      <c r="N662" s="58"/>
      <c r="O662" s="58"/>
      <c r="P662" s="80"/>
      <c r="Q662" s="77"/>
      <c r="R662" s="62"/>
      <c r="S662" s="62"/>
      <c r="T662" s="62"/>
      <c r="U662" s="62"/>
      <c r="V662" s="37" t="str">
        <f>IFERROR(__xludf.DUMMYFUNCTION("if(not(iserror(index(split(C662, "" ""),2))), index(split(C662, "" ""),1),"""")"),"")</f>
        <v/>
      </c>
      <c r="W662" s="315" t="str">
        <f>IFERROR(__xludf.DUMMYFUNCTION("if(V662="""",C662,if(not(iserror(index(split(C662, "" ""),3))), index(split(C662, "" ""),3),index(split(C662, "" ""),2)))"),"")</f>
        <v/>
      </c>
      <c r="X662" s="38" t="b">
        <f t="shared" si="2"/>
        <v>0</v>
      </c>
      <c r="Y662" s="38"/>
      <c r="Z662" s="40"/>
      <c r="AA662" s="40"/>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row>
    <row r="663">
      <c r="A663" s="37"/>
      <c r="B663" s="341"/>
      <c r="C663" s="60"/>
      <c r="D663" s="60"/>
      <c r="E663" s="58"/>
      <c r="F663" s="58"/>
      <c r="G663" s="58"/>
      <c r="H663" s="33" t="str">
        <f t="shared" si="1"/>
        <v/>
      </c>
      <c r="I663" s="58"/>
      <c r="J663" s="58"/>
      <c r="K663" s="58"/>
      <c r="L663" s="38"/>
      <c r="M663" s="58"/>
      <c r="N663" s="58"/>
      <c r="O663" s="58"/>
      <c r="P663" s="80"/>
      <c r="Q663" s="77"/>
      <c r="R663" s="62"/>
      <c r="S663" s="62"/>
      <c r="T663" s="62"/>
      <c r="U663" s="62"/>
      <c r="V663" s="37" t="str">
        <f>IFERROR(__xludf.DUMMYFUNCTION("if(not(iserror(index(split(C663, "" ""),2))), index(split(C663, "" ""),1),"""")"),"")</f>
        <v/>
      </c>
      <c r="W663" s="315" t="str">
        <f>IFERROR(__xludf.DUMMYFUNCTION("if(V663="""",C663,if(not(iserror(index(split(C663, "" ""),3))), index(split(C663, "" ""),3),index(split(C663, "" ""),2)))"),"")</f>
        <v/>
      </c>
      <c r="X663" s="38" t="b">
        <f t="shared" si="2"/>
        <v>0</v>
      </c>
      <c r="Y663" s="38"/>
      <c r="Z663" s="40"/>
      <c r="AA663" s="40"/>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row>
    <row r="664">
      <c r="A664" s="37"/>
      <c r="B664" s="341"/>
      <c r="C664" s="60"/>
      <c r="D664" s="60"/>
      <c r="E664" s="58"/>
      <c r="F664" s="58"/>
      <c r="G664" s="58"/>
      <c r="H664" s="33" t="str">
        <f t="shared" si="1"/>
        <v/>
      </c>
      <c r="I664" s="58"/>
      <c r="J664" s="58"/>
      <c r="K664" s="58"/>
      <c r="L664" s="38"/>
      <c r="M664" s="58"/>
      <c r="N664" s="58"/>
      <c r="O664" s="58"/>
      <c r="P664" s="80"/>
      <c r="Q664" s="77"/>
      <c r="R664" s="62"/>
      <c r="S664" s="62"/>
      <c r="T664" s="62"/>
      <c r="U664" s="62"/>
      <c r="V664" s="37" t="str">
        <f>IFERROR(__xludf.DUMMYFUNCTION("if(not(iserror(index(split(C664, "" ""),2))), index(split(C664, "" ""),1),"""")"),"")</f>
        <v/>
      </c>
      <c r="W664" s="315" t="str">
        <f>IFERROR(__xludf.DUMMYFUNCTION("if(V664="""",C664,if(not(iserror(index(split(C664, "" ""),3))), index(split(C664, "" ""),3),index(split(C664, "" ""),2)))"),"")</f>
        <v/>
      </c>
      <c r="X664" s="38" t="b">
        <f t="shared" si="2"/>
        <v>0</v>
      </c>
      <c r="Y664" s="38"/>
      <c r="Z664" s="40"/>
      <c r="AA664" s="40"/>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row>
    <row r="665">
      <c r="A665" s="58"/>
      <c r="B665" s="341"/>
      <c r="C665" s="60"/>
      <c r="D665" s="60"/>
      <c r="E665" s="58"/>
      <c r="F665" s="58"/>
      <c r="G665" s="58"/>
      <c r="H665" s="33" t="str">
        <f t="shared" si="1"/>
        <v/>
      </c>
      <c r="I665" s="58"/>
      <c r="J665" s="58"/>
      <c r="K665" s="58"/>
      <c r="L665" s="38"/>
      <c r="M665" s="58"/>
      <c r="N665" s="58"/>
      <c r="O665" s="58"/>
      <c r="P665" s="80"/>
      <c r="Q665" s="77"/>
      <c r="R665" s="62"/>
      <c r="S665" s="62"/>
      <c r="T665" s="62"/>
      <c r="U665" s="62"/>
      <c r="V665" s="37" t="str">
        <f>IFERROR(__xludf.DUMMYFUNCTION("if(not(iserror(index(split(C665, "" ""),2))), index(split(C665, "" ""),1),"""")"),"")</f>
        <v/>
      </c>
      <c r="W665" s="315" t="str">
        <f>IFERROR(__xludf.DUMMYFUNCTION("if(V665="""",C665,if(not(iserror(index(split(C665, "" ""),3))), index(split(C665, "" ""),3),index(split(C665, "" ""),2)))"),"")</f>
        <v/>
      </c>
      <c r="X665" s="38" t="b">
        <f t="shared" si="2"/>
        <v>0</v>
      </c>
      <c r="Y665" s="38"/>
      <c r="Z665" s="40"/>
      <c r="AA665" s="40"/>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row>
    <row r="666">
      <c r="A666" s="58"/>
      <c r="B666" s="341"/>
      <c r="C666" s="60"/>
      <c r="D666" s="60"/>
      <c r="E666" s="58"/>
      <c r="F666" s="58"/>
      <c r="G666" s="58"/>
      <c r="H666" s="33" t="str">
        <f t="shared" si="1"/>
        <v/>
      </c>
      <c r="I666" s="58"/>
      <c r="J666" s="58"/>
      <c r="K666" s="58"/>
      <c r="L666" s="38"/>
      <c r="M666" s="58"/>
      <c r="N666" s="58"/>
      <c r="O666" s="58"/>
      <c r="P666" s="80"/>
      <c r="Q666" s="77"/>
      <c r="R666" s="58"/>
      <c r="S666" s="62"/>
      <c r="T666" s="84"/>
      <c r="U666" s="62"/>
      <c r="V666" s="37" t="str">
        <f>IFERROR(__xludf.DUMMYFUNCTION("if(not(iserror(index(split(C666, "" ""),2))), index(split(C666, "" ""),1),"""")"),"")</f>
        <v/>
      </c>
      <c r="W666" s="315" t="str">
        <f>IFERROR(__xludf.DUMMYFUNCTION("if(V666="""",C666,if(not(iserror(index(split(C666, "" ""),3))), index(split(C666, "" ""),3),index(split(C666, "" ""),2)))"),"")</f>
        <v/>
      </c>
      <c r="X666" s="38" t="b">
        <f t="shared" si="2"/>
        <v>0</v>
      </c>
      <c r="Y666" s="38"/>
      <c r="Z666" s="40"/>
      <c r="AA666" s="40"/>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row>
    <row r="667">
      <c r="A667" s="58"/>
      <c r="B667" s="341"/>
      <c r="C667" s="60"/>
      <c r="D667" s="60"/>
      <c r="E667" s="58"/>
      <c r="F667" s="58"/>
      <c r="G667" s="58"/>
      <c r="H667" s="33" t="str">
        <f t="shared" si="1"/>
        <v/>
      </c>
      <c r="I667" s="58"/>
      <c r="J667" s="58"/>
      <c r="K667" s="58"/>
      <c r="L667" s="38"/>
      <c r="M667" s="58"/>
      <c r="N667" s="58"/>
      <c r="O667" s="58"/>
      <c r="P667" s="80"/>
      <c r="Q667" s="77"/>
      <c r="R667" s="58"/>
      <c r="S667" s="62"/>
      <c r="T667" s="84"/>
      <c r="U667" s="62"/>
      <c r="V667" s="37" t="str">
        <f>IFERROR(__xludf.DUMMYFUNCTION("if(not(iserror(index(split(C667, "" ""),2))), index(split(C667, "" ""),1),"""")"),"")</f>
        <v/>
      </c>
      <c r="W667" s="315" t="str">
        <f>IFERROR(__xludf.DUMMYFUNCTION("if(V667="""",C667,if(not(iserror(index(split(C667, "" ""),3))), index(split(C667, "" ""),3),index(split(C667, "" ""),2)))"),"")</f>
        <v/>
      </c>
      <c r="X667" s="38" t="b">
        <f t="shared" si="2"/>
        <v>0</v>
      </c>
      <c r="Y667" s="38"/>
      <c r="Z667" s="40"/>
      <c r="AA667" s="40"/>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row>
    <row r="668">
      <c r="A668" s="37"/>
      <c r="B668" s="341"/>
      <c r="C668" s="60"/>
      <c r="D668" s="60"/>
      <c r="E668" s="58"/>
      <c r="F668" s="58"/>
      <c r="G668" s="58"/>
      <c r="H668" s="33" t="str">
        <f t="shared" si="1"/>
        <v/>
      </c>
      <c r="I668" s="58"/>
      <c r="J668" s="58"/>
      <c r="K668" s="58"/>
      <c r="L668" s="38"/>
      <c r="M668" s="58"/>
      <c r="N668" s="58"/>
      <c r="O668" s="58"/>
      <c r="P668" s="80"/>
      <c r="Q668" s="77"/>
      <c r="R668" s="62"/>
      <c r="S668" s="62"/>
      <c r="T668" s="62"/>
      <c r="U668" s="62"/>
      <c r="V668" s="37" t="str">
        <f>IFERROR(__xludf.DUMMYFUNCTION("if(not(iserror(index(split(C668, "" ""),2))), index(split(C668, "" ""),1),"""")"),"")</f>
        <v/>
      </c>
      <c r="W668" s="315" t="str">
        <f>IFERROR(__xludf.DUMMYFUNCTION("if(V668="""",C668,if(not(iserror(index(split(C668, "" ""),3))), index(split(C668, "" ""),3),index(split(C668, "" ""),2)))"),"")</f>
        <v/>
      </c>
      <c r="X668" s="38" t="b">
        <f t="shared" si="2"/>
        <v>0</v>
      </c>
      <c r="Y668" s="38"/>
      <c r="Z668" s="40"/>
      <c r="AA668" s="40"/>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row>
    <row r="669">
      <c r="A669" s="37"/>
      <c r="B669" s="341"/>
      <c r="C669" s="60"/>
      <c r="D669" s="60"/>
      <c r="E669" s="58"/>
      <c r="F669" s="58"/>
      <c r="G669" s="58"/>
      <c r="H669" s="33" t="str">
        <f t="shared" si="1"/>
        <v/>
      </c>
      <c r="I669" s="58"/>
      <c r="J669" s="58"/>
      <c r="K669" s="58"/>
      <c r="L669" s="38"/>
      <c r="M669" s="58"/>
      <c r="N669" s="58"/>
      <c r="O669" s="58"/>
      <c r="P669" s="80"/>
      <c r="Q669" s="77"/>
      <c r="R669" s="62"/>
      <c r="S669" s="62"/>
      <c r="T669" s="62"/>
      <c r="U669" s="62"/>
      <c r="V669" s="37" t="str">
        <f>IFERROR(__xludf.DUMMYFUNCTION("if(not(iserror(index(split(C669, "" ""),2))), index(split(C669, "" ""),1),"""")"),"")</f>
        <v/>
      </c>
      <c r="W669" s="315" t="str">
        <f>IFERROR(__xludf.DUMMYFUNCTION("if(V669="""",C669,if(not(iserror(index(split(C669, "" ""),3))), index(split(C669, "" ""),3),index(split(C669, "" ""),2)))"),"")</f>
        <v/>
      </c>
      <c r="X669" s="38" t="b">
        <f t="shared" si="2"/>
        <v>0</v>
      </c>
      <c r="Y669" s="38"/>
      <c r="Z669" s="40"/>
      <c r="AA669" s="40"/>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row>
    <row r="670">
      <c r="A670" s="37"/>
      <c r="B670" s="341"/>
      <c r="C670" s="60"/>
      <c r="D670" s="60"/>
      <c r="E670" s="58"/>
      <c r="F670" s="58"/>
      <c r="G670" s="58"/>
      <c r="H670" s="33" t="str">
        <f t="shared" si="1"/>
        <v/>
      </c>
      <c r="I670" s="58"/>
      <c r="J670" s="58"/>
      <c r="K670" s="58"/>
      <c r="L670" s="38"/>
      <c r="M670" s="58"/>
      <c r="N670" s="58"/>
      <c r="O670" s="58"/>
      <c r="P670" s="80"/>
      <c r="Q670" s="77"/>
      <c r="R670" s="58"/>
      <c r="S670" s="58"/>
      <c r="T670" s="84"/>
      <c r="U670" s="62"/>
      <c r="V670" s="37" t="str">
        <f>IFERROR(__xludf.DUMMYFUNCTION("if(not(iserror(index(split(C670, "" ""),2))), index(split(C670, "" ""),1),"""")"),"")</f>
        <v/>
      </c>
      <c r="W670" s="315" t="str">
        <f>IFERROR(__xludf.DUMMYFUNCTION("if(V670="""",C670,if(not(iserror(index(split(C670, "" ""),3))), index(split(C670, "" ""),3),index(split(C670, "" ""),2)))"),"")</f>
        <v/>
      </c>
      <c r="X670" s="38" t="b">
        <f t="shared" si="2"/>
        <v>0</v>
      </c>
      <c r="Y670" s="38"/>
      <c r="Z670" s="40"/>
      <c r="AA670" s="40"/>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row>
    <row r="671">
      <c r="A671" s="91"/>
      <c r="B671" s="383"/>
      <c r="C671" s="146"/>
      <c r="D671" s="146"/>
      <c r="E671" s="91"/>
      <c r="F671" s="91"/>
      <c r="G671" s="91"/>
      <c r="H671" s="33" t="str">
        <f t="shared" si="1"/>
        <v/>
      </c>
      <c r="I671" s="91"/>
      <c r="J671" s="91"/>
      <c r="K671" s="91"/>
      <c r="L671" s="38"/>
      <c r="M671" s="91"/>
      <c r="N671" s="91"/>
      <c r="O671" s="91"/>
      <c r="P671" s="95"/>
      <c r="Q671" s="95"/>
      <c r="R671" s="58"/>
      <c r="S671" s="58"/>
      <c r="T671" s="84"/>
      <c r="U671" s="62"/>
      <c r="V671" s="37" t="str">
        <f>IFERROR(__xludf.DUMMYFUNCTION("if(not(iserror(index(split(C671, "" ""),2))), index(split(C671, "" ""),1),"""")"),"")</f>
        <v/>
      </c>
      <c r="W671" s="315" t="str">
        <f>IFERROR(__xludf.DUMMYFUNCTION("if(V671="""",C671,if(not(iserror(index(split(C671, "" ""),3))), index(split(C671, "" ""),3),index(split(C671, "" ""),2)))"),"")</f>
        <v/>
      </c>
      <c r="X671" s="38" t="b">
        <f t="shared" si="2"/>
        <v>0</v>
      </c>
      <c r="Y671" s="38"/>
      <c r="Z671" s="40"/>
      <c r="AA671" s="40"/>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row>
    <row r="672">
      <c r="A672" s="58"/>
      <c r="B672" s="341"/>
      <c r="C672" s="60"/>
      <c r="D672" s="60"/>
      <c r="E672" s="58"/>
      <c r="F672" s="58"/>
      <c r="G672" s="58"/>
      <c r="H672" s="33" t="str">
        <f t="shared" si="1"/>
        <v/>
      </c>
      <c r="I672" s="58"/>
      <c r="J672" s="58"/>
      <c r="K672" s="58"/>
      <c r="L672" s="38"/>
      <c r="M672" s="58"/>
      <c r="N672" s="58"/>
      <c r="O672" s="58"/>
      <c r="P672" s="80"/>
      <c r="Q672" s="77"/>
      <c r="R672" s="62"/>
      <c r="S672" s="62"/>
      <c r="T672" s="62"/>
      <c r="U672" s="62"/>
      <c r="V672" s="37" t="str">
        <f>IFERROR(__xludf.DUMMYFUNCTION("if(not(iserror(index(split(C672, "" ""),2))), index(split(C672, "" ""),1),"""")"),"")</f>
        <v/>
      </c>
      <c r="W672" s="315" t="str">
        <f>IFERROR(__xludf.DUMMYFUNCTION("if(V672="""",C672,if(not(iserror(index(split(C672, "" ""),3))), index(split(C672, "" ""),3),index(split(C672, "" ""),2)))"),"")</f>
        <v/>
      </c>
      <c r="X672" s="38" t="b">
        <f t="shared" si="2"/>
        <v>0</v>
      </c>
      <c r="Y672" s="38"/>
      <c r="Z672" s="40"/>
      <c r="AA672" s="40"/>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row>
    <row r="673">
      <c r="A673" s="58"/>
      <c r="B673" s="341"/>
      <c r="C673" s="60"/>
      <c r="D673" s="60"/>
      <c r="E673" s="58"/>
      <c r="F673" s="58"/>
      <c r="G673" s="58"/>
      <c r="H673" s="33" t="str">
        <f t="shared" si="1"/>
        <v/>
      </c>
      <c r="I673" s="58"/>
      <c r="J673" s="58"/>
      <c r="K673" s="58"/>
      <c r="L673" s="38"/>
      <c r="M673" s="58"/>
      <c r="N673" s="58"/>
      <c r="O673" s="58"/>
      <c r="P673" s="80"/>
      <c r="Q673" s="77"/>
      <c r="R673" s="62"/>
      <c r="S673" s="62"/>
      <c r="T673" s="62"/>
      <c r="U673" s="62"/>
      <c r="V673" s="37" t="str">
        <f>IFERROR(__xludf.DUMMYFUNCTION("if(not(iserror(index(split(C673, "" ""),2))), index(split(C673, "" ""),1),"""")"),"")</f>
        <v/>
      </c>
      <c r="W673" s="315" t="str">
        <f>IFERROR(__xludf.DUMMYFUNCTION("if(V673="""",C673,if(not(iserror(index(split(C673, "" ""),3))), index(split(C673, "" ""),3),index(split(C673, "" ""),2)))"),"")</f>
        <v/>
      </c>
      <c r="X673" s="38" t="b">
        <f t="shared" si="2"/>
        <v>0</v>
      </c>
      <c r="Y673" s="38"/>
      <c r="Z673" s="40"/>
      <c r="AA673" s="40"/>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row>
    <row r="674">
      <c r="A674" s="58"/>
      <c r="B674" s="341"/>
      <c r="C674" s="60"/>
      <c r="D674" s="60"/>
      <c r="E674" s="58"/>
      <c r="F674" s="58"/>
      <c r="G674" s="58"/>
      <c r="H674" s="33" t="str">
        <f t="shared" si="1"/>
        <v/>
      </c>
      <c r="I674" s="58"/>
      <c r="J674" s="58"/>
      <c r="K674" s="58"/>
      <c r="L674" s="38"/>
      <c r="M674" s="58"/>
      <c r="N674" s="58"/>
      <c r="O674" s="58"/>
      <c r="P674" s="80"/>
      <c r="Q674" s="77"/>
      <c r="R674" s="62"/>
      <c r="S674" s="62"/>
      <c r="T674" s="62"/>
      <c r="U674" s="62"/>
      <c r="V674" s="37" t="str">
        <f>IFERROR(__xludf.DUMMYFUNCTION("if(not(iserror(index(split(C674, "" ""),2))), index(split(C674, "" ""),1),"""")"),"")</f>
        <v/>
      </c>
      <c r="W674" s="315" t="str">
        <f>IFERROR(__xludf.DUMMYFUNCTION("if(V674="""",C674,if(not(iserror(index(split(C674, "" ""),3))), index(split(C674, "" ""),3),index(split(C674, "" ""),2)))"),"")</f>
        <v/>
      </c>
      <c r="X674" s="38" t="b">
        <f t="shared" si="2"/>
        <v>0</v>
      </c>
      <c r="Y674" s="38"/>
      <c r="Z674" s="40"/>
      <c r="AA674" s="40"/>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row>
    <row r="675">
      <c r="A675" s="37"/>
      <c r="B675" s="341"/>
      <c r="C675" s="60"/>
      <c r="D675" s="60"/>
      <c r="E675" s="58"/>
      <c r="F675" s="58"/>
      <c r="G675" s="58"/>
      <c r="H675" s="33" t="str">
        <f t="shared" si="1"/>
        <v/>
      </c>
      <c r="I675" s="58"/>
      <c r="J675" s="58"/>
      <c r="K675" s="58"/>
      <c r="L675" s="38"/>
      <c r="M675" s="58"/>
      <c r="N675" s="58"/>
      <c r="O675" s="58"/>
      <c r="P675" s="80"/>
      <c r="Q675" s="77"/>
      <c r="R675" s="62"/>
      <c r="S675" s="62"/>
      <c r="T675" s="62"/>
      <c r="U675" s="62"/>
      <c r="V675" s="37" t="str">
        <f>IFERROR(__xludf.DUMMYFUNCTION("if(not(iserror(index(split(C675, "" ""),2))), index(split(C675, "" ""),1),"""")"),"")</f>
        <v/>
      </c>
      <c r="W675" s="315" t="str">
        <f>IFERROR(__xludf.DUMMYFUNCTION("if(V675="""",C675,if(not(iserror(index(split(C675, "" ""),3))), index(split(C675, "" ""),3),index(split(C675, "" ""),2)))"),"")</f>
        <v/>
      </c>
      <c r="X675" s="38" t="b">
        <f t="shared" si="2"/>
        <v>0</v>
      </c>
      <c r="Y675" s="38"/>
      <c r="Z675" s="40"/>
      <c r="AA675" s="40"/>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row>
    <row r="676">
      <c r="A676" s="37"/>
      <c r="B676" s="341"/>
      <c r="C676" s="60"/>
      <c r="D676" s="60"/>
      <c r="E676" s="58"/>
      <c r="F676" s="58"/>
      <c r="G676" s="58"/>
      <c r="H676" s="33" t="str">
        <f t="shared" si="1"/>
        <v/>
      </c>
      <c r="I676" s="58"/>
      <c r="J676" s="58"/>
      <c r="K676" s="58"/>
      <c r="L676" s="38"/>
      <c r="M676" s="58"/>
      <c r="N676" s="58"/>
      <c r="O676" s="58"/>
      <c r="P676" s="80"/>
      <c r="Q676" s="77"/>
      <c r="R676" s="62"/>
      <c r="S676" s="62"/>
      <c r="T676" s="62"/>
      <c r="U676" s="62"/>
      <c r="V676" s="37" t="str">
        <f>IFERROR(__xludf.DUMMYFUNCTION("if(not(iserror(index(split(C676, "" ""),2))), index(split(C676, "" ""),1),"""")"),"")</f>
        <v/>
      </c>
      <c r="W676" s="315" t="str">
        <f>IFERROR(__xludf.DUMMYFUNCTION("if(V676="""",C676,if(not(iserror(index(split(C676, "" ""),3))), index(split(C676, "" ""),3),index(split(C676, "" ""),2)))"),"")</f>
        <v/>
      </c>
      <c r="X676" s="38" t="b">
        <f t="shared" si="2"/>
        <v>0</v>
      </c>
      <c r="Y676" s="38"/>
      <c r="Z676" s="40"/>
      <c r="AA676" s="40"/>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row>
    <row r="677">
      <c r="A677" s="37"/>
      <c r="B677" s="341"/>
      <c r="C677" s="60"/>
      <c r="D677" s="60"/>
      <c r="E677" s="58"/>
      <c r="F677" s="58"/>
      <c r="G677" s="58"/>
      <c r="H677" s="33" t="str">
        <f t="shared" si="1"/>
        <v/>
      </c>
      <c r="I677" s="58"/>
      <c r="J677" s="58"/>
      <c r="K677" s="58"/>
      <c r="L677" s="38"/>
      <c r="M677" s="58"/>
      <c r="N677" s="58"/>
      <c r="O677" s="58"/>
      <c r="P677" s="80"/>
      <c r="Q677" s="77"/>
      <c r="R677" s="62"/>
      <c r="S677" s="62"/>
      <c r="T677" s="62"/>
      <c r="U677" s="62"/>
      <c r="V677" s="37" t="str">
        <f>IFERROR(__xludf.DUMMYFUNCTION("if(not(iserror(index(split(C677, "" ""),2))), index(split(C677, "" ""),1),"""")"),"")</f>
        <v/>
      </c>
      <c r="W677" s="315" t="str">
        <f>IFERROR(__xludf.DUMMYFUNCTION("if(V677="""",C677,if(not(iserror(index(split(C677, "" ""),3))), index(split(C677, "" ""),3),index(split(C677, "" ""),2)))"),"")</f>
        <v/>
      </c>
      <c r="X677" s="38" t="b">
        <f t="shared" si="2"/>
        <v>0</v>
      </c>
      <c r="Y677" s="38"/>
      <c r="Z677" s="40"/>
      <c r="AA677" s="40"/>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row>
    <row r="678">
      <c r="A678" s="58"/>
      <c r="B678" s="341"/>
      <c r="C678" s="60"/>
      <c r="D678" s="60"/>
      <c r="E678" s="58"/>
      <c r="F678" s="58"/>
      <c r="G678" s="58"/>
      <c r="H678" s="33" t="str">
        <f t="shared" si="1"/>
        <v/>
      </c>
      <c r="I678" s="58"/>
      <c r="J678" s="58"/>
      <c r="K678" s="58"/>
      <c r="L678" s="38"/>
      <c r="M678" s="58"/>
      <c r="N678" s="58"/>
      <c r="O678" s="58"/>
      <c r="P678" s="80"/>
      <c r="Q678" s="77"/>
      <c r="R678" s="58"/>
      <c r="S678" s="58"/>
      <c r="T678" s="84"/>
      <c r="U678" s="62"/>
      <c r="V678" s="37" t="str">
        <f>IFERROR(__xludf.DUMMYFUNCTION("if(not(iserror(index(split(C678, "" ""),2))), index(split(C678, "" ""),1),"""")"),"")</f>
        <v/>
      </c>
      <c r="W678" s="315" t="str">
        <f>IFERROR(__xludf.DUMMYFUNCTION("if(V678="""",C678,if(not(iserror(index(split(C678, "" ""),3))), index(split(C678, "" ""),3),index(split(C678, "" ""),2)))"),"")</f>
        <v/>
      </c>
      <c r="X678" s="38" t="b">
        <f t="shared" si="2"/>
        <v>0</v>
      </c>
      <c r="Y678" s="38"/>
      <c r="Z678" s="40"/>
      <c r="AA678" s="40"/>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row>
    <row r="679">
      <c r="A679" s="91"/>
      <c r="B679" s="383"/>
      <c r="C679" s="146"/>
      <c r="D679" s="146"/>
      <c r="E679" s="91"/>
      <c r="F679" s="91"/>
      <c r="G679" s="91"/>
      <c r="H679" s="33" t="str">
        <f t="shared" si="1"/>
        <v/>
      </c>
      <c r="I679" s="91"/>
      <c r="J679" s="91"/>
      <c r="K679" s="91"/>
      <c r="L679" s="38"/>
      <c r="M679" s="91"/>
      <c r="N679" s="91"/>
      <c r="O679" s="91"/>
      <c r="P679" s="95"/>
      <c r="Q679" s="15"/>
      <c r="R679" s="58"/>
      <c r="S679" s="58"/>
      <c r="T679" s="84"/>
      <c r="U679" s="62"/>
      <c r="V679" s="37" t="str">
        <f>IFERROR(__xludf.DUMMYFUNCTION("if(not(iserror(index(split(C679, "" ""),2))), index(split(C679, "" ""),1),"""")"),"")</f>
        <v/>
      </c>
      <c r="W679" s="315" t="str">
        <f>IFERROR(__xludf.DUMMYFUNCTION("if(V679="""",C679,if(not(iserror(index(split(C679, "" ""),3))), index(split(C679, "" ""),3),index(split(C679, "" ""),2)))"),"")</f>
        <v/>
      </c>
      <c r="X679" s="38" t="b">
        <f t="shared" si="2"/>
        <v>0</v>
      </c>
      <c r="Y679" s="38"/>
      <c r="Z679" s="40"/>
      <c r="AA679" s="40"/>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row>
    <row r="680">
      <c r="A680" s="58"/>
      <c r="B680" s="341"/>
      <c r="C680" s="60"/>
      <c r="D680" s="60"/>
      <c r="E680" s="58"/>
      <c r="F680" s="58"/>
      <c r="G680" s="58"/>
      <c r="H680" s="33" t="str">
        <f t="shared" si="1"/>
        <v/>
      </c>
      <c r="I680" s="58"/>
      <c r="J680" s="58"/>
      <c r="K680" s="58"/>
      <c r="L680" s="38"/>
      <c r="M680" s="58"/>
      <c r="N680" s="58"/>
      <c r="O680" s="58"/>
      <c r="P680" s="80"/>
      <c r="Q680" s="77"/>
      <c r="R680" s="62"/>
      <c r="S680" s="62"/>
      <c r="T680" s="62"/>
      <c r="U680" s="62"/>
      <c r="V680" s="37" t="str">
        <f>IFERROR(__xludf.DUMMYFUNCTION("if(not(iserror(index(split(C680, "" ""),2))), index(split(C680, "" ""),1),"""")"),"")</f>
        <v/>
      </c>
      <c r="W680" s="315" t="str">
        <f>IFERROR(__xludf.DUMMYFUNCTION("if(V680="""",C680,if(not(iserror(index(split(C680, "" ""),3))), index(split(C680, "" ""),3),index(split(C680, "" ""),2)))"),"")</f>
        <v/>
      </c>
      <c r="X680" s="38" t="b">
        <f t="shared" si="2"/>
        <v>0</v>
      </c>
      <c r="Y680" s="38"/>
      <c r="Z680" s="40"/>
      <c r="AA680" s="40"/>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row>
    <row r="681">
      <c r="A681" s="58"/>
      <c r="B681" s="341"/>
      <c r="C681" s="60"/>
      <c r="D681" s="60"/>
      <c r="E681" s="58"/>
      <c r="F681" s="58"/>
      <c r="G681" s="58"/>
      <c r="H681" s="33" t="str">
        <f t="shared" si="1"/>
        <v/>
      </c>
      <c r="I681" s="58"/>
      <c r="J681" s="58"/>
      <c r="K681" s="58"/>
      <c r="L681" s="38"/>
      <c r="M681" s="58"/>
      <c r="N681" s="58"/>
      <c r="O681" s="58"/>
      <c r="P681" s="80"/>
      <c r="Q681" s="77"/>
      <c r="R681" s="62"/>
      <c r="S681" s="62"/>
      <c r="T681" s="62"/>
      <c r="U681" s="62"/>
      <c r="V681" s="37" t="str">
        <f>IFERROR(__xludf.DUMMYFUNCTION("if(not(iserror(index(split(C681, "" ""),2))), index(split(C681, "" ""),1),"""")"),"")</f>
        <v/>
      </c>
      <c r="W681" s="315" t="str">
        <f>IFERROR(__xludf.DUMMYFUNCTION("if(V681="""",C681,if(not(iserror(index(split(C681, "" ""),3))), index(split(C681, "" ""),3),index(split(C681, "" ""),2)))"),"")</f>
        <v/>
      </c>
      <c r="X681" s="38" t="b">
        <f t="shared" si="2"/>
        <v>0</v>
      </c>
      <c r="Y681" s="38"/>
      <c r="Z681" s="40"/>
      <c r="AA681" s="40"/>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row>
    <row r="682">
      <c r="A682" s="58"/>
      <c r="B682" s="341"/>
      <c r="C682" s="60"/>
      <c r="D682" s="60"/>
      <c r="E682" s="58"/>
      <c r="F682" s="58"/>
      <c r="G682" s="58"/>
      <c r="H682" s="33" t="str">
        <f t="shared" si="1"/>
        <v/>
      </c>
      <c r="I682" s="58"/>
      <c r="J682" s="58"/>
      <c r="K682" s="58"/>
      <c r="L682" s="38"/>
      <c r="M682" s="58"/>
      <c r="N682" s="58"/>
      <c r="O682" s="58"/>
      <c r="P682" s="80"/>
      <c r="Q682" s="77"/>
      <c r="R682" s="62"/>
      <c r="S682" s="62"/>
      <c r="T682" s="62"/>
      <c r="U682" s="62"/>
      <c r="V682" s="37" t="str">
        <f>IFERROR(__xludf.DUMMYFUNCTION("if(not(iserror(index(split(C682, "" ""),2))), index(split(C682, "" ""),1),"""")"),"")</f>
        <v/>
      </c>
      <c r="W682" s="315" t="str">
        <f>IFERROR(__xludf.DUMMYFUNCTION("if(V682="""",C682,if(not(iserror(index(split(C682, "" ""),3))), index(split(C682, "" ""),3),index(split(C682, "" ""),2)))"),"")</f>
        <v/>
      </c>
      <c r="X682" s="38" t="b">
        <f t="shared" si="2"/>
        <v>0</v>
      </c>
      <c r="Y682" s="38"/>
      <c r="Z682" s="40"/>
      <c r="AA682" s="40"/>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row>
    <row r="683">
      <c r="A683" s="58"/>
      <c r="B683" s="341"/>
      <c r="C683" s="60"/>
      <c r="D683" s="60"/>
      <c r="E683" s="58"/>
      <c r="F683" s="58"/>
      <c r="G683" s="58"/>
      <c r="H683" s="33" t="str">
        <f t="shared" si="1"/>
        <v/>
      </c>
      <c r="I683" s="58"/>
      <c r="J683" s="58"/>
      <c r="K683" s="58"/>
      <c r="L683" s="38"/>
      <c r="M683" s="58"/>
      <c r="N683" s="58"/>
      <c r="O683" s="58"/>
      <c r="P683" s="80"/>
      <c r="Q683" s="77"/>
      <c r="R683" s="62"/>
      <c r="S683" s="62"/>
      <c r="T683" s="62"/>
      <c r="U683" s="62"/>
      <c r="V683" s="37" t="str">
        <f>IFERROR(__xludf.DUMMYFUNCTION("if(not(iserror(index(split(C683, "" ""),2))), index(split(C683, "" ""),1),"""")"),"")</f>
        <v/>
      </c>
      <c r="W683" s="315" t="str">
        <f>IFERROR(__xludf.DUMMYFUNCTION("if(V683="""",C683,if(not(iserror(index(split(C683, "" ""),3))), index(split(C683, "" ""),3),index(split(C683, "" ""),2)))"),"")</f>
        <v/>
      </c>
      <c r="X683" s="38" t="b">
        <f t="shared" si="2"/>
        <v>0</v>
      </c>
      <c r="Y683" s="38"/>
      <c r="Z683" s="40"/>
      <c r="AA683" s="40"/>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row>
    <row r="684">
      <c r="A684" s="58"/>
      <c r="B684" s="341"/>
      <c r="C684" s="60"/>
      <c r="D684" s="60"/>
      <c r="E684" s="58"/>
      <c r="F684" s="58"/>
      <c r="G684" s="58"/>
      <c r="H684" s="33" t="str">
        <f t="shared" si="1"/>
        <v/>
      </c>
      <c r="I684" s="58"/>
      <c r="J684" s="58"/>
      <c r="K684" s="58"/>
      <c r="L684" s="38"/>
      <c r="M684" s="58"/>
      <c r="N684" s="58"/>
      <c r="O684" s="58"/>
      <c r="P684" s="80"/>
      <c r="Q684" s="77"/>
      <c r="R684" s="62"/>
      <c r="S684" s="62"/>
      <c r="T684" s="62"/>
      <c r="U684" s="62"/>
      <c r="V684" s="37" t="str">
        <f>IFERROR(__xludf.DUMMYFUNCTION("if(not(iserror(index(split(C684, "" ""),2))), index(split(C684, "" ""),1),"""")"),"")</f>
        <v/>
      </c>
      <c r="W684" s="315" t="str">
        <f>IFERROR(__xludf.DUMMYFUNCTION("if(V684="""",C684,if(not(iserror(index(split(C684, "" ""),3))), index(split(C684, "" ""),3),index(split(C684, "" ""),2)))"),"")</f>
        <v/>
      </c>
      <c r="X684" s="38" t="b">
        <f t="shared" si="2"/>
        <v>0</v>
      </c>
      <c r="Y684" s="38"/>
      <c r="Z684" s="40"/>
      <c r="AA684" s="40"/>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row>
    <row r="685">
      <c r="A685" s="37"/>
      <c r="B685" s="341"/>
      <c r="C685" s="60"/>
      <c r="D685" s="60"/>
      <c r="E685" s="58"/>
      <c r="F685" s="58"/>
      <c r="G685" s="58"/>
      <c r="H685" s="33" t="str">
        <f t="shared" si="1"/>
        <v/>
      </c>
      <c r="I685" s="58"/>
      <c r="J685" s="58"/>
      <c r="K685" s="58"/>
      <c r="L685" s="38"/>
      <c r="M685" s="58"/>
      <c r="N685" s="58"/>
      <c r="O685" s="58"/>
      <c r="P685" s="80"/>
      <c r="Q685" s="77"/>
      <c r="R685" s="62"/>
      <c r="S685" s="62"/>
      <c r="T685" s="62"/>
      <c r="U685" s="62"/>
      <c r="V685" s="37" t="str">
        <f>IFERROR(__xludf.DUMMYFUNCTION("if(not(iserror(index(split(C685, "" ""),2))), index(split(C685, "" ""),1),"""")"),"")</f>
        <v/>
      </c>
      <c r="W685" s="315" t="str">
        <f>IFERROR(__xludf.DUMMYFUNCTION("if(V685="""",C685,if(not(iserror(index(split(C685, "" ""),3))), index(split(C685, "" ""),3),index(split(C685, "" ""),2)))"),"")</f>
        <v/>
      </c>
      <c r="X685" s="38" t="b">
        <f t="shared" si="2"/>
        <v>0</v>
      </c>
      <c r="Y685" s="38"/>
      <c r="Z685" s="40"/>
      <c r="AA685" s="40"/>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row>
    <row r="686">
      <c r="A686" s="58"/>
      <c r="B686" s="341"/>
      <c r="C686" s="60"/>
      <c r="D686" s="60"/>
      <c r="E686" s="58"/>
      <c r="F686" s="58"/>
      <c r="G686" s="58"/>
      <c r="H686" s="33" t="str">
        <f t="shared" si="1"/>
        <v/>
      </c>
      <c r="I686" s="58"/>
      <c r="J686" s="58"/>
      <c r="K686" s="58"/>
      <c r="L686" s="38"/>
      <c r="M686" s="58"/>
      <c r="N686" s="58"/>
      <c r="O686" s="58"/>
      <c r="P686" s="80"/>
      <c r="Q686" s="77"/>
      <c r="R686" s="62"/>
      <c r="S686" s="62"/>
      <c r="T686" s="62"/>
      <c r="U686" s="62"/>
      <c r="V686" s="37" t="str">
        <f>IFERROR(__xludf.DUMMYFUNCTION("if(not(iserror(index(split(C686, "" ""),2))), index(split(C686, "" ""),1),"""")"),"")</f>
        <v/>
      </c>
      <c r="W686" s="315" t="str">
        <f>IFERROR(__xludf.DUMMYFUNCTION("if(V686="""",C686,if(not(iserror(index(split(C686, "" ""),3))), index(split(C686, "" ""),3),index(split(C686, "" ""),2)))"),"")</f>
        <v/>
      </c>
      <c r="X686" s="38" t="b">
        <f t="shared" si="2"/>
        <v>0</v>
      </c>
      <c r="Y686" s="38"/>
      <c r="Z686" s="40"/>
      <c r="AA686" s="40"/>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row>
    <row r="687">
      <c r="A687" s="58"/>
      <c r="B687" s="341"/>
      <c r="C687" s="60"/>
      <c r="D687" s="60"/>
      <c r="E687" s="58"/>
      <c r="F687" s="58"/>
      <c r="G687" s="58"/>
      <c r="H687" s="33" t="str">
        <f t="shared" si="1"/>
        <v/>
      </c>
      <c r="I687" s="58"/>
      <c r="J687" s="58"/>
      <c r="K687" s="58"/>
      <c r="L687" s="38"/>
      <c r="M687" s="58"/>
      <c r="N687" s="58"/>
      <c r="O687" s="58"/>
      <c r="P687" s="80"/>
      <c r="Q687" s="77"/>
      <c r="R687" s="58"/>
      <c r="S687" s="58"/>
      <c r="T687" s="84"/>
      <c r="U687" s="62"/>
      <c r="V687" s="37" t="str">
        <f>IFERROR(__xludf.DUMMYFUNCTION("if(not(iserror(index(split(C687, "" ""),2))), index(split(C687, "" ""),1),"""")"),"")</f>
        <v/>
      </c>
      <c r="W687" s="315" t="str">
        <f>IFERROR(__xludf.DUMMYFUNCTION("if(V687="""",C687,if(not(iserror(index(split(C687, "" ""),3))), index(split(C687, "" ""),3),index(split(C687, "" ""),2)))"),"")</f>
        <v/>
      </c>
      <c r="X687" s="38" t="b">
        <f t="shared" si="2"/>
        <v>0</v>
      </c>
      <c r="Y687" s="38"/>
      <c r="Z687" s="40"/>
      <c r="AA687" s="40"/>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row>
    <row r="688">
      <c r="A688" s="58"/>
      <c r="B688" s="341"/>
      <c r="C688" s="60"/>
      <c r="D688" s="60"/>
      <c r="E688" s="58"/>
      <c r="F688" s="58"/>
      <c r="G688" s="58"/>
      <c r="H688" s="33" t="str">
        <f t="shared" si="1"/>
        <v/>
      </c>
      <c r="I688" s="58"/>
      <c r="J688" s="58"/>
      <c r="K688" s="58"/>
      <c r="L688" s="38"/>
      <c r="M688" s="58"/>
      <c r="N688" s="58"/>
      <c r="O688" s="58"/>
      <c r="P688" s="80"/>
      <c r="Q688" s="77"/>
      <c r="R688" s="58"/>
      <c r="S688" s="58"/>
      <c r="T688" s="58"/>
      <c r="U688" s="62"/>
      <c r="V688" s="37" t="str">
        <f>IFERROR(__xludf.DUMMYFUNCTION("if(not(iserror(index(split(C688, "" ""),2))), index(split(C688, "" ""),1),"""")"),"")</f>
        <v/>
      </c>
      <c r="W688" s="315" t="str">
        <f>IFERROR(__xludf.DUMMYFUNCTION("if(V688="""",C688,if(not(iserror(index(split(C688, "" ""),3))), index(split(C688, "" ""),3),index(split(C688, "" ""),2)))"),"")</f>
        <v/>
      </c>
      <c r="X688" s="38" t="b">
        <f t="shared" si="2"/>
        <v>0</v>
      </c>
      <c r="Y688" s="38"/>
      <c r="Z688" s="40"/>
      <c r="AA688" s="40"/>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row>
    <row r="689">
      <c r="A689" s="91"/>
      <c r="B689" s="383"/>
      <c r="C689" s="146"/>
      <c r="D689" s="146"/>
      <c r="E689" s="91"/>
      <c r="F689" s="91"/>
      <c r="G689" s="91"/>
      <c r="H689" s="33" t="str">
        <f t="shared" si="1"/>
        <v/>
      </c>
      <c r="I689" s="91"/>
      <c r="J689" s="91"/>
      <c r="K689" s="91"/>
      <c r="L689" s="38"/>
      <c r="M689" s="91"/>
      <c r="N689" s="91"/>
      <c r="O689" s="91"/>
      <c r="P689" s="95"/>
      <c r="Q689" s="15"/>
      <c r="R689" s="58"/>
      <c r="S689" s="62"/>
      <c r="T689" s="84"/>
      <c r="U689" s="62"/>
      <c r="V689" s="37" t="str">
        <f>IFERROR(__xludf.DUMMYFUNCTION("if(not(iserror(index(split(C689, "" ""),2))), index(split(C689, "" ""),1),"""")"),"")</f>
        <v/>
      </c>
      <c r="W689" s="315" t="str">
        <f>IFERROR(__xludf.DUMMYFUNCTION("if(V689="""",C689,if(not(iserror(index(split(C689, "" ""),3))), index(split(C689, "" ""),3),index(split(C689, "" ""),2)))"),"")</f>
        <v/>
      </c>
      <c r="X689" s="38" t="b">
        <f t="shared" si="2"/>
        <v>0</v>
      </c>
      <c r="Y689" s="38"/>
      <c r="Z689" s="40"/>
      <c r="AA689" s="40"/>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row>
    <row r="690">
      <c r="A690" s="58"/>
      <c r="B690" s="341"/>
      <c r="C690" s="60"/>
      <c r="D690" s="60"/>
      <c r="E690" s="58"/>
      <c r="F690" s="58"/>
      <c r="G690" s="58"/>
      <c r="H690" s="33" t="str">
        <f t="shared" si="1"/>
        <v/>
      </c>
      <c r="I690" s="58"/>
      <c r="J690" s="58"/>
      <c r="K690" s="58"/>
      <c r="L690" s="38"/>
      <c r="M690" s="58"/>
      <c r="N690" s="58"/>
      <c r="O690" s="58"/>
      <c r="P690" s="80"/>
      <c r="Q690" s="77"/>
      <c r="R690" s="58"/>
      <c r="S690" s="62"/>
      <c r="T690" s="84"/>
      <c r="U690" s="62"/>
      <c r="V690" s="37" t="str">
        <f>IFERROR(__xludf.DUMMYFUNCTION("if(not(iserror(index(split(C690, "" ""),2))), index(split(C690, "" ""),1),"""")"),"")</f>
        <v/>
      </c>
      <c r="W690" s="315" t="str">
        <f>IFERROR(__xludf.DUMMYFUNCTION("if(V690="""",C690,if(not(iserror(index(split(C690, "" ""),3))), index(split(C690, "" ""),3),index(split(C690, "" ""),2)))"),"")</f>
        <v/>
      </c>
      <c r="X690" s="38" t="b">
        <f t="shared" si="2"/>
        <v>0</v>
      </c>
      <c r="Y690" s="38"/>
      <c r="Z690" s="40"/>
      <c r="AA690" s="40"/>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row>
    <row r="691">
      <c r="A691" s="58"/>
      <c r="B691" s="341"/>
      <c r="C691" s="60"/>
      <c r="D691" s="60"/>
      <c r="E691" s="58"/>
      <c r="F691" s="58"/>
      <c r="G691" s="58"/>
      <c r="H691" s="33" t="str">
        <f t="shared" si="1"/>
        <v/>
      </c>
      <c r="I691" s="58"/>
      <c r="J691" s="58"/>
      <c r="K691" s="58"/>
      <c r="L691" s="38"/>
      <c r="M691" s="58"/>
      <c r="N691" s="58"/>
      <c r="O691" s="58"/>
      <c r="P691" s="80"/>
      <c r="Q691" s="77"/>
      <c r="R691" s="58"/>
      <c r="S691" s="62"/>
      <c r="T691" s="84"/>
      <c r="U691" s="62"/>
      <c r="V691" s="37" t="str">
        <f>IFERROR(__xludf.DUMMYFUNCTION("if(not(iserror(index(split(C691, "" ""),2))), index(split(C691, "" ""),1),"""")"),"")</f>
        <v/>
      </c>
      <c r="W691" s="315" t="str">
        <f>IFERROR(__xludf.DUMMYFUNCTION("if(V691="""",C691,if(not(iserror(index(split(C691, "" ""),3))), index(split(C691, "" ""),3),index(split(C691, "" ""),2)))"),"")</f>
        <v/>
      </c>
      <c r="X691" s="38" t="b">
        <f t="shared" si="2"/>
        <v>0</v>
      </c>
      <c r="Y691" s="38"/>
      <c r="Z691" s="40"/>
      <c r="AA691" s="40"/>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row>
    <row r="692">
      <c r="A692" s="58"/>
      <c r="B692" s="341"/>
      <c r="C692" s="60"/>
      <c r="D692" s="60"/>
      <c r="E692" s="58"/>
      <c r="F692" s="58"/>
      <c r="G692" s="58"/>
      <c r="H692" s="33" t="str">
        <f t="shared" si="1"/>
        <v/>
      </c>
      <c r="I692" s="58"/>
      <c r="J692" s="58"/>
      <c r="K692" s="58"/>
      <c r="L692" s="38"/>
      <c r="M692" s="58"/>
      <c r="N692" s="58"/>
      <c r="O692" s="58"/>
      <c r="P692" s="80"/>
      <c r="Q692" s="77"/>
      <c r="R692" s="62"/>
      <c r="S692" s="62"/>
      <c r="T692" s="62"/>
      <c r="U692" s="62"/>
      <c r="V692" s="37" t="str">
        <f>IFERROR(__xludf.DUMMYFUNCTION("if(not(iserror(index(split(C692, "" ""),2))), index(split(C692, "" ""),1),"""")"),"")</f>
        <v/>
      </c>
      <c r="W692" s="315" t="str">
        <f>IFERROR(__xludf.DUMMYFUNCTION("if(V692="""",C692,if(not(iserror(index(split(C692, "" ""),3))), index(split(C692, "" ""),3),index(split(C692, "" ""),2)))"),"")</f>
        <v/>
      </c>
      <c r="X692" s="38" t="b">
        <f t="shared" si="2"/>
        <v>0</v>
      </c>
      <c r="Y692" s="38"/>
      <c r="Z692" s="40"/>
      <c r="AA692" s="40"/>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row>
    <row r="693">
      <c r="A693" s="58"/>
      <c r="B693" s="341"/>
      <c r="C693" s="60"/>
      <c r="D693" s="60"/>
      <c r="E693" s="58"/>
      <c r="F693" s="58"/>
      <c r="G693" s="58"/>
      <c r="H693" s="33" t="str">
        <f t="shared" si="1"/>
        <v/>
      </c>
      <c r="I693" s="58"/>
      <c r="J693" s="58"/>
      <c r="K693" s="58"/>
      <c r="L693" s="38"/>
      <c r="M693" s="58"/>
      <c r="N693" s="58"/>
      <c r="O693" s="58"/>
      <c r="P693" s="80"/>
      <c r="Q693" s="77"/>
      <c r="R693" s="62"/>
      <c r="S693" s="62"/>
      <c r="T693" s="62"/>
      <c r="U693" s="62"/>
      <c r="V693" s="37" t="str">
        <f>IFERROR(__xludf.DUMMYFUNCTION("if(not(iserror(index(split(C693, "" ""),2))), index(split(C693, "" ""),1),"""")"),"")</f>
        <v/>
      </c>
      <c r="W693" s="315" t="str">
        <f>IFERROR(__xludf.DUMMYFUNCTION("if(V693="""",C693,if(not(iserror(index(split(C693, "" ""),3))), index(split(C693, "" ""),3),index(split(C693, "" ""),2)))"),"")</f>
        <v/>
      </c>
      <c r="X693" s="38" t="b">
        <f t="shared" si="2"/>
        <v>0</v>
      </c>
      <c r="Y693" s="38"/>
      <c r="Z693" s="40"/>
      <c r="AA693" s="40"/>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row>
    <row r="694">
      <c r="A694" s="58"/>
      <c r="B694" s="341"/>
      <c r="C694" s="60"/>
      <c r="D694" s="60"/>
      <c r="E694" s="58"/>
      <c r="F694" s="58"/>
      <c r="G694" s="58"/>
      <c r="H694" s="33" t="str">
        <f t="shared" si="1"/>
        <v/>
      </c>
      <c r="I694" s="58"/>
      <c r="J694" s="58"/>
      <c r="K694" s="58"/>
      <c r="L694" s="38"/>
      <c r="M694" s="58"/>
      <c r="N694" s="58"/>
      <c r="O694" s="58"/>
      <c r="P694" s="80"/>
      <c r="Q694" s="77"/>
      <c r="R694" s="58"/>
      <c r="S694" s="62"/>
      <c r="T694" s="84"/>
      <c r="U694" s="62"/>
      <c r="V694" s="37" t="str">
        <f>IFERROR(__xludf.DUMMYFUNCTION("if(not(iserror(index(split(C694, "" ""),2))), index(split(C694, "" ""),1),"""")"),"")</f>
        <v/>
      </c>
      <c r="W694" s="315" t="str">
        <f>IFERROR(__xludf.DUMMYFUNCTION("if(V694="""",C694,if(not(iserror(index(split(C694, "" ""),3))), index(split(C694, "" ""),3),index(split(C694, "" ""),2)))"),"")</f>
        <v/>
      </c>
      <c r="X694" s="38" t="b">
        <f t="shared" si="2"/>
        <v>0</v>
      </c>
      <c r="Y694" s="38"/>
      <c r="Z694" s="40"/>
      <c r="AA694" s="40"/>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row>
    <row r="695">
      <c r="A695" s="37"/>
      <c r="B695" s="341"/>
      <c r="C695" s="60"/>
      <c r="D695" s="60"/>
      <c r="E695" s="58"/>
      <c r="F695" s="58"/>
      <c r="G695" s="58"/>
      <c r="H695" s="33" t="str">
        <f t="shared" si="1"/>
        <v/>
      </c>
      <c r="I695" s="58"/>
      <c r="J695" s="58"/>
      <c r="K695" s="58"/>
      <c r="L695" s="38"/>
      <c r="M695" s="58"/>
      <c r="N695" s="58"/>
      <c r="O695" s="58"/>
      <c r="P695" s="80"/>
      <c r="Q695" s="77"/>
      <c r="R695" s="58"/>
      <c r="S695" s="58"/>
      <c r="T695" s="84"/>
      <c r="U695" s="62"/>
      <c r="V695" s="37" t="str">
        <f>IFERROR(__xludf.DUMMYFUNCTION("if(not(iserror(index(split(C695, "" ""),2))), index(split(C695, "" ""),1),"""")"),"")</f>
        <v/>
      </c>
      <c r="W695" s="315" t="str">
        <f>IFERROR(__xludf.DUMMYFUNCTION("if(V695="""",C695,if(not(iserror(index(split(C695, "" ""),3))), index(split(C695, "" ""),3),index(split(C695, "" ""),2)))"),"")</f>
        <v/>
      </c>
      <c r="X695" s="38" t="b">
        <f t="shared" si="2"/>
        <v>0</v>
      </c>
      <c r="Y695" s="38"/>
      <c r="Z695" s="40"/>
      <c r="AA695" s="40"/>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row>
    <row r="696">
      <c r="A696" s="37"/>
      <c r="B696" s="341"/>
      <c r="C696" s="60"/>
      <c r="D696" s="60"/>
      <c r="E696" s="58"/>
      <c r="F696" s="58"/>
      <c r="G696" s="58"/>
      <c r="H696" s="33" t="str">
        <f t="shared" si="1"/>
        <v/>
      </c>
      <c r="I696" s="58"/>
      <c r="J696" s="58"/>
      <c r="K696" s="58"/>
      <c r="L696" s="38"/>
      <c r="M696" s="58"/>
      <c r="N696" s="58"/>
      <c r="O696" s="58"/>
      <c r="P696" s="80"/>
      <c r="Q696" s="77"/>
      <c r="R696" s="58"/>
      <c r="S696" s="62"/>
      <c r="T696" s="84"/>
      <c r="U696" s="62"/>
      <c r="V696" s="37" t="str">
        <f>IFERROR(__xludf.DUMMYFUNCTION("if(not(iserror(index(split(C696, "" ""),2))), index(split(C696, "" ""),1),"""")"),"")</f>
        <v/>
      </c>
      <c r="W696" s="315" t="str">
        <f>IFERROR(__xludf.DUMMYFUNCTION("if(V696="""",C696,if(not(iserror(index(split(C696, "" ""),3))), index(split(C696, "" ""),3),index(split(C696, "" ""),2)))"),"")</f>
        <v/>
      </c>
      <c r="X696" s="38" t="b">
        <f t="shared" si="2"/>
        <v>0</v>
      </c>
      <c r="Y696" s="38"/>
      <c r="Z696" s="40"/>
      <c r="AA696" s="40"/>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row>
    <row r="697">
      <c r="A697" s="58"/>
      <c r="B697" s="341"/>
      <c r="C697" s="60"/>
      <c r="D697" s="60"/>
      <c r="E697" s="58"/>
      <c r="F697" s="58"/>
      <c r="G697" s="58"/>
      <c r="H697" s="33" t="str">
        <f t="shared" si="1"/>
        <v/>
      </c>
      <c r="I697" s="58"/>
      <c r="J697" s="58"/>
      <c r="K697" s="58"/>
      <c r="L697" s="38"/>
      <c r="M697" s="58"/>
      <c r="N697" s="58"/>
      <c r="O697" s="58"/>
      <c r="P697" s="80"/>
      <c r="Q697" s="77"/>
      <c r="R697" s="62"/>
      <c r="S697" s="62"/>
      <c r="T697" s="62"/>
      <c r="U697" s="62"/>
      <c r="V697" s="37" t="str">
        <f>IFERROR(__xludf.DUMMYFUNCTION("if(not(iserror(index(split(C697, "" ""),2))), index(split(C697, "" ""),1),"""")"),"")</f>
        <v/>
      </c>
      <c r="W697" s="315" t="str">
        <f>IFERROR(__xludf.DUMMYFUNCTION("if(V697="""",C697,if(not(iserror(index(split(C697, "" ""),3))), index(split(C697, "" ""),3),index(split(C697, "" ""),2)))"),"")</f>
        <v/>
      </c>
      <c r="X697" s="38" t="b">
        <f t="shared" si="2"/>
        <v>0</v>
      </c>
      <c r="Y697" s="38"/>
      <c r="Z697" s="40"/>
      <c r="AA697" s="40"/>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row>
    <row r="698">
      <c r="A698" s="37"/>
      <c r="B698" s="159"/>
      <c r="C698" s="144"/>
      <c r="D698" s="144"/>
      <c r="E698" s="37"/>
      <c r="F698" s="37"/>
      <c r="G698" s="37"/>
      <c r="H698" s="33" t="str">
        <f t="shared" si="1"/>
        <v/>
      </c>
      <c r="I698" s="37"/>
      <c r="J698" s="37"/>
      <c r="K698" s="37"/>
      <c r="L698" s="38"/>
      <c r="M698" s="37"/>
      <c r="N698" s="37"/>
      <c r="O698" s="37"/>
      <c r="P698" s="14"/>
      <c r="Q698" s="15"/>
      <c r="R698" s="16"/>
      <c r="S698" s="16"/>
      <c r="T698" s="16"/>
      <c r="U698" s="16"/>
      <c r="V698" s="37" t="str">
        <f>IFERROR(__xludf.DUMMYFUNCTION("if(not(iserror(index(split(C698, "" ""),2))), index(split(C698, "" ""),1),"""")"),"")</f>
        <v/>
      </c>
      <c r="W698" s="315" t="str">
        <f>IFERROR(__xludf.DUMMYFUNCTION("if(V698="""",C698,if(not(iserror(index(split(C698, "" ""),3))), index(split(C698, "" ""),3),index(split(C698, "" ""),2)))"),"")</f>
        <v/>
      </c>
      <c r="X698" s="38" t="b">
        <f t="shared" si="2"/>
        <v>0</v>
      </c>
      <c r="Y698" s="38"/>
      <c r="Z698" s="40"/>
      <c r="AA698" s="40"/>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row>
    <row r="699">
      <c r="A699" s="58"/>
      <c r="B699" s="341"/>
      <c r="C699" s="60"/>
      <c r="D699" s="60"/>
      <c r="E699" s="58"/>
      <c r="F699" s="58"/>
      <c r="G699" s="58"/>
      <c r="H699" s="33" t="str">
        <f t="shared" si="1"/>
        <v/>
      </c>
      <c r="I699" s="58"/>
      <c r="J699" s="58"/>
      <c r="K699" s="58"/>
      <c r="L699" s="38"/>
      <c r="M699" s="58"/>
      <c r="N699" s="58"/>
      <c r="O699" s="58"/>
      <c r="P699" s="80"/>
      <c r="Q699" s="77"/>
      <c r="R699" s="62"/>
      <c r="S699" s="62"/>
      <c r="T699" s="62"/>
      <c r="U699" s="62"/>
      <c r="V699" s="37" t="str">
        <f>IFERROR(__xludf.DUMMYFUNCTION("if(not(iserror(index(split(C699, "" ""),2))), index(split(C699, "" ""),1),"""")"),"")</f>
        <v/>
      </c>
      <c r="W699" s="315" t="str">
        <f>IFERROR(__xludf.DUMMYFUNCTION("if(V699="""",C699,if(not(iserror(index(split(C699, "" ""),3))), index(split(C699, "" ""),3),index(split(C699, "" ""),2)))"),"")</f>
        <v/>
      </c>
      <c r="X699" s="38" t="b">
        <f t="shared" si="2"/>
        <v>0</v>
      </c>
      <c r="Y699" s="38"/>
      <c r="Z699" s="40"/>
      <c r="AA699" s="40"/>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row>
    <row r="700">
      <c r="A700" s="58"/>
      <c r="B700" s="341"/>
      <c r="C700" s="60"/>
      <c r="D700" s="60"/>
      <c r="E700" s="58"/>
      <c r="F700" s="58"/>
      <c r="G700" s="58"/>
      <c r="H700" s="33" t="str">
        <f t="shared" si="1"/>
        <v/>
      </c>
      <c r="I700" s="58"/>
      <c r="J700" s="58"/>
      <c r="K700" s="58"/>
      <c r="L700" s="38"/>
      <c r="M700" s="58"/>
      <c r="N700" s="58"/>
      <c r="O700" s="58"/>
      <c r="P700" s="80"/>
      <c r="Q700" s="77"/>
      <c r="R700" s="58"/>
      <c r="S700" s="62"/>
      <c r="T700" s="84"/>
      <c r="U700" s="62"/>
      <c r="V700" s="37" t="str">
        <f>IFERROR(__xludf.DUMMYFUNCTION("if(not(iserror(index(split(C700, "" ""),2))), index(split(C700, "" ""),1),"""")"),"")</f>
        <v/>
      </c>
      <c r="W700" s="315" t="str">
        <f>IFERROR(__xludf.DUMMYFUNCTION("if(V700="""",C700,if(not(iserror(index(split(C700, "" ""),3))), index(split(C700, "" ""),3),index(split(C700, "" ""),2)))"),"")</f>
        <v/>
      </c>
      <c r="X700" s="38" t="b">
        <f t="shared" si="2"/>
        <v>0</v>
      </c>
      <c r="Y700" s="38"/>
      <c r="Z700" s="40"/>
      <c r="AA700" s="40"/>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row>
    <row r="701">
      <c r="A701" s="58"/>
      <c r="B701" s="341"/>
      <c r="C701" s="60"/>
      <c r="D701" s="60"/>
      <c r="E701" s="58"/>
      <c r="F701" s="58"/>
      <c r="G701" s="58"/>
      <c r="H701" s="33" t="str">
        <f t="shared" si="1"/>
        <v/>
      </c>
      <c r="I701" s="58"/>
      <c r="J701" s="58"/>
      <c r="K701" s="58"/>
      <c r="L701" s="38"/>
      <c r="M701" s="58"/>
      <c r="N701" s="58"/>
      <c r="O701" s="58"/>
      <c r="P701" s="80"/>
      <c r="Q701" s="80"/>
      <c r="R701" s="58"/>
      <c r="S701" s="62"/>
      <c r="T701" s="58"/>
      <c r="U701" s="62"/>
      <c r="V701" s="37" t="str">
        <f>IFERROR(__xludf.DUMMYFUNCTION("if(not(iserror(index(split(C701, "" ""),2))), index(split(C701, "" ""),1),"""")"),"")</f>
        <v/>
      </c>
      <c r="W701" s="315" t="str">
        <f>IFERROR(__xludf.DUMMYFUNCTION("if(V701="""",C701,if(not(iserror(index(split(C701, "" ""),3))), index(split(C701, "" ""),3),index(split(C701, "" ""),2)))"),"")</f>
        <v/>
      </c>
      <c r="X701" s="38" t="b">
        <f t="shared" si="2"/>
        <v>0</v>
      </c>
      <c r="Y701" s="38"/>
      <c r="Z701" s="40"/>
      <c r="AA701" s="40"/>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row>
    <row r="702">
      <c r="A702" s="58"/>
      <c r="B702" s="341"/>
      <c r="C702" s="60"/>
      <c r="D702" s="60"/>
      <c r="E702" s="58"/>
      <c r="F702" s="58"/>
      <c r="G702" s="58"/>
      <c r="H702" s="33" t="str">
        <f t="shared" si="1"/>
        <v/>
      </c>
      <c r="I702" s="58"/>
      <c r="J702" s="58"/>
      <c r="K702" s="58"/>
      <c r="L702" s="38"/>
      <c r="M702" s="58"/>
      <c r="N702" s="58"/>
      <c r="O702" s="58"/>
      <c r="P702" s="80"/>
      <c r="Q702" s="77"/>
      <c r="R702" s="58"/>
      <c r="S702" s="62"/>
      <c r="T702" s="84"/>
      <c r="U702" s="62"/>
      <c r="V702" s="37" t="str">
        <f>IFERROR(__xludf.DUMMYFUNCTION("if(not(iserror(index(split(C702, "" ""),2))), index(split(C702, "" ""),1),"""")"),"")</f>
        <v/>
      </c>
      <c r="W702" s="315" t="str">
        <f>IFERROR(__xludf.DUMMYFUNCTION("if(V702="""",C702,if(not(iserror(index(split(C702, "" ""),3))), index(split(C702, "" ""),3),index(split(C702, "" ""),2)))"),"")</f>
        <v/>
      </c>
      <c r="X702" s="38" t="b">
        <f t="shared" si="2"/>
        <v>0</v>
      </c>
      <c r="Y702" s="38"/>
      <c r="Z702" s="40"/>
      <c r="AA702" s="40"/>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row>
    <row r="703">
      <c r="A703" s="58"/>
      <c r="B703" s="341"/>
      <c r="C703" s="60"/>
      <c r="D703" s="60"/>
      <c r="E703" s="58"/>
      <c r="F703" s="58"/>
      <c r="G703" s="58"/>
      <c r="H703" s="33" t="str">
        <f t="shared" si="1"/>
        <v/>
      </c>
      <c r="I703" s="58"/>
      <c r="J703" s="58"/>
      <c r="K703" s="58"/>
      <c r="L703" s="38"/>
      <c r="M703" s="58"/>
      <c r="N703" s="58"/>
      <c r="O703" s="58"/>
      <c r="P703" s="80"/>
      <c r="Q703" s="77"/>
      <c r="R703" s="58"/>
      <c r="S703" s="62"/>
      <c r="T703" s="84"/>
      <c r="U703" s="62"/>
      <c r="V703" s="37" t="str">
        <f>IFERROR(__xludf.DUMMYFUNCTION("if(not(iserror(index(split(C703, "" ""),2))), index(split(C703, "" ""),1),"""")"),"")</f>
        <v/>
      </c>
      <c r="W703" s="315" t="str">
        <f>IFERROR(__xludf.DUMMYFUNCTION("if(V703="""",C703,if(not(iserror(index(split(C703, "" ""),3))), index(split(C703, "" ""),3),index(split(C703, "" ""),2)))"),"")</f>
        <v/>
      </c>
      <c r="X703" s="38" t="b">
        <f t="shared" si="2"/>
        <v>0</v>
      </c>
      <c r="Y703" s="38"/>
      <c r="Z703" s="40"/>
      <c r="AA703" s="40"/>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row>
    <row r="704">
      <c r="A704" s="58"/>
      <c r="B704" s="341"/>
      <c r="C704" s="60"/>
      <c r="D704" s="60"/>
      <c r="E704" s="58"/>
      <c r="F704" s="58"/>
      <c r="G704" s="58"/>
      <c r="H704" s="33" t="str">
        <f t="shared" si="1"/>
        <v/>
      </c>
      <c r="I704" s="58"/>
      <c r="J704" s="58"/>
      <c r="K704" s="58"/>
      <c r="L704" s="38"/>
      <c r="M704" s="58"/>
      <c r="N704" s="58"/>
      <c r="O704" s="58"/>
      <c r="P704" s="80"/>
      <c r="Q704" s="77"/>
      <c r="R704" s="62"/>
      <c r="S704" s="62"/>
      <c r="T704" s="62"/>
      <c r="U704" s="62"/>
      <c r="V704" s="37" t="str">
        <f>IFERROR(__xludf.DUMMYFUNCTION("if(not(iserror(index(split(C704, "" ""),2))), index(split(C704, "" ""),1),"""")"),"")</f>
        <v/>
      </c>
      <c r="W704" s="315" t="str">
        <f>IFERROR(__xludf.DUMMYFUNCTION("if(V704="""",C704,if(not(iserror(index(split(C704, "" ""),3))), index(split(C704, "" ""),3),index(split(C704, "" ""),2)))"),"")</f>
        <v/>
      </c>
      <c r="X704" s="38" t="b">
        <f t="shared" si="2"/>
        <v>0</v>
      </c>
      <c r="Y704" s="38"/>
      <c r="Z704" s="40"/>
      <c r="AA704" s="40"/>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row>
    <row r="705">
      <c r="A705" s="58"/>
      <c r="B705" s="341"/>
      <c r="C705" s="60"/>
      <c r="D705" s="60"/>
      <c r="E705" s="58"/>
      <c r="F705" s="58"/>
      <c r="G705" s="58"/>
      <c r="H705" s="33" t="str">
        <f t="shared" si="1"/>
        <v/>
      </c>
      <c r="I705" s="58"/>
      <c r="J705" s="58"/>
      <c r="K705" s="58"/>
      <c r="L705" s="38"/>
      <c r="M705" s="58"/>
      <c r="N705" s="58"/>
      <c r="O705" s="58"/>
      <c r="P705" s="80"/>
      <c r="Q705" s="77"/>
      <c r="R705" s="62"/>
      <c r="S705" s="62"/>
      <c r="T705" s="62"/>
      <c r="U705" s="62"/>
      <c r="V705" s="37" t="str">
        <f>IFERROR(__xludf.DUMMYFUNCTION("if(not(iserror(index(split(C705, "" ""),2))), index(split(C705, "" ""),1),"""")"),"")</f>
        <v/>
      </c>
      <c r="W705" s="315" t="str">
        <f>IFERROR(__xludf.DUMMYFUNCTION("if(V705="""",C705,if(not(iserror(index(split(C705, "" ""),3))), index(split(C705, "" ""),3),index(split(C705, "" ""),2)))"),"")</f>
        <v/>
      </c>
      <c r="X705" s="38" t="b">
        <f t="shared" si="2"/>
        <v>0</v>
      </c>
      <c r="Y705" s="38"/>
      <c r="Z705" s="40"/>
      <c r="AA705" s="40"/>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row>
    <row r="706">
      <c r="A706" s="58"/>
      <c r="B706" s="341"/>
      <c r="C706" s="60"/>
      <c r="D706" s="60"/>
      <c r="E706" s="58"/>
      <c r="F706" s="58"/>
      <c r="G706" s="58"/>
      <c r="H706" s="33" t="str">
        <f t="shared" si="1"/>
        <v/>
      </c>
      <c r="I706" s="58"/>
      <c r="J706" s="58"/>
      <c r="K706" s="58"/>
      <c r="L706" s="38"/>
      <c r="M706" s="58"/>
      <c r="N706" s="58"/>
      <c r="O706" s="58"/>
      <c r="P706" s="80"/>
      <c r="Q706" s="77"/>
      <c r="R706" s="62"/>
      <c r="S706" s="62"/>
      <c r="T706" s="62"/>
      <c r="U706" s="62"/>
      <c r="V706" s="37" t="str">
        <f>IFERROR(__xludf.DUMMYFUNCTION("if(not(iserror(index(split(C706, "" ""),2))), index(split(C706, "" ""),1),"""")"),"")</f>
        <v/>
      </c>
      <c r="W706" s="315" t="str">
        <f>IFERROR(__xludf.DUMMYFUNCTION("if(V706="""",C706,if(not(iserror(index(split(C706, "" ""),3))), index(split(C706, "" ""),3),index(split(C706, "" ""),2)))"),"")</f>
        <v/>
      </c>
      <c r="X706" s="38" t="b">
        <f t="shared" si="2"/>
        <v>0</v>
      </c>
      <c r="Y706" s="38"/>
      <c r="Z706" s="40"/>
      <c r="AA706" s="40"/>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row>
    <row r="707">
      <c r="A707" s="58"/>
      <c r="B707" s="341"/>
      <c r="C707" s="60"/>
      <c r="D707" s="60"/>
      <c r="E707" s="58"/>
      <c r="F707" s="58"/>
      <c r="G707" s="58"/>
      <c r="H707" s="33" t="str">
        <f t="shared" si="1"/>
        <v/>
      </c>
      <c r="I707" s="58"/>
      <c r="J707" s="62"/>
      <c r="K707" s="58"/>
      <c r="L707" s="38"/>
      <c r="M707" s="58"/>
      <c r="N707" s="58"/>
      <c r="O707" s="58"/>
      <c r="P707" s="80"/>
      <c r="Q707" s="77"/>
      <c r="R707" s="58"/>
      <c r="S707" s="58"/>
      <c r="T707" s="62"/>
      <c r="U707" s="62"/>
      <c r="V707" s="37" t="str">
        <f>IFERROR(__xludf.DUMMYFUNCTION("if(not(iserror(index(split(C707, "" ""),2))), index(split(C707, "" ""),1),"""")"),"")</f>
        <v/>
      </c>
      <c r="W707" s="315" t="str">
        <f>IFERROR(__xludf.DUMMYFUNCTION("if(V707="""",C707,if(not(iserror(index(split(C707, "" ""),3))), index(split(C707, "" ""),3),index(split(C707, "" ""),2)))"),"")</f>
        <v/>
      </c>
      <c r="X707" s="38" t="b">
        <f t="shared" si="2"/>
        <v>0</v>
      </c>
      <c r="Y707" s="38"/>
      <c r="Z707" s="40"/>
      <c r="AA707" s="40"/>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row>
    <row r="708">
      <c r="A708" s="58"/>
      <c r="B708" s="341"/>
      <c r="C708" s="60"/>
      <c r="D708" s="60"/>
      <c r="E708" s="58"/>
      <c r="F708" s="58"/>
      <c r="G708" s="58"/>
      <c r="H708" s="33" t="str">
        <f t="shared" si="1"/>
        <v/>
      </c>
      <c r="I708" s="58"/>
      <c r="J708" s="62"/>
      <c r="K708" s="58"/>
      <c r="L708" s="38"/>
      <c r="M708" s="58"/>
      <c r="N708" s="58"/>
      <c r="O708" s="58"/>
      <c r="P708" s="80"/>
      <c r="Q708" s="77"/>
      <c r="R708" s="62"/>
      <c r="S708" s="62"/>
      <c r="T708" s="62"/>
      <c r="U708" s="62"/>
      <c r="V708" s="37" t="str">
        <f>IFERROR(__xludf.DUMMYFUNCTION("if(not(iserror(index(split(C708, "" ""),2))), index(split(C708, "" ""),1),"""")"),"")</f>
        <v/>
      </c>
      <c r="W708" s="315" t="str">
        <f>IFERROR(__xludf.DUMMYFUNCTION("if(V708="""",C708,if(not(iserror(index(split(C708, "" ""),3))), index(split(C708, "" ""),3),index(split(C708, "" ""),2)))"),"")</f>
        <v/>
      </c>
      <c r="X708" s="38" t="b">
        <f t="shared" si="2"/>
        <v>0</v>
      </c>
      <c r="Y708" s="38"/>
      <c r="Z708" s="40"/>
      <c r="AA708" s="40"/>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row>
    <row r="709">
      <c r="A709" s="58"/>
      <c r="B709" s="341"/>
      <c r="C709" s="60"/>
      <c r="D709" s="60"/>
      <c r="E709" s="58"/>
      <c r="F709" s="58"/>
      <c r="G709" s="58"/>
      <c r="H709" s="33" t="str">
        <f t="shared" si="1"/>
        <v/>
      </c>
      <c r="I709" s="58"/>
      <c r="J709" s="58"/>
      <c r="K709" s="58"/>
      <c r="L709" s="38"/>
      <c r="M709" s="58"/>
      <c r="N709" s="58"/>
      <c r="O709" s="58"/>
      <c r="P709" s="80"/>
      <c r="Q709" s="77"/>
      <c r="R709" s="62"/>
      <c r="S709" s="62"/>
      <c r="T709" s="62"/>
      <c r="U709" s="62"/>
      <c r="V709" s="37" t="str">
        <f>IFERROR(__xludf.DUMMYFUNCTION("if(not(iserror(index(split(C709, "" ""),2))), index(split(C709, "" ""),1),"""")"),"")</f>
        <v/>
      </c>
      <c r="W709" s="315" t="str">
        <f>IFERROR(__xludf.DUMMYFUNCTION("if(V709="""",C709,if(not(iserror(index(split(C709, "" ""),3))), index(split(C709, "" ""),3),index(split(C709, "" ""),2)))"),"")</f>
        <v/>
      </c>
      <c r="X709" s="38" t="b">
        <f t="shared" si="2"/>
        <v>0</v>
      </c>
      <c r="Y709" s="38"/>
      <c r="Z709" s="40"/>
      <c r="AA709" s="40"/>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row>
    <row r="710">
      <c r="A710" s="58"/>
      <c r="B710" s="341"/>
      <c r="C710" s="60"/>
      <c r="D710" s="60"/>
      <c r="E710" s="58"/>
      <c r="F710" s="58"/>
      <c r="G710" s="58"/>
      <c r="H710" s="33" t="str">
        <f t="shared" si="1"/>
        <v/>
      </c>
      <c r="I710" s="58"/>
      <c r="J710" s="58"/>
      <c r="K710" s="58"/>
      <c r="L710" s="38"/>
      <c r="M710" s="58"/>
      <c r="N710" s="58"/>
      <c r="O710" s="58"/>
      <c r="P710" s="80"/>
      <c r="Q710" s="77"/>
      <c r="R710" s="62"/>
      <c r="S710" s="62"/>
      <c r="T710" s="62"/>
      <c r="U710" s="62"/>
      <c r="V710" s="37" t="str">
        <f>IFERROR(__xludf.DUMMYFUNCTION("if(not(iserror(index(split(C710, "" ""),2))), index(split(C710, "" ""),1),"""")"),"")</f>
        <v/>
      </c>
      <c r="W710" s="315" t="str">
        <f>IFERROR(__xludf.DUMMYFUNCTION("if(V710="""",C710,if(not(iserror(index(split(C710, "" ""),3))), index(split(C710, "" ""),3),index(split(C710, "" ""),2)))"),"")</f>
        <v/>
      </c>
      <c r="X710" s="38" t="b">
        <f t="shared" si="2"/>
        <v>0</v>
      </c>
      <c r="Y710" s="38"/>
      <c r="Z710" s="40"/>
      <c r="AA710" s="40"/>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row>
    <row r="711">
      <c r="A711" s="58"/>
      <c r="B711" s="341"/>
      <c r="C711" s="60"/>
      <c r="D711" s="60"/>
      <c r="E711" s="58"/>
      <c r="F711" s="58"/>
      <c r="G711" s="58"/>
      <c r="H711" s="33" t="str">
        <f t="shared" si="1"/>
        <v/>
      </c>
      <c r="I711" s="58"/>
      <c r="J711" s="58"/>
      <c r="K711" s="58"/>
      <c r="L711" s="38"/>
      <c r="M711" s="58"/>
      <c r="N711" s="58"/>
      <c r="O711" s="58"/>
      <c r="P711" s="80"/>
      <c r="Q711" s="77"/>
      <c r="R711" s="62"/>
      <c r="S711" s="62"/>
      <c r="T711" s="62"/>
      <c r="U711" s="62"/>
      <c r="V711" s="37" t="str">
        <f>IFERROR(__xludf.DUMMYFUNCTION("if(not(iserror(index(split(C711, "" ""),2))), index(split(C711, "" ""),1),"""")"),"")</f>
        <v/>
      </c>
      <c r="W711" s="315" t="str">
        <f>IFERROR(__xludf.DUMMYFUNCTION("if(V711="""",C711,if(not(iserror(index(split(C711, "" ""),3))), index(split(C711, "" ""),3),index(split(C711, "" ""),2)))"),"")</f>
        <v/>
      </c>
      <c r="X711" s="38" t="b">
        <f t="shared" si="2"/>
        <v>0</v>
      </c>
      <c r="Y711" s="38"/>
      <c r="Z711" s="40"/>
      <c r="AA711" s="40"/>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row>
    <row r="712">
      <c r="A712" s="58"/>
      <c r="B712" s="341"/>
      <c r="C712" s="60"/>
      <c r="D712" s="60"/>
      <c r="E712" s="58"/>
      <c r="F712" s="58"/>
      <c r="G712" s="58"/>
      <c r="H712" s="33" t="str">
        <f t="shared" si="1"/>
        <v/>
      </c>
      <c r="I712" s="58"/>
      <c r="J712" s="58"/>
      <c r="K712" s="58"/>
      <c r="L712" s="38"/>
      <c r="M712" s="58"/>
      <c r="N712" s="58"/>
      <c r="O712" s="58"/>
      <c r="P712" s="80"/>
      <c r="Q712" s="77"/>
      <c r="R712" s="62"/>
      <c r="S712" s="62"/>
      <c r="T712" s="62"/>
      <c r="U712" s="62"/>
      <c r="V712" s="37" t="str">
        <f>IFERROR(__xludf.DUMMYFUNCTION("if(not(iserror(index(split(C712, "" ""),2))), index(split(C712, "" ""),1),"""")"),"")</f>
        <v/>
      </c>
      <c r="W712" s="315" t="str">
        <f>IFERROR(__xludf.DUMMYFUNCTION("if(V712="""",C712,if(not(iserror(index(split(C712, "" ""),3))), index(split(C712, "" ""),3),index(split(C712, "" ""),2)))"),"")</f>
        <v/>
      </c>
      <c r="X712" s="38" t="b">
        <f t="shared" si="2"/>
        <v>0</v>
      </c>
      <c r="Y712" s="38"/>
      <c r="Z712" s="40"/>
      <c r="AA712" s="40"/>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row>
    <row r="713">
      <c r="A713" s="58"/>
      <c r="B713" s="341"/>
      <c r="C713" s="60"/>
      <c r="D713" s="60"/>
      <c r="E713" s="58"/>
      <c r="F713" s="58"/>
      <c r="G713" s="58"/>
      <c r="H713" s="33" t="str">
        <f t="shared" si="1"/>
        <v/>
      </c>
      <c r="I713" s="58"/>
      <c r="J713" s="58"/>
      <c r="K713" s="58"/>
      <c r="L713" s="38"/>
      <c r="M713" s="58"/>
      <c r="N713" s="58"/>
      <c r="O713" s="58"/>
      <c r="P713" s="80"/>
      <c r="Q713" s="77"/>
      <c r="R713" s="62"/>
      <c r="S713" s="62"/>
      <c r="T713" s="62"/>
      <c r="U713" s="62"/>
      <c r="V713" s="37" t="str">
        <f>IFERROR(__xludf.DUMMYFUNCTION("if(not(iserror(index(split(C713, "" ""),2))), index(split(C713, "" ""),1),"""")"),"")</f>
        <v/>
      </c>
      <c r="W713" s="315" t="str">
        <f>IFERROR(__xludf.DUMMYFUNCTION("if(V713="""",C713,if(not(iserror(index(split(C713, "" ""),3))), index(split(C713, "" ""),3),index(split(C713, "" ""),2)))"),"")</f>
        <v/>
      </c>
      <c r="X713" s="38" t="b">
        <f t="shared" si="2"/>
        <v>0</v>
      </c>
      <c r="Y713" s="38"/>
      <c r="Z713" s="40"/>
      <c r="AA713" s="40"/>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row>
    <row r="714">
      <c r="A714" s="58"/>
      <c r="B714" s="341"/>
      <c r="C714" s="60"/>
      <c r="D714" s="60"/>
      <c r="E714" s="58"/>
      <c r="F714" s="58"/>
      <c r="G714" s="58"/>
      <c r="H714" s="33" t="str">
        <f t="shared" si="1"/>
        <v/>
      </c>
      <c r="I714" s="58"/>
      <c r="J714" s="58"/>
      <c r="K714" s="58"/>
      <c r="L714" s="38"/>
      <c r="M714" s="58"/>
      <c r="N714" s="58"/>
      <c r="O714" s="58"/>
      <c r="P714" s="80"/>
      <c r="Q714" s="77"/>
      <c r="R714" s="62"/>
      <c r="S714" s="62"/>
      <c r="T714" s="58"/>
      <c r="U714" s="62"/>
      <c r="V714" s="37" t="str">
        <f>IFERROR(__xludf.DUMMYFUNCTION("if(not(iserror(index(split(C714, "" ""),2))), index(split(C714, "" ""),1),"""")"),"")</f>
        <v/>
      </c>
      <c r="W714" s="315" t="str">
        <f>IFERROR(__xludf.DUMMYFUNCTION("if(V714="""",C714,if(not(iserror(index(split(C714, "" ""),3))), index(split(C714, "" ""),3),index(split(C714, "" ""),2)))"),"")</f>
        <v/>
      </c>
      <c r="X714" s="38" t="b">
        <f t="shared" si="2"/>
        <v>0</v>
      </c>
      <c r="Y714" s="38"/>
      <c r="Z714" s="40"/>
      <c r="AA714" s="40"/>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row>
    <row r="715">
      <c r="A715" s="58"/>
      <c r="B715" s="341"/>
      <c r="C715" s="60"/>
      <c r="D715" s="60"/>
      <c r="E715" s="58"/>
      <c r="F715" s="58"/>
      <c r="G715" s="58"/>
      <c r="H715" s="33" t="str">
        <f t="shared" si="1"/>
        <v/>
      </c>
      <c r="I715" s="58"/>
      <c r="J715" s="58"/>
      <c r="K715" s="58"/>
      <c r="L715" s="38"/>
      <c r="M715" s="58"/>
      <c r="N715" s="58"/>
      <c r="O715" s="58"/>
      <c r="P715" s="80"/>
      <c r="Q715" s="77"/>
      <c r="R715" s="62"/>
      <c r="S715" s="62"/>
      <c r="T715" s="62"/>
      <c r="U715" s="62"/>
      <c r="V715" s="37" t="str">
        <f>IFERROR(__xludf.DUMMYFUNCTION("if(not(iserror(index(split(C715, "" ""),2))), index(split(C715, "" ""),1),"""")"),"")</f>
        <v/>
      </c>
      <c r="W715" s="315" t="str">
        <f>IFERROR(__xludf.DUMMYFUNCTION("if(V715="""",C715,if(not(iserror(index(split(C715, "" ""),3))), index(split(C715, "" ""),3),index(split(C715, "" ""),2)))"),"")</f>
        <v/>
      </c>
      <c r="X715" s="38" t="b">
        <f t="shared" si="2"/>
        <v>0</v>
      </c>
      <c r="Y715" s="38"/>
      <c r="Z715" s="40"/>
      <c r="AA715" s="40"/>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row>
    <row r="716">
      <c r="A716" s="58"/>
      <c r="B716" s="341"/>
      <c r="C716" s="60"/>
      <c r="D716" s="60"/>
      <c r="E716" s="58"/>
      <c r="F716" s="58"/>
      <c r="G716" s="58"/>
      <c r="H716" s="33" t="str">
        <f t="shared" si="1"/>
        <v/>
      </c>
      <c r="I716" s="58"/>
      <c r="J716" s="58"/>
      <c r="K716" s="58"/>
      <c r="L716" s="38"/>
      <c r="M716" s="58"/>
      <c r="N716" s="58"/>
      <c r="O716" s="58"/>
      <c r="P716" s="80"/>
      <c r="Q716" s="77"/>
      <c r="R716" s="62"/>
      <c r="S716" s="62"/>
      <c r="T716" s="62"/>
      <c r="U716" s="62"/>
      <c r="V716" s="37" t="str">
        <f>IFERROR(__xludf.DUMMYFUNCTION("if(not(iserror(index(split(C716, "" ""),2))), index(split(C716, "" ""),1),"""")"),"")</f>
        <v/>
      </c>
      <c r="W716" s="315" t="str">
        <f>IFERROR(__xludf.DUMMYFUNCTION("if(V716="""",C716,if(not(iserror(index(split(C716, "" ""),3))), index(split(C716, "" ""),3),index(split(C716, "" ""),2)))"),"")</f>
        <v/>
      </c>
      <c r="X716" s="38" t="b">
        <f t="shared" si="2"/>
        <v>0</v>
      </c>
      <c r="Y716" s="38"/>
      <c r="Z716" s="40"/>
      <c r="AA716" s="40"/>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row>
    <row r="717">
      <c r="A717" s="58"/>
      <c r="B717" s="341"/>
      <c r="C717" s="60"/>
      <c r="D717" s="60"/>
      <c r="E717" s="58"/>
      <c r="F717" s="58"/>
      <c r="G717" s="58"/>
      <c r="H717" s="33" t="str">
        <f t="shared" si="1"/>
        <v/>
      </c>
      <c r="I717" s="58"/>
      <c r="J717" s="58"/>
      <c r="K717" s="58"/>
      <c r="L717" s="38"/>
      <c r="M717" s="58"/>
      <c r="N717" s="58"/>
      <c r="O717" s="58"/>
      <c r="P717" s="80"/>
      <c r="Q717" s="77"/>
      <c r="R717" s="58"/>
      <c r="S717" s="58"/>
      <c r="T717" s="84"/>
      <c r="U717" s="62"/>
      <c r="V717" s="37" t="str">
        <f>IFERROR(__xludf.DUMMYFUNCTION("if(not(iserror(index(split(C717, "" ""),2))), index(split(C717, "" ""),1),"""")"),"")</f>
        <v/>
      </c>
      <c r="W717" s="315" t="str">
        <f>IFERROR(__xludf.DUMMYFUNCTION("if(V717="""",C717,if(not(iserror(index(split(C717, "" ""),3))), index(split(C717, "" ""),3),index(split(C717, "" ""),2)))"),"")</f>
        <v/>
      </c>
      <c r="X717" s="38" t="b">
        <f t="shared" si="2"/>
        <v>0</v>
      </c>
      <c r="Y717" s="38"/>
      <c r="Z717" s="40"/>
      <c r="AA717" s="40"/>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row>
    <row r="718">
      <c r="A718" s="58"/>
      <c r="B718" s="341"/>
      <c r="C718" s="60"/>
      <c r="D718" s="60"/>
      <c r="E718" s="58"/>
      <c r="F718" s="58"/>
      <c r="G718" s="58"/>
      <c r="H718" s="33" t="str">
        <f t="shared" si="1"/>
        <v/>
      </c>
      <c r="I718" s="58"/>
      <c r="J718" s="58"/>
      <c r="K718" s="58"/>
      <c r="L718" s="38"/>
      <c r="M718" s="58"/>
      <c r="N718" s="58"/>
      <c r="O718" s="58"/>
      <c r="P718" s="80"/>
      <c r="Q718" s="77"/>
      <c r="R718" s="58"/>
      <c r="S718" s="58"/>
      <c r="T718" s="84"/>
      <c r="U718" s="62"/>
      <c r="V718" s="37" t="str">
        <f>IFERROR(__xludf.DUMMYFUNCTION("if(not(iserror(index(split(C718, "" ""),2))), index(split(C718, "" ""),1),"""")"),"")</f>
        <v/>
      </c>
      <c r="W718" s="315" t="str">
        <f>IFERROR(__xludf.DUMMYFUNCTION("if(V718="""",C718,if(not(iserror(index(split(C718, "" ""),3))), index(split(C718, "" ""),3),index(split(C718, "" ""),2)))"),"")</f>
        <v/>
      </c>
      <c r="X718" s="38" t="b">
        <f t="shared" si="2"/>
        <v>0</v>
      </c>
      <c r="Y718" s="38"/>
      <c r="Z718" s="40"/>
      <c r="AA718" s="40"/>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row>
    <row r="719">
      <c r="A719" s="58"/>
      <c r="B719" s="341"/>
      <c r="C719" s="60"/>
      <c r="D719" s="60"/>
      <c r="E719" s="58"/>
      <c r="F719" s="58"/>
      <c r="G719" s="58"/>
      <c r="H719" s="33" t="str">
        <f t="shared" si="1"/>
        <v/>
      </c>
      <c r="I719" s="58"/>
      <c r="J719" s="58"/>
      <c r="K719" s="58"/>
      <c r="L719" s="38"/>
      <c r="M719" s="58"/>
      <c r="N719" s="58"/>
      <c r="O719" s="58"/>
      <c r="P719" s="80"/>
      <c r="Q719" s="77"/>
      <c r="R719" s="62"/>
      <c r="S719" s="62"/>
      <c r="T719" s="62"/>
      <c r="U719" s="62"/>
      <c r="V719" s="37" t="str">
        <f>IFERROR(__xludf.DUMMYFUNCTION("if(not(iserror(index(split(C719, "" ""),2))), index(split(C719, "" ""),1),"""")"),"")</f>
        <v/>
      </c>
      <c r="W719" s="315" t="str">
        <f>IFERROR(__xludf.DUMMYFUNCTION("if(V719="""",C719,if(not(iserror(index(split(C719, "" ""),3))), index(split(C719, "" ""),3),index(split(C719, "" ""),2)))"),"")</f>
        <v/>
      </c>
      <c r="X719" s="38" t="b">
        <f t="shared" si="2"/>
        <v>0</v>
      </c>
      <c r="Y719" s="38"/>
      <c r="Z719" s="40"/>
      <c r="AA719" s="40"/>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row>
    <row r="720">
      <c r="A720" s="58"/>
      <c r="B720" s="341"/>
      <c r="C720" s="60"/>
      <c r="D720" s="60"/>
      <c r="E720" s="58"/>
      <c r="F720" s="58"/>
      <c r="G720" s="58"/>
      <c r="H720" s="33" t="str">
        <f t="shared" si="1"/>
        <v/>
      </c>
      <c r="I720" s="58"/>
      <c r="J720" s="58"/>
      <c r="K720" s="58"/>
      <c r="L720" s="38"/>
      <c r="M720" s="58"/>
      <c r="N720" s="58"/>
      <c r="O720" s="58"/>
      <c r="P720" s="80"/>
      <c r="Q720" s="77"/>
      <c r="R720" s="62"/>
      <c r="S720" s="62"/>
      <c r="T720" s="62"/>
      <c r="U720" s="62"/>
      <c r="V720" s="37" t="str">
        <f>IFERROR(__xludf.DUMMYFUNCTION("if(not(iserror(index(split(C720, "" ""),2))), index(split(C720, "" ""),1),"""")"),"")</f>
        <v/>
      </c>
      <c r="W720" s="315" t="str">
        <f>IFERROR(__xludf.DUMMYFUNCTION("if(V720="""",C720,if(not(iserror(index(split(C720, "" ""),3))), index(split(C720, "" ""),3),index(split(C720, "" ""),2)))"),"")</f>
        <v/>
      </c>
      <c r="X720" s="38" t="b">
        <f t="shared" si="2"/>
        <v>0</v>
      </c>
      <c r="Y720" s="38"/>
      <c r="Z720" s="40"/>
      <c r="AA720" s="40"/>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row>
    <row r="721">
      <c r="A721" s="58"/>
      <c r="B721" s="341"/>
      <c r="C721" s="60"/>
      <c r="D721" s="60"/>
      <c r="E721" s="58"/>
      <c r="F721" s="58"/>
      <c r="G721" s="58"/>
      <c r="H721" s="33" t="str">
        <f t="shared" si="1"/>
        <v/>
      </c>
      <c r="I721" s="58"/>
      <c r="J721" s="58"/>
      <c r="K721" s="58"/>
      <c r="L721" s="38"/>
      <c r="M721" s="58"/>
      <c r="N721" s="58"/>
      <c r="O721" s="58"/>
      <c r="P721" s="80"/>
      <c r="Q721" s="77"/>
      <c r="R721" s="62"/>
      <c r="S721" s="62"/>
      <c r="T721" s="62"/>
      <c r="U721" s="62"/>
      <c r="V721" s="37" t="str">
        <f>IFERROR(__xludf.DUMMYFUNCTION("if(not(iserror(index(split(C721, "" ""),2))), index(split(C721, "" ""),1),"""")"),"")</f>
        <v/>
      </c>
      <c r="W721" s="315" t="str">
        <f>IFERROR(__xludf.DUMMYFUNCTION("if(V721="""",C721,if(not(iserror(index(split(C721, "" ""),3))), index(split(C721, "" ""),3),index(split(C721, "" ""),2)))"),"")</f>
        <v/>
      </c>
      <c r="X721" s="38" t="b">
        <f t="shared" si="2"/>
        <v>0</v>
      </c>
      <c r="Y721" s="38"/>
      <c r="Z721" s="40"/>
      <c r="AA721" s="40"/>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row>
    <row r="722">
      <c r="A722" s="58"/>
      <c r="B722" s="341"/>
      <c r="C722" s="60"/>
      <c r="D722" s="60"/>
      <c r="E722" s="58"/>
      <c r="F722" s="58"/>
      <c r="G722" s="58"/>
      <c r="H722" s="33" t="str">
        <f t="shared" si="1"/>
        <v/>
      </c>
      <c r="I722" s="58"/>
      <c r="J722" s="58"/>
      <c r="K722" s="58"/>
      <c r="L722" s="38"/>
      <c r="M722" s="58"/>
      <c r="N722" s="58"/>
      <c r="O722" s="58"/>
      <c r="P722" s="80"/>
      <c r="Q722" s="77"/>
      <c r="R722" s="62"/>
      <c r="S722" s="62"/>
      <c r="T722" s="62"/>
      <c r="U722" s="62"/>
      <c r="V722" s="37" t="str">
        <f>IFERROR(__xludf.DUMMYFUNCTION("if(not(iserror(index(split(C722, "" ""),2))), index(split(C722, "" ""),1),"""")"),"")</f>
        <v/>
      </c>
      <c r="W722" s="315" t="str">
        <f>IFERROR(__xludf.DUMMYFUNCTION("if(V722="""",C722,if(not(iserror(index(split(C722, "" ""),3))), index(split(C722, "" ""),3),index(split(C722, "" ""),2)))"),"")</f>
        <v/>
      </c>
      <c r="X722" s="38" t="b">
        <f t="shared" si="2"/>
        <v>0</v>
      </c>
      <c r="Y722" s="38"/>
      <c r="Z722" s="40"/>
      <c r="AA722" s="40"/>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row>
    <row r="723">
      <c r="A723" s="58"/>
      <c r="B723" s="341"/>
      <c r="C723" s="60"/>
      <c r="D723" s="60"/>
      <c r="E723" s="58"/>
      <c r="F723" s="58"/>
      <c r="G723" s="58"/>
      <c r="H723" s="33" t="str">
        <f t="shared" si="1"/>
        <v/>
      </c>
      <c r="I723" s="58"/>
      <c r="J723" s="58"/>
      <c r="K723" s="58"/>
      <c r="L723" s="38"/>
      <c r="M723" s="58"/>
      <c r="N723" s="58"/>
      <c r="O723" s="58"/>
      <c r="P723" s="80"/>
      <c r="Q723" s="77"/>
      <c r="R723" s="62"/>
      <c r="S723" s="62"/>
      <c r="T723" s="62"/>
      <c r="U723" s="62"/>
      <c r="V723" s="37" t="str">
        <f>IFERROR(__xludf.DUMMYFUNCTION("if(not(iserror(index(split(C723, "" ""),2))), index(split(C723, "" ""),1),"""")"),"")</f>
        <v/>
      </c>
      <c r="W723" s="315" t="str">
        <f>IFERROR(__xludf.DUMMYFUNCTION("if(V723="""",C723,if(not(iserror(index(split(C723, "" ""),3))), index(split(C723, "" ""),3),index(split(C723, "" ""),2)))"),"")</f>
        <v/>
      </c>
      <c r="X723" s="38" t="b">
        <f t="shared" si="2"/>
        <v>0</v>
      </c>
      <c r="Y723" s="38"/>
      <c r="Z723" s="40"/>
      <c r="AA723" s="40"/>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row>
    <row r="724">
      <c r="A724" s="58"/>
      <c r="B724" s="341"/>
      <c r="C724" s="60"/>
      <c r="D724" s="60"/>
      <c r="E724" s="58"/>
      <c r="F724" s="58"/>
      <c r="G724" s="58"/>
      <c r="H724" s="33" t="str">
        <f t="shared" si="1"/>
        <v/>
      </c>
      <c r="I724" s="58"/>
      <c r="J724" s="58"/>
      <c r="K724" s="58"/>
      <c r="L724" s="38"/>
      <c r="M724" s="58"/>
      <c r="N724" s="58"/>
      <c r="O724" s="58"/>
      <c r="P724" s="80"/>
      <c r="Q724" s="77"/>
      <c r="R724" s="62"/>
      <c r="S724" s="62"/>
      <c r="T724" s="62"/>
      <c r="U724" s="62"/>
      <c r="V724" s="37" t="str">
        <f>IFERROR(__xludf.DUMMYFUNCTION("if(not(iserror(index(split(C724, "" ""),2))), index(split(C724, "" ""),1),"""")"),"")</f>
        <v/>
      </c>
      <c r="W724" s="315" t="str">
        <f>IFERROR(__xludf.DUMMYFUNCTION("if(V724="""",C724,if(not(iserror(index(split(C724, "" ""),3))), index(split(C724, "" ""),3),index(split(C724, "" ""),2)))"),"")</f>
        <v/>
      </c>
      <c r="X724" s="38" t="b">
        <f t="shared" si="2"/>
        <v>0</v>
      </c>
      <c r="Y724" s="38"/>
      <c r="Z724" s="40"/>
      <c r="AA724" s="40"/>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row>
    <row r="725">
      <c r="A725" s="58"/>
      <c r="B725" s="341"/>
      <c r="C725" s="60"/>
      <c r="D725" s="60"/>
      <c r="E725" s="58"/>
      <c r="F725" s="58"/>
      <c r="G725" s="58"/>
      <c r="H725" s="33" t="str">
        <f t="shared" si="1"/>
        <v/>
      </c>
      <c r="I725" s="58"/>
      <c r="J725" s="58"/>
      <c r="K725" s="58"/>
      <c r="L725" s="38"/>
      <c r="M725" s="58"/>
      <c r="N725" s="58"/>
      <c r="O725" s="58"/>
      <c r="P725" s="80"/>
      <c r="Q725" s="77"/>
      <c r="R725" s="62"/>
      <c r="S725" s="62"/>
      <c r="T725" s="62"/>
      <c r="U725" s="62"/>
      <c r="V725" s="37" t="str">
        <f>IFERROR(__xludf.DUMMYFUNCTION("if(not(iserror(index(split(C725, "" ""),2))), index(split(C725, "" ""),1),"""")"),"")</f>
        <v/>
      </c>
      <c r="W725" s="315" t="str">
        <f>IFERROR(__xludf.DUMMYFUNCTION("if(V725="""",C725,if(not(iserror(index(split(C725, "" ""),3))), index(split(C725, "" ""),3),index(split(C725, "" ""),2)))"),"")</f>
        <v/>
      </c>
      <c r="X725" s="38" t="b">
        <f t="shared" si="2"/>
        <v>0</v>
      </c>
      <c r="Y725" s="38"/>
      <c r="Z725" s="40"/>
      <c r="AA725" s="40"/>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row>
    <row r="726">
      <c r="A726" s="58"/>
      <c r="B726" s="341"/>
      <c r="C726" s="60"/>
      <c r="D726" s="60"/>
      <c r="E726" s="58"/>
      <c r="F726" s="58"/>
      <c r="G726" s="58"/>
      <c r="H726" s="33" t="str">
        <f t="shared" si="1"/>
        <v/>
      </c>
      <c r="I726" s="58"/>
      <c r="J726" s="58"/>
      <c r="K726" s="58"/>
      <c r="L726" s="38"/>
      <c r="M726" s="58"/>
      <c r="N726" s="58"/>
      <c r="O726" s="58"/>
      <c r="P726" s="80"/>
      <c r="Q726" s="77"/>
      <c r="R726" s="62"/>
      <c r="S726" s="62"/>
      <c r="T726" s="62"/>
      <c r="U726" s="62"/>
      <c r="V726" s="37" t="str">
        <f>IFERROR(__xludf.DUMMYFUNCTION("if(not(iserror(index(split(C726, "" ""),2))), index(split(C726, "" ""),1),"""")"),"")</f>
        <v/>
      </c>
      <c r="W726" s="315" t="str">
        <f>IFERROR(__xludf.DUMMYFUNCTION("if(V726="""",C726,if(not(iserror(index(split(C726, "" ""),3))), index(split(C726, "" ""),3),index(split(C726, "" ""),2)))"),"")</f>
        <v/>
      </c>
      <c r="X726" s="38" t="b">
        <f t="shared" si="2"/>
        <v>0</v>
      </c>
      <c r="Y726" s="38"/>
      <c r="Z726" s="40"/>
      <c r="AA726" s="40"/>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row>
    <row r="727">
      <c r="A727" s="58"/>
      <c r="B727" s="341"/>
      <c r="C727" s="60"/>
      <c r="D727" s="60"/>
      <c r="E727" s="58"/>
      <c r="F727" s="58"/>
      <c r="G727" s="58"/>
      <c r="H727" s="33" t="str">
        <f t="shared" si="1"/>
        <v/>
      </c>
      <c r="I727" s="58"/>
      <c r="J727" s="58"/>
      <c r="K727" s="58"/>
      <c r="L727" s="38"/>
      <c r="M727" s="58"/>
      <c r="N727" s="58"/>
      <c r="O727" s="58"/>
      <c r="P727" s="80"/>
      <c r="Q727" s="80"/>
      <c r="T727" s="84"/>
      <c r="U727" s="62"/>
      <c r="V727" s="37" t="str">
        <f>IFERROR(__xludf.DUMMYFUNCTION("if(not(iserror(index(split(C727, "" ""),2))), index(split(C727, "" ""),1),"""")"),"")</f>
        <v/>
      </c>
      <c r="W727" s="315" t="str">
        <f>IFERROR(__xludf.DUMMYFUNCTION("if(V727="""",C727,if(not(iserror(index(split(C727, "" ""),3))), index(split(C727, "" ""),3),index(split(C727, "" ""),2)))"),"")</f>
        <v/>
      </c>
      <c r="X727" s="38" t="b">
        <f t="shared" si="2"/>
        <v>0</v>
      </c>
      <c r="Y727" s="38"/>
      <c r="Z727" s="40"/>
      <c r="AA727" s="40"/>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row>
    <row r="728">
      <c r="A728" s="37"/>
      <c r="B728" s="341"/>
      <c r="C728" s="60"/>
      <c r="D728" s="60"/>
      <c r="E728" s="58"/>
      <c r="F728" s="58"/>
      <c r="G728" s="58"/>
      <c r="H728" s="33" t="str">
        <f t="shared" si="1"/>
        <v/>
      </c>
      <c r="I728" s="58"/>
      <c r="J728" s="58"/>
      <c r="K728" s="58"/>
      <c r="L728" s="38"/>
      <c r="M728" s="58"/>
      <c r="N728" s="58"/>
      <c r="O728" s="58"/>
      <c r="P728" s="80"/>
      <c r="Q728" s="77"/>
      <c r="R728" s="62"/>
      <c r="S728" s="62"/>
      <c r="T728" s="62"/>
      <c r="U728" s="62"/>
      <c r="V728" s="37" t="str">
        <f>IFERROR(__xludf.DUMMYFUNCTION("if(not(iserror(index(split(C728, "" ""),2))), index(split(C728, "" ""),1),"""")"),"")</f>
        <v/>
      </c>
      <c r="W728" s="315" t="str">
        <f>IFERROR(__xludf.DUMMYFUNCTION("if(V728="""",C728,if(not(iserror(index(split(C728, "" ""),3))), index(split(C728, "" ""),3),index(split(C728, "" ""),2)))"),"")</f>
        <v/>
      </c>
      <c r="X728" s="38" t="b">
        <f t="shared" si="2"/>
        <v>0</v>
      </c>
      <c r="Y728" s="38"/>
      <c r="Z728" s="40"/>
      <c r="AA728" s="40"/>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row>
    <row r="729">
      <c r="A729" s="58"/>
      <c r="B729" s="341"/>
      <c r="C729" s="60"/>
      <c r="D729" s="60"/>
      <c r="E729" s="58"/>
      <c r="F729" s="58"/>
      <c r="G729" s="58"/>
      <c r="H729" s="33" t="str">
        <f t="shared" si="1"/>
        <v/>
      </c>
      <c r="I729" s="58"/>
      <c r="J729" s="58"/>
      <c r="K729" s="58"/>
      <c r="L729" s="38"/>
      <c r="M729" s="58"/>
      <c r="N729" s="58"/>
      <c r="O729" s="58"/>
      <c r="P729" s="80"/>
      <c r="Q729" s="77"/>
      <c r="R729" s="62"/>
      <c r="S729" s="62"/>
      <c r="T729" s="62"/>
      <c r="U729" s="62"/>
      <c r="V729" s="37" t="str">
        <f>IFERROR(__xludf.DUMMYFUNCTION("if(not(iserror(index(split(C729, "" ""),2))), index(split(C729, "" ""),1),"""")"),"")</f>
        <v/>
      </c>
      <c r="W729" s="315" t="str">
        <f>IFERROR(__xludf.DUMMYFUNCTION("if(V729="""",C729,if(not(iserror(index(split(C729, "" ""),3))), index(split(C729, "" ""),3),index(split(C729, "" ""),2)))"),"")</f>
        <v/>
      </c>
      <c r="X729" s="38" t="b">
        <f t="shared" si="2"/>
        <v>0</v>
      </c>
      <c r="Y729" s="38"/>
      <c r="Z729" s="40"/>
      <c r="AA729" s="40"/>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row>
    <row r="730">
      <c r="A730" s="58"/>
      <c r="B730" s="341"/>
      <c r="C730" s="60"/>
      <c r="D730" s="60"/>
      <c r="E730" s="58"/>
      <c r="F730" s="58"/>
      <c r="G730" s="58"/>
      <c r="H730" s="33" t="str">
        <f t="shared" si="1"/>
        <v/>
      </c>
      <c r="I730" s="58"/>
      <c r="J730" s="58"/>
      <c r="K730" s="58"/>
      <c r="L730" s="38"/>
      <c r="M730" s="58"/>
      <c r="N730" s="58"/>
      <c r="O730" s="58"/>
      <c r="P730" s="80"/>
      <c r="Q730" s="77"/>
      <c r="R730" s="62"/>
      <c r="S730" s="62"/>
      <c r="T730" s="62"/>
      <c r="U730" s="62"/>
      <c r="V730" s="37" t="str">
        <f>IFERROR(__xludf.DUMMYFUNCTION("if(not(iserror(index(split(C730, "" ""),2))), index(split(C730, "" ""),1),"""")"),"")</f>
        <v/>
      </c>
      <c r="W730" s="315" t="str">
        <f>IFERROR(__xludf.DUMMYFUNCTION("if(V730="""",C730,if(not(iserror(index(split(C730, "" ""),3))), index(split(C730, "" ""),3),index(split(C730, "" ""),2)))"),"")</f>
        <v/>
      </c>
      <c r="X730" s="38" t="b">
        <f t="shared" si="2"/>
        <v>0</v>
      </c>
      <c r="Y730" s="38"/>
      <c r="Z730" s="40"/>
      <c r="AA730" s="40"/>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row>
    <row r="731">
      <c r="A731" s="37"/>
      <c r="B731" s="341"/>
      <c r="C731" s="60"/>
      <c r="D731" s="60"/>
      <c r="E731" s="58"/>
      <c r="F731" s="58"/>
      <c r="G731" s="58"/>
      <c r="H731" s="33" t="str">
        <f t="shared" si="1"/>
        <v/>
      </c>
      <c r="I731" s="58"/>
      <c r="J731" s="58"/>
      <c r="K731" s="58"/>
      <c r="L731" s="38"/>
      <c r="M731" s="58"/>
      <c r="N731" s="58"/>
      <c r="O731" s="58"/>
      <c r="P731" s="80"/>
      <c r="Q731" s="77"/>
      <c r="R731" s="62"/>
      <c r="S731" s="62"/>
      <c r="T731" s="62"/>
      <c r="U731" s="62"/>
      <c r="V731" s="37" t="str">
        <f>IFERROR(__xludf.DUMMYFUNCTION("if(not(iserror(index(split(C731, "" ""),2))), index(split(C731, "" ""),1),"""")"),"")</f>
        <v/>
      </c>
      <c r="W731" s="315" t="str">
        <f>IFERROR(__xludf.DUMMYFUNCTION("if(V731="""",C731,if(not(iserror(index(split(C731, "" ""),3))), index(split(C731, "" ""),3),index(split(C731, "" ""),2)))"),"")</f>
        <v/>
      </c>
      <c r="X731" s="38" t="b">
        <f t="shared" si="2"/>
        <v>0</v>
      </c>
      <c r="Y731" s="38"/>
      <c r="Z731" s="40"/>
      <c r="AA731" s="40"/>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row>
    <row r="732">
      <c r="A732" s="37"/>
      <c r="B732" s="341"/>
      <c r="C732" s="60"/>
      <c r="D732" s="60"/>
      <c r="E732" s="58"/>
      <c r="F732" s="58"/>
      <c r="G732" s="58"/>
      <c r="H732" s="33" t="str">
        <f t="shared" si="1"/>
        <v/>
      </c>
      <c r="I732" s="58"/>
      <c r="J732" s="58"/>
      <c r="K732" s="58"/>
      <c r="L732" s="38"/>
      <c r="M732" s="58"/>
      <c r="N732" s="58"/>
      <c r="O732" s="58"/>
      <c r="P732" s="80"/>
      <c r="Q732" s="80"/>
      <c r="R732" s="62"/>
      <c r="S732" s="58"/>
      <c r="T732" s="58"/>
      <c r="U732" s="62"/>
      <c r="V732" s="37" t="str">
        <f>IFERROR(__xludf.DUMMYFUNCTION("if(not(iserror(index(split(C732, "" ""),2))), index(split(C732, "" ""),1),"""")"),"")</f>
        <v/>
      </c>
      <c r="W732" s="315" t="str">
        <f>IFERROR(__xludf.DUMMYFUNCTION("if(V732="""",C732,if(not(iserror(index(split(C732, "" ""),3))), index(split(C732, "" ""),3),index(split(C732, "" ""),2)))"),"")</f>
        <v/>
      </c>
      <c r="X732" s="38" t="b">
        <f t="shared" si="2"/>
        <v>0</v>
      </c>
      <c r="Y732" s="38"/>
      <c r="Z732" s="40"/>
      <c r="AA732" s="40"/>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row>
    <row r="733">
      <c r="A733" s="58"/>
      <c r="B733" s="341"/>
      <c r="C733" s="60"/>
      <c r="D733" s="60"/>
      <c r="E733" s="58"/>
      <c r="F733" s="58"/>
      <c r="G733" s="58"/>
      <c r="H733" s="33" t="str">
        <f t="shared" si="1"/>
        <v/>
      </c>
      <c r="I733" s="58"/>
      <c r="J733" s="58"/>
      <c r="K733" s="58"/>
      <c r="L733" s="38"/>
      <c r="M733" s="58"/>
      <c r="N733" s="58"/>
      <c r="O733" s="58"/>
      <c r="P733" s="80"/>
      <c r="Q733" s="77"/>
      <c r="R733" s="62"/>
      <c r="S733" s="62"/>
      <c r="T733" s="62"/>
      <c r="U733" s="62"/>
      <c r="V733" s="37" t="str">
        <f>IFERROR(__xludf.DUMMYFUNCTION("if(not(iserror(index(split(C733, "" ""),2))), index(split(C733, "" ""),1),"""")"),"")</f>
        <v/>
      </c>
      <c r="W733" s="315" t="str">
        <f>IFERROR(__xludf.DUMMYFUNCTION("if(V733="""",C733,if(not(iserror(index(split(C733, "" ""),3))), index(split(C733, "" ""),3),index(split(C733, "" ""),2)))"),"")</f>
        <v/>
      </c>
      <c r="X733" s="38" t="b">
        <f t="shared" si="2"/>
        <v>0</v>
      </c>
      <c r="Y733" s="38"/>
      <c r="Z733" s="40"/>
      <c r="AA733" s="40"/>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row>
    <row r="734">
      <c r="A734" s="58"/>
      <c r="B734" s="341"/>
      <c r="C734" s="60"/>
      <c r="D734" s="60"/>
      <c r="E734" s="58"/>
      <c r="F734" s="58"/>
      <c r="G734" s="58"/>
      <c r="H734" s="33" t="str">
        <f t="shared" si="1"/>
        <v/>
      </c>
      <c r="I734" s="58"/>
      <c r="J734" s="58"/>
      <c r="K734" s="58"/>
      <c r="L734" s="38"/>
      <c r="M734" s="58"/>
      <c r="N734" s="58"/>
      <c r="O734" s="58"/>
      <c r="P734" s="80"/>
      <c r="Q734" s="77"/>
      <c r="R734" s="62"/>
      <c r="S734" s="62"/>
      <c r="T734" s="62"/>
      <c r="U734" s="62"/>
      <c r="V734" s="37" t="str">
        <f>IFERROR(__xludf.DUMMYFUNCTION("if(not(iserror(index(split(C734, "" ""),2))), index(split(C734, "" ""),1),"""")"),"")</f>
        <v/>
      </c>
      <c r="W734" s="315" t="str">
        <f>IFERROR(__xludf.DUMMYFUNCTION("if(V734="""",C734,if(not(iserror(index(split(C734, "" ""),3))), index(split(C734, "" ""),3),index(split(C734, "" ""),2)))"),"")</f>
        <v/>
      </c>
      <c r="X734" s="38" t="b">
        <f t="shared" si="2"/>
        <v>0</v>
      </c>
      <c r="Y734" s="38"/>
      <c r="Z734" s="40"/>
      <c r="AA734" s="40"/>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row>
    <row r="735">
      <c r="A735" s="58"/>
      <c r="B735" s="341"/>
      <c r="C735" s="60"/>
      <c r="D735" s="60"/>
      <c r="E735" s="58"/>
      <c r="F735" s="58"/>
      <c r="G735" s="58"/>
      <c r="H735" s="33" t="str">
        <f t="shared" si="1"/>
        <v/>
      </c>
      <c r="I735" s="58"/>
      <c r="J735" s="58"/>
      <c r="K735" s="58"/>
      <c r="L735" s="38"/>
      <c r="M735" s="58"/>
      <c r="N735" s="58"/>
      <c r="O735" s="58"/>
      <c r="P735" s="80"/>
      <c r="Q735" s="77"/>
      <c r="R735" s="62"/>
      <c r="S735" s="62"/>
      <c r="T735" s="62"/>
      <c r="U735" s="62"/>
      <c r="V735" s="37" t="str">
        <f>IFERROR(__xludf.DUMMYFUNCTION("if(not(iserror(index(split(C735, "" ""),2))), index(split(C735, "" ""),1),"""")"),"")</f>
        <v/>
      </c>
      <c r="W735" s="315" t="str">
        <f>IFERROR(__xludf.DUMMYFUNCTION("if(V735="""",C735,if(not(iserror(index(split(C735, "" ""),3))), index(split(C735, "" ""),3),index(split(C735, "" ""),2)))"),"")</f>
        <v/>
      </c>
      <c r="X735" s="38" t="b">
        <f t="shared" si="2"/>
        <v>0</v>
      </c>
      <c r="Y735" s="38"/>
      <c r="Z735" s="40"/>
      <c r="AA735" s="40"/>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row>
    <row r="736">
      <c r="A736" s="58"/>
      <c r="B736" s="341"/>
      <c r="C736" s="60"/>
      <c r="D736" s="60"/>
      <c r="E736" s="58"/>
      <c r="F736" s="58"/>
      <c r="G736" s="58"/>
      <c r="H736" s="33" t="str">
        <f t="shared" si="1"/>
        <v/>
      </c>
      <c r="I736" s="58"/>
      <c r="J736" s="58"/>
      <c r="K736" s="58"/>
      <c r="L736" s="38"/>
      <c r="M736" s="58"/>
      <c r="N736" s="58"/>
      <c r="O736" s="58"/>
      <c r="P736" s="80"/>
      <c r="Q736" s="77"/>
      <c r="R736" s="62"/>
      <c r="S736" s="62"/>
      <c r="T736" s="62"/>
      <c r="U736" s="62"/>
      <c r="V736" s="37" t="str">
        <f>IFERROR(__xludf.DUMMYFUNCTION("if(not(iserror(index(split(C736, "" ""),2))), index(split(C736, "" ""),1),"""")"),"")</f>
        <v/>
      </c>
      <c r="W736" s="315" t="str">
        <f>IFERROR(__xludf.DUMMYFUNCTION("if(V736="""",C736,if(not(iserror(index(split(C736, "" ""),3))), index(split(C736, "" ""),3),index(split(C736, "" ""),2)))"),"")</f>
        <v/>
      </c>
      <c r="X736" s="38" t="b">
        <f t="shared" si="2"/>
        <v>0</v>
      </c>
      <c r="Y736" s="38"/>
      <c r="Z736" s="40"/>
      <c r="AA736" s="40"/>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row>
    <row r="737">
      <c r="A737" s="58"/>
      <c r="B737" s="341"/>
      <c r="C737" s="60"/>
      <c r="D737" s="60"/>
      <c r="E737" s="58"/>
      <c r="F737" s="58"/>
      <c r="G737" s="58"/>
      <c r="H737" s="33" t="str">
        <f t="shared" si="1"/>
        <v/>
      </c>
      <c r="I737" s="58"/>
      <c r="J737" s="58"/>
      <c r="K737" s="58"/>
      <c r="L737" s="38"/>
      <c r="M737" s="58"/>
      <c r="N737" s="58"/>
      <c r="O737" s="58"/>
      <c r="P737" s="80"/>
      <c r="Q737" s="77"/>
      <c r="R737" s="58"/>
      <c r="S737" s="58"/>
      <c r="T737" s="84"/>
      <c r="U737" s="62"/>
      <c r="V737" s="37" t="str">
        <f>IFERROR(__xludf.DUMMYFUNCTION("if(not(iserror(index(split(C737, "" ""),2))), index(split(C737, "" ""),1),"""")"),"")</f>
        <v/>
      </c>
      <c r="W737" s="315" t="str">
        <f>IFERROR(__xludf.DUMMYFUNCTION("if(V737="""",C737,if(not(iserror(index(split(C737, "" ""),3))), index(split(C737, "" ""),3),index(split(C737, "" ""),2)))"),"")</f>
        <v/>
      </c>
      <c r="X737" s="38" t="b">
        <f t="shared" si="2"/>
        <v>0</v>
      </c>
      <c r="Y737" s="38"/>
      <c r="Z737" s="40"/>
      <c r="AA737" s="40"/>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row>
    <row r="738">
      <c r="A738" s="58"/>
      <c r="B738" s="341"/>
      <c r="C738" s="60"/>
      <c r="D738" s="60"/>
      <c r="E738" s="58"/>
      <c r="F738" s="58"/>
      <c r="G738" s="58"/>
      <c r="H738" s="33" t="str">
        <f t="shared" si="1"/>
        <v/>
      </c>
      <c r="I738" s="58"/>
      <c r="J738" s="58"/>
      <c r="K738" s="58"/>
      <c r="L738" s="38"/>
      <c r="M738" s="58"/>
      <c r="N738" s="58"/>
      <c r="O738" s="58"/>
      <c r="P738" s="80"/>
      <c r="Q738" s="80"/>
      <c r="R738" s="58"/>
      <c r="S738" s="62"/>
      <c r="T738" s="84"/>
      <c r="U738" s="62"/>
      <c r="V738" s="37" t="str">
        <f>IFERROR(__xludf.DUMMYFUNCTION("if(not(iserror(index(split(C738, "" ""),2))), index(split(C738, "" ""),1),"""")"),"")</f>
        <v/>
      </c>
      <c r="W738" s="315" t="str">
        <f>IFERROR(__xludf.DUMMYFUNCTION("if(V738="""",C738,if(not(iserror(index(split(C738, "" ""),3))), index(split(C738, "" ""),3),index(split(C738, "" ""),2)))"),"")</f>
        <v/>
      </c>
      <c r="X738" s="38" t="b">
        <f t="shared" si="2"/>
        <v>0</v>
      </c>
      <c r="Y738" s="38"/>
      <c r="Z738" s="40"/>
      <c r="AA738" s="40"/>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row>
    <row r="739">
      <c r="A739" s="58"/>
      <c r="B739" s="341"/>
      <c r="C739" s="60"/>
      <c r="D739" s="60"/>
      <c r="E739" s="58"/>
      <c r="F739" s="58"/>
      <c r="G739" s="58"/>
      <c r="H739" s="33" t="str">
        <f t="shared" si="1"/>
        <v/>
      </c>
      <c r="I739" s="58"/>
      <c r="J739" s="58"/>
      <c r="K739" s="58"/>
      <c r="L739" s="38"/>
      <c r="M739" s="58"/>
      <c r="N739" s="58"/>
      <c r="O739" s="58"/>
      <c r="P739" s="80"/>
      <c r="Q739" s="77"/>
      <c r="R739" s="62"/>
      <c r="S739" s="62"/>
      <c r="T739" s="62"/>
      <c r="U739" s="62"/>
      <c r="V739" s="37" t="str">
        <f>IFERROR(__xludf.DUMMYFUNCTION("if(not(iserror(index(split(C739, "" ""),2))), index(split(C739, "" ""),1),"""")"),"")</f>
        <v/>
      </c>
      <c r="W739" s="315" t="str">
        <f>IFERROR(__xludf.DUMMYFUNCTION("if(V739="""",C739,if(not(iserror(index(split(C739, "" ""),3))), index(split(C739, "" ""),3),index(split(C739, "" ""),2)))"),"")</f>
        <v/>
      </c>
      <c r="X739" s="38" t="b">
        <f t="shared" si="2"/>
        <v>0</v>
      </c>
      <c r="Y739" s="38"/>
      <c r="Z739" s="40"/>
      <c r="AA739" s="40"/>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row>
    <row r="740">
      <c r="A740" s="58"/>
      <c r="B740" s="341"/>
      <c r="C740" s="60"/>
      <c r="D740" s="60"/>
      <c r="E740" s="58"/>
      <c r="F740" s="58"/>
      <c r="G740" s="58"/>
      <c r="H740" s="33" t="str">
        <f t="shared" si="1"/>
        <v/>
      </c>
      <c r="I740" s="58"/>
      <c r="J740" s="58"/>
      <c r="K740" s="58"/>
      <c r="L740" s="38"/>
      <c r="M740" s="58"/>
      <c r="N740" s="58"/>
      <c r="O740" s="58"/>
      <c r="P740" s="80"/>
      <c r="Q740" s="77"/>
      <c r="R740" s="62"/>
      <c r="S740" s="62"/>
      <c r="T740" s="62"/>
      <c r="U740" s="62"/>
      <c r="V740" s="37" t="str">
        <f>IFERROR(__xludf.DUMMYFUNCTION("if(not(iserror(index(split(C740, "" ""),2))), index(split(C740, "" ""),1),"""")"),"")</f>
        <v/>
      </c>
      <c r="W740" s="315" t="str">
        <f>IFERROR(__xludf.DUMMYFUNCTION("if(V740="""",C740,if(not(iserror(index(split(C740, "" ""),3))), index(split(C740, "" ""),3),index(split(C740, "" ""),2)))"),"")</f>
        <v/>
      </c>
      <c r="X740" s="38" t="b">
        <f t="shared" si="2"/>
        <v>0</v>
      </c>
      <c r="Y740" s="38"/>
      <c r="Z740" s="40"/>
      <c r="AA740" s="40"/>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row>
    <row r="741">
      <c r="A741" s="58"/>
      <c r="B741" s="341"/>
      <c r="C741" s="60"/>
      <c r="D741" s="60"/>
      <c r="E741" s="58"/>
      <c r="F741" s="58"/>
      <c r="G741" s="58"/>
      <c r="H741" s="33" t="str">
        <f t="shared" si="1"/>
        <v/>
      </c>
      <c r="I741" s="58"/>
      <c r="J741" s="58"/>
      <c r="K741" s="58"/>
      <c r="L741" s="38"/>
      <c r="M741" s="58"/>
      <c r="N741" s="58"/>
      <c r="O741" s="58"/>
      <c r="P741" s="80"/>
      <c r="Q741" s="77"/>
      <c r="R741" s="62"/>
      <c r="S741" s="62"/>
      <c r="T741" s="62"/>
      <c r="U741" s="62"/>
      <c r="V741" s="37" t="str">
        <f>IFERROR(__xludf.DUMMYFUNCTION("if(not(iserror(index(split(C741, "" ""),2))), index(split(C741, "" ""),1),"""")"),"")</f>
        <v/>
      </c>
      <c r="W741" s="315" t="str">
        <f>IFERROR(__xludf.DUMMYFUNCTION("if(V741="""",C741,if(not(iserror(index(split(C741, "" ""),3))), index(split(C741, "" ""),3),index(split(C741, "" ""),2)))"),"")</f>
        <v/>
      </c>
      <c r="X741" s="38" t="b">
        <f t="shared" si="2"/>
        <v>0</v>
      </c>
      <c r="Y741" s="38"/>
      <c r="Z741" s="40"/>
      <c r="AA741" s="40"/>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row>
    <row r="742">
      <c r="A742" s="58"/>
      <c r="B742" s="341"/>
      <c r="C742" s="60"/>
      <c r="D742" s="60"/>
      <c r="E742" s="58"/>
      <c r="F742" s="58"/>
      <c r="G742" s="58"/>
      <c r="H742" s="33" t="str">
        <f t="shared" si="1"/>
        <v/>
      </c>
      <c r="I742" s="58"/>
      <c r="J742" s="58"/>
      <c r="K742" s="58"/>
      <c r="L742" s="38"/>
      <c r="M742" s="58"/>
      <c r="N742" s="58"/>
      <c r="O742" s="58"/>
      <c r="P742" s="80"/>
      <c r="Q742" s="77"/>
      <c r="R742" s="62"/>
      <c r="S742" s="62"/>
      <c r="T742" s="62"/>
      <c r="U742" s="62"/>
      <c r="V742" s="37" t="str">
        <f>IFERROR(__xludf.DUMMYFUNCTION("if(not(iserror(index(split(C742, "" ""),2))), index(split(C742, "" ""),1),"""")"),"")</f>
        <v/>
      </c>
      <c r="W742" s="315" t="str">
        <f>IFERROR(__xludf.DUMMYFUNCTION("if(V742="""",C742,if(not(iserror(index(split(C742, "" ""),3))), index(split(C742, "" ""),3),index(split(C742, "" ""),2)))"),"")</f>
        <v/>
      </c>
      <c r="X742" s="38" t="b">
        <f t="shared" si="2"/>
        <v>0</v>
      </c>
      <c r="Y742" s="38"/>
      <c r="Z742" s="40"/>
      <c r="AA742" s="40"/>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row>
    <row r="743">
      <c r="A743" s="58"/>
      <c r="B743" s="341"/>
      <c r="C743" s="60"/>
      <c r="D743" s="60"/>
      <c r="E743" s="58"/>
      <c r="F743" s="58"/>
      <c r="G743" s="58"/>
      <c r="H743" s="33" t="str">
        <f t="shared" si="1"/>
        <v/>
      </c>
      <c r="I743" s="58"/>
      <c r="J743" s="58"/>
      <c r="K743" s="58"/>
      <c r="L743" s="38"/>
      <c r="M743" s="58"/>
      <c r="N743" s="58"/>
      <c r="O743" s="58"/>
      <c r="P743" s="80"/>
      <c r="Q743" s="77"/>
      <c r="R743" s="62"/>
      <c r="S743" s="62"/>
      <c r="T743" s="62"/>
      <c r="U743" s="62"/>
      <c r="V743" s="37" t="str">
        <f>IFERROR(__xludf.DUMMYFUNCTION("if(not(iserror(index(split(C743, "" ""),2))), index(split(C743, "" ""),1),"""")"),"")</f>
        <v/>
      </c>
      <c r="W743" s="315" t="str">
        <f>IFERROR(__xludf.DUMMYFUNCTION("if(V743="""",C743,if(not(iserror(index(split(C743, "" ""),3))), index(split(C743, "" ""),3),index(split(C743, "" ""),2)))"),"")</f>
        <v/>
      </c>
      <c r="X743" s="38" t="b">
        <f t="shared" si="2"/>
        <v>0</v>
      </c>
      <c r="Y743" s="38"/>
      <c r="Z743" s="40"/>
      <c r="AA743" s="40"/>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row>
    <row r="744">
      <c r="A744" s="58"/>
      <c r="B744" s="341"/>
      <c r="C744" s="60"/>
      <c r="D744" s="60"/>
      <c r="E744" s="58"/>
      <c r="F744" s="58"/>
      <c r="G744" s="58"/>
      <c r="H744" s="33" t="str">
        <f t="shared" si="1"/>
        <v/>
      </c>
      <c r="I744" s="58"/>
      <c r="J744" s="58"/>
      <c r="K744" s="58"/>
      <c r="L744" s="38"/>
      <c r="M744" s="58"/>
      <c r="N744" s="58"/>
      <c r="O744" s="58"/>
      <c r="P744" s="80"/>
      <c r="Q744" s="77"/>
      <c r="R744" s="62"/>
      <c r="S744" s="62"/>
      <c r="T744" s="62"/>
      <c r="U744" s="62"/>
      <c r="V744" s="37" t="str">
        <f>IFERROR(__xludf.DUMMYFUNCTION("if(not(iserror(index(split(C744, "" ""),2))), index(split(C744, "" ""),1),"""")"),"")</f>
        <v/>
      </c>
      <c r="W744" s="315" t="str">
        <f>IFERROR(__xludf.DUMMYFUNCTION("if(V744="""",C744,if(not(iserror(index(split(C744, "" ""),3))), index(split(C744, "" ""),3),index(split(C744, "" ""),2)))"),"")</f>
        <v/>
      </c>
      <c r="X744" s="38" t="b">
        <f t="shared" si="2"/>
        <v>0</v>
      </c>
      <c r="Y744" s="38"/>
      <c r="Z744" s="40"/>
      <c r="AA744" s="40"/>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row>
    <row r="745">
      <c r="A745" s="58"/>
      <c r="B745" s="341"/>
      <c r="C745" s="60"/>
      <c r="D745" s="60"/>
      <c r="E745" s="58"/>
      <c r="F745" s="58"/>
      <c r="G745" s="58"/>
      <c r="H745" s="33" t="str">
        <f t="shared" si="1"/>
        <v/>
      </c>
      <c r="I745" s="58"/>
      <c r="J745" s="58"/>
      <c r="K745" s="58"/>
      <c r="L745" s="38"/>
      <c r="M745" s="58"/>
      <c r="N745" s="58"/>
      <c r="O745" s="58"/>
      <c r="P745" s="80"/>
      <c r="Q745" s="77"/>
      <c r="R745" s="62"/>
      <c r="S745" s="62"/>
      <c r="T745" s="62"/>
      <c r="U745" s="62"/>
      <c r="V745" s="37" t="str">
        <f>IFERROR(__xludf.DUMMYFUNCTION("if(not(iserror(index(split(C745, "" ""),2))), index(split(C745, "" ""),1),"""")"),"")</f>
        <v/>
      </c>
      <c r="W745" s="315" t="str">
        <f>IFERROR(__xludf.DUMMYFUNCTION("if(V745="""",C745,if(not(iserror(index(split(C745, "" ""),3))), index(split(C745, "" ""),3),index(split(C745, "" ""),2)))"),"")</f>
        <v/>
      </c>
      <c r="X745" s="38" t="b">
        <f t="shared" si="2"/>
        <v>0</v>
      </c>
      <c r="Y745" s="38"/>
      <c r="Z745" s="40"/>
      <c r="AA745" s="40"/>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row>
    <row r="746">
      <c r="A746" s="58"/>
      <c r="B746" s="387"/>
      <c r="C746" s="60"/>
      <c r="D746" s="60"/>
      <c r="E746" s="58"/>
      <c r="F746" s="58"/>
      <c r="G746" s="58"/>
      <c r="H746" s="33" t="str">
        <f t="shared" si="1"/>
        <v/>
      </c>
      <c r="I746" s="58"/>
      <c r="J746" s="58"/>
      <c r="K746" s="58"/>
      <c r="L746" s="38"/>
      <c r="M746" s="58"/>
      <c r="N746" s="58"/>
      <c r="O746" s="58"/>
      <c r="P746" s="14"/>
      <c r="Q746" s="77"/>
      <c r="R746" s="62"/>
      <c r="S746" s="62"/>
      <c r="T746" s="62"/>
      <c r="U746" s="62"/>
      <c r="V746" s="37" t="str">
        <f>IFERROR(__xludf.DUMMYFUNCTION("if(not(iserror(index(split(C746, "" ""),2))), index(split(C746, "" ""),1),"""")"),"")</f>
        <v/>
      </c>
      <c r="W746" s="315" t="str">
        <f>IFERROR(__xludf.DUMMYFUNCTION("if(V746="""",C746,if(not(iserror(index(split(C746, "" ""),3))), index(split(C746, "" ""),3),index(split(C746, "" ""),2)))"),"")</f>
        <v/>
      </c>
      <c r="X746" s="38" t="b">
        <f t="shared" si="2"/>
        <v>0</v>
      </c>
      <c r="Y746" s="38"/>
      <c r="Z746" s="40"/>
      <c r="AA746" s="40"/>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row>
    <row r="747">
      <c r="A747" s="58"/>
      <c r="B747" s="387"/>
      <c r="C747" s="60"/>
      <c r="D747" s="60"/>
      <c r="E747" s="58"/>
      <c r="F747" s="58"/>
      <c r="G747" s="58"/>
      <c r="H747" s="33" t="str">
        <f t="shared" si="1"/>
        <v/>
      </c>
      <c r="I747" s="58"/>
      <c r="J747" s="58"/>
      <c r="K747" s="58"/>
      <c r="L747" s="38"/>
      <c r="M747" s="58"/>
      <c r="N747" s="58"/>
      <c r="O747" s="58"/>
      <c r="P747" s="14"/>
      <c r="Q747" s="77"/>
      <c r="R747" s="62"/>
      <c r="S747" s="62"/>
      <c r="T747" s="62"/>
      <c r="U747" s="62"/>
      <c r="V747" s="37" t="str">
        <f>IFERROR(__xludf.DUMMYFUNCTION("if(not(iserror(index(split(C747, "" ""),2))), index(split(C747, "" ""),1),"""")"),"")</f>
        <v/>
      </c>
      <c r="W747" s="315" t="str">
        <f>IFERROR(__xludf.DUMMYFUNCTION("if(V747="""",C747,if(not(iserror(index(split(C747, "" ""),3))), index(split(C747, "" ""),3),index(split(C747, "" ""),2)))"),"")</f>
        <v/>
      </c>
      <c r="X747" s="38" t="b">
        <f t="shared" si="2"/>
        <v>0</v>
      </c>
      <c r="Y747" s="38"/>
      <c r="Z747" s="40"/>
      <c r="AA747" s="40"/>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row>
    <row r="748">
      <c r="A748" s="58"/>
      <c r="B748" s="387"/>
      <c r="C748" s="60"/>
      <c r="D748" s="60"/>
      <c r="E748" s="58"/>
      <c r="F748" s="58"/>
      <c r="G748" s="58"/>
      <c r="H748" s="33" t="str">
        <f t="shared" si="1"/>
        <v/>
      </c>
      <c r="I748" s="58"/>
      <c r="J748" s="58"/>
      <c r="K748" s="58"/>
      <c r="L748" s="38"/>
      <c r="M748" s="58"/>
      <c r="N748" s="58"/>
      <c r="O748" s="58"/>
      <c r="P748" s="14"/>
      <c r="Q748" s="77"/>
      <c r="R748" s="62"/>
      <c r="S748" s="62"/>
      <c r="T748" s="62"/>
      <c r="U748" s="62"/>
      <c r="V748" s="37" t="str">
        <f>IFERROR(__xludf.DUMMYFUNCTION("if(not(iserror(index(split(C748, "" ""),2))), index(split(C748, "" ""),1),"""")"),"")</f>
        <v/>
      </c>
      <c r="W748" s="315" t="str">
        <f>IFERROR(__xludf.DUMMYFUNCTION("if(V748="""",C748,if(not(iserror(index(split(C748, "" ""),3))), index(split(C748, "" ""),3),index(split(C748, "" ""),2)))"),"")</f>
        <v/>
      </c>
      <c r="X748" s="38" t="b">
        <f t="shared" si="2"/>
        <v>0</v>
      </c>
      <c r="Y748" s="38"/>
      <c r="Z748" s="40"/>
      <c r="AA748" s="40"/>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row>
    <row r="749">
      <c r="A749" s="58"/>
      <c r="B749" s="387"/>
      <c r="C749" s="60"/>
      <c r="D749" s="60"/>
      <c r="E749" s="58"/>
      <c r="F749" s="58"/>
      <c r="G749" s="58"/>
      <c r="H749" s="33" t="str">
        <f t="shared" si="1"/>
        <v/>
      </c>
      <c r="I749" s="58"/>
      <c r="J749" s="58"/>
      <c r="K749" s="58"/>
      <c r="L749" s="38"/>
      <c r="M749" s="58"/>
      <c r="N749" s="58"/>
      <c r="O749" s="58"/>
      <c r="P749" s="14"/>
      <c r="Q749" s="77"/>
      <c r="R749" s="58"/>
      <c r="S749" s="58"/>
      <c r="T749" s="84"/>
      <c r="U749" s="62"/>
      <c r="V749" s="37" t="str">
        <f>IFERROR(__xludf.DUMMYFUNCTION("if(not(iserror(index(split(C749, "" ""),2))), index(split(C749, "" ""),1),"""")"),"")</f>
        <v/>
      </c>
      <c r="W749" s="315" t="str">
        <f>IFERROR(__xludf.DUMMYFUNCTION("if(V749="""",C749,if(not(iserror(index(split(C749, "" ""),3))), index(split(C749, "" ""),3),index(split(C749, "" ""),2)))"),"")</f>
        <v/>
      </c>
      <c r="X749" s="38" t="b">
        <f t="shared" si="2"/>
        <v>0</v>
      </c>
      <c r="Y749" s="38"/>
      <c r="Z749" s="40"/>
      <c r="AA749" s="40"/>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row>
    <row r="750">
      <c r="A750" s="58"/>
      <c r="B750" s="387"/>
      <c r="C750" s="60"/>
      <c r="D750" s="60"/>
      <c r="E750" s="58"/>
      <c r="F750" s="58"/>
      <c r="G750" s="58"/>
      <c r="H750" s="33" t="str">
        <f t="shared" si="1"/>
        <v/>
      </c>
      <c r="I750" s="58"/>
      <c r="J750" s="58"/>
      <c r="K750" s="58"/>
      <c r="L750" s="38"/>
      <c r="M750" s="58"/>
      <c r="N750" s="58"/>
      <c r="O750" s="58"/>
      <c r="P750" s="14"/>
      <c r="Q750" s="77"/>
      <c r="R750" s="58"/>
      <c r="S750" s="58"/>
      <c r="T750" s="58"/>
      <c r="U750" s="62"/>
      <c r="V750" s="37" t="str">
        <f>IFERROR(__xludf.DUMMYFUNCTION("if(not(iserror(index(split(C750, "" ""),2))), index(split(C750, "" ""),1),"""")"),"")</f>
        <v/>
      </c>
      <c r="W750" s="315" t="str">
        <f>IFERROR(__xludf.DUMMYFUNCTION("if(V750="""",C750,if(not(iserror(index(split(C750, "" ""),3))), index(split(C750, "" ""),3),index(split(C750, "" ""),2)))"),"")</f>
        <v/>
      </c>
      <c r="X750" s="38" t="b">
        <f t="shared" si="2"/>
        <v>0</v>
      </c>
      <c r="Y750" s="38"/>
      <c r="Z750" s="40"/>
      <c r="AA750" s="40"/>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row>
    <row r="751">
      <c r="A751" s="58"/>
      <c r="B751" s="387"/>
      <c r="C751" s="60"/>
      <c r="D751" s="60"/>
      <c r="E751" s="58"/>
      <c r="F751" s="58"/>
      <c r="G751" s="58"/>
      <c r="H751" s="33" t="str">
        <f t="shared" si="1"/>
        <v/>
      </c>
      <c r="I751" s="58"/>
      <c r="J751" s="58"/>
      <c r="K751" s="58"/>
      <c r="L751" s="38"/>
      <c r="M751" s="58"/>
      <c r="N751" s="58"/>
      <c r="O751" s="58"/>
      <c r="P751" s="14"/>
      <c r="Q751" s="77"/>
      <c r="R751" s="62"/>
      <c r="S751" s="62"/>
      <c r="T751" s="62"/>
      <c r="U751" s="62"/>
      <c r="V751" s="37" t="str">
        <f>IFERROR(__xludf.DUMMYFUNCTION("if(not(iserror(index(split(C751, "" ""),2))), index(split(C751, "" ""),1),"""")"),"")</f>
        <v/>
      </c>
      <c r="W751" s="315" t="str">
        <f>IFERROR(__xludf.DUMMYFUNCTION("if(V751="""",C751,if(not(iserror(index(split(C751, "" ""),3))), index(split(C751, "" ""),3),index(split(C751, "" ""),2)))"),"")</f>
        <v/>
      </c>
      <c r="X751" s="38" t="b">
        <f t="shared" si="2"/>
        <v>0</v>
      </c>
      <c r="Y751" s="38"/>
      <c r="Z751" s="40"/>
      <c r="AA751" s="40"/>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row>
    <row r="752">
      <c r="A752" s="58"/>
      <c r="B752" s="387"/>
      <c r="C752" s="60"/>
      <c r="D752" s="60"/>
      <c r="E752" s="58"/>
      <c r="F752" s="58"/>
      <c r="G752" s="58"/>
      <c r="H752" s="33" t="str">
        <f t="shared" si="1"/>
        <v/>
      </c>
      <c r="I752" s="58"/>
      <c r="J752" s="58"/>
      <c r="K752" s="58"/>
      <c r="L752" s="38"/>
      <c r="M752" s="58"/>
      <c r="N752" s="58"/>
      <c r="O752" s="58"/>
      <c r="P752" s="14"/>
      <c r="Q752" s="77"/>
      <c r="R752" s="62"/>
      <c r="S752" s="62"/>
      <c r="T752" s="62"/>
      <c r="U752" s="62"/>
      <c r="V752" s="37" t="str">
        <f>IFERROR(__xludf.DUMMYFUNCTION("if(not(iserror(index(split(C752, "" ""),2))), index(split(C752, "" ""),1),"""")"),"")</f>
        <v/>
      </c>
      <c r="W752" s="315" t="str">
        <f>IFERROR(__xludf.DUMMYFUNCTION("if(V752="""",C752,if(not(iserror(index(split(C752, "" ""),3))), index(split(C752, "" ""),3),index(split(C752, "" ""),2)))"),"")</f>
        <v/>
      </c>
      <c r="X752" s="38" t="b">
        <f t="shared" si="2"/>
        <v>0</v>
      </c>
      <c r="Y752" s="38"/>
      <c r="Z752" s="40"/>
      <c r="AA752" s="40"/>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row>
    <row r="753">
      <c r="A753" s="58"/>
      <c r="B753" s="387"/>
      <c r="C753" s="60"/>
      <c r="D753" s="60"/>
      <c r="E753" s="58"/>
      <c r="F753" s="58"/>
      <c r="G753" s="58"/>
      <c r="H753" s="33" t="str">
        <f t="shared" si="1"/>
        <v/>
      </c>
      <c r="I753" s="58"/>
      <c r="J753" s="58"/>
      <c r="K753" s="58"/>
      <c r="L753" s="38"/>
      <c r="M753" s="58"/>
      <c r="N753" s="58"/>
      <c r="O753" s="58"/>
      <c r="P753" s="14"/>
      <c r="Q753" s="77"/>
      <c r="R753" s="62"/>
      <c r="S753" s="62"/>
      <c r="T753" s="62"/>
      <c r="U753" s="62"/>
      <c r="V753" s="37" t="str">
        <f>IFERROR(__xludf.DUMMYFUNCTION("if(not(iserror(index(split(C753, "" ""),2))), index(split(C753, "" ""),1),"""")"),"")</f>
        <v/>
      </c>
      <c r="W753" s="315" t="str">
        <f>IFERROR(__xludf.DUMMYFUNCTION("if(V753="""",C753,if(not(iserror(index(split(C753, "" ""),3))), index(split(C753, "" ""),3),index(split(C753, "" ""),2)))"),"")</f>
        <v/>
      </c>
      <c r="X753" s="38" t="b">
        <f t="shared" si="2"/>
        <v>0</v>
      </c>
      <c r="Y753" s="38"/>
      <c r="Z753" s="40"/>
      <c r="AA753" s="40"/>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row>
    <row r="754">
      <c r="A754" s="58"/>
      <c r="B754" s="387"/>
      <c r="C754" s="60"/>
      <c r="D754" s="60"/>
      <c r="E754" s="58"/>
      <c r="F754" s="58"/>
      <c r="G754" s="58"/>
      <c r="H754" s="33" t="str">
        <f t="shared" si="1"/>
        <v/>
      </c>
      <c r="I754" s="58"/>
      <c r="J754" s="58"/>
      <c r="K754" s="58"/>
      <c r="L754" s="38"/>
      <c r="M754" s="58"/>
      <c r="N754" s="58"/>
      <c r="O754" s="58"/>
      <c r="P754" s="14"/>
      <c r="Q754" s="77"/>
      <c r="R754" s="62"/>
      <c r="S754" s="62"/>
      <c r="T754" s="62"/>
      <c r="U754" s="62"/>
      <c r="V754" s="37" t="str">
        <f>IFERROR(__xludf.DUMMYFUNCTION("if(not(iserror(index(split(C754, "" ""),2))), index(split(C754, "" ""),1),"""")"),"")</f>
        <v/>
      </c>
      <c r="W754" s="315" t="str">
        <f>IFERROR(__xludf.DUMMYFUNCTION("if(V754="""",C754,if(not(iserror(index(split(C754, "" ""),3))), index(split(C754, "" ""),3),index(split(C754, "" ""),2)))"),"")</f>
        <v/>
      </c>
      <c r="X754" s="38" t="b">
        <f t="shared" si="2"/>
        <v>0</v>
      </c>
      <c r="Y754" s="38"/>
      <c r="Z754" s="40"/>
      <c r="AA754" s="40"/>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row>
    <row r="755">
      <c r="A755" s="58"/>
      <c r="B755" s="387"/>
      <c r="C755" s="60"/>
      <c r="D755" s="60"/>
      <c r="E755" s="58"/>
      <c r="F755" s="58"/>
      <c r="G755" s="58"/>
      <c r="H755" s="33" t="str">
        <f t="shared" si="1"/>
        <v/>
      </c>
      <c r="I755" s="58"/>
      <c r="J755" s="58"/>
      <c r="K755" s="58"/>
      <c r="L755" s="38"/>
      <c r="M755" s="58"/>
      <c r="N755" s="58"/>
      <c r="O755" s="58"/>
      <c r="P755" s="14"/>
      <c r="Q755" s="77"/>
      <c r="R755" s="62"/>
      <c r="S755" s="62"/>
      <c r="T755" s="62"/>
      <c r="U755" s="62"/>
      <c r="V755" s="37" t="str">
        <f>IFERROR(__xludf.DUMMYFUNCTION("if(not(iserror(index(split(C755, "" ""),2))), index(split(C755, "" ""),1),"""")"),"")</f>
        <v/>
      </c>
      <c r="W755" s="315" t="str">
        <f>IFERROR(__xludf.DUMMYFUNCTION("if(V755="""",C755,if(not(iserror(index(split(C755, "" ""),3))), index(split(C755, "" ""),3),index(split(C755, "" ""),2)))"),"")</f>
        <v/>
      </c>
      <c r="X755" s="38" t="b">
        <f t="shared" si="2"/>
        <v>0</v>
      </c>
      <c r="Y755" s="38"/>
      <c r="Z755" s="40"/>
      <c r="AA755" s="40"/>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row>
    <row r="756">
      <c r="A756" s="58"/>
      <c r="B756" s="387"/>
      <c r="C756" s="60"/>
      <c r="D756" s="60"/>
      <c r="E756" s="58"/>
      <c r="F756" s="58"/>
      <c r="G756" s="58"/>
      <c r="H756" s="33" t="str">
        <f t="shared" si="1"/>
        <v/>
      </c>
      <c r="I756" s="58"/>
      <c r="J756" s="58"/>
      <c r="K756" s="58"/>
      <c r="L756" s="38"/>
      <c r="M756" s="58"/>
      <c r="N756" s="58"/>
      <c r="O756" s="58"/>
      <c r="P756" s="14"/>
      <c r="Q756" s="77"/>
      <c r="R756" s="58"/>
      <c r="S756" s="58"/>
      <c r="T756" s="84"/>
      <c r="U756" s="62"/>
      <c r="V756" s="37" t="str">
        <f>IFERROR(__xludf.DUMMYFUNCTION("if(not(iserror(index(split(C756, "" ""),2))), index(split(C756, "" ""),1),"""")"),"")</f>
        <v/>
      </c>
      <c r="W756" s="315" t="str">
        <f>IFERROR(__xludf.DUMMYFUNCTION("if(V756="""",C756,if(not(iserror(index(split(C756, "" ""),3))), index(split(C756, "" ""),3),index(split(C756, "" ""),2)))"),"")</f>
        <v/>
      </c>
      <c r="X756" s="38" t="b">
        <f t="shared" si="2"/>
        <v>0</v>
      </c>
      <c r="Y756" s="38"/>
      <c r="Z756" s="40"/>
      <c r="AA756" s="40"/>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row>
    <row r="757">
      <c r="A757" s="91"/>
      <c r="B757" s="146"/>
      <c r="C757" s="146"/>
      <c r="D757" s="146"/>
      <c r="E757" s="91"/>
      <c r="F757" s="91"/>
      <c r="G757" s="91"/>
      <c r="H757" s="33" t="str">
        <f t="shared" si="1"/>
        <v/>
      </c>
      <c r="I757" s="91"/>
      <c r="J757" s="91"/>
      <c r="K757" s="91"/>
      <c r="L757" s="38"/>
      <c r="M757" s="91"/>
      <c r="N757" s="91"/>
      <c r="O757" s="91"/>
      <c r="P757" s="14"/>
      <c r="Q757" s="95"/>
      <c r="R757" s="58"/>
      <c r="S757" s="58"/>
      <c r="T757" s="84"/>
      <c r="U757" s="62"/>
      <c r="V757" s="37" t="str">
        <f>IFERROR(__xludf.DUMMYFUNCTION("if(not(iserror(index(split(C757, "" ""),2))), index(split(C757, "" ""),1),"""")"),"")</f>
        <v/>
      </c>
      <c r="W757" s="315" t="str">
        <f>IFERROR(__xludf.DUMMYFUNCTION("if(V757="""",C757,if(not(iserror(index(split(C757, "" ""),3))), index(split(C757, "" ""),3),index(split(C757, "" ""),2)))"),"")</f>
        <v/>
      </c>
      <c r="X757" s="38" t="b">
        <f t="shared" si="2"/>
        <v>0</v>
      </c>
      <c r="Y757" s="38"/>
      <c r="Z757" s="40"/>
      <c r="AA757" s="40"/>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row>
    <row r="758">
      <c r="A758" s="58"/>
      <c r="B758" s="60"/>
      <c r="C758" s="60"/>
      <c r="D758" s="60"/>
      <c r="E758" s="58"/>
      <c r="F758" s="58"/>
      <c r="G758" s="58"/>
      <c r="H758" s="33" t="str">
        <f t="shared" si="1"/>
        <v/>
      </c>
      <c r="I758" s="58"/>
      <c r="J758" s="58"/>
      <c r="K758" s="58"/>
      <c r="L758" s="38"/>
      <c r="M758" s="58"/>
      <c r="N758" s="58"/>
      <c r="O758" s="58"/>
      <c r="P758" s="14"/>
      <c r="Q758" s="77"/>
      <c r="R758" s="62"/>
      <c r="S758" s="62"/>
      <c r="T758" s="62"/>
      <c r="U758" s="62"/>
      <c r="V758" s="37" t="str">
        <f>IFERROR(__xludf.DUMMYFUNCTION("if(not(iserror(index(split(C758, "" ""),2))), index(split(C758, "" ""),1),"""")"),"")</f>
        <v/>
      </c>
      <c r="W758" s="315" t="str">
        <f>IFERROR(__xludf.DUMMYFUNCTION("if(V758="""",C758,if(not(iserror(index(split(C758, "" ""),3))), index(split(C758, "" ""),3),index(split(C758, "" ""),2)))"),"")</f>
        <v/>
      </c>
      <c r="X758" s="38" t="b">
        <f t="shared" si="2"/>
        <v>0</v>
      </c>
      <c r="Y758" s="38"/>
      <c r="Z758" s="40"/>
      <c r="AA758" s="40"/>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row>
    <row r="759">
      <c r="A759" s="58"/>
      <c r="B759" s="60"/>
      <c r="C759" s="60"/>
      <c r="D759" s="60"/>
      <c r="E759" s="58"/>
      <c r="F759" s="58"/>
      <c r="G759" s="58"/>
      <c r="H759" s="33" t="str">
        <f t="shared" si="1"/>
        <v/>
      </c>
      <c r="I759" s="58"/>
      <c r="J759" s="58"/>
      <c r="K759" s="58"/>
      <c r="L759" s="38"/>
      <c r="M759" s="58"/>
      <c r="N759" s="58"/>
      <c r="O759" s="58"/>
      <c r="P759" s="14"/>
      <c r="Q759" s="77"/>
      <c r="R759" s="62"/>
      <c r="S759" s="62"/>
      <c r="T759" s="62"/>
      <c r="U759" s="62"/>
      <c r="V759" s="37" t="str">
        <f>IFERROR(__xludf.DUMMYFUNCTION("if(not(iserror(index(split(C759, "" ""),2))), index(split(C759, "" ""),1),"""")"),"")</f>
        <v/>
      </c>
      <c r="W759" s="315" t="str">
        <f>IFERROR(__xludf.DUMMYFUNCTION("if(V759="""",C759,if(not(iserror(index(split(C759, "" ""),3))), index(split(C759, "" ""),3),index(split(C759, "" ""),2)))"),"")</f>
        <v/>
      </c>
      <c r="X759" s="38" t="b">
        <f t="shared" si="2"/>
        <v>0</v>
      </c>
      <c r="Y759" s="38"/>
      <c r="Z759" s="40"/>
      <c r="AA759" s="40"/>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row>
    <row r="760">
      <c r="A760" s="58"/>
      <c r="B760" s="60"/>
      <c r="C760" s="60"/>
      <c r="D760" s="60"/>
      <c r="E760" s="58"/>
      <c r="F760" s="58"/>
      <c r="G760" s="58"/>
      <c r="H760" s="33" t="str">
        <f t="shared" si="1"/>
        <v/>
      </c>
      <c r="I760" s="58"/>
      <c r="J760" s="58"/>
      <c r="K760" s="58"/>
      <c r="L760" s="38"/>
      <c r="M760" s="58"/>
      <c r="N760" s="58"/>
      <c r="O760" s="58"/>
      <c r="P760" s="14"/>
      <c r="Q760" s="77"/>
      <c r="R760" s="62"/>
      <c r="S760" s="62"/>
      <c r="T760" s="84"/>
      <c r="U760" s="62"/>
      <c r="V760" s="37" t="str">
        <f>IFERROR(__xludf.DUMMYFUNCTION("if(not(iserror(index(split(C760, "" ""),2))), index(split(C760, "" ""),1),"""")"),"")</f>
        <v/>
      </c>
      <c r="W760" s="315" t="str">
        <f>IFERROR(__xludf.DUMMYFUNCTION("if(V760="""",C760,if(not(iserror(index(split(C760, "" ""),3))), index(split(C760, "" ""),3),index(split(C760, "" ""),2)))"),"")</f>
        <v/>
      </c>
      <c r="X760" s="38" t="b">
        <f t="shared" si="2"/>
        <v>0</v>
      </c>
      <c r="Y760" s="38"/>
      <c r="Z760" s="40"/>
      <c r="AA760" s="40"/>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row>
    <row r="761">
      <c r="A761" s="58"/>
      <c r="B761" s="60"/>
      <c r="C761" s="60"/>
      <c r="D761" s="60"/>
      <c r="E761" s="58"/>
      <c r="F761" s="58"/>
      <c r="G761" s="58"/>
      <c r="H761" s="33" t="str">
        <f t="shared" si="1"/>
        <v/>
      </c>
      <c r="I761" s="58"/>
      <c r="J761" s="58"/>
      <c r="K761" s="58"/>
      <c r="L761" s="38"/>
      <c r="M761" s="58"/>
      <c r="N761" s="58"/>
      <c r="O761" s="58"/>
      <c r="P761" s="14"/>
      <c r="Q761" s="77"/>
      <c r="R761" s="62"/>
      <c r="S761" s="62"/>
      <c r="T761" s="62"/>
      <c r="U761" s="62"/>
      <c r="V761" s="37" t="str">
        <f>IFERROR(__xludf.DUMMYFUNCTION("if(not(iserror(index(split(C761, "" ""),2))), index(split(C761, "" ""),1),"""")"),"")</f>
        <v/>
      </c>
      <c r="W761" s="315" t="str">
        <f>IFERROR(__xludf.DUMMYFUNCTION("if(V761="""",C761,if(not(iserror(index(split(C761, "" ""),3))), index(split(C761, "" ""),3),index(split(C761, "" ""),2)))"),"")</f>
        <v/>
      </c>
      <c r="X761" s="38" t="b">
        <f t="shared" si="2"/>
        <v>0</v>
      </c>
      <c r="Y761" s="38"/>
      <c r="Z761" s="40"/>
      <c r="AA761" s="40"/>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row>
    <row r="762">
      <c r="A762" s="58"/>
      <c r="B762" s="60"/>
      <c r="C762" s="60"/>
      <c r="D762" s="60"/>
      <c r="E762" s="58"/>
      <c r="F762" s="58"/>
      <c r="G762" s="58"/>
      <c r="H762" s="33" t="str">
        <f t="shared" si="1"/>
        <v/>
      </c>
      <c r="I762" s="58"/>
      <c r="J762" s="58"/>
      <c r="K762" s="58"/>
      <c r="L762" s="38"/>
      <c r="M762" s="58"/>
      <c r="N762" s="58"/>
      <c r="O762" s="58"/>
      <c r="P762" s="14"/>
      <c r="Q762" s="77"/>
      <c r="R762" s="62"/>
      <c r="S762" s="62"/>
      <c r="T762" s="62"/>
      <c r="U762" s="62"/>
      <c r="V762" s="37" t="str">
        <f>IFERROR(__xludf.DUMMYFUNCTION("if(not(iserror(index(split(C762, "" ""),2))), index(split(C762, "" ""),1),"""")"),"")</f>
        <v/>
      </c>
      <c r="W762" s="315" t="str">
        <f>IFERROR(__xludf.DUMMYFUNCTION("if(V762="""",C762,if(not(iserror(index(split(C762, "" ""),3))), index(split(C762, "" ""),3),index(split(C762, "" ""),2)))"),"")</f>
        <v/>
      </c>
      <c r="X762" s="38" t="b">
        <f t="shared" si="2"/>
        <v>0</v>
      </c>
      <c r="Y762" s="38"/>
      <c r="Z762" s="40"/>
      <c r="AA762" s="40"/>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row>
    <row r="763">
      <c r="A763" s="37"/>
      <c r="B763" s="341"/>
      <c r="C763" s="60"/>
      <c r="D763" s="60"/>
      <c r="E763" s="58"/>
      <c r="F763" s="58"/>
      <c r="G763" s="58"/>
      <c r="H763" s="33" t="str">
        <f t="shared" si="1"/>
        <v/>
      </c>
      <c r="I763" s="58"/>
      <c r="J763" s="58"/>
      <c r="K763" s="58"/>
      <c r="L763" s="38"/>
      <c r="M763" s="58"/>
      <c r="N763" s="58"/>
      <c r="O763" s="58"/>
      <c r="P763" s="80"/>
      <c r="Q763" s="77"/>
      <c r="R763" s="62"/>
      <c r="S763" s="58"/>
      <c r="T763" s="84"/>
      <c r="U763" s="62"/>
      <c r="V763" s="37" t="str">
        <f>IFERROR(__xludf.DUMMYFUNCTION("if(not(iserror(index(split(C763, "" ""),2))), index(split(C763, "" ""),1),"""")"),"")</f>
        <v/>
      </c>
      <c r="W763" s="315" t="str">
        <f>IFERROR(__xludf.DUMMYFUNCTION("if(V763="""",C763,if(not(iserror(index(split(C763, "" ""),3))), index(split(C763, "" ""),3),index(split(C763, "" ""),2)))"),"")</f>
        <v/>
      </c>
      <c r="X763" s="38" t="b">
        <f t="shared" si="2"/>
        <v>0</v>
      </c>
      <c r="Y763" s="38"/>
      <c r="Z763" s="40"/>
      <c r="AA763" s="40"/>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row>
    <row r="764">
      <c r="A764" s="37"/>
      <c r="B764" s="341"/>
      <c r="C764" s="60"/>
      <c r="D764" s="60"/>
      <c r="E764" s="58"/>
      <c r="F764" s="58"/>
      <c r="G764" s="58"/>
      <c r="H764" s="33" t="str">
        <f t="shared" si="1"/>
        <v/>
      </c>
      <c r="I764" s="58"/>
      <c r="J764" s="58"/>
      <c r="K764" s="58"/>
      <c r="L764" s="38"/>
      <c r="M764" s="58"/>
      <c r="N764" s="58"/>
      <c r="O764" s="58"/>
      <c r="P764" s="80"/>
      <c r="Q764" s="77"/>
      <c r="R764" s="62"/>
      <c r="S764" s="62"/>
      <c r="T764" s="62"/>
      <c r="U764" s="62"/>
      <c r="V764" s="37" t="str">
        <f>IFERROR(__xludf.DUMMYFUNCTION("if(not(iserror(index(split(C764, "" ""),2))), index(split(C764, "" ""),1),"""")"),"")</f>
        <v/>
      </c>
      <c r="W764" s="315" t="str">
        <f>IFERROR(__xludf.DUMMYFUNCTION("if(V764="""",C764,if(not(iserror(index(split(C764, "" ""),3))), index(split(C764, "" ""),3),index(split(C764, "" ""),2)))"),"")</f>
        <v/>
      </c>
      <c r="X764" s="38" t="b">
        <f t="shared" si="2"/>
        <v>0</v>
      </c>
      <c r="Y764" s="38"/>
      <c r="Z764" s="40"/>
      <c r="AA764" s="40"/>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row>
    <row r="765">
      <c r="A765" s="37"/>
      <c r="B765" s="341"/>
      <c r="C765" s="60"/>
      <c r="D765" s="60"/>
      <c r="E765" s="58"/>
      <c r="F765" s="58"/>
      <c r="G765" s="58"/>
      <c r="H765" s="33" t="str">
        <f t="shared" si="1"/>
        <v/>
      </c>
      <c r="I765" s="58"/>
      <c r="J765" s="58"/>
      <c r="K765" s="58"/>
      <c r="L765" s="38"/>
      <c r="M765" s="58"/>
      <c r="N765" s="58"/>
      <c r="O765" s="58"/>
      <c r="P765" s="80"/>
      <c r="Q765" s="77"/>
      <c r="R765" s="62"/>
      <c r="S765" s="62"/>
      <c r="T765" s="62"/>
      <c r="U765" s="62"/>
      <c r="V765" s="37" t="str">
        <f>IFERROR(__xludf.DUMMYFUNCTION("if(not(iserror(index(split(C765, "" ""),2))), index(split(C765, "" ""),1),"""")"),"")</f>
        <v/>
      </c>
      <c r="W765" s="315" t="str">
        <f>IFERROR(__xludf.DUMMYFUNCTION("if(V765="""",C765,if(not(iserror(index(split(C765, "" ""),3))), index(split(C765, "" ""),3),index(split(C765, "" ""),2)))"),"")</f>
        <v/>
      </c>
      <c r="X765" s="38" t="b">
        <f t="shared" si="2"/>
        <v>0</v>
      </c>
      <c r="Y765" s="38"/>
      <c r="Z765" s="40"/>
      <c r="AA765" s="40"/>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row>
    <row r="766">
      <c r="A766" s="37"/>
      <c r="B766" s="341"/>
      <c r="C766" s="60"/>
      <c r="D766" s="60"/>
      <c r="E766" s="58"/>
      <c r="F766" s="58"/>
      <c r="G766" s="58"/>
      <c r="H766" s="33" t="str">
        <f t="shared" si="1"/>
        <v/>
      </c>
      <c r="I766" s="58"/>
      <c r="J766" s="58"/>
      <c r="K766" s="58"/>
      <c r="L766" s="38"/>
      <c r="M766" s="58"/>
      <c r="N766" s="58"/>
      <c r="O766" s="58"/>
      <c r="P766" s="80"/>
      <c r="Q766" s="77"/>
      <c r="R766" s="62"/>
      <c r="S766" s="62"/>
      <c r="T766" s="62"/>
      <c r="U766" s="62"/>
      <c r="V766" s="37" t="str">
        <f>IFERROR(__xludf.DUMMYFUNCTION("if(not(iserror(index(split(C766, "" ""),2))), index(split(C766, "" ""),1),"""")"),"")</f>
        <v/>
      </c>
      <c r="W766" s="315" t="str">
        <f>IFERROR(__xludf.DUMMYFUNCTION("if(V766="""",C766,if(not(iserror(index(split(C766, "" ""),3))), index(split(C766, "" ""),3),index(split(C766, "" ""),2)))"),"")</f>
        <v/>
      </c>
      <c r="X766" s="38" t="b">
        <f t="shared" si="2"/>
        <v>0</v>
      </c>
      <c r="Y766" s="38"/>
      <c r="Z766" s="40"/>
      <c r="AA766" s="40"/>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row>
    <row r="767">
      <c r="A767" s="37"/>
      <c r="B767" s="341"/>
      <c r="C767" s="60"/>
      <c r="D767" s="60"/>
      <c r="E767" s="58"/>
      <c r="F767" s="58"/>
      <c r="G767" s="58"/>
      <c r="H767" s="33" t="str">
        <f t="shared" si="1"/>
        <v/>
      </c>
      <c r="I767" s="58"/>
      <c r="J767" s="58"/>
      <c r="K767" s="58"/>
      <c r="L767" s="38"/>
      <c r="M767" s="58"/>
      <c r="N767" s="58"/>
      <c r="O767" s="58"/>
      <c r="P767" s="80"/>
      <c r="Q767" s="77"/>
      <c r="R767" s="62"/>
      <c r="S767" s="62"/>
      <c r="T767" s="62"/>
      <c r="U767" s="62"/>
      <c r="V767" s="37" t="str">
        <f>IFERROR(__xludf.DUMMYFUNCTION("if(not(iserror(index(split(C767, "" ""),2))), index(split(C767, "" ""),1),"""")"),"")</f>
        <v/>
      </c>
      <c r="W767" s="315" t="str">
        <f>IFERROR(__xludf.DUMMYFUNCTION("if(V767="""",C767,if(not(iserror(index(split(C767, "" ""),3))), index(split(C767, "" ""),3),index(split(C767, "" ""),2)))"),"")</f>
        <v/>
      </c>
      <c r="X767" s="38" t="b">
        <f t="shared" si="2"/>
        <v>0</v>
      </c>
      <c r="Y767" s="38"/>
      <c r="Z767" s="40"/>
      <c r="AA767" s="40"/>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row>
    <row r="768">
      <c r="A768" s="37"/>
      <c r="B768" s="341"/>
      <c r="C768" s="60"/>
      <c r="D768" s="60"/>
      <c r="E768" s="58"/>
      <c r="F768" s="58"/>
      <c r="G768" s="58"/>
      <c r="H768" s="33" t="str">
        <f t="shared" si="1"/>
        <v/>
      </c>
      <c r="I768" s="58"/>
      <c r="J768" s="58"/>
      <c r="K768" s="58"/>
      <c r="L768" s="38"/>
      <c r="M768" s="58"/>
      <c r="N768" s="58"/>
      <c r="O768" s="58"/>
      <c r="P768" s="80"/>
      <c r="Q768" s="77"/>
      <c r="R768" s="62"/>
      <c r="S768" s="62"/>
      <c r="T768" s="62"/>
      <c r="U768" s="62"/>
      <c r="V768" s="37" t="str">
        <f>IFERROR(__xludf.DUMMYFUNCTION("if(not(iserror(index(split(C768, "" ""),2))), index(split(C768, "" ""),1),"""")"),"")</f>
        <v/>
      </c>
      <c r="W768" s="315" t="str">
        <f>IFERROR(__xludf.DUMMYFUNCTION("if(V768="""",C768,if(not(iserror(index(split(C768, "" ""),3))), index(split(C768, "" ""),3),index(split(C768, "" ""),2)))"),"")</f>
        <v/>
      </c>
      <c r="X768" s="38" t="b">
        <f t="shared" si="2"/>
        <v>0</v>
      </c>
      <c r="Y768" s="38"/>
      <c r="Z768" s="40"/>
      <c r="AA768" s="40"/>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row>
    <row r="769">
      <c r="A769" s="37"/>
      <c r="B769" s="341"/>
      <c r="C769" s="60"/>
      <c r="D769" s="60"/>
      <c r="E769" s="58"/>
      <c r="F769" s="58"/>
      <c r="G769" s="58"/>
      <c r="H769" s="33" t="str">
        <f t="shared" si="1"/>
        <v/>
      </c>
      <c r="I769" s="58"/>
      <c r="J769" s="58"/>
      <c r="K769" s="58"/>
      <c r="L769" s="38"/>
      <c r="M769" s="58"/>
      <c r="N769" s="58"/>
      <c r="O769" s="58"/>
      <c r="P769" s="80"/>
      <c r="Q769" s="77"/>
      <c r="R769" s="62"/>
      <c r="S769" s="62"/>
      <c r="T769" s="62"/>
      <c r="U769" s="62"/>
      <c r="V769" s="37" t="str">
        <f>IFERROR(__xludf.DUMMYFUNCTION("if(not(iserror(index(split(C769, "" ""),2))), index(split(C769, "" ""),1),"""")"),"")</f>
        <v/>
      </c>
      <c r="W769" s="315" t="str">
        <f>IFERROR(__xludf.DUMMYFUNCTION("if(V769="""",C769,if(not(iserror(index(split(C769, "" ""),3))), index(split(C769, "" ""),3),index(split(C769, "" ""),2)))"),"")</f>
        <v/>
      </c>
      <c r="X769" s="38" t="b">
        <f t="shared" si="2"/>
        <v>0</v>
      </c>
      <c r="Y769" s="38"/>
      <c r="Z769" s="40"/>
      <c r="AA769" s="40"/>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row>
    <row r="770">
      <c r="A770" s="37"/>
      <c r="B770" s="341"/>
      <c r="C770" s="60"/>
      <c r="D770" s="60"/>
      <c r="E770" s="58"/>
      <c r="F770" s="58"/>
      <c r="G770" s="58"/>
      <c r="H770" s="33" t="str">
        <f t="shared" si="1"/>
        <v/>
      </c>
      <c r="I770" s="58"/>
      <c r="J770" s="58"/>
      <c r="K770" s="58"/>
      <c r="L770" s="38"/>
      <c r="M770" s="58"/>
      <c r="N770" s="58"/>
      <c r="O770" s="58"/>
      <c r="P770" s="80"/>
      <c r="Q770" s="77"/>
      <c r="R770" s="62"/>
      <c r="S770" s="62"/>
      <c r="T770" s="62"/>
      <c r="U770" s="62"/>
      <c r="V770" s="37" t="str">
        <f>IFERROR(__xludf.DUMMYFUNCTION("if(not(iserror(index(split(C770, "" ""),2))), index(split(C770, "" ""),1),"""")"),"")</f>
        <v/>
      </c>
      <c r="W770" s="315" t="str">
        <f>IFERROR(__xludf.DUMMYFUNCTION("if(V770="""",C770,if(not(iserror(index(split(C770, "" ""),3))), index(split(C770, "" ""),3),index(split(C770, "" ""),2)))"),"")</f>
        <v/>
      </c>
      <c r="X770" s="38" t="b">
        <f t="shared" si="2"/>
        <v>0</v>
      </c>
      <c r="Y770" s="38"/>
      <c r="Z770" s="40"/>
      <c r="AA770" s="40"/>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row>
    <row r="771">
      <c r="A771" s="37"/>
      <c r="B771" s="341"/>
      <c r="C771" s="60"/>
      <c r="D771" s="60"/>
      <c r="E771" s="58"/>
      <c r="F771" s="58"/>
      <c r="G771" s="58"/>
      <c r="H771" s="33" t="str">
        <f t="shared" si="1"/>
        <v/>
      </c>
      <c r="I771" s="58"/>
      <c r="J771" s="58"/>
      <c r="K771" s="58"/>
      <c r="L771" s="38"/>
      <c r="M771" s="58"/>
      <c r="N771" s="58"/>
      <c r="O771" s="58"/>
      <c r="P771" s="80"/>
      <c r="Q771" s="77"/>
      <c r="R771" s="62"/>
      <c r="S771" s="62"/>
      <c r="T771" s="62"/>
      <c r="U771" s="62"/>
      <c r="V771" s="37" t="str">
        <f>IFERROR(__xludf.DUMMYFUNCTION("if(not(iserror(index(split(C771, "" ""),2))), index(split(C771, "" ""),1),"""")"),"")</f>
        <v/>
      </c>
      <c r="W771" s="315" t="str">
        <f>IFERROR(__xludf.DUMMYFUNCTION("if(V771="""",C771,if(not(iserror(index(split(C771, "" ""),3))), index(split(C771, "" ""),3),index(split(C771, "" ""),2)))"),"")</f>
        <v/>
      </c>
      <c r="X771" s="38" t="b">
        <f t="shared" si="2"/>
        <v>0</v>
      </c>
      <c r="Y771" s="38"/>
      <c r="Z771" s="40"/>
      <c r="AA771" s="40"/>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row>
    <row r="772">
      <c r="A772" s="37"/>
      <c r="B772" s="341"/>
      <c r="C772" s="60"/>
      <c r="D772" s="60"/>
      <c r="E772" s="58"/>
      <c r="F772" s="58"/>
      <c r="G772" s="58"/>
      <c r="H772" s="33" t="str">
        <f t="shared" si="1"/>
        <v/>
      </c>
      <c r="I772" s="58"/>
      <c r="J772" s="58"/>
      <c r="K772" s="58"/>
      <c r="L772" s="38"/>
      <c r="M772" s="58"/>
      <c r="N772" s="58"/>
      <c r="O772" s="58"/>
      <c r="P772" s="80"/>
      <c r="Q772" s="77"/>
      <c r="R772" s="62"/>
      <c r="S772" s="62"/>
      <c r="T772" s="62"/>
      <c r="U772" s="62"/>
      <c r="V772" s="37" t="str">
        <f>IFERROR(__xludf.DUMMYFUNCTION("if(not(iserror(index(split(C772, "" ""),2))), index(split(C772, "" ""),1),"""")"),"")</f>
        <v/>
      </c>
      <c r="W772" s="315" t="str">
        <f>IFERROR(__xludf.DUMMYFUNCTION("if(V772="""",C772,if(not(iserror(index(split(C772, "" ""),3))), index(split(C772, "" ""),3),index(split(C772, "" ""),2)))"),"")</f>
        <v/>
      </c>
      <c r="X772" s="38" t="b">
        <f t="shared" si="2"/>
        <v>0</v>
      </c>
      <c r="Y772" s="38"/>
      <c r="Z772" s="40"/>
      <c r="AA772" s="40"/>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row>
    <row r="773">
      <c r="A773" s="37"/>
      <c r="B773" s="341"/>
      <c r="C773" s="60"/>
      <c r="D773" s="60"/>
      <c r="E773" s="58"/>
      <c r="F773" s="58"/>
      <c r="G773" s="58"/>
      <c r="H773" s="33" t="str">
        <f t="shared" si="1"/>
        <v/>
      </c>
      <c r="I773" s="58"/>
      <c r="J773" s="58"/>
      <c r="K773" s="58"/>
      <c r="L773" s="38"/>
      <c r="M773" s="58"/>
      <c r="N773" s="58"/>
      <c r="O773" s="58"/>
      <c r="P773" s="14"/>
      <c r="Q773" s="77"/>
      <c r="R773" s="62"/>
      <c r="S773" s="62"/>
      <c r="T773" s="62"/>
      <c r="U773" s="62"/>
      <c r="V773" s="37" t="str">
        <f>IFERROR(__xludf.DUMMYFUNCTION("if(not(iserror(index(split(C773, "" ""),2))), index(split(C773, "" ""),1),"""")"),"")</f>
        <v/>
      </c>
      <c r="W773" s="315" t="str">
        <f>IFERROR(__xludf.DUMMYFUNCTION("if(V773="""",C773,if(not(iserror(index(split(C773, "" ""),3))), index(split(C773, "" ""),3),index(split(C773, "" ""),2)))"),"")</f>
        <v/>
      </c>
      <c r="X773" s="38" t="b">
        <f t="shared" si="2"/>
        <v>0</v>
      </c>
      <c r="Y773" s="38"/>
      <c r="Z773" s="40"/>
      <c r="AA773" s="40"/>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row>
    <row r="774">
      <c r="A774" s="58"/>
      <c r="B774" s="341"/>
      <c r="C774" s="60"/>
      <c r="D774" s="60"/>
      <c r="E774" s="58"/>
      <c r="F774" s="58"/>
      <c r="G774" s="58"/>
      <c r="H774" s="33" t="str">
        <f t="shared" si="1"/>
        <v/>
      </c>
      <c r="I774" s="58"/>
      <c r="J774" s="58"/>
      <c r="K774" s="58"/>
      <c r="L774" s="38"/>
      <c r="M774" s="58"/>
      <c r="N774" s="58"/>
      <c r="O774" s="58"/>
      <c r="P774" s="80"/>
      <c r="Q774" s="77"/>
      <c r="R774" s="62"/>
      <c r="S774" s="62"/>
      <c r="T774" s="62"/>
      <c r="U774" s="62"/>
      <c r="V774" s="37" t="str">
        <f>IFERROR(__xludf.DUMMYFUNCTION("if(not(iserror(index(split(C774, "" ""),2))), index(split(C774, "" ""),1),"""")"),"")</f>
        <v/>
      </c>
      <c r="W774" s="315" t="str">
        <f>IFERROR(__xludf.DUMMYFUNCTION("if(V774="""",C774,if(not(iserror(index(split(C774, "" ""),3))), index(split(C774, "" ""),3),index(split(C774, "" ""),2)))"),"")</f>
        <v/>
      </c>
      <c r="X774" s="38" t="b">
        <f t="shared" si="2"/>
        <v>0</v>
      </c>
      <c r="Y774" s="38"/>
      <c r="Z774" s="40"/>
      <c r="AA774" s="40"/>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row>
    <row r="775">
      <c r="A775" s="58"/>
      <c r="B775" s="341"/>
      <c r="C775" s="60"/>
      <c r="D775" s="60"/>
      <c r="E775" s="58"/>
      <c r="F775" s="58"/>
      <c r="G775" s="58"/>
      <c r="H775" s="33" t="str">
        <f t="shared" si="1"/>
        <v/>
      </c>
      <c r="I775" s="58"/>
      <c r="J775" s="58"/>
      <c r="K775" s="58"/>
      <c r="L775" s="38"/>
      <c r="M775" s="58"/>
      <c r="N775" s="58"/>
      <c r="O775" s="58"/>
      <c r="P775" s="80"/>
      <c r="Q775" s="77"/>
      <c r="R775" s="62"/>
      <c r="S775" s="62"/>
      <c r="T775" s="62"/>
      <c r="U775" s="62"/>
      <c r="V775" s="37" t="str">
        <f>IFERROR(__xludf.DUMMYFUNCTION("if(not(iserror(index(split(C775, "" ""),2))), index(split(C775, "" ""),1),"""")"),"")</f>
        <v/>
      </c>
      <c r="W775" s="315" t="str">
        <f>IFERROR(__xludf.DUMMYFUNCTION("if(V775="""",C775,if(not(iserror(index(split(C775, "" ""),3))), index(split(C775, "" ""),3),index(split(C775, "" ""),2)))"),"")</f>
        <v/>
      </c>
      <c r="X775" s="38" t="b">
        <f t="shared" si="2"/>
        <v>0</v>
      </c>
      <c r="Y775" s="38"/>
      <c r="Z775" s="40"/>
      <c r="AA775" s="40"/>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row>
    <row r="776">
      <c r="A776" s="37"/>
      <c r="B776" s="341"/>
      <c r="C776" s="60"/>
      <c r="D776" s="60"/>
      <c r="E776" s="58"/>
      <c r="F776" s="58"/>
      <c r="G776" s="58"/>
      <c r="H776" s="33" t="str">
        <f t="shared" si="1"/>
        <v/>
      </c>
      <c r="I776" s="58"/>
      <c r="J776" s="58"/>
      <c r="K776" s="58"/>
      <c r="L776" s="38"/>
      <c r="M776" s="58"/>
      <c r="N776" s="58"/>
      <c r="O776" s="58"/>
      <c r="P776" s="80"/>
      <c r="Q776" s="77"/>
      <c r="R776" s="62"/>
      <c r="S776" s="62"/>
      <c r="T776" s="62"/>
      <c r="U776" s="62"/>
      <c r="V776" s="37" t="str">
        <f>IFERROR(__xludf.DUMMYFUNCTION("if(not(iserror(index(split(C776, "" ""),2))), index(split(C776, "" ""),1),"""")"),"")</f>
        <v/>
      </c>
      <c r="W776" s="315" t="str">
        <f>IFERROR(__xludf.DUMMYFUNCTION("if(V776="""",C776,if(not(iserror(index(split(C776, "" ""),3))), index(split(C776, "" ""),3),index(split(C776, "" ""),2)))"),"")</f>
        <v/>
      </c>
      <c r="X776" s="38" t="b">
        <f t="shared" si="2"/>
        <v>0</v>
      </c>
      <c r="Y776" s="38"/>
      <c r="Z776" s="40"/>
      <c r="AA776" s="40"/>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row>
    <row r="777">
      <c r="A777" s="37"/>
      <c r="B777" s="341"/>
      <c r="C777" s="60"/>
      <c r="D777" s="60"/>
      <c r="E777" s="58"/>
      <c r="F777" s="58"/>
      <c r="G777" s="58"/>
      <c r="H777" s="33" t="str">
        <f t="shared" si="1"/>
        <v/>
      </c>
      <c r="I777" s="58"/>
      <c r="J777" s="58"/>
      <c r="K777" s="58"/>
      <c r="L777" s="38"/>
      <c r="M777" s="58"/>
      <c r="N777" s="58"/>
      <c r="O777" s="58"/>
      <c r="P777" s="14"/>
      <c r="Q777" s="77"/>
      <c r="R777" s="58"/>
      <c r="S777" s="58"/>
      <c r="T777" s="84"/>
      <c r="U777" s="62"/>
      <c r="V777" s="37" t="str">
        <f>IFERROR(__xludf.DUMMYFUNCTION("if(not(iserror(index(split(C777, "" ""),2))), index(split(C777, "" ""),1),"""")"),"")</f>
        <v/>
      </c>
      <c r="W777" s="315" t="str">
        <f>IFERROR(__xludf.DUMMYFUNCTION("if(V777="""",C777,if(not(iserror(index(split(C777, "" ""),3))), index(split(C777, "" ""),3),index(split(C777, "" ""),2)))"),"")</f>
        <v/>
      </c>
      <c r="X777" s="38" t="b">
        <f t="shared" si="2"/>
        <v>0</v>
      </c>
      <c r="Y777" s="38"/>
      <c r="Z777" s="40"/>
      <c r="AA777" s="40"/>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row>
    <row r="778">
      <c r="A778" s="58"/>
      <c r="B778" s="341"/>
      <c r="C778" s="60"/>
      <c r="D778" s="60"/>
      <c r="E778" s="58"/>
      <c r="F778" s="58"/>
      <c r="G778" s="58"/>
      <c r="H778" s="33" t="str">
        <f t="shared" si="1"/>
        <v/>
      </c>
      <c r="I778" s="58"/>
      <c r="J778" s="58"/>
      <c r="K778" s="58"/>
      <c r="L778" s="38"/>
      <c r="M778" s="58"/>
      <c r="N778" s="58"/>
      <c r="O778" s="58"/>
      <c r="P778" s="80"/>
      <c r="Q778" s="77"/>
      <c r="R778" s="58"/>
      <c r="S778" s="58"/>
      <c r="T778" s="84"/>
      <c r="U778" s="62"/>
      <c r="V778" s="37" t="str">
        <f>IFERROR(__xludf.DUMMYFUNCTION("if(not(iserror(index(split(C778, "" ""),2))), index(split(C778, "" ""),1),"""")"),"")</f>
        <v/>
      </c>
      <c r="W778" s="315" t="str">
        <f>IFERROR(__xludf.DUMMYFUNCTION("if(V778="""",C778,if(not(iserror(index(split(C778, "" ""),3))), index(split(C778, "" ""),3),index(split(C778, "" ""),2)))"),"")</f>
        <v/>
      </c>
      <c r="X778" s="38" t="b">
        <f t="shared" si="2"/>
        <v>0</v>
      </c>
      <c r="Y778" s="38"/>
      <c r="Z778" s="40"/>
      <c r="AA778" s="40"/>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row>
    <row r="779">
      <c r="A779" s="58"/>
      <c r="B779" s="341"/>
      <c r="C779" s="60"/>
      <c r="D779" s="60"/>
      <c r="E779" s="58"/>
      <c r="F779" s="58"/>
      <c r="G779" s="58"/>
      <c r="H779" s="33" t="str">
        <f t="shared" si="1"/>
        <v/>
      </c>
      <c r="I779" s="58"/>
      <c r="J779" s="58"/>
      <c r="K779" s="58"/>
      <c r="L779" s="38"/>
      <c r="M779" s="58"/>
      <c r="N779" s="58"/>
      <c r="O779" s="58"/>
      <c r="P779" s="80"/>
      <c r="Q779" s="77"/>
      <c r="R779" s="62"/>
      <c r="S779" s="62"/>
      <c r="T779" s="62"/>
      <c r="U779" s="62"/>
      <c r="V779" s="37" t="str">
        <f>IFERROR(__xludf.DUMMYFUNCTION("if(not(iserror(index(split(C779, "" ""),2))), index(split(C779, "" ""),1),"""")"),"")</f>
        <v/>
      </c>
      <c r="W779" s="315" t="str">
        <f>IFERROR(__xludf.DUMMYFUNCTION("if(V779="""",C779,if(not(iserror(index(split(C779, "" ""),3))), index(split(C779, "" ""),3),index(split(C779, "" ""),2)))"),"")</f>
        <v/>
      </c>
      <c r="X779" s="38" t="b">
        <f t="shared" si="2"/>
        <v>0</v>
      </c>
      <c r="Y779" s="38"/>
      <c r="Z779" s="40"/>
      <c r="AA779" s="40"/>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row>
    <row r="780">
      <c r="A780" s="37"/>
      <c r="B780" s="341"/>
      <c r="C780" s="60"/>
      <c r="D780" s="60"/>
      <c r="E780" s="58"/>
      <c r="F780" s="58"/>
      <c r="G780" s="58"/>
      <c r="H780" s="33" t="str">
        <f t="shared" si="1"/>
        <v/>
      </c>
      <c r="I780" s="58"/>
      <c r="J780" s="58"/>
      <c r="K780" s="58"/>
      <c r="L780" s="38"/>
      <c r="M780" s="58"/>
      <c r="N780" s="58"/>
      <c r="O780" s="58"/>
      <c r="P780" s="80"/>
      <c r="Q780" s="77"/>
      <c r="R780" s="62"/>
      <c r="S780" s="62"/>
      <c r="T780" s="62"/>
      <c r="U780" s="62"/>
      <c r="V780" s="37" t="str">
        <f>IFERROR(__xludf.DUMMYFUNCTION("if(not(iserror(index(split(C780, "" ""),2))), index(split(C780, "" ""),1),"""")"),"")</f>
        <v/>
      </c>
      <c r="W780" s="315" t="str">
        <f>IFERROR(__xludf.DUMMYFUNCTION("if(V780="""",C780,if(not(iserror(index(split(C780, "" ""),3))), index(split(C780, "" ""),3),index(split(C780, "" ""),2)))"),"")</f>
        <v/>
      </c>
      <c r="X780" s="38" t="b">
        <f t="shared" si="2"/>
        <v>0</v>
      </c>
      <c r="Y780" s="38"/>
      <c r="Z780" s="40"/>
      <c r="AA780" s="40"/>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row>
    <row r="781">
      <c r="A781" s="58"/>
      <c r="B781" s="341"/>
      <c r="C781" s="60"/>
      <c r="D781" s="60"/>
      <c r="E781" s="58"/>
      <c r="F781" s="58"/>
      <c r="G781" s="58"/>
      <c r="H781" s="33" t="str">
        <f t="shared" si="1"/>
        <v/>
      </c>
      <c r="I781" s="58"/>
      <c r="J781" s="58"/>
      <c r="K781" s="58"/>
      <c r="L781" s="38"/>
      <c r="M781" s="58"/>
      <c r="N781" s="58"/>
      <c r="O781" s="58"/>
      <c r="P781" s="80"/>
      <c r="Q781" s="77"/>
      <c r="R781" s="62"/>
      <c r="S781" s="62"/>
      <c r="T781" s="62"/>
      <c r="U781" s="62"/>
      <c r="V781" s="37" t="str">
        <f>IFERROR(__xludf.DUMMYFUNCTION("if(not(iserror(index(split(C781, "" ""),2))), index(split(C781, "" ""),1),"""")"),"")</f>
        <v/>
      </c>
      <c r="W781" s="315" t="str">
        <f>IFERROR(__xludf.DUMMYFUNCTION("if(V781="""",C781,if(not(iserror(index(split(C781, "" ""),3))), index(split(C781, "" ""),3),index(split(C781, "" ""),2)))"),"")</f>
        <v/>
      </c>
      <c r="X781" s="38" t="b">
        <f t="shared" si="2"/>
        <v>0</v>
      </c>
      <c r="Y781" s="38"/>
      <c r="Z781" s="40"/>
      <c r="AA781" s="40"/>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row>
    <row r="782">
      <c r="B782" s="341"/>
      <c r="C782" s="60"/>
      <c r="D782" s="60"/>
      <c r="E782" s="58"/>
      <c r="F782" s="58"/>
      <c r="G782" s="58"/>
      <c r="H782" s="33" t="str">
        <f t="shared" si="1"/>
        <v/>
      </c>
      <c r="I782" s="58"/>
      <c r="J782" s="58"/>
      <c r="K782" s="58"/>
      <c r="L782" s="38"/>
      <c r="M782" s="58"/>
      <c r="N782" s="58"/>
      <c r="O782" s="58"/>
      <c r="P782" s="14"/>
      <c r="Q782" s="77"/>
      <c r="R782" s="62"/>
      <c r="S782" s="62"/>
      <c r="T782" s="62"/>
      <c r="U782" s="62"/>
      <c r="V782" s="37" t="str">
        <f>IFERROR(__xludf.DUMMYFUNCTION("if(not(iserror(index(split(C782, "" ""),2))), index(split(C782, "" ""),1),"""")"),"")</f>
        <v/>
      </c>
      <c r="W782" s="315" t="str">
        <f>IFERROR(__xludf.DUMMYFUNCTION("if(V782="""",C782,if(not(iserror(index(split(C782, "" ""),3))), index(split(C782, "" ""),3),index(split(C782, "" ""),2)))"),"")</f>
        <v/>
      </c>
      <c r="X782" s="38" t="b">
        <f t="shared" si="2"/>
        <v>0</v>
      </c>
      <c r="Y782" s="38"/>
      <c r="Z782" s="40"/>
      <c r="AA782" s="40"/>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row>
    <row r="783">
      <c r="A783" s="37"/>
      <c r="B783" s="341"/>
      <c r="C783" s="60"/>
      <c r="D783" s="60"/>
      <c r="E783" s="58"/>
      <c r="F783" s="58"/>
      <c r="G783" s="58"/>
      <c r="H783" s="33" t="str">
        <f t="shared" si="1"/>
        <v/>
      </c>
      <c r="I783" s="58"/>
      <c r="J783" s="58"/>
      <c r="K783" s="58"/>
      <c r="L783" s="38"/>
      <c r="M783" s="58"/>
      <c r="N783" s="58"/>
      <c r="O783" s="58"/>
      <c r="P783" s="14"/>
      <c r="Q783" s="77"/>
      <c r="R783" s="62"/>
      <c r="S783" s="62"/>
      <c r="T783" s="62"/>
      <c r="U783" s="62"/>
      <c r="V783" s="37" t="str">
        <f>IFERROR(__xludf.DUMMYFUNCTION("if(not(iserror(index(split(C783, "" ""),2))), index(split(C783, "" ""),1),"""")"),"")</f>
        <v/>
      </c>
      <c r="W783" s="315" t="str">
        <f>IFERROR(__xludf.DUMMYFUNCTION("if(V783="""",C783,if(not(iserror(index(split(C783, "" ""),3))), index(split(C783, "" ""),3),index(split(C783, "" ""),2)))"),"")</f>
        <v/>
      </c>
      <c r="X783" s="38" t="b">
        <f t="shared" si="2"/>
        <v>0</v>
      </c>
      <c r="Y783" s="38"/>
      <c r="Z783" s="40"/>
      <c r="AA783" s="40"/>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row>
    <row r="784">
      <c r="A784" s="58"/>
      <c r="B784" s="341"/>
      <c r="C784" s="60"/>
      <c r="D784" s="60"/>
      <c r="E784" s="58"/>
      <c r="F784" s="58"/>
      <c r="G784" s="58"/>
      <c r="H784" s="33" t="str">
        <f t="shared" si="1"/>
        <v/>
      </c>
      <c r="I784" s="58"/>
      <c r="J784" s="58"/>
      <c r="K784" s="58"/>
      <c r="L784" s="38"/>
      <c r="M784" s="58"/>
      <c r="N784" s="58"/>
      <c r="O784" s="58"/>
      <c r="P784" s="80"/>
      <c r="Q784" s="77"/>
      <c r="R784" s="62"/>
      <c r="S784" s="62"/>
      <c r="T784" s="62"/>
      <c r="U784" s="62"/>
      <c r="V784" s="37" t="str">
        <f>IFERROR(__xludf.DUMMYFUNCTION("if(not(iserror(index(split(C784, "" ""),2))), index(split(C784, "" ""),1),"""")"),"")</f>
        <v/>
      </c>
      <c r="W784" s="315" t="str">
        <f>IFERROR(__xludf.DUMMYFUNCTION("if(V784="""",C784,if(not(iserror(index(split(C784, "" ""),3))), index(split(C784, "" ""),3),index(split(C784, "" ""),2)))"),"")</f>
        <v/>
      </c>
      <c r="X784" s="38" t="b">
        <f t="shared" si="2"/>
        <v>0</v>
      </c>
      <c r="Y784" s="38"/>
      <c r="Z784" s="40"/>
      <c r="AA784" s="40"/>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row>
    <row r="785">
      <c r="A785" s="58"/>
      <c r="B785" s="341"/>
      <c r="C785" s="60"/>
      <c r="D785" s="60"/>
      <c r="E785" s="58"/>
      <c r="F785" s="58"/>
      <c r="G785" s="58"/>
      <c r="H785" s="33" t="str">
        <f t="shared" si="1"/>
        <v/>
      </c>
      <c r="I785" s="58"/>
      <c r="J785" s="58"/>
      <c r="K785" s="58"/>
      <c r="L785" s="38"/>
      <c r="M785" s="58"/>
      <c r="N785" s="58"/>
      <c r="O785" s="58"/>
      <c r="P785" s="80"/>
      <c r="Q785" s="77"/>
      <c r="R785" s="62"/>
      <c r="S785" s="62"/>
      <c r="T785" s="62"/>
      <c r="U785" s="62"/>
      <c r="V785" s="37" t="str">
        <f>IFERROR(__xludf.DUMMYFUNCTION("if(not(iserror(index(split(C785, "" ""),2))), index(split(C785, "" ""),1),"""")"),"")</f>
        <v/>
      </c>
      <c r="W785" s="315" t="str">
        <f>IFERROR(__xludf.DUMMYFUNCTION("if(V785="""",C785,if(not(iserror(index(split(C785, "" ""),3))), index(split(C785, "" ""),3),index(split(C785, "" ""),2)))"),"")</f>
        <v/>
      </c>
      <c r="X785" s="38" t="b">
        <f t="shared" si="2"/>
        <v>0</v>
      </c>
      <c r="Y785" s="38"/>
      <c r="Z785" s="40"/>
      <c r="AA785" s="40"/>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row>
    <row r="786">
      <c r="A786" s="58"/>
      <c r="B786" s="341"/>
      <c r="C786" s="60"/>
      <c r="D786" s="60"/>
      <c r="E786" s="58"/>
      <c r="F786" s="58"/>
      <c r="G786" s="58"/>
      <c r="H786" s="33" t="str">
        <f t="shared" si="1"/>
        <v/>
      </c>
      <c r="I786" s="58"/>
      <c r="J786" s="58"/>
      <c r="K786" s="58"/>
      <c r="L786" s="38"/>
      <c r="M786" s="58"/>
      <c r="N786" s="58"/>
      <c r="O786" s="58"/>
      <c r="P786" s="80"/>
      <c r="Q786" s="77"/>
      <c r="R786" s="62"/>
      <c r="S786" s="62"/>
      <c r="T786" s="62"/>
      <c r="U786" s="62"/>
      <c r="V786" s="37" t="str">
        <f>IFERROR(__xludf.DUMMYFUNCTION("if(not(iserror(index(split(C786, "" ""),2))), index(split(C786, "" ""),1),"""")"),"")</f>
        <v/>
      </c>
      <c r="W786" s="315" t="str">
        <f>IFERROR(__xludf.DUMMYFUNCTION("if(V786="""",C786,if(not(iserror(index(split(C786, "" ""),3))), index(split(C786, "" ""),3),index(split(C786, "" ""),2)))"),"")</f>
        <v/>
      </c>
      <c r="X786" s="38" t="b">
        <f t="shared" si="2"/>
        <v>0</v>
      </c>
      <c r="Y786" s="38"/>
      <c r="Z786" s="40"/>
      <c r="AA786" s="40"/>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row>
    <row r="787">
      <c r="A787" s="58"/>
      <c r="B787" s="341"/>
      <c r="C787" s="60"/>
      <c r="D787" s="60"/>
      <c r="E787" s="58"/>
      <c r="F787" s="58"/>
      <c r="G787" s="58"/>
      <c r="H787" s="33" t="str">
        <f t="shared" si="1"/>
        <v/>
      </c>
      <c r="I787" s="58"/>
      <c r="J787" s="58"/>
      <c r="K787" s="58"/>
      <c r="L787" s="38"/>
      <c r="M787" s="58"/>
      <c r="N787" s="58"/>
      <c r="O787" s="58"/>
      <c r="P787" s="80"/>
      <c r="Q787" s="77"/>
      <c r="R787" s="62"/>
      <c r="S787" s="62"/>
      <c r="T787" s="62"/>
      <c r="U787" s="62"/>
      <c r="V787" s="37" t="str">
        <f>IFERROR(__xludf.DUMMYFUNCTION("if(not(iserror(index(split(C787, "" ""),2))), index(split(C787, "" ""),1),"""")"),"")</f>
        <v/>
      </c>
      <c r="W787" s="315" t="str">
        <f>IFERROR(__xludf.DUMMYFUNCTION("if(V787="""",C787,if(not(iserror(index(split(C787, "" ""),3))), index(split(C787, "" ""),3),index(split(C787, "" ""),2)))"),"")</f>
        <v/>
      </c>
      <c r="X787" s="38" t="b">
        <f t="shared" si="2"/>
        <v>0</v>
      </c>
      <c r="Y787" s="38"/>
      <c r="Z787" s="40"/>
      <c r="AA787" s="40"/>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row>
    <row r="788">
      <c r="A788" s="58"/>
      <c r="B788" s="341"/>
      <c r="C788" s="60"/>
      <c r="D788" s="60"/>
      <c r="E788" s="58"/>
      <c r="F788" s="58"/>
      <c r="G788" s="58"/>
      <c r="H788" s="33" t="str">
        <f t="shared" si="1"/>
        <v/>
      </c>
      <c r="I788" s="58"/>
      <c r="J788" s="58"/>
      <c r="K788" s="58"/>
      <c r="L788" s="38"/>
      <c r="M788" s="58"/>
      <c r="N788" s="58"/>
      <c r="O788" s="58"/>
      <c r="P788" s="80"/>
      <c r="Q788" s="77"/>
      <c r="R788" s="62"/>
      <c r="S788" s="62"/>
      <c r="T788" s="62"/>
      <c r="U788" s="62"/>
      <c r="V788" s="37" t="str">
        <f>IFERROR(__xludf.DUMMYFUNCTION("if(not(iserror(index(split(C788, "" ""),2))), index(split(C788, "" ""),1),"""")"),"")</f>
        <v/>
      </c>
      <c r="W788" s="315" t="str">
        <f>IFERROR(__xludf.DUMMYFUNCTION("if(V788="""",C788,if(not(iserror(index(split(C788, "" ""),3))), index(split(C788, "" ""),3),index(split(C788, "" ""),2)))"),"")</f>
        <v/>
      </c>
      <c r="X788" s="38" t="b">
        <f t="shared" si="2"/>
        <v>0</v>
      </c>
      <c r="Y788" s="38"/>
      <c r="Z788" s="40"/>
      <c r="AA788" s="40"/>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row>
    <row r="789">
      <c r="A789" s="58"/>
      <c r="B789" s="341"/>
      <c r="C789" s="60"/>
      <c r="D789" s="60"/>
      <c r="E789" s="58"/>
      <c r="F789" s="58"/>
      <c r="G789" s="58"/>
      <c r="H789" s="33" t="str">
        <f t="shared" si="1"/>
        <v/>
      </c>
      <c r="I789" s="58"/>
      <c r="J789" s="58"/>
      <c r="K789" s="58"/>
      <c r="L789" s="38"/>
      <c r="M789" s="58"/>
      <c r="N789" s="58"/>
      <c r="O789" s="58"/>
      <c r="P789" s="80"/>
      <c r="Q789" s="77"/>
      <c r="R789" s="62"/>
      <c r="S789" s="62"/>
      <c r="T789" s="62"/>
      <c r="U789" s="62"/>
      <c r="V789" s="37" t="str">
        <f>IFERROR(__xludf.DUMMYFUNCTION("if(not(iserror(index(split(C789, "" ""),2))), index(split(C789, "" ""),1),"""")"),"")</f>
        <v/>
      </c>
      <c r="W789" s="315" t="str">
        <f>IFERROR(__xludf.DUMMYFUNCTION("if(V789="""",C789,if(not(iserror(index(split(C789, "" ""),3))), index(split(C789, "" ""),3),index(split(C789, "" ""),2)))"),"")</f>
        <v/>
      </c>
      <c r="X789" s="38" t="b">
        <f t="shared" si="2"/>
        <v>0</v>
      </c>
      <c r="Y789" s="38"/>
      <c r="Z789" s="40"/>
      <c r="AA789" s="40"/>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row>
    <row r="790">
      <c r="A790" s="58"/>
      <c r="B790" s="341"/>
      <c r="C790" s="60"/>
      <c r="D790" s="60"/>
      <c r="E790" s="58"/>
      <c r="F790" s="58"/>
      <c r="G790" s="58"/>
      <c r="H790" s="33" t="str">
        <f t="shared" si="1"/>
        <v/>
      </c>
      <c r="I790" s="58"/>
      <c r="J790" s="58"/>
      <c r="K790" s="58"/>
      <c r="L790" s="38"/>
      <c r="M790" s="58"/>
      <c r="N790" s="58"/>
      <c r="O790" s="58"/>
      <c r="P790" s="80"/>
      <c r="Q790" s="77"/>
      <c r="R790" s="62"/>
      <c r="S790" s="62"/>
      <c r="T790" s="62"/>
      <c r="U790" s="62"/>
      <c r="V790" s="37" t="str">
        <f>IFERROR(__xludf.DUMMYFUNCTION("if(not(iserror(index(split(C790, "" ""),2))), index(split(C790, "" ""),1),"""")"),"")</f>
        <v/>
      </c>
      <c r="W790" s="315" t="str">
        <f>IFERROR(__xludf.DUMMYFUNCTION("if(V790="""",C790,if(not(iserror(index(split(C790, "" ""),3))), index(split(C790, "" ""),3),index(split(C790, "" ""),2)))"),"")</f>
        <v/>
      </c>
      <c r="X790" s="38" t="b">
        <f t="shared" si="2"/>
        <v>0</v>
      </c>
      <c r="Y790" s="38"/>
      <c r="Z790" s="40"/>
      <c r="AA790" s="40"/>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row>
    <row r="791">
      <c r="A791" s="58"/>
      <c r="B791" s="341"/>
      <c r="C791" s="60"/>
      <c r="D791" s="60"/>
      <c r="E791" s="58"/>
      <c r="F791" s="58"/>
      <c r="G791" s="58"/>
      <c r="H791" s="33" t="str">
        <f t="shared" si="1"/>
        <v/>
      </c>
      <c r="I791" s="58"/>
      <c r="J791" s="58"/>
      <c r="K791" s="58"/>
      <c r="L791" s="38"/>
      <c r="M791" s="58"/>
      <c r="N791" s="58"/>
      <c r="O791" s="58"/>
      <c r="P791" s="80"/>
      <c r="Q791" s="77"/>
      <c r="R791" s="62"/>
      <c r="S791" s="62"/>
      <c r="T791" s="62"/>
      <c r="U791" s="62"/>
      <c r="V791" s="37" t="str">
        <f>IFERROR(__xludf.DUMMYFUNCTION("if(not(iserror(index(split(C791, "" ""),2))), index(split(C791, "" ""),1),"""")"),"")</f>
        <v/>
      </c>
      <c r="W791" s="315" t="str">
        <f>IFERROR(__xludf.DUMMYFUNCTION("if(V791="""",C791,if(not(iserror(index(split(C791, "" ""),3))), index(split(C791, "" ""),3),index(split(C791, "" ""),2)))"),"")</f>
        <v/>
      </c>
      <c r="X791" s="38" t="b">
        <f t="shared" si="2"/>
        <v>0</v>
      </c>
      <c r="Y791" s="38"/>
      <c r="Z791" s="40"/>
      <c r="AA791" s="40"/>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row>
    <row r="792">
      <c r="A792" s="58"/>
      <c r="B792" s="341"/>
      <c r="C792" s="60"/>
      <c r="D792" s="60"/>
      <c r="E792" s="58"/>
      <c r="F792" s="58"/>
      <c r="G792" s="58"/>
      <c r="H792" s="33" t="str">
        <f t="shared" si="1"/>
        <v/>
      </c>
      <c r="I792" s="58"/>
      <c r="J792" s="58"/>
      <c r="K792" s="58"/>
      <c r="L792" s="38"/>
      <c r="M792" s="58"/>
      <c r="N792" s="58"/>
      <c r="O792" s="58"/>
      <c r="P792" s="80"/>
      <c r="Q792" s="77"/>
      <c r="R792" s="62"/>
      <c r="S792" s="62"/>
      <c r="T792" s="62"/>
      <c r="U792" s="62"/>
      <c r="V792" s="37" t="str">
        <f>IFERROR(__xludf.DUMMYFUNCTION("if(not(iserror(index(split(C792, "" ""),2))), index(split(C792, "" ""),1),"""")"),"")</f>
        <v/>
      </c>
      <c r="W792" s="315" t="str">
        <f>IFERROR(__xludf.DUMMYFUNCTION("if(V792="""",C792,if(not(iserror(index(split(C792, "" ""),3))), index(split(C792, "" ""),3),index(split(C792, "" ""),2)))"),"")</f>
        <v/>
      </c>
      <c r="X792" s="38" t="b">
        <f t="shared" si="2"/>
        <v>0</v>
      </c>
      <c r="Y792" s="38"/>
      <c r="Z792" s="40"/>
      <c r="AA792" s="40"/>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row>
    <row r="793">
      <c r="A793" s="58"/>
      <c r="B793" s="341"/>
      <c r="C793" s="60"/>
      <c r="D793" s="60"/>
      <c r="E793" s="58"/>
      <c r="F793" s="58"/>
      <c r="G793" s="58"/>
      <c r="H793" s="33" t="str">
        <f t="shared" si="1"/>
        <v/>
      </c>
      <c r="I793" s="58"/>
      <c r="J793" s="58"/>
      <c r="K793" s="58"/>
      <c r="L793" s="38"/>
      <c r="M793" s="58"/>
      <c r="N793" s="58"/>
      <c r="O793" s="58"/>
      <c r="P793" s="80"/>
      <c r="Q793" s="77"/>
      <c r="R793" s="62"/>
      <c r="S793" s="62"/>
      <c r="T793" s="62"/>
      <c r="U793" s="62"/>
      <c r="V793" s="37" t="str">
        <f>IFERROR(__xludf.DUMMYFUNCTION("if(not(iserror(index(split(C793, "" ""),2))), index(split(C793, "" ""),1),"""")"),"")</f>
        <v/>
      </c>
      <c r="W793" s="315" t="str">
        <f>IFERROR(__xludf.DUMMYFUNCTION("if(V793="""",C793,if(not(iserror(index(split(C793, "" ""),3))), index(split(C793, "" ""),3),index(split(C793, "" ""),2)))"),"")</f>
        <v/>
      </c>
      <c r="X793" s="38" t="b">
        <f t="shared" si="2"/>
        <v>0</v>
      </c>
      <c r="Y793" s="38"/>
      <c r="Z793" s="40"/>
      <c r="AA793" s="40"/>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row>
    <row r="794">
      <c r="A794" s="58"/>
      <c r="B794" s="341"/>
      <c r="C794" s="60"/>
      <c r="D794" s="60"/>
      <c r="E794" s="58"/>
      <c r="F794" s="58"/>
      <c r="G794" s="58"/>
      <c r="H794" s="33" t="str">
        <f t="shared" si="1"/>
        <v/>
      </c>
      <c r="I794" s="58"/>
      <c r="J794" s="58"/>
      <c r="K794" s="58"/>
      <c r="L794" s="38"/>
      <c r="M794" s="58"/>
      <c r="N794" s="58"/>
      <c r="O794" s="58"/>
      <c r="P794" s="80"/>
      <c r="Q794" s="77"/>
      <c r="R794" s="62"/>
      <c r="S794" s="62"/>
      <c r="T794" s="62"/>
      <c r="U794" s="62"/>
      <c r="V794" s="37" t="str">
        <f>IFERROR(__xludf.DUMMYFUNCTION("if(not(iserror(index(split(C794, "" ""),2))), index(split(C794, "" ""),1),"""")"),"")</f>
        <v/>
      </c>
      <c r="W794" s="315" t="str">
        <f>IFERROR(__xludf.DUMMYFUNCTION("if(V794="""",C794,if(not(iserror(index(split(C794, "" ""),3))), index(split(C794, "" ""),3),index(split(C794, "" ""),2)))"),"")</f>
        <v/>
      </c>
      <c r="X794" s="38" t="b">
        <f t="shared" si="2"/>
        <v>0</v>
      </c>
      <c r="Y794" s="38"/>
      <c r="Z794" s="40"/>
      <c r="AA794" s="40"/>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row>
    <row r="795">
      <c r="A795" s="58"/>
      <c r="B795" s="341"/>
      <c r="C795" s="60"/>
      <c r="D795" s="60"/>
      <c r="E795" s="58"/>
      <c r="F795" s="58"/>
      <c r="G795" s="58"/>
      <c r="H795" s="33" t="str">
        <f t="shared" si="1"/>
        <v/>
      </c>
      <c r="I795" s="58"/>
      <c r="J795" s="58"/>
      <c r="K795" s="58"/>
      <c r="L795" s="38"/>
      <c r="M795" s="58"/>
      <c r="N795" s="58"/>
      <c r="O795" s="58"/>
      <c r="P795" s="80"/>
      <c r="Q795" s="77"/>
      <c r="R795" s="62"/>
      <c r="S795" s="62"/>
      <c r="T795" s="62"/>
      <c r="U795" s="62"/>
      <c r="V795" s="37" t="str">
        <f>IFERROR(__xludf.DUMMYFUNCTION("if(not(iserror(index(split(C795, "" ""),2))), index(split(C795, "" ""),1),"""")"),"")</f>
        <v/>
      </c>
      <c r="W795" s="315" t="str">
        <f>IFERROR(__xludf.DUMMYFUNCTION("if(V795="""",C795,if(not(iserror(index(split(C795, "" ""),3))), index(split(C795, "" ""),3),index(split(C795, "" ""),2)))"),"")</f>
        <v/>
      </c>
      <c r="X795" s="38" t="b">
        <f t="shared" si="2"/>
        <v>0</v>
      </c>
      <c r="Y795" s="38"/>
      <c r="Z795" s="40"/>
      <c r="AA795" s="40"/>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row>
    <row r="796">
      <c r="A796" s="58"/>
      <c r="B796" s="341"/>
      <c r="C796" s="60"/>
      <c r="D796" s="60"/>
      <c r="E796" s="58"/>
      <c r="F796" s="58"/>
      <c r="G796" s="58"/>
      <c r="H796" s="33" t="str">
        <f t="shared" si="1"/>
        <v/>
      </c>
      <c r="I796" s="58"/>
      <c r="J796" s="58"/>
      <c r="K796" s="58"/>
      <c r="L796" s="38"/>
      <c r="M796" s="58"/>
      <c r="N796" s="58"/>
      <c r="O796" s="58"/>
      <c r="P796" s="80"/>
      <c r="Q796" s="77"/>
      <c r="R796" s="62"/>
      <c r="S796" s="62"/>
      <c r="T796" s="62"/>
      <c r="U796" s="62"/>
      <c r="V796" s="37" t="str">
        <f>IFERROR(__xludf.DUMMYFUNCTION("if(not(iserror(index(split(C796, "" ""),2))), index(split(C796, "" ""),1),"""")"),"")</f>
        <v/>
      </c>
      <c r="W796" s="315" t="str">
        <f>IFERROR(__xludf.DUMMYFUNCTION("if(V796="""",C796,if(not(iserror(index(split(C796, "" ""),3))), index(split(C796, "" ""),3),index(split(C796, "" ""),2)))"),"")</f>
        <v/>
      </c>
      <c r="X796" s="38" t="b">
        <f t="shared" si="2"/>
        <v>0</v>
      </c>
      <c r="Y796" s="38"/>
      <c r="Z796" s="40"/>
      <c r="AA796" s="40"/>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row>
    <row r="797">
      <c r="A797" s="58"/>
      <c r="B797" s="341"/>
      <c r="C797" s="60"/>
      <c r="D797" s="60"/>
      <c r="E797" s="58"/>
      <c r="F797" s="58"/>
      <c r="G797" s="58"/>
      <c r="H797" s="33" t="str">
        <f t="shared" si="1"/>
        <v/>
      </c>
      <c r="I797" s="58"/>
      <c r="J797" s="58"/>
      <c r="K797" s="58"/>
      <c r="L797" s="38"/>
      <c r="M797" s="58"/>
      <c r="N797" s="58"/>
      <c r="O797" s="58"/>
      <c r="P797" s="80"/>
      <c r="Q797" s="77"/>
      <c r="R797" s="62"/>
      <c r="S797" s="58"/>
      <c r="T797" s="84"/>
      <c r="U797" s="62"/>
      <c r="V797" s="37" t="str">
        <f>IFERROR(__xludf.DUMMYFUNCTION("if(not(iserror(index(split(C797, "" ""),2))), index(split(C797, "" ""),1),"""")"),"")</f>
        <v/>
      </c>
      <c r="W797" s="315" t="str">
        <f>IFERROR(__xludf.DUMMYFUNCTION("if(V797="""",C797,if(not(iserror(index(split(C797, "" ""),3))), index(split(C797, "" ""),3),index(split(C797, "" ""),2)))"),"")</f>
        <v/>
      </c>
      <c r="X797" s="38" t="b">
        <f t="shared" si="2"/>
        <v>0</v>
      </c>
      <c r="Y797" s="38"/>
      <c r="Z797" s="40"/>
      <c r="AA797" s="40"/>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row>
    <row r="798">
      <c r="A798" s="37"/>
      <c r="B798" s="341"/>
      <c r="C798" s="60"/>
      <c r="D798" s="60"/>
      <c r="E798" s="58"/>
      <c r="F798" s="58"/>
      <c r="G798" s="58"/>
      <c r="H798" s="33" t="str">
        <f t="shared" si="1"/>
        <v/>
      </c>
      <c r="I798" s="58"/>
      <c r="J798" s="58"/>
      <c r="K798" s="58"/>
      <c r="L798" s="38"/>
      <c r="M798" s="58"/>
      <c r="N798" s="58"/>
      <c r="O798" s="58"/>
      <c r="P798" s="80"/>
      <c r="Q798" s="77"/>
      <c r="R798" s="62"/>
      <c r="S798" s="62"/>
      <c r="T798" s="62"/>
      <c r="U798" s="62"/>
      <c r="V798" s="37" t="str">
        <f>IFERROR(__xludf.DUMMYFUNCTION("if(not(iserror(index(split(C798, "" ""),2))), index(split(C798, "" ""),1),"""")"),"")</f>
        <v/>
      </c>
      <c r="W798" s="315" t="str">
        <f>IFERROR(__xludf.DUMMYFUNCTION("if(V798="""",C798,if(not(iserror(index(split(C798, "" ""),3))), index(split(C798, "" ""),3),index(split(C798, "" ""),2)))"),"")</f>
        <v/>
      </c>
      <c r="X798" s="38" t="b">
        <f t="shared" si="2"/>
        <v>0</v>
      </c>
      <c r="Y798" s="38"/>
      <c r="Z798" s="40"/>
      <c r="AA798" s="40"/>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row>
    <row r="799">
      <c r="A799" s="37"/>
      <c r="B799" s="341"/>
      <c r="C799" s="60"/>
      <c r="D799" s="60"/>
      <c r="E799" s="58"/>
      <c r="F799" s="58"/>
      <c r="G799" s="58"/>
      <c r="H799" s="33" t="str">
        <f t="shared" si="1"/>
        <v/>
      </c>
      <c r="I799" s="58"/>
      <c r="J799" s="58"/>
      <c r="K799" s="58"/>
      <c r="L799" s="38"/>
      <c r="M799" s="58"/>
      <c r="N799" s="58"/>
      <c r="O799" s="58"/>
      <c r="P799" s="80"/>
      <c r="Q799" s="77"/>
      <c r="R799" s="62"/>
      <c r="S799" s="62"/>
      <c r="T799" s="62"/>
      <c r="U799" s="62"/>
      <c r="V799" s="37" t="str">
        <f>IFERROR(__xludf.DUMMYFUNCTION("if(not(iserror(index(split(C799, "" ""),2))), index(split(C799, "" ""),1),"""")"),"")</f>
        <v/>
      </c>
      <c r="W799" s="315" t="str">
        <f>IFERROR(__xludf.DUMMYFUNCTION("if(V799="""",C799,if(not(iserror(index(split(C799, "" ""),3))), index(split(C799, "" ""),3),index(split(C799, "" ""),2)))"),"")</f>
        <v/>
      </c>
      <c r="X799" s="38" t="b">
        <f t="shared" si="2"/>
        <v>0</v>
      </c>
      <c r="Y799" s="38"/>
      <c r="Z799" s="40"/>
      <c r="AA799" s="40"/>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row>
    <row r="800">
      <c r="A800" s="37"/>
      <c r="B800" s="341"/>
      <c r="C800" s="60"/>
      <c r="D800" s="60"/>
      <c r="E800" s="58"/>
      <c r="F800" s="58"/>
      <c r="G800" s="58"/>
      <c r="H800" s="33" t="str">
        <f t="shared" si="1"/>
        <v/>
      </c>
      <c r="I800" s="58"/>
      <c r="J800" s="58"/>
      <c r="K800" s="58"/>
      <c r="L800" s="38"/>
      <c r="M800" s="58"/>
      <c r="N800" s="58"/>
      <c r="O800" s="58"/>
      <c r="P800" s="80"/>
      <c r="Q800" s="77"/>
      <c r="R800" s="62"/>
      <c r="S800" s="62"/>
      <c r="T800" s="62"/>
      <c r="U800" s="62"/>
      <c r="V800" s="37" t="str">
        <f>IFERROR(__xludf.DUMMYFUNCTION("if(not(iserror(index(split(C800, "" ""),2))), index(split(C800, "" ""),1),"""")"),"")</f>
        <v/>
      </c>
      <c r="W800" s="315" t="str">
        <f>IFERROR(__xludf.DUMMYFUNCTION("if(V800="""",C800,if(not(iserror(index(split(C800, "" ""),3))), index(split(C800, "" ""),3),index(split(C800, "" ""),2)))"),"")</f>
        <v/>
      </c>
      <c r="X800" s="38" t="b">
        <f t="shared" si="2"/>
        <v>0</v>
      </c>
      <c r="Y800" s="38"/>
      <c r="Z800" s="40"/>
      <c r="AA800" s="40"/>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row>
    <row r="801">
      <c r="A801" s="37"/>
      <c r="B801" s="341"/>
      <c r="C801" s="60"/>
      <c r="D801" s="60"/>
      <c r="E801" s="58"/>
      <c r="F801" s="58"/>
      <c r="G801" s="58"/>
      <c r="H801" s="33" t="str">
        <f t="shared" si="1"/>
        <v/>
      </c>
      <c r="I801" s="58"/>
      <c r="J801" s="58"/>
      <c r="K801" s="58"/>
      <c r="L801" s="38"/>
      <c r="M801" s="58"/>
      <c r="N801" s="58"/>
      <c r="O801" s="58"/>
      <c r="P801" s="80"/>
      <c r="Q801" s="77"/>
      <c r="R801" s="62"/>
      <c r="S801" s="62"/>
      <c r="T801" s="62"/>
      <c r="U801" s="62"/>
      <c r="V801" s="37" t="str">
        <f>IFERROR(__xludf.DUMMYFUNCTION("if(not(iserror(index(split(C801, "" ""),2))), index(split(C801, "" ""),1),"""")"),"")</f>
        <v/>
      </c>
      <c r="W801" s="315" t="str">
        <f>IFERROR(__xludf.DUMMYFUNCTION("if(V801="""",C801,if(not(iserror(index(split(C801, "" ""),3))), index(split(C801, "" ""),3),index(split(C801, "" ""),2)))"),"")</f>
        <v/>
      </c>
      <c r="X801" s="38" t="b">
        <f t="shared" si="2"/>
        <v>0</v>
      </c>
      <c r="Y801" s="38"/>
      <c r="Z801" s="40"/>
      <c r="AA801" s="40"/>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row>
    <row r="802">
      <c r="A802" s="37"/>
      <c r="B802" s="341"/>
      <c r="C802" s="60"/>
      <c r="D802" s="60"/>
      <c r="E802" s="58"/>
      <c r="F802" s="58"/>
      <c r="G802" s="58"/>
      <c r="H802" s="33" t="str">
        <f t="shared" si="1"/>
        <v/>
      </c>
      <c r="I802" s="58"/>
      <c r="J802" s="58"/>
      <c r="K802" s="58"/>
      <c r="L802" s="38"/>
      <c r="M802" s="58"/>
      <c r="N802" s="58"/>
      <c r="O802" s="58"/>
      <c r="P802" s="80"/>
      <c r="Q802" s="77"/>
      <c r="R802" s="58"/>
      <c r="S802" s="58"/>
      <c r="T802" s="84"/>
      <c r="U802" s="62"/>
      <c r="V802" s="37" t="str">
        <f>IFERROR(__xludf.DUMMYFUNCTION("if(not(iserror(index(split(C802, "" ""),2))), index(split(C802, "" ""),1),"""")"),"")</f>
        <v/>
      </c>
      <c r="W802" s="315" t="str">
        <f>IFERROR(__xludf.DUMMYFUNCTION("if(V802="""",C802,if(not(iserror(index(split(C802, "" ""),3))), index(split(C802, "" ""),3),index(split(C802, "" ""),2)))"),"")</f>
        <v/>
      </c>
      <c r="X802" s="38" t="b">
        <f t="shared" si="2"/>
        <v>0</v>
      </c>
      <c r="Y802" s="38"/>
      <c r="Z802" s="40"/>
      <c r="AA802" s="40"/>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row>
    <row r="803">
      <c r="A803" s="58"/>
      <c r="B803" s="341"/>
      <c r="C803" s="60"/>
      <c r="D803" s="60"/>
      <c r="E803" s="58"/>
      <c r="F803" s="58"/>
      <c r="G803" s="58"/>
      <c r="H803" s="33" t="str">
        <f t="shared" si="1"/>
        <v/>
      </c>
      <c r="I803" s="58"/>
      <c r="J803" s="58"/>
      <c r="K803" s="58"/>
      <c r="L803" s="38"/>
      <c r="M803" s="58"/>
      <c r="N803" s="58"/>
      <c r="O803" s="58"/>
      <c r="P803" s="80"/>
      <c r="Q803" s="80"/>
      <c r="R803" s="120"/>
      <c r="S803" s="120"/>
      <c r="T803" s="58"/>
      <c r="U803" s="62"/>
      <c r="V803" s="37" t="str">
        <f>IFERROR(__xludf.DUMMYFUNCTION("if(not(iserror(index(split(C803, "" ""),2))), index(split(C803, "" ""),1),"""")"),"")</f>
        <v/>
      </c>
      <c r="W803" s="315" t="str">
        <f>IFERROR(__xludf.DUMMYFUNCTION("if(V803="""",C803,if(not(iserror(index(split(C803, "" ""),3))), index(split(C803, "" ""),3),index(split(C803, "" ""),2)))"),"")</f>
        <v/>
      </c>
      <c r="X803" s="38" t="b">
        <f t="shared" si="2"/>
        <v>0</v>
      </c>
      <c r="Y803" s="38"/>
      <c r="Z803" s="40"/>
      <c r="AA803" s="40"/>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row>
    <row r="804">
      <c r="A804" s="58"/>
      <c r="B804" s="341"/>
      <c r="C804" s="60"/>
      <c r="D804" s="60"/>
      <c r="E804" s="58"/>
      <c r="F804" s="58"/>
      <c r="G804" s="58"/>
      <c r="H804" s="33" t="str">
        <f t="shared" si="1"/>
        <v/>
      </c>
      <c r="I804" s="58"/>
      <c r="J804" s="58"/>
      <c r="K804" s="58"/>
      <c r="L804" s="38"/>
      <c r="M804" s="58"/>
      <c r="N804" s="58"/>
      <c r="O804" s="58"/>
      <c r="P804" s="80"/>
      <c r="Q804" s="14"/>
      <c r="R804" s="62"/>
      <c r="S804" s="58"/>
      <c r="T804" s="84"/>
      <c r="U804" s="62"/>
      <c r="V804" s="37" t="str">
        <f>IFERROR(__xludf.DUMMYFUNCTION("if(not(iserror(index(split(C804, "" ""),2))), index(split(C804, "" ""),1),"""")"),"")</f>
        <v/>
      </c>
      <c r="W804" s="315" t="str">
        <f>IFERROR(__xludf.DUMMYFUNCTION("if(V804="""",C804,if(not(iserror(index(split(C804, "" ""),3))), index(split(C804, "" ""),3),index(split(C804, "" ""),2)))"),"")</f>
        <v/>
      </c>
      <c r="X804" s="38" t="b">
        <f t="shared" si="2"/>
        <v>0</v>
      </c>
      <c r="Y804" s="38"/>
      <c r="Z804" s="40"/>
      <c r="AA804" s="40"/>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row>
    <row r="805">
      <c r="A805" s="58"/>
      <c r="B805" s="341"/>
      <c r="C805" s="60"/>
      <c r="D805" s="60"/>
      <c r="E805" s="58"/>
      <c r="F805" s="58"/>
      <c r="G805" s="58"/>
      <c r="H805" s="33" t="str">
        <f t="shared" si="1"/>
        <v/>
      </c>
      <c r="I805" s="58"/>
      <c r="J805" s="58"/>
      <c r="K805" s="58"/>
      <c r="L805" s="38"/>
      <c r="M805" s="58"/>
      <c r="N805" s="58"/>
      <c r="O805" s="58"/>
      <c r="P805" s="80"/>
      <c r="Q805" s="77"/>
      <c r="R805" s="62"/>
      <c r="S805" s="62"/>
      <c r="T805" s="62"/>
      <c r="U805" s="62"/>
      <c r="V805" s="37" t="str">
        <f>IFERROR(__xludf.DUMMYFUNCTION("if(not(iserror(index(split(C805, "" ""),2))), index(split(C805, "" ""),1),"""")"),"")</f>
        <v/>
      </c>
      <c r="W805" s="315" t="str">
        <f>IFERROR(__xludf.DUMMYFUNCTION("if(V805="""",C805,if(not(iserror(index(split(C805, "" ""),3))), index(split(C805, "" ""),3),index(split(C805, "" ""),2)))"),"")</f>
        <v/>
      </c>
      <c r="X805" s="38" t="b">
        <f t="shared" si="2"/>
        <v>0</v>
      </c>
      <c r="Y805" s="38"/>
      <c r="Z805" s="40"/>
      <c r="AA805" s="40"/>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row>
    <row r="806">
      <c r="A806" s="58"/>
      <c r="B806" s="341"/>
      <c r="C806" s="60"/>
      <c r="D806" s="60"/>
      <c r="E806" s="58"/>
      <c r="F806" s="58"/>
      <c r="G806" s="58"/>
      <c r="H806" s="33" t="str">
        <f t="shared" si="1"/>
        <v/>
      </c>
      <c r="I806" s="58"/>
      <c r="J806" s="58"/>
      <c r="K806" s="58"/>
      <c r="L806" s="38"/>
      <c r="M806" s="58"/>
      <c r="N806" s="58"/>
      <c r="O806" s="58"/>
      <c r="P806" s="80"/>
      <c r="Q806" s="77"/>
      <c r="R806" s="62"/>
      <c r="S806" s="62"/>
      <c r="T806" s="62"/>
      <c r="U806" s="62"/>
      <c r="V806" s="37" t="str">
        <f>IFERROR(__xludf.DUMMYFUNCTION("if(not(iserror(index(split(C806, "" ""),2))), index(split(C806, "" ""),1),"""")"),"")</f>
        <v/>
      </c>
      <c r="W806" s="315" t="str">
        <f>IFERROR(__xludf.DUMMYFUNCTION("if(V806="""",C806,if(not(iserror(index(split(C806, "" ""),3))), index(split(C806, "" ""),3),index(split(C806, "" ""),2)))"),"")</f>
        <v/>
      </c>
      <c r="X806" s="38" t="b">
        <f t="shared" si="2"/>
        <v>0</v>
      </c>
      <c r="Y806" s="38"/>
      <c r="Z806" s="40"/>
      <c r="AA806" s="40"/>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row>
    <row r="807">
      <c r="A807" s="58"/>
      <c r="B807" s="341"/>
      <c r="C807" s="60"/>
      <c r="D807" s="60"/>
      <c r="E807" s="58"/>
      <c r="F807" s="58"/>
      <c r="G807" s="58"/>
      <c r="H807" s="33" t="str">
        <f t="shared" si="1"/>
        <v/>
      </c>
      <c r="I807" s="58"/>
      <c r="J807" s="58"/>
      <c r="K807" s="58"/>
      <c r="L807" s="38"/>
      <c r="M807" s="58"/>
      <c r="N807" s="58"/>
      <c r="O807" s="58"/>
      <c r="P807" s="80"/>
      <c r="Q807" s="77"/>
      <c r="R807" s="58"/>
      <c r="S807" s="62"/>
      <c r="T807" s="84"/>
      <c r="U807" s="62"/>
      <c r="V807" s="37" t="str">
        <f>IFERROR(__xludf.DUMMYFUNCTION("if(not(iserror(index(split(C807, "" ""),2))), index(split(C807, "" ""),1),"""")"),"")</f>
        <v/>
      </c>
      <c r="W807" s="315" t="str">
        <f>IFERROR(__xludf.DUMMYFUNCTION("if(V807="""",C807,if(not(iserror(index(split(C807, "" ""),3))), index(split(C807, "" ""),3),index(split(C807, "" ""),2)))"),"")</f>
        <v/>
      </c>
      <c r="X807" s="38" t="b">
        <f t="shared" si="2"/>
        <v>0</v>
      </c>
      <c r="Y807" s="38"/>
      <c r="Z807" s="40"/>
      <c r="AA807" s="40"/>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row>
    <row r="808">
      <c r="A808" s="37"/>
      <c r="B808" s="341"/>
      <c r="C808" s="60"/>
      <c r="D808" s="60"/>
      <c r="E808" s="58"/>
      <c r="F808" s="58"/>
      <c r="G808" s="58"/>
      <c r="H808" s="33" t="str">
        <f t="shared" si="1"/>
        <v/>
      </c>
      <c r="I808" s="58"/>
      <c r="J808" s="58"/>
      <c r="K808" s="58"/>
      <c r="L808" s="38"/>
      <c r="M808" s="58"/>
      <c r="N808" s="58"/>
      <c r="O808" s="58"/>
      <c r="P808" s="80"/>
      <c r="Q808" s="77"/>
      <c r="R808" s="58"/>
      <c r="S808" s="62"/>
      <c r="T808" s="58"/>
      <c r="U808" s="62"/>
      <c r="V808" s="37" t="str">
        <f>IFERROR(__xludf.DUMMYFUNCTION("if(not(iserror(index(split(C808, "" ""),2))), index(split(C808, "" ""),1),"""")"),"")</f>
        <v/>
      </c>
      <c r="W808" s="315" t="str">
        <f>IFERROR(__xludf.DUMMYFUNCTION("if(V808="""",C808,if(not(iserror(index(split(C808, "" ""),3))), index(split(C808, "" ""),3),index(split(C808, "" ""),2)))"),"")</f>
        <v/>
      </c>
      <c r="X808" s="38" t="b">
        <f t="shared" si="2"/>
        <v>0</v>
      </c>
      <c r="Y808" s="38"/>
      <c r="Z808" s="40"/>
      <c r="AA808" s="40"/>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row>
    <row r="809">
      <c r="A809" s="37"/>
      <c r="B809" s="341"/>
      <c r="C809" s="60"/>
      <c r="D809" s="60"/>
      <c r="E809" s="58"/>
      <c r="F809" s="58"/>
      <c r="G809" s="58"/>
      <c r="H809" s="33" t="str">
        <f t="shared" si="1"/>
        <v/>
      </c>
      <c r="I809" s="58"/>
      <c r="J809" s="58"/>
      <c r="K809" s="58"/>
      <c r="L809" s="38"/>
      <c r="M809" s="58"/>
      <c r="N809" s="58"/>
      <c r="O809" s="58"/>
      <c r="P809" s="80"/>
      <c r="Q809" s="77"/>
      <c r="R809" s="62"/>
      <c r="S809" s="62"/>
      <c r="T809" s="62"/>
      <c r="U809" s="62"/>
      <c r="V809" s="37" t="str">
        <f>IFERROR(__xludf.DUMMYFUNCTION("if(not(iserror(index(split(C809, "" ""),2))), index(split(C809, "" ""),1),"""")"),"")</f>
        <v/>
      </c>
      <c r="W809" s="315" t="str">
        <f>IFERROR(__xludf.DUMMYFUNCTION("if(V809="""",C809,if(not(iserror(index(split(C809, "" ""),3))), index(split(C809, "" ""),3),index(split(C809, "" ""),2)))"),"")</f>
        <v/>
      </c>
      <c r="X809" s="38" t="b">
        <f t="shared" si="2"/>
        <v>0</v>
      </c>
      <c r="Y809" s="38"/>
      <c r="Z809" s="40"/>
      <c r="AA809" s="40"/>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row>
    <row r="810">
      <c r="A810" s="37"/>
      <c r="B810" s="341"/>
      <c r="C810" s="60"/>
      <c r="D810" s="60"/>
      <c r="E810" s="58"/>
      <c r="F810" s="58"/>
      <c r="G810" s="58"/>
      <c r="H810" s="33" t="str">
        <f t="shared" si="1"/>
        <v/>
      </c>
      <c r="I810" s="58"/>
      <c r="J810" s="58"/>
      <c r="K810" s="58"/>
      <c r="L810" s="38"/>
      <c r="M810" s="58"/>
      <c r="N810" s="58"/>
      <c r="O810" s="58"/>
      <c r="P810" s="80"/>
      <c r="Q810" s="77"/>
      <c r="R810" s="62"/>
      <c r="S810" s="62"/>
      <c r="T810" s="62"/>
      <c r="U810" s="62"/>
      <c r="V810" s="37" t="str">
        <f>IFERROR(__xludf.DUMMYFUNCTION("if(not(iserror(index(split(C810, "" ""),2))), index(split(C810, "" ""),1),"""")"),"")</f>
        <v/>
      </c>
      <c r="W810" s="315" t="str">
        <f>IFERROR(__xludf.DUMMYFUNCTION("if(V810="""",C810,if(not(iserror(index(split(C810, "" ""),3))), index(split(C810, "" ""),3),index(split(C810, "" ""),2)))"),"")</f>
        <v/>
      </c>
      <c r="X810" s="38" t="b">
        <f t="shared" si="2"/>
        <v>0</v>
      </c>
      <c r="Y810" s="38"/>
      <c r="Z810" s="40"/>
      <c r="AA810" s="40"/>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row>
    <row r="811">
      <c r="A811" s="37"/>
      <c r="B811" s="341"/>
      <c r="C811" s="60"/>
      <c r="D811" s="60"/>
      <c r="E811" s="58"/>
      <c r="F811" s="58"/>
      <c r="G811" s="58"/>
      <c r="H811" s="33" t="str">
        <f t="shared" si="1"/>
        <v/>
      </c>
      <c r="I811" s="58"/>
      <c r="J811" s="58"/>
      <c r="K811" s="58"/>
      <c r="L811" s="38"/>
      <c r="M811" s="58"/>
      <c r="N811" s="58"/>
      <c r="O811" s="58"/>
      <c r="P811" s="80"/>
      <c r="Q811" s="77"/>
      <c r="R811" s="62"/>
      <c r="S811" s="62"/>
      <c r="T811" s="62"/>
      <c r="U811" s="62"/>
      <c r="V811" s="37" t="str">
        <f>IFERROR(__xludf.DUMMYFUNCTION("if(not(iserror(index(split(C811, "" ""),2))), index(split(C811, "" ""),1),"""")"),"")</f>
        <v/>
      </c>
      <c r="W811" s="315" t="str">
        <f>IFERROR(__xludf.DUMMYFUNCTION("if(V811="""",C811,if(not(iserror(index(split(C811, "" ""),3))), index(split(C811, "" ""),3),index(split(C811, "" ""),2)))"),"")</f>
        <v/>
      </c>
      <c r="X811" s="38" t="b">
        <f t="shared" si="2"/>
        <v>0</v>
      </c>
      <c r="Y811" s="38"/>
      <c r="Z811" s="40"/>
      <c r="AA811" s="40"/>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row>
    <row r="812">
      <c r="A812" s="37"/>
      <c r="B812" s="341"/>
      <c r="C812" s="60"/>
      <c r="D812" s="60"/>
      <c r="E812" s="58"/>
      <c r="F812" s="58"/>
      <c r="G812" s="58"/>
      <c r="H812" s="33" t="str">
        <f t="shared" si="1"/>
        <v/>
      </c>
      <c r="I812" s="58"/>
      <c r="J812" s="58"/>
      <c r="K812" s="58"/>
      <c r="L812" s="38"/>
      <c r="M812" s="58"/>
      <c r="N812" s="58"/>
      <c r="O812" s="58"/>
      <c r="P812" s="80"/>
      <c r="Q812" s="77"/>
      <c r="R812" s="62"/>
      <c r="S812" s="58"/>
      <c r="T812" s="84"/>
      <c r="U812" s="62"/>
      <c r="V812" s="37" t="str">
        <f>IFERROR(__xludf.DUMMYFUNCTION("if(not(iserror(index(split(C812, "" ""),2))), index(split(C812, "" ""),1),"""")"),"")</f>
        <v/>
      </c>
      <c r="W812" s="315" t="str">
        <f>IFERROR(__xludf.DUMMYFUNCTION("if(V812="""",C812,if(not(iserror(index(split(C812, "" ""),3))), index(split(C812, "" ""),3),index(split(C812, "" ""),2)))"),"")</f>
        <v/>
      </c>
      <c r="X812" s="38" t="b">
        <f t="shared" si="2"/>
        <v>0</v>
      </c>
      <c r="Y812" s="38"/>
      <c r="Z812" s="40"/>
      <c r="AA812" s="40"/>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row>
    <row r="813">
      <c r="A813" s="37"/>
      <c r="B813" s="159"/>
      <c r="C813" s="159"/>
      <c r="D813" s="159"/>
      <c r="E813" s="37"/>
      <c r="F813" s="37"/>
      <c r="G813" s="37"/>
      <c r="H813" s="33" t="str">
        <f t="shared" si="1"/>
        <v/>
      </c>
      <c r="I813" s="37"/>
      <c r="J813" s="37"/>
      <c r="K813" s="37"/>
      <c r="L813" s="38"/>
      <c r="M813" s="37"/>
      <c r="N813" s="37"/>
      <c r="O813" s="37"/>
      <c r="P813" s="14"/>
      <c r="Q813" s="102"/>
      <c r="T813" s="16"/>
      <c r="V813" s="37" t="str">
        <f>IFERROR(__xludf.DUMMYFUNCTION("if(not(iserror(index(split(C813, "" ""),2))), index(split(C813, "" ""),1),"""")"),"")</f>
        <v/>
      </c>
      <c r="W813" s="384" t="str">
        <f>IFERROR(__xludf.DUMMYFUNCTION("if(V813="""",C813,if(not(iserror(index(split(C813, "" ""),3))), index(split(C813, "" ""),3),index(split(C813, "" ""),2)))"),"")</f>
        <v/>
      </c>
      <c r="X813" s="38" t="b">
        <f t="shared" si="2"/>
        <v>0</v>
      </c>
      <c r="Y813" s="38"/>
      <c r="Z813" s="40"/>
      <c r="AA813" s="40"/>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row>
    <row r="814">
      <c r="B814" s="341"/>
      <c r="C814" s="60"/>
      <c r="D814" s="60"/>
      <c r="E814" s="58"/>
      <c r="F814" s="58"/>
      <c r="G814" s="58"/>
      <c r="H814" s="33" t="str">
        <f t="shared" si="1"/>
        <v/>
      </c>
      <c r="I814" s="58"/>
      <c r="J814" s="58"/>
      <c r="K814" s="58"/>
      <c r="L814" s="38"/>
      <c r="M814" s="58"/>
      <c r="N814" s="58"/>
      <c r="O814" s="58"/>
      <c r="P814" s="80"/>
      <c r="Q814" s="80"/>
      <c r="R814" s="62"/>
      <c r="S814" s="62"/>
      <c r="T814" s="62"/>
      <c r="U814" s="62"/>
      <c r="V814" s="37" t="str">
        <f>IFERROR(__xludf.DUMMYFUNCTION("if(not(iserror(index(split(C814, "" ""),2))), index(split(C814, "" ""),1),"""")"),"")</f>
        <v/>
      </c>
      <c r="W814" s="315" t="str">
        <f>IFERROR(__xludf.DUMMYFUNCTION("if(V814="""",C814,if(not(iserror(index(split(C814, "" ""),3))), index(split(C814, "" ""),3),index(split(C814, "" ""),2)))"),"")</f>
        <v/>
      </c>
      <c r="X814" s="38" t="b">
        <f t="shared" si="2"/>
        <v>0</v>
      </c>
      <c r="Y814" s="38"/>
      <c r="Z814" s="40"/>
      <c r="AA814" s="40"/>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row>
    <row r="815">
      <c r="B815" s="341"/>
      <c r="C815" s="60"/>
      <c r="D815" s="60"/>
      <c r="E815" s="58"/>
      <c r="F815" s="58"/>
      <c r="G815" s="58"/>
      <c r="H815" s="33" t="str">
        <f t="shared" si="1"/>
        <v/>
      </c>
      <c r="I815" s="58"/>
      <c r="J815" s="58"/>
      <c r="K815" s="58"/>
      <c r="L815" s="38"/>
      <c r="M815" s="58"/>
      <c r="N815" s="58"/>
      <c r="O815" s="58"/>
      <c r="P815" s="80"/>
      <c r="Q815" s="77"/>
      <c r="R815" s="62"/>
      <c r="S815" s="62"/>
      <c r="T815" s="62"/>
      <c r="U815" s="62"/>
      <c r="V815" s="37" t="str">
        <f>IFERROR(__xludf.DUMMYFUNCTION("if(not(iserror(index(split(C815, "" ""),2))), index(split(C815, "" ""),1),"""")"),"")</f>
        <v/>
      </c>
      <c r="W815" s="315" t="str">
        <f>IFERROR(__xludf.DUMMYFUNCTION("if(V815="""",C815,if(not(iserror(index(split(C815, "" ""),3))), index(split(C815, "" ""),3),index(split(C815, "" ""),2)))"),"")</f>
        <v/>
      </c>
      <c r="X815" s="38" t="b">
        <f t="shared" si="2"/>
        <v>0</v>
      </c>
      <c r="Y815" s="38"/>
      <c r="Z815" s="40"/>
      <c r="AA815" s="40"/>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row>
    <row r="816">
      <c r="B816" s="341"/>
      <c r="C816" s="60"/>
      <c r="D816" s="60"/>
      <c r="E816" s="58"/>
      <c r="F816" s="58"/>
      <c r="G816" s="58"/>
      <c r="H816" s="33" t="str">
        <f t="shared" si="1"/>
        <v/>
      </c>
      <c r="I816" s="58"/>
      <c r="J816" s="58"/>
      <c r="K816" s="58"/>
      <c r="L816" s="38"/>
      <c r="M816" s="58"/>
      <c r="N816" s="58"/>
      <c r="O816" s="58"/>
      <c r="P816" s="80"/>
      <c r="Q816" s="77"/>
      <c r="R816" s="62"/>
      <c r="S816" s="62"/>
      <c r="T816" s="62"/>
      <c r="U816" s="62"/>
      <c r="V816" s="37" t="str">
        <f>IFERROR(__xludf.DUMMYFUNCTION("if(not(iserror(index(split(C816, "" ""),2))), index(split(C816, "" ""),1),"""")"),"")</f>
        <v/>
      </c>
      <c r="W816" s="315" t="str">
        <f>IFERROR(__xludf.DUMMYFUNCTION("if(V816="""",C816,if(not(iserror(index(split(C816, "" ""),3))), index(split(C816, "" ""),3),index(split(C816, "" ""),2)))"),"")</f>
        <v/>
      </c>
      <c r="X816" s="38" t="b">
        <f t="shared" si="2"/>
        <v>0</v>
      </c>
      <c r="Y816" s="38"/>
      <c r="Z816" s="40"/>
      <c r="AA816" s="40"/>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row>
    <row r="817">
      <c r="B817" s="341"/>
      <c r="C817" s="60"/>
      <c r="D817" s="60"/>
      <c r="E817" s="58"/>
      <c r="F817" s="58"/>
      <c r="G817" s="58"/>
      <c r="H817" s="33" t="str">
        <f t="shared" si="1"/>
        <v/>
      </c>
      <c r="I817" s="58"/>
      <c r="J817" s="58"/>
      <c r="K817" s="58"/>
      <c r="L817" s="38"/>
      <c r="M817" s="58"/>
      <c r="N817" s="58"/>
      <c r="O817" s="58"/>
      <c r="P817" s="80"/>
      <c r="Q817" s="77"/>
      <c r="R817" s="62"/>
      <c r="S817" s="62"/>
      <c r="T817" s="62"/>
      <c r="U817" s="62"/>
      <c r="V817" s="37" t="str">
        <f>IFERROR(__xludf.DUMMYFUNCTION("if(not(iserror(index(split(C817, "" ""),2))), index(split(C817, "" ""),1),"""")"),"")</f>
        <v/>
      </c>
      <c r="W817" s="315" t="str">
        <f>IFERROR(__xludf.DUMMYFUNCTION("if(V817="""",C817,if(not(iserror(index(split(C817, "" ""),3))), index(split(C817, "" ""),3),index(split(C817, "" ""),2)))"),"")</f>
        <v/>
      </c>
      <c r="X817" s="38" t="b">
        <f t="shared" si="2"/>
        <v>0</v>
      </c>
      <c r="Y817" s="38"/>
      <c r="Z817" s="40"/>
      <c r="AA817" s="40"/>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row>
    <row r="818">
      <c r="B818" s="341"/>
      <c r="C818" s="60"/>
      <c r="D818" s="60"/>
      <c r="E818" s="58"/>
      <c r="F818" s="58"/>
      <c r="G818" s="58"/>
      <c r="H818" s="33" t="str">
        <f t="shared" si="1"/>
        <v/>
      </c>
      <c r="I818" s="58"/>
      <c r="J818" s="58"/>
      <c r="K818" s="58"/>
      <c r="L818" s="38"/>
      <c r="M818" s="58"/>
      <c r="N818" s="58"/>
      <c r="O818" s="58"/>
      <c r="P818" s="80"/>
      <c r="Q818" s="77"/>
      <c r="R818" s="62"/>
      <c r="S818" s="62"/>
      <c r="T818" s="62"/>
      <c r="U818" s="62"/>
      <c r="V818" s="37" t="str">
        <f>IFERROR(__xludf.DUMMYFUNCTION("if(not(iserror(index(split(C818, "" ""),2))), index(split(C818, "" ""),1),"""")"),"")</f>
        <v/>
      </c>
      <c r="W818" s="315" t="str">
        <f>IFERROR(__xludf.DUMMYFUNCTION("if(V818="""",C818,if(not(iserror(index(split(C818, "" ""),3))), index(split(C818, "" ""),3),index(split(C818, "" ""),2)))"),"")</f>
        <v/>
      </c>
      <c r="X818" s="38" t="b">
        <f t="shared" si="2"/>
        <v>0</v>
      </c>
      <c r="Y818" s="38"/>
      <c r="Z818" s="40"/>
      <c r="AA818" s="40"/>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row>
    <row r="819">
      <c r="B819" s="341"/>
      <c r="C819" s="60"/>
      <c r="D819" s="60"/>
      <c r="E819" s="58"/>
      <c r="F819" s="58"/>
      <c r="G819" s="58"/>
      <c r="H819" s="33" t="str">
        <f t="shared" si="1"/>
        <v/>
      </c>
      <c r="I819" s="58"/>
      <c r="J819" s="58"/>
      <c r="K819" s="58"/>
      <c r="L819" s="38"/>
      <c r="M819" s="58"/>
      <c r="N819" s="58"/>
      <c r="O819" s="58"/>
      <c r="P819" s="80"/>
      <c r="Q819" s="77"/>
      <c r="R819" s="62"/>
      <c r="S819" s="62"/>
      <c r="T819" s="62"/>
      <c r="U819" s="62"/>
      <c r="V819" s="37" t="str">
        <f>IFERROR(__xludf.DUMMYFUNCTION("if(not(iserror(index(split(C819, "" ""),2))), index(split(C819, "" ""),1),"""")"),"")</f>
        <v/>
      </c>
      <c r="W819" s="315" t="str">
        <f>IFERROR(__xludf.DUMMYFUNCTION("if(V819="""",C819,if(not(iserror(index(split(C819, "" ""),3))), index(split(C819, "" ""),3),index(split(C819, "" ""),2)))"),"")</f>
        <v/>
      </c>
      <c r="X819" s="38" t="b">
        <f t="shared" si="2"/>
        <v>0</v>
      </c>
      <c r="Y819" s="38"/>
      <c r="Z819" s="40"/>
      <c r="AA819" s="40"/>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row>
    <row r="820">
      <c r="B820" s="341"/>
      <c r="C820" s="60"/>
      <c r="D820" s="60"/>
      <c r="E820" s="58"/>
      <c r="F820" s="58"/>
      <c r="G820" s="58"/>
      <c r="H820" s="33" t="str">
        <f t="shared" si="1"/>
        <v/>
      </c>
      <c r="I820" s="58"/>
      <c r="J820" s="58"/>
      <c r="K820" s="58"/>
      <c r="L820" s="38"/>
      <c r="M820" s="58"/>
      <c r="N820" s="58"/>
      <c r="O820" s="58"/>
      <c r="P820" s="80"/>
      <c r="Q820" s="77"/>
      <c r="R820" s="62"/>
      <c r="S820" s="62"/>
      <c r="T820" s="62"/>
      <c r="U820" s="62"/>
      <c r="V820" s="37" t="str">
        <f>IFERROR(__xludf.DUMMYFUNCTION("if(not(iserror(index(split(C820, "" ""),2))), index(split(C820, "" ""),1),"""")"),"")</f>
        <v/>
      </c>
      <c r="W820" s="315" t="str">
        <f>IFERROR(__xludf.DUMMYFUNCTION("if(V820="""",C820,if(not(iserror(index(split(C820, "" ""),3))), index(split(C820, "" ""),3),index(split(C820, "" ""),2)))"),"")</f>
        <v/>
      </c>
      <c r="X820" s="38" t="b">
        <f t="shared" si="2"/>
        <v>0</v>
      </c>
      <c r="Y820" s="38"/>
      <c r="Z820" s="40"/>
      <c r="AA820" s="40"/>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row>
    <row r="821">
      <c r="B821" s="341"/>
      <c r="C821" s="60"/>
      <c r="D821" s="60"/>
      <c r="E821" s="58"/>
      <c r="F821" s="58"/>
      <c r="G821" s="58"/>
      <c r="H821" s="33" t="str">
        <f t="shared" si="1"/>
        <v/>
      </c>
      <c r="I821" s="58"/>
      <c r="J821" s="58"/>
      <c r="K821" s="58"/>
      <c r="L821" s="38"/>
      <c r="M821" s="58"/>
      <c r="N821" s="58"/>
      <c r="O821" s="58"/>
      <c r="P821" s="80"/>
      <c r="Q821" s="77"/>
      <c r="R821" s="62"/>
      <c r="S821" s="62"/>
      <c r="T821" s="62"/>
      <c r="U821" s="62"/>
      <c r="V821" s="37" t="str">
        <f>IFERROR(__xludf.DUMMYFUNCTION("if(not(iserror(index(split(C821, "" ""),2))), index(split(C821, "" ""),1),"""")"),"")</f>
        <v/>
      </c>
      <c r="W821" s="315" t="str">
        <f>IFERROR(__xludf.DUMMYFUNCTION("if(V821="""",C821,if(not(iserror(index(split(C821, "" ""),3))), index(split(C821, "" ""),3),index(split(C821, "" ""),2)))"),"")</f>
        <v/>
      </c>
      <c r="X821" s="38" t="b">
        <f t="shared" si="2"/>
        <v>0</v>
      </c>
      <c r="Y821" s="38"/>
      <c r="Z821" s="40"/>
      <c r="AA821" s="40"/>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row>
    <row r="822">
      <c r="A822" s="58"/>
      <c r="B822" s="341"/>
      <c r="C822" s="60"/>
      <c r="D822" s="60"/>
      <c r="E822" s="58"/>
      <c r="F822" s="58"/>
      <c r="G822" s="58"/>
      <c r="H822" s="33" t="str">
        <f t="shared" si="1"/>
        <v/>
      </c>
      <c r="I822" s="58"/>
      <c r="J822" s="58"/>
      <c r="K822" s="58"/>
      <c r="L822" s="38"/>
      <c r="M822" s="58"/>
      <c r="N822" s="58"/>
      <c r="O822" s="58"/>
      <c r="P822" s="80"/>
      <c r="Q822" s="77"/>
      <c r="R822" s="62"/>
      <c r="S822" s="62"/>
      <c r="T822" s="62"/>
      <c r="U822" s="62"/>
      <c r="V822" s="37" t="str">
        <f>IFERROR(__xludf.DUMMYFUNCTION("if(not(iserror(index(split(C822, "" ""),2))), index(split(C822, "" ""),1),"""")"),"")</f>
        <v/>
      </c>
      <c r="W822" s="315" t="str">
        <f>IFERROR(__xludf.DUMMYFUNCTION("if(V822="""",C822,if(not(iserror(index(split(C822, "" ""),3))), index(split(C822, "" ""),3),index(split(C822, "" ""),2)))"),"")</f>
        <v/>
      </c>
      <c r="X822" s="38" t="b">
        <f t="shared" si="2"/>
        <v>0</v>
      </c>
      <c r="Y822" s="38"/>
      <c r="Z822" s="40"/>
      <c r="AA822" s="40"/>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row>
    <row r="823">
      <c r="B823" s="341"/>
      <c r="C823" s="60"/>
      <c r="D823" s="60"/>
      <c r="E823" s="58"/>
      <c r="F823" s="58"/>
      <c r="G823" s="58"/>
      <c r="H823" s="33" t="str">
        <f t="shared" si="1"/>
        <v/>
      </c>
      <c r="I823" s="58"/>
      <c r="J823" s="58"/>
      <c r="K823" s="58"/>
      <c r="L823" s="38"/>
      <c r="M823" s="58"/>
      <c r="N823" s="58"/>
      <c r="O823" s="58"/>
      <c r="P823" s="80"/>
      <c r="Q823" s="77"/>
      <c r="R823" s="62"/>
      <c r="S823" s="58"/>
      <c r="T823" s="84"/>
      <c r="U823" s="62"/>
      <c r="V823" s="37" t="str">
        <f>IFERROR(__xludf.DUMMYFUNCTION("if(not(iserror(index(split(C823, "" ""),2))), index(split(C823, "" ""),1),"""")"),"")</f>
        <v/>
      </c>
      <c r="W823" s="315" t="str">
        <f>IFERROR(__xludf.DUMMYFUNCTION("if(V823="""",C823,if(not(iserror(index(split(C823, "" ""),3))), index(split(C823, "" ""),3),index(split(C823, "" ""),2)))"),"")</f>
        <v/>
      </c>
      <c r="X823" s="38" t="b">
        <f t="shared" si="2"/>
        <v>0</v>
      </c>
      <c r="Y823" s="38"/>
      <c r="Z823" s="40"/>
      <c r="AA823" s="40"/>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row>
    <row r="824">
      <c r="B824" s="341"/>
      <c r="C824" s="60"/>
      <c r="D824" s="60"/>
      <c r="E824" s="58"/>
      <c r="F824" s="58"/>
      <c r="G824" s="58"/>
      <c r="H824" s="33" t="str">
        <f t="shared" si="1"/>
        <v/>
      </c>
      <c r="I824" s="58"/>
      <c r="J824" s="58"/>
      <c r="K824" s="58"/>
      <c r="L824" s="38"/>
      <c r="M824" s="58"/>
      <c r="N824" s="58"/>
      <c r="O824" s="58"/>
      <c r="P824" s="80"/>
      <c r="Q824" s="77"/>
      <c r="R824" s="62"/>
      <c r="S824" s="62"/>
      <c r="T824" s="62"/>
      <c r="U824" s="62"/>
      <c r="V824" s="37" t="str">
        <f>IFERROR(__xludf.DUMMYFUNCTION("if(not(iserror(index(split(C824, "" ""),2))), index(split(C824, "" ""),1),"""")"),"")</f>
        <v/>
      </c>
      <c r="W824" s="315" t="str">
        <f>IFERROR(__xludf.DUMMYFUNCTION("if(V824="""",C824,if(not(iserror(index(split(C824, "" ""),3))), index(split(C824, "" ""),3),index(split(C824, "" ""),2)))"),"")</f>
        <v/>
      </c>
      <c r="X824" s="38" t="b">
        <f t="shared" si="2"/>
        <v>0</v>
      </c>
      <c r="Y824" s="38"/>
      <c r="Z824" s="40"/>
      <c r="AA824" s="40"/>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row>
    <row r="825">
      <c r="A825" s="58"/>
      <c r="B825" s="341"/>
      <c r="C825" s="60"/>
      <c r="D825" s="60"/>
      <c r="E825" s="58"/>
      <c r="F825" s="58"/>
      <c r="G825" s="58"/>
      <c r="H825" s="33" t="str">
        <f t="shared" si="1"/>
        <v/>
      </c>
      <c r="I825" s="58"/>
      <c r="J825" s="58"/>
      <c r="K825" s="58"/>
      <c r="L825" s="38"/>
      <c r="M825" s="58"/>
      <c r="N825" s="58"/>
      <c r="O825" s="58"/>
      <c r="P825" s="80"/>
      <c r="Q825" s="77"/>
      <c r="R825" s="62"/>
      <c r="S825" s="62"/>
      <c r="T825" s="62"/>
      <c r="U825" s="62"/>
      <c r="V825" s="37" t="str">
        <f>IFERROR(__xludf.DUMMYFUNCTION("if(not(iserror(index(split(C825, "" ""),2))), index(split(C825, "" ""),1),"""")"),"")</f>
        <v/>
      </c>
      <c r="W825" s="315" t="str">
        <f>IFERROR(__xludf.DUMMYFUNCTION("if(V825="""",C825,if(not(iserror(index(split(C825, "" ""),3))), index(split(C825, "" ""),3),index(split(C825, "" ""),2)))"),"")</f>
        <v/>
      </c>
      <c r="X825" s="38" t="b">
        <f t="shared" si="2"/>
        <v>0</v>
      </c>
      <c r="Y825" s="38"/>
      <c r="Z825" s="40"/>
      <c r="AA825" s="40"/>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row>
    <row r="826">
      <c r="A826" s="58"/>
      <c r="B826" s="341"/>
      <c r="C826" s="60"/>
      <c r="D826" s="60"/>
      <c r="E826" s="58"/>
      <c r="F826" s="58"/>
      <c r="G826" s="58"/>
      <c r="H826" s="33" t="str">
        <f t="shared" si="1"/>
        <v/>
      </c>
      <c r="I826" s="58"/>
      <c r="J826" s="58"/>
      <c r="K826" s="58"/>
      <c r="L826" s="38"/>
      <c r="M826" s="58"/>
      <c r="N826" s="58"/>
      <c r="O826" s="58"/>
      <c r="P826" s="80"/>
      <c r="Q826" s="80"/>
      <c r="R826" s="58"/>
      <c r="S826" s="58"/>
      <c r="T826" s="84"/>
      <c r="U826" s="62"/>
      <c r="V826" s="37" t="str">
        <f>IFERROR(__xludf.DUMMYFUNCTION("if(not(iserror(index(split(C826, "" ""),2))), index(split(C826, "" ""),1),"""")"),"")</f>
        <v/>
      </c>
      <c r="W826" s="315" t="str">
        <f>IFERROR(__xludf.DUMMYFUNCTION("if(V826="""",C826,if(not(iserror(index(split(C826, "" ""),3))), index(split(C826, "" ""),3),index(split(C826, "" ""),2)))"),"")</f>
        <v/>
      </c>
      <c r="X826" s="38" t="b">
        <f t="shared" si="2"/>
        <v>0</v>
      </c>
      <c r="Y826" s="38"/>
      <c r="Z826" s="40"/>
      <c r="AA826" s="40"/>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row>
    <row r="827">
      <c r="A827" s="91"/>
      <c r="B827" s="383"/>
      <c r="C827" s="146"/>
      <c r="D827" s="146"/>
      <c r="E827" s="91"/>
      <c r="F827" s="91"/>
      <c r="G827" s="91"/>
      <c r="H827" s="33" t="str">
        <f t="shared" si="1"/>
        <v/>
      </c>
      <c r="I827" s="91"/>
      <c r="J827" s="91"/>
      <c r="K827" s="91"/>
      <c r="L827" s="38"/>
      <c r="M827" s="91"/>
      <c r="N827" s="91"/>
      <c r="O827" s="91"/>
      <c r="P827" s="95"/>
      <c r="Q827" s="95"/>
      <c r="R827" s="58"/>
      <c r="S827" s="58"/>
      <c r="T827" s="84"/>
      <c r="U827" s="62"/>
      <c r="V827" s="37" t="str">
        <f>IFERROR(__xludf.DUMMYFUNCTION("if(not(iserror(index(split(C827, "" ""),2))), index(split(C827, "" ""),1),"""")"),"")</f>
        <v/>
      </c>
      <c r="W827" s="315" t="str">
        <f>IFERROR(__xludf.DUMMYFUNCTION("if(V827="""",C827,if(not(iserror(index(split(C827, "" ""),3))), index(split(C827, "" ""),3),index(split(C827, "" ""),2)))"),"")</f>
        <v/>
      </c>
      <c r="X827" s="38" t="b">
        <f t="shared" si="2"/>
        <v>0</v>
      </c>
      <c r="Y827" s="38"/>
      <c r="Z827" s="40"/>
      <c r="AA827" s="40"/>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row>
    <row r="828">
      <c r="A828" s="58"/>
      <c r="B828" s="341"/>
      <c r="C828" s="60"/>
      <c r="D828" s="60"/>
      <c r="E828" s="58"/>
      <c r="F828" s="58"/>
      <c r="G828" s="58"/>
      <c r="H828" s="33" t="str">
        <f t="shared" si="1"/>
        <v/>
      </c>
      <c r="I828" s="58"/>
      <c r="J828" s="58"/>
      <c r="K828" s="58"/>
      <c r="L828" s="38"/>
      <c r="M828" s="58"/>
      <c r="N828" s="58"/>
      <c r="O828" s="58"/>
      <c r="P828" s="80"/>
      <c r="Q828" s="77"/>
      <c r="R828" s="62"/>
      <c r="S828" s="62"/>
      <c r="T828" s="62"/>
      <c r="U828" s="62"/>
      <c r="V828" s="37" t="str">
        <f>IFERROR(__xludf.DUMMYFUNCTION("if(not(iserror(index(split(C828, "" ""),2))), index(split(C828, "" ""),1),"""")"),"")</f>
        <v/>
      </c>
      <c r="W828" s="315" t="str">
        <f>IFERROR(__xludf.DUMMYFUNCTION("if(V828="""",C828,if(not(iserror(index(split(C828, "" ""),3))), index(split(C828, "" ""),3),index(split(C828, "" ""),2)))"),"")</f>
        <v/>
      </c>
      <c r="X828" s="38" t="b">
        <f t="shared" si="2"/>
        <v>0</v>
      </c>
      <c r="Y828" s="38"/>
      <c r="Z828" s="40"/>
      <c r="AA828" s="40"/>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row>
    <row r="829">
      <c r="B829" s="341"/>
      <c r="C829" s="60"/>
      <c r="D829" s="60"/>
      <c r="E829" s="58"/>
      <c r="F829" s="58"/>
      <c r="G829" s="58"/>
      <c r="H829" s="33" t="str">
        <f t="shared" si="1"/>
        <v/>
      </c>
      <c r="I829" s="58"/>
      <c r="J829" s="58"/>
      <c r="K829" s="58"/>
      <c r="L829" s="38"/>
      <c r="M829" s="58"/>
      <c r="N829" s="58"/>
      <c r="O829" s="58"/>
      <c r="P829" s="106"/>
      <c r="Q829" s="77"/>
      <c r="R829" s="62"/>
      <c r="S829" s="62"/>
      <c r="T829" s="62"/>
      <c r="U829" s="62"/>
      <c r="V829" s="37" t="str">
        <f>IFERROR(__xludf.DUMMYFUNCTION("if(not(iserror(index(split(C829, "" ""),2))), index(split(C829, "" ""),1),"""")"),"")</f>
        <v/>
      </c>
      <c r="W829" s="315" t="str">
        <f>IFERROR(__xludf.DUMMYFUNCTION("if(V829="""",C829,if(not(iserror(index(split(C829, "" ""),3))), index(split(C829, "" ""),3),index(split(C829, "" ""),2)))"),"")</f>
        <v/>
      </c>
      <c r="X829" s="38" t="b">
        <f t="shared" si="2"/>
        <v>0</v>
      </c>
      <c r="Y829" s="38"/>
      <c r="Z829" s="40"/>
      <c r="AA829" s="40"/>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row>
    <row r="830">
      <c r="A830" s="58"/>
      <c r="B830" s="341"/>
      <c r="C830" s="60"/>
      <c r="D830" s="60"/>
      <c r="E830" s="58"/>
      <c r="F830" s="58"/>
      <c r="G830" s="58"/>
      <c r="H830" s="33" t="str">
        <f t="shared" si="1"/>
        <v/>
      </c>
      <c r="I830" s="58"/>
      <c r="J830" s="58"/>
      <c r="K830" s="58"/>
      <c r="L830" s="38"/>
      <c r="M830" s="58"/>
      <c r="N830" s="58"/>
      <c r="O830" s="58"/>
      <c r="P830" s="80"/>
      <c r="Q830" s="77"/>
      <c r="R830" s="62"/>
      <c r="S830" s="62"/>
      <c r="T830" s="62"/>
      <c r="U830" s="62"/>
      <c r="V830" s="37" t="str">
        <f>IFERROR(__xludf.DUMMYFUNCTION("if(not(iserror(index(split(C830, "" ""),2))), index(split(C830, "" ""),1),"""")"),"")</f>
        <v/>
      </c>
      <c r="W830" s="315" t="str">
        <f>IFERROR(__xludf.DUMMYFUNCTION("if(V830="""",C830,if(not(iserror(index(split(C830, "" ""),3))), index(split(C830, "" ""),3),index(split(C830, "" ""),2)))"),"")</f>
        <v/>
      </c>
      <c r="X830" s="38" t="b">
        <f t="shared" si="2"/>
        <v>0</v>
      </c>
      <c r="Y830" s="38"/>
      <c r="Z830" s="40"/>
      <c r="AA830" s="40"/>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row>
    <row r="831">
      <c r="A831" s="58"/>
      <c r="B831" s="341"/>
      <c r="C831" s="60"/>
      <c r="D831" s="60"/>
      <c r="E831" s="58"/>
      <c r="F831" s="58"/>
      <c r="G831" s="58"/>
      <c r="H831" s="33" t="str">
        <f t="shared" si="1"/>
        <v/>
      </c>
      <c r="I831" s="58"/>
      <c r="J831" s="58"/>
      <c r="K831" s="58"/>
      <c r="L831" s="38"/>
      <c r="M831" s="58"/>
      <c r="N831" s="58"/>
      <c r="O831" s="58"/>
      <c r="P831" s="80"/>
      <c r="Q831" s="77"/>
      <c r="R831" s="62"/>
      <c r="S831" s="62"/>
      <c r="T831" s="62"/>
      <c r="U831" s="62"/>
      <c r="V831" s="37" t="str">
        <f>IFERROR(__xludf.DUMMYFUNCTION("if(not(iserror(index(split(C831, "" ""),2))), index(split(C831, "" ""),1),"""")"),"")</f>
        <v/>
      </c>
      <c r="W831" s="315" t="str">
        <f>IFERROR(__xludf.DUMMYFUNCTION("if(V831="""",C831,if(not(iserror(index(split(C831, "" ""),3))), index(split(C831, "" ""),3),index(split(C831, "" ""),2)))"),"")</f>
        <v/>
      </c>
      <c r="X831" s="38" t="b">
        <f t="shared" si="2"/>
        <v>0</v>
      </c>
      <c r="Y831" s="38"/>
      <c r="Z831" s="40"/>
      <c r="AA831" s="40"/>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row>
    <row r="832">
      <c r="B832" s="341"/>
      <c r="C832" s="60"/>
      <c r="D832" s="60"/>
      <c r="E832" s="58"/>
      <c r="F832" s="58"/>
      <c r="G832" s="58"/>
      <c r="H832" s="33" t="str">
        <f t="shared" si="1"/>
        <v/>
      </c>
      <c r="I832" s="58"/>
      <c r="J832" s="58"/>
      <c r="K832" s="58"/>
      <c r="L832" s="38"/>
      <c r="M832" s="58"/>
      <c r="N832" s="58"/>
      <c r="O832" s="58"/>
      <c r="P832" s="80"/>
      <c r="Q832" s="77"/>
      <c r="R832" s="62"/>
      <c r="S832" s="62"/>
      <c r="T832" s="62"/>
      <c r="U832" s="62"/>
      <c r="V832" s="37" t="str">
        <f>IFERROR(__xludf.DUMMYFUNCTION("if(not(iserror(index(split(C832, "" ""),2))), index(split(C832, "" ""),1),"""")"),"")</f>
        <v/>
      </c>
      <c r="W832" s="315" t="str">
        <f>IFERROR(__xludf.DUMMYFUNCTION("if(V832="""",C832,if(not(iserror(index(split(C832, "" ""),3))), index(split(C832, "" ""),3),index(split(C832, "" ""),2)))"),"")</f>
        <v/>
      </c>
      <c r="X832" s="38" t="b">
        <f t="shared" si="2"/>
        <v>0</v>
      </c>
      <c r="Y832" s="38"/>
      <c r="Z832" s="40"/>
      <c r="AA832" s="40"/>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row>
    <row r="833">
      <c r="A833" s="58"/>
      <c r="B833" s="341"/>
      <c r="C833" s="60"/>
      <c r="D833" s="60"/>
      <c r="E833" s="58"/>
      <c r="F833" s="58"/>
      <c r="G833" s="58"/>
      <c r="H833" s="33" t="str">
        <f t="shared" si="1"/>
        <v/>
      </c>
      <c r="I833" s="58"/>
      <c r="J833" s="58"/>
      <c r="K833" s="58"/>
      <c r="L833" s="38"/>
      <c r="M833" s="58"/>
      <c r="N833" s="58"/>
      <c r="O833" s="58"/>
      <c r="P833" s="80"/>
      <c r="Q833" s="77"/>
      <c r="R833" s="62"/>
      <c r="S833" s="62"/>
      <c r="T833" s="62"/>
      <c r="U833" s="62"/>
      <c r="V833" s="37" t="str">
        <f>IFERROR(__xludf.DUMMYFUNCTION("if(not(iserror(index(split(C833, "" ""),2))), index(split(C833, "" ""),1),"""")"),"")</f>
        <v/>
      </c>
      <c r="W833" s="315" t="str">
        <f>IFERROR(__xludf.DUMMYFUNCTION("if(V833="""",C833,if(not(iserror(index(split(C833, "" ""),3))), index(split(C833, "" ""),3),index(split(C833, "" ""),2)))"),"")</f>
        <v/>
      </c>
      <c r="X833" s="38" t="b">
        <f t="shared" si="2"/>
        <v>0</v>
      </c>
      <c r="Y833" s="38"/>
      <c r="Z833" s="40"/>
      <c r="AA833" s="40"/>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row>
    <row r="834">
      <c r="A834" s="58"/>
      <c r="B834" s="341"/>
      <c r="C834" s="60"/>
      <c r="D834" s="60"/>
      <c r="E834" s="58"/>
      <c r="F834" s="58"/>
      <c r="G834" s="58"/>
      <c r="H834" s="33" t="str">
        <f t="shared" si="1"/>
        <v/>
      </c>
      <c r="I834" s="58"/>
      <c r="J834" s="58"/>
      <c r="K834" s="58"/>
      <c r="L834" s="38"/>
      <c r="M834" s="58"/>
      <c r="N834" s="58"/>
      <c r="O834" s="58"/>
      <c r="P834" s="80"/>
      <c r="Q834" s="77"/>
      <c r="R834" s="62"/>
      <c r="S834" s="62"/>
      <c r="T834" s="62"/>
      <c r="U834" s="62"/>
      <c r="V834" s="37" t="str">
        <f>IFERROR(__xludf.DUMMYFUNCTION("if(not(iserror(index(split(C834, "" ""),2))), index(split(C834, "" ""),1),"""")"),"")</f>
        <v/>
      </c>
      <c r="W834" s="315" t="str">
        <f>IFERROR(__xludf.DUMMYFUNCTION("if(V834="""",C834,if(not(iserror(index(split(C834, "" ""),3))), index(split(C834, "" ""),3),index(split(C834, "" ""),2)))"),"")</f>
        <v/>
      </c>
      <c r="X834" s="38" t="b">
        <f t="shared" si="2"/>
        <v>0</v>
      </c>
      <c r="Y834" s="38"/>
      <c r="Z834" s="40"/>
      <c r="AA834" s="40"/>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row>
    <row r="835">
      <c r="B835" s="341"/>
      <c r="C835" s="60"/>
      <c r="D835" s="60"/>
      <c r="E835" s="58"/>
      <c r="F835" s="58"/>
      <c r="G835" s="58"/>
      <c r="H835" s="33" t="str">
        <f t="shared" si="1"/>
        <v/>
      </c>
      <c r="I835" s="58"/>
      <c r="J835" s="58"/>
      <c r="K835" s="58"/>
      <c r="L835" s="38"/>
      <c r="M835" s="58"/>
      <c r="N835" s="58"/>
      <c r="O835" s="58"/>
      <c r="P835" s="80"/>
      <c r="Q835" s="77"/>
      <c r="R835" s="62"/>
      <c r="S835" s="62"/>
      <c r="T835" s="62"/>
      <c r="U835" s="62"/>
      <c r="V835" s="37" t="str">
        <f>IFERROR(__xludf.DUMMYFUNCTION("if(not(iserror(index(split(C835, "" ""),2))), index(split(C835, "" ""),1),"""")"),"")</f>
        <v/>
      </c>
      <c r="W835" s="315" t="str">
        <f>IFERROR(__xludf.DUMMYFUNCTION("if(V835="""",C835,if(not(iserror(index(split(C835, "" ""),3))), index(split(C835, "" ""),3),index(split(C835, "" ""),2)))"),"")</f>
        <v/>
      </c>
      <c r="X835" s="38" t="b">
        <f t="shared" si="2"/>
        <v>0</v>
      </c>
      <c r="Y835" s="38"/>
      <c r="Z835" s="40"/>
      <c r="AA835" s="40"/>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row>
    <row r="836">
      <c r="B836" s="341"/>
      <c r="C836" s="60"/>
      <c r="D836" s="60"/>
      <c r="E836" s="58"/>
      <c r="F836" s="58"/>
      <c r="G836" s="58"/>
      <c r="H836" s="33" t="str">
        <f t="shared" si="1"/>
        <v/>
      </c>
      <c r="I836" s="58"/>
      <c r="J836" s="58"/>
      <c r="K836" s="58"/>
      <c r="L836" s="38"/>
      <c r="M836" s="58"/>
      <c r="N836" s="58"/>
      <c r="O836" s="58"/>
      <c r="P836" s="80"/>
      <c r="Q836" s="77"/>
      <c r="R836" s="62"/>
      <c r="S836" s="62"/>
      <c r="T836" s="62"/>
      <c r="U836" s="62"/>
      <c r="V836" s="37" t="str">
        <f>IFERROR(__xludf.DUMMYFUNCTION("if(not(iserror(index(split(C836, "" ""),2))), index(split(C836, "" ""),1),"""")"),"")</f>
        <v/>
      </c>
      <c r="W836" s="315" t="str">
        <f>IFERROR(__xludf.DUMMYFUNCTION("if(V836="""",C836,if(not(iserror(index(split(C836, "" ""),3))), index(split(C836, "" ""),3),index(split(C836, "" ""),2)))"),"")</f>
        <v/>
      </c>
      <c r="X836" s="38" t="b">
        <f t="shared" si="2"/>
        <v>0</v>
      </c>
      <c r="Y836" s="38"/>
      <c r="Z836" s="40"/>
      <c r="AA836" s="40"/>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row>
    <row r="837">
      <c r="B837" s="341"/>
      <c r="C837" s="60"/>
      <c r="D837" s="60"/>
      <c r="E837" s="58"/>
      <c r="F837" s="58"/>
      <c r="G837" s="58"/>
      <c r="H837" s="33" t="str">
        <f t="shared" si="1"/>
        <v/>
      </c>
      <c r="I837" s="58"/>
      <c r="J837" s="58"/>
      <c r="K837" s="58"/>
      <c r="L837" s="38"/>
      <c r="M837" s="58"/>
      <c r="N837" s="58"/>
      <c r="O837" s="58"/>
      <c r="P837" s="80"/>
      <c r="Q837" s="77"/>
      <c r="R837" s="62"/>
      <c r="S837" s="62"/>
      <c r="T837" s="62"/>
      <c r="U837" s="62"/>
      <c r="V837" s="37" t="str">
        <f>IFERROR(__xludf.DUMMYFUNCTION("if(not(iserror(index(split(C837, "" ""),2))), index(split(C837, "" ""),1),"""")"),"")</f>
        <v/>
      </c>
      <c r="W837" s="315" t="str">
        <f>IFERROR(__xludf.DUMMYFUNCTION("if(V837="""",C837,if(not(iserror(index(split(C837, "" ""),3))), index(split(C837, "" ""),3),index(split(C837, "" ""),2)))"),"")</f>
        <v/>
      </c>
      <c r="X837" s="38" t="b">
        <f t="shared" si="2"/>
        <v>0</v>
      </c>
      <c r="Y837" s="38"/>
      <c r="Z837" s="40"/>
      <c r="AA837" s="40"/>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row>
    <row r="838">
      <c r="A838" s="58"/>
      <c r="B838" s="341"/>
      <c r="C838" s="60"/>
      <c r="D838" s="60"/>
      <c r="E838" s="58"/>
      <c r="F838" s="58"/>
      <c r="G838" s="58"/>
      <c r="H838" s="33" t="str">
        <f t="shared" si="1"/>
        <v/>
      </c>
      <c r="I838" s="58"/>
      <c r="J838" s="58"/>
      <c r="K838" s="58"/>
      <c r="L838" s="38"/>
      <c r="M838" s="58"/>
      <c r="N838" s="58"/>
      <c r="O838" s="58"/>
      <c r="P838" s="80"/>
      <c r="Q838" s="77"/>
      <c r="R838" s="62"/>
      <c r="S838" s="62"/>
      <c r="T838" s="62"/>
      <c r="U838" s="62"/>
      <c r="V838" s="37" t="str">
        <f>IFERROR(__xludf.DUMMYFUNCTION("if(not(iserror(index(split(C838, "" ""),2))), index(split(C838, "" ""),1),"""")"),"")</f>
        <v/>
      </c>
      <c r="W838" s="315" t="str">
        <f>IFERROR(__xludf.DUMMYFUNCTION("if(V838="""",C838,if(not(iserror(index(split(C838, "" ""),3))), index(split(C838, "" ""),3),index(split(C838, "" ""),2)))"),"")</f>
        <v/>
      </c>
      <c r="X838" s="38" t="b">
        <f t="shared" si="2"/>
        <v>0</v>
      </c>
      <c r="Y838" s="38"/>
      <c r="Z838" s="40"/>
      <c r="AA838" s="40"/>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row>
    <row r="839">
      <c r="A839" s="58"/>
      <c r="B839" s="341"/>
      <c r="C839" s="60"/>
      <c r="D839" s="60"/>
      <c r="E839" s="58"/>
      <c r="F839" s="58"/>
      <c r="G839" s="58"/>
      <c r="H839" s="33" t="str">
        <f t="shared" si="1"/>
        <v/>
      </c>
      <c r="I839" s="58"/>
      <c r="J839" s="58"/>
      <c r="K839" s="58"/>
      <c r="L839" s="38"/>
      <c r="M839" s="58"/>
      <c r="N839" s="58"/>
      <c r="O839" s="58"/>
      <c r="P839" s="80"/>
      <c r="Q839" s="77"/>
      <c r="R839" s="62"/>
      <c r="S839" s="62"/>
      <c r="T839" s="62"/>
      <c r="U839" s="62"/>
      <c r="V839" s="37" t="str">
        <f>IFERROR(__xludf.DUMMYFUNCTION("if(not(iserror(index(split(C839, "" ""),2))), index(split(C839, "" ""),1),"""")"),"")</f>
        <v/>
      </c>
      <c r="W839" s="315" t="str">
        <f>IFERROR(__xludf.DUMMYFUNCTION("if(V839="""",C839,if(not(iserror(index(split(C839, "" ""),3))), index(split(C839, "" ""),3),index(split(C839, "" ""),2)))"),"")</f>
        <v/>
      </c>
      <c r="X839" s="38" t="b">
        <f t="shared" si="2"/>
        <v>0</v>
      </c>
      <c r="Y839" s="38"/>
      <c r="Z839" s="40"/>
      <c r="AA839" s="40"/>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row>
    <row r="840">
      <c r="A840" s="58"/>
      <c r="B840" s="341"/>
      <c r="C840" s="60"/>
      <c r="D840" s="60"/>
      <c r="E840" s="58"/>
      <c r="F840" s="58"/>
      <c r="G840" s="58"/>
      <c r="H840" s="33" t="str">
        <f t="shared" si="1"/>
        <v/>
      </c>
      <c r="I840" s="58"/>
      <c r="J840" s="58"/>
      <c r="K840" s="58"/>
      <c r="L840" s="38"/>
      <c r="M840" s="58"/>
      <c r="N840" s="58"/>
      <c r="O840" s="58"/>
      <c r="P840" s="80"/>
      <c r="Q840" s="77"/>
      <c r="R840" s="62"/>
      <c r="S840" s="62"/>
      <c r="T840" s="62"/>
      <c r="U840" s="62"/>
      <c r="V840" s="37" t="str">
        <f>IFERROR(__xludf.DUMMYFUNCTION("if(not(iserror(index(split(C840, "" ""),2))), index(split(C840, "" ""),1),"""")"),"")</f>
        <v/>
      </c>
      <c r="W840" s="315" t="str">
        <f>IFERROR(__xludf.DUMMYFUNCTION("if(V840="""",C840,if(not(iserror(index(split(C840, "" ""),3))), index(split(C840, "" ""),3),index(split(C840, "" ""),2)))"),"")</f>
        <v/>
      </c>
      <c r="X840" s="38" t="b">
        <f t="shared" si="2"/>
        <v>0</v>
      </c>
      <c r="Y840" s="38"/>
      <c r="Z840" s="40"/>
      <c r="AA840" s="40"/>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row>
    <row r="841">
      <c r="B841" s="341"/>
      <c r="C841" s="60"/>
      <c r="D841" s="60"/>
      <c r="E841" s="58"/>
      <c r="F841" s="58"/>
      <c r="G841" s="58"/>
      <c r="H841" s="33" t="str">
        <f t="shared" si="1"/>
        <v/>
      </c>
      <c r="I841" s="58"/>
      <c r="J841" s="58"/>
      <c r="K841" s="58"/>
      <c r="L841" s="38"/>
      <c r="M841" s="58"/>
      <c r="N841" s="58"/>
      <c r="O841" s="58"/>
      <c r="P841" s="80"/>
      <c r="Q841" s="77"/>
      <c r="R841" s="62"/>
      <c r="S841" s="62"/>
      <c r="T841" s="62"/>
      <c r="U841" s="62"/>
      <c r="V841" s="37" t="str">
        <f>IFERROR(__xludf.DUMMYFUNCTION("if(not(iserror(index(split(C841, "" ""),2))), index(split(C841, "" ""),1),"""")"),"")</f>
        <v/>
      </c>
      <c r="W841" s="315" t="str">
        <f>IFERROR(__xludf.DUMMYFUNCTION("if(V841="""",C841,if(not(iserror(index(split(C841, "" ""),3))), index(split(C841, "" ""),3),index(split(C841, "" ""),2)))"),"")</f>
        <v/>
      </c>
      <c r="X841" s="38" t="b">
        <f t="shared" si="2"/>
        <v>0</v>
      </c>
      <c r="Y841" s="38"/>
      <c r="Z841" s="40"/>
      <c r="AA841" s="40"/>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row>
    <row r="842">
      <c r="A842" s="58"/>
      <c r="B842" s="341"/>
      <c r="C842" s="60"/>
      <c r="D842" s="60"/>
      <c r="E842" s="58"/>
      <c r="F842" s="58"/>
      <c r="G842" s="58"/>
      <c r="H842" s="33" t="str">
        <f t="shared" si="1"/>
        <v/>
      </c>
      <c r="I842" s="58"/>
      <c r="J842" s="58"/>
      <c r="K842" s="58"/>
      <c r="L842" s="38"/>
      <c r="M842" s="58"/>
      <c r="N842" s="58"/>
      <c r="O842" s="58"/>
      <c r="P842" s="80"/>
      <c r="Q842" s="77"/>
      <c r="R842" s="62"/>
      <c r="S842" s="62"/>
      <c r="T842" s="62"/>
      <c r="U842" s="62"/>
      <c r="V842" s="37" t="str">
        <f>IFERROR(__xludf.DUMMYFUNCTION("if(not(iserror(index(split(C842, "" ""),2))), index(split(C842, "" ""),1),"""")"),"")</f>
        <v/>
      </c>
      <c r="W842" s="315" t="str">
        <f>IFERROR(__xludf.DUMMYFUNCTION("if(V842="""",C842,if(not(iserror(index(split(C842, "" ""),3))), index(split(C842, "" ""),3),index(split(C842, "" ""),2)))"),"")</f>
        <v/>
      </c>
      <c r="X842" s="38" t="b">
        <f t="shared" si="2"/>
        <v>0</v>
      </c>
      <c r="Y842" s="38"/>
      <c r="Z842" s="40"/>
      <c r="AA842" s="40"/>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row>
    <row r="843">
      <c r="A843" s="58"/>
      <c r="B843" s="341"/>
      <c r="C843" s="60"/>
      <c r="D843" s="60"/>
      <c r="E843" s="58"/>
      <c r="F843" s="58"/>
      <c r="G843" s="58"/>
      <c r="H843" s="33" t="str">
        <f t="shared" si="1"/>
        <v/>
      </c>
      <c r="I843" s="58"/>
      <c r="J843" s="58"/>
      <c r="K843" s="58"/>
      <c r="L843" s="38"/>
      <c r="M843" s="58"/>
      <c r="N843" s="58"/>
      <c r="O843" s="58"/>
      <c r="P843" s="80"/>
      <c r="Q843" s="77"/>
      <c r="R843" s="62"/>
      <c r="S843" s="62"/>
      <c r="T843" s="62"/>
      <c r="U843" s="62"/>
      <c r="V843" s="37" t="str">
        <f>IFERROR(__xludf.DUMMYFUNCTION("if(not(iserror(index(split(C843, "" ""),2))), index(split(C843, "" ""),1),"""")"),"")</f>
        <v/>
      </c>
      <c r="W843" s="315" t="str">
        <f>IFERROR(__xludf.DUMMYFUNCTION("if(V843="""",C843,if(not(iserror(index(split(C843, "" ""),3))), index(split(C843, "" ""),3),index(split(C843, "" ""),2)))"),"")</f>
        <v/>
      </c>
      <c r="X843" s="38" t="b">
        <f t="shared" si="2"/>
        <v>0</v>
      </c>
      <c r="Y843" s="38"/>
      <c r="Z843" s="40"/>
      <c r="AA843" s="40"/>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row>
    <row r="844">
      <c r="A844" s="58"/>
      <c r="B844" s="341"/>
      <c r="C844" s="60"/>
      <c r="D844" s="60"/>
      <c r="E844" s="58"/>
      <c r="F844" s="58"/>
      <c r="G844" s="58"/>
      <c r="H844" s="33" t="str">
        <f t="shared" si="1"/>
        <v/>
      </c>
      <c r="I844" s="58"/>
      <c r="J844" s="58"/>
      <c r="K844" s="58"/>
      <c r="L844" s="38"/>
      <c r="M844" s="58"/>
      <c r="N844" s="58"/>
      <c r="O844" s="58"/>
      <c r="P844" s="106"/>
      <c r="Q844" s="77"/>
      <c r="R844" s="62"/>
      <c r="S844" s="62"/>
      <c r="T844" s="62"/>
      <c r="U844" s="62"/>
      <c r="V844" s="37" t="str">
        <f>IFERROR(__xludf.DUMMYFUNCTION("if(not(iserror(index(split(C844, "" ""),2))), index(split(C844, "" ""),1),"""")"),"")</f>
        <v/>
      </c>
      <c r="W844" s="315" t="str">
        <f>IFERROR(__xludf.DUMMYFUNCTION("if(V844="""",C844,if(not(iserror(index(split(C844, "" ""),3))), index(split(C844, "" ""),3),index(split(C844, "" ""),2)))"),"")</f>
        <v/>
      </c>
      <c r="X844" s="38" t="b">
        <f t="shared" si="2"/>
        <v>0</v>
      </c>
      <c r="Y844" s="38"/>
      <c r="Z844" s="40"/>
      <c r="AA844" s="40"/>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row>
    <row r="845">
      <c r="A845" s="58"/>
      <c r="B845" s="341"/>
      <c r="C845" s="60"/>
      <c r="D845" s="60"/>
      <c r="E845" s="58"/>
      <c r="F845" s="58"/>
      <c r="G845" s="58"/>
      <c r="H845" s="33" t="str">
        <f t="shared" si="1"/>
        <v/>
      </c>
      <c r="I845" s="58"/>
      <c r="J845" s="58"/>
      <c r="K845" s="58"/>
      <c r="L845" s="38"/>
      <c r="M845" s="58"/>
      <c r="N845" s="58"/>
      <c r="O845" s="58"/>
      <c r="P845" s="106"/>
      <c r="Q845" s="77"/>
      <c r="R845" s="62"/>
      <c r="S845" s="62"/>
      <c r="T845" s="62"/>
      <c r="U845" s="62"/>
      <c r="V845" s="37" t="str">
        <f>IFERROR(__xludf.DUMMYFUNCTION("if(not(iserror(index(split(C845, "" ""),2))), index(split(C845, "" ""),1),"""")"),"")</f>
        <v/>
      </c>
      <c r="W845" s="315" t="str">
        <f>IFERROR(__xludf.DUMMYFUNCTION("if(V845="""",C845,if(not(iserror(index(split(C845, "" ""),3))), index(split(C845, "" ""),3),index(split(C845, "" ""),2)))"),"")</f>
        <v/>
      </c>
      <c r="X845" s="38" t="b">
        <f t="shared" si="2"/>
        <v>0</v>
      </c>
      <c r="Y845" s="38"/>
      <c r="Z845" s="40"/>
      <c r="AA845" s="40"/>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row>
    <row r="846">
      <c r="A846" s="58"/>
      <c r="B846" s="341"/>
      <c r="C846" s="60"/>
      <c r="D846" s="60"/>
      <c r="E846" s="58"/>
      <c r="F846" s="58"/>
      <c r="G846" s="58"/>
      <c r="H846" s="33" t="str">
        <f t="shared" si="1"/>
        <v/>
      </c>
      <c r="I846" s="58"/>
      <c r="J846" s="58"/>
      <c r="K846" s="58"/>
      <c r="L846" s="38"/>
      <c r="M846" s="58"/>
      <c r="N846" s="58"/>
      <c r="O846" s="58"/>
      <c r="P846" s="106"/>
      <c r="Q846" s="77"/>
      <c r="R846" s="62"/>
      <c r="S846" s="62"/>
      <c r="T846" s="62"/>
      <c r="U846" s="62"/>
      <c r="V846" s="37" t="str">
        <f>IFERROR(__xludf.DUMMYFUNCTION("if(not(iserror(index(split(C846, "" ""),2))), index(split(C846, "" ""),1),"""")"),"")</f>
        <v/>
      </c>
      <c r="W846" s="315" t="str">
        <f>IFERROR(__xludf.DUMMYFUNCTION("if(V846="""",C846,if(not(iserror(index(split(C846, "" ""),3))), index(split(C846, "" ""),3),index(split(C846, "" ""),2)))"),"")</f>
        <v/>
      </c>
      <c r="X846" s="38" t="b">
        <f t="shared" si="2"/>
        <v>0</v>
      </c>
      <c r="Y846" s="38"/>
      <c r="Z846" s="40"/>
      <c r="AA846" s="40"/>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row>
    <row r="847">
      <c r="A847" s="58"/>
      <c r="B847" s="341"/>
      <c r="C847" s="60"/>
      <c r="D847" s="60"/>
      <c r="E847" s="58"/>
      <c r="F847" s="58"/>
      <c r="G847" s="58"/>
      <c r="H847" s="33" t="str">
        <f t="shared" si="1"/>
        <v/>
      </c>
      <c r="I847" s="58"/>
      <c r="J847" s="58"/>
      <c r="K847" s="58"/>
      <c r="L847" s="38"/>
      <c r="M847" s="58"/>
      <c r="N847" s="58"/>
      <c r="O847" s="58"/>
      <c r="P847" s="80"/>
      <c r="Q847" s="77"/>
      <c r="R847" s="62"/>
      <c r="S847" s="62"/>
      <c r="T847" s="62"/>
      <c r="U847" s="62"/>
      <c r="V847" s="37" t="str">
        <f>IFERROR(__xludf.DUMMYFUNCTION("if(not(iserror(index(split(C847, "" ""),2))), index(split(C847, "" ""),1),"""")"),"")</f>
        <v/>
      </c>
      <c r="W847" s="315" t="str">
        <f>IFERROR(__xludf.DUMMYFUNCTION("if(V847="""",C847,if(not(iserror(index(split(C847, "" ""),3))), index(split(C847, "" ""),3),index(split(C847, "" ""),2)))"),"")</f>
        <v/>
      </c>
      <c r="X847" s="38" t="b">
        <f t="shared" si="2"/>
        <v>0</v>
      </c>
      <c r="Y847" s="38"/>
      <c r="Z847" s="40"/>
      <c r="AA847" s="40"/>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row>
    <row r="848">
      <c r="A848" s="58"/>
      <c r="B848" s="341"/>
      <c r="C848" s="60"/>
      <c r="D848" s="60"/>
      <c r="E848" s="58"/>
      <c r="F848" s="58"/>
      <c r="G848" s="58"/>
      <c r="H848" s="33" t="str">
        <f t="shared" si="1"/>
        <v/>
      </c>
      <c r="I848" s="58"/>
      <c r="J848" s="58"/>
      <c r="K848" s="58"/>
      <c r="L848" s="38"/>
      <c r="M848" s="58"/>
      <c r="N848" s="58"/>
      <c r="O848" s="58"/>
      <c r="P848" s="80"/>
      <c r="Q848" s="77"/>
      <c r="R848" s="58"/>
      <c r="S848" s="62"/>
      <c r="T848" s="84"/>
      <c r="U848" s="62"/>
      <c r="V848" s="37" t="str">
        <f>IFERROR(__xludf.DUMMYFUNCTION("if(not(iserror(index(split(C848, "" ""),2))), index(split(C848, "" ""),1),"""")"),"")</f>
        <v/>
      </c>
      <c r="W848" s="315" t="str">
        <f>IFERROR(__xludf.DUMMYFUNCTION("if(V848="""",C848,if(not(iserror(index(split(C848, "" ""),3))), index(split(C848, "" ""),3),index(split(C848, "" ""),2)))"),"")</f>
        <v/>
      </c>
      <c r="X848" s="38" t="b">
        <f t="shared" si="2"/>
        <v>0</v>
      </c>
      <c r="Y848" s="38"/>
      <c r="Z848" s="40"/>
      <c r="AA848" s="40"/>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row>
    <row r="849">
      <c r="A849" s="58"/>
      <c r="B849" s="341"/>
      <c r="C849" s="60"/>
      <c r="D849" s="60"/>
      <c r="E849" s="58"/>
      <c r="F849" s="58"/>
      <c r="G849" s="58"/>
      <c r="H849" s="33" t="str">
        <f t="shared" si="1"/>
        <v/>
      </c>
      <c r="I849" s="58"/>
      <c r="J849" s="58"/>
      <c r="K849" s="58"/>
      <c r="L849" s="38"/>
      <c r="M849" s="58"/>
      <c r="N849" s="58"/>
      <c r="O849" s="58"/>
      <c r="P849" s="80"/>
      <c r="Q849" s="80"/>
      <c r="R849" s="58"/>
      <c r="S849" s="62"/>
      <c r="T849" s="58"/>
      <c r="U849" s="62"/>
      <c r="V849" s="37" t="str">
        <f>IFERROR(__xludf.DUMMYFUNCTION("if(not(iserror(index(split(C849, "" ""),2))), index(split(C849, "" ""),1),"""")"),"")</f>
        <v/>
      </c>
      <c r="W849" s="315" t="str">
        <f>IFERROR(__xludf.DUMMYFUNCTION("if(V849="""",C849,if(not(iserror(index(split(C849, "" ""),3))), index(split(C849, "" ""),3),index(split(C849, "" ""),2)))"),"")</f>
        <v/>
      </c>
      <c r="X849" s="38" t="b">
        <f t="shared" si="2"/>
        <v>0</v>
      </c>
      <c r="Y849" s="38"/>
      <c r="Z849" s="40"/>
      <c r="AA849" s="40"/>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row>
    <row r="850">
      <c r="A850" s="58"/>
      <c r="B850" s="341"/>
      <c r="C850" s="60"/>
      <c r="D850" s="60"/>
      <c r="E850" s="58"/>
      <c r="F850" s="58"/>
      <c r="G850" s="58"/>
      <c r="H850" s="33" t="str">
        <f t="shared" si="1"/>
        <v/>
      </c>
      <c r="I850" s="58"/>
      <c r="J850" s="58"/>
      <c r="K850" s="58"/>
      <c r="L850" s="38"/>
      <c r="M850" s="58"/>
      <c r="N850" s="58"/>
      <c r="O850" s="58"/>
      <c r="P850" s="80"/>
      <c r="Q850" s="77"/>
      <c r="R850" s="62"/>
      <c r="S850" s="62"/>
      <c r="T850" s="62"/>
      <c r="U850" s="62"/>
      <c r="V850" s="37" t="str">
        <f>IFERROR(__xludf.DUMMYFUNCTION("if(not(iserror(index(split(C850, "" ""),2))), index(split(C850, "" ""),1),"""")"),"")</f>
        <v/>
      </c>
      <c r="W850" s="315" t="str">
        <f>IFERROR(__xludf.DUMMYFUNCTION("if(V850="""",C850,if(not(iserror(index(split(C850, "" ""),3))), index(split(C850, "" ""),3),index(split(C850, "" ""),2)))"),"")</f>
        <v/>
      </c>
      <c r="X850" s="38" t="b">
        <f t="shared" si="2"/>
        <v>0</v>
      </c>
      <c r="Y850" s="38"/>
      <c r="Z850" s="40"/>
      <c r="AA850" s="40"/>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row>
    <row r="851">
      <c r="A851" s="58"/>
      <c r="B851" s="341"/>
      <c r="C851" s="60"/>
      <c r="D851" s="60"/>
      <c r="E851" s="58"/>
      <c r="F851" s="58"/>
      <c r="G851" s="58"/>
      <c r="H851" s="33" t="str">
        <f t="shared" si="1"/>
        <v/>
      </c>
      <c r="I851" s="58"/>
      <c r="J851" s="58"/>
      <c r="K851" s="58"/>
      <c r="L851" s="38"/>
      <c r="M851" s="58"/>
      <c r="N851" s="58"/>
      <c r="O851" s="58"/>
      <c r="P851" s="80"/>
      <c r="Q851" s="77"/>
      <c r="R851" s="62"/>
      <c r="S851" s="62"/>
      <c r="T851" s="62"/>
      <c r="U851" s="62"/>
      <c r="V851" s="37" t="str">
        <f>IFERROR(__xludf.DUMMYFUNCTION("if(not(iserror(index(split(C851, "" ""),2))), index(split(C851, "" ""),1),"""")"),"")</f>
        <v/>
      </c>
      <c r="W851" s="315" t="str">
        <f>IFERROR(__xludf.DUMMYFUNCTION("if(V851="""",C851,if(not(iserror(index(split(C851, "" ""),3))), index(split(C851, "" ""),3),index(split(C851, "" ""),2)))"),"")</f>
        <v/>
      </c>
      <c r="X851" s="38" t="b">
        <f t="shared" si="2"/>
        <v>0</v>
      </c>
      <c r="Y851" s="38"/>
      <c r="Z851" s="40"/>
      <c r="AA851" s="40"/>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row>
    <row r="852">
      <c r="A852" s="58"/>
      <c r="B852" s="341"/>
      <c r="C852" s="60"/>
      <c r="D852" s="60"/>
      <c r="E852" s="58"/>
      <c r="F852" s="58"/>
      <c r="G852" s="58"/>
      <c r="H852" s="33" t="str">
        <f t="shared" si="1"/>
        <v/>
      </c>
      <c r="I852" s="58"/>
      <c r="J852" s="58"/>
      <c r="K852" s="58"/>
      <c r="L852" s="38"/>
      <c r="M852" s="58"/>
      <c r="N852" s="58"/>
      <c r="O852" s="58"/>
      <c r="P852" s="80"/>
      <c r="Q852" s="77"/>
      <c r="R852" s="62"/>
      <c r="S852" s="62"/>
      <c r="T852" s="62"/>
      <c r="U852" s="62"/>
      <c r="V852" s="37" t="str">
        <f>IFERROR(__xludf.DUMMYFUNCTION("if(not(iserror(index(split(C852, "" ""),2))), index(split(C852, "" ""),1),"""")"),"")</f>
        <v/>
      </c>
      <c r="W852" s="315" t="str">
        <f>IFERROR(__xludf.DUMMYFUNCTION("if(V852="""",C852,if(not(iserror(index(split(C852, "" ""),3))), index(split(C852, "" ""),3),index(split(C852, "" ""),2)))"),"")</f>
        <v/>
      </c>
      <c r="X852" s="38" t="b">
        <f t="shared" si="2"/>
        <v>0</v>
      </c>
      <c r="Y852" s="38"/>
      <c r="Z852" s="40"/>
      <c r="AA852" s="40"/>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row>
    <row r="853">
      <c r="A853" s="58"/>
      <c r="B853" s="341"/>
      <c r="C853" s="60"/>
      <c r="D853" s="60"/>
      <c r="E853" s="58"/>
      <c r="F853" s="58"/>
      <c r="G853" s="58"/>
      <c r="H853" s="33" t="str">
        <f t="shared" si="1"/>
        <v/>
      </c>
      <c r="I853" s="58"/>
      <c r="J853" s="58"/>
      <c r="K853" s="58"/>
      <c r="L853" s="38"/>
      <c r="M853" s="58"/>
      <c r="N853" s="58"/>
      <c r="O853" s="58"/>
      <c r="P853" s="80"/>
      <c r="Q853" s="77"/>
      <c r="R853" s="62"/>
      <c r="S853" s="62"/>
      <c r="T853" s="62"/>
      <c r="U853" s="62"/>
      <c r="V853" s="37" t="str">
        <f>IFERROR(__xludf.DUMMYFUNCTION("if(not(iserror(index(split(C853, "" ""),2))), index(split(C853, "" ""),1),"""")"),"")</f>
        <v/>
      </c>
      <c r="W853" s="315" t="str">
        <f>IFERROR(__xludf.DUMMYFUNCTION("if(V853="""",C853,if(not(iserror(index(split(C853, "" ""),3))), index(split(C853, "" ""),3),index(split(C853, "" ""),2)))"),"")</f>
        <v/>
      </c>
      <c r="X853" s="38" t="b">
        <f t="shared" si="2"/>
        <v>0</v>
      </c>
      <c r="Y853" s="38"/>
      <c r="Z853" s="40"/>
      <c r="AA853" s="40"/>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row>
    <row r="854">
      <c r="A854" s="58"/>
      <c r="B854" s="341"/>
      <c r="C854" s="60"/>
      <c r="D854" s="60"/>
      <c r="E854" s="58"/>
      <c r="F854" s="58"/>
      <c r="G854" s="58"/>
      <c r="H854" s="33" t="str">
        <f t="shared" si="1"/>
        <v/>
      </c>
      <c r="I854" s="58"/>
      <c r="J854" s="58"/>
      <c r="K854" s="58"/>
      <c r="L854" s="38"/>
      <c r="M854" s="58"/>
      <c r="N854" s="58"/>
      <c r="O854" s="58"/>
      <c r="P854" s="80"/>
      <c r="Q854" s="77"/>
      <c r="R854" s="62"/>
      <c r="S854" s="62"/>
      <c r="T854" s="62"/>
      <c r="U854" s="62"/>
      <c r="V854" s="37" t="str">
        <f>IFERROR(__xludf.DUMMYFUNCTION("if(not(iserror(index(split(C854, "" ""),2))), index(split(C854, "" ""),1),"""")"),"")</f>
        <v/>
      </c>
      <c r="W854" s="315" t="str">
        <f>IFERROR(__xludf.DUMMYFUNCTION("if(V854="""",C854,if(not(iserror(index(split(C854, "" ""),3))), index(split(C854, "" ""),3),index(split(C854, "" ""),2)))"),"")</f>
        <v/>
      </c>
      <c r="X854" s="38" t="b">
        <f t="shared" si="2"/>
        <v>0</v>
      </c>
      <c r="Y854" s="38"/>
      <c r="Z854" s="40"/>
      <c r="AA854" s="40"/>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row>
    <row r="855">
      <c r="A855" s="58"/>
      <c r="B855" s="341"/>
      <c r="C855" s="60"/>
      <c r="D855" s="60"/>
      <c r="E855" s="58"/>
      <c r="F855" s="58"/>
      <c r="G855" s="58"/>
      <c r="H855" s="33" t="str">
        <f t="shared" si="1"/>
        <v/>
      </c>
      <c r="I855" s="58"/>
      <c r="J855" s="58"/>
      <c r="K855" s="58"/>
      <c r="L855" s="38"/>
      <c r="M855" s="58"/>
      <c r="N855" s="58"/>
      <c r="O855" s="58"/>
      <c r="P855" s="80"/>
      <c r="Q855" s="77"/>
      <c r="R855" s="62"/>
      <c r="S855" s="62"/>
      <c r="T855" s="62"/>
      <c r="U855" s="62"/>
      <c r="V855" s="37" t="str">
        <f>IFERROR(__xludf.DUMMYFUNCTION("if(not(iserror(index(split(C855, "" ""),2))), index(split(C855, "" ""),1),"""")"),"")</f>
        <v/>
      </c>
      <c r="W855" s="315" t="str">
        <f>IFERROR(__xludf.DUMMYFUNCTION("if(V855="""",C855,if(not(iserror(index(split(C855, "" ""),3))), index(split(C855, "" ""),3),index(split(C855, "" ""),2)))"),"")</f>
        <v/>
      </c>
      <c r="X855" s="38" t="b">
        <f t="shared" si="2"/>
        <v>0</v>
      </c>
      <c r="Y855" s="38"/>
      <c r="Z855" s="40"/>
      <c r="AA855" s="40"/>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row>
    <row r="856">
      <c r="A856" s="58"/>
      <c r="B856" s="341"/>
      <c r="C856" s="60"/>
      <c r="D856" s="60"/>
      <c r="E856" s="58"/>
      <c r="F856" s="58"/>
      <c r="G856" s="58"/>
      <c r="H856" s="33" t="str">
        <f t="shared" si="1"/>
        <v/>
      </c>
      <c r="I856" s="58"/>
      <c r="J856" s="58"/>
      <c r="K856" s="58"/>
      <c r="L856" s="38"/>
      <c r="M856" s="58"/>
      <c r="N856" s="58"/>
      <c r="O856" s="58"/>
      <c r="P856" s="80"/>
      <c r="Q856" s="77"/>
      <c r="R856" s="62"/>
      <c r="S856" s="62"/>
      <c r="T856" s="62"/>
      <c r="U856" s="62"/>
      <c r="V856" s="37" t="str">
        <f>IFERROR(__xludf.DUMMYFUNCTION("if(not(iserror(index(split(C856, "" ""),2))), index(split(C856, "" ""),1),"""")"),"")</f>
        <v/>
      </c>
      <c r="W856" s="315" t="str">
        <f>IFERROR(__xludf.DUMMYFUNCTION("if(V856="""",C856,if(not(iserror(index(split(C856, "" ""),3))), index(split(C856, "" ""),3),index(split(C856, "" ""),2)))"),"")</f>
        <v/>
      </c>
      <c r="X856" s="38" t="b">
        <f t="shared" si="2"/>
        <v>0</v>
      </c>
      <c r="Y856" s="38"/>
      <c r="Z856" s="40"/>
      <c r="AA856" s="40"/>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row>
    <row r="857">
      <c r="A857" s="58"/>
      <c r="B857" s="341"/>
      <c r="C857" s="60"/>
      <c r="D857" s="60"/>
      <c r="E857" s="58"/>
      <c r="F857" s="58"/>
      <c r="G857" s="58"/>
      <c r="H857" s="33" t="str">
        <f t="shared" si="1"/>
        <v/>
      </c>
      <c r="I857" s="58"/>
      <c r="J857" s="58"/>
      <c r="K857" s="58"/>
      <c r="L857" s="38"/>
      <c r="M857" s="58"/>
      <c r="N857" s="58"/>
      <c r="O857" s="58"/>
      <c r="P857" s="80"/>
      <c r="Q857" s="77"/>
      <c r="R857" s="62"/>
      <c r="S857" s="62"/>
      <c r="T857" s="62"/>
      <c r="U857" s="62"/>
      <c r="V857" s="37" t="str">
        <f>IFERROR(__xludf.DUMMYFUNCTION("if(not(iserror(index(split(C857, "" ""),2))), index(split(C857, "" ""),1),"""")"),"")</f>
        <v/>
      </c>
      <c r="W857" s="315" t="str">
        <f>IFERROR(__xludf.DUMMYFUNCTION("if(V857="""",C857,if(not(iserror(index(split(C857, "" ""),3))), index(split(C857, "" ""),3),index(split(C857, "" ""),2)))"),"")</f>
        <v/>
      </c>
      <c r="X857" s="38" t="b">
        <f t="shared" si="2"/>
        <v>0</v>
      </c>
      <c r="Y857" s="38"/>
      <c r="Z857" s="40"/>
      <c r="AA857" s="40"/>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row>
    <row r="858">
      <c r="B858" s="341"/>
      <c r="C858" s="60"/>
      <c r="D858" s="60"/>
      <c r="E858" s="58"/>
      <c r="F858" s="58"/>
      <c r="G858" s="58"/>
      <c r="H858" s="33" t="str">
        <f t="shared" si="1"/>
        <v/>
      </c>
      <c r="I858" s="58"/>
      <c r="J858" s="58"/>
      <c r="K858" s="58"/>
      <c r="L858" s="38"/>
      <c r="M858" s="58"/>
      <c r="N858" s="58"/>
      <c r="O858" s="58"/>
      <c r="P858" s="80"/>
      <c r="Q858" s="77"/>
      <c r="R858" s="62"/>
      <c r="S858" s="62"/>
      <c r="T858" s="62"/>
      <c r="U858" s="62"/>
      <c r="V858" s="37" t="str">
        <f>IFERROR(__xludf.DUMMYFUNCTION("if(not(iserror(index(split(C858, "" ""),2))), index(split(C858, "" ""),1),"""")"),"")</f>
        <v/>
      </c>
      <c r="W858" s="315" t="str">
        <f>IFERROR(__xludf.DUMMYFUNCTION("if(V858="""",C858,if(not(iserror(index(split(C858, "" ""),3))), index(split(C858, "" ""),3),index(split(C858, "" ""),2)))"),"")</f>
        <v/>
      </c>
      <c r="X858" s="38" t="b">
        <f t="shared" si="2"/>
        <v>0</v>
      </c>
      <c r="Y858" s="38"/>
      <c r="Z858" s="40"/>
      <c r="AA858" s="40"/>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row>
    <row r="859">
      <c r="B859" s="341"/>
      <c r="C859" s="60"/>
      <c r="D859" s="60"/>
      <c r="E859" s="58"/>
      <c r="F859" s="58"/>
      <c r="G859" s="58"/>
      <c r="H859" s="33" t="str">
        <f t="shared" si="1"/>
        <v/>
      </c>
      <c r="I859" s="58"/>
      <c r="J859" s="58"/>
      <c r="K859" s="58"/>
      <c r="L859" s="38"/>
      <c r="M859" s="58"/>
      <c r="N859" s="58"/>
      <c r="O859" s="58"/>
      <c r="P859" s="80"/>
      <c r="Q859" s="77"/>
      <c r="R859" s="62"/>
      <c r="S859" s="58"/>
      <c r="T859" s="84"/>
      <c r="U859" s="62"/>
      <c r="V859" s="37" t="str">
        <f>IFERROR(__xludf.DUMMYFUNCTION("if(not(iserror(index(split(C859, "" ""),2))), index(split(C859, "" ""),1),"""")"),"")</f>
        <v/>
      </c>
      <c r="W859" s="315" t="str">
        <f>IFERROR(__xludf.DUMMYFUNCTION("if(V859="""",C859,if(not(iserror(index(split(C859, "" ""),3))), index(split(C859, "" ""),3),index(split(C859, "" ""),2)))"),"")</f>
        <v/>
      </c>
      <c r="X859" s="38" t="b">
        <f t="shared" si="2"/>
        <v>0</v>
      </c>
      <c r="Y859" s="38"/>
      <c r="Z859" s="40"/>
      <c r="AA859" s="40"/>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row>
    <row r="860">
      <c r="B860" s="341"/>
      <c r="C860" s="60"/>
      <c r="D860" s="60"/>
      <c r="E860" s="58"/>
      <c r="F860" s="58"/>
      <c r="G860" s="58"/>
      <c r="H860" s="33" t="str">
        <f t="shared" si="1"/>
        <v/>
      </c>
      <c r="I860" s="58"/>
      <c r="J860" s="58"/>
      <c r="K860" s="58"/>
      <c r="L860" s="38"/>
      <c r="M860" s="58"/>
      <c r="N860" s="58"/>
      <c r="O860" s="58"/>
      <c r="P860" s="80"/>
      <c r="Q860" s="77"/>
      <c r="R860" s="62"/>
      <c r="S860" s="62"/>
      <c r="T860" s="62"/>
      <c r="U860" s="62"/>
      <c r="V860" s="37" t="str">
        <f>IFERROR(__xludf.DUMMYFUNCTION("if(not(iserror(index(split(C860, "" ""),2))), index(split(C860, "" ""),1),"""")"),"")</f>
        <v/>
      </c>
      <c r="W860" s="315" t="str">
        <f>IFERROR(__xludf.DUMMYFUNCTION("if(V860="""",C860,if(not(iserror(index(split(C860, "" ""),3))), index(split(C860, "" ""),3),index(split(C860, "" ""),2)))"),"")</f>
        <v/>
      </c>
      <c r="X860" s="38" t="b">
        <f t="shared" si="2"/>
        <v>0</v>
      </c>
      <c r="Y860" s="38"/>
      <c r="Z860" s="40"/>
      <c r="AA860" s="40"/>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row>
    <row r="861">
      <c r="B861" s="341"/>
      <c r="C861" s="60"/>
      <c r="D861" s="60"/>
      <c r="E861" s="58"/>
      <c r="F861" s="58"/>
      <c r="G861" s="58"/>
      <c r="H861" s="33" t="str">
        <f t="shared" si="1"/>
        <v/>
      </c>
      <c r="I861" s="58"/>
      <c r="J861" s="58"/>
      <c r="K861" s="58"/>
      <c r="L861" s="38"/>
      <c r="M861" s="58"/>
      <c r="N861" s="58"/>
      <c r="O861" s="58"/>
      <c r="P861" s="80"/>
      <c r="Q861" s="77"/>
      <c r="R861" s="62"/>
      <c r="S861" s="62"/>
      <c r="T861" s="62"/>
      <c r="U861" s="62"/>
      <c r="V861" s="37" t="str">
        <f>IFERROR(__xludf.DUMMYFUNCTION("if(not(iserror(index(split(C861, "" ""),2))), index(split(C861, "" ""),1),"""")"),"")</f>
        <v/>
      </c>
      <c r="W861" s="315" t="str">
        <f>IFERROR(__xludf.DUMMYFUNCTION("if(V861="""",C861,if(not(iserror(index(split(C861, "" ""),3))), index(split(C861, "" ""),3),index(split(C861, "" ""),2)))"),"")</f>
        <v/>
      </c>
      <c r="X861" s="38" t="b">
        <f t="shared" si="2"/>
        <v>0</v>
      </c>
      <c r="Y861" s="38"/>
      <c r="Z861" s="40"/>
      <c r="AA861" s="40"/>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row>
    <row r="862">
      <c r="B862" s="341"/>
      <c r="C862" s="60"/>
      <c r="D862" s="60"/>
      <c r="E862" s="58"/>
      <c r="F862" s="58"/>
      <c r="G862" s="58"/>
      <c r="H862" s="33" t="str">
        <f t="shared" si="1"/>
        <v/>
      </c>
      <c r="I862" s="58"/>
      <c r="J862" s="58"/>
      <c r="K862" s="58"/>
      <c r="L862" s="38"/>
      <c r="M862" s="58"/>
      <c r="N862" s="58"/>
      <c r="O862" s="58"/>
      <c r="P862" s="80"/>
      <c r="Q862" s="77"/>
      <c r="R862" s="62"/>
      <c r="S862" s="62"/>
      <c r="T862" s="62"/>
      <c r="U862" s="62"/>
      <c r="V862" s="37" t="str">
        <f>IFERROR(__xludf.DUMMYFUNCTION("if(not(iserror(index(split(C862, "" ""),2))), index(split(C862, "" ""),1),"""")"),"")</f>
        <v/>
      </c>
      <c r="W862" s="315" t="str">
        <f>IFERROR(__xludf.DUMMYFUNCTION("if(V862="""",C862,if(not(iserror(index(split(C862, "" ""),3))), index(split(C862, "" ""),3),index(split(C862, "" ""),2)))"),"")</f>
        <v/>
      </c>
      <c r="X862" s="38" t="b">
        <f t="shared" si="2"/>
        <v>0</v>
      </c>
      <c r="Y862" s="38"/>
      <c r="Z862" s="40"/>
      <c r="AA862" s="40"/>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row>
    <row r="863">
      <c r="B863" s="341"/>
      <c r="C863" s="60"/>
      <c r="D863" s="60"/>
      <c r="E863" s="58"/>
      <c r="F863" s="58"/>
      <c r="G863" s="58"/>
      <c r="H863" s="33" t="str">
        <f t="shared" si="1"/>
        <v/>
      </c>
      <c r="I863" s="58"/>
      <c r="J863" s="58"/>
      <c r="K863" s="58"/>
      <c r="L863" s="38"/>
      <c r="M863" s="58"/>
      <c r="N863" s="58"/>
      <c r="O863" s="58"/>
      <c r="P863" s="80"/>
      <c r="Q863" s="77"/>
      <c r="R863" s="62"/>
      <c r="S863" s="62"/>
      <c r="T863" s="62"/>
      <c r="U863" s="62"/>
      <c r="V863" s="37" t="str">
        <f>IFERROR(__xludf.DUMMYFUNCTION("if(not(iserror(index(split(C863, "" ""),2))), index(split(C863, "" ""),1),"""")"),"")</f>
        <v/>
      </c>
      <c r="W863" s="315" t="str">
        <f>IFERROR(__xludf.DUMMYFUNCTION("if(V863="""",C863,if(not(iserror(index(split(C863, "" ""),3))), index(split(C863, "" ""),3),index(split(C863, "" ""),2)))"),"")</f>
        <v/>
      </c>
      <c r="X863" s="38" t="b">
        <f t="shared" si="2"/>
        <v>0</v>
      </c>
      <c r="Y863" s="38"/>
      <c r="Z863" s="40"/>
      <c r="AA863" s="40"/>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row>
    <row r="864">
      <c r="B864" s="341"/>
      <c r="C864" s="60"/>
      <c r="D864" s="60"/>
      <c r="E864" s="58"/>
      <c r="F864" s="58"/>
      <c r="G864" s="58"/>
      <c r="H864" s="33" t="str">
        <f t="shared" si="1"/>
        <v/>
      </c>
      <c r="I864" s="58"/>
      <c r="J864" s="58"/>
      <c r="K864" s="58"/>
      <c r="L864" s="38"/>
      <c r="M864" s="58"/>
      <c r="N864" s="58"/>
      <c r="O864" s="58"/>
      <c r="P864" s="80"/>
      <c r="Q864" s="77"/>
      <c r="R864" s="62"/>
      <c r="S864" s="62"/>
      <c r="T864" s="62"/>
      <c r="U864" s="62"/>
      <c r="V864" s="37" t="str">
        <f>IFERROR(__xludf.DUMMYFUNCTION("if(not(iserror(index(split(C864, "" ""),2))), index(split(C864, "" ""),1),"""")"),"")</f>
        <v/>
      </c>
      <c r="W864" s="315" t="str">
        <f>IFERROR(__xludf.DUMMYFUNCTION("if(V864="""",C864,if(not(iserror(index(split(C864, "" ""),3))), index(split(C864, "" ""),3),index(split(C864, "" ""),2)))"),"")</f>
        <v/>
      </c>
      <c r="X864" s="38" t="b">
        <f t="shared" si="2"/>
        <v>0</v>
      </c>
      <c r="Y864" s="38"/>
      <c r="Z864" s="40"/>
      <c r="AA864" s="40"/>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row>
    <row r="865">
      <c r="B865" s="341"/>
      <c r="C865" s="60"/>
      <c r="D865" s="60"/>
      <c r="E865" s="58"/>
      <c r="F865" s="58"/>
      <c r="G865" s="58"/>
      <c r="H865" s="33" t="str">
        <f t="shared" si="1"/>
        <v/>
      </c>
      <c r="I865" s="58"/>
      <c r="J865" s="58"/>
      <c r="K865" s="58"/>
      <c r="L865" s="38"/>
      <c r="M865" s="58"/>
      <c r="N865" s="58"/>
      <c r="O865" s="58"/>
      <c r="P865" s="80"/>
      <c r="Q865" s="77"/>
      <c r="R865" s="62"/>
      <c r="S865" s="62"/>
      <c r="T865" s="62"/>
      <c r="U865" s="62"/>
      <c r="V865" s="37" t="str">
        <f>IFERROR(__xludf.DUMMYFUNCTION("if(not(iserror(index(split(C865, "" ""),2))), index(split(C865, "" ""),1),"""")"),"")</f>
        <v/>
      </c>
      <c r="W865" s="315" t="str">
        <f>IFERROR(__xludf.DUMMYFUNCTION("if(V865="""",C865,if(not(iserror(index(split(C865, "" ""),3))), index(split(C865, "" ""),3),index(split(C865, "" ""),2)))"),"")</f>
        <v/>
      </c>
      <c r="X865" s="38" t="b">
        <f t="shared" si="2"/>
        <v>0</v>
      </c>
      <c r="Y865" s="38"/>
      <c r="Z865" s="40"/>
      <c r="AA865" s="40"/>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row>
    <row r="866">
      <c r="B866" s="341"/>
      <c r="C866" s="60"/>
      <c r="D866" s="60"/>
      <c r="E866" s="58"/>
      <c r="F866" s="58"/>
      <c r="G866" s="58"/>
      <c r="H866" s="33" t="str">
        <f t="shared" si="1"/>
        <v/>
      </c>
      <c r="I866" s="58"/>
      <c r="J866" s="58"/>
      <c r="K866" s="58"/>
      <c r="L866" s="38"/>
      <c r="M866" s="58"/>
      <c r="N866" s="58"/>
      <c r="O866" s="58"/>
      <c r="P866" s="80"/>
      <c r="Q866" s="77"/>
      <c r="R866" s="62"/>
      <c r="S866" s="62"/>
      <c r="T866" s="62"/>
      <c r="U866" s="62"/>
      <c r="V866" s="37" t="str">
        <f>IFERROR(__xludf.DUMMYFUNCTION("if(not(iserror(index(split(C866, "" ""),2))), index(split(C866, "" ""),1),"""")"),"")</f>
        <v/>
      </c>
      <c r="W866" s="315" t="str">
        <f>IFERROR(__xludf.DUMMYFUNCTION("if(V866="""",C866,if(not(iserror(index(split(C866, "" ""),3))), index(split(C866, "" ""),3),index(split(C866, "" ""),2)))"),"")</f>
        <v/>
      </c>
      <c r="X866" s="38" t="b">
        <f t="shared" si="2"/>
        <v>0</v>
      </c>
      <c r="Y866" s="38"/>
      <c r="Z866" s="40"/>
      <c r="AA866" s="40"/>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row>
    <row r="867">
      <c r="B867" s="341"/>
      <c r="C867" s="60"/>
      <c r="D867" s="60"/>
      <c r="E867" s="58"/>
      <c r="F867" s="58"/>
      <c r="G867" s="58"/>
      <c r="H867" s="33" t="str">
        <f t="shared" si="1"/>
        <v/>
      </c>
      <c r="I867" s="58"/>
      <c r="J867" s="58"/>
      <c r="K867" s="58"/>
      <c r="L867" s="38"/>
      <c r="M867" s="58"/>
      <c r="N867" s="58"/>
      <c r="O867" s="58"/>
      <c r="P867" s="80"/>
      <c r="Q867" s="77"/>
      <c r="R867" s="62"/>
      <c r="S867" s="62"/>
      <c r="T867" s="62"/>
      <c r="U867" s="62"/>
      <c r="V867" s="37" t="str">
        <f>IFERROR(__xludf.DUMMYFUNCTION("if(not(iserror(index(split(C867, "" ""),2))), index(split(C867, "" ""),1),"""")"),"")</f>
        <v/>
      </c>
      <c r="W867" s="315" t="str">
        <f>IFERROR(__xludf.DUMMYFUNCTION("if(V867="""",C867,if(not(iserror(index(split(C867, "" ""),3))), index(split(C867, "" ""),3),index(split(C867, "" ""),2)))"),"")</f>
        <v/>
      </c>
      <c r="X867" s="38" t="b">
        <f t="shared" si="2"/>
        <v>0</v>
      </c>
      <c r="Y867" s="38"/>
      <c r="Z867" s="40"/>
      <c r="AA867" s="40"/>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row>
    <row r="868">
      <c r="B868" s="341"/>
      <c r="C868" s="60"/>
      <c r="D868" s="60"/>
      <c r="E868" s="58"/>
      <c r="F868" s="58"/>
      <c r="G868" s="58"/>
      <c r="H868" s="33" t="str">
        <f t="shared" si="1"/>
        <v/>
      </c>
      <c r="I868" s="58"/>
      <c r="J868" s="58"/>
      <c r="K868" s="58"/>
      <c r="L868" s="38"/>
      <c r="M868" s="58"/>
      <c r="N868" s="58"/>
      <c r="O868" s="58"/>
      <c r="P868" s="80"/>
      <c r="Q868" s="77"/>
      <c r="R868" s="62"/>
      <c r="S868" s="62"/>
      <c r="T868" s="62"/>
      <c r="U868" s="62"/>
      <c r="V868" s="37" t="str">
        <f>IFERROR(__xludf.DUMMYFUNCTION("if(not(iserror(index(split(C868, "" ""),2))), index(split(C868, "" ""),1),"""")"),"")</f>
        <v/>
      </c>
      <c r="W868" s="315" t="str">
        <f>IFERROR(__xludf.DUMMYFUNCTION("if(V868="""",C868,if(not(iserror(index(split(C868, "" ""),3))), index(split(C868, "" ""),3),index(split(C868, "" ""),2)))"),"")</f>
        <v/>
      </c>
      <c r="X868" s="38" t="b">
        <f t="shared" si="2"/>
        <v>0</v>
      </c>
      <c r="Y868" s="38"/>
      <c r="Z868" s="40"/>
      <c r="AA868" s="40"/>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row>
    <row r="869">
      <c r="B869" s="341"/>
      <c r="C869" s="60"/>
      <c r="D869" s="60"/>
      <c r="E869" s="58"/>
      <c r="F869" s="58"/>
      <c r="G869" s="58"/>
      <c r="H869" s="33" t="str">
        <f t="shared" si="1"/>
        <v/>
      </c>
      <c r="I869" s="58"/>
      <c r="J869" s="58"/>
      <c r="K869" s="58"/>
      <c r="L869" s="38"/>
      <c r="M869" s="58"/>
      <c r="N869" s="58"/>
      <c r="O869" s="58"/>
      <c r="P869" s="80"/>
      <c r="Q869" s="77"/>
      <c r="R869" s="62"/>
      <c r="S869" s="62"/>
      <c r="T869" s="62"/>
      <c r="U869" s="62"/>
      <c r="V869" s="37" t="str">
        <f>IFERROR(__xludf.DUMMYFUNCTION("if(not(iserror(index(split(C869, "" ""),2))), index(split(C869, "" ""),1),"""")"),"")</f>
        <v/>
      </c>
      <c r="W869" s="315" t="str">
        <f>IFERROR(__xludf.DUMMYFUNCTION("if(V869="""",C869,if(not(iserror(index(split(C869, "" ""),3))), index(split(C869, "" ""),3),index(split(C869, "" ""),2)))"),"")</f>
        <v/>
      </c>
      <c r="X869" s="38" t="b">
        <f t="shared" si="2"/>
        <v>0</v>
      </c>
      <c r="Y869" s="38"/>
      <c r="Z869" s="40"/>
      <c r="AA869" s="40"/>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row>
    <row r="870">
      <c r="B870" s="341"/>
      <c r="C870" s="60"/>
      <c r="D870" s="60"/>
      <c r="E870" s="58"/>
      <c r="F870" s="58"/>
      <c r="G870" s="58"/>
      <c r="H870" s="33" t="str">
        <f t="shared" si="1"/>
        <v/>
      </c>
      <c r="I870" s="58"/>
      <c r="J870" s="58"/>
      <c r="K870" s="58"/>
      <c r="L870" s="38"/>
      <c r="M870" s="58"/>
      <c r="N870" s="58"/>
      <c r="O870" s="58"/>
      <c r="P870" s="80"/>
      <c r="Q870" s="77"/>
      <c r="R870" s="62"/>
      <c r="S870" s="62"/>
      <c r="T870" s="62"/>
      <c r="U870" s="62"/>
      <c r="V870" s="37" t="str">
        <f>IFERROR(__xludf.DUMMYFUNCTION("if(not(iserror(index(split(C870, "" ""),2))), index(split(C870, "" ""),1),"""")"),"")</f>
        <v/>
      </c>
      <c r="W870" s="315" t="str">
        <f>IFERROR(__xludf.DUMMYFUNCTION("if(V870="""",C870,if(not(iserror(index(split(C870, "" ""),3))), index(split(C870, "" ""),3),index(split(C870, "" ""),2)))"),"")</f>
        <v/>
      </c>
      <c r="X870" s="38" t="b">
        <f t="shared" si="2"/>
        <v>0</v>
      </c>
      <c r="Y870" s="38"/>
      <c r="Z870" s="40"/>
      <c r="AA870" s="40"/>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row>
    <row r="871">
      <c r="B871" s="341"/>
      <c r="C871" s="60"/>
      <c r="D871" s="60"/>
      <c r="E871" s="58"/>
      <c r="F871" s="58"/>
      <c r="G871" s="58"/>
      <c r="H871" s="33" t="str">
        <f t="shared" si="1"/>
        <v/>
      </c>
      <c r="I871" s="58"/>
      <c r="J871" s="58"/>
      <c r="K871" s="58"/>
      <c r="L871" s="38"/>
      <c r="M871" s="58"/>
      <c r="N871" s="58"/>
      <c r="O871" s="58"/>
      <c r="P871" s="80"/>
      <c r="Q871" s="77"/>
      <c r="R871" s="62"/>
      <c r="S871" s="62"/>
      <c r="T871" s="62"/>
      <c r="U871" s="62"/>
      <c r="V871" s="37" t="str">
        <f>IFERROR(__xludf.DUMMYFUNCTION("if(not(iserror(index(split(C871, "" ""),2))), index(split(C871, "" ""),1),"""")"),"")</f>
        <v/>
      </c>
      <c r="W871" s="315" t="str">
        <f>IFERROR(__xludf.DUMMYFUNCTION("if(V871="""",C871,if(not(iserror(index(split(C871, "" ""),3))), index(split(C871, "" ""),3),index(split(C871, "" ""),2)))"),"")</f>
        <v/>
      </c>
      <c r="X871" s="38" t="b">
        <f t="shared" si="2"/>
        <v>0</v>
      </c>
      <c r="Y871" s="38"/>
      <c r="Z871" s="40"/>
      <c r="AA871" s="40"/>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row>
    <row r="872">
      <c r="B872" s="341"/>
      <c r="C872" s="60"/>
      <c r="D872" s="60"/>
      <c r="E872" s="58"/>
      <c r="F872" s="58"/>
      <c r="G872" s="58"/>
      <c r="H872" s="33" t="str">
        <f t="shared" si="1"/>
        <v/>
      </c>
      <c r="I872" s="58"/>
      <c r="J872" s="58"/>
      <c r="K872" s="58"/>
      <c r="L872" s="38"/>
      <c r="M872" s="58"/>
      <c r="N872" s="58"/>
      <c r="O872" s="58"/>
      <c r="P872" s="80"/>
      <c r="Q872" s="77"/>
      <c r="R872" s="62"/>
      <c r="S872" s="62"/>
      <c r="T872" s="62"/>
      <c r="U872" s="62"/>
      <c r="V872" s="37" t="str">
        <f>IFERROR(__xludf.DUMMYFUNCTION("if(not(iserror(index(split(C872, "" ""),2))), index(split(C872, "" ""),1),"""")"),"")</f>
        <v/>
      </c>
      <c r="W872" s="315" t="str">
        <f>IFERROR(__xludf.DUMMYFUNCTION("if(V872="""",C872,if(not(iserror(index(split(C872, "" ""),3))), index(split(C872, "" ""),3),index(split(C872, "" ""),2)))"),"")</f>
        <v/>
      </c>
      <c r="X872" s="38" t="b">
        <f t="shared" si="2"/>
        <v>0</v>
      </c>
      <c r="Y872" s="38"/>
      <c r="Z872" s="40"/>
      <c r="AA872" s="40"/>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row>
    <row r="873">
      <c r="B873" s="341"/>
      <c r="C873" s="60"/>
      <c r="D873" s="60"/>
      <c r="E873" s="58"/>
      <c r="F873" s="58"/>
      <c r="G873" s="58"/>
      <c r="H873" s="33" t="str">
        <f t="shared" si="1"/>
        <v/>
      </c>
      <c r="I873" s="58"/>
      <c r="J873" s="58"/>
      <c r="K873" s="58"/>
      <c r="L873" s="38"/>
      <c r="M873" s="58"/>
      <c r="N873" s="58"/>
      <c r="O873" s="58"/>
      <c r="P873" s="80"/>
      <c r="Q873" s="77"/>
      <c r="R873" s="62"/>
      <c r="S873" s="62"/>
      <c r="T873" s="62"/>
      <c r="U873" s="62"/>
      <c r="V873" s="37" t="str">
        <f>IFERROR(__xludf.DUMMYFUNCTION("if(not(iserror(index(split(C873, "" ""),2))), index(split(C873, "" ""),1),"""")"),"")</f>
        <v/>
      </c>
      <c r="W873" s="315" t="str">
        <f>IFERROR(__xludf.DUMMYFUNCTION("if(V873="""",C873,if(not(iserror(index(split(C873, "" ""),3))), index(split(C873, "" ""),3),index(split(C873, "" ""),2)))"),"")</f>
        <v/>
      </c>
      <c r="X873" s="38" t="b">
        <f t="shared" si="2"/>
        <v>0</v>
      </c>
      <c r="Y873" s="38"/>
      <c r="Z873" s="40"/>
      <c r="AA873" s="40"/>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row>
    <row r="874">
      <c r="B874" s="341"/>
      <c r="C874" s="60"/>
      <c r="D874" s="60"/>
      <c r="E874" s="58"/>
      <c r="F874" s="58"/>
      <c r="G874" s="58"/>
      <c r="H874" s="33" t="str">
        <f t="shared" si="1"/>
        <v/>
      </c>
      <c r="I874" s="58"/>
      <c r="J874" s="58"/>
      <c r="K874" s="58"/>
      <c r="L874" s="38"/>
      <c r="M874" s="58"/>
      <c r="N874" s="58"/>
      <c r="O874" s="58"/>
      <c r="P874" s="80"/>
      <c r="Q874" s="77"/>
      <c r="R874" s="62"/>
      <c r="S874" s="62"/>
      <c r="T874" s="62"/>
      <c r="U874" s="62"/>
      <c r="V874" s="37" t="str">
        <f>IFERROR(__xludf.DUMMYFUNCTION("if(not(iserror(index(split(C874, "" ""),2))), index(split(C874, "" ""),1),"""")"),"")</f>
        <v/>
      </c>
      <c r="W874" s="315" t="str">
        <f>IFERROR(__xludf.DUMMYFUNCTION("if(V874="""",C874,if(not(iserror(index(split(C874, "" ""),3))), index(split(C874, "" ""),3),index(split(C874, "" ""),2)))"),"")</f>
        <v/>
      </c>
      <c r="X874" s="38" t="b">
        <f t="shared" si="2"/>
        <v>0</v>
      </c>
      <c r="Y874" s="38"/>
      <c r="Z874" s="40"/>
      <c r="AA874" s="40"/>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row>
    <row r="875">
      <c r="B875" s="341"/>
      <c r="C875" s="60"/>
      <c r="D875" s="60"/>
      <c r="E875" s="58"/>
      <c r="F875" s="58"/>
      <c r="G875" s="58"/>
      <c r="H875" s="33" t="str">
        <f t="shared" si="1"/>
        <v/>
      </c>
      <c r="I875" s="58"/>
      <c r="J875" s="58"/>
      <c r="K875" s="58"/>
      <c r="L875" s="38"/>
      <c r="M875" s="58"/>
      <c r="N875" s="58"/>
      <c r="O875" s="58"/>
      <c r="P875" s="80"/>
      <c r="Q875" s="77"/>
      <c r="R875" s="62"/>
      <c r="S875" s="58"/>
      <c r="T875" s="84"/>
      <c r="U875" s="62"/>
      <c r="V875" s="37" t="str">
        <f>IFERROR(__xludf.DUMMYFUNCTION("if(not(iserror(index(split(C875, "" ""),2))), index(split(C875, "" ""),1),"""")"),"")</f>
        <v/>
      </c>
      <c r="W875" s="315" t="str">
        <f>IFERROR(__xludf.DUMMYFUNCTION("if(V875="""",C875,if(not(iserror(index(split(C875, "" ""),3))), index(split(C875, "" ""),3),index(split(C875, "" ""),2)))"),"")</f>
        <v/>
      </c>
      <c r="X875" s="38" t="b">
        <f t="shared" si="2"/>
        <v>0</v>
      </c>
      <c r="Y875" s="38"/>
      <c r="Z875" s="40"/>
      <c r="AA875" s="40"/>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row>
    <row r="876">
      <c r="B876" s="341"/>
      <c r="C876" s="60"/>
      <c r="D876" s="60"/>
      <c r="E876" s="58"/>
      <c r="F876" s="58"/>
      <c r="G876" s="58"/>
      <c r="H876" s="33" t="str">
        <f t="shared" si="1"/>
        <v/>
      </c>
      <c r="I876" s="58"/>
      <c r="J876" s="58"/>
      <c r="K876" s="58"/>
      <c r="L876" s="38"/>
      <c r="M876" s="58"/>
      <c r="N876" s="58"/>
      <c r="O876" s="58"/>
      <c r="P876" s="80"/>
      <c r="Q876" s="77"/>
      <c r="R876" s="62"/>
      <c r="S876" s="62"/>
      <c r="T876" s="62"/>
      <c r="U876" s="62"/>
      <c r="V876" s="37" t="str">
        <f>IFERROR(__xludf.DUMMYFUNCTION("if(not(iserror(index(split(C876, "" ""),2))), index(split(C876, "" ""),1),"""")"),"")</f>
        <v/>
      </c>
      <c r="W876" s="315" t="str">
        <f>IFERROR(__xludf.DUMMYFUNCTION("if(V876="""",C876,if(not(iserror(index(split(C876, "" ""),3))), index(split(C876, "" ""),3),index(split(C876, "" ""),2)))"),"")</f>
        <v/>
      </c>
      <c r="X876" s="38" t="b">
        <f t="shared" si="2"/>
        <v>0</v>
      </c>
      <c r="Y876" s="38"/>
      <c r="Z876" s="40"/>
      <c r="AA876" s="40"/>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row>
    <row r="877">
      <c r="B877" s="341"/>
      <c r="C877" s="60"/>
      <c r="D877" s="60"/>
      <c r="E877" s="58"/>
      <c r="F877" s="58"/>
      <c r="G877" s="58"/>
      <c r="H877" s="33" t="str">
        <f t="shared" si="1"/>
        <v/>
      </c>
      <c r="I877" s="58"/>
      <c r="J877" s="58"/>
      <c r="K877" s="58"/>
      <c r="L877" s="38"/>
      <c r="M877" s="58"/>
      <c r="N877" s="58"/>
      <c r="O877" s="58"/>
      <c r="P877" s="80"/>
      <c r="Q877" s="77"/>
      <c r="R877" s="62"/>
      <c r="S877" s="58"/>
      <c r="T877" s="84"/>
      <c r="U877" s="62"/>
      <c r="V877" s="37" t="str">
        <f>IFERROR(__xludf.DUMMYFUNCTION("if(not(iserror(index(split(C877, "" ""),2))), index(split(C877, "" ""),1),"""")"),"")</f>
        <v/>
      </c>
      <c r="W877" s="315" t="str">
        <f>IFERROR(__xludf.DUMMYFUNCTION("if(V877="""",C877,if(not(iserror(index(split(C877, "" ""),3))), index(split(C877, "" ""),3),index(split(C877, "" ""),2)))"),"")</f>
        <v/>
      </c>
      <c r="X877" s="38" t="b">
        <f t="shared" si="2"/>
        <v>0</v>
      </c>
      <c r="Y877" s="38"/>
      <c r="Z877" s="40"/>
      <c r="AA877" s="40"/>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row>
    <row r="878">
      <c r="B878" s="341"/>
      <c r="C878" s="60"/>
      <c r="D878" s="60"/>
      <c r="E878" s="58"/>
      <c r="F878" s="58"/>
      <c r="G878" s="58"/>
      <c r="H878" s="33" t="str">
        <f t="shared" si="1"/>
        <v/>
      </c>
      <c r="I878" s="58"/>
      <c r="J878" s="58"/>
      <c r="K878" s="58"/>
      <c r="L878" s="38"/>
      <c r="M878" s="58"/>
      <c r="N878" s="58"/>
      <c r="O878" s="58"/>
      <c r="P878" s="80"/>
      <c r="Q878" s="77"/>
      <c r="R878" s="62"/>
      <c r="S878" s="62"/>
      <c r="T878" s="62"/>
      <c r="U878" s="62"/>
      <c r="V878" s="37" t="str">
        <f>IFERROR(__xludf.DUMMYFUNCTION("if(not(iserror(index(split(C878, "" ""),2))), index(split(C878, "" ""),1),"""")"),"")</f>
        <v/>
      </c>
      <c r="W878" s="315" t="str">
        <f>IFERROR(__xludf.DUMMYFUNCTION("if(V878="""",C878,if(not(iserror(index(split(C878, "" ""),3))), index(split(C878, "" ""),3),index(split(C878, "" ""),2)))"),"")</f>
        <v/>
      </c>
      <c r="X878" s="38" t="b">
        <f t="shared" si="2"/>
        <v>0</v>
      </c>
      <c r="Y878" s="38"/>
      <c r="Z878" s="40"/>
      <c r="AA878" s="40"/>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row>
    <row r="879">
      <c r="B879" s="341"/>
      <c r="C879" s="60"/>
      <c r="D879" s="60"/>
      <c r="E879" s="58"/>
      <c r="F879" s="58"/>
      <c r="G879" s="58"/>
      <c r="H879" s="33" t="str">
        <f t="shared" si="1"/>
        <v/>
      </c>
      <c r="I879" s="58"/>
      <c r="J879" s="58"/>
      <c r="K879" s="58"/>
      <c r="L879" s="38"/>
      <c r="M879" s="58"/>
      <c r="N879" s="58"/>
      <c r="O879" s="58"/>
      <c r="P879" s="80"/>
      <c r="Q879" s="77"/>
      <c r="R879" s="62"/>
      <c r="S879" s="62"/>
      <c r="T879" s="62"/>
      <c r="U879" s="62"/>
      <c r="V879" s="37" t="str">
        <f>IFERROR(__xludf.DUMMYFUNCTION("if(not(iserror(index(split(C879, "" ""),2))), index(split(C879, "" ""),1),"""")"),"")</f>
        <v/>
      </c>
      <c r="W879" s="315" t="str">
        <f>IFERROR(__xludf.DUMMYFUNCTION("if(V879="""",C879,if(not(iserror(index(split(C879, "" ""),3))), index(split(C879, "" ""),3),index(split(C879, "" ""),2)))"),"")</f>
        <v/>
      </c>
      <c r="X879" s="38" t="b">
        <f t="shared" si="2"/>
        <v>0</v>
      </c>
      <c r="Y879" s="38"/>
      <c r="Z879" s="40"/>
      <c r="AA879" s="40"/>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row>
    <row r="880">
      <c r="B880" s="341"/>
      <c r="C880" s="60"/>
      <c r="D880" s="60"/>
      <c r="E880" s="58"/>
      <c r="F880" s="58"/>
      <c r="G880" s="58"/>
      <c r="H880" s="33" t="str">
        <f t="shared" si="1"/>
        <v/>
      </c>
      <c r="I880" s="58"/>
      <c r="J880" s="58"/>
      <c r="K880" s="58"/>
      <c r="L880" s="38"/>
      <c r="M880" s="58"/>
      <c r="N880" s="58"/>
      <c r="O880" s="58"/>
      <c r="P880" s="80"/>
      <c r="Q880" s="77"/>
      <c r="R880" s="62"/>
      <c r="S880" s="62"/>
      <c r="T880" s="62"/>
      <c r="U880" s="62"/>
      <c r="V880" s="37" t="str">
        <f>IFERROR(__xludf.DUMMYFUNCTION("if(not(iserror(index(split(C880, "" ""),2))), index(split(C880, "" ""),1),"""")"),"")</f>
        <v/>
      </c>
      <c r="W880" s="315" t="str">
        <f>IFERROR(__xludf.DUMMYFUNCTION("if(V880="""",C880,if(not(iserror(index(split(C880, "" ""),3))), index(split(C880, "" ""),3),index(split(C880, "" ""),2)))"),"")</f>
        <v/>
      </c>
      <c r="X880" s="38" t="b">
        <f t="shared" si="2"/>
        <v>0</v>
      </c>
      <c r="Y880" s="38"/>
      <c r="Z880" s="40"/>
      <c r="AA880" s="40"/>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row>
    <row r="881">
      <c r="B881" s="341"/>
      <c r="C881" s="60"/>
      <c r="D881" s="60"/>
      <c r="E881" s="58"/>
      <c r="F881" s="58"/>
      <c r="G881" s="58"/>
      <c r="H881" s="33" t="str">
        <f t="shared" si="1"/>
        <v/>
      </c>
      <c r="I881" s="58"/>
      <c r="J881" s="58"/>
      <c r="K881" s="58"/>
      <c r="L881" s="38"/>
      <c r="M881" s="58"/>
      <c r="N881" s="58"/>
      <c r="O881" s="58"/>
      <c r="P881" s="80"/>
      <c r="Q881" s="77"/>
      <c r="R881" s="62"/>
      <c r="S881" s="62"/>
      <c r="T881" s="62"/>
      <c r="U881" s="62"/>
      <c r="V881" s="37" t="str">
        <f>IFERROR(__xludf.DUMMYFUNCTION("if(not(iserror(index(split(C881, "" ""),2))), index(split(C881, "" ""),1),"""")"),"")</f>
        <v/>
      </c>
      <c r="W881" s="315" t="str">
        <f>IFERROR(__xludf.DUMMYFUNCTION("if(V881="""",C881,if(not(iserror(index(split(C881, "" ""),3))), index(split(C881, "" ""),3),index(split(C881, "" ""),2)))"),"")</f>
        <v/>
      </c>
      <c r="X881" s="38" t="b">
        <f t="shared" si="2"/>
        <v>0</v>
      </c>
      <c r="Y881" s="38"/>
      <c r="Z881" s="40"/>
      <c r="AA881" s="40"/>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row>
    <row r="882">
      <c r="B882" s="341"/>
      <c r="C882" s="60"/>
      <c r="D882" s="60"/>
      <c r="E882" s="58"/>
      <c r="F882" s="58"/>
      <c r="G882" s="58"/>
      <c r="H882" s="33" t="str">
        <f t="shared" si="1"/>
        <v/>
      </c>
      <c r="I882" s="58"/>
      <c r="J882" s="58"/>
      <c r="K882" s="58"/>
      <c r="L882" s="38"/>
      <c r="M882" s="58"/>
      <c r="N882" s="58"/>
      <c r="O882" s="58"/>
      <c r="P882" s="80"/>
      <c r="Q882" s="77"/>
      <c r="R882" s="62"/>
      <c r="S882" s="62"/>
      <c r="T882" s="62"/>
      <c r="U882" s="62"/>
      <c r="V882" s="37" t="str">
        <f>IFERROR(__xludf.DUMMYFUNCTION("if(not(iserror(index(split(C882, "" ""),2))), index(split(C882, "" ""),1),"""")"),"")</f>
        <v/>
      </c>
      <c r="W882" s="315" t="str">
        <f>IFERROR(__xludf.DUMMYFUNCTION("if(V882="""",C882,if(not(iserror(index(split(C882, "" ""),3))), index(split(C882, "" ""),3),index(split(C882, "" ""),2)))"),"")</f>
        <v/>
      </c>
      <c r="X882" s="38" t="b">
        <f t="shared" si="2"/>
        <v>0</v>
      </c>
      <c r="Y882" s="38"/>
      <c r="Z882" s="40"/>
      <c r="AA882" s="40"/>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row>
    <row r="883">
      <c r="B883" s="341"/>
      <c r="C883" s="60"/>
      <c r="D883" s="60"/>
      <c r="E883" s="58"/>
      <c r="F883" s="58"/>
      <c r="G883" s="58"/>
      <c r="H883" s="33" t="str">
        <f t="shared" si="1"/>
        <v/>
      </c>
      <c r="I883" s="58"/>
      <c r="J883" s="58"/>
      <c r="K883" s="58"/>
      <c r="L883" s="38"/>
      <c r="M883" s="58"/>
      <c r="N883" s="58"/>
      <c r="O883" s="58"/>
      <c r="P883" s="80"/>
      <c r="Q883" s="77"/>
      <c r="R883" s="58"/>
      <c r="S883" s="58"/>
      <c r="T883" s="84"/>
      <c r="U883" s="62"/>
      <c r="V883" s="37" t="str">
        <f>IFERROR(__xludf.DUMMYFUNCTION("if(not(iserror(index(split(C883, "" ""),2))), index(split(C883, "" ""),1),"""")"),"")</f>
        <v/>
      </c>
      <c r="W883" s="315" t="str">
        <f>IFERROR(__xludf.DUMMYFUNCTION("if(V883="""",C883,if(not(iserror(index(split(C883, "" ""),3))), index(split(C883, "" ""),3),index(split(C883, "" ""),2)))"),"")</f>
        <v/>
      </c>
      <c r="X883" s="38" t="b">
        <f t="shared" si="2"/>
        <v>0</v>
      </c>
      <c r="Y883" s="38"/>
      <c r="Z883" s="40"/>
      <c r="AA883" s="40"/>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row>
    <row r="884">
      <c r="B884" s="341"/>
      <c r="C884" s="60"/>
      <c r="D884" s="60"/>
      <c r="E884" s="58"/>
      <c r="F884" s="58"/>
      <c r="G884" s="58"/>
      <c r="H884" s="33" t="str">
        <f t="shared" si="1"/>
        <v/>
      </c>
      <c r="I884" s="58"/>
      <c r="J884" s="58"/>
      <c r="K884" s="58"/>
      <c r="L884" s="38"/>
      <c r="M884" s="58"/>
      <c r="N884" s="58"/>
      <c r="O884" s="58"/>
      <c r="P884" s="80"/>
      <c r="Q884" s="80"/>
      <c r="T884" s="84"/>
      <c r="U884" s="62"/>
      <c r="V884" s="37" t="str">
        <f>IFERROR(__xludf.DUMMYFUNCTION("if(not(iserror(index(split(C884, "" ""),2))), index(split(C884, "" ""),1),"""")"),"")</f>
        <v/>
      </c>
      <c r="W884" s="315" t="str">
        <f>IFERROR(__xludf.DUMMYFUNCTION("if(V884="""",C884,if(not(iserror(index(split(C884, "" ""),3))), index(split(C884, "" ""),3),index(split(C884, "" ""),2)))"),"")</f>
        <v/>
      </c>
      <c r="X884" s="38" t="b">
        <f t="shared" si="2"/>
        <v>0</v>
      </c>
      <c r="Y884" s="38"/>
      <c r="Z884" s="40"/>
      <c r="AA884" s="40"/>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row>
    <row r="885">
      <c r="B885" s="341"/>
      <c r="C885" s="60"/>
      <c r="D885" s="60"/>
      <c r="E885" s="58"/>
      <c r="F885" s="58"/>
      <c r="G885" s="58"/>
      <c r="H885" s="33" t="str">
        <f t="shared" si="1"/>
        <v/>
      </c>
      <c r="I885" s="58"/>
      <c r="J885" s="58"/>
      <c r="K885" s="58"/>
      <c r="L885" s="38"/>
      <c r="M885" s="58"/>
      <c r="N885" s="58"/>
      <c r="O885" s="58"/>
      <c r="P885" s="80"/>
      <c r="Q885" s="77"/>
      <c r="R885" s="62"/>
      <c r="S885" s="62"/>
      <c r="T885" s="62"/>
      <c r="U885" s="62"/>
      <c r="V885" s="37" t="str">
        <f>IFERROR(__xludf.DUMMYFUNCTION("if(not(iserror(index(split(C885, "" ""),2))), index(split(C885, "" ""),1),"""")"),"")</f>
        <v/>
      </c>
      <c r="W885" s="315" t="str">
        <f>IFERROR(__xludf.DUMMYFUNCTION("if(V885="""",C885,if(not(iserror(index(split(C885, "" ""),3))), index(split(C885, "" ""),3),index(split(C885, "" ""),2)))"),"")</f>
        <v/>
      </c>
      <c r="X885" s="38" t="b">
        <f t="shared" si="2"/>
        <v>0</v>
      </c>
      <c r="Y885" s="38"/>
      <c r="Z885" s="40"/>
      <c r="AA885" s="40"/>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row>
    <row r="886">
      <c r="B886" s="341"/>
      <c r="C886" s="60"/>
      <c r="D886" s="60"/>
      <c r="E886" s="58"/>
      <c r="F886" s="58"/>
      <c r="G886" s="58"/>
      <c r="H886" s="33" t="str">
        <f t="shared" si="1"/>
        <v/>
      </c>
      <c r="I886" s="58"/>
      <c r="J886" s="58"/>
      <c r="K886" s="58"/>
      <c r="L886" s="38"/>
      <c r="M886" s="58"/>
      <c r="N886" s="58"/>
      <c r="O886" s="58"/>
      <c r="P886" s="80"/>
      <c r="Q886" s="77"/>
      <c r="R886" s="62"/>
      <c r="S886" s="62"/>
      <c r="T886" s="62"/>
      <c r="U886" s="62"/>
      <c r="V886" s="37" t="str">
        <f>IFERROR(__xludf.DUMMYFUNCTION("if(not(iserror(index(split(C886, "" ""),2))), index(split(C886, "" ""),1),"""")"),"")</f>
        <v/>
      </c>
      <c r="W886" s="315" t="str">
        <f>IFERROR(__xludf.DUMMYFUNCTION("if(V886="""",C886,if(not(iserror(index(split(C886, "" ""),3))), index(split(C886, "" ""),3),index(split(C886, "" ""),2)))"),"")</f>
        <v/>
      </c>
      <c r="X886" s="38" t="b">
        <f t="shared" si="2"/>
        <v>0</v>
      </c>
      <c r="Y886" s="38"/>
      <c r="Z886" s="40"/>
      <c r="AA886" s="40"/>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row>
    <row r="887">
      <c r="B887" s="341"/>
      <c r="C887" s="60"/>
      <c r="D887" s="60"/>
      <c r="E887" s="58"/>
      <c r="F887" s="58"/>
      <c r="G887" s="58"/>
      <c r="H887" s="33" t="str">
        <f t="shared" si="1"/>
        <v/>
      </c>
      <c r="I887" s="58"/>
      <c r="J887" s="58"/>
      <c r="K887" s="58"/>
      <c r="L887" s="38"/>
      <c r="M887" s="58"/>
      <c r="N887" s="58"/>
      <c r="O887" s="58"/>
      <c r="P887" s="80"/>
      <c r="Q887" s="77"/>
      <c r="R887" s="62"/>
      <c r="S887" s="62"/>
      <c r="T887" s="62"/>
      <c r="U887" s="62"/>
      <c r="V887" s="37" t="str">
        <f>IFERROR(__xludf.DUMMYFUNCTION("if(not(iserror(index(split(C887, "" ""),2))), index(split(C887, "" ""),1),"""")"),"")</f>
        <v/>
      </c>
      <c r="W887" s="315" t="str">
        <f>IFERROR(__xludf.DUMMYFUNCTION("if(V887="""",C887,if(not(iserror(index(split(C887, "" ""),3))), index(split(C887, "" ""),3),index(split(C887, "" ""),2)))"),"")</f>
        <v/>
      </c>
      <c r="X887" s="38" t="b">
        <f t="shared" si="2"/>
        <v>0</v>
      </c>
      <c r="Y887" s="38"/>
      <c r="Z887" s="40"/>
      <c r="AA887" s="40"/>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row>
    <row r="888">
      <c r="B888" s="341"/>
      <c r="C888" s="60"/>
      <c r="D888" s="60"/>
      <c r="E888" s="58"/>
      <c r="F888" s="58"/>
      <c r="G888" s="58"/>
      <c r="H888" s="33" t="str">
        <f t="shared" si="1"/>
        <v/>
      </c>
      <c r="I888" s="58"/>
      <c r="J888" s="58"/>
      <c r="K888" s="58"/>
      <c r="L888" s="38"/>
      <c r="M888" s="58"/>
      <c r="N888" s="58"/>
      <c r="O888" s="58"/>
      <c r="P888" s="80"/>
      <c r="Q888" s="77"/>
      <c r="R888" s="62"/>
      <c r="S888" s="62"/>
      <c r="T888" s="62"/>
      <c r="U888" s="62"/>
      <c r="V888" s="37" t="str">
        <f>IFERROR(__xludf.DUMMYFUNCTION("if(not(iserror(index(split(C888, "" ""),2))), index(split(C888, "" ""),1),"""")"),"")</f>
        <v/>
      </c>
      <c r="W888" s="315" t="str">
        <f>IFERROR(__xludf.DUMMYFUNCTION("if(V888="""",C888,if(not(iserror(index(split(C888, "" ""),3))), index(split(C888, "" ""),3),index(split(C888, "" ""),2)))"),"")</f>
        <v/>
      </c>
      <c r="X888" s="38" t="b">
        <f t="shared" si="2"/>
        <v>0</v>
      </c>
      <c r="Y888" s="38"/>
      <c r="Z888" s="40"/>
      <c r="AA888" s="40"/>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row>
    <row r="889">
      <c r="B889" s="341"/>
      <c r="C889" s="60"/>
      <c r="D889" s="60"/>
      <c r="E889" s="58"/>
      <c r="F889" s="58"/>
      <c r="G889" s="58"/>
      <c r="H889" s="33" t="str">
        <f t="shared" si="1"/>
        <v/>
      </c>
      <c r="I889" s="58"/>
      <c r="J889" s="58"/>
      <c r="K889" s="58"/>
      <c r="L889" s="38"/>
      <c r="M889" s="58"/>
      <c r="N889" s="58"/>
      <c r="O889" s="58"/>
      <c r="P889" s="80"/>
      <c r="Q889" s="77"/>
      <c r="R889" s="62"/>
      <c r="S889" s="62"/>
      <c r="T889" s="62"/>
      <c r="U889" s="62"/>
      <c r="V889" s="37" t="str">
        <f>IFERROR(__xludf.DUMMYFUNCTION("if(not(iserror(index(split(C889, "" ""),2))), index(split(C889, "" ""),1),"""")"),"")</f>
        <v/>
      </c>
      <c r="W889" s="315" t="str">
        <f>IFERROR(__xludf.DUMMYFUNCTION("if(V889="""",C889,if(not(iserror(index(split(C889, "" ""),3))), index(split(C889, "" ""),3),index(split(C889, "" ""),2)))"),"")</f>
        <v/>
      </c>
      <c r="X889" s="38" t="b">
        <f t="shared" si="2"/>
        <v>0</v>
      </c>
      <c r="Y889" s="38"/>
      <c r="Z889" s="40"/>
      <c r="AA889" s="40"/>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row>
    <row r="890">
      <c r="B890" s="341"/>
      <c r="C890" s="60"/>
      <c r="D890" s="60"/>
      <c r="E890" s="58"/>
      <c r="F890" s="58"/>
      <c r="G890" s="58"/>
      <c r="H890" s="33" t="str">
        <f t="shared" si="1"/>
        <v/>
      </c>
      <c r="I890" s="58"/>
      <c r="J890" s="58"/>
      <c r="K890" s="58"/>
      <c r="L890" s="38"/>
      <c r="M890" s="58"/>
      <c r="N890" s="58"/>
      <c r="O890" s="58"/>
      <c r="P890" s="80"/>
      <c r="Q890" s="77"/>
      <c r="R890" s="62"/>
      <c r="S890" s="62"/>
      <c r="T890" s="62"/>
      <c r="U890" s="62"/>
      <c r="V890" s="37" t="str">
        <f>IFERROR(__xludf.DUMMYFUNCTION("if(not(iserror(index(split(C890, "" ""),2))), index(split(C890, "" ""),1),"""")"),"")</f>
        <v/>
      </c>
      <c r="W890" s="315" t="str">
        <f>IFERROR(__xludf.DUMMYFUNCTION("if(V890="""",C890,if(not(iserror(index(split(C890, "" ""),3))), index(split(C890, "" ""),3),index(split(C890, "" ""),2)))"),"")</f>
        <v/>
      </c>
      <c r="X890" s="38" t="b">
        <f t="shared" si="2"/>
        <v>0</v>
      </c>
      <c r="Y890" s="38"/>
      <c r="Z890" s="40"/>
      <c r="AA890" s="40"/>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row>
    <row r="891">
      <c r="B891" s="341"/>
      <c r="C891" s="60"/>
      <c r="D891" s="60"/>
      <c r="E891" s="58"/>
      <c r="F891" s="58"/>
      <c r="G891" s="58"/>
      <c r="H891" s="33" t="str">
        <f t="shared" si="1"/>
        <v/>
      </c>
      <c r="I891" s="58"/>
      <c r="J891" s="58"/>
      <c r="K891" s="58"/>
      <c r="L891" s="38"/>
      <c r="M891" s="58"/>
      <c r="N891" s="58"/>
      <c r="O891" s="58"/>
      <c r="P891" s="80"/>
      <c r="Q891" s="77"/>
      <c r="R891" s="62"/>
      <c r="S891" s="62"/>
      <c r="T891" s="62"/>
      <c r="U891" s="62"/>
      <c r="V891" s="37" t="str">
        <f>IFERROR(__xludf.DUMMYFUNCTION("if(not(iserror(index(split(C891, "" ""),2))), index(split(C891, "" ""),1),"""")"),"")</f>
        <v/>
      </c>
      <c r="W891" s="315" t="str">
        <f>IFERROR(__xludf.DUMMYFUNCTION("if(V891="""",C891,if(not(iserror(index(split(C891, "" ""),3))), index(split(C891, "" ""),3),index(split(C891, "" ""),2)))"),"")</f>
        <v/>
      </c>
      <c r="X891" s="38" t="b">
        <f t="shared" si="2"/>
        <v>0</v>
      </c>
      <c r="Y891" s="38"/>
      <c r="Z891" s="40"/>
      <c r="AA891" s="40"/>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row>
    <row r="892">
      <c r="B892" s="341"/>
      <c r="C892" s="60"/>
      <c r="D892" s="60"/>
      <c r="E892" s="58"/>
      <c r="F892" s="58"/>
      <c r="G892" s="58"/>
      <c r="H892" s="33" t="str">
        <f t="shared" si="1"/>
        <v/>
      </c>
      <c r="I892" s="58"/>
      <c r="J892" s="58"/>
      <c r="K892" s="58"/>
      <c r="L892" s="38"/>
      <c r="M892" s="58"/>
      <c r="N892" s="58"/>
      <c r="O892" s="58"/>
      <c r="P892" s="80"/>
      <c r="Q892" s="77"/>
      <c r="R892" s="62"/>
      <c r="S892" s="62"/>
      <c r="T892" s="62"/>
      <c r="U892" s="62"/>
      <c r="V892" s="37" t="str">
        <f>IFERROR(__xludf.DUMMYFUNCTION("if(not(iserror(index(split(C892, "" ""),2))), index(split(C892, "" ""),1),"""")"),"")</f>
        <v/>
      </c>
      <c r="W892" s="315" t="str">
        <f>IFERROR(__xludf.DUMMYFUNCTION("if(V892="""",C892,if(not(iserror(index(split(C892, "" ""),3))), index(split(C892, "" ""),3),index(split(C892, "" ""),2)))"),"")</f>
        <v/>
      </c>
      <c r="X892" s="38" t="b">
        <f t="shared" si="2"/>
        <v>0</v>
      </c>
      <c r="Y892" s="38"/>
      <c r="Z892" s="40"/>
      <c r="AA892" s="40"/>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row>
    <row r="893">
      <c r="B893" s="341"/>
      <c r="C893" s="60"/>
      <c r="D893" s="60"/>
      <c r="E893" s="58"/>
      <c r="F893" s="58"/>
      <c r="G893" s="58"/>
      <c r="H893" s="33" t="str">
        <f t="shared" si="1"/>
        <v/>
      </c>
      <c r="I893" s="58"/>
      <c r="J893" s="58"/>
      <c r="K893" s="58"/>
      <c r="L893" s="38"/>
      <c r="M893" s="58"/>
      <c r="N893" s="58"/>
      <c r="O893" s="58"/>
      <c r="P893" s="80"/>
      <c r="Q893" s="77"/>
      <c r="R893" s="62"/>
      <c r="S893" s="62"/>
      <c r="T893" s="62"/>
      <c r="U893" s="62"/>
      <c r="V893" s="37" t="str">
        <f>IFERROR(__xludf.DUMMYFUNCTION("if(not(iserror(index(split(C893, "" ""),2))), index(split(C893, "" ""),1),"""")"),"")</f>
        <v/>
      </c>
      <c r="W893" s="315" t="str">
        <f>IFERROR(__xludf.DUMMYFUNCTION("if(V893="""",C893,if(not(iserror(index(split(C893, "" ""),3))), index(split(C893, "" ""),3),index(split(C893, "" ""),2)))"),"")</f>
        <v/>
      </c>
      <c r="X893" s="38" t="b">
        <f t="shared" si="2"/>
        <v>0</v>
      </c>
      <c r="Y893" s="38"/>
      <c r="Z893" s="40"/>
      <c r="AA893" s="40"/>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row>
    <row r="894">
      <c r="B894" s="341"/>
      <c r="C894" s="60"/>
      <c r="D894" s="60"/>
      <c r="E894" s="58"/>
      <c r="F894" s="58"/>
      <c r="G894" s="58"/>
      <c r="H894" s="33" t="str">
        <f t="shared" si="1"/>
        <v/>
      </c>
      <c r="I894" s="58"/>
      <c r="J894" s="58"/>
      <c r="K894" s="58"/>
      <c r="L894" s="38"/>
      <c r="M894" s="58"/>
      <c r="N894" s="58"/>
      <c r="O894" s="58"/>
      <c r="P894" s="80"/>
      <c r="Q894" s="77"/>
      <c r="R894" s="62"/>
      <c r="S894" s="62"/>
      <c r="T894" s="62"/>
      <c r="U894" s="62"/>
      <c r="V894" s="37" t="str">
        <f>IFERROR(__xludf.DUMMYFUNCTION("if(not(iserror(index(split(C894, "" ""),2))), index(split(C894, "" ""),1),"""")"),"")</f>
        <v/>
      </c>
      <c r="W894" s="315" t="str">
        <f>IFERROR(__xludf.DUMMYFUNCTION("if(V894="""",C894,if(not(iserror(index(split(C894, "" ""),3))), index(split(C894, "" ""),3),index(split(C894, "" ""),2)))"),"")</f>
        <v/>
      </c>
      <c r="X894" s="38" t="b">
        <f t="shared" si="2"/>
        <v>0</v>
      </c>
      <c r="Y894" s="38"/>
      <c r="Z894" s="40"/>
      <c r="AA894" s="40"/>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row>
    <row r="895">
      <c r="B895" s="341"/>
      <c r="C895" s="60"/>
      <c r="D895" s="60"/>
      <c r="E895" s="58"/>
      <c r="F895" s="58"/>
      <c r="G895" s="58"/>
      <c r="H895" s="33" t="str">
        <f t="shared" si="1"/>
        <v/>
      </c>
      <c r="I895" s="58"/>
      <c r="J895" s="58"/>
      <c r="K895" s="58"/>
      <c r="L895" s="38"/>
      <c r="M895" s="58"/>
      <c r="N895" s="58"/>
      <c r="O895" s="58"/>
      <c r="P895" s="80"/>
      <c r="Q895" s="77"/>
      <c r="R895" s="62"/>
      <c r="S895" s="62"/>
      <c r="T895" s="62"/>
      <c r="U895" s="62"/>
      <c r="V895" s="37" t="str">
        <f>IFERROR(__xludf.DUMMYFUNCTION("if(not(iserror(index(split(C895, "" ""),2))), index(split(C895, "" ""),1),"""")"),"")</f>
        <v/>
      </c>
      <c r="W895" s="315" t="str">
        <f>IFERROR(__xludf.DUMMYFUNCTION("if(V895="""",C895,if(not(iserror(index(split(C895, "" ""),3))), index(split(C895, "" ""),3),index(split(C895, "" ""),2)))"),"")</f>
        <v/>
      </c>
      <c r="X895" s="38" t="b">
        <f t="shared" si="2"/>
        <v>0</v>
      </c>
      <c r="Y895" s="38"/>
      <c r="Z895" s="40"/>
      <c r="AA895" s="40"/>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row>
    <row r="896">
      <c r="B896" s="341"/>
      <c r="C896" s="60"/>
      <c r="D896" s="60"/>
      <c r="E896" s="58"/>
      <c r="F896" s="58"/>
      <c r="G896" s="58"/>
      <c r="H896" s="33" t="str">
        <f t="shared" si="1"/>
        <v/>
      </c>
      <c r="I896" s="58"/>
      <c r="J896" s="58"/>
      <c r="K896" s="58"/>
      <c r="L896" s="38"/>
      <c r="M896" s="58"/>
      <c r="N896" s="58"/>
      <c r="O896" s="58"/>
      <c r="P896" s="80"/>
      <c r="Q896" s="77"/>
      <c r="R896" s="62"/>
      <c r="S896" s="62"/>
      <c r="T896" s="62"/>
      <c r="U896" s="62"/>
      <c r="V896" s="37" t="str">
        <f>IFERROR(__xludf.DUMMYFUNCTION("if(not(iserror(index(split(C896, "" ""),2))), index(split(C896, "" ""),1),"""")"),"")</f>
        <v/>
      </c>
      <c r="W896" s="315" t="str">
        <f>IFERROR(__xludf.DUMMYFUNCTION("if(V896="""",C896,if(not(iserror(index(split(C896, "" ""),3))), index(split(C896, "" ""),3),index(split(C896, "" ""),2)))"),"")</f>
        <v/>
      </c>
      <c r="X896" s="38" t="b">
        <f t="shared" si="2"/>
        <v>0</v>
      </c>
      <c r="Y896" s="38"/>
      <c r="Z896" s="40"/>
      <c r="AA896" s="40"/>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row>
    <row r="897">
      <c r="B897" s="341"/>
      <c r="C897" s="60"/>
      <c r="D897" s="60"/>
      <c r="E897" s="58"/>
      <c r="F897" s="58"/>
      <c r="G897" s="58"/>
      <c r="H897" s="33" t="str">
        <f t="shared" si="1"/>
        <v/>
      </c>
      <c r="I897" s="58"/>
      <c r="J897" s="58"/>
      <c r="K897" s="58"/>
      <c r="L897" s="38"/>
      <c r="M897" s="58"/>
      <c r="N897" s="58"/>
      <c r="O897" s="58"/>
      <c r="P897" s="106"/>
      <c r="Q897" s="77"/>
      <c r="R897" s="62"/>
      <c r="S897" s="62"/>
      <c r="T897" s="62"/>
      <c r="U897" s="62"/>
      <c r="V897" s="37" t="str">
        <f>IFERROR(__xludf.DUMMYFUNCTION("if(not(iserror(index(split(C897, "" ""),2))), index(split(C897, "" ""),1),"""")"),"")</f>
        <v/>
      </c>
      <c r="W897" s="315" t="str">
        <f>IFERROR(__xludf.DUMMYFUNCTION("if(V897="""",C897,if(not(iserror(index(split(C897, "" ""),3))), index(split(C897, "" ""),3),index(split(C897, "" ""),2)))"),"")</f>
        <v/>
      </c>
      <c r="X897" s="38" t="b">
        <f t="shared" si="2"/>
        <v>0</v>
      </c>
      <c r="Y897" s="38"/>
      <c r="Z897" s="40"/>
      <c r="AA897" s="40"/>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row>
    <row r="898">
      <c r="B898" s="341"/>
      <c r="C898" s="60"/>
      <c r="D898" s="60"/>
      <c r="E898" s="58"/>
      <c r="F898" s="58"/>
      <c r="G898" s="58"/>
      <c r="H898" s="33" t="str">
        <f t="shared" si="1"/>
        <v/>
      </c>
      <c r="I898" s="58"/>
      <c r="J898" s="58"/>
      <c r="K898" s="58"/>
      <c r="L898" s="38"/>
      <c r="M898" s="58"/>
      <c r="N898" s="58"/>
      <c r="O898" s="58"/>
      <c r="P898" s="80"/>
      <c r="Q898" s="77"/>
      <c r="R898" s="58"/>
      <c r="S898" s="58"/>
      <c r="T898" s="84"/>
      <c r="U898" s="62"/>
      <c r="V898" s="37" t="str">
        <f>IFERROR(__xludf.DUMMYFUNCTION("if(not(iserror(index(split(C898, "" ""),2))), index(split(C898, "" ""),1),"""")"),"")</f>
        <v/>
      </c>
      <c r="W898" s="315" t="str">
        <f>IFERROR(__xludf.DUMMYFUNCTION("if(V898="""",C898,if(not(iserror(index(split(C898, "" ""),3))), index(split(C898, "" ""),3),index(split(C898, "" ""),2)))"),"")</f>
        <v/>
      </c>
      <c r="X898" s="38" t="b">
        <f t="shared" si="2"/>
        <v>0</v>
      </c>
      <c r="Y898" s="38"/>
      <c r="Z898" s="40"/>
      <c r="AA898" s="40"/>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row>
    <row r="899">
      <c r="B899" s="341"/>
      <c r="C899" s="60"/>
      <c r="D899" s="60"/>
      <c r="E899" s="58"/>
      <c r="F899" s="58"/>
      <c r="G899" s="58"/>
      <c r="H899" s="33" t="str">
        <f t="shared" si="1"/>
        <v/>
      </c>
      <c r="I899" s="58"/>
      <c r="J899" s="58"/>
      <c r="K899" s="58"/>
      <c r="L899" s="38"/>
      <c r="M899" s="58"/>
      <c r="N899" s="58"/>
      <c r="O899" s="58"/>
      <c r="P899" s="80"/>
      <c r="Q899" s="77"/>
      <c r="R899" s="58"/>
      <c r="S899" s="58"/>
      <c r="T899" s="84"/>
      <c r="U899" s="62"/>
      <c r="V899" s="37" t="str">
        <f>IFERROR(__xludf.DUMMYFUNCTION("if(not(iserror(index(split(C899, "" ""),2))), index(split(C899, "" ""),1),"""")"),"")</f>
        <v/>
      </c>
      <c r="W899" s="315" t="str">
        <f>IFERROR(__xludf.DUMMYFUNCTION("if(V899="""",C899,if(not(iserror(index(split(C899, "" ""),3))), index(split(C899, "" ""),3),index(split(C899, "" ""),2)))"),"")</f>
        <v/>
      </c>
      <c r="X899" s="38" t="b">
        <f t="shared" si="2"/>
        <v>0</v>
      </c>
      <c r="Y899" s="38"/>
      <c r="Z899" s="40"/>
      <c r="AA899" s="40"/>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row>
    <row r="900">
      <c r="B900" s="341"/>
      <c r="C900" s="60"/>
      <c r="D900" s="60"/>
      <c r="E900" s="58"/>
      <c r="F900" s="58"/>
      <c r="G900" s="58"/>
      <c r="H900" s="33" t="str">
        <f t="shared" si="1"/>
        <v/>
      </c>
      <c r="I900" s="58"/>
      <c r="J900" s="58"/>
      <c r="K900" s="58"/>
      <c r="L900" s="38"/>
      <c r="M900" s="58"/>
      <c r="N900" s="58"/>
      <c r="O900" s="58"/>
      <c r="P900" s="80"/>
      <c r="Q900" s="77"/>
      <c r="R900" s="58"/>
      <c r="S900" s="58"/>
      <c r="T900" s="84"/>
      <c r="U900" s="62"/>
      <c r="V900" s="37" t="str">
        <f>IFERROR(__xludf.DUMMYFUNCTION("if(not(iserror(index(split(C900, "" ""),2))), index(split(C900, "" ""),1),"""")"),"")</f>
        <v/>
      </c>
      <c r="W900" s="315" t="str">
        <f>IFERROR(__xludf.DUMMYFUNCTION("if(V900="""",C900,if(not(iserror(index(split(C900, "" ""),3))), index(split(C900, "" ""),3),index(split(C900, "" ""),2)))"),"")</f>
        <v/>
      </c>
      <c r="X900" s="38" t="b">
        <f t="shared" si="2"/>
        <v>0</v>
      </c>
      <c r="Y900" s="38"/>
      <c r="Z900" s="40"/>
      <c r="AA900" s="40"/>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row>
    <row r="901">
      <c r="B901" s="341"/>
      <c r="C901" s="60"/>
      <c r="D901" s="60"/>
      <c r="E901" s="58"/>
      <c r="F901" s="58"/>
      <c r="G901" s="58"/>
      <c r="H901" s="33" t="str">
        <f t="shared" si="1"/>
        <v/>
      </c>
      <c r="I901" s="58"/>
      <c r="J901" s="58"/>
      <c r="K901" s="58"/>
      <c r="L901" s="38"/>
      <c r="M901" s="58"/>
      <c r="N901" s="58"/>
      <c r="O901" s="58"/>
      <c r="P901" s="80"/>
      <c r="Q901" s="77"/>
      <c r="R901" s="58"/>
      <c r="S901" s="58"/>
      <c r="T901" s="84"/>
      <c r="U901" s="62"/>
      <c r="V901" s="37" t="str">
        <f>IFERROR(__xludf.DUMMYFUNCTION("if(not(iserror(index(split(C901, "" ""),2))), index(split(C901, "" ""),1),"""")"),"")</f>
        <v/>
      </c>
      <c r="W901" s="315" t="str">
        <f>IFERROR(__xludf.DUMMYFUNCTION("if(V901="""",C901,if(not(iserror(index(split(C901, "" ""),3))), index(split(C901, "" ""),3),index(split(C901, "" ""),2)))"),"")</f>
        <v/>
      </c>
      <c r="X901" s="38" t="b">
        <f t="shared" si="2"/>
        <v>0</v>
      </c>
      <c r="Y901" s="38"/>
      <c r="Z901" s="40"/>
      <c r="AA901" s="40"/>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row>
    <row r="902">
      <c r="B902" s="341"/>
      <c r="C902" s="60"/>
      <c r="D902" s="60"/>
      <c r="E902" s="58"/>
      <c r="F902" s="58"/>
      <c r="G902" s="58"/>
      <c r="H902" s="33" t="str">
        <f t="shared" si="1"/>
        <v/>
      </c>
      <c r="I902" s="58"/>
      <c r="J902" s="58"/>
      <c r="K902" s="58"/>
      <c r="L902" s="38"/>
      <c r="M902" s="58"/>
      <c r="N902" s="58"/>
      <c r="O902" s="58"/>
      <c r="P902" s="80"/>
      <c r="Q902" s="77"/>
      <c r="R902" s="58"/>
      <c r="S902" s="58"/>
      <c r="T902" s="84"/>
      <c r="U902" s="62"/>
      <c r="V902" s="37" t="str">
        <f>IFERROR(__xludf.DUMMYFUNCTION("if(not(iserror(index(split(C902, "" ""),2))), index(split(C902, "" ""),1),"""")"),"")</f>
        <v/>
      </c>
      <c r="W902" s="315" t="str">
        <f>IFERROR(__xludf.DUMMYFUNCTION("if(V902="""",C902,if(not(iserror(index(split(C902, "" ""),3))), index(split(C902, "" ""),3),index(split(C902, "" ""),2)))"),"")</f>
        <v/>
      </c>
      <c r="X902" s="38" t="b">
        <f t="shared" si="2"/>
        <v>0</v>
      </c>
      <c r="Y902" s="38"/>
      <c r="Z902" s="40"/>
      <c r="AA902" s="40"/>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row>
    <row r="903">
      <c r="B903" s="341"/>
      <c r="C903" s="60"/>
      <c r="D903" s="60"/>
      <c r="E903" s="58"/>
      <c r="F903" s="58"/>
      <c r="G903" s="58"/>
      <c r="H903" s="33" t="str">
        <f t="shared" si="1"/>
        <v/>
      </c>
      <c r="I903" s="58"/>
      <c r="J903" s="58"/>
      <c r="K903" s="58"/>
      <c r="L903" s="38"/>
      <c r="M903" s="58"/>
      <c r="N903" s="58"/>
      <c r="O903" s="58"/>
      <c r="P903" s="80"/>
      <c r="Q903" s="77"/>
      <c r="R903" s="58"/>
      <c r="S903" s="58"/>
      <c r="T903" s="84"/>
      <c r="U903" s="62"/>
      <c r="V903" s="37" t="str">
        <f>IFERROR(__xludf.DUMMYFUNCTION("if(not(iserror(index(split(C903, "" ""),2))), index(split(C903, "" ""),1),"""")"),"")</f>
        <v/>
      </c>
      <c r="W903" s="315" t="str">
        <f>IFERROR(__xludf.DUMMYFUNCTION("if(V903="""",C903,if(not(iserror(index(split(C903, "" ""),3))), index(split(C903, "" ""),3),index(split(C903, "" ""),2)))"),"")</f>
        <v/>
      </c>
      <c r="X903" s="38" t="b">
        <f t="shared" si="2"/>
        <v>0</v>
      </c>
      <c r="Y903" s="38"/>
      <c r="Z903" s="40"/>
      <c r="AA903" s="40"/>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row>
    <row r="904">
      <c r="B904" s="341"/>
      <c r="C904" s="60"/>
      <c r="D904" s="60"/>
      <c r="E904" s="58"/>
      <c r="F904" s="58"/>
      <c r="G904" s="58"/>
      <c r="H904" s="33" t="str">
        <f t="shared" si="1"/>
        <v/>
      </c>
      <c r="I904" s="58"/>
      <c r="J904" s="58"/>
      <c r="K904" s="58"/>
      <c r="L904" s="38"/>
      <c r="M904" s="58"/>
      <c r="N904" s="58"/>
      <c r="O904" s="58"/>
      <c r="P904" s="80"/>
      <c r="Q904" s="77"/>
      <c r="R904" s="58"/>
      <c r="S904" s="58"/>
      <c r="T904" s="84"/>
      <c r="U904" s="62"/>
      <c r="V904" s="37" t="str">
        <f>IFERROR(__xludf.DUMMYFUNCTION("if(not(iserror(index(split(C904, "" ""),2))), index(split(C904, "" ""),1),"""")"),"")</f>
        <v/>
      </c>
      <c r="W904" s="315" t="str">
        <f>IFERROR(__xludf.DUMMYFUNCTION("if(V904="""",C904,if(not(iserror(index(split(C904, "" ""),3))), index(split(C904, "" ""),3),index(split(C904, "" ""),2)))"),"")</f>
        <v/>
      </c>
      <c r="X904" s="38" t="b">
        <f t="shared" si="2"/>
        <v>0</v>
      </c>
      <c r="Y904" s="38"/>
      <c r="Z904" s="40"/>
      <c r="AA904" s="40"/>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row>
    <row r="905">
      <c r="B905" s="341"/>
      <c r="C905" s="60"/>
      <c r="D905" s="60"/>
      <c r="E905" s="58"/>
      <c r="F905" s="58"/>
      <c r="G905" s="58"/>
      <c r="H905" s="33" t="str">
        <f t="shared" si="1"/>
        <v/>
      </c>
      <c r="I905" s="58"/>
      <c r="J905" s="58"/>
      <c r="K905" s="58"/>
      <c r="L905" s="38"/>
      <c r="M905" s="58"/>
      <c r="N905" s="58"/>
      <c r="O905" s="58"/>
      <c r="P905" s="80"/>
      <c r="Q905" s="77"/>
      <c r="R905" s="58"/>
      <c r="S905" s="58"/>
      <c r="T905" s="84"/>
      <c r="U905" s="62"/>
      <c r="V905" s="37" t="str">
        <f>IFERROR(__xludf.DUMMYFUNCTION("if(not(iserror(index(split(C905, "" ""),2))), index(split(C905, "" ""),1),"""")"),"")</f>
        <v/>
      </c>
      <c r="W905" s="315" t="str">
        <f>IFERROR(__xludf.DUMMYFUNCTION("if(V905="""",C905,if(not(iserror(index(split(C905, "" ""),3))), index(split(C905, "" ""),3),index(split(C905, "" ""),2)))"),"")</f>
        <v/>
      </c>
      <c r="X905" s="38" t="b">
        <f t="shared" si="2"/>
        <v>0</v>
      </c>
      <c r="Y905" s="38"/>
      <c r="Z905" s="40"/>
      <c r="AA905" s="40"/>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row>
    <row r="906">
      <c r="B906" s="341"/>
      <c r="C906" s="60"/>
      <c r="D906" s="60"/>
      <c r="E906" s="58"/>
      <c r="F906" s="58"/>
      <c r="G906" s="58"/>
      <c r="H906" s="33" t="str">
        <f t="shared" si="1"/>
        <v/>
      </c>
      <c r="I906" s="58"/>
      <c r="J906" s="58"/>
      <c r="K906" s="58"/>
      <c r="L906" s="38"/>
      <c r="M906" s="58"/>
      <c r="N906" s="58"/>
      <c r="O906" s="58"/>
      <c r="P906" s="80"/>
      <c r="Q906" s="77"/>
      <c r="R906" s="62"/>
      <c r="S906" s="62"/>
      <c r="T906" s="62"/>
      <c r="U906" s="62"/>
      <c r="V906" s="37" t="str">
        <f>IFERROR(__xludf.DUMMYFUNCTION("if(not(iserror(index(split(C906, "" ""),2))), index(split(C906, "" ""),1),"""")"),"")</f>
        <v/>
      </c>
      <c r="W906" s="315" t="str">
        <f>IFERROR(__xludf.DUMMYFUNCTION("if(V906="""",C906,if(not(iserror(index(split(C906, "" ""),3))), index(split(C906, "" ""),3),index(split(C906, "" ""),2)))"),"")</f>
        <v/>
      </c>
      <c r="X906" s="38" t="b">
        <f t="shared" si="2"/>
        <v>0</v>
      </c>
      <c r="Y906" s="38"/>
      <c r="Z906" s="40"/>
      <c r="AA906" s="40"/>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row>
    <row r="907">
      <c r="B907" s="341"/>
      <c r="C907" s="60"/>
      <c r="D907" s="60"/>
      <c r="E907" s="58"/>
      <c r="F907" s="58"/>
      <c r="G907" s="58"/>
      <c r="H907" s="33" t="str">
        <f t="shared" si="1"/>
        <v/>
      </c>
      <c r="I907" s="58"/>
      <c r="J907" s="58"/>
      <c r="K907" s="58"/>
      <c r="L907" s="38"/>
      <c r="M907" s="58"/>
      <c r="N907" s="58"/>
      <c r="O907" s="58"/>
      <c r="P907" s="80"/>
      <c r="Q907" s="77"/>
      <c r="R907" s="62"/>
      <c r="S907" s="62"/>
      <c r="T907" s="84"/>
      <c r="U907" s="62"/>
      <c r="V907" s="37" t="str">
        <f>IFERROR(__xludf.DUMMYFUNCTION("if(not(iserror(index(split(C907, "" ""),2))), index(split(C907, "" ""),1),"""")"),"")</f>
        <v/>
      </c>
      <c r="W907" s="315" t="str">
        <f>IFERROR(__xludf.DUMMYFUNCTION("if(V907="""",C907,if(not(iserror(index(split(C907, "" ""),3))), index(split(C907, "" ""),3),index(split(C907, "" ""),2)))"),"")</f>
        <v/>
      </c>
      <c r="X907" s="38" t="b">
        <f t="shared" si="2"/>
        <v>0</v>
      </c>
      <c r="Y907" s="38"/>
      <c r="Z907" s="40"/>
      <c r="AA907" s="40"/>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row>
    <row r="908">
      <c r="B908" s="341"/>
      <c r="C908" s="60"/>
      <c r="D908" s="60"/>
      <c r="E908" s="58"/>
      <c r="F908" s="58"/>
      <c r="G908" s="58"/>
      <c r="H908" s="33" t="str">
        <f t="shared" si="1"/>
        <v/>
      </c>
      <c r="I908" s="58"/>
      <c r="J908" s="58"/>
      <c r="K908" s="58"/>
      <c r="L908" s="38"/>
      <c r="M908" s="58"/>
      <c r="N908" s="58"/>
      <c r="O908" s="58"/>
      <c r="P908" s="80"/>
      <c r="Q908" s="77"/>
      <c r="R908" s="62"/>
      <c r="S908" s="62"/>
      <c r="T908" s="62"/>
      <c r="U908" s="62"/>
      <c r="V908" s="37" t="str">
        <f>IFERROR(__xludf.DUMMYFUNCTION("if(not(iserror(index(split(C908, "" ""),2))), index(split(C908, "" ""),1),"""")"),"")</f>
        <v/>
      </c>
      <c r="W908" s="315" t="str">
        <f>IFERROR(__xludf.DUMMYFUNCTION("if(V908="""",C908,if(not(iserror(index(split(C908, "" ""),3))), index(split(C908, "" ""),3),index(split(C908, "" ""),2)))"),"")</f>
        <v/>
      </c>
      <c r="X908" s="38" t="b">
        <f t="shared" si="2"/>
        <v>0</v>
      </c>
      <c r="Y908" s="38"/>
      <c r="Z908" s="40"/>
      <c r="AA908" s="40"/>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row>
    <row r="909">
      <c r="B909" s="341"/>
      <c r="C909" s="60"/>
      <c r="D909" s="60"/>
      <c r="E909" s="58"/>
      <c r="F909" s="58"/>
      <c r="G909" s="58"/>
      <c r="H909" s="33" t="str">
        <f t="shared" si="1"/>
        <v/>
      </c>
      <c r="I909" s="58"/>
      <c r="J909" s="58"/>
      <c r="K909" s="58"/>
      <c r="L909" s="38"/>
      <c r="M909" s="58"/>
      <c r="N909" s="58"/>
      <c r="O909" s="58"/>
      <c r="P909" s="80"/>
      <c r="Q909" s="77"/>
      <c r="R909" s="62"/>
      <c r="S909" s="62"/>
      <c r="T909" s="62"/>
      <c r="U909" s="62"/>
      <c r="V909" s="37" t="str">
        <f>IFERROR(__xludf.DUMMYFUNCTION("if(not(iserror(index(split(C909, "" ""),2))), index(split(C909, "" ""),1),"""")"),"")</f>
        <v/>
      </c>
      <c r="W909" s="315" t="str">
        <f>IFERROR(__xludf.DUMMYFUNCTION("if(V909="""",C909,if(not(iserror(index(split(C909, "" ""),3))), index(split(C909, "" ""),3),index(split(C909, "" ""),2)))"),"")</f>
        <v/>
      </c>
      <c r="X909" s="38" t="b">
        <f t="shared" si="2"/>
        <v>0</v>
      </c>
      <c r="Y909" s="38"/>
      <c r="Z909" s="40"/>
      <c r="AA909" s="40"/>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row>
    <row r="910">
      <c r="A910" s="58"/>
      <c r="B910" s="341"/>
      <c r="C910" s="60"/>
      <c r="D910" s="60"/>
      <c r="E910" s="58"/>
      <c r="F910" s="58"/>
      <c r="G910" s="58"/>
      <c r="H910" s="33" t="str">
        <f t="shared" si="1"/>
        <v/>
      </c>
      <c r="I910" s="58"/>
      <c r="J910" s="58"/>
      <c r="K910" s="58"/>
      <c r="L910" s="38"/>
      <c r="M910" s="58"/>
      <c r="N910" s="58"/>
      <c r="O910" s="58"/>
      <c r="P910" s="80"/>
      <c r="Q910" s="77"/>
      <c r="R910" s="62"/>
      <c r="S910" s="62"/>
      <c r="T910" s="62"/>
      <c r="U910" s="62"/>
      <c r="V910" s="37" t="str">
        <f>IFERROR(__xludf.DUMMYFUNCTION("if(not(iserror(index(split(C910, "" ""),2))), index(split(C910, "" ""),1),"""")"),"")</f>
        <v/>
      </c>
      <c r="W910" s="315" t="str">
        <f>IFERROR(__xludf.DUMMYFUNCTION("if(V910="""",C910,if(not(iserror(index(split(C910, "" ""),3))), index(split(C910, "" ""),3),index(split(C910, "" ""),2)))"),"")</f>
        <v/>
      </c>
      <c r="X910" s="38" t="b">
        <f t="shared" si="2"/>
        <v>0</v>
      </c>
      <c r="Y910" s="38"/>
      <c r="Z910" s="40"/>
      <c r="AA910" s="40"/>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row>
    <row r="911">
      <c r="A911" s="58"/>
      <c r="B911" s="341"/>
      <c r="C911" s="60"/>
      <c r="D911" s="60"/>
      <c r="E911" s="58"/>
      <c r="F911" s="58"/>
      <c r="G911" s="58"/>
      <c r="H911" s="33" t="str">
        <f t="shared" si="1"/>
        <v/>
      </c>
      <c r="I911" s="58"/>
      <c r="J911" s="58"/>
      <c r="K911" s="58"/>
      <c r="L911" s="38"/>
      <c r="M911" s="58"/>
      <c r="N911" s="58"/>
      <c r="O911" s="58"/>
      <c r="P911" s="80"/>
      <c r="Q911" s="77"/>
      <c r="R911" s="62"/>
      <c r="S911" s="62"/>
      <c r="T911" s="62"/>
      <c r="U911" s="62"/>
      <c r="V911" s="37" t="str">
        <f>IFERROR(__xludf.DUMMYFUNCTION("if(not(iserror(index(split(C911, "" ""),2))), index(split(C911, "" ""),1),"""")"),"")</f>
        <v/>
      </c>
      <c r="W911" s="315" t="str">
        <f>IFERROR(__xludf.DUMMYFUNCTION("if(V911="""",C911,if(not(iserror(index(split(C911, "" ""),3))), index(split(C911, "" ""),3),index(split(C911, "" ""),2)))"),"")</f>
        <v/>
      </c>
      <c r="X911" s="38" t="b">
        <f t="shared" si="2"/>
        <v>0</v>
      </c>
      <c r="Y911" s="38"/>
      <c r="Z911" s="40"/>
      <c r="AA911" s="40"/>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row>
    <row r="912">
      <c r="A912" s="58"/>
      <c r="B912" s="341"/>
      <c r="C912" s="60"/>
      <c r="D912" s="60"/>
      <c r="E912" s="58"/>
      <c r="F912" s="58"/>
      <c r="G912" s="58"/>
      <c r="H912" s="33" t="str">
        <f t="shared" si="1"/>
        <v/>
      </c>
      <c r="I912" s="58"/>
      <c r="J912" s="58"/>
      <c r="K912" s="58"/>
      <c r="L912" s="38"/>
      <c r="M912" s="58"/>
      <c r="N912" s="58"/>
      <c r="O912" s="58"/>
      <c r="P912" s="80"/>
      <c r="Q912" s="77"/>
      <c r="R912" s="62"/>
      <c r="S912" s="62"/>
      <c r="T912" s="62"/>
      <c r="U912" s="62"/>
      <c r="V912" s="37" t="str">
        <f>IFERROR(__xludf.DUMMYFUNCTION("if(not(iserror(index(split(C912, "" ""),2))), index(split(C912, "" ""),1),"""")"),"")</f>
        <v/>
      </c>
      <c r="W912" s="315" t="str">
        <f>IFERROR(__xludf.DUMMYFUNCTION("if(V912="""",C912,if(not(iserror(index(split(C912, "" ""),3))), index(split(C912, "" ""),3),index(split(C912, "" ""),2)))"),"")</f>
        <v/>
      </c>
      <c r="X912" s="38" t="b">
        <f t="shared" si="2"/>
        <v>0</v>
      </c>
      <c r="Y912" s="38"/>
      <c r="Z912" s="40"/>
      <c r="AA912" s="40"/>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row>
    <row r="913">
      <c r="A913" s="58"/>
      <c r="B913" s="341"/>
      <c r="C913" s="60"/>
      <c r="D913" s="60"/>
      <c r="E913" s="58"/>
      <c r="F913" s="58"/>
      <c r="G913" s="58"/>
      <c r="H913" s="33" t="str">
        <f t="shared" si="1"/>
        <v/>
      </c>
      <c r="I913" s="58"/>
      <c r="J913" s="58"/>
      <c r="K913" s="58"/>
      <c r="L913" s="38"/>
      <c r="M913" s="58"/>
      <c r="N913" s="58"/>
      <c r="O913" s="58"/>
      <c r="P913" s="80"/>
      <c r="Q913" s="77"/>
      <c r="R913" s="62"/>
      <c r="S913" s="62"/>
      <c r="T913" s="62"/>
      <c r="U913" s="62"/>
      <c r="V913" s="37" t="str">
        <f>IFERROR(__xludf.DUMMYFUNCTION("if(not(iserror(index(split(C913, "" ""),2))), index(split(C913, "" ""),1),"""")"),"")</f>
        <v/>
      </c>
      <c r="W913" s="315" t="str">
        <f>IFERROR(__xludf.DUMMYFUNCTION("if(V913="""",C913,if(not(iserror(index(split(C913, "" ""),3))), index(split(C913, "" ""),3),index(split(C913, "" ""),2)))"),"")</f>
        <v/>
      </c>
      <c r="X913" s="38" t="b">
        <f t="shared" si="2"/>
        <v>0</v>
      </c>
      <c r="Y913" s="38"/>
      <c r="Z913" s="40"/>
      <c r="AA913" s="40"/>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row>
    <row r="914">
      <c r="A914" s="58"/>
      <c r="B914" s="341"/>
      <c r="C914" s="60"/>
      <c r="D914" s="60"/>
      <c r="E914" s="58"/>
      <c r="F914" s="58"/>
      <c r="G914" s="58"/>
      <c r="H914" s="33" t="str">
        <f t="shared" si="1"/>
        <v/>
      </c>
      <c r="I914" s="58"/>
      <c r="J914" s="58"/>
      <c r="K914" s="58"/>
      <c r="L914" s="38"/>
      <c r="M914" s="58"/>
      <c r="N914" s="58"/>
      <c r="O914" s="58"/>
      <c r="P914" s="80"/>
      <c r="Q914" s="77"/>
      <c r="R914" s="58"/>
      <c r="S914" s="58"/>
      <c r="T914" s="84"/>
      <c r="U914" s="62"/>
      <c r="V914" s="37" t="str">
        <f>IFERROR(__xludf.DUMMYFUNCTION("if(not(iserror(index(split(C914, "" ""),2))), index(split(C914, "" ""),1),"""")"),"")</f>
        <v/>
      </c>
      <c r="W914" s="315" t="str">
        <f>IFERROR(__xludf.DUMMYFUNCTION("if(V914="""",C914,if(not(iserror(index(split(C914, "" ""),3))), index(split(C914, "" ""),3),index(split(C914, "" ""),2)))"),"")</f>
        <v/>
      </c>
      <c r="X914" s="38" t="b">
        <f t="shared" si="2"/>
        <v>0</v>
      </c>
      <c r="Y914" s="38"/>
      <c r="Z914" s="40"/>
      <c r="AA914" s="40"/>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row>
    <row r="915">
      <c r="A915" s="58"/>
      <c r="B915" s="341"/>
      <c r="C915" s="60"/>
      <c r="D915" s="60"/>
      <c r="E915" s="58"/>
      <c r="F915" s="58"/>
      <c r="G915" s="58"/>
      <c r="H915" s="33" t="str">
        <f t="shared" si="1"/>
        <v/>
      </c>
      <c r="I915" s="58"/>
      <c r="J915" s="58"/>
      <c r="K915" s="58"/>
      <c r="L915" s="38"/>
      <c r="M915" s="58"/>
      <c r="N915" s="58"/>
      <c r="O915" s="58"/>
      <c r="P915" s="102"/>
      <c r="Q915" s="80"/>
      <c r="R915" s="120"/>
      <c r="S915" s="120"/>
      <c r="T915" s="84"/>
      <c r="U915" s="62"/>
      <c r="V915" s="37" t="str">
        <f>IFERROR(__xludf.DUMMYFUNCTION("if(not(iserror(index(split(C915, "" ""),2))), index(split(C915, "" ""),1),"""")"),"")</f>
        <v/>
      </c>
      <c r="W915" s="315" t="str">
        <f>IFERROR(__xludf.DUMMYFUNCTION("if(V915="""",C915,if(not(iserror(index(split(C915, "" ""),3))), index(split(C915, "" ""),3),index(split(C915, "" ""),2)))"),"")</f>
        <v/>
      </c>
      <c r="X915" s="38" t="b">
        <f t="shared" si="2"/>
        <v>0</v>
      </c>
      <c r="Y915" s="38"/>
      <c r="Z915" s="40"/>
      <c r="AA915" s="40"/>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row>
    <row r="916">
      <c r="B916" s="341"/>
      <c r="C916" s="60"/>
      <c r="D916" s="60"/>
      <c r="E916" s="58"/>
      <c r="F916" s="58"/>
      <c r="G916" s="58"/>
      <c r="H916" s="33" t="str">
        <f t="shared" si="1"/>
        <v/>
      </c>
      <c r="I916" s="58"/>
      <c r="J916" s="58"/>
      <c r="K916" s="58"/>
      <c r="L916" s="38"/>
      <c r="M916" s="58"/>
      <c r="N916" s="58"/>
      <c r="O916" s="58"/>
      <c r="P916" s="106"/>
      <c r="Q916" s="77"/>
      <c r="R916" s="62"/>
      <c r="S916" s="62"/>
      <c r="T916" s="62"/>
      <c r="U916" s="62"/>
      <c r="V916" s="37" t="str">
        <f>IFERROR(__xludf.DUMMYFUNCTION("if(not(iserror(index(split(C916, "" ""),2))), index(split(C916, "" ""),1),"""")"),"")</f>
        <v/>
      </c>
      <c r="W916" s="315" t="str">
        <f>IFERROR(__xludf.DUMMYFUNCTION("if(V916="""",C916,if(not(iserror(index(split(C916, "" ""),3))), index(split(C916, "" ""),3),index(split(C916, "" ""),2)))"),"")</f>
        <v/>
      </c>
      <c r="X916" s="38" t="b">
        <f t="shared" si="2"/>
        <v>0</v>
      </c>
      <c r="Y916" s="38"/>
      <c r="Z916" s="40"/>
      <c r="AA916" s="40"/>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row>
    <row r="917">
      <c r="B917" s="341"/>
      <c r="C917" s="60"/>
      <c r="D917" s="60"/>
      <c r="E917" s="58"/>
      <c r="F917" s="58"/>
      <c r="G917" s="58"/>
      <c r="H917" s="33" t="str">
        <f t="shared" si="1"/>
        <v/>
      </c>
      <c r="I917" s="58"/>
      <c r="J917" s="58"/>
      <c r="K917" s="58"/>
      <c r="L917" s="38"/>
      <c r="M917" s="58"/>
      <c r="N917" s="58"/>
      <c r="O917" s="58"/>
      <c r="P917" s="106"/>
      <c r="Q917" s="77"/>
      <c r="R917" s="62"/>
      <c r="S917" s="62"/>
      <c r="T917" s="62"/>
      <c r="U917" s="62"/>
      <c r="V917" s="37" t="str">
        <f>IFERROR(__xludf.DUMMYFUNCTION("if(not(iserror(index(split(C917, "" ""),2))), index(split(C917, "" ""),1),"""")"),"")</f>
        <v/>
      </c>
      <c r="W917" s="315" t="str">
        <f>IFERROR(__xludf.DUMMYFUNCTION("if(V917="""",C917,if(not(iserror(index(split(C917, "" ""),3))), index(split(C917, "" ""),3),index(split(C917, "" ""),2)))"),"")</f>
        <v/>
      </c>
      <c r="X917" s="38" t="b">
        <f t="shared" si="2"/>
        <v>0</v>
      </c>
      <c r="Y917" s="38"/>
      <c r="Z917" s="40"/>
      <c r="AA917" s="40"/>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row>
    <row r="918">
      <c r="B918" s="341"/>
      <c r="C918" s="60"/>
      <c r="D918" s="60"/>
      <c r="E918" s="58"/>
      <c r="F918" s="58"/>
      <c r="G918" s="58"/>
      <c r="H918" s="33" t="str">
        <f t="shared" si="1"/>
        <v/>
      </c>
      <c r="I918" s="58"/>
      <c r="J918" s="58"/>
      <c r="K918" s="58"/>
      <c r="L918" s="38"/>
      <c r="M918" s="58"/>
      <c r="N918" s="58"/>
      <c r="O918" s="58"/>
      <c r="P918" s="106"/>
      <c r="Q918" s="77"/>
      <c r="R918" s="62"/>
      <c r="S918" s="62"/>
      <c r="T918" s="62"/>
      <c r="U918" s="62"/>
      <c r="V918" s="37" t="str">
        <f>IFERROR(__xludf.DUMMYFUNCTION("if(not(iserror(index(split(C918, "" ""),2))), index(split(C918, "" ""),1),"""")"),"")</f>
        <v/>
      </c>
      <c r="W918" s="315" t="str">
        <f>IFERROR(__xludf.DUMMYFUNCTION("if(V918="""",C918,if(not(iserror(index(split(C918, "" ""),3))), index(split(C918, "" ""),3),index(split(C918, "" ""),2)))"),"")</f>
        <v/>
      </c>
      <c r="X918" s="38" t="b">
        <f t="shared" si="2"/>
        <v>0</v>
      </c>
      <c r="Y918" s="38"/>
      <c r="Z918" s="40"/>
      <c r="AA918" s="40"/>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row>
    <row r="919">
      <c r="B919" s="341"/>
      <c r="C919" s="60"/>
      <c r="D919" s="60"/>
      <c r="E919" s="58"/>
      <c r="F919" s="58"/>
      <c r="G919" s="58"/>
      <c r="H919" s="33" t="str">
        <f t="shared" si="1"/>
        <v/>
      </c>
      <c r="I919" s="58"/>
      <c r="J919" s="58"/>
      <c r="K919" s="58"/>
      <c r="L919" s="38"/>
      <c r="M919" s="58"/>
      <c r="N919" s="58"/>
      <c r="O919" s="58"/>
      <c r="P919" s="106"/>
      <c r="Q919" s="77"/>
      <c r="R919" s="62"/>
      <c r="S919" s="62"/>
      <c r="T919" s="62"/>
      <c r="U919" s="62"/>
      <c r="V919" s="37" t="str">
        <f>IFERROR(__xludf.DUMMYFUNCTION("if(not(iserror(index(split(C919, "" ""),2))), index(split(C919, "" ""),1),"""")"),"")</f>
        <v/>
      </c>
      <c r="W919" s="315" t="str">
        <f>IFERROR(__xludf.DUMMYFUNCTION("if(V919="""",C919,if(not(iserror(index(split(C919, "" ""),3))), index(split(C919, "" ""),3),index(split(C919, "" ""),2)))"),"")</f>
        <v/>
      </c>
      <c r="X919" s="38" t="b">
        <f t="shared" si="2"/>
        <v>0</v>
      </c>
      <c r="Y919" s="38"/>
      <c r="Z919" s="40"/>
      <c r="AA919" s="40"/>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row>
    <row r="920">
      <c r="B920" s="341"/>
      <c r="C920" s="60"/>
      <c r="D920" s="60"/>
      <c r="E920" s="58"/>
      <c r="F920" s="58"/>
      <c r="G920" s="58"/>
      <c r="H920" s="33" t="str">
        <f t="shared" si="1"/>
        <v/>
      </c>
      <c r="I920" s="58"/>
      <c r="J920" s="58"/>
      <c r="K920" s="58"/>
      <c r="L920" s="38"/>
      <c r="M920" s="58"/>
      <c r="N920" s="58"/>
      <c r="O920" s="58"/>
      <c r="P920" s="106"/>
      <c r="Q920" s="77"/>
      <c r="R920" s="62"/>
      <c r="S920" s="62"/>
      <c r="T920" s="62"/>
      <c r="U920" s="62"/>
      <c r="V920" s="37" t="str">
        <f>IFERROR(__xludf.DUMMYFUNCTION("if(not(iserror(index(split(C920, "" ""),2))), index(split(C920, "" ""),1),"""")"),"")</f>
        <v/>
      </c>
      <c r="W920" s="315" t="str">
        <f>IFERROR(__xludf.DUMMYFUNCTION("if(V920="""",C920,if(not(iserror(index(split(C920, "" ""),3))), index(split(C920, "" ""),3),index(split(C920, "" ""),2)))"),"")</f>
        <v/>
      </c>
      <c r="X920" s="38" t="b">
        <f t="shared" si="2"/>
        <v>0</v>
      </c>
      <c r="Y920" s="38"/>
      <c r="Z920" s="40"/>
      <c r="AA920" s="40"/>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row>
    <row r="921">
      <c r="B921" s="341"/>
      <c r="C921" s="60"/>
      <c r="D921" s="60"/>
      <c r="E921" s="58"/>
      <c r="F921" s="58"/>
      <c r="G921" s="58"/>
      <c r="H921" s="33" t="str">
        <f t="shared" si="1"/>
        <v/>
      </c>
      <c r="I921" s="58"/>
      <c r="J921" s="58"/>
      <c r="K921" s="58"/>
      <c r="L921" s="38"/>
      <c r="M921" s="58"/>
      <c r="N921" s="58"/>
      <c r="O921" s="58"/>
      <c r="P921" s="106"/>
      <c r="Q921" s="77"/>
      <c r="R921" s="62"/>
      <c r="S921" s="62"/>
      <c r="T921" s="62"/>
      <c r="U921" s="62"/>
      <c r="V921" s="37" t="str">
        <f>IFERROR(__xludf.DUMMYFUNCTION("if(not(iserror(index(split(C921, "" ""),2))), index(split(C921, "" ""),1),"""")"),"")</f>
        <v/>
      </c>
      <c r="W921" s="315" t="str">
        <f>IFERROR(__xludf.DUMMYFUNCTION("if(V921="""",C921,if(not(iserror(index(split(C921, "" ""),3))), index(split(C921, "" ""),3),index(split(C921, "" ""),2)))"),"")</f>
        <v/>
      </c>
      <c r="X921" s="38" t="b">
        <f t="shared" si="2"/>
        <v>0</v>
      </c>
      <c r="Y921" s="38"/>
      <c r="Z921" s="40"/>
      <c r="AA921" s="40"/>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row>
    <row r="922">
      <c r="B922" s="341"/>
      <c r="C922" s="60"/>
      <c r="D922" s="60"/>
      <c r="E922" s="58"/>
      <c r="F922" s="58"/>
      <c r="G922" s="58"/>
      <c r="H922" s="33" t="str">
        <f t="shared" si="1"/>
        <v/>
      </c>
      <c r="I922" s="58"/>
      <c r="J922" s="58"/>
      <c r="K922" s="58"/>
      <c r="L922" s="38"/>
      <c r="M922" s="58"/>
      <c r="N922" s="58"/>
      <c r="O922" s="58"/>
      <c r="P922" s="106"/>
      <c r="Q922" s="77"/>
      <c r="R922" s="62"/>
      <c r="S922" s="62"/>
      <c r="T922" s="62"/>
      <c r="U922" s="62"/>
      <c r="V922" s="37" t="str">
        <f>IFERROR(__xludf.DUMMYFUNCTION("if(not(iserror(index(split(C922, "" ""),2))), index(split(C922, "" ""),1),"""")"),"")</f>
        <v/>
      </c>
      <c r="W922" s="315" t="str">
        <f>IFERROR(__xludf.DUMMYFUNCTION("if(V922="""",C922,if(not(iserror(index(split(C922, "" ""),3))), index(split(C922, "" ""),3),index(split(C922, "" ""),2)))"),"")</f>
        <v/>
      </c>
      <c r="X922" s="38" t="b">
        <f t="shared" si="2"/>
        <v>0</v>
      </c>
      <c r="Y922" s="38"/>
      <c r="Z922" s="40"/>
      <c r="AA922" s="40"/>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row>
    <row r="923">
      <c r="A923" s="58"/>
      <c r="B923" s="341"/>
      <c r="C923" s="60"/>
      <c r="D923" s="60"/>
      <c r="E923" s="58"/>
      <c r="F923" s="58"/>
      <c r="G923" s="58"/>
      <c r="H923" s="33" t="str">
        <f t="shared" si="1"/>
        <v/>
      </c>
      <c r="I923" s="58"/>
      <c r="J923" s="58"/>
      <c r="K923" s="58"/>
      <c r="L923" s="38"/>
      <c r="M923" s="58"/>
      <c r="N923" s="58"/>
      <c r="O923" s="58"/>
      <c r="P923" s="106"/>
      <c r="Q923" s="77"/>
      <c r="R923" s="62"/>
      <c r="S923" s="62"/>
      <c r="T923" s="62"/>
      <c r="U923" s="62"/>
      <c r="V923" s="37" t="str">
        <f>IFERROR(__xludf.DUMMYFUNCTION("if(not(iserror(index(split(C923, "" ""),2))), index(split(C923, "" ""),1),"""")"),"")</f>
        <v/>
      </c>
      <c r="W923" s="315" t="str">
        <f>IFERROR(__xludf.DUMMYFUNCTION("if(V923="""",C923,if(not(iserror(index(split(C923, "" ""),3))), index(split(C923, "" ""),3),index(split(C923, "" ""),2)))"),"")</f>
        <v/>
      </c>
      <c r="X923" s="38" t="b">
        <f t="shared" si="2"/>
        <v>0</v>
      </c>
      <c r="Y923" s="38"/>
      <c r="Z923" s="40"/>
      <c r="AA923" s="40"/>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row>
    <row r="924">
      <c r="B924" s="341"/>
      <c r="C924" s="60"/>
      <c r="D924" s="60"/>
      <c r="E924" s="58"/>
      <c r="F924" s="58"/>
      <c r="G924" s="58"/>
      <c r="H924" s="33" t="str">
        <f t="shared" si="1"/>
        <v/>
      </c>
      <c r="I924" s="58"/>
      <c r="J924" s="58"/>
      <c r="K924" s="58"/>
      <c r="L924" s="38"/>
      <c r="M924" s="58"/>
      <c r="N924" s="58"/>
      <c r="O924" s="58"/>
      <c r="P924" s="106"/>
      <c r="Q924" s="77"/>
      <c r="R924" s="62"/>
      <c r="S924" s="62"/>
      <c r="T924" s="62"/>
      <c r="U924" s="62"/>
      <c r="V924" s="37" t="str">
        <f>IFERROR(__xludf.DUMMYFUNCTION("if(not(iserror(index(split(C924, "" ""),2))), index(split(C924, "" ""),1),"""")"),"")</f>
        <v/>
      </c>
      <c r="W924" s="315" t="str">
        <f>IFERROR(__xludf.DUMMYFUNCTION("if(V924="""",C924,if(not(iserror(index(split(C924, "" ""),3))), index(split(C924, "" ""),3),index(split(C924, "" ""),2)))"),"")</f>
        <v/>
      </c>
      <c r="X924" s="38" t="b">
        <f t="shared" si="2"/>
        <v>0</v>
      </c>
      <c r="Y924" s="38"/>
      <c r="Z924" s="40"/>
      <c r="AA924" s="40"/>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row>
    <row r="925">
      <c r="B925" s="341"/>
      <c r="C925" s="60"/>
      <c r="D925" s="60"/>
      <c r="E925" s="58"/>
      <c r="F925" s="58"/>
      <c r="G925" s="58"/>
      <c r="H925" s="33" t="str">
        <f t="shared" si="1"/>
        <v/>
      </c>
      <c r="I925" s="58"/>
      <c r="J925" s="58"/>
      <c r="K925" s="58"/>
      <c r="L925" s="38"/>
      <c r="M925" s="58"/>
      <c r="N925" s="58"/>
      <c r="O925" s="58"/>
      <c r="P925" s="106"/>
      <c r="Q925" s="77"/>
      <c r="R925" s="58"/>
      <c r="S925" s="58"/>
      <c r="T925" s="84"/>
      <c r="U925" s="62"/>
      <c r="V925" s="37" t="str">
        <f>IFERROR(__xludf.DUMMYFUNCTION("if(not(iserror(index(split(C925, "" ""),2))), index(split(C925, "" ""),1),"""")"),"")</f>
        <v/>
      </c>
      <c r="W925" s="315" t="str">
        <f>IFERROR(__xludf.DUMMYFUNCTION("if(V925="""",C925,if(not(iserror(index(split(C925, "" ""),3))), index(split(C925, "" ""),3),index(split(C925, "" ""),2)))"),"")</f>
        <v/>
      </c>
      <c r="X925" s="38" t="b">
        <f t="shared" si="2"/>
        <v>0</v>
      </c>
      <c r="Y925" s="38"/>
      <c r="Z925" s="40"/>
      <c r="AA925" s="40"/>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row>
    <row r="926">
      <c r="B926" s="341"/>
      <c r="C926" s="60"/>
      <c r="D926" s="60"/>
      <c r="E926" s="58"/>
      <c r="F926" s="58"/>
      <c r="G926" s="58"/>
      <c r="H926" s="33" t="str">
        <f t="shared" si="1"/>
        <v/>
      </c>
      <c r="I926" s="58"/>
      <c r="J926" s="58"/>
      <c r="K926" s="58"/>
      <c r="L926" s="38"/>
      <c r="M926" s="58"/>
      <c r="N926" s="58"/>
      <c r="O926" s="58"/>
      <c r="P926" s="106"/>
      <c r="Q926" s="80"/>
      <c r="R926" s="58"/>
      <c r="S926" s="58"/>
      <c r="T926" s="58"/>
      <c r="U926" s="62"/>
      <c r="V926" s="37" t="str">
        <f>IFERROR(__xludf.DUMMYFUNCTION("if(not(iserror(index(split(C926, "" ""),2))), index(split(C926, "" ""),1),"""")"),"")</f>
        <v/>
      </c>
      <c r="W926" s="315" t="str">
        <f>IFERROR(__xludf.DUMMYFUNCTION("if(V926="""",C926,if(not(iserror(index(split(C926, "" ""),3))), index(split(C926, "" ""),3),index(split(C926, "" ""),2)))"),"")</f>
        <v/>
      </c>
      <c r="X926" s="38" t="b">
        <f t="shared" si="2"/>
        <v>0</v>
      </c>
      <c r="Y926" s="38"/>
      <c r="Z926" s="40"/>
      <c r="AA926" s="40"/>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row>
    <row r="927">
      <c r="B927" s="341"/>
      <c r="C927" s="60"/>
      <c r="D927" s="60"/>
      <c r="E927" s="58"/>
      <c r="F927" s="58"/>
      <c r="G927" s="58"/>
      <c r="H927" s="33" t="str">
        <f t="shared" si="1"/>
        <v/>
      </c>
      <c r="I927" s="58"/>
      <c r="J927" s="58"/>
      <c r="K927" s="58"/>
      <c r="L927" s="38"/>
      <c r="M927" s="58"/>
      <c r="N927" s="58"/>
      <c r="O927" s="58"/>
      <c r="P927" s="106"/>
      <c r="Q927" s="77"/>
      <c r="R927" s="62"/>
      <c r="S927" s="58"/>
      <c r="T927" s="58"/>
      <c r="U927" s="62"/>
      <c r="V927" s="37" t="str">
        <f>IFERROR(__xludf.DUMMYFUNCTION("if(not(iserror(index(split(C927, "" ""),2))), index(split(C927, "" ""),1),"""")"),"")</f>
        <v/>
      </c>
      <c r="W927" s="315" t="str">
        <f>IFERROR(__xludf.DUMMYFUNCTION("if(V927="""",C927,if(not(iserror(index(split(C927, "" ""),3))), index(split(C927, "" ""),3),index(split(C927, "" ""),2)))"),"")</f>
        <v/>
      </c>
      <c r="X927" s="38" t="b">
        <f t="shared" si="2"/>
        <v>0</v>
      </c>
      <c r="Y927" s="38"/>
      <c r="Z927" s="40"/>
      <c r="AA927" s="40"/>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row>
    <row r="928">
      <c r="B928" s="341"/>
      <c r="C928" s="60"/>
      <c r="D928" s="60"/>
      <c r="E928" s="58"/>
      <c r="F928" s="58"/>
      <c r="G928" s="58"/>
      <c r="H928" s="33" t="str">
        <f t="shared" si="1"/>
        <v/>
      </c>
      <c r="I928" s="58"/>
      <c r="J928" s="58"/>
      <c r="K928" s="58"/>
      <c r="L928" s="38"/>
      <c r="M928" s="58"/>
      <c r="N928" s="58"/>
      <c r="O928" s="58"/>
      <c r="P928" s="106"/>
      <c r="Q928" s="77"/>
      <c r="R928" s="62"/>
      <c r="S928" s="62"/>
      <c r="T928" s="62"/>
      <c r="U928" s="62"/>
      <c r="V928" s="37" t="str">
        <f>IFERROR(__xludf.DUMMYFUNCTION("if(not(iserror(index(split(C928, "" ""),2))), index(split(C928, "" ""),1),"""")"),"")</f>
        <v/>
      </c>
      <c r="W928" s="315" t="str">
        <f>IFERROR(__xludf.DUMMYFUNCTION("if(V928="""",C928,if(not(iserror(index(split(C928, "" ""),3))), index(split(C928, "" ""),3),index(split(C928, "" ""),2)))"),"")</f>
        <v/>
      </c>
      <c r="X928" s="38" t="b">
        <f t="shared" si="2"/>
        <v>0</v>
      </c>
      <c r="Y928" s="38"/>
      <c r="Z928" s="40"/>
      <c r="AA928" s="40"/>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row>
    <row r="929">
      <c r="B929" s="341"/>
      <c r="C929" s="60"/>
      <c r="D929" s="60"/>
      <c r="E929" s="58"/>
      <c r="F929" s="58"/>
      <c r="G929" s="58"/>
      <c r="H929" s="33" t="str">
        <f t="shared" si="1"/>
        <v/>
      </c>
      <c r="I929" s="58"/>
      <c r="J929" s="58"/>
      <c r="K929" s="58"/>
      <c r="L929" s="38"/>
      <c r="M929" s="58"/>
      <c r="N929" s="58"/>
      <c r="O929" s="58"/>
      <c r="P929" s="106"/>
      <c r="Q929" s="77"/>
      <c r="R929" s="62"/>
      <c r="S929" s="62"/>
      <c r="T929" s="62"/>
      <c r="U929" s="62"/>
      <c r="V929" s="37" t="str">
        <f>IFERROR(__xludf.DUMMYFUNCTION("if(not(iserror(index(split(C929, "" ""),2))), index(split(C929, "" ""),1),"""")"),"")</f>
        <v/>
      </c>
      <c r="W929" s="315" t="str">
        <f>IFERROR(__xludf.DUMMYFUNCTION("if(V929="""",C929,if(not(iserror(index(split(C929, "" ""),3))), index(split(C929, "" ""),3),index(split(C929, "" ""),2)))"),"")</f>
        <v/>
      </c>
      <c r="X929" s="38" t="b">
        <f t="shared" si="2"/>
        <v>0</v>
      </c>
      <c r="Y929" s="38"/>
      <c r="Z929" s="40"/>
      <c r="AA929" s="40"/>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row>
    <row r="930">
      <c r="B930" s="341"/>
      <c r="C930" s="60"/>
      <c r="D930" s="60"/>
      <c r="E930" s="58"/>
      <c r="F930" s="58"/>
      <c r="G930" s="58"/>
      <c r="H930" s="33" t="str">
        <f t="shared" si="1"/>
        <v/>
      </c>
      <c r="I930" s="58"/>
      <c r="J930" s="58"/>
      <c r="K930" s="58"/>
      <c r="L930" s="38"/>
      <c r="M930" s="58"/>
      <c r="N930" s="58"/>
      <c r="O930" s="58"/>
      <c r="P930" s="106"/>
      <c r="Q930" s="77"/>
      <c r="R930" s="62"/>
      <c r="S930" s="62"/>
      <c r="T930" s="62"/>
      <c r="U930" s="62"/>
      <c r="V930" s="37" t="str">
        <f>IFERROR(__xludf.DUMMYFUNCTION("if(not(iserror(index(split(C930, "" ""),2))), index(split(C930, "" ""),1),"""")"),"")</f>
        <v/>
      </c>
      <c r="W930" s="315" t="str">
        <f>IFERROR(__xludf.DUMMYFUNCTION("if(V930="""",C930,if(not(iserror(index(split(C930, "" ""),3))), index(split(C930, "" ""),3),index(split(C930, "" ""),2)))"),"")</f>
        <v/>
      </c>
      <c r="X930" s="38" t="b">
        <f t="shared" si="2"/>
        <v>0</v>
      </c>
      <c r="Y930" s="38"/>
      <c r="Z930" s="40"/>
      <c r="AA930" s="40"/>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row>
    <row r="931">
      <c r="B931" s="159"/>
      <c r="C931" s="60"/>
      <c r="D931" s="60"/>
      <c r="E931" s="58"/>
      <c r="F931" s="58"/>
      <c r="G931" s="58"/>
      <c r="H931" s="33" t="str">
        <f t="shared" si="1"/>
        <v/>
      </c>
      <c r="I931" s="58"/>
      <c r="J931" s="58"/>
      <c r="K931" s="58"/>
      <c r="L931" s="38"/>
      <c r="M931" s="58"/>
      <c r="N931" s="58"/>
      <c r="O931" s="58"/>
      <c r="P931" s="106"/>
      <c r="Q931" s="77"/>
      <c r="R931" s="62"/>
      <c r="S931" s="62"/>
      <c r="T931" s="62"/>
      <c r="U931" s="62"/>
      <c r="V931" s="37" t="str">
        <f>IFERROR(__xludf.DUMMYFUNCTION("if(not(iserror(index(split(C931, "" ""),2))), index(split(C931, "" ""),1),"""")"),"")</f>
        <v/>
      </c>
      <c r="W931" s="315" t="str">
        <f>IFERROR(__xludf.DUMMYFUNCTION("if(V931="""",C931,if(not(iserror(index(split(C931, "" ""),3))), index(split(C931, "" ""),3),index(split(C931, "" ""),2)))"),"")</f>
        <v/>
      </c>
      <c r="X931" s="38" t="b">
        <f t="shared" si="2"/>
        <v>0</v>
      </c>
      <c r="Y931" s="38"/>
      <c r="Z931" s="40"/>
      <c r="AA931" s="40"/>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row>
    <row r="932">
      <c r="B932" s="159"/>
      <c r="C932" s="60"/>
      <c r="D932" s="60"/>
      <c r="E932" s="58"/>
      <c r="F932" s="58"/>
      <c r="G932" s="58"/>
      <c r="H932" s="33" t="str">
        <f t="shared" si="1"/>
        <v/>
      </c>
      <c r="I932" s="58"/>
      <c r="J932" s="58"/>
      <c r="K932" s="58"/>
      <c r="L932" s="38"/>
      <c r="M932" s="58"/>
      <c r="N932" s="58"/>
      <c r="O932" s="58"/>
      <c r="P932" s="106"/>
      <c r="Q932" s="77"/>
      <c r="R932" s="62"/>
      <c r="S932" s="62"/>
      <c r="T932" s="62"/>
      <c r="U932" s="62"/>
      <c r="V932" s="37" t="str">
        <f>IFERROR(__xludf.DUMMYFUNCTION("if(not(iserror(index(split(C932, "" ""),2))), index(split(C932, "" ""),1),"""")"),"")</f>
        <v/>
      </c>
      <c r="W932" s="315" t="str">
        <f>IFERROR(__xludf.DUMMYFUNCTION("if(V932="""",C932,if(not(iserror(index(split(C932, "" ""),3))), index(split(C932, "" ""),3),index(split(C932, "" ""),2)))"),"")</f>
        <v/>
      </c>
      <c r="X932" s="38" t="b">
        <f t="shared" si="2"/>
        <v>0</v>
      </c>
      <c r="Y932" s="38"/>
      <c r="Z932" s="40"/>
      <c r="AA932" s="40"/>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row>
    <row r="933">
      <c r="B933" s="159"/>
      <c r="C933" s="60"/>
      <c r="D933" s="60"/>
      <c r="E933" s="58"/>
      <c r="F933" s="58"/>
      <c r="G933" s="58"/>
      <c r="H933" s="33" t="str">
        <f t="shared" si="1"/>
        <v/>
      </c>
      <c r="I933" s="58"/>
      <c r="J933" s="58"/>
      <c r="K933" s="58"/>
      <c r="L933" s="38"/>
      <c r="M933" s="58"/>
      <c r="N933" s="58"/>
      <c r="O933" s="58"/>
      <c r="P933" s="106"/>
      <c r="Q933" s="77"/>
      <c r="R933" s="62"/>
      <c r="S933" s="62"/>
      <c r="T933" s="62"/>
      <c r="U933" s="62"/>
      <c r="V933" s="37" t="str">
        <f>IFERROR(__xludf.DUMMYFUNCTION("if(not(iserror(index(split(C933, "" ""),2))), index(split(C933, "" ""),1),"""")"),"")</f>
        <v/>
      </c>
      <c r="W933" s="315" t="str">
        <f>IFERROR(__xludf.DUMMYFUNCTION("if(V933="""",C933,if(not(iserror(index(split(C933, "" ""),3))), index(split(C933, "" ""),3),index(split(C933, "" ""),2)))"),"")</f>
        <v/>
      </c>
      <c r="X933" s="38" t="b">
        <f t="shared" si="2"/>
        <v>0</v>
      </c>
      <c r="Y933" s="38"/>
      <c r="Z933" s="40"/>
      <c r="AA933" s="40"/>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row>
    <row r="934">
      <c r="A934" s="58"/>
      <c r="B934" s="341"/>
      <c r="C934" s="60"/>
      <c r="D934" s="60"/>
      <c r="E934" s="58"/>
      <c r="F934" s="58"/>
      <c r="G934" s="58"/>
      <c r="H934" s="33" t="str">
        <f t="shared" si="1"/>
        <v/>
      </c>
      <c r="I934" s="58"/>
      <c r="J934" s="58"/>
      <c r="K934" s="58"/>
      <c r="L934" s="38"/>
      <c r="M934" s="58"/>
      <c r="N934" s="58"/>
      <c r="O934" s="58"/>
      <c r="P934" s="106"/>
      <c r="Q934" s="77"/>
      <c r="R934" s="62"/>
      <c r="S934" s="62"/>
      <c r="T934" s="62"/>
      <c r="U934" s="62"/>
      <c r="V934" s="37" t="str">
        <f>IFERROR(__xludf.DUMMYFUNCTION("if(not(iserror(index(split(C934, "" ""),2))), index(split(C934, "" ""),1),"""")"),"")</f>
        <v/>
      </c>
      <c r="W934" s="315" t="str">
        <f>IFERROR(__xludf.DUMMYFUNCTION("if(V934="""",C934,if(not(iserror(index(split(C934, "" ""),3))), index(split(C934, "" ""),3),index(split(C934, "" ""),2)))"),"")</f>
        <v/>
      </c>
      <c r="X934" s="38" t="b">
        <f t="shared" si="2"/>
        <v>0</v>
      </c>
      <c r="Y934" s="38"/>
      <c r="Z934" s="40"/>
      <c r="AA934" s="40"/>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row>
    <row r="935">
      <c r="A935" s="58"/>
      <c r="B935" s="341"/>
      <c r="C935" s="60"/>
      <c r="D935" s="60"/>
      <c r="E935" s="58"/>
      <c r="F935" s="58"/>
      <c r="G935" s="58"/>
      <c r="H935" s="33" t="str">
        <f t="shared" si="1"/>
        <v/>
      </c>
      <c r="I935" s="58"/>
      <c r="J935" s="58"/>
      <c r="K935" s="58"/>
      <c r="L935" s="38"/>
      <c r="M935" s="58"/>
      <c r="N935" s="58"/>
      <c r="O935" s="58"/>
      <c r="P935" s="106"/>
      <c r="Q935" s="77"/>
      <c r="R935" s="62"/>
      <c r="S935" s="62"/>
      <c r="T935" s="62"/>
      <c r="U935" s="62"/>
      <c r="V935" s="37" t="str">
        <f>IFERROR(__xludf.DUMMYFUNCTION("if(not(iserror(index(split(C935, "" ""),2))), index(split(C935, "" ""),1),"""")"),"")</f>
        <v/>
      </c>
      <c r="W935" s="315" t="str">
        <f>IFERROR(__xludf.DUMMYFUNCTION("if(V935="""",C935,if(not(iserror(index(split(C935, "" ""),3))), index(split(C935, "" ""),3),index(split(C935, "" ""),2)))"),"")</f>
        <v/>
      </c>
      <c r="X935" s="38" t="b">
        <f t="shared" si="2"/>
        <v>0</v>
      </c>
      <c r="Y935" s="38"/>
      <c r="Z935" s="40"/>
      <c r="AA935" s="40"/>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row>
    <row r="936">
      <c r="A936" s="58"/>
      <c r="B936" s="341"/>
      <c r="C936" s="60"/>
      <c r="D936" s="60"/>
      <c r="E936" s="58"/>
      <c r="F936" s="58"/>
      <c r="G936" s="58"/>
      <c r="H936" s="33" t="str">
        <f t="shared" si="1"/>
        <v/>
      </c>
      <c r="I936" s="58"/>
      <c r="J936" s="58"/>
      <c r="K936" s="58"/>
      <c r="L936" s="38"/>
      <c r="M936" s="58"/>
      <c r="N936" s="58"/>
      <c r="O936" s="58"/>
      <c r="P936" s="106"/>
      <c r="Q936" s="77"/>
      <c r="R936" s="62"/>
      <c r="S936" s="62"/>
      <c r="T936" s="62"/>
      <c r="U936" s="62"/>
      <c r="V936" s="37" t="str">
        <f>IFERROR(__xludf.DUMMYFUNCTION("if(not(iserror(index(split(C936, "" ""),2))), index(split(C936, "" ""),1),"""")"),"")</f>
        <v/>
      </c>
      <c r="W936" s="315" t="str">
        <f>IFERROR(__xludf.DUMMYFUNCTION("if(V936="""",C936,if(not(iserror(index(split(C936, "" ""),3))), index(split(C936, "" ""),3),index(split(C936, "" ""),2)))"),"")</f>
        <v/>
      </c>
      <c r="X936" s="38" t="b">
        <f t="shared" si="2"/>
        <v>0</v>
      </c>
      <c r="Y936" s="38"/>
      <c r="Z936" s="40"/>
      <c r="AA936" s="40"/>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row>
    <row r="937">
      <c r="B937" s="341"/>
      <c r="C937" s="60"/>
      <c r="D937" s="60"/>
      <c r="E937" s="58"/>
      <c r="F937" s="58"/>
      <c r="G937" s="58"/>
      <c r="H937" s="33" t="str">
        <f t="shared" si="1"/>
        <v/>
      </c>
      <c r="I937" s="58"/>
      <c r="J937" s="58"/>
      <c r="K937" s="58"/>
      <c r="L937" s="38"/>
      <c r="M937" s="58"/>
      <c r="N937" s="58"/>
      <c r="O937" s="58"/>
      <c r="P937" s="80"/>
      <c r="Q937" s="77"/>
      <c r="R937" s="62"/>
      <c r="S937" s="62"/>
      <c r="T937" s="62"/>
      <c r="U937" s="62"/>
      <c r="V937" s="37" t="str">
        <f>IFERROR(__xludf.DUMMYFUNCTION("if(not(iserror(index(split(C937, "" ""),2))), index(split(C937, "" ""),1),"""")"),"")</f>
        <v/>
      </c>
      <c r="W937" s="315" t="str">
        <f>IFERROR(__xludf.DUMMYFUNCTION("if(V937="""",C937,if(not(iserror(index(split(C937, "" ""),3))), index(split(C937, "" ""),3),index(split(C937, "" ""),2)))"),"")</f>
        <v/>
      </c>
      <c r="X937" s="38" t="b">
        <f t="shared" si="2"/>
        <v>0</v>
      </c>
      <c r="Y937" s="38"/>
      <c r="Z937" s="40"/>
      <c r="AA937" s="40"/>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row>
    <row r="938">
      <c r="B938" s="341"/>
      <c r="C938" s="60"/>
      <c r="D938" s="60"/>
      <c r="E938" s="58"/>
      <c r="F938" s="58"/>
      <c r="G938" s="58"/>
      <c r="H938" s="33" t="str">
        <f t="shared" si="1"/>
        <v/>
      </c>
      <c r="I938" s="58"/>
      <c r="J938" s="58"/>
      <c r="K938" s="58"/>
      <c r="L938" s="38"/>
      <c r="M938" s="58"/>
      <c r="N938" s="58"/>
      <c r="O938" s="58"/>
      <c r="P938" s="80"/>
      <c r="Q938" s="77"/>
      <c r="R938" s="58"/>
      <c r="S938" s="58"/>
      <c r="T938" s="84"/>
      <c r="U938" s="62"/>
      <c r="V938" s="37" t="str">
        <f>IFERROR(__xludf.DUMMYFUNCTION("if(not(iserror(index(split(C938, "" ""),2))), index(split(C938, "" ""),1),"""")"),"")</f>
        <v/>
      </c>
      <c r="W938" s="315" t="str">
        <f>IFERROR(__xludf.DUMMYFUNCTION("if(V938="""",C938,if(not(iserror(index(split(C938, "" ""),3))), index(split(C938, "" ""),3),index(split(C938, "" ""),2)))"),"")</f>
        <v/>
      </c>
      <c r="X938" s="38" t="b">
        <f t="shared" si="2"/>
        <v>0</v>
      </c>
      <c r="Y938" s="38"/>
      <c r="Z938" s="40"/>
      <c r="AA938" s="40"/>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row>
    <row r="939">
      <c r="B939" s="341"/>
      <c r="C939" s="60"/>
      <c r="D939" s="60"/>
      <c r="E939" s="58"/>
      <c r="F939" s="58"/>
      <c r="G939" s="58"/>
      <c r="H939" s="33" t="str">
        <f t="shared" si="1"/>
        <v/>
      </c>
      <c r="I939" s="58"/>
      <c r="J939" s="58"/>
      <c r="K939" s="58"/>
      <c r="L939" s="38"/>
      <c r="M939" s="58"/>
      <c r="N939" s="58"/>
      <c r="O939" s="58"/>
      <c r="P939" s="80"/>
      <c r="Q939" s="77"/>
      <c r="R939" s="58"/>
      <c r="S939" s="58"/>
      <c r="T939" s="58"/>
      <c r="U939" s="62"/>
      <c r="V939" s="37" t="str">
        <f>IFERROR(__xludf.DUMMYFUNCTION("if(not(iserror(index(split(C939, "" ""),2))), index(split(C939, "" ""),1),"""")"),"")</f>
        <v/>
      </c>
      <c r="W939" s="315" t="str">
        <f>IFERROR(__xludf.DUMMYFUNCTION("if(V939="""",C939,if(not(iserror(index(split(C939, "" ""),3))), index(split(C939, "" ""),3),index(split(C939, "" ""),2)))"),"")</f>
        <v/>
      </c>
      <c r="X939" s="38" t="b">
        <f t="shared" si="2"/>
        <v>0</v>
      </c>
      <c r="Y939" s="38"/>
      <c r="Z939" s="40"/>
      <c r="AA939" s="40"/>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row>
    <row r="940">
      <c r="B940" s="341"/>
      <c r="C940" s="60"/>
      <c r="D940" s="60"/>
      <c r="E940" s="58"/>
      <c r="F940" s="58"/>
      <c r="G940" s="58"/>
      <c r="H940" s="33" t="str">
        <f t="shared" si="1"/>
        <v/>
      </c>
      <c r="I940" s="58"/>
      <c r="J940" s="58"/>
      <c r="K940" s="58"/>
      <c r="L940" s="38"/>
      <c r="M940" s="58"/>
      <c r="N940" s="58"/>
      <c r="O940" s="58"/>
      <c r="P940" s="80"/>
      <c r="Q940" s="80"/>
      <c r="R940" s="62"/>
      <c r="S940" s="58"/>
      <c r="T940" s="84"/>
      <c r="U940" s="62"/>
      <c r="V940" s="37" t="str">
        <f>IFERROR(__xludf.DUMMYFUNCTION("if(not(iserror(index(split(C940, "" ""),2))), index(split(C940, "" ""),1),"""")"),"")</f>
        <v/>
      </c>
      <c r="W940" s="315" t="str">
        <f>IFERROR(__xludf.DUMMYFUNCTION("if(V940="""",C940,if(not(iserror(index(split(C940, "" ""),3))), index(split(C940, "" ""),3),index(split(C940, "" ""),2)))"),"")</f>
        <v/>
      </c>
      <c r="X940" s="38" t="b">
        <f t="shared" si="2"/>
        <v>0</v>
      </c>
      <c r="Y940" s="38"/>
      <c r="Z940" s="40"/>
      <c r="AA940" s="40"/>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row>
    <row r="941">
      <c r="B941" s="341"/>
      <c r="C941" s="60"/>
      <c r="D941" s="60"/>
      <c r="E941" s="58"/>
      <c r="F941" s="58"/>
      <c r="G941" s="58"/>
      <c r="H941" s="33" t="str">
        <f t="shared" si="1"/>
        <v/>
      </c>
      <c r="I941" s="58"/>
      <c r="J941" s="58"/>
      <c r="K941" s="58"/>
      <c r="L941" s="38"/>
      <c r="M941" s="58"/>
      <c r="N941" s="58"/>
      <c r="O941" s="58"/>
      <c r="P941" s="80"/>
      <c r="Q941" s="80"/>
      <c r="R941" s="58"/>
      <c r="S941" s="58"/>
      <c r="T941" s="84"/>
      <c r="U941" s="62"/>
      <c r="V941" s="37" t="str">
        <f>IFERROR(__xludf.DUMMYFUNCTION("if(not(iserror(index(split(C941, "" ""),2))), index(split(C941, "" ""),1),"""")"),"")</f>
        <v/>
      </c>
      <c r="W941" s="315" t="str">
        <f>IFERROR(__xludf.DUMMYFUNCTION("if(V941="""",C941,if(not(iserror(index(split(C941, "" ""),3))), index(split(C941, "" ""),3),index(split(C941, "" ""),2)))"),"")</f>
        <v/>
      </c>
      <c r="X941" s="38" t="b">
        <f t="shared" si="2"/>
        <v>0</v>
      </c>
      <c r="Y941" s="38"/>
      <c r="Z941" s="40"/>
      <c r="AA941" s="40"/>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row>
    <row r="942">
      <c r="B942" s="341"/>
      <c r="C942" s="60"/>
      <c r="D942" s="60"/>
      <c r="E942" s="58"/>
      <c r="F942" s="58"/>
      <c r="G942" s="58"/>
      <c r="H942" s="33" t="str">
        <f t="shared" si="1"/>
        <v/>
      </c>
      <c r="I942" s="58"/>
      <c r="J942" s="58"/>
      <c r="K942" s="58"/>
      <c r="L942" s="38"/>
      <c r="M942" s="58"/>
      <c r="N942" s="58"/>
      <c r="O942" s="58"/>
      <c r="P942" s="80"/>
      <c r="Q942" s="80"/>
      <c r="R942" s="62"/>
      <c r="S942" s="62"/>
      <c r="T942" s="62"/>
      <c r="U942" s="62"/>
      <c r="V942" s="37" t="str">
        <f>IFERROR(__xludf.DUMMYFUNCTION("if(not(iserror(index(split(C942, "" ""),2))), index(split(C942, "" ""),1),"""")"),"")</f>
        <v/>
      </c>
      <c r="W942" s="315" t="str">
        <f>IFERROR(__xludf.DUMMYFUNCTION("if(V942="""",C942,if(not(iserror(index(split(C942, "" ""),3))), index(split(C942, "" ""),3),index(split(C942, "" ""),2)))"),"")</f>
        <v/>
      </c>
      <c r="X942" s="38" t="b">
        <f t="shared" si="2"/>
        <v>0</v>
      </c>
      <c r="Y942" s="38"/>
      <c r="Z942" s="40"/>
      <c r="AA942" s="40"/>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row>
    <row r="943">
      <c r="B943" s="341"/>
      <c r="C943" s="60"/>
      <c r="D943" s="60"/>
      <c r="E943" s="58"/>
      <c r="F943" s="58"/>
      <c r="G943" s="58"/>
      <c r="H943" s="33" t="str">
        <f t="shared" si="1"/>
        <v/>
      </c>
      <c r="I943" s="58"/>
      <c r="J943" s="58"/>
      <c r="K943" s="58"/>
      <c r="L943" s="38"/>
      <c r="M943" s="58"/>
      <c r="N943" s="58"/>
      <c r="O943" s="58"/>
      <c r="P943" s="80"/>
      <c r="Q943" s="80"/>
      <c r="R943" s="62"/>
      <c r="S943" s="62"/>
      <c r="T943" s="62"/>
      <c r="U943" s="62"/>
      <c r="V943" s="37" t="str">
        <f>IFERROR(__xludf.DUMMYFUNCTION("if(not(iserror(index(split(C943, "" ""),2))), index(split(C943, "" ""),1),"""")"),"")</f>
        <v/>
      </c>
      <c r="W943" s="315" t="str">
        <f>IFERROR(__xludf.DUMMYFUNCTION("if(V943="""",C943,if(not(iserror(index(split(C943, "" ""),3))), index(split(C943, "" ""),3),index(split(C943, "" ""),2)))"),"")</f>
        <v/>
      </c>
      <c r="X943" s="38" t="b">
        <f t="shared" si="2"/>
        <v>0</v>
      </c>
      <c r="Y943" s="38"/>
      <c r="Z943" s="40"/>
      <c r="AA943" s="40"/>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row>
    <row r="944">
      <c r="A944" s="58"/>
      <c r="B944" s="341"/>
      <c r="C944" s="60"/>
      <c r="D944" s="60"/>
      <c r="E944" s="58"/>
      <c r="F944" s="58"/>
      <c r="G944" s="58"/>
      <c r="H944" s="33" t="str">
        <f t="shared" si="1"/>
        <v/>
      </c>
      <c r="I944" s="58"/>
      <c r="J944" s="58"/>
      <c r="K944" s="58"/>
      <c r="L944" s="38"/>
      <c r="M944" s="58"/>
      <c r="N944" s="58"/>
      <c r="O944" s="58"/>
      <c r="P944" s="80"/>
      <c r="Q944" s="77"/>
      <c r="R944" s="62"/>
      <c r="S944" s="62"/>
      <c r="T944" s="62"/>
      <c r="U944" s="62"/>
      <c r="V944" s="37" t="str">
        <f>IFERROR(__xludf.DUMMYFUNCTION("if(not(iserror(index(split(C944, "" ""),2))), index(split(C944, "" ""),1),"""")"),"")</f>
        <v/>
      </c>
      <c r="W944" s="315" t="str">
        <f>IFERROR(__xludf.DUMMYFUNCTION("if(V944="""",C944,if(not(iserror(index(split(C944, "" ""),3))), index(split(C944, "" ""),3),index(split(C944, "" ""),2)))"),"")</f>
        <v/>
      </c>
      <c r="X944" s="38" t="b">
        <f t="shared" si="2"/>
        <v>0</v>
      </c>
      <c r="Y944" s="38"/>
      <c r="Z944" s="40"/>
      <c r="AA944" s="40"/>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row>
    <row r="945">
      <c r="A945" s="238"/>
      <c r="B945" s="341"/>
      <c r="C945" s="60"/>
      <c r="D945" s="60"/>
      <c r="E945" s="58"/>
      <c r="F945" s="58"/>
      <c r="G945" s="58"/>
      <c r="H945" s="33" t="str">
        <f t="shared" si="1"/>
        <v/>
      </c>
      <c r="I945" s="58"/>
      <c r="J945" s="58"/>
      <c r="K945" s="58"/>
      <c r="L945" s="38"/>
      <c r="M945" s="58"/>
      <c r="N945" s="58"/>
      <c r="O945" s="58"/>
      <c r="P945" s="80"/>
      <c r="Q945" s="77"/>
      <c r="R945" s="62"/>
      <c r="S945" s="62"/>
      <c r="T945" s="62"/>
      <c r="U945" s="62"/>
      <c r="V945" s="37" t="str">
        <f>IFERROR(__xludf.DUMMYFUNCTION("if(not(iserror(index(split(C945, "" ""),2))), index(split(C945, "" ""),1),"""")"),"")</f>
        <v/>
      </c>
      <c r="W945" s="315" t="str">
        <f>IFERROR(__xludf.DUMMYFUNCTION("if(V945="""",C945,if(not(iserror(index(split(C945, "" ""),3))), index(split(C945, "" ""),3),index(split(C945, "" ""),2)))"),"")</f>
        <v/>
      </c>
      <c r="X945" s="38" t="b">
        <f t="shared" si="2"/>
        <v>0</v>
      </c>
      <c r="Y945" s="38"/>
      <c r="Z945" s="40"/>
      <c r="AA945" s="40"/>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row>
    <row r="946">
      <c r="A946" s="58"/>
      <c r="B946" s="341"/>
      <c r="C946" s="60"/>
      <c r="D946" s="60"/>
      <c r="E946" s="58"/>
      <c r="F946" s="58"/>
      <c r="G946" s="58"/>
      <c r="H946" s="33" t="str">
        <f t="shared" si="1"/>
        <v/>
      </c>
      <c r="I946" s="58"/>
      <c r="J946" s="58"/>
      <c r="K946" s="58"/>
      <c r="L946" s="38"/>
      <c r="M946" s="58"/>
      <c r="N946" s="58"/>
      <c r="O946" s="58"/>
      <c r="P946" s="80"/>
      <c r="Q946" s="77"/>
      <c r="R946" s="62"/>
      <c r="S946" s="62"/>
      <c r="T946" s="62"/>
      <c r="U946" s="62"/>
      <c r="V946" s="37" t="str">
        <f>IFERROR(__xludf.DUMMYFUNCTION("if(not(iserror(index(split(C946, "" ""),2))), index(split(C946, "" ""),1),"""")"),"")</f>
        <v/>
      </c>
      <c r="W946" s="315" t="str">
        <f>IFERROR(__xludf.DUMMYFUNCTION("if(V946="""",C946,if(not(iserror(index(split(C946, "" ""),3))), index(split(C946, "" ""),3),index(split(C946, "" ""),2)))"),"")</f>
        <v/>
      </c>
      <c r="X946" s="38" t="b">
        <f t="shared" si="2"/>
        <v>0</v>
      </c>
      <c r="Y946" s="38"/>
      <c r="Z946" s="40"/>
      <c r="AA946" s="40"/>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row>
    <row r="947">
      <c r="B947" s="341"/>
      <c r="C947" s="60"/>
      <c r="D947" s="60"/>
      <c r="E947" s="58"/>
      <c r="F947" s="58"/>
      <c r="G947" s="58"/>
      <c r="H947" s="33" t="str">
        <f t="shared" si="1"/>
        <v/>
      </c>
      <c r="I947" s="58"/>
      <c r="J947" s="58"/>
      <c r="K947" s="58"/>
      <c r="L947" s="38"/>
      <c r="M947" s="58"/>
      <c r="N947" s="58"/>
      <c r="O947" s="58"/>
      <c r="P947" s="80"/>
      <c r="Q947" s="77"/>
      <c r="R947" s="62"/>
      <c r="S947" s="62"/>
      <c r="T947" s="62"/>
      <c r="U947" s="62"/>
      <c r="V947" s="37" t="str">
        <f>IFERROR(__xludf.DUMMYFUNCTION("if(not(iserror(index(split(C947, "" ""),2))), index(split(C947, "" ""),1),"""")"),"")</f>
        <v/>
      </c>
      <c r="W947" s="315" t="str">
        <f>IFERROR(__xludf.DUMMYFUNCTION("if(V947="""",C947,if(not(iserror(index(split(C947, "" ""),3))), index(split(C947, "" ""),3),index(split(C947, "" ""),2)))"),"")</f>
        <v/>
      </c>
      <c r="X947" s="38" t="b">
        <f t="shared" si="2"/>
        <v>0</v>
      </c>
      <c r="Y947" s="38"/>
      <c r="Z947" s="40"/>
      <c r="AA947" s="40"/>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row>
    <row r="948">
      <c r="B948" s="341"/>
      <c r="C948" s="60"/>
      <c r="D948" s="60"/>
      <c r="E948" s="58"/>
      <c r="F948" s="58"/>
      <c r="G948" s="58"/>
      <c r="H948" s="33" t="str">
        <f t="shared" si="1"/>
        <v/>
      </c>
      <c r="I948" s="58"/>
      <c r="J948" s="58"/>
      <c r="K948" s="58"/>
      <c r="L948" s="38"/>
      <c r="M948" s="58"/>
      <c r="N948" s="58"/>
      <c r="O948" s="58"/>
      <c r="P948" s="80"/>
      <c r="Q948" s="77"/>
      <c r="R948" s="62"/>
      <c r="S948" s="62"/>
      <c r="T948" s="62"/>
      <c r="U948" s="62"/>
      <c r="V948" s="37" t="str">
        <f>IFERROR(__xludf.DUMMYFUNCTION("if(not(iserror(index(split(C948, "" ""),2))), index(split(C948, "" ""),1),"""")"),"")</f>
        <v/>
      </c>
      <c r="W948" s="315" t="str">
        <f>IFERROR(__xludf.DUMMYFUNCTION("if(V948="""",C948,if(not(iserror(index(split(C948, "" ""),3))), index(split(C948, "" ""),3),index(split(C948, "" ""),2)))"),"")</f>
        <v/>
      </c>
      <c r="X948" s="38" t="b">
        <f t="shared" si="2"/>
        <v>0</v>
      </c>
      <c r="Y948" s="38"/>
      <c r="Z948" s="40"/>
      <c r="AA948" s="40"/>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row>
    <row r="949">
      <c r="B949" s="341"/>
      <c r="C949" s="60"/>
      <c r="D949" s="60"/>
      <c r="E949" s="58"/>
      <c r="F949" s="58"/>
      <c r="G949" s="58"/>
      <c r="H949" s="33" t="str">
        <f t="shared" si="1"/>
        <v/>
      </c>
      <c r="I949" s="58"/>
      <c r="J949" s="58"/>
      <c r="K949" s="58"/>
      <c r="L949" s="38"/>
      <c r="M949" s="58"/>
      <c r="N949" s="58"/>
      <c r="O949" s="58"/>
      <c r="P949" s="80"/>
      <c r="Q949" s="77"/>
      <c r="R949" s="62"/>
      <c r="S949" s="62"/>
      <c r="T949" s="62"/>
      <c r="U949" s="62"/>
      <c r="V949" s="37" t="str">
        <f>IFERROR(__xludf.DUMMYFUNCTION("if(not(iserror(index(split(C949, "" ""),2))), index(split(C949, "" ""),1),"""")"),"")</f>
        <v/>
      </c>
      <c r="W949" s="315" t="str">
        <f>IFERROR(__xludf.DUMMYFUNCTION("if(V949="""",C949,if(not(iserror(index(split(C949, "" ""),3))), index(split(C949, "" ""),3),index(split(C949, "" ""),2)))"),"")</f>
        <v/>
      </c>
      <c r="X949" s="38" t="b">
        <f t="shared" si="2"/>
        <v>0</v>
      </c>
      <c r="Y949" s="38"/>
      <c r="Z949" s="40"/>
      <c r="AA949" s="40"/>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row>
    <row r="950">
      <c r="B950" s="341"/>
      <c r="C950" s="60"/>
      <c r="D950" s="60"/>
      <c r="E950" s="58"/>
      <c r="F950" s="58"/>
      <c r="G950" s="58"/>
      <c r="H950" s="33" t="str">
        <f t="shared" si="1"/>
        <v/>
      </c>
      <c r="I950" s="58"/>
      <c r="J950" s="58"/>
      <c r="K950" s="58"/>
      <c r="L950" s="38"/>
      <c r="M950" s="58"/>
      <c r="N950" s="58"/>
      <c r="O950" s="58"/>
      <c r="P950" s="80"/>
      <c r="Q950" s="77"/>
      <c r="R950" s="62"/>
      <c r="S950" s="62"/>
      <c r="T950" s="62"/>
      <c r="U950" s="62"/>
      <c r="V950" s="37" t="str">
        <f>IFERROR(__xludf.DUMMYFUNCTION("if(not(iserror(index(split(C950, "" ""),2))), index(split(C950, "" ""),1),"""")"),"")</f>
        <v/>
      </c>
      <c r="W950" s="315" t="str">
        <f>IFERROR(__xludf.DUMMYFUNCTION("if(V950="""",C950,if(not(iserror(index(split(C950, "" ""),3))), index(split(C950, "" ""),3),index(split(C950, "" ""),2)))"),"")</f>
        <v/>
      </c>
      <c r="X950" s="38" t="b">
        <f t="shared" si="2"/>
        <v>0</v>
      </c>
      <c r="Y950" s="38"/>
      <c r="Z950" s="40"/>
      <c r="AA950" s="40"/>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row>
    <row r="951">
      <c r="B951" s="341"/>
      <c r="C951" s="60"/>
      <c r="D951" s="60"/>
      <c r="E951" s="58"/>
      <c r="F951" s="58"/>
      <c r="G951" s="58"/>
      <c r="H951" s="33" t="str">
        <f t="shared" si="1"/>
        <v/>
      </c>
      <c r="I951" s="58"/>
      <c r="J951" s="58"/>
      <c r="K951" s="58"/>
      <c r="L951" s="38"/>
      <c r="M951" s="58"/>
      <c r="N951" s="58"/>
      <c r="O951" s="58"/>
      <c r="P951" s="80"/>
      <c r="Q951" s="77"/>
      <c r="R951" s="62"/>
      <c r="S951" s="62"/>
      <c r="T951" s="62"/>
      <c r="U951" s="62"/>
      <c r="V951" s="37" t="str">
        <f>IFERROR(__xludf.DUMMYFUNCTION("if(not(iserror(index(split(C951, "" ""),2))), index(split(C951, "" ""),1),"""")"),"")</f>
        <v/>
      </c>
      <c r="W951" s="315" t="str">
        <f>IFERROR(__xludf.DUMMYFUNCTION("if(V951="""",C951,if(not(iserror(index(split(C951, "" ""),3))), index(split(C951, "" ""),3),index(split(C951, "" ""),2)))"),"")</f>
        <v/>
      </c>
      <c r="X951" s="38" t="b">
        <f t="shared" si="2"/>
        <v>0</v>
      </c>
      <c r="Y951" s="38"/>
      <c r="Z951" s="40"/>
      <c r="AA951" s="40"/>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row>
    <row r="952">
      <c r="B952" s="341"/>
      <c r="C952" s="60"/>
      <c r="D952" s="60"/>
      <c r="E952" s="58"/>
      <c r="F952" s="58"/>
      <c r="G952" s="58"/>
      <c r="H952" s="33" t="str">
        <f t="shared" si="1"/>
        <v/>
      </c>
      <c r="I952" s="58"/>
      <c r="J952" s="58"/>
      <c r="K952" s="58"/>
      <c r="L952" s="38"/>
      <c r="M952" s="58"/>
      <c r="N952" s="58"/>
      <c r="O952" s="58"/>
      <c r="P952" s="80"/>
      <c r="Q952" s="77"/>
      <c r="R952" s="62"/>
      <c r="S952" s="62"/>
      <c r="T952" s="62"/>
      <c r="U952" s="62"/>
      <c r="V952" s="37" t="str">
        <f>IFERROR(__xludf.DUMMYFUNCTION("if(not(iserror(index(split(C952, "" ""),2))), index(split(C952, "" ""),1),"""")"),"")</f>
        <v/>
      </c>
      <c r="W952" s="315" t="str">
        <f>IFERROR(__xludf.DUMMYFUNCTION("if(V952="""",C952,if(not(iserror(index(split(C952, "" ""),3))), index(split(C952, "" ""),3),index(split(C952, "" ""),2)))"),"")</f>
        <v/>
      </c>
      <c r="X952" s="38" t="b">
        <f t="shared" si="2"/>
        <v>0</v>
      </c>
      <c r="Y952" s="38"/>
      <c r="Z952" s="40"/>
      <c r="AA952" s="40"/>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row>
    <row r="953">
      <c r="A953" s="58"/>
      <c r="B953" s="341"/>
      <c r="C953" s="60"/>
      <c r="D953" s="60"/>
      <c r="E953" s="58"/>
      <c r="F953" s="58"/>
      <c r="G953" s="58"/>
      <c r="H953" s="33" t="str">
        <f t="shared" si="1"/>
        <v/>
      </c>
      <c r="I953" s="58"/>
      <c r="J953" s="58"/>
      <c r="K953" s="58"/>
      <c r="L953" s="38"/>
      <c r="M953" s="58"/>
      <c r="N953" s="58"/>
      <c r="O953" s="58"/>
      <c r="P953" s="80"/>
      <c r="Q953" s="77"/>
      <c r="R953" s="62"/>
      <c r="S953" s="62"/>
      <c r="T953" s="62"/>
      <c r="U953" s="62"/>
      <c r="V953" s="37" t="str">
        <f>IFERROR(__xludf.DUMMYFUNCTION("if(not(iserror(index(split(C953, "" ""),2))), index(split(C953, "" ""),1),"""")"),"")</f>
        <v/>
      </c>
      <c r="W953" s="315" t="str">
        <f>IFERROR(__xludf.DUMMYFUNCTION("if(V953="""",C953,if(not(iserror(index(split(C953, "" ""),3))), index(split(C953, "" ""),3),index(split(C953, "" ""),2)))"),"")</f>
        <v/>
      </c>
      <c r="X953" s="38" t="b">
        <f t="shared" si="2"/>
        <v>0</v>
      </c>
      <c r="Y953" s="38"/>
      <c r="Z953" s="40"/>
      <c r="AA953" s="40"/>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row>
    <row r="954">
      <c r="A954" s="58"/>
      <c r="B954" s="341"/>
      <c r="C954" s="60"/>
      <c r="D954" s="60"/>
      <c r="E954" s="58"/>
      <c r="F954" s="58"/>
      <c r="G954" s="58"/>
      <c r="H954" s="33" t="str">
        <f t="shared" si="1"/>
        <v/>
      </c>
      <c r="I954" s="58"/>
      <c r="J954" s="58"/>
      <c r="K954" s="58"/>
      <c r="L954" s="38"/>
      <c r="M954" s="58"/>
      <c r="N954" s="58"/>
      <c r="O954" s="58"/>
      <c r="P954" s="80"/>
      <c r="Q954" s="77"/>
      <c r="R954" s="62"/>
      <c r="S954" s="62"/>
      <c r="T954" s="62"/>
      <c r="U954" s="62"/>
      <c r="V954" s="37" t="str">
        <f>IFERROR(__xludf.DUMMYFUNCTION("if(not(iserror(index(split(C954, "" ""),2))), index(split(C954, "" ""),1),"""")"),"")</f>
        <v/>
      </c>
      <c r="W954" s="315" t="str">
        <f>IFERROR(__xludf.DUMMYFUNCTION("if(V954="""",C954,if(not(iserror(index(split(C954, "" ""),3))), index(split(C954, "" ""),3),index(split(C954, "" ""),2)))"),"")</f>
        <v/>
      </c>
      <c r="X954" s="38" t="b">
        <f t="shared" si="2"/>
        <v>0</v>
      </c>
      <c r="Y954" s="38"/>
      <c r="Z954" s="40"/>
      <c r="AA954" s="40"/>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row>
    <row r="955">
      <c r="A955" s="58"/>
      <c r="B955" s="341"/>
      <c r="C955" s="60"/>
      <c r="D955" s="60"/>
      <c r="E955" s="58"/>
      <c r="F955" s="58"/>
      <c r="G955" s="58"/>
      <c r="H955" s="33" t="str">
        <f t="shared" si="1"/>
        <v/>
      </c>
      <c r="I955" s="58"/>
      <c r="J955" s="58"/>
      <c r="K955" s="58"/>
      <c r="L955" s="38"/>
      <c r="M955" s="58"/>
      <c r="N955" s="58"/>
      <c r="O955" s="58"/>
      <c r="P955" s="80"/>
      <c r="Q955" s="77"/>
      <c r="R955" s="62"/>
      <c r="S955" s="62"/>
      <c r="T955" s="62"/>
      <c r="U955" s="62"/>
      <c r="V955" s="37" t="str">
        <f>IFERROR(__xludf.DUMMYFUNCTION("if(not(iserror(index(split(C955, "" ""),2))), index(split(C955, "" ""),1),"""")"),"")</f>
        <v/>
      </c>
      <c r="W955" s="315" t="str">
        <f>IFERROR(__xludf.DUMMYFUNCTION("if(V955="""",C955,if(not(iserror(index(split(C955, "" ""),3))), index(split(C955, "" ""),3),index(split(C955, "" ""),2)))"),"")</f>
        <v/>
      </c>
      <c r="X955" s="38" t="b">
        <f t="shared" si="2"/>
        <v>0</v>
      </c>
      <c r="Y955" s="38"/>
      <c r="Z955" s="40"/>
      <c r="AA955" s="40"/>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row>
    <row r="956">
      <c r="A956" s="58"/>
      <c r="B956" s="341"/>
      <c r="C956" s="60"/>
      <c r="D956" s="60"/>
      <c r="E956" s="58"/>
      <c r="F956" s="58"/>
      <c r="G956" s="58"/>
      <c r="H956" s="33" t="str">
        <f t="shared" si="1"/>
        <v/>
      </c>
      <c r="I956" s="58"/>
      <c r="J956" s="58"/>
      <c r="K956" s="58"/>
      <c r="L956" s="38"/>
      <c r="M956" s="58"/>
      <c r="N956" s="58"/>
      <c r="O956" s="58"/>
      <c r="P956" s="80"/>
      <c r="Q956" s="77"/>
      <c r="R956" s="62"/>
      <c r="S956" s="62"/>
      <c r="T956" s="62"/>
      <c r="U956" s="62"/>
      <c r="V956" s="37" t="str">
        <f>IFERROR(__xludf.DUMMYFUNCTION("if(not(iserror(index(split(C956, "" ""),2))), index(split(C956, "" ""),1),"""")"),"")</f>
        <v/>
      </c>
      <c r="W956" s="315" t="str">
        <f>IFERROR(__xludf.DUMMYFUNCTION("if(V956="""",C956,if(not(iserror(index(split(C956, "" ""),3))), index(split(C956, "" ""),3),index(split(C956, "" ""),2)))"),"")</f>
        <v/>
      </c>
      <c r="X956" s="38" t="b">
        <f t="shared" si="2"/>
        <v>0</v>
      </c>
      <c r="Y956" s="38"/>
      <c r="Z956" s="40"/>
      <c r="AA956" s="40"/>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row>
    <row r="957">
      <c r="A957" s="58"/>
      <c r="B957" s="341"/>
      <c r="C957" s="60"/>
      <c r="D957" s="60"/>
      <c r="E957" s="58"/>
      <c r="F957" s="58"/>
      <c r="G957" s="58"/>
      <c r="H957" s="33" t="str">
        <f t="shared" si="1"/>
        <v/>
      </c>
      <c r="I957" s="58"/>
      <c r="J957" s="58"/>
      <c r="K957" s="58"/>
      <c r="L957" s="38"/>
      <c r="M957" s="58"/>
      <c r="N957" s="58"/>
      <c r="O957" s="58"/>
      <c r="P957" s="80"/>
      <c r="Q957" s="77"/>
      <c r="R957" s="62"/>
      <c r="S957" s="62"/>
      <c r="T957" s="62"/>
      <c r="U957" s="62"/>
      <c r="V957" s="37" t="str">
        <f>IFERROR(__xludf.DUMMYFUNCTION("if(not(iserror(index(split(C957, "" ""),2))), index(split(C957, "" ""),1),"""")"),"")</f>
        <v/>
      </c>
      <c r="W957" s="315" t="str">
        <f>IFERROR(__xludf.DUMMYFUNCTION("if(V957="""",C957,if(not(iserror(index(split(C957, "" ""),3))), index(split(C957, "" ""),3),index(split(C957, "" ""),2)))"),"")</f>
        <v/>
      </c>
      <c r="X957" s="38" t="b">
        <f t="shared" si="2"/>
        <v>0</v>
      </c>
      <c r="Y957" s="38"/>
      <c r="Z957" s="40"/>
      <c r="AA957" s="40"/>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row>
    <row r="958">
      <c r="B958" s="341"/>
      <c r="C958" s="60"/>
      <c r="D958" s="60"/>
      <c r="E958" s="58"/>
      <c r="F958" s="58"/>
      <c r="G958" s="58"/>
      <c r="H958" s="33" t="str">
        <f t="shared" si="1"/>
        <v/>
      </c>
      <c r="I958" s="58"/>
      <c r="J958" s="58"/>
      <c r="K958" s="58"/>
      <c r="L958" s="38"/>
      <c r="M958" s="58"/>
      <c r="N958" s="58"/>
      <c r="O958" s="58"/>
      <c r="P958" s="80"/>
      <c r="Q958" s="77"/>
      <c r="R958" s="62"/>
      <c r="S958" s="62"/>
      <c r="T958" s="62"/>
      <c r="U958" s="62"/>
      <c r="V958" s="37" t="str">
        <f>IFERROR(__xludf.DUMMYFUNCTION("if(not(iserror(index(split(C958, "" ""),2))), index(split(C958, "" ""),1),"""")"),"")</f>
        <v/>
      </c>
      <c r="W958" s="315" t="str">
        <f>IFERROR(__xludf.DUMMYFUNCTION("if(V958="""",C958,if(not(iserror(index(split(C958, "" ""),3))), index(split(C958, "" ""),3),index(split(C958, "" ""),2)))"),"")</f>
        <v/>
      </c>
      <c r="X958" s="38" t="b">
        <f t="shared" si="2"/>
        <v>0</v>
      </c>
      <c r="Y958" s="38"/>
      <c r="Z958" s="40"/>
      <c r="AA958" s="40"/>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row>
    <row r="959">
      <c r="B959" s="341"/>
      <c r="C959" s="60"/>
      <c r="D959" s="60"/>
      <c r="E959" s="58"/>
      <c r="F959" s="58"/>
      <c r="G959" s="58"/>
      <c r="H959" s="33" t="str">
        <f t="shared" si="1"/>
        <v/>
      </c>
      <c r="I959" s="58"/>
      <c r="J959" s="58"/>
      <c r="K959" s="58"/>
      <c r="L959" s="38"/>
      <c r="M959" s="58"/>
      <c r="N959" s="58"/>
      <c r="O959" s="58"/>
      <c r="P959" s="80"/>
      <c r="Q959" s="77"/>
      <c r="R959" s="62"/>
      <c r="S959" s="62"/>
      <c r="T959" s="62"/>
      <c r="U959" s="62"/>
      <c r="V959" s="37" t="str">
        <f>IFERROR(__xludf.DUMMYFUNCTION("if(not(iserror(index(split(C959, "" ""),2))), index(split(C959, "" ""),1),"""")"),"")</f>
        <v/>
      </c>
      <c r="W959" s="315" t="str">
        <f>IFERROR(__xludf.DUMMYFUNCTION("if(V959="""",C959,if(not(iserror(index(split(C959, "" ""),3))), index(split(C959, "" ""),3),index(split(C959, "" ""),2)))"),"")</f>
        <v/>
      </c>
      <c r="X959" s="38" t="b">
        <f t="shared" si="2"/>
        <v>0</v>
      </c>
      <c r="Y959" s="38"/>
      <c r="Z959" s="40"/>
      <c r="AA959" s="40"/>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row>
    <row r="960">
      <c r="A960" s="58"/>
      <c r="B960" s="341"/>
      <c r="C960" s="60"/>
      <c r="D960" s="60"/>
      <c r="E960" s="58"/>
      <c r="F960" s="58"/>
      <c r="G960" s="58"/>
      <c r="H960" s="33" t="str">
        <f t="shared" si="1"/>
        <v/>
      </c>
      <c r="I960" s="58"/>
      <c r="J960" s="58"/>
      <c r="K960" s="58"/>
      <c r="L960" s="38"/>
      <c r="M960" s="58"/>
      <c r="N960" s="58"/>
      <c r="O960" s="58"/>
      <c r="P960" s="80"/>
      <c r="Q960" s="77"/>
      <c r="R960" s="62"/>
      <c r="S960" s="62"/>
      <c r="T960" s="62"/>
      <c r="U960" s="62"/>
      <c r="V960" s="37" t="str">
        <f>IFERROR(__xludf.DUMMYFUNCTION("if(not(iserror(index(split(C960, "" ""),2))), index(split(C960, "" ""),1),"""")"),"")</f>
        <v/>
      </c>
      <c r="W960" s="315" t="str">
        <f>IFERROR(__xludf.DUMMYFUNCTION("if(V960="""",C960,if(not(iserror(index(split(C960, "" ""),3))), index(split(C960, "" ""),3),index(split(C960, "" ""),2)))"),"")</f>
        <v/>
      </c>
      <c r="X960" s="38" t="b">
        <f t="shared" si="2"/>
        <v>0</v>
      </c>
      <c r="Y960" s="38"/>
      <c r="Z960" s="40"/>
      <c r="AA960" s="40"/>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row>
    <row r="961">
      <c r="A961" s="58"/>
      <c r="B961" s="341"/>
      <c r="C961" s="60"/>
      <c r="D961" s="209"/>
      <c r="E961" s="58"/>
      <c r="F961" s="58"/>
      <c r="G961" s="58"/>
      <c r="H961" s="33" t="str">
        <f t="shared" si="1"/>
        <v/>
      </c>
      <c r="I961" s="58"/>
      <c r="J961" s="58"/>
      <c r="K961" s="58"/>
      <c r="L961" s="38"/>
      <c r="M961" s="58"/>
      <c r="N961" s="58"/>
      <c r="O961" s="58"/>
      <c r="P961" s="80"/>
      <c r="Q961" s="77"/>
      <c r="R961" s="62"/>
      <c r="S961" s="62"/>
      <c r="T961" s="62"/>
      <c r="U961" s="62"/>
      <c r="V961" s="37" t="str">
        <f>IFERROR(__xludf.DUMMYFUNCTION("if(not(iserror(index(split(C961, "" ""),2))), index(split(C961, "" ""),1),"""")"),"")</f>
        <v/>
      </c>
      <c r="W961" s="315" t="str">
        <f>IFERROR(__xludf.DUMMYFUNCTION("if(V961="""",C961,if(not(iserror(index(split(C961, "" ""),3))), index(split(C961, "" ""),3),index(split(C961, "" ""),2)))"),"")</f>
        <v/>
      </c>
      <c r="X961" s="38" t="b">
        <f t="shared" si="2"/>
        <v>0</v>
      </c>
      <c r="Y961" s="38"/>
      <c r="Z961" s="40"/>
      <c r="AA961" s="40"/>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row>
    <row r="962">
      <c r="A962" s="58"/>
      <c r="B962" s="341"/>
      <c r="C962" s="60"/>
      <c r="D962" s="60"/>
      <c r="E962" s="58"/>
      <c r="F962" s="58"/>
      <c r="G962" s="58"/>
      <c r="H962" s="33" t="str">
        <f t="shared" si="1"/>
        <v/>
      </c>
      <c r="I962" s="58"/>
      <c r="J962" s="58"/>
      <c r="K962" s="58"/>
      <c r="L962" s="38"/>
      <c r="M962" s="58"/>
      <c r="N962" s="58"/>
      <c r="O962" s="58"/>
      <c r="P962" s="80"/>
      <c r="Q962" s="77"/>
      <c r="R962" s="62"/>
      <c r="S962" s="62"/>
      <c r="T962" s="62"/>
      <c r="U962" s="62"/>
      <c r="V962" s="37" t="str">
        <f>IFERROR(__xludf.DUMMYFUNCTION("if(not(iserror(index(split(C962, "" ""),2))), index(split(C962, "" ""),1),"""")"),"")</f>
        <v/>
      </c>
      <c r="W962" s="315" t="str">
        <f>IFERROR(__xludf.DUMMYFUNCTION("if(V962="""",C962,if(not(iserror(index(split(C962, "" ""),3))), index(split(C962, "" ""),3),index(split(C962, "" ""),2)))"),"")</f>
        <v/>
      </c>
      <c r="X962" s="38" t="b">
        <f t="shared" si="2"/>
        <v>0</v>
      </c>
      <c r="Y962" s="38"/>
      <c r="Z962" s="40"/>
      <c r="AA962" s="40"/>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row>
    <row r="963">
      <c r="A963" s="58"/>
      <c r="B963" s="341"/>
      <c r="C963" s="60"/>
      <c r="D963" s="60"/>
      <c r="E963" s="58"/>
      <c r="F963" s="58"/>
      <c r="G963" s="58"/>
      <c r="H963" s="33" t="str">
        <f t="shared" si="1"/>
        <v/>
      </c>
      <c r="I963" s="58"/>
      <c r="J963" s="58"/>
      <c r="K963" s="58"/>
      <c r="L963" s="38"/>
      <c r="M963" s="58"/>
      <c r="N963" s="58"/>
      <c r="O963" s="58"/>
      <c r="P963" s="80"/>
      <c r="Q963" s="77"/>
      <c r="R963" s="62"/>
      <c r="S963" s="62"/>
      <c r="T963" s="62"/>
      <c r="U963" s="62"/>
      <c r="V963" s="37" t="str">
        <f>IFERROR(__xludf.DUMMYFUNCTION("if(not(iserror(index(split(C963, "" ""),2))), index(split(C963, "" ""),1),"""")"),"")</f>
        <v/>
      </c>
      <c r="W963" s="315" t="str">
        <f>IFERROR(__xludf.DUMMYFUNCTION("if(V963="""",C963,if(not(iserror(index(split(C963, "" ""),3))), index(split(C963, "" ""),3),index(split(C963, "" ""),2)))"),"")</f>
        <v/>
      </c>
      <c r="X963" s="38" t="b">
        <f t="shared" si="2"/>
        <v>0</v>
      </c>
      <c r="Y963" s="38"/>
      <c r="Z963" s="40"/>
      <c r="AA963" s="40"/>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row>
    <row r="964">
      <c r="B964" s="341"/>
      <c r="C964" s="60"/>
      <c r="D964" s="60"/>
      <c r="E964" s="58"/>
      <c r="F964" s="58"/>
      <c r="G964" s="58"/>
      <c r="H964" s="33" t="str">
        <f t="shared" si="1"/>
        <v/>
      </c>
      <c r="I964" s="58"/>
      <c r="J964" s="58"/>
      <c r="K964" s="58"/>
      <c r="L964" s="38"/>
      <c r="M964" s="58"/>
      <c r="N964" s="58"/>
      <c r="O964" s="58"/>
      <c r="P964" s="80"/>
      <c r="Q964" s="77"/>
      <c r="R964" s="62"/>
      <c r="S964" s="62"/>
      <c r="T964" s="84"/>
      <c r="U964" s="62"/>
      <c r="V964" s="37" t="str">
        <f>IFERROR(__xludf.DUMMYFUNCTION("if(not(iserror(index(split(C964, "" ""),2))), index(split(C964, "" ""),1),"""")"),"")</f>
        <v/>
      </c>
      <c r="W964" s="315" t="str">
        <f>IFERROR(__xludf.DUMMYFUNCTION("if(V964="""",C964,if(not(iserror(index(split(C964, "" ""),3))), index(split(C964, "" ""),3),index(split(C964, "" ""),2)))"),"")</f>
        <v/>
      </c>
      <c r="X964" s="38" t="b">
        <f t="shared" si="2"/>
        <v>0</v>
      </c>
      <c r="Y964" s="38"/>
      <c r="Z964" s="40"/>
      <c r="AA964" s="40"/>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row>
    <row r="965">
      <c r="B965" s="341"/>
      <c r="C965" s="60"/>
      <c r="D965" s="60"/>
      <c r="E965" s="58"/>
      <c r="F965" s="58"/>
      <c r="G965" s="58"/>
      <c r="H965" s="33" t="str">
        <f t="shared" si="1"/>
        <v/>
      </c>
      <c r="I965" s="58"/>
      <c r="J965" s="58"/>
      <c r="K965" s="58"/>
      <c r="L965" s="38"/>
      <c r="M965" s="58"/>
      <c r="N965" s="58"/>
      <c r="O965" s="58"/>
      <c r="P965" s="80"/>
      <c r="Q965" s="80"/>
      <c r="R965" s="62"/>
      <c r="S965" s="58"/>
      <c r="T965" s="58"/>
      <c r="U965" s="62"/>
      <c r="V965" s="37" t="str">
        <f>IFERROR(__xludf.DUMMYFUNCTION("if(not(iserror(index(split(C965, "" ""),2))), index(split(C965, "" ""),1),"""")"),"")</f>
        <v/>
      </c>
      <c r="W965" s="315" t="str">
        <f>IFERROR(__xludf.DUMMYFUNCTION("if(V965="""",C965,if(not(iserror(index(split(C965, "" ""),3))), index(split(C965, "" ""),3),index(split(C965, "" ""),2)))"),"")</f>
        <v/>
      </c>
      <c r="X965" s="38" t="b">
        <f t="shared" si="2"/>
        <v>0</v>
      </c>
      <c r="Y965" s="38"/>
      <c r="Z965" s="40"/>
      <c r="AA965" s="40"/>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row>
    <row r="966">
      <c r="A966" s="58"/>
      <c r="B966" s="341"/>
      <c r="C966" s="60"/>
      <c r="D966" s="60"/>
      <c r="E966" s="58"/>
      <c r="F966" s="58"/>
      <c r="G966" s="58"/>
      <c r="H966" s="33" t="str">
        <f t="shared" si="1"/>
        <v/>
      </c>
      <c r="I966" s="58"/>
      <c r="J966" s="58"/>
      <c r="K966" s="58"/>
      <c r="L966" s="38"/>
      <c r="M966" s="58"/>
      <c r="N966" s="58"/>
      <c r="O966" s="58"/>
      <c r="P966" s="80"/>
      <c r="Q966" s="80"/>
      <c r="R966" s="62"/>
      <c r="S966" s="58"/>
      <c r="T966" s="58"/>
      <c r="U966" s="62"/>
      <c r="V966" s="37" t="str">
        <f>IFERROR(__xludf.DUMMYFUNCTION("if(not(iserror(index(split(C966, "" ""),2))), index(split(C966, "" ""),1),"""")"),"")</f>
        <v/>
      </c>
      <c r="W966" s="315" t="str">
        <f>IFERROR(__xludf.DUMMYFUNCTION("if(V966="""",C966,if(not(iserror(index(split(C966, "" ""),3))), index(split(C966, "" ""),3),index(split(C966, "" ""),2)))"),"")</f>
        <v/>
      </c>
      <c r="X966" s="38" t="b">
        <f t="shared" si="2"/>
        <v>0</v>
      </c>
      <c r="Y966" s="38"/>
      <c r="Z966" s="40"/>
      <c r="AA966" s="40"/>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row>
    <row r="967">
      <c r="A967" s="58"/>
      <c r="B967" s="341"/>
      <c r="C967" s="60"/>
      <c r="D967" s="60"/>
      <c r="E967" s="58"/>
      <c r="F967" s="58"/>
      <c r="G967" s="58"/>
      <c r="H967" s="33" t="str">
        <f t="shared" si="1"/>
        <v/>
      </c>
      <c r="I967" s="58"/>
      <c r="J967" s="58"/>
      <c r="K967" s="58"/>
      <c r="L967" s="38"/>
      <c r="M967" s="58"/>
      <c r="N967" s="58"/>
      <c r="O967" s="58"/>
      <c r="P967" s="80"/>
      <c r="Q967" s="80"/>
      <c r="R967" s="62"/>
      <c r="S967" s="58"/>
      <c r="T967" s="58"/>
      <c r="U967" s="62"/>
      <c r="V967" s="37" t="str">
        <f>IFERROR(__xludf.DUMMYFUNCTION("if(not(iserror(index(split(C967, "" ""),2))), index(split(C967, "" ""),1),"""")"),"")</f>
        <v/>
      </c>
      <c r="W967" s="315" t="str">
        <f>IFERROR(__xludf.DUMMYFUNCTION("if(V967="""",C967,if(not(iserror(index(split(C967, "" ""),3))), index(split(C967, "" ""),3),index(split(C967, "" ""),2)))"),"")</f>
        <v/>
      </c>
      <c r="X967" s="38" t="b">
        <f t="shared" si="2"/>
        <v>0</v>
      </c>
      <c r="Y967" s="38"/>
      <c r="Z967" s="40"/>
      <c r="AA967" s="40"/>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row>
    <row r="968">
      <c r="A968" s="58"/>
      <c r="B968" s="341"/>
      <c r="C968" s="60"/>
      <c r="D968" s="60"/>
      <c r="E968" s="58"/>
      <c r="F968" s="58"/>
      <c r="G968" s="58"/>
      <c r="H968" s="33" t="str">
        <f t="shared" si="1"/>
        <v/>
      </c>
      <c r="I968" s="58"/>
      <c r="J968" s="58"/>
      <c r="K968" s="58"/>
      <c r="L968" s="38"/>
      <c r="M968" s="58"/>
      <c r="N968" s="58"/>
      <c r="O968" s="58"/>
      <c r="P968" s="80"/>
      <c r="Q968" s="80"/>
      <c r="R968" s="62"/>
      <c r="S968" s="58"/>
      <c r="T968" s="58"/>
      <c r="U968" s="62"/>
      <c r="V968" s="37" t="str">
        <f>IFERROR(__xludf.DUMMYFUNCTION("if(not(iserror(index(split(C968, "" ""),2))), index(split(C968, "" ""),1),"""")"),"")</f>
        <v/>
      </c>
      <c r="W968" s="315" t="str">
        <f>IFERROR(__xludf.DUMMYFUNCTION("if(V968="""",C968,if(not(iserror(index(split(C968, "" ""),3))), index(split(C968, "" ""),3),index(split(C968, "" ""),2)))"),"")</f>
        <v/>
      </c>
      <c r="X968" s="38" t="b">
        <f t="shared" si="2"/>
        <v>0</v>
      </c>
      <c r="Y968" s="38"/>
      <c r="Z968" s="40"/>
      <c r="AA968" s="40"/>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row>
    <row r="969">
      <c r="A969" s="58"/>
      <c r="B969" s="341"/>
      <c r="C969" s="60"/>
      <c r="D969" s="60"/>
      <c r="E969" s="58"/>
      <c r="F969" s="58"/>
      <c r="G969" s="58"/>
      <c r="H969" s="33" t="str">
        <f t="shared" si="1"/>
        <v/>
      </c>
      <c r="I969" s="58"/>
      <c r="J969" s="58"/>
      <c r="K969" s="58"/>
      <c r="L969" s="38"/>
      <c r="M969" s="58"/>
      <c r="N969" s="58"/>
      <c r="O969" s="58"/>
      <c r="P969" s="80"/>
      <c r="Q969" s="77"/>
      <c r="R969" s="62"/>
      <c r="S969" s="62"/>
      <c r="T969" s="62"/>
      <c r="U969" s="62"/>
      <c r="V969" s="37" t="str">
        <f>IFERROR(__xludf.DUMMYFUNCTION("if(not(iserror(index(split(C969, "" ""),2))), index(split(C969, "" ""),1),"""")"),"")</f>
        <v/>
      </c>
      <c r="W969" s="315" t="str">
        <f>IFERROR(__xludf.DUMMYFUNCTION("if(V969="""",C969,if(not(iserror(index(split(C969, "" ""),3))), index(split(C969, "" ""),3),index(split(C969, "" ""),2)))"),"")</f>
        <v/>
      </c>
      <c r="X969" s="38" t="b">
        <f t="shared" si="2"/>
        <v>0</v>
      </c>
      <c r="Y969" s="38"/>
      <c r="Z969" s="40"/>
      <c r="AA969" s="40"/>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row>
    <row r="970">
      <c r="A970" s="58"/>
      <c r="B970" s="341"/>
      <c r="C970" s="60"/>
      <c r="D970" s="60"/>
      <c r="E970" s="58"/>
      <c r="F970" s="58"/>
      <c r="G970" s="58"/>
      <c r="H970" s="33" t="str">
        <f t="shared" si="1"/>
        <v/>
      </c>
      <c r="I970" s="58"/>
      <c r="J970" s="58"/>
      <c r="K970" s="58"/>
      <c r="L970" s="38"/>
      <c r="M970" s="58"/>
      <c r="N970" s="58"/>
      <c r="O970" s="58"/>
      <c r="P970" s="80"/>
      <c r="Q970" s="77"/>
      <c r="R970" s="62"/>
      <c r="S970" s="62"/>
      <c r="T970" s="62"/>
      <c r="U970" s="62"/>
      <c r="V970" s="37" t="str">
        <f>IFERROR(__xludf.DUMMYFUNCTION("if(not(iserror(index(split(C970, "" ""),2))), index(split(C970, "" ""),1),"""")"),"")</f>
        <v/>
      </c>
      <c r="W970" s="315" t="str">
        <f>IFERROR(__xludf.DUMMYFUNCTION("if(V970="""",C970,if(not(iserror(index(split(C970, "" ""),3))), index(split(C970, "" ""),3),index(split(C970, "" ""),2)))"),"")</f>
        <v/>
      </c>
      <c r="X970" s="38" t="b">
        <f t="shared" si="2"/>
        <v>0</v>
      </c>
      <c r="Y970" s="38"/>
      <c r="Z970" s="40"/>
      <c r="AA970" s="40"/>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row>
    <row r="971">
      <c r="A971" s="58"/>
      <c r="B971" s="341"/>
      <c r="C971" s="60"/>
      <c r="D971" s="60"/>
      <c r="E971" s="58"/>
      <c r="F971" s="58"/>
      <c r="G971" s="58"/>
      <c r="H971" s="33" t="str">
        <f t="shared" si="1"/>
        <v/>
      </c>
      <c r="I971" s="58"/>
      <c r="J971" s="58"/>
      <c r="K971" s="58"/>
      <c r="L971" s="38"/>
      <c r="M971" s="58"/>
      <c r="N971" s="58"/>
      <c r="O971" s="58"/>
      <c r="P971" s="80"/>
      <c r="Q971" s="77"/>
      <c r="R971" s="62"/>
      <c r="S971" s="62"/>
      <c r="T971" s="62"/>
      <c r="U971" s="62"/>
      <c r="V971" s="37" t="str">
        <f>IFERROR(__xludf.DUMMYFUNCTION("if(not(iserror(index(split(C971, "" ""),2))), index(split(C971, "" ""),1),"""")"),"")</f>
        <v/>
      </c>
      <c r="W971" s="315" t="str">
        <f>IFERROR(__xludf.DUMMYFUNCTION("if(V971="""",C971,if(not(iserror(index(split(C971, "" ""),3))), index(split(C971, "" ""),3),index(split(C971, "" ""),2)))"),"")</f>
        <v/>
      </c>
      <c r="X971" s="38" t="b">
        <f t="shared" si="2"/>
        <v>0</v>
      </c>
      <c r="Y971" s="38"/>
      <c r="Z971" s="40"/>
      <c r="AA971" s="40"/>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row>
    <row r="972">
      <c r="A972" s="58"/>
      <c r="B972" s="341"/>
      <c r="C972" s="60"/>
      <c r="D972" s="60"/>
      <c r="E972" s="58"/>
      <c r="F972" s="58"/>
      <c r="G972" s="58"/>
      <c r="H972" s="33" t="str">
        <f t="shared" si="1"/>
        <v/>
      </c>
      <c r="I972" s="58"/>
      <c r="J972" s="58"/>
      <c r="K972" s="58"/>
      <c r="L972" s="38"/>
      <c r="M972" s="58"/>
      <c r="N972" s="58"/>
      <c r="O972" s="58"/>
      <c r="P972" s="80"/>
      <c r="Q972" s="77"/>
      <c r="R972" s="62"/>
      <c r="S972" s="62"/>
      <c r="T972" s="62"/>
      <c r="U972" s="62"/>
      <c r="V972" s="37" t="str">
        <f>IFERROR(__xludf.DUMMYFUNCTION("if(not(iserror(index(split(C972, "" ""),2))), index(split(C972, "" ""),1),"""")"),"")</f>
        <v/>
      </c>
      <c r="W972" s="315" t="str">
        <f>IFERROR(__xludf.DUMMYFUNCTION("if(V972="""",C972,if(not(iserror(index(split(C972, "" ""),3))), index(split(C972, "" ""),3),index(split(C972, "" ""),2)))"),"")</f>
        <v/>
      </c>
      <c r="X972" s="38" t="b">
        <f t="shared" si="2"/>
        <v>0</v>
      </c>
      <c r="Y972" s="38"/>
      <c r="Z972" s="40"/>
      <c r="AA972" s="40"/>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row>
    <row r="973">
      <c r="A973" s="58"/>
      <c r="B973" s="341"/>
      <c r="C973" s="60"/>
      <c r="D973" s="60"/>
      <c r="E973" s="58"/>
      <c r="F973" s="58"/>
      <c r="G973" s="58"/>
      <c r="H973" s="33" t="str">
        <f t="shared" si="1"/>
        <v/>
      </c>
      <c r="I973" s="58"/>
      <c r="J973" s="58"/>
      <c r="K973" s="58"/>
      <c r="L973" s="38"/>
      <c r="M973" s="58"/>
      <c r="N973" s="58"/>
      <c r="O973" s="58"/>
      <c r="P973" s="80"/>
      <c r="Q973" s="77"/>
      <c r="R973" s="62"/>
      <c r="S973" s="62"/>
      <c r="T973" s="62"/>
      <c r="U973" s="62"/>
      <c r="V973" s="37" t="str">
        <f>IFERROR(__xludf.DUMMYFUNCTION("if(not(iserror(index(split(C973, "" ""),2))), index(split(C973, "" ""),1),"""")"),"")</f>
        <v/>
      </c>
      <c r="W973" s="315" t="str">
        <f>IFERROR(__xludf.DUMMYFUNCTION("if(V973="""",C973,if(not(iserror(index(split(C973, "" ""),3))), index(split(C973, "" ""),3),index(split(C973, "" ""),2)))"),"")</f>
        <v/>
      </c>
      <c r="X973" s="38" t="b">
        <f t="shared" si="2"/>
        <v>0</v>
      </c>
      <c r="Y973" s="38"/>
      <c r="Z973" s="40"/>
      <c r="AA973" s="40"/>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row>
    <row r="974">
      <c r="A974" s="58"/>
      <c r="B974" s="341"/>
      <c r="C974" s="60"/>
      <c r="D974" s="60"/>
      <c r="E974" s="58"/>
      <c r="F974" s="58"/>
      <c r="G974" s="58"/>
      <c r="H974" s="33" t="str">
        <f t="shared" si="1"/>
        <v/>
      </c>
      <c r="I974" s="58"/>
      <c r="J974" s="58"/>
      <c r="K974" s="58"/>
      <c r="L974" s="38"/>
      <c r="M974" s="58"/>
      <c r="N974" s="58"/>
      <c r="O974" s="58"/>
      <c r="P974" s="80"/>
      <c r="Q974" s="77"/>
      <c r="R974" s="62"/>
      <c r="S974" s="62"/>
      <c r="T974" s="62"/>
      <c r="U974" s="62"/>
      <c r="V974" s="37" t="str">
        <f>IFERROR(__xludf.DUMMYFUNCTION("if(not(iserror(index(split(C974, "" ""),2))), index(split(C974, "" ""),1),"""")"),"")</f>
        <v/>
      </c>
      <c r="W974" s="315" t="str">
        <f>IFERROR(__xludf.DUMMYFUNCTION("if(V974="""",C974,if(not(iserror(index(split(C974, "" ""),3))), index(split(C974, "" ""),3),index(split(C974, "" ""),2)))"),"")</f>
        <v/>
      </c>
      <c r="X974" s="38" t="b">
        <f t="shared" si="2"/>
        <v>0</v>
      </c>
      <c r="Y974" s="38"/>
      <c r="Z974" s="40"/>
      <c r="AA974" s="40"/>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row>
    <row r="975">
      <c r="A975" s="58"/>
      <c r="B975" s="341"/>
      <c r="C975" s="60"/>
      <c r="D975" s="60"/>
      <c r="E975" s="58"/>
      <c r="F975" s="58"/>
      <c r="G975" s="58"/>
      <c r="H975" s="33" t="str">
        <f t="shared" si="1"/>
        <v/>
      </c>
      <c r="I975" s="58"/>
      <c r="J975" s="58"/>
      <c r="K975" s="58"/>
      <c r="L975" s="38"/>
      <c r="M975" s="58"/>
      <c r="N975" s="58"/>
      <c r="O975" s="58"/>
      <c r="P975" s="80"/>
      <c r="Q975" s="77"/>
      <c r="R975" s="62"/>
      <c r="S975" s="62"/>
      <c r="T975" s="62"/>
      <c r="U975" s="62"/>
      <c r="V975" s="37" t="str">
        <f>IFERROR(__xludf.DUMMYFUNCTION("if(not(iserror(index(split(C975, "" ""),2))), index(split(C975, "" ""),1),"""")"),"")</f>
        <v/>
      </c>
      <c r="W975" s="315" t="str">
        <f>IFERROR(__xludf.DUMMYFUNCTION("if(V975="""",C975,if(not(iserror(index(split(C975, "" ""),3))), index(split(C975, "" ""),3),index(split(C975, "" ""),2)))"),"")</f>
        <v/>
      </c>
      <c r="X975" s="38" t="b">
        <f t="shared" si="2"/>
        <v>0</v>
      </c>
      <c r="Y975" s="38"/>
      <c r="Z975" s="40"/>
      <c r="AA975" s="40"/>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row>
    <row r="976">
      <c r="A976" s="58"/>
      <c r="B976" s="341"/>
      <c r="C976" s="60"/>
      <c r="D976" s="60"/>
      <c r="E976" s="58"/>
      <c r="F976" s="58"/>
      <c r="G976" s="58"/>
      <c r="H976" s="33" t="str">
        <f t="shared" si="1"/>
        <v/>
      </c>
      <c r="I976" s="58"/>
      <c r="J976" s="58"/>
      <c r="K976" s="58"/>
      <c r="L976" s="38"/>
      <c r="M976" s="58"/>
      <c r="N976" s="58"/>
      <c r="O976" s="58"/>
      <c r="P976" s="80"/>
      <c r="Q976" s="77"/>
      <c r="R976" s="62"/>
      <c r="S976" s="62"/>
      <c r="T976" s="62"/>
      <c r="U976" s="62"/>
      <c r="V976" s="37" t="str">
        <f>IFERROR(__xludf.DUMMYFUNCTION("if(not(iserror(index(split(C976, "" ""),2))), index(split(C976, "" ""),1),"""")"),"")</f>
        <v/>
      </c>
      <c r="W976" s="315" t="str">
        <f>IFERROR(__xludf.DUMMYFUNCTION("if(V976="""",C976,if(not(iserror(index(split(C976, "" ""),3))), index(split(C976, "" ""),3),index(split(C976, "" ""),2)))"),"")</f>
        <v/>
      </c>
      <c r="X976" s="38" t="b">
        <f t="shared" si="2"/>
        <v>0</v>
      </c>
      <c r="Y976" s="38"/>
      <c r="Z976" s="40"/>
      <c r="AA976" s="40"/>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row>
    <row r="977">
      <c r="B977" s="341"/>
      <c r="C977" s="60"/>
      <c r="D977" s="60"/>
      <c r="E977" s="58"/>
      <c r="F977" s="58"/>
      <c r="G977" s="58"/>
      <c r="H977" s="33" t="str">
        <f t="shared" si="1"/>
        <v/>
      </c>
      <c r="I977" s="58"/>
      <c r="J977" s="58"/>
      <c r="K977" s="58"/>
      <c r="L977" s="38"/>
      <c r="M977" s="58"/>
      <c r="N977" s="58"/>
      <c r="O977" s="58"/>
      <c r="P977" s="80"/>
      <c r="Q977" s="77"/>
      <c r="R977" s="62"/>
      <c r="S977" s="62"/>
      <c r="T977" s="62"/>
      <c r="U977" s="62"/>
      <c r="V977" s="37" t="str">
        <f>IFERROR(__xludf.DUMMYFUNCTION("if(not(iserror(index(split(C977, "" ""),2))), index(split(C977, "" ""),1),"""")"),"")</f>
        <v/>
      </c>
      <c r="W977" s="315" t="str">
        <f>IFERROR(__xludf.DUMMYFUNCTION("if(V977="""",C977,if(not(iserror(index(split(C977, "" ""),3))), index(split(C977, "" ""),3),index(split(C977, "" ""),2)))"),"")</f>
        <v/>
      </c>
      <c r="X977" s="38" t="b">
        <f t="shared" si="2"/>
        <v>0</v>
      </c>
      <c r="Y977" s="38"/>
      <c r="Z977" s="40"/>
      <c r="AA977" s="40"/>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row>
    <row r="978">
      <c r="A978" s="58"/>
      <c r="B978" s="341"/>
      <c r="C978" s="60"/>
      <c r="D978" s="60"/>
      <c r="E978" s="58"/>
      <c r="F978" s="58"/>
      <c r="G978" s="58"/>
      <c r="H978" s="33" t="str">
        <f t="shared" si="1"/>
        <v/>
      </c>
      <c r="I978" s="58"/>
      <c r="J978" s="58"/>
      <c r="K978" s="58"/>
      <c r="L978" s="38"/>
      <c r="M978" s="58"/>
      <c r="N978" s="58"/>
      <c r="O978" s="58"/>
      <c r="P978" s="80"/>
      <c r="Q978" s="77"/>
      <c r="R978" s="62"/>
      <c r="S978" s="62"/>
      <c r="T978" s="62"/>
      <c r="U978" s="62"/>
      <c r="V978" s="37" t="str">
        <f>IFERROR(__xludf.DUMMYFUNCTION("if(not(iserror(index(split(C978, "" ""),2))), index(split(C978, "" ""),1),"""")"),"")</f>
        <v/>
      </c>
      <c r="W978" s="315" t="str">
        <f>IFERROR(__xludf.DUMMYFUNCTION("if(V978="""",C978,if(not(iserror(index(split(C978, "" ""),3))), index(split(C978, "" ""),3),index(split(C978, "" ""),2)))"),"")</f>
        <v/>
      </c>
      <c r="X978" s="38" t="b">
        <f t="shared" si="2"/>
        <v>0</v>
      </c>
      <c r="Y978" s="38"/>
      <c r="Z978" s="40"/>
      <c r="AA978" s="40"/>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row>
    <row r="979">
      <c r="A979" s="58"/>
      <c r="B979" s="341"/>
      <c r="C979" s="60"/>
      <c r="D979" s="60"/>
      <c r="E979" s="58"/>
      <c r="F979" s="58"/>
      <c r="G979" s="58"/>
      <c r="H979" s="33" t="str">
        <f t="shared" si="1"/>
        <v/>
      </c>
      <c r="I979" s="58"/>
      <c r="J979" s="58"/>
      <c r="K979" s="58"/>
      <c r="L979" s="38"/>
      <c r="M979" s="58"/>
      <c r="N979" s="58"/>
      <c r="O979" s="58"/>
      <c r="P979" s="80"/>
      <c r="Q979" s="77"/>
      <c r="R979" s="58"/>
      <c r="S979" s="62"/>
      <c r="T979" s="84"/>
      <c r="U979" s="62"/>
      <c r="V979" s="37" t="str">
        <f>IFERROR(__xludf.DUMMYFUNCTION("if(not(iserror(index(split(C979, "" ""),2))), index(split(C979, "" ""),1),"""")"),"")</f>
        <v/>
      </c>
      <c r="W979" s="315" t="str">
        <f>IFERROR(__xludf.DUMMYFUNCTION("if(V979="""",C979,if(not(iserror(index(split(C979, "" ""),3))), index(split(C979, "" ""),3),index(split(C979, "" ""),2)))"),"")</f>
        <v/>
      </c>
      <c r="X979" s="38" t="b">
        <f t="shared" si="2"/>
        <v>0</v>
      </c>
      <c r="Y979" s="38"/>
      <c r="Z979" s="40"/>
      <c r="AA979" s="40"/>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row>
    <row r="980">
      <c r="A980" s="58"/>
      <c r="B980" s="341"/>
      <c r="C980" s="60"/>
      <c r="D980" s="60"/>
      <c r="E980" s="58"/>
      <c r="F980" s="58"/>
      <c r="G980" s="58"/>
      <c r="H980" s="33" t="str">
        <f t="shared" si="1"/>
        <v/>
      </c>
      <c r="I980" s="58"/>
      <c r="J980" s="58"/>
      <c r="K980" s="58"/>
      <c r="L980" s="38"/>
      <c r="M980" s="58"/>
      <c r="N980" s="58"/>
      <c r="O980" s="58"/>
      <c r="P980" s="80"/>
      <c r="Q980" s="77"/>
      <c r="R980" s="58"/>
      <c r="S980" s="62"/>
      <c r="T980" s="58"/>
      <c r="U980" s="62"/>
      <c r="V980" s="37" t="str">
        <f>IFERROR(__xludf.DUMMYFUNCTION("if(not(iserror(index(split(C980, "" ""),2))), index(split(C980, "" ""),1),"""")"),"")</f>
        <v/>
      </c>
      <c r="W980" s="315" t="str">
        <f>IFERROR(__xludf.DUMMYFUNCTION("if(V980="""",C980,if(not(iserror(index(split(C980, "" ""),3))), index(split(C980, "" ""),3),index(split(C980, "" ""),2)))"),"")</f>
        <v/>
      </c>
      <c r="X980" s="38" t="b">
        <f t="shared" si="2"/>
        <v>0</v>
      </c>
      <c r="Y980" s="38"/>
      <c r="Z980" s="40"/>
      <c r="AA980" s="40"/>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row>
    <row r="981">
      <c r="A981" s="58"/>
      <c r="B981" s="341"/>
      <c r="C981" s="60"/>
      <c r="D981" s="60"/>
      <c r="E981" s="58"/>
      <c r="F981" s="58"/>
      <c r="G981" s="58"/>
      <c r="H981" s="33" t="str">
        <f t="shared" si="1"/>
        <v/>
      </c>
      <c r="I981" s="58"/>
      <c r="J981" s="58"/>
      <c r="K981" s="58"/>
      <c r="L981" s="38"/>
      <c r="M981" s="58"/>
      <c r="N981" s="58"/>
      <c r="O981" s="58"/>
      <c r="P981" s="80"/>
      <c r="Q981" s="77"/>
      <c r="R981" s="62"/>
      <c r="S981" s="62"/>
      <c r="T981" s="62"/>
      <c r="U981" s="62"/>
      <c r="V981" s="37" t="str">
        <f>IFERROR(__xludf.DUMMYFUNCTION("if(not(iserror(index(split(C981, "" ""),2))), index(split(C981, "" ""),1),"""")"),"")</f>
        <v/>
      </c>
      <c r="W981" s="315" t="str">
        <f>IFERROR(__xludf.DUMMYFUNCTION("if(V981="""",C981,if(not(iserror(index(split(C981, "" ""),3))), index(split(C981, "" ""),3),index(split(C981, "" ""),2)))"),"")</f>
        <v/>
      </c>
      <c r="X981" s="38" t="b">
        <f t="shared" si="2"/>
        <v>0</v>
      </c>
      <c r="Y981" s="38"/>
      <c r="Z981" s="40"/>
      <c r="AA981" s="40"/>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row>
    <row r="982">
      <c r="A982" s="58"/>
      <c r="B982" s="341"/>
      <c r="C982" s="60"/>
      <c r="D982" s="60"/>
      <c r="E982" s="58"/>
      <c r="F982" s="58"/>
      <c r="G982" s="58"/>
      <c r="H982" s="33" t="str">
        <f t="shared" si="1"/>
        <v/>
      </c>
      <c r="I982" s="58"/>
      <c r="J982" s="58"/>
      <c r="K982" s="58"/>
      <c r="L982" s="38"/>
      <c r="M982" s="58"/>
      <c r="N982" s="58"/>
      <c r="O982" s="58"/>
      <c r="P982" s="80"/>
      <c r="Q982" s="77"/>
      <c r="R982" s="62"/>
      <c r="S982" s="58"/>
      <c r="T982" s="84"/>
      <c r="U982" s="62"/>
      <c r="V982" s="37" t="str">
        <f>IFERROR(__xludf.DUMMYFUNCTION("if(not(iserror(index(split(C982, "" ""),2))), index(split(C982, "" ""),1),"""")"),"")</f>
        <v/>
      </c>
      <c r="W982" s="315" t="str">
        <f>IFERROR(__xludf.DUMMYFUNCTION("if(V982="""",C982,if(not(iserror(index(split(C982, "" ""),3))), index(split(C982, "" ""),3),index(split(C982, "" ""),2)))"),"")</f>
        <v/>
      </c>
      <c r="X982" s="38" t="b">
        <f t="shared" si="2"/>
        <v>0</v>
      </c>
      <c r="Y982" s="38"/>
      <c r="Z982" s="40"/>
      <c r="AA982" s="40"/>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row>
    <row r="983">
      <c r="A983" s="58"/>
      <c r="B983" s="341"/>
      <c r="C983" s="60"/>
      <c r="D983" s="60"/>
      <c r="E983" s="58"/>
      <c r="F983" s="58"/>
      <c r="G983" s="58"/>
      <c r="H983" s="33" t="str">
        <f t="shared" si="1"/>
        <v/>
      </c>
      <c r="I983" s="58"/>
      <c r="J983" s="58"/>
      <c r="K983" s="58"/>
      <c r="L983" s="38"/>
      <c r="M983" s="58"/>
      <c r="N983" s="58"/>
      <c r="O983" s="58"/>
      <c r="P983" s="80"/>
      <c r="Q983" s="77"/>
      <c r="R983" s="62"/>
      <c r="S983" s="58"/>
      <c r="T983" s="84"/>
      <c r="U983" s="62"/>
      <c r="V983" s="37" t="str">
        <f>IFERROR(__xludf.DUMMYFUNCTION("if(not(iserror(index(split(C983, "" ""),2))), index(split(C983, "" ""),1),"""")"),"")</f>
        <v/>
      </c>
      <c r="W983" s="315" t="str">
        <f>IFERROR(__xludf.DUMMYFUNCTION("if(V983="""",C983,if(not(iserror(index(split(C983, "" ""),3))), index(split(C983, "" ""),3),index(split(C983, "" ""),2)))"),"")</f>
        <v/>
      </c>
      <c r="X983" s="38" t="b">
        <f t="shared" si="2"/>
        <v>0</v>
      </c>
      <c r="Y983" s="38"/>
      <c r="Z983" s="40"/>
      <c r="AA983" s="40"/>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row>
    <row r="984">
      <c r="A984" s="58"/>
      <c r="B984" s="341"/>
      <c r="C984" s="60"/>
      <c r="D984" s="60"/>
      <c r="E984" s="58"/>
      <c r="F984" s="58"/>
      <c r="G984" s="58"/>
      <c r="H984" s="33" t="str">
        <f t="shared" si="1"/>
        <v/>
      </c>
      <c r="I984" s="58"/>
      <c r="J984" s="58"/>
      <c r="K984" s="58"/>
      <c r="L984" s="38"/>
      <c r="M984" s="58"/>
      <c r="N984" s="58"/>
      <c r="O984" s="58"/>
      <c r="P984" s="80"/>
      <c r="Q984" s="77"/>
      <c r="R984" s="62"/>
      <c r="S984" s="62"/>
      <c r="T984" s="62"/>
      <c r="U984" s="62"/>
      <c r="V984" s="37" t="str">
        <f>IFERROR(__xludf.DUMMYFUNCTION("if(not(iserror(index(split(C984, "" ""),2))), index(split(C984, "" ""),1),"""")"),"")</f>
        <v/>
      </c>
      <c r="W984" s="315" t="str">
        <f>IFERROR(__xludf.DUMMYFUNCTION("if(V984="""",C984,if(not(iserror(index(split(C984, "" ""),3))), index(split(C984, "" ""),3),index(split(C984, "" ""),2)))"),"")</f>
        <v/>
      </c>
      <c r="X984" s="38" t="b">
        <f t="shared" si="2"/>
        <v>0</v>
      </c>
      <c r="Y984" s="38"/>
      <c r="Z984" s="40"/>
      <c r="AA984" s="40"/>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row>
    <row r="985">
      <c r="B985" s="341"/>
      <c r="C985" s="60"/>
      <c r="D985" s="60"/>
      <c r="E985" s="58"/>
      <c r="F985" s="58"/>
      <c r="G985" s="58"/>
      <c r="H985" s="33" t="str">
        <f t="shared" si="1"/>
        <v/>
      </c>
      <c r="I985" s="58"/>
      <c r="J985" s="58"/>
      <c r="K985" s="58"/>
      <c r="L985" s="38"/>
      <c r="M985" s="58"/>
      <c r="N985" s="58"/>
      <c r="O985" s="58"/>
      <c r="P985" s="80"/>
      <c r="Q985" s="77"/>
      <c r="R985" s="62"/>
      <c r="S985" s="62"/>
      <c r="T985" s="62"/>
      <c r="U985" s="62"/>
      <c r="V985" s="37" t="str">
        <f>IFERROR(__xludf.DUMMYFUNCTION("if(not(iserror(index(split(C985, "" ""),2))), index(split(C985, "" ""),1),"""")"),"")</f>
        <v/>
      </c>
      <c r="W985" s="315" t="str">
        <f>IFERROR(__xludf.DUMMYFUNCTION("if(V985="""",C985,if(not(iserror(index(split(C985, "" ""),3))), index(split(C985, "" ""),3),index(split(C985, "" ""),2)))"),"")</f>
        <v/>
      </c>
      <c r="X985" s="38" t="b">
        <f t="shared" si="2"/>
        <v>0</v>
      </c>
      <c r="Y985" s="38"/>
      <c r="Z985" s="40"/>
      <c r="AA985" s="40"/>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row>
    <row r="986">
      <c r="B986" s="341"/>
      <c r="C986" s="60"/>
      <c r="D986" s="60"/>
      <c r="E986" s="58"/>
      <c r="F986" s="58"/>
      <c r="G986" s="58"/>
      <c r="H986" s="33" t="str">
        <f t="shared" si="1"/>
        <v/>
      </c>
      <c r="I986" s="58"/>
      <c r="J986" s="58"/>
      <c r="K986" s="58"/>
      <c r="L986" s="38"/>
      <c r="M986" s="58"/>
      <c r="N986" s="58"/>
      <c r="O986" s="58"/>
      <c r="P986" s="80"/>
      <c r="Q986" s="77"/>
      <c r="R986" s="62"/>
      <c r="S986" s="62"/>
      <c r="T986" s="62"/>
      <c r="U986" s="62"/>
      <c r="V986" s="37" t="str">
        <f>IFERROR(__xludf.DUMMYFUNCTION("if(not(iserror(index(split(C986, "" ""),2))), index(split(C986, "" ""),1),"""")"),"")</f>
        <v/>
      </c>
      <c r="W986" s="315" t="str">
        <f>IFERROR(__xludf.DUMMYFUNCTION("if(V986="""",C986,if(not(iserror(index(split(C986, "" ""),3))), index(split(C986, "" ""),3),index(split(C986, "" ""),2)))"),"")</f>
        <v/>
      </c>
      <c r="X986" s="38" t="b">
        <f t="shared" si="2"/>
        <v>0</v>
      </c>
      <c r="Y986" s="38"/>
      <c r="Z986" s="40"/>
      <c r="AA986" s="40"/>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row>
    <row r="987">
      <c r="B987" s="341"/>
      <c r="C987" s="60"/>
      <c r="D987" s="60"/>
      <c r="E987" s="58"/>
      <c r="F987" s="58"/>
      <c r="G987" s="58"/>
      <c r="H987" s="33" t="str">
        <f t="shared" si="1"/>
        <v/>
      </c>
      <c r="I987" s="58"/>
      <c r="J987" s="58"/>
      <c r="K987" s="58"/>
      <c r="L987" s="38"/>
      <c r="M987" s="58"/>
      <c r="N987" s="58"/>
      <c r="O987" s="58"/>
      <c r="P987" s="80"/>
      <c r="Q987" s="77"/>
      <c r="R987" s="62"/>
      <c r="S987" s="62"/>
      <c r="T987" s="62"/>
      <c r="U987" s="62"/>
      <c r="V987" s="37" t="str">
        <f>IFERROR(__xludf.DUMMYFUNCTION("if(not(iserror(index(split(C987, "" ""),2))), index(split(C987, "" ""),1),"""")"),"")</f>
        <v/>
      </c>
      <c r="W987" s="315" t="str">
        <f>IFERROR(__xludf.DUMMYFUNCTION("if(V987="""",C987,if(not(iserror(index(split(C987, "" ""),3))), index(split(C987, "" ""),3),index(split(C987, "" ""),2)))"),"")</f>
        <v/>
      </c>
      <c r="X987" s="38" t="b">
        <f t="shared" si="2"/>
        <v>0</v>
      </c>
      <c r="Y987" s="38"/>
      <c r="Z987" s="40"/>
      <c r="AA987" s="40"/>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row>
    <row r="988">
      <c r="B988" s="341"/>
      <c r="C988" s="60"/>
      <c r="D988" s="60"/>
      <c r="E988" s="58"/>
      <c r="F988" s="58"/>
      <c r="G988" s="58"/>
      <c r="H988" s="33" t="str">
        <f t="shared" si="1"/>
        <v/>
      </c>
      <c r="I988" s="58"/>
      <c r="J988" s="58"/>
      <c r="K988" s="58"/>
      <c r="L988" s="38"/>
      <c r="M988" s="58"/>
      <c r="N988" s="58"/>
      <c r="O988" s="58"/>
      <c r="P988" s="80"/>
      <c r="Q988" s="77"/>
      <c r="R988" s="62"/>
      <c r="S988" s="62"/>
      <c r="T988" s="62"/>
      <c r="U988" s="62"/>
      <c r="V988" s="37" t="str">
        <f>IFERROR(__xludf.DUMMYFUNCTION("if(not(iserror(index(split(C988, "" ""),2))), index(split(C988, "" ""),1),"""")"),"")</f>
        <v/>
      </c>
      <c r="W988" s="315" t="str">
        <f>IFERROR(__xludf.DUMMYFUNCTION("if(V988="""",C988,if(not(iserror(index(split(C988, "" ""),3))), index(split(C988, "" ""),3),index(split(C988, "" ""),2)))"),"")</f>
        <v/>
      </c>
      <c r="X988" s="38" t="b">
        <f t="shared" si="2"/>
        <v>0</v>
      </c>
      <c r="Y988" s="38"/>
      <c r="Z988" s="40"/>
      <c r="AA988" s="40"/>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row>
    <row r="989">
      <c r="B989" s="341"/>
      <c r="C989" s="60"/>
      <c r="D989" s="60"/>
      <c r="E989" s="58"/>
      <c r="F989" s="58"/>
      <c r="G989" s="58"/>
      <c r="H989" s="33" t="str">
        <f t="shared" si="1"/>
        <v/>
      </c>
      <c r="I989" s="58"/>
      <c r="J989" s="58"/>
      <c r="K989" s="58"/>
      <c r="L989" s="38"/>
      <c r="M989" s="58"/>
      <c r="N989" s="58"/>
      <c r="O989" s="58"/>
      <c r="P989" s="80"/>
      <c r="Q989" s="80"/>
      <c r="R989" s="62"/>
      <c r="S989" s="62"/>
      <c r="T989" s="62"/>
      <c r="U989" s="62"/>
      <c r="V989" s="37" t="str">
        <f>IFERROR(__xludf.DUMMYFUNCTION("if(not(iserror(index(split(C989, "" ""),2))), index(split(C989, "" ""),1),"""")"),"")</f>
        <v/>
      </c>
      <c r="W989" s="315" t="str">
        <f>IFERROR(__xludf.DUMMYFUNCTION("if(V989="""",C989,if(not(iserror(index(split(C989, "" ""),3))), index(split(C989, "" ""),3),index(split(C989, "" ""),2)))"),"")</f>
        <v/>
      </c>
      <c r="X989" s="38" t="b">
        <f t="shared" si="2"/>
        <v>0</v>
      </c>
      <c r="Y989" s="38"/>
      <c r="Z989" s="40"/>
      <c r="AA989" s="40"/>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row>
    <row r="990">
      <c r="B990" s="341"/>
      <c r="C990" s="60"/>
      <c r="D990" s="60"/>
      <c r="E990" s="58"/>
      <c r="F990" s="58"/>
      <c r="G990" s="58"/>
      <c r="H990" s="33" t="str">
        <f t="shared" si="1"/>
        <v/>
      </c>
      <c r="I990" s="58"/>
      <c r="J990" s="58"/>
      <c r="K990" s="58"/>
      <c r="L990" s="38"/>
      <c r="M990" s="58"/>
      <c r="N990" s="58"/>
      <c r="O990" s="58"/>
      <c r="P990" s="80"/>
      <c r="Q990" s="80"/>
      <c r="R990" s="62"/>
      <c r="S990" s="62"/>
      <c r="T990" s="62"/>
      <c r="U990" s="62"/>
      <c r="V990" s="37" t="str">
        <f>IFERROR(__xludf.DUMMYFUNCTION("if(not(iserror(index(split(C990, "" ""),2))), index(split(C990, "" ""),1),"""")"),"")</f>
        <v/>
      </c>
      <c r="W990" s="315" t="str">
        <f>IFERROR(__xludf.DUMMYFUNCTION("if(V990="""",C990,if(not(iserror(index(split(C990, "" ""),3))), index(split(C990, "" ""),3),index(split(C990, "" ""),2)))"),"")</f>
        <v/>
      </c>
      <c r="X990" s="38" t="b">
        <f t="shared" si="2"/>
        <v>0</v>
      </c>
      <c r="Y990" s="38"/>
      <c r="Z990" s="40"/>
      <c r="AA990" s="40"/>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row>
    <row r="991">
      <c r="A991" s="58"/>
      <c r="B991" s="341"/>
      <c r="C991" s="60"/>
      <c r="D991" s="60"/>
      <c r="E991" s="58"/>
      <c r="F991" s="58"/>
      <c r="G991" s="58"/>
      <c r="H991" s="33" t="str">
        <f t="shared" si="1"/>
        <v/>
      </c>
      <c r="I991" s="58"/>
      <c r="J991" s="58"/>
      <c r="K991" s="58"/>
      <c r="L991" s="38"/>
      <c r="M991" s="58"/>
      <c r="N991" s="58"/>
      <c r="O991" s="58"/>
      <c r="P991" s="80"/>
      <c r="Q991" s="77"/>
      <c r="R991" s="62"/>
      <c r="S991" s="62"/>
      <c r="T991" s="62"/>
      <c r="U991" s="62"/>
      <c r="V991" s="37" t="str">
        <f>IFERROR(__xludf.DUMMYFUNCTION("if(not(iserror(index(split(C991, "" ""),2))), index(split(C991, "" ""),1),"""")"),"")</f>
        <v/>
      </c>
      <c r="W991" s="315" t="str">
        <f>IFERROR(__xludf.DUMMYFUNCTION("if(V991="""",C991,if(not(iserror(index(split(C991, "" ""),3))), index(split(C991, "" ""),3),index(split(C991, "" ""),2)))"),"")</f>
        <v/>
      </c>
      <c r="X991" s="38" t="b">
        <f t="shared" si="2"/>
        <v>0</v>
      </c>
      <c r="Y991" s="38"/>
      <c r="Z991" s="40"/>
      <c r="AA991" s="40"/>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row>
    <row r="992">
      <c r="A992" s="58"/>
      <c r="B992" s="341"/>
      <c r="C992" s="60"/>
      <c r="D992" s="60"/>
      <c r="E992" s="58"/>
      <c r="F992" s="58"/>
      <c r="G992" s="58"/>
      <c r="H992" s="33" t="str">
        <f t="shared" si="1"/>
        <v/>
      </c>
      <c r="I992" s="58"/>
      <c r="J992" s="58"/>
      <c r="K992" s="58"/>
      <c r="L992" s="38"/>
      <c r="M992" s="58"/>
      <c r="N992" s="58"/>
      <c r="O992" s="58"/>
      <c r="P992" s="80"/>
      <c r="Q992" s="77"/>
      <c r="R992" s="62"/>
      <c r="S992" s="62"/>
      <c r="T992" s="62"/>
      <c r="U992" s="62"/>
      <c r="V992" s="37" t="str">
        <f>IFERROR(__xludf.DUMMYFUNCTION("if(not(iserror(index(split(C992, "" ""),2))), index(split(C992, "" ""),1),"""")"),"")</f>
        <v/>
      </c>
      <c r="W992" s="315" t="str">
        <f>IFERROR(__xludf.DUMMYFUNCTION("if(V992="""",C992,if(not(iserror(index(split(C992, "" ""),3))), index(split(C992, "" ""),3),index(split(C992, "" ""),2)))"),"")</f>
        <v/>
      </c>
      <c r="X992" s="38" t="b">
        <f t="shared" si="2"/>
        <v>0</v>
      </c>
      <c r="Y992" s="38"/>
      <c r="Z992" s="40"/>
      <c r="AA992" s="40"/>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row>
    <row r="993">
      <c r="A993" s="58"/>
      <c r="B993" s="341"/>
      <c r="C993" s="60"/>
      <c r="D993" s="60"/>
      <c r="E993" s="58"/>
      <c r="F993" s="58"/>
      <c r="G993" s="58"/>
      <c r="H993" s="33" t="str">
        <f t="shared" si="1"/>
        <v/>
      </c>
      <c r="I993" s="58"/>
      <c r="J993" s="58"/>
      <c r="K993" s="58"/>
      <c r="L993" s="38"/>
      <c r="M993" s="58"/>
      <c r="N993" s="58"/>
      <c r="O993" s="58"/>
      <c r="P993" s="80"/>
      <c r="Q993" s="77"/>
      <c r="R993" s="62"/>
      <c r="S993" s="62"/>
      <c r="T993" s="62"/>
      <c r="U993" s="62"/>
      <c r="V993" s="37" t="str">
        <f>IFERROR(__xludf.DUMMYFUNCTION("if(not(iserror(index(split(C993, "" ""),2))), index(split(C993, "" ""),1),"""")"),"")</f>
        <v/>
      </c>
      <c r="W993" s="315" t="str">
        <f>IFERROR(__xludf.DUMMYFUNCTION("if(V993="""",C993,if(not(iserror(index(split(C993, "" ""),3))), index(split(C993, "" ""),3),index(split(C993, "" ""),2)))"),"")</f>
        <v/>
      </c>
      <c r="X993" s="38" t="b">
        <f t="shared" si="2"/>
        <v>0</v>
      </c>
      <c r="Y993" s="38"/>
      <c r="Z993" s="40"/>
      <c r="AA993" s="40"/>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row>
    <row r="994">
      <c r="A994" s="58"/>
      <c r="B994" s="341"/>
      <c r="C994" s="60"/>
      <c r="D994" s="60"/>
      <c r="E994" s="58"/>
      <c r="F994" s="58"/>
      <c r="G994" s="58"/>
      <c r="H994" s="33" t="str">
        <f t="shared" si="1"/>
        <v/>
      </c>
      <c r="I994" s="58"/>
      <c r="J994" s="58"/>
      <c r="K994" s="58"/>
      <c r="L994" s="38"/>
      <c r="M994" s="58"/>
      <c r="N994" s="58"/>
      <c r="O994" s="58"/>
      <c r="P994" s="80"/>
      <c r="Q994" s="77"/>
      <c r="R994" s="62"/>
      <c r="S994" s="62"/>
      <c r="T994" s="62"/>
      <c r="U994" s="62"/>
      <c r="V994" s="37" t="str">
        <f>IFERROR(__xludf.DUMMYFUNCTION("if(not(iserror(index(split(C994, "" ""),2))), index(split(C994, "" ""),1),"""")"),"")</f>
        <v/>
      </c>
      <c r="W994" s="315" t="str">
        <f>IFERROR(__xludf.DUMMYFUNCTION("if(V994="""",C994,if(not(iserror(index(split(C994, "" ""),3))), index(split(C994, "" ""),3),index(split(C994, "" ""),2)))"),"")</f>
        <v/>
      </c>
      <c r="X994" s="38" t="b">
        <f t="shared" si="2"/>
        <v>0</v>
      </c>
      <c r="Y994" s="38"/>
      <c r="Z994" s="40"/>
      <c r="AA994" s="40"/>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row>
    <row r="995">
      <c r="A995" s="58"/>
      <c r="B995" s="341"/>
      <c r="C995" s="60"/>
      <c r="D995" s="60"/>
      <c r="E995" s="58"/>
      <c r="F995" s="58"/>
      <c r="G995" s="58"/>
      <c r="H995" s="33" t="str">
        <f t="shared" si="1"/>
        <v/>
      </c>
      <c r="I995" s="58"/>
      <c r="J995" s="58"/>
      <c r="K995" s="58"/>
      <c r="L995" s="38"/>
      <c r="M995" s="58"/>
      <c r="N995" s="58"/>
      <c r="O995" s="58"/>
      <c r="P995" s="80"/>
      <c r="Q995" s="77"/>
      <c r="R995" s="62"/>
      <c r="S995" s="62"/>
      <c r="T995" s="62"/>
      <c r="U995" s="62"/>
      <c r="V995" s="37" t="str">
        <f>IFERROR(__xludf.DUMMYFUNCTION("if(not(iserror(index(split(C995, "" ""),2))), index(split(C995, "" ""),1),"""")"),"")</f>
        <v/>
      </c>
      <c r="W995" s="315" t="str">
        <f>IFERROR(__xludf.DUMMYFUNCTION("if(V995="""",C995,if(not(iserror(index(split(C995, "" ""),3))), index(split(C995, "" ""),3),index(split(C995, "" ""),2)))"),"")</f>
        <v/>
      </c>
      <c r="X995" s="38" t="b">
        <f t="shared" si="2"/>
        <v>0</v>
      </c>
      <c r="Y995" s="38"/>
      <c r="Z995" s="40"/>
      <c r="AA995" s="40"/>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row>
    <row r="996">
      <c r="A996" s="58"/>
      <c r="B996" s="341"/>
      <c r="C996" s="60"/>
      <c r="D996" s="60"/>
      <c r="E996" s="58"/>
      <c r="F996" s="58"/>
      <c r="G996" s="58"/>
      <c r="H996" s="33" t="str">
        <f t="shared" si="1"/>
        <v/>
      </c>
      <c r="I996" s="58"/>
      <c r="J996" s="58"/>
      <c r="K996" s="58"/>
      <c r="L996" s="38"/>
      <c r="M996" s="58"/>
      <c r="N996" s="58"/>
      <c r="O996" s="58"/>
      <c r="P996" s="80"/>
      <c r="Q996" s="77"/>
      <c r="R996" s="62"/>
      <c r="S996" s="62"/>
      <c r="T996" s="62"/>
      <c r="U996" s="62"/>
      <c r="V996" s="37" t="str">
        <f>IFERROR(__xludf.DUMMYFUNCTION("if(not(iserror(index(split(C996, "" ""),2))), index(split(C996, "" ""),1),"""")"),"")</f>
        <v/>
      </c>
      <c r="W996" s="315" t="str">
        <f>IFERROR(__xludf.DUMMYFUNCTION("if(V996="""",C996,if(not(iserror(index(split(C996, "" ""),3))), index(split(C996, "" ""),3),index(split(C996, "" ""),2)))"),"")</f>
        <v/>
      </c>
      <c r="X996" s="38" t="b">
        <f t="shared" si="2"/>
        <v>0</v>
      </c>
      <c r="Y996" s="38"/>
      <c r="Z996" s="40"/>
      <c r="AA996" s="40"/>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row>
    <row r="997">
      <c r="A997" s="58"/>
      <c r="B997" s="341"/>
      <c r="C997" s="60"/>
      <c r="D997" s="60"/>
      <c r="E997" s="58"/>
      <c r="F997" s="58"/>
      <c r="G997" s="58"/>
      <c r="H997" s="33" t="str">
        <f t="shared" si="1"/>
        <v/>
      </c>
      <c r="I997" s="58"/>
      <c r="J997" s="58"/>
      <c r="K997" s="58"/>
      <c r="L997" s="38"/>
      <c r="M997" s="58"/>
      <c r="N997" s="58"/>
      <c r="O997" s="58"/>
      <c r="P997" s="80"/>
      <c r="Q997" s="77"/>
      <c r="R997" s="62"/>
      <c r="S997" s="62"/>
      <c r="T997" s="62"/>
      <c r="U997" s="62"/>
      <c r="V997" s="37" t="str">
        <f>IFERROR(__xludf.DUMMYFUNCTION("if(not(iserror(index(split(C997, "" ""),2))), index(split(C997, "" ""),1),"""")"),"")</f>
        <v/>
      </c>
      <c r="W997" s="315" t="str">
        <f>IFERROR(__xludf.DUMMYFUNCTION("if(V997="""",C997,if(not(iserror(index(split(C997, "" ""),3))), index(split(C997, "" ""),3),index(split(C997, "" ""),2)))"),"")</f>
        <v/>
      </c>
      <c r="X997" s="38" t="b">
        <f t="shared" si="2"/>
        <v>0</v>
      </c>
      <c r="Y997" s="38"/>
      <c r="Z997" s="40"/>
      <c r="AA997" s="40"/>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row>
    <row r="998">
      <c r="A998" s="58"/>
      <c r="B998" s="341"/>
      <c r="C998" s="60"/>
      <c r="D998" s="60"/>
      <c r="E998" s="58"/>
      <c r="F998" s="58"/>
      <c r="G998" s="58"/>
      <c r="H998" s="33" t="str">
        <f t="shared" si="1"/>
        <v/>
      </c>
      <c r="I998" s="58"/>
      <c r="J998" s="58"/>
      <c r="K998" s="58"/>
      <c r="L998" s="38"/>
      <c r="M998" s="58"/>
      <c r="N998" s="58"/>
      <c r="O998" s="58"/>
      <c r="P998" s="80"/>
      <c r="Q998" s="77"/>
      <c r="R998" s="62"/>
      <c r="S998" s="62"/>
      <c r="T998" s="62"/>
      <c r="U998" s="62"/>
      <c r="V998" s="37" t="str">
        <f>IFERROR(__xludf.DUMMYFUNCTION("if(not(iserror(index(split(C998, "" ""),2))), index(split(C998, "" ""),1),"""")"),"")</f>
        <v/>
      </c>
      <c r="W998" s="315" t="str">
        <f>IFERROR(__xludf.DUMMYFUNCTION("if(V998="""",C998,if(not(iserror(index(split(C998, "" ""),3))), index(split(C998, "" ""),3),index(split(C998, "" ""),2)))"),"")</f>
        <v/>
      </c>
      <c r="X998" s="38" t="b">
        <f t="shared" si="2"/>
        <v>0</v>
      </c>
      <c r="Y998" s="38"/>
      <c r="Z998" s="40"/>
      <c r="AA998" s="40"/>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row>
    <row r="999">
      <c r="A999" s="58"/>
      <c r="B999" s="341"/>
      <c r="C999" s="60"/>
      <c r="D999" s="60"/>
      <c r="E999" s="58"/>
      <c r="F999" s="58"/>
      <c r="G999" s="58"/>
      <c r="H999" s="33" t="str">
        <f t="shared" si="1"/>
        <v/>
      </c>
      <c r="I999" s="58"/>
      <c r="J999" s="58"/>
      <c r="K999" s="58"/>
      <c r="L999" s="38"/>
      <c r="M999" s="58"/>
      <c r="N999" s="58"/>
      <c r="O999" s="58"/>
      <c r="P999" s="80"/>
      <c r="Q999" s="77"/>
      <c r="R999" s="62"/>
      <c r="S999" s="62"/>
      <c r="T999" s="62"/>
      <c r="U999" s="62"/>
      <c r="V999" s="37" t="str">
        <f>IFERROR(__xludf.DUMMYFUNCTION("if(not(iserror(index(split(C999, "" ""),2))), index(split(C999, "" ""),1),"""")"),"")</f>
        <v/>
      </c>
      <c r="W999" s="315" t="str">
        <f>IFERROR(__xludf.DUMMYFUNCTION("if(V999="""",C999,if(not(iserror(index(split(C999, "" ""),3))), index(split(C999, "" ""),3),index(split(C999, "" ""),2)))"),"")</f>
        <v/>
      </c>
      <c r="X999" s="38" t="b">
        <f t="shared" si="2"/>
        <v>0</v>
      </c>
      <c r="Y999" s="38"/>
      <c r="Z999" s="40"/>
      <c r="AA999" s="40"/>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row>
    <row r="1000">
      <c r="A1000" s="58"/>
      <c r="B1000" s="341"/>
      <c r="C1000" s="60"/>
      <c r="D1000" s="60"/>
      <c r="E1000" s="58"/>
      <c r="F1000" s="58"/>
      <c r="G1000" s="58"/>
      <c r="H1000" s="33" t="str">
        <f t="shared" si="1"/>
        <v/>
      </c>
      <c r="I1000" s="58"/>
      <c r="J1000" s="58"/>
      <c r="K1000" s="58"/>
      <c r="L1000" s="38"/>
      <c r="M1000" s="58"/>
      <c r="N1000" s="58"/>
      <c r="O1000" s="58"/>
      <c r="P1000" s="80"/>
      <c r="Q1000" s="77"/>
      <c r="R1000" s="62"/>
      <c r="S1000" s="62"/>
      <c r="T1000" s="62"/>
      <c r="U1000" s="62"/>
      <c r="V1000" s="37" t="str">
        <f>IFERROR(__xludf.DUMMYFUNCTION("if(not(iserror(index(split(C1000, "" ""),2))), index(split(C1000, "" ""),1),"""")"),"")</f>
        <v/>
      </c>
      <c r="W1000" s="315" t="str">
        <f>IFERROR(__xludf.DUMMYFUNCTION("if(V1000="""",C1000,if(not(iserror(index(split(C1000, "" ""),3))), index(split(C1000, "" ""),3),index(split(C1000, "" ""),2)))"),"")</f>
        <v/>
      </c>
      <c r="X1000" s="38" t="b">
        <f t="shared" si="2"/>
        <v>0</v>
      </c>
      <c r="Y1000" s="38"/>
      <c r="Z1000" s="40"/>
      <c r="AA1000" s="40"/>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c r="BG1000" s="38"/>
    </row>
    <row r="1001">
      <c r="A1001" s="58"/>
      <c r="B1001" s="341"/>
      <c r="C1001" s="60"/>
      <c r="D1001" s="60"/>
      <c r="E1001" s="58"/>
      <c r="F1001" s="58"/>
      <c r="G1001" s="58"/>
      <c r="H1001" s="33" t="str">
        <f t="shared" si="1"/>
        <v/>
      </c>
      <c r="I1001" s="58"/>
      <c r="J1001" s="58"/>
      <c r="K1001" s="58"/>
      <c r="L1001" s="38"/>
      <c r="M1001" s="58"/>
      <c r="N1001" s="58"/>
      <c r="O1001" s="58"/>
      <c r="P1001" s="80"/>
      <c r="Q1001" s="77"/>
      <c r="R1001" s="62"/>
      <c r="S1001" s="62"/>
      <c r="T1001" s="62"/>
      <c r="U1001" s="62"/>
      <c r="V1001" s="37" t="str">
        <f>IFERROR(__xludf.DUMMYFUNCTION("if(not(iserror(index(split(C1001, "" ""),2))), index(split(C1001, "" ""),1),"""")"),"")</f>
        <v/>
      </c>
      <c r="W1001" s="315" t="str">
        <f>IFERROR(__xludf.DUMMYFUNCTION("if(V1001="""",C1001,if(not(iserror(index(split(C1001, "" ""),3))), index(split(C1001, "" ""),3),index(split(C1001, "" ""),2)))"),"")</f>
        <v/>
      </c>
      <c r="X1001" s="38" t="b">
        <f t="shared" si="2"/>
        <v>0</v>
      </c>
      <c r="Y1001" s="38"/>
      <c r="Z1001" s="40"/>
      <c r="AA1001" s="40"/>
      <c r="AB1001" s="38"/>
      <c r="AC1001" s="38"/>
      <c r="AD1001" s="38"/>
      <c r="AE1001" s="38"/>
      <c r="AF1001" s="38"/>
      <c r="AG1001" s="38"/>
      <c r="AH1001" s="38"/>
      <c r="AI1001" s="38"/>
      <c r="AJ1001" s="38"/>
      <c r="AK1001" s="38"/>
      <c r="AL1001" s="38"/>
      <c r="AM1001" s="38"/>
      <c r="AN1001" s="38"/>
      <c r="AO1001" s="38"/>
      <c r="AP1001" s="38"/>
      <c r="AQ1001" s="38"/>
      <c r="AR1001" s="38"/>
      <c r="AS1001" s="38"/>
      <c r="AT1001" s="38"/>
      <c r="AU1001" s="38"/>
      <c r="AV1001" s="38"/>
      <c r="AW1001" s="38"/>
      <c r="AX1001" s="38"/>
      <c r="AY1001" s="38"/>
      <c r="AZ1001" s="38"/>
      <c r="BA1001" s="38"/>
      <c r="BB1001" s="38"/>
      <c r="BC1001" s="38"/>
      <c r="BD1001" s="38"/>
      <c r="BE1001" s="38"/>
      <c r="BF1001" s="38"/>
      <c r="BG1001" s="38"/>
    </row>
    <row r="1002">
      <c r="A1002" s="58"/>
      <c r="B1002" s="341"/>
      <c r="C1002" s="60"/>
      <c r="D1002" s="60"/>
      <c r="E1002" s="58"/>
      <c r="F1002" s="58"/>
      <c r="G1002" s="58"/>
      <c r="H1002" s="33" t="str">
        <f t="shared" si="1"/>
        <v/>
      </c>
      <c r="I1002" s="58"/>
      <c r="J1002" s="58"/>
      <c r="K1002" s="58"/>
      <c r="L1002" s="38"/>
      <c r="M1002" s="58"/>
      <c r="N1002" s="58"/>
      <c r="O1002" s="58"/>
      <c r="P1002" s="80"/>
      <c r="Q1002" s="77"/>
      <c r="R1002" s="62"/>
      <c r="S1002" s="62"/>
      <c r="T1002" s="62"/>
      <c r="U1002" s="62"/>
      <c r="V1002" s="37" t="str">
        <f>IFERROR(__xludf.DUMMYFUNCTION("if(not(iserror(index(split(C1002, "" ""),2))), index(split(C1002, "" ""),1),"""")"),"")</f>
        <v/>
      </c>
      <c r="W1002" s="315" t="str">
        <f>IFERROR(__xludf.DUMMYFUNCTION("if(V1002="""",C1002,if(not(iserror(index(split(C1002, "" ""),3))), index(split(C1002, "" ""),3),index(split(C1002, "" ""),2)))"),"")</f>
        <v/>
      </c>
      <c r="X1002" s="38" t="b">
        <f t="shared" si="2"/>
        <v>0</v>
      </c>
      <c r="Y1002" s="38"/>
      <c r="Z1002" s="40"/>
      <c r="AA1002" s="40"/>
      <c r="AB1002" s="38"/>
      <c r="AC1002" s="38"/>
      <c r="AD1002" s="38"/>
      <c r="AE1002" s="38"/>
      <c r="AF1002" s="38"/>
      <c r="AG1002" s="38"/>
      <c r="AH1002" s="38"/>
      <c r="AI1002" s="38"/>
      <c r="AJ1002" s="38"/>
      <c r="AK1002" s="38"/>
      <c r="AL1002" s="38"/>
      <c r="AM1002" s="38"/>
      <c r="AN1002" s="38"/>
      <c r="AO1002" s="38"/>
      <c r="AP1002" s="38"/>
      <c r="AQ1002" s="38"/>
      <c r="AR1002" s="38"/>
      <c r="AS1002" s="38"/>
      <c r="AT1002" s="38"/>
      <c r="AU1002" s="38"/>
      <c r="AV1002" s="38"/>
      <c r="AW1002" s="38"/>
      <c r="AX1002" s="38"/>
      <c r="AY1002" s="38"/>
      <c r="AZ1002" s="38"/>
      <c r="BA1002" s="38"/>
      <c r="BB1002" s="38"/>
      <c r="BC1002" s="38"/>
      <c r="BD1002" s="38"/>
      <c r="BE1002" s="38"/>
      <c r="BF1002" s="38"/>
      <c r="BG1002" s="38"/>
    </row>
    <row r="1003">
      <c r="A1003" s="58"/>
      <c r="B1003" s="341"/>
      <c r="C1003" s="60"/>
      <c r="D1003" s="60"/>
      <c r="E1003" s="58"/>
      <c r="F1003" s="58"/>
      <c r="G1003" s="58"/>
      <c r="H1003" s="33" t="str">
        <f t="shared" si="1"/>
        <v/>
      </c>
      <c r="I1003" s="58"/>
      <c r="J1003" s="58"/>
      <c r="K1003" s="58"/>
      <c r="L1003" s="38"/>
      <c r="M1003" s="58"/>
      <c r="N1003" s="58"/>
      <c r="O1003" s="58"/>
      <c r="P1003" s="80"/>
      <c r="Q1003" s="77"/>
      <c r="R1003" s="62"/>
      <c r="S1003" s="58"/>
      <c r="T1003" s="84"/>
      <c r="U1003" s="62"/>
      <c r="V1003" s="37" t="str">
        <f>IFERROR(__xludf.DUMMYFUNCTION("if(not(iserror(index(split(C1003, "" ""),2))), index(split(C1003, "" ""),1),"""")"),"")</f>
        <v/>
      </c>
      <c r="W1003" s="315" t="str">
        <f>IFERROR(__xludf.DUMMYFUNCTION("if(V1003="""",C1003,if(not(iserror(index(split(C1003, "" ""),3))), index(split(C1003, "" ""),3),index(split(C1003, "" ""),2)))"),"")</f>
        <v/>
      </c>
      <c r="X1003" s="38" t="b">
        <f t="shared" si="2"/>
        <v>0</v>
      </c>
      <c r="Y1003" s="38"/>
      <c r="Z1003" s="40"/>
      <c r="AA1003" s="40"/>
      <c r="AB1003" s="38"/>
      <c r="AC1003" s="38"/>
      <c r="AD1003" s="38"/>
      <c r="AE1003" s="38"/>
      <c r="AF1003" s="38"/>
      <c r="AG1003" s="38"/>
      <c r="AH1003" s="38"/>
      <c r="AI1003" s="38"/>
      <c r="AJ1003" s="38"/>
      <c r="AK1003" s="38"/>
      <c r="AL1003" s="38"/>
      <c r="AM1003" s="38"/>
      <c r="AN1003" s="38"/>
      <c r="AO1003" s="38"/>
      <c r="AP1003" s="38"/>
      <c r="AQ1003" s="38"/>
      <c r="AR1003" s="38"/>
      <c r="AS1003" s="38"/>
      <c r="AT1003" s="38"/>
      <c r="AU1003" s="38"/>
      <c r="AV1003" s="38"/>
      <c r="AW1003" s="38"/>
      <c r="AX1003" s="38"/>
      <c r="AY1003" s="38"/>
      <c r="AZ1003" s="38"/>
      <c r="BA1003" s="38"/>
      <c r="BB1003" s="38"/>
      <c r="BC1003" s="38"/>
      <c r="BD1003" s="38"/>
      <c r="BE1003" s="38"/>
      <c r="BF1003" s="38"/>
      <c r="BG1003" s="38"/>
    </row>
    <row r="1004">
      <c r="B1004" s="341"/>
      <c r="C1004" s="60"/>
      <c r="D1004" s="60"/>
      <c r="E1004" s="58"/>
      <c r="F1004" s="58"/>
      <c r="G1004" s="58"/>
      <c r="H1004" s="33" t="str">
        <f t="shared" si="1"/>
        <v/>
      </c>
      <c r="I1004" s="58"/>
      <c r="J1004" s="58"/>
      <c r="K1004" s="58"/>
      <c r="L1004" s="38"/>
      <c r="M1004" s="58"/>
      <c r="N1004" s="58"/>
      <c r="O1004" s="58"/>
      <c r="P1004" s="80"/>
      <c r="Q1004" s="77"/>
      <c r="R1004" s="62"/>
      <c r="S1004" s="62"/>
      <c r="T1004" s="62"/>
      <c r="U1004" s="62"/>
      <c r="V1004" s="37" t="str">
        <f>IFERROR(__xludf.DUMMYFUNCTION("if(not(iserror(index(split(C1004, "" ""),2))), index(split(C1004, "" ""),1),"""")"),"")</f>
        <v/>
      </c>
      <c r="W1004" s="315" t="str">
        <f>IFERROR(__xludf.DUMMYFUNCTION("if(V1004="""",C1004,if(not(iserror(index(split(C1004, "" ""),3))), index(split(C1004, "" ""),3),index(split(C1004, "" ""),2)))"),"")</f>
        <v/>
      </c>
      <c r="X1004" s="38" t="b">
        <f t="shared" si="2"/>
        <v>0</v>
      </c>
      <c r="Y1004" s="38"/>
      <c r="Z1004" s="40"/>
      <c r="AA1004" s="40"/>
      <c r="AB1004" s="38"/>
      <c r="AC1004" s="38"/>
      <c r="AD1004" s="38"/>
      <c r="AE1004" s="38"/>
      <c r="AF1004" s="38"/>
      <c r="AG1004" s="38"/>
      <c r="AH1004" s="38"/>
      <c r="AI1004" s="38"/>
      <c r="AJ1004" s="38"/>
      <c r="AK1004" s="38"/>
      <c r="AL1004" s="38"/>
      <c r="AM1004" s="38"/>
      <c r="AN1004" s="38"/>
      <c r="AO1004" s="38"/>
      <c r="AP1004" s="38"/>
      <c r="AQ1004" s="38"/>
      <c r="AR1004" s="38"/>
      <c r="AS1004" s="38"/>
      <c r="AT1004" s="38"/>
      <c r="AU1004" s="38"/>
      <c r="AV1004" s="38"/>
      <c r="AW1004" s="38"/>
      <c r="AX1004" s="38"/>
      <c r="AY1004" s="38"/>
      <c r="AZ1004" s="38"/>
      <c r="BA1004" s="38"/>
      <c r="BB1004" s="38"/>
      <c r="BC1004" s="38"/>
      <c r="BD1004" s="38"/>
      <c r="BE1004" s="38"/>
      <c r="BF1004" s="38"/>
      <c r="BG1004" s="38"/>
    </row>
    <row r="1005">
      <c r="B1005" s="341"/>
      <c r="C1005" s="60"/>
      <c r="D1005" s="60"/>
      <c r="E1005" s="58"/>
      <c r="F1005" s="58"/>
      <c r="G1005" s="58"/>
      <c r="H1005" s="33" t="str">
        <f t="shared" si="1"/>
        <v/>
      </c>
      <c r="I1005" s="58"/>
      <c r="J1005" s="58"/>
      <c r="K1005" s="58"/>
      <c r="L1005" s="38"/>
      <c r="M1005" s="58"/>
      <c r="N1005" s="58"/>
      <c r="O1005" s="58"/>
      <c r="P1005" s="80"/>
      <c r="Q1005" s="77"/>
      <c r="R1005" s="62"/>
      <c r="S1005" s="62"/>
      <c r="T1005" s="62"/>
      <c r="U1005" s="62"/>
      <c r="V1005" s="37" t="str">
        <f>IFERROR(__xludf.DUMMYFUNCTION("if(not(iserror(index(split(C1005, "" ""),2))), index(split(C1005, "" ""),1),"""")"),"")</f>
        <v/>
      </c>
      <c r="W1005" s="315" t="str">
        <f>IFERROR(__xludf.DUMMYFUNCTION("if(V1005="""",C1005,if(not(iserror(index(split(C1005, "" ""),3))), index(split(C1005, "" ""),3),index(split(C1005, "" ""),2)))"),"")</f>
        <v/>
      </c>
      <c r="X1005" s="38" t="b">
        <f t="shared" si="2"/>
        <v>0</v>
      </c>
      <c r="Y1005" s="38"/>
      <c r="Z1005" s="40"/>
      <c r="AA1005" s="40"/>
      <c r="AB1005" s="38"/>
      <c r="AC1005" s="38"/>
      <c r="AD1005" s="38"/>
      <c r="AE1005" s="38"/>
      <c r="AF1005" s="38"/>
      <c r="AG1005" s="38"/>
      <c r="AH1005" s="38"/>
      <c r="AI1005" s="38"/>
      <c r="AJ1005" s="38"/>
      <c r="AK1005" s="38"/>
      <c r="AL1005" s="38"/>
      <c r="AM1005" s="38"/>
      <c r="AN1005" s="38"/>
      <c r="AO1005" s="38"/>
      <c r="AP1005" s="38"/>
      <c r="AQ1005" s="38"/>
      <c r="AR1005" s="38"/>
      <c r="AS1005" s="38"/>
      <c r="AT1005" s="38"/>
      <c r="AU1005" s="38"/>
      <c r="AV1005" s="38"/>
      <c r="AW1005" s="38"/>
      <c r="AX1005" s="38"/>
      <c r="AY1005" s="38"/>
      <c r="AZ1005" s="38"/>
      <c r="BA1005" s="38"/>
      <c r="BB1005" s="38"/>
      <c r="BC1005" s="38"/>
      <c r="BD1005" s="38"/>
      <c r="BE1005" s="38"/>
      <c r="BF1005" s="38"/>
      <c r="BG1005" s="38"/>
    </row>
    <row r="1006">
      <c r="B1006" s="341"/>
      <c r="C1006" s="60"/>
      <c r="D1006" s="60"/>
      <c r="E1006" s="58"/>
      <c r="F1006" s="58"/>
      <c r="G1006" s="58"/>
      <c r="H1006" s="33" t="str">
        <f t="shared" si="1"/>
        <v/>
      </c>
      <c r="I1006" s="58"/>
      <c r="J1006" s="58"/>
      <c r="K1006" s="58"/>
      <c r="L1006" s="38"/>
      <c r="M1006" s="58"/>
      <c r="N1006" s="58"/>
      <c r="O1006" s="58"/>
      <c r="P1006" s="80"/>
      <c r="Q1006" s="77"/>
      <c r="R1006" s="62"/>
      <c r="S1006" s="62"/>
      <c r="T1006" s="62"/>
      <c r="U1006" s="62"/>
      <c r="V1006" s="37" t="str">
        <f>IFERROR(__xludf.DUMMYFUNCTION("if(not(iserror(index(split(C1006, "" ""),2))), index(split(C1006, "" ""),1),"""")"),"")</f>
        <v/>
      </c>
      <c r="W1006" s="315" t="str">
        <f>IFERROR(__xludf.DUMMYFUNCTION("if(V1006="""",C1006,if(not(iserror(index(split(C1006, "" ""),3))), index(split(C1006, "" ""),3),index(split(C1006, "" ""),2)))"),"")</f>
        <v/>
      </c>
      <c r="X1006" s="38" t="b">
        <f t="shared" si="2"/>
        <v>0</v>
      </c>
      <c r="Y1006" s="38"/>
      <c r="Z1006" s="40"/>
      <c r="AA1006" s="40"/>
      <c r="AB1006" s="38"/>
      <c r="AC1006" s="38"/>
      <c r="AD1006" s="38"/>
      <c r="AE1006" s="38"/>
      <c r="AF1006" s="38"/>
      <c r="AG1006" s="38"/>
      <c r="AH1006" s="38"/>
      <c r="AI1006" s="38"/>
      <c r="AJ1006" s="38"/>
      <c r="AK1006" s="38"/>
      <c r="AL1006" s="38"/>
      <c r="AM1006" s="38"/>
      <c r="AN1006" s="38"/>
      <c r="AO1006" s="38"/>
      <c r="AP1006" s="38"/>
      <c r="AQ1006" s="38"/>
      <c r="AR1006" s="38"/>
      <c r="AS1006" s="38"/>
      <c r="AT1006" s="38"/>
      <c r="AU1006" s="38"/>
      <c r="AV1006" s="38"/>
      <c r="AW1006" s="38"/>
      <c r="AX1006" s="38"/>
      <c r="AY1006" s="38"/>
      <c r="AZ1006" s="38"/>
      <c r="BA1006" s="38"/>
      <c r="BB1006" s="38"/>
      <c r="BC1006" s="38"/>
      <c r="BD1006" s="38"/>
      <c r="BE1006" s="38"/>
      <c r="BF1006" s="38"/>
      <c r="BG1006" s="38"/>
    </row>
    <row r="1007">
      <c r="B1007" s="341"/>
      <c r="C1007" s="60"/>
      <c r="D1007" s="60"/>
      <c r="E1007" s="58"/>
      <c r="F1007" s="58"/>
      <c r="G1007" s="58"/>
      <c r="H1007" s="33" t="str">
        <f t="shared" si="1"/>
        <v/>
      </c>
      <c r="I1007" s="58"/>
      <c r="J1007" s="58"/>
      <c r="K1007" s="58"/>
      <c r="L1007" s="38"/>
      <c r="M1007" s="58"/>
      <c r="N1007" s="58"/>
      <c r="O1007" s="58"/>
      <c r="P1007" s="80"/>
      <c r="Q1007" s="77"/>
      <c r="R1007" s="62"/>
      <c r="S1007" s="58"/>
      <c r="T1007" s="84"/>
      <c r="U1007" s="62"/>
      <c r="V1007" s="37" t="str">
        <f>IFERROR(__xludf.DUMMYFUNCTION("if(not(iserror(index(split(C1007, "" ""),2))), index(split(C1007, "" ""),1),"""")"),"")</f>
        <v/>
      </c>
      <c r="W1007" s="315" t="str">
        <f>IFERROR(__xludf.DUMMYFUNCTION("if(V1007="""",C1007,if(not(iserror(index(split(C1007, "" ""),3))), index(split(C1007, "" ""),3),index(split(C1007, "" ""),2)))"),"")</f>
        <v/>
      </c>
      <c r="X1007" s="38" t="b">
        <f t="shared" si="2"/>
        <v>0</v>
      </c>
      <c r="Y1007" s="38"/>
      <c r="Z1007" s="40"/>
      <c r="AA1007" s="40"/>
      <c r="AB1007" s="38"/>
      <c r="AC1007" s="38"/>
      <c r="AD1007" s="38"/>
      <c r="AE1007" s="38"/>
      <c r="AF1007" s="38"/>
      <c r="AG1007" s="38"/>
      <c r="AH1007" s="38"/>
      <c r="AI1007" s="38"/>
      <c r="AJ1007" s="38"/>
      <c r="AK1007" s="38"/>
      <c r="AL1007" s="38"/>
      <c r="AM1007" s="38"/>
      <c r="AN1007" s="38"/>
      <c r="AO1007" s="38"/>
      <c r="AP1007" s="38"/>
      <c r="AQ1007" s="38"/>
      <c r="AR1007" s="38"/>
      <c r="AS1007" s="38"/>
      <c r="AT1007" s="38"/>
      <c r="AU1007" s="38"/>
      <c r="AV1007" s="38"/>
      <c r="AW1007" s="38"/>
      <c r="AX1007" s="38"/>
      <c r="AY1007" s="38"/>
      <c r="AZ1007" s="38"/>
      <c r="BA1007" s="38"/>
      <c r="BB1007" s="38"/>
      <c r="BC1007" s="38"/>
      <c r="BD1007" s="38"/>
      <c r="BE1007" s="38"/>
      <c r="BF1007" s="38"/>
      <c r="BG1007" s="38"/>
    </row>
    <row r="1008">
      <c r="B1008" s="341"/>
      <c r="C1008" s="60"/>
      <c r="D1008" s="60"/>
      <c r="E1008" s="58"/>
      <c r="F1008" s="58"/>
      <c r="G1008" s="58"/>
      <c r="H1008" s="33" t="str">
        <f t="shared" si="1"/>
        <v/>
      </c>
      <c r="I1008" s="58"/>
      <c r="J1008" s="58"/>
      <c r="K1008" s="58"/>
      <c r="L1008" s="38"/>
      <c r="M1008" s="58"/>
      <c r="N1008" s="58"/>
      <c r="O1008" s="58"/>
      <c r="P1008" s="80"/>
      <c r="Q1008" s="77"/>
      <c r="R1008" s="62"/>
      <c r="S1008" s="58"/>
      <c r="T1008" s="84"/>
      <c r="U1008" s="62"/>
      <c r="V1008" s="37" t="str">
        <f>IFERROR(__xludf.DUMMYFUNCTION("if(not(iserror(index(split(C1008, "" ""),2))), index(split(C1008, "" ""),1),"""")"),"")</f>
        <v/>
      </c>
      <c r="W1008" s="315" t="str">
        <f>IFERROR(__xludf.DUMMYFUNCTION("if(V1008="""",C1008,if(not(iserror(index(split(C1008, "" ""),3))), index(split(C1008, "" ""),3),index(split(C1008, "" ""),2)))"),"")</f>
        <v/>
      </c>
      <c r="X1008" s="38" t="b">
        <f t="shared" si="2"/>
        <v>0</v>
      </c>
      <c r="Y1008" s="38"/>
      <c r="Z1008" s="40"/>
      <c r="AA1008" s="40"/>
      <c r="AB1008" s="38"/>
      <c r="AC1008" s="38"/>
      <c r="AD1008" s="38"/>
      <c r="AE1008" s="38"/>
      <c r="AF1008" s="38"/>
      <c r="AG1008" s="38"/>
      <c r="AH1008" s="38"/>
      <c r="AI1008" s="38"/>
      <c r="AJ1008" s="38"/>
      <c r="AK1008" s="38"/>
      <c r="AL1008" s="38"/>
      <c r="AM1008" s="38"/>
      <c r="AN1008" s="38"/>
      <c r="AO1008" s="38"/>
      <c r="AP1008" s="38"/>
      <c r="AQ1008" s="38"/>
      <c r="AR1008" s="38"/>
      <c r="AS1008" s="38"/>
      <c r="AT1008" s="38"/>
      <c r="AU1008" s="38"/>
      <c r="AV1008" s="38"/>
      <c r="AW1008" s="38"/>
      <c r="AX1008" s="38"/>
      <c r="AY1008" s="38"/>
      <c r="AZ1008" s="38"/>
      <c r="BA1008" s="38"/>
      <c r="BB1008" s="38"/>
      <c r="BC1008" s="38"/>
      <c r="BD1008" s="38"/>
      <c r="BE1008" s="38"/>
      <c r="BF1008" s="38"/>
      <c r="BG1008" s="38"/>
    </row>
    <row r="1009">
      <c r="B1009" s="341"/>
      <c r="C1009" s="60"/>
      <c r="D1009" s="60"/>
      <c r="E1009" s="58"/>
      <c r="F1009" s="58"/>
      <c r="G1009" s="58"/>
      <c r="H1009" s="33" t="str">
        <f t="shared" si="1"/>
        <v/>
      </c>
      <c r="I1009" s="58"/>
      <c r="J1009" s="58"/>
      <c r="K1009" s="58"/>
      <c r="L1009" s="38"/>
      <c r="M1009" s="58"/>
      <c r="N1009" s="58"/>
      <c r="O1009" s="58"/>
      <c r="P1009" s="80"/>
      <c r="Q1009" s="77"/>
      <c r="R1009" s="62"/>
      <c r="S1009" s="58"/>
      <c r="T1009" s="84"/>
      <c r="U1009" s="62"/>
      <c r="V1009" s="37" t="str">
        <f>IFERROR(__xludf.DUMMYFUNCTION("if(not(iserror(index(split(C1009, "" ""),2))), index(split(C1009, "" ""),1),"""")"),"")</f>
        <v/>
      </c>
      <c r="W1009" s="315" t="str">
        <f>IFERROR(__xludf.DUMMYFUNCTION("if(V1009="""",C1009,if(not(iserror(index(split(C1009, "" ""),3))), index(split(C1009, "" ""),3),index(split(C1009, "" ""),2)))"),"")</f>
        <v/>
      </c>
      <c r="X1009" s="38" t="b">
        <f t="shared" si="2"/>
        <v>0</v>
      </c>
      <c r="Y1009" s="38"/>
      <c r="Z1009" s="40"/>
      <c r="AA1009" s="40"/>
      <c r="AB1009" s="38"/>
      <c r="AC1009" s="38"/>
      <c r="AD1009" s="38"/>
      <c r="AE1009" s="38"/>
      <c r="AF1009" s="38"/>
      <c r="AG1009" s="38"/>
      <c r="AH1009" s="38"/>
      <c r="AI1009" s="38"/>
      <c r="AJ1009" s="38"/>
      <c r="AK1009" s="38"/>
      <c r="AL1009" s="38"/>
      <c r="AM1009" s="38"/>
      <c r="AN1009" s="38"/>
      <c r="AO1009" s="38"/>
      <c r="AP1009" s="38"/>
      <c r="AQ1009" s="38"/>
      <c r="AR1009" s="38"/>
      <c r="AS1009" s="38"/>
      <c r="AT1009" s="38"/>
      <c r="AU1009" s="38"/>
      <c r="AV1009" s="38"/>
      <c r="AW1009" s="38"/>
      <c r="AX1009" s="38"/>
      <c r="AY1009" s="38"/>
      <c r="AZ1009" s="38"/>
      <c r="BA1009" s="38"/>
      <c r="BB1009" s="38"/>
      <c r="BC1009" s="38"/>
      <c r="BD1009" s="38"/>
      <c r="BE1009" s="38"/>
      <c r="BF1009" s="38"/>
      <c r="BG1009" s="38"/>
    </row>
    <row r="1010">
      <c r="B1010" s="341"/>
      <c r="C1010" s="60"/>
      <c r="D1010" s="60"/>
      <c r="E1010" s="58"/>
      <c r="F1010" s="58"/>
      <c r="G1010" s="58"/>
      <c r="H1010" s="33" t="str">
        <f t="shared" si="1"/>
        <v/>
      </c>
      <c r="I1010" s="58"/>
      <c r="J1010" s="58"/>
      <c r="K1010" s="58"/>
      <c r="L1010" s="38"/>
      <c r="M1010" s="58"/>
      <c r="N1010" s="58"/>
      <c r="O1010" s="58"/>
      <c r="P1010" s="80"/>
      <c r="Q1010" s="77"/>
      <c r="R1010" s="62"/>
      <c r="S1010" s="62"/>
      <c r="T1010" s="62"/>
      <c r="U1010" s="62"/>
      <c r="V1010" s="37" t="str">
        <f>IFERROR(__xludf.DUMMYFUNCTION("if(not(iserror(index(split(C1010, "" ""),2))), index(split(C1010, "" ""),1),"""")"),"")</f>
        <v/>
      </c>
      <c r="W1010" s="315" t="str">
        <f>IFERROR(__xludf.DUMMYFUNCTION("if(V1010="""",C1010,if(not(iserror(index(split(C1010, "" ""),3))), index(split(C1010, "" ""),3),index(split(C1010, "" ""),2)))"),"")</f>
        <v/>
      </c>
      <c r="X1010" s="38" t="b">
        <f t="shared" si="2"/>
        <v>0</v>
      </c>
      <c r="Y1010" s="38"/>
      <c r="Z1010" s="40"/>
      <c r="AA1010" s="40"/>
      <c r="AB1010" s="38"/>
      <c r="AC1010" s="38"/>
      <c r="AD1010" s="38"/>
      <c r="AE1010" s="38"/>
      <c r="AF1010" s="38"/>
      <c r="AG1010" s="38"/>
      <c r="AH1010" s="38"/>
      <c r="AI1010" s="38"/>
      <c r="AJ1010" s="38"/>
      <c r="AK1010" s="38"/>
      <c r="AL1010" s="38"/>
      <c r="AM1010" s="38"/>
      <c r="AN1010" s="38"/>
      <c r="AO1010" s="38"/>
      <c r="AP1010" s="38"/>
      <c r="AQ1010" s="38"/>
      <c r="AR1010" s="38"/>
      <c r="AS1010" s="38"/>
      <c r="AT1010" s="38"/>
      <c r="AU1010" s="38"/>
      <c r="AV1010" s="38"/>
      <c r="AW1010" s="38"/>
      <c r="AX1010" s="38"/>
      <c r="AY1010" s="38"/>
      <c r="AZ1010" s="38"/>
      <c r="BA1010" s="38"/>
      <c r="BB1010" s="38"/>
      <c r="BC1010" s="38"/>
      <c r="BD1010" s="38"/>
      <c r="BE1010" s="38"/>
      <c r="BF1010" s="38"/>
      <c r="BG1010" s="38"/>
    </row>
    <row r="1011">
      <c r="B1011" s="341"/>
      <c r="C1011" s="60"/>
      <c r="D1011" s="60"/>
      <c r="E1011" s="58"/>
      <c r="F1011" s="58"/>
      <c r="G1011" s="58"/>
      <c r="H1011" s="33" t="str">
        <f t="shared" si="1"/>
        <v/>
      </c>
      <c r="I1011" s="58"/>
      <c r="J1011" s="58"/>
      <c r="K1011" s="58"/>
      <c r="L1011" s="38"/>
      <c r="M1011" s="58"/>
      <c r="N1011" s="58"/>
      <c r="O1011" s="58"/>
      <c r="P1011" s="80"/>
      <c r="Q1011" s="77"/>
      <c r="R1011" s="62"/>
      <c r="S1011" s="62"/>
      <c r="T1011" s="62"/>
      <c r="U1011" s="62"/>
      <c r="V1011" s="37" t="str">
        <f>IFERROR(__xludf.DUMMYFUNCTION("if(not(iserror(index(split(C1011, "" ""),2))), index(split(C1011, "" ""),1),"""")"),"")</f>
        <v/>
      </c>
      <c r="W1011" s="315" t="str">
        <f>IFERROR(__xludf.DUMMYFUNCTION("if(V1011="""",C1011,if(not(iserror(index(split(C1011, "" ""),3))), index(split(C1011, "" ""),3),index(split(C1011, "" ""),2)))"),"")</f>
        <v/>
      </c>
      <c r="X1011" s="38" t="b">
        <f t="shared" si="2"/>
        <v>0</v>
      </c>
      <c r="Y1011" s="38"/>
      <c r="Z1011" s="40"/>
      <c r="AA1011" s="40"/>
      <c r="AB1011" s="38"/>
      <c r="AC1011" s="38"/>
      <c r="AD1011" s="38"/>
      <c r="AE1011" s="38"/>
      <c r="AF1011" s="38"/>
      <c r="AG1011" s="38"/>
      <c r="AH1011" s="38"/>
      <c r="AI1011" s="38"/>
      <c r="AJ1011" s="38"/>
      <c r="AK1011" s="38"/>
      <c r="AL1011" s="38"/>
      <c r="AM1011" s="38"/>
      <c r="AN1011" s="38"/>
      <c r="AO1011" s="38"/>
      <c r="AP1011" s="38"/>
      <c r="AQ1011" s="38"/>
      <c r="AR1011" s="38"/>
      <c r="AS1011" s="38"/>
      <c r="AT1011" s="38"/>
      <c r="AU1011" s="38"/>
      <c r="AV1011" s="38"/>
      <c r="AW1011" s="38"/>
      <c r="AX1011" s="38"/>
      <c r="AY1011" s="38"/>
      <c r="AZ1011" s="38"/>
      <c r="BA1011" s="38"/>
      <c r="BB1011" s="38"/>
      <c r="BC1011" s="38"/>
      <c r="BD1011" s="38"/>
      <c r="BE1011" s="38"/>
      <c r="BF1011" s="38"/>
      <c r="BG1011" s="38"/>
    </row>
    <row r="1012">
      <c r="A1012" s="58"/>
      <c r="B1012" s="341"/>
      <c r="C1012" s="60"/>
      <c r="D1012" s="60"/>
      <c r="E1012" s="58"/>
      <c r="F1012" s="58"/>
      <c r="G1012" s="58"/>
      <c r="H1012" s="33" t="str">
        <f t="shared" si="1"/>
        <v/>
      </c>
      <c r="I1012" s="58"/>
      <c r="J1012" s="58"/>
      <c r="K1012" s="58"/>
      <c r="L1012" s="38"/>
      <c r="M1012" s="58"/>
      <c r="N1012" s="58"/>
      <c r="O1012" s="58"/>
      <c r="P1012" s="80"/>
      <c r="Q1012" s="77"/>
      <c r="R1012" s="62"/>
      <c r="S1012" s="62"/>
      <c r="T1012" s="62"/>
      <c r="U1012" s="62"/>
      <c r="V1012" s="37" t="str">
        <f>IFERROR(__xludf.DUMMYFUNCTION("if(not(iserror(index(split(C1012, "" ""),2))), index(split(C1012, "" ""),1),"""")"),"")</f>
        <v/>
      </c>
      <c r="W1012" s="315" t="str">
        <f>IFERROR(__xludf.DUMMYFUNCTION("if(V1012="""",C1012,if(not(iserror(index(split(C1012, "" ""),3))), index(split(C1012, "" ""),3),index(split(C1012, "" ""),2)))"),"")</f>
        <v/>
      </c>
      <c r="X1012" s="38" t="b">
        <f t="shared" si="2"/>
        <v>0</v>
      </c>
      <c r="Y1012" s="38"/>
      <c r="Z1012" s="40"/>
      <c r="AA1012" s="40"/>
      <c r="AB1012" s="38"/>
      <c r="AC1012" s="38"/>
      <c r="AD1012" s="38"/>
      <c r="AE1012" s="38"/>
      <c r="AF1012" s="38"/>
      <c r="AG1012" s="38"/>
      <c r="AH1012" s="38"/>
      <c r="AI1012" s="38"/>
      <c r="AJ1012" s="38"/>
      <c r="AK1012" s="38"/>
      <c r="AL1012" s="38"/>
      <c r="AM1012" s="38"/>
      <c r="AN1012" s="38"/>
      <c r="AO1012" s="38"/>
      <c r="AP1012" s="38"/>
      <c r="AQ1012" s="38"/>
      <c r="AR1012" s="38"/>
      <c r="AS1012" s="38"/>
      <c r="AT1012" s="38"/>
      <c r="AU1012" s="38"/>
      <c r="AV1012" s="38"/>
      <c r="AW1012" s="38"/>
      <c r="AX1012" s="38"/>
      <c r="AY1012" s="38"/>
      <c r="AZ1012" s="38"/>
      <c r="BA1012" s="38"/>
      <c r="BB1012" s="38"/>
      <c r="BC1012" s="38"/>
      <c r="BD1012" s="38"/>
      <c r="BE1012" s="38"/>
      <c r="BF1012" s="38"/>
      <c r="BG1012" s="38"/>
    </row>
    <row r="1013">
      <c r="A1013" s="58"/>
      <c r="B1013" s="341"/>
      <c r="C1013" s="60"/>
      <c r="D1013" s="60"/>
      <c r="E1013" s="58"/>
      <c r="F1013" s="58"/>
      <c r="G1013" s="58"/>
      <c r="H1013" s="33" t="str">
        <f t="shared" si="1"/>
        <v/>
      </c>
      <c r="I1013" s="58"/>
      <c r="J1013" s="58"/>
      <c r="K1013" s="58"/>
      <c r="L1013" s="38"/>
      <c r="M1013" s="58"/>
      <c r="N1013" s="58"/>
      <c r="O1013" s="58"/>
      <c r="P1013" s="80"/>
      <c r="Q1013" s="77"/>
      <c r="R1013" s="62"/>
      <c r="S1013" s="62"/>
      <c r="T1013" s="62"/>
      <c r="U1013" s="62"/>
      <c r="V1013" s="37" t="str">
        <f>IFERROR(__xludf.DUMMYFUNCTION("if(not(iserror(index(split(C1013, "" ""),2))), index(split(C1013, "" ""),1),"""")"),"")</f>
        <v/>
      </c>
      <c r="W1013" s="315" t="str">
        <f>IFERROR(__xludf.DUMMYFUNCTION("if(V1013="""",C1013,if(not(iserror(index(split(C1013, "" ""),3))), index(split(C1013, "" ""),3),index(split(C1013, "" ""),2)))"),"")</f>
        <v/>
      </c>
      <c r="X1013" s="38" t="b">
        <f t="shared" si="2"/>
        <v>0</v>
      </c>
      <c r="Y1013" s="38"/>
      <c r="Z1013" s="40"/>
      <c r="AA1013" s="40"/>
      <c r="AB1013" s="38"/>
      <c r="AC1013" s="38"/>
      <c r="AD1013" s="38"/>
      <c r="AE1013" s="38"/>
      <c r="AF1013" s="38"/>
      <c r="AG1013" s="38"/>
      <c r="AH1013" s="38"/>
      <c r="AI1013" s="38"/>
      <c r="AJ1013" s="38"/>
      <c r="AK1013" s="38"/>
      <c r="AL1013" s="38"/>
      <c r="AM1013" s="38"/>
      <c r="AN1013" s="38"/>
      <c r="AO1013" s="38"/>
      <c r="AP1013" s="38"/>
      <c r="AQ1013" s="38"/>
      <c r="AR1013" s="38"/>
      <c r="AS1013" s="38"/>
      <c r="AT1013" s="38"/>
      <c r="AU1013" s="38"/>
      <c r="AV1013" s="38"/>
      <c r="AW1013" s="38"/>
      <c r="AX1013" s="38"/>
      <c r="AY1013" s="38"/>
      <c r="AZ1013" s="38"/>
      <c r="BA1013" s="38"/>
      <c r="BB1013" s="38"/>
      <c r="BC1013" s="38"/>
      <c r="BD1013" s="38"/>
      <c r="BE1013" s="38"/>
      <c r="BF1013" s="38"/>
      <c r="BG1013" s="38"/>
    </row>
    <row r="1014">
      <c r="B1014" s="341"/>
      <c r="C1014" s="60"/>
      <c r="D1014" s="60"/>
      <c r="E1014" s="58"/>
      <c r="F1014" s="58"/>
      <c r="G1014" s="58"/>
      <c r="H1014" s="33" t="str">
        <f t="shared" si="1"/>
        <v/>
      </c>
      <c r="I1014" s="58"/>
      <c r="J1014" s="58"/>
      <c r="K1014" s="58"/>
      <c r="L1014" s="38"/>
      <c r="M1014" s="58"/>
      <c r="N1014" s="58"/>
      <c r="O1014" s="58"/>
      <c r="P1014" s="80"/>
      <c r="Q1014" s="77"/>
      <c r="R1014" s="58"/>
      <c r="S1014" s="62"/>
      <c r="T1014" s="84"/>
      <c r="U1014" s="62"/>
      <c r="V1014" s="37" t="str">
        <f>IFERROR(__xludf.DUMMYFUNCTION("if(not(iserror(index(split(C1014, "" ""),2))), index(split(C1014, "" ""),1),"""")"),"")</f>
        <v/>
      </c>
      <c r="W1014" s="315" t="str">
        <f>IFERROR(__xludf.DUMMYFUNCTION("if(V1014="""",C1014,if(not(iserror(index(split(C1014, "" ""),3))), index(split(C1014, "" ""),3),index(split(C1014, "" ""),2)))"),"")</f>
        <v/>
      </c>
      <c r="X1014" s="38" t="b">
        <f t="shared" si="2"/>
        <v>0</v>
      </c>
      <c r="Y1014" s="38"/>
      <c r="Z1014" s="40"/>
      <c r="AA1014" s="40"/>
      <c r="AB1014" s="38"/>
      <c r="AC1014" s="38"/>
      <c r="AD1014" s="38"/>
      <c r="AE1014" s="38"/>
      <c r="AF1014" s="38"/>
      <c r="AG1014" s="38"/>
      <c r="AH1014" s="38"/>
      <c r="AI1014" s="38"/>
      <c r="AJ1014" s="38"/>
      <c r="AK1014" s="38"/>
      <c r="AL1014" s="38"/>
      <c r="AM1014" s="38"/>
      <c r="AN1014" s="38"/>
      <c r="AO1014" s="38"/>
      <c r="AP1014" s="38"/>
      <c r="AQ1014" s="38"/>
      <c r="AR1014" s="38"/>
      <c r="AS1014" s="38"/>
      <c r="AT1014" s="38"/>
      <c r="AU1014" s="38"/>
      <c r="AV1014" s="38"/>
      <c r="AW1014" s="38"/>
      <c r="AX1014" s="38"/>
      <c r="AY1014" s="38"/>
      <c r="AZ1014" s="38"/>
      <c r="BA1014" s="38"/>
      <c r="BB1014" s="38"/>
      <c r="BC1014" s="38"/>
      <c r="BD1014" s="38"/>
      <c r="BE1014" s="38"/>
      <c r="BF1014" s="38"/>
      <c r="BG1014" s="38"/>
    </row>
    <row r="1015">
      <c r="B1015" s="341"/>
      <c r="C1015" s="60"/>
      <c r="D1015" s="60"/>
      <c r="E1015" s="58"/>
      <c r="F1015" s="58"/>
      <c r="G1015" s="58"/>
      <c r="H1015" s="33" t="str">
        <f t="shared" si="1"/>
        <v/>
      </c>
      <c r="I1015" s="58"/>
      <c r="J1015" s="58"/>
      <c r="K1015" s="58"/>
      <c r="L1015" s="38"/>
      <c r="M1015" s="58"/>
      <c r="N1015" s="58"/>
      <c r="O1015" s="58"/>
      <c r="P1015" s="80"/>
      <c r="Q1015" s="77"/>
      <c r="R1015" s="58"/>
      <c r="S1015" s="62"/>
      <c r="T1015" s="84"/>
      <c r="U1015" s="62"/>
      <c r="V1015" s="37" t="str">
        <f>IFERROR(__xludf.DUMMYFUNCTION("if(not(iserror(index(split(C1015, "" ""),2))), index(split(C1015, "" ""),1),"""")"),"")</f>
        <v/>
      </c>
      <c r="W1015" s="315" t="str">
        <f>IFERROR(__xludf.DUMMYFUNCTION("if(V1015="""",C1015,if(not(iserror(index(split(C1015, "" ""),3))), index(split(C1015, "" ""),3),index(split(C1015, "" ""),2)))"),"")</f>
        <v/>
      </c>
      <c r="X1015" s="38" t="b">
        <f t="shared" si="2"/>
        <v>0</v>
      </c>
      <c r="Y1015" s="38"/>
      <c r="Z1015" s="40"/>
      <c r="AA1015" s="40"/>
      <c r="AB1015" s="38"/>
      <c r="AC1015" s="38"/>
      <c r="AD1015" s="38"/>
      <c r="AE1015" s="38"/>
      <c r="AF1015" s="38"/>
      <c r="AG1015" s="38"/>
      <c r="AH1015" s="38"/>
      <c r="AI1015" s="38"/>
      <c r="AJ1015" s="38"/>
      <c r="AK1015" s="38"/>
      <c r="AL1015" s="38"/>
      <c r="AM1015" s="38"/>
      <c r="AN1015" s="38"/>
      <c r="AO1015" s="38"/>
      <c r="AP1015" s="38"/>
      <c r="AQ1015" s="38"/>
      <c r="AR1015" s="38"/>
      <c r="AS1015" s="38"/>
      <c r="AT1015" s="38"/>
      <c r="AU1015" s="38"/>
      <c r="AV1015" s="38"/>
      <c r="AW1015" s="38"/>
      <c r="AX1015" s="38"/>
      <c r="AY1015" s="38"/>
      <c r="AZ1015" s="38"/>
      <c r="BA1015" s="38"/>
      <c r="BB1015" s="38"/>
      <c r="BC1015" s="38"/>
      <c r="BD1015" s="38"/>
      <c r="BE1015" s="38"/>
      <c r="BF1015" s="38"/>
      <c r="BG1015" s="38"/>
    </row>
    <row r="1016">
      <c r="B1016" s="341"/>
      <c r="C1016" s="60"/>
      <c r="D1016" s="60"/>
      <c r="E1016" s="58"/>
      <c r="F1016" s="58"/>
      <c r="G1016" s="58"/>
      <c r="H1016" s="33" t="str">
        <f t="shared" si="1"/>
        <v/>
      </c>
      <c r="I1016" s="58"/>
      <c r="J1016" s="58"/>
      <c r="K1016" s="58"/>
      <c r="L1016" s="38"/>
      <c r="M1016" s="58"/>
      <c r="N1016" s="58"/>
      <c r="O1016" s="58"/>
      <c r="P1016" s="80"/>
      <c r="Q1016" s="77"/>
      <c r="R1016" s="58"/>
      <c r="S1016" s="62"/>
      <c r="T1016" s="84"/>
      <c r="U1016" s="62"/>
      <c r="V1016" s="37" t="str">
        <f>IFERROR(__xludf.DUMMYFUNCTION("if(not(iserror(index(split(C1016, "" ""),2))), index(split(C1016, "" ""),1),"""")"),"")</f>
        <v/>
      </c>
      <c r="W1016" s="315" t="str">
        <f>IFERROR(__xludf.DUMMYFUNCTION("if(V1016="""",C1016,if(not(iserror(index(split(C1016, "" ""),3))), index(split(C1016, "" ""),3),index(split(C1016, "" ""),2)))"),"")</f>
        <v/>
      </c>
      <c r="X1016" s="38" t="b">
        <f t="shared" si="2"/>
        <v>0</v>
      </c>
      <c r="Y1016" s="38"/>
      <c r="Z1016" s="40"/>
      <c r="AA1016" s="40"/>
      <c r="AB1016" s="38"/>
      <c r="AC1016" s="38"/>
      <c r="AD1016" s="38"/>
      <c r="AE1016" s="38"/>
      <c r="AF1016" s="38"/>
      <c r="AG1016" s="38"/>
      <c r="AH1016" s="38"/>
      <c r="AI1016" s="38"/>
      <c r="AJ1016" s="38"/>
      <c r="AK1016" s="38"/>
      <c r="AL1016" s="38"/>
      <c r="AM1016" s="38"/>
      <c r="AN1016" s="38"/>
      <c r="AO1016" s="38"/>
      <c r="AP1016" s="38"/>
      <c r="AQ1016" s="38"/>
      <c r="AR1016" s="38"/>
      <c r="AS1016" s="38"/>
      <c r="AT1016" s="38"/>
      <c r="AU1016" s="38"/>
      <c r="AV1016" s="38"/>
      <c r="AW1016" s="38"/>
      <c r="AX1016" s="38"/>
      <c r="AY1016" s="38"/>
      <c r="AZ1016" s="38"/>
      <c r="BA1016" s="38"/>
      <c r="BB1016" s="38"/>
      <c r="BC1016" s="38"/>
      <c r="BD1016" s="38"/>
      <c r="BE1016" s="38"/>
      <c r="BF1016" s="38"/>
      <c r="BG1016" s="38"/>
    </row>
    <row r="1017">
      <c r="A1017" s="91"/>
      <c r="B1017" s="383"/>
      <c r="C1017" s="146"/>
      <c r="D1017" s="146"/>
      <c r="E1017" s="91"/>
      <c r="F1017" s="91"/>
      <c r="G1017" s="91"/>
      <c r="H1017" s="33" t="str">
        <f t="shared" si="1"/>
        <v/>
      </c>
      <c r="I1017" s="91"/>
      <c r="J1017" s="91"/>
      <c r="K1017" s="91"/>
      <c r="L1017" s="38"/>
      <c r="M1017" s="91"/>
      <c r="N1017" s="91"/>
      <c r="O1017" s="91"/>
      <c r="P1017" s="95"/>
      <c r="Q1017" s="15"/>
      <c r="R1017" s="58"/>
      <c r="S1017" s="62"/>
      <c r="T1017" s="84"/>
      <c r="U1017" s="62"/>
      <c r="V1017" s="37" t="str">
        <f>IFERROR(__xludf.DUMMYFUNCTION("if(not(iserror(index(split(C1017, "" ""),2))), index(split(C1017, "" ""),1),"""")"),"")</f>
        <v/>
      </c>
      <c r="W1017" s="315" t="str">
        <f>IFERROR(__xludf.DUMMYFUNCTION("if(V1017="""",C1017,if(not(iserror(index(split(C1017, "" ""),3))), index(split(C1017, "" ""),3),index(split(C1017, "" ""),2)))"),"")</f>
        <v/>
      </c>
      <c r="X1017" s="38" t="b">
        <f t="shared" si="2"/>
        <v>0</v>
      </c>
      <c r="Y1017" s="38"/>
      <c r="Z1017" s="40"/>
      <c r="AA1017" s="40"/>
      <c r="AB1017" s="38"/>
      <c r="AC1017" s="38"/>
      <c r="AD1017" s="38"/>
      <c r="AE1017" s="38"/>
      <c r="AF1017" s="38"/>
      <c r="AG1017" s="38"/>
      <c r="AH1017" s="38"/>
      <c r="AI1017" s="38"/>
      <c r="AJ1017" s="38"/>
      <c r="AK1017" s="38"/>
      <c r="AL1017" s="38"/>
      <c r="AM1017" s="38"/>
      <c r="AN1017" s="38"/>
      <c r="AO1017" s="38"/>
      <c r="AP1017" s="38"/>
      <c r="AQ1017" s="38"/>
      <c r="AR1017" s="38"/>
      <c r="AS1017" s="38"/>
      <c r="AT1017" s="38"/>
      <c r="AU1017" s="38"/>
      <c r="AV1017" s="38"/>
      <c r="AW1017" s="38"/>
      <c r="AX1017" s="38"/>
      <c r="AY1017" s="38"/>
      <c r="AZ1017" s="38"/>
      <c r="BA1017" s="38"/>
      <c r="BB1017" s="38"/>
      <c r="BC1017" s="38"/>
      <c r="BD1017" s="38"/>
      <c r="BE1017" s="38"/>
      <c r="BF1017" s="38"/>
      <c r="BG1017" s="38"/>
    </row>
    <row r="1018">
      <c r="A1018" s="58"/>
      <c r="B1018" s="341"/>
      <c r="C1018" s="60"/>
      <c r="D1018" s="60"/>
      <c r="E1018" s="58"/>
      <c r="F1018" s="58"/>
      <c r="G1018" s="58"/>
      <c r="H1018" s="33" t="str">
        <f t="shared" si="1"/>
        <v/>
      </c>
      <c r="I1018" s="58"/>
      <c r="J1018" s="58"/>
      <c r="K1018" s="58"/>
      <c r="L1018" s="38"/>
      <c r="M1018" s="58"/>
      <c r="N1018" s="58"/>
      <c r="O1018" s="58"/>
      <c r="P1018" s="80"/>
      <c r="Q1018" s="77"/>
      <c r="R1018" s="62"/>
      <c r="S1018" s="62"/>
      <c r="T1018" s="62"/>
      <c r="U1018" s="62"/>
      <c r="V1018" s="37" t="str">
        <f>IFERROR(__xludf.DUMMYFUNCTION("if(not(iserror(index(split(C1018, "" ""),2))), index(split(C1018, "" ""),1),"""")"),"")</f>
        <v/>
      </c>
      <c r="W1018" s="315" t="str">
        <f>IFERROR(__xludf.DUMMYFUNCTION("if(V1018="""",C1018,if(not(iserror(index(split(C1018, "" ""),3))), index(split(C1018, "" ""),3),index(split(C1018, "" ""),2)))"),"")</f>
        <v/>
      </c>
      <c r="X1018" s="38" t="b">
        <f t="shared" si="2"/>
        <v>0</v>
      </c>
      <c r="Y1018" s="38"/>
      <c r="Z1018" s="40"/>
      <c r="AA1018" s="40"/>
      <c r="AB1018" s="38"/>
      <c r="AC1018" s="38"/>
      <c r="AD1018" s="38"/>
      <c r="AE1018" s="38"/>
      <c r="AF1018" s="38"/>
      <c r="AG1018" s="38"/>
      <c r="AH1018" s="38"/>
      <c r="AI1018" s="38"/>
      <c r="AJ1018" s="38"/>
      <c r="AK1018" s="38"/>
      <c r="AL1018" s="38"/>
      <c r="AM1018" s="38"/>
      <c r="AN1018" s="38"/>
      <c r="AO1018" s="38"/>
      <c r="AP1018" s="38"/>
      <c r="AQ1018" s="38"/>
      <c r="AR1018" s="38"/>
      <c r="AS1018" s="38"/>
      <c r="AT1018" s="38"/>
      <c r="AU1018" s="38"/>
      <c r="AV1018" s="38"/>
      <c r="AW1018" s="38"/>
      <c r="AX1018" s="38"/>
      <c r="AY1018" s="38"/>
      <c r="AZ1018" s="38"/>
      <c r="BA1018" s="38"/>
      <c r="BB1018" s="38"/>
      <c r="BC1018" s="38"/>
      <c r="BD1018" s="38"/>
      <c r="BE1018" s="38"/>
      <c r="BF1018" s="38"/>
      <c r="BG1018" s="38"/>
    </row>
    <row r="1019">
      <c r="A1019" s="58"/>
      <c r="B1019" s="341"/>
      <c r="C1019" s="60"/>
      <c r="D1019" s="60"/>
      <c r="E1019" s="58"/>
      <c r="F1019" s="58"/>
      <c r="G1019" s="58"/>
      <c r="H1019" s="33" t="str">
        <f t="shared" si="1"/>
        <v/>
      </c>
      <c r="I1019" s="58"/>
      <c r="J1019" s="58"/>
      <c r="K1019" s="58"/>
      <c r="L1019" s="38"/>
      <c r="M1019" s="58"/>
      <c r="N1019" s="58"/>
      <c r="O1019" s="58"/>
      <c r="P1019" s="80"/>
      <c r="Q1019" s="77"/>
      <c r="R1019" s="62"/>
      <c r="S1019" s="62"/>
      <c r="T1019" s="62"/>
      <c r="U1019" s="62"/>
      <c r="V1019" s="37" t="str">
        <f>IFERROR(__xludf.DUMMYFUNCTION("if(not(iserror(index(split(C1019, "" ""),2))), index(split(C1019, "" ""),1),"""")"),"")</f>
        <v/>
      </c>
      <c r="W1019" s="315" t="str">
        <f>IFERROR(__xludf.DUMMYFUNCTION("if(V1019="""",C1019,if(not(iserror(index(split(C1019, "" ""),3))), index(split(C1019, "" ""),3),index(split(C1019, "" ""),2)))"),"")</f>
        <v/>
      </c>
      <c r="X1019" s="38" t="b">
        <f t="shared" si="2"/>
        <v>0</v>
      </c>
      <c r="Y1019" s="38"/>
      <c r="Z1019" s="40"/>
      <c r="AA1019" s="40"/>
      <c r="AB1019" s="38"/>
      <c r="AC1019" s="38"/>
      <c r="AD1019" s="38"/>
      <c r="AE1019" s="38"/>
      <c r="AF1019" s="38"/>
      <c r="AG1019" s="38"/>
      <c r="AH1019" s="38"/>
      <c r="AI1019" s="38"/>
      <c r="AJ1019" s="38"/>
      <c r="AK1019" s="38"/>
      <c r="AL1019" s="38"/>
      <c r="AM1019" s="38"/>
      <c r="AN1019" s="38"/>
      <c r="AO1019" s="38"/>
      <c r="AP1019" s="38"/>
      <c r="AQ1019" s="38"/>
      <c r="AR1019" s="38"/>
      <c r="AS1019" s="38"/>
      <c r="AT1019" s="38"/>
      <c r="AU1019" s="38"/>
      <c r="AV1019" s="38"/>
      <c r="AW1019" s="38"/>
      <c r="AX1019" s="38"/>
      <c r="AY1019" s="38"/>
      <c r="AZ1019" s="38"/>
      <c r="BA1019" s="38"/>
      <c r="BB1019" s="38"/>
      <c r="BC1019" s="38"/>
      <c r="BD1019" s="38"/>
      <c r="BE1019" s="38"/>
      <c r="BF1019" s="38"/>
      <c r="BG1019" s="38"/>
    </row>
    <row r="1020">
      <c r="B1020" s="341"/>
      <c r="C1020" s="60"/>
      <c r="D1020" s="60"/>
      <c r="E1020" s="58"/>
      <c r="F1020" s="58"/>
      <c r="G1020" s="58"/>
      <c r="H1020" s="33" t="str">
        <f t="shared" si="1"/>
        <v/>
      </c>
      <c r="I1020" s="58"/>
      <c r="J1020" s="58"/>
      <c r="K1020" s="58"/>
      <c r="L1020" s="38"/>
      <c r="M1020" s="58"/>
      <c r="N1020" s="58"/>
      <c r="O1020" s="58"/>
      <c r="P1020" s="80"/>
      <c r="Q1020" s="77"/>
      <c r="R1020" s="62"/>
      <c r="S1020" s="62"/>
      <c r="T1020" s="62"/>
      <c r="U1020" s="62"/>
      <c r="V1020" s="37" t="str">
        <f>IFERROR(__xludf.DUMMYFUNCTION("if(not(iserror(index(split(C1020, "" ""),2))), index(split(C1020, "" ""),1),"""")"),"")</f>
        <v/>
      </c>
      <c r="W1020" s="315" t="str">
        <f>IFERROR(__xludf.DUMMYFUNCTION("if(V1020="""",C1020,if(not(iserror(index(split(C1020, "" ""),3))), index(split(C1020, "" ""),3),index(split(C1020, "" ""),2)))"),"")</f>
        <v/>
      </c>
      <c r="X1020" s="38" t="b">
        <f t="shared" si="2"/>
        <v>0</v>
      </c>
      <c r="Y1020" s="38"/>
      <c r="Z1020" s="40"/>
      <c r="AA1020" s="40"/>
      <c r="AB1020" s="38"/>
      <c r="AC1020" s="38"/>
      <c r="AD1020" s="38"/>
      <c r="AE1020" s="38"/>
      <c r="AF1020" s="38"/>
      <c r="AG1020" s="38"/>
      <c r="AH1020" s="38"/>
      <c r="AI1020" s="38"/>
      <c r="AJ1020" s="38"/>
      <c r="AK1020" s="38"/>
      <c r="AL1020" s="38"/>
      <c r="AM1020" s="38"/>
      <c r="AN1020" s="38"/>
      <c r="AO1020" s="38"/>
      <c r="AP1020" s="38"/>
      <c r="AQ1020" s="38"/>
      <c r="AR1020" s="38"/>
      <c r="AS1020" s="38"/>
      <c r="AT1020" s="38"/>
      <c r="AU1020" s="38"/>
      <c r="AV1020" s="38"/>
      <c r="AW1020" s="38"/>
      <c r="AX1020" s="38"/>
      <c r="AY1020" s="38"/>
      <c r="AZ1020" s="38"/>
      <c r="BA1020" s="38"/>
      <c r="BB1020" s="38"/>
      <c r="BC1020" s="38"/>
      <c r="BD1020" s="38"/>
      <c r="BE1020" s="38"/>
      <c r="BF1020" s="38"/>
      <c r="BG1020" s="38"/>
    </row>
    <row r="1021">
      <c r="A1021" s="58"/>
      <c r="B1021" s="341"/>
      <c r="C1021" s="60"/>
      <c r="D1021" s="60"/>
      <c r="E1021" s="58"/>
      <c r="F1021" s="58"/>
      <c r="G1021" s="58"/>
      <c r="H1021" s="33" t="str">
        <f t="shared" si="1"/>
        <v/>
      </c>
      <c r="I1021" s="58"/>
      <c r="J1021" s="58"/>
      <c r="K1021" s="58"/>
      <c r="L1021" s="38"/>
      <c r="M1021" s="58"/>
      <c r="N1021" s="58"/>
      <c r="O1021" s="58"/>
      <c r="P1021" s="80"/>
      <c r="Q1021" s="77"/>
      <c r="R1021" s="62"/>
      <c r="S1021" s="62"/>
      <c r="T1021" s="62"/>
      <c r="U1021" s="62"/>
      <c r="V1021" s="37" t="str">
        <f>IFERROR(__xludf.DUMMYFUNCTION("if(not(iserror(index(split(C1021, "" ""),2))), index(split(C1021, "" ""),1),"""")"),"")</f>
        <v/>
      </c>
      <c r="W1021" s="315" t="str">
        <f>IFERROR(__xludf.DUMMYFUNCTION("if(V1021="""",C1021,if(not(iserror(index(split(C1021, "" ""),3))), index(split(C1021, "" ""),3),index(split(C1021, "" ""),2)))"),"")</f>
        <v/>
      </c>
      <c r="X1021" s="38" t="b">
        <f t="shared" si="2"/>
        <v>0</v>
      </c>
      <c r="Y1021" s="38"/>
      <c r="Z1021" s="40"/>
      <c r="AA1021" s="40"/>
      <c r="AB1021" s="38"/>
      <c r="AC1021" s="38"/>
      <c r="AD1021" s="38"/>
      <c r="AE1021" s="38"/>
      <c r="AF1021" s="38"/>
      <c r="AG1021" s="38"/>
      <c r="AH1021" s="38"/>
      <c r="AI1021" s="38"/>
      <c r="AJ1021" s="38"/>
      <c r="AK1021" s="38"/>
      <c r="AL1021" s="38"/>
      <c r="AM1021" s="38"/>
      <c r="AN1021" s="38"/>
      <c r="AO1021" s="38"/>
      <c r="AP1021" s="38"/>
      <c r="AQ1021" s="38"/>
      <c r="AR1021" s="38"/>
      <c r="AS1021" s="38"/>
      <c r="AT1021" s="38"/>
      <c r="AU1021" s="38"/>
      <c r="AV1021" s="38"/>
      <c r="AW1021" s="38"/>
      <c r="AX1021" s="38"/>
      <c r="AY1021" s="38"/>
      <c r="AZ1021" s="38"/>
      <c r="BA1021" s="38"/>
      <c r="BB1021" s="38"/>
      <c r="BC1021" s="38"/>
      <c r="BD1021" s="38"/>
      <c r="BE1021" s="38"/>
      <c r="BF1021" s="38"/>
      <c r="BG1021" s="38"/>
    </row>
    <row r="1022">
      <c r="A1022" s="58"/>
      <c r="B1022" s="341"/>
      <c r="C1022" s="60"/>
      <c r="D1022" s="60"/>
      <c r="E1022" s="58"/>
      <c r="F1022" s="58"/>
      <c r="G1022" s="58"/>
      <c r="H1022" s="33" t="str">
        <f t="shared" si="1"/>
        <v/>
      </c>
      <c r="I1022" s="58"/>
      <c r="J1022" s="58"/>
      <c r="K1022" s="58"/>
      <c r="L1022" s="38"/>
      <c r="M1022" s="58"/>
      <c r="N1022" s="58"/>
      <c r="O1022" s="58"/>
      <c r="P1022" s="80"/>
      <c r="Q1022" s="77"/>
      <c r="R1022" s="62"/>
      <c r="S1022" s="62"/>
      <c r="T1022" s="62"/>
      <c r="U1022" s="62"/>
      <c r="V1022" s="37" t="str">
        <f>IFERROR(__xludf.DUMMYFUNCTION("if(not(iserror(index(split(C1022, "" ""),2))), index(split(C1022, "" ""),1),"""")"),"")</f>
        <v/>
      </c>
      <c r="W1022" s="315" t="str">
        <f>IFERROR(__xludf.DUMMYFUNCTION("if(V1022="""",C1022,if(not(iserror(index(split(C1022, "" ""),3))), index(split(C1022, "" ""),3),index(split(C1022, "" ""),2)))"),"")</f>
        <v/>
      </c>
      <c r="X1022" s="38" t="b">
        <f t="shared" si="2"/>
        <v>0</v>
      </c>
      <c r="Y1022" s="38"/>
      <c r="Z1022" s="40"/>
      <c r="AA1022" s="40"/>
      <c r="AB1022" s="38"/>
      <c r="AC1022" s="38"/>
      <c r="AD1022" s="38"/>
      <c r="AE1022" s="38"/>
      <c r="AF1022" s="38"/>
      <c r="AG1022" s="38"/>
      <c r="AH1022" s="38"/>
      <c r="AI1022" s="38"/>
      <c r="AJ1022" s="38"/>
      <c r="AK1022" s="38"/>
      <c r="AL1022" s="38"/>
      <c r="AM1022" s="38"/>
      <c r="AN1022" s="38"/>
      <c r="AO1022" s="38"/>
      <c r="AP1022" s="38"/>
      <c r="AQ1022" s="38"/>
      <c r="AR1022" s="38"/>
      <c r="AS1022" s="38"/>
      <c r="AT1022" s="38"/>
      <c r="AU1022" s="38"/>
      <c r="AV1022" s="38"/>
      <c r="AW1022" s="38"/>
      <c r="AX1022" s="38"/>
      <c r="AY1022" s="38"/>
      <c r="AZ1022" s="38"/>
      <c r="BA1022" s="38"/>
      <c r="BB1022" s="38"/>
      <c r="BC1022" s="38"/>
      <c r="BD1022" s="38"/>
      <c r="BE1022" s="38"/>
      <c r="BF1022" s="38"/>
      <c r="BG1022" s="38"/>
    </row>
    <row r="1023">
      <c r="A1023" s="58"/>
      <c r="B1023" s="341"/>
      <c r="C1023" s="60"/>
      <c r="D1023" s="60"/>
      <c r="E1023" s="58"/>
      <c r="F1023" s="58"/>
      <c r="G1023" s="58"/>
      <c r="H1023" s="33" t="str">
        <f t="shared" si="1"/>
        <v/>
      </c>
      <c r="I1023" s="58"/>
      <c r="J1023" s="58"/>
      <c r="K1023" s="58"/>
      <c r="L1023" s="38"/>
      <c r="M1023" s="58"/>
      <c r="N1023" s="58"/>
      <c r="O1023" s="58"/>
      <c r="P1023" s="80"/>
      <c r="Q1023" s="77"/>
      <c r="R1023" s="62"/>
      <c r="S1023" s="62"/>
      <c r="T1023" s="62"/>
      <c r="U1023" s="62"/>
      <c r="V1023" s="37" t="str">
        <f>IFERROR(__xludf.DUMMYFUNCTION("if(not(iserror(index(split(C1023, "" ""),2))), index(split(C1023, "" ""),1),"""")"),"")</f>
        <v/>
      </c>
      <c r="W1023" s="315" t="str">
        <f>IFERROR(__xludf.DUMMYFUNCTION("if(V1023="""",C1023,if(not(iserror(index(split(C1023, "" ""),3))), index(split(C1023, "" ""),3),index(split(C1023, "" ""),2)))"),"")</f>
        <v/>
      </c>
      <c r="X1023" s="38" t="b">
        <f t="shared" si="2"/>
        <v>0</v>
      </c>
      <c r="Y1023" s="38"/>
      <c r="Z1023" s="40"/>
      <c r="AA1023" s="40"/>
      <c r="AB1023" s="38"/>
      <c r="AC1023" s="38"/>
      <c r="AD1023" s="38"/>
      <c r="AE1023" s="38"/>
      <c r="AF1023" s="38"/>
      <c r="AG1023" s="38"/>
      <c r="AH1023" s="38"/>
      <c r="AI1023" s="38"/>
      <c r="AJ1023" s="38"/>
      <c r="AK1023" s="38"/>
      <c r="AL1023" s="38"/>
      <c r="AM1023" s="38"/>
      <c r="AN1023" s="38"/>
      <c r="AO1023" s="38"/>
      <c r="AP1023" s="38"/>
      <c r="AQ1023" s="38"/>
      <c r="AR1023" s="38"/>
      <c r="AS1023" s="38"/>
      <c r="AT1023" s="38"/>
      <c r="AU1023" s="38"/>
      <c r="AV1023" s="38"/>
      <c r="AW1023" s="38"/>
      <c r="AX1023" s="38"/>
      <c r="AY1023" s="38"/>
      <c r="AZ1023" s="38"/>
      <c r="BA1023" s="38"/>
      <c r="BB1023" s="38"/>
      <c r="BC1023" s="38"/>
      <c r="BD1023" s="38"/>
      <c r="BE1023" s="38"/>
      <c r="BF1023" s="38"/>
      <c r="BG1023" s="38"/>
    </row>
    <row r="1024">
      <c r="A1024" s="58"/>
      <c r="B1024" s="341"/>
      <c r="C1024" s="60"/>
      <c r="D1024" s="60"/>
      <c r="E1024" s="58"/>
      <c r="F1024" s="58"/>
      <c r="G1024" s="58"/>
      <c r="H1024" s="33" t="str">
        <f t="shared" si="1"/>
        <v/>
      </c>
      <c r="I1024" s="58"/>
      <c r="J1024" s="58"/>
      <c r="K1024" s="58"/>
      <c r="L1024" s="38"/>
      <c r="M1024" s="58"/>
      <c r="N1024" s="58"/>
      <c r="O1024" s="58"/>
      <c r="P1024" s="80"/>
      <c r="Q1024" s="77"/>
      <c r="R1024" s="58"/>
      <c r="S1024" s="62"/>
      <c r="T1024" s="84"/>
      <c r="U1024" s="62"/>
      <c r="V1024" s="37" t="str">
        <f>IFERROR(__xludf.DUMMYFUNCTION("if(not(iserror(index(split(C1024, "" ""),2))), index(split(C1024, "" ""),1),"""")"),"")</f>
        <v/>
      </c>
      <c r="W1024" s="315" t="str">
        <f>IFERROR(__xludf.DUMMYFUNCTION("if(V1024="""",C1024,if(not(iserror(index(split(C1024, "" ""),3))), index(split(C1024, "" ""),3),index(split(C1024, "" ""),2)))"),"")</f>
        <v/>
      </c>
      <c r="X1024" s="38" t="b">
        <f t="shared" si="2"/>
        <v>0</v>
      </c>
      <c r="Y1024" s="38"/>
      <c r="Z1024" s="40"/>
      <c r="AA1024" s="40"/>
      <c r="AB1024" s="38"/>
      <c r="AC1024" s="38"/>
      <c r="AD1024" s="38"/>
      <c r="AE1024" s="38"/>
      <c r="AF1024" s="38"/>
      <c r="AG1024" s="38"/>
      <c r="AH1024" s="38"/>
      <c r="AI1024" s="38"/>
      <c r="AJ1024" s="38"/>
      <c r="AK1024" s="38"/>
      <c r="AL1024" s="38"/>
      <c r="AM1024" s="38"/>
      <c r="AN1024" s="38"/>
      <c r="AO1024" s="38"/>
      <c r="AP1024" s="38"/>
      <c r="AQ1024" s="38"/>
      <c r="AR1024" s="38"/>
      <c r="AS1024" s="38"/>
      <c r="AT1024" s="38"/>
      <c r="AU1024" s="38"/>
      <c r="AV1024" s="38"/>
      <c r="AW1024" s="38"/>
      <c r="AX1024" s="38"/>
      <c r="AY1024" s="38"/>
      <c r="AZ1024" s="38"/>
      <c r="BA1024" s="38"/>
      <c r="BB1024" s="38"/>
      <c r="BC1024" s="38"/>
      <c r="BD1024" s="38"/>
      <c r="BE1024" s="38"/>
      <c r="BF1024" s="38"/>
      <c r="BG1024" s="38"/>
    </row>
    <row r="1025">
      <c r="B1025" s="341"/>
      <c r="C1025" s="60"/>
      <c r="D1025" s="60"/>
      <c r="E1025" s="58"/>
      <c r="F1025" s="58"/>
      <c r="G1025" s="58"/>
      <c r="H1025" s="33" t="str">
        <f t="shared" si="1"/>
        <v/>
      </c>
      <c r="I1025" s="58"/>
      <c r="J1025" s="58"/>
      <c r="K1025" s="58"/>
      <c r="L1025" s="38"/>
      <c r="M1025" s="58"/>
      <c r="N1025" s="58"/>
      <c r="O1025" s="58"/>
      <c r="P1025" s="80"/>
      <c r="Q1025" s="80"/>
      <c r="R1025" s="58"/>
      <c r="S1025" s="58"/>
      <c r="T1025" s="84"/>
      <c r="U1025" s="62"/>
      <c r="V1025" s="37" t="str">
        <f>IFERROR(__xludf.DUMMYFUNCTION("if(not(iserror(index(split(C1025, "" ""),2))), index(split(C1025, "" ""),1),"""")"),"")</f>
        <v/>
      </c>
      <c r="W1025" s="315" t="str">
        <f>IFERROR(__xludf.DUMMYFUNCTION("if(V1025="""",C1025,if(not(iserror(index(split(C1025, "" ""),3))), index(split(C1025, "" ""),3),index(split(C1025, "" ""),2)))"),"")</f>
        <v/>
      </c>
      <c r="X1025" s="38" t="b">
        <f t="shared" si="2"/>
        <v>0</v>
      </c>
      <c r="Y1025" s="38"/>
      <c r="Z1025" s="40"/>
      <c r="AA1025" s="40"/>
      <c r="AB1025" s="38"/>
      <c r="AC1025" s="38"/>
      <c r="AD1025" s="38"/>
      <c r="AE1025" s="38"/>
      <c r="AF1025" s="38"/>
      <c r="AG1025" s="38"/>
      <c r="AH1025" s="38"/>
      <c r="AI1025" s="38"/>
      <c r="AJ1025" s="38"/>
      <c r="AK1025" s="38"/>
      <c r="AL1025" s="38"/>
      <c r="AM1025" s="38"/>
      <c r="AN1025" s="38"/>
      <c r="AO1025" s="38"/>
      <c r="AP1025" s="38"/>
      <c r="AQ1025" s="38"/>
      <c r="AR1025" s="38"/>
      <c r="AS1025" s="38"/>
      <c r="AT1025" s="38"/>
      <c r="AU1025" s="38"/>
      <c r="AV1025" s="38"/>
      <c r="AW1025" s="38"/>
      <c r="AX1025" s="38"/>
      <c r="AY1025" s="38"/>
      <c r="AZ1025" s="38"/>
      <c r="BA1025" s="38"/>
      <c r="BB1025" s="38"/>
      <c r="BC1025" s="38"/>
      <c r="BD1025" s="38"/>
      <c r="BE1025" s="38"/>
      <c r="BF1025" s="38"/>
      <c r="BG1025" s="38"/>
    </row>
    <row r="1026">
      <c r="A1026" s="58"/>
      <c r="B1026" s="341"/>
      <c r="C1026" s="60"/>
      <c r="D1026" s="60"/>
      <c r="E1026" s="58"/>
      <c r="F1026" s="58"/>
      <c r="G1026" s="58"/>
      <c r="H1026" s="33" t="str">
        <f t="shared" si="1"/>
        <v/>
      </c>
      <c r="I1026" s="58"/>
      <c r="J1026" s="58"/>
      <c r="K1026" s="58"/>
      <c r="L1026" s="38"/>
      <c r="M1026" s="58"/>
      <c r="N1026" s="58"/>
      <c r="O1026" s="58"/>
      <c r="P1026" s="80"/>
      <c r="Q1026" s="77"/>
      <c r="R1026" s="62"/>
      <c r="S1026" s="62"/>
      <c r="T1026" s="62"/>
      <c r="U1026" s="62"/>
      <c r="V1026" s="37" t="str">
        <f>IFERROR(__xludf.DUMMYFUNCTION("if(not(iserror(index(split(C1026, "" ""),2))), index(split(C1026, "" ""),1),"""")"),"")</f>
        <v/>
      </c>
      <c r="W1026" s="315" t="str">
        <f>IFERROR(__xludf.DUMMYFUNCTION("if(V1026="""",C1026,if(not(iserror(index(split(C1026, "" ""),3))), index(split(C1026, "" ""),3),index(split(C1026, "" ""),2)))"),"")</f>
        <v/>
      </c>
      <c r="X1026" s="38" t="b">
        <f t="shared" si="2"/>
        <v>0</v>
      </c>
      <c r="Y1026" s="38"/>
      <c r="Z1026" s="40"/>
      <c r="AA1026" s="40"/>
      <c r="AB1026" s="38"/>
      <c r="AC1026" s="38"/>
      <c r="AD1026" s="38"/>
      <c r="AE1026" s="38"/>
      <c r="AF1026" s="38"/>
      <c r="AG1026" s="38"/>
      <c r="AH1026" s="38"/>
      <c r="AI1026" s="38"/>
      <c r="AJ1026" s="38"/>
      <c r="AK1026" s="38"/>
      <c r="AL1026" s="38"/>
      <c r="AM1026" s="38"/>
      <c r="AN1026" s="38"/>
      <c r="AO1026" s="38"/>
      <c r="AP1026" s="38"/>
      <c r="AQ1026" s="38"/>
      <c r="AR1026" s="38"/>
      <c r="AS1026" s="38"/>
      <c r="AT1026" s="38"/>
      <c r="AU1026" s="38"/>
      <c r="AV1026" s="38"/>
      <c r="AW1026" s="38"/>
      <c r="AX1026" s="38"/>
      <c r="AY1026" s="38"/>
      <c r="AZ1026" s="38"/>
      <c r="BA1026" s="38"/>
      <c r="BB1026" s="38"/>
      <c r="BC1026" s="38"/>
      <c r="BD1026" s="38"/>
      <c r="BE1026" s="38"/>
      <c r="BF1026" s="38"/>
      <c r="BG1026" s="38"/>
    </row>
    <row r="1027">
      <c r="A1027" s="58"/>
      <c r="B1027" s="341"/>
      <c r="C1027" s="60"/>
      <c r="D1027" s="60"/>
      <c r="E1027" s="58"/>
      <c r="F1027" s="58"/>
      <c r="G1027" s="58"/>
      <c r="H1027" s="33" t="str">
        <f t="shared" si="1"/>
        <v/>
      </c>
      <c r="I1027" s="58"/>
      <c r="J1027" s="62"/>
      <c r="K1027" s="58"/>
      <c r="L1027" s="38"/>
      <c r="M1027" s="58"/>
      <c r="N1027" s="58"/>
      <c r="O1027" s="58"/>
      <c r="P1027" s="80"/>
      <c r="Q1027" s="80"/>
      <c r="R1027" s="62"/>
      <c r="S1027" s="62"/>
      <c r="T1027" s="62"/>
      <c r="U1027" s="62"/>
      <c r="V1027" s="37" t="str">
        <f>IFERROR(__xludf.DUMMYFUNCTION("if(not(iserror(index(split(C1027, "" ""),2))), index(split(C1027, "" ""),1),"""")"),"")</f>
        <v/>
      </c>
      <c r="W1027" s="315" t="str">
        <f>IFERROR(__xludf.DUMMYFUNCTION("if(V1027="""",C1027,if(not(iserror(index(split(C1027, "" ""),3))), index(split(C1027, "" ""),3),index(split(C1027, "" ""),2)))"),"")</f>
        <v/>
      </c>
      <c r="X1027" s="38" t="b">
        <f t="shared" si="2"/>
        <v>0</v>
      </c>
      <c r="Y1027" s="38"/>
      <c r="Z1027" s="40"/>
      <c r="AA1027" s="40"/>
      <c r="AB1027" s="38"/>
      <c r="AC1027" s="38"/>
      <c r="AD1027" s="38"/>
      <c r="AE1027" s="38"/>
      <c r="AF1027" s="38"/>
      <c r="AG1027" s="38"/>
      <c r="AH1027" s="38"/>
      <c r="AI1027" s="38"/>
      <c r="AJ1027" s="38"/>
      <c r="AK1027" s="38"/>
      <c r="AL1027" s="38"/>
      <c r="AM1027" s="38"/>
      <c r="AN1027" s="38"/>
      <c r="AO1027" s="38"/>
      <c r="AP1027" s="38"/>
      <c r="AQ1027" s="38"/>
      <c r="AR1027" s="38"/>
      <c r="AS1027" s="38"/>
      <c r="AT1027" s="38"/>
      <c r="AU1027" s="38"/>
      <c r="AV1027" s="38"/>
      <c r="AW1027" s="38"/>
      <c r="AX1027" s="38"/>
      <c r="AY1027" s="38"/>
      <c r="AZ1027" s="38"/>
      <c r="BA1027" s="38"/>
      <c r="BB1027" s="38"/>
      <c r="BC1027" s="38"/>
      <c r="BD1027" s="38"/>
      <c r="BE1027" s="38"/>
      <c r="BF1027" s="38"/>
      <c r="BG1027" s="38"/>
    </row>
    <row r="1028">
      <c r="A1028" s="58"/>
      <c r="B1028" s="341"/>
      <c r="C1028" s="60"/>
      <c r="D1028" s="60"/>
      <c r="E1028" s="58"/>
      <c r="F1028" s="58"/>
      <c r="G1028" s="58"/>
      <c r="H1028" s="33" t="str">
        <f t="shared" si="1"/>
        <v/>
      </c>
      <c r="I1028" s="58"/>
      <c r="J1028" s="58"/>
      <c r="K1028" s="58"/>
      <c r="L1028" s="38"/>
      <c r="M1028" s="58"/>
      <c r="N1028" s="58"/>
      <c r="O1028" s="58"/>
      <c r="P1028" s="80"/>
      <c r="Q1028" s="77"/>
      <c r="R1028" s="62"/>
      <c r="S1028" s="62"/>
      <c r="T1028" s="62"/>
      <c r="U1028" s="62"/>
      <c r="V1028" s="37" t="str">
        <f>IFERROR(__xludf.DUMMYFUNCTION("if(not(iserror(index(split(C1028, "" ""),2))), index(split(C1028, "" ""),1),"""")"),"")</f>
        <v/>
      </c>
      <c r="W1028" s="315" t="str">
        <f>IFERROR(__xludf.DUMMYFUNCTION("if(V1028="""",C1028,if(not(iserror(index(split(C1028, "" ""),3))), index(split(C1028, "" ""),3),index(split(C1028, "" ""),2)))"),"")</f>
        <v/>
      </c>
      <c r="X1028" s="38" t="b">
        <f t="shared" si="2"/>
        <v>0</v>
      </c>
      <c r="Y1028" s="38"/>
      <c r="Z1028" s="40"/>
      <c r="AA1028" s="40"/>
      <c r="AB1028" s="38"/>
      <c r="AC1028" s="38"/>
      <c r="AD1028" s="38"/>
      <c r="AE1028" s="38"/>
      <c r="AF1028" s="38"/>
      <c r="AG1028" s="38"/>
      <c r="AH1028" s="38"/>
      <c r="AI1028" s="38"/>
      <c r="AJ1028" s="38"/>
      <c r="AK1028" s="38"/>
      <c r="AL1028" s="38"/>
      <c r="AM1028" s="38"/>
      <c r="AN1028" s="38"/>
      <c r="AO1028" s="38"/>
      <c r="AP1028" s="38"/>
      <c r="AQ1028" s="38"/>
      <c r="AR1028" s="38"/>
      <c r="AS1028" s="38"/>
      <c r="AT1028" s="38"/>
      <c r="AU1028" s="38"/>
      <c r="AV1028" s="38"/>
      <c r="AW1028" s="38"/>
      <c r="AX1028" s="38"/>
      <c r="AY1028" s="38"/>
      <c r="AZ1028" s="38"/>
      <c r="BA1028" s="38"/>
      <c r="BB1028" s="38"/>
      <c r="BC1028" s="38"/>
      <c r="BD1028" s="38"/>
      <c r="BE1028" s="38"/>
      <c r="BF1028" s="38"/>
      <c r="BG1028" s="38"/>
    </row>
    <row r="1029">
      <c r="B1029" s="341"/>
      <c r="C1029" s="60"/>
      <c r="D1029" s="60"/>
      <c r="E1029" s="58"/>
      <c r="F1029" s="58"/>
      <c r="G1029" s="58"/>
      <c r="H1029" s="33" t="str">
        <f t="shared" si="1"/>
        <v/>
      </c>
      <c r="I1029" s="58"/>
      <c r="J1029" s="58"/>
      <c r="K1029" s="58"/>
      <c r="L1029" s="38"/>
      <c r="M1029" s="58"/>
      <c r="N1029" s="58"/>
      <c r="O1029" s="58"/>
      <c r="P1029" s="80"/>
      <c r="Q1029" s="77"/>
      <c r="R1029" s="62"/>
      <c r="S1029" s="62"/>
      <c r="T1029" s="62"/>
      <c r="U1029" s="62"/>
      <c r="V1029" s="37" t="str">
        <f>IFERROR(__xludf.DUMMYFUNCTION("if(not(iserror(index(split(C1029, "" ""),2))), index(split(C1029, "" ""),1),"""")"),"")</f>
        <v/>
      </c>
      <c r="W1029" s="315" t="str">
        <f>IFERROR(__xludf.DUMMYFUNCTION("if(V1029="""",C1029,if(not(iserror(index(split(C1029, "" ""),3))), index(split(C1029, "" ""),3),index(split(C1029, "" ""),2)))"),"")</f>
        <v/>
      </c>
      <c r="X1029" s="38" t="b">
        <f t="shared" si="2"/>
        <v>0</v>
      </c>
      <c r="Y1029" s="38"/>
      <c r="Z1029" s="40"/>
      <c r="AA1029" s="40"/>
      <c r="AB1029" s="38"/>
      <c r="AC1029" s="38"/>
      <c r="AD1029" s="38"/>
      <c r="AE1029" s="38"/>
      <c r="AF1029" s="38"/>
      <c r="AG1029" s="38"/>
      <c r="AH1029" s="38"/>
      <c r="AI1029" s="38"/>
      <c r="AJ1029" s="38"/>
      <c r="AK1029" s="38"/>
      <c r="AL1029" s="38"/>
      <c r="AM1029" s="38"/>
      <c r="AN1029" s="38"/>
      <c r="AO1029" s="38"/>
      <c r="AP1029" s="38"/>
      <c r="AQ1029" s="38"/>
      <c r="AR1029" s="38"/>
      <c r="AS1029" s="38"/>
      <c r="AT1029" s="38"/>
      <c r="AU1029" s="38"/>
      <c r="AV1029" s="38"/>
      <c r="AW1029" s="38"/>
      <c r="AX1029" s="38"/>
      <c r="AY1029" s="38"/>
      <c r="AZ1029" s="38"/>
      <c r="BA1029" s="38"/>
      <c r="BB1029" s="38"/>
      <c r="BC1029" s="38"/>
      <c r="BD1029" s="38"/>
      <c r="BE1029" s="38"/>
      <c r="BF1029" s="38"/>
      <c r="BG1029" s="38"/>
    </row>
    <row r="1030">
      <c r="A1030" s="58"/>
      <c r="B1030" s="341"/>
      <c r="C1030" s="60"/>
      <c r="D1030" s="60"/>
      <c r="E1030" s="58"/>
      <c r="F1030" s="58"/>
      <c r="G1030" s="58"/>
      <c r="H1030" s="33" t="str">
        <f t="shared" si="1"/>
        <v/>
      </c>
      <c r="I1030" s="58"/>
      <c r="J1030" s="58"/>
      <c r="K1030" s="58"/>
      <c r="L1030" s="38"/>
      <c r="M1030" s="58"/>
      <c r="N1030" s="58"/>
      <c r="O1030" s="58"/>
      <c r="P1030" s="80"/>
      <c r="Q1030" s="77"/>
      <c r="R1030" s="62"/>
      <c r="S1030" s="62"/>
      <c r="T1030" s="62"/>
      <c r="U1030" s="62"/>
      <c r="V1030" s="37" t="str">
        <f>IFERROR(__xludf.DUMMYFUNCTION("if(not(iserror(index(split(C1030, "" ""),2))), index(split(C1030, "" ""),1),"""")"),"")</f>
        <v/>
      </c>
      <c r="W1030" s="315" t="str">
        <f>IFERROR(__xludf.DUMMYFUNCTION("if(V1030="""",C1030,if(not(iserror(index(split(C1030, "" ""),3))), index(split(C1030, "" ""),3),index(split(C1030, "" ""),2)))"),"")</f>
        <v/>
      </c>
      <c r="X1030" s="38" t="b">
        <f t="shared" si="2"/>
        <v>0</v>
      </c>
      <c r="Y1030" s="38"/>
      <c r="Z1030" s="40"/>
      <c r="AA1030" s="40"/>
      <c r="AB1030" s="38"/>
      <c r="AC1030" s="38"/>
      <c r="AD1030" s="38"/>
      <c r="AE1030" s="38"/>
      <c r="AF1030" s="38"/>
      <c r="AG1030" s="38"/>
      <c r="AH1030" s="38"/>
      <c r="AI1030" s="38"/>
      <c r="AJ1030" s="38"/>
      <c r="AK1030" s="38"/>
      <c r="AL1030" s="38"/>
      <c r="AM1030" s="38"/>
      <c r="AN1030" s="38"/>
      <c r="AO1030" s="38"/>
      <c r="AP1030" s="38"/>
      <c r="AQ1030" s="38"/>
      <c r="AR1030" s="38"/>
      <c r="AS1030" s="38"/>
      <c r="AT1030" s="38"/>
      <c r="AU1030" s="38"/>
      <c r="AV1030" s="38"/>
      <c r="AW1030" s="38"/>
      <c r="AX1030" s="38"/>
      <c r="AY1030" s="38"/>
      <c r="AZ1030" s="38"/>
      <c r="BA1030" s="38"/>
      <c r="BB1030" s="38"/>
      <c r="BC1030" s="38"/>
      <c r="BD1030" s="38"/>
      <c r="BE1030" s="38"/>
      <c r="BF1030" s="38"/>
      <c r="BG1030" s="38"/>
    </row>
    <row r="1031">
      <c r="A1031" s="58"/>
      <c r="B1031" s="341"/>
      <c r="C1031" s="60"/>
      <c r="D1031" s="60"/>
      <c r="E1031" s="58"/>
      <c r="F1031" s="58"/>
      <c r="G1031" s="58"/>
      <c r="H1031" s="33" t="str">
        <f t="shared" si="1"/>
        <v/>
      </c>
      <c r="I1031" s="58"/>
      <c r="J1031" s="58"/>
      <c r="K1031" s="58"/>
      <c r="L1031" s="38"/>
      <c r="M1031" s="58"/>
      <c r="N1031" s="58"/>
      <c r="O1031" s="58"/>
      <c r="P1031" s="80"/>
      <c r="Q1031" s="80"/>
      <c r="R1031" s="62"/>
      <c r="S1031" s="62"/>
      <c r="T1031" s="62"/>
      <c r="U1031" s="62"/>
      <c r="V1031" s="37" t="str">
        <f>IFERROR(__xludf.DUMMYFUNCTION("if(not(iserror(index(split(C1031, "" ""),2))), index(split(C1031, "" ""),1),"""")"),"")</f>
        <v/>
      </c>
      <c r="W1031" s="315" t="str">
        <f>IFERROR(__xludf.DUMMYFUNCTION("if(V1031="""",C1031,if(not(iserror(index(split(C1031, "" ""),3))), index(split(C1031, "" ""),3),index(split(C1031, "" ""),2)))"),"")</f>
        <v/>
      </c>
      <c r="X1031" s="38" t="b">
        <f t="shared" si="2"/>
        <v>0</v>
      </c>
      <c r="Y1031" s="38"/>
      <c r="Z1031" s="40"/>
      <c r="AA1031" s="40"/>
      <c r="AB1031" s="38"/>
      <c r="AC1031" s="38"/>
      <c r="AD1031" s="38"/>
      <c r="AE1031" s="38"/>
      <c r="AF1031" s="38"/>
      <c r="AG1031" s="38"/>
      <c r="AH1031" s="38"/>
      <c r="AI1031" s="38"/>
      <c r="AJ1031" s="38"/>
      <c r="AK1031" s="38"/>
      <c r="AL1031" s="38"/>
      <c r="AM1031" s="38"/>
      <c r="AN1031" s="38"/>
      <c r="AO1031" s="38"/>
      <c r="AP1031" s="38"/>
      <c r="AQ1031" s="38"/>
      <c r="AR1031" s="38"/>
      <c r="AS1031" s="38"/>
      <c r="AT1031" s="38"/>
      <c r="AU1031" s="38"/>
      <c r="AV1031" s="38"/>
      <c r="AW1031" s="38"/>
      <c r="AX1031" s="38"/>
      <c r="AY1031" s="38"/>
      <c r="AZ1031" s="38"/>
      <c r="BA1031" s="38"/>
      <c r="BB1031" s="38"/>
      <c r="BC1031" s="38"/>
      <c r="BD1031" s="38"/>
      <c r="BE1031" s="38"/>
      <c r="BF1031" s="38"/>
      <c r="BG1031" s="38"/>
    </row>
    <row r="1032">
      <c r="A1032" s="58"/>
      <c r="B1032" s="341"/>
      <c r="C1032" s="60"/>
      <c r="D1032" s="60"/>
      <c r="E1032" s="58"/>
      <c r="F1032" s="58"/>
      <c r="G1032" s="58"/>
      <c r="H1032" s="33" t="str">
        <f t="shared" si="1"/>
        <v/>
      </c>
      <c r="I1032" s="58"/>
      <c r="J1032" s="58"/>
      <c r="K1032" s="58"/>
      <c r="L1032" s="38"/>
      <c r="M1032" s="58"/>
      <c r="N1032" s="58"/>
      <c r="O1032" s="58"/>
      <c r="P1032" s="80"/>
      <c r="Q1032" s="77"/>
      <c r="R1032" s="58"/>
      <c r="S1032" s="58"/>
      <c r="T1032" s="84"/>
      <c r="U1032" s="62"/>
      <c r="V1032" s="37" t="str">
        <f>IFERROR(__xludf.DUMMYFUNCTION("if(not(iserror(index(split(C1032, "" ""),2))), index(split(C1032, "" ""),1),"""")"),"")</f>
        <v/>
      </c>
      <c r="W1032" s="315" t="str">
        <f>IFERROR(__xludf.DUMMYFUNCTION("if(V1032="""",C1032,if(not(iserror(index(split(C1032, "" ""),3))), index(split(C1032, "" ""),3),index(split(C1032, "" ""),2)))"),"")</f>
        <v/>
      </c>
      <c r="X1032" s="38" t="b">
        <f t="shared" si="2"/>
        <v>0</v>
      </c>
      <c r="Y1032" s="38"/>
      <c r="Z1032" s="40"/>
      <c r="AA1032" s="40"/>
      <c r="AB1032" s="38"/>
      <c r="AC1032" s="38"/>
      <c r="AD1032" s="38"/>
      <c r="AE1032" s="38"/>
      <c r="AF1032" s="38"/>
      <c r="AG1032" s="38"/>
      <c r="AH1032" s="38"/>
      <c r="AI1032" s="38"/>
      <c r="AJ1032" s="38"/>
      <c r="AK1032" s="38"/>
      <c r="AL1032" s="38"/>
      <c r="AM1032" s="38"/>
      <c r="AN1032" s="38"/>
      <c r="AO1032" s="38"/>
      <c r="AP1032" s="38"/>
      <c r="AQ1032" s="38"/>
      <c r="AR1032" s="38"/>
      <c r="AS1032" s="38"/>
      <c r="AT1032" s="38"/>
      <c r="AU1032" s="38"/>
      <c r="AV1032" s="38"/>
      <c r="AW1032" s="38"/>
      <c r="AX1032" s="38"/>
      <c r="AY1032" s="38"/>
      <c r="AZ1032" s="38"/>
      <c r="BA1032" s="38"/>
      <c r="BB1032" s="38"/>
      <c r="BC1032" s="38"/>
      <c r="BD1032" s="38"/>
      <c r="BE1032" s="38"/>
      <c r="BF1032" s="38"/>
      <c r="BG1032" s="38"/>
    </row>
    <row r="1033">
      <c r="A1033" s="58"/>
      <c r="B1033" s="341"/>
      <c r="C1033" s="60"/>
      <c r="D1033" s="60"/>
      <c r="E1033" s="58"/>
      <c r="F1033" s="58"/>
      <c r="G1033" s="58"/>
      <c r="H1033" s="33" t="str">
        <f t="shared" si="1"/>
        <v/>
      </c>
      <c r="I1033" s="58"/>
      <c r="J1033" s="58"/>
      <c r="K1033" s="58"/>
      <c r="L1033" s="38"/>
      <c r="M1033" s="58"/>
      <c r="N1033" s="58"/>
      <c r="O1033" s="58"/>
      <c r="P1033" s="80"/>
      <c r="Q1033" s="77"/>
      <c r="R1033" s="58"/>
      <c r="S1033" s="58"/>
      <c r="T1033" s="84"/>
      <c r="U1033" s="62"/>
      <c r="V1033" s="37" t="str">
        <f>IFERROR(__xludf.DUMMYFUNCTION("if(not(iserror(index(split(C1033, "" ""),2))), index(split(C1033, "" ""),1),"""")"),"")</f>
        <v/>
      </c>
      <c r="W1033" s="315" t="str">
        <f>IFERROR(__xludf.DUMMYFUNCTION("if(V1033="""",C1033,if(not(iserror(index(split(C1033, "" ""),3))), index(split(C1033, "" ""),3),index(split(C1033, "" ""),2)))"),"")</f>
        <v/>
      </c>
      <c r="X1033" s="38" t="b">
        <f t="shared" si="2"/>
        <v>0</v>
      </c>
      <c r="Y1033" s="38"/>
      <c r="Z1033" s="40"/>
      <c r="AA1033" s="40"/>
      <c r="AB1033" s="38"/>
      <c r="AC1033" s="38"/>
      <c r="AD1033" s="38"/>
      <c r="AE1033" s="38"/>
      <c r="AF1033" s="38"/>
      <c r="AG1033" s="38"/>
      <c r="AH1033" s="38"/>
      <c r="AI1033" s="38"/>
      <c r="AJ1033" s="38"/>
      <c r="AK1033" s="38"/>
      <c r="AL1033" s="38"/>
      <c r="AM1033" s="38"/>
      <c r="AN1033" s="38"/>
      <c r="AO1033" s="38"/>
      <c r="AP1033" s="38"/>
      <c r="AQ1033" s="38"/>
      <c r="AR1033" s="38"/>
      <c r="AS1033" s="38"/>
      <c r="AT1033" s="38"/>
      <c r="AU1033" s="38"/>
      <c r="AV1033" s="38"/>
      <c r="AW1033" s="38"/>
      <c r="AX1033" s="38"/>
      <c r="AY1033" s="38"/>
      <c r="AZ1033" s="38"/>
      <c r="BA1033" s="38"/>
      <c r="BB1033" s="38"/>
      <c r="BC1033" s="38"/>
      <c r="BD1033" s="38"/>
      <c r="BE1033" s="38"/>
      <c r="BF1033" s="38"/>
      <c r="BG1033" s="38"/>
    </row>
    <row r="1034">
      <c r="A1034" s="58"/>
      <c r="B1034" s="341"/>
      <c r="C1034" s="60"/>
      <c r="D1034" s="60"/>
      <c r="E1034" s="58"/>
      <c r="F1034" s="58"/>
      <c r="G1034" s="58"/>
      <c r="H1034" s="33" t="str">
        <f t="shared" si="1"/>
        <v/>
      </c>
      <c r="I1034" s="58"/>
      <c r="J1034" s="58"/>
      <c r="K1034" s="58"/>
      <c r="L1034" s="38"/>
      <c r="M1034" s="58"/>
      <c r="N1034" s="58"/>
      <c r="O1034" s="58"/>
      <c r="P1034" s="80"/>
      <c r="Q1034" s="77"/>
      <c r="R1034" s="62"/>
      <c r="S1034" s="62"/>
      <c r="T1034" s="62"/>
      <c r="U1034" s="62"/>
      <c r="V1034" s="37" t="str">
        <f>IFERROR(__xludf.DUMMYFUNCTION("if(not(iserror(index(split(C1034, "" ""),2))), index(split(C1034, "" ""),1),"""")"),"")</f>
        <v/>
      </c>
      <c r="W1034" s="315" t="str">
        <f>IFERROR(__xludf.DUMMYFUNCTION("if(V1034="""",C1034,if(not(iserror(index(split(C1034, "" ""),3))), index(split(C1034, "" ""),3),index(split(C1034, "" ""),2)))"),"")</f>
        <v/>
      </c>
      <c r="X1034" s="38" t="b">
        <f t="shared" si="2"/>
        <v>0</v>
      </c>
      <c r="Y1034" s="38"/>
      <c r="Z1034" s="40"/>
      <c r="AA1034" s="40"/>
      <c r="AB1034" s="38"/>
      <c r="AC1034" s="38"/>
      <c r="AD1034" s="38"/>
      <c r="AE1034" s="38"/>
      <c r="AF1034" s="38"/>
      <c r="AG1034" s="38"/>
      <c r="AH1034" s="38"/>
      <c r="AI1034" s="38"/>
      <c r="AJ1034" s="38"/>
      <c r="AK1034" s="38"/>
      <c r="AL1034" s="38"/>
      <c r="AM1034" s="38"/>
      <c r="AN1034" s="38"/>
      <c r="AO1034" s="38"/>
      <c r="AP1034" s="38"/>
      <c r="AQ1034" s="38"/>
      <c r="AR1034" s="38"/>
      <c r="AS1034" s="38"/>
      <c r="AT1034" s="38"/>
      <c r="AU1034" s="38"/>
      <c r="AV1034" s="38"/>
      <c r="AW1034" s="38"/>
      <c r="AX1034" s="38"/>
      <c r="AY1034" s="38"/>
      <c r="AZ1034" s="38"/>
      <c r="BA1034" s="38"/>
      <c r="BB1034" s="38"/>
      <c r="BC1034" s="38"/>
      <c r="BD1034" s="38"/>
      <c r="BE1034" s="38"/>
      <c r="BF1034" s="38"/>
      <c r="BG1034" s="38"/>
    </row>
    <row r="1035">
      <c r="A1035" s="58"/>
      <c r="B1035" s="341"/>
      <c r="C1035" s="60"/>
      <c r="D1035" s="60"/>
      <c r="E1035" s="58"/>
      <c r="F1035" s="58"/>
      <c r="G1035" s="58"/>
      <c r="H1035" s="33" t="str">
        <f t="shared" si="1"/>
        <v/>
      </c>
      <c r="I1035" s="58"/>
      <c r="J1035" s="58"/>
      <c r="K1035" s="58"/>
      <c r="L1035" s="38"/>
      <c r="M1035" s="58"/>
      <c r="N1035" s="58"/>
      <c r="O1035" s="58"/>
      <c r="P1035" s="80"/>
      <c r="Q1035" s="77"/>
      <c r="R1035" s="62"/>
      <c r="S1035" s="62"/>
      <c r="T1035" s="62"/>
      <c r="U1035" s="62"/>
      <c r="V1035" s="37" t="str">
        <f>IFERROR(__xludf.DUMMYFUNCTION("if(not(iserror(index(split(C1035, "" ""),2))), index(split(C1035, "" ""),1),"""")"),"")</f>
        <v/>
      </c>
      <c r="W1035" s="315" t="str">
        <f>IFERROR(__xludf.DUMMYFUNCTION("if(V1035="""",C1035,if(not(iserror(index(split(C1035, "" ""),3))), index(split(C1035, "" ""),3),index(split(C1035, "" ""),2)))"),"")</f>
        <v/>
      </c>
      <c r="X1035" s="38" t="b">
        <f t="shared" si="2"/>
        <v>0</v>
      </c>
      <c r="Y1035" s="38"/>
      <c r="Z1035" s="40"/>
      <c r="AA1035" s="40"/>
      <c r="AB1035" s="38"/>
      <c r="AC1035" s="38"/>
      <c r="AD1035" s="38"/>
      <c r="AE1035" s="38"/>
      <c r="AF1035" s="38"/>
      <c r="AG1035" s="38"/>
      <c r="AH1035" s="38"/>
      <c r="AI1035" s="38"/>
      <c r="AJ1035" s="38"/>
      <c r="AK1035" s="38"/>
      <c r="AL1035" s="38"/>
      <c r="AM1035" s="38"/>
      <c r="AN1035" s="38"/>
      <c r="AO1035" s="38"/>
      <c r="AP1035" s="38"/>
      <c r="AQ1035" s="38"/>
      <c r="AR1035" s="38"/>
      <c r="AS1035" s="38"/>
      <c r="AT1035" s="38"/>
      <c r="AU1035" s="38"/>
      <c r="AV1035" s="38"/>
      <c r="AW1035" s="38"/>
      <c r="AX1035" s="38"/>
      <c r="AY1035" s="38"/>
      <c r="AZ1035" s="38"/>
      <c r="BA1035" s="38"/>
      <c r="BB1035" s="38"/>
      <c r="BC1035" s="38"/>
      <c r="BD1035" s="38"/>
      <c r="BE1035" s="38"/>
      <c r="BF1035" s="38"/>
      <c r="BG1035" s="38"/>
    </row>
    <row r="1036">
      <c r="A1036" s="58"/>
      <c r="B1036" s="341"/>
      <c r="C1036" s="60"/>
      <c r="D1036" s="60"/>
      <c r="E1036" s="58"/>
      <c r="F1036" s="58"/>
      <c r="G1036" s="58"/>
      <c r="H1036" s="33" t="str">
        <f t="shared" si="1"/>
        <v/>
      </c>
      <c r="I1036" s="58"/>
      <c r="J1036" s="58"/>
      <c r="K1036" s="58"/>
      <c r="L1036" s="38"/>
      <c r="M1036" s="58"/>
      <c r="N1036" s="58"/>
      <c r="O1036" s="58"/>
      <c r="P1036" s="80"/>
      <c r="Q1036" s="77"/>
      <c r="R1036" s="62"/>
      <c r="S1036" s="62"/>
      <c r="T1036" s="62"/>
      <c r="U1036" s="62"/>
      <c r="V1036" s="37" t="str">
        <f>IFERROR(__xludf.DUMMYFUNCTION("if(not(iserror(index(split(C1036, "" ""),2))), index(split(C1036, "" ""),1),"""")"),"")</f>
        <v/>
      </c>
      <c r="W1036" s="315" t="str">
        <f>IFERROR(__xludf.DUMMYFUNCTION("if(V1036="""",C1036,if(not(iserror(index(split(C1036, "" ""),3))), index(split(C1036, "" ""),3),index(split(C1036, "" ""),2)))"),"")</f>
        <v/>
      </c>
      <c r="X1036" s="38" t="b">
        <f t="shared" si="2"/>
        <v>0</v>
      </c>
      <c r="Y1036" s="38"/>
      <c r="Z1036" s="40"/>
      <c r="AA1036" s="40"/>
      <c r="AB1036" s="38"/>
      <c r="AC1036" s="38"/>
      <c r="AD1036" s="38"/>
      <c r="AE1036" s="38"/>
      <c r="AF1036" s="38"/>
      <c r="AG1036" s="38"/>
      <c r="AH1036" s="38"/>
      <c r="AI1036" s="38"/>
      <c r="AJ1036" s="38"/>
      <c r="AK1036" s="38"/>
      <c r="AL1036" s="38"/>
      <c r="AM1036" s="38"/>
      <c r="AN1036" s="38"/>
      <c r="AO1036" s="38"/>
      <c r="AP1036" s="38"/>
      <c r="AQ1036" s="38"/>
      <c r="AR1036" s="38"/>
      <c r="AS1036" s="38"/>
      <c r="AT1036" s="38"/>
      <c r="AU1036" s="38"/>
      <c r="AV1036" s="38"/>
      <c r="AW1036" s="38"/>
      <c r="AX1036" s="38"/>
      <c r="AY1036" s="38"/>
      <c r="AZ1036" s="38"/>
      <c r="BA1036" s="38"/>
      <c r="BB1036" s="38"/>
      <c r="BC1036" s="38"/>
      <c r="BD1036" s="38"/>
      <c r="BE1036" s="38"/>
      <c r="BF1036" s="38"/>
      <c r="BG1036" s="38"/>
    </row>
    <row r="1037">
      <c r="A1037" s="58"/>
      <c r="B1037" s="341"/>
      <c r="C1037" s="60"/>
      <c r="D1037" s="60"/>
      <c r="E1037" s="58"/>
      <c r="F1037" s="58"/>
      <c r="G1037" s="58"/>
      <c r="H1037" s="33" t="str">
        <f t="shared" si="1"/>
        <v/>
      </c>
      <c r="I1037" s="58"/>
      <c r="J1037" s="58"/>
      <c r="K1037" s="58"/>
      <c r="L1037" s="38"/>
      <c r="M1037" s="58"/>
      <c r="N1037" s="58"/>
      <c r="O1037" s="58"/>
      <c r="P1037" s="80"/>
      <c r="Q1037" s="77"/>
      <c r="R1037" s="62"/>
      <c r="S1037" s="62"/>
      <c r="T1037" s="62"/>
      <c r="U1037" s="62"/>
      <c r="V1037" s="37" t="str">
        <f>IFERROR(__xludf.DUMMYFUNCTION("if(not(iserror(index(split(C1037, "" ""),2))), index(split(C1037, "" ""),1),"""")"),"")</f>
        <v/>
      </c>
      <c r="W1037" s="315" t="str">
        <f>IFERROR(__xludf.DUMMYFUNCTION("if(V1037="""",C1037,if(not(iserror(index(split(C1037, "" ""),3))), index(split(C1037, "" ""),3),index(split(C1037, "" ""),2)))"),"")</f>
        <v/>
      </c>
      <c r="X1037" s="38" t="b">
        <f t="shared" si="2"/>
        <v>0</v>
      </c>
      <c r="Y1037" s="38"/>
      <c r="Z1037" s="40"/>
      <c r="AA1037" s="40"/>
      <c r="AB1037" s="38"/>
      <c r="AC1037" s="38"/>
      <c r="AD1037" s="38"/>
      <c r="AE1037" s="38"/>
      <c r="AF1037" s="38"/>
      <c r="AG1037" s="38"/>
      <c r="AH1037" s="38"/>
      <c r="AI1037" s="38"/>
      <c r="AJ1037" s="38"/>
      <c r="AK1037" s="38"/>
      <c r="AL1037" s="38"/>
      <c r="AM1037" s="38"/>
      <c r="AN1037" s="38"/>
      <c r="AO1037" s="38"/>
      <c r="AP1037" s="38"/>
      <c r="AQ1037" s="38"/>
      <c r="AR1037" s="38"/>
      <c r="AS1037" s="38"/>
      <c r="AT1037" s="38"/>
      <c r="AU1037" s="38"/>
      <c r="AV1037" s="38"/>
      <c r="AW1037" s="38"/>
      <c r="AX1037" s="38"/>
      <c r="AY1037" s="38"/>
      <c r="AZ1037" s="38"/>
      <c r="BA1037" s="38"/>
      <c r="BB1037" s="38"/>
      <c r="BC1037" s="38"/>
      <c r="BD1037" s="38"/>
      <c r="BE1037" s="38"/>
      <c r="BF1037" s="38"/>
      <c r="BG1037" s="38"/>
    </row>
    <row r="1038">
      <c r="A1038" s="58"/>
      <c r="B1038" s="341"/>
      <c r="C1038" s="60"/>
      <c r="D1038" s="60"/>
      <c r="E1038" s="58"/>
      <c r="F1038" s="58"/>
      <c r="G1038" s="58"/>
      <c r="H1038" s="33" t="str">
        <f t="shared" si="1"/>
        <v/>
      </c>
      <c r="I1038" s="58"/>
      <c r="J1038" s="58"/>
      <c r="K1038" s="58"/>
      <c r="L1038" s="38"/>
      <c r="M1038" s="58"/>
      <c r="N1038" s="58"/>
      <c r="O1038" s="58"/>
      <c r="P1038" s="80"/>
      <c r="Q1038" s="77"/>
      <c r="R1038" s="58"/>
      <c r="S1038" s="58"/>
      <c r="T1038" s="84"/>
      <c r="U1038" s="62"/>
      <c r="V1038" s="37" t="str">
        <f>IFERROR(__xludf.DUMMYFUNCTION("if(not(iserror(index(split(C1038, "" ""),2))), index(split(C1038, "" ""),1),"""")"),"")</f>
        <v/>
      </c>
      <c r="W1038" s="315" t="str">
        <f>IFERROR(__xludf.DUMMYFUNCTION("if(V1038="""",C1038,if(not(iserror(index(split(C1038, "" ""),3))), index(split(C1038, "" ""),3),index(split(C1038, "" ""),2)))"),"")</f>
        <v/>
      </c>
      <c r="X1038" s="38" t="b">
        <f t="shared" si="2"/>
        <v>0</v>
      </c>
      <c r="Y1038" s="38"/>
      <c r="Z1038" s="40"/>
      <c r="AA1038" s="40"/>
      <c r="AB1038" s="38"/>
      <c r="AC1038" s="38"/>
      <c r="AD1038" s="38"/>
      <c r="AE1038" s="38"/>
      <c r="AF1038" s="38"/>
      <c r="AG1038" s="38"/>
      <c r="AH1038" s="38"/>
      <c r="AI1038" s="38"/>
      <c r="AJ1038" s="38"/>
      <c r="AK1038" s="38"/>
      <c r="AL1038" s="38"/>
      <c r="AM1038" s="38"/>
      <c r="AN1038" s="38"/>
      <c r="AO1038" s="38"/>
      <c r="AP1038" s="38"/>
      <c r="AQ1038" s="38"/>
      <c r="AR1038" s="38"/>
      <c r="AS1038" s="38"/>
      <c r="AT1038" s="38"/>
      <c r="AU1038" s="38"/>
      <c r="AV1038" s="38"/>
      <c r="AW1038" s="38"/>
      <c r="AX1038" s="38"/>
      <c r="AY1038" s="38"/>
      <c r="AZ1038" s="38"/>
      <c r="BA1038" s="38"/>
      <c r="BB1038" s="38"/>
      <c r="BC1038" s="38"/>
      <c r="BD1038" s="38"/>
      <c r="BE1038" s="38"/>
      <c r="BF1038" s="38"/>
      <c r="BG1038" s="38"/>
    </row>
    <row r="1039">
      <c r="A1039" s="58"/>
      <c r="B1039" s="341"/>
      <c r="C1039" s="60"/>
      <c r="D1039" s="60"/>
      <c r="E1039" s="58"/>
      <c r="F1039" s="58"/>
      <c r="G1039" s="58"/>
      <c r="H1039" s="33" t="str">
        <f t="shared" si="1"/>
        <v/>
      </c>
      <c r="I1039" s="58"/>
      <c r="J1039" s="58"/>
      <c r="K1039" s="58"/>
      <c r="L1039" s="38"/>
      <c r="M1039" s="58"/>
      <c r="N1039" s="58"/>
      <c r="O1039" s="58"/>
      <c r="P1039" s="80"/>
      <c r="Q1039" s="77"/>
      <c r="R1039" s="58"/>
      <c r="S1039" s="58"/>
      <c r="T1039" s="84"/>
      <c r="U1039" s="62"/>
      <c r="V1039" s="37" t="str">
        <f>IFERROR(__xludf.DUMMYFUNCTION("if(not(iserror(index(split(C1039, "" ""),2))), index(split(C1039, "" ""),1),"""")"),"")</f>
        <v/>
      </c>
      <c r="W1039" s="315" t="str">
        <f>IFERROR(__xludf.DUMMYFUNCTION("if(V1039="""",C1039,if(not(iserror(index(split(C1039, "" ""),3))), index(split(C1039, "" ""),3),index(split(C1039, "" ""),2)))"),"")</f>
        <v/>
      </c>
      <c r="X1039" s="38" t="b">
        <f t="shared" si="2"/>
        <v>0</v>
      </c>
      <c r="Y1039" s="38"/>
      <c r="Z1039" s="40"/>
      <c r="AA1039" s="40"/>
      <c r="AB1039" s="38"/>
      <c r="AC1039" s="38"/>
      <c r="AD1039" s="38"/>
      <c r="AE1039" s="38"/>
      <c r="AF1039" s="38"/>
      <c r="AG1039" s="38"/>
      <c r="AH1039" s="38"/>
      <c r="AI1039" s="38"/>
      <c r="AJ1039" s="38"/>
      <c r="AK1039" s="38"/>
      <c r="AL1039" s="38"/>
      <c r="AM1039" s="38"/>
      <c r="AN1039" s="38"/>
      <c r="AO1039" s="38"/>
      <c r="AP1039" s="38"/>
      <c r="AQ1039" s="38"/>
      <c r="AR1039" s="38"/>
      <c r="AS1039" s="38"/>
      <c r="AT1039" s="38"/>
      <c r="AU1039" s="38"/>
      <c r="AV1039" s="38"/>
      <c r="AW1039" s="38"/>
      <c r="AX1039" s="38"/>
      <c r="AY1039" s="38"/>
      <c r="AZ1039" s="38"/>
      <c r="BA1039" s="38"/>
      <c r="BB1039" s="38"/>
      <c r="BC1039" s="38"/>
      <c r="BD1039" s="38"/>
      <c r="BE1039" s="38"/>
      <c r="BF1039" s="38"/>
      <c r="BG1039" s="38"/>
    </row>
    <row r="1040">
      <c r="A1040" s="58"/>
      <c r="B1040" s="341"/>
      <c r="C1040" s="60"/>
      <c r="D1040" s="60"/>
      <c r="E1040" s="58"/>
      <c r="F1040" s="58"/>
      <c r="G1040" s="58"/>
      <c r="H1040" s="33" t="str">
        <f t="shared" si="1"/>
        <v/>
      </c>
      <c r="I1040" s="58"/>
      <c r="J1040" s="58"/>
      <c r="K1040" s="58"/>
      <c r="L1040" s="38"/>
      <c r="M1040" s="58"/>
      <c r="N1040" s="58"/>
      <c r="O1040" s="58"/>
      <c r="P1040" s="80"/>
      <c r="Q1040" s="77"/>
      <c r="R1040" s="58"/>
      <c r="S1040" s="58"/>
      <c r="T1040" s="84"/>
      <c r="U1040" s="62"/>
      <c r="V1040" s="37" t="str">
        <f>IFERROR(__xludf.DUMMYFUNCTION("if(not(iserror(index(split(C1040, "" ""),2))), index(split(C1040, "" ""),1),"""")"),"")</f>
        <v/>
      </c>
      <c r="W1040" s="315" t="str">
        <f>IFERROR(__xludf.DUMMYFUNCTION("if(V1040="""",C1040,if(not(iserror(index(split(C1040, "" ""),3))), index(split(C1040, "" ""),3),index(split(C1040, "" ""),2)))"),"")</f>
        <v/>
      </c>
      <c r="X1040" s="38" t="b">
        <f t="shared" si="2"/>
        <v>0</v>
      </c>
      <c r="Y1040" s="38"/>
      <c r="Z1040" s="40"/>
      <c r="AA1040" s="40"/>
      <c r="AB1040" s="38"/>
      <c r="AC1040" s="38"/>
      <c r="AD1040" s="38"/>
      <c r="AE1040" s="38"/>
      <c r="AF1040" s="38"/>
      <c r="AG1040" s="38"/>
      <c r="AH1040" s="38"/>
      <c r="AI1040" s="38"/>
      <c r="AJ1040" s="38"/>
      <c r="AK1040" s="38"/>
      <c r="AL1040" s="38"/>
      <c r="AM1040" s="38"/>
      <c r="AN1040" s="38"/>
      <c r="AO1040" s="38"/>
      <c r="AP1040" s="38"/>
      <c r="AQ1040" s="38"/>
      <c r="AR1040" s="38"/>
      <c r="AS1040" s="38"/>
      <c r="AT1040" s="38"/>
      <c r="AU1040" s="38"/>
      <c r="AV1040" s="38"/>
      <c r="AW1040" s="38"/>
      <c r="AX1040" s="38"/>
      <c r="AY1040" s="38"/>
      <c r="AZ1040" s="38"/>
      <c r="BA1040" s="38"/>
      <c r="BB1040" s="38"/>
      <c r="BC1040" s="38"/>
      <c r="BD1040" s="38"/>
      <c r="BE1040" s="38"/>
      <c r="BF1040" s="38"/>
      <c r="BG1040" s="38"/>
    </row>
    <row r="1041">
      <c r="A1041" s="58"/>
      <c r="B1041" s="341"/>
      <c r="C1041" s="60"/>
      <c r="D1041" s="60"/>
      <c r="E1041" s="58"/>
      <c r="F1041" s="58"/>
      <c r="G1041" s="58"/>
      <c r="H1041" s="33" t="str">
        <f t="shared" si="1"/>
        <v/>
      </c>
      <c r="I1041" s="58"/>
      <c r="J1041" s="58"/>
      <c r="K1041" s="58"/>
      <c r="L1041" s="38"/>
      <c r="M1041" s="58"/>
      <c r="N1041" s="58"/>
      <c r="O1041" s="58"/>
      <c r="P1041" s="80"/>
      <c r="Q1041" s="77"/>
      <c r="R1041" s="58"/>
      <c r="S1041" s="58"/>
      <c r="T1041" s="84"/>
      <c r="U1041" s="62"/>
      <c r="V1041" s="37" t="str">
        <f>IFERROR(__xludf.DUMMYFUNCTION("if(not(iserror(index(split(C1041, "" ""),2))), index(split(C1041, "" ""),1),"""")"),"")</f>
        <v/>
      </c>
      <c r="W1041" s="315" t="str">
        <f>IFERROR(__xludf.DUMMYFUNCTION("if(V1041="""",C1041,if(not(iserror(index(split(C1041, "" ""),3))), index(split(C1041, "" ""),3),index(split(C1041, "" ""),2)))"),"")</f>
        <v/>
      </c>
      <c r="X1041" s="38" t="b">
        <f t="shared" si="2"/>
        <v>0</v>
      </c>
      <c r="Y1041" s="38"/>
      <c r="Z1041" s="40"/>
      <c r="AA1041" s="40"/>
      <c r="AB1041" s="38"/>
      <c r="AC1041" s="38"/>
      <c r="AD1041" s="38"/>
      <c r="AE1041" s="38"/>
      <c r="AF1041" s="38"/>
      <c r="AG1041" s="38"/>
      <c r="AH1041" s="38"/>
      <c r="AI1041" s="38"/>
      <c r="AJ1041" s="38"/>
      <c r="AK1041" s="38"/>
      <c r="AL1041" s="38"/>
      <c r="AM1041" s="38"/>
      <c r="AN1041" s="38"/>
      <c r="AO1041" s="38"/>
      <c r="AP1041" s="38"/>
      <c r="AQ1041" s="38"/>
      <c r="AR1041" s="38"/>
      <c r="AS1041" s="38"/>
      <c r="AT1041" s="38"/>
      <c r="AU1041" s="38"/>
      <c r="AV1041" s="38"/>
      <c r="AW1041" s="38"/>
      <c r="AX1041" s="38"/>
      <c r="AY1041" s="38"/>
      <c r="AZ1041" s="38"/>
      <c r="BA1041" s="38"/>
      <c r="BB1041" s="38"/>
      <c r="BC1041" s="38"/>
      <c r="BD1041" s="38"/>
      <c r="BE1041" s="38"/>
      <c r="BF1041" s="38"/>
      <c r="BG1041" s="38"/>
    </row>
    <row r="1042">
      <c r="A1042" s="58"/>
      <c r="B1042" s="341"/>
      <c r="C1042" s="60"/>
      <c r="D1042" s="60"/>
      <c r="E1042" s="58"/>
      <c r="F1042" s="58"/>
      <c r="G1042" s="58"/>
      <c r="H1042" s="33" t="str">
        <f t="shared" si="1"/>
        <v/>
      </c>
      <c r="I1042" s="58"/>
      <c r="J1042" s="58"/>
      <c r="K1042" s="58"/>
      <c r="L1042" s="38"/>
      <c r="M1042" s="58"/>
      <c r="N1042" s="58"/>
      <c r="O1042" s="58"/>
      <c r="P1042" s="80"/>
      <c r="Q1042" s="77"/>
      <c r="R1042" s="58"/>
      <c r="S1042" s="58"/>
      <c r="T1042" s="84"/>
      <c r="U1042" s="62"/>
      <c r="V1042" s="37" t="str">
        <f>IFERROR(__xludf.DUMMYFUNCTION("if(not(iserror(index(split(C1042, "" ""),2))), index(split(C1042, "" ""),1),"""")"),"")</f>
        <v/>
      </c>
      <c r="W1042" s="315" t="str">
        <f>IFERROR(__xludf.DUMMYFUNCTION("if(V1042="""",C1042,if(not(iserror(index(split(C1042, "" ""),3))), index(split(C1042, "" ""),3),index(split(C1042, "" ""),2)))"),"")</f>
        <v/>
      </c>
      <c r="X1042" s="38" t="b">
        <f t="shared" si="2"/>
        <v>0</v>
      </c>
      <c r="Y1042" s="38"/>
      <c r="Z1042" s="40"/>
      <c r="AA1042" s="40"/>
      <c r="AB1042" s="38"/>
      <c r="AC1042" s="38"/>
      <c r="AD1042" s="38"/>
      <c r="AE1042" s="38"/>
      <c r="AF1042" s="38"/>
      <c r="AG1042" s="38"/>
      <c r="AH1042" s="38"/>
      <c r="AI1042" s="38"/>
      <c r="AJ1042" s="38"/>
      <c r="AK1042" s="38"/>
      <c r="AL1042" s="38"/>
      <c r="AM1042" s="38"/>
      <c r="AN1042" s="38"/>
      <c r="AO1042" s="38"/>
      <c r="AP1042" s="38"/>
      <c r="AQ1042" s="38"/>
      <c r="AR1042" s="38"/>
      <c r="AS1042" s="38"/>
      <c r="AT1042" s="38"/>
      <c r="AU1042" s="38"/>
      <c r="AV1042" s="38"/>
      <c r="AW1042" s="38"/>
      <c r="AX1042" s="38"/>
      <c r="AY1042" s="38"/>
      <c r="AZ1042" s="38"/>
      <c r="BA1042" s="38"/>
      <c r="BB1042" s="38"/>
      <c r="BC1042" s="38"/>
      <c r="BD1042" s="38"/>
      <c r="BE1042" s="38"/>
      <c r="BF1042" s="38"/>
      <c r="BG1042" s="38"/>
    </row>
    <row r="1043">
      <c r="A1043" s="58"/>
      <c r="B1043" s="341"/>
      <c r="C1043" s="60"/>
      <c r="D1043" s="60"/>
      <c r="E1043" s="58"/>
      <c r="F1043" s="58"/>
      <c r="G1043" s="58"/>
      <c r="H1043" s="33" t="str">
        <f t="shared" si="1"/>
        <v/>
      </c>
      <c r="I1043" s="58"/>
      <c r="J1043" s="58"/>
      <c r="K1043" s="58"/>
      <c r="L1043" s="38"/>
      <c r="M1043" s="58"/>
      <c r="N1043" s="58"/>
      <c r="O1043" s="58"/>
      <c r="P1043" s="80"/>
      <c r="Q1043" s="80"/>
      <c r="R1043" s="58"/>
      <c r="S1043" s="58"/>
      <c r="T1043" s="84"/>
      <c r="U1043" s="62"/>
      <c r="V1043" s="37" t="str">
        <f>IFERROR(__xludf.DUMMYFUNCTION("if(not(iserror(index(split(C1043, "" ""),2))), index(split(C1043, "" ""),1),"""")"),"")</f>
        <v/>
      </c>
      <c r="W1043" s="315" t="str">
        <f>IFERROR(__xludf.DUMMYFUNCTION("if(V1043="""",C1043,if(not(iserror(index(split(C1043, "" ""),3))), index(split(C1043, "" ""),3),index(split(C1043, "" ""),2)))"),"")</f>
        <v/>
      </c>
      <c r="X1043" s="38" t="b">
        <f t="shared" si="2"/>
        <v>0</v>
      </c>
      <c r="Y1043" s="38"/>
      <c r="Z1043" s="40"/>
      <c r="AA1043" s="40"/>
      <c r="AB1043" s="38"/>
      <c r="AC1043" s="38"/>
      <c r="AD1043" s="38"/>
      <c r="AE1043" s="38"/>
      <c r="AF1043" s="38"/>
      <c r="AG1043" s="38"/>
      <c r="AH1043" s="38"/>
      <c r="AI1043" s="38"/>
      <c r="AJ1043" s="38"/>
      <c r="AK1043" s="38"/>
      <c r="AL1043" s="38"/>
      <c r="AM1043" s="38"/>
      <c r="AN1043" s="38"/>
      <c r="AO1043" s="38"/>
      <c r="AP1043" s="38"/>
      <c r="AQ1043" s="38"/>
      <c r="AR1043" s="38"/>
      <c r="AS1043" s="38"/>
      <c r="AT1043" s="38"/>
      <c r="AU1043" s="38"/>
      <c r="AV1043" s="38"/>
      <c r="AW1043" s="38"/>
      <c r="AX1043" s="38"/>
      <c r="AY1043" s="38"/>
      <c r="AZ1043" s="38"/>
      <c r="BA1043" s="38"/>
      <c r="BB1043" s="38"/>
      <c r="BC1043" s="38"/>
      <c r="BD1043" s="38"/>
      <c r="BE1043" s="38"/>
      <c r="BF1043" s="38"/>
      <c r="BG1043" s="38"/>
    </row>
    <row r="1044">
      <c r="A1044" s="58"/>
      <c r="B1044" s="341"/>
      <c r="C1044" s="60"/>
      <c r="D1044" s="60"/>
      <c r="E1044" s="58"/>
      <c r="F1044" s="58"/>
      <c r="G1044" s="58"/>
      <c r="H1044" s="33" t="str">
        <f t="shared" si="1"/>
        <v/>
      </c>
      <c r="I1044" s="58"/>
      <c r="J1044" s="58"/>
      <c r="K1044" s="58"/>
      <c r="L1044" s="38"/>
      <c r="M1044" s="58"/>
      <c r="N1044" s="58"/>
      <c r="O1044" s="58"/>
      <c r="P1044" s="80"/>
      <c r="Q1044" s="77"/>
      <c r="R1044" s="58"/>
      <c r="S1044" s="58"/>
      <c r="T1044" s="84"/>
      <c r="U1044" s="62"/>
      <c r="V1044" s="37" t="str">
        <f>IFERROR(__xludf.DUMMYFUNCTION("if(not(iserror(index(split(C1044, "" ""),2))), index(split(C1044, "" ""),1),"""")"),"")</f>
        <v/>
      </c>
      <c r="W1044" s="315" t="str">
        <f>IFERROR(__xludf.DUMMYFUNCTION("if(V1044="""",C1044,if(not(iserror(index(split(C1044, "" ""),3))), index(split(C1044, "" ""),3),index(split(C1044, "" ""),2)))"),"")</f>
        <v/>
      </c>
      <c r="X1044" s="38" t="b">
        <f t="shared" si="2"/>
        <v>0</v>
      </c>
      <c r="Y1044" s="38"/>
      <c r="Z1044" s="40"/>
      <c r="AA1044" s="40"/>
      <c r="AB1044" s="38"/>
      <c r="AC1044" s="38"/>
      <c r="AD1044" s="38"/>
      <c r="AE1044" s="38"/>
      <c r="AF1044" s="38"/>
      <c r="AG1044" s="38"/>
      <c r="AH1044" s="38"/>
      <c r="AI1044" s="38"/>
      <c r="AJ1044" s="38"/>
      <c r="AK1044" s="38"/>
      <c r="AL1044" s="38"/>
      <c r="AM1044" s="38"/>
      <c r="AN1044" s="38"/>
      <c r="AO1044" s="38"/>
      <c r="AP1044" s="38"/>
      <c r="AQ1044" s="38"/>
      <c r="AR1044" s="38"/>
      <c r="AS1044" s="38"/>
      <c r="AT1044" s="38"/>
      <c r="AU1044" s="38"/>
      <c r="AV1044" s="38"/>
      <c r="AW1044" s="38"/>
      <c r="AX1044" s="38"/>
      <c r="AY1044" s="38"/>
      <c r="AZ1044" s="38"/>
      <c r="BA1044" s="38"/>
      <c r="BB1044" s="38"/>
      <c r="BC1044" s="38"/>
      <c r="BD1044" s="38"/>
      <c r="BE1044" s="38"/>
      <c r="BF1044" s="38"/>
      <c r="BG1044" s="38"/>
    </row>
    <row r="1045">
      <c r="A1045" s="58"/>
      <c r="B1045" s="341"/>
      <c r="C1045" s="60"/>
      <c r="D1045" s="60"/>
      <c r="E1045" s="58"/>
      <c r="F1045" s="58"/>
      <c r="G1045" s="58"/>
      <c r="H1045" s="33" t="str">
        <f t="shared" si="1"/>
        <v/>
      </c>
      <c r="I1045" s="58"/>
      <c r="J1045" s="58"/>
      <c r="K1045" s="58"/>
      <c r="L1045" s="38"/>
      <c r="M1045" s="58"/>
      <c r="N1045" s="58"/>
      <c r="O1045" s="58"/>
      <c r="P1045" s="80"/>
      <c r="Q1045" s="77"/>
      <c r="R1045" s="62"/>
      <c r="S1045" s="62"/>
      <c r="T1045" s="62"/>
      <c r="U1045" s="62"/>
      <c r="V1045" s="37" t="str">
        <f>IFERROR(__xludf.DUMMYFUNCTION("if(not(iserror(index(split(C1045, "" ""),2))), index(split(C1045, "" ""),1),"""")"),"")</f>
        <v/>
      </c>
      <c r="W1045" s="315" t="str">
        <f>IFERROR(__xludf.DUMMYFUNCTION("if(V1045="""",C1045,if(not(iserror(index(split(C1045, "" ""),3))), index(split(C1045, "" ""),3),index(split(C1045, "" ""),2)))"),"")</f>
        <v/>
      </c>
      <c r="X1045" s="38" t="b">
        <f t="shared" si="2"/>
        <v>0</v>
      </c>
      <c r="Y1045" s="38"/>
      <c r="Z1045" s="40"/>
      <c r="AA1045" s="40"/>
      <c r="AB1045" s="38"/>
      <c r="AC1045" s="38"/>
      <c r="AD1045" s="38"/>
      <c r="AE1045" s="38"/>
      <c r="AF1045" s="38"/>
      <c r="AG1045" s="38"/>
      <c r="AH1045" s="38"/>
      <c r="AI1045" s="38"/>
      <c r="AJ1045" s="38"/>
      <c r="AK1045" s="38"/>
      <c r="AL1045" s="38"/>
      <c r="AM1045" s="38"/>
      <c r="AN1045" s="38"/>
      <c r="AO1045" s="38"/>
      <c r="AP1045" s="38"/>
      <c r="AQ1045" s="38"/>
      <c r="AR1045" s="38"/>
      <c r="AS1045" s="38"/>
      <c r="AT1045" s="38"/>
      <c r="AU1045" s="38"/>
      <c r="AV1045" s="38"/>
      <c r="AW1045" s="38"/>
      <c r="AX1045" s="38"/>
      <c r="AY1045" s="38"/>
      <c r="AZ1045" s="38"/>
      <c r="BA1045" s="38"/>
      <c r="BB1045" s="38"/>
      <c r="BC1045" s="38"/>
      <c r="BD1045" s="38"/>
      <c r="BE1045" s="38"/>
      <c r="BF1045" s="38"/>
      <c r="BG1045" s="38"/>
    </row>
    <row r="1046">
      <c r="B1046" s="341"/>
      <c r="C1046" s="60"/>
      <c r="D1046" s="60"/>
      <c r="E1046" s="58"/>
      <c r="F1046" s="58"/>
      <c r="G1046" s="58"/>
      <c r="H1046" s="33" t="str">
        <f t="shared" si="1"/>
        <v/>
      </c>
      <c r="I1046" s="58"/>
      <c r="J1046" s="58"/>
      <c r="K1046" s="58"/>
      <c r="L1046" s="38"/>
      <c r="M1046" s="58"/>
      <c r="N1046" s="58"/>
      <c r="O1046" s="58"/>
      <c r="P1046" s="80"/>
      <c r="Q1046" s="77"/>
      <c r="R1046" s="62"/>
      <c r="S1046" s="58"/>
      <c r="T1046" s="84"/>
      <c r="U1046" s="62"/>
      <c r="V1046" s="37" t="str">
        <f>IFERROR(__xludf.DUMMYFUNCTION("if(not(iserror(index(split(C1046, "" ""),2))), index(split(C1046, "" ""),1),"""")"),"")</f>
        <v/>
      </c>
      <c r="W1046" s="315" t="str">
        <f>IFERROR(__xludf.DUMMYFUNCTION("if(V1046="""",C1046,if(not(iserror(index(split(C1046, "" ""),3))), index(split(C1046, "" ""),3),index(split(C1046, "" ""),2)))"),"")</f>
        <v/>
      </c>
      <c r="X1046" s="38" t="b">
        <f t="shared" si="2"/>
        <v>0</v>
      </c>
      <c r="Y1046" s="38"/>
      <c r="Z1046" s="40"/>
      <c r="AA1046" s="40"/>
      <c r="AB1046" s="38"/>
      <c r="AC1046" s="38"/>
      <c r="AD1046" s="38"/>
      <c r="AE1046" s="38"/>
      <c r="AF1046" s="38"/>
      <c r="AG1046" s="38"/>
      <c r="AH1046" s="38"/>
      <c r="AI1046" s="38"/>
      <c r="AJ1046" s="38"/>
      <c r="AK1046" s="38"/>
      <c r="AL1046" s="38"/>
      <c r="AM1046" s="38"/>
      <c r="AN1046" s="38"/>
      <c r="AO1046" s="38"/>
      <c r="AP1046" s="38"/>
      <c r="AQ1046" s="38"/>
      <c r="AR1046" s="38"/>
      <c r="AS1046" s="38"/>
      <c r="AT1046" s="38"/>
      <c r="AU1046" s="38"/>
      <c r="AV1046" s="38"/>
      <c r="AW1046" s="38"/>
      <c r="AX1046" s="38"/>
      <c r="AY1046" s="38"/>
      <c r="AZ1046" s="38"/>
      <c r="BA1046" s="38"/>
      <c r="BB1046" s="38"/>
      <c r="BC1046" s="38"/>
      <c r="BD1046" s="38"/>
      <c r="BE1046" s="38"/>
      <c r="BF1046" s="38"/>
      <c r="BG1046" s="38"/>
    </row>
    <row r="1047">
      <c r="B1047" s="341"/>
      <c r="C1047" s="60"/>
      <c r="D1047" s="60"/>
      <c r="E1047" s="58"/>
      <c r="F1047" s="58"/>
      <c r="G1047" s="58"/>
      <c r="H1047" s="33" t="str">
        <f t="shared" si="1"/>
        <v/>
      </c>
      <c r="I1047" s="58"/>
      <c r="J1047" s="58"/>
      <c r="K1047" s="58"/>
      <c r="L1047" s="38"/>
      <c r="M1047" s="58"/>
      <c r="N1047" s="58"/>
      <c r="O1047" s="58"/>
      <c r="P1047" s="80"/>
      <c r="Q1047" s="77"/>
      <c r="R1047" s="62"/>
      <c r="S1047" s="62"/>
      <c r="T1047" s="62"/>
      <c r="U1047" s="62"/>
      <c r="V1047" s="37" t="str">
        <f>IFERROR(__xludf.DUMMYFUNCTION("if(not(iserror(index(split(C1047, "" ""),2))), index(split(C1047, "" ""),1),"""")"),"")</f>
        <v/>
      </c>
      <c r="W1047" s="315" t="str">
        <f>IFERROR(__xludf.DUMMYFUNCTION("if(V1047="""",C1047,if(not(iserror(index(split(C1047, "" ""),3))), index(split(C1047, "" ""),3),index(split(C1047, "" ""),2)))"),"")</f>
        <v/>
      </c>
      <c r="X1047" s="38" t="b">
        <f t="shared" si="2"/>
        <v>0</v>
      </c>
      <c r="Y1047" s="38"/>
      <c r="Z1047" s="40"/>
      <c r="AA1047" s="40"/>
      <c r="AB1047" s="38"/>
      <c r="AC1047" s="38"/>
      <c r="AD1047" s="38"/>
      <c r="AE1047" s="38"/>
      <c r="AF1047" s="38"/>
      <c r="AG1047" s="38"/>
      <c r="AH1047" s="38"/>
      <c r="AI1047" s="38"/>
      <c r="AJ1047" s="38"/>
      <c r="AK1047" s="38"/>
      <c r="AL1047" s="38"/>
      <c r="AM1047" s="38"/>
      <c r="AN1047" s="38"/>
      <c r="AO1047" s="38"/>
      <c r="AP1047" s="38"/>
      <c r="AQ1047" s="38"/>
      <c r="AR1047" s="38"/>
      <c r="AS1047" s="38"/>
      <c r="AT1047" s="38"/>
      <c r="AU1047" s="38"/>
      <c r="AV1047" s="38"/>
      <c r="AW1047" s="38"/>
      <c r="AX1047" s="38"/>
      <c r="AY1047" s="38"/>
      <c r="AZ1047" s="38"/>
      <c r="BA1047" s="38"/>
      <c r="BB1047" s="38"/>
      <c r="BC1047" s="38"/>
      <c r="BD1047" s="38"/>
      <c r="BE1047" s="38"/>
      <c r="BF1047" s="38"/>
      <c r="BG1047" s="38"/>
    </row>
    <row r="1048">
      <c r="B1048" s="341"/>
      <c r="C1048" s="60"/>
      <c r="D1048" s="60"/>
      <c r="E1048" s="58"/>
      <c r="F1048" s="58"/>
      <c r="G1048" s="58"/>
      <c r="H1048" s="33" t="str">
        <f t="shared" si="1"/>
        <v/>
      </c>
      <c r="I1048" s="58"/>
      <c r="J1048" s="58"/>
      <c r="K1048" s="58"/>
      <c r="L1048" s="38"/>
      <c r="M1048" s="58"/>
      <c r="N1048" s="58"/>
      <c r="O1048" s="58"/>
      <c r="P1048" s="80"/>
      <c r="Q1048" s="77"/>
      <c r="R1048" s="62"/>
      <c r="S1048" s="62"/>
      <c r="T1048" s="62"/>
      <c r="U1048" s="62"/>
      <c r="V1048" s="37" t="str">
        <f>IFERROR(__xludf.DUMMYFUNCTION("if(not(iserror(index(split(C1048, "" ""),2))), index(split(C1048, "" ""),1),"""")"),"")</f>
        <v/>
      </c>
      <c r="W1048" s="315" t="str">
        <f>IFERROR(__xludf.DUMMYFUNCTION("if(V1048="""",C1048,if(not(iserror(index(split(C1048, "" ""),3))), index(split(C1048, "" ""),3),index(split(C1048, "" ""),2)))"),"")</f>
        <v/>
      </c>
      <c r="X1048" s="38" t="b">
        <f t="shared" si="2"/>
        <v>0</v>
      </c>
      <c r="Y1048" s="38"/>
      <c r="Z1048" s="40"/>
      <c r="AA1048" s="40"/>
      <c r="AB1048" s="38"/>
      <c r="AC1048" s="38"/>
      <c r="AD1048" s="38"/>
      <c r="AE1048" s="38"/>
      <c r="AF1048" s="38"/>
      <c r="AG1048" s="38"/>
      <c r="AH1048" s="38"/>
      <c r="AI1048" s="38"/>
      <c r="AJ1048" s="38"/>
      <c r="AK1048" s="38"/>
      <c r="AL1048" s="38"/>
      <c r="AM1048" s="38"/>
      <c r="AN1048" s="38"/>
      <c r="AO1048" s="38"/>
      <c r="AP1048" s="38"/>
      <c r="AQ1048" s="38"/>
      <c r="AR1048" s="38"/>
      <c r="AS1048" s="38"/>
      <c r="AT1048" s="38"/>
      <c r="AU1048" s="38"/>
      <c r="AV1048" s="38"/>
      <c r="AW1048" s="38"/>
      <c r="AX1048" s="38"/>
      <c r="AY1048" s="38"/>
      <c r="AZ1048" s="38"/>
      <c r="BA1048" s="38"/>
      <c r="BB1048" s="38"/>
      <c r="BC1048" s="38"/>
      <c r="BD1048" s="38"/>
      <c r="BE1048" s="38"/>
      <c r="BF1048" s="38"/>
      <c r="BG1048" s="38"/>
    </row>
    <row r="1049">
      <c r="B1049" s="341"/>
      <c r="C1049" s="60"/>
      <c r="D1049" s="60"/>
      <c r="E1049" s="58"/>
      <c r="F1049" s="58"/>
      <c r="G1049" s="58"/>
      <c r="H1049" s="33" t="str">
        <f t="shared" si="1"/>
        <v/>
      </c>
      <c r="I1049" s="58"/>
      <c r="J1049" s="58"/>
      <c r="K1049" s="58"/>
      <c r="L1049" s="38"/>
      <c r="M1049" s="58"/>
      <c r="N1049" s="58"/>
      <c r="O1049" s="58"/>
      <c r="P1049" s="80"/>
      <c r="Q1049" s="77"/>
      <c r="R1049" s="62"/>
      <c r="S1049" s="62"/>
      <c r="T1049" s="62"/>
      <c r="U1049" s="62"/>
      <c r="V1049" s="37" t="str">
        <f>IFERROR(__xludf.DUMMYFUNCTION("if(not(iserror(index(split(C1049, "" ""),2))), index(split(C1049, "" ""),1),"""")"),"")</f>
        <v/>
      </c>
      <c r="W1049" s="315" t="str">
        <f>IFERROR(__xludf.DUMMYFUNCTION("if(V1049="""",C1049,if(not(iserror(index(split(C1049, "" ""),3))), index(split(C1049, "" ""),3),index(split(C1049, "" ""),2)))"),"")</f>
        <v/>
      </c>
      <c r="X1049" s="38" t="b">
        <f t="shared" si="2"/>
        <v>0</v>
      </c>
      <c r="Y1049" s="38"/>
      <c r="Z1049" s="40"/>
      <c r="AA1049" s="40"/>
      <c r="AB1049" s="38"/>
      <c r="AC1049" s="38"/>
      <c r="AD1049" s="38"/>
      <c r="AE1049" s="38"/>
      <c r="AF1049" s="38"/>
      <c r="AG1049" s="38"/>
      <c r="AH1049" s="38"/>
      <c r="AI1049" s="38"/>
      <c r="AJ1049" s="38"/>
      <c r="AK1049" s="38"/>
      <c r="AL1049" s="38"/>
      <c r="AM1049" s="38"/>
      <c r="AN1049" s="38"/>
      <c r="AO1049" s="38"/>
      <c r="AP1049" s="38"/>
      <c r="AQ1049" s="38"/>
      <c r="AR1049" s="38"/>
      <c r="AS1049" s="38"/>
      <c r="AT1049" s="38"/>
      <c r="AU1049" s="38"/>
      <c r="AV1049" s="38"/>
      <c r="AW1049" s="38"/>
      <c r="AX1049" s="38"/>
      <c r="AY1049" s="38"/>
      <c r="AZ1049" s="38"/>
      <c r="BA1049" s="38"/>
      <c r="BB1049" s="38"/>
      <c r="BC1049" s="38"/>
      <c r="BD1049" s="38"/>
      <c r="BE1049" s="38"/>
      <c r="BF1049" s="38"/>
      <c r="BG1049" s="38"/>
    </row>
    <row r="1050">
      <c r="B1050" s="341"/>
      <c r="C1050" s="60"/>
      <c r="D1050" s="60"/>
      <c r="E1050" s="58"/>
      <c r="F1050" s="58"/>
      <c r="G1050" s="58"/>
      <c r="H1050" s="33" t="str">
        <f t="shared" si="1"/>
        <v/>
      </c>
      <c r="I1050" s="58"/>
      <c r="J1050" s="58"/>
      <c r="K1050" s="58"/>
      <c r="L1050" s="38"/>
      <c r="M1050" s="58"/>
      <c r="N1050" s="58"/>
      <c r="O1050" s="58"/>
      <c r="P1050" s="80"/>
      <c r="Q1050" s="77"/>
      <c r="R1050" s="62"/>
      <c r="S1050" s="62"/>
      <c r="T1050" s="62"/>
      <c r="U1050" s="62"/>
      <c r="V1050" s="37" t="str">
        <f>IFERROR(__xludf.DUMMYFUNCTION("if(not(iserror(index(split(C1050, "" ""),2))), index(split(C1050, "" ""),1),"""")"),"")</f>
        <v/>
      </c>
      <c r="W1050" s="315" t="str">
        <f>IFERROR(__xludf.DUMMYFUNCTION("if(V1050="""",C1050,if(not(iserror(index(split(C1050, "" ""),3))), index(split(C1050, "" ""),3),index(split(C1050, "" ""),2)))"),"")</f>
        <v/>
      </c>
      <c r="X1050" s="38" t="b">
        <f t="shared" si="2"/>
        <v>0</v>
      </c>
      <c r="Y1050" s="38"/>
      <c r="Z1050" s="40"/>
      <c r="AA1050" s="40"/>
      <c r="AB1050" s="38"/>
      <c r="AC1050" s="38"/>
      <c r="AD1050" s="38"/>
      <c r="AE1050" s="38"/>
      <c r="AF1050" s="38"/>
      <c r="AG1050" s="38"/>
      <c r="AH1050" s="38"/>
      <c r="AI1050" s="38"/>
      <c r="AJ1050" s="38"/>
      <c r="AK1050" s="38"/>
      <c r="AL1050" s="38"/>
      <c r="AM1050" s="38"/>
      <c r="AN1050" s="38"/>
      <c r="AO1050" s="38"/>
      <c r="AP1050" s="38"/>
      <c r="AQ1050" s="38"/>
      <c r="AR1050" s="38"/>
      <c r="AS1050" s="38"/>
      <c r="AT1050" s="38"/>
      <c r="AU1050" s="38"/>
      <c r="AV1050" s="38"/>
      <c r="AW1050" s="38"/>
      <c r="AX1050" s="38"/>
      <c r="AY1050" s="38"/>
      <c r="AZ1050" s="38"/>
      <c r="BA1050" s="38"/>
      <c r="BB1050" s="38"/>
      <c r="BC1050" s="38"/>
      <c r="BD1050" s="38"/>
      <c r="BE1050" s="38"/>
      <c r="BF1050" s="38"/>
      <c r="BG1050" s="38"/>
    </row>
    <row r="1051">
      <c r="A1051" s="58"/>
      <c r="B1051" s="341"/>
      <c r="C1051" s="60"/>
      <c r="D1051" s="60"/>
      <c r="E1051" s="58"/>
      <c r="F1051" s="58"/>
      <c r="G1051" s="58"/>
      <c r="H1051" s="33" t="str">
        <f t="shared" si="1"/>
        <v/>
      </c>
      <c r="I1051" s="58"/>
      <c r="J1051" s="58"/>
      <c r="K1051" s="58"/>
      <c r="L1051" s="38"/>
      <c r="M1051" s="58"/>
      <c r="N1051" s="58"/>
      <c r="O1051" s="58"/>
      <c r="P1051" s="80"/>
      <c r="Q1051" s="77"/>
      <c r="R1051" s="62"/>
      <c r="S1051" s="62"/>
      <c r="T1051" s="62"/>
      <c r="U1051" s="62"/>
      <c r="V1051" s="37" t="str">
        <f>IFERROR(__xludf.DUMMYFUNCTION("if(not(iserror(index(split(C1051, "" ""),2))), index(split(C1051, "" ""),1),"""")"),"")</f>
        <v/>
      </c>
      <c r="W1051" s="315" t="str">
        <f>IFERROR(__xludf.DUMMYFUNCTION("if(V1051="""",C1051,if(not(iserror(index(split(C1051, "" ""),3))), index(split(C1051, "" ""),3),index(split(C1051, "" ""),2)))"),"")</f>
        <v/>
      </c>
      <c r="X1051" s="38" t="b">
        <f t="shared" si="2"/>
        <v>0</v>
      </c>
      <c r="Y1051" s="38"/>
      <c r="Z1051" s="40"/>
      <c r="AA1051" s="40"/>
      <c r="AB1051" s="38"/>
      <c r="AC1051" s="38"/>
      <c r="AD1051" s="38"/>
      <c r="AE1051" s="38"/>
      <c r="AF1051" s="38"/>
      <c r="AG1051" s="38"/>
      <c r="AH1051" s="38"/>
      <c r="AI1051" s="38"/>
      <c r="AJ1051" s="38"/>
      <c r="AK1051" s="38"/>
      <c r="AL1051" s="38"/>
      <c r="AM1051" s="38"/>
      <c r="AN1051" s="38"/>
      <c r="AO1051" s="38"/>
      <c r="AP1051" s="38"/>
      <c r="AQ1051" s="38"/>
      <c r="AR1051" s="38"/>
      <c r="AS1051" s="38"/>
      <c r="AT1051" s="38"/>
      <c r="AU1051" s="38"/>
      <c r="AV1051" s="38"/>
      <c r="AW1051" s="38"/>
      <c r="AX1051" s="38"/>
      <c r="AY1051" s="38"/>
      <c r="AZ1051" s="38"/>
      <c r="BA1051" s="38"/>
      <c r="BB1051" s="38"/>
      <c r="BC1051" s="38"/>
      <c r="BD1051" s="38"/>
      <c r="BE1051" s="38"/>
      <c r="BF1051" s="38"/>
      <c r="BG1051" s="38"/>
    </row>
    <row r="1052">
      <c r="A1052" s="58"/>
      <c r="B1052" s="341"/>
      <c r="C1052" s="60"/>
      <c r="D1052" s="60"/>
      <c r="E1052" s="58"/>
      <c r="F1052" s="58"/>
      <c r="G1052" s="58"/>
      <c r="H1052" s="33" t="str">
        <f t="shared" si="1"/>
        <v/>
      </c>
      <c r="I1052" s="58"/>
      <c r="J1052" s="58"/>
      <c r="K1052" s="58"/>
      <c r="L1052" s="38"/>
      <c r="M1052" s="58"/>
      <c r="N1052" s="58"/>
      <c r="O1052" s="58"/>
      <c r="P1052" s="80"/>
      <c r="Q1052" s="77"/>
      <c r="R1052" s="62"/>
      <c r="S1052" s="62"/>
      <c r="T1052" s="62"/>
      <c r="U1052" s="62"/>
      <c r="V1052" s="37" t="str">
        <f>IFERROR(__xludf.DUMMYFUNCTION("if(not(iserror(index(split(C1052, "" ""),2))), index(split(C1052, "" ""),1),"""")"),"")</f>
        <v/>
      </c>
      <c r="W1052" s="315" t="str">
        <f>IFERROR(__xludf.DUMMYFUNCTION("if(V1052="""",C1052,if(not(iserror(index(split(C1052, "" ""),3))), index(split(C1052, "" ""),3),index(split(C1052, "" ""),2)))"),"")</f>
        <v/>
      </c>
      <c r="X1052" s="38" t="b">
        <f t="shared" si="2"/>
        <v>0</v>
      </c>
      <c r="Y1052" s="38"/>
      <c r="Z1052" s="40"/>
      <c r="AA1052" s="40"/>
      <c r="AB1052" s="38"/>
      <c r="AC1052" s="38"/>
      <c r="AD1052" s="38"/>
      <c r="AE1052" s="38"/>
      <c r="AF1052" s="38"/>
      <c r="AG1052" s="38"/>
      <c r="AH1052" s="38"/>
      <c r="AI1052" s="38"/>
      <c r="AJ1052" s="38"/>
      <c r="AK1052" s="38"/>
      <c r="AL1052" s="38"/>
      <c r="AM1052" s="38"/>
      <c r="AN1052" s="38"/>
      <c r="AO1052" s="38"/>
      <c r="AP1052" s="38"/>
      <c r="AQ1052" s="38"/>
      <c r="AR1052" s="38"/>
      <c r="AS1052" s="38"/>
      <c r="AT1052" s="38"/>
      <c r="AU1052" s="38"/>
      <c r="AV1052" s="38"/>
      <c r="AW1052" s="38"/>
      <c r="AX1052" s="38"/>
      <c r="AY1052" s="38"/>
      <c r="AZ1052" s="38"/>
      <c r="BA1052" s="38"/>
      <c r="BB1052" s="38"/>
      <c r="BC1052" s="38"/>
      <c r="BD1052" s="38"/>
      <c r="BE1052" s="38"/>
      <c r="BF1052" s="38"/>
      <c r="BG1052" s="38"/>
    </row>
    <row r="1053">
      <c r="A1053" s="58"/>
      <c r="B1053" s="341"/>
      <c r="C1053" s="60"/>
      <c r="D1053" s="60"/>
      <c r="E1053" s="58"/>
      <c r="F1053" s="58"/>
      <c r="G1053" s="58"/>
      <c r="H1053" s="33" t="str">
        <f t="shared" si="1"/>
        <v/>
      </c>
      <c r="I1053" s="58"/>
      <c r="J1053" s="58"/>
      <c r="K1053" s="58"/>
      <c r="L1053" s="38"/>
      <c r="M1053" s="58"/>
      <c r="N1053" s="58"/>
      <c r="O1053" s="58"/>
      <c r="P1053" s="80"/>
      <c r="Q1053" s="77"/>
      <c r="R1053" s="62"/>
      <c r="S1053" s="58"/>
      <c r="T1053" s="84"/>
      <c r="U1053" s="62"/>
      <c r="V1053" s="37" t="str">
        <f>IFERROR(__xludf.DUMMYFUNCTION("if(not(iserror(index(split(C1053, "" ""),2))), index(split(C1053, "" ""),1),"""")"),"")</f>
        <v/>
      </c>
      <c r="W1053" s="315" t="str">
        <f>IFERROR(__xludf.DUMMYFUNCTION("if(V1053="""",C1053,if(not(iserror(index(split(C1053, "" ""),3))), index(split(C1053, "" ""),3),index(split(C1053, "" ""),2)))"),"")</f>
        <v/>
      </c>
      <c r="X1053" s="38" t="b">
        <f t="shared" si="2"/>
        <v>0</v>
      </c>
      <c r="Y1053" s="38"/>
      <c r="Z1053" s="40"/>
      <c r="AA1053" s="40"/>
      <c r="AB1053" s="38"/>
      <c r="AC1053" s="38"/>
      <c r="AD1053" s="38"/>
      <c r="AE1053" s="38"/>
      <c r="AF1053" s="38"/>
      <c r="AG1053" s="38"/>
      <c r="AH1053" s="38"/>
      <c r="AI1053" s="38"/>
      <c r="AJ1053" s="38"/>
      <c r="AK1053" s="38"/>
      <c r="AL1053" s="38"/>
      <c r="AM1053" s="38"/>
      <c r="AN1053" s="38"/>
      <c r="AO1053" s="38"/>
      <c r="AP1053" s="38"/>
      <c r="AQ1053" s="38"/>
      <c r="AR1053" s="38"/>
      <c r="AS1053" s="38"/>
      <c r="AT1053" s="38"/>
      <c r="AU1053" s="38"/>
      <c r="AV1053" s="38"/>
      <c r="AW1053" s="38"/>
      <c r="AX1053" s="38"/>
      <c r="AY1053" s="38"/>
      <c r="AZ1053" s="38"/>
      <c r="BA1053" s="38"/>
      <c r="BB1053" s="38"/>
      <c r="BC1053" s="38"/>
      <c r="BD1053" s="38"/>
      <c r="BE1053" s="38"/>
      <c r="BF1053" s="38"/>
      <c r="BG1053" s="38"/>
    </row>
    <row r="1054">
      <c r="B1054" s="341"/>
      <c r="C1054" s="60"/>
      <c r="D1054" s="60"/>
      <c r="E1054" s="58"/>
      <c r="F1054" s="58"/>
      <c r="G1054" s="58"/>
      <c r="H1054" s="33" t="str">
        <f t="shared" si="1"/>
        <v/>
      </c>
      <c r="I1054" s="58"/>
      <c r="J1054" s="58"/>
      <c r="K1054" s="58"/>
      <c r="L1054" s="38"/>
      <c r="M1054" s="58"/>
      <c r="N1054" s="58"/>
      <c r="O1054" s="58"/>
      <c r="P1054" s="106"/>
      <c r="Q1054" s="77"/>
      <c r="R1054" s="58"/>
      <c r="S1054" s="58"/>
      <c r="T1054" s="84"/>
      <c r="U1054" s="62"/>
      <c r="V1054" s="37" t="str">
        <f>IFERROR(__xludf.DUMMYFUNCTION("if(not(iserror(index(split(C1054, "" ""),2))), index(split(C1054, "" ""),1),"""")"),"")</f>
        <v/>
      </c>
      <c r="W1054" s="315" t="str">
        <f>IFERROR(__xludf.DUMMYFUNCTION("if(V1054="""",C1054,if(not(iserror(index(split(C1054, "" ""),3))), index(split(C1054, "" ""),3),index(split(C1054, "" ""),2)))"),"")</f>
        <v/>
      </c>
      <c r="X1054" s="38" t="b">
        <f t="shared" si="2"/>
        <v>0</v>
      </c>
      <c r="Y1054" s="38"/>
      <c r="Z1054" s="40"/>
      <c r="AA1054" s="40"/>
      <c r="AB1054" s="38"/>
      <c r="AC1054" s="38"/>
      <c r="AD1054" s="38"/>
      <c r="AE1054" s="38"/>
      <c r="AF1054" s="38"/>
      <c r="AG1054" s="38"/>
      <c r="AH1054" s="38"/>
      <c r="AI1054" s="38"/>
      <c r="AJ1054" s="38"/>
      <c r="AK1054" s="38"/>
      <c r="AL1054" s="38"/>
      <c r="AM1054" s="38"/>
      <c r="AN1054" s="38"/>
      <c r="AO1054" s="38"/>
      <c r="AP1054" s="38"/>
      <c r="AQ1054" s="38"/>
      <c r="AR1054" s="38"/>
      <c r="AS1054" s="38"/>
      <c r="AT1054" s="38"/>
      <c r="AU1054" s="38"/>
      <c r="AV1054" s="38"/>
      <c r="AW1054" s="38"/>
      <c r="AX1054" s="38"/>
      <c r="AY1054" s="38"/>
      <c r="AZ1054" s="38"/>
      <c r="BA1054" s="38"/>
      <c r="BB1054" s="38"/>
      <c r="BC1054" s="38"/>
      <c r="BD1054" s="38"/>
      <c r="BE1054" s="38"/>
      <c r="BF1054" s="38"/>
      <c r="BG1054" s="38"/>
    </row>
    <row r="1055">
      <c r="B1055" s="341"/>
      <c r="C1055" s="60"/>
      <c r="D1055" s="60"/>
      <c r="E1055" s="58"/>
      <c r="F1055" s="58"/>
      <c r="G1055" s="58"/>
      <c r="H1055" s="33" t="str">
        <f t="shared" si="1"/>
        <v/>
      </c>
      <c r="I1055" s="58"/>
      <c r="J1055" s="58"/>
      <c r="K1055" s="58"/>
      <c r="L1055" s="38"/>
      <c r="M1055" s="58"/>
      <c r="N1055" s="58"/>
      <c r="O1055" s="58"/>
      <c r="P1055" s="106"/>
      <c r="Q1055" s="77"/>
      <c r="R1055" s="58"/>
      <c r="S1055" s="58"/>
      <c r="T1055" s="84"/>
      <c r="U1055" s="62"/>
      <c r="V1055" s="37" t="str">
        <f>IFERROR(__xludf.DUMMYFUNCTION("if(not(iserror(index(split(C1055, "" ""),2))), index(split(C1055, "" ""),1),"""")"),"")</f>
        <v/>
      </c>
      <c r="W1055" s="315" t="str">
        <f>IFERROR(__xludf.DUMMYFUNCTION("if(V1055="""",C1055,if(not(iserror(index(split(C1055, "" ""),3))), index(split(C1055, "" ""),3),index(split(C1055, "" ""),2)))"),"")</f>
        <v/>
      </c>
      <c r="X1055" s="38" t="b">
        <f t="shared" si="2"/>
        <v>0</v>
      </c>
      <c r="Y1055" s="38"/>
      <c r="Z1055" s="40"/>
      <c r="AA1055" s="40"/>
      <c r="AB1055" s="38"/>
      <c r="AC1055" s="38"/>
      <c r="AD1055" s="38"/>
      <c r="AE1055" s="38"/>
      <c r="AF1055" s="38"/>
      <c r="AG1055" s="38"/>
      <c r="AH1055" s="38"/>
      <c r="AI1055" s="38"/>
      <c r="AJ1055" s="38"/>
      <c r="AK1055" s="38"/>
      <c r="AL1055" s="38"/>
      <c r="AM1055" s="38"/>
      <c r="AN1055" s="38"/>
      <c r="AO1055" s="38"/>
      <c r="AP1055" s="38"/>
      <c r="AQ1055" s="38"/>
      <c r="AR1055" s="38"/>
      <c r="AS1055" s="38"/>
      <c r="AT1055" s="38"/>
      <c r="AU1055" s="38"/>
      <c r="AV1055" s="38"/>
      <c r="AW1055" s="38"/>
      <c r="AX1055" s="38"/>
      <c r="AY1055" s="38"/>
      <c r="AZ1055" s="38"/>
      <c r="BA1055" s="38"/>
      <c r="BB1055" s="38"/>
      <c r="BC1055" s="38"/>
      <c r="BD1055" s="38"/>
      <c r="BE1055" s="38"/>
      <c r="BF1055" s="38"/>
      <c r="BG1055" s="38"/>
    </row>
    <row r="1056">
      <c r="B1056" s="341"/>
      <c r="C1056" s="60"/>
      <c r="D1056" s="60"/>
      <c r="E1056" s="58"/>
      <c r="F1056" s="58"/>
      <c r="G1056" s="58"/>
      <c r="H1056" s="33" t="str">
        <f t="shared" si="1"/>
        <v/>
      </c>
      <c r="I1056" s="58"/>
      <c r="J1056" s="58"/>
      <c r="K1056" s="58"/>
      <c r="L1056" s="38"/>
      <c r="M1056" s="58"/>
      <c r="N1056" s="58"/>
      <c r="O1056" s="58"/>
      <c r="P1056" s="106"/>
      <c r="Q1056" s="77"/>
      <c r="R1056" s="62"/>
      <c r="S1056" s="62"/>
      <c r="T1056" s="62"/>
      <c r="U1056" s="62"/>
      <c r="V1056" s="37" t="str">
        <f>IFERROR(__xludf.DUMMYFUNCTION("if(not(iserror(index(split(C1056, "" ""),2))), index(split(C1056, "" ""),1),"""")"),"")</f>
        <v/>
      </c>
      <c r="W1056" s="315" t="str">
        <f>IFERROR(__xludf.DUMMYFUNCTION("if(V1056="""",C1056,if(not(iserror(index(split(C1056, "" ""),3))), index(split(C1056, "" ""),3),index(split(C1056, "" ""),2)))"),"")</f>
        <v/>
      </c>
      <c r="X1056" s="38" t="b">
        <f t="shared" si="2"/>
        <v>0</v>
      </c>
      <c r="Y1056" s="38"/>
      <c r="Z1056" s="40"/>
      <c r="AA1056" s="40"/>
      <c r="AB1056" s="38"/>
      <c r="AC1056" s="38"/>
      <c r="AD1056" s="38"/>
      <c r="AE1056" s="38"/>
      <c r="AF1056" s="38"/>
      <c r="AG1056" s="38"/>
      <c r="AH1056" s="38"/>
      <c r="AI1056" s="38"/>
      <c r="AJ1056" s="38"/>
      <c r="AK1056" s="38"/>
      <c r="AL1056" s="38"/>
      <c r="AM1056" s="38"/>
      <c r="AN1056" s="38"/>
      <c r="AO1056" s="38"/>
      <c r="AP1056" s="38"/>
      <c r="AQ1056" s="38"/>
      <c r="AR1056" s="38"/>
      <c r="AS1056" s="38"/>
      <c r="AT1056" s="38"/>
      <c r="AU1056" s="38"/>
      <c r="AV1056" s="38"/>
      <c r="AW1056" s="38"/>
      <c r="AX1056" s="38"/>
      <c r="AY1056" s="38"/>
      <c r="AZ1056" s="38"/>
      <c r="BA1056" s="38"/>
      <c r="BB1056" s="38"/>
      <c r="BC1056" s="38"/>
      <c r="BD1056" s="38"/>
      <c r="BE1056" s="38"/>
      <c r="BF1056" s="38"/>
      <c r="BG1056" s="38"/>
    </row>
    <row r="1057">
      <c r="A1057" s="58"/>
      <c r="B1057" s="341"/>
      <c r="C1057" s="60"/>
      <c r="D1057" s="60"/>
      <c r="E1057" s="58"/>
      <c r="F1057" s="58"/>
      <c r="G1057" s="58"/>
      <c r="H1057" s="33" t="str">
        <f t="shared" si="1"/>
        <v/>
      </c>
      <c r="I1057" s="58"/>
      <c r="J1057" s="58"/>
      <c r="K1057" s="58"/>
      <c r="L1057" s="38"/>
      <c r="M1057" s="58"/>
      <c r="N1057" s="58"/>
      <c r="O1057" s="58"/>
      <c r="P1057" s="80"/>
      <c r="Q1057" s="77"/>
      <c r="R1057" s="62"/>
      <c r="S1057" s="62"/>
      <c r="T1057" s="84"/>
      <c r="U1057" s="62"/>
      <c r="V1057" s="37" t="str">
        <f>IFERROR(__xludf.DUMMYFUNCTION("if(not(iserror(index(split(C1057, "" ""),2))), index(split(C1057, "" ""),1),"""")"),"")</f>
        <v/>
      </c>
      <c r="W1057" s="315" t="str">
        <f>IFERROR(__xludf.DUMMYFUNCTION("if(V1057="""",C1057,if(not(iserror(index(split(C1057, "" ""),3))), index(split(C1057, "" ""),3),index(split(C1057, "" ""),2)))"),"")</f>
        <v/>
      </c>
      <c r="X1057" s="38" t="b">
        <f t="shared" si="2"/>
        <v>0</v>
      </c>
      <c r="Y1057" s="38"/>
      <c r="Z1057" s="40"/>
      <c r="AA1057" s="40"/>
      <c r="AB1057" s="38"/>
      <c r="AC1057" s="38"/>
      <c r="AD1057" s="38"/>
      <c r="AE1057" s="38"/>
      <c r="AF1057" s="38"/>
      <c r="AG1057" s="38"/>
      <c r="AH1057" s="38"/>
      <c r="AI1057" s="38"/>
      <c r="AJ1057" s="38"/>
      <c r="AK1057" s="38"/>
      <c r="AL1057" s="38"/>
      <c r="AM1057" s="38"/>
      <c r="AN1057" s="38"/>
      <c r="AO1057" s="38"/>
      <c r="AP1057" s="38"/>
      <c r="AQ1057" s="38"/>
      <c r="AR1057" s="38"/>
      <c r="AS1057" s="38"/>
      <c r="AT1057" s="38"/>
      <c r="AU1057" s="38"/>
      <c r="AV1057" s="38"/>
      <c r="AW1057" s="38"/>
      <c r="AX1057" s="38"/>
      <c r="AY1057" s="38"/>
      <c r="AZ1057" s="38"/>
      <c r="BA1057" s="38"/>
      <c r="BB1057" s="38"/>
      <c r="BC1057" s="38"/>
      <c r="BD1057" s="38"/>
      <c r="BE1057" s="38"/>
      <c r="BF1057" s="38"/>
      <c r="BG1057" s="38"/>
    </row>
    <row r="1058">
      <c r="B1058" s="341"/>
      <c r="C1058" s="60"/>
      <c r="D1058" s="60"/>
      <c r="E1058" s="58"/>
      <c r="F1058" s="58"/>
      <c r="G1058" s="58"/>
      <c r="H1058" s="33" t="str">
        <f t="shared" si="1"/>
        <v/>
      </c>
      <c r="I1058" s="58"/>
      <c r="J1058" s="58"/>
      <c r="K1058" s="58"/>
      <c r="L1058" s="38"/>
      <c r="M1058" s="58"/>
      <c r="N1058" s="58"/>
      <c r="O1058" s="58"/>
      <c r="P1058" s="106"/>
      <c r="Q1058" s="77"/>
      <c r="R1058" s="62"/>
      <c r="S1058" s="58"/>
      <c r="T1058" s="84"/>
      <c r="U1058" s="62"/>
      <c r="V1058" s="37" t="str">
        <f>IFERROR(__xludf.DUMMYFUNCTION("if(not(iserror(index(split(C1058, "" ""),2))), index(split(C1058, "" ""),1),"""")"),"")</f>
        <v/>
      </c>
      <c r="W1058" s="315" t="str">
        <f>IFERROR(__xludf.DUMMYFUNCTION("if(V1058="""",C1058,if(not(iserror(index(split(C1058, "" ""),3))), index(split(C1058, "" ""),3),index(split(C1058, "" ""),2)))"),"")</f>
        <v/>
      </c>
      <c r="X1058" s="38" t="b">
        <f t="shared" si="2"/>
        <v>0</v>
      </c>
      <c r="Y1058" s="38"/>
      <c r="Z1058" s="40"/>
      <c r="AA1058" s="40"/>
      <c r="AB1058" s="38"/>
      <c r="AC1058" s="38"/>
      <c r="AD1058" s="38"/>
      <c r="AE1058" s="38"/>
      <c r="AF1058" s="38"/>
      <c r="AG1058" s="38"/>
      <c r="AH1058" s="38"/>
      <c r="AI1058" s="38"/>
      <c r="AJ1058" s="38"/>
      <c r="AK1058" s="38"/>
      <c r="AL1058" s="38"/>
      <c r="AM1058" s="38"/>
      <c r="AN1058" s="38"/>
      <c r="AO1058" s="38"/>
      <c r="AP1058" s="38"/>
      <c r="AQ1058" s="38"/>
      <c r="AR1058" s="38"/>
      <c r="AS1058" s="38"/>
      <c r="AT1058" s="38"/>
      <c r="AU1058" s="38"/>
      <c r="AV1058" s="38"/>
      <c r="AW1058" s="38"/>
      <c r="AX1058" s="38"/>
      <c r="AY1058" s="38"/>
      <c r="AZ1058" s="38"/>
      <c r="BA1058" s="38"/>
      <c r="BB1058" s="38"/>
      <c r="BC1058" s="38"/>
      <c r="BD1058" s="38"/>
      <c r="BE1058" s="38"/>
      <c r="BF1058" s="38"/>
      <c r="BG1058" s="38"/>
    </row>
    <row r="1059">
      <c r="B1059" s="341"/>
      <c r="C1059" s="60"/>
      <c r="D1059" s="60"/>
      <c r="E1059" s="58"/>
      <c r="F1059" s="58"/>
      <c r="G1059" s="58"/>
      <c r="H1059" s="33" t="str">
        <f t="shared" si="1"/>
        <v/>
      </c>
      <c r="I1059" s="58"/>
      <c r="J1059" s="58"/>
      <c r="K1059" s="58"/>
      <c r="L1059" s="38"/>
      <c r="M1059" s="58"/>
      <c r="N1059" s="58"/>
      <c r="O1059" s="58"/>
      <c r="P1059" s="80"/>
      <c r="Q1059" s="77"/>
      <c r="R1059" s="62"/>
      <c r="S1059" s="62"/>
      <c r="T1059" s="62"/>
      <c r="U1059" s="62"/>
      <c r="V1059" s="37" t="str">
        <f>IFERROR(__xludf.DUMMYFUNCTION("if(not(iserror(index(split(C1059, "" ""),2))), index(split(C1059, "" ""),1),"""")"),"")</f>
        <v/>
      </c>
      <c r="W1059" s="315" t="str">
        <f>IFERROR(__xludf.DUMMYFUNCTION("if(V1059="""",C1059,if(not(iserror(index(split(C1059, "" ""),3))), index(split(C1059, "" ""),3),index(split(C1059, "" ""),2)))"),"")</f>
        <v/>
      </c>
      <c r="X1059" s="38" t="b">
        <f t="shared" si="2"/>
        <v>0</v>
      </c>
      <c r="Y1059" s="38"/>
      <c r="Z1059" s="40"/>
      <c r="AA1059" s="40"/>
      <c r="AB1059" s="38"/>
      <c r="AC1059" s="38"/>
      <c r="AD1059" s="38"/>
      <c r="AE1059" s="38"/>
      <c r="AF1059" s="38"/>
      <c r="AG1059" s="38"/>
      <c r="AH1059" s="38"/>
      <c r="AI1059" s="38"/>
      <c r="AJ1059" s="38"/>
      <c r="AK1059" s="38"/>
      <c r="AL1059" s="38"/>
      <c r="AM1059" s="38"/>
      <c r="AN1059" s="38"/>
      <c r="AO1059" s="38"/>
      <c r="AP1059" s="38"/>
      <c r="AQ1059" s="38"/>
      <c r="AR1059" s="38"/>
      <c r="AS1059" s="38"/>
      <c r="AT1059" s="38"/>
      <c r="AU1059" s="38"/>
      <c r="AV1059" s="38"/>
      <c r="AW1059" s="38"/>
      <c r="AX1059" s="38"/>
      <c r="AY1059" s="38"/>
      <c r="AZ1059" s="38"/>
      <c r="BA1059" s="38"/>
      <c r="BB1059" s="38"/>
      <c r="BC1059" s="38"/>
      <c r="BD1059" s="38"/>
      <c r="BE1059" s="38"/>
      <c r="BF1059" s="38"/>
      <c r="BG1059" s="38"/>
    </row>
    <row r="1060">
      <c r="B1060" s="341"/>
      <c r="C1060" s="60"/>
      <c r="D1060" s="60"/>
      <c r="E1060" s="58"/>
      <c r="F1060" s="58"/>
      <c r="G1060" s="58"/>
      <c r="H1060" s="33" t="str">
        <f t="shared" si="1"/>
        <v/>
      </c>
      <c r="I1060" s="58"/>
      <c r="J1060" s="58"/>
      <c r="K1060" s="58"/>
      <c r="L1060" s="38"/>
      <c r="M1060" s="58"/>
      <c r="N1060" s="58"/>
      <c r="O1060" s="58"/>
      <c r="P1060" s="80"/>
      <c r="Q1060" s="77"/>
      <c r="R1060" s="62"/>
      <c r="S1060" s="62"/>
      <c r="T1060" s="62"/>
      <c r="U1060" s="62"/>
      <c r="V1060" s="37" t="str">
        <f>IFERROR(__xludf.DUMMYFUNCTION("if(not(iserror(index(split(C1060, "" ""),2))), index(split(C1060, "" ""),1),"""")"),"")</f>
        <v/>
      </c>
      <c r="W1060" s="315" t="str">
        <f>IFERROR(__xludf.DUMMYFUNCTION("if(V1060="""",C1060,if(not(iserror(index(split(C1060, "" ""),3))), index(split(C1060, "" ""),3),index(split(C1060, "" ""),2)))"),"")</f>
        <v/>
      </c>
      <c r="X1060" s="38" t="b">
        <f t="shared" si="2"/>
        <v>0</v>
      </c>
      <c r="Y1060" s="38"/>
      <c r="Z1060" s="40"/>
      <c r="AA1060" s="40"/>
      <c r="AB1060" s="38"/>
      <c r="AC1060" s="38"/>
      <c r="AD1060" s="38"/>
      <c r="AE1060" s="38"/>
      <c r="AF1060" s="38"/>
      <c r="AG1060" s="38"/>
      <c r="AH1060" s="38"/>
      <c r="AI1060" s="38"/>
      <c r="AJ1060" s="38"/>
      <c r="AK1060" s="38"/>
      <c r="AL1060" s="38"/>
      <c r="AM1060" s="38"/>
      <c r="AN1060" s="38"/>
      <c r="AO1060" s="38"/>
      <c r="AP1060" s="38"/>
      <c r="AQ1060" s="38"/>
      <c r="AR1060" s="38"/>
      <c r="AS1060" s="38"/>
      <c r="AT1060" s="38"/>
      <c r="AU1060" s="38"/>
      <c r="AV1060" s="38"/>
      <c r="AW1060" s="38"/>
      <c r="AX1060" s="38"/>
      <c r="AY1060" s="38"/>
      <c r="AZ1060" s="38"/>
      <c r="BA1060" s="38"/>
      <c r="BB1060" s="38"/>
      <c r="BC1060" s="38"/>
      <c r="BD1060" s="38"/>
      <c r="BE1060" s="38"/>
      <c r="BF1060" s="38"/>
      <c r="BG1060" s="38"/>
    </row>
    <row r="1061">
      <c r="B1061" s="341"/>
      <c r="C1061" s="60"/>
      <c r="D1061" s="60"/>
      <c r="E1061" s="58"/>
      <c r="F1061" s="58"/>
      <c r="G1061" s="58"/>
      <c r="H1061" s="33" t="str">
        <f t="shared" si="1"/>
        <v/>
      </c>
      <c r="I1061" s="58"/>
      <c r="J1061" s="58"/>
      <c r="K1061" s="58"/>
      <c r="L1061" s="38"/>
      <c r="M1061" s="58"/>
      <c r="N1061" s="58"/>
      <c r="O1061" s="58"/>
      <c r="P1061" s="80"/>
      <c r="Q1061" s="77"/>
      <c r="R1061" s="62"/>
      <c r="S1061" s="62"/>
      <c r="T1061" s="62"/>
      <c r="U1061" s="62"/>
      <c r="V1061" s="37" t="str">
        <f>IFERROR(__xludf.DUMMYFUNCTION("if(not(iserror(index(split(C1061, "" ""),2))), index(split(C1061, "" ""),1),"""")"),"")</f>
        <v/>
      </c>
      <c r="W1061" s="315" t="str">
        <f>IFERROR(__xludf.DUMMYFUNCTION("if(V1061="""",C1061,if(not(iserror(index(split(C1061, "" ""),3))), index(split(C1061, "" ""),3),index(split(C1061, "" ""),2)))"),"")</f>
        <v/>
      </c>
      <c r="X1061" s="38" t="b">
        <f t="shared" si="2"/>
        <v>0</v>
      </c>
      <c r="Y1061" s="38"/>
      <c r="Z1061" s="40"/>
      <c r="AA1061" s="40"/>
      <c r="AB1061" s="38"/>
      <c r="AC1061" s="38"/>
      <c r="AD1061" s="38"/>
      <c r="AE1061" s="38"/>
      <c r="AF1061" s="38"/>
      <c r="AG1061" s="38"/>
      <c r="AH1061" s="38"/>
      <c r="AI1061" s="38"/>
      <c r="AJ1061" s="38"/>
      <c r="AK1061" s="38"/>
      <c r="AL1061" s="38"/>
      <c r="AM1061" s="38"/>
      <c r="AN1061" s="38"/>
      <c r="AO1061" s="38"/>
      <c r="AP1061" s="38"/>
      <c r="AQ1061" s="38"/>
      <c r="AR1061" s="38"/>
      <c r="AS1061" s="38"/>
      <c r="AT1061" s="38"/>
      <c r="AU1061" s="38"/>
      <c r="AV1061" s="38"/>
      <c r="AW1061" s="38"/>
      <c r="AX1061" s="38"/>
      <c r="AY1061" s="38"/>
      <c r="AZ1061" s="38"/>
      <c r="BA1061" s="38"/>
      <c r="BB1061" s="38"/>
      <c r="BC1061" s="38"/>
      <c r="BD1061" s="38"/>
      <c r="BE1061" s="38"/>
      <c r="BF1061" s="38"/>
      <c r="BG1061" s="38"/>
    </row>
    <row r="1062">
      <c r="B1062" s="341"/>
      <c r="C1062" s="60"/>
      <c r="D1062" s="60"/>
      <c r="E1062" s="58"/>
      <c r="F1062" s="58"/>
      <c r="G1062" s="58"/>
      <c r="H1062" s="33" t="str">
        <f t="shared" si="1"/>
        <v/>
      </c>
      <c r="I1062" s="58"/>
      <c r="J1062" s="58"/>
      <c r="K1062" s="58"/>
      <c r="L1062" s="38"/>
      <c r="M1062" s="58"/>
      <c r="N1062" s="58"/>
      <c r="O1062" s="58"/>
      <c r="P1062" s="80"/>
      <c r="Q1062" s="77"/>
      <c r="R1062" s="62"/>
      <c r="S1062" s="62"/>
      <c r="T1062" s="62"/>
      <c r="U1062" s="62"/>
      <c r="V1062" s="37" t="str">
        <f>IFERROR(__xludf.DUMMYFUNCTION("if(not(iserror(index(split(C1062, "" ""),2))), index(split(C1062, "" ""),1),"""")"),"")</f>
        <v/>
      </c>
      <c r="W1062" s="315" t="str">
        <f>IFERROR(__xludf.DUMMYFUNCTION("if(V1062="""",C1062,if(not(iserror(index(split(C1062, "" ""),3))), index(split(C1062, "" ""),3),index(split(C1062, "" ""),2)))"),"")</f>
        <v/>
      </c>
      <c r="X1062" s="38" t="b">
        <f t="shared" si="2"/>
        <v>0</v>
      </c>
      <c r="Y1062" s="38"/>
      <c r="Z1062" s="40"/>
      <c r="AA1062" s="40"/>
      <c r="AB1062" s="38"/>
      <c r="AC1062" s="38"/>
      <c r="AD1062" s="38"/>
      <c r="AE1062" s="38"/>
      <c r="AF1062" s="38"/>
      <c r="AG1062" s="38"/>
      <c r="AH1062" s="38"/>
      <c r="AI1062" s="38"/>
      <c r="AJ1062" s="38"/>
      <c r="AK1062" s="38"/>
      <c r="AL1062" s="38"/>
      <c r="AM1062" s="38"/>
      <c r="AN1062" s="38"/>
      <c r="AO1062" s="38"/>
      <c r="AP1062" s="38"/>
      <c r="AQ1062" s="38"/>
      <c r="AR1062" s="38"/>
      <c r="AS1062" s="38"/>
      <c r="AT1062" s="38"/>
      <c r="AU1062" s="38"/>
      <c r="AV1062" s="38"/>
      <c r="AW1062" s="38"/>
      <c r="AX1062" s="38"/>
      <c r="AY1062" s="38"/>
      <c r="AZ1062" s="38"/>
      <c r="BA1062" s="38"/>
      <c r="BB1062" s="38"/>
      <c r="BC1062" s="38"/>
      <c r="BD1062" s="38"/>
      <c r="BE1062" s="38"/>
      <c r="BF1062" s="38"/>
      <c r="BG1062" s="38"/>
    </row>
    <row r="1063">
      <c r="B1063" s="341"/>
      <c r="C1063" s="60"/>
      <c r="D1063" s="60"/>
      <c r="E1063" s="58"/>
      <c r="F1063" s="58"/>
      <c r="G1063" s="58"/>
      <c r="H1063" s="33" t="str">
        <f t="shared" si="1"/>
        <v/>
      </c>
      <c r="I1063" s="58"/>
      <c r="J1063" s="58"/>
      <c r="K1063" s="58"/>
      <c r="L1063" s="38"/>
      <c r="M1063" s="58"/>
      <c r="N1063" s="58"/>
      <c r="O1063" s="58"/>
      <c r="P1063" s="80"/>
      <c r="Q1063" s="77"/>
      <c r="R1063" s="62"/>
      <c r="S1063" s="62"/>
      <c r="T1063" s="62"/>
      <c r="U1063" s="62"/>
      <c r="V1063" s="37" t="str">
        <f>IFERROR(__xludf.DUMMYFUNCTION("if(not(iserror(index(split(C1063, "" ""),2))), index(split(C1063, "" ""),1),"""")"),"")</f>
        <v/>
      </c>
      <c r="W1063" s="315" t="str">
        <f>IFERROR(__xludf.DUMMYFUNCTION("if(V1063="""",C1063,if(not(iserror(index(split(C1063, "" ""),3))), index(split(C1063, "" ""),3),index(split(C1063, "" ""),2)))"),"")</f>
        <v/>
      </c>
      <c r="X1063" s="38" t="b">
        <f t="shared" si="2"/>
        <v>0</v>
      </c>
      <c r="Y1063" s="38"/>
      <c r="Z1063" s="40"/>
      <c r="AA1063" s="40"/>
      <c r="AB1063" s="38"/>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c r="AW1063" s="38"/>
      <c r="AX1063" s="38"/>
      <c r="AY1063" s="38"/>
      <c r="AZ1063" s="38"/>
      <c r="BA1063" s="38"/>
      <c r="BB1063" s="38"/>
      <c r="BC1063" s="38"/>
      <c r="BD1063" s="38"/>
      <c r="BE1063" s="38"/>
      <c r="BF1063" s="38"/>
      <c r="BG1063" s="38"/>
    </row>
    <row r="1064">
      <c r="B1064" s="341"/>
      <c r="C1064" s="60"/>
      <c r="D1064" s="60"/>
      <c r="E1064" s="58"/>
      <c r="F1064" s="58"/>
      <c r="G1064" s="58"/>
      <c r="H1064" s="33" t="str">
        <f t="shared" si="1"/>
        <v/>
      </c>
      <c r="I1064" s="58"/>
      <c r="J1064" s="58"/>
      <c r="K1064" s="58"/>
      <c r="L1064" s="38"/>
      <c r="M1064" s="58"/>
      <c r="N1064" s="58"/>
      <c r="O1064" s="58"/>
      <c r="P1064" s="80"/>
      <c r="Q1064" s="77"/>
      <c r="R1064" s="58"/>
      <c r="S1064" s="58"/>
      <c r="T1064" s="84"/>
      <c r="U1064" s="62"/>
      <c r="V1064" s="37" t="str">
        <f>IFERROR(__xludf.DUMMYFUNCTION("if(not(iserror(index(split(C1064, "" ""),2))), index(split(C1064, "" ""),1),"""")"),"")</f>
        <v/>
      </c>
      <c r="W1064" s="315" t="str">
        <f>IFERROR(__xludf.DUMMYFUNCTION("if(V1064="""",C1064,if(not(iserror(index(split(C1064, "" ""),3))), index(split(C1064, "" ""),3),index(split(C1064, "" ""),2)))"),"")</f>
        <v/>
      </c>
      <c r="X1064" s="38" t="b">
        <f t="shared" si="2"/>
        <v>0</v>
      </c>
      <c r="Y1064" s="38"/>
      <c r="Z1064" s="40"/>
      <c r="AA1064" s="40"/>
      <c r="AB1064" s="38"/>
      <c r="AC1064" s="38"/>
      <c r="AD1064" s="38"/>
      <c r="AE1064" s="38"/>
      <c r="AF1064" s="38"/>
      <c r="AG1064" s="38"/>
      <c r="AH1064" s="38"/>
      <c r="AI1064" s="38"/>
      <c r="AJ1064" s="38"/>
      <c r="AK1064" s="38"/>
      <c r="AL1064" s="38"/>
      <c r="AM1064" s="38"/>
      <c r="AN1064" s="38"/>
      <c r="AO1064" s="38"/>
      <c r="AP1064" s="38"/>
      <c r="AQ1064" s="38"/>
      <c r="AR1064" s="38"/>
      <c r="AS1064" s="38"/>
      <c r="AT1064" s="38"/>
      <c r="AU1064" s="38"/>
      <c r="AV1064" s="38"/>
      <c r="AW1064" s="38"/>
      <c r="AX1064" s="38"/>
      <c r="AY1064" s="38"/>
      <c r="AZ1064" s="38"/>
      <c r="BA1064" s="38"/>
      <c r="BB1064" s="38"/>
      <c r="BC1064" s="38"/>
      <c r="BD1064" s="38"/>
      <c r="BE1064" s="38"/>
      <c r="BF1064" s="38"/>
      <c r="BG1064" s="38"/>
    </row>
    <row r="1065">
      <c r="B1065" s="341"/>
      <c r="C1065" s="60"/>
      <c r="D1065" s="60"/>
      <c r="E1065" s="58"/>
      <c r="F1065" s="58"/>
      <c r="G1065" s="58"/>
      <c r="H1065" s="33" t="str">
        <f t="shared" si="1"/>
        <v/>
      </c>
      <c r="I1065" s="58"/>
      <c r="J1065" s="58"/>
      <c r="K1065" s="58"/>
      <c r="L1065" s="38"/>
      <c r="M1065" s="58"/>
      <c r="N1065" s="58"/>
      <c r="O1065" s="58"/>
      <c r="P1065" s="80"/>
      <c r="Q1065" s="77"/>
      <c r="R1065" s="58"/>
      <c r="S1065" s="58"/>
      <c r="T1065" s="84"/>
      <c r="U1065" s="62"/>
      <c r="V1065" s="37" t="str">
        <f>IFERROR(__xludf.DUMMYFUNCTION("if(not(iserror(index(split(C1065, "" ""),2))), index(split(C1065, "" ""),1),"""")"),"")</f>
        <v/>
      </c>
      <c r="W1065" s="315" t="str">
        <f>IFERROR(__xludf.DUMMYFUNCTION("if(V1065="""",C1065,if(not(iserror(index(split(C1065, "" ""),3))), index(split(C1065, "" ""),3),index(split(C1065, "" ""),2)))"),"")</f>
        <v/>
      </c>
      <c r="X1065" s="38" t="b">
        <f t="shared" si="2"/>
        <v>0</v>
      </c>
      <c r="Y1065" s="38"/>
      <c r="Z1065" s="40"/>
      <c r="AA1065" s="40"/>
      <c r="AB1065" s="38"/>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c r="AW1065" s="38"/>
      <c r="AX1065" s="38"/>
      <c r="AY1065" s="38"/>
      <c r="AZ1065" s="38"/>
      <c r="BA1065" s="38"/>
      <c r="BB1065" s="38"/>
      <c r="BC1065" s="38"/>
      <c r="BD1065" s="38"/>
      <c r="BE1065" s="38"/>
      <c r="BF1065" s="38"/>
      <c r="BG1065" s="38"/>
    </row>
    <row r="1066">
      <c r="B1066" s="341"/>
      <c r="C1066" s="60"/>
      <c r="D1066" s="60"/>
      <c r="E1066" s="58"/>
      <c r="F1066" s="58"/>
      <c r="G1066" s="58"/>
      <c r="H1066" s="33" t="str">
        <f t="shared" si="1"/>
        <v/>
      </c>
      <c r="I1066" s="58"/>
      <c r="J1066" s="58"/>
      <c r="K1066" s="58"/>
      <c r="L1066" s="38"/>
      <c r="M1066" s="58"/>
      <c r="N1066" s="58"/>
      <c r="O1066" s="58"/>
      <c r="P1066" s="80"/>
      <c r="Q1066" s="77"/>
      <c r="R1066" s="58"/>
      <c r="S1066" s="58"/>
      <c r="T1066" s="84"/>
      <c r="U1066" s="62"/>
      <c r="V1066" s="37" t="str">
        <f>IFERROR(__xludf.DUMMYFUNCTION("if(not(iserror(index(split(C1066, "" ""),2))), index(split(C1066, "" ""),1),"""")"),"")</f>
        <v/>
      </c>
      <c r="W1066" s="315" t="str">
        <f>IFERROR(__xludf.DUMMYFUNCTION("if(V1066="""",C1066,if(not(iserror(index(split(C1066, "" ""),3))), index(split(C1066, "" ""),3),index(split(C1066, "" ""),2)))"),"")</f>
        <v/>
      </c>
      <c r="X1066" s="38" t="b">
        <f t="shared" si="2"/>
        <v>0</v>
      </c>
      <c r="Y1066" s="38"/>
      <c r="Z1066" s="40"/>
      <c r="AA1066" s="40"/>
      <c r="AB1066" s="38"/>
      <c r="AC1066" s="38"/>
      <c r="AD1066" s="38"/>
      <c r="AE1066" s="38"/>
      <c r="AF1066" s="38"/>
      <c r="AG1066" s="38"/>
      <c r="AH1066" s="38"/>
      <c r="AI1066" s="38"/>
      <c r="AJ1066" s="38"/>
      <c r="AK1066" s="38"/>
      <c r="AL1066" s="38"/>
      <c r="AM1066" s="38"/>
      <c r="AN1066" s="38"/>
      <c r="AO1066" s="38"/>
      <c r="AP1066" s="38"/>
      <c r="AQ1066" s="38"/>
      <c r="AR1066" s="38"/>
      <c r="AS1066" s="38"/>
      <c r="AT1066" s="38"/>
      <c r="AU1066" s="38"/>
      <c r="AV1066" s="38"/>
      <c r="AW1066" s="38"/>
      <c r="AX1066" s="38"/>
      <c r="AY1066" s="38"/>
      <c r="AZ1066" s="38"/>
      <c r="BA1066" s="38"/>
      <c r="BB1066" s="38"/>
      <c r="BC1066" s="38"/>
      <c r="BD1066" s="38"/>
      <c r="BE1066" s="38"/>
      <c r="BF1066" s="38"/>
      <c r="BG1066" s="38"/>
    </row>
    <row r="1067">
      <c r="A1067" s="58"/>
      <c r="B1067" s="341"/>
      <c r="C1067" s="60"/>
      <c r="D1067" s="60"/>
      <c r="E1067" s="58"/>
      <c r="F1067" s="58"/>
      <c r="G1067" s="58"/>
      <c r="H1067" s="33" t="str">
        <f t="shared" si="1"/>
        <v/>
      </c>
      <c r="I1067" s="58"/>
      <c r="J1067" s="58"/>
      <c r="K1067" s="58"/>
      <c r="L1067" s="38"/>
      <c r="M1067" s="58"/>
      <c r="N1067" s="58"/>
      <c r="O1067" s="58"/>
      <c r="P1067" s="80"/>
      <c r="Q1067" s="77"/>
      <c r="R1067" s="58"/>
      <c r="S1067" s="58"/>
      <c r="T1067" s="84"/>
      <c r="U1067" s="62"/>
      <c r="V1067" s="37" t="str">
        <f>IFERROR(__xludf.DUMMYFUNCTION("if(not(iserror(index(split(C1067, "" ""),2))), index(split(C1067, "" ""),1),"""")"),"")</f>
        <v/>
      </c>
      <c r="W1067" s="315" t="str">
        <f>IFERROR(__xludf.DUMMYFUNCTION("if(V1067="""",C1067,if(not(iserror(index(split(C1067, "" ""),3))), index(split(C1067, "" ""),3),index(split(C1067, "" ""),2)))"),"")</f>
        <v/>
      </c>
      <c r="X1067" s="38" t="b">
        <f t="shared" si="2"/>
        <v>0</v>
      </c>
      <c r="Y1067" s="38"/>
      <c r="Z1067" s="40"/>
      <c r="AA1067" s="40"/>
      <c r="AB1067" s="38"/>
      <c r="AC1067" s="38"/>
      <c r="AD1067" s="38"/>
      <c r="AE1067" s="38"/>
      <c r="AF1067" s="38"/>
      <c r="AG1067" s="38"/>
      <c r="AH1067" s="38"/>
      <c r="AI1067" s="38"/>
      <c r="AJ1067" s="38"/>
      <c r="AK1067" s="38"/>
      <c r="AL1067" s="38"/>
      <c r="AM1067" s="38"/>
      <c r="AN1067" s="38"/>
      <c r="AO1067" s="38"/>
      <c r="AP1067" s="38"/>
      <c r="AQ1067" s="38"/>
      <c r="AR1067" s="38"/>
      <c r="AS1067" s="38"/>
      <c r="AT1067" s="38"/>
      <c r="AU1067" s="38"/>
      <c r="AV1067" s="38"/>
      <c r="AW1067" s="38"/>
      <c r="AX1067" s="38"/>
      <c r="AY1067" s="38"/>
      <c r="AZ1067" s="38"/>
      <c r="BA1067" s="38"/>
      <c r="BB1067" s="38"/>
      <c r="BC1067" s="38"/>
      <c r="BD1067" s="38"/>
      <c r="BE1067" s="38"/>
      <c r="BF1067" s="38"/>
      <c r="BG1067" s="38"/>
    </row>
    <row r="1068">
      <c r="A1068" s="58"/>
      <c r="B1068" s="341"/>
      <c r="C1068" s="60"/>
      <c r="D1068" s="60"/>
      <c r="E1068" s="58"/>
      <c r="F1068" s="58"/>
      <c r="G1068" s="58"/>
      <c r="H1068" s="33" t="str">
        <f t="shared" si="1"/>
        <v/>
      </c>
      <c r="I1068" s="58"/>
      <c r="J1068" s="58"/>
      <c r="K1068" s="58"/>
      <c r="L1068" s="38"/>
      <c r="M1068" s="58"/>
      <c r="N1068" s="58"/>
      <c r="O1068" s="58"/>
      <c r="P1068" s="80"/>
      <c r="Q1068" s="77"/>
      <c r="R1068" s="62"/>
      <c r="S1068" s="62"/>
      <c r="T1068" s="62"/>
      <c r="U1068" s="62"/>
      <c r="V1068" s="37" t="str">
        <f>IFERROR(__xludf.DUMMYFUNCTION("if(not(iserror(index(split(C1068, "" ""),2))), index(split(C1068, "" ""),1),"""")"),"")</f>
        <v/>
      </c>
      <c r="W1068" s="315" t="str">
        <f>IFERROR(__xludf.DUMMYFUNCTION("if(V1068="""",C1068,if(not(iserror(index(split(C1068, "" ""),3))), index(split(C1068, "" ""),3),index(split(C1068, "" ""),2)))"),"")</f>
        <v/>
      </c>
      <c r="X1068" s="38" t="b">
        <f t="shared" si="2"/>
        <v>0</v>
      </c>
      <c r="Y1068" s="38"/>
      <c r="Z1068" s="40"/>
      <c r="AA1068" s="40"/>
      <c r="AB1068" s="38"/>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row>
    <row r="1069">
      <c r="A1069" s="58"/>
      <c r="B1069" s="341"/>
      <c r="C1069" s="60"/>
      <c r="D1069" s="60"/>
      <c r="E1069" s="58"/>
      <c r="F1069" s="58"/>
      <c r="G1069" s="58"/>
      <c r="H1069" s="33" t="str">
        <f t="shared" si="1"/>
        <v/>
      </c>
      <c r="I1069" s="58"/>
      <c r="J1069" s="58"/>
      <c r="K1069" s="58"/>
      <c r="L1069" s="38"/>
      <c r="M1069" s="58"/>
      <c r="N1069" s="58"/>
      <c r="O1069" s="58"/>
      <c r="P1069" s="80"/>
      <c r="Q1069" s="77"/>
      <c r="R1069" s="62"/>
      <c r="S1069" s="58"/>
      <c r="T1069" s="84"/>
      <c r="U1069" s="62"/>
      <c r="V1069" s="37" t="str">
        <f>IFERROR(__xludf.DUMMYFUNCTION("if(not(iserror(index(split(C1069, "" ""),2))), index(split(C1069, "" ""),1),"""")"),"")</f>
        <v/>
      </c>
      <c r="W1069" s="315" t="str">
        <f>IFERROR(__xludf.DUMMYFUNCTION("if(V1069="""",C1069,if(not(iserror(index(split(C1069, "" ""),3))), index(split(C1069, "" ""),3),index(split(C1069, "" ""),2)))"),"")</f>
        <v/>
      </c>
      <c r="X1069" s="38" t="b">
        <f t="shared" si="2"/>
        <v>0</v>
      </c>
      <c r="Y1069" s="38"/>
      <c r="Z1069" s="40"/>
      <c r="AA1069" s="40"/>
      <c r="AB1069" s="38"/>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c r="AW1069" s="38"/>
      <c r="AX1069" s="38"/>
      <c r="AY1069" s="38"/>
      <c r="AZ1069" s="38"/>
      <c r="BA1069" s="38"/>
      <c r="BB1069" s="38"/>
      <c r="BC1069" s="38"/>
      <c r="BD1069" s="38"/>
      <c r="BE1069" s="38"/>
      <c r="BF1069" s="38"/>
      <c r="BG1069" s="38"/>
    </row>
    <row r="1070">
      <c r="A1070" s="58"/>
      <c r="B1070" s="341"/>
      <c r="C1070" s="60"/>
      <c r="D1070" s="60"/>
      <c r="E1070" s="58"/>
      <c r="F1070" s="58"/>
      <c r="G1070" s="58"/>
      <c r="H1070" s="33" t="str">
        <f t="shared" si="1"/>
        <v/>
      </c>
      <c r="I1070" s="58"/>
      <c r="J1070" s="58"/>
      <c r="K1070" s="58"/>
      <c r="L1070" s="38"/>
      <c r="M1070" s="58"/>
      <c r="N1070" s="58"/>
      <c r="O1070" s="58"/>
      <c r="P1070" s="80"/>
      <c r="Q1070" s="77"/>
      <c r="R1070" s="62"/>
      <c r="S1070" s="58"/>
      <c r="T1070" s="84"/>
      <c r="U1070" s="62"/>
      <c r="V1070" s="37" t="str">
        <f>IFERROR(__xludf.DUMMYFUNCTION("if(not(iserror(index(split(C1070, "" ""),2))), index(split(C1070, "" ""),1),"""")"),"")</f>
        <v/>
      </c>
      <c r="W1070" s="315" t="str">
        <f>IFERROR(__xludf.DUMMYFUNCTION("if(V1070="""",C1070,if(not(iserror(index(split(C1070, "" ""),3))), index(split(C1070, "" ""),3),index(split(C1070, "" ""),2)))"),"")</f>
        <v/>
      </c>
      <c r="X1070" s="38" t="b">
        <f t="shared" si="2"/>
        <v>0</v>
      </c>
      <c r="Y1070" s="38"/>
      <c r="Z1070" s="40"/>
      <c r="AA1070" s="40"/>
      <c r="AB1070" s="38"/>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row>
    <row r="1071">
      <c r="A1071" s="58"/>
      <c r="B1071" s="341"/>
      <c r="C1071" s="60"/>
      <c r="D1071" s="60"/>
      <c r="E1071" s="58"/>
      <c r="F1071" s="58"/>
      <c r="G1071" s="58"/>
      <c r="H1071" s="33" t="str">
        <f t="shared" si="1"/>
        <v/>
      </c>
      <c r="I1071" s="58"/>
      <c r="J1071" s="58"/>
      <c r="K1071" s="58"/>
      <c r="L1071" s="38"/>
      <c r="M1071" s="58"/>
      <c r="N1071" s="58"/>
      <c r="O1071" s="58"/>
      <c r="P1071" s="80"/>
      <c r="Q1071" s="77"/>
      <c r="R1071" s="62"/>
      <c r="S1071" s="62"/>
      <c r="T1071" s="62"/>
      <c r="U1071" s="62"/>
      <c r="V1071" s="37" t="str">
        <f>IFERROR(__xludf.DUMMYFUNCTION("if(not(iserror(index(split(C1071, "" ""),2))), index(split(C1071, "" ""),1),"""")"),"")</f>
        <v/>
      </c>
      <c r="W1071" s="315" t="str">
        <f>IFERROR(__xludf.DUMMYFUNCTION("if(V1071="""",C1071,if(not(iserror(index(split(C1071, "" ""),3))), index(split(C1071, "" ""),3),index(split(C1071, "" ""),2)))"),"")</f>
        <v/>
      </c>
      <c r="X1071" s="38" t="b">
        <f t="shared" si="2"/>
        <v>0</v>
      </c>
      <c r="Y1071" s="38"/>
      <c r="Z1071" s="40"/>
      <c r="AA1071" s="40"/>
      <c r="AB1071" s="38"/>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row>
    <row r="1072">
      <c r="A1072" s="58"/>
      <c r="B1072" s="341"/>
      <c r="C1072" s="60"/>
      <c r="D1072" s="60"/>
      <c r="E1072" s="58"/>
      <c r="F1072" s="58"/>
      <c r="G1072" s="58"/>
      <c r="H1072" s="33" t="str">
        <f t="shared" si="1"/>
        <v/>
      </c>
      <c r="I1072" s="58"/>
      <c r="J1072" s="58"/>
      <c r="K1072" s="58"/>
      <c r="L1072" s="38"/>
      <c r="M1072" s="58"/>
      <c r="N1072" s="58"/>
      <c r="O1072" s="58"/>
      <c r="P1072" s="80"/>
      <c r="Q1072" s="77"/>
      <c r="R1072" s="62"/>
      <c r="S1072" s="62"/>
      <c r="T1072" s="62"/>
      <c r="U1072" s="62"/>
      <c r="V1072" s="37" t="str">
        <f>IFERROR(__xludf.DUMMYFUNCTION("if(not(iserror(index(split(C1072, "" ""),2))), index(split(C1072, "" ""),1),"""")"),"")</f>
        <v/>
      </c>
      <c r="W1072" s="315" t="str">
        <f>IFERROR(__xludf.DUMMYFUNCTION("if(V1072="""",C1072,if(not(iserror(index(split(C1072, "" ""),3))), index(split(C1072, "" ""),3),index(split(C1072, "" ""),2)))"),"")</f>
        <v/>
      </c>
      <c r="X1072" s="38" t="b">
        <f t="shared" si="2"/>
        <v>0</v>
      </c>
      <c r="Y1072" s="38"/>
      <c r="Z1072" s="40"/>
      <c r="AA1072" s="40"/>
      <c r="AB1072" s="38"/>
      <c r="AC1072" s="38"/>
      <c r="AD1072" s="38"/>
      <c r="AE1072" s="38"/>
      <c r="AF1072" s="38"/>
      <c r="AG1072" s="38"/>
      <c r="AH1072" s="38"/>
      <c r="AI1072" s="38"/>
      <c r="AJ1072" s="38"/>
      <c r="AK1072" s="38"/>
      <c r="AL1072" s="38"/>
      <c r="AM1072" s="38"/>
      <c r="AN1072" s="38"/>
      <c r="AO1072" s="38"/>
      <c r="AP1072" s="38"/>
      <c r="AQ1072" s="38"/>
      <c r="AR1072" s="38"/>
      <c r="AS1072" s="38"/>
      <c r="AT1072" s="38"/>
      <c r="AU1072" s="38"/>
      <c r="AV1072" s="38"/>
      <c r="AW1072" s="38"/>
      <c r="AX1072" s="38"/>
      <c r="AY1072" s="38"/>
      <c r="AZ1072" s="38"/>
      <c r="BA1072" s="38"/>
      <c r="BB1072" s="38"/>
      <c r="BC1072" s="38"/>
      <c r="BD1072" s="38"/>
      <c r="BE1072" s="38"/>
      <c r="BF1072" s="38"/>
      <c r="BG1072" s="38"/>
    </row>
    <row r="1073">
      <c r="A1073" s="58"/>
      <c r="B1073" s="341"/>
      <c r="C1073" s="60"/>
      <c r="D1073" s="60"/>
      <c r="E1073" s="58"/>
      <c r="F1073" s="58"/>
      <c r="G1073" s="58"/>
      <c r="H1073" s="33" t="str">
        <f t="shared" si="1"/>
        <v/>
      </c>
      <c r="I1073" s="58"/>
      <c r="J1073" s="58"/>
      <c r="K1073" s="58"/>
      <c r="L1073" s="38"/>
      <c r="M1073" s="58"/>
      <c r="N1073" s="58"/>
      <c r="O1073" s="58"/>
      <c r="P1073" s="80"/>
      <c r="Q1073" s="77"/>
      <c r="R1073" s="62"/>
      <c r="S1073" s="62"/>
      <c r="T1073" s="58"/>
      <c r="U1073" s="62"/>
      <c r="V1073" s="37" t="str">
        <f>IFERROR(__xludf.DUMMYFUNCTION("if(not(iserror(index(split(C1073, "" ""),2))), index(split(C1073, "" ""),1),"""")"),"")</f>
        <v/>
      </c>
      <c r="W1073" s="315" t="str">
        <f>IFERROR(__xludf.DUMMYFUNCTION("if(V1073="""",C1073,if(not(iserror(index(split(C1073, "" ""),3))), index(split(C1073, "" ""),3),index(split(C1073, "" ""),2)))"),"")</f>
        <v/>
      </c>
      <c r="X1073" s="38" t="b">
        <f t="shared" si="2"/>
        <v>0</v>
      </c>
      <c r="Y1073" s="38"/>
      <c r="Z1073" s="40"/>
      <c r="AA1073" s="40"/>
      <c r="AB1073" s="38"/>
      <c r="AC1073" s="38"/>
      <c r="AD1073" s="38"/>
      <c r="AE1073" s="38"/>
      <c r="AF1073" s="38"/>
      <c r="AG1073" s="38"/>
      <c r="AH1073" s="38"/>
      <c r="AI1073" s="38"/>
      <c r="AJ1073" s="38"/>
      <c r="AK1073" s="38"/>
      <c r="AL1073" s="38"/>
      <c r="AM1073" s="38"/>
      <c r="AN1073" s="38"/>
      <c r="AO1073" s="38"/>
      <c r="AP1073" s="38"/>
      <c r="AQ1073" s="38"/>
      <c r="AR1073" s="38"/>
      <c r="AS1073" s="38"/>
      <c r="AT1073" s="38"/>
      <c r="AU1073" s="38"/>
      <c r="AV1073" s="38"/>
      <c r="AW1073" s="38"/>
      <c r="AX1073" s="38"/>
      <c r="AY1073" s="38"/>
      <c r="AZ1073" s="38"/>
      <c r="BA1073" s="38"/>
      <c r="BB1073" s="38"/>
      <c r="BC1073" s="38"/>
      <c r="BD1073" s="38"/>
      <c r="BE1073" s="38"/>
      <c r="BF1073" s="38"/>
      <c r="BG1073" s="38"/>
    </row>
    <row r="1074">
      <c r="A1074" s="58"/>
      <c r="B1074" s="341"/>
      <c r="C1074" s="60"/>
      <c r="D1074" s="60"/>
      <c r="E1074" s="58"/>
      <c r="F1074" s="58"/>
      <c r="G1074" s="58"/>
      <c r="H1074" s="33" t="str">
        <f t="shared" si="1"/>
        <v/>
      </c>
      <c r="I1074" s="58"/>
      <c r="J1074" s="58"/>
      <c r="K1074" s="58"/>
      <c r="L1074" s="38"/>
      <c r="M1074" s="58"/>
      <c r="N1074" s="58"/>
      <c r="O1074" s="58"/>
      <c r="P1074" s="80"/>
      <c r="Q1074" s="77"/>
      <c r="R1074" s="62"/>
      <c r="S1074" s="62"/>
      <c r="T1074" s="58"/>
      <c r="U1074" s="62"/>
      <c r="V1074" s="37" t="str">
        <f>IFERROR(__xludf.DUMMYFUNCTION("if(not(iserror(index(split(C1074, "" ""),2))), index(split(C1074, "" ""),1),"""")"),"")</f>
        <v/>
      </c>
      <c r="W1074" s="315" t="str">
        <f>IFERROR(__xludf.DUMMYFUNCTION("if(V1074="""",C1074,if(not(iserror(index(split(C1074, "" ""),3))), index(split(C1074, "" ""),3),index(split(C1074, "" ""),2)))"),"")</f>
        <v/>
      </c>
      <c r="X1074" s="38" t="b">
        <f t="shared" si="2"/>
        <v>0</v>
      </c>
      <c r="Y1074" s="38"/>
      <c r="Z1074" s="40"/>
      <c r="AA1074" s="40"/>
      <c r="AB1074" s="38"/>
      <c r="AC1074" s="38"/>
      <c r="AD1074" s="38"/>
      <c r="AE1074" s="38"/>
      <c r="AF1074" s="38"/>
      <c r="AG1074" s="38"/>
      <c r="AH1074" s="38"/>
      <c r="AI1074" s="38"/>
      <c r="AJ1074" s="38"/>
      <c r="AK1074" s="38"/>
      <c r="AL1074" s="38"/>
      <c r="AM1074" s="38"/>
      <c r="AN1074" s="38"/>
      <c r="AO1074" s="38"/>
      <c r="AP1074" s="38"/>
      <c r="AQ1074" s="38"/>
      <c r="AR1074" s="38"/>
      <c r="AS1074" s="38"/>
      <c r="AT1074" s="38"/>
      <c r="AU1074" s="38"/>
      <c r="AV1074" s="38"/>
      <c r="AW1074" s="38"/>
      <c r="AX1074" s="38"/>
      <c r="AY1074" s="38"/>
      <c r="AZ1074" s="38"/>
      <c r="BA1074" s="38"/>
      <c r="BB1074" s="38"/>
      <c r="BC1074" s="38"/>
      <c r="BD1074" s="38"/>
      <c r="BE1074" s="38"/>
      <c r="BF1074" s="38"/>
      <c r="BG1074" s="38"/>
    </row>
    <row r="1075">
      <c r="A1075" s="124"/>
      <c r="B1075" s="388"/>
      <c r="C1075" s="127"/>
      <c r="D1075" s="127"/>
      <c r="E1075" s="128"/>
      <c r="F1075" s="129"/>
      <c r="G1075" s="128"/>
      <c r="H1075" s="33" t="str">
        <f t="shared" si="1"/>
        <v/>
      </c>
      <c r="I1075" s="128"/>
      <c r="J1075" s="128"/>
      <c r="K1075" s="129"/>
      <c r="L1075" s="38"/>
      <c r="M1075" s="128"/>
      <c r="N1075" s="128"/>
      <c r="O1075" s="128"/>
      <c r="P1075" s="131"/>
      <c r="Q1075" s="133"/>
      <c r="R1075" s="133"/>
      <c r="S1075" s="133"/>
      <c r="T1075" s="198"/>
      <c r="U1075" s="133"/>
      <c r="V1075" s="37" t="str">
        <f>IFERROR(__xludf.DUMMYFUNCTION("if(not(iserror(index(split(C1075, "" ""),2))), index(split(C1075, "" ""),1),"""")"),"")</f>
        <v/>
      </c>
      <c r="W1075" s="315" t="str">
        <f>IFERROR(__xludf.DUMMYFUNCTION("if(V1075="""",C1075,if(not(iserror(index(split(C1075, "" ""),3))), index(split(C1075, "" ""),3),index(split(C1075, "" ""),2)))"),"")</f>
        <v/>
      </c>
      <c r="X1075" s="38" t="b">
        <f t="shared" si="2"/>
        <v>0</v>
      </c>
      <c r="Y1075" s="38"/>
      <c r="Z1075" s="40"/>
      <c r="AA1075" s="40"/>
      <c r="AB1075" s="38"/>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c r="AW1075" s="38"/>
      <c r="AX1075" s="38"/>
      <c r="AY1075" s="38"/>
      <c r="AZ1075" s="38"/>
      <c r="BA1075" s="38"/>
      <c r="BB1075" s="38"/>
      <c r="BC1075" s="38"/>
      <c r="BD1075" s="38"/>
      <c r="BE1075" s="38"/>
      <c r="BF1075" s="38"/>
      <c r="BG1075" s="38"/>
    </row>
    <row r="1076">
      <c r="A1076" s="124"/>
      <c r="B1076" s="388"/>
      <c r="C1076" s="127"/>
      <c r="D1076" s="127"/>
      <c r="E1076" s="128"/>
      <c r="F1076" s="129"/>
      <c r="G1076" s="128"/>
      <c r="H1076" s="33" t="str">
        <f t="shared" si="1"/>
        <v/>
      </c>
      <c r="I1076" s="128"/>
      <c r="J1076" s="128"/>
      <c r="K1076" s="129"/>
      <c r="L1076" s="38"/>
      <c r="M1076" s="128"/>
      <c r="N1076" s="128"/>
      <c r="O1076" s="128"/>
      <c r="P1076" s="131"/>
      <c r="Q1076" s="133"/>
      <c r="R1076" s="133"/>
      <c r="S1076" s="133"/>
      <c r="T1076" s="198"/>
      <c r="U1076" s="133"/>
      <c r="V1076" s="37" t="str">
        <f>IFERROR(__xludf.DUMMYFUNCTION("if(not(iserror(index(split(C1076, "" ""),2))), index(split(C1076, "" ""),1),"""")"),"")</f>
        <v/>
      </c>
      <c r="W1076" s="315" t="str">
        <f>IFERROR(__xludf.DUMMYFUNCTION("if(V1076="""",C1076,if(not(iserror(index(split(C1076, "" ""),3))), index(split(C1076, "" ""),3),index(split(C1076, "" ""),2)))"),"")</f>
        <v/>
      </c>
      <c r="X1076" s="38" t="b">
        <f t="shared" si="2"/>
        <v>0</v>
      </c>
      <c r="Y1076" s="38"/>
      <c r="Z1076" s="40"/>
      <c r="AA1076" s="40"/>
      <c r="AB1076" s="38"/>
      <c r="AC1076" s="38"/>
      <c r="AD1076" s="38"/>
      <c r="AE1076" s="38"/>
      <c r="AF1076" s="38"/>
      <c r="AG1076" s="38"/>
      <c r="AH1076" s="38"/>
      <c r="AI1076" s="38"/>
      <c r="AJ1076" s="38"/>
      <c r="AK1076" s="38"/>
      <c r="AL1076" s="38"/>
      <c r="AM1076" s="38"/>
      <c r="AN1076" s="38"/>
      <c r="AO1076" s="38"/>
      <c r="AP1076" s="38"/>
      <c r="AQ1076" s="38"/>
      <c r="AR1076" s="38"/>
      <c r="AS1076" s="38"/>
      <c r="AT1076" s="38"/>
      <c r="AU1076" s="38"/>
      <c r="AV1076" s="38"/>
      <c r="AW1076" s="38"/>
      <c r="AX1076" s="38"/>
      <c r="AY1076" s="38"/>
      <c r="AZ1076" s="38"/>
      <c r="BA1076" s="38"/>
      <c r="BB1076" s="38"/>
      <c r="BC1076" s="38"/>
      <c r="BD1076" s="38"/>
      <c r="BE1076" s="38"/>
      <c r="BF1076" s="38"/>
      <c r="BG1076" s="38"/>
    </row>
    <row r="1077">
      <c r="A1077" s="124"/>
      <c r="B1077" s="388"/>
      <c r="C1077" s="127"/>
      <c r="D1077" s="127"/>
      <c r="E1077" s="128"/>
      <c r="F1077" s="129"/>
      <c r="G1077" s="128"/>
      <c r="H1077" s="33" t="str">
        <f t="shared" si="1"/>
        <v/>
      </c>
      <c r="I1077" s="128"/>
      <c r="J1077" s="128"/>
      <c r="K1077" s="129"/>
      <c r="L1077" s="38"/>
      <c r="M1077" s="128"/>
      <c r="N1077" s="128"/>
      <c r="O1077" s="128"/>
      <c r="P1077" s="131"/>
      <c r="Q1077" s="133"/>
      <c r="R1077" s="133"/>
      <c r="S1077" s="133"/>
      <c r="T1077" s="198"/>
      <c r="U1077" s="133"/>
      <c r="V1077" s="37" t="str">
        <f>IFERROR(__xludf.DUMMYFUNCTION("if(not(iserror(index(split(C1077, "" ""),2))), index(split(C1077, "" ""),1),"""")"),"")</f>
        <v/>
      </c>
      <c r="W1077" s="315" t="str">
        <f>IFERROR(__xludf.DUMMYFUNCTION("if(V1077="""",C1077,if(not(iserror(index(split(C1077, "" ""),3))), index(split(C1077, "" ""),3),index(split(C1077, "" ""),2)))"),"")</f>
        <v/>
      </c>
      <c r="X1077" s="38" t="b">
        <f t="shared" si="2"/>
        <v>0</v>
      </c>
      <c r="Y1077" s="38"/>
      <c r="Z1077" s="40"/>
      <c r="AA1077" s="40"/>
      <c r="AB1077" s="38"/>
      <c r="AC1077" s="38"/>
      <c r="AD1077" s="38"/>
      <c r="AE1077" s="38"/>
      <c r="AF1077" s="38"/>
      <c r="AG1077" s="38"/>
      <c r="AH1077" s="38"/>
      <c r="AI1077" s="38"/>
      <c r="AJ1077" s="38"/>
      <c r="AK1077" s="38"/>
      <c r="AL1077" s="38"/>
      <c r="AM1077" s="38"/>
      <c r="AN1077" s="38"/>
      <c r="AO1077" s="38"/>
      <c r="AP1077" s="38"/>
      <c r="AQ1077" s="38"/>
      <c r="AR1077" s="38"/>
      <c r="AS1077" s="38"/>
      <c r="AT1077" s="38"/>
      <c r="AU1077" s="38"/>
      <c r="AV1077" s="38"/>
      <c r="AW1077" s="38"/>
      <c r="AX1077" s="38"/>
      <c r="AY1077" s="38"/>
      <c r="AZ1077" s="38"/>
      <c r="BA1077" s="38"/>
      <c r="BB1077" s="38"/>
      <c r="BC1077" s="38"/>
      <c r="BD1077" s="38"/>
      <c r="BE1077" s="38"/>
      <c r="BF1077" s="38"/>
      <c r="BG1077" s="38"/>
    </row>
    <row r="1078">
      <c r="A1078" s="124"/>
      <c r="B1078" s="388"/>
      <c r="C1078" s="127"/>
      <c r="D1078" s="127"/>
      <c r="E1078" s="128"/>
      <c r="F1078" s="129"/>
      <c r="G1078" s="128"/>
      <c r="H1078" s="33" t="str">
        <f t="shared" si="1"/>
        <v/>
      </c>
      <c r="I1078" s="128"/>
      <c r="J1078" s="128"/>
      <c r="K1078" s="129"/>
      <c r="L1078" s="38"/>
      <c r="M1078" s="128"/>
      <c r="N1078" s="128"/>
      <c r="O1078" s="128"/>
      <c r="P1078" s="131"/>
      <c r="Q1078" s="133"/>
      <c r="R1078" s="133"/>
      <c r="S1078" s="133"/>
      <c r="T1078" s="198"/>
      <c r="U1078" s="133"/>
      <c r="V1078" s="37" t="str">
        <f>IFERROR(__xludf.DUMMYFUNCTION("if(not(iserror(index(split(C1078, "" ""),2))), index(split(C1078, "" ""),1),"""")"),"")</f>
        <v/>
      </c>
      <c r="W1078" s="315" t="str">
        <f>IFERROR(__xludf.DUMMYFUNCTION("if(V1078="""",C1078,if(not(iserror(index(split(C1078, "" ""),3))), index(split(C1078, "" ""),3),index(split(C1078, "" ""),2)))"),"")</f>
        <v/>
      </c>
      <c r="X1078" s="38" t="b">
        <f t="shared" si="2"/>
        <v>0</v>
      </c>
      <c r="Y1078" s="38"/>
      <c r="Z1078" s="40"/>
      <c r="AA1078" s="40"/>
      <c r="AB1078" s="38"/>
      <c r="AC1078" s="38"/>
      <c r="AD1078" s="38"/>
      <c r="AE1078" s="38"/>
      <c r="AF1078" s="38"/>
      <c r="AG1078" s="38"/>
      <c r="AH1078" s="38"/>
      <c r="AI1078" s="38"/>
      <c r="AJ1078" s="38"/>
      <c r="AK1078" s="38"/>
      <c r="AL1078" s="38"/>
      <c r="AM1078" s="38"/>
      <c r="AN1078" s="38"/>
      <c r="AO1078" s="38"/>
      <c r="AP1078" s="38"/>
      <c r="AQ1078" s="38"/>
      <c r="AR1078" s="38"/>
      <c r="AS1078" s="38"/>
      <c r="AT1078" s="38"/>
      <c r="AU1078" s="38"/>
      <c r="AV1078" s="38"/>
      <c r="AW1078" s="38"/>
      <c r="AX1078" s="38"/>
      <c r="AY1078" s="38"/>
      <c r="AZ1078" s="38"/>
      <c r="BA1078" s="38"/>
      <c r="BB1078" s="38"/>
      <c r="BC1078" s="38"/>
      <c r="BD1078" s="38"/>
      <c r="BE1078" s="38"/>
      <c r="BF1078" s="38"/>
      <c r="BG1078" s="38"/>
    </row>
    <row r="1079">
      <c r="A1079" s="58"/>
      <c r="B1079" s="341"/>
      <c r="C1079" s="60"/>
      <c r="D1079" s="60"/>
      <c r="E1079" s="58"/>
      <c r="F1079" s="58"/>
      <c r="G1079" s="58"/>
      <c r="H1079" s="33" t="str">
        <f t="shared" si="1"/>
        <v/>
      </c>
      <c r="I1079" s="58"/>
      <c r="J1079" s="58"/>
      <c r="K1079" s="58"/>
      <c r="L1079" s="38"/>
      <c r="M1079" s="58"/>
      <c r="N1079" s="58"/>
      <c r="O1079" s="58"/>
      <c r="P1079" s="80"/>
      <c r="Q1079" s="77"/>
      <c r="R1079" s="62"/>
      <c r="S1079" s="62"/>
      <c r="T1079" s="62"/>
      <c r="U1079" s="62"/>
      <c r="V1079" s="37" t="str">
        <f>IFERROR(__xludf.DUMMYFUNCTION("if(not(iserror(index(split(C1079, "" ""),2))), index(split(C1079, "" ""),1),"""")"),"")</f>
        <v/>
      </c>
      <c r="W1079" s="315" t="str">
        <f>IFERROR(__xludf.DUMMYFUNCTION("if(V1079="""",C1079,if(not(iserror(index(split(C1079, "" ""),3))), index(split(C1079, "" ""),3),index(split(C1079, "" ""),2)))"),"")</f>
        <v/>
      </c>
      <c r="X1079" s="38" t="b">
        <f t="shared" si="2"/>
        <v>0</v>
      </c>
      <c r="Y1079" s="38"/>
      <c r="Z1079" s="40"/>
      <c r="AA1079" s="40"/>
      <c r="AB1079" s="38"/>
      <c r="AC1079" s="38"/>
      <c r="AD1079" s="38"/>
      <c r="AE1079" s="38"/>
      <c r="AF1079" s="38"/>
      <c r="AG1079" s="38"/>
      <c r="AH1079" s="38"/>
      <c r="AI1079" s="38"/>
      <c r="AJ1079" s="38"/>
      <c r="AK1079" s="38"/>
      <c r="AL1079" s="38"/>
      <c r="AM1079" s="38"/>
      <c r="AN1079" s="38"/>
      <c r="AO1079" s="38"/>
      <c r="AP1079" s="38"/>
      <c r="AQ1079" s="38"/>
      <c r="AR1079" s="38"/>
      <c r="AS1079" s="38"/>
      <c r="AT1079" s="38"/>
      <c r="AU1079" s="38"/>
      <c r="AV1079" s="38"/>
      <c r="AW1079" s="38"/>
      <c r="AX1079" s="38"/>
      <c r="AY1079" s="38"/>
      <c r="AZ1079" s="38"/>
      <c r="BA1079" s="38"/>
      <c r="BB1079" s="38"/>
      <c r="BC1079" s="38"/>
      <c r="BD1079" s="38"/>
      <c r="BE1079" s="38"/>
      <c r="BF1079" s="38"/>
      <c r="BG1079" s="38"/>
    </row>
    <row r="1080">
      <c r="A1080" s="58"/>
      <c r="B1080" s="341"/>
      <c r="C1080" s="60"/>
      <c r="D1080" s="60"/>
      <c r="E1080" s="58"/>
      <c r="F1080" s="58"/>
      <c r="G1080" s="58"/>
      <c r="H1080" s="33" t="str">
        <f t="shared" si="1"/>
        <v/>
      </c>
      <c r="I1080" s="58"/>
      <c r="J1080" s="58"/>
      <c r="K1080" s="58"/>
      <c r="L1080" s="38"/>
      <c r="M1080" s="58"/>
      <c r="N1080" s="58"/>
      <c r="O1080" s="58"/>
      <c r="P1080" s="80"/>
      <c r="Q1080" s="77"/>
      <c r="R1080" s="62"/>
      <c r="S1080" s="62"/>
      <c r="T1080" s="62"/>
      <c r="U1080" s="62"/>
      <c r="V1080" s="37" t="str">
        <f>IFERROR(__xludf.DUMMYFUNCTION("if(not(iserror(index(split(C1080, "" ""),2))), index(split(C1080, "" ""),1),"""")"),"")</f>
        <v/>
      </c>
      <c r="W1080" s="315" t="str">
        <f>IFERROR(__xludf.DUMMYFUNCTION("if(V1080="""",C1080,if(not(iserror(index(split(C1080, "" ""),3))), index(split(C1080, "" ""),3),index(split(C1080, "" ""),2)))"),"")</f>
        <v/>
      </c>
      <c r="X1080" s="38" t="b">
        <f t="shared" si="2"/>
        <v>0</v>
      </c>
      <c r="Y1080" s="38"/>
      <c r="Z1080" s="40"/>
      <c r="AA1080" s="40"/>
      <c r="AB1080" s="38"/>
      <c r="AC1080" s="38"/>
      <c r="AD1080" s="38"/>
      <c r="AE1080" s="38"/>
      <c r="AF1080" s="38"/>
      <c r="AG1080" s="38"/>
      <c r="AH1080" s="38"/>
      <c r="AI1080" s="38"/>
      <c r="AJ1080" s="38"/>
      <c r="AK1080" s="38"/>
      <c r="AL1080" s="38"/>
      <c r="AM1080" s="38"/>
      <c r="AN1080" s="38"/>
      <c r="AO1080" s="38"/>
      <c r="AP1080" s="38"/>
      <c r="AQ1080" s="38"/>
      <c r="AR1080" s="38"/>
      <c r="AS1080" s="38"/>
      <c r="AT1080" s="38"/>
      <c r="AU1080" s="38"/>
      <c r="AV1080" s="38"/>
      <c r="AW1080" s="38"/>
      <c r="AX1080" s="38"/>
      <c r="AY1080" s="38"/>
      <c r="AZ1080" s="38"/>
      <c r="BA1080" s="38"/>
      <c r="BB1080" s="38"/>
      <c r="BC1080" s="38"/>
      <c r="BD1080" s="38"/>
      <c r="BE1080" s="38"/>
      <c r="BF1080" s="38"/>
      <c r="BG1080" s="38"/>
    </row>
    <row r="1081">
      <c r="A1081" s="58"/>
      <c r="B1081" s="341"/>
      <c r="C1081" s="60"/>
      <c r="D1081" s="60"/>
      <c r="E1081" s="58"/>
      <c r="F1081" s="58"/>
      <c r="G1081" s="58"/>
      <c r="H1081" s="33" t="str">
        <f t="shared" si="1"/>
        <v/>
      </c>
      <c r="I1081" s="58"/>
      <c r="J1081" s="58"/>
      <c r="K1081" s="58"/>
      <c r="L1081" s="38"/>
      <c r="M1081" s="58"/>
      <c r="N1081" s="58"/>
      <c r="O1081" s="58"/>
      <c r="P1081" s="80"/>
      <c r="Q1081" s="77"/>
      <c r="R1081" s="62"/>
      <c r="S1081" s="62"/>
      <c r="T1081" s="62"/>
      <c r="U1081" s="62"/>
      <c r="V1081" s="37" t="str">
        <f>IFERROR(__xludf.DUMMYFUNCTION("if(not(iserror(index(split(C1081, "" ""),2))), index(split(C1081, "" ""),1),"""")"),"")</f>
        <v/>
      </c>
      <c r="W1081" s="315" t="str">
        <f>IFERROR(__xludf.DUMMYFUNCTION("if(V1081="""",C1081,if(not(iserror(index(split(C1081, "" ""),3))), index(split(C1081, "" ""),3),index(split(C1081, "" ""),2)))"),"")</f>
        <v/>
      </c>
      <c r="X1081" s="38" t="b">
        <f t="shared" si="2"/>
        <v>0</v>
      </c>
      <c r="Y1081" s="38"/>
      <c r="Z1081" s="40"/>
      <c r="AA1081" s="40"/>
      <c r="AB1081" s="38"/>
      <c r="AC1081" s="38"/>
      <c r="AD1081" s="38"/>
      <c r="AE1081" s="38"/>
      <c r="AF1081" s="38"/>
      <c r="AG1081" s="38"/>
      <c r="AH1081" s="38"/>
      <c r="AI1081" s="38"/>
      <c r="AJ1081" s="38"/>
      <c r="AK1081" s="38"/>
      <c r="AL1081" s="38"/>
      <c r="AM1081" s="38"/>
      <c r="AN1081" s="38"/>
      <c r="AO1081" s="38"/>
      <c r="AP1081" s="38"/>
      <c r="AQ1081" s="38"/>
      <c r="AR1081" s="38"/>
      <c r="AS1081" s="38"/>
      <c r="AT1081" s="38"/>
      <c r="AU1081" s="38"/>
      <c r="AV1081" s="38"/>
      <c r="AW1081" s="38"/>
      <c r="AX1081" s="38"/>
      <c r="AY1081" s="38"/>
      <c r="AZ1081" s="38"/>
      <c r="BA1081" s="38"/>
      <c r="BB1081" s="38"/>
      <c r="BC1081" s="38"/>
      <c r="BD1081" s="38"/>
      <c r="BE1081" s="38"/>
      <c r="BF1081" s="38"/>
      <c r="BG1081" s="38"/>
    </row>
    <row r="1082">
      <c r="B1082" s="341"/>
      <c r="C1082" s="60"/>
      <c r="D1082" s="60"/>
      <c r="E1082" s="58"/>
      <c r="F1082" s="58"/>
      <c r="G1082" s="58"/>
      <c r="H1082" s="33" t="str">
        <f t="shared" si="1"/>
        <v/>
      </c>
      <c r="I1082" s="58"/>
      <c r="J1082" s="58"/>
      <c r="K1082" s="58"/>
      <c r="L1082" s="38"/>
      <c r="M1082" s="58"/>
      <c r="N1082" s="58"/>
      <c r="O1082" s="58"/>
      <c r="P1082" s="80"/>
      <c r="Q1082" s="77"/>
      <c r="R1082" s="62"/>
      <c r="S1082" s="62"/>
      <c r="T1082" s="62"/>
      <c r="U1082" s="62"/>
      <c r="V1082" s="37" t="str">
        <f>IFERROR(__xludf.DUMMYFUNCTION("if(not(iserror(index(split(C1082, "" ""),2))), index(split(C1082, "" ""),1),"""")"),"")</f>
        <v/>
      </c>
      <c r="W1082" s="315" t="str">
        <f>IFERROR(__xludf.DUMMYFUNCTION("if(V1082="""",C1082,if(not(iserror(index(split(C1082, "" ""),3))), index(split(C1082, "" ""),3),index(split(C1082, "" ""),2)))"),"")</f>
        <v/>
      </c>
      <c r="X1082" s="38" t="b">
        <f t="shared" si="2"/>
        <v>0</v>
      </c>
      <c r="Y1082" s="38"/>
      <c r="Z1082" s="40"/>
      <c r="AA1082" s="40"/>
      <c r="AB1082" s="38"/>
      <c r="AC1082" s="38"/>
      <c r="AD1082" s="38"/>
      <c r="AE1082" s="38"/>
      <c r="AF1082" s="38"/>
      <c r="AG1082" s="38"/>
      <c r="AH1082" s="38"/>
      <c r="AI1082" s="38"/>
      <c r="AJ1082" s="38"/>
      <c r="AK1082" s="38"/>
      <c r="AL1082" s="38"/>
      <c r="AM1082" s="38"/>
      <c r="AN1082" s="38"/>
      <c r="AO1082" s="38"/>
      <c r="AP1082" s="38"/>
      <c r="AQ1082" s="38"/>
      <c r="AR1082" s="38"/>
      <c r="AS1082" s="38"/>
      <c r="AT1082" s="38"/>
      <c r="AU1082" s="38"/>
      <c r="AV1082" s="38"/>
      <c r="AW1082" s="38"/>
      <c r="AX1082" s="38"/>
      <c r="AY1082" s="38"/>
      <c r="AZ1082" s="38"/>
      <c r="BA1082" s="38"/>
      <c r="BB1082" s="38"/>
      <c r="BC1082" s="38"/>
      <c r="BD1082" s="38"/>
      <c r="BE1082" s="38"/>
      <c r="BF1082" s="38"/>
      <c r="BG1082" s="38"/>
    </row>
    <row r="1083">
      <c r="A1083" s="58"/>
      <c r="B1083" s="341"/>
      <c r="C1083" s="60"/>
      <c r="D1083" s="60"/>
      <c r="E1083" s="58"/>
      <c r="F1083" s="58"/>
      <c r="G1083" s="58"/>
      <c r="H1083" s="33" t="str">
        <f t="shared" si="1"/>
        <v/>
      </c>
      <c r="I1083" s="58"/>
      <c r="J1083" s="58"/>
      <c r="K1083" s="58"/>
      <c r="L1083" s="38"/>
      <c r="M1083" s="58"/>
      <c r="N1083" s="58"/>
      <c r="O1083" s="58"/>
      <c r="P1083" s="80"/>
      <c r="Q1083" s="77"/>
      <c r="R1083" s="62"/>
      <c r="S1083" s="62"/>
      <c r="T1083" s="62"/>
      <c r="U1083" s="62"/>
      <c r="V1083" s="37" t="str">
        <f>IFERROR(__xludf.DUMMYFUNCTION("if(not(iserror(index(split(C1083, "" ""),2))), index(split(C1083, "" ""),1),"""")"),"")</f>
        <v/>
      </c>
      <c r="W1083" s="315" t="str">
        <f>IFERROR(__xludf.DUMMYFUNCTION("if(V1083="""",C1083,if(not(iserror(index(split(C1083, "" ""),3))), index(split(C1083, "" ""),3),index(split(C1083, "" ""),2)))"),"")</f>
        <v/>
      </c>
      <c r="X1083" s="38" t="b">
        <f t="shared" si="2"/>
        <v>0</v>
      </c>
      <c r="Y1083" s="38"/>
      <c r="Z1083" s="40"/>
      <c r="AA1083" s="40"/>
      <c r="AB1083" s="38"/>
      <c r="AC1083" s="38"/>
      <c r="AD1083" s="38"/>
      <c r="AE1083" s="38"/>
      <c r="AF1083" s="38"/>
      <c r="AG1083" s="38"/>
      <c r="AH1083" s="38"/>
      <c r="AI1083" s="38"/>
      <c r="AJ1083" s="38"/>
      <c r="AK1083" s="38"/>
      <c r="AL1083" s="38"/>
      <c r="AM1083" s="38"/>
      <c r="AN1083" s="38"/>
      <c r="AO1083" s="38"/>
      <c r="AP1083" s="38"/>
      <c r="AQ1083" s="38"/>
      <c r="AR1083" s="38"/>
      <c r="AS1083" s="38"/>
      <c r="AT1083" s="38"/>
      <c r="AU1083" s="38"/>
      <c r="AV1083" s="38"/>
      <c r="AW1083" s="38"/>
      <c r="AX1083" s="38"/>
      <c r="AY1083" s="38"/>
      <c r="AZ1083" s="38"/>
      <c r="BA1083" s="38"/>
      <c r="BB1083" s="38"/>
      <c r="BC1083" s="38"/>
      <c r="BD1083" s="38"/>
      <c r="BE1083" s="38"/>
      <c r="BF1083" s="38"/>
      <c r="BG1083" s="38"/>
    </row>
    <row r="1084">
      <c r="A1084" s="58"/>
      <c r="B1084" s="341"/>
      <c r="C1084" s="60"/>
      <c r="D1084" s="60"/>
      <c r="E1084" s="58"/>
      <c r="F1084" s="58"/>
      <c r="G1084" s="58"/>
      <c r="H1084" s="33" t="str">
        <f t="shared" si="1"/>
        <v/>
      </c>
      <c r="I1084" s="58"/>
      <c r="J1084" s="58"/>
      <c r="K1084" s="58"/>
      <c r="L1084" s="38"/>
      <c r="M1084" s="58"/>
      <c r="N1084" s="58"/>
      <c r="O1084" s="58"/>
      <c r="P1084" s="80"/>
      <c r="Q1084" s="77"/>
      <c r="R1084" s="62"/>
      <c r="S1084" s="58"/>
      <c r="T1084" s="84"/>
      <c r="U1084" s="62"/>
      <c r="V1084" s="37" t="str">
        <f>IFERROR(__xludf.DUMMYFUNCTION("if(not(iserror(index(split(C1084, "" ""),2))), index(split(C1084, "" ""),1),"""")"),"")</f>
        <v/>
      </c>
      <c r="W1084" s="315" t="str">
        <f>IFERROR(__xludf.DUMMYFUNCTION("if(V1084="""",C1084,if(not(iserror(index(split(C1084, "" ""),3))), index(split(C1084, "" ""),3),index(split(C1084, "" ""),2)))"),"")</f>
        <v/>
      </c>
      <c r="X1084" s="38" t="b">
        <f t="shared" si="2"/>
        <v>0</v>
      </c>
      <c r="Y1084" s="38"/>
      <c r="Z1084" s="40"/>
      <c r="AA1084" s="40"/>
      <c r="AB1084" s="38"/>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c r="AW1084" s="38"/>
      <c r="AX1084" s="38"/>
      <c r="AY1084" s="38"/>
      <c r="AZ1084" s="38"/>
      <c r="BA1084" s="38"/>
      <c r="BB1084" s="38"/>
      <c r="BC1084" s="38"/>
      <c r="BD1084" s="38"/>
      <c r="BE1084" s="38"/>
      <c r="BF1084" s="38"/>
      <c r="BG1084" s="38"/>
    </row>
    <row r="1085">
      <c r="A1085" s="58"/>
      <c r="B1085" s="341"/>
      <c r="C1085" s="60"/>
      <c r="D1085" s="60"/>
      <c r="E1085" s="58"/>
      <c r="F1085" s="58"/>
      <c r="G1085" s="58"/>
      <c r="H1085" s="33" t="str">
        <f t="shared" si="1"/>
        <v/>
      </c>
      <c r="I1085" s="58"/>
      <c r="J1085" s="58"/>
      <c r="K1085" s="58"/>
      <c r="L1085" s="38"/>
      <c r="M1085" s="58"/>
      <c r="N1085" s="58"/>
      <c r="O1085" s="58"/>
      <c r="P1085" s="80"/>
      <c r="Q1085" s="77"/>
      <c r="R1085" s="62"/>
      <c r="S1085" s="62"/>
      <c r="T1085" s="62"/>
      <c r="U1085" s="62"/>
      <c r="V1085" s="37" t="str">
        <f>IFERROR(__xludf.DUMMYFUNCTION("if(not(iserror(index(split(C1085, "" ""),2))), index(split(C1085, "" ""),1),"""")"),"")</f>
        <v/>
      </c>
      <c r="W1085" s="315" t="str">
        <f>IFERROR(__xludf.DUMMYFUNCTION("if(V1085="""",C1085,if(not(iserror(index(split(C1085, "" ""),3))), index(split(C1085, "" ""),3),index(split(C1085, "" ""),2)))"),"")</f>
        <v/>
      </c>
      <c r="X1085" s="38" t="b">
        <f t="shared" si="2"/>
        <v>0</v>
      </c>
      <c r="Y1085" s="38"/>
      <c r="Z1085" s="40"/>
      <c r="AA1085" s="40"/>
      <c r="AB1085" s="38"/>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c r="AW1085" s="38"/>
      <c r="AX1085" s="38"/>
      <c r="AY1085" s="38"/>
      <c r="AZ1085" s="38"/>
      <c r="BA1085" s="38"/>
      <c r="BB1085" s="38"/>
      <c r="BC1085" s="38"/>
      <c r="BD1085" s="38"/>
      <c r="BE1085" s="38"/>
      <c r="BF1085" s="38"/>
      <c r="BG1085" s="38"/>
    </row>
    <row r="1086">
      <c r="A1086" s="58"/>
      <c r="B1086" s="341"/>
      <c r="C1086" s="60"/>
      <c r="D1086" s="60"/>
      <c r="E1086" s="58"/>
      <c r="F1086" s="58"/>
      <c r="G1086" s="58"/>
      <c r="H1086" s="33" t="str">
        <f t="shared" si="1"/>
        <v/>
      </c>
      <c r="I1086" s="58"/>
      <c r="J1086" s="58"/>
      <c r="K1086" s="58"/>
      <c r="L1086" s="38"/>
      <c r="M1086" s="58"/>
      <c r="N1086" s="58"/>
      <c r="O1086" s="58"/>
      <c r="P1086" s="80"/>
      <c r="Q1086" s="77"/>
      <c r="R1086" s="62"/>
      <c r="S1086" s="62"/>
      <c r="T1086" s="62"/>
      <c r="U1086" s="62"/>
      <c r="V1086" s="37" t="str">
        <f>IFERROR(__xludf.DUMMYFUNCTION("if(not(iserror(index(split(C1086, "" ""),2))), index(split(C1086, "" ""),1),"""")"),"")</f>
        <v/>
      </c>
      <c r="W1086" s="315" t="str">
        <f>IFERROR(__xludf.DUMMYFUNCTION("if(V1086="""",C1086,if(not(iserror(index(split(C1086, "" ""),3))), index(split(C1086, "" ""),3),index(split(C1086, "" ""),2)))"),"")</f>
        <v/>
      </c>
      <c r="X1086" s="38" t="b">
        <f t="shared" si="2"/>
        <v>0</v>
      </c>
      <c r="Y1086" s="38"/>
      <c r="Z1086" s="40"/>
      <c r="AA1086" s="40"/>
      <c r="AB1086" s="38"/>
      <c r="AC1086" s="38"/>
      <c r="AD1086" s="38"/>
      <c r="AE1086" s="38"/>
      <c r="AF1086" s="38"/>
      <c r="AG1086" s="38"/>
      <c r="AH1086" s="38"/>
      <c r="AI1086" s="38"/>
      <c r="AJ1086" s="38"/>
      <c r="AK1086" s="38"/>
      <c r="AL1086" s="38"/>
      <c r="AM1086" s="38"/>
      <c r="AN1086" s="38"/>
      <c r="AO1086" s="38"/>
      <c r="AP1086" s="38"/>
      <c r="AQ1086" s="38"/>
      <c r="AR1086" s="38"/>
      <c r="AS1086" s="38"/>
      <c r="AT1086" s="38"/>
      <c r="AU1086" s="38"/>
      <c r="AV1086" s="38"/>
      <c r="AW1086" s="38"/>
      <c r="AX1086" s="38"/>
      <c r="AY1086" s="38"/>
      <c r="AZ1086" s="38"/>
      <c r="BA1086" s="38"/>
      <c r="BB1086" s="38"/>
      <c r="BC1086" s="38"/>
      <c r="BD1086" s="38"/>
      <c r="BE1086" s="38"/>
      <c r="BF1086" s="38"/>
      <c r="BG1086" s="38"/>
    </row>
    <row r="1087">
      <c r="A1087" s="58"/>
      <c r="B1087" s="341"/>
      <c r="C1087" s="60"/>
      <c r="D1087" s="60"/>
      <c r="E1087" s="58"/>
      <c r="F1087" s="58"/>
      <c r="G1087" s="58"/>
      <c r="H1087" s="33" t="str">
        <f t="shared" si="1"/>
        <v/>
      </c>
      <c r="I1087" s="58"/>
      <c r="J1087" s="58"/>
      <c r="K1087" s="58"/>
      <c r="L1087" s="38"/>
      <c r="M1087" s="58"/>
      <c r="N1087" s="58"/>
      <c r="O1087" s="58"/>
      <c r="P1087" s="80"/>
      <c r="Q1087" s="77"/>
      <c r="R1087" s="62"/>
      <c r="S1087" s="62"/>
      <c r="T1087" s="62"/>
      <c r="U1087" s="62"/>
      <c r="V1087" s="37" t="str">
        <f>IFERROR(__xludf.DUMMYFUNCTION("if(not(iserror(index(split(C1087, "" ""),2))), index(split(C1087, "" ""),1),"""")"),"")</f>
        <v/>
      </c>
      <c r="W1087" s="315" t="str">
        <f>IFERROR(__xludf.DUMMYFUNCTION("if(V1087="""",C1087,if(not(iserror(index(split(C1087, "" ""),3))), index(split(C1087, "" ""),3),index(split(C1087, "" ""),2)))"),"")</f>
        <v/>
      </c>
      <c r="X1087" s="38" t="b">
        <f t="shared" si="2"/>
        <v>0</v>
      </c>
      <c r="Y1087" s="38"/>
      <c r="Z1087" s="40"/>
      <c r="AA1087" s="40"/>
      <c r="AB1087" s="38"/>
      <c r="AC1087" s="38"/>
      <c r="AD1087" s="38"/>
      <c r="AE1087" s="38"/>
      <c r="AF1087" s="38"/>
      <c r="AG1087" s="38"/>
      <c r="AH1087" s="38"/>
      <c r="AI1087" s="38"/>
      <c r="AJ1087" s="38"/>
      <c r="AK1087" s="38"/>
      <c r="AL1087" s="38"/>
      <c r="AM1087" s="38"/>
      <c r="AN1087" s="38"/>
      <c r="AO1087" s="38"/>
      <c r="AP1087" s="38"/>
      <c r="AQ1087" s="38"/>
      <c r="AR1087" s="38"/>
      <c r="AS1087" s="38"/>
      <c r="AT1087" s="38"/>
      <c r="AU1087" s="38"/>
      <c r="AV1087" s="38"/>
      <c r="AW1087" s="38"/>
      <c r="AX1087" s="38"/>
      <c r="AY1087" s="38"/>
      <c r="AZ1087" s="38"/>
      <c r="BA1087" s="38"/>
      <c r="BB1087" s="38"/>
      <c r="BC1087" s="38"/>
      <c r="BD1087" s="38"/>
      <c r="BE1087" s="38"/>
      <c r="BF1087" s="38"/>
      <c r="BG1087" s="38"/>
    </row>
    <row r="1088">
      <c r="A1088" s="58"/>
      <c r="B1088" s="341"/>
      <c r="C1088" s="60"/>
      <c r="D1088" s="60"/>
      <c r="E1088" s="58"/>
      <c r="F1088" s="58"/>
      <c r="G1088" s="58"/>
      <c r="H1088" s="33" t="str">
        <f t="shared" si="1"/>
        <v/>
      </c>
      <c r="I1088" s="58"/>
      <c r="J1088" s="58"/>
      <c r="K1088" s="58"/>
      <c r="L1088" s="38"/>
      <c r="M1088" s="58"/>
      <c r="N1088" s="58"/>
      <c r="O1088" s="58"/>
      <c r="P1088" s="80"/>
      <c r="Q1088" s="77"/>
      <c r="R1088" s="62"/>
      <c r="S1088" s="62"/>
      <c r="T1088" s="62"/>
      <c r="U1088" s="62"/>
      <c r="V1088" s="37" t="str">
        <f>IFERROR(__xludf.DUMMYFUNCTION("if(not(iserror(index(split(C1088, "" ""),2))), index(split(C1088, "" ""),1),"""")"),"")</f>
        <v/>
      </c>
      <c r="W1088" s="315" t="str">
        <f>IFERROR(__xludf.DUMMYFUNCTION("if(V1088="""",C1088,if(not(iserror(index(split(C1088, "" ""),3))), index(split(C1088, "" ""),3),index(split(C1088, "" ""),2)))"),"")</f>
        <v/>
      </c>
      <c r="X1088" s="38" t="b">
        <f t="shared" si="2"/>
        <v>0</v>
      </c>
      <c r="Y1088" s="38"/>
      <c r="Z1088" s="40"/>
      <c r="AA1088" s="40"/>
      <c r="AB1088" s="38"/>
      <c r="AC1088" s="38"/>
      <c r="AD1088" s="38"/>
      <c r="AE1088" s="38"/>
      <c r="AF1088" s="38"/>
      <c r="AG1088" s="38"/>
      <c r="AH1088" s="38"/>
      <c r="AI1088" s="38"/>
      <c r="AJ1088" s="38"/>
      <c r="AK1088" s="38"/>
      <c r="AL1088" s="38"/>
      <c r="AM1088" s="38"/>
      <c r="AN1088" s="38"/>
      <c r="AO1088" s="38"/>
      <c r="AP1088" s="38"/>
      <c r="AQ1088" s="38"/>
      <c r="AR1088" s="38"/>
      <c r="AS1088" s="38"/>
      <c r="AT1088" s="38"/>
      <c r="AU1088" s="38"/>
      <c r="AV1088" s="38"/>
      <c r="AW1088" s="38"/>
      <c r="AX1088" s="38"/>
      <c r="AY1088" s="38"/>
      <c r="AZ1088" s="38"/>
      <c r="BA1088" s="38"/>
      <c r="BB1088" s="38"/>
      <c r="BC1088" s="38"/>
      <c r="BD1088" s="38"/>
      <c r="BE1088" s="38"/>
      <c r="BF1088" s="38"/>
      <c r="BG1088" s="38"/>
    </row>
    <row r="1089">
      <c r="A1089" s="58"/>
      <c r="B1089" s="341"/>
      <c r="C1089" s="60"/>
      <c r="D1089" s="60"/>
      <c r="E1089" s="58"/>
      <c r="F1089" s="58"/>
      <c r="G1089" s="58"/>
      <c r="H1089" s="33" t="str">
        <f t="shared" si="1"/>
        <v/>
      </c>
      <c r="I1089" s="58"/>
      <c r="J1089" s="58"/>
      <c r="K1089" s="58"/>
      <c r="L1089" s="38"/>
      <c r="M1089" s="58"/>
      <c r="N1089" s="58"/>
      <c r="O1089" s="58"/>
      <c r="P1089" s="80"/>
      <c r="Q1089" s="77"/>
      <c r="R1089" s="62"/>
      <c r="S1089" s="62"/>
      <c r="T1089" s="62"/>
      <c r="U1089" s="62"/>
      <c r="V1089" s="37" t="str">
        <f>IFERROR(__xludf.DUMMYFUNCTION("if(not(iserror(index(split(C1089, "" ""),2))), index(split(C1089, "" ""),1),"""")"),"")</f>
        <v/>
      </c>
      <c r="W1089" s="315" t="str">
        <f>IFERROR(__xludf.DUMMYFUNCTION("if(V1089="""",C1089,if(not(iserror(index(split(C1089, "" ""),3))), index(split(C1089, "" ""),3),index(split(C1089, "" ""),2)))"),"")</f>
        <v/>
      </c>
      <c r="X1089" s="38" t="b">
        <f t="shared" si="2"/>
        <v>0</v>
      </c>
      <c r="Y1089" s="38"/>
      <c r="Z1089" s="40"/>
      <c r="AA1089" s="40"/>
      <c r="AB1089" s="38"/>
      <c r="AC1089" s="38"/>
      <c r="AD1089" s="38"/>
      <c r="AE1089" s="38"/>
      <c r="AF1089" s="38"/>
      <c r="AG1089" s="38"/>
      <c r="AH1089" s="38"/>
      <c r="AI1089" s="38"/>
      <c r="AJ1089" s="38"/>
      <c r="AK1089" s="38"/>
      <c r="AL1089" s="38"/>
      <c r="AM1089" s="38"/>
      <c r="AN1089" s="38"/>
      <c r="AO1089" s="38"/>
      <c r="AP1089" s="38"/>
      <c r="AQ1089" s="38"/>
      <c r="AR1089" s="38"/>
      <c r="AS1089" s="38"/>
      <c r="AT1089" s="38"/>
      <c r="AU1089" s="38"/>
      <c r="AV1089" s="38"/>
      <c r="AW1089" s="38"/>
      <c r="AX1089" s="38"/>
      <c r="AY1089" s="38"/>
      <c r="AZ1089" s="38"/>
      <c r="BA1089" s="38"/>
      <c r="BB1089" s="38"/>
      <c r="BC1089" s="38"/>
      <c r="BD1089" s="38"/>
      <c r="BE1089" s="38"/>
      <c r="BF1089" s="38"/>
      <c r="BG1089" s="38"/>
    </row>
    <row r="1090">
      <c r="A1090" s="58"/>
      <c r="B1090" s="341"/>
      <c r="C1090" s="60"/>
      <c r="D1090" s="60"/>
      <c r="E1090" s="58"/>
      <c r="F1090" s="58"/>
      <c r="G1090" s="58"/>
      <c r="H1090" s="33" t="str">
        <f t="shared" si="1"/>
        <v/>
      </c>
      <c r="I1090" s="58"/>
      <c r="J1090" s="58"/>
      <c r="K1090" s="58"/>
      <c r="L1090" s="38"/>
      <c r="M1090" s="58"/>
      <c r="N1090" s="58"/>
      <c r="O1090" s="58"/>
      <c r="P1090" s="80"/>
      <c r="Q1090" s="77"/>
      <c r="R1090" s="62"/>
      <c r="S1090" s="62"/>
      <c r="T1090" s="62"/>
      <c r="U1090" s="62"/>
      <c r="V1090" s="37" t="str">
        <f>IFERROR(__xludf.DUMMYFUNCTION("if(not(iserror(index(split(C1090, "" ""),2))), index(split(C1090, "" ""),1),"""")"),"")</f>
        <v/>
      </c>
      <c r="W1090" s="315" t="str">
        <f>IFERROR(__xludf.DUMMYFUNCTION("if(V1090="""",C1090,if(not(iserror(index(split(C1090, "" ""),3))), index(split(C1090, "" ""),3),index(split(C1090, "" ""),2)))"),"")</f>
        <v/>
      </c>
      <c r="X1090" s="38" t="b">
        <f t="shared" si="2"/>
        <v>0</v>
      </c>
      <c r="Y1090" s="38"/>
      <c r="Z1090" s="40"/>
      <c r="AA1090" s="40"/>
      <c r="AB1090" s="38"/>
      <c r="AC1090" s="38"/>
      <c r="AD1090" s="38"/>
      <c r="AE1090" s="38"/>
      <c r="AF1090" s="38"/>
      <c r="AG1090" s="38"/>
      <c r="AH1090" s="38"/>
      <c r="AI1090" s="38"/>
      <c r="AJ1090" s="38"/>
      <c r="AK1090" s="38"/>
      <c r="AL1090" s="38"/>
      <c r="AM1090" s="38"/>
      <c r="AN1090" s="38"/>
      <c r="AO1090" s="38"/>
      <c r="AP1090" s="38"/>
      <c r="AQ1090" s="38"/>
      <c r="AR1090" s="38"/>
      <c r="AS1090" s="38"/>
      <c r="AT1090" s="38"/>
      <c r="AU1090" s="38"/>
      <c r="AV1090" s="38"/>
      <c r="AW1090" s="38"/>
      <c r="AX1090" s="38"/>
      <c r="AY1090" s="38"/>
      <c r="AZ1090" s="38"/>
      <c r="BA1090" s="38"/>
      <c r="BB1090" s="38"/>
      <c r="BC1090" s="38"/>
      <c r="BD1090" s="38"/>
      <c r="BE1090" s="38"/>
      <c r="BF1090" s="38"/>
      <c r="BG1090" s="38"/>
    </row>
    <row r="1091">
      <c r="A1091" s="58"/>
      <c r="B1091" s="341"/>
      <c r="C1091" s="60"/>
      <c r="D1091" s="60"/>
      <c r="E1091" s="58"/>
      <c r="F1091" s="58"/>
      <c r="G1091" s="58"/>
      <c r="H1091" s="33" t="str">
        <f t="shared" si="1"/>
        <v/>
      </c>
      <c r="I1091" s="58"/>
      <c r="J1091" s="58"/>
      <c r="K1091" s="58"/>
      <c r="L1091" s="38"/>
      <c r="M1091" s="58"/>
      <c r="N1091" s="58"/>
      <c r="O1091" s="58"/>
      <c r="P1091" s="80"/>
      <c r="Q1091" s="77"/>
      <c r="R1091" s="62"/>
      <c r="S1091" s="58"/>
      <c r="T1091" s="84"/>
      <c r="U1091" s="62"/>
      <c r="V1091" s="37" t="str">
        <f>IFERROR(__xludf.DUMMYFUNCTION("if(not(iserror(index(split(C1091, "" ""),2))), index(split(C1091, "" ""),1),"""")"),"")</f>
        <v/>
      </c>
      <c r="W1091" s="315" t="str">
        <f>IFERROR(__xludf.DUMMYFUNCTION("if(V1091="""",C1091,if(not(iserror(index(split(C1091, "" ""),3))), index(split(C1091, "" ""),3),index(split(C1091, "" ""),2)))"),"")</f>
        <v/>
      </c>
      <c r="X1091" s="38" t="b">
        <f t="shared" si="2"/>
        <v>0</v>
      </c>
      <c r="Y1091" s="38"/>
      <c r="Z1091" s="40"/>
      <c r="AA1091" s="40"/>
      <c r="AB1091" s="38"/>
      <c r="AC1091" s="38"/>
      <c r="AD1091" s="38"/>
      <c r="AE1091" s="38"/>
      <c r="AF1091" s="38"/>
      <c r="AG1091" s="38"/>
      <c r="AH1091" s="38"/>
      <c r="AI1091" s="38"/>
      <c r="AJ1091" s="38"/>
      <c r="AK1091" s="38"/>
      <c r="AL1091" s="38"/>
      <c r="AM1091" s="38"/>
      <c r="AN1091" s="38"/>
      <c r="AO1091" s="38"/>
      <c r="AP1091" s="38"/>
      <c r="AQ1091" s="38"/>
      <c r="AR1091" s="38"/>
      <c r="AS1091" s="38"/>
      <c r="AT1091" s="38"/>
      <c r="AU1091" s="38"/>
      <c r="AV1091" s="38"/>
      <c r="AW1091" s="38"/>
      <c r="AX1091" s="38"/>
      <c r="AY1091" s="38"/>
      <c r="AZ1091" s="38"/>
      <c r="BA1091" s="38"/>
      <c r="BB1091" s="38"/>
      <c r="BC1091" s="38"/>
      <c r="BD1091" s="38"/>
      <c r="BE1091" s="38"/>
      <c r="BF1091" s="38"/>
      <c r="BG1091" s="38"/>
    </row>
    <row r="1092">
      <c r="A1092" s="58"/>
      <c r="B1092" s="341"/>
      <c r="C1092" s="60"/>
      <c r="D1092" s="60"/>
      <c r="E1092" s="58"/>
      <c r="F1092" s="58"/>
      <c r="G1092" s="58"/>
      <c r="H1092" s="33" t="str">
        <f t="shared" si="1"/>
        <v/>
      </c>
      <c r="I1092" s="58"/>
      <c r="J1092" s="58"/>
      <c r="K1092" s="58"/>
      <c r="L1092" s="38"/>
      <c r="M1092" s="58"/>
      <c r="N1092" s="58"/>
      <c r="O1092" s="58"/>
      <c r="P1092" s="80"/>
      <c r="Q1092" s="77"/>
      <c r="R1092" s="62"/>
      <c r="S1092" s="58"/>
      <c r="T1092" s="84"/>
      <c r="U1092" s="62"/>
      <c r="V1092" s="37" t="str">
        <f>IFERROR(__xludf.DUMMYFUNCTION("if(not(iserror(index(split(C1092, "" ""),2))), index(split(C1092, "" ""),1),"""")"),"")</f>
        <v/>
      </c>
      <c r="W1092" s="315" t="str">
        <f>IFERROR(__xludf.DUMMYFUNCTION("if(V1092="""",C1092,if(not(iserror(index(split(C1092, "" ""),3))), index(split(C1092, "" ""),3),index(split(C1092, "" ""),2)))"),"")</f>
        <v/>
      </c>
      <c r="X1092" s="38" t="b">
        <f t="shared" si="2"/>
        <v>0</v>
      </c>
      <c r="Y1092" s="38"/>
      <c r="Z1092" s="40"/>
      <c r="AA1092" s="40"/>
      <c r="AB1092" s="38"/>
      <c r="AC1092" s="38"/>
      <c r="AD1092" s="38"/>
      <c r="AE1092" s="38"/>
      <c r="AF1092" s="38"/>
      <c r="AG1092" s="38"/>
      <c r="AH1092" s="38"/>
      <c r="AI1092" s="38"/>
      <c r="AJ1092" s="38"/>
      <c r="AK1092" s="38"/>
      <c r="AL1092" s="38"/>
      <c r="AM1092" s="38"/>
      <c r="AN1092" s="38"/>
      <c r="AO1092" s="38"/>
      <c r="AP1092" s="38"/>
      <c r="AQ1092" s="38"/>
      <c r="AR1092" s="38"/>
      <c r="AS1092" s="38"/>
      <c r="AT1092" s="38"/>
      <c r="AU1092" s="38"/>
      <c r="AV1092" s="38"/>
      <c r="AW1092" s="38"/>
      <c r="AX1092" s="38"/>
      <c r="AY1092" s="38"/>
      <c r="AZ1092" s="38"/>
      <c r="BA1092" s="38"/>
      <c r="BB1092" s="38"/>
      <c r="BC1092" s="38"/>
      <c r="BD1092" s="38"/>
      <c r="BE1092" s="38"/>
      <c r="BF1092" s="38"/>
      <c r="BG1092" s="38"/>
    </row>
    <row r="1093">
      <c r="A1093" s="58"/>
      <c r="B1093" s="341"/>
      <c r="C1093" s="60"/>
      <c r="D1093" s="60"/>
      <c r="E1093" s="58"/>
      <c r="F1093" s="58"/>
      <c r="G1093" s="58"/>
      <c r="H1093" s="33" t="str">
        <f t="shared" si="1"/>
        <v/>
      </c>
      <c r="I1093" s="58"/>
      <c r="J1093" s="58"/>
      <c r="K1093" s="58"/>
      <c r="L1093" s="38"/>
      <c r="M1093" s="58"/>
      <c r="N1093" s="58"/>
      <c r="O1093" s="58"/>
      <c r="P1093" s="80"/>
      <c r="Q1093" s="77"/>
      <c r="R1093" s="62"/>
      <c r="S1093" s="62"/>
      <c r="T1093" s="62"/>
      <c r="U1093" s="62"/>
      <c r="V1093" s="37" t="str">
        <f>IFERROR(__xludf.DUMMYFUNCTION("if(not(iserror(index(split(C1093, "" ""),2))), index(split(C1093, "" ""),1),"""")"),"")</f>
        <v/>
      </c>
      <c r="W1093" s="315" t="str">
        <f>IFERROR(__xludf.DUMMYFUNCTION("if(V1093="""",C1093,if(not(iserror(index(split(C1093, "" ""),3))), index(split(C1093, "" ""),3),index(split(C1093, "" ""),2)))"),"")</f>
        <v/>
      </c>
      <c r="X1093" s="38" t="b">
        <f t="shared" si="2"/>
        <v>0</v>
      </c>
      <c r="Y1093" s="38"/>
      <c r="Z1093" s="40"/>
      <c r="AA1093" s="40"/>
      <c r="AB1093" s="38"/>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c r="AW1093" s="38"/>
      <c r="AX1093" s="38"/>
      <c r="AY1093" s="38"/>
      <c r="AZ1093" s="38"/>
      <c r="BA1093" s="38"/>
      <c r="BB1093" s="38"/>
      <c r="BC1093" s="38"/>
      <c r="BD1093" s="38"/>
      <c r="BE1093" s="38"/>
      <c r="BF1093" s="38"/>
      <c r="BG1093" s="38"/>
    </row>
    <row r="1094">
      <c r="A1094" s="58"/>
      <c r="B1094" s="341"/>
      <c r="C1094" s="60"/>
      <c r="D1094" s="60"/>
      <c r="E1094" s="58"/>
      <c r="F1094" s="58"/>
      <c r="G1094" s="58"/>
      <c r="H1094" s="33" t="str">
        <f t="shared" si="1"/>
        <v/>
      </c>
      <c r="I1094" s="58"/>
      <c r="J1094" s="58"/>
      <c r="K1094" s="58"/>
      <c r="L1094" s="38"/>
      <c r="M1094" s="58"/>
      <c r="N1094" s="58"/>
      <c r="O1094" s="58"/>
      <c r="P1094" s="80"/>
      <c r="Q1094" s="77"/>
      <c r="R1094" s="62"/>
      <c r="S1094" s="58"/>
      <c r="T1094" s="84"/>
      <c r="U1094" s="62"/>
      <c r="V1094" s="37" t="str">
        <f>IFERROR(__xludf.DUMMYFUNCTION("if(not(iserror(index(split(C1094, "" ""),2))), index(split(C1094, "" ""),1),"""")"),"")</f>
        <v/>
      </c>
      <c r="W1094" s="315" t="str">
        <f>IFERROR(__xludf.DUMMYFUNCTION("if(V1094="""",C1094,if(not(iserror(index(split(C1094, "" ""),3))), index(split(C1094, "" ""),3),index(split(C1094, "" ""),2)))"),"")</f>
        <v/>
      </c>
      <c r="X1094" s="38" t="b">
        <f t="shared" si="2"/>
        <v>0</v>
      </c>
      <c r="Y1094" s="38"/>
      <c r="Z1094" s="40"/>
      <c r="AA1094" s="40"/>
      <c r="AB1094" s="38"/>
      <c r="AC1094" s="38"/>
      <c r="AD1094" s="38"/>
      <c r="AE1094" s="38"/>
      <c r="AF1094" s="38"/>
      <c r="AG1094" s="38"/>
      <c r="AH1094" s="38"/>
      <c r="AI1094" s="38"/>
      <c r="AJ1094" s="38"/>
      <c r="AK1094" s="38"/>
      <c r="AL1094" s="38"/>
      <c r="AM1094" s="38"/>
      <c r="AN1094" s="38"/>
      <c r="AO1094" s="38"/>
      <c r="AP1094" s="38"/>
      <c r="AQ1094" s="38"/>
      <c r="AR1094" s="38"/>
      <c r="AS1094" s="38"/>
      <c r="AT1094" s="38"/>
      <c r="AU1094" s="38"/>
      <c r="AV1094" s="38"/>
      <c r="AW1094" s="38"/>
      <c r="AX1094" s="38"/>
      <c r="AY1094" s="38"/>
      <c r="AZ1094" s="38"/>
      <c r="BA1094" s="38"/>
      <c r="BB1094" s="38"/>
      <c r="BC1094" s="38"/>
      <c r="BD1094" s="38"/>
      <c r="BE1094" s="38"/>
      <c r="BF1094" s="38"/>
      <c r="BG1094" s="38"/>
    </row>
    <row r="1095">
      <c r="A1095" s="58"/>
      <c r="B1095" s="341"/>
      <c r="C1095" s="60"/>
      <c r="D1095" s="60"/>
      <c r="E1095" s="58"/>
      <c r="F1095" s="58"/>
      <c r="G1095" s="58"/>
      <c r="H1095" s="33" t="str">
        <f t="shared" si="1"/>
        <v/>
      </c>
      <c r="I1095" s="58"/>
      <c r="J1095" s="58"/>
      <c r="K1095" s="58"/>
      <c r="L1095" s="38"/>
      <c r="M1095" s="58"/>
      <c r="N1095" s="58"/>
      <c r="O1095" s="58"/>
      <c r="P1095" s="80"/>
      <c r="Q1095" s="77"/>
      <c r="R1095" s="58"/>
      <c r="S1095" s="58"/>
      <c r="T1095" s="84"/>
      <c r="U1095" s="62"/>
      <c r="V1095" s="37" t="str">
        <f>IFERROR(__xludf.DUMMYFUNCTION("if(not(iserror(index(split(C1095, "" ""),2))), index(split(C1095, "" ""),1),"""")"),"")</f>
        <v/>
      </c>
      <c r="W1095" s="315" t="str">
        <f>IFERROR(__xludf.DUMMYFUNCTION("if(V1095="""",C1095,if(not(iserror(index(split(C1095, "" ""),3))), index(split(C1095, "" ""),3),index(split(C1095, "" ""),2)))"),"")</f>
        <v/>
      </c>
      <c r="X1095" s="38" t="b">
        <f t="shared" si="2"/>
        <v>0</v>
      </c>
      <c r="Y1095" s="38"/>
      <c r="Z1095" s="40"/>
      <c r="AA1095" s="40"/>
      <c r="AB1095" s="38"/>
      <c r="AC1095" s="38"/>
      <c r="AD1095" s="38"/>
      <c r="AE1095" s="38"/>
      <c r="AF1095" s="38"/>
      <c r="AG1095" s="38"/>
      <c r="AH1095" s="38"/>
      <c r="AI1095" s="38"/>
      <c r="AJ1095" s="38"/>
      <c r="AK1095" s="38"/>
      <c r="AL1095" s="38"/>
      <c r="AM1095" s="38"/>
      <c r="AN1095" s="38"/>
      <c r="AO1095" s="38"/>
      <c r="AP1095" s="38"/>
      <c r="AQ1095" s="38"/>
      <c r="AR1095" s="38"/>
      <c r="AS1095" s="38"/>
      <c r="AT1095" s="38"/>
      <c r="AU1095" s="38"/>
      <c r="AV1095" s="38"/>
      <c r="AW1095" s="38"/>
      <c r="AX1095" s="38"/>
      <c r="AY1095" s="38"/>
      <c r="AZ1095" s="38"/>
      <c r="BA1095" s="38"/>
      <c r="BB1095" s="38"/>
      <c r="BC1095" s="38"/>
      <c r="BD1095" s="38"/>
      <c r="BE1095" s="38"/>
      <c r="BF1095" s="38"/>
      <c r="BG1095" s="38"/>
    </row>
    <row r="1096">
      <c r="A1096" s="58"/>
      <c r="B1096" s="341"/>
      <c r="C1096" s="60"/>
      <c r="D1096" s="60"/>
      <c r="E1096" s="58"/>
      <c r="F1096" s="58"/>
      <c r="G1096" s="58"/>
      <c r="H1096" s="33" t="str">
        <f t="shared" si="1"/>
        <v/>
      </c>
      <c r="I1096" s="58"/>
      <c r="J1096" s="58"/>
      <c r="K1096" s="58"/>
      <c r="L1096" s="38"/>
      <c r="M1096" s="58"/>
      <c r="N1096" s="58"/>
      <c r="O1096" s="58"/>
      <c r="P1096" s="80"/>
      <c r="Q1096" s="77"/>
      <c r="R1096" s="58"/>
      <c r="S1096" s="58"/>
      <c r="T1096" s="84"/>
      <c r="U1096" s="62"/>
      <c r="V1096" s="37" t="str">
        <f>IFERROR(__xludf.DUMMYFUNCTION("if(not(iserror(index(split(C1096, "" ""),2))), index(split(C1096, "" ""),1),"""")"),"")</f>
        <v/>
      </c>
      <c r="W1096" s="315" t="str">
        <f>IFERROR(__xludf.DUMMYFUNCTION("if(V1096="""",C1096,if(not(iserror(index(split(C1096, "" ""),3))), index(split(C1096, "" ""),3),index(split(C1096, "" ""),2)))"),"")</f>
        <v/>
      </c>
      <c r="X1096" s="38" t="b">
        <f t="shared" si="2"/>
        <v>0</v>
      </c>
      <c r="Y1096" s="38"/>
      <c r="Z1096" s="40"/>
      <c r="AA1096" s="40"/>
      <c r="AB1096" s="38"/>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c r="AW1096" s="38"/>
      <c r="AX1096" s="38"/>
      <c r="AY1096" s="38"/>
      <c r="AZ1096" s="38"/>
      <c r="BA1096" s="38"/>
      <c r="BB1096" s="38"/>
      <c r="BC1096" s="38"/>
      <c r="BD1096" s="38"/>
      <c r="BE1096" s="38"/>
      <c r="BF1096" s="38"/>
      <c r="BG1096" s="38"/>
    </row>
    <row r="1097">
      <c r="A1097" s="58"/>
      <c r="B1097" s="341"/>
      <c r="C1097" s="60"/>
      <c r="D1097" s="60"/>
      <c r="E1097" s="58"/>
      <c r="F1097" s="58"/>
      <c r="G1097" s="58"/>
      <c r="H1097" s="33" t="str">
        <f t="shared" si="1"/>
        <v/>
      </c>
      <c r="I1097" s="58"/>
      <c r="J1097" s="58"/>
      <c r="K1097" s="58"/>
      <c r="L1097" s="38"/>
      <c r="M1097" s="58"/>
      <c r="N1097" s="58"/>
      <c r="O1097" s="58"/>
      <c r="P1097" s="80"/>
      <c r="Q1097" s="77"/>
      <c r="R1097" s="58"/>
      <c r="S1097" s="58"/>
      <c r="T1097" s="84"/>
      <c r="U1097" s="62"/>
      <c r="V1097" s="37" t="str">
        <f>IFERROR(__xludf.DUMMYFUNCTION("if(not(iserror(index(split(C1097, "" ""),2))), index(split(C1097, "" ""),1),"""")"),"")</f>
        <v/>
      </c>
      <c r="W1097" s="315" t="str">
        <f>IFERROR(__xludf.DUMMYFUNCTION("if(V1097="""",C1097,if(not(iserror(index(split(C1097, "" ""),3))), index(split(C1097, "" ""),3),index(split(C1097, "" ""),2)))"),"")</f>
        <v/>
      </c>
      <c r="X1097" s="38" t="b">
        <f t="shared" si="2"/>
        <v>0</v>
      </c>
      <c r="Y1097" s="38"/>
      <c r="Z1097" s="40"/>
      <c r="AA1097" s="40"/>
      <c r="AB1097" s="38"/>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c r="AW1097" s="38"/>
      <c r="AX1097" s="38"/>
      <c r="AY1097" s="38"/>
      <c r="AZ1097" s="38"/>
      <c r="BA1097" s="38"/>
      <c r="BB1097" s="38"/>
      <c r="BC1097" s="38"/>
      <c r="BD1097" s="38"/>
      <c r="BE1097" s="38"/>
      <c r="BF1097" s="38"/>
      <c r="BG1097" s="38"/>
    </row>
    <row r="1098">
      <c r="A1098" s="58"/>
      <c r="B1098" s="341"/>
      <c r="C1098" s="60"/>
      <c r="D1098" s="60"/>
      <c r="E1098" s="58"/>
      <c r="F1098" s="58"/>
      <c r="G1098" s="58"/>
      <c r="H1098" s="33" t="str">
        <f t="shared" si="1"/>
        <v/>
      </c>
      <c r="I1098" s="58"/>
      <c r="J1098" s="58"/>
      <c r="K1098" s="58"/>
      <c r="L1098" s="38"/>
      <c r="M1098" s="58"/>
      <c r="N1098" s="58"/>
      <c r="O1098" s="58"/>
      <c r="P1098" s="80"/>
      <c r="Q1098" s="77"/>
      <c r="R1098" s="62"/>
      <c r="S1098" s="58"/>
      <c r="T1098" s="84"/>
      <c r="U1098" s="62"/>
      <c r="V1098" s="37" t="str">
        <f>IFERROR(__xludf.DUMMYFUNCTION("if(not(iserror(index(split(C1098, "" ""),2))), index(split(C1098, "" ""),1),"""")"),"")</f>
        <v/>
      </c>
      <c r="W1098" s="315" t="str">
        <f>IFERROR(__xludf.DUMMYFUNCTION("if(V1098="""",C1098,if(not(iserror(index(split(C1098, "" ""),3))), index(split(C1098, "" ""),3),index(split(C1098, "" ""),2)))"),"")</f>
        <v/>
      </c>
      <c r="X1098" s="38" t="b">
        <f t="shared" si="2"/>
        <v>0</v>
      </c>
      <c r="Y1098" s="38"/>
      <c r="Z1098" s="40"/>
      <c r="AA1098" s="40"/>
      <c r="AB1098" s="38"/>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c r="AW1098" s="38"/>
      <c r="AX1098" s="38"/>
      <c r="AY1098" s="38"/>
      <c r="AZ1098" s="38"/>
      <c r="BA1098" s="38"/>
      <c r="BB1098" s="38"/>
      <c r="BC1098" s="38"/>
      <c r="BD1098" s="38"/>
      <c r="BE1098" s="38"/>
      <c r="BF1098" s="38"/>
      <c r="BG1098" s="38"/>
    </row>
    <row r="1099">
      <c r="B1099" s="341"/>
      <c r="C1099" s="60"/>
      <c r="D1099" s="60"/>
      <c r="E1099" s="58"/>
      <c r="F1099" s="58"/>
      <c r="G1099" s="58"/>
      <c r="H1099" s="33" t="str">
        <f t="shared" si="1"/>
        <v/>
      </c>
      <c r="I1099" s="58"/>
      <c r="J1099" s="58"/>
      <c r="K1099" s="58"/>
      <c r="L1099" s="38"/>
      <c r="M1099" s="58"/>
      <c r="N1099" s="58"/>
      <c r="O1099" s="58"/>
      <c r="P1099" s="80"/>
      <c r="Q1099" s="77"/>
      <c r="R1099" s="62"/>
      <c r="S1099" s="62"/>
      <c r="T1099" s="62"/>
      <c r="U1099" s="62"/>
      <c r="V1099" s="37" t="str">
        <f>IFERROR(__xludf.DUMMYFUNCTION("if(not(iserror(index(split(C1099, "" ""),2))), index(split(C1099, "" ""),1),"""")"),"")</f>
        <v/>
      </c>
      <c r="W1099" s="315" t="str">
        <f>IFERROR(__xludf.DUMMYFUNCTION("if(V1099="""",C1099,if(not(iserror(index(split(C1099, "" ""),3))), index(split(C1099, "" ""),3),index(split(C1099, "" ""),2)))"),"")</f>
        <v/>
      </c>
      <c r="X1099" s="38" t="b">
        <f t="shared" si="2"/>
        <v>0</v>
      </c>
      <c r="Y1099" s="38"/>
      <c r="Z1099" s="40"/>
      <c r="AA1099" s="40"/>
      <c r="AB1099" s="38"/>
      <c r="AC1099" s="38"/>
      <c r="AD1099" s="38"/>
      <c r="AE1099" s="38"/>
      <c r="AF1099" s="38"/>
      <c r="AG1099" s="38"/>
      <c r="AH1099" s="38"/>
      <c r="AI1099" s="38"/>
      <c r="AJ1099" s="38"/>
      <c r="AK1099" s="38"/>
      <c r="AL1099" s="38"/>
      <c r="AM1099" s="38"/>
      <c r="AN1099" s="38"/>
      <c r="AO1099" s="38"/>
      <c r="AP1099" s="38"/>
      <c r="AQ1099" s="38"/>
      <c r="AR1099" s="38"/>
      <c r="AS1099" s="38"/>
      <c r="AT1099" s="38"/>
      <c r="AU1099" s="38"/>
      <c r="AV1099" s="38"/>
      <c r="AW1099" s="38"/>
      <c r="AX1099" s="38"/>
      <c r="AY1099" s="38"/>
      <c r="AZ1099" s="38"/>
      <c r="BA1099" s="38"/>
      <c r="BB1099" s="38"/>
      <c r="BC1099" s="38"/>
      <c r="BD1099" s="38"/>
      <c r="BE1099" s="38"/>
      <c r="BF1099" s="38"/>
      <c r="BG1099" s="38"/>
    </row>
    <row r="1100">
      <c r="B1100" s="341"/>
      <c r="C1100" s="60"/>
      <c r="D1100" s="60"/>
      <c r="E1100" s="58"/>
      <c r="F1100" s="58"/>
      <c r="G1100" s="58"/>
      <c r="H1100" s="33" t="str">
        <f t="shared" si="1"/>
        <v/>
      </c>
      <c r="I1100" s="58"/>
      <c r="J1100" s="58"/>
      <c r="K1100" s="58"/>
      <c r="L1100" s="38"/>
      <c r="M1100" s="58"/>
      <c r="N1100" s="58"/>
      <c r="O1100" s="58"/>
      <c r="P1100" s="80"/>
      <c r="Q1100" s="77"/>
      <c r="R1100" s="62"/>
      <c r="S1100" s="62"/>
      <c r="T1100" s="62"/>
      <c r="U1100" s="62"/>
      <c r="V1100" s="37" t="str">
        <f>IFERROR(__xludf.DUMMYFUNCTION("if(not(iserror(index(split(C1100, "" ""),2))), index(split(C1100, "" ""),1),"""")"),"")</f>
        <v/>
      </c>
      <c r="W1100" s="315" t="str">
        <f>IFERROR(__xludf.DUMMYFUNCTION("if(V1100="""",C1100,if(not(iserror(index(split(C1100, "" ""),3))), index(split(C1100, "" ""),3),index(split(C1100, "" ""),2)))"),"")</f>
        <v/>
      </c>
      <c r="X1100" s="38" t="b">
        <f t="shared" si="2"/>
        <v>0</v>
      </c>
      <c r="Y1100" s="38"/>
      <c r="Z1100" s="40"/>
      <c r="AA1100" s="40"/>
      <c r="AB1100" s="38"/>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c r="AW1100" s="38"/>
      <c r="AX1100" s="38"/>
      <c r="AY1100" s="38"/>
      <c r="AZ1100" s="38"/>
      <c r="BA1100" s="38"/>
      <c r="BB1100" s="38"/>
      <c r="BC1100" s="38"/>
      <c r="BD1100" s="38"/>
      <c r="BE1100" s="38"/>
      <c r="BF1100" s="38"/>
      <c r="BG1100" s="38"/>
    </row>
    <row r="1101">
      <c r="B1101" s="341"/>
      <c r="C1101" s="60"/>
      <c r="D1101" s="60"/>
      <c r="E1101" s="58"/>
      <c r="F1101" s="58"/>
      <c r="G1101" s="58"/>
      <c r="H1101" s="33" t="str">
        <f t="shared" si="1"/>
        <v/>
      </c>
      <c r="I1101" s="58"/>
      <c r="J1101" s="58"/>
      <c r="K1101" s="58"/>
      <c r="L1101" s="38"/>
      <c r="M1101" s="58"/>
      <c r="N1101" s="58"/>
      <c r="O1101" s="58"/>
      <c r="P1101" s="80"/>
      <c r="Q1101" s="77"/>
      <c r="R1101" s="58"/>
      <c r="S1101" s="62"/>
      <c r="T1101" s="84"/>
      <c r="U1101" s="62"/>
      <c r="V1101" s="37" t="str">
        <f>IFERROR(__xludf.DUMMYFUNCTION("if(not(iserror(index(split(C1101, "" ""),2))), index(split(C1101, "" ""),1),"""")"),"")</f>
        <v/>
      </c>
      <c r="W1101" s="315" t="str">
        <f>IFERROR(__xludf.DUMMYFUNCTION("if(V1101="""",C1101,if(not(iserror(index(split(C1101, "" ""),3))), index(split(C1101, "" ""),3),index(split(C1101, "" ""),2)))"),"")</f>
        <v/>
      </c>
      <c r="X1101" s="38" t="b">
        <f t="shared" si="2"/>
        <v>0</v>
      </c>
      <c r="Y1101" s="38"/>
      <c r="Z1101" s="40"/>
      <c r="AA1101" s="40"/>
      <c r="AB1101" s="38"/>
      <c r="AC1101" s="38"/>
      <c r="AD1101" s="38"/>
      <c r="AE1101" s="38"/>
      <c r="AF1101" s="38"/>
      <c r="AG1101" s="38"/>
      <c r="AH1101" s="38"/>
      <c r="AI1101" s="38"/>
      <c r="AJ1101" s="38"/>
      <c r="AK1101" s="38"/>
      <c r="AL1101" s="38"/>
      <c r="AM1101" s="38"/>
      <c r="AN1101" s="38"/>
      <c r="AO1101" s="38"/>
      <c r="AP1101" s="38"/>
      <c r="AQ1101" s="38"/>
      <c r="AR1101" s="38"/>
      <c r="AS1101" s="38"/>
      <c r="AT1101" s="38"/>
      <c r="AU1101" s="38"/>
      <c r="AV1101" s="38"/>
      <c r="AW1101" s="38"/>
      <c r="AX1101" s="38"/>
      <c r="AY1101" s="38"/>
      <c r="AZ1101" s="38"/>
      <c r="BA1101" s="38"/>
      <c r="BB1101" s="38"/>
      <c r="BC1101" s="38"/>
      <c r="BD1101" s="38"/>
      <c r="BE1101" s="38"/>
      <c r="BF1101" s="38"/>
      <c r="BG1101" s="38"/>
    </row>
    <row r="1102">
      <c r="B1102" s="341"/>
      <c r="C1102" s="60"/>
      <c r="D1102" s="60"/>
      <c r="E1102" s="58"/>
      <c r="F1102" s="58"/>
      <c r="G1102" s="58"/>
      <c r="H1102" s="33" t="str">
        <f t="shared" si="1"/>
        <v/>
      </c>
      <c r="I1102" s="58"/>
      <c r="J1102" s="58"/>
      <c r="K1102" s="58"/>
      <c r="L1102" s="38"/>
      <c r="M1102" s="58"/>
      <c r="N1102" s="58"/>
      <c r="O1102" s="58"/>
      <c r="P1102" s="80"/>
      <c r="Q1102" s="77"/>
      <c r="R1102" s="58"/>
      <c r="S1102" s="62"/>
      <c r="T1102" s="84"/>
      <c r="U1102" s="62"/>
      <c r="V1102" s="37" t="str">
        <f>IFERROR(__xludf.DUMMYFUNCTION("if(not(iserror(index(split(C1102, "" ""),2))), index(split(C1102, "" ""),1),"""")"),"")</f>
        <v/>
      </c>
      <c r="W1102" s="315" t="str">
        <f>IFERROR(__xludf.DUMMYFUNCTION("if(V1102="""",C1102,if(not(iserror(index(split(C1102, "" ""),3))), index(split(C1102, "" ""),3),index(split(C1102, "" ""),2)))"),"")</f>
        <v/>
      </c>
      <c r="X1102" s="38" t="b">
        <f t="shared" si="2"/>
        <v>0</v>
      </c>
      <c r="Y1102" s="38"/>
      <c r="Z1102" s="40"/>
      <c r="AA1102" s="40"/>
      <c r="AB1102" s="38"/>
      <c r="AC1102" s="38"/>
      <c r="AD1102" s="38"/>
      <c r="AE1102" s="38"/>
      <c r="AF1102" s="38"/>
      <c r="AG1102" s="38"/>
      <c r="AH1102" s="38"/>
      <c r="AI1102" s="38"/>
      <c r="AJ1102" s="38"/>
      <c r="AK1102" s="38"/>
      <c r="AL1102" s="38"/>
      <c r="AM1102" s="38"/>
      <c r="AN1102" s="38"/>
      <c r="AO1102" s="38"/>
      <c r="AP1102" s="38"/>
      <c r="AQ1102" s="38"/>
      <c r="AR1102" s="38"/>
      <c r="AS1102" s="38"/>
      <c r="AT1102" s="38"/>
      <c r="AU1102" s="38"/>
      <c r="AV1102" s="38"/>
      <c r="AW1102" s="38"/>
      <c r="AX1102" s="38"/>
      <c r="AY1102" s="38"/>
      <c r="AZ1102" s="38"/>
      <c r="BA1102" s="38"/>
      <c r="BB1102" s="38"/>
      <c r="BC1102" s="38"/>
      <c r="BD1102" s="38"/>
      <c r="BE1102" s="38"/>
      <c r="BF1102" s="38"/>
      <c r="BG1102" s="38"/>
    </row>
    <row r="1103">
      <c r="A1103" s="58"/>
      <c r="B1103" s="341"/>
      <c r="C1103" s="60"/>
      <c r="D1103" s="60"/>
      <c r="E1103" s="58"/>
      <c r="F1103" s="58"/>
      <c r="G1103" s="58"/>
      <c r="H1103" s="33" t="str">
        <f t="shared" si="1"/>
        <v/>
      </c>
      <c r="I1103" s="58"/>
      <c r="J1103" s="58"/>
      <c r="K1103" s="58"/>
      <c r="L1103" s="38"/>
      <c r="M1103" s="58"/>
      <c r="N1103" s="58"/>
      <c r="O1103" s="58"/>
      <c r="P1103" s="80"/>
      <c r="Q1103" s="77"/>
      <c r="R1103" s="58"/>
      <c r="S1103" s="58"/>
      <c r="T1103" s="84"/>
      <c r="U1103" s="62"/>
      <c r="V1103" s="37" t="str">
        <f>IFERROR(__xludf.DUMMYFUNCTION("if(not(iserror(index(split(C1103, "" ""),2))), index(split(C1103, "" ""),1),"""")"),"")</f>
        <v/>
      </c>
      <c r="W1103" s="315" t="str">
        <f>IFERROR(__xludf.DUMMYFUNCTION("if(V1103="""",C1103,if(not(iserror(index(split(C1103, "" ""),3))), index(split(C1103, "" ""),3),index(split(C1103, "" ""),2)))"),"")</f>
        <v/>
      </c>
      <c r="X1103" s="38" t="b">
        <f t="shared" si="2"/>
        <v>0</v>
      </c>
      <c r="Y1103" s="38"/>
      <c r="Z1103" s="40"/>
      <c r="AA1103" s="40"/>
      <c r="AB1103" s="38"/>
      <c r="AC1103" s="38"/>
      <c r="AD1103" s="38"/>
      <c r="AE1103" s="38"/>
      <c r="AF1103" s="38"/>
      <c r="AG1103" s="38"/>
      <c r="AH1103" s="38"/>
      <c r="AI1103" s="38"/>
      <c r="AJ1103" s="38"/>
      <c r="AK1103" s="38"/>
      <c r="AL1103" s="38"/>
      <c r="AM1103" s="38"/>
      <c r="AN1103" s="38"/>
      <c r="AO1103" s="38"/>
      <c r="AP1103" s="38"/>
      <c r="AQ1103" s="38"/>
      <c r="AR1103" s="38"/>
      <c r="AS1103" s="38"/>
      <c r="AT1103" s="38"/>
      <c r="AU1103" s="38"/>
      <c r="AV1103" s="38"/>
      <c r="AW1103" s="38"/>
      <c r="AX1103" s="38"/>
      <c r="AY1103" s="38"/>
      <c r="AZ1103" s="38"/>
      <c r="BA1103" s="38"/>
      <c r="BB1103" s="38"/>
      <c r="BC1103" s="38"/>
      <c r="BD1103" s="38"/>
      <c r="BE1103" s="38"/>
      <c r="BF1103" s="38"/>
      <c r="BG1103" s="38"/>
    </row>
    <row r="1104">
      <c r="A1104" s="58"/>
      <c r="B1104" s="341"/>
      <c r="C1104" s="60"/>
      <c r="D1104" s="60"/>
      <c r="E1104" s="58"/>
      <c r="F1104" s="58"/>
      <c r="G1104" s="58"/>
      <c r="H1104" s="33" t="str">
        <f t="shared" si="1"/>
        <v/>
      </c>
      <c r="I1104" s="58"/>
      <c r="J1104" s="58"/>
      <c r="K1104" s="58"/>
      <c r="L1104" s="38"/>
      <c r="M1104" s="58"/>
      <c r="N1104" s="58"/>
      <c r="O1104" s="58"/>
      <c r="P1104" s="80"/>
      <c r="Q1104" s="77"/>
      <c r="R1104" s="58"/>
      <c r="S1104" s="62"/>
      <c r="T1104" s="84"/>
      <c r="U1104" s="62"/>
      <c r="V1104" s="37" t="str">
        <f>IFERROR(__xludf.DUMMYFUNCTION("if(not(iserror(index(split(C1104, "" ""),2))), index(split(C1104, "" ""),1),"""")"),"")</f>
        <v/>
      </c>
      <c r="W1104" s="315" t="str">
        <f>IFERROR(__xludf.DUMMYFUNCTION("if(V1104="""",C1104,if(not(iserror(index(split(C1104, "" ""),3))), index(split(C1104, "" ""),3),index(split(C1104, "" ""),2)))"),"")</f>
        <v/>
      </c>
      <c r="X1104" s="38" t="b">
        <f t="shared" si="2"/>
        <v>0</v>
      </c>
      <c r="Y1104" s="38"/>
      <c r="Z1104" s="40"/>
      <c r="AA1104" s="40"/>
      <c r="AB1104" s="38"/>
      <c r="AC1104" s="38"/>
      <c r="AD1104" s="38"/>
      <c r="AE1104" s="38"/>
      <c r="AF1104" s="38"/>
      <c r="AG1104" s="38"/>
      <c r="AH1104" s="38"/>
      <c r="AI1104" s="38"/>
      <c r="AJ1104" s="38"/>
      <c r="AK1104" s="38"/>
      <c r="AL1104" s="38"/>
      <c r="AM1104" s="38"/>
      <c r="AN1104" s="38"/>
      <c r="AO1104" s="38"/>
      <c r="AP1104" s="38"/>
      <c r="AQ1104" s="38"/>
      <c r="AR1104" s="38"/>
      <c r="AS1104" s="38"/>
      <c r="AT1104" s="38"/>
      <c r="AU1104" s="38"/>
      <c r="AV1104" s="38"/>
      <c r="AW1104" s="38"/>
      <c r="AX1104" s="38"/>
      <c r="AY1104" s="38"/>
      <c r="AZ1104" s="38"/>
      <c r="BA1104" s="38"/>
      <c r="BB1104" s="38"/>
      <c r="BC1104" s="38"/>
      <c r="BD1104" s="38"/>
      <c r="BE1104" s="38"/>
      <c r="BF1104" s="38"/>
      <c r="BG1104" s="38"/>
    </row>
    <row r="1105">
      <c r="A1105" s="58"/>
      <c r="B1105" s="341"/>
      <c r="C1105" s="60"/>
      <c r="D1105" s="60"/>
      <c r="E1105" s="58"/>
      <c r="F1105" s="58"/>
      <c r="G1105" s="58"/>
      <c r="H1105" s="33" t="str">
        <f t="shared" si="1"/>
        <v/>
      </c>
      <c r="I1105" s="58"/>
      <c r="J1105" s="58"/>
      <c r="K1105" s="58"/>
      <c r="L1105" s="38"/>
      <c r="M1105" s="58"/>
      <c r="N1105" s="58"/>
      <c r="O1105" s="58"/>
      <c r="P1105" s="80"/>
      <c r="Q1105" s="77"/>
      <c r="R1105" s="62"/>
      <c r="S1105" s="62"/>
      <c r="T1105" s="62"/>
      <c r="U1105" s="62"/>
      <c r="V1105" s="37" t="str">
        <f>IFERROR(__xludf.DUMMYFUNCTION("if(not(iserror(index(split(C1105, "" ""),2))), index(split(C1105, "" ""),1),"""")"),"")</f>
        <v/>
      </c>
      <c r="W1105" s="315" t="str">
        <f>IFERROR(__xludf.DUMMYFUNCTION("if(V1105="""",C1105,if(not(iserror(index(split(C1105, "" ""),3))), index(split(C1105, "" ""),3),index(split(C1105, "" ""),2)))"),"")</f>
        <v/>
      </c>
      <c r="X1105" s="38" t="b">
        <f t="shared" si="2"/>
        <v>0</v>
      </c>
      <c r="Y1105" s="38"/>
      <c r="Z1105" s="40"/>
      <c r="AA1105" s="40"/>
      <c r="AB1105" s="38"/>
      <c r="AC1105" s="38"/>
      <c r="AD1105" s="38"/>
      <c r="AE1105" s="38"/>
      <c r="AF1105" s="38"/>
      <c r="AG1105" s="38"/>
      <c r="AH1105" s="38"/>
      <c r="AI1105" s="38"/>
      <c r="AJ1105" s="38"/>
      <c r="AK1105" s="38"/>
      <c r="AL1105" s="38"/>
      <c r="AM1105" s="38"/>
      <c r="AN1105" s="38"/>
      <c r="AO1105" s="38"/>
      <c r="AP1105" s="38"/>
      <c r="AQ1105" s="38"/>
      <c r="AR1105" s="38"/>
      <c r="AS1105" s="38"/>
      <c r="AT1105" s="38"/>
      <c r="AU1105" s="38"/>
      <c r="AV1105" s="38"/>
      <c r="AW1105" s="38"/>
      <c r="AX1105" s="38"/>
      <c r="AY1105" s="38"/>
      <c r="AZ1105" s="38"/>
      <c r="BA1105" s="38"/>
      <c r="BB1105" s="38"/>
      <c r="BC1105" s="38"/>
      <c r="BD1105" s="38"/>
      <c r="BE1105" s="38"/>
      <c r="BF1105" s="38"/>
      <c r="BG1105" s="38"/>
    </row>
    <row r="1106">
      <c r="A1106" s="58"/>
      <c r="B1106" s="341"/>
      <c r="C1106" s="60"/>
      <c r="D1106" s="60"/>
      <c r="E1106" s="58"/>
      <c r="F1106" s="58"/>
      <c r="G1106" s="58"/>
      <c r="H1106" s="33" t="str">
        <f t="shared" si="1"/>
        <v/>
      </c>
      <c r="I1106" s="58"/>
      <c r="J1106" s="58"/>
      <c r="K1106" s="58"/>
      <c r="L1106" s="38"/>
      <c r="M1106" s="58"/>
      <c r="N1106" s="58"/>
      <c r="O1106" s="58"/>
      <c r="P1106" s="102"/>
      <c r="Q1106" s="80"/>
      <c r="R1106" s="62"/>
      <c r="S1106" s="58"/>
      <c r="T1106" s="84"/>
      <c r="U1106" s="62"/>
      <c r="V1106" s="37" t="str">
        <f>IFERROR(__xludf.DUMMYFUNCTION("if(not(iserror(index(split(C1106, "" ""),2))), index(split(C1106, "" ""),1),"""")"),"")</f>
        <v/>
      </c>
      <c r="W1106" s="315" t="str">
        <f>IFERROR(__xludf.DUMMYFUNCTION("if(V1106="""",C1106,if(not(iserror(index(split(C1106, "" ""),3))), index(split(C1106, "" ""),3),index(split(C1106, "" ""),2)))"),"")</f>
        <v/>
      </c>
      <c r="X1106" s="38" t="b">
        <f t="shared" si="2"/>
        <v>0</v>
      </c>
      <c r="Y1106" s="38"/>
      <c r="Z1106" s="40"/>
      <c r="AA1106" s="40"/>
      <c r="AB1106" s="38"/>
      <c r="AC1106" s="38"/>
      <c r="AD1106" s="38"/>
      <c r="AE1106" s="38"/>
      <c r="AF1106" s="38"/>
      <c r="AG1106" s="38"/>
      <c r="AH1106" s="38"/>
      <c r="AI1106" s="38"/>
      <c r="AJ1106" s="38"/>
      <c r="AK1106" s="38"/>
      <c r="AL1106" s="38"/>
      <c r="AM1106" s="38"/>
      <c r="AN1106" s="38"/>
      <c r="AO1106" s="38"/>
      <c r="AP1106" s="38"/>
      <c r="AQ1106" s="38"/>
      <c r="AR1106" s="38"/>
      <c r="AS1106" s="38"/>
      <c r="AT1106" s="38"/>
      <c r="AU1106" s="38"/>
      <c r="AV1106" s="38"/>
      <c r="AW1106" s="38"/>
      <c r="AX1106" s="38"/>
      <c r="AY1106" s="38"/>
      <c r="AZ1106" s="38"/>
      <c r="BA1106" s="38"/>
      <c r="BB1106" s="38"/>
      <c r="BC1106" s="38"/>
      <c r="BD1106" s="38"/>
      <c r="BE1106" s="38"/>
      <c r="BF1106" s="38"/>
      <c r="BG1106" s="38"/>
    </row>
    <row r="1107">
      <c r="A1107" s="58"/>
      <c r="B1107" s="341"/>
      <c r="C1107" s="60"/>
      <c r="D1107" s="60"/>
      <c r="E1107" s="58"/>
      <c r="F1107" s="58"/>
      <c r="G1107" s="58"/>
      <c r="H1107" s="33" t="str">
        <f t="shared" si="1"/>
        <v/>
      </c>
      <c r="I1107" s="58"/>
      <c r="J1107" s="58"/>
      <c r="K1107" s="58"/>
      <c r="L1107" s="38"/>
      <c r="M1107" s="58"/>
      <c r="N1107" s="58"/>
      <c r="O1107" s="58"/>
      <c r="P1107" s="80"/>
      <c r="Q1107" s="77"/>
      <c r="R1107" s="58"/>
      <c r="S1107" s="58"/>
      <c r="T1107" s="84"/>
      <c r="U1107" s="62"/>
      <c r="V1107" s="37" t="str">
        <f>IFERROR(__xludf.DUMMYFUNCTION("if(not(iserror(index(split(C1107, "" ""),2))), index(split(C1107, "" ""),1),"""")"),"")</f>
        <v/>
      </c>
      <c r="W1107" s="315" t="str">
        <f>IFERROR(__xludf.DUMMYFUNCTION("if(V1107="""",C1107,if(not(iserror(index(split(C1107, "" ""),3))), index(split(C1107, "" ""),3),index(split(C1107, "" ""),2)))"),"")</f>
        <v/>
      </c>
      <c r="X1107" s="38" t="b">
        <f t="shared" si="2"/>
        <v>0</v>
      </c>
      <c r="Y1107" s="38"/>
      <c r="Z1107" s="40"/>
      <c r="AA1107" s="40"/>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AY1107" s="38"/>
      <c r="AZ1107" s="38"/>
      <c r="BA1107" s="38"/>
      <c r="BB1107" s="38"/>
      <c r="BC1107" s="38"/>
      <c r="BD1107" s="38"/>
      <c r="BE1107" s="38"/>
      <c r="BF1107" s="38"/>
      <c r="BG1107" s="38"/>
    </row>
    <row r="1108">
      <c r="A1108" s="91"/>
      <c r="B1108" s="383"/>
      <c r="C1108" s="146"/>
      <c r="D1108" s="146"/>
      <c r="E1108" s="91"/>
      <c r="F1108" s="91"/>
      <c r="G1108" s="91"/>
      <c r="H1108" s="33" t="str">
        <f t="shared" si="1"/>
        <v/>
      </c>
      <c r="I1108" s="91"/>
      <c r="J1108" s="91"/>
      <c r="K1108" s="91"/>
      <c r="L1108" s="38"/>
      <c r="M1108" s="91"/>
      <c r="N1108" s="91"/>
      <c r="O1108" s="91"/>
      <c r="P1108" s="95"/>
      <c r="Q1108" s="95"/>
      <c r="R1108" s="58"/>
      <c r="S1108" s="58"/>
      <c r="T1108" s="84"/>
      <c r="U1108" s="62"/>
      <c r="V1108" s="37" t="str">
        <f>IFERROR(__xludf.DUMMYFUNCTION("if(not(iserror(index(split(C1108, "" ""),2))), index(split(C1108, "" ""),1),"""")"),"")</f>
        <v/>
      </c>
      <c r="W1108" s="315" t="str">
        <f>IFERROR(__xludf.DUMMYFUNCTION("if(V1108="""",C1108,if(not(iserror(index(split(C1108, "" ""),3))), index(split(C1108, "" ""),3),index(split(C1108, "" ""),2)))"),"")</f>
        <v/>
      </c>
      <c r="X1108" s="38" t="b">
        <f t="shared" si="2"/>
        <v>0</v>
      </c>
      <c r="Y1108" s="38"/>
      <c r="Z1108" s="40"/>
      <c r="AA1108" s="40"/>
      <c r="AB1108" s="38"/>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c r="AW1108" s="38"/>
      <c r="AX1108" s="38"/>
      <c r="AY1108" s="38"/>
      <c r="AZ1108" s="38"/>
      <c r="BA1108" s="38"/>
      <c r="BB1108" s="38"/>
      <c r="BC1108" s="38"/>
      <c r="BD1108" s="38"/>
      <c r="BE1108" s="38"/>
      <c r="BF1108" s="38"/>
      <c r="BG1108" s="38"/>
    </row>
    <row r="1109">
      <c r="A1109" s="58"/>
      <c r="B1109" s="341"/>
      <c r="C1109" s="60"/>
      <c r="D1109" s="60"/>
      <c r="E1109" s="58"/>
      <c r="F1109" s="58"/>
      <c r="G1109" s="58"/>
      <c r="H1109" s="33" t="str">
        <f t="shared" si="1"/>
        <v/>
      </c>
      <c r="I1109" s="58"/>
      <c r="J1109" s="58"/>
      <c r="K1109" s="58"/>
      <c r="L1109" s="38"/>
      <c r="M1109" s="58"/>
      <c r="N1109" s="58"/>
      <c r="O1109" s="58"/>
      <c r="P1109" s="80"/>
      <c r="Q1109" s="77"/>
      <c r="R1109" s="62"/>
      <c r="S1109" s="62"/>
      <c r="T1109" s="62"/>
      <c r="U1109" s="62"/>
      <c r="V1109" s="37" t="str">
        <f>IFERROR(__xludf.DUMMYFUNCTION("if(not(iserror(index(split(C1109, "" ""),2))), index(split(C1109, "" ""),1),"""")"),"")</f>
        <v/>
      </c>
      <c r="W1109" s="315" t="str">
        <f>IFERROR(__xludf.DUMMYFUNCTION("if(V1109="""",C1109,if(not(iserror(index(split(C1109, "" ""),3))), index(split(C1109, "" ""),3),index(split(C1109, "" ""),2)))"),"")</f>
        <v/>
      </c>
      <c r="X1109" s="38" t="b">
        <f t="shared" si="2"/>
        <v>0</v>
      </c>
      <c r="Y1109" s="38"/>
      <c r="Z1109" s="40"/>
      <c r="AA1109" s="40"/>
      <c r="AB1109" s="38"/>
      <c r="AC1109" s="38"/>
      <c r="AD1109" s="38"/>
      <c r="AE1109" s="38"/>
      <c r="AF1109" s="38"/>
      <c r="AG1109" s="38"/>
      <c r="AH1109" s="38"/>
      <c r="AI1109" s="38"/>
      <c r="AJ1109" s="38"/>
      <c r="AK1109" s="38"/>
      <c r="AL1109" s="38"/>
      <c r="AM1109" s="38"/>
      <c r="AN1109" s="38"/>
      <c r="AO1109" s="38"/>
      <c r="AP1109" s="38"/>
      <c r="AQ1109" s="38"/>
      <c r="AR1109" s="38"/>
      <c r="AS1109" s="38"/>
      <c r="AT1109" s="38"/>
      <c r="AU1109" s="38"/>
      <c r="AV1109" s="38"/>
      <c r="AW1109" s="38"/>
      <c r="AX1109" s="38"/>
      <c r="AY1109" s="38"/>
      <c r="AZ1109" s="38"/>
      <c r="BA1109" s="38"/>
      <c r="BB1109" s="38"/>
      <c r="BC1109" s="38"/>
      <c r="BD1109" s="38"/>
      <c r="BE1109" s="38"/>
      <c r="BF1109" s="38"/>
      <c r="BG1109" s="38"/>
    </row>
    <row r="1110">
      <c r="A1110" s="58"/>
      <c r="B1110" s="341"/>
      <c r="C1110" s="60"/>
      <c r="D1110" s="60"/>
      <c r="E1110" s="58"/>
      <c r="F1110" s="58"/>
      <c r="G1110" s="58"/>
      <c r="H1110" s="33" t="str">
        <f t="shared" si="1"/>
        <v/>
      </c>
      <c r="I1110" s="58"/>
      <c r="J1110" s="58"/>
      <c r="K1110" s="58"/>
      <c r="L1110" s="38"/>
      <c r="M1110" s="58"/>
      <c r="N1110" s="58"/>
      <c r="O1110" s="58"/>
      <c r="P1110" s="80"/>
      <c r="Q1110" s="77"/>
      <c r="R1110" s="62"/>
      <c r="S1110" s="62"/>
      <c r="T1110" s="62"/>
      <c r="U1110" s="62"/>
      <c r="V1110" s="37" t="str">
        <f>IFERROR(__xludf.DUMMYFUNCTION("if(not(iserror(index(split(C1110, "" ""),2))), index(split(C1110, "" ""),1),"""")"),"")</f>
        <v/>
      </c>
      <c r="W1110" s="315" t="str">
        <f>IFERROR(__xludf.DUMMYFUNCTION("if(V1110="""",C1110,if(not(iserror(index(split(C1110, "" ""),3))), index(split(C1110, "" ""),3),index(split(C1110, "" ""),2)))"),"")</f>
        <v/>
      </c>
      <c r="X1110" s="38" t="b">
        <f t="shared" si="2"/>
        <v>0</v>
      </c>
      <c r="Y1110" s="38"/>
      <c r="Z1110" s="40"/>
      <c r="AA1110" s="40"/>
      <c r="AB1110" s="38"/>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row>
    <row r="1111">
      <c r="B1111" s="341"/>
      <c r="C1111" s="60"/>
      <c r="D1111" s="60"/>
      <c r="E1111" s="58"/>
      <c r="F1111" s="58"/>
      <c r="G1111" s="58"/>
      <c r="H1111" s="33" t="str">
        <f t="shared" si="1"/>
        <v/>
      </c>
      <c r="I1111" s="58"/>
      <c r="J1111" s="58"/>
      <c r="K1111" s="58"/>
      <c r="L1111" s="38"/>
      <c r="M1111" s="58"/>
      <c r="N1111" s="58"/>
      <c r="O1111" s="58"/>
      <c r="P1111" s="80"/>
      <c r="Q1111" s="77"/>
      <c r="R1111" s="62"/>
      <c r="S1111" s="62"/>
      <c r="T1111" s="62"/>
      <c r="U1111" s="62"/>
      <c r="V1111" s="37" t="str">
        <f>IFERROR(__xludf.DUMMYFUNCTION("if(not(iserror(index(split(C1111, "" ""),2))), index(split(C1111, "" ""),1),"""")"),"")</f>
        <v/>
      </c>
      <c r="W1111" s="315" t="str">
        <f>IFERROR(__xludf.DUMMYFUNCTION("if(V1111="""",C1111,if(not(iserror(index(split(C1111, "" ""),3))), index(split(C1111, "" ""),3),index(split(C1111, "" ""),2)))"),"")</f>
        <v/>
      </c>
      <c r="X1111" s="38" t="b">
        <f t="shared" si="2"/>
        <v>0</v>
      </c>
      <c r="Y1111" s="38"/>
      <c r="Z1111" s="40"/>
      <c r="AA1111" s="40"/>
      <c r="AB1111" s="38"/>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c r="AW1111" s="38"/>
      <c r="AX1111" s="38"/>
      <c r="AY1111" s="38"/>
      <c r="AZ1111" s="38"/>
      <c r="BA1111" s="38"/>
      <c r="BB1111" s="38"/>
      <c r="BC1111" s="38"/>
      <c r="BD1111" s="38"/>
      <c r="BE1111" s="38"/>
      <c r="BF1111" s="38"/>
      <c r="BG1111" s="38"/>
    </row>
    <row r="1112">
      <c r="A1112" s="58"/>
      <c r="B1112" s="341"/>
      <c r="C1112" s="60"/>
      <c r="D1112" s="60"/>
      <c r="E1112" s="58"/>
      <c r="F1112" s="58"/>
      <c r="G1112" s="58"/>
      <c r="H1112" s="33" t="str">
        <f t="shared" si="1"/>
        <v/>
      </c>
      <c r="I1112" s="58"/>
      <c r="J1112" s="58"/>
      <c r="K1112" s="58"/>
      <c r="L1112" s="38"/>
      <c r="M1112" s="58"/>
      <c r="N1112" s="58"/>
      <c r="O1112" s="58"/>
      <c r="P1112" s="80"/>
      <c r="Q1112" s="77"/>
      <c r="R1112" s="62"/>
      <c r="S1112" s="62"/>
      <c r="T1112" s="62"/>
      <c r="U1112" s="62"/>
      <c r="V1112" s="37" t="str">
        <f>IFERROR(__xludf.DUMMYFUNCTION("if(not(iserror(index(split(C1112, "" ""),2))), index(split(C1112, "" ""),1),"""")"),"")</f>
        <v/>
      </c>
      <c r="W1112" s="315" t="str">
        <f>IFERROR(__xludf.DUMMYFUNCTION("if(V1112="""",C1112,if(not(iserror(index(split(C1112, "" ""),3))), index(split(C1112, "" ""),3),index(split(C1112, "" ""),2)))"),"")</f>
        <v/>
      </c>
      <c r="X1112" s="38" t="b">
        <f t="shared" si="2"/>
        <v>0</v>
      </c>
      <c r="Y1112" s="38"/>
      <c r="Z1112" s="40"/>
      <c r="AA1112" s="40"/>
      <c r="AB1112" s="38"/>
      <c r="AC1112" s="38"/>
      <c r="AD1112" s="38"/>
      <c r="AE1112" s="38"/>
      <c r="AF1112" s="38"/>
      <c r="AG1112" s="38"/>
      <c r="AH1112" s="38"/>
      <c r="AI1112" s="38"/>
      <c r="AJ1112" s="38"/>
      <c r="AK1112" s="38"/>
      <c r="AL1112" s="38"/>
      <c r="AM1112" s="38"/>
      <c r="AN1112" s="38"/>
      <c r="AO1112" s="38"/>
      <c r="AP1112" s="38"/>
      <c r="AQ1112" s="38"/>
      <c r="AR1112" s="38"/>
      <c r="AS1112" s="38"/>
      <c r="AT1112" s="38"/>
      <c r="AU1112" s="38"/>
      <c r="AV1112" s="38"/>
      <c r="AW1112" s="38"/>
      <c r="AX1112" s="38"/>
      <c r="AY1112" s="38"/>
      <c r="AZ1112" s="38"/>
      <c r="BA1112" s="38"/>
      <c r="BB1112" s="38"/>
      <c r="BC1112" s="38"/>
      <c r="BD1112" s="38"/>
      <c r="BE1112" s="38"/>
      <c r="BF1112" s="38"/>
      <c r="BG1112" s="38"/>
    </row>
    <row r="1113">
      <c r="A1113" s="58"/>
      <c r="B1113" s="341"/>
      <c r="C1113" s="60"/>
      <c r="D1113" s="60"/>
      <c r="E1113" s="58"/>
      <c r="F1113" s="58"/>
      <c r="G1113" s="58"/>
      <c r="H1113" s="33" t="str">
        <f t="shared" si="1"/>
        <v/>
      </c>
      <c r="I1113" s="58"/>
      <c r="J1113" s="58"/>
      <c r="K1113" s="58"/>
      <c r="L1113" s="38"/>
      <c r="M1113" s="58"/>
      <c r="N1113" s="58"/>
      <c r="O1113" s="58"/>
      <c r="P1113" s="80"/>
      <c r="Q1113" s="77"/>
      <c r="R1113" s="62"/>
      <c r="S1113" s="62"/>
      <c r="T1113" s="62"/>
      <c r="U1113" s="62"/>
      <c r="V1113" s="37" t="str">
        <f>IFERROR(__xludf.DUMMYFUNCTION("if(not(iserror(index(split(C1113, "" ""),2))), index(split(C1113, "" ""),1),"""")"),"")</f>
        <v/>
      </c>
      <c r="W1113" s="315" t="str">
        <f>IFERROR(__xludf.DUMMYFUNCTION("if(V1113="""",C1113,if(not(iserror(index(split(C1113, "" ""),3))), index(split(C1113, "" ""),3),index(split(C1113, "" ""),2)))"),"")</f>
        <v/>
      </c>
      <c r="X1113" s="38" t="b">
        <f t="shared" si="2"/>
        <v>0</v>
      </c>
      <c r="Y1113" s="38"/>
      <c r="Z1113" s="40"/>
      <c r="AA1113" s="40"/>
      <c r="AB1113" s="38"/>
      <c r="AC1113" s="38"/>
      <c r="AD1113" s="38"/>
      <c r="AE1113" s="38"/>
      <c r="AF1113" s="38"/>
      <c r="AG1113" s="38"/>
      <c r="AH1113" s="38"/>
      <c r="AI1113" s="38"/>
      <c r="AJ1113" s="38"/>
      <c r="AK1113" s="38"/>
      <c r="AL1113" s="38"/>
      <c r="AM1113" s="38"/>
      <c r="AN1113" s="38"/>
      <c r="AO1113" s="38"/>
      <c r="AP1113" s="38"/>
      <c r="AQ1113" s="38"/>
      <c r="AR1113" s="38"/>
      <c r="AS1113" s="38"/>
      <c r="AT1113" s="38"/>
      <c r="AU1113" s="38"/>
      <c r="AV1113" s="38"/>
      <c r="AW1113" s="38"/>
      <c r="AX1113" s="38"/>
      <c r="AY1113" s="38"/>
      <c r="AZ1113" s="38"/>
      <c r="BA1113" s="38"/>
      <c r="BB1113" s="38"/>
      <c r="BC1113" s="38"/>
      <c r="BD1113" s="38"/>
      <c r="BE1113" s="38"/>
      <c r="BF1113" s="38"/>
      <c r="BG1113" s="38"/>
    </row>
    <row r="1114">
      <c r="A1114" s="58"/>
      <c r="B1114" s="341"/>
      <c r="C1114" s="60"/>
      <c r="D1114" s="60"/>
      <c r="E1114" s="58"/>
      <c r="F1114" s="58"/>
      <c r="G1114" s="58"/>
      <c r="H1114" s="33" t="str">
        <f t="shared" si="1"/>
        <v/>
      </c>
      <c r="I1114" s="58"/>
      <c r="J1114" s="58"/>
      <c r="K1114" s="58"/>
      <c r="L1114" s="38"/>
      <c r="M1114" s="58"/>
      <c r="N1114" s="58"/>
      <c r="O1114" s="58"/>
      <c r="P1114" s="80"/>
      <c r="Q1114" s="77"/>
      <c r="R1114" s="62"/>
      <c r="S1114" s="62"/>
      <c r="T1114" s="62"/>
      <c r="U1114" s="62"/>
      <c r="V1114" s="37" t="str">
        <f>IFERROR(__xludf.DUMMYFUNCTION("if(not(iserror(index(split(C1114, "" ""),2))), index(split(C1114, "" ""),1),"""")"),"")</f>
        <v/>
      </c>
      <c r="W1114" s="315" t="str">
        <f>IFERROR(__xludf.DUMMYFUNCTION("if(V1114="""",C1114,if(not(iserror(index(split(C1114, "" ""),3))), index(split(C1114, "" ""),3),index(split(C1114, "" ""),2)))"),"")</f>
        <v/>
      </c>
      <c r="X1114" s="38" t="b">
        <f t="shared" si="2"/>
        <v>0</v>
      </c>
      <c r="Y1114" s="38"/>
      <c r="Z1114" s="40"/>
      <c r="AA1114" s="40"/>
      <c r="AB1114" s="38"/>
      <c r="AC1114" s="38"/>
      <c r="AD1114" s="38"/>
      <c r="AE1114" s="38"/>
      <c r="AF1114" s="38"/>
      <c r="AG1114" s="38"/>
      <c r="AH1114" s="38"/>
      <c r="AI1114" s="38"/>
      <c r="AJ1114" s="38"/>
      <c r="AK1114" s="38"/>
      <c r="AL1114" s="38"/>
      <c r="AM1114" s="38"/>
      <c r="AN1114" s="38"/>
      <c r="AO1114" s="38"/>
      <c r="AP1114" s="38"/>
      <c r="AQ1114" s="38"/>
      <c r="AR1114" s="38"/>
      <c r="AS1114" s="38"/>
      <c r="AT1114" s="38"/>
      <c r="AU1114" s="38"/>
      <c r="AV1114" s="38"/>
      <c r="AW1114" s="38"/>
      <c r="AX1114" s="38"/>
      <c r="AY1114" s="38"/>
      <c r="AZ1114" s="38"/>
      <c r="BA1114" s="38"/>
      <c r="BB1114" s="38"/>
      <c r="BC1114" s="38"/>
      <c r="BD1114" s="38"/>
      <c r="BE1114" s="38"/>
      <c r="BF1114" s="38"/>
      <c r="BG1114" s="38"/>
    </row>
    <row r="1115">
      <c r="A1115" s="58"/>
      <c r="B1115" s="341"/>
      <c r="C1115" s="60"/>
      <c r="D1115" s="60"/>
      <c r="E1115" s="58"/>
      <c r="F1115" s="58"/>
      <c r="G1115" s="58"/>
      <c r="H1115" s="33" t="str">
        <f t="shared" si="1"/>
        <v/>
      </c>
      <c r="I1115" s="58"/>
      <c r="J1115" s="58"/>
      <c r="K1115" s="58"/>
      <c r="L1115" s="38"/>
      <c r="M1115" s="58"/>
      <c r="N1115" s="58"/>
      <c r="O1115" s="58"/>
      <c r="P1115" s="80"/>
      <c r="Q1115" s="77"/>
      <c r="R1115" s="62"/>
      <c r="S1115" s="62"/>
      <c r="T1115" s="62"/>
      <c r="U1115" s="62"/>
      <c r="V1115" s="37" t="str">
        <f>IFERROR(__xludf.DUMMYFUNCTION("if(not(iserror(index(split(C1115, "" ""),2))), index(split(C1115, "" ""),1),"""")"),"")</f>
        <v/>
      </c>
      <c r="W1115" s="315" t="str">
        <f>IFERROR(__xludf.DUMMYFUNCTION("if(V1115="""",C1115,if(not(iserror(index(split(C1115, "" ""),3))), index(split(C1115, "" ""),3),index(split(C1115, "" ""),2)))"),"")</f>
        <v/>
      </c>
      <c r="X1115" s="38" t="b">
        <f t="shared" si="2"/>
        <v>0</v>
      </c>
      <c r="Y1115" s="38"/>
      <c r="Z1115" s="40"/>
      <c r="AA1115" s="40"/>
      <c r="AB1115" s="38"/>
      <c r="AC1115" s="38"/>
      <c r="AD1115" s="38"/>
      <c r="AE1115" s="38"/>
      <c r="AF1115" s="38"/>
      <c r="AG1115" s="38"/>
      <c r="AH1115" s="38"/>
      <c r="AI1115" s="38"/>
      <c r="AJ1115" s="38"/>
      <c r="AK1115" s="38"/>
      <c r="AL1115" s="38"/>
      <c r="AM1115" s="38"/>
      <c r="AN1115" s="38"/>
      <c r="AO1115" s="38"/>
      <c r="AP1115" s="38"/>
      <c r="AQ1115" s="38"/>
      <c r="AR1115" s="38"/>
      <c r="AS1115" s="38"/>
      <c r="AT1115" s="38"/>
      <c r="AU1115" s="38"/>
      <c r="AV1115" s="38"/>
      <c r="AW1115" s="38"/>
      <c r="AX1115" s="38"/>
      <c r="AY1115" s="38"/>
      <c r="AZ1115" s="38"/>
      <c r="BA1115" s="38"/>
      <c r="BB1115" s="38"/>
      <c r="BC1115" s="38"/>
      <c r="BD1115" s="38"/>
      <c r="BE1115" s="38"/>
      <c r="BF1115" s="38"/>
      <c r="BG1115" s="38"/>
    </row>
    <row r="1116">
      <c r="A1116" s="58"/>
      <c r="B1116" s="341"/>
      <c r="C1116" s="60"/>
      <c r="D1116" s="60"/>
      <c r="E1116" s="58"/>
      <c r="F1116" s="58"/>
      <c r="G1116" s="58"/>
      <c r="H1116" s="33" t="str">
        <f t="shared" si="1"/>
        <v/>
      </c>
      <c r="I1116" s="58"/>
      <c r="J1116" s="58"/>
      <c r="K1116" s="58"/>
      <c r="L1116" s="38"/>
      <c r="M1116" s="58"/>
      <c r="N1116" s="58"/>
      <c r="O1116" s="58"/>
      <c r="P1116" s="80"/>
      <c r="Q1116" s="77"/>
      <c r="R1116" s="58"/>
      <c r="S1116" s="58"/>
      <c r="T1116" s="84"/>
      <c r="U1116" s="62"/>
      <c r="V1116" s="37" t="str">
        <f>IFERROR(__xludf.DUMMYFUNCTION("if(not(iserror(index(split(C1116, "" ""),2))), index(split(C1116, "" ""),1),"""")"),"")</f>
        <v/>
      </c>
      <c r="W1116" s="315" t="str">
        <f>IFERROR(__xludf.DUMMYFUNCTION("if(V1116="""",C1116,if(not(iserror(index(split(C1116, "" ""),3))), index(split(C1116, "" ""),3),index(split(C1116, "" ""),2)))"),"")</f>
        <v/>
      </c>
      <c r="X1116" s="38" t="b">
        <f t="shared" si="2"/>
        <v>0</v>
      </c>
      <c r="Y1116" s="38"/>
      <c r="Z1116" s="40"/>
      <c r="AA1116" s="40"/>
      <c r="AB1116" s="38"/>
      <c r="AC1116" s="38"/>
      <c r="AD1116" s="38"/>
      <c r="AE1116" s="38"/>
      <c r="AF1116" s="38"/>
      <c r="AG1116" s="38"/>
      <c r="AH1116" s="38"/>
      <c r="AI1116" s="38"/>
      <c r="AJ1116" s="38"/>
      <c r="AK1116" s="38"/>
      <c r="AL1116" s="38"/>
      <c r="AM1116" s="38"/>
      <c r="AN1116" s="38"/>
      <c r="AO1116" s="38"/>
      <c r="AP1116" s="38"/>
      <c r="AQ1116" s="38"/>
      <c r="AR1116" s="38"/>
      <c r="AS1116" s="38"/>
      <c r="AT1116" s="38"/>
      <c r="AU1116" s="38"/>
      <c r="AV1116" s="38"/>
      <c r="AW1116" s="38"/>
      <c r="AX1116" s="38"/>
      <c r="AY1116" s="38"/>
      <c r="AZ1116" s="38"/>
      <c r="BA1116" s="38"/>
      <c r="BB1116" s="38"/>
      <c r="BC1116" s="38"/>
      <c r="BD1116" s="38"/>
      <c r="BE1116" s="38"/>
      <c r="BF1116" s="38"/>
      <c r="BG1116" s="38"/>
    </row>
    <row r="1117">
      <c r="A1117" s="58"/>
      <c r="B1117" s="341"/>
      <c r="C1117" s="60"/>
      <c r="D1117" s="60"/>
      <c r="E1117" s="58"/>
      <c r="F1117" s="58"/>
      <c r="G1117" s="58"/>
      <c r="H1117" s="33" t="str">
        <f t="shared" si="1"/>
        <v/>
      </c>
      <c r="I1117" s="58"/>
      <c r="J1117" s="58"/>
      <c r="K1117" s="58"/>
      <c r="L1117" s="38"/>
      <c r="M1117" s="91"/>
      <c r="N1117" s="91"/>
      <c r="O1117" s="91"/>
      <c r="P1117" s="80"/>
      <c r="Q1117" s="77"/>
      <c r="R1117" s="58"/>
      <c r="S1117" s="58"/>
      <c r="T1117" s="58"/>
      <c r="U1117" s="62"/>
      <c r="V1117" s="37" t="str">
        <f>IFERROR(__xludf.DUMMYFUNCTION("if(not(iserror(index(split(C1117, "" ""),2))), index(split(C1117, "" ""),1),"""")"),"")</f>
        <v/>
      </c>
      <c r="W1117" s="315" t="str">
        <f>IFERROR(__xludf.DUMMYFUNCTION("if(V1117="""",C1117,if(not(iserror(index(split(C1117, "" ""),3))), index(split(C1117, "" ""),3),index(split(C1117, "" ""),2)))"),"")</f>
        <v/>
      </c>
      <c r="X1117" s="38" t="b">
        <f t="shared" si="2"/>
        <v>0</v>
      </c>
      <c r="Y1117" s="38"/>
      <c r="Z1117" s="40"/>
      <c r="AA1117" s="40"/>
      <c r="AB1117" s="38"/>
      <c r="AC1117" s="38"/>
      <c r="AD1117" s="38"/>
      <c r="AE1117" s="38"/>
      <c r="AF1117" s="38"/>
      <c r="AG1117" s="38"/>
      <c r="AH1117" s="38"/>
      <c r="AI1117" s="38"/>
      <c r="AJ1117" s="38"/>
      <c r="AK1117" s="38"/>
      <c r="AL1117" s="38"/>
      <c r="AM1117" s="38"/>
      <c r="AN1117" s="38"/>
      <c r="AO1117" s="38"/>
      <c r="AP1117" s="38"/>
      <c r="AQ1117" s="38"/>
      <c r="AR1117" s="38"/>
      <c r="AS1117" s="38"/>
      <c r="AT1117" s="38"/>
      <c r="AU1117" s="38"/>
      <c r="AV1117" s="38"/>
      <c r="AW1117" s="38"/>
      <c r="AX1117" s="38"/>
      <c r="AY1117" s="38"/>
      <c r="AZ1117" s="38"/>
      <c r="BA1117" s="38"/>
      <c r="BB1117" s="38"/>
      <c r="BC1117" s="38"/>
      <c r="BD1117" s="38"/>
      <c r="BE1117" s="38"/>
      <c r="BF1117" s="38"/>
      <c r="BG1117" s="38"/>
    </row>
    <row r="1118">
      <c r="A1118" s="91"/>
      <c r="B1118" s="383"/>
      <c r="C1118" s="146"/>
      <c r="D1118" s="146"/>
      <c r="E1118" s="91"/>
      <c r="F1118" s="91"/>
      <c r="G1118" s="91"/>
      <c r="H1118" s="33" t="str">
        <f t="shared" si="1"/>
        <v/>
      </c>
      <c r="I1118" s="91"/>
      <c r="J1118" s="91"/>
      <c r="K1118" s="91"/>
      <c r="L1118" s="38"/>
      <c r="M1118" s="91"/>
      <c r="N1118" s="91"/>
      <c r="O1118" s="91"/>
      <c r="P1118" s="95"/>
      <c r="Q1118" s="15"/>
      <c r="R1118" s="58"/>
      <c r="S1118" s="58"/>
      <c r="T1118" s="84"/>
      <c r="U1118" s="62"/>
      <c r="V1118" s="37" t="str">
        <f>IFERROR(__xludf.DUMMYFUNCTION("if(not(iserror(index(split(C1118, "" ""),2))), index(split(C1118, "" ""),1),"""")"),"")</f>
        <v/>
      </c>
      <c r="W1118" s="315" t="str">
        <f>IFERROR(__xludf.DUMMYFUNCTION("if(V1118="""",C1118,if(not(iserror(index(split(C1118, "" ""),3))), index(split(C1118, "" ""),3),index(split(C1118, "" ""),2)))"),"")</f>
        <v/>
      </c>
      <c r="X1118" s="38" t="b">
        <f t="shared" si="2"/>
        <v>0</v>
      </c>
      <c r="Y1118" s="38"/>
      <c r="Z1118" s="40"/>
      <c r="AA1118" s="40"/>
      <c r="AB1118" s="38"/>
      <c r="AC1118" s="38"/>
      <c r="AD1118" s="38"/>
      <c r="AE1118" s="38"/>
      <c r="AF1118" s="38"/>
      <c r="AG1118" s="38"/>
      <c r="AH1118" s="38"/>
      <c r="AI1118" s="38"/>
      <c r="AJ1118" s="38"/>
      <c r="AK1118" s="38"/>
      <c r="AL1118" s="38"/>
      <c r="AM1118" s="38"/>
      <c r="AN1118" s="38"/>
      <c r="AO1118" s="38"/>
      <c r="AP1118" s="38"/>
      <c r="AQ1118" s="38"/>
      <c r="AR1118" s="38"/>
      <c r="AS1118" s="38"/>
      <c r="AT1118" s="38"/>
      <c r="AU1118" s="38"/>
      <c r="AV1118" s="38"/>
      <c r="AW1118" s="38"/>
      <c r="AX1118" s="38"/>
      <c r="AY1118" s="38"/>
      <c r="AZ1118" s="38"/>
      <c r="BA1118" s="38"/>
      <c r="BB1118" s="38"/>
      <c r="BC1118" s="38"/>
      <c r="BD1118" s="38"/>
      <c r="BE1118" s="38"/>
      <c r="BF1118" s="38"/>
      <c r="BG1118" s="38"/>
    </row>
    <row r="1119">
      <c r="A1119" s="58"/>
      <c r="B1119" s="341"/>
      <c r="C1119" s="60"/>
      <c r="D1119" s="60"/>
      <c r="E1119" s="58"/>
      <c r="F1119" s="58"/>
      <c r="G1119" s="58"/>
      <c r="H1119" s="33" t="str">
        <f t="shared" si="1"/>
        <v/>
      </c>
      <c r="I1119" s="58"/>
      <c r="J1119" s="58"/>
      <c r="K1119" s="58"/>
      <c r="L1119" s="38"/>
      <c r="M1119" s="58"/>
      <c r="N1119" s="58"/>
      <c r="O1119" s="58"/>
      <c r="P1119" s="80"/>
      <c r="Q1119" s="77"/>
      <c r="R1119" s="62"/>
      <c r="S1119" s="62"/>
      <c r="T1119" s="62"/>
      <c r="U1119" s="62"/>
      <c r="V1119" s="37" t="str">
        <f>IFERROR(__xludf.DUMMYFUNCTION("if(not(iserror(index(split(C1119, "" ""),2))), index(split(C1119, "" ""),1),"""")"),"")</f>
        <v/>
      </c>
      <c r="W1119" s="315" t="str">
        <f>IFERROR(__xludf.DUMMYFUNCTION("if(V1119="""",C1119,if(not(iserror(index(split(C1119, "" ""),3))), index(split(C1119, "" ""),3),index(split(C1119, "" ""),2)))"),"")</f>
        <v/>
      </c>
      <c r="X1119" s="38" t="b">
        <f t="shared" si="2"/>
        <v>0</v>
      </c>
      <c r="Y1119" s="38"/>
      <c r="Z1119" s="40"/>
      <c r="AA1119" s="40"/>
      <c r="AB1119" s="38"/>
      <c r="AC1119" s="38"/>
      <c r="AD1119" s="38"/>
      <c r="AE1119" s="38"/>
      <c r="AF1119" s="38"/>
      <c r="AG1119" s="38"/>
      <c r="AH1119" s="38"/>
      <c r="AI1119" s="38"/>
      <c r="AJ1119" s="38"/>
      <c r="AK1119" s="38"/>
      <c r="AL1119" s="38"/>
      <c r="AM1119" s="38"/>
      <c r="AN1119" s="38"/>
      <c r="AO1119" s="38"/>
      <c r="AP1119" s="38"/>
      <c r="AQ1119" s="38"/>
      <c r="AR1119" s="38"/>
      <c r="AS1119" s="38"/>
      <c r="AT1119" s="38"/>
      <c r="AU1119" s="38"/>
      <c r="AV1119" s="38"/>
      <c r="AW1119" s="38"/>
      <c r="AX1119" s="38"/>
      <c r="AY1119" s="38"/>
      <c r="AZ1119" s="38"/>
      <c r="BA1119" s="38"/>
      <c r="BB1119" s="38"/>
      <c r="BC1119" s="38"/>
      <c r="BD1119" s="38"/>
      <c r="BE1119" s="38"/>
      <c r="BF1119" s="38"/>
      <c r="BG1119" s="38"/>
    </row>
    <row r="1120">
      <c r="A1120" s="58"/>
      <c r="B1120" s="341"/>
      <c r="C1120" s="60"/>
      <c r="D1120" s="60"/>
      <c r="E1120" s="58"/>
      <c r="F1120" s="58"/>
      <c r="G1120" s="58"/>
      <c r="H1120" s="33" t="str">
        <f t="shared" si="1"/>
        <v/>
      </c>
      <c r="I1120" s="58"/>
      <c r="J1120" s="58"/>
      <c r="K1120" s="58"/>
      <c r="L1120" s="38"/>
      <c r="M1120" s="58"/>
      <c r="N1120" s="58"/>
      <c r="O1120" s="58"/>
      <c r="P1120" s="80"/>
      <c r="Q1120" s="80"/>
      <c r="R1120" s="62"/>
      <c r="S1120" s="58"/>
      <c r="T1120" s="84"/>
      <c r="U1120" s="62"/>
      <c r="V1120" s="37" t="str">
        <f>IFERROR(__xludf.DUMMYFUNCTION("if(not(iserror(index(split(C1120, "" ""),2))), index(split(C1120, "" ""),1),"""")"),"")</f>
        <v/>
      </c>
      <c r="W1120" s="315" t="str">
        <f>IFERROR(__xludf.DUMMYFUNCTION("if(V1120="""",C1120,if(not(iserror(index(split(C1120, "" ""),3))), index(split(C1120, "" ""),3),index(split(C1120, "" ""),2)))"),"")</f>
        <v/>
      </c>
      <c r="X1120" s="38" t="b">
        <f t="shared" si="2"/>
        <v>0</v>
      </c>
      <c r="Y1120" s="38"/>
      <c r="Z1120" s="40"/>
      <c r="AA1120" s="40"/>
      <c r="AB1120" s="38"/>
      <c r="AC1120" s="38"/>
      <c r="AD1120" s="38"/>
      <c r="AE1120" s="38"/>
      <c r="AF1120" s="38"/>
      <c r="AG1120" s="38"/>
      <c r="AH1120" s="38"/>
      <c r="AI1120" s="38"/>
      <c r="AJ1120" s="38"/>
      <c r="AK1120" s="38"/>
      <c r="AL1120" s="38"/>
      <c r="AM1120" s="38"/>
      <c r="AN1120" s="38"/>
      <c r="AO1120" s="38"/>
      <c r="AP1120" s="38"/>
      <c r="AQ1120" s="38"/>
      <c r="AR1120" s="38"/>
      <c r="AS1120" s="38"/>
      <c r="AT1120" s="38"/>
      <c r="AU1120" s="38"/>
      <c r="AV1120" s="38"/>
      <c r="AW1120" s="38"/>
      <c r="AX1120" s="38"/>
      <c r="AY1120" s="38"/>
      <c r="AZ1120" s="38"/>
      <c r="BA1120" s="38"/>
      <c r="BB1120" s="38"/>
      <c r="BC1120" s="38"/>
      <c r="BD1120" s="38"/>
      <c r="BE1120" s="38"/>
      <c r="BF1120" s="38"/>
      <c r="BG1120" s="38"/>
    </row>
    <row r="1121">
      <c r="A1121" s="58"/>
      <c r="B1121" s="341"/>
      <c r="C1121" s="60"/>
      <c r="D1121" s="60"/>
      <c r="E1121" s="58"/>
      <c r="F1121" s="58"/>
      <c r="G1121" s="58"/>
      <c r="H1121" s="33" t="str">
        <f t="shared" si="1"/>
        <v/>
      </c>
      <c r="I1121" s="58"/>
      <c r="J1121" s="58"/>
      <c r="K1121" s="58"/>
      <c r="L1121" s="38"/>
      <c r="M1121" s="58"/>
      <c r="N1121" s="58"/>
      <c r="O1121" s="58"/>
      <c r="P1121" s="80"/>
      <c r="Q1121" s="77"/>
      <c r="R1121" s="62"/>
      <c r="S1121" s="62"/>
      <c r="T1121" s="62"/>
      <c r="U1121" s="62"/>
      <c r="V1121" s="37" t="str">
        <f>IFERROR(__xludf.DUMMYFUNCTION("if(not(iserror(index(split(C1121, "" ""),2))), index(split(C1121, "" ""),1),"""")"),"")</f>
        <v/>
      </c>
      <c r="W1121" s="315" t="str">
        <f>IFERROR(__xludf.DUMMYFUNCTION("if(V1121="""",C1121,if(not(iserror(index(split(C1121, "" ""),3))), index(split(C1121, "" ""),3),index(split(C1121, "" ""),2)))"),"")</f>
        <v/>
      </c>
      <c r="X1121" s="38" t="b">
        <f t="shared" si="2"/>
        <v>0</v>
      </c>
      <c r="Y1121" s="38"/>
      <c r="Z1121" s="40"/>
      <c r="AA1121" s="40"/>
      <c r="AB1121" s="38"/>
      <c r="AC1121" s="38"/>
      <c r="AD1121" s="38"/>
      <c r="AE1121" s="38"/>
      <c r="AF1121" s="38"/>
      <c r="AG1121" s="38"/>
      <c r="AH1121" s="38"/>
      <c r="AI1121" s="38"/>
      <c r="AJ1121" s="38"/>
      <c r="AK1121" s="38"/>
      <c r="AL1121" s="38"/>
      <c r="AM1121" s="38"/>
      <c r="AN1121" s="38"/>
      <c r="AO1121" s="38"/>
      <c r="AP1121" s="38"/>
      <c r="AQ1121" s="38"/>
      <c r="AR1121" s="38"/>
      <c r="AS1121" s="38"/>
      <c r="AT1121" s="38"/>
      <c r="AU1121" s="38"/>
      <c r="AV1121" s="38"/>
      <c r="AW1121" s="38"/>
      <c r="AX1121" s="38"/>
      <c r="AY1121" s="38"/>
      <c r="AZ1121" s="38"/>
      <c r="BA1121" s="38"/>
      <c r="BB1121" s="38"/>
      <c r="BC1121" s="38"/>
      <c r="BD1121" s="38"/>
      <c r="BE1121" s="38"/>
      <c r="BF1121" s="38"/>
      <c r="BG1121" s="38"/>
    </row>
    <row r="1122">
      <c r="A1122" s="58"/>
      <c r="B1122" s="341"/>
      <c r="C1122" s="60"/>
      <c r="D1122" s="60"/>
      <c r="E1122" s="58"/>
      <c r="F1122" s="58"/>
      <c r="G1122" s="58"/>
      <c r="H1122" s="33" t="str">
        <f t="shared" si="1"/>
        <v/>
      </c>
      <c r="I1122" s="58"/>
      <c r="J1122" s="58"/>
      <c r="K1122" s="58"/>
      <c r="L1122" s="38"/>
      <c r="M1122" s="58"/>
      <c r="N1122" s="58"/>
      <c r="O1122" s="58"/>
      <c r="P1122" s="80"/>
      <c r="Q1122" s="77"/>
      <c r="R1122" s="62"/>
      <c r="S1122" s="62"/>
      <c r="T1122" s="62"/>
      <c r="U1122" s="62"/>
      <c r="V1122" s="37" t="str">
        <f>IFERROR(__xludf.DUMMYFUNCTION("if(not(iserror(index(split(C1122, "" ""),2))), index(split(C1122, "" ""),1),"""")"),"")</f>
        <v/>
      </c>
      <c r="W1122" s="315" t="str">
        <f>IFERROR(__xludf.DUMMYFUNCTION("if(V1122="""",C1122,if(not(iserror(index(split(C1122, "" ""),3))), index(split(C1122, "" ""),3),index(split(C1122, "" ""),2)))"),"")</f>
        <v/>
      </c>
      <c r="X1122" s="38" t="b">
        <f t="shared" si="2"/>
        <v>0</v>
      </c>
      <c r="Y1122" s="38"/>
      <c r="Z1122" s="40"/>
      <c r="AA1122" s="40"/>
      <c r="AB1122" s="38"/>
      <c r="AC1122" s="38"/>
      <c r="AD1122" s="38"/>
      <c r="AE1122" s="38"/>
      <c r="AF1122" s="38"/>
      <c r="AG1122" s="38"/>
      <c r="AH1122" s="38"/>
      <c r="AI1122" s="38"/>
      <c r="AJ1122" s="38"/>
      <c r="AK1122" s="38"/>
      <c r="AL1122" s="38"/>
      <c r="AM1122" s="38"/>
      <c r="AN1122" s="38"/>
      <c r="AO1122" s="38"/>
      <c r="AP1122" s="38"/>
      <c r="AQ1122" s="38"/>
      <c r="AR1122" s="38"/>
      <c r="AS1122" s="38"/>
      <c r="AT1122" s="38"/>
      <c r="AU1122" s="38"/>
      <c r="AV1122" s="38"/>
      <c r="AW1122" s="38"/>
      <c r="AX1122" s="38"/>
      <c r="AY1122" s="38"/>
      <c r="AZ1122" s="38"/>
      <c r="BA1122" s="38"/>
      <c r="BB1122" s="38"/>
      <c r="BC1122" s="38"/>
      <c r="BD1122" s="38"/>
      <c r="BE1122" s="38"/>
      <c r="BF1122" s="38"/>
      <c r="BG1122" s="38"/>
    </row>
    <row r="1123">
      <c r="B1123" s="341"/>
      <c r="C1123" s="60"/>
      <c r="D1123" s="60"/>
      <c r="E1123" s="58"/>
      <c r="F1123" s="58"/>
      <c r="G1123" s="58"/>
      <c r="H1123" s="33" t="str">
        <f t="shared" si="1"/>
        <v/>
      </c>
      <c r="I1123" s="58"/>
      <c r="J1123" s="58"/>
      <c r="K1123" s="58"/>
      <c r="L1123" s="38"/>
      <c r="M1123" s="58"/>
      <c r="N1123" s="58"/>
      <c r="O1123" s="58"/>
      <c r="P1123" s="80"/>
      <c r="Q1123" s="77"/>
      <c r="R1123" s="62"/>
      <c r="S1123" s="62"/>
      <c r="T1123" s="62"/>
      <c r="U1123" s="62"/>
      <c r="V1123" s="37" t="str">
        <f>IFERROR(__xludf.DUMMYFUNCTION("if(not(iserror(index(split(C1123, "" ""),2))), index(split(C1123, "" ""),1),"""")"),"")</f>
        <v/>
      </c>
      <c r="W1123" s="315" t="str">
        <f>IFERROR(__xludf.DUMMYFUNCTION("if(V1123="""",C1123,if(not(iserror(index(split(C1123, "" ""),3))), index(split(C1123, "" ""),3),index(split(C1123, "" ""),2)))"),"")</f>
        <v/>
      </c>
      <c r="X1123" s="38" t="b">
        <f t="shared" si="2"/>
        <v>0</v>
      </c>
      <c r="Y1123" s="38"/>
      <c r="Z1123" s="40"/>
      <c r="AA1123" s="40"/>
      <c r="AB1123" s="38"/>
      <c r="AC1123" s="38"/>
      <c r="AD1123" s="38"/>
      <c r="AE1123" s="38"/>
      <c r="AF1123" s="38"/>
      <c r="AG1123" s="38"/>
      <c r="AH1123" s="38"/>
      <c r="AI1123" s="38"/>
      <c r="AJ1123" s="38"/>
      <c r="AK1123" s="38"/>
      <c r="AL1123" s="38"/>
      <c r="AM1123" s="38"/>
      <c r="AN1123" s="38"/>
      <c r="AO1123" s="38"/>
      <c r="AP1123" s="38"/>
      <c r="AQ1123" s="38"/>
      <c r="AR1123" s="38"/>
      <c r="AS1123" s="38"/>
      <c r="AT1123" s="38"/>
      <c r="AU1123" s="38"/>
      <c r="AV1123" s="38"/>
      <c r="AW1123" s="38"/>
      <c r="AX1123" s="38"/>
      <c r="AY1123" s="38"/>
      <c r="AZ1123" s="38"/>
      <c r="BA1123" s="38"/>
      <c r="BB1123" s="38"/>
      <c r="BC1123" s="38"/>
      <c r="BD1123" s="38"/>
      <c r="BE1123" s="38"/>
      <c r="BF1123" s="38"/>
      <c r="BG1123" s="38"/>
    </row>
    <row r="1124">
      <c r="A1124" s="58"/>
      <c r="B1124" s="341"/>
      <c r="C1124" s="60"/>
      <c r="D1124" s="60"/>
      <c r="E1124" s="58"/>
      <c r="F1124" s="58"/>
      <c r="G1124" s="58"/>
      <c r="H1124" s="33" t="str">
        <f t="shared" si="1"/>
        <v/>
      </c>
      <c r="I1124" s="58"/>
      <c r="J1124" s="58"/>
      <c r="K1124" s="58"/>
      <c r="L1124" s="38"/>
      <c r="M1124" s="58"/>
      <c r="N1124" s="58"/>
      <c r="O1124" s="58"/>
      <c r="P1124" s="80"/>
      <c r="Q1124" s="77"/>
      <c r="R1124" s="62"/>
      <c r="S1124" s="62"/>
      <c r="T1124" s="62"/>
      <c r="U1124" s="62"/>
      <c r="V1124" s="37" t="str">
        <f>IFERROR(__xludf.DUMMYFUNCTION("if(not(iserror(index(split(C1124, "" ""),2))), index(split(C1124, "" ""),1),"""")"),"")</f>
        <v/>
      </c>
      <c r="W1124" s="315" t="str">
        <f>IFERROR(__xludf.DUMMYFUNCTION("if(V1124="""",C1124,if(not(iserror(index(split(C1124, "" ""),3))), index(split(C1124, "" ""),3),index(split(C1124, "" ""),2)))"),"")</f>
        <v/>
      </c>
      <c r="X1124" s="38" t="b">
        <f t="shared" si="2"/>
        <v>0</v>
      </c>
      <c r="Y1124" s="38"/>
      <c r="Z1124" s="40"/>
      <c r="AA1124" s="40"/>
      <c r="AB1124" s="38"/>
      <c r="AC1124" s="38"/>
      <c r="AD1124" s="38"/>
      <c r="AE1124" s="38"/>
      <c r="AF1124" s="38"/>
      <c r="AG1124" s="38"/>
      <c r="AH1124" s="38"/>
      <c r="AI1124" s="38"/>
      <c r="AJ1124" s="38"/>
      <c r="AK1124" s="38"/>
      <c r="AL1124" s="38"/>
      <c r="AM1124" s="38"/>
      <c r="AN1124" s="38"/>
      <c r="AO1124" s="38"/>
      <c r="AP1124" s="38"/>
      <c r="AQ1124" s="38"/>
      <c r="AR1124" s="38"/>
      <c r="AS1124" s="38"/>
      <c r="AT1124" s="38"/>
      <c r="AU1124" s="38"/>
      <c r="AV1124" s="38"/>
      <c r="AW1124" s="38"/>
      <c r="AX1124" s="38"/>
      <c r="AY1124" s="38"/>
      <c r="AZ1124" s="38"/>
      <c r="BA1124" s="38"/>
      <c r="BB1124" s="38"/>
      <c r="BC1124" s="38"/>
      <c r="BD1124" s="38"/>
      <c r="BE1124" s="38"/>
      <c r="BF1124" s="38"/>
      <c r="BG1124" s="38"/>
    </row>
    <row r="1125">
      <c r="A1125" s="58"/>
      <c r="B1125" s="341"/>
      <c r="C1125" s="60"/>
      <c r="D1125" s="60"/>
      <c r="E1125" s="58"/>
      <c r="F1125" s="58"/>
      <c r="G1125" s="58"/>
      <c r="H1125" s="33" t="str">
        <f t="shared" si="1"/>
        <v/>
      </c>
      <c r="I1125" s="58"/>
      <c r="J1125" s="58"/>
      <c r="K1125" s="58"/>
      <c r="L1125" s="38"/>
      <c r="M1125" s="58"/>
      <c r="N1125" s="58"/>
      <c r="O1125" s="58"/>
      <c r="P1125" s="80"/>
      <c r="Q1125" s="77"/>
      <c r="R1125" s="62"/>
      <c r="S1125" s="62"/>
      <c r="T1125" s="62"/>
      <c r="U1125" s="62"/>
      <c r="V1125" s="37" t="str">
        <f>IFERROR(__xludf.DUMMYFUNCTION("if(not(iserror(index(split(C1125, "" ""),2))), index(split(C1125, "" ""),1),"""")"),"")</f>
        <v/>
      </c>
      <c r="W1125" s="315" t="str">
        <f>IFERROR(__xludf.DUMMYFUNCTION("if(V1125="""",C1125,if(not(iserror(index(split(C1125, "" ""),3))), index(split(C1125, "" ""),3),index(split(C1125, "" ""),2)))"),"")</f>
        <v/>
      </c>
      <c r="X1125" s="38" t="b">
        <f t="shared" si="2"/>
        <v>0</v>
      </c>
      <c r="Y1125" s="38"/>
      <c r="Z1125" s="40"/>
      <c r="AA1125" s="40"/>
      <c r="AB1125" s="38"/>
      <c r="AC1125" s="38"/>
      <c r="AD1125" s="38"/>
      <c r="AE1125" s="38"/>
      <c r="AF1125" s="38"/>
      <c r="AG1125" s="38"/>
      <c r="AH1125" s="38"/>
      <c r="AI1125" s="38"/>
      <c r="AJ1125" s="38"/>
      <c r="AK1125" s="38"/>
      <c r="AL1125" s="38"/>
      <c r="AM1125" s="38"/>
      <c r="AN1125" s="38"/>
      <c r="AO1125" s="38"/>
      <c r="AP1125" s="38"/>
      <c r="AQ1125" s="38"/>
      <c r="AR1125" s="38"/>
      <c r="AS1125" s="38"/>
      <c r="AT1125" s="38"/>
      <c r="AU1125" s="38"/>
      <c r="AV1125" s="38"/>
      <c r="AW1125" s="38"/>
      <c r="AX1125" s="38"/>
      <c r="AY1125" s="38"/>
      <c r="AZ1125" s="38"/>
      <c r="BA1125" s="38"/>
      <c r="BB1125" s="38"/>
      <c r="BC1125" s="38"/>
      <c r="BD1125" s="38"/>
      <c r="BE1125" s="38"/>
      <c r="BF1125" s="38"/>
      <c r="BG1125" s="38"/>
    </row>
    <row r="1126">
      <c r="A1126" s="58"/>
      <c r="B1126" s="341"/>
      <c r="C1126" s="60"/>
      <c r="D1126" s="60"/>
      <c r="E1126" s="58"/>
      <c r="F1126" s="58"/>
      <c r="G1126" s="58"/>
      <c r="H1126" s="33" t="str">
        <f t="shared" si="1"/>
        <v/>
      </c>
      <c r="I1126" s="58"/>
      <c r="J1126" s="58"/>
      <c r="K1126" s="58"/>
      <c r="L1126" s="38"/>
      <c r="M1126" s="58"/>
      <c r="N1126" s="58"/>
      <c r="O1126" s="58"/>
      <c r="P1126" s="80"/>
      <c r="Q1126" s="77"/>
      <c r="R1126" s="62"/>
      <c r="S1126" s="62"/>
      <c r="T1126" s="62"/>
      <c r="U1126" s="62"/>
      <c r="V1126" s="37" t="str">
        <f>IFERROR(__xludf.DUMMYFUNCTION("if(not(iserror(index(split(C1126, "" ""),2))), index(split(C1126, "" ""),1),"""")"),"")</f>
        <v/>
      </c>
      <c r="W1126" s="315" t="str">
        <f>IFERROR(__xludf.DUMMYFUNCTION("if(V1126="""",C1126,if(not(iserror(index(split(C1126, "" ""),3))), index(split(C1126, "" ""),3),index(split(C1126, "" ""),2)))"),"")</f>
        <v/>
      </c>
      <c r="X1126" s="38" t="b">
        <f t="shared" si="2"/>
        <v>0</v>
      </c>
      <c r="Y1126" s="38"/>
      <c r="Z1126" s="40"/>
      <c r="AA1126" s="40"/>
      <c r="AB1126" s="38"/>
      <c r="AC1126" s="38"/>
      <c r="AD1126" s="38"/>
      <c r="AE1126" s="38"/>
      <c r="AF1126" s="38"/>
      <c r="AG1126" s="38"/>
      <c r="AH1126" s="38"/>
      <c r="AI1126" s="38"/>
      <c r="AJ1126" s="38"/>
      <c r="AK1126" s="38"/>
      <c r="AL1126" s="38"/>
      <c r="AM1126" s="38"/>
      <c r="AN1126" s="38"/>
      <c r="AO1126" s="38"/>
      <c r="AP1126" s="38"/>
      <c r="AQ1126" s="38"/>
      <c r="AR1126" s="38"/>
      <c r="AS1126" s="38"/>
      <c r="AT1126" s="38"/>
      <c r="AU1126" s="38"/>
      <c r="AV1126" s="38"/>
      <c r="AW1126" s="38"/>
      <c r="AX1126" s="38"/>
      <c r="AY1126" s="38"/>
      <c r="AZ1126" s="38"/>
      <c r="BA1126" s="38"/>
      <c r="BB1126" s="38"/>
      <c r="BC1126" s="38"/>
      <c r="BD1126" s="38"/>
      <c r="BE1126" s="38"/>
      <c r="BF1126" s="38"/>
      <c r="BG1126" s="38"/>
    </row>
    <row r="1127">
      <c r="A1127" s="58"/>
      <c r="B1127" s="341"/>
      <c r="C1127" s="60"/>
      <c r="D1127" s="60"/>
      <c r="E1127" s="58"/>
      <c r="F1127" s="58"/>
      <c r="G1127" s="58"/>
      <c r="H1127" s="33" t="str">
        <f t="shared" si="1"/>
        <v/>
      </c>
      <c r="I1127" s="58"/>
      <c r="J1127" s="58"/>
      <c r="K1127" s="58"/>
      <c r="L1127" s="38"/>
      <c r="M1127" s="58"/>
      <c r="N1127" s="58"/>
      <c r="O1127" s="58"/>
      <c r="P1127" s="80"/>
      <c r="Q1127" s="77"/>
      <c r="R1127" s="62"/>
      <c r="S1127" s="62"/>
      <c r="T1127" s="62"/>
      <c r="U1127" s="62"/>
      <c r="V1127" s="37" t="str">
        <f>IFERROR(__xludf.DUMMYFUNCTION("if(not(iserror(index(split(C1127, "" ""),2))), index(split(C1127, "" ""),1),"""")"),"")</f>
        <v/>
      </c>
      <c r="W1127" s="315" t="str">
        <f>IFERROR(__xludf.DUMMYFUNCTION("if(V1127="""",C1127,if(not(iserror(index(split(C1127, "" ""),3))), index(split(C1127, "" ""),3),index(split(C1127, "" ""),2)))"),"")</f>
        <v/>
      </c>
      <c r="X1127" s="38" t="b">
        <f t="shared" si="2"/>
        <v>0</v>
      </c>
      <c r="Y1127" s="38"/>
      <c r="Z1127" s="40"/>
      <c r="AA1127" s="40"/>
      <c r="AB1127" s="38"/>
      <c r="AC1127" s="38"/>
      <c r="AD1127" s="38"/>
      <c r="AE1127" s="38"/>
      <c r="AF1127" s="38"/>
      <c r="AG1127" s="38"/>
      <c r="AH1127" s="38"/>
      <c r="AI1127" s="38"/>
      <c r="AJ1127" s="38"/>
      <c r="AK1127" s="38"/>
      <c r="AL1127" s="38"/>
      <c r="AM1127" s="38"/>
      <c r="AN1127" s="38"/>
      <c r="AO1127" s="38"/>
      <c r="AP1127" s="38"/>
      <c r="AQ1127" s="38"/>
      <c r="AR1127" s="38"/>
      <c r="AS1127" s="38"/>
      <c r="AT1127" s="38"/>
      <c r="AU1127" s="38"/>
      <c r="AV1127" s="38"/>
      <c r="AW1127" s="38"/>
      <c r="AX1127" s="38"/>
      <c r="AY1127" s="38"/>
      <c r="AZ1127" s="38"/>
      <c r="BA1127" s="38"/>
      <c r="BB1127" s="38"/>
      <c r="BC1127" s="38"/>
      <c r="BD1127" s="38"/>
      <c r="BE1127" s="38"/>
      <c r="BF1127" s="38"/>
      <c r="BG1127" s="38"/>
    </row>
    <row r="1128">
      <c r="A1128" s="58"/>
      <c r="B1128" s="341"/>
      <c r="C1128" s="60"/>
      <c r="D1128" s="60"/>
      <c r="E1128" s="58"/>
      <c r="F1128" s="58"/>
      <c r="G1128" s="58"/>
      <c r="H1128" s="33" t="str">
        <f t="shared" si="1"/>
        <v/>
      </c>
      <c r="I1128" s="58"/>
      <c r="J1128" s="58"/>
      <c r="K1128" s="58"/>
      <c r="L1128" s="38"/>
      <c r="M1128" s="58"/>
      <c r="N1128" s="58"/>
      <c r="O1128" s="58"/>
      <c r="P1128" s="80"/>
      <c r="Q1128" s="77"/>
      <c r="R1128" s="62"/>
      <c r="S1128" s="62"/>
      <c r="T1128" s="62"/>
      <c r="U1128" s="62"/>
      <c r="V1128" s="37" t="str">
        <f>IFERROR(__xludf.DUMMYFUNCTION("if(not(iserror(index(split(C1128, "" ""),2))), index(split(C1128, "" ""),1),"""")"),"")</f>
        <v/>
      </c>
      <c r="W1128" s="315" t="str">
        <f>IFERROR(__xludf.DUMMYFUNCTION("if(V1128="""",C1128,if(not(iserror(index(split(C1128, "" ""),3))), index(split(C1128, "" ""),3),index(split(C1128, "" ""),2)))"),"")</f>
        <v/>
      </c>
      <c r="X1128" s="38" t="b">
        <f t="shared" si="2"/>
        <v>0</v>
      </c>
      <c r="Y1128" s="38"/>
      <c r="Z1128" s="40"/>
      <c r="AA1128" s="40"/>
      <c r="AB1128" s="38"/>
      <c r="AC1128" s="38"/>
      <c r="AD1128" s="38"/>
      <c r="AE1128" s="38"/>
      <c r="AF1128" s="38"/>
      <c r="AG1128" s="38"/>
      <c r="AH1128" s="38"/>
      <c r="AI1128" s="38"/>
      <c r="AJ1128" s="38"/>
      <c r="AK1128" s="38"/>
      <c r="AL1128" s="38"/>
      <c r="AM1128" s="38"/>
      <c r="AN1128" s="38"/>
      <c r="AO1128" s="38"/>
      <c r="AP1128" s="38"/>
      <c r="AQ1128" s="38"/>
      <c r="AR1128" s="38"/>
      <c r="AS1128" s="38"/>
      <c r="AT1128" s="38"/>
      <c r="AU1128" s="38"/>
      <c r="AV1128" s="38"/>
      <c r="AW1128" s="38"/>
      <c r="AX1128" s="38"/>
      <c r="AY1128" s="38"/>
      <c r="AZ1128" s="38"/>
      <c r="BA1128" s="38"/>
      <c r="BB1128" s="38"/>
      <c r="BC1128" s="38"/>
      <c r="BD1128" s="38"/>
      <c r="BE1128" s="38"/>
      <c r="BF1128" s="38"/>
      <c r="BG1128" s="38"/>
    </row>
    <row r="1129">
      <c r="A1129" s="58"/>
      <c r="B1129" s="341"/>
      <c r="C1129" s="60"/>
      <c r="D1129" s="60"/>
      <c r="E1129" s="58"/>
      <c r="F1129" s="58"/>
      <c r="G1129" s="58"/>
      <c r="H1129" s="33" t="str">
        <f t="shared" si="1"/>
        <v/>
      </c>
      <c r="I1129" s="58"/>
      <c r="J1129" s="58"/>
      <c r="K1129" s="58"/>
      <c r="L1129" s="38"/>
      <c r="M1129" s="58"/>
      <c r="N1129" s="58"/>
      <c r="O1129" s="58"/>
      <c r="P1129" s="80"/>
      <c r="Q1129" s="77"/>
      <c r="R1129" s="62"/>
      <c r="S1129" s="62"/>
      <c r="T1129" s="62"/>
      <c r="U1129" s="62"/>
      <c r="V1129" s="37" t="str">
        <f>IFERROR(__xludf.DUMMYFUNCTION("if(not(iserror(index(split(C1129, "" ""),2))), index(split(C1129, "" ""),1),"""")"),"")</f>
        <v/>
      </c>
      <c r="W1129" s="315" t="str">
        <f>IFERROR(__xludf.DUMMYFUNCTION("if(V1129="""",C1129,if(not(iserror(index(split(C1129, "" ""),3))), index(split(C1129, "" ""),3),index(split(C1129, "" ""),2)))"),"")</f>
        <v/>
      </c>
      <c r="X1129" s="38" t="b">
        <f t="shared" si="2"/>
        <v>0</v>
      </c>
      <c r="Y1129" s="38"/>
      <c r="Z1129" s="40"/>
      <c r="AA1129" s="40"/>
      <c r="AB1129" s="38"/>
      <c r="AC1129" s="38"/>
      <c r="AD1129" s="38"/>
      <c r="AE1129" s="38"/>
      <c r="AF1129" s="38"/>
      <c r="AG1129" s="38"/>
      <c r="AH1129" s="38"/>
      <c r="AI1129" s="38"/>
      <c r="AJ1129" s="38"/>
      <c r="AK1129" s="38"/>
      <c r="AL1129" s="38"/>
      <c r="AM1129" s="38"/>
      <c r="AN1129" s="38"/>
      <c r="AO1129" s="38"/>
      <c r="AP1129" s="38"/>
      <c r="AQ1129" s="38"/>
      <c r="AR1129" s="38"/>
      <c r="AS1129" s="38"/>
      <c r="AT1129" s="38"/>
      <c r="AU1129" s="38"/>
      <c r="AV1129" s="38"/>
      <c r="AW1129" s="38"/>
      <c r="AX1129" s="38"/>
      <c r="AY1129" s="38"/>
      <c r="AZ1129" s="38"/>
      <c r="BA1129" s="38"/>
      <c r="BB1129" s="38"/>
      <c r="BC1129" s="38"/>
      <c r="BD1129" s="38"/>
      <c r="BE1129" s="38"/>
      <c r="BF1129" s="38"/>
      <c r="BG1129" s="38"/>
    </row>
    <row r="1130">
      <c r="B1130" s="341"/>
      <c r="C1130" s="60"/>
      <c r="D1130" s="60"/>
      <c r="E1130" s="58"/>
      <c r="F1130" s="58"/>
      <c r="G1130" s="58"/>
      <c r="H1130" s="33" t="str">
        <f t="shared" si="1"/>
        <v/>
      </c>
      <c r="I1130" s="58"/>
      <c r="J1130" s="58"/>
      <c r="K1130" s="58"/>
      <c r="L1130" s="38"/>
      <c r="M1130" s="58"/>
      <c r="N1130" s="58"/>
      <c r="O1130" s="58"/>
      <c r="P1130" s="80"/>
      <c r="Q1130" s="77"/>
      <c r="R1130" s="58"/>
      <c r="S1130" s="58"/>
      <c r="T1130" s="84"/>
      <c r="U1130" s="62"/>
      <c r="V1130" s="37" t="str">
        <f>IFERROR(__xludf.DUMMYFUNCTION("if(not(iserror(index(split(C1130, "" ""),2))), index(split(C1130, "" ""),1),"""")"),"")</f>
        <v/>
      </c>
      <c r="W1130" s="315" t="str">
        <f>IFERROR(__xludf.DUMMYFUNCTION("if(V1130="""",C1130,if(not(iserror(index(split(C1130, "" ""),3))), index(split(C1130, "" ""),3),index(split(C1130, "" ""),2)))"),"")</f>
        <v/>
      </c>
      <c r="X1130" s="38" t="b">
        <f t="shared" si="2"/>
        <v>0</v>
      </c>
      <c r="Y1130" s="38"/>
      <c r="Z1130" s="40"/>
      <c r="AA1130" s="40"/>
      <c r="AB1130" s="38"/>
      <c r="AC1130" s="38"/>
      <c r="AD1130" s="38"/>
      <c r="AE1130" s="38"/>
      <c r="AF1130" s="38"/>
      <c r="AG1130" s="38"/>
      <c r="AH1130" s="38"/>
      <c r="AI1130" s="38"/>
      <c r="AJ1130" s="38"/>
      <c r="AK1130" s="38"/>
      <c r="AL1130" s="38"/>
      <c r="AM1130" s="38"/>
      <c r="AN1130" s="38"/>
      <c r="AO1130" s="38"/>
      <c r="AP1130" s="38"/>
      <c r="AQ1130" s="38"/>
      <c r="AR1130" s="38"/>
      <c r="AS1130" s="38"/>
      <c r="AT1130" s="38"/>
      <c r="AU1130" s="38"/>
      <c r="AV1130" s="38"/>
      <c r="AW1130" s="38"/>
      <c r="AX1130" s="38"/>
      <c r="AY1130" s="38"/>
      <c r="AZ1130" s="38"/>
      <c r="BA1130" s="38"/>
      <c r="BB1130" s="38"/>
      <c r="BC1130" s="38"/>
      <c r="BD1130" s="38"/>
      <c r="BE1130" s="38"/>
      <c r="BF1130" s="38"/>
      <c r="BG1130" s="38"/>
    </row>
    <row r="1131">
      <c r="B1131" s="341"/>
      <c r="C1131" s="60"/>
      <c r="D1131" s="60"/>
      <c r="E1131" s="58"/>
      <c r="F1131" s="58"/>
      <c r="G1131" s="58"/>
      <c r="H1131" s="33" t="str">
        <f t="shared" si="1"/>
        <v/>
      </c>
      <c r="I1131" s="58"/>
      <c r="J1131" s="58"/>
      <c r="K1131" s="58"/>
      <c r="L1131" s="38"/>
      <c r="M1131" s="58"/>
      <c r="N1131" s="58"/>
      <c r="O1131" s="58"/>
      <c r="P1131" s="80"/>
      <c r="Q1131" s="77"/>
      <c r="R1131" s="58"/>
      <c r="S1131" s="58"/>
      <c r="T1131" s="84"/>
      <c r="U1131" s="62"/>
      <c r="V1131" s="37" t="str">
        <f>IFERROR(__xludf.DUMMYFUNCTION("if(not(iserror(index(split(C1131, "" ""),2))), index(split(C1131, "" ""),1),"""")"),"")</f>
        <v/>
      </c>
      <c r="W1131" s="315" t="str">
        <f>IFERROR(__xludf.DUMMYFUNCTION("if(V1131="""",C1131,if(not(iserror(index(split(C1131, "" ""),3))), index(split(C1131, "" ""),3),index(split(C1131, "" ""),2)))"),"")</f>
        <v/>
      </c>
      <c r="X1131" s="38" t="b">
        <f t="shared" si="2"/>
        <v>0</v>
      </c>
      <c r="Y1131" s="38"/>
      <c r="Z1131" s="40"/>
      <c r="AA1131" s="40"/>
      <c r="AB1131" s="38"/>
      <c r="AC1131" s="38"/>
      <c r="AD1131" s="38"/>
      <c r="AE1131" s="38"/>
      <c r="AF1131" s="38"/>
      <c r="AG1131" s="38"/>
      <c r="AH1131" s="38"/>
      <c r="AI1131" s="38"/>
      <c r="AJ1131" s="38"/>
      <c r="AK1131" s="38"/>
      <c r="AL1131" s="38"/>
      <c r="AM1131" s="38"/>
      <c r="AN1131" s="38"/>
      <c r="AO1131" s="38"/>
      <c r="AP1131" s="38"/>
      <c r="AQ1131" s="38"/>
      <c r="AR1131" s="38"/>
      <c r="AS1131" s="38"/>
      <c r="AT1131" s="38"/>
      <c r="AU1131" s="38"/>
      <c r="AV1131" s="38"/>
      <c r="AW1131" s="38"/>
      <c r="AX1131" s="38"/>
      <c r="AY1131" s="38"/>
      <c r="AZ1131" s="38"/>
      <c r="BA1131" s="38"/>
      <c r="BB1131" s="38"/>
      <c r="BC1131" s="38"/>
      <c r="BD1131" s="38"/>
      <c r="BE1131" s="38"/>
      <c r="BF1131" s="38"/>
      <c r="BG1131" s="38"/>
    </row>
    <row r="1132">
      <c r="B1132" s="341"/>
      <c r="C1132" s="60"/>
      <c r="D1132" s="60"/>
      <c r="E1132" s="58"/>
      <c r="F1132" s="58"/>
      <c r="G1132" s="58"/>
      <c r="H1132" s="33" t="str">
        <f t="shared" si="1"/>
        <v/>
      </c>
      <c r="I1132" s="58"/>
      <c r="J1132" s="58"/>
      <c r="K1132" s="58"/>
      <c r="L1132" s="38"/>
      <c r="M1132" s="58"/>
      <c r="N1132" s="58"/>
      <c r="O1132" s="58"/>
      <c r="P1132" s="80"/>
      <c r="Q1132" s="77"/>
      <c r="R1132" s="58"/>
      <c r="S1132" s="58"/>
      <c r="T1132" s="84"/>
      <c r="U1132" s="62"/>
      <c r="V1132" s="37" t="str">
        <f>IFERROR(__xludf.DUMMYFUNCTION("if(not(iserror(index(split(C1132, "" ""),2))), index(split(C1132, "" ""),1),"""")"),"")</f>
        <v/>
      </c>
      <c r="W1132" s="315" t="str">
        <f>IFERROR(__xludf.DUMMYFUNCTION("if(V1132="""",C1132,if(not(iserror(index(split(C1132, "" ""),3))), index(split(C1132, "" ""),3),index(split(C1132, "" ""),2)))"),"")</f>
        <v/>
      </c>
      <c r="X1132" s="38" t="b">
        <f t="shared" si="2"/>
        <v>0</v>
      </c>
      <c r="Y1132" s="38"/>
      <c r="Z1132" s="40"/>
      <c r="AA1132" s="40"/>
      <c r="AB1132" s="38"/>
      <c r="AC1132" s="38"/>
      <c r="AD1132" s="38"/>
      <c r="AE1132" s="38"/>
      <c r="AF1132" s="38"/>
      <c r="AG1132" s="38"/>
      <c r="AH1132" s="38"/>
      <c r="AI1132" s="38"/>
      <c r="AJ1132" s="38"/>
      <c r="AK1132" s="38"/>
      <c r="AL1132" s="38"/>
      <c r="AM1132" s="38"/>
      <c r="AN1132" s="38"/>
      <c r="AO1132" s="38"/>
      <c r="AP1132" s="38"/>
      <c r="AQ1132" s="38"/>
      <c r="AR1132" s="38"/>
      <c r="AS1132" s="38"/>
      <c r="AT1132" s="38"/>
      <c r="AU1132" s="38"/>
      <c r="AV1132" s="38"/>
      <c r="AW1132" s="38"/>
      <c r="AX1132" s="38"/>
      <c r="AY1132" s="38"/>
      <c r="AZ1132" s="38"/>
      <c r="BA1132" s="38"/>
      <c r="BB1132" s="38"/>
      <c r="BC1132" s="38"/>
      <c r="BD1132" s="38"/>
      <c r="BE1132" s="38"/>
      <c r="BF1132" s="38"/>
      <c r="BG1132" s="38"/>
    </row>
    <row r="1133">
      <c r="B1133" s="341"/>
      <c r="C1133" s="60"/>
      <c r="D1133" s="60"/>
      <c r="E1133" s="58"/>
      <c r="F1133" s="58"/>
      <c r="G1133" s="58"/>
      <c r="H1133" s="33" t="str">
        <f t="shared" si="1"/>
        <v/>
      </c>
      <c r="I1133" s="58"/>
      <c r="J1133" s="58"/>
      <c r="K1133" s="58"/>
      <c r="L1133" s="38"/>
      <c r="M1133" s="58"/>
      <c r="N1133" s="58"/>
      <c r="O1133" s="58"/>
      <c r="P1133" s="80"/>
      <c r="Q1133" s="80"/>
      <c r="R1133" s="58"/>
      <c r="S1133" s="58"/>
      <c r="T1133" s="58"/>
      <c r="U1133" s="62"/>
      <c r="V1133" s="37" t="str">
        <f>IFERROR(__xludf.DUMMYFUNCTION("if(not(iserror(index(split(C1133, "" ""),2))), index(split(C1133, "" ""),1),"""")"),"")</f>
        <v/>
      </c>
      <c r="W1133" s="315" t="str">
        <f>IFERROR(__xludf.DUMMYFUNCTION("if(V1133="""",C1133,if(not(iserror(index(split(C1133, "" ""),3))), index(split(C1133, "" ""),3),index(split(C1133, "" ""),2)))"),"")</f>
        <v/>
      </c>
      <c r="X1133" s="38" t="b">
        <f t="shared" si="2"/>
        <v>0</v>
      </c>
      <c r="Y1133" s="38"/>
      <c r="Z1133" s="40"/>
      <c r="AA1133" s="40"/>
      <c r="AB1133" s="38"/>
      <c r="AC1133" s="38"/>
      <c r="AD1133" s="38"/>
      <c r="AE1133" s="38"/>
      <c r="AF1133" s="38"/>
      <c r="AG1133" s="38"/>
      <c r="AH1133" s="38"/>
      <c r="AI1133" s="38"/>
      <c r="AJ1133" s="38"/>
      <c r="AK1133" s="38"/>
      <c r="AL1133" s="38"/>
      <c r="AM1133" s="38"/>
      <c r="AN1133" s="38"/>
      <c r="AO1133" s="38"/>
      <c r="AP1133" s="38"/>
      <c r="AQ1133" s="38"/>
      <c r="AR1133" s="38"/>
      <c r="AS1133" s="38"/>
      <c r="AT1133" s="38"/>
      <c r="AU1133" s="38"/>
      <c r="AV1133" s="38"/>
      <c r="AW1133" s="38"/>
      <c r="AX1133" s="38"/>
      <c r="AY1133" s="38"/>
      <c r="AZ1133" s="38"/>
      <c r="BA1133" s="38"/>
      <c r="BB1133" s="38"/>
      <c r="BC1133" s="38"/>
      <c r="BD1133" s="38"/>
      <c r="BE1133" s="38"/>
      <c r="BF1133" s="38"/>
      <c r="BG1133" s="38"/>
    </row>
    <row r="1134">
      <c r="A1134" s="91"/>
      <c r="B1134" s="383"/>
      <c r="C1134" s="146"/>
      <c r="D1134" s="146"/>
      <c r="E1134" s="91"/>
      <c r="F1134" s="91"/>
      <c r="G1134" s="91"/>
      <c r="H1134" s="33" t="str">
        <f t="shared" si="1"/>
        <v/>
      </c>
      <c r="I1134" s="91"/>
      <c r="J1134" s="91"/>
      <c r="K1134" s="91"/>
      <c r="L1134" s="38"/>
      <c r="M1134" s="91"/>
      <c r="N1134" s="91"/>
      <c r="O1134" s="91"/>
      <c r="P1134" s="95"/>
      <c r="Q1134" s="95"/>
      <c r="R1134" s="58"/>
      <c r="S1134" s="58"/>
      <c r="T1134" s="84"/>
      <c r="U1134" s="62"/>
      <c r="V1134" s="37" t="str">
        <f>IFERROR(__xludf.DUMMYFUNCTION("if(not(iserror(index(split(C1134, "" ""),2))), index(split(C1134, "" ""),1),"""")"),"")</f>
        <v/>
      </c>
      <c r="W1134" s="315" t="str">
        <f>IFERROR(__xludf.DUMMYFUNCTION("if(V1134="""",C1134,if(not(iserror(index(split(C1134, "" ""),3))), index(split(C1134, "" ""),3),index(split(C1134, "" ""),2)))"),"")</f>
        <v/>
      </c>
      <c r="X1134" s="38" t="b">
        <f t="shared" si="2"/>
        <v>0</v>
      </c>
      <c r="Y1134" s="38"/>
      <c r="Z1134" s="40"/>
      <c r="AA1134" s="40"/>
      <c r="AB1134" s="38"/>
      <c r="AC1134" s="38"/>
      <c r="AD1134" s="38"/>
      <c r="AE1134" s="38"/>
      <c r="AF1134" s="38"/>
      <c r="AG1134" s="38"/>
      <c r="AH1134" s="38"/>
      <c r="AI1134" s="38"/>
      <c r="AJ1134" s="38"/>
      <c r="AK1134" s="38"/>
      <c r="AL1134" s="38"/>
      <c r="AM1134" s="38"/>
      <c r="AN1134" s="38"/>
      <c r="AO1134" s="38"/>
      <c r="AP1134" s="38"/>
      <c r="AQ1134" s="38"/>
      <c r="AR1134" s="38"/>
      <c r="AS1134" s="38"/>
      <c r="AT1134" s="38"/>
      <c r="AU1134" s="38"/>
      <c r="AV1134" s="38"/>
      <c r="AW1134" s="38"/>
      <c r="AX1134" s="38"/>
      <c r="AY1134" s="38"/>
      <c r="AZ1134" s="38"/>
      <c r="BA1134" s="38"/>
      <c r="BB1134" s="38"/>
      <c r="BC1134" s="38"/>
      <c r="BD1134" s="38"/>
      <c r="BE1134" s="38"/>
      <c r="BF1134" s="38"/>
      <c r="BG1134" s="38"/>
    </row>
    <row r="1135">
      <c r="B1135" s="341"/>
      <c r="C1135" s="60"/>
      <c r="D1135" s="60"/>
      <c r="E1135" s="58"/>
      <c r="F1135" s="58"/>
      <c r="G1135" s="58"/>
      <c r="H1135" s="33" t="str">
        <f t="shared" si="1"/>
        <v/>
      </c>
      <c r="I1135" s="58"/>
      <c r="J1135" s="58"/>
      <c r="K1135" s="58"/>
      <c r="L1135" s="38"/>
      <c r="M1135" s="58"/>
      <c r="N1135" s="58"/>
      <c r="O1135" s="58"/>
      <c r="P1135" s="80"/>
      <c r="Q1135" s="77"/>
      <c r="R1135" s="58"/>
      <c r="S1135" s="58"/>
      <c r="T1135" s="84"/>
      <c r="U1135" s="62"/>
      <c r="V1135" s="37" t="str">
        <f>IFERROR(__xludf.DUMMYFUNCTION("if(not(iserror(index(split(C1135, "" ""),2))), index(split(C1135, "" ""),1),"""")"),"")</f>
        <v/>
      </c>
      <c r="W1135" s="315" t="str">
        <f>IFERROR(__xludf.DUMMYFUNCTION("if(V1135="""",C1135,if(not(iserror(index(split(C1135, "" ""),3))), index(split(C1135, "" ""),3),index(split(C1135, "" ""),2)))"),"")</f>
        <v/>
      </c>
      <c r="X1135" s="38" t="b">
        <f t="shared" si="2"/>
        <v>0</v>
      </c>
      <c r="Y1135" s="38"/>
      <c r="Z1135" s="40"/>
      <c r="AA1135" s="40"/>
      <c r="AB1135" s="38"/>
      <c r="AC1135" s="38"/>
      <c r="AD1135" s="38"/>
      <c r="AE1135" s="38"/>
      <c r="AF1135" s="38"/>
      <c r="AG1135" s="38"/>
      <c r="AH1135" s="38"/>
      <c r="AI1135" s="38"/>
      <c r="AJ1135" s="38"/>
      <c r="AK1135" s="38"/>
      <c r="AL1135" s="38"/>
      <c r="AM1135" s="38"/>
      <c r="AN1135" s="38"/>
      <c r="AO1135" s="38"/>
      <c r="AP1135" s="38"/>
      <c r="AQ1135" s="38"/>
      <c r="AR1135" s="38"/>
      <c r="AS1135" s="38"/>
      <c r="AT1135" s="38"/>
      <c r="AU1135" s="38"/>
      <c r="AV1135" s="38"/>
      <c r="AW1135" s="38"/>
      <c r="AX1135" s="38"/>
      <c r="AY1135" s="38"/>
      <c r="AZ1135" s="38"/>
      <c r="BA1135" s="38"/>
      <c r="BB1135" s="38"/>
      <c r="BC1135" s="38"/>
      <c r="BD1135" s="38"/>
      <c r="BE1135" s="38"/>
      <c r="BF1135" s="38"/>
      <c r="BG1135" s="38"/>
    </row>
    <row r="1136">
      <c r="B1136" s="341"/>
      <c r="C1136" s="60"/>
      <c r="D1136" s="60"/>
      <c r="E1136" s="58"/>
      <c r="F1136" s="58"/>
      <c r="G1136" s="58"/>
      <c r="H1136" s="33" t="str">
        <f t="shared" si="1"/>
        <v/>
      </c>
      <c r="I1136" s="58"/>
      <c r="J1136" s="58"/>
      <c r="K1136" s="58"/>
      <c r="L1136" s="38"/>
      <c r="M1136" s="58"/>
      <c r="N1136" s="58"/>
      <c r="O1136" s="58"/>
      <c r="P1136" s="80"/>
      <c r="Q1136" s="80"/>
      <c r="R1136" s="58"/>
      <c r="S1136" s="58"/>
      <c r="T1136" s="84"/>
      <c r="U1136" s="62"/>
      <c r="V1136" s="37" t="str">
        <f>IFERROR(__xludf.DUMMYFUNCTION("if(not(iserror(index(split(C1136, "" ""),2))), index(split(C1136, "" ""),1),"""")"),"")</f>
        <v/>
      </c>
      <c r="W1136" s="315" t="str">
        <f>IFERROR(__xludf.DUMMYFUNCTION("if(V1136="""",C1136,if(not(iserror(index(split(C1136, "" ""),3))), index(split(C1136, "" ""),3),index(split(C1136, "" ""),2)))"),"")</f>
        <v/>
      </c>
      <c r="X1136" s="38" t="b">
        <f t="shared" si="2"/>
        <v>0</v>
      </c>
      <c r="Y1136" s="38"/>
      <c r="Z1136" s="40"/>
      <c r="AA1136" s="40"/>
      <c r="AB1136" s="38"/>
      <c r="AC1136" s="38"/>
      <c r="AD1136" s="38"/>
      <c r="AE1136" s="38"/>
      <c r="AF1136" s="38"/>
      <c r="AG1136" s="38"/>
      <c r="AH1136" s="38"/>
      <c r="AI1136" s="38"/>
      <c r="AJ1136" s="38"/>
      <c r="AK1136" s="38"/>
      <c r="AL1136" s="38"/>
      <c r="AM1136" s="38"/>
      <c r="AN1136" s="38"/>
      <c r="AO1136" s="38"/>
      <c r="AP1136" s="38"/>
      <c r="AQ1136" s="38"/>
      <c r="AR1136" s="38"/>
      <c r="AS1136" s="38"/>
      <c r="AT1136" s="38"/>
      <c r="AU1136" s="38"/>
      <c r="AV1136" s="38"/>
      <c r="AW1136" s="38"/>
      <c r="AX1136" s="38"/>
      <c r="AY1136" s="38"/>
      <c r="AZ1136" s="38"/>
      <c r="BA1136" s="38"/>
      <c r="BB1136" s="38"/>
      <c r="BC1136" s="38"/>
      <c r="BD1136" s="38"/>
      <c r="BE1136" s="38"/>
      <c r="BF1136" s="38"/>
      <c r="BG1136" s="38"/>
    </row>
    <row r="1137">
      <c r="B1137" s="341"/>
      <c r="C1137" s="60"/>
      <c r="D1137" s="60"/>
      <c r="E1137" s="58"/>
      <c r="F1137" s="58"/>
      <c r="G1137" s="58"/>
      <c r="H1137" s="33" t="str">
        <f t="shared" si="1"/>
        <v/>
      </c>
      <c r="I1137" s="58"/>
      <c r="J1137" s="58"/>
      <c r="K1137" s="58"/>
      <c r="L1137" s="38"/>
      <c r="M1137" s="58"/>
      <c r="N1137" s="58"/>
      <c r="O1137" s="58"/>
      <c r="P1137" s="80"/>
      <c r="Q1137" s="77"/>
      <c r="R1137" s="62"/>
      <c r="S1137" s="62"/>
      <c r="T1137" s="62"/>
      <c r="U1137" s="62"/>
      <c r="V1137" s="37" t="str">
        <f>IFERROR(__xludf.DUMMYFUNCTION("if(not(iserror(index(split(C1137, "" ""),2))), index(split(C1137, "" ""),1),"""")"),"")</f>
        <v/>
      </c>
      <c r="W1137" s="315" t="str">
        <f>IFERROR(__xludf.DUMMYFUNCTION("if(V1137="""",C1137,if(not(iserror(index(split(C1137, "" ""),3))), index(split(C1137, "" ""),3),index(split(C1137, "" ""),2)))"),"")</f>
        <v/>
      </c>
      <c r="X1137" s="38" t="b">
        <f t="shared" si="2"/>
        <v>0</v>
      </c>
      <c r="Y1137" s="38"/>
      <c r="Z1137" s="40"/>
      <c r="AA1137" s="40"/>
      <c r="AB1137" s="38"/>
      <c r="AC1137" s="38"/>
      <c r="AD1137" s="38"/>
      <c r="AE1137" s="38"/>
      <c r="AF1137" s="38"/>
      <c r="AG1137" s="38"/>
      <c r="AH1137" s="38"/>
      <c r="AI1137" s="38"/>
      <c r="AJ1137" s="38"/>
      <c r="AK1137" s="38"/>
      <c r="AL1137" s="38"/>
      <c r="AM1137" s="38"/>
      <c r="AN1137" s="38"/>
      <c r="AO1137" s="38"/>
      <c r="AP1137" s="38"/>
      <c r="AQ1137" s="38"/>
      <c r="AR1137" s="38"/>
      <c r="AS1137" s="38"/>
      <c r="AT1137" s="38"/>
      <c r="AU1137" s="38"/>
      <c r="AV1137" s="38"/>
      <c r="AW1137" s="38"/>
      <c r="AX1137" s="38"/>
      <c r="AY1137" s="38"/>
      <c r="AZ1137" s="38"/>
      <c r="BA1137" s="38"/>
      <c r="BB1137" s="38"/>
      <c r="BC1137" s="38"/>
      <c r="BD1137" s="38"/>
      <c r="BE1137" s="38"/>
      <c r="BF1137" s="38"/>
      <c r="BG1137" s="38"/>
    </row>
    <row r="1138">
      <c r="B1138" s="341"/>
      <c r="C1138" s="60"/>
      <c r="D1138" s="60"/>
      <c r="E1138" s="58"/>
      <c r="F1138" s="58"/>
      <c r="G1138" s="58"/>
      <c r="H1138" s="33" t="str">
        <f t="shared" si="1"/>
        <v/>
      </c>
      <c r="I1138" s="58"/>
      <c r="J1138" s="58"/>
      <c r="K1138" s="58"/>
      <c r="L1138" s="38"/>
      <c r="M1138" s="58"/>
      <c r="N1138" s="58"/>
      <c r="O1138" s="58"/>
      <c r="P1138" s="80"/>
      <c r="Q1138" s="77"/>
      <c r="R1138" s="62"/>
      <c r="S1138" s="62"/>
      <c r="T1138" s="62"/>
      <c r="U1138" s="62"/>
      <c r="V1138" s="37" t="str">
        <f>IFERROR(__xludf.DUMMYFUNCTION("if(not(iserror(index(split(C1138, "" ""),2))), index(split(C1138, "" ""),1),"""")"),"")</f>
        <v/>
      </c>
      <c r="W1138" s="315" t="str">
        <f>IFERROR(__xludf.DUMMYFUNCTION("if(V1138="""",C1138,if(not(iserror(index(split(C1138, "" ""),3))), index(split(C1138, "" ""),3),index(split(C1138, "" ""),2)))"),"")</f>
        <v/>
      </c>
      <c r="X1138" s="38" t="b">
        <f t="shared" si="2"/>
        <v>0</v>
      </c>
      <c r="Y1138" s="38"/>
      <c r="Z1138" s="40"/>
      <c r="AA1138" s="40"/>
      <c r="AB1138" s="38"/>
      <c r="AC1138" s="38"/>
      <c r="AD1138" s="38"/>
      <c r="AE1138" s="38"/>
      <c r="AF1138" s="38"/>
      <c r="AG1138" s="38"/>
      <c r="AH1138" s="38"/>
      <c r="AI1138" s="38"/>
      <c r="AJ1138" s="38"/>
      <c r="AK1138" s="38"/>
      <c r="AL1138" s="38"/>
      <c r="AM1138" s="38"/>
      <c r="AN1138" s="38"/>
      <c r="AO1138" s="38"/>
      <c r="AP1138" s="38"/>
      <c r="AQ1138" s="38"/>
      <c r="AR1138" s="38"/>
      <c r="AS1138" s="38"/>
      <c r="AT1138" s="38"/>
      <c r="AU1138" s="38"/>
      <c r="AV1138" s="38"/>
      <c r="AW1138" s="38"/>
      <c r="AX1138" s="38"/>
      <c r="AY1138" s="38"/>
      <c r="AZ1138" s="38"/>
      <c r="BA1138" s="38"/>
      <c r="BB1138" s="38"/>
      <c r="BC1138" s="38"/>
      <c r="BD1138" s="38"/>
      <c r="BE1138" s="38"/>
      <c r="BF1138" s="38"/>
      <c r="BG1138" s="38"/>
    </row>
    <row r="1139">
      <c r="B1139" s="341"/>
      <c r="C1139" s="60"/>
      <c r="D1139" s="60"/>
      <c r="E1139" s="58"/>
      <c r="F1139" s="58"/>
      <c r="G1139" s="58"/>
      <c r="H1139" s="33" t="str">
        <f t="shared" si="1"/>
        <v/>
      </c>
      <c r="I1139" s="58"/>
      <c r="J1139" s="58"/>
      <c r="K1139" s="58"/>
      <c r="L1139" s="38"/>
      <c r="M1139" s="58"/>
      <c r="N1139" s="58"/>
      <c r="O1139" s="58"/>
      <c r="P1139" s="80"/>
      <c r="Q1139" s="77"/>
      <c r="R1139" s="62"/>
      <c r="S1139" s="62"/>
      <c r="T1139" s="62"/>
      <c r="U1139" s="62"/>
      <c r="V1139" s="37" t="str">
        <f>IFERROR(__xludf.DUMMYFUNCTION("if(not(iserror(index(split(C1139, "" ""),2))), index(split(C1139, "" ""),1),"""")"),"")</f>
        <v/>
      </c>
      <c r="W1139" s="315" t="str">
        <f>IFERROR(__xludf.DUMMYFUNCTION("if(V1139="""",C1139,if(not(iserror(index(split(C1139, "" ""),3))), index(split(C1139, "" ""),3),index(split(C1139, "" ""),2)))"),"")</f>
        <v/>
      </c>
      <c r="X1139" s="38" t="b">
        <f t="shared" si="2"/>
        <v>0</v>
      </c>
      <c r="Y1139" s="38"/>
      <c r="Z1139" s="40"/>
      <c r="AA1139" s="40"/>
      <c r="AB1139" s="38"/>
      <c r="AC1139" s="38"/>
      <c r="AD1139" s="38"/>
      <c r="AE1139" s="38"/>
      <c r="AF1139" s="38"/>
      <c r="AG1139" s="38"/>
      <c r="AH1139" s="38"/>
      <c r="AI1139" s="38"/>
      <c r="AJ1139" s="38"/>
      <c r="AK1139" s="38"/>
      <c r="AL1139" s="38"/>
      <c r="AM1139" s="38"/>
      <c r="AN1139" s="38"/>
      <c r="AO1139" s="38"/>
      <c r="AP1139" s="38"/>
      <c r="AQ1139" s="38"/>
      <c r="AR1139" s="38"/>
      <c r="AS1139" s="38"/>
      <c r="AT1139" s="38"/>
      <c r="AU1139" s="38"/>
      <c r="AV1139" s="38"/>
      <c r="AW1139" s="38"/>
      <c r="AX1139" s="38"/>
      <c r="AY1139" s="38"/>
      <c r="AZ1139" s="38"/>
      <c r="BA1139" s="38"/>
      <c r="BB1139" s="38"/>
      <c r="BC1139" s="38"/>
      <c r="BD1139" s="38"/>
      <c r="BE1139" s="38"/>
      <c r="BF1139" s="38"/>
      <c r="BG1139" s="38"/>
    </row>
    <row r="1140">
      <c r="A1140" s="58"/>
      <c r="B1140" s="341"/>
      <c r="C1140" s="60"/>
      <c r="D1140" s="60"/>
      <c r="E1140" s="58"/>
      <c r="F1140" s="58"/>
      <c r="G1140" s="58"/>
      <c r="H1140" s="33" t="str">
        <f t="shared" si="1"/>
        <v/>
      </c>
      <c r="I1140" s="58"/>
      <c r="J1140" s="58"/>
      <c r="K1140" s="58"/>
      <c r="L1140" s="38"/>
      <c r="M1140" s="58"/>
      <c r="N1140" s="58"/>
      <c r="O1140" s="58"/>
      <c r="P1140" s="80"/>
      <c r="Q1140" s="77"/>
      <c r="R1140" s="62"/>
      <c r="S1140" s="62"/>
      <c r="T1140" s="62"/>
      <c r="U1140" s="62"/>
      <c r="V1140" s="37" t="str">
        <f>IFERROR(__xludf.DUMMYFUNCTION("if(not(iserror(index(split(C1140, "" ""),2))), index(split(C1140, "" ""),1),"""")"),"")</f>
        <v/>
      </c>
      <c r="W1140" s="315" t="str">
        <f>IFERROR(__xludf.DUMMYFUNCTION("if(V1140="""",C1140,if(not(iserror(index(split(C1140, "" ""),3))), index(split(C1140, "" ""),3),index(split(C1140, "" ""),2)))"),"")</f>
        <v/>
      </c>
      <c r="X1140" s="38" t="b">
        <f t="shared" si="2"/>
        <v>0</v>
      </c>
      <c r="Y1140" s="38"/>
      <c r="Z1140" s="40"/>
      <c r="AA1140" s="40"/>
      <c r="AB1140" s="38"/>
      <c r="AC1140" s="38"/>
      <c r="AD1140" s="38"/>
      <c r="AE1140" s="38"/>
      <c r="AF1140" s="38"/>
      <c r="AG1140" s="38"/>
      <c r="AH1140" s="38"/>
      <c r="AI1140" s="38"/>
      <c r="AJ1140" s="38"/>
      <c r="AK1140" s="38"/>
      <c r="AL1140" s="38"/>
      <c r="AM1140" s="38"/>
      <c r="AN1140" s="38"/>
      <c r="AO1140" s="38"/>
      <c r="AP1140" s="38"/>
      <c r="AQ1140" s="38"/>
      <c r="AR1140" s="38"/>
      <c r="AS1140" s="38"/>
      <c r="AT1140" s="38"/>
      <c r="AU1140" s="38"/>
      <c r="AV1140" s="38"/>
      <c r="AW1140" s="38"/>
      <c r="AX1140" s="38"/>
      <c r="AY1140" s="38"/>
      <c r="AZ1140" s="38"/>
      <c r="BA1140" s="38"/>
      <c r="BB1140" s="38"/>
      <c r="BC1140" s="38"/>
      <c r="BD1140" s="38"/>
      <c r="BE1140" s="38"/>
      <c r="BF1140" s="38"/>
      <c r="BG1140" s="38"/>
    </row>
    <row r="1141">
      <c r="A1141" s="58"/>
      <c r="B1141" s="341"/>
      <c r="C1141" s="60"/>
      <c r="D1141" s="60"/>
      <c r="E1141" s="58"/>
      <c r="F1141" s="58"/>
      <c r="G1141" s="58"/>
      <c r="H1141" s="33" t="str">
        <f t="shared" si="1"/>
        <v/>
      </c>
      <c r="I1141" s="58"/>
      <c r="J1141" s="58"/>
      <c r="K1141" s="58"/>
      <c r="L1141" s="38"/>
      <c r="M1141" s="58"/>
      <c r="N1141" s="58"/>
      <c r="O1141" s="58"/>
      <c r="P1141" s="80"/>
      <c r="Q1141" s="77"/>
      <c r="R1141" s="58"/>
      <c r="S1141" s="58"/>
      <c r="T1141" s="84"/>
      <c r="U1141" s="62"/>
      <c r="V1141" s="37" t="str">
        <f>IFERROR(__xludf.DUMMYFUNCTION("if(not(iserror(index(split(C1141, "" ""),2))), index(split(C1141, "" ""),1),"""")"),"")</f>
        <v/>
      </c>
      <c r="W1141" s="315" t="str">
        <f>IFERROR(__xludf.DUMMYFUNCTION("if(V1141="""",C1141,if(not(iserror(index(split(C1141, "" ""),3))), index(split(C1141, "" ""),3),index(split(C1141, "" ""),2)))"),"")</f>
        <v/>
      </c>
      <c r="X1141" s="38" t="b">
        <f t="shared" si="2"/>
        <v>0</v>
      </c>
      <c r="Y1141" s="38"/>
      <c r="Z1141" s="40"/>
      <c r="AA1141" s="40"/>
      <c r="AB1141" s="38"/>
      <c r="AC1141" s="38"/>
      <c r="AD1141" s="38"/>
      <c r="AE1141" s="38"/>
      <c r="AF1141" s="38"/>
      <c r="AG1141" s="38"/>
      <c r="AH1141" s="38"/>
      <c r="AI1141" s="38"/>
      <c r="AJ1141" s="38"/>
      <c r="AK1141" s="38"/>
      <c r="AL1141" s="38"/>
      <c r="AM1141" s="38"/>
      <c r="AN1141" s="38"/>
      <c r="AO1141" s="38"/>
      <c r="AP1141" s="38"/>
      <c r="AQ1141" s="38"/>
      <c r="AR1141" s="38"/>
      <c r="AS1141" s="38"/>
      <c r="AT1141" s="38"/>
      <c r="AU1141" s="38"/>
      <c r="AV1141" s="38"/>
      <c r="AW1141" s="38"/>
      <c r="AX1141" s="38"/>
      <c r="AY1141" s="38"/>
      <c r="AZ1141" s="38"/>
      <c r="BA1141" s="38"/>
      <c r="BB1141" s="38"/>
      <c r="BC1141" s="38"/>
      <c r="BD1141" s="38"/>
      <c r="BE1141" s="38"/>
      <c r="BF1141" s="38"/>
      <c r="BG1141" s="38"/>
    </row>
    <row r="1142">
      <c r="A1142" s="58"/>
      <c r="B1142" s="341"/>
      <c r="C1142" s="60"/>
      <c r="D1142" s="60"/>
      <c r="E1142" s="58"/>
      <c r="F1142" s="58"/>
      <c r="G1142" s="58"/>
      <c r="H1142" s="33" t="str">
        <f t="shared" si="1"/>
        <v/>
      </c>
      <c r="I1142" s="58"/>
      <c r="J1142" s="58"/>
      <c r="K1142" s="58"/>
      <c r="L1142" s="38"/>
      <c r="M1142" s="58"/>
      <c r="N1142" s="58"/>
      <c r="O1142" s="58"/>
      <c r="P1142" s="80"/>
      <c r="Q1142" s="77"/>
      <c r="R1142" s="58"/>
      <c r="S1142" s="58"/>
      <c r="T1142" s="84"/>
      <c r="U1142" s="62"/>
      <c r="V1142" s="37" t="str">
        <f>IFERROR(__xludf.DUMMYFUNCTION("if(not(iserror(index(split(C1142, "" ""),2))), index(split(C1142, "" ""),1),"""")"),"")</f>
        <v/>
      </c>
      <c r="W1142" s="315" t="str">
        <f>IFERROR(__xludf.DUMMYFUNCTION("if(V1142="""",C1142,if(not(iserror(index(split(C1142, "" ""),3))), index(split(C1142, "" ""),3),index(split(C1142, "" ""),2)))"),"")</f>
        <v/>
      </c>
      <c r="X1142" s="38" t="b">
        <f t="shared" si="2"/>
        <v>0</v>
      </c>
      <c r="Y1142" s="38"/>
      <c r="Z1142" s="40"/>
      <c r="AA1142" s="40"/>
      <c r="AB1142" s="38"/>
      <c r="AC1142" s="38"/>
      <c r="AD1142" s="38"/>
      <c r="AE1142" s="38"/>
      <c r="AF1142" s="38"/>
      <c r="AG1142" s="38"/>
      <c r="AH1142" s="38"/>
      <c r="AI1142" s="38"/>
      <c r="AJ1142" s="38"/>
      <c r="AK1142" s="38"/>
      <c r="AL1142" s="38"/>
      <c r="AM1142" s="38"/>
      <c r="AN1142" s="38"/>
      <c r="AO1142" s="38"/>
      <c r="AP1142" s="38"/>
      <c r="AQ1142" s="38"/>
      <c r="AR1142" s="38"/>
      <c r="AS1142" s="38"/>
      <c r="AT1142" s="38"/>
      <c r="AU1142" s="38"/>
      <c r="AV1142" s="38"/>
      <c r="AW1142" s="38"/>
      <c r="AX1142" s="38"/>
      <c r="AY1142" s="38"/>
      <c r="AZ1142" s="38"/>
      <c r="BA1142" s="38"/>
      <c r="BB1142" s="38"/>
      <c r="BC1142" s="38"/>
      <c r="BD1142" s="38"/>
      <c r="BE1142" s="38"/>
      <c r="BF1142" s="38"/>
      <c r="BG1142" s="38"/>
    </row>
    <row r="1143">
      <c r="A1143" s="58"/>
      <c r="B1143" s="341"/>
      <c r="C1143" s="60"/>
      <c r="D1143" s="60"/>
      <c r="E1143" s="58"/>
      <c r="F1143" s="58"/>
      <c r="G1143" s="58"/>
      <c r="H1143" s="33" t="str">
        <f t="shared" si="1"/>
        <v/>
      </c>
      <c r="I1143" s="58"/>
      <c r="J1143" s="58"/>
      <c r="K1143" s="58"/>
      <c r="L1143" s="38"/>
      <c r="M1143" s="58"/>
      <c r="N1143" s="58"/>
      <c r="O1143" s="58"/>
      <c r="P1143" s="80"/>
      <c r="Q1143" s="77"/>
      <c r="R1143" s="58"/>
      <c r="S1143" s="58"/>
      <c r="T1143" s="84"/>
      <c r="U1143" s="62"/>
      <c r="V1143" s="37" t="str">
        <f>IFERROR(__xludf.DUMMYFUNCTION("if(not(iserror(index(split(C1143, "" ""),2))), index(split(C1143, "" ""),1),"""")"),"")</f>
        <v/>
      </c>
      <c r="W1143" s="315" t="str">
        <f>IFERROR(__xludf.DUMMYFUNCTION("if(V1143="""",C1143,if(not(iserror(index(split(C1143, "" ""),3))), index(split(C1143, "" ""),3),index(split(C1143, "" ""),2)))"),"")</f>
        <v/>
      </c>
      <c r="X1143" s="38" t="b">
        <f t="shared" si="2"/>
        <v>0</v>
      </c>
      <c r="Y1143" s="38"/>
      <c r="Z1143" s="40"/>
      <c r="AA1143" s="40"/>
      <c r="AB1143" s="38"/>
      <c r="AC1143" s="38"/>
      <c r="AD1143" s="38"/>
      <c r="AE1143" s="38"/>
      <c r="AF1143" s="38"/>
      <c r="AG1143" s="38"/>
      <c r="AH1143" s="38"/>
      <c r="AI1143" s="38"/>
      <c r="AJ1143" s="38"/>
      <c r="AK1143" s="38"/>
      <c r="AL1143" s="38"/>
      <c r="AM1143" s="38"/>
      <c r="AN1143" s="38"/>
      <c r="AO1143" s="38"/>
      <c r="AP1143" s="38"/>
      <c r="AQ1143" s="38"/>
      <c r="AR1143" s="38"/>
      <c r="AS1143" s="38"/>
      <c r="AT1143" s="38"/>
      <c r="AU1143" s="38"/>
      <c r="AV1143" s="38"/>
      <c r="AW1143" s="38"/>
      <c r="AX1143" s="38"/>
      <c r="AY1143" s="38"/>
      <c r="AZ1143" s="38"/>
      <c r="BA1143" s="38"/>
      <c r="BB1143" s="38"/>
      <c r="BC1143" s="38"/>
      <c r="BD1143" s="38"/>
      <c r="BE1143" s="38"/>
      <c r="BF1143" s="38"/>
      <c r="BG1143" s="38"/>
    </row>
    <row r="1144">
      <c r="A1144" s="58"/>
      <c r="B1144" s="341"/>
      <c r="C1144" s="60"/>
      <c r="D1144" s="60"/>
      <c r="E1144" s="58"/>
      <c r="F1144" s="58"/>
      <c r="G1144" s="58"/>
      <c r="H1144" s="33" t="str">
        <f t="shared" si="1"/>
        <v/>
      </c>
      <c r="I1144" s="58"/>
      <c r="J1144" s="58"/>
      <c r="K1144" s="58"/>
      <c r="L1144" s="38"/>
      <c r="M1144" s="58"/>
      <c r="N1144" s="58"/>
      <c r="O1144" s="58"/>
      <c r="P1144" s="80"/>
      <c r="Q1144" s="77"/>
      <c r="R1144" s="58"/>
      <c r="S1144" s="58"/>
      <c r="T1144" s="84"/>
      <c r="U1144" s="62"/>
      <c r="V1144" s="37" t="str">
        <f>IFERROR(__xludf.DUMMYFUNCTION("if(not(iserror(index(split(C1144, "" ""),2))), index(split(C1144, "" ""),1),"""")"),"")</f>
        <v/>
      </c>
      <c r="W1144" s="315" t="str">
        <f>IFERROR(__xludf.DUMMYFUNCTION("if(V1144="""",C1144,if(not(iserror(index(split(C1144, "" ""),3))), index(split(C1144, "" ""),3),index(split(C1144, "" ""),2)))"),"")</f>
        <v/>
      </c>
      <c r="X1144" s="38" t="b">
        <f t="shared" si="2"/>
        <v>0</v>
      </c>
      <c r="Y1144" s="38"/>
      <c r="Z1144" s="40"/>
      <c r="AA1144" s="40"/>
      <c r="AB1144" s="38"/>
      <c r="AC1144" s="38"/>
      <c r="AD1144" s="38"/>
      <c r="AE1144" s="38"/>
      <c r="AF1144" s="38"/>
      <c r="AG1144" s="38"/>
      <c r="AH1144" s="38"/>
      <c r="AI1144" s="38"/>
      <c r="AJ1144" s="38"/>
      <c r="AK1144" s="38"/>
      <c r="AL1144" s="38"/>
      <c r="AM1144" s="38"/>
      <c r="AN1144" s="38"/>
      <c r="AO1144" s="38"/>
      <c r="AP1144" s="38"/>
      <c r="AQ1144" s="38"/>
      <c r="AR1144" s="38"/>
      <c r="AS1144" s="38"/>
      <c r="AT1144" s="38"/>
      <c r="AU1144" s="38"/>
      <c r="AV1144" s="38"/>
      <c r="AW1144" s="38"/>
      <c r="AX1144" s="38"/>
      <c r="AY1144" s="38"/>
      <c r="AZ1144" s="38"/>
      <c r="BA1144" s="38"/>
      <c r="BB1144" s="38"/>
      <c r="BC1144" s="38"/>
      <c r="BD1144" s="38"/>
      <c r="BE1144" s="38"/>
      <c r="BF1144" s="38"/>
      <c r="BG1144" s="38"/>
    </row>
    <row r="1145">
      <c r="A1145" s="58"/>
      <c r="B1145" s="341"/>
      <c r="C1145" s="60"/>
      <c r="D1145" s="60"/>
      <c r="E1145" s="58"/>
      <c r="F1145" s="58"/>
      <c r="G1145" s="58"/>
      <c r="H1145" s="33" t="str">
        <f t="shared" si="1"/>
        <v/>
      </c>
      <c r="I1145" s="58"/>
      <c r="J1145" s="58"/>
      <c r="K1145" s="58"/>
      <c r="L1145" s="38"/>
      <c r="M1145" s="58"/>
      <c r="N1145" s="58"/>
      <c r="O1145" s="58"/>
      <c r="P1145" s="80"/>
      <c r="Q1145" s="80"/>
      <c r="R1145" s="58"/>
      <c r="S1145" s="58"/>
      <c r="T1145" s="84"/>
      <c r="U1145" s="62"/>
      <c r="V1145" s="37" t="str">
        <f>IFERROR(__xludf.DUMMYFUNCTION("if(not(iserror(index(split(C1145, "" ""),2))), index(split(C1145, "" ""),1),"""")"),"")</f>
        <v/>
      </c>
      <c r="W1145" s="315" t="str">
        <f>IFERROR(__xludf.DUMMYFUNCTION("if(V1145="""",C1145,if(not(iserror(index(split(C1145, "" ""),3))), index(split(C1145, "" ""),3),index(split(C1145, "" ""),2)))"),"")</f>
        <v/>
      </c>
      <c r="X1145" s="38" t="b">
        <f t="shared" si="2"/>
        <v>0</v>
      </c>
      <c r="Y1145" s="38"/>
      <c r="Z1145" s="40"/>
      <c r="AA1145" s="40"/>
      <c r="AB1145" s="38"/>
      <c r="AC1145" s="38"/>
      <c r="AD1145" s="38"/>
      <c r="AE1145" s="38"/>
      <c r="AF1145" s="38"/>
      <c r="AG1145" s="38"/>
      <c r="AH1145" s="38"/>
      <c r="AI1145" s="38"/>
      <c r="AJ1145" s="38"/>
      <c r="AK1145" s="38"/>
      <c r="AL1145" s="38"/>
      <c r="AM1145" s="38"/>
      <c r="AN1145" s="38"/>
      <c r="AO1145" s="38"/>
      <c r="AP1145" s="38"/>
      <c r="AQ1145" s="38"/>
      <c r="AR1145" s="38"/>
      <c r="AS1145" s="38"/>
      <c r="AT1145" s="38"/>
      <c r="AU1145" s="38"/>
      <c r="AV1145" s="38"/>
      <c r="AW1145" s="38"/>
      <c r="AX1145" s="38"/>
      <c r="AY1145" s="38"/>
      <c r="AZ1145" s="38"/>
      <c r="BA1145" s="38"/>
      <c r="BB1145" s="38"/>
      <c r="BC1145" s="38"/>
      <c r="BD1145" s="38"/>
      <c r="BE1145" s="38"/>
      <c r="BF1145" s="38"/>
      <c r="BG1145" s="38"/>
    </row>
    <row r="1146">
      <c r="A1146" s="58"/>
      <c r="B1146" s="341"/>
      <c r="C1146" s="60"/>
      <c r="D1146" s="60"/>
      <c r="E1146" s="58"/>
      <c r="F1146" s="58"/>
      <c r="G1146" s="58"/>
      <c r="H1146" s="33" t="str">
        <f t="shared" si="1"/>
        <v/>
      </c>
      <c r="I1146" s="58"/>
      <c r="J1146" s="58"/>
      <c r="K1146" s="58"/>
      <c r="L1146" s="38"/>
      <c r="M1146" s="58"/>
      <c r="N1146" s="58"/>
      <c r="O1146" s="58"/>
      <c r="P1146" s="80"/>
      <c r="Q1146" s="77"/>
      <c r="R1146" s="58"/>
      <c r="S1146" s="58"/>
      <c r="T1146" s="84"/>
      <c r="U1146" s="62"/>
      <c r="V1146" s="37" t="str">
        <f>IFERROR(__xludf.DUMMYFUNCTION("if(not(iserror(index(split(C1146, "" ""),2))), index(split(C1146, "" ""),1),"""")"),"")</f>
        <v/>
      </c>
      <c r="W1146" s="315" t="str">
        <f>IFERROR(__xludf.DUMMYFUNCTION("if(V1146="""",C1146,if(not(iserror(index(split(C1146, "" ""),3))), index(split(C1146, "" ""),3),index(split(C1146, "" ""),2)))"),"")</f>
        <v/>
      </c>
      <c r="X1146" s="38" t="b">
        <f t="shared" si="2"/>
        <v>0</v>
      </c>
      <c r="Y1146" s="38"/>
      <c r="Z1146" s="40"/>
      <c r="AA1146" s="40"/>
      <c r="AB1146" s="38"/>
      <c r="AC1146" s="38"/>
      <c r="AD1146" s="38"/>
      <c r="AE1146" s="38"/>
      <c r="AF1146" s="38"/>
      <c r="AG1146" s="38"/>
      <c r="AH1146" s="38"/>
      <c r="AI1146" s="38"/>
      <c r="AJ1146" s="38"/>
      <c r="AK1146" s="38"/>
      <c r="AL1146" s="38"/>
      <c r="AM1146" s="38"/>
      <c r="AN1146" s="38"/>
      <c r="AO1146" s="38"/>
      <c r="AP1146" s="38"/>
      <c r="AQ1146" s="38"/>
      <c r="AR1146" s="38"/>
      <c r="AS1146" s="38"/>
      <c r="AT1146" s="38"/>
      <c r="AU1146" s="38"/>
      <c r="AV1146" s="38"/>
      <c r="AW1146" s="38"/>
      <c r="AX1146" s="38"/>
      <c r="AY1146" s="38"/>
      <c r="AZ1146" s="38"/>
      <c r="BA1146" s="38"/>
      <c r="BB1146" s="38"/>
      <c r="BC1146" s="38"/>
      <c r="BD1146" s="38"/>
      <c r="BE1146" s="38"/>
      <c r="BF1146" s="38"/>
      <c r="BG1146" s="38"/>
    </row>
    <row r="1147">
      <c r="A1147" s="58"/>
      <c r="B1147" s="341"/>
      <c r="C1147" s="60"/>
      <c r="D1147" s="60"/>
      <c r="E1147" s="58"/>
      <c r="F1147" s="58"/>
      <c r="G1147" s="58"/>
      <c r="H1147" s="33" t="str">
        <f t="shared" si="1"/>
        <v/>
      </c>
      <c r="I1147" s="58"/>
      <c r="J1147" s="58"/>
      <c r="K1147" s="58"/>
      <c r="L1147" s="38"/>
      <c r="M1147" s="58"/>
      <c r="N1147" s="58"/>
      <c r="O1147" s="58"/>
      <c r="P1147" s="80"/>
      <c r="Q1147" s="77"/>
      <c r="R1147" s="58"/>
      <c r="S1147" s="58"/>
      <c r="T1147" s="84"/>
      <c r="U1147" s="62"/>
      <c r="V1147" s="37" t="str">
        <f>IFERROR(__xludf.DUMMYFUNCTION("if(not(iserror(index(split(C1147, "" ""),2))), index(split(C1147, "" ""),1),"""")"),"")</f>
        <v/>
      </c>
      <c r="W1147" s="315" t="str">
        <f>IFERROR(__xludf.DUMMYFUNCTION("if(V1147="""",C1147,if(not(iserror(index(split(C1147, "" ""),3))), index(split(C1147, "" ""),3),index(split(C1147, "" ""),2)))"),"")</f>
        <v/>
      </c>
      <c r="X1147" s="38" t="b">
        <f t="shared" si="2"/>
        <v>0</v>
      </c>
      <c r="Y1147" s="38"/>
      <c r="Z1147" s="40"/>
      <c r="AA1147" s="40"/>
      <c r="AB1147" s="38"/>
      <c r="AC1147" s="38"/>
      <c r="AD1147" s="38"/>
      <c r="AE1147" s="38"/>
      <c r="AF1147" s="38"/>
      <c r="AG1147" s="38"/>
      <c r="AH1147" s="38"/>
      <c r="AI1147" s="38"/>
      <c r="AJ1147" s="38"/>
      <c r="AK1147" s="38"/>
      <c r="AL1147" s="38"/>
      <c r="AM1147" s="38"/>
      <c r="AN1147" s="38"/>
      <c r="AO1147" s="38"/>
      <c r="AP1147" s="38"/>
      <c r="AQ1147" s="38"/>
      <c r="AR1147" s="38"/>
      <c r="AS1147" s="38"/>
      <c r="AT1147" s="38"/>
      <c r="AU1147" s="38"/>
      <c r="AV1147" s="38"/>
      <c r="AW1147" s="38"/>
      <c r="AX1147" s="38"/>
      <c r="AY1147" s="38"/>
      <c r="AZ1147" s="38"/>
      <c r="BA1147" s="38"/>
      <c r="BB1147" s="38"/>
      <c r="BC1147" s="38"/>
      <c r="BD1147" s="38"/>
      <c r="BE1147" s="38"/>
      <c r="BF1147" s="38"/>
      <c r="BG1147" s="38"/>
    </row>
    <row r="1148">
      <c r="A1148" s="58"/>
      <c r="B1148" s="341"/>
      <c r="C1148" s="60"/>
      <c r="D1148" s="60"/>
      <c r="E1148" s="58"/>
      <c r="F1148" s="58"/>
      <c r="G1148" s="58"/>
      <c r="H1148" s="33" t="str">
        <f t="shared" si="1"/>
        <v/>
      </c>
      <c r="I1148" s="58"/>
      <c r="J1148" s="58"/>
      <c r="K1148" s="58"/>
      <c r="L1148" s="38"/>
      <c r="M1148" s="58"/>
      <c r="N1148" s="58"/>
      <c r="O1148" s="58"/>
      <c r="P1148" s="80"/>
      <c r="Q1148" s="77"/>
      <c r="R1148" s="58"/>
      <c r="S1148" s="58"/>
      <c r="T1148" s="84"/>
      <c r="U1148" s="62"/>
      <c r="V1148" s="37" t="str">
        <f>IFERROR(__xludf.DUMMYFUNCTION("if(not(iserror(index(split(C1148, "" ""),2))), index(split(C1148, "" ""),1),"""")"),"")</f>
        <v/>
      </c>
      <c r="W1148" s="315" t="str">
        <f>IFERROR(__xludf.DUMMYFUNCTION("if(V1148="""",C1148,if(not(iserror(index(split(C1148, "" ""),3))), index(split(C1148, "" ""),3),index(split(C1148, "" ""),2)))"),"")</f>
        <v/>
      </c>
      <c r="X1148" s="38" t="b">
        <f t="shared" si="2"/>
        <v>0</v>
      </c>
      <c r="Y1148" s="38"/>
      <c r="Z1148" s="40"/>
      <c r="AA1148" s="40"/>
      <c r="AB1148" s="38"/>
      <c r="AC1148" s="38"/>
      <c r="AD1148" s="38"/>
      <c r="AE1148" s="38"/>
      <c r="AF1148" s="38"/>
      <c r="AG1148" s="38"/>
      <c r="AH1148" s="38"/>
      <c r="AI1148" s="38"/>
      <c r="AJ1148" s="38"/>
      <c r="AK1148" s="38"/>
      <c r="AL1148" s="38"/>
      <c r="AM1148" s="38"/>
      <c r="AN1148" s="38"/>
      <c r="AO1148" s="38"/>
      <c r="AP1148" s="38"/>
      <c r="AQ1148" s="38"/>
      <c r="AR1148" s="38"/>
      <c r="AS1148" s="38"/>
      <c r="AT1148" s="38"/>
      <c r="AU1148" s="38"/>
      <c r="AV1148" s="38"/>
      <c r="AW1148" s="38"/>
      <c r="AX1148" s="38"/>
      <c r="AY1148" s="38"/>
      <c r="AZ1148" s="38"/>
      <c r="BA1148" s="38"/>
      <c r="BB1148" s="38"/>
      <c r="BC1148" s="38"/>
      <c r="BD1148" s="38"/>
      <c r="BE1148" s="38"/>
      <c r="BF1148" s="38"/>
      <c r="BG1148" s="38"/>
    </row>
    <row r="1149">
      <c r="A1149" s="58"/>
      <c r="B1149" s="341"/>
      <c r="C1149" s="60"/>
      <c r="D1149" s="60"/>
      <c r="E1149" s="58"/>
      <c r="F1149" s="58"/>
      <c r="G1149" s="58"/>
      <c r="H1149" s="33" t="str">
        <f t="shared" si="1"/>
        <v/>
      </c>
      <c r="I1149" s="58"/>
      <c r="J1149" s="58"/>
      <c r="K1149" s="58"/>
      <c r="L1149" s="38"/>
      <c r="M1149" s="58"/>
      <c r="N1149" s="58"/>
      <c r="O1149" s="58"/>
      <c r="P1149" s="80"/>
      <c r="Q1149" s="77"/>
      <c r="R1149" s="58"/>
      <c r="S1149" s="58"/>
      <c r="T1149" s="84"/>
      <c r="U1149" s="62"/>
      <c r="V1149" s="37" t="str">
        <f>IFERROR(__xludf.DUMMYFUNCTION("if(not(iserror(index(split(C1149, "" ""),2))), index(split(C1149, "" ""),1),"""")"),"")</f>
        <v/>
      </c>
      <c r="W1149" s="315" t="str">
        <f>IFERROR(__xludf.DUMMYFUNCTION("if(V1149="""",C1149,if(not(iserror(index(split(C1149, "" ""),3))), index(split(C1149, "" ""),3),index(split(C1149, "" ""),2)))"),"")</f>
        <v/>
      </c>
      <c r="X1149" s="38" t="b">
        <f t="shared" si="2"/>
        <v>0</v>
      </c>
      <c r="Y1149" s="38"/>
      <c r="Z1149" s="40"/>
      <c r="AA1149" s="40"/>
      <c r="AB1149" s="38"/>
      <c r="AC1149" s="38"/>
      <c r="AD1149" s="38"/>
      <c r="AE1149" s="38"/>
      <c r="AF1149" s="38"/>
      <c r="AG1149" s="38"/>
      <c r="AH1149" s="38"/>
      <c r="AI1149" s="38"/>
      <c r="AJ1149" s="38"/>
      <c r="AK1149" s="38"/>
      <c r="AL1149" s="38"/>
      <c r="AM1149" s="38"/>
      <c r="AN1149" s="38"/>
      <c r="AO1149" s="38"/>
      <c r="AP1149" s="38"/>
      <c r="AQ1149" s="38"/>
      <c r="AR1149" s="38"/>
      <c r="AS1149" s="38"/>
      <c r="AT1149" s="38"/>
      <c r="AU1149" s="38"/>
      <c r="AV1149" s="38"/>
      <c r="AW1149" s="38"/>
      <c r="AX1149" s="38"/>
      <c r="AY1149" s="38"/>
      <c r="AZ1149" s="38"/>
      <c r="BA1149" s="38"/>
      <c r="BB1149" s="38"/>
      <c r="BC1149" s="38"/>
      <c r="BD1149" s="38"/>
      <c r="BE1149" s="38"/>
      <c r="BF1149" s="38"/>
      <c r="BG1149" s="38"/>
    </row>
    <row r="1150">
      <c r="A1150" s="58"/>
      <c r="B1150" s="341"/>
      <c r="C1150" s="60"/>
      <c r="D1150" s="60"/>
      <c r="E1150" s="58"/>
      <c r="F1150" s="58"/>
      <c r="G1150" s="58"/>
      <c r="H1150" s="33" t="str">
        <f t="shared" si="1"/>
        <v/>
      </c>
      <c r="I1150" s="58"/>
      <c r="J1150" s="58"/>
      <c r="K1150" s="58"/>
      <c r="L1150" s="38"/>
      <c r="M1150" s="58"/>
      <c r="N1150" s="58"/>
      <c r="O1150" s="58"/>
      <c r="P1150" s="80"/>
      <c r="Q1150" s="80"/>
      <c r="R1150" s="58"/>
      <c r="S1150" s="58"/>
      <c r="T1150" s="84"/>
      <c r="U1150" s="62"/>
      <c r="V1150" s="37" t="str">
        <f>IFERROR(__xludf.DUMMYFUNCTION("if(not(iserror(index(split(C1150, "" ""),2))), index(split(C1150, "" ""),1),"""")"),"")</f>
        <v/>
      </c>
      <c r="W1150" s="315" t="str">
        <f>IFERROR(__xludf.DUMMYFUNCTION("if(V1150="""",C1150,if(not(iserror(index(split(C1150, "" ""),3))), index(split(C1150, "" ""),3),index(split(C1150, "" ""),2)))"),"")</f>
        <v/>
      </c>
      <c r="X1150" s="38" t="b">
        <f t="shared" si="2"/>
        <v>0</v>
      </c>
      <c r="Y1150" s="38"/>
      <c r="Z1150" s="40"/>
      <c r="AA1150" s="40"/>
      <c r="AB1150" s="38"/>
      <c r="AC1150" s="38"/>
      <c r="AD1150" s="38"/>
      <c r="AE1150" s="38"/>
      <c r="AF1150" s="38"/>
      <c r="AG1150" s="38"/>
      <c r="AH1150" s="38"/>
      <c r="AI1150" s="38"/>
      <c r="AJ1150" s="38"/>
      <c r="AK1150" s="38"/>
      <c r="AL1150" s="38"/>
      <c r="AM1150" s="38"/>
      <c r="AN1150" s="38"/>
      <c r="AO1150" s="38"/>
      <c r="AP1150" s="38"/>
      <c r="AQ1150" s="38"/>
      <c r="AR1150" s="38"/>
      <c r="AS1150" s="38"/>
      <c r="AT1150" s="38"/>
      <c r="AU1150" s="38"/>
      <c r="AV1150" s="38"/>
      <c r="AW1150" s="38"/>
      <c r="AX1150" s="38"/>
      <c r="AY1150" s="38"/>
      <c r="AZ1150" s="38"/>
      <c r="BA1150" s="38"/>
      <c r="BB1150" s="38"/>
      <c r="BC1150" s="38"/>
      <c r="BD1150" s="38"/>
      <c r="BE1150" s="38"/>
      <c r="BF1150" s="38"/>
      <c r="BG1150" s="38"/>
    </row>
    <row r="1151">
      <c r="A1151" s="58"/>
      <c r="B1151" s="341"/>
      <c r="C1151" s="60"/>
      <c r="D1151" s="60"/>
      <c r="E1151" s="58"/>
      <c r="F1151" s="58"/>
      <c r="G1151" s="58"/>
      <c r="H1151" s="33" t="str">
        <f t="shared" si="1"/>
        <v/>
      </c>
      <c r="I1151" s="58"/>
      <c r="J1151" s="58"/>
      <c r="K1151" s="58"/>
      <c r="L1151" s="38"/>
      <c r="M1151" s="58"/>
      <c r="N1151" s="58"/>
      <c r="O1151" s="58"/>
      <c r="P1151" s="80"/>
      <c r="Q1151" s="77"/>
      <c r="R1151" s="62"/>
      <c r="S1151" s="62"/>
      <c r="T1151" s="62"/>
      <c r="U1151" s="62"/>
      <c r="V1151" s="37" t="str">
        <f>IFERROR(__xludf.DUMMYFUNCTION("if(not(iserror(index(split(C1151, "" ""),2))), index(split(C1151, "" ""),1),"""")"),"")</f>
        <v/>
      </c>
      <c r="W1151" s="315" t="str">
        <f>IFERROR(__xludf.DUMMYFUNCTION("if(V1151="""",C1151,if(not(iserror(index(split(C1151, "" ""),3))), index(split(C1151, "" ""),3),index(split(C1151, "" ""),2)))"),"")</f>
        <v/>
      </c>
      <c r="X1151" s="38" t="b">
        <f t="shared" si="2"/>
        <v>0</v>
      </c>
      <c r="Y1151" s="38"/>
      <c r="Z1151" s="40"/>
      <c r="AA1151" s="40"/>
      <c r="AB1151" s="38"/>
      <c r="AC1151" s="38"/>
      <c r="AD1151" s="38"/>
      <c r="AE1151" s="38"/>
      <c r="AF1151" s="38"/>
      <c r="AG1151" s="38"/>
      <c r="AH1151" s="38"/>
      <c r="AI1151" s="38"/>
      <c r="AJ1151" s="38"/>
      <c r="AK1151" s="38"/>
      <c r="AL1151" s="38"/>
      <c r="AM1151" s="38"/>
      <c r="AN1151" s="38"/>
      <c r="AO1151" s="38"/>
      <c r="AP1151" s="38"/>
      <c r="AQ1151" s="38"/>
      <c r="AR1151" s="38"/>
      <c r="AS1151" s="38"/>
      <c r="AT1151" s="38"/>
      <c r="AU1151" s="38"/>
      <c r="AV1151" s="38"/>
      <c r="AW1151" s="38"/>
      <c r="AX1151" s="38"/>
      <c r="AY1151" s="38"/>
      <c r="AZ1151" s="38"/>
      <c r="BA1151" s="38"/>
      <c r="BB1151" s="38"/>
      <c r="BC1151" s="38"/>
      <c r="BD1151" s="38"/>
      <c r="BE1151" s="38"/>
      <c r="BF1151" s="38"/>
      <c r="BG1151" s="38"/>
    </row>
    <row r="1152">
      <c r="B1152" s="341"/>
      <c r="C1152" s="60"/>
      <c r="D1152" s="60"/>
      <c r="E1152" s="58"/>
      <c r="F1152" s="58"/>
      <c r="G1152" s="58"/>
      <c r="H1152" s="33" t="str">
        <f t="shared" si="1"/>
        <v/>
      </c>
      <c r="I1152" s="58"/>
      <c r="J1152" s="58"/>
      <c r="K1152" s="58"/>
      <c r="L1152" s="38"/>
      <c r="M1152" s="58"/>
      <c r="N1152" s="58"/>
      <c r="O1152" s="58"/>
      <c r="P1152" s="106"/>
      <c r="Q1152" s="77"/>
      <c r="R1152" s="62"/>
      <c r="S1152" s="62"/>
      <c r="T1152" s="62"/>
      <c r="U1152" s="62"/>
      <c r="V1152" s="37" t="str">
        <f>IFERROR(__xludf.DUMMYFUNCTION("if(not(iserror(index(split(C1152, "" ""),2))), index(split(C1152, "" ""),1),"""")"),"")</f>
        <v/>
      </c>
      <c r="W1152" s="315" t="str">
        <f>IFERROR(__xludf.DUMMYFUNCTION("if(V1152="""",C1152,if(not(iserror(index(split(C1152, "" ""),3))), index(split(C1152, "" ""),3),index(split(C1152, "" ""),2)))"),"")</f>
        <v/>
      </c>
      <c r="X1152" s="38" t="b">
        <f t="shared" si="2"/>
        <v>0</v>
      </c>
      <c r="Y1152" s="38"/>
      <c r="Z1152" s="40"/>
      <c r="AA1152" s="40"/>
      <c r="AB1152" s="38"/>
      <c r="AC1152" s="38"/>
      <c r="AD1152" s="38"/>
      <c r="AE1152" s="38"/>
      <c r="AF1152" s="38"/>
      <c r="AG1152" s="38"/>
      <c r="AH1152" s="38"/>
      <c r="AI1152" s="38"/>
      <c r="AJ1152" s="38"/>
      <c r="AK1152" s="38"/>
      <c r="AL1152" s="38"/>
      <c r="AM1152" s="38"/>
      <c r="AN1152" s="38"/>
      <c r="AO1152" s="38"/>
      <c r="AP1152" s="38"/>
      <c r="AQ1152" s="38"/>
      <c r="AR1152" s="38"/>
      <c r="AS1152" s="38"/>
      <c r="AT1152" s="38"/>
      <c r="AU1152" s="38"/>
      <c r="AV1152" s="38"/>
      <c r="AW1152" s="38"/>
      <c r="AX1152" s="38"/>
      <c r="AY1152" s="38"/>
      <c r="AZ1152" s="38"/>
      <c r="BA1152" s="38"/>
      <c r="BB1152" s="38"/>
      <c r="BC1152" s="38"/>
      <c r="BD1152" s="38"/>
      <c r="BE1152" s="38"/>
      <c r="BF1152" s="38"/>
      <c r="BG1152" s="38"/>
    </row>
    <row r="1153">
      <c r="A1153" s="58"/>
      <c r="B1153" s="341"/>
      <c r="C1153" s="60"/>
      <c r="D1153" s="60"/>
      <c r="E1153" s="58"/>
      <c r="F1153" s="58"/>
      <c r="G1153" s="58"/>
      <c r="H1153" s="33" t="str">
        <f t="shared" si="1"/>
        <v/>
      </c>
      <c r="I1153" s="58"/>
      <c r="J1153" s="58"/>
      <c r="K1153" s="58"/>
      <c r="L1153" s="38"/>
      <c r="M1153" s="58"/>
      <c r="N1153" s="58"/>
      <c r="O1153" s="58"/>
      <c r="P1153" s="80"/>
      <c r="Q1153" s="77"/>
      <c r="R1153" s="62"/>
      <c r="S1153" s="62"/>
      <c r="T1153" s="62"/>
      <c r="U1153" s="62"/>
      <c r="V1153" s="37" t="str">
        <f>IFERROR(__xludf.DUMMYFUNCTION("if(not(iserror(index(split(C1153, "" ""),2))), index(split(C1153, "" ""),1),"""")"),"")</f>
        <v/>
      </c>
      <c r="W1153" s="315" t="str">
        <f>IFERROR(__xludf.DUMMYFUNCTION("if(V1153="""",C1153,if(not(iserror(index(split(C1153, "" ""),3))), index(split(C1153, "" ""),3),index(split(C1153, "" ""),2)))"),"")</f>
        <v/>
      </c>
      <c r="X1153" s="38" t="b">
        <f t="shared" si="2"/>
        <v>0</v>
      </c>
      <c r="Y1153" s="38"/>
      <c r="Z1153" s="40"/>
      <c r="AA1153" s="40"/>
      <c r="AB1153" s="38"/>
      <c r="AC1153" s="38"/>
      <c r="AD1153" s="38"/>
      <c r="AE1153" s="38"/>
      <c r="AF1153" s="38"/>
      <c r="AG1153" s="38"/>
      <c r="AH1153" s="38"/>
      <c r="AI1153" s="38"/>
      <c r="AJ1153" s="38"/>
      <c r="AK1153" s="38"/>
      <c r="AL1153" s="38"/>
      <c r="AM1153" s="38"/>
      <c r="AN1153" s="38"/>
      <c r="AO1153" s="38"/>
      <c r="AP1153" s="38"/>
      <c r="AQ1153" s="38"/>
      <c r="AR1153" s="38"/>
      <c r="AS1153" s="38"/>
      <c r="AT1153" s="38"/>
      <c r="AU1153" s="38"/>
      <c r="AV1153" s="38"/>
      <c r="AW1153" s="38"/>
      <c r="AX1153" s="38"/>
      <c r="AY1153" s="38"/>
      <c r="AZ1153" s="38"/>
      <c r="BA1153" s="38"/>
      <c r="BB1153" s="38"/>
      <c r="BC1153" s="38"/>
      <c r="BD1153" s="38"/>
      <c r="BE1153" s="38"/>
      <c r="BF1153" s="38"/>
      <c r="BG1153" s="38"/>
    </row>
    <row r="1154">
      <c r="A1154" s="58"/>
      <c r="B1154" s="341"/>
      <c r="C1154" s="60"/>
      <c r="D1154" s="60"/>
      <c r="E1154" s="58"/>
      <c r="F1154" s="58"/>
      <c r="G1154" s="58"/>
      <c r="H1154" s="33" t="str">
        <f t="shared" si="1"/>
        <v/>
      </c>
      <c r="I1154" s="58"/>
      <c r="J1154" s="58"/>
      <c r="K1154" s="58"/>
      <c r="L1154" s="38"/>
      <c r="M1154" s="58"/>
      <c r="N1154" s="58"/>
      <c r="O1154" s="58"/>
      <c r="P1154" s="80"/>
      <c r="Q1154" s="77"/>
      <c r="R1154" s="62"/>
      <c r="S1154" s="62"/>
      <c r="T1154" s="62"/>
      <c r="U1154" s="62"/>
      <c r="V1154" s="37" t="str">
        <f>IFERROR(__xludf.DUMMYFUNCTION("if(not(iserror(index(split(C1154, "" ""),2))), index(split(C1154, "" ""),1),"""")"),"")</f>
        <v/>
      </c>
      <c r="W1154" s="315" t="str">
        <f>IFERROR(__xludf.DUMMYFUNCTION("if(V1154="""",C1154,if(not(iserror(index(split(C1154, "" ""),3))), index(split(C1154, "" ""),3),index(split(C1154, "" ""),2)))"),"")</f>
        <v/>
      </c>
      <c r="X1154" s="38" t="b">
        <f t="shared" si="2"/>
        <v>0</v>
      </c>
      <c r="Y1154" s="38"/>
      <c r="Z1154" s="40"/>
      <c r="AA1154" s="40"/>
      <c r="AB1154" s="38"/>
      <c r="AC1154" s="38"/>
      <c r="AD1154" s="38"/>
      <c r="AE1154" s="38"/>
      <c r="AF1154" s="38"/>
      <c r="AG1154" s="38"/>
      <c r="AH1154" s="38"/>
      <c r="AI1154" s="38"/>
      <c r="AJ1154" s="38"/>
      <c r="AK1154" s="38"/>
      <c r="AL1154" s="38"/>
      <c r="AM1154" s="38"/>
      <c r="AN1154" s="38"/>
      <c r="AO1154" s="38"/>
      <c r="AP1154" s="38"/>
      <c r="AQ1154" s="38"/>
      <c r="AR1154" s="38"/>
      <c r="AS1154" s="38"/>
      <c r="AT1154" s="38"/>
      <c r="AU1154" s="38"/>
      <c r="AV1154" s="38"/>
      <c r="AW1154" s="38"/>
      <c r="AX1154" s="38"/>
      <c r="AY1154" s="38"/>
      <c r="AZ1154" s="38"/>
      <c r="BA1154" s="38"/>
      <c r="BB1154" s="38"/>
      <c r="BC1154" s="38"/>
      <c r="BD1154" s="38"/>
      <c r="BE1154" s="38"/>
      <c r="BF1154" s="38"/>
      <c r="BG1154" s="38"/>
    </row>
    <row r="1155">
      <c r="A1155" s="58"/>
      <c r="B1155" s="341"/>
      <c r="C1155" s="60"/>
      <c r="D1155" s="60"/>
      <c r="E1155" s="58"/>
      <c r="F1155" s="58"/>
      <c r="G1155" s="58"/>
      <c r="H1155" s="33" t="str">
        <f t="shared" si="1"/>
        <v/>
      </c>
      <c r="I1155" s="58"/>
      <c r="J1155" s="58"/>
      <c r="K1155" s="58"/>
      <c r="L1155" s="38"/>
      <c r="M1155" s="58"/>
      <c r="N1155" s="58"/>
      <c r="O1155" s="58"/>
      <c r="P1155" s="80"/>
      <c r="Q1155" s="77"/>
      <c r="R1155" s="62"/>
      <c r="S1155" s="62"/>
      <c r="T1155" s="62"/>
      <c r="U1155" s="62"/>
      <c r="V1155" s="37" t="str">
        <f>IFERROR(__xludf.DUMMYFUNCTION("if(not(iserror(index(split(C1155, "" ""),2))), index(split(C1155, "" ""),1),"""")"),"")</f>
        <v/>
      </c>
      <c r="W1155" s="315" t="str">
        <f>IFERROR(__xludf.DUMMYFUNCTION("if(V1155="""",C1155,if(not(iserror(index(split(C1155, "" ""),3))), index(split(C1155, "" ""),3),index(split(C1155, "" ""),2)))"),"")</f>
        <v/>
      </c>
      <c r="X1155" s="38" t="b">
        <f t="shared" si="2"/>
        <v>0</v>
      </c>
      <c r="Y1155" s="38"/>
      <c r="Z1155" s="40"/>
      <c r="AA1155" s="40"/>
      <c r="AB1155" s="38"/>
      <c r="AC1155" s="38"/>
      <c r="AD1155" s="38"/>
      <c r="AE1155" s="38"/>
      <c r="AF1155" s="38"/>
      <c r="AG1155" s="38"/>
      <c r="AH1155" s="38"/>
      <c r="AI1155" s="38"/>
      <c r="AJ1155" s="38"/>
      <c r="AK1155" s="38"/>
      <c r="AL1155" s="38"/>
      <c r="AM1155" s="38"/>
      <c r="AN1155" s="38"/>
      <c r="AO1155" s="38"/>
      <c r="AP1155" s="38"/>
      <c r="AQ1155" s="38"/>
      <c r="AR1155" s="38"/>
      <c r="AS1155" s="38"/>
      <c r="AT1155" s="38"/>
      <c r="AU1155" s="38"/>
      <c r="AV1155" s="38"/>
      <c r="AW1155" s="38"/>
      <c r="AX1155" s="38"/>
      <c r="AY1155" s="38"/>
      <c r="AZ1155" s="38"/>
      <c r="BA1155" s="38"/>
      <c r="BB1155" s="38"/>
      <c r="BC1155" s="38"/>
      <c r="BD1155" s="38"/>
      <c r="BE1155" s="38"/>
      <c r="BF1155" s="38"/>
      <c r="BG1155" s="38"/>
    </row>
    <row r="1156">
      <c r="A1156" s="58"/>
      <c r="B1156" s="341"/>
      <c r="C1156" s="60"/>
      <c r="D1156" s="60"/>
      <c r="E1156" s="58"/>
      <c r="F1156" s="58"/>
      <c r="G1156" s="58"/>
      <c r="H1156" s="33" t="str">
        <f t="shared" si="1"/>
        <v/>
      </c>
      <c r="I1156" s="58"/>
      <c r="J1156" s="58"/>
      <c r="K1156" s="58"/>
      <c r="L1156" s="38"/>
      <c r="M1156" s="58"/>
      <c r="N1156" s="58"/>
      <c r="O1156" s="58"/>
      <c r="P1156" s="80"/>
      <c r="Q1156" s="77"/>
      <c r="R1156" s="62"/>
      <c r="S1156" s="62"/>
      <c r="T1156" s="62"/>
      <c r="U1156" s="62"/>
      <c r="V1156" s="37" t="str">
        <f>IFERROR(__xludf.DUMMYFUNCTION("if(not(iserror(index(split(C1156, "" ""),2))), index(split(C1156, "" ""),1),"""")"),"")</f>
        <v/>
      </c>
      <c r="W1156" s="315" t="str">
        <f>IFERROR(__xludf.DUMMYFUNCTION("if(V1156="""",C1156,if(not(iserror(index(split(C1156, "" ""),3))), index(split(C1156, "" ""),3),index(split(C1156, "" ""),2)))"),"")</f>
        <v/>
      </c>
      <c r="X1156" s="38" t="b">
        <f t="shared" si="2"/>
        <v>0</v>
      </c>
      <c r="Y1156" s="38"/>
      <c r="Z1156" s="40"/>
      <c r="AA1156" s="40"/>
      <c r="AB1156" s="38"/>
      <c r="AC1156" s="38"/>
      <c r="AD1156" s="38"/>
      <c r="AE1156" s="38"/>
      <c r="AF1156" s="38"/>
      <c r="AG1156" s="38"/>
      <c r="AH1156" s="38"/>
      <c r="AI1156" s="38"/>
      <c r="AJ1156" s="38"/>
      <c r="AK1156" s="38"/>
      <c r="AL1156" s="38"/>
      <c r="AM1156" s="38"/>
      <c r="AN1156" s="38"/>
      <c r="AO1156" s="38"/>
      <c r="AP1156" s="38"/>
      <c r="AQ1156" s="38"/>
      <c r="AR1156" s="38"/>
      <c r="AS1156" s="38"/>
      <c r="AT1156" s="38"/>
      <c r="AU1156" s="38"/>
      <c r="AV1156" s="38"/>
      <c r="AW1156" s="38"/>
      <c r="AX1156" s="38"/>
      <c r="AY1156" s="38"/>
      <c r="AZ1156" s="38"/>
      <c r="BA1156" s="38"/>
      <c r="BB1156" s="38"/>
      <c r="BC1156" s="38"/>
      <c r="BD1156" s="38"/>
      <c r="BE1156" s="38"/>
      <c r="BF1156" s="38"/>
      <c r="BG1156" s="38"/>
    </row>
    <row r="1157">
      <c r="A1157" s="58"/>
      <c r="B1157" s="341"/>
      <c r="C1157" s="60"/>
      <c r="D1157" s="60"/>
      <c r="E1157" s="58"/>
      <c r="F1157" s="58"/>
      <c r="G1157" s="58"/>
      <c r="H1157" s="33" t="str">
        <f t="shared" si="1"/>
        <v/>
      </c>
      <c r="I1157" s="58"/>
      <c r="J1157" s="58"/>
      <c r="K1157" s="58"/>
      <c r="L1157" s="38"/>
      <c r="M1157" s="58"/>
      <c r="N1157" s="58"/>
      <c r="O1157" s="58"/>
      <c r="P1157" s="80"/>
      <c r="Q1157" s="77"/>
      <c r="R1157" s="62"/>
      <c r="S1157" s="62"/>
      <c r="T1157" s="62"/>
      <c r="U1157" s="62"/>
      <c r="V1157" s="37" t="str">
        <f>IFERROR(__xludf.DUMMYFUNCTION("if(not(iserror(index(split(C1157, "" ""),2))), index(split(C1157, "" ""),1),"""")"),"")</f>
        <v/>
      </c>
      <c r="W1157" s="315" t="str">
        <f>IFERROR(__xludf.DUMMYFUNCTION("if(V1157="""",C1157,if(not(iserror(index(split(C1157, "" ""),3))), index(split(C1157, "" ""),3),index(split(C1157, "" ""),2)))"),"")</f>
        <v/>
      </c>
      <c r="X1157" s="38" t="b">
        <f t="shared" si="2"/>
        <v>0</v>
      </c>
      <c r="Y1157" s="38"/>
      <c r="Z1157" s="40"/>
      <c r="AA1157" s="40"/>
      <c r="AB1157" s="38"/>
      <c r="AC1157" s="38"/>
      <c r="AD1157" s="38"/>
      <c r="AE1157" s="38"/>
      <c r="AF1157" s="38"/>
      <c r="AG1157" s="38"/>
      <c r="AH1157" s="38"/>
      <c r="AI1157" s="38"/>
      <c r="AJ1157" s="38"/>
      <c r="AK1157" s="38"/>
      <c r="AL1157" s="38"/>
      <c r="AM1157" s="38"/>
      <c r="AN1157" s="38"/>
      <c r="AO1157" s="38"/>
      <c r="AP1157" s="38"/>
      <c r="AQ1157" s="38"/>
      <c r="AR1157" s="38"/>
      <c r="AS1157" s="38"/>
      <c r="AT1157" s="38"/>
      <c r="AU1157" s="38"/>
      <c r="AV1157" s="38"/>
      <c r="AW1157" s="38"/>
      <c r="AX1157" s="38"/>
      <c r="AY1157" s="38"/>
      <c r="AZ1157" s="38"/>
      <c r="BA1157" s="38"/>
      <c r="BB1157" s="38"/>
      <c r="BC1157" s="38"/>
      <c r="BD1157" s="38"/>
      <c r="BE1157" s="38"/>
      <c r="BF1157" s="38"/>
      <c r="BG1157" s="38"/>
    </row>
    <row r="1158">
      <c r="A1158" s="58"/>
      <c r="B1158" s="341"/>
      <c r="C1158" s="60"/>
      <c r="D1158" s="60"/>
      <c r="E1158" s="58"/>
      <c r="F1158" s="58"/>
      <c r="G1158" s="58"/>
      <c r="H1158" s="33" t="str">
        <f t="shared" si="1"/>
        <v/>
      </c>
      <c r="I1158" s="58"/>
      <c r="J1158" s="58"/>
      <c r="K1158" s="58"/>
      <c r="L1158" s="38"/>
      <c r="M1158" s="58"/>
      <c r="N1158" s="58"/>
      <c r="O1158" s="58"/>
      <c r="P1158" s="80"/>
      <c r="Q1158" s="77"/>
      <c r="R1158" s="62"/>
      <c r="S1158" s="62"/>
      <c r="T1158" s="62"/>
      <c r="U1158" s="62"/>
      <c r="V1158" s="37" t="str">
        <f>IFERROR(__xludf.DUMMYFUNCTION("if(not(iserror(index(split(C1158, "" ""),2))), index(split(C1158, "" ""),1),"""")"),"")</f>
        <v/>
      </c>
      <c r="W1158" s="315" t="str">
        <f>IFERROR(__xludf.DUMMYFUNCTION("if(V1158="""",C1158,if(not(iserror(index(split(C1158, "" ""),3))), index(split(C1158, "" ""),3),index(split(C1158, "" ""),2)))"),"")</f>
        <v/>
      </c>
      <c r="X1158" s="38" t="b">
        <f t="shared" si="2"/>
        <v>0</v>
      </c>
      <c r="Y1158" s="38"/>
      <c r="Z1158" s="40"/>
      <c r="AA1158" s="40"/>
      <c r="AB1158" s="38"/>
      <c r="AC1158" s="38"/>
      <c r="AD1158" s="38"/>
      <c r="AE1158" s="38"/>
      <c r="AF1158" s="38"/>
      <c r="AG1158" s="38"/>
      <c r="AH1158" s="38"/>
      <c r="AI1158" s="38"/>
      <c r="AJ1158" s="38"/>
      <c r="AK1158" s="38"/>
      <c r="AL1158" s="38"/>
      <c r="AM1158" s="38"/>
      <c r="AN1158" s="38"/>
      <c r="AO1158" s="38"/>
      <c r="AP1158" s="38"/>
      <c r="AQ1158" s="38"/>
      <c r="AR1158" s="38"/>
      <c r="AS1158" s="38"/>
      <c r="AT1158" s="38"/>
      <c r="AU1158" s="38"/>
      <c r="AV1158" s="38"/>
      <c r="AW1158" s="38"/>
      <c r="AX1158" s="38"/>
      <c r="AY1158" s="38"/>
      <c r="AZ1158" s="38"/>
      <c r="BA1158" s="38"/>
      <c r="BB1158" s="38"/>
      <c r="BC1158" s="38"/>
      <c r="BD1158" s="38"/>
      <c r="BE1158" s="38"/>
      <c r="BF1158" s="38"/>
      <c r="BG1158" s="38"/>
    </row>
    <row r="1159">
      <c r="B1159" s="341"/>
      <c r="C1159" s="60"/>
      <c r="D1159" s="60"/>
      <c r="E1159" s="58"/>
      <c r="F1159" s="58"/>
      <c r="G1159" s="58"/>
      <c r="H1159" s="33" t="str">
        <f t="shared" si="1"/>
        <v/>
      </c>
      <c r="I1159" s="58"/>
      <c r="J1159" s="58"/>
      <c r="K1159" s="58"/>
      <c r="L1159" s="38"/>
      <c r="M1159" s="58"/>
      <c r="N1159" s="58"/>
      <c r="O1159" s="58"/>
      <c r="P1159" s="80"/>
      <c r="Q1159" s="77"/>
      <c r="R1159" s="58"/>
      <c r="S1159" s="62"/>
      <c r="T1159" s="84"/>
      <c r="U1159" s="62"/>
      <c r="V1159" s="37" t="str">
        <f>IFERROR(__xludf.DUMMYFUNCTION("if(not(iserror(index(split(C1159, "" ""),2))), index(split(C1159, "" ""),1),"""")"),"")</f>
        <v/>
      </c>
      <c r="W1159" s="315" t="str">
        <f>IFERROR(__xludf.DUMMYFUNCTION("if(V1159="""",C1159,if(not(iserror(index(split(C1159, "" ""),3))), index(split(C1159, "" ""),3),index(split(C1159, "" ""),2)))"),"")</f>
        <v/>
      </c>
      <c r="X1159" s="38" t="b">
        <f t="shared" si="2"/>
        <v>0</v>
      </c>
      <c r="Y1159" s="38"/>
      <c r="Z1159" s="40"/>
      <c r="AA1159" s="40"/>
      <c r="AB1159" s="38"/>
      <c r="AC1159" s="38"/>
      <c r="AD1159" s="38"/>
      <c r="AE1159" s="38"/>
      <c r="AF1159" s="38"/>
      <c r="AG1159" s="38"/>
      <c r="AH1159" s="38"/>
      <c r="AI1159" s="38"/>
      <c r="AJ1159" s="38"/>
      <c r="AK1159" s="38"/>
      <c r="AL1159" s="38"/>
      <c r="AM1159" s="38"/>
      <c r="AN1159" s="38"/>
      <c r="AO1159" s="38"/>
      <c r="AP1159" s="38"/>
      <c r="AQ1159" s="38"/>
      <c r="AR1159" s="38"/>
      <c r="AS1159" s="38"/>
      <c r="AT1159" s="38"/>
      <c r="AU1159" s="38"/>
      <c r="AV1159" s="38"/>
      <c r="AW1159" s="38"/>
      <c r="AX1159" s="38"/>
      <c r="AY1159" s="38"/>
      <c r="AZ1159" s="38"/>
      <c r="BA1159" s="38"/>
      <c r="BB1159" s="38"/>
      <c r="BC1159" s="38"/>
      <c r="BD1159" s="38"/>
      <c r="BE1159" s="38"/>
      <c r="BF1159" s="38"/>
      <c r="BG1159" s="38"/>
    </row>
    <row r="1160">
      <c r="A1160" s="58"/>
      <c r="B1160" s="341"/>
      <c r="C1160" s="60"/>
      <c r="D1160" s="60"/>
      <c r="E1160" s="58"/>
      <c r="F1160" s="58"/>
      <c r="G1160" s="58"/>
      <c r="H1160" s="33" t="str">
        <f t="shared" si="1"/>
        <v/>
      </c>
      <c r="I1160" s="58"/>
      <c r="J1160" s="58"/>
      <c r="K1160" s="58"/>
      <c r="L1160" s="38"/>
      <c r="M1160" s="58"/>
      <c r="N1160" s="58"/>
      <c r="O1160" s="58"/>
      <c r="P1160" s="80"/>
      <c r="Q1160" s="77"/>
      <c r="R1160" s="58"/>
      <c r="S1160" s="62"/>
      <c r="T1160" s="84"/>
      <c r="U1160" s="62"/>
      <c r="V1160" s="37" t="str">
        <f>IFERROR(__xludf.DUMMYFUNCTION("if(not(iserror(index(split(C1160, "" ""),2))), index(split(C1160, "" ""),1),"""")"),"")</f>
        <v/>
      </c>
      <c r="W1160" s="315" t="str">
        <f>IFERROR(__xludf.DUMMYFUNCTION("if(V1160="""",C1160,if(not(iserror(index(split(C1160, "" ""),3))), index(split(C1160, "" ""),3),index(split(C1160, "" ""),2)))"),"")</f>
        <v/>
      </c>
      <c r="X1160" s="38" t="b">
        <f t="shared" si="2"/>
        <v>0</v>
      </c>
      <c r="Y1160" s="38"/>
      <c r="Z1160" s="40"/>
      <c r="AA1160" s="40"/>
      <c r="AB1160" s="38"/>
      <c r="AC1160" s="38"/>
      <c r="AD1160" s="38"/>
      <c r="AE1160" s="38"/>
      <c r="AF1160" s="38"/>
      <c r="AG1160" s="38"/>
      <c r="AH1160" s="38"/>
      <c r="AI1160" s="38"/>
      <c r="AJ1160" s="38"/>
      <c r="AK1160" s="38"/>
      <c r="AL1160" s="38"/>
      <c r="AM1160" s="38"/>
      <c r="AN1160" s="38"/>
      <c r="AO1160" s="38"/>
      <c r="AP1160" s="38"/>
      <c r="AQ1160" s="38"/>
      <c r="AR1160" s="38"/>
      <c r="AS1160" s="38"/>
      <c r="AT1160" s="38"/>
      <c r="AU1160" s="38"/>
      <c r="AV1160" s="38"/>
      <c r="AW1160" s="38"/>
      <c r="AX1160" s="38"/>
      <c r="AY1160" s="38"/>
      <c r="AZ1160" s="38"/>
      <c r="BA1160" s="38"/>
      <c r="BB1160" s="38"/>
      <c r="BC1160" s="38"/>
      <c r="BD1160" s="38"/>
      <c r="BE1160" s="38"/>
      <c r="BF1160" s="38"/>
      <c r="BG1160" s="38"/>
    </row>
    <row r="1161">
      <c r="A1161" s="58"/>
      <c r="B1161" s="341"/>
      <c r="C1161" s="60"/>
      <c r="D1161" s="60"/>
      <c r="E1161" s="58"/>
      <c r="F1161" s="58"/>
      <c r="G1161" s="58"/>
      <c r="H1161" s="33" t="str">
        <f t="shared" si="1"/>
        <v/>
      </c>
      <c r="I1161" s="58"/>
      <c r="J1161" s="58"/>
      <c r="K1161" s="58"/>
      <c r="L1161" s="38"/>
      <c r="M1161" s="58"/>
      <c r="N1161" s="58"/>
      <c r="O1161" s="58"/>
      <c r="P1161" s="80"/>
      <c r="Q1161" s="77"/>
      <c r="R1161" s="58"/>
      <c r="S1161" s="62"/>
      <c r="T1161" s="84"/>
      <c r="U1161" s="62"/>
      <c r="V1161" s="37" t="str">
        <f>IFERROR(__xludf.DUMMYFUNCTION("if(not(iserror(index(split(C1161, "" ""),2))), index(split(C1161, "" ""),1),"""")"),"")</f>
        <v/>
      </c>
      <c r="W1161" s="315" t="str">
        <f>IFERROR(__xludf.DUMMYFUNCTION("if(V1161="""",C1161,if(not(iserror(index(split(C1161, "" ""),3))), index(split(C1161, "" ""),3),index(split(C1161, "" ""),2)))"),"")</f>
        <v/>
      </c>
      <c r="X1161" s="38" t="b">
        <f t="shared" si="2"/>
        <v>0</v>
      </c>
      <c r="Y1161" s="38"/>
      <c r="Z1161" s="40"/>
      <c r="AA1161" s="40"/>
      <c r="AB1161" s="38"/>
      <c r="AC1161" s="38"/>
      <c r="AD1161" s="38"/>
      <c r="AE1161" s="38"/>
      <c r="AF1161" s="38"/>
      <c r="AG1161" s="38"/>
      <c r="AH1161" s="38"/>
      <c r="AI1161" s="38"/>
      <c r="AJ1161" s="38"/>
      <c r="AK1161" s="38"/>
      <c r="AL1161" s="38"/>
      <c r="AM1161" s="38"/>
      <c r="AN1161" s="38"/>
      <c r="AO1161" s="38"/>
      <c r="AP1161" s="38"/>
      <c r="AQ1161" s="38"/>
      <c r="AR1161" s="38"/>
      <c r="AS1161" s="38"/>
      <c r="AT1161" s="38"/>
      <c r="AU1161" s="38"/>
      <c r="AV1161" s="38"/>
      <c r="AW1161" s="38"/>
      <c r="AX1161" s="38"/>
      <c r="AY1161" s="38"/>
      <c r="AZ1161" s="38"/>
      <c r="BA1161" s="38"/>
      <c r="BB1161" s="38"/>
      <c r="BC1161" s="38"/>
      <c r="BD1161" s="38"/>
      <c r="BE1161" s="38"/>
      <c r="BF1161" s="38"/>
      <c r="BG1161" s="38"/>
    </row>
    <row r="1162">
      <c r="A1162" s="58"/>
      <c r="B1162" s="341"/>
      <c r="C1162" s="60"/>
      <c r="D1162" s="60"/>
      <c r="E1162" s="58"/>
      <c r="F1162" s="58"/>
      <c r="G1162" s="58"/>
      <c r="H1162" s="33" t="str">
        <f t="shared" si="1"/>
        <v/>
      </c>
      <c r="I1162" s="58"/>
      <c r="J1162" s="58"/>
      <c r="K1162" s="58"/>
      <c r="L1162" s="38"/>
      <c r="M1162" s="58"/>
      <c r="N1162" s="58"/>
      <c r="O1162" s="58"/>
      <c r="P1162" s="80"/>
      <c r="Q1162" s="77"/>
      <c r="R1162" s="58"/>
      <c r="S1162" s="62"/>
      <c r="T1162" s="84"/>
      <c r="U1162" s="62"/>
      <c r="V1162" s="37" t="str">
        <f>IFERROR(__xludf.DUMMYFUNCTION("if(not(iserror(index(split(C1162, "" ""),2))), index(split(C1162, "" ""),1),"""")"),"")</f>
        <v/>
      </c>
      <c r="W1162" s="315" t="str">
        <f>IFERROR(__xludf.DUMMYFUNCTION("if(V1162="""",C1162,if(not(iserror(index(split(C1162, "" ""),3))), index(split(C1162, "" ""),3),index(split(C1162, "" ""),2)))"),"")</f>
        <v/>
      </c>
      <c r="X1162" s="38" t="b">
        <f t="shared" si="2"/>
        <v>0</v>
      </c>
      <c r="Y1162" s="38"/>
      <c r="Z1162" s="40"/>
      <c r="AA1162" s="40"/>
      <c r="AB1162" s="38"/>
      <c r="AC1162" s="38"/>
      <c r="AD1162" s="38"/>
      <c r="AE1162" s="38"/>
      <c r="AF1162" s="38"/>
      <c r="AG1162" s="38"/>
      <c r="AH1162" s="38"/>
      <c r="AI1162" s="38"/>
      <c r="AJ1162" s="38"/>
      <c r="AK1162" s="38"/>
      <c r="AL1162" s="38"/>
      <c r="AM1162" s="38"/>
      <c r="AN1162" s="38"/>
      <c r="AO1162" s="38"/>
      <c r="AP1162" s="38"/>
      <c r="AQ1162" s="38"/>
      <c r="AR1162" s="38"/>
      <c r="AS1162" s="38"/>
      <c r="AT1162" s="38"/>
      <c r="AU1162" s="38"/>
      <c r="AV1162" s="38"/>
      <c r="AW1162" s="38"/>
      <c r="AX1162" s="38"/>
      <c r="AY1162" s="38"/>
      <c r="AZ1162" s="38"/>
      <c r="BA1162" s="38"/>
      <c r="BB1162" s="38"/>
      <c r="BC1162" s="38"/>
      <c r="BD1162" s="38"/>
      <c r="BE1162" s="38"/>
      <c r="BF1162" s="38"/>
      <c r="BG1162" s="38"/>
    </row>
    <row r="1163">
      <c r="A1163" s="58"/>
      <c r="B1163" s="341"/>
      <c r="C1163" s="60"/>
      <c r="D1163" s="60"/>
      <c r="E1163" s="58"/>
      <c r="F1163" s="58"/>
      <c r="G1163" s="58"/>
      <c r="H1163" s="33" t="str">
        <f t="shared" si="1"/>
        <v/>
      </c>
      <c r="I1163" s="58"/>
      <c r="J1163" s="58"/>
      <c r="K1163" s="58"/>
      <c r="L1163" s="38"/>
      <c r="M1163" s="58"/>
      <c r="N1163" s="58"/>
      <c r="O1163" s="58"/>
      <c r="P1163" s="80"/>
      <c r="Q1163" s="77"/>
      <c r="R1163" s="58"/>
      <c r="S1163" s="62"/>
      <c r="T1163" s="84"/>
      <c r="U1163" s="62"/>
      <c r="V1163" s="37" t="str">
        <f>IFERROR(__xludf.DUMMYFUNCTION("if(not(iserror(index(split(C1163, "" ""),2))), index(split(C1163, "" ""),1),"""")"),"")</f>
        <v/>
      </c>
      <c r="W1163" s="315" t="str">
        <f>IFERROR(__xludf.DUMMYFUNCTION("if(V1163="""",C1163,if(not(iserror(index(split(C1163, "" ""),3))), index(split(C1163, "" ""),3),index(split(C1163, "" ""),2)))"),"")</f>
        <v/>
      </c>
      <c r="X1163" s="38" t="b">
        <f t="shared" si="2"/>
        <v>0</v>
      </c>
      <c r="Y1163" s="38"/>
      <c r="Z1163" s="40"/>
      <c r="AA1163" s="40"/>
      <c r="AB1163" s="38"/>
      <c r="AC1163" s="38"/>
      <c r="AD1163" s="38"/>
      <c r="AE1163" s="38"/>
      <c r="AF1163" s="38"/>
      <c r="AG1163" s="38"/>
      <c r="AH1163" s="38"/>
      <c r="AI1163" s="38"/>
      <c r="AJ1163" s="38"/>
      <c r="AK1163" s="38"/>
      <c r="AL1163" s="38"/>
      <c r="AM1163" s="38"/>
      <c r="AN1163" s="38"/>
      <c r="AO1163" s="38"/>
      <c r="AP1163" s="38"/>
      <c r="AQ1163" s="38"/>
      <c r="AR1163" s="38"/>
      <c r="AS1163" s="38"/>
      <c r="AT1163" s="38"/>
      <c r="AU1163" s="38"/>
      <c r="AV1163" s="38"/>
      <c r="AW1163" s="38"/>
      <c r="AX1163" s="38"/>
      <c r="AY1163" s="38"/>
      <c r="AZ1163" s="38"/>
      <c r="BA1163" s="38"/>
      <c r="BB1163" s="38"/>
      <c r="BC1163" s="38"/>
      <c r="BD1163" s="38"/>
      <c r="BE1163" s="38"/>
      <c r="BF1163" s="38"/>
      <c r="BG1163" s="38"/>
    </row>
    <row r="1164">
      <c r="A1164" s="58"/>
      <c r="B1164" s="341"/>
      <c r="C1164" s="60"/>
      <c r="D1164" s="60"/>
      <c r="E1164" s="58"/>
      <c r="F1164" s="58"/>
      <c r="G1164" s="58"/>
      <c r="H1164" s="33" t="str">
        <f t="shared" si="1"/>
        <v/>
      </c>
      <c r="I1164" s="58"/>
      <c r="J1164" s="58"/>
      <c r="K1164" s="58"/>
      <c r="L1164" s="38"/>
      <c r="M1164" s="58"/>
      <c r="N1164" s="58"/>
      <c r="O1164" s="58"/>
      <c r="P1164" s="80"/>
      <c r="Q1164" s="77"/>
      <c r="R1164" s="58"/>
      <c r="S1164" s="62"/>
      <c r="T1164" s="84"/>
      <c r="U1164" s="62"/>
      <c r="V1164" s="37" t="str">
        <f>IFERROR(__xludf.DUMMYFUNCTION("if(not(iserror(index(split(C1164, "" ""),2))), index(split(C1164, "" ""),1),"""")"),"")</f>
        <v/>
      </c>
      <c r="W1164" s="315" t="str">
        <f>IFERROR(__xludf.DUMMYFUNCTION("if(V1164="""",C1164,if(not(iserror(index(split(C1164, "" ""),3))), index(split(C1164, "" ""),3),index(split(C1164, "" ""),2)))"),"")</f>
        <v/>
      </c>
      <c r="X1164" s="38" t="b">
        <f t="shared" si="2"/>
        <v>0</v>
      </c>
      <c r="Y1164" s="38"/>
      <c r="Z1164" s="40"/>
      <c r="AA1164" s="40"/>
      <c r="AB1164" s="38"/>
      <c r="AC1164" s="38"/>
      <c r="AD1164" s="38"/>
      <c r="AE1164" s="38"/>
      <c r="AF1164" s="38"/>
      <c r="AG1164" s="38"/>
      <c r="AH1164" s="38"/>
      <c r="AI1164" s="38"/>
      <c r="AJ1164" s="38"/>
      <c r="AK1164" s="38"/>
      <c r="AL1164" s="38"/>
      <c r="AM1164" s="38"/>
      <c r="AN1164" s="38"/>
      <c r="AO1164" s="38"/>
      <c r="AP1164" s="38"/>
      <c r="AQ1164" s="38"/>
      <c r="AR1164" s="38"/>
      <c r="AS1164" s="38"/>
      <c r="AT1164" s="38"/>
      <c r="AU1164" s="38"/>
      <c r="AV1164" s="38"/>
      <c r="AW1164" s="38"/>
      <c r="AX1164" s="38"/>
      <c r="AY1164" s="38"/>
      <c r="AZ1164" s="38"/>
      <c r="BA1164" s="38"/>
      <c r="BB1164" s="38"/>
      <c r="BC1164" s="38"/>
      <c r="BD1164" s="38"/>
      <c r="BE1164" s="38"/>
      <c r="BF1164" s="38"/>
      <c r="BG1164" s="38"/>
    </row>
    <row r="1165">
      <c r="A1165" s="58"/>
      <c r="B1165" s="341"/>
      <c r="C1165" s="60"/>
      <c r="D1165" s="60"/>
      <c r="E1165" s="58"/>
      <c r="F1165" s="58"/>
      <c r="G1165" s="58"/>
      <c r="H1165" s="33" t="str">
        <f t="shared" si="1"/>
        <v/>
      </c>
      <c r="I1165" s="58"/>
      <c r="J1165" s="58"/>
      <c r="K1165" s="58"/>
      <c r="L1165" s="38"/>
      <c r="M1165" s="58"/>
      <c r="N1165" s="58"/>
      <c r="O1165" s="58"/>
      <c r="P1165" s="80"/>
      <c r="Q1165" s="77"/>
      <c r="R1165" s="58"/>
      <c r="S1165" s="58"/>
      <c r="T1165" s="84"/>
      <c r="U1165" s="62"/>
      <c r="V1165" s="37" t="str">
        <f>IFERROR(__xludf.DUMMYFUNCTION("if(not(iserror(index(split(C1165, "" ""),2))), index(split(C1165, "" ""),1),"""")"),"")</f>
        <v/>
      </c>
      <c r="W1165" s="315" t="str">
        <f>IFERROR(__xludf.DUMMYFUNCTION("if(V1165="""",C1165,if(not(iserror(index(split(C1165, "" ""),3))), index(split(C1165, "" ""),3),index(split(C1165, "" ""),2)))"),"")</f>
        <v/>
      </c>
      <c r="X1165" s="38" t="b">
        <f t="shared" si="2"/>
        <v>0</v>
      </c>
      <c r="Y1165" s="38"/>
      <c r="Z1165" s="40"/>
      <c r="AA1165" s="40"/>
      <c r="AB1165" s="38"/>
      <c r="AC1165" s="38"/>
      <c r="AD1165" s="38"/>
      <c r="AE1165" s="38"/>
      <c r="AF1165" s="38"/>
      <c r="AG1165" s="38"/>
      <c r="AH1165" s="38"/>
      <c r="AI1165" s="38"/>
      <c r="AJ1165" s="38"/>
      <c r="AK1165" s="38"/>
      <c r="AL1165" s="38"/>
      <c r="AM1165" s="38"/>
      <c r="AN1165" s="38"/>
      <c r="AO1165" s="38"/>
      <c r="AP1165" s="38"/>
      <c r="AQ1165" s="38"/>
      <c r="AR1165" s="38"/>
      <c r="AS1165" s="38"/>
      <c r="AT1165" s="38"/>
      <c r="AU1165" s="38"/>
      <c r="AV1165" s="38"/>
      <c r="AW1165" s="38"/>
      <c r="AX1165" s="38"/>
      <c r="AY1165" s="38"/>
      <c r="AZ1165" s="38"/>
      <c r="BA1165" s="38"/>
      <c r="BB1165" s="38"/>
      <c r="BC1165" s="38"/>
      <c r="BD1165" s="38"/>
      <c r="BE1165" s="38"/>
      <c r="BF1165" s="38"/>
      <c r="BG1165" s="38"/>
    </row>
    <row r="1166">
      <c r="A1166" s="58"/>
      <c r="B1166" s="341"/>
      <c r="C1166" s="60"/>
      <c r="D1166" s="60"/>
      <c r="E1166" s="58"/>
      <c r="F1166" s="58"/>
      <c r="G1166" s="58"/>
      <c r="H1166" s="33" t="str">
        <f t="shared" si="1"/>
        <v/>
      </c>
      <c r="I1166" s="58"/>
      <c r="J1166" s="58"/>
      <c r="K1166" s="58"/>
      <c r="L1166" s="38"/>
      <c r="M1166" s="58"/>
      <c r="N1166" s="58"/>
      <c r="O1166" s="58"/>
      <c r="P1166" s="80"/>
      <c r="Q1166" s="77"/>
      <c r="R1166" s="58"/>
      <c r="S1166" s="58"/>
      <c r="T1166" s="84"/>
      <c r="U1166" s="62"/>
      <c r="V1166" s="37" t="str">
        <f>IFERROR(__xludf.DUMMYFUNCTION("if(not(iserror(index(split(C1166, "" ""),2))), index(split(C1166, "" ""),1),"""")"),"")</f>
        <v/>
      </c>
      <c r="W1166" s="315" t="str">
        <f>IFERROR(__xludf.DUMMYFUNCTION("if(V1166="""",C1166,if(not(iserror(index(split(C1166, "" ""),3))), index(split(C1166, "" ""),3),index(split(C1166, "" ""),2)))"),"")</f>
        <v/>
      </c>
      <c r="X1166" s="38" t="b">
        <f t="shared" si="2"/>
        <v>0</v>
      </c>
      <c r="Y1166" s="38"/>
      <c r="Z1166" s="40"/>
      <c r="AA1166" s="40"/>
      <c r="AB1166" s="38"/>
      <c r="AC1166" s="38"/>
      <c r="AD1166" s="38"/>
      <c r="AE1166" s="38"/>
      <c r="AF1166" s="38"/>
      <c r="AG1166" s="38"/>
      <c r="AH1166" s="38"/>
      <c r="AI1166" s="38"/>
      <c r="AJ1166" s="38"/>
      <c r="AK1166" s="38"/>
      <c r="AL1166" s="38"/>
      <c r="AM1166" s="38"/>
      <c r="AN1166" s="38"/>
      <c r="AO1166" s="38"/>
      <c r="AP1166" s="38"/>
      <c r="AQ1166" s="38"/>
      <c r="AR1166" s="38"/>
      <c r="AS1166" s="38"/>
      <c r="AT1166" s="38"/>
      <c r="AU1166" s="38"/>
      <c r="AV1166" s="38"/>
      <c r="AW1166" s="38"/>
      <c r="AX1166" s="38"/>
      <c r="AY1166" s="38"/>
      <c r="AZ1166" s="38"/>
      <c r="BA1166" s="38"/>
      <c r="BB1166" s="38"/>
      <c r="BC1166" s="38"/>
      <c r="BD1166" s="38"/>
      <c r="BE1166" s="38"/>
      <c r="BF1166" s="38"/>
      <c r="BG1166" s="38"/>
    </row>
    <row r="1167">
      <c r="A1167" s="58"/>
      <c r="B1167" s="341"/>
      <c r="C1167" s="60"/>
      <c r="D1167" s="60"/>
      <c r="E1167" s="58"/>
      <c r="F1167" s="58"/>
      <c r="G1167" s="58"/>
      <c r="H1167" s="33" t="str">
        <f t="shared" si="1"/>
        <v/>
      </c>
      <c r="I1167" s="58"/>
      <c r="J1167" s="58"/>
      <c r="K1167" s="58"/>
      <c r="L1167" s="38"/>
      <c r="M1167" s="58"/>
      <c r="N1167" s="58"/>
      <c r="O1167" s="58"/>
      <c r="P1167" s="80"/>
      <c r="Q1167" s="77"/>
      <c r="R1167" s="58"/>
      <c r="S1167" s="58"/>
      <c r="T1167" s="84"/>
      <c r="U1167" s="62"/>
      <c r="V1167" s="37" t="str">
        <f>IFERROR(__xludf.DUMMYFUNCTION("if(not(iserror(index(split(C1167, "" ""),2))), index(split(C1167, "" ""),1),"""")"),"")</f>
        <v/>
      </c>
      <c r="W1167" s="315" t="str">
        <f>IFERROR(__xludf.DUMMYFUNCTION("if(V1167="""",C1167,if(not(iserror(index(split(C1167, "" ""),3))), index(split(C1167, "" ""),3),index(split(C1167, "" ""),2)))"),"")</f>
        <v/>
      </c>
      <c r="X1167" s="38" t="b">
        <f t="shared" si="2"/>
        <v>0</v>
      </c>
      <c r="Y1167" s="38"/>
      <c r="Z1167" s="40"/>
      <c r="AA1167" s="40"/>
      <c r="AB1167" s="38"/>
      <c r="AC1167" s="38"/>
      <c r="AD1167" s="38"/>
      <c r="AE1167" s="38"/>
      <c r="AF1167" s="38"/>
      <c r="AG1167" s="38"/>
      <c r="AH1167" s="38"/>
      <c r="AI1167" s="38"/>
      <c r="AJ1167" s="38"/>
      <c r="AK1167" s="38"/>
      <c r="AL1167" s="38"/>
      <c r="AM1167" s="38"/>
      <c r="AN1167" s="38"/>
      <c r="AO1167" s="38"/>
      <c r="AP1167" s="38"/>
      <c r="AQ1167" s="38"/>
      <c r="AR1167" s="38"/>
      <c r="AS1167" s="38"/>
      <c r="AT1167" s="38"/>
      <c r="AU1167" s="38"/>
      <c r="AV1167" s="38"/>
      <c r="AW1167" s="38"/>
      <c r="AX1167" s="38"/>
      <c r="AY1167" s="38"/>
      <c r="AZ1167" s="38"/>
      <c r="BA1167" s="38"/>
      <c r="BB1167" s="38"/>
      <c r="BC1167" s="38"/>
      <c r="BD1167" s="38"/>
      <c r="BE1167" s="38"/>
      <c r="BF1167" s="38"/>
      <c r="BG1167" s="38"/>
    </row>
    <row r="1168">
      <c r="A1168" s="58"/>
      <c r="B1168" s="341"/>
      <c r="C1168" s="60"/>
      <c r="D1168" s="60"/>
      <c r="E1168" s="58"/>
      <c r="F1168" s="58"/>
      <c r="G1168" s="58"/>
      <c r="H1168" s="33" t="str">
        <f t="shared" si="1"/>
        <v/>
      </c>
      <c r="I1168" s="58"/>
      <c r="J1168" s="58"/>
      <c r="K1168" s="58"/>
      <c r="L1168" s="38"/>
      <c r="M1168" s="58"/>
      <c r="N1168" s="58"/>
      <c r="O1168" s="58"/>
      <c r="P1168" s="80"/>
      <c r="Q1168" s="77"/>
      <c r="R1168" s="58"/>
      <c r="S1168" s="58"/>
      <c r="T1168" s="84"/>
      <c r="U1168" s="62"/>
      <c r="V1168" s="37" t="str">
        <f>IFERROR(__xludf.DUMMYFUNCTION("if(not(iserror(index(split(C1168, "" ""),2))), index(split(C1168, "" ""),1),"""")"),"")</f>
        <v/>
      </c>
      <c r="W1168" s="315" t="str">
        <f>IFERROR(__xludf.DUMMYFUNCTION("if(V1168="""",C1168,if(not(iserror(index(split(C1168, "" ""),3))), index(split(C1168, "" ""),3),index(split(C1168, "" ""),2)))"),"")</f>
        <v/>
      </c>
      <c r="X1168" s="38" t="b">
        <f t="shared" si="2"/>
        <v>0</v>
      </c>
      <c r="Y1168" s="38"/>
      <c r="Z1168" s="40"/>
      <c r="AA1168" s="40"/>
      <c r="AB1168" s="38"/>
      <c r="AC1168" s="38"/>
      <c r="AD1168" s="38"/>
      <c r="AE1168" s="38"/>
      <c r="AF1168" s="38"/>
      <c r="AG1168" s="38"/>
      <c r="AH1168" s="38"/>
      <c r="AI1168" s="38"/>
      <c r="AJ1168" s="38"/>
      <c r="AK1168" s="38"/>
      <c r="AL1168" s="38"/>
      <c r="AM1168" s="38"/>
      <c r="AN1168" s="38"/>
      <c r="AO1168" s="38"/>
      <c r="AP1168" s="38"/>
      <c r="AQ1168" s="38"/>
      <c r="AR1168" s="38"/>
      <c r="AS1168" s="38"/>
      <c r="AT1168" s="38"/>
      <c r="AU1168" s="38"/>
      <c r="AV1168" s="38"/>
      <c r="AW1168" s="38"/>
      <c r="AX1168" s="38"/>
      <c r="AY1168" s="38"/>
      <c r="AZ1168" s="38"/>
      <c r="BA1168" s="38"/>
      <c r="BB1168" s="38"/>
      <c r="BC1168" s="38"/>
      <c r="BD1168" s="38"/>
      <c r="BE1168" s="38"/>
      <c r="BF1168" s="38"/>
      <c r="BG1168" s="38"/>
    </row>
    <row r="1169">
      <c r="A1169" s="58"/>
      <c r="B1169" s="341"/>
      <c r="C1169" s="60"/>
      <c r="D1169" s="60"/>
      <c r="E1169" s="58"/>
      <c r="F1169" s="58"/>
      <c r="G1169" s="58"/>
      <c r="H1169" s="33" t="str">
        <f t="shared" si="1"/>
        <v/>
      </c>
      <c r="I1169" s="58"/>
      <c r="J1169" s="58"/>
      <c r="K1169" s="58"/>
      <c r="L1169" s="38"/>
      <c r="M1169" s="58"/>
      <c r="N1169" s="58"/>
      <c r="O1169" s="58"/>
      <c r="P1169" s="80"/>
      <c r="Q1169" s="77"/>
      <c r="R1169" s="58"/>
      <c r="S1169" s="58"/>
      <c r="T1169" s="84"/>
      <c r="U1169" s="62"/>
      <c r="V1169" s="37" t="str">
        <f>IFERROR(__xludf.DUMMYFUNCTION("if(not(iserror(index(split(C1169, "" ""),2))), index(split(C1169, "" ""),1),"""")"),"")</f>
        <v/>
      </c>
      <c r="W1169" s="315" t="str">
        <f>IFERROR(__xludf.DUMMYFUNCTION("if(V1169="""",C1169,if(not(iserror(index(split(C1169, "" ""),3))), index(split(C1169, "" ""),3),index(split(C1169, "" ""),2)))"),"")</f>
        <v/>
      </c>
      <c r="X1169" s="38" t="b">
        <f t="shared" si="2"/>
        <v>0</v>
      </c>
      <c r="Y1169" s="38"/>
      <c r="Z1169" s="40"/>
      <c r="AA1169" s="40"/>
      <c r="AB1169" s="38"/>
      <c r="AC1169" s="38"/>
      <c r="AD1169" s="38"/>
      <c r="AE1169" s="38"/>
      <c r="AF1169" s="38"/>
      <c r="AG1169" s="38"/>
      <c r="AH1169" s="38"/>
      <c r="AI1169" s="38"/>
      <c r="AJ1169" s="38"/>
      <c r="AK1169" s="38"/>
      <c r="AL1169" s="38"/>
      <c r="AM1169" s="38"/>
      <c r="AN1169" s="38"/>
      <c r="AO1169" s="38"/>
      <c r="AP1169" s="38"/>
      <c r="AQ1169" s="38"/>
      <c r="AR1169" s="38"/>
      <c r="AS1169" s="38"/>
      <c r="AT1169" s="38"/>
      <c r="AU1169" s="38"/>
      <c r="AV1169" s="38"/>
      <c r="AW1169" s="38"/>
      <c r="AX1169" s="38"/>
      <c r="AY1169" s="38"/>
      <c r="AZ1169" s="38"/>
      <c r="BA1169" s="38"/>
      <c r="BB1169" s="38"/>
      <c r="BC1169" s="38"/>
      <c r="BD1169" s="38"/>
      <c r="BE1169" s="38"/>
      <c r="BF1169" s="38"/>
      <c r="BG1169" s="38"/>
    </row>
    <row r="1170">
      <c r="A1170" s="58"/>
      <c r="B1170" s="341"/>
      <c r="C1170" s="60"/>
      <c r="D1170" s="60"/>
      <c r="E1170" s="58"/>
      <c r="F1170" s="58"/>
      <c r="G1170" s="58"/>
      <c r="H1170" s="33" t="str">
        <f t="shared" si="1"/>
        <v/>
      </c>
      <c r="I1170" s="58"/>
      <c r="J1170" s="58"/>
      <c r="K1170" s="58"/>
      <c r="L1170" s="38"/>
      <c r="M1170" s="58"/>
      <c r="N1170" s="58"/>
      <c r="O1170" s="58"/>
      <c r="P1170" s="80"/>
      <c r="Q1170" s="77"/>
      <c r="R1170" s="58"/>
      <c r="S1170" s="58"/>
      <c r="T1170" s="84"/>
      <c r="U1170" s="62"/>
      <c r="V1170" s="37" t="str">
        <f>IFERROR(__xludf.DUMMYFUNCTION("if(not(iserror(index(split(C1170, "" ""),2))), index(split(C1170, "" ""),1),"""")"),"")</f>
        <v/>
      </c>
      <c r="W1170" s="315" t="str">
        <f>IFERROR(__xludf.DUMMYFUNCTION("if(V1170="""",C1170,if(not(iserror(index(split(C1170, "" ""),3))), index(split(C1170, "" ""),3),index(split(C1170, "" ""),2)))"),"")</f>
        <v/>
      </c>
      <c r="X1170" s="38" t="b">
        <f t="shared" si="2"/>
        <v>0</v>
      </c>
      <c r="Y1170" s="38"/>
      <c r="Z1170" s="40"/>
      <c r="AA1170" s="40"/>
      <c r="AB1170" s="38"/>
      <c r="AC1170" s="38"/>
      <c r="AD1170" s="38"/>
      <c r="AE1170" s="38"/>
      <c r="AF1170" s="38"/>
      <c r="AG1170" s="38"/>
      <c r="AH1170" s="38"/>
      <c r="AI1170" s="38"/>
      <c r="AJ1170" s="38"/>
      <c r="AK1170" s="38"/>
      <c r="AL1170" s="38"/>
      <c r="AM1170" s="38"/>
      <c r="AN1170" s="38"/>
      <c r="AO1170" s="38"/>
      <c r="AP1170" s="38"/>
      <c r="AQ1170" s="38"/>
      <c r="AR1170" s="38"/>
      <c r="AS1170" s="38"/>
      <c r="AT1170" s="38"/>
      <c r="AU1170" s="38"/>
      <c r="AV1170" s="38"/>
      <c r="AW1170" s="38"/>
      <c r="AX1170" s="38"/>
      <c r="AY1170" s="38"/>
      <c r="AZ1170" s="38"/>
      <c r="BA1170" s="38"/>
      <c r="BB1170" s="38"/>
      <c r="BC1170" s="38"/>
      <c r="BD1170" s="38"/>
      <c r="BE1170" s="38"/>
      <c r="BF1170" s="38"/>
      <c r="BG1170" s="38"/>
    </row>
    <row r="1171">
      <c r="A1171" s="91"/>
      <c r="B1171" s="383"/>
      <c r="C1171" s="146"/>
      <c r="D1171" s="146"/>
      <c r="E1171" s="91"/>
      <c r="F1171" s="91"/>
      <c r="G1171" s="91"/>
      <c r="H1171" s="33" t="str">
        <f t="shared" si="1"/>
        <v/>
      </c>
      <c r="I1171" s="91"/>
      <c r="J1171" s="91"/>
      <c r="K1171" s="91"/>
      <c r="L1171" s="38"/>
      <c r="M1171" s="91"/>
      <c r="N1171" s="91"/>
      <c r="O1171" s="91"/>
      <c r="P1171" s="95"/>
      <c r="Q1171" s="95"/>
      <c r="R1171" s="58"/>
      <c r="S1171" s="62"/>
      <c r="T1171" s="84"/>
      <c r="U1171" s="62"/>
      <c r="V1171" s="37" t="str">
        <f>IFERROR(__xludf.DUMMYFUNCTION("if(not(iserror(index(split(C1171, "" ""),2))), index(split(C1171, "" ""),1),"""")"),"")</f>
        <v/>
      </c>
      <c r="W1171" s="315" t="str">
        <f>IFERROR(__xludf.DUMMYFUNCTION("if(V1171="""",C1171,if(not(iserror(index(split(C1171, "" ""),3))), index(split(C1171, "" ""),3),index(split(C1171, "" ""),2)))"),"")</f>
        <v/>
      </c>
      <c r="X1171" s="38" t="b">
        <f t="shared" si="2"/>
        <v>0</v>
      </c>
      <c r="Y1171" s="38"/>
      <c r="Z1171" s="40"/>
      <c r="AA1171" s="40"/>
      <c r="AB1171" s="38"/>
      <c r="AC1171" s="38"/>
      <c r="AD1171" s="38"/>
      <c r="AE1171" s="38"/>
      <c r="AF1171" s="38"/>
      <c r="AG1171" s="38"/>
      <c r="AH1171" s="38"/>
      <c r="AI1171" s="38"/>
      <c r="AJ1171" s="38"/>
      <c r="AK1171" s="38"/>
      <c r="AL1171" s="38"/>
      <c r="AM1171" s="38"/>
      <c r="AN1171" s="38"/>
      <c r="AO1171" s="38"/>
      <c r="AP1171" s="38"/>
      <c r="AQ1171" s="38"/>
      <c r="AR1171" s="38"/>
      <c r="AS1171" s="38"/>
      <c r="AT1171" s="38"/>
      <c r="AU1171" s="38"/>
      <c r="AV1171" s="38"/>
      <c r="AW1171" s="38"/>
      <c r="AX1171" s="38"/>
      <c r="AY1171" s="38"/>
      <c r="AZ1171" s="38"/>
      <c r="BA1171" s="38"/>
      <c r="BB1171" s="38"/>
      <c r="BC1171" s="38"/>
      <c r="BD1171" s="38"/>
      <c r="BE1171" s="38"/>
      <c r="BF1171" s="38"/>
      <c r="BG1171" s="38"/>
    </row>
    <row r="1172">
      <c r="A1172" s="58"/>
      <c r="B1172" s="341"/>
      <c r="C1172" s="60"/>
      <c r="D1172" s="60"/>
      <c r="E1172" s="58"/>
      <c r="F1172" s="58"/>
      <c r="G1172" s="58"/>
      <c r="H1172" s="33" t="str">
        <f t="shared" si="1"/>
        <v/>
      </c>
      <c r="I1172" s="58"/>
      <c r="J1172" s="58"/>
      <c r="K1172" s="58"/>
      <c r="L1172" s="38"/>
      <c r="M1172" s="58"/>
      <c r="N1172" s="58"/>
      <c r="O1172" s="58"/>
      <c r="P1172" s="80"/>
      <c r="Q1172" s="77"/>
      <c r="R1172" s="62"/>
      <c r="S1172" s="62"/>
      <c r="T1172" s="62"/>
      <c r="U1172" s="62"/>
      <c r="V1172" s="37" t="str">
        <f>IFERROR(__xludf.DUMMYFUNCTION("if(not(iserror(index(split(C1172, "" ""),2))), index(split(C1172, "" ""),1),"""")"),"")</f>
        <v/>
      </c>
      <c r="W1172" s="315" t="str">
        <f>IFERROR(__xludf.DUMMYFUNCTION("if(V1172="""",C1172,if(not(iserror(index(split(C1172, "" ""),3))), index(split(C1172, "" ""),3),index(split(C1172, "" ""),2)))"),"")</f>
        <v/>
      </c>
      <c r="X1172" s="38" t="b">
        <f t="shared" si="2"/>
        <v>0</v>
      </c>
      <c r="Y1172" s="38"/>
      <c r="Z1172" s="40"/>
      <c r="AA1172" s="40"/>
      <c r="AB1172" s="38"/>
      <c r="AC1172" s="38"/>
      <c r="AD1172" s="38"/>
      <c r="AE1172" s="38"/>
      <c r="AF1172" s="38"/>
      <c r="AG1172" s="38"/>
      <c r="AH1172" s="38"/>
      <c r="AI1172" s="38"/>
      <c r="AJ1172" s="38"/>
      <c r="AK1172" s="38"/>
      <c r="AL1172" s="38"/>
      <c r="AM1172" s="38"/>
      <c r="AN1172" s="38"/>
      <c r="AO1172" s="38"/>
      <c r="AP1172" s="38"/>
      <c r="AQ1172" s="38"/>
      <c r="AR1172" s="38"/>
      <c r="AS1172" s="38"/>
      <c r="AT1172" s="38"/>
      <c r="AU1172" s="38"/>
      <c r="AV1172" s="38"/>
      <c r="AW1172" s="38"/>
      <c r="AX1172" s="38"/>
      <c r="AY1172" s="38"/>
      <c r="AZ1172" s="38"/>
      <c r="BA1172" s="38"/>
      <c r="BB1172" s="38"/>
      <c r="BC1172" s="38"/>
      <c r="BD1172" s="38"/>
      <c r="BE1172" s="38"/>
      <c r="BF1172" s="38"/>
      <c r="BG1172" s="38"/>
    </row>
    <row r="1173">
      <c r="A1173" s="58"/>
      <c r="B1173" s="341"/>
      <c r="C1173" s="60"/>
      <c r="D1173" s="60"/>
      <c r="E1173" s="58"/>
      <c r="F1173" s="58"/>
      <c r="G1173" s="58"/>
      <c r="H1173" s="33" t="str">
        <f t="shared" si="1"/>
        <v/>
      </c>
      <c r="I1173" s="58"/>
      <c r="J1173" s="58"/>
      <c r="K1173" s="58"/>
      <c r="L1173" s="38"/>
      <c r="M1173" s="58"/>
      <c r="N1173" s="58"/>
      <c r="O1173" s="58"/>
      <c r="P1173" s="389"/>
      <c r="Q1173" s="77"/>
      <c r="R1173" s="62"/>
      <c r="S1173" s="62"/>
      <c r="T1173" s="62"/>
      <c r="U1173" s="62"/>
      <c r="V1173" s="37" t="str">
        <f>IFERROR(__xludf.DUMMYFUNCTION("if(not(iserror(index(split(C1173, "" ""),2))), index(split(C1173, "" ""),1),"""")"),"")</f>
        <v/>
      </c>
      <c r="W1173" s="315" t="str">
        <f>IFERROR(__xludf.DUMMYFUNCTION("if(V1173="""",C1173,if(not(iserror(index(split(C1173, "" ""),3))), index(split(C1173, "" ""),3),index(split(C1173, "" ""),2)))"),"")</f>
        <v/>
      </c>
      <c r="X1173" s="38" t="b">
        <f t="shared" si="2"/>
        <v>0</v>
      </c>
      <c r="Y1173" s="38"/>
      <c r="Z1173" s="40"/>
      <c r="AA1173" s="40"/>
      <c r="AB1173" s="38"/>
      <c r="AC1173" s="38"/>
      <c r="AD1173" s="38"/>
      <c r="AE1173" s="38"/>
      <c r="AF1173" s="38"/>
      <c r="AG1173" s="38"/>
      <c r="AH1173" s="38"/>
      <c r="AI1173" s="38"/>
      <c r="AJ1173" s="38"/>
      <c r="AK1173" s="38"/>
      <c r="AL1173" s="38"/>
      <c r="AM1173" s="38"/>
      <c r="AN1173" s="38"/>
      <c r="AO1173" s="38"/>
      <c r="AP1173" s="38"/>
      <c r="AQ1173" s="38"/>
      <c r="AR1173" s="38"/>
      <c r="AS1173" s="38"/>
      <c r="AT1173" s="38"/>
      <c r="AU1173" s="38"/>
      <c r="AV1173" s="38"/>
      <c r="AW1173" s="38"/>
      <c r="AX1173" s="38"/>
      <c r="AY1173" s="38"/>
      <c r="AZ1173" s="38"/>
      <c r="BA1173" s="38"/>
      <c r="BB1173" s="38"/>
      <c r="BC1173" s="38"/>
      <c r="BD1173" s="38"/>
      <c r="BE1173" s="38"/>
      <c r="BF1173" s="38"/>
      <c r="BG1173" s="38"/>
    </row>
    <row r="1174">
      <c r="A1174" s="58"/>
      <c r="B1174" s="341"/>
      <c r="C1174" s="60"/>
      <c r="D1174" s="60"/>
      <c r="E1174" s="58"/>
      <c r="F1174" s="58"/>
      <c r="G1174" s="58"/>
      <c r="H1174" s="33" t="str">
        <f t="shared" si="1"/>
        <v/>
      </c>
      <c r="I1174" s="58"/>
      <c r="J1174" s="58"/>
      <c r="K1174" s="58"/>
      <c r="L1174" s="38"/>
      <c r="M1174" s="58"/>
      <c r="N1174" s="58"/>
      <c r="O1174" s="58"/>
      <c r="P1174" s="389"/>
      <c r="Q1174" s="77"/>
      <c r="R1174" s="62"/>
      <c r="S1174" s="62"/>
      <c r="T1174" s="62"/>
      <c r="U1174" s="62"/>
      <c r="V1174" s="37" t="str">
        <f>IFERROR(__xludf.DUMMYFUNCTION("if(not(iserror(index(split(C1174, "" ""),2))), index(split(C1174, "" ""),1),"""")"),"")</f>
        <v/>
      </c>
      <c r="W1174" s="315" t="str">
        <f>IFERROR(__xludf.DUMMYFUNCTION("if(V1174="""",C1174,if(not(iserror(index(split(C1174, "" ""),3))), index(split(C1174, "" ""),3),index(split(C1174, "" ""),2)))"),"")</f>
        <v/>
      </c>
      <c r="X1174" s="38" t="b">
        <f t="shared" si="2"/>
        <v>0</v>
      </c>
      <c r="Y1174" s="38"/>
      <c r="Z1174" s="40"/>
      <c r="AA1174" s="40"/>
      <c r="AB1174" s="38"/>
      <c r="AC1174" s="38"/>
      <c r="AD1174" s="38"/>
      <c r="AE1174" s="38"/>
      <c r="AF1174" s="38"/>
      <c r="AG1174" s="38"/>
      <c r="AH1174" s="38"/>
      <c r="AI1174" s="38"/>
      <c r="AJ1174" s="38"/>
      <c r="AK1174" s="38"/>
      <c r="AL1174" s="38"/>
      <c r="AM1174" s="38"/>
      <c r="AN1174" s="38"/>
      <c r="AO1174" s="38"/>
      <c r="AP1174" s="38"/>
      <c r="AQ1174" s="38"/>
      <c r="AR1174" s="38"/>
      <c r="AS1174" s="38"/>
      <c r="AT1174" s="38"/>
      <c r="AU1174" s="38"/>
      <c r="AV1174" s="38"/>
      <c r="AW1174" s="38"/>
      <c r="AX1174" s="38"/>
      <c r="AY1174" s="38"/>
      <c r="AZ1174" s="38"/>
      <c r="BA1174" s="38"/>
      <c r="BB1174" s="38"/>
      <c r="BC1174" s="38"/>
      <c r="BD1174" s="38"/>
      <c r="BE1174" s="38"/>
      <c r="BF1174" s="38"/>
      <c r="BG1174" s="38"/>
    </row>
    <row r="1175">
      <c r="A1175" s="58"/>
      <c r="B1175" s="341"/>
      <c r="C1175" s="60"/>
      <c r="D1175" s="60"/>
      <c r="E1175" s="58"/>
      <c r="F1175" s="58"/>
      <c r="G1175" s="58"/>
      <c r="H1175" s="33" t="str">
        <f t="shared" si="1"/>
        <v/>
      </c>
      <c r="I1175" s="58"/>
      <c r="J1175" s="58"/>
      <c r="K1175" s="58"/>
      <c r="L1175" s="38"/>
      <c r="M1175" s="58"/>
      <c r="N1175" s="58"/>
      <c r="O1175" s="58"/>
      <c r="P1175" s="80"/>
      <c r="Q1175" s="77"/>
      <c r="R1175" s="58"/>
      <c r="S1175" s="58"/>
      <c r="T1175" s="84"/>
      <c r="U1175" s="62"/>
      <c r="V1175" s="37" t="str">
        <f>IFERROR(__xludf.DUMMYFUNCTION("if(not(iserror(index(split(C1175, "" ""),2))), index(split(C1175, "" ""),1),"""")"),"")</f>
        <v/>
      </c>
      <c r="W1175" s="315" t="str">
        <f>IFERROR(__xludf.DUMMYFUNCTION("if(V1175="""",C1175,if(not(iserror(index(split(C1175, "" ""),3))), index(split(C1175, "" ""),3),index(split(C1175, "" ""),2)))"),"")</f>
        <v/>
      </c>
      <c r="X1175" s="38" t="b">
        <f t="shared" si="2"/>
        <v>0</v>
      </c>
      <c r="Y1175" s="38"/>
      <c r="Z1175" s="40"/>
      <c r="AA1175" s="40"/>
      <c r="AB1175" s="38"/>
      <c r="AC1175" s="38"/>
      <c r="AD1175" s="38"/>
      <c r="AE1175" s="38"/>
      <c r="AF1175" s="38"/>
      <c r="AG1175" s="38"/>
      <c r="AH1175" s="38"/>
      <c r="AI1175" s="38"/>
      <c r="AJ1175" s="38"/>
      <c r="AK1175" s="38"/>
      <c r="AL1175" s="38"/>
      <c r="AM1175" s="38"/>
      <c r="AN1175" s="38"/>
      <c r="AO1175" s="38"/>
      <c r="AP1175" s="38"/>
      <c r="AQ1175" s="38"/>
      <c r="AR1175" s="38"/>
      <c r="AS1175" s="38"/>
      <c r="AT1175" s="38"/>
      <c r="AU1175" s="38"/>
      <c r="AV1175" s="38"/>
      <c r="AW1175" s="38"/>
      <c r="AX1175" s="38"/>
      <c r="AY1175" s="38"/>
      <c r="AZ1175" s="38"/>
      <c r="BA1175" s="38"/>
      <c r="BB1175" s="38"/>
      <c r="BC1175" s="38"/>
      <c r="BD1175" s="38"/>
      <c r="BE1175" s="38"/>
      <c r="BF1175" s="38"/>
      <c r="BG1175" s="38"/>
    </row>
    <row r="1176">
      <c r="A1176" s="58"/>
      <c r="B1176" s="341"/>
      <c r="C1176" s="60"/>
      <c r="D1176" s="60"/>
      <c r="E1176" s="58"/>
      <c r="F1176" s="58"/>
      <c r="G1176" s="58"/>
      <c r="H1176" s="33" t="str">
        <f t="shared" si="1"/>
        <v/>
      </c>
      <c r="I1176" s="58"/>
      <c r="J1176" s="58"/>
      <c r="K1176" s="58"/>
      <c r="L1176" s="38"/>
      <c r="M1176" s="58"/>
      <c r="N1176" s="58"/>
      <c r="O1176" s="58"/>
      <c r="P1176" s="80"/>
      <c r="Q1176" s="77"/>
      <c r="R1176" s="58"/>
      <c r="S1176" s="58"/>
      <c r="T1176" s="84"/>
      <c r="U1176" s="62"/>
      <c r="V1176" s="37" t="str">
        <f>IFERROR(__xludf.DUMMYFUNCTION("if(not(iserror(index(split(C1176, "" ""),2))), index(split(C1176, "" ""),1),"""")"),"")</f>
        <v/>
      </c>
      <c r="W1176" s="315" t="str">
        <f>IFERROR(__xludf.DUMMYFUNCTION("if(V1176="""",C1176,if(not(iserror(index(split(C1176, "" ""),3))), index(split(C1176, "" ""),3),index(split(C1176, "" ""),2)))"),"")</f>
        <v/>
      </c>
      <c r="X1176" s="38" t="b">
        <f t="shared" si="2"/>
        <v>0</v>
      </c>
      <c r="Y1176" s="38"/>
      <c r="Z1176" s="40"/>
      <c r="AA1176" s="40"/>
      <c r="AB1176" s="38"/>
      <c r="AC1176" s="38"/>
      <c r="AD1176" s="38"/>
      <c r="AE1176" s="38"/>
      <c r="AF1176" s="38"/>
      <c r="AG1176" s="38"/>
      <c r="AH1176" s="38"/>
      <c r="AI1176" s="38"/>
      <c r="AJ1176" s="38"/>
      <c r="AK1176" s="38"/>
      <c r="AL1176" s="38"/>
      <c r="AM1176" s="38"/>
      <c r="AN1176" s="38"/>
      <c r="AO1176" s="38"/>
      <c r="AP1176" s="38"/>
      <c r="AQ1176" s="38"/>
      <c r="AR1176" s="38"/>
      <c r="AS1176" s="38"/>
      <c r="AT1176" s="38"/>
      <c r="AU1176" s="38"/>
      <c r="AV1176" s="38"/>
      <c r="AW1176" s="38"/>
      <c r="AX1176" s="38"/>
      <c r="AY1176" s="38"/>
      <c r="AZ1176" s="38"/>
      <c r="BA1176" s="38"/>
      <c r="BB1176" s="38"/>
      <c r="BC1176" s="38"/>
      <c r="BD1176" s="38"/>
      <c r="BE1176" s="38"/>
      <c r="BF1176" s="38"/>
      <c r="BG1176" s="38"/>
    </row>
    <row r="1177">
      <c r="A1177" s="58"/>
      <c r="B1177" s="341"/>
      <c r="C1177" s="60"/>
      <c r="D1177" s="60"/>
      <c r="E1177" s="58"/>
      <c r="F1177" s="58"/>
      <c r="G1177" s="58"/>
      <c r="H1177" s="33" t="str">
        <f t="shared" si="1"/>
        <v/>
      </c>
      <c r="I1177" s="58"/>
      <c r="J1177" s="58"/>
      <c r="K1177" s="58"/>
      <c r="L1177" s="38"/>
      <c r="M1177" s="58"/>
      <c r="N1177" s="58"/>
      <c r="O1177" s="58"/>
      <c r="P1177" s="80"/>
      <c r="Q1177" s="77"/>
      <c r="R1177" s="62"/>
      <c r="S1177" s="62"/>
      <c r="T1177" s="62"/>
      <c r="U1177" s="62"/>
      <c r="V1177" s="37" t="str">
        <f>IFERROR(__xludf.DUMMYFUNCTION("if(not(iserror(index(split(C1177, "" ""),2))), index(split(C1177, "" ""),1),"""")"),"")</f>
        <v/>
      </c>
      <c r="W1177" s="315" t="str">
        <f>IFERROR(__xludf.DUMMYFUNCTION("if(V1177="""",C1177,if(not(iserror(index(split(C1177, "" ""),3))), index(split(C1177, "" ""),3),index(split(C1177, "" ""),2)))"),"")</f>
        <v/>
      </c>
      <c r="X1177" s="38" t="b">
        <f t="shared" si="2"/>
        <v>0</v>
      </c>
      <c r="Y1177" s="38"/>
      <c r="Z1177" s="40"/>
      <c r="AA1177" s="40"/>
      <c r="AB1177" s="38"/>
      <c r="AC1177" s="38"/>
      <c r="AD1177" s="38"/>
      <c r="AE1177" s="38"/>
      <c r="AF1177" s="38"/>
      <c r="AG1177" s="38"/>
      <c r="AH1177" s="38"/>
      <c r="AI1177" s="38"/>
      <c r="AJ1177" s="38"/>
      <c r="AK1177" s="38"/>
      <c r="AL1177" s="38"/>
      <c r="AM1177" s="38"/>
      <c r="AN1177" s="38"/>
      <c r="AO1177" s="38"/>
      <c r="AP1177" s="38"/>
      <c r="AQ1177" s="38"/>
      <c r="AR1177" s="38"/>
      <c r="AS1177" s="38"/>
      <c r="AT1177" s="38"/>
      <c r="AU1177" s="38"/>
      <c r="AV1177" s="38"/>
      <c r="AW1177" s="38"/>
      <c r="AX1177" s="38"/>
      <c r="AY1177" s="38"/>
      <c r="AZ1177" s="38"/>
      <c r="BA1177" s="38"/>
      <c r="BB1177" s="38"/>
      <c r="BC1177" s="38"/>
      <c r="BD1177" s="38"/>
      <c r="BE1177" s="38"/>
      <c r="BF1177" s="38"/>
      <c r="BG1177" s="38"/>
    </row>
    <row r="1178">
      <c r="A1178" s="58"/>
      <c r="B1178" s="341"/>
      <c r="C1178" s="60"/>
      <c r="D1178" s="60"/>
      <c r="E1178" s="58"/>
      <c r="F1178" s="58"/>
      <c r="G1178" s="58"/>
      <c r="H1178" s="33" t="str">
        <f t="shared" si="1"/>
        <v/>
      </c>
      <c r="I1178" s="58"/>
      <c r="J1178" s="58"/>
      <c r="K1178" s="58"/>
      <c r="L1178" s="38"/>
      <c r="M1178" s="58"/>
      <c r="N1178" s="58"/>
      <c r="O1178" s="58"/>
      <c r="P1178" s="80"/>
      <c r="Q1178" s="77"/>
      <c r="R1178" s="62"/>
      <c r="S1178" s="62"/>
      <c r="T1178" s="62"/>
      <c r="U1178" s="62"/>
      <c r="V1178" s="37" t="str">
        <f>IFERROR(__xludf.DUMMYFUNCTION("if(not(iserror(index(split(C1178, "" ""),2))), index(split(C1178, "" ""),1),"""")"),"")</f>
        <v/>
      </c>
      <c r="W1178" s="315" t="str">
        <f>IFERROR(__xludf.DUMMYFUNCTION("if(V1178="""",C1178,if(not(iserror(index(split(C1178, "" ""),3))), index(split(C1178, "" ""),3),index(split(C1178, "" ""),2)))"),"")</f>
        <v/>
      </c>
      <c r="X1178" s="38" t="b">
        <f t="shared" si="2"/>
        <v>0</v>
      </c>
      <c r="Y1178" s="38"/>
      <c r="Z1178" s="40"/>
      <c r="AA1178" s="40"/>
      <c r="AB1178" s="38"/>
      <c r="AC1178" s="38"/>
      <c r="AD1178" s="38"/>
      <c r="AE1178" s="38"/>
      <c r="AF1178" s="38"/>
      <c r="AG1178" s="38"/>
      <c r="AH1178" s="38"/>
      <c r="AI1178" s="38"/>
      <c r="AJ1178" s="38"/>
      <c r="AK1178" s="38"/>
      <c r="AL1178" s="38"/>
      <c r="AM1178" s="38"/>
      <c r="AN1178" s="38"/>
      <c r="AO1178" s="38"/>
      <c r="AP1178" s="38"/>
      <c r="AQ1178" s="38"/>
      <c r="AR1178" s="38"/>
      <c r="AS1178" s="38"/>
      <c r="AT1178" s="38"/>
      <c r="AU1178" s="38"/>
      <c r="AV1178" s="38"/>
      <c r="AW1178" s="38"/>
      <c r="AX1178" s="38"/>
      <c r="AY1178" s="38"/>
      <c r="AZ1178" s="38"/>
      <c r="BA1178" s="38"/>
      <c r="BB1178" s="38"/>
      <c r="BC1178" s="38"/>
      <c r="BD1178" s="38"/>
      <c r="BE1178" s="38"/>
      <c r="BF1178" s="38"/>
      <c r="BG1178" s="38"/>
    </row>
    <row r="1179">
      <c r="A1179" s="58"/>
      <c r="B1179" s="341"/>
      <c r="C1179" s="60"/>
      <c r="D1179" s="60"/>
      <c r="E1179" s="58"/>
      <c r="F1179" s="58"/>
      <c r="G1179" s="58"/>
      <c r="H1179" s="33" t="str">
        <f t="shared" si="1"/>
        <v/>
      </c>
      <c r="I1179" s="58"/>
      <c r="J1179" s="58"/>
      <c r="K1179" s="58"/>
      <c r="L1179" s="38"/>
      <c r="M1179" s="58"/>
      <c r="N1179" s="58"/>
      <c r="O1179" s="58"/>
      <c r="P1179" s="80"/>
      <c r="Q1179" s="77"/>
      <c r="R1179" s="62"/>
      <c r="S1179" s="62"/>
      <c r="T1179" s="62"/>
      <c r="U1179" s="62"/>
      <c r="V1179" s="37" t="str">
        <f>IFERROR(__xludf.DUMMYFUNCTION("if(not(iserror(index(split(C1179, "" ""),2))), index(split(C1179, "" ""),1),"""")"),"")</f>
        <v/>
      </c>
      <c r="W1179" s="315" t="str">
        <f>IFERROR(__xludf.DUMMYFUNCTION("if(V1179="""",C1179,if(not(iserror(index(split(C1179, "" ""),3))), index(split(C1179, "" ""),3),index(split(C1179, "" ""),2)))"),"")</f>
        <v/>
      </c>
      <c r="X1179" s="38" t="b">
        <f t="shared" si="2"/>
        <v>0</v>
      </c>
      <c r="Y1179" s="38"/>
      <c r="Z1179" s="40"/>
      <c r="AA1179" s="40"/>
      <c r="AB1179" s="38"/>
      <c r="AC1179" s="38"/>
      <c r="AD1179" s="38"/>
      <c r="AE1179" s="38"/>
      <c r="AF1179" s="38"/>
      <c r="AG1179" s="38"/>
      <c r="AH1179" s="38"/>
      <c r="AI1179" s="38"/>
      <c r="AJ1179" s="38"/>
      <c r="AK1179" s="38"/>
      <c r="AL1179" s="38"/>
      <c r="AM1179" s="38"/>
      <c r="AN1179" s="38"/>
      <c r="AO1179" s="38"/>
      <c r="AP1179" s="38"/>
      <c r="AQ1179" s="38"/>
      <c r="AR1179" s="38"/>
      <c r="AS1179" s="38"/>
      <c r="AT1179" s="38"/>
      <c r="AU1179" s="38"/>
      <c r="AV1179" s="38"/>
      <c r="AW1179" s="38"/>
      <c r="AX1179" s="38"/>
      <c r="AY1179" s="38"/>
      <c r="AZ1179" s="38"/>
      <c r="BA1179" s="38"/>
      <c r="BB1179" s="38"/>
      <c r="BC1179" s="38"/>
      <c r="BD1179" s="38"/>
      <c r="BE1179" s="38"/>
      <c r="BF1179" s="38"/>
      <c r="BG1179" s="38"/>
    </row>
    <row r="1180">
      <c r="A1180" s="58"/>
      <c r="B1180" s="341"/>
      <c r="C1180" s="60"/>
      <c r="D1180" s="60"/>
      <c r="E1180" s="58"/>
      <c r="F1180" s="58"/>
      <c r="G1180" s="58"/>
      <c r="H1180" s="33" t="str">
        <f t="shared" si="1"/>
        <v/>
      </c>
      <c r="I1180" s="58"/>
      <c r="J1180" s="58"/>
      <c r="K1180" s="58"/>
      <c r="L1180" s="38"/>
      <c r="M1180" s="58"/>
      <c r="N1180" s="58"/>
      <c r="O1180" s="58"/>
      <c r="P1180" s="80"/>
      <c r="Q1180" s="77"/>
      <c r="R1180" s="62"/>
      <c r="S1180" s="62"/>
      <c r="T1180" s="62"/>
      <c r="U1180" s="62"/>
      <c r="V1180" s="37" t="str">
        <f>IFERROR(__xludf.DUMMYFUNCTION("if(not(iserror(index(split(C1180, "" ""),2))), index(split(C1180, "" ""),1),"""")"),"")</f>
        <v/>
      </c>
      <c r="W1180" s="315" t="str">
        <f>IFERROR(__xludf.DUMMYFUNCTION("if(V1180="""",C1180,if(not(iserror(index(split(C1180, "" ""),3))), index(split(C1180, "" ""),3),index(split(C1180, "" ""),2)))"),"")</f>
        <v/>
      </c>
      <c r="X1180" s="38" t="b">
        <f t="shared" si="2"/>
        <v>0</v>
      </c>
      <c r="Y1180" s="38"/>
      <c r="Z1180" s="40"/>
      <c r="AA1180" s="40"/>
      <c r="AB1180" s="38"/>
      <c r="AC1180" s="38"/>
      <c r="AD1180" s="38"/>
      <c r="AE1180" s="38"/>
      <c r="AF1180" s="38"/>
      <c r="AG1180" s="38"/>
      <c r="AH1180" s="38"/>
      <c r="AI1180" s="38"/>
      <c r="AJ1180" s="38"/>
      <c r="AK1180" s="38"/>
      <c r="AL1180" s="38"/>
      <c r="AM1180" s="38"/>
      <c r="AN1180" s="38"/>
      <c r="AO1180" s="38"/>
      <c r="AP1180" s="38"/>
      <c r="AQ1180" s="38"/>
      <c r="AR1180" s="38"/>
      <c r="AS1180" s="38"/>
      <c r="AT1180" s="38"/>
      <c r="AU1180" s="38"/>
      <c r="AV1180" s="38"/>
      <c r="AW1180" s="38"/>
      <c r="AX1180" s="38"/>
      <c r="AY1180" s="38"/>
      <c r="AZ1180" s="38"/>
      <c r="BA1180" s="38"/>
      <c r="BB1180" s="38"/>
      <c r="BC1180" s="38"/>
      <c r="BD1180" s="38"/>
      <c r="BE1180" s="38"/>
      <c r="BF1180" s="38"/>
      <c r="BG1180" s="38"/>
    </row>
    <row r="1181">
      <c r="A1181" s="58"/>
      <c r="B1181" s="341"/>
      <c r="C1181" s="60"/>
      <c r="D1181" s="60"/>
      <c r="E1181" s="58"/>
      <c r="F1181" s="58"/>
      <c r="G1181" s="58"/>
      <c r="H1181" s="33" t="str">
        <f t="shared" si="1"/>
        <v/>
      </c>
      <c r="I1181" s="58"/>
      <c r="J1181" s="58"/>
      <c r="K1181" s="58"/>
      <c r="L1181" s="38"/>
      <c r="M1181" s="58"/>
      <c r="N1181" s="58"/>
      <c r="O1181" s="58"/>
      <c r="P1181" s="80"/>
      <c r="Q1181" s="77"/>
      <c r="R1181" s="62"/>
      <c r="S1181" s="62"/>
      <c r="T1181" s="62"/>
      <c r="U1181" s="62"/>
      <c r="V1181" s="37" t="str">
        <f>IFERROR(__xludf.DUMMYFUNCTION("if(not(iserror(index(split(C1181, "" ""),2))), index(split(C1181, "" ""),1),"""")"),"")</f>
        <v/>
      </c>
      <c r="W1181" s="315" t="str">
        <f>IFERROR(__xludf.DUMMYFUNCTION("if(V1181="""",C1181,if(not(iserror(index(split(C1181, "" ""),3))), index(split(C1181, "" ""),3),index(split(C1181, "" ""),2)))"),"")</f>
        <v/>
      </c>
      <c r="X1181" s="38" t="b">
        <f t="shared" si="2"/>
        <v>0</v>
      </c>
      <c r="Y1181" s="38"/>
      <c r="Z1181" s="40"/>
      <c r="AA1181" s="40"/>
      <c r="AB1181" s="38"/>
      <c r="AC1181" s="38"/>
      <c r="AD1181" s="38"/>
      <c r="AE1181" s="38"/>
      <c r="AF1181" s="38"/>
      <c r="AG1181" s="38"/>
      <c r="AH1181" s="38"/>
      <c r="AI1181" s="38"/>
      <c r="AJ1181" s="38"/>
      <c r="AK1181" s="38"/>
      <c r="AL1181" s="38"/>
      <c r="AM1181" s="38"/>
      <c r="AN1181" s="38"/>
      <c r="AO1181" s="38"/>
      <c r="AP1181" s="38"/>
      <c r="AQ1181" s="38"/>
      <c r="AR1181" s="38"/>
      <c r="AS1181" s="38"/>
      <c r="AT1181" s="38"/>
      <c r="AU1181" s="38"/>
      <c r="AV1181" s="38"/>
      <c r="AW1181" s="38"/>
      <c r="AX1181" s="38"/>
      <c r="AY1181" s="38"/>
      <c r="AZ1181" s="38"/>
      <c r="BA1181" s="38"/>
      <c r="BB1181" s="38"/>
      <c r="BC1181" s="38"/>
      <c r="BD1181" s="38"/>
      <c r="BE1181" s="38"/>
      <c r="BF1181" s="38"/>
      <c r="BG1181" s="38"/>
    </row>
    <row r="1182">
      <c r="A1182" s="58"/>
      <c r="B1182" s="341"/>
      <c r="C1182" s="60"/>
      <c r="D1182" s="60"/>
      <c r="E1182" s="58"/>
      <c r="F1182" s="58"/>
      <c r="G1182" s="58"/>
      <c r="H1182" s="33" t="str">
        <f t="shared" si="1"/>
        <v/>
      </c>
      <c r="I1182" s="58"/>
      <c r="J1182" s="58"/>
      <c r="K1182" s="58"/>
      <c r="L1182" s="38"/>
      <c r="M1182" s="58"/>
      <c r="N1182" s="58"/>
      <c r="O1182" s="58"/>
      <c r="P1182" s="80"/>
      <c r="Q1182" s="77"/>
      <c r="R1182" s="62"/>
      <c r="S1182" s="62"/>
      <c r="T1182" s="62"/>
      <c r="U1182" s="62"/>
      <c r="V1182" s="37" t="str">
        <f>IFERROR(__xludf.DUMMYFUNCTION("if(not(iserror(index(split(C1182, "" ""),2))), index(split(C1182, "" ""),1),"""")"),"")</f>
        <v/>
      </c>
      <c r="W1182" s="315" t="str">
        <f>IFERROR(__xludf.DUMMYFUNCTION("if(V1182="""",C1182,if(not(iserror(index(split(C1182, "" ""),3))), index(split(C1182, "" ""),3),index(split(C1182, "" ""),2)))"),"")</f>
        <v/>
      </c>
      <c r="X1182" s="38" t="b">
        <f t="shared" si="2"/>
        <v>0</v>
      </c>
      <c r="Y1182" s="38"/>
      <c r="Z1182" s="40"/>
      <c r="AA1182" s="40"/>
      <c r="AB1182" s="38"/>
      <c r="AC1182" s="38"/>
      <c r="AD1182" s="38"/>
      <c r="AE1182" s="38"/>
      <c r="AF1182" s="38"/>
      <c r="AG1182" s="38"/>
      <c r="AH1182" s="38"/>
      <c r="AI1182" s="38"/>
      <c r="AJ1182" s="38"/>
      <c r="AK1182" s="38"/>
      <c r="AL1182" s="38"/>
      <c r="AM1182" s="38"/>
      <c r="AN1182" s="38"/>
      <c r="AO1182" s="38"/>
      <c r="AP1182" s="38"/>
      <c r="AQ1182" s="38"/>
      <c r="AR1182" s="38"/>
      <c r="AS1182" s="38"/>
      <c r="AT1182" s="38"/>
      <c r="AU1182" s="38"/>
      <c r="AV1182" s="38"/>
      <c r="AW1182" s="38"/>
      <c r="AX1182" s="38"/>
      <c r="AY1182" s="38"/>
      <c r="AZ1182" s="38"/>
      <c r="BA1182" s="38"/>
      <c r="BB1182" s="38"/>
      <c r="BC1182" s="38"/>
      <c r="BD1182" s="38"/>
      <c r="BE1182" s="38"/>
      <c r="BF1182" s="38"/>
      <c r="BG1182" s="38"/>
    </row>
    <row r="1183">
      <c r="A1183" s="58"/>
      <c r="B1183" s="341"/>
      <c r="C1183" s="60"/>
      <c r="D1183" s="60"/>
      <c r="E1183" s="58"/>
      <c r="F1183" s="58"/>
      <c r="G1183" s="58"/>
      <c r="H1183" s="33" t="str">
        <f t="shared" si="1"/>
        <v/>
      </c>
      <c r="I1183" s="58"/>
      <c r="J1183" s="58"/>
      <c r="K1183" s="58"/>
      <c r="L1183" s="38"/>
      <c r="M1183" s="58"/>
      <c r="N1183" s="58"/>
      <c r="O1183" s="58"/>
      <c r="P1183" s="80"/>
      <c r="Q1183" s="77"/>
      <c r="R1183" s="62"/>
      <c r="S1183" s="62"/>
      <c r="T1183" s="62"/>
      <c r="U1183" s="62"/>
      <c r="V1183" s="37" t="str">
        <f>IFERROR(__xludf.DUMMYFUNCTION("if(not(iserror(index(split(C1183, "" ""),2))), index(split(C1183, "" ""),1),"""")"),"")</f>
        <v/>
      </c>
      <c r="W1183" s="315" t="str">
        <f>IFERROR(__xludf.DUMMYFUNCTION("if(V1183="""",C1183,if(not(iserror(index(split(C1183, "" ""),3))), index(split(C1183, "" ""),3),index(split(C1183, "" ""),2)))"),"")</f>
        <v/>
      </c>
      <c r="X1183" s="38" t="b">
        <f t="shared" si="2"/>
        <v>0</v>
      </c>
      <c r="Y1183" s="38"/>
      <c r="Z1183" s="40"/>
      <c r="AA1183" s="40"/>
      <c r="AB1183" s="38"/>
      <c r="AC1183" s="38"/>
      <c r="AD1183" s="38"/>
      <c r="AE1183" s="38"/>
      <c r="AF1183" s="38"/>
      <c r="AG1183" s="38"/>
      <c r="AH1183" s="38"/>
      <c r="AI1183" s="38"/>
      <c r="AJ1183" s="38"/>
      <c r="AK1183" s="38"/>
      <c r="AL1183" s="38"/>
      <c r="AM1183" s="38"/>
      <c r="AN1183" s="38"/>
      <c r="AO1183" s="38"/>
      <c r="AP1183" s="38"/>
      <c r="AQ1183" s="38"/>
      <c r="AR1183" s="38"/>
      <c r="AS1183" s="38"/>
      <c r="AT1183" s="38"/>
      <c r="AU1183" s="38"/>
      <c r="AV1183" s="38"/>
      <c r="AW1183" s="38"/>
      <c r="AX1183" s="38"/>
      <c r="AY1183" s="38"/>
      <c r="AZ1183" s="38"/>
      <c r="BA1183" s="38"/>
      <c r="BB1183" s="38"/>
      <c r="BC1183" s="38"/>
      <c r="BD1183" s="38"/>
      <c r="BE1183" s="38"/>
      <c r="BF1183" s="38"/>
      <c r="BG1183" s="38"/>
    </row>
    <row r="1184">
      <c r="A1184" s="58"/>
      <c r="B1184" s="341"/>
      <c r="C1184" s="60"/>
      <c r="D1184" s="60"/>
      <c r="E1184" s="58"/>
      <c r="F1184" s="58"/>
      <c r="G1184" s="58"/>
      <c r="H1184" s="33" t="str">
        <f t="shared" si="1"/>
        <v/>
      </c>
      <c r="I1184" s="58"/>
      <c r="J1184" s="58"/>
      <c r="K1184" s="58"/>
      <c r="L1184" s="38"/>
      <c r="M1184" s="58"/>
      <c r="N1184" s="58"/>
      <c r="O1184" s="58"/>
      <c r="P1184" s="80"/>
      <c r="Q1184" s="77"/>
      <c r="R1184" s="62"/>
      <c r="S1184" s="62"/>
      <c r="T1184" s="62"/>
      <c r="U1184" s="62"/>
      <c r="V1184" s="37" t="str">
        <f>IFERROR(__xludf.DUMMYFUNCTION("if(not(iserror(index(split(C1184, "" ""),2))), index(split(C1184, "" ""),1),"""")"),"")</f>
        <v/>
      </c>
      <c r="W1184" s="315" t="str">
        <f>IFERROR(__xludf.DUMMYFUNCTION("if(V1184="""",C1184,if(not(iserror(index(split(C1184, "" ""),3))), index(split(C1184, "" ""),3),index(split(C1184, "" ""),2)))"),"")</f>
        <v/>
      </c>
      <c r="X1184" s="38" t="b">
        <f t="shared" si="2"/>
        <v>0</v>
      </c>
      <c r="Y1184" s="38"/>
      <c r="Z1184" s="40"/>
      <c r="AA1184" s="40"/>
      <c r="AB1184" s="38"/>
      <c r="AC1184" s="38"/>
      <c r="AD1184" s="38"/>
      <c r="AE1184" s="38"/>
      <c r="AF1184" s="38"/>
      <c r="AG1184" s="38"/>
      <c r="AH1184" s="38"/>
      <c r="AI1184" s="38"/>
      <c r="AJ1184" s="38"/>
      <c r="AK1184" s="38"/>
      <c r="AL1184" s="38"/>
      <c r="AM1184" s="38"/>
      <c r="AN1184" s="38"/>
      <c r="AO1184" s="38"/>
      <c r="AP1184" s="38"/>
      <c r="AQ1184" s="38"/>
      <c r="AR1184" s="38"/>
      <c r="AS1184" s="38"/>
      <c r="AT1184" s="38"/>
      <c r="AU1184" s="38"/>
      <c r="AV1184" s="38"/>
      <c r="AW1184" s="38"/>
      <c r="AX1184" s="38"/>
      <c r="AY1184" s="38"/>
      <c r="AZ1184" s="38"/>
      <c r="BA1184" s="38"/>
      <c r="BB1184" s="38"/>
      <c r="BC1184" s="38"/>
      <c r="BD1184" s="38"/>
      <c r="BE1184" s="38"/>
      <c r="BF1184" s="38"/>
      <c r="BG1184" s="38"/>
    </row>
    <row r="1185">
      <c r="B1185" s="341"/>
      <c r="C1185" s="60"/>
      <c r="D1185" s="60"/>
      <c r="E1185" s="58"/>
      <c r="F1185" s="58"/>
      <c r="G1185" s="58"/>
      <c r="H1185" s="33" t="str">
        <f t="shared" si="1"/>
        <v/>
      </c>
      <c r="I1185" s="58"/>
      <c r="J1185" s="58"/>
      <c r="K1185" s="58"/>
      <c r="L1185" s="38"/>
      <c r="M1185" s="58"/>
      <c r="N1185" s="58"/>
      <c r="O1185" s="58"/>
      <c r="P1185" s="80"/>
      <c r="Q1185" s="77"/>
      <c r="R1185" s="62"/>
      <c r="S1185" s="62"/>
      <c r="T1185" s="62"/>
      <c r="U1185" s="62"/>
      <c r="V1185" s="37" t="str">
        <f>IFERROR(__xludf.DUMMYFUNCTION("if(not(iserror(index(split(C1185, "" ""),2))), index(split(C1185, "" ""),1),"""")"),"")</f>
        <v/>
      </c>
      <c r="W1185" s="315" t="str">
        <f>IFERROR(__xludf.DUMMYFUNCTION("if(V1185="""",C1185,if(not(iserror(index(split(C1185, "" ""),3))), index(split(C1185, "" ""),3),index(split(C1185, "" ""),2)))"),"")</f>
        <v/>
      </c>
      <c r="X1185" s="38" t="b">
        <f t="shared" si="2"/>
        <v>0</v>
      </c>
      <c r="Y1185" s="38"/>
      <c r="Z1185" s="40"/>
      <c r="AA1185" s="40"/>
      <c r="AB1185" s="38"/>
      <c r="AC1185" s="38"/>
      <c r="AD1185" s="38"/>
      <c r="AE1185" s="38"/>
      <c r="AF1185" s="38"/>
      <c r="AG1185" s="38"/>
      <c r="AH1185" s="38"/>
      <c r="AI1185" s="38"/>
      <c r="AJ1185" s="38"/>
      <c r="AK1185" s="38"/>
      <c r="AL1185" s="38"/>
      <c r="AM1185" s="38"/>
      <c r="AN1185" s="38"/>
      <c r="AO1185" s="38"/>
      <c r="AP1185" s="38"/>
      <c r="AQ1185" s="38"/>
      <c r="AR1185" s="38"/>
      <c r="AS1185" s="38"/>
      <c r="AT1185" s="38"/>
      <c r="AU1185" s="38"/>
      <c r="AV1185" s="38"/>
      <c r="AW1185" s="38"/>
      <c r="AX1185" s="38"/>
      <c r="AY1185" s="38"/>
      <c r="AZ1185" s="38"/>
      <c r="BA1185" s="38"/>
      <c r="BB1185" s="38"/>
      <c r="BC1185" s="38"/>
      <c r="BD1185" s="38"/>
      <c r="BE1185" s="38"/>
      <c r="BF1185" s="38"/>
      <c r="BG1185" s="38"/>
    </row>
    <row r="1186">
      <c r="B1186" s="341"/>
      <c r="C1186" s="60"/>
      <c r="D1186" s="60"/>
      <c r="E1186" s="58"/>
      <c r="F1186" s="58"/>
      <c r="G1186" s="58"/>
      <c r="H1186" s="33" t="str">
        <f t="shared" si="1"/>
        <v/>
      </c>
      <c r="I1186" s="58"/>
      <c r="J1186" s="58"/>
      <c r="K1186" s="58"/>
      <c r="L1186" s="38"/>
      <c r="M1186" s="58"/>
      <c r="N1186" s="58"/>
      <c r="O1186" s="58"/>
      <c r="P1186" s="80"/>
      <c r="Q1186" s="77"/>
      <c r="R1186" s="62"/>
      <c r="S1186" s="62"/>
      <c r="T1186" s="62"/>
      <c r="U1186" s="62"/>
      <c r="V1186" s="37" t="str">
        <f>IFERROR(__xludf.DUMMYFUNCTION("if(not(iserror(index(split(C1186, "" ""),2))), index(split(C1186, "" ""),1),"""")"),"")</f>
        <v/>
      </c>
      <c r="W1186" s="315" t="str">
        <f>IFERROR(__xludf.DUMMYFUNCTION("if(V1186="""",C1186,if(not(iserror(index(split(C1186, "" ""),3))), index(split(C1186, "" ""),3),index(split(C1186, "" ""),2)))"),"")</f>
        <v/>
      </c>
      <c r="X1186" s="38" t="b">
        <f t="shared" si="2"/>
        <v>0</v>
      </c>
      <c r="Y1186" s="38"/>
      <c r="Z1186" s="40"/>
      <c r="AA1186" s="40"/>
      <c r="AB1186" s="38"/>
      <c r="AC1186" s="38"/>
      <c r="AD1186" s="38"/>
      <c r="AE1186" s="38"/>
      <c r="AF1186" s="38"/>
      <c r="AG1186" s="38"/>
      <c r="AH1186" s="38"/>
      <c r="AI1186" s="38"/>
      <c r="AJ1186" s="38"/>
      <c r="AK1186" s="38"/>
      <c r="AL1186" s="38"/>
      <c r="AM1186" s="38"/>
      <c r="AN1186" s="38"/>
      <c r="AO1186" s="38"/>
      <c r="AP1186" s="38"/>
      <c r="AQ1186" s="38"/>
      <c r="AR1186" s="38"/>
      <c r="AS1186" s="38"/>
      <c r="AT1186" s="38"/>
      <c r="AU1186" s="38"/>
      <c r="AV1186" s="38"/>
      <c r="AW1186" s="38"/>
      <c r="AX1186" s="38"/>
      <c r="AY1186" s="38"/>
      <c r="AZ1186" s="38"/>
      <c r="BA1186" s="38"/>
      <c r="BB1186" s="38"/>
      <c r="BC1186" s="38"/>
      <c r="BD1186" s="38"/>
      <c r="BE1186" s="38"/>
      <c r="BF1186" s="38"/>
      <c r="BG1186" s="38"/>
    </row>
    <row r="1187">
      <c r="B1187" s="341"/>
      <c r="C1187" s="60"/>
      <c r="D1187" s="60"/>
      <c r="E1187" s="58"/>
      <c r="F1187" s="58"/>
      <c r="G1187" s="58"/>
      <c r="H1187" s="33" t="str">
        <f t="shared" si="1"/>
        <v/>
      </c>
      <c r="I1187" s="58"/>
      <c r="J1187" s="58"/>
      <c r="K1187" s="58"/>
      <c r="L1187" s="38"/>
      <c r="M1187" s="58"/>
      <c r="N1187" s="58"/>
      <c r="O1187" s="58"/>
      <c r="P1187" s="80"/>
      <c r="Q1187" s="77"/>
      <c r="R1187" s="62"/>
      <c r="S1187" s="62"/>
      <c r="T1187" s="62"/>
      <c r="U1187" s="62"/>
      <c r="V1187" s="37" t="str">
        <f>IFERROR(__xludf.DUMMYFUNCTION("if(not(iserror(index(split(C1187, "" ""),2))), index(split(C1187, "" ""),1),"""")"),"")</f>
        <v/>
      </c>
      <c r="W1187" s="315" t="str">
        <f>IFERROR(__xludf.DUMMYFUNCTION("if(V1187="""",C1187,if(not(iserror(index(split(C1187, "" ""),3))), index(split(C1187, "" ""),3),index(split(C1187, "" ""),2)))"),"")</f>
        <v/>
      </c>
      <c r="X1187" s="38" t="b">
        <f t="shared" si="2"/>
        <v>0</v>
      </c>
      <c r="Y1187" s="38"/>
      <c r="Z1187" s="40"/>
      <c r="AA1187" s="40"/>
      <c r="AB1187" s="38"/>
      <c r="AC1187" s="38"/>
      <c r="AD1187" s="38"/>
      <c r="AE1187" s="38"/>
      <c r="AF1187" s="38"/>
      <c r="AG1187" s="38"/>
      <c r="AH1187" s="38"/>
      <c r="AI1187" s="38"/>
      <c r="AJ1187" s="38"/>
      <c r="AK1187" s="38"/>
      <c r="AL1187" s="38"/>
      <c r="AM1187" s="38"/>
      <c r="AN1187" s="38"/>
      <c r="AO1187" s="38"/>
      <c r="AP1187" s="38"/>
      <c r="AQ1187" s="38"/>
      <c r="AR1187" s="38"/>
      <c r="AS1187" s="38"/>
      <c r="AT1187" s="38"/>
      <c r="AU1187" s="38"/>
      <c r="AV1187" s="38"/>
      <c r="AW1187" s="38"/>
      <c r="AX1187" s="38"/>
      <c r="AY1187" s="38"/>
      <c r="AZ1187" s="38"/>
      <c r="BA1187" s="38"/>
      <c r="BB1187" s="38"/>
      <c r="BC1187" s="38"/>
      <c r="BD1187" s="38"/>
      <c r="BE1187" s="38"/>
      <c r="BF1187" s="38"/>
      <c r="BG1187" s="38"/>
    </row>
    <row r="1188">
      <c r="B1188" s="341"/>
      <c r="C1188" s="60"/>
      <c r="D1188" s="60"/>
      <c r="E1188" s="58"/>
      <c r="F1188" s="58"/>
      <c r="G1188" s="58"/>
      <c r="H1188" s="33" t="str">
        <f t="shared" si="1"/>
        <v/>
      </c>
      <c r="I1188" s="58"/>
      <c r="J1188" s="58"/>
      <c r="K1188" s="58"/>
      <c r="L1188" s="38"/>
      <c r="M1188" s="58"/>
      <c r="N1188" s="58"/>
      <c r="O1188" s="58"/>
      <c r="P1188" s="80"/>
      <c r="Q1188" s="77"/>
      <c r="R1188" s="62"/>
      <c r="S1188" s="62"/>
      <c r="T1188" s="62"/>
      <c r="U1188" s="62"/>
      <c r="V1188" s="37" t="str">
        <f>IFERROR(__xludf.DUMMYFUNCTION("if(not(iserror(index(split(C1188, "" ""),2))), index(split(C1188, "" ""),1),"""")"),"")</f>
        <v/>
      </c>
      <c r="W1188" s="315" t="str">
        <f>IFERROR(__xludf.DUMMYFUNCTION("if(V1188="""",C1188,if(not(iserror(index(split(C1188, "" ""),3))), index(split(C1188, "" ""),3),index(split(C1188, "" ""),2)))"),"")</f>
        <v/>
      </c>
      <c r="X1188" s="38" t="b">
        <f t="shared" si="2"/>
        <v>0</v>
      </c>
      <c r="Y1188" s="38"/>
      <c r="Z1188" s="40"/>
      <c r="AA1188" s="40"/>
      <c r="AB1188" s="38"/>
      <c r="AC1188" s="38"/>
      <c r="AD1188" s="38"/>
      <c r="AE1188" s="38"/>
      <c r="AF1188" s="38"/>
      <c r="AG1188" s="38"/>
      <c r="AH1188" s="38"/>
      <c r="AI1188" s="38"/>
      <c r="AJ1188" s="38"/>
      <c r="AK1188" s="38"/>
      <c r="AL1188" s="38"/>
      <c r="AM1188" s="38"/>
      <c r="AN1188" s="38"/>
      <c r="AO1188" s="38"/>
      <c r="AP1188" s="38"/>
      <c r="AQ1188" s="38"/>
      <c r="AR1188" s="38"/>
      <c r="AS1188" s="38"/>
      <c r="AT1188" s="38"/>
      <c r="AU1188" s="38"/>
      <c r="AV1188" s="38"/>
      <c r="AW1188" s="38"/>
      <c r="AX1188" s="38"/>
      <c r="AY1188" s="38"/>
      <c r="AZ1188" s="38"/>
      <c r="BA1188" s="38"/>
      <c r="BB1188" s="38"/>
      <c r="BC1188" s="38"/>
      <c r="BD1188" s="38"/>
      <c r="BE1188" s="38"/>
      <c r="BF1188" s="38"/>
      <c r="BG1188" s="38"/>
    </row>
    <row r="1189">
      <c r="A1189" s="58"/>
      <c r="B1189" s="341"/>
      <c r="C1189" s="60"/>
      <c r="D1189" s="60"/>
      <c r="E1189" s="58"/>
      <c r="F1189" s="58"/>
      <c r="G1189" s="58"/>
      <c r="H1189" s="33" t="str">
        <f t="shared" si="1"/>
        <v/>
      </c>
      <c r="I1189" s="58"/>
      <c r="J1189" s="58"/>
      <c r="K1189" s="58"/>
      <c r="L1189" s="38"/>
      <c r="M1189" s="58"/>
      <c r="N1189" s="58"/>
      <c r="O1189" s="58"/>
      <c r="P1189" s="80"/>
      <c r="Q1189" s="77"/>
      <c r="R1189" s="62"/>
      <c r="S1189" s="62"/>
      <c r="T1189" s="62"/>
      <c r="U1189" s="62"/>
      <c r="V1189" s="37" t="str">
        <f>IFERROR(__xludf.DUMMYFUNCTION("if(not(iserror(index(split(C1189, "" ""),2))), index(split(C1189, "" ""),1),"""")"),"")</f>
        <v/>
      </c>
      <c r="W1189" s="315" t="str">
        <f>IFERROR(__xludf.DUMMYFUNCTION("if(V1189="""",C1189,if(not(iserror(index(split(C1189, "" ""),3))), index(split(C1189, "" ""),3),index(split(C1189, "" ""),2)))"),"")</f>
        <v/>
      </c>
      <c r="X1189" s="38" t="b">
        <f t="shared" si="2"/>
        <v>0</v>
      </c>
      <c r="Y1189" s="38"/>
      <c r="Z1189" s="40"/>
      <c r="AA1189" s="40"/>
      <c r="AB1189" s="38"/>
      <c r="AC1189" s="38"/>
      <c r="AD1189" s="38"/>
      <c r="AE1189" s="38"/>
      <c r="AF1189" s="38"/>
      <c r="AG1189" s="38"/>
      <c r="AH1189" s="38"/>
      <c r="AI1189" s="38"/>
      <c r="AJ1189" s="38"/>
      <c r="AK1189" s="38"/>
      <c r="AL1189" s="38"/>
      <c r="AM1189" s="38"/>
      <c r="AN1189" s="38"/>
      <c r="AO1189" s="38"/>
      <c r="AP1189" s="38"/>
      <c r="AQ1189" s="38"/>
      <c r="AR1189" s="38"/>
      <c r="AS1189" s="38"/>
      <c r="AT1189" s="38"/>
      <c r="AU1189" s="38"/>
      <c r="AV1189" s="38"/>
      <c r="AW1189" s="38"/>
      <c r="AX1189" s="38"/>
      <c r="AY1189" s="38"/>
      <c r="AZ1189" s="38"/>
      <c r="BA1189" s="38"/>
      <c r="BB1189" s="38"/>
      <c r="BC1189" s="38"/>
      <c r="BD1189" s="38"/>
      <c r="BE1189" s="38"/>
      <c r="BF1189" s="38"/>
      <c r="BG1189" s="38"/>
    </row>
    <row r="1190">
      <c r="A1190" s="58"/>
      <c r="B1190" s="341"/>
      <c r="C1190" s="60"/>
      <c r="D1190" s="60"/>
      <c r="E1190" s="58"/>
      <c r="F1190" s="58"/>
      <c r="G1190" s="58"/>
      <c r="H1190" s="33" t="str">
        <f t="shared" si="1"/>
        <v/>
      </c>
      <c r="I1190" s="58"/>
      <c r="J1190" s="58"/>
      <c r="K1190" s="58"/>
      <c r="L1190" s="38"/>
      <c r="M1190" s="58"/>
      <c r="N1190" s="58"/>
      <c r="O1190" s="58"/>
      <c r="P1190" s="80"/>
      <c r="Q1190" s="77"/>
      <c r="R1190" s="62"/>
      <c r="S1190" s="62"/>
      <c r="T1190" s="62"/>
      <c r="U1190" s="62"/>
      <c r="V1190" s="37" t="str">
        <f>IFERROR(__xludf.DUMMYFUNCTION("if(not(iserror(index(split(C1190, "" ""),2))), index(split(C1190, "" ""),1),"""")"),"")</f>
        <v/>
      </c>
      <c r="W1190" s="315" t="str">
        <f>IFERROR(__xludf.DUMMYFUNCTION("if(V1190="""",C1190,if(not(iserror(index(split(C1190, "" ""),3))), index(split(C1190, "" ""),3),index(split(C1190, "" ""),2)))"),"")</f>
        <v/>
      </c>
      <c r="X1190" s="38" t="b">
        <f t="shared" si="2"/>
        <v>0</v>
      </c>
      <c r="Y1190" s="38"/>
      <c r="Z1190" s="40"/>
      <c r="AA1190" s="40"/>
      <c r="AB1190" s="38"/>
      <c r="AC1190" s="38"/>
      <c r="AD1190" s="38"/>
      <c r="AE1190" s="38"/>
      <c r="AF1190" s="38"/>
      <c r="AG1190" s="38"/>
      <c r="AH1190" s="38"/>
      <c r="AI1190" s="38"/>
      <c r="AJ1190" s="38"/>
      <c r="AK1190" s="38"/>
      <c r="AL1190" s="38"/>
      <c r="AM1190" s="38"/>
      <c r="AN1190" s="38"/>
      <c r="AO1190" s="38"/>
      <c r="AP1190" s="38"/>
      <c r="AQ1190" s="38"/>
      <c r="AR1190" s="38"/>
      <c r="AS1190" s="38"/>
      <c r="AT1190" s="38"/>
      <c r="AU1190" s="38"/>
      <c r="AV1190" s="38"/>
      <c r="AW1190" s="38"/>
      <c r="AX1190" s="38"/>
      <c r="AY1190" s="38"/>
      <c r="AZ1190" s="38"/>
      <c r="BA1190" s="38"/>
      <c r="BB1190" s="38"/>
      <c r="BC1190" s="38"/>
      <c r="BD1190" s="38"/>
      <c r="BE1190" s="38"/>
      <c r="BF1190" s="38"/>
      <c r="BG1190" s="38"/>
    </row>
    <row r="1191">
      <c r="A1191" s="58"/>
      <c r="B1191" s="341"/>
      <c r="C1191" s="60"/>
      <c r="D1191" s="60"/>
      <c r="E1191" s="58"/>
      <c r="F1191" s="58"/>
      <c r="G1191" s="58"/>
      <c r="H1191" s="33" t="str">
        <f t="shared" si="1"/>
        <v/>
      </c>
      <c r="I1191" s="58"/>
      <c r="J1191" s="58"/>
      <c r="K1191" s="58"/>
      <c r="L1191" s="38"/>
      <c r="M1191" s="58"/>
      <c r="N1191" s="58"/>
      <c r="O1191" s="58"/>
      <c r="P1191" s="80"/>
      <c r="Q1191" s="77"/>
      <c r="R1191" s="62"/>
      <c r="S1191" s="62"/>
      <c r="T1191" s="62"/>
      <c r="U1191" s="62"/>
      <c r="V1191" s="37" t="str">
        <f>IFERROR(__xludf.DUMMYFUNCTION("if(not(iserror(index(split(C1191, "" ""),2))), index(split(C1191, "" ""),1),"""")"),"")</f>
        <v/>
      </c>
      <c r="W1191" s="315" t="str">
        <f>IFERROR(__xludf.DUMMYFUNCTION("if(V1191="""",C1191,if(not(iserror(index(split(C1191, "" ""),3))), index(split(C1191, "" ""),3),index(split(C1191, "" ""),2)))"),"")</f>
        <v/>
      </c>
      <c r="X1191" s="38" t="b">
        <f t="shared" si="2"/>
        <v>0</v>
      </c>
      <c r="Y1191" s="38"/>
      <c r="Z1191" s="40"/>
      <c r="AA1191" s="40"/>
      <c r="AB1191" s="38"/>
      <c r="AC1191" s="38"/>
      <c r="AD1191" s="38"/>
      <c r="AE1191" s="38"/>
      <c r="AF1191" s="38"/>
      <c r="AG1191" s="38"/>
      <c r="AH1191" s="38"/>
      <c r="AI1191" s="38"/>
      <c r="AJ1191" s="38"/>
      <c r="AK1191" s="38"/>
      <c r="AL1191" s="38"/>
      <c r="AM1191" s="38"/>
      <c r="AN1191" s="38"/>
      <c r="AO1191" s="38"/>
      <c r="AP1191" s="38"/>
      <c r="AQ1191" s="38"/>
      <c r="AR1191" s="38"/>
      <c r="AS1191" s="38"/>
      <c r="AT1191" s="38"/>
      <c r="AU1191" s="38"/>
      <c r="AV1191" s="38"/>
      <c r="AW1191" s="38"/>
      <c r="AX1191" s="38"/>
      <c r="AY1191" s="38"/>
      <c r="AZ1191" s="38"/>
      <c r="BA1191" s="38"/>
      <c r="BB1191" s="38"/>
      <c r="BC1191" s="38"/>
      <c r="BD1191" s="38"/>
      <c r="BE1191" s="38"/>
      <c r="BF1191" s="38"/>
      <c r="BG1191" s="38"/>
    </row>
    <row r="1192">
      <c r="A1192" s="128"/>
      <c r="B1192" s="388"/>
      <c r="C1192" s="127"/>
      <c r="D1192" s="127"/>
      <c r="E1192" s="128"/>
      <c r="F1192" s="129"/>
      <c r="G1192" s="198"/>
      <c r="H1192" s="33" t="str">
        <f t="shared" si="1"/>
        <v/>
      </c>
      <c r="I1192" s="128"/>
      <c r="J1192" s="128"/>
      <c r="K1192" s="129"/>
      <c r="L1192" s="38"/>
      <c r="M1192" s="128"/>
      <c r="N1192" s="128"/>
      <c r="O1192" s="128"/>
      <c r="P1192" s="131"/>
      <c r="Q1192" s="133"/>
      <c r="R1192" s="133"/>
      <c r="S1192" s="133"/>
      <c r="T1192" s="133"/>
      <c r="U1192" s="133"/>
      <c r="V1192" s="37" t="str">
        <f>IFERROR(__xludf.DUMMYFUNCTION("if(not(iserror(index(split(C1192, "" ""),2))), index(split(C1192, "" ""),1),"""")"),"")</f>
        <v/>
      </c>
      <c r="W1192" s="315" t="str">
        <f>IFERROR(__xludf.DUMMYFUNCTION("if(V1192="""",C1192,if(not(iserror(index(split(C1192, "" ""),3))), index(split(C1192, "" ""),3),index(split(C1192, "" ""),2)))"),"")</f>
        <v/>
      </c>
      <c r="X1192" s="38" t="b">
        <f t="shared" si="2"/>
        <v>0</v>
      </c>
      <c r="Y1192" s="38"/>
      <c r="Z1192" s="40"/>
      <c r="AA1192" s="40"/>
      <c r="AB1192" s="38"/>
      <c r="AC1192" s="38"/>
      <c r="AD1192" s="38"/>
      <c r="AE1192" s="38"/>
      <c r="AF1192" s="38"/>
      <c r="AG1192" s="38"/>
      <c r="AH1192" s="38"/>
      <c r="AI1192" s="38"/>
      <c r="AJ1192" s="38"/>
      <c r="AK1192" s="38"/>
      <c r="AL1192" s="38"/>
      <c r="AM1192" s="38"/>
      <c r="AN1192" s="38"/>
      <c r="AO1192" s="38"/>
      <c r="AP1192" s="38"/>
      <c r="AQ1192" s="38"/>
      <c r="AR1192" s="38"/>
      <c r="AS1192" s="38"/>
      <c r="AT1192" s="38"/>
      <c r="AU1192" s="38"/>
      <c r="AV1192" s="38"/>
      <c r="AW1192" s="38"/>
      <c r="AX1192" s="38"/>
      <c r="AY1192" s="38"/>
      <c r="AZ1192" s="38"/>
      <c r="BA1192" s="38"/>
      <c r="BB1192" s="38"/>
      <c r="BC1192" s="38"/>
      <c r="BD1192" s="38"/>
      <c r="BE1192" s="38"/>
      <c r="BF1192" s="38"/>
      <c r="BG1192" s="38"/>
    </row>
    <row r="1193">
      <c r="A1193" s="58"/>
      <c r="B1193" s="341"/>
      <c r="C1193" s="60"/>
      <c r="D1193" s="60"/>
      <c r="E1193" s="58"/>
      <c r="F1193" s="58"/>
      <c r="G1193" s="58"/>
      <c r="H1193" s="33" t="str">
        <f t="shared" si="1"/>
        <v/>
      </c>
      <c r="I1193" s="58"/>
      <c r="J1193" s="58"/>
      <c r="K1193" s="58"/>
      <c r="L1193" s="38"/>
      <c r="M1193" s="58"/>
      <c r="N1193" s="58"/>
      <c r="O1193" s="58"/>
      <c r="P1193" s="80"/>
      <c r="Q1193" s="77"/>
      <c r="R1193" s="62"/>
      <c r="S1193" s="62"/>
      <c r="T1193" s="62"/>
      <c r="U1193" s="62"/>
      <c r="V1193" s="37" t="str">
        <f>IFERROR(__xludf.DUMMYFUNCTION("if(not(iserror(index(split(C1193, "" ""),2))), index(split(C1193, "" ""),1),"""")"),"")</f>
        <v/>
      </c>
      <c r="W1193" s="315" t="str">
        <f>IFERROR(__xludf.DUMMYFUNCTION("if(V1193="""",C1193,if(not(iserror(index(split(C1193, "" ""),3))), index(split(C1193, "" ""),3),index(split(C1193, "" ""),2)))"),"")</f>
        <v/>
      </c>
      <c r="X1193" s="38" t="b">
        <f t="shared" si="2"/>
        <v>0</v>
      </c>
      <c r="Y1193" s="38"/>
      <c r="Z1193" s="40"/>
      <c r="AA1193" s="40"/>
      <c r="AB1193" s="38"/>
      <c r="AC1193" s="38"/>
      <c r="AD1193" s="38"/>
      <c r="AE1193" s="38"/>
      <c r="AF1193" s="38"/>
      <c r="AG1193" s="38"/>
      <c r="AH1193" s="38"/>
      <c r="AI1193" s="38"/>
      <c r="AJ1193" s="38"/>
      <c r="AK1193" s="38"/>
      <c r="AL1193" s="38"/>
      <c r="AM1193" s="38"/>
      <c r="AN1193" s="38"/>
      <c r="AO1193" s="38"/>
      <c r="AP1193" s="38"/>
      <c r="AQ1193" s="38"/>
      <c r="AR1193" s="38"/>
      <c r="AS1193" s="38"/>
      <c r="AT1193" s="38"/>
      <c r="AU1193" s="38"/>
      <c r="AV1193" s="38"/>
      <c r="AW1193" s="38"/>
      <c r="AX1193" s="38"/>
      <c r="AY1193" s="38"/>
      <c r="AZ1193" s="38"/>
      <c r="BA1193" s="38"/>
      <c r="BB1193" s="38"/>
      <c r="BC1193" s="38"/>
      <c r="BD1193" s="38"/>
      <c r="BE1193" s="38"/>
      <c r="BF1193" s="38"/>
      <c r="BG1193" s="38"/>
    </row>
    <row r="1194">
      <c r="A1194" s="58"/>
      <c r="B1194" s="341"/>
      <c r="C1194" s="60"/>
      <c r="D1194" s="60"/>
      <c r="E1194" s="58"/>
      <c r="F1194" s="58"/>
      <c r="G1194" s="58"/>
      <c r="H1194" s="33" t="str">
        <f t="shared" si="1"/>
        <v/>
      </c>
      <c r="I1194" s="58"/>
      <c r="J1194" s="58"/>
      <c r="K1194" s="58"/>
      <c r="L1194" s="38"/>
      <c r="M1194" s="58"/>
      <c r="N1194" s="58"/>
      <c r="O1194" s="58"/>
      <c r="P1194" s="80"/>
      <c r="Q1194" s="77"/>
      <c r="R1194" s="62"/>
      <c r="S1194" s="62"/>
      <c r="T1194" s="62"/>
      <c r="U1194" s="62"/>
      <c r="V1194" s="37" t="str">
        <f>IFERROR(__xludf.DUMMYFUNCTION("if(not(iserror(index(split(C1194, "" ""),2))), index(split(C1194, "" ""),1),"""")"),"")</f>
        <v/>
      </c>
      <c r="W1194" s="315" t="str">
        <f>IFERROR(__xludf.DUMMYFUNCTION("if(V1194="""",C1194,if(not(iserror(index(split(C1194, "" ""),3))), index(split(C1194, "" ""),3),index(split(C1194, "" ""),2)))"),"")</f>
        <v/>
      </c>
      <c r="X1194" s="38" t="b">
        <f t="shared" si="2"/>
        <v>0</v>
      </c>
      <c r="Y1194" s="38"/>
      <c r="Z1194" s="40"/>
      <c r="AA1194" s="40"/>
      <c r="AB1194" s="38"/>
      <c r="AC1194" s="38"/>
      <c r="AD1194" s="38"/>
      <c r="AE1194" s="38"/>
      <c r="AF1194" s="38"/>
      <c r="AG1194" s="38"/>
      <c r="AH1194" s="38"/>
      <c r="AI1194" s="38"/>
      <c r="AJ1194" s="38"/>
      <c r="AK1194" s="38"/>
      <c r="AL1194" s="38"/>
      <c r="AM1194" s="38"/>
      <c r="AN1194" s="38"/>
      <c r="AO1194" s="38"/>
      <c r="AP1194" s="38"/>
      <c r="AQ1194" s="38"/>
      <c r="AR1194" s="38"/>
      <c r="AS1194" s="38"/>
      <c r="AT1194" s="38"/>
      <c r="AU1194" s="38"/>
      <c r="AV1194" s="38"/>
      <c r="AW1194" s="38"/>
      <c r="AX1194" s="38"/>
      <c r="AY1194" s="38"/>
      <c r="AZ1194" s="38"/>
      <c r="BA1194" s="38"/>
      <c r="BB1194" s="38"/>
      <c r="BC1194" s="38"/>
      <c r="BD1194" s="38"/>
      <c r="BE1194" s="38"/>
      <c r="BF1194" s="38"/>
      <c r="BG1194" s="38"/>
    </row>
    <row r="1195">
      <c r="A1195" s="58"/>
      <c r="B1195" s="341"/>
      <c r="C1195" s="60"/>
      <c r="D1195" s="60"/>
      <c r="E1195" s="58"/>
      <c r="F1195" s="58"/>
      <c r="G1195" s="58"/>
      <c r="H1195" s="33" t="str">
        <f t="shared" si="1"/>
        <v/>
      </c>
      <c r="I1195" s="58"/>
      <c r="J1195" s="58"/>
      <c r="K1195" s="58"/>
      <c r="L1195" s="38"/>
      <c r="M1195" s="58"/>
      <c r="N1195" s="58"/>
      <c r="O1195" s="58"/>
      <c r="P1195" s="80"/>
      <c r="Q1195" s="77"/>
      <c r="R1195" s="58"/>
      <c r="S1195" s="58"/>
      <c r="T1195" s="84"/>
      <c r="U1195" s="62"/>
      <c r="V1195" s="37" t="str">
        <f>IFERROR(__xludf.DUMMYFUNCTION("if(not(iserror(index(split(C1195, "" ""),2))), index(split(C1195, "" ""),1),"""")"),"")</f>
        <v/>
      </c>
      <c r="W1195" s="315" t="str">
        <f>IFERROR(__xludf.DUMMYFUNCTION("if(V1195="""",C1195,if(not(iserror(index(split(C1195, "" ""),3))), index(split(C1195, "" ""),3),index(split(C1195, "" ""),2)))"),"")</f>
        <v/>
      </c>
      <c r="X1195" s="38" t="b">
        <f t="shared" si="2"/>
        <v>0</v>
      </c>
      <c r="Y1195" s="38"/>
      <c r="Z1195" s="40"/>
      <c r="AA1195" s="40"/>
      <c r="AB1195" s="38"/>
      <c r="AC1195" s="38"/>
      <c r="AD1195" s="38"/>
      <c r="AE1195" s="38"/>
      <c r="AF1195" s="38"/>
      <c r="AG1195" s="38"/>
      <c r="AH1195" s="38"/>
      <c r="AI1195" s="38"/>
      <c r="AJ1195" s="38"/>
      <c r="AK1195" s="38"/>
      <c r="AL1195" s="38"/>
      <c r="AM1195" s="38"/>
      <c r="AN1195" s="38"/>
      <c r="AO1195" s="38"/>
      <c r="AP1195" s="38"/>
      <c r="AQ1195" s="38"/>
      <c r="AR1195" s="38"/>
      <c r="AS1195" s="38"/>
      <c r="AT1195" s="38"/>
      <c r="AU1195" s="38"/>
      <c r="AV1195" s="38"/>
      <c r="AW1195" s="38"/>
      <c r="AX1195" s="38"/>
      <c r="AY1195" s="38"/>
      <c r="AZ1195" s="38"/>
      <c r="BA1195" s="38"/>
      <c r="BB1195" s="38"/>
      <c r="BC1195" s="38"/>
      <c r="BD1195" s="38"/>
      <c r="BE1195" s="38"/>
      <c r="BF1195" s="38"/>
      <c r="BG1195" s="38"/>
    </row>
    <row r="1196">
      <c r="A1196" s="58"/>
      <c r="B1196" s="341"/>
      <c r="C1196" s="60"/>
      <c r="D1196" s="60"/>
      <c r="E1196" s="58"/>
      <c r="F1196" s="58"/>
      <c r="G1196" s="58"/>
      <c r="H1196" s="33" t="str">
        <f t="shared" si="1"/>
        <v/>
      </c>
      <c r="I1196" s="58"/>
      <c r="J1196" s="58"/>
      <c r="K1196" s="58"/>
      <c r="L1196" s="38"/>
      <c r="M1196" s="58"/>
      <c r="N1196" s="58"/>
      <c r="O1196" s="58"/>
      <c r="P1196" s="80"/>
      <c r="Q1196" s="80"/>
      <c r="R1196" s="58"/>
      <c r="S1196" s="58"/>
      <c r="T1196" s="84"/>
      <c r="U1196" s="62"/>
      <c r="V1196" s="37" t="str">
        <f>IFERROR(__xludf.DUMMYFUNCTION("if(not(iserror(index(split(C1196, "" ""),2))), index(split(C1196, "" ""),1),"""")"),"")</f>
        <v/>
      </c>
      <c r="W1196" s="315" t="str">
        <f>IFERROR(__xludf.DUMMYFUNCTION("if(V1196="""",C1196,if(not(iserror(index(split(C1196, "" ""),3))), index(split(C1196, "" ""),3),index(split(C1196, "" ""),2)))"),"")</f>
        <v/>
      </c>
      <c r="X1196" s="38" t="b">
        <f t="shared" si="2"/>
        <v>0</v>
      </c>
      <c r="Y1196" s="38"/>
      <c r="Z1196" s="40"/>
      <c r="AA1196" s="40"/>
      <c r="AB1196" s="38"/>
      <c r="AC1196" s="38"/>
      <c r="AD1196" s="38"/>
      <c r="AE1196" s="38"/>
      <c r="AF1196" s="38"/>
      <c r="AG1196" s="38"/>
      <c r="AH1196" s="38"/>
      <c r="AI1196" s="38"/>
      <c r="AJ1196" s="38"/>
      <c r="AK1196" s="38"/>
      <c r="AL1196" s="38"/>
      <c r="AM1196" s="38"/>
      <c r="AN1196" s="38"/>
      <c r="AO1196" s="38"/>
      <c r="AP1196" s="38"/>
      <c r="AQ1196" s="38"/>
      <c r="AR1196" s="38"/>
      <c r="AS1196" s="38"/>
      <c r="AT1196" s="38"/>
      <c r="AU1196" s="38"/>
      <c r="AV1196" s="38"/>
      <c r="AW1196" s="38"/>
      <c r="AX1196" s="38"/>
      <c r="AY1196" s="38"/>
      <c r="AZ1196" s="38"/>
      <c r="BA1196" s="38"/>
      <c r="BB1196" s="38"/>
      <c r="BC1196" s="38"/>
      <c r="BD1196" s="38"/>
      <c r="BE1196" s="38"/>
      <c r="BF1196" s="38"/>
      <c r="BG1196" s="38"/>
    </row>
    <row r="1197">
      <c r="A1197" s="58"/>
      <c r="B1197" s="341"/>
      <c r="C1197" s="60"/>
      <c r="D1197" s="60"/>
      <c r="E1197" s="58"/>
      <c r="F1197" s="58"/>
      <c r="G1197" s="58"/>
      <c r="H1197" s="33" t="str">
        <f t="shared" si="1"/>
        <v/>
      </c>
      <c r="I1197" s="58"/>
      <c r="J1197" s="58"/>
      <c r="K1197" s="58"/>
      <c r="L1197" s="38"/>
      <c r="M1197" s="58"/>
      <c r="N1197" s="58"/>
      <c r="O1197" s="58"/>
      <c r="P1197" s="80"/>
      <c r="Q1197" s="77"/>
      <c r="R1197" s="58"/>
      <c r="S1197" s="62"/>
      <c r="T1197" s="84"/>
      <c r="U1197" s="62"/>
      <c r="V1197" s="37" t="str">
        <f>IFERROR(__xludf.DUMMYFUNCTION("if(not(iserror(index(split(C1197, "" ""),2))), index(split(C1197, "" ""),1),"""")"),"")</f>
        <v/>
      </c>
      <c r="W1197" s="315" t="str">
        <f>IFERROR(__xludf.DUMMYFUNCTION("if(V1197="""",C1197,if(not(iserror(index(split(C1197, "" ""),3))), index(split(C1197, "" ""),3),index(split(C1197, "" ""),2)))"),"")</f>
        <v/>
      </c>
      <c r="X1197" s="38" t="b">
        <f t="shared" si="2"/>
        <v>0</v>
      </c>
      <c r="Y1197" s="38"/>
      <c r="Z1197" s="40"/>
      <c r="AA1197" s="40"/>
      <c r="AB1197" s="38"/>
      <c r="AC1197" s="38"/>
      <c r="AD1197" s="38"/>
      <c r="AE1197" s="38"/>
      <c r="AF1197" s="38"/>
      <c r="AG1197" s="38"/>
      <c r="AH1197" s="38"/>
      <c r="AI1197" s="38"/>
      <c r="AJ1197" s="38"/>
      <c r="AK1197" s="38"/>
      <c r="AL1197" s="38"/>
      <c r="AM1197" s="38"/>
      <c r="AN1197" s="38"/>
      <c r="AO1197" s="38"/>
      <c r="AP1197" s="38"/>
      <c r="AQ1197" s="38"/>
      <c r="AR1197" s="38"/>
      <c r="AS1197" s="38"/>
      <c r="AT1197" s="38"/>
      <c r="AU1197" s="38"/>
      <c r="AV1197" s="38"/>
      <c r="AW1197" s="38"/>
      <c r="AX1197" s="38"/>
      <c r="AY1197" s="38"/>
      <c r="AZ1197" s="38"/>
      <c r="BA1197" s="38"/>
      <c r="BB1197" s="38"/>
      <c r="BC1197" s="38"/>
      <c r="BD1197" s="38"/>
      <c r="BE1197" s="38"/>
      <c r="BF1197" s="38"/>
      <c r="BG1197" s="38"/>
    </row>
    <row r="1198">
      <c r="A1198" s="58"/>
      <c r="B1198" s="341"/>
      <c r="C1198" s="60"/>
      <c r="D1198" s="60"/>
      <c r="E1198" s="58"/>
      <c r="F1198" s="58"/>
      <c r="G1198" s="58"/>
      <c r="H1198" s="33" t="str">
        <f t="shared" si="1"/>
        <v/>
      </c>
      <c r="I1198" s="58"/>
      <c r="J1198" s="58"/>
      <c r="K1198" s="58"/>
      <c r="L1198" s="38"/>
      <c r="M1198" s="58"/>
      <c r="N1198" s="58"/>
      <c r="O1198" s="58"/>
      <c r="P1198" s="80"/>
      <c r="Q1198" s="77"/>
      <c r="R1198" s="58"/>
      <c r="S1198" s="62"/>
      <c r="T1198" s="58"/>
      <c r="U1198" s="62"/>
      <c r="V1198" s="37" t="str">
        <f>IFERROR(__xludf.DUMMYFUNCTION("if(not(iserror(index(split(C1198, "" ""),2))), index(split(C1198, "" ""),1),"""")"),"")</f>
        <v/>
      </c>
      <c r="W1198" s="315" t="str">
        <f>IFERROR(__xludf.DUMMYFUNCTION("if(V1198="""",C1198,if(not(iserror(index(split(C1198, "" ""),3))), index(split(C1198, "" ""),3),index(split(C1198, "" ""),2)))"),"")</f>
        <v/>
      </c>
      <c r="X1198" s="38" t="b">
        <f t="shared" si="2"/>
        <v>0</v>
      </c>
      <c r="Y1198" s="38"/>
      <c r="Z1198" s="40"/>
      <c r="AA1198" s="40"/>
      <c r="AB1198" s="38"/>
      <c r="AC1198" s="38"/>
      <c r="AD1198" s="38"/>
      <c r="AE1198" s="38"/>
      <c r="AF1198" s="38"/>
      <c r="AG1198" s="38"/>
      <c r="AH1198" s="38"/>
      <c r="AI1198" s="38"/>
      <c r="AJ1198" s="38"/>
      <c r="AK1198" s="38"/>
      <c r="AL1198" s="38"/>
      <c r="AM1198" s="38"/>
      <c r="AN1198" s="38"/>
      <c r="AO1198" s="38"/>
      <c r="AP1198" s="38"/>
      <c r="AQ1198" s="38"/>
      <c r="AR1198" s="38"/>
      <c r="AS1198" s="38"/>
      <c r="AT1198" s="38"/>
      <c r="AU1198" s="38"/>
      <c r="AV1198" s="38"/>
      <c r="AW1198" s="38"/>
      <c r="AX1198" s="38"/>
      <c r="AY1198" s="38"/>
      <c r="AZ1198" s="38"/>
      <c r="BA1198" s="38"/>
      <c r="BB1198" s="38"/>
      <c r="BC1198" s="38"/>
      <c r="BD1198" s="38"/>
      <c r="BE1198" s="38"/>
      <c r="BF1198" s="38"/>
      <c r="BG1198" s="38"/>
    </row>
    <row r="1199">
      <c r="A1199" s="58"/>
      <c r="B1199" s="341"/>
      <c r="C1199" s="60"/>
      <c r="D1199" s="60"/>
      <c r="E1199" s="58"/>
      <c r="F1199" s="58"/>
      <c r="G1199" s="58"/>
      <c r="H1199" s="33" t="str">
        <f t="shared" si="1"/>
        <v/>
      </c>
      <c r="I1199" s="58"/>
      <c r="J1199" s="58"/>
      <c r="K1199" s="58"/>
      <c r="L1199" s="38"/>
      <c r="M1199" s="58"/>
      <c r="N1199" s="58"/>
      <c r="O1199" s="58"/>
      <c r="P1199" s="80"/>
      <c r="Q1199" s="77"/>
      <c r="R1199" s="58"/>
      <c r="S1199" s="58"/>
      <c r="T1199" s="84"/>
      <c r="U1199" s="62"/>
      <c r="V1199" s="37" t="str">
        <f>IFERROR(__xludf.DUMMYFUNCTION("if(not(iserror(index(split(C1199, "" ""),2))), index(split(C1199, "" ""),1),"""")"),"")</f>
        <v/>
      </c>
      <c r="W1199" s="315" t="str">
        <f>IFERROR(__xludf.DUMMYFUNCTION("if(V1199="""",C1199,if(not(iserror(index(split(C1199, "" ""),3))), index(split(C1199, "" ""),3),index(split(C1199, "" ""),2)))"),"")</f>
        <v/>
      </c>
      <c r="X1199" s="38" t="b">
        <f t="shared" si="2"/>
        <v>0</v>
      </c>
      <c r="Y1199" s="38"/>
      <c r="Z1199" s="40"/>
      <c r="AA1199" s="40"/>
      <c r="AB1199" s="38"/>
      <c r="AC1199" s="38"/>
      <c r="AD1199" s="38"/>
      <c r="AE1199" s="38"/>
      <c r="AF1199" s="38"/>
      <c r="AG1199" s="38"/>
      <c r="AH1199" s="38"/>
      <c r="AI1199" s="38"/>
      <c r="AJ1199" s="38"/>
      <c r="AK1199" s="38"/>
      <c r="AL1199" s="38"/>
      <c r="AM1199" s="38"/>
      <c r="AN1199" s="38"/>
      <c r="AO1199" s="38"/>
      <c r="AP1199" s="38"/>
      <c r="AQ1199" s="38"/>
      <c r="AR1199" s="38"/>
      <c r="AS1199" s="38"/>
      <c r="AT1199" s="38"/>
      <c r="AU1199" s="38"/>
      <c r="AV1199" s="38"/>
      <c r="AW1199" s="38"/>
      <c r="AX1199" s="38"/>
      <c r="AY1199" s="38"/>
      <c r="AZ1199" s="38"/>
      <c r="BA1199" s="38"/>
      <c r="BB1199" s="38"/>
      <c r="BC1199" s="38"/>
      <c r="BD1199" s="38"/>
      <c r="BE1199" s="38"/>
      <c r="BF1199" s="38"/>
      <c r="BG1199" s="38"/>
    </row>
    <row r="1200">
      <c r="A1200" s="91"/>
      <c r="B1200" s="383"/>
      <c r="C1200" s="146"/>
      <c r="D1200" s="146"/>
      <c r="E1200" s="91"/>
      <c r="F1200" s="91"/>
      <c r="G1200" s="91"/>
      <c r="H1200" s="33" t="str">
        <f t="shared" si="1"/>
        <v/>
      </c>
      <c r="I1200" s="91"/>
      <c r="J1200" s="91"/>
      <c r="K1200" s="91"/>
      <c r="L1200" s="38"/>
      <c r="M1200" s="91"/>
      <c r="N1200" s="91"/>
      <c r="O1200" s="91"/>
      <c r="P1200" s="95"/>
      <c r="Q1200" s="15"/>
      <c r="R1200" s="58"/>
      <c r="S1200" s="58"/>
      <c r="T1200" s="84"/>
      <c r="U1200" s="62"/>
      <c r="V1200" s="37" t="str">
        <f>IFERROR(__xludf.DUMMYFUNCTION("if(not(iserror(index(split(C1200, "" ""),2))), index(split(C1200, "" ""),1),"""")"),"")</f>
        <v/>
      </c>
      <c r="W1200" s="315" t="str">
        <f>IFERROR(__xludf.DUMMYFUNCTION("if(V1200="""",C1200,if(not(iserror(index(split(C1200, "" ""),3))), index(split(C1200, "" ""),3),index(split(C1200, "" ""),2)))"),"")</f>
        <v/>
      </c>
      <c r="X1200" s="38" t="b">
        <f t="shared" si="2"/>
        <v>0</v>
      </c>
      <c r="Y1200" s="38"/>
      <c r="Z1200" s="40"/>
      <c r="AA1200" s="40"/>
      <c r="AB1200" s="38"/>
      <c r="AC1200" s="38"/>
      <c r="AD1200" s="38"/>
      <c r="AE1200" s="38"/>
      <c r="AF1200" s="38"/>
      <c r="AG1200" s="38"/>
      <c r="AH1200" s="38"/>
      <c r="AI1200" s="38"/>
      <c r="AJ1200" s="38"/>
      <c r="AK1200" s="38"/>
      <c r="AL1200" s="38"/>
      <c r="AM1200" s="38"/>
      <c r="AN1200" s="38"/>
      <c r="AO1200" s="38"/>
      <c r="AP1200" s="38"/>
      <c r="AQ1200" s="38"/>
      <c r="AR1200" s="38"/>
      <c r="AS1200" s="38"/>
      <c r="AT1200" s="38"/>
      <c r="AU1200" s="38"/>
      <c r="AV1200" s="38"/>
      <c r="AW1200" s="38"/>
      <c r="AX1200" s="38"/>
      <c r="AY1200" s="38"/>
      <c r="AZ1200" s="38"/>
      <c r="BA1200" s="38"/>
      <c r="BB1200" s="38"/>
      <c r="BC1200" s="38"/>
      <c r="BD1200" s="38"/>
      <c r="BE1200" s="38"/>
      <c r="BF1200" s="38"/>
      <c r="BG1200" s="38"/>
    </row>
    <row r="1201">
      <c r="A1201" s="58"/>
      <c r="B1201" s="341"/>
      <c r="C1201" s="60"/>
      <c r="D1201" s="60"/>
      <c r="E1201" s="58"/>
      <c r="F1201" s="58"/>
      <c r="G1201" s="58"/>
      <c r="H1201" s="33" t="str">
        <f t="shared" si="1"/>
        <v/>
      </c>
      <c r="I1201" s="58"/>
      <c r="J1201" s="58"/>
      <c r="K1201" s="58"/>
      <c r="L1201" s="38"/>
      <c r="M1201" s="58"/>
      <c r="N1201" s="58"/>
      <c r="O1201" s="58"/>
      <c r="P1201" s="80"/>
      <c r="Q1201" s="77"/>
      <c r="R1201" s="62"/>
      <c r="S1201" s="62"/>
      <c r="T1201" s="84"/>
      <c r="U1201" s="62"/>
      <c r="V1201" s="37" t="str">
        <f>IFERROR(__xludf.DUMMYFUNCTION("if(not(iserror(index(split(C1201, "" ""),2))), index(split(C1201, "" ""),1),"""")"),"")</f>
        <v/>
      </c>
      <c r="W1201" s="315" t="str">
        <f>IFERROR(__xludf.DUMMYFUNCTION("if(V1201="""",C1201,if(not(iserror(index(split(C1201, "" ""),3))), index(split(C1201, "" ""),3),index(split(C1201, "" ""),2)))"),"")</f>
        <v/>
      </c>
      <c r="X1201" s="38" t="b">
        <f t="shared" si="2"/>
        <v>0</v>
      </c>
      <c r="Y1201" s="38"/>
      <c r="Z1201" s="40"/>
      <c r="AA1201" s="40"/>
      <c r="AB1201" s="38"/>
      <c r="AC1201" s="38"/>
      <c r="AD1201" s="38"/>
      <c r="AE1201" s="38"/>
      <c r="AF1201" s="38"/>
      <c r="AG1201" s="38"/>
      <c r="AH1201" s="38"/>
      <c r="AI1201" s="38"/>
      <c r="AJ1201" s="38"/>
      <c r="AK1201" s="38"/>
      <c r="AL1201" s="38"/>
      <c r="AM1201" s="38"/>
      <c r="AN1201" s="38"/>
      <c r="AO1201" s="38"/>
      <c r="AP1201" s="38"/>
      <c r="AQ1201" s="38"/>
      <c r="AR1201" s="38"/>
      <c r="AS1201" s="38"/>
      <c r="AT1201" s="38"/>
      <c r="AU1201" s="38"/>
      <c r="AV1201" s="38"/>
      <c r="AW1201" s="38"/>
      <c r="AX1201" s="38"/>
      <c r="AY1201" s="38"/>
      <c r="AZ1201" s="38"/>
      <c r="BA1201" s="38"/>
      <c r="BB1201" s="38"/>
      <c r="BC1201" s="38"/>
      <c r="BD1201" s="38"/>
      <c r="BE1201" s="38"/>
      <c r="BF1201" s="38"/>
      <c r="BG1201" s="38"/>
    </row>
    <row r="1202">
      <c r="A1202" s="58"/>
      <c r="B1202" s="341"/>
      <c r="C1202" s="60"/>
      <c r="D1202" s="60"/>
      <c r="E1202" s="58"/>
      <c r="F1202" s="58"/>
      <c r="G1202" s="58"/>
      <c r="H1202" s="33" t="str">
        <f t="shared" si="1"/>
        <v/>
      </c>
      <c r="I1202" s="58"/>
      <c r="J1202" s="58"/>
      <c r="K1202" s="58"/>
      <c r="L1202" s="38"/>
      <c r="M1202" s="58"/>
      <c r="N1202" s="58"/>
      <c r="O1202" s="58"/>
      <c r="P1202" s="80"/>
      <c r="Q1202" s="77"/>
      <c r="R1202" s="62"/>
      <c r="S1202" s="58"/>
      <c r="T1202" s="84"/>
      <c r="U1202" s="62"/>
      <c r="V1202" s="37" t="str">
        <f>IFERROR(__xludf.DUMMYFUNCTION("if(not(iserror(index(split(C1202, "" ""),2))), index(split(C1202, "" ""),1),"""")"),"")</f>
        <v/>
      </c>
      <c r="W1202" s="315" t="str">
        <f>IFERROR(__xludf.DUMMYFUNCTION("if(V1202="""",C1202,if(not(iserror(index(split(C1202, "" ""),3))), index(split(C1202, "" ""),3),index(split(C1202, "" ""),2)))"),"")</f>
        <v/>
      </c>
      <c r="X1202" s="38" t="b">
        <f t="shared" si="2"/>
        <v>0</v>
      </c>
      <c r="Y1202" s="38"/>
      <c r="Z1202" s="40"/>
      <c r="AA1202" s="40"/>
      <c r="AB1202" s="38"/>
      <c r="AC1202" s="38"/>
      <c r="AD1202" s="38"/>
      <c r="AE1202" s="38"/>
      <c r="AF1202" s="38"/>
      <c r="AG1202" s="38"/>
      <c r="AH1202" s="38"/>
      <c r="AI1202" s="38"/>
      <c r="AJ1202" s="38"/>
      <c r="AK1202" s="38"/>
      <c r="AL1202" s="38"/>
      <c r="AM1202" s="38"/>
      <c r="AN1202" s="38"/>
      <c r="AO1202" s="38"/>
      <c r="AP1202" s="38"/>
      <c r="AQ1202" s="38"/>
      <c r="AR1202" s="38"/>
      <c r="AS1202" s="38"/>
      <c r="AT1202" s="38"/>
      <c r="AU1202" s="38"/>
      <c r="AV1202" s="38"/>
      <c r="AW1202" s="38"/>
      <c r="AX1202" s="38"/>
      <c r="AY1202" s="38"/>
      <c r="AZ1202" s="38"/>
      <c r="BA1202" s="38"/>
      <c r="BB1202" s="38"/>
      <c r="BC1202" s="38"/>
      <c r="BD1202" s="38"/>
      <c r="BE1202" s="38"/>
      <c r="BF1202" s="38"/>
      <c r="BG1202" s="38"/>
    </row>
    <row r="1203">
      <c r="A1203" s="58"/>
      <c r="B1203" s="341"/>
      <c r="C1203" s="60"/>
      <c r="D1203" s="60"/>
      <c r="E1203" s="58"/>
      <c r="F1203" s="58"/>
      <c r="G1203" s="58"/>
      <c r="H1203" s="33" t="str">
        <f t="shared" si="1"/>
        <v/>
      </c>
      <c r="I1203" s="58"/>
      <c r="J1203" s="58"/>
      <c r="K1203" s="58"/>
      <c r="L1203" s="38"/>
      <c r="M1203" s="58"/>
      <c r="N1203" s="58"/>
      <c r="O1203" s="58"/>
      <c r="P1203" s="80"/>
      <c r="Q1203" s="77"/>
      <c r="R1203" s="62"/>
      <c r="S1203" s="62"/>
      <c r="T1203" s="62"/>
      <c r="U1203" s="62"/>
      <c r="V1203" s="37" t="str">
        <f>IFERROR(__xludf.DUMMYFUNCTION("if(not(iserror(index(split(C1203, "" ""),2))), index(split(C1203, "" ""),1),"""")"),"")</f>
        <v/>
      </c>
      <c r="W1203" s="315" t="str">
        <f>IFERROR(__xludf.DUMMYFUNCTION("if(V1203="""",C1203,if(not(iserror(index(split(C1203, "" ""),3))), index(split(C1203, "" ""),3),index(split(C1203, "" ""),2)))"),"")</f>
        <v/>
      </c>
      <c r="X1203" s="38" t="b">
        <f t="shared" si="2"/>
        <v>0</v>
      </c>
      <c r="Y1203" s="38"/>
      <c r="Z1203" s="40"/>
      <c r="AA1203" s="40"/>
      <c r="AB1203" s="38"/>
      <c r="AC1203" s="38"/>
      <c r="AD1203" s="38"/>
      <c r="AE1203" s="38"/>
      <c r="AF1203" s="38"/>
      <c r="AG1203" s="38"/>
      <c r="AH1203" s="38"/>
      <c r="AI1203" s="38"/>
      <c r="AJ1203" s="38"/>
      <c r="AK1203" s="38"/>
      <c r="AL1203" s="38"/>
      <c r="AM1203" s="38"/>
      <c r="AN1203" s="38"/>
      <c r="AO1203" s="38"/>
      <c r="AP1203" s="38"/>
      <c r="AQ1203" s="38"/>
      <c r="AR1203" s="38"/>
      <c r="AS1203" s="38"/>
      <c r="AT1203" s="38"/>
      <c r="AU1203" s="38"/>
      <c r="AV1203" s="38"/>
      <c r="AW1203" s="38"/>
      <c r="AX1203" s="38"/>
      <c r="AY1203" s="38"/>
      <c r="AZ1203" s="38"/>
      <c r="BA1203" s="38"/>
      <c r="BB1203" s="38"/>
      <c r="BC1203" s="38"/>
      <c r="BD1203" s="38"/>
      <c r="BE1203" s="38"/>
      <c r="BF1203" s="38"/>
      <c r="BG1203" s="38"/>
    </row>
    <row r="1204">
      <c r="A1204" s="58"/>
      <c r="B1204" s="341"/>
      <c r="C1204" s="60"/>
      <c r="D1204" s="60"/>
      <c r="E1204" s="58"/>
      <c r="F1204" s="58"/>
      <c r="G1204" s="58"/>
      <c r="H1204" s="33" t="str">
        <f t="shared" si="1"/>
        <v/>
      </c>
      <c r="I1204" s="58"/>
      <c r="J1204" s="58"/>
      <c r="K1204" s="58"/>
      <c r="L1204" s="38"/>
      <c r="M1204" s="58"/>
      <c r="N1204" s="58"/>
      <c r="O1204" s="58"/>
      <c r="P1204" s="80"/>
      <c r="Q1204" s="77"/>
      <c r="R1204" s="62"/>
      <c r="S1204" s="62"/>
      <c r="T1204" s="62"/>
      <c r="U1204" s="62"/>
      <c r="V1204" s="37" t="str">
        <f>IFERROR(__xludf.DUMMYFUNCTION("if(not(iserror(index(split(C1204, "" ""),2))), index(split(C1204, "" ""),1),"""")"),"")</f>
        <v/>
      </c>
      <c r="W1204" s="315" t="str">
        <f>IFERROR(__xludf.DUMMYFUNCTION("if(V1204="""",C1204,if(not(iserror(index(split(C1204, "" ""),3))), index(split(C1204, "" ""),3),index(split(C1204, "" ""),2)))"),"")</f>
        <v/>
      </c>
      <c r="X1204" s="38" t="b">
        <f t="shared" si="2"/>
        <v>0</v>
      </c>
      <c r="Y1204" s="38"/>
      <c r="Z1204" s="40"/>
      <c r="AA1204" s="40"/>
      <c r="AB1204" s="38"/>
      <c r="AC1204" s="38"/>
      <c r="AD1204" s="38"/>
      <c r="AE1204" s="38"/>
      <c r="AF1204" s="38"/>
      <c r="AG1204" s="38"/>
      <c r="AH1204" s="38"/>
      <c r="AI1204" s="38"/>
      <c r="AJ1204" s="38"/>
      <c r="AK1204" s="38"/>
      <c r="AL1204" s="38"/>
      <c r="AM1204" s="38"/>
      <c r="AN1204" s="38"/>
      <c r="AO1204" s="38"/>
      <c r="AP1204" s="38"/>
      <c r="AQ1204" s="38"/>
      <c r="AR1204" s="38"/>
      <c r="AS1204" s="38"/>
      <c r="AT1204" s="38"/>
      <c r="AU1204" s="38"/>
      <c r="AV1204" s="38"/>
      <c r="AW1204" s="38"/>
      <c r="AX1204" s="38"/>
      <c r="AY1204" s="38"/>
      <c r="AZ1204" s="38"/>
      <c r="BA1204" s="38"/>
      <c r="BB1204" s="38"/>
      <c r="BC1204" s="38"/>
      <c r="BD1204" s="38"/>
      <c r="BE1204" s="38"/>
      <c r="BF1204" s="38"/>
      <c r="BG1204" s="38"/>
    </row>
    <row r="1205">
      <c r="B1205" s="341"/>
      <c r="C1205" s="60"/>
      <c r="D1205" s="60"/>
      <c r="E1205" s="58"/>
      <c r="F1205" s="58"/>
      <c r="G1205" s="58"/>
      <c r="H1205" s="33" t="str">
        <f t="shared" si="1"/>
        <v/>
      </c>
      <c r="I1205" s="58"/>
      <c r="J1205" s="58"/>
      <c r="K1205" s="58"/>
      <c r="L1205" s="38"/>
      <c r="M1205" s="58"/>
      <c r="N1205" s="58"/>
      <c r="O1205" s="58"/>
      <c r="P1205" s="80"/>
      <c r="Q1205" s="77"/>
      <c r="R1205" s="62"/>
      <c r="S1205" s="62"/>
      <c r="T1205" s="62"/>
      <c r="U1205" s="62"/>
      <c r="V1205" s="37" t="str">
        <f>IFERROR(__xludf.DUMMYFUNCTION("if(not(iserror(index(split(C1205, "" ""),2))), index(split(C1205, "" ""),1),"""")"),"")</f>
        <v/>
      </c>
      <c r="W1205" s="315" t="str">
        <f>IFERROR(__xludf.DUMMYFUNCTION("if(V1205="""",C1205,if(not(iserror(index(split(C1205, "" ""),3))), index(split(C1205, "" ""),3),index(split(C1205, "" ""),2)))"),"")</f>
        <v/>
      </c>
      <c r="X1205" s="38" t="b">
        <f t="shared" si="2"/>
        <v>0</v>
      </c>
      <c r="Y1205" s="38"/>
      <c r="Z1205" s="40"/>
      <c r="AA1205" s="40"/>
      <c r="AB1205" s="38"/>
      <c r="AC1205" s="38"/>
      <c r="AD1205" s="38"/>
      <c r="AE1205" s="38"/>
      <c r="AF1205" s="38"/>
      <c r="AG1205" s="38"/>
      <c r="AH1205" s="38"/>
      <c r="AI1205" s="38"/>
      <c r="AJ1205" s="38"/>
      <c r="AK1205" s="38"/>
      <c r="AL1205" s="38"/>
      <c r="AM1205" s="38"/>
      <c r="AN1205" s="38"/>
      <c r="AO1205" s="38"/>
      <c r="AP1205" s="38"/>
      <c r="AQ1205" s="38"/>
      <c r="AR1205" s="38"/>
      <c r="AS1205" s="38"/>
      <c r="AT1205" s="38"/>
      <c r="AU1205" s="38"/>
      <c r="AV1205" s="38"/>
      <c r="AW1205" s="38"/>
      <c r="AX1205" s="38"/>
      <c r="AY1205" s="38"/>
      <c r="AZ1205" s="38"/>
      <c r="BA1205" s="38"/>
      <c r="BB1205" s="38"/>
      <c r="BC1205" s="38"/>
      <c r="BD1205" s="38"/>
      <c r="BE1205" s="38"/>
      <c r="BF1205" s="38"/>
      <c r="BG1205" s="38"/>
    </row>
    <row r="1206">
      <c r="B1206" s="341"/>
      <c r="C1206" s="60"/>
      <c r="D1206" s="60"/>
      <c r="E1206" s="58"/>
      <c r="F1206" s="58"/>
      <c r="G1206" s="58"/>
      <c r="H1206" s="33" t="str">
        <f t="shared" si="1"/>
        <v/>
      </c>
      <c r="I1206" s="58"/>
      <c r="J1206" s="58"/>
      <c r="K1206" s="58"/>
      <c r="L1206" s="38"/>
      <c r="M1206" s="58"/>
      <c r="N1206" s="58"/>
      <c r="O1206" s="58"/>
      <c r="P1206" s="80"/>
      <c r="Q1206" s="77"/>
      <c r="R1206" s="62"/>
      <c r="S1206" s="62"/>
      <c r="T1206" s="62"/>
      <c r="U1206" s="62"/>
      <c r="V1206" s="37" t="str">
        <f>IFERROR(__xludf.DUMMYFUNCTION("if(not(iserror(index(split(C1206, "" ""),2))), index(split(C1206, "" ""),1),"""")"),"")</f>
        <v/>
      </c>
      <c r="W1206" s="315" t="str">
        <f>IFERROR(__xludf.DUMMYFUNCTION("if(V1206="""",C1206,if(not(iserror(index(split(C1206, "" ""),3))), index(split(C1206, "" ""),3),index(split(C1206, "" ""),2)))"),"")</f>
        <v/>
      </c>
      <c r="X1206" s="38" t="b">
        <f t="shared" si="2"/>
        <v>0</v>
      </c>
      <c r="Y1206" s="38"/>
      <c r="Z1206" s="40"/>
      <c r="AA1206" s="40"/>
      <c r="AB1206" s="38"/>
      <c r="AC1206" s="38"/>
      <c r="AD1206" s="38"/>
      <c r="AE1206" s="38"/>
      <c r="AF1206" s="38"/>
      <c r="AG1206" s="38"/>
      <c r="AH1206" s="38"/>
      <c r="AI1206" s="38"/>
      <c r="AJ1206" s="38"/>
      <c r="AK1206" s="38"/>
      <c r="AL1206" s="38"/>
      <c r="AM1206" s="38"/>
      <c r="AN1206" s="38"/>
      <c r="AO1206" s="38"/>
      <c r="AP1206" s="38"/>
      <c r="AQ1206" s="38"/>
      <c r="AR1206" s="38"/>
      <c r="AS1206" s="38"/>
      <c r="AT1206" s="38"/>
      <c r="AU1206" s="38"/>
      <c r="AV1206" s="38"/>
      <c r="AW1206" s="38"/>
      <c r="AX1206" s="38"/>
      <c r="AY1206" s="38"/>
      <c r="AZ1206" s="38"/>
      <c r="BA1206" s="38"/>
      <c r="BB1206" s="38"/>
      <c r="BC1206" s="38"/>
      <c r="BD1206" s="38"/>
      <c r="BE1206" s="38"/>
      <c r="BF1206" s="38"/>
      <c r="BG1206" s="38"/>
    </row>
    <row r="1207">
      <c r="B1207" s="341"/>
      <c r="C1207" s="60"/>
      <c r="D1207" s="60"/>
      <c r="E1207" s="58"/>
      <c r="F1207" s="58"/>
      <c r="G1207" s="58"/>
      <c r="H1207" s="33" t="str">
        <f t="shared" si="1"/>
        <v/>
      </c>
      <c r="I1207" s="58"/>
      <c r="J1207" s="58"/>
      <c r="K1207" s="58"/>
      <c r="L1207" s="38"/>
      <c r="M1207" s="58"/>
      <c r="N1207" s="58"/>
      <c r="O1207" s="58"/>
      <c r="P1207" s="80"/>
      <c r="Q1207" s="77"/>
      <c r="R1207" s="58"/>
      <c r="S1207" s="58"/>
      <c r="T1207" s="84"/>
      <c r="U1207" s="62"/>
      <c r="V1207" s="37" t="str">
        <f>IFERROR(__xludf.DUMMYFUNCTION("if(not(iserror(index(split(C1207, "" ""),2))), index(split(C1207, "" ""),1),"""")"),"")</f>
        <v/>
      </c>
      <c r="W1207" s="315" t="str">
        <f>IFERROR(__xludf.DUMMYFUNCTION("if(V1207="""",C1207,if(not(iserror(index(split(C1207, "" ""),3))), index(split(C1207, "" ""),3),index(split(C1207, "" ""),2)))"),"")</f>
        <v/>
      </c>
      <c r="X1207" s="38" t="b">
        <f t="shared" si="2"/>
        <v>0</v>
      </c>
      <c r="Y1207" s="38"/>
      <c r="Z1207" s="40"/>
      <c r="AA1207" s="40"/>
      <c r="AB1207" s="38"/>
      <c r="AC1207" s="38"/>
      <c r="AD1207" s="38"/>
      <c r="AE1207" s="38"/>
      <c r="AF1207" s="38"/>
      <c r="AG1207" s="38"/>
      <c r="AH1207" s="38"/>
      <c r="AI1207" s="38"/>
      <c r="AJ1207" s="38"/>
      <c r="AK1207" s="38"/>
      <c r="AL1207" s="38"/>
      <c r="AM1207" s="38"/>
      <c r="AN1207" s="38"/>
      <c r="AO1207" s="38"/>
      <c r="AP1207" s="38"/>
      <c r="AQ1207" s="38"/>
      <c r="AR1207" s="38"/>
      <c r="AS1207" s="38"/>
      <c r="AT1207" s="38"/>
      <c r="AU1207" s="38"/>
      <c r="AV1207" s="38"/>
      <c r="AW1207" s="38"/>
      <c r="AX1207" s="38"/>
      <c r="AY1207" s="38"/>
      <c r="AZ1207" s="38"/>
      <c r="BA1207" s="38"/>
      <c r="BB1207" s="38"/>
      <c r="BC1207" s="38"/>
      <c r="BD1207" s="38"/>
      <c r="BE1207" s="38"/>
      <c r="BF1207" s="38"/>
      <c r="BG1207" s="38"/>
    </row>
    <row r="1208">
      <c r="A1208" s="58"/>
      <c r="B1208" s="341"/>
      <c r="C1208" s="60"/>
      <c r="D1208" s="60"/>
      <c r="E1208" s="58"/>
      <c r="F1208" s="58"/>
      <c r="G1208" s="58"/>
      <c r="H1208" s="33" t="str">
        <f t="shared" si="1"/>
        <v/>
      </c>
      <c r="I1208" s="58"/>
      <c r="J1208" s="58"/>
      <c r="K1208" s="58"/>
      <c r="L1208" s="38"/>
      <c r="M1208" s="58"/>
      <c r="N1208" s="58"/>
      <c r="O1208" s="58"/>
      <c r="P1208" s="80"/>
      <c r="Q1208" s="77"/>
      <c r="R1208" s="58"/>
      <c r="S1208" s="58"/>
      <c r="T1208" s="84"/>
      <c r="U1208" s="62"/>
      <c r="V1208" s="37" t="str">
        <f>IFERROR(__xludf.DUMMYFUNCTION("if(not(iserror(index(split(C1208, "" ""),2))), index(split(C1208, "" ""),1),"""")"),"")</f>
        <v/>
      </c>
      <c r="W1208" s="315" t="str">
        <f>IFERROR(__xludf.DUMMYFUNCTION("if(V1208="""",C1208,if(not(iserror(index(split(C1208, "" ""),3))), index(split(C1208, "" ""),3),index(split(C1208, "" ""),2)))"),"")</f>
        <v/>
      </c>
      <c r="X1208" s="38" t="b">
        <f t="shared" si="2"/>
        <v>0</v>
      </c>
      <c r="Y1208" s="38"/>
      <c r="Z1208" s="40"/>
      <c r="AA1208" s="40"/>
      <c r="AB1208" s="38"/>
      <c r="AC1208" s="38"/>
      <c r="AD1208" s="38"/>
      <c r="AE1208" s="38"/>
      <c r="AF1208" s="38"/>
      <c r="AG1208" s="38"/>
      <c r="AH1208" s="38"/>
      <c r="AI1208" s="38"/>
      <c r="AJ1208" s="38"/>
      <c r="AK1208" s="38"/>
      <c r="AL1208" s="38"/>
      <c r="AM1208" s="38"/>
      <c r="AN1208" s="38"/>
      <c r="AO1208" s="38"/>
      <c r="AP1208" s="38"/>
      <c r="AQ1208" s="38"/>
      <c r="AR1208" s="38"/>
      <c r="AS1208" s="38"/>
      <c r="AT1208" s="38"/>
      <c r="AU1208" s="38"/>
      <c r="AV1208" s="38"/>
      <c r="AW1208" s="38"/>
      <c r="AX1208" s="38"/>
      <c r="AY1208" s="38"/>
      <c r="AZ1208" s="38"/>
      <c r="BA1208" s="38"/>
      <c r="BB1208" s="38"/>
      <c r="BC1208" s="38"/>
      <c r="BD1208" s="38"/>
      <c r="BE1208" s="38"/>
      <c r="BF1208" s="38"/>
      <c r="BG1208" s="38"/>
    </row>
    <row r="1209">
      <c r="A1209" s="58"/>
      <c r="B1209" s="341"/>
      <c r="C1209" s="60"/>
      <c r="D1209" s="60"/>
      <c r="E1209" s="58"/>
      <c r="F1209" s="58"/>
      <c r="G1209" s="58"/>
      <c r="H1209" s="33" t="str">
        <f t="shared" si="1"/>
        <v/>
      </c>
      <c r="I1209" s="58"/>
      <c r="J1209" s="58"/>
      <c r="K1209" s="58"/>
      <c r="L1209" s="38"/>
      <c r="M1209" s="58"/>
      <c r="N1209" s="58"/>
      <c r="O1209" s="58"/>
      <c r="P1209" s="80"/>
      <c r="Q1209" s="77"/>
      <c r="R1209" s="62"/>
      <c r="S1209" s="62"/>
      <c r="T1209" s="62"/>
      <c r="U1209" s="62"/>
      <c r="V1209" s="37" t="str">
        <f>IFERROR(__xludf.DUMMYFUNCTION("if(not(iserror(index(split(C1209, "" ""),2))), index(split(C1209, "" ""),1),"""")"),"")</f>
        <v/>
      </c>
      <c r="W1209" s="315" t="str">
        <f>IFERROR(__xludf.DUMMYFUNCTION("if(V1209="""",C1209,if(not(iserror(index(split(C1209, "" ""),3))), index(split(C1209, "" ""),3),index(split(C1209, "" ""),2)))"),"")</f>
        <v/>
      </c>
      <c r="X1209" s="38" t="b">
        <f t="shared" si="2"/>
        <v>0</v>
      </c>
      <c r="Y1209" s="38"/>
      <c r="Z1209" s="40"/>
      <c r="AA1209" s="40"/>
      <c r="AB1209" s="38"/>
      <c r="AC1209" s="38"/>
      <c r="AD1209" s="38"/>
      <c r="AE1209" s="38"/>
      <c r="AF1209" s="38"/>
      <c r="AG1209" s="38"/>
      <c r="AH1209" s="38"/>
      <c r="AI1209" s="38"/>
      <c r="AJ1209" s="38"/>
      <c r="AK1209" s="38"/>
      <c r="AL1209" s="38"/>
      <c r="AM1209" s="38"/>
      <c r="AN1209" s="38"/>
      <c r="AO1209" s="38"/>
      <c r="AP1209" s="38"/>
      <c r="AQ1209" s="38"/>
      <c r="AR1209" s="38"/>
      <c r="AS1209" s="38"/>
      <c r="AT1209" s="38"/>
      <c r="AU1209" s="38"/>
      <c r="AV1209" s="38"/>
      <c r="AW1209" s="38"/>
      <c r="AX1209" s="38"/>
      <c r="AY1209" s="38"/>
      <c r="AZ1209" s="38"/>
      <c r="BA1209" s="38"/>
      <c r="BB1209" s="38"/>
      <c r="BC1209" s="38"/>
      <c r="BD1209" s="38"/>
      <c r="BE1209" s="38"/>
      <c r="BF1209" s="38"/>
      <c r="BG1209" s="38"/>
    </row>
    <row r="1210">
      <c r="A1210" s="58"/>
      <c r="B1210" s="341"/>
      <c r="C1210" s="60"/>
      <c r="D1210" s="60"/>
      <c r="E1210" s="58"/>
      <c r="F1210" s="58"/>
      <c r="G1210" s="58"/>
      <c r="H1210" s="33" t="str">
        <f t="shared" si="1"/>
        <v/>
      </c>
      <c r="I1210" s="58"/>
      <c r="J1210" s="58"/>
      <c r="K1210" s="58"/>
      <c r="L1210" s="38"/>
      <c r="M1210" s="58"/>
      <c r="N1210" s="58"/>
      <c r="O1210" s="58"/>
      <c r="P1210" s="80"/>
      <c r="Q1210" s="77"/>
      <c r="R1210" s="62"/>
      <c r="S1210" s="62"/>
      <c r="T1210" s="62"/>
      <c r="U1210" s="62"/>
      <c r="V1210" s="37" t="str">
        <f>IFERROR(__xludf.DUMMYFUNCTION("if(not(iserror(index(split(C1210, "" ""),2))), index(split(C1210, "" ""),1),"""")"),"")</f>
        <v/>
      </c>
      <c r="W1210" s="315" t="str">
        <f>IFERROR(__xludf.DUMMYFUNCTION("if(V1210="""",C1210,if(not(iserror(index(split(C1210, "" ""),3))), index(split(C1210, "" ""),3),index(split(C1210, "" ""),2)))"),"")</f>
        <v/>
      </c>
      <c r="X1210" s="38" t="b">
        <f t="shared" si="2"/>
        <v>0</v>
      </c>
      <c r="Y1210" s="38"/>
      <c r="Z1210" s="40"/>
      <c r="AA1210" s="40"/>
      <c r="AB1210" s="38"/>
      <c r="AC1210" s="38"/>
      <c r="AD1210" s="38"/>
      <c r="AE1210" s="38"/>
      <c r="AF1210" s="38"/>
      <c r="AG1210" s="38"/>
      <c r="AH1210" s="38"/>
      <c r="AI1210" s="38"/>
      <c r="AJ1210" s="38"/>
      <c r="AK1210" s="38"/>
      <c r="AL1210" s="38"/>
      <c r="AM1210" s="38"/>
      <c r="AN1210" s="38"/>
      <c r="AO1210" s="38"/>
      <c r="AP1210" s="38"/>
      <c r="AQ1210" s="38"/>
      <c r="AR1210" s="38"/>
      <c r="AS1210" s="38"/>
      <c r="AT1210" s="38"/>
      <c r="AU1210" s="38"/>
      <c r="AV1210" s="38"/>
      <c r="AW1210" s="38"/>
      <c r="AX1210" s="38"/>
      <c r="AY1210" s="38"/>
      <c r="AZ1210" s="38"/>
      <c r="BA1210" s="38"/>
      <c r="BB1210" s="38"/>
      <c r="BC1210" s="38"/>
      <c r="BD1210" s="38"/>
      <c r="BE1210" s="38"/>
      <c r="BF1210" s="38"/>
      <c r="BG1210" s="38"/>
    </row>
    <row r="1211">
      <c r="B1211" s="341"/>
      <c r="C1211" s="60"/>
      <c r="D1211" s="60"/>
      <c r="E1211" s="58"/>
      <c r="F1211" s="58"/>
      <c r="G1211" s="58"/>
      <c r="H1211" s="33" t="str">
        <f t="shared" si="1"/>
        <v/>
      </c>
      <c r="I1211" s="58"/>
      <c r="J1211" s="58"/>
      <c r="K1211" s="58"/>
      <c r="L1211" s="38"/>
      <c r="M1211" s="58"/>
      <c r="N1211" s="58"/>
      <c r="O1211" s="58"/>
      <c r="P1211" s="80"/>
      <c r="Q1211" s="77"/>
      <c r="R1211" s="62"/>
      <c r="S1211" s="62"/>
      <c r="T1211" s="62"/>
      <c r="U1211" s="62"/>
      <c r="V1211" s="37" t="str">
        <f>IFERROR(__xludf.DUMMYFUNCTION("if(not(iserror(index(split(C1211, "" ""),2))), index(split(C1211, "" ""),1),"""")"),"")</f>
        <v/>
      </c>
      <c r="W1211" s="315" t="str">
        <f>IFERROR(__xludf.DUMMYFUNCTION("if(V1211="""",C1211,if(not(iserror(index(split(C1211, "" ""),3))), index(split(C1211, "" ""),3),index(split(C1211, "" ""),2)))"),"")</f>
        <v/>
      </c>
      <c r="X1211" s="38" t="b">
        <f t="shared" si="2"/>
        <v>0</v>
      </c>
      <c r="Y1211" s="38"/>
      <c r="Z1211" s="40"/>
      <c r="AA1211" s="40"/>
      <c r="AB1211" s="38"/>
      <c r="AC1211" s="38"/>
      <c r="AD1211" s="38"/>
      <c r="AE1211" s="38"/>
      <c r="AF1211" s="38"/>
      <c r="AG1211" s="38"/>
      <c r="AH1211" s="38"/>
      <c r="AI1211" s="38"/>
      <c r="AJ1211" s="38"/>
      <c r="AK1211" s="38"/>
      <c r="AL1211" s="38"/>
      <c r="AM1211" s="38"/>
      <c r="AN1211" s="38"/>
      <c r="AO1211" s="38"/>
      <c r="AP1211" s="38"/>
      <c r="AQ1211" s="38"/>
      <c r="AR1211" s="38"/>
      <c r="AS1211" s="38"/>
      <c r="AT1211" s="38"/>
      <c r="AU1211" s="38"/>
      <c r="AV1211" s="38"/>
      <c r="AW1211" s="38"/>
      <c r="AX1211" s="38"/>
      <c r="AY1211" s="38"/>
      <c r="AZ1211" s="38"/>
      <c r="BA1211" s="38"/>
      <c r="BB1211" s="38"/>
      <c r="BC1211" s="38"/>
      <c r="BD1211" s="38"/>
      <c r="BE1211" s="38"/>
      <c r="BF1211" s="38"/>
      <c r="BG1211" s="38"/>
    </row>
    <row r="1212">
      <c r="B1212" s="341"/>
      <c r="C1212" s="60"/>
      <c r="D1212" s="60"/>
      <c r="E1212" s="58"/>
      <c r="F1212" s="58"/>
      <c r="G1212" s="58"/>
      <c r="H1212" s="33" t="str">
        <f t="shared" si="1"/>
        <v/>
      </c>
      <c r="I1212" s="58"/>
      <c r="J1212" s="58"/>
      <c r="K1212" s="58"/>
      <c r="L1212" s="38"/>
      <c r="M1212" s="58"/>
      <c r="N1212" s="58"/>
      <c r="O1212" s="58"/>
      <c r="P1212" s="80"/>
      <c r="Q1212" s="77"/>
      <c r="R1212" s="62"/>
      <c r="S1212" s="62"/>
      <c r="T1212" s="62"/>
      <c r="U1212" s="62"/>
      <c r="V1212" s="37" t="str">
        <f>IFERROR(__xludf.DUMMYFUNCTION("if(not(iserror(index(split(C1212, "" ""),2))), index(split(C1212, "" ""),1),"""")"),"")</f>
        <v/>
      </c>
      <c r="W1212" s="315" t="str">
        <f>IFERROR(__xludf.DUMMYFUNCTION("if(V1212="""",C1212,if(not(iserror(index(split(C1212, "" ""),3))), index(split(C1212, "" ""),3),index(split(C1212, "" ""),2)))"),"")</f>
        <v/>
      </c>
      <c r="X1212" s="38" t="b">
        <f t="shared" si="2"/>
        <v>0</v>
      </c>
      <c r="Y1212" s="38"/>
      <c r="Z1212" s="40"/>
      <c r="AA1212" s="40"/>
      <c r="AB1212" s="38"/>
      <c r="AC1212" s="38"/>
      <c r="AD1212" s="38"/>
      <c r="AE1212" s="38"/>
      <c r="AF1212" s="38"/>
      <c r="AG1212" s="38"/>
      <c r="AH1212" s="38"/>
      <c r="AI1212" s="38"/>
      <c r="AJ1212" s="38"/>
      <c r="AK1212" s="38"/>
      <c r="AL1212" s="38"/>
      <c r="AM1212" s="38"/>
      <c r="AN1212" s="38"/>
      <c r="AO1212" s="38"/>
      <c r="AP1212" s="38"/>
      <c r="AQ1212" s="38"/>
      <c r="AR1212" s="38"/>
      <c r="AS1212" s="38"/>
      <c r="AT1212" s="38"/>
      <c r="AU1212" s="38"/>
      <c r="AV1212" s="38"/>
      <c r="AW1212" s="38"/>
      <c r="AX1212" s="38"/>
      <c r="AY1212" s="38"/>
      <c r="AZ1212" s="38"/>
      <c r="BA1212" s="38"/>
      <c r="BB1212" s="38"/>
      <c r="BC1212" s="38"/>
      <c r="BD1212" s="38"/>
      <c r="BE1212" s="38"/>
      <c r="BF1212" s="38"/>
      <c r="BG1212" s="38"/>
    </row>
    <row r="1213">
      <c r="A1213" s="58"/>
      <c r="B1213" s="341"/>
      <c r="C1213" s="60"/>
      <c r="D1213" s="60"/>
      <c r="E1213" s="58"/>
      <c r="F1213" s="58"/>
      <c r="G1213" s="58"/>
      <c r="H1213" s="33" t="str">
        <f t="shared" si="1"/>
        <v/>
      </c>
      <c r="I1213" s="58"/>
      <c r="J1213" s="58"/>
      <c r="K1213" s="58"/>
      <c r="L1213" s="38"/>
      <c r="M1213" s="58"/>
      <c r="N1213" s="58"/>
      <c r="O1213" s="58"/>
      <c r="P1213" s="80"/>
      <c r="Q1213" s="77"/>
      <c r="R1213" s="58"/>
      <c r="S1213" s="58"/>
      <c r="T1213" s="84"/>
      <c r="U1213" s="62"/>
      <c r="V1213" s="37" t="str">
        <f>IFERROR(__xludf.DUMMYFUNCTION("if(not(iserror(index(split(C1213, "" ""),2))), index(split(C1213, "" ""),1),"""")"),"")</f>
        <v/>
      </c>
      <c r="W1213" s="315" t="str">
        <f>IFERROR(__xludf.DUMMYFUNCTION("if(V1213="""",C1213,if(not(iserror(index(split(C1213, "" ""),3))), index(split(C1213, "" ""),3),index(split(C1213, "" ""),2)))"),"")</f>
        <v/>
      </c>
      <c r="X1213" s="38" t="b">
        <f t="shared" si="2"/>
        <v>0</v>
      </c>
      <c r="Y1213" s="38"/>
      <c r="Z1213" s="40"/>
      <c r="AA1213" s="40"/>
      <c r="AB1213" s="38"/>
      <c r="AC1213" s="38"/>
      <c r="AD1213" s="38"/>
      <c r="AE1213" s="38"/>
      <c r="AF1213" s="38"/>
      <c r="AG1213" s="38"/>
      <c r="AH1213" s="38"/>
      <c r="AI1213" s="38"/>
      <c r="AJ1213" s="38"/>
      <c r="AK1213" s="38"/>
      <c r="AL1213" s="38"/>
      <c r="AM1213" s="38"/>
      <c r="AN1213" s="38"/>
      <c r="AO1213" s="38"/>
      <c r="AP1213" s="38"/>
      <c r="AQ1213" s="38"/>
      <c r="AR1213" s="38"/>
      <c r="AS1213" s="38"/>
      <c r="AT1213" s="38"/>
      <c r="AU1213" s="38"/>
      <c r="AV1213" s="38"/>
      <c r="AW1213" s="38"/>
      <c r="AX1213" s="38"/>
      <c r="AY1213" s="38"/>
      <c r="AZ1213" s="38"/>
      <c r="BA1213" s="38"/>
      <c r="BB1213" s="38"/>
      <c r="BC1213" s="38"/>
      <c r="BD1213" s="38"/>
      <c r="BE1213" s="38"/>
      <c r="BF1213" s="38"/>
      <c r="BG1213" s="38"/>
    </row>
    <row r="1214">
      <c r="A1214" s="58"/>
      <c r="B1214" s="341"/>
      <c r="C1214" s="60"/>
      <c r="D1214" s="60"/>
      <c r="E1214" s="58"/>
      <c r="F1214" s="58"/>
      <c r="G1214" s="58"/>
      <c r="H1214" s="33" t="str">
        <f t="shared" si="1"/>
        <v/>
      </c>
      <c r="I1214" s="58"/>
      <c r="J1214" s="58"/>
      <c r="K1214" s="58"/>
      <c r="L1214" s="38"/>
      <c r="M1214" s="58"/>
      <c r="N1214" s="58"/>
      <c r="O1214" s="58"/>
      <c r="P1214" s="80"/>
      <c r="Q1214" s="77"/>
      <c r="R1214" s="58"/>
      <c r="S1214" s="58"/>
      <c r="T1214" s="84"/>
      <c r="U1214" s="62"/>
      <c r="V1214" s="37" t="str">
        <f>IFERROR(__xludf.DUMMYFUNCTION("if(not(iserror(index(split(C1214, "" ""),2))), index(split(C1214, "" ""),1),"""")"),"")</f>
        <v/>
      </c>
      <c r="W1214" s="315" t="str">
        <f>IFERROR(__xludf.DUMMYFUNCTION("if(V1214="""",C1214,if(not(iserror(index(split(C1214, "" ""),3))), index(split(C1214, "" ""),3),index(split(C1214, "" ""),2)))"),"")</f>
        <v/>
      </c>
      <c r="X1214" s="38" t="b">
        <f t="shared" si="2"/>
        <v>0</v>
      </c>
      <c r="Y1214" s="38"/>
      <c r="Z1214" s="40"/>
      <c r="AA1214" s="40"/>
      <c r="AB1214" s="38"/>
      <c r="AC1214" s="38"/>
      <c r="AD1214" s="38"/>
      <c r="AE1214" s="38"/>
      <c r="AF1214" s="38"/>
      <c r="AG1214" s="38"/>
      <c r="AH1214" s="38"/>
      <c r="AI1214" s="38"/>
      <c r="AJ1214" s="38"/>
      <c r="AK1214" s="38"/>
      <c r="AL1214" s="38"/>
      <c r="AM1214" s="38"/>
      <c r="AN1214" s="38"/>
      <c r="AO1214" s="38"/>
      <c r="AP1214" s="38"/>
      <c r="AQ1214" s="38"/>
      <c r="AR1214" s="38"/>
      <c r="AS1214" s="38"/>
      <c r="AT1214" s="38"/>
      <c r="AU1214" s="38"/>
      <c r="AV1214" s="38"/>
      <c r="AW1214" s="38"/>
      <c r="AX1214" s="38"/>
      <c r="AY1214" s="38"/>
      <c r="AZ1214" s="38"/>
      <c r="BA1214" s="38"/>
      <c r="BB1214" s="38"/>
      <c r="BC1214" s="38"/>
      <c r="BD1214" s="38"/>
      <c r="BE1214" s="38"/>
      <c r="BF1214" s="38"/>
      <c r="BG1214" s="38"/>
    </row>
    <row r="1215">
      <c r="A1215" s="58"/>
      <c r="B1215" s="341"/>
      <c r="C1215" s="60"/>
      <c r="D1215" s="60"/>
      <c r="E1215" s="58"/>
      <c r="F1215" s="58"/>
      <c r="G1215" s="58"/>
      <c r="H1215" s="33" t="str">
        <f t="shared" si="1"/>
        <v/>
      </c>
      <c r="I1215" s="58"/>
      <c r="J1215" s="58"/>
      <c r="K1215" s="58"/>
      <c r="L1215" s="38"/>
      <c r="M1215" s="58"/>
      <c r="N1215" s="58"/>
      <c r="O1215" s="58"/>
      <c r="P1215" s="80"/>
      <c r="Q1215" s="77"/>
      <c r="R1215" s="62"/>
      <c r="S1215" s="62"/>
      <c r="T1215" s="84"/>
      <c r="U1215" s="62"/>
      <c r="V1215" s="37" t="str">
        <f>IFERROR(__xludf.DUMMYFUNCTION("if(not(iserror(index(split(C1215, "" ""),2))), index(split(C1215, "" ""),1),"""")"),"")</f>
        <v/>
      </c>
      <c r="W1215" s="315" t="str">
        <f>IFERROR(__xludf.DUMMYFUNCTION("if(V1215="""",C1215,if(not(iserror(index(split(C1215, "" ""),3))), index(split(C1215, "" ""),3),index(split(C1215, "" ""),2)))"),"")</f>
        <v/>
      </c>
      <c r="X1215" s="38" t="b">
        <f t="shared" si="2"/>
        <v>0</v>
      </c>
      <c r="Y1215" s="38"/>
      <c r="Z1215" s="40"/>
      <c r="AA1215" s="40"/>
      <c r="AB1215" s="38"/>
      <c r="AC1215" s="38"/>
      <c r="AD1215" s="38"/>
      <c r="AE1215" s="38"/>
      <c r="AF1215" s="38"/>
      <c r="AG1215" s="38"/>
      <c r="AH1215" s="38"/>
      <c r="AI1215" s="38"/>
      <c r="AJ1215" s="38"/>
      <c r="AK1215" s="38"/>
      <c r="AL1215" s="38"/>
      <c r="AM1215" s="38"/>
      <c r="AN1215" s="38"/>
      <c r="AO1215" s="38"/>
      <c r="AP1215" s="38"/>
      <c r="AQ1215" s="38"/>
      <c r="AR1215" s="38"/>
      <c r="AS1215" s="38"/>
      <c r="AT1215" s="38"/>
      <c r="AU1215" s="38"/>
      <c r="AV1215" s="38"/>
      <c r="AW1215" s="38"/>
      <c r="AX1215" s="38"/>
      <c r="AY1215" s="38"/>
      <c r="AZ1215" s="38"/>
      <c r="BA1215" s="38"/>
      <c r="BB1215" s="38"/>
      <c r="BC1215" s="38"/>
      <c r="BD1215" s="38"/>
      <c r="BE1215" s="38"/>
      <c r="BF1215" s="38"/>
      <c r="BG1215" s="38"/>
    </row>
    <row r="1216">
      <c r="A1216" s="58"/>
      <c r="B1216" s="341"/>
      <c r="C1216" s="60"/>
      <c r="D1216" s="60"/>
      <c r="E1216" s="58"/>
      <c r="F1216" s="58"/>
      <c r="G1216" s="58"/>
      <c r="H1216" s="33" t="str">
        <f t="shared" si="1"/>
        <v/>
      </c>
      <c r="I1216" s="58"/>
      <c r="J1216" s="58"/>
      <c r="K1216" s="58"/>
      <c r="L1216" s="38"/>
      <c r="M1216" s="58"/>
      <c r="N1216" s="58"/>
      <c r="O1216" s="58"/>
      <c r="P1216" s="80"/>
      <c r="Q1216" s="80"/>
      <c r="R1216" s="62"/>
      <c r="S1216" s="62"/>
      <c r="T1216" s="84"/>
      <c r="U1216" s="62"/>
      <c r="V1216" s="37" t="str">
        <f>IFERROR(__xludf.DUMMYFUNCTION("if(not(iserror(index(split(C1216, "" ""),2))), index(split(C1216, "" ""),1),"""")"),"")</f>
        <v/>
      </c>
      <c r="W1216" s="315" t="str">
        <f>IFERROR(__xludf.DUMMYFUNCTION("if(V1216="""",C1216,if(not(iserror(index(split(C1216, "" ""),3))), index(split(C1216, "" ""),3),index(split(C1216, "" ""),2)))"),"")</f>
        <v/>
      </c>
      <c r="X1216" s="38" t="b">
        <f t="shared" si="2"/>
        <v>0</v>
      </c>
      <c r="Y1216" s="38"/>
      <c r="Z1216" s="40"/>
      <c r="AA1216" s="40"/>
      <c r="AB1216" s="38"/>
      <c r="AC1216" s="38"/>
      <c r="AD1216" s="38"/>
      <c r="AE1216" s="38"/>
      <c r="AF1216" s="38"/>
      <c r="AG1216" s="38"/>
      <c r="AH1216" s="38"/>
      <c r="AI1216" s="38"/>
      <c r="AJ1216" s="38"/>
      <c r="AK1216" s="38"/>
      <c r="AL1216" s="38"/>
      <c r="AM1216" s="38"/>
      <c r="AN1216" s="38"/>
      <c r="AO1216" s="38"/>
      <c r="AP1216" s="38"/>
      <c r="AQ1216" s="38"/>
      <c r="AR1216" s="38"/>
      <c r="AS1216" s="38"/>
      <c r="AT1216" s="38"/>
      <c r="AU1216" s="38"/>
      <c r="AV1216" s="38"/>
      <c r="AW1216" s="38"/>
      <c r="AX1216" s="38"/>
      <c r="AY1216" s="38"/>
      <c r="AZ1216" s="38"/>
      <c r="BA1216" s="38"/>
      <c r="BB1216" s="38"/>
      <c r="BC1216" s="38"/>
      <c r="BD1216" s="38"/>
      <c r="BE1216" s="38"/>
      <c r="BF1216" s="38"/>
      <c r="BG1216" s="38"/>
    </row>
    <row r="1217">
      <c r="A1217" s="58"/>
      <c r="B1217" s="341"/>
      <c r="C1217" s="60"/>
      <c r="D1217" s="60"/>
      <c r="E1217" s="58"/>
      <c r="F1217" s="58"/>
      <c r="G1217" s="58"/>
      <c r="H1217" s="33" t="str">
        <f t="shared" si="1"/>
        <v/>
      </c>
      <c r="I1217" s="58"/>
      <c r="J1217" s="58"/>
      <c r="K1217" s="58"/>
      <c r="L1217" s="38"/>
      <c r="M1217" s="58"/>
      <c r="N1217" s="58"/>
      <c r="O1217" s="58"/>
      <c r="P1217" s="80"/>
      <c r="Q1217" s="77"/>
      <c r="R1217" s="62"/>
      <c r="S1217" s="62"/>
      <c r="T1217" s="62"/>
      <c r="U1217" s="62"/>
      <c r="V1217" s="37" t="str">
        <f>IFERROR(__xludf.DUMMYFUNCTION("if(not(iserror(index(split(C1217, "" ""),2))), index(split(C1217, "" ""),1),"""")"),"")</f>
        <v/>
      </c>
      <c r="W1217" s="315" t="str">
        <f>IFERROR(__xludf.DUMMYFUNCTION("if(V1217="""",C1217,if(not(iserror(index(split(C1217, "" ""),3))), index(split(C1217, "" ""),3),index(split(C1217, "" ""),2)))"),"")</f>
        <v/>
      </c>
      <c r="X1217" s="38" t="b">
        <f t="shared" si="2"/>
        <v>0</v>
      </c>
      <c r="Y1217" s="38"/>
      <c r="Z1217" s="40"/>
      <c r="AA1217" s="40"/>
      <c r="AB1217" s="38"/>
      <c r="AC1217" s="38"/>
      <c r="AD1217" s="38"/>
      <c r="AE1217" s="38"/>
      <c r="AF1217" s="38"/>
      <c r="AG1217" s="38"/>
      <c r="AH1217" s="38"/>
      <c r="AI1217" s="38"/>
      <c r="AJ1217" s="38"/>
      <c r="AK1217" s="38"/>
      <c r="AL1217" s="38"/>
      <c r="AM1217" s="38"/>
      <c r="AN1217" s="38"/>
      <c r="AO1217" s="38"/>
      <c r="AP1217" s="38"/>
      <c r="AQ1217" s="38"/>
      <c r="AR1217" s="38"/>
      <c r="AS1217" s="38"/>
      <c r="AT1217" s="38"/>
      <c r="AU1217" s="38"/>
      <c r="AV1217" s="38"/>
      <c r="AW1217" s="38"/>
      <c r="AX1217" s="38"/>
      <c r="AY1217" s="38"/>
      <c r="AZ1217" s="38"/>
      <c r="BA1217" s="38"/>
      <c r="BB1217" s="38"/>
      <c r="BC1217" s="38"/>
      <c r="BD1217" s="38"/>
      <c r="BE1217" s="38"/>
      <c r="BF1217" s="38"/>
      <c r="BG1217" s="38"/>
    </row>
    <row r="1218">
      <c r="A1218" s="58"/>
      <c r="B1218" s="341"/>
      <c r="C1218" s="60"/>
      <c r="D1218" s="60"/>
      <c r="E1218" s="58"/>
      <c r="F1218" s="58"/>
      <c r="G1218" s="58"/>
      <c r="H1218" s="33" t="str">
        <f t="shared" si="1"/>
        <v/>
      </c>
      <c r="I1218" s="58"/>
      <c r="J1218" s="58"/>
      <c r="K1218" s="58"/>
      <c r="L1218" s="38"/>
      <c r="M1218" s="58"/>
      <c r="N1218" s="58"/>
      <c r="O1218" s="58"/>
      <c r="P1218" s="80"/>
      <c r="Q1218" s="77"/>
      <c r="R1218" s="62"/>
      <c r="S1218" s="62"/>
      <c r="T1218" s="62"/>
      <c r="U1218" s="62"/>
      <c r="V1218" s="37" t="str">
        <f>IFERROR(__xludf.DUMMYFUNCTION("if(not(iserror(index(split(C1218, "" ""),2))), index(split(C1218, "" ""),1),"""")"),"")</f>
        <v/>
      </c>
      <c r="W1218" s="315" t="str">
        <f>IFERROR(__xludf.DUMMYFUNCTION("if(V1218="""",C1218,if(not(iserror(index(split(C1218, "" ""),3))), index(split(C1218, "" ""),3),index(split(C1218, "" ""),2)))"),"")</f>
        <v/>
      </c>
      <c r="X1218" s="38" t="b">
        <f t="shared" si="2"/>
        <v>0</v>
      </c>
      <c r="Y1218" s="38"/>
      <c r="Z1218" s="40"/>
      <c r="AA1218" s="40"/>
      <c r="AB1218" s="38"/>
      <c r="AC1218" s="38"/>
      <c r="AD1218" s="38"/>
      <c r="AE1218" s="38"/>
      <c r="AF1218" s="38"/>
      <c r="AG1218" s="38"/>
      <c r="AH1218" s="38"/>
      <c r="AI1218" s="38"/>
      <c r="AJ1218" s="38"/>
      <c r="AK1218" s="38"/>
      <c r="AL1218" s="38"/>
      <c r="AM1218" s="38"/>
      <c r="AN1218" s="38"/>
      <c r="AO1218" s="38"/>
      <c r="AP1218" s="38"/>
      <c r="AQ1218" s="38"/>
      <c r="AR1218" s="38"/>
      <c r="AS1218" s="38"/>
      <c r="AT1218" s="38"/>
      <c r="AU1218" s="38"/>
      <c r="AV1218" s="38"/>
      <c r="AW1218" s="38"/>
      <c r="AX1218" s="38"/>
      <c r="AY1218" s="38"/>
      <c r="AZ1218" s="38"/>
      <c r="BA1218" s="38"/>
      <c r="BB1218" s="38"/>
      <c r="BC1218" s="38"/>
      <c r="BD1218" s="38"/>
      <c r="BE1218" s="38"/>
      <c r="BF1218" s="38"/>
      <c r="BG1218" s="38"/>
    </row>
    <row r="1219">
      <c r="A1219" s="58"/>
      <c r="B1219" s="341"/>
      <c r="C1219" s="60"/>
      <c r="D1219" s="60"/>
      <c r="E1219" s="58"/>
      <c r="F1219" s="58"/>
      <c r="G1219" s="58"/>
      <c r="H1219" s="33" t="str">
        <f t="shared" si="1"/>
        <v/>
      </c>
      <c r="I1219" s="58"/>
      <c r="J1219" s="58"/>
      <c r="K1219" s="58"/>
      <c r="L1219" s="38"/>
      <c r="M1219" s="58"/>
      <c r="N1219" s="58"/>
      <c r="O1219" s="58"/>
      <c r="P1219" s="80"/>
      <c r="Q1219" s="77"/>
      <c r="R1219" s="62"/>
      <c r="S1219" s="62"/>
      <c r="T1219" s="62"/>
      <c r="U1219" s="62"/>
      <c r="V1219" s="37" t="str">
        <f>IFERROR(__xludf.DUMMYFUNCTION("if(not(iserror(index(split(C1219, "" ""),2))), index(split(C1219, "" ""),1),"""")"),"")</f>
        <v/>
      </c>
      <c r="W1219" s="315" t="str">
        <f>IFERROR(__xludf.DUMMYFUNCTION("if(V1219="""",C1219,if(not(iserror(index(split(C1219, "" ""),3))), index(split(C1219, "" ""),3),index(split(C1219, "" ""),2)))"),"")</f>
        <v/>
      </c>
      <c r="X1219" s="38" t="b">
        <f t="shared" si="2"/>
        <v>0</v>
      </c>
      <c r="Y1219" s="38"/>
      <c r="Z1219" s="40"/>
      <c r="AA1219" s="40"/>
      <c r="AB1219" s="38"/>
      <c r="AC1219" s="38"/>
      <c r="AD1219" s="38"/>
      <c r="AE1219" s="38"/>
      <c r="AF1219" s="38"/>
      <c r="AG1219" s="38"/>
      <c r="AH1219" s="38"/>
      <c r="AI1219" s="38"/>
      <c r="AJ1219" s="38"/>
      <c r="AK1219" s="38"/>
      <c r="AL1219" s="38"/>
      <c r="AM1219" s="38"/>
      <c r="AN1219" s="38"/>
      <c r="AO1219" s="38"/>
      <c r="AP1219" s="38"/>
      <c r="AQ1219" s="38"/>
      <c r="AR1219" s="38"/>
      <c r="AS1219" s="38"/>
      <c r="AT1219" s="38"/>
      <c r="AU1219" s="38"/>
      <c r="AV1219" s="38"/>
      <c r="AW1219" s="38"/>
      <c r="AX1219" s="38"/>
      <c r="AY1219" s="38"/>
      <c r="AZ1219" s="38"/>
      <c r="BA1219" s="38"/>
      <c r="BB1219" s="38"/>
      <c r="BC1219" s="38"/>
      <c r="BD1219" s="38"/>
      <c r="BE1219" s="38"/>
      <c r="BF1219" s="38"/>
      <c r="BG1219" s="38"/>
    </row>
    <row r="1220">
      <c r="A1220" s="58"/>
      <c r="B1220" s="341"/>
      <c r="C1220" s="60"/>
      <c r="D1220" s="60"/>
      <c r="E1220" s="58"/>
      <c r="F1220" s="58"/>
      <c r="G1220" s="58"/>
      <c r="H1220" s="33" t="str">
        <f t="shared" si="1"/>
        <v/>
      </c>
      <c r="I1220" s="58"/>
      <c r="J1220" s="58"/>
      <c r="K1220" s="58"/>
      <c r="L1220" s="38"/>
      <c r="M1220" s="58"/>
      <c r="N1220" s="58"/>
      <c r="O1220" s="58"/>
      <c r="P1220" s="80"/>
      <c r="Q1220" s="77"/>
      <c r="R1220" s="62"/>
      <c r="S1220" s="62"/>
      <c r="T1220" s="62"/>
      <c r="U1220" s="62"/>
      <c r="V1220" s="37" t="str">
        <f>IFERROR(__xludf.DUMMYFUNCTION("if(not(iserror(index(split(C1220, "" ""),2))), index(split(C1220, "" ""),1),"""")"),"")</f>
        <v/>
      </c>
      <c r="W1220" s="315" t="str">
        <f>IFERROR(__xludf.DUMMYFUNCTION("if(V1220="""",C1220,if(not(iserror(index(split(C1220, "" ""),3))), index(split(C1220, "" ""),3),index(split(C1220, "" ""),2)))"),"")</f>
        <v/>
      </c>
      <c r="X1220" s="38" t="b">
        <f t="shared" si="2"/>
        <v>0</v>
      </c>
      <c r="Y1220" s="38"/>
      <c r="Z1220" s="40"/>
      <c r="AA1220" s="40"/>
      <c r="AB1220" s="38"/>
      <c r="AC1220" s="38"/>
      <c r="AD1220" s="38"/>
      <c r="AE1220" s="38"/>
      <c r="AF1220" s="38"/>
      <c r="AG1220" s="38"/>
      <c r="AH1220" s="38"/>
      <c r="AI1220" s="38"/>
      <c r="AJ1220" s="38"/>
      <c r="AK1220" s="38"/>
      <c r="AL1220" s="38"/>
      <c r="AM1220" s="38"/>
      <c r="AN1220" s="38"/>
      <c r="AO1220" s="38"/>
      <c r="AP1220" s="38"/>
      <c r="AQ1220" s="38"/>
      <c r="AR1220" s="38"/>
      <c r="AS1220" s="38"/>
      <c r="AT1220" s="38"/>
      <c r="AU1220" s="38"/>
      <c r="AV1220" s="38"/>
      <c r="AW1220" s="38"/>
      <c r="AX1220" s="38"/>
      <c r="AY1220" s="38"/>
      <c r="AZ1220" s="38"/>
      <c r="BA1220" s="38"/>
      <c r="BB1220" s="38"/>
      <c r="BC1220" s="38"/>
      <c r="BD1220" s="38"/>
      <c r="BE1220" s="38"/>
      <c r="BF1220" s="38"/>
      <c r="BG1220" s="38"/>
    </row>
    <row r="1221">
      <c r="B1221" s="341"/>
      <c r="C1221" s="60"/>
      <c r="D1221" s="60"/>
      <c r="E1221" s="58"/>
      <c r="F1221" s="58"/>
      <c r="G1221" s="58"/>
      <c r="H1221" s="33" t="str">
        <f t="shared" si="1"/>
        <v/>
      </c>
      <c r="I1221" s="58"/>
      <c r="J1221" s="58"/>
      <c r="K1221" s="58"/>
      <c r="L1221" s="38"/>
      <c r="M1221" s="58"/>
      <c r="N1221" s="58"/>
      <c r="O1221" s="58"/>
      <c r="P1221" s="106"/>
      <c r="Q1221" s="77"/>
      <c r="R1221" s="62"/>
      <c r="S1221" s="62"/>
      <c r="T1221" s="62"/>
      <c r="U1221" s="62"/>
      <c r="V1221" s="37" t="str">
        <f>IFERROR(__xludf.DUMMYFUNCTION("if(not(iserror(index(split(C1221, "" ""),2))), index(split(C1221, "" ""),1),"""")"),"")</f>
        <v/>
      </c>
      <c r="W1221" s="315" t="str">
        <f>IFERROR(__xludf.DUMMYFUNCTION("if(V1221="""",C1221,if(not(iserror(index(split(C1221, "" ""),3))), index(split(C1221, "" ""),3),index(split(C1221, "" ""),2)))"),"")</f>
        <v/>
      </c>
      <c r="X1221" s="38" t="b">
        <f t="shared" si="2"/>
        <v>0</v>
      </c>
      <c r="Y1221" s="38"/>
      <c r="Z1221" s="40"/>
      <c r="AA1221" s="40"/>
      <c r="AB1221" s="38"/>
      <c r="AC1221" s="38"/>
      <c r="AD1221" s="38"/>
      <c r="AE1221" s="38"/>
      <c r="AF1221" s="38"/>
      <c r="AG1221" s="38"/>
      <c r="AH1221" s="38"/>
      <c r="AI1221" s="38"/>
      <c r="AJ1221" s="38"/>
      <c r="AK1221" s="38"/>
      <c r="AL1221" s="38"/>
      <c r="AM1221" s="38"/>
      <c r="AN1221" s="38"/>
      <c r="AO1221" s="38"/>
      <c r="AP1221" s="38"/>
      <c r="AQ1221" s="38"/>
      <c r="AR1221" s="38"/>
      <c r="AS1221" s="38"/>
      <c r="AT1221" s="38"/>
      <c r="AU1221" s="38"/>
      <c r="AV1221" s="38"/>
      <c r="AW1221" s="38"/>
      <c r="AX1221" s="38"/>
      <c r="AY1221" s="38"/>
      <c r="AZ1221" s="38"/>
      <c r="BA1221" s="38"/>
      <c r="BB1221" s="38"/>
      <c r="BC1221" s="38"/>
      <c r="BD1221" s="38"/>
      <c r="BE1221" s="38"/>
      <c r="BF1221" s="38"/>
      <c r="BG1221" s="38"/>
    </row>
    <row r="1222">
      <c r="A1222" s="58"/>
      <c r="B1222" s="341"/>
      <c r="C1222" s="60"/>
      <c r="D1222" s="60"/>
      <c r="E1222" s="58"/>
      <c r="F1222" s="58"/>
      <c r="G1222" s="58"/>
      <c r="H1222" s="33" t="str">
        <f t="shared" si="1"/>
        <v/>
      </c>
      <c r="I1222" s="58"/>
      <c r="J1222" s="58"/>
      <c r="K1222" s="58"/>
      <c r="L1222" s="38"/>
      <c r="M1222" s="58"/>
      <c r="N1222" s="58"/>
      <c r="O1222" s="58"/>
      <c r="P1222" s="80"/>
      <c r="Q1222" s="77"/>
      <c r="R1222" s="62"/>
      <c r="S1222" s="62"/>
      <c r="T1222" s="62"/>
      <c r="U1222" s="62"/>
      <c r="V1222" s="37" t="str">
        <f>IFERROR(__xludf.DUMMYFUNCTION("if(not(iserror(index(split(C1222, "" ""),2))), index(split(C1222, "" ""),1),"""")"),"")</f>
        <v/>
      </c>
      <c r="W1222" s="315" t="str">
        <f>IFERROR(__xludf.DUMMYFUNCTION("if(V1222="""",C1222,if(not(iserror(index(split(C1222, "" ""),3))), index(split(C1222, "" ""),3),index(split(C1222, "" ""),2)))"),"")</f>
        <v/>
      </c>
      <c r="X1222" s="38" t="b">
        <f t="shared" si="2"/>
        <v>0</v>
      </c>
      <c r="Y1222" s="38"/>
      <c r="Z1222" s="40"/>
      <c r="AA1222" s="40"/>
      <c r="AB1222" s="38"/>
      <c r="AC1222" s="38"/>
      <c r="AD1222" s="38"/>
      <c r="AE1222" s="38"/>
      <c r="AF1222" s="38"/>
      <c r="AG1222" s="38"/>
      <c r="AH1222" s="38"/>
      <c r="AI1222" s="38"/>
      <c r="AJ1222" s="38"/>
      <c r="AK1222" s="38"/>
      <c r="AL1222" s="38"/>
      <c r="AM1222" s="38"/>
      <c r="AN1222" s="38"/>
      <c r="AO1222" s="38"/>
      <c r="AP1222" s="38"/>
      <c r="AQ1222" s="38"/>
      <c r="AR1222" s="38"/>
      <c r="AS1222" s="38"/>
      <c r="AT1222" s="38"/>
      <c r="AU1222" s="38"/>
      <c r="AV1222" s="38"/>
      <c r="AW1222" s="38"/>
      <c r="AX1222" s="38"/>
      <c r="AY1222" s="38"/>
      <c r="AZ1222" s="38"/>
      <c r="BA1222" s="38"/>
      <c r="BB1222" s="38"/>
      <c r="BC1222" s="38"/>
      <c r="BD1222" s="38"/>
      <c r="BE1222" s="38"/>
      <c r="BF1222" s="38"/>
      <c r="BG1222" s="38"/>
    </row>
    <row r="1223">
      <c r="A1223" s="58"/>
      <c r="B1223" s="341"/>
      <c r="C1223" s="60"/>
      <c r="D1223" s="60"/>
      <c r="E1223" s="58"/>
      <c r="F1223" s="58"/>
      <c r="G1223" s="58"/>
      <c r="H1223" s="33" t="str">
        <f t="shared" si="1"/>
        <v/>
      </c>
      <c r="I1223" s="58"/>
      <c r="J1223" s="58"/>
      <c r="K1223" s="58"/>
      <c r="L1223" s="38"/>
      <c r="M1223" s="58"/>
      <c r="N1223" s="58"/>
      <c r="O1223" s="58"/>
      <c r="P1223" s="80"/>
      <c r="Q1223" s="77"/>
      <c r="R1223" s="62"/>
      <c r="S1223" s="62"/>
      <c r="T1223" s="62"/>
      <c r="U1223" s="62"/>
      <c r="V1223" s="37" t="str">
        <f>IFERROR(__xludf.DUMMYFUNCTION("if(not(iserror(index(split(C1223, "" ""),2))), index(split(C1223, "" ""),1),"""")"),"")</f>
        <v/>
      </c>
      <c r="W1223" s="315" t="str">
        <f>IFERROR(__xludf.DUMMYFUNCTION("if(V1223="""",C1223,if(not(iserror(index(split(C1223, "" ""),3))), index(split(C1223, "" ""),3),index(split(C1223, "" ""),2)))"),"")</f>
        <v/>
      </c>
      <c r="X1223" s="38" t="b">
        <f t="shared" si="2"/>
        <v>0</v>
      </c>
      <c r="Y1223" s="38"/>
      <c r="Z1223" s="40"/>
      <c r="AA1223" s="40"/>
      <c r="AB1223" s="38"/>
      <c r="AC1223" s="38"/>
      <c r="AD1223" s="38"/>
      <c r="AE1223" s="38"/>
      <c r="AF1223" s="38"/>
      <c r="AG1223" s="38"/>
      <c r="AH1223" s="38"/>
      <c r="AI1223" s="38"/>
      <c r="AJ1223" s="38"/>
      <c r="AK1223" s="38"/>
      <c r="AL1223" s="38"/>
      <c r="AM1223" s="38"/>
      <c r="AN1223" s="38"/>
      <c r="AO1223" s="38"/>
      <c r="AP1223" s="38"/>
      <c r="AQ1223" s="38"/>
      <c r="AR1223" s="38"/>
      <c r="AS1223" s="38"/>
      <c r="AT1223" s="38"/>
      <c r="AU1223" s="38"/>
      <c r="AV1223" s="38"/>
      <c r="AW1223" s="38"/>
      <c r="AX1223" s="38"/>
      <c r="AY1223" s="38"/>
      <c r="AZ1223" s="38"/>
      <c r="BA1223" s="38"/>
      <c r="BB1223" s="38"/>
      <c r="BC1223" s="38"/>
      <c r="BD1223" s="38"/>
      <c r="BE1223" s="38"/>
      <c r="BF1223" s="38"/>
      <c r="BG1223" s="38"/>
    </row>
    <row r="1224">
      <c r="A1224" s="58"/>
      <c r="B1224" s="341"/>
      <c r="C1224" s="60"/>
      <c r="D1224" s="60"/>
      <c r="E1224" s="58"/>
      <c r="F1224" s="58"/>
      <c r="G1224" s="58"/>
      <c r="H1224" s="33" t="str">
        <f t="shared" si="1"/>
        <v/>
      </c>
      <c r="I1224" s="58"/>
      <c r="J1224" s="58"/>
      <c r="K1224" s="58"/>
      <c r="L1224" s="38"/>
      <c r="M1224" s="58"/>
      <c r="N1224" s="58"/>
      <c r="O1224" s="58"/>
      <c r="P1224" s="80"/>
      <c r="Q1224" s="77"/>
      <c r="R1224" s="62"/>
      <c r="S1224" s="58"/>
      <c r="T1224" s="84"/>
      <c r="U1224" s="62"/>
      <c r="V1224" s="37" t="str">
        <f>IFERROR(__xludf.DUMMYFUNCTION("if(not(iserror(index(split(C1224, "" ""),2))), index(split(C1224, "" ""),1),"""")"),"")</f>
        <v/>
      </c>
      <c r="W1224" s="315" t="str">
        <f>IFERROR(__xludf.DUMMYFUNCTION("if(V1224="""",C1224,if(not(iserror(index(split(C1224, "" ""),3))), index(split(C1224, "" ""),3),index(split(C1224, "" ""),2)))"),"")</f>
        <v/>
      </c>
      <c r="X1224" s="38" t="b">
        <f t="shared" si="2"/>
        <v>0</v>
      </c>
      <c r="Y1224" s="38"/>
      <c r="Z1224" s="40"/>
      <c r="AA1224" s="40"/>
      <c r="AB1224" s="38"/>
      <c r="AC1224" s="38"/>
      <c r="AD1224" s="38"/>
      <c r="AE1224" s="38"/>
      <c r="AF1224" s="38"/>
      <c r="AG1224" s="38"/>
      <c r="AH1224" s="38"/>
      <c r="AI1224" s="38"/>
      <c r="AJ1224" s="38"/>
      <c r="AK1224" s="38"/>
      <c r="AL1224" s="38"/>
      <c r="AM1224" s="38"/>
      <c r="AN1224" s="38"/>
      <c r="AO1224" s="38"/>
      <c r="AP1224" s="38"/>
      <c r="AQ1224" s="38"/>
      <c r="AR1224" s="38"/>
      <c r="AS1224" s="38"/>
      <c r="AT1224" s="38"/>
      <c r="AU1224" s="38"/>
      <c r="AV1224" s="38"/>
      <c r="AW1224" s="38"/>
      <c r="AX1224" s="38"/>
      <c r="AY1224" s="38"/>
      <c r="AZ1224" s="38"/>
      <c r="BA1224" s="38"/>
      <c r="BB1224" s="38"/>
      <c r="BC1224" s="38"/>
      <c r="BD1224" s="38"/>
      <c r="BE1224" s="38"/>
      <c r="BF1224" s="38"/>
      <c r="BG1224" s="38"/>
    </row>
    <row r="1225">
      <c r="A1225" s="58"/>
      <c r="B1225" s="341"/>
      <c r="C1225" s="60"/>
      <c r="D1225" s="60"/>
      <c r="E1225" s="58"/>
      <c r="F1225" s="58"/>
      <c r="G1225" s="58"/>
      <c r="H1225" s="33" t="str">
        <f t="shared" si="1"/>
        <v/>
      </c>
      <c r="I1225" s="58"/>
      <c r="J1225" s="58"/>
      <c r="K1225" s="58"/>
      <c r="L1225" s="38"/>
      <c r="M1225" s="58"/>
      <c r="N1225" s="58"/>
      <c r="O1225" s="58"/>
      <c r="P1225" s="80"/>
      <c r="Q1225" s="77"/>
      <c r="R1225" s="62"/>
      <c r="S1225" s="58"/>
      <c r="T1225" s="84"/>
      <c r="U1225" s="62"/>
      <c r="V1225" s="37" t="str">
        <f>IFERROR(__xludf.DUMMYFUNCTION("if(not(iserror(index(split(C1225, "" ""),2))), index(split(C1225, "" ""),1),"""")"),"")</f>
        <v/>
      </c>
      <c r="W1225" s="315" t="str">
        <f>IFERROR(__xludf.DUMMYFUNCTION("if(V1225="""",C1225,if(not(iserror(index(split(C1225, "" ""),3))), index(split(C1225, "" ""),3),index(split(C1225, "" ""),2)))"),"")</f>
        <v/>
      </c>
      <c r="X1225" s="38" t="b">
        <f t="shared" si="2"/>
        <v>0</v>
      </c>
      <c r="Y1225" s="38"/>
      <c r="Z1225" s="40"/>
      <c r="AA1225" s="40"/>
      <c r="AB1225" s="38"/>
      <c r="AC1225" s="38"/>
      <c r="AD1225" s="38"/>
      <c r="AE1225" s="38"/>
      <c r="AF1225" s="38"/>
      <c r="AG1225" s="38"/>
      <c r="AH1225" s="38"/>
      <c r="AI1225" s="38"/>
      <c r="AJ1225" s="38"/>
      <c r="AK1225" s="38"/>
      <c r="AL1225" s="38"/>
      <c r="AM1225" s="38"/>
      <c r="AN1225" s="38"/>
      <c r="AO1225" s="38"/>
      <c r="AP1225" s="38"/>
      <c r="AQ1225" s="38"/>
      <c r="AR1225" s="38"/>
      <c r="AS1225" s="38"/>
      <c r="AT1225" s="38"/>
      <c r="AU1225" s="38"/>
      <c r="AV1225" s="38"/>
      <c r="AW1225" s="38"/>
      <c r="AX1225" s="38"/>
      <c r="AY1225" s="38"/>
      <c r="AZ1225" s="38"/>
      <c r="BA1225" s="38"/>
      <c r="BB1225" s="38"/>
      <c r="BC1225" s="38"/>
      <c r="BD1225" s="38"/>
      <c r="BE1225" s="38"/>
      <c r="BF1225" s="38"/>
      <c r="BG1225" s="38"/>
    </row>
    <row r="1226">
      <c r="A1226" s="58"/>
      <c r="B1226" s="341"/>
      <c r="C1226" s="60"/>
      <c r="D1226" s="60"/>
      <c r="E1226" s="58"/>
      <c r="F1226" s="58"/>
      <c r="G1226" s="58"/>
      <c r="H1226" s="33" t="str">
        <f t="shared" si="1"/>
        <v/>
      </c>
      <c r="I1226" s="58"/>
      <c r="J1226" s="58"/>
      <c r="K1226" s="58"/>
      <c r="L1226" s="38"/>
      <c r="M1226" s="58"/>
      <c r="N1226" s="58"/>
      <c r="O1226" s="58"/>
      <c r="P1226" s="80"/>
      <c r="Q1226" s="77"/>
      <c r="R1226" s="58"/>
      <c r="S1226" s="58"/>
      <c r="T1226" s="84"/>
      <c r="U1226" s="62"/>
      <c r="V1226" s="37" t="str">
        <f>IFERROR(__xludf.DUMMYFUNCTION("if(not(iserror(index(split(C1226, "" ""),2))), index(split(C1226, "" ""),1),"""")"),"")</f>
        <v/>
      </c>
      <c r="W1226" s="315" t="str">
        <f>IFERROR(__xludf.DUMMYFUNCTION("if(V1226="""",C1226,if(not(iserror(index(split(C1226, "" ""),3))), index(split(C1226, "" ""),3),index(split(C1226, "" ""),2)))"),"")</f>
        <v/>
      </c>
      <c r="X1226" s="38" t="b">
        <f t="shared" si="2"/>
        <v>0</v>
      </c>
      <c r="Y1226" s="38"/>
      <c r="Z1226" s="40"/>
      <c r="AA1226" s="40"/>
      <c r="AB1226" s="38"/>
      <c r="AC1226" s="38"/>
      <c r="AD1226" s="38"/>
      <c r="AE1226" s="38"/>
      <c r="AF1226" s="38"/>
      <c r="AG1226" s="38"/>
      <c r="AH1226" s="38"/>
      <c r="AI1226" s="38"/>
      <c r="AJ1226" s="38"/>
      <c r="AK1226" s="38"/>
      <c r="AL1226" s="38"/>
      <c r="AM1226" s="38"/>
      <c r="AN1226" s="38"/>
      <c r="AO1226" s="38"/>
      <c r="AP1226" s="38"/>
      <c r="AQ1226" s="38"/>
      <c r="AR1226" s="38"/>
      <c r="AS1226" s="38"/>
      <c r="AT1226" s="38"/>
      <c r="AU1226" s="38"/>
      <c r="AV1226" s="38"/>
      <c r="AW1226" s="38"/>
      <c r="AX1226" s="38"/>
      <c r="AY1226" s="38"/>
      <c r="AZ1226" s="38"/>
      <c r="BA1226" s="38"/>
      <c r="BB1226" s="38"/>
      <c r="BC1226" s="38"/>
      <c r="BD1226" s="38"/>
      <c r="BE1226" s="38"/>
      <c r="BF1226" s="38"/>
      <c r="BG1226" s="38"/>
    </row>
    <row r="1227">
      <c r="A1227" s="58"/>
      <c r="B1227" s="341"/>
      <c r="C1227" s="60"/>
      <c r="D1227" s="60"/>
      <c r="E1227" s="58"/>
      <c r="F1227" s="58"/>
      <c r="G1227" s="58"/>
      <c r="H1227" s="33" t="str">
        <f t="shared" si="1"/>
        <v/>
      </c>
      <c r="I1227" s="58"/>
      <c r="J1227" s="58"/>
      <c r="K1227" s="58"/>
      <c r="L1227" s="38"/>
      <c r="M1227" s="58"/>
      <c r="N1227" s="58"/>
      <c r="O1227" s="58"/>
      <c r="P1227" s="80"/>
      <c r="Q1227" s="77"/>
      <c r="R1227" s="58"/>
      <c r="S1227" s="58"/>
      <c r="T1227" s="84"/>
      <c r="U1227" s="62"/>
      <c r="V1227" s="37" t="str">
        <f>IFERROR(__xludf.DUMMYFUNCTION("if(not(iserror(index(split(C1227, "" ""),2))), index(split(C1227, "" ""),1),"""")"),"")</f>
        <v/>
      </c>
      <c r="W1227" s="315" t="str">
        <f>IFERROR(__xludf.DUMMYFUNCTION("if(V1227="""",C1227,if(not(iserror(index(split(C1227, "" ""),3))), index(split(C1227, "" ""),3),index(split(C1227, "" ""),2)))"),"")</f>
        <v/>
      </c>
      <c r="X1227" s="38" t="b">
        <f t="shared" si="2"/>
        <v>0</v>
      </c>
      <c r="Y1227" s="38"/>
      <c r="Z1227" s="40"/>
      <c r="AA1227" s="40"/>
      <c r="AB1227" s="38"/>
      <c r="AC1227" s="38"/>
      <c r="AD1227" s="38"/>
      <c r="AE1227" s="38"/>
      <c r="AF1227" s="38"/>
      <c r="AG1227" s="38"/>
      <c r="AH1227" s="38"/>
      <c r="AI1227" s="38"/>
      <c r="AJ1227" s="38"/>
      <c r="AK1227" s="38"/>
      <c r="AL1227" s="38"/>
      <c r="AM1227" s="38"/>
      <c r="AN1227" s="38"/>
      <c r="AO1227" s="38"/>
      <c r="AP1227" s="38"/>
      <c r="AQ1227" s="38"/>
      <c r="AR1227" s="38"/>
      <c r="AS1227" s="38"/>
      <c r="AT1227" s="38"/>
      <c r="AU1227" s="38"/>
      <c r="AV1227" s="38"/>
      <c r="AW1227" s="38"/>
      <c r="AX1227" s="38"/>
      <c r="AY1227" s="38"/>
      <c r="AZ1227" s="38"/>
      <c r="BA1227" s="38"/>
      <c r="BB1227" s="38"/>
      <c r="BC1227" s="38"/>
      <c r="BD1227" s="38"/>
      <c r="BE1227" s="38"/>
      <c r="BF1227" s="38"/>
      <c r="BG1227" s="38"/>
    </row>
    <row r="1228">
      <c r="A1228" s="58"/>
      <c r="B1228" s="341"/>
      <c r="C1228" s="60"/>
      <c r="D1228" s="60"/>
      <c r="E1228" s="58"/>
      <c r="F1228" s="58"/>
      <c r="G1228" s="58"/>
      <c r="H1228" s="33" t="str">
        <f t="shared" si="1"/>
        <v/>
      </c>
      <c r="I1228" s="58"/>
      <c r="J1228" s="58"/>
      <c r="K1228" s="58"/>
      <c r="L1228" s="38"/>
      <c r="M1228" s="58"/>
      <c r="N1228" s="58"/>
      <c r="O1228" s="58"/>
      <c r="P1228" s="80"/>
      <c r="Q1228" s="77"/>
      <c r="R1228" s="58"/>
      <c r="S1228" s="58"/>
      <c r="T1228" s="84"/>
      <c r="U1228" s="62"/>
      <c r="V1228" s="37" t="str">
        <f>IFERROR(__xludf.DUMMYFUNCTION("if(not(iserror(index(split(C1228, "" ""),2))), index(split(C1228, "" ""),1),"""")"),"")</f>
        <v/>
      </c>
      <c r="W1228" s="315" t="str">
        <f>IFERROR(__xludf.DUMMYFUNCTION("if(V1228="""",C1228,if(not(iserror(index(split(C1228, "" ""),3))), index(split(C1228, "" ""),3),index(split(C1228, "" ""),2)))"),"")</f>
        <v/>
      </c>
      <c r="X1228" s="38" t="b">
        <f t="shared" si="2"/>
        <v>0</v>
      </c>
      <c r="Y1228" s="38"/>
      <c r="Z1228" s="40"/>
      <c r="AA1228" s="40"/>
      <c r="AB1228" s="38"/>
      <c r="AC1228" s="38"/>
      <c r="AD1228" s="38"/>
      <c r="AE1228" s="38"/>
      <c r="AF1228" s="38"/>
      <c r="AG1228" s="38"/>
      <c r="AH1228" s="38"/>
      <c r="AI1228" s="38"/>
      <c r="AJ1228" s="38"/>
      <c r="AK1228" s="38"/>
      <c r="AL1228" s="38"/>
      <c r="AM1228" s="38"/>
      <c r="AN1228" s="38"/>
      <c r="AO1228" s="38"/>
      <c r="AP1228" s="38"/>
      <c r="AQ1228" s="38"/>
      <c r="AR1228" s="38"/>
      <c r="AS1228" s="38"/>
      <c r="AT1228" s="38"/>
      <c r="AU1228" s="38"/>
      <c r="AV1228" s="38"/>
      <c r="AW1228" s="38"/>
      <c r="AX1228" s="38"/>
      <c r="AY1228" s="38"/>
      <c r="AZ1228" s="38"/>
      <c r="BA1228" s="38"/>
      <c r="BB1228" s="38"/>
      <c r="BC1228" s="38"/>
      <c r="BD1228" s="38"/>
      <c r="BE1228" s="38"/>
      <c r="BF1228" s="38"/>
      <c r="BG1228" s="38"/>
    </row>
    <row r="1229">
      <c r="A1229" s="58"/>
      <c r="B1229" s="341"/>
      <c r="C1229" s="60"/>
      <c r="D1229" s="60"/>
      <c r="E1229" s="58"/>
      <c r="F1229" s="58"/>
      <c r="G1229" s="58"/>
      <c r="H1229" s="33" t="str">
        <f t="shared" si="1"/>
        <v/>
      </c>
      <c r="I1229" s="58"/>
      <c r="J1229" s="58"/>
      <c r="K1229" s="58"/>
      <c r="L1229" s="38"/>
      <c r="M1229" s="58"/>
      <c r="N1229" s="58"/>
      <c r="O1229" s="58"/>
      <c r="P1229" s="80"/>
      <c r="Q1229" s="77"/>
      <c r="R1229" s="58"/>
      <c r="S1229" s="58"/>
      <c r="T1229" s="84"/>
      <c r="U1229" s="62"/>
      <c r="V1229" s="37" t="str">
        <f>IFERROR(__xludf.DUMMYFUNCTION("if(not(iserror(index(split(C1229, "" ""),2))), index(split(C1229, "" ""),1),"""")"),"")</f>
        <v/>
      </c>
      <c r="W1229" s="315" t="str">
        <f>IFERROR(__xludf.DUMMYFUNCTION("if(V1229="""",C1229,if(not(iserror(index(split(C1229, "" ""),3))), index(split(C1229, "" ""),3),index(split(C1229, "" ""),2)))"),"")</f>
        <v/>
      </c>
      <c r="X1229" s="38" t="b">
        <f t="shared" si="2"/>
        <v>0</v>
      </c>
      <c r="Y1229" s="38"/>
      <c r="Z1229" s="40"/>
      <c r="AA1229" s="40"/>
      <c r="AB1229" s="38"/>
      <c r="AC1229" s="38"/>
      <c r="AD1229" s="38"/>
      <c r="AE1229" s="38"/>
      <c r="AF1229" s="38"/>
      <c r="AG1229" s="38"/>
      <c r="AH1229" s="38"/>
      <c r="AI1229" s="38"/>
      <c r="AJ1229" s="38"/>
      <c r="AK1229" s="38"/>
      <c r="AL1229" s="38"/>
      <c r="AM1229" s="38"/>
      <c r="AN1229" s="38"/>
      <c r="AO1229" s="38"/>
      <c r="AP1229" s="38"/>
      <c r="AQ1229" s="38"/>
      <c r="AR1229" s="38"/>
      <c r="AS1229" s="38"/>
      <c r="AT1229" s="38"/>
      <c r="AU1229" s="38"/>
      <c r="AV1229" s="38"/>
      <c r="AW1229" s="38"/>
      <c r="AX1229" s="38"/>
      <c r="AY1229" s="38"/>
      <c r="AZ1229" s="38"/>
      <c r="BA1229" s="38"/>
      <c r="BB1229" s="38"/>
      <c r="BC1229" s="38"/>
      <c r="BD1229" s="38"/>
      <c r="BE1229" s="38"/>
      <c r="BF1229" s="38"/>
      <c r="BG1229" s="38"/>
    </row>
    <row r="1230">
      <c r="A1230" s="58"/>
      <c r="B1230" s="341"/>
      <c r="C1230" s="60"/>
      <c r="D1230" s="60"/>
      <c r="E1230" s="58"/>
      <c r="F1230" s="58"/>
      <c r="G1230" s="58"/>
      <c r="H1230" s="33" t="str">
        <f t="shared" si="1"/>
        <v/>
      </c>
      <c r="I1230" s="58"/>
      <c r="J1230" s="58"/>
      <c r="K1230" s="58"/>
      <c r="L1230" s="38"/>
      <c r="M1230" s="58"/>
      <c r="N1230" s="58"/>
      <c r="O1230" s="58"/>
      <c r="P1230" s="80"/>
      <c r="Q1230" s="77"/>
      <c r="R1230" s="62"/>
      <c r="S1230" s="62"/>
      <c r="T1230" s="62"/>
      <c r="U1230" s="62"/>
      <c r="V1230" s="37" t="str">
        <f>IFERROR(__xludf.DUMMYFUNCTION("if(not(iserror(index(split(C1230, "" ""),2))), index(split(C1230, "" ""),1),"""")"),"")</f>
        <v/>
      </c>
      <c r="W1230" s="315" t="str">
        <f>IFERROR(__xludf.DUMMYFUNCTION("if(V1230="""",C1230,if(not(iserror(index(split(C1230, "" ""),3))), index(split(C1230, "" ""),3),index(split(C1230, "" ""),2)))"),"")</f>
        <v/>
      </c>
      <c r="X1230" s="38" t="b">
        <f t="shared" si="2"/>
        <v>0</v>
      </c>
      <c r="Y1230" s="38"/>
      <c r="Z1230" s="40"/>
      <c r="AA1230" s="40"/>
      <c r="AB1230" s="38"/>
      <c r="AC1230" s="38"/>
      <c r="AD1230" s="38"/>
      <c r="AE1230" s="38"/>
      <c r="AF1230" s="38"/>
      <c r="AG1230" s="38"/>
      <c r="AH1230" s="38"/>
      <c r="AI1230" s="38"/>
      <c r="AJ1230" s="38"/>
      <c r="AK1230" s="38"/>
      <c r="AL1230" s="38"/>
      <c r="AM1230" s="38"/>
      <c r="AN1230" s="38"/>
      <c r="AO1230" s="38"/>
      <c r="AP1230" s="38"/>
      <c r="AQ1230" s="38"/>
      <c r="AR1230" s="38"/>
      <c r="AS1230" s="38"/>
      <c r="AT1230" s="38"/>
      <c r="AU1230" s="38"/>
      <c r="AV1230" s="38"/>
      <c r="AW1230" s="38"/>
      <c r="AX1230" s="38"/>
      <c r="AY1230" s="38"/>
      <c r="AZ1230" s="38"/>
      <c r="BA1230" s="38"/>
      <c r="BB1230" s="38"/>
      <c r="BC1230" s="38"/>
      <c r="BD1230" s="38"/>
      <c r="BE1230" s="38"/>
      <c r="BF1230" s="38"/>
      <c r="BG1230" s="38"/>
    </row>
    <row r="1231">
      <c r="A1231" s="81"/>
      <c r="B1231" s="341"/>
      <c r="C1231" s="60"/>
      <c r="D1231" s="60"/>
      <c r="E1231" s="58"/>
      <c r="F1231" s="58"/>
      <c r="G1231" s="58"/>
      <c r="H1231" s="33" t="str">
        <f t="shared" si="1"/>
        <v/>
      </c>
      <c r="I1231" s="58"/>
      <c r="J1231" s="58"/>
      <c r="K1231" s="58"/>
      <c r="L1231" s="38"/>
      <c r="M1231" s="58"/>
      <c r="N1231" s="58"/>
      <c r="O1231" s="58"/>
      <c r="P1231" s="80"/>
      <c r="Q1231" s="77"/>
      <c r="R1231" s="62"/>
      <c r="S1231" s="62"/>
      <c r="T1231" s="62"/>
      <c r="U1231" s="62"/>
      <c r="V1231" s="37" t="str">
        <f>IFERROR(__xludf.DUMMYFUNCTION("if(not(iserror(index(split(C1231, "" ""),2))), index(split(C1231, "" ""),1),"""")"),"")</f>
        <v/>
      </c>
      <c r="W1231" s="315" t="str">
        <f>IFERROR(__xludf.DUMMYFUNCTION("if(V1231="""",C1231,if(not(iserror(index(split(C1231, "" ""),3))), index(split(C1231, "" ""),3),index(split(C1231, "" ""),2)))"),"")</f>
        <v/>
      </c>
      <c r="X1231" s="38" t="b">
        <f t="shared" si="2"/>
        <v>0</v>
      </c>
      <c r="Y1231" s="38"/>
      <c r="Z1231" s="40"/>
      <c r="AA1231" s="40"/>
      <c r="AB1231" s="38"/>
      <c r="AC1231" s="38"/>
      <c r="AD1231" s="38"/>
      <c r="AE1231" s="38"/>
      <c r="AF1231" s="38"/>
      <c r="AG1231" s="38"/>
      <c r="AH1231" s="38"/>
      <c r="AI1231" s="38"/>
      <c r="AJ1231" s="38"/>
      <c r="AK1231" s="38"/>
      <c r="AL1231" s="38"/>
      <c r="AM1231" s="38"/>
      <c r="AN1231" s="38"/>
      <c r="AO1231" s="38"/>
      <c r="AP1231" s="38"/>
      <c r="AQ1231" s="38"/>
      <c r="AR1231" s="38"/>
      <c r="AS1231" s="38"/>
      <c r="AT1231" s="38"/>
      <c r="AU1231" s="38"/>
      <c r="AV1231" s="38"/>
      <c r="AW1231" s="38"/>
      <c r="AX1231" s="38"/>
      <c r="AY1231" s="38"/>
      <c r="AZ1231" s="38"/>
      <c r="BA1231" s="38"/>
      <c r="BB1231" s="38"/>
      <c r="BC1231" s="38"/>
      <c r="BD1231" s="38"/>
      <c r="BE1231" s="38"/>
      <c r="BF1231" s="38"/>
      <c r="BG1231" s="38"/>
    </row>
    <row r="1232">
      <c r="A1232" s="58"/>
      <c r="B1232" s="341"/>
      <c r="C1232" s="60"/>
      <c r="D1232" s="60"/>
      <c r="E1232" s="58"/>
      <c r="F1232" s="58"/>
      <c r="G1232" s="58"/>
      <c r="H1232" s="33" t="str">
        <f t="shared" si="1"/>
        <v/>
      </c>
      <c r="I1232" s="58"/>
      <c r="J1232" s="58"/>
      <c r="K1232" s="58"/>
      <c r="L1232" s="38"/>
      <c r="M1232" s="58"/>
      <c r="N1232" s="58"/>
      <c r="O1232" s="58"/>
      <c r="P1232" s="80"/>
      <c r="Q1232" s="77"/>
      <c r="R1232" s="62"/>
      <c r="S1232" s="62"/>
      <c r="T1232" s="62"/>
      <c r="U1232" s="62"/>
      <c r="V1232" s="37" t="str">
        <f>IFERROR(__xludf.DUMMYFUNCTION("if(not(iserror(index(split(C1232, "" ""),2))), index(split(C1232, "" ""),1),"""")"),"")</f>
        <v/>
      </c>
      <c r="W1232" s="315" t="str">
        <f>IFERROR(__xludf.DUMMYFUNCTION("if(V1232="""",C1232,if(not(iserror(index(split(C1232, "" ""),3))), index(split(C1232, "" ""),3),index(split(C1232, "" ""),2)))"),"")</f>
        <v/>
      </c>
      <c r="X1232" s="38" t="b">
        <f t="shared" si="2"/>
        <v>0</v>
      </c>
      <c r="Y1232" s="38"/>
      <c r="Z1232" s="40"/>
      <c r="AA1232" s="40"/>
      <c r="AB1232" s="38"/>
      <c r="AC1232" s="38"/>
      <c r="AD1232" s="38"/>
      <c r="AE1232" s="38"/>
      <c r="AF1232" s="38"/>
      <c r="AG1232" s="38"/>
      <c r="AH1232" s="38"/>
      <c r="AI1232" s="38"/>
      <c r="AJ1232" s="38"/>
      <c r="AK1232" s="38"/>
      <c r="AL1232" s="38"/>
      <c r="AM1232" s="38"/>
      <c r="AN1232" s="38"/>
      <c r="AO1232" s="38"/>
      <c r="AP1232" s="38"/>
      <c r="AQ1232" s="38"/>
      <c r="AR1232" s="38"/>
      <c r="AS1232" s="38"/>
      <c r="AT1232" s="38"/>
      <c r="AU1232" s="38"/>
      <c r="AV1232" s="38"/>
      <c r="AW1232" s="38"/>
      <c r="AX1232" s="38"/>
      <c r="AY1232" s="38"/>
      <c r="AZ1232" s="38"/>
      <c r="BA1232" s="38"/>
      <c r="BB1232" s="38"/>
      <c r="BC1232" s="38"/>
      <c r="BD1232" s="38"/>
      <c r="BE1232" s="38"/>
      <c r="BF1232" s="38"/>
      <c r="BG1232" s="38"/>
    </row>
    <row r="1233">
      <c r="A1233" s="58"/>
      <c r="B1233" s="341"/>
      <c r="C1233" s="60"/>
      <c r="D1233" s="60"/>
      <c r="E1233" s="58"/>
      <c r="F1233" s="58"/>
      <c r="G1233" s="58"/>
      <c r="H1233" s="33" t="str">
        <f t="shared" si="1"/>
        <v/>
      </c>
      <c r="I1233" s="58"/>
      <c r="J1233" s="58"/>
      <c r="K1233" s="58"/>
      <c r="L1233" s="38"/>
      <c r="M1233" s="58"/>
      <c r="N1233" s="58"/>
      <c r="O1233" s="58"/>
      <c r="P1233" s="80"/>
      <c r="Q1233" s="77"/>
      <c r="R1233" s="62"/>
      <c r="S1233" s="62"/>
      <c r="T1233" s="62"/>
      <c r="U1233" s="62"/>
      <c r="V1233" s="37" t="str">
        <f>IFERROR(__xludf.DUMMYFUNCTION("if(not(iserror(index(split(C1233, "" ""),2))), index(split(C1233, "" ""),1),"""")"),"")</f>
        <v/>
      </c>
      <c r="W1233" s="315" t="str">
        <f>IFERROR(__xludf.DUMMYFUNCTION("if(V1233="""",C1233,if(not(iserror(index(split(C1233, "" ""),3))), index(split(C1233, "" ""),3),index(split(C1233, "" ""),2)))"),"")</f>
        <v/>
      </c>
      <c r="X1233" s="38" t="b">
        <f t="shared" si="2"/>
        <v>0</v>
      </c>
      <c r="Y1233" s="38"/>
      <c r="Z1233" s="40"/>
      <c r="AA1233" s="40"/>
      <c r="AB1233" s="38"/>
      <c r="AC1233" s="38"/>
      <c r="AD1233" s="38"/>
      <c r="AE1233" s="38"/>
      <c r="AF1233" s="38"/>
      <c r="AG1233" s="38"/>
      <c r="AH1233" s="38"/>
      <c r="AI1233" s="38"/>
      <c r="AJ1233" s="38"/>
      <c r="AK1233" s="38"/>
      <c r="AL1233" s="38"/>
      <c r="AM1233" s="38"/>
      <c r="AN1233" s="38"/>
      <c r="AO1233" s="38"/>
      <c r="AP1233" s="38"/>
      <c r="AQ1233" s="38"/>
      <c r="AR1233" s="38"/>
      <c r="AS1233" s="38"/>
      <c r="AT1233" s="38"/>
      <c r="AU1233" s="38"/>
      <c r="AV1233" s="38"/>
      <c r="AW1233" s="38"/>
      <c r="AX1233" s="38"/>
      <c r="AY1233" s="38"/>
      <c r="AZ1233" s="38"/>
      <c r="BA1233" s="38"/>
      <c r="BB1233" s="38"/>
      <c r="BC1233" s="38"/>
      <c r="BD1233" s="38"/>
      <c r="BE1233" s="38"/>
      <c r="BF1233" s="38"/>
      <c r="BG1233" s="38"/>
    </row>
    <row r="1234">
      <c r="A1234" s="58"/>
      <c r="B1234" s="341"/>
      <c r="C1234" s="60"/>
      <c r="D1234" s="60"/>
      <c r="E1234" s="58"/>
      <c r="F1234" s="58"/>
      <c r="G1234" s="58"/>
      <c r="H1234" s="33" t="str">
        <f t="shared" si="1"/>
        <v/>
      </c>
      <c r="I1234" s="58"/>
      <c r="J1234" s="58"/>
      <c r="K1234" s="58"/>
      <c r="L1234" s="38"/>
      <c r="M1234" s="58"/>
      <c r="N1234" s="58"/>
      <c r="O1234" s="58"/>
      <c r="P1234" s="80"/>
      <c r="Q1234" s="77"/>
      <c r="R1234" s="62"/>
      <c r="S1234" s="62"/>
      <c r="T1234" s="62"/>
      <c r="U1234" s="62"/>
      <c r="V1234" s="37" t="str">
        <f>IFERROR(__xludf.DUMMYFUNCTION("if(not(iserror(index(split(C1234, "" ""),2))), index(split(C1234, "" ""),1),"""")"),"")</f>
        <v/>
      </c>
      <c r="W1234" s="315" t="str">
        <f>IFERROR(__xludf.DUMMYFUNCTION("if(V1234="""",C1234,if(not(iserror(index(split(C1234, "" ""),3))), index(split(C1234, "" ""),3),index(split(C1234, "" ""),2)))"),"")</f>
        <v/>
      </c>
      <c r="X1234" s="38" t="b">
        <f t="shared" si="2"/>
        <v>0</v>
      </c>
      <c r="Y1234" s="38"/>
      <c r="Z1234" s="40"/>
      <c r="AA1234" s="40"/>
      <c r="AB1234" s="38"/>
      <c r="AC1234" s="38"/>
      <c r="AD1234" s="38"/>
      <c r="AE1234" s="38"/>
      <c r="AF1234" s="38"/>
      <c r="AG1234" s="38"/>
      <c r="AH1234" s="38"/>
      <c r="AI1234" s="38"/>
      <c r="AJ1234" s="38"/>
      <c r="AK1234" s="38"/>
      <c r="AL1234" s="38"/>
      <c r="AM1234" s="38"/>
      <c r="AN1234" s="38"/>
      <c r="AO1234" s="38"/>
      <c r="AP1234" s="38"/>
      <c r="AQ1234" s="38"/>
      <c r="AR1234" s="38"/>
      <c r="AS1234" s="38"/>
      <c r="AT1234" s="38"/>
      <c r="AU1234" s="38"/>
      <c r="AV1234" s="38"/>
      <c r="AW1234" s="38"/>
      <c r="AX1234" s="38"/>
      <c r="AY1234" s="38"/>
      <c r="AZ1234" s="38"/>
      <c r="BA1234" s="38"/>
      <c r="BB1234" s="38"/>
      <c r="BC1234" s="38"/>
      <c r="BD1234" s="38"/>
      <c r="BE1234" s="38"/>
      <c r="BF1234" s="38"/>
      <c r="BG1234" s="38"/>
    </row>
    <row r="1235">
      <c r="A1235" s="81"/>
      <c r="B1235" s="341"/>
      <c r="C1235" s="60"/>
      <c r="D1235" s="60"/>
      <c r="E1235" s="58"/>
      <c r="F1235" s="58"/>
      <c r="G1235" s="58"/>
      <c r="H1235" s="33" t="str">
        <f t="shared" si="1"/>
        <v/>
      </c>
      <c r="I1235" s="58"/>
      <c r="J1235" s="58"/>
      <c r="K1235" s="58"/>
      <c r="L1235" s="38"/>
      <c r="M1235" s="58"/>
      <c r="N1235" s="58"/>
      <c r="O1235" s="58"/>
      <c r="P1235" s="80"/>
      <c r="Q1235" s="77"/>
      <c r="R1235" s="62"/>
      <c r="S1235" s="62"/>
      <c r="T1235" s="62"/>
      <c r="U1235" s="62"/>
      <c r="V1235" s="37" t="str">
        <f>IFERROR(__xludf.DUMMYFUNCTION("if(not(iserror(index(split(C1235, "" ""),2))), index(split(C1235, "" ""),1),"""")"),"")</f>
        <v/>
      </c>
      <c r="W1235" s="315" t="str">
        <f>IFERROR(__xludf.DUMMYFUNCTION("if(V1235="""",C1235,if(not(iserror(index(split(C1235, "" ""),3))), index(split(C1235, "" ""),3),index(split(C1235, "" ""),2)))"),"")</f>
        <v/>
      </c>
      <c r="X1235" s="38" t="b">
        <f t="shared" si="2"/>
        <v>0</v>
      </c>
      <c r="Y1235" s="38"/>
      <c r="Z1235" s="40"/>
      <c r="AA1235" s="40"/>
      <c r="AB1235" s="38"/>
      <c r="AC1235" s="38"/>
      <c r="AD1235" s="38"/>
      <c r="AE1235" s="38"/>
      <c r="AF1235" s="38"/>
      <c r="AG1235" s="38"/>
      <c r="AH1235" s="38"/>
      <c r="AI1235" s="38"/>
      <c r="AJ1235" s="38"/>
      <c r="AK1235" s="38"/>
      <c r="AL1235" s="38"/>
      <c r="AM1235" s="38"/>
      <c r="AN1235" s="38"/>
      <c r="AO1235" s="38"/>
      <c r="AP1235" s="38"/>
      <c r="AQ1235" s="38"/>
      <c r="AR1235" s="38"/>
      <c r="AS1235" s="38"/>
      <c r="AT1235" s="38"/>
      <c r="AU1235" s="38"/>
      <c r="AV1235" s="38"/>
      <c r="AW1235" s="38"/>
      <c r="AX1235" s="38"/>
      <c r="AY1235" s="38"/>
      <c r="AZ1235" s="38"/>
      <c r="BA1235" s="38"/>
      <c r="BB1235" s="38"/>
      <c r="BC1235" s="38"/>
      <c r="BD1235" s="38"/>
      <c r="BE1235" s="38"/>
      <c r="BF1235" s="38"/>
      <c r="BG1235" s="38"/>
    </row>
    <row r="1236">
      <c r="A1236" s="58"/>
      <c r="B1236" s="341"/>
      <c r="C1236" s="60"/>
      <c r="D1236" s="60"/>
      <c r="E1236" s="58"/>
      <c r="F1236" s="58"/>
      <c r="G1236" s="58"/>
      <c r="H1236" s="33" t="str">
        <f t="shared" si="1"/>
        <v/>
      </c>
      <c r="I1236" s="58"/>
      <c r="J1236" s="58"/>
      <c r="K1236" s="58"/>
      <c r="L1236" s="38"/>
      <c r="M1236" s="58"/>
      <c r="N1236" s="58"/>
      <c r="O1236" s="58"/>
      <c r="P1236" s="80"/>
      <c r="Q1236" s="77"/>
      <c r="R1236" s="62"/>
      <c r="S1236" s="62"/>
      <c r="T1236" s="62"/>
      <c r="U1236" s="62"/>
      <c r="V1236" s="37" t="str">
        <f>IFERROR(__xludf.DUMMYFUNCTION("if(not(iserror(index(split(C1236, "" ""),2))), index(split(C1236, "" ""),1),"""")"),"")</f>
        <v/>
      </c>
      <c r="W1236" s="315" t="str">
        <f>IFERROR(__xludf.DUMMYFUNCTION("if(V1236="""",C1236,if(not(iserror(index(split(C1236, "" ""),3))), index(split(C1236, "" ""),3),index(split(C1236, "" ""),2)))"),"")</f>
        <v/>
      </c>
      <c r="X1236" s="38" t="b">
        <f t="shared" si="2"/>
        <v>0</v>
      </c>
      <c r="Y1236" s="38"/>
      <c r="Z1236" s="40"/>
      <c r="AA1236" s="40"/>
      <c r="AB1236" s="38"/>
      <c r="AC1236" s="38"/>
      <c r="AD1236" s="38"/>
      <c r="AE1236" s="38"/>
      <c r="AF1236" s="38"/>
      <c r="AG1236" s="38"/>
      <c r="AH1236" s="38"/>
      <c r="AI1236" s="38"/>
      <c r="AJ1236" s="38"/>
      <c r="AK1236" s="38"/>
      <c r="AL1236" s="38"/>
      <c r="AM1236" s="38"/>
      <c r="AN1236" s="38"/>
      <c r="AO1236" s="38"/>
      <c r="AP1236" s="38"/>
      <c r="AQ1236" s="38"/>
      <c r="AR1236" s="38"/>
      <c r="AS1236" s="38"/>
      <c r="AT1236" s="38"/>
      <c r="AU1236" s="38"/>
      <c r="AV1236" s="38"/>
      <c r="AW1236" s="38"/>
      <c r="AX1236" s="38"/>
      <c r="AY1236" s="38"/>
      <c r="AZ1236" s="38"/>
      <c r="BA1236" s="38"/>
      <c r="BB1236" s="38"/>
      <c r="BC1236" s="38"/>
      <c r="BD1236" s="38"/>
      <c r="BE1236" s="38"/>
      <c r="BF1236" s="38"/>
      <c r="BG1236" s="38"/>
    </row>
    <row r="1237">
      <c r="A1237" s="58"/>
      <c r="B1237" s="341"/>
      <c r="C1237" s="60"/>
      <c r="D1237" s="60"/>
      <c r="E1237" s="58"/>
      <c r="F1237" s="58"/>
      <c r="G1237" s="58"/>
      <c r="H1237" s="33" t="str">
        <f t="shared" si="1"/>
        <v/>
      </c>
      <c r="I1237" s="58"/>
      <c r="J1237" s="58"/>
      <c r="K1237" s="58"/>
      <c r="L1237" s="38"/>
      <c r="M1237" s="58"/>
      <c r="N1237" s="58"/>
      <c r="O1237" s="58"/>
      <c r="P1237" s="80"/>
      <c r="Q1237" s="77"/>
      <c r="R1237" s="62"/>
      <c r="S1237" s="62"/>
      <c r="T1237" s="62"/>
      <c r="U1237" s="62"/>
      <c r="V1237" s="37" t="str">
        <f>IFERROR(__xludf.DUMMYFUNCTION("if(not(iserror(index(split(C1237, "" ""),2))), index(split(C1237, "" ""),1),"""")"),"")</f>
        <v/>
      </c>
      <c r="W1237" s="315" t="str">
        <f>IFERROR(__xludf.DUMMYFUNCTION("if(V1237="""",C1237,if(not(iserror(index(split(C1237, "" ""),3))), index(split(C1237, "" ""),3),index(split(C1237, "" ""),2)))"),"")</f>
        <v/>
      </c>
      <c r="X1237" s="38" t="b">
        <f t="shared" si="2"/>
        <v>0</v>
      </c>
      <c r="Y1237" s="38"/>
      <c r="Z1237" s="40"/>
      <c r="AA1237" s="40"/>
      <c r="AB1237" s="38"/>
      <c r="AC1237" s="38"/>
      <c r="AD1237" s="38"/>
      <c r="AE1237" s="38"/>
      <c r="AF1237" s="38"/>
      <c r="AG1237" s="38"/>
      <c r="AH1237" s="38"/>
      <c r="AI1237" s="38"/>
      <c r="AJ1237" s="38"/>
      <c r="AK1237" s="38"/>
      <c r="AL1237" s="38"/>
      <c r="AM1237" s="38"/>
      <c r="AN1237" s="38"/>
      <c r="AO1237" s="38"/>
      <c r="AP1237" s="38"/>
      <c r="AQ1237" s="38"/>
      <c r="AR1237" s="38"/>
      <c r="AS1237" s="38"/>
      <c r="AT1237" s="38"/>
      <c r="AU1237" s="38"/>
      <c r="AV1237" s="38"/>
      <c r="AW1237" s="38"/>
      <c r="AX1237" s="38"/>
      <c r="AY1237" s="38"/>
      <c r="AZ1237" s="38"/>
      <c r="BA1237" s="38"/>
      <c r="BB1237" s="38"/>
      <c r="BC1237" s="38"/>
      <c r="BD1237" s="38"/>
      <c r="BE1237" s="38"/>
      <c r="BF1237" s="38"/>
      <c r="BG1237" s="38"/>
    </row>
    <row r="1238">
      <c r="A1238" s="58"/>
      <c r="B1238" s="341"/>
      <c r="C1238" s="60"/>
      <c r="D1238" s="60"/>
      <c r="E1238" s="58"/>
      <c r="F1238" s="58"/>
      <c r="G1238" s="58"/>
      <c r="H1238" s="33" t="str">
        <f t="shared" si="1"/>
        <v/>
      </c>
      <c r="I1238" s="58"/>
      <c r="J1238" s="58"/>
      <c r="K1238" s="58"/>
      <c r="L1238" s="38"/>
      <c r="M1238" s="58"/>
      <c r="N1238" s="58"/>
      <c r="O1238" s="58"/>
      <c r="P1238" s="80"/>
      <c r="Q1238" s="77"/>
      <c r="R1238" s="62"/>
      <c r="S1238" s="58"/>
      <c r="T1238" s="84"/>
      <c r="U1238" s="62"/>
      <c r="V1238" s="37" t="str">
        <f>IFERROR(__xludf.DUMMYFUNCTION("if(not(iserror(index(split(C1238, "" ""),2))), index(split(C1238, "" ""),1),"""")"),"")</f>
        <v/>
      </c>
      <c r="W1238" s="315" t="str">
        <f>IFERROR(__xludf.DUMMYFUNCTION("if(V1238="""",C1238,if(not(iserror(index(split(C1238, "" ""),3))), index(split(C1238, "" ""),3),index(split(C1238, "" ""),2)))"),"")</f>
        <v/>
      </c>
      <c r="X1238" s="38" t="b">
        <f t="shared" si="2"/>
        <v>0</v>
      </c>
      <c r="Y1238" s="38"/>
      <c r="Z1238" s="40"/>
      <c r="AA1238" s="40"/>
      <c r="AB1238" s="38"/>
      <c r="AC1238" s="38"/>
      <c r="AD1238" s="38"/>
      <c r="AE1238" s="38"/>
      <c r="AF1238" s="38"/>
      <c r="AG1238" s="38"/>
      <c r="AH1238" s="38"/>
      <c r="AI1238" s="38"/>
      <c r="AJ1238" s="38"/>
      <c r="AK1238" s="38"/>
      <c r="AL1238" s="38"/>
      <c r="AM1238" s="38"/>
      <c r="AN1238" s="38"/>
      <c r="AO1238" s="38"/>
      <c r="AP1238" s="38"/>
      <c r="AQ1238" s="38"/>
      <c r="AR1238" s="38"/>
      <c r="AS1238" s="38"/>
      <c r="AT1238" s="38"/>
      <c r="AU1238" s="38"/>
      <c r="AV1238" s="38"/>
      <c r="AW1238" s="38"/>
      <c r="AX1238" s="38"/>
      <c r="AY1238" s="38"/>
      <c r="AZ1238" s="38"/>
      <c r="BA1238" s="38"/>
      <c r="BB1238" s="38"/>
      <c r="BC1238" s="38"/>
      <c r="BD1238" s="38"/>
      <c r="BE1238" s="38"/>
      <c r="BF1238" s="38"/>
      <c r="BG1238" s="38"/>
    </row>
    <row r="1239">
      <c r="A1239" s="58"/>
      <c r="B1239" s="341"/>
      <c r="C1239" s="60"/>
      <c r="D1239" s="60"/>
      <c r="E1239" s="58"/>
      <c r="F1239" s="58"/>
      <c r="G1239" s="58"/>
      <c r="H1239" s="33" t="str">
        <f t="shared" si="1"/>
        <v/>
      </c>
      <c r="I1239" s="58"/>
      <c r="J1239" s="58"/>
      <c r="K1239" s="58"/>
      <c r="L1239" s="38"/>
      <c r="M1239" s="58"/>
      <c r="N1239" s="58"/>
      <c r="O1239" s="58"/>
      <c r="P1239" s="80"/>
      <c r="Q1239" s="77"/>
      <c r="R1239" s="58"/>
      <c r="S1239" s="62"/>
      <c r="T1239" s="84"/>
      <c r="U1239" s="62"/>
      <c r="V1239" s="37" t="str">
        <f>IFERROR(__xludf.DUMMYFUNCTION("if(not(iserror(index(split(C1239, "" ""),2))), index(split(C1239, "" ""),1),"""")"),"")</f>
        <v/>
      </c>
      <c r="W1239" s="315" t="str">
        <f>IFERROR(__xludf.DUMMYFUNCTION("if(V1239="""",C1239,if(not(iserror(index(split(C1239, "" ""),3))), index(split(C1239, "" ""),3),index(split(C1239, "" ""),2)))"),"")</f>
        <v/>
      </c>
      <c r="X1239" s="38" t="b">
        <f t="shared" si="2"/>
        <v>0</v>
      </c>
      <c r="Y1239" s="38"/>
      <c r="Z1239" s="40"/>
      <c r="AA1239" s="40"/>
      <c r="AB1239" s="38"/>
      <c r="AC1239" s="38"/>
      <c r="AD1239" s="38"/>
      <c r="AE1239" s="38"/>
      <c r="AF1239" s="38"/>
      <c r="AG1239" s="38"/>
      <c r="AH1239" s="38"/>
      <c r="AI1239" s="38"/>
      <c r="AJ1239" s="38"/>
      <c r="AK1239" s="38"/>
      <c r="AL1239" s="38"/>
      <c r="AM1239" s="38"/>
      <c r="AN1239" s="38"/>
      <c r="AO1239" s="38"/>
      <c r="AP1239" s="38"/>
      <c r="AQ1239" s="38"/>
      <c r="AR1239" s="38"/>
      <c r="AS1239" s="38"/>
      <c r="AT1239" s="38"/>
      <c r="AU1239" s="38"/>
      <c r="AV1239" s="38"/>
      <c r="AW1239" s="38"/>
      <c r="AX1239" s="38"/>
      <c r="AY1239" s="38"/>
      <c r="AZ1239" s="38"/>
      <c r="BA1239" s="38"/>
      <c r="BB1239" s="38"/>
      <c r="BC1239" s="38"/>
      <c r="BD1239" s="38"/>
      <c r="BE1239" s="38"/>
      <c r="BF1239" s="38"/>
      <c r="BG1239" s="38"/>
    </row>
    <row r="1240">
      <c r="A1240" s="58"/>
      <c r="B1240" s="341"/>
      <c r="C1240" s="60"/>
      <c r="D1240" s="60"/>
      <c r="E1240" s="58"/>
      <c r="F1240" s="58"/>
      <c r="G1240" s="58"/>
      <c r="H1240" s="33" t="str">
        <f t="shared" si="1"/>
        <v/>
      </c>
      <c r="I1240" s="58"/>
      <c r="J1240" s="58"/>
      <c r="K1240" s="58"/>
      <c r="L1240" s="38"/>
      <c r="M1240" s="58"/>
      <c r="N1240" s="58"/>
      <c r="O1240" s="58"/>
      <c r="P1240" s="80"/>
      <c r="Q1240" s="77"/>
      <c r="R1240" s="62"/>
      <c r="S1240" s="62"/>
      <c r="T1240" s="62"/>
      <c r="U1240" s="62"/>
      <c r="V1240" s="37" t="str">
        <f>IFERROR(__xludf.DUMMYFUNCTION("if(not(iserror(index(split(C1240, "" ""),2))), index(split(C1240, "" ""),1),"""")"),"")</f>
        <v/>
      </c>
      <c r="W1240" s="315" t="str">
        <f>IFERROR(__xludf.DUMMYFUNCTION("if(V1240="""",C1240,if(not(iserror(index(split(C1240, "" ""),3))), index(split(C1240, "" ""),3),index(split(C1240, "" ""),2)))"),"")</f>
        <v/>
      </c>
      <c r="X1240" s="38" t="b">
        <f t="shared" si="2"/>
        <v>0</v>
      </c>
      <c r="Y1240" s="38"/>
      <c r="Z1240" s="40"/>
      <c r="AA1240" s="40"/>
      <c r="AB1240" s="38"/>
      <c r="AC1240" s="38"/>
      <c r="AD1240" s="38"/>
      <c r="AE1240" s="38"/>
      <c r="AF1240" s="38"/>
      <c r="AG1240" s="38"/>
      <c r="AH1240" s="38"/>
      <c r="AI1240" s="38"/>
      <c r="AJ1240" s="38"/>
      <c r="AK1240" s="38"/>
      <c r="AL1240" s="38"/>
      <c r="AM1240" s="38"/>
      <c r="AN1240" s="38"/>
      <c r="AO1240" s="38"/>
      <c r="AP1240" s="38"/>
      <c r="AQ1240" s="38"/>
      <c r="AR1240" s="38"/>
      <c r="AS1240" s="38"/>
      <c r="AT1240" s="38"/>
      <c r="AU1240" s="38"/>
      <c r="AV1240" s="38"/>
      <c r="AW1240" s="38"/>
      <c r="AX1240" s="38"/>
      <c r="AY1240" s="38"/>
      <c r="AZ1240" s="38"/>
      <c r="BA1240" s="38"/>
      <c r="BB1240" s="38"/>
      <c r="BC1240" s="38"/>
      <c r="BD1240" s="38"/>
      <c r="BE1240" s="38"/>
      <c r="BF1240" s="38"/>
      <c r="BG1240" s="38"/>
    </row>
    <row r="1241">
      <c r="A1241" s="58"/>
      <c r="B1241" s="341"/>
      <c r="C1241" s="60"/>
      <c r="D1241" s="60"/>
      <c r="E1241" s="58"/>
      <c r="F1241" s="58"/>
      <c r="G1241" s="58"/>
      <c r="H1241" s="33" t="str">
        <f t="shared" si="1"/>
        <v/>
      </c>
      <c r="I1241" s="58"/>
      <c r="J1241" s="58"/>
      <c r="K1241" s="58"/>
      <c r="L1241" s="38"/>
      <c r="M1241" s="58"/>
      <c r="N1241" s="58"/>
      <c r="O1241" s="58"/>
      <c r="P1241" s="80"/>
      <c r="Q1241" s="77"/>
      <c r="R1241" s="62"/>
      <c r="S1241" s="62"/>
      <c r="T1241" s="62"/>
      <c r="U1241" s="62"/>
      <c r="V1241" s="37" t="str">
        <f>IFERROR(__xludf.DUMMYFUNCTION("if(not(iserror(index(split(C1241, "" ""),2))), index(split(C1241, "" ""),1),"""")"),"")</f>
        <v/>
      </c>
      <c r="W1241" s="315" t="str">
        <f>IFERROR(__xludf.DUMMYFUNCTION("if(V1241="""",C1241,if(not(iserror(index(split(C1241, "" ""),3))), index(split(C1241, "" ""),3),index(split(C1241, "" ""),2)))"),"")</f>
        <v/>
      </c>
      <c r="X1241" s="38" t="b">
        <f t="shared" si="2"/>
        <v>0</v>
      </c>
      <c r="Y1241" s="38"/>
      <c r="Z1241" s="40"/>
      <c r="AA1241" s="40"/>
      <c r="AB1241" s="38"/>
      <c r="AC1241" s="38"/>
      <c r="AD1241" s="38"/>
      <c r="AE1241" s="38"/>
      <c r="AF1241" s="38"/>
      <c r="AG1241" s="38"/>
      <c r="AH1241" s="38"/>
      <c r="AI1241" s="38"/>
      <c r="AJ1241" s="38"/>
      <c r="AK1241" s="38"/>
      <c r="AL1241" s="38"/>
      <c r="AM1241" s="38"/>
      <c r="AN1241" s="38"/>
      <c r="AO1241" s="38"/>
      <c r="AP1241" s="38"/>
      <c r="AQ1241" s="38"/>
      <c r="AR1241" s="38"/>
      <c r="AS1241" s="38"/>
      <c r="AT1241" s="38"/>
      <c r="AU1241" s="38"/>
      <c r="AV1241" s="38"/>
      <c r="AW1241" s="38"/>
      <c r="AX1241" s="38"/>
      <c r="AY1241" s="38"/>
      <c r="AZ1241" s="38"/>
      <c r="BA1241" s="38"/>
      <c r="BB1241" s="38"/>
      <c r="BC1241" s="38"/>
      <c r="BD1241" s="38"/>
      <c r="BE1241" s="38"/>
      <c r="BF1241" s="38"/>
      <c r="BG1241" s="38"/>
    </row>
    <row r="1242">
      <c r="A1242" s="58"/>
      <c r="B1242" s="341"/>
      <c r="C1242" s="60"/>
      <c r="D1242" s="60"/>
      <c r="E1242" s="58"/>
      <c r="F1242" s="58"/>
      <c r="G1242" s="58"/>
      <c r="H1242" s="33" t="str">
        <f t="shared" si="1"/>
        <v/>
      </c>
      <c r="I1242" s="58"/>
      <c r="J1242" s="58"/>
      <c r="K1242" s="58"/>
      <c r="L1242" s="38"/>
      <c r="M1242" s="58"/>
      <c r="N1242" s="58"/>
      <c r="O1242" s="58"/>
      <c r="P1242" s="80"/>
      <c r="Q1242" s="77"/>
      <c r="R1242" s="62"/>
      <c r="S1242" s="62"/>
      <c r="T1242" s="62"/>
      <c r="U1242" s="62"/>
      <c r="V1242" s="37" t="str">
        <f>IFERROR(__xludf.DUMMYFUNCTION("if(not(iserror(index(split(C1242, "" ""),2))), index(split(C1242, "" ""),1),"""")"),"")</f>
        <v/>
      </c>
      <c r="W1242" s="315" t="str">
        <f>IFERROR(__xludf.DUMMYFUNCTION("if(V1242="""",C1242,if(not(iserror(index(split(C1242, "" ""),3))), index(split(C1242, "" ""),3),index(split(C1242, "" ""),2)))"),"")</f>
        <v/>
      </c>
      <c r="X1242" s="38" t="b">
        <f t="shared" si="2"/>
        <v>0</v>
      </c>
      <c r="Y1242" s="38"/>
      <c r="Z1242" s="40"/>
      <c r="AA1242" s="40"/>
      <c r="AB1242" s="38"/>
      <c r="AC1242" s="38"/>
      <c r="AD1242" s="38"/>
      <c r="AE1242" s="38"/>
      <c r="AF1242" s="38"/>
      <c r="AG1242" s="38"/>
      <c r="AH1242" s="38"/>
      <c r="AI1242" s="38"/>
      <c r="AJ1242" s="38"/>
      <c r="AK1242" s="38"/>
      <c r="AL1242" s="38"/>
      <c r="AM1242" s="38"/>
      <c r="AN1242" s="38"/>
      <c r="AO1242" s="38"/>
      <c r="AP1242" s="38"/>
      <c r="AQ1242" s="38"/>
      <c r="AR1242" s="38"/>
      <c r="AS1242" s="38"/>
      <c r="AT1242" s="38"/>
      <c r="AU1242" s="38"/>
      <c r="AV1242" s="38"/>
      <c r="AW1242" s="38"/>
      <c r="AX1242" s="38"/>
      <c r="AY1242" s="38"/>
      <c r="AZ1242" s="38"/>
      <c r="BA1242" s="38"/>
      <c r="BB1242" s="38"/>
      <c r="BC1242" s="38"/>
      <c r="BD1242" s="38"/>
      <c r="BE1242" s="38"/>
      <c r="BF1242" s="38"/>
      <c r="BG1242" s="38"/>
    </row>
    <row r="1243">
      <c r="A1243" s="390"/>
      <c r="B1243" s="341"/>
      <c r="C1243" s="60"/>
      <c r="D1243" s="60"/>
      <c r="E1243" s="58"/>
      <c r="F1243" s="58"/>
      <c r="G1243" s="58"/>
      <c r="H1243" s="33" t="str">
        <f t="shared" si="1"/>
        <v/>
      </c>
      <c r="I1243" s="58"/>
      <c r="J1243" s="58"/>
      <c r="K1243" s="58"/>
      <c r="L1243" s="38"/>
      <c r="M1243" s="58"/>
      <c r="N1243" s="58"/>
      <c r="O1243" s="58"/>
      <c r="P1243" s="80"/>
      <c r="Q1243" s="77"/>
      <c r="R1243" s="58"/>
      <c r="S1243" s="62"/>
      <c r="T1243" s="84"/>
      <c r="U1243" s="62"/>
      <c r="V1243" s="37" t="str">
        <f>IFERROR(__xludf.DUMMYFUNCTION("if(not(iserror(index(split(C1243, "" ""),2))), index(split(C1243, "" ""),1),"""")"),"")</f>
        <v/>
      </c>
      <c r="W1243" s="315" t="str">
        <f>IFERROR(__xludf.DUMMYFUNCTION("if(V1243="""",C1243,if(not(iserror(index(split(C1243, "" ""),3))), index(split(C1243, "" ""),3),index(split(C1243, "" ""),2)))"),"")</f>
        <v/>
      </c>
      <c r="X1243" s="38" t="b">
        <f t="shared" si="2"/>
        <v>0</v>
      </c>
      <c r="Y1243" s="38"/>
      <c r="Z1243" s="40"/>
      <c r="AA1243" s="40"/>
      <c r="AB1243" s="38"/>
      <c r="AC1243" s="38"/>
      <c r="AD1243" s="38"/>
      <c r="AE1243" s="38"/>
      <c r="AF1243" s="38"/>
      <c r="AG1243" s="38"/>
      <c r="AH1243" s="38"/>
      <c r="AI1243" s="38"/>
      <c r="AJ1243" s="38"/>
      <c r="AK1243" s="38"/>
      <c r="AL1243" s="38"/>
      <c r="AM1243" s="38"/>
      <c r="AN1243" s="38"/>
      <c r="AO1243" s="38"/>
      <c r="AP1243" s="38"/>
      <c r="AQ1243" s="38"/>
      <c r="AR1243" s="38"/>
      <c r="AS1243" s="38"/>
      <c r="AT1243" s="38"/>
      <c r="AU1243" s="38"/>
      <c r="AV1243" s="38"/>
      <c r="AW1243" s="38"/>
      <c r="AX1243" s="38"/>
      <c r="AY1243" s="38"/>
      <c r="AZ1243" s="38"/>
      <c r="BA1243" s="38"/>
      <c r="BB1243" s="38"/>
      <c r="BC1243" s="38"/>
      <c r="BD1243" s="38"/>
      <c r="BE1243" s="38"/>
      <c r="BF1243" s="38"/>
      <c r="BG1243" s="38"/>
    </row>
    <row r="1244">
      <c r="A1244" s="58"/>
      <c r="B1244" s="341"/>
      <c r="C1244" s="60"/>
      <c r="D1244" s="60"/>
      <c r="E1244" s="58"/>
      <c r="F1244" s="58"/>
      <c r="G1244" s="58"/>
      <c r="H1244" s="33" t="str">
        <f t="shared" si="1"/>
        <v/>
      </c>
      <c r="I1244" s="58"/>
      <c r="J1244" s="58"/>
      <c r="K1244" s="58"/>
      <c r="L1244" s="38"/>
      <c r="M1244" s="58"/>
      <c r="N1244" s="58"/>
      <c r="O1244" s="58"/>
      <c r="P1244" s="80"/>
      <c r="Q1244" s="77"/>
      <c r="R1244" s="58"/>
      <c r="S1244" s="58"/>
      <c r="T1244" s="84"/>
      <c r="U1244" s="62"/>
      <c r="V1244" s="37" t="str">
        <f>IFERROR(__xludf.DUMMYFUNCTION("if(not(iserror(index(split(C1244, "" ""),2))), index(split(C1244, "" ""),1),"""")"),"")</f>
        <v/>
      </c>
      <c r="W1244" s="315" t="str">
        <f>IFERROR(__xludf.DUMMYFUNCTION("if(V1244="""",C1244,if(not(iserror(index(split(C1244, "" ""),3))), index(split(C1244, "" ""),3),index(split(C1244, "" ""),2)))"),"")</f>
        <v/>
      </c>
      <c r="X1244" s="38" t="b">
        <f t="shared" si="2"/>
        <v>0</v>
      </c>
      <c r="Y1244" s="38"/>
      <c r="Z1244" s="40"/>
      <c r="AA1244" s="40"/>
      <c r="AB1244" s="38"/>
      <c r="AC1244" s="38"/>
      <c r="AD1244" s="38"/>
      <c r="AE1244" s="38"/>
      <c r="AF1244" s="38"/>
      <c r="AG1244" s="38"/>
      <c r="AH1244" s="38"/>
      <c r="AI1244" s="38"/>
      <c r="AJ1244" s="38"/>
      <c r="AK1244" s="38"/>
      <c r="AL1244" s="38"/>
      <c r="AM1244" s="38"/>
      <c r="AN1244" s="38"/>
      <c r="AO1244" s="38"/>
      <c r="AP1244" s="38"/>
      <c r="AQ1244" s="38"/>
      <c r="AR1244" s="38"/>
      <c r="AS1244" s="38"/>
      <c r="AT1244" s="38"/>
      <c r="AU1244" s="38"/>
      <c r="AV1244" s="38"/>
      <c r="AW1244" s="38"/>
      <c r="AX1244" s="38"/>
      <c r="AY1244" s="38"/>
      <c r="AZ1244" s="38"/>
      <c r="BA1244" s="38"/>
      <c r="BB1244" s="38"/>
      <c r="BC1244" s="38"/>
      <c r="BD1244" s="38"/>
      <c r="BE1244" s="38"/>
      <c r="BF1244" s="38"/>
      <c r="BG1244" s="38"/>
    </row>
    <row r="1245">
      <c r="A1245" s="91"/>
      <c r="B1245" s="383"/>
      <c r="C1245" s="146"/>
      <c r="D1245" s="146"/>
      <c r="E1245" s="91"/>
      <c r="F1245" s="91"/>
      <c r="G1245" s="91"/>
      <c r="H1245" s="33" t="str">
        <f t="shared" si="1"/>
        <v/>
      </c>
      <c r="I1245" s="91"/>
      <c r="J1245" s="91"/>
      <c r="K1245" s="91"/>
      <c r="L1245" s="38"/>
      <c r="M1245" s="91"/>
      <c r="N1245" s="91"/>
      <c r="O1245" s="91"/>
      <c r="P1245" s="95"/>
      <c r="Q1245" s="14"/>
      <c r="R1245" s="58"/>
      <c r="S1245" s="58"/>
      <c r="T1245" s="84"/>
      <c r="U1245" s="62"/>
      <c r="V1245" s="37" t="str">
        <f>IFERROR(__xludf.DUMMYFUNCTION("if(not(iserror(index(split(C1245, "" ""),2))), index(split(C1245, "" ""),1),"""")"),"")</f>
        <v/>
      </c>
      <c r="W1245" s="315" t="str">
        <f>IFERROR(__xludf.DUMMYFUNCTION("if(V1245="""",C1245,if(not(iserror(index(split(C1245, "" ""),3))), index(split(C1245, "" ""),3),index(split(C1245, "" ""),2)))"),"")</f>
        <v/>
      </c>
      <c r="X1245" s="38" t="b">
        <f t="shared" si="2"/>
        <v>0</v>
      </c>
      <c r="Y1245" s="38"/>
      <c r="Z1245" s="40"/>
      <c r="AA1245" s="40"/>
      <c r="AB1245" s="38"/>
      <c r="AC1245" s="38"/>
      <c r="AD1245" s="38"/>
      <c r="AE1245" s="38"/>
      <c r="AF1245" s="38"/>
      <c r="AG1245" s="38"/>
      <c r="AH1245" s="38"/>
      <c r="AI1245" s="38"/>
      <c r="AJ1245" s="38"/>
      <c r="AK1245" s="38"/>
      <c r="AL1245" s="38"/>
      <c r="AM1245" s="38"/>
      <c r="AN1245" s="38"/>
      <c r="AO1245" s="38"/>
      <c r="AP1245" s="38"/>
      <c r="AQ1245" s="38"/>
      <c r="AR1245" s="38"/>
      <c r="AS1245" s="38"/>
      <c r="AT1245" s="38"/>
      <c r="AU1245" s="38"/>
      <c r="AV1245" s="38"/>
      <c r="AW1245" s="38"/>
      <c r="AX1245" s="38"/>
      <c r="AY1245" s="38"/>
      <c r="AZ1245" s="38"/>
      <c r="BA1245" s="38"/>
      <c r="BB1245" s="38"/>
      <c r="BC1245" s="38"/>
      <c r="BD1245" s="38"/>
      <c r="BE1245" s="38"/>
      <c r="BF1245" s="38"/>
      <c r="BG1245" s="38"/>
    </row>
    <row r="1246">
      <c r="A1246" s="91"/>
      <c r="B1246" s="383"/>
      <c r="C1246" s="146"/>
      <c r="D1246" s="146"/>
      <c r="E1246" s="91"/>
      <c r="F1246" s="91"/>
      <c r="G1246" s="91"/>
      <c r="H1246" s="33" t="str">
        <f t="shared" si="1"/>
        <v/>
      </c>
      <c r="I1246" s="91"/>
      <c r="J1246" s="91"/>
      <c r="K1246" s="91"/>
      <c r="L1246" s="38"/>
      <c r="M1246" s="91"/>
      <c r="N1246" s="91"/>
      <c r="O1246" s="91"/>
      <c r="P1246" s="95"/>
      <c r="Q1246" s="15"/>
      <c r="R1246" s="58"/>
      <c r="S1246" s="58"/>
      <c r="T1246" s="84"/>
      <c r="U1246" s="62"/>
      <c r="V1246" s="37" t="str">
        <f>IFERROR(__xludf.DUMMYFUNCTION("if(not(iserror(index(split(C1246, "" ""),2))), index(split(C1246, "" ""),1),"""")"),"")</f>
        <v/>
      </c>
      <c r="W1246" s="315" t="str">
        <f>IFERROR(__xludf.DUMMYFUNCTION("if(V1246="""",C1246,if(not(iserror(index(split(C1246, "" ""),3))), index(split(C1246, "" ""),3),index(split(C1246, "" ""),2)))"),"")</f>
        <v/>
      </c>
      <c r="X1246" s="38" t="b">
        <f t="shared" si="2"/>
        <v>0</v>
      </c>
      <c r="Y1246" s="38"/>
      <c r="Z1246" s="40"/>
      <c r="AA1246" s="40"/>
      <c r="AB1246" s="38"/>
      <c r="AC1246" s="38"/>
      <c r="AD1246" s="38"/>
      <c r="AE1246" s="38"/>
      <c r="AF1246" s="38"/>
      <c r="AG1246" s="38"/>
      <c r="AH1246" s="38"/>
      <c r="AI1246" s="38"/>
      <c r="AJ1246" s="38"/>
      <c r="AK1246" s="38"/>
      <c r="AL1246" s="38"/>
      <c r="AM1246" s="38"/>
      <c r="AN1246" s="38"/>
      <c r="AO1246" s="38"/>
      <c r="AP1246" s="38"/>
      <c r="AQ1246" s="38"/>
      <c r="AR1246" s="38"/>
      <c r="AS1246" s="38"/>
      <c r="AT1246" s="38"/>
      <c r="AU1246" s="38"/>
      <c r="AV1246" s="38"/>
      <c r="AW1246" s="38"/>
      <c r="AX1246" s="38"/>
      <c r="AY1246" s="38"/>
      <c r="AZ1246" s="38"/>
      <c r="BA1246" s="38"/>
      <c r="BB1246" s="38"/>
      <c r="BC1246" s="38"/>
      <c r="BD1246" s="38"/>
      <c r="BE1246" s="38"/>
      <c r="BF1246" s="38"/>
      <c r="BG1246" s="38"/>
    </row>
    <row r="1247">
      <c r="A1247" s="58"/>
      <c r="B1247" s="341"/>
      <c r="C1247" s="60"/>
      <c r="D1247" s="60"/>
      <c r="E1247" s="58"/>
      <c r="F1247" s="58"/>
      <c r="G1247" s="58"/>
      <c r="H1247" s="33" t="str">
        <f t="shared" si="1"/>
        <v/>
      </c>
      <c r="I1247" s="58"/>
      <c r="J1247" s="58"/>
      <c r="K1247" s="58"/>
      <c r="L1247" s="38"/>
      <c r="M1247" s="58"/>
      <c r="N1247" s="58"/>
      <c r="O1247" s="58"/>
      <c r="P1247" s="80"/>
      <c r="Q1247" s="80"/>
      <c r="R1247" s="62"/>
      <c r="S1247" s="62"/>
      <c r="T1247" s="62"/>
      <c r="U1247" s="62"/>
      <c r="V1247" s="37" t="str">
        <f>IFERROR(__xludf.DUMMYFUNCTION("if(not(iserror(index(split(C1247, "" ""),2))), index(split(C1247, "" ""),1),"""")"),"")</f>
        <v/>
      </c>
      <c r="W1247" s="315" t="str">
        <f>IFERROR(__xludf.DUMMYFUNCTION("if(V1247="""",C1247,if(not(iserror(index(split(C1247, "" ""),3))), index(split(C1247, "" ""),3),index(split(C1247, "" ""),2)))"),"")</f>
        <v/>
      </c>
      <c r="X1247" s="38" t="b">
        <f t="shared" si="2"/>
        <v>0</v>
      </c>
      <c r="Y1247" s="38"/>
      <c r="Z1247" s="40"/>
      <c r="AA1247" s="40"/>
      <c r="AB1247" s="38"/>
      <c r="AC1247" s="38"/>
      <c r="AD1247" s="38"/>
      <c r="AE1247" s="38"/>
      <c r="AF1247" s="38"/>
      <c r="AG1247" s="38"/>
      <c r="AH1247" s="38"/>
      <c r="AI1247" s="38"/>
      <c r="AJ1247" s="38"/>
      <c r="AK1247" s="38"/>
      <c r="AL1247" s="38"/>
      <c r="AM1247" s="38"/>
      <c r="AN1247" s="38"/>
      <c r="AO1247" s="38"/>
      <c r="AP1247" s="38"/>
      <c r="AQ1247" s="38"/>
      <c r="AR1247" s="38"/>
      <c r="AS1247" s="38"/>
      <c r="AT1247" s="38"/>
      <c r="AU1247" s="38"/>
      <c r="AV1247" s="38"/>
      <c r="AW1247" s="38"/>
      <c r="AX1247" s="38"/>
      <c r="AY1247" s="38"/>
      <c r="AZ1247" s="38"/>
      <c r="BA1247" s="38"/>
      <c r="BB1247" s="38"/>
      <c r="BC1247" s="38"/>
      <c r="BD1247" s="38"/>
      <c r="BE1247" s="38"/>
      <c r="BF1247" s="38"/>
      <c r="BG1247" s="38"/>
    </row>
    <row r="1248">
      <c r="A1248" s="58"/>
      <c r="B1248" s="341"/>
      <c r="C1248" s="60"/>
      <c r="D1248" s="60"/>
      <c r="E1248" s="58"/>
      <c r="F1248" s="58"/>
      <c r="G1248" s="58"/>
      <c r="H1248" s="33" t="str">
        <f t="shared" si="1"/>
        <v/>
      </c>
      <c r="I1248" s="58"/>
      <c r="J1248" s="58"/>
      <c r="K1248" s="58"/>
      <c r="L1248" s="38"/>
      <c r="M1248" s="58"/>
      <c r="N1248" s="58"/>
      <c r="O1248" s="58"/>
      <c r="P1248" s="80"/>
      <c r="Q1248" s="80"/>
      <c r="R1248" s="62"/>
      <c r="S1248" s="62"/>
      <c r="T1248" s="62"/>
      <c r="U1248" s="62"/>
      <c r="V1248" s="37" t="str">
        <f>IFERROR(__xludf.DUMMYFUNCTION("if(not(iserror(index(split(C1248, "" ""),2))), index(split(C1248, "" ""),1),"""")"),"")</f>
        <v/>
      </c>
      <c r="W1248" s="315" t="str">
        <f>IFERROR(__xludf.DUMMYFUNCTION("if(V1248="""",C1248,if(not(iserror(index(split(C1248, "" ""),3))), index(split(C1248, "" ""),3),index(split(C1248, "" ""),2)))"),"")</f>
        <v/>
      </c>
      <c r="X1248" s="38" t="b">
        <f t="shared" si="2"/>
        <v>0</v>
      </c>
      <c r="Y1248" s="38"/>
      <c r="Z1248" s="40"/>
      <c r="AA1248" s="40"/>
      <c r="AB1248" s="38"/>
      <c r="AC1248" s="38"/>
      <c r="AD1248" s="38"/>
      <c r="AE1248" s="38"/>
      <c r="AF1248" s="38"/>
      <c r="AG1248" s="38"/>
      <c r="AH1248" s="38"/>
      <c r="AI1248" s="38"/>
      <c r="AJ1248" s="38"/>
      <c r="AK1248" s="38"/>
      <c r="AL1248" s="38"/>
      <c r="AM1248" s="38"/>
      <c r="AN1248" s="38"/>
      <c r="AO1248" s="38"/>
      <c r="AP1248" s="38"/>
      <c r="AQ1248" s="38"/>
      <c r="AR1248" s="38"/>
      <c r="AS1248" s="38"/>
      <c r="AT1248" s="38"/>
      <c r="AU1248" s="38"/>
      <c r="AV1248" s="38"/>
      <c r="AW1248" s="38"/>
      <c r="AX1248" s="38"/>
      <c r="AY1248" s="38"/>
      <c r="AZ1248" s="38"/>
      <c r="BA1248" s="38"/>
      <c r="BB1248" s="38"/>
      <c r="BC1248" s="38"/>
      <c r="BD1248" s="38"/>
      <c r="BE1248" s="38"/>
      <c r="BF1248" s="38"/>
      <c r="BG1248" s="38"/>
    </row>
    <row r="1249">
      <c r="A1249" s="58"/>
      <c r="B1249" s="341"/>
      <c r="C1249" s="60"/>
      <c r="D1249" s="60"/>
      <c r="E1249" s="58"/>
      <c r="F1249" s="58"/>
      <c r="G1249" s="58"/>
      <c r="H1249" s="33" t="str">
        <f t="shared" si="1"/>
        <v/>
      </c>
      <c r="I1249" s="58"/>
      <c r="J1249" s="58"/>
      <c r="K1249" s="58"/>
      <c r="L1249" s="38"/>
      <c r="M1249" s="58"/>
      <c r="N1249" s="58"/>
      <c r="O1249" s="58"/>
      <c r="P1249" s="80"/>
      <c r="Q1249" s="77"/>
      <c r="R1249" s="62"/>
      <c r="S1249" s="62"/>
      <c r="T1249" s="62"/>
      <c r="U1249" s="62"/>
      <c r="V1249" s="37" t="str">
        <f>IFERROR(__xludf.DUMMYFUNCTION("if(not(iserror(index(split(C1249, "" ""),2))), index(split(C1249, "" ""),1),"""")"),"")</f>
        <v/>
      </c>
      <c r="W1249" s="315" t="str">
        <f>IFERROR(__xludf.DUMMYFUNCTION("if(V1249="""",C1249,if(not(iserror(index(split(C1249, "" ""),3))), index(split(C1249, "" ""),3),index(split(C1249, "" ""),2)))"),"")</f>
        <v/>
      </c>
      <c r="X1249" s="38" t="b">
        <f t="shared" si="2"/>
        <v>0</v>
      </c>
      <c r="Y1249" s="38"/>
      <c r="Z1249" s="40"/>
      <c r="AA1249" s="40"/>
      <c r="AB1249" s="38"/>
      <c r="AC1249" s="38"/>
      <c r="AD1249" s="38"/>
      <c r="AE1249" s="38"/>
      <c r="AF1249" s="38"/>
      <c r="AG1249" s="38"/>
      <c r="AH1249" s="38"/>
      <c r="AI1249" s="38"/>
      <c r="AJ1249" s="38"/>
      <c r="AK1249" s="38"/>
      <c r="AL1249" s="38"/>
      <c r="AM1249" s="38"/>
      <c r="AN1249" s="38"/>
      <c r="AO1249" s="38"/>
      <c r="AP1249" s="38"/>
      <c r="AQ1249" s="38"/>
      <c r="AR1249" s="38"/>
      <c r="AS1249" s="38"/>
      <c r="AT1249" s="38"/>
      <c r="AU1249" s="38"/>
      <c r="AV1249" s="38"/>
      <c r="AW1249" s="38"/>
      <c r="AX1249" s="38"/>
      <c r="AY1249" s="38"/>
      <c r="AZ1249" s="38"/>
      <c r="BA1249" s="38"/>
      <c r="BB1249" s="38"/>
      <c r="BC1249" s="38"/>
      <c r="BD1249" s="38"/>
      <c r="BE1249" s="38"/>
      <c r="BF1249" s="38"/>
      <c r="BG1249" s="38"/>
    </row>
    <row r="1250">
      <c r="A1250" s="58"/>
      <c r="B1250" s="341"/>
      <c r="C1250" s="60"/>
      <c r="D1250" s="60"/>
      <c r="E1250" s="58"/>
      <c r="F1250" s="58"/>
      <c r="G1250" s="58"/>
      <c r="H1250" s="33" t="str">
        <f t="shared" si="1"/>
        <v/>
      </c>
      <c r="I1250" s="58"/>
      <c r="J1250" s="58"/>
      <c r="K1250" s="58"/>
      <c r="L1250" s="38"/>
      <c r="M1250" s="58"/>
      <c r="N1250" s="58"/>
      <c r="O1250" s="58"/>
      <c r="P1250" s="80"/>
      <c r="Q1250" s="77"/>
      <c r="R1250" s="62"/>
      <c r="S1250" s="62"/>
      <c r="T1250" s="62"/>
      <c r="U1250" s="62"/>
      <c r="V1250" s="37" t="str">
        <f>IFERROR(__xludf.DUMMYFUNCTION("if(not(iserror(index(split(C1250, "" ""),2))), index(split(C1250, "" ""),1),"""")"),"")</f>
        <v/>
      </c>
      <c r="W1250" s="315" t="str">
        <f>IFERROR(__xludf.DUMMYFUNCTION("if(V1250="""",C1250,if(not(iserror(index(split(C1250, "" ""),3))), index(split(C1250, "" ""),3),index(split(C1250, "" ""),2)))"),"")</f>
        <v/>
      </c>
      <c r="X1250" s="38" t="b">
        <f t="shared" si="2"/>
        <v>0</v>
      </c>
      <c r="Y1250" s="38"/>
      <c r="Z1250" s="40"/>
      <c r="AA1250" s="40"/>
      <c r="AB1250" s="38"/>
      <c r="AC1250" s="38"/>
      <c r="AD1250" s="38"/>
      <c r="AE1250" s="38"/>
      <c r="AF1250" s="38"/>
      <c r="AG1250" s="38"/>
      <c r="AH1250" s="38"/>
      <c r="AI1250" s="38"/>
      <c r="AJ1250" s="38"/>
      <c r="AK1250" s="38"/>
      <c r="AL1250" s="38"/>
      <c r="AM1250" s="38"/>
      <c r="AN1250" s="38"/>
      <c r="AO1250" s="38"/>
      <c r="AP1250" s="38"/>
      <c r="AQ1250" s="38"/>
      <c r="AR1250" s="38"/>
      <c r="AS1250" s="38"/>
      <c r="AT1250" s="38"/>
      <c r="AU1250" s="38"/>
      <c r="AV1250" s="38"/>
      <c r="AW1250" s="38"/>
      <c r="AX1250" s="38"/>
      <c r="AY1250" s="38"/>
      <c r="AZ1250" s="38"/>
      <c r="BA1250" s="38"/>
      <c r="BB1250" s="38"/>
      <c r="BC1250" s="38"/>
      <c r="BD1250" s="38"/>
      <c r="BE1250" s="38"/>
      <c r="BF1250" s="38"/>
      <c r="BG1250" s="38"/>
    </row>
    <row r="1251">
      <c r="A1251" s="58"/>
      <c r="B1251" s="341"/>
      <c r="C1251" s="60"/>
      <c r="D1251" s="60"/>
      <c r="E1251" s="58"/>
      <c r="F1251" s="58"/>
      <c r="G1251" s="58"/>
      <c r="H1251" s="33" t="str">
        <f t="shared" si="1"/>
        <v/>
      </c>
      <c r="I1251" s="58"/>
      <c r="J1251" s="58"/>
      <c r="K1251" s="58"/>
      <c r="L1251" s="38"/>
      <c r="M1251" s="58"/>
      <c r="N1251" s="58"/>
      <c r="O1251" s="58"/>
      <c r="P1251" s="80"/>
      <c r="Q1251" s="77"/>
      <c r="R1251" s="58"/>
      <c r="S1251" s="62"/>
      <c r="T1251" s="84"/>
      <c r="U1251" s="62"/>
      <c r="V1251" s="37" t="str">
        <f>IFERROR(__xludf.DUMMYFUNCTION("if(not(iserror(index(split(C1251, "" ""),2))), index(split(C1251, "" ""),1),"""")"),"")</f>
        <v/>
      </c>
      <c r="W1251" s="315" t="str">
        <f>IFERROR(__xludf.DUMMYFUNCTION("if(V1251="""",C1251,if(not(iserror(index(split(C1251, "" ""),3))), index(split(C1251, "" ""),3),index(split(C1251, "" ""),2)))"),"")</f>
        <v/>
      </c>
      <c r="X1251" s="38" t="b">
        <f t="shared" si="2"/>
        <v>0</v>
      </c>
      <c r="Y1251" s="38"/>
      <c r="Z1251" s="40"/>
      <c r="AA1251" s="40"/>
      <c r="AB1251" s="38"/>
      <c r="AC1251" s="38"/>
      <c r="AD1251" s="38"/>
      <c r="AE1251" s="38"/>
      <c r="AF1251" s="38"/>
      <c r="AG1251" s="38"/>
      <c r="AH1251" s="38"/>
      <c r="AI1251" s="38"/>
      <c r="AJ1251" s="38"/>
      <c r="AK1251" s="38"/>
      <c r="AL1251" s="38"/>
      <c r="AM1251" s="38"/>
      <c r="AN1251" s="38"/>
      <c r="AO1251" s="38"/>
      <c r="AP1251" s="38"/>
      <c r="AQ1251" s="38"/>
      <c r="AR1251" s="38"/>
      <c r="AS1251" s="38"/>
      <c r="AT1251" s="38"/>
      <c r="AU1251" s="38"/>
      <c r="AV1251" s="38"/>
      <c r="AW1251" s="38"/>
      <c r="AX1251" s="38"/>
      <c r="AY1251" s="38"/>
      <c r="AZ1251" s="38"/>
      <c r="BA1251" s="38"/>
      <c r="BB1251" s="38"/>
      <c r="BC1251" s="38"/>
      <c r="BD1251" s="38"/>
      <c r="BE1251" s="38"/>
      <c r="BF1251" s="38"/>
      <c r="BG1251" s="38"/>
    </row>
    <row r="1252">
      <c r="A1252" s="58"/>
      <c r="B1252" s="341"/>
      <c r="C1252" s="60"/>
      <c r="D1252" s="60"/>
      <c r="E1252" s="58"/>
      <c r="F1252" s="58"/>
      <c r="G1252" s="58"/>
      <c r="H1252" s="33" t="str">
        <f t="shared" si="1"/>
        <v/>
      </c>
      <c r="I1252" s="58"/>
      <c r="J1252" s="58"/>
      <c r="K1252" s="58"/>
      <c r="L1252" s="38"/>
      <c r="M1252" s="58"/>
      <c r="N1252" s="58"/>
      <c r="O1252" s="58"/>
      <c r="P1252" s="80"/>
      <c r="Q1252" s="77"/>
      <c r="R1252" s="58"/>
      <c r="S1252" s="62"/>
      <c r="T1252" s="84"/>
      <c r="U1252" s="62"/>
      <c r="V1252" s="37" t="str">
        <f>IFERROR(__xludf.DUMMYFUNCTION("if(not(iserror(index(split(C1252, "" ""),2))), index(split(C1252, "" ""),1),"""")"),"")</f>
        <v/>
      </c>
      <c r="W1252" s="315" t="str">
        <f>IFERROR(__xludf.DUMMYFUNCTION("if(V1252="""",C1252,if(not(iserror(index(split(C1252, "" ""),3))), index(split(C1252, "" ""),3),index(split(C1252, "" ""),2)))"),"")</f>
        <v/>
      </c>
      <c r="X1252" s="38" t="b">
        <f t="shared" si="2"/>
        <v>0</v>
      </c>
      <c r="Y1252" s="38"/>
      <c r="Z1252" s="40"/>
      <c r="AA1252" s="40"/>
      <c r="AB1252" s="38"/>
      <c r="AC1252" s="38"/>
      <c r="AD1252" s="38"/>
      <c r="AE1252" s="38"/>
      <c r="AF1252" s="38"/>
      <c r="AG1252" s="38"/>
      <c r="AH1252" s="38"/>
      <c r="AI1252" s="38"/>
      <c r="AJ1252" s="38"/>
      <c r="AK1252" s="38"/>
      <c r="AL1252" s="38"/>
      <c r="AM1252" s="38"/>
      <c r="AN1252" s="38"/>
      <c r="AO1252" s="38"/>
      <c r="AP1252" s="38"/>
      <c r="AQ1252" s="38"/>
      <c r="AR1252" s="38"/>
      <c r="AS1252" s="38"/>
      <c r="AT1252" s="38"/>
      <c r="AU1252" s="38"/>
      <c r="AV1252" s="38"/>
      <c r="AW1252" s="38"/>
      <c r="AX1252" s="38"/>
      <c r="AY1252" s="38"/>
      <c r="AZ1252" s="38"/>
      <c r="BA1252" s="38"/>
      <c r="BB1252" s="38"/>
      <c r="BC1252" s="38"/>
      <c r="BD1252" s="38"/>
      <c r="BE1252" s="38"/>
      <c r="BF1252" s="38"/>
      <c r="BG1252" s="38"/>
    </row>
    <row r="1253">
      <c r="A1253" s="91"/>
      <c r="B1253" s="383"/>
      <c r="C1253" s="146"/>
      <c r="D1253" s="146"/>
      <c r="E1253" s="91"/>
      <c r="F1253" s="91"/>
      <c r="G1253" s="91"/>
      <c r="H1253" s="33" t="str">
        <f t="shared" si="1"/>
        <v/>
      </c>
      <c r="I1253" s="91"/>
      <c r="J1253" s="91"/>
      <c r="K1253" s="91"/>
      <c r="L1253" s="38"/>
      <c r="M1253" s="91"/>
      <c r="N1253" s="91"/>
      <c r="O1253" s="91"/>
      <c r="P1253" s="95"/>
      <c r="Q1253" s="15"/>
      <c r="R1253" s="58"/>
      <c r="S1253" s="58"/>
      <c r="T1253" s="84"/>
      <c r="U1253" s="62"/>
      <c r="V1253" s="37" t="str">
        <f>IFERROR(__xludf.DUMMYFUNCTION("if(not(iserror(index(split(C1253, "" ""),2))), index(split(C1253, "" ""),1),"""")"),"")</f>
        <v/>
      </c>
      <c r="W1253" s="315" t="str">
        <f>IFERROR(__xludf.DUMMYFUNCTION("if(V1253="""",C1253,if(not(iserror(index(split(C1253, "" ""),3))), index(split(C1253, "" ""),3),index(split(C1253, "" ""),2)))"),"")</f>
        <v/>
      </c>
      <c r="X1253" s="38" t="b">
        <f t="shared" si="2"/>
        <v>0</v>
      </c>
      <c r="Y1253" s="38"/>
      <c r="Z1253" s="40"/>
      <c r="AA1253" s="40"/>
      <c r="AB1253" s="38"/>
      <c r="AC1253" s="38"/>
      <c r="AD1253" s="38"/>
      <c r="AE1253" s="38"/>
      <c r="AF1253" s="38"/>
      <c r="AG1253" s="38"/>
      <c r="AH1253" s="38"/>
      <c r="AI1253" s="38"/>
      <c r="AJ1253" s="38"/>
      <c r="AK1253" s="38"/>
      <c r="AL1253" s="38"/>
      <c r="AM1253" s="38"/>
      <c r="AN1253" s="38"/>
      <c r="AO1253" s="38"/>
      <c r="AP1253" s="38"/>
      <c r="AQ1253" s="38"/>
      <c r="AR1253" s="38"/>
      <c r="AS1253" s="38"/>
      <c r="AT1253" s="38"/>
      <c r="AU1253" s="38"/>
      <c r="AV1253" s="38"/>
      <c r="AW1253" s="38"/>
      <c r="AX1253" s="38"/>
      <c r="AY1253" s="38"/>
      <c r="AZ1253" s="38"/>
      <c r="BA1253" s="38"/>
      <c r="BB1253" s="38"/>
      <c r="BC1253" s="38"/>
      <c r="BD1253" s="38"/>
      <c r="BE1253" s="38"/>
      <c r="BF1253" s="38"/>
      <c r="BG1253" s="38"/>
    </row>
    <row r="1254">
      <c r="A1254" s="58"/>
      <c r="B1254" s="341"/>
      <c r="C1254" s="60"/>
      <c r="D1254" s="60"/>
      <c r="E1254" s="58"/>
      <c r="F1254" s="58"/>
      <c r="G1254" s="58"/>
      <c r="H1254" s="33" t="str">
        <f t="shared" si="1"/>
        <v/>
      </c>
      <c r="I1254" s="58"/>
      <c r="J1254" s="58"/>
      <c r="K1254" s="58"/>
      <c r="L1254" s="38"/>
      <c r="M1254" s="58"/>
      <c r="N1254" s="58"/>
      <c r="O1254" s="58"/>
      <c r="P1254" s="80"/>
      <c r="Q1254" s="77"/>
      <c r="R1254" s="58"/>
      <c r="S1254" s="58"/>
      <c r="T1254" s="84"/>
      <c r="U1254" s="62"/>
      <c r="V1254" s="37" t="str">
        <f>IFERROR(__xludf.DUMMYFUNCTION("if(not(iserror(index(split(C1254, "" ""),2))), index(split(C1254, "" ""),1),"""")"),"")</f>
        <v/>
      </c>
      <c r="W1254" s="315" t="str">
        <f>IFERROR(__xludf.DUMMYFUNCTION("if(V1254="""",C1254,if(not(iserror(index(split(C1254, "" ""),3))), index(split(C1254, "" ""),3),index(split(C1254, "" ""),2)))"),"")</f>
        <v/>
      </c>
      <c r="X1254" s="38" t="b">
        <f t="shared" si="2"/>
        <v>0</v>
      </c>
      <c r="Y1254" s="38"/>
      <c r="Z1254" s="40"/>
      <c r="AA1254" s="40"/>
      <c r="AB1254" s="38"/>
      <c r="AC1254" s="38"/>
      <c r="AD1254" s="38"/>
      <c r="AE1254" s="38"/>
      <c r="AF1254" s="38"/>
      <c r="AG1254" s="38"/>
      <c r="AH1254" s="38"/>
      <c r="AI1254" s="38"/>
      <c r="AJ1254" s="38"/>
      <c r="AK1254" s="38"/>
      <c r="AL1254" s="38"/>
      <c r="AM1254" s="38"/>
      <c r="AN1254" s="38"/>
      <c r="AO1254" s="38"/>
      <c r="AP1254" s="38"/>
      <c r="AQ1254" s="38"/>
      <c r="AR1254" s="38"/>
      <c r="AS1254" s="38"/>
      <c r="AT1254" s="38"/>
      <c r="AU1254" s="38"/>
      <c r="AV1254" s="38"/>
      <c r="AW1254" s="38"/>
      <c r="AX1254" s="38"/>
      <c r="AY1254" s="38"/>
      <c r="AZ1254" s="38"/>
      <c r="BA1254" s="38"/>
      <c r="BB1254" s="38"/>
      <c r="BC1254" s="38"/>
      <c r="BD1254" s="38"/>
      <c r="BE1254" s="38"/>
      <c r="BF1254" s="38"/>
      <c r="BG1254" s="38"/>
    </row>
    <row r="1255">
      <c r="A1255" s="58"/>
      <c r="B1255" s="341"/>
      <c r="C1255" s="60"/>
      <c r="D1255" s="60"/>
      <c r="E1255" s="58"/>
      <c r="F1255" s="58"/>
      <c r="G1255" s="58"/>
      <c r="H1255" s="33" t="str">
        <f t="shared" si="1"/>
        <v/>
      </c>
      <c r="I1255" s="58"/>
      <c r="J1255" s="58"/>
      <c r="K1255" s="58"/>
      <c r="L1255" s="38"/>
      <c r="M1255" s="58"/>
      <c r="N1255" s="58"/>
      <c r="O1255" s="58"/>
      <c r="P1255" s="80"/>
      <c r="Q1255" s="77"/>
      <c r="R1255" s="58"/>
      <c r="S1255" s="62"/>
      <c r="T1255" s="84"/>
      <c r="U1255" s="62"/>
      <c r="V1255" s="37" t="str">
        <f>IFERROR(__xludf.DUMMYFUNCTION("if(not(iserror(index(split(C1255, "" ""),2))), index(split(C1255, "" ""),1),"""")"),"")</f>
        <v/>
      </c>
      <c r="W1255" s="315" t="str">
        <f>IFERROR(__xludf.DUMMYFUNCTION("if(V1255="""",C1255,if(not(iserror(index(split(C1255, "" ""),3))), index(split(C1255, "" ""),3),index(split(C1255, "" ""),2)))"),"")</f>
        <v/>
      </c>
      <c r="X1255" s="38" t="b">
        <f t="shared" si="2"/>
        <v>0</v>
      </c>
      <c r="Y1255" s="38"/>
      <c r="Z1255" s="40"/>
      <c r="AA1255" s="40"/>
      <c r="AB1255" s="38"/>
      <c r="AC1255" s="38"/>
      <c r="AD1255" s="38"/>
      <c r="AE1255" s="38"/>
      <c r="AF1255" s="38"/>
      <c r="AG1255" s="38"/>
      <c r="AH1255" s="38"/>
      <c r="AI1255" s="38"/>
      <c r="AJ1255" s="38"/>
      <c r="AK1255" s="38"/>
      <c r="AL1255" s="38"/>
      <c r="AM1255" s="38"/>
      <c r="AN1255" s="38"/>
      <c r="AO1255" s="38"/>
      <c r="AP1255" s="38"/>
      <c r="AQ1255" s="38"/>
      <c r="AR1255" s="38"/>
      <c r="AS1255" s="38"/>
      <c r="AT1255" s="38"/>
      <c r="AU1255" s="38"/>
      <c r="AV1255" s="38"/>
      <c r="AW1255" s="38"/>
      <c r="AX1255" s="38"/>
      <c r="AY1255" s="38"/>
      <c r="AZ1255" s="38"/>
      <c r="BA1255" s="38"/>
      <c r="BB1255" s="38"/>
      <c r="BC1255" s="38"/>
      <c r="BD1255" s="38"/>
      <c r="BE1255" s="38"/>
      <c r="BF1255" s="38"/>
      <c r="BG1255" s="38"/>
    </row>
    <row r="1256">
      <c r="A1256" s="375"/>
      <c r="B1256" s="341"/>
      <c r="C1256" s="60"/>
      <c r="D1256" s="60"/>
      <c r="E1256" s="58"/>
      <c r="F1256" s="58"/>
      <c r="G1256" s="58"/>
      <c r="H1256" s="33" t="str">
        <f t="shared" si="1"/>
        <v/>
      </c>
      <c r="I1256" s="58"/>
      <c r="J1256" s="58"/>
      <c r="K1256" s="58"/>
      <c r="L1256" s="38"/>
      <c r="M1256" s="58"/>
      <c r="N1256" s="58"/>
      <c r="O1256" s="58"/>
      <c r="P1256" s="80"/>
      <c r="Q1256" s="77"/>
      <c r="R1256" s="58"/>
      <c r="S1256" s="58"/>
      <c r="T1256" s="84"/>
      <c r="U1256" s="62"/>
      <c r="V1256" s="37" t="str">
        <f>IFERROR(__xludf.DUMMYFUNCTION("if(not(iserror(index(split(C1256, "" ""),2))), index(split(C1256, "" ""),1),"""")"),"")</f>
        <v/>
      </c>
      <c r="W1256" s="315" t="str">
        <f>IFERROR(__xludf.DUMMYFUNCTION("if(V1256="""",C1256,if(not(iserror(index(split(C1256, "" ""),3))), index(split(C1256, "" ""),3),index(split(C1256, "" ""),2)))"),"")</f>
        <v/>
      </c>
      <c r="X1256" s="38" t="b">
        <f t="shared" si="2"/>
        <v>0</v>
      </c>
      <c r="Y1256" s="38"/>
      <c r="Z1256" s="40"/>
      <c r="AA1256" s="40"/>
      <c r="AB1256" s="38"/>
      <c r="AC1256" s="38"/>
      <c r="AD1256" s="38"/>
      <c r="AE1256" s="38"/>
      <c r="AF1256" s="38"/>
      <c r="AG1256" s="38"/>
      <c r="AH1256" s="38"/>
      <c r="AI1256" s="38"/>
      <c r="AJ1256" s="38"/>
      <c r="AK1256" s="38"/>
      <c r="AL1256" s="38"/>
      <c r="AM1256" s="38"/>
      <c r="AN1256" s="38"/>
      <c r="AO1256" s="38"/>
      <c r="AP1256" s="38"/>
      <c r="AQ1256" s="38"/>
      <c r="AR1256" s="38"/>
      <c r="AS1256" s="38"/>
      <c r="AT1256" s="38"/>
      <c r="AU1256" s="38"/>
      <c r="AV1256" s="38"/>
      <c r="AW1256" s="38"/>
      <c r="AX1256" s="38"/>
      <c r="AY1256" s="38"/>
      <c r="AZ1256" s="38"/>
      <c r="BA1256" s="38"/>
      <c r="BB1256" s="38"/>
      <c r="BC1256" s="38"/>
      <c r="BD1256" s="38"/>
      <c r="BE1256" s="38"/>
      <c r="BF1256" s="38"/>
      <c r="BG1256" s="38"/>
    </row>
    <row r="1257">
      <c r="A1257" s="91"/>
      <c r="B1257" s="383"/>
      <c r="C1257" s="146"/>
      <c r="D1257" s="146"/>
      <c r="E1257" s="91"/>
      <c r="F1257" s="91"/>
      <c r="G1257" s="91"/>
      <c r="H1257" s="33" t="str">
        <f t="shared" si="1"/>
        <v/>
      </c>
      <c r="I1257" s="91"/>
      <c r="J1257" s="91"/>
      <c r="K1257" s="91"/>
      <c r="L1257" s="38"/>
      <c r="M1257" s="91"/>
      <c r="N1257" s="91"/>
      <c r="O1257" s="91"/>
      <c r="P1257" s="14"/>
      <c r="Q1257" s="95"/>
      <c r="R1257" s="58"/>
      <c r="S1257" s="58"/>
      <c r="T1257" s="84"/>
      <c r="U1257" s="62"/>
      <c r="V1257" s="37" t="str">
        <f>IFERROR(__xludf.DUMMYFUNCTION("if(not(iserror(index(split(C1257, "" ""),2))), index(split(C1257, "" ""),1),"""")"),"")</f>
        <v/>
      </c>
      <c r="W1257" s="315" t="str">
        <f>IFERROR(__xludf.DUMMYFUNCTION("if(V1257="""",C1257,if(not(iserror(index(split(C1257, "" ""),3))), index(split(C1257, "" ""),3),index(split(C1257, "" ""),2)))"),"")</f>
        <v/>
      </c>
      <c r="X1257" s="38" t="b">
        <f t="shared" si="2"/>
        <v>0</v>
      </c>
      <c r="Y1257" s="38"/>
      <c r="Z1257" s="40"/>
      <c r="AA1257" s="40"/>
      <c r="AB1257" s="38"/>
      <c r="AC1257" s="38"/>
      <c r="AD1257" s="38"/>
      <c r="AE1257" s="38"/>
      <c r="AF1257" s="38"/>
      <c r="AG1257" s="38"/>
      <c r="AH1257" s="38"/>
      <c r="AI1257" s="38"/>
      <c r="AJ1257" s="38"/>
      <c r="AK1257" s="38"/>
      <c r="AL1257" s="38"/>
      <c r="AM1257" s="38"/>
      <c r="AN1257" s="38"/>
      <c r="AO1257" s="38"/>
      <c r="AP1257" s="38"/>
      <c r="AQ1257" s="38"/>
      <c r="AR1257" s="38"/>
      <c r="AS1257" s="38"/>
      <c r="AT1257" s="38"/>
      <c r="AU1257" s="38"/>
      <c r="AV1257" s="38"/>
      <c r="AW1257" s="38"/>
      <c r="AX1257" s="38"/>
      <c r="AY1257" s="38"/>
      <c r="AZ1257" s="38"/>
      <c r="BA1257" s="38"/>
      <c r="BB1257" s="38"/>
      <c r="BC1257" s="38"/>
      <c r="BD1257" s="38"/>
      <c r="BE1257" s="38"/>
      <c r="BF1257" s="38"/>
      <c r="BG1257" s="38"/>
    </row>
    <row r="1258">
      <c r="A1258" s="58"/>
      <c r="B1258" s="341"/>
      <c r="C1258" s="60"/>
      <c r="D1258" s="60"/>
      <c r="E1258" s="58"/>
      <c r="F1258" s="58"/>
      <c r="G1258" s="58"/>
      <c r="H1258" s="33" t="str">
        <f t="shared" si="1"/>
        <v/>
      </c>
      <c r="I1258" s="58"/>
      <c r="J1258" s="58"/>
      <c r="K1258" s="58"/>
      <c r="L1258" s="38"/>
      <c r="M1258" s="58"/>
      <c r="N1258" s="58"/>
      <c r="O1258" s="58"/>
      <c r="P1258" s="80"/>
      <c r="Q1258" s="77"/>
      <c r="R1258" s="62"/>
      <c r="S1258" s="62"/>
      <c r="T1258" s="62"/>
      <c r="U1258" s="62"/>
      <c r="V1258" s="37" t="str">
        <f>IFERROR(__xludf.DUMMYFUNCTION("if(not(iserror(index(split(C1258, "" ""),2))), index(split(C1258, "" ""),1),"""")"),"")</f>
        <v/>
      </c>
      <c r="W1258" s="315" t="str">
        <f>IFERROR(__xludf.DUMMYFUNCTION("if(V1258="""",C1258,if(not(iserror(index(split(C1258, "" ""),3))), index(split(C1258, "" ""),3),index(split(C1258, "" ""),2)))"),"")</f>
        <v/>
      </c>
      <c r="X1258" s="38" t="b">
        <f t="shared" si="2"/>
        <v>0</v>
      </c>
      <c r="Y1258" s="38"/>
      <c r="Z1258" s="40"/>
      <c r="AA1258" s="40"/>
      <c r="AB1258" s="38"/>
      <c r="AC1258" s="38"/>
      <c r="AD1258" s="38"/>
      <c r="AE1258" s="38"/>
      <c r="AF1258" s="38"/>
      <c r="AG1258" s="38"/>
      <c r="AH1258" s="38"/>
      <c r="AI1258" s="38"/>
      <c r="AJ1258" s="38"/>
      <c r="AK1258" s="38"/>
      <c r="AL1258" s="38"/>
      <c r="AM1258" s="38"/>
      <c r="AN1258" s="38"/>
      <c r="AO1258" s="38"/>
      <c r="AP1258" s="38"/>
      <c r="AQ1258" s="38"/>
      <c r="AR1258" s="38"/>
      <c r="AS1258" s="38"/>
      <c r="AT1258" s="38"/>
      <c r="AU1258" s="38"/>
      <c r="AV1258" s="38"/>
      <c r="AW1258" s="38"/>
      <c r="AX1258" s="38"/>
      <c r="AY1258" s="38"/>
      <c r="AZ1258" s="38"/>
      <c r="BA1258" s="38"/>
      <c r="BB1258" s="38"/>
      <c r="BC1258" s="38"/>
      <c r="BD1258" s="38"/>
      <c r="BE1258" s="38"/>
      <c r="BF1258" s="38"/>
      <c r="BG1258" s="38"/>
    </row>
    <row r="1259">
      <c r="A1259" s="58"/>
      <c r="B1259" s="341"/>
      <c r="C1259" s="60"/>
      <c r="D1259" s="60"/>
      <c r="E1259" s="58"/>
      <c r="F1259" s="58"/>
      <c r="G1259" s="58"/>
      <c r="H1259" s="33" t="str">
        <f t="shared" si="1"/>
        <v/>
      </c>
      <c r="I1259" s="58"/>
      <c r="J1259" s="58"/>
      <c r="K1259" s="58"/>
      <c r="L1259" s="38"/>
      <c r="M1259" s="58"/>
      <c r="N1259" s="58"/>
      <c r="O1259" s="58"/>
      <c r="P1259" s="80"/>
      <c r="Q1259" s="77"/>
      <c r="R1259" s="62"/>
      <c r="S1259" s="62"/>
      <c r="T1259" s="62"/>
      <c r="U1259" s="62"/>
      <c r="V1259" s="37" t="str">
        <f>IFERROR(__xludf.DUMMYFUNCTION("if(not(iserror(index(split(C1259, "" ""),2))), index(split(C1259, "" ""),1),"""")"),"")</f>
        <v/>
      </c>
      <c r="W1259" s="315" t="str">
        <f>IFERROR(__xludf.DUMMYFUNCTION("if(V1259="""",C1259,if(not(iserror(index(split(C1259, "" ""),3))), index(split(C1259, "" ""),3),index(split(C1259, "" ""),2)))"),"")</f>
        <v/>
      </c>
      <c r="X1259" s="38" t="b">
        <f t="shared" si="2"/>
        <v>0</v>
      </c>
      <c r="Y1259" s="38"/>
      <c r="Z1259" s="40"/>
      <c r="AA1259" s="40"/>
      <c r="AB1259" s="38"/>
      <c r="AC1259" s="38"/>
      <c r="AD1259" s="38"/>
      <c r="AE1259" s="38"/>
      <c r="AF1259" s="38"/>
      <c r="AG1259" s="38"/>
      <c r="AH1259" s="38"/>
      <c r="AI1259" s="38"/>
      <c r="AJ1259" s="38"/>
      <c r="AK1259" s="38"/>
      <c r="AL1259" s="38"/>
      <c r="AM1259" s="38"/>
      <c r="AN1259" s="38"/>
      <c r="AO1259" s="38"/>
      <c r="AP1259" s="38"/>
      <c r="AQ1259" s="38"/>
      <c r="AR1259" s="38"/>
      <c r="AS1259" s="38"/>
      <c r="AT1259" s="38"/>
      <c r="AU1259" s="38"/>
      <c r="AV1259" s="38"/>
      <c r="AW1259" s="38"/>
      <c r="AX1259" s="38"/>
      <c r="AY1259" s="38"/>
      <c r="AZ1259" s="38"/>
      <c r="BA1259" s="38"/>
      <c r="BB1259" s="38"/>
      <c r="BC1259" s="38"/>
      <c r="BD1259" s="38"/>
      <c r="BE1259" s="38"/>
      <c r="BF1259" s="38"/>
      <c r="BG1259" s="38"/>
    </row>
    <row r="1260">
      <c r="A1260" s="58"/>
      <c r="B1260" s="341"/>
      <c r="C1260" s="60"/>
      <c r="D1260" s="60"/>
      <c r="E1260" s="58"/>
      <c r="F1260" s="58"/>
      <c r="G1260" s="58"/>
      <c r="H1260" s="33" t="str">
        <f t="shared" si="1"/>
        <v/>
      </c>
      <c r="I1260" s="58"/>
      <c r="J1260" s="58"/>
      <c r="K1260" s="58"/>
      <c r="L1260" s="38"/>
      <c r="M1260" s="58"/>
      <c r="N1260" s="58"/>
      <c r="O1260" s="58"/>
      <c r="P1260" s="80"/>
      <c r="Q1260" s="77"/>
      <c r="R1260" s="62"/>
      <c r="S1260" s="62"/>
      <c r="T1260" s="62"/>
      <c r="U1260" s="62"/>
      <c r="V1260" s="37" t="str">
        <f>IFERROR(__xludf.DUMMYFUNCTION("if(not(iserror(index(split(C1260, "" ""),2))), index(split(C1260, "" ""),1),"""")"),"")</f>
        <v/>
      </c>
      <c r="W1260" s="315" t="str">
        <f>IFERROR(__xludf.DUMMYFUNCTION("if(V1260="""",C1260,if(not(iserror(index(split(C1260, "" ""),3))), index(split(C1260, "" ""),3),index(split(C1260, "" ""),2)))"),"")</f>
        <v/>
      </c>
      <c r="X1260" s="38" t="b">
        <f t="shared" si="2"/>
        <v>0</v>
      </c>
      <c r="Y1260" s="38"/>
      <c r="Z1260" s="40"/>
      <c r="AA1260" s="40"/>
      <c r="AB1260" s="38"/>
      <c r="AC1260" s="38"/>
      <c r="AD1260" s="38"/>
      <c r="AE1260" s="38"/>
      <c r="AF1260" s="38"/>
      <c r="AG1260" s="38"/>
      <c r="AH1260" s="38"/>
      <c r="AI1260" s="38"/>
      <c r="AJ1260" s="38"/>
      <c r="AK1260" s="38"/>
      <c r="AL1260" s="38"/>
      <c r="AM1260" s="38"/>
      <c r="AN1260" s="38"/>
      <c r="AO1260" s="38"/>
      <c r="AP1260" s="38"/>
      <c r="AQ1260" s="38"/>
      <c r="AR1260" s="38"/>
      <c r="AS1260" s="38"/>
      <c r="AT1260" s="38"/>
      <c r="AU1260" s="38"/>
      <c r="AV1260" s="38"/>
      <c r="AW1260" s="38"/>
      <c r="AX1260" s="38"/>
      <c r="AY1260" s="38"/>
      <c r="AZ1260" s="38"/>
      <c r="BA1260" s="38"/>
      <c r="BB1260" s="38"/>
      <c r="BC1260" s="38"/>
      <c r="BD1260" s="38"/>
      <c r="BE1260" s="38"/>
      <c r="BF1260" s="38"/>
      <c r="BG1260" s="38"/>
    </row>
    <row r="1261">
      <c r="A1261" s="58"/>
      <c r="B1261" s="341"/>
      <c r="C1261" s="60"/>
      <c r="D1261" s="60"/>
      <c r="E1261" s="58"/>
      <c r="F1261" s="58"/>
      <c r="G1261" s="58"/>
      <c r="H1261" s="33" t="str">
        <f t="shared" si="1"/>
        <v/>
      </c>
      <c r="I1261" s="58"/>
      <c r="J1261" s="58"/>
      <c r="K1261" s="58"/>
      <c r="L1261" s="38"/>
      <c r="M1261" s="58"/>
      <c r="N1261" s="58"/>
      <c r="O1261" s="58"/>
      <c r="P1261" s="80"/>
      <c r="Q1261" s="77"/>
      <c r="R1261" s="62"/>
      <c r="S1261" s="62"/>
      <c r="T1261" s="62"/>
      <c r="U1261" s="62"/>
      <c r="V1261" s="37" t="str">
        <f>IFERROR(__xludf.DUMMYFUNCTION("if(not(iserror(index(split(C1261, "" ""),2))), index(split(C1261, "" ""),1),"""")"),"")</f>
        <v/>
      </c>
      <c r="W1261" s="315" t="str">
        <f>IFERROR(__xludf.DUMMYFUNCTION("if(V1261="""",C1261,if(not(iserror(index(split(C1261, "" ""),3))), index(split(C1261, "" ""),3),index(split(C1261, "" ""),2)))"),"")</f>
        <v/>
      </c>
      <c r="X1261" s="38" t="b">
        <f t="shared" si="2"/>
        <v>0</v>
      </c>
      <c r="Y1261" s="38"/>
      <c r="Z1261" s="40"/>
      <c r="AA1261" s="40"/>
      <c r="AB1261" s="38"/>
      <c r="AC1261" s="38"/>
      <c r="AD1261" s="38"/>
      <c r="AE1261" s="38"/>
      <c r="AF1261" s="38"/>
      <c r="AG1261" s="38"/>
      <c r="AH1261" s="38"/>
      <c r="AI1261" s="38"/>
      <c r="AJ1261" s="38"/>
      <c r="AK1261" s="38"/>
      <c r="AL1261" s="38"/>
      <c r="AM1261" s="38"/>
      <c r="AN1261" s="38"/>
      <c r="AO1261" s="38"/>
      <c r="AP1261" s="38"/>
      <c r="AQ1261" s="38"/>
      <c r="AR1261" s="38"/>
      <c r="AS1261" s="38"/>
      <c r="AT1261" s="38"/>
      <c r="AU1261" s="38"/>
      <c r="AV1261" s="38"/>
      <c r="AW1261" s="38"/>
      <c r="AX1261" s="38"/>
      <c r="AY1261" s="38"/>
      <c r="AZ1261" s="38"/>
      <c r="BA1261" s="38"/>
      <c r="BB1261" s="38"/>
      <c r="BC1261" s="38"/>
      <c r="BD1261" s="38"/>
      <c r="BE1261" s="38"/>
      <c r="BF1261" s="38"/>
      <c r="BG1261" s="38"/>
    </row>
    <row r="1262">
      <c r="A1262" s="58"/>
      <c r="B1262" s="341"/>
      <c r="C1262" s="60"/>
      <c r="D1262" s="60"/>
      <c r="E1262" s="58"/>
      <c r="F1262" s="58"/>
      <c r="G1262" s="58"/>
      <c r="H1262" s="33" t="str">
        <f t="shared" si="1"/>
        <v/>
      </c>
      <c r="I1262" s="58"/>
      <c r="J1262" s="58"/>
      <c r="K1262" s="58"/>
      <c r="L1262" s="38"/>
      <c r="M1262" s="58"/>
      <c r="N1262" s="58"/>
      <c r="O1262" s="58"/>
      <c r="P1262" s="80"/>
      <c r="Q1262" s="77"/>
      <c r="R1262" s="62"/>
      <c r="S1262" s="62"/>
      <c r="T1262" s="62"/>
      <c r="U1262" s="62"/>
      <c r="V1262" s="37" t="str">
        <f>IFERROR(__xludf.DUMMYFUNCTION("if(not(iserror(index(split(C1262, "" ""),2))), index(split(C1262, "" ""),1),"""")"),"")</f>
        <v/>
      </c>
      <c r="W1262" s="315" t="str">
        <f>IFERROR(__xludf.DUMMYFUNCTION("if(V1262="""",C1262,if(not(iserror(index(split(C1262, "" ""),3))), index(split(C1262, "" ""),3),index(split(C1262, "" ""),2)))"),"")</f>
        <v/>
      </c>
      <c r="X1262" s="38" t="b">
        <f t="shared" si="2"/>
        <v>0</v>
      </c>
      <c r="Y1262" s="38"/>
      <c r="Z1262" s="40"/>
      <c r="AA1262" s="40"/>
      <c r="AB1262" s="38"/>
      <c r="AC1262" s="38"/>
      <c r="AD1262" s="38"/>
      <c r="AE1262" s="38"/>
      <c r="AF1262" s="38"/>
      <c r="AG1262" s="38"/>
      <c r="AH1262" s="38"/>
      <c r="AI1262" s="38"/>
      <c r="AJ1262" s="38"/>
      <c r="AK1262" s="38"/>
      <c r="AL1262" s="38"/>
      <c r="AM1262" s="38"/>
      <c r="AN1262" s="38"/>
      <c r="AO1262" s="38"/>
      <c r="AP1262" s="38"/>
      <c r="AQ1262" s="38"/>
      <c r="AR1262" s="38"/>
      <c r="AS1262" s="38"/>
      <c r="AT1262" s="38"/>
      <c r="AU1262" s="38"/>
      <c r="AV1262" s="38"/>
      <c r="AW1262" s="38"/>
      <c r="AX1262" s="38"/>
      <c r="AY1262" s="38"/>
      <c r="AZ1262" s="38"/>
      <c r="BA1262" s="38"/>
      <c r="BB1262" s="38"/>
      <c r="BC1262" s="38"/>
      <c r="BD1262" s="38"/>
      <c r="BE1262" s="38"/>
      <c r="BF1262" s="38"/>
      <c r="BG1262" s="38"/>
    </row>
    <row r="1263">
      <c r="A1263" s="58"/>
      <c r="B1263" s="341"/>
      <c r="C1263" s="60"/>
      <c r="D1263" s="60"/>
      <c r="E1263" s="58"/>
      <c r="F1263" s="58"/>
      <c r="G1263" s="58"/>
      <c r="H1263" s="33" t="str">
        <f t="shared" si="1"/>
        <v/>
      </c>
      <c r="I1263" s="58"/>
      <c r="J1263" s="58"/>
      <c r="K1263" s="58"/>
      <c r="L1263" s="38"/>
      <c r="M1263" s="58"/>
      <c r="N1263" s="58"/>
      <c r="O1263" s="58"/>
      <c r="P1263" s="80"/>
      <c r="Q1263" s="77"/>
      <c r="R1263" s="62"/>
      <c r="S1263" s="62"/>
      <c r="T1263" s="62"/>
      <c r="U1263" s="62"/>
      <c r="V1263" s="37" t="str">
        <f>IFERROR(__xludf.DUMMYFUNCTION("if(not(iserror(index(split(C1263, "" ""),2))), index(split(C1263, "" ""),1),"""")"),"")</f>
        <v/>
      </c>
      <c r="W1263" s="315" t="str">
        <f>IFERROR(__xludf.DUMMYFUNCTION("if(V1263="""",C1263,if(not(iserror(index(split(C1263, "" ""),3))), index(split(C1263, "" ""),3),index(split(C1263, "" ""),2)))"),"")</f>
        <v/>
      </c>
      <c r="X1263" s="38" t="b">
        <f t="shared" si="2"/>
        <v>0</v>
      </c>
      <c r="Y1263" s="38"/>
      <c r="Z1263" s="40"/>
      <c r="AA1263" s="40"/>
      <c r="AB1263" s="38"/>
      <c r="AC1263" s="38"/>
      <c r="AD1263" s="38"/>
      <c r="AE1263" s="38"/>
      <c r="AF1263" s="38"/>
      <c r="AG1263" s="38"/>
      <c r="AH1263" s="38"/>
      <c r="AI1263" s="38"/>
      <c r="AJ1263" s="38"/>
      <c r="AK1263" s="38"/>
      <c r="AL1263" s="38"/>
      <c r="AM1263" s="38"/>
      <c r="AN1263" s="38"/>
      <c r="AO1263" s="38"/>
      <c r="AP1263" s="38"/>
      <c r="AQ1263" s="38"/>
      <c r="AR1263" s="38"/>
      <c r="AS1263" s="38"/>
      <c r="AT1263" s="38"/>
      <c r="AU1263" s="38"/>
      <c r="AV1263" s="38"/>
      <c r="AW1263" s="38"/>
      <c r="AX1263" s="38"/>
      <c r="AY1263" s="38"/>
      <c r="AZ1263" s="38"/>
      <c r="BA1263" s="38"/>
      <c r="BB1263" s="38"/>
      <c r="BC1263" s="38"/>
      <c r="BD1263" s="38"/>
      <c r="BE1263" s="38"/>
      <c r="BF1263" s="38"/>
      <c r="BG1263" s="38"/>
    </row>
    <row r="1264">
      <c r="A1264" s="58"/>
      <c r="B1264" s="341"/>
      <c r="C1264" s="60"/>
      <c r="D1264" s="60"/>
      <c r="E1264" s="58"/>
      <c r="F1264" s="58"/>
      <c r="G1264" s="58"/>
      <c r="H1264" s="33" t="str">
        <f t="shared" si="1"/>
        <v/>
      </c>
      <c r="I1264" s="58"/>
      <c r="J1264" s="58"/>
      <c r="K1264" s="58"/>
      <c r="L1264" s="38"/>
      <c r="M1264" s="58"/>
      <c r="N1264" s="58"/>
      <c r="O1264" s="58"/>
      <c r="P1264" s="80"/>
      <c r="Q1264" s="77"/>
      <c r="R1264" s="62"/>
      <c r="S1264" s="62"/>
      <c r="T1264" s="62"/>
      <c r="U1264" s="62"/>
      <c r="V1264" s="37" t="str">
        <f>IFERROR(__xludf.DUMMYFUNCTION("if(not(iserror(index(split(C1264, "" ""),2))), index(split(C1264, "" ""),1),"""")"),"")</f>
        <v/>
      </c>
      <c r="W1264" s="315" t="str">
        <f>IFERROR(__xludf.DUMMYFUNCTION("if(V1264="""",C1264,if(not(iserror(index(split(C1264, "" ""),3))), index(split(C1264, "" ""),3),index(split(C1264, "" ""),2)))"),"")</f>
        <v/>
      </c>
      <c r="X1264" s="38" t="b">
        <f t="shared" si="2"/>
        <v>0</v>
      </c>
      <c r="Y1264" s="38"/>
      <c r="Z1264" s="40"/>
      <c r="AA1264" s="40"/>
      <c r="AB1264" s="38"/>
      <c r="AC1264" s="38"/>
      <c r="AD1264" s="38"/>
      <c r="AE1264" s="38"/>
      <c r="AF1264" s="38"/>
      <c r="AG1264" s="38"/>
      <c r="AH1264" s="38"/>
      <c r="AI1264" s="38"/>
      <c r="AJ1264" s="38"/>
      <c r="AK1264" s="38"/>
      <c r="AL1264" s="38"/>
      <c r="AM1264" s="38"/>
      <c r="AN1264" s="38"/>
      <c r="AO1264" s="38"/>
      <c r="AP1264" s="38"/>
      <c r="AQ1264" s="38"/>
      <c r="AR1264" s="38"/>
      <c r="AS1264" s="38"/>
      <c r="AT1264" s="38"/>
      <c r="AU1264" s="38"/>
      <c r="AV1264" s="38"/>
      <c r="AW1264" s="38"/>
      <c r="AX1264" s="38"/>
      <c r="AY1264" s="38"/>
      <c r="AZ1264" s="38"/>
      <c r="BA1264" s="38"/>
      <c r="BB1264" s="38"/>
      <c r="BC1264" s="38"/>
      <c r="BD1264" s="38"/>
      <c r="BE1264" s="38"/>
      <c r="BF1264" s="38"/>
      <c r="BG1264" s="38"/>
    </row>
    <row r="1265">
      <c r="A1265" s="375"/>
      <c r="B1265" s="341"/>
      <c r="C1265" s="60"/>
      <c r="D1265" s="60"/>
      <c r="E1265" s="58"/>
      <c r="F1265" s="58"/>
      <c r="G1265" s="58"/>
      <c r="H1265" s="33" t="str">
        <f t="shared" si="1"/>
        <v/>
      </c>
      <c r="I1265" s="58"/>
      <c r="J1265" s="58"/>
      <c r="K1265" s="58"/>
      <c r="L1265" s="38"/>
      <c r="M1265" s="58"/>
      <c r="N1265" s="58"/>
      <c r="O1265" s="58"/>
      <c r="P1265" s="80"/>
      <c r="Q1265" s="77"/>
      <c r="R1265" s="62"/>
      <c r="S1265" s="62"/>
      <c r="T1265" s="62"/>
      <c r="U1265" s="62"/>
      <c r="V1265" s="37" t="str">
        <f>IFERROR(__xludf.DUMMYFUNCTION("if(not(iserror(index(split(C1265, "" ""),2))), index(split(C1265, "" ""),1),"""")"),"")</f>
        <v/>
      </c>
      <c r="W1265" s="315" t="str">
        <f>IFERROR(__xludf.DUMMYFUNCTION("if(V1265="""",C1265,if(not(iserror(index(split(C1265, "" ""),3))), index(split(C1265, "" ""),3),index(split(C1265, "" ""),2)))"),"")</f>
        <v/>
      </c>
      <c r="X1265" s="38" t="b">
        <f t="shared" si="2"/>
        <v>0</v>
      </c>
      <c r="Y1265" s="38"/>
      <c r="Z1265" s="40"/>
      <c r="AA1265" s="40"/>
      <c r="AB1265" s="38"/>
      <c r="AC1265" s="38"/>
      <c r="AD1265" s="38"/>
      <c r="AE1265" s="38"/>
      <c r="AF1265" s="38"/>
      <c r="AG1265" s="38"/>
      <c r="AH1265" s="38"/>
      <c r="AI1265" s="38"/>
      <c r="AJ1265" s="38"/>
      <c r="AK1265" s="38"/>
      <c r="AL1265" s="38"/>
      <c r="AM1265" s="38"/>
      <c r="AN1265" s="38"/>
      <c r="AO1265" s="38"/>
      <c r="AP1265" s="38"/>
      <c r="AQ1265" s="38"/>
      <c r="AR1265" s="38"/>
      <c r="AS1265" s="38"/>
      <c r="AT1265" s="38"/>
      <c r="AU1265" s="38"/>
      <c r="AV1265" s="38"/>
      <c r="AW1265" s="38"/>
      <c r="AX1265" s="38"/>
      <c r="AY1265" s="38"/>
      <c r="AZ1265" s="38"/>
      <c r="BA1265" s="38"/>
      <c r="BB1265" s="38"/>
      <c r="BC1265" s="38"/>
      <c r="BD1265" s="38"/>
      <c r="BE1265" s="38"/>
      <c r="BF1265" s="38"/>
      <c r="BG1265" s="38"/>
    </row>
    <row r="1266">
      <c r="A1266" s="375"/>
      <c r="B1266" s="341"/>
      <c r="C1266" s="60"/>
      <c r="D1266" s="60"/>
      <c r="E1266" s="58"/>
      <c r="F1266" s="58"/>
      <c r="G1266" s="58"/>
      <c r="H1266" s="33" t="str">
        <f t="shared" si="1"/>
        <v/>
      </c>
      <c r="I1266" s="58"/>
      <c r="J1266" s="58"/>
      <c r="K1266" s="58"/>
      <c r="L1266" s="38"/>
      <c r="M1266" s="58"/>
      <c r="N1266" s="58"/>
      <c r="O1266" s="58"/>
      <c r="P1266" s="80"/>
      <c r="Q1266" s="77"/>
      <c r="R1266" s="62"/>
      <c r="S1266" s="62"/>
      <c r="T1266" s="62"/>
      <c r="U1266" s="62"/>
      <c r="V1266" s="37" t="str">
        <f>IFERROR(__xludf.DUMMYFUNCTION("if(not(iserror(index(split(C1266, "" ""),2))), index(split(C1266, "" ""),1),"""")"),"")</f>
        <v/>
      </c>
      <c r="W1266" s="315" t="str">
        <f>IFERROR(__xludf.DUMMYFUNCTION("if(V1266="""",C1266,if(not(iserror(index(split(C1266, "" ""),3))), index(split(C1266, "" ""),3),index(split(C1266, "" ""),2)))"),"")</f>
        <v/>
      </c>
      <c r="X1266" s="38" t="b">
        <f t="shared" si="2"/>
        <v>0</v>
      </c>
      <c r="Y1266" s="38"/>
      <c r="Z1266" s="40"/>
      <c r="AA1266" s="40"/>
      <c r="AB1266" s="38"/>
      <c r="AC1266" s="38"/>
      <c r="AD1266" s="38"/>
      <c r="AE1266" s="38"/>
      <c r="AF1266" s="38"/>
      <c r="AG1266" s="38"/>
      <c r="AH1266" s="38"/>
      <c r="AI1266" s="38"/>
      <c r="AJ1266" s="38"/>
      <c r="AK1266" s="38"/>
      <c r="AL1266" s="38"/>
      <c r="AM1266" s="38"/>
      <c r="AN1266" s="38"/>
      <c r="AO1266" s="38"/>
      <c r="AP1266" s="38"/>
      <c r="AQ1266" s="38"/>
      <c r="AR1266" s="38"/>
      <c r="AS1266" s="38"/>
      <c r="AT1266" s="38"/>
      <c r="AU1266" s="38"/>
      <c r="AV1266" s="38"/>
      <c r="AW1266" s="38"/>
      <c r="AX1266" s="38"/>
      <c r="AY1266" s="38"/>
      <c r="AZ1266" s="38"/>
      <c r="BA1266" s="38"/>
      <c r="BB1266" s="38"/>
      <c r="BC1266" s="38"/>
      <c r="BD1266" s="38"/>
      <c r="BE1266" s="38"/>
      <c r="BF1266" s="38"/>
      <c r="BG1266" s="38"/>
    </row>
    <row r="1267">
      <c r="A1267" s="375"/>
      <c r="B1267" s="341"/>
      <c r="C1267" s="60"/>
      <c r="D1267" s="60"/>
      <c r="E1267" s="58"/>
      <c r="F1267" s="58"/>
      <c r="G1267" s="58"/>
      <c r="H1267" s="33" t="str">
        <f t="shared" si="1"/>
        <v/>
      </c>
      <c r="I1267" s="58"/>
      <c r="J1267" s="58"/>
      <c r="K1267" s="58"/>
      <c r="L1267" s="38"/>
      <c r="M1267" s="58"/>
      <c r="N1267" s="58"/>
      <c r="O1267" s="58"/>
      <c r="P1267" s="80"/>
      <c r="Q1267" s="77"/>
      <c r="R1267" s="62"/>
      <c r="S1267" s="62"/>
      <c r="T1267" s="62"/>
      <c r="U1267" s="62"/>
      <c r="V1267" s="37" t="str">
        <f>IFERROR(__xludf.DUMMYFUNCTION("if(not(iserror(index(split(C1267, "" ""),2))), index(split(C1267, "" ""),1),"""")"),"")</f>
        <v/>
      </c>
      <c r="W1267" s="315" t="str">
        <f>IFERROR(__xludf.DUMMYFUNCTION("if(V1267="""",C1267,if(not(iserror(index(split(C1267, "" ""),3))), index(split(C1267, "" ""),3),index(split(C1267, "" ""),2)))"),"")</f>
        <v/>
      </c>
      <c r="X1267" s="38" t="b">
        <f t="shared" si="2"/>
        <v>0</v>
      </c>
      <c r="Y1267" s="38"/>
      <c r="Z1267" s="40"/>
      <c r="AA1267" s="40"/>
      <c r="AB1267" s="38"/>
      <c r="AC1267" s="38"/>
      <c r="AD1267" s="38"/>
      <c r="AE1267" s="38"/>
      <c r="AF1267" s="38"/>
      <c r="AG1267" s="38"/>
      <c r="AH1267" s="38"/>
      <c r="AI1267" s="38"/>
      <c r="AJ1267" s="38"/>
      <c r="AK1267" s="38"/>
      <c r="AL1267" s="38"/>
      <c r="AM1267" s="38"/>
      <c r="AN1267" s="38"/>
      <c r="AO1267" s="38"/>
      <c r="AP1267" s="38"/>
      <c r="AQ1267" s="38"/>
      <c r="AR1267" s="38"/>
      <c r="AS1267" s="38"/>
      <c r="AT1267" s="38"/>
      <c r="AU1267" s="38"/>
      <c r="AV1267" s="38"/>
      <c r="AW1267" s="38"/>
      <c r="AX1267" s="38"/>
      <c r="AY1267" s="38"/>
      <c r="AZ1267" s="38"/>
      <c r="BA1267" s="38"/>
      <c r="BB1267" s="38"/>
      <c r="BC1267" s="38"/>
      <c r="BD1267" s="38"/>
      <c r="BE1267" s="38"/>
      <c r="BF1267" s="38"/>
      <c r="BG1267" s="38"/>
    </row>
    <row r="1268">
      <c r="A1268" s="375"/>
      <c r="B1268" s="341"/>
      <c r="C1268" s="60"/>
      <c r="D1268" s="60"/>
      <c r="E1268" s="58"/>
      <c r="F1268" s="58"/>
      <c r="G1268" s="58"/>
      <c r="H1268" s="33" t="str">
        <f t="shared" si="1"/>
        <v/>
      </c>
      <c r="I1268" s="58"/>
      <c r="J1268" s="58"/>
      <c r="K1268" s="58"/>
      <c r="L1268" s="38"/>
      <c r="M1268" s="58"/>
      <c r="N1268" s="58"/>
      <c r="O1268" s="58"/>
      <c r="P1268" s="80"/>
      <c r="Q1268" s="77"/>
      <c r="R1268" s="62"/>
      <c r="S1268" s="62"/>
      <c r="T1268" s="62"/>
      <c r="U1268" s="62"/>
      <c r="V1268" s="37" t="str">
        <f>IFERROR(__xludf.DUMMYFUNCTION("if(not(iserror(index(split(C1268, "" ""),2))), index(split(C1268, "" ""),1),"""")"),"")</f>
        <v/>
      </c>
      <c r="W1268" s="315" t="str">
        <f>IFERROR(__xludf.DUMMYFUNCTION("if(V1268="""",C1268,if(not(iserror(index(split(C1268, "" ""),3))), index(split(C1268, "" ""),3),index(split(C1268, "" ""),2)))"),"")</f>
        <v/>
      </c>
      <c r="X1268" s="38" t="b">
        <f t="shared" si="2"/>
        <v>0</v>
      </c>
      <c r="Y1268" s="38"/>
      <c r="Z1268" s="40"/>
      <c r="AA1268" s="40"/>
      <c r="AB1268" s="38"/>
      <c r="AC1268" s="38"/>
      <c r="AD1268" s="38"/>
      <c r="AE1268" s="38"/>
      <c r="AF1268" s="38"/>
      <c r="AG1268" s="38"/>
      <c r="AH1268" s="38"/>
      <c r="AI1268" s="38"/>
      <c r="AJ1268" s="38"/>
      <c r="AK1268" s="38"/>
      <c r="AL1268" s="38"/>
      <c r="AM1268" s="38"/>
      <c r="AN1268" s="38"/>
      <c r="AO1268" s="38"/>
      <c r="AP1268" s="38"/>
      <c r="AQ1268" s="38"/>
      <c r="AR1268" s="38"/>
      <c r="AS1268" s="38"/>
      <c r="AT1268" s="38"/>
      <c r="AU1268" s="38"/>
      <c r="AV1268" s="38"/>
      <c r="AW1268" s="38"/>
      <c r="AX1268" s="38"/>
      <c r="AY1268" s="38"/>
      <c r="AZ1268" s="38"/>
      <c r="BA1268" s="38"/>
      <c r="BB1268" s="38"/>
      <c r="BC1268" s="38"/>
      <c r="BD1268" s="38"/>
      <c r="BE1268" s="38"/>
      <c r="BF1268" s="38"/>
      <c r="BG1268" s="38"/>
    </row>
    <row r="1269">
      <c r="A1269" s="375"/>
      <c r="B1269" s="341"/>
      <c r="C1269" s="60"/>
      <c r="D1269" s="60"/>
      <c r="E1269" s="58"/>
      <c r="F1269" s="58"/>
      <c r="G1269" s="58"/>
      <c r="H1269" s="33" t="str">
        <f t="shared" si="1"/>
        <v/>
      </c>
      <c r="I1269" s="58"/>
      <c r="J1269" s="58"/>
      <c r="K1269" s="58"/>
      <c r="L1269" s="38"/>
      <c r="M1269" s="58"/>
      <c r="N1269" s="58"/>
      <c r="O1269" s="58"/>
      <c r="P1269" s="80"/>
      <c r="Q1269" s="77"/>
      <c r="R1269" s="62"/>
      <c r="S1269" s="58"/>
      <c r="T1269" s="84"/>
      <c r="U1269" s="62"/>
      <c r="V1269" s="37" t="str">
        <f>IFERROR(__xludf.DUMMYFUNCTION("if(not(iserror(index(split(C1269, "" ""),2))), index(split(C1269, "" ""),1),"""")"),"")</f>
        <v/>
      </c>
      <c r="W1269" s="315" t="str">
        <f>IFERROR(__xludf.DUMMYFUNCTION("if(V1269="""",C1269,if(not(iserror(index(split(C1269, "" ""),3))), index(split(C1269, "" ""),3),index(split(C1269, "" ""),2)))"),"")</f>
        <v/>
      </c>
      <c r="X1269" s="38" t="b">
        <f t="shared" si="2"/>
        <v>0</v>
      </c>
      <c r="Y1269" s="38"/>
      <c r="Z1269" s="40"/>
      <c r="AA1269" s="40"/>
      <c r="AB1269" s="38"/>
      <c r="AC1269" s="38"/>
      <c r="AD1269" s="38"/>
      <c r="AE1269" s="38"/>
      <c r="AF1269" s="38"/>
      <c r="AG1269" s="38"/>
      <c r="AH1269" s="38"/>
      <c r="AI1269" s="38"/>
      <c r="AJ1269" s="38"/>
      <c r="AK1269" s="38"/>
      <c r="AL1269" s="38"/>
      <c r="AM1269" s="38"/>
      <c r="AN1269" s="38"/>
      <c r="AO1269" s="38"/>
      <c r="AP1269" s="38"/>
      <c r="AQ1269" s="38"/>
      <c r="AR1269" s="38"/>
      <c r="AS1269" s="38"/>
      <c r="AT1269" s="38"/>
      <c r="AU1269" s="38"/>
      <c r="AV1269" s="38"/>
      <c r="AW1269" s="38"/>
      <c r="AX1269" s="38"/>
      <c r="AY1269" s="38"/>
      <c r="AZ1269" s="38"/>
      <c r="BA1269" s="38"/>
      <c r="BB1269" s="38"/>
      <c r="BC1269" s="38"/>
      <c r="BD1269" s="38"/>
      <c r="BE1269" s="38"/>
      <c r="BF1269" s="38"/>
      <c r="BG1269" s="38"/>
    </row>
    <row r="1270">
      <c r="A1270" s="58"/>
      <c r="B1270" s="341"/>
      <c r="C1270" s="60"/>
      <c r="D1270" s="60"/>
      <c r="E1270" s="58"/>
      <c r="F1270" s="58"/>
      <c r="G1270" s="58"/>
      <c r="H1270" s="33" t="str">
        <f t="shared" si="1"/>
        <v/>
      </c>
      <c r="I1270" s="58"/>
      <c r="J1270" s="58"/>
      <c r="K1270" s="58"/>
      <c r="L1270" s="38"/>
      <c r="M1270" s="58"/>
      <c r="N1270" s="58"/>
      <c r="O1270" s="58"/>
      <c r="P1270" s="80"/>
      <c r="Q1270" s="77"/>
      <c r="R1270" s="62"/>
      <c r="S1270" s="62"/>
      <c r="T1270" s="62"/>
      <c r="U1270" s="62"/>
      <c r="V1270" s="37" t="str">
        <f>IFERROR(__xludf.DUMMYFUNCTION("if(not(iserror(index(split(C1270, "" ""),2))), index(split(C1270, "" ""),1),"""")"),"")</f>
        <v/>
      </c>
      <c r="W1270" s="315" t="str">
        <f>IFERROR(__xludf.DUMMYFUNCTION("if(V1270="""",C1270,if(not(iserror(index(split(C1270, "" ""),3))), index(split(C1270, "" ""),3),index(split(C1270, "" ""),2)))"),"")</f>
        <v/>
      </c>
      <c r="X1270" s="38" t="b">
        <f t="shared" si="2"/>
        <v>0</v>
      </c>
      <c r="Y1270" s="38"/>
      <c r="Z1270" s="40"/>
      <c r="AA1270" s="40"/>
      <c r="AB1270" s="38"/>
      <c r="AC1270" s="38"/>
      <c r="AD1270" s="38"/>
      <c r="AE1270" s="38"/>
      <c r="AF1270" s="38"/>
      <c r="AG1270" s="38"/>
      <c r="AH1270" s="38"/>
      <c r="AI1270" s="38"/>
      <c r="AJ1270" s="38"/>
      <c r="AK1270" s="38"/>
      <c r="AL1270" s="38"/>
      <c r="AM1270" s="38"/>
      <c r="AN1270" s="38"/>
      <c r="AO1270" s="38"/>
      <c r="AP1270" s="38"/>
      <c r="AQ1270" s="38"/>
      <c r="AR1270" s="38"/>
      <c r="AS1270" s="38"/>
      <c r="AT1270" s="38"/>
      <c r="AU1270" s="38"/>
      <c r="AV1270" s="38"/>
      <c r="AW1270" s="38"/>
      <c r="AX1270" s="38"/>
      <c r="AY1270" s="38"/>
      <c r="AZ1270" s="38"/>
      <c r="BA1270" s="38"/>
      <c r="BB1270" s="38"/>
      <c r="BC1270" s="38"/>
      <c r="BD1270" s="38"/>
      <c r="BE1270" s="38"/>
      <c r="BF1270" s="38"/>
      <c r="BG1270" s="38"/>
    </row>
    <row r="1271">
      <c r="A1271" s="58"/>
      <c r="B1271" s="341"/>
      <c r="C1271" s="60"/>
      <c r="D1271" s="60"/>
      <c r="E1271" s="58"/>
      <c r="F1271" s="58"/>
      <c r="G1271" s="58"/>
      <c r="H1271" s="33" t="str">
        <f t="shared" si="1"/>
        <v/>
      </c>
      <c r="I1271" s="58"/>
      <c r="J1271" s="58"/>
      <c r="K1271" s="58"/>
      <c r="L1271" s="38"/>
      <c r="M1271" s="58"/>
      <c r="N1271" s="58"/>
      <c r="O1271" s="58"/>
      <c r="P1271" s="389"/>
      <c r="Q1271" s="77"/>
      <c r="R1271" s="62"/>
      <c r="S1271" s="62"/>
      <c r="T1271" s="62"/>
      <c r="U1271" s="62"/>
      <c r="V1271" s="37" t="str">
        <f>IFERROR(__xludf.DUMMYFUNCTION("if(not(iserror(index(split(C1271, "" ""),2))), index(split(C1271, "" ""),1),"""")"),"")</f>
        <v/>
      </c>
      <c r="W1271" s="315" t="str">
        <f>IFERROR(__xludf.DUMMYFUNCTION("if(V1271="""",C1271,if(not(iserror(index(split(C1271, "" ""),3))), index(split(C1271, "" ""),3),index(split(C1271, "" ""),2)))"),"")</f>
        <v/>
      </c>
      <c r="X1271" s="38" t="b">
        <f t="shared" si="2"/>
        <v>0</v>
      </c>
      <c r="Y1271" s="38"/>
      <c r="Z1271" s="40"/>
      <c r="AA1271" s="40"/>
      <c r="AB1271" s="38"/>
      <c r="AC1271" s="38"/>
      <c r="AD1271" s="38"/>
      <c r="AE1271" s="38"/>
      <c r="AF1271" s="38"/>
      <c r="AG1271" s="38"/>
      <c r="AH1271" s="38"/>
      <c r="AI1271" s="38"/>
      <c r="AJ1271" s="38"/>
      <c r="AK1271" s="38"/>
      <c r="AL1271" s="38"/>
      <c r="AM1271" s="38"/>
      <c r="AN1271" s="38"/>
      <c r="AO1271" s="38"/>
      <c r="AP1271" s="38"/>
      <c r="AQ1271" s="38"/>
      <c r="AR1271" s="38"/>
      <c r="AS1271" s="38"/>
      <c r="AT1271" s="38"/>
      <c r="AU1271" s="38"/>
      <c r="AV1271" s="38"/>
      <c r="AW1271" s="38"/>
      <c r="AX1271" s="38"/>
      <c r="AY1271" s="38"/>
      <c r="AZ1271" s="38"/>
      <c r="BA1271" s="38"/>
      <c r="BB1271" s="38"/>
      <c r="BC1271" s="38"/>
      <c r="BD1271" s="38"/>
      <c r="BE1271" s="38"/>
      <c r="BF1271" s="38"/>
      <c r="BG1271" s="38"/>
    </row>
    <row r="1272">
      <c r="A1272" s="58"/>
      <c r="B1272" s="341"/>
      <c r="C1272" s="60"/>
      <c r="D1272" s="60"/>
      <c r="E1272" s="58"/>
      <c r="F1272" s="58"/>
      <c r="G1272" s="58"/>
      <c r="H1272" s="33" t="str">
        <f t="shared" si="1"/>
        <v/>
      </c>
      <c r="I1272" s="58"/>
      <c r="J1272" s="58"/>
      <c r="K1272" s="58"/>
      <c r="L1272" s="38"/>
      <c r="M1272" s="58"/>
      <c r="N1272" s="58"/>
      <c r="O1272" s="58"/>
      <c r="P1272" s="80"/>
      <c r="Q1272" s="77"/>
      <c r="R1272" s="58"/>
      <c r="S1272" s="58"/>
      <c r="T1272" s="84"/>
      <c r="U1272" s="62"/>
      <c r="V1272" s="37" t="str">
        <f>IFERROR(__xludf.DUMMYFUNCTION("if(not(iserror(index(split(C1272, "" ""),2))), index(split(C1272, "" ""),1),"""")"),"")</f>
        <v/>
      </c>
      <c r="W1272" s="315" t="str">
        <f>IFERROR(__xludf.DUMMYFUNCTION("if(V1272="""",C1272,if(not(iserror(index(split(C1272, "" ""),3))), index(split(C1272, "" ""),3),index(split(C1272, "" ""),2)))"),"")</f>
        <v/>
      </c>
      <c r="X1272" s="38" t="b">
        <f t="shared" si="2"/>
        <v>0</v>
      </c>
      <c r="Y1272" s="38"/>
      <c r="Z1272" s="40"/>
      <c r="AA1272" s="40"/>
      <c r="AB1272" s="38"/>
      <c r="AC1272" s="38"/>
      <c r="AD1272" s="38"/>
      <c r="AE1272" s="38"/>
      <c r="AF1272" s="38"/>
      <c r="AG1272" s="38"/>
      <c r="AH1272" s="38"/>
      <c r="AI1272" s="38"/>
      <c r="AJ1272" s="38"/>
      <c r="AK1272" s="38"/>
      <c r="AL1272" s="38"/>
      <c r="AM1272" s="38"/>
      <c r="AN1272" s="38"/>
      <c r="AO1272" s="38"/>
      <c r="AP1272" s="38"/>
      <c r="AQ1272" s="38"/>
      <c r="AR1272" s="38"/>
      <c r="AS1272" s="38"/>
      <c r="AT1272" s="38"/>
      <c r="AU1272" s="38"/>
      <c r="AV1272" s="38"/>
      <c r="AW1272" s="38"/>
      <c r="AX1272" s="38"/>
      <c r="AY1272" s="38"/>
      <c r="AZ1272" s="38"/>
      <c r="BA1272" s="38"/>
      <c r="BB1272" s="38"/>
      <c r="BC1272" s="38"/>
      <c r="BD1272" s="38"/>
      <c r="BE1272" s="38"/>
      <c r="BF1272" s="38"/>
      <c r="BG1272" s="38"/>
    </row>
    <row r="1273">
      <c r="A1273" s="375"/>
      <c r="B1273" s="341"/>
      <c r="C1273" s="60"/>
      <c r="D1273" s="60"/>
      <c r="E1273" s="58"/>
      <c r="F1273" s="58"/>
      <c r="G1273" s="58"/>
      <c r="H1273" s="33" t="str">
        <f t="shared" si="1"/>
        <v/>
      </c>
      <c r="I1273" s="58"/>
      <c r="J1273" s="58"/>
      <c r="K1273" s="58"/>
      <c r="L1273" s="38"/>
      <c r="M1273" s="58"/>
      <c r="N1273" s="58"/>
      <c r="O1273" s="58"/>
      <c r="P1273" s="80"/>
      <c r="Q1273" s="77"/>
      <c r="R1273" s="58"/>
      <c r="S1273" s="58"/>
      <c r="T1273" s="84"/>
      <c r="U1273" s="62"/>
      <c r="V1273" s="37" t="str">
        <f>IFERROR(__xludf.DUMMYFUNCTION("if(not(iserror(index(split(C1273, "" ""),2))), index(split(C1273, "" ""),1),"""")"),"")</f>
        <v/>
      </c>
      <c r="W1273" s="315" t="str">
        <f>IFERROR(__xludf.DUMMYFUNCTION("if(V1273="""",C1273,if(not(iserror(index(split(C1273, "" ""),3))), index(split(C1273, "" ""),3),index(split(C1273, "" ""),2)))"),"")</f>
        <v/>
      </c>
      <c r="X1273" s="38" t="b">
        <f t="shared" si="2"/>
        <v>0</v>
      </c>
      <c r="Y1273" s="38"/>
      <c r="Z1273" s="40"/>
      <c r="AA1273" s="40"/>
      <c r="AB1273" s="38"/>
      <c r="AC1273" s="38"/>
      <c r="AD1273" s="38"/>
      <c r="AE1273" s="38"/>
      <c r="AF1273" s="38"/>
      <c r="AG1273" s="38"/>
      <c r="AH1273" s="38"/>
      <c r="AI1273" s="38"/>
      <c r="AJ1273" s="38"/>
      <c r="AK1273" s="38"/>
      <c r="AL1273" s="38"/>
      <c r="AM1273" s="38"/>
      <c r="AN1273" s="38"/>
      <c r="AO1273" s="38"/>
      <c r="AP1273" s="38"/>
      <c r="AQ1273" s="38"/>
      <c r="AR1273" s="38"/>
      <c r="AS1273" s="38"/>
      <c r="AT1273" s="38"/>
      <c r="AU1273" s="38"/>
      <c r="AV1273" s="38"/>
      <c r="AW1273" s="38"/>
      <c r="AX1273" s="38"/>
      <c r="AY1273" s="38"/>
      <c r="AZ1273" s="38"/>
      <c r="BA1273" s="38"/>
      <c r="BB1273" s="38"/>
      <c r="BC1273" s="38"/>
      <c r="BD1273" s="38"/>
      <c r="BE1273" s="38"/>
      <c r="BF1273" s="38"/>
      <c r="BG1273" s="38"/>
    </row>
    <row r="1274">
      <c r="A1274" s="58"/>
      <c r="B1274" s="341"/>
      <c r="C1274" s="60"/>
      <c r="D1274" s="60"/>
      <c r="E1274" s="58"/>
      <c r="F1274" s="58"/>
      <c r="G1274" s="58"/>
      <c r="H1274" s="33" t="str">
        <f t="shared" si="1"/>
        <v/>
      </c>
      <c r="I1274" s="58"/>
      <c r="J1274" s="58"/>
      <c r="K1274" s="58"/>
      <c r="L1274" s="38"/>
      <c r="M1274" s="58"/>
      <c r="N1274" s="58"/>
      <c r="O1274" s="58"/>
      <c r="P1274" s="80"/>
      <c r="Q1274" s="77"/>
      <c r="R1274" s="62"/>
      <c r="S1274" s="62"/>
      <c r="T1274" s="62"/>
      <c r="U1274" s="62"/>
      <c r="V1274" s="37" t="str">
        <f>IFERROR(__xludf.DUMMYFUNCTION("if(not(iserror(index(split(C1274, "" ""),2))), index(split(C1274, "" ""),1),"""")"),"")</f>
        <v/>
      </c>
      <c r="W1274" s="315" t="str">
        <f>IFERROR(__xludf.DUMMYFUNCTION("if(V1274="""",C1274,if(not(iserror(index(split(C1274, "" ""),3))), index(split(C1274, "" ""),3),index(split(C1274, "" ""),2)))"),"")</f>
        <v/>
      </c>
      <c r="X1274" s="38" t="b">
        <f t="shared" si="2"/>
        <v>0</v>
      </c>
      <c r="Y1274" s="38"/>
      <c r="Z1274" s="40"/>
      <c r="AA1274" s="40"/>
      <c r="AB1274" s="38"/>
      <c r="AC1274" s="38"/>
      <c r="AD1274" s="38"/>
      <c r="AE1274" s="38"/>
      <c r="AF1274" s="38"/>
      <c r="AG1274" s="38"/>
      <c r="AH1274" s="38"/>
      <c r="AI1274" s="38"/>
      <c r="AJ1274" s="38"/>
      <c r="AK1274" s="38"/>
      <c r="AL1274" s="38"/>
      <c r="AM1274" s="38"/>
      <c r="AN1274" s="38"/>
      <c r="AO1274" s="38"/>
      <c r="AP1274" s="38"/>
      <c r="AQ1274" s="38"/>
      <c r="AR1274" s="38"/>
      <c r="AS1274" s="38"/>
      <c r="AT1274" s="38"/>
      <c r="AU1274" s="38"/>
      <c r="AV1274" s="38"/>
      <c r="AW1274" s="38"/>
      <c r="AX1274" s="38"/>
      <c r="AY1274" s="38"/>
      <c r="AZ1274" s="38"/>
      <c r="BA1274" s="38"/>
      <c r="BB1274" s="38"/>
      <c r="BC1274" s="38"/>
      <c r="BD1274" s="38"/>
      <c r="BE1274" s="38"/>
      <c r="BF1274" s="38"/>
      <c r="BG1274" s="38"/>
    </row>
    <row r="1275">
      <c r="A1275" s="58"/>
      <c r="B1275" s="341"/>
      <c r="C1275" s="60"/>
      <c r="D1275" s="60"/>
      <c r="E1275" s="58"/>
      <c r="F1275" s="58"/>
      <c r="G1275" s="58"/>
      <c r="H1275" s="33" t="str">
        <f t="shared" si="1"/>
        <v/>
      </c>
      <c r="I1275" s="58"/>
      <c r="J1275" s="58"/>
      <c r="K1275" s="58"/>
      <c r="L1275" s="38"/>
      <c r="M1275" s="58"/>
      <c r="N1275" s="58"/>
      <c r="O1275" s="58"/>
      <c r="P1275" s="80"/>
      <c r="Q1275" s="77"/>
      <c r="R1275" s="58"/>
      <c r="S1275" s="58"/>
      <c r="T1275" s="84"/>
      <c r="U1275" s="62"/>
      <c r="V1275" s="37" t="str">
        <f>IFERROR(__xludf.DUMMYFUNCTION("if(not(iserror(index(split(C1275, "" ""),2))), index(split(C1275, "" ""),1),"""")"),"")</f>
        <v/>
      </c>
      <c r="W1275" s="315" t="str">
        <f>IFERROR(__xludf.DUMMYFUNCTION("if(V1275="""",C1275,if(not(iserror(index(split(C1275, "" ""),3))), index(split(C1275, "" ""),3),index(split(C1275, "" ""),2)))"),"")</f>
        <v/>
      </c>
      <c r="X1275" s="38" t="b">
        <f t="shared" si="2"/>
        <v>0</v>
      </c>
      <c r="Y1275" s="38"/>
      <c r="Z1275" s="40"/>
      <c r="AA1275" s="40"/>
      <c r="AB1275" s="38"/>
      <c r="AC1275" s="38"/>
      <c r="AD1275" s="38"/>
      <c r="AE1275" s="38"/>
      <c r="AF1275" s="38"/>
      <c r="AG1275" s="38"/>
      <c r="AH1275" s="38"/>
      <c r="AI1275" s="38"/>
      <c r="AJ1275" s="38"/>
      <c r="AK1275" s="38"/>
      <c r="AL1275" s="38"/>
      <c r="AM1275" s="38"/>
      <c r="AN1275" s="38"/>
      <c r="AO1275" s="38"/>
      <c r="AP1275" s="38"/>
      <c r="AQ1275" s="38"/>
      <c r="AR1275" s="38"/>
      <c r="AS1275" s="38"/>
      <c r="AT1275" s="38"/>
      <c r="AU1275" s="38"/>
      <c r="AV1275" s="38"/>
      <c r="AW1275" s="38"/>
      <c r="AX1275" s="38"/>
      <c r="AY1275" s="38"/>
      <c r="AZ1275" s="38"/>
      <c r="BA1275" s="38"/>
      <c r="BB1275" s="38"/>
      <c r="BC1275" s="38"/>
      <c r="BD1275" s="38"/>
      <c r="BE1275" s="38"/>
      <c r="BF1275" s="38"/>
      <c r="BG1275" s="38"/>
    </row>
    <row r="1276">
      <c r="A1276" s="58"/>
      <c r="B1276" s="341"/>
      <c r="C1276" s="60"/>
      <c r="D1276" s="60"/>
      <c r="E1276" s="58"/>
      <c r="F1276" s="58"/>
      <c r="G1276" s="58"/>
      <c r="H1276" s="33" t="str">
        <f t="shared" si="1"/>
        <v/>
      </c>
      <c r="I1276" s="58"/>
      <c r="J1276" s="58"/>
      <c r="K1276" s="58"/>
      <c r="L1276" s="38"/>
      <c r="M1276" s="58"/>
      <c r="N1276" s="58"/>
      <c r="O1276" s="58"/>
      <c r="P1276" s="80"/>
      <c r="Q1276" s="77"/>
      <c r="R1276" s="58"/>
      <c r="S1276" s="58"/>
      <c r="T1276" s="84"/>
      <c r="U1276" s="62"/>
      <c r="V1276" s="37" t="str">
        <f>IFERROR(__xludf.DUMMYFUNCTION("if(not(iserror(index(split(C1276, "" ""),2))), index(split(C1276, "" ""),1),"""")"),"")</f>
        <v/>
      </c>
      <c r="W1276" s="315" t="str">
        <f>IFERROR(__xludf.DUMMYFUNCTION("if(V1276="""",C1276,if(not(iserror(index(split(C1276, "" ""),3))), index(split(C1276, "" ""),3),index(split(C1276, "" ""),2)))"),"")</f>
        <v/>
      </c>
      <c r="X1276" s="38" t="b">
        <f t="shared" si="2"/>
        <v>0</v>
      </c>
      <c r="Y1276" s="38"/>
      <c r="Z1276" s="40"/>
      <c r="AA1276" s="40"/>
      <c r="AB1276" s="38"/>
      <c r="AC1276" s="38"/>
      <c r="AD1276" s="38"/>
      <c r="AE1276" s="38"/>
      <c r="AF1276" s="38"/>
      <c r="AG1276" s="38"/>
      <c r="AH1276" s="38"/>
      <c r="AI1276" s="38"/>
      <c r="AJ1276" s="38"/>
      <c r="AK1276" s="38"/>
      <c r="AL1276" s="38"/>
      <c r="AM1276" s="38"/>
      <c r="AN1276" s="38"/>
      <c r="AO1276" s="38"/>
      <c r="AP1276" s="38"/>
      <c r="AQ1276" s="38"/>
      <c r="AR1276" s="38"/>
      <c r="AS1276" s="38"/>
      <c r="AT1276" s="38"/>
      <c r="AU1276" s="38"/>
      <c r="AV1276" s="38"/>
      <c r="AW1276" s="38"/>
      <c r="AX1276" s="38"/>
      <c r="AY1276" s="38"/>
      <c r="AZ1276" s="38"/>
      <c r="BA1276" s="38"/>
      <c r="BB1276" s="38"/>
      <c r="BC1276" s="38"/>
      <c r="BD1276" s="38"/>
      <c r="BE1276" s="38"/>
      <c r="BF1276" s="38"/>
      <c r="BG1276" s="38"/>
    </row>
    <row r="1277">
      <c r="A1277" s="58"/>
      <c r="B1277" s="341"/>
      <c r="C1277" s="60"/>
      <c r="D1277" s="60"/>
      <c r="E1277" s="58"/>
      <c r="F1277" s="58"/>
      <c r="G1277" s="58"/>
      <c r="H1277" s="33" t="str">
        <f t="shared" si="1"/>
        <v/>
      </c>
      <c r="I1277" s="58"/>
      <c r="J1277" s="58"/>
      <c r="K1277" s="58"/>
      <c r="L1277" s="38"/>
      <c r="M1277" s="58"/>
      <c r="N1277" s="58"/>
      <c r="O1277" s="58"/>
      <c r="P1277" s="80"/>
      <c r="Q1277" s="77"/>
      <c r="R1277" s="58"/>
      <c r="S1277" s="58"/>
      <c r="T1277" s="84"/>
      <c r="U1277" s="62"/>
      <c r="V1277" s="37" t="str">
        <f>IFERROR(__xludf.DUMMYFUNCTION("if(not(iserror(index(split(C1277, "" ""),2))), index(split(C1277, "" ""),1),"""")"),"")</f>
        <v/>
      </c>
      <c r="W1277" s="315" t="str">
        <f>IFERROR(__xludf.DUMMYFUNCTION("if(V1277="""",C1277,if(not(iserror(index(split(C1277, "" ""),3))), index(split(C1277, "" ""),3),index(split(C1277, "" ""),2)))"),"")</f>
        <v/>
      </c>
      <c r="X1277" s="38" t="b">
        <f t="shared" si="2"/>
        <v>0</v>
      </c>
      <c r="Y1277" s="38"/>
      <c r="Z1277" s="40"/>
      <c r="AA1277" s="40"/>
      <c r="AB1277" s="38"/>
      <c r="AC1277" s="38"/>
      <c r="AD1277" s="38"/>
      <c r="AE1277" s="38"/>
      <c r="AF1277" s="38"/>
      <c r="AG1277" s="38"/>
      <c r="AH1277" s="38"/>
      <c r="AI1277" s="38"/>
      <c r="AJ1277" s="38"/>
      <c r="AK1277" s="38"/>
      <c r="AL1277" s="38"/>
      <c r="AM1277" s="38"/>
      <c r="AN1277" s="38"/>
      <c r="AO1277" s="38"/>
      <c r="AP1277" s="38"/>
      <c r="AQ1277" s="38"/>
      <c r="AR1277" s="38"/>
      <c r="AS1277" s="38"/>
      <c r="AT1277" s="38"/>
      <c r="AU1277" s="38"/>
      <c r="AV1277" s="38"/>
      <c r="AW1277" s="38"/>
      <c r="AX1277" s="38"/>
      <c r="AY1277" s="38"/>
      <c r="AZ1277" s="38"/>
      <c r="BA1277" s="38"/>
      <c r="BB1277" s="38"/>
      <c r="BC1277" s="38"/>
      <c r="BD1277" s="38"/>
      <c r="BE1277" s="38"/>
      <c r="BF1277" s="38"/>
      <c r="BG1277" s="38"/>
    </row>
    <row r="1278">
      <c r="A1278" s="58"/>
      <c r="B1278" s="341"/>
      <c r="C1278" s="60"/>
      <c r="D1278" s="60"/>
      <c r="E1278" s="58"/>
      <c r="F1278" s="58"/>
      <c r="G1278" s="58"/>
      <c r="H1278" s="33" t="str">
        <f t="shared" si="1"/>
        <v/>
      </c>
      <c r="I1278" s="58"/>
      <c r="J1278" s="58"/>
      <c r="K1278" s="58"/>
      <c r="L1278" s="38"/>
      <c r="M1278" s="58"/>
      <c r="N1278" s="58"/>
      <c r="O1278" s="58"/>
      <c r="P1278" s="80"/>
      <c r="Q1278" s="77"/>
      <c r="R1278" s="58"/>
      <c r="S1278" s="58"/>
      <c r="T1278" s="84"/>
      <c r="U1278" s="62"/>
      <c r="V1278" s="37" t="str">
        <f>IFERROR(__xludf.DUMMYFUNCTION("if(not(iserror(index(split(C1278, "" ""),2))), index(split(C1278, "" ""),1),"""")"),"")</f>
        <v/>
      </c>
      <c r="W1278" s="315" t="str">
        <f>IFERROR(__xludf.DUMMYFUNCTION("if(V1278="""",C1278,if(not(iserror(index(split(C1278, "" ""),3))), index(split(C1278, "" ""),3),index(split(C1278, "" ""),2)))"),"")</f>
        <v/>
      </c>
      <c r="X1278" s="38" t="b">
        <f t="shared" si="2"/>
        <v>0</v>
      </c>
      <c r="Y1278" s="38"/>
      <c r="Z1278" s="40"/>
      <c r="AA1278" s="40"/>
      <c r="AB1278" s="38"/>
      <c r="AC1278" s="38"/>
      <c r="AD1278" s="38"/>
      <c r="AE1278" s="38"/>
      <c r="AF1278" s="38"/>
      <c r="AG1278" s="38"/>
      <c r="AH1278" s="38"/>
      <c r="AI1278" s="38"/>
      <c r="AJ1278" s="38"/>
      <c r="AK1278" s="38"/>
      <c r="AL1278" s="38"/>
      <c r="AM1278" s="38"/>
      <c r="AN1278" s="38"/>
      <c r="AO1278" s="38"/>
      <c r="AP1278" s="38"/>
      <c r="AQ1278" s="38"/>
      <c r="AR1278" s="38"/>
      <c r="AS1278" s="38"/>
      <c r="AT1278" s="38"/>
      <c r="AU1278" s="38"/>
      <c r="AV1278" s="38"/>
      <c r="AW1278" s="38"/>
      <c r="AX1278" s="38"/>
      <c r="AY1278" s="38"/>
      <c r="AZ1278" s="38"/>
      <c r="BA1278" s="38"/>
      <c r="BB1278" s="38"/>
      <c r="BC1278" s="38"/>
      <c r="BD1278" s="38"/>
      <c r="BE1278" s="38"/>
      <c r="BF1278" s="38"/>
      <c r="BG1278" s="38"/>
    </row>
    <row r="1279">
      <c r="A1279" s="58"/>
      <c r="B1279" s="341"/>
      <c r="C1279" s="60"/>
      <c r="D1279" s="60"/>
      <c r="E1279" s="58"/>
      <c r="F1279" s="58"/>
      <c r="G1279" s="58"/>
      <c r="H1279" s="33" t="str">
        <f t="shared" si="1"/>
        <v/>
      </c>
      <c r="I1279" s="58"/>
      <c r="J1279" s="58"/>
      <c r="K1279" s="58"/>
      <c r="L1279" s="38"/>
      <c r="M1279" s="58"/>
      <c r="N1279" s="58"/>
      <c r="O1279" s="58"/>
      <c r="P1279" s="80"/>
      <c r="Q1279" s="77"/>
      <c r="R1279" s="58"/>
      <c r="S1279" s="58"/>
      <c r="T1279" s="84"/>
      <c r="U1279" s="62"/>
      <c r="V1279" s="37" t="str">
        <f>IFERROR(__xludf.DUMMYFUNCTION("if(not(iserror(index(split(C1279, "" ""),2))), index(split(C1279, "" ""),1),"""")"),"")</f>
        <v/>
      </c>
      <c r="W1279" s="315" t="str">
        <f>IFERROR(__xludf.DUMMYFUNCTION("if(V1279="""",C1279,if(not(iserror(index(split(C1279, "" ""),3))), index(split(C1279, "" ""),3),index(split(C1279, "" ""),2)))"),"")</f>
        <v/>
      </c>
      <c r="X1279" s="38" t="b">
        <f t="shared" si="2"/>
        <v>0</v>
      </c>
      <c r="Y1279" s="38"/>
      <c r="Z1279" s="40"/>
      <c r="AA1279" s="40"/>
      <c r="AB1279" s="38"/>
      <c r="AC1279" s="38"/>
      <c r="AD1279" s="38"/>
      <c r="AE1279" s="38"/>
      <c r="AF1279" s="38"/>
      <c r="AG1279" s="38"/>
      <c r="AH1279" s="38"/>
      <c r="AI1279" s="38"/>
      <c r="AJ1279" s="38"/>
      <c r="AK1279" s="38"/>
      <c r="AL1279" s="38"/>
      <c r="AM1279" s="38"/>
      <c r="AN1279" s="38"/>
      <c r="AO1279" s="38"/>
      <c r="AP1279" s="38"/>
      <c r="AQ1279" s="38"/>
      <c r="AR1279" s="38"/>
      <c r="AS1279" s="38"/>
      <c r="AT1279" s="38"/>
      <c r="AU1279" s="38"/>
      <c r="AV1279" s="38"/>
      <c r="AW1279" s="38"/>
      <c r="AX1279" s="38"/>
      <c r="AY1279" s="38"/>
      <c r="AZ1279" s="38"/>
      <c r="BA1279" s="38"/>
      <c r="BB1279" s="38"/>
      <c r="BC1279" s="38"/>
      <c r="BD1279" s="38"/>
      <c r="BE1279" s="38"/>
      <c r="BF1279" s="38"/>
      <c r="BG1279" s="38"/>
    </row>
    <row r="1280">
      <c r="A1280" s="58"/>
      <c r="B1280" s="341"/>
      <c r="C1280" s="60"/>
      <c r="D1280" s="60"/>
      <c r="E1280" s="58"/>
      <c r="F1280" s="58"/>
      <c r="G1280" s="58"/>
      <c r="H1280" s="33" t="str">
        <f t="shared" si="1"/>
        <v/>
      </c>
      <c r="I1280" s="58"/>
      <c r="J1280" s="58"/>
      <c r="K1280" s="58"/>
      <c r="L1280" s="38"/>
      <c r="M1280" s="58"/>
      <c r="N1280" s="58"/>
      <c r="O1280" s="58"/>
      <c r="P1280" s="80"/>
      <c r="Q1280" s="77"/>
      <c r="R1280" s="58"/>
      <c r="S1280" s="58"/>
      <c r="T1280" s="84"/>
      <c r="U1280" s="62"/>
      <c r="V1280" s="37" t="str">
        <f>IFERROR(__xludf.DUMMYFUNCTION("if(not(iserror(index(split(C1280, "" ""),2))), index(split(C1280, "" ""),1),"""")"),"")</f>
        <v/>
      </c>
      <c r="W1280" s="315" t="str">
        <f>IFERROR(__xludf.DUMMYFUNCTION("if(V1280="""",C1280,if(not(iserror(index(split(C1280, "" ""),3))), index(split(C1280, "" ""),3),index(split(C1280, "" ""),2)))"),"")</f>
        <v/>
      </c>
      <c r="X1280" s="38" t="b">
        <f t="shared" si="2"/>
        <v>0</v>
      </c>
      <c r="Y1280" s="38"/>
      <c r="Z1280" s="40"/>
      <c r="AA1280" s="40"/>
      <c r="AB1280" s="38"/>
      <c r="AC1280" s="38"/>
      <c r="AD1280" s="38"/>
      <c r="AE1280" s="38"/>
      <c r="AF1280" s="38"/>
      <c r="AG1280" s="38"/>
      <c r="AH1280" s="38"/>
      <c r="AI1280" s="38"/>
      <c r="AJ1280" s="38"/>
      <c r="AK1280" s="38"/>
      <c r="AL1280" s="38"/>
      <c r="AM1280" s="38"/>
      <c r="AN1280" s="38"/>
      <c r="AO1280" s="38"/>
      <c r="AP1280" s="38"/>
      <c r="AQ1280" s="38"/>
      <c r="AR1280" s="38"/>
      <c r="AS1280" s="38"/>
      <c r="AT1280" s="38"/>
      <c r="AU1280" s="38"/>
      <c r="AV1280" s="38"/>
      <c r="AW1280" s="38"/>
      <c r="AX1280" s="38"/>
      <c r="AY1280" s="38"/>
      <c r="AZ1280" s="38"/>
      <c r="BA1280" s="38"/>
      <c r="BB1280" s="38"/>
      <c r="BC1280" s="38"/>
      <c r="BD1280" s="38"/>
      <c r="BE1280" s="38"/>
      <c r="BF1280" s="38"/>
      <c r="BG1280" s="38"/>
    </row>
    <row r="1281">
      <c r="A1281" s="391"/>
      <c r="B1281" s="341"/>
      <c r="C1281" s="60"/>
      <c r="D1281" s="60"/>
      <c r="E1281" s="58"/>
      <c r="F1281" s="58"/>
      <c r="G1281" s="58"/>
      <c r="H1281" s="33" t="str">
        <f t="shared" si="1"/>
        <v/>
      </c>
      <c r="I1281" s="58"/>
      <c r="J1281" s="58"/>
      <c r="K1281" s="58"/>
      <c r="L1281" s="38"/>
      <c r="M1281" s="58"/>
      <c r="N1281" s="58"/>
      <c r="O1281" s="58"/>
      <c r="P1281" s="392"/>
      <c r="Q1281" s="77"/>
      <c r="R1281" s="62"/>
      <c r="S1281" s="62"/>
      <c r="T1281" s="62"/>
      <c r="U1281" s="62"/>
      <c r="V1281" s="37" t="str">
        <f>IFERROR(__xludf.DUMMYFUNCTION("if(not(iserror(index(split(C1281, "" ""),2))), index(split(C1281, "" ""),1),"""")"),"")</f>
        <v/>
      </c>
      <c r="W1281" s="315" t="str">
        <f>IFERROR(__xludf.DUMMYFUNCTION("if(V1281="""",C1281,if(not(iserror(index(split(C1281, "" ""),3))), index(split(C1281, "" ""),3),index(split(C1281, "" ""),2)))"),"")</f>
        <v/>
      </c>
      <c r="X1281" s="38" t="b">
        <f t="shared" si="2"/>
        <v>0</v>
      </c>
      <c r="Y1281" s="38"/>
      <c r="Z1281" s="40"/>
      <c r="AA1281" s="40"/>
      <c r="AB1281" s="38"/>
      <c r="AC1281" s="38"/>
      <c r="AD1281" s="38"/>
      <c r="AE1281" s="38"/>
      <c r="AF1281" s="38"/>
      <c r="AG1281" s="38"/>
      <c r="AH1281" s="38"/>
      <c r="AI1281" s="38"/>
      <c r="AJ1281" s="38"/>
      <c r="AK1281" s="38"/>
      <c r="AL1281" s="38"/>
      <c r="AM1281" s="38"/>
      <c r="AN1281" s="38"/>
      <c r="AO1281" s="38"/>
      <c r="AP1281" s="38"/>
      <c r="AQ1281" s="38"/>
      <c r="AR1281" s="38"/>
      <c r="AS1281" s="38"/>
      <c r="AT1281" s="38"/>
      <c r="AU1281" s="38"/>
      <c r="AV1281" s="38"/>
      <c r="AW1281" s="38"/>
      <c r="AX1281" s="38"/>
      <c r="AY1281" s="38"/>
      <c r="AZ1281" s="38"/>
      <c r="BA1281" s="38"/>
      <c r="BB1281" s="38"/>
      <c r="BC1281" s="38"/>
      <c r="BD1281" s="38"/>
      <c r="BE1281" s="38"/>
      <c r="BF1281" s="38"/>
      <c r="BG1281" s="38"/>
    </row>
    <row r="1282">
      <c r="A1282" s="391"/>
      <c r="B1282" s="341"/>
      <c r="C1282" s="60"/>
      <c r="D1282" s="60"/>
      <c r="E1282" s="58"/>
      <c r="F1282" s="58"/>
      <c r="G1282" s="58"/>
      <c r="H1282" s="33" t="str">
        <f t="shared" si="1"/>
        <v/>
      </c>
      <c r="I1282" s="58"/>
      <c r="J1282" s="58"/>
      <c r="K1282" s="58"/>
      <c r="L1282" s="38"/>
      <c r="M1282" s="58"/>
      <c r="N1282" s="58"/>
      <c r="O1282" s="58"/>
      <c r="P1282" s="392"/>
      <c r="Q1282" s="77"/>
      <c r="R1282" s="62"/>
      <c r="S1282" s="62"/>
      <c r="T1282" s="62"/>
      <c r="U1282" s="62"/>
      <c r="V1282" s="37" t="str">
        <f>IFERROR(__xludf.DUMMYFUNCTION("if(not(iserror(index(split(C1282, "" ""),2))), index(split(C1282, "" ""),1),"""")"),"")</f>
        <v/>
      </c>
      <c r="W1282" s="315" t="str">
        <f>IFERROR(__xludf.DUMMYFUNCTION("if(V1282="""",C1282,if(not(iserror(index(split(C1282, "" ""),3))), index(split(C1282, "" ""),3),index(split(C1282, "" ""),2)))"),"")</f>
        <v/>
      </c>
      <c r="X1282" s="38" t="b">
        <f t="shared" si="2"/>
        <v>0</v>
      </c>
      <c r="Y1282" s="38"/>
      <c r="Z1282" s="40"/>
      <c r="AA1282" s="40"/>
      <c r="AB1282" s="38"/>
      <c r="AC1282" s="38"/>
      <c r="AD1282" s="38"/>
      <c r="AE1282" s="38"/>
      <c r="AF1282" s="38"/>
      <c r="AG1282" s="38"/>
      <c r="AH1282" s="38"/>
      <c r="AI1282" s="38"/>
      <c r="AJ1282" s="38"/>
      <c r="AK1282" s="38"/>
      <c r="AL1282" s="38"/>
      <c r="AM1282" s="38"/>
      <c r="AN1282" s="38"/>
      <c r="AO1282" s="38"/>
      <c r="AP1282" s="38"/>
      <c r="AQ1282" s="38"/>
      <c r="AR1282" s="38"/>
      <c r="AS1282" s="38"/>
      <c r="AT1282" s="38"/>
      <c r="AU1282" s="38"/>
      <c r="AV1282" s="38"/>
      <c r="AW1282" s="38"/>
      <c r="AX1282" s="38"/>
      <c r="AY1282" s="38"/>
      <c r="AZ1282" s="38"/>
      <c r="BA1282" s="38"/>
      <c r="BB1282" s="38"/>
      <c r="BC1282" s="38"/>
      <c r="BD1282" s="38"/>
      <c r="BE1282" s="38"/>
      <c r="BF1282" s="38"/>
      <c r="BG1282" s="38"/>
    </row>
    <row r="1283">
      <c r="A1283" s="391"/>
      <c r="B1283" s="341"/>
      <c r="C1283" s="60"/>
      <c r="D1283" s="60"/>
      <c r="E1283" s="58"/>
      <c r="F1283" s="58"/>
      <c r="G1283" s="58"/>
      <c r="H1283" s="33" t="str">
        <f t="shared" si="1"/>
        <v/>
      </c>
      <c r="I1283" s="58"/>
      <c r="J1283" s="58"/>
      <c r="K1283" s="58"/>
      <c r="L1283" s="38"/>
      <c r="M1283" s="58"/>
      <c r="N1283" s="58"/>
      <c r="O1283" s="58"/>
      <c r="P1283" s="392"/>
      <c r="Q1283" s="77"/>
      <c r="R1283" s="62"/>
      <c r="S1283" s="62"/>
      <c r="T1283" s="62"/>
      <c r="U1283" s="62"/>
      <c r="V1283" s="37" t="str">
        <f>IFERROR(__xludf.DUMMYFUNCTION("if(not(iserror(index(split(C1283, "" ""),2))), index(split(C1283, "" ""),1),"""")"),"")</f>
        <v/>
      </c>
      <c r="W1283" s="315" t="str">
        <f>IFERROR(__xludf.DUMMYFUNCTION("if(V1283="""",C1283,if(not(iserror(index(split(C1283, "" ""),3))), index(split(C1283, "" ""),3),index(split(C1283, "" ""),2)))"),"")</f>
        <v/>
      </c>
      <c r="X1283" s="38" t="b">
        <f t="shared" si="2"/>
        <v>0</v>
      </c>
      <c r="Y1283" s="38"/>
      <c r="Z1283" s="40"/>
      <c r="AA1283" s="40"/>
      <c r="AB1283" s="38"/>
      <c r="AC1283" s="38"/>
      <c r="AD1283" s="38"/>
      <c r="AE1283" s="38"/>
      <c r="AF1283" s="38"/>
      <c r="AG1283" s="38"/>
      <c r="AH1283" s="38"/>
      <c r="AI1283" s="38"/>
      <c r="AJ1283" s="38"/>
      <c r="AK1283" s="38"/>
      <c r="AL1283" s="38"/>
      <c r="AM1283" s="38"/>
      <c r="AN1283" s="38"/>
      <c r="AO1283" s="38"/>
      <c r="AP1283" s="38"/>
      <c r="AQ1283" s="38"/>
      <c r="AR1283" s="38"/>
      <c r="AS1283" s="38"/>
      <c r="AT1283" s="38"/>
      <c r="AU1283" s="38"/>
      <c r="AV1283" s="38"/>
      <c r="AW1283" s="38"/>
      <c r="AX1283" s="38"/>
      <c r="AY1283" s="38"/>
      <c r="AZ1283" s="38"/>
      <c r="BA1283" s="38"/>
      <c r="BB1283" s="38"/>
      <c r="BC1283" s="38"/>
      <c r="BD1283" s="38"/>
      <c r="BE1283" s="38"/>
      <c r="BF1283" s="38"/>
      <c r="BG1283" s="38"/>
    </row>
    <row r="1284">
      <c r="A1284" s="391"/>
      <c r="B1284" s="341"/>
      <c r="C1284" s="60"/>
      <c r="D1284" s="60"/>
      <c r="E1284" s="58"/>
      <c r="F1284" s="58"/>
      <c r="G1284" s="58"/>
      <c r="H1284" s="33" t="str">
        <f t="shared" si="1"/>
        <v/>
      </c>
      <c r="I1284" s="58"/>
      <c r="J1284" s="58"/>
      <c r="K1284" s="58"/>
      <c r="L1284" s="38"/>
      <c r="M1284" s="58"/>
      <c r="N1284" s="58"/>
      <c r="O1284" s="58"/>
      <c r="P1284" s="392"/>
      <c r="Q1284" s="77"/>
      <c r="R1284" s="62"/>
      <c r="S1284" s="62"/>
      <c r="T1284" s="62"/>
      <c r="U1284" s="62"/>
      <c r="V1284" s="37" t="str">
        <f>IFERROR(__xludf.DUMMYFUNCTION("if(not(iserror(index(split(C1284, "" ""),2))), index(split(C1284, "" ""),1),"""")"),"")</f>
        <v/>
      </c>
      <c r="W1284" s="315" t="str">
        <f>IFERROR(__xludf.DUMMYFUNCTION("if(V1284="""",C1284,if(not(iserror(index(split(C1284, "" ""),3))), index(split(C1284, "" ""),3),index(split(C1284, "" ""),2)))"),"")</f>
        <v/>
      </c>
      <c r="X1284" s="38" t="b">
        <f t="shared" si="2"/>
        <v>0</v>
      </c>
      <c r="Y1284" s="38"/>
      <c r="Z1284" s="40"/>
      <c r="AA1284" s="40"/>
      <c r="AB1284" s="38"/>
      <c r="AC1284" s="38"/>
      <c r="AD1284" s="38"/>
      <c r="AE1284" s="38"/>
      <c r="AF1284" s="38"/>
      <c r="AG1284" s="38"/>
      <c r="AH1284" s="38"/>
      <c r="AI1284" s="38"/>
      <c r="AJ1284" s="38"/>
      <c r="AK1284" s="38"/>
      <c r="AL1284" s="38"/>
      <c r="AM1284" s="38"/>
      <c r="AN1284" s="38"/>
      <c r="AO1284" s="38"/>
      <c r="AP1284" s="38"/>
      <c r="AQ1284" s="38"/>
      <c r="AR1284" s="38"/>
      <c r="AS1284" s="38"/>
      <c r="AT1284" s="38"/>
      <c r="AU1284" s="38"/>
      <c r="AV1284" s="38"/>
      <c r="AW1284" s="38"/>
      <c r="AX1284" s="38"/>
      <c r="AY1284" s="38"/>
      <c r="AZ1284" s="38"/>
      <c r="BA1284" s="38"/>
      <c r="BB1284" s="38"/>
      <c r="BC1284" s="38"/>
      <c r="BD1284" s="38"/>
      <c r="BE1284" s="38"/>
      <c r="BF1284" s="38"/>
      <c r="BG1284" s="38"/>
    </row>
    <row r="1285">
      <c r="A1285" s="391"/>
      <c r="B1285" s="341"/>
      <c r="C1285" s="60"/>
      <c r="D1285" s="60"/>
      <c r="E1285" s="58"/>
      <c r="F1285" s="58"/>
      <c r="G1285" s="58"/>
      <c r="H1285" s="33" t="str">
        <f t="shared" si="1"/>
        <v/>
      </c>
      <c r="I1285" s="58"/>
      <c r="J1285" s="58"/>
      <c r="K1285" s="58"/>
      <c r="L1285" s="38"/>
      <c r="M1285" s="58"/>
      <c r="N1285" s="58"/>
      <c r="O1285" s="58"/>
      <c r="P1285" s="392"/>
      <c r="Q1285" s="77"/>
      <c r="R1285" s="62"/>
      <c r="S1285" s="62"/>
      <c r="T1285" s="62"/>
      <c r="U1285" s="62"/>
      <c r="V1285" s="37" t="str">
        <f>IFERROR(__xludf.DUMMYFUNCTION("if(not(iserror(index(split(C1285, "" ""),2))), index(split(C1285, "" ""),1),"""")"),"")</f>
        <v/>
      </c>
      <c r="W1285" s="315" t="str">
        <f>IFERROR(__xludf.DUMMYFUNCTION("if(V1285="""",C1285,if(not(iserror(index(split(C1285, "" ""),3))), index(split(C1285, "" ""),3),index(split(C1285, "" ""),2)))"),"")</f>
        <v/>
      </c>
      <c r="X1285" s="38" t="b">
        <f t="shared" si="2"/>
        <v>0</v>
      </c>
      <c r="Y1285" s="38"/>
      <c r="Z1285" s="40"/>
      <c r="AA1285" s="40"/>
      <c r="AB1285" s="38"/>
      <c r="AC1285" s="38"/>
      <c r="AD1285" s="38"/>
      <c r="AE1285" s="38"/>
      <c r="AF1285" s="38"/>
      <c r="AG1285" s="38"/>
      <c r="AH1285" s="38"/>
      <c r="AI1285" s="38"/>
      <c r="AJ1285" s="38"/>
      <c r="AK1285" s="38"/>
      <c r="AL1285" s="38"/>
      <c r="AM1285" s="38"/>
      <c r="AN1285" s="38"/>
      <c r="AO1285" s="38"/>
      <c r="AP1285" s="38"/>
      <c r="AQ1285" s="38"/>
      <c r="AR1285" s="38"/>
      <c r="AS1285" s="38"/>
      <c r="AT1285" s="38"/>
      <c r="AU1285" s="38"/>
      <c r="AV1285" s="38"/>
      <c r="AW1285" s="38"/>
      <c r="AX1285" s="38"/>
      <c r="AY1285" s="38"/>
      <c r="AZ1285" s="38"/>
      <c r="BA1285" s="38"/>
      <c r="BB1285" s="38"/>
      <c r="BC1285" s="38"/>
      <c r="BD1285" s="38"/>
      <c r="BE1285" s="38"/>
      <c r="BF1285" s="38"/>
      <c r="BG1285" s="38"/>
    </row>
    <row r="1286">
      <c r="A1286" s="391"/>
      <c r="B1286" s="341"/>
      <c r="C1286" s="60"/>
      <c r="D1286" s="60"/>
      <c r="E1286" s="58"/>
      <c r="F1286" s="58"/>
      <c r="G1286" s="58"/>
      <c r="H1286" s="33" t="str">
        <f t="shared" si="1"/>
        <v/>
      </c>
      <c r="I1286" s="58"/>
      <c r="J1286" s="58"/>
      <c r="K1286" s="58"/>
      <c r="L1286" s="38"/>
      <c r="M1286" s="58"/>
      <c r="N1286" s="58"/>
      <c r="O1286" s="58"/>
      <c r="P1286" s="392"/>
      <c r="Q1286" s="77"/>
      <c r="R1286" s="62"/>
      <c r="S1286" s="62"/>
      <c r="T1286" s="62"/>
      <c r="U1286" s="62"/>
      <c r="V1286" s="37" t="str">
        <f>IFERROR(__xludf.DUMMYFUNCTION("if(not(iserror(index(split(C1286, "" ""),2))), index(split(C1286, "" ""),1),"""")"),"")</f>
        <v/>
      </c>
      <c r="W1286" s="315" t="str">
        <f>IFERROR(__xludf.DUMMYFUNCTION("if(V1286="""",C1286,if(not(iserror(index(split(C1286, "" ""),3))), index(split(C1286, "" ""),3),index(split(C1286, "" ""),2)))"),"")</f>
        <v/>
      </c>
      <c r="X1286" s="38" t="b">
        <f t="shared" si="2"/>
        <v>0</v>
      </c>
      <c r="Y1286" s="38"/>
      <c r="Z1286" s="40"/>
      <c r="AA1286" s="40"/>
      <c r="AB1286" s="38"/>
      <c r="AC1286" s="38"/>
      <c r="AD1286" s="38"/>
      <c r="AE1286" s="38"/>
      <c r="AF1286" s="38"/>
      <c r="AG1286" s="38"/>
      <c r="AH1286" s="38"/>
      <c r="AI1286" s="38"/>
      <c r="AJ1286" s="38"/>
      <c r="AK1286" s="38"/>
      <c r="AL1286" s="38"/>
      <c r="AM1286" s="38"/>
      <c r="AN1286" s="38"/>
      <c r="AO1286" s="38"/>
      <c r="AP1286" s="38"/>
      <c r="AQ1286" s="38"/>
      <c r="AR1286" s="38"/>
      <c r="AS1286" s="38"/>
      <c r="AT1286" s="38"/>
      <c r="AU1286" s="38"/>
      <c r="AV1286" s="38"/>
      <c r="AW1286" s="38"/>
      <c r="AX1286" s="38"/>
      <c r="AY1286" s="38"/>
      <c r="AZ1286" s="38"/>
      <c r="BA1286" s="38"/>
      <c r="BB1286" s="38"/>
      <c r="BC1286" s="38"/>
      <c r="BD1286" s="38"/>
      <c r="BE1286" s="38"/>
      <c r="BF1286" s="38"/>
      <c r="BG1286" s="38"/>
    </row>
    <row r="1287">
      <c r="A1287" s="391"/>
      <c r="B1287" s="341"/>
      <c r="C1287" s="60"/>
      <c r="D1287" s="60"/>
      <c r="E1287" s="58"/>
      <c r="F1287" s="58"/>
      <c r="G1287" s="58"/>
      <c r="H1287" s="33" t="str">
        <f t="shared" si="1"/>
        <v/>
      </c>
      <c r="I1287" s="58"/>
      <c r="J1287" s="58"/>
      <c r="K1287" s="58"/>
      <c r="L1287" s="38"/>
      <c r="M1287" s="58"/>
      <c r="N1287" s="58"/>
      <c r="O1287" s="58"/>
      <c r="P1287" s="392"/>
      <c r="Q1287" s="77"/>
      <c r="R1287" s="62"/>
      <c r="S1287" s="62"/>
      <c r="T1287" s="62"/>
      <c r="U1287" s="62"/>
      <c r="V1287" s="37" t="str">
        <f>IFERROR(__xludf.DUMMYFUNCTION("if(not(iserror(index(split(C1287, "" ""),2))), index(split(C1287, "" ""),1),"""")"),"")</f>
        <v/>
      </c>
      <c r="W1287" s="315" t="str">
        <f>IFERROR(__xludf.DUMMYFUNCTION("if(V1287="""",C1287,if(not(iserror(index(split(C1287, "" ""),3))), index(split(C1287, "" ""),3),index(split(C1287, "" ""),2)))"),"")</f>
        <v/>
      </c>
      <c r="X1287" s="38" t="b">
        <f t="shared" si="2"/>
        <v>0</v>
      </c>
      <c r="Y1287" s="38"/>
      <c r="Z1287" s="40"/>
      <c r="AA1287" s="40"/>
      <c r="AB1287" s="38"/>
      <c r="AC1287" s="38"/>
      <c r="AD1287" s="38"/>
      <c r="AE1287" s="38"/>
      <c r="AF1287" s="38"/>
      <c r="AG1287" s="38"/>
      <c r="AH1287" s="38"/>
      <c r="AI1287" s="38"/>
      <c r="AJ1287" s="38"/>
      <c r="AK1287" s="38"/>
      <c r="AL1287" s="38"/>
      <c r="AM1287" s="38"/>
      <c r="AN1287" s="38"/>
      <c r="AO1287" s="38"/>
      <c r="AP1287" s="38"/>
      <c r="AQ1287" s="38"/>
      <c r="AR1287" s="38"/>
      <c r="AS1287" s="38"/>
      <c r="AT1287" s="38"/>
      <c r="AU1287" s="38"/>
      <c r="AV1287" s="38"/>
      <c r="AW1287" s="38"/>
      <c r="AX1287" s="38"/>
      <c r="AY1287" s="38"/>
      <c r="AZ1287" s="38"/>
      <c r="BA1287" s="38"/>
      <c r="BB1287" s="38"/>
      <c r="BC1287" s="38"/>
      <c r="BD1287" s="38"/>
      <c r="BE1287" s="38"/>
      <c r="BF1287" s="38"/>
      <c r="BG1287" s="38"/>
    </row>
    <row r="1288">
      <c r="A1288" s="391"/>
      <c r="B1288" s="341"/>
      <c r="C1288" s="60"/>
      <c r="D1288" s="60"/>
      <c r="E1288" s="58"/>
      <c r="F1288" s="58"/>
      <c r="G1288" s="58"/>
      <c r="H1288" s="33" t="str">
        <f t="shared" si="1"/>
        <v/>
      </c>
      <c r="I1288" s="58"/>
      <c r="J1288" s="58"/>
      <c r="K1288" s="58"/>
      <c r="L1288" s="38"/>
      <c r="M1288" s="58"/>
      <c r="N1288" s="58"/>
      <c r="O1288" s="58"/>
      <c r="P1288" s="392"/>
      <c r="Q1288" s="77"/>
      <c r="R1288" s="62"/>
      <c r="S1288" s="62"/>
      <c r="T1288" s="62"/>
      <c r="U1288" s="62"/>
      <c r="V1288" s="37" t="str">
        <f>IFERROR(__xludf.DUMMYFUNCTION("if(not(iserror(index(split(C1288, "" ""),2))), index(split(C1288, "" ""),1),"""")"),"")</f>
        <v/>
      </c>
      <c r="W1288" s="315" t="str">
        <f>IFERROR(__xludf.DUMMYFUNCTION("if(V1288="""",C1288,if(not(iserror(index(split(C1288, "" ""),3))), index(split(C1288, "" ""),3),index(split(C1288, "" ""),2)))"),"")</f>
        <v/>
      </c>
      <c r="X1288" s="38" t="b">
        <f t="shared" si="2"/>
        <v>0</v>
      </c>
      <c r="Y1288" s="38"/>
      <c r="Z1288" s="40"/>
      <c r="AA1288" s="40"/>
      <c r="AB1288" s="38"/>
      <c r="AC1288" s="38"/>
      <c r="AD1288" s="38"/>
      <c r="AE1288" s="38"/>
      <c r="AF1288" s="38"/>
      <c r="AG1288" s="38"/>
      <c r="AH1288" s="38"/>
      <c r="AI1288" s="38"/>
      <c r="AJ1288" s="38"/>
      <c r="AK1288" s="38"/>
      <c r="AL1288" s="38"/>
      <c r="AM1288" s="38"/>
      <c r="AN1288" s="38"/>
      <c r="AO1288" s="38"/>
      <c r="AP1288" s="38"/>
      <c r="AQ1288" s="38"/>
      <c r="AR1288" s="38"/>
      <c r="AS1288" s="38"/>
      <c r="AT1288" s="38"/>
      <c r="AU1288" s="38"/>
      <c r="AV1288" s="38"/>
      <c r="AW1288" s="38"/>
      <c r="AX1288" s="38"/>
      <c r="AY1288" s="38"/>
      <c r="AZ1288" s="38"/>
      <c r="BA1288" s="38"/>
      <c r="BB1288" s="38"/>
      <c r="BC1288" s="38"/>
      <c r="BD1288" s="38"/>
      <c r="BE1288" s="38"/>
      <c r="BF1288" s="38"/>
      <c r="BG1288" s="38"/>
    </row>
    <row r="1289">
      <c r="A1289" s="391"/>
      <c r="B1289" s="341"/>
      <c r="C1289" s="60"/>
      <c r="D1289" s="60"/>
      <c r="E1289" s="58"/>
      <c r="F1289" s="58"/>
      <c r="G1289" s="58"/>
      <c r="H1289" s="33" t="str">
        <f t="shared" si="1"/>
        <v/>
      </c>
      <c r="I1289" s="58"/>
      <c r="J1289" s="58"/>
      <c r="K1289" s="58"/>
      <c r="L1289" s="38"/>
      <c r="M1289" s="58"/>
      <c r="N1289" s="58"/>
      <c r="O1289" s="58"/>
      <c r="P1289" s="392"/>
      <c r="Q1289" s="77"/>
      <c r="R1289" s="62"/>
      <c r="S1289" s="62"/>
      <c r="T1289" s="62"/>
      <c r="U1289" s="62"/>
      <c r="V1289" s="37" t="str">
        <f>IFERROR(__xludf.DUMMYFUNCTION("if(not(iserror(index(split(C1289, "" ""),2))), index(split(C1289, "" ""),1),"""")"),"")</f>
        <v/>
      </c>
      <c r="W1289" s="315" t="str">
        <f>IFERROR(__xludf.DUMMYFUNCTION("if(V1289="""",C1289,if(not(iserror(index(split(C1289, "" ""),3))), index(split(C1289, "" ""),3),index(split(C1289, "" ""),2)))"),"")</f>
        <v/>
      </c>
      <c r="X1289" s="38" t="b">
        <f t="shared" si="2"/>
        <v>0</v>
      </c>
      <c r="Y1289" s="38"/>
      <c r="Z1289" s="40"/>
      <c r="AA1289" s="40"/>
      <c r="AB1289" s="38"/>
      <c r="AC1289" s="38"/>
      <c r="AD1289" s="38"/>
      <c r="AE1289" s="38"/>
      <c r="AF1289" s="38"/>
      <c r="AG1289" s="38"/>
      <c r="AH1289" s="38"/>
      <c r="AI1289" s="38"/>
      <c r="AJ1289" s="38"/>
      <c r="AK1289" s="38"/>
      <c r="AL1289" s="38"/>
      <c r="AM1289" s="38"/>
      <c r="AN1289" s="38"/>
      <c r="AO1289" s="38"/>
      <c r="AP1289" s="38"/>
      <c r="AQ1289" s="38"/>
      <c r="AR1289" s="38"/>
      <c r="AS1289" s="38"/>
      <c r="AT1289" s="38"/>
      <c r="AU1289" s="38"/>
      <c r="AV1289" s="38"/>
      <c r="AW1289" s="38"/>
      <c r="AX1289" s="38"/>
      <c r="AY1289" s="38"/>
      <c r="AZ1289" s="38"/>
      <c r="BA1289" s="38"/>
      <c r="BB1289" s="38"/>
      <c r="BC1289" s="38"/>
      <c r="BD1289" s="38"/>
      <c r="BE1289" s="38"/>
      <c r="BF1289" s="38"/>
      <c r="BG1289" s="38"/>
    </row>
    <row r="1290">
      <c r="A1290" s="391"/>
      <c r="B1290" s="341"/>
      <c r="C1290" s="60"/>
      <c r="D1290" s="60"/>
      <c r="E1290" s="58"/>
      <c r="F1290" s="58"/>
      <c r="G1290" s="58"/>
      <c r="H1290" s="33" t="str">
        <f t="shared" si="1"/>
        <v/>
      </c>
      <c r="I1290" s="58"/>
      <c r="J1290" s="58"/>
      <c r="K1290" s="58"/>
      <c r="L1290" s="38"/>
      <c r="M1290" s="58"/>
      <c r="N1290" s="58"/>
      <c r="O1290" s="58"/>
      <c r="P1290" s="392"/>
      <c r="Q1290" s="77"/>
      <c r="R1290" s="62"/>
      <c r="S1290" s="62"/>
      <c r="T1290" s="62"/>
      <c r="U1290" s="62"/>
      <c r="V1290" s="37" t="str">
        <f>IFERROR(__xludf.DUMMYFUNCTION("if(not(iserror(index(split(C1290, "" ""),2))), index(split(C1290, "" ""),1),"""")"),"")</f>
        <v/>
      </c>
      <c r="W1290" s="315" t="str">
        <f>IFERROR(__xludf.DUMMYFUNCTION("if(V1290="""",C1290,if(not(iserror(index(split(C1290, "" ""),3))), index(split(C1290, "" ""),3),index(split(C1290, "" ""),2)))"),"")</f>
        <v/>
      </c>
      <c r="X1290" s="38" t="b">
        <f t="shared" si="2"/>
        <v>0</v>
      </c>
      <c r="Y1290" s="38"/>
      <c r="Z1290" s="40"/>
      <c r="AA1290" s="40"/>
      <c r="AB1290" s="38"/>
      <c r="AC1290" s="38"/>
      <c r="AD1290" s="38"/>
      <c r="AE1290" s="38"/>
      <c r="AF1290" s="38"/>
      <c r="AG1290" s="38"/>
      <c r="AH1290" s="38"/>
      <c r="AI1290" s="38"/>
      <c r="AJ1290" s="38"/>
      <c r="AK1290" s="38"/>
      <c r="AL1290" s="38"/>
      <c r="AM1290" s="38"/>
      <c r="AN1290" s="38"/>
      <c r="AO1290" s="38"/>
      <c r="AP1290" s="38"/>
      <c r="AQ1290" s="38"/>
      <c r="AR1290" s="38"/>
      <c r="AS1290" s="38"/>
      <c r="AT1290" s="38"/>
      <c r="AU1290" s="38"/>
      <c r="AV1290" s="38"/>
      <c r="AW1290" s="38"/>
      <c r="AX1290" s="38"/>
      <c r="AY1290" s="38"/>
      <c r="AZ1290" s="38"/>
      <c r="BA1290" s="38"/>
      <c r="BB1290" s="38"/>
      <c r="BC1290" s="38"/>
      <c r="BD1290" s="38"/>
      <c r="BE1290" s="38"/>
      <c r="BF1290" s="38"/>
      <c r="BG1290" s="38"/>
    </row>
    <row r="1291">
      <c r="A1291" s="391"/>
      <c r="B1291" s="341"/>
      <c r="C1291" s="60"/>
      <c r="D1291" s="60"/>
      <c r="E1291" s="58"/>
      <c r="F1291" s="58"/>
      <c r="G1291" s="58"/>
      <c r="H1291" s="33" t="str">
        <f t="shared" si="1"/>
        <v/>
      </c>
      <c r="I1291" s="58"/>
      <c r="J1291" s="58"/>
      <c r="K1291" s="58"/>
      <c r="L1291" s="38"/>
      <c r="M1291" s="58"/>
      <c r="N1291" s="58"/>
      <c r="O1291" s="58"/>
      <c r="P1291" s="392"/>
      <c r="Q1291" s="77"/>
      <c r="R1291" s="62"/>
      <c r="S1291" s="62"/>
      <c r="T1291" s="62"/>
      <c r="U1291" s="62"/>
      <c r="V1291" s="37" t="str">
        <f>IFERROR(__xludf.DUMMYFUNCTION("if(not(iserror(index(split(C1291, "" ""),2))), index(split(C1291, "" ""),1),"""")"),"")</f>
        <v/>
      </c>
      <c r="W1291" s="315" t="str">
        <f>IFERROR(__xludf.DUMMYFUNCTION("if(V1291="""",C1291,if(not(iserror(index(split(C1291, "" ""),3))), index(split(C1291, "" ""),3),index(split(C1291, "" ""),2)))"),"")</f>
        <v/>
      </c>
      <c r="X1291" s="38" t="b">
        <f t="shared" si="2"/>
        <v>0</v>
      </c>
      <c r="Y1291" s="38"/>
      <c r="Z1291" s="40"/>
      <c r="AA1291" s="40"/>
      <c r="AB1291" s="38"/>
      <c r="AC1291" s="38"/>
      <c r="AD1291" s="38"/>
      <c r="AE1291" s="38"/>
      <c r="AF1291" s="38"/>
      <c r="AG1291" s="38"/>
      <c r="AH1291" s="38"/>
      <c r="AI1291" s="38"/>
      <c r="AJ1291" s="38"/>
      <c r="AK1291" s="38"/>
      <c r="AL1291" s="38"/>
      <c r="AM1291" s="38"/>
      <c r="AN1291" s="38"/>
      <c r="AO1291" s="38"/>
      <c r="AP1291" s="38"/>
      <c r="AQ1291" s="38"/>
      <c r="AR1291" s="38"/>
      <c r="AS1291" s="38"/>
      <c r="AT1291" s="38"/>
      <c r="AU1291" s="38"/>
      <c r="AV1291" s="38"/>
      <c r="AW1291" s="38"/>
      <c r="AX1291" s="38"/>
      <c r="AY1291" s="38"/>
      <c r="AZ1291" s="38"/>
      <c r="BA1291" s="38"/>
      <c r="BB1291" s="38"/>
      <c r="BC1291" s="38"/>
      <c r="BD1291" s="38"/>
      <c r="BE1291" s="38"/>
      <c r="BF1291" s="38"/>
      <c r="BG1291" s="38"/>
    </row>
    <row r="1292">
      <c r="A1292" s="58"/>
      <c r="B1292" s="341"/>
      <c r="C1292" s="60"/>
      <c r="D1292" s="60"/>
      <c r="E1292" s="58"/>
      <c r="F1292" s="58"/>
      <c r="G1292" s="58"/>
      <c r="H1292" s="33" t="str">
        <f t="shared" si="1"/>
        <v/>
      </c>
      <c r="I1292" s="58"/>
      <c r="J1292" s="58"/>
      <c r="K1292" s="58"/>
      <c r="L1292" s="38"/>
      <c r="M1292" s="58"/>
      <c r="N1292" s="58"/>
      <c r="O1292" s="58"/>
      <c r="P1292" s="80"/>
      <c r="Q1292" s="77"/>
      <c r="R1292" s="62"/>
      <c r="S1292" s="62"/>
      <c r="T1292" s="62"/>
      <c r="U1292" s="62"/>
      <c r="V1292" s="37" t="str">
        <f>IFERROR(__xludf.DUMMYFUNCTION("if(not(iserror(index(split(C1292, "" ""),2))), index(split(C1292, "" ""),1),"""")"),"")</f>
        <v/>
      </c>
      <c r="W1292" s="315" t="str">
        <f>IFERROR(__xludf.DUMMYFUNCTION("if(V1292="""",C1292,if(not(iserror(index(split(C1292, "" ""),3))), index(split(C1292, "" ""),3),index(split(C1292, "" ""),2)))"),"")</f>
        <v/>
      </c>
      <c r="X1292" s="38" t="b">
        <f t="shared" si="2"/>
        <v>0</v>
      </c>
      <c r="Y1292" s="38"/>
      <c r="Z1292" s="40"/>
      <c r="AA1292" s="40"/>
      <c r="AB1292" s="38"/>
      <c r="AC1292" s="38"/>
      <c r="AD1292" s="38"/>
      <c r="AE1292" s="38"/>
      <c r="AF1292" s="38"/>
      <c r="AG1292" s="38"/>
      <c r="AH1292" s="38"/>
      <c r="AI1292" s="38"/>
      <c r="AJ1292" s="38"/>
      <c r="AK1292" s="38"/>
      <c r="AL1292" s="38"/>
      <c r="AM1292" s="38"/>
      <c r="AN1292" s="38"/>
      <c r="AO1292" s="38"/>
      <c r="AP1292" s="38"/>
      <c r="AQ1292" s="38"/>
      <c r="AR1292" s="38"/>
      <c r="AS1292" s="38"/>
      <c r="AT1292" s="38"/>
      <c r="AU1292" s="38"/>
      <c r="AV1292" s="38"/>
      <c r="AW1292" s="38"/>
      <c r="AX1292" s="38"/>
      <c r="AY1292" s="38"/>
      <c r="AZ1292" s="38"/>
      <c r="BA1292" s="38"/>
      <c r="BB1292" s="38"/>
      <c r="BC1292" s="38"/>
      <c r="BD1292" s="38"/>
      <c r="BE1292" s="38"/>
      <c r="BF1292" s="38"/>
      <c r="BG1292" s="38"/>
    </row>
    <row r="1293">
      <c r="A1293" s="58"/>
      <c r="B1293" s="341"/>
      <c r="C1293" s="60"/>
      <c r="D1293" s="60"/>
      <c r="E1293" s="58"/>
      <c r="F1293" s="58"/>
      <c r="G1293" s="58"/>
      <c r="H1293" s="33" t="str">
        <f t="shared" si="1"/>
        <v/>
      </c>
      <c r="I1293" s="58"/>
      <c r="J1293" s="58"/>
      <c r="K1293" s="58"/>
      <c r="L1293" s="38"/>
      <c r="M1293" s="58"/>
      <c r="N1293" s="58"/>
      <c r="O1293" s="58"/>
      <c r="P1293" s="80"/>
      <c r="Q1293" s="77"/>
      <c r="R1293" s="62"/>
      <c r="S1293" s="62"/>
      <c r="T1293" s="62"/>
      <c r="U1293" s="62"/>
      <c r="V1293" s="37" t="str">
        <f>IFERROR(__xludf.DUMMYFUNCTION("if(not(iserror(index(split(C1293, "" ""),2))), index(split(C1293, "" ""),1),"""")"),"")</f>
        <v/>
      </c>
      <c r="W1293" s="315" t="str">
        <f>IFERROR(__xludf.DUMMYFUNCTION("if(V1293="""",C1293,if(not(iserror(index(split(C1293, "" ""),3))), index(split(C1293, "" ""),3),index(split(C1293, "" ""),2)))"),"")</f>
        <v/>
      </c>
      <c r="X1293" s="38" t="b">
        <f t="shared" si="2"/>
        <v>0</v>
      </c>
      <c r="Y1293" s="38"/>
      <c r="Z1293" s="40"/>
      <c r="AA1293" s="40"/>
      <c r="AB1293" s="38"/>
      <c r="AC1293" s="38"/>
      <c r="AD1293" s="38"/>
      <c r="AE1293" s="38"/>
      <c r="AF1293" s="38"/>
      <c r="AG1293" s="38"/>
      <c r="AH1293" s="38"/>
      <c r="AI1293" s="38"/>
      <c r="AJ1293" s="38"/>
      <c r="AK1293" s="38"/>
      <c r="AL1293" s="38"/>
      <c r="AM1293" s="38"/>
      <c r="AN1293" s="38"/>
      <c r="AO1293" s="38"/>
      <c r="AP1293" s="38"/>
      <c r="AQ1293" s="38"/>
      <c r="AR1293" s="38"/>
      <c r="AS1293" s="38"/>
      <c r="AT1293" s="38"/>
      <c r="AU1293" s="38"/>
      <c r="AV1293" s="38"/>
      <c r="AW1293" s="38"/>
      <c r="AX1293" s="38"/>
      <c r="AY1293" s="38"/>
      <c r="AZ1293" s="38"/>
      <c r="BA1293" s="38"/>
      <c r="BB1293" s="38"/>
      <c r="BC1293" s="38"/>
      <c r="BD1293" s="38"/>
      <c r="BE1293" s="38"/>
      <c r="BF1293" s="38"/>
      <c r="BG1293" s="38"/>
    </row>
    <row r="1294">
      <c r="A1294" s="58"/>
      <c r="B1294" s="341"/>
      <c r="C1294" s="60"/>
      <c r="D1294" s="60"/>
      <c r="E1294" s="58"/>
      <c r="F1294" s="58"/>
      <c r="G1294" s="58"/>
      <c r="H1294" s="33" t="str">
        <f t="shared" si="1"/>
        <v/>
      </c>
      <c r="I1294" s="58"/>
      <c r="J1294" s="58"/>
      <c r="K1294" s="58"/>
      <c r="L1294" s="38"/>
      <c r="M1294" s="58"/>
      <c r="N1294" s="58"/>
      <c r="O1294" s="58"/>
      <c r="P1294" s="80"/>
      <c r="Q1294" s="77"/>
      <c r="R1294" s="58"/>
      <c r="S1294" s="58"/>
      <c r="T1294" s="84"/>
      <c r="U1294" s="62"/>
      <c r="V1294" s="37" t="str">
        <f>IFERROR(__xludf.DUMMYFUNCTION("if(not(iserror(index(split(C1294, "" ""),2))), index(split(C1294, "" ""),1),"""")"),"")</f>
        <v/>
      </c>
      <c r="W1294" s="315" t="str">
        <f>IFERROR(__xludf.DUMMYFUNCTION("if(V1294="""",C1294,if(not(iserror(index(split(C1294, "" ""),3))), index(split(C1294, "" ""),3),index(split(C1294, "" ""),2)))"),"")</f>
        <v/>
      </c>
      <c r="X1294" s="38" t="b">
        <f t="shared" si="2"/>
        <v>0</v>
      </c>
      <c r="Y1294" s="38"/>
      <c r="Z1294" s="40"/>
      <c r="AA1294" s="40"/>
      <c r="AB1294" s="38"/>
      <c r="AC1294" s="38"/>
      <c r="AD1294" s="38"/>
      <c r="AE1294" s="38"/>
      <c r="AF1294" s="38"/>
      <c r="AG1294" s="38"/>
      <c r="AH1294" s="38"/>
      <c r="AI1294" s="38"/>
      <c r="AJ1294" s="38"/>
      <c r="AK1294" s="38"/>
      <c r="AL1294" s="38"/>
      <c r="AM1294" s="38"/>
      <c r="AN1294" s="38"/>
      <c r="AO1294" s="38"/>
      <c r="AP1294" s="38"/>
      <c r="AQ1294" s="38"/>
      <c r="AR1294" s="38"/>
      <c r="AS1294" s="38"/>
      <c r="AT1294" s="38"/>
      <c r="AU1294" s="38"/>
      <c r="AV1294" s="38"/>
      <c r="AW1294" s="38"/>
      <c r="AX1294" s="38"/>
      <c r="AY1294" s="38"/>
      <c r="AZ1294" s="38"/>
      <c r="BA1294" s="38"/>
      <c r="BB1294" s="38"/>
      <c r="BC1294" s="38"/>
      <c r="BD1294" s="38"/>
      <c r="BE1294" s="38"/>
      <c r="BF1294" s="38"/>
      <c r="BG1294" s="38"/>
    </row>
    <row r="1295">
      <c r="A1295" s="58"/>
      <c r="B1295" s="341"/>
      <c r="C1295" s="60"/>
      <c r="D1295" s="60"/>
      <c r="E1295" s="58"/>
      <c r="F1295" s="58"/>
      <c r="G1295" s="58"/>
      <c r="H1295" s="33" t="str">
        <f t="shared" si="1"/>
        <v/>
      </c>
      <c r="I1295" s="58"/>
      <c r="J1295" s="58"/>
      <c r="K1295" s="58"/>
      <c r="L1295" s="38"/>
      <c r="M1295" s="58"/>
      <c r="N1295" s="58"/>
      <c r="O1295" s="58"/>
      <c r="P1295" s="80"/>
      <c r="Q1295" s="77"/>
      <c r="R1295" s="58"/>
      <c r="S1295" s="58"/>
      <c r="T1295" s="84"/>
      <c r="U1295" s="62"/>
      <c r="V1295" s="37" t="str">
        <f>IFERROR(__xludf.DUMMYFUNCTION("if(not(iserror(index(split(C1295, "" ""),2))), index(split(C1295, "" ""),1),"""")"),"")</f>
        <v/>
      </c>
      <c r="W1295" s="315" t="str">
        <f>IFERROR(__xludf.DUMMYFUNCTION("if(V1295="""",C1295,if(not(iserror(index(split(C1295, "" ""),3))), index(split(C1295, "" ""),3),index(split(C1295, "" ""),2)))"),"")</f>
        <v/>
      </c>
      <c r="X1295" s="38" t="b">
        <f t="shared" si="2"/>
        <v>0</v>
      </c>
      <c r="Y1295" s="38"/>
      <c r="Z1295" s="40"/>
      <c r="AA1295" s="40"/>
      <c r="AB1295" s="38"/>
      <c r="AC1295" s="38"/>
      <c r="AD1295" s="38"/>
      <c r="AE1295" s="38"/>
      <c r="AF1295" s="38"/>
      <c r="AG1295" s="38"/>
      <c r="AH1295" s="38"/>
      <c r="AI1295" s="38"/>
      <c r="AJ1295" s="38"/>
      <c r="AK1295" s="38"/>
      <c r="AL1295" s="38"/>
      <c r="AM1295" s="38"/>
      <c r="AN1295" s="38"/>
      <c r="AO1295" s="38"/>
      <c r="AP1295" s="38"/>
      <c r="AQ1295" s="38"/>
      <c r="AR1295" s="38"/>
      <c r="AS1295" s="38"/>
      <c r="AT1295" s="38"/>
      <c r="AU1295" s="38"/>
      <c r="AV1295" s="38"/>
      <c r="AW1295" s="38"/>
      <c r="AX1295" s="38"/>
      <c r="AY1295" s="38"/>
      <c r="AZ1295" s="38"/>
      <c r="BA1295" s="38"/>
      <c r="BB1295" s="38"/>
      <c r="BC1295" s="38"/>
      <c r="BD1295" s="38"/>
      <c r="BE1295" s="38"/>
      <c r="BF1295" s="38"/>
      <c r="BG1295" s="38"/>
    </row>
    <row r="1296">
      <c r="A1296" s="58"/>
      <c r="B1296" s="341"/>
      <c r="C1296" s="60"/>
      <c r="D1296" s="60"/>
      <c r="E1296" s="58"/>
      <c r="F1296" s="58"/>
      <c r="G1296" s="58"/>
      <c r="H1296" s="33" t="str">
        <f t="shared" si="1"/>
        <v/>
      </c>
      <c r="I1296" s="58"/>
      <c r="J1296" s="58"/>
      <c r="K1296" s="58"/>
      <c r="L1296" s="38"/>
      <c r="M1296" s="58"/>
      <c r="N1296" s="58"/>
      <c r="O1296" s="58"/>
      <c r="P1296" s="80"/>
      <c r="Q1296" s="77"/>
      <c r="R1296" s="62"/>
      <c r="S1296" s="62"/>
      <c r="T1296" s="62"/>
      <c r="U1296" s="62"/>
      <c r="V1296" s="37" t="str">
        <f>IFERROR(__xludf.DUMMYFUNCTION("if(not(iserror(index(split(C1296, "" ""),2))), index(split(C1296, "" ""),1),"""")"),"")</f>
        <v/>
      </c>
      <c r="W1296" s="315" t="str">
        <f>IFERROR(__xludf.DUMMYFUNCTION("if(V1296="""",C1296,if(not(iserror(index(split(C1296, "" ""),3))), index(split(C1296, "" ""),3),index(split(C1296, "" ""),2)))"),"")</f>
        <v/>
      </c>
      <c r="X1296" s="38" t="b">
        <f t="shared" si="2"/>
        <v>0</v>
      </c>
      <c r="Y1296" s="38"/>
      <c r="Z1296" s="40"/>
      <c r="AA1296" s="40"/>
      <c r="AB1296" s="38"/>
      <c r="AC1296" s="38"/>
      <c r="AD1296" s="38"/>
      <c r="AE1296" s="38"/>
      <c r="AF1296" s="38"/>
      <c r="AG1296" s="38"/>
      <c r="AH1296" s="38"/>
      <c r="AI1296" s="38"/>
      <c r="AJ1296" s="38"/>
      <c r="AK1296" s="38"/>
      <c r="AL1296" s="38"/>
      <c r="AM1296" s="38"/>
      <c r="AN1296" s="38"/>
      <c r="AO1296" s="38"/>
      <c r="AP1296" s="38"/>
      <c r="AQ1296" s="38"/>
      <c r="AR1296" s="38"/>
      <c r="AS1296" s="38"/>
      <c r="AT1296" s="38"/>
      <c r="AU1296" s="38"/>
      <c r="AV1296" s="38"/>
      <c r="AW1296" s="38"/>
      <c r="AX1296" s="38"/>
      <c r="AY1296" s="38"/>
      <c r="AZ1296" s="38"/>
      <c r="BA1296" s="38"/>
      <c r="BB1296" s="38"/>
      <c r="BC1296" s="38"/>
      <c r="BD1296" s="38"/>
      <c r="BE1296" s="38"/>
      <c r="BF1296" s="38"/>
      <c r="BG1296" s="38"/>
    </row>
    <row r="1297">
      <c r="A1297" s="58"/>
      <c r="B1297" s="341"/>
      <c r="C1297" s="60"/>
      <c r="D1297" s="60"/>
      <c r="E1297" s="58"/>
      <c r="F1297" s="58"/>
      <c r="G1297" s="58"/>
      <c r="H1297" s="33" t="str">
        <f t="shared" si="1"/>
        <v/>
      </c>
      <c r="I1297" s="58"/>
      <c r="J1297" s="58"/>
      <c r="K1297" s="58"/>
      <c r="L1297" s="38"/>
      <c r="M1297" s="58"/>
      <c r="N1297" s="58"/>
      <c r="O1297" s="58"/>
      <c r="P1297" s="80"/>
      <c r="Q1297" s="77"/>
      <c r="R1297" s="62"/>
      <c r="S1297" s="62"/>
      <c r="T1297" s="62"/>
      <c r="U1297" s="62"/>
      <c r="V1297" s="37" t="str">
        <f>IFERROR(__xludf.DUMMYFUNCTION("if(not(iserror(index(split(C1297, "" ""),2))), index(split(C1297, "" ""),1),"""")"),"")</f>
        <v/>
      </c>
      <c r="W1297" s="315" t="str">
        <f>IFERROR(__xludf.DUMMYFUNCTION("if(V1297="""",C1297,if(not(iserror(index(split(C1297, "" ""),3))), index(split(C1297, "" ""),3),index(split(C1297, "" ""),2)))"),"")</f>
        <v/>
      </c>
      <c r="X1297" s="38" t="b">
        <f t="shared" si="2"/>
        <v>0</v>
      </c>
      <c r="Y1297" s="38"/>
      <c r="Z1297" s="40"/>
      <c r="AA1297" s="40"/>
      <c r="AB1297" s="38"/>
      <c r="AC1297" s="38"/>
      <c r="AD1297" s="38"/>
      <c r="AE1297" s="38"/>
      <c r="AF1297" s="38"/>
      <c r="AG1297" s="38"/>
      <c r="AH1297" s="38"/>
      <c r="AI1297" s="38"/>
      <c r="AJ1297" s="38"/>
      <c r="AK1297" s="38"/>
      <c r="AL1297" s="38"/>
      <c r="AM1297" s="38"/>
      <c r="AN1297" s="38"/>
      <c r="AO1297" s="38"/>
      <c r="AP1297" s="38"/>
      <c r="AQ1297" s="38"/>
      <c r="AR1297" s="38"/>
      <c r="AS1297" s="38"/>
      <c r="AT1297" s="38"/>
      <c r="AU1297" s="38"/>
      <c r="AV1297" s="38"/>
      <c r="AW1297" s="38"/>
      <c r="AX1297" s="38"/>
      <c r="AY1297" s="38"/>
      <c r="AZ1297" s="38"/>
      <c r="BA1297" s="38"/>
      <c r="BB1297" s="38"/>
      <c r="BC1297" s="38"/>
      <c r="BD1297" s="38"/>
      <c r="BE1297" s="38"/>
      <c r="BF1297" s="38"/>
      <c r="BG1297" s="38"/>
    </row>
    <row r="1298">
      <c r="A1298" s="58"/>
      <c r="B1298" s="341"/>
      <c r="C1298" s="60"/>
      <c r="D1298" s="60"/>
      <c r="E1298" s="58"/>
      <c r="F1298" s="58"/>
      <c r="G1298" s="58"/>
      <c r="H1298" s="33" t="str">
        <f t="shared" si="1"/>
        <v/>
      </c>
      <c r="I1298" s="58"/>
      <c r="J1298" s="58"/>
      <c r="K1298" s="58"/>
      <c r="L1298" s="38"/>
      <c r="M1298" s="58"/>
      <c r="N1298" s="58"/>
      <c r="O1298" s="58"/>
      <c r="P1298" s="80"/>
      <c r="Q1298" s="77"/>
      <c r="R1298" s="62"/>
      <c r="S1298" s="62"/>
      <c r="T1298" s="62"/>
      <c r="U1298" s="62"/>
      <c r="V1298" s="37" t="str">
        <f>IFERROR(__xludf.DUMMYFUNCTION("if(not(iserror(index(split(C1298, "" ""),2))), index(split(C1298, "" ""),1),"""")"),"")</f>
        <v/>
      </c>
      <c r="W1298" s="315" t="str">
        <f>IFERROR(__xludf.DUMMYFUNCTION("if(V1298="""",C1298,if(not(iserror(index(split(C1298, "" ""),3))), index(split(C1298, "" ""),3),index(split(C1298, "" ""),2)))"),"")</f>
        <v/>
      </c>
      <c r="X1298" s="38" t="b">
        <f t="shared" si="2"/>
        <v>0</v>
      </c>
      <c r="Y1298" s="38"/>
      <c r="Z1298" s="40"/>
      <c r="AA1298" s="40"/>
      <c r="AB1298" s="38"/>
      <c r="AC1298" s="38"/>
      <c r="AD1298" s="38"/>
      <c r="AE1298" s="38"/>
      <c r="AF1298" s="38"/>
      <c r="AG1298" s="38"/>
      <c r="AH1298" s="38"/>
      <c r="AI1298" s="38"/>
      <c r="AJ1298" s="38"/>
      <c r="AK1298" s="38"/>
      <c r="AL1298" s="38"/>
      <c r="AM1298" s="38"/>
      <c r="AN1298" s="38"/>
      <c r="AO1298" s="38"/>
      <c r="AP1298" s="38"/>
      <c r="AQ1298" s="38"/>
      <c r="AR1298" s="38"/>
      <c r="AS1298" s="38"/>
      <c r="AT1298" s="38"/>
      <c r="AU1298" s="38"/>
      <c r="AV1298" s="38"/>
      <c r="AW1298" s="38"/>
      <c r="AX1298" s="38"/>
      <c r="AY1298" s="38"/>
      <c r="AZ1298" s="38"/>
      <c r="BA1298" s="38"/>
      <c r="BB1298" s="38"/>
      <c r="BC1298" s="38"/>
      <c r="BD1298" s="38"/>
      <c r="BE1298" s="38"/>
      <c r="BF1298" s="38"/>
      <c r="BG1298" s="38"/>
    </row>
    <row r="1299">
      <c r="A1299" s="58"/>
      <c r="B1299" s="341"/>
      <c r="C1299" s="60"/>
      <c r="D1299" s="60"/>
      <c r="E1299" s="58"/>
      <c r="F1299" s="58"/>
      <c r="G1299" s="58"/>
      <c r="H1299" s="33" t="str">
        <f t="shared" si="1"/>
        <v/>
      </c>
      <c r="I1299" s="58"/>
      <c r="J1299" s="58"/>
      <c r="K1299" s="58"/>
      <c r="L1299" s="38"/>
      <c r="M1299" s="58"/>
      <c r="N1299" s="58"/>
      <c r="O1299" s="58"/>
      <c r="P1299" s="80"/>
      <c r="Q1299" s="77"/>
      <c r="R1299" s="58"/>
      <c r="S1299" s="58"/>
      <c r="T1299" s="84"/>
      <c r="U1299" s="62"/>
      <c r="V1299" s="37" t="str">
        <f>IFERROR(__xludf.DUMMYFUNCTION("if(not(iserror(index(split(C1299, "" ""),2))), index(split(C1299, "" ""),1),"""")"),"")</f>
        <v/>
      </c>
      <c r="W1299" s="315" t="str">
        <f>IFERROR(__xludf.DUMMYFUNCTION("if(V1299="""",C1299,if(not(iserror(index(split(C1299, "" ""),3))), index(split(C1299, "" ""),3),index(split(C1299, "" ""),2)))"),"")</f>
        <v/>
      </c>
      <c r="X1299" s="38" t="b">
        <f t="shared" si="2"/>
        <v>0</v>
      </c>
      <c r="Y1299" s="38"/>
      <c r="Z1299" s="40"/>
      <c r="AA1299" s="40"/>
      <c r="AB1299" s="38"/>
      <c r="AC1299" s="38"/>
      <c r="AD1299" s="38"/>
      <c r="AE1299" s="38"/>
      <c r="AF1299" s="38"/>
      <c r="AG1299" s="38"/>
      <c r="AH1299" s="38"/>
      <c r="AI1299" s="38"/>
      <c r="AJ1299" s="38"/>
      <c r="AK1299" s="38"/>
      <c r="AL1299" s="38"/>
      <c r="AM1299" s="38"/>
      <c r="AN1299" s="38"/>
      <c r="AO1299" s="38"/>
      <c r="AP1299" s="38"/>
      <c r="AQ1299" s="38"/>
      <c r="AR1299" s="38"/>
      <c r="AS1299" s="38"/>
      <c r="AT1299" s="38"/>
      <c r="AU1299" s="38"/>
      <c r="AV1299" s="38"/>
      <c r="AW1299" s="38"/>
      <c r="AX1299" s="38"/>
      <c r="AY1299" s="38"/>
      <c r="AZ1299" s="38"/>
      <c r="BA1299" s="38"/>
      <c r="BB1299" s="38"/>
      <c r="BC1299" s="38"/>
      <c r="BD1299" s="38"/>
      <c r="BE1299" s="38"/>
      <c r="BF1299" s="38"/>
      <c r="BG1299" s="38"/>
    </row>
    <row r="1300">
      <c r="A1300" s="91"/>
      <c r="B1300" s="383"/>
      <c r="C1300" s="146"/>
      <c r="D1300" s="146"/>
      <c r="E1300" s="91"/>
      <c r="F1300" s="91"/>
      <c r="G1300" s="91"/>
      <c r="H1300" s="33" t="str">
        <f t="shared" si="1"/>
        <v/>
      </c>
      <c r="I1300" s="91"/>
      <c r="J1300" s="91"/>
      <c r="K1300" s="91"/>
      <c r="L1300" s="38"/>
      <c r="M1300" s="91"/>
      <c r="N1300" s="91"/>
      <c r="O1300" s="91"/>
      <c r="P1300" s="95"/>
      <c r="Q1300" s="95"/>
      <c r="R1300" s="58"/>
      <c r="S1300" s="58"/>
      <c r="T1300" s="84"/>
      <c r="U1300" s="62"/>
      <c r="V1300" s="37" t="str">
        <f>IFERROR(__xludf.DUMMYFUNCTION("if(not(iserror(index(split(C1300, "" ""),2))), index(split(C1300, "" ""),1),"""")"),"")</f>
        <v/>
      </c>
      <c r="W1300" s="315" t="str">
        <f>IFERROR(__xludf.DUMMYFUNCTION("if(V1300="""",C1300,if(not(iserror(index(split(C1300, "" ""),3))), index(split(C1300, "" ""),3),index(split(C1300, "" ""),2)))"),"")</f>
        <v/>
      </c>
      <c r="X1300" s="38" t="b">
        <f t="shared" si="2"/>
        <v>0</v>
      </c>
      <c r="Y1300" s="38"/>
      <c r="Z1300" s="40"/>
      <c r="AA1300" s="40"/>
      <c r="AB1300" s="38"/>
      <c r="AC1300" s="38"/>
      <c r="AD1300" s="38"/>
      <c r="AE1300" s="38"/>
      <c r="AF1300" s="38"/>
      <c r="AG1300" s="38"/>
      <c r="AH1300" s="38"/>
      <c r="AI1300" s="38"/>
      <c r="AJ1300" s="38"/>
      <c r="AK1300" s="38"/>
      <c r="AL1300" s="38"/>
      <c r="AM1300" s="38"/>
      <c r="AN1300" s="38"/>
      <c r="AO1300" s="38"/>
      <c r="AP1300" s="38"/>
      <c r="AQ1300" s="38"/>
      <c r="AR1300" s="38"/>
      <c r="AS1300" s="38"/>
      <c r="AT1300" s="38"/>
      <c r="AU1300" s="38"/>
      <c r="AV1300" s="38"/>
      <c r="AW1300" s="38"/>
      <c r="AX1300" s="38"/>
      <c r="AY1300" s="38"/>
      <c r="AZ1300" s="38"/>
      <c r="BA1300" s="38"/>
      <c r="BB1300" s="38"/>
      <c r="BC1300" s="38"/>
      <c r="BD1300" s="38"/>
      <c r="BE1300" s="38"/>
      <c r="BF1300" s="38"/>
      <c r="BG1300" s="38"/>
    </row>
    <row r="1301">
      <c r="A1301" s="58"/>
      <c r="B1301" s="341"/>
      <c r="C1301" s="60"/>
      <c r="D1301" s="60"/>
      <c r="E1301" s="58"/>
      <c r="F1301" s="58"/>
      <c r="G1301" s="58"/>
      <c r="H1301" s="33" t="str">
        <f t="shared" si="1"/>
        <v/>
      </c>
      <c r="I1301" s="58"/>
      <c r="J1301" s="58"/>
      <c r="K1301" s="58"/>
      <c r="L1301" s="38"/>
      <c r="M1301" s="58"/>
      <c r="N1301" s="58"/>
      <c r="O1301" s="58"/>
      <c r="P1301" s="80"/>
      <c r="Q1301" s="77"/>
      <c r="R1301" s="62"/>
      <c r="S1301" s="62"/>
      <c r="T1301" s="62"/>
      <c r="U1301" s="62"/>
      <c r="V1301" s="37" t="str">
        <f>IFERROR(__xludf.DUMMYFUNCTION("if(not(iserror(index(split(C1301, "" ""),2))), index(split(C1301, "" ""),1),"""")"),"")</f>
        <v/>
      </c>
      <c r="W1301" s="315" t="str">
        <f>IFERROR(__xludf.DUMMYFUNCTION("if(V1301="""",C1301,if(not(iserror(index(split(C1301, "" ""),3))), index(split(C1301, "" ""),3),index(split(C1301, "" ""),2)))"),"")</f>
        <v/>
      </c>
      <c r="X1301" s="38" t="b">
        <f t="shared" si="2"/>
        <v>0</v>
      </c>
      <c r="Y1301" s="38"/>
      <c r="Z1301" s="40"/>
      <c r="AA1301" s="40"/>
      <c r="AB1301" s="38"/>
      <c r="AC1301" s="38"/>
      <c r="AD1301" s="38"/>
      <c r="AE1301" s="38"/>
      <c r="AF1301" s="38"/>
      <c r="AG1301" s="38"/>
      <c r="AH1301" s="38"/>
      <c r="AI1301" s="38"/>
      <c r="AJ1301" s="38"/>
      <c r="AK1301" s="38"/>
      <c r="AL1301" s="38"/>
      <c r="AM1301" s="38"/>
      <c r="AN1301" s="38"/>
      <c r="AO1301" s="38"/>
      <c r="AP1301" s="38"/>
      <c r="AQ1301" s="38"/>
      <c r="AR1301" s="38"/>
      <c r="AS1301" s="38"/>
      <c r="AT1301" s="38"/>
      <c r="AU1301" s="38"/>
      <c r="AV1301" s="38"/>
      <c r="AW1301" s="38"/>
      <c r="AX1301" s="38"/>
      <c r="AY1301" s="38"/>
      <c r="AZ1301" s="38"/>
      <c r="BA1301" s="38"/>
      <c r="BB1301" s="38"/>
      <c r="BC1301" s="38"/>
      <c r="BD1301" s="38"/>
      <c r="BE1301" s="38"/>
      <c r="BF1301" s="38"/>
      <c r="BG1301" s="38"/>
    </row>
    <row r="1302">
      <c r="A1302" s="58"/>
      <c r="B1302" s="341"/>
      <c r="C1302" s="60"/>
      <c r="D1302" s="60"/>
      <c r="E1302" s="58"/>
      <c r="F1302" s="58"/>
      <c r="G1302" s="58"/>
      <c r="H1302" s="33" t="str">
        <f t="shared" si="1"/>
        <v/>
      </c>
      <c r="I1302" s="58"/>
      <c r="J1302" s="58"/>
      <c r="K1302" s="58"/>
      <c r="L1302" s="38"/>
      <c r="M1302" s="58"/>
      <c r="N1302" s="58"/>
      <c r="O1302" s="58"/>
      <c r="P1302" s="80"/>
      <c r="Q1302" s="80"/>
      <c r="R1302" s="62"/>
      <c r="S1302" s="58"/>
      <c r="T1302" s="84"/>
      <c r="U1302" s="62"/>
      <c r="V1302" s="37" t="str">
        <f>IFERROR(__xludf.DUMMYFUNCTION("if(not(iserror(index(split(C1302, "" ""),2))), index(split(C1302, "" ""),1),"""")"),"")</f>
        <v/>
      </c>
      <c r="W1302" s="315" t="str">
        <f>IFERROR(__xludf.DUMMYFUNCTION("if(V1302="""",C1302,if(not(iserror(index(split(C1302, "" ""),3))), index(split(C1302, "" ""),3),index(split(C1302, "" ""),2)))"),"")</f>
        <v/>
      </c>
      <c r="X1302" s="38" t="b">
        <f t="shared" si="2"/>
        <v>0</v>
      </c>
      <c r="Y1302" s="38"/>
      <c r="Z1302" s="40"/>
      <c r="AA1302" s="40"/>
      <c r="AB1302" s="38"/>
      <c r="AC1302" s="38"/>
      <c r="AD1302" s="38"/>
      <c r="AE1302" s="38"/>
      <c r="AF1302" s="38"/>
      <c r="AG1302" s="38"/>
      <c r="AH1302" s="38"/>
      <c r="AI1302" s="38"/>
      <c r="AJ1302" s="38"/>
      <c r="AK1302" s="38"/>
      <c r="AL1302" s="38"/>
      <c r="AM1302" s="38"/>
      <c r="AN1302" s="38"/>
      <c r="AO1302" s="38"/>
      <c r="AP1302" s="38"/>
      <c r="AQ1302" s="38"/>
      <c r="AR1302" s="38"/>
      <c r="AS1302" s="38"/>
      <c r="AT1302" s="38"/>
      <c r="AU1302" s="38"/>
      <c r="AV1302" s="38"/>
      <c r="AW1302" s="38"/>
      <c r="AX1302" s="38"/>
      <c r="AY1302" s="38"/>
      <c r="AZ1302" s="38"/>
      <c r="BA1302" s="38"/>
      <c r="BB1302" s="38"/>
      <c r="BC1302" s="38"/>
      <c r="BD1302" s="38"/>
      <c r="BE1302" s="38"/>
      <c r="BF1302" s="38"/>
      <c r="BG1302" s="38"/>
    </row>
    <row r="1303">
      <c r="A1303" s="124"/>
      <c r="B1303" s="393"/>
      <c r="C1303" s="127"/>
      <c r="D1303" s="127"/>
      <c r="E1303" s="128"/>
      <c r="F1303" s="129"/>
      <c r="G1303" s="128"/>
      <c r="H1303" s="33" t="str">
        <f t="shared" si="1"/>
        <v/>
      </c>
      <c r="I1303" s="128"/>
      <c r="J1303" s="128"/>
      <c r="K1303" s="129"/>
      <c r="L1303" s="38"/>
      <c r="M1303" s="128"/>
      <c r="N1303" s="128"/>
      <c r="O1303" s="128"/>
      <c r="P1303" s="120"/>
      <c r="Q1303" s="133"/>
      <c r="R1303" s="133"/>
      <c r="S1303" s="133"/>
      <c r="T1303" s="302"/>
      <c r="U1303" s="133"/>
      <c r="V1303" s="37" t="str">
        <f>IFERROR(__xludf.DUMMYFUNCTION("if(not(iserror(index(split(C1303, "" ""),2))), index(split(C1303, "" ""),1),"""")"),"")</f>
        <v/>
      </c>
      <c r="W1303" s="315" t="str">
        <f>IFERROR(__xludf.DUMMYFUNCTION("if(V1303="""",C1303,if(not(iserror(index(split(C1303, "" ""),3))), index(split(C1303, "" ""),3),index(split(C1303, "" ""),2)))"),"")</f>
        <v/>
      </c>
      <c r="X1303" s="38" t="b">
        <f t="shared" si="2"/>
        <v>0</v>
      </c>
      <c r="Y1303" s="38"/>
      <c r="Z1303" s="40"/>
      <c r="AA1303" s="40"/>
      <c r="AB1303" s="38"/>
      <c r="AC1303" s="38"/>
      <c r="AD1303" s="38"/>
      <c r="AE1303" s="38"/>
      <c r="AF1303" s="38"/>
      <c r="AG1303" s="38"/>
      <c r="AH1303" s="38"/>
      <c r="AI1303" s="38"/>
      <c r="AJ1303" s="38"/>
      <c r="AK1303" s="38"/>
      <c r="AL1303" s="38"/>
      <c r="AM1303" s="38"/>
      <c r="AN1303" s="38"/>
      <c r="AO1303" s="38"/>
      <c r="AP1303" s="38"/>
      <c r="AQ1303" s="38"/>
      <c r="AR1303" s="38"/>
      <c r="AS1303" s="38"/>
      <c r="AT1303" s="38"/>
      <c r="AU1303" s="38"/>
      <c r="AV1303" s="38"/>
      <c r="AW1303" s="38"/>
      <c r="AX1303" s="38"/>
      <c r="AY1303" s="38"/>
      <c r="AZ1303" s="38"/>
      <c r="BA1303" s="38"/>
      <c r="BB1303" s="38"/>
      <c r="BC1303" s="38"/>
      <c r="BD1303" s="38"/>
      <c r="BE1303" s="38"/>
      <c r="BF1303" s="38"/>
      <c r="BG1303" s="38"/>
    </row>
    <row r="1304">
      <c r="A1304" s="58"/>
      <c r="B1304" s="341"/>
      <c r="C1304" s="60"/>
      <c r="D1304" s="60"/>
      <c r="E1304" s="58"/>
      <c r="F1304" s="58"/>
      <c r="G1304" s="58"/>
      <c r="H1304" s="33" t="str">
        <f t="shared" si="1"/>
        <v/>
      </c>
      <c r="I1304" s="58"/>
      <c r="J1304" s="58"/>
      <c r="K1304" s="58"/>
      <c r="L1304" s="38"/>
      <c r="M1304" s="58"/>
      <c r="N1304" s="58"/>
      <c r="O1304" s="58"/>
      <c r="P1304" s="80"/>
      <c r="Q1304" s="77"/>
      <c r="R1304" s="62"/>
      <c r="S1304" s="62"/>
      <c r="T1304" s="62"/>
      <c r="U1304" s="62"/>
      <c r="V1304" s="37" t="str">
        <f>IFERROR(__xludf.DUMMYFUNCTION("if(not(iserror(index(split(C1304, "" ""),2))), index(split(C1304, "" ""),1),"""")"),"")</f>
        <v/>
      </c>
      <c r="W1304" s="315" t="str">
        <f>IFERROR(__xludf.DUMMYFUNCTION("if(V1304="""",C1304,if(not(iserror(index(split(C1304, "" ""),3))), index(split(C1304, "" ""),3),index(split(C1304, "" ""),2)))"),"")</f>
        <v/>
      </c>
      <c r="X1304" s="38" t="b">
        <f t="shared" si="2"/>
        <v>0</v>
      </c>
      <c r="Y1304" s="38"/>
      <c r="Z1304" s="40"/>
      <c r="AA1304" s="40"/>
      <c r="AB1304" s="38"/>
      <c r="AC1304" s="38"/>
      <c r="AD1304" s="38"/>
      <c r="AE1304" s="38"/>
      <c r="AF1304" s="38"/>
      <c r="AG1304" s="38"/>
      <c r="AH1304" s="38"/>
      <c r="AI1304" s="38"/>
      <c r="AJ1304" s="38"/>
      <c r="AK1304" s="38"/>
      <c r="AL1304" s="38"/>
      <c r="AM1304" s="38"/>
      <c r="AN1304" s="38"/>
      <c r="AO1304" s="38"/>
      <c r="AP1304" s="38"/>
      <c r="AQ1304" s="38"/>
      <c r="AR1304" s="38"/>
      <c r="AS1304" s="38"/>
      <c r="AT1304" s="38"/>
      <c r="AU1304" s="38"/>
      <c r="AV1304" s="38"/>
      <c r="AW1304" s="38"/>
      <c r="AX1304" s="38"/>
      <c r="AY1304" s="38"/>
      <c r="AZ1304" s="38"/>
      <c r="BA1304" s="38"/>
      <c r="BB1304" s="38"/>
      <c r="BC1304" s="38"/>
      <c r="BD1304" s="38"/>
      <c r="BE1304" s="38"/>
      <c r="BF1304" s="38"/>
      <c r="BG1304" s="38"/>
    </row>
    <row r="1305">
      <c r="A1305" s="58"/>
      <c r="B1305" s="341"/>
      <c r="C1305" s="60"/>
      <c r="D1305" s="60"/>
      <c r="E1305" s="58"/>
      <c r="F1305" s="58"/>
      <c r="G1305" s="58"/>
      <c r="H1305" s="33" t="str">
        <f t="shared" si="1"/>
        <v/>
      </c>
      <c r="I1305" s="58"/>
      <c r="J1305" s="58"/>
      <c r="K1305" s="58"/>
      <c r="L1305" s="38"/>
      <c r="M1305" s="58"/>
      <c r="N1305" s="58"/>
      <c r="O1305" s="58"/>
      <c r="P1305" s="80"/>
      <c r="Q1305" s="77"/>
      <c r="R1305" s="58"/>
      <c r="S1305" s="58"/>
      <c r="T1305" s="84"/>
      <c r="U1305" s="62"/>
      <c r="V1305" s="37" t="str">
        <f>IFERROR(__xludf.DUMMYFUNCTION("if(not(iserror(index(split(C1305, "" ""),2))), index(split(C1305, "" ""),1),"""")"),"")</f>
        <v/>
      </c>
      <c r="W1305" s="315" t="str">
        <f>IFERROR(__xludf.DUMMYFUNCTION("if(V1305="""",C1305,if(not(iserror(index(split(C1305, "" ""),3))), index(split(C1305, "" ""),3),index(split(C1305, "" ""),2)))"),"")</f>
        <v/>
      </c>
      <c r="X1305" s="38" t="b">
        <f t="shared" si="2"/>
        <v>0</v>
      </c>
      <c r="Y1305" s="38"/>
      <c r="Z1305" s="40"/>
      <c r="AA1305" s="40"/>
      <c r="AB1305" s="38"/>
      <c r="AC1305" s="38"/>
      <c r="AD1305" s="38"/>
      <c r="AE1305" s="38"/>
      <c r="AF1305" s="38"/>
      <c r="AG1305" s="38"/>
      <c r="AH1305" s="38"/>
      <c r="AI1305" s="38"/>
      <c r="AJ1305" s="38"/>
      <c r="AK1305" s="38"/>
      <c r="AL1305" s="38"/>
      <c r="AM1305" s="38"/>
      <c r="AN1305" s="38"/>
      <c r="AO1305" s="38"/>
      <c r="AP1305" s="38"/>
      <c r="AQ1305" s="38"/>
      <c r="AR1305" s="38"/>
      <c r="AS1305" s="38"/>
      <c r="AT1305" s="38"/>
      <c r="AU1305" s="38"/>
      <c r="AV1305" s="38"/>
      <c r="AW1305" s="38"/>
      <c r="AX1305" s="38"/>
      <c r="AY1305" s="38"/>
      <c r="AZ1305" s="38"/>
      <c r="BA1305" s="38"/>
      <c r="BB1305" s="38"/>
      <c r="BC1305" s="38"/>
      <c r="BD1305" s="38"/>
      <c r="BE1305" s="38"/>
      <c r="BF1305" s="38"/>
      <c r="BG1305" s="38"/>
    </row>
    <row r="1306">
      <c r="A1306" s="58"/>
      <c r="B1306" s="341"/>
      <c r="C1306" s="60"/>
      <c r="D1306" s="60"/>
      <c r="E1306" s="58"/>
      <c r="F1306" s="58"/>
      <c r="G1306" s="58"/>
      <c r="H1306" s="33" t="str">
        <f t="shared" si="1"/>
        <v/>
      </c>
      <c r="I1306" s="58"/>
      <c r="J1306" s="58"/>
      <c r="K1306" s="58"/>
      <c r="L1306" s="38"/>
      <c r="M1306" s="58"/>
      <c r="N1306" s="58"/>
      <c r="O1306" s="58"/>
      <c r="P1306" s="80"/>
      <c r="Q1306" s="77"/>
      <c r="R1306" s="58"/>
      <c r="S1306" s="58"/>
      <c r="T1306" s="84"/>
      <c r="U1306" s="62"/>
      <c r="V1306" s="37" t="str">
        <f>IFERROR(__xludf.DUMMYFUNCTION("if(not(iserror(index(split(C1306, "" ""),2))), index(split(C1306, "" ""),1),"""")"),"")</f>
        <v/>
      </c>
      <c r="W1306" s="315" t="str">
        <f>IFERROR(__xludf.DUMMYFUNCTION("if(V1306="""",C1306,if(not(iserror(index(split(C1306, "" ""),3))), index(split(C1306, "" ""),3),index(split(C1306, "" ""),2)))"),"")</f>
        <v/>
      </c>
      <c r="X1306" s="38" t="b">
        <f t="shared" si="2"/>
        <v>0</v>
      </c>
      <c r="Y1306" s="38"/>
      <c r="Z1306" s="40"/>
      <c r="AA1306" s="40"/>
      <c r="AB1306" s="38"/>
      <c r="AC1306" s="38"/>
      <c r="AD1306" s="38"/>
      <c r="AE1306" s="38"/>
      <c r="AF1306" s="38"/>
      <c r="AG1306" s="38"/>
      <c r="AH1306" s="38"/>
      <c r="AI1306" s="38"/>
      <c r="AJ1306" s="38"/>
      <c r="AK1306" s="38"/>
      <c r="AL1306" s="38"/>
      <c r="AM1306" s="38"/>
      <c r="AN1306" s="38"/>
      <c r="AO1306" s="38"/>
      <c r="AP1306" s="38"/>
      <c r="AQ1306" s="38"/>
      <c r="AR1306" s="38"/>
      <c r="AS1306" s="38"/>
      <c r="AT1306" s="38"/>
      <c r="AU1306" s="38"/>
      <c r="AV1306" s="38"/>
      <c r="AW1306" s="38"/>
      <c r="AX1306" s="38"/>
      <c r="AY1306" s="38"/>
      <c r="AZ1306" s="38"/>
      <c r="BA1306" s="38"/>
      <c r="BB1306" s="38"/>
      <c r="BC1306" s="38"/>
      <c r="BD1306" s="38"/>
      <c r="BE1306" s="38"/>
      <c r="BF1306" s="38"/>
      <c r="BG1306" s="38"/>
    </row>
    <row r="1307">
      <c r="A1307" s="58"/>
      <c r="B1307" s="341"/>
      <c r="C1307" s="60"/>
      <c r="D1307" s="60"/>
      <c r="E1307" s="58"/>
      <c r="F1307" s="58"/>
      <c r="G1307" s="58"/>
      <c r="H1307" s="33" t="str">
        <f t="shared" si="1"/>
        <v/>
      </c>
      <c r="I1307" s="58"/>
      <c r="J1307" s="58"/>
      <c r="K1307" s="58"/>
      <c r="L1307" s="38"/>
      <c r="M1307" s="58"/>
      <c r="N1307" s="58"/>
      <c r="O1307" s="58"/>
      <c r="P1307" s="80"/>
      <c r="Q1307" s="77"/>
      <c r="R1307" s="58"/>
      <c r="S1307" s="58"/>
      <c r="T1307" s="84"/>
      <c r="U1307" s="62"/>
      <c r="V1307" s="37" t="str">
        <f>IFERROR(__xludf.DUMMYFUNCTION("if(not(iserror(index(split(C1307, "" ""),2))), index(split(C1307, "" ""),1),"""")"),"")</f>
        <v/>
      </c>
      <c r="W1307" s="315" t="str">
        <f>IFERROR(__xludf.DUMMYFUNCTION("if(V1307="""",C1307,if(not(iserror(index(split(C1307, "" ""),3))), index(split(C1307, "" ""),3),index(split(C1307, "" ""),2)))"),"")</f>
        <v/>
      </c>
      <c r="X1307" s="38" t="b">
        <f t="shared" si="2"/>
        <v>0</v>
      </c>
      <c r="Y1307" s="38"/>
      <c r="Z1307" s="40"/>
      <c r="AA1307" s="40"/>
      <c r="AB1307" s="38"/>
      <c r="AC1307" s="38"/>
      <c r="AD1307" s="38"/>
      <c r="AE1307" s="38"/>
      <c r="AF1307" s="38"/>
      <c r="AG1307" s="38"/>
      <c r="AH1307" s="38"/>
      <c r="AI1307" s="38"/>
      <c r="AJ1307" s="38"/>
      <c r="AK1307" s="38"/>
      <c r="AL1307" s="38"/>
      <c r="AM1307" s="38"/>
      <c r="AN1307" s="38"/>
      <c r="AO1307" s="38"/>
      <c r="AP1307" s="38"/>
      <c r="AQ1307" s="38"/>
      <c r="AR1307" s="38"/>
      <c r="AS1307" s="38"/>
      <c r="AT1307" s="38"/>
      <c r="AU1307" s="38"/>
      <c r="AV1307" s="38"/>
      <c r="AW1307" s="38"/>
      <c r="AX1307" s="38"/>
      <c r="AY1307" s="38"/>
      <c r="AZ1307" s="38"/>
      <c r="BA1307" s="38"/>
      <c r="BB1307" s="38"/>
      <c r="BC1307" s="38"/>
      <c r="BD1307" s="38"/>
      <c r="BE1307" s="38"/>
      <c r="BF1307" s="38"/>
      <c r="BG1307" s="38"/>
    </row>
    <row r="1308">
      <c r="A1308" s="58"/>
      <c r="B1308" s="341"/>
      <c r="C1308" s="60"/>
      <c r="D1308" s="60"/>
      <c r="E1308" s="58"/>
      <c r="F1308" s="58"/>
      <c r="G1308" s="58"/>
      <c r="H1308" s="33" t="str">
        <f t="shared" si="1"/>
        <v/>
      </c>
      <c r="I1308" s="58"/>
      <c r="J1308" s="58"/>
      <c r="K1308" s="58"/>
      <c r="L1308" s="38"/>
      <c r="M1308" s="58"/>
      <c r="N1308" s="58"/>
      <c r="O1308" s="58"/>
      <c r="P1308" s="80"/>
      <c r="Q1308" s="77"/>
      <c r="R1308" s="58"/>
      <c r="S1308" s="58"/>
      <c r="T1308" s="84"/>
      <c r="U1308" s="62"/>
      <c r="V1308" s="37" t="str">
        <f>IFERROR(__xludf.DUMMYFUNCTION("if(not(iserror(index(split(C1308, "" ""),2))), index(split(C1308, "" ""),1),"""")"),"")</f>
        <v/>
      </c>
      <c r="W1308" s="315" t="str">
        <f>IFERROR(__xludf.DUMMYFUNCTION("if(V1308="""",C1308,if(not(iserror(index(split(C1308, "" ""),3))), index(split(C1308, "" ""),3),index(split(C1308, "" ""),2)))"),"")</f>
        <v/>
      </c>
      <c r="X1308" s="38" t="b">
        <f t="shared" si="2"/>
        <v>0</v>
      </c>
      <c r="Y1308" s="38"/>
      <c r="Z1308" s="40"/>
      <c r="AA1308" s="40"/>
      <c r="AB1308" s="38"/>
      <c r="AC1308" s="38"/>
      <c r="AD1308" s="38"/>
      <c r="AE1308" s="38"/>
      <c r="AF1308" s="38"/>
      <c r="AG1308" s="38"/>
      <c r="AH1308" s="38"/>
      <c r="AI1308" s="38"/>
      <c r="AJ1308" s="38"/>
      <c r="AK1308" s="38"/>
      <c r="AL1308" s="38"/>
      <c r="AM1308" s="38"/>
      <c r="AN1308" s="38"/>
      <c r="AO1308" s="38"/>
      <c r="AP1308" s="38"/>
      <c r="AQ1308" s="38"/>
      <c r="AR1308" s="38"/>
      <c r="AS1308" s="38"/>
      <c r="AT1308" s="38"/>
      <c r="AU1308" s="38"/>
      <c r="AV1308" s="38"/>
      <c r="AW1308" s="38"/>
      <c r="AX1308" s="38"/>
      <c r="AY1308" s="38"/>
      <c r="AZ1308" s="38"/>
      <c r="BA1308" s="38"/>
      <c r="BB1308" s="38"/>
      <c r="BC1308" s="38"/>
      <c r="BD1308" s="38"/>
      <c r="BE1308" s="38"/>
      <c r="BF1308" s="38"/>
      <c r="BG1308" s="38"/>
    </row>
    <row r="1309">
      <c r="A1309" s="58"/>
      <c r="B1309" s="341"/>
      <c r="C1309" s="60"/>
      <c r="D1309" s="60"/>
      <c r="E1309" s="58"/>
      <c r="F1309" s="58"/>
      <c r="G1309" s="58"/>
      <c r="H1309" s="33" t="str">
        <f t="shared" si="1"/>
        <v/>
      </c>
      <c r="I1309" s="58"/>
      <c r="J1309" s="58"/>
      <c r="K1309" s="58"/>
      <c r="L1309" s="38"/>
      <c r="M1309" s="58"/>
      <c r="N1309" s="58"/>
      <c r="O1309" s="58"/>
      <c r="P1309" s="80"/>
      <c r="Q1309" s="77"/>
      <c r="R1309" s="58"/>
      <c r="S1309" s="58"/>
      <c r="T1309" s="84"/>
      <c r="U1309" s="62"/>
      <c r="V1309" s="37" t="str">
        <f>IFERROR(__xludf.DUMMYFUNCTION("if(not(iserror(index(split(C1309, "" ""),2))), index(split(C1309, "" ""),1),"""")"),"")</f>
        <v/>
      </c>
      <c r="W1309" s="315" t="str">
        <f>IFERROR(__xludf.DUMMYFUNCTION("if(V1309="""",C1309,if(not(iserror(index(split(C1309, "" ""),3))), index(split(C1309, "" ""),3),index(split(C1309, "" ""),2)))"),"")</f>
        <v/>
      </c>
      <c r="X1309" s="38" t="b">
        <f t="shared" si="2"/>
        <v>0</v>
      </c>
      <c r="Y1309" s="38"/>
      <c r="Z1309" s="40"/>
      <c r="AA1309" s="40"/>
      <c r="AB1309" s="38"/>
      <c r="AC1309" s="38"/>
      <c r="AD1309" s="38"/>
      <c r="AE1309" s="38"/>
      <c r="AF1309" s="38"/>
      <c r="AG1309" s="38"/>
      <c r="AH1309" s="38"/>
      <c r="AI1309" s="38"/>
      <c r="AJ1309" s="38"/>
      <c r="AK1309" s="38"/>
      <c r="AL1309" s="38"/>
      <c r="AM1309" s="38"/>
      <c r="AN1309" s="38"/>
      <c r="AO1309" s="38"/>
      <c r="AP1309" s="38"/>
      <c r="AQ1309" s="38"/>
      <c r="AR1309" s="38"/>
      <c r="AS1309" s="38"/>
      <c r="AT1309" s="38"/>
      <c r="AU1309" s="38"/>
      <c r="AV1309" s="38"/>
      <c r="AW1309" s="38"/>
      <c r="AX1309" s="38"/>
      <c r="AY1309" s="38"/>
      <c r="AZ1309" s="38"/>
      <c r="BA1309" s="38"/>
      <c r="BB1309" s="38"/>
      <c r="BC1309" s="38"/>
      <c r="BD1309" s="38"/>
      <c r="BE1309" s="38"/>
      <c r="BF1309" s="38"/>
      <c r="BG1309" s="38"/>
    </row>
    <row r="1310">
      <c r="A1310" s="58"/>
      <c r="B1310" s="341"/>
      <c r="C1310" s="60"/>
      <c r="D1310" s="60"/>
      <c r="E1310" s="58"/>
      <c r="F1310" s="58"/>
      <c r="G1310" s="58"/>
      <c r="H1310" s="33" t="str">
        <f t="shared" si="1"/>
        <v/>
      </c>
      <c r="I1310" s="58"/>
      <c r="J1310" s="58"/>
      <c r="K1310" s="58"/>
      <c r="L1310" s="38"/>
      <c r="M1310" s="58"/>
      <c r="N1310" s="58"/>
      <c r="O1310" s="58"/>
      <c r="P1310" s="80"/>
      <c r="Q1310" s="77"/>
      <c r="R1310" s="58"/>
      <c r="S1310" s="58"/>
      <c r="T1310" s="84"/>
      <c r="U1310" s="62"/>
      <c r="V1310" s="37" t="str">
        <f>IFERROR(__xludf.DUMMYFUNCTION("if(not(iserror(index(split(C1310, "" ""),2))), index(split(C1310, "" ""),1),"""")"),"")</f>
        <v/>
      </c>
      <c r="W1310" s="315" t="str">
        <f>IFERROR(__xludf.DUMMYFUNCTION("if(V1310="""",C1310,if(not(iserror(index(split(C1310, "" ""),3))), index(split(C1310, "" ""),3),index(split(C1310, "" ""),2)))"),"")</f>
        <v/>
      </c>
      <c r="X1310" s="38" t="b">
        <f t="shared" si="2"/>
        <v>0</v>
      </c>
      <c r="Y1310" s="38"/>
      <c r="Z1310" s="40"/>
      <c r="AA1310" s="40"/>
      <c r="AB1310" s="38"/>
      <c r="AC1310" s="38"/>
      <c r="AD1310" s="38"/>
      <c r="AE1310" s="38"/>
      <c r="AF1310" s="38"/>
      <c r="AG1310" s="38"/>
      <c r="AH1310" s="38"/>
      <c r="AI1310" s="38"/>
      <c r="AJ1310" s="38"/>
      <c r="AK1310" s="38"/>
      <c r="AL1310" s="38"/>
      <c r="AM1310" s="38"/>
      <c r="AN1310" s="38"/>
      <c r="AO1310" s="38"/>
      <c r="AP1310" s="38"/>
      <c r="AQ1310" s="38"/>
      <c r="AR1310" s="38"/>
      <c r="AS1310" s="38"/>
      <c r="AT1310" s="38"/>
      <c r="AU1310" s="38"/>
      <c r="AV1310" s="38"/>
      <c r="AW1310" s="38"/>
      <c r="AX1310" s="38"/>
      <c r="AY1310" s="38"/>
      <c r="AZ1310" s="38"/>
      <c r="BA1310" s="38"/>
      <c r="BB1310" s="38"/>
      <c r="BC1310" s="38"/>
      <c r="BD1310" s="38"/>
      <c r="BE1310" s="38"/>
      <c r="BF1310" s="38"/>
      <c r="BG1310" s="38"/>
    </row>
    <row r="1311">
      <c r="A1311" s="394"/>
      <c r="B1311" s="341"/>
      <c r="C1311" s="60"/>
      <c r="D1311" s="60"/>
      <c r="E1311" s="58"/>
      <c r="F1311" s="58"/>
      <c r="G1311" s="58"/>
      <c r="H1311" s="33" t="str">
        <f t="shared" si="1"/>
        <v/>
      </c>
      <c r="I1311" s="58"/>
      <c r="J1311" s="58"/>
      <c r="K1311" s="58"/>
      <c r="L1311" s="38"/>
      <c r="M1311" s="58"/>
      <c r="N1311" s="58"/>
      <c r="O1311" s="58"/>
      <c r="P1311" s="120"/>
      <c r="Q1311" s="80"/>
      <c r="R1311" s="58"/>
      <c r="S1311" s="58"/>
      <c r="T1311" s="58"/>
      <c r="U1311" s="62"/>
      <c r="V1311" s="37" t="str">
        <f>IFERROR(__xludf.DUMMYFUNCTION("if(not(iserror(index(split(C1311, "" ""),2))), index(split(C1311, "" ""),1),"""")"),"")</f>
        <v/>
      </c>
      <c r="W1311" s="315" t="str">
        <f>IFERROR(__xludf.DUMMYFUNCTION("if(V1311="""",C1311,if(not(iserror(index(split(C1311, "" ""),3))), index(split(C1311, "" ""),3),index(split(C1311, "" ""),2)))"),"")</f>
        <v/>
      </c>
      <c r="X1311" s="38" t="b">
        <f t="shared" si="2"/>
        <v>0</v>
      </c>
      <c r="Y1311" s="38"/>
      <c r="Z1311" s="40"/>
      <c r="AA1311" s="40"/>
      <c r="AB1311" s="38"/>
      <c r="AC1311" s="38"/>
      <c r="AD1311" s="38"/>
      <c r="AE1311" s="38"/>
      <c r="AF1311" s="38"/>
      <c r="AG1311" s="38"/>
      <c r="AH1311" s="38"/>
      <c r="AI1311" s="38"/>
      <c r="AJ1311" s="38"/>
      <c r="AK1311" s="38"/>
      <c r="AL1311" s="38"/>
      <c r="AM1311" s="38"/>
      <c r="AN1311" s="38"/>
      <c r="AO1311" s="38"/>
      <c r="AP1311" s="38"/>
      <c r="AQ1311" s="38"/>
      <c r="AR1311" s="38"/>
      <c r="AS1311" s="38"/>
      <c r="AT1311" s="38"/>
      <c r="AU1311" s="38"/>
      <c r="AV1311" s="38"/>
      <c r="AW1311" s="38"/>
      <c r="AX1311" s="38"/>
      <c r="AY1311" s="38"/>
      <c r="AZ1311" s="38"/>
      <c r="BA1311" s="38"/>
      <c r="BB1311" s="38"/>
      <c r="BC1311" s="38"/>
      <c r="BD1311" s="38"/>
      <c r="BE1311" s="38"/>
      <c r="BF1311" s="38"/>
      <c r="BG1311" s="38"/>
    </row>
    <row r="1312">
      <c r="A1312" s="58"/>
      <c r="B1312" s="341"/>
      <c r="C1312" s="60"/>
      <c r="D1312" s="60"/>
      <c r="E1312" s="58"/>
      <c r="F1312" s="58"/>
      <c r="G1312" s="58"/>
      <c r="H1312" s="33" t="str">
        <f t="shared" si="1"/>
        <v/>
      </c>
      <c r="I1312" s="58"/>
      <c r="J1312" s="58"/>
      <c r="K1312" s="58"/>
      <c r="L1312" s="38"/>
      <c r="M1312" s="58"/>
      <c r="N1312" s="58"/>
      <c r="O1312" s="58"/>
      <c r="P1312" s="80"/>
      <c r="Q1312" s="77"/>
      <c r="R1312" s="62"/>
      <c r="S1312" s="62"/>
      <c r="T1312" s="62"/>
      <c r="U1312" s="62"/>
      <c r="V1312" s="37" t="str">
        <f>IFERROR(__xludf.DUMMYFUNCTION("if(not(iserror(index(split(C1312, "" ""),2))), index(split(C1312, "" ""),1),"""")"),"")</f>
        <v/>
      </c>
      <c r="W1312" s="315" t="str">
        <f>IFERROR(__xludf.DUMMYFUNCTION("if(V1312="""",C1312,if(not(iserror(index(split(C1312, "" ""),3))), index(split(C1312, "" ""),3),index(split(C1312, "" ""),2)))"),"")</f>
        <v/>
      </c>
      <c r="X1312" s="38" t="b">
        <f t="shared" si="2"/>
        <v>0</v>
      </c>
      <c r="Y1312" s="38"/>
      <c r="Z1312" s="40"/>
      <c r="AA1312" s="40"/>
      <c r="AB1312" s="38"/>
      <c r="AC1312" s="38"/>
      <c r="AD1312" s="38"/>
      <c r="AE1312" s="38"/>
      <c r="AF1312" s="38"/>
      <c r="AG1312" s="38"/>
      <c r="AH1312" s="38"/>
      <c r="AI1312" s="38"/>
      <c r="AJ1312" s="38"/>
      <c r="AK1312" s="38"/>
      <c r="AL1312" s="38"/>
      <c r="AM1312" s="38"/>
      <c r="AN1312" s="38"/>
      <c r="AO1312" s="38"/>
      <c r="AP1312" s="38"/>
      <c r="AQ1312" s="38"/>
      <c r="AR1312" s="38"/>
      <c r="AS1312" s="38"/>
      <c r="AT1312" s="38"/>
      <c r="AU1312" s="38"/>
      <c r="AV1312" s="38"/>
      <c r="AW1312" s="38"/>
      <c r="AX1312" s="38"/>
      <c r="AY1312" s="38"/>
      <c r="AZ1312" s="38"/>
      <c r="BA1312" s="38"/>
      <c r="BB1312" s="38"/>
      <c r="BC1312" s="38"/>
      <c r="BD1312" s="38"/>
      <c r="BE1312" s="38"/>
      <c r="BF1312" s="38"/>
      <c r="BG1312" s="38"/>
    </row>
    <row r="1313">
      <c r="A1313" s="58"/>
      <c r="B1313" s="341"/>
      <c r="C1313" s="60"/>
      <c r="D1313" s="60"/>
      <c r="E1313" s="58"/>
      <c r="F1313" s="58"/>
      <c r="G1313" s="58"/>
      <c r="H1313" s="33" t="str">
        <f t="shared" si="1"/>
        <v/>
      </c>
      <c r="I1313" s="58"/>
      <c r="J1313" s="58"/>
      <c r="K1313" s="58"/>
      <c r="L1313" s="38"/>
      <c r="M1313" s="58"/>
      <c r="N1313" s="58"/>
      <c r="O1313" s="58"/>
      <c r="P1313" s="80"/>
      <c r="Q1313" s="77"/>
      <c r="R1313" s="62"/>
      <c r="S1313" s="62"/>
      <c r="T1313" s="62"/>
      <c r="U1313" s="62"/>
      <c r="V1313" s="37" t="str">
        <f>IFERROR(__xludf.DUMMYFUNCTION("if(not(iserror(index(split(C1313, "" ""),2))), index(split(C1313, "" ""),1),"""")"),"")</f>
        <v/>
      </c>
      <c r="W1313" s="315" t="str">
        <f>IFERROR(__xludf.DUMMYFUNCTION("if(V1313="""",C1313,if(not(iserror(index(split(C1313, "" ""),3))), index(split(C1313, "" ""),3),index(split(C1313, "" ""),2)))"),"")</f>
        <v/>
      </c>
      <c r="X1313" s="38" t="b">
        <f t="shared" si="2"/>
        <v>0</v>
      </c>
      <c r="Y1313" s="38"/>
      <c r="Z1313" s="40"/>
      <c r="AA1313" s="40"/>
      <c r="AB1313" s="38"/>
      <c r="AC1313" s="38"/>
      <c r="AD1313" s="38"/>
      <c r="AE1313" s="38"/>
      <c r="AF1313" s="38"/>
      <c r="AG1313" s="38"/>
      <c r="AH1313" s="38"/>
      <c r="AI1313" s="38"/>
      <c r="AJ1313" s="38"/>
      <c r="AK1313" s="38"/>
      <c r="AL1313" s="38"/>
      <c r="AM1313" s="38"/>
      <c r="AN1313" s="38"/>
      <c r="AO1313" s="38"/>
      <c r="AP1313" s="38"/>
      <c r="AQ1313" s="38"/>
      <c r="AR1313" s="38"/>
      <c r="AS1313" s="38"/>
      <c r="AT1313" s="38"/>
      <c r="AU1313" s="38"/>
      <c r="AV1313" s="38"/>
      <c r="AW1313" s="38"/>
      <c r="AX1313" s="38"/>
      <c r="AY1313" s="38"/>
      <c r="AZ1313" s="38"/>
      <c r="BA1313" s="38"/>
      <c r="BB1313" s="38"/>
      <c r="BC1313" s="38"/>
      <c r="BD1313" s="38"/>
      <c r="BE1313" s="38"/>
      <c r="BF1313" s="38"/>
      <c r="BG1313" s="38"/>
    </row>
    <row r="1314">
      <c r="A1314" s="58"/>
      <c r="B1314" s="341"/>
      <c r="C1314" s="60"/>
      <c r="D1314" s="60"/>
      <c r="E1314" s="58"/>
      <c r="F1314" s="58"/>
      <c r="G1314" s="58"/>
      <c r="H1314" s="33" t="str">
        <f t="shared" si="1"/>
        <v/>
      </c>
      <c r="I1314" s="58"/>
      <c r="J1314" s="58"/>
      <c r="K1314" s="58"/>
      <c r="L1314" s="38"/>
      <c r="M1314" s="58"/>
      <c r="N1314" s="58"/>
      <c r="O1314" s="58"/>
      <c r="P1314" s="80"/>
      <c r="Q1314" s="77"/>
      <c r="R1314" s="62"/>
      <c r="S1314" s="62"/>
      <c r="T1314" s="62"/>
      <c r="U1314" s="62"/>
      <c r="V1314" s="37" t="str">
        <f>IFERROR(__xludf.DUMMYFUNCTION("if(not(iserror(index(split(C1314, "" ""),2))), index(split(C1314, "" ""),1),"""")"),"")</f>
        <v/>
      </c>
      <c r="W1314" s="315" t="str">
        <f>IFERROR(__xludf.DUMMYFUNCTION("if(V1314="""",C1314,if(not(iserror(index(split(C1314, "" ""),3))), index(split(C1314, "" ""),3),index(split(C1314, "" ""),2)))"),"")</f>
        <v/>
      </c>
      <c r="X1314" s="38" t="b">
        <f t="shared" si="2"/>
        <v>0</v>
      </c>
      <c r="Y1314" s="38"/>
      <c r="Z1314" s="40"/>
      <c r="AA1314" s="40"/>
      <c r="AB1314" s="38"/>
      <c r="AC1314" s="38"/>
      <c r="AD1314" s="38"/>
      <c r="AE1314" s="38"/>
      <c r="AF1314" s="38"/>
      <c r="AG1314" s="38"/>
      <c r="AH1314" s="38"/>
      <c r="AI1314" s="38"/>
      <c r="AJ1314" s="38"/>
      <c r="AK1314" s="38"/>
      <c r="AL1314" s="38"/>
      <c r="AM1314" s="38"/>
      <c r="AN1314" s="38"/>
      <c r="AO1314" s="38"/>
      <c r="AP1314" s="38"/>
      <c r="AQ1314" s="38"/>
      <c r="AR1314" s="38"/>
      <c r="AS1314" s="38"/>
      <c r="AT1314" s="38"/>
      <c r="AU1314" s="38"/>
      <c r="AV1314" s="38"/>
      <c r="AW1314" s="38"/>
      <c r="AX1314" s="38"/>
      <c r="AY1314" s="38"/>
      <c r="AZ1314" s="38"/>
      <c r="BA1314" s="38"/>
      <c r="BB1314" s="38"/>
      <c r="BC1314" s="38"/>
      <c r="BD1314" s="38"/>
      <c r="BE1314" s="38"/>
      <c r="BF1314" s="38"/>
      <c r="BG1314" s="38"/>
    </row>
    <row r="1315">
      <c r="A1315" s="58"/>
      <c r="B1315" s="341"/>
      <c r="C1315" s="60"/>
      <c r="D1315" s="60"/>
      <c r="E1315" s="58"/>
      <c r="F1315" s="58"/>
      <c r="G1315" s="58"/>
      <c r="H1315" s="33" t="str">
        <f t="shared" si="1"/>
        <v/>
      </c>
      <c r="I1315" s="58"/>
      <c r="J1315" s="58"/>
      <c r="K1315" s="58"/>
      <c r="L1315" s="38"/>
      <c r="M1315" s="58"/>
      <c r="N1315" s="58"/>
      <c r="O1315" s="58"/>
      <c r="P1315" s="80"/>
      <c r="Q1315" s="77"/>
      <c r="R1315" s="62"/>
      <c r="S1315" s="62"/>
      <c r="T1315" s="62"/>
      <c r="U1315" s="62"/>
      <c r="V1315" s="37" t="str">
        <f>IFERROR(__xludf.DUMMYFUNCTION("if(not(iserror(index(split(C1315, "" ""),2))), index(split(C1315, "" ""),1),"""")"),"")</f>
        <v/>
      </c>
      <c r="W1315" s="315" t="str">
        <f>IFERROR(__xludf.DUMMYFUNCTION("if(V1315="""",C1315,if(not(iserror(index(split(C1315, "" ""),3))), index(split(C1315, "" ""),3),index(split(C1315, "" ""),2)))"),"")</f>
        <v/>
      </c>
      <c r="X1315" s="38" t="b">
        <f t="shared" si="2"/>
        <v>0</v>
      </c>
      <c r="Y1315" s="38"/>
      <c r="Z1315" s="40"/>
      <c r="AA1315" s="40"/>
      <c r="AB1315" s="38"/>
      <c r="AC1315" s="38"/>
      <c r="AD1315" s="38"/>
      <c r="AE1315" s="38"/>
      <c r="AF1315" s="38"/>
      <c r="AG1315" s="38"/>
      <c r="AH1315" s="38"/>
      <c r="AI1315" s="38"/>
      <c r="AJ1315" s="38"/>
      <c r="AK1315" s="38"/>
      <c r="AL1315" s="38"/>
      <c r="AM1315" s="38"/>
      <c r="AN1315" s="38"/>
      <c r="AO1315" s="38"/>
      <c r="AP1315" s="38"/>
      <c r="AQ1315" s="38"/>
      <c r="AR1315" s="38"/>
      <c r="AS1315" s="38"/>
      <c r="AT1315" s="38"/>
      <c r="AU1315" s="38"/>
      <c r="AV1315" s="38"/>
      <c r="AW1315" s="38"/>
      <c r="AX1315" s="38"/>
      <c r="AY1315" s="38"/>
      <c r="AZ1315" s="38"/>
      <c r="BA1315" s="38"/>
      <c r="BB1315" s="38"/>
      <c r="BC1315" s="38"/>
      <c r="BD1315" s="38"/>
      <c r="BE1315" s="38"/>
      <c r="BF1315" s="38"/>
      <c r="BG1315" s="38"/>
    </row>
    <row r="1316">
      <c r="A1316" s="58"/>
      <c r="B1316" s="341"/>
      <c r="C1316" s="60"/>
      <c r="D1316" s="60"/>
      <c r="E1316" s="58"/>
      <c r="F1316" s="58"/>
      <c r="G1316" s="58"/>
      <c r="H1316" s="33" t="str">
        <f t="shared" si="1"/>
        <v/>
      </c>
      <c r="I1316" s="58"/>
      <c r="J1316" s="58"/>
      <c r="K1316" s="58"/>
      <c r="L1316" s="38"/>
      <c r="M1316" s="58"/>
      <c r="N1316" s="58"/>
      <c r="O1316" s="58"/>
      <c r="P1316" s="80"/>
      <c r="Q1316" s="77"/>
      <c r="R1316" s="62"/>
      <c r="S1316" s="62"/>
      <c r="T1316" s="62"/>
      <c r="U1316" s="62"/>
      <c r="V1316" s="37" t="str">
        <f>IFERROR(__xludf.DUMMYFUNCTION("if(not(iserror(index(split(C1316, "" ""),2))), index(split(C1316, "" ""),1),"""")"),"")</f>
        <v/>
      </c>
      <c r="W1316" s="315" t="str">
        <f>IFERROR(__xludf.DUMMYFUNCTION("if(V1316="""",C1316,if(not(iserror(index(split(C1316, "" ""),3))), index(split(C1316, "" ""),3),index(split(C1316, "" ""),2)))"),"")</f>
        <v/>
      </c>
      <c r="X1316" s="38" t="b">
        <f t="shared" si="2"/>
        <v>0</v>
      </c>
      <c r="Y1316" s="38"/>
      <c r="Z1316" s="40"/>
      <c r="AA1316" s="40"/>
      <c r="AB1316" s="38"/>
      <c r="AC1316" s="38"/>
      <c r="AD1316" s="38"/>
      <c r="AE1316" s="38"/>
      <c r="AF1316" s="38"/>
      <c r="AG1316" s="38"/>
      <c r="AH1316" s="38"/>
      <c r="AI1316" s="38"/>
      <c r="AJ1316" s="38"/>
      <c r="AK1316" s="38"/>
      <c r="AL1316" s="38"/>
      <c r="AM1316" s="38"/>
      <c r="AN1316" s="38"/>
      <c r="AO1316" s="38"/>
      <c r="AP1316" s="38"/>
      <c r="AQ1316" s="38"/>
      <c r="AR1316" s="38"/>
      <c r="AS1316" s="38"/>
      <c r="AT1316" s="38"/>
      <c r="AU1316" s="38"/>
      <c r="AV1316" s="38"/>
      <c r="AW1316" s="38"/>
      <c r="AX1316" s="38"/>
      <c r="AY1316" s="38"/>
      <c r="AZ1316" s="38"/>
      <c r="BA1316" s="38"/>
      <c r="BB1316" s="38"/>
      <c r="BC1316" s="38"/>
      <c r="BD1316" s="38"/>
      <c r="BE1316" s="38"/>
      <c r="BF1316" s="38"/>
      <c r="BG1316" s="38"/>
    </row>
    <row r="1317">
      <c r="A1317" s="58"/>
      <c r="B1317" s="341"/>
      <c r="C1317" s="60"/>
      <c r="D1317" s="60"/>
      <c r="E1317" s="58"/>
      <c r="F1317" s="58"/>
      <c r="G1317" s="58"/>
      <c r="H1317" s="33" t="str">
        <f t="shared" si="1"/>
        <v/>
      </c>
      <c r="I1317" s="58"/>
      <c r="J1317" s="58"/>
      <c r="K1317" s="58"/>
      <c r="L1317" s="38"/>
      <c r="M1317" s="58"/>
      <c r="N1317" s="58"/>
      <c r="O1317" s="58"/>
      <c r="P1317" s="389"/>
      <c r="Q1317" s="80"/>
      <c r="R1317" s="58"/>
      <c r="S1317" s="58"/>
      <c r="T1317" s="84"/>
      <c r="U1317" s="62"/>
      <c r="V1317" s="37" t="str">
        <f>IFERROR(__xludf.DUMMYFUNCTION("if(not(iserror(index(split(C1317, "" ""),2))), index(split(C1317, "" ""),1),"""")"),"")</f>
        <v/>
      </c>
      <c r="W1317" s="315" t="str">
        <f>IFERROR(__xludf.DUMMYFUNCTION("if(V1317="""",C1317,if(not(iserror(index(split(C1317, "" ""),3))), index(split(C1317, "" ""),3),index(split(C1317, "" ""),2)))"),"")</f>
        <v/>
      </c>
      <c r="X1317" s="38" t="b">
        <f t="shared" si="2"/>
        <v>0</v>
      </c>
      <c r="Y1317" s="38"/>
      <c r="Z1317" s="40"/>
      <c r="AA1317" s="40"/>
      <c r="AB1317" s="38"/>
      <c r="AC1317" s="38"/>
      <c r="AD1317" s="38"/>
      <c r="AE1317" s="38"/>
      <c r="AF1317" s="38"/>
      <c r="AG1317" s="38"/>
      <c r="AH1317" s="38"/>
      <c r="AI1317" s="38"/>
      <c r="AJ1317" s="38"/>
      <c r="AK1317" s="38"/>
      <c r="AL1317" s="38"/>
      <c r="AM1317" s="38"/>
      <c r="AN1317" s="38"/>
      <c r="AO1317" s="38"/>
      <c r="AP1317" s="38"/>
      <c r="AQ1317" s="38"/>
      <c r="AR1317" s="38"/>
      <c r="AS1317" s="38"/>
      <c r="AT1317" s="38"/>
      <c r="AU1317" s="38"/>
      <c r="AV1317" s="38"/>
      <c r="AW1317" s="38"/>
      <c r="AX1317" s="38"/>
      <c r="AY1317" s="38"/>
      <c r="AZ1317" s="38"/>
      <c r="BA1317" s="38"/>
      <c r="BB1317" s="38"/>
      <c r="BC1317" s="38"/>
      <c r="BD1317" s="38"/>
      <c r="BE1317" s="38"/>
      <c r="BF1317" s="38"/>
      <c r="BG1317" s="38"/>
    </row>
    <row r="1318">
      <c r="A1318" s="58"/>
      <c r="B1318" s="341"/>
      <c r="C1318" s="60"/>
      <c r="D1318" s="60"/>
      <c r="E1318" s="58"/>
      <c r="F1318" s="58"/>
      <c r="G1318" s="58"/>
      <c r="H1318" s="33" t="str">
        <f t="shared" si="1"/>
        <v/>
      </c>
      <c r="I1318" s="58"/>
      <c r="J1318" s="58"/>
      <c r="K1318" s="58"/>
      <c r="L1318" s="38"/>
      <c r="M1318" s="58"/>
      <c r="N1318" s="58"/>
      <c r="O1318" s="58"/>
      <c r="P1318" s="80"/>
      <c r="Q1318" s="80"/>
      <c r="R1318" s="58"/>
      <c r="S1318" s="58"/>
      <c r="T1318" s="84"/>
      <c r="U1318" s="62"/>
      <c r="V1318" s="37" t="str">
        <f>IFERROR(__xludf.DUMMYFUNCTION("if(not(iserror(index(split(C1318, "" ""),2))), index(split(C1318, "" ""),1),"""")"),"")</f>
        <v/>
      </c>
      <c r="W1318" s="315" t="str">
        <f>IFERROR(__xludf.DUMMYFUNCTION("if(V1318="""",C1318,if(not(iserror(index(split(C1318, "" ""),3))), index(split(C1318, "" ""),3),index(split(C1318, "" ""),2)))"),"")</f>
        <v/>
      </c>
      <c r="X1318" s="38" t="b">
        <f t="shared" si="2"/>
        <v>0</v>
      </c>
      <c r="Y1318" s="38"/>
      <c r="Z1318" s="40"/>
      <c r="AA1318" s="40"/>
      <c r="AB1318" s="38"/>
      <c r="AC1318" s="38"/>
      <c r="AD1318" s="38"/>
      <c r="AE1318" s="38"/>
      <c r="AF1318" s="38"/>
      <c r="AG1318" s="38"/>
      <c r="AH1318" s="38"/>
      <c r="AI1318" s="38"/>
      <c r="AJ1318" s="38"/>
      <c r="AK1318" s="38"/>
      <c r="AL1318" s="38"/>
      <c r="AM1318" s="38"/>
      <c r="AN1318" s="38"/>
      <c r="AO1318" s="38"/>
      <c r="AP1318" s="38"/>
      <c r="AQ1318" s="38"/>
      <c r="AR1318" s="38"/>
      <c r="AS1318" s="38"/>
      <c r="AT1318" s="38"/>
      <c r="AU1318" s="38"/>
      <c r="AV1318" s="38"/>
      <c r="AW1318" s="38"/>
      <c r="AX1318" s="38"/>
      <c r="AY1318" s="38"/>
      <c r="AZ1318" s="38"/>
      <c r="BA1318" s="38"/>
      <c r="BB1318" s="38"/>
      <c r="BC1318" s="38"/>
      <c r="BD1318" s="38"/>
      <c r="BE1318" s="38"/>
      <c r="BF1318" s="38"/>
      <c r="BG1318" s="38"/>
    </row>
    <row r="1319">
      <c r="A1319" s="58"/>
      <c r="B1319" s="341"/>
      <c r="C1319" s="60"/>
      <c r="D1319" s="60"/>
      <c r="E1319" s="58"/>
      <c r="F1319" s="58"/>
      <c r="G1319" s="58"/>
      <c r="H1319" s="33" t="str">
        <f t="shared" si="1"/>
        <v/>
      </c>
      <c r="I1319" s="58"/>
      <c r="J1319" s="58"/>
      <c r="K1319" s="58"/>
      <c r="L1319" s="38"/>
      <c r="M1319" s="58"/>
      <c r="N1319" s="58"/>
      <c r="O1319" s="58"/>
      <c r="P1319" s="80"/>
      <c r="Q1319" s="77"/>
      <c r="R1319" s="62"/>
      <c r="S1319" s="62"/>
      <c r="T1319" s="62"/>
      <c r="U1319" s="62"/>
      <c r="V1319" s="37" t="str">
        <f>IFERROR(__xludf.DUMMYFUNCTION("if(not(iserror(index(split(C1319, "" ""),2))), index(split(C1319, "" ""),1),"""")"),"")</f>
        <v/>
      </c>
      <c r="W1319" s="315" t="str">
        <f>IFERROR(__xludf.DUMMYFUNCTION("if(V1319="""",C1319,if(not(iserror(index(split(C1319, "" ""),3))), index(split(C1319, "" ""),3),index(split(C1319, "" ""),2)))"),"")</f>
        <v/>
      </c>
      <c r="X1319" s="38" t="b">
        <f t="shared" si="2"/>
        <v>0</v>
      </c>
      <c r="Y1319" s="38"/>
      <c r="Z1319" s="40"/>
      <c r="AA1319" s="40"/>
      <c r="AB1319" s="38"/>
      <c r="AC1319" s="38"/>
      <c r="AD1319" s="38"/>
      <c r="AE1319" s="38"/>
      <c r="AF1319" s="38"/>
      <c r="AG1319" s="38"/>
      <c r="AH1319" s="38"/>
      <c r="AI1319" s="38"/>
      <c r="AJ1319" s="38"/>
      <c r="AK1319" s="38"/>
      <c r="AL1319" s="38"/>
      <c r="AM1319" s="38"/>
      <c r="AN1319" s="38"/>
      <c r="AO1319" s="38"/>
      <c r="AP1319" s="38"/>
      <c r="AQ1319" s="38"/>
      <c r="AR1319" s="38"/>
      <c r="AS1319" s="38"/>
      <c r="AT1319" s="38"/>
      <c r="AU1319" s="38"/>
      <c r="AV1319" s="38"/>
      <c r="AW1319" s="38"/>
      <c r="AX1319" s="38"/>
      <c r="AY1319" s="38"/>
      <c r="AZ1319" s="38"/>
      <c r="BA1319" s="38"/>
      <c r="BB1319" s="38"/>
      <c r="BC1319" s="38"/>
      <c r="BD1319" s="38"/>
      <c r="BE1319" s="38"/>
      <c r="BF1319" s="38"/>
      <c r="BG1319" s="38"/>
    </row>
    <row r="1320">
      <c r="A1320" s="58"/>
      <c r="B1320" s="341"/>
      <c r="C1320" s="60"/>
      <c r="D1320" s="60"/>
      <c r="E1320" s="58"/>
      <c r="F1320" s="58"/>
      <c r="G1320" s="58"/>
      <c r="H1320" s="33" t="str">
        <f t="shared" si="1"/>
        <v/>
      </c>
      <c r="I1320" s="58"/>
      <c r="J1320" s="58"/>
      <c r="K1320" s="58"/>
      <c r="L1320" s="38"/>
      <c r="M1320" s="58"/>
      <c r="N1320" s="58"/>
      <c r="O1320" s="58"/>
      <c r="P1320" s="80"/>
      <c r="Q1320" s="77"/>
      <c r="R1320" s="58"/>
      <c r="S1320" s="58"/>
      <c r="T1320" s="84"/>
      <c r="U1320" s="62"/>
      <c r="V1320" s="37" t="str">
        <f>IFERROR(__xludf.DUMMYFUNCTION("if(not(iserror(index(split(C1320, "" ""),2))), index(split(C1320, "" ""),1),"""")"),"")</f>
        <v/>
      </c>
      <c r="W1320" s="315" t="str">
        <f>IFERROR(__xludf.DUMMYFUNCTION("if(V1320="""",C1320,if(not(iserror(index(split(C1320, "" ""),3))), index(split(C1320, "" ""),3),index(split(C1320, "" ""),2)))"),"")</f>
        <v/>
      </c>
      <c r="X1320" s="38" t="b">
        <f t="shared" si="2"/>
        <v>0</v>
      </c>
      <c r="Y1320" s="38"/>
      <c r="Z1320" s="40"/>
      <c r="AA1320" s="40"/>
      <c r="AB1320" s="38"/>
      <c r="AC1320" s="38"/>
      <c r="AD1320" s="38"/>
      <c r="AE1320" s="38"/>
      <c r="AF1320" s="38"/>
      <c r="AG1320" s="38"/>
      <c r="AH1320" s="38"/>
      <c r="AI1320" s="38"/>
      <c r="AJ1320" s="38"/>
      <c r="AK1320" s="38"/>
      <c r="AL1320" s="38"/>
      <c r="AM1320" s="38"/>
      <c r="AN1320" s="38"/>
      <c r="AO1320" s="38"/>
      <c r="AP1320" s="38"/>
      <c r="AQ1320" s="38"/>
      <c r="AR1320" s="38"/>
      <c r="AS1320" s="38"/>
      <c r="AT1320" s="38"/>
      <c r="AU1320" s="38"/>
      <c r="AV1320" s="38"/>
      <c r="AW1320" s="38"/>
      <c r="AX1320" s="38"/>
      <c r="AY1320" s="38"/>
      <c r="AZ1320" s="38"/>
      <c r="BA1320" s="38"/>
      <c r="BB1320" s="38"/>
      <c r="BC1320" s="38"/>
      <c r="BD1320" s="38"/>
      <c r="BE1320" s="38"/>
      <c r="BF1320" s="38"/>
      <c r="BG1320" s="38"/>
    </row>
    <row r="1321">
      <c r="A1321" s="58"/>
      <c r="B1321" s="341"/>
      <c r="C1321" s="60"/>
      <c r="D1321" s="60"/>
      <c r="E1321" s="58"/>
      <c r="F1321" s="58"/>
      <c r="G1321" s="58"/>
      <c r="H1321" s="33" t="str">
        <f t="shared" si="1"/>
        <v/>
      </c>
      <c r="I1321" s="58"/>
      <c r="J1321" s="58"/>
      <c r="K1321" s="58"/>
      <c r="L1321" s="38"/>
      <c r="M1321" s="58"/>
      <c r="N1321" s="58"/>
      <c r="O1321" s="58"/>
      <c r="P1321" s="80"/>
      <c r="Q1321" s="77"/>
      <c r="R1321" s="58"/>
      <c r="S1321" s="58"/>
      <c r="T1321" s="84"/>
      <c r="U1321" s="62"/>
      <c r="V1321" s="37" t="str">
        <f>IFERROR(__xludf.DUMMYFUNCTION("if(not(iserror(index(split(C1321, "" ""),2))), index(split(C1321, "" ""),1),"""")"),"")</f>
        <v/>
      </c>
      <c r="W1321" s="315" t="str">
        <f>IFERROR(__xludf.DUMMYFUNCTION("if(V1321="""",C1321,if(not(iserror(index(split(C1321, "" ""),3))), index(split(C1321, "" ""),3),index(split(C1321, "" ""),2)))"),"")</f>
        <v/>
      </c>
      <c r="X1321" s="38" t="b">
        <f t="shared" si="2"/>
        <v>0</v>
      </c>
      <c r="Y1321" s="38"/>
      <c r="Z1321" s="40"/>
      <c r="AA1321" s="40"/>
      <c r="AB1321" s="38"/>
      <c r="AC1321" s="38"/>
      <c r="AD1321" s="38"/>
      <c r="AE1321" s="38"/>
      <c r="AF1321" s="38"/>
      <c r="AG1321" s="38"/>
      <c r="AH1321" s="38"/>
      <c r="AI1321" s="38"/>
      <c r="AJ1321" s="38"/>
      <c r="AK1321" s="38"/>
      <c r="AL1321" s="38"/>
      <c r="AM1321" s="38"/>
      <c r="AN1321" s="38"/>
      <c r="AO1321" s="38"/>
      <c r="AP1321" s="38"/>
      <c r="AQ1321" s="38"/>
      <c r="AR1321" s="38"/>
      <c r="AS1321" s="38"/>
      <c r="AT1321" s="38"/>
      <c r="AU1321" s="38"/>
      <c r="AV1321" s="38"/>
      <c r="AW1321" s="38"/>
      <c r="AX1321" s="38"/>
      <c r="AY1321" s="38"/>
      <c r="AZ1321" s="38"/>
      <c r="BA1321" s="38"/>
      <c r="BB1321" s="38"/>
      <c r="BC1321" s="38"/>
      <c r="BD1321" s="38"/>
      <c r="BE1321" s="38"/>
      <c r="BF1321" s="38"/>
      <c r="BG1321" s="38"/>
    </row>
    <row r="1322">
      <c r="A1322" s="395"/>
      <c r="B1322" s="341"/>
      <c r="C1322" s="60"/>
      <c r="D1322" s="60"/>
      <c r="E1322" s="58"/>
      <c r="F1322" s="58"/>
      <c r="G1322" s="58"/>
      <c r="H1322" s="33" t="str">
        <f t="shared" si="1"/>
        <v/>
      </c>
      <c r="I1322" s="58"/>
      <c r="J1322" s="58"/>
      <c r="K1322" s="58"/>
      <c r="L1322" s="38"/>
      <c r="M1322" s="58"/>
      <c r="N1322" s="58"/>
      <c r="O1322" s="58"/>
      <c r="P1322" s="80"/>
      <c r="Q1322" s="80"/>
      <c r="R1322" s="58"/>
      <c r="S1322" s="58"/>
      <c r="T1322" s="84"/>
      <c r="U1322" s="62"/>
      <c r="V1322" s="37" t="str">
        <f>IFERROR(__xludf.DUMMYFUNCTION("if(not(iserror(index(split(C1322, "" ""),2))), index(split(C1322, "" ""),1),"""")"),"")</f>
        <v/>
      </c>
      <c r="W1322" s="315" t="str">
        <f>IFERROR(__xludf.DUMMYFUNCTION("if(V1322="""",C1322,if(not(iserror(index(split(C1322, "" ""),3))), index(split(C1322, "" ""),3),index(split(C1322, "" ""),2)))"),"")</f>
        <v/>
      </c>
      <c r="X1322" s="38" t="b">
        <f t="shared" si="2"/>
        <v>0</v>
      </c>
      <c r="Y1322" s="38"/>
      <c r="Z1322" s="40"/>
      <c r="AA1322" s="40"/>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row>
    <row r="1323">
      <c r="A1323" s="58"/>
      <c r="B1323" s="341"/>
      <c r="C1323" s="60"/>
      <c r="D1323" s="60"/>
      <c r="E1323" s="58"/>
      <c r="F1323" s="58"/>
      <c r="G1323" s="58"/>
      <c r="H1323" s="33" t="str">
        <f t="shared" si="1"/>
        <v/>
      </c>
      <c r="I1323" s="58"/>
      <c r="J1323" s="58"/>
      <c r="K1323" s="58"/>
      <c r="L1323" s="38"/>
      <c r="M1323" s="58"/>
      <c r="N1323" s="58"/>
      <c r="O1323" s="58"/>
      <c r="P1323" s="80"/>
      <c r="Q1323" s="80"/>
      <c r="R1323" s="58"/>
      <c r="S1323" s="58"/>
      <c r="T1323" s="58"/>
      <c r="U1323" s="62"/>
      <c r="V1323" s="37" t="str">
        <f>IFERROR(__xludf.DUMMYFUNCTION("if(not(iserror(index(split(C1323, "" ""),2))), index(split(C1323, "" ""),1),"""")"),"")</f>
        <v/>
      </c>
      <c r="W1323" s="315" t="str">
        <f>IFERROR(__xludf.DUMMYFUNCTION("if(V1323="""",C1323,if(not(iserror(index(split(C1323, "" ""),3))), index(split(C1323, "" ""),3),index(split(C1323, "" ""),2)))"),"")</f>
        <v/>
      </c>
      <c r="X1323" s="38" t="b">
        <f t="shared" si="2"/>
        <v>0</v>
      </c>
      <c r="Y1323" s="38"/>
      <c r="Z1323" s="40"/>
      <c r="AA1323" s="40"/>
      <c r="AB1323" s="38"/>
      <c r="AC1323" s="38"/>
      <c r="AD1323" s="38"/>
      <c r="AE1323" s="38"/>
      <c r="AF1323" s="38"/>
      <c r="AG1323" s="38"/>
      <c r="AH1323" s="38"/>
      <c r="AI1323" s="38"/>
      <c r="AJ1323" s="38"/>
      <c r="AK1323" s="38"/>
      <c r="AL1323" s="38"/>
      <c r="AM1323" s="38"/>
      <c r="AN1323" s="38"/>
      <c r="AO1323" s="38"/>
      <c r="AP1323" s="38"/>
      <c r="AQ1323" s="38"/>
      <c r="AR1323" s="38"/>
      <c r="AS1323" s="38"/>
      <c r="AT1323" s="38"/>
      <c r="AU1323" s="38"/>
      <c r="AV1323" s="38"/>
      <c r="AW1323" s="38"/>
      <c r="AX1323" s="38"/>
      <c r="AY1323" s="38"/>
      <c r="AZ1323" s="38"/>
      <c r="BA1323" s="38"/>
      <c r="BB1323" s="38"/>
      <c r="BC1323" s="38"/>
      <c r="BD1323" s="38"/>
      <c r="BE1323" s="38"/>
      <c r="BF1323" s="38"/>
      <c r="BG1323" s="38"/>
    </row>
    <row r="1324">
      <c r="A1324" s="58"/>
      <c r="B1324" s="341"/>
      <c r="C1324" s="60"/>
      <c r="D1324" s="60"/>
      <c r="E1324" s="58"/>
      <c r="F1324" s="58"/>
      <c r="G1324" s="58"/>
      <c r="H1324" s="33" t="str">
        <f t="shared" si="1"/>
        <v/>
      </c>
      <c r="I1324" s="58"/>
      <c r="J1324" s="58"/>
      <c r="K1324" s="58"/>
      <c r="L1324" s="38"/>
      <c r="M1324" s="58"/>
      <c r="N1324" s="58"/>
      <c r="O1324" s="58"/>
      <c r="P1324" s="80"/>
      <c r="Q1324" s="80"/>
      <c r="R1324" s="62"/>
      <c r="S1324" s="62"/>
      <c r="T1324" s="62"/>
      <c r="U1324" s="62"/>
      <c r="V1324" s="37" t="str">
        <f>IFERROR(__xludf.DUMMYFUNCTION("if(not(iserror(index(split(C1324, "" ""),2))), index(split(C1324, "" ""),1),"""")"),"")</f>
        <v/>
      </c>
      <c r="W1324" s="315" t="str">
        <f>IFERROR(__xludf.DUMMYFUNCTION("if(V1324="""",C1324,if(not(iserror(index(split(C1324, "" ""),3))), index(split(C1324, "" ""),3),index(split(C1324, "" ""),2)))"),"")</f>
        <v/>
      </c>
      <c r="X1324" s="38" t="b">
        <f t="shared" si="2"/>
        <v>0</v>
      </c>
      <c r="Y1324" s="38"/>
      <c r="Z1324" s="40"/>
      <c r="AA1324" s="40"/>
      <c r="AB1324" s="38"/>
      <c r="AC1324" s="38"/>
      <c r="AD1324" s="38"/>
      <c r="AE1324" s="38"/>
      <c r="AF1324" s="38"/>
      <c r="AG1324" s="38"/>
      <c r="AH1324" s="38"/>
      <c r="AI1324" s="38"/>
      <c r="AJ1324" s="38"/>
      <c r="AK1324" s="38"/>
      <c r="AL1324" s="38"/>
      <c r="AM1324" s="38"/>
      <c r="AN1324" s="38"/>
      <c r="AO1324" s="38"/>
      <c r="AP1324" s="38"/>
      <c r="AQ1324" s="38"/>
      <c r="AR1324" s="38"/>
      <c r="AS1324" s="38"/>
      <c r="AT1324" s="38"/>
      <c r="AU1324" s="38"/>
      <c r="AV1324" s="38"/>
      <c r="AW1324" s="38"/>
      <c r="AX1324" s="38"/>
      <c r="AY1324" s="38"/>
      <c r="AZ1324" s="38"/>
      <c r="BA1324" s="38"/>
      <c r="BB1324" s="38"/>
      <c r="BC1324" s="38"/>
      <c r="BD1324" s="38"/>
      <c r="BE1324" s="38"/>
      <c r="BF1324" s="38"/>
      <c r="BG1324" s="38"/>
    </row>
    <row r="1325">
      <c r="A1325" s="58"/>
      <c r="B1325" s="341"/>
      <c r="C1325" s="60"/>
      <c r="D1325" s="60"/>
      <c r="E1325" s="58"/>
      <c r="F1325" s="58"/>
      <c r="G1325" s="58"/>
      <c r="H1325" s="33" t="str">
        <f t="shared" si="1"/>
        <v/>
      </c>
      <c r="I1325" s="58"/>
      <c r="J1325" s="58"/>
      <c r="K1325" s="58"/>
      <c r="L1325" s="38"/>
      <c r="M1325" s="58"/>
      <c r="N1325" s="58"/>
      <c r="O1325" s="58"/>
      <c r="P1325" s="80"/>
      <c r="Q1325" s="80"/>
      <c r="R1325" s="62"/>
      <c r="S1325" s="62"/>
      <c r="T1325" s="62"/>
      <c r="U1325" s="62"/>
      <c r="V1325" s="37" t="str">
        <f>IFERROR(__xludf.DUMMYFUNCTION("if(not(iserror(index(split(C1325, "" ""),2))), index(split(C1325, "" ""),1),"""")"),"")</f>
        <v/>
      </c>
      <c r="W1325" s="315" t="str">
        <f>IFERROR(__xludf.DUMMYFUNCTION("if(V1325="""",C1325,if(not(iserror(index(split(C1325, "" ""),3))), index(split(C1325, "" ""),3),index(split(C1325, "" ""),2)))"),"")</f>
        <v/>
      </c>
      <c r="X1325" s="38" t="b">
        <f t="shared" si="2"/>
        <v>0</v>
      </c>
      <c r="Y1325" s="38"/>
      <c r="Z1325" s="40"/>
      <c r="AA1325" s="40"/>
      <c r="AB1325" s="38"/>
      <c r="AC1325" s="38"/>
      <c r="AD1325" s="38"/>
      <c r="AE1325" s="38"/>
      <c r="AF1325" s="38"/>
      <c r="AG1325" s="38"/>
      <c r="AH1325" s="38"/>
      <c r="AI1325" s="38"/>
      <c r="AJ1325" s="38"/>
      <c r="AK1325" s="38"/>
      <c r="AL1325" s="38"/>
      <c r="AM1325" s="38"/>
      <c r="AN1325" s="38"/>
      <c r="AO1325" s="38"/>
      <c r="AP1325" s="38"/>
      <c r="AQ1325" s="38"/>
      <c r="AR1325" s="38"/>
      <c r="AS1325" s="38"/>
      <c r="AT1325" s="38"/>
      <c r="AU1325" s="38"/>
      <c r="AV1325" s="38"/>
      <c r="AW1325" s="38"/>
      <c r="AX1325" s="38"/>
      <c r="AY1325" s="38"/>
      <c r="AZ1325" s="38"/>
      <c r="BA1325" s="38"/>
      <c r="BB1325" s="38"/>
      <c r="BC1325" s="38"/>
      <c r="BD1325" s="38"/>
      <c r="BE1325" s="38"/>
      <c r="BF1325" s="38"/>
      <c r="BG1325" s="38"/>
    </row>
    <row r="1326">
      <c r="A1326" s="58"/>
      <c r="B1326" s="341"/>
      <c r="C1326" s="60"/>
      <c r="D1326" s="60"/>
      <c r="E1326" s="58"/>
      <c r="F1326" s="58"/>
      <c r="G1326" s="58"/>
      <c r="H1326" s="33" t="str">
        <f t="shared" si="1"/>
        <v/>
      </c>
      <c r="I1326" s="58"/>
      <c r="J1326" s="58"/>
      <c r="K1326" s="58"/>
      <c r="L1326" s="38"/>
      <c r="M1326" s="58"/>
      <c r="N1326" s="58"/>
      <c r="O1326" s="58"/>
      <c r="P1326" s="80"/>
      <c r="Q1326" s="80"/>
      <c r="R1326" s="58"/>
      <c r="S1326" s="58"/>
      <c r="T1326" s="84"/>
      <c r="U1326" s="62"/>
      <c r="V1326" s="37" t="str">
        <f>IFERROR(__xludf.DUMMYFUNCTION("if(not(iserror(index(split(C1326, "" ""),2))), index(split(C1326, "" ""),1),"""")"),"")</f>
        <v/>
      </c>
      <c r="W1326" s="315" t="str">
        <f>IFERROR(__xludf.DUMMYFUNCTION("if(V1326="""",C1326,if(not(iserror(index(split(C1326, "" ""),3))), index(split(C1326, "" ""),3),index(split(C1326, "" ""),2)))"),"")</f>
        <v/>
      </c>
      <c r="X1326" s="38" t="b">
        <f t="shared" si="2"/>
        <v>0</v>
      </c>
      <c r="Y1326" s="38"/>
      <c r="Z1326" s="40"/>
      <c r="AA1326" s="40"/>
      <c r="AB1326" s="38"/>
      <c r="AC1326" s="38"/>
      <c r="AD1326" s="38"/>
      <c r="AE1326" s="38"/>
      <c r="AF1326" s="38"/>
      <c r="AG1326" s="38"/>
      <c r="AH1326" s="38"/>
      <c r="AI1326" s="38"/>
      <c r="AJ1326" s="38"/>
      <c r="AK1326" s="38"/>
      <c r="AL1326" s="38"/>
      <c r="AM1326" s="38"/>
      <c r="AN1326" s="38"/>
      <c r="AO1326" s="38"/>
      <c r="AP1326" s="38"/>
      <c r="AQ1326" s="38"/>
      <c r="AR1326" s="38"/>
      <c r="AS1326" s="38"/>
      <c r="AT1326" s="38"/>
      <c r="AU1326" s="38"/>
      <c r="AV1326" s="38"/>
      <c r="AW1326" s="38"/>
      <c r="AX1326" s="38"/>
      <c r="AY1326" s="38"/>
      <c r="AZ1326" s="38"/>
      <c r="BA1326" s="38"/>
      <c r="BB1326" s="38"/>
      <c r="BC1326" s="38"/>
      <c r="BD1326" s="38"/>
      <c r="BE1326" s="38"/>
      <c r="BF1326" s="38"/>
      <c r="BG1326" s="38"/>
    </row>
    <row r="1327">
      <c r="A1327" s="91"/>
      <c r="B1327" s="383"/>
      <c r="C1327" s="146"/>
      <c r="D1327" s="146"/>
      <c r="E1327" s="91"/>
      <c r="F1327" s="91"/>
      <c r="G1327" s="91"/>
      <c r="H1327" s="33" t="str">
        <f t="shared" si="1"/>
        <v/>
      </c>
      <c r="I1327" s="91"/>
      <c r="J1327" s="91"/>
      <c r="K1327" s="91"/>
      <c r="L1327" s="38"/>
      <c r="M1327" s="91"/>
      <c r="N1327" s="91"/>
      <c r="O1327" s="91"/>
      <c r="P1327" s="95"/>
      <c r="Q1327" s="95"/>
      <c r="R1327" s="58"/>
      <c r="S1327" s="58"/>
      <c r="T1327" s="84"/>
      <c r="U1327" s="62"/>
      <c r="V1327" s="37" t="str">
        <f>IFERROR(__xludf.DUMMYFUNCTION("if(not(iserror(index(split(C1327, "" ""),2))), index(split(C1327, "" ""),1),"""")"),"")</f>
        <v/>
      </c>
      <c r="W1327" s="315" t="str">
        <f>IFERROR(__xludf.DUMMYFUNCTION("if(V1327="""",C1327,if(not(iserror(index(split(C1327, "" ""),3))), index(split(C1327, "" ""),3),index(split(C1327, "" ""),2)))"),"")</f>
        <v/>
      </c>
      <c r="X1327" s="38" t="b">
        <f t="shared" si="2"/>
        <v>0</v>
      </c>
      <c r="Y1327" s="38"/>
      <c r="Z1327" s="40"/>
      <c r="AA1327" s="40"/>
      <c r="AB1327" s="38"/>
      <c r="AC1327" s="38"/>
      <c r="AD1327" s="38"/>
      <c r="AE1327" s="38"/>
      <c r="AF1327" s="38"/>
      <c r="AG1327" s="38"/>
      <c r="AH1327" s="38"/>
      <c r="AI1327" s="38"/>
      <c r="AJ1327" s="38"/>
      <c r="AK1327" s="38"/>
      <c r="AL1327" s="38"/>
      <c r="AM1327" s="38"/>
      <c r="AN1327" s="38"/>
      <c r="AO1327" s="38"/>
      <c r="AP1327" s="38"/>
      <c r="AQ1327" s="38"/>
      <c r="AR1327" s="38"/>
      <c r="AS1327" s="38"/>
      <c r="AT1327" s="38"/>
      <c r="AU1327" s="38"/>
      <c r="AV1327" s="38"/>
      <c r="AW1327" s="38"/>
      <c r="AX1327" s="38"/>
      <c r="AY1327" s="38"/>
      <c r="AZ1327" s="38"/>
      <c r="BA1327" s="38"/>
      <c r="BB1327" s="38"/>
      <c r="BC1327" s="38"/>
      <c r="BD1327" s="38"/>
      <c r="BE1327" s="38"/>
      <c r="BF1327" s="38"/>
      <c r="BG1327" s="38"/>
    </row>
    <row r="1328">
      <c r="A1328" s="58"/>
      <c r="B1328" s="341"/>
      <c r="C1328" s="60"/>
      <c r="D1328" s="60"/>
      <c r="E1328" s="58"/>
      <c r="F1328" s="58"/>
      <c r="G1328" s="58"/>
      <c r="H1328" s="33" t="str">
        <f t="shared" si="1"/>
        <v/>
      </c>
      <c r="I1328" s="58"/>
      <c r="J1328" s="58"/>
      <c r="K1328" s="58"/>
      <c r="L1328" s="38"/>
      <c r="M1328" s="58"/>
      <c r="N1328" s="58"/>
      <c r="O1328" s="58"/>
      <c r="P1328" s="80"/>
      <c r="Q1328" s="77"/>
      <c r="R1328" s="62"/>
      <c r="S1328" s="62"/>
      <c r="T1328" s="62"/>
      <c r="U1328" s="62"/>
      <c r="V1328" s="37" t="str">
        <f>IFERROR(__xludf.DUMMYFUNCTION("if(not(iserror(index(split(C1328, "" ""),2))), index(split(C1328, "" ""),1),"""")"),"")</f>
        <v/>
      </c>
      <c r="W1328" s="315" t="str">
        <f>IFERROR(__xludf.DUMMYFUNCTION("if(V1328="""",C1328,if(not(iserror(index(split(C1328, "" ""),3))), index(split(C1328, "" ""),3),index(split(C1328, "" ""),2)))"),"")</f>
        <v/>
      </c>
      <c r="X1328" s="38" t="b">
        <f t="shared" si="2"/>
        <v>0</v>
      </c>
      <c r="Y1328" s="38"/>
      <c r="Z1328" s="40"/>
      <c r="AA1328" s="40"/>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row>
    <row r="1329">
      <c r="A1329" s="58"/>
      <c r="B1329" s="341"/>
      <c r="C1329" s="60"/>
      <c r="D1329" s="60"/>
      <c r="E1329" s="58"/>
      <c r="F1329" s="58"/>
      <c r="G1329" s="58"/>
      <c r="H1329" s="33" t="str">
        <f t="shared" si="1"/>
        <v/>
      </c>
      <c r="I1329" s="58"/>
      <c r="J1329" s="58"/>
      <c r="K1329" s="58"/>
      <c r="L1329" s="38"/>
      <c r="M1329" s="58"/>
      <c r="N1329" s="58"/>
      <c r="O1329" s="58"/>
      <c r="P1329" s="80"/>
      <c r="Q1329" s="77"/>
      <c r="R1329" s="58"/>
      <c r="S1329" s="62"/>
      <c r="T1329" s="84"/>
      <c r="U1329" s="62"/>
      <c r="V1329" s="37" t="str">
        <f>IFERROR(__xludf.DUMMYFUNCTION("if(not(iserror(index(split(C1329, "" ""),2))), index(split(C1329, "" ""),1),"""")"),"")</f>
        <v/>
      </c>
      <c r="W1329" s="315" t="str">
        <f>IFERROR(__xludf.DUMMYFUNCTION("if(V1329="""",C1329,if(not(iserror(index(split(C1329, "" ""),3))), index(split(C1329, "" ""),3),index(split(C1329, "" ""),2)))"),"")</f>
        <v/>
      </c>
      <c r="X1329" s="38" t="b">
        <f t="shared" si="2"/>
        <v>0</v>
      </c>
      <c r="Y1329" s="38"/>
      <c r="Z1329" s="40"/>
      <c r="AA1329" s="40"/>
      <c r="AB1329" s="38"/>
      <c r="AC1329" s="38"/>
      <c r="AD1329" s="38"/>
      <c r="AE1329" s="38"/>
      <c r="AF1329" s="38"/>
      <c r="AG1329" s="38"/>
      <c r="AH1329" s="38"/>
      <c r="AI1329" s="38"/>
      <c r="AJ1329" s="38"/>
      <c r="AK1329" s="38"/>
      <c r="AL1329" s="38"/>
      <c r="AM1329" s="38"/>
      <c r="AN1329" s="38"/>
      <c r="AO1329" s="38"/>
      <c r="AP1329" s="38"/>
      <c r="AQ1329" s="38"/>
      <c r="AR1329" s="38"/>
      <c r="AS1329" s="38"/>
      <c r="AT1329" s="38"/>
      <c r="AU1329" s="38"/>
      <c r="AV1329" s="38"/>
      <c r="AW1329" s="38"/>
      <c r="AX1329" s="38"/>
      <c r="AY1329" s="38"/>
      <c r="AZ1329" s="38"/>
      <c r="BA1329" s="38"/>
      <c r="BB1329" s="38"/>
      <c r="BC1329" s="38"/>
      <c r="BD1329" s="38"/>
      <c r="BE1329" s="38"/>
      <c r="BF1329" s="38"/>
      <c r="BG1329" s="38"/>
    </row>
    <row r="1330">
      <c r="A1330" s="58"/>
      <c r="B1330" s="341"/>
      <c r="C1330" s="60"/>
      <c r="D1330" s="60"/>
      <c r="E1330" s="58"/>
      <c r="F1330" s="58"/>
      <c r="G1330" s="58"/>
      <c r="H1330" s="33" t="str">
        <f t="shared" si="1"/>
        <v/>
      </c>
      <c r="I1330" s="58"/>
      <c r="J1330" s="58"/>
      <c r="K1330" s="58"/>
      <c r="L1330" s="38"/>
      <c r="M1330" s="58"/>
      <c r="N1330" s="58"/>
      <c r="O1330" s="58"/>
      <c r="P1330" s="80"/>
      <c r="Q1330" s="77"/>
      <c r="R1330" s="58"/>
      <c r="S1330" s="62"/>
      <c r="T1330" s="84"/>
      <c r="U1330" s="62"/>
      <c r="V1330" s="37" t="str">
        <f>IFERROR(__xludf.DUMMYFUNCTION("if(not(iserror(index(split(C1330, "" ""),2))), index(split(C1330, "" ""),1),"""")"),"")</f>
        <v/>
      </c>
      <c r="W1330" s="315" t="str">
        <f>IFERROR(__xludf.DUMMYFUNCTION("if(V1330="""",C1330,if(not(iserror(index(split(C1330, "" ""),3))), index(split(C1330, "" ""),3),index(split(C1330, "" ""),2)))"),"")</f>
        <v/>
      </c>
      <c r="X1330" s="38" t="b">
        <f t="shared" si="2"/>
        <v>0</v>
      </c>
      <c r="Y1330" s="38"/>
      <c r="Z1330" s="40"/>
      <c r="AA1330" s="40"/>
      <c r="AB1330" s="38"/>
      <c r="AC1330" s="38"/>
      <c r="AD1330" s="38"/>
      <c r="AE1330" s="38"/>
      <c r="AF1330" s="38"/>
      <c r="AG1330" s="38"/>
      <c r="AH1330" s="38"/>
      <c r="AI1330" s="38"/>
      <c r="AJ1330" s="38"/>
      <c r="AK1330" s="38"/>
      <c r="AL1330" s="38"/>
      <c r="AM1330" s="38"/>
      <c r="AN1330" s="38"/>
      <c r="AO1330" s="38"/>
      <c r="AP1330" s="38"/>
      <c r="AQ1330" s="38"/>
      <c r="AR1330" s="38"/>
      <c r="AS1330" s="38"/>
      <c r="AT1330" s="38"/>
      <c r="AU1330" s="38"/>
      <c r="AV1330" s="38"/>
      <c r="AW1330" s="38"/>
      <c r="AX1330" s="38"/>
      <c r="AY1330" s="38"/>
      <c r="AZ1330" s="38"/>
      <c r="BA1330" s="38"/>
      <c r="BB1330" s="38"/>
      <c r="BC1330" s="38"/>
      <c r="BD1330" s="38"/>
      <c r="BE1330" s="38"/>
      <c r="BF1330" s="38"/>
      <c r="BG1330" s="38"/>
    </row>
    <row r="1331">
      <c r="A1331" s="58"/>
      <c r="B1331" s="341"/>
      <c r="C1331" s="60"/>
      <c r="D1331" s="60"/>
      <c r="E1331" s="58"/>
      <c r="F1331" s="58"/>
      <c r="G1331" s="58"/>
      <c r="H1331" s="33" t="str">
        <f t="shared" si="1"/>
        <v/>
      </c>
      <c r="I1331" s="58"/>
      <c r="J1331" s="58"/>
      <c r="K1331" s="58"/>
      <c r="L1331" s="38"/>
      <c r="M1331" s="58"/>
      <c r="N1331" s="58"/>
      <c r="O1331" s="58"/>
      <c r="P1331" s="80"/>
      <c r="Q1331" s="77"/>
      <c r="R1331" s="58"/>
      <c r="S1331" s="62"/>
      <c r="T1331" s="84"/>
      <c r="U1331" s="62"/>
      <c r="V1331" s="37" t="str">
        <f>IFERROR(__xludf.DUMMYFUNCTION("if(not(iserror(index(split(C1331, "" ""),2))), index(split(C1331, "" ""),1),"""")"),"")</f>
        <v/>
      </c>
      <c r="W1331" s="315" t="str">
        <f>IFERROR(__xludf.DUMMYFUNCTION("if(V1331="""",C1331,if(not(iserror(index(split(C1331, "" ""),3))), index(split(C1331, "" ""),3),index(split(C1331, "" ""),2)))"),"")</f>
        <v/>
      </c>
      <c r="X1331" s="38" t="b">
        <f t="shared" si="2"/>
        <v>0</v>
      </c>
      <c r="Y1331" s="38"/>
      <c r="Z1331" s="40"/>
      <c r="AA1331" s="40"/>
      <c r="AB1331" s="38"/>
      <c r="AC1331" s="38"/>
      <c r="AD1331" s="38"/>
      <c r="AE1331" s="38"/>
      <c r="AF1331" s="38"/>
      <c r="AG1331" s="38"/>
      <c r="AH1331" s="38"/>
      <c r="AI1331" s="38"/>
      <c r="AJ1331" s="38"/>
      <c r="AK1331" s="38"/>
      <c r="AL1331" s="38"/>
      <c r="AM1331" s="38"/>
      <c r="AN1331" s="38"/>
      <c r="AO1331" s="38"/>
      <c r="AP1331" s="38"/>
      <c r="AQ1331" s="38"/>
      <c r="AR1331" s="38"/>
      <c r="AS1331" s="38"/>
      <c r="AT1331" s="38"/>
      <c r="AU1331" s="38"/>
      <c r="AV1331" s="38"/>
      <c r="AW1331" s="38"/>
      <c r="AX1331" s="38"/>
      <c r="AY1331" s="38"/>
      <c r="AZ1331" s="38"/>
      <c r="BA1331" s="38"/>
      <c r="BB1331" s="38"/>
      <c r="BC1331" s="38"/>
      <c r="BD1331" s="38"/>
      <c r="BE1331" s="38"/>
      <c r="BF1331" s="38"/>
      <c r="BG1331" s="38"/>
    </row>
    <row r="1332">
      <c r="A1332" s="58"/>
      <c r="B1332" s="341"/>
      <c r="C1332" s="60"/>
      <c r="D1332" s="60"/>
      <c r="E1332" s="58"/>
      <c r="F1332" s="58"/>
      <c r="G1332" s="58"/>
      <c r="H1332" s="33" t="str">
        <f t="shared" si="1"/>
        <v/>
      </c>
      <c r="I1332" s="58"/>
      <c r="J1332" s="58"/>
      <c r="K1332" s="58"/>
      <c r="L1332" s="38"/>
      <c r="M1332" s="58"/>
      <c r="N1332" s="58"/>
      <c r="O1332" s="58"/>
      <c r="P1332" s="80"/>
      <c r="Q1332" s="80"/>
      <c r="R1332" s="62"/>
      <c r="S1332" s="62"/>
      <c r="T1332" s="62"/>
      <c r="U1332" s="62"/>
      <c r="V1332" s="37" t="str">
        <f>IFERROR(__xludf.DUMMYFUNCTION("if(not(iserror(index(split(C1332, "" ""),2))), index(split(C1332, "" ""),1),"""")"),"")</f>
        <v/>
      </c>
      <c r="W1332" s="315" t="str">
        <f>IFERROR(__xludf.DUMMYFUNCTION("if(V1332="""",C1332,if(not(iserror(index(split(C1332, "" ""),3))), index(split(C1332, "" ""),3),index(split(C1332, "" ""),2)))"),"")</f>
        <v/>
      </c>
      <c r="X1332" s="38" t="b">
        <f t="shared" si="2"/>
        <v>0</v>
      </c>
      <c r="Y1332" s="38"/>
      <c r="Z1332" s="40"/>
      <c r="AA1332" s="40"/>
      <c r="AB1332" s="38"/>
      <c r="AC1332" s="38"/>
      <c r="AD1332" s="38"/>
      <c r="AE1332" s="38"/>
      <c r="AF1332" s="38"/>
      <c r="AG1332" s="38"/>
      <c r="AH1332" s="38"/>
      <c r="AI1332" s="38"/>
      <c r="AJ1332" s="38"/>
      <c r="AK1332" s="38"/>
      <c r="AL1332" s="38"/>
      <c r="AM1332" s="38"/>
      <c r="AN1332" s="38"/>
      <c r="AO1332" s="38"/>
      <c r="AP1332" s="38"/>
      <c r="AQ1332" s="38"/>
      <c r="AR1332" s="38"/>
      <c r="AS1332" s="38"/>
      <c r="AT1332" s="38"/>
      <c r="AU1332" s="38"/>
      <c r="AV1332" s="38"/>
      <c r="AW1332" s="38"/>
      <c r="AX1332" s="38"/>
      <c r="AY1332" s="38"/>
      <c r="AZ1332" s="38"/>
      <c r="BA1332" s="38"/>
      <c r="BB1332" s="38"/>
      <c r="BC1332" s="38"/>
      <c r="BD1332" s="38"/>
      <c r="BE1332" s="38"/>
      <c r="BF1332" s="38"/>
      <c r="BG1332" s="38"/>
    </row>
    <row r="1333">
      <c r="A1333" s="58"/>
      <c r="B1333" s="341"/>
      <c r="C1333" s="60"/>
      <c r="D1333" s="60"/>
      <c r="E1333" s="58"/>
      <c r="F1333" s="58"/>
      <c r="G1333" s="58"/>
      <c r="H1333" s="33" t="str">
        <f t="shared" si="1"/>
        <v/>
      </c>
      <c r="I1333" s="58"/>
      <c r="J1333" s="58"/>
      <c r="K1333" s="58"/>
      <c r="L1333" s="38"/>
      <c r="M1333" s="58"/>
      <c r="N1333" s="58"/>
      <c r="O1333" s="58"/>
      <c r="P1333" s="80"/>
      <c r="Q1333" s="80"/>
      <c r="R1333" s="62"/>
      <c r="S1333" s="62"/>
      <c r="T1333" s="62"/>
      <c r="U1333" s="62"/>
      <c r="V1333" s="37" t="str">
        <f>IFERROR(__xludf.DUMMYFUNCTION("if(not(iserror(index(split(C1333, "" ""),2))), index(split(C1333, "" ""),1),"""")"),"")</f>
        <v/>
      </c>
      <c r="W1333" s="315" t="str">
        <f>IFERROR(__xludf.DUMMYFUNCTION("if(V1333="""",C1333,if(not(iserror(index(split(C1333, "" ""),3))), index(split(C1333, "" ""),3),index(split(C1333, "" ""),2)))"),"")</f>
        <v/>
      </c>
      <c r="X1333" s="38" t="b">
        <f t="shared" si="2"/>
        <v>0</v>
      </c>
      <c r="Y1333" s="38"/>
      <c r="Z1333" s="40"/>
      <c r="AA1333" s="40"/>
      <c r="AB1333" s="38"/>
      <c r="AC1333" s="38"/>
      <c r="AD1333" s="38"/>
      <c r="AE1333" s="38"/>
      <c r="AF1333" s="38"/>
      <c r="AG1333" s="38"/>
      <c r="AH1333" s="38"/>
      <c r="AI1333" s="38"/>
      <c r="AJ1333" s="38"/>
      <c r="AK1333" s="38"/>
      <c r="AL1333" s="38"/>
      <c r="AM1333" s="38"/>
      <c r="AN1333" s="38"/>
      <c r="AO1333" s="38"/>
      <c r="AP1333" s="38"/>
      <c r="AQ1333" s="38"/>
      <c r="AR1333" s="38"/>
      <c r="AS1333" s="38"/>
      <c r="AT1333" s="38"/>
      <c r="AU1333" s="38"/>
      <c r="AV1333" s="38"/>
      <c r="AW1333" s="38"/>
      <c r="AX1333" s="38"/>
      <c r="AY1333" s="38"/>
      <c r="AZ1333" s="38"/>
      <c r="BA1333" s="38"/>
      <c r="BB1333" s="38"/>
      <c r="BC1333" s="38"/>
      <c r="BD1333" s="38"/>
      <c r="BE1333" s="38"/>
      <c r="BF1333" s="38"/>
      <c r="BG1333" s="38"/>
    </row>
    <row r="1334">
      <c r="A1334" s="58"/>
      <c r="B1334" s="341"/>
      <c r="C1334" s="60"/>
      <c r="D1334" s="60"/>
      <c r="E1334" s="58"/>
      <c r="F1334" s="58"/>
      <c r="G1334" s="58"/>
      <c r="H1334" s="33" t="str">
        <f t="shared" si="1"/>
        <v/>
      </c>
      <c r="I1334" s="58"/>
      <c r="J1334" s="58"/>
      <c r="K1334" s="58"/>
      <c r="L1334" s="38"/>
      <c r="M1334" s="58"/>
      <c r="N1334" s="58"/>
      <c r="O1334" s="58"/>
      <c r="P1334" s="80"/>
      <c r="Q1334" s="80"/>
      <c r="R1334" s="62"/>
      <c r="S1334" s="62"/>
      <c r="T1334" s="62"/>
      <c r="U1334" s="62"/>
      <c r="V1334" s="37" t="str">
        <f>IFERROR(__xludf.DUMMYFUNCTION("if(not(iserror(index(split(C1334, "" ""),2))), index(split(C1334, "" ""),1),"""")"),"")</f>
        <v/>
      </c>
      <c r="W1334" s="315" t="str">
        <f>IFERROR(__xludf.DUMMYFUNCTION("if(V1334="""",C1334,if(not(iserror(index(split(C1334, "" ""),3))), index(split(C1334, "" ""),3),index(split(C1334, "" ""),2)))"),"")</f>
        <v/>
      </c>
      <c r="X1334" s="38" t="b">
        <f t="shared" si="2"/>
        <v>0</v>
      </c>
      <c r="Y1334" s="38"/>
      <c r="Z1334" s="40"/>
      <c r="AA1334" s="40"/>
      <c r="AB1334" s="38"/>
      <c r="AC1334" s="38"/>
      <c r="AD1334" s="38"/>
      <c r="AE1334" s="38"/>
      <c r="AF1334" s="38"/>
      <c r="AG1334" s="38"/>
      <c r="AH1334" s="38"/>
      <c r="AI1334" s="38"/>
      <c r="AJ1334" s="38"/>
      <c r="AK1334" s="38"/>
      <c r="AL1334" s="38"/>
      <c r="AM1334" s="38"/>
      <c r="AN1334" s="38"/>
      <c r="AO1334" s="38"/>
      <c r="AP1334" s="38"/>
      <c r="AQ1334" s="38"/>
      <c r="AR1334" s="38"/>
      <c r="AS1334" s="38"/>
      <c r="AT1334" s="38"/>
      <c r="AU1334" s="38"/>
      <c r="AV1334" s="38"/>
      <c r="AW1334" s="38"/>
      <c r="AX1334" s="38"/>
      <c r="AY1334" s="38"/>
      <c r="AZ1334" s="38"/>
      <c r="BA1334" s="38"/>
      <c r="BB1334" s="38"/>
      <c r="BC1334" s="38"/>
      <c r="BD1334" s="38"/>
      <c r="BE1334" s="38"/>
      <c r="BF1334" s="38"/>
      <c r="BG1334" s="38"/>
    </row>
    <row r="1335">
      <c r="A1335" s="58"/>
      <c r="B1335" s="341"/>
      <c r="C1335" s="60"/>
      <c r="D1335" s="60"/>
      <c r="E1335" s="58"/>
      <c r="F1335" s="58"/>
      <c r="G1335" s="58"/>
      <c r="H1335" s="33" t="str">
        <f t="shared" si="1"/>
        <v/>
      </c>
      <c r="I1335" s="58"/>
      <c r="J1335" s="58"/>
      <c r="K1335" s="58"/>
      <c r="L1335" s="38"/>
      <c r="M1335" s="58"/>
      <c r="N1335" s="58"/>
      <c r="O1335" s="58"/>
      <c r="P1335" s="80"/>
      <c r="Q1335" s="80"/>
      <c r="R1335" s="62"/>
      <c r="S1335" s="62"/>
      <c r="T1335" s="62"/>
      <c r="U1335" s="62"/>
      <c r="V1335" s="37" t="str">
        <f>IFERROR(__xludf.DUMMYFUNCTION("if(not(iserror(index(split(C1335, "" ""),2))), index(split(C1335, "" ""),1),"""")"),"")</f>
        <v/>
      </c>
      <c r="W1335" s="315" t="str">
        <f>IFERROR(__xludf.DUMMYFUNCTION("if(V1335="""",C1335,if(not(iserror(index(split(C1335, "" ""),3))), index(split(C1335, "" ""),3),index(split(C1335, "" ""),2)))"),"")</f>
        <v/>
      </c>
      <c r="X1335" s="38" t="b">
        <f t="shared" si="2"/>
        <v>0</v>
      </c>
      <c r="Y1335" s="38"/>
      <c r="Z1335" s="40"/>
      <c r="AA1335" s="40"/>
      <c r="AB1335" s="38"/>
      <c r="AC1335" s="38"/>
      <c r="AD1335" s="38"/>
      <c r="AE1335" s="38"/>
      <c r="AF1335" s="38"/>
      <c r="AG1335" s="38"/>
      <c r="AH1335" s="38"/>
      <c r="AI1335" s="38"/>
      <c r="AJ1335" s="38"/>
      <c r="AK1335" s="38"/>
      <c r="AL1335" s="38"/>
      <c r="AM1335" s="38"/>
      <c r="AN1335" s="38"/>
      <c r="AO1335" s="38"/>
      <c r="AP1335" s="38"/>
      <c r="AQ1335" s="38"/>
      <c r="AR1335" s="38"/>
      <c r="AS1335" s="38"/>
      <c r="AT1335" s="38"/>
      <c r="AU1335" s="38"/>
      <c r="AV1335" s="38"/>
      <c r="AW1335" s="38"/>
      <c r="AX1335" s="38"/>
      <c r="AY1335" s="38"/>
      <c r="AZ1335" s="38"/>
      <c r="BA1335" s="38"/>
      <c r="BB1335" s="38"/>
      <c r="BC1335" s="38"/>
      <c r="BD1335" s="38"/>
      <c r="BE1335" s="38"/>
      <c r="BF1335" s="38"/>
      <c r="BG1335" s="38"/>
    </row>
    <row r="1336">
      <c r="A1336" s="58"/>
      <c r="B1336" s="341"/>
      <c r="C1336" s="60"/>
      <c r="D1336" s="60"/>
      <c r="E1336" s="58"/>
      <c r="F1336" s="58"/>
      <c r="G1336" s="58"/>
      <c r="H1336" s="33" t="str">
        <f t="shared" si="1"/>
        <v/>
      </c>
      <c r="I1336" s="58"/>
      <c r="J1336" s="58"/>
      <c r="K1336" s="58"/>
      <c r="L1336" s="38"/>
      <c r="M1336" s="58"/>
      <c r="N1336" s="58"/>
      <c r="O1336" s="58"/>
      <c r="P1336" s="80"/>
      <c r="Q1336" s="77"/>
      <c r="R1336" s="62"/>
      <c r="S1336" s="62"/>
      <c r="T1336" s="62"/>
      <c r="U1336" s="62"/>
      <c r="V1336" s="37" t="str">
        <f>IFERROR(__xludf.DUMMYFUNCTION("if(not(iserror(index(split(C1336, "" ""),2))), index(split(C1336, "" ""),1),"""")"),"")</f>
        <v/>
      </c>
      <c r="W1336" s="315" t="str">
        <f>IFERROR(__xludf.DUMMYFUNCTION("if(V1336="""",C1336,if(not(iserror(index(split(C1336, "" ""),3))), index(split(C1336, "" ""),3),index(split(C1336, "" ""),2)))"),"")</f>
        <v/>
      </c>
      <c r="X1336" s="38" t="b">
        <f t="shared" si="2"/>
        <v>0</v>
      </c>
      <c r="Y1336" s="38"/>
      <c r="Z1336" s="40"/>
      <c r="AA1336" s="40"/>
      <c r="AB1336" s="38"/>
      <c r="AC1336" s="38"/>
      <c r="AD1336" s="38"/>
      <c r="AE1336" s="38"/>
      <c r="AF1336" s="38"/>
      <c r="AG1336" s="38"/>
      <c r="AH1336" s="38"/>
      <c r="AI1336" s="38"/>
      <c r="AJ1336" s="38"/>
      <c r="AK1336" s="38"/>
      <c r="AL1336" s="38"/>
      <c r="AM1336" s="38"/>
      <c r="AN1336" s="38"/>
      <c r="AO1336" s="38"/>
      <c r="AP1336" s="38"/>
      <c r="AQ1336" s="38"/>
      <c r="AR1336" s="38"/>
      <c r="AS1336" s="38"/>
      <c r="AT1336" s="38"/>
      <c r="AU1336" s="38"/>
      <c r="AV1336" s="38"/>
      <c r="AW1336" s="38"/>
      <c r="AX1336" s="38"/>
      <c r="AY1336" s="38"/>
      <c r="AZ1336" s="38"/>
      <c r="BA1336" s="38"/>
      <c r="BB1336" s="38"/>
      <c r="BC1336" s="38"/>
      <c r="BD1336" s="38"/>
      <c r="BE1336" s="38"/>
      <c r="BF1336" s="38"/>
      <c r="BG1336" s="38"/>
    </row>
    <row r="1337">
      <c r="A1337" s="58"/>
      <c r="B1337" s="341"/>
      <c r="C1337" s="60"/>
      <c r="D1337" s="60"/>
      <c r="E1337" s="58"/>
      <c r="F1337" s="58"/>
      <c r="G1337" s="58"/>
      <c r="H1337" s="33" t="str">
        <f t="shared" si="1"/>
        <v/>
      </c>
      <c r="I1337" s="58"/>
      <c r="J1337" s="58"/>
      <c r="K1337" s="58"/>
      <c r="L1337" s="38"/>
      <c r="M1337" s="58"/>
      <c r="N1337" s="58"/>
      <c r="O1337" s="58"/>
      <c r="P1337" s="80"/>
      <c r="Q1337" s="77"/>
      <c r="R1337" s="58"/>
      <c r="S1337" s="62"/>
      <c r="T1337" s="84"/>
      <c r="U1337" s="62"/>
      <c r="V1337" s="37" t="str">
        <f>IFERROR(__xludf.DUMMYFUNCTION("if(not(iserror(index(split(C1337, "" ""),2))), index(split(C1337, "" ""),1),"""")"),"")</f>
        <v/>
      </c>
      <c r="W1337" s="315" t="str">
        <f>IFERROR(__xludf.DUMMYFUNCTION("if(V1337="""",C1337,if(not(iserror(index(split(C1337, "" ""),3))), index(split(C1337, "" ""),3),index(split(C1337, "" ""),2)))"),"")</f>
        <v/>
      </c>
      <c r="X1337" s="38" t="b">
        <f t="shared" si="2"/>
        <v>0</v>
      </c>
      <c r="Y1337" s="38"/>
      <c r="Z1337" s="40"/>
      <c r="AA1337" s="40"/>
      <c r="AB1337" s="38"/>
      <c r="AC1337" s="38"/>
      <c r="AD1337" s="38"/>
      <c r="AE1337" s="38"/>
      <c r="AF1337" s="38"/>
      <c r="AG1337" s="38"/>
      <c r="AH1337" s="38"/>
      <c r="AI1337" s="38"/>
      <c r="AJ1337" s="38"/>
      <c r="AK1337" s="38"/>
      <c r="AL1337" s="38"/>
      <c r="AM1337" s="38"/>
      <c r="AN1337" s="38"/>
      <c r="AO1337" s="38"/>
      <c r="AP1337" s="38"/>
      <c r="AQ1337" s="38"/>
      <c r="AR1337" s="38"/>
      <c r="AS1337" s="38"/>
      <c r="AT1337" s="38"/>
      <c r="AU1337" s="38"/>
      <c r="AV1337" s="38"/>
      <c r="AW1337" s="38"/>
      <c r="AX1337" s="38"/>
      <c r="AY1337" s="38"/>
      <c r="AZ1337" s="38"/>
      <c r="BA1337" s="38"/>
      <c r="BB1337" s="38"/>
      <c r="BC1337" s="38"/>
      <c r="BD1337" s="38"/>
      <c r="BE1337" s="38"/>
      <c r="BF1337" s="38"/>
      <c r="BG1337" s="38"/>
    </row>
    <row r="1338">
      <c r="A1338" s="58"/>
      <c r="B1338" s="341"/>
      <c r="C1338" s="60"/>
      <c r="D1338" s="60"/>
      <c r="E1338" s="58"/>
      <c r="F1338" s="58"/>
      <c r="G1338" s="58"/>
      <c r="H1338" s="33" t="str">
        <f t="shared" si="1"/>
        <v/>
      </c>
      <c r="I1338" s="58"/>
      <c r="J1338" s="58"/>
      <c r="K1338" s="58"/>
      <c r="L1338" s="38"/>
      <c r="M1338" s="58"/>
      <c r="N1338" s="58"/>
      <c r="O1338" s="58"/>
      <c r="P1338" s="80"/>
      <c r="Q1338" s="77"/>
      <c r="R1338" s="58"/>
      <c r="S1338" s="62"/>
      <c r="T1338" s="84"/>
      <c r="U1338" s="62"/>
      <c r="V1338" s="37" t="str">
        <f>IFERROR(__xludf.DUMMYFUNCTION("if(not(iserror(index(split(C1338, "" ""),2))), index(split(C1338, "" ""),1),"""")"),"")</f>
        <v/>
      </c>
      <c r="W1338" s="315" t="str">
        <f>IFERROR(__xludf.DUMMYFUNCTION("if(V1338="""",C1338,if(not(iserror(index(split(C1338, "" ""),3))), index(split(C1338, "" ""),3),index(split(C1338, "" ""),2)))"),"")</f>
        <v/>
      </c>
      <c r="X1338" s="38" t="b">
        <f t="shared" si="2"/>
        <v>0</v>
      </c>
      <c r="Y1338" s="38"/>
      <c r="Z1338" s="40"/>
      <c r="AA1338" s="40"/>
      <c r="AB1338" s="38"/>
      <c r="AC1338" s="38"/>
      <c r="AD1338" s="38"/>
      <c r="AE1338" s="38"/>
      <c r="AF1338" s="38"/>
      <c r="AG1338" s="38"/>
      <c r="AH1338" s="38"/>
      <c r="AI1338" s="38"/>
      <c r="AJ1338" s="38"/>
      <c r="AK1338" s="38"/>
      <c r="AL1338" s="38"/>
      <c r="AM1338" s="38"/>
      <c r="AN1338" s="38"/>
      <c r="AO1338" s="38"/>
      <c r="AP1338" s="38"/>
      <c r="AQ1338" s="38"/>
      <c r="AR1338" s="38"/>
      <c r="AS1338" s="38"/>
      <c r="AT1338" s="38"/>
      <c r="AU1338" s="38"/>
      <c r="AV1338" s="38"/>
      <c r="AW1338" s="38"/>
      <c r="AX1338" s="38"/>
      <c r="AY1338" s="38"/>
      <c r="AZ1338" s="38"/>
      <c r="BA1338" s="38"/>
      <c r="BB1338" s="38"/>
      <c r="BC1338" s="38"/>
      <c r="BD1338" s="38"/>
      <c r="BE1338" s="38"/>
      <c r="BF1338" s="38"/>
      <c r="BG1338" s="38"/>
    </row>
    <row r="1339">
      <c r="A1339" s="58"/>
      <c r="B1339" s="341"/>
      <c r="C1339" s="60"/>
      <c r="D1339" s="60"/>
      <c r="E1339" s="58"/>
      <c r="F1339" s="58"/>
      <c r="G1339" s="58"/>
      <c r="H1339" s="33" t="str">
        <f t="shared" si="1"/>
        <v/>
      </c>
      <c r="I1339" s="58"/>
      <c r="J1339" s="58"/>
      <c r="K1339" s="58"/>
      <c r="L1339" s="38"/>
      <c r="M1339" s="58"/>
      <c r="N1339" s="58"/>
      <c r="O1339" s="58"/>
      <c r="P1339" s="80"/>
      <c r="Q1339" s="80"/>
      <c r="R1339" s="62"/>
      <c r="S1339" s="62"/>
      <c r="T1339" s="62"/>
      <c r="U1339" s="62"/>
      <c r="V1339" s="37" t="str">
        <f>IFERROR(__xludf.DUMMYFUNCTION("if(not(iserror(index(split(C1339, "" ""),2))), index(split(C1339, "" ""),1),"""")"),"")</f>
        <v/>
      </c>
      <c r="W1339" s="315" t="str">
        <f>IFERROR(__xludf.DUMMYFUNCTION("if(V1339="""",C1339,if(not(iserror(index(split(C1339, "" ""),3))), index(split(C1339, "" ""),3),index(split(C1339, "" ""),2)))"),"")</f>
        <v/>
      </c>
      <c r="X1339" s="38" t="b">
        <f t="shared" si="2"/>
        <v>0</v>
      </c>
      <c r="Y1339" s="38"/>
      <c r="Z1339" s="40"/>
      <c r="AA1339" s="40"/>
      <c r="AB1339" s="38"/>
      <c r="AC1339" s="38"/>
      <c r="AD1339" s="38"/>
      <c r="AE1339" s="38"/>
      <c r="AF1339" s="38"/>
      <c r="AG1339" s="38"/>
      <c r="AH1339" s="38"/>
      <c r="AI1339" s="38"/>
      <c r="AJ1339" s="38"/>
      <c r="AK1339" s="38"/>
      <c r="AL1339" s="38"/>
      <c r="AM1339" s="38"/>
      <c r="AN1339" s="38"/>
      <c r="AO1339" s="38"/>
      <c r="AP1339" s="38"/>
      <c r="AQ1339" s="38"/>
      <c r="AR1339" s="38"/>
      <c r="AS1339" s="38"/>
      <c r="AT1339" s="38"/>
      <c r="AU1339" s="38"/>
      <c r="AV1339" s="38"/>
      <c r="AW1339" s="38"/>
      <c r="AX1339" s="38"/>
      <c r="AY1339" s="38"/>
      <c r="AZ1339" s="38"/>
      <c r="BA1339" s="38"/>
      <c r="BB1339" s="38"/>
      <c r="BC1339" s="38"/>
      <c r="BD1339" s="38"/>
      <c r="BE1339" s="38"/>
      <c r="BF1339" s="38"/>
      <c r="BG1339" s="38"/>
    </row>
    <row r="1340">
      <c r="A1340" s="58"/>
      <c r="B1340" s="341"/>
      <c r="C1340" s="60"/>
      <c r="D1340" s="60"/>
      <c r="E1340" s="58"/>
      <c r="F1340" s="58"/>
      <c r="G1340" s="58"/>
      <c r="H1340" s="33" t="str">
        <f t="shared" si="1"/>
        <v/>
      </c>
      <c r="I1340" s="58"/>
      <c r="J1340" s="58"/>
      <c r="K1340" s="58"/>
      <c r="L1340" s="38"/>
      <c r="M1340" s="58"/>
      <c r="N1340" s="58"/>
      <c r="O1340" s="58"/>
      <c r="P1340" s="80"/>
      <c r="Q1340" s="77"/>
      <c r="R1340" s="62"/>
      <c r="S1340" s="62"/>
      <c r="T1340" s="62"/>
      <c r="U1340" s="62"/>
      <c r="V1340" s="37" t="str">
        <f>IFERROR(__xludf.DUMMYFUNCTION("if(not(iserror(index(split(C1340, "" ""),2))), index(split(C1340, "" ""),1),"""")"),"")</f>
        <v/>
      </c>
      <c r="W1340" s="315" t="str">
        <f>IFERROR(__xludf.DUMMYFUNCTION("if(V1340="""",C1340,if(not(iserror(index(split(C1340, "" ""),3))), index(split(C1340, "" ""),3),index(split(C1340, "" ""),2)))"),"")</f>
        <v/>
      </c>
      <c r="X1340" s="38" t="b">
        <f t="shared" si="2"/>
        <v>0</v>
      </c>
      <c r="Y1340" s="38"/>
      <c r="Z1340" s="40"/>
      <c r="AA1340" s="40"/>
      <c r="AB1340" s="38"/>
      <c r="AC1340" s="38"/>
      <c r="AD1340" s="38"/>
      <c r="AE1340" s="38"/>
      <c r="AF1340" s="38"/>
      <c r="AG1340" s="38"/>
      <c r="AH1340" s="38"/>
      <c r="AI1340" s="38"/>
      <c r="AJ1340" s="38"/>
      <c r="AK1340" s="38"/>
      <c r="AL1340" s="38"/>
      <c r="AM1340" s="38"/>
      <c r="AN1340" s="38"/>
      <c r="AO1340" s="38"/>
      <c r="AP1340" s="38"/>
      <c r="AQ1340" s="38"/>
      <c r="AR1340" s="38"/>
      <c r="AS1340" s="38"/>
      <c r="AT1340" s="38"/>
      <c r="AU1340" s="38"/>
      <c r="AV1340" s="38"/>
      <c r="AW1340" s="38"/>
      <c r="AX1340" s="38"/>
      <c r="AY1340" s="38"/>
      <c r="AZ1340" s="38"/>
      <c r="BA1340" s="38"/>
      <c r="BB1340" s="38"/>
      <c r="BC1340" s="38"/>
      <c r="BD1340" s="38"/>
      <c r="BE1340" s="38"/>
      <c r="BF1340" s="38"/>
      <c r="BG1340" s="38"/>
    </row>
    <row r="1341">
      <c r="A1341" s="58"/>
      <c r="B1341" s="341"/>
      <c r="C1341" s="60"/>
      <c r="D1341" s="60"/>
      <c r="E1341" s="58"/>
      <c r="F1341" s="58"/>
      <c r="G1341" s="58"/>
      <c r="H1341" s="33" t="str">
        <f t="shared" si="1"/>
        <v/>
      </c>
      <c r="I1341" s="58"/>
      <c r="J1341" s="58"/>
      <c r="K1341" s="58"/>
      <c r="L1341" s="38"/>
      <c r="M1341" s="58"/>
      <c r="N1341" s="58"/>
      <c r="O1341" s="58"/>
      <c r="P1341" s="80"/>
      <c r="Q1341" s="77"/>
      <c r="R1341" s="62"/>
      <c r="S1341" s="62"/>
      <c r="T1341" s="62"/>
      <c r="U1341" s="62"/>
      <c r="V1341" s="37" t="str">
        <f>IFERROR(__xludf.DUMMYFUNCTION("if(not(iserror(index(split(C1341, "" ""),2))), index(split(C1341, "" ""),1),"""")"),"")</f>
        <v/>
      </c>
      <c r="W1341" s="315" t="str">
        <f>IFERROR(__xludf.DUMMYFUNCTION("if(V1341="""",C1341,if(not(iserror(index(split(C1341, "" ""),3))), index(split(C1341, "" ""),3),index(split(C1341, "" ""),2)))"),"")</f>
        <v/>
      </c>
      <c r="X1341" s="38" t="b">
        <f t="shared" si="2"/>
        <v>0</v>
      </c>
      <c r="Y1341" s="38"/>
      <c r="Z1341" s="40"/>
      <c r="AA1341" s="40"/>
      <c r="AB1341" s="38"/>
      <c r="AC1341" s="38"/>
      <c r="AD1341" s="38"/>
      <c r="AE1341" s="38"/>
      <c r="AF1341" s="38"/>
      <c r="AG1341" s="38"/>
      <c r="AH1341" s="38"/>
      <c r="AI1341" s="38"/>
      <c r="AJ1341" s="38"/>
      <c r="AK1341" s="38"/>
      <c r="AL1341" s="38"/>
      <c r="AM1341" s="38"/>
      <c r="AN1341" s="38"/>
      <c r="AO1341" s="38"/>
      <c r="AP1341" s="38"/>
      <c r="AQ1341" s="38"/>
      <c r="AR1341" s="38"/>
      <c r="AS1341" s="38"/>
      <c r="AT1341" s="38"/>
      <c r="AU1341" s="38"/>
      <c r="AV1341" s="38"/>
      <c r="AW1341" s="38"/>
      <c r="AX1341" s="38"/>
      <c r="AY1341" s="38"/>
      <c r="AZ1341" s="38"/>
      <c r="BA1341" s="38"/>
      <c r="BB1341" s="38"/>
      <c r="BC1341" s="38"/>
      <c r="BD1341" s="38"/>
      <c r="BE1341" s="38"/>
      <c r="BF1341" s="38"/>
      <c r="BG1341" s="38"/>
    </row>
    <row r="1342">
      <c r="A1342" s="58"/>
      <c r="B1342" s="341"/>
      <c r="C1342" s="60"/>
      <c r="D1342" s="60"/>
      <c r="E1342" s="58"/>
      <c r="F1342" s="58"/>
      <c r="G1342" s="58"/>
      <c r="H1342" s="33" t="str">
        <f t="shared" si="1"/>
        <v/>
      </c>
      <c r="I1342" s="58"/>
      <c r="J1342" s="58"/>
      <c r="K1342" s="58"/>
      <c r="L1342" s="38"/>
      <c r="M1342" s="58"/>
      <c r="N1342" s="58"/>
      <c r="O1342" s="58"/>
      <c r="P1342" s="80"/>
      <c r="Q1342" s="77"/>
      <c r="R1342" s="62"/>
      <c r="S1342" s="62"/>
      <c r="T1342" s="84"/>
      <c r="U1342" s="62"/>
      <c r="V1342" s="37" t="str">
        <f>IFERROR(__xludf.DUMMYFUNCTION("if(not(iserror(index(split(C1342, "" ""),2))), index(split(C1342, "" ""),1),"""")"),"")</f>
        <v/>
      </c>
      <c r="W1342" s="315" t="str">
        <f>IFERROR(__xludf.DUMMYFUNCTION("if(V1342="""",C1342,if(not(iserror(index(split(C1342, "" ""),3))), index(split(C1342, "" ""),3),index(split(C1342, "" ""),2)))"),"")</f>
        <v/>
      </c>
      <c r="X1342" s="38" t="b">
        <f t="shared" si="2"/>
        <v>0</v>
      </c>
      <c r="Y1342" s="38"/>
      <c r="Z1342" s="40"/>
      <c r="AA1342" s="40"/>
      <c r="AB1342" s="38"/>
      <c r="AC1342" s="38"/>
      <c r="AD1342" s="38"/>
      <c r="AE1342" s="38"/>
      <c r="AF1342" s="38"/>
      <c r="AG1342" s="38"/>
      <c r="AH1342" s="38"/>
      <c r="AI1342" s="38"/>
      <c r="AJ1342" s="38"/>
      <c r="AK1342" s="38"/>
      <c r="AL1342" s="38"/>
      <c r="AM1342" s="38"/>
      <c r="AN1342" s="38"/>
      <c r="AO1342" s="38"/>
      <c r="AP1342" s="38"/>
      <c r="AQ1342" s="38"/>
      <c r="AR1342" s="38"/>
      <c r="AS1342" s="38"/>
      <c r="AT1342" s="38"/>
      <c r="AU1342" s="38"/>
      <c r="AV1342" s="38"/>
      <c r="AW1342" s="38"/>
      <c r="AX1342" s="38"/>
      <c r="AY1342" s="38"/>
      <c r="AZ1342" s="38"/>
      <c r="BA1342" s="38"/>
      <c r="BB1342" s="38"/>
      <c r="BC1342" s="38"/>
      <c r="BD1342" s="38"/>
      <c r="BE1342" s="38"/>
      <c r="BF1342" s="38"/>
      <c r="BG1342" s="38"/>
    </row>
    <row r="1343">
      <c r="A1343" s="58"/>
      <c r="B1343" s="341"/>
      <c r="C1343" s="60"/>
      <c r="D1343" s="60"/>
      <c r="E1343" s="58"/>
      <c r="F1343" s="58"/>
      <c r="G1343" s="58"/>
      <c r="H1343" s="33" t="str">
        <f t="shared" si="1"/>
        <v/>
      </c>
      <c r="I1343" s="58"/>
      <c r="J1343" s="58"/>
      <c r="K1343" s="58"/>
      <c r="L1343" s="38"/>
      <c r="M1343" s="58"/>
      <c r="N1343" s="58"/>
      <c r="O1343" s="58"/>
      <c r="P1343" s="80"/>
      <c r="Q1343" s="77"/>
      <c r="R1343" s="62"/>
      <c r="S1343" s="62"/>
      <c r="T1343" s="62"/>
      <c r="U1343" s="62"/>
      <c r="V1343" s="37" t="str">
        <f>IFERROR(__xludf.DUMMYFUNCTION("if(not(iserror(index(split(C1343, "" ""),2))), index(split(C1343, "" ""),1),"""")"),"")</f>
        <v/>
      </c>
      <c r="W1343" s="315" t="str">
        <f>IFERROR(__xludf.DUMMYFUNCTION("if(V1343="""",C1343,if(not(iserror(index(split(C1343, "" ""),3))), index(split(C1343, "" ""),3),index(split(C1343, "" ""),2)))"),"")</f>
        <v/>
      </c>
      <c r="X1343" s="38" t="b">
        <f t="shared" si="2"/>
        <v>0</v>
      </c>
      <c r="Y1343" s="38"/>
      <c r="Z1343" s="40"/>
      <c r="AA1343" s="40"/>
      <c r="AB1343" s="38"/>
      <c r="AC1343" s="38"/>
      <c r="AD1343" s="38"/>
      <c r="AE1343" s="38"/>
      <c r="AF1343" s="38"/>
      <c r="AG1343" s="38"/>
      <c r="AH1343" s="38"/>
      <c r="AI1343" s="38"/>
      <c r="AJ1343" s="38"/>
      <c r="AK1343" s="38"/>
      <c r="AL1343" s="38"/>
      <c r="AM1343" s="38"/>
      <c r="AN1343" s="38"/>
      <c r="AO1343" s="38"/>
      <c r="AP1343" s="38"/>
      <c r="AQ1343" s="38"/>
      <c r="AR1343" s="38"/>
      <c r="AS1343" s="38"/>
      <c r="AT1343" s="38"/>
      <c r="AU1343" s="38"/>
      <c r="AV1343" s="38"/>
      <c r="AW1343" s="38"/>
      <c r="AX1343" s="38"/>
      <c r="AY1343" s="38"/>
      <c r="AZ1343" s="38"/>
      <c r="BA1343" s="38"/>
      <c r="BB1343" s="38"/>
      <c r="BC1343" s="38"/>
      <c r="BD1343" s="38"/>
      <c r="BE1343" s="38"/>
      <c r="BF1343" s="38"/>
      <c r="BG1343" s="38"/>
    </row>
    <row r="1344">
      <c r="A1344" s="58"/>
      <c r="B1344" s="341"/>
      <c r="C1344" s="60"/>
      <c r="D1344" s="60"/>
      <c r="E1344" s="58"/>
      <c r="F1344" s="58"/>
      <c r="G1344" s="58"/>
      <c r="H1344" s="33" t="str">
        <f t="shared" si="1"/>
        <v/>
      </c>
      <c r="I1344" s="58"/>
      <c r="J1344" s="58"/>
      <c r="K1344" s="58"/>
      <c r="L1344" s="38"/>
      <c r="M1344" s="58"/>
      <c r="N1344" s="58"/>
      <c r="O1344" s="58"/>
      <c r="P1344" s="80"/>
      <c r="Q1344" s="77"/>
      <c r="R1344" s="62"/>
      <c r="S1344" s="62"/>
      <c r="T1344" s="62"/>
      <c r="U1344" s="62"/>
      <c r="V1344" s="37" t="str">
        <f>IFERROR(__xludf.DUMMYFUNCTION("if(not(iserror(index(split(C1344, "" ""),2))), index(split(C1344, "" ""),1),"""")"),"")</f>
        <v/>
      </c>
      <c r="W1344" s="315" t="str">
        <f>IFERROR(__xludf.DUMMYFUNCTION("if(V1344="""",C1344,if(not(iserror(index(split(C1344, "" ""),3))), index(split(C1344, "" ""),3),index(split(C1344, "" ""),2)))"),"")</f>
        <v/>
      </c>
      <c r="X1344" s="38" t="b">
        <f t="shared" si="2"/>
        <v>0</v>
      </c>
      <c r="Y1344" s="38"/>
      <c r="Z1344" s="40"/>
      <c r="AA1344" s="40"/>
      <c r="AB1344" s="38"/>
      <c r="AC1344" s="38"/>
      <c r="AD1344" s="38"/>
      <c r="AE1344" s="38"/>
      <c r="AF1344" s="38"/>
      <c r="AG1344" s="38"/>
      <c r="AH1344" s="38"/>
      <c r="AI1344" s="38"/>
      <c r="AJ1344" s="38"/>
      <c r="AK1344" s="38"/>
      <c r="AL1344" s="38"/>
      <c r="AM1344" s="38"/>
      <c r="AN1344" s="38"/>
      <c r="AO1344" s="38"/>
      <c r="AP1344" s="38"/>
      <c r="AQ1344" s="38"/>
      <c r="AR1344" s="38"/>
      <c r="AS1344" s="38"/>
      <c r="AT1344" s="38"/>
      <c r="AU1344" s="38"/>
      <c r="AV1344" s="38"/>
      <c r="AW1344" s="38"/>
      <c r="AX1344" s="38"/>
      <c r="AY1344" s="38"/>
      <c r="AZ1344" s="38"/>
      <c r="BA1344" s="38"/>
      <c r="BB1344" s="38"/>
      <c r="BC1344" s="38"/>
      <c r="BD1344" s="38"/>
      <c r="BE1344" s="38"/>
      <c r="BF1344" s="38"/>
      <c r="BG1344" s="38"/>
    </row>
    <row r="1345">
      <c r="A1345" s="394"/>
      <c r="B1345" s="341"/>
      <c r="C1345" s="60"/>
      <c r="D1345" s="60"/>
      <c r="E1345" s="58"/>
      <c r="F1345" s="58"/>
      <c r="G1345" s="58"/>
      <c r="H1345" s="33" t="str">
        <f t="shared" si="1"/>
        <v/>
      </c>
      <c r="I1345" s="58"/>
      <c r="J1345" s="58"/>
      <c r="K1345" s="58"/>
      <c r="L1345" s="38"/>
      <c r="M1345" s="58"/>
      <c r="N1345" s="58"/>
      <c r="O1345" s="58"/>
      <c r="P1345" s="389"/>
      <c r="Q1345" s="77"/>
      <c r="R1345" s="58"/>
      <c r="S1345" s="58"/>
      <c r="T1345" s="84"/>
      <c r="U1345" s="62"/>
      <c r="V1345" s="37" t="str">
        <f>IFERROR(__xludf.DUMMYFUNCTION("if(not(iserror(index(split(C1345, "" ""),2))), index(split(C1345, "" ""),1),"""")"),"")</f>
        <v/>
      </c>
      <c r="W1345" s="315" t="str">
        <f>IFERROR(__xludf.DUMMYFUNCTION("if(V1345="""",C1345,if(not(iserror(index(split(C1345, "" ""),3))), index(split(C1345, "" ""),3),index(split(C1345, "" ""),2)))"),"")</f>
        <v/>
      </c>
      <c r="X1345" s="38" t="b">
        <f t="shared" si="2"/>
        <v>0</v>
      </c>
      <c r="Y1345" s="38"/>
      <c r="Z1345" s="40"/>
      <c r="AA1345" s="40"/>
      <c r="AB1345" s="38"/>
      <c r="AC1345" s="38"/>
      <c r="AD1345" s="38"/>
      <c r="AE1345" s="38"/>
      <c r="AF1345" s="38"/>
      <c r="AG1345" s="38"/>
      <c r="AH1345" s="38"/>
      <c r="AI1345" s="38"/>
      <c r="AJ1345" s="38"/>
      <c r="AK1345" s="38"/>
      <c r="AL1345" s="38"/>
      <c r="AM1345" s="38"/>
      <c r="AN1345" s="38"/>
      <c r="AO1345" s="38"/>
      <c r="AP1345" s="38"/>
      <c r="AQ1345" s="38"/>
      <c r="AR1345" s="38"/>
      <c r="AS1345" s="38"/>
      <c r="AT1345" s="38"/>
      <c r="AU1345" s="38"/>
      <c r="AV1345" s="38"/>
      <c r="AW1345" s="38"/>
      <c r="AX1345" s="38"/>
      <c r="AY1345" s="38"/>
      <c r="AZ1345" s="38"/>
      <c r="BA1345" s="38"/>
      <c r="BB1345" s="38"/>
      <c r="BC1345" s="38"/>
      <c r="BD1345" s="38"/>
      <c r="BE1345" s="38"/>
      <c r="BF1345" s="38"/>
      <c r="BG1345" s="38"/>
    </row>
    <row r="1346">
      <c r="A1346" s="394"/>
      <c r="B1346" s="341"/>
      <c r="C1346" s="60"/>
      <c r="D1346" s="60"/>
      <c r="E1346" s="58"/>
      <c r="F1346" s="58"/>
      <c r="G1346" s="58"/>
      <c r="H1346" s="33" t="str">
        <f t="shared" si="1"/>
        <v/>
      </c>
      <c r="I1346" s="58"/>
      <c r="J1346" s="58"/>
      <c r="K1346" s="58"/>
      <c r="L1346" s="38"/>
      <c r="M1346" s="58"/>
      <c r="N1346" s="58"/>
      <c r="O1346" s="58"/>
      <c r="P1346" s="80"/>
      <c r="Q1346" s="77"/>
      <c r="R1346" s="58"/>
      <c r="S1346" s="58"/>
      <c r="T1346" s="58"/>
      <c r="U1346" s="62"/>
      <c r="V1346" s="37" t="str">
        <f>IFERROR(__xludf.DUMMYFUNCTION("if(not(iserror(index(split(C1346, "" ""),2))), index(split(C1346, "" ""),1),"""")"),"")</f>
        <v/>
      </c>
      <c r="W1346" s="315" t="str">
        <f>IFERROR(__xludf.DUMMYFUNCTION("if(V1346="""",C1346,if(not(iserror(index(split(C1346, "" ""),3))), index(split(C1346, "" ""),3),index(split(C1346, "" ""),2)))"),"")</f>
        <v/>
      </c>
      <c r="X1346" s="38" t="b">
        <f t="shared" si="2"/>
        <v>0</v>
      </c>
      <c r="Y1346" s="38"/>
      <c r="Z1346" s="40"/>
      <c r="AA1346" s="40"/>
      <c r="AB1346" s="38"/>
      <c r="AC1346" s="38"/>
      <c r="AD1346" s="38"/>
      <c r="AE1346" s="38"/>
      <c r="AF1346" s="38"/>
      <c r="AG1346" s="38"/>
      <c r="AH1346" s="38"/>
      <c r="AI1346" s="38"/>
      <c r="AJ1346" s="38"/>
      <c r="AK1346" s="38"/>
      <c r="AL1346" s="38"/>
      <c r="AM1346" s="38"/>
      <c r="AN1346" s="38"/>
      <c r="AO1346" s="38"/>
      <c r="AP1346" s="38"/>
      <c r="AQ1346" s="38"/>
      <c r="AR1346" s="38"/>
      <c r="AS1346" s="38"/>
      <c r="AT1346" s="38"/>
      <c r="AU1346" s="38"/>
      <c r="AV1346" s="38"/>
      <c r="AW1346" s="38"/>
      <c r="AX1346" s="38"/>
      <c r="AY1346" s="38"/>
      <c r="AZ1346" s="38"/>
      <c r="BA1346" s="38"/>
      <c r="BB1346" s="38"/>
      <c r="BC1346" s="38"/>
      <c r="BD1346" s="38"/>
      <c r="BE1346" s="38"/>
      <c r="BF1346" s="38"/>
      <c r="BG1346" s="38"/>
    </row>
    <row r="1347">
      <c r="A1347" s="394"/>
      <c r="B1347" s="341"/>
      <c r="C1347" s="60"/>
      <c r="D1347" s="60"/>
      <c r="E1347" s="58"/>
      <c r="F1347" s="58"/>
      <c r="G1347" s="58"/>
      <c r="H1347" s="33" t="str">
        <f t="shared" si="1"/>
        <v/>
      </c>
      <c r="I1347" s="58"/>
      <c r="J1347" s="58"/>
      <c r="K1347" s="58"/>
      <c r="L1347" s="38"/>
      <c r="M1347" s="58"/>
      <c r="N1347" s="58"/>
      <c r="O1347" s="58"/>
      <c r="P1347" s="80"/>
      <c r="Q1347" s="77"/>
      <c r="R1347" s="62"/>
      <c r="S1347" s="62"/>
      <c r="T1347" s="62"/>
      <c r="U1347" s="62"/>
      <c r="V1347" s="37" t="str">
        <f>IFERROR(__xludf.DUMMYFUNCTION("if(not(iserror(index(split(C1347, "" ""),2))), index(split(C1347, "" ""),1),"""")"),"")</f>
        <v/>
      </c>
      <c r="W1347" s="315" t="str">
        <f>IFERROR(__xludf.DUMMYFUNCTION("if(V1347="""",C1347,if(not(iserror(index(split(C1347, "" ""),3))), index(split(C1347, "" ""),3),index(split(C1347, "" ""),2)))"),"")</f>
        <v/>
      </c>
      <c r="X1347" s="38" t="b">
        <f t="shared" si="2"/>
        <v>0</v>
      </c>
      <c r="Y1347" s="38"/>
      <c r="Z1347" s="40"/>
      <c r="AA1347" s="40"/>
      <c r="AB1347" s="38"/>
      <c r="AC1347" s="38"/>
      <c r="AD1347" s="38"/>
      <c r="AE1347" s="38"/>
      <c r="AF1347" s="38"/>
      <c r="AG1347" s="38"/>
      <c r="AH1347" s="38"/>
      <c r="AI1347" s="38"/>
      <c r="AJ1347" s="38"/>
      <c r="AK1347" s="38"/>
      <c r="AL1347" s="38"/>
      <c r="AM1347" s="38"/>
      <c r="AN1347" s="38"/>
      <c r="AO1347" s="38"/>
      <c r="AP1347" s="38"/>
      <c r="AQ1347" s="38"/>
      <c r="AR1347" s="38"/>
      <c r="AS1347" s="38"/>
      <c r="AT1347" s="38"/>
      <c r="AU1347" s="38"/>
      <c r="AV1347" s="38"/>
      <c r="AW1347" s="38"/>
      <c r="AX1347" s="38"/>
      <c r="AY1347" s="38"/>
      <c r="AZ1347" s="38"/>
      <c r="BA1347" s="38"/>
      <c r="BB1347" s="38"/>
      <c r="BC1347" s="38"/>
      <c r="BD1347" s="38"/>
      <c r="BE1347" s="38"/>
      <c r="BF1347" s="38"/>
      <c r="BG1347" s="38"/>
    </row>
    <row r="1348">
      <c r="A1348" s="394"/>
      <c r="B1348" s="341"/>
      <c r="C1348" s="60"/>
      <c r="D1348" s="60"/>
      <c r="E1348" s="58"/>
      <c r="F1348" s="58"/>
      <c r="G1348" s="58"/>
      <c r="H1348" s="33" t="str">
        <f t="shared" si="1"/>
        <v/>
      </c>
      <c r="I1348" s="58"/>
      <c r="J1348" s="58"/>
      <c r="K1348" s="58"/>
      <c r="L1348" s="38"/>
      <c r="M1348" s="58"/>
      <c r="N1348" s="58"/>
      <c r="O1348" s="58"/>
      <c r="P1348" s="80"/>
      <c r="Q1348" s="77"/>
      <c r="R1348" s="62"/>
      <c r="S1348" s="62"/>
      <c r="T1348" s="62"/>
      <c r="U1348" s="62"/>
      <c r="V1348" s="37" t="str">
        <f>IFERROR(__xludf.DUMMYFUNCTION("if(not(iserror(index(split(C1348, "" ""),2))), index(split(C1348, "" ""),1),"""")"),"")</f>
        <v/>
      </c>
      <c r="W1348" s="315" t="str">
        <f>IFERROR(__xludf.DUMMYFUNCTION("if(V1348="""",C1348,if(not(iserror(index(split(C1348, "" ""),3))), index(split(C1348, "" ""),3),index(split(C1348, "" ""),2)))"),"")</f>
        <v/>
      </c>
      <c r="X1348" s="38" t="b">
        <f t="shared" si="2"/>
        <v>0</v>
      </c>
      <c r="Y1348" s="38"/>
      <c r="Z1348" s="40"/>
      <c r="AA1348" s="40"/>
      <c r="AB1348" s="38"/>
      <c r="AC1348" s="38"/>
      <c r="AD1348" s="38"/>
      <c r="AE1348" s="38"/>
      <c r="AF1348" s="38"/>
      <c r="AG1348" s="38"/>
      <c r="AH1348" s="38"/>
      <c r="AI1348" s="38"/>
      <c r="AJ1348" s="38"/>
      <c r="AK1348" s="38"/>
      <c r="AL1348" s="38"/>
      <c r="AM1348" s="38"/>
      <c r="AN1348" s="38"/>
      <c r="AO1348" s="38"/>
      <c r="AP1348" s="38"/>
      <c r="AQ1348" s="38"/>
      <c r="AR1348" s="38"/>
      <c r="AS1348" s="38"/>
      <c r="AT1348" s="38"/>
      <c r="AU1348" s="38"/>
      <c r="AV1348" s="38"/>
      <c r="AW1348" s="38"/>
      <c r="AX1348" s="38"/>
      <c r="AY1348" s="38"/>
      <c r="AZ1348" s="38"/>
      <c r="BA1348" s="38"/>
      <c r="BB1348" s="38"/>
      <c r="BC1348" s="38"/>
      <c r="BD1348" s="38"/>
      <c r="BE1348" s="38"/>
      <c r="BF1348" s="38"/>
      <c r="BG1348" s="38"/>
    </row>
    <row r="1349">
      <c r="A1349" s="394"/>
      <c r="B1349" s="341"/>
      <c r="C1349" s="60"/>
      <c r="D1349" s="60"/>
      <c r="E1349" s="58"/>
      <c r="F1349" s="58"/>
      <c r="G1349" s="58"/>
      <c r="H1349" s="33" t="str">
        <f t="shared" si="1"/>
        <v/>
      </c>
      <c r="I1349" s="58"/>
      <c r="J1349" s="58"/>
      <c r="K1349" s="58"/>
      <c r="L1349" s="38"/>
      <c r="M1349" s="58"/>
      <c r="N1349" s="58"/>
      <c r="O1349" s="58"/>
      <c r="P1349" s="80"/>
      <c r="Q1349" s="77"/>
      <c r="R1349" s="62"/>
      <c r="S1349" s="62"/>
      <c r="T1349" s="62"/>
      <c r="U1349" s="62"/>
      <c r="V1349" s="37" t="str">
        <f>IFERROR(__xludf.DUMMYFUNCTION("if(not(iserror(index(split(C1349, "" ""),2))), index(split(C1349, "" ""),1),"""")"),"")</f>
        <v/>
      </c>
      <c r="W1349" s="315" t="str">
        <f>IFERROR(__xludf.DUMMYFUNCTION("if(V1349="""",C1349,if(not(iserror(index(split(C1349, "" ""),3))), index(split(C1349, "" ""),3),index(split(C1349, "" ""),2)))"),"")</f>
        <v/>
      </c>
      <c r="X1349" s="38" t="b">
        <f t="shared" si="2"/>
        <v>0</v>
      </c>
      <c r="Y1349" s="38"/>
      <c r="Z1349" s="40"/>
      <c r="AA1349" s="40"/>
      <c r="AB1349" s="38"/>
      <c r="AC1349" s="38"/>
      <c r="AD1349" s="38"/>
      <c r="AE1349" s="38"/>
      <c r="AF1349" s="38"/>
      <c r="AG1349" s="38"/>
      <c r="AH1349" s="38"/>
      <c r="AI1349" s="38"/>
      <c r="AJ1349" s="38"/>
      <c r="AK1349" s="38"/>
      <c r="AL1349" s="38"/>
      <c r="AM1349" s="38"/>
      <c r="AN1349" s="38"/>
      <c r="AO1349" s="38"/>
      <c r="AP1349" s="38"/>
      <c r="AQ1349" s="38"/>
      <c r="AR1349" s="38"/>
      <c r="AS1349" s="38"/>
      <c r="AT1349" s="38"/>
      <c r="AU1349" s="38"/>
      <c r="AV1349" s="38"/>
      <c r="AW1349" s="38"/>
      <c r="AX1349" s="38"/>
      <c r="AY1349" s="38"/>
      <c r="AZ1349" s="38"/>
      <c r="BA1349" s="38"/>
      <c r="BB1349" s="38"/>
      <c r="BC1349" s="38"/>
      <c r="BD1349" s="38"/>
      <c r="BE1349" s="38"/>
      <c r="BF1349" s="38"/>
      <c r="BG1349" s="38"/>
    </row>
    <row r="1350">
      <c r="A1350" s="58"/>
      <c r="B1350" s="341"/>
      <c r="C1350" s="60"/>
      <c r="D1350" s="60"/>
      <c r="E1350" s="58"/>
      <c r="F1350" s="58"/>
      <c r="G1350" s="58"/>
      <c r="H1350" s="33" t="str">
        <f t="shared" si="1"/>
        <v/>
      </c>
      <c r="I1350" s="58"/>
      <c r="J1350" s="58"/>
      <c r="K1350" s="58"/>
      <c r="L1350" s="38"/>
      <c r="M1350" s="58"/>
      <c r="N1350" s="58"/>
      <c r="O1350" s="58"/>
      <c r="P1350" s="80"/>
      <c r="Q1350" s="77"/>
      <c r="R1350" s="58"/>
      <c r="S1350" s="62"/>
      <c r="T1350" s="84"/>
      <c r="U1350" s="62"/>
      <c r="V1350" s="37" t="str">
        <f>IFERROR(__xludf.DUMMYFUNCTION("if(not(iserror(index(split(C1350, "" ""),2))), index(split(C1350, "" ""),1),"""")"),"")</f>
        <v/>
      </c>
      <c r="W1350" s="315" t="str">
        <f>IFERROR(__xludf.DUMMYFUNCTION("if(V1350="""",C1350,if(not(iserror(index(split(C1350, "" ""),3))), index(split(C1350, "" ""),3),index(split(C1350, "" ""),2)))"),"")</f>
        <v/>
      </c>
      <c r="X1350" s="38" t="b">
        <f t="shared" si="2"/>
        <v>0</v>
      </c>
      <c r="Y1350" s="38"/>
      <c r="Z1350" s="40"/>
      <c r="AA1350" s="40"/>
      <c r="AB1350" s="38"/>
      <c r="AC1350" s="38"/>
      <c r="AD1350" s="38"/>
      <c r="AE1350" s="38"/>
      <c r="AF1350" s="38"/>
      <c r="AG1350" s="38"/>
      <c r="AH1350" s="38"/>
      <c r="AI1350" s="38"/>
      <c r="AJ1350" s="38"/>
      <c r="AK1350" s="38"/>
      <c r="AL1350" s="38"/>
      <c r="AM1350" s="38"/>
      <c r="AN1350" s="38"/>
      <c r="AO1350" s="38"/>
      <c r="AP1350" s="38"/>
      <c r="AQ1350" s="38"/>
      <c r="AR1350" s="38"/>
      <c r="AS1350" s="38"/>
      <c r="AT1350" s="38"/>
      <c r="AU1350" s="38"/>
      <c r="AV1350" s="38"/>
      <c r="AW1350" s="38"/>
      <c r="AX1350" s="38"/>
      <c r="AY1350" s="38"/>
      <c r="AZ1350" s="38"/>
      <c r="BA1350" s="38"/>
      <c r="BB1350" s="38"/>
      <c r="BC1350" s="38"/>
      <c r="BD1350" s="38"/>
      <c r="BE1350" s="38"/>
      <c r="BF1350" s="38"/>
      <c r="BG1350" s="38"/>
    </row>
    <row r="1351">
      <c r="A1351" s="58"/>
      <c r="B1351" s="341"/>
      <c r="C1351" s="60"/>
      <c r="D1351" s="60"/>
      <c r="E1351" s="58"/>
      <c r="F1351" s="58"/>
      <c r="G1351" s="58"/>
      <c r="H1351" s="33" t="str">
        <f t="shared" si="1"/>
        <v/>
      </c>
      <c r="I1351" s="58"/>
      <c r="J1351" s="58"/>
      <c r="K1351" s="58"/>
      <c r="L1351" s="38"/>
      <c r="M1351" s="58"/>
      <c r="N1351" s="58"/>
      <c r="O1351" s="58"/>
      <c r="P1351" s="80"/>
      <c r="Q1351" s="77"/>
      <c r="R1351" s="58"/>
      <c r="S1351" s="58"/>
      <c r="T1351" s="84"/>
      <c r="U1351" s="62"/>
      <c r="V1351" s="37" t="str">
        <f>IFERROR(__xludf.DUMMYFUNCTION("if(not(iserror(index(split(C1351, "" ""),2))), index(split(C1351, "" ""),1),"""")"),"")</f>
        <v/>
      </c>
      <c r="W1351" s="315" t="str">
        <f>IFERROR(__xludf.DUMMYFUNCTION("if(V1351="""",C1351,if(not(iserror(index(split(C1351, "" ""),3))), index(split(C1351, "" ""),3),index(split(C1351, "" ""),2)))"),"")</f>
        <v/>
      </c>
      <c r="X1351" s="38" t="b">
        <f t="shared" si="2"/>
        <v>0</v>
      </c>
      <c r="Y1351" s="38"/>
      <c r="Z1351" s="40"/>
      <c r="AA1351" s="40"/>
      <c r="AB1351" s="38"/>
      <c r="AC1351" s="38"/>
      <c r="AD1351" s="38"/>
      <c r="AE1351" s="38"/>
      <c r="AF1351" s="38"/>
      <c r="AG1351" s="38"/>
      <c r="AH1351" s="38"/>
      <c r="AI1351" s="38"/>
      <c r="AJ1351" s="38"/>
      <c r="AK1351" s="38"/>
      <c r="AL1351" s="38"/>
      <c r="AM1351" s="38"/>
      <c r="AN1351" s="38"/>
      <c r="AO1351" s="38"/>
      <c r="AP1351" s="38"/>
      <c r="AQ1351" s="38"/>
      <c r="AR1351" s="38"/>
      <c r="AS1351" s="38"/>
      <c r="AT1351" s="38"/>
      <c r="AU1351" s="38"/>
      <c r="AV1351" s="38"/>
      <c r="AW1351" s="38"/>
      <c r="AX1351" s="38"/>
      <c r="AY1351" s="38"/>
      <c r="AZ1351" s="38"/>
      <c r="BA1351" s="38"/>
      <c r="BB1351" s="38"/>
      <c r="BC1351" s="38"/>
      <c r="BD1351" s="38"/>
      <c r="BE1351" s="38"/>
      <c r="BF1351" s="38"/>
      <c r="BG1351" s="38"/>
    </row>
    <row r="1352">
      <c r="A1352" s="91"/>
      <c r="B1352" s="383"/>
      <c r="C1352" s="146"/>
      <c r="D1352" s="146"/>
      <c r="E1352" s="91"/>
      <c r="F1352" s="91"/>
      <c r="G1352" s="91"/>
      <c r="H1352" s="33" t="str">
        <f t="shared" si="1"/>
        <v/>
      </c>
      <c r="I1352" s="91"/>
      <c r="J1352" s="91"/>
      <c r="K1352" s="91"/>
      <c r="L1352" s="38"/>
      <c r="M1352" s="37"/>
      <c r="N1352" s="37"/>
      <c r="O1352" s="37"/>
      <c r="P1352" s="95"/>
      <c r="Q1352" s="14"/>
      <c r="R1352" s="120"/>
      <c r="S1352" s="120"/>
      <c r="T1352" s="58"/>
      <c r="U1352" s="62"/>
      <c r="V1352" s="37" t="str">
        <f>IFERROR(__xludf.DUMMYFUNCTION("if(not(iserror(index(split(C1352, "" ""),2))), index(split(C1352, "" ""),1),"""")"),"")</f>
        <v/>
      </c>
      <c r="W1352" s="315" t="str">
        <f>IFERROR(__xludf.DUMMYFUNCTION("if(V1352="""",C1352,if(not(iserror(index(split(C1352, "" ""),3))), index(split(C1352, "" ""),3),index(split(C1352, "" ""),2)))"),"")</f>
        <v/>
      </c>
      <c r="X1352" s="38" t="b">
        <f t="shared" si="2"/>
        <v>0</v>
      </c>
      <c r="Y1352" s="38"/>
      <c r="Z1352" s="40"/>
      <c r="AA1352" s="40"/>
      <c r="AB1352" s="38"/>
      <c r="AC1352" s="38"/>
      <c r="AD1352" s="38"/>
      <c r="AE1352" s="38"/>
      <c r="AF1352" s="38"/>
      <c r="AG1352" s="38"/>
      <c r="AH1352" s="38"/>
      <c r="AI1352" s="38"/>
      <c r="AJ1352" s="38"/>
      <c r="AK1352" s="38"/>
      <c r="AL1352" s="38"/>
      <c r="AM1352" s="38"/>
      <c r="AN1352" s="38"/>
      <c r="AO1352" s="38"/>
      <c r="AP1352" s="38"/>
      <c r="AQ1352" s="38"/>
      <c r="AR1352" s="38"/>
      <c r="AS1352" s="38"/>
      <c r="AT1352" s="38"/>
      <c r="AU1352" s="38"/>
      <c r="AV1352" s="38"/>
      <c r="AW1352" s="38"/>
      <c r="AX1352" s="38"/>
      <c r="AY1352" s="38"/>
      <c r="AZ1352" s="38"/>
      <c r="BA1352" s="38"/>
      <c r="BB1352" s="38"/>
      <c r="BC1352" s="38"/>
      <c r="BD1352" s="38"/>
      <c r="BE1352" s="38"/>
      <c r="BF1352" s="38"/>
      <c r="BG1352" s="38"/>
    </row>
    <row r="1353">
      <c r="A1353" s="396"/>
      <c r="B1353" s="341"/>
      <c r="C1353" s="60"/>
      <c r="D1353" s="60"/>
      <c r="E1353" s="58"/>
      <c r="F1353" s="58"/>
      <c r="G1353" s="58"/>
      <c r="H1353" s="33" t="str">
        <f t="shared" si="1"/>
        <v/>
      </c>
      <c r="I1353" s="58"/>
      <c r="J1353" s="58"/>
      <c r="K1353" s="58"/>
      <c r="L1353" s="38"/>
      <c r="M1353" s="58"/>
      <c r="N1353" s="58"/>
      <c r="O1353" s="58"/>
      <c r="P1353" s="80"/>
      <c r="Q1353" s="77"/>
      <c r="R1353" s="62"/>
      <c r="S1353" s="62"/>
      <c r="T1353" s="62"/>
      <c r="U1353" s="62"/>
      <c r="V1353" s="37" t="str">
        <f>IFERROR(__xludf.DUMMYFUNCTION("if(not(iserror(index(split(C1353, "" ""),2))), index(split(C1353, "" ""),1),"""")"),"")</f>
        <v/>
      </c>
      <c r="W1353" s="315" t="str">
        <f>IFERROR(__xludf.DUMMYFUNCTION("if(V1353="""",C1353,if(not(iserror(index(split(C1353, "" ""),3))), index(split(C1353, "" ""),3),index(split(C1353, "" ""),2)))"),"")</f>
        <v/>
      </c>
      <c r="X1353" s="38" t="b">
        <f t="shared" si="2"/>
        <v>0</v>
      </c>
      <c r="Y1353" s="38"/>
      <c r="Z1353" s="40"/>
      <c r="AA1353" s="40"/>
      <c r="AB1353" s="38"/>
      <c r="AC1353" s="38"/>
      <c r="AD1353" s="38"/>
      <c r="AE1353" s="38"/>
      <c r="AF1353" s="38"/>
      <c r="AG1353" s="38"/>
      <c r="AH1353" s="38"/>
      <c r="AI1353" s="38"/>
      <c r="AJ1353" s="38"/>
      <c r="AK1353" s="38"/>
      <c r="AL1353" s="38"/>
      <c r="AM1353" s="38"/>
      <c r="AN1353" s="38"/>
      <c r="AO1353" s="38"/>
      <c r="AP1353" s="38"/>
      <c r="AQ1353" s="38"/>
      <c r="AR1353" s="38"/>
      <c r="AS1353" s="38"/>
      <c r="AT1353" s="38"/>
      <c r="AU1353" s="38"/>
      <c r="AV1353" s="38"/>
      <c r="AW1353" s="38"/>
      <c r="AX1353" s="38"/>
      <c r="AY1353" s="38"/>
      <c r="AZ1353" s="38"/>
      <c r="BA1353" s="38"/>
      <c r="BB1353" s="38"/>
      <c r="BC1353" s="38"/>
      <c r="BD1353" s="38"/>
      <c r="BE1353" s="38"/>
      <c r="BF1353" s="38"/>
      <c r="BG1353" s="38"/>
    </row>
    <row r="1354">
      <c r="A1354" s="58"/>
      <c r="B1354" s="341"/>
      <c r="C1354" s="60"/>
      <c r="D1354" s="60"/>
      <c r="E1354" s="58"/>
      <c r="F1354" s="58"/>
      <c r="G1354" s="58"/>
      <c r="H1354" s="33" t="str">
        <f t="shared" si="1"/>
        <v/>
      </c>
      <c r="I1354" s="58"/>
      <c r="J1354" s="58"/>
      <c r="K1354" s="58"/>
      <c r="L1354" s="38"/>
      <c r="M1354" s="58"/>
      <c r="N1354" s="58"/>
      <c r="O1354" s="58"/>
      <c r="P1354" s="80"/>
      <c r="Q1354" s="77"/>
      <c r="R1354" s="62"/>
      <c r="S1354" s="62"/>
      <c r="T1354" s="62"/>
      <c r="U1354" s="62"/>
      <c r="V1354" s="37" t="str">
        <f>IFERROR(__xludf.DUMMYFUNCTION("if(not(iserror(index(split(C1354, "" ""),2))), index(split(C1354, "" ""),1),"""")"),"")</f>
        <v/>
      </c>
      <c r="W1354" s="315" t="str">
        <f>IFERROR(__xludf.DUMMYFUNCTION("if(V1354="""",C1354,if(not(iserror(index(split(C1354, "" ""),3))), index(split(C1354, "" ""),3),index(split(C1354, "" ""),2)))"),"")</f>
        <v/>
      </c>
      <c r="X1354" s="38" t="b">
        <f t="shared" si="2"/>
        <v>0</v>
      </c>
      <c r="Y1354" s="38"/>
      <c r="Z1354" s="40"/>
      <c r="AA1354" s="40"/>
      <c r="AB1354" s="38"/>
      <c r="AC1354" s="38"/>
      <c r="AD1354" s="38"/>
      <c r="AE1354" s="38"/>
      <c r="AF1354" s="38"/>
      <c r="AG1354" s="38"/>
      <c r="AH1354" s="38"/>
      <c r="AI1354" s="38"/>
      <c r="AJ1354" s="38"/>
      <c r="AK1354" s="38"/>
      <c r="AL1354" s="38"/>
      <c r="AM1354" s="38"/>
      <c r="AN1354" s="38"/>
      <c r="AO1354" s="38"/>
      <c r="AP1354" s="38"/>
      <c r="AQ1354" s="38"/>
      <c r="AR1354" s="38"/>
      <c r="AS1354" s="38"/>
      <c r="AT1354" s="38"/>
      <c r="AU1354" s="38"/>
      <c r="AV1354" s="38"/>
      <c r="AW1354" s="38"/>
      <c r="AX1354" s="38"/>
      <c r="AY1354" s="38"/>
      <c r="AZ1354" s="38"/>
      <c r="BA1354" s="38"/>
      <c r="BB1354" s="38"/>
      <c r="BC1354" s="38"/>
      <c r="BD1354" s="38"/>
      <c r="BE1354" s="38"/>
      <c r="BF1354" s="38"/>
      <c r="BG1354" s="38"/>
    </row>
    <row r="1355">
      <c r="A1355" s="58"/>
      <c r="B1355" s="341"/>
      <c r="C1355" s="60"/>
      <c r="D1355" s="60"/>
      <c r="E1355" s="58"/>
      <c r="F1355" s="58"/>
      <c r="G1355" s="58"/>
      <c r="H1355" s="33" t="str">
        <f t="shared" si="1"/>
        <v/>
      </c>
      <c r="I1355" s="58"/>
      <c r="J1355" s="58"/>
      <c r="K1355" s="58"/>
      <c r="L1355" s="38"/>
      <c r="M1355" s="58"/>
      <c r="N1355" s="58"/>
      <c r="O1355" s="58"/>
      <c r="P1355" s="80"/>
      <c r="Q1355" s="77"/>
      <c r="R1355" s="62"/>
      <c r="S1355" s="62"/>
      <c r="T1355" s="62"/>
      <c r="U1355" s="62"/>
      <c r="V1355" s="37" t="str">
        <f>IFERROR(__xludf.DUMMYFUNCTION("if(not(iserror(index(split(C1355, "" ""),2))), index(split(C1355, "" ""),1),"""")"),"")</f>
        <v/>
      </c>
      <c r="W1355" s="315" t="str">
        <f>IFERROR(__xludf.DUMMYFUNCTION("if(V1355="""",C1355,if(not(iserror(index(split(C1355, "" ""),3))), index(split(C1355, "" ""),3),index(split(C1355, "" ""),2)))"),"")</f>
        <v/>
      </c>
      <c r="X1355" s="38" t="b">
        <f t="shared" si="2"/>
        <v>0</v>
      </c>
      <c r="Y1355" s="38"/>
      <c r="Z1355" s="40"/>
      <c r="AA1355" s="40"/>
      <c r="AB1355" s="38"/>
      <c r="AC1355" s="38"/>
      <c r="AD1355" s="38"/>
      <c r="AE1355" s="38"/>
      <c r="AF1355" s="38"/>
      <c r="AG1355" s="38"/>
      <c r="AH1355" s="38"/>
      <c r="AI1355" s="38"/>
      <c r="AJ1355" s="38"/>
      <c r="AK1355" s="38"/>
      <c r="AL1355" s="38"/>
      <c r="AM1355" s="38"/>
      <c r="AN1355" s="38"/>
      <c r="AO1355" s="38"/>
      <c r="AP1355" s="38"/>
      <c r="AQ1355" s="38"/>
      <c r="AR1355" s="38"/>
      <c r="AS1355" s="38"/>
      <c r="AT1355" s="38"/>
      <c r="AU1355" s="38"/>
      <c r="AV1355" s="38"/>
      <c r="AW1355" s="38"/>
      <c r="AX1355" s="38"/>
      <c r="AY1355" s="38"/>
      <c r="AZ1355" s="38"/>
      <c r="BA1355" s="38"/>
      <c r="BB1355" s="38"/>
      <c r="BC1355" s="38"/>
      <c r="BD1355" s="38"/>
      <c r="BE1355" s="38"/>
      <c r="BF1355" s="38"/>
      <c r="BG1355" s="38"/>
    </row>
    <row r="1356">
      <c r="A1356" s="58"/>
      <c r="B1356" s="341"/>
      <c r="C1356" s="60"/>
      <c r="D1356" s="60"/>
      <c r="E1356" s="58"/>
      <c r="F1356" s="58"/>
      <c r="G1356" s="58"/>
      <c r="H1356" s="33" t="str">
        <f t="shared" si="1"/>
        <v/>
      </c>
      <c r="I1356" s="58"/>
      <c r="J1356" s="58"/>
      <c r="K1356" s="58"/>
      <c r="L1356" s="38"/>
      <c r="M1356" s="58"/>
      <c r="N1356" s="58"/>
      <c r="O1356" s="58"/>
      <c r="P1356" s="80"/>
      <c r="Q1356" s="77"/>
      <c r="R1356" s="62"/>
      <c r="S1356" s="58"/>
      <c r="T1356" s="84"/>
      <c r="U1356" s="62"/>
      <c r="V1356" s="37" t="str">
        <f>IFERROR(__xludf.DUMMYFUNCTION("if(not(iserror(index(split(C1356, "" ""),2))), index(split(C1356, "" ""),1),"""")"),"")</f>
        <v/>
      </c>
      <c r="W1356" s="315" t="str">
        <f>IFERROR(__xludf.DUMMYFUNCTION("if(V1356="""",C1356,if(not(iserror(index(split(C1356, "" ""),3))), index(split(C1356, "" ""),3),index(split(C1356, "" ""),2)))"),"")</f>
        <v/>
      </c>
      <c r="X1356" s="38" t="b">
        <f t="shared" si="2"/>
        <v>0</v>
      </c>
      <c r="Y1356" s="38"/>
      <c r="Z1356" s="40"/>
      <c r="AA1356" s="40"/>
      <c r="AB1356" s="38"/>
      <c r="AC1356" s="38"/>
      <c r="AD1356" s="38"/>
      <c r="AE1356" s="38"/>
      <c r="AF1356" s="38"/>
      <c r="AG1356" s="38"/>
      <c r="AH1356" s="38"/>
      <c r="AI1356" s="38"/>
      <c r="AJ1356" s="38"/>
      <c r="AK1356" s="38"/>
      <c r="AL1356" s="38"/>
      <c r="AM1356" s="38"/>
      <c r="AN1356" s="38"/>
      <c r="AO1356" s="38"/>
      <c r="AP1356" s="38"/>
      <c r="AQ1356" s="38"/>
      <c r="AR1356" s="38"/>
      <c r="AS1356" s="38"/>
      <c r="AT1356" s="38"/>
      <c r="AU1356" s="38"/>
      <c r="AV1356" s="38"/>
      <c r="AW1356" s="38"/>
      <c r="AX1356" s="38"/>
      <c r="AY1356" s="38"/>
      <c r="AZ1356" s="38"/>
      <c r="BA1356" s="38"/>
      <c r="BB1356" s="38"/>
      <c r="BC1356" s="38"/>
      <c r="BD1356" s="38"/>
      <c r="BE1356" s="38"/>
      <c r="BF1356" s="38"/>
      <c r="BG1356" s="38"/>
    </row>
    <row r="1357">
      <c r="A1357" s="58"/>
      <c r="B1357" s="341"/>
      <c r="C1357" s="60"/>
      <c r="D1357" s="60"/>
      <c r="E1357" s="58"/>
      <c r="F1357" s="58"/>
      <c r="G1357" s="58"/>
      <c r="H1357" s="33" t="str">
        <f t="shared" si="1"/>
        <v/>
      </c>
      <c r="I1357" s="58"/>
      <c r="J1357" s="58"/>
      <c r="K1357" s="58"/>
      <c r="L1357" s="38"/>
      <c r="M1357" s="58"/>
      <c r="N1357" s="58"/>
      <c r="O1357" s="58"/>
      <c r="P1357" s="397"/>
      <c r="Q1357" s="77"/>
      <c r="R1357" s="58"/>
      <c r="S1357" s="58"/>
      <c r="T1357" s="84"/>
      <c r="U1357" s="62"/>
      <c r="V1357" s="37" t="str">
        <f>IFERROR(__xludf.DUMMYFUNCTION("if(not(iserror(index(split(C1357, "" ""),2))), index(split(C1357, "" ""),1),"""")"),"")</f>
        <v/>
      </c>
      <c r="W1357" s="315" t="str">
        <f>IFERROR(__xludf.DUMMYFUNCTION("if(V1357="""",C1357,if(not(iserror(index(split(C1357, "" ""),3))), index(split(C1357, "" ""),3),index(split(C1357, "" ""),2)))"),"")</f>
        <v/>
      </c>
      <c r="X1357" s="38" t="b">
        <f t="shared" si="2"/>
        <v>0</v>
      </c>
      <c r="Y1357" s="38"/>
      <c r="Z1357" s="40"/>
      <c r="AA1357" s="40"/>
      <c r="AB1357" s="38"/>
      <c r="AC1357" s="38"/>
      <c r="AD1357" s="38"/>
      <c r="AE1357" s="38"/>
      <c r="AF1357" s="38"/>
      <c r="AG1357" s="38"/>
      <c r="AH1357" s="38"/>
      <c r="AI1357" s="38"/>
      <c r="AJ1357" s="38"/>
      <c r="AK1357" s="38"/>
      <c r="AL1357" s="38"/>
      <c r="AM1357" s="38"/>
      <c r="AN1357" s="38"/>
      <c r="AO1357" s="38"/>
      <c r="AP1357" s="38"/>
      <c r="AQ1357" s="38"/>
      <c r="AR1357" s="38"/>
      <c r="AS1357" s="38"/>
      <c r="AT1357" s="38"/>
      <c r="AU1357" s="38"/>
      <c r="AV1357" s="38"/>
      <c r="AW1357" s="38"/>
      <c r="AX1357" s="38"/>
      <c r="AY1357" s="38"/>
      <c r="AZ1357" s="38"/>
      <c r="BA1357" s="38"/>
      <c r="BB1357" s="38"/>
      <c r="BC1357" s="38"/>
      <c r="BD1357" s="38"/>
      <c r="BE1357" s="38"/>
      <c r="BF1357" s="38"/>
      <c r="BG1357" s="38"/>
    </row>
    <row r="1358">
      <c r="A1358" s="58"/>
      <c r="B1358" s="341"/>
      <c r="C1358" s="60"/>
      <c r="D1358" s="60"/>
      <c r="E1358" s="58"/>
      <c r="F1358" s="58"/>
      <c r="G1358" s="58"/>
      <c r="H1358" s="33" t="str">
        <f t="shared" si="1"/>
        <v/>
      </c>
      <c r="I1358" s="58"/>
      <c r="J1358" s="58"/>
      <c r="K1358" s="58"/>
      <c r="L1358" s="38"/>
      <c r="M1358" s="58"/>
      <c r="N1358" s="58"/>
      <c r="O1358" s="58"/>
      <c r="P1358" s="80"/>
      <c r="Q1358" s="77"/>
      <c r="R1358" s="58"/>
      <c r="S1358" s="58"/>
      <c r="T1358" s="84"/>
      <c r="U1358" s="62"/>
      <c r="V1358" s="37" t="str">
        <f>IFERROR(__xludf.DUMMYFUNCTION("if(not(iserror(index(split(C1358, "" ""),2))), index(split(C1358, "" ""),1),"""")"),"")</f>
        <v/>
      </c>
      <c r="W1358" s="315" t="str">
        <f>IFERROR(__xludf.DUMMYFUNCTION("if(V1358="""",C1358,if(not(iserror(index(split(C1358, "" ""),3))), index(split(C1358, "" ""),3),index(split(C1358, "" ""),2)))"),"")</f>
        <v/>
      </c>
      <c r="X1358" s="38" t="b">
        <f t="shared" si="2"/>
        <v>0</v>
      </c>
      <c r="Y1358" s="38"/>
      <c r="Z1358" s="40"/>
      <c r="AA1358" s="40"/>
      <c r="AB1358" s="38"/>
      <c r="AC1358" s="38"/>
      <c r="AD1358" s="38"/>
      <c r="AE1358" s="38"/>
      <c r="AF1358" s="38"/>
      <c r="AG1358" s="38"/>
      <c r="AH1358" s="38"/>
      <c r="AI1358" s="38"/>
      <c r="AJ1358" s="38"/>
      <c r="AK1358" s="38"/>
      <c r="AL1358" s="38"/>
      <c r="AM1358" s="38"/>
      <c r="AN1358" s="38"/>
      <c r="AO1358" s="38"/>
      <c r="AP1358" s="38"/>
      <c r="AQ1358" s="38"/>
      <c r="AR1358" s="38"/>
      <c r="AS1358" s="38"/>
      <c r="AT1358" s="38"/>
      <c r="AU1358" s="38"/>
      <c r="AV1358" s="38"/>
      <c r="AW1358" s="38"/>
      <c r="AX1358" s="38"/>
      <c r="AY1358" s="38"/>
      <c r="AZ1358" s="38"/>
      <c r="BA1358" s="38"/>
      <c r="BB1358" s="38"/>
      <c r="BC1358" s="38"/>
      <c r="BD1358" s="38"/>
      <c r="BE1358" s="38"/>
      <c r="BF1358" s="38"/>
      <c r="BG1358" s="38"/>
    </row>
    <row r="1359">
      <c r="A1359" s="58"/>
      <c r="B1359" s="341"/>
      <c r="C1359" s="60"/>
      <c r="D1359" s="60"/>
      <c r="E1359" s="58"/>
      <c r="F1359" s="58"/>
      <c r="G1359" s="58"/>
      <c r="H1359" s="33" t="str">
        <f t="shared" si="1"/>
        <v/>
      </c>
      <c r="I1359" s="58"/>
      <c r="J1359" s="58"/>
      <c r="K1359" s="58"/>
      <c r="L1359" s="38"/>
      <c r="M1359" s="58"/>
      <c r="N1359" s="58"/>
      <c r="O1359" s="58"/>
      <c r="P1359" s="80"/>
      <c r="Q1359" s="77"/>
      <c r="R1359" s="62"/>
      <c r="S1359" s="62"/>
      <c r="T1359" s="62"/>
      <c r="U1359" s="62"/>
      <c r="V1359" s="37" t="str">
        <f>IFERROR(__xludf.DUMMYFUNCTION("if(not(iserror(index(split(C1359, "" ""),2))), index(split(C1359, "" ""),1),"""")"),"")</f>
        <v/>
      </c>
      <c r="W1359" s="315" t="str">
        <f>IFERROR(__xludf.DUMMYFUNCTION("if(V1359="""",C1359,if(not(iserror(index(split(C1359, "" ""),3))), index(split(C1359, "" ""),3),index(split(C1359, "" ""),2)))"),"")</f>
        <v/>
      </c>
      <c r="X1359" s="38" t="b">
        <f t="shared" si="2"/>
        <v>0</v>
      </c>
      <c r="Y1359" s="38"/>
      <c r="Z1359" s="40"/>
      <c r="AA1359" s="40"/>
      <c r="AB1359" s="38"/>
      <c r="AC1359" s="38"/>
      <c r="AD1359" s="38"/>
      <c r="AE1359" s="38"/>
      <c r="AF1359" s="38"/>
      <c r="AG1359" s="38"/>
      <c r="AH1359" s="38"/>
      <c r="AI1359" s="38"/>
      <c r="AJ1359" s="38"/>
      <c r="AK1359" s="38"/>
      <c r="AL1359" s="38"/>
      <c r="AM1359" s="38"/>
      <c r="AN1359" s="38"/>
      <c r="AO1359" s="38"/>
      <c r="AP1359" s="38"/>
      <c r="AQ1359" s="38"/>
      <c r="AR1359" s="38"/>
      <c r="AS1359" s="38"/>
      <c r="AT1359" s="38"/>
      <c r="AU1359" s="38"/>
      <c r="AV1359" s="38"/>
      <c r="AW1359" s="38"/>
      <c r="AX1359" s="38"/>
      <c r="AY1359" s="38"/>
      <c r="AZ1359" s="38"/>
      <c r="BA1359" s="38"/>
      <c r="BB1359" s="38"/>
      <c r="BC1359" s="38"/>
      <c r="BD1359" s="38"/>
      <c r="BE1359" s="38"/>
      <c r="BF1359" s="38"/>
      <c r="BG1359" s="38"/>
    </row>
    <row r="1360">
      <c r="A1360" s="58"/>
      <c r="B1360" s="341"/>
      <c r="C1360" s="60"/>
      <c r="D1360" s="60"/>
      <c r="E1360" s="58"/>
      <c r="F1360" s="58"/>
      <c r="G1360" s="58"/>
      <c r="H1360" s="33" t="str">
        <f t="shared" si="1"/>
        <v/>
      </c>
      <c r="I1360" s="58"/>
      <c r="J1360" s="58"/>
      <c r="K1360" s="58"/>
      <c r="L1360" s="38"/>
      <c r="M1360" s="58"/>
      <c r="N1360" s="58"/>
      <c r="O1360" s="58"/>
      <c r="P1360" s="80"/>
      <c r="Q1360" s="77"/>
      <c r="R1360" s="62"/>
      <c r="S1360" s="62"/>
      <c r="T1360" s="62"/>
      <c r="U1360" s="62"/>
      <c r="V1360" s="37" t="str">
        <f>IFERROR(__xludf.DUMMYFUNCTION("if(not(iserror(index(split(C1360, "" ""),2))), index(split(C1360, "" ""),1),"""")"),"")</f>
        <v/>
      </c>
      <c r="W1360" s="315" t="str">
        <f>IFERROR(__xludf.DUMMYFUNCTION("if(V1360="""",C1360,if(not(iserror(index(split(C1360, "" ""),3))), index(split(C1360, "" ""),3),index(split(C1360, "" ""),2)))"),"")</f>
        <v/>
      </c>
      <c r="X1360" s="38" t="b">
        <f t="shared" si="2"/>
        <v>0</v>
      </c>
      <c r="Y1360" s="38"/>
      <c r="Z1360" s="40"/>
      <c r="AA1360" s="40"/>
      <c r="AB1360" s="38"/>
      <c r="AC1360" s="38"/>
      <c r="AD1360" s="38"/>
      <c r="AE1360" s="38"/>
      <c r="AF1360" s="38"/>
      <c r="AG1360" s="38"/>
      <c r="AH1360" s="38"/>
      <c r="AI1360" s="38"/>
      <c r="AJ1360" s="38"/>
      <c r="AK1360" s="38"/>
      <c r="AL1360" s="38"/>
      <c r="AM1360" s="38"/>
      <c r="AN1360" s="38"/>
      <c r="AO1360" s="38"/>
      <c r="AP1360" s="38"/>
      <c r="AQ1360" s="38"/>
      <c r="AR1360" s="38"/>
      <c r="AS1360" s="38"/>
      <c r="AT1360" s="38"/>
      <c r="AU1360" s="38"/>
      <c r="AV1360" s="38"/>
      <c r="AW1360" s="38"/>
      <c r="AX1360" s="38"/>
      <c r="AY1360" s="38"/>
      <c r="AZ1360" s="38"/>
      <c r="BA1360" s="38"/>
      <c r="BB1360" s="38"/>
      <c r="BC1360" s="38"/>
      <c r="BD1360" s="38"/>
      <c r="BE1360" s="38"/>
      <c r="BF1360" s="38"/>
      <c r="BG1360" s="38"/>
    </row>
    <row r="1361">
      <c r="A1361" s="58"/>
      <c r="B1361" s="341"/>
      <c r="C1361" s="60"/>
      <c r="D1361" s="60"/>
      <c r="E1361" s="58"/>
      <c r="F1361" s="58"/>
      <c r="G1361" s="58"/>
      <c r="H1361" s="33" t="str">
        <f t="shared" si="1"/>
        <v/>
      </c>
      <c r="I1361" s="58"/>
      <c r="J1361" s="58"/>
      <c r="K1361" s="58"/>
      <c r="L1361" s="38"/>
      <c r="M1361" s="58"/>
      <c r="N1361" s="58"/>
      <c r="O1361" s="58"/>
      <c r="P1361" s="80"/>
      <c r="Q1361" s="77"/>
      <c r="R1361" s="62"/>
      <c r="S1361" s="62"/>
      <c r="T1361" s="62"/>
      <c r="U1361" s="62"/>
      <c r="V1361" s="37" t="str">
        <f>IFERROR(__xludf.DUMMYFUNCTION("if(not(iserror(index(split(C1361, "" ""),2))), index(split(C1361, "" ""),1),"""")"),"")</f>
        <v/>
      </c>
      <c r="W1361" s="315" t="str">
        <f>IFERROR(__xludf.DUMMYFUNCTION("if(V1361="""",C1361,if(not(iserror(index(split(C1361, "" ""),3))), index(split(C1361, "" ""),3),index(split(C1361, "" ""),2)))"),"")</f>
        <v/>
      </c>
      <c r="X1361" s="38" t="b">
        <f t="shared" si="2"/>
        <v>0</v>
      </c>
      <c r="Y1361" s="38"/>
      <c r="Z1361" s="40"/>
      <c r="AA1361" s="40"/>
      <c r="AB1361" s="38"/>
      <c r="AC1361" s="38"/>
      <c r="AD1361" s="38"/>
      <c r="AE1361" s="38"/>
      <c r="AF1361" s="38"/>
      <c r="AG1361" s="38"/>
      <c r="AH1361" s="38"/>
      <c r="AI1361" s="38"/>
      <c r="AJ1361" s="38"/>
      <c r="AK1361" s="38"/>
      <c r="AL1361" s="38"/>
      <c r="AM1361" s="38"/>
      <c r="AN1361" s="38"/>
      <c r="AO1361" s="38"/>
      <c r="AP1361" s="38"/>
      <c r="AQ1361" s="38"/>
      <c r="AR1361" s="38"/>
      <c r="AS1361" s="38"/>
      <c r="AT1361" s="38"/>
      <c r="AU1361" s="38"/>
      <c r="AV1361" s="38"/>
      <c r="AW1361" s="38"/>
      <c r="AX1361" s="38"/>
      <c r="AY1361" s="38"/>
      <c r="AZ1361" s="38"/>
      <c r="BA1361" s="38"/>
      <c r="BB1361" s="38"/>
      <c r="BC1361" s="38"/>
      <c r="BD1361" s="38"/>
      <c r="BE1361" s="38"/>
      <c r="BF1361" s="38"/>
      <c r="BG1361" s="38"/>
    </row>
    <row r="1362">
      <c r="A1362" s="58"/>
      <c r="B1362" s="341"/>
      <c r="C1362" s="60"/>
      <c r="D1362" s="60"/>
      <c r="E1362" s="58"/>
      <c r="F1362" s="58"/>
      <c r="G1362" s="58"/>
      <c r="H1362" s="33" t="str">
        <f t="shared" si="1"/>
        <v/>
      </c>
      <c r="I1362" s="58"/>
      <c r="J1362" s="58"/>
      <c r="K1362" s="58"/>
      <c r="L1362" s="38"/>
      <c r="M1362" s="58"/>
      <c r="N1362" s="58"/>
      <c r="O1362" s="58"/>
      <c r="P1362" s="80"/>
      <c r="Q1362" s="77"/>
      <c r="R1362" s="62"/>
      <c r="S1362" s="62"/>
      <c r="T1362" s="62"/>
      <c r="U1362" s="62"/>
      <c r="V1362" s="37" t="str">
        <f>IFERROR(__xludf.DUMMYFUNCTION("if(not(iserror(index(split(C1362, "" ""),2))), index(split(C1362, "" ""),1),"""")"),"")</f>
        <v/>
      </c>
      <c r="W1362" s="315" t="str">
        <f>IFERROR(__xludf.DUMMYFUNCTION("if(V1362="""",C1362,if(not(iserror(index(split(C1362, "" ""),3))), index(split(C1362, "" ""),3),index(split(C1362, "" ""),2)))"),"")</f>
        <v/>
      </c>
      <c r="X1362" s="38" t="b">
        <f t="shared" si="2"/>
        <v>0</v>
      </c>
      <c r="Y1362" s="38"/>
      <c r="Z1362" s="40"/>
      <c r="AA1362" s="40"/>
      <c r="AB1362" s="38"/>
      <c r="AC1362" s="38"/>
      <c r="AD1362" s="38"/>
      <c r="AE1362" s="38"/>
      <c r="AF1362" s="38"/>
      <c r="AG1362" s="38"/>
      <c r="AH1362" s="38"/>
      <c r="AI1362" s="38"/>
      <c r="AJ1362" s="38"/>
      <c r="AK1362" s="38"/>
      <c r="AL1362" s="38"/>
      <c r="AM1362" s="38"/>
      <c r="AN1362" s="38"/>
      <c r="AO1362" s="38"/>
      <c r="AP1362" s="38"/>
      <c r="AQ1362" s="38"/>
      <c r="AR1362" s="38"/>
      <c r="AS1362" s="38"/>
      <c r="AT1362" s="38"/>
      <c r="AU1362" s="38"/>
      <c r="AV1362" s="38"/>
      <c r="AW1362" s="38"/>
      <c r="AX1362" s="38"/>
      <c r="AY1362" s="38"/>
      <c r="AZ1362" s="38"/>
      <c r="BA1362" s="38"/>
      <c r="BB1362" s="38"/>
      <c r="BC1362" s="38"/>
      <c r="BD1362" s="38"/>
      <c r="BE1362" s="38"/>
      <c r="BF1362" s="38"/>
      <c r="BG1362" s="38"/>
    </row>
    <row r="1363">
      <c r="A1363" s="58"/>
      <c r="B1363" s="341"/>
      <c r="C1363" s="60"/>
      <c r="D1363" s="60"/>
      <c r="E1363" s="58"/>
      <c r="F1363" s="58"/>
      <c r="G1363" s="58"/>
      <c r="H1363" s="33" t="str">
        <f t="shared" si="1"/>
        <v/>
      </c>
      <c r="I1363" s="58"/>
      <c r="J1363" s="58"/>
      <c r="K1363" s="58"/>
      <c r="L1363" s="38"/>
      <c r="M1363" s="58"/>
      <c r="N1363" s="58"/>
      <c r="O1363" s="58"/>
      <c r="P1363" s="80"/>
      <c r="Q1363" s="77"/>
      <c r="R1363" s="62"/>
      <c r="S1363" s="62"/>
      <c r="T1363" s="62"/>
      <c r="U1363" s="62"/>
      <c r="V1363" s="37" t="str">
        <f>IFERROR(__xludf.DUMMYFUNCTION("if(not(iserror(index(split(C1363, "" ""),2))), index(split(C1363, "" ""),1),"""")"),"")</f>
        <v/>
      </c>
      <c r="W1363" s="315" t="str">
        <f>IFERROR(__xludf.DUMMYFUNCTION("if(V1363="""",C1363,if(not(iserror(index(split(C1363, "" ""),3))), index(split(C1363, "" ""),3),index(split(C1363, "" ""),2)))"),"")</f>
        <v/>
      </c>
      <c r="X1363" s="38" t="b">
        <f t="shared" si="2"/>
        <v>0</v>
      </c>
      <c r="Y1363" s="38"/>
      <c r="Z1363" s="40"/>
      <c r="AA1363" s="40"/>
      <c r="AB1363" s="38"/>
      <c r="AC1363" s="38"/>
      <c r="AD1363" s="38"/>
      <c r="AE1363" s="38"/>
      <c r="AF1363" s="38"/>
      <c r="AG1363" s="38"/>
      <c r="AH1363" s="38"/>
      <c r="AI1363" s="38"/>
      <c r="AJ1363" s="38"/>
      <c r="AK1363" s="38"/>
      <c r="AL1363" s="38"/>
      <c r="AM1363" s="38"/>
      <c r="AN1363" s="38"/>
      <c r="AO1363" s="38"/>
      <c r="AP1363" s="38"/>
      <c r="AQ1363" s="38"/>
      <c r="AR1363" s="38"/>
      <c r="AS1363" s="38"/>
      <c r="AT1363" s="38"/>
      <c r="AU1363" s="38"/>
      <c r="AV1363" s="38"/>
      <c r="AW1363" s="38"/>
      <c r="AX1363" s="38"/>
      <c r="AY1363" s="38"/>
      <c r="AZ1363" s="38"/>
      <c r="BA1363" s="38"/>
      <c r="BB1363" s="38"/>
      <c r="BC1363" s="38"/>
      <c r="BD1363" s="38"/>
      <c r="BE1363" s="38"/>
      <c r="BF1363" s="38"/>
      <c r="BG1363" s="38"/>
    </row>
    <row r="1364">
      <c r="A1364" s="375"/>
      <c r="B1364" s="341"/>
      <c r="C1364" s="60"/>
      <c r="D1364" s="60"/>
      <c r="E1364" s="58"/>
      <c r="F1364" s="58"/>
      <c r="G1364" s="58"/>
      <c r="H1364" s="33" t="str">
        <f t="shared" si="1"/>
        <v/>
      </c>
      <c r="I1364" s="58"/>
      <c r="J1364" s="58"/>
      <c r="K1364" s="58"/>
      <c r="L1364" s="38"/>
      <c r="M1364" s="58"/>
      <c r="N1364" s="58"/>
      <c r="O1364" s="58"/>
      <c r="P1364" s="80"/>
      <c r="Q1364" s="77"/>
      <c r="R1364" s="62"/>
      <c r="S1364" s="62"/>
      <c r="T1364" s="84"/>
      <c r="U1364" s="62"/>
      <c r="V1364" s="37" t="str">
        <f>IFERROR(__xludf.DUMMYFUNCTION("if(not(iserror(index(split(C1364, "" ""),2))), index(split(C1364, "" ""),1),"""")"),"")</f>
        <v/>
      </c>
      <c r="W1364" s="315" t="str">
        <f>IFERROR(__xludf.DUMMYFUNCTION("if(V1364="""",C1364,if(not(iserror(index(split(C1364, "" ""),3))), index(split(C1364, "" ""),3),index(split(C1364, "" ""),2)))"),"")</f>
        <v/>
      </c>
      <c r="X1364" s="38" t="b">
        <f t="shared" si="2"/>
        <v>0</v>
      </c>
      <c r="Y1364" s="38"/>
      <c r="Z1364" s="40"/>
      <c r="AA1364" s="40"/>
      <c r="AB1364" s="38"/>
      <c r="AC1364" s="38"/>
      <c r="AD1364" s="38"/>
      <c r="AE1364" s="38"/>
      <c r="AF1364" s="38"/>
      <c r="AG1364" s="38"/>
      <c r="AH1364" s="38"/>
      <c r="AI1364" s="38"/>
      <c r="AJ1364" s="38"/>
      <c r="AK1364" s="38"/>
      <c r="AL1364" s="38"/>
      <c r="AM1364" s="38"/>
      <c r="AN1364" s="38"/>
      <c r="AO1364" s="38"/>
      <c r="AP1364" s="38"/>
      <c r="AQ1364" s="38"/>
      <c r="AR1364" s="38"/>
      <c r="AS1364" s="38"/>
      <c r="AT1364" s="38"/>
      <c r="AU1364" s="38"/>
      <c r="AV1364" s="38"/>
      <c r="AW1364" s="38"/>
      <c r="AX1364" s="38"/>
      <c r="AY1364" s="38"/>
      <c r="AZ1364" s="38"/>
      <c r="BA1364" s="38"/>
      <c r="BB1364" s="38"/>
      <c r="BC1364" s="38"/>
      <c r="BD1364" s="38"/>
      <c r="BE1364" s="38"/>
      <c r="BF1364" s="38"/>
      <c r="BG1364" s="38"/>
    </row>
    <row r="1365">
      <c r="A1365" s="58"/>
      <c r="B1365" s="341"/>
      <c r="C1365" s="60"/>
      <c r="D1365" s="60"/>
      <c r="E1365" s="58"/>
      <c r="F1365" s="58"/>
      <c r="G1365" s="58"/>
      <c r="H1365" s="33" t="str">
        <f t="shared" si="1"/>
        <v/>
      </c>
      <c r="I1365" s="58"/>
      <c r="J1365" s="58"/>
      <c r="K1365" s="58"/>
      <c r="L1365" s="38"/>
      <c r="M1365" s="58"/>
      <c r="N1365" s="58"/>
      <c r="O1365" s="58"/>
      <c r="P1365" s="80"/>
      <c r="Q1365" s="77"/>
      <c r="R1365" s="62"/>
      <c r="S1365" s="62"/>
      <c r="T1365" s="84"/>
      <c r="U1365" s="62"/>
      <c r="V1365" s="37" t="str">
        <f>IFERROR(__xludf.DUMMYFUNCTION("if(not(iserror(index(split(C1365, "" ""),2))), index(split(C1365, "" ""),1),"""")"),"")</f>
        <v/>
      </c>
      <c r="W1365" s="315" t="str">
        <f>IFERROR(__xludf.DUMMYFUNCTION("if(V1365="""",C1365,if(not(iserror(index(split(C1365, "" ""),3))), index(split(C1365, "" ""),3),index(split(C1365, "" ""),2)))"),"")</f>
        <v/>
      </c>
      <c r="X1365" s="38" t="b">
        <f t="shared" si="2"/>
        <v>0</v>
      </c>
      <c r="Y1365" s="38"/>
      <c r="Z1365" s="40"/>
      <c r="AA1365" s="40"/>
      <c r="AB1365" s="38"/>
      <c r="AC1365" s="38"/>
      <c r="AD1365" s="38"/>
      <c r="AE1365" s="38"/>
      <c r="AF1365" s="38"/>
      <c r="AG1365" s="38"/>
      <c r="AH1365" s="38"/>
      <c r="AI1365" s="38"/>
      <c r="AJ1365" s="38"/>
      <c r="AK1365" s="38"/>
      <c r="AL1365" s="38"/>
      <c r="AM1365" s="38"/>
      <c r="AN1365" s="38"/>
      <c r="AO1365" s="38"/>
      <c r="AP1365" s="38"/>
      <c r="AQ1365" s="38"/>
      <c r="AR1365" s="38"/>
      <c r="AS1365" s="38"/>
      <c r="AT1365" s="38"/>
      <c r="AU1365" s="38"/>
      <c r="AV1365" s="38"/>
      <c r="AW1365" s="38"/>
      <c r="AX1365" s="38"/>
      <c r="AY1365" s="38"/>
      <c r="AZ1365" s="38"/>
      <c r="BA1365" s="38"/>
      <c r="BB1365" s="38"/>
      <c r="BC1365" s="38"/>
      <c r="BD1365" s="38"/>
      <c r="BE1365" s="38"/>
      <c r="BF1365" s="38"/>
      <c r="BG1365" s="38"/>
    </row>
    <row r="1366">
      <c r="A1366" s="375"/>
      <c r="B1366" s="341"/>
      <c r="C1366" s="60"/>
      <c r="D1366" s="60"/>
      <c r="E1366" s="58"/>
      <c r="F1366" s="58"/>
      <c r="G1366" s="58"/>
      <c r="H1366" s="33" t="str">
        <f t="shared" si="1"/>
        <v/>
      </c>
      <c r="I1366" s="58"/>
      <c r="J1366" s="58"/>
      <c r="K1366" s="58"/>
      <c r="L1366" s="38"/>
      <c r="M1366" s="58"/>
      <c r="N1366" s="58"/>
      <c r="O1366" s="58"/>
      <c r="P1366" s="389"/>
      <c r="Q1366" s="77"/>
      <c r="R1366" s="58"/>
      <c r="S1366" s="62"/>
      <c r="T1366" s="84"/>
      <c r="U1366" s="62"/>
      <c r="V1366" s="37" t="str">
        <f>IFERROR(__xludf.DUMMYFUNCTION("if(not(iserror(index(split(C1366, "" ""),2))), index(split(C1366, "" ""),1),"""")"),"")</f>
        <v/>
      </c>
      <c r="W1366" s="315" t="str">
        <f>IFERROR(__xludf.DUMMYFUNCTION("if(V1366="""",C1366,if(not(iserror(index(split(C1366, "" ""),3))), index(split(C1366, "" ""),3),index(split(C1366, "" ""),2)))"),"")</f>
        <v/>
      </c>
      <c r="X1366" s="38" t="b">
        <f t="shared" si="2"/>
        <v>0</v>
      </c>
      <c r="Y1366" s="38"/>
      <c r="Z1366" s="40"/>
      <c r="AA1366" s="40"/>
      <c r="AB1366" s="38"/>
      <c r="AC1366" s="38"/>
      <c r="AD1366" s="38"/>
      <c r="AE1366" s="38"/>
      <c r="AF1366" s="38"/>
      <c r="AG1366" s="38"/>
      <c r="AH1366" s="38"/>
      <c r="AI1366" s="38"/>
      <c r="AJ1366" s="38"/>
      <c r="AK1366" s="38"/>
      <c r="AL1366" s="38"/>
      <c r="AM1366" s="38"/>
      <c r="AN1366" s="38"/>
      <c r="AO1366" s="38"/>
      <c r="AP1366" s="38"/>
      <c r="AQ1366" s="38"/>
      <c r="AR1366" s="38"/>
      <c r="AS1366" s="38"/>
      <c r="AT1366" s="38"/>
      <c r="AU1366" s="38"/>
      <c r="AV1366" s="38"/>
      <c r="AW1366" s="38"/>
      <c r="AX1366" s="38"/>
      <c r="AY1366" s="38"/>
      <c r="AZ1366" s="38"/>
      <c r="BA1366" s="38"/>
      <c r="BB1366" s="38"/>
      <c r="BC1366" s="38"/>
      <c r="BD1366" s="38"/>
      <c r="BE1366" s="38"/>
      <c r="BF1366" s="38"/>
      <c r="BG1366" s="38"/>
    </row>
    <row r="1367">
      <c r="A1367" s="58"/>
      <c r="B1367" s="341"/>
      <c r="C1367" s="60"/>
      <c r="D1367" s="60"/>
      <c r="E1367" s="58"/>
      <c r="F1367" s="58"/>
      <c r="G1367" s="58"/>
      <c r="H1367" s="33" t="str">
        <f t="shared" si="1"/>
        <v/>
      </c>
      <c r="I1367" s="58"/>
      <c r="J1367" s="58"/>
      <c r="K1367" s="58"/>
      <c r="L1367" s="38"/>
      <c r="M1367" s="58"/>
      <c r="N1367" s="58"/>
      <c r="O1367" s="58"/>
      <c r="P1367" s="80"/>
      <c r="Q1367" s="77"/>
      <c r="R1367" s="62"/>
      <c r="S1367" s="62"/>
      <c r="T1367" s="58"/>
      <c r="U1367" s="62"/>
      <c r="V1367" s="37" t="str">
        <f>IFERROR(__xludf.DUMMYFUNCTION("if(not(iserror(index(split(C1367, "" ""),2))), index(split(C1367, "" ""),1),"""")"),"")</f>
        <v/>
      </c>
      <c r="W1367" s="315" t="str">
        <f>IFERROR(__xludf.DUMMYFUNCTION("if(V1367="""",C1367,if(not(iserror(index(split(C1367, "" ""),3))), index(split(C1367, "" ""),3),index(split(C1367, "" ""),2)))"),"")</f>
        <v/>
      </c>
      <c r="X1367" s="38" t="b">
        <f t="shared" si="2"/>
        <v>0</v>
      </c>
      <c r="Y1367" s="38"/>
      <c r="Z1367" s="40"/>
      <c r="AA1367" s="40"/>
      <c r="AB1367" s="38"/>
      <c r="AC1367" s="38"/>
      <c r="AD1367" s="38"/>
      <c r="AE1367" s="38"/>
      <c r="AF1367" s="38"/>
      <c r="AG1367" s="38"/>
      <c r="AH1367" s="38"/>
      <c r="AI1367" s="38"/>
      <c r="AJ1367" s="38"/>
      <c r="AK1367" s="38"/>
      <c r="AL1367" s="38"/>
      <c r="AM1367" s="38"/>
      <c r="AN1367" s="38"/>
      <c r="AO1367" s="38"/>
      <c r="AP1367" s="38"/>
      <c r="AQ1367" s="38"/>
      <c r="AR1367" s="38"/>
      <c r="AS1367" s="38"/>
      <c r="AT1367" s="38"/>
      <c r="AU1367" s="38"/>
      <c r="AV1367" s="38"/>
      <c r="AW1367" s="38"/>
      <c r="AX1367" s="38"/>
      <c r="AY1367" s="38"/>
      <c r="AZ1367" s="38"/>
      <c r="BA1367" s="38"/>
      <c r="BB1367" s="38"/>
      <c r="BC1367" s="38"/>
      <c r="BD1367" s="38"/>
      <c r="BE1367" s="38"/>
      <c r="BF1367" s="38"/>
      <c r="BG1367" s="38"/>
    </row>
    <row r="1368">
      <c r="A1368" s="375"/>
      <c r="B1368" s="341"/>
      <c r="C1368" s="60"/>
      <c r="D1368" s="60"/>
      <c r="E1368" s="58"/>
      <c r="F1368" s="58"/>
      <c r="G1368" s="58"/>
      <c r="H1368" s="33" t="str">
        <f t="shared" si="1"/>
        <v/>
      </c>
      <c r="I1368" s="58"/>
      <c r="J1368" s="58"/>
      <c r="K1368" s="58"/>
      <c r="L1368" s="38"/>
      <c r="M1368" s="58"/>
      <c r="N1368" s="58"/>
      <c r="O1368" s="58"/>
      <c r="P1368" s="389"/>
      <c r="Q1368" s="77"/>
      <c r="R1368" s="62"/>
      <c r="S1368" s="58"/>
      <c r="T1368" s="58"/>
      <c r="U1368" s="62"/>
      <c r="V1368" s="37" t="str">
        <f>IFERROR(__xludf.DUMMYFUNCTION("if(not(iserror(index(split(C1368, "" ""),2))), index(split(C1368, "" ""),1),"""")"),"")</f>
        <v/>
      </c>
      <c r="W1368" s="315" t="str">
        <f>IFERROR(__xludf.DUMMYFUNCTION("if(V1368="""",C1368,if(not(iserror(index(split(C1368, "" ""),3))), index(split(C1368, "" ""),3),index(split(C1368, "" ""),2)))"),"")</f>
        <v/>
      </c>
      <c r="X1368" s="38" t="b">
        <f t="shared" si="2"/>
        <v>0</v>
      </c>
      <c r="Y1368" s="38"/>
      <c r="Z1368" s="40"/>
      <c r="AA1368" s="40"/>
      <c r="AB1368" s="38"/>
      <c r="AC1368" s="38"/>
      <c r="AD1368" s="38"/>
      <c r="AE1368" s="38"/>
      <c r="AF1368" s="38"/>
      <c r="AG1368" s="38"/>
      <c r="AH1368" s="38"/>
      <c r="AI1368" s="38"/>
      <c r="AJ1368" s="38"/>
      <c r="AK1368" s="38"/>
      <c r="AL1368" s="38"/>
      <c r="AM1368" s="38"/>
      <c r="AN1368" s="38"/>
      <c r="AO1368" s="38"/>
      <c r="AP1368" s="38"/>
      <c r="AQ1368" s="38"/>
      <c r="AR1368" s="38"/>
      <c r="AS1368" s="38"/>
      <c r="AT1368" s="38"/>
      <c r="AU1368" s="38"/>
      <c r="AV1368" s="38"/>
      <c r="AW1368" s="38"/>
      <c r="AX1368" s="38"/>
      <c r="AY1368" s="38"/>
      <c r="AZ1368" s="38"/>
      <c r="BA1368" s="38"/>
      <c r="BB1368" s="38"/>
      <c r="BC1368" s="38"/>
      <c r="BD1368" s="38"/>
      <c r="BE1368" s="38"/>
      <c r="BF1368" s="38"/>
      <c r="BG1368" s="38"/>
    </row>
    <row r="1369">
      <c r="A1369" s="58"/>
      <c r="B1369" s="341"/>
      <c r="C1369" s="60"/>
      <c r="D1369" s="60"/>
      <c r="E1369" s="58"/>
      <c r="F1369" s="58"/>
      <c r="G1369" s="58"/>
      <c r="H1369" s="33" t="str">
        <f t="shared" si="1"/>
        <v/>
      </c>
      <c r="I1369" s="58"/>
      <c r="J1369" s="58"/>
      <c r="K1369" s="58"/>
      <c r="L1369" s="38"/>
      <c r="M1369" s="58"/>
      <c r="N1369" s="58"/>
      <c r="O1369" s="58"/>
      <c r="P1369" s="80"/>
      <c r="Q1369" s="80"/>
      <c r="R1369" s="62"/>
      <c r="S1369" s="58"/>
      <c r="T1369" s="58"/>
      <c r="U1369" s="62"/>
      <c r="V1369" s="37" t="str">
        <f>IFERROR(__xludf.DUMMYFUNCTION("if(not(iserror(index(split(C1369, "" ""),2))), index(split(C1369, "" ""),1),"""")"),"")</f>
        <v/>
      </c>
      <c r="W1369" s="315" t="str">
        <f>IFERROR(__xludf.DUMMYFUNCTION("if(V1369="""",C1369,if(not(iserror(index(split(C1369, "" ""),3))), index(split(C1369, "" ""),3),index(split(C1369, "" ""),2)))"),"")</f>
        <v/>
      </c>
      <c r="X1369" s="38" t="b">
        <f t="shared" si="2"/>
        <v>0</v>
      </c>
      <c r="Y1369" s="38"/>
      <c r="Z1369" s="40"/>
      <c r="AA1369" s="40"/>
      <c r="AB1369" s="38"/>
      <c r="AC1369" s="38"/>
      <c r="AD1369" s="38"/>
      <c r="AE1369" s="38"/>
      <c r="AF1369" s="38"/>
      <c r="AG1369" s="38"/>
      <c r="AH1369" s="38"/>
      <c r="AI1369" s="38"/>
      <c r="AJ1369" s="38"/>
      <c r="AK1369" s="38"/>
      <c r="AL1369" s="38"/>
      <c r="AM1369" s="38"/>
      <c r="AN1369" s="38"/>
      <c r="AO1369" s="38"/>
      <c r="AP1369" s="38"/>
      <c r="AQ1369" s="38"/>
      <c r="AR1369" s="38"/>
      <c r="AS1369" s="38"/>
      <c r="AT1369" s="38"/>
      <c r="AU1369" s="38"/>
      <c r="AV1369" s="38"/>
      <c r="AW1369" s="38"/>
      <c r="AX1369" s="38"/>
      <c r="AY1369" s="38"/>
      <c r="AZ1369" s="38"/>
      <c r="BA1369" s="38"/>
      <c r="BB1369" s="38"/>
      <c r="BC1369" s="38"/>
      <c r="BD1369" s="38"/>
      <c r="BE1369" s="38"/>
      <c r="BF1369" s="38"/>
      <c r="BG1369" s="38"/>
    </row>
    <row r="1370">
      <c r="A1370" s="375"/>
      <c r="B1370" s="341"/>
      <c r="C1370" s="60"/>
      <c r="D1370" s="60"/>
      <c r="E1370" s="58"/>
      <c r="F1370" s="58"/>
      <c r="G1370" s="58"/>
      <c r="H1370" s="33" t="str">
        <f t="shared" si="1"/>
        <v/>
      </c>
      <c r="I1370" s="58"/>
      <c r="J1370" s="58"/>
      <c r="K1370" s="58"/>
      <c r="L1370" s="38"/>
      <c r="M1370" s="58"/>
      <c r="N1370" s="58"/>
      <c r="O1370" s="58"/>
      <c r="P1370" s="389"/>
      <c r="Q1370" s="77"/>
      <c r="R1370" s="58"/>
      <c r="S1370" s="58"/>
      <c r="T1370" s="58"/>
      <c r="U1370" s="62"/>
      <c r="V1370" s="37" t="str">
        <f>IFERROR(__xludf.DUMMYFUNCTION("if(not(iserror(index(split(C1370, "" ""),2))), index(split(C1370, "" ""),1),"""")"),"")</f>
        <v/>
      </c>
      <c r="W1370" s="315" t="str">
        <f>IFERROR(__xludf.DUMMYFUNCTION("if(V1370="""",C1370,if(not(iserror(index(split(C1370, "" ""),3))), index(split(C1370, "" ""),3),index(split(C1370, "" ""),2)))"),"")</f>
        <v/>
      </c>
      <c r="X1370" s="38" t="b">
        <f t="shared" si="2"/>
        <v>0</v>
      </c>
      <c r="Y1370" s="38"/>
      <c r="Z1370" s="40"/>
      <c r="AA1370" s="40"/>
      <c r="AB1370" s="38"/>
      <c r="AC1370" s="38"/>
      <c r="AD1370" s="38"/>
      <c r="AE1370" s="38"/>
      <c r="AF1370" s="38"/>
      <c r="AG1370" s="38"/>
      <c r="AH1370" s="38"/>
      <c r="AI1370" s="38"/>
      <c r="AJ1370" s="38"/>
      <c r="AK1370" s="38"/>
      <c r="AL1370" s="38"/>
      <c r="AM1370" s="38"/>
      <c r="AN1370" s="38"/>
      <c r="AO1370" s="38"/>
      <c r="AP1370" s="38"/>
      <c r="AQ1370" s="38"/>
      <c r="AR1370" s="38"/>
      <c r="AS1370" s="38"/>
      <c r="AT1370" s="38"/>
      <c r="AU1370" s="38"/>
      <c r="AV1370" s="38"/>
      <c r="AW1370" s="38"/>
      <c r="AX1370" s="38"/>
      <c r="AY1370" s="38"/>
      <c r="AZ1370" s="38"/>
      <c r="BA1370" s="38"/>
      <c r="BB1370" s="38"/>
      <c r="BC1370" s="38"/>
      <c r="BD1370" s="38"/>
      <c r="BE1370" s="38"/>
      <c r="BF1370" s="38"/>
      <c r="BG1370" s="38"/>
    </row>
    <row r="1371">
      <c r="A1371" s="398"/>
      <c r="B1371" s="388"/>
      <c r="C1371" s="127"/>
      <c r="D1371" s="127"/>
      <c r="E1371" s="128"/>
      <c r="F1371" s="129"/>
      <c r="G1371" s="128"/>
      <c r="H1371" s="33" t="str">
        <f t="shared" si="1"/>
        <v/>
      </c>
      <c r="I1371" s="128"/>
      <c r="J1371" s="128"/>
      <c r="K1371" s="58"/>
      <c r="L1371" s="38"/>
      <c r="M1371" s="124"/>
      <c r="N1371" s="124"/>
      <c r="O1371" s="124"/>
      <c r="P1371" s="399"/>
      <c r="Q1371" s="133"/>
      <c r="R1371" s="133"/>
      <c r="S1371" s="133"/>
      <c r="T1371" s="198"/>
      <c r="U1371" s="133"/>
      <c r="V1371" s="37" t="str">
        <f>IFERROR(__xludf.DUMMYFUNCTION("if(not(iserror(index(split(C1371, "" ""),2))), index(split(C1371, "" ""),1),"""")"),"")</f>
        <v/>
      </c>
      <c r="W1371" s="315" t="str">
        <f>IFERROR(__xludf.DUMMYFUNCTION("if(V1371="""",C1371,if(not(iserror(index(split(C1371, "" ""),3))), index(split(C1371, "" ""),3),index(split(C1371, "" ""),2)))"),"")</f>
        <v/>
      </c>
      <c r="X1371" s="38" t="b">
        <f t="shared" si="2"/>
        <v>0</v>
      </c>
      <c r="Y1371" s="38"/>
      <c r="Z1371" s="40"/>
      <c r="AA1371" s="40"/>
      <c r="AB1371" s="38"/>
      <c r="AC1371" s="38"/>
      <c r="AD1371" s="38"/>
      <c r="AE1371" s="38"/>
      <c r="AF1371" s="38"/>
      <c r="AG1371" s="38"/>
      <c r="AH1371" s="38"/>
      <c r="AI1371" s="38"/>
      <c r="AJ1371" s="38"/>
      <c r="AK1371" s="38"/>
      <c r="AL1371" s="38"/>
      <c r="AM1371" s="38"/>
      <c r="AN1371" s="38"/>
      <c r="AO1371" s="38"/>
      <c r="AP1371" s="38"/>
      <c r="AQ1371" s="38"/>
      <c r="AR1371" s="38"/>
      <c r="AS1371" s="38"/>
      <c r="AT1371" s="38"/>
      <c r="AU1371" s="38"/>
      <c r="AV1371" s="38"/>
      <c r="AW1371" s="38"/>
      <c r="AX1371" s="38"/>
      <c r="AY1371" s="38"/>
      <c r="AZ1371" s="38"/>
      <c r="BA1371" s="38"/>
      <c r="BB1371" s="38"/>
      <c r="BC1371" s="38"/>
      <c r="BD1371" s="38"/>
      <c r="BE1371" s="38"/>
      <c r="BF1371" s="38"/>
      <c r="BG1371" s="38"/>
    </row>
    <row r="1372">
      <c r="A1372" s="398"/>
      <c r="B1372" s="388"/>
      <c r="C1372" s="127"/>
      <c r="D1372" s="127"/>
      <c r="E1372" s="128"/>
      <c r="F1372" s="129"/>
      <c r="G1372" s="128"/>
      <c r="H1372" s="33" t="str">
        <f t="shared" si="1"/>
        <v/>
      </c>
      <c r="I1372" s="128"/>
      <c r="J1372" s="128"/>
      <c r="K1372" s="58"/>
      <c r="L1372" s="38"/>
      <c r="M1372" s="128"/>
      <c r="N1372" s="128"/>
      <c r="O1372" s="128"/>
      <c r="P1372" s="399"/>
      <c r="Q1372" s="133"/>
      <c r="R1372" s="124"/>
      <c r="S1372" s="124"/>
      <c r="T1372" s="198"/>
      <c r="U1372" s="133"/>
      <c r="V1372" s="37" t="str">
        <f>IFERROR(__xludf.DUMMYFUNCTION("if(not(iserror(index(split(C1372, "" ""),2))), index(split(C1372, "" ""),1),"""")"),"")</f>
        <v/>
      </c>
      <c r="W1372" s="315" t="str">
        <f>IFERROR(__xludf.DUMMYFUNCTION("if(V1372="""",C1372,if(not(iserror(index(split(C1372, "" ""),3))), index(split(C1372, "" ""),3),index(split(C1372, "" ""),2)))"),"")</f>
        <v/>
      </c>
      <c r="X1372" s="38" t="b">
        <f t="shared" si="2"/>
        <v>0</v>
      </c>
      <c r="Y1372" s="38"/>
      <c r="Z1372" s="40"/>
      <c r="AA1372" s="40"/>
      <c r="AB1372" s="38"/>
      <c r="AC1372" s="38"/>
      <c r="AD1372" s="38"/>
      <c r="AE1372" s="38"/>
      <c r="AF1372" s="38"/>
      <c r="AG1372" s="38"/>
      <c r="AH1372" s="38"/>
      <c r="AI1372" s="38"/>
      <c r="AJ1372" s="38"/>
      <c r="AK1372" s="38"/>
      <c r="AL1372" s="38"/>
      <c r="AM1372" s="38"/>
      <c r="AN1372" s="38"/>
      <c r="AO1372" s="38"/>
      <c r="AP1372" s="38"/>
      <c r="AQ1372" s="38"/>
      <c r="AR1372" s="38"/>
      <c r="AS1372" s="38"/>
      <c r="AT1372" s="38"/>
      <c r="AU1372" s="38"/>
      <c r="AV1372" s="38"/>
      <c r="AW1372" s="38"/>
      <c r="AX1372" s="38"/>
      <c r="AY1372" s="38"/>
      <c r="AZ1372" s="38"/>
      <c r="BA1372" s="38"/>
      <c r="BB1372" s="38"/>
      <c r="BC1372" s="38"/>
      <c r="BD1372" s="38"/>
      <c r="BE1372" s="38"/>
      <c r="BF1372" s="38"/>
      <c r="BG1372" s="38"/>
    </row>
    <row r="1373">
      <c r="A1373" s="398"/>
      <c r="B1373" s="388"/>
      <c r="C1373" s="127"/>
      <c r="D1373" s="127"/>
      <c r="E1373" s="128"/>
      <c r="F1373" s="129"/>
      <c r="G1373" s="128"/>
      <c r="H1373" s="33" t="str">
        <f t="shared" si="1"/>
        <v/>
      </c>
      <c r="I1373" s="128"/>
      <c r="J1373" s="128"/>
      <c r="K1373" s="58"/>
      <c r="L1373" s="38"/>
      <c r="M1373" s="128"/>
      <c r="N1373" s="128"/>
      <c r="O1373" s="128"/>
      <c r="P1373" s="399"/>
      <c r="Q1373" s="133"/>
      <c r="R1373" s="124"/>
      <c r="S1373" s="124"/>
      <c r="T1373" s="198"/>
      <c r="U1373" s="133"/>
      <c r="V1373" s="37" t="str">
        <f>IFERROR(__xludf.DUMMYFUNCTION("if(not(iserror(index(split(C1373, "" ""),2))), index(split(C1373, "" ""),1),"""")"),"")</f>
        <v/>
      </c>
      <c r="W1373" s="315" t="str">
        <f>IFERROR(__xludf.DUMMYFUNCTION("if(V1373="""",C1373,if(not(iserror(index(split(C1373, "" ""),3))), index(split(C1373, "" ""),3),index(split(C1373, "" ""),2)))"),"")</f>
        <v/>
      </c>
      <c r="X1373" s="38" t="b">
        <f t="shared" si="2"/>
        <v>0</v>
      </c>
      <c r="Y1373" s="38"/>
      <c r="Z1373" s="40"/>
      <c r="AA1373" s="40"/>
      <c r="AB1373" s="38"/>
      <c r="AC1373" s="38"/>
      <c r="AD1373" s="38"/>
      <c r="AE1373" s="38"/>
      <c r="AF1373" s="38"/>
      <c r="AG1373" s="38"/>
      <c r="AH1373" s="38"/>
      <c r="AI1373" s="38"/>
      <c r="AJ1373" s="38"/>
      <c r="AK1373" s="38"/>
      <c r="AL1373" s="38"/>
      <c r="AM1373" s="38"/>
      <c r="AN1373" s="38"/>
      <c r="AO1373" s="38"/>
      <c r="AP1373" s="38"/>
      <c r="AQ1373" s="38"/>
      <c r="AR1373" s="38"/>
      <c r="AS1373" s="38"/>
      <c r="AT1373" s="38"/>
      <c r="AU1373" s="38"/>
      <c r="AV1373" s="38"/>
      <c r="AW1373" s="38"/>
      <c r="AX1373" s="38"/>
      <c r="AY1373" s="38"/>
      <c r="AZ1373" s="38"/>
      <c r="BA1373" s="38"/>
      <c r="BB1373" s="38"/>
      <c r="BC1373" s="38"/>
      <c r="BD1373" s="38"/>
      <c r="BE1373" s="38"/>
      <c r="BF1373" s="38"/>
      <c r="BG1373" s="38"/>
    </row>
    <row r="1374">
      <c r="A1374" s="398"/>
      <c r="B1374" s="388"/>
      <c r="C1374" s="127"/>
      <c r="D1374" s="127"/>
      <c r="E1374" s="128"/>
      <c r="F1374" s="129"/>
      <c r="G1374" s="128"/>
      <c r="H1374" s="33" t="str">
        <f t="shared" si="1"/>
        <v/>
      </c>
      <c r="I1374" s="128"/>
      <c r="J1374" s="128"/>
      <c r="K1374" s="58"/>
      <c r="L1374" s="38"/>
      <c r="M1374" s="128"/>
      <c r="N1374" s="128"/>
      <c r="O1374" s="128"/>
      <c r="P1374" s="399"/>
      <c r="Q1374" s="133"/>
      <c r="R1374" s="124"/>
      <c r="S1374" s="124"/>
      <c r="T1374" s="198"/>
      <c r="U1374" s="133"/>
      <c r="V1374" s="37" t="str">
        <f>IFERROR(__xludf.DUMMYFUNCTION("if(not(iserror(index(split(C1374, "" ""),2))), index(split(C1374, "" ""),1),"""")"),"")</f>
        <v/>
      </c>
      <c r="W1374" s="315" t="str">
        <f>IFERROR(__xludf.DUMMYFUNCTION("if(V1374="""",C1374,if(not(iserror(index(split(C1374, "" ""),3))), index(split(C1374, "" ""),3),index(split(C1374, "" ""),2)))"),"")</f>
        <v/>
      </c>
      <c r="X1374" s="38" t="b">
        <f t="shared" si="2"/>
        <v>0</v>
      </c>
      <c r="Y1374" s="38"/>
      <c r="Z1374" s="40"/>
      <c r="AA1374" s="40"/>
      <c r="AB1374" s="38"/>
      <c r="AC1374" s="38"/>
      <c r="AD1374" s="38"/>
      <c r="AE1374" s="38"/>
      <c r="AF1374" s="38"/>
      <c r="AG1374" s="38"/>
      <c r="AH1374" s="38"/>
      <c r="AI1374" s="38"/>
      <c r="AJ1374" s="38"/>
      <c r="AK1374" s="38"/>
      <c r="AL1374" s="38"/>
      <c r="AM1374" s="38"/>
      <c r="AN1374" s="38"/>
      <c r="AO1374" s="38"/>
      <c r="AP1374" s="38"/>
      <c r="AQ1374" s="38"/>
      <c r="AR1374" s="38"/>
      <c r="AS1374" s="38"/>
      <c r="AT1374" s="38"/>
      <c r="AU1374" s="38"/>
      <c r="AV1374" s="38"/>
      <c r="AW1374" s="38"/>
      <c r="AX1374" s="38"/>
      <c r="AY1374" s="38"/>
      <c r="AZ1374" s="38"/>
      <c r="BA1374" s="38"/>
      <c r="BB1374" s="38"/>
      <c r="BC1374" s="38"/>
      <c r="BD1374" s="38"/>
      <c r="BE1374" s="38"/>
      <c r="BF1374" s="38"/>
      <c r="BG1374" s="38"/>
    </row>
    <row r="1375">
      <c r="A1375" s="398"/>
      <c r="B1375" s="388"/>
      <c r="C1375" s="127"/>
      <c r="D1375" s="127"/>
      <c r="E1375" s="128"/>
      <c r="F1375" s="129"/>
      <c r="G1375" s="128"/>
      <c r="H1375" s="33" t="str">
        <f t="shared" si="1"/>
        <v/>
      </c>
      <c r="I1375" s="128"/>
      <c r="J1375" s="128"/>
      <c r="K1375" s="58"/>
      <c r="L1375" s="38"/>
      <c r="M1375" s="128"/>
      <c r="N1375" s="128"/>
      <c r="O1375" s="128"/>
      <c r="P1375" s="399"/>
      <c r="Q1375" s="133"/>
      <c r="R1375" s="124"/>
      <c r="S1375" s="124"/>
      <c r="T1375" s="198"/>
      <c r="U1375" s="133"/>
      <c r="V1375" s="37" t="str">
        <f>IFERROR(__xludf.DUMMYFUNCTION("if(not(iserror(index(split(C1375, "" ""),2))), index(split(C1375, "" ""),1),"""")"),"")</f>
        <v/>
      </c>
      <c r="W1375" s="315" t="str">
        <f>IFERROR(__xludf.DUMMYFUNCTION("if(V1375="""",C1375,if(not(iserror(index(split(C1375, "" ""),3))), index(split(C1375, "" ""),3),index(split(C1375, "" ""),2)))"),"")</f>
        <v/>
      </c>
      <c r="X1375" s="38" t="b">
        <f t="shared" si="2"/>
        <v>0</v>
      </c>
      <c r="Y1375" s="38"/>
      <c r="Z1375" s="40"/>
      <c r="AA1375" s="40"/>
      <c r="AB1375" s="38"/>
      <c r="AC1375" s="38"/>
      <c r="AD1375" s="38"/>
      <c r="AE1375" s="38"/>
      <c r="AF1375" s="38"/>
      <c r="AG1375" s="38"/>
      <c r="AH1375" s="38"/>
      <c r="AI1375" s="38"/>
      <c r="AJ1375" s="38"/>
      <c r="AK1375" s="38"/>
      <c r="AL1375" s="38"/>
      <c r="AM1375" s="38"/>
      <c r="AN1375" s="38"/>
      <c r="AO1375" s="38"/>
      <c r="AP1375" s="38"/>
      <c r="AQ1375" s="38"/>
      <c r="AR1375" s="38"/>
      <c r="AS1375" s="38"/>
      <c r="AT1375" s="38"/>
      <c r="AU1375" s="38"/>
      <c r="AV1375" s="38"/>
      <c r="AW1375" s="38"/>
      <c r="AX1375" s="38"/>
      <c r="AY1375" s="38"/>
      <c r="AZ1375" s="38"/>
      <c r="BA1375" s="38"/>
      <c r="BB1375" s="38"/>
      <c r="BC1375" s="38"/>
      <c r="BD1375" s="38"/>
      <c r="BE1375" s="38"/>
      <c r="BF1375" s="38"/>
      <c r="BG1375" s="38"/>
    </row>
    <row r="1376">
      <c r="A1376" s="398"/>
      <c r="B1376" s="388"/>
      <c r="C1376" s="196"/>
      <c r="D1376" s="196"/>
      <c r="E1376" s="128"/>
      <c r="F1376" s="129"/>
      <c r="G1376" s="128"/>
      <c r="H1376" s="33" t="str">
        <f t="shared" si="1"/>
        <v/>
      </c>
      <c r="I1376" s="128"/>
      <c r="J1376" s="128"/>
      <c r="K1376" s="58"/>
      <c r="L1376" s="38"/>
      <c r="M1376" s="128"/>
      <c r="N1376" s="128"/>
      <c r="O1376" s="128"/>
      <c r="P1376" s="399"/>
      <c r="Q1376" s="133"/>
      <c r="R1376" s="124"/>
      <c r="S1376" s="124"/>
      <c r="T1376" s="198"/>
      <c r="U1376" s="133"/>
      <c r="V1376" s="37" t="str">
        <f>IFERROR(__xludf.DUMMYFUNCTION("if(not(iserror(index(split(C1376, "" ""),2))), index(split(C1376, "" ""),1),"""")"),"")</f>
        <v/>
      </c>
      <c r="W1376" s="315" t="str">
        <f>IFERROR(__xludf.DUMMYFUNCTION("if(V1376="""",C1376,if(not(iserror(index(split(C1376, "" ""),3))), index(split(C1376, "" ""),3),index(split(C1376, "" ""),2)))"),"")</f>
        <v/>
      </c>
      <c r="X1376" s="38" t="b">
        <f t="shared" si="2"/>
        <v>0</v>
      </c>
      <c r="Y1376" s="38"/>
      <c r="Z1376" s="40"/>
      <c r="AA1376" s="40"/>
      <c r="AB1376" s="38"/>
      <c r="AC1376" s="38"/>
      <c r="AD1376" s="38"/>
      <c r="AE1376" s="38"/>
      <c r="AF1376" s="38"/>
      <c r="AG1376" s="38"/>
      <c r="AH1376" s="38"/>
      <c r="AI1376" s="38"/>
      <c r="AJ1376" s="38"/>
      <c r="AK1376" s="38"/>
      <c r="AL1376" s="38"/>
      <c r="AM1376" s="38"/>
      <c r="AN1376" s="38"/>
      <c r="AO1376" s="38"/>
      <c r="AP1376" s="38"/>
      <c r="AQ1376" s="38"/>
      <c r="AR1376" s="38"/>
      <c r="AS1376" s="38"/>
      <c r="AT1376" s="38"/>
      <c r="AU1376" s="38"/>
      <c r="AV1376" s="38"/>
      <c r="AW1376" s="38"/>
      <c r="AX1376" s="38"/>
      <c r="AY1376" s="38"/>
      <c r="AZ1376" s="38"/>
      <c r="BA1376" s="38"/>
      <c r="BB1376" s="38"/>
      <c r="BC1376" s="38"/>
      <c r="BD1376" s="38"/>
      <c r="BE1376" s="38"/>
      <c r="BF1376" s="38"/>
      <c r="BG1376" s="38"/>
    </row>
    <row r="1377">
      <c r="A1377" s="398"/>
      <c r="B1377" s="388"/>
      <c r="C1377" s="196"/>
      <c r="D1377" s="196"/>
      <c r="E1377" s="128"/>
      <c r="F1377" s="129"/>
      <c r="G1377" s="128"/>
      <c r="H1377" s="33" t="str">
        <f t="shared" si="1"/>
        <v/>
      </c>
      <c r="I1377" s="128"/>
      <c r="J1377" s="128"/>
      <c r="K1377" s="58"/>
      <c r="L1377" s="38"/>
      <c r="M1377" s="124"/>
      <c r="N1377" s="124"/>
      <c r="O1377" s="124"/>
      <c r="P1377" s="399"/>
      <c r="Q1377" s="133"/>
      <c r="R1377" s="124"/>
      <c r="S1377" s="124"/>
      <c r="T1377" s="198"/>
      <c r="U1377" s="133"/>
      <c r="V1377" s="37" t="str">
        <f>IFERROR(__xludf.DUMMYFUNCTION("if(not(iserror(index(split(C1377, "" ""),2))), index(split(C1377, "" ""),1),"""")"),"")</f>
        <v/>
      </c>
      <c r="W1377" s="315" t="str">
        <f>IFERROR(__xludf.DUMMYFUNCTION("if(V1377="""",C1377,if(not(iserror(index(split(C1377, "" ""),3))), index(split(C1377, "" ""),3),index(split(C1377, "" ""),2)))"),"")</f>
        <v/>
      </c>
      <c r="X1377" s="38" t="b">
        <f t="shared" si="2"/>
        <v>0</v>
      </c>
      <c r="Y1377" s="38"/>
      <c r="Z1377" s="40"/>
      <c r="AA1377" s="40"/>
      <c r="AB1377" s="38"/>
      <c r="AC1377" s="38"/>
      <c r="AD1377" s="38"/>
      <c r="AE1377" s="38"/>
      <c r="AF1377" s="38"/>
      <c r="AG1377" s="38"/>
      <c r="AH1377" s="38"/>
      <c r="AI1377" s="38"/>
      <c r="AJ1377" s="38"/>
      <c r="AK1377" s="38"/>
      <c r="AL1377" s="38"/>
      <c r="AM1377" s="38"/>
      <c r="AN1377" s="38"/>
      <c r="AO1377" s="38"/>
      <c r="AP1377" s="38"/>
      <c r="AQ1377" s="38"/>
      <c r="AR1377" s="38"/>
      <c r="AS1377" s="38"/>
      <c r="AT1377" s="38"/>
      <c r="AU1377" s="38"/>
      <c r="AV1377" s="38"/>
      <c r="AW1377" s="38"/>
      <c r="AX1377" s="38"/>
      <c r="AY1377" s="38"/>
      <c r="AZ1377" s="38"/>
      <c r="BA1377" s="38"/>
      <c r="BB1377" s="38"/>
      <c r="BC1377" s="38"/>
      <c r="BD1377" s="38"/>
      <c r="BE1377" s="38"/>
      <c r="BF1377" s="38"/>
      <c r="BG1377" s="38"/>
    </row>
    <row r="1378">
      <c r="A1378" s="398"/>
      <c r="B1378" s="388"/>
      <c r="C1378" s="196"/>
      <c r="D1378" s="196"/>
      <c r="E1378" s="128"/>
      <c r="F1378" s="129"/>
      <c r="G1378" s="128"/>
      <c r="H1378" s="33" t="str">
        <f t="shared" si="1"/>
        <v/>
      </c>
      <c r="I1378" s="128"/>
      <c r="J1378" s="128"/>
      <c r="K1378" s="58"/>
      <c r="L1378" s="38"/>
      <c r="M1378" s="128"/>
      <c r="N1378" s="128"/>
      <c r="O1378" s="128"/>
      <c r="P1378" s="399"/>
      <c r="Q1378" s="133"/>
      <c r="R1378" s="124"/>
      <c r="S1378" s="124"/>
      <c r="T1378" s="198"/>
      <c r="U1378" s="133"/>
      <c r="V1378" s="37" t="str">
        <f>IFERROR(__xludf.DUMMYFUNCTION("if(not(iserror(index(split(C1378, "" ""),2))), index(split(C1378, "" ""),1),"""")"),"")</f>
        <v/>
      </c>
      <c r="W1378" s="315" t="str">
        <f>IFERROR(__xludf.DUMMYFUNCTION("if(V1378="""",C1378,if(not(iserror(index(split(C1378, "" ""),3))), index(split(C1378, "" ""),3),index(split(C1378, "" ""),2)))"),"")</f>
        <v/>
      </c>
      <c r="X1378" s="38" t="b">
        <f t="shared" si="2"/>
        <v>0</v>
      </c>
      <c r="Y1378" s="38"/>
      <c r="Z1378" s="40"/>
      <c r="AA1378" s="40"/>
      <c r="AB1378" s="38"/>
      <c r="AC1378" s="38"/>
      <c r="AD1378" s="38"/>
      <c r="AE1378" s="38"/>
      <c r="AF1378" s="38"/>
      <c r="AG1378" s="38"/>
      <c r="AH1378" s="38"/>
      <c r="AI1378" s="38"/>
      <c r="AJ1378" s="38"/>
      <c r="AK1378" s="38"/>
      <c r="AL1378" s="38"/>
      <c r="AM1378" s="38"/>
      <c r="AN1378" s="38"/>
      <c r="AO1378" s="38"/>
      <c r="AP1378" s="38"/>
      <c r="AQ1378" s="38"/>
      <c r="AR1378" s="38"/>
      <c r="AS1378" s="38"/>
      <c r="AT1378" s="38"/>
      <c r="AU1378" s="38"/>
      <c r="AV1378" s="38"/>
      <c r="AW1378" s="38"/>
      <c r="AX1378" s="38"/>
      <c r="AY1378" s="38"/>
      <c r="AZ1378" s="38"/>
      <c r="BA1378" s="38"/>
      <c r="BB1378" s="38"/>
      <c r="BC1378" s="38"/>
      <c r="BD1378" s="38"/>
      <c r="BE1378" s="38"/>
      <c r="BF1378" s="38"/>
      <c r="BG1378" s="38"/>
    </row>
    <row r="1379">
      <c r="A1379" s="398"/>
      <c r="B1379" s="388"/>
      <c r="C1379" s="196"/>
      <c r="D1379" s="196"/>
      <c r="E1379" s="128"/>
      <c r="F1379" s="129"/>
      <c r="G1379" s="128"/>
      <c r="H1379" s="33" t="str">
        <f t="shared" si="1"/>
        <v/>
      </c>
      <c r="I1379" s="128"/>
      <c r="J1379" s="128"/>
      <c r="K1379" s="58"/>
      <c r="L1379" s="38"/>
      <c r="M1379" s="124"/>
      <c r="N1379" s="124"/>
      <c r="O1379" s="124"/>
      <c r="P1379" s="399"/>
      <c r="Q1379" s="133"/>
      <c r="R1379" s="124"/>
      <c r="S1379" s="124"/>
      <c r="T1379" s="198"/>
      <c r="U1379" s="133"/>
      <c r="V1379" s="37" t="str">
        <f>IFERROR(__xludf.DUMMYFUNCTION("if(not(iserror(index(split(C1379, "" ""),2))), index(split(C1379, "" ""),1),"""")"),"")</f>
        <v/>
      </c>
      <c r="W1379" s="315" t="str">
        <f>IFERROR(__xludf.DUMMYFUNCTION("if(V1379="""",C1379,if(not(iserror(index(split(C1379, "" ""),3))), index(split(C1379, "" ""),3),index(split(C1379, "" ""),2)))"),"")</f>
        <v/>
      </c>
      <c r="X1379" s="38" t="b">
        <f t="shared" si="2"/>
        <v>0</v>
      </c>
      <c r="Y1379" s="38"/>
      <c r="Z1379" s="40"/>
      <c r="AA1379" s="40"/>
      <c r="AB1379" s="38"/>
      <c r="AC1379" s="38"/>
      <c r="AD1379" s="38"/>
      <c r="AE1379" s="38"/>
      <c r="AF1379" s="38"/>
      <c r="AG1379" s="38"/>
      <c r="AH1379" s="38"/>
      <c r="AI1379" s="38"/>
      <c r="AJ1379" s="38"/>
      <c r="AK1379" s="38"/>
      <c r="AL1379" s="38"/>
      <c r="AM1379" s="38"/>
      <c r="AN1379" s="38"/>
      <c r="AO1379" s="38"/>
      <c r="AP1379" s="38"/>
      <c r="AQ1379" s="38"/>
      <c r="AR1379" s="38"/>
      <c r="AS1379" s="38"/>
      <c r="AT1379" s="38"/>
      <c r="AU1379" s="38"/>
      <c r="AV1379" s="38"/>
      <c r="AW1379" s="38"/>
      <c r="AX1379" s="38"/>
      <c r="AY1379" s="38"/>
      <c r="AZ1379" s="38"/>
      <c r="BA1379" s="38"/>
      <c r="BB1379" s="38"/>
      <c r="BC1379" s="38"/>
      <c r="BD1379" s="38"/>
      <c r="BE1379" s="38"/>
      <c r="BF1379" s="38"/>
      <c r="BG1379" s="38"/>
    </row>
    <row r="1380">
      <c r="A1380" s="400"/>
      <c r="B1380" s="388"/>
      <c r="C1380" s="196"/>
      <c r="D1380" s="196"/>
      <c r="E1380" s="128"/>
      <c r="F1380" s="129"/>
      <c r="G1380" s="128"/>
      <c r="H1380" s="33" t="str">
        <f t="shared" si="1"/>
        <v/>
      </c>
      <c r="I1380" s="128"/>
      <c r="J1380" s="128"/>
      <c r="K1380" s="58"/>
      <c r="L1380" s="38"/>
      <c r="M1380" s="124"/>
      <c r="N1380" s="124"/>
      <c r="O1380" s="124"/>
      <c r="P1380" s="399"/>
      <c r="Q1380" s="124"/>
      <c r="R1380" s="124"/>
      <c r="S1380" s="124"/>
      <c r="T1380" s="198"/>
      <c r="U1380" s="133"/>
      <c r="V1380" s="37" t="str">
        <f>IFERROR(__xludf.DUMMYFUNCTION("if(not(iserror(index(split(C1380, "" ""),2))), index(split(C1380, "" ""),1),"""")"),"")</f>
        <v/>
      </c>
      <c r="W1380" s="315" t="str">
        <f>IFERROR(__xludf.DUMMYFUNCTION("if(V1380="""",C1380,if(not(iserror(index(split(C1380, "" ""),3))), index(split(C1380, "" ""),3),index(split(C1380, "" ""),2)))"),"")</f>
        <v/>
      </c>
      <c r="X1380" s="38" t="b">
        <f t="shared" si="2"/>
        <v>0</v>
      </c>
      <c r="Y1380" s="38"/>
      <c r="Z1380" s="40"/>
      <c r="AA1380" s="40"/>
      <c r="AB1380" s="38"/>
      <c r="AC1380" s="38"/>
      <c r="AD1380" s="38"/>
      <c r="AE1380" s="38"/>
      <c r="AF1380" s="38"/>
      <c r="AG1380" s="38"/>
      <c r="AH1380" s="38"/>
      <c r="AI1380" s="38"/>
      <c r="AJ1380" s="38"/>
      <c r="AK1380" s="38"/>
      <c r="AL1380" s="38"/>
      <c r="AM1380" s="38"/>
      <c r="AN1380" s="38"/>
      <c r="AO1380" s="38"/>
      <c r="AP1380" s="38"/>
      <c r="AQ1380" s="38"/>
      <c r="AR1380" s="38"/>
      <c r="AS1380" s="38"/>
      <c r="AT1380" s="38"/>
      <c r="AU1380" s="38"/>
      <c r="AV1380" s="38"/>
      <c r="AW1380" s="38"/>
      <c r="AX1380" s="38"/>
      <c r="AY1380" s="38"/>
      <c r="AZ1380" s="38"/>
      <c r="BA1380" s="38"/>
      <c r="BB1380" s="38"/>
      <c r="BC1380" s="38"/>
      <c r="BD1380" s="38"/>
      <c r="BE1380" s="38"/>
      <c r="BF1380" s="38"/>
      <c r="BG1380" s="38"/>
    </row>
    <row r="1381">
      <c r="A1381" s="398"/>
      <c r="B1381" s="388"/>
      <c r="C1381" s="196"/>
      <c r="D1381" s="196"/>
      <c r="E1381" s="128"/>
      <c r="F1381" s="129"/>
      <c r="G1381" s="128"/>
      <c r="H1381" s="33" t="str">
        <f t="shared" si="1"/>
        <v/>
      </c>
      <c r="I1381" s="128"/>
      <c r="J1381" s="128"/>
      <c r="K1381" s="58"/>
      <c r="L1381" s="38"/>
      <c r="M1381" s="124"/>
      <c r="N1381" s="124"/>
      <c r="O1381" s="124"/>
      <c r="P1381" s="399"/>
      <c r="Q1381" s="401"/>
      <c r="R1381" s="124"/>
      <c r="S1381" s="124"/>
      <c r="T1381" s="198"/>
      <c r="U1381" s="133"/>
      <c r="V1381" s="37" t="str">
        <f>IFERROR(__xludf.DUMMYFUNCTION("if(not(iserror(index(split(C1381, "" ""),2))), index(split(C1381, "" ""),1),"""")"),"")</f>
        <v/>
      </c>
      <c r="W1381" s="315" t="str">
        <f>IFERROR(__xludf.DUMMYFUNCTION("if(V1381="""",C1381,if(not(iserror(index(split(C1381, "" ""),3))), index(split(C1381, "" ""),3),index(split(C1381, "" ""),2)))"),"")</f>
        <v/>
      </c>
      <c r="X1381" s="38" t="b">
        <f t="shared" si="2"/>
        <v>0</v>
      </c>
      <c r="Y1381" s="38"/>
      <c r="Z1381" s="40"/>
      <c r="AA1381" s="40"/>
      <c r="AB1381" s="38"/>
      <c r="AC1381" s="38"/>
      <c r="AD1381" s="38"/>
      <c r="AE1381" s="38"/>
      <c r="AF1381" s="38"/>
      <c r="AG1381" s="38"/>
      <c r="AH1381" s="38"/>
      <c r="AI1381" s="38"/>
      <c r="AJ1381" s="38"/>
      <c r="AK1381" s="38"/>
      <c r="AL1381" s="38"/>
      <c r="AM1381" s="38"/>
      <c r="AN1381" s="38"/>
      <c r="AO1381" s="38"/>
      <c r="AP1381" s="38"/>
      <c r="AQ1381" s="38"/>
      <c r="AR1381" s="38"/>
      <c r="AS1381" s="38"/>
      <c r="AT1381" s="38"/>
      <c r="AU1381" s="38"/>
      <c r="AV1381" s="38"/>
      <c r="AW1381" s="38"/>
      <c r="AX1381" s="38"/>
      <c r="AY1381" s="38"/>
      <c r="AZ1381" s="38"/>
      <c r="BA1381" s="38"/>
      <c r="BB1381" s="38"/>
      <c r="BC1381" s="38"/>
      <c r="BD1381" s="38"/>
      <c r="BE1381" s="38"/>
      <c r="BF1381" s="38"/>
      <c r="BG1381" s="38"/>
    </row>
    <row r="1382">
      <c r="A1382" s="398"/>
      <c r="B1382" s="388"/>
      <c r="C1382" s="196"/>
      <c r="D1382" s="196"/>
      <c r="E1382" s="128"/>
      <c r="F1382" s="129"/>
      <c r="G1382" s="128"/>
      <c r="H1382" s="33" t="str">
        <f t="shared" si="1"/>
        <v/>
      </c>
      <c r="I1382" s="128"/>
      <c r="J1382" s="128"/>
      <c r="K1382" s="58"/>
      <c r="L1382" s="38"/>
      <c r="M1382" s="124"/>
      <c r="N1382" s="124"/>
      <c r="O1382" s="124"/>
      <c r="P1382" s="399"/>
      <c r="Q1382" s="402"/>
      <c r="R1382" s="124"/>
      <c r="S1382" s="124"/>
      <c r="T1382" s="198"/>
      <c r="U1382" s="133"/>
      <c r="V1382" s="37" t="str">
        <f>IFERROR(__xludf.DUMMYFUNCTION("if(not(iserror(index(split(C1382, "" ""),2))), index(split(C1382, "" ""),1),"""")"),"")</f>
        <v/>
      </c>
      <c r="W1382" s="315" t="str">
        <f>IFERROR(__xludf.DUMMYFUNCTION("if(V1382="""",C1382,if(not(iserror(index(split(C1382, "" ""),3))), index(split(C1382, "" ""),3),index(split(C1382, "" ""),2)))"),"")</f>
        <v/>
      </c>
      <c r="X1382" s="38" t="b">
        <f t="shared" si="2"/>
        <v>0</v>
      </c>
      <c r="Y1382" s="38"/>
      <c r="Z1382" s="40"/>
      <c r="AA1382" s="40"/>
      <c r="AB1382" s="38"/>
      <c r="AC1382" s="38"/>
      <c r="AD1382" s="38"/>
      <c r="AE1382" s="38"/>
      <c r="AF1382" s="38"/>
      <c r="AG1382" s="38"/>
      <c r="AH1382" s="38"/>
      <c r="AI1382" s="38"/>
      <c r="AJ1382" s="38"/>
      <c r="AK1382" s="38"/>
      <c r="AL1382" s="38"/>
      <c r="AM1382" s="38"/>
      <c r="AN1382" s="38"/>
      <c r="AO1382" s="38"/>
      <c r="AP1382" s="38"/>
      <c r="AQ1382" s="38"/>
      <c r="AR1382" s="38"/>
      <c r="AS1382" s="38"/>
      <c r="AT1382" s="38"/>
      <c r="AU1382" s="38"/>
      <c r="AV1382" s="38"/>
      <c r="AW1382" s="38"/>
      <c r="AX1382" s="38"/>
      <c r="AY1382" s="38"/>
      <c r="AZ1382" s="38"/>
      <c r="BA1382" s="38"/>
      <c r="BB1382" s="38"/>
      <c r="BC1382" s="38"/>
      <c r="BD1382" s="38"/>
      <c r="BE1382" s="38"/>
      <c r="BF1382" s="38"/>
      <c r="BG1382" s="38"/>
    </row>
    <row r="1383">
      <c r="A1383" s="398"/>
      <c r="B1383" s="388"/>
      <c r="C1383" s="196"/>
      <c r="D1383" s="196"/>
      <c r="E1383" s="128"/>
      <c r="F1383" s="129"/>
      <c r="G1383" s="128"/>
      <c r="H1383" s="33" t="str">
        <f t="shared" si="1"/>
        <v/>
      </c>
      <c r="I1383" s="128"/>
      <c r="J1383" s="128"/>
      <c r="K1383" s="58"/>
      <c r="L1383" s="38"/>
      <c r="M1383" s="124"/>
      <c r="N1383" s="124"/>
      <c r="O1383" s="124"/>
      <c r="P1383" s="399"/>
      <c r="Q1383" s="403"/>
      <c r="R1383" s="124"/>
      <c r="S1383" s="124"/>
      <c r="T1383" s="198"/>
      <c r="U1383" s="133"/>
      <c r="V1383" s="37" t="str">
        <f>IFERROR(__xludf.DUMMYFUNCTION("if(not(iserror(index(split(C1383, "" ""),2))), index(split(C1383, "" ""),1),"""")"),"")</f>
        <v/>
      </c>
      <c r="W1383" s="315" t="str">
        <f>IFERROR(__xludf.DUMMYFUNCTION("if(V1383="""",C1383,if(not(iserror(index(split(C1383, "" ""),3))), index(split(C1383, "" ""),3),index(split(C1383, "" ""),2)))"),"")</f>
        <v/>
      </c>
      <c r="X1383" s="38" t="b">
        <f t="shared" si="2"/>
        <v>0</v>
      </c>
      <c r="Y1383" s="38"/>
      <c r="Z1383" s="40"/>
      <c r="AA1383" s="40"/>
      <c r="AB1383" s="38"/>
      <c r="AC1383" s="38"/>
      <c r="AD1383" s="38"/>
      <c r="AE1383" s="38"/>
      <c r="AF1383" s="38"/>
      <c r="AG1383" s="38"/>
      <c r="AH1383" s="38"/>
      <c r="AI1383" s="38"/>
      <c r="AJ1383" s="38"/>
      <c r="AK1383" s="38"/>
      <c r="AL1383" s="38"/>
      <c r="AM1383" s="38"/>
      <c r="AN1383" s="38"/>
      <c r="AO1383" s="38"/>
      <c r="AP1383" s="38"/>
      <c r="AQ1383" s="38"/>
      <c r="AR1383" s="38"/>
      <c r="AS1383" s="38"/>
      <c r="AT1383" s="38"/>
      <c r="AU1383" s="38"/>
      <c r="AV1383" s="38"/>
      <c r="AW1383" s="38"/>
      <c r="AX1383" s="38"/>
      <c r="AY1383" s="38"/>
      <c r="AZ1383" s="38"/>
      <c r="BA1383" s="38"/>
      <c r="BB1383" s="38"/>
      <c r="BC1383" s="38"/>
      <c r="BD1383" s="38"/>
      <c r="BE1383" s="38"/>
      <c r="BF1383" s="38"/>
      <c r="BG1383" s="38"/>
    </row>
    <row r="1384">
      <c r="A1384" s="58"/>
      <c r="B1384" s="341"/>
      <c r="C1384" s="60"/>
      <c r="D1384" s="60"/>
      <c r="E1384" s="58"/>
      <c r="F1384" s="58"/>
      <c r="G1384" s="58"/>
      <c r="H1384" s="33" t="str">
        <f t="shared" si="1"/>
        <v/>
      </c>
      <c r="I1384" s="58"/>
      <c r="J1384" s="58"/>
      <c r="K1384" s="58"/>
      <c r="L1384" s="38"/>
      <c r="M1384" s="58"/>
      <c r="N1384" s="58"/>
      <c r="O1384" s="58"/>
      <c r="P1384" s="80"/>
      <c r="Q1384" s="77"/>
      <c r="R1384" s="62"/>
      <c r="S1384" s="62"/>
      <c r="T1384" s="84"/>
      <c r="U1384" s="62"/>
      <c r="V1384" s="37" t="str">
        <f>IFERROR(__xludf.DUMMYFUNCTION("if(not(iserror(index(split(C1384, "" ""),2))), index(split(C1384, "" ""),1),"""")"),"")</f>
        <v/>
      </c>
      <c r="W1384" s="315" t="str">
        <f>IFERROR(__xludf.DUMMYFUNCTION("if(V1384="""",C1384,if(not(iserror(index(split(C1384, "" ""),3))), index(split(C1384, "" ""),3),index(split(C1384, "" ""),2)))"),"")</f>
        <v/>
      </c>
      <c r="X1384" s="38" t="b">
        <f t="shared" si="2"/>
        <v>0</v>
      </c>
      <c r="Y1384" s="38"/>
      <c r="Z1384" s="40"/>
      <c r="AA1384" s="40"/>
      <c r="AB1384" s="38"/>
      <c r="AC1384" s="38"/>
      <c r="AD1384" s="38"/>
      <c r="AE1384" s="38"/>
      <c r="AF1384" s="38"/>
      <c r="AG1384" s="38"/>
      <c r="AH1384" s="38"/>
      <c r="AI1384" s="38"/>
      <c r="AJ1384" s="38"/>
      <c r="AK1384" s="38"/>
      <c r="AL1384" s="38"/>
      <c r="AM1384" s="38"/>
      <c r="AN1384" s="38"/>
      <c r="AO1384" s="38"/>
      <c r="AP1384" s="38"/>
      <c r="AQ1384" s="38"/>
      <c r="AR1384" s="38"/>
      <c r="AS1384" s="38"/>
      <c r="AT1384" s="38"/>
      <c r="AU1384" s="38"/>
      <c r="AV1384" s="38"/>
      <c r="AW1384" s="38"/>
      <c r="AX1384" s="38"/>
      <c r="AY1384" s="38"/>
      <c r="AZ1384" s="38"/>
      <c r="BA1384" s="38"/>
      <c r="BB1384" s="38"/>
      <c r="BC1384" s="38"/>
      <c r="BD1384" s="38"/>
      <c r="BE1384" s="38"/>
      <c r="BF1384" s="38"/>
      <c r="BG1384" s="38"/>
    </row>
    <row r="1385">
      <c r="A1385" s="58"/>
      <c r="B1385" s="341"/>
      <c r="C1385" s="60"/>
      <c r="D1385" s="60"/>
      <c r="E1385" s="58"/>
      <c r="F1385" s="58"/>
      <c r="G1385" s="58"/>
      <c r="H1385" s="33" t="str">
        <f t="shared" si="1"/>
        <v/>
      </c>
      <c r="I1385" s="58"/>
      <c r="J1385" s="58"/>
      <c r="K1385" s="58"/>
      <c r="L1385" s="38"/>
      <c r="M1385" s="58"/>
      <c r="N1385" s="58"/>
      <c r="O1385" s="58"/>
      <c r="P1385" s="80"/>
      <c r="Q1385" s="77"/>
      <c r="R1385" s="62"/>
      <c r="S1385" s="62"/>
      <c r="T1385" s="62"/>
      <c r="U1385" s="62"/>
      <c r="V1385" s="37" t="str">
        <f>IFERROR(__xludf.DUMMYFUNCTION("if(not(iserror(index(split(C1385, "" ""),2))), index(split(C1385, "" ""),1),"""")"),"")</f>
        <v/>
      </c>
      <c r="W1385" s="315" t="str">
        <f>IFERROR(__xludf.DUMMYFUNCTION("if(V1385="""",C1385,if(not(iserror(index(split(C1385, "" ""),3))), index(split(C1385, "" ""),3),index(split(C1385, "" ""),2)))"),"")</f>
        <v/>
      </c>
      <c r="X1385" s="38" t="b">
        <f t="shared" si="2"/>
        <v>0</v>
      </c>
      <c r="Y1385" s="38"/>
      <c r="Z1385" s="40"/>
      <c r="AA1385" s="40"/>
      <c r="AB1385" s="38"/>
      <c r="AC1385" s="38"/>
      <c r="AD1385" s="38"/>
      <c r="AE1385" s="38"/>
      <c r="AF1385" s="38"/>
      <c r="AG1385" s="38"/>
      <c r="AH1385" s="38"/>
      <c r="AI1385" s="38"/>
      <c r="AJ1385" s="38"/>
      <c r="AK1385" s="38"/>
      <c r="AL1385" s="38"/>
      <c r="AM1385" s="38"/>
      <c r="AN1385" s="38"/>
      <c r="AO1385" s="38"/>
      <c r="AP1385" s="38"/>
      <c r="AQ1385" s="38"/>
      <c r="AR1385" s="38"/>
      <c r="AS1385" s="38"/>
      <c r="AT1385" s="38"/>
      <c r="AU1385" s="38"/>
      <c r="AV1385" s="38"/>
      <c r="AW1385" s="38"/>
      <c r="AX1385" s="38"/>
      <c r="AY1385" s="38"/>
      <c r="AZ1385" s="38"/>
      <c r="BA1385" s="38"/>
      <c r="BB1385" s="38"/>
      <c r="BC1385" s="38"/>
      <c r="BD1385" s="38"/>
      <c r="BE1385" s="38"/>
      <c r="BF1385" s="38"/>
      <c r="BG1385" s="38"/>
    </row>
    <row r="1386">
      <c r="A1386" s="58"/>
      <c r="B1386" s="341"/>
      <c r="C1386" s="60"/>
      <c r="D1386" s="60"/>
      <c r="E1386" s="58"/>
      <c r="F1386" s="58"/>
      <c r="G1386" s="58"/>
      <c r="H1386" s="33" t="str">
        <f t="shared" si="1"/>
        <v/>
      </c>
      <c r="I1386" s="58"/>
      <c r="J1386" s="58"/>
      <c r="K1386" s="58"/>
      <c r="L1386" s="38"/>
      <c r="M1386" s="58"/>
      <c r="N1386" s="58"/>
      <c r="O1386" s="58"/>
      <c r="P1386" s="80"/>
      <c r="Q1386" s="77"/>
      <c r="R1386" s="62"/>
      <c r="S1386" s="62"/>
      <c r="T1386" s="62"/>
      <c r="U1386" s="62"/>
      <c r="V1386" s="37" t="str">
        <f>IFERROR(__xludf.DUMMYFUNCTION("if(not(iserror(index(split(C1386, "" ""),2))), index(split(C1386, "" ""),1),"""")"),"")</f>
        <v/>
      </c>
      <c r="W1386" s="315" t="str">
        <f>IFERROR(__xludf.DUMMYFUNCTION("if(V1386="""",C1386,if(not(iserror(index(split(C1386, "" ""),3))), index(split(C1386, "" ""),3),index(split(C1386, "" ""),2)))"),"")</f>
        <v/>
      </c>
      <c r="X1386" s="38" t="b">
        <f t="shared" si="2"/>
        <v>0</v>
      </c>
      <c r="Y1386" s="38"/>
      <c r="Z1386" s="40"/>
      <c r="AA1386" s="40"/>
      <c r="AB1386" s="38"/>
      <c r="AC1386" s="38"/>
      <c r="AD1386" s="38"/>
      <c r="AE1386" s="38"/>
      <c r="AF1386" s="38"/>
      <c r="AG1386" s="38"/>
      <c r="AH1386" s="38"/>
      <c r="AI1386" s="38"/>
      <c r="AJ1386" s="38"/>
      <c r="AK1386" s="38"/>
      <c r="AL1386" s="38"/>
      <c r="AM1386" s="38"/>
      <c r="AN1386" s="38"/>
      <c r="AO1386" s="38"/>
      <c r="AP1386" s="38"/>
      <c r="AQ1386" s="38"/>
      <c r="AR1386" s="38"/>
      <c r="AS1386" s="38"/>
      <c r="AT1386" s="38"/>
      <c r="AU1386" s="38"/>
      <c r="AV1386" s="38"/>
      <c r="AW1386" s="38"/>
      <c r="AX1386" s="38"/>
      <c r="AY1386" s="38"/>
      <c r="AZ1386" s="38"/>
      <c r="BA1386" s="38"/>
      <c r="BB1386" s="38"/>
      <c r="BC1386" s="38"/>
      <c r="BD1386" s="38"/>
      <c r="BE1386" s="38"/>
      <c r="BF1386" s="38"/>
      <c r="BG1386" s="38"/>
    </row>
    <row r="1387">
      <c r="A1387" s="58"/>
      <c r="B1387" s="341"/>
      <c r="C1387" s="60"/>
      <c r="D1387" s="60"/>
      <c r="E1387" s="58"/>
      <c r="F1387" s="58"/>
      <c r="G1387" s="58"/>
      <c r="H1387" s="33" t="str">
        <f t="shared" si="1"/>
        <v/>
      </c>
      <c r="I1387" s="58"/>
      <c r="J1387" s="58"/>
      <c r="K1387" s="58"/>
      <c r="L1387" s="38"/>
      <c r="M1387" s="58"/>
      <c r="N1387" s="58"/>
      <c r="O1387" s="58"/>
      <c r="P1387" s="80"/>
      <c r="Q1387" s="77"/>
      <c r="R1387" s="62"/>
      <c r="S1387" s="62"/>
      <c r="T1387" s="62"/>
      <c r="U1387" s="62"/>
      <c r="V1387" s="37" t="str">
        <f>IFERROR(__xludf.DUMMYFUNCTION("if(not(iserror(index(split(C1387, "" ""),2))), index(split(C1387, "" ""),1),"""")"),"")</f>
        <v/>
      </c>
      <c r="W1387" s="315" t="str">
        <f>IFERROR(__xludf.DUMMYFUNCTION("if(V1387="""",C1387,if(not(iserror(index(split(C1387, "" ""),3))), index(split(C1387, "" ""),3),index(split(C1387, "" ""),2)))"),"")</f>
        <v/>
      </c>
      <c r="X1387" s="38" t="b">
        <f t="shared" si="2"/>
        <v>0</v>
      </c>
      <c r="Y1387" s="38"/>
      <c r="Z1387" s="40"/>
      <c r="AA1387" s="40"/>
      <c r="AB1387" s="38"/>
      <c r="AC1387" s="38"/>
      <c r="AD1387" s="38"/>
      <c r="AE1387" s="38"/>
      <c r="AF1387" s="38"/>
      <c r="AG1387" s="38"/>
      <c r="AH1387" s="38"/>
      <c r="AI1387" s="38"/>
      <c r="AJ1387" s="38"/>
      <c r="AK1387" s="38"/>
      <c r="AL1387" s="38"/>
      <c r="AM1387" s="38"/>
      <c r="AN1387" s="38"/>
      <c r="AO1387" s="38"/>
      <c r="AP1387" s="38"/>
      <c r="AQ1387" s="38"/>
      <c r="AR1387" s="38"/>
      <c r="AS1387" s="38"/>
      <c r="AT1387" s="38"/>
      <c r="AU1387" s="38"/>
      <c r="AV1387" s="38"/>
      <c r="AW1387" s="38"/>
      <c r="AX1387" s="38"/>
      <c r="AY1387" s="38"/>
      <c r="AZ1387" s="38"/>
      <c r="BA1387" s="38"/>
      <c r="BB1387" s="38"/>
      <c r="BC1387" s="38"/>
      <c r="BD1387" s="38"/>
      <c r="BE1387" s="38"/>
      <c r="BF1387" s="38"/>
      <c r="BG1387" s="38"/>
    </row>
    <row r="1388">
      <c r="A1388" s="58"/>
      <c r="B1388" s="341"/>
      <c r="C1388" s="60"/>
      <c r="D1388" s="60"/>
      <c r="E1388" s="58"/>
      <c r="F1388" s="58"/>
      <c r="G1388" s="58"/>
      <c r="H1388" s="33" t="str">
        <f t="shared" si="1"/>
        <v/>
      </c>
      <c r="I1388" s="58"/>
      <c r="J1388" s="58"/>
      <c r="K1388" s="58"/>
      <c r="L1388" s="38"/>
      <c r="M1388" s="58"/>
      <c r="N1388" s="58"/>
      <c r="O1388" s="58"/>
      <c r="P1388" s="80"/>
      <c r="Q1388" s="77"/>
      <c r="R1388" s="62"/>
      <c r="S1388" s="62"/>
      <c r="T1388" s="62"/>
      <c r="U1388" s="62"/>
      <c r="V1388" s="37" t="str">
        <f>IFERROR(__xludf.DUMMYFUNCTION("if(not(iserror(index(split(C1388, "" ""),2))), index(split(C1388, "" ""),1),"""")"),"")</f>
        <v/>
      </c>
      <c r="W1388" s="315" t="str">
        <f>IFERROR(__xludf.DUMMYFUNCTION("if(V1388="""",C1388,if(not(iserror(index(split(C1388, "" ""),3))), index(split(C1388, "" ""),3),index(split(C1388, "" ""),2)))"),"")</f>
        <v/>
      </c>
      <c r="X1388" s="38" t="b">
        <f t="shared" si="2"/>
        <v>0</v>
      </c>
      <c r="Y1388" s="38"/>
      <c r="Z1388" s="40"/>
      <c r="AA1388" s="40"/>
      <c r="AB1388" s="38"/>
      <c r="AC1388" s="38"/>
      <c r="AD1388" s="38"/>
      <c r="AE1388" s="38"/>
      <c r="AF1388" s="38"/>
      <c r="AG1388" s="38"/>
      <c r="AH1388" s="38"/>
      <c r="AI1388" s="38"/>
      <c r="AJ1388" s="38"/>
      <c r="AK1388" s="38"/>
      <c r="AL1388" s="38"/>
      <c r="AM1388" s="38"/>
      <c r="AN1388" s="38"/>
      <c r="AO1388" s="38"/>
      <c r="AP1388" s="38"/>
      <c r="AQ1388" s="38"/>
      <c r="AR1388" s="38"/>
      <c r="AS1388" s="38"/>
      <c r="AT1388" s="38"/>
      <c r="AU1388" s="38"/>
      <c r="AV1388" s="38"/>
      <c r="AW1388" s="38"/>
      <c r="AX1388" s="38"/>
      <c r="AY1388" s="38"/>
      <c r="AZ1388" s="38"/>
      <c r="BA1388" s="38"/>
      <c r="BB1388" s="38"/>
      <c r="BC1388" s="38"/>
      <c r="BD1388" s="38"/>
      <c r="BE1388" s="38"/>
      <c r="BF1388" s="38"/>
      <c r="BG1388" s="38"/>
    </row>
    <row r="1389">
      <c r="A1389" s="58"/>
      <c r="B1389" s="341"/>
      <c r="C1389" s="60"/>
      <c r="D1389" s="60"/>
      <c r="E1389" s="58"/>
      <c r="F1389" s="58"/>
      <c r="G1389" s="58"/>
      <c r="H1389" s="33" t="str">
        <f t="shared" si="1"/>
        <v/>
      </c>
      <c r="I1389" s="58"/>
      <c r="J1389" s="58"/>
      <c r="K1389" s="58"/>
      <c r="L1389" s="38"/>
      <c r="M1389" s="58"/>
      <c r="N1389" s="58"/>
      <c r="O1389" s="58"/>
      <c r="P1389" s="80"/>
      <c r="Q1389" s="77"/>
      <c r="R1389" s="62"/>
      <c r="S1389" s="62"/>
      <c r="T1389" s="62"/>
      <c r="U1389" s="62"/>
      <c r="V1389" s="37" t="str">
        <f>IFERROR(__xludf.DUMMYFUNCTION("if(not(iserror(index(split(C1389, "" ""),2))), index(split(C1389, "" ""),1),"""")"),"")</f>
        <v/>
      </c>
      <c r="W1389" s="315" t="str">
        <f>IFERROR(__xludf.DUMMYFUNCTION("if(V1389="""",C1389,if(not(iserror(index(split(C1389, "" ""),3))), index(split(C1389, "" ""),3),index(split(C1389, "" ""),2)))"),"")</f>
        <v/>
      </c>
      <c r="X1389" s="38" t="b">
        <f t="shared" si="2"/>
        <v>0</v>
      </c>
      <c r="Y1389" s="38"/>
      <c r="Z1389" s="40"/>
      <c r="AA1389" s="40"/>
      <c r="AB1389" s="38"/>
      <c r="AC1389" s="38"/>
      <c r="AD1389" s="38"/>
      <c r="AE1389" s="38"/>
      <c r="AF1389" s="38"/>
      <c r="AG1389" s="38"/>
      <c r="AH1389" s="38"/>
      <c r="AI1389" s="38"/>
      <c r="AJ1389" s="38"/>
      <c r="AK1389" s="38"/>
      <c r="AL1389" s="38"/>
      <c r="AM1389" s="38"/>
      <c r="AN1389" s="38"/>
      <c r="AO1389" s="38"/>
      <c r="AP1389" s="38"/>
      <c r="AQ1389" s="38"/>
      <c r="AR1389" s="38"/>
      <c r="AS1389" s="38"/>
      <c r="AT1389" s="38"/>
      <c r="AU1389" s="38"/>
      <c r="AV1389" s="38"/>
      <c r="AW1389" s="38"/>
      <c r="AX1389" s="38"/>
      <c r="AY1389" s="38"/>
      <c r="AZ1389" s="38"/>
      <c r="BA1389" s="38"/>
      <c r="BB1389" s="38"/>
      <c r="BC1389" s="38"/>
      <c r="BD1389" s="38"/>
      <c r="BE1389" s="38"/>
      <c r="BF1389" s="38"/>
      <c r="BG1389" s="38"/>
    </row>
    <row r="1390">
      <c r="A1390" s="58"/>
      <c r="B1390" s="341"/>
      <c r="C1390" s="60"/>
      <c r="D1390" s="60"/>
      <c r="E1390" s="58"/>
      <c r="F1390" s="58"/>
      <c r="G1390" s="58"/>
      <c r="H1390" s="33" t="str">
        <f t="shared" si="1"/>
        <v/>
      </c>
      <c r="I1390" s="58"/>
      <c r="J1390" s="58"/>
      <c r="K1390" s="58"/>
      <c r="L1390" s="38"/>
      <c r="M1390" s="58"/>
      <c r="N1390" s="58"/>
      <c r="O1390" s="58"/>
      <c r="P1390" s="80"/>
      <c r="Q1390" s="77"/>
      <c r="R1390" s="62"/>
      <c r="S1390" s="62"/>
      <c r="T1390" s="62"/>
      <c r="U1390" s="62"/>
      <c r="V1390" s="37" t="str">
        <f>IFERROR(__xludf.DUMMYFUNCTION("if(not(iserror(index(split(C1390, "" ""),2))), index(split(C1390, "" ""),1),"""")"),"")</f>
        <v/>
      </c>
      <c r="W1390" s="315" t="str">
        <f>IFERROR(__xludf.DUMMYFUNCTION("if(V1390="""",C1390,if(not(iserror(index(split(C1390, "" ""),3))), index(split(C1390, "" ""),3),index(split(C1390, "" ""),2)))"),"")</f>
        <v/>
      </c>
      <c r="X1390" s="38" t="b">
        <f t="shared" si="2"/>
        <v>0</v>
      </c>
      <c r="Y1390" s="38"/>
      <c r="Z1390" s="40"/>
      <c r="AA1390" s="40"/>
      <c r="AB1390" s="38"/>
      <c r="AC1390" s="38"/>
      <c r="AD1390" s="38"/>
      <c r="AE1390" s="38"/>
      <c r="AF1390" s="38"/>
      <c r="AG1390" s="38"/>
      <c r="AH1390" s="38"/>
      <c r="AI1390" s="38"/>
      <c r="AJ1390" s="38"/>
      <c r="AK1390" s="38"/>
      <c r="AL1390" s="38"/>
      <c r="AM1390" s="38"/>
      <c r="AN1390" s="38"/>
      <c r="AO1390" s="38"/>
      <c r="AP1390" s="38"/>
      <c r="AQ1390" s="38"/>
      <c r="AR1390" s="38"/>
      <c r="AS1390" s="38"/>
      <c r="AT1390" s="38"/>
      <c r="AU1390" s="38"/>
      <c r="AV1390" s="38"/>
      <c r="AW1390" s="38"/>
      <c r="AX1390" s="38"/>
      <c r="AY1390" s="38"/>
      <c r="AZ1390" s="38"/>
      <c r="BA1390" s="38"/>
      <c r="BB1390" s="38"/>
      <c r="BC1390" s="38"/>
      <c r="BD1390" s="38"/>
      <c r="BE1390" s="38"/>
      <c r="BF1390" s="38"/>
      <c r="BG1390" s="38"/>
    </row>
    <row r="1391">
      <c r="A1391" s="58"/>
      <c r="B1391" s="341"/>
      <c r="C1391" s="60"/>
      <c r="D1391" s="60"/>
      <c r="E1391" s="58"/>
      <c r="F1391" s="58"/>
      <c r="G1391" s="58"/>
      <c r="H1391" s="33" t="str">
        <f t="shared" si="1"/>
        <v/>
      </c>
      <c r="I1391" s="58"/>
      <c r="J1391" s="58"/>
      <c r="K1391" s="58"/>
      <c r="L1391" s="38"/>
      <c r="M1391" s="58"/>
      <c r="N1391" s="58"/>
      <c r="O1391" s="58"/>
      <c r="P1391" s="80"/>
      <c r="Q1391" s="77"/>
      <c r="R1391" s="62"/>
      <c r="S1391" s="62"/>
      <c r="T1391" s="62"/>
      <c r="U1391" s="62"/>
      <c r="V1391" s="37" t="str">
        <f>IFERROR(__xludf.DUMMYFUNCTION("if(not(iserror(index(split(C1391, "" ""),2))), index(split(C1391, "" ""),1),"""")"),"")</f>
        <v/>
      </c>
      <c r="W1391" s="315" t="str">
        <f>IFERROR(__xludf.DUMMYFUNCTION("if(V1391="""",C1391,if(not(iserror(index(split(C1391, "" ""),3))), index(split(C1391, "" ""),3),index(split(C1391, "" ""),2)))"),"")</f>
        <v/>
      </c>
      <c r="X1391" s="38" t="b">
        <f t="shared" si="2"/>
        <v>0</v>
      </c>
      <c r="Y1391" s="38"/>
      <c r="Z1391" s="40"/>
      <c r="AA1391" s="40"/>
      <c r="AB1391" s="38"/>
      <c r="AC1391" s="38"/>
      <c r="AD1391" s="38"/>
      <c r="AE1391" s="38"/>
      <c r="AF1391" s="38"/>
      <c r="AG1391" s="38"/>
      <c r="AH1391" s="38"/>
      <c r="AI1391" s="38"/>
      <c r="AJ1391" s="38"/>
      <c r="AK1391" s="38"/>
      <c r="AL1391" s="38"/>
      <c r="AM1391" s="38"/>
      <c r="AN1391" s="38"/>
      <c r="AO1391" s="38"/>
      <c r="AP1391" s="38"/>
      <c r="AQ1391" s="38"/>
      <c r="AR1391" s="38"/>
      <c r="AS1391" s="38"/>
      <c r="AT1391" s="38"/>
      <c r="AU1391" s="38"/>
      <c r="AV1391" s="38"/>
      <c r="AW1391" s="38"/>
      <c r="AX1391" s="38"/>
      <c r="AY1391" s="38"/>
      <c r="AZ1391" s="38"/>
      <c r="BA1391" s="38"/>
      <c r="BB1391" s="38"/>
      <c r="BC1391" s="38"/>
      <c r="BD1391" s="38"/>
      <c r="BE1391" s="38"/>
      <c r="BF1391" s="38"/>
      <c r="BG1391" s="38"/>
    </row>
    <row r="1392">
      <c r="A1392" s="58"/>
      <c r="B1392" s="341"/>
      <c r="C1392" s="60"/>
      <c r="D1392" s="60"/>
      <c r="E1392" s="58"/>
      <c r="F1392" s="58"/>
      <c r="G1392" s="58"/>
      <c r="H1392" s="33" t="str">
        <f t="shared" si="1"/>
        <v/>
      </c>
      <c r="I1392" s="58"/>
      <c r="J1392" s="58"/>
      <c r="K1392" s="58"/>
      <c r="L1392" s="38"/>
      <c r="M1392" s="58"/>
      <c r="N1392" s="58"/>
      <c r="O1392" s="58"/>
      <c r="P1392" s="80"/>
      <c r="Q1392" s="77"/>
      <c r="R1392" s="62"/>
      <c r="S1392" s="62"/>
      <c r="T1392" s="62"/>
      <c r="U1392" s="62"/>
      <c r="V1392" s="37" t="str">
        <f>IFERROR(__xludf.DUMMYFUNCTION("if(not(iserror(index(split(C1392, "" ""),2))), index(split(C1392, "" ""),1),"""")"),"")</f>
        <v/>
      </c>
      <c r="W1392" s="315" t="str">
        <f>IFERROR(__xludf.DUMMYFUNCTION("if(V1392="""",C1392,if(not(iserror(index(split(C1392, "" ""),3))), index(split(C1392, "" ""),3),index(split(C1392, "" ""),2)))"),"")</f>
        <v/>
      </c>
      <c r="X1392" s="38" t="b">
        <f t="shared" si="2"/>
        <v>0</v>
      </c>
      <c r="Y1392" s="38"/>
      <c r="Z1392" s="40"/>
      <c r="AA1392" s="40"/>
      <c r="AB1392" s="38"/>
      <c r="AC1392" s="38"/>
      <c r="AD1392" s="38"/>
      <c r="AE1392" s="38"/>
      <c r="AF1392" s="38"/>
      <c r="AG1392" s="38"/>
      <c r="AH1392" s="38"/>
      <c r="AI1392" s="38"/>
      <c r="AJ1392" s="38"/>
      <c r="AK1392" s="38"/>
      <c r="AL1392" s="38"/>
      <c r="AM1392" s="38"/>
      <c r="AN1392" s="38"/>
      <c r="AO1392" s="38"/>
      <c r="AP1392" s="38"/>
      <c r="AQ1392" s="38"/>
      <c r="AR1392" s="38"/>
      <c r="AS1392" s="38"/>
      <c r="AT1392" s="38"/>
      <c r="AU1392" s="38"/>
      <c r="AV1392" s="38"/>
      <c r="AW1392" s="38"/>
      <c r="AX1392" s="38"/>
      <c r="AY1392" s="38"/>
      <c r="AZ1392" s="38"/>
      <c r="BA1392" s="38"/>
      <c r="BB1392" s="38"/>
      <c r="BC1392" s="38"/>
      <c r="BD1392" s="38"/>
      <c r="BE1392" s="38"/>
      <c r="BF1392" s="38"/>
      <c r="BG1392" s="38"/>
    </row>
    <row r="1393">
      <c r="A1393" s="58"/>
      <c r="B1393" s="341"/>
      <c r="C1393" s="60"/>
      <c r="D1393" s="60"/>
      <c r="E1393" s="58"/>
      <c r="F1393" s="58"/>
      <c r="G1393" s="58"/>
      <c r="H1393" s="33" t="str">
        <f t="shared" si="1"/>
        <v/>
      </c>
      <c r="I1393" s="58"/>
      <c r="J1393" s="58"/>
      <c r="K1393" s="58"/>
      <c r="L1393" s="38"/>
      <c r="M1393" s="58"/>
      <c r="N1393" s="58"/>
      <c r="O1393" s="58"/>
      <c r="P1393" s="80"/>
      <c r="Q1393" s="77"/>
      <c r="R1393" s="62"/>
      <c r="S1393" s="62"/>
      <c r="T1393" s="84"/>
      <c r="U1393" s="62"/>
      <c r="V1393" s="37" t="str">
        <f>IFERROR(__xludf.DUMMYFUNCTION("if(not(iserror(index(split(C1393, "" ""),2))), index(split(C1393, "" ""),1),"""")"),"")</f>
        <v/>
      </c>
      <c r="W1393" s="315" t="str">
        <f>IFERROR(__xludf.DUMMYFUNCTION("if(V1393="""",C1393,if(not(iserror(index(split(C1393, "" ""),3))), index(split(C1393, "" ""),3),index(split(C1393, "" ""),2)))"),"")</f>
        <v/>
      </c>
      <c r="X1393" s="38" t="b">
        <f t="shared" si="2"/>
        <v>0</v>
      </c>
      <c r="Y1393" s="38"/>
      <c r="Z1393" s="40"/>
      <c r="AA1393" s="40"/>
      <c r="AB1393" s="38"/>
      <c r="AC1393" s="38"/>
      <c r="AD1393" s="38"/>
      <c r="AE1393" s="38"/>
      <c r="AF1393" s="38"/>
      <c r="AG1393" s="38"/>
      <c r="AH1393" s="38"/>
      <c r="AI1393" s="38"/>
      <c r="AJ1393" s="38"/>
      <c r="AK1393" s="38"/>
      <c r="AL1393" s="38"/>
      <c r="AM1393" s="38"/>
      <c r="AN1393" s="38"/>
      <c r="AO1393" s="38"/>
      <c r="AP1393" s="38"/>
      <c r="AQ1393" s="38"/>
      <c r="AR1393" s="38"/>
      <c r="AS1393" s="38"/>
      <c r="AT1393" s="38"/>
      <c r="AU1393" s="38"/>
      <c r="AV1393" s="38"/>
      <c r="AW1393" s="38"/>
      <c r="AX1393" s="38"/>
      <c r="AY1393" s="38"/>
      <c r="AZ1393" s="38"/>
      <c r="BA1393" s="38"/>
      <c r="BB1393" s="38"/>
      <c r="BC1393" s="38"/>
      <c r="BD1393" s="38"/>
      <c r="BE1393" s="38"/>
      <c r="BF1393" s="38"/>
      <c r="BG1393" s="38"/>
    </row>
    <row r="1394">
      <c r="A1394" s="58"/>
      <c r="B1394" s="341"/>
      <c r="C1394" s="60"/>
      <c r="D1394" s="60"/>
      <c r="E1394" s="58"/>
      <c r="F1394" s="58"/>
      <c r="G1394" s="58"/>
      <c r="H1394" s="33" t="str">
        <f t="shared" si="1"/>
        <v/>
      </c>
      <c r="I1394" s="58"/>
      <c r="J1394" s="58"/>
      <c r="K1394" s="58"/>
      <c r="L1394" s="38"/>
      <c r="M1394" s="58"/>
      <c r="N1394" s="58"/>
      <c r="O1394" s="58"/>
      <c r="P1394" s="80"/>
      <c r="Q1394" s="80"/>
      <c r="R1394" s="58"/>
      <c r="S1394" s="58"/>
      <c r="T1394" s="58"/>
      <c r="U1394" s="62"/>
      <c r="V1394" s="37" t="str">
        <f>IFERROR(__xludf.DUMMYFUNCTION("if(not(iserror(index(split(C1394, "" ""),2))), index(split(C1394, "" ""),1),"""")"),"")</f>
        <v/>
      </c>
      <c r="W1394" s="315" t="str">
        <f>IFERROR(__xludf.DUMMYFUNCTION("if(V1394="""",C1394,if(not(iserror(index(split(C1394, "" ""),3))), index(split(C1394, "" ""),3),index(split(C1394, "" ""),2)))"),"")</f>
        <v/>
      </c>
      <c r="X1394" s="38" t="b">
        <f t="shared" si="2"/>
        <v>0</v>
      </c>
      <c r="Y1394" s="38"/>
      <c r="Z1394" s="40"/>
      <c r="AA1394" s="40"/>
      <c r="AB1394" s="38"/>
      <c r="AC1394" s="38"/>
      <c r="AD1394" s="38"/>
      <c r="AE1394" s="38"/>
      <c r="AF1394" s="38"/>
      <c r="AG1394" s="38"/>
      <c r="AH1394" s="38"/>
      <c r="AI1394" s="38"/>
      <c r="AJ1394" s="38"/>
      <c r="AK1394" s="38"/>
      <c r="AL1394" s="38"/>
      <c r="AM1394" s="38"/>
      <c r="AN1394" s="38"/>
      <c r="AO1394" s="38"/>
      <c r="AP1394" s="38"/>
      <c r="AQ1394" s="38"/>
      <c r="AR1394" s="38"/>
      <c r="AS1394" s="38"/>
      <c r="AT1394" s="38"/>
      <c r="AU1394" s="38"/>
      <c r="AV1394" s="38"/>
      <c r="AW1394" s="38"/>
      <c r="AX1394" s="38"/>
      <c r="AY1394" s="38"/>
      <c r="AZ1394" s="38"/>
      <c r="BA1394" s="38"/>
      <c r="BB1394" s="38"/>
      <c r="BC1394" s="38"/>
      <c r="BD1394" s="38"/>
      <c r="BE1394" s="38"/>
      <c r="BF1394" s="38"/>
      <c r="BG1394" s="38"/>
    </row>
    <row r="1395">
      <c r="A1395" s="58"/>
      <c r="B1395" s="341"/>
      <c r="C1395" s="60"/>
      <c r="D1395" s="60"/>
      <c r="E1395" s="58"/>
      <c r="F1395" s="58"/>
      <c r="G1395" s="58"/>
      <c r="H1395" s="33" t="str">
        <f t="shared" si="1"/>
        <v/>
      </c>
      <c r="I1395" s="58"/>
      <c r="J1395" s="58"/>
      <c r="K1395" s="58"/>
      <c r="L1395" s="38"/>
      <c r="M1395" s="58"/>
      <c r="N1395" s="58"/>
      <c r="O1395" s="58"/>
      <c r="P1395" s="80"/>
      <c r="Q1395" s="77"/>
      <c r="R1395" s="58"/>
      <c r="S1395" s="58"/>
      <c r="T1395" s="84"/>
      <c r="U1395" s="62"/>
      <c r="V1395" s="37" t="str">
        <f>IFERROR(__xludf.DUMMYFUNCTION("if(not(iserror(index(split(C1395, "" ""),2))), index(split(C1395, "" ""),1),"""")"),"")</f>
        <v/>
      </c>
      <c r="W1395" s="315" t="str">
        <f>IFERROR(__xludf.DUMMYFUNCTION("if(V1395="""",C1395,if(not(iserror(index(split(C1395, "" ""),3))), index(split(C1395, "" ""),3),index(split(C1395, "" ""),2)))"),"")</f>
        <v/>
      </c>
      <c r="X1395" s="38" t="b">
        <f t="shared" si="2"/>
        <v>0</v>
      </c>
      <c r="Y1395" s="38"/>
      <c r="Z1395" s="40"/>
      <c r="AA1395" s="40"/>
      <c r="AB1395" s="38"/>
      <c r="AC1395" s="38"/>
      <c r="AD1395" s="38"/>
      <c r="AE1395" s="38"/>
      <c r="AF1395" s="38"/>
      <c r="AG1395" s="38"/>
      <c r="AH1395" s="38"/>
      <c r="AI1395" s="38"/>
      <c r="AJ1395" s="38"/>
      <c r="AK1395" s="38"/>
      <c r="AL1395" s="38"/>
      <c r="AM1395" s="38"/>
      <c r="AN1395" s="38"/>
      <c r="AO1395" s="38"/>
      <c r="AP1395" s="38"/>
      <c r="AQ1395" s="38"/>
      <c r="AR1395" s="38"/>
      <c r="AS1395" s="38"/>
      <c r="AT1395" s="38"/>
      <c r="AU1395" s="38"/>
      <c r="AV1395" s="38"/>
      <c r="AW1395" s="38"/>
      <c r="AX1395" s="38"/>
      <c r="AY1395" s="38"/>
      <c r="AZ1395" s="38"/>
      <c r="BA1395" s="38"/>
      <c r="BB1395" s="38"/>
      <c r="BC1395" s="38"/>
      <c r="BD1395" s="38"/>
      <c r="BE1395" s="38"/>
      <c r="BF1395" s="38"/>
      <c r="BG1395" s="38"/>
    </row>
    <row r="1396">
      <c r="A1396" s="58"/>
      <c r="B1396" s="341"/>
      <c r="C1396" s="60"/>
      <c r="D1396" s="60"/>
      <c r="E1396" s="58"/>
      <c r="F1396" s="58"/>
      <c r="G1396" s="58"/>
      <c r="H1396" s="33" t="str">
        <f t="shared" si="1"/>
        <v/>
      </c>
      <c r="I1396" s="58"/>
      <c r="J1396" s="58"/>
      <c r="K1396" s="58"/>
      <c r="L1396" s="38"/>
      <c r="M1396" s="58"/>
      <c r="N1396" s="58"/>
      <c r="O1396" s="58"/>
      <c r="P1396" s="80"/>
      <c r="Q1396" s="77"/>
      <c r="R1396" s="62"/>
      <c r="S1396" s="62"/>
      <c r="T1396" s="62"/>
      <c r="U1396" s="62"/>
      <c r="V1396" s="37" t="str">
        <f>IFERROR(__xludf.DUMMYFUNCTION("if(not(iserror(index(split(C1396, "" ""),2))), index(split(C1396, "" ""),1),"""")"),"")</f>
        <v/>
      </c>
      <c r="W1396" s="315" t="str">
        <f>IFERROR(__xludf.DUMMYFUNCTION("if(V1396="""",C1396,if(not(iserror(index(split(C1396, "" ""),3))), index(split(C1396, "" ""),3),index(split(C1396, "" ""),2)))"),"")</f>
        <v/>
      </c>
      <c r="X1396" s="38" t="b">
        <f t="shared" si="2"/>
        <v>0</v>
      </c>
      <c r="Y1396" s="38"/>
      <c r="Z1396" s="40"/>
      <c r="AA1396" s="40"/>
      <c r="AB1396" s="38"/>
      <c r="AC1396" s="38"/>
      <c r="AD1396" s="38"/>
      <c r="AE1396" s="38"/>
      <c r="AF1396" s="38"/>
      <c r="AG1396" s="38"/>
      <c r="AH1396" s="38"/>
      <c r="AI1396" s="38"/>
      <c r="AJ1396" s="38"/>
      <c r="AK1396" s="38"/>
      <c r="AL1396" s="38"/>
      <c r="AM1396" s="38"/>
      <c r="AN1396" s="38"/>
      <c r="AO1396" s="38"/>
      <c r="AP1396" s="38"/>
      <c r="AQ1396" s="38"/>
      <c r="AR1396" s="38"/>
      <c r="AS1396" s="38"/>
      <c r="AT1396" s="38"/>
      <c r="AU1396" s="38"/>
      <c r="AV1396" s="38"/>
      <c r="AW1396" s="38"/>
      <c r="AX1396" s="38"/>
      <c r="AY1396" s="38"/>
      <c r="AZ1396" s="38"/>
      <c r="BA1396" s="38"/>
      <c r="BB1396" s="38"/>
      <c r="BC1396" s="38"/>
      <c r="BD1396" s="38"/>
      <c r="BE1396" s="38"/>
      <c r="BF1396" s="38"/>
      <c r="BG1396" s="38"/>
    </row>
    <row r="1397">
      <c r="A1397" s="58"/>
      <c r="B1397" s="341"/>
      <c r="C1397" s="60"/>
      <c r="D1397" s="60"/>
      <c r="E1397" s="58"/>
      <c r="F1397" s="58"/>
      <c r="G1397" s="58"/>
      <c r="H1397" s="33" t="str">
        <f t="shared" si="1"/>
        <v/>
      </c>
      <c r="I1397" s="58"/>
      <c r="J1397" s="58"/>
      <c r="K1397" s="58"/>
      <c r="L1397" s="38"/>
      <c r="M1397" s="58"/>
      <c r="N1397" s="58"/>
      <c r="O1397" s="58"/>
      <c r="P1397" s="80"/>
      <c r="Q1397" s="77"/>
      <c r="R1397" s="62"/>
      <c r="S1397" s="62"/>
      <c r="T1397" s="62"/>
      <c r="U1397" s="62"/>
      <c r="V1397" s="37" t="str">
        <f>IFERROR(__xludf.DUMMYFUNCTION("if(not(iserror(index(split(C1397, "" ""),2))), index(split(C1397, "" ""),1),"""")"),"")</f>
        <v/>
      </c>
      <c r="W1397" s="315" t="str">
        <f>IFERROR(__xludf.DUMMYFUNCTION("if(V1397="""",C1397,if(not(iserror(index(split(C1397, "" ""),3))), index(split(C1397, "" ""),3),index(split(C1397, "" ""),2)))"),"")</f>
        <v/>
      </c>
      <c r="X1397" s="38" t="b">
        <f t="shared" si="2"/>
        <v>0</v>
      </c>
      <c r="Y1397" s="38"/>
      <c r="Z1397" s="40"/>
      <c r="AA1397" s="40"/>
      <c r="AB1397" s="38"/>
      <c r="AC1397" s="38"/>
      <c r="AD1397" s="38"/>
      <c r="AE1397" s="38"/>
      <c r="AF1397" s="38"/>
      <c r="AG1397" s="38"/>
      <c r="AH1397" s="38"/>
      <c r="AI1397" s="38"/>
      <c r="AJ1397" s="38"/>
      <c r="AK1397" s="38"/>
      <c r="AL1397" s="38"/>
      <c r="AM1397" s="38"/>
      <c r="AN1397" s="38"/>
      <c r="AO1397" s="38"/>
      <c r="AP1397" s="38"/>
      <c r="AQ1397" s="38"/>
      <c r="AR1397" s="38"/>
      <c r="AS1397" s="38"/>
      <c r="AT1397" s="38"/>
      <c r="AU1397" s="38"/>
      <c r="AV1397" s="38"/>
      <c r="AW1397" s="38"/>
      <c r="AX1397" s="38"/>
      <c r="AY1397" s="38"/>
      <c r="AZ1397" s="38"/>
      <c r="BA1397" s="38"/>
      <c r="BB1397" s="38"/>
      <c r="BC1397" s="38"/>
      <c r="BD1397" s="38"/>
      <c r="BE1397" s="38"/>
      <c r="BF1397" s="38"/>
      <c r="BG1397" s="38"/>
    </row>
    <row r="1398">
      <c r="A1398" s="58"/>
      <c r="B1398" s="341"/>
      <c r="C1398" s="60"/>
      <c r="D1398" s="60"/>
      <c r="E1398" s="58"/>
      <c r="F1398" s="58"/>
      <c r="G1398" s="58"/>
      <c r="H1398" s="33" t="str">
        <f t="shared" si="1"/>
        <v/>
      </c>
      <c r="I1398" s="58"/>
      <c r="J1398" s="58"/>
      <c r="K1398" s="58"/>
      <c r="L1398" s="38"/>
      <c r="M1398" s="58"/>
      <c r="N1398" s="58"/>
      <c r="O1398" s="58"/>
      <c r="P1398" s="80"/>
      <c r="Q1398" s="80"/>
      <c r="R1398" s="62"/>
      <c r="S1398" s="62"/>
      <c r="T1398" s="62"/>
      <c r="U1398" s="62"/>
      <c r="V1398" s="37" t="str">
        <f>IFERROR(__xludf.DUMMYFUNCTION("if(not(iserror(index(split(C1398, "" ""),2))), index(split(C1398, "" ""),1),"""")"),"")</f>
        <v/>
      </c>
      <c r="W1398" s="315" t="str">
        <f>IFERROR(__xludf.DUMMYFUNCTION("if(V1398="""",C1398,if(not(iserror(index(split(C1398, "" ""),3))), index(split(C1398, "" ""),3),index(split(C1398, "" ""),2)))"),"")</f>
        <v/>
      </c>
      <c r="X1398" s="38" t="b">
        <f t="shared" si="2"/>
        <v>0</v>
      </c>
      <c r="Y1398" s="38"/>
      <c r="Z1398" s="40"/>
      <c r="AA1398" s="40"/>
      <c r="AB1398" s="38"/>
      <c r="AC1398" s="38"/>
      <c r="AD1398" s="38"/>
      <c r="AE1398" s="38"/>
      <c r="AF1398" s="38"/>
      <c r="AG1398" s="38"/>
      <c r="AH1398" s="38"/>
      <c r="AI1398" s="38"/>
      <c r="AJ1398" s="38"/>
      <c r="AK1398" s="38"/>
      <c r="AL1398" s="38"/>
      <c r="AM1398" s="38"/>
      <c r="AN1398" s="38"/>
      <c r="AO1398" s="38"/>
      <c r="AP1398" s="38"/>
      <c r="AQ1398" s="38"/>
      <c r="AR1398" s="38"/>
      <c r="AS1398" s="38"/>
      <c r="AT1398" s="38"/>
      <c r="AU1398" s="38"/>
      <c r="AV1398" s="38"/>
      <c r="AW1398" s="38"/>
      <c r="AX1398" s="38"/>
      <c r="AY1398" s="38"/>
      <c r="AZ1398" s="38"/>
      <c r="BA1398" s="38"/>
      <c r="BB1398" s="38"/>
      <c r="BC1398" s="38"/>
      <c r="BD1398" s="38"/>
      <c r="BE1398" s="38"/>
      <c r="BF1398" s="38"/>
      <c r="BG1398" s="38"/>
    </row>
    <row r="1399">
      <c r="A1399" s="58"/>
      <c r="B1399" s="341"/>
      <c r="C1399" s="60"/>
      <c r="D1399" s="60"/>
      <c r="E1399" s="58"/>
      <c r="F1399" s="58"/>
      <c r="G1399" s="58"/>
      <c r="H1399" s="33" t="str">
        <f t="shared" si="1"/>
        <v/>
      </c>
      <c r="I1399" s="58"/>
      <c r="J1399" s="58"/>
      <c r="K1399" s="58"/>
      <c r="L1399" s="38"/>
      <c r="M1399" s="58"/>
      <c r="N1399" s="58"/>
      <c r="O1399" s="58"/>
      <c r="P1399" s="80"/>
      <c r="Q1399" s="14"/>
      <c r="R1399" s="58"/>
      <c r="S1399" s="58"/>
      <c r="T1399" s="84"/>
      <c r="U1399" s="62"/>
      <c r="V1399" s="37" t="str">
        <f>IFERROR(__xludf.DUMMYFUNCTION("if(not(iserror(index(split(C1399, "" ""),2))), index(split(C1399, "" ""),1),"""")"),"")</f>
        <v/>
      </c>
      <c r="W1399" s="315" t="str">
        <f>IFERROR(__xludf.DUMMYFUNCTION("if(V1399="""",C1399,if(not(iserror(index(split(C1399, "" ""),3))), index(split(C1399, "" ""),3),index(split(C1399, "" ""),2)))"),"")</f>
        <v/>
      </c>
      <c r="X1399" s="38" t="b">
        <f t="shared" si="2"/>
        <v>0</v>
      </c>
      <c r="Y1399" s="38"/>
      <c r="Z1399" s="40"/>
      <c r="AA1399" s="40"/>
      <c r="AB1399" s="38"/>
      <c r="AC1399" s="38"/>
      <c r="AD1399" s="38"/>
      <c r="AE1399" s="38"/>
      <c r="AF1399" s="38"/>
      <c r="AG1399" s="38"/>
      <c r="AH1399" s="38"/>
      <c r="AI1399" s="38"/>
      <c r="AJ1399" s="38"/>
      <c r="AK1399" s="38"/>
      <c r="AL1399" s="38"/>
      <c r="AM1399" s="38"/>
      <c r="AN1399" s="38"/>
      <c r="AO1399" s="38"/>
      <c r="AP1399" s="38"/>
      <c r="AQ1399" s="38"/>
      <c r="AR1399" s="38"/>
      <c r="AS1399" s="38"/>
      <c r="AT1399" s="38"/>
      <c r="AU1399" s="38"/>
      <c r="AV1399" s="38"/>
      <c r="AW1399" s="38"/>
      <c r="AX1399" s="38"/>
      <c r="AY1399" s="38"/>
      <c r="AZ1399" s="38"/>
      <c r="BA1399" s="38"/>
      <c r="BB1399" s="38"/>
      <c r="BC1399" s="38"/>
      <c r="BD1399" s="38"/>
      <c r="BE1399" s="38"/>
      <c r="BF1399" s="38"/>
      <c r="BG1399" s="38"/>
    </row>
    <row r="1400">
      <c r="A1400" s="58"/>
      <c r="B1400" s="341"/>
      <c r="C1400" s="60"/>
      <c r="D1400" s="60"/>
      <c r="E1400" s="58"/>
      <c r="F1400" s="58"/>
      <c r="G1400" s="58"/>
      <c r="H1400" s="33" t="str">
        <f t="shared" si="1"/>
        <v/>
      </c>
      <c r="I1400" s="58"/>
      <c r="J1400" s="58"/>
      <c r="K1400" s="58"/>
      <c r="L1400" s="38"/>
      <c r="M1400" s="58"/>
      <c r="N1400" s="58"/>
      <c r="O1400" s="58"/>
      <c r="P1400" s="80"/>
      <c r="Q1400" s="77"/>
      <c r="R1400" s="58"/>
      <c r="S1400" s="58"/>
      <c r="T1400" s="84"/>
      <c r="U1400" s="62"/>
      <c r="V1400" s="37" t="str">
        <f>IFERROR(__xludf.DUMMYFUNCTION("if(not(iserror(index(split(C1400, "" ""),2))), index(split(C1400, "" ""),1),"""")"),"")</f>
        <v/>
      </c>
      <c r="W1400" s="315" t="str">
        <f>IFERROR(__xludf.DUMMYFUNCTION("if(V1400="""",C1400,if(not(iserror(index(split(C1400, "" ""),3))), index(split(C1400, "" ""),3),index(split(C1400, "" ""),2)))"),"")</f>
        <v/>
      </c>
      <c r="X1400" s="38" t="b">
        <f t="shared" si="2"/>
        <v>0</v>
      </c>
      <c r="Y1400" s="38"/>
      <c r="Z1400" s="40"/>
      <c r="AA1400" s="40"/>
      <c r="AB1400" s="38"/>
      <c r="AC1400" s="38"/>
      <c r="AD1400" s="38"/>
      <c r="AE1400" s="38"/>
      <c r="AF1400" s="38"/>
      <c r="AG1400" s="38"/>
      <c r="AH1400" s="38"/>
      <c r="AI1400" s="38"/>
      <c r="AJ1400" s="38"/>
      <c r="AK1400" s="38"/>
      <c r="AL1400" s="38"/>
      <c r="AM1400" s="38"/>
      <c r="AN1400" s="38"/>
      <c r="AO1400" s="38"/>
      <c r="AP1400" s="38"/>
      <c r="AQ1400" s="38"/>
      <c r="AR1400" s="38"/>
      <c r="AS1400" s="38"/>
      <c r="AT1400" s="38"/>
      <c r="AU1400" s="38"/>
      <c r="AV1400" s="38"/>
      <c r="AW1400" s="38"/>
      <c r="AX1400" s="38"/>
      <c r="AY1400" s="38"/>
      <c r="AZ1400" s="38"/>
      <c r="BA1400" s="38"/>
      <c r="BB1400" s="38"/>
      <c r="BC1400" s="38"/>
      <c r="BD1400" s="38"/>
      <c r="BE1400" s="38"/>
      <c r="BF1400" s="38"/>
      <c r="BG1400" s="38"/>
    </row>
    <row r="1401">
      <c r="A1401" s="58"/>
      <c r="B1401" s="341"/>
      <c r="C1401" s="60"/>
      <c r="D1401" s="60"/>
      <c r="E1401" s="58"/>
      <c r="F1401" s="58"/>
      <c r="G1401" s="58"/>
      <c r="H1401" s="33" t="str">
        <f t="shared" si="1"/>
        <v/>
      </c>
      <c r="I1401" s="58"/>
      <c r="J1401" s="58"/>
      <c r="K1401" s="58"/>
      <c r="L1401" s="38"/>
      <c r="M1401" s="58"/>
      <c r="N1401" s="58"/>
      <c r="O1401" s="58"/>
      <c r="P1401" s="404"/>
      <c r="Q1401" s="77"/>
      <c r="R1401" s="62"/>
      <c r="S1401" s="62"/>
      <c r="T1401" s="62"/>
      <c r="U1401" s="62"/>
      <c r="V1401" s="37" t="str">
        <f>IFERROR(__xludf.DUMMYFUNCTION("if(not(iserror(index(split(C1401, "" ""),2))), index(split(C1401, "" ""),1),"""")"),"")</f>
        <v/>
      </c>
      <c r="W1401" s="315" t="str">
        <f>IFERROR(__xludf.DUMMYFUNCTION("if(V1401="""",C1401,if(not(iserror(index(split(C1401, "" ""),3))), index(split(C1401, "" ""),3),index(split(C1401, "" ""),2)))"),"")</f>
        <v/>
      </c>
      <c r="X1401" s="38" t="b">
        <f t="shared" si="2"/>
        <v>0</v>
      </c>
      <c r="Y1401" s="38"/>
      <c r="Z1401" s="40"/>
      <c r="AA1401" s="40"/>
      <c r="AB1401" s="38"/>
      <c r="AC1401" s="38"/>
      <c r="AD1401" s="38"/>
      <c r="AE1401" s="38"/>
      <c r="AF1401" s="38"/>
      <c r="AG1401" s="38"/>
      <c r="AH1401" s="38"/>
      <c r="AI1401" s="38"/>
      <c r="AJ1401" s="38"/>
      <c r="AK1401" s="38"/>
      <c r="AL1401" s="38"/>
      <c r="AM1401" s="38"/>
      <c r="AN1401" s="38"/>
      <c r="AO1401" s="38"/>
      <c r="AP1401" s="38"/>
      <c r="AQ1401" s="38"/>
      <c r="AR1401" s="38"/>
      <c r="AS1401" s="38"/>
      <c r="AT1401" s="38"/>
      <c r="AU1401" s="38"/>
      <c r="AV1401" s="38"/>
      <c r="AW1401" s="38"/>
      <c r="AX1401" s="38"/>
      <c r="AY1401" s="38"/>
      <c r="AZ1401" s="38"/>
      <c r="BA1401" s="38"/>
      <c r="BB1401" s="38"/>
      <c r="BC1401" s="38"/>
      <c r="BD1401" s="38"/>
      <c r="BE1401" s="38"/>
      <c r="BF1401" s="38"/>
      <c r="BG1401" s="38"/>
    </row>
    <row r="1402">
      <c r="A1402" s="58"/>
      <c r="B1402" s="341"/>
      <c r="C1402" s="60"/>
      <c r="D1402" s="60"/>
      <c r="E1402" s="58"/>
      <c r="F1402" s="58"/>
      <c r="G1402" s="58"/>
      <c r="H1402" s="33" t="str">
        <f t="shared" si="1"/>
        <v/>
      </c>
      <c r="I1402" s="58"/>
      <c r="J1402" s="58"/>
      <c r="K1402" s="58"/>
      <c r="L1402" s="38"/>
      <c r="M1402" s="58"/>
      <c r="N1402" s="58"/>
      <c r="O1402" s="58"/>
      <c r="P1402" s="80"/>
      <c r="Q1402" s="77"/>
      <c r="R1402" s="62"/>
      <c r="S1402" s="58"/>
      <c r="T1402" s="84"/>
      <c r="U1402" s="62"/>
      <c r="V1402" s="37" t="str">
        <f>IFERROR(__xludf.DUMMYFUNCTION("if(not(iserror(index(split(C1402, "" ""),2))), index(split(C1402, "" ""),1),"""")"),"")</f>
        <v/>
      </c>
      <c r="W1402" s="315" t="str">
        <f>IFERROR(__xludf.DUMMYFUNCTION("if(V1402="""",C1402,if(not(iserror(index(split(C1402, "" ""),3))), index(split(C1402, "" ""),3),index(split(C1402, "" ""),2)))"),"")</f>
        <v/>
      </c>
      <c r="X1402" s="38" t="b">
        <f t="shared" si="2"/>
        <v>0</v>
      </c>
      <c r="Y1402" s="38"/>
      <c r="Z1402" s="40"/>
      <c r="AA1402" s="40"/>
      <c r="AB1402" s="38"/>
      <c r="AC1402" s="38"/>
      <c r="AD1402" s="38"/>
      <c r="AE1402" s="38"/>
      <c r="AF1402" s="38"/>
      <c r="AG1402" s="38"/>
      <c r="AH1402" s="38"/>
      <c r="AI1402" s="38"/>
      <c r="AJ1402" s="38"/>
      <c r="AK1402" s="38"/>
      <c r="AL1402" s="38"/>
      <c r="AM1402" s="38"/>
      <c r="AN1402" s="38"/>
      <c r="AO1402" s="38"/>
      <c r="AP1402" s="38"/>
      <c r="AQ1402" s="38"/>
      <c r="AR1402" s="38"/>
      <c r="AS1402" s="38"/>
      <c r="AT1402" s="38"/>
      <c r="AU1402" s="38"/>
      <c r="AV1402" s="38"/>
      <c r="AW1402" s="38"/>
      <c r="AX1402" s="38"/>
      <c r="AY1402" s="38"/>
      <c r="AZ1402" s="38"/>
      <c r="BA1402" s="38"/>
      <c r="BB1402" s="38"/>
      <c r="BC1402" s="38"/>
      <c r="BD1402" s="38"/>
      <c r="BE1402" s="38"/>
      <c r="BF1402" s="38"/>
      <c r="BG1402" s="38"/>
    </row>
    <row r="1403">
      <c r="A1403" s="58"/>
      <c r="B1403" s="341"/>
      <c r="C1403" s="60"/>
      <c r="D1403" s="60"/>
      <c r="E1403" s="58"/>
      <c r="F1403" s="58"/>
      <c r="G1403" s="58"/>
      <c r="H1403" s="33" t="str">
        <f t="shared" si="1"/>
        <v/>
      </c>
      <c r="I1403" s="58"/>
      <c r="J1403" s="58"/>
      <c r="K1403" s="58"/>
      <c r="L1403" s="38"/>
      <c r="M1403" s="58"/>
      <c r="N1403" s="58"/>
      <c r="O1403" s="58"/>
      <c r="P1403" s="80"/>
      <c r="Q1403" s="77"/>
      <c r="R1403" s="62"/>
      <c r="S1403" s="58"/>
      <c r="T1403" s="84"/>
      <c r="U1403" s="62"/>
      <c r="V1403" s="37" t="str">
        <f>IFERROR(__xludf.DUMMYFUNCTION("if(not(iserror(index(split(C1403, "" ""),2))), index(split(C1403, "" ""),1),"""")"),"")</f>
        <v/>
      </c>
      <c r="W1403" s="315" t="str">
        <f>IFERROR(__xludf.DUMMYFUNCTION("if(V1403="""",C1403,if(not(iserror(index(split(C1403, "" ""),3))), index(split(C1403, "" ""),3),index(split(C1403, "" ""),2)))"),"")</f>
        <v/>
      </c>
      <c r="X1403" s="38" t="b">
        <f t="shared" si="2"/>
        <v>0</v>
      </c>
      <c r="Y1403" s="38"/>
      <c r="Z1403" s="40"/>
      <c r="AA1403" s="40"/>
      <c r="AB1403" s="38"/>
      <c r="AC1403" s="38"/>
      <c r="AD1403" s="38"/>
      <c r="AE1403" s="38"/>
      <c r="AF1403" s="38"/>
      <c r="AG1403" s="38"/>
      <c r="AH1403" s="38"/>
      <c r="AI1403" s="38"/>
      <c r="AJ1403" s="38"/>
      <c r="AK1403" s="38"/>
      <c r="AL1403" s="38"/>
      <c r="AM1403" s="38"/>
      <c r="AN1403" s="38"/>
      <c r="AO1403" s="38"/>
      <c r="AP1403" s="38"/>
      <c r="AQ1403" s="38"/>
      <c r="AR1403" s="38"/>
      <c r="AS1403" s="38"/>
      <c r="AT1403" s="38"/>
      <c r="AU1403" s="38"/>
      <c r="AV1403" s="38"/>
      <c r="AW1403" s="38"/>
      <c r="AX1403" s="38"/>
      <c r="AY1403" s="38"/>
      <c r="AZ1403" s="38"/>
      <c r="BA1403" s="38"/>
      <c r="BB1403" s="38"/>
      <c r="BC1403" s="38"/>
      <c r="BD1403" s="38"/>
      <c r="BE1403" s="38"/>
      <c r="BF1403" s="38"/>
      <c r="BG1403" s="38"/>
    </row>
    <row r="1404">
      <c r="A1404" s="58"/>
      <c r="B1404" s="341"/>
      <c r="C1404" s="60"/>
      <c r="D1404" s="60"/>
      <c r="E1404" s="58"/>
      <c r="F1404" s="58"/>
      <c r="G1404" s="58"/>
      <c r="H1404" s="33" t="str">
        <f t="shared" si="1"/>
        <v/>
      </c>
      <c r="I1404" s="58"/>
      <c r="J1404" s="58"/>
      <c r="K1404" s="58"/>
      <c r="L1404" s="38"/>
      <c r="M1404" s="58"/>
      <c r="N1404" s="58"/>
      <c r="O1404" s="58"/>
      <c r="P1404" s="80"/>
      <c r="Q1404" s="77"/>
      <c r="R1404" s="62"/>
      <c r="S1404" s="62"/>
      <c r="T1404" s="62"/>
      <c r="U1404" s="62"/>
      <c r="V1404" s="37" t="str">
        <f>IFERROR(__xludf.DUMMYFUNCTION("if(not(iserror(index(split(C1404, "" ""),2))), index(split(C1404, "" ""),1),"""")"),"")</f>
        <v/>
      </c>
      <c r="W1404" s="315" t="str">
        <f>IFERROR(__xludf.DUMMYFUNCTION("if(V1404="""",C1404,if(not(iserror(index(split(C1404, "" ""),3))), index(split(C1404, "" ""),3),index(split(C1404, "" ""),2)))"),"")</f>
        <v/>
      </c>
      <c r="X1404" s="38" t="b">
        <f t="shared" si="2"/>
        <v>0</v>
      </c>
      <c r="Y1404" s="38"/>
      <c r="Z1404" s="40"/>
      <c r="AA1404" s="40"/>
      <c r="AB1404" s="38"/>
      <c r="AC1404" s="38"/>
      <c r="AD1404" s="38"/>
      <c r="AE1404" s="38"/>
      <c r="AF1404" s="38"/>
      <c r="AG1404" s="38"/>
      <c r="AH1404" s="38"/>
      <c r="AI1404" s="38"/>
      <c r="AJ1404" s="38"/>
      <c r="AK1404" s="38"/>
      <c r="AL1404" s="38"/>
      <c r="AM1404" s="38"/>
      <c r="AN1404" s="38"/>
      <c r="AO1404" s="38"/>
      <c r="AP1404" s="38"/>
      <c r="AQ1404" s="38"/>
      <c r="AR1404" s="38"/>
      <c r="AS1404" s="38"/>
      <c r="AT1404" s="38"/>
      <c r="AU1404" s="38"/>
      <c r="AV1404" s="38"/>
      <c r="AW1404" s="38"/>
      <c r="AX1404" s="38"/>
      <c r="AY1404" s="38"/>
      <c r="AZ1404" s="38"/>
      <c r="BA1404" s="38"/>
      <c r="BB1404" s="38"/>
      <c r="BC1404" s="38"/>
      <c r="BD1404" s="38"/>
      <c r="BE1404" s="38"/>
      <c r="BF1404" s="38"/>
      <c r="BG1404" s="38"/>
    </row>
    <row r="1405">
      <c r="A1405" s="58"/>
      <c r="B1405" s="341"/>
      <c r="C1405" s="60"/>
      <c r="D1405" s="60"/>
      <c r="E1405" s="58"/>
      <c r="F1405" s="58"/>
      <c r="G1405" s="58"/>
      <c r="H1405" s="33" t="str">
        <f t="shared" si="1"/>
        <v/>
      </c>
      <c r="I1405" s="58"/>
      <c r="J1405" s="58"/>
      <c r="K1405" s="58"/>
      <c r="L1405" s="38"/>
      <c r="M1405" s="58"/>
      <c r="N1405" s="58"/>
      <c r="O1405" s="58"/>
      <c r="P1405" s="80"/>
      <c r="Q1405" s="77"/>
      <c r="R1405" s="62"/>
      <c r="S1405" s="62"/>
      <c r="T1405" s="62"/>
      <c r="U1405" s="62"/>
      <c r="V1405" s="37" t="str">
        <f>IFERROR(__xludf.DUMMYFUNCTION("if(not(iserror(index(split(C1405, "" ""),2))), index(split(C1405, "" ""),1),"""")"),"")</f>
        <v/>
      </c>
      <c r="W1405" s="315" t="str">
        <f>IFERROR(__xludf.DUMMYFUNCTION("if(V1405="""",C1405,if(not(iserror(index(split(C1405, "" ""),3))), index(split(C1405, "" ""),3),index(split(C1405, "" ""),2)))"),"")</f>
        <v/>
      </c>
      <c r="X1405" s="38" t="b">
        <f t="shared" si="2"/>
        <v>0</v>
      </c>
      <c r="Y1405" s="38"/>
      <c r="Z1405" s="40"/>
      <c r="AA1405" s="40"/>
      <c r="AB1405" s="38"/>
      <c r="AC1405" s="38"/>
      <c r="AD1405" s="38"/>
      <c r="AE1405" s="38"/>
      <c r="AF1405" s="38"/>
      <c r="AG1405" s="38"/>
      <c r="AH1405" s="38"/>
      <c r="AI1405" s="38"/>
      <c r="AJ1405" s="38"/>
      <c r="AK1405" s="38"/>
      <c r="AL1405" s="38"/>
      <c r="AM1405" s="38"/>
      <c r="AN1405" s="38"/>
      <c r="AO1405" s="38"/>
      <c r="AP1405" s="38"/>
      <c r="AQ1405" s="38"/>
      <c r="AR1405" s="38"/>
      <c r="AS1405" s="38"/>
      <c r="AT1405" s="38"/>
      <c r="AU1405" s="38"/>
      <c r="AV1405" s="38"/>
      <c r="AW1405" s="38"/>
      <c r="AX1405" s="38"/>
      <c r="AY1405" s="38"/>
      <c r="AZ1405" s="38"/>
      <c r="BA1405" s="38"/>
      <c r="BB1405" s="38"/>
      <c r="BC1405" s="38"/>
      <c r="BD1405" s="38"/>
      <c r="BE1405" s="38"/>
      <c r="BF1405" s="38"/>
      <c r="BG1405" s="38"/>
    </row>
    <row r="1406">
      <c r="A1406" s="58"/>
      <c r="B1406" s="341"/>
      <c r="C1406" s="60"/>
      <c r="D1406" s="60"/>
      <c r="E1406" s="58"/>
      <c r="F1406" s="58"/>
      <c r="G1406" s="58"/>
      <c r="H1406" s="33" t="str">
        <f t="shared" si="1"/>
        <v/>
      </c>
      <c r="I1406" s="58"/>
      <c r="J1406" s="58"/>
      <c r="K1406" s="58"/>
      <c r="L1406" s="38"/>
      <c r="M1406" s="58"/>
      <c r="N1406" s="58"/>
      <c r="O1406" s="58"/>
      <c r="P1406" s="80"/>
      <c r="Q1406" s="77"/>
      <c r="R1406" s="62"/>
      <c r="S1406" s="62"/>
      <c r="T1406" s="62"/>
      <c r="U1406" s="62"/>
      <c r="V1406" s="37" t="str">
        <f>IFERROR(__xludf.DUMMYFUNCTION("if(not(iserror(index(split(C1406, "" ""),2))), index(split(C1406, "" ""),1),"""")"),"")</f>
        <v/>
      </c>
      <c r="W1406" s="315" t="str">
        <f>IFERROR(__xludf.DUMMYFUNCTION("if(V1406="""",C1406,if(not(iserror(index(split(C1406, "" ""),3))), index(split(C1406, "" ""),3),index(split(C1406, "" ""),2)))"),"")</f>
        <v/>
      </c>
      <c r="X1406" s="38" t="b">
        <f t="shared" si="2"/>
        <v>0</v>
      </c>
      <c r="Y1406" s="38"/>
      <c r="Z1406" s="40"/>
      <c r="AA1406" s="40"/>
      <c r="AB1406" s="38"/>
      <c r="AC1406" s="38"/>
      <c r="AD1406" s="38"/>
      <c r="AE1406" s="38"/>
      <c r="AF1406" s="38"/>
      <c r="AG1406" s="38"/>
      <c r="AH1406" s="38"/>
      <c r="AI1406" s="38"/>
      <c r="AJ1406" s="38"/>
      <c r="AK1406" s="38"/>
      <c r="AL1406" s="38"/>
      <c r="AM1406" s="38"/>
      <c r="AN1406" s="38"/>
      <c r="AO1406" s="38"/>
      <c r="AP1406" s="38"/>
      <c r="AQ1406" s="38"/>
      <c r="AR1406" s="38"/>
      <c r="AS1406" s="38"/>
      <c r="AT1406" s="38"/>
      <c r="AU1406" s="38"/>
      <c r="AV1406" s="38"/>
      <c r="AW1406" s="38"/>
      <c r="AX1406" s="38"/>
      <c r="AY1406" s="38"/>
      <c r="AZ1406" s="38"/>
      <c r="BA1406" s="38"/>
      <c r="BB1406" s="38"/>
      <c r="BC1406" s="38"/>
      <c r="BD1406" s="38"/>
      <c r="BE1406" s="38"/>
      <c r="BF1406" s="38"/>
      <c r="BG1406" s="38"/>
    </row>
    <row r="1407">
      <c r="A1407" s="58"/>
      <c r="B1407" s="341"/>
      <c r="C1407" s="60"/>
      <c r="D1407" s="60"/>
      <c r="E1407" s="58"/>
      <c r="F1407" s="58"/>
      <c r="G1407" s="58"/>
      <c r="H1407" s="33" t="str">
        <f t="shared" si="1"/>
        <v/>
      </c>
      <c r="I1407" s="58"/>
      <c r="J1407" s="58"/>
      <c r="K1407" s="58"/>
      <c r="L1407" s="38"/>
      <c r="M1407" s="58"/>
      <c r="N1407" s="58"/>
      <c r="O1407" s="58"/>
      <c r="P1407" s="80"/>
      <c r="Q1407" s="77"/>
      <c r="R1407" s="62"/>
      <c r="S1407" s="62"/>
      <c r="T1407" s="62"/>
      <c r="U1407" s="62"/>
      <c r="V1407" s="37" t="str">
        <f>IFERROR(__xludf.DUMMYFUNCTION("if(not(iserror(index(split(C1407, "" ""),2))), index(split(C1407, "" ""),1),"""")"),"")</f>
        <v/>
      </c>
      <c r="W1407" s="315" t="str">
        <f>IFERROR(__xludf.DUMMYFUNCTION("if(V1407="""",C1407,if(not(iserror(index(split(C1407, "" ""),3))), index(split(C1407, "" ""),3),index(split(C1407, "" ""),2)))"),"")</f>
        <v/>
      </c>
      <c r="X1407" s="38" t="b">
        <f t="shared" si="2"/>
        <v>0</v>
      </c>
      <c r="Y1407" s="38"/>
      <c r="Z1407" s="40"/>
      <c r="AA1407" s="40"/>
      <c r="AB1407" s="38"/>
      <c r="AC1407" s="38"/>
      <c r="AD1407" s="38"/>
      <c r="AE1407" s="38"/>
      <c r="AF1407" s="38"/>
      <c r="AG1407" s="38"/>
      <c r="AH1407" s="38"/>
      <c r="AI1407" s="38"/>
      <c r="AJ1407" s="38"/>
      <c r="AK1407" s="38"/>
      <c r="AL1407" s="38"/>
      <c r="AM1407" s="38"/>
      <c r="AN1407" s="38"/>
      <c r="AO1407" s="38"/>
      <c r="AP1407" s="38"/>
      <c r="AQ1407" s="38"/>
      <c r="AR1407" s="38"/>
      <c r="AS1407" s="38"/>
      <c r="AT1407" s="38"/>
      <c r="AU1407" s="38"/>
      <c r="AV1407" s="38"/>
      <c r="AW1407" s="38"/>
      <c r="AX1407" s="38"/>
      <c r="AY1407" s="38"/>
      <c r="AZ1407" s="38"/>
      <c r="BA1407" s="38"/>
      <c r="BB1407" s="38"/>
      <c r="BC1407" s="38"/>
      <c r="BD1407" s="38"/>
      <c r="BE1407" s="38"/>
      <c r="BF1407" s="38"/>
      <c r="BG1407" s="38"/>
    </row>
    <row r="1408">
      <c r="A1408" s="58"/>
      <c r="B1408" s="341"/>
      <c r="C1408" s="60"/>
      <c r="D1408" s="60"/>
      <c r="E1408" s="58"/>
      <c r="F1408" s="58"/>
      <c r="G1408" s="58"/>
      <c r="H1408" s="33" t="str">
        <f t="shared" si="1"/>
        <v/>
      </c>
      <c r="I1408" s="58"/>
      <c r="J1408" s="58"/>
      <c r="K1408" s="58"/>
      <c r="L1408" s="38"/>
      <c r="M1408" s="58"/>
      <c r="N1408" s="58"/>
      <c r="O1408" s="58"/>
      <c r="P1408" s="80"/>
      <c r="Q1408" s="77"/>
      <c r="R1408" s="62"/>
      <c r="S1408" s="62"/>
      <c r="T1408" s="62"/>
      <c r="U1408" s="62"/>
      <c r="V1408" s="37" t="str">
        <f>IFERROR(__xludf.DUMMYFUNCTION("if(not(iserror(index(split(C1408, "" ""),2))), index(split(C1408, "" ""),1),"""")"),"")</f>
        <v/>
      </c>
      <c r="W1408" s="315" t="str">
        <f>IFERROR(__xludf.DUMMYFUNCTION("if(V1408="""",C1408,if(not(iserror(index(split(C1408, "" ""),3))), index(split(C1408, "" ""),3),index(split(C1408, "" ""),2)))"),"")</f>
        <v/>
      </c>
      <c r="X1408" s="38" t="b">
        <f t="shared" si="2"/>
        <v>0</v>
      </c>
      <c r="Y1408" s="38"/>
      <c r="Z1408" s="40"/>
      <c r="AA1408" s="40"/>
      <c r="AB1408" s="38"/>
      <c r="AC1408" s="38"/>
      <c r="AD1408" s="38"/>
      <c r="AE1408" s="38"/>
      <c r="AF1408" s="38"/>
      <c r="AG1408" s="38"/>
      <c r="AH1408" s="38"/>
      <c r="AI1408" s="38"/>
      <c r="AJ1408" s="38"/>
      <c r="AK1408" s="38"/>
      <c r="AL1408" s="38"/>
      <c r="AM1408" s="38"/>
      <c r="AN1408" s="38"/>
      <c r="AO1408" s="38"/>
      <c r="AP1408" s="38"/>
      <c r="AQ1408" s="38"/>
      <c r="AR1408" s="38"/>
      <c r="AS1408" s="38"/>
      <c r="AT1408" s="38"/>
      <c r="AU1408" s="38"/>
      <c r="AV1408" s="38"/>
      <c r="AW1408" s="38"/>
      <c r="AX1408" s="38"/>
      <c r="AY1408" s="38"/>
      <c r="AZ1408" s="38"/>
      <c r="BA1408" s="38"/>
      <c r="BB1408" s="38"/>
      <c r="BC1408" s="38"/>
      <c r="BD1408" s="38"/>
      <c r="BE1408" s="38"/>
      <c r="BF1408" s="38"/>
      <c r="BG1408" s="38"/>
    </row>
    <row r="1409">
      <c r="A1409" s="58"/>
      <c r="B1409" s="341"/>
      <c r="C1409" s="60"/>
      <c r="D1409" s="60"/>
      <c r="E1409" s="58"/>
      <c r="F1409" s="58"/>
      <c r="G1409" s="58"/>
      <c r="H1409" s="33" t="str">
        <f t="shared" si="1"/>
        <v/>
      </c>
      <c r="I1409" s="58"/>
      <c r="J1409" s="58"/>
      <c r="K1409" s="58"/>
      <c r="L1409" s="38"/>
      <c r="M1409" s="58"/>
      <c r="N1409" s="58"/>
      <c r="O1409" s="58"/>
      <c r="P1409" s="80"/>
      <c r="Q1409" s="77"/>
      <c r="R1409" s="62"/>
      <c r="S1409" s="58"/>
      <c r="T1409" s="84"/>
      <c r="U1409" s="62"/>
      <c r="V1409" s="37" t="str">
        <f>IFERROR(__xludf.DUMMYFUNCTION("if(not(iserror(index(split(C1409, "" ""),2))), index(split(C1409, "" ""),1),"""")"),"")</f>
        <v/>
      </c>
      <c r="W1409" s="315" t="str">
        <f>IFERROR(__xludf.DUMMYFUNCTION("if(V1409="""",C1409,if(not(iserror(index(split(C1409, "" ""),3))), index(split(C1409, "" ""),3),index(split(C1409, "" ""),2)))"),"")</f>
        <v/>
      </c>
      <c r="X1409" s="38" t="b">
        <f t="shared" si="2"/>
        <v>0</v>
      </c>
      <c r="Y1409" s="38"/>
      <c r="Z1409" s="40"/>
      <c r="AA1409" s="40"/>
      <c r="AB1409" s="38"/>
      <c r="AC1409" s="38"/>
      <c r="AD1409" s="38"/>
      <c r="AE1409" s="38"/>
      <c r="AF1409" s="38"/>
      <c r="AG1409" s="38"/>
      <c r="AH1409" s="38"/>
      <c r="AI1409" s="38"/>
      <c r="AJ1409" s="38"/>
      <c r="AK1409" s="38"/>
      <c r="AL1409" s="38"/>
      <c r="AM1409" s="38"/>
      <c r="AN1409" s="38"/>
      <c r="AO1409" s="38"/>
      <c r="AP1409" s="38"/>
      <c r="AQ1409" s="38"/>
      <c r="AR1409" s="38"/>
      <c r="AS1409" s="38"/>
      <c r="AT1409" s="38"/>
      <c r="AU1409" s="38"/>
      <c r="AV1409" s="38"/>
      <c r="AW1409" s="38"/>
      <c r="AX1409" s="38"/>
      <c r="AY1409" s="38"/>
      <c r="AZ1409" s="38"/>
      <c r="BA1409" s="38"/>
      <c r="BB1409" s="38"/>
      <c r="BC1409" s="38"/>
      <c r="BD1409" s="38"/>
      <c r="BE1409" s="38"/>
      <c r="BF1409" s="38"/>
      <c r="BG1409" s="38"/>
    </row>
    <row r="1410">
      <c r="A1410" s="58"/>
      <c r="B1410" s="341"/>
      <c r="C1410" s="60"/>
      <c r="D1410" s="60"/>
      <c r="E1410" s="58"/>
      <c r="F1410" s="58"/>
      <c r="G1410" s="58"/>
      <c r="H1410" s="33" t="str">
        <f t="shared" si="1"/>
        <v/>
      </c>
      <c r="I1410" s="58"/>
      <c r="J1410" s="58"/>
      <c r="K1410" s="58"/>
      <c r="L1410" s="38"/>
      <c r="M1410" s="58"/>
      <c r="N1410" s="58"/>
      <c r="O1410" s="58"/>
      <c r="P1410" s="80"/>
      <c r="Q1410" s="77"/>
      <c r="R1410" s="62"/>
      <c r="S1410" s="58"/>
      <c r="T1410" s="84"/>
      <c r="U1410" s="62"/>
      <c r="V1410" s="37" t="str">
        <f>IFERROR(__xludf.DUMMYFUNCTION("if(not(iserror(index(split(C1410, "" ""),2))), index(split(C1410, "" ""),1),"""")"),"")</f>
        <v/>
      </c>
      <c r="W1410" s="315" t="str">
        <f>IFERROR(__xludf.DUMMYFUNCTION("if(V1410="""",C1410,if(not(iserror(index(split(C1410, "" ""),3))), index(split(C1410, "" ""),3),index(split(C1410, "" ""),2)))"),"")</f>
        <v/>
      </c>
      <c r="X1410" s="38" t="b">
        <f t="shared" si="2"/>
        <v>0</v>
      </c>
      <c r="Y1410" s="38"/>
      <c r="Z1410" s="40"/>
      <c r="AA1410" s="40"/>
      <c r="AB1410" s="38"/>
      <c r="AC1410" s="38"/>
      <c r="AD1410" s="38"/>
      <c r="AE1410" s="38"/>
      <c r="AF1410" s="38"/>
      <c r="AG1410" s="38"/>
      <c r="AH1410" s="38"/>
      <c r="AI1410" s="38"/>
      <c r="AJ1410" s="38"/>
      <c r="AK1410" s="38"/>
      <c r="AL1410" s="38"/>
      <c r="AM1410" s="38"/>
      <c r="AN1410" s="38"/>
      <c r="AO1410" s="38"/>
      <c r="AP1410" s="38"/>
      <c r="AQ1410" s="38"/>
      <c r="AR1410" s="38"/>
      <c r="AS1410" s="38"/>
      <c r="AT1410" s="38"/>
      <c r="AU1410" s="38"/>
      <c r="AV1410" s="38"/>
      <c r="AW1410" s="38"/>
      <c r="AX1410" s="38"/>
      <c r="AY1410" s="38"/>
      <c r="AZ1410" s="38"/>
      <c r="BA1410" s="38"/>
      <c r="BB1410" s="38"/>
      <c r="BC1410" s="38"/>
      <c r="BD1410" s="38"/>
      <c r="BE1410" s="38"/>
      <c r="BF1410" s="38"/>
      <c r="BG1410" s="38"/>
    </row>
    <row r="1411">
      <c r="A1411" s="58"/>
      <c r="B1411" s="341"/>
      <c r="C1411" s="60"/>
      <c r="D1411" s="60"/>
      <c r="E1411" s="58"/>
      <c r="F1411" s="58"/>
      <c r="G1411" s="58"/>
      <c r="H1411" s="33" t="str">
        <f t="shared" si="1"/>
        <v/>
      </c>
      <c r="I1411" s="58"/>
      <c r="J1411" s="58"/>
      <c r="K1411" s="58"/>
      <c r="L1411" s="38"/>
      <c r="M1411" s="58"/>
      <c r="N1411" s="58"/>
      <c r="O1411" s="58"/>
      <c r="P1411" s="80"/>
      <c r="Q1411" s="77"/>
      <c r="R1411" s="62"/>
      <c r="S1411" s="62"/>
      <c r="T1411" s="62"/>
      <c r="U1411" s="62"/>
      <c r="V1411" s="37" t="str">
        <f>IFERROR(__xludf.DUMMYFUNCTION("if(not(iserror(index(split(C1411, "" ""),2))), index(split(C1411, "" ""),1),"""")"),"")</f>
        <v/>
      </c>
      <c r="W1411" s="315" t="str">
        <f>IFERROR(__xludf.DUMMYFUNCTION("if(V1411="""",C1411,if(not(iserror(index(split(C1411, "" ""),3))), index(split(C1411, "" ""),3),index(split(C1411, "" ""),2)))"),"")</f>
        <v/>
      </c>
      <c r="X1411" s="38" t="b">
        <f t="shared" si="2"/>
        <v>0</v>
      </c>
      <c r="Y1411" s="38"/>
      <c r="Z1411" s="40"/>
      <c r="AA1411" s="40"/>
      <c r="AB1411" s="38"/>
      <c r="AC1411" s="38"/>
      <c r="AD1411" s="38"/>
      <c r="AE1411" s="38"/>
      <c r="AF1411" s="38"/>
      <c r="AG1411" s="38"/>
      <c r="AH1411" s="38"/>
      <c r="AI1411" s="38"/>
      <c r="AJ1411" s="38"/>
      <c r="AK1411" s="38"/>
      <c r="AL1411" s="38"/>
      <c r="AM1411" s="38"/>
      <c r="AN1411" s="38"/>
      <c r="AO1411" s="38"/>
      <c r="AP1411" s="38"/>
      <c r="AQ1411" s="38"/>
      <c r="AR1411" s="38"/>
      <c r="AS1411" s="38"/>
      <c r="AT1411" s="38"/>
      <c r="AU1411" s="38"/>
      <c r="AV1411" s="38"/>
      <c r="AW1411" s="38"/>
      <c r="AX1411" s="38"/>
      <c r="AY1411" s="38"/>
      <c r="AZ1411" s="38"/>
      <c r="BA1411" s="38"/>
      <c r="BB1411" s="38"/>
      <c r="BC1411" s="38"/>
      <c r="BD1411" s="38"/>
      <c r="BE1411" s="38"/>
      <c r="BF1411" s="38"/>
      <c r="BG1411" s="38"/>
    </row>
    <row r="1412">
      <c r="A1412" s="58"/>
      <c r="B1412" s="341"/>
      <c r="C1412" s="60"/>
      <c r="D1412" s="60"/>
      <c r="E1412" s="58"/>
      <c r="F1412" s="58"/>
      <c r="G1412" s="58"/>
      <c r="H1412" s="33" t="str">
        <f t="shared" si="1"/>
        <v/>
      </c>
      <c r="I1412" s="58"/>
      <c r="J1412" s="58"/>
      <c r="K1412" s="58"/>
      <c r="L1412" s="38"/>
      <c r="M1412" s="58"/>
      <c r="N1412" s="58"/>
      <c r="O1412" s="58"/>
      <c r="P1412" s="389"/>
      <c r="Q1412" s="77"/>
      <c r="R1412" s="62"/>
      <c r="S1412" s="62"/>
      <c r="T1412" s="62"/>
      <c r="U1412" s="62"/>
      <c r="V1412" s="37" t="str">
        <f>IFERROR(__xludf.DUMMYFUNCTION("if(not(iserror(index(split(C1412, "" ""),2))), index(split(C1412, "" ""),1),"""")"),"")</f>
        <v/>
      </c>
      <c r="W1412" s="315" t="str">
        <f>IFERROR(__xludf.DUMMYFUNCTION("if(V1412="""",C1412,if(not(iserror(index(split(C1412, "" ""),3))), index(split(C1412, "" ""),3),index(split(C1412, "" ""),2)))"),"")</f>
        <v/>
      </c>
      <c r="X1412" s="38" t="b">
        <f t="shared" si="2"/>
        <v>0</v>
      </c>
      <c r="Y1412" s="38"/>
      <c r="Z1412" s="40"/>
      <c r="AA1412" s="40"/>
      <c r="AB1412" s="38"/>
      <c r="AC1412" s="38"/>
      <c r="AD1412" s="38"/>
      <c r="AE1412" s="38"/>
      <c r="AF1412" s="38"/>
      <c r="AG1412" s="38"/>
      <c r="AH1412" s="38"/>
      <c r="AI1412" s="38"/>
      <c r="AJ1412" s="38"/>
      <c r="AK1412" s="38"/>
      <c r="AL1412" s="38"/>
      <c r="AM1412" s="38"/>
      <c r="AN1412" s="38"/>
      <c r="AO1412" s="38"/>
      <c r="AP1412" s="38"/>
      <c r="AQ1412" s="38"/>
      <c r="AR1412" s="38"/>
      <c r="AS1412" s="38"/>
      <c r="AT1412" s="38"/>
      <c r="AU1412" s="38"/>
      <c r="AV1412" s="38"/>
      <c r="AW1412" s="38"/>
      <c r="AX1412" s="38"/>
      <c r="AY1412" s="38"/>
      <c r="AZ1412" s="38"/>
      <c r="BA1412" s="38"/>
      <c r="BB1412" s="38"/>
      <c r="BC1412" s="38"/>
      <c r="BD1412" s="38"/>
      <c r="BE1412" s="38"/>
      <c r="BF1412" s="38"/>
      <c r="BG1412" s="38"/>
    </row>
    <row r="1413">
      <c r="A1413" s="58"/>
      <c r="B1413" s="341"/>
      <c r="C1413" s="60"/>
      <c r="D1413" s="60"/>
      <c r="E1413" s="58"/>
      <c r="F1413" s="58"/>
      <c r="G1413" s="58"/>
      <c r="H1413" s="33" t="str">
        <f t="shared" si="1"/>
        <v/>
      </c>
      <c r="I1413" s="58"/>
      <c r="J1413" s="58"/>
      <c r="K1413" s="58"/>
      <c r="L1413" s="38"/>
      <c r="M1413" s="58"/>
      <c r="N1413" s="58"/>
      <c r="O1413" s="58"/>
      <c r="P1413" s="80"/>
      <c r="Q1413" s="77"/>
      <c r="R1413" s="62"/>
      <c r="S1413" s="62"/>
      <c r="T1413" s="62"/>
      <c r="U1413" s="62"/>
      <c r="V1413" s="37" t="str">
        <f>IFERROR(__xludf.DUMMYFUNCTION("if(not(iserror(index(split(C1413, "" ""),2))), index(split(C1413, "" ""),1),"""")"),"")</f>
        <v/>
      </c>
      <c r="W1413" s="315" t="str">
        <f>IFERROR(__xludf.DUMMYFUNCTION("if(V1413="""",C1413,if(not(iserror(index(split(C1413, "" ""),3))), index(split(C1413, "" ""),3),index(split(C1413, "" ""),2)))"),"")</f>
        <v/>
      </c>
      <c r="X1413" s="38" t="b">
        <f t="shared" si="2"/>
        <v>0</v>
      </c>
      <c r="Y1413" s="38"/>
      <c r="Z1413" s="40"/>
      <c r="AA1413" s="40"/>
      <c r="AB1413" s="38"/>
      <c r="AC1413" s="38"/>
      <c r="AD1413" s="38"/>
      <c r="AE1413" s="38"/>
      <c r="AF1413" s="38"/>
      <c r="AG1413" s="38"/>
      <c r="AH1413" s="38"/>
      <c r="AI1413" s="38"/>
      <c r="AJ1413" s="38"/>
      <c r="AK1413" s="38"/>
      <c r="AL1413" s="38"/>
      <c r="AM1413" s="38"/>
      <c r="AN1413" s="38"/>
      <c r="AO1413" s="38"/>
      <c r="AP1413" s="38"/>
      <c r="AQ1413" s="38"/>
      <c r="AR1413" s="38"/>
      <c r="AS1413" s="38"/>
      <c r="AT1413" s="38"/>
      <c r="AU1413" s="38"/>
      <c r="AV1413" s="38"/>
      <c r="AW1413" s="38"/>
      <c r="AX1413" s="38"/>
      <c r="AY1413" s="38"/>
      <c r="AZ1413" s="38"/>
      <c r="BA1413" s="38"/>
      <c r="BB1413" s="38"/>
      <c r="BC1413" s="38"/>
      <c r="BD1413" s="38"/>
      <c r="BE1413" s="38"/>
      <c r="BF1413" s="38"/>
      <c r="BG1413" s="38"/>
    </row>
    <row r="1414">
      <c r="A1414" s="58"/>
      <c r="B1414" s="341"/>
      <c r="C1414" s="60"/>
      <c r="D1414" s="60"/>
      <c r="E1414" s="58"/>
      <c r="F1414" s="58"/>
      <c r="G1414" s="58"/>
      <c r="H1414" s="33" t="str">
        <f t="shared" si="1"/>
        <v/>
      </c>
      <c r="I1414" s="58"/>
      <c r="J1414" s="58"/>
      <c r="K1414" s="58"/>
      <c r="L1414" s="38"/>
      <c r="M1414" s="58"/>
      <c r="N1414" s="58"/>
      <c r="O1414" s="58"/>
      <c r="P1414" s="80"/>
      <c r="Q1414" s="80"/>
      <c r="R1414" s="62"/>
      <c r="S1414" s="62"/>
      <c r="T1414" s="62"/>
      <c r="U1414" s="62"/>
      <c r="V1414" s="37" t="str">
        <f>IFERROR(__xludf.DUMMYFUNCTION("if(not(iserror(index(split(C1414, "" ""),2))), index(split(C1414, "" ""),1),"""")"),"")</f>
        <v/>
      </c>
      <c r="W1414" s="315" t="str">
        <f>IFERROR(__xludf.DUMMYFUNCTION("if(V1414="""",C1414,if(not(iserror(index(split(C1414, "" ""),3))), index(split(C1414, "" ""),3),index(split(C1414, "" ""),2)))"),"")</f>
        <v/>
      </c>
      <c r="X1414" s="38" t="b">
        <f t="shared" si="2"/>
        <v>0</v>
      </c>
      <c r="Y1414" s="38"/>
      <c r="Z1414" s="40"/>
      <c r="AA1414" s="40"/>
      <c r="AB1414" s="38"/>
      <c r="AC1414" s="38"/>
      <c r="AD1414" s="38"/>
      <c r="AE1414" s="38"/>
      <c r="AF1414" s="38"/>
      <c r="AG1414" s="38"/>
      <c r="AH1414" s="38"/>
      <c r="AI1414" s="38"/>
      <c r="AJ1414" s="38"/>
      <c r="AK1414" s="38"/>
      <c r="AL1414" s="38"/>
      <c r="AM1414" s="38"/>
      <c r="AN1414" s="38"/>
      <c r="AO1414" s="38"/>
      <c r="AP1414" s="38"/>
      <c r="AQ1414" s="38"/>
      <c r="AR1414" s="38"/>
      <c r="AS1414" s="38"/>
      <c r="AT1414" s="38"/>
      <c r="AU1414" s="38"/>
      <c r="AV1414" s="38"/>
      <c r="AW1414" s="38"/>
      <c r="AX1414" s="38"/>
      <c r="AY1414" s="38"/>
      <c r="AZ1414" s="38"/>
      <c r="BA1414" s="38"/>
      <c r="BB1414" s="38"/>
      <c r="BC1414" s="38"/>
      <c r="BD1414" s="38"/>
      <c r="BE1414" s="38"/>
      <c r="BF1414" s="38"/>
      <c r="BG1414" s="38"/>
    </row>
    <row r="1415">
      <c r="A1415" s="58"/>
      <c r="B1415" s="341"/>
      <c r="C1415" s="60"/>
      <c r="D1415" s="60"/>
      <c r="E1415" s="58"/>
      <c r="F1415" s="58"/>
      <c r="G1415" s="58"/>
      <c r="H1415" s="33" t="str">
        <f t="shared" si="1"/>
        <v/>
      </c>
      <c r="I1415" s="58"/>
      <c r="J1415" s="58"/>
      <c r="K1415" s="58"/>
      <c r="L1415" s="38"/>
      <c r="M1415" s="58"/>
      <c r="N1415" s="58"/>
      <c r="O1415" s="58"/>
      <c r="P1415" s="80"/>
      <c r="Q1415" s="80"/>
      <c r="R1415" s="62"/>
      <c r="S1415" s="62"/>
      <c r="T1415" s="58"/>
      <c r="U1415" s="62"/>
      <c r="V1415" s="37" t="str">
        <f>IFERROR(__xludf.DUMMYFUNCTION("if(not(iserror(index(split(C1415, "" ""),2))), index(split(C1415, "" ""),1),"""")"),"")</f>
        <v/>
      </c>
      <c r="W1415" s="315" t="str">
        <f>IFERROR(__xludf.DUMMYFUNCTION("if(V1415="""",C1415,if(not(iserror(index(split(C1415, "" ""),3))), index(split(C1415, "" ""),3),index(split(C1415, "" ""),2)))"),"")</f>
        <v/>
      </c>
      <c r="X1415" s="38" t="b">
        <f t="shared" si="2"/>
        <v>0</v>
      </c>
      <c r="Y1415" s="38"/>
      <c r="Z1415" s="40"/>
      <c r="AA1415" s="40"/>
      <c r="AB1415" s="38"/>
      <c r="AC1415" s="38"/>
      <c r="AD1415" s="38"/>
      <c r="AE1415" s="38"/>
      <c r="AF1415" s="38"/>
      <c r="AG1415" s="38"/>
      <c r="AH1415" s="38"/>
      <c r="AI1415" s="38"/>
      <c r="AJ1415" s="38"/>
      <c r="AK1415" s="38"/>
      <c r="AL1415" s="38"/>
      <c r="AM1415" s="38"/>
      <c r="AN1415" s="38"/>
      <c r="AO1415" s="38"/>
      <c r="AP1415" s="38"/>
      <c r="AQ1415" s="38"/>
      <c r="AR1415" s="38"/>
      <c r="AS1415" s="38"/>
      <c r="AT1415" s="38"/>
      <c r="AU1415" s="38"/>
      <c r="AV1415" s="38"/>
      <c r="AW1415" s="38"/>
      <c r="AX1415" s="38"/>
      <c r="AY1415" s="38"/>
      <c r="AZ1415" s="38"/>
      <c r="BA1415" s="38"/>
      <c r="BB1415" s="38"/>
      <c r="BC1415" s="38"/>
      <c r="BD1415" s="38"/>
      <c r="BE1415" s="38"/>
      <c r="BF1415" s="38"/>
      <c r="BG1415" s="38"/>
    </row>
    <row r="1416">
      <c r="A1416" s="58"/>
      <c r="B1416" s="341"/>
      <c r="C1416" s="60"/>
      <c r="D1416" s="60"/>
      <c r="E1416" s="58"/>
      <c r="F1416" s="58"/>
      <c r="G1416" s="58"/>
      <c r="H1416" s="33" t="str">
        <f t="shared" si="1"/>
        <v/>
      </c>
      <c r="I1416" s="58"/>
      <c r="J1416" s="58"/>
      <c r="K1416" s="58"/>
      <c r="L1416" s="38"/>
      <c r="M1416" s="58"/>
      <c r="N1416" s="58"/>
      <c r="O1416" s="58"/>
      <c r="P1416" s="80"/>
      <c r="Q1416" s="80"/>
      <c r="R1416" s="62"/>
      <c r="S1416" s="62"/>
      <c r="T1416" s="62"/>
      <c r="U1416" s="62"/>
      <c r="V1416" s="37" t="str">
        <f>IFERROR(__xludf.DUMMYFUNCTION("if(not(iserror(index(split(C1416, "" ""),2))), index(split(C1416, "" ""),1),"""")"),"")</f>
        <v/>
      </c>
      <c r="W1416" s="315" t="str">
        <f>IFERROR(__xludf.DUMMYFUNCTION("if(V1416="""",C1416,if(not(iserror(index(split(C1416, "" ""),3))), index(split(C1416, "" ""),3),index(split(C1416, "" ""),2)))"),"")</f>
        <v/>
      </c>
      <c r="X1416" s="38" t="b">
        <f t="shared" si="2"/>
        <v>0</v>
      </c>
      <c r="Y1416" s="38"/>
      <c r="Z1416" s="40"/>
      <c r="AA1416" s="40"/>
      <c r="AB1416" s="38"/>
      <c r="AC1416" s="38"/>
      <c r="AD1416" s="38"/>
      <c r="AE1416" s="38"/>
      <c r="AF1416" s="38"/>
      <c r="AG1416" s="38"/>
      <c r="AH1416" s="38"/>
      <c r="AI1416" s="38"/>
      <c r="AJ1416" s="38"/>
      <c r="AK1416" s="38"/>
      <c r="AL1416" s="38"/>
      <c r="AM1416" s="38"/>
      <c r="AN1416" s="38"/>
      <c r="AO1416" s="38"/>
      <c r="AP1416" s="38"/>
      <c r="AQ1416" s="38"/>
      <c r="AR1416" s="38"/>
      <c r="AS1416" s="38"/>
      <c r="AT1416" s="38"/>
      <c r="AU1416" s="38"/>
      <c r="AV1416" s="38"/>
      <c r="AW1416" s="38"/>
      <c r="AX1416" s="38"/>
      <c r="AY1416" s="38"/>
      <c r="AZ1416" s="38"/>
      <c r="BA1416" s="38"/>
      <c r="BB1416" s="38"/>
      <c r="BC1416" s="38"/>
      <c r="BD1416" s="38"/>
      <c r="BE1416" s="38"/>
      <c r="BF1416" s="38"/>
      <c r="BG1416" s="38"/>
    </row>
    <row r="1417">
      <c r="A1417" s="58"/>
      <c r="B1417" s="341"/>
      <c r="C1417" s="60"/>
      <c r="D1417" s="60"/>
      <c r="E1417" s="58"/>
      <c r="F1417" s="58"/>
      <c r="G1417" s="58"/>
      <c r="H1417" s="33" t="str">
        <f t="shared" si="1"/>
        <v/>
      </c>
      <c r="I1417" s="58"/>
      <c r="J1417" s="58"/>
      <c r="K1417" s="58"/>
      <c r="L1417" s="38"/>
      <c r="M1417" s="58"/>
      <c r="N1417" s="58"/>
      <c r="O1417" s="58"/>
      <c r="P1417" s="80"/>
      <c r="Q1417" s="80"/>
      <c r="R1417" s="62"/>
      <c r="S1417" s="62"/>
      <c r="T1417" s="62"/>
      <c r="U1417" s="62"/>
      <c r="V1417" s="37" t="str">
        <f>IFERROR(__xludf.DUMMYFUNCTION("if(not(iserror(index(split(C1417, "" ""),2))), index(split(C1417, "" ""),1),"""")"),"")</f>
        <v/>
      </c>
      <c r="W1417" s="315" t="str">
        <f>IFERROR(__xludf.DUMMYFUNCTION("if(V1417="""",C1417,if(not(iserror(index(split(C1417, "" ""),3))), index(split(C1417, "" ""),3),index(split(C1417, "" ""),2)))"),"")</f>
        <v/>
      </c>
      <c r="X1417" s="38" t="b">
        <f t="shared" si="2"/>
        <v>0</v>
      </c>
      <c r="Y1417" s="38"/>
      <c r="Z1417" s="40"/>
      <c r="AA1417" s="40"/>
      <c r="AB1417" s="38"/>
      <c r="AC1417" s="38"/>
      <c r="AD1417" s="38"/>
      <c r="AE1417" s="38"/>
      <c r="AF1417" s="38"/>
      <c r="AG1417" s="38"/>
      <c r="AH1417" s="38"/>
      <c r="AI1417" s="38"/>
      <c r="AJ1417" s="38"/>
      <c r="AK1417" s="38"/>
      <c r="AL1417" s="38"/>
      <c r="AM1417" s="38"/>
      <c r="AN1417" s="38"/>
      <c r="AO1417" s="38"/>
      <c r="AP1417" s="38"/>
      <c r="AQ1417" s="38"/>
      <c r="AR1417" s="38"/>
      <c r="AS1417" s="38"/>
      <c r="AT1417" s="38"/>
      <c r="AU1417" s="38"/>
      <c r="AV1417" s="38"/>
      <c r="AW1417" s="38"/>
      <c r="AX1417" s="38"/>
      <c r="AY1417" s="38"/>
      <c r="AZ1417" s="38"/>
      <c r="BA1417" s="38"/>
      <c r="BB1417" s="38"/>
      <c r="BC1417" s="38"/>
      <c r="BD1417" s="38"/>
      <c r="BE1417" s="38"/>
      <c r="BF1417" s="38"/>
      <c r="BG1417" s="38"/>
    </row>
    <row r="1418">
      <c r="A1418" s="58"/>
      <c r="B1418" s="341"/>
      <c r="C1418" s="60"/>
      <c r="D1418" s="60"/>
      <c r="E1418" s="58"/>
      <c r="F1418" s="58"/>
      <c r="G1418" s="58"/>
      <c r="H1418" s="33" t="str">
        <f t="shared" si="1"/>
        <v/>
      </c>
      <c r="I1418" s="58"/>
      <c r="J1418" s="58"/>
      <c r="K1418" s="58"/>
      <c r="L1418" s="38"/>
      <c r="M1418" s="58"/>
      <c r="N1418" s="58"/>
      <c r="O1418" s="58"/>
      <c r="P1418" s="80"/>
      <c r="Q1418" s="80"/>
      <c r="R1418" s="58"/>
      <c r="S1418" s="58"/>
      <c r="T1418" s="84"/>
      <c r="U1418" s="62"/>
      <c r="V1418" s="37" t="str">
        <f>IFERROR(__xludf.DUMMYFUNCTION("if(not(iserror(index(split(C1418, "" ""),2))), index(split(C1418, "" ""),1),"""")"),"")</f>
        <v/>
      </c>
      <c r="W1418" s="315" t="str">
        <f>IFERROR(__xludf.DUMMYFUNCTION("if(V1418="""",C1418,if(not(iserror(index(split(C1418, "" ""),3))), index(split(C1418, "" ""),3),index(split(C1418, "" ""),2)))"),"")</f>
        <v/>
      </c>
      <c r="X1418" s="38" t="b">
        <f t="shared" si="2"/>
        <v>0</v>
      </c>
      <c r="Y1418" s="38"/>
      <c r="Z1418" s="40"/>
      <c r="AA1418" s="40"/>
      <c r="AB1418" s="38"/>
      <c r="AC1418" s="38"/>
      <c r="AD1418" s="38"/>
      <c r="AE1418" s="38"/>
      <c r="AF1418" s="38"/>
      <c r="AG1418" s="38"/>
      <c r="AH1418" s="38"/>
      <c r="AI1418" s="38"/>
      <c r="AJ1418" s="38"/>
      <c r="AK1418" s="38"/>
      <c r="AL1418" s="38"/>
      <c r="AM1418" s="38"/>
      <c r="AN1418" s="38"/>
      <c r="AO1418" s="38"/>
      <c r="AP1418" s="38"/>
      <c r="AQ1418" s="38"/>
      <c r="AR1418" s="38"/>
      <c r="AS1418" s="38"/>
      <c r="AT1418" s="38"/>
      <c r="AU1418" s="38"/>
      <c r="AV1418" s="38"/>
      <c r="AW1418" s="38"/>
      <c r="AX1418" s="38"/>
      <c r="AY1418" s="38"/>
      <c r="AZ1418" s="38"/>
      <c r="BA1418" s="38"/>
      <c r="BB1418" s="38"/>
      <c r="BC1418" s="38"/>
      <c r="BD1418" s="38"/>
      <c r="BE1418" s="38"/>
      <c r="BF1418" s="38"/>
      <c r="BG1418" s="38"/>
    </row>
    <row r="1419">
      <c r="A1419" s="58"/>
      <c r="B1419" s="341"/>
      <c r="C1419" s="60"/>
      <c r="D1419" s="60"/>
      <c r="E1419" s="58"/>
      <c r="F1419" s="58"/>
      <c r="G1419" s="58"/>
      <c r="H1419" s="33" t="str">
        <f t="shared" si="1"/>
        <v/>
      </c>
      <c r="I1419" s="58"/>
      <c r="J1419" s="58"/>
      <c r="K1419" s="58"/>
      <c r="L1419" s="38"/>
      <c r="M1419" s="58"/>
      <c r="N1419" s="58"/>
      <c r="O1419" s="58"/>
      <c r="P1419" s="80"/>
      <c r="Q1419" s="80"/>
      <c r="R1419" s="58"/>
      <c r="S1419" s="58"/>
      <c r="T1419" s="84"/>
      <c r="U1419" s="62"/>
      <c r="V1419" s="37" t="str">
        <f>IFERROR(__xludf.DUMMYFUNCTION("if(not(iserror(index(split(C1419, "" ""),2))), index(split(C1419, "" ""),1),"""")"),"")</f>
        <v/>
      </c>
      <c r="W1419" s="315" t="str">
        <f>IFERROR(__xludf.DUMMYFUNCTION("if(V1419="""",C1419,if(not(iserror(index(split(C1419, "" ""),3))), index(split(C1419, "" ""),3),index(split(C1419, "" ""),2)))"),"")</f>
        <v/>
      </c>
      <c r="X1419" s="38" t="b">
        <f t="shared" si="2"/>
        <v>0</v>
      </c>
      <c r="Y1419" s="38"/>
      <c r="Z1419" s="40"/>
      <c r="AA1419" s="40"/>
      <c r="AB1419" s="38"/>
      <c r="AC1419" s="38"/>
      <c r="AD1419" s="38"/>
      <c r="AE1419" s="38"/>
      <c r="AF1419" s="38"/>
      <c r="AG1419" s="38"/>
      <c r="AH1419" s="38"/>
      <c r="AI1419" s="38"/>
      <c r="AJ1419" s="38"/>
      <c r="AK1419" s="38"/>
      <c r="AL1419" s="38"/>
      <c r="AM1419" s="38"/>
      <c r="AN1419" s="38"/>
      <c r="AO1419" s="38"/>
      <c r="AP1419" s="38"/>
      <c r="AQ1419" s="38"/>
      <c r="AR1419" s="38"/>
      <c r="AS1419" s="38"/>
      <c r="AT1419" s="38"/>
      <c r="AU1419" s="38"/>
      <c r="AV1419" s="38"/>
      <c r="AW1419" s="38"/>
      <c r="AX1419" s="38"/>
      <c r="AY1419" s="38"/>
      <c r="AZ1419" s="38"/>
      <c r="BA1419" s="38"/>
      <c r="BB1419" s="38"/>
      <c r="BC1419" s="38"/>
      <c r="BD1419" s="38"/>
      <c r="BE1419" s="38"/>
      <c r="BF1419" s="38"/>
      <c r="BG1419" s="38"/>
    </row>
    <row r="1420">
      <c r="A1420" s="58"/>
      <c r="B1420" s="341"/>
      <c r="C1420" s="60"/>
      <c r="D1420" s="60"/>
      <c r="E1420" s="58"/>
      <c r="F1420" s="58"/>
      <c r="G1420" s="58"/>
      <c r="H1420" s="33" t="str">
        <f t="shared" si="1"/>
        <v/>
      </c>
      <c r="I1420" s="58"/>
      <c r="J1420" s="58"/>
      <c r="K1420" s="58"/>
      <c r="L1420" s="38"/>
      <c r="M1420" s="58"/>
      <c r="N1420" s="58"/>
      <c r="O1420" s="58"/>
      <c r="P1420" s="80"/>
      <c r="Q1420" s="80"/>
      <c r="R1420" s="58"/>
      <c r="S1420" s="58"/>
      <c r="T1420" s="84"/>
      <c r="U1420" s="62"/>
      <c r="V1420" s="37" t="str">
        <f>IFERROR(__xludf.DUMMYFUNCTION("if(not(iserror(index(split(C1420, "" ""),2))), index(split(C1420, "" ""),1),"""")"),"")</f>
        <v/>
      </c>
      <c r="W1420" s="315" t="str">
        <f>IFERROR(__xludf.DUMMYFUNCTION("if(V1420="""",C1420,if(not(iserror(index(split(C1420, "" ""),3))), index(split(C1420, "" ""),3),index(split(C1420, "" ""),2)))"),"")</f>
        <v/>
      </c>
      <c r="X1420" s="38" t="b">
        <f t="shared" si="2"/>
        <v>0</v>
      </c>
      <c r="Y1420" s="38"/>
      <c r="Z1420" s="40"/>
      <c r="AA1420" s="40"/>
      <c r="AB1420" s="38"/>
      <c r="AC1420" s="38"/>
      <c r="AD1420" s="38"/>
      <c r="AE1420" s="38"/>
      <c r="AF1420" s="38"/>
      <c r="AG1420" s="38"/>
      <c r="AH1420" s="38"/>
      <c r="AI1420" s="38"/>
      <c r="AJ1420" s="38"/>
      <c r="AK1420" s="38"/>
      <c r="AL1420" s="38"/>
      <c r="AM1420" s="38"/>
      <c r="AN1420" s="38"/>
      <c r="AO1420" s="38"/>
      <c r="AP1420" s="38"/>
      <c r="AQ1420" s="38"/>
      <c r="AR1420" s="38"/>
      <c r="AS1420" s="38"/>
      <c r="AT1420" s="38"/>
      <c r="AU1420" s="38"/>
      <c r="AV1420" s="38"/>
      <c r="AW1420" s="38"/>
      <c r="AX1420" s="38"/>
      <c r="AY1420" s="38"/>
      <c r="AZ1420" s="38"/>
      <c r="BA1420" s="38"/>
      <c r="BB1420" s="38"/>
      <c r="BC1420" s="38"/>
      <c r="BD1420" s="38"/>
      <c r="BE1420" s="38"/>
      <c r="BF1420" s="38"/>
      <c r="BG1420" s="38"/>
    </row>
    <row r="1421">
      <c r="A1421" s="375"/>
      <c r="B1421" s="341"/>
      <c r="C1421" s="60"/>
      <c r="D1421" s="60"/>
      <c r="E1421" s="58"/>
      <c r="F1421" s="58"/>
      <c r="G1421" s="58"/>
      <c r="H1421" s="33" t="str">
        <f t="shared" si="1"/>
        <v/>
      </c>
      <c r="I1421" s="58"/>
      <c r="J1421" s="58"/>
      <c r="K1421" s="58"/>
      <c r="L1421" s="38"/>
      <c r="M1421" s="58"/>
      <c r="N1421" s="58"/>
      <c r="O1421" s="58"/>
      <c r="P1421" s="80"/>
      <c r="Q1421" s="80"/>
      <c r="R1421" s="58"/>
      <c r="S1421" s="58"/>
      <c r="T1421" s="84"/>
      <c r="U1421" s="62"/>
      <c r="V1421" s="37" t="str">
        <f>IFERROR(__xludf.DUMMYFUNCTION("if(not(iserror(index(split(C1421, "" ""),2))), index(split(C1421, "" ""),1),"""")"),"")</f>
        <v/>
      </c>
      <c r="W1421" s="315" t="str">
        <f>IFERROR(__xludf.DUMMYFUNCTION("if(V1421="""",C1421,if(not(iserror(index(split(C1421, "" ""),3))), index(split(C1421, "" ""),3),index(split(C1421, "" ""),2)))"),"")</f>
        <v/>
      </c>
      <c r="X1421" s="38" t="b">
        <f t="shared" si="2"/>
        <v>0</v>
      </c>
      <c r="Y1421" s="38"/>
      <c r="Z1421" s="40"/>
      <c r="AA1421" s="40"/>
      <c r="AB1421" s="38"/>
      <c r="AC1421" s="38"/>
      <c r="AD1421" s="38"/>
      <c r="AE1421" s="38"/>
      <c r="AF1421" s="38"/>
      <c r="AG1421" s="38"/>
      <c r="AH1421" s="38"/>
      <c r="AI1421" s="38"/>
      <c r="AJ1421" s="38"/>
      <c r="AK1421" s="38"/>
      <c r="AL1421" s="38"/>
      <c r="AM1421" s="38"/>
      <c r="AN1421" s="38"/>
      <c r="AO1421" s="38"/>
      <c r="AP1421" s="38"/>
      <c r="AQ1421" s="38"/>
      <c r="AR1421" s="38"/>
      <c r="AS1421" s="38"/>
      <c r="AT1421" s="38"/>
      <c r="AU1421" s="38"/>
      <c r="AV1421" s="38"/>
      <c r="AW1421" s="38"/>
      <c r="AX1421" s="38"/>
      <c r="AY1421" s="38"/>
      <c r="AZ1421" s="38"/>
      <c r="BA1421" s="38"/>
      <c r="BB1421" s="38"/>
      <c r="BC1421" s="38"/>
      <c r="BD1421" s="38"/>
      <c r="BE1421" s="38"/>
      <c r="BF1421" s="38"/>
      <c r="BG1421" s="38"/>
    </row>
    <row r="1422">
      <c r="A1422" s="375"/>
      <c r="B1422" s="341"/>
      <c r="C1422" s="60"/>
      <c r="D1422" s="60"/>
      <c r="E1422" s="58"/>
      <c r="F1422" s="58"/>
      <c r="G1422" s="58"/>
      <c r="H1422" s="33" t="str">
        <f t="shared" si="1"/>
        <v/>
      </c>
      <c r="I1422" s="58"/>
      <c r="J1422" s="58"/>
      <c r="K1422" s="58"/>
      <c r="L1422" s="38"/>
      <c r="M1422" s="58"/>
      <c r="N1422" s="58"/>
      <c r="O1422" s="58"/>
      <c r="P1422" s="80"/>
      <c r="Q1422" s="80"/>
      <c r="R1422" s="58"/>
      <c r="S1422" s="58"/>
      <c r="T1422" s="84"/>
      <c r="U1422" s="62"/>
      <c r="V1422" s="37" t="str">
        <f>IFERROR(__xludf.DUMMYFUNCTION("if(not(iserror(index(split(C1422, "" ""),2))), index(split(C1422, "" ""),1),"""")"),"")</f>
        <v/>
      </c>
      <c r="W1422" s="315" t="str">
        <f>IFERROR(__xludf.DUMMYFUNCTION("if(V1422="""",C1422,if(not(iserror(index(split(C1422, "" ""),3))), index(split(C1422, "" ""),3),index(split(C1422, "" ""),2)))"),"")</f>
        <v/>
      </c>
      <c r="X1422" s="38" t="b">
        <f t="shared" si="2"/>
        <v>0</v>
      </c>
      <c r="Y1422" s="38"/>
      <c r="Z1422" s="40"/>
      <c r="AA1422" s="40"/>
      <c r="AB1422" s="38"/>
      <c r="AC1422" s="38"/>
      <c r="AD1422" s="38"/>
      <c r="AE1422" s="38"/>
      <c r="AF1422" s="38"/>
      <c r="AG1422" s="38"/>
      <c r="AH1422" s="38"/>
      <c r="AI1422" s="38"/>
      <c r="AJ1422" s="38"/>
      <c r="AK1422" s="38"/>
      <c r="AL1422" s="38"/>
      <c r="AM1422" s="38"/>
      <c r="AN1422" s="38"/>
      <c r="AO1422" s="38"/>
      <c r="AP1422" s="38"/>
      <c r="AQ1422" s="38"/>
      <c r="AR1422" s="38"/>
      <c r="AS1422" s="38"/>
      <c r="AT1422" s="38"/>
      <c r="AU1422" s="38"/>
      <c r="AV1422" s="38"/>
      <c r="AW1422" s="38"/>
      <c r="AX1422" s="38"/>
      <c r="AY1422" s="38"/>
      <c r="AZ1422" s="38"/>
      <c r="BA1422" s="38"/>
      <c r="BB1422" s="38"/>
      <c r="BC1422" s="38"/>
      <c r="BD1422" s="38"/>
      <c r="BE1422" s="38"/>
      <c r="BF1422" s="38"/>
      <c r="BG1422" s="38"/>
    </row>
    <row r="1423">
      <c r="A1423" s="375"/>
      <c r="B1423" s="341"/>
      <c r="C1423" s="60"/>
      <c r="D1423" s="60"/>
      <c r="E1423" s="58"/>
      <c r="F1423" s="58"/>
      <c r="G1423" s="58"/>
      <c r="H1423" s="33" t="str">
        <f t="shared" si="1"/>
        <v/>
      </c>
      <c r="I1423" s="58"/>
      <c r="J1423" s="58"/>
      <c r="K1423" s="58"/>
      <c r="L1423" s="38"/>
      <c r="M1423" s="58"/>
      <c r="N1423" s="58"/>
      <c r="O1423" s="58"/>
      <c r="P1423" s="80"/>
      <c r="Q1423" s="80"/>
      <c r="R1423" s="58"/>
      <c r="S1423" s="58"/>
      <c r="T1423" s="84"/>
      <c r="U1423" s="62"/>
      <c r="V1423" s="37" t="str">
        <f>IFERROR(__xludf.DUMMYFUNCTION("if(not(iserror(index(split(C1423, "" ""),2))), index(split(C1423, "" ""),1),"""")"),"")</f>
        <v/>
      </c>
      <c r="W1423" s="315" t="str">
        <f>IFERROR(__xludf.DUMMYFUNCTION("if(V1423="""",C1423,if(not(iserror(index(split(C1423, "" ""),3))), index(split(C1423, "" ""),3),index(split(C1423, "" ""),2)))"),"")</f>
        <v/>
      </c>
      <c r="X1423" s="38" t="b">
        <f t="shared" si="2"/>
        <v>0</v>
      </c>
      <c r="Y1423" s="38"/>
      <c r="Z1423" s="40"/>
      <c r="AA1423" s="40"/>
      <c r="AB1423" s="38"/>
      <c r="AC1423" s="38"/>
      <c r="AD1423" s="38"/>
      <c r="AE1423" s="38"/>
      <c r="AF1423" s="38"/>
      <c r="AG1423" s="38"/>
      <c r="AH1423" s="38"/>
      <c r="AI1423" s="38"/>
      <c r="AJ1423" s="38"/>
      <c r="AK1423" s="38"/>
      <c r="AL1423" s="38"/>
      <c r="AM1423" s="38"/>
      <c r="AN1423" s="38"/>
      <c r="AO1423" s="38"/>
      <c r="AP1423" s="38"/>
      <c r="AQ1423" s="38"/>
      <c r="AR1423" s="38"/>
      <c r="AS1423" s="38"/>
      <c r="AT1423" s="38"/>
      <c r="AU1423" s="38"/>
      <c r="AV1423" s="38"/>
      <c r="AW1423" s="38"/>
      <c r="AX1423" s="38"/>
      <c r="AY1423" s="38"/>
      <c r="AZ1423" s="38"/>
      <c r="BA1423" s="38"/>
      <c r="BB1423" s="38"/>
      <c r="BC1423" s="38"/>
      <c r="BD1423" s="38"/>
      <c r="BE1423" s="38"/>
      <c r="BF1423" s="38"/>
      <c r="BG1423" s="38"/>
    </row>
    <row r="1424">
      <c r="A1424" s="58"/>
      <c r="B1424" s="341"/>
      <c r="C1424" s="60"/>
      <c r="D1424" s="60"/>
      <c r="E1424" s="58"/>
      <c r="F1424" s="58"/>
      <c r="G1424" s="58"/>
      <c r="H1424" s="33" t="str">
        <f t="shared" si="1"/>
        <v/>
      </c>
      <c r="I1424" s="58"/>
      <c r="J1424" s="58"/>
      <c r="K1424" s="58"/>
      <c r="L1424" s="38"/>
      <c r="M1424" s="58"/>
      <c r="N1424" s="58"/>
      <c r="O1424" s="58"/>
      <c r="P1424" s="389"/>
      <c r="Q1424" s="80"/>
      <c r="R1424" s="58"/>
      <c r="S1424" s="58"/>
      <c r="T1424" s="84"/>
      <c r="U1424" s="62"/>
      <c r="V1424" s="37" t="str">
        <f>IFERROR(__xludf.DUMMYFUNCTION("if(not(iserror(index(split(C1424, "" ""),2))), index(split(C1424, "" ""),1),"""")"),"")</f>
        <v/>
      </c>
      <c r="W1424" s="315" t="str">
        <f>IFERROR(__xludf.DUMMYFUNCTION("if(V1424="""",C1424,if(not(iserror(index(split(C1424, "" ""),3))), index(split(C1424, "" ""),3),index(split(C1424, "" ""),2)))"),"")</f>
        <v/>
      </c>
      <c r="X1424" s="38" t="b">
        <f t="shared" si="2"/>
        <v>0</v>
      </c>
      <c r="Y1424" s="38"/>
      <c r="Z1424" s="40"/>
      <c r="AA1424" s="40"/>
      <c r="AB1424" s="38"/>
      <c r="AC1424" s="38"/>
      <c r="AD1424" s="38"/>
      <c r="AE1424" s="38"/>
      <c r="AF1424" s="38"/>
      <c r="AG1424" s="38"/>
      <c r="AH1424" s="38"/>
      <c r="AI1424" s="38"/>
      <c r="AJ1424" s="38"/>
      <c r="AK1424" s="38"/>
      <c r="AL1424" s="38"/>
      <c r="AM1424" s="38"/>
      <c r="AN1424" s="38"/>
      <c r="AO1424" s="38"/>
      <c r="AP1424" s="38"/>
      <c r="AQ1424" s="38"/>
      <c r="AR1424" s="38"/>
      <c r="AS1424" s="38"/>
      <c r="AT1424" s="38"/>
      <c r="AU1424" s="38"/>
      <c r="AV1424" s="38"/>
      <c r="AW1424" s="38"/>
      <c r="AX1424" s="38"/>
      <c r="AY1424" s="38"/>
      <c r="AZ1424" s="38"/>
      <c r="BA1424" s="38"/>
      <c r="BB1424" s="38"/>
      <c r="BC1424" s="38"/>
      <c r="BD1424" s="38"/>
      <c r="BE1424" s="38"/>
      <c r="BF1424" s="38"/>
      <c r="BG1424" s="38"/>
    </row>
    <row r="1425">
      <c r="A1425" s="58"/>
      <c r="B1425" s="341"/>
      <c r="C1425" s="60"/>
      <c r="D1425" s="60"/>
      <c r="E1425" s="58"/>
      <c r="F1425" s="58"/>
      <c r="G1425" s="58"/>
      <c r="H1425" s="33" t="str">
        <f t="shared" si="1"/>
        <v/>
      </c>
      <c r="I1425" s="58"/>
      <c r="J1425" s="58"/>
      <c r="K1425" s="58"/>
      <c r="L1425" s="38"/>
      <c r="M1425" s="58"/>
      <c r="N1425" s="58"/>
      <c r="O1425" s="58"/>
      <c r="P1425" s="389"/>
      <c r="Q1425" s="80"/>
      <c r="R1425" s="58"/>
      <c r="S1425" s="58"/>
      <c r="T1425" s="58"/>
      <c r="U1425" s="58"/>
      <c r="V1425" s="37" t="str">
        <f>IFERROR(__xludf.DUMMYFUNCTION("if(not(iserror(index(split(C1425, "" ""),2))), index(split(C1425, "" ""),1),"""")"),"")</f>
        <v/>
      </c>
      <c r="W1425" s="315" t="str">
        <f>IFERROR(__xludf.DUMMYFUNCTION("if(V1425="""",C1425,if(not(iserror(index(split(C1425, "" ""),3))), index(split(C1425, "" ""),3),index(split(C1425, "" ""),2)))"),"")</f>
        <v/>
      </c>
      <c r="X1425" s="38" t="b">
        <f t="shared" si="2"/>
        <v>0</v>
      </c>
      <c r="Y1425" s="38"/>
      <c r="Z1425" s="40"/>
      <c r="AA1425" s="40"/>
      <c r="AB1425" s="38"/>
      <c r="AC1425" s="38"/>
      <c r="AD1425" s="38"/>
      <c r="AE1425" s="38"/>
      <c r="AF1425" s="38"/>
      <c r="AG1425" s="38"/>
      <c r="AH1425" s="38"/>
      <c r="AI1425" s="38"/>
      <c r="AJ1425" s="38"/>
      <c r="AK1425" s="38"/>
      <c r="AL1425" s="38"/>
      <c r="AM1425" s="38"/>
      <c r="AN1425" s="38"/>
      <c r="AO1425" s="38"/>
      <c r="AP1425" s="38"/>
      <c r="AQ1425" s="38"/>
      <c r="AR1425" s="38"/>
      <c r="AS1425" s="38"/>
      <c r="AT1425" s="38"/>
      <c r="AU1425" s="38"/>
      <c r="AV1425" s="38"/>
      <c r="AW1425" s="38"/>
      <c r="AX1425" s="38"/>
      <c r="AY1425" s="38"/>
      <c r="AZ1425" s="38"/>
      <c r="BA1425" s="38"/>
      <c r="BB1425" s="38"/>
      <c r="BC1425" s="38"/>
      <c r="BD1425" s="38"/>
      <c r="BE1425" s="38"/>
      <c r="BF1425" s="38"/>
      <c r="BG1425" s="38"/>
    </row>
    <row r="1426">
      <c r="A1426" s="58"/>
      <c r="B1426" s="341"/>
      <c r="C1426" s="60"/>
      <c r="D1426" s="60"/>
      <c r="E1426" s="58"/>
      <c r="F1426" s="58"/>
      <c r="G1426" s="58"/>
      <c r="H1426" s="33" t="str">
        <f t="shared" si="1"/>
        <v/>
      </c>
      <c r="I1426" s="58"/>
      <c r="J1426" s="58"/>
      <c r="K1426" s="58"/>
      <c r="L1426" s="38"/>
      <c r="M1426" s="58"/>
      <c r="N1426" s="58"/>
      <c r="O1426" s="58"/>
      <c r="P1426" s="389"/>
      <c r="Q1426" s="80"/>
      <c r="R1426" s="62"/>
      <c r="S1426" s="62"/>
      <c r="T1426" s="62"/>
      <c r="U1426" s="62"/>
      <c r="V1426" s="37" t="str">
        <f>IFERROR(__xludf.DUMMYFUNCTION("if(not(iserror(index(split(C1426, "" ""),2))), index(split(C1426, "" ""),1),"""")"),"")</f>
        <v/>
      </c>
      <c r="W1426" s="315" t="str">
        <f>IFERROR(__xludf.DUMMYFUNCTION("if(V1426="""",C1426,if(not(iserror(index(split(C1426, "" ""),3))), index(split(C1426, "" ""),3),index(split(C1426, "" ""),2)))"),"")</f>
        <v/>
      </c>
      <c r="X1426" s="38" t="b">
        <f t="shared" si="2"/>
        <v>0</v>
      </c>
      <c r="Y1426" s="38"/>
      <c r="Z1426" s="40"/>
      <c r="AA1426" s="40"/>
      <c r="AB1426" s="38"/>
      <c r="AC1426" s="38"/>
      <c r="AD1426" s="38"/>
      <c r="AE1426" s="38"/>
      <c r="AF1426" s="38"/>
      <c r="AG1426" s="38"/>
      <c r="AH1426" s="38"/>
      <c r="AI1426" s="38"/>
      <c r="AJ1426" s="38"/>
      <c r="AK1426" s="38"/>
      <c r="AL1426" s="38"/>
      <c r="AM1426" s="38"/>
      <c r="AN1426" s="38"/>
      <c r="AO1426" s="38"/>
      <c r="AP1426" s="38"/>
      <c r="AQ1426" s="38"/>
      <c r="AR1426" s="38"/>
      <c r="AS1426" s="38"/>
      <c r="AT1426" s="38"/>
      <c r="AU1426" s="38"/>
      <c r="AV1426" s="38"/>
      <c r="AW1426" s="38"/>
      <c r="AX1426" s="38"/>
      <c r="AY1426" s="38"/>
      <c r="AZ1426" s="38"/>
      <c r="BA1426" s="38"/>
      <c r="BB1426" s="38"/>
      <c r="BC1426" s="38"/>
      <c r="BD1426" s="38"/>
      <c r="BE1426" s="38"/>
      <c r="BF1426" s="38"/>
      <c r="BG1426" s="38"/>
    </row>
    <row r="1427">
      <c r="A1427" s="58"/>
      <c r="B1427" s="341"/>
      <c r="C1427" s="60"/>
      <c r="D1427" s="60"/>
      <c r="E1427" s="58"/>
      <c r="F1427" s="58"/>
      <c r="G1427" s="58"/>
      <c r="H1427" s="33" t="str">
        <f t="shared" si="1"/>
        <v/>
      </c>
      <c r="I1427" s="58"/>
      <c r="J1427" s="58"/>
      <c r="K1427" s="58"/>
      <c r="L1427" s="38"/>
      <c r="M1427" s="58"/>
      <c r="N1427" s="58"/>
      <c r="O1427" s="58"/>
      <c r="P1427" s="389"/>
      <c r="Q1427" s="80"/>
      <c r="R1427" s="62"/>
      <c r="S1427" s="62"/>
      <c r="T1427" s="62"/>
      <c r="U1427" s="62"/>
      <c r="V1427" s="37" t="str">
        <f>IFERROR(__xludf.DUMMYFUNCTION("if(not(iserror(index(split(C1427, "" ""),2))), index(split(C1427, "" ""),1),"""")"),"")</f>
        <v/>
      </c>
      <c r="W1427" s="315" t="str">
        <f>IFERROR(__xludf.DUMMYFUNCTION("if(V1427="""",C1427,if(not(iserror(index(split(C1427, "" ""),3))), index(split(C1427, "" ""),3),index(split(C1427, "" ""),2)))"),"")</f>
        <v/>
      </c>
      <c r="X1427" s="38" t="b">
        <f t="shared" si="2"/>
        <v>0</v>
      </c>
      <c r="Y1427" s="38"/>
      <c r="Z1427" s="40"/>
      <c r="AA1427" s="40"/>
      <c r="AB1427" s="38"/>
      <c r="AC1427" s="38"/>
      <c r="AD1427" s="38"/>
      <c r="AE1427" s="38"/>
      <c r="AF1427" s="38"/>
      <c r="AG1427" s="38"/>
      <c r="AH1427" s="38"/>
      <c r="AI1427" s="38"/>
      <c r="AJ1427" s="38"/>
      <c r="AK1427" s="38"/>
      <c r="AL1427" s="38"/>
      <c r="AM1427" s="38"/>
      <c r="AN1427" s="38"/>
      <c r="AO1427" s="38"/>
      <c r="AP1427" s="38"/>
      <c r="AQ1427" s="38"/>
      <c r="AR1427" s="38"/>
      <c r="AS1427" s="38"/>
      <c r="AT1427" s="38"/>
      <c r="AU1427" s="38"/>
      <c r="AV1427" s="38"/>
      <c r="AW1427" s="38"/>
      <c r="AX1427" s="38"/>
      <c r="AY1427" s="38"/>
      <c r="AZ1427" s="38"/>
      <c r="BA1427" s="38"/>
      <c r="BB1427" s="38"/>
      <c r="BC1427" s="38"/>
      <c r="BD1427" s="38"/>
      <c r="BE1427" s="38"/>
      <c r="BF1427" s="38"/>
      <c r="BG1427" s="38"/>
    </row>
    <row r="1428">
      <c r="A1428" s="58"/>
      <c r="B1428" s="341"/>
      <c r="C1428" s="60"/>
      <c r="D1428" s="60"/>
      <c r="E1428" s="58"/>
      <c r="F1428" s="58"/>
      <c r="G1428" s="58"/>
      <c r="H1428" s="33" t="str">
        <f t="shared" si="1"/>
        <v/>
      </c>
      <c r="I1428" s="58"/>
      <c r="J1428" s="58"/>
      <c r="K1428" s="58"/>
      <c r="L1428" s="38"/>
      <c r="M1428" s="58"/>
      <c r="N1428" s="58"/>
      <c r="O1428" s="58"/>
      <c r="P1428" s="389"/>
      <c r="Q1428" s="80"/>
      <c r="R1428" s="62"/>
      <c r="S1428" s="62"/>
      <c r="T1428" s="62"/>
      <c r="U1428" s="62"/>
      <c r="V1428" s="37" t="str">
        <f>IFERROR(__xludf.DUMMYFUNCTION("if(not(iserror(index(split(C1428, "" ""),2))), index(split(C1428, "" ""),1),"""")"),"")</f>
        <v/>
      </c>
      <c r="W1428" s="315" t="str">
        <f>IFERROR(__xludf.DUMMYFUNCTION("if(V1428="""",C1428,if(not(iserror(index(split(C1428, "" ""),3))), index(split(C1428, "" ""),3),index(split(C1428, "" ""),2)))"),"")</f>
        <v/>
      </c>
      <c r="X1428" s="38" t="b">
        <f t="shared" si="2"/>
        <v>0</v>
      </c>
      <c r="Y1428" s="38"/>
      <c r="Z1428" s="40"/>
      <c r="AA1428" s="40"/>
      <c r="AB1428" s="38"/>
      <c r="AC1428" s="38"/>
      <c r="AD1428" s="38"/>
      <c r="AE1428" s="38"/>
      <c r="AF1428" s="38"/>
      <c r="AG1428" s="38"/>
      <c r="AH1428" s="38"/>
      <c r="AI1428" s="38"/>
      <c r="AJ1428" s="38"/>
      <c r="AK1428" s="38"/>
      <c r="AL1428" s="38"/>
      <c r="AM1428" s="38"/>
      <c r="AN1428" s="38"/>
      <c r="AO1428" s="38"/>
      <c r="AP1428" s="38"/>
      <c r="AQ1428" s="38"/>
      <c r="AR1428" s="38"/>
      <c r="AS1428" s="38"/>
      <c r="AT1428" s="38"/>
      <c r="AU1428" s="38"/>
      <c r="AV1428" s="38"/>
      <c r="AW1428" s="38"/>
      <c r="AX1428" s="38"/>
      <c r="AY1428" s="38"/>
      <c r="AZ1428" s="38"/>
      <c r="BA1428" s="38"/>
      <c r="BB1428" s="38"/>
      <c r="BC1428" s="38"/>
      <c r="BD1428" s="38"/>
      <c r="BE1428" s="38"/>
      <c r="BF1428" s="38"/>
      <c r="BG1428" s="38"/>
    </row>
    <row r="1429">
      <c r="A1429" s="58"/>
      <c r="B1429" s="341"/>
      <c r="C1429" s="60"/>
      <c r="D1429" s="60"/>
      <c r="E1429" s="58"/>
      <c r="F1429" s="58"/>
      <c r="G1429" s="58"/>
      <c r="H1429" s="33" t="str">
        <f t="shared" si="1"/>
        <v/>
      </c>
      <c r="I1429" s="58"/>
      <c r="J1429" s="58"/>
      <c r="K1429" s="58"/>
      <c r="L1429" s="38"/>
      <c r="M1429" s="58"/>
      <c r="N1429" s="58"/>
      <c r="O1429" s="58"/>
      <c r="P1429" s="389"/>
      <c r="Q1429" s="80"/>
      <c r="R1429" s="62"/>
      <c r="S1429" s="62"/>
      <c r="T1429" s="62"/>
      <c r="U1429" s="62"/>
      <c r="V1429" s="37" t="str">
        <f>IFERROR(__xludf.DUMMYFUNCTION("if(not(iserror(index(split(C1429, "" ""),2))), index(split(C1429, "" ""),1),"""")"),"")</f>
        <v/>
      </c>
      <c r="W1429" s="315" t="str">
        <f>IFERROR(__xludf.DUMMYFUNCTION("if(V1429="""",C1429,if(not(iserror(index(split(C1429, "" ""),3))), index(split(C1429, "" ""),3),index(split(C1429, "" ""),2)))"),"")</f>
        <v/>
      </c>
      <c r="X1429" s="38" t="b">
        <f t="shared" si="2"/>
        <v>0</v>
      </c>
      <c r="Y1429" s="38"/>
      <c r="Z1429" s="40"/>
      <c r="AA1429" s="40"/>
      <c r="AB1429" s="38"/>
      <c r="AC1429" s="38"/>
      <c r="AD1429" s="38"/>
      <c r="AE1429" s="38"/>
      <c r="AF1429" s="38"/>
      <c r="AG1429" s="38"/>
      <c r="AH1429" s="38"/>
      <c r="AI1429" s="38"/>
      <c r="AJ1429" s="38"/>
      <c r="AK1429" s="38"/>
      <c r="AL1429" s="38"/>
      <c r="AM1429" s="38"/>
      <c r="AN1429" s="38"/>
      <c r="AO1429" s="38"/>
      <c r="AP1429" s="38"/>
      <c r="AQ1429" s="38"/>
      <c r="AR1429" s="38"/>
      <c r="AS1429" s="38"/>
      <c r="AT1429" s="38"/>
      <c r="AU1429" s="38"/>
      <c r="AV1429" s="38"/>
      <c r="AW1429" s="38"/>
      <c r="AX1429" s="38"/>
      <c r="AY1429" s="38"/>
      <c r="AZ1429" s="38"/>
      <c r="BA1429" s="38"/>
      <c r="BB1429" s="38"/>
      <c r="BC1429" s="38"/>
      <c r="BD1429" s="38"/>
      <c r="BE1429" s="38"/>
      <c r="BF1429" s="38"/>
      <c r="BG1429" s="38"/>
    </row>
    <row r="1430">
      <c r="A1430" s="58"/>
      <c r="B1430" s="341"/>
      <c r="C1430" s="60"/>
      <c r="D1430" s="60"/>
      <c r="E1430" s="58"/>
      <c r="F1430" s="58"/>
      <c r="G1430" s="58"/>
      <c r="H1430" s="33" t="str">
        <f t="shared" si="1"/>
        <v/>
      </c>
      <c r="I1430" s="58"/>
      <c r="J1430" s="58"/>
      <c r="K1430" s="58"/>
      <c r="L1430" s="38"/>
      <c r="M1430" s="58"/>
      <c r="N1430" s="58"/>
      <c r="O1430" s="58"/>
      <c r="P1430" s="389"/>
      <c r="Q1430" s="80"/>
      <c r="R1430" s="62"/>
      <c r="S1430" s="62"/>
      <c r="T1430" s="62"/>
      <c r="U1430" s="62"/>
      <c r="V1430" s="37" t="str">
        <f>IFERROR(__xludf.DUMMYFUNCTION("if(not(iserror(index(split(C1430, "" ""),2))), index(split(C1430, "" ""),1),"""")"),"")</f>
        <v/>
      </c>
      <c r="W1430" s="315" t="str">
        <f>IFERROR(__xludf.DUMMYFUNCTION("if(V1430="""",C1430,if(not(iserror(index(split(C1430, "" ""),3))), index(split(C1430, "" ""),3),index(split(C1430, "" ""),2)))"),"")</f>
        <v/>
      </c>
      <c r="X1430" s="38" t="b">
        <f t="shared" si="2"/>
        <v>0</v>
      </c>
      <c r="Y1430" s="38"/>
      <c r="Z1430" s="40"/>
      <c r="AA1430" s="40"/>
      <c r="AB1430" s="38"/>
      <c r="AC1430" s="38"/>
      <c r="AD1430" s="38"/>
      <c r="AE1430" s="38"/>
      <c r="AF1430" s="38"/>
      <c r="AG1430" s="38"/>
      <c r="AH1430" s="38"/>
      <c r="AI1430" s="38"/>
      <c r="AJ1430" s="38"/>
      <c r="AK1430" s="38"/>
      <c r="AL1430" s="38"/>
      <c r="AM1430" s="38"/>
      <c r="AN1430" s="38"/>
      <c r="AO1430" s="38"/>
      <c r="AP1430" s="38"/>
      <c r="AQ1430" s="38"/>
      <c r="AR1430" s="38"/>
      <c r="AS1430" s="38"/>
      <c r="AT1430" s="38"/>
      <c r="AU1430" s="38"/>
      <c r="AV1430" s="38"/>
      <c r="AW1430" s="38"/>
      <c r="AX1430" s="38"/>
      <c r="AY1430" s="38"/>
      <c r="AZ1430" s="38"/>
      <c r="BA1430" s="38"/>
      <c r="BB1430" s="38"/>
      <c r="BC1430" s="38"/>
      <c r="BD1430" s="38"/>
      <c r="BE1430" s="38"/>
      <c r="BF1430" s="38"/>
      <c r="BG1430" s="38"/>
    </row>
    <row r="1431">
      <c r="A1431" s="58"/>
      <c r="B1431" s="341"/>
      <c r="C1431" s="60"/>
      <c r="D1431" s="60"/>
      <c r="E1431" s="58"/>
      <c r="F1431" s="58"/>
      <c r="G1431" s="58"/>
      <c r="H1431" s="33" t="str">
        <f t="shared" si="1"/>
        <v/>
      </c>
      <c r="I1431" s="58"/>
      <c r="J1431" s="58"/>
      <c r="K1431" s="58"/>
      <c r="L1431" s="38"/>
      <c r="M1431" s="58"/>
      <c r="N1431" s="58"/>
      <c r="O1431" s="58"/>
      <c r="P1431" s="389"/>
      <c r="Q1431" s="80"/>
      <c r="R1431" s="62"/>
      <c r="S1431" s="62"/>
      <c r="T1431" s="62"/>
      <c r="U1431" s="62"/>
      <c r="V1431" s="37" t="str">
        <f>IFERROR(__xludf.DUMMYFUNCTION("if(not(iserror(index(split(C1431, "" ""),2))), index(split(C1431, "" ""),1),"""")"),"")</f>
        <v/>
      </c>
      <c r="W1431" s="315" t="str">
        <f>IFERROR(__xludf.DUMMYFUNCTION("if(V1431="""",C1431,if(not(iserror(index(split(C1431, "" ""),3))), index(split(C1431, "" ""),3),index(split(C1431, "" ""),2)))"),"")</f>
        <v/>
      </c>
      <c r="X1431" s="38" t="b">
        <f t="shared" si="2"/>
        <v>0</v>
      </c>
      <c r="Y1431" s="38"/>
      <c r="Z1431" s="40"/>
      <c r="AA1431" s="40"/>
      <c r="AB1431" s="38"/>
      <c r="AC1431" s="38"/>
      <c r="AD1431" s="38"/>
      <c r="AE1431" s="38"/>
      <c r="AF1431" s="38"/>
      <c r="AG1431" s="38"/>
      <c r="AH1431" s="38"/>
      <c r="AI1431" s="38"/>
      <c r="AJ1431" s="38"/>
      <c r="AK1431" s="38"/>
      <c r="AL1431" s="38"/>
      <c r="AM1431" s="38"/>
      <c r="AN1431" s="38"/>
      <c r="AO1431" s="38"/>
      <c r="AP1431" s="38"/>
      <c r="AQ1431" s="38"/>
      <c r="AR1431" s="38"/>
      <c r="AS1431" s="38"/>
      <c r="AT1431" s="38"/>
      <c r="AU1431" s="38"/>
      <c r="AV1431" s="38"/>
      <c r="AW1431" s="38"/>
      <c r="AX1431" s="38"/>
      <c r="AY1431" s="38"/>
      <c r="AZ1431" s="38"/>
      <c r="BA1431" s="38"/>
      <c r="BB1431" s="38"/>
      <c r="BC1431" s="38"/>
      <c r="BD1431" s="38"/>
      <c r="BE1431" s="38"/>
      <c r="BF1431" s="38"/>
      <c r="BG1431" s="38"/>
    </row>
    <row r="1432">
      <c r="A1432" s="58"/>
      <c r="B1432" s="341"/>
      <c r="C1432" s="60"/>
      <c r="D1432" s="60"/>
      <c r="E1432" s="58"/>
      <c r="F1432" s="58"/>
      <c r="G1432" s="58"/>
      <c r="H1432" s="33" t="str">
        <f t="shared" si="1"/>
        <v/>
      </c>
      <c r="I1432" s="58"/>
      <c r="J1432" s="58"/>
      <c r="K1432" s="58"/>
      <c r="L1432" s="38"/>
      <c r="M1432" s="58"/>
      <c r="N1432" s="58"/>
      <c r="O1432" s="58"/>
      <c r="P1432" s="389"/>
      <c r="Q1432" s="80"/>
      <c r="R1432" s="62"/>
      <c r="S1432" s="62"/>
      <c r="T1432" s="62"/>
      <c r="U1432" s="62"/>
      <c r="V1432" s="37" t="str">
        <f>IFERROR(__xludf.DUMMYFUNCTION("if(not(iserror(index(split(C1432, "" ""),2))), index(split(C1432, "" ""),1),"""")"),"")</f>
        <v/>
      </c>
      <c r="W1432" s="315" t="str">
        <f>IFERROR(__xludf.DUMMYFUNCTION("if(V1432="""",C1432,if(not(iserror(index(split(C1432, "" ""),3))), index(split(C1432, "" ""),3),index(split(C1432, "" ""),2)))"),"")</f>
        <v/>
      </c>
      <c r="X1432" s="38" t="b">
        <f t="shared" si="2"/>
        <v>0</v>
      </c>
      <c r="Y1432" s="38"/>
      <c r="Z1432" s="40"/>
      <c r="AA1432" s="40"/>
      <c r="AB1432" s="38"/>
      <c r="AC1432" s="38"/>
      <c r="AD1432" s="38"/>
      <c r="AE1432" s="38"/>
      <c r="AF1432" s="38"/>
      <c r="AG1432" s="38"/>
      <c r="AH1432" s="38"/>
      <c r="AI1432" s="38"/>
      <c r="AJ1432" s="38"/>
      <c r="AK1432" s="38"/>
      <c r="AL1432" s="38"/>
      <c r="AM1432" s="38"/>
      <c r="AN1432" s="38"/>
      <c r="AO1432" s="38"/>
      <c r="AP1432" s="38"/>
      <c r="AQ1432" s="38"/>
      <c r="AR1432" s="38"/>
      <c r="AS1432" s="38"/>
      <c r="AT1432" s="38"/>
      <c r="AU1432" s="38"/>
      <c r="AV1432" s="38"/>
      <c r="AW1432" s="38"/>
      <c r="AX1432" s="38"/>
      <c r="AY1432" s="38"/>
      <c r="AZ1432" s="38"/>
      <c r="BA1432" s="38"/>
      <c r="BB1432" s="38"/>
      <c r="BC1432" s="38"/>
      <c r="BD1432" s="38"/>
      <c r="BE1432" s="38"/>
      <c r="BF1432" s="38"/>
      <c r="BG1432" s="38"/>
    </row>
    <row r="1433">
      <c r="A1433" s="58"/>
      <c r="B1433" s="341"/>
      <c r="C1433" s="60"/>
      <c r="D1433" s="60"/>
      <c r="E1433" s="58"/>
      <c r="F1433" s="58"/>
      <c r="G1433" s="58"/>
      <c r="H1433" s="33" t="str">
        <f t="shared" si="1"/>
        <v/>
      </c>
      <c r="I1433" s="58"/>
      <c r="J1433" s="58"/>
      <c r="K1433" s="58"/>
      <c r="L1433" s="38"/>
      <c r="M1433" s="58"/>
      <c r="N1433" s="58"/>
      <c r="O1433" s="58"/>
      <c r="P1433" s="80"/>
      <c r="Q1433" s="80"/>
      <c r="R1433" s="62"/>
      <c r="S1433" s="62"/>
      <c r="T1433" s="62"/>
      <c r="U1433" s="62"/>
      <c r="V1433" s="37" t="str">
        <f>IFERROR(__xludf.DUMMYFUNCTION("if(not(iserror(index(split(C1433, "" ""),2))), index(split(C1433, "" ""),1),"""")"),"")</f>
        <v/>
      </c>
      <c r="W1433" s="315" t="str">
        <f>IFERROR(__xludf.DUMMYFUNCTION("if(V1433="""",C1433,if(not(iserror(index(split(C1433, "" ""),3))), index(split(C1433, "" ""),3),index(split(C1433, "" ""),2)))"),"")</f>
        <v/>
      </c>
      <c r="X1433" s="38" t="b">
        <f t="shared" si="2"/>
        <v>0</v>
      </c>
      <c r="Y1433" s="38"/>
      <c r="Z1433" s="40"/>
      <c r="AA1433" s="40"/>
      <c r="AB1433" s="38"/>
      <c r="AC1433" s="38"/>
      <c r="AD1433" s="38"/>
      <c r="AE1433" s="38"/>
      <c r="AF1433" s="38"/>
      <c r="AG1433" s="38"/>
      <c r="AH1433" s="38"/>
      <c r="AI1433" s="38"/>
      <c r="AJ1433" s="38"/>
      <c r="AK1433" s="38"/>
      <c r="AL1433" s="38"/>
      <c r="AM1433" s="38"/>
      <c r="AN1433" s="38"/>
      <c r="AO1433" s="38"/>
      <c r="AP1433" s="38"/>
      <c r="AQ1433" s="38"/>
      <c r="AR1433" s="38"/>
      <c r="AS1433" s="38"/>
      <c r="AT1433" s="38"/>
      <c r="AU1433" s="38"/>
      <c r="AV1433" s="38"/>
      <c r="AW1433" s="38"/>
      <c r="AX1433" s="38"/>
      <c r="AY1433" s="38"/>
      <c r="AZ1433" s="38"/>
      <c r="BA1433" s="38"/>
      <c r="BB1433" s="38"/>
      <c r="BC1433" s="38"/>
      <c r="BD1433" s="38"/>
      <c r="BE1433" s="38"/>
      <c r="BF1433" s="38"/>
      <c r="BG1433" s="38"/>
    </row>
    <row r="1434">
      <c r="A1434" s="58"/>
      <c r="B1434" s="341"/>
      <c r="C1434" s="60"/>
      <c r="D1434" s="60"/>
      <c r="E1434" s="58"/>
      <c r="F1434" s="58"/>
      <c r="G1434" s="58"/>
      <c r="H1434" s="33" t="str">
        <f t="shared" si="1"/>
        <v/>
      </c>
      <c r="I1434" s="58"/>
      <c r="J1434" s="58"/>
      <c r="K1434" s="58"/>
      <c r="L1434" s="38"/>
      <c r="M1434" s="58"/>
      <c r="N1434" s="58"/>
      <c r="O1434" s="58"/>
      <c r="P1434" s="80"/>
      <c r="Q1434" s="80"/>
      <c r="R1434" s="62"/>
      <c r="S1434" s="62"/>
      <c r="T1434" s="62"/>
      <c r="U1434" s="62"/>
      <c r="V1434" s="37" t="str">
        <f>IFERROR(__xludf.DUMMYFUNCTION("if(not(iserror(index(split(C1434, "" ""),2))), index(split(C1434, "" ""),1),"""")"),"")</f>
        <v/>
      </c>
      <c r="W1434" s="315" t="str">
        <f>IFERROR(__xludf.DUMMYFUNCTION("if(V1434="""",C1434,if(not(iserror(index(split(C1434, "" ""),3))), index(split(C1434, "" ""),3),index(split(C1434, "" ""),2)))"),"")</f>
        <v/>
      </c>
      <c r="X1434" s="38" t="b">
        <f t="shared" si="2"/>
        <v>0</v>
      </c>
      <c r="Y1434" s="38"/>
      <c r="Z1434" s="40"/>
      <c r="AA1434" s="40"/>
      <c r="AB1434" s="38"/>
      <c r="AC1434" s="38"/>
      <c r="AD1434" s="38"/>
      <c r="AE1434" s="38"/>
      <c r="AF1434" s="38"/>
      <c r="AG1434" s="38"/>
      <c r="AH1434" s="38"/>
      <c r="AI1434" s="38"/>
      <c r="AJ1434" s="38"/>
      <c r="AK1434" s="38"/>
      <c r="AL1434" s="38"/>
      <c r="AM1434" s="38"/>
      <c r="AN1434" s="38"/>
      <c r="AO1434" s="38"/>
      <c r="AP1434" s="38"/>
      <c r="AQ1434" s="38"/>
      <c r="AR1434" s="38"/>
      <c r="AS1434" s="38"/>
      <c r="AT1434" s="38"/>
      <c r="AU1434" s="38"/>
      <c r="AV1434" s="38"/>
      <c r="AW1434" s="38"/>
      <c r="AX1434" s="38"/>
      <c r="AY1434" s="38"/>
      <c r="AZ1434" s="38"/>
      <c r="BA1434" s="38"/>
      <c r="BB1434" s="38"/>
      <c r="BC1434" s="38"/>
      <c r="BD1434" s="38"/>
      <c r="BE1434" s="38"/>
      <c r="BF1434" s="38"/>
      <c r="BG1434" s="38"/>
    </row>
    <row r="1435">
      <c r="A1435" s="58"/>
      <c r="B1435" s="341"/>
      <c r="C1435" s="60"/>
      <c r="D1435" s="60"/>
      <c r="E1435" s="58"/>
      <c r="F1435" s="58"/>
      <c r="G1435" s="58"/>
      <c r="H1435" s="33" t="str">
        <f t="shared" si="1"/>
        <v/>
      </c>
      <c r="I1435" s="58"/>
      <c r="J1435" s="58"/>
      <c r="K1435" s="58"/>
      <c r="L1435" s="38"/>
      <c r="M1435" s="58"/>
      <c r="N1435" s="58"/>
      <c r="O1435" s="58"/>
      <c r="P1435" s="80"/>
      <c r="Q1435" s="80"/>
      <c r="R1435" s="62"/>
      <c r="S1435" s="62"/>
      <c r="T1435" s="62"/>
      <c r="U1435" s="62"/>
      <c r="V1435" s="37" t="str">
        <f>IFERROR(__xludf.DUMMYFUNCTION("if(not(iserror(index(split(C1435, "" ""),2))), index(split(C1435, "" ""),1),"""")"),"")</f>
        <v/>
      </c>
      <c r="W1435" s="315" t="str">
        <f>IFERROR(__xludf.DUMMYFUNCTION("if(V1435="""",C1435,if(not(iserror(index(split(C1435, "" ""),3))), index(split(C1435, "" ""),3),index(split(C1435, "" ""),2)))"),"")</f>
        <v/>
      </c>
      <c r="X1435" s="38" t="b">
        <f t="shared" si="2"/>
        <v>0</v>
      </c>
      <c r="Y1435" s="38"/>
      <c r="Z1435" s="40"/>
      <c r="AA1435" s="40"/>
      <c r="AB1435" s="38"/>
      <c r="AC1435" s="38"/>
      <c r="AD1435" s="38"/>
      <c r="AE1435" s="38"/>
      <c r="AF1435" s="38"/>
      <c r="AG1435" s="38"/>
      <c r="AH1435" s="38"/>
      <c r="AI1435" s="38"/>
      <c r="AJ1435" s="38"/>
      <c r="AK1435" s="38"/>
      <c r="AL1435" s="38"/>
      <c r="AM1435" s="38"/>
      <c r="AN1435" s="38"/>
      <c r="AO1435" s="38"/>
      <c r="AP1435" s="38"/>
      <c r="AQ1435" s="38"/>
      <c r="AR1435" s="38"/>
      <c r="AS1435" s="38"/>
      <c r="AT1435" s="38"/>
      <c r="AU1435" s="38"/>
      <c r="AV1435" s="38"/>
      <c r="AW1435" s="38"/>
      <c r="AX1435" s="38"/>
      <c r="AY1435" s="38"/>
      <c r="AZ1435" s="38"/>
      <c r="BA1435" s="38"/>
      <c r="BB1435" s="38"/>
      <c r="BC1435" s="38"/>
      <c r="BD1435" s="38"/>
      <c r="BE1435" s="38"/>
      <c r="BF1435" s="38"/>
      <c r="BG1435" s="38"/>
    </row>
    <row r="1436">
      <c r="A1436" s="58"/>
      <c r="B1436" s="341"/>
      <c r="C1436" s="60"/>
      <c r="D1436" s="60"/>
      <c r="E1436" s="58"/>
      <c r="F1436" s="58"/>
      <c r="G1436" s="58"/>
      <c r="H1436" s="33" t="str">
        <f t="shared" si="1"/>
        <v/>
      </c>
      <c r="I1436" s="58"/>
      <c r="J1436" s="58"/>
      <c r="K1436" s="58"/>
      <c r="L1436" s="38"/>
      <c r="M1436" s="58"/>
      <c r="N1436" s="58"/>
      <c r="O1436" s="58"/>
      <c r="P1436" s="80"/>
      <c r="Q1436" s="80"/>
      <c r="R1436" s="62"/>
      <c r="S1436" s="62"/>
      <c r="T1436" s="62"/>
      <c r="U1436" s="62"/>
      <c r="V1436" s="37" t="str">
        <f>IFERROR(__xludf.DUMMYFUNCTION("if(not(iserror(index(split(C1436, "" ""),2))), index(split(C1436, "" ""),1),"""")"),"")</f>
        <v/>
      </c>
      <c r="W1436" s="315" t="str">
        <f>IFERROR(__xludf.DUMMYFUNCTION("if(V1436="""",C1436,if(not(iserror(index(split(C1436, "" ""),3))), index(split(C1436, "" ""),3),index(split(C1436, "" ""),2)))"),"")</f>
        <v/>
      </c>
      <c r="X1436" s="38" t="b">
        <f t="shared" si="2"/>
        <v>0</v>
      </c>
      <c r="Y1436" s="38"/>
      <c r="Z1436" s="40"/>
      <c r="AA1436" s="40"/>
      <c r="AB1436" s="38"/>
      <c r="AC1436" s="38"/>
      <c r="AD1436" s="38"/>
      <c r="AE1436" s="38"/>
      <c r="AF1436" s="38"/>
      <c r="AG1436" s="38"/>
      <c r="AH1436" s="38"/>
      <c r="AI1436" s="38"/>
      <c r="AJ1436" s="38"/>
      <c r="AK1436" s="38"/>
      <c r="AL1436" s="38"/>
      <c r="AM1436" s="38"/>
      <c r="AN1436" s="38"/>
      <c r="AO1436" s="38"/>
      <c r="AP1436" s="38"/>
      <c r="AQ1436" s="38"/>
      <c r="AR1436" s="38"/>
      <c r="AS1436" s="38"/>
      <c r="AT1436" s="38"/>
      <c r="AU1436" s="38"/>
      <c r="AV1436" s="38"/>
      <c r="AW1436" s="38"/>
      <c r="AX1436" s="38"/>
      <c r="AY1436" s="38"/>
      <c r="AZ1436" s="38"/>
      <c r="BA1436" s="38"/>
      <c r="BB1436" s="38"/>
      <c r="BC1436" s="38"/>
      <c r="BD1436" s="38"/>
      <c r="BE1436" s="38"/>
      <c r="BF1436" s="38"/>
      <c r="BG1436" s="38"/>
    </row>
    <row r="1437">
      <c r="A1437" s="58"/>
      <c r="B1437" s="341"/>
      <c r="C1437" s="60"/>
      <c r="D1437" s="60"/>
      <c r="E1437" s="58"/>
      <c r="F1437" s="58"/>
      <c r="G1437" s="58"/>
      <c r="H1437" s="33" t="str">
        <f t="shared" si="1"/>
        <v/>
      </c>
      <c r="I1437" s="58"/>
      <c r="J1437" s="58"/>
      <c r="K1437" s="58"/>
      <c r="L1437" s="38"/>
      <c r="M1437" s="58"/>
      <c r="N1437" s="58"/>
      <c r="O1437" s="58"/>
      <c r="P1437" s="80"/>
      <c r="Q1437" s="80"/>
      <c r="R1437" s="62"/>
      <c r="S1437" s="62"/>
      <c r="T1437" s="62"/>
      <c r="U1437" s="62"/>
      <c r="V1437" s="37" t="str">
        <f>IFERROR(__xludf.DUMMYFUNCTION("if(not(iserror(index(split(C1437, "" ""),2))), index(split(C1437, "" ""),1),"""")"),"")</f>
        <v/>
      </c>
      <c r="W1437" s="315" t="str">
        <f>IFERROR(__xludf.DUMMYFUNCTION("if(V1437="""",C1437,if(not(iserror(index(split(C1437, "" ""),3))), index(split(C1437, "" ""),3),index(split(C1437, "" ""),2)))"),"")</f>
        <v/>
      </c>
      <c r="X1437" s="38" t="b">
        <f t="shared" si="2"/>
        <v>0</v>
      </c>
      <c r="Y1437" s="38"/>
      <c r="Z1437" s="40"/>
      <c r="AA1437" s="40"/>
      <c r="AB1437" s="38"/>
      <c r="AC1437" s="38"/>
      <c r="AD1437" s="38"/>
      <c r="AE1437" s="38"/>
      <c r="AF1437" s="38"/>
      <c r="AG1437" s="38"/>
      <c r="AH1437" s="38"/>
      <c r="AI1437" s="38"/>
      <c r="AJ1437" s="38"/>
      <c r="AK1437" s="38"/>
      <c r="AL1437" s="38"/>
      <c r="AM1437" s="38"/>
      <c r="AN1437" s="38"/>
      <c r="AO1437" s="38"/>
      <c r="AP1437" s="38"/>
      <c r="AQ1437" s="38"/>
      <c r="AR1437" s="38"/>
      <c r="AS1437" s="38"/>
      <c r="AT1437" s="38"/>
      <c r="AU1437" s="38"/>
      <c r="AV1437" s="38"/>
      <c r="AW1437" s="38"/>
      <c r="AX1437" s="38"/>
      <c r="AY1437" s="38"/>
      <c r="AZ1437" s="38"/>
      <c r="BA1437" s="38"/>
      <c r="BB1437" s="38"/>
      <c r="BC1437" s="38"/>
      <c r="BD1437" s="38"/>
      <c r="BE1437" s="38"/>
      <c r="BF1437" s="38"/>
      <c r="BG1437" s="38"/>
    </row>
    <row r="1438">
      <c r="A1438" s="58"/>
      <c r="B1438" s="341"/>
      <c r="C1438" s="60"/>
      <c r="D1438" s="60"/>
      <c r="E1438" s="58"/>
      <c r="F1438" s="58"/>
      <c r="G1438" s="58"/>
      <c r="H1438" s="33" t="str">
        <f t="shared" si="1"/>
        <v/>
      </c>
      <c r="I1438" s="58"/>
      <c r="J1438" s="58"/>
      <c r="K1438" s="58"/>
      <c r="L1438" s="38"/>
      <c r="M1438" s="58"/>
      <c r="N1438" s="58"/>
      <c r="O1438" s="58"/>
      <c r="P1438" s="80"/>
      <c r="Q1438" s="80"/>
      <c r="R1438" s="62"/>
      <c r="S1438" s="62"/>
      <c r="T1438" s="62"/>
      <c r="U1438" s="62"/>
      <c r="V1438" s="37" t="str">
        <f>IFERROR(__xludf.DUMMYFUNCTION("if(not(iserror(index(split(C1438, "" ""),2))), index(split(C1438, "" ""),1),"""")"),"")</f>
        <v/>
      </c>
      <c r="W1438" s="315" t="str">
        <f>IFERROR(__xludf.DUMMYFUNCTION("if(V1438="""",C1438,if(not(iserror(index(split(C1438, "" ""),3))), index(split(C1438, "" ""),3),index(split(C1438, "" ""),2)))"),"")</f>
        <v/>
      </c>
      <c r="X1438" s="38" t="b">
        <f t="shared" si="2"/>
        <v>0</v>
      </c>
      <c r="Y1438" s="38"/>
      <c r="Z1438" s="40"/>
      <c r="AA1438" s="40"/>
      <c r="AB1438" s="38"/>
      <c r="AC1438" s="38"/>
      <c r="AD1438" s="38"/>
      <c r="AE1438" s="38"/>
      <c r="AF1438" s="38"/>
      <c r="AG1438" s="38"/>
      <c r="AH1438" s="38"/>
      <c r="AI1438" s="38"/>
      <c r="AJ1438" s="38"/>
      <c r="AK1438" s="38"/>
      <c r="AL1438" s="38"/>
      <c r="AM1438" s="38"/>
      <c r="AN1438" s="38"/>
      <c r="AO1438" s="38"/>
      <c r="AP1438" s="38"/>
      <c r="AQ1438" s="38"/>
      <c r="AR1438" s="38"/>
      <c r="AS1438" s="38"/>
      <c r="AT1438" s="38"/>
      <c r="AU1438" s="38"/>
      <c r="AV1438" s="38"/>
      <c r="AW1438" s="38"/>
      <c r="AX1438" s="38"/>
      <c r="AY1438" s="38"/>
      <c r="AZ1438" s="38"/>
      <c r="BA1438" s="38"/>
      <c r="BB1438" s="38"/>
      <c r="BC1438" s="38"/>
      <c r="BD1438" s="38"/>
      <c r="BE1438" s="38"/>
      <c r="BF1438" s="38"/>
      <c r="BG1438" s="38"/>
    </row>
    <row r="1439">
      <c r="A1439" s="58"/>
      <c r="B1439" s="341"/>
      <c r="C1439" s="60"/>
      <c r="D1439" s="60"/>
      <c r="E1439" s="58"/>
      <c r="F1439" s="58"/>
      <c r="G1439" s="58"/>
      <c r="H1439" s="33" t="str">
        <f t="shared" si="1"/>
        <v/>
      </c>
      <c r="I1439" s="58"/>
      <c r="J1439" s="58"/>
      <c r="K1439" s="58"/>
      <c r="L1439" s="38"/>
      <c r="M1439" s="58"/>
      <c r="N1439" s="58"/>
      <c r="O1439" s="58"/>
      <c r="P1439" s="80"/>
      <c r="Q1439" s="80"/>
      <c r="R1439" s="62"/>
      <c r="S1439" s="62"/>
      <c r="T1439" s="62"/>
      <c r="U1439" s="62"/>
      <c r="V1439" s="37" t="str">
        <f>IFERROR(__xludf.DUMMYFUNCTION("if(not(iserror(index(split(C1439, "" ""),2))), index(split(C1439, "" ""),1),"""")"),"")</f>
        <v/>
      </c>
      <c r="W1439" s="315" t="str">
        <f>IFERROR(__xludf.DUMMYFUNCTION("if(V1439="""",C1439,if(not(iserror(index(split(C1439, "" ""),3))), index(split(C1439, "" ""),3),index(split(C1439, "" ""),2)))"),"")</f>
        <v/>
      </c>
      <c r="X1439" s="38" t="b">
        <f t="shared" si="2"/>
        <v>0</v>
      </c>
      <c r="Y1439" s="38"/>
      <c r="Z1439" s="40"/>
      <c r="AA1439" s="40"/>
      <c r="AB1439" s="38"/>
      <c r="AC1439" s="38"/>
      <c r="AD1439" s="38"/>
      <c r="AE1439" s="38"/>
      <c r="AF1439" s="38"/>
      <c r="AG1439" s="38"/>
      <c r="AH1439" s="38"/>
      <c r="AI1439" s="38"/>
      <c r="AJ1439" s="38"/>
      <c r="AK1439" s="38"/>
      <c r="AL1439" s="38"/>
      <c r="AM1439" s="38"/>
      <c r="AN1439" s="38"/>
      <c r="AO1439" s="38"/>
      <c r="AP1439" s="38"/>
      <c r="AQ1439" s="38"/>
      <c r="AR1439" s="38"/>
      <c r="AS1439" s="38"/>
      <c r="AT1439" s="38"/>
      <c r="AU1439" s="38"/>
      <c r="AV1439" s="38"/>
      <c r="AW1439" s="38"/>
      <c r="AX1439" s="38"/>
      <c r="AY1439" s="38"/>
      <c r="AZ1439" s="38"/>
      <c r="BA1439" s="38"/>
      <c r="BB1439" s="38"/>
      <c r="BC1439" s="38"/>
      <c r="BD1439" s="38"/>
      <c r="BE1439" s="38"/>
      <c r="BF1439" s="38"/>
      <c r="BG1439" s="38"/>
    </row>
    <row r="1440">
      <c r="A1440" s="58"/>
      <c r="B1440" s="341"/>
      <c r="C1440" s="60"/>
      <c r="D1440" s="60"/>
      <c r="E1440" s="58"/>
      <c r="F1440" s="58"/>
      <c r="G1440" s="58"/>
      <c r="H1440" s="33" t="str">
        <f t="shared" si="1"/>
        <v/>
      </c>
      <c r="I1440" s="58"/>
      <c r="J1440" s="58"/>
      <c r="K1440" s="58"/>
      <c r="L1440" s="38"/>
      <c r="M1440" s="58"/>
      <c r="N1440" s="58"/>
      <c r="O1440" s="58"/>
      <c r="P1440" s="80"/>
      <c r="Q1440" s="80"/>
      <c r="R1440" s="62"/>
      <c r="S1440" s="62"/>
      <c r="T1440" s="62"/>
      <c r="U1440" s="62"/>
      <c r="V1440" s="37" t="str">
        <f>IFERROR(__xludf.DUMMYFUNCTION("if(not(iserror(index(split(C1440, "" ""),2))), index(split(C1440, "" ""),1),"""")"),"")</f>
        <v/>
      </c>
      <c r="W1440" s="315" t="str">
        <f>IFERROR(__xludf.DUMMYFUNCTION("if(V1440="""",C1440,if(not(iserror(index(split(C1440, "" ""),3))), index(split(C1440, "" ""),3),index(split(C1440, "" ""),2)))"),"")</f>
        <v/>
      </c>
      <c r="X1440" s="38" t="b">
        <f t="shared" si="2"/>
        <v>0</v>
      </c>
      <c r="Y1440" s="38"/>
      <c r="Z1440" s="40"/>
      <c r="AA1440" s="40"/>
      <c r="AB1440" s="38"/>
      <c r="AC1440" s="38"/>
      <c r="AD1440" s="38"/>
      <c r="AE1440" s="38"/>
      <c r="AF1440" s="38"/>
      <c r="AG1440" s="38"/>
      <c r="AH1440" s="38"/>
      <c r="AI1440" s="38"/>
      <c r="AJ1440" s="38"/>
      <c r="AK1440" s="38"/>
      <c r="AL1440" s="38"/>
      <c r="AM1440" s="38"/>
      <c r="AN1440" s="38"/>
      <c r="AO1440" s="38"/>
      <c r="AP1440" s="38"/>
      <c r="AQ1440" s="38"/>
      <c r="AR1440" s="38"/>
      <c r="AS1440" s="38"/>
      <c r="AT1440" s="38"/>
      <c r="AU1440" s="38"/>
      <c r="AV1440" s="38"/>
      <c r="AW1440" s="38"/>
      <c r="AX1440" s="38"/>
      <c r="AY1440" s="38"/>
      <c r="AZ1440" s="38"/>
      <c r="BA1440" s="38"/>
      <c r="BB1440" s="38"/>
      <c r="BC1440" s="38"/>
      <c r="BD1440" s="38"/>
      <c r="BE1440" s="38"/>
      <c r="BF1440" s="38"/>
      <c r="BG1440" s="38"/>
    </row>
    <row r="1441">
      <c r="A1441" s="58"/>
      <c r="B1441" s="341"/>
      <c r="C1441" s="60"/>
      <c r="D1441" s="60"/>
      <c r="E1441" s="58"/>
      <c r="F1441" s="58"/>
      <c r="G1441" s="58"/>
      <c r="H1441" s="33" t="str">
        <f t="shared" si="1"/>
        <v/>
      </c>
      <c r="I1441" s="58"/>
      <c r="J1441" s="58"/>
      <c r="K1441" s="58"/>
      <c r="L1441" s="38"/>
      <c r="M1441" s="58"/>
      <c r="N1441" s="58"/>
      <c r="O1441" s="58"/>
      <c r="P1441" s="80"/>
      <c r="Q1441" s="80"/>
      <c r="R1441" s="62"/>
      <c r="S1441" s="62"/>
      <c r="T1441" s="62"/>
      <c r="U1441" s="62"/>
      <c r="V1441" s="37" t="str">
        <f>IFERROR(__xludf.DUMMYFUNCTION("if(not(iserror(index(split(C1441, "" ""),2))), index(split(C1441, "" ""),1),"""")"),"")</f>
        <v/>
      </c>
      <c r="W1441" s="315" t="str">
        <f>IFERROR(__xludf.DUMMYFUNCTION("if(V1441="""",C1441,if(not(iserror(index(split(C1441, "" ""),3))), index(split(C1441, "" ""),3),index(split(C1441, "" ""),2)))"),"")</f>
        <v/>
      </c>
      <c r="X1441" s="38" t="b">
        <f t="shared" si="2"/>
        <v>0</v>
      </c>
      <c r="Y1441" s="38"/>
      <c r="Z1441" s="40"/>
      <c r="AA1441" s="40"/>
      <c r="AB1441" s="38"/>
      <c r="AC1441" s="38"/>
      <c r="AD1441" s="38"/>
      <c r="AE1441" s="38"/>
      <c r="AF1441" s="38"/>
      <c r="AG1441" s="38"/>
      <c r="AH1441" s="38"/>
      <c r="AI1441" s="38"/>
      <c r="AJ1441" s="38"/>
      <c r="AK1441" s="38"/>
      <c r="AL1441" s="38"/>
      <c r="AM1441" s="38"/>
      <c r="AN1441" s="38"/>
      <c r="AO1441" s="38"/>
      <c r="AP1441" s="38"/>
      <c r="AQ1441" s="38"/>
      <c r="AR1441" s="38"/>
      <c r="AS1441" s="38"/>
      <c r="AT1441" s="38"/>
      <c r="AU1441" s="38"/>
      <c r="AV1441" s="38"/>
      <c r="AW1441" s="38"/>
      <c r="AX1441" s="38"/>
      <c r="AY1441" s="38"/>
      <c r="AZ1441" s="38"/>
      <c r="BA1441" s="38"/>
      <c r="BB1441" s="38"/>
      <c r="BC1441" s="38"/>
      <c r="BD1441" s="38"/>
      <c r="BE1441" s="38"/>
      <c r="BF1441" s="38"/>
      <c r="BG1441" s="38"/>
    </row>
    <row r="1442">
      <c r="A1442" s="58"/>
      <c r="B1442" s="341"/>
      <c r="C1442" s="60"/>
      <c r="D1442" s="60"/>
      <c r="E1442" s="58"/>
      <c r="F1442" s="58"/>
      <c r="G1442" s="58"/>
      <c r="H1442" s="33" t="str">
        <f t="shared" si="1"/>
        <v/>
      </c>
      <c r="I1442" s="58"/>
      <c r="J1442" s="58"/>
      <c r="K1442" s="58"/>
      <c r="L1442" s="38"/>
      <c r="M1442" s="58"/>
      <c r="N1442" s="58"/>
      <c r="O1442" s="58"/>
      <c r="P1442" s="80"/>
      <c r="Q1442" s="80"/>
      <c r="R1442" s="58"/>
      <c r="S1442" s="58"/>
      <c r="T1442" s="84"/>
      <c r="U1442" s="62"/>
      <c r="V1442" s="37" t="str">
        <f>IFERROR(__xludf.DUMMYFUNCTION("if(not(iserror(index(split(C1442, "" ""),2))), index(split(C1442, "" ""),1),"""")"),"")</f>
        <v/>
      </c>
      <c r="W1442" s="315" t="str">
        <f>IFERROR(__xludf.DUMMYFUNCTION("if(V1442="""",C1442,if(not(iserror(index(split(C1442, "" ""),3))), index(split(C1442, "" ""),3),index(split(C1442, "" ""),2)))"),"")</f>
        <v/>
      </c>
      <c r="X1442" s="38" t="b">
        <f t="shared" si="2"/>
        <v>0</v>
      </c>
      <c r="Y1442" s="38"/>
      <c r="Z1442" s="40"/>
      <c r="AA1442" s="40"/>
      <c r="AB1442" s="38"/>
      <c r="AC1442" s="38"/>
      <c r="AD1442" s="38"/>
      <c r="AE1442" s="38"/>
      <c r="AF1442" s="38"/>
      <c r="AG1442" s="38"/>
      <c r="AH1442" s="38"/>
      <c r="AI1442" s="38"/>
      <c r="AJ1442" s="38"/>
      <c r="AK1442" s="38"/>
      <c r="AL1442" s="38"/>
      <c r="AM1442" s="38"/>
      <c r="AN1442" s="38"/>
      <c r="AO1442" s="38"/>
      <c r="AP1442" s="38"/>
      <c r="AQ1442" s="38"/>
      <c r="AR1442" s="38"/>
      <c r="AS1442" s="38"/>
      <c r="AT1442" s="38"/>
      <c r="AU1442" s="38"/>
      <c r="AV1442" s="38"/>
      <c r="AW1442" s="38"/>
      <c r="AX1442" s="38"/>
      <c r="AY1442" s="38"/>
      <c r="AZ1442" s="38"/>
      <c r="BA1442" s="38"/>
      <c r="BB1442" s="38"/>
      <c r="BC1442" s="38"/>
      <c r="BD1442" s="38"/>
      <c r="BE1442" s="38"/>
      <c r="BF1442" s="38"/>
      <c r="BG1442" s="38"/>
    </row>
    <row r="1443">
      <c r="A1443" s="58"/>
      <c r="B1443" s="341"/>
      <c r="C1443" s="60"/>
      <c r="D1443" s="60"/>
      <c r="E1443" s="58"/>
      <c r="F1443" s="58"/>
      <c r="G1443" s="58"/>
      <c r="H1443" s="33" t="str">
        <f t="shared" si="1"/>
        <v/>
      </c>
      <c r="I1443" s="58"/>
      <c r="J1443" s="58"/>
      <c r="K1443" s="58"/>
      <c r="L1443" s="38"/>
      <c r="M1443" s="58"/>
      <c r="N1443" s="58"/>
      <c r="O1443" s="58"/>
      <c r="P1443" s="80"/>
      <c r="Q1443" s="80"/>
      <c r="R1443" s="58"/>
      <c r="S1443" s="58"/>
      <c r="T1443" s="84"/>
      <c r="U1443" s="62"/>
      <c r="V1443" s="37" t="str">
        <f>IFERROR(__xludf.DUMMYFUNCTION("if(not(iserror(index(split(C1443, "" ""),2))), index(split(C1443, "" ""),1),"""")"),"")</f>
        <v/>
      </c>
      <c r="W1443" s="315" t="str">
        <f>IFERROR(__xludf.DUMMYFUNCTION("if(V1443="""",C1443,if(not(iserror(index(split(C1443, "" ""),3))), index(split(C1443, "" ""),3),index(split(C1443, "" ""),2)))"),"")</f>
        <v/>
      </c>
      <c r="X1443" s="38" t="b">
        <f t="shared" si="2"/>
        <v>0</v>
      </c>
      <c r="Y1443" s="38"/>
      <c r="Z1443" s="40"/>
      <c r="AA1443" s="40"/>
      <c r="AB1443" s="38"/>
      <c r="AC1443" s="38"/>
      <c r="AD1443" s="38"/>
      <c r="AE1443" s="38"/>
      <c r="AF1443" s="38"/>
      <c r="AG1443" s="38"/>
      <c r="AH1443" s="38"/>
      <c r="AI1443" s="38"/>
      <c r="AJ1443" s="38"/>
      <c r="AK1443" s="38"/>
      <c r="AL1443" s="38"/>
      <c r="AM1443" s="38"/>
      <c r="AN1443" s="38"/>
      <c r="AO1443" s="38"/>
      <c r="AP1443" s="38"/>
      <c r="AQ1443" s="38"/>
      <c r="AR1443" s="38"/>
      <c r="AS1443" s="38"/>
      <c r="AT1443" s="38"/>
      <c r="AU1443" s="38"/>
      <c r="AV1443" s="38"/>
      <c r="AW1443" s="38"/>
      <c r="AX1443" s="38"/>
      <c r="AY1443" s="38"/>
      <c r="AZ1443" s="38"/>
      <c r="BA1443" s="38"/>
      <c r="BB1443" s="38"/>
      <c r="BC1443" s="38"/>
      <c r="BD1443" s="38"/>
      <c r="BE1443" s="38"/>
      <c r="BF1443" s="38"/>
      <c r="BG1443" s="38"/>
    </row>
    <row r="1444">
      <c r="A1444" s="58"/>
      <c r="B1444" s="341"/>
      <c r="C1444" s="60"/>
      <c r="D1444" s="60"/>
      <c r="E1444" s="58"/>
      <c r="F1444" s="58"/>
      <c r="G1444" s="58"/>
      <c r="H1444" s="33" t="str">
        <f t="shared" si="1"/>
        <v/>
      </c>
      <c r="I1444" s="58"/>
      <c r="J1444" s="58"/>
      <c r="K1444" s="58"/>
      <c r="L1444" s="38"/>
      <c r="M1444" s="58"/>
      <c r="N1444" s="58"/>
      <c r="O1444" s="58"/>
      <c r="P1444" s="80"/>
      <c r="Q1444" s="80"/>
      <c r="R1444" s="58"/>
      <c r="S1444" s="58"/>
      <c r="T1444" s="84"/>
      <c r="U1444" s="62"/>
      <c r="V1444" s="37" t="str">
        <f>IFERROR(__xludf.DUMMYFUNCTION("if(not(iserror(index(split(C1444, "" ""),2))), index(split(C1444, "" ""),1),"""")"),"")</f>
        <v/>
      </c>
      <c r="W1444" s="315" t="str">
        <f>IFERROR(__xludf.DUMMYFUNCTION("if(V1444="""",C1444,if(not(iserror(index(split(C1444, "" ""),3))), index(split(C1444, "" ""),3),index(split(C1444, "" ""),2)))"),"")</f>
        <v/>
      </c>
      <c r="X1444" s="38" t="b">
        <f t="shared" si="2"/>
        <v>0</v>
      </c>
      <c r="Y1444" s="38"/>
      <c r="Z1444" s="40"/>
      <c r="AA1444" s="40"/>
      <c r="AB1444" s="38"/>
      <c r="AC1444" s="38"/>
      <c r="AD1444" s="38"/>
      <c r="AE1444" s="38"/>
      <c r="AF1444" s="38"/>
      <c r="AG1444" s="38"/>
      <c r="AH1444" s="38"/>
      <c r="AI1444" s="38"/>
      <c r="AJ1444" s="38"/>
      <c r="AK1444" s="38"/>
      <c r="AL1444" s="38"/>
      <c r="AM1444" s="38"/>
      <c r="AN1444" s="38"/>
      <c r="AO1444" s="38"/>
      <c r="AP1444" s="38"/>
      <c r="AQ1444" s="38"/>
      <c r="AR1444" s="38"/>
      <c r="AS1444" s="38"/>
      <c r="AT1444" s="38"/>
      <c r="AU1444" s="38"/>
      <c r="AV1444" s="38"/>
      <c r="AW1444" s="38"/>
      <c r="AX1444" s="38"/>
      <c r="AY1444" s="38"/>
      <c r="AZ1444" s="38"/>
      <c r="BA1444" s="38"/>
      <c r="BB1444" s="38"/>
      <c r="BC1444" s="38"/>
      <c r="BD1444" s="38"/>
      <c r="BE1444" s="38"/>
      <c r="BF1444" s="38"/>
      <c r="BG1444" s="38"/>
    </row>
    <row r="1445">
      <c r="A1445" s="58"/>
      <c r="B1445" s="341"/>
      <c r="C1445" s="60"/>
      <c r="D1445" s="60"/>
      <c r="E1445" s="58"/>
      <c r="F1445" s="58"/>
      <c r="G1445" s="58"/>
      <c r="H1445" s="33" t="str">
        <f t="shared" si="1"/>
        <v/>
      </c>
      <c r="I1445" s="58"/>
      <c r="J1445" s="58"/>
      <c r="K1445" s="58"/>
      <c r="L1445" s="38"/>
      <c r="M1445" s="58"/>
      <c r="N1445" s="58"/>
      <c r="O1445" s="58"/>
      <c r="P1445" s="80"/>
      <c r="Q1445" s="77"/>
      <c r="R1445" s="58"/>
      <c r="S1445" s="58"/>
      <c r="T1445" s="84"/>
      <c r="U1445" s="62"/>
      <c r="V1445" s="37" t="str">
        <f>IFERROR(__xludf.DUMMYFUNCTION("if(not(iserror(index(split(C1445, "" ""),2))), index(split(C1445, "" ""),1),"""")"),"")</f>
        <v/>
      </c>
      <c r="W1445" s="315" t="str">
        <f>IFERROR(__xludf.DUMMYFUNCTION("if(V1445="""",C1445,if(not(iserror(index(split(C1445, "" ""),3))), index(split(C1445, "" ""),3),index(split(C1445, "" ""),2)))"),"")</f>
        <v/>
      </c>
      <c r="X1445" s="38" t="b">
        <f t="shared" si="2"/>
        <v>0</v>
      </c>
      <c r="Y1445" s="38"/>
      <c r="Z1445" s="40"/>
      <c r="AA1445" s="40"/>
      <c r="AB1445" s="38"/>
      <c r="AC1445" s="38"/>
      <c r="AD1445" s="38"/>
      <c r="AE1445" s="38"/>
      <c r="AF1445" s="38"/>
      <c r="AG1445" s="38"/>
      <c r="AH1445" s="38"/>
      <c r="AI1445" s="38"/>
      <c r="AJ1445" s="38"/>
      <c r="AK1445" s="38"/>
      <c r="AL1445" s="38"/>
      <c r="AM1445" s="38"/>
      <c r="AN1445" s="38"/>
      <c r="AO1445" s="38"/>
      <c r="AP1445" s="38"/>
      <c r="AQ1445" s="38"/>
      <c r="AR1445" s="38"/>
      <c r="AS1445" s="38"/>
      <c r="AT1445" s="38"/>
      <c r="AU1445" s="38"/>
      <c r="AV1445" s="38"/>
      <c r="AW1445" s="38"/>
      <c r="AX1445" s="38"/>
      <c r="AY1445" s="38"/>
      <c r="AZ1445" s="38"/>
      <c r="BA1445" s="38"/>
      <c r="BB1445" s="38"/>
      <c r="BC1445" s="38"/>
      <c r="BD1445" s="38"/>
      <c r="BE1445" s="38"/>
      <c r="BF1445" s="38"/>
      <c r="BG1445" s="38"/>
    </row>
    <row r="1446">
      <c r="A1446" s="58"/>
      <c r="B1446" s="341"/>
      <c r="C1446" s="60"/>
      <c r="D1446" s="60"/>
      <c r="E1446" s="58"/>
      <c r="F1446" s="58"/>
      <c r="G1446" s="58"/>
      <c r="H1446" s="33" t="str">
        <f t="shared" si="1"/>
        <v/>
      </c>
      <c r="I1446" s="58"/>
      <c r="J1446" s="58"/>
      <c r="K1446" s="58"/>
      <c r="L1446" s="38"/>
      <c r="M1446" s="58"/>
      <c r="N1446" s="58"/>
      <c r="O1446" s="58"/>
      <c r="P1446" s="80"/>
      <c r="Q1446" s="77"/>
      <c r="R1446" s="62"/>
      <c r="S1446" s="62"/>
      <c r="T1446" s="62"/>
      <c r="U1446" s="62"/>
      <c r="V1446" s="37" t="str">
        <f>IFERROR(__xludf.DUMMYFUNCTION("if(not(iserror(index(split(C1446, "" ""),2))), index(split(C1446, "" ""),1),"""")"),"")</f>
        <v/>
      </c>
      <c r="W1446" s="315" t="str">
        <f>IFERROR(__xludf.DUMMYFUNCTION("if(V1446="""",C1446,if(not(iserror(index(split(C1446, "" ""),3))), index(split(C1446, "" ""),3),index(split(C1446, "" ""),2)))"),"")</f>
        <v/>
      </c>
      <c r="X1446" s="38" t="b">
        <f t="shared" si="2"/>
        <v>0</v>
      </c>
      <c r="Y1446" s="38"/>
      <c r="Z1446" s="40"/>
      <c r="AA1446" s="40"/>
      <c r="AB1446" s="38"/>
      <c r="AC1446" s="38"/>
      <c r="AD1446" s="38"/>
      <c r="AE1446" s="38"/>
      <c r="AF1446" s="38"/>
      <c r="AG1446" s="38"/>
      <c r="AH1446" s="38"/>
      <c r="AI1446" s="38"/>
      <c r="AJ1446" s="38"/>
      <c r="AK1446" s="38"/>
      <c r="AL1446" s="38"/>
      <c r="AM1446" s="38"/>
      <c r="AN1446" s="38"/>
      <c r="AO1446" s="38"/>
      <c r="AP1446" s="38"/>
      <c r="AQ1446" s="38"/>
      <c r="AR1446" s="38"/>
      <c r="AS1446" s="38"/>
      <c r="AT1446" s="38"/>
      <c r="AU1446" s="38"/>
      <c r="AV1446" s="38"/>
      <c r="AW1446" s="38"/>
      <c r="AX1446" s="38"/>
      <c r="AY1446" s="38"/>
      <c r="AZ1446" s="38"/>
      <c r="BA1446" s="38"/>
      <c r="BB1446" s="38"/>
      <c r="BC1446" s="38"/>
      <c r="BD1446" s="38"/>
      <c r="BE1446" s="38"/>
      <c r="BF1446" s="38"/>
      <c r="BG1446" s="38"/>
    </row>
    <row r="1447">
      <c r="A1447" s="58"/>
      <c r="B1447" s="405"/>
      <c r="C1447" s="60"/>
      <c r="D1447" s="60"/>
      <c r="E1447" s="58"/>
      <c r="F1447" s="58"/>
      <c r="G1447" s="58"/>
      <c r="H1447" s="33" t="str">
        <f t="shared" si="1"/>
        <v/>
      </c>
      <c r="I1447" s="58"/>
      <c r="J1447" s="58"/>
      <c r="K1447" s="58"/>
      <c r="L1447" s="38"/>
      <c r="M1447" s="58"/>
      <c r="N1447" s="58"/>
      <c r="O1447" s="58"/>
      <c r="P1447" s="80"/>
      <c r="Q1447" s="77"/>
      <c r="R1447" s="62"/>
      <c r="S1447" s="62"/>
      <c r="T1447" s="62"/>
      <c r="U1447" s="62"/>
      <c r="V1447" s="37" t="str">
        <f>IFERROR(__xludf.DUMMYFUNCTION("if(not(iserror(index(split(C1447, "" ""),2))), index(split(C1447, "" ""),1),"""")"),"")</f>
        <v/>
      </c>
      <c r="W1447" s="315" t="str">
        <f>IFERROR(__xludf.DUMMYFUNCTION("if(V1447="""",C1447,if(not(iserror(index(split(C1447, "" ""),3))), index(split(C1447, "" ""),3),index(split(C1447, "" ""),2)))"),"")</f>
        <v/>
      </c>
      <c r="X1447" s="38" t="b">
        <f t="shared" si="2"/>
        <v>0</v>
      </c>
      <c r="Y1447" s="38"/>
      <c r="Z1447" s="40"/>
      <c r="AA1447" s="40"/>
      <c r="AB1447" s="38"/>
      <c r="AC1447" s="38"/>
      <c r="AD1447" s="38"/>
      <c r="AE1447" s="38"/>
      <c r="AF1447" s="38"/>
      <c r="AG1447" s="38"/>
      <c r="AH1447" s="38"/>
      <c r="AI1447" s="38"/>
      <c r="AJ1447" s="38"/>
      <c r="AK1447" s="38"/>
      <c r="AL1447" s="38"/>
      <c r="AM1447" s="38"/>
      <c r="AN1447" s="38"/>
      <c r="AO1447" s="38"/>
      <c r="AP1447" s="38"/>
      <c r="AQ1447" s="38"/>
      <c r="AR1447" s="38"/>
      <c r="AS1447" s="38"/>
      <c r="AT1447" s="38"/>
      <c r="AU1447" s="38"/>
      <c r="AV1447" s="38"/>
      <c r="AW1447" s="38"/>
      <c r="AX1447" s="38"/>
      <c r="AY1447" s="38"/>
      <c r="AZ1447" s="38"/>
      <c r="BA1447" s="38"/>
      <c r="BB1447" s="38"/>
      <c r="BC1447" s="38"/>
      <c r="BD1447" s="38"/>
      <c r="BE1447" s="38"/>
      <c r="BF1447" s="38"/>
      <c r="BG1447" s="38"/>
    </row>
    <row r="1448">
      <c r="A1448" s="58"/>
      <c r="B1448" s="341"/>
      <c r="C1448" s="60"/>
      <c r="D1448" s="60"/>
      <c r="E1448" s="58"/>
      <c r="F1448" s="58"/>
      <c r="G1448" s="58"/>
      <c r="H1448" s="33" t="str">
        <f t="shared" si="1"/>
        <v/>
      </c>
      <c r="I1448" s="58"/>
      <c r="J1448" s="58"/>
      <c r="K1448" s="58"/>
      <c r="L1448" s="38"/>
      <c r="M1448" s="58"/>
      <c r="N1448" s="58"/>
      <c r="O1448" s="58"/>
      <c r="P1448" s="80"/>
      <c r="Q1448" s="77"/>
      <c r="R1448" s="62"/>
      <c r="S1448" s="62"/>
      <c r="T1448" s="62"/>
      <c r="U1448" s="62"/>
      <c r="V1448" s="37" t="str">
        <f>IFERROR(__xludf.DUMMYFUNCTION("if(not(iserror(index(split(C1448, "" ""),2))), index(split(C1448, "" ""),1),"""")"),"")</f>
        <v/>
      </c>
      <c r="W1448" s="315" t="str">
        <f>IFERROR(__xludf.DUMMYFUNCTION("if(V1448="""",C1448,if(not(iserror(index(split(C1448, "" ""),3))), index(split(C1448, "" ""),3),index(split(C1448, "" ""),2)))"),"")</f>
        <v/>
      </c>
      <c r="X1448" s="38" t="b">
        <f t="shared" si="2"/>
        <v>0</v>
      </c>
      <c r="Y1448" s="38"/>
      <c r="Z1448" s="40"/>
      <c r="AA1448" s="40"/>
      <c r="AB1448" s="38"/>
      <c r="AC1448" s="38"/>
      <c r="AD1448" s="38"/>
      <c r="AE1448" s="38"/>
      <c r="AF1448" s="38"/>
      <c r="AG1448" s="38"/>
      <c r="AH1448" s="38"/>
      <c r="AI1448" s="38"/>
      <c r="AJ1448" s="38"/>
      <c r="AK1448" s="38"/>
      <c r="AL1448" s="38"/>
      <c r="AM1448" s="38"/>
      <c r="AN1448" s="38"/>
      <c r="AO1448" s="38"/>
      <c r="AP1448" s="38"/>
      <c r="AQ1448" s="38"/>
      <c r="AR1448" s="38"/>
      <c r="AS1448" s="38"/>
      <c r="AT1448" s="38"/>
      <c r="AU1448" s="38"/>
      <c r="AV1448" s="38"/>
      <c r="AW1448" s="38"/>
      <c r="AX1448" s="38"/>
      <c r="AY1448" s="38"/>
      <c r="AZ1448" s="38"/>
      <c r="BA1448" s="38"/>
      <c r="BB1448" s="38"/>
      <c r="BC1448" s="38"/>
      <c r="BD1448" s="38"/>
      <c r="BE1448" s="38"/>
      <c r="BF1448" s="38"/>
      <c r="BG1448" s="38"/>
    </row>
    <row r="1449">
      <c r="A1449" s="58"/>
      <c r="B1449" s="341"/>
      <c r="C1449" s="60"/>
      <c r="D1449" s="60"/>
      <c r="E1449" s="58"/>
      <c r="F1449" s="58"/>
      <c r="G1449" s="58"/>
      <c r="H1449" s="33" t="str">
        <f t="shared" si="1"/>
        <v/>
      </c>
      <c r="I1449" s="58"/>
      <c r="J1449" s="58"/>
      <c r="K1449" s="58"/>
      <c r="L1449" s="38"/>
      <c r="M1449" s="58"/>
      <c r="N1449" s="58"/>
      <c r="O1449" s="58"/>
      <c r="P1449" s="80"/>
      <c r="Q1449" s="77"/>
      <c r="R1449" s="62"/>
      <c r="S1449" s="62"/>
      <c r="T1449" s="62"/>
      <c r="U1449" s="62"/>
      <c r="V1449" s="37" t="str">
        <f>IFERROR(__xludf.DUMMYFUNCTION("if(not(iserror(index(split(C1449, "" ""),2))), index(split(C1449, "" ""),1),"""")"),"")</f>
        <v/>
      </c>
      <c r="W1449" s="315" t="str">
        <f>IFERROR(__xludf.DUMMYFUNCTION("if(V1449="""",C1449,if(not(iserror(index(split(C1449, "" ""),3))), index(split(C1449, "" ""),3),index(split(C1449, "" ""),2)))"),"")</f>
        <v/>
      </c>
      <c r="X1449" s="38" t="b">
        <f t="shared" si="2"/>
        <v>0</v>
      </c>
      <c r="Y1449" s="38"/>
      <c r="Z1449" s="40"/>
      <c r="AA1449" s="40"/>
      <c r="AB1449" s="38"/>
      <c r="AC1449" s="38"/>
      <c r="AD1449" s="38"/>
      <c r="AE1449" s="38"/>
      <c r="AF1449" s="38"/>
      <c r="AG1449" s="38"/>
      <c r="AH1449" s="38"/>
      <c r="AI1449" s="38"/>
      <c r="AJ1449" s="38"/>
      <c r="AK1449" s="38"/>
      <c r="AL1449" s="38"/>
      <c r="AM1449" s="38"/>
      <c r="AN1449" s="38"/>
      <c r="AO1449" s="38"/>
      <c r="AP1449" s="38"/>
      <c r="AQ1449" s="38"/>
      <c r="AR1449" s="38"/>
      <c r="AS1449" s="38"/>
      <c r="AT1449" s="38"/>
      <c r="AU1449" s="38"/>
      <c r="AV1449" s="38"/>
      <c r="AW1449" s="38"/>
      <c r="AX1449" s="38"/>
      <c r="AY1449" s="38"/>
      <c r="AZ1449" s="38"/>
      <c r="BA1449" s="38"/>
      <c r="BB1449" s="38"/>
      <c r="BC1449" s="38"/>
      <c r="BD1449" s="38"/>
      <c r="BE1449" s="38"/>
      <c r="BF1449" s="38"/>
      <c r="BG1449" s="38"/>
    </row>
    <row r="1450">
      <c r="A1450" s="58"/>
      <c r="B1450" s="341"/>
      <c r="C1450" s="60"/>
      <c r="D1450" s="60"/>
      <c r="E1450" s="58"/>
      <c r="F1450" s="58"/>
      <c r="G1450" s="58"/>
      <c r="H1450" s="33" t="str">
        <f t="shared" si="1"/>
        <v/>
      </c>
      <c r="I1450" s="58"/>
      <c r="J1450" s="58"/>
      <c r="K1450" s="58"/>
      <c r="L1450" s="38"/>
      <c r="M1450" s="58"/>
      <c r="N1450" s="58"/>
      <c r="O1450" s="58"/>
      <c r="P1450" s="80"/>
      <c r="Q1450" s="77"/>
      <c r="R1450" s="62"/>
      <c r="S1450" s="62"/>
      <c r="T1450" s="62"/>
      <c r="U1450" s="62"/>
      <c r="V1450" s="37" t="str">
        <f>IFERROR(__xludf.DUMMYFUNCTION("if(not(iserror(index(split(C1450, "" ""),2))), index(split(C1450, "" ""),1),"""")"),"")</f>
        <v/>
      </c>
      <c r="W1450" s="315" t="str">
        <f>IFERROR(__xludf.DUMMYFUNCTION("if(V1450="""",C1450,if(not(iserror(index(split(C1450, "" ""),3))), index(split(C1450, "" ""),3),index(split(C1450, "" ""),2)))"),"")</f>
        <v/>
      </c>
      <c r="X1450" s="38" t="b">
        <f t="shared" si="2"/>
        <v>0</v>
      </c>
      <c r="Y1450" s="38"/>
      <c r="Z1450" s="40"/>
      <c r="AA1450" s="40"/>
      <c r="AB1450" s="38"/>
      <c r="AC1450" s="38"/>
      <c r="AD1450" s="38"/>
      <c r="AE1450" s="38"/>
      <c r="AF1450" s="38"/>
      <c r="AG1450" s="38"/>
      <c r="AH1450" s="38"/>
      <c r="AI1450" s="38"/>
      <c r="AJ1450" s="38"/>
      <c r="AK1450" s="38"/>
      <c r="AL1450" s="38"/>
      <c r="AM1450" s="38"/>
      <c r="AN1450" s="38"/>
      <c r="AO1450" s="38"/>
      <c r="AP1450" s="38"/>
      <c r="AQ1450" s="38"/>
      <c r="AR1450" s="38"/>
      <c r="AS1450" s="38"/>
      <c r="AT1450" s="38"/>
      <c r="AU1450" s="38"/>
      <c r="AV1450" s="38"/>
      <c r="AW1450" s="38"/>
      <c r="AX1450" s="38"/>
      <c r="AY1450" s="38"/>
      <c r="AZ1450" s="38"/>
      <c r="BA1450" s="38"/>
      <c r="BB1450" s="38"/>
      <c r="BC1450" s="38"/>
      <c r="BD1450" s="38"/>
      <c r="BE1450" s="38"/>
      <c r="BF1450" s="38"/>
      <c r="BG1450" s="38"/>
    </row>
    <row r="1451">
      <c r="A1451" s="58"/>
      <c r="B1451" s="341"/>
      <c r="C1451" s="60"/>
      <c r="D1451" s="60"/>
      <c r="E1451" s="58"/>
      <c r="F1451" s="58"/>
      <c r="G1451" s="58"/>
      <c r="H1451" s="33" t="str">
        <f t="shared" si="1"/>
        <v/>
      </c>
      <c r="I1451" s="58"/>
      <c r="J1451" s="58"/>
      <c r="K1451" s="58"/>
      <c r="L1451" s="38"/>
      <c r="M1451" s="58"/>
      <c r="N1451" s="58"/>
      <c r="O1451" s="58"/>
      <c r="P1451" s="80"/>
      <c r="Q1451" s="77"/>
      <c r="R1451" s="62"/>
      <c r="S1451" s="62"/>
      <c r="T1451" s="62"/>
      <c r="U1451" s="62"/>
      <c r="V1451" s="37" t="str">
        <f>IFERROR(__xludf.DUMMYFUNCTION("if(not(iserror(index(split(C1451, "" ""),2))), index(split(C1451, "" ""),1),"""")"),"")</f>
        <v/>
      </c>
      <c r="W1451" s="315" t="str">
        <f>IFERROR(__xludf.DUMMYFUNCTION("if(V1451="""",C1451,if(not(iserror(index(split(C1451, "" ""),3))), index(split(C1451, "" ""),3),index(split(C1451, "" ""),2)))"),"")</f>
        <v/>
      </c>
      <c r="X1451" s="38" t="b">
        <f t="shared" si="2"/>
        <v>0</v>
      </c>
      <c r="Y1451" s="38"/>
      <c r="Z1451" s="40"/>
      <c r="AA1451" s="40"/>
      <c r="AB1451" s="38"/>
      <c r="AC1451" s="38"/>
      <c r="AD1451" s="38"/>
      <c r="AE1451" s="38"/>
      <c r="AF1451" s="38"/>
      <c r="AG1451" s="38"/>
      <c r="AH1451" s="38"/>
      <c r="AI1451" s="38"/>
      <c r="AJ1451" s="38"/>
      <c r="AK1451" s="38"/>
      <c r="AL1451" s="38"/>
      <c r="AM1451" s="38"/>
      <c r="AN1451" s="38"/>
      <c r="AO1451" s="38"/>
      <c r="AP1451" s="38"/>
      <c r="AQ1451" s="38"/>
      <c r="AR1451" s="38"/>
      <c r="AS1451" s="38"/>
      <c r="AT1451" s="38"/>
      <c r="AU1451" s="38"/>
      <c r="AV1451" s="38"/>
      <c r="AW1451" s="38"/>
      <c r="AX1451" s="38"/>
      <c r="AY1451" s="38"/>
      <c r="AZ1451" s="38"/>
      <c r="BA1451" s="38"/>
      <c r="BB1451" s="38"/>
      <c r="BC1451" s="38"/>
      <c r="BD1451" s="38"/>
      <c r="BE1451" s="38"/>
      <c r="BF1451" s="38"/>
      <c r="BG1451" s="38"/>
    </row>
    <row r="1452">
      <c r="A1452" s="58"/>
      <c r="B1452" s="341"/>
      <c r="C1452" s="60"/>
      <c r="D1452" s="60"/>
      <c r="E1452" s="58"/>
      <c r="F1452" s="58"/>
      <c r="G1452" s="58"/>
      <c r="H1452" s="33" t="str">
        <f t="shared" si="1"/>
        <v/>
      </c>
      <c r="I1452" s="58"/>
      <c r="J1452" s="58"/>
      <c r="K1452" s="58"/>
      <c r="L1452" s="38"/>
      <c r="M1452" s="58"/>
      <c r="N1452" s="58"/>
      <c r="O1452" s="58"/>
      <c r="P1452" s="80"/>
      <c r="Q1452" s="77"/>
      <c r="R1452" s="62"/>
      <c r="S1452" s="62"/>
      <c r="T1452" s="62"/>
      <c r="U1452" s="62"/>
      <c r="V1452" s="37" t="str">
        <f>IFERROR(__xludf.DUMMYFUNCTION("if(not(iserror(index(split(C1452, "" ""),2))), index(split(C1452, "" ""),1),"""")"),"")</f>
        <v/>
      </c>
      <c r="W1452" s="315" t="str">
        <f>IFERROR(__xludf.DUMMYFUNCTION("if(V1452="""",C1452,if(not(iserror(index(split(C1452, "" ""),3))), index(split(C1452, "" ""),3),index(split(C1452, "" ""),2)))"),"")</f>
        <v/>
      </c>
      <c r="X1452" s="38" t="b">
        <f t="shared" si="2"/>
        <v>0</v>
      </c>
      <c r="Y1452" s="38"/>
      <c r="Z1452" s="40"/>
      <c r="AA1452" s="40"/>
      <c r="AB1452" s="38"/>
      <c r="AC1452" s="38"/>
      <c r="AD1452" s="38"/>
      <c r="AE1452" s="38"/>
      <c r="AF1452" s="38"/>
      <c r="AG1452" s="38"/>
      <c r="AH1452" s="38"/>
      <c r="AI1452" s="38"/>
      <c r="AJ1452" s="38"/>
      <c r="AK1452" s="38"/>
      <c r="AL1452" s="38"/>
      <c r="AM1452" s="38"/>
      <c r="AN1452" s="38"/>
      <c r="AO1452" s="38"/>
      <c r="AP1452" s="38"/>
      <c r="AQ1452" s="38"/>
      <c r="AR1452" s="38"/>
      <c r="AS1452" s="38"/>
      <c r="AT1452" s="38"/>
      <c r="AU1452" s="38"/>
      <c r="AV1452" s="38"/>
      <c r="AW1452" s="38"/>
      <c r="AX1452" s="38"/>
      <c r="AY1452" s="38"/>
      <c r="AZ1452" s="38"/>
      <c r="BA1452" s="38"/>
      <c r="BB1452" s="38"/>
      <c r="BC1452" s="38"/>
      <c r="BD1452" s="38"/>
      <c r="BE1452" s="38"/>
      <c r="BF1452" s="38"/>
      <c r="BG1452" s="38"/>
    </row>
    <row r="1453">
      <c r="A1453" s="58"/>
      <c r="B1453" s="341"/>
      <c r="C1453" s="60"/>
      <c r="D1453" s="60"/>
      <c r="E1453" s="58"/>
      <c r="F1453" s="58"/>
      <c r="G1453" s="58"/>
      <c r="H1453" s="33" t="str">
        <f t="shared" si="1"/>
        <v/>
      </c>
      <c r="I1453" s="58"/>
      <c r="J1453" s="58"/>
      <c r="K1453" s="58"/>
      <c r="L1453" s="38"/>
      <c r="M1453" s="58"/>
      <c r="N1453" s="58"/>
      <c r="O1453" s="58"/>
      <c r="P1453" s="80"/>
      <c r="Q1453" s="80"/>
      <c r="R1453" s="58"/>
      <c r="S1453" s="58"/>
      <c r="T1453" s="84"/>
      <c r="U1453" s="62"/>
      <c r="V1453" s="37" t="str">
        <f>IFERROR(__xludf.DUMMYFUNCTION("if(not(iserror(index(split(C1453, "" ""),2))), index(split(C1453, "" ""),1),"""")"),"")</f>
        <v/>
      </c>
      <c r="W1453" s="315" t="str">
        <f>IFERROR(__xludf.DUMMYFUNCTION("if(V1453="""",C1453,if(not(iserror(index(split(C1453, "" ""),3))), index(split(C1453, "" ""),3),index(split(C1453, "" ""),2)))"),"")</f>
        <v/>
      </c>
      <c r="X1453" s="38" t="b">
        <f t="shared" si="2"/>
        <v>0</v>
      </c>
      <c r="Y1453" s="38"/>
      <c r="Z1453" s="40"/>
      <c r="AA1453" s="40"/>
      <c r="AB1453" s="38"/>
      <c r="AC1453" s="38"/>
      <c r="AD1453" s="38"/>
      <c r="AE1453" s="38"/>
      <c r="AF1453" s="38"/>
      <c r="AG1453" s="38"/>
      <c r="AH1453" s="38"/>
      <c r="AI1453" s="38"/>
      <c r="AJ1453" s="38"/>
      <c r="AK1453" s="38"/>
      <c r="AL1453" s="38"/>
      <c r="AM1453" s="38"/>
      <c r="AN1453" s="38"/>
      <c r="AO1453" s="38"/>
      <c r="AP1453" s="38"/>
      <c r="AQ1453" s="38"/>
      <c r="AR1453" s="38"/>
      <c r="AS1453" s="38"/>
      <c r="AT1453" s="38"/>
      <c r="AU1453" s="38"/>
      <c r="AV1453" s="38"/>
      <c r="AW1453" s="38"/>
      <c r="AX1453" s="38"/>
      <c r="AY1453" s="38"/>
      <c r="AZ1453" s="38"/>
      <c r="BA1453" s="38"/>
      <c r="BB1453" s="38"/>
      <c r="BC1453" s="38"/>
      <c r="BD1453" s="38"/>
      <c r="BE1453" s="38"/>
      <c r="BF1453" s="38"/>
      <c r="BG1453" s="38"/>
    </row>
    <row r="1454">
      <c r="A1454" s="58"/>
      <c r="B1454" s="341"/>
      <c r="C1454" s="60"/>
      <c r="D1454" s="60"/>
      <c r="E1454" s="58"/>
      <c r="F1454" s="58"/>
      <c r="G1454" s="58"/>
      <c r="H1454" s="33" t="str">
        <f t="shared" si="1"/>
        <v/>
      </c>
      <c r="I1454" s="58"/>
      <c r="J1454" s="58"/>
      <c r="K1454" s="58"/>
      <c r="L1454" s="38"/>
      <c r="M1454" s="58"/>
      <c r="N1454" s="58"/>
      <c r="O1454" s="58"/>
      <c r="P1454" s="80"/>
      <c r="Q1454" s="80"/>
      <c r="R1454" s="58"/>
      <c r="S1454" s="58"/>
      <c r="T1454" s="84"/>
      <c r="U1454" s="62"/>
      <c r="V1454" s="37" t="str">
        <f>IFERROR(__xludf.DUMMYFUNCTION("if(not(iserror(index(split(C1454, "" ""),2))), index(split(C1454, "" ""),1),"""")"),"")</f>
        <v/>
      </c>
      <c r="W1454" s="315" t="str">
        <f>IFERROR(__xludf.DUMMYFUNCTION("if(V1454="""",C1454,if(not(iserror(index(split(C1454, "" ""),3))), index(split(C1454, "" ""),3),index(split(C1454, "" ""),2)))"),"")</f>
        <v/>
      </c>
      <c r="X1454" s="38" t="b">
        <f t="shared" si="2"/>
        <v>0</v>
      </c>
      <c r="Y1454" s="38"/>
      <c r="Z1454" s="40"/>
      <c r="AA1454" s="40"/>
      <c r="AB1454" s="38"/>
      <c r="AC1454" s="38"/>
      <c r="AD1454" s="38"/>
      <c r="AE1454" s="38"/>
      <c r="AF1454" s="38"/>
      <c r="AG1454" s="38"/>
      <c r="AH1454" s="38"/>
      <c r="AI1454" s="38"/>
      <c r="AJ1454" s="38"/>
      <c r="AK1454" s="38"/>
      <c r="AL1454" s="38"/>
      <c r="AM1454" s="38"/>
      <c r="AN1454" s="38"/>
      <c r="AO1454" s="38"/>
      <c r="AP1454" s="38"/>
      <c r="AQ1454" s="38"/>
      <c r="AR1454" s="38"/>
      <c r="AS1454" s="38"/>
      <c r="AT1454" s="38"/>
      <c r="AU1454" s="38"/>
      <c r="AV1454" s="38"/>
      <c r="AW1454" s="38"/>
      <c r="AX1454" s="38"/>
      <c r="AY1454" s="38"/>
      <c r="AZ1454" s="38"/>
      <c r="BA1454" s="38"/>
      <c r="BB1454" s="38"/>
      <c r="BC1454" s="38"/>
      <c r="BD1454" s="38"/>
      <c r="BE1454" s="38"/>
      <c r="BF1454" s="38"/>
      <c r="BG1454" s="38"/>
    </row>
    <row r="1455">
      <c r="A1455" s="58"/>
      <c r="B1455" s="341"/>
      <c r="C1455" s="60"/>
      <c r="D1455" s="60"/>
      <c r="E1455" s="58"/>
      <c r="F1455" s="58"/>
      <c r="G1455" s="58"/>
      <c r="H1455" s="33" t="str">
        <f t="shared" si="1"/>
        <v/>
      </c>
      <c r="I1455" s="58"/>
      <c r="J1455" s="58"/>
      <c r="K1455" s="58"/>
      <c r="L1455" s="38"/>
      <c r="M1455" s="58"/>
      <c r="N1455" s="58"/>
      <c r="O1455" s="58"/>
      <c r="P1455" s="80"/>
      <c r="Q1455" s="80"/>
      <c r="R1455" s="58"/>
      <c r="S1455" s="58"/>
      <c r="T1455" s="84"/>
      <c r="U1455" s="62"/>
      <c r="V1455" s="37" t="str">
        <f>IFERROR(__xludf.DUMMYFUNCTION("if(not(iserror(index(split(C1455, "" ""),2))), index(split(C1455, "" ""),1),"""")"),"")</f>
        <v/>
      </c>
      <c r="W1455" s="315" t="str">
        <f>IFERROR(__xludf.DUMMYFUNCTION("if(V1455="""",C1455,if(not(iserror(index(split(C1455, "" ""),3))), index(split(C1455, "" ""),3),index(split(C1455, "" ""),2)))"),"")</f>
        <v/>
      </c>
      <c r="X1455" s="38" t="b">
        <f t="shared" si="2"/>
        <v>0</v>
      </c>
      <c r="Y1455" s="38"/>
      <c r="Z1455" s="40"/>
      <c r="AA1455" s="40"/>
      <c r="AB1455" s="38"/>
      <c r="AC1455" s="38"/>
      <c r="AD1455" s="38"/>
      <c r="AE1455" s="38"/>
      <c r="AF1455" s="38"/>
      <c r="AG1455" s="38"/>
      <c r="AH1455" s="38"/>
      <c r="AI1455" s="38"/>
      <c r="AJ1455" s="38"/>
      <c r="AK1455" s="38"/>
      <c r="AL1455" s="38"/>
      <c r="AM1455" s="38"/>
      <c r="AN1455" s="38"/>
      <c r="AO1455" s="38"/>
      <c r="AP1455" s="38"/>
      <c r="AQ1455" s="38"/>
      <c r="AR1455" s="38"/>
      <c r="AS1455" s="38"/>
      <c r="AT1455" s="38"/>
      <c r="AU1455" s="38"/>
      <c r="AV1455" s="38"/>
      <c r="AW1455" s="38"/>
      <c r="AX1455" s="38"/>
      <c r="AY1455" s="38"/>
      <c r="AZ1455" s="38"/>
      <c r="BA1455" s="38"/>
      <c r="BB1455" s="38"/>
      <c r="BC1455" s="38"/>
      <c r="BD1455" s="38"/>
      <c r="BE1455" s="38"/>
      <c r="BF1455" s="38"/>
      <c r="BG1455" s="38"/>
    </row>
    <row r="1456">
      <c r="A1456" s="58"/>
      <c r="B1456" s="341"/>
      <c r="C1456" s="60"/>
      <c r="D1456" s="60"/>
      <c r="E1456" s="58"/>
      <c r="F1456" s="58"/>
      <c r="G1456" s="58"/>
      <c r="H1456" s="33" t="str">
        <f t="shared" si="1"/>
        <v/>
      </c>
      <c r="I1456" s="58"/>
      <c r="J1456" s="58"/>
      <c r="K1456" s="58"/>
      <c r="L1456" s="38"/>
      <c r="M1456" s="58"/>
      <c r="N1456" s="58"/>
      <c r="O1456" s="58"/>
      <c r="P1456" s="80"/>
      <c r="Q1456" s="80"/>
      <c r="R1456" s="58"/>
      <c r="S1456" s="58"/>
      <c r="T1456" s="84"/>
      <c r="U1456" s="62"/>
      <c r="V1456" s="37" t="str">
        <f>IFERROR(__xludf.DUMMYFUNCTION("if(not(iserror(index(split(C1456, "" ""),2))), index(split(C1456, "" ""),1),"""")"),"")</f>
        <v/>
      </c>
      <c r="W1456" s="315" t="str">
        <f>IFERROR(__xludf.DUMMYFUNCTION("if(V1456="""",C1456,if(not(iserror(index(split(C1456, "" ""),3))), index(split(C1456, "" ""),3),index(split(C1456, "" ""),2)))"),"")</f>
        <v/>
      </c>
      <c r="X1456" s="38" t="b">
        <f t="shared" si="2"/>
        <v>0</v>
      </c>
      <c r="Y1456" s="38"/>
      <c r="Z1456" s="40"/>
      <c r="AA1456" s="40"/>
      <c r="AB1456" s="38"/>
      <c r="AC1456" s="38"/>
      <c r="AD1456" s="38"/>
      <c r="AE1456" s="38"/>
      <c r="AF1456" s="38"/>
      <c r="AG1456" s="38"/>
      <c r="AH1456" s="38"/>
      <c r="AI1456" s="38"/>
      <c r="AJ1456" s="38"/>
      <c r="AK1456" s="38"/>
      <c r="AL1456" s="38"/>
      <c r="AM1456" s="38"/>
      <c r="AN1456" s="38"/>
      <c r="AO1456" s="38"/>
      <c r="AP1456" s="38"/>
      <c r="AQ1456" s="38"/>
      <c r="AR1456" s="38"/>
      <c r="AS1456" s="38"/>
      <c r="AT1456" s="38"/>
      <c r="AU1456" s="38"/>
      <c r="AV1456" s="38"/>
      <c r="AW1456" s="38"/>
      <c r="AX1456" s="38"/>
      <c r="AY1456" s="38"/>
      <c r="AZ1456" s="38"/>
      <c r="BA1456" s="38"/>
      <c r="BB1456" s="38"/>
      <c r="BC1456" s="38"/>
      <c r="BD1456" s="38"/>
      <c r="BE1456" s="38"/>
      <c r="BF1456" s="38"/>
      <c r="BG1456" s="38"/>
    </row>
    <row r="1457">
      <c r="A1457" s="58"/>
      <c r="B1457" s="341"/>
      <c r="C1457" s="60"/>
      <c r="D1457" s="60"/>
      <c r="E1457" s="58"/>
      <c r="F1457" s="58"/>
      <c r="G1457" s="58"/>
      <c r="H1457" s="33" t="str">
        <f t="shared" si="1"/>
        <v/>
      </c>
      <c r="I1457" s="58"/>
      <c r="J1457" s="58"/>
      <c r="K1457" s="58"/>
      <c r="L1457" s="38"/>
      <c r="M1457" s="58"/>
      <c r="N1457" s="58"/>
      <c r="O1457" s="58"/>
      <c r="P1457" s="80"/>
      <c r="Q1457" s="80"/>
      <c r="R1457" s="58"/>
      <c r="S1457" s="58"/>
      <c r="T1457" s="84"/>
      <c r="U1457" s="62"/>
      <c r="V1457" s="37" t="str">
        <f>IFERROR(__xludf.DUMMYFUNCTION("if(not(iserror(index(split(C1457, "" ""),2))), index(split(C1457, "" ""),1),"""")"),"")</f>
        <v/>
      </c>
      <c r="W1457" s="315" t="str">
        <f>IFERROR(__xludf.DUMMYFUNCTION("if(V1457="""",C1457,if(not(iserror(index(split(C1457, "" ""),3))), index(split(C1457, "" ""),3),index(split(C1457, "" ""),2)))"),"")</f>
        <v/>
      </c>
      <c r="X1457" s="38" t="b">
        <f t="shared" si="2"/>
        <v>0</v>
      </c>
      <c r="Y1457" s="38"/>
      <c r="Z1457" s="40"/>
      <c r="AA1457" s="40"/>
      <c r="AB1457" s="38"/>
      <c r="AC1457" s="38"/>
      <c r="AD1457" s="38"/>
      <c r="AE1457" s="38"/>
      <c r="AF1457" s="38"/>
      <c r="AG1457" s="38"/>
      <c r="AH1457" s="38"/>
      <c r="AI1457" s="38"/>
      <c r="AJ1457" s="38"/>
      <c r="AK1457" s="38"/>
      <c r="AL1457" s="38"/>
      <c r="AM1457" s="38"/>
      <c r="AN1457" s="38"/>
      <c r="AO1457" s="38"/>
      <c r="AP1457" s="38"/>
      <c r="AQ1457" s="38"/>
      <c r="AR1457" s="38"/>
      <c r="AS1457" s="38"/>
      <c r="AT1457" s="38"/>
      <c r="AU1457" s="38"/>
      <c r="AV1457" s="38"/>
      <c r="AW1457" s="38"/>
      <c r="AX1457" s="38"/>
      <c r="AY1457" s="38"/>
      <c r="AZ1457" s="38"/>
      <c r="BA1457" s="38"/>
      <c r="BB1457" s="38"/>
      <c r="BC1457" s="38"/>
      <c r="BD1457" s="38"/>
      <c r="BE1457" s="38"/>
      <c r="BF1457" s="38"/>
      <c r="BG1457" s="38"/>
    </row>
    <row r="1458">
      <c r="A1458" s="58"/>
      <c r="B1458" s="341"/>
      <c r="C1458" s="60"/>
      <c r="D1458" s="60"/>
      <c r="E1458" s="58"/>
      <c r="F1458" s="58"/>
      <c r="G1458" s="58"/>
      <c r="H1458" s="33" t="str">
        <f t="shared" si="1"/>
        <v/>
      </c>
      <c r="I1458" s="58"/>
      <c r="J1458" s="58"/>
      <c r="K1458" s="58"/>
      <c r="L1458" s="38"/>
      <c r="M1458" s="58"/>
      <c r="N1458" s="58"/>
      <c r="O1458" s="58"/>
      <c r="P1458" s="80"/>
      <c r="Q1458" s="80"/>
      <c r="R1458" s="58"/>
      <c r="S1458" s="58"/>
      <c r="T1458" s="84"/>
      <c r="U1458" s="62"/>
      <c r="V1458" s="37" t="str">
        <f>IFERROR(__xludf.DUMMYFUNCTION("if(not(iserror(index(split(C1458, "" ""),2))), index(split(C1458, "" ""),1),"""")"),"")</f>
        <v/>
      </c>
      <c r="W1458" s="315" t="str">
        <f>IFERROR(__xludf.DUMMYFUNCTION("if(V1458="""",C1458,if(not(iserror(index(split(C1458, "" ""),3))), index(split(C1458, "" ""),3),index(split(C1458, "" ""),2)))"),"")</f>
        <v/>
      </c>
      <c r="X1458" s="38" t="b">
        <f t="shared" si="2"/>
        <v>0</v>
      </c>
      <c r="Y1458" s="38"/>
      <c r="Z1458" s="40"/>
      <c r="AA1458" s="40"/>
      <c r="AB1458" s="38"/>
      <c r="AC1458" s="38"/>
      <c r="AD1458" s="38"/>
      <c r="AE1458" s="38"/>
      <c r="AF1458" s="38"/>
      <c r="AG1458" s="38"/>
      <c r="AH1458" s="38"/>
      <c r="AI1458" s="38"/>
      <c r="AJ1458" s="38"/>
      <c r="AK1458" s="38"/>
      <c r="AL1458" s="38"/>
      <c r="AM1458" s="38"/>
      <c r="AN1458" s="38"/>
      <c r="AO1458" s="38"/>
      <c r="AP1458" s="38"/>
      <c r="AQ1458" s="38"/>
      <c r="AR1458" s="38"/>
      <c r="AS1458" s="38"/>
      <c r="AT1458" s="38"/>
      <c r="AU1458" s="38"/>
      <c r="AV1458" s="38"/>
      <c r="AW1458" s="38"/>
      <c r="AX1458" s="38"/>
      <c r="AY1458" s="38"/>
      <c r="AZ1458" s="38"/>
      <c r="BA1458" s="38"/>
      <c r="BB1458" s="38"/>
      <c r="BC1458" s="38"/>
      <c r="BD1458" s="38"/>
      <c r="BE1458" s="38"/>
      <c r="BF1458" s="38"/>
      <c r="BG1458" s="38"/>
    </row>
    <row r="1459">
      <c r="A1459" s="58"/>
      <c r="B1459" s="341"/>
      <c r="C1459" s="60"/>
      <c r="D1459" s="60"/>
      <c r="E1459" s="58"/>
      <c r="F1459" s="58"/>
      <c r="G1459" s="58"/>
      <c r="H1459" s="33" t="str">
        <f t="shared" si="1"/>
        <v/>
      </c>
      <c r="I1459" s="58"/>
      <c r="J1459" s="58"/>
      <c r="K1459" s="58"/>
      <c r="L1459" s="38"/>
      <c r="M1459" s="58"/>
      <c r="N1459" s="58"/>
      <c r="O1459" s="58"/>
      <c r="P1459" s="80"/>
      <c r="Q1459" s="80"/>
      <c r="R1459" s="58"/>
      <c r="S1459" s="58"/>
      <c r="T1459" s="84"/>
      <c r="U1459" s="62"/>
      <c r="V1459" s="37" t="str">
        <f>IFERROR(__xludf.DUMMYFUNCTION("if(not(iserror(index(split(C1459, "" ""),2))), index(split(C1459, "" ""),1),"""")"),"")</f>
        <v/>
      </c>
      <c r="W1459" s="315" t="str">
        <f>IFERROR(__xludf.DUMMYFUNCTION("if(V1459="""",C1459,if(not(iserror(index(split(C1459, "" ""),3))), index(split(C1459, "" ""),3),index(split(C1459, "" ""),2)))"),"")</f>
        <v/>
      </c>
      <c r="X1459" s="38" t="b">
        <f t="shared" si="2"/>
        <v>0</v>
      </c>
      <c r="Y1459" s="38"/>
      <c r="Z1459" s="40"/>
      <c r="AA1459" s="40"/>
      <c r="AB1459" s="38"/>
      <c r="AC1459" s="38"/>
      <c r="AD1459" s="38"/>
      <c r="AE1459" s="38"/>
      <c r="AF1459" s="38"/>
      <c r="AG1459" s="38"/>
      <c r="AH1459" s="38"/>
      <c r="AI1459" s="38"/>
      <c r="AJ1459" s="38"/>
      <c r="AK1459" s="38"/>
      <c r="AL1459" s="38"/>
      <c r="AM1459" s="38"/>
      <c r="AN1459" s="38"/>
      <c r="AO1459" s="38"/>
      <c r="AP1459" s="38"/>
      <c r="AQ1459" s="38"/>
      <c r="AR1459" s="38"/>
      <c r="AS1459" s="38"/>
      <c r="AT1459" s="38"/>
      <c r="AU1459" s="38"/>
      <c r="AV1459" s="38"/>
      <c r="AW1459" s="38"/>
      <c r="AX1459" s="38"/>
      <c r="AY1459" s="38"/>
      <c r="AZ1459" s="38"/>
      <c r="BA1459" s="38"/>
      <c r="BB1459" s="38"/>
      <c r="BC1459" s="38"/>
      <c r="BD1459" s="38"/>
      <c r="BE1459" s="38"/>
      <c r="BF1459" s="38"/>
      <c r="BG1459" s="38"/>
    </row>
    <row r="1460">
      <c r="A1460" s="58"/>
      <c r="B1460" s="341"/>
      <c r="C1460" s="60"/>
      <c r="D1460" s="60"/>
      <c r="E1460" s="58"/>
      <c r="F1460" s="58"/>
      <c r="G1460" s="58"/>
      <c r="H1460" s="33" t="str">
        <f t="shared" si="1"/>
        <v/>
      </c>
      <c r="I1460" s="58"/>
      <c r="J1460" s="58"/>
      <c r="K1460" s="58"/>
      <c r="L1460" s="38"/>
      <c r="M1460" s="58"/>
      <c r="N1460" s="58"/>
      <c r="O1460" s="58"/>
      <c r="P1460" s="80"/>
      <c r="Q1460" s="80"/>
      <c r="R1460" s="62"/>
      <c r="S1460" s="62"/>
      <c r="T1460" s="62"/>
      <c r="U1460" s="62"/>
      <c r="V1460" s="37" t="str">
        <f>IFERROR(__xludf.DUMMYFUNCTION("if(not(iserror(index(split(C1460, "" ""),2))), index(split(C1460, "" ""),1),"""")"),"")</f>
        <v/>
      </c>
      <c r="W1460" s="315" t="str">
        <f>IFERROR(__xludf.DUMMYFUNCTION("if(V1460="""",C1460,if(not(iserror(index(split(C1460, "" ""),3))), index(split(C1460, "" ""),3),index(split(C1460, "" ""),2)))"),"")</f>
        <v/>
      </c>
      <c r="X1460" s="38" t="b">
        <f t="shared" si="2"/>
        <v>0</v>
      </c>
      <c r="Y1460" s="38"/>
      <c r="Z1460" s="40"/>
      <c r="AA1460" s="40"/>
      <c r="AB1460" s="38"/>
      <c r="AC1460" s="38"/>
      <c r="AD1460" s="38"/>
      <c r="AE1460" s="38"/>
      <c r="AF1460" s="38"/>
      <c r="AG1460" s="38"/>
      <c r="AH1460" s="38"/>
      <c r="AI1460" s="38"/>
      <c r="AJ1460" s="38"/>
      <c r="AK1460" s="38"/>
      <c r="AL1460" s="38"/>
      <c r="AM1460" s="38"/>
      <c r="AN1460" s="38"/>
      <c r="AO1460" s="38"/>
      <c r="AP1460" s="38"/>
      <c r="AQ1460" s="38"/>
      <c r="AR1460" s="38"/>
      <c r="AS1460" s="38"/>
      <c r="AT1460" s="38"/>
      <c r="AU1460" s="38"/>
      <c r="AV1460" s="38"/>
      <c r="AW1460" s="38"/>
      <c r="AX1460" s="38"/>
      <c r="AY1460" s="38"/>
      <c r="AZ1460" s="38"/>
      <c r="BA1460" s="38"/>
      <c r="BB1460" s="38"/>
      <c r="BC1460" s="38"/>
      <c r="BD1460" s="38"/>
      <c r="BE1460" s="38"/>
      <c r="BF1460" s="38"/>
      <c r="BG1460" s="38"/>
    </row>
    <row r="1461">
      <c r="A1461" s="58"/>
      <c r="B1461" s="341"/>
      <c r="C1461" s="60"/>
      <c r="D1461" s="60"/>
      <c r="E1461" s="58"/>
      <c r="F1461" s="58"/>
      <c r="G1461" s="58"/>
      <c r="H1461" s="33" t="str">
        <f t="shared" si="1"/>
        <v/>
      </c>
      <c r="I1461" s="58"/>
      <c r="J1461" s="58"/>
      <c r="K1461" s="58"/>
      <c r="L1461" s="38"/>
      <c r="M1461" s="58"/>
      <c r="N1461" s="58"/>
      <c r="O1461" s="58"/>
      <c r="P1461" s="80"/>
      <c r="Q1461" s="80"/>
      <c r="R1461" s="58"/>
      <c r="S1461" s="58"/>
      <c r="T1461" s="84"/>
      <c r="U1461" s="62"/>
      <c r="V1461" s="37" t="str">
        <f>IFERROR(__xludf.DUMMYFUNCTION("if(not(iserror(index(split(C1461, "" ""),2))), index(split(C1461, "" ""),1),"""")"),"")</f>
        <v/>
      </c>
      <c r="W1461" s="315" t="str">
        <f>IFERROR(__xludf.DUMMYFUNCTION("if(V1461="""",C1461,if(not(iserror(index(split(C1461, "" ""),3))), index(split(C1461, "" ""),3),index(split(C1461, "" ""),2)))"),"")</f>
        <v/>
      </c>
      <c r="X1461" s="38" t="b">
        <f t="shared" si="2"/>
        <v>0</v>
      </c>
      <c r="Y1461" s="38"/>
      <c r="Z1461" s="40"/>
      <c r="AA1461" s="40"/>
      <c r="AB1461" s="38"/>
      <c r="AC1461" s="38"/>
      <c r="AD1461" s="38"/>
      <c r="AE1461" s="38"/>
      <c r="AF1461" s="38"/>
      <c r="AG1461" s="38"/>
      <c r="AH1461" s="38"/>
      <c r="AI1461" s="38"/>
      <c r="AJ1461" s="38"/>
      <c r="AK1461" s="38"/>
      <c r="AL1461" s="38"/>
      <c r="AM1461" s="38"/>
      <c r="AN1461" s="38"/>
      <c r="AO1461" s="38"/>
      <c r="AP1461" s="38"/>
      <c r="AQ1461" s="38"/>
      <c r="AR1461" s="38"/>
      <c r="AS1461" s="38"/>
      <c r="AT1461" s="38"/>
      <c r="AU1461" s="38"/>
      <c r="AV1461" s="38"/>
      <c r="AW1461" s="38"/>
      <c r="AX1461" s="38"/>
      <c r="AY1461" s="38"/>
      <c r="AZ1461" s="38"/>
      <c r="BA1461" s="38"/>
      <c r="BB1461" s="38"/>
      <c r="BC1461" s="38"/>
      <c r="BD1461" s="38"/>
      <c r="BE1461" s="38"/>
      <c r="BF1461" s="38"/>
      <c r="BG1461" s="38"/>
    </row>
    <row r="1462">
      <c r="A1462" s="58"/>
      <c r="B1462" s="341"/>
      <c r="C1462" s="60"/>
      <c r="D1462" s="60"/>
      <c r="E1462" s="58"/>
      <c r="F1462" s="58"/>
      <c r="G1462" s="58"/>
      <c r="H1462" s="33" t="str">
        <f t="shared" si="1"/>
        <v/>
      </c>
      <c r="I1462" s="58"/>
      <c r="J1462" s="58"/>
      <c r="K1462" s="58"/>
      <c r="L1462" s="38"/>
      <c r="M1462" s="58"/>
      <c r="N1462" s="58"/>
      <c r="O1462" s="58"/>
      <c r="P1462" s="80"/>
      <c r="Q1462" s="80"/>
      <c r="R1462" s="58"/>
      <c r="S1462" s="58"/>
      <c r="T1462" s="84"/>
      <c r="U1462" s="62"/>
      <c r="V1462" s="37" t="str">
        <f>IFERROR(__xludf.DUMMYFUNCTION("if(not(iserror(index(split(C1462, "" ""),2))), index(split(C1462, "" ""),1),"""")"),"")</f>
        <v/>
      </c>
      <c r="W1462" s="315" t="str">
        <f>IFERROR(__xludf.DUMMYFUNCTION("if(V1462="""",C1462,if(not(iserror(index(split(C1462, "" ""),3))), index(split(C1462, "" ""),3),index(split(C1462, "" ""),2)))"),"")</f>
        <v/>
      </c>
      <c r="X1462" s="38" t="b">
        <f t="shared" si="2"/>
        <v>0</v>
      </c>
      <c r="Y1462" s="38"/>
      <c r="Z1462" s="40"/>
      <c r="AA1462" s="40"/>
      <c r="AB1462" s="38"/>
      <c r="AC1462" s="38"/>
      <c r="AD1462" s="38"/>
      <c r="AE1462" s="38"/>
      <c r="AF1462" s="38"/>
      <c r="AG1462" s="38"/>
      <c r="AH1462" s="38"/>
      <c r="AI1462" s="38"/>
      <c r="AJ1462" s="38"/>
      <c r="AK1462" s="38"/>
      <c r="AL1462" s="38"/>
      <c r="AM1462" s="38"/>
      <c r="AN1462" s="38"/>
      <c r="AO1462" s="38"/>
      <c r="AP1462" s="38"/>
      <c r="AQ1462" s="38"/>
      <c r="AR1462" s="38"/>
      <c r="AS1462" s="38"/>
      <c r="AT1462" s="38"/>
      <c r="AU1462" s="38"/>
      <c r="AV1462" s="38"/>
      <c r="AW1462" s="38"/>
      <c r="AX1462" s="38"/>
      <c r="AY1462" s="38"/>
      <c r="AZ1462" s="38"/>
      <c r="BA1462" s="38"/>
      <c r="BB1462" s="38"/>
      <c r="BC1462" s="38"/>
      <c r="BD1462" s="38"/>
      <c r="BE1462" s="38"/>
      <c r="BF1462" s="38"/>
      <c r="BG1462" s="38"/>
    </row>
    <row r="1463">
      <c r="A1463" s="58"/>
      <c r="B1463" s="341"/>
      <c r="C1463" s="60"/>
      <c r="D1463" s="60"/>
      <c r="E1463" s="58"/>
      <c r="F1463" s="58"/>
      <c r="G1463" s="58"/>
      <c r="H1463" s="33" t="str">
        <f t="shared" si="1"/>
        <v/>
      </c>
      <c r="I1463" s="58"/>
      <c r="J1463" s="58"/>
      <c r="K1463" s="58"/>
      <c r="L1463" s="38"/>
      <c r="M1463" s="58"/>
      <c r="N1463" s="58"/>
      <c r="O1463" s="58"/>
      <c r="P1463" s="80"/>
      <c r="Q1463" s="80"/>
      <c r="R1463" s="58"/>
      <c r="S1463" s="58"/>
      <c r="T1463" s="84"/>
      <c r="U1463" s="62"/>
      <c r="V1463" s="37" t="str">
        <f>IFERROR(__xludf.DUMMYFUNCTION("if(not(iserror(index(split(C1463, "" ""),2))), index(split(C1463, "" ""),1),"""")"),"")</f>
        <v/>
      </c>
      <c r="W1463" s="315" t="str">
        <f>IFERROR(__xludf.DUMMYFUNCTION("if(V1463="""",C1463,if(not(iserror(index(split(C1463, "" ""),3))), index(split(C1463, "" ""),3),index(split(C1463, "" ""),2)))"),"")</f>
        <v/>
      </c>
      <c r="X1463" s="38" t="b">
        <f t="shared" si="2"/>
        <v>0</v>
      </c>
      <c r="Y1463" s="38"/>
      <c r="Z1463" s="40"/>
      <c r="AA1463" s="40"/>
      <c r="AB1463" s="38"/>
      <c r="AC1463" s="38"/>
      <c r="AD1463" s="38"/>
      <c r="AE1463" s="38"/>
      <c r="AF1463" s="38"/>
      <c r="AG1463" s="38"/>
      <c r="AH1463" s="38"/>
      <c r="AI1463" s="38"/>
      <c r="AJ1463" s="38"/>
      <c r="AK1463" s="38"/>
      <c r="AL1463" s="38"/>
      <c r="AM1463" s="38"/>
      <c r="AN1463" s="38"/>
      <c r="AO1463" s="38"/>
      <c r="AP1463" s="38"/>
      <c r="AQ1463" s="38"/>
      <c r="AR1463" s="38"/>
      <c r="AS1463" s="38"/>
      <c r="AT1463" s="38"/>
      <c r="AU1463" s="38"/>
      <c r="AV1463" s="38"/>
      <c r="AW1463" s="38"/>
      <c r="AX1463" s="38"/>
      <c r="AY1463" s="38"/>
      <c r="AZ1463" s="38"/>
      <c r="BA1463" s="38"/>
      <c r="BB1463" s="38"/>
      <c r="BC1463" s="38"/>
      <c r="BD1463" s="38"/>
      <c r="BE1463" s="38"/>
      <c r="BF1463" s="38"/>
      <c r="BG1463" s="38"/>
    </row>
    <row r="1464">
      <c r="A1464" s="58"/>
      <c r="B1464" s="341"/>
      <c r="C1464" s="60"/>
      <c r="D1464" s="60"/>
      <c r="E1464" s="58"/>
      <c r="F1464" s="58"/>
      <c r="G1464" s="58"/>
      <c r="H1464" s="33" t="str">
        <f t="shared" si="1"/>
        <v/>
      </c>
      <c r="I1464" s="58"/>
      <c r="J1464" s="58"/>
      <c r="K1464" s="58"/>
      <c r="L1464" s="38"/>
      <c r="M1464" s="58"/>
      <c r="N1464" s="58"/>
      <c r="O1464" s="58"/>
      <c r="P1464" s="80"/>
      <c r="Q1464" s="80"/>
      <c r="R1464" s="58"/>
      <c r="S1464" s="58"/>
      <c r="T1464" s="84"/>
      <c r="U1464" s="62"/>
      <c r="V1464" s="37" t="str">
        <f>IFERROR(__xludf.DUMMYFUNCTION("if(not(iserror(index(split(C1464, "" ""),2))), index(split(C1464, "" ""),1),"""")"),"")</f>
        <v/>
      </c>
      <c r="W1464" s="315" t="str">
        <f>IFERROR(__xludf.DUMMYFUNCTION("if(V1464="""",C1464,if(not(iserror(index(split(C1464, "" ""),3))), index(split(C1464, "" ""),3),index(split(C1464, "" ""),2)))"),"")</f>
        <v/>
      </c>
      <c r="X1464" s="38" t="b">
        <f t="shared" si="2"/>
        <v>0</v>
      </c>
      <c r="Y1464" s="38"/>
      <c r="Z1464" s="40"/>
      <c r="AA1464" s="40"/>
      <c r="AB1464" s="38"/>
      <c r="AC1464" s="38"/>
      <c r="AD1464" s="38"/>
      <c r="AE1464" s="38"/>
      <c r="AF1464" s="38"/>
      <c r="AG1464" s="38"/>
      <c r="AH1464" s="38"/>
      <c r="AI1464" s="38"/>
      <c r="AJ1464" s="38"/>
      <c r="AK1464" s="38"/>
      <c r="AL1464" s="38"/>
      <c r="AM1464" s="38"/>
      <c r="AN1464" s="38"/>
      <c r="AO1464" s="38"/>
      <c r="AP1464" s="38"/>
      <c r="AQ1464" s="38"/>
      <c r="AR1464" s="38"/>
      <c r="AS1464" s="38"/>
      <c r="AT1464" s="38"/>
      <c r="AU1464" s="38"/>
      <c r="AV1464" s="38"/>
      <c r="AW1464" s="38"/>
      <c r="AX1464" s="38"/>
      <c r="AY1464" s="38"/>
      <c r="AZ1464" s="38"/>
      <c r="BA1464" s="38"/>
      <c r="BB1464" s="38"/>
      <c r="BC1464" s="38"/>
      <c r="BD1464" s="38"/>
      <c r="BE1464" s="38"/>
      <c r="BF1464" s="38"/>
      <c r="BG1464" s="38"/>
    </row>
    <row r="1465">
      <c r="A1465" s="58"/>
      <c r="B1465" s="341"/>
      <c r="C1465" s="60"/>
      <c r="D1465" s="60"/>
      <c r="E1465" s="58"/>
      <c r="F1465" s="58"/>
      <c r="G1465" s="58"/>
      <c r="H1465" s="33" t="str">
        <f t="shared" si="1"/>
        <v/>
      </c>
      <c r="I1465" s="58"/>
      <c r="J1465" s="58"/>
      <c r="K1465" s="58"/>
      <c r="L1465" s="38"/>
      <c r="M1465" s="58"/>
      <c r="N1465" s="58"/>
      <c r="O1465" s="58"/>
      <c r="P1465" s="80"/>
      <c r="Q1465" s="80"/>
      <c r="R1465" s="58"/>
      <c r="S1465" s="62"/>
      <c r="T1465" s="84"/>
      <c r="U1465" s="62"/>
      <c r="V1465" s="37" t="str">
        <f>IFERROR(__xludf.DUMMYFUNCTION("if(not(iserror(index(split(C1465, "" ""),2))), index(split(C1465, "" ""),1),"""")"),"")</f>
        <v/>
      </c>
      <c r="W1465" s="315" t="str">
        <f>IFERROR(__xludf.DUMMYFUNCTION("if(V1465="""",C1465,if(not(iserror(index(split(C1465, "" ""),3))), index(split(C1465, "" ""),3),index(split(C1465, "" ""),2)))"),"")</f>
        <v/>
      </c>
      <c r="X1465" s="38" t="b">
        <f t="shared" si="2"/>
        <v>0</v>
      </c>
      <c r="Y1465" s="38"/>
      <c r="Z1465" s="40"/>
      <c r="AA1465" s="40"/>
      <c r="AB1465" s="38"/>
      <c r="AC1465" s="38"/>
      <c r="AD1465" s="38"/>
      <c r="AE1465" s="38"/>
      <c r="AF1465" s="38"/>
      <c r="AG1465" s="38"/>
      <c r="AH1465" s="38"/>
      <c r="AI1465" s="38"/>
      <c r="AJ1465" s="38"/>
      <c r="AK1465" s="38"/>
      <c r="AL1465" s="38"/>
      <c r="AM1465" s="38"/>
      <c r="AN1465" s="38"/>
      <c r="AO1465" s="38"/>
      <c r="AP1465" s="38"/>
      <c r="AQ1465" s="38"/>
      <c r="AR1465" s="38"/>
      <c r="AS1465" s="38"/>
      <c r="AT1465" s="38"/>
      <c r="AU1465" s="38"/>
      <c r="AV1465" s="38"/>
      <c r="AW1465" s="38"/>
      <c r="AX1465" s="38"/>
      <c r="AY1465" s="38"/>
      <c r="AZ1465" s="38"/>
      <c r="BA1465" s="38"/>
      <c r="BB1465" s="38"/>
      <c r="BC1465" s="38"/>
      <c r="BD1465" s="38"/>
      <c r="BE1465" s="38"/>
      <c r="BF1465" s="38"/>
      <c r="BG1465" s="38"/>
    </row>
    <row r="1466">
      <c r="A1466" s="58"/>
      <c r="B1466" s="341"/>
      <c r="C1466" s="60"/>
      <c r="D1466" s="60"/>
      <c r="E1466" s="58"/>
      <c r="F1466" s="58"/>
      <c r="G1466" s="58"/>
      <c r="H1466" s="33" t="str">
        <f t="shared" si="1"/>
        <v/>
      </c>
      <c r="I1466" s="58"/>
      <c r="J1466" s="58"/>
      <c r="K1466" s="58"/>
      <c r="L1466" s="38"/>
      <c r="M1466" s="58"/>
      <c r="N1466" s="58"/>
      <c r="O1466" s="58"/>
      <c r="P1466" s="80"/>
      <c r="Q1466" s="80"/>
      <c r="R1466" s="58"/>
      <c r="S1466" s="58"/>
      <c r="T1466" s="84"/>
      <c r="U1466" s="62"/>
      <c r="V1466" s="37" t="str">
        <f>IFERROR(__xludf.DUMMYFUNCTION("if(not(iserror(index(split(C1466, "" ""),2))), index(split(C1466, "" ""),1),"""")"),"")</f>
        <v/>
      </c>
      <c r="W1466" s="315" t="str">
        <f>IFERROR(__xludf.DUMMYFUNCTION("if(V1466="""",C1466,if(not(iserror(index(split(C1466, "" ""),3))), index(split(C1466, "" ""),3),index(split(C1466, "" ""),2)))"),"")</f>
        <v/>
      </c>
      <c r="X1466" s="38" t="b">
        <f t="shared" si="2"/>
        <v>0</v>
      </c>
      <c r="Y1466" s="38"/>
      <c r="Z1466" s="40"/>
      <c r="AA1466" s="40"/>
      <c r="AB1466" s="38"/>
      <c r="AC1466" s="38"/>
      <c r="AD1466" s="38"/>
      <c r="AE1466" s="38"/>
      <c r="AF1466" s="38"/>
      <c r="AG1466" s="38"/>
      <c r="AH1466" s="38"/>
      <c r="AI1466" s="38"/>
      <c r="AJ1466" s="38"/>
      <c r="AK1466" s="38"/>
      <c r="AL1466" s="38"/>
      <c r="AM1466" s="38"/>
      <c r="AN1466" s="38"/>
      <c r="AO1466" s="38"/>
      <c r="AP1466" s="38"/>
      <c r="AQ1466" s="38"/>
      <c r="AR1466" s="38"/>
      <c r="AS1466" s="38"/>
      <c r="AT1466" s="38"/>
      <c r="AU1466" s="38"/>
      <c r="AV1466" s="38"/>
      <c r="AW1466" s="38"/>
      <c r="AX1466" s="38"/>
      <c r="AY1466" s="38"/>
      <c r="AZ1466" s="38"/>
      <c r="BA1466" s="38"/>
      <c r="BB1466" s="38"/>
      <c r="BC1466" s="38"/>
      <c r="BD1466" s="38"/>
      <c r="BE1466" s="38"/>
      <c r="BF1466" s="38"/>
      <c r="BG1466" s="38"/>
    </row>
    <row r="1467">
      <c r="A1467" s="58"/>
      <c r="B1467" s="341"/>
      <c r="C1467" s="60"/>
      <c r="D1467" s="60"/>
      <c r="E1467" s="58"/>
      <c r="F1467" s="58"/>
      <c r="G1467" s="58"/>
      <c r="H1467" s="33" t="str">
        <f t="shared" si="1"/>
        <v/>
      </c>
      <c r="I1467" s="58"/>
      <c r="J1467" s="58"/>
      <c r="K1467" s="58"/>
      <c r="L1467" s="38"/>
      <c r="M1467" s="58"/>
      <c r="N1467" s="58"/>
      <c r="O1467" s="58"/>
      <c r="P1467" s="80"/>
      <c r="Q1467" s="80"/>
      <c r="R1467" s="58"/>
      <c r="S1467" s="58"/>
      <c r="T1467" s="84"/>
      <c r="U1467" s="62"/>
      <c r="V1467" s="37" t="str">
        <f>IFERROR(__xludf.DUMMYFUNCTION("if(not(iserror(index(split(C1467, "" ""),2))), index(split(C1467, "" ""),1),"""")"),"")</f>
        <v/>
      </c>
      <c r="W1467" s="315" t="str">
        <f>IFERROR(__xludf.DUMMYFUNCTION("if(V1467="""",C1467,if(not(iserror(index(split(C1467, "" ""),3))), index(split(C1467, "" ""),3),index(split(C1467, "" ""),2)))"),"")</f>
        <v/>
      </c>
      <c r="X1467" s="38" t="b">
        <f t="shared" si="2"/>
        <v>0</v>
      </c>
      <c r="Y1467" s="38"/>
      <c r="Z1467" s="40"/>
      <c r="AA1467" s="40"/>
      <c r="AB1467" s="38"/>
      <c r="AC1467" s="38"/>
      <c r="AD1467" s="38"/>
      <c r="AE1467" s="38"/>
      <c r="AF1467" s="38"/>
      <c r="AG1467" s="38"/>
      <c r="AH1467" s="38"/>
      <c r="AI1467" s="38"/>
      <c r="AJ1467" s="38"/>
      <c r="AK1467" s="38"/>
      <c r="AL1467" s="38"/>
      <c r="AM1467" s="38"/>
      <c r="AN1467" s="38"/>
      <c r="AO1467" s="38"/>
      <c r="AP1467" s="38"/>
      <c r="AQ1467" s="38"/>
      <c r="AR1467" s="38"/>
      <c r="AS1467" s="38"/>
      <c r="AT1467" s="38"/>
      <c r="AU1467" s="38"/>
      <c r="AV1467" s="38"/>
      <c r="AW1467" s="38"/>
      <c r="AX1467" s="38"/>
      <c r="AY1467" s="38"/>
      <c r="AZ1467" s="38"/>
      <c r="BA1467" s="38"/>
      <c r="BB1467" s="38"/>
      <c r="BC1467" s="38"/>
      <c r="BD1467" s="38"/>
      <c r="BE1467" s="38"/>
      <c r="BF1467" s="38"/>
      <c r="BG1467" s="38"/>
    </row>
    <row r="1468">
      <c r="A1468" s="58"/>
      <c r="B1468" s="341"/>
      <c r="C1468" s="60"/>
      <c r="D1468" s="60"/>
      <c r="E1468" s="58"/>
      <c r="F1468" s="58"/>
      <c r="G1468" s="58"/>
      <c r="H1468" s="33" t="str">
        <f t="shared" si="1"/>
        <v/>
      </c>
      <c r="I1468" s="58"/>
      <c r="J1468" s="58"/>
      <c r="K1468" s="58"/>
      <c r="L1468" s="38"/>
      <c r="M1468" s="58"/>
      <c r="N1468" s="58"/>
      <c r="O1468" s="58"/>
      <c r="P1468" s="80"/>
      <c r="Q1468" s="80"/>
      <c r="R1468" s="58"/>
      <c r="S1468" s="58"/>
      <c r="T1468" s="84"/>
      <c r="U1468" s="62"/>
      <c r="V1468" s="37" t="str">
        <f>IFERROR(__xludf.DUMMYFUNCTION("if(not(iserror(index(split(C1468, "" ""),2))), index(split(C1468, "" ""),1),"""")"),"")</f>
        <v/>
      </c>
      <c r="W1468" s="315" t="str">
        <f>IFERROR(__xludf.DUMMYFUNCTION("if(V1468="""",C1468,if(not(iserror(index(split(C1468, "" ""),3))), index(split(C1468, "" ""),3),index(split(C1468, "" ""),2)))"),"")</f>
        <v/>
      </c>
      <c r="X1468" s="38" t="b">
        <f t="shared" si="2"/>
        <v>0</v>
      </c>
      <c r="Y1468" s="38"/>
      <c r="Z1468" s="40"/>
      <c r="AA1468" s="40"/>
      <c r="AB1468" s="38"/>
      <c r="AC1468" s="38"/>
      <c r="AD1468" s="38"/>
      <c r="AE1468" s="38"/>
      <c r="AF1468" s="38"/>
      <c r="AG1468" s="38"/>
      <c r="AH1468" s="38"/>
      <c r="AI1468" s="38"/>
      <c r="AJ1468" s="38"/>
      <c r="AK1468" s="38"/>
      <c r="AL1468" s="38"/>
      <c r="AM1468" s="38"/>
      <c r="AN1468" s="38"/>
      <c r="AO1468" s="38"/>
      <c r="AP1468" s="38"/>
      <c r="AQ1468" s="38"/>
      <c r="AR1468" s="38"/>
      <c r="AS1468" s="38"/>
      <c r="AT1468" s="38"/>
      <c r="AU1468" s="38"/>
      <c r="AV1468" s="38"/>
      <c r="AW1468" s="38"/>
      <c r="AX1468" s="38"/>
      <c r="AY1468" s="38"/>
      <c r="AZ1468" s="38"/>
      <c r="BA1468" s="38"/>
      <c r="BB1468" s="38"/>
      <c r="BC1468" s="38"/>
      <c r="BD1468" s="38"/>
      <c r="BE1468" s="38"/>
      <c r="BF1468" s="38"/>
      <c r="BG1468" s="38"/>
    </row>
    <row r="1469">
      <c r="A1469" s="58"/>
      <c r="B1469" s="341"/>
      <c r="C1469" s="60"/>
      <c r="D1469" s="60"/>
      <c r="E1469" s="58"/>
      <c r="F1469" s="58"/>
      <c r="G1469" s="58"/>
      <c r="H1469" s="33" t="str">
        <f t="shared" si="1"/>
        <v/>
      </c>
      <c r="I1469" s="58"/>
      <c r="J1469" s="58"/>
      <c r="K1469" s="58"/>
      <c r="L1469" s="38"/>
      <c r="M1469" s="58"/>
      <c r="N1469" s="58"/>
      <c r="O1469" s="58"/>
      <c r="P1469" s="80"/>
      <c r="Q1469" s="80"/>
      <c r="R1469" s="58"/>
      <c r="S1469" s="58"/>
      <c r="T1469" s="84"/>
      <c r="U1469" s="62"/>
      <c r="V1469" s="37" t="str">
        <f>IFERROR(__xludf.DUMMYFUNCTION("if(not(iserror(index(split(C1469, "" ""),2))), index(split(C1469, "" ""),1),"""")"),"")</f>
        <v/>
      </c>
      <c r="W1469" s="315" t="str">
        <f>IFERROR(__xludf.DUMMYFUNCTION("if(V1469="""",C1469,if(not(iserror(index(split(C1469, "" ""),3))), index(split(C1469, "" ""),3),index(split(C1469, "" ""),2)))"),"")</f>
        <v/>
      </c>
      <c r="X1469" s="38" t="b">
        <f t="shared" si="2"/>
        <v>0</v>
      </c>
      <c r="Y1469" s="38"/>
      <c r="Z1469" s="40"/>
      <c r="AA1469" s="40"/>
      <c r="AB1469" s="38"/>
      <c r="AC1469" s="38"/>
      <c r="AD1469" s="38"/>
      <c r="AE1469" s="38"/>
      <c r="AF1469" s="38"/>
      <c r="AG1469" s="38"/>
      <c r="AH1469" s="38"/>
      <c r="AI1469" s="38"/>
      <c r="AJ1469" s="38"/>
      <c r="AK1469" s="38"/>
      <c r="AL1469" s="38"/>
      <c r="AM1469" s="38"/>
      <c r="AN1469" s="38"/>
      <c r="AO1469" s="38"/>
      <c r="AP1469" s="38"/>
      <c r="AQ1469" s="38"/>
      <c r="AR1469" s="38"/>
      <c r="AS1469" s="38"/>
      <c r="AT1469" s="38"/>
      <c r="AU1469" s="38"/>
      <c r="AV1469" s="38"/>
      <c r="AW1469" s="38"/>
      <c r="AX1469" s="38"/>
      <c r="AY1469" s="38"/>
      <c r="AZ1469" s="38"/>
      <c r="BA1469" s="38"/>
      <c r="BB1469" s="38"/>
      <c r="BC1469" s="38"/>
      <c r="BD1469" s="38"/>
      <c r="BE1469" s="38"/>
      <c r="BF1469" s="38"/>
      <c r="BG1469" s="38"/>
    </row>
    <row r="1470">
      <c r="A1470" s="58"/>
      <c r="B1470" s="341"/>
      <c r="C1470" s="60"/>
      <c r="D1470" s="60"/>
      <c r="E1470" s="58"/>
      <c r="F1470" s="58"/>
      <c r="G1470" s="58"/>
      <c r="H1470" s="33" t="str">
        <f t="shared" si="1"/>
        <v/>
      </c>
      <c r="I1470" s="58"/>
      <c r="J1470" s="58"/>
      <c r="K1470" s="58"/>
      <c r="L1470" s="38"/>
      <c r="M1470" s="58"/>
      <c r="N1470" s="58"/>
      <c r="O1470" s="58"/>
      <c r="P1470" s="80"/>
      <c r="Q1470" s="80"/>
      <c r="R1470" s="58"/>
      <c r="S1470" s="62"/>
      <c r="T1470" s="84"/>
      <c r="U1470" s="62"/>
      <c r="V1470" s="37" t="str">
        <f>IFERROR(__xludf.DUMMYFUNCTION("if(not(iserror(index(split(C1470, "" ""),2))), index(split(C1470, "" ""),1),"""")"),"")</f>
        <v/>
      </c>
      <c r="W1470" s="315" t="str">
        <f>IFERROR(__xludf.DUMMYFUNCTION("if(V1470="""",C1470,if(not(iserror(index(split(C1470, "" ""),3))), index(split(C1470, "" ""),3),index(split(C1470, "" ""),2)))"),"")</f>
        <v/>
      </c>
      <c r="X1470" s="38" t="b">
        <f t="shared" si="2"/>
        <v>0</v>
      </c>
      <c r="Y1470" s="38"/>
      <c r="Z1470" s="40"/>
      <c r="AA1470" s="40"/>
      <c r="AB1470" s="38"/>
      <c r="AC1470" s="38"/>
      <c r="AD1470" s="38"/>
      <c r="AE1470" s="38"/>
      <c r="AF1470" s="38"/>
      <c r="AG1470" s="38"/>
      <c r="AH1470" s="38"/>
      <c r="AI1470" s="38"/>
      <c r="AJ1470" s="38"/>
      <c r="AK1470" s="38"/>
      <c r="AL1470" s="38"/>
      <c r="AM1470" s="38"/>
      <c r="AN1470" s="38"/>
      <c r="AO1470" s="38"/>
      <c r="AP1470" s="38"/>
      <c r="AQ1470" s="38"/>
      <c r="AR1470" s="38"/>
      <c r="AS1470" s="38"/>
      <c r="AT1470" s="38"/>
      <c r="AU1470" s="38"/>
      <c r="AV1470" s="38"/>
      <c r="AW1470" s="38"/>
      <c r="AX1470" s="38"/>
      <c r="AY1470" s="38"/>
      <c r="AZ1470" s="38"/>
      <c r="BA1470" s="38"/>
      <c r="BB1470" s="38"/>
      <c r="BC1470" s="38"/>
      <c r="BD1470" s="38"/>
      <c r="BE1470" s="38"/>
      <c r="BF1470" s="38"/>
      <c r="BG1470" s="38"/>
    </row>
    <row r="1471">
      <c r="A1471" s="58"/>
      <c r="B1471" s="341"/>
      <c r="C1471" s="60"/>
      <c r="D1471" s="60"/>
      <c r="E1471" s="58"/>
      <c r="F1471" s="58"/>
      <c r="G1471" s="58"/>
      <c r="H1471" s="33" t="str">
        <f t="shared" si="1"/>
        <v/>
      </c>
      <c r="I1471" s="58"/>
      <c r="J1471" s="58"/>
      <c r="K1471" s="58"/>
      <c r="L1471" s="38"/>
      <c r="M1471" s="58"/>
      <c r="N1471" s="58"/>
      <c r="O1471" s="58"/>
      <c r="P1471" s="80"/>
      <c r="Q1471" s="80"/>
      <c r="R1471" s="62"/>
      <c r="S1471" s="58"/>
      <c r="T1471" s="84"/>
      <c r="U1471" s="62"/>
      <c r="V1471" s="37" t="str">
        <f>IFERROR(__xludf.DUMMYFUNCTION("if(not(iserror(index(split(C1471, "" ""),2))), index(split(C1471, "" ""),1),"""")"),"")</f>
        <v/>
      </c>
      <c r="W1471" s="315" t="str">
        <f>IFERROR(__xludf.DUMMYFUNCTION("if(V1471="""",C1471,if(not(iserror(index(split(C1471, "" ""),3))), index(split(C1471, "" ""),3),index(split(C1471, "" ""),2)))"),"")</f>
        <v/>
      </c>
      <c r="X1471" s="38" t="b">
        <f t="shared" si="2"/>
        <v>0</v>
      </c>
      <c r="Y1471" s="38"/>
      <c r="Z1471" s="40"/>
      <c r="AA1471" s="40"/>
      <c r="AB1471" s="38"/>
      <c r="AC1471" s="38"/>
      <c r="AD1471" s="38"/>
      <c r="AE1471" s="38"/>
      <c r="AF1471" s="38"/>
      <c r="AG1471" s="38"/>
      <c r="AH1471" s="38"/>
      <c r="AI1471" s="38"/>
      <c r="AJ1471" s="38"/>
      <c r="AK1471" s="38"/>
      <c r="AL1471" s="38"/>
      <c r="AM1471" s="38"/>
      <c r="AN1471" s="38"/>
      <c r="AO1471" s="38"/>
      <c r="AP1471" s="38"/>
      <c r="AQ1471" s="38"/>
      <c r="AR1471" s="38"/>
      <c r="AS1471" s="38"/>
      <c r="AT1471" s="38"/>
      <c r="AU1471" s="38"/>
      <c r="AV1471" s="38"/>
      <c r="AW1471" s="38"/>
      <c r="AX1471" s="38"/>
      <c r="AY1471" s="38"/>
      <c r="AZ1471" s="38"/>
      <c r="BA1471" s="38"/>
      <c r="BB1471" s="38"/>
      <c r="BC1471" s="38"/>
      <c r="BD1471" s="38"/>
      <c r="BE1471" s="38"/>
      <c r="BF1471" s="38"/>
      <c r="BG1471" s="38"/>
    </row>
    <row r="1472">
      <c r="A1472" s="375"/>
      <c r="B1472" s="341"/>
      <c r="C1472" s="60"/>
      <c r="D1472" s="60"/>
      <c r="E1472" s="58"/>
      <c r="F1472" s="58"/>
      <c r="G1472" s="58"/>
      <c r="H1472" s="33" t="str">
        <f t="shared" si="1"/>
        <v/>
      </c>
      <c r="I1472" s="58"/>
      <c r="J1472" s="58"/>
      <c r="K1472" s="58"/>
      <c r="L1472" s="38"/>
      <c r="M1472" s="58"/>
      <c r="N1472" s="58"/>
      <c r="O1472" s="58"/>
      <c r="P1472" s="80"/>
      <c r="Q1472" s="80"/>
      <c r="R1472" s="62"/>
      <c r="S1472" s="62"/>
      <c r="T1472" s="62"/>
      <c r="U1472" s="62"/>
      <c r="V1472" s="37" t="str">
        <f>IFERROR(__xludf.DUMMYFUNCTION("if(not(iserror(index(split(C1472, "" ""),2))), index(split(C1472, "" ""),1),"""")"),"")</f>
        <v/>
      </c>
      <c r="W1472" s="315" t="str">
        <f>IFERROR(__xludf.DUMMYFUNCTION("if(V1472="""",C1472,if(not(iserror(index(split(C1472, "" ""),3))), index(split(C1472, "" ""),3),index(split(C1472, "" ""),2)))"),"")</f>
        <v/>
      </c>
      <c r="X1472" s="38" t="b">
        <f t="shared" si="2"/>
        <v>0</v>
      </c>
      <c r="Y1472" s="38"/>
      <c r="Z1472" s="40"/>
      <c r="AA1472" s="40"/>
      <c r="AB1472" s="38"/>
      <c r="AC1472" s="38"/>
      <c r="AD1472" s="38"/>
      <c r="AE1472" s="38"/>
      <c r="AF1472" s="38"/>
      <c r="AG1472" s="38"/>
      <c r="AH1472" s="38"/>
      <c r="AI1472" s="38"/>
      <c r="AJ1472" s="38"/>
      <c r="AK1472" s="38"/>
      <c r="AL1472" s="38"/>
      <c r="AM1472" s="38"/>
      <c r="AN1472" s="38"/>
      <c r="AO1472" s="38"/>
      <c r="AP1472" s="38"/>
      <c r="AQ1472" s="38"/>
      <c r="AR1472" s="38"/>
      <c r="AS1472" s="38"/>
      <c r="AT1472" s="38"/>
      <c r="AU1472" s="38"/>
      <c r="AV1472" s="38"/>
      <c r="AW1472" s="38"/>
      <c r="AX1472" s="38"/>
      <c r="AY1472" s="38"/>
      <c r="AZ1472" s="38"/>
      <c r="BA1472" s="38"/>
      <c r="BB1472" s="38"/>
      <c r="BC1472" s="38"/>
      <c r="BD1472" s="38"/>
      <c r="BE1472" s="38"/>
      <c r="BF1472" s="38"/>
      <c r="BG1472" s="38"/>
    </row>
    <row r="1473">
      <c r="A1473" s="375"/>
      <c r="B1473" s="341"/>
      <c r="C1473" s="60"/>
      <c r="D1473" s="60"/>
      <c r="E1473" s="58"/>
      <c r="F1473" s="58"/>
      <c r="G1473" s="58"/>
      <c r="H1473" s="33" t="str">
        <f t="shared" si="1"/>
        <v/>
      </c>
      <c r="I1473" s="58"/>
      <c r="J1473" s="58"/>
      <c r="K1473" s="58"/>
      <c r="L1473" s="38"/>
      <c r="M1473" s="58"/>
      <c r="N1473" s="58"/>
      <c r="O1473" s="58"/>
      <c r="P1473" s="80"/>
      <c r="Q1473" s="80"/>
      <c r="R1473" s="62"/>
      <c r="S1473" s="62"/>
      <c r="T1473" s="84"/>
      <c r="U1473" s="62"/>
      <c r="V1473" s="37" t="str">
        <f>IFERROR(__xludf.DUMMYFUNCTION("if(not(iserror(index(split(C1473, "" ""),2))), index(split(C1473, "" ""),1),"""")"),"")</f>
        <v/>
      </c>
      <c r="W1473" s="315" t="str">
        <f>IFERROR(__xludf.DUMMYFUNCTION("if(V1473="""",C1473,if(not(iserror(index(split(C1473, "" ""),3))), index(split(C1473, "" ""),3),index(split(C1473, "" ""),2)))"),"")</f>
        <v/>
      </c>
      <c r="X1473" s="38" t="b">
        <f t="shared" si="2"/>
        <v>0</v>
      </c>
      <c r="Y1473" s="38"/>
      <c r="Z1473" s="40"/>
      <c r="AA1473" s="40"/>
      <c r="AB1473" s="38"/>
      <c r="AC1473" s="38"/>
      <c r="AD1473" s="38"/>
      <c r="AE1473" s="38"/>
      <c r="AF1473" s="38"/>
      <c r="AG1473" s="38"/>
      <c r="AH1473" s="38"/>
      <c r="AI1473" s="38"/>
      <c r="AJ1473" s="38"/>
      <c r="AK1473" s="38"/>
      <c r="AL1473" s="38"/>
      <c r="AM1473" s="38"/>
      <c r="AN1473" s="38"/>
      <c r="AO1473" s="38"/>
      <c r="AP1473" s="38"/>
      <c r="AQ1473" s="38"/>
      <c r="AR1473" s="38"/>
      <c r="AS1473" s="38"/>
      <c r="AT1473" s="38"/>
      <c r="AU1473" s="38"/>
      <c r="AV1473" s="38"/>
      <c r="AW1473" s="38"/>
      <c r="AX1473" s="38"/>
      <c r="AY1473" s="38"/>
      <c r="AZ1473" s="38"/>
      <c r="BA1473" s="38"/>
      <c r="BB1473" s="38"/>
      <c r="BC1473" s="38"/>
      <c r="BD1473" s="38"/>
      <c r="BE1473" s="38"/>
      <c r="BF1473" s="38"/>
      <c r="BG1473" s="38"/>
    </row>
    <row r="1474">
      <c r="A1474" s="58"/>
      <c r="B1474" s="341"/>
      <c r="C1474" s="60"/>
      <c r="D1474" s="60"/>
      <c r="E1474" s="58"/>
      <c r="F1474" s="58"/>
      <c r="G1474" s="58"/>
      <c r="H1474" s="33" t="str">
        <f t="shared" si="1"/>
        <v/>
      </c>
      <c r="I1474" s="58"/>
      <c r="J1474" s="58"/>
      <c r="K1474" s="58"/>
      <c r="L1474" s="38"/>
      <c r="M1474" s="58"/>
      <c r="N1474" s="58"/>
      <c r="O1474" s="58"/>
      <c r="P1474" s="80"/>
      <c r="Q1474" s="80"/>
      <c r="R1474" s="58"/>
      <c r="S1474" s="58"/>
      <c r="T1474" s="84"/>
      <c r="U1474" s="62"/>
      <c r="V1474" s="37" t="str">
        <f>IFERROR(__xludf.DUMMYFUNCTION("if(not(iserror(index(split(C1474, "" ""),2))), index(split(C1474, "" ""),1),"""")"),"")</f>
        <v/>
      </c>
      <c r="W1474" s="315" t="str">
        <f>IFERROR(__xludf.DUMMYFUNCTION("if(V1474="""",C1474,if(not(iserror(index(split(C1474, "" ""),3))), index(split(C1474, "" ""),3),index(split(C1474, "" ""),2)))"),"")</f>
        <v/>
      </c>
      <c r="X1474" s="38" t="b">
        <f t="shared" si="2"/>
        <v>0</v>
      </c>
      <c r="Y1474" s="38"/>
      <c r="Z1474" s="40"/>
      <c r="AA1474" s="40"/>
      <c r="AB1474" s="38"/>
      <c r="AC1474" s="38"/>
      <c r="AD1474" s="38"/>
      <c r="AE1474" s="38"/>
      <c r="AF1474" s="38"/>
      <c r="AG1474" s="38"/>
      <c r="AH1474" s="38"/>
      <c r="AI1474" s="38"/>
      <c r="AJ1474" s="38"/>
      <c r="AK1474" s="38"/>
      <c r="AL1474" s="38"/>
      <c r="AM1474" s="38"/>
      <c r="AN1474" s="38"/>
      <c r="AO1474" s="38"/>
      <c r="AP1474" s="38"/>
      <c r="AQ1474" s="38"/>
      <c r="AR1474" s="38"/>
      <c r="AS1474" s="38"/>
      <c r="AT1474" s="38"/>
      <c r="AU1474" s="38"/>
      <c r="AV1474" s="38"/>
      <c r="AW1474" s="38"/>
      <c r="AX1474" s="38"/>
      <c r="AY1474" s="38"/>
      <c r="AZ1474" s="38"/>
      <c r="BA1474" s="38"/>
      <c r="BB1474" s="38"/>
      <c r="BC1474" s="38"/>
      <c r="BD1474" s="38"/>
      <c r="BE1474" s="38"/>
      <c r="BF1474" s="38"/>
      <c r="BG1474" s="38"/>
    </row>
    <row r="1475">
      <c r="A1475" s="58"/>
      <c r="B1475" s="341"/>
      <c r="C1475" s="60"/>
      <c r="D1475" s="60"/>
      <c r="E1475" s="58"/>
      <c r="F1475" s="58"/>
      <c r="G1475" s="58"/>
      <c r="H1475" s="33" t="str">
        <f t="shared" si="1"/>
        <v/>
      </c>
      <c r="I1475" s="58"/>
      <c r="J1475" s="58"/>
      <c r="K1475" s="58"/>
      <c r="L1475" s="38"/>
      <c r="M1475" s="58"/>
      <c r="N1475" s="58"/>
      <c r="O1475" s="58"/>
      <c r="P1475" s="80"/>
      <c r="Q1475" s="80"/>
      <c r="R1475" s="58"/>
      <c r="S1475" s="58"/>
      <c r="T1475" s="84"/>
      <c r="U1475" s="62"/>
      <c r="V1475" s="37" t="str">
        <f>IFERROR(__xludf.DUMMYFUNCTION("if(not(iserror(index(split(C1475, "" ""),2))), index(split(C1475, "" ""),1),"""")"),"")</f>
        <v/>
      </c>
      <c r="W1475" s="315" t="str">
        <f>IFERROR(__xludf.DUMMYFUNCTION("if(V1475="""",C1475,if(not(iserror(index(split(C1475, "" ""),3))), index(split(C1475, "" ""),3),index(split(C1475, "" ""),2)))"),"")</f>
        <v/>
      </c>
      <c r="X1475" s="38" t="b">
        <f t="shared" si="2"/>
        <v>0</v>
      </c>
      <c r="Y1475" s="38"/>
      <c r="Z1475" s="40"/>
      <c r="AA1475" s="40"/>
      <c r="AB1475" s="38"/>
      <c r="AC1475" s="38"/>
      <c r="AD1475" s="38"/>
      <c r="AE1475" s="38"/>
      <c r="AF1475" s="38"/>
      <c r="AG1475" s="38"/>
      <c r="AH1475" s="38"/>
      <c r="AI1475" s="38"/>
      <c r="AJ1475" s="38"/>
      <c r="AK1475" s="38"/>
      <c r="AL1475" s="38"/>
      <c r="AM1475" s="38"/>
      <c r="AN1475" s="38"/>
      <c r="AO1475" s="38"/>
      <c r="AP1475" s="38"/>
      <c r="AQ1475" s="38"/>
      <c r="AR1475" s="38"/>
      <c r="AS1475" s="38"/>
      <c r="AT1475" s="38"/>
      <c r="AU1475" s="38"/>
      <c r="AV1475" s="38"/>
      <c r="AW1475" s="38"/>
      <c r="AX1475" s="38"/>
      <c r="AY1475" s="38"/>
      <c r="AZ1475" s="38"/>
      <c r="BA1475" s="38"/>
      <c r="BB1475" s="38"/>
      <c r="BC1475" s="38"/>
      <c r="BD1475" s="38"/>
      <c r="BE1475" s="38"/>
      <c r="BF1475" s="38"/>
      <c r="BG1475" s="38"/>
    </row>
    <row r="1476">
      <c r="A1476" s="58"/>
      <c r="B1476" s="341"/>
      <c r="C1476" s="60"/>
      <c r="D1476" s="60"/>
      <c r="E1476" s="58"/>
      <c r="F1476" s="58"/>
      <c r="G1476" s="58"/>
      <c r="H1476" s="33" t="str">
        <f t="shared" si="1"/>
        <v/>
      </c>
      <c r="I1476" s="58"/>
      <c r="J1476" s="58"/>
      <c r="K1476" s="58"/>
      <c r="L1476" s="38"/>
      <c r="M1476" s="58"/>
      <c r="N1476" s="58"/>
      <c r="O1476" s="58"/>
      <c r="P1476" s="80"/>
      <c r="Q1476" s="80"/>
      <c r="R1476" s="58"/>
      <c r="S1476" s="58"/>
      <c r="T1476" s="84"/>
      <c r="U1476" s="62"/>
      <c r="V1476" s="37" t="str">
        <f>IFERROR(__xludf.DUMMYFUNCTION("if(not(iserror(index(split(C1476, "" ""),2))), index(split(C1476, "" ""),1),"""")"),"")</f>
        <v/>
      </c>
      <c r="W1476" s="315" t="str">
        <f>IFERROR(__xludf.DUMMYFUNCTION("if(V1476="""",C1476,if(not(iserror(index(split(C1476, "" ""),3))), index(split(C1476, "" ""),3),index(split(C1476, "" ""),2)))"),"")</f>
        <v/>
      </c>
      <c r="X1476" s="38" t="b">
        <f t="shared" si="2"/>
        <v>0</v>
      </c>
      <c r="Y1476" s="38"/>
      <c r="Z1476" s="40"/>
      <c r="AA1476" s="40"/>
      <c r="AB1476" s="38"/>
      <c r="AC1476" s="38"/>
      <c r="AD1476" s="38"/>
      <c r="AE1476" s="38"/>
      <c r="AF1476" s="38"/>
      <c r="AG1476" s="38"/>
      <c r="AH1476" s="38"/>
      <c r="AI1476" s="38"/>
      <c r="AJ1476" s="38"/>
      <c r="AK1476" s="38"/>
      <c r="AL1476" s="38"/>
      <c r="AM1476" s="38"/>
      <c r="AN1476" s="38"/>
      <c r="AO1476" s="38"/>
      <c r="AP1476" s="38"/>
      <c r="AQ1476" s="38"/>
      <c r="AR1476" s="38"/>
      <c r="AS1476" s="38"/>
      <c r="AT1476" s="38"/>
      <c r="AU1476" s="38"/>
      <c r="AV1476" s="38"/>
      <c r="AW1476" s="38"/>
      <c r="AX1476" s="38"/>
      <c r="AY1476" s="38"/>
      <c r="AZ1476" s="38"/>
      <c r="BA1476" s="38"/>
      <c r="BB1476" s="38"/>
      <c r="BC1476" s="38"/>
      <c r="BD1476" s="38"/>
      <c r="BE1476" s="38"/>
      <c r="BF1476" s="38"/>
      <c r="BG1476" s="38"/>
    </row>
    <row r="1477">
      <c r="A1477" s="58"/>
      <c r="B1477" s="341"/>
      <c r="C1477" s="60"/>
      <c r="D1477" s="60"/>
      <c r="E1477" s="58"/>
      <c r="F1477" s="58"/>
      <c r="G1477" s="58"/>
      <c r="H1477" s="33" t="str">
        <f t="shared" si="1"/>
        <v/>
      </c>
      <c r="I1477" s="58"/>
      <c r="J1477" s="58"/>
      <c r="K1477" s="58"/>
      <c r="L1477" s="38"/>
      <c r="M1477" s="58"/>
      <c r="N1477" s="58"/>
      <c r="O1477" s="58"/>
      <c r="P1477" s="80"/>
      <c r="Q1477" s="80"/>
      <c r="R1477" s="58"/>
      <c r="S1477" s="58"/>
      <c r="T1477" s="84"/>
      <c r="U1477" s="62"/>
      <c r="V1477" s="37" t="str">
        <f>IFERROR(__xludf.DUMMYFUNCTION("if(not(iserror(index(split(C1477, "" ""),2))), index(split(C1477, "" ""),1),"""")"),"")</f>
        <v/>
      </c>
      <c r="W1477" s="315" t="str">
        <f>IFERROR(__xludf.DUMMYFUNCTION("if(V1477="""",C1477,if(not(iserror(index(split(C1477, "" ""),3))), index(split(C1477, "" ""),3),index(split(C1477, "" ""),2)))"),"")</f>
        <v/>
      </c>
      <c r="X1477" s="38" t="b">
        <f t="shared" si="2"/>
        <v>0</v>
      </c>
      <c r="Y1477" s="38"/>
      <c r="Z1477" s="40"/>
      <c r="AA1477" s="40"/>
      <c r="AB1477" s="38"/>
      <c r="AC1477" s="38"/>
      <c r="AD1477" s="38"/>
      <c r="AE1477" s="38"/>
      <c r="AF1477" s="38"/>
      <c r="AG1477" s="38"/>
      <c r="AH1477" s="38"/>
      <c r="AI1477" s="38"/>
      <c r="AJ1477" s="38"/>
      <c r="AK1477" s="38"/>
      <c r="AL1477" s="38"/>
      <c r="AM1477" s="38"/>
      <c r="AN1477" s="38"/>
      <c r="AO1477" s="38"/>
      <c r="AP1477" s="38"/>
      <c r="AQ1477" s="38"/>
      <c r="AR1477" s="38"/>
      <c r="AS1477" s="38"/>
      <c r="AT1477" s="38"/>
      <c r="AU1477" s="38"/>
      <c r="AV1477" s="38"/>
      <c r="AW1477" s="38"/>
      <c r="AX1477" s="38"/>
      <c r="AY1477" s="38"/>
      <c r="AZ1477" s="38"/>
      <c r="BA1477" s="38"/>
      <c r="BB1477" s="38"/>
      <c r="BC1477" s="38"/>
      <c r="BD1477" s="38"/>
      <c r="BE1477" s="38"/>
      <c r="BF1477" s="38"/>
      <c r="BG1477" s="38"/>
    </row>
    <row r="1478">
      <c r="A1478" s="58"/>
      <c r="B1478" s="341"/>
      <c r="C1478" s="60"/>
      <c r="D1478" s="60"/>
      <c r="E1478" s="58"/>
      <c r="F1478" s="58"/>
      <c r="G1478" s="58"/>
      <c r="H1478" s="33" t="str">
        <f t="shared" si="1"/>
        <v/>
      </c>
      <c r="I1478" s="58"/>
      <c r="J1478" s="58"/>
      <c r="K1478" s="58"/>
      <c r="L1478" s="38"/>
      <c r="M1478" s="58"/>
      <c r="N1478" s="58"/>
      <c r="O1478" s="58"/>
      <c r="P1478" s="80"/>
      <c r="Q1478" s="80"/>
      <c r="R1478" s="58"/>
      <c r="S1478" s="58"/>
      <c r="T1478" s="84"/>
      <c r="U1478" s="62"/>
      <c r="V1478" s="37" t="str">
        <f>IFERROR(__xludf.DUMMYFUNCTION("if(not(iserror(index(split(C1478, "" ""),2))), index(split(C1478, "" ""),1),"""")"),"")</f>
        <v/>
      </c>
      <c r="W1478" s="315" t="str">
        <f>IFERROR(__xludf.DUMMYFUNCTION("if(V1478="""",C1478,if(not(iserror(index(split(C1478, "" ""),3))), index(split(C1478, "" ""),3),index(split(C1478, "" ""),2)))"),"")</f>
        <v/>
      </c>
      <c r="X1478" s="38" t="b">
        <f t="shared" si="2"/>
        <v>0</v>
      </c>
      <c r="Y1478" s="38"/>
      <c r="Z1478" s="40"/>
      <c r="AA1478" s="40"/>
      <c r="AB1478" s="38"/>
      <c r="AC1478" s="38"/>
      <c r="AD1478" s="38"/>
      <c r="AE1478" s="38"/>
      <c r="AF1478" s="38"/>
      <c r="AG1478" s="38"/>
      <c r="AH1478" s="38"/>
      <c r="AI1478" s="38"/>
      <c r="AJ1478" s="38"/>
      <c r="AK1478" s="38"/>
      <c r="AL1478" s="38"/>
      <c r="AM1478" s="38"/>
      <c r="AN1478" s="38"/>
      <c r="AO1478" s="38"/>
      <c r="AP1478" s="38"/>
      <c r="AQ1478" s="38"/>
      <c r="AR1478" s="38"/>
      <c r="AS1478" s="38"/>
      <c r="AT1478" s="38"/>
      <c r="AU1478" s="38"/>
      <c r="AV1478" s="38"/>
      <c r="AW1478" s="38"/>
      <c r="AX1478" s="38"/>
      <c r="AY1478" s="38"/>
      <c r="AZ1478" s="38"/>
      <c r="BA1478" s="38"/>
      <c r="BB1478" s="38"/>
      <c r="BC1478" s="38"/>
      <c r="BD1478" s="38"/>
      <c r="BE1478" s="38"/>
      <c r="BF1478" s="38"/>
      <c r="BG1478" s="38"/>
    </row>
    <row r="1479">
      <c r="A1479" s="58"/>
      <c r="B1479" s="341"/>
      <c r="C1479" s="60"/>
      <c r="D1479" s="60"/>
      <c r="E1479" s="58"/>
      <c r="F1479" s="58"/>
      <c r="G1479" s="58"/>
      <c r="H1479" s="33" t="str">
        <f t="shared" si="1"/>
        <v/>
      </c>
      <c r="I1479" s="58"/>
      <c r="J1479" s="58"/>
      <c r="K1479" s="58"/>
      <c r="L1479" s="38"/>
      <c r="M1479" s="58"/>
      <c r="N1479" s="58"/>
      <c r="O1479" s="58"/>
      <c r="P1479" s="80"/>
      <c r="Q1479" s="80"/>
      <c r="R1479" s="58"/>
      <c r="S1479" s="58"/>
      <c r="T1479" s="84"/>
      <c r="U1479" s="62"/>
      <c r="V1479" s="37" t="str">
        <f>IFERROR(__xludf.DUMMYFUNCTION("if(not(iserror(index(split(C1479, "" ""),2))), index(split(C1479, "" ""),1),"""")"),"")</f>
        <v/>
      </c>
      <c r="W1479" s="315" t="str">
        <f>IFERROR(__xludf.DUMMYFUNCTION("if(V1479="""",C1479,if(not(iserror(index(split(C1479, "" ""),3))), index(split(C1479, "" ""),3),index(split(C1479, "" ""),2)))"),"")</f>
        <v/>
      </c>
      <c r="X1479" s="38" t="b">
        <f t="shared" si="2"/>
        <v>0</v>
      </c>
      <c r="Y1479" s="38"/>
      <c r="Z1479" s="40"/>
      <c r="AA1479" s="40"/>
      <c r="AB1479" s="38"/>
      <c r="AC1479" s="38"/>
      <c r="AD1479" s="38"/>
      <c r="AE1479" s="38"/>
      <c r="AF1479" s="38"/>
      <c r="AG1479" s="38"/>
      <c r="AH1479" s="38"/>
      <c r="AI1479" s="38"/>
      <c r="AJ1479" s="38"/>
      <c r="AK1479" s="38"/>
      <c r="AL1479" s="38"/>
      <c r="AM1479" s="38"/>
      <c r="AN1479" s="38"/>
      <c r="AO1479" s="38"/>
      <c r="AP1479" s="38"/>
      <c r="AQ1479" s="38"/>
      <c r="AR1479" s="38"/>
      <c r="AS1479" s="38"/>
      <c r="AT1479" s="38"/>
      <c r="AU1479" s="38"/>
      <c r="AV1479" s="38"/>
      <c r="AW1479" s="38"/>
      <c r="AX1479" s="38"/>
      <c r="AY1479" s="38"/>
      <c r="AZ1479" s="38"/>
      <c r="BA1479" s="38"/>
      <c r="BB1479" s="38"/>
      <c r="BC1479" s="38"/>
      <c r="BD1479" s="38"/>
      <c r="BE1479" s="38"/>
      <c r="BF1479" s="38"/>
      <c r="BG1479" s="38"/>
    </row>
    <row r="1480">
      <c r="A1480" s="58"/>
      <c r="B1480" s="341"/>
      <c r="C1480" s="60"/>
      <c r="D1480" s="60"/>
      <c r="E1480" s="58"/>
      <c r="F1480" s="58"/>
      <c r="G1480" s="58"/>
      <c r="H1480" s="33" t="str">
        <f t="shared" si="1"/>
        <v/>
      </c>
      <c r="I1480" s="58"/>
      <c r="J1480" s="58"/>
      <c r="K1480" s="58"/>
      <c r="L1480" s="38"/>
      <c r="M1480" s="58"/>
      <c r="N1480" s="58"/>
      <c r="O1480" s="58"/>
      <c r="P1480" s="80"/>
      <c r="Q1480" s="80"/>
      <c r="R1480" s="58"/>
      <c r="S1480" s="58"/>
      <c r="T1480" s="84"/>
      <c r="U1480" s="62"/>
      <c r="V1480" s="37" t="str">
        <f>IFERROR(__xludf.DUMMYFUNCTION("if(not(iserror(index(split(C1480, "" ""),2))), index(split(C1480, "" ""),1),"""")"),"")</f>
        <v/>
      </c>
      <c r="W1480" s="315" t="str">
        <f>IFERROR(__xludf.DUMMYFUNCTION("if(V1480="""",C1480,if(not(iserror(index(split(C1480, "" ""),3))), index(split(C1480, "" ""),3),index(split(C1480, "" ""),2)))"),"")</f>
        <v/>
      </c>
      <c r="X1480" s="38" t="b">
        <f t="shared" si="2"/>
        <v>0</v>
      </c>
      <c r="Y1480" s="38"/>
      <c r="Z1480" s="40"/>
      <c r="AA1480" s="40"/>
      <c r="AB1480" s="38"/>
      <c r="AC1480" s="38"/>
      <c r="AD1480" s="38"/>
      <c r="AE1480" s="38"/>
      <c r="AF1480" s="38"/>
      <c r="AG1480" s="38"/>
      <c r="AH1480" s="38"/>
      <c r="AI1480" s="38"/>
      <c r="AJ1480" s="38"/>
      <c r="AK1480" s="38"/>
      <c r="AL1480" s="38"/>
      <c r="AM1480" s="38"/>
      <c r="AN1480" s="38"/>
      <c r="AO1480" s="38"/>
      <c r="AP1480" s="38"/>
      <c r="AQ1480" s="38"/>
      <c r="AR1480" s="38"/>
      <c r="AS1480" s="38"/>
      <c r="AT1480" s="38"/>
      <c r="AU1480" s="38"/>
      <c r="AV1480" s="38"/>
      <c r="AW1480" s="38"/>
      <c r="AX1480" s="38"/>
      <c r="AY1480" s="38"/>
      <c r="AZ1480" s="38"/>
      <c r="BA1480" s="38"/>
      <c r="BB1480" s="38"/>
      <c r="BC1480" s="38"/>
      <c r="BD1480" s="38"/>
      <c r="BE1480" s="38"/>
      <c r="BF1480" s="38"/>
      <c r="BG1480" s="38"/>
    </row>
    <row r="1481">
      <c r="A1481" s="58"/>
      <c r="B1481" s="341"/>
      <c r="C1481" s="60"/>
      <c r="D1481" s="60"/>
      <c r="E1481" s="58"/>
      <c r="F1481" s="58"/>
      <c r="G1481" s="58"/>
      <c r="H1481" s="33" t="str">
        <f t="shared" si="1"/>
        <v/>
      </c>
      <c r="I1481" s="58"/>
      <c r="J1481" s="58"/>
      <c r="K1481" s="58"/>
      <c r="L1481" s="38"/>
      <c r="M1481" s="58"/>
      <c r="N1481" s="58"/>
      <c r="O1481" s="58"/>
      <c r="P1481" s="80"/>
      <c r="Q1481" s="80"/>
      <c r="R1481" s="58"/>
      <c r="S1481" s="58"/>
      <c r="T1481" s="84"/>
      <c r="U1481" s="62"/>
      <c r="V1481" s="37" t="str">
        <f>IFERROR(__xludf.DUMMYFUNCTION("if(not(iserror(index(split(C1481, "" ""),2))), index(split(C1481, "" ""),1),"""")"),"")</f>
        <v/>
      </c>
      <c r="W1481" s="315" t="str">
        <f>IFERROR(__xludf.DUMMYFUNCTION("if(V1481="""",C1481,if(not(iserror(index(split(C1481, "" ""),3))), index(split(C1481, "" ""),3),index(split(C1481, "" ""),2)))"),"")</f>
        <v/>
      </c>
      <c r="X1481" s="38" t="b">
        <f t="shared" si="2"/>
        <v>0</v>
      </c>
      <c r="Y1481" s="38"/>
      <c r="Z1481" s="40"/>
      <c r="AA1481" s="40"/>
      <c r="AB1481" s="38"/>
      <c r="AC1481" s="38"/>
      <c r="AD1481" s="38"/>
      <c r="AE1481" s="38"/>
      <c r="AF1481" s="38"/>
      <c r="AG1481" s="38"/>
      <c r="AH1481" s="38"/>
      <c r="AI1481" s="38"/>
      <c r="AJ1481" s="38"/>
      <c r="AK1481" s="38"/>
      <c r="AL1481" s="38"/>
      <c r="AM1481" s="38"/>
      <c r="AN1481" s="38"/>
      <c r="AO1481" s="38"/>
      <c r="AP1481" s="38"/>
      <c r="AQ1481" s="38"/>
      <c r="AR1481" s="38"/>
      <c r="AS1481" s="38"/>
      <c r="AT1481" s="38"/>
      <c r="AU1481" s="38"/>
      <c r="AV1481" s="38"/>
      <c r="AW1481" s="38"/>
      <c r="AX1481" s="38"/>
      <c r="AY1481" s="38"/>
      <c r="AZ1481" s="38"/>
      <c r="BA1481" s="38"/>
      <c r="BB1481" s="38"/>
      <c r="BC1481" s="38"/>
      <c r="BD1481" s="38"/>
      <c r="BE1481" s="38"/>
      <c r="BF1481" s="38"/>
      <c r="BG1481" s="38"/>
    </row>
    <row r="1482">
      <c r="A1482" s="58"/>
      <c r="B1482" s="341"/>
      <c r="C1482" s="60"/>
      <c r="D1482" s="60"/>
      <c r="E1482" s="58"/>
      <c r="F1482" s="58"/>
      <c r="G1482" s="58"/>
      <c r="H1482" s="33" t="str">
        <f t="shared" si="1"/>
        <v/>
      </c>
      <c r="I1482" s="58"/>
      <c r="J1482" s="58"/>
      <c r="K1482" s="58"/>
      <c r="L1482" s="38"/>
      <c r="M1482" s="58"/>
      <c r="N1482" s="58"/>
      <c r="O1482" s="58"/>
      <c r="P1482" s="80"/>
      <c r="Q1482" s="80"/>
      <c r="R1482" s="58"/>
      <c r="S1482" s="58"/>
      <c r="T1482" s="84"/>
      <c r="U1482" s="62"/>
      <c r="V1482" s="37" t="str">
        <f>IFERROR(__xludf.DUMMYFUNCTION("if(not(iserror(index(split(C1482, "" ""),2))), index(split(C1482, "" ""),1),"""")"),"")</f>
        <v/>
      </c>
      <c r="W1482" s="315" t="str">
        <f>IFERROR(__xludf.DUMMYFUNCTION("if(V1482="""",C1482,if(not(iserror(index(split(C1482, "" ""),3))), index(split(C1482, "" ""),3),index(split(C1482, "" ""),2)))"),"")</f>
        <v/>
      </c>
      <c r="X1482" s="38" t="b">
        <f t="shared" si="2"/>
        <v>0</v>
      </c>
      <c r="Y1482" s="38"/>
      <c r="Z1482" s="40"/>
      <c r="AA1482" s="40"/>
      <c r="AB1482" s="38"/>
      <c r="AC1482" s="38"/>
      <c r="AD1482" s="38"/>
      <c r="AE1482" s="38"/>
      <c r="AF1482" s="38"/>
      <c r="AG1482" s="38"/>
      <c r="AH1482" s="38"/>
      <c r="AI1482" s="38"/>
      <c r="AJ1482" s="38"/>
      <c r="AK1482" s="38"/>
      <c r="AL1482" s="38"/>
      <c r="AM1482" s="38"/>
      <c r="AN1482" s="38"/>
      <c r="AO1482" s="38"/>
      <c r="AP1482" s="38"/>
      <c r="AQ1482" s="38"/>
      <c r="AR1482" s="38"/>
      <c r="AS1482" s="38"/>
      <c r="AT1482" s="38"/>
      <c r="AU1482" s="38"/>
      <c r="AV1482" s="38"/>
      <c r="AW1482" s="38"/>
      <c r="AX1482" s="38"/>
      <c r="AY1482" s="38"/>
      <c r="AZ1482" s="38"/>
      <c r="BA1482" s="38"/>
      <c r="BB1482" s="38"/>
      <c r="BC1482" s="38"/>
      <c r="BD1482" s="38"/>
      <c r="BE1482" s="38"/>
      <c r="BF1482" s="38"/>
      <c r="BG1482" s="38"/>
    </row>
    <row r="1483">
      <c r="A1483" s="58"/>
      <c r="B1483" s="341"/>
      <c r="C1483" s="60"/>
      <c r="D1483" s="60"/>
      <c r="E1483" s="58"/>
      <c r="F1483" s="58"/>
      <c r="G1483" s="58"/>
      <c r="H1483" s="33" t="str">
        <f t="shared" si="1"/>
        <v/>
      </c>
      <c r="I1483" s="58"/>
      <c r="J1483" s="58"/>
      <c r="K1483" s="58"/>
      <c r="L1483" s="38"/>
      <c r="M1483" s="58"/>
      <c r="N1483" s="58"/>
      <c r="O1483" s="58"/>
      <c r="P1483" s="80"/>
      <c r="Q1483" s="80"/>
      <c r="R1483" s="58"/>
      <c r="S1483" s="58"/>
      <c r="T1483" s="84"/>
      <c r="U1483" s="62"/>
      <c r="V1483" s="37" t="str">
        <f>IFERROR(__xludf.DUMMYFUNCTION("if(not(iserror(index(split(C1483, "" ""),2))), index(split(C1483, "" ""),1),"""")"),"")</f>
        <v/>
      </c>
      <c r="W1483" s="315" t="str">
        <f>IFERROR(__xludf.DUMMYFUNCTION("if(V1483="""",C1483,if(not(iserror(index(split(C1483, "" ""),3))), index(split(C1483, "" ""),3),index(split(C1483, "" ""),2)))"),"")</f>
        <v/>
      </c>
      <c r="X1483" s="38" t="b">
        <f t="shared" si="2"/>
        <v>0</v>
      </c>
      <c r="Y1483" s="38"/>
      <c r="Z1483" s="40"/>
      <c r="AA1483" s="40"/>
      <c r="AB1483" s="38"/>
      <c r="AC1483" s="38"/>
      <c r="AD1483" s="38"/>
      <c r="AE1483" s="38"/>
      <c r="AF1483" s="38"/>
      <c r="AG1483" s="38"/>
      <c r="AH1483" s="38"/>
      <c r="AI1483" s="38"/>
      <c r="AJ1483" s="38"/>
      <c r="AK1483" s="38"/>
      <c r="AL1483" s="38"/>
      <c r="AM1483" s="38"/>
      <c r="AN1483" s="38"/>
      <c r="AO1483" s="38"/>
      <c r="AP1483" s="38"/>
      <c r="AQ1483" s="38"/>
      <c r="AR1483" s="38"/>
      <c r="AS1483" s="38"/>
      <c r="AT1483" s="38"/>
      <c r="AU1483" s="38"/>
      <c r="AV1483" s="38"/>
      <c r="AW1483" s="38"/>
      <c r="AX1483" s="38"/>
      <c r="AY1483" s="38"/>
      <c r="AZ1483" s="38"/>
      <c r="BA1483" s="38"/>
      <c r="BB1483" s="38"/>
      <c r="BC1483" s="38"/>
      <c r="BD1483" s="38"/>
      <c r="BE1483" s="38"/>
      <c r="BF1483" s="38"/>
      <c r="BG1483" s="38"/>
    </row>
    <row r="1484">
      <c r="A1484" s="58"/>
      <c r="B1484" s="341"/>
      <c r="C1484" s="60"/>
      <c r="D1484" s="60"/>
      <c r="E1484" s="58"/>
      <c r="F1484" s="58"/>
      <c r="G1484" s="58"/>
      <c r="H1484" s="33" t="str">
        <f t="shared" si="1"/>
        <v/>
      </c>
      <c r="I1484" s="58"/>
      <c r="J1484" s="58"/>
      <c r="K1484" s="58"/>
      <c r="L1484" s="38"/>
      <c r="M1484" s="58"/>
      <c r="N1484" s="58"/>
      <c r="O1484" s="58"/>
      <c r="P1484" s="80"/>
      <c r="Q1484" s="80"/>
      <c r="R1484" s="58"/>
      <c r="S1484" s="62"/>
      <c r="T1484" s="84"/>
      <c r="U1484" s="62"/>
      <c r="V1484" s="37" t="str">
        <f>IFERROR(__xludf.DUMMYFUNCTION("if(not(iserror(index(split(C1484, "" ""),2))), index(split(C1484, "" ""),1),"""")"),"")</f>
        <v/>
      </c>
      <c r="W1484" s="315" t="str">
        <f>IFERROR(__xludf.DUMMYFUNCTION("if(V1484="""",C1484,if(not(iserror(index(split(C1484, "" ""),3))), index(split(C1484, "" ""),3),index(split(C1484, "" ""),2)))"),"")</f>
        <v/>
      </c>
      <c r="X1484" s="38" t="b">
        <f t="shared" si="2"/>
        <v>0</v>
      </c>
      <c r="Y1484" s="38"/>
      <c r="Z1484" s="40"/>
      <c r="AA1484" s="40"/>
      <c r="AB1484" s="38"/>
      <c r="AC1484" s="38"/>
      <c r="AD1484" s="38"/>
      <c r="AE1484" s="38"/>
      <c r="AF1484" s="38"/>
      <c r="AG1484" s="38"/>
      <c r="AH1484" s="38"/>
      <c r="AI1484" s="38"/>
      <c r="AJ1484" s="38"/>
      <c r="AK1484" s="38"/>
      <c r="AL1484" s="38"/>
      <c r="AM1484" s="38"/>
      <c r="AN1484" s="38"/>
      <c r="AO1484" s="38"/>
      <c r="AP1484" s="38"/>
      <c r="AQ1484" s="38"/>
      <c r="AR1484" s="38"/>
      <c r="AS1484" s="38"/>
      <c r="AT1484" s="38"/>
      <c r="AU1484" s="38"/>
      <c r="AV1484" s="38"/>
      <c r="AW1484" s="38"/>
      <c r="AX1484" s="38"/>
      <c r="AY1484" s="38"/>
      <c r="AZ1484" s="38"/>
      <c r="BA1484" s="38"/>
      <c r="BB1484" s="38"/>
      <c r="BC1484" s="38"/>
      <c r="BD1484" s="38"/>
      <c r="BE1484" s="38"/>
      <c r="BF1484" s="38"/>
      <c r="BG1484" s="38"/>
    </row>
    <row r="1485">
      <c r="A1485" s="58"/>
      <c r="B1485" s="341"/>
      <c r="C1485" s="60"/>
      <c r="D1485" s="60"/>
      <c r="E1485" s="58"/>
      <c r="F1485" s="58"/>
      <c r="G1485" s="58"/>
      <c r="H1485" s="33" t="str">
        <f t="shared" si="1"/>
        <v/>
      </c>
      <c r="I1485" s="58"/>
      <c r="J1485" s="58"/>
      <c r="K1485" s="58"/>
      <c r="L1485" s="38"/>
      <c r="M1485" s="58"/>
      <c r="N1485" s="58"/>
      <c r="O1485" s="58"/>
      <c r="P1485" s="80"/>
      <c r="Q1485" s="80"/>
      <c r="R1485" s="58"/>
      <c r="S1485" s="58"/>
      <c r="T1485" s="84"/>
      <c r="U1485" s="62"/>
      <c r="V1485" s="37" t="str">
        <f>IFERROR(__xludf.DUMMYFUNCTION("if(not(iserror(index(split(C1485, "" ""),2))), index(split(C1485, "" ""),1),"""")"),"")</f>
        <v/>
      </c>
      <c r="W1485" s="315" t="str">
        <f>IFERROR(__xludf.DUMMYFUNCTION("if(V1485="""",C1485,if(not(iserror(index(split(C1485, "" ""),3))), index(split(C1485, "" ""),3),index(split(C1485, "" ""),2)))"),"")</f>
        <v/>
      </c>
      <c r="X1485" s="38" t="b">
        <f t="shared" si="2"/>
        <v>0</v>
      </c>
      <c r="Y1485" s="38"/>
      <c r="Z1485" s="40"/>
      <c r="AA1485" s="40"/>
      <c r="AB1485" s="38"/>
      <c r="AC1485" s="38"/>
      <c r="AD1485" s="38"/>
      <c r="AE1485" s="38"/>
      <c r="AF1485" s="38"/>
      <c r="AG1485" s="38"/>
      <c r="AH1485" s="38"/>
      <c r="AI1485" s="38"/>
      <c r="AJ1485" s="38"/>
      <c r="AK1485" s="38"/>
      <c r="AL1485" s="38"/>
      <c r="AM1485" s="38"/>
      <c r="AN1485" s="38"/>
      <c r="AO1485" s="38"/>
      <c r="AP1485" s="38"/>
      <c r="AQ1485" s="38"/>
      <c r="AR1485" s="38"/>
      <c r="AS1485" s="38"/>
      <c r="AT1485" s="38"/>
      <c r="AU1485" s="38"/>
      <c r="AV1485" s="38"/>
      <c r="AW1485" s="38"/>
      <c r="AX1485" s="38"/>
      <c r="AY1485" s="38"/>
      <c r="AZ1485" s="38"/>
      <c r="BA1485" s="38"/>
      <c r="BB1485" s="38"/>
      <c r="BC1485" s="38"/>
      <c r="BD1485" s="38"/>
      <c r="BE1485" s="38"/>
      <c r="BF1485" s="38"/>
      <c r="BG1485" s="38"/>
    </row>
    <row r="1486">
      <c r="A1486" s="58"/>
      <c r="B1486" s="341"/>
      <c r="C1486" s="60"/>
      <c r="D1486" s="60"/>
      <c r="E1486" s="58"/>
      <c r="F1486" s="58"/>
      <c r="G1486" s="58"/>
      <c r="H1486" s="33" t="str">
        <f t="shared" si="1"/>
        <v/>
      </c>
      <c r="I1486" s="58"/>
      <c r="J1486" s="58"/>
      <c r="K1486" s="58"/>
      <c r="L1486" s="38"/>
      <c r="M1486" s="58"/>
      <c r="N1486" s="58"/>
      <c r="O1486" s="58"/>
      <c r="P1486" s="80"/>
      <c r="Q1486" s="80"/>
      <c r="R1486" s="120"/>
      <c r="S1486" s="120"/>
      <c r="T1486" s="58"/>
      <c r="U1486" s="62"/>
      <c r="V1486" s="37" t="str">
        <f>IFERROR(__xludf.DUMMYFUNCTION("if(not(iserror(index(split(C1486, "" ""),2))), index(split(C1486, "" ""),1),"""")"),"")</f>
        <v/>
      </c>
      <c r="W1486" s="315" t="str">
        <f>IFERROR(__xludf.DUMMYFUNCTION("if(V1486="""",C1486,if(not(iserror(index(split(C1486, "" ""),3))), index(split(C1486, "" ""),3),index(split(C1486, "" ""),2)))"),"")</f>
        <v/>
      </c>
      <c r="X1486" s="38" t="b">
        <f t="shared" si="2"/>
        <v>0</v>
      </c>
      <c r="Y1486" s="38"/>
      <c r="Z1486" s="40"/>
      <c r="AA1486" s="40"/>
      <c r="AB1486" s="38"/>
      <c r="AC1486" s="38"/>
      <c r="AD1486" s="38"/>
      <c r="AE1486" s="38"/>
      <c r="AF1486" s="38"/>
      <c r="AG1486" s="38"/>
      <c r="AH1486" s="38"/>
      <c r="AI1486" s="38"/>
      <c r="AJ1486" s="38"/>
      <c r="AK1486" s="38"/>
      <c r="AL1486" s="38"/>
      <c r="AM1486" s="38"/>
      <c r="AN1486" s="38"/>
      <c r="AO1486" s="38"/>
      <c r="AP1486" s="38"/>
      <c r="AQ1486" s="38"/>
      <c r="AR1486" s="38"/>
      <c r="AS1486" s="38"/>
      <c r="AT1486" s="38"/>
      <c r="AU1486" s="38"/>
      <c r="AV1486" s="38"/>
      <c r="AW1486" s="38"/>
      <c r="AX1486" s="38"/>
      <c r="AY1486" s="38"/>
      <c r="AZ1486" s="38"/>
      <c r="BA1486" s="38"/>
      <c r="BB1486" s="38"/>
      <c r="BC1486" s="38"/>
      <c r="BD1486" s="38"/>
      <c r="BE1486" s="38"/>
      <c r="BF1486" s="38"/>
      <c r="BG1486" s="38"/>
    </row>
    <row r="1487">
      <c r="A1487" s="58"/>
      <c r="B1487" s="341"/>
      <c r="C1487" s="60"/>
      <c r="D1487" s="60"/>
      <c r="E1487" s="58"/>
      <c r="F1487" s="58"/>
      <c r="G1487" s="58"/>
      <c r="H1487" s="33" t="str">
        <f t="shared" si="1"/>
        <v/>
      </c>
      <c r="I1487" s="58"/>
      <c r="J1487" s="58"/>
      <c r="K1487" s="58"/>
      <c r="L1487" s="38"/>
      <c r="M1487" s="58"/>
      <c r="N1487" s="58"/>
      <c r="O1487" s="58"/>
      <c r="P1487" s="80"/>
      <c r="Q1487" s="80"/>
      <c r="R1487" s="58"/>
      <c r="S1487" s="58"/>
      <c r="T1487" s="84"/>
      <c r="U1487" s="62"/>
      <c r="V1487" s="37" t="str">
        <f>IFERROR(__xludf.DUMMYFUNCTION("if(not(iserror(index(split(C1487, "" ""),2))), index(split(C1487, "" ""),1),"""")"),"")</f>
        <v/>
      </c>
      <c r="W1487" s="315" t="str">
        <f>IFERROR(__xludf.DUMMYFUNCTION("if(V1487="""",C1487,if(not(iserror(index(split(C1487, "" ""),3))), index(split(C1487, "" ""),3),index(split(C1487, "" ""),2)))"),"")</f>
        <v/>
      </c>
      <c r="X1487" s="38" t="b">
        <f t="shared" si="2"/>
        <v>0</v>
      </c>
      <c r="Y1487" s="38"/>
      <c r="Z1487" s="40"/>
      <c r="AA1487" s="40"/>
      <c r="AB1487" s="38"/>
      <c r="AC1487" s="38"/>
      <c r="AD1487" s="38"/>
      <c r="AE1487" s="38"/>
      <c r="AF1487" s="38"/>
      <c r="AG1487" s="38"/>
      <c r="AH1487" s="38"/>
      <c r="AI1487" s="38"/>
      <c r="AJ1487" s="38"/>
      <c r="AK1487" s="38"/>
      <c r="AL1487" s="38"/>
      <c r="AM1487" s="38"/>
      <c r="AN1487" s="38"/>
      <c r="AO1487" s="38"/>
      <c r="AP1487" s="38"/>
      <c r="AQ1487" s="38"/>
      <c r="AR1487" s="38"/>
      <c r="AS1487" s="38"/>
      <c r="AT1487" s="38"/>
      <c r="AU1487" s="38"/>
      <c r="AV1487" s="38"/>
      <c r="AW1487" s="38"/>
      <c r="AX1487" s="38"/>
      <c r="AY1487" s="38"/>
      <c r="AZ1487" s="38"/>
      <c r="BA1487" s="38"/>
      <c r="BB1487" s="38"/>
      <c r="BC1487" s="38"/>
      <c r="BD1487" s="38"/>
      <c r="BE1487" s="38"/>
      <c r="BF1487" s="38"/>
      <c r="BG1487" s="38"/>
    </row>
    <row r="1488">
      <c r="A1488" s="58"/>
      <c r="B1488" s="341"/>
      <c r="C1488" s="60"/>
      <c r="D1488" s="60"/>
      <c r="E1488" s="58"/>
      <c r="F1488" s="58"/>
      <c r="G1488" s="58"/>
      <c r="H1488" s="33" t="str">
        <f t="shared" si="1"/>
        <v/>
      </c>
      <c r="I1488" s="58"/>
      <c r="J1488" s="58"/>
      <c r="K1488" s="58"/>
      <c r="L1488" s="38"/>
      <c r="M1488" s="58"/>
      <c r="N1488" s="58"/>
      <c r="O1488" s="58"/>
      <c r="P1488" s="80"/>
      <c r="Q1488" s="80"/>
      <c r="R1488" s="58"/>
      <c r="S1488" s="58"/>
      <c r="T1488" s="84"/>
      <c r="U1488" s="62"/>
      <c r="V1488" s="37" t="str">
        <f>IFERROR(__xludf.DUMMYFUNCTION("if(not(iserror(index(split(C1488, "" ""),2))), index(split(C1488, "" ""),1),"""")"),"")</f>
        <v/>
      </c>
      <c r="W1488" s="315" t="str">
        <f>IFERROR(__xludf.DUMMYFUNCTION("if(V1488="""",C1488,if(not(iserror(index(split(C1488, "" ""),3))), index(split(C1488, "" ""),3),index(split(C1488, "" ""),2)))"),"")</f>
        <v/>
      </c>
      <c r="X1488" s="38" t="b">
        <f t="shared" si="2"/>
        <v>0</v>
      </c>
      <c r="Y1488" s="38"/>
      <c r="Z1488" s="40"/>
      <c r="AA1488" s="40"/>
      <c r="AB1488" s="38"/>
      <c r="AC1488" s="38"/>
      <c r="AD1488" s="38"/>
      <c r="AE1488" s="38"/>
      <c r="AF1488" s="38"/>
      <c r="AG1488" s="38"/>
      <c r="AH1488" s="38"/>
      <c r="AI1488" s="38"/>
      <c r="AJ1488" s="38"/>
      <c r="AK1488" s="38"/>
      <c r="AL1488" s="38"/>
      <c r="AM1488" s="38"/>
      <c r="AN1488" s="38"/>
      <c r="AO1488" s="38"/>
      <c r="AP1488" s="38"/>
      <c r="AQ1488" s="38"/>
      <c r="AR1488" s="38"/>
      <c r="AS1488" s="38"/>
      <c r="AT1488" s="38"/>
      <c r="AU1488" s="38"/>
      <c r="AV1488" s="38"/>
      <c r="AW1488" s="38"/>
      <c r="AX1488" s="38"/>
      <c r="AY1488" s="38"/>
      <c r="AZ1488" s="38"/>
      <c r="BA1488" s="38"/>
      <c r="BB1488" s="38"/>
      <c r="BC1488" s="38"/>
      <c r="BD1488" s="38"/>
      <c r="BE1488" s="38"/>
      <c r="BF1488" s="38"/>
      <c r="BG1488" s="38"/>
    </row>
    <row r="1489">
      <c r="A1489" s="58"/>
      <c r="B1489" s="341"/>
      <c r="C1489" s="60"/>
      <c r="D1489" s="60"/>
      <c r="E1489" s="58"/>
      <c r="F1489" s="58"/>
      <c r="G1489" s="58"/>
      <c r="H1489" s="33" t="str">
        <f t="shared" si="1"/>
        <v/>
      </c>
      <c r="I1489" s="58"/>
      <c r="J1489" s="58"/>
      <c r="K1489" s="58"/>
      <c r="L1489" s="38"/>
      <c r="M1489" s="58"/>
      <c r="N1489" s="58"/>
      <c r="O1489" s="58"/>
      <c r="P1489" s="80"/>
      <c r="Q1489" s="80"/>
      <c r="R1489" s="58"/>
      <c r="S1489" s="58"/>
      <c r="T1489" s="84"/>
      <c r="U1489" s="62"/>
      <c r="V1489" s="37" t="str">
        <f>IFERROR(__xludf.DUMMYFUNCTION("if(not(iserror(index(split(C1489, "" ""),2))), index(split(C1489, "" ""),1),"""")"),"")</f>
        <v/>
      </c>
      <c r="W1489" s="315" t="str">
        <f>IFERROR(__xludf.DUMMYFUNCTION("if(V1489="""",C1489,if(not(iserror(index(split(C1489, "" ""),3))), index(split(C1489, "" ""),3),index(split(C1489, "" ""),2)))"),"")</f>
        <v/>
      </c>
      <c r="X1489" s="38" t="b">
        <f t="shared" si="2"/>
        <v>0</v>
      </c>
      <c r="Y1489" s="38"/>
      <c r="Z1489" s="40"/>
      <c r="AA1489" s="40"/>
      <c r="AB1489" s="38"/>
      <c r="AC1489" s="38"/>
      <c r="AD1489" s="38"/>
      <c r="AE1489" s="38"/>
      <c r="AF1489" s="38"/>
      <c r="AG1489" s="38"/>
      <c r="AH1489" s="38"/>
      <c r="AI1489" s="38"/>
      <c r="AJ1489" s="38"/>
      <c r="AK1489" s="38"/>
      <c r="AL1489" s="38"/>
      <c r="AM1489" s="38"/>
      <c r="AN1489" s="38"/>
      <c r="AO1489" s="38"/>
      <c r="AP1489" s="38"/>
      <c r="AQ1489" s="38"/>
      <c r="AR1489" s="38"/>
      <c r="AS1489" s="38"/>
      <c r="AT1489" s="38"/>
      <c r="AU1489" s="38"/>
      <c r="AV1489" s="38"/>
      <c r="AW1489" s="38"/>
      <c r="AX1489" s="38"/>
      <c r="AY1489" s="38"/>
      <c r="AZ1489" s="38"/>
      <c r="BA1489" s="38"/>
      <c r="BB1489" s="38"/>
      <c r="BC1489" s="38"/>
      <c r="BD1489" s="38"/>
      <c r="BE1489" s="38"/>
      <c r="BF1489" s="38"/>
      <c r="BG1489" s="38"/>
    </row>
    <row r="1490">
      <c r="A1490" s="58"/>
      <c r="B1490" s="341"/>
      <c r="C1490" s="60"/>
      <c r="D1490" s="60"/>
      <c r="E1490" s="58"/>
      <c r="F1490" s="58"/>
      <c r="G1490" s="58"/>
      <c r="H1490" s="33" t="str">
        <f t="shared" si="1"/>
        <v/>
      </c>
      <c r="I1490" s="58"/>
      <c r="J1490" s="58"/>
      <c r="K1490" s="58"/>
      <c r="L1490" s="38"/>
      <c r="M1490" s="58"/>
      <c r="N1490" s="58"/>
      <c r="O1490" s="58"/>
      <c r="P1490" s="80"/>
      <c r="Q1490" s="80"/>
      <c r="R1490" s="58"/>
      <c r="S1490" s="58"/>
      <c r="T1490" s="84"/>
      <c r="U1490" s="62"/>
      <c r="V1490" s="37" t="str">
        <f>IFERROR(__xludf.DUMMYFUNCTION("if(not(iserror(index(split(C1490, "" ""),2))), index(split(C1490, "" ""),1),"""")"),"")</f>
        <v/>
      </c>
      <c r="W1490" s="315" t="str">
        <f>IFERROR(__xludf.DUMMYFUNCTION("if(V1490="""",C1490,if(not(iserror(index(split(C1490, "" ""),3))), index(split(C1490, "" ""),3),index(split(C1490, "" ""),2)))"),"")</f>
        <v/>
      </c>
      <c r="X1490" s="38" t="b">
        <f t="shared" si="2"/>
        <v>0</v>
      </c>
      <c r="Y1490" s="38"/>
      <c r="Z1490" s="40"/>
      <c r="AA1490" s="40"/>
      <c r="AB1490" s="38"/>
      <c r="AC1490" s="38"/>
      <c r="AD1490" s="38"/>
      <c r="AE1490" s="38"/>
      <c r="AF1490" s="38"/>
      <c r="AG1490" s="38"/>
      <c r="AH1490" s="38"/>
      <c r="AI1490" s="38"/>
      <c r="AJ1490" s="38"/>
      <c r="AK1490" s="38"/>
      <c r="AL1490" s="38"/>
      <c r="AM1490" s="38"/>
      <c r="AN1490" s="38"/>
      <c r="AO1490" s="38"/>
      <c r="AP1490" s="38"/>
      <c r="AQ1490" s="38"/>
      <c r="AR1490" s="38"/>
      <c r="AS1490" s="38"/>
      <c r="AT1490" s="38"/>
      <c r="AU1490" s="38"/>
      <c r="AV1490" s="38"/>
      <c r="AW1490" s="38"/>
      <c r="AX1490" s="38"/>
      <c r="AY1490" s="38"/>
      <c r="AZ1490" s="38"/>
      <c r="BA1490" s="38"/>
      <c r="BB1490" s="38"/>
      <c r="BC1490" s="38"/>
      <c r="BD1490" s="38"/>
      <c r="BE1490" s="38"/>
      <c r="BF1490" s="38"/>
      <c r="BG1490" s="38"/>
    </row>
    <row r="1491">
      <c r="A1491" s="58"/>
      <c r="B1491" s="341"/>
      <c r="C1491" s="60"/>
      <c r="D1491" s="60"/>
      <c r="E1491" s="58"/>
      <c r="F1491" s="58"/>
      <c r="G1491" s="58"/>
      <c r="H1491" s="33" t="str">
        <f t="shared" si="1"/>
        <v/>
      </c>
      <c r="I1491" s="58"/>
      <c r="J1491" s="58"/>
      <c r="K1491" s="58"/>
      <c r="L1491" s="38"/>
      <c r="M1491" s="58"/>
      <c r="N1491" s="58"/>
      <c r="O1491" s="58"/>
      <c r="P1491" s="80"/>
      <c r="Q1491" s="80"/>
      <c r="R1491" s="58"/>
      <c r="S1491" s="58"/>
      <c r="T1491" s="84"/>
      <c r="U1491" s="62"/>
      <c r="V1491" s="37" t="str">
        <f>IFERROR(__xludf.DUMMYFUNCTION("if(not(iserror(index(split(C1491, "" ""),2))), index(split(C1491, "" ""),1),"""")"),"")</f>
        <v/>
      </c>
      <c r="W1491" s="315" t="str">
        <f>IFERROR(__xludf.DUMMYFUNCTION("if(V1491="""",C1491,if(not(iserror(index(split(C1491, "" ""),3))), index(split(C1491, "" ""),3),index(split(C1491, "" ""),2)))"),"")</f>
        <v/>
      </c>
      <c r="X1491" s="38" t="b">
        <f t="shared" si="2"/>
        <v>0</v>
      </c>
      <c r="Y1491" s="38"/>
      <c r="Z1491" s="40"/>
      <c r="AA1491" s="40"/>
      <c r="AB1491" s="38"/>
      <c r="AC1491" s="38"/>
      <c r="AD1491" s="38"/>
      <c r="AE1491" s="38"/>
      <c r="AF1491" s="38"/>
      <c r="AG1491" s="38"/>
      <c r="AH1491" s="38"/>
      <c r="AI1491" s="38"/>
      <c r="AJ1491" s="38"/>
      <c r="AK1491" s="38"/>
      <c r="AL1491" s="38"/>
      <c r="AM1491" s="38"/>
      <c r="AN1491" s="38"/>
      <c r="AO1491" s="38"/>
      <c r="AP1491" s="38"/>
      <c r="AQ1491" s="38"/>
      <c r="AR1491" s="38"/>
      <c r="AS1491" s="38"/>
      <c r="AT1491" s="38"/>
      <c r="AU1491" s="38"/>
      <c r="AV1491" s="38"/>
      <c r="AW1491" s="38"/>
      <c r="AX1491" s="38"/>
      <c r="AY1491" s="38"/>
      <c r="AZ1491" s="38"/>
      <c r="BA1491" s="38"/>
      <c r="BB1491" s="38"/>
      <c r="BC1491" s="38"/>
      <c r="BD1491" s="38"/>
      <c r="BE1491" s="38"/>
      <c r="BF1491" s="38"/>
      <c r="BG1491" s="38"/>
    </row>
    <row r="1492">
      <c r="A1492" s="58"/>
      <c r="B1492" s="341"/>
      <c r="C1492" s="60"/>
      <c r="D1492" s="60"/>
      <c r="E1492" s="58"/>
      <c r="F1492" s="58"/>
      <c r="G1492" s="58"/>
      <c r="H1492" s="33" t="str">
        <f t="shared" si="1"/>
        <v/>
      </c>
      <c r="I1492" s="58"/>
      <c r="J1492" s="58"/>
      <c r="K1492" s="58"/>
      <c r="L1492" s="38"/>
      <c r="M1492" s="58"/>
      <c r="N1492" s="58"/>
      <c r="O1492" s="58"/>
      <c r="P1492" s="80"/>
      <c r="Q1492" s="80"/>
      <c r="R1492" s="58"/>
      <c r="S1492" s="58"/>
      <c r="T1492" s="84"/>
      <c r="U1492" s="62"/>
      <c r="V1492" s="37" t="str">
        <f>IFERROR(__xludf.DUMMYFUNCTION("if(not(iserror(index(split(C1492, "" ""),2))), index(split(C1492, "" ""),1),"""")"),"")</f>
        <v/>
      </c>
      <c r="W1492" s="315" t="str">
        <f>IFERROR(__xludf.DUMMYFUNCTION("if(V1492="""",C1492,if(not(iserror(index(split(C1492, "" ""),3))), index(split(C1492, "" ""),3),index(split(C1492, "" ""),2)))"),"")</f>
        <v/>
      </c>
      <c r="X1492" s="38" t="b">
        <f t="shared" si="2"/>
        <v>0</v>
      </c>
      <c r="Y1492" s="38"/>
      <c r="Z1492" s="40"/>
      <c r="AA1492" s="40"/>
      <c r="AB1492" s="38"/>
      <c r="AC1492" s="38"/>
      <c r="AD1492" s="38"/>
      <c r="AE1492" s="38"/>
      <c r="AF1492" s="38"/>
      <c r="AG1492" s="38"/>
      <c r="AH1492" s="38"/>
      <c r="AI1492" s="38"/>
      <c r="AJ1492" s="38"/>
      <c r="AK1492" s="38"/>
      <c r="AL1492" s="38"/>
      <c r="AM1492" s="38"/>
      <c r="AN1492" s="38"/>
      <c r="AO1492" s="38"/>
      <c r="AP1492" s="38"/>
      <c r="AQ1492" s="38"/>
      <c r="AR1492" s="38"/>
      <c r="AS1492" s="38"/>
      <c r="AT1492" s="38"/>
      <c r="AU1492" s="38"/>
      <c r="AV1492" s="38"/>
      <c r="AW1492" s="38"/>
      <c r="AX1492" s="38"/>
      <c r="AY1492" s="38"/>
      <c r="AZ1492" s="38"/>
      <c r="BA1492" s="38"/>
      <c r="BB1492" s="38"/>
      <c r="BC1492" s="38"/>
      <c r="BD1492" s="38"/>
      <c r="BE1492" s="38"/>
      <c r="BF1492" s="38"/>
      <c r="BG1492" s="38"/>
    </row>
    <row r="1493">
      <c r="A1493" s="375"/>
      <c r="B1493" s="341"/>
      <c r="C1493" s="60"/>
      <c r="D1493" s="60"/>
      <c r="E1493" s="58"/>
      <c r="F1493" s="58"/>
      <c r="G1493" s="58"/>
      <c r="H1493" s="33" t="str">
        <f t="shared" si="1"/>
        <v/>
      </c>
      <c r="I1493" s="58"/>
      <c r="J1493" s="58"/>
      <c r="K1493" s="58"/>
      <c r="L1493" s="38"/>
      <c r="M1493" s="58"/>
      <c r="N1493" s="58"/>
      <c r="O1493" s="58"/>
      <c r="P1493" s="80"/>
      <c r="Q1493" s="80"/>
      <c r="R1493" s="58"/>
      <c r="S1493" s="58"/>
      <c r="T1493" s="58"/>
      <c r="U1493" s="62"/>
      <c r="V1493" s="37" t="str">
        <f>IFERROR(__xludf.DUMMYFUNCTION("if(not(iserror(index(split(C1493, "" ""),2))), index(split(C1493, "" ""),1),"""")"),"")</f>
        <v/>
      </c>
      <c r="W1493" s="315" t="str">
        <f>IFERROR(__xludf.DUMMYFUNCTION("if(V1493="""",C1493,if(not(iserror(index(split(C1493, "" ""),3))), index(split(C1493, "" ""),3),index(split(C1493, "" ""),2)))"),"")</f>
        <v/>
      </c>
      <c r="X1493" s="38" t="b">
        <f t="shared" si="2"/>
        <v>0</v>
      </c>
      <c r="Y1493" s="38"/>
      <c r="Z1493" s="40"/>
      <c r="AA1493" s="40"/>
      <c r="AB1493" s="38"/>
      <c r="AC1493" s="38"/>
      <c r="AD1493" s="38"/>
      <c r="AE1493" s="38"/>
      <c r="AF1493" s="38"/>
      <c r="AG1493" s="38"/>
      <c r="AH1493" s="38"/>
      <c r="AI1493" s="38"/>
      <c r="AJ1493" s="38"/>
      <c r="AK1493" s="38"/>
      <c r="AL1493" s="38"/>
      <c r="AM1493" s="38"/>
      <c r="AN1493" s="38"/>
      <c r="AO1493" s="38"/>
      <c r="AP1493" s="38"/>
      <c r="AQ1493" s="38"/>
      <c r="AR1493" s="38"/>
      <c r="AS1493" s="38"/>
      <c r="AT1493" s="38"/>
      <c r="AU1493" s="38"/>
      <c r="AV1493" s="38"/>
      <c r="AW1493" s="38"/>
      <c r="AX1493" s="38"/>
      <c r="AY1493" s="38"/>
      <c r="AZ1493" s="38"/>
      <c r="BA1493" s="38"/>
      <c r="BB1493" s="38"/>
      <c r="BC1493" s="38"/>
      <c r="BD1493" s="38"/>
      <c r="BE1493" s="38"/>
      <c r="BF1493" s="38"/>
      <c r="BG1493" s="38"/>
    </row>
    <row r="1494">
      <c r="A1494" s="58"/>
      <c r="B1494" s="341"/>
      <c r="C1494" s="60"/>
      <c r="D1494" s="60"/>
      <c r="E1494" s="58"/>
      <c r="F1494" s="58"/>
      <c r="G1494" s="58"/>
      <c r="H1494" s="33" t="str">
        <f t="shared" si="1"/>
        <v/>
      </c>
      <c r="I1494" s="58"/>
      <c r="J1494" s="58"/>
      <c r="K1494" s="58"/>
      <c r="L1494" s="38"/>
      <c r="M1494" s="58"/>
      <c r="N1494" s="58"/>
      <c r="O1494" s="58"/>
      <c r="P1494" s="80"/>
      <c r="Q1494" s="80"/>
      <c r="R1494" s="58"/>
      <c r="S1494" s="58"/>
      <c r="T1494" s="84"/>
      <c r="U1494" s="62"/>
      <c r="V1494" s="37" t="str">
        <f>IFERROR(__xludf.DUMMYFUNCTION("if(not(iserror(index(split(C1494, "" ""),2))), index(split(C1494, "" ""),1),"""")"),"")</f>
        <v/>
      </c>
      <c r="W1494" s="315" t="str">
        <f>IFERROR(__xludf.DUMMYFUNCTION("if(V1494="""",C1494,if(not(iserror(index(split(C1494, "" ""),3))), index(split(C1494, "" ""),3),index(split(C1494, "" ""),2)))"),"")</f>
        <v/>
      </c>
      <c r="X1494" s="38" t="b">
        <f t="shared" si="2"/>
        <v>0</v>
      </c>
      <c r="Y1494" s="38"/>
      <c r="Z1494" s="40"/>
      <c r="AA1494" s="40"/>
      <c r="AB1494" s="38"/>
      <c r="AC1494" s="38"/>
      <c r="AD1494" s="38"/>
      <c r="AE1494" s="38"/>
      <c r="AF1494" s="38"/>
      <c r="AG1494" s="38"/>
      <c r="AH1494" s="38"/>
      <c r="AI1494" s="38"/>
      <c r="AJ1494" s="38"/>
      <c r="AK1494" s="38"/>
      <c r="AL1494" s="38"/>
      <c r="AM1494" s="38"/>
      <c r="AN1494" s="38"/>
      <c r="AO1494" s="38"/>
      <c r="AP1494" s="38"/>
      <c r="AQ1494" s="38"/>
      <c r="AR1494" s="38"/>
      <c r="AS1494" s="38"/>
      <c r="AT1494" s="38"/>
      <c r="AU1494" s="38"/>
      <c r="AV1494" s="38"/>
      <c r="AW1494" s="38"/>
      <c r="AX1494" s="38"/>
      <c r="AY1494" s="38"/>
      <c r="AZ1494" s="38"/>
      <c r="BA1494" s="38"/>
      <c r="BB1494" s="38"/>
      <c r="BC1494" s="38"/>
      <c r="BD1494" s="38"/>
      <c r="BE1494" s="38"/>
      <c r="BF1494" s="38"/>
      <c r="BG1494" s="38"/>
    </row>
    <row r="1495">
      <c r="A1495" s="375"/>
      <c r="B1495" s="341"/>
      <c r="C1495" s="60"/>
      <c r="D1495" s="60"/>
      <c r="E1495" s="58"/>
      <c r="F1495" s="58"/>
      <c r="G1495" s="58"/>
      <c r="H1495" s="33" t="str">
        <f t="shared" si="1"/>
        <v/>
      </c>
      <c r="I1495" s="58"/>
      <c r="J1495" s="58"/>
      <c r="K1495" s="58"/>
      <c r="L1495" s="38"/>
      <c r="M1495" s="58"/>
      <c r="N1495" s="58"/>
      <c r="O1495" s="58"/>
      <c r="P1495" s="80"/>
      <c r="Q1495" s="80"/>
      <c r="R1495" s="58"/>
      <c r="S1495" s="58"/>
      <c r="T1495" s="84"/>
      <c r="U1495" s="62"/>
      <c r="V1495" s="37" t="str">
        <f>IFERROR(__xludf.DUMMYFUNCTION("if(not(iserror(index(split(C1495, "" ""),2))), index(split(C1495, "" ""),1),"""")"),"")</f>
        <v/>
      </c>
      <c r="W1495" s="315" t="str">
        <f>IFERROR(__xludf.DUMMYFUNCTION("if(V1495="""",C1495,if(not(iserror(index(split(C1495, "" ""),3))), index(split(C1495, "" ""),3),index(split(C1495, "" ""),2)))"),"")</f>
        <v/>
      </c>
      <c r="X1495" s="38" t="b">
        <f t="shared" si="2"/>
        <v>0</v>
      </c>
      <c r="Y1495" s="38"/>
      <c r="Z1495" s="40"/>
      <c r="AA1495" s="40"/>
      <c r="AB1495" s="38"/>
      <c r="AC1495" s="38"/>
      <c r="AD1495" s="38"/>
      <c r="AE1495" s="38"/>
      <c r="AF1495" s="38"/>
      <c r="AG1495" s="38"/>
      <c r="AH1495" s="38"/>
      <c r="AI1495" s="38"/>
      <c r="AJ1495" s="38"/>
      <c r="AK1495" s="38"/>
      <c r="AL1495" s="38"/>
      <c r="AM1495" s="38"/>
      <c r="AN1495" s="38"/>
      <c r="AO1495" s="38"/>
      <c r="AP1495" s="38"/>
      <c r="AQ1495" s="38"/>
      <c r="AR1495" s="38"/>
      <c r="AS1495" s="38"/>
      <c r="AT1495" s="38"/>
      <c r="AU1495" s="38"/>
      <c r="AV1495" s="38"/>
      <c r="AW1495" s="38"/>
      <c r="AX1495" s="38"/>
      <c r="AY1495" s="38"/>
      <c r="AZ1495" s="38"/>
      <c r="BA1495" s="38"/>
      <c r="BB1495" s="38"/>
      <c r="BC1495" s="38"/>
      <c r="BD1495" s="38"/>
      <c r="BE1495" s="38"/>
      <c r="BF1495" s="38"/>
      <c r="BG1495" s="38"/>
    </row>
    <row r="1496">
      <c r="A1496" s="58"/>
      <c r="B1496" s="341"/>
      <c r="C1496" s="60"/>
      <c r="D1496" s="60"/>
      <c r="E1496" s="58"/>
      <c r="F1496" s="58"/>
      <c r="G1496" s="58"/>
      <c r="H1496" s="33" t="str">
        <f t="shared" si="1"/>
        <v/>
      </c>
      <c r="I1496" s="58"/>
      <c r="J1496" s="58"/>
      <c r="K1496" s="58"/>
      <c r="L1496" s="38"/>
      <c r="M1496" s="58"/>
      <c r="N1496" s="58"/>
      <c r="O1496" s="58"/>
      <c r="P1496" s="80"/>
      <c r="Q1496" s="120"/>
      <c r="R1496" s="58"/>
      <c r="S1496" s="58"/>
      <c r="T1496" s="84"/>
      <c r="U1496" s="58"/>
      <c r="V1496" s="37" t="str">
        <f>IFERROR(__xludf.DUMMYFUNCTION("if(not(iserror(index(split(C1496, "" ""),2))), index(split(C1496, "" ""),1),"""")"),"")</f>
        <v/>
      </c>
      <c r="W1496" s="315" t="str">
        <f>IFERROR(__xludf.DUMMYFUNCTION("if(V1496="""",C1496,if(not(iserror(index(split(C1496, "" ""),3))), index(split(C1496, "" ""),3),index(split(C1496, "" ""),2)))"),"")</f>
        <v/>
      </c>
      <c r="X1496" s="38" t="b">
        <f t="shared" si="2"/>
        <v>0</v>
      </c>
      <c r="Y1496" s="38"/>
      <c r="Z1496" s="40"/>
      <c r="AA1496" s="40"/>
      <c r="AB1496" s="38"/>
      <c r="AC1496" s="38"/>
      <c r="AD1496" s="38"/>
      <c r="AE1496" s="38"/>
      <c r="AF1496" s="38"/>
      <c r="AG1496" s="38"/>
      <c r="AH1496" s="38"/>
      <c r="AI1496" s="38"/>
      <c r="AJ1496" s="38"/>
      <c r="AK1496" s="38"/>
      <c r="AL1496" s="38"/>
      <c r="AM1496" s="38"/>
      <c r="AN1496" s="38"/>
      <c r="AO1496" s="38"/>
      <c r="AP1496" s="38"/>
      <c r="AQ1496" s="38"/>
      <c r="AR1496" s="38"/>
      <c r="AS1496" s="38"/>
      <c r="AT1496" s="38"/>
      <c r="AU1496" s="38"/>
      <c r="AV1496" s="38"/>
      <c r="AW1496" s="38"/>
      <c r="AX1496" s="38"/>
      <c r="AY1496" s="38"/>
      <c r="AZ1496" s="38"/>
      <c r="BA1496" s="38"/>
      <c r="BB1496" s="38"/>
      <c r="BC1496" s="38"/>
      <c r="BD1496" s="38"/>
      <c r="BE1496" s="38"/>
      <c r="BF1496" s="38"/>
      <c r="BG1496" s="38"/>
    </row>
    <row r="1497">
      <c r="A1497" s="58"/>
      <c r="B1497" s="341"/>
      <c r="C1497" s="60"/>
      <c r="D1497" s="60"/>
      <c r="E1497" s="58"/>
      <c r="F1497" s="58"/>
      <c r="G1497" s="58"/>
      <c r="H1497" s="33" t="str">
        <f t="shared" si="1"/>
        <v/>
      </c>
      <c r="I1497" s="58"/>
      <c r="J1497" s="58"/>
      <c r="K1497" s="58"/>
      <c r="L1497" s="38"/>
      <c r="M1497" s="58"/>
      <c r="N1497" s="58"/>
      <c r="O1497" s="58"/>
      <c r="P1497" s="80"/>
      <c r="Q1497" s="80"/>
      <c r="R1497" s="120"/>
      <c r="S1497" s="120"/>
      <c r="T1497" s="58"/>
      <c r="U1497" s="62"/>
      <c r="V1497" s="37" t="str">
        <f>IFERROR(__xludf.DUMMYFUNCTION("if(not(iserror(index(split(C1497, "" ""),2))), index(split(C1497, "" ""),1),"""")"),"")</f>
        <v/>
      </c>
      <c r="W1497" s="315" t="str">
        <f>IFERROR(__xludf.DUMMYFUNCTION("if(V1497="""",C1497,if(not(iserror(index(split(C1497, "" ""),3))), index(split(C1497, "" ""),3),index(split(C1497, "" ""),2)))"),"")</f>
        <v/>
      </c>
      <c r="X1497" s="38" t="b">
        <f t="shared" si="2"/>
        <v>0</v>
      </c>
      <c r="Y1497" s="38"/>
      <c r="Z1497" s="40"/>
      <c r="AA1497" s="40"/>
      <c r="AB1497" s="38"/>
      <c r="AC1497" s="38"/>
      <c r="AD1497" s="38"/>
      <c r="AE1497" s="38"/>
      <c r="AF1497" s="38"/>
      <c r="AG1497" s="38"/>
      <c r="AH1497" s="38"/>
      <c r="AI1497" s="38"/>
      <c r="AJ1497" s="38"/>
      <c r="AK1497" s="38"/>
      <c r="AL1497" s="38"/>
      <c r="AM1497" s="38"/>
      <c r="AN1497" s="38"/>
      <c r="AO1497" s="38"/>
      <c r="AP1497" s="38"/>
      <c r="AQ1497" s="38"/>
      <c r="AR1497" s="38"/>
      <c r="AS1497" s="38"/>
      <c r="AT1497" s="38"/>
      <c r="AU1497" s="38"/>
      <c r="AV1497" s="38"/>
      <c r="AW1497" s="38"/>
      <c r="AX1497" s="38"/>
      <c r="AY1497" s="38"/>
      <c r="AZ1497" s="38"/>
      <c r="BA1497" s="38"/>
      <c r="BB1497" s="38"/>
      <c r="BC1497" s="38"/>
      <c r="BD1497" s="38"/>
      <c r="BE1497" s="38"/>
      <c r="BF1497" s="38"/>
      <c r="BG1497" s="38"/>
    </row>
    <row r="1498">
      <c r="A1498" s="58"/>
      <c r="B1498" s="341"/>
      <c r="C1498" s="60"/>
      <c r="D1498" s="60"/>
      <c r="E1498" s="58"/>
      <c r="F1498" s="58"/>
      <c r="G1498" s="58"/>
      <c r="H1498" s="33" t="str">
        <f t="shared" si="1"/>
        <v/>
      </c>
      <c r="I1498" s="58"/>
      <c r="J1498" s="58"/>
      <c r="K1498" s="58"/>
      <c r="L1498" s="38"/>
      <c r="M1498" s="58"/>
      <c r="N1498" s="58"/>
      <c r="O1498" s="58"/>
      <c r="P1498" s="80"/>
      <c r="Q1498" s="80"/>
      <c r="R1498" s="58"/>
      <c r="S1498" s="58"/>
      <c r="T1498" s="84"/>
      <c r="U1498" s="62"/>
      <c r="V1498" s="37" t="str">
        <f>IFERROR(__xludf.DUMMYFUNCTION("if(not(iserror(index(split(C1498, "" ""),2))), index(split(C1498, "" ""),1),"""")"),"")</f>
        <v/>
      </c>
      <c r="W1498" s="315" t="str">
        <f>IFERROR(__xludf.DUMMYFUNCTION("if(V1498="""",C1498,if(not(iserror(index(split(C1498, "" ""),3))), index(split(C1498, "" ""),3),index(split(C1498, "" ""),2)))"),"")</f>
        <v/>
      </c>
      <c r="X1498" s="38" t="b">
        <f t="shared" si="2"/>
        <v>0</v>
      </c>
      <c r="Y1498" s="38"/>
      <c r="Z1498" s="40"/>
      <c r="AA1498" s="40"/>
      <c r="AB1498" s="38"/>
      <c r="AC1498" s="38"/>
      <c r="AD1498" s="38"/>
      <c r="AE1498" s="38"/>
      <c r="AF1498" s="38"/>
      <c r="AG1498" s="38"/>
      <c r="AH1498" s="38"/>
      <c r="AI1498" s="38"/>
      <c r="AJ1498" s="38"/>
      <c r="AK1498" s="38"/>
      <c r="AL1498" s="38"/>
      <c r="AM1498" s="38"/>
      <c r="AN1498" s="38"/>
      <c r="AO1498" s="38"/>
      <c r="AP1498" s="38"/>
      <c r="AQ1498" s="38"/>
      <c r="AR1498" s="38"/>
      <c r="AS1498" s="38"/>
      <c r="AT1498" s="38"/>
      <c r="AU1498" s="38"/>
      <c r="AV1498" s="38"/>
      <c r="AW1498" s="38"/>
      <c r="AX1498" s="38"/>
      <c r="AY1498" s="38"/>
      <c r="AZ1498" s="38"/>
      <c r="BA1498" s="38"/>
      <c r="BB1498" s="38"/>
      <c r="BC1498" s="38"/>
      <c r="BD1498" s="38"/>
      <c r="BE1498" s="38"/>
      <c r="BF1498" s="38"/>
      <c r="BG1498" s="38"/>
    </row>
    <row r="1499">
      <c r="A1499" s="58"/>
      <c r="B1499" s="341"/>
      <c r="C1499" s="60"/>
      <c r="D1499" s="60"/>
      <c r="E1499" s="58"/>
      <c r="F1499" s="58"/>
      <c r="G1499" s="58"/>
      <c r="H1499" s="33" t="str">
        <f t="shared" si="1"/>
        <v/>
      </c>
      <c r="I1499" s="58"/>
      <c r="J1499" s="58"/>
      <c r="K1499" s="58"/>
      <c r="L1499" s="38"/>
      <c r="M1499" s="58"/>
      <c r="N1499" s="58"/>
      <c r="O1499" s="58"/>
      <c r="P1499" s="80"/>
      <c r="Q1499" s="80"/>
      <c r="R1499" s="58"/>
      <c r="S1499" s="58"/>
      <c r="T1499" s="84"/>
      <c r="U1499" s="62"/>
      <c r="V1499" s="37" t="str">
        <f>IFERROR(__xludf.DUMMYFUNCTION("if(not(iserror(index(split(C1499, "" ""),2))), index(split(C1499, "" ""),1),"""")"),"")</f>
        <v/>
      </c>
      <c r="W1499" s="315" t="str">
        <f>IFERROR(__xludf.DUMMYFUNCTION("if(V1499="""",C1499,if(not(iserror(index(split(C1499, "" ""),3))), index(split(C1499, "" ""),3),index(split(C1499, "" ""),2)))"),"")</f>
        <v/>
      </c>
      <c r="X1499" s="38" t="b">
        <f t="shared" si="2"/>
        <v>0</v>
      </c>
      <c r="Y1499" s="38"/>
      <c r="Z1499" s="40"/>
      <c r="AA1499" s="40"/>
      <c r="AB1499" s="38"/>
      <c r="AC1499" s="38"/>
      <c r="AD1499" s="38"/>
      <c r="AE1499" s="38"/>
      <c r="AF1499" s="38"/>
      <c r="AG1499" s="38"/>
      <c r="AH1499" s="38"/>
      <c r="AI1499" s="38"/>
      <c r="AJ1499" s="38"/>
      <c r="AK1499" s="38"/>
      <c r="AL1499" s="38"/>
      <c r="AM1499" s="38"/>
      <c r="AN1499" s="38"/>
      <c r="AO1499" s="38"/>
      <c r="AP1499" s="38"/>
      <c r="AQ1499" s="38"/>
      <c r="AR1499" s="38"/>
      <c r="AS1499" s="38"/>
      <c r="AT1499" s="38"/>
      <c r="AU1499" s="38"/>
      <c r="AV1499" s="38"/>
      <c r="AW1499" s="38"/>
      <c r="AX1499" s="38"/>
      <c r="AY1499" s="38"/>
      <c r="AZ1499" s="38"/>
      <c r="BA1499" s="38"/>
      <c r="BB1499" s="38"/>
      <c r="BC1499" s="38"/>
      <c r="BD1499" s="38"/>
      <c r="BE1499" s="38"/>
      <c r="BF1499" s="38"/>
      <c r="BG1499" s="38"/>
    </row>
    <row r="1500">
      <c r="A1500" s="58"/>
      <c r="B1500" s="341"/>
      <c r="C1500" s="60"/>
      <c r="D1500" s="60"/>
      <c r="E1500" s="58"/>
      <c r="F1500" s="58"/>
      <c r="G1500" s="58"/>
      <c r="H1500" s="33" t="str">
        <f t="shared" si="1"/>
        <v/>
      </c>
      <c r="I1500" s="58"/>
      <c r="J1500" s="58"/>
      <c r="K1500" s="58"/>
      <c r="L1500" s="38"/>
      <c r="M1500" s="58"/>
      <c r="N1500" s="58"/>
      <c r="O1500" s="58"/>
      <c r="P1500" s="80"/>
      <c r="Q1500" s="80"/>
      <c r="R1500" s="58"/>
      <c r="S1500" s="58"/>
      <c r="T1500" s="84"/>
      <c r="U1500" s="62"/>
      <c r="V1500" s="37" t="str">
        <f>IFERROR(__xludf.DUMMYFUNCTION("if(not(iserror(index(split(C1500, "" ""),2))), index(split(C1500, "" ""),1),"""")"),"")</f>
        <v/>
      </c>
      <c r="W1500" s="315" t="str">
        <f>IFERROR(__xludf.DUMMYFUNCTION("if(V1500="""",C1500,if(not(iserror(index(split(C1500, "" ""),3))), index(split(C1500, "" ""),3),index(split(C1500, "" ""),2)))"),"")</f>
        <v/>
      </c>
      <c r="X1500" s="38" t="b">
        <f t="shared" si="2"/>
        <v>0</v>
      </c>
      <c r="Y1500" s="38"/>
      <c r="Z1500" s="40"/>
      <c r="AA1500" s="40"/>
      <c r="AB1500" s="38"/>
      <c r="AC1500" s="38"/>
      <c r="AD1500" s="38"/>
      <c r="AE1500" s="38"/>
      <c r="AF1500" s="38"/>
      <c r="AG1500" s="38"/>
      <c r="AH1500" s="38"/>
      <c r="AI1500" s="38"/>
      <c r="AJ1500" s="38"/>
      <c r="AK1500" s="38"/>
      <c r="AL1500" s="38"/>
      <c r="AM1500" s="38"/>
      <c r="AN1500" s="38"/>
      <c r="AO1500" s="38"/>
      <c r="AP1500" s="38"/>
      <c r="AQ1500" s="38"/>
      <c r="AR1500" s="38"/>
      <c r="AS1500" s="38"/>
      <c r="AT1500" s="38"/>
      <c r="AU1500" s="38"/>
      <c r="AV1500" s="38"/>
      <c r="AW1500" s="38"/>
      <c r="AX1500" s="38"/>
      <c r="AY1500" s="38"/>
      <c r="AZ1500" s="38"/>
      <c r="BA1500" s="38"/>
      <c r="BB1500" s="38"/>
      <c r="BC1500" s="38"/>
      <c r="BD1500" s="38"/>
      <c r="BE1500" s="38"/>
      <c r="BF1500" s="38"/>
      <c r="BG1500" s="38"/>
    </row>
    <row r="1501">
      <c r="A1501" s="58"/>
      <c r="B1501" s="341"/>
      <c r="C1501" s="60"/>
      <c r="D1501" s="60"/>
      <c r="E1501" s="58"/>
      <c r="F1501" s="58"/>
      <c r="G1501" s="58"/>
      <c r="H1501" s="33" t="str">
        <f t="shared" si="1"/>
        <v/>
      </c>
      <c r="I1501" s="58"/>
      <c r="J1501" s="58"/>
      <c r="K1501" s="58"/>
      <c r="L1501" s="38"/>
      <c r="M1501" s="58"/>
      <c r="N1501" s="58"/>
      <c r="O1501" s="58"/>
      <c r="P1501" s="80"/>
      <c r="Q1501" s="80"/>
      <c r="R1501" s="58"/>
      <c r="S1501" s="58"/>
      <c r="T1501" s="84"/>
      <c r="U1501" s="62"/>
      <c r="V1501" s="37" t="str">
        <f>IFERROR(__xludf.DUMMYFUNCTION("if(not(iserror(index(split(C1501, "" ""),2))), index(split(C1501, "" ""),1),"""")"),"")</f>
        <v/>
      </c>
      <c r="W1501" s="315" t="str">
        <f>IFERROR(__xludf.DUMMYFUNCTION("if(V1501="""",C1501,if(not(iserror(index(split(C1501, "" ""),3))), index(split(C1501, "" ""),3),index(split(C1501, "" ""),2)))"),"")</f>
        <v/>
      </c>
      <c r="X1501" s="38" t="b">
        <f t="shared" si="2"/>
        <v>0</v>
      </c>
      <c r="Y1501" s="38"/>
      <c r="Z1501" s="40"/>
      <c r="AA1501" s="40"/>
      <c r="AB1501" s="38"/>
      <c r="AC1501" s="38"/>
      <c r="AD1501" s="38"/>
      <c r="AE1501" s="38"/>
      <c r="AF1501" s="38"/>
      <c r="AG1501" s="38"/>
      <c r="AH1501" s="38"/>
      <c r="AI1501" s="38"/>
      <c r="AJ1501" s="38"/>
      <c r="AK1501" s="38"/>
      <c r="AL1501" s="38"/>
      <c r="AM1501" s="38"/>
      <c r="AN1501" s="38"/>
      <c r="AO1501" s="38"/>
      <c r="AP1501" s="38"/>
      <c r="AQ1501" s="38"/>
      <c r="AR1501" s="38"/>
      <c r="AS1501" s="38"/>
      <c r="AT1501" s="38"/>
      <c r="AU1501" s="38"/>
      <c r="AV1501" s="38"/>
      <c r="AW1501" s="38"/>
      <c r="AX1501" s="38"/>
      <c r="AY1501" s="38"/>
      <c r="AZ1501" s="38"/>
      <c r="BA1501" s="38"/>
      <c r="BB1501" s="38"/>
      <c r="BC1501" s="38"/>
      <c r="BD1501" s="38"/>
      <c r="BE1501" s="38"/>
      <c r="BF1501" s="38"/>
      <c r="BG1501" s="38"/>
    </row>
    <row r="1502">
      <c r="A1502" s="58"/>
      <c r="B1502" s="341"/>
      <c r="C1502" s="60"/>
      <c r="D1502" s="60"/>
      <c r="E1502" s="58"/>
      <c r="F1502" s="58"/>
      <c r="G1502" s="58"/>
      <c r="H1502" s="33" t="str">
        <f t="shared" si="1"/>
        <v/>
      </c>
      <c r="I1502" s="58"/>
      <c r="J1502" s="58"/>
      <c r="K1502" s="58"/>
      <c r="L1502" s="38"/>
      <c r="M1502" s="58"/>
      <c r="N1502" s="58"/>
      <c r="O1502" s="58"/>
      <c r="P1502" s="80"/>
      <c r="Q1502" s="80"/>
      <c r="R1502" s="58"/>
      <c r="S1502" s="58"/>
      <c r="T1502" s="84"/>
      <c r="U1502" s="62"/>
      <c r="V1502" s="37" t="str">
        <f>IFERROR(__xludf.DUMMYFUNCTION("if(not(iserror(index(split(C1502, "" ""),2))), index(split(C1502, "" ""),1),"""")"),"")</f>
        <v/>
      </c>
      <c r="W1502" s="315" t="str">
        <f>IFERROR(__xludf.DUMMYFUNCTION("if(V1502="""",C1502,if(not(iserror(index(split(C1502, "" ""),3))), index(split(C1502, "" ""),3),index(split(C1502, "" ""),2)))"),"")</f>
        <v/>
      </c>
      <c r="X1502" s="38" t="b">
        <f t="shared" si="2"/>
        <v>0</v>
      </c>
      <c r="Y1502" s="38"/>
      <c r="Z1502" s="40"/>
      <c r="AA1502" s="40"/>
      <c r="AB1502" s="38"/>
      <c r="AC1502" s="38"/>
      <c r="AD1502" s="38"/>
      <c r="AE1502" s="38"/>
      <c r="AF1502" s="38"/>
      <c r="AG1502" s="38"/>
      <c r="AH1502" s="38"/>
      <c r="AI1502" s="38"/>
      <c r="AJ1502" s="38"/>
      <c r="AK1502" s="38"/>
      <c r="AL1502" s="38"/>
      <c r="AM1502" s="38"/>
      <c r="AN1502" s="38"/>
      <c r="AO1502" s="38"/>
      <c r="AP1502" s="38"/>
      <c r="AQ1502" s="38"/>
      <c r="AR1502" s="38"/>
      <c r="AS1502" s="38"/>
      <c r="AT1502" s="38"/>
      <c r="AU1502" s="38"/>
      <c r="AV1502" s="38"/>
      <c r="AW1502" s="38"/>
      <c r="AX1502" s="38"/>
      <c r="AY1502" s="38"/>
      <c r="AZ1502" s="38"/>
      <c r="BA1502" s="38"/>
      <c r="BB1502" s="38"/>
      <c r="BC1502" s="38"/>
      <c r="BD1502" s="38"/>
      <c r="BE1502" s="38"/>
      <c r="BF1502" s="38"/>
      <c r="BG1502" s="38"/>
    </row>
    <row r="1503">
      <c r="A1503" s="58"/>
      <c r="B1503" s="341"/>
      <c r="C1503" s="60"/>
      <c r="D1503" s="60"/>
      <c r="E1503" s="58"/>
      <c r="F1503" s="58"/>
      <c r="G1503" s="58"/>
      <c r="H1503" s="33" t="str">
        <f t="shared" si="1"/>
        <v/>
      </c>
      <c r="I1503" s="58"/>
      <c r="J1503" s="58"/>
      <c r="K1503" s="58"/>
      <c r="L1503" s="38"/>
      <c r="M1503" s="58"/>
      <c r="N1503" s="58"/>
      <c r="O1503" s="58"/>
      <c r="P1503" s="80"/>
      <c r="Q1503" s="80"/>
      <c r="R1503" s="58"/>
      <c r="S1503" s="58"/>
      <c r="T1503" s="84"/>
      <c r="U1503" s="62"/>
      <c r="V1503" s="37" t="str">
        <f>IFERROR(__xludf.DUMMYFUNCTION("if(not(iserror(index(split(C1503, "" ""),2))), index(split(C1503, "" ""),1),"""")"),"")</f>
        <v/>
      </c>
      <c r="W1503" s="315" t="str">
        <f>IFERROR(__xludf.DUMMYFUNCTION("if(V1503="""",C1503,if(not(iserror(index(split(C1503, "" ""),3))), index(split(C1503, "" ""),3),index(split(C1503, "" ""),2)))"),"")</f>
        <v/>
      </c>
      <c r="X1503" s="38" t="b">
        <f t="shared" si="2"/>
        <v>0</v>
      </c>
      <c r="Y1503" s="38"/>
      <c r="Z1503" s="40"/>
      <c r="AA1503" s="40"/>
      <c r="AB1503" s="38"/>
      <c r="AC1503" s="38"/>
      <c r="AD1503" s="38"/>
      <c r="AE1503" s="38"/>
      <c r="AF1503" s="38"/>
      <c r="AG1503" s="38"/>
      <c r="AH1503" s="38"/>
      <c r="AI1503" s="38"/>
      <c r="AJ1503" s="38"/>
      <c r="AK1503" s="38"/>
      <c r="AL1503" s="38"/>
      <c r="AM1503" s="38"/>
      <c r="AN1503" s="38"/>
      <c r="AO1503" s="38"/>
      <c r="AP1503" s="38"/>
      <c r="AQ1503" s="38"/>
      <c r="AR1503" s="38"/>
      <c r="AS1503" s="38"/>
      <c r="AT1503" s="38"/>
      <c r="AU1503" s="38"/>
      <c r="AV1503" s="38"/>
      <c r="AW1503" s="38"/>
      <c r="AX1503" s="38"/>
      <c r="AY1503" s="38"/>
      <c r="AZ1503" s="38"/>
      <c r="BA1503" s="38"/>
      <c r="BB1503" s="38"/>
      <c r="BC1503" s="38"/>
      <c r="BD1503" s="38"/>
      <c r="BE1503" s="38"/>
      <c r="BF1503" s="38"/>
      <c r="BG1503" s="38"/>
    </row>
    <row r="1504">
      <c r="A1504" s="58"/>
      <c r="B1504" s="341"/>
      <c r="C1504" s="60"/>
      <c r="D1504" s="60"/>
      <c r="E1504" s="58"/>
      <c r="F1504" s="58"/>
      <c r="G1504" s="58"/>
      <c r="H1504" s="33" t="str">
        <f t="shared" si="1"/>
        <v/>
      </c>
      <c r="I1504" s="58"/>
      <c r="J1504" s="58"/>
      <c r="K1504" s="58"/>
      <c r="L1504" s="38"/>
      <c r="M1504" s="58"/>
      <c r="N1504" s="58"/>
      <c r="O1504" s="58"/>
      <c r="P1504" s="80"/>
      <c r="Q1504" s="80"/>
      <c r="R1504" s="58"/>
      <c r="S1504" s="58"/>
      <c r="T1504" s="84"/>
      <c r="U1504" s="62"/>
      <c r="V1504" s="37" t="str">
        <f>IFERROR(__xludf.DUMMYFUNCTION("if(not(iserror(index(split(C1504, "" ""),2))), index(split(C1504, "" ""),1),"""")"),"")</f>
        <v/>
      </c>
      <c r="W1504" s="315" t="str">
        <f>IFERROR(__xludf.DUMMYFUNCTION("if(V1504="""",C1504,if(not(iserror(index(split(C1504, "" ""),3))), index(split(C1504, "" ""),3),index(split(C1504, "" ""),2)))"),"")</f>
        <v/>
      </c>
      <c r="X1504" s="38" t="b">
        <f t="shared" si="2"/>
        <v>0</v>
      </c>
      <c r="Y1504" s="38"/>
      <c r="Z1504" s="40"/>
      <c r="AA1504" s="40"/>
      <c r="AB1504" s="38"/>
      <c r="AC1504" s="38"/>
      <c r="AD1504" s="38"/>
      <c r="AE1504" s="38"/>
      <c r="AF1504" s="38"/>
      <c r="AG1504" s="38"/>
      <c r="AH1504" s="38"/>
      <c r="AI1504" s="38"/>
      <c r="AJ1504" s="38"/>
      <c r="AK1504" s="38"/>
      <c r="AL1504" s="38"/>
      <c r="AM1504" s="38"/>
      <c r="AN1504" s="38"/>
      <c r="AO1504" s="38"/>
      <c r="AP1504" s="38"/>
      <c r="AQ1504" s="38"/>
      <c r="AR1504" s="38"/>
      <c r="AS1504" s="38"/>
      <c r="AT1504" s="38"/>
      <c r="AU1504" s="38"/>
      <c r="AV1504" s="38"/>
      <c r="AW1504" s="38"/>
      <c r="AX1504" s="38"/>
      <c r="AY1504" s="38"/>
      <c r="AZ1504" s="38"/>
      <c r="BA1504" s="38"/>
      <c r="BB1504" s="38"/>
      <c r="BC1504" s="38"/>
      <c r="BD1504" s="38"/>
      <c r="BE1504" s="38"/>
      <c r="BF1504" s="38"/>
      <c r="BG1504" s="38"/>
    </row>
    <row r="1505">
      <c r="A1505" s="58"/>
      <c r="B1505" s="341"/>
      <c r="C1505" s="60"/>
      <c r="D1505" s="60"/>
      <c r="E1505" s="58"/>
      <c r="F1505" s="58"/>
      <c r="G1505" s="58"/>
      <c r="H1505" s="33" t="str">
        <f t="shared" si="1"/>
        <v/>
      </c>
      <c r="I1505" s="58"/>
      <c r="J1505" s="58"/>
      <c r="K1505" s="58"/>
      <c r="L1505" s="38"/>
      <c r="M1505" s="58"/>
      <c r="N1505" s="58"/>
      <c r="O1505" s="58"/>
      <c r="P1505" s="80"/>
      <c r="Q1505" s="80"/>
      <c r="R1505" s="58"/>
      <c r="S1505" s="58"/>
      <c r="T1505" s="84"/>
      <c r="U1505" s="62"/>
      <c r="V1505" s="37" t="str">
        <f>IFERROR(__xludf.DUMMYFUNCTION("if(not(iserror(index(split(C1505, "" ""),2))), index(split(C1505, "" ""),1),"""")"),"")</f>
        <v/>
      </c>
      <c r="W1505" s="315" t="str">
        <f>IFERROR(__xludf.DUMMYFUNCTION("if(V1505="""",C1505,if(not(iserror(index(split(C1505, "" ""),3))), index(split(C1505, "" ""),3),index(split(C1505, "" ""),2)))"),"")</f>
        <v/>
      </c>
      <c r="X1505" s="38" t="b">
        <f t="shared" si="2"/>
        <v>0</v>
      </c>
      <c r="Y1505" s="38"/>
      <c r="Z1505" s="40"/>
      <c r="AA1505" s="40"/>
      <c r="AB1505" s="38"/>
      <c r="AC1505" s="38"/>
      <c r="AD1505" s="38"/>
      <c r="AE1505" s="38"/>
      <c r="AF1505" s="38"/>
      <c r="AG1505" s="38"/>
      <c r="AH1505" s="38"/>
      <c r="AI1505" s="38"/>
      <c r="AJ1505" s="38"/>
      <c r="AK1505" s="38"/>
      <c r="AL1505" s="38"/>
      <c r="AM1505" s="38"/>
      <c r="AN1505" s="38"/>
      <c r="AO1505" s="38"/>
      <c r="AP1505" s="38"/>
      <c r="AQ1505" s="38"/>
      <c r="AR1505" s="38"/>
      <c r="AS1505" s="38"/>
      <c r="AT1505" s="38"/>
      <c r="AU1505" s="38"/>
      <c r="AV1505" s="38"/>
      <c r="AW1505" s="38"/>
      <c r="AX1505" s="38"/>
      <c r="AY1505" s="38"/>
      <c r="AZ1505" s="38"/>
      <c r="BA1505" s="38"/>
      <c r="BB1505" s="38"/>
      <c r="BC1505" s="38"/>
      <c r="BD1505" s="38"/>
      <c r="BE1505" s="38"/>
      <c r="BF1505" s="38"/>
      <c r="BG1505" s="38"/>
    </row>
    <row r="1506">
      <c r="A1506" s="58"/>
      <c r="B1506" s="341"/>
      <c r="C1506" s="60"/>
      <c r="D1506" s="60"/>
      <c r="E1506" s="58"/>
      <c r="F1506" s="58"/>
      <c r="G1506" s="58"/>
      <c r="H1506" s="33" t="str">
        <f t="shared" si="1"/>
        <v/>
      </c>
      <c r="I1506" s="58"/>
      <c r="J1506" s="58"/>
      <c r="K1506" s="58"/>
      <c r="L1506" s="38"/>
      <c r="M1506" s="58"/>
      <c r="N1506" s="58"/>
      <c r="O1506" s="58"/>
      <c r="P1506" s="80"/>
      <c r="Q1506" s="80"/>
      <c r="R1506" s="58"/>
      <c r="S1506" s="58"/>
      <c r="T1506" s="58"/>
      <c r="U1506" s="62"/>
      <c r="V1506" s="37" t="str">
        <f>IFERROR(__xludf.DUMMYFUNCTION("if(not(iserror(index(split(C1506, "" ""),2))), index(split(C1506, "" ""),1),"""")"),"")</f>
        <v/>
      </c>
      <c r="W1506" s="315" t="str">
        <f>IFERROR(__xludf.DUMMYFUNCTION("if(V1506="""",C1506,if(not(iserror(index(split(C1506, "" ""),3))), index(split(C1506, "" ""),3),index(split(C1506, "" ""),2)))"),"")</f>
        <v/>
      </c>
      <c r="X1506" s="38" t="b">
        <f t="shared" si="2"/>
        <v>0</v>
      </c>
      <c r="Y1506" s="38"/>
      <c r="Z1506" s="40"/>
      <c r="AA1506" s="40"/>
      <c r="AB1506" s="38"/>
      <c r="AC1506" s="38"/>
      <c r="AD1506" s="38"/>
      <c r="AE1506" s="38"/>
      <c r="AF1506" s="38"/>
      <c r="AG1506" s="38"/>
      <c r="AH1506" s="38"/>
      <c r="AI1506" s="38"/>
      <c r="AJ1506" s="38"/>
      <c r="AK1506" s="38"/>
      <c r="AL1506" s="38"/>
      <c r="AM1506" s="38"/>
      <c r="AN1506" s="38"/>
      <c r="AO1506" s="38"/>
      <c r="AP1506" s="38"/>
      <c r="AQ1506" s="38"/>
      <c r="AR1506" s="38"/>
      <c r="AS1506" s="38"/>
      <c r="AT1506" s="38"/>
      <c r="AU1506" s="38"/>
      <c r="AV1506" s="38"/>
      <c r="AW1506" s="38"/>
      <c r="AX1506" s="38"/>
      <c r="AY1506" s="38"/>
      <c r="AZ1506" s="38"/>
      <c r="BA1506" s="38"/>
      <c r="BB1506" s="38"/>
      <c r="BC1506" s="38"/>
      <c r="BD1506" s="38"/>
      <c r="BE1506" s="38"/>
      <c r="BF1506" s="38"/>
      <c r="BG1506" s="38"/>
    </row>
    <row r="1507">
      <c r="A1507" s="58"/>
      <c r="B1507" s="341"/>
      <c r="C1507" s="60"/>
      <c r="D1507" s="60"/>
      <c r="E1507" s="58"/>
      <c r="F1507" s="58"/>
      <c r="G1507" s="58"/>
      <c r="H1507" s="33" t="str">
        <f t="shared" si="1"/>
        <v/>
      </c>
      <c r="I1507" s="58"/>
      <c r="J1507" s="58"/>
      <c r="K1507" s="58"/>
      <c r="L1507" s="38"/>
      <c r="M1507" s="58"/>
      <c r="N1507" s="58"/>
      <c r="O1507" s="58"/>
      <c r="P1507" s="80"/>
      <c r="Q1507" s="80"/>
      <c r="R1507" s="58"/>
      <c r="S1507" s="58"/>
      <c r="T1507" s="58"/>
      <c r="U1507" s="58"/>
      <c r="V1507" s="37" t="str">
        <f>IFERROR(__xludf.DUMMYFUNCTION("if(not(iserror(index(split(C1507, "" ""),2))), index(split(C1507, "" ""),1),"""")"),"")</f>
        <v/>
      </c>
      <c r="W1507" s="315" t="str">
        <f>IFERROR(__xludf.DUMMYFUNCTION("if(V1507="""",C1507,if(not(iserror(index(split(C1507, "" ""),3))), index(split(C1507, "" ""),3),index(split(C1507, "" ""),2)))"),"")</f>
        <v/>
      </c>
      <c r="X1507" s="38" t="b">
        <f t="shared" si="2"/>
        <v>0</v>
      </c>
      <c r="Y1507" s="38"/>
      <c r="Z1507" s="40"/>
      <c r="AA1507" s="40"/>
      <c r="AB1507" s="38"/>
      <c r="AC1507" s="38"/>
      <c r="AD1507" s="38"/>
      <c r="AE1507" s="38"/>
      <c r="AF1507" s="38"/>
      <c r="AG1507" s="38"/>
      <c r="AH1507" s="38"/>
      <c r="AI1507" s="38"/>
      <c r="AJ1507" s="38"/>
      <c r="AK1507" s="38"/>
      <c r="AL1507" s="38"/>
      <c r="AM1507" s="38"/>
      <c r="AN1507" s="38"/>
      <c r="AO1507" s="38"/>
      <c r="AP1507" s="38"/>
      <c r="AQ1507" s="38"/>
      <c r="AR1507" s="38"/>
      <c r="AS1507" s="38"/>
      <c r="AT1507" s="38"/>
      <c r="AU1507" s="38"/>
      <c r="AV1507" s="38"/>
      <c r="AW1507" s="38"/>
      <c r="AX1507" s="38"/>
      <c r="AY1507" s="38"/>
      <c r="AZ1507" s="38"/>
      <c r="BA1507" s="38"/>
      <c r="BB1507" s="38"/>
      <c r="BC1507" s="38"/>
      <c r="BD1507" s="38"/>
      <c r="BE1507" s="38"/>
      <c r="BF1507" s="38"/>
      <c r="BG1507" s="38"/>
    </row>
    <row r="1508">
      <c r="A1508" s="58"/>
      <c r="B1508" s="341"/>
      <c r="C1508" s="60"/>
      <c r="D1508" s="60"/>
      <c r="E1508" s="58"/>
      <c r="F1508" s="58"/>
      <c r="G1508" s="58"/>
      <c r="H1508" s="33" t="str">
        <f t="shared" si="1"/>
        <v/>
      </c>
      <c r="I1508" s="58"/>
      <c r="J1508" s="58"/>
      <c r="K1508" s="58"/>
      <c r="L1508" s="38"/>
      <c r="M1508" s="58"/>
      <c r="N1508" s="58"/>
      <c r="O1508" s="58"/>
      <c r="P1508" s="80"/>
      <c r="Q1508" s="80"/>
      <c r="R1508" s="58"/>
      <c r="S1508" s="58"/>
      <c r="T1508" s="84"/>
      <c r="U1508" s="62"/>
      <c r="V1508" s="37" t="str">
        <f>IFERROR(__xludf.DUMMYFUNCTION("if(not(iserror(index(split(C1508, "" ""),2))), index(split(C1508, "" ""),1),"""")"),"")</f>
        <v/>
      </c>
      <c r="W1508" s="315" t="str">
        <f>IFERROR(__xludf.DUMMYFUNCTION("if(V1508="""",C1508,if(not(iserror(index(split(C1508, "" ""),3))), index(split(C1508, "" ""),3),index(split(C1508, "" ""),2)))"),"")</f>
        <v/>
      </c>
      <c r="X1508" s="38" t="b">
        <f t="shared" si="2"/>
        <v>0</v>
      </c>
      <c r="Y1508" s="38"/>
      <c r="Z1508" s="40"/>
      <c r="AA1508" s="40"/>
      <c r="AB1508" s="38"/>
      <c r="AC1508" s="38"/>
      <c r="AD1508" s="38"/>
      <c r="AE1508" s="38"/>
      <c r="AF1508" s="38"/>
      <c r="AG1508" s="38"/>
      <c r="AH1508" s="38"/>
      <c r="AI1508" s="38"/>
      <c r="AJ1508" s="38"/>
      <c r="AK1508" s="38"/>
      <c r="AL1508" s="38"/>
      <c r="AM1508" s="38"/>
      <c r="AN1508" s="38"/>
      <c r="AO1508" s="38"/>
      <c r="AP1508" s="38"/>
      <c r="AQ1508" s="38"/>
      <c r="AR1508" s="38"/>
      <c r="AS1508" s="38"/>
      <c r="AT1508" s="38"/>
      <c r="AU1508" s="38"/>
      <c r="AV1508" s="38"/>
      <c r="AW1508" s="38"/>
      <c r="AX1508" s="38"/>
      <c r="AY1508" s="38"/>
      <c r="AZ1508" s="38"/>
      <c r="BA1508" s="38"/>
      <c r="BB1508" s="38"/>
      <c r="BC1508" s="38"/>
      <c r="BD1508" s="38"/>
      <c r="BE1508" s="38"/>
      <c r="BF1508" s="38"/>
      <c r="BG1508" s="38"/>
    </row>
    <row r="1509">
      <c r="A1509" s="58"/>
      <c r="B1509" s="341"/>
      <c r="C1509" s="60"/>
      <c r="D1509" s="60"/>
      <c r="E1509" s="58"/>
      <c r="F1509" s="58"/>
      <c r="G1509" s="58"/>
      <c r="H1509" s="33" t="str">
        <f t="shared" si="1"/>
        <v/>
      </c>
      <c r="I1509" s="58"/>
      <c r="J1509" s="58"/>
      <c r="K1509" s="58"/>
      <c r="L1509" s="38"/>
      <c r="M1509" s="58"/>
      <c r="N1509" s="58"/>
      <c r="O1509" s="58"/>
      <c r="P1509" s="80"/>
      <c r="Q1509" s="80"/>
      <c r="R1509" s="58"/>
      <c r="S1509" s="58"/>
      <c r="T1509" s="84"/>
      <c r="U1509" s="62"/>
      <c r="V1509" s="37" t="str">
        <f>IFERROR(__xludf.DUMMYFUNCTION("if(not(iserror(index(split(C1509, "" ""),2))), index(split(C1509, "" ""),1),"""")"),"")</f>
        <v/>
      </c>
      <c r="W1509" s="315" t="str">
        <f>IFERROR(__xludf.DUMMYFUNCTION("if(V1509="""",C1509,if(not(iserror(index(split(C1509, "" ""),3))), index(split(C1509, "" ""),3),index(split(C1509, "" ""),2)))"),"")</f>
        <v/>
      </c>
      <c r="X1509" s="38" t="b">
        <f t="shared" si="2"/>
        <v>0</v>
      </c>
      <c r="Y1509" s="38"/>
      <c r="Z1509" s="40"/>
      <c r="AA1509" s="40"/>
      <c r="AB1509" s="38"/>
      <c r="AC1509" s="38"/>
      <c r="AD1509" s="38"/>
      <c r="AE1509" s="38"/>
      <c r="AF1509" s="38"/>
      <c r="AG1509" s="38"/>
      <c r="AH1509" s="38"/>
      <c r="AI1509" s="38"/>
      <c r="AJ1509" s="38"/>
      <c r="AK1509" s="38"/>
      <c r="AL1509" s="38"/>
      <c r="AM1509" s="38"/>
      <c r="AN1509" s="38"/>
      <c r="AO1509" s="38"/>
      <c r="AP1509" s="38"/>
      <c r="AQ1509" s="38"/>
      <c r="AR1509" s="38"/>
      <c r="AS1509" s="38"/>
      <c r="AT1509" s="38"/>
      <c r="AU1509" s="38"/>
      <c r="AV1509" s="38"/>
      <c r="AW1509" s="38"/>
      <c r="AX1509" s="38"/>
      <c r="AY1509" s="38"/>
      <c r="AZ1509" s="38"/>
      <c r="BA1509" s="38"/>
      <c r="BB1509" s="38"/>
      <c r="BC1509" s="38"/>
      <c r="BD1509" s="38"/>
      <c r="BE1509" s="38"/>
      <c r="BF1509" s="38"/>
      <c r="BG1509" s="38"/>
    </row>
    <row r="1510">
      <c r="A1510" s="58"/>
      <c r="B1510" s="341"/>
      <c r="C1510" s="60"/>
      <c r="D1510" s="60"/>
      <c r="E1510" s="58"/>
      <c r="F1510" s="58"/>
      <c r="G1510" s="58"/>
      <c r="H1510" s="33" t="str">
        <f t="shared" si="1"/>
        <v/>
      </c>
      <c r="I1510" s="58"/>
      <c r="J1510" s="58"/>
      <c r="K1510" s="58"/>
      <c r="L1510" s="38"/>
      <c r="M1510" s="58"/>
      <c r="N1510" s="58"/>
      <c r="O1510" s="58"/>
      <c r="P1510" s="80"/>
      <c r="Q1510" s="80"/>
      <c r="R1510" s="58"/>
      <c r="S1510" s="62"/>
      <c r="T1510" s="84"/>
      <c r="U1510" s="62"/>
      <c r="V1510" s="37" t="str">
        <f>IFERROR(__xludf.DUMMYFUNCTION("if(not(iserror(index(split(C1510, "" ""),2))), index(split(C1510, "" ""),1),"""")"),"")</f>
        <v/>
      </c>
      <c r="W1510" s="315" t="str">
        <f>IFERROR(__xludf.DUMMYFUNCTION("if(V1510="""",C1510,if(not(iserror(index(split(C1510, "" ""),3))), index(split(C1510, "" ""),3),index(split(C1510, "" ""),2)))"),"")</f>
        <v/>
      </c>
      <c r="X1510" s="38" t="b">
        <f t="shared" si="2"/>
        <v>0</v>
      </c>
      <c r="Y1510" s="38"/>
      <c r="Z1510" s="40"/>
      <c r="AA1510" s="40"/>
      <c r="AB1510" s="38"/>
      <c r="AC1510" s="38"/>
      <c r="AD1510" s="38"/>
      <c r="AE1510" s="38"/>
      <c r="AF1510" s="38"/>
      <c r="AG1510" s="38"/>
      <c r="AH1510" s="38"/>
      <c r="AI1510" s="38"/>
      <c r="AJ1510" s="38"/>
      <c r="AK1510" s="38"/>
      <c r="AL1510" s="38"/>
      <c r="AM1510" s="38"/>
      <c r="AN1510" s="38"/>
      <c r="AO1510" s="38"/>
      <c r="AP1510" s="38"/>
      <c r="AQ1510" s="38"/>
      <c r="AR1510" s="38"/>
      <c r="AS1510" s="38"/>
      <c r="AT1510" s="38"/>
      <c r="AU1510" s="38"/>
      <c r="AV1510" s="38"/>
      <c r="AW1510" s="38"/>
      <c r="AX1510" s="38"/>
      <c r="AY1510" s="38"/>
      <c r="AZ1510" s="38"/>
      <c r="BA1510" s="38"/>
      <c r="BB1510" s="38"/>
      <c r="BC1510" s="38"/>
      <c r="BD1510" s="38"/>
      <c r="BE1510" s="38"/>
      <c r="BF1510" s="38"/>
      <c r="BG1510" s="38"/>
    </row>
    <row r="1511">
      <c r="A1511" s="58"/>
      <c r="B1511" s="341"/>
      <c r="C1511" s="60"/>
      <c r="D1511" s="60"/>
      <c r="E1511" s="58"/>
      <c r="F1511" s="58"/>
      <c r="G1511" s="58"/>
      <c r="H1511" s="33" t="str">
        <f t="shared" si="1"/>
        <v/>
      </c>
      <c r="I1511" s="58"/>
      <c r="J1511" s="58"/>
      <c r="K1511" s="58"/>
      <c r="L1511" s="38"/>
      <c r="M1511" s="58"/>
      <c r="N1511" s="58"/>
      <c r="O1511" s="58"/>
      <c r="P1511" s="80"/>
      <c r="Q1511" s="80"/>
      <c r="R1511" s="58"/>
      <c r="S1511" s="58"/>
      <c r="T1511" s="58"/>
      <c r="U1511" s="62"/>
      <c r="V1511" s="37" t="str">
        <f>IFERROR(__xludf.DUMMYFUNCTION("if(not(iserror(index(split(C1511, "" ""),2))), index(split(C1511, "" ""),1),"""")"),"")</f>
        <v/>
      </c>
      <c r="W1511" s="315" t="str">
        <f>IFERROR(__xludf.DUMMYFUNCTION("if(V1511="""",C1511,if(not(iserror(index(split(C1511, "" ""),3))), index(split(C1511, "" ""),3),index(split(C1511, "" ""),2)))"),"")</f>
        <v/>
      </c>
      <c r="X1511" s="38" t="b">
        <f t="shared" si="2"/>
        <v>0</v>
      </c>
      <c r="Y1511" s="38"/>
      <c r="Z1511" s="40"/>
      <c r="AA1511" s="40"/>
      <c r="AB1511" s="38"/>
      <c r="AC1511" s="38"/>
      <c r="AD1511" s="38"/>
      <c r="AE1511" s="38"/>
      <c r="AF1511" s="38"/>
      <c r="AG1511" s="38"/>
      <c r="AH1511" s="38"/>
      <c r="AI1511" s="38"/>
      <c r="AJ1511" s="38"/>
      <c r="AK1511" s="38"/>
      <c r="AL1511" s="38"/>
      <c r="AM1511" s="38"/>
      <c r="AN1511" s="38"/>
      <c r="AO1511" s="38"/>
      <c r="AP1511" s="38"/>
      <c r="AQ1511" s="38"/>
      <c r="AR1511" s="38"/>
      <c r="AS1511" s="38"/>
      <c r="AT1511" s="38"/>
      <c r="AU1511" s="38"/>
      <c r="AV1511" s="38"/>
      <c r="AW1511" s="38"/>
      <c r="AX1511" s="38"/>
      <c r="AY1511" s="38"/>
      <c r="AZ1511" s="38"/>
      <c r="BA1511" s="38"/>
      <c r="BB1511" s="38"/>
      <c r="BC1511" s="38"/>
      <c r="BD1511" s="38"/>
      <c r="BE1511" s="38"/>
      <c r="BF1511" s="38"/>
      <c r="BG1511" s="38"/>
    </row>
    <row r="1512">
      <c r="A1512" s="58"/>
      <c r="B1512" s="341"/>
      <c r="C1512" s="60"/>
      <c r="D1512" s="60"/>
      <c r="E1512" s="58"/>
      <c r="F1512" s="58"/>
      <c r="G1512" s="58"/>
      <c r="H1512" s="33" t="str">
        <f t="shared" si="1"/>
        <v/>
      </c>
      <c r="I1512" s="58"/>
      <c r="J1512" s="58"/>
      <c r="K1512" s="58"/>
      <c r="L1512" s="38"/>
      <c r="M1512" s="58"/>
      <c r="N1512" s="58"/>
      <c r="O1512" s="58"/>
      <c r="P1512" s="80"/>
      <c r="Q1512" s="80"/>
      <c r="R1512" s="58"/>
      <c r="S1512" s="58"/>
      <c r="T1512" s="58"/>
      <c r="U1512" s="62"/>
      <c r="V1512" s="37" t="str">
        <f>IFERROR(__xludf.DUMMYFUNCTION("if(not(iserror(index(split(C1512, "" ""),2))), index(split(C1512, "" ""),1),"""")"),"")</f>
        <v/>
      </c>
      <c r="W1512" s="315" t="str">
        <f>IFERROR(__xludf.DUMMYFUNCTION("if(V1512="""",C1512,if(not(iserror(index(split(C1512, "" ""),3))), index(split(C1512, "" ""),3),index(split(C1512, "" ""),2)))"),"")</f>
        <v/>
      </c>
      <c r="X1512" s="38" t="b">
        <f t="shared" si="2"/>
        <v>0</v>
      </c>
      <c r="Y1512" s="38"/>
      <c r="Z1512" s="40"/>
      <c r="AA1512" s="40"/>
      <c r="AB1512" s="38"/>
      <c r="AC1512" s="38"/>
      <c r="AD1512" s="38"/>
      <c r="AE1512" s="38"/>
      <c r="AF1512" s="38"/>
      <c r="AG1512" s="38"/>
      <c r="AH1512" s="38"/>
      <c r="AI1512" s="38"/>
      <c r="AJ1512" s="38"/>
      <c r="AK1512" s="38"/>
      <c r="AL1512" s="38"/>
      <c r="AM1512" s="38"/>
      <c r="AN1512" s="38"/>
      <c r="AO1512" s="38"/>
      <c r="AP1512" s="38"/>
      <c r="AQ1512" s="38"/>
      <c r="AR1512" s="38"/>
      <c r="AS1512" s="38"/>
      <c r="AT1512" s="38"/>
      <c r="AU1512" s="38"/>
      <c r="AV1512" s="38"/>
      <c r="AW1512" s="38"/>
      <c r="AX1512" s="38"/>
      <c r="AY1512" s="38"/>
      <c r="AZ1512" s="38"/>
      <c r="BA1512" s="38"/>
      <c r="BB1512" s="38"/>
      <c r="BC1512" s="38"/>
      <c r="BD1512" s="38"/>
      <c r="BE1512" s="38"/>
      <c r="BF1512" s="38"/>
      <c r="BG1512" s="38"/>
    </row>
    <row r="1513">
      <c r="A1513" s="58"/>
      <c r="B1513" s="341"/>
      <c r="C1513" s="60"/>
      <c r="D1513" s="60"/>
      <c r="E1513" s="58"/>
      <c r="F1513" s="58"/>
      <c r="G1513" s="58"/>
      <c r="H1513" s="33" t="str">
        <f t="shared" si="1"/>
        <v/>
      </c>
      <c r="I1513" s="58"/>
      <c r="J1513" s="58"/>
      <c r="K1513" s="58"/>
      <c r="L1513" s="38"/>
      <c r="M1513" s="58"/>
      <c r="N1513" s="58"/>
      <c r="O1513" s="58"/>
      <c r="P1513" s="80"/>
      <c r="Q1513" s="80"/>
      <c r="R1513" s="58"/>
      <c r="S1513" s="58"/>
      <c r="T1513" s="58"/>
      <c r="U1513" s="62"/>
      <c r="V1513" s="37" t="str">
        <f>IFERROR(__xludf.DUMMYFUNCTION("if(not(iserror(index(split(C1513, "" ""),2))), index(split(C1513, "" ""),1),"""")"),"")</f>
        <v/>
      </c>
      <c r="W1513" s="315" t="str">
        <f>IFERROR(__xludf.DUMMYFUNCTION("if(V1513="""",C1513,if(not(iserror(index(split(C1513, "" ""),3))), index(split(C1513, "" ""),3),index(split(C1513, "" ""),2)))"),"")</f>
        <v/>
      </c>
      <c r="X1513" s="38" t="b">
        <f t="shared" si="2"/>
        <v>0</v>
      </c>
      <c r="Y1513" s="38"/>
      <c r="Z1513" s="40"/>
      <c r="AA1513" s="40"/>
      <c r="AB1513" s="38"/>
      <c r="AC1513" s="38"/>
      <c r="AD1513" s="38"/>
      <c r="AE1513" s="38"/>
      <c r="AF1513" s="38"/>
      <c r="AG1513" s="38"/>
      <c r="AH1513" s="38"/>
      <c r="AI1513" s="38"/>
      <c r="AJ1513" s="38"/>
      <c r="AK1513" s="38"/>
      <c r="AL1513" s="38"/>
      <c r="AM1513" s="38"/>
      <c r="AN1513" s="38"/>
      <c r="AO1513" s="38"/>
      <c r="AP1513" s="38"/>
      <c r="AQ1513" s="38"/>
      <c r="AR1513" s="38"/>
      <c r="AS1513" s="38"/>
      <c r="AT1513" s="38"/>
      <c r="AU1513" s="38"/>
      <c r="AV1513" s="38"/>
      <c r="AW1513" s="38"/>
      <c r="AX1513" s="38"/>
      <c r="AY1513" s="38"/>
      <c r="AZ1513" s="38"/>
      <c r="BA1513" s="38"/>
      <c r="BB1513" s="38"/>
      <c r="BC1513" s="38"/>
      <c r="BD1513" s="38"/>
      <c r="BE1513" s="38"/>
      <c r="BF1513" s="38"/>
      <c r="BG1513" s="38"/>
    </row>
    <row r="1514">
      <c r="A1514" s="58"/>
      <c r="B1514" s="341"/>
      <c r="C1514" s="60"/>
      <c r="D1514" s="60"/>
      <c r="E1514" s="58"/>
      <c r="F1514" s="58"/>
      <c r="G1514" s="58"/>
      <c r="H1514" s="33" t="str">
        <f t="shared" si="1"/>
        <v/>
      </c>
      <c r="I1514" s="58"/>
      <c r="J1514" s="58"/>
      <c r="K1514" s="58"/>
      <c r="L1514" s="38"/>
      <c r="M1514" s="58"/>
      <c r="N1514" s="58"/>
      <c r="O1514" s="58"/>
      <c r="P1514" s="80"/>
      <c r="Q1514" s="80"/>
      <c r="R1514" s="58"/>
      <c r="S1514" s="58"/>
      <c r="T1514" s="58"/>
      <c r="U1514" s="62"/>
      <c r="V1514" s="37" t="str">
        <f>IFERROR(__xludf.DUMMYFUNCTION("if(not(iserror(index(split(C1514, "" ""),2))), index(split(C1514, "" ""),1),"""")"),"")</f>
        <v/>
      </c>
      <c r="W1514" s="315" t="str">
        <f>IFERROR(__xludf.DUMMYFUNCTION("if(V1514="""",C1514,if(not(iserror(index(split(C1514, "" ""),3))), index(split(C1514, "" ""),3),index(split(C1514, "" ""),2)))"),"")</f>
        <v/>
      </c>
      <c r="X1514" s="38" t="b">
        <f t="shared" si="2"/>
        <v>0</v>
      </c>
      <c r="Y1514" s="38"/>
      <c r="Z1514" s="40"/>
      <c r="AA1514" s="40"/>
      <c r="AB1514" s="38"/>
      <c r="AC1514" s="38"/>
      <c r="AD1514" s="38"/>
      <c r="AE1514" s="38"/>
      <c r="AF1514" s="38"/>
      <c r="AG1514" s="38"/>
      <c r="AH1514" s="38"/>
      <c r="AI1514" s="38"/>
      <c r="AJ1514" s="38"/>
      <c r="AK1514" s="38"/>
      <c r="AL1514" s="38"/>
      <c r="AM1514" s="38"/>
      <c r="AN1514" s="38"/>
      <c r="AO1514" s="38"/>
      <c r="AP1514" s="38"/>
      <c r="AQ1514" s="38"/>
      <c r="AR1514" s="38"/>
      <c r="AS1514" s="38"/>
      <c r="AT1514" s="38"/>
      <c r="AU1514" s="38"/>
      <c r="AV1514" s="38"/>
      <c r="AW1514" s="38"/>
      <c r="AX1514" s="38"/>
      <c r="AY1514" s="38"/>
      <c r="AZ1514" s="38"/>
      <c r="BA1514" s="38"/>
      <c r="BB1514" s="38"/>
      <c r="BC1514" s="38"/>
      <c r="BD1514" s="38"/>
      <c r="BE1514" s="38"/>
      <c r="BF1514" s="38"/>
      <c r="BG1514" s="38"/>
    </row>
    <row r="1515">
      <c r="A1515" s="58"/>
      <c r="B1515" s="341"/>
      <c r="C1515" s="60"/>
      <c r="D1515" s="60"/>
      <c r="E1515" s="58"/>
      <c r="F1515" s="58"/>
      <c r="G1515" s="58"/>
      <c r="H1515" s="33" t="str">
        <f t="shared" si="1"/>
        <v/>
      </c>
      <c r="I1515" s="58"/>
      <c r="J1515" s="58"/>
      <c r="K1515" s="58"/>
      <c r="L1515" s="38"/>
      <c r="M1515" s="58"/>
      <c r="N1515" s="58"/>
      <c r="O1515" s="58"/>
      <c r="P1515" s="80"/>
      <c r="Q1515" s="80"/>
      <c r="R1515" s="58"/>
      <c r="S1515" s="58"/>
      <c r="T1515" s="84"/>
      <c r="U1515" s="62"/>
      <c r="V1515" s="37" t="str">
        <f>IFERROR(__xludf.DUMMYFUNCTION("if(not(iserror(index(split(C1515, "" ""),2))), index(split(C1515, "" ""),1),"""")"),"")</f>
        <v/>
      </c>
      <c r="W1515" s="315" t="str">
        <f>IFERROR(__xludf.DUMMYFUNCTION("if(V1515="""",C1515,if(not(iserror(index(split(C1515, "" ""),3))), index(split(C1515, "" ""),3),index(split(C1515, "" ""),2)))"),"")</f>
        <v/>
      </c>
      <c r="X1515" s="38" t="b">
        <f t="shared" si="2"/>
        <v>0</v>
      </c>
      <c r="Y1515" s="38"/>
      <c r="Z1515" s="40"/>
      <c r="AA1515" s="40"/>
      <c r="AB1515" s="38"/>
      <c r="AC1515" s="38"/>
      <c r="AD1515" s="38"/>
      <c r="AE1515" s="38"/>
      <c r="AF1515" s="38"/>
      <c r="AG1515" s="38"/>
      <c r="AH1515" s="38"/>
      <c r="AI1515" s="38"/>
      <c r="AJ1515" s="38"/>
      <c r="AK1515" s="38"/>
      <c r="AL1515" s="38"/>
      <c r="AM1515" s="38"/>
      <c r="AN1515" s="38"/>
      <c r="AO1515" s="38"/>
      <c r="AP1515" s="38"/>
      <c r="AQ1515" s="38"/>
      <c r="AR1515" s="38"/>
      <c r="AS1515" s="38"/>
      <c r="AT1515" s="38"/>
      <c r="AU1515" s="38"/>
      <c r="AV1515" s="38"/>
      <c r="AW1515" s="38"/>
      <c r="AX1515" s="38"/>
      <c r="AY1515" s="38"/>
      <c r="AZ1515" s="38"/>
      <c r="BA1515" s="38"/>
      <c r="BB1515" s="38"/>
      <c r="BC1515" s="38"/>
      <c r="BD1515" s="38"/>
      <c r="BE1515" s="38"/>
      <c r="BF1515" s="38"/>
      <c r="BG1515" s="38"/>
    </row>
    <row r="1516">
      <c r="A1516" s="58"/>
      <c r="B1516" s="341"/>
      <c r="C1516" s="60"/>
      <c r="D1516" s="60"/>
      <c r="E1516" s="58"/>
      <c r="F1516" s="58"/>
      <c r="G1516" s="58"/>
      <c r="H1516" s="33" t="str">
        <f t="shared" si="1"/>
        <v/>
      </c>
      <c r="I1516" s="58"/>
      <c r="J1516" s="58"/>
      <c r="K1516" s="58"/>
      <c r="L1516" s="38"/>
      <c r="M1516" s="58"/>
      <c r="N1516" s="58"/>
      <c r="O1516" s="58"/>
      <c r="P1516" s="80"/>
      <c r="Q1516" s="80"/>
      <c r="R1516" s="62"/>
      <c r="S1516" s="62"/>
      <c r="T1516" s="84"/>
      <c r="U1516" s="62"/>
      <c r="V1516" s="37" t="str">
        <f>IFERROR(__xludf.DUMMYFUNCTION("if(not(iserror(index(split(C1516, "" ""),2))), index(split(C1516, "" ""),1),"""")"),"")</f>
        <v/>
      </c>
      <c r="W1516" s="315" t="str">
        <f>IFERROR(__xludf.DUMMYFUNCTION("if(V1516="""",C1516,if(not(iserror(index(split(C1516, "" ""),3))), index(split(C1516, "" ""),3),index(split(C1516, "" ""),2)))"),"")</f>
        <v/>
      </c>
      <c r="X1516" s="38" t="b">
        <f t="shared" si="2"/>
        <v>0</v>
      </c>
      <c r="Y1516" s="38"/>
      <c r="Z1516" s="40"/>
      <c r="AA1516" s="40"/>
      <c r="AB1516" s="38"/>
      <c r="AC1516" s="38"/>
      <c r="AD1516" s="38"/>
      <c r="AE1516" s="38"/>
      <c r="AF1516" s="38"/>
      <c r="AG1516" s="38"/>
      <c r="AH1516" s="38"/>
      <c r="AI1516" s="38"/>
      <c r="AJ1516" s="38"/>
      <c r="AK1516" s="38"/>
      <c r="AL1516" s="38"/>
      <c r="AM1516" s="38"/>
      <c r="AN1516" s="38"/>
      <c r="AO1516" s="38"/>
      <c r="AP1516" s="38"/>
      <c r="AQ1516" s="38"/>
      <c r="AR1516" s="38"/>
      <c r="AS1516" s="38"/>
      <c r="AT1516" s="38"/>
      <c r="AU1516" s="38"/>
      <c r="AV1516" s="38"/>
      <c r="AW1516" s="38"/>
      <c r="AX1516" s="38"/>
      <c r="AY1516" s="38"/>
      <c r="AZ1516" s="38"/>
      <c r="BA1516" s="38"/>
      <c r="BB1516" s="38"/>
      <c r="BC1516" s="38"/>
      <c r="BD1516" s="38"/>
      <c r="BE1516" s="38"/>
      <c r="BF1516" s="38"/>
      <c r="BG1516" s="38"/>
    </row>
    <row r="1517">
      <c r="A1517" s="58"/>
      <c r="B1517" s="341"/>
      <c r="C1517" s="60"/>
      <c r="D1517" s="60"/>
      <c r="E1517" s="58"/>
      <c r="F1517" s="58"/>
      <c r="G1517" s="58"/>
      <c r="H1517" s="33" t="str">
        <f t="shared" si="1"/>
        <v/>
      </c>
      <c r="I1517" s="58"/>
      <c r="J1517" s="58"/>
      <c r="K1517" s="58"/>
      <c r="L1517" s="38"/>
      <c r="M1517" s="58"/>
      <c r="N1517" s="58"/>
      <c r="O1517" s="58"/>
      <c r="P1517" s="80"/>
      <c r="Q1517" s="80"/>
      <c r="R1517" s="58"/>
      <c r="S1517" s="62"/>
      <c r="T1517" s="84"/>
      <c r="U1517" s="62"/>
      <c r="V1517" s="37" t="str">
        <f>IFERROR(__xludf.DUMMYFUNCTION("if(not(iserror(index(split(C1517, "" ""),2))), index(split(C1517, "" ""),1),"""")"),"")</f>
        <v/>
      </c>
      <c r="W1517" s="315" t="str">
        <f>IFERROR(__xludf.DUMMYFUNCTION("if(V1517="""",C1517,if(not(iserror(index(split(C1517, "" ""),3))), index(split(C1517, "" ""),3),index(split(C1517, "" ""),2)))"),"")</f>
        <v/>
      </c>
      <c r="X1517" s="38" t="b">
        <f t="shared" si="2"/>
        <v>0</v>
      </c>
      <c r="Y1517" s="38"/>
      <c r="Z1517" s="40"/>
      <c r="AA1517" s="40"/>
      <c r="AB1517" s="38"/>
      <c r="AC1517" s="38"/>
      <c r="AD1517" s="38"/>
      <c r="AE1517" s="38"/>
      <c r="AF1517" s="38"/>
      <c r="AG1517" s="38"/>
      <c r="AH1517" s="38"/>
      <c r="AI1517" s="38"/>
      <c r="AJ1517" s="38"/>
      <c r="AK1517" s="38"/>
      <c r="AL1517" s="38"/>
      <c r="AM1517" s="38"/>
      <c r="AN1517" s="38"/>
      <c r="AO1517" s="38"/>
      <c r="AP1517" s="38"/>
      <c r="AQ1517" s="38"/>
      <c r="AR1517" s="38"/>
      <c r="AS1517" s="38"/>
      <c r="AT1517" s="38"/>
      <c r="AU1517" s="38"/>
      <c r="AV1517" s="38"/>
      <c r="AW1517" s="38"/>
      <c r="AX1517" s="38"/>
      <c r="AY1517" s="38"/>
      <c r="AZ1517" s="38"/>
      <c r="BA1517" s="38"/>
      <c r="BB1517" s="38"/>
      <c r="BC1517" s="38"/>
      <c r="BD1517" s="38"/>
      <c r="BE1517" s="38"/>
      <c r="BF1517" s="38"/>
      <c r="BG1517" s="38"/>
    </row>
    <row r="1518">
      <c r="A1518" s="58"/>
      <c r="B1518" s="341"/>
      <c r="C1518" s="60"/>
      <c r="D1518" s="60"/>
      <c r="E1518" s="58"/>
      <c r="F1518" s="58"/>
      <c r="G1518" s="58"/>
      <c r="H1518" s="33" t="str">
        <f t="shared" si="1"/>
        <v/>
      </c>
      <c r="I1518" s="58"/>
      <c r="J1518" s="58"/>
      <c r="K1518" s="58"/>
      <c r="L1518" s="38"/>
      <c r="M1518" s="58"/>
      <c r="N1518" s="58"/>
      <c r="O1518" s="58"/>
      <c r="P1518" s="80"/>
      <c r="Q1518" s="80"/>
      <c r="R1518" s="58"/>
      <c r="S1518" s="62"/>
      <c r="T1518" s="84"/>
      <c r="U1518" s="62"/>
      <c r="V1518" s="37" t="str">
        <f>IFERROR(__xludf.DUMMYFUNCTION("if(not(iserror(index(split(C1518, "" ""),2))), index(split(C1518, "" ""),1),"""")"),"")</f>
        <v/>
      </c>
      <c r="W1518" s="315" t="str">
        <f>IFERROR(__xludf.DUMMYFUNCTION("if(V1518="""",C1518,if(not(iserror(index(split(C1518, "" ""),3))), index(split(C1518, "" ""),3),index(split(C1518, "" ""),2)))"),"")</f>
        <v/>
      </c>
      <c r="X1518" s="38" t="b">
        <f t="shared" si="2"/>
        <v>0</v>
      </c>
      <c r="Y1518" s="38"/>
      <c r="Z1518" s="40"/>
      <c r="AA1518" s="40"/>
      <c r="AB1518" s="38"/>
      <c r="AC1518" s="38"/>
      <c r="AD1518" s="38"/>
      <c r="AE1518" s="38"/>
      <c r="AF1518" s="38"/>
      <c r="AG1518" s="38"/>
      <c r="AH1518" s="38"/>
      <c r="AI1518" s="38"/>
      <c r="AJ1518" s="38"/>
      <c r="AK1518" s="38"/>
      <c r="AL1518" s="38"/>
      <c r="AM1518" s="38"/>
      <c r="AN1518" s="38"/>
      <c r="AO1518" s="38"/>
      <c r="AP1518" s="38"/>
      <c r="AQ1518" s="38"/>
      <c r="AR1518" s="38"/>
      <c r="AS1518" s="38"/>
      <c r="AT1518" s="38"/>
      <c r="AU1518" s="38"/>
      <c r="AV1518" s="38"/>
      <c r="AW1518" s="38"/>
      <c r="AX1518" s="38"/>
      <c r="AY1518" s="38"/>
      <c r="AZ1518" s="38"/>
      <c r="BA1518" s="38"/>
      <c r="BB1518" s="38"/>
      <c r="BC1518" s="38"/>
      <c r="BD1518" s="38"/>
      <c r="BE1518" s="38"/>
      <c r="BF1518" s="38"/>
      <c r="BG1518" s="38"/>
    </row>
    <row r="1519">
      <c r="A1519" s="58"/>
      <c r="B1519" s="341"/>
      <c r="C1519" s="60"/>
      <c r="D1519" s="60"/>
      <c r="E1519" s="58"/>
      <c r="F1519" s="58"/>
      <c r="G1519" s="58"/>
      <c r="H1519" s="33" t="str">
        <f t="shared" si="1"/>
        <v/>
      </c>
      <c r="I1519" s="58"/>
      <c r="J1519" s="58"/>
      <c r="K1519" s="58"/>
      <c r="L1519" s="38"/>
      <c r="M1519" s="58"/>
      <c r="N1519" s="58"/>
      <c r="O1519" s="58"/>
      <c r="P1519" s="80"/>
      <c r="Q1519" s="80"/>
      <c r="R1519" s="62"/>
      <c r="S1519" s="62"/>
      <c r="T1519" s="62"/>
      <c r="U1519" s="62"/>
      <c r="V1519" s="37" t="str">
        <f>IFERROR(__xludf.DUMMYFUNCTION("if(not(iserror(index(split(C1519, "" ""),2))), index(split(C1519, "" ""),1),"""")"),"")</f>
        <v/>
      </c>
      <c r="W1519" s="315" t="str">
        <f>IFERROR(__xludf.DUMMYFUNCTION("if(V1519="""",C1519,if(not(iserror(index(split(C1519, "" ""),3))), index(split(C1519, "" ""),3),index(split(C1519, "" ""),2)))"),"")</f>
        <v/>
      </c>
      <c r="X1519" s="38" t="b">
        <f t="shared" si="2"/>
        <v>0</v>
      </c>
      <c r="Y1519" s="38"/>
      <c r="Z1519" s="40"/>
      <c r="AA1519" s="40"/>
      <c r="AB1519" s="38"/>
      <c r="AC1519" s="38"/>
      <c r="AD1519" s="38"/>
      <c r="AE1519" s="38"/>
      <c r="AF1519" s="38"/>
      <c r="AG1519" s="38"/>
      <c r="AH1519" s="38"/>
      <c r="AI1519" s="38"/>
      <c r="AJ1519" s="38"/>
      <c r="AK1519" s="38"/>
      <c r="AL1519" s="38"/>
      <c r="AM1519" s="38"/>
      <c r="AN1519" s="38"/>
      <c r="AO1519" s="38"/>
      <c r="AP1519" s="38"/>
      <c r="AQ1519" s="38"/>
      <c r="AR1519" s="38"/>
      <c r="AS1519" s="38"/>
      <c r="AT1519" s="38"/>
      <c r="AU1519" s="38"/>
      <c r="AV1519" s="38"/>
      <c r="AW1519" s="38"/>
      <c r="AX1519" s="38"/>
      <c r="AY1519" s="38"/>
      <c r="AZ1519" s="38"/>
      <c r="BA1519" s="38"/>
      <c r="BB1519" s="38"/>
      <c r="BC1519" s="38"/>
      <c r="BD1519" s="38"/>
      <c r="BE1519" s="38"/>
      <c r="BF1519" s="38"/>
      <c r="BG1519" s="38"/>
    </row>
    <row r="1520">
      <c r="A1520" s="58"/>
      <c r="B1520" s="341"/>
      <c r="C1520" s="60"/>
      <c r="D1520" s="60"/>
      <c r="E1520" s="58"/>
      <c r="F1520" s="58"/>
      <c r="G1520" s="58"/>
      <c r="H1520" s="33" t="str">
        <f t="shared" si="1"/>
        <v/>
      </c>
      <c r="I1520" s="58"/>
      <c r="J1520" s="58"/>
      <c r="K1520" s="58"/>
      <c r="L1520" s="38"/>
      <c r="M1520" s="58"/>
      <c r="N1520" s="58"/>
      <c r="O1520" s="58"/>
      <c r="P1520" s="80"/>
      <c r="Q1520" s="80"/>
      <c r="R1520" s="62"/>
      <c r="S1520" s="58"/>
      <c r="T1520" s="84"/>
      <c r="U1520" s="62"/>
      <c r="V1520" s="37" t="str">
        <f>IFERROR(__xludf.DUMMYFUNCTION("if(not(iserror(index(split(C1520, "" ""),2))), index(split(C1520, "" ""),1),"""")"),"")</f>
        <v/>
      </c>
      <c r="W1520" s="315" t="str">
        <f>IFERROR(__xludf.DUMMYFUNCTION("if(V1520="""",C1520,if(not(iserror(index(split(C1520, "" ""),3))), index(split(C1520, "" ""),3),index(split(C1520, "" ""),2)))"),"")</f>
        <v/>
      </c>
      <c r="X1520" s="38" t="b">
        <f t="shared" si="2"/>
        <v>0</v>
      </c>
      <c r="Y1520" s="38"/>
      <c r="Z1520" s="40"/>
      <c r="AA1520" s="40"/>
      <c r="AB1520" s="38"/>
      <c r="AC1520" s="38"/>
      <c r="AD1520" s="38"/>
      <c r="AE1520" s="38"/>
      <c r="AF1520" s="38"/>
      <c r="AG1520" s="38"/>
      <c r="AH1520" s="38"/>
      <c r="AI1520" s="38"/>
      <c r="AJ1520" s="38"/>
      <c r="AK1520" s="38"/>
      <c r="AL1520" s="38"/>
      <c r="AM1520" s="38"/>
      <c r="AN1520" s="38"/>
      <c r="AO1520" s="38"/>
      <c r="AP1520" s="38"/>
      <c r="AQ1520" s="38"/>
      <c r="AR1520" s="38"/>
      <c r="AS1520" s="38"/>
      <c r="AT1520" s="38"/>
      <c r="AU1520" s="38"/>
      <c r="AV1520" s="38"/>
      <c r="AW1520" s="38"/>
      <c r="AX1520" s="38"/>
      <c r="AY1520" s="38"/>
      <c r="AZ1520" s="38"/>
      <c r="BA1520" s="38"/>
      <c r="BB1520" s="38"/>
      <c r="BC1520" s="38"/>
      <c r="BD1520" s="38"/>
      <c r="BE1520" s="38"/>
      <c r="BF1520" s="38"/>
      <c r="BG1520" s="38"/>
    </row>
    <row r="1521">
      <c r="A1521" s="58"/>
      <c r="B1521" s="341"/>
      <c r="C1521" s="60"/>
      <c r="D1521" s="60"/>
      <c r="E1521" s="58"/>
      <c r="F1521" s="58"/>
      <c r="G1521" s="58"/>
      <c r="H1521" s="33" t="str">
        <f t="shared" si="1"/>
        <v/>
      </c>
      <c r="I1521" s="58"/>
      <c r="J1521" s="58"/>
      <c r="K1521" s="58"/>
      <c r="L1521" s="38"/>
      <c r="M1521" s="58"/>
      <c r="N1521" s="58"/>
      <c r="O1521" s="58"/>
      <c r="P1521" s="80"/>
      <c r="Q1521" s="80"/>
      <c r="R1521" s="58"/>
      <c r="S1521" s="58"/>
      <c r="T1521" s="84"/>
      <c r="U1521" s="62"/>
      <c r="V1521" s="37" t="str">
        <f>IFERROR(__xludf.DUMMYFUNCTION("if(not(iserror(index(split(C1521, "" ""),2))), index(split(C1521, "" ""),1),"""")"),"")</f>
        <v/>
      </c>
      <c r="W1521" s="315" t="str">
        <f>IFERROR(__xludf.DUMMYFUNCTION("if(V1521="""",C1521,if(not(iserror(index(split(C1521, "" ""),3))), index(split(C1521, "" ""),3),index(split(C1521, "" ""),2)))"),"")</f>
        <v/>
      </c>
      <c r="X1521" s="38" t="b">
        <f t="shared" si="2"/>
        <v>0</v>
      </c>
      <c r="Y1521" s="38"/>
      <c r="Z1521" s="40"/>
      <c r="AA1521" s="40"/>
      <c r="AB1521" s="38"/>
      <c r="AC1521" s="38"/>
      <c r="AD1521" s="38"/>
      <c r="AE1521" s="38"/>
      <c r="AF1521" s="38"/>
      <c r="AG1521" s="38"/>
      <c r="AH1521" s="38"/>
      <c r="AI1521" s="38"/>
      <c r="AJ1521" s="38"/>
      <c r="AK1521" s="38"/>
      <c r="AL1521" s="38"/>
      <c r="AM1521" s="38"/>
      <c r="AN1521" s="38"/>
      <c r="AO1521" s="38"/>
      <c r="AP1521" s="38"/>
      <c r="AQ1521" s="38"/>
      <c r="AR1521" s="38"/>
      <c r="AS1521" s="38"/>
      <c r="AT1521" s="38"/>
      <c r="AU1521" s="38"/>
      <c r="AV1521" s="38"/>
      <c r="AW1521" s="38"/>
      <c r="AX1521" s="38"/>
      <c r="AY1521" s="38"/>
      <c r="AZ1521" s="38"/>
      <c r="BA1521" s="38"/>
      <c r="BB1521" s="38"/>
      <c r="BC1521" s="38"/>
      <c r="BD1521" s="38"/>
      <c r="BE1521" s="38"/>
      <c r="BF1521" s="38"/>
      <c r="BG1521" s="38"/>
    </row>
    <row r="1522">
      <c r="A1522" s="58"/>
      <c r="B1522" s="341"/>
      <c r="C1522" s="60"/>
      <c r="D1522" s="60"/>
      <c r="E1522" s="406"/>
      <c r="F1522" s="58"/>
      <c r="G1522" s="58"/>
      <c r="H1522" s="33" t="str">
        <f t="shared" si="1"/>
        <v/>
      </c>
      <c r="I1522" s="58"/>
      <c r="J1522" s="58"/>
      <c r="K1522" s="58"/>
      <c r="L1522" s="38"/>
      <c r="M1522" s="58"/>
      <c r="N1522" s="58"/>
      <c r="O1522" s="58"/>
      <c r="P1522" s="80"/>
      <c r="Q1522" s="80"/>
      <c r="R1522" s="58"/>
      <c r="S1522" s="58"/>
      <c r="T1522" s="84"/>
      <c r="U1522" s="62"/>
      <c r="V1522" s="37" t="str">
        <f>IFERROR(__xludf.DUMMYFUNCTION("if(not(iserror(index(split(C1522, "" ""),2))), index(split(C1522, "" ""),1),"""")"),"")</f>
        <v/>
      </c>
      <c r="W1522" s="315" t="str">
        <f>IFERROR(__xludf.DUMMYFUNCTION("if(V1522="""",C1522,if(not(iserror(index(split(C1522, "" ""),3))), index(split(C1522, "" ""),3),index(split(C1522, "" ""),2)))"),"")</f>
        <v/>
      </c>
      <c r="X1522" s="38" t="b">
        <f t="shared" si="2"/>
        <v>0</v>
      </c>
      <c r="Y1522" s="38"/>
      <c r="Z1522" s="40"/>
      <c r="AA1522" s="40"/>
      <c r="AB1522" s="38"/>
      <c r="AC1522" s="38"/>
      <c r="AD1522" s="38"/>
      <c r="AE1522" s="38"/>
      <c r="AF1522" s="38"/>
      <c r="AG1522" s="38"/>
      <c r="AH1522" s="38"/>
      <c r="AI1522" s="38"/>
      <c r="AJ1522" s="38"/>
      <c r="AK1522" s="38"/>
      <c r="AL1522" s="38"/>
      <c r="AM1522" s="38"/>
      <c r="AN1522" s="38"/>
      <c r="AO1522" s="38"/>
      <c r="AP1522" s="38"/>
      <c r="AQ1522" s="38"/>
      <c r="AR1522" s="38"/>
      <c r="AS1522" s="38"/>
      <c r="AT1522" s="38"/>
      <c r="AU1522" s="38"/>
      <c r="AV1522" s="38"/>
      <c r="AW1522" s="38"/>
      <c r="AX1522" s="38"/>
      <c r="AY1522" s="38"/>
      <c r="AZ1522" s="38"/>
      <c r="BA1522" s="38"/>
      <c r="BB1522" s="38"/>
      <c r="BC1522" s="38"/>
      <c r="BD1522" s="38"/>
      <c r="BE1522" s="38"/>
      <c r="BF1522" s="38"/>
      <c r="BG1522" s="38"/>
    </row>
    <row r="1523">
      <c r="A1523" s="58"/>
      <c r="B1523" s="341"/>
      <c r="C1523" s="60"/>
      <c r="D1523" s="60"/>
      <c r="E1523" s="58"/>
      <c r="F1523" s="58"/>
      <c r="G1523" s="58"/>
      <c r="H1523" s="33" t="str">
        <f t="shared" si="1"/>
        <v/>
      </c>
      <c r="I1523" s="58"/>
      <c r="J1523" s="58"/>
      <c r="K1523" s="58"/>
      <c r="L1523" s="38"/>
      <c r="M1523" s="58"/>
      <c r="N1523" s="58"/>
      <c r="O1523" s="58"/>
      <c r="P1523" s="80"/>
      <c r="Q1523" s="80"/>
      <c r="R1523" s="58"/>
      <c r="S1523" s="58"/>
      <c r="T1523" s="84"/>
      <c r="U1523" s="62"/>
      <c r="V1523" s="37" t="str">
        <f>IFERROR(__xludf.DUMMYFUNCTION("if(not(iserror(index(split(C1523, "" ""),2))), index(split(C1523, "" ""),1),"""")"),"")</f>
        <v/>
      </c>
      <c r="W1523" s="315" t="str">
        <f>IFERROR(__xludf.DUMMYFUNCTION("if(V1523="""",C1523,if(not(iserror(index(split(C1523, "" ""),3))), index(split(C1523, "" ""),3),index(split(C1523, "" ""),2)))"),"")</f>
        <v/>
      </c>
      <c r="X1523" s="38" t="b">
        <f t="shared" si="2"/>
        <v>0</v>
      </c>
      <c r="Y1523" s="38"/>
      <c r="Z1523" s="40"/>
      <c r="AA1523" s="40"/>
      <c r="AB1523" s="38"/>
      <c r="AC1523" s="38"/>
      <c r="AD1523" s="38"/>
      <c r="AE1523" s="38"/>
      <c r="AF1523" s="38"/>
      <c r="AG1523" s="38"/>
      <c r="AH1523" s="38"/>
      <c r="AI1523" s="38"/>
      <c r="AJ1523" s="38"/>
      <c r="AK1523" s="38"/>
      <c r="AL1523" s="38"/>
      <c r="AM1523" s="38"/>
      <c r="AN1523" s="38"/>
      <c r="AO1523" s="38"/>
      <c r="AP1523" s="38"/>
      <c r="AQ1523" s="38"/>
      <c r="AR1523" s="38"/>
      <c r="AS1523" s="38"/>
      <c r="AT1523" s="38"/>
      <c r="AU1523" s="38"/>
      <c r="AV1523" s="38"/>
      <c r="AW1523" s="38"/>
      <c r="AX1523" s="38"/>
      <c r="AY1523" s="38"/>
      <c r="AZ1523" s="38"/>
      <c r="BA1523" s="38"/>
      <c r="BB1523" s="38"/>
      <c r="BC1523" s="38"/>
      <c r="BD1523" s="38"/>
      <c r="BE1523" s="38"/>
      <c r="BF1523" s="38"/>
      <c r="BG1523" s="38"/>
    </row>
    <row r="1524">
      <c r="A1524" s="58"/>
      <c r="B1524" s="341"/>
      <c r="C1524" s="60"/>
      <c r="D1524" s="60"/>
      <c r="E1524" s="58"/>
      <c r="F1524" s="58"/>
      <c r="G1524" s="58"/>
      <c r="H1524" s="33" t="str">
        <f t="shared" si="1"/>
        <v/>
      </c>
      <c r="I1524" s="58"/>
      <c r="J1524" s="58"/>
      <c r="K1524" s="58"/>
      <c r="L1524" s="38"/>
      <c r="M1524" s="58"/>
      <c r="N1524" s="58"/>
      <c r="O1524" s="58"/>
      <c r="P1524" s="80"/>
      <c r="Q1524" s="80"/>
      <c r="R1524" s="58"/>
      <c r="S1524" s="58"/>
      <c r="T1524" s="84"/>
      <c r="U1524" s="62"/>
      <c r="V1524" s="37" t="str">
        <f>IFERROR(__xludf.DUMMYFUNCTION("if(not(iserror(index(split(C1524, "" ""),2))), index(split(C1524, "" ""),1),"""")"),"")</f>
        <v/>
      </c>
      <c r="W1524" s="315" t="str">
        <f>IFERROR(__xludf.DUMMYFUNCTION("if(V1524="""",C1524,if(not(iserror(index(split(C1524, "" ""),3))), index(split(C1524, "" ""),3),index(split(C1524, "" ""),2)))"),"")</f>
        <v/>
      </c>
      <c r="X1524" s="38" t="b">
        <f t="shared" si="2"/>
        <v>0</v>
      </c>
      <c r="Y1524" s="38"/>
      <c r="Z1524" s="40"/>
      <c r="AA1524" s="40"/>
      <c r="AB1524" s="38"/>
      <c r="AC1524" s="38"/>
      <c r="AD1524" s="38"/>
      <c r="AE1524" s="38"/>
      <c r="AF1524" s="38"/>
      <c r="AG1524" s="38"/>
      <c r="AH1524" s="38"/>
      <c r="AI1524" s="38"/>
      <c r="AJ1524" s="38"/>
      <c r="AK1524" s="38"/>
      <c r="AL1524" s="38"/>
      <c r="AM1524" s="38"/>
      <c r="AN1524" s="38"/>
      <c r="AO1524" s="38"/>
      <c r="AP1524" s="38"/>
      <c r="AQ1524" s="38"/>
      <c r="AR1524" s="38"/>
      <c r="AS1524" s="38"/>
      <c r="AT1524" s="38"/>
      <c r="AU1524" s="38"/>
      <c r="AV1524" s="38"/>
      <c r="AW1524" s="38"/>
      <c r="AX1524" s="38"/>
      <c r="AY1524" s="38"/>
      <c r="AZ1524" s="38"/>
      <c r="BA1524" s="38"/>
      <c r="BB1524" s="38"/>
      <c r="BC1524" s="38"/>
      <c r="BD1524" s="38"/>
      <c r="BE1524" s="38"/>
      <c r="BF1524" s="38"/>
      <c r="BG1524" s="38"/>
    </row>
    <row r="1525">
      <c r="A1525" s="58"/>
      <c r="B1525" s="341"/>
      <c r="C1525" s="60"/>
      <c r="D1525" s="60"/>
      <c r="E1525" s="58"/>
      <c r="F1525" s="58"/>
      <c r="G1525" s="58"/>
      <c r="H1525" s="33" t="str">
        <f t="shared" si="1"/>
        <v/>
      </c>
      <c r="I1525" s="58"/>
      <c r="J1525" s="58"/>
      <c r="K1525" s="58"/>
      <c r="L1525" s="38"/>
      <c r="M1525" s="58"/>
      <c r="N1525" s="58"/>
      <c r="O1525" s="58"/>
      <c r="P1525" s="80"/>
      <c r="Q1525" s="80"/>
      <c r="R1525" s="58"/>
      <c r="S1525" s="58"/>
      <c r="T1525" s="84"/>
      <c r="U1525" s="62"/>
      <c r="V1525" s="37" t="str">
        <f>IFERROR(__xludf.DUMMYFUNCTION("if(not(iserror(index(split(C1525, "" ""),2))), index(split(C1525, "" ""),1),"""")"),"")</f>
        <v/>
      </c>
      <c r="W1525" s="315" t="str">
        <f>IFERROR(__xludf.DUMMYFUNCTION("if(V1525="""",C1525,if(not(iserror(index(split(C1525, "" ""),3))), index(split(C1525, "" ""),3),index(split(C1525, "" ""),2)))"),"")</f>
        <v/>
      </c>
      <c r="X1525" s="38" t="b">
        <f t="shared" si="2"/>
        <v>0</v>
      </c>
      <c r="Y1525" s="38"/>
      <c r="Z1525" s="40"/>
      <c r="AA1525" s="40"/>
      <c r="AB1525" s="38"/>
      <c r="AC1525" s="38"/>
      <c r="AD1525" s="38"/>
      <c r="AE1525" s="38"/>
      <c r="AF1525" s="38"/>
      <c r="AG1525" s="38"/>
      <c r="AH1525" s="38"/>
      <c r="AI1525" s="38"/>
      <c r="AJ1525" s="38"/>
      <c r="AK1525" s="38"/>
      <c r="AL1525" s="38"/>
      <c r="AM1525" s="38"/>
      <c r="AN1525" s="38"/>
      <c r="AO1525" s="38"/>
      <c r="AP1525" s="38"/>
      <c r="AQ1525" s="38"/>
      <c r="AR1525" s="38"/>
      <c r="AS1525" s="38"/>
      <c r="AT1525" s="38"/>
      <c r="AU1525" s="38"/>
      <c r="AV1525" s="38"/>
      <c r="AW1525" s="38"/>
      <c r="AX1525" s="38"/>
      <c r="AY1525" s="38"/>
      <c r="AZ1525" s="38"/>
      <c r="BA1525" s="38"/>
      <c r="BB1525" s="38"/>
      <c r="BC1525" s="38"/>
      <c r="BD1525" s="38"/>
      <c r="BE1525" s="38"/>
      <c r="BF1525" s="38"/>
      <c r="BG1525" s="38"/>
    </row>
    <row r="1526">
      <c r="A1526" s="375"/>
      <c r="B1526" s="341"/>
      <c r="C1526" s="60"/>
      <c r="D1526" s="60"/>
      <c r="E1526" s="58"/>
      <c r="F1526" s="58"/>
      <c r="G1526" s="58"/>
      <c r="H1526" s="33" t="str">
        <f t="shared" si="1"/>
        <v/>
      </c>
      <c r="I1526" s="58"/>
      <c r="J1526" s="58"/>
      <c r="K1526" s="58"/>
      <c r="L1526" s="38"/>
      <c r="M1526" s="58"/>
      <c r="N1526" s="58"/>
      <c r="O1526" s="58"/>
      <c r="P1526" s="80"/>
      <c r="Q1526" s="80"/>
      <c r="R1526" s="58"/>
      <c r="S1526" s="58"/>
      <c r="T1526" s="84"/>
      <c r="U1526" s="62"/>
      <c r="V1526" s="37" t="str">
        <f>IFERROR(__xludf.DUMMYFUNCTION("if(not(iserror(index(split(C1526, "" ""),2))), index(split(C1526, "" ""),1),"""")"),"")</f>
        <v/>
      </c>
      <c r="W1526" s="315" t="str">
        <f>IFERROR(__xludf.DUMMYFUNCTION("if(V1526="""",C1526,if(not(iserror(index(split(C1526, "" ""),3))), index(split(C1526, "" ""),3),index(split(C1526, "" ""),2)))"),"")</f>
        <v/>
      </c>
      <c r="X1526" s="38" t="b">
        <f t="shared" si="2"/>
        <v>0</v>
      </c>
      <c r="Y1526" s="38"/>
      <c r="Z1526" s="40"/>
      <c r="AA1526" s="40"/>
      <c r="AB1526" s="38"/>
      <c r="AC1526" s="38"/>
      <c r="AD1526" s="38"/>
      <c r="AE1526" s="38"/>
      <c r="AF1526" s="38"/>
      <c r="AG1526" s="38"/>
      <c r="AH1526" s="38"/>
      <c r="AI1526" s="38"/>
      <c r="AJ1526" s="38"/>
      <c r="AK1526" s="38"/>
      <c r="AL1526" s="38"/>
      <c r="AM1526" s="38"/>
      <c r="AN1526" s="38"/>
      <c r="AO1526" s="38"/>
      <c r="AP1526" s="38"/>
      <c r="AQ1526" s="38"/>
      <c r="AR1526" s="38"/>
      <c r="AS1526" s="38"/>
      <c r="AT1526" s="38"/>
      <c r="AU1526" s="38"/>
      <c r="AV1526" s="38"/>
      <c r="AW1526" s="38"/>
      <c r="AX1526" s="38"/>
      <c r="AY1526" s="38"/>
      <c r="AZ1526" s="38"/>
      <c r="BA1526" s="38"/>
      <c r="BB1526" s="38"/>
      <c r="BC1526" s="38"/>
      <c r="BD1526" s="38"/>
      <c r="BE1526" s="38"/>
      <c r="BF1526" s="38"/>
      <c r="BG1526" s="38"/>
    </row>
    <row r="1527">
      <c r="A1527" s="58"/>
      <c r="B1527" s="341"/>
      <c r="C1527" s="60"/>
      <c r="D1527" s="60"/>
      <c r="E1527" s="58"/>
      <c r="F1527" s="58"/>
      <c r="G1527" s="58"/>
      <c r="H1527" s="33" t="str">
        <f t="shared" si="1"/>
        <v/>
      </c>
      <c r="I1527" s="58"/>
      <c r="J1527" s="58"/>
      <c r="K1527" s="58"/>
      <c r="L1527" s="38"/>
      <c r="M1527" s="58"/>
      <c r="N1527" s="58"/>
      <c r="O1527" s="58"/>
      <c r="P1527" s="80"/>
      <c r="Q1527" s="80"/>
      <c r="R1527" s="58"/>
      <c r="S1527" s="58"/>
      <c r="T1527" s="58"/>
      <c r="U1527" s="62"/>
      <c r="V1527" s="37" t="str">
        <f>IFERROR(__xludf.DUMMYFUNCTION("if(not(iserror(index(split(C1527, "" ""),2))), index(split(C1527, "" ""),1),"""")"),"")</f>
        <v/>
      </c>
      <c r="W1527" s="315" t="str">
        <f>IFERROR(__xludf.DUMMYFUNCTION("if(V1527="""",C1527,if(not(iserror(index(split(C1527, "" ""),3))), index(split(C1527, "" ""),3),index(split(C1527, "" ""),2)))"),"")</f>
        <v/>
      </c>
      <c r="X1527" s="38" t="b">
        <f t="shared" si="2"/>
        <v>0</v>
      </c>
      <c r="Y1527" s="38"/>
      <c r="Z1527" s="40"/>
      <c r="AA1527" s="40"/>
      <c r="AB1527" s="38"/>
      <c r="AC1527" s="38"/>
      <c r="AD1527" s="38"/>
      <c r="AE1527" s="38"/>
      <c r="AF1527" s="38"/>
      <c r="AG1527" s="38"/>
      <c r="AH1527" s="38"/>
      <c r="AI1527" s="38"/>
      <c r="AJ1527" s="38"/>
      <c r="AK1527" s="38"/>
      <c r="AL1527" s="38"/>
      <c r="AM1527" s="38"/>
      <c r="AN1527" s="38"/>
      <c r="AO1527" s="38"/>
      <c r="AP1527" s="38"/>
      <c r="AQ1527" s="38"/>
      <c r="AR1527" s="38"/>
      <c r="AS1527" s="38"/>
      <c r="AT1527" s="38"/>
      <c r="AU1527" s="38"/>
      <c r="AV1527" s="38"/>
      <c r="AW1527" s="38"/>
      <c r="AX1527" s="38"/>
      <c r="AY1527" s="38"/>
      <c r="AZ1527" s="38"/>
      <c r="BA1527" s="38"/>
      <c r="BB1527" s="38"/>
      <c r="BC1527" s="38"/>
      <c r="BD1527" s="38"/>
      <c r="BE1527" s="38"/>
      <c r="BF1527" s="38"/>
      <c r="BG1527" s="38"/>
    </row>
    <row r="1528">
      <c r="A1528" s="58"/>
      <c r="B1528" s="341"/>
      <c r="C1528" s="60"/>
      <c r="D1528" s="60"/>
      <c r="E1528" s="58"/>
      <c r="F1528" s="58"/>
      <c r="G1528" s="58"/>
      <c r="H1528" s="33" t="str">
        <f t="shared" si="1"/>
        <v/>
      </c>
      <c r="I1528" s="58"/>
      <c r="J1528" s="58"/>
      <c r="K1528" s="58"/>
      <c r="L1528" s="38"/>
      <c r="M1528" s="58"/>
      <c r="N1528" s="58"/>
      <c r="O1528" s="58"/>
      <c r="P1528" s="80"/>
      <c r="Q1528" s="80"/>
      <c r="R1528" s="58"/>
      <c r="S1528" s="62"/>
      <c r="T1528" s="84"/>
      <c r="U1528" s="62"/>
      <c r="V1528" s="37" t="str">
        <f>IFERROR(__xludf.DUMMYFUNCTION("if(not(iserror(index(split(C1528, "" ""),2))), index(split(C1528, "" ""),1),"""")"),"")</f>
        <v/>
      </c>
      <c r="W1528" s="315" t="str">
        <f>IFERROR(__xludf.DUMMYFUNCTION("if(V1528="""",C1528,if(not(iserror(index(split(C1528, "" ""),3))), index(split(C1528, "" ""),3),index(split(C1528, "" ""),2)))"),"")</f>
        <v/>
      </c>
      <c r="X1528" s="38" t="b">
        <f t="shared" si="2"/>
        <v>0</v>
      </c>
      <c r="Y1528" s="38"/>
      <c r="Z1528" s="40"/>
      <c r="AA1528" s="40"/>
      <c r="AB1528" s="38"/>
      <c r="AC1528" s="38"/>
      <c r="AD1528" s="38"/>
      <c r="AE1528" s="38"/>
      <c r="AF1528" s="38"/>
      <c r="AG1528" s="38"/>
      <c r="AH1528" s="38"/>
      <c r="AI1528" s="38"/>
      <c r="AJ1528" s="38"/>
      <c r="AK1528" s="38"/>
      <c r="AL1528" s="38"/>
      <c r="AM1528" s="38"/>
      <c r="AN1528" s="38"/>
      <c r="AO1528" s="38"/>
      <c r="AP1528" s="38"/>
      <c r="AQ1528" s="38"/>
      <c r="AR1528" s="38"/>
      <c r="AS1528" s="38"/>
      <c r="AT1528" s="38"/>
      <c r="AU1528" s="38"/>
      <c r="AV1528" s="38"/>
      <c r="AW1528" s="38"/>
      <c r="AX1528" s="38"/>
      <c r="AY1528" s="38"/>
      <c r="AZ1528" s="38"/>
      <c r="BA1528" s="38"/>
      <c r="BB1528" s="38"/>
      <c r="BC1528" s="38"/>
      <c r="BD1528" s="38"/>
      <c r="BE1528" s="38"/>
      <c r="BF1528" s="38"/>
      <c r="BG1528" s="38"/>
    </row>
    <row r="1529">
      <c r="A1529" s="58"/>
      <c r="B1529" s="341"/>
      <c r="C1529" s="60"/>
      <c r="D1529" s="60"/>
      <c r="E1529" s="58"/>
      <c r="F1529" s="58"/>
      <c r="G1529" s="58"/>
      <c r="H1529" s="33" t="str">
        <f t="shared" si="1"/>
        <v/>
      </c>
      <c r="I1529" s="58"/>
      <c r="J1529" s="58"/>
      <c r="K1529" s="58"/>
      <c r="L1529" s="38"/>
      <c r="M1529" s="58"/>
      <c r="N1529" s="58"/>
      <c r="O1529" s="58"/>
      <c r="P1529" s="80"/>
      <c r="Q1529" s="80"/>
      <c r="R1529" s="58"/>
      <c r="S1529" s="62"/>
      <c r="T1529" s="84"/>
      <c r="U1529" s="62"/>
      <c r="V1529" s="37" t="str">
        <f>IFERROR(__xludf.DUMMYFUNCTION("if(not(iserror(index(split(C1529, "" ""),2))), index(split(C1529, "" ""),1),"""")"),"")</f>
        <v/>
      </c>
      <c r="W1529" s="315" t="str">
        <f>IFERROR(__xludf.DUMMYFUNCTION("if(V1529="""",C1529,if(not(iserror(index(split(C1529, "" ""),3))), index(split(C1529, "" ""),3),index(split(C1529, "" ""),2)))"),"")</f>
        <v/>
      </c>
      <c r="X1529" s="38" t="b">
        <f t="shared" si="2"/>
        <v>0</v>
      </c>
      <c r="Y1529" s="38"/>
      <c r="Z1529" s="40"/>
      <c r="AA1529" s="40"/>
      <c r="AB1529" s="38"/>
      <c r="AC1529" s="38"/>
      <c r="AD1529" s="38"/>
      <c r="AE1529" s="38"/>
      <c r="AF1529" s="38"/>
      <c r="AG1529" s="38"/>
      <c r="AH1529" s="38"/>
      <c r="AI1529" s="38"/>
      <c r="AJ1529" s="38"/>
      <c r="AK1529" s="38"/>
      <c r="AL1529" s="38"/>
      <c r="AM1529" s="38"/>
      <c r="AN1529" s="38"/>
      <c r="AO1529" s="38"/>
      <c r="AP1529" s="38"/>
      <c r="AQ1529" s="38"/>
      <c r="AR1529" s="38"/>
      <c r="AS1529" s="38"/>
      <c r="AT1529" s="38"/>
      <c r="AU1529" s="38"/>
      <c r="AV1529" s="38"/>
      <c r="AW1529" s="38"/>
      <c r="AX1529" s="38"/>
      <c r="AY1529" s="38"/>
      <c r="AZ1529" s="38"/>
      <c r="BA1529" s="38"/>
      <c r="BB1529" s="38"/>
      <c r="BC1529" s="38"/>
      <c r="BD1529" s="38"/>
      <c r="BE1529" s="38"/>
      <c r="BF1529" s="38"/>
      <c r="BG1529" s="38"/>
    </row>
    <row r="1530">
      <c r="A1530" s="58"/>
      <c r="B1530" s="341"/>
      <c r="C1530" s="60"/>
      <c r="D1530" s="60"/>
      <c r="E1530" s="58"/>
      <c r="F1530" s="58"/>
      <c r="G1530" s="58"/>
      <c r="H1530" s="33" t="str">
        <f t="shared" si="1"/>
        <v/>
      </c>
      <c r="I1530" s="58"/>
      <c r="J1530" s="58"/>
      <c r="K1530" s="58"/>
      <c r="L1530" s="38"/>
      <c r="M1530" s="58"/>
      <c r="N1530" s="58"/>
      <c r="O1530" s="58"/>
      <c r="P1530" s="80"/>
      <c r="Q1530" s="80"/>
      <c r="R1530" s="58"/>
      <c r="S1530" s="62"/>
      <c r="T1530" s="84"/>
      <c r="U1530" s="62"/>
      <c r="V1530" s="37" t="str">
        <f>IFERROR(__xludf.DUMMYFUNCTION("if(not(iserror(index(split(C1530, "" ""),2))), index(split(C1530, "" ""),1),"""")"),"")</f>
        <v/>
      </c>
      <c r="W1530" s="315" t="str">
        <f>IFERROR(__xludf.DUMMYFUNCTION("if(V1530="""",C1530,if(not(iserror(index(split(C1530, "" ""),3))), index(split(C1530, "" ""),3),index(split(C1530, "" ""),2)))"),"")</f>
        <v/>
      </c>
      <c r="X1530" s="38" t="b">
        <f t="shared" si="2"/>
        <v>0</v>
      </c>
      <c r="Y1530" s="38"/>
      <c r="Z1530" s="40"/>
      <c r="AA1530" s="40"/>
      <c r="AB1530" s="38"/>
      <c r="AC1530" s="38"/>
      <c r="AD1530" s="38"/>
      <c r="AE1530" s="38"/>
      <c r="AF1530" s="38"/>
      <c r="AG1530" s="38"/>
      <c r="AH1530" s="38"/>
      <c r="AI1530" s="38"/>
      <c r="AJ1530" s="38"/>
      <c r="AK1530" s="38"/>
      <c r="AL1530" s="38"/>
      <c r="AM1530" s="38"/>
      <c r="AN1530" s="38"/>
      <c r="AO1530" s="38"/>
      <c r="AP1530" s="38"/>
      <c r="AQ1530" s="38"/>
      <c r="AR1530" s="38"/>
      <c r="AS1530" s="38"/>
      <c r="AT1530" s="38"/>
      <c r="AU1530" s="38"/>
      <c r="AV1530" s="38"/>
      <c r="AW1530" s="38"/>
      <c r="AX1530" s="38"/>
      <c r="AY1530" s="38"/>
      <c r="AZ1530" s="38"/>
      <c r="BA1530" s="38"/>
      <c r="BB1530" s="38"/>
      <c r="BC1530" s="38"/>
      <c r="BD1530" s="38"/>
      <c r="BE1530" s="38"/>
      <c r="BF1530" s="38"/>
      <c r="BG1530" s="38"/>
    </row>
    <row r="1531">
      <c r="A1531" s="58"/>
      <c r="B1531" s="341"/>
      <c r="C1531" s="60"/>
      <c r="D1531" s="60"/>
      <c r="E1531" s="58"/>
      <c r="F1531" s="58"/>
      <c r="G1531" s="58"/>
      <c r="H1531" s="33" t="str">
        <f t="shared" si="1"/>
        <v/>
      </c>
      <c r="I1531" s="58"/>
      <c r="J1531" s="58"/>
      <c r="K1531" s="58"/>
      <c r="L1531" s="38"/>
      <c r="M1531" s="58"/>
      <c r="N1531" s="58"/>
      <c r="O1531" s="58"/>
      <c r="P1531" s="80"/>
      <c r="Q1531" s="80"/>
      <c r="R1531" s="58"/>
      <c r="S1531" s="58"/>
      <c r="T1531" s="84"/>
      <c r="U1531" s="62"/>
      <c r="V1531" s="37" t="str">
        <f>IFERROR(__xludf.DUMMYFUNCTION("if(not(iserror(index(split(C1531, "" ""),2))), index(split(C1531, "" ""),1),"""")"),"")</f>
        <v/>
      </c>
      <c r="W1531" s="315" t="str">
        <f>IFERROR(__xludf.DUMMYFUNCTION("if(V1531="""",C1531,if(not(iserror(index(split(C1531, "" ""),3))), index(split(C1531, "" ""),3),index(split(C1531, "" ""),2)))"),"")</f>
        <v/>
      </c>
      <c r="X1531" s="38" t="b">
        <f t="shared" si="2"/>
        <v>0</v>
      </c>
      <c r="Y1531" s="38"/>
      <c r="Z1531" s="40"/>
      <c r="AA1531" s="40"/>
      <c r="AB1531" s="38"/>
      <c r="AC1531" s="38"/>
      <c r="AD1531" s="38"/>
      <c r="AE1531" s="38"/>
      <c r="AF1531" s="38"/>
      <c r="AG1531" s="38"/>
      <c r="AH1531" s="38"/>
      <c r="AI1531" s="38"/>
      <c r="AJ1531" s="38"/>
      <c r="AK1531" s="38"/>
      <c r="AL1531" s="38"/>
      <c r="AM1531" s="38"/>
      <c r="AN1531" s="38"/>
      <c r="AO1531" s="38"/>
      <c r="AP1531" s="38"/>
      <c r="AQ1531" s="38"/>
      <c r="AR1531" s="38"/>
      <c r="AS1531" s="38"/>
      <c r="AT1531" s="38"/>
      <c r="AU1531" s="38"/>
      <c r="AV1531" s="38"/>
      <c r="AW1531" s="38"/>
      <c r="AX1531" s="38"/>
      <c r="AY1531" s="38"/>
      <c r="AZ1531" s="38"/>
      <c r="BA1531" s="38"/>
      <c r="BB1531" s="38"/>
      <c r="BC1531" s="38"/>
      <c r="BD1531" s="38"/>
      <c r="BE1531" s="38"/>
      <c r="BF1531" s="38"/>
      <c r="BG1531" s="38"/>
    </row>
    <row r="1532">
      <c r="A1532" s="58"/>
      <c r="B1532" s="341"/>
      <c r="C1532" s="60"/>
      <c r="D1532" s="60"/>
      <c r="E1532" s="58"/>
      <c r="F1532" s="58"/>
      <c r="G1532" s="58"/>
      <c r="H1532" s="33" t="str">
        <f t="shared" si="1"/>
        <v/>
      </c>
      <c r="I1532" s="58"/>
      <c r="J1532" s="58"/>
      <c r="K1532" s="58"/>
      <c r="L1532" s="38"/>
      <c r="M1532" s="58"/>
      <c r="N1532" s="58"/>
      <c r="O1532" s="58"/>
      <c r="P1532" s="80"/>
      <c r="Q1532" s="80"/>
      <c r="R1532" s="58"/>
      <c r="S1532" s="58"/>
      <c r="T1532" s="84"/>
      <c r="U1532" s="62"/>
      <c r="V1532" s="37" t="str">
        <f>IFERROR(__xludf.DUMMYFUNCTION("if(not(iserror(index(split(C1532, "" ""),2))), index(split(C1532, "" ""),1),"""")"),"")</f>
        <v/>
      </c>
      <c r="W1532" s="315" t="str">
        <f>IFERROR(__xludf.DUMMYFUNCTION("if(V1532="""",C1532,if(not(iserror(index(split(C1532, "" ""),3))), index(split(C1532, "" ""),3),index(split(C1532, "" ""),2)))"),"")</f>
        <v/>
      </c>
      <c r="X1532" s="38" t="b">
        <f t="shared" si="2"/>
        <v>0</v>
      </c>
      <c r="Y1532" s="38"/>
      <c r="Z1532" s="40"/>
      <c r="AA1532" s="40"/>
      <c r="AB1532" s="38"/>
      <c r="AC1532" s="38"/>
      <c r="AD1532" s="38"/>
      <c r="AE1532" s="38"/>
      <c r="AF1532" s="38"/>
      <c r="AG1532" s="38"/>
      <c r="AH1532" s="38"/>
      <c r="AI1532" s="38"/>
      <c r="AJ1532" s="38"/>
      <c r="AK1532" s="38"/>
      <c r="AL1532" s="38"/>
      <c r="AM1532" s="38"/>
      <c r="AN1532" s="38"/>
      <c r="AO1532" s="38"/>
      <c r="AP1532" s="38"/>
      <c r="AQ1532" s="38"/>
      <c r="AR1532" s="38"/>
      <c r="AS1532" s="38"/>
      <c r="AT1532" s="38"/>
      <c r="AU1532" s="38"/>
      <c r="AV1532" s="38"/>
      <c r="AW1532" s="38"/>
      <c r="AX1532" s="38"/>
      <c r="AY1532" s="38"/>
      <c r="AZ1532" s="38"/>
      <c r="BA1532" s="38"/>
      <c r="BB1532" s="38"/>
      <c r="BC1532" s="38"/>
      <c r="BD1532" s="38"/>
      <c r="BE1532" s="38"/>
      <c r="BF1532" s="38"/>
      <c r="BG1532" s="38"/>
    </row>
    <row r="1533">
      <c r="A1533" s="58"/>
      <c r="B1533" s="341"/>
      <c r="C1533" s="60"/>
      <c r="D1533" s="60"/>
      <c r="E1533" s="58"/>
      <c r="F1533" s="58"/>
      <c r="G1533" s="58"/>
      <c r="H1533" s="33" t="str">
        <f t="shared" si="1"/>
        <v/>
      </c>
      <c r="I1533" s="58"/>
      <c r="J1533" s="58"/>
      <c r="K1533" s="58"/>
      <c r="L1533" s="38"/>
      <c r="M1533" s="58"/>
      <c r="N1533" s="58"/>
      <c r="O1533" s="58"/>
      <c r="P1533" s="80"/>
      <c r="Q1533" s="80"/>
      <c r="R1533" s="58"/>
      <c r="S1533" s="58"/>
      <c r="T1533" s="84"/>
      <c r="U1533" s="62"/>
      <c r="V1533" s="37" t="str">
        <f>IFERROR(__xludf.DUMMYFUNCTION("if(not(iserror(index(split(C1533, "" ""),2))), index(split(C1533, "" ""),1),"""")"),"")</f>
        <v/>
      </c>
      <c r="W1533" s="315" t="str">
        <f>IFERROR(__xludf.DUMMYFUNCTION("if(V1533="""",C1533,if(not(iserror(index(split(C1533, "" ""),3))), index(split(C1533, "" ""),3),index(split(C1533, "" ""),2)))"),"")</f>
        <v/>
      </c>
      <c r="X1533" s="38" t="b">
        <f t="shared" si="2"/>
        <v>0</v>
      </c>
      <c r="Y1533" s="38"/>
      <c r="Z1533" s="40"/>
      <c r="AA1533" s="40"/>
      <c r="AB1533" s="38"/>
      <c r="AC1533" s="38"/>
      <c r="AD1533" s="38"/>
      <c r="AE1533" s="38"/>
      <c r="AF1533" s="38"/>
      <c r="AG1533" s="38"/>
      <c r="AH1533" s="38"/>
      <c r="AI1533" s="38"/>
      <c r="AJ1533" s="38"/>
      <c r="AK1533" s="38"/>
      <c r="AL1533" s="38"/>
      <c r="AM1533" s="38"/>
      <c r="AN1533" s="38"/>
      <c r="AO1533" s="38"/>
      <c r="AP1533" s="38"/>
      <c r="AQ1533" s="38"/>
      <c r="AR1533" s="38"/>
      <c r="AS1533" s="38"/>
      <c r="AT1533" s="38"/>
      <c r="AU1533" s="38"/>
      <c r="AV1533" s="38"/>
      <c r="AW1533" s="38"/>
      <c r="AX1533" s="38"/>
      <c r="AY1533" s="38"/>
      <c r="AZ1533" s="38"/>
      <c r="BA1533" s="38"/>
      <c r="BB1533" s="38"/>
      <c r="BC1533" s="38"/>
      <c r="BD1533" s="38"/>
      <c r="BE1533" s="38"/>
      <c r="BF1533" s="38"/>
      <c r="BG1533" s="38"/>
    </row>
    <row r="1534">
      <c r="A1534" s="58"/>
      <c r="B1534" s="341"/>
      <c r="C1534" s="60"/>
      <c r="D1534" s="60"/>
      <c r="E1534" s="58"/>
      <c r="F1534" s="58"/>
      <c r="G1534" s="58"/>
      <c r="H1534" s="33" t="str">
        <f t="shared" si="1"/>
        <v/>
      </c>
      <c r="I1534" s="58"/>
      <c r="J1534" s="58"/>
      <c r="K1534" s="58"/>
      <c r="L1534" s="38"/>
      <c r="M1534" s="58"/>
      <c r="N1534" s="58"/>
      <c r="O1534" s="58"/>
      <c r="P1534" s="80"/>
      <c r="Q1534" s="80"/>
      <c r="R1534" s="58"/>
      <c r="S1534" s="62"/>
      <c r="T1534" s="84"/>
      <c r="U1534" s="62"/>
      <c r="V1534" s="37" t="str">
        <f>IFERROR(__xludf.DUMMYFUNCTION("if(not(iserror(index(split(C1534, "" ""),2))), index(split(C1534, "" ""),1),"""")"),"")</f>
        <v/>
      </c>
      <c r="W1534" s="315" t="str">
        <f>IFERROR(__xludf.DUMMYFUNCTION("if(V1534="""",C1534,if(not(iserror(index(split(C1534, "" ""),3))), index(split(C1534, "" ""),3),index(split(C1534, "" ""),2)))"),"")</f>
        <v/>
      </c>
      <c r="X1534" s="38" t="b">
        <f t="shared" si="2"/>
        <v>0</v>
      </c>
      <c r="Y1534" s="38"/>
      <c r="Z1534" s="40"/>
      <c r="AA1534" s="40"/>
      <c r="AB1534" s="38"/>
      <c r="AC1534" s="38"/>
      <c r="AD1534" s="38"/>
      <c r="AE1534" s="38"/>
      <c r="AF1534" s="38"/>
      <c r="AG1534" s="38"/>
      <c r="AH1534" s="38"/>
      <c r="AI1534" s="38"/>
      <c r="AJ1534" s="38"/>
      <c r="AK1534" s="38"/>
      <c r="AL1534" s="38"/>
      <c r="AM1534" s="38"/>
      <c r="AN1534" s="38"/>
      <c r="AO1534" s="38"/>
      <c r="AP1534" s="38"/>
      <c r="AQ1534" s="38"/>
      <c r="AR1534" s="38"/>
      <c r="AS1534" s="38"/>
      <c r="AT1534" s="38"/>
      <c r="AU1534" s="38"/>
      <c r="AV1534" s="38"/>
      <c r="AW1534" s="38"/>
      <c r="AX1534" s="38"/>
      <c r="AY1534" s="38"/>
      <c r="AZ1534" s="38"/>
      <c r="BA1534" s="38"/>
      <c r="BB1534" s="38"/>
      <c r="BC1534" s="38"/>
      <c r="BD1534" s="38"/>
      <c r="BE1534" s="38"/>
      <c r="BF1534" s="38"/>
      <c r="BG1534" s="38"/>
    </row>
    <row r="1535">
      <c r="A1535" s="58"/>
      <c r="B1535" s="341"/>
      <c r="C1535" s="60"/>
      <c r="D1535" s="60"/>
      <c r="E1535" s="58"/>
      <c r="F1535" s="58"/>
      <c r="G1535" s="58"/>
      <c r="H1535" s="33" t="str">
        <f t="shared" si="1"/>
        <v/>
      </c>
      <c r="I1535" s="58"/>
      <c r="J1535" s="58"/>
      <c r="K1535" s="58"/>
      <c r="L1535" s="38"/>
      <c r="M1535" s="58"/>
      <c r="N1535" s="58"/>
      <c r="O1535" s="58"/>
      <c r="P1535" s="80"/>
      <c r="Q1535" s="80"/>
      <c r="R1535" s="58"/>
      <c r="S1535" s="62"/>
      <c r="T1535" s="84"/>
      <c r="U1535" s="62"/>
      <c r="V1535" s="37" t="str">
        <f>IFERROR(__xludf.DUMMYFUNCTION("if(not(iserror(index(split(C1535, "" ""),2))), index(split(C1535, "" ""),1),"""")"),"")</f>
        <v/>
      </c>
      <c r="W1535" s="315" t="str">
        <f>IFERROR(__xludf.DUMMYFUNCTION("if(V1535="""",C1535,if(not(iserror(index(split(C1535, "" ""),3))), index(split(C1535, "" ""),3),index(split(C1535, "" ""),2)))"),"")</f>
        <v/>
      </c>
      <c r="X1535" s="38" t="b">
        <f t="shared" si="2"/>
        <v>0</v>
      </c>
      <c r="Y1535" s="38"/>
      <c r="Z1535" s="40"/>
      <c r="AA1535" s="40"/>
      <c r="AB1535" s="38"/>
      <c r="AC1535" s="38"/>
      <c r="AD1535" s="38"/>
      <c r="AE1535" s="38"/>
      <c r="AF1535" s="38"/>
      <c r="AG1535" s="38"/>
      <c r="AH1535" s="38"/>
      <c r="AI1535" s="38"/>
      <c r="AJ1535" s="38"/>
      <c r="AK1535" s="38"/>
      <c r="AL1535" s="38"/>
      <c r="AM1535" s="38"/>
      <c r="AN1535" s="38"/>
      <c r="AO1535" s="38"/>
      <c r="AP1535" s="38"/>
      <c r="AQ1535" s="38"/>
      <c r="AR1535" s="38"/>
      <c r="AS1535" s="38"/>
      <c r="AT1535" s="38"/>
      <c r="AU1535" s="38"/>
      <c r="AV1535" s="38"/>
      <c r="AW1535" s="38"/>
      <c r="AX1535" s="38"/>
      <c r="AY1535" s="38"/>
      <c r="AZ1535" s="38"/>
      <c r="BA1535" s="38"/>
      <c r="BB1535" s="38"/>
      <c r="BC1535" s="38"/>
      <c r="BD1535" s="38"/>
      <c r="BE1535" s="38"/>
      <c r="BF1535" s="38"/>
      <c r="BG1535" s="38"/>
    </row>
    <row r="1536">
      <c r="A1536" s="58"/>
      <c r="B1536" s="341"/>
      <c r="C1536" s="60"/>
      <c r="D1536" s="60"/>
      <c r="E1536" s="58"/>
      <c r="F1536" s="58"/>
      <c r="G1536" s="58"/>
      <c r="H1536" s="33" t="str">
        <f t="shared" si="1"/>
        <v/>
      </c>
      <c r="I1536" s="58"/>
      <c r="J1536" s="58"/>
      <c r="K1536" s="58"/>
      <c r="L1536" s="38"/>
      <c r="M1536" s="58"/>
      <c r="N1536" s="58"/>
      <c r="O1536" s="58"/>
      <c r="P1536" s="80"/>
      <c r="Q1536" s="80"/>
      <c r="R1536" s="58"/>
      <c r="S1536" s="62"/>
      <c r="T1536" s="84"/>
      <c r="U1536" s="62"/>
      <c r="V1536" s="37" t="str">
        <f>IFERROR(__xludf.DUMMYFUNCTION("if(not(iserror(index(split(C1536, "" ""),2))), index(split(C1536, "" ""),1),"""")"),"")</f>
        <v/>
      </c>
      <c r="W1536" s="315" t="str">
        <f>IFERROR(__xludf.DUMMYFUNCTION("if(V1536="""",C1536,if(not(iserror(index(split(C1536, "" ""),3))), index(split(C1536, "" ""),3),index(split(C1536, "" ""),2)))"),"")</f>
        <v/>
      </c>
      <c r="X1536" s="38" t="b">
        <f t="shared" si="2"/>
        <v>0</v>
      </c>
      <c r="Y1536" s="38"/>
      <c r="Z1536" s="40"/>
      <c r="AA1536" s="40"/>
      <c r="AB1536" s="38"/>
      <c r="AC1536" s="38"/>
      <c r="AD1536" s="38"/>
      <c r="AE1536" s="38"/>
      <c r="AF1536" s="38"/>
      <c r="AG1536" s="38"/>
      <c r="AH1536" s="38"/>
      <c r="AI1536" s="38"/>
      <c r="AJ1536" s="38"/>
      <c r="AK1536" s="38"/>
      <c r="AL1536" s="38"/>
      <c r="AM1536" s="38"/>
      <c r="AN1536" s="38"/>
      <c r="AO1536" s="38"/>
      <c r="AP1536" s="38"/>
      <c r="AQ1536" s="38"/>
      <c r="AR1536" s="38"/>
      <c r="AS1536" s="38"/>
      <c r="AT1536" s="38"/>
      <c r="AU1536" s="38"/>
      <c r="AV1536" s="38"/>
      <c r="AW1536" s="38"/>
      <c r="AX1536" s="38"/>
      <c r="AY1536" s="38"/>
      <c r="AZ1536" s="38"/>
      <c r="BA1536" s="38"/>
      <c r="BB1536" s="38"/>
      <c r="BC1536" s="38"/>
      <c r="BD1536" s="38"/>
      <c r="BE1536" s="38"/>
      <c r="BF1536" s="38"/>
      <c r="BG1536" s="38"/>
    </row>
    <row r="1537">
      <c r="A1537" s="58"/>
      <c r="B1537" s="341"/>
      <c r="C1537" s="60"/>
      <c r="D1537" s="60"/>
      <c r="E1537" s="58"/>
      <c r="F1537" s="58"/>
      <c r="G1537" s="58"/>
      <c r="H1537" s="33" t="str">
        <f t="shared" si="1"/>
        <v/>
      </c>
      <c r="I1537" s="58"/>
      <c r="J1537" s="58"/>
      <c r="K1537" s="58"/>
      <c r="L1537" s="38"/>
      <c r="M1537" s="58"/>
      <c r="N1537" s="58"/>
      <c r="O1537" s="58"/>
      <c r="P1537" s="80"/>
      <c r="Q1537" s="80"/>
      <c r="R1537" s="58"/>
      <c r="S1537" s="62"/>
      <c r="T1537" s="84"/>
      <c r="U1537" s="62"/>
      <c r="V1537" s="37" t="str">
        <f>IFERROR(__xludf.DUMMYFUNCTION("if(not(iserror(index(split(C1537, "" ""),2))), index(split(C1537, "" ""),1),"""")"),"")</f>
        <v/>
      </c>
      <c r="W1537" s="315" t="str">
        <f>IFERROR(__xludf.DUMMYFUNCTION("if(V1537="""",C1537,if(not(iserror(index(split(C1537, "" ""),3))), index(split(C1537, "" ""),3),index(split(C1537, "" ""),2)))"),"")</f>
        <v/>
      </c>
      <c r="X1537" s="38" t="b">
        <f t="shared" si="2"/>
        <v>0</v>
      </c>
      <c r="Y1537" s="38"/>
      <c r="Z1537" s="40"/>
      <c r="AA1537" s="40"/>
      <c r="AB1537" s="38"/>
      <c r="AC1537" s="38"/>
      <c r="AD1537" s="38"/>
      <c r="AE1537" s="38"/>
      <c r="AF1537" s="38"/>
      <c r="AG1537" s="38"/>
      <c r="AH1537" s="38"/>
      <c r="AI1537" s="38"/>
      <c r="AJ1537" s="38"/>
      <c r="AK1537" s="38"/>
      <c r="AL1537" s="38"/>
      <c r="AM1537" s="38"/>
      <c r="AN1537" s="38"/>
      <c r="AO1537" s="38"/>
      <c r="AP1537" s="38"/>
      <c r="AQ1537" s="38"/>
      <c r="AR1537" s="38"/>
      <c r="AS1537" s="38"/>
      <c r="AT1537" s="38"/>
      <c r="AU1537" s="38"/>
      <c r="AV1537" s="38"/>
      <c r="AW1537" s="38"/>
      <c r="AX1537" s="38"/>
      <c r="AY1537" s="38"/>
      <c r="AZ1537" s="38"/>
      <c r="BA1537" s="38"/>
      <c r="BB1537" s="38"/>
      <c r="BC1537" s="38"/>
      <c r="BD1537" s="38"/>
      <c r="BE1537" s="38"/>
      <c r="BF1537" s="38"/>
      <c r="BG1537" s="38"/>
    </row>
    <row r="1538">
      <c r="A1538" s="58"/>
      <c r="B1538" s="341"/>
      <c r="C1538" s="60"/>
      <c r="D1538" s="60"/>
      <c r="E1538" s="58"/>
      <c r="F1538" s="58"/>
      <c r="G1538" s="58"/>
      <c r="H1538" s="33" t="str">
        <f t="shared" si="1"/>
        <v/>
      </c>
      <c r="I1538" s="58"/>
      <c r="J1538" s="58"/>
      <c r="K1538" s="58"/>
      <c r="L1538" s="38"/>
      <c r="M1538" s="58"/>
      <c r="N1538" s="58"/>
      <c r="O1538" s="58"/>
      <c r="P1538" s="80"/>
      <c r="Q1538" s="80"/>
      <c r="R1538" s="58"/>
      <c r="S1538" s="62"/>
      <c r="T1538" s="84"/>
      <c r="U1538" s="62"/>
      <c r="V1538" s="37" t="str">
        <f>IFERROR(__xludf.DUMMYFUNCTION("if(not(iserror(index(split(C1538, "" ""),2))), index(split(C1538, "" ""),1),"""")"),"")</f>
        <v/>
      </c>
      <c r="W1538" s="315" t="str">
        <f>IFERROR(__xludf.DUMMYFUNCTION("if(V1538="""",C1538,if(not(iserror(index(split(C1538, "" ""),3))), index(split(C1538, "" ""),3),index(split(C1538, "" ""),2)))"),"")</f>
        <v/>
      </c>
      <c r="X1538" s="38" t="b">
        <f t="shared" si="2"/>
        <v>0</v>
      </c>
      <c r="Y1538" s="38"/>
      <c r="Z1538" s="40"/>
      <c r="AA1538" s="40"/>
      <c r="AB1538" s="38"/>
      <c r="AC1538" s="38"/>
      <c r="AD1538" s="38"/>
      <c r="AE1538" s="38"/>
      <c r="AF1538" s="38"/>
      <c r="AG1538" s="38"/>
      <c r="AH1538" s="38"/>
      <c r="AI1538" s="38"/>
      <c r="AJ1538" s="38"/>
      <c r="AK1538" s="38"/>
      <c r="AL1538" s="38"/>
      <c r="AM1538" s="38"/>
      <c r="AN1538" s="38"/>
      <c r="AO1538" s="38"/>
      <c r="AP1538" s="38"/>
      <c r="AQ1538" s="38"/>
      <c r="AR1538" s="38"/>
      <c r="AS1538" s="38"/>
      <c r="AT1538" s="38"/>
      <c r="AU1538" s="38"/>
      <c r="AV1538" s="38"/>
      <c r="AW1538" s="38"/>
      <c r="AX1538" s="38"/>
      <c r="AY1538" s="38"/>
      <c r="AZ1538" s="38"/>
      <c r="BA1538" s="38"/>
      <c r="BB1538" s="38"/>
      <c r="BC1538" s="38"/>
      <c r="BD1538" s="38"/>
      <c r="BE1538" s="38"/>
      <c r="BF1538" s="38"/>
      <c r="BG1538" s="38"/>
    </row>
    <row r="1539">
      <c r="A1539" s="375"/>
      <c r="B1539" s="341"/>
      <c r="C1539" s="60"/>
      <c r="D1539" s="60"/>
      <c r="E1539" s="58"/>
      <c r="F1539" s="58"/>
      <c r="G1539" s="58"/>
      <c r="H1539" s="33" t="str">
        <f t="shared" si="1"/>
        <v/>
      </c>
      <c r="I1539" s="58"/>
      <c r="J1539" s="58"/>
      <c r="K1539" s="58"/>
      <c r="L1539" s="38"/>
      <c r="M1539" s="58"/>
      <c r="N1539" s="58"/>
      <c r="O1539" s="58"/>
      <c r="P1539" s="80"/>
      <c r="Q1539" s="80"/>
      <c r="R1539" s="58"/>
      <c r="S1539" s="58"/>
      <c r="T1539" s="84"/>
      <c r="U1539" s="62"/>
      <c r="V1539" s="37" t="str">
        <f>IFERROR(__xludf.DUMMYFUNCTION("if(not(iserror(index(split(C1539, "" ""),2))), index(split(C1539, "" ""),1),"""")"),"")</f>
        <v/>
      </c>
      <c r="W1539" s="315" t="str">
        <f>IFERROR(__xludf.DUMMYFUNCTION("if(V1539="""",C1539,if(not(iserror(index(split(C1539, "" ""),3))), index(split(C1539, "" ""),3),index(split(C1539, "" ""),2)))"),"")</f>
        <v/>
      </c>
      <c r="X1539" s="38" t="b">
        <f t="shared" si="2"/>
        <v>0</v>
      </c>
      <c r="Y1539" s="38"/>
      <c r="Z1539" s="40"/>
      <c r="AA1539" s="40"/>
      <c r="AB1539" s="38"/>
      <c r="AC1539" s="38"/>
      <c r="AD1539" s="38"/>
      <c r="AE1539" s="38"/>
      <c r="AF1539" s="38"/>
      <c r="AG1539" s="38"/>
      <c r="AH1539" s="38"/>
      <c r="AI1539" s="38"/>
      <c r="AJ1539" s="38"/>
      <c r="AK1539" s="38"/>
      <c r="AL1539" s="38"/>
      <c r="AM1539" s="38"/>
      <c r="AN1539" s="38"/>
      <c r="AO1539" s="38"/>
      <c r="AP1539" s="38"/>
      <c r="AQ1539" s="38"/>
      <c r="AR1539" s="38"/>
      <c r="AS1539" s="38"/>
      <c r="AT1539" s="38"/>
      <c r="AU1539" s="38"/>
      <c r="AV1539" s="38"/>
      <c r="AW1539" s="38"/>
      <c r="AX1539" s="38"/>
      <c r="AY1539" s="38"/>
      <c r="AZ1539" s="38"/>
      <c r="BA1539" s="38"/>
      <c r="BB1539" s="38"/>
      <c r="BC1539" s="38"/>
      <c r="BD1539" s="38"/>
      <c r="BE1539" s="38"/>
      <c r="BF1539" s="38"/>
      <c r="BG1539" s="38"/>
    </row>
    <row r="1540">
      <c r="A1540" s="375"/>
      <c r="B1540" s="341"/>
      <c r="C1540" s="60"/>
      <c r="D1540" s="60"/>
      <c r="E1540" s="58"/>
      <c r="F1540" s="58"/>
      <c r="G1540" s="58"/>
      <c r="H1540" s="33" t="str">
        <f t="shared" si="1"/>
        <v/>
      </c>
      <c r="I1540" s="58"/>
      <c r="J1540" s="58"/>
      <c r="K1540" s="58"/>
      <c r="L1540" s="38"/>
      <c r="M1540" s="58"/>
      <c r="N1540" s="58"/>
      <c r="O1540" s="58"/>
      <c r="P1540" s="80"/>
      <c r="Q1540" s="80"/>
      <c r="R1540" s="58"/>
      <c r="S1540" s="58"/>
      <c r="T1540" s="84"/>
      <c r="U1540" s="62"/>
      <c r="V1540" s="37" t="str">
        <f>IFERROR(__xludf.DUMMYFUNCTION("if(not(iserror(index(split(C1540, "" ""),2))), index(split(C1540, "" ""),1),"""")"),"")</f>
        <v/>
      </c>
      <c r="W1540" s="315" t="str">
        <f>IFERROR(__xludf.DUMMYFUNCTION("if(V1540="""",C1540,if(not(iserror(index(split(C1540, "" ""),3))), index(split(C1540, "" ""),3),index(split(C1540, "" ""),2)))"),"")</f>
        <v/>
      </c>
      <c r="X1540" s="38" t="b">
        <f t="shared" si="2"/>
        <v>0</v>
      </c>
      <c r="Y1540" s="38"/>
      <c r="Z1540" s="40"/>
      <c r="AA1540" s="40"/>
      <c r="AB1540" s="38"/>
      <c r="AC1540" s="38"/>
      <c r="AD1540" s="38"/>
      <c r="AE1540" s="38"/>
      <c r="AF1540" s="38"/>
      <c r="AG1540" s="38"/>
      <c r="AH1540" s="38"/>
      <c r="AI1540" s="38"/>
      <c r="AJ1540" s="38"/>
      <c r="AK1540" s="38"/>
      <c r="AL1540" s="38"/>
      <c r="AM1540" s="38"/>
      <c r="AN1540" s="38"/>
      <c r="AO1540" s="38"/>
      <c r="AP1540" s="38"/>
      <c r="AQ1540" s="38"/>
      <c r="AR1540" s="38"/>
      <c r="AS1540" s="38"/>
      <c r="AT1540" s="38"/>
      <c r="AU1540" s="38"/>
      <c r="AV1540" s="38"/>
      <c r="AW1540" s="38"/>
      <c r="AX1540" s="38"/>
      <c r="AY1540" s="38"/>
      <c r="AZ1540" s="38"/>
      <c r="BA1540" s="38"/>
      <c r="BB1540" s="38"/>
      <c r="BC1540" s="38"/>
      <c r="BD1540" s="38"/>
      <c r="BE1540" s="38"/>
      <c r="BF1540" s="38"/>
      <c r="BG1540" s="38"/>
    </row>
    <row r="1541">
      <c r="A1541" s="375"/>
      <c r="B1541" s="341"/>
      <c r="C1541" s="60"/>
      <c r="D1541" s="60"/>
      <c r="E1541" s="58"/>
      <c r="F1541" s="58"/>
      <c r="G1541" s="58"/>
      <c r="H1541" s="33" t="str">
        <f t="shared" si="1"/>
        <v/>
      </c>
      <c r="I1541" s="58"/>
      <c r="J1541" s="58"/>
      <c r="K1541" s="58"/>
      <c r="L1541" s="38"/>
      <c r="M1541" s="58"/>
      <c r="N1541" s="58"/>
      <c r="O1541" s="58"/>
      <c r="P1541" s="80"/>
      <c r="Q1541" s="80"/>
      <c r="R1541" s="58"/>
      <c r="S1541" s="58"/>
      <c r="T1541" s="84"/>
      <c r="U1541" s="62"/>
      <c r="V1541" s="37" t="str">
        <f>IFERROR(__xludf.DUMMYFUNCTION("if(not(iserror(index(split(C1541, "" ""),2))), index(split(C1541, "" ""),1),"""")"),"")</f>
        <v/>
      </c>
      <c r="W1541" s="315" t="str">
        <f>IFERROR(__xludf.DUMMYFUNCTION("if(V1541="""",C1541,if(not(iserror(index(split(C1541, "" ""),3))), index(split(C1541, "" ""),3),index(split(C1541, "" ""),2)))"),"")</f>
        <v/>
      </c>
      <c r="X1541" s="38" t="b">
        <f t="shared" si="2"/>
        <v>0</v>
      </c>
      <c r="Y1541" s="38"/>
      <c r="Z1541" s="40"/>
      <c r="AA1541" s="40"/>
      <c r="AB1541" s="38"/>
      <c r="AC1541" s="38"/>
      <c r="AD1541" s="38"/>
      <c r="AE1541" s="38"/>
      <c r="AF1541" s="38"/>
      <c r="AG1541" s="38"/>
      <c r="AH1541" s="38"/>
      <c r="AI1541" s="38"/>
      <c r="AJ1541" s="38"/>
      <c r="AK1541" s="38"/>
      <c r="AL1541" s="38"/>
      <c r="AM1541" s="38"/>
      <c r="AN1541" s="38"/>
      <c r="AO1541" s="38"/>
      <c r="AP1541" s="38"/>
      <c r="AQ1541" s="38"/>
      <c r="AR1541" s="38"/>
      <c r="AS1541" s="38"/>
      <c r="AT1541" s="38"/>
      <c r="AU1541" s="38"/>
      <c r="AV1541" s="38"/>
      <c r="AW1541" s="38"/>
      <c r="AX1541" s="38"/>
      <c r="AY1541" s="38"/>
      <c r="AZ1541" s="38"/>
      <c r="BA1541" s="38"/>
      <c r="BB1541" s="38"/>
      <c r="BC1541" s="38"/>
      <c r="BD1541" s="38"/>
      <c r="BE1541" s="38"/>
      <c r="BF1541" s="38"/>
      <c r="BG1541" s="38"/>
    </row>
    <row r="1542">
      <c r="A1542" s="375"/>
      <c r="B1542" s="341"/>
      <c r="C1542" s="60"/>
      <c r="D1542" s="60"/>
      <c r="E1542" s="58"/>
      <c r="F1542" s="58"/>
      <c r="G1542" s="58"/>
      <c r="H1542" s="33" t="str">
        <f t="shared" si="1"/>
        <v/>
      </c>
      <c r="I1542" s="58"/>
      <c r="J1542" s="58"/>
      <c r="K1542" s="58"/>
      <c r="L1542" s="38"/>
      <c r="M1542" s="58"/>
      <c r="N1542" s="58"/>
      <c r="O1542" s="58"/>
      <c r="P1542" s="80"/>
      <c r="Q1542" s="80"/>
      <c r="R1542" s="58"/>
      <c r="S1542" s="58"/>
      <c r="T1542" s="84"/>
      <c r="U1542" s="62"/>
      <c r="V1542" s="37" t="str">
        <f>IFERROR(__xludf.DUMMYFUNCTION("if(not(iserror(index(split(C1542, "" ""),2))), index(split(C1542, "" ""),1),"""")"),"")</f>
        <v/>
      </c>
      <c r="W1542" s="315" t="str">
        <f>IFERROR(__xludf.DUMMYFUNCTION("if(V1542="""",C1542,if(not(iserror(index(split(C1542, "" ""),3))), index(split(C1542, "" ""),3),index(split(C1542, "" ""),2)))"),"")</f>
        <v/>
      </c>
      <c r="X1542" s="38" t="b">
        <f t="shared" si="2"/>
        <v>0</v>
      </c>
      <c r="Y1542" s="38"/>
      <c r="Z1542" s="40"/>
      <c r="AA1542" s="40"/>
      <c r="AB1542" s="38"/>
      <c r="AC1542" s="38"/>
      <c r="AD1542" s="38"/>
      <c r="AE1542" s="38"/>
      <c r="AF1542" s="38"/>
      <c r="AG1542" s="38"/>
      <c r="AH1542" s="38"/>
      <c r="AI1542" s="38"/>
      <c r="AJ1542" s="38"/>
      <c r="AK1542" s="38"/>
      <c r="AL1542" s="38"/>
      <c r="AM1542" s="38"/>
      <c r="AN1542" s="38"/>
      <c r="AO1542" s="38"/>
      <c r="AP1542" s="38"/>
      <c r="AQ1542" s="38"/>
      <c r="AR1542" s="38"/>
      <c r="AS1542" s="38"/>
      <c r="AT1542" s="38"/>
      <c r="AU1542" s="38"/>
      <c r="AV1542" s="38"/>
      <c r="AW1542" s="38"/>
      <c r="AX1542" s="38"/>
      <c r="AY1542" s="38"/>
      <c r="AZ1542" s="38"/>
      <c r="BA1542" s="38"/>
      <c r="BB1542" s="38"/>
      <c r="BC1542" s="38"/>
      <c r="BD1542" s="38"/>
      <c r="BE1542" s="38"/>
      <c r="BF1542" s="38"/>
      <c r="BG1542" s="38"/>
    </row>
    <row r="1543">
      <c r="A1543" s="375"/>
      <c r="B1543" s="341"/>
      <c r="C1543" s="60"/>
      <c r="D1543" s="60"/>
      <c r="E1543" s="58"/>
      <c r="F1543" s="58"/>
      <c r="G1543" s="58"/>
      <c r="H1543" s="33" t="str">
        <f t="shared" si="1"/>
        <v/>
      </c>
      <c r="I1543" s="58"/>
      <c r="J1543" s="58"/>
      <c r="K1543" s="58"/>
      <c r="L1543" s="38"/>
      <c r="M1543" s="58"/>
      <c r="N1543" s="58"/>
      <c r="O1543" s="58"/>
      <c r="P1543" s="80"/>
      <c r="Q1543" s="80"/>
      <c r="R1543" s="58"/>
      <c r="S1543" s="58"/>
      <c r="T1543" s="84"/>
      <c r="U1543" s="62"/>
      <c r="V1543" s="37" t="str">
        <f>IFERROR(__xludf.DUMMYFUNCTION("if(not(iserror(index(split(C1543, "" ""),2))), index(split(C1543, "" ""),1),"""")"),"")</f>
        <v/>
      </c>
      <c r="W1543" s="315" t="str">
        <f>IFERROR(__xludf.DUMMYFUNCTION("if(V1543="""",C1543,if(not(iserror(index(split(C1543, "" ""),3))), index(split(C1543, "" ""),3),index(split(C1543, "" ""),2)))"),"")</f>
        <v/>
      </c>
      <c r="X1543" s="38" t="b">
        <f t="shared" si="2"/>
        <v>0</v>
      </c>
      <c r="Y1543" s="38"/>
      <c r="Z1543" s="40"/>
      <c r="AA1543" s="40"/>
      <c r="AB1543" s="38"/>
      <c r="AC1543" s="38"/>
      <c r="AD1543" s="38"/>
      <c r="AE1543" s="38"/>
      <c r="AF1543" s="38"/>
      <c r="AG1543" s="38"/>
      <c r="AH1543" s="38"/>
      <c r="AI1543" s="38"/>
      <c r="AJ1543" s="38"/>
      <c r="AK1543" s="38"/>
      <c r="AL1543" s="38"/>
      <c r="AM1543" s="38"/>
      <c r="AN1543" s="38"/>
      <c r="AO1543" s="38"/>
      <c r="AP1543" s="38"/>
      <c r="AQ1543" s="38"/>
      <c r="AR1543" s="38"/>
      <c r="AS1543" s="38"/>
      <c r="AT1543" s="38"/>
      <c r="AU1543" s="38"/>
      <c r="AV1543" s="38"/>
      <c r="AW1543" s="38"/>
      <c r="AX1543" s="38"/>
      <c r="AY1543" s="38"/>
      <c r="AZ1543" s="38"/>
      <c r="BA1543" s="38"/>
      <c r="BB1543" s="38"/>
      <c r="BC1543" s="38"/>
      <c r="BD1543" s="38"/>
      <c r="BE1543" s="38"/>
      <c r="BF1543" s="38"/>
      <c r="BG1543" s="38"/>
    </row>
    <row r="1544">
      <c r="A1544" s="375"/>
      <c r="B1544" s="341"/>
      <c r="C1544" s="60"/>
      <c r="D1544" s="60"/>
      <c r="E1544" s="58"/>
      <c r="F1544" s="58"/>
      <c r="G1544" s="58"/>
      <c r="H1544" s="33" t="str">
        <f t="shared" si="1"/>
        <v/>
      </c>
      <c r="I1544" s="58"/>
      <c r="J1544" s="58"/>
      <c r="K1544" s="58"/>
      <c r="L1544" s="38"/>
      <c r="M1544" s="58"/>
      <c r="N1544" s="58"/>
      <c r="O1544" s="58"/>
      <c r="P1544" s="80"/>
      <c r="Q1544" s="80"/>
      <c r="R1544" s="58"/>
      <c r="S1544" s="58"/>
      <c r="T1544" s="84"/>
      <c r="U1544" s="62"/>
      <c r="V1544" s="37" t="str">
        <f>IFERROR(__xludf.DUMMYFUNCTION("if(not(iserror(index(split(C1544, "" ""),2))), index(split(C1544, "" ""),1),"""")"),"")</f>
        <v/>
      </c>
      <c r="W1544" s="315" t="str">
        <f>IFERROR(__xludf.DUMMYFUNCTION("if(V1544="""",C1544,if(not(iserror(index(split(C1544, "" ""),3))), index(split(C1544, "" ""),3),index(split(C1544, "" ""),2)))"),"")</f>
        <v/>
      </c>
      <c r="X1544" s="38" t="b">
        <f t="shared" si="2"/>
        <v>0</v>
      </c>
      <c r="Y1544" s="38"/>
      <c r="Z1544" s="40"/>
      <c r="AA1544" s="40"/>
      <c r="AB1544" s="38"/>
      <c r="AC1544" s="38"/>
      <c r="AD1544" s="38"/>
      <c r="AE1544" s="38"/>
      <c r="AF1544" s="38"/>
      <c r="AG1544" s="38"/>
      <c r="AH1544" s="38"/>
      <c r="AI1544" s="38"/>
      <c r="AJ1544" s="38"/>
      <c r="AK1544" s="38"/>
      <c r="AL1544" s="38"/>
      <c r="AM1544" s="38"/>
      <c r="AN1544" s="38"/>
      <c r="AO1544" s="38"/>
      <c r="AP1544" s="38"/>
      <c r="AQ1544" s="38"/>
      <c r="AR1544" s="38"/>
      <c r="AS1544" s="38"/>
      <c r="AT1544" s="38"/>
      <c r="AU1544" s="38"/>
      <c r="AV1544" s="38"/>
      <c r="AW1544" s="38"/>
      <c r="AX1544" s="38"/>
      <c r="AY1544" s="38"/>
      <c r="AZ1544" s="38"/>
      <c r="BA1544" s="38"/>
      <c r="BB1544" s="38"/>
      <c r="BC1544" s="38"/>
      <c r="BD1544" s="38"/>
      <c r="BE1544" s="38"/>
      <c r="BF1544" s="38"/>
      <c r="BG1544" s="38"/>
    </row>
    <row r="1545">
      <c r="A1545" s="375"/>
      <c r="B1545" s="58"/>
      <c r="C1545" s="60"/>
      <c r="D1545" s="60"/>
      <c r="E1545" s="58"/>
      <c r="F1545" s="58"/>
      <c r="G1545" s="58"/>
      <c r="H1545" s="33" t="str">
        <f t="shared" si="1"/>
        <v/>
      </c>
      <c r="I1545" s="58"/>
      <c r="J1545" s="58"/>
      <c r="K1545" s="58"/>
      <c r="L1545" s="38"/>
      <c r="M1545" s="58"/>
      <c r="N1545" s="58"/>
      <c r="O1545" s="58"/>
      <c r="P1545" s="80"/>
      <c r="Q1545" s="80"/>
      <c r="R1545" s="58"/>
      <c r="S1545" s="58"/>
      <c r="T1545" s="84"/>
      <c r="U1545" s="62"/>
      <c r="V1545" s="37" t="str">
        <f>IFERROR(__xludf.DUMMYFUNCTION("if(not(iserror(index(split(C1545, "" ""),2))), index(split(C1545, "" ""),1),"""")"),"")</f>
        <v/>
      </c>
      <c r="W1545" s="315" t="str">
        <f>IFERROR(__xludf.DUMMYFUNCTION("if(V1545="""",C1545,if(not(iserror(index(split(C1545, "" ""),3))), index(split(C1545, "" ""),3),index(split(C1545, "" ""),2)))"),"")</f>
        <v/>
      </c>
      <c r="X1545" s="38" t="b">
        <f t="shared" si="2"/>
        <v>0</v>
      </c>
      <c r="Y1545" s="38"/>
      <c r="Z1545" s="40"/>
      <c r="AA1545" s="40"/>
      <c r="AB1545" s="38"/>
      <c r="AC1545" s="38"/>
      <c r="AD1545" s="38"/>
      <c r="AE1545" s="38"/>
      <c r="AF1545" s="38"/>
      <c r="AG1545" s="38"/>
      <c r="AH1545" s="38"/>
      <c r="AI1545" s="38"/>
      <c r="AJ1545" s="38"/>
      <c r="AK1545" s="38"/>
      <c r="AL1545" s="38"/>
      <c r="AM1545" s="38"/>
      <c r="AN1545" s="38"/>
      <c r="AO1545" s="38"/>
      <c r="AP1545" s="38"/>
      <c r="AQ1545" s="38"/>
      <c r="AR1545" s="38"/>
      <c r="AS1545" s="38"/>
      <c r="AT1545" s="38"/>
      <c r="AU1545" s="38"/>
      <c r="AV1545" s="38"/>
      <c r="AW1545" s="38"/>
      <c r="AX1545" s="38"/>
      <c r="AY1545" s="38"/>
      <c r="AZ1545" s="38"/>
      <c r="BA1545" s="38"/>
      <c r="BB1545" s="38"/>
      <c r="BC1545" s="38"/>
      <c r="BD1545" s="38"/>
      <c r="BE1545" s="38"/>
      <c r="BF1545" s="38"/>
      <c r="BG1545" s="38"/>
    </row>
    <row r="1546">
      <c r="A1546" s="58"/>
      <c r="B1546" s="341"/>
      <c r="C1546" s="60"/>
      <c r="D1546" s="60"/>
      <c r="E1546" s="58"/>
      <c r="F1546" s="58"/>
      <c r="G1546" s="58"/>
      <c r="H1546" s="33" t="str">
        <f t="shared" si="1"/>
        <v/>
      </c>
      <c r="I1546" s="58"/>
      <c r="J1546" s="58"/>
      <c r="K1546" s="58"/>
      <c r="L1546" s="38"/>
      <c r="M1546" s="58"/>
      <c r="N1546" s="58"/>
      <c r="O1546" s="58"/>
      <c r="P1546" s="80"/>
      <c r="Q1546" s="80"/>
      <c r="R1546" s="58"/>
      <c r="S1546" s="62"/>
      <c r="T1546" s="58"/>
      <c r="U1546" s="62"/>
      <c r="V1546" s="37" t="str">
        <f>IFERROR(__xludf.DUMMYFUNCTION("if(not(iserror(index(split(C1546, "" ""),2))), index(split(C1546, "" ""),1),"""")"),"")</f>
        <v/>
      </c>
      <c r="W1546" s="315" t="str">
        <f>IFERROR(__xludf.DUMMYFUNCTION("if(V1546="""",C1546,if(not(iserror(index(split(C1546, "" ""),3))), index(split(C1546, "" ""),3),index(split(C1546, "" ""),2)))"),"")</f>
        <v/>
      </c>
      <c r="X1546" s="38" t="b">
        <f t="shared" si="2"/>
        <v>0</v>
      </c>
      <c r="Y1546" s="38"/>
      <c r="Z1546" s="40"/>
      <c r="AA1546" s="40"/>
      <c r="AB1546" s="38"/>
      <c r="AC1546" s="38"/>
      <c r="AD1546" s="38"/>
      <c r="AE1546" s="38"/>
      <c r="AF1546" s="38"/>
      <c r="AG1546" s="38"/>
      <c r="AH1546" s="38"/>
      <c r="AI1546" s="38"/>
      <c r="AJ1546" s="38"/>
      <c r="AK1546" s="38"/>
      <c r="AL1546" s="38"/>
      <c r="AM1546" s="38"/>
      <c r="AN1546" s="38"/>
      <c r="AO1546" s="38"/>
      <c r="AP1546" s="38"/>
      <c r="AQ1546" s="38"/>
      <c r="AR1546" s="38"/>
      <c r="AS1546" s="38"/>
      <c r="AT1546" s="38"/>
      <c r="AU1546" s="38"/>
      <c r="AV1546" s="38"/>
      <c r="AW1546" s="38"/>
      <c r="AX1546" s="38"/>
      <c r="AY1546" s="38"/>
      <c r="AZ1546" s="38"/>
      <c r="BA1546" s="38"/>
      <c r="BB1546" s="38"/>
      <c r="BC1546" s="38"/>
      <c r="BD1546" s="38"/>
      <c r="BE1546" s="38"/>
      <c r="BF1546" s="38"/>
      <c r="BG1546" s="38"/>
    </row>
    <row r="1547">
      <c r="A1547" s="58"/>
      <c r="B1547" s="341"/>
      <c r="C1547" s="60"/>
      <c r="D1547" s="60"/>
      <c r="E1547" s="58"/>
      <c r="F1547" s="58"/>
      <c r="G1547" s="58"/>
      <c r="H1547" s="33" t="str">
        <f t="shared" si="1"/>
        <v/>
      </c>
      <c r="I1547" s="58"/>
      <c r="J1547" s="58"/>
      <c r="K1547" s="58"/>
      <c r="L1547" s="38"/>
      <c r="M1547" s="58"/>
      <c r="N1547" s="58"/>
      <c r="O1547" s="58"/>
      <c r="P1547" s="80"/>
      <c r="Q1547" s="80"/>
      <c r="R1547" s="58"/>
      <c r="S1547" s="58"/>
      <c r="T1547" s="58"/>
      <c r="U1547" s="62"/>
      <c r="V1547" s="37" t="str">
        <f>IFERROR(__xludf.DUMMYFUNCTION("if(not(iserror(index(split(C1547, "" ""),2))), index(split(C1547, "" ""),1),"""")"),"")</f>
        <v/>
      </c>
      <c r="W1547" s="315" t="str">
        <f>IFERROR(__xludf.DUMMYFUNCTION("if(V1547="""",C1547,if(not(iserror(index(split(C1547, "" ""),3))), index(split(C1547, "" ""),3),index(split(C1547, "" ""),2)))"),"")</f>
        <v/>
      </c>
      <c r="X1547" s="38" t="b">
        <f t="shared" si="2"/>
        <v>0</v>
      </c>
      <c r="Y1547" s="38"/>
      <c r="Z1547" s="40"/>
      <c r="AA1547" s="40"/>
      <c r="AB1547" s="38"/>
      <c r="AC1547" s="38"/>
      <c r="AD1547" s="38"/>
      <c r="AE1547" s="38"/>
      <c r="AF1547" s="38"/>
      <c r="AG1547" s="38"/>
      <c r="AH1547" s="38"/>
      <c r="AI1547" s="38"/>
      <c r="AJ1547" s="38"/>
      <c r="AK1547" s="38"/>
      <c r="AL1547" s="38"/>
      <c r="AM1547" s="38"/>
      <c r="AN1547" s="38"/>
      <c r="AO1547" s="38"/>
      <c r="AP1547" s="38"/>
      <c r="AQ1547" s="38"/>
      <c r="AR1547" s="38"/>
      <c r="AS1547" s="38"/>
      <c r="AT1547" s="38"/>
      <c r="AU1547" s="38"/>
      <c r="AV1547" s="38"/>
      <c r="AW1547" s="38"/>
      <c r="AX1547" s="38"/>
      <c r="AY1547" s="38"/>
      <c r="AZ1547" s="38"/>
      <c r="BA1547" s="38"/>
      <c r="BB1547" s="38"/>
      <c r="BC1547" s="38"/>
      <c r="BD1547" s="38"/>
      <c r="BE1547" s="38"/>
      <c r="BF1547" s="38"/>
      <c r="BG1547" s="38"/>
    </row>
    <row r="1548">
      <c r="A1548" s="58"/>
      <c r="B1548" s="341"/>
      <c r="C1548" s="60"/>
      <c r="D1548" s="60"/>
      <c r="E1548" s="58"/>
      <c r="F1548" s="58"/>
      <c r="G1548" s="58"/>
      <c r="H1548" s="33" t="str">
        <f t="shared" si="1"/>
        <v/>
      </c>
      <c r="I1548" s="58"/>
      <c r="J1548" s="58"/>
      <c r="K1548" s="58"/>
      <c r="L1548" s="38"/>
      <c r="M1548" s="58"/>
      <c r="N1548" s="58"/>
      <c r="O1548" s="58"/>
      <c r="P1548" s="80"/>
      <c r="Q1548" s="80"/>
      <c r="R1548" s="58"/>
      <c r="S1548" s="58"/>
      <c r="T1548" s="58"/>
      <c r="U1548" s="62"/>
      <c r="V1548" s="37" t="str">
        <f>IFERROR(__xludf.DUMMYFUNCTION("if(not(iserror(index(split(C1548, "" ""),2))), index(split(C1548, "" ""),1),"""")"),"")</f>
        <v/>
      </c>
      <c r="W1548" s="315" t="str">
        <f>IFERROR(__xludf.DUMMYFUNCTION("if(V1548="""",C1548,if(not(iserror(index(split(C1548, "" ""),3))), index(split(C1548, "" ""),3),index(split(C1548, "" ""),2)))"),"")</f>
        <v/>
      </c>
      <c r="X1548" s="38" t="b">
        <f t="shared" si="2"/>
        <v>0</v>
      </c>
      <c r="Y1548" s="38"/>
      <c r="Z1548" s="40"/>
      <c r="AA1548" s="40"/>
      <c r="AB1548" s="38"/>
      <c r="AC1548" s="38"/>
      <c r="AD1548" s="38"/>
      <c r="AE1548" s="38"/>
      <c r="AF1548" s="38"/>
      <c r="AG1548" s="38"/>
      <c r="AH1548" s="38"/>
      <c r="AI1548" s="38"/>
      <c r="AJ1548" s="38"/>
      <c r="AK1548" s="38"/>
      <c r="AL1548" s="38"/>
      <c r="AM1548" s="38"/>
      <c r="AN1548" s="38"/>
      <c r="AO1548" s="38"/>
      <c r="AP1548" s="38"/>
      <c r="AQ1548" s="38"/>
      <c r="AR1548" s="38"/>
      <c r="AS1548" s="38"/>
      <c r="AT1548" s="38"/>
      <c r="AU1548" s="38"/>
      <c r="AV1548" s="38"/>
      <c r="AW1548" s="38"/>
      <c r="AX1548" s="38"/>
      <c r="AY1548" s="38"/>
      <c r="AZ1548" s="38"/>
      <c r="BA1548" s="38"/>
      <c r="BB1548" s="38"/>
      <c r="BC1548" s="38"/>
      <c r="BD1548" s="38"/>
      <c r="BE1548" s="38"/>
      <c r="BF1548" s="38"/>
      <c r="BG1548" s="38"/>
    </row>
    <row r="1549">
      <c r="A1549" s="58"/>
      <c r="B1549" s="341"/>
      <c r="C1549" s="60"/>
      <c r="D1549" s="60"/>
      <c r="E1549" s="58"/>
      <c r="F1549" s="58"/>
      <c r="G1549" s="58"/>
      <c r="H1549" s="33" t="str">
        <f t="shared" si="1"/>
        <v/>
      </c>
      <c r="I1549" s="58"/>
      <c r="J1549" s="58"/>
      <c r="K1549" s="58"/>
      <c r="L1549" s="38"/>
      <c r="M1549" s="58"/>
      <c r="N1549" s="58"/>
      <c r="O1549" s="58"/>
      <c r="P1549" s="80"/>
      <c r="Q1549" s="80"/>
      <c r="R1549" s="58"/>
      <c r="S1549" s="58"/>
      <c r="T1549" s="58"/>
      <c r="U1549" s="62"/>
      <c r="V1549" s="37" t="str">
        <f>IFERROR(__xludf.DUMMYFUNCTION("if(not(iserror(index(split(C1549, "" ""),2))), index(split(C1549, "" ""),1),"""")"),"")</f>
        <v/>
      </c>
      <c r="W1549" s="315" t="str">
        <f>IFERROR(__xludf.DUMMYFUNCTION("if(V1549="""",C1549,if(not(iserror(index(split(C1549, "" ""),3))), index(split(C1549, "" ""),3),index(split(C1549, "" ""),2)))"),"")</f>
        <v/>
      </c>
      <c r="X1549" s="38" t="b">
        <f t="shared" si="2"/>
        <v>0</v>
      </c>
      <c r="Y1549" s="38"/>
      <c r="Z1549" s="40"/>
      <c r="AA1549" s="40"/>
      <c r="AB1549" s="38"/>
      <c r="AC1549" s="38"/>
      <c r="AD1549" s="38"/>
      <c r="AE1549" s="38"/>
      <c r="AF1549" s="38"/>
      <c r="AG1549" s="38"/>
      <c r="AH1549" s="38"/>
      <c r="AI1549" s="38"/>
      <c r="AJ1549" s="38"/>
      <c r="AK1549" s="38"/>
      <c r="AL1549" s="38"/>
      <c r="AM1549" s="38"/>
      <c r="AN1549" s="38"/>
      <c r="AO1549" s="38"/>
      <c r="AP1549" s="38"/>
      <c r="AQ1549" s="38"/>
      <c r="AR1549" s="38"/>
      <c r="AS1549" s="38"/>
      <c r="AT1549" s="38"/>
      <c r="AU1549" s="38"/>
      <c r="AV1549" s="38"/>
      <c r="AW1549" s="38"/>
      <c r="AX1549" s="38"/>
      <c r="AY1549" s="38"/>
      <c r="AZ1549" s="38"/>
      <c r="BA1549" s="38"/>
      <c r="BB1549" s="38"/>
      <c r="BC1549" s="38"/>
      <c r="BD1549" s="38"/>
      <c r="BE1549" s="38"/>
      <c r="BF1549" s="38"/>
      <c r="BG1549" s="38"/>
    </row>
    <row r="1550">
      <c r="A1550" s="58"/>
      <c r="B1550" s="58"/>
      <c r="C1550" s="60"/>
      <c r="D1550" s="60"/>
      <c r="E1550" s="58"/>
      <c r="F1550" s="58"/>
      <c r="G1550" s="58"/>
      <c r="H1550" s="33" t="str">
        <f t="shared" si="1"/>
        <v/>
      </c>
      <c r="I1550" s="58"/>
      <c r="J1550" s="58"/>
      <c r="K1550" s="58"/>
      <c r="L1550" s="38"/>
      <c r="M1550" s="58"/>
      <c r="N1550" s="58"/>
      <c r="O1550" s="58"/>
      <c r="P1550" s="80"/>
      <c r="Q1550" s="80"/>
      <c r="R1550" s="58"/>
      <c r="S1550" s="62"/>
      <c r="T1550" s="58"/>
      <c r="U1550" s="62"/>
      <c r="V1550" s="37" t="str">
        <f>IFERROR(__xludf.DUMMYFUNCTION("if(not(iserror(index(split(C1550, "" ""),2))), index(split(C1550, "" ""),1),"""")"),"")</f>
        <v/>
      </c>
      <c r="W1550" s="315" t="str">
        <f>IFERROR(__xludf.DUMMYFUNCTION("if(V1550="""",C1550,if(not(iserror(index(split(C1550, "" ""),3))), index(split(C1550, "" ""),3),index(split(C1550, "" ""),2)))"),"")</f>
        <v/>
      </c>
      <c r="X1550" s="38" t="b">
        <f t="shared" si="2"/>
        <v>0</v>
      </c>
      <c r="Y1550" s="38"/>
      <c r="Z1550" s="40"/>
      <c r="AA1550" s="40"/>
      <c r="AB1550" s="38"/>
      <c r="AC1550" s="38"/>
      <c r="AD1550" s="38"/>
      <c r="AE1550" s="38"/>
      <c r="AF1550" s="38"/>
      <c r="AG1550" s="38"/>
      <c r="AH1550" s="38"/>
      <c r="AI1550" s="38"/>
      <c r="AJ1550" s="38"/>
      <c r="AK1550" s="38"/>
      <c r="AL1550" s="38"/>
      <c r="AM1550" s="38"/>
      <c r="AN1550" s="38"/>
      <c r="AO1550" s="38"/>
      <c r="AP1550" s="38"/>
      <c r="AQ1550" s="38"/>
      <c r="AR1550" s="38"/>
      <c r="AS1550" s="38"/>
      <c r="AT1550" s="38"/>
      <c r="AU1550" s="38"/>
      <c r="AV1550" s="38"/>
      <c r="AW1550" s="38"/>
      <c r="AX1550" s="38"/>
      <c r="AY1550" s="38"/>
      <c r="AZ1550" s="38"/>
      <c r="BA1550" s="38"/>
      <c r="BB1550" s="38"/>
      <c r="BC1550" s="38"/>
      <c r="BD1550" s="38"/>
      <c r="BE1550" s="38"/>
      <c r="BF1550" s="38"/>
      <c r="BG1550" s="38"/>
    </row>
    <row r="1551">
      <c r="A1551" s="58"/>
      <c r="B1551" s="58"/>
      <c r="C1551" s="60"/>
      <c r="D1551" s="60"/>
      <c r="E1551" s="58"/>
      <c r="F1551" s="58"/>
      <c r="G1551" s="58"/>
      <c r="H1551" s="33" t="str">
        <f t="shared" si="1"/>
        <v/>
      </c>
      <c r="I1551" s="58"/>
      <c r="J1551" s="58"/>
      <c r="K1551" s="58"/>
      <c r="L1551" s="38"/>
      <c r="M1551" s="58"/>
      <c r="N1551" s="58"/>
      <c r="O1551" s="58"/>
      <c r="P1551" s="80"/>
      <c r="Q1551" s="80"/>
      <c r="R1551" s="58"/>
      <c r="S1551" s="62"/>
      <c r="T1551" s="58"/>
      <c r="U1551" s="62"/>
      <c r="V1551" s="37" t="str">
        <f>IFERROR(__xludf.DUMMYFUNCTION("if(not(iserror(index(split(C1551, "" ""),2))), index(split(C1551, "" ""),1),"""")"),"")</f>
        <v/>
      </c>
      <c r="W1551" s="315" t="str">
        <f>IFERROR(__xludf.DUMMYFUNCTION("if(V1551="""",C1551,if(not(iserror(index(split(C1551, "" ""),3))), index(split(C1551, "" ""),3),index(split(C1551, "" ""),2)))"),"")</f>
        <v/>
      </c>
      <c r="X1551" s="38" t="b">
        <f t="shared" si="2"/>
        <v>0</v>
      </c>
      <c r="Y1551" s="38"/>
      <c r="Z1551" s="40"/>
      <c r="AA1551" s="40"/>
      <c r="AB1551" s="38"/>
      <c r="AC1551" s="38"/>
      <c r="AD1551" s="38"/>
      <c r="AE1551" s="38"/>
      <c r="AF1551" s="38"/>
      <c r="AG1551" s="38"/>
      <c r="AH1551" s="38"/>
      <c r="AI1551" s="38"/>
      <c r="AJ1551" s="38"/>
      <c r="AK1551" s="38"/>
      <c r="AL1551" s="38"/>
      <c r="AM1551" s="38"/>
      <c r="AN1551" s="38"/>
      <c r="AO1551" s="38"/>
      <c r="AP1551" s="38"/>
      <c r="AQ1551" s="38"/>
      <c r="AR1551" s="38"/>
      <c r="AS1551" s="38"/>
      <c r="AT1551" s="38"/>
      <c r="AU1551" s="38"/>
      <c r="AV1551" s="38"/>
      <c r="AW1551" s="38"/>
      <c r="AX1551" s="38"/>
      <c r="AY1551" s="38"/>
      <c r="AZ1551" s="38"/>
      <c r="BA1551" s="38"/>
      <c r="BB1551" s="38"/>
      <c r="BC1551" s="38"/>
      <c r="BD1551" s="38"/>
      <c r="BE1551" s="38"/>
      <c r="BF1551" s="38"/>
      <c r="BG1551" s="38"/>
    </row>
    <row r="1552">
      <c r="A1552" s="58"/>
      <c r="B1552" s="341"/>
      <c r="C1552" s="60"/>
      <c r="D1552" s="60"/>
      <c r="E1552" s="58"/>
      <c r="F1552" s="58"/>
      <c r="G1552" s="58"/>
      <c r="H1552" s="33" t="str">
        <f t="shared" si="1"/>
        <v/>
      </c>
      <c r="I1552" s="58"/>
      <c r="J1552" s="58"/>
      <c r="K1552" s="58"/>
      <c r="L1552" s="38"/>
      <c r="M1552" s="58"/>
      <c r="N1552" s="58"/>
      <c r="O1552" s="58"/>
      <c r="P1552" s="80"/>
      <c r="Q1552" s="80"/>
      <c r="R1552" s="58"/>
      <c r="S1552" s="62"/>
      <c r="T1552" s="58"/>
      <c r="U1552" s="62"/>
      <c r="V1552" s="37" t="str">
        <f>IFERROR(__xludf.DUMMYFUNCTION("if(not(iserror(index(split(C1552, "" ""),2))), index(split(C1552, "" ""),1),"""")"),"")</f>
        <v/>
      </c>
      <c r="W1552" s="315" t="str">
        <f>IFERROR(__xludf.DUMMYFUNCTION("if(V1552="""",C1552,if(not(iserror(index(split(C1552, "" ""),3))), index(split(C1552, "" ""),3),index(split(C1552, "" ""),2)))"),"")</f>
        <v/>
      </c>
      <c r="X1552" s="38" t="b">
        <f t="shared" si="2"/>
        <v>0</v>
      </c>
      <c r="Y1552" s="38"/>
      <c r="Z1552" s="40"/>
      <c r="AA1552" s="40"/>
      <c r="AB1552" s="38"/>
      <c r="AC1552" s="38"/>
      <c r="AD1552" s="38"/>
      <c r="AE1552" s="38"/>
      <c r="AF1552" s="38"/>
      <c r="AG1552" s="38"/>
      <c r="AH1552" s="38"/>
      <c r="AI1552" s="38"/>
      <c r="AJ1552" s="38"/>
      <c r="AK1552" s="38"/>
      <c r="AL1552" s="38"/>
      <c r="AM1552" s="38"/>
      <c r="AN1552" s="38"/>
      <c r="AO1552" s="38"/>
      <c r="AP1552" s="38"/>
      <c r="AQ1552" s="38"/>
      <c r="AR1552" s="38"/>
      <c r="AS1552" s="38"/>
      <c r="AT1552" s="38"/>
      <c r="AU1552" s="38"/>
      <c r="AV1552" s="38"/>
      <c r="AW1552" s="38"/>
      <c r="AX1552" s="38"/>
      <c r="AY1552" s="38"/>
      <c r="AZ1552" s="38"/>
      <c r="BA1552" s="38"/>
      <c r="BB1552" s="38"/>
      <c r="BC1552" s="38"/>
      <c r="BD1552" s="38"/>
      <c r="BE1552" s="38"/>
      <c r="BF1552" s="38"/>
      <c r="BG1552" s="38"/>
    </row>
    <row r="1553">
      <c r="A1553" s="58"/>
      <c r="B1553" s="341"/>
      <c r="C1553" s="60"/>
      <c r="D1553" s="60"/>
      <c r="E1553" s="58"/>
      <c r="F1553" s="58"/>
      <c r="G1553" s="58"/>
      <c r="H1553" s="33" t="str">
        <f t="shared" si="1"/>
        <v/>
      </c>
      <c r="I1553" s="58"/>
      <c r="J1553" s="58"/>
      <c r="K1553" s="58"/>
      <c r="L1553" s="38"/>
      <c r="M1553" s="58"/>
      <c r="N1553" s="58"/>
      <c r="O1553" s="58"/>
      <c r="P1553" s="80"/>
      <c r="Q1553" s="80"/>
      <c r="R1553" s="58"/>
      <c r="S1553" s="58"/>
      <c r="T1553" s="58"/>
      <c r="U1553" s="62"/>
      <c r="V1553" s="37" t="str">
        <f>IFERROR(__xludf.DUMMYFUNCTION("if(not(iserror(index(split(C1553, "" ""),2))), index(split(C1553, "" ""),1),"""")"),"")</f>
        <v/>
      </c>
      <c r="W1553" s="315" t="str">
        <f>IFERROR(__xludf.DUMMYFUNCTION("if(V1553="""",C1553,if(not(iserror(index(split(C1553, "" ""),3))), index(split(C1553, "" ""),3),index(split(C1553, "" ""),2)))"),"")</f>
        <v/>
      </c>
      <c r="X1553" s="38" t="b">
        <f t="shared" si="2"/>
        <v>0</v>
      </c>
      <c r="Y1553" s="38"/>
      <c r="Z1553" s="40"/>
      <c r="AA1553" s="40"/>
      <c r="AB1553" s="38"/>
      <c r="AC1553" s="38"/>
      <c r="AD1553" s="38"/>
      <c r="AE1553" s="38"/>
      <c r="AF1553" s="38"/>
      <c r="AG1553" s="38"/>
      <c r="AH1553" s="38"/>
      <c r="AI1553" s="38"/>
      <c r="AJ1553" s="38"/>
      <c r="AK1553" s="38"/>
      <c r="AL1553" s="38"/>
      <c r="AM1553" s="38"/>
      <c r="AN1553" s="38"/>
      <c r="AO1553" s="38"/>
      <c r="AP1553" s="38"/>
      <c r="AQ1553" s="38"/>
      <c r="AR1553" s="38"/>
      <c r="AS1553" s="38"/>
      <c r="AT1553" s="38"/>
      <c r="AU1553" s="38"/>
      <c r="AV1553" s="38"/>
      <c r="AW1553" s="38"/>
      <c r="AX1553" s="38"/>
      <c r="AY1553" s="38"/>
      <c r="AZ1553" s="38"/>
      <c r="BA1553" s="38"/>
      <c r="BB1553" s="38"/>
      <c r="BC1553" s="38"/>
      <c r="BD1553" s="38"/>
      <c r="BE1553" s="38"/>
      <c r="BF1553" s="38"/>
      <c r="BG1553" s="38"/>
    </row>
    <row r="1554">
      <c r="A1554" s="58"/>
      <c r="B1554" s="341"/>
      <c r="C1554" s="60"/>
      <c r="D1554" s="60"/>
      <c r="E1554" s="58"/>
      <c r="F1554" s="58"/>
      <c r="G1554" s="58"/>
      <c r="H1554" s="33" t="str">
        <f t="shared" si="1"/>
        <v/>
      </c>
      <c r="I1554" s="58"/>
      <c r="J1554" s="58"/>
      <c r="K1554" s="58"/>
      <c r="L1554" s="38"/>
      <c r="M1554" s="58"/>
      <c r="N1554" s="58"/>
      <c r="O1554" s="58"/>
      <c r="P1554" s="80"/>
      <c r="Q1554" s="80"/>
      <c r="R1554" s="58"/>
      <c r="S1554" s="58"/>
      <c r="T1554" s="58"/>
      <c r="U1554" s="62"/>
      <c r="V1554" s="37" t="str">
        <f>IFERROR(__xludf.DUMMYFUNCTION("if(not(iserror(index(split(C1554, "" ""),2))), index(split(C1554, "" ""),1),"""")"),"")</f>
        <v/>
      </c>
      <c r="W1554" s="315" t="str">
        <f>IFERROR(__xludf.DUMMYFUNCTION("if(V1554="""",C1554,if(not(iserror(index(split(C1554, "" ""),3))), index(split(C1554, "" ""),3),index(split(C1554, "" ""),2)))"),"")</f>
        <v/>
      </c>
      <c r="X1554" s="38" t="b">
        <f t="shared" si="2"/>
        <v>0</v>
      </c>
      <c r="Y1554" s="38"/>
      <c r="Z1554" s="40"/>
      <c r="AA1554" s="40"/>
      <c r="AB1554" s="38"/>
      <c r="AC1554" s="38"/>
      <c r="AD1554" s="38"/>
      <c r="AE1554" s="38"/>
      <c r="AF1554" s="38"/>
      <c r="AG1554" s="38"/>
      <c r="AH1554" s="38"/>
      <c r="AI1554" s="38"/>
      <c r="AJ1554" s="38"/>
      <c r="AK1554" s="38"/>
      <c r="AL1554" s="38"/>
      <c r="AM1554" s="38"/>
      <c r="AN1554" s="38"/>
      <c r="AO1554" s="38"/>
      <c r="AP1554" s="38"/>
      <c r="AQ1554" s="38"/>
      <c r="AR1554" s="38"/>
      <c r="AS1554" s="38"/>
      <c r="AT1554" s="38"/>
      <c r="AU1554" s="38"/>
      <c r="AV1554" s="38"/>
      <c r="AW1554" s="38"/>
      <c r="AX1554" s="38"/>
      <c r="AY1554" s="38"/>
      <c r="AZ1554" s="38"/>
      <c r="BA1554" s="38"/>
      <c r="BB1554" s="38"/>
      <c r="BC1554" s="38"/>
      <c r="BD1554" s="38"/>
      <c r="BE1554" s="38"/>
      <c r="BF1554" s="38"/>
      <c r="BG1554" s="38"/>
    </row>
    <row r="1555">
      <c r="A1555" s="58"/>
      <c r="B1555" s="341"/>
      <c r="C1555" s="60"/>
      <c r="D1555" s="60"/>
      <c r="E1555" s="58"/>
      <c r="F1555" s="58"/>
      <c r="G1555" s="58"/>
      <c r="H1555" s="33" t="str">
        <f t="shared" si="1"/>
        <v/>
      </c>
      <c r="I1555" s="58"/>
      <c r="J1555" s="58"/>
      <c r="K1555" s="58"/>
      <c r="L1555" s="38"/>
      <c r="M1555" s="58"/>
      <c r="N1555" s="58"/>
      <c r="O1555" s="58"/>
      <c r="P1555" s="80"/>
      <c r="Q1555" s="80"/>
      <c r="R1555" s="58"/>
      <c r="S1555" s="58"/>
      <c r="T1555" s="58"/>
      <c r="U1555" s="62"/>
      <c r="V1555" s="37" t="str">
        <f>IFERROR(__xludf.DUMMYFUNCTION("if(not(iserror(index(split(C1555, "" ""),2))), index(split(C1555, "" ""),1),"""")"),"")</f>
        <v/>
      </c>
      <c r="W1555" s="315" t="str">
        <f>IFERROR(__xludf.DUMMYFUNCTION("if(V1555="""",C1555,if(not(iserror(index(split(C1555, "" ""),3))), index(split(C1555, "" ""),3),index(split(C1555, "" ""),2)))"),"")</f>
        <v/>
      </c>
      <c r="X1555" s="38" t="b">
        <f t="shared" si="2"/>
        <v>0</v>
      </c>
      <c r="Y1555" s="38"/>
      <c r="Z1555" s="40"/>
      <c r="AA1555" s="40"/>
      <c r="AB1555" s="38"/>
      <c r="AC1555" s="38"/>
      <c r="AD1555" s="38"/>
      <c r="AE1555" s="38"/>
      <c r="AF1555" s="38"/>
      <c r="AG1555" s="38"/>
      <c r="AH1555" s="38"/>
      <c r="AI1555" s="38"/>
      <c r="AJ1555" s="38"/>
      <c r="AK1555" s="38"/>
      <c r="AL1555" s="38"/>
      <c r="AM1555" s="38"/>
      <c r="AN1555" s="38"/>
      <c r="AO1555" s="38"/>
      <c r="AP1555" s="38"/>
      <c r="AQ1555" s="38"/>
      <c r="AR1555" s="38"/>
      <c r="AS1555" s="38"/>
      <c r="AT1555" s="38"/>
      <c r="AU1555" s="38"/>
      <c r="AV1555" s="38"/>
      <c r="AW1555" s="38"/>
      <c r="AX1555" s="38"/>
      <c r="AY1555" s="38"/>
      <c r="AZ1555" s="38"/>
      <c r="BA1555" s="38"/>
      <c r="BB1555" s="38"/>
      <c r="BC1555" s="38"/>
      <c r="BD1555" s="38"/>
      <c r="BE1555" s="38"/>
      <c r="BF1555" s="38"/>
      <c r="BG1555" s="38"/>
    </row>
    <row r="1556">
      <c r="A1556" s="58"/>
      <c r="B1556" s="341"/>
      <c r="C1556" s="60"/>
      <c r="D1556" s="60"/>
      <c r="E1556" s="58"/>
      <c r="F1556" s="58"/>
      <c r="G1556" s="58"/>
      <c r="H1556" s="33" t="str">
        <f t="shared" si="1"/>
        <v/>
      </c>
      <c r="I1556" s="58"/>
      <c r="J1556" s="58"/>
      <c r="K1556" s="58"/>
      <c r="L1556" s="38"/>
      <c r="M1556" s="58"/>
      <c r="N1556" s="58"/>
      <c r="O1556" s="58"/>
      <c r="P1556" s="80"/>
      <c r="Q1556" s="80"/>
      <c r="R1556" s="58"/>
      <c r="S1556" s="58"/>
      <c r="T1556" s="58"/>
      <c r="U1556" s="62"/>
      <c r="V1556" s="37" t="str">
        <f>IFERROR(__xludf.DUMMYFUNCTION("if(not(iserror(index(split(C1556, "" ""),2))), index(split(C1556, "" ""),1),"""")"),"")</f>
        <v/>
      </c>
      <c r="W1556" s="315" t="str">
        <f>IFERROR(__xludf.DUMMYFUNCTION("if(V1556="""",C1556,if(not(iserror(index(split(C1556, "" ""),3))), index(split(C1556, "" ""),3),index(split(C1556, "" ""),2)))"),"")</f>
        <v/>
      </c>
      <c r="X1556" s="38" t="b">
        <f t="shared" si="2"/>
        <v>0</v>
      </c>
      <c r="Y1556" s="38"/>
      <c r="Z1556" s="40"/>
      <c r="AA1556" s="40"/>
      <c r="AB1556" s="38"/>
      <c r="AC1556" s="38"/>
      <c r="AD1556" s="38"/>
      <c r="AE1556" s="38"/>
      <c r="AF1556" s="38"/>
      <c r="AG1556" s="38"/>
      <c r="AH1556" s="38"/>
      <c r="AI1556" s="38"/>
      <c r="AJ1556" s="38"/>
      <c r="AK1556" s="38"/>
      <c r="AL1556" s="38"/>
      <c r="AM1556" s="38"/>
      <c r="AN1556" s="38"/>
      <c r="AO1556" s="38"/>
      <c r="AP1556" s="38"/>
      <c r="AQ1556" s="38"/>
      <c r="AR1556" s="38"/>
      <c r="AS1556" s="38"/>
      <c r="AT1556" s="38"/>
      <c r="AU1556" s="38"/>
      <c r="AV1556" s="38"/>
      <c r="AW1556" s="38"/>
      <c r="AX1556" s="38"/>
      <c r="AY1556" s="38"/>
      <c r="AZ1556" s="38"/>
      <c r="BA1556" s="38"/>
      <c r="BB1556" s="38"/>
      <c r="BC1556" s="38"/>
      <c r="BD1556" s="38"/>
      <c r="BE1556" s="38"/>
      <c r="BF1556" s="38"/>
      <c r="BG1556" s="38"/>
    </row>
    <row r="1557">
      <c r="A1557" s="58"/>
      <c r="B1557" s="341"/>
      <c r="C1557" s="60"/>
      <c r="D1557" s="60"/>
      <c r="E1557" s="58"/>
      <c r="F1557" s="58"/>
      <c r="G1557" s="58"/>
      <c r="H1557" s="33" t="str">
        <f t="shared" si="1"/>
        <v/>
      </c>
      <c r="I1557" s="58"/>
      <c r="J1557" s="58"/>
      <c r="K1557" s="58"/>
      <c r="L1557" s="38"/>
      <c r="M1557" s="58"/>
      <c r="N1557" s="58"/>
      <c r="O1557" s="58"/>
      <c r="P1557" s="80"/>
      <c r="Q1557" s="80"/>
      <c r="R1557" s="58"/>
      <c r="S1557" s="58"/>
      <c r="T1557" s="58"/>
      <c r="U1557" s="62"/>
      <c r="V1557" s="37" t="str">
        <f>IFERROR(__xludf.DUMMYFUNCTION("if(not(iserror(index(split(C1557, "" ""),2))), index(split(C1557, "" ""),1),"""")"),"")</f>
        <v/>
      </c>
      <c r="W1557" s="315" t="str">
        <f>IFERROR(__xludf.DUMMYFUNCTION("if(V1557="""",C1557,if(not(iserror(index(split(C1557, "" ""),3))), index(split(C1557, "" ""),3),index(split(C1557, "" ""),2)))"),"")</f>
        <v/>
      </c>
      <c r="X1557" s="38" t="b">
        <f t="shared" si="2"/>
        <v>0</v>
      </c>
      <c r="Y1557" s="38"/>
      <c r="Z1557" s="40"/>
      <c r="AA1557" s="40"/>
      <c r="AB1557" s="38"/>
      <c r="AC1557" s="38"/>
      <c r="AD1557" s="38"/>
      <c r="AE1557" s="38"/>
      <c r="AF1557" s="38"/>
      <c r="AG1557" s="38"/>
      <c r="AH1557" s="38"/>
      <c r="AI1557" s="38"/>
      <c r="AJ1557" s="38"/>
      <c r="AK1557" s="38"/>
      <c r="AL1557" s="38"/>
      <c r="AM1557" s="38"/>
      <c r="AN1557" s="38"/>
      <c r="AO1557" s="38"/>
      <c r="AP1557" s="38"/>
      <c r="AQ1557" s="38"/>
      <c r="AR1557" s="38"/>
      <c r="AS1557" s="38"/>
      <c r="AT1557" s="38"/>
      <c r="AU1557" s="38"/>
      <c r="AV1557" s="38"/>
      <c r="AW1557" s="38"/>
      <c r="AX1557" s="38"/>
      <c r="AY1557" s="38"/>
      <c r="AZ1557" s="38"/>
      <c r="BA1557" s="38"/>
      <c r="BB1557" s="38"/>
      <c r="BC1557" s="38"/>
      <c r="BD1557" s="38"/>
      <c r="BE1557" s="38"/>
      <c r="BF1557" s="38"/>
      <c r="BG1557" s="38"/>
    </row>
    <row r="1558">
      <c r="A1558" s="58"/>
      <c r="B1558" s="341"/>
      <c r="C1558" s="60"/>
      <c r="D1558" s="60"/>
      <c r="E1558" s="58"/>
      <c r="F1558" s="58"/>
      <c r="G1558" s="58"/>
      <c r="H1558" s="33" t="str">
        <f t="shared" si="1"/>
        <v/>
      </c>
      <c r="I1558" s="58"/>
      <c r="J1558" s="58"/>
      <c r="K1558" s="58"/>
      <c r="L1558" s="38"/>
      <c r="M1558" s="58"/>
      <c r="N1558" s="58"/>
      <c r="O1558" s="58"/>
      <c r="P1558" s="80"/>
      <c r="Q1558" s="80"/>
      <c r="R1558" s="58"/>
      <c r="S1558" s="58"/>
      <c r="T1558" s="58"/>
      <c r="U1558" s="62"/>
      <c r="V1558" s="37" t="str">
        <f>IFERROR(__xludf.DUMMYFUNCTION("if(not(iserror(index(split(C1558, "" ""),2))), index(split(C1558, "" ""),1),"""")"),"")</f>
        <v/>
      </c>
      <c r="W1558" s="315" t="str">
        <f>IFERROR(__xludf.DUMMYFUNCTION("if(V1558="""",C1558,if(not(iserror(index(split(C1558, "" ""),3))), index(split(C1558, "" ""),3),index(split(C1558, "" ""),2)))"),"")</f>
        <v/>
      </c>
      <c r="X1558" s="38" t="b">
        <f t="shared" si="2"/>
        <v>0</v>
      </c>
      <c r="Y1558" s="38"/>
      <c r="Z1558" s="40"/>
      <c r="AA1558" s="40"/>
      <c r="AB1558" s="38"/>
      <c r="AC1558" s="38"/>
      <c r="AD1558" s="38"/>
      <c r="AE1558" s="38"/>
      <c r="AF1558" s="38"/>
      <c r="AG1558" s="38"/>
      <c r="AH1558" s="38"/>
      <c r="AI1558" s="38"/>
      <c r="AJ1558" s="38"/>
      <c r="AK1558" s="38"/>
      <c r="AL1558" s="38"/>
      <c r="AM1558" s="38"/>
      <c r="AN1558" s="38"/>
      <c r="AO1558" s="38"/>
      <c r="AP1558" s="38"/>
      <c r="AQ1558" s="38"/>
      <c r="AR1558" s="38"/>
      <c r="AS1558" s="38"/>
      <c r="AT1558" s="38"/>
      <c r="AU1558" s="38"/>
      <c r="AV1558" s="38"/>
      <c r="AW1558" s="38"/>
      <c r="AX1558" s="38"/>
      <c r="AY1558" s="38"/>
      <c r="AZ1558" s="38"/>
      <c r="BA1558" s="38"/>
      <c r="BB1558" s="38"/>
      <c r="BC1558" s="38"/>
      <c r="BD1558" s="38"/>
      <c r="BE1558" s="38"/>
      <c r="BF1558" s="38"/>
      <c r="BG1558" s="38"/>
    </row>
    <row r="1559">
      <c r="A1559" s="58"/>
      <c r="B1559" s="341"/>
      <c r="C1559" s="60"/>
      <c r="D1559" s="60"/>
      <c r="E1559" s="58"/>
      <c r="F1559" s="58"/>
      <c r="G1559" s="58"/>
      <c r="H1559" s="33" t="str">
        <f t="shared" si="1"/>
        <v/>
      </c>
      <c r="I1559" s="58"/>
      <c r="J1559" s="58"/>
      <c r="K1559" s="58"/>
      <c r="L1559" s="38"/>
      <c r="M1559" s="58"/>
      <c r="N1559" s="58"/>
      <c r="O1559" s="58"/>
      <c r="P1559" s="80"/>
      <c r="Q1559" s="80"/>
      <c r="R1559" s="58"/>
      <c r="S1559" s="58"/>
      <c r="T1559" s="58"/>
      <c r="U1559" s="62"/>
      <c r="V1559" s="37" t="str">
        <f>IFERROR(__xludf.DUMMYFUNCTION("if(not(iserror(index(split(C1559, "" ""),2))), index(split(C1559, "" ""),1),"""")"),"")</f>
        <v/>
      </c>
      <c r="W1559" s="315" t="str">
        <f>IFERROR(__xludf.DUMMYFUNCTION("if(V1559="""",C1559,if(not(iserror(index(split(C1559, "" ""),3))), index(split(C1559, "" ""),3),index(split(C1559, "" ""),2)))"),"")</f>
        <v/>
      </c>
      <c r="X1559" s="38" t="b">
        <f t="shared" si="2"/>
        <v>0</v>
      </c>
      <c r="Y1559" s="38"/>
      <c r="Z1559" s="40"/>
      <c r="AA1559" s="40"/>
      <c r="AB1559" s="38"/>
      <c r="AC1559" s="38"/>
      <c r="AD1559" s="38"/>
      <c r="AE1559" s="38"/>
      <c r="AF1559" s="38"/>
      <c r="AG1559" s="38"/>
      <c r="AH1559" s="38"/>
      <c r="AI1559" s="38"/>
      <c r="AJ1559" s="38"/>
      <c r="AK1559" s="38"/>
      <c r="AL1559" s="38"/>
      <c r="AM1559" s="38"/>
      <c r="AN1559" s="38"/>
      <c r="AO1559" s="38"/>
      <c r="AP1559" s="38"/>
      <c r="AQ1559" s="38"/>
      <c r="AR1559" s="38"/>
      <c r="AS1559" s="38"/>
      <c r="AT1559" s="38"/>
      <c r="AU1559" s="38"/>
      <c r="AV1559" s="38"/>
      <c r="AW1559" s="38"/>
      <c r="AX1559" s="38"/>
      <c r="AY1559" s="38"/>
      <c r="AZ1559" s="38"/>
      <c r="BA1559" s="38"/>
      <c r="BB1559" s="38"/>
      <c r="BC1559" s="38"/>
      <c r="BD1559" s="38"/>
      <c r="BE1559" s="38"/>
      <c r="BF1559" s="38"/>
      <c r="BG1559" s="38"/>
    </row>
    <row r="1560">
      <c r="A1560" s="58"/>
      <c r="B1560" s="341"/>
      <c r="C1560" s="60"/>
      <c r="D1560" s="60"/>
      <c r="E1560" s="58"/>
      <c r="F1560" s="58"/>
      <c r="G1560" s="58"/>
      <c r="H1560" s="33" t="str">
        <f t="shared" si="1"/>
        <v/>
      </c>
      <c r="I1560" s="58"/>
      <c r="J1560" s="58"/>
      <c r="K1560" s="58"/>
      <c r="L1560" s="38"/>
      <c r="M1560" s="58"/>
      <c r="N1560" s="58"/>
      <c r="O1560" s="58"/>
      <c r="P1560" s="80"/>
      <c r="Q1560" s="80"/>
      <c r="R1560" s="58"/>
      <c r="S1560" s="58"/>
      <c r="T1560" s="58"/>
      <c r="U1560" s="62"/>
      <c r="V1560" s="37" t="str">
        <f>IFERROR(__xludf.DUMMYFUNCTION("if(not(iserror(index(split(C1560, "" ""),2))), index(split(C1560, "" ""),1),"""")"),"")</f>
        <v/>
      </c>
      <c r="W1560" s="315" t="str">
        <f>IFERROR(__xludf.DUMMYFUNCTION("if(V1560="""",C1560,if(not(iserror(index(split(C1560, "" ""),3))), index(split(C1560, "" ""),3),index(split(C1560, "" ""),2)))"),"")</f>
        <v/>
      </c>
      <c r="X1560" s="38" t="b">
        <f t="shared" si="2"/>
        <v>0</v>
      </c>
      <c r="Y1560" s="38"/>
      <c r="Z1560" s="40"/>
      <c r="AA1560" s="40"/>
      <c r="AB1560" s="38"/>
      <c r="AC1560" s="38"/>
      <c r="AD1560" s="38"/>
      <c r="AE1560" s="38"/>
      <c r="AF1560" s="38"/>
      <c r="AG1560" s="38"/>
      <c r="AH1560" s="38"/>
      <c r="AI1560" s="38"/>
      <c r="AJ1560" s="38"/>
      <c r="AK1560" s="38"/>
      <c r="AL1560" s="38"/>
      <c r="AM1560" s="38"/>
      <c r="AN1560" s="38"/>
      <c r="AO1560" s="38"/>
      <c r="AP1560" s="38"/>
      <c r="AQ1560" s="38"/>
      <c r="AR1560" s="38"/>
      <c r="AS1560" s="38"/>
      <c r="AT1560" s="38"/>
      <c r="AU1560" s="38"/>
      <c r="AV1560" s="38"/>
      <c r="AW1560" s="38"/>
      <c r="AX1560" s="38"/>
      <c r="AY1560" s="38"/>
      <c r="AZ1560" s="38"/>
      <c r="BA1560" s="38"/>
      <c r="BB1560" s="38"/>
      <c r="BC1560" s="38"/>
      <c r="BD1560" s="38"/>
      <c r="BE1560" s="38"/>
      <c r="BF1560" s="38"/>
      <c r="BG1560" s="38"/>
    </row>
    <row r="1561">
      <c r="A1561" s="58"/>
      <c r="B1561" s="341"/>
      <c r="C1561" s="60"/>
      <c r="D1561" s="60"/>
      <c r="E1561" s="58"/>
      <c r="F1561" s="58"/>
      <c r="G1561" s="58"/>
      <c r="H1561" s="33" t="str">
        <f t="shared" si="1"/>
        <v/>
      </c>
      <c r="I1561" s="58"/>
      <c r="J1561" s="58"/>
      <c r="K1561" s="58"/>
      <c r="L1561" s="38"/>
      <c r="M1561" s="58"/>
      <c r="N1561" s="58"/>
      <c r="O1561" s="58"/>
      <c r="P1561" s="80"/>
      <c r="Q1561" s="80"/>
      <c r="R1561" s="58"/>
      <c r="S1561" s="58"/>
      <c r="T1561" s="58"/>
      <c r="U1561" s="62"/>
      <c r="V1561" s="37" t="str">
        <f>IFERROR(__xludf.DUMMYFUNCTION("if(not(iserror(index(split(C1561, "" ""),2))), index(split(C1561, "" ""),1),"""")"),"")</f>
        <v/>
      </c>
      <c r="W1561" s="315" t="str">
        <f>IFERROR(__xludf.DUMMYFUNCTION("if(V1561="""",C1561,if(not(iserror(index(split(C1561, "" ""),3))), index(split(C1561, "" ""),3),index(split(C1561, "" ""),2)))"),"")</f>
        <v/>
      </c>
      <c r="X1561" s="38" t="b">
        <f t="shared" si="2"/>
        <v>0</v>
      </c>
      <c r="Y1561" s="38"/>
      <c r="Z1561" s="40"/>
      <c r="AA1561" s="40"/>
      <c r="AB1561" s="38"/>
      <c r="AC1561" s="38"/>
      <c r="AD1561" s="38"/>
      <c r="AE1561" s="38"/>
      <c r="AF1561" s="38"/>
      <c r="AG1561" s="38"/>
      <c r="AH1561" s="38"/>
      <c r="AI1561" s="38"/>
      <c r="AJ1561" s="38"/>
      <c r="AK1561" s="38"/>
      <c r="AL1561" s="38"/>
      <c r="AM1561" s="38"/>
      <c r="AN1561" s="38"/>
      <c r="AO1561" s="38"/>
      <c r="AP1561" s="38"/>
      <c r="AQ1561" s="38"/>
      <c r="AR1561" s="38"/>
      <c r="AS1561" s="38"/>
      <c r="AT1561" s="38"/>
      <c r="AU1561" s="38"/>
      <c r="AV1561" s="38"/>
      <c r="AW1561" s="38"/>
      <c r="AX1561" s="38"/>
      <c r="AY1561" s="38"/>
      <c r="AZ1561" s="38"/>
      <c r="BA1561" s="38"/>
      <c r="BB1561" s="38"/>
      <c r="BC1561" s="38"/>
      <c r="BD1561" s="38"/>
      <c r="BE1561" s="38"/>
      <c r="BF1561" s="38"/>
      <c r="BG1561" s="38"/>
    </row>
    <row r="1562">
      <c r="A1562" s="58"/>
      <c r="B1562" s="341"/>
      <c r="C1562" s="60"/>
      <c r="D1562" s="60"/>
      <c r="E1562" s="58"/>
      <c r="F1562" s="58"/>
      <c r="G1562" s="58"/>
      <c r="H1562" s="33" t="str">
        <f t="shared" si="1"/>
        <v/>
      </c>
      <c r="I1562" s="58"/>
      <c r="J1562" s="58"/>
      <c r="K1562" s="58"/>
      <c r="L1562" s="38"/>
      <c r="M1562" s="58"/>
      <c r="N1562" s="58"/>
      <c r="O1562" s="58"/>
      <c r="P1562" s="80"/>
      <c r="Q1562" s="80"/>
      <c r="R1562" s="58"/>
      <c r="S1562" s="58"/>
      <c r="T1562" s="58"/>
      <c r="U1562" s="62"/>
      <c r="V1562" s="37" t="str">
        <f>IFERROR(__xludf.DUMMYFUNCTION("if(not(iserror(index(split(C1562, "" ""),2))), index(split(C1562, "" ""),1),"""")"),"")</f>
        <v/>
      </c>
      <c r="W1562" s="315" t="str">
        <f>IFERROR(__xludf.DUMMYFUNCTION("if(V1562="""",C1562,if(not(iserror(index(split(C1562, "" ""),3))), index(split(C1562, "" ""),3),index(split(C1562, "" ""),2)))"),"")</f>
        <v/>
      </c>
      <c r="X1562" s="38" t="b">
        <f t="shared" si="2"/>
        <v>0</v>
      </c>
      <c r="Y1562" s="38"/>
      <c r="Z1562" s="40"/>
      <c r="AA1562" s="40"/>
      <c r="AB1562" s="38"/>
      <c r="AC1562" s="38"/>
      <c r="AD1562" s="38"/>
      <c r="AE1562" s="38"/>
      <c r="AF1562" s="38"/>
      <c r="AG1562" s="38"/>
      <c r="AH1562" s="38"/>
      <c r="AI1562" s="38"/>
      <c r="AJ1562" s="38"/>
      <c r="AK1562" s="38"/>
      <c r="AL1562" s="38"/>
      <c r="AM1562" s="38"/>
      <c r="AN1562" s="38"/>
      <c r="AO1562" s="38"/>
      <c r="AP1562" s="38"/>
      <c r="AQ1562" s="38"/>
      <c r="AR1562" s="38"/>
      <c r="AS1562" s="38"/>
      <c r="AT1562" s="38"/>
      <c r="AU1562" s="38"/>
      <c r="AV1562" s="38"/>
      <c r="AW1562" s="38"/>
      <c r="AX1562" s="38"/>
      <c r="AY1562" s="38"/>
      <c r="AZ1562" s="38"/>
      <c r="BA1562" s="38"/>
      <c r="BB1562" s="38"/>
      <c r="BC1562" s="38"/>
      <c r="BD1562" s="38"/>
      <c r="BE1562" s="38"/>
      <c r="BF1562" s="38"/>
      <c r="BG1562" s="38"/>
    </row>
    <row r="1563">
      <c r="A1563" s="407"/>
      <c r="B1563" s="341"/>
      <c r="C1563" s="60"/>
      <c r="D1563" s="60"/>
      <c r="E1563" s="58"/>
      <c r="F1563" s="58"/>
      <c r="G1563" s="58"/>
      <c r="H1563" s="33" t="str">
        <f t="shared" si="1"/>
        <v/>
      </c>
      <c r="I1563" s="58"/>
      <c r="J1563" s="58"/>
      <c r="K1563" s="58"/>
      <c r="L1563" s="38"/>
      <c r="M1563" s="58"/>
      <c r="N1563" s="58"/>
      <c r="O1563" s="58"/>
      <c r="P1563" s="80"/>
      <c r="Q1563" s="80"/>
      <c r="R1563" s="58"/>
      <c r="S1563" s="62"/>
      <c r="T1563" s="84"/>
      <c r="U1563" s="62"/>
      <c r="V1563" s="37" t="str">
        <f>IFERROR(__xludf.DUMMYFUNCTION("if(not(iserror(index(split(C1563, "" ""),2))), index(split(C1563, "" ""),1),"""")"),"")</f>
        <v/>
      </c>
      <c r="W1563" s="315" t="str">
        <f>IFERROR(__xludf.DUMMYFUNCTION("if(V1563="""",C1563,if(not(iserror(index(split(C1563, "" ""),3))), index(split(C1563, "" ""),3),index(split(C1563, "" ""),2)))"),"")</f>
        <v/>
      </c>
      <c r="X1563" s="38" t="b">
        <f t="shared" si="2"/>
        <v>0</v>
      </c>
      <c r="Y1563" s="38"/>
      <c r="Z1563" s="40"/>
      <c r="AA1563" s="40"/>
      <c r="AB1563" s="38"/>
      <c r="AC1563" s="38"/>
      <c r="AD1563" s="38"/>
      <c r="AE1563" s="38"/>
      <c r="AF1563" s="38"/>
      <c r="AG1563" s="38"/>
      <c r="AH1563" s="38"/>
      <c r="AI1563" s="38"/>
      <c r="AJ1563" s="38"/>
      <c r="AK1563" s="38"/>
      <c r="AL1563" s="38"/>
      <c r="AM1563" s="38"/>
      <c r="AN1563" s="38"/>
      <c r="AO1563" s="38"/>
      <c r="AP1563" s="38"/>
      <c r="AQ1563" s="38"/>
      <c r="AR1563" s="38"/>
      <c r="AS1563" s="38"/>
      <c r="AT1563" s="38"/>
      <c r="AU1563" s="38"/>
      <c r="AV1563" s="38"/>
      <c r="AW1563" s="38"/>
      <c r="AX1563" s="38"/>
      <c r="AY1563" s="38"/>
      <c r="AZ1563" s="38"/>
      <c r="BA1563" s="38"/>
      <c r="BB1563" s="38"/>
      <c r="BC1563" s="38"/>
      <c r="BD1563" s="38"/>
      <c r="BE1563" s="38"/>
      <c r="BF1563" s="38"/>
      <c r="BG1563" s="38"/>
    </row>
    <row r="1564">
      <c r="A1564" s="407"/>
      <c r="B1564" s="341"/>
      <c r="C1564" s="60"/>
      <c r="D1564" s="60"/>
      <c r="E1564" s="58"/>
      <c r="F1564" s="58"/>
      <c r="G1564" s="58"/>
      <c r="H1564" s="33" t="str">
        <f t="shared" si="1"/>
        <v/>
      </c>
      <c r="I1564" s="58"/>
      <c r="J1564" s="58"/>
      <c r="K1564" s="58"/>
      <c r="L1564" s="38"/>
      <c r="M1564" s="58"/>
      <c r="N1564" s="58"/>
      <c r="O1564" s="58"/>
      <c r="P1564" s="80"/>
      <c r="Q1564" s="80"/>
      <c r="R1564" s="58"/>
      <c r="S1564" s="62"/>
      <c r="T1564" s="84"/>
      <c r="U1564" s="62"/>
      <c r="V1564" s="37" t="str">
        <f>IFERROR(__xludf.DUMMYFUNCTION("if(not(iserror(index(split(C1564, "" ""),2))), index(split(C1564, "" ""),1),"""")"),"")</f>
        <v/>
      </c>
      <c r="W1564" s="315" t="str">
        <f>IFERROR(__xludf.DUMMYFUNCTION("if(V1564="""",C1564,if(not(iserror(index(split(C1564, "" ""),3))), index(split(C1564, "" ""),3),index(split(C1564, "" ""),2)))"),"")</f>
        <v/>
      </c>
      <c r="X1564" s="38" t="b">
        <f t="shared" si="2"/>
        <v>0</v>
      </c>
      <c r="Y1564" s="38"/>
      <c r="Z1564" s="40"/>
      <c r="AA1564" s="40"/>
      <c r="AB1564" s="38"/>
      <c r="AC1564" s="38"/>
      <c r="AD1564" s="38"/>
      <c r="AE1564" s="38"/>
      <c r="AF1564" s="38"/>
      <c r="AG1564" s="38"/>
      <c r="AH1564" s="38"/>
      <c r="AI1564" s="38"/>
      <c r="AJ1564" s="38"/>
      <c r="AK1564" s="38"/>
      <c r="AL1564" s="38"/>
      <c r="AM1564" s="38"/>
      <c r="AN1564" s="38"/>
      <c r="AO1564" s="38"/>
      <c r="AP1564" s="38"/>
      <c r="AQ1564" s="38"/>
      <c r="AR1564" s="38"/>
      <c r="AS1564" s="38"/>
      <c r="AT1564" s="38"/>
      <c r="AU1564" s="38"/>
      <c r="AV1564" s="38"/>
      <c r="AW1564" s="38"/>
      <c r="AX1564" s="38"/>
      <c r="AY1564" s="38"/>
      <c r="AZ1564" s="38"/>
      <c r="BA1564" s="38"/>
      <c r="BB1564" s="38"/>
      <c r="BC1564" s="38"/>
      <c r="BD1564" s="38"/>
      <c r="BE1564" s="38"/>
      <c r="BF1564" s="38"/>
      <c r="BG1564" s="38"/>
    </row>
    <row r="1565">
      <c r="A1565" s="407"/>
      <c r="B1565" s="341"/>
      <c r="C1565" s="60"/>
      <c r="D1565" s="60"/>
      <c r="E1565" s="58"/>
      <c r="F1565" s="58"/>
      <c r="G1565" s="58"/>
      <c r="H1565" s="33" t="str">
        <f t="shared" si="1"/>
        <v/>
      </c>
      <c r="I1565" s="58"/>
      <c r="J1565" s="58"/>
      <c r="K1565" s="58"/>
      <c r="L1565" s="38"/>
      <c r="M1565" s="58"/>
      <c r="N1565" s="58"/>
      <c r="O1565" s="58"/>
      <c r="P1565" s="80"/>
      <c r="Q1565" s="77"/>
      <c r="R1565" s="58"/>
      <c r="S1565" s="58"/>
      <c r="T1565" s="84"/>
      <c r="U1565" s="62"/>
      <c r="V1565" s="37" t="str">
        <f>IFERROR(__xludf.DUMMYFUNCTION("if(not(iserror(index(split(C1565, "" ""),2))), index(split(C1565, "" ""),1),"""")"),"")</f>
        <v/>
      </c>
      <c r="W1565" s="315" t="str">
        <f>IFERROR(__xludf.DUMMYFUNCTION("if(V1565="""",C1565,if(not(iserror(index(split(C1565, "" ""),3))), index(split(C1565, "" ""),3),index(split(C1565, "" ""),2)))"),"")</f>
        <v/>
      </c>
      <c r="X1565" s="38" t="b">
        <f t="shared" si="2"/>
        <v>0</v>
      </c>
      <c r="Y1565" s="38"/>
      <c r="Z1565" s="40"/>
      <c r="AA1565" s="40"/>
      <c r="AB1565" s="38"/>
      <c r="AC1565" s="38"/>
      <c r="AD1565" s="38"/>
      <c r="AE1565" s="38"/>
      <c r="AF1565" s="38"/>
      <c r="AG1565" s="38"/>
      <c r="AH1565" s="38"/>
      <c r="AI1565" s="38"/>
      <c r="AJ1565" s="38"/>
      <c r="AK1565" s="38"/>
      <c r="AL1565" s="38"/>
      <c r="AM1565" s="38"/>
      <c r="AN1565" s="38"/>
      <c r="AO1565" s="38"/>
      <c r="AP1565" s="38"/>
      <c r="AQ1565" s="38"/>
      <c r="AR1565" s="38"/>
      <c r="AS1565" s="38"/>
      <c r="AT1565" s="38"/>
      <c r="AU1565" s="38"/>
      <c r="AV1565" s="38"/>
      <c r="AW1565" s="38"/>
      <c r="AX1565" s="38"/>
      <c r="AY1565" s="38"/>
      <c r="AZ1565" s="38"/>
      <c r="BA1565" s="38"/>
      <c r="BB1565" s="38"/>
      <c r="BC1565" s="38"/>
      <c r="BD1565" s="38"/>
      <c r="BE1565" s="38"/>
      <c r="BF1565" s="38"/>
      <c r="BG1565" s="38"/>
    </row>
    <row r="1566">
      <c r="A1566" s="407"/>
      <c r="B1566" s="341"/>
      <c r="C1566" s="60"/>
      <c r="D1566" s="60"/>
      <c r="E1566" s="58"/>
      <c r="F1566" s="58"/>
      <c r="G1566" s="58"/>
      <c r="H1566" s="33" t="str">
        <f t="shared" si="1"/>
        <v/>
      </c>
      <c r="I1566" s="58"/>
      <c r="J1566" s="58"/>
      <c r="K1566" s="58"/>
      <c r="L1566" s="38"/>
      <c r="M1566" s="58"/>
      <c r="N1566" s="58"/>
      <c r="O1566" s="58"/>
      <c r="P1566" s="80"/>
      <c r="Q1566" s="80"/>
      <c r="R1566" s="58"/>
      <c r="S1566" s="58"/>
      <c r="T1566" s="84"/>
      <c r="U1566" s="62"/>
      <c r="V1566" s="37" t="str">
        <f>IFERROR(__xludf.DUMMYFUNCTION("if(not(iserror(index(split(C1566, "" ""),2))), index(split(C1566, "" ""),1),"""")"),"")</f>
        <v/>
      </c>
      <c r="W1566" s="315" t="str">
        <f>IFERROR(__xludf.DUMMYFUNCTION("if(V1566="""",C1566,if(not(iserror(index(split(C1566, "" ""),3))), index(split(C1566, "" ""),3),index(split(C1566, "" ""),2)))"),"")</f>
        <v/>
      </c>
      <c r="X1566" s="38" t="b">
        <f t="shared" si="2"/>
        <v>0</v>
      </c>
      <c r="Y1566" s="38"/>
      <c r="Z1566" s="40"/>
      <c r="AA1566" s="40"/>
      <c r="AB1566" s="38"/>
      <c r="AC1566" s="38"/>
      <c r="AD1566" s="38"/>
      <c r="AE1566" s="38"/>
      <c r="AF1566" s="38"/>
      <c r="AG1566" s="38"/>
      <c r="AH1566" s="38"/>
      <c r="AI1566" s="38"/>
      <c r="AJ1566" s="38"/>
      <c r="AK1566" s="38"/>
      <c r="AL1566" s="38"/>
      <c r="AM1566" s="38"/>
      <c r="AN1566" s="38"/>
      <c r="AO1566" s="38"/>
      <c r="AP1566" s="38"/>
      <c r="AQ1566" s="38"/>
      <c r="AR1566" s="38"/>
      <c r="AS1566" s="38"/>
      <c r="AT1566" s="38"/>
      <c r="AU1566" s="38"/>
      <c r="AV1566" s="38"/>
      <c r="AW1566" s="38"/>
      <c r="AX1566" s="38"/>
      <c r="AY1566" s="38"/>
      <c r="AZ1566" s="38"/>
      <c r="BA1566" s="38"/>
      <c r="BB1566" s="38"/>
      <c r="BC1566" s="38"/>
      <c r="BD1566" s="38"/>
      <c r="BE1566" s="38"/>
      <c r="BF1566" s="38"/>
      <c r="BG1566" s="38"/>
    </row>
    <row r="1567">
      <c r="A1567" s="407"/>
      <c r="B1567" s="341"/>
      <c r="C1567" s="60"/>
      <c r="D1567" s="60"/>
      <c r="E1567" s="58"/>
      <c r="F1567" s="58"/>
      <c r="G1567" s="58"/>
      <c r="H1567" s="33" t="str">
        <f t="shared" si="1"/>
        <v/>
      </c>
      <c r="I1567" s="58"/>
      <c r="J1567" s="58"/>
      <c r="K1567" s="58"/>
      <c r="L1567" s="38"/>
      <c r="M1567" s="58"/>
      <c r="N1567" s="58"/>
      <c r="O1567" s="58"/>
      <c r="P1567" s="80"/>
      <c r="Q1567" s="80"/>
      <c r="R1567" s="58"/>
      <c r="S1567" s="58"/>
      <c r="T1567" s="84"/>
      <c r="U1567" s="62"/>
      <c r="V1567" s="37" t="str">
        <f>IFERROR(__xludf.DUMMYFUNCTION("if(not(iserror(index(split(C1567, "" ""),2))), index(split(C1567, "" ""),1),"""")"),"")</f>
        <v/>
      </c>
      <c r="W1567" s="315" t="str">
        <f>IFERROR(__xludf.DUMMYFUNCTION("if(V1567="""",C1567,if(not(iserror(index(split(C1567, "" ""),3))), index(split(C1567, "" ""),3),index(split(C1567, "" ""),2)))"),"")</f>
        <v/>
      </c>
      <c r="X1567" s="38" t="b">
        <f t="shared" si="2"/>
        <v>0</v>
      </c>
      <c r="Y1567" s="38"/>
      <c r="Z1567" s="40"/>
      <c r="AA1567" s="40"/>
      <c r="AB1567" s="38"/>
      <c r="AC1567" s="38"/>
      <c r="AD1567" s="38"/>
      <c r="AE1567" s="38"/>
      <c r="AF1567" s="38"/>
      <c r="AG1567" s="38"/>
      <c r="AH1567" s="38"/>
      <c r="AI1567" s="38"/>
      <c r="AJ1567" s="38"/>
      <c r="AK1567" s="38"/>
      <c r="AL1567" s="38"/>
      <c r="AM1567" s="38"/>
      <c r="AN1567" s="38"/>
      <c r="AO1567" s="38"/>
      <c r="AP1567" s="38"/>
      <c r="AQ1567" s="38"/>
      <c r="AR1567" s="38"/>
      <c r="AS1567" s="38"/>
      <c r="AT1567" s="38"/>
      <c r="AU1567" s="38"/>
      <c r="AV1567" s="38"/>
      <c r="AW1567" s="38"/>
      <c r="AX1567" s="38"/>
      <c r="AY1567" s="38"/>
      <c r="AZ1567" s="38"/>
      <c r="BA1567" s="38"/>
      <c r="BB1567" s="38"/>
      <c r="BC1567" s="38"/>
      <c r="BD1567" s="38"/>
      <c r="BE1567" s="38"/>
      <c r="BF1567" s="38"/>
      <c r="BG1567" s="38"/>
    </row>
    <row r="1568">
      <c r="A1568" s="407"/>
      <c r="B1568" s="341"/>
      <c r="C1568" s="60"/>
      <c r="D1568" s="60"/>
      <c r="E1568" s="58"/>
      <c r="F1568" s="58"/>
      <c r="G1568" s="58"/>
      <c r="H1568" s="33" t="str">
        <f t="shared" si="1"/>
        <v/>
      </c>
      <c r="I1568" s="58"/>
      <c r="J1568" s="58"/>
      <c r="K1568" s="58"/>
      <c r="L1568" s="38"/>
      <c r="M1568" s="58"/>
      <c r="N1568" s="58"/>
      <c r="O1568" s="58"/>
      <c r="P1568" s="80"/>
      <c r="Q1568" s="80"/>
      <c r="R1568" s="58"/>
      <c r="S1568" s="58"/>
      <c r="T1568" s="84"/>
      <c r="U1568" s="62"/>
      <c r="V1568" s="37" t="str">
        <f>IFERROR(__xludf.DUMMYFUNCTION("if(not(iserror(index(split(C1568, "" ""),2))), index(split(C1568, "" ""),1),"""")"),"")</f>
        <v/>
      </c>
      <c r="W1568" s="315" t="str">
        <f>IFERROR(__xludf.DUMMYFUNCTION("if(V1568="""",C1568,if(not(iserror(index(split(C1568, "" ""),3))), index(split(C1568, "" ""),3),index(split(C1568, "" ""),2)))"),"")</f>
        <v/>
      </c>
      <c r="X1568" s="38" t="b">
        <f t="shared" si="2"/>
        <v>0</v>
      </c>
      <c r="Y1568" s="38"/>
      <c r="Z1568" s="40"/>
      <c r="AA1568" s="40"/>
      <c r="AB1568" s="38"/>
      <c r="AC1568" s="38"/>
      <c r="AD1568" s="38"/>
      <c r="AE1568" s="38"/>
      <c r="AF1568" s="38"/>
      <c r="AG1568" s="38"/>
      <c r="AH1568" s="38"/>
      <c r="AI1568" s="38"/>
      <c r="AJ1568" s="38"/>
      <c r="AK1568" s="38"/>
      <c r="AL1568" s="38"/>
      <c r="AM1568" s="38"/>
      <c r="AN1568" s="38"/>
      <c r="AO1568" s="38"/>
      <c r="AP1568" s="38"/>
      <c r="AQ1568" s="38"/>
      <c r="AR1568" s="38"/>
      <c r="AS1568" s="38"/>
      <c r="AT1568" s="38"/>
      <c r="AU1568" s="38"/>
      <c r="AV1568" s="38"/>
      <c r="AW1568" s="38"/>
      <c r="AX1568" s="38"/>
      <c r="AY1568" s="38"/>
      <c r="AZ1568" s="38"/>
      <c r="BA1568" s="38"/>
      <c r="BB1568" s="38"/>
      <c r="BC1568" s="38"/>
      <c r="BD1568" s="38"/>
      <c r="BE1568" s="38"/>
      <c r="BF1568" s="38"/>
      <c r="BG1568" s="38"/>
    </row>
    <row r="1569">
      <c r="A1569" s="407"/>
      <c r="B1569" s="341"/>
      <c r="C1569" s="60"/>
      <c r="D1569" s="60"/>
      <c r="E1569" s="58"/>
      <c r="F1569" s="58"/>
      <c r="G1569" s="58"/>
      <c r="H1569" s="33" t="str">
        <f t="shared" si="1"/>
        <v/>
      </c>
      <c r="I1569" s="58"/>
      <c r="J1569" s="58"/>
      <c r="K1569" s="58"/>
      <c r="L1569" s="38"/>
      <c r="M1569" s="58"/>
      <c r="N1569" s="58"/>
      <c r="O1569" s="58"/>
      <c r="P1569" s="80"/>
      <c r="Q1569" s="80"/>
      <c r="R1569" s="58"/>
      <c r="S1569" s="62"/>
      <c r="T1569" s="84"/>
      <c r="U1569" s="62"/>
      <c r="V1569" s="37" t="str">
        <f>IFERROR(__xludf.DUMMYFUNCTION("if(not(iserror(index(split(C1569, "" ""),2))), index(split(C1569, "" ""),1),"""")"),"")</f>
        <v/>
      </c>
      <c r="W1569" s="315" t="str">
        <f>IFERROR(__xludf.DUMMYFUNCTION("if(V1569="""",C1569,if(not(iserror(index(split(C1569, "" ""),3))), index(split(C1569, "" ""),3),index(split(C1569, "" ""),2)))"),"")</f>
        <v/>
      </c>
      <c r="X1569" s="38" t="b">
        <f t="shared" si="2"/>
        <v>0</v>
      </c>
      <c r="Y1569" s="38"/>
      <c r="Z1569" s="40"/>
      <c r="AA1569" s="40"/>
      <c r="AB1569" s="38"/>
      <c r="AC1569" s="38"/>
      <c r="AD1569" s="38"/>
      <c r="AE1569" s="38"/>
      <c r="AF1569" s="38"/>
      <c r="AG1569" s="38"/>
      <c r="AH1569" s="38"/>
      <c r="AI1569" s="38"/>
      <c r="AJ1569" s="38"/>
      <c r="AK1569" s="38"/>
      <c r="AL1569" s="38"/>
      <c r="AM1569" s="38"/>
      <c r="AN1569" s="38"/>
      <c r="AO1569" s="38"/>
      <c r="AP1569" s="38"/>
      <c r="AQ1569" s="38"/>
      <c r="AR1569" s="38"/>
      <c r="AS1569" s="38"/>
      <c r="AT1569" s="38"/>
      <c r="AU1569" s="38"/>
      <c r="AV1569" s="38"/>
      <c r="AW1569" s="38"/>
      <c r="AX1569" s="38"/>
      <c r="AY1569" s="38"/>
      <c r="AZ1569" s="38"/>
      <c r="BA1569" s="38"/>
      <c r="BB1569" s="38"/>
      <c r="BC1569" s="38"/>
      <c r="BD1569" s="38"/>
      <c r="BE1569" s="38"/>
      <c r="BF1569" s="38"/>
      <c r="BG1569" s="38"/>
    </row>
    <row r="1570">
      <c r="A1570" s="407"/>
      <c r="B1570" s="341"/>
      <c r="C1570" s="60"/>
      <c r="D1570" s="60"/>
      <c r="E1570" s="58"/>
      <c r="F1570" s="58"/>
      <c r="G1570" s="58"/>
      <c r="H1570" s="33" t="str">
        <f t="shared" si="1"/>
        <v/>
      </c>
      <c r="I1570" s="58"/>
      <c r="J1570" s="58"/>
      <c r="K1570" s="58"/>
      <c r="L1570" s="38"/>
      <c r="M1570" s="58"/>
      <c r="N1570" s="58"/>
      <c r="O1570" s="58"/>
      <c r="P1570" s="80"/>
      <c r="Q1570" s="77"/>
      <c r="R1570" s="58"/>
      <c r="S1570" s="62"/>
      <c r="T1570" s="84"/>
      <c r="U1570" s="62"/>
      <c r="V1570" s="37" t="str">
        <f>IFERROR(__xludf.DUMMYFUNCTION("if(not(iserror(index(split(C1570, "" ""),2))), index(split(C1570, "" ""),1),"""")"),"")</f>
        <v/>
      </c>
      <c r="W1570" s="315" t="str">
        <f>IFERROR(__xludf.DUMMYFUNCTION("if(V1570="""",C1570,if(not(iserror(index(split(C1570, "" ""),3))), index(split(C1570, "" ""),3),index(split(C1570, "" ""),2)))"),"")</f>
        <v/>
      </c>
      <c r="X1570" s="38" t="b">
        <f t="shared" si="2"/>
        <v>0</v>
      </c>
      <c r="Y1570" s="38"/>
      <c r="Z1570" s="40"/>
      <c r="AA1570" s="40"/>
      <c r="AB1570" s="38"/>
      <c r="AC1570" s="38"/>
      <c r="AD1570" s="38"/>
      <c r="AE1570" s="38"/>
      <c r="AF1570" s="38"/>
      <c r="AG1570" s="38"/>
      <c r="AH1570" s="38"/>
      <c r="AI1570" s="38"/>
      <c r="AJ1570" s="38"/>
      <c r="AK1570" s="38"/>
      <c r="AL1570" s="38"/>
      <c r="AM1570" s="38"/>
      <c r="AN1570" s="38"/>
      <c r="AO1570" s="38"/>
      <c r="AP1570" s="38"/>
      <c r="AQ1570" s="38"/>
      <c r="AR1570" s="38"/>
      <c r="AS1570" s="38"/>
      <c r="AT1570" s="38"/>
      <c r="AU1570" s="38"/>
      <c r="AV1570" s="38"/>
      <c r="AW1570" s="38"/>
      <c r="AX1570" s="38"/>
      <c r="AY1570" s="38"/>
      <c r="AZ1570" s="38"/>
      <c r="BA1570" s="38"/>
      <c r="BB1570" s="38"/>
      <c r="BC1570" s="38"/>
      <c r="BD1570" s="38"/>
      <c r="BE1570" s="38"/>
      <c r="BF1570" s="38"/>
      <c r="BG1570" s="38"/>
    </row>
    <row r="1571">
      <c r="A1571" s="407"/>
      <c r="B1571" s="341"/>
      <c r="C1571" s="60"/>
      <c r="D1571" s="60"/>
      <c r="E1571" s="58"/>
      <c r="F1571" s="58"/>
      <c r="G1571" s="58"/>
      <c r="H1571" s="33" t="str">
        <f t="shared" si="1"/>
        <v/>
      </c>
      <c r="I1571" s="58"/>
      <c r="J1571" s="58"/>
      <c r="K1571" s="58"/>
      <c r="L1571" s="38"/>
      <c r="M1571" s="58"/>
      <c r="N1571" s="58"/>
      <c r="O1571" s="58"/>
      <c r="P1571" s="80"/>
      <c r="Q1571" s="77"/>
      <c r="R1571" s="62"/>
      <c r="S1571" s="62"/>
      <c r="T1571" s="62"/>
      <c r="U1571" s="62"/>
      <c r="V1571" s="37" t="str">
        <f>IFERROR(__xludf.DUMMYFUNCTION("if(not(iserror(index(split(C1571, "" ""),2))), index(split(C1571, "" ""),1),"""")"),"")</f>
        <v/>
      </c>
      <c r="W1571" s="315" t="str">
        <f>IFERROR(__xludf.DUMMYFUNCTION("if(V1571="""",C1571,if(not(iserror(index(split(C1571, "" ""),3))), index(split(C1571, "" ""),3),index(split(C1571, "" ""),2)))"),"")</f>
        <v/>
      </c>
      <c r="X1571" s="38" t="b">
        <f t="shared" si="2"/>
        <v>0</v>
      </c>
      <c r="Y1571" s="38"/>
      <c r="Z1571" s="40"/>
      <c r="AA1571" s="40"/>
      <c r="AB1571" s="38"/>
      <c r="AC1571" s="38"/>
      <c r="AD1571" s="38"/>
      <c r="AE1571" s="38"/>
      <c r="AF1571" s="38"/>
      <c r="AG1571" s="38"/>
      <c r="AH1571" s="38"/>
      <c r="AI1571" s="38"/>
      <c r="AJ1571" s="38"/>
      <c r="AK1571" s="38"/>
      <c r="AL1571" s="38"/>
      <c r="AM1571" s="38"/>
      <c r="AN1571" s="38"/>
      <c r="AO1571" s="38"/>
      <c r="AP1571" s="38"/>
      <c r="AQ1571" s="38"/>
      <c r="AR1571" s="38"/>
      <c r="AS1571" s="38"/>
      <c r="AT1571" s="38"/>
      <c r="AU1571" s="38"/>
      <c r="AV1571" s="38"/>
      <c r="AW1571" s="38"/>
      <c r="AX1571" s="38"/>
      <c r="AY1571" s="38"/>
      <c r="AZ1571" s="38"/>
      <c r="BA1571" s="38"/>
      <c r="BB1571" s="38"/>
      <c r="BC1571" s="38"/>
      <c r="BD1571" s="38"/>
      <c r="BE1571" s="38"/>
      <c r="BF1571" s="38"/>
      <c r="BG1571" s="38"/>
    </row>
    <row r="1572">
      <c r="A1572" s="58"/>
      <c r="B1572" s="341"/>
      <c r="C1572" s="60"/>
      <c r="D1572" s="60"/>
      <c r="E1572" s="58"/>
      <c r="F1572" s="58"/>
      <c r="G1572" s="58"/>
      <c r="H1572" s="33" t="str">
        <f t="shared" si="1"/>
        <v/>
      </c>
      <c r="I1572" s="58"/>
      <c r="J1572" s="58"/>
      <c r="K1572" s="58"/>
      <c r="L1572" s="38"/>
      <c r="M1572" s="58"/>
      <c r="N1572" s="58"/>
      <c r="O1572" s="58"/>
      <c r="P1572" s="80"/>
      <c r="Q1572" s="80"/>
      <c r="T1572" s="84"/>
      <c r="U1572" s="62"/>
      <c r="V1572" s="37" t="str">
        <f>IFERROR(__xludf.DUMMYFUNCTION("if(not(iserror(index(split(C1572, "" ""),2))), index(split(C1572, "" ""),1),"""")"),"")</f>
        <v/>
      </c>
      <c r="W1572" s="315" t="str">
        <f>IFERROR(__xludf.DUMMYFUNCTION("if(V1572="""",C1572,if(not(iserror(index(split(C1572, "" ""),3))), index(split(C1572, "" ""),3),index(split(C1572, "" ""),2)))"),"")</f>
        <v/>
      </c>
      <c r="X1572" s="38" t="b">
        <f t="shared" si="2"/>
        <v>0</v>
      </c>
      <c r="Y1572" s="38"/>
      <c r="Z1572" s="40"/>
      <c r="AA1572" s="40"/>
      <c r="AB1572" s="38"/>
      <c r="AC1572" s="38"/>
      <c r="AD1572" s="38"/>
      <c r="AE1572" s="38"/>
      <c r="AF1572" s="38"/>
      <c r="AG1572" s="38"/>
      <c r="AH1572" s="38"/>
      <c r="AI1572" s="38"/>
      <c r="AJ1572" s="38"/>
      <c r="AK1572" s="38"/>
      <c r="AL1572" s="38"/>
      <c r="AM1572" s="38"/>
      <c r="AN1572" s="38"/>
      <c r="AO1572" s="38"/>
      <c r="AP1572" s="38"/>
      <c r="AQ1572" s="38"/>
      <c r="AR1572" s="38"/>
      <c r="AS1572" s="38"/>
      <c r="AT1572" s="38"/>
      <c r="AU1572" s="38"/>
      <c r="AV1572" s="38"/>
      <c r="AW1572" s="38"/>
      <c r="AX1572" s="38"/>
      <c r="AY1572" s="38"/>
      <c r="AZ1572" s="38"/>
      <c r="BA1572" s="38"/>
      <c r="BB1572" s="38"/>
      <c r="BC1572" s="38"/>
      <c r="BD1572" s="38"/>
      <c r="BE1572" s="38"/>
      <c r="BF1572" s="38"/>
      <c r="BG1572" s="38"/>
    </row>
    <row r="1573">
      <c r="A1573" s="58"/>
      <c r="B1573" s="341"/>
      <c r="C1573" s="60"/>
      <c r="D1573" s="60"/>
      <c r="E1573" s="58"/>
      <c r="F1573" s="58"/>
      <c r="G1573" s="58"/>
      <c r="H1573" s="33" t="str">
        <f t="shared" si="1"/>
        <v/>
      </c>
      <c r="I1573" s="58"/>
      <c r="J1573" s="58"/>
      <c r="K1573" s="58"/>
      <c r="L1573" s="38"/>
      <c r="M1573" s="58"/>
      <c r="N1573" s="58"/>
      <c r="O1573" s="58"/>
      <c r="P1573" s="80"/>
      <c r="Q1573" s="80"/>
      <c r="T1573" s="84"/>
      <c r="U1573" s="62"/>
      <c r="V1573" s="37" t="str">
        <f>IFERROR(__xludf.DUMMYFUNCTION("if(not(iserror(index(split(C1573, "" ""),2))), index(split(C1573, "" ""),1),"""")"),"")</f>
        <v/>
      </c>
      <c r="W1573" s="315" t="str">
        <f>IFERROR(__xludf.DUMMYFUNCTION("if(V1573="""",C1573,if(not(iserror(index(split(C1573, "" ""),3))), index(split(C1573, "" ""),3),index(split(C1573, "" ""),2)))"),"")</f>
        <v/>
      </c>
      <c r="X1573" s="38" t="b">
        <f t="shared" si="2"/>
        <v>0</v>
      </c>
      <c r="Y1573" s="38"/>
      <c r="Z1573" s="40"/>
      <c r="AA1573" s="40"/>
      <c r="AB1573" s="38"/>
      <c r="AC1573" s="38"/>
      <c r="AD1573" s="38"/>
      <c r="AE1573" s="38"/>
      <c r="AF1573" s="38"/>
      <c r="AG1573" s="38"/>
      <c r="AH1573" s="38"/>
      <c r="AI1573" s="38"/>
      <c r="AJ1573" s="38"/>
      <c r="AK1573" s="38"/>
      <c r="AL1573" s="38"/>
      <c r="AM1573" s="38"/>
      <c r="AN1573" s="38"/>
      <c r="AO1573" s="38"/>
      <c r="AP1573" s="38"/>
      <c r="AQ1573" s="38"/>
      <c r="AR1573" s="38"/>
      <c r="AS1573" s="38"/>
      <c r="AT1573" s="38"/>
      <c r="AU1573" s="38"/>
      <c r="AV1573" s="38"/>
      <c r="AW1573" s="38"/>
      <c r="AX1573" s="38"/>
      <c r="AY1573" s="38"/>
      <c r="AZ1573" s="38"/>
      <c r="BA1573" s="38"/>
      <c r="BB1573" s="38"/>
      <c r="BC1573" s="38"/>
      <c r="BD1573" s="38"/>
      <c r="BE1573" s="38"/>
      <c r="BF1573" s="38"/>
      <c r="BG1573" s="38"/>
    </row>
    <row r="1574">
      <c r="A1574" s="58"/>
      <c r="B1574" s="341"/>
      <c r="C1574" s="60"/>
      <c r="D1574" s="60"/>
      <c r="E1574" s="58"/>
      <c r="F1574" s="58"/>
      <c r="G1574" s="58"/>
      <c r="H1574" s="33" t="str">
        <f t="shared" si="1"/>
        <v/>
      </c>
      <c r="I1574" s="58"/>
      <c r="J1574" s="58"/>
      <c r="K1574" s="58"/>
      <c r="L1574" s="38"/>
      <c r="M1574" s="58"/>
      <c r="N1574" s="58"/>
      <c r="O1574" s="58"/>
      <c r="P1574" s="80"/>
      <c r="Q1574" s="77"/>
      <c r="R1574" s="58"/>
      <c r="S1574" s="58"/>
      <c r="T1574" s="84"/>
      <c r="U1574" s="62"/>
      <c r="V1574" s="37" t="str">
        <f>IFERROR(__xludf.DUMMYFUNCTION("if(not(iserror(index(split(C1574, "" ""),2))), index(split(C1574, "" ""),1),"""")"),"")</f>
        <v/>
      </c>
      <c r="W1574" s="315" t="str">
        <f>IFERROR(__xludf.DUMMYFUNCTION("if(V1574="""",C1574,if(not(iserror(index(split(C1574, "" ""),3))), index(split(C1574, "" ""),3),index(split(C1574, "" ""),2)))"),"")</f>
        <v/>
      </c>
      <c r="X1574" s="38" t="b">
        <f t="shared" si="2"/>
        <v>0</v>
      </c>
      <c r="Y1574" s="38"/>
      <c r="Z1574" s="40"/>
      <c r="AA1574" s="40"/>
      <c r="AB1574" s="38"/>
      <c r="AC1574" s="38"/>
      <c r="AD1574" s="38"/>
      <c r="AE1574" s="38"/>
      <c r="AF1574" s="38"/>
      <c r="AG1574" s="38"/>
      <c r="AH1574" s="38"/>
      <c r="AI1574" s="38"/>
      <c r="AJ1574" s="38"/>
      <c r="AK1574" s="38"/>
      <c r="AL1574" s="38"/>
      <c r="AM1574" s="38"/>
      <c r="AN1574" s="38"/>
      <c r="AO1574" s="38"/>
      <c r="AP1574" s="38"/>
      <c r="AQ1574" s="38"/>
      <c r="AR1574" s="38"/>
      <c r="AS1574" s="38"/>
      <c r="AT1574" s="38"/>
      <c r="AU1574" s="38"/>
      <c r="AV1574" s="38"/>
      <c r="AW1574" s="38"/>
      <c r="AX1574" s="38"/>
      <c r="AY1574" s="38"/>
      <c r="AZ1574" s="38"/>
      <c r="BA1574" s="38"/>
      <c r="BB1574" s="38"/>
      <c r="BC1574" s="38"/>
      <c r="BD1574" s="38"/>
      <c r="BE1574" s="38"/>
      <c r="BF1574" s="38"/>
      <c r="BG1574" s="38"/>
    </row>
    <row r="1575">
      <c r="A1575" s="58"/>
      <c r="B1575" s="341"/>
      <c r="C1575" s="60"/>
      <c r="D1575" s="60"/>
      <c r="E1575" s="58"/>
      <c r="F1575" s="58"/>
      <c r="G1575" s="58"/>
      <c r="H1575" s="33" t="str">
        <f t="shared" si="1"/>
        <v/>
      </c>
      <c r="I1575" s="58"/>
      <c r="J1575" s="58"/>
      <c r="K1575" s="58"/>
      <c r="L1575" s="38"/>
      <c r="M1575" s="58"/>
      <c r="N1575" s="58"/>
      <c r="O1575" s="58"/>
      <c r="P1575" s="80"/>
      <c r="Q1575" s="80"/>
      <c r="R1575" s="58"/>
      <c r="S1575" s="58"/>
      <c r="T1575" s="84"/>
      <c r="U1575" s="62"/>
      <c r="V1575" s="37" t="str">
        <f>IFERROR(__xludf.DUMMYFUNCTION("if(not(iserror(index(split(C1575, "" ""),2))), index(split(C1575, "" ""),1),"""")"),"")</f>
        <v/>
      </c>
      <c r="W1575" s="315" t="str">
        <f>IFERROR(__xludf.DUMMYFUNCTION("if(V1575="""",C1575,if(not(iserror(index(split(C1575, "" ""),3))), index(split(C1575, "" ""),3),index(split(C1575, "" ""),2)))"),"")</f>
        <v/>
      </c>
      <c r="X1575" s="38" t="b">
        <f t="shared" si="2"/>
        <v>0</v>
      </c>
      <c r="Y1575" s="38"/>
      <c r="Z1575" s="40"/>
      <c r="AA1575" s="40"/>
      <c r="AB1575" s="38"/>
      <c r="AC1575" s="38"/>
      <c r="AD1575" s="38"/>
      <c r="AE1575" s="38"/>
      <c r="AF1575" s="38"/>
      <c r="AG1575" s="38"/>
      <c r="AH1575" s="38"/>
      <c r="AI1575" s="38"/>
      <c r="AJ1575" s="38"/>
      <c r="AK1575" s="38"/>
      <c r="AL1575" s="38"/>
      <c r="AM1575" s="38"/>
      <c r="AN1575" s="38"/>
      <c r="AO1575" s="38"/>
      <c r="AP1575" s="38"/>
      <c r="AQ1575" s="38"/>
      <c r="AR1575" s="38"/>
      <c r="AS1575" s="38"/>
      <c r="AT1575" s="38"/>
      <c r="AU1575" s="38"/>
      <c r="AV1575" s="38"/>
      <c r="AW1575" s="38"/>
      <c r="AX1575" s="38"/>
      <c r="AY1575" s="38"/>
      <c r="AZ1575" s="38"/>
      <c r="BA1575" s="38"/>
      <c r="BB1575" s="38"/>
      <c r="BC1575" s="38"/>
      <c r="BD1575" s="38"/>
      <c r="BE1575" s="38"/>
      <c r="BF1575" s="38"/>
      <c r="BG1575" s="38"/>
    </row>
    <row r="1576">
      <c r="A1576" s="58"/>
      <c r="B1576" s="341"/>
      <c r="C1576" s="60"/>
      <c r="D1576" s="60"/>
      <c r="E1576" s="58"/>
      <c r="F1576" s="58"/>
      <c r="G1576" s="58"/>
      <c r="H1576" s="33" t="str">
        <f t="shared" si="1"/>
        <v/>
      </c>
      <c r="I1576" s="58"/>
      <c r="J1576" s="58"/>
      <c r="K1576" s="58"/>
      <c r="L1576" s="38"/>
      <c r="M1576" s="58"/>
      <c r="N1576" s="58"/>
      <c r="O1576" s="58"/>
      <c r="P1576" s="80"/>
      <c r="Q1576" s="80"/>
      <c r="R1576" s="58"/>
      <c r="S1576" s="58"/>
      <c r="T1576" s="84"/>
      <c r="U1576" s="62"/>
      <c r="V1576" s="37" t="str">
        <f>IFERROR(__xludf.DUMMYFUNCTION("if(not(iserror(index(split(C1576, "" ""),2))), index(split(C1576, "" ""),1),"""")"),"")</f>
        <v/>
      </c>
      <c r="W1576" s="315" t="str">
        <f>IFERROR(__xludf.DUMMYFUNCTION("if(V1576="""",C1576,if(not(iserror(index(split(C1576, "" ""),3))), index(split(C1576, "" ""),3),index(split(C1576, "" ""),2)))"),"")</f>
        <v/>
      </c>
      <c r="X1576" s="38" t="b">
        <f t="shared" si="2"/>
        <v>0</v>
      </c>
      <c r="Y1576" s="38"/>
      <c r="Z1576" s="40"/>
      <c r="AA1576" s="40"/>
      <c r="AB1576" s="38"/>
      <c r="AC1576" s="38"/>
      <c r="AD1576" s="38"/>
      <c r="AE1576" s="38"/>
      <c r="AF1576" s="38"/>
      <c r="AG1576" s="38"/>
      <c r="AH1576" s="38"/>
      <c r="AI1576" s="38"/>
      <c r="AJ1576" s="38"/>
      <c r="AK1576" s="38"/>
      <c r="AL1576" s="38"/>
      <c r="AM1576" s="38"/>
      <c r="AN1576" s="38"/>
      <c r="AO1576" s="38"/>
      <c r="AP1576" s="38"/>
      <c r="AQ1576" s="38"/>
      <c r="AR1576" s="38"/>
      <c r="AS1576" s="38"/>
      <c r="AT1576" s="38"/>
      <c r="AU1576" s="38"/>
      <c r="AV1576" s="38"/>
      <c r="AW1576" s="38"/>
      <c r="AX1576" s="38"/>
      <c r="AY1576" s="38"/>
      <c r="AZ1576" s="38"/>
      <c r="BA1576" s="38"/>
      <c r="BB1576" s="38"/>
      <c r="BC1576" s="38"/>
      <c r="BD1576" s="38"/>
      <c r="BE1576" s="38"/>
      <c r="BF1576" s="38"/>
      <c r="BG1576" s="38"/>
    </row>
    <row r="1577">
      <c r="A1577" s="58"/>
      <c r="B1577" s="341"/>
      <c r="C1577" s="60"/>
      <c r="D1577" s="60"/>
      <c r="E1577" s="58"/>
      <c r="F1577" s="58"/>
      <c r="G1577" s="58"/>
      <c r="H1577" s="33" t="str">
        <f t="shared" si="1"/>
        <v/>
      </c>
      <c r="I1577" s="58"/>
      <c r="J1577" s="58"/>
      <c r="K1577" s="58"/>
      <c r="L1577" s="38"/>
      <c r="M1577" s="58"/>
      <c r="N1577" s="58"/>
      <c r="O1577" s="58"/>
      <c r="P1577" s="80"/>
      <c r="Q1577" s="80"/>
      <c r="R1577" s="58"/>
      <c r="S1577" s="58"/>
      <c r="T1577" s="84"/>
      <c r="U1577" s="62"/>
      <c r="V1577" s="37" t="str">
        <f>IFERROR(__xludf.DUMMYFUNCTION("if(not(iserror(index(split(C1577, "" ""),2))), index(split(C1577, "" ""),1),"""")"),"")</f>
        <v/>
      </c>
      <c r="W1577" s="315" t="str">
        <f>IFERROR(__xludf.DUMMYFUNCTION("if(V1577="""",C1577,if(not(iserror(index(split(C1577, "" ""),3))), index(split(C1577, "" ""),3),index(split(C1577, "" ""),2)))"),"")</f>
        <v/>
      </c>
      <c r="X1577" s="38" t="b">
        <f t="shared" si="2"/>
        <v>0</v>
      </c>
      <c r="Y1577" s="38"/>
      <c r="Z1577" s="40"/>
      <c r="AA1577" s="40"/>
      <c r="AB1577" s="38"/>
      <c r="AC1577" s="38"/>
      <c r="AD1577" s="38"/>
      <c r="AE1577" s="38"/>
      <c r="AF1577" s="38"/>
      <c r="AG1577" s="38"/>
      <c r="AH1577" s="38"/>
      <c r="AI1577" s="38"/>
      <c r="AJ1577" s="38"/>
      <c r="AK1577" s="38"/>
      <c r="AL1577" s="38"/>
      <c r="AM1577" s="38"/>
      <c r="AN1577" s="38"/>
      <c r="AO1577" s="38"/>
      <c r="AP1577" s="38"/>
      <c r="AQ1577" s="38"/>
      <c r="AR1577" s="38"/>
      <c r="AS1577" s="38"/>
      <c r="AT1577" s="38"/>
      <c r="AU1577" s="38"/>
      <c r="AV1577" s="38"/>
      <c r="AW1577" s="38"/>
      <c r="AX1577" s="38"/>
      <c r="AY1577" s="38"/>
      <c r="AZ1577" s="38"/>
      <c r="BA1577" s="38"/>
      <c r="BB1577" s="38"/>
      <c r="BC1577" s="38"/>
      <c r="BD1577" s="38"/>
      <c r="BE1577" s="38"/>
      <c r="BF1577" s="38"/>
      <c r="BG1577" s="38"/>
    </row>
    <row r="1578">
      <c r="A1578" s="58"/>
      <c r="B1578" s="341"/>
      <c r="C1578" s="60"/>
      <c r="D1578" s="60"/>
      <c r="E1578" s="58"/>
      <c r="F1578" s="58"/>
      <c r="G1578" s="58"/>
      <c r="H1578" s="33" t="str">
        <f t="shared" si="1"/>
        <v/>
      </c>
      <c r="I1578" s="58"/>
      <c r="J1578" s="58"/>
      <c r="K1578" s="58"/>
      <c r="L1578" s="38"/>
      <c r="M1578" s="58"/>
      <c r="N1578" s="58"/>
      <c r="O1578" s="58"/>
      <c r="P1578" s="80"/>
      <c r="Q1578" s="80"/>
      <c r="R1578" s="58"/>
      <c r="S1578" s="62"/>
      <c r="T1578" s="84"/>
      <c r="U1578" s="62"/>
      <c r="V1578" s="37" t="str">
        <f>IFERROR(__xludf.DUMMYFUNCTION("if(not(iserror(index(split(C1578, "" ""),2))), index(split(C1578, "" ""),1),"""")"),"")</f>
        <v/>
      </c>
      <c r="W1578" s="315" t="str">
        <f>IFERROR(__xludf.DUMMYFUNCTION("if(V1578="""",C1578,if(not(iserror(index(split(C1578, "" ""),3))), index(split(C1578, "" ""),3),index(split(C1578, "" ""),2)))"),"")</f>
        <v/>
      </c>
      <c r="X1578" s="38" t="b">
        <f t="shared" si="2"/>
        <v>0</v>
      </c>
      <c r="Y1578" s="38"/>
      <c r="Z1578" s="40"/>
      <c r="AA1578" s="40"/>
      <c r="AB1578" s="38"/>
      <c r="AC1578" s="38"/>
      <c r="AD1578" s="38"/>
      <c r="AE1578" s="38"/>
      <c r="AF1578" s="38"/>
      <c r="AG1578" s="38"/>
      <c r="AH1578" s="38"/>
      <c r="AI1578" s="38"/>
      <c r="AJ1578" s="38"/>
      <c r="AK1578" s="38"/>
      <c r="AL1578" s="38"/>
      <c r="AM1578" s="38"/>
      <c r="AN1578" s="38"/>
      <c r="AO1578" s="38"/>
      <c r="AP1578" s="38"/>
      <c r="AQ1578" s="38"/>
      <c r="AR1578" s="38"/>
      <c r="AS1578" s="38"/>
      <c r="AT1578" s="38"/>
      <c r="AU1578" s="38"/>
      <c r="AV1578" s="38"/>
      <c r="AW1578" s="38"/>
      <c r="AX1578" s="38"/>
      <c r="AY1578" s="38"/>
      <c r="AZ1578" s="38"/>
      <c r="BA1578" s="38"/>
      <c r="BB1578" s="38"/>
      <c r="BC1578" s="38"/>
      <c r="BD1578" s="38"/>
      <c r="BE1578" s="38"/>
      <c r="BF1578" s="38"/>
      <c r="BG1578" s="38"/>
    </row>
    <row r="1579">
      <c r="A1579" s="58"/>
      <c r="B1579" s="341"/>
      <c r="C1579" s="60"/>
      <c r="D1579" s="60"/>
      <c r="E1579" s="58"/>
      <c r="F1579" s="58"/>
      <c r="G1579" s="58"/>
      <c r="H1579" s="33" t="str">
        <f t="shared" si="1"/>
        <v/>
      </c>
      <c r="I1579" s="58"/>
      <c r="J1579" s="58"/>
      <c r="K1579" s="58"/>
      <c r="L1579" s="38"/>
      <c r="M1579" s="58"/>
      <c r="N1579" s="58"/>
      <c r="O1579" s="58"/>
      <c r="P1579" s="80"/>
      <c r="Q1579" s="77"/>
      <c r="R1579" s="62"/>
      <c r="S1579" s="62"/>
      <c r="T1579" s="62"/>
      <c r="U1579" s="62"/>
      <c r="V1579" s="37" t="str">
        <f>IFERROR(__xludf.DUMMYFUNCTION("if(not(iserror(index(split(C1579, "" ""),2))), index(split(C1579, "" ""),1),"""")"),"")</f>
        <v/>
      </c>
      <c r="W1579" s="315" t="str">
        <f>IFERROR(__xludf.DUMMYFUNCTION("if(V1579="""",C1579,if(not(iserror(index(split(C1579, "" ""),3))), index(split(C1579, "" ""),3),index(split(C1579, "" ""),2)))"),"")</f>
        <v/>
      </c>
      <c r="X1579" s="38" t="b">
        <f t="shared" si="2"/>
        <v>0</v>
      </c>
      <c r="Y1579" s="38"/>
      <c r="Z1579" s="40"/>
      <c r="AA1579" s="40"/>
      <c r="AB1579" s="38"/>
      <c r="AC1579" s="38"/>
      <c r="AD1579" s="38"/>
      <c r="AE1579" s="38"/>
      <c r="AF1579" s="38"/>
      <c r="AG1579" s="38"/>
      <c r="AH1579" s="38"/>
      <c r="AI1579" s="38"/>
      <c r="AJ1579" s="38"/>
      <c r="AK1579" s="38"/>
      <c r="AL1579" s="38"/>
      <c r="AM1579" s="38"/>
      <c r="AN1579" s="38"/>
      <c r="AO1579" s="38"/>
      <c r="AP1579" s="38"/>
      <c r="AQ1579" s="38"/>
      <c r="AR1579" s="38"/>
      <c r="AS1579" s="38"/>
      <c r="AT1579" s="38"/>
      <c r="AU1579" s="38"/>
      <c r="AV1579" s="38"/>
      <c r="AW1579" s="38"/>
      <c r="AX1579" s="38"/>
      <c r="AY1579" s="38"/>
      <c r="AZ1579" s="38"/>
      <c r="BA1579" s="38"/>
      <c r="BB1579" s="38"/>
      <c r="BC1579" s="38"/>
      <c r="BD1579" s="38"/>
      <c r="BE1579" s="38"/>
      <c r="BF1579" s="38"/>
      <c r="BG1579" s="38"/>
    </row>
    <row r="1580">
      <c r="A1580" s="58"/>
      <c r="B1580" s="341"/>
      <c r="C1580" s="60"/>
      <c r="D1580" s="60"/>
      <c r="E1580" s="58"/>
      <c r="F1580" s="58"/>
      <c r="G1580" s="58"/>
      <c r="H1580" s="33" t="str">
        <f t="shared" si="1"/>
        <v/>
      </c>
      <c r="I1580" s="58"/>
      <c r="J1580" s="58"/>
      <c r="K1580" s="58"/>
      <c r="L1580" s="38"/>
      <c r="M1580" s="58"/>
      <c r="N1580" s="58"/>
      <c r="O1580" s="58"/>
      <c r="P1580" s="80"/>
      <c r="Q1580" s="80"/>
      <c r="R1580" s="62"/>
      <c r="S1580" s="62"/>
      <c r="T1580" s="62"/>
      <c r="U1580" s="62"/>
      <c r="V1580" s="37" t="str">
        <f>IFERROR(__xludf.DUMMYFUNCTION("if(not(iserror(index(split(C1580, "" ""),2))), index(split(C1580, "" ""),1),"""")"),"")</f>
        <v/>
      </c>
      <c r="W1580" s="315" t="str">
        <f>IFERROR(__xludf.DUMMYFUNCTION("if(V1580="""",C1580,if(not(iserror(index(split(C1580, "" ""),3))), index(split(C1580, "" ""),3),index(split(C1580, "" ""),2)))"),"")</f>
        <v/>
      </c>
      <c r="X1580" s="38" t="b">
        <f t="shared" si="2"/>
        <v>0</v>
      </c>
      <c r="Y1580" s="38"/>
      <c r="Z1580" s="40"/>
      <c r="AA1580" s="40"/>
      <c r="AB1580" s="38"/>
      <c r="AC1580" s="38"/>
      <c r="AD1580" s="38"/>
      <c r="AE1580" s="38"/>
      <c r="AF1580" s="38"/>
      <c r="AG1580" s="38"/>
      <c r="AH1580" s="38"/>
      <c r="AI1580" s="38"/>
      <c r="AJ1580" s="38"/>
      <c r="AK1580" s="38"/>
      <c r="AL1580" s="38"/>
      <c r="AM1580" s="38"/>
      <c r="AN1580" s="38"/>
      <c r="AO1580" s="38"/>
      <c r="AP1580" s="38"/>
      <c r="AQ1580" s="38"/>
      <c r="AR1580" s="38"/>
      <c r="AS1580" s="38"/>
      <c r="AT1580" s="38"/>
      <c r="AU1580" s="38"/>
      <c r="AV1580" s="38"/>
      <c r="AW1580" s="38"/>
      <c r="AX1580" s="38"/>
      <c r="AY1580" s="38"/>
      <c r="AZ1580" s="38"/>
      <c r="BA1580" s="38"/>
      <c r="BB1580" s="38"/>
      <c r="BC1580" s="38"/>
      <c r="BD1580" s="38"/>
      <c r="BE1580" s="38"/>
      <c r="BF1580" s="38"/>
      <c r="BG1580" s="38"/>
    </row>
    <row r="1581">
      <c r="A1581" s="58"/>
      <c r="B1581" s="341"/>
      <c r="C1581" s="60"/>
      <c r="D1581" s="60"/>
      <c r="E1581" s="58"/>
      <c r="F1581" s="58"/>
      <c r="G1581" s="58"/>
      <c r="H1581" s="33" t="str">
        <f t="shared" si="1"/>
        <v/>
      </c>
      <c r="I1581" s="58"/>
      <c r="J1581" s="58"/>
      <c r="K1581" s="58"/>
      <c r="L1581" s="38"/>
      <c r="M1581" s="58"/>
      <c r="N1581" s="58"/>
      <c r="O1581" s="58"/>
      <c r="P1581" s="80"/>
      <c r="Q1581" s="80"/>
      <c r="R1581" s="62"/>
      <c r="S1581" s="58"/>
      <c r="T1581" s="84"/>
      <c r="U1581" s="62"/>
      <c r="V1581" s="37" t="str">
        <f>IFERROR(__xludf.DUMMYFUNCTION("if(not(iserror(index(split(C1581, "" ""),2))), index(split(C1581, "" ""),1),"""")"),"")</f>
        <v/>
      </c>
      <c r="W1581" s="315" t="str">
        <f>IFERROR(__xludf.DUMMYFUNCTION("if(V1581="""",C1581,if(not(iserror(index(split(C1581, "" ""),3))), index(split(C1581, "" ""),3),index(split(C1581, "" ""),2)))"),"")</f>
        <v/>
      </c>
      <c r="X1581" s="38" t="b">
        <f t="shared" si="2"/>
        <v>0</v>
      </c>
      <c r="Y1581" s="38"/>
      <c r="Z1581" s="40"/>
      <c r="AA1581" s="40"/>
      <c r="AB1581" s="38"/>
      <c r="AC1581" s="38"/>
      <c r="AD1581" s="38"/>
      <c r="AE1581" s="38"/>
      <c r="AF1581" s="38"/>
      <c r="AG1581" s="38"/>
      <c r="AH1581" s="38"/>
      <c r="AI1581" s="38"/>
      <c r="AJ1581" s="38"/>
      <c r="AK1581" s="38"/>
      <c r="AL1581" s="38"/>
      <c r="AM1581" s="38"/>
      <c r="AN1581" s="38"/>
      <c r="AO1581" s="38"/>
      <c r="AP1581" s="38"/>
      <c r="AQ1581" s="38"/>
      <c r="AR1581" s="38"/>
      <c r="AS1581" s="38"/>
      <c r="AT1581" s="38"/>
      <c r="AU1581" s="38"/>
      <c r="AV1581" s="38"/>
      <c r="AW1581" s="38"/>
      <c r="AX1581" s="38"/>
      <c r="AY1581" s="38"/>
      <c r="AZ1581" s="38"/>
      <c r="BA1581" s="38"/>
      <c r="BB1581" s="38"/>
      <c r="BC1581" s="38"/>
      <c r="BD1581" s="38"/>
      <c r="BE1581" s="38"/>
      <c r="BF1581" s="38"/>
      <c r="BG1581" s="38"/>
    </row>
    <row r="1582">
      <c r="A1582" s="58"/>
      <c r="B1582" s="341"/>
      <c r="C1582" s="60"/>
      <c r="D1582" s="60"/>
      <c r="E1582" s="58"/>
      <c r="F1582" s="58"/>
      <c r="G1582" s="58"/>
      <c r="H1582" s="33" t="str">
        <f t="shared" si="1"/>
        <v/>
      </c>
      <c r="I1582" s="58"/>
      <c r="J1582" s="58"/>
      <c r="K1582" s="58"/>
      <c r="L1582" s="38"/>
      <c r="M1582" s="58"/>
      <c r="N1582" s="58"/>
      <c r="O1582" s="58"/>
      <c r="P1582" s="80"/>
      <c r="Q1582" s="80"/>
      <c r="R1582" s="62"/>
      <c r="S1582" s="58"/>
      <c r="T1582" s="84"/>
      <c r="U1582" s="62"/>
      <c r="V1582" s="37" t="str">
        <f>IFERROR(__xludf.DUMMYFUNCTION("if(not(iserror(index(split(C1582, "" ""),2))), index(split(C1582, "" ""),1),"""")"),"")</f>
        <v/>
      </c>
      <c r="W1582" s="315" t="str">
        <f>IFERROR(__xludf.DUMMYFUNCTION("if(V1582="""",C1582,if(not(iserror(index(split(C1582, "" ""),3))), index(split(C1582, "" ""),3),index(split(C1582, "" ""),2)))"),"")</f>
        <v/>
      </c>
      <c r="X1582" s="38" t="b">
        <f t="shared" si="2"/>
        <v>0</v>
      </c>
      <c r="Y1582" s="38"/>
      <c r="Z1582" s="40"/>
      <c r="AA1582" s="40"/>
      <c r="AB1582" s="38"/>
      <c r="AC1582" s="38"/>
      <c r="AD1582" s="38"/>
      <c r="AE1582" s="38"/>
      <c r="AF1582" s="38"/>
      <c r="AG1582" s="38"/>
      <c r="AH1582" s="38"/>
      <c r="AI1582" s="38"/>
      <c r="AJ1582" s="38"/>
      <c r="AK1582" s="38"/>
      <c r="AL1582" s="38"/>
      <c r="AM1582" s="38"/>
      <c r="AN1582" s="38"/>
      <c r="AO1582" s="38"/>
      <c r="AP1582" s="38"/>
      <c r="AQ1582" s="38"/>
      <c r="AR1582" s="38"/>
      <c r="AS1582" s="38"/>
      <c r="AT1582" s="38"/>
      <c r="AU1582" s="38"/>
      <c r="AV1582" s="38"/>
      <c r="AW1582" s="38"/>
      <c r="AX1582" s="38"/>
      <c r="AY1582" s="38"/>
      <c r="AZ1582" s="38"/>
      <c r="BA1582" s="38"/>
      <c r="BB1582" s="38"/>
      <c r="BC1582" s="38"/>
      <c r="BD1582" s="38"/>
      <c r="BE1582" s="38"/>
      <c r="BF1582" s="38"/>
      <c r="BG1582" s="38"/>
    </row>
    <row r="1583">
      <c r="A1583" s="58"/>
      <c r="B1583" s="341"/>
      <c r="C1583" s="60"/>
      <c r="D1583" s="60"/>
      <c r="E1583" s="58"/>
      <c r="F1583" s="58"/>
      <c r="G1583" s="58"/>
      <c r="H1583" s="33" t="str">
        <f t="shared" si="1"/>
        <v/>
      </c>
      <c r="I1583" s="58"/>
      <c r="J1583" s="58"/>
      <c r="K1583" s="58"/>
      <c r="L1583" s="38"/>
      <c r="M1583" s="58"/>
      <c r="N1583" s="58"/>
      <c r="O1583" s="58"/>
      <c r="P1583" s="80"/>
      <c r="Q1583" s="77"/>
      <c r="R1583" s="58"/>
      <c r="S1583" s="58"/>
      <c r="T1583" s="84"/>
      <c r="U1583" s="62"/>
      <c r="V1583" s="37" t="str">
        <f>IFERROR(__xludf.DUMMYFUNCTION("if(not(iserror(index(split(C1583, "" ""),2))), index(split(C1583, "" ""),1),"""")"),"")</f>
        <v/>
      </c>
      <c r="W1583" s="315" t="str">
        <f>IFERROR(__xludf.DUMMYFUNCTION("if(V1583="""",C1583,if(not(iserror(index(split(C1583, "" ""),3))), index(split(C1583, "" ""),3),index(split(C1583, "" ""),2)))"),"")</f>
        <v/>
      </c>
      <c r="X1583" s="38" t="b">
        <f t="shared" si="2"/>
        <v>0</v>
      </c>
      <c r="Y1583" s="38"/>
      <c r="Z1583" s="40"/>
      <c r="AA1583" s="40"/>
      <c r="AB1583" s="38"/>
      <c r="AC1583" s="38"/>
      <c r="AD1583" s="38"/>
      <c r="AE1583" s="38"/>
      <c r="AF1583" s="38"/>
      <c r="AG1583" s="38"/>
      <c r="AH1583" s="38"/>
      <c r="AI1583" s="38"/>
      <c r="AJ1583" s="38"/>
      <c r="AK1583" s="38"/>
      <c r="AL1583" s="38"/>
      <c r="AM1583" s="38"/>
      <c r="AN1583" s="38"/>
      <c r="AO1583" s="38"/>
      <c r="AP1583" s="38"/>
      <c r="AQ1583" s="38"/>
      <c r="AR1583" s="38"/>
      <c r="AS1583" s="38"/>
      <c r="AT1583" s="38"/>
      <c r="AU1583" s="38"/>
      <c r="AV1583" s="38"/>
      <c r="AW1583" s="38"/>
      <c r="AX1583" s="38"/>
      <c r="AY1583" s="38"/>
      <c r="AZ1583" s="38"/>
      <c r="BA1583" s="38"/>
      <c r="BB1583" s="38"/>
      <c r="BC1583" s="38"/>
      <c r="BD1583" s="38"/>
      <c r="BE1583" s="38"/>
      <c r="BF1583" s="38"/>
      <c r="BG1583" s="38"/>
    </row>
    <row r="1584">
      <c r="A1584" s="58"/>
      <c r="B1584" s="341"/>
      <c r="C1584" s="60"/>
      <c r="D1584" s="60"/>
      <c r="E1584" s="58"/>
      <c r="F1584" s="58"/>
      <c r="G1584" s="58"/>
      <c r="H1584" s="33" t="str">
        <f t="shared" si="1"/>
        <v/>
      </c>
      <c r="I1584" s="58"/>
      <c r="J1584" s="58"/>
      <c r="K1584" s="58"/>
      <c r="L1584" s="38"/>
      <c r="M1584" s="58"/>
      <c r="N1584" s="58"/>
      <c r="O1584" s="58"/>
      <c r="P1584" s="80"/>
      <c r="Q1584" s="80"/>
      <c r="R1584" s="58"/>
      <c r="S1584" s="58"/>
      <c r="T1584" s="84"/>
      <c r="U1584" s="62"/>
      <c r="V1584" s="37" t="str">
        <f>IFERROR(__xludf.DUMMYFUNCTION("if(not(iserror(index(split(C1584, "" ""),2))), index(split(C1584, "" ""),1),"""")"),"")</f>
        <v/>
      </c>
      <c r="W1584" s="315" t="str">
        <f>IFERROR(__xludf.DUMMYFUNCTION("if(V1584="""",C1584,if(not(iserror(index(split(C1584, "" ""),3))), index(split(C1584, "" ""),3),index(split(C1584, "" ""),2)))"),"")</f>
        <v/>
      </c>
      <c r="X1584" s="38" t="b">
        <f t="shared" si="2"/>
        <v>0</v>
      </c>
      <c r="Y1584" s="38"/>
      <c r="Z1584" s="40"/>
      <c r="AA1584" s="40"/>
      <c r="AB1584" s="38"/>
      <c r="AC1584" s="38"/>
      <c r="AD1584" s="38"/>
      <c r="AE1584" s="38"/>
      <c r="AF1584" s="38"/>
      <c r="AG1584" s="38"/>
      <c r="AH1584" s="38"/>
      <c r="AI1584" s="38"/>
      <c r="AJ1584" s="38"/>
      <c r="AK1584" s="38"/>
      <c r="AL1584" s="38"/>
      <c r="AM1584" s="38"/>
      <c r="AN1584" s="38"/>
      <c r="AO1584" s="38"/>
      <c r="AP1584" s="38"/>
      <c r="AQ1584" s="38"/>
      <c r="AR1584" s="38"/>
      <c r="AS1584" s="38"/>
      <c r="AT1584" s="38"/>
      <c r="AU1584" s="38"/>
      <c r="AV1584" s="38"/>
      <c r="AW1584" s="38"/>
      <c r="AX1584" s="38"/>
      <c r="AY1584" s="38"/>
      <c r="AZ1584" s="38"/>
      <c r="BA1584" s="38"/>
      <c r="BB1584" s="38"/>
      <c r="BC1584" s="38"/>
      <c r="BD1584" s="38"/>
      <c r="BE1584" s="38"/>
      <c r="BF1584" s="38"/>
      <c r="BG1584" s="38"/>
    </row>
    <row r="1585">
      <c r="A1585" s="58"/>
      <c r="B1585" s="341"/>
      <c r="C1585" s="60"/>
      <c r="D1585" s="60"/>
      <c r="E1585" s="58"/>
      <c r="F1585" s="58"/>
      <c r="G1585" s="58"/>
      <c r="H1585" s="33" t="str">
        <f t="shared" si="1"/>
        <v/>
      </c>
      <c r="I1585" s="58"/>
      <c r="J1585" s="58"/>
      <c r="K1585" s="58"/>
      <c r="L1585" s="38"/>
      <c r="M1585" s="58"/>
      <c r="N1585" s="58"/>
      <c r="O1585" s="58"/>
      <c r="P1585" s="80"/>
      <c r="Q1585" s="77"/>
      <c r="R1585" s="58"/>
      <c r="S1585" s="58"/>
      <c r="T1585" s="84"/>
      <c r="U1585" s="62"/>
      <c r="V1585" s="37" t="str">
        <f>IFERROR(__xludf.DUMMYFUNCTION("if(not(iserror(index(split(C1585, "" ""),2))), index(split(C1585, "" ""),1),"""")"),"")</f>
        <v/>
      </c>
      <c r="W1585" s="315" t="str">
        <f>IFERROR(__xludf.DUMMYFUNCTION("if(V1585="""",C1585,if(not(iserror(index(split(C1585, "" ""),3))), index(split(C1585, "" ""),3),index(split(C1585, "" ""),2)))"),"")</f>
        <v/>
      </c>
      <c r="X1585" s="38" t="b">
        <f t="shared" si="2"/>
        <v>0</v>
      </c>
      <c r="Y1585" s="38"/>
      <c r="Z1585" s="40"/>
      <c r="AA1585" s="40"/>
      <c r="AB1585" s="38"/>
      <c r="AC1585" s="38"/>
      <c r="AD1585" s="38"/>
      <c r="AE1585" s="38"/>
      <c r="AF1585" s="38"/>
      <c r="AG1585" s="38"/>
      <c r="AH1585" s="38"/>
      <c r="AI1585" s="38"/>
      <c r="AJ1585" s="38"/>
      <c r="AK1585" s="38"/>
      <c r="AL1585" s="38"/>
      <c r="AM1585" s="38"/>
      <c r="AN1585" s="38"/>
      <c r="AO1585" s="38"/>
      <c r="AP1585" s="38"/>
      <c r="AQ1585" s="38"/>
      <c r="AR1585" s="38"/>
      <c r="AS1585" s="38"/>
      <c r="AT1585" s="38"/>
      <c r="AU1585" s="38"/>
      <c r="AV1585" s="38"/>
      <c r="AW1585" s="38"/>
      <c r="AX1585" s="38"/>
      <c r="AY1585" s="38"/>
      <c r="AZ1585" s="38"/>
      <c r="BA1585" s="38"/>
      <c r="BB1585" s="38"/>
      <c r="BC1585" s="38"/>
      <c r="BD1585" s="38"/>
      <c r="BE1585" s="38"/>
      <c r="BF1585" s="38"/>
      <c r="BG1585" s="38"/>
    </row>
    <row r="1586">
      <c r="A1586" s="58"/>
      <c r="B1586" s="341"/>
      <c r="C1586" s="60"/>
      <c r="D1586" s="60"/>
      <c r="E1586" s="58"/>
      <c r="F1586" s="58"/>
      <c r="G1586" s="58"/>
      <c r="H1586" s="33" t="str">
        <f t="shared" si="1"/>
        <v/>
      </c>
      <c r="I1586" s="58"/>
      <c r="J1586" s="58"/>
      <c r="K1586" s="58"/>
      <c r="L1586" s="38"/>
      <c r="M1586" s="58"/>
      <c r="N1586" s="58"/>
      <c r="O1586" s="58"/>
      <c r="P1586" s="80"/>
      <c r="Q1586" s="77"/>
      <c r="R1586" s="58"/>
      <c r="S1586" s="58"/>
      <c r="T1586" s="84"/>
      <c r="U1586" s="62"/>
      <c r="V1586" s="37" t="str">
        <f>IFERROR(__xludf.DUMMYFUNCTION("if(not(iserror(index(split(C1586, "" ""),2))), index(split(C1586, "" ""),1),"""")"),"")</f>
        <v/>
      </c>
      <c r="W1586" s="315" t="str">
        <f>IFERROR(__xludf.DUMMYFUNCTION("if(V1586="""",C1586,if(not(iserror(index(split(C1586, "" ""),3))), index(split(C1586, "" ""),3),index(split(C1586, "" ""),2)))"),"")</f>
        <v/>
      </c>
      <c r="X1586" s="38" t="b">
        <f t="shared" si="2"/>
        <v>0</v>
      </c>
      <c r="Y1586" s="38"/>
      <c r="Z1586" s="40"/>
      <c r="AA1586" s="40"/>
      <c r="AB1586" s="38"/>
      <c r="AC1586" s="38"/>
      <c r="AD1586" s="38"/>
      <c r="AE1586" s="38"/>
      <c r="AF1586" s="38"/>
      <c r="AG1586" s="38"/>
      <c r="AH1586" s="38"/>
      <c r="AI1586" s="38"/>
      <c r="AJ1586" s="38"/>
      <c r="AK1586" s="38"/>
      <c r="AL1586" s="38"/>
      <c r="AM1586" s="38"/>
      <c r="AN1586" s="38"/>
      <c r="AO1586" s="38"/>
      <c r="AP1586" s="38"/>
      <c r="AQ1586" s="38"/>
      <c r="AR1586" s="38"/>
      <c r="AS1586" s="38"/>
      <c r="AT1586" s="38"/>
      <c r="AU1586" s="38"/>
      <c r="AV1586" s="38"/>
      <c r="AW1586" s="38"/>
      <c r="AX1586" s="38"/>
      <c r="AY1586" s="38"/>
      <c r="AZ1586" s="38"/>
      <c r="BA1586" s="38"/>
      <c r="BB1586" s="38"/>
      <c r="BC1586" s="38"/>
      <c r="BD1586" s="38"/>
      <c r="BE1586" s="38"/>
      <c r="BF1586" s="38"/>
      <c r="BG1586" s="38"/>
    </row>
    <row r="1587">
      <c r="A1587" s="58"/>
      <c r="B1587" s="341"/>
      <c r="C1587" s="60"/>
      <c r="D1587" s="60"/>
      <c r="E1587" s="58"/>
      <c r="F1587" s="58"/>
      <c r="G1587" s="58"/>
      <c r="H1587" s="33" t="str">
        <f t="shared" si="1"/>
        <v/>
      </c>
      <c r="I1587" s="58"/>
      <c r="J1587" s="58"/>
      <c r="K1587" s="58"/>
      <c r="L1587" s="38"/>
      <c r="M1587" s="58"/>
      <c r="N1587" s="58"/>
      <c r="O1587" s="58"/>
      <c r="P1587" s="80"/>
      <c r="Q1587" s="80"/>
      <c r="R1587" s="58"/>
      <c r="S1587" s="58"/>
      <c r="T1587" s="84"/>
      <c r="U1587" s="62"/>
      <c r="V1587" s="37" t="str">
        <f>IFERROR(__xludf.DUMMYFUNCTION("if(not(iserror(index(split(C1587, "" ""),2))), index(split(C1587, "" ""),1),"""")"),"")</f>
        <v/>
      </c>
      <c r="W1587" s="315" t="str">
        <f>IFERROR(__xludf.DUMMYFUNCTION("if(V1587="""",C1587,if(not(iserror(index(split(C1587, "" ""),3))), index(split(C1587, "" ""),3),index(split(C1587, "" ""),2)))"),"")</f>
        <v/>
      </c>
      <c r="X1587" s="38" t="b">
        <f t="shared" si="2"/>
        <v>0</v>
      </c>
      <c r="Y1587" s="38"/>
      <c r="Z1587" s="40"/>
      <c r="AA1587" s="40"/>
      <c r="AB1587" s="38"/>
      <c r="AC1587" s="38"/>
      <c r="AD1587" s="38"/>
      <c r="AE1587" s="38"/>
      <c r="AF1587" s="38"/>
      <c r="AG1587" s="38"/>
      <c r="AH1587" s="38"/>
      <c r="AI1587" s="38"/>
      <c r="AJ1587" s="38"/>
      <c r="AK1587" s="38"/>
      <c r="AL1587" s="38"/>
      <c r="AM1587" s="38"/>
      <c r="AN1587" s="38"/>
      <c r="AO1587" s="38"/>
      <c r="AP1587" s="38"/>
      <c r="AQ1587" s="38"/>
      <c r="AR1587" s="38"/>
      <c r="AS1587" s="38"/>
      <c r="AT1587" s="38"/>
      <c r="AU1587" s="38"/>
      <c r="AV1587" s="38"/>
      <c r="AW1587" s="38"/>
      <c r="AX1587" s="38"/>
      <c r="AY1587" s="38"/>
      <c r="AZ1587" s="38"/>
      <c r="BA1587" s="38"/>
      <c r="BB1587" s="38"/>
      <c r="BC1587" s="38"/>
      <c r="BD1587" s="38"/>
      <c r="BE1587" s="38"/>
      <c r="BF1587" s="38"/>
      <c r="BG1587" s="38"/>
    </row>
    <row r="1588">
      <c r="A1588" s="58"/>
      <c r="B1588" s="341"/>
      <c r="C1588" s="60"/>
      <c r="D1588" s="60"/>
      <c r="E1588" s="58"/>
      <c r="F1588" s="58"/>
      <c r="G1588" s="58"/>
      <c r="H1588" s="33" t="str">
        <f t="shared" si="1"/>
        <v/>
      </c>
      <c r="I1588" s="58"/>
      <c r="J1588" s="58"/>
      <c r="K1588" s="58"/>
      <c r="L1588" s="38"/>
      <c r="M1588" s="58"/>
      <c r="N1588" s="58"/>
      <c r="O1588" s="58"/>
      <c r="P1588" s="80"/>
      <c r="Q1588" s="77"/>
      <c r="R1588" s="62"/>
      <c r="S1588" s="62"/>
      <c r="T1588" s="84"/>
      <c r="U1588" s="62"/>
      <c r="V1588" s="37" t="str">
        <f>IFERROR(__xludf.DUMMYFUNCTION("if(not(iserror(index(split(C1588, "" ""),2))), index(split(C1588, "" ""),1),"""")"),"")</f>
        <v/>
      </c>
      <c r="W1588" s="315" t="str">
        <f>IFERROR(__xludf.DUMMYFUNCTION("if(V1588="""",C1588,if(not(iserror(index(split(C1588, "" ""),3))), index(split(C1588, "" ""),3),index(split(C1588, "" ""),2)))"),"")</f>
        <v/>
      </c>
      <c r="X1588" s="38" t="b">
        <f t="shared" si="2"/>
        <v>0</v>
      </c>
      <c r="Y1588" s="38"/>
      <c r="Z1588" s="40"/>
      <c r="AA1588" s="40"/>
      <c r="AB1588" s="38"/>
      <c r="AC1588" s="38"/>
      <c r="AD1588" s="38"/>
      <c r="AE1588" s="38"/>
      <c r="AF1588" s="38"/>
      <c r="AG1588" s="38"/>
      <c r="AH1588" s="38"/>
      <c r="AI1588" s="38"/>
      <c r="AJ1588" s="38"/>
      <c r="AK1588" s="38"/>
      <c r="AL1588" s="38"/>
      <c r="AM1588" s="38"/>
      <c r="AN1588" s="38"/>
      <c r="AO1588" s="38"/>
      <c r="AP1588" s="38"/>
      <c r="AQ1588" s="38"/>
      <c r="AR1588" s="38"/>
      <c r="AS1588" s="38"/>
      <c r="AT1588" s="38"/>
      <c r="AU1588" s="38"/>
      <c r="AV1588" s="38"/>
      <c r="AW1588" s="38"/>
      <c r="AX1588" s="38"/>
      <c r="AY1588" s="38"/>
      <c r="AZ1588" s="38"/>
      <c r="BA1588" s="38"/>
      <c r="BB1588" s="38"/>
      <c r="BC1588" s="38"/>
      <c r="BD1588" s="38"/>
      <c r="BE1588" s="38"/>
      <c r="BF1588" s="38"/>
      <c r="BG1588" s="38"/>
    </row>
    <row r="1589">
      <c r="A1589" s="58"/>
      <c r="B1589" s="341"/>
      <c r="C1589" s="60"/>
      <c r="D1589" s="60"/>
      <c r="E1589" s="58"/>
      <c r="F1589" s="58"/>
      <c r="G1589" s="58"/>
      <c r="H1589" s="33" t="str">
        <f t="shared" si="1"/>
        <v/>
      </c>
      <c r="I1589" s="58"/>
      <c r="J1589" s="58"/>
      <c r="K1589" s="58"/>
      <c r="L1589" s="38"/>
      <c r="M1589" s="58"/>
      <c r="N1589" s="58"/>
      <c r="O1589" s="58"/>
      <c r="P1589" s="80"/>
      <c r="Q1589" s="80"/>
      <c r="R1589" s="62"/>
      <c r="S1589" s="62"/>
      <c r="T1589" s="84"/>
      <c r="U1589" s="62"/>
      <c r="V1589" s="37" t="str">
        <f>IFERROR(__xludf.DUMMYFUNCTION("if(not(iserror(index(split(C1589, "" ""),2))), index(split(C1589, "" ""),1),"""")"),"")</f>
        <v/>
      </c>
      <c r="W1589" s="315" t="str">
        <f>IFERROR(__xludf.DUMMYFUNCTION("if(V1589="""",C1589,if(not(iserror(index(split(C1589, "" ""),3))), index(split(C1589, "" ""),3),index(split(C1589, "" ""),2)))"),"")</f>
        <v/>
      </c>
      <c r="X1589" s="38" t="b">
        <f t="shared" si="2"/>
        <v>0</v>
      </c>
      <c r="Y1589" s="38"/>
      <c r="Z1589" s="40"/>
      <c r="AA1589" s="40"/>
      <c r="AB1589" s="38"/>
      <c r="AC1589" s="38"/>
      <c r="AD1589" s="38"/>
      <c r="AE1589" s="38"/>
      <c r="AF1589" s="38"/>
      <c r="AG1589" s="38"/>
      <c r="AH1589" s="38"/>
      <c r="AI1589" s="38"/>
      <c r="AJ1589" s="38"/>
      <c r="AK1589" s="38"/>
      <c r="AL1589" s="38"/>
      <c r="AM1589" s="38"/>
      <c r="AN1589" s="38"/>
      <c r="AO1589" s="38"/>
      <c r="AP1589" s="38"/>
      <c r="AQ1589" s="38"/>
      <c r="AR1589" s="38"/>
      <c r="AS1589" s="38"/>
      <c r="AT1589" s="38"/>
      <c r="AU1589" s="38"/>
      <c r="AV1589" s="38"/>
      <c r="AW1589" s="38"/>
      <c r="AX1589" s="38"/>
      <c r="AY1589" s="38"/>
      <c r="AZ1589" s="38"/>
      <c r="BA1589" s="38"/>
      <c r="BB1589" s="38"/>
      <c r="BC1589" s="38"/>
      <c r="BD1589" s="38"/>
      <c r="BE1589" s="38"/>
      <c r="BF1589" s="38"/>
      <c r="BG1589" s="38"/>
    </row>
    <row r="1590">
      <c r="A1590" s="58"/>
      <c r="B1590" s="341"/>
      <c r="C1590" s="60"/>
      <c r="D1590" s="60"/>
      <c r="E1590" s="58"/>
      <c r="F1590" s="58"/>
      <c r="G1590" s="58"/>
      <c r="H1590" s="33" t="str">
        <f t="shared" si="1"/>
        <v/>
      </c>
      <c r="I1590" s="58"/>
      <c r="J1590" s="58"/>
      <c r="K1590" s="58"/>
      <c r="L1590" s="38"/>
      <c r="M1590" s="58"/>
      <c r="N1590" s="58"/>
      <c r="O1590" s="58"/>
      <c r="P1590" s="80"/>
      <c r="Q1590" s="77"/>
      <c r="R1590" s="62"/>
      <c r="S1590" s="58"/>
      <c r="T1590" s="84"/>
      <c r="U1590" s="62"/>
      <c r="V1590" s="37" t="str">
        <f>IFERROR(__xludf.DUMMYFUNCTION("if(not(iserror(index(split(C1590, "" ""),2))), index(split(C1590, "" ""),1),"""")"),"")</f>
        <v/>
      </c>
      <c r="W1590" s="315" t="str">
        <f>IFERROR(__xludf.DUMMYFUNCTION("if(V1590="""",C1590,if(not(iserror(index(split(C1590, "" ""),3))), index(split(C1590, "" ""),3),index(split(C1590, "" ""),2)))"),"")</f>
        <v/>
      </c>
      <c r="X1590" s="38" t="b">
        <f t="shared" si="2"/>
        <v>0</v>
      </c>
      <c r="Y1590" s="38"/>
      <c r="Z1590" s="40"/>
      <c r="AA1590" s="40"/>
      <c r="AB1590" s="38"/>
      <c r="AC1590" s="38"/>
      <c r="AD1590" s="38"/>
      <c r="AE1590" s="38"/>
      <c r="AF1590" s="38"/>
      <c r="AG1590" s="38"/>
      <c r="AH1590" s="38"/>
      <c r="AI1590" s="38"/>
      <c r="AJ1590" s="38"/>
      <c r="AK1590" s="38"/>
      <c r="AL1590" s="38"/>
      <c r="AM1590" s="38"/>
      <c r="AN1590" s="38"/>
      <c r="AO1590" s="38"/>
      <c r="AP1590" s="38"/>
      <c r="AQ1590" s="38"/>
      <c r="AR1590" s="38"/>
      <c r="AS1590" s="38"/>
      <c r="AT1590" s="38"/>
      <c r="AU1590" s="38"/>
      <c r="AV1590" s="38"/>
      <c r="AW1590" s="38"/>
      <c r="AX1590" s="38"/>
      <c r="AY1590" s="38"/>
      <c r="AZ1590" s="38"/>
      <c r="BA1590" s="38"/>
      <c r="BB1590" s="38"/>
      <c r="BC1590" s="38"/>
      <c r="BD1590" s="38"/>
      <c r="BE1590" s="38"/>
      <c r="BF1590" s="38"/>
      <c r="BG1590" s="38"/>
    </row>
    <row r="1591">
      <c r="A1591" s="58"/>
      <c r="B1591" s="341"/>
      <c r="C1591" s="60"/>
      <c r="D1591" s="60"/>
      <c r="E1591" s="58"/>
      <c r="F1591" s="58"/>
      <c r="G1591" s="58"/>
      <c r="H1591" s="33" t="str">
        <f t="shared" si="1"/>
        <v/>
      </c>
      <c r="I1591" s="58"/>
      <c r="J1591" s="58"/>
      <c r="K1591" s="58"/>
      <c r="L1591" s="38"/>
      <c r="M1591" s="58"/>
      <c r="N1591" s="58"/>
      <c r="O1591" s="58"/>
      <c r="P1591" s="80"/>
      <c r="Q1591" s="77"/>
      <c r="R1591" s="58"/>
      <c r="S1591" s="58"/>
      <c r="T1591" s="84"/>
      <c r="U1591" s="62"/>
      <c r="V1591" s="37" t="str">
        <f>IFERROR(__xludf.DUMMYFUNCTION("if(not(iserror(index(split(C1591, "" ""),2))), index(split(C1591, "" ""),1),"""")"),"")</f>
        <v/>
      </c>
      <c r="W1591" s="315" t="str">
        <f>IFERROR(__xludf.DUMMYFUNCTION("if(V1591="""",C1591,if(not(iserror(index(split(C1591, "" ""),3))), index(split(C1591, "" ""),3),index(split(C1591, "" ""),2)))"),"")</f>
        <v/>
      </c>
      <c r="X1591" s="38" t="b">
        <f t="shared" si="2"/>
        <v>0</v>
      </c>
      <c r="Y1591" s="38"/>
      <c r="Z1591" s="40"/>
      <c r="AA1591" s="40"/>
      <c r="AB1591" s="38"/>
      <c r="AC1591" s="38"/>
      <c r="AD1591" s="38"/>
      <c r="AE1591" s="38"/>
      <c r="AF1591" s="38"/>
      <c r="AG1591" s="38"/>
      <c r="AH1591" s="38"/>
      <c r="AI1591" s="38"/>
      <c r="AJ1591" s="38"/>
      <c r="AK1591" s="38"/>
      <c r="AL1591" s="38"/>
      <c r="AM1591" s="38"/>
      <c r="AN1591" s="38"/>
      <c r="AO1591" s="38"/>
      <c r="AP1591" s="38"/>
      <c r="AQ1591" s="38"/>
      <c r="AR1591" s="38"/>
      <c r="AS1591" s="38"/>
      <c r="AT1591" s="38"/>
      <c r="AU1591" s="38"/>
      <c r="AV1591" s="38"/>
      <c r="AW1591" s="38"/>
      <c r="AX1591" s="38"/>
      <c r="AY1591" s="38"/>
      <c r="AZ1591" s="38"/>
      <c r="BA1591" s="38"/>
      <c r="BB1591" s="38"/>
      <c r="BC1591" s="38"/>
      <c r="BD1591" s="38"/>
      <c r="BE1591" s="38"/>
      <c r="BF1591" s="38"/>
      <c r="BG1591" s="38"/>
    </row>
    <row r="1592">
      <c r="A1592" s="375"/>
      <c r="B1592" s="341"/>
      <c r="C1592" s="60"/>
      <c r="D1592" s="60"/>
      <c r="E1592" s="58"/>
      <c r="F1592" s="58"/>
      <c r="G1592" s="58"/>
      <c r="H1592" s="33" t="str">
        <f t="shared" si="1"/>
        <v/>
      </c>
      <c r="I1592" s="58"/>
      <c r="J1592" s="58"/>
      <c r="K1592" s="58"/>
      <c r="L1592" s="38"/>
      <c r="M1592" s="58"/>
      <c r="N1592" s="58"/>
      <c r="O1592" s="58"/>
      <c r="P1592" s="80"/>
      <c r="Q1592" s="80"/>
      <c r="R1592" s="58"/>
      <c r="S1592" s="58"/>
      <c r="T1592" s="84"/>
      <c r="U1592" s="58"/>
      <c r="V1592" s="37" t="str">
        <f>IFERROR(__xludf.DUMMYFUNCTION("if(not(iserror(index(split(C1592, "" ""),2))), index(split(C1592, "" ""),1),"""")"),"")</f>
        <v/>
      </c>
      <c r="W1592" s="315" t="str">
        <f>IFERROR(__xludf.DUMMYFUNCTION("if(V1592="""",C1592,if(not(iserror(index(split(C1592, "" ""),3))), index(split(C1592, "" ""),3),index(split(C1592, "" ""),2)))"),"")</f>
        <v/>
      </c>
      <c r="X1592" s="38" t="b">
        <f t="shared" si="2"/>
        <v>0</v>
      </c>
      <c r="Y1592" s="38"/>
      <c r="Z1592" s="40"/>
      <c r="AA1592" s="40"/>
      <c r="AB1592" s="38"/>
      <c r="AC1592" s="38"/>
      <c r="AD1592" s="38"/>
      <c r="AE1592" s="38"/>
      <c r="AF1592" s="38"/>
      <c r="AG1592" s="38"/>
      <c r="AH1592" s="38"/>
      <c r="AI1592" s="38"/>
      <c r="AJ1592" s="38"/>
      <c r="AK1592" s="38"/>
      <c r="AL1592" s="38"/>
      <c r="AM1592" s="38"/>
      <c r="AN1592" s="38"/>
      <c r="AO1592" s="38"/>
      <c r="AP1592" s="38"/>
      <c r="AQ1592" s="38"/>
      <c r="AR1592" s="38"/>
      <c r="AS1592" s="38"/>
      <c r="AT1592" s="38"/>
      <c r="AU1592" s="38"/>
      <c r="AV1592" s="38"/>
      <c r="AW1592" s="38"/>
      <c r="AX1592" s="38"/>
      <c r="AY1592" s="38"/>
      <c r="AZ1592" s="38"/>
      <c r="BA1592" s="38"/>
      <c r="BB1592" s="38"/>
      <c r="BC1592" s="38"/>
      <c r="BD1592" s="38"/>
      <c r="BE1592" s="38"/>
      <c r="BF1592" s="38"/>
      <c r="BG1592" s="38"/>
    </row>
    <row r="1593">
      <c r="A1593" s="58"/>
      <c r="B1593" s="341"/>
      <c r="C1593" s="60"/>
      <c r="D1593" s="60"/>
      <c r="E1593" s="58"/>
      <c r="F1593" s="58"/>
      <c r="G1593" s="58"/>
      <c r="H1593" s="33" t="str">
        <f t="shared" si="1"/>
        <v/>
      </c>
      <c r="I1593" s="58"/>
      <c r="J1593" s="58"/>
      <c r="K1593" s="58"/>
      <c r="L1593" s="38"/>
      <c r="M1593" s="58"/>
      <c r="N1593" s="58"/>
      <c r="O1593" s="58"/>
      <c r="P1593" s="80"/>
      <c r="Q1593" s="80"/>
      <c r="R1593" s="58"/>
      <c r="S1593" s="58"/>
      <c r="T1593" s="84"/>
      <c r="U1593" s="62"/>
      <c r="V1593" s="37" t="str">
        <f>IFERROR(__xludf.DUMMYFUNCTION("if(not(iserror(index(split(C1593, "" ""),2))), index(split(C1593, "" ""),1),"""")"),"")</f>
        <v/>
      </c>
      <c r="W1593" s="315" t="str">
        <f>IFERROR(__xludf.DUMMYFUNCTION("if(V1593="""",C1593,if(not(iserror(index(split(C1593, "" ""),3))), index(split(C1593, "" ""),3),index(split(C1593, "" ""),2)))"),"")</f>
        <v/>
      </c>
      <c r="X1593" s="38" t="b">
        <f t="shared" si="2"/>
        <v>0</v>
      </c>
      <c r="Y1593" s="38"/>
      <c r="Z1593" s="40"/>
      <c r="AA1593" s="40"/>
      <c r="AB1593" s="38"/>
      <c r="AC1593" s="38"/>
      <c r="AD1593" s="38"/>
      <c r="AE1593" s="38"/>
      <c r="AF1593" s="38"/>
      <c r="AG1593" s="38"/>
      <c r="AH1593" s="38"/>
      <c r="AI1593" s="38"/>
      <c r="AJ1593" s="38"/>
      <c r="AK1593" s="38"/>
      <c r="AL1593" s="38"/>
      <c r="AM1593" s="38"/>
      <c r="AN1593" s="38"/>
      <c r="AO1593" s="38"/>
      <c r="AP1593" s="38"/>
      <c r="AQ1593" s="38"/>
      <c r="AR1593" s="38"/>
      <c r="AS1593" s="38"/>
      <c r="AT1593" s="38"/>
      <c r="AU1593" s="38"/>
      <c r="AV1593" s="38"/>
      <c r="AW1593" s="38"/>
      <c r="AX1593" s="38"/>
      <c r="AY1593" s="38"/>
      <c r="AZ1593" s="38"/>
      <c r="BA1593" s="38"/>
      <c r="BB1593" s="38"/>
      <c r="BC1593" s="38"/>
      <c r="BD1593" s="38"/>
      <c r="BE1593" s="38"/>
      <c r="BF1593" s="38"/>
      <c r="BG1593" s="38"/>
    </row>
    <row r="1594">
      <c r="A1594" s="58"/>
      <c r="B1594" s="341"/>
      <c r="C1594" s="60"/>
      <c r="D1594" s="60"/>
      <c r="E1594" s="58"/>
      <c r="F1594" s="58"/>
      <c r="G1594" s="58"/>
      <c r="H1594" s="33" t="str">
        <f t="shared" si="1"/>
        <v/>
      </c>
      <c r="I1594" s="58"/>
      <c r="J1594" s="58"/>
      <c r="K1594" s="58"/>
      <c r="L1594" s="38"/>
      <c r="M1594" s="58"/>
      <c r="N1594" s="58"/>
      <c r="O1594" s="58"/>
      <c r="P1594" s="80"/>
      <c r="Q1594" s="80"/>
      <c r="R1594" s="62"/>
      <c r="S1594" s="62"/>
      <c r="T1594" s="62"/>
      <c r="U1594" s="62"/>
      <c r="V1594" s="37" t="str">
        <f>IFERROR(__xludf.DUMMYFUNCTION("if(not(iserror(index(split(C1594, "" ""),2))), index(split(C1594, "" ""),1),"""")"),"")</f>
        <v/>
      </c>
      <c r="W1594" s="315" t="str">
        <f>IFERROR(__xludf.DUMMYFUNCTION("if(V1594="""",C1594,if(not(iserror(index(split(C1594, "" ""),3))), index(split(C1594, "" ""),3),index(split(C1594, "" ""),2)))"),"")</f>
        <v/>
      </c>
      <c r="X1594" s="38" t="b">
        <f t="shared" si="2"/>
        <v>0</v>
      </c>
      <c r="Y1594" s="38"/>
      <c r="Z1594" s="40"/>
      <c r="AA1594" s="40"/>
      <c r="AB1594" s="38"/>
      <c r="AC1594" s="38"/>
      <c r="AD1594" s="38"/>
      <c r="AE1594" s="38"/>
      <c r="AF1594" s="38"/>
      <c r="AG1594" s="38"/>
      <c r="AH1594" s="38"/>
      <c r="AI1594" s="38"/>
      <c r="AJ1594" s="38"/>
      <c r="AK1594" s="38"/>
      <c r="AL1594" s="38"/>
      <c r="AM1594" s="38"/>
      <c r="AN1594" s="38"/>
      <c r="AO1594" s="38"/>
      <c r="AP1594" s="38"/>
      <c r="AQ1594" s="38"/>
      <c r="AR1594" s="38"/>
      <c r="AS1594" s="38"/>
      <c r="AT1594" s="38"/>
      <c r="AU1594" s="38"/>
      <c r="AV1594" s="38"/>
      <c r="AW1594" s="38"/>
      <c r="AX1594" s="38"/>
      <c r="AY1594" s="38"/>
      <c r="AZ1594" s="38"/>
      <c r="BA1594" s="38"/>
      <c r="BB1594" s="38"/>
      <c r="BC1594" s="38"/>
      <c r="BD1594" s="38"/>
      <c r="BE1594" s="38"/>
      <c r="BF1594" s="38"/>
      <c r="BG1594" s="38"/>
    </row>
    <row r="1595">
      <c r="A1595" s="58"/>
      <c r="B1595" s="341"/>
      <c r="C1595" s="60"/>
      <c r="D1595" s="60"/>
      <c r="E1595" s="58"/>
      <c r="F1595" s="58"/>
      <c r="G1595" s="58"/>
      <c r="H1595" s="33" t="str">
        <f t="shared" si="1"/>
        <v/>
      </c>
      <c r="I1595" s="58"/>
      <c r="J1595" s="58"/>
      <c r="K1595" s="58"/>
      <c r="L1595" s="38"/>
      <c r="M1595" s="58"/>
      <c r="N1595" s="58"/>
      <c r="O1595" s="58"/>
      <c r="P1595" s="80"/>
      <c r="Q1595" s="77"/>
      <c r="R1595" s="62"/>
      <c r="S1595" s="62"/>
      <c r="T1595" s="62"/>
      <c r="U1595" s="62"/>
      <c r="V1595" s="37" t="str">
        <f>IFERROR(__xludf.DUMMYFUNCTION("if(not(iserror(index(split(C1595, "" ""),2))), index(split(C1595, "" ""),1),"""")"),"")</f>
        <v/>
      </c>
      <c r="W1595" s="315" t="str">
        <f>IFERROR(__xludf.DUMMYFUNCTION("if(V1595="""",C1595,if(not(iserror(index(split(C1595, "" ""),3))), index(split(C1595, "" ""),3),index(split(C1595, "" ""),2)))"),"")</f>
        <v/>
      </c>
      <c r="X1595" s="38" t="b">
        <f t="shared" si="2"/>
        <v>0</v>
      </c>
      <c r="Y1595" s="38"/>
      <c r="Z1595" s="40"/>
      <c r="AA1595" s="40"/>
      <c r="AB1595" s="38"/>
      <c r="AC1595" s="38"/>
      <c r="AD1595" s="38"/>
      <c r="AE1595" s="38"/>
      <c r="AF1595" s="38"/>
      <c r="AG1595" s="38"/>
      <c r="AH1595" s="38"/>
      <c r="AI1595" s="38"/>
      <c r="AJ1595" s="38"/>
      <c r="AK1595" s="38"/>
      <c r="AL1595" s="38"/>
      <c r="AM1595" s="38"/>
      <c r="AN1595" s="38"/>
      <c r="AO1595" s="38"/>
      <c r="AP1595" s="38"/>
      <c r="AQ1595" s="38"/>
      <c r="AR1595" s="38"/>
      <c r="AS1595" s="38"/>
      <c r="AT1595" s="38"/>
      <c r="AU1595" s="38"/>
      <c r="AV1595" s="38"/>
      <c r="AW1595" s="38"/>
      <c r="AX1595" s="38"/>
      <c r="AY1595" s="38"/>
      <c r="AZ1595" s="38"/>
      <c r="BA1595" s="38"/>
      <c r="BB1595" s="38"/>
      <c r="BC1595" s="38"/>
      <c r="BD1595" s="38"/>
      <c r="BE1595" s="38"/>
      <c r="BF1595" s="38"/>
      <c r="BG1595" s="38"/>
    </row>
    <row r="1596">
      <c r="A1596" s="58"/>
      <c r="B1596" s="341"/>
      <c r="C1596" s="60"/>
      <c r="D1596" s="60"/>
      <c r="E1596" s="58"/>
      <c r="F1596" s="58"/>
      <c r="G1596" s="58"/>
      <c r="H1596" s="33" t="str">
        <f t="shared" si="1"/>
        <v/>
      </c>
      <c r="I1596" s="58"/>
      <c r="J1596" s="58"/>
      <c r="K1596" s="58"/>
      <c r="L1596" s="38"/>
      <c r="M1596" s="58"/>
      <c r="N1596" s="58"/>
      <c r="O1596" s="58"/>
      <c r="P1596" s="80"/>
      <c r="Q1596" s="77"/>
      <c r="R1596" s="62"/>
      <c r="S1596" s="58"/>
      <c r="T1596" s="84"/>
      <c r="U1596" s="62"/>
      <c r="V1596" s="37" t="str">
        <f>IFERROR(__xludf.DUMMYFUNCTION("if(not(iserror(index(split(C1596, "" ""),2))), index(split(C1596, "" ""),1),"""")"),"")</f>
        <v/>
      </c>
      <c r="W1596" s="315" t="str">
        <f>IFERROR(__xludf.DUMMYFUNCTION("if(V1596="""",C1596,if(not(iserror(index(split(C1596, "" ""),3))), index(split(C1596, "" ""),3),index(split(C1596, "" ""),2)))"),"")</f>
        <v/>
      </c>
      <c r="X1596" s="38" t="b">
        <f t="shared" si="2"/>
        <v>0</v>
      </c>
      <c r="Y1596" s="38"/>
      <c r="Z1596" s="40"/>
      <c r="AA1596" s="40"/>
      <c r="AB1596" s="38"/>
      <c r="AC1596" s="38"/>
      <c r="AD1596" s="38"/>
      <c r="AE1596" s="38"/>
      <c r="AF1596" s="38"/>
      <c r="AG1596" s="38"/>
      <c r="AH1596" s="38"/>
      <c r="AI1596" s="38"/>
      <c r="AJ1596" s="38"/>
      <c r="AK1596" s="38"/>
      <c r="AL1596" s="38"/>
      <c r="AM1596" s="38"/>
      <c r="AN1596" s="38"/>
      <c r="AO1596" s="38"/>
      <c r="AP1596" s="38"/>
      <c r="AQ1596" s="38"/>
      <c r="AR1596" s="38"/>
      <c r="AS1596" s="38"/>
      <c r="AT1596" s="38"/>
      <c r="AU1596" s="38"/>
      <c r="AV1596" s="38"/>
      <c r="AW1596" s="38"/>
      <c r="AX1596" s="38"/>
      <c r="AY1596" s="38"/>
      <c r="AZ1596" s="38"/>
      <c r="BA1596" s="38"/>
      <c r="BB1596" s="38"/>
      <c r="BC1596" s="38"/>
      <c r="BD1596" s="38"/>
      <c r="BE1596" s="38"/>
      <c r="BF1596" s="38"/>
      <c r="BG1596" s="38"/>
    </row>
    <row r="1597">
      <c r="A1597" s="58"/>
      <c r="B1597" s="341"/>
      <c r="C1597" s="60"/>
      <c r="D1597" s="60"/>
      <c r="E1597" s="58"/>
      <c r="F1597" s="58"/>
      <c r="G1597" s="58"/>
      <c r="H1597" s="33" t="str">
        <f t="shared" si="1"/>
        <v/>
      </c>
      <c r="I1597" s="58"/>
      <c r="J1597" s="58"/>
      <c r="K1597" s="58"/>
      <c r="L1597" s="38"/>
      <c r="M1597" s="58"/>
      <c r="N1597" s="58"/>
      <c r="O1597" s="58"/>
      <c r="P1597" s="80"/>
      <c r="Q1597" s="80"/>
      <c r="R1597" s="58"/>
      <c r="S1597" s="58"/>
      <c r="T1597" s="84"/>
      <c r="U1597" s="62"/>
      <c r="V1597" s="37" t="str">
        <f>IFERROR(__xludf.DUMMYFUNCTION("if(not(iserror(index(split(C1597, "" ""),2))), index(split(C1597, "" ""),1),"""")"),"")</f>
        <v/>
      </c>
      <c r="W1597" s="315" t="str">
        <f>IFERROR(__xludf.DUMMYFUNCTION("if(V1597="""",C1597,if(not(iserror(index(split(C1597, "" ""),3))), index(split(C1597, "" ""),3),index(split(C1597, "" ""),2)))"),"")</f>
        <v/>
      </c>
      <c r="X1597" s="38" t="b">
        <f t="shared" si="2"/>
        <v>0</v>
      </c>
      <c r="Y1597" s="38"/>
      <c r="Z1597" s="40"/>
      <c r="AA1597" s="40"/>
      <c r="AB1597" s="38"/>
      <c r="AC1597" s="38"/>
      <c r="AD1597" s="38"/>
      <c r="AE1597" s="38"/>
      <c r="AF1597" s="38"/>
      <c r="AG1597" s="38"/>
      <c r="AH1597" s="38"/>
      <c r="AI1597" s="38"/>
      <c r="AJ1597" s="38"/>
      <c r="AK1597" s="38"/>
      <c r="AL1597" s="38"/>
      <c r="AM1597" s="38"/>
      <c r="AN1597" s="38"/>
      <c r="AO1597" s="38"/>
      <c r="AP1597" s="38"/>
      <c r="AQ1597" s="38"/>
      <c r="AR1597" s="38"/>
      <c r="AS1597" s="38"/>
      <c r="AT1597" s="38"/>
      <c r="AU1597" s="38"/>
      <c r="AV1597" s="38"/>
      <c r="AW1597" s="38"/>
      <c r="AX1597" s="38"/>
      <c r="AY1597" s="38"/>
      <c r="AZ1597" s="38"/>
      <c r="BA1597" s="38"/>
      <c r="BB1597" s="38"/>
      <c r="BC1597" s="38"/>
      <c r="BD1597" s="38"/>
      <c r="BE1597" s="38"/>
      <c r="BF1597" s="38"/>
      <c r="BG1597" s="38"/>
    </row>
    <row r="1598">
      <c r="A1598" s="58"/>
      <c r="B1598" s="341"/>
      <c r="C1598" s="60"/>
      <c r="D1598" s="60"/>
      <c r="E1598" s="58"/>
      <c r="F1598" s="58"/>
      <c r="G1598" s="58"/>
      <c r="H1598" s="33" t="str">
        <f t="shared" si="1"/>
        <v/>
      </c>
      <c r="I1598" s="58"/>
      <c r="J1598" s="58"/>
      <c r="K1598" s="58"/>
      <c r="L1598" s="38"/>
      <c r="M1598" s="58"/>
      <c r="N1598" s="58"/>
      <c r="O1598" s="58"/>
      <c r="P1598" s="80"/>
      <c r="Q1598" s="80"/>
      <c r="R1598" s="58"/>
      <c r="S1598" s="58"/>
      <c r="T1598" s="84"/>
      <c r="U1598" s="62"/>
      <c r="V1598" s="37" t="str">
        <f>IFERROR(__xludf.DUMMYFUNCTION("if(not(iserror(index(split(C1598, "" ""),2))), index(split(C1598, "" ""),1),"""")"),"")</f>
        <v/>
      </c>
      <c r="W1598" s="315" t="str">
        <f>IFERROR(__xludf.DUMMYFUNCTION("if(V1598="""",C1598,if(not(iserror(index(split(C1598, "" ""),3))), index(split(C1598, "" ""),3),index(split(C1598, "" ""),2)))"),"")</f>
        <v/>
      </c>
      <c r="X1598" s="38" t="b">
        <f t="shared" si="2"/>
        <v>0</v>
      </c>
      <c r="Y1598" s="38"/>
      <c r="Z1598" s="40"/>
      <c r="AA1598" s="40"/>
      <c r="AB1598" s="38"/>
      <c r="AC1598" s="38"/>
      <c r="AD1598" s="38"/>
      <c r="AE1598" s="38"/>
      <c r="AF1598" s="38"/>
      <c r="AG1598" s="38"/>
      <c r="AH1598" s="38"/>
      <c r="AI1598" s="38"/>
      <c r="AJ1598" s="38"/>
      <c r="AK1598" s="38"/>
      <c r="AL1598" s="38"/>
      <c r="AM1598" s="38"/>
      <c r="AN1598" s="38"/>
      <c r="AO1598" s="38"/>
      <c r="AP1598" s="38"/>
      <c r="AQ1598" s="38"/>
      <c r="AR1598" s="38"/>
      <c r="AS1598" s="38"/>
      <c r="AT1598" s="38"/>
      <c r="AU1598" s="38"/>
      <c r="AV1598" s="38"/>
      <c r="AW1598" s="38"/>
      <c r="AX1598" s="38"/>
      <c r="AY1598" s="38"/>
      <c r="AZ1598" s="38"/>
      <c r="BA1598" s="38"/>
      <c r="BB1598" s="38"/>
      <c r="BC1598" s="38"/>
      <c r="BD1598" s="38"/>
      <c r="BE1598" s="38"/>
      <c r="BF1598" s="38"/>
      <c r="BG1598" s="38"/>
    </row>
    <row r="1599">
      <c r="A1599" s="58"/>
      <c r="B1599" s="341"/>
      <c r="C1599" s="60"/>
      <c r="D1599" s="60"/>
      <c r="E1599" s="58"/>
      <c r="F1599" s="58"/>
      <c r="G1599" s="58"/>
      <c r="H1599" s="33" t="str">
        <f t="shared" si="1"/>
        <v/>
      </c>
      <c r="I1599" s="58"/>
      <c r="J1599" s="58"/>
      <c r="K1599" s="58"/>
      <c r="L1599" s="38"/>
      <c r="M1599" s="58"/>
      <c r="N1599" s="58"/>
      <c r="O1599" s="58"/>
      <c r="P1599" s="80"/>
      <c r="Q1599" s="77"/>
      <c r="R1599" s="58"/>
      <c r="S1599" s="58"/>
      <c r="T1599" s="84"/>
      <c r="U1599" s="62"/>
      <c r="V1599" s="37" t="str">
        <f>IFERROR(__xludf.DUMMYFUNCTION("if(not(iserror(index(split(C1599, "" ""),2))), index(split(C1599, "" ""),1),"""")"),"")</f>
        <v/>
      </c>
      <c r="W1599" s="315" t="str">
        <f>IFERROR(__xludf.DUMMYFUNCTION("if(V1599="""",C1599,if(not(iserror(index(split(C1599, "" ""),3))), index(split(C1599, "" ""),3),index(split(C1599, "" ""),2)))"),"")</f>
        <v/>
      </c>
      <c r="X1599" s="38" t="b">
        <f t="shared" si="2"/>
        <v>0</v>
      </c>
      <c r="Y1599" s="38"/>
      <c r="Z1599" s="40"/>
      <c r="AA1599" s="40"/>
      <c r="AB1599" s="38"/>
      <c r="AC1599" s="38"/>
      <c r="AD1599" s="38"/>
      <c r="AE1599" s="38"/>
      <c r="AF1599" s="38"/>
      <c r="AG1599" s="38"/>
      <c r="AH1599" s="38"/>
      <c r="AI1599" s="38"/>
      <c r="AJ1599" s="38"/>
      <c r="AK1599" s="38"/>
      <c r="AL1599" s="38"/>
      <c r="AM1599" s="38"/>
      <c r="AN1599" s="38"/>
      <c r="AO1599" s="38"/>
      <c r="AP1599" s="38"/>
      <c r="AQ1599" s="38"/>
      <c r="AR1599" s="38"/>
      <c r="AS1599" s="38"/>
      <c r="AT1599" s="38"/>
      <c r="AU1599" s="38"/>
      <c r="AV1599" s="38"/>
      <c r="AW1599" s="38"/>
      <c r="AX1599" s="38"/>
      <c r="AY1599" s="38"/>
      <c r="AZ1599" s="38"/>
      <c r="BA1599" s="38"/>
      <c r="BB1599" s="38"/>
      <c r="BC1599" s="38"/>
      <c r="BD1599" s="38"/>
      <c r="BE1599" s="38"/>
      <c r="BF1599" s="38"/>
      <c r="BG1599" s="38"/>
    </row>
    <row r="1600">
      <c r="A1600" s="58"/>
      <c r="B1600" s="341"/>
      <c r="C1600" s="60"/>
      <c r="D1600" s="60"/>
      <c r="E1600" s="58"/>
      <c r="F1600" s="58"/>
      <c r="G1600" s="58"/>
      <c r="H1600" s="33" t="str">
        <f t="shared" si="1"/>
        <v/>
      </c>
      <c r="I1600" s="58"/>
      <c r="J1600" s="58"/>
      <c r="K1600" s="58"/>
      <c r="L1600" s="38"/>
      <c r="M1600" s="58"/>
      <c r="N1600" s="58"/>
      <c r="O1600" s="58"/>
      <c r="P1600" s="80"/>
      <c r="Q1600" s="77"/>
      <c r="R1600" s="58"/>
      <c r="S1600" s="58"/>
      <c r="T1600" s="84"/>
      <c r="U1600" s="62"/>
      <c r="V1600" s="37" t="str">
        <f>IFERROR(__xludf.DUMMYFUNCTION("if(not(iserror(index(split(C1600, "" ""),2))), index(split(C1600, "" ""),1),"""")"),"")</f>
        <v/>
      </c>
      <c r="W1600" s="315" t="str">
        <f>IFERROR(__xludf.DUMMYFUNCTION("if(V1600="""",C1600,if(not(iserror(index(split(C1600, "" ""),3))), index(split(C1600, "" ""),3),index(split(C1600, "" ""),2)))"),"")</f>
        <v/>
      </c>
      <c r="X1600" s="38" t="b">
        <f t="shared" si="2"/>
        <v>0</v>
      </c>
      <c r="Y1600" s="38"/>
      <c r="Z1600" s="40"/>
      <c r="AA1600" s="40"/>
      <c r="AB1600" s="38"/>
      <c r="AC1600" s="38"/>
      <c r="AD1600" s="38"/>
      <c r="AE1600" s="38"/>
      <c r="AF1600" s="38"/>
      <c r="AG1600" s="38"/>
      <c r="AH1600" s="38"/>
      <c r="AI1600" s="38"/>
      <c r="AJ1600" s="38"/>
      <c r="AK1600" s="38"/>
      <c r="AL1600" s="38"/>
      <c r="AM1600" s="38"/>
      <c r="AN1600" s="38"/>
      <c r="AO1600" s="38"/>
      <c r="AP1600" s="38"/>
      <c r="AQ1600" s="38"/>
      <c r="AR1600" s="38"/>
      <c r="AS1600" s="38"/>
      <c r="AT1600" s="38"/>
      <c r="AU1600" s="38"/>
      <c r="AV1600" s="38"/>
      <c r="AW1600" s="38"/>
      <c r="AX1600" s="38"/>
      <c r="AY1600" s="38"/>
      <c r="AZ1600" s="38"/>
      <c r="BA1600" s="38"/>
      <c r="BB1600" s="38"/>
      <c r="BC1600" s="38"/>
      <c r="BD1600" s="38"/>
      <c r="BE1600" s="38"/>
      <c r="BF1600" s="38"/>
      <c r="BG1600" s="38"/>
    </row>
    <row r="1601">
      <c r="A1601" s="58"/>
      <c r="B1601" s="341"/>
      <c r="C1601" s="60"/>
      <c r="D1601" s="60"/>
      <c r="E1601" s="58"/>
      <c r="F1601" s="58"/>
      <c r="G1601" s="58"/>
      <c r="H1601" s="33" t="str">
        <f t="shared" si="1"/>
        <v/>
      </c>
      <c r="I1601" s="58"/>
      <c r="J1601" s="58"/>
      <c r="K1601" s="58"/>
      <c r="L1601" s="38"/>
      <c r="M1601" s="58"/>
      <c r="N1601" s="58"/>
      <c r="O1601" s="58"/>
      <c r="P1601" s="80"/>
      <c r="Q1601" s="77"/>
      <c r="R1601" s="58"/>
      <c r="S1601" s="58"/>
      <c r="T1601" s="84"/>
      <c r="U1601" s="62"/>
      <c r="V1601" s="37" t="str">
        <f>IFERROR(__xludf.DUMMYFUNCTION("if(not(iserror(index(split(C1601, "" ""),2))), index(split(C1601, "" ""),1),"""")"),"")</f>
        <v/>
      </c>
      <c r="W1601" s="315" t="str">
        <f>IFERROR(__xludf.DUMMYFUNCTION("if(V1601="""",C1601,if(not(iserror(index(split(C1601, "" ""),3))), index(split(C1601, "" ""),3),index(split(C1601, "" ""),2)))"),"")</f>
        <v/>
      </c>
      <c r="X1601" s="38" t="b">
        <f t="shared" si="2"/>
        <v>0</v>
      </c>
      <c r="Y1601" s="38"/>
      <c r="Z1601" s="40"/>
      <c r="AA1601" s="40"/>
      <c r="AB1601" s="38"/>
      <c r="AC1601" s="38"/>
      <c r="AD1601" s="38"/>
      <c r="AE1601" s="38"/>
      <c r="AF1601" s="38"/>
      <c r="AG1601" s="38"/>
      <c r="AH1601" s="38"/>
      <c r="AI1601" s="38"/>
      <c r="AJ1601" s="38"/>
      <c r="AK1601" s="38"/>
      <c r="AL1601" s="38"/>
      <c r="AM1601" s="38"/>
      <c r="AN1601" s="38"/>
      <c r="AO1601" s="38"/>
      <c r="AP1601" s="38"/>
      <c r="AQ1601" s="38"/>
      <c r="AR1601" s="38"/>
      <c r="AS1601" s="38"/>
      <c r="AT1601" s="38"/>
      <c r="AU1601" s="38"/>
      <c r="AV1601" s="38"/>
      <c r="AW1601" s="38"/>
      <c r="AX1601" s="38"/>
      <c r="AY1601" s="38"/>
      <c r="AZ1601" s="38"/>
      <c r="BA1601" s="38"/>
      <c r="BB1601" s="38"/>
      <c r="BC1601" s="38"/>
      <c r="BD1601" s="38"/>
      <c r="BE1601" s="38"/>
      <c r="BF1601" s="38"/>
      <c r="BG1601" s="38"/>
    </row>
    <row r="1602">
      <c r="A1602" s="58"/>
      <c r="B1602" s="341"/>
      <c r="C1602" s="60"/>
      <c r="D1602" s="60"/>
      <c r="E1602" s="58"/>
      <c r="F1602" s="58"/>
      <c r="G1602" s="58"/>
      <c r="H1602" s="33" t="str">
        <f t="shared" si="1"/>
        <v/>
      </c>
      <c r="I1602" s="58"/>
      <c r="J1602" s="58"/>
      <c r="K1602" s="58"/>
      <c r="L1602" s="38"/>
      <c r="M1602" s="58"/>
      <c r="N1602" s="58"/>
      <c r="O1602" s="58"/>
      <c r="P1602" s="80"/>
      <c r="Q1602" s="77"/>
      <c r="R1602" s="58"/>
      <c r="S1602" s="58"/>
      <c r="T1602" s="84"/>
      <c r="U1602" s="62"/>
      <c r="V1602" s="37" t="str">
        <f>IFERROR(__xludf.DUMMYFUNCTION("if(not(iserror(index(split(C1602, "" ""),2))), index(split(C1602, "" ""),1),"""")"),"")</f>
        <v/>
      </c>
      <c r="W1602" s="315" t="str">
        <f>IFERROR(__xludf.DUMMYFUNCTION("if(V1602="""",C1602,if(not(iserror(index(split(C1602, "" ""),3))), index(split(C1602, "" ""),3),index(split(C1602, "" ""),2)))"),"")</f>
        <v/>
      </c>
      <c r="X1602" s="38" t="b">
        <f t="shared" si="2"/>
        <v>0</v>
      </c>
      <c r="Y1602" s="38"/>
      <c r="Z1602" s="40"/>
      <c r="AA1602" s="40"/>
      <c r="AB1602" s="38"/>
      <c r="AC1602" s="38"/>
      <c r="AD1602" s="38"/>
      <c r="AE1602" s="38"/>
      <c r="AF1602" s="38"/>
      <c r="AG1602" s="38"/>
      <c r="AH1602" s="38"/>
      <c r="AI1602" s="38"/>
      <c r="AJ1602" s="38"/>
      <c r="AK1602" s="38"/>
      <c r="AL1602" s="38"/>
      <c r="AM1602" s="38"/>
      <c r="AN1602" s="38"/>
      <c r="AO1602" s="38"/>
      <c r="AP1602" s="38"/>
      <c r="AQ1602" s="38"/>
      <c r="AR1602" s="38"/>
      <c r="AS1602" s="38"/>
      <c r="AT1602" s="38"/>
      <c r="AU1602" s="38"/>
      <c r="AV1602" s="38"/>
      <c r="AW1602" s="38"/>
      <c r="AX1602" s="38"/>
      <c r="AY1602" s="38"/>
      <c r="AZ1602" s="38"/>
      <c r="BA1602" s="38"/>
      <c r="BB1602" s="38"/>
      <c r="BC1602" s="38"/>
      <c r="BD1602" s="38"/>
      <c r="BE1602" s="38"/>
      <c r="BF1602" s="38"/>
      <c r="BG1602" s="38"/>
    </row>
    <row r="1603">
      <c r="A1603" s="375"/>
      <c r="B1603" s="341"/>
      <c r="C1603" s="60"/>
      <c r="D1603" s="60"/>
      <c r="E1603" s="58"/>
      <c r="F1603" s="58"/>
      <c r="G1603" s="58"/>
      <c r="H1603" s="33" t="str">
        <f t="shared" si="1"/>
        <v/>
      </c>
      <c r="I1603" s="58"/>
      <c r="J1603" s="58"/>
      <c r="K1603" s="58"/>
      <c r="L1603" s="38"/>
      <c r="M1603" s="58"/>
      <c r="N1603" s="58"/>
      <c r="O1603" s="58"/>
      <c r="P1603" s="80"/>
      <c r="Q1603" s="80"/>
      <c r="R1603" s="62"/>
      <c r="S1603" s="62"/>
      <c r="T1603" s="58"/>
      <c r="U1603" s="62"/>
      <c r="V1603" s="37" t="str">
        <f>IFERROR(__xludf.DUMMYFUNCTION("if(not(iserror(index(split(C1603, "" ""),2))), index(split(C1603, "" ""),1),"""")"),"")</f>
        <v/>
      </c>
      <c r="W1603" s="315" t="str">
        <f>IFERROR(__xludf.DUMMYFUNCTION("if(V1603="""",C1603,if(not(iserror(index(split(C1603, "" ""),3))), index(split(C1603, "" ""),3),index(split(C1603, "" ""),2)))"),"")</f>
        <v/>
      </c>
      <c r="X1603" s="38" t="b">
        <f t="shared" si="2"/>
        <v>0</v>
      </c>
      <c r="Y1603" s="38"/>
      <c r="Z1603" s="40"/>
      <c r="AA1603" s="40"/>
      <c r="AB1603" s="38"/>
      <c r="AC1603" s="38"/>
      <c r="AD1603" s="38"/>
      <c r="AE1603" s="38"/>
      <c r="AF1603" s="38"/>
      <c r="AG1603" s="38"/>
      <c r="AH1603" s="38"/>
      <c r="AI1603" s="38"/>
      <c r="AJ1603" s="38"/>
      <c r="AK1603" s="38"/>
      <c r="AL1603" s="38"/>
      <c r="AM1603" s="38"/>
      <c r="AN1603" s="38"/>
      <c r="AO1603" s="38"/>
      <c r="AP1603" s="38"/>
      <c r="AQ1603" s="38"/>
      <c r="AR1603" s="38"/>
      <c r="AS1603" s="38"/>
      <c r="AT1603" s="38"/>
      <c r="AU1603" s="38"/>
      <c r="AV1603" s="38"/>
      <c r="AW1603" s="38"/>
      <c r="AX1603" s="38"/>
      <c r="AY1603" s="38"/>
      <c r="AZ1603" s="38"/>
      <c r="BA1603" s="38"/>
      <c r="BB1603" s="38"/>
      <c r="BC1603" s="38"/>
      <c r="BD1603" s="38"/>
      <c r="BE1603" s="38"/>
      <c r="BF1603" s="38"/>
      <c r="BG1603" s="38"/>
    </row>
    <row r="1604">
      <c r="A1604" s="375"/>
      <c r="B1604" s="341"/>
      <c r="C1604" s="60"/>
      <c r="D1604" s="60"/>
      <c r="E1604" s="58"/>
      <c r="F1604" s="58"/>
      <c r="G1604" s="58"/>
      <c r="H1604" s="33" t="str">
        <f t="shared" si="1"/>
        <v/>
      </c>
      <c r="I1604" s="58"/>
      <c r="J1604" s="58"/>
      <c r="K1604" s="58"/>
      <c r="L1604" s="38"/>
      <c r="M1604" s="58"/>
      <c r="N1604" s="58"/>
      <c r="O1604" s="58"/>
      <c r="P1604" s="80"/>
      <c r="Q1604" s="80"/>
      <c r="R1604" s="62"/>
      <c r="S1604" s="62"/>
      <c r="T1604" s="58"/>
      <c r="U1604" s="62"/>
      <c r="V1604" s="37" t="str">
        <f>IFERROR(__xludf.DUMMYFUNCTION("if(not(iserror(index(split(C1604, "" ""),2))), index(split(C1604, "" ""),1),"""")"),"")</f>
        <v/>
      </c>
      <c r="W1604" s="315" t="str">
        <f>IFERROR(__xludf.DUMMYFUNCTION("if(V1604="""",C1604,if(not(iserror(index(split(C1604, "" ""),3))), index(split(C1604, "" ""),3),index(split(C1604, "" ""),2)))"),"")</f>
        <v/>
      </c>
      <c r="X1604" s="38" t="b">
        <f t="shared" si="2"/>
        <v>0</v>
      </c>
      <c r="Y1604" s="38"/>
      <c r="Z1604" s="40"/>
      <c r="AA1604" s="40"/>
      <c r="AB1604" s="38"/>
      <c r="AC1604" s="38"/>
      <c r="AD1604" s="38"/>
      <c r="AE1604" s="38"/>
      <c r="AF1604" s="38"/>
      <c r="AG1604" s="38"/>
      <c r="AH1604" s="38"/>
      <c r="AI1604" s="38"/>
      <c r="AJ1604" s="38"/>
      <c r="AK1604" s="38"/>
      <c r="AL1604" s="38"/>
      <c r="AM1604" s="38"/>
      <c r="AN1604" s="38"/>
      <c r="AO1604" s="38"/>
      <c r="AP1604" s="38"/>
      <c r="AQ1604" s="38"/>
      <c r="AR1604" s="38"/>
      <c r="AS1604" s="38"/>
      <c r="AT1604" s="38"/>
      <c r="AU1604" s="38"/>
      <c r="AV1604" s="38"/>
      <c r="AW1604" s="38"/>
      <c r="AX1604" s="38"/>
      <c r="AY1604" s="38"/>
      <c r="AZ1604" s="38"/>
      <c r="BA1604" s="38"/>
      <c r="BB1604" s="38"/>
      <c r="BC1604" s="38"/>
      <c r="BD1604" s="38"/>
      <c r="BE1604" s="38"/>
      <c r="BF1604" s="38"/>
      <c r="BG1604" s="38"/>
    </row>
    <row r="1605">
      <c r="A1605" s="375"/>
      <c r="B1605" s="341"/>
      <c r="C1605" s="60"/>
      <c r="D1605" s="60"/>
      <c r="E1605" s="58"/>
      <c r="F1605" s="58"/>
      <c r="G1605" s="58"/>
      <c r="H1605" s="33" t="str">
        <f t="shared" si="1"/>
        <v/>
      </c>
      <c r="I1605" s="58"/>
      <c r="J1605" s="58"/>
      <c r="K1605" s="58"/>
      <c r="L1605" s="38"/>
      <c r="M1605" s="58"/>
      <c r="N1605" s="58"/>
      <c r="O1605" s="58"/>
      <c r="P1605" s="80"/>
      <c r="Q1605" s="80"/>
      <c r="R1605" s="62"/>
      <c r="S1605" s="62"/>
      <c r="T1605" s="58"/>
      <c r="U1605" s="62"/>
      <c r="V1605" s="37" t="str">
        <f>IFERROR(__xludf.DUMMYFUNCTION("if(not(iserror(index(split(C1605, "" ""),2))), index(split(C1605, "" ""),1),"""")"),"")</f>
        <v/>
      </c>
      <c r="W1605" s="315" t="str">
        <f>IFERROR(__xludf.DUMMYFUNCTION("if(V1605="""",C1605,if(not(iserror(index(split(C1605, "" ""),3))), index(split(C1605, "" ""),3),index(split(C1605, "" ""),2)))"),"")</f>
        <v/>
      </c>
      <c r="X1605" s="38" t="b">
        <f t="shared" si="2"/>
        <v>0</v>
      </c>
      <c r="Y1605" s="38"/>
      <c r="Z1605" s="40"/>
      <c r="AA1605" s="40"/>
      <c r="AB1605" s="38"/>
      <c r="AC1605" s="38"/>
      <c r="AD1605" s="38"/>
      <c r="AE1605" s="38"/>
      <c r="AF1605" s="38"/>
      <c r="AG1605" s="38"/>
      <c r="AH1605" s="38"/>
      <c r="AI1605" s="38"/>
      <c r="AJ1605" s="38"/>
      <c r="AK1605" s="38"/>
      <c r="AL1605" s="38"/>
      <c r="AM1605" s="38"/>
      <c r="AN1605" s="38"/>
      <c r="AO1605" s="38"/>
      <c r="AP1605" s="38"/>
      <c r="AQ1605" s="38"/>
      <c r="AR1605" s="38"/>
      <c r="AS1605" s="38"/>
      <c r="AT1605" s="38"/>
      <c r="AU1605" s="38"/>
      <c r="AV1605" s="38"/>
      <c r="AW1605" s="38"/>
      <c r="AX1605" s="38"/>
      <c r="AY1605" s="38"/>
      <c r="AZ1605" s="38"/>
      <c r="BA1605" s="38"/>
      <c r="BB1605" s="38"/>
      <c r="BC1605" s="38"/>
      <c r="BD1605" s="38"/>
      <c r="BE1605" s="38"/>
      <c r="BF1605" s="38"/>
      <c r="BG1605" s="38"/>
    </row>
    <row r="1606">
      <c r="A1606" s="375"/>
      <c r="B1606" s="341"/>
      <c r="C1606" s="60"/>
      <c r="D1606" s="60"/>
      <c r="E1606" s="58"/>
      <c r="F1606" s="58"/>
      <c r="G1606" s="58"/>
      <c r="H1606" s="33" t="str">
        <f t="shared" si="1"/>
        <v/>
      </c>
      <c r="I1606" s="58"/>
      <c r="J1606" s="58"/>
      <c r="K1606" s="58"/>
      <c r="L1606" s="38"/>
      <c r="M1606" s="58"/>
      <c r="N1606" s="58"/>
      <c r="O1606" s="58"/>
      <c r="P1606" s="80"/>
      <c r="Q1606" s="80"/>
      <c r="R1606" s="62"/>
      <c r="S1606" s="62"/>
      <c r="T1606" s="62"/>
      <c r="U1606" s="62"/>
      <c r="V1606" s="37" t="str">
        <f>IFERROR(__xludf.DUMMYFUNCTION("if(not(iserror(index(split(C1606, "" ""),2))), index(split(C1606, "" ""),1),"""")"),"")</f>
        <v/>
      </c>
      <c r="W1606" s="315" t="str">
        <f>IFERROR(__xludf.DUMMYFUNCTION("if(V1606="""",C1606,if(not(iserror(index(split(C1606, "" ""),3))), index(split(C1606, "" ""),3),index(split(C1606, "" ""),2)))"),"")</f>
        <v/>
      </c>
      <c r="X1606" s="38" t="b">
        <f t="shared" si="2"/>
        <v>0</v>
      </c>
      <c r="Y1606" s="38"/>
      <c r="Z1606" s="40"/>
      <c r="AA1606" s="40"/>
      <c r="AB1606" s="38"/>
      <c r="AC1606" s="38"/>
      <c r="AD1606" s="38"/>
      <c r="AE1606" s="38"/>
      <c r="AF1606" s="38"/>
      <c r="AG1606" s="38"/>
      <c r="AH1606" s="38"/>
      <c r="AI1606" s="38"/>
      <c r="AJ1606" s="38"/>
      <c r="AK1606" s="38"/>
      <c r="AL1606" s="38"/>
      <c r="AM1606" s="38"/>
      <c r="AN1606" s="38"/>
      <c r="AO1606" s="38"/>
      <c r="AP1606" s="38"/>
      <c r="AQ1606" s="38"/>
      <c r="AR1606" s="38"/>
      <c r="AS1606" s="38"/>
      <c r="AT1606" s="38"/>
      <c r="AU1606" s="38"/>
      <c r="AV1606" s="38"/>
      <c r="AW1606" s="38"/>
      <c r="AX1606" s="38"/>
      <c r="AY1606" s="38"/>
      <c r="AZ1606" s="38"/>
      <c r="BA1606" s="38"/>
      <c r="BB1606" s="38"/>
      <c r="BC1606" s="38"/>
      <c r="BD1606" s="38"/>
      <c r="BE1606" s="38"/>
      <c r="BF1606" s="38"/>
      <c r="BG1606" s="38"/>
    </row>
    <row r="1607">
      <c r="A1607" s="375"/>
      <c r="B1607" s="343"/>
      <c r="C1607" s="49"/>
      <c r="D1607" s="49"/>
      <c r="E1607" s="47"/>
      <c r="F1607" s="47"/>
      <c r="G1607" s="47"/>
      <c r="H1607" s="33" t="str">
        <f t="shared" si="1"/>
        <v/>
      </c>
      <c r="I1607" s="47"/>
      <c r="J1607" s="47"/>
      <c r="K1607" s="47"/>
      <c r="L1607" s="38"/>
      <c r="M1607" s="47"/>
      <c r="N1607" s="47"/>
      <c r="O1607" s="47"/>
      <c r="P1607" s="52"/>
      <c r="Q1607" s="139"/>
      <c r="R1607" s="55"/>
      <c r="S1607" s="55"/>
      <c r="T1607" s="47"/>
      <c r="U1607" s="55"/>
      <c r="V1607" s="37" t="str">
        <f>IFERROR(__xludf.DUMMYFUNCTION("if(not(iserror(index(split(C1607, "" ""),2))), index(split(C1607, "" ""),1),"""")"),"")</f>
        <v/>
      </c>
      <c r="W1607" s="315" t="str">
        <f>IFERROR(__xludf.DUMMYFUNCTION("if(V1607="""",C1607,if(not(iserror(index(split(C1607, "" ""),3))), index(split(C1607, "" ""),3),index(split(C1607, "" ""),2)))"),"")</f>
        <v/>
      </c>
      <c r="X1607" s="38" t="b">
        <f t="shared" si="2"/>
        <v>0</v>
      </c>
      <c r="Y1607" s="38"/>
      <c r="Z1607" s="40"/>
      <c r="AA1607" s="40"/>
      <c r="AB1607" s="38"/>
      <c r="AC1607" s="38"/>
      <c r="AD1607" s="38"/>
      <c r="AE1607" s="38"/>
      <c r="AF1607" s="38"/>
      <c r="AG1607" s="38"/>
      <c r="AH1607" s="38"/>
      <c r="AI1607" s="38"/>
      <c r="AJ1607" s="38"/>
      <c r="AK1607" s="38"/>
      <c r="AL1607" s="38"/>
      <c r="AM1607" s="38"/>
      <c r="AN1607" s="38"/>
      <c r="AO1607" s="38"/>
      <c r="AP1607" s="38"/>
      <c r="AQ1607" s="38"/>
      <c r="AR1607" s="38"/>
      <c r="AS1607" s="38"/>
      <c r="AT1607" s="38"/>
      <c r="AU1607" s="38"/>
      <c r="AV1607" s="38"/>
      <c r="AW1607" s="38"/>
      <c r="AX1607" s="38"/>
      <c r="AY1607" s="38"/>
      <c r="AZ1607" s="38"/>
      <c r="BA1607" s="38"/>
      <c r="BB1607" s="38"/>
      <c r="BC1607" s="38"/>
      <c r="BD1607" s="38"/>
      <c r="BE1607" s="38"/>
      <c r="BF1607" s="38"/>
      <c r="BG1607" s="38"/>
    </row>
    <row r="1608">
      <c r="A1608" s="375"/>
      <c r="B1608" s="343"/>
      <c r="C1608" s="49"/>
      <c r="D1608" s="49"/>
      <c r="E1608" s="47"/>
      <c r="F1608" s="47"/>
      <c r="G1608" s="47"/>
      <c r="H1608" s="33" t="str">
        <f t="shared" si="1"/>
        <v/>
      </c>
      <c r="I1608" s="47"/>
      <c r="J1608" s="47"/>
      <c r="K1608" s="47"/>
      <c r="L1608" s="38"/>
      <c r="M1608" s="47"/>
      <c r="N1608" s="47"/>
      <c r="O1608" s="47"/>
      <c r="P1608" s="52"/>
      <c r="Q1608" s="139"/>
      <c r="R1608" s="55"/>
      <c r="S1608" s="55"/>
      <c r="T1608" s="47"/>
      <c r="U1608" s="55"/>
      <c r="V1608" s="37" t="str">
        <f>IFERROR(__xludf.DUMMYFUNCTION("if(not(iserror(index(split(C1608, "" ""),2))), index(split(C1608, "" ""),1),"""")"),"")</f>
        <v/>
      </c>
      <c r="W1608" s="315" t="str">
        <f>IFERROR(__xludf.DUMMYFUNCTION("if(V1608="""",C1608,if(not(iserror(index(split(C1608, "" ""),3))), index(split(C1608, "" ""),3),index(split(C1608, "" ""),2)))"),"")</f>
        <v/>
      </c>
      <c r="X1608" s="38" t="b">
        <f t="shared" si="2"/>
        <v>0</v>
      </c>
      <c r="Y1608" s="38"/>
      <c r="Z1608" s="40"/>
      <c r="AA1608" s="40"/>
      <c r="AB1608" s="38"/>
      <c r="AC1608" s="38"/>
      <c r="AD1608" s="38"/>
      <c r="AE1608" s="38"/>
      <c r="AF1608" s="38"/>
      <c r="AG1608" s="38"/>
      <c r="AH1608" s="38"/>
      <c r="AI1608" s="38"/>
      <c r="AJ1608" s="38"/>
      <c r="AK1608" s="38"/>
      <c r="AL1608" s="38"/>
      <c r="AM1608" s="38"/>
      <c r="AN1608" s="38"/>
      <c r="AO1608" s="38"/>
      <c r="AP1608" s="38"/>
      <c r="AQ1608" s="38"/>
      <c r="AR1608" s="38"/>
      <c r="AS1608" s="38"/>
      <c r="AT1608" s="38"/>
      <c r="AU1608" s="38"/>
      <c r="AV1608" s="38"/>
      <c r="AW1608" s="38"/>
      <c r="AX1608" s="38"/>
      <c r="AY1608" s="38"/>
      <c r="AZ1608" s="38"/>
      <c r="BA1608" s="38"/>
      <c r="BB1608" s="38"/>
      <c r="BC1608" s="38"/>
      <c r="BD1608" s="38"/>
      <c r="BE1608" s="38"/>
      <c r="BF1608" s="38"/>
      <c r="BG1608" s="38"/>
    </row>
    <row r="1609">
      <c r="A1609" s="375"/>
      <c r="B1609" s="343"/>
      <c r="C1609" s="49"/>
      <c r="D1609" s="49"/>
      <c r="E1609" s="47"/>
      <c r="F1609" s="47"/>
      <c r="G1609" s="47"/>
      <c r="H1609" s="33" t="str">
        <f t="shared" si="1"/>
        <v/>
      </c>
      <c r="I1609" s="47"/>
      <c r="J1609" s="47"/>
      <c r="K1609" s="47"/>
      <c r="L1609" s="38"/>
      <c r="M1609" s="47"/>
      <c r="N1609" s="47"/>
      <c r="O1609" s="47"/>
      <c r="P1609" s="52"/>
      <c r="Q1609" s="139"/>
      <c r="R1609" s="55"/>
      <c r="S1609" s="55"/>
      <c r="T1609" s="47"/>
      <c r="U1609" s="55"/>
      <c r="V1609" s="37" t="str">
        <f>IFERROR(__xludf.DUMMYFUNCTION("if(not(iserror(index(split(C1609, "" ""),2))), index(split(C1609, "" ""),1),"""")"),"")</f>
        <v/>
      </c>
      <c r="W1609" s="315" t="str">
        <f>IFERROR(__xludf.DUMMYFUNCTION("if(V1609="""",C1609,if(not(iserror(index(split(C1609, "" ""),3))), index(split(C1609, "" ""),3),index(split(C1609, "" ""),2)))"),"")</f>
        <v/>
      </c>
      <c r="X1609" s="38" t="b">
        <f t="shared" si="2"/>
        <v>0</v>
      </c>
      <c r="Y1609" s="38"/>
      <c r="Z1609" s="40"/>
      <c r="AA1609" s="40"/>
      <c r="AB1609" s="38"/>
      <c r="AC1609" s="38"/>
      <c r="AD1609" s="38"/>
      <c r="AE1609" s="38"/>
      <c r="AF1609" s="38"/>
      <c r="AG1609" s="38"/>
      <c r="AH1609" s="38"/>
      <c r="AI1609" s="38"/>
      <c r="AJ1609" s="38"/>
      <c r="AK1609" s="38"/>
      <c r="AL1609" s="38"/>
      <c r="AM1609" s="38"/>
      <c r="AN1609" s="38"/>
      <c r="AO1609" s="38"/>
      <c r="AP1609" s="38"/>
      <c r="AQ1609" s="38"/>
      <c r="AR1609" s="38"/>
      <c r="AS1609" s="38"/>
      <c r="AT1609" s="38"/>
      <c r="AU1609" s="38"/>
      <c r="AV1609" s="38"/>
      <c r="AW1609" s="38"/>
      <c r="AX1609" s="38"/>
      <c r="AY1609" s="38"/>
      <c r="AZ1609" s="38"/>
      <c r="BA1609" s="38"/>
      <c r="BB1609" s="38"/>
      <c r="BC1609" s="38"/>
      <c r="BD1609" s="38"/>
      <c r="BE1609" s="38"/>
      <c r="BF1609" s="38"/>
      <c r="BG1609" s="38"/>
    </row>
    <row r="1610">
      <c r="A1610" s="375"/>
      <c r="B1610" s="343"/>
      <c r="C1610" s="49"/>
      <c r="D1610" s="49"/>
      <c r="E1610" s="47"/>
      <c r="F1610" s="47"/>
      <c r="G1610" s="47"/>
      <c r="H1610" s="33" t="str">
        <f t="shared" si="1"/>
        <v/>
      </c>
      <c r="I1610" s="47"/>
      <c r="J1610" s="47"/>
      <c r="K1610" s="47"/>
      <c r="L1610" s="38"/>
      <c r="M1610" s="47"/>
      <c r="N1610" s="47"/>
      <c r="O1610" s="47"/>
      <c r="P1610" s="52"/>
      <c r="Q1610" s="139"/>
      <c r="R1610" s="55"/>
      <c r="S1610" s="47"/>
      <c r="T1610" s="47"/>
      <c r="U1610" s="55"/>
      <c r="V1610" s="37" t="str">
        <f>IFERROR(__xludf.DUMMYFUNCTION("if(not(iserror(index(split(C1610, "" ""),2))), index(split(C1610, "" ""),1),"""")"),"")</f>
        <v/>
      </c>
      <c r="W1610" s="315" t="str">
        <f>IFERROR(__xludf.DUMMYFUNCTION("if(V1610="""",C1610,if(not(iserror(index(split(C1610, "" ""),3))), index(split(C1610, "" ""),3),index(split(C1610, "" ""),2)))"),"")</f>
        <v/>
      </c>
      <c r="X1610" s="38" t="b">
        <f t="shared" si="2"/>
        <v>0</v>
      </c>
      <c r="Y1610" s="38"/>
      <c r="Z1610" s="40"/>
      <c r="AA1610" s="40"/>
      <c r="AB1610" s="38"/>
      <c r="AC1610" s="38"/>
      <c r="AD1610" s="38"/>
      <c r="AE1610" s="38"/>
      <c r="AF1610" s="38"/>
      <c r="AG1610" s="38"/>
      <c r="AH1610" s="38"/>
      <c r="AI1610" s="38"/>
      <c r="AJ1610" s="38"/>
      <c r="AK1610" s="38"/>
      <c r="AL1610" s="38"/>
      <c r="AM1610" s="38"/>
      <c r="AN1610" s="38"/>
      <c r="AO1610" s="38"/>
      <c r="AP1610" s="38"/>
      <c r="AQ1610" s="38"/>
      <c r="AR1610" s="38"/>
      <c r="AS1610" s="38"/>
      <c r="AT1610" s="38"/>
      <c r="AU1610" s="38"/>
      <c r="AV1610" s="38"/>
      <c r="AW1610" s="38"/>
      <c r="AX1610" s="38"/>
      <c r="AY1610" s="38"/>
      <c r="AZ1610" s="38"/>
      <c r="BA1610" s="38"/>
      <c r="BB1610" s="38"/>
      <c r="BC1610" s="38"/>
      <c r="BD1610" s="38"/>
      <c r="BE1610" s="38"/>
      <c r="BF1610" s="38"/>
      <c r="BG1610" s="38"/>
    </row>
    <row r="1611">
      <c r="A1611" s="47"/>
      <c r="B1611" s="343"/>
      <c r="C1611" s="49"/>
      <c r="D1611" s="49"/>
      <c r="E1611" s="47"/>
      <c r="F1611" s="47"/>
      <c r="G1611" s="47"/>
      <c r="H1611" s="33" t="str">
        <f t="shared" si="1"/>
        <v/>
      </c>
      <c r="I1611" s="47"/>
      <c r="J1611" s="47"/>
      <c r="K1611" s="47"/>
      <c r="L1611" s="38"/>
      <c r="M1611" s="47"/>
      <c r="N1611" s="47"/>
      <c r="O1611" s="47"/>
      <c r="P1611" s="52"/>
      <c r="Q1611" s="139"/>
      <c r="R1611" s="55"/>
      <c r="S1611" s="47"/>
      <c r="T1611" s="224"/>
      <c r="U1611" s="55"/>
      <c r="V1611" s="37" t="str">
        <f>IFERROR(__xludf.DUMMYFUNCTION("if(not(iserror(index(split(C1611, "" ""),2))), index(split(C1611, "" ""),1),"""")"),"")</f>
        <v/>
      </c>
      <c r="W1611" s="315" t="str">
        <f>IFERROR(__xludf.DUMMYFUNCTION("if(V1611="""",C1611,if(not(iserror(index(split(C1611, "" ""),3))), index(split(C1611, "" ""),3),index(split(C1611, "" ""),2)))"),"")</f>
        <v/>
      </c>
      <c r="X1611" s="38" t="b">
        <f t="shared" si="2"/>
        <v>0</v>
      </c>
      <c r="Y1611" s="38"/>
      <c r="Z1611" s="40"/>
      <c r="AA1611" s="40"/>
      <c r="AB1611" s="38"/>
      <c r="AC1611" s="38"/>
      <c r="AD1611" s="38"/>
      <c r="AE1611" s="38"/>
      <c r="AF1611" s="38"/>
      <c r="AG1611" s="38"/>
      <c r="AH1611" s="38"/>
      <c r="AI1611" s="38"/>
      <c r="AJ1611" s="38"/>
      <c r="AK1611" s="38"/>
      <c r="AL1611" s="38"/>
      <c r="AM1611" s="38"/>
      <c r="AN1611" s="38"/>
      <c r="AO1611" s="38"/>
      <c r="AP1611" s="38"/>
      <c r="AQ1611" s="38"/>
      <c r="AR1611" s="38"/>
      <c r="AS1611" s="38"/>
      <c r="AT1611" s="38"/>
      <c r="AU1611" s="38"/>
      <c r="AV1611" s="38"/>
      <c r="AW1611" s="38"/>
      <c r="AX1611" s="38"/>
      <c r="AY1611" s="38"/>
      <c r="AZ1611" s="38"/>
      <c r="BA1611" s="38"/>
      <c r="BB1611" s="38"/>
      <c r="BC1611" s="38"/>
      <c r="BD1611" s="38"/>
      <c r="BE1611" s="38"/>
      <c r="BF1611" s="38"/>
      <c r="BG1611" s="38"/>
    </row>
    <row r="1612">
      <c r="A1612" s="47"/>
      <c r="B1612" s="343"/>
      <c r="C1612" s="49"/>
      <c r="D1612" s="49"/>
      <c r="E1612" s="47"/>
      <c r="F1612" s="47"/>
      <c r="G1612" s="47"/>
      <c r="H1612" s="33" t="str">
        <f t="shared" si="1"/>
        <v/>
      </c>
      <c r="I1612" s="47"/>
      <c r="J1612" s="47"/>
      <c r="K1612" s="47"/>
      <c r="L1612" s="38"/>
      <c r="M1612" s="47"/>
      <c r="N1612" s="47"/>
      <c r="O1612" s="47"/>
      <c r="P1612" s="52"/>
      <c r="Q1612" s="80"/>
      <c r="R1612" s="55"/>
      <c r="S1612" s="47"/>
      <c r="T1612" s="224"/>
      <c r="U1612" s="55"/>
      <c r="V1612" s="37" t="str">
        <f>IFERROR(__xludf.DUMMYFUNCTION("if(not(iserror(index(split(C1612, "" ""),2))), index(split(C1612, "" ""),1),"""")"),"")</f>
        <v/>
      </c>
      <c r="W1612" s="315" t="str">
        <f>IFERROR(__xludf.DUMMYFUNCTION("if(V1612="""",C1612,if(not(iserror(index(split(C1612, "" ""),3))), index(split(C1612, "" ""),3),index(split(C1612, "" ""),2)))"),"")</f>
        <v/>
      </c>
      <c r="X1612" s="38" t="b">
        <f t="shared" si="2"/>
        <v>0</v>
      </c>
      <c r="Y1612" s="38"/>
      <c r="Z1612" s="40"/>
      <c r="AA1612" s="40"/>
      <c r="AB1612" s="38"/>
      <c r="AC1612" s="38"/>
      <c r="AD1612" s="38"/>
      <c r="AE1612" s="38"/>
      <c r="AF1612" s="38"/>
      <c r="AG1612" s="38"/>
      <c r="AH1612" s="38"/>
      <c r="AI1612" s="38"/>
      <c r="AJ1612" s="38"/>
      <c r="AK1612" s="38"/>
      <c r="AL1612" s="38"/>
      <c r="AM1612" s="38"/>
      <c r="AN1612" s="38"/>
      <c r="AO1612" s="38"/>
      <c r="AP1612" s="38"/>
      <c r="AQ1612" s="38"/>
      <c r="AR1612" s="38"/>
      <c r="AS1612" s="38"/>
      <c r="AT1612" s="38"/>
      <c r="AU1612" s="38"/>
      <c r="AV1612" s="38"/>
      <c r="AW1612" s="38"/>
      <c r="AX1612" s="38"/>
      <c r="AY1612" s="38"/>
      <c r="AZ1612" s="38"/>
      <c r="BA1612" s="38"/>
      <c r="BB1612" s="38"/>
      <c r="BC1612" s="38"/>
      <c r="BD1612" s="38"/>
      <c r="BE1612" s="38"/>
      <c r="BF1612" s="38"/>
      <c r="BG1612" s="38"/>
    </row>
    <row r="1613">
      <c r="A1613" s="47"/>
      <c r="B1613" s="343"/>
      <c r="C1613" s="49"/>
      <c r="D1613" s="49"/>
      <c r="E1613" s="47"/>
      <c r="F1613" s="47"/>
      <c r="G1613" s="47"/>
      <c r="H1613" s="33" t="str">
        <f t="shared" si="1"/>
        <v/>
      </c>
      <c r="I1613" s="47"/>
      <c r="J1613" s="47"/>
      <c r="K1613" s="47"/>
      <c r="L1613" s="38"/>
      <c r="M1613" s="47"/>
      <c r="N1613" s="47"/>
      <c r="O1613" s="47"/>
      <c r="P1613" s="52"/>
      <c r="Q1613" s="52"/>
      <c r="R1613" s="55"/>
      <c r="S1613" s="47"/>
      <c r="T1613" s="47"/>
      <c r="U1613" s="55"/>
      <c r="V1613" s="37" t="str">
        <f>IFERROR(__xludf.DUMMYFUNCTION("if(not(iserror(index(split(C1613, "" ""),2))), index(split(C1613, "" ""),1),"""")"),"")</f>
        <v/>
      </c>
      <c r="W1613" s="315" t="str">
        <f>IFERROR(__xludf.DUMMYFUNCTION("if(V1613="""",C1613,if(not(iserror(index(split(C1613, "" ""),3))), index(split(C1613, "" ""),3),index(split(C1613, "" ""),2)))"),"")</f>
        <v/>
      </c>
      <c r="X1613" s="38" t="b">
        <f t="shared" si="2"/>
        <v>0</v>
      </c>
      <c r="Y1613" s="38"/>
      <c r="Z1613" s="40"/>
      <c r="AA1613" s="40"/>
      <c r="AB1613" s="38"/>
      <c r="AC1613" s="38"/>
      <c r="AD1613" s="38"/>
      <c r="AE1613" s="38"/>
      <c r="AF1613" s="38"/>
      <c r="AG1613" s="38"/>
      <c r="AH1613" s="38"/>
      <c r="AI1613" s="38"/>
      <c r="AJ1613" s="38"/>
      <c r="AK1613" s="38"/>
      <c r="AL1613" s="38"/>
      <c r="AM1613" s="38"/>
      <c r="AN1613" s="38"/>
      <c r="AO1613" s="38"/>
      <c r="AP1613" s="38"/>
      <c r="AQ1613" s="38"/>
      <c r="AR1613" s="38"/>
      <c r="AS1613" s="38"/>
      <c r="AT1613" s="38"/>
      <c r="AU1613" s="38"/>
      <c r="AV1613" s="38"/>
      <c r="AW1613" s="38"/>
      <c r="AX1613" s="38"/>
      <c r="AY1613" s="38"/>
      <c r="AZ1613" s="38"/>
      <c r="BA1613" s="38"/>
      <c r="BB1613" s="38"/>
      <c r="BC1613" s="38"/>
      <c r="BD1613" s="38"/>
      <c r="BE1613" s="38"/>
      <c r="BF1613" s="38"/>
      <c r="BG1613" s="38"/>
    </row>
    <row r="1614">
      <c r="A1614" s="47"/>
      <c r="B1614" s="343"/>
      <c r="C1614" s="49"/>
      <c r="D1614" s="49"/>
      <c r="E1614" s="47"/>
      <c r="F1614" s="47"/>
      <c r="G1614" s="47"/>
      <c r="H1614" s="33" t="str">
        <f t="shared" si="1"/>
        <v/>
      </c>
      <c r="I1614" s="47"/>
      <c r="J1614" s="47"/>
      <c r="K1614" s="47"/>
      <c r="L1614" s="38"/>
      <c r="M1614" s="47"/>
      <c r="N1614" s="47"/>
      <c r="O1614" s="47"/>
      <c r="P1614" s="52"/>
      <c r="Q1614" s="52"/>
      <c r="R1614" s="55"/>
      <c r="S1614" s="47"/>
      <c r="T1614" s="47"/>
      <c r="U1614" s="55"/>
      <c r="V1614" s="37" t="str">
        <f>IFERROR(__xludf.DUMMYFUNCTION("if(not(iserror(index(split(C1614, "" ""),2))), index(split(C1614, "" ""),1),"""")"),"")</f>
        <v/>
      </c>
      <c r="W1614" s="315" t="str">
        <f>IFERROR(__xludf.DUMMYFUNCTION("if(V1614="""",C1614,if(not(iserror(index(split(C1614, "" ""),3))), index(split(C1614, "" ""),3),index(split(C1614, "" ""),2)))"),"")</f>
        <v/>
      </c>
      <c r="X1614" s="38" t="b">
        <f t="shared" si="2"/>
        <v>0</v>
      </c>
      <c r="Y1614" s="38"/>
      <c r="Z1614" s="40"/>
      <c r="AA1614" s="40"/>
      <c r="AB1614" s="38"/>
      <c r="AC1614" s="38"/>
      <c r="AD1614" s="38"/>
      <c r="AE1614" s="38"/>
      <c r="AF1614" s="38"/>
      <c r="AG1614" s="38"/>
      <c r="AH1614" s="38"/>
      <c r="AI1614" s="38"/>
      <c r="AJ1614" s="38"/>
      <c r="AK1614" s="38"/>
      <c r="AL1614" s="38"/>
      <c r="AM1614" s="38"/>
      <c r="AN1614" s="38"/>
      <c r="AO1614" s="38"/>
      <c r="AP1614" s="38"/>
      <c r="AQ1614" s="38"/>
      <c r="AR1614" s="38"/>
      <c r="AS1614" s="38"/>
      <c r="AT1614" s="38"/>
      <c r="AU1614" s="38"/>
      <c r="AV1614" s="38"/>
      <c r="AW1614" s="38"/>
      <c r="AX1614" s="38"/>
      <c r="AY1614" s="38"/>
      <c r="AZ1614" s="38"/>
      <c r="BA1614" s="38"/>
      <c r="BB1614" s="38"/>
      <c r="BC1614" s="38"/>
      <c r="BD1614" s="38"/>
      <c r="BE1614" s="38"/>
      <c r="BF1614" s="38"/>
      <c r="BG1614" s="38"/>
    </row>
    <row r="1615">
      <c r="A1615" s="47"/>
      <c r="B1615" s="343"/>
      <c r="C1615" s="49"/>
      <c r="D1615" s="49"/>
      <c r="E1615" s="47"/>
      <c r="F1615" s="47"/>
      <c r="G1615" s="47"/>
      <c r="H1615" s="33" t="str">
        <f t="shared" si="1"/>
        <v/>
      </c>
      <c r="I1615" s="47"/>
      <c r="J1615" s="47"/>
      <c r="K1615" s="47"/>
      <c r="L1615" s="38"/>
      <c r="M1615" s="47"/>
      <c r="N1615" s="47"/>
      <c r="O1615" s="47"/>
      <c r="P1615" s="52"/>
      <c r="Q1615" s="52"/>
      <c r="R1615" s="55"/>
      <c r="S1615" s="47"/>
      <c r="T1615" s="47"/>
      <c r="U1615" s="55"/>
      <c r="V1615" s="37" t="str">
        <f>IFERROR(__xludf.DUMMYFUNCTION("if(not(iserror(index(split(C1615, "" ""),2))), index(split(C1615, "" ""),1),"""")"),"")</f>
        <v/>
      </c>
      <c r="W1615" s="315" t="str">
        <f>IFERROR(__xludf.DUMMYFUNCTION("if(V1615="""",C1615,if(not(iserror(index(split(C1615, "" ""),3))), index(split(C1615, "" ""),3),index(split(C1615, "" ""),2)))"),"")</f>
        <v/>
      </c>
      <c r="X1615" s="38" t="b">
        <f t="shared" si="2"/>
        <v>0</v>
      </c>
      <c r="Y1615" s="38"/>
      <c r="Z1615" s="40"/>
      <c r="AA1615" s="40"/>
      <c r="AB1615" s="38"/>
      <c r="AC1615" s="38"/>
      <c r="AD1615" s="38"/>
      <c r="AE1615" s="38"/>
      <c r="AF1615" s="38"/>
      <c r="AG1615" s="38"/>
      <c r="AH1615" s="38"/>
      <c r="AI1615" s="38"/>
      <c r="AJ1615" s="38"/>
      <c r="AK1615" s="38"/>
      <c r="AL1615" s="38"/>
      <c r="AM1615" s="38"/>
      <c r="AN1615" s="38"/>
      <c r="AO1615" s="38"/>
      <c r="AP1615" s="38"/>
      <c r="AQ1615" s="38"/>
      <c r="AR1615" s="38"/>
      <c r="AS1615" s="38"/>
      <c r="AT1615" s="38"/>
      <c r="AU1615" s="38"/>
      <c r="AV1615" s="38"/>
      <c r="AW1615" s="38"/>
      <c r="AX1615" s="38"/>
      <c r="AY1615" s="38"/>
      <c r="AZ1615" s="38"/>
      <c r="BA1615" s="38"/>
      <c r="BB1615" s="38"/>
      <c r="BC1615" s="38"/>
      <c r="BD1615" s="38"/>
      <c r="BE1615" s="38"/>
      <c r="BF1615" s="38"/>
      <c r="BG1615" s="38"/>
    </row>
    <row r="1616">
      <c r="A1616" s="47"/>
      <c r="B1616" s="343"/>
      <c r="C1616" s="49"/>
      <c r="D1616" s="49"/>
      <c r="E1616" s="47"/>
      <c r="F1616" s="47"/>
      <c r="G1616" s="47"/>
      <c r="H1616" s="33" t="str">
        <f t="shared" si="1"/>
        <v/>
      </c>
      <c r="I1616" s="47"/>
      <c r="J1616" s="47"/>
      <c r="K1616" s="47"/>
      <c r="L1616" s="38"/>
      <c r="M1616" s="47"/>
      <c r="N1616" s="47"/>
      <c r="O1616" s="47"/>
      <c r="P1616" s="52"/>
      <c r="Q1616" s="52"/>
      <c r="R1616" s="55"/>
      <c r="S1616" s="47"/>
      <c r="T1616" s="47"/>
      <c r="U1616" s="55"/>
      <c r="V1616" s="37" t="str">
        <f>IFERROR(__xludf.DUMMYFUNCTION("if(not(iserror(index(split(C1616, "" ""),2))), index(split(C1616, "" ""),1),"""")"),"")</f>
        <v/>
      </c>
      <c r="W1616" s="315" t="str">
        <f>IFERROR(__xludf.DUMMYFUNCTION("if(V1616="""",C1616,if(not(iserror(index(split(C1616, "" ""),3))), index(split(C1616, "" ""),3),index(split(C1616, "" ""),2)))"),"")</f>
        <v/>
      </c>
      <c r="X1616" s="38" t="b">
        <f t="shared" si="2"/>
        <v>0</v>
      </c>
      <c r="Y1616" s="38"/>
      <c r="Z1616" s="40"/>
      <c r="AA1616" s="40"/>
      <c r="AB1616" s="38"/>
      <c r="AC1616" s="38"/>
      <c r="AD1616" s="38"/>
      <c r="AE1616" s="38"/>
      <c r="AF1616" s="38"/>
      <c r="AG1616" s="38"/>
      <c r="AH1616" s="38"/>
      <c r="AI1616" s="38"/>
      <c r="AJ1616" s="38"/>
      <c r="AK1616" s="38"/>
      <c r="AL1616" s="38"/>
      <c r="AM1616" s="38"/>
      <c r="AN1616" s="38"/>
      <c r="AO1616" s="38"/>
      <c r="AP1616" s="38"/>
      <c r="AQ1616" s="38"/>
      <c r="AR1616" s="38"/>
      <c r="AS1616" s="38"/>
      <c r="AT1616" s="38"/>
      <c r="AU1616" s="38"/>
      <c r="AV1616" s="38"/>
      <c r="AW1616" s="38"/>
      <c r="AX1616" s="38"/>
      <c r="AY1616" s="38"/>
      <c r="AZ1616" s="38"/>
      <c r="BA1616" s="38"/>
      <c r="BB1616" s="38"/>
      <c r="BC1616" s="38"/>
      <c r="BD1616" s="38"/>
      <c r="BE1616" s="38"/>
      <c r="BF1616" s="38"/>
      <c r="BG1616" s="38"/>
    </row>
    <row r="1617">
      <c r="A1617" s="47"/>
      <c r="B1617" s="343"/>
      <c r="C1617" s="49"/>
      <c r="D1617" s="49"/>
      <c r="E1617" s="47"/>
      <c r="F1617" s="47"/>
      <c r="G1617" s="47"/>
      <c r="H1617" s="33" t="str">
        <f t="shared" si="1"/>
        <v/>
      </c>
      <c r="I1617" s="47"/>
      <c r="J1617" s="47"/>
      <c r="K1617" s="47"/>
      <c r="L1617" s="38"/>
      <c r="M1617" s="47"/>
      <c r="N1617" s="47"/>
      <c r="O1617" s="47"/>
      <c r="P1617" s="52"/>
      <c r="Q1617" s="52"/>
      <c r="R1617" s="55"/>
      <c r="S1617" s="47"/>
      <c r="T1617" s="47"/>
      <c r="U1617" s="55"/>
      <c r="V1617" s="37" t="str">
        <f>IFERROR(__xludf.DUMMYFUNCTION("if(not(iserror(index(split(C1617, "" ""),2))), index(split(C1617, "" ""),1),"""")"),"")</f>
        <v/>
      </c>
      <c r="W1617" s="315" t="str">
        <f>IFERROR(__xludf.DUMMYFUNCTION("if(V1617="""",C1617,if(not(iserror(index(split(C1617, "" ""),3))), index(split(C1617, "" ""),3),index(split(C1617, "" ""),2)))"),"")</f>
        <v/>
      </c>
      <c r="X1617" s="38" t="b">
        <f t="shared" si="2"/>
        <v>0</v>
      </c>
      <c r="Y1617" s="38"/>
      <c r="Z1617" s="40"/>
      <c r="AA1617" s="40"/>
      <c r="AB1617" s="38"/>
      <c r="AC1617" s="38"/>
      <c r="AD1617" s="38"/>
      <c r="AE1617" s="38"/>
      <c r="AF1617" s="38"/>
      <c r="AG1617" s="38"/>
      <c r="AH1617" s="38"/>
      <c r="AI1617" s="38"/>
      <c r="AJ1617" s="38"/>
      <c r="AK1617" s="38"/>
      <c r="AL1617" s="38"/>
      <c r="AM1617" s="38"/>
      <c r="AN1617" s="38"/>
      <c r="AO1617" s="38"/>
      <c r="AP1617" s="38"/>
      <c r="AQ1617" s="38"/>
      <c r="AR1617" s="38"/>
      <c r="AS1617" s="38"/>
      <c r="AT1617" s="38"/>
      <c r="AU1617" s="38"/>
      <c r="AV1617" s="38"/>
      <c r="AW1617" s="38"/>
      <c r="AX1617" s="38"/>
      <c r="AY1617" s="38"/>
      <c r="AZ1617" s="38"/>
      <c r="BA1617" s="38"/>
      <c r="BB1617" s="38"/>
      <c r="BC1617" s="38"/>
      <c r="BD1617" s="38"/>
      <c r="BE1617" s="38"/>
      <c r="BF1617" s="38"/>
      <c r="BG1617" s="38"/>
    </row>
    <row r="1618">
      <c r="A1618" s="47"/>
      <c r="B1618" s="343"/>
      <c r="C1618" s="49"/>
      <c r="D1618" s="49"/>
      <c r="E1618" s="47"/>
      <c r="F1618" s="47"/>
      <c r="G1618" s="47"/>
      <c r="H1618" s="33" t="str">
        <f t="shared" si="1"/>
        <v/>
      </c>
      <c r="I1618" s="47"/>
      <c r="J1618" s="47"/>
      <c r="K1618" s="47"/>
      <c r="L1618" s="38"/>
      <c r="M1618" s="47"/>
      <c r="N1618" s="47"/>
      <c r="O1618" s="47"/>
      <c r="P1618" s="52"/>
      <c r="Q1618" s="52"/>
      <c r="R1618" s="55"/>
      <c r="S1618" s="47"/>
      <c r="T1618" s="47"/>
      <c r="U1618" s="55"/>
      <c r="V1618" s="37" t="str">
        <f>IFERROR(__xludf.DUMMYFUNCTION("if(not(iserror(index(split(C1618, "" ""),2))), index(split(C1618, "" ""),1),"""")"),"")</f>
        <v/>
      </c>
      <c r="W1618" s="315" t="str">
        <f>IFERROR(__xludf.DUMMYFUNCTION("if(V1618="""",C1618,if(not(iserror(index(split(C1618, "" ""),3))), index(split(C1618, "" ""),3),index(split(C1618, "" ""),2)))"),"")</f>
        <v/>
      </c>
      <c r="X1618" s="38" t="b">
        <f t="shared" si="2"/>
        <v>0</v>
      </c>
      <c r="Y1618" s="38"/>
      <c r="Z1618" s="40"/>
      <c r="AA1618" s="40"/>
      <c r="AB1618" s="38"/>
      <c r="AC1618" s="38"/>
      <c r="AD1618" s="38"/>
      <c r="AE1618" s="38"/>
      <c r="AF1618" s="38"/>
      <c r="AG1618" s="38"/>
      <c r="AH1618" s="38"/>
      <c r="AI1618" s="38"/>
      <c r="AJ1618" s="38"/>
      <c r="AK1618" s="38"/>
      <c r="AL1618" s="38"/>
      <c r="AM1618" s="38"/>
      <c r="AN1618" s="38"/>
      <c r="AO1618" s="38"/>
      <c r="AP1618" s="38"/>
      <c r="AQ1618" s="38"/>
      <c r="AR1618" s="38"/>
      <c r="AS1618" s="38"/>
      <c r="AT1618" s="38"/>
      <c r="AU1618" s="38"/>
      <c r="AV1618" s="38"/>
      <c r="AW1618" s="38"/>
      <c r="AX1618" s="38"/>
      <c r="AY1618" s="38"/>
      <c r="AZ1618" s="38"/>
      <c r="BA1618" s="38"/>
      <c r="BB1618" s="38"/>
      <c r="BC1618" s="38"/>
      <c r="BD1618" s="38"/>
      <c r="BE1618" s="38"/>
      <c r="BF1618" s="38"/>
      <c r="BG1618" s="38"/>
    </row>
    <row r="1619">
      <c r="A1619" s="47"/>
      <c r="B1619" s="343"/>
      <c r="C1619" s="49"/>
      <c r="D1619" s="49"/>
      <c r="E1619" s="47"/>
      <c r="F1619" s="47"/>
      <c r="G1619" s="47"/>
      <c r="H1619" s="33" t="str">
        <f t="shared" si="1"/>
        <v/>
      </c>
      <c r="I1619" s="47"/>
      <c r="J1619" s="47"/>
      <c r="K1619" s="47"/>
      <c r="L1619" s="38"/>
      <c r="M1619" s="47"/>
      <c r="N1619" s="47"/>
      <c r="O1619" s="47"/>
      <c r="P1619" s="52"/>
      <c r="Q1619" s="52"/>
      <c r="R1619" s="55"/>
      <c r="S1619" s="47"/>
      <c r="T1619" s="47"/>
      <c r="U1619" s="55"/>
      <c r="V1619" s="37" t="str">
        <f>IFERROR(__xludf.DUMMYFUNCTION("if(not(iserror(index(split(C1619, "" ""),2))), index(split(C1619, "" ""),1),"""")"),"")</f>
        <v/>
      </c>
      <c r="W1619" s="315" t="str">
        <f>IFERROR(__xludf.DUMMYFUNCTION("if(V1619="""",C1619,if(not(iserror(index(split(C1619, "" ""),3))), index(split(C1619, "" ""),3),index(split(C1619, "" ""),2)))"),"")</f>
        <v/>
      </c>
      <c r="X1619" s="38" t="b">
        <f t="shared" si="2"/>
        <v>0</v>
      </c>
      <c r="Y1619" s="38"/>
      <c r="Z1619" s="40"/>
      <c r="AA1619" s="40"/>
      <c r="AB1619" s="38"/>
      <c r="AC1619" s="38"/>
      <c r="AD1619" s="38"/>
      <c r="AE1619" s="38"/>
      <c r="AF1619" s="38"/>
      <c r="AG1619" s="38"/>
      <c r="AH1619" s="38"/>
      <c r="AI1619" s="38"/>
      <c r="AJ1619" s="38"/>
      <c r="AK1619" s="38"/>
      <c r="AL1619" s="38"/>
      <c r="AM1619" s="38"/>
      <c r="AN1619" s="38"/>
      <c r="AO1619" s="38"/>
      <c r="AP1619" s="38"/>
      <c r="AQ1619" s="38"/>
      <c r="AR1619" s="38"/>
      <c r="AS1619" s="38"/>
      <c r="AT1619" s="38"/>
      <c r="AU1619" s="38"/>
      <c r="AV1619" s="38"/>
      <c r="AW1619" s="38"/>
      <c r="AX1619" s="38"/>
      <c r="AY1619" s="38"/>
      <c r="AZ1619" s="38"/>
      <c r="BA1619" s="38"/>
      <c r="BB1619" s="38"/>
      <c r="BC1619" s="38"/>
      <c r="BD1619" s="38"/>
      <c r="BE1619" s="38"/>
      <c r="BF1619" s="38"/>
      <c r="BG1619" s="38"/>
    </row>
    <row r="1620">
      <c r="A1620" s="47"/>
      <c r="B1620" s="343"/>
      <c r="C1620" s="49"/>
      <c r="D1620" s="49"/>
      <c r="E1620" s="47"/>
      <c r="F1620" s="47"/>
      <c r="G1620" s="47"/>
      <c r="H1620" s="33" t="str">
        <f t="shared" si="1"/>
        <v/>
      </c>
      <c r="I1620" s="47"/>
      <c r="J1620" s="47"/>
      <c r="K1620" s="47"/>
      <c r="L1620" s="38"/>
      <c r="M1620" s="47"/>
      <c r="N1620" s="47"/>
      <c r="O1620" s="47"/>
      <c r="P1620" s="52"/>
      <c r="Q1620" s="52"/>
      <c r="R1620" s="55"/>
      <c r="S1620" s="47"/>
      <c r="T1620" s="47"/>
      <c r="U1620" s="55"/>
      <c r="V1620" s="37" t="str">
        <f>IFERROR(__xludf.DUMMYFUNCTION("if(not(iserror(index(split(C1620, "" ""),2))), index(split(C1620, "" ""),1),"""")"),"")</f>
        <v/>
      </c>
      <c r="W1620" s="315" t="str">
        <f>IFERROR(__xludf.DUMMYFUNCTION("if(V1620="""",C1620,if(not(iserror(index(split(C1620, "" ""),3))), index(split(C1620, "" ""),3),index(split(C1620, "" ""),2)))"),"")</f>
        <v/>
      </c>
      <c r="X1620" s="38" t="b">
        <f t="shared" si="2"/>
        <v>0</v>
      </c>
      <c r="Y1620" s="38"/>
      <c r="Z1620" s="40"/>
      <c r="AA1620" s="40"/>
      <c r="AB1620" s="38"/>
      <c r="AC1620" s="38"/>
      <c r="AD1620" s="38"/>
      <c r="AE1620" s="38"/>
      <c r="AF1620" s="38"/>
      <c r="AG1620" s="38"/>
      <c r="AH1620" s="38"/>
      <c r="AI1620" s="38"/>
      <c r="AJ1620" s="38"/>
      <c r="AK1620" s="38"/>
      <c r="AL1620" s="38"/>
      <c r="AM1620" s="38"/>
      <c r="AN1620" s="38"/>
      <c r="AO1620" s="38"/>
      <c r="AP1620" s="38"/>
      <c r="AQ1620" s="38"/>
      <c r="AR1620" s="38"/>
      <c r="AS1620" s="38"/>
      <c r="AT1620" s="38"/>
      <c r="AU1620" s="38"/>
      <c r="AV1620" s="38"/>
      <c r="AW1620" s="38"/>
      <c r="AX1620" s="38"/>
      <c r="AY1620" s="38"/>
      <c r="AZ1620" s="38"/>
      <c r="BA1620" s="38"/>
      <c r="BB1620" s="38"/>
      <c r="BC1620" s="38"/>
      <c r="BD1620" s="38"/>
      <c r="BE1620" s="38"/>
      <c r="BF1620" s="38"/>
      <c r="BG1620" s="38"/>
    </row>
    <row r="1621">
      <c r="A1621" s="47"/>
      <c r="B1621" s="343"/>
      <c r="C1621" s="49"/>
      <c r="D1621" s="49"/>
      <c r="E1621" s="47"/>
      <c r="F1621" s="47"/>
      <c r="G1621" s="47"/>
      <c r="H1621" s="33" t="str">
        <f t="shared" si="1"/>
        <v/>
      </c>
      <c r="I1621" s="47"/>
      <c r="J1621" s="47"/>
      <c r="K1621" s="47"/>
      <c r="L1621" s="38"/>
      <c r="M1621" s="47"/>
      <c r="N1621" s="47"/>
      <c r="O1621" s="47"/>
      <c r="P1621" s="52"/>
      <c r="Q1621" s="52"/>
      <c r="R1621" s="55"/>
      <c r="S1621" s="47"/>
      <c r="T1621" s="47"/>
      <c r="U1621" s="55"/>
      <c r="V1621" s="37" t="str">
        <f>IFERROR(__xludf.DUMMYFUNCTION("if(not(iserror(index(split(C1621, "" ""),2))), index(split(C1621, "" ""),1),"""")"),"")</f>
        <v/>
      </c>
      <c r="W1621" s="315" t="str">
        <f>IFERROR(__xludf.DUMMYFUNCTION("if(V1621="""",C1621,if(not(iserror(index(split(C1621, "" ""),3))), index(split(C1621, "" ""),3),index(split(C1621, "" ""),2)))"),"")</f>
        <v/>
      </c>
      <c r="X1621" s="38" t="b">
        <f t="shared" si="2"/>
        <v>0</v>
      </c>
      <c r="Y1621" s="38"/>
      <c r="Z1621" s="40"/>
      <c r="AA1621" s="40"/>
      <c r="AB1621" s="38"/>
      <c r="AC1621" s="38"/>
      <c r="AD1621" s="38"/>
      <c r="AE1621" s="38"/>
      <c r="AF1621" s="38"/>
      <c r="AG1621" s="38"/>
      <c r="AH1621" s="38"/>
      <c r="AI1621" s="38"/>
      <c r="AJ1621" s="38"/>
      <c r="AK1621" s="38"/>
      <c r="AL1621" s="38"/>
      <c r="AM1621" s="38"/>
      <c r="AN1621" s="38"/>
      <c r="AO1621" s="38"/>
      <c r="AP1621" s="38"/>
      <c r="AQ1621" s="38"/>
      <c r="AR1621" s="38"/>
      <c r="AS1621" s="38"/>
      <c r="AT1621" s="38"/>
      <c r="AU1621" s="38"/>
      <c r="AV1621" s="38"/>
      <c r="AW1621" s="38"/>
      <c r="AX1621" s="38"/>
      <c r="AY1621" s="38"/>
      <c r="AZ1621" s="38"/>
      <c r="BA1621" s="38"/>
      <c r="BB1621" s="38"/>
      <c r="BC1621" s="38"/>
      <c r="BD1621" s="38"/>
      <c r="BE1621" s="38"/>
      <c r="BF1621" s="38"/>
      <c r="BG1621" s="38"/>
    </row>
    <row r="1622">
      <c r="A1622" s="47"/>
      <c r="B1622" s="343"/>
      <c r="C1622" s="49"/>
      <c r="D1622" s="49"/>
      <c r="E1622" s="47"/>
      <c r="F1622" s="47"/>
      <c r="G1622" s="47"/>
      <c r="H1622" s="33" t="str">
        <f t="shared" si="1"/>
        <v/>
      </c>
      <c r="I1622" s="47"/>
      <c r="J1622" s="47"/>
      <c r="K1622" s="47"/>
      <c r="L1622" s="38"/>
      <c r="M1622" s="47"/>
      <c r="N1622" s="47"/>
      <c r="O1622" s="47"/>
      <c r="P1622" s="52"/>
      <c r="Q1622" s="52"/>
      <c r="R1622" s="55"/>
      <c r="S1622" s="47"/>
      <c r="T1622" s="47"/>
      <c r="U1622" s="55"/>
      <c r="V1622" s="37" t="str">
        <f>IFERROR(__xludf.DUMMYFUNCTION("if(not(iserror(index(split(C1622, "" ""),2))), index(split(C1622, "" ""),1),"""")"),"")</f>
        <v/>
      </c>
      <c r="W1622" s="315" t="str">
        <f>IFERROR(__xludf.DUMMYFUNCTION("if(V1622="""",C1622,if(not(iserror(index(split(C1622, "" ""),3))), index(split(C1622, "" ""),3),index(split(C1622, "" ""),2)))"),"")</f>
        <v/>
      </c>
      <c r="X1622" s="38" t="b">
        <f t="shared" si="2"/>
        <v>0</v>
      </c>
      <c r="Y1622" s="38"/>
      <c r="Z1622" s="40"/>
      <c r="AA1622" s="40"/>
      <c r="AB1622" s="38"/>
      <c r="AC1622" s="38"/>
      <c r="AD1622" s="38"/>
      <c r="AE1622" s="38"/>
      <c r="AF1622" s="38"/>
      <c r="AG1622" s="38"/>
      <c r="AH1622" s="38"/>
      <c r="AI1622" s="38"/>
      <c r="AJ1622" s="38"/>
      <c r="AK1622" s="38"/>
      <c r="AL1622" s="38"/>
      <c r="AM1622" s="38"/>
      <c r="AN1622" s="38"/>
      <c r="AO1622" s="38"/>
      <c r="AP1622" s="38"/>
      <c r="AQ1622" s="38"/>
      <c r="AR1622" s="38"/>
      <c r="AS1622" s="38"/>
      <c r="AT1622" s="38"/>
      <c r="AU1622" s="38"/>
      <c r="AV1622" s="38"/>
      <c r="AW1622" s="38"/>
      <c r="AX1622" s="38"/>
      <c r="AY1622" s="38"/>
      <c r="AZ1622" s="38"/>
      <c r="BA1622" s="38"/>
      <c r="BB1622" s="38"/>
      <c r="BC1622" s="38"/>
      <c r="BD1622" s="38"/>
      <c r="BE1622" s="38"/>
      <c r="BF1622" s="38"/>
      <c r="BG1622" s="38"/>
    </row>
    <row r="1623">
      <c r="A1623" s="47"/>
      <c r="B1623" s="343"/>
      <c r="C1623" s="49"/>
      <c r="D1623" s="49"/>
      <c r="E1623" s="47"/>
      <c r="F1623" s="47"/>
      <c r="G1623" s="47"/>
      <c r="H1623" s="33" t="str">
        <f t="shared" si="1"/>
        <v/>
      </c>
      <c r="I1623" s="47"/>
      <c r="J1623" s="47"/>
      <c r="K1623" s="47"/>
      <c r="L1623" s="38"/>
      <c r="M1623" s="47"/>
      <c r="N1623" s="47"/>
      <c r="O1623" s="47"/>
      <c r="P1623" s="52"/>
      <c r="Q1623" s="52"/>
      <c r="R1623" s="55"/>
      <c r="S1623" s="47"/>
      <c r="T1623" s="47"/>
      <c r="U1623" s="55"/>
      <c r="V1623" s="37" t="str">
        <f>IFERROR(__xludf.DUMMYFUNCTION("if(not(iserror(index(split(C1623, "" ""),2))), index(split(C1623, "" ""),1),"""")"),"")</f>
        <v/>
      </c>
      <c r="W1623" s="315" t="str">
        <f>IFERROR(__xludf.DUMMYFUNCTION("if(V1623="""",C1623,if(not(iserror(index(split(C1623, "" ""),3))), index(split(C1623, "" ""),3),index(split(C1623, "" ""),2)))"),"")</f>
        <v/>
      </c>
      <c r="X1623" s="38" t="b">
        <f t="shared" si="2"/>
        <v>0</v>
      </c>
      <c r="Y1623" s="38"/>
      <c r="Z1623" s="40"/>
      <c r="AA1623" s="40"/>
      <c r="AB1623" s="38"/>
      <c r="AC1623" s="38"/>
      <c r="AD1623" s="38"/>
      <c r="AE1623" s="38"/>
      <c r="AF1623" s="38"/>
      <c r="AG1623" s="38"/>
      <c r="AH1623" s="38"/>
      <c r="AI1623" s="38"/>
      <c r="AJ1623" s="38"/>
      <c r="AK1623" s="38"/>
      <c r="AL1623" s="38"/>
      <c r="AM1623" s="38"/>
      <c r="AN1623" s="38"/>
      <c r="AO1623" s="38"/>
      <c r="AP1623" s="38"/>
      <c r="AQ1623" s="38"/>
      <c r="AR1623" s="38"/>
      <c r="AS1623" s="38"/>
      <c r="AT1623" s="38"/>
      <c r="AU1623" s="38"/>
      <c r="AV1623" s="38"/>
      <c r="AW1623" s="38"/>
      <c r="AX1623" s="38"/>
      <c r="AY1623" s="38"/>
      <c r="AZ1623" s="38"/>
      <c r="BA1623" s="38"/>
      <c r="BB1623" s="38"/>
      <c r="BC1623" s="38"/>
      <c r="BD1623" s="38"/>
      <c r="BE1623" s="38"/>
      <c r="BF1623" s="38"/>
      <c r="BG1623" s="38"/>
    </row>
    <row r="1624">
      <c r="A1624" s="47"/>
      <c r="B1624" s="343"/>
      <c r="C1624" s="49"/>
      <c r="D1624" s="49"/>
      <c r="E1624" s="47"/>
      <c r="F1624" s="47"/>
      <c r="G1624" s="47"/>
      <c r="H1624" s="33" t="str">
        <f t="shared" si="1"/>
        <v/>
      </c>
      <c r="I1624" s="47"/>
      <c r="J1624" s="47"/>
      <c r="K1624" s="47"/>
      <c r="L1624" s="38"/>
      <c r="M1624" s="47"/>
      <c r="N1624" s="47"/>
      <c r="O1624" s="47"/>
      <c r="P1624" s="52"/>
      <c r="Q1624" s="52"/>
      <c r="R1624" s="55"/>
      <c r="S1624" s="47"/>
      <c r="T1624" s="47"/>
      <c r="U1624" s="55"/>
      <c r="V1624" s="37" t="str">
        <f>IFERROR(__xludf.DUMMYFUNCTION("if(not(iserror(index(split(C1624, "" ""),2))), index(split(C1624, "" ""),1),"""")"),"")</f>
        <v/>
      </c>
      <c r="W1624" s="315" t="str">
        <f>IFERROR(__xludf.DUMMYFUNCTION("if(V1624="""",C1624,if(not(iserror(index(split(C1624, "" ""),3))), index(split(C1624, "" ""),3),index(split(C1624, "" ""),2)))"),"")</f>
        <v/>
      </c>
      <c r="X1624" s="38" t="b">
        <f t="shared" si="2"/>
        <v>0</v>
      </c>
      <c r="Y1624" s="38"/>
      <c r="Z1624" s="40"/>
      <c r="AA1624" s="40"/>
      <c r="AB1624" s="38"/>
      <c r="AC1624" s="38"/>
      <c r="AD1624" s="38"/>
      <c r="AE1624" s="38"/>
      <c r="AF1624" s="38"/>
      <c r="AG1624" s="38"/>
      <c r="AH1624" s="38"/>
      <c r="AI1624" s="38"/>
      <c r="AJ1624" s="38"/>
      <c r="AK1624" s="38"/>
      <c r="AL1624" s="38"/>
      <c r="AM1624" s="38"/>
      <c r="AN1624" s="38"/>
      <c r="AO1624" s="38"/>
      <c r="AP1624" s="38"/>
      <c r="AQ1624" s="38"/>
      <c r="AR1624" s="38"/>
      <c r="AS1624" s="38"/>
      <c r="AT1624" s="38"/>
      <c r="AU1624" s="38"/>
      <c r="AV1624" s="38"/>
      <c r="AW1624" s="38"/>
      <c r="AX1624" s="38"/>
      <c r="AY1624" s="38"/>
      <c r="AZ1624" s="38"/>
      <c r="BA1624" s="38"/>
      <c r="BB1624" s="38"/>
      <c r="BC1624" s="38"/>
      <c r="BD1624" s="38"/>
      <c r="BE1624" s="38"/>
      <c r="BF1624" s="38"/>
      <c r="BG1624" s="38"/>
    </row>
    <row r="1625">
      <c r="A1625" s="16"/>
      <c r="B1625" s="318"/>
      <c r="C1625" s="146"/>
      <c r="D1625" s="146"/>
      <c r="E1625" s="16"/>
      <c r="F1625" s="318"/>
      <c r="G1625" s="319"/>
      <c r="H1625" s="33" t="str">
        <f t="shared" si="1"/>
        <v/>
      </c>
      <c r="I1625" s="16"/>
      <c r="J1625" s="16"/>
      <c r="K1625" s="16"/>
      <c r="L1625" s="38"/>
      <c r="M1625" s="16"/>
      <c r="N1625" s="16"/>
      <c r="O1625" s="16"/>
      <c r="P1625" s="15"/>
      <c r="Q1625" s="15"/>
      <c r="R1625" s="16"/>
      <c r="S1625" s="16"/>
      <c r="T1625" s="16"/>
      <c r="U1625" s="16"/>
      <c r="V1625" s="37" t="str">
        <f>IFERROR(__xludf.DUMMYFUNCTION("if(not(iserror(index(split(C1625, "" ""),2))), index(split(C1625, "" ""),1),"""")"),"")</f>
        <v/>
      </c>
      <c r="W1625" s="315" t="str">
        <f>IFERROR(__xludf.DUMMYFUNCTION("if(V1625="""",C1625,if(not(iserror(index(split(C1625, "" ""),3))), index(split(C1625, "" ""),3),index(split(C1625, "" ""),2)))"),"")</f>
        <v/>
      </c>
      <c r="X1625" s="38" t="b">
        <f t="shared" si="2"/>
        <v>0</v>
      </c>
      <c r="Y1625" s="38"/>
      <c r="Z1625" s="40"/>
      <c r="AA1625" s="40"/>
      <c r="AB1625" s="38"/>
      <c r="AC1625" s="38"/>
      <c r="AD1625" s="38"/>
      <c r="AE1625" s="38"/>
      <c r="AF1625" s="38"/>
      <c r="AG1625" s="38"/>
      <c r="AH1625" s="38"/>
      <c r="AI1625" s="38"/>
      <c r="AJ1625" s="38"/>
      <c r="AK1625" s="38"/>
      <c r="AL1625" s="38"/>
      <c r="AM1625" s="38"/>
      <c r="AN1625" s="38"/>
      <c r="AO1625" s="38"/>
      <c r="AP1625" s="38"/>
      <c r="AQ1625" s="38"/>
      <c r="AR1625" s="38"/>
      <c r="AS1625" s="38"/>
      <c r="AT1625" s="38"/>
      <c r="AU1625" s="38"/>
      <c r="AV1625" s="38"/>
      <c r="AW1625" s="38"/>
      <c r="AX1625" s="38"/>
      <c r="AY1625" s="38"/>
      <c r="AZ1625" s="38"/>
      <c r="BA1625" s="38"/>
      <c r="BB1625" s="38"/>
      <c r="BC1625" s="38"/>
      <c r="BD1625" s="38"/>
      <c r="BE1625" s="38"/>
      <c r="BF1625" s="38"/>
      <c r="BG1625" s="38"/>
    </row>
    <row r="1626">
      <c r="A1626" s="16"/>
      <c r="B1626" s="380"/>
      <c r="C1626" s="146"/>
      <c r="D1626" s="146"/>
      <c r="E1626" s="16"/>
      <c r="F1626" s="91"/>
      <c r="G1626" s="16"/>
      <c r="H1626" s="320" t="str">
        <f t="shared" si="1"/>
        <v/>
      </c>
      <c r="I1626" s="16"/>
      <c r="J1626" s="16"/>
      <c r="K1626" s="16"/>
      <c r="L1626" s="38"/>
      <c r="M1626" s="16"/>
      <c r="N1626" s="16"/>
      <c r="O1626" s="16"/>
      <c r="P1626" s="15"/>
      <c r="Q1626" s="15"/>
      <c r="R1626" s="16"/>
      <c r="S1626" s="16"/>
      <c r="T1626" s="16"/>
      <c r="U1626" s="16"/>
      <c r="V1626" s="37" t="str">
        <f>IFERROR(__xludf.DUMMYFUNCTION("if(not(iserror(index(split(C1626, "" ""),2))), index(split(C1626, "" ""),1),"""")"),"")</f>
        <v/>
      </c>
      <c r="W1626" s="315" t="str">
        <f>IFERROR(__xludf.DUMMYFUNCTION("if(V1626="""",C1626,if(not(iserror(index(split(C1626, "" ""),3))), index(split(C1626, "" ""),3),index(split(C1626, "" ""),2)))"),"")</f>
        <v/>
      </c>
      <c r="X1626" s="38" t="b">
        <f t="shared" si="2"/>
        <v>0</v>
      </c>
      <c r="Y1626" s="38"/>
      <c r="Z1626" s="40"/>
      <c r="AA1626" s="40"/>
      <c r="AB1626" s="38"/>
      <c r="AC1626" s="38"/>
      <c r="AD1626" s="38"/>
      <c r="AE1626" s="38"/>
      <c r="AF1626" s="38"/>
      <c r="AG1626" s="38"/>
      <c r="AH1626" s="38"/>
      <c r="AI1626" s="38"/>
      <c r="AJ1626" s="38"/>
      <c r="AK1626" s="38"/>
      <c r="AL1626" s="38"/>
      <c r="AM1626" s="38"/>
      <c r="AN1626" s="38"/>
      <c r="AO1626" s="38"/>
      <c r="AP1626" s="38"/>
      <c r="AQ1626" s="38"/>
      <c r="AR1626" s="38"/>
      <c r="AS1626" s="38"/>
      <c r="AT1626" s="38"/>
      <c r="AU1626" s="38"/>
      <c r="AV1626" s="38"/>
      <c r="AW1626" s="38"/>
      <c r="AX1626" s="38"/>
      <c r="AY1626" s="38"/>
      <c r="AZ1626" s="38"/>
      <c r="BA1626" s="38"/>
      <c r="BB1626" s="38"/>
      <c r="BC1626" s="38"/>
      <c r="BD1626" s="38"/>
      <c r="BE1626" s="38"/>
      <c r="BF1626" s="38"/>
      <c r="BG1626" s="38"/>
    </row>
    <row r="1627">
      <c r="A1627" s="16"/>
      <c r="B1627" s="380"/>
      <c r="C1627" s="146"/>
      <c r="D1627" s="146"/>
      <c r="E1627" s="16"/>
      <c r="F1627" s="91"/>
      <c r="G1627" s="16"/>
      <c r="H1627" s="320" t="str">
        <f t="shared" si="1"/>
        <v/>
      </c>
      <c r="I1627" s="16"/>
      <c r="J1627" s="16"/>
      <c r="K1627" s="16"/>
      <c r="L1627" s="38"/>
      <c r="M1627" s="16"/>
      <c r="N1627" s="16"/>
      <c r="O1627" s="16"/>
      <c r="P1627" s="15"/>
      <c r="Q1627" s="15"/>
      <c r="R1627" s="16"/>
      <c r="S1627" s="16"/>
      <c r="T1627" s="16"/>
      <c r="U1627" s="16"/>
      <c r="V1627" s="37" t="str">
        <f>IFERROR(__xludf.DUMMYFUNCTION("if(not(iserror(index(split(C1627, "" ""),2))), index(split(C1627, "" ""),1),"""")"),"")</f>
        <v/>
      </c>
      <c r="W1627" s="315" t="str">
        <f>IFERROR(__xludf.DUMMYFUNCTION("if(V1627="""",C1627,if(not(iserror(index(split(C1627, "" ""),3))), index(split(C1627, "" ""),3),index(split(C1627, "" ""),2)))"),"")</f>
        <v/>
      </c>
      <c r="X1627" s="38" t="b">
        <f t="shared" si="2"/>
        <v>0</v>
      </c>
      <c r="Y1627" s="38"/>
      <c r="Z1627" s="40"/>
      <c r="AA1627" s="40"/>
      <c r="AB1627" s="38"/>
      <c r="AC1627" s="38"/>
      <c r="AD1627" s="38"/>
      <c r="AE1627" s="38"/>
      <c r="AF1627" s="38"/>
      <c r="AG1627" s="38"/>
      <c r="AH1627" s="38"/>
      <c r="AI1627" s="38"/>
      <c r="AJ1627" s="38"/>
      <c r="AK1627" s="38"/>
      <c r="AL1627" s="38"/>
      <c r="AM1627" s="38"/>
      <c r="AN1627" s="38"/>
      <c r="AO1627" s="38"/>
      <c r="AP1627" s="38"/>
      <c r="AQ1627" s="38"/>
      <c r="AR1627" s="38"/>
      <c r="AS1627" s="38"/>
      <c r="AT1627" s="38"/>
      <c r="AU1627" s="38"/>
      <c r="AV1627" s="38"/>
      <c r="AW1627" s="38"/>
      <c r="AX1627" s="38"/>
      <c r="AY1627" s="38"/>
      <c r="AZ1627" s="38"/>
      <c r="BA1627" s="38"/>
      <c r="BB1627" s="38"/>
      <c r="BC1627" s="38"/>
      <c r="BD1627" s="38"/>
      <c r="BE1627" s="38"/>
      <c r="BF1627" s="38"/>
      <c r="BG1627" s="38"/>
    </row>
    <row r="1628">
      <c r="A1628" s="16"/>
      <c r="B1628" s="380"/>
      <c r="C1628" s="146"/>
      <c r="D1628" s="146"/>
      <c r="E1628" s="16"/>
      <c r="F1628" s="91"/>
      <c r="G1628" s="16"/>
      <c r="H1628" s="320" t="str">
        <f t="shared" si="1"/>
        <v/>
      </c>
      <c r="I1628" s="16"/>
      <c r="J1628" s="16"/>
      <c r="K1628" s="16"/>
      <c r="L1628" s="38"/>
      <c r="M1628" s="16"/>
      <c r="N1628" s="16"/>
      <c r="O1628" s="16"/>
      <c r="P1628" s="15"/>
      <c r="Q1628" s="15"/>
      <c r="R1628" s="16"/>
      <c r="S1628" s="16"/>
      <c r="T1628" s="16"/>
      <c r="U1628" s="16"/>
      <c r="V1628" s="37" t="str">
        <f>IFERROR(__xludf.DUMMYFUNCTION("if(not(iserror(index(split(C1628, "" ""),2))), index(split(C1628, "" ""),1),"""")"),"")</f>
        <v/>
      </c>
      <c r="W1628" s="315" t="str">
        <f>IFERROR(__xludf.DUMMYFUNCTION("if(V1628="""",C1628,if(not(iserror(index(split(C1628, "" ""),3))), index(split(C1628, "" ""),3),index(split(C1628, "" ""),2)))"),"")</f>
        <v/>
      </c>
      <c r="X1628" s="38" t="b">
        <f t="shared" si="2"/>
        <v>0</v>
      </c>
      <c r="Y1628" s="38"/>
      <c r="Z1628" s="40"/>
      <c r="AA1628" s="40"/>
      <c r="AB1628" s="38"/>
      <c r="AC1628" s="38"/>
      <c r="AD1628" s="38"/>
      <c r="AE1628" s="38"/>
      <c r="AF1628" s="38"/>
      <c r="AG1628" s="38"/>
      <c r="AH1628" s="38"/>
      <c r="AI1628" s="38"/>
      <c r="AJ1628" s="38"/>
      <c r="AK1628" s="38"/>
      <c r="AL1628" s="38"/>
      <c r="AM1628" s="38"/>
      <c r="AN1628" s="38"/>
      <c r="AO1628" s="38"/>
      <c r="AP1628" s="38"/>
      <c r="AQ1628" s="38"/>
      <c r="AR1628" s="38"/>
      <c r="AS1628" s="38"/>
      <c r="AT1628" s="38"/>
      <c r="AU1628" s="38"/>
      <c r="AV1628" s="38"/>
      <c r="AW1628" s="38"/>
      <c r="AX1628" s="38"/>
      <c r="AY1628" s="38"/>
      <c r="AZ1628" s="38"/>
      <c r="BA1628" s="38"/>
      <c r="BB1628" s="38"/>
      <c r="BC1628" s="38"/>
      <c r="BD1628" s="38"/>
      <c r="BE1628" s="38"/>
      <c r="BF1628" s="38"/>
      <c r="BG1628" s="38"/>
    </row>
    <row r="1629">
      <c r="A1629" s="16"/>
      <c r="B1629" s="380"/>
      <c r="C1629" s="146"/>
      <c r="D1629" s="146"/>
      <c r="E1629" s="16"/>
      <c r="F1629" s="91"/>
      <c r="G1629" s="16"/>
      <c r="H1629" s="320" t="str">
        <f t="shared" si="1"/>
        <v/>
      </c>
      <c r="I1629" s="16"/>
      <c r="J1629" s="16"/>
      <c r="K1629" s="16"/>
      <c r="L1629" s="38"/>
      <c r="M1629" s="16"/>
      <c r="N1629" s="16"/>
      <c r="O1629" s="16"/>
      <c r="P1629" s="15"/>
      <c r="Q1629" s="15"/>
      <c r="R1629" s="16"/>
      <c r="S1629" s="16"/>
      <c r="T1629" s="16"/>
      <c r="U1629" s="16"/>
      <c r="V1629" s="37" t="str">
        <f>IFERROR(__xludf.DUMMYFUNCTION("if(not(iserror(index(split(C1629, "" ""),2))), index(split(C1629, "" ""),1),"""")"),"")</f>
        <v/>
      </c>
      <c r="W1629" s="315" t="str">
        <f>IFERROR(__xludf.DUMMYFUNCTION("if(V1629="""",C1629,if(not(iserror(index(split(C1629, "" ""),3))), index(split(C1629, "" ""),3),index(split(C1629, "" ""),2)))"),"")</f>
        <v/>
      </c>
      <c r="X1629" s="38" t="b">
        <f t="shared" si="2"/>
        <v>0</v>
      </c>
      <c r="Y1629" s="38"/>
      <c r="Z1629" s="40"/>
      <c r="AA1629" s="40"/>
      <c r="AB1629" s="38"/>
      <c r="AC1629" s="38"/>
      <c r="AD1629" s="38"/>
      <c r="AE1629" s="38"/>
      <c r="AF1629" s="38"/>
      <c r="AG1629" s="38"/>
      <c r="AH1629" s="38"/>
      <c r="AI1629" s="38"/>
      <c r="AJ1629" s="38"/>
      <c r="AK1629" s="38"/>
      <c r="AL1629" s="38"/>
      <c r="AM1629" s="38"/>
      <c r="AN1629" s="38"/>
      <c r="AO1629" s="38"/>
      <c r="AP1629" s="38"/>
      <c r="AQ1629" s="38"/>
      <c r="AR1629" s="38"/>
      <c r="AS1629" s="38"/>
      <c r="AT1629" s="38"/>
      <c r="AU1629" s="38"/>
      <c r="AV1629" s="38"/>
      <c r="AW1629" s="38"/>
      <c r="AX1629" s="38"/>
      <c r="AY1629" s="38"/>
      <c r="AZ1629" s="38"/>
      <c r="BA1629" s="38"/>
      <c r="BB1629" s="38"/>
      <c r="BC1629" s="38"/>
      <c r="BD1629" s="38"/>
      <c r="BE1629" s="38"/>
      <c r="BF1629" s="38"/>
      <c r="BG1629" s="38"/>
    </row>
    <row r="1630">
      <c r="A1630" s="16"/>
      <c r="B1630" s="380"/>
      <c r="C1630" s="146"/>
      <c r="D1630" s="146"/>
      <c r="E1630" s="16"/>
      <c r="F1630" s="91"/>
      <c r="G1630" s="16"/>
      <c r="H1630" s="320" t="str">
        <f t="shared" si="1"/>
        <v/>
      </c>
      <c r="I1630" s="16"/>
      <c r="J1630" s="16"/>
      <c r="K1630" s="16"/>
      <c r="L1630" s="38"/>
      <c r="M1630" s="16"/>
      <c r="N1630" s="16"/>
      <c r="O1630" s="16"/>
      <c r="P1630" s="15"/>
      <c r="Q1630" s="15"/>
      <c r="R1630" s="16"/>
      <c r="S1630" s="16"/>
      <c r="T1630" s="16"/>
      <c r="U1630" s="16"/>
      <c r="V1630" s="37" t="str">
        <f>IFERROR(__xludf.DUMMYFUNCTION("if(not(iserror(index(split(C1630, "" ""),2))), index(split(C1630, "" ""),1),"""")"),"")</f>
        <v/>
      </c>
      <c r="W1630" s="315" t="str">
        <f>IFERROR(__xludf.DUMMYFUNCTION("if(V1630="""",C1630,if(not(iserror(index(split(C1630, "" ""),3))), index(split(C1630, "" ""),3),index(split(C1630, "" ""),2)))"),"")</f>
        <v/>
      </c>
      <c r="X1630" s="38" t="b">
        <f t="shared" si="2"/>
        <v>0</v>
      </c>
      <c r="Y1630" s="38"/>
      <c r="Z1630" s="40"/>
      <c r="AA1630" s="40"/>
      <c r="AB1630" s="38"/>
      <c r="AC1630" s="38"/>
      <c r="AD1630" s="38"/>
      <c r="AE1630" s="38"/>
      <c r="AF1630" s="38"/>
      <c r="AG1630" s="38"/>
      <c r="AH1630" s="38"/>
      <c r="AI1630" s="38"/>
      <c r="AJ1630" s="38"/>
      <c r="AK1630" s="38"/>
      <c r="AL1630" s="38"/>
      <c r="AM1630" s="38"/>
      <c r="AN1630" s="38"/>
      <c r="AO1630" s="38"/>
      <c r="AP1630" s="38"/>
      <c r="AQ1630" s="38"/>
      <c r="AR1630" s="38"/>
      <c r="AS1630" s="38"/>
      <c r="AT1630" s="38"/>
      <c r="AU1630" s="38"/>
      <c r="AV1630" s="38"/>
      <c r="AW1630" s="38"/>
      <c r="AX1630" s="38"/>
      <c r="AY1630" s="38"/>
      <c r="AZ1630" s="38"/>
      <c r="BA1630" s="38"/>
      <c r="BB1630" s="38"/>
      <c r="BC1630" s="38"/>
      <c r="BD1630" s="38"/>
      <c r="BE1630" s="38"/>
      <c r="BF1630" s="38"/>
      <c r="BG1630" s="38"/>
    </row>
    <row r="1631">
      <c r="A1631" s="16"/>
      <c r="B1631" s="380"/>
      <c r="C1631" s="146"/>
      <c r="D1631" s="146"/>
      <c r="E1631" s="16"/>
      <c r="F1631" s="91"/>
      <c r="G1631" s="16"/>
      <c r="H1631" s="320" t="str">
        <f t="shared" si="1"/>
        <v/>
      </c>
      <c r="I1631" s="16"/>
      <c r="J1631" s="16"/>
      <c r="K1631" s="16"/>
      <c r="L1631" s="38"/>
      <c r="M1631" s="16"/>
      <c r="N1631" s="16"/>
      <c r="O1631" s="16"/>
      <c r="P1631" s="15"/>
      <c r="Q1631" s="15"/>
      <c r="R1631" s="16"/>
      <c r="S1631" s="16"/>
      <c r="T1631" s="16"/>
      <c r="U1631" s="16"/>
      <c r="V1631" s="37" t="str">
        <f>IFERROR(__xludf.DUMMYFUNCTION("if(not(iserror(index(split(C1631, "" ""),2))), index(split(C1631, "" ""),1),"""")"),"")</f>
        <v/>
      </c>
      <c r="W1631" s="315" t="str">
        <f>IFERROR(__xludf.DUMMYFUNCTION("if(V1631="""",C1631,if(not(iserror(index(split(C1631, "" ""),3))), index(split(C1631, "" ""),3),index(split(C1631, "" ""),2)))"),"")</f>
        <v/>
      </c>
      <c r="X1631" s="38" t="b">
        <f t="shared" si="2"/>
        <v>0</v>
      </c>
      <c r="Y1631" s="38"/>
      <c r="Z1631" s="40"/>
      <c r="AA1631" s="40"/>
      <c r="AB1631" s="38"/>
      <c r="AC1631" s="38"/>
      <c r="AD1631" s="38"/>
      <c r="AE1631" s="38"/>
      <c r="AF1631" s="38"/>
      <c r="AG1631" s="38"/>
      <c r="AH1631" s="38"/>
      <c r="AI1631" s="38"/>
      <c r="AJ1631" s="38"/>
      <c r="AK1631" s="38"/>
      <c r="AL1631" s="38"/>
      <c r="AM1631" s="38"/>
      <c r="AN1631" s="38"/>
      <c r="AO1631" s="38"/>
      <c r="AP1631" s="38"/>
      <c r="AQ1631" s="38"/>
      <c r="AR1631" s="38"/>
      <c r="AS1631" s="38"/>
      <c r="AT1631" s="38"/>
      <c r="AU1631" s="38"/>
      <c r="AV1631" s="38"/>
      <c r="AW1631" s="38"/>
      <c r="AX1631" s="38"/>
      <c r="AY1631" s="38"/>
      <c r="AZ1631" s="38"/>
      <c r="BA1631" s="38"/>
      <c r="BB1631" s="38"/>
      <c r="BC1631" s="38"/>
      <c r="BD1631" s="38"/>
      <c r="BE1631" s="38"/>
      <c r="BF1631" s="38"/>
      <c r="BG1631" s="38"/>
    </row>
    <row r="1632">
      <c r="A1632" s="16"/>
      <c r="B1632" s="380"/>
      <c r="C1632" s="146"/>
      <c r="D1632" s="146"/>
      <c r="E1632" s="16"/>
      <c r="F1632" s="91"/>
      <c r="G1632" s="16"/>
      <c r="H1632" s="320" t="str">
        <f t="shared" si="1"/>
        <v/>
      </c>
      <c r="I1632" s="16"/>
      <c r="J1632" s="16"/>
      <c r="K1632" s="16"/>
      <c r="L1632" s="38"/>
      <c r="M1632" s="16"/>
      <c r="N1632" s="16"/>
      <c r="O1632" s="16"/>
      <c r="P1632" s="15"/>
      <c r="Q1632" s="15"/>
      <c r="R1632" s="16"/>
      <c r="S1632" s="16"/>
      <c r="T1632" s="16"/>
      <c r="U1632" s="16"/>
      <c r="V1632" s="37" t="str">
        <f>IFERROR(__xludf.DUMMYFUNCTION("if(not(iserror(index(split(C1632, "" ""),2))), index(split(C1632, "" ""),1),"""")"),"")</f>
        <v/>
      </c>
      <c r="W1632" s="315" t="str">
        <f>IFERROR(__xludf.DUMMYFUNCTION("if(V1632="""",C1632,if(not(iserror(index(split(C1632, "" ""),3))), index(split(C1632, "" ""),3),index(split(C1632, "" ""),2)))"),"")</f>
        <v/>
      </c>
      <c r="X1632" s="38" t="b">
        <f t="shared" si="2"/>
        <v>0</v>
      </c>
      <c r="Y1632" s="38"/>
      <c r="Z1632" s="40"/>
      <c r="AA1632" s="40"/>
      <c r="AB1632" s="38"/>
      <c r="AC1632" s="38"/>
      <c r="AD1632" s="38"/>
      <c r="AE1632" s="38"/>
      <c r="AF1632" s="38"/>
      <c r="AG1632" s="38"/>
      <c r="AH1632" s="38"/>
      <c r="AI1632" s="38"/>
      <c r="AJ1632" s="38"/>
      <c r="AK1632" s="38"/>
      <c r="AL1632" s="38"/>
      <c r="AM1632" s="38"/>
      <c r="AN1632" s="38"/>
      <c r="AO1632" s="38"/>
      <c r="AP1632" s="38"/>
      <c r="AQ1632" s="38"/>
      <c r="AR1632" s="38"/>
      <c r="AS1632" s="38"/>
      <c r="AT1632" s="38"/>
      <c r="AU1632" s="38"/>
      <c r="AV1632" s="38"/>
      <c r="AW1632" s="38"/>
      <c r="AX1632" s="38"/>
      <c r="AY1632" s="38"/>
      <c r="AZ1632" s="38"/>
      <c r="BA1632" s="38"/>
      <c r="BB1632" s="38"/>
      <c r="BC1632" s="38"/>
      <c r="BD1632" s="38"/>
      <c r="BE1632" s="38"/>
      <c r="BF1632" s="38"/>
      <c r="BG1632" s="38"/>
    </row>
    <row r="1633">
      <c r="A1633" s="16"/>
      <c r="B1633" s="380"/>
      <c r="C1633" s="146"/>
      <c r="D1633" s="146"/>
      <c r="E1633" s="16"/>
      <c r="F1633" s="91"/>
      <c r="G1633" s="16"/>
      <c r="H1633" s="320" t="str">
        <f t="shared" si="1"/>
        <v/>
      </c>
      <c r="I1633" s="16"/>
      <c r="J1633" s="16"/>
      <c r="K1633" s="16"/>
      <c r="L1633" s="38"/>
      <c r="M1633" s="16"/>
      <c r="N1633" s="16"/>
      <c r="O1633" s="16"/>
      <c r="P1633" s="15"/>
      <c r="Q1633" s="15"/>
      <c r="R1633" s="16"/>
      <c r="S1633" s="16"/>
      <c r="T1633" s="16"/>
      <c r="U1633" s="16"/>
      <c r="V1633" s="37" t="str">
        <f>IFERROR(__xludf.DUMMYFUNCTION("if(not(iserror(index(split(C1633, "" ""),2))), index(split(C1633, "" ""),1),"""")"),"")</f>
        <v/>
      </c>
      <c r="W1633" s="315" t="str">
        <f>IFERROR(__xludf.DUMMYFUNCTION("if(V1633="""",C1633,if(not(iserror(index(split(C1633, "" ""),3))), index(split(C1633, "" ""),3),index(split(C1633, "" ""),2)))"),"")</f>
        <v/>
      </c>
      <c r="X1633" s="38" t="b">
        <f t="shared" si="2"/>
        <v>0</v>
      </c>
      <c r="Y1633" s="38"/>
      <c r="Z1633" s="40"/>
      <c r="AA1633" s="40"/>
      <c r="AB1633" s="38"/>
      <c r="AC1633" s="38"/>
      <c r="AD1633" s="38"/>
      <c r="AE1633" s="38"/>
      <c r="AF1633" s="38"/>
      <c r="AG1633" s="38"/>
      <c r="AH1633" s="38"/>
      <c r="AI1633" s="38"/>
      <c r="AJ1633" s="38"/>
      <c r="AK1633" s="38"/>
      <c r="AL1633" s="38"/>
      <c r="AM1633" s="38"/>
      <c r="AN1633" s="38"/>
      <c r="AO1633" s="38"/>
      <c r="AP1633" s="38"/>
      <c r="AQ1633" s="38"/>
      <c r="AR1633" s="38"/>
      <c r="AS1633" s="38"/>
      <c r="AT1633" s="38"/>
      <c r="AU1633" s="38"/>
      <c r="AV1633" s="38"/>
      <c r="AW1633" s="38"/>
      <c r="AX1633" s="38"/>
      <c r="AY1633" s="38"/>
      <c r="AZ1633" s="38"/>
      <c r="BA1633" s="38"/>
      <c r="BB1633" s="38"/>
      <c r="BC1633" s="38"/>
      <c r="BD1633" s="38"/>
      <c r="BE1633" s="38"/>
      <c r="BF1633" s="38"/>
      <c r="BG1633" s="38"/>
    </row>
    <row r="1634">
      <c r="A1634" s="16"/>
      <c r="B1634" s="380"/>
      <c r="C1634" s="146"/>
      <c r="D1634" s="146"/>
      <c r="E1634" s="16"/>
      <c r="F1634" s="91"/>
      <c r="G1634" s="16"/>
      <c r="H1634" s="320" t="str">
        <f t="shared" si="1"/>
        <v/>
      </c>
      <c r="I1634" s="16"/>
      <c r="J1634" s="16"/>
      <c r="K1634" s="16"/>
      <c r="L1634" s="38"/>
      <c r="M1634" s="16"/>
      <c r="N1634" s="16"/>
      <c r="O1634" s="16"/>
      <c r="P1634" s="15"/>
      <c r="Q1634" s="15"/>
      <c r="R1634" s="16"/>
      <c r="S1634" s="16"/>
      <c r="T1634" s="16"/>
      <c r="U1634" s="16"/>
      <c r="V1634" s="37" t="str">
        <f>IFERROR(__xludf.DUMMYFUNCTION("if(not(iserror(index(split(C1634, "" ""),2))), index(split(C1634, "" ""),1),"""")"),"")</f>
        <v/>
      </c>
      <c r="W1634" s="315" t="str">
        <f>IFERROR(__xludf.DUMMYFUNCTION("if(V1634="""",C1634,if(not(iserror(index(split(C1634, "" ""),3))), index(split(C1634, "" ""),3),index(split(C1634, "" ""),2)))"),"")</f>
        <v/>
      </c>
      <c r="X1634" s="38" t="b">
        <f t="shared" si="2"/>
        <v>0</v>
      </c>
      <c r="Y1634" s="38"/>
      <c r="Z1634" s="40"/>
      <c r="AA1634" s="40"/>
      <c r="AB1634" s="38"/>
      <c r="AC1634" s="38"/>
      <c r="AD1634" s="38"/>
      <c r="AE1634" s="38"/>
      <c r="AF1634" s="38"/>
      <c r="AG1634" s="38"/>
      <c r="AH1634" s="38"/>
      <c r="AI1634" s="38"/>
      <c r="AJ1634" s="38"/>
      <c r="AK1634" s="38"/>
      <c r="AL1634" s="38"/>
      <c r="AM1634" s="38"/>
      <c r="AN1634" s="38"/>
      <c r="AO1634" s="38"/>
      <c r="AP1634" s="38"/>
      <c r="AQ1634" s="38"/>
      <c r="AR1634" s="38"/>
      <c r="AS1634" s="38"/>
      <c r="AT1634" s="38"/>
      <c r="AU1634" s="38"/>
      <c r="AV1634" s="38"/>
      <c r="AW1634" s="38"/>
      <c r="AX1634" s="38"/>
      <c r="AY1634" s="38"/>
      <c r="AZ1634" s="38"/>
      <c r="BA1634" s="38"/>
      <c r="BB1634" s="38"/>
      <c r="BC1634" s="38"/>
      <c r="BD1634" s="38"/>
      <c r="BE1634" s="38"/>
      <c r="BF1634" s="38"/>
      <c r="BG1634" s="38"/>
    </row>
    <row r="1635">
      <c r="A1635" s="16"/>
      <c r="B1635" s="380"/>
      <c r="C1635" s="146"/>
      <c r="D1635" s="146"/>
      <c r="E1635" s="16"/>
      <c r="F1635" s="91"/>
      <c r="G1635" s="16"/>
      <c r="H1635" s="320" t="str">
        <f t="shared" si="1"/>
        <v/>
      </c>
      <c r="I1635" s="16"/>
      <c r="J1635" s="16"/>
      <c r="K1635" s="16"/>
      <c r="L1635" s="38"/>
      <c r="M1635" s="16"/>
      <c r="N1635" s="16"/>
      <c r="O1635" s="16"/>
      <c r="P1635" s="15"/>
      <c r="Q1635" s="15"/>
      <c r="R1635" s="16"/>
      <c r="S1635" s="16"/>
      <c r="T1635" s="16"/>
      <c r="U1635" s="16"/>
      <c r="V1635" s="37" t="str">
        <f>IFERROR(__xludf.DUMMYFUNCTION("if(not(iserror(index(split(C1635, "" ""),2))), index(split(C1635, "" ""),1),"""")"),"")</f>
        <v/>
      </c>
      <c r="W1635" s="315" t="str">
        <f>IFERROR(__xludf.DUMMYFUNCTION("if(V1635="""",C1635,if(not(iserror(index(split(C1635, "" ""),3))), index(split(C1635, "" ""),3),index(split(C1635, "" ""),2)))"),"")</f>
        <v/>
      </c>
      <c r="X1635" s="38" t="b">
        <f t="shared" si="2"/>
        <v>0</v>
      </c>
      <c r="Y1635" s="38"/>
      <c r="Z1635" s="40"/>
      <c r="AA1635" s="40"/>
      <c r="AB1635" s="38"/>
      <c r="AC1635" s="38"/>
      <c r="AD1635" s="38"/>
      <c r="AE1635" s="38"/>
      <c r="AF1635" s="38"/>
      <c r="AG1635" s="38"/>
      <c r="AH1635" s="38"/>
      <c r="AI1635" s="38"/>
      <c r="AJ1635" s="38"/>
      <c r="AK1635" s="38"/>
      <c r="AL1635" s="38"/>
      <c r="AM1635" s="38"/>
      <c r="AN1635" s="38"/>
      <c r="AO1635" s="38"/>
      <c r="AP1635" s="38"/>
      <c r="AQ1635" s="38"/>
      <c r="AR1635" s="38"/>
      <c r="AS1635" s="38"/>
      <c r="AT1635" s="38"/>
      <c r="AU1635" s="38"/>
      <c r="AV1635" s="38"/>
      <c r="AW1635" s="38"/>
      <c r="AX1635" s="38"/>
      <c r="AY1635" s="38"/>
      <c r="AZ1635" s="38"/>
      <c r="BA1635" s="38"/>
      <c r="BB1635" s="38"/>
      <c r="BC1635" s="38"/>
      <c r="BD1635" s="38"/>
      <c r="BE1635" s="38"/>
      <c r="BF1635" s="38"/>
      <c r="BG1635" s="38"/>
    </row>
    <row r="1636">
      <c r="A1636" s="16"/>
      <c r="B1636" s="380"/>
      <c r="C1636" s="146"/>
      <c r="D1636" s="146"/>
      <c r="E1636" s="16"/>
      <c r="F1636" s="91"/>
      <c r="G1636" s="16"/>
      <c r="H1636" s="320" t="str">
        <f t="shared" si="1"/>
        <v/>
      </c>
      <c r="I1636" s="16"/>
      <c r="J1636" s="16"/>
      <c r="K1636" s="16"/>
      <c r="L1636" s="38"/>
      <c r="M1636" s="16"/>
      <c r="N1636" s="16"/>
      <c r="O1636" s="16"/>
      <c r="P1636" s="15"/>
      <c r="Q1636" s="15"/>
      <c r="R1636" s="16"/>
      <c r="S1636" s="16"/>
      <c r="T1636" s="16"/>
      <c r="U1636" s="16"/>
      <c r="V1636" s="37" t="str">
        <f>IFERROR(__xludf.DUMMYFUNCTION("if(not(iserror(index(split(C1636, "" ""),2))), index(split(C1636, "" ""),1),"""")"),"")</f>
        <v/>
      </c>
      <c r="W1636" s="315" t="str">
        <f>IFERROR(__xludf.DUMMYFUNCTION("if(V1636="""",C1636,if(not(iserror(index(split(C1636, "" ""),3))), index(split(C1636, "" ""),3),index(split(C1636, "" ""),2)))"),"")</f>
        <v/>
      </c>
      <c r="X1636" s="38" t="b">
        <f t="shared" si="2"/>
        <v>0</v>
      </c>
      <c r="Y1636" s="38"/>
      <c r="Z1636" s="40"/>
      <c r="AA1636" s="40"/>
      <c r="AB1636" s="38"/>
      <c r="AC1636" s="38"/>
      <c r="AD1636" s="38"/>
      <c r="AE1636" s="38"/>
      <c r="AF1636" s="38"/>
      <c r="AG1636" s="38"/>
      <c r="AH1636" s="38"/>
      <c r="AI1636" s="38"/>
      <c r="AJ1636" s="38"/>
      <c r="AK1636" s="38"/>
      <c r="AL1636" s="38"/>
      <c r="AM1636" s="38"/>
      <c r="AN1636" s="38"/>
      <c r="AO1636" s="38"/>
      <c r="AP1636" s="38"/>
      <c r="AQ1636" s="38"/>
      <c r="AR1636" s="38"/>
      <c r="AS1636" s="38"/>
      <c r="AT1636" s="38"/>
      <c r="AU1636" s="38"/>
      <c r="AV1636" s="38"/>
      <c r="AW1636" s="38"/>
      <c r="AX1636" s="38"/>
      <c r="AY1636" s="38"/>
      <c r="AZ1636" s="38"/>
      <c r="BA1636" s="38"/>
      <c r="BB1636" s="38"/>
      <c r="BC1636" s="38"/>
      <c r="BD1636" s="38"/>
      <c r="BE1636" s="38"/>
      <c r="BF1636" s="38"/>
      <c r="BG1636" s="38"/>
    </row>
    <row r="1637">
      <c r="A1637" s="16"/>
      <c r="B1637" s="380"/>
      <c r="C1637" s="146"/>
      <c r="D1637" s="146"/>
      <c r="E1637" s="16"/>
      <c r="F1637" s="91"/>
      <c r="G1637" s="16"/>
      <c r="H1637" s="320" t="str">
        <f t="shared" si="1"/>
        <v/>
      </c>
      <c r="I1637" s="16"/>
      <c r="J1637" s="16"/>
      <c r="K1637" s="16"/>
      <c r="L1637" s="38"/>
      <c r="M1637" s="16"/>
      <c r="N1637" s="16"/>
      <c r="O1637" s="16"/>
      <c r="P1637" s="15"/>
      <c r="Q1637" s="15"/>
      <c r="R1637" s="16"/>
      <c r="S1637" s="16"/>
      <c r="T1637" s="16"/>
      <c r="U1637" s="16"/>
      <c r="V1637" s="37" t="str">
        <f>IFERROR(__xludf.DUMMYFUNCTION("if(not(iserror(index(split(C1637, "" ""),2))), index(split(C1637, "" ""),1),"""")"),"")</f>
        <v/>
      </c>
      <c r="W1637" s="315" t="str">
        <f>IFERROR(__xludf.DUMMYFUNCTION("if(V1637="""",C1637,if(not(iserror(index(split(C1637, "" ""),3))), index(split(C1637, "" ""),3),index(split(C1637, "" ""),2)))"),"")</f>
        <v/>
      </c>
      <c r="X1637" s="38" t="b">
        <f t="shared" si="2"/>
        <v>0</v>
      </c>
      <c r="Y1637" s="38"/>
      <c r="Z1637" s="40"/>
      <c r="AA1637" s="40"/>
      <c r="AB1637" s="38"/>
      <c r="AC1637" s="38"/>
      <c r="AD1637" s="38"/>
      <c r="AE1637" s="38"/>
      <c r="AF1637" s="38"/>
      <c r="AG1637" s="38"/>
      <c r="AH1637" s="38"/>
      <c r="AI1637" s="38"/>
      <c r="AJ1637" s="38"/>
      <c r="AK1637" s="38"/>
      <c r="AL1637" s="38"/>
      <c r="AM1637" s="38"/>
      <c r="AN1637" s="38"/>
      <c r="AO1637" s="38"/>
      <c r="AP1637" s="38"/>
      <c r="AQ1637" s="38"/>
      <c r="AR1637" s="38"/>
      <c r="AS1637" s="38"/>
      <c r="AT1637" s="38"/>
      <c r="AU1637" s="38"/>
      <c r="AV1637" s="38"/>
      <c r="AW1637" s="38"/>
      <c r="AX1637" s="38"/>
      <c r="AY1637" s="38"/>
      <c r="AZ1637" s="38"/>
      <c r="BA1637" s="38"/>
      <c r="BB1637" s="38"/>
      <c r="BC1637" s="38"/>
      <c r="BD1637" s="38"/>
      <c r="BE1637" s="38"/>
      <c r="BF1637" s="38"/>
      <c r="BG1637" s="38"/>
    </row>
    <row r="1638">
      <c r="A1638" s="16"/>
      <c r="B1638" s="380"/>
      <c r="C1638" s="146"/>
      <c r="D1638" s="146"/>
      <c r="E1638" s="16"/>
      <c r="F1638" s="91"/>
      <c r="G1638" s="16"/>
      <c r="H1638" s="320" t="str">
        <f t="shared" si="1"/>
        <v/>
      </c>
      <c r="I1638" s="16"/>
      <c r="J1638" s="16"/>
      <c r="K1638" s="16"/>
      <c r="L1638" s="38"/>
      <c r="M1638" s="16"/>
      <c r="N1638" s="16"/>
      <c r="O1638" s="16"/>
      <c r="P1638" s="15"/>
      <c r="Q1638" s="15"/>
      <c r="R1638" s="16"/>
      <c r="S1638" s="16"/>
      <c r="T1638" s="16"/>
      <c r="U1638" s="16"/>
      <c r="V1638" s="37" t="str">
        <f>IFERROR(__xludf.DUMMYFUNCTION("if(not(iserror(index(split(C1638, "" ""),2))), index(split(C1638, "" ""),1),"""")"),"")</f>
        <v/>
      </c>
      <c r="W1638" s="315" t="str">
        <f>IFERROR(__xludf.DUMMYFUNCTION("if(V1638="""",C1638,if(not(iserror(index(split(C1638, "" ""),3))), index(split(C1638, "" ""),3),index(split(C1638, "" ""),2)))"),"")</f>
        <v/>
      </c>
      <c r="X1638" s="38" t="b">
        <f t="shared" si="2"/>
        <v>0</v>
      </c>
      <c r="Y1638" s="38"/>
      <c r="Z1638" s="40"/>
      <c r="AA1638" s="40"/>
      <c r="AB1638" s="38"/>
      <c r="AC1638" s="38"/>
      <c r="AD1638" s="38"/>
      <c r="AE1638" s="38"/>
      <c r="AF1638" s="38"/>
      <c r="AG1638" s="38"/>
      <c r="AH1638" s="38"/>
      <c r="AI1638" s="38"/>
      <c r="AJ1638" s="38"/>
      <c r="AK1638" s="38"/>
      <c r="AL1638" s="38"/>
      <c r="AM1638" s="38"/>
      <c r="AN1638" s="38"/>
      <c r="AO1638" s="38"/>
      <c r="AP1638" s="38"/>
      <c r="AQ1638" s="38"/>
      <c r="AR1638" s="38"/>
      <c r="AS1638" s="38"/>
      <c r="AT1638" s="38"/>
      <c r="AU1638" s="38"/>
      <c r="AV1638" s="38"/>
      <c r="AW1638" s="38"/>
      <c r="AX1638" s="38"/>
      <c r="AY1638" s="38"/>
      <c r="AZ1638" s="38"/>
      <c r="BA1638" s="38"/>
      <c r="BB1638" s="38"/>
      <c r="BC1638" s="38"/>
      <c r="BD1638" s="38"/>
      <c r="BE1638" s="38"/>
      <c r="BF1638" s="38"/>
      <c r="BG1638" s="38"/>
    </row>
    <row r="1639">
      <c r="A1639" s="16"/>
      <c r="B1639" s="380"/>
      <c r="C1639" s="146"/>
      <c r="D1639" s="146"/>
      <c r="E1639" s="16"/>
      <c r="F1639" s="91"/>
      <c r="G1639" s="16"/>
      <c r="H1639" s="320" t="str">
        <f t="shared" si="1"/>
        <v/>
      </c>
      <c r="I1639" s="16"/>
      <c r="J1639" s="16"/>
      <c r="K1639" s="16"/>
      <c r="L1639" s="38"/>
      <c r="M1639" s="16"/>
      <c r="N1639" s="16"/>
      <c r="O1639" s="16"/>
      <c r="P1639" s="15"/>
      <c r="Q1639" s="15"/>
      <c r="R1639" s="16"/>
      <c r="S1639" s="16"/>
      <c r="T1639" s="16"/>
      <c r="U1639" s="16"/>
      <c r="V1639" s="37" t="str">
        <f>IFERROR(__xludf.DUMMYFUNCTION("if(not(iserror(index(split(C1639, "" ""),2))), index(split(C1639, "" ""),1),"""")"),"")</f>
        <v/>
      </c>
      <c r="W1639" s="315" t="str">
        <f>IFERROR(__xludf.DUMMYFUNCTION("if(V1639="""",C1639,if(not(iserror(index(split(C1639, "" ""),3))), index(split(C1639, "" ""),3),index(split(C1639, "" ""),2)))"),"")</f>
        <v/>
      </c>
      <c r="X1639" s="38" t="b">
        <f t="shared" si="2"/>
        <v>0</v>
      </c>
      <c r="Y1639" s="38"/>
      <c r="Z1639" s="40"/>
      <c r="AA1639" s="40"/>
      <c r="AB1639" s="38"/>
      <c r="AC1639" s="38"/>
      <c r="AD1639" s="38"/>
      <c r="AE1639" s="38"/>
      <c r="AF1639" s="38"/>
      <c r="AG1639" s="38"/>
      <c r="AH1639" s="38"/>
      <c r="AI1639" s="38"/>
      <c r="AJ1639" s="38"/>
      <c r="AK1639" s="38"/>
      <c r="AL1639" s="38"/>
      <c r="AM1639" s="38"/>
      <c r="AN1639" s="38"/>
      <c r="AO1639" s="38"/>
      <c r="AP1639" s="38"/>
      <c r="AQ1639" s="38"/>
      <c r="AR1639" s="38"/>
      <c r="AS1639" s="38"/>
      <c r="AT1639" s="38"/>
      <c r="AU1639" s="38"/>
      <c r="AV1639" s="38"/>
      <c r="AW1639" s="38"/>
      <c r="AX1639" s="38"/>
      <c r="AY1639" s="38"/>
      <c r="AZ1639" s="38"/>
      <c r="BA1639" s="38"/>
      <c r="BB1639" s="38"/>
      <c r="BC1639" s="38"/>
      <c r="BD1639" s="38"/>
      <c r="BE1639" s="38"/>
      <c r="BF1639" s="38"/>
      <c r="BG1639" s="38"/>
    </row>
    <row r="1640">
      <c r="A1640" s="16"/>
      <c r="B1640" s="380"/>
      <c r="C1640" s="146"/>
      <c r="D1640" s="146"/>
      <c r="E1640" s="16"/>
      <c r="F1640" s="91"/>
      <c r="G1640" s="16"/>
      <c r="H1640" s="320" t="str">
        <f t="shared" si="1"/>
        <v/>
      </c>
      <c r="I1640" s="16"/>
      <c r="J1640" s="16"/>
      <c r="K1640" s="16"/>
      <c r="L1640" s="38"/>
      <c r="M1640" s="16"/>
      <c r="N1640" s="16"/>
      <c r="O1640" s="16"/>
      <c r="P1640" s="15"/>
      <c r="Q1640" s="15"/>
      <c r="R1640" s="16"/>
      <c r="S1640" s="16"/>
      <c r="T1640" s="16"/>
      <c r="U1640" s="16"/>
      <c r="V1640" s="37" t="str">
        <f>IFERROR(__xludf.DUMMYFUNCTION("if(not(iserror(index(split(C1640, "" ""),2))), index(split(C1640, "" ""),1),"""")"),"")</f>
        <v/>
      </c>
      <c r="W1640" s="315" t="str">
        <f>IFERROR(__xludf.DUMMYFUNCTION("if(V1640="""",C1640,if(not(iserror(index(split(C1640, "" ""),3))), index(split(C1640, "" ""),3),index(split(C1640, "" ""),2)))"),"")</f>
        <v/>
      </c>
      <c r="X1640" s="38" t="b">
        <f t="shared" si="2"/>
        <v>0</v>
      </c>
      <c r="Y1640" s="38"/>
      <c r="Z1640" s="40"/>
      <c r="AA1640" s="40"/>
      <c r="AB1640" s="38"/>
      <c r="AC1640" s="38"/>
      <c r="AD1640" s="38"/>
      <c r="AE1640" s="38"/>
      <c r="AF1640" s="38"/>
      <c r="AG1640" s="38"/>
      <c r="AH1640" s="38"/>
      <c r="AI1640" s="38"/>
      <c r="AJ1640" s="38"/>
      <c r="AK1640" s="38"/>
      <c r="AL1640" s="38"/>
      <c r="AM1640" s="38"/>
      <c r="AN1640" s="38"/>
      <c r="AO1640" s="38"/>
      <c r="AP1640" s="38"/>
      <c r="AQ1640" s="38"/>
      <c r="AR1640" s="38"/>
      <c r="AS1640" s="38"/>
      <c r="AT1640" s="38"/>
      <c r="AU1640" s="38"/>
      <c r="AV1640" s="38"/>
      <c r="AW1640" s="38"/>
      <c r="AX1640" s="38"/>
      <c r="AY1640" s="38"/>
      <c r="AZ1640" s="38"/>
      <c r="BA1640" s="38"/>
      <c r="BB1640" s="38"/>
      <c r="BC1640" s="38"/>
      <c r="BD1640" s="38"/>
      <c r="BE1640" s="38"/>
      <c r="BF1640" s="38"/>
      <c r="BG1640" s="38"/>
    </row>
    <row r="1641">
      <c r="A1641" s="16"/>
      <c r="B1641" s="380"/>
      <c r="C1641" s="146"/>
      <c r="D1641" s="146"/>
      <c r="E1641" s="16"/>
      <c r="F1641" s="91"/>
      <c r="G1641" s="16"/>
      <c r="H1641" s="320" t="str">
        <f t="shared" si="1"/>
        <v/>
      </c>
      <c r="I1641" s="16"/>
      <c r="J1641" s="16"/>
      <c r="K1641" s="16"/>
      <c r="L1641" s="38"/>
      <c r="M1641" s="16"/>
      <c r="N1641" s="16"/>
      <c r="O1641" s="16"/>
      <c r="P1641" s="15"/>
      <c r="Q1641" s="15"/>
      <c r="R1641" s="16"/>
      <c r="S1641" s="16"/>
      <c r="T1641" s="16"/>
      <c r="U1641" s="16"/>
      <c r="V1641" s="37" t="str">
        <f>IFERROR(__xludf.DUMMYFUNCTION("if(not(iserror(index(split(C1641, "" ""),2))), index(split(C1641, "" ""),1),"""")"),"")</f>
        <v/>
      </c>
      <c r="W1641" s="315" t="str">
        <f>IFERROR(__xludf.DUMMYFUNCTION("if(V1641="""",C1641,if(not(iserror(index(split(C1641, "" ""),3))), index(split(C1641, "" ""),3),index(split(C1641, "" ""),2)))"),"")</f>
        <v/>
      </c>
      <c r="X1641" s="38" t="b">
        <f t="shared" si="2"/>
        <v>0</v>
      </c>
      <c r="Y1641" s="38"/>
      <c r="Z1641" s="40"/>
      <c r="AA1641" s="40"/>
      <c r="AB1641" s="38"/>
      <c r="AC1641" s="38"/>
      <c r="AD1641" s="38"/>
      <c r="AE1641" s="38"/>
      <c r="AF1641" s="38"/>
      <c r="AG1641" s="38"/>
      <c r="AH1641" s="38"/>
      <c r="AI1641" s="38"/>
      <c r="AJ1641" s="38"/>
      <c r="AK1641" s="38"/>
      <c r="AL1641" s="38"/>
      <c r="AM1641" s="38"/>
      <c r="AN1641" s="38"/>
      <c r="AO1641" s="38"/>
      <c r="AP1641" s="38"/>
      <c r="AQ1641" s="38"/>
      <c r="AR1641" s="38"/>
      <c r="AS1641" s="38"/>
      <c r="AT1641" s="38"/>
      <c r="AU1641" s="38"/>
      <c r="AV1641" s="38"/>
      <c r="AW1641" s="38"/>
      <c r="AX1641" s="38"/>
      <c r="AY1641" s="38"/>
      <c r="AZ1641" s="38"/>
      <c r="BA1641" s="38"/>
      <c r="BB1641" s="38"/>
      <c r="BC1641" s="38"/>
      <c r="BD1641" s="38"/>
      <c r="BE1641" s="38"/>
      <c r="BF1641" s="38"/>
      <c r="BG1641" s="38"/>
    </row>
    <row r="1642">
      <c r="A1642" s="16"/>
      <c r="B1642" s="380"/>
      <c r="C1642" s="146"/>
      <c r="D1642" s="146"/>
      <c r="E1642" s="16"/>
      <c r="F1642" s="91"/>
      <c r="G1642" s="16"/>
      <c r="H1642" s="320" t="str">
        <f t="shared" si="1"/>
        <v/>
      </c>
      <c r="I1642" s="16"/>
      <c r="J1642" s="16"/>
      <c r="K1642" s="16"/>
      <c r="L1642" s="38"/>
      <c r="M1642" s="16"/>
      <c r="N1642" s="16"/>
      <c r="O1642" s="16"/>
      <c r="P1642" s="15"/>
      <c r="Q1642" s="15"/>
      <c r="R1642" s="16"/>
      <c r="S1642" s="16"/>
      <c r="T1642" s="16"/>
      <c r="U1642" s="16"/>
      <c r="V1642" s="37" t="str">
        <f>IFERROR(__xludf.DUMMYFUNCTION("if(not(iserror(index(split(C1642, "" ""),2))), index(split(C1642, "" ""),1),"""")"),"")</f>
        <v/>
      </c>
      <c r="W1642" s="315" t="str">
        <f>IFERROR(__xludf.DUMMYFUNCTION("if(V1642="""",C1642,if(not(iserror(index(split(C1642, "" ""),3))), index(split(C1642, "" ""),3),index(split(C1642, "" ""),2)))"),"")</f>
        <v/>
      </c>
      <c r="X1642" s="38" t="b">
        <f t="shared" si="2"/>
        <v>0</v>
      </c>
      <c r="Y1642" s="38"/>
      <c r="Z1642" s="40"/>
      <c r="AA1642" s="40"/>
      <c r="AB1642" s="38"/>
      <c r="AC1642" s="38"/>
      <c r="AD1642" s="38"/>
      <c r="AE1642" s="38"/>
      <c r="AF1642" s="38"/>
      <c r="AG1642" s="38"/>
      <c r="AH1642" s="38"/>
      <c r="AI1642" s="38"/>
      <c r="AJ1642" s="38"/>
      <c r="AK1642" s="38"/>
      <c r="AL1642" s="38"/>
      <c r="AM1642" s="38"/>
      <c r="AN1642" s="38"/>
      <c r="AO1642" s="38"/>
      <c r="AP1642" s="38"/>
      <c r="AQ1642" s="38"/>
      <c r="AR1642" s="38"/>
      <c r="AS1642" s="38"/>
      <c r="AT1642" s="38"/>
      <c r="AU1642" s="38"/>
      <c r="AV1642" s="38"/>
      <c r="AW1642" s="38"/>
      <c r="AX1642" s="38"/>
      <c r="AY1642" s="38"/>
      <c r="AZ1642" s="38"/>
      <c r="BA1642" s="38"/>
      <c r="BB1642" s="38"/>
      <c r="BC1642" s="38"/>
      <c r="BD1642" s="38"/>
      <c r="BE1642" s="38"/>
      <c r="BF1642" s="38"/>
      <c r="BG1642" s="38"/>
    </row>
    <row r="1643">
      <c r="A1643" s="16"/>
      <c r="B1643" s="380"/>
      <c r="C1643" s="146"/>
      <c r="D1643" s="146"/>
      <c r="E1643" s="16"/>
      <c r="F1643" s="91"/>
      <c r="G1643" s="16"/>
      <c r="H1643" s="320" t="str">
        <f t="shared" si="1"/>
        <v/>
      </c>
      <c r="I1643" s="16"/>
      <c r="J1643" s="16"/>
      <c r="K1643" s="16"/>
      <c r="L1643" s="38"/>
      <c r="M1643" s="16"/>
      <c r="N1643" s="16"/>
      <c r="O1643" s="16"/>
      <c r="P1643" s="15"/>
      <c r="Q1643" s="15"/>
      <c r="R1643" s="16"/>
      <c r="S1643" s="16"/>
      <c r="T1643" s="16"/>
      <c r="U1643" s="16"/>
      <c r="V1643" s="37" t="str">
        <f>IFERROR(__xludf.DUMMYFUNCTION("if(not(iserror(index(split(C1643, "" ""),2))), index(split(C1643, "" ""),1),"""")"),"")</f>
        <v/>
      </c>
      <c r="W1643" s="315" t="str">
        <f>IFERROR(__xludf.DUMMYFUNCTION("if(V1643="""",C1643,if(not(iserror(index(split(C1643, "" ""),3))), index(split(C1643, "" ""),3),index(split(C1643, "" ""),2)))"),"")</f>
        <v/>
      </c>
      <c r="X1643" s="38" t="b">
        <f t="shared" si="2"/>
        <v>0</v>
      </c>
      <c r="Y1643" s="38"/>
      <c r="Z1643" s="40"/>
      <c r="AA1643" s="40"/>
      <c r="AB1643" s="38"/>
      <c r="AC1643" s="38"/>
      <c r="AD1643" s="38"/>
      <c r="AE1643" s="38"/>
      <c r="AF1643" s="38"/>
      <c r="AG1643" s="38"/>
      <c r="AH1643" s="38"/>
      <c r="AI1643" s="38"/>
      <c r="AJ1643" s="38"/>
      <c r="AK1643" s="38"/>
      <c r="AL1643" s="38"/>
      <c r="AM1643" s="38"/>
      <c r="AN1643" s="38"/>
      <c r="AO1643" s="38"/>
      <c r="AP1643" s="38"/>
      <c r="AQ1643" s="38"/>
      <c r="AR1643" s="38"/>
      <c r="AS1643" s="38"/>
      <c r="AT1643" s="38"/>
      <c r="AU1643" s="38"/>
      <c r="AV1643" s="38"/>
      <c r="AW1643" s="38"/>
      <c r="AX1643" s="38"/>
      <c r="AY1643" s="38"/>
      <c r="AZ1643" s="38"/>
      <c r="BA1643" s="38"/>
      <c r="BB1643" s="38"/>
      <c r="BC1643" s="38"/>
      <c r="BD1643" s="38"/>
      <c r="BE1643" s="38"/>
      <c r="BF1643" s="38"/>
      <c r="BG1643" s="38"/>
    </row>
    <row r="1644">
      <c r="A1644" s="16"/>
      <c r="B1644" s="380"/>
      <c r="C1644" s="146"/>
      <c r="D1644" s="146"/>
      <c r="E1644" s="16"/>
      <c r="F1644" s="91"/>
      <c r="G1644" s="16"/>
      <c r="H1644" s="320" t="str">
        <f t="shared" si="1"/>
        <v/>
      </c>
      <c r="I1644" s="16"/>
      <c r="J1644" s="16"/>
      <c r="K1644" s="16"/>
      <c r="L1644" s="38"/>
      <c r="M1644" s="16"/>
      <c r="N1644" s="16"/>
      <c r="O1644" s="16"/>
      <c r="P1644" s="15"/>
      <c r="Q1644" s="15"/>
      <c r="R1644" s="16"/>
      <c r="S1644" s="16"/>
      <c r="T1644" s="16"/>
      <c r="U1644" s="16"/>
      <c r="V1644" s="37" t="str">
        <f>IFERROR(__xludf.DUMMYFUNCTION("if(not(iserror(index(split(C1644, "" ""),2))), index(split(C1644, "" ""),1),"""")"),"")</f>
        <v/>
      </c>
      <c r="W1644" s="315" t="str">
        <f>IFERROR(__xludf.DUMMYFUNCTION("if(V1644="""",C1644,if(not(iserror(index(split(C1644, "" ""),3))), index(split(C1644, "" ""),3),index(split(C1644, "" ""),2)))"),"")</f>
        <v/>
      </c>
      <c r="X1644" s="38" t="b">
        <f t="shared" si="2"/>
        <v>0</v>
      </c>
      <c r="Y1644" s="38"/>
      <c r="Z1644" s="40"/>
      <c r="AA1644" s="40"/>
      <c r="AB1644" s="38"/>
      <c r="AC1644" s="38"/>
      <c r="AD1644" s="38"/>
      <c r="AE1644" s="38"/>
      <c r="AF1644" s="38"/>
      <c r="AG1644" s="38"/>
      <c r="AH1644" s="38"/>
      <c r="AI1644" s="38"/>
      <c r="AJ1644" s="38"/>
      <c r="AK1644" s="38"/>
      <c r="AL1644" s="38"/>
      <c r="AM1644" s="38"/>
      <c r="AN1644" s="38"/>
      <c r="AO1644" s="38"/>
      <c r="AP1644" s="38"/>
      <c r="AQ1644" s="38"/>
      <c r="AR1644" s="38"/>
      <c r="AS1644" s="38"/>
      <c r="AT1644" s="38"/>
      <c r="AU1644" s="38"/>
      <c r="AV1644" s="38"/>
      <c r="AW1644" s="38"/>
      <c r="AX1644" s="38"/>
      <c r="AY1644" s="38"/>
      <c r="AZ1644" s="38"/>
      <c r="BA1644" s="38"/>
      <c r="BB1644" s="38"/>
      <c r="BC1644" s="38"/>
      <c r="BD1644" s="38"/>
      <c r="BE1644" s="38"/>
      <c r="BF1644" s="38"/>
      <c r="BG1644" s="38"/>
    </row>
    <row r="1645">
      <c r="A1645" s="16"/>
      <c r="B1645" s="380"/>
      <c r="C1645" s="146"/>
      <c r="D1645" s="146"/>
      <c r="E1645" s="16"/>
      <c r="F1645" s="91"/>
      <c r="G1645" s="16"/>
      <c r="H1645" s="320" t="str">
        <f t="shared" si="1"/>
        <v/>
      </c>
      <c r="I1645" s="16"/>
      <c r="J1645" s="16"/>
      <c r="K1645" s="16"/>
      <c r="L1645" s="38"/>
      <c r="M1645" s="16"/>
      <c r="N1645" s="16"/>
      <c r="O1645" s="16"/>
      <c r="P1645" s="15"/>
      <c r="Q1645" s="15"/>
      <c r="R1645" s="16"/>
      <c r="S1645" s="16"/>
      <c r="T1645" s="16"/>
      <c r="U1645" s="16"/>
      <c r="V1645" s="37" t="str">
        <f>IFERROR(__xludf.DUMMYFUNCTION("if(not(iserror(index(split(C1645, "" ""),2))), index(split(C1645, "" ""),1),"""")"),"")</f>
        <v/>
      </c>
      <c r="W1645" s="315" t="str">
        <f>IFERROR(__xludf.DUMMYFUNCTION("if(V1645="""",C1645,if(not(iserror(index(split(C1645, "" ""),3))), index(split(C1645, "" ""),3),index(split(C1645, "" ""),2)))"),"")</f>
        <v/>
      </c>
      <c r="X1645" s="38" t="b">
        <f t="shared" si="2"/>
        <v>0</v>
      </c>
      <c r="Y1645" s="38"/>
      <c r="Z1645" s="40"/>
      <c r="AA1645" s="40"/>
      <c r="AB1645" s="38"/>
      <c r="AC1645" s="38"/>
      <c r="AD1645" s="38"/>
      <c r="AE1645" s="38"/>
      <c r="AF1645" s="38"/>
      <c r="AG1645" s="38"/>
      <c r="AH1645" s="38"/>
      <c r="AI1645" s="38"/>
      <c r="AJ1645" s="38"/>
      <c r="AK1645" s="38"/>
      <c r="AL1645" s="38"/>
      <c r="AM1645" s="38"/>
      <c r="AN1645" s="38"/>
      <c r="AO1645" s="38"/>
      <c r="AP1645" s="38"/>
      <c r="AQ1645" s="38"/>
      <c r="AR1645" s="38"/>
      <c r="AS1645" s="38"/>
      <c r="AT1645" s="38"/>
      <c r="AU1645" s="38"/>
      <c r="AV1645" s="38"/>
      <c r="AW1645" s="38"/>
      <c r="AX1645" s="38"/>
      <c r="AY1645" s="38"/>
      <c r="AZ1645" s="38"/>
      <c r="BA1645" s="38"/>
      <c r="BB1645" s="38"/>
      <c r="BC1645" s="38"/>
      <c r="BD1645" s="38"/>
      <c r="BE1645" s="38"/>
      <c r="BF1645" s="38"/>
      <c r="BG1645" s="38"/>
    </row>
    <row r="1646">
      <c r="A1646" s="16"/>
      <c r="B1646" s="380"/>
      <c r="C1646" s="146"/>
      <c r="D1646" s="146"/>
      <c r="E1646" s="16"/>
      <c r="F1646" s="91"/>
      <c r="G1646" s="16"/>
      <c r="H1646" s="320" t="str">
        <f t="shared" si="1"/>
        <v/>
      </c>
      <c r="I1646" s="16"/>
      <c r="J1646" s="16"/>
      <c r="K1646" s="16"/>
      <c r="L1646" s="38"/>
      <c r="M1646" s="16"/>
      <c r="N1646" s="16"/>
      <c r="O1646" s="16"/>
      <c r="P1646" s="15"/>
      <c r="Q1646" s="15"/>
      <c r="R1646" s="16"/>
      <c r="S1646" s="16"/>
      <c r="T1646" s="16"/>
      <c r="U1646" s="16"/>
      <c r="V1646" s="37" t="str">
        <f>IFERROR(__xludf.DUMMYFUNCTION("if(not(iserror(index(split(C1646, "" ""),2))), index(split(C1646, "" ""),1),"""")"),"")</f>
        <v/>
      </c>
      <c r="W1646" s="315" t="str">
        <f>IFERROR(__xludf.DUMMYFUNCTION("if(V1646="""",C1646,if(not(iserror(index(split(C1646, "" ""),3))), index(split(C1646, "" ""),3),index(split(C1646, "" ""),2)))"),"")</f>
        <v/>
      </c>
      <c r="X1646" s="38" t="b">
        <f t="shared" si="2"/>
        <v>0</v>
      </c>
      <c r="Y1646" s="38"/>
      <c r="Z1646" s="40"/>
      <c r="AA1646" s="40"/>
      <c r="AB1646" s="38"/>
      <c r="AC1646" s="38"/>
      <c r="AD1646" s="38"/>
      <c r="AE1646" s="38"/>
      <c r="AF1646" s="38"/>
      <c r="AG1646" s="38"/>
      <c r="AH1646" s="38"/>
      <c r="AI1646" s="38"/>
      <c r="AJ1646" s="38"/>
      <c r="AK1646" s="38"/>
      <c r="AL1646" s="38"/>
      <c r="AM1646" s="38"/>
      <c r="AN1646" s="38"/>
      <c r="AO1646" s="38"/>
      <c r="AP1646" s="38"/>
      <c r="AQ1646" s="38"/>
      <c r="AR1646" s="38"/>
      <c r="AS1646" s="38"/>
      <c r="AT1646" s="38"/>
      <c r="AU1646" s="38"/>
      <c r="AV1646" s="38"/>
      <c r="AW1646" s="38"/>
      <c r="AX1646" s="38"/>
      <c r="AY1646" s="38"/>
      <c r="AZ1646" s="38"/>
      <c r="BA1646" s="38"/>
      <c r="BB1646" s="38"/>
      <c r="BC1646" s="38"/>
      <c r="BD1646" s="38"/>
      <c r="BE1646" s="38"/>
      <c r="BF1646" s="38"/>
      <c r="BG1646" s="38"/>
    </row>
    <row r="1647">
      <c r="A1647" s="16"/>
      <c r="B1647" s="380"/>
      <c r="C1647" s="146"/>
      <c r="D1647" s="146"/>
      <c r="E1647" s="16"/>
      <c r="F1647" s="91"/>
      <c r="G1647" s="16"/>
      <c r="H1647" s="320" t="str">
        <f t="shared" si="1"/>
        <v/>
      </c>
      <c r="I1647" s="16"/>
      <c r="J1647" s="16"/>
      <c r="K1647" s="16"/>
      <c r="L1647" s="38"/>
      <c r="M1647" s="16"/>
      <c r="N1647" s="16"/>
      <c r="O1647" s="16"/>
      <c r="P1647" s="15"/>
      <c r="Q1647" s="15"/>
      <c r="R1647" s="16"/>
      <c r="S1647" s="16"/>
      <c r="T1647" s="16"/>
      <c r="U1647" s="16"/>
      <c r="V1647" s="37" t="str">
        <f>IFERROR(__xludf.DUMMYFUNCTION("if(not(iserror(index(split(C1647, "" ""),2))), index(split(C1647, "" ""),1),"""")"),"")</f>
        <v/>
      </c>
      <c r="W1647" s="315" t="str">
        <f>IFERROR(__xludf.DUMMYFUNCTION("if(V1647="""",C1647,if(not(iserror(index(split(C1647, "" ""),3))), index(split(C1647, "" ""),3),index(split(C1647, "" ""),2)))"),"")</f>
        <v/>
      </c>
      <c r="X1647" s="38" t="b">
        <f t="shared" si="2"/>
        <v>0</v>
      </c>
      <c r="Y1647" s="38"/>
      <c r="Z1647" s="40"/>
      <c r="AA1647" s="40"/>
      <c r="AB1647" s="38"/>
      <c r="AC1647" s="38"/>
      <c r="AD1647" s="38"/>
      <c r="AE1647" s="38"/>
      <c r="AF1647" s="38"/>
      <c r="AG1647" s="38"/>
      <c r="AH1647" s="38"/>
      <c r="AI1647" s="38"/>
      <c r="AJ1647" s="38"/>
      <c r="AK1647" s="38"/>
      <c r="AL1647" s="38"/>
      <c r="AM1647" s="38"/>
      <c r="AN1647" s="38"/>
      <c r="AO1647" s="38"/>
      <c r="AP1647" s="38"/>
      <c r="AQ1647" s="38"/>
      <c r="AR1647" s="38"/>
      <c r="AS1647" s="38"/>
      <c r="AT1647" s="38"/>
      <c r="AU1647" s="38"/>
      <c r="AV1647" s="38"/>
      <c r="AW1647" s="38"/>
      <c r="AX1647" s="38"/>
      <c r="AY1647" s="38"/>
      <c r="AZ1647" s="38"/>
      <c r="BA1647" s="38"/>
      <c r="BB1647" s="38"/>
      <c r="BC1647" s="38"/>
      <c r="BD1647" s="38"/>
      <c r="BE1647" s="38"/>
      <c r="BF1647" s="38"/>
      <c r="BG1647" s="38"/>
    </row>
    <row r="1648">
      <c r="A1648" s="16"/>
      <c r="B1648" s="380"/>
      <c r="C1648" s="146"/>
      <c r="D1648" s="146"/>
      <c r="E1648" s="16"/>
      <c r="F1648" s="91"/>
      <c r="G1648" s="16"/>
      <c r="H1648" s="320" t="str">
        <f t="shared" si="1"/>
        <v/>
      </c>
      <c r="I1648" s="16"/>
      <c r="J1648" s="16"/>
      <c r="K1648" s="16"/>
      <c r="L1648" s="38"/>
      <c r="M1648" s="16"/>
      <c r="N1648" s="16"/>
      <c r="O1648" s="16"/>
      <c r="P1648" s="15"/>
      <c r="Q1648" s="15"/>
      <c r="R1648" s="16"/>
      <c r="S1648" s="16"/>
      <c r="T1648" s="16"/>
      <c r="U1648" s="16"/>
      <c r="V1648" s="37" t="str">
        <f>IFERROR(__xludf.DUMMYFUNCTION("if(not(iserror(index(split(C1648, "" ""),2))), index(split(C1648, "" ""),1),"""")"),"")</f>
        <v/>
      </c>
      <c r="W1648" s="315" t="str">
        <f>IFERROR(__xludf.DUMMYFUNCTION("if(V1648="""",C1648,if(not(iserror(index(split(C1648, "" ""),3))), index(split(C1648, "" ""),3),index(split(C1648, "" ""),2)))"),"")</f>
        <v/>
      </c>
      <c r="X1648" s="38" t="b">
        <f t="shared" si="2"/>
        <v>0</v>
      </c>
      <c r="Y1648" s="38"/>
      <c r="Z1648" s="40"/>
      <c r="AA1648" s="40"/>
      <c r="AB1648" s="38"/>
      <c r="AC1648" s="38"/>
      <c r="AD1648" s="38"/>
      <c r="AE1648" s="38"/>
      <c r="AF1648" s="38"/>
      <c r="AG1648" s="38"/>
      <c r="AH1648" s="38"/>
      <c r="AI1648" s="38"/>
      <c r="AJ1648" s="38"/>
      <c r="AK1648" s="38"/>
      <c r="AL1648" s="38"/>
      <c r="AM1648" s="38"/>
      <c r="AN1648" s="38"/>
      <c r="AO1648" s="38"/>
      <c r="AP1648" s="38"/>
      <c r="AQ1648" s="38"/>
      <c r="AR1648" s="38"/>
      <c r="AS1648" s="38"/>
      <c r="AT1648" s="38"/>
      <c r="AU1648" s="38"/>
      <c r="AV1648" s="38"/>
      <c r="AW1648" s="38"/>
      <c r="AX1648" s="38"/>
      <c r="AY1648" s="38"/>
      <c r="AZ1648" s="38"/>
      <c r="BA1648" s="38"/>
      <c r="BB1648" s="38"/>
      <c r="BC1648" s="38"/>
      <c r="BD1648" s="38"/>
      <c r="BE1648" s="38"/>
      <c r="BF1648" s="38"/>
      <c r="BG1648" s="38"/>
    </row>
    <row r="1649">
      <c r="A1649" s="16"/>
      <c r="B1649" s="380"/>
      <c r="C1649" s="146"/>
      <c r="D1649" s="146"/>
      <c r="E1649" s="16"/>
      <c r="F1649" s="91"/>
      <c r="G1649" s="16"/>
      <c r="H1649" s="320" t="str">
        <f t="shared" si="1"/>
        <v/>
      </c>
      <c r="I1649" s="16"/>
      <c r="J1649" s="16"/>
      <c r="K1649" s="16"/>
      <c r="L1649" s="38"/>
      <c r="M1649" s="16"/>
      <c r="N1649" s="16"/>
      <c r="O1649" s="16"/>
      <c r="P1649" s="15"/>
      <c r="Q1649" s="15"/>
      <c r="R1649" s="16"/>
      <c r="S1649" s="16"/>
      <c r="T1649" s="16"/>
      <c r="U1649" s="16"/>
      <c r="V1649" s="37" t="str">
        <f>IFERROR(__xludf.DUMMYFUNCTION("if(not(iserror(index(split(C1649, "" ""),2))), index(split(C1649, "" ""),1),"""")"),"")</f>
        <v/>
      </c>
      <c r="W1649" s="315" t="str">
        <f>IFERROR(__xludf.DUMMYFUNCTION("if(V1649="""",C1649,if(not(iserror(index(split(C1649, "" ""),3))), index(split(C1649, "" ""),3),index(split(C1649, "" ""),2)))"),"")</f>
        <v/>
      </c>
      <c r="X1649" s="38" t="b">
        <f t="shared" si="2"/>
        <v>0</v>
      </c>
      <c r="Y1649" s="38"/>
      <c r="Z1649" s="40"/>
      <c r="AA1649" s="40"/>
      <c r="AB1649" s="38"/>
      <c r="AC1649" s="38"/>
      <c r="AD1649" s="38"/>
      <c r="AE1649" s="38"/>
      <c r="AF1649" s="38"/>
      <c r="AG1649" s="38"/>
      <c r="AH1649" s="38"/>
      <c r="AI1649" s="38"/>
      <c r="AJ1649" s="38"/>
      <c r="AK1649" s="38"/>
      <c r="AL1649" s="38"/>
      <c r="AM1649" s="38"/>
      <c r="AN1649" s="38"/>
      <c r="AO1649" s="38"/>
      <c r="AP1649" s="38"/>
      <c r="AQ1649" s="38"/>
      <c r="AR1649" s="38"/>
      <c r="AS1649" s="38"/>
      <c r="AT1649" s="38"/>
      <c r="AU1649" s="38"/>
      <c r="AV1649" s="38"/>
      <c r="AW1649" s="38"/>
      <c r="AX1649" s="38"/>
      <c r="AY1649" s="38"/>
      <c r="AZ1649" s="38"/>
      <c r="BA1649" s="38"/>
      <c r="BB1649" s="38"/>
      <c r="BC1649" s="38"/>
      <c r="BD1649" s="38"/>
      <c r="BE1649" s="38"/>
      <c r="BF1649" s="38"/>
      <c r="BG1649" s="38"/>
    </row>
    <row r="1650">
      <c r="A1650" s="16"/>
      <c r="B1650" s="380"/>
      <c r="C1650" s="146"/>
      <c r="D1650" s="146"/>
      <c r="E1650" s="16"/>
      <c r="F1650" s="91"/>
      <c r="G1650" s="16"/>
      <c r="H1650" s="320" t="str">
        <f t="shared" si="1"/>
        <v/>
      </c>
      <c r="I1650" s="16"/>
      <c r="J1650" s="16"/>
      <c r="K1650" s="16"/>
      <c r="L1650" s="38"/>
      <c r="M1650" s="16"/>
      <c r="N1650" s="16"/>
      <c r="O1650" s="16"/>
      <c r="P1650" s="15"/>
      <c r="Q1650" s="15"/>
      <c r="R1650" s="16"/>
      <c r="S1650" s="16"/>
      <c r="T1650" s="16"/>
      <c r="U1650" s="16"/>
      <c r="V1650" s="37" t="str">
        <f>IFERROR(__xludf.DUMMYFUNCTION("if(not(iserror(index(split(C1650, "" ""),2))), index(split(C1650, "" ""),1),"""")"),"")</f>
        <v/>
      </c>
      <c r="W1650" s="315" t="str">
        <f>IFERROR(__xludf.DUMMYFUNCTION("if(V1650="""",C1650,if(not(iserror(index(split(C1650, "" ""),3))), index(split(C1650, "" ""),3),index(split(C1650, "" ""),2)))"),"")</f>
        <v/>
      </c>
      <c r="X1650" s="38" t="b">
        <f t="shared" si="2"/>
        <v>0</v>
      </c>
      <c r="Y1650" s="38"/>
      <c r="Z1650" s="40"/>
      <c r="AA1650" s="40"/>
      <c r="AB1650" s="38"/>
      <c r="AC1650" s="38"/>
      <c r="AD1650" s="38"/>
      <c r="AE1650" s="38"/>
      <c r="AF1650" s="38"/>
      <c r="AG1650" s="38"/>
      <c r="AH1650" s="38"/>
      <c r="AI1650" s="38"/>
      <c r="AJ1650" s="38"/>
      <c r="AK1650" s="38"/>
      <c r="AL1650" s="38"/>
      <c r="AM1650" s="38"/>
      <c r="AN1650" s="38"/>
      <c r="AO1650" s="38"/>
      <c r="AP1650" s="38"/>
      <c r="AQ1650" s="38"/>
      <c r="AR1650" s="38"/>
      <c r="AS1650" s="38"/>
      <c r="AT1650" s="38"/>
      <c r="AU1650" s="38"/>
      <c r="AV1650" s="38"/>
      <c r="AW1650" s="38"/>
      <c r="AX1650" s="38"/>
      <c r="AY1650" s="38"/>
      <c r="AZ1650" s="38"/>
      <c r="BA1650" s="38"/>
      <c r="BB1650" s="38"/>
      <c r="BC1650" s="38"/>
      <c r="BD1650" s="38"/>
      <c r="BE1650" s="38"/>
      <c r="BF1650" s="38"/>
      <c r="BG1650" s="38"/>
    </row>
    <row r="1651">
      <c r="A1651" s="16"/>
      <c r="B1651" s="380"/>
      <c r="C1651" s="146"/>
      <c r="D1651" s="146"/>
      <c r="E1651" s="16"/>
      <c r="F1651" s="91"/>
      <c r="G1651" s="16"/>
      <c r="H1651" s="320" t="str">
        <f t="shared" si="1"/>
        <v/>
      </c>
      <c r="I1651" s="16"/>
      <c r="J1651" s="16"/>
      <c r="K1651" s="16"/>
      <c r="L1651" s="38"/>
      <c r="M1651" s="16"/>
      <c r="N1651" s="16"/>
      <c r="O1651" s="16"/>
      <c r="P1651" s="15"/>
      <c r="Q1651" s="15"/>
      <c r="R1651" s="16"/>
      <c r="S1651" s="16"/>
      <c r="T1651" s="16"/>
      <c r="U1651" s="16"/>
      <c r="V1651" s="37" t="str">
        <f>IFERROR(__xludf.DUMMYFUNCTION("if(not(iserror(index(split(C1651, "" ""),2))), index(split(C1651, "" ""),1),"""")"),"")</f>
        <v/>
      </c>
      <c r="W1651" s="315" t="str">
        <f>IFERROR(__xludf.DUMMYFUNCTION("if(V1651="""",C1651,if(not(iserror(index(split(C1651, "" ""),3))), index(split(C1651, "" ""),3),index(split(C1651, "" ""),2)))"),"")</f>
        <v/>
      </c>
      <c r="X1651" s="38" t="b">
        <f t="shared" si="2"/>
        <v>0</v>
      </c>
      <c r="Y1651" s="38"/>
      <c r="Z1651" s="40"/>
      <c r="AA1651" s="40"/>
      <c r="AB1651" s="38"/>
      <c r="AC1651" s="38"/>
      <c r="AD1651" s="38"/>
      <c r="AE1651" s="38"/>
      <c r="AF1651" s="38"/>
      <c r="AG1651" s="38"/>
      <c r="AH1651" s="38"/>
      <c r="AI1651" s="38"/>
      <c r="AJ1651" s="38"/>
      <c r="AK1651" s="38"/>
      <c r="AL1651" s="38"/>
      <c r="AM1651" s="38"/>
      <c r="AN1651" s="38"/>
      <c r="AO1651" s="38"/>
      <c r="AP1651" s="38"/>
      <c r="AQ1651" s="38"/>
      <c r="AR1651" s="38"/>
      <c r="AS1651" s="38"/>
      <c r="AT1651" s="38"/>
      <c r="AU1651" s="38"/>
      <c r="AV1651" s="38"/>
      <c r="AW1651" s="38"/>
      <c r="AX1651" s="38"/>
      <c r="AY1651" s="38"/>
      <c r="AZ1651" s="38"/>
      <c r="BA1651" s="38"/>
      <c r="BB1651" s="38"/>
      <c r="BC1651" s="38"/>
      <c r="BD1651" s="38"/>
      <c r="BE1651" s="38"/>
      <c r="BF1651" s="38"/>
      <c r="BG1651" s="38"/>
    </row>
    <row r="1652">
      <c r="A1652" s="16"/>
      <c r="B1652" s="380"/>
      <c r="C1652" s="146"/>
      <c r="D1652" s="146"/>
      <c r="E1652" s="16"/>
      <c r="F1652" s="91"/>
      <c r="G1652" s="16"/>
      <c r="H1652" s="320" t="str">
        <f t="shared" si="1"/>
        <v/>
      </c>
      <c r="I1652" s="16"/>
      <c r="J1652" s="16"/>
      <c r="K1652" s="16"/>
      <c r="L1652" s="38"/>
      <c r="M1652" s="16"/>
      <c r="N1652" s="16"/>
      <c r="O1652" s="16"/>
      <c r="P1652" s="15"/>
      <c r="Q1652" s="15"/>
      <c r="R1652" s="16"/>
      <c r="S1652" s="16"/>
      <c r="T1652" s="16"/>
      <c r="U1652" s="16"/>
      <c r="V1652" s="37" t="str">
        <f>IFERROR(__xludf.DUMMYFUNCTION("if(not(iserror(index(split(C1652, "" ""),2))), index(split(C1652, "" ""),1),"""")"),"")</f>
        <v/>
      </c>
      <c r="W1652" s="315" t="str">
        <f>IFERROR(__xludf.DUMMYFUNCTION("if(V1652="""",C1652,if(not(iserror(index(split(C1652, "" ""),3))), index(split(C1652, "" ""),3),index(split(C1652, "" ""),2)))"),"")</f>
        <v/>
      </c>
      <c r="X1652" s="38" t="b">
        <f t="shared" si="2"/>
        <v>0</v>
      </c>
      <c r="Y1652" s="38"/>
      <c r="Z1652" s="40"/>
      <c r="AA1652" s="40"/>
      <c r="AB1652" s="38"/>
      <c r="AC1652" s="38"/>
      <c r="AD1652" s="38"/>
      <c r="AE1652" s="38"/>
      <c r="AF1652" s="38"/>
      <c r="AG1652" s="38"/>
      <c r="AH1652" s="38"/>
      <c r="AI1652" s="38"/>
      <c r="AJ1652" s="38"/>
      <c r="AK1652" s="38"/>
      <c r="AL1652" s="38"/>
      <c r="AM1652" s="38"/>
      <c r="AN1652" s="38"/>
      <c r="AO1652" s="38"/>
      <c r="AP1652" s="38"/>
      <c r="AQ1652" s="38"/>
      <c r="AR1652" s="38"/>
      <c r="AS1652" s="38"/>
      <c r="AT1652" s="38"/>
      <c r="AU1652" s="38"/>
      <c r="AV1652" s="38"/>
      <c r="AW1652" s="38"/>
      <c r="AX1652" s="38"/>
      <c r="AY1652" s="38"/>
      <c r="AZ1652" s="38"/>
      <c r="BA1652" s="38"/>
      <c r="BB1652" s="38"/>
      <c r="BC1652" s="38"/>
      <c r="BD1652" s="38"/>
      <c r="BE1652" s="38"/>
      <c r="BF1652" s="38"/>
      <c r="BG1652" s="38"/>
    </row>
    <row r="1653">
      <c r="A1653" s="16"/>
      <c r="B1653" s="380"/>
      <c r="C1653" s="146"/>
      <c r="D1653" s="146"/>
      <c r="E1653" s="16"/>
      <c r="F1653" s="91"/>
      <c r="G1653" s="16"/>
      <c r="H1653" s="320" t="str">
        <f t="shared" si="1"/>
        <v/>
      </c>
      <c r="I1653" s="16"/>
      <c r="J1653" s="16"/>
      <c r="K1653" s="16"/>
      <c r="L1653" s="38"/>
      <c r="M1653" s="16"/>
      <c r="N1653" s="16"/>
      <c r="O1653" s="16"/>
      <c r="P1653" s="15"/>
      <c r="Q1653" s="15"/>
      <c r="R1653" s="16"/>
      <c r="S1653" s="16"/>
      <c r="T1653" s="16"/>
      <c r="U1653" s="16"/>
      <c r="V1653" s="37" t="str">
        <f>IFERROR(__xludf.DUMMYFUNCTION("if(not(iserror(index(split(C1653, "" ""),2))), index(split(C1653, "" ""),1),"""")"),"")</f>
        <v/>
      </c>
      <c r="W1653" s="315" t="str">
        <f>IFERROR(__xludf.DUMMYFUNCTION("if(V1653="""",C1653,if(not(iserror(index(split(C1653, "" ""),3))), index(split(C1653, "" ""),3),index(split(C1653, "" ""),2)))"),"")</f>
        <v/>
      </c>
      <c r="X1653" s="38" t="b">
        <f t="shared" si="2"/>
        <v>0</v>
      </c>
      <c r="Y1653" s="38"/>
      <c r="Z1653" s="40"/>
      <c r="AA1653" s="40"/>
      <c r="AB1653" s="38"/>
      <c r="AC1653" s="38"/>
      <c r="AD1653" s="38"/>
      <c r="AE1653" s="38"/>
      <c r="AF1653" s="38"/>
      <c r="AG1653" s="38"/>
      <c r="AH1653" s="38"/>
      <c r="AI1653" s="38"/>
      <c r="AJ1653" s="38"/>
      <c r="AK1653" s="38"/>
      <c r="AL1653" s="38"/>
      <c r="AM1653" s="38"/>
      <c r="AN1653" s="38"/>
      <c r="AO1653" s="38"/>
      <c r="AP1653" s="38"/>
      <c r="AQ1653" s="38"/>
      <c r="AR1653" s="38"/>
      <c r="AS1653" s="38"/>
      <c r="AT1653" s="38"/>
      <c r="AU1653" s="38"/>
      <c r="AV1653" s="38"/>
      <c r="AW1653" s="38"/>
      <c r="AX1653" s="38"/>
      <c r="AY1653" s="38"/>
      <c r="AZ1653" s="38"/>
      <c r="BA1653" s="38"/>
      <c r="BB1653" s="38"/>
      <c r="BC1653" s="38"/>
      <c r="BD1653" s="38"/>
      <c r="BE1653" s="38"/>
      <c r="BF1653" s="38"/>
      <c r="BG1653" s="38"/>
    </row>
    <row r="1654">
      <c r="A1654" s="16"/>
      <c r="B1654" s="380"/>
      <c r="C1654" s="146"/>
      <c r="D1654" s="146"/>
      <c r="E1654" s="16"/>
      <c r="F1654" s="91"/>
      <c r="G1654" s="16"/>
      <c r="H1654" s="320" t="str">
        <f t="shared" si="1"/>
        <v/>
      </c>
      <c r="I1654" s="16"/>
      <c r="J1654" s="16"/>
      <c r="K1654" s="16"/>
      <c r="L1654" s="38"/>
      <c r="M1654" s="16"/>
      <c r="N1654" s="16"/>
      <c r="O1654" s="16"/>
      <c r="P1654" s="15"/>
      <c r="Q1654" s="15"/>
      <c r="R1654" s="16"/>
      <c r="S1654" s="16"/>
      <c r="T1654" s="16"/>
      <c r="U1654" s="16"/>
      <c r="V1654" s="37" t="str">
        <f>IFERROR(__xludf.DUMMYFUNCTION("if(not(iserror(index(split(C1654, "" ""),2))), index(split(C1654, "" ""),1),"""")"),"")</f>
        <v/>
      </c>
      <c r="W1654" s="315" t="str">
        <f>IFERROR(__xludf.DUMMYFUNCTION("if(V1654="""",C1654,if(not(iserror(index(split(C1654, "" ""),3))), index(split(C1654, "" ""),3),index(split(C1654, "" ""),2)))"),"")</f>
        <v/>
      </c>
      <c r="X1654" s="38" t="b">
        <f t="shared" si="2"/>
        <v>0</v>
      </c>
      <c r="Y1654" s="38"/>
      <c r="Z1654" s="40"/>
      <c r="AA1654" s="40"/>
      <c r="AB1654" s="38"/>
      <c r="AC1654" s="38"/>
      <c r="AD1654" s="38"/>
      <c r="AE1654" s="38"/>
      <c r="AF1654" s="38"/>
      <c r="AG1654" s="38"/>
      <c r="AH1654" s="38"/>
      <c r="AI1654" s="38"/>
      <c r="AJ1654" s="38"/>
      <c r="AK1654" s="38"/>
      <c r="AL1654" s="38"/>
      <c r="AM1654" s="38"/>
      <c r="AN1654" s="38"/>
      <c r="AO1654" s="38"/>
      <c r="AP1654" s="38"/>
      <c r="AQ1654" s="38"/>
      <c r="AR1654" s="38"/>
      <c r="AS1654" s="38"/>
      <c r="AT1654" s="38"/>
      <c r="AU1654" s="38"/>
      <c r="AV1654" s="38"/>
      <c r="AW1654" s="38"/>
      <c r="AX1654" s="38"/>
      <c r="AY1654" s="38"/>
      <c r="AZ1654" s="38"/>
      <c r="BA1654" s="38"/>
      <c r="BB1654" s="38"/>
      <c r="BC1654" s="38"/>
      <c r="BD1654" s="38"/>
      <c r="BE1654" s="38"/>
      <c r="BF1654" s="38"/>
      <c r="BG1654" s="38"/>
    </row>
    <row r="1655">
      <c r="A1655" s="16"/>
      <c r="B1655" s="380"/>
      <c r="C1655" s="146"/>
      <c r="D1655" s="146"/>
      <c r="E1655" s="16"/>
      <c r="F1655" s="91"/>
      <c r="G1655" s="16"/>
      <c r="H1655" s="320" t="str">
        <f t="shared" si="1"/>
        <v/>
      </c>
      <c r="I1655" s="16"/>
      <c r="J1655" s="16"/>
      <c r="K1655" s="16"/>
      <c r="L1655" s="38"/>
      <c r="M1655" s="16"/>
      <c r="N1655" s="16"/>
      <c r="O1655" s="16"/>
      <c r="P1655" s="15"/>
      <c r="Q1655" s="15"/>
      <c r="R1655" s="16"/>
      <c r="S1655" s="16"/>
      <c r="T1655" s="16"/>
      <c r="U1655" s="16"/>
      <c r="V1655" s="37" t="str">
        <f>IFERROR(__xludf.DUMMYFUNCTION("if(not(iserror(index(split(C1655, "" ""),2))), index(split(C1655, "" ""),1),"""")"),"")</f>
        <v/>
      </c>
      <c r="W1655" s="315" t="str">
        <f>IFERROR(__xludf.DUMMYFUNCTION("if(V1655="""",C1655,if(not(iserror(index(split(C1655, "" ""),3))), index(split(C1655, "" ""),3),index(split(C1655, "" ""),2)))"),"")</f>
        <v/>
      </c>
      <c r="X1655" s="38" t="b">
        <f t="shared" si="2"/>
        <v>0</v>
      </c>
      <c r="Y1655" s="38"/>
      <c r="Z1655" s="40"/>
      <c r="AA1655" s="40"/>
      <c r="AB1655" s="38"/>
      <c r="AC1655" s="38"/>
      <c r="AD1655" s="38"/>
      <c r="AE1655" s="38"/>
      <c r="AF1655" s="38"/>
      <c r="AG1655" s="38"/>
      <c r="AH1655" s="38"/>
      <c r="AI1655" s="38"/>
      <c r="AJ1655" s="38"/>
      <c r="AK1655" s="38"/>
      <c r="AL1655" s="38"/>
      <c r="AM1655" s="38"/>
      <c r="AN1655" s="38"/>
      <c r="AO1655" s="38"/>
      <c r="AP1655" s="38"/>
      <c r="AQ1655" s="38"/>
      <c r="AR1655" s="38"/>
      <c r="AS1655" s="38"/>
      <c r="AT1655" s="38"/>
      <c r="AU1655" s="38"/>
      <c r="AV1655" s="38"/>
      <c r="AW1655" s="38"/>
      <c r="AX1655" s="38"/>
      <c r="AY1655" s="38"/>
      <c r="AZ1655" s="38"/>
      <c r="BA1655" s="38"/>
      <c r="BB1655" s="38"/>
      <c r="BC1655" s="38"/>
      <c r="BD1655" s="38"/>
      <c r="BE1655" s="38"/>
      <c r="BF1655" s="38"/>
      <c r="BG1655" s="38"/>
    </row>
    <row r="1656">
      <c r="A1656" s="16"/>
      <c r="B1656" s="380"/>
      <c r="C1656" s="146"/>
      <c r="D1656" s="146"/>
      <c r="E1656" s="16"/>
      <c r="F1656" s="91"/>
      <c r="G1656" s="16"/>
      <c r="H1656" s="320" t="str">
        <f t="shared" si="1"/>
        <v/>
      </c>
      <c r="I1656" s="16"/>
      <c r="J1656" s="16"/>
      <c r="K1656" s="16"/>
      <c r="L1656" s="38"/>
      <c r="M1656" s="16"/>
      <c r="N1656" s="16"/>
      <c r="O1656" s="16"/>
      <c r="P1656" s="15"/>
      <c r="Q1656" s="15"/>
      <c r="R1656" s="16"/>
      <c r="S1656" s="16"/>
      <c r="T1656" s="16"/>
      <c r="U1656" s="16"/>
      <c r="V1656" s="37" t="str">
        <f>IFERROR(__xludf.DUMMYFUNCTION("if(not(iserror(index(split(C1656, "" ""),2))), index(split(C1656, "" ""),1),"""")"),"")</f>
        <v/>
      </c>
      <c r="W1656" s="315" t="str">
        <f>IFERROR(__xludf.DUMMYFUNCTION("if(V1656="""",C1656,if(not(iserror(index(split(C1656, "" ""),3))), index(split(C1656, "" ""),3),index(split(C1656, "" ""),2)))"),"")</f>
        <v/>
      </c>
      <c r="X1656" s="38" t="b">
        <f t="shared" si="2"/>
        <v>0</v>
      </c>
      <c r="Y1656" s="38"/>
      <c r="Z1656" s="40"/>
      <c r="AA1656" s="40"/>
      <c r="AB1656" s="38"/>
      <c r="AC1656" s="38"/>
      <c r="AD1656" s="38"/>
      <c r="AE1656" s="38"/>
      <c r="AF1656" s="38"/>
      <c r="AG1656" s="38"/>
      <c r="AH1656" s="38"/>
      <c r="AI1656" s="38"/>
      <c r="AJ1656" s="38"/>
      <c r="AK1656" s="38"/>
      <c r="AL1656" s="38"/>
      <c r="AM1656" s="38"/>
      <c r="AN1656" s="38"/>
      <c r="AO1656" s="38"/>
      <c r="AP1656" s="38"/>
      <c r="AQ1656" s="38"/>
      <c r="AR1656" s="38"/>
      <c r="AS1656" s="38"/>
      <c r="AT1656" s="38"/>
      <c r="AU1656" s="38"/>
      <c r="AV1656" s="38"/>
      <c r="AW1656" s="38"/>
      <c r="AX1656" s="38"/>
      <c r="AY1656" s="38"/>
      <c r="AZ1656" s="38"/>
      <c r="BA1656" s="38"/>
      <c r="BB1656" s="38"/>
      <c r="BC1656" s="38"/>
      <c r="BD1656" s="38"/>
      <c r="BE1656" s="38"/>
      <c r="BF1656" s="38"/>
      <c r="BG1656" s="38"/>
    </row>
    <row r="1657">
      <c r="A1657" s="16"/>
      <c r="B1657" s="380"/>
      <c r="C1657" s="146"/>
      <c r="D1657" s="146"/>
      <c r="E1657" s="16"/>
      <c r="F1657" s="91"/>
      <c r="G1657" s="16"/>
      <c r="H1657" s="320" t="str">
        <f t="shared" si="1"/>
        <v/>
      </c>
      <c r="I1657" s="16"/>
      <c r="J1657" s="16"/>
      <c r="K1657" s="16"/>
      <c r="L1657" s="38"/>
      <c r="M1657" s="16"/>
      <c r="N1657" s="16"/>
      <c r="O1657" s="16"/>
      <c r="P1657" s="15"/>
      <c r="Q1657" s="15"/>
      <c r="R1657" s="16"/>
      <c r="S1657" s="16"/>
      <c r="T1657" s="16"/>
      <c r="U1657" s="16"/>
      <c r="V1657" s="37" t="str">
        <f>IFERROR(__xludf.DUMMYFUNCTION("if(not(iserror(index(split(C1657, "" ""),2))), index(split(C1657, "" ""),1),"""")"),"")</f>
        <v/>
      </c>
      <c r="W1657" s="315" t="str">
        <f>IFERROR(__xludf.DUMMYFUNCTION("if(V1657="""",C1657,if(not(iserror(index(split(C1657, "" ""),3))), index(split(C1657, "" ""),3),index(split(C1657, "" ""),2)))"),"")</f>
        <v/>
      </c>
      <c r="X1657" s="38" t="b">
        <f t="shared" si="2"/>
        <v>0</v>
      </c>
      <c r="Y1657" s="38"/>
      <c r="Z1657" s="40"/>
      <c r="AA1657" s="40"/>
      <c r="AB1657" s="38"/>
      <c r="AC1657" s="38"/>
      <c r="AD1657" s="38"/>
      <c r="AE1657" s="38"/>
      <c r="AF1657" s="38"/>
      <c r="AG1657" s="38"/>
      <c r="AH1657" s="38"/>
      <c r="AI1657" s="38"/>
      <c r="AJ1657" s="38"/>
      <c r="AK1657" s="38"/>
      <c r="AL1657" s="38"/>
      <c r="AM1657" s="38"/>
      <c r="AN1657" s="38"/>
      <c r="AO1657" s="38"/>
      <c r="AP1657" s="38"/>
      <c r="AQ1657" s="38"/>
      <c r="AR1657" s="38"/>
      <c r="AS1657" s="38"/>
      <c r="AT1657" s="38"/>
      <c r="AU1657" s="38"/>
      <c r="AV1657" s="38"/>
      <c r="AW1657" s="38"/>
      <c r="AX1657" s="38"/>
      <c r="AY1657" s="38"/>
      <c r="AZ1657" s="38"/>
      <c r="BA1657" s="38"/>
      <c r="BB1657" s="38"/>
      <c r="BC1657" s="38"/>
      <c r="BD1657" s="38"/>
      <c r="BE1657" s="38"/>
      <c r="BF1657" s="38"/>
      <c r="BG1657" s="38"/>
    </row>
    <row r="1658">
      <c r="A1658" s="16"/>
      <c r="B1658" s="380"/>
      <c r="C1658" s="146"/>
      <c r="D1658" s="146"/>
      <c r="E1658" s="16"/>
      <c r="F1658" s="91"/>
      <c r="G1658" s="16"/>
      <c r="H1658" s="320" t="str">
        <f t="shared" si="1"/>
        <v/>
      </c>
      <c r="I1658" s="16"/>
      <c r="J1658" s="16"/>
      <c r="K1658" s="16"/>
      <c r="L1658" s="38"/>
      <c r="M1658" s="16"/>
      <c r="N1658" s="16"/>
      <c r="O1658" s="16"/>
      <c r="P1658" s="15"/>
      <c r="Q1658" s="15"/>
      <c r="R1658" s="16"/>
      <c r="S1658" s="16"/>
      <c r="T1658" s="16"/>
      <c r="U1658" s="16"/>
      <c r="V1658" s="37" t="str">
        <f>IFERROR(__xludf.DUMMYFUNCTION("if(not(iserror(index(split(C1658, "" ""),2))), index(split(C1658, "" ""),1),"""")"),"")</f>
        <v/>
      </c>
      <c r="W1658" s="315" t="str">
        <f>IFERROR(__xludf.DUMMYFUNCTION("if(V1658="""",C1658,if(not(iserror(index(split(C1658, "" ""),3))), index(split(C1658, "" ""),3),index(split(C1658, "" ""),2)))"),"")</f>
        <v/>
      </c>
      <c r="X1658" s="38" t="b">
        <f t="shared" si="2"/>
        <v>0</v>
      </c>
      <c r="Y1658" s="38"/>
      <c r="Z1658" s="40"/>
      <c r="AA1658" s="40"/>
      <c r="AB1658" s="38"/>
      <c r="AC1658" s="38"/>
      <c r="AD1658" s="38"/>
      <c r="AE1658" s="38"/>
      <c r="AF1658" s="38"/>
      <c r="AG1658" s="38"/>
      <c r="AH1658" s="38"/>
      <c r="AI1658" s="38"/>
      <c r="AJ1658" s="38"/>
      <c r="AK1658" s="38"/>
      <c r="AL1658" s="38"/>
      <c r="AM1658" s="38"/>
      <c r="AN1658" s="38"/>
      <c r="AO1658" s="38"/>
      <c r="AP1658" s="38"/>
      <c r="AQ1658" s="38"/>
      <c r="AR1658" s="38"/>
      <c r="AS1658" s="38"/>
      <c r="AT1658" s="38"/>
      <c r="AU1658" s="38"/>
      <c r="AV1658" s="38"/>
      <c r="AW1658" s="38"/>
      <c r="AX1658" s="38"/>
      <c r="AY1658" s="38"/>
      <c r="AZ1658" s="38"/>
      <c r="BA1658" s="38"/>
      <c r="BB1658" s="38"/>
      <c r="BC1658" s="38"/>
      <c r="BD1658" s="38"/>
      <c r="BE1658" s="38"/>
      <c r="BF1658" s="38"/>
      <c r="BG1658" s="38"/>
    </row>
    <row r="1659">
      <c r="A1659" s="16"/>
      <c r="B1659" s="380"/>
      <c r="C1659" s="146"/>
      <c r="D1659" s="146"/>
      <c r="E1659" s="16"/>
      <c r="F1659" s="91"/>
      <c r="G1659" s="16"/>
      <c r="H1659" s="320" t="str">
        <f t="shared" si="1"/>
        <v/>
      </c>
      <c r="I1659" s="16"/>
      <c r="J1659" s="16"/>
      <c r="K1659" s="16"/>
      <c r="L1659" s="38"/>
      <c r="M1659" s="16"/>
      <c r="N1659" s="16"/>
      <c r="O1659" s="16"/>
      <c r="P1659" s="15"/>
      <c r="Q1659" s="15"/>
      <c r="R1659" s="16"/>
      <c r="S1659" s="16"/>
      <c r="T1659" s="16"/>
      <c r="U1659" s="16"/>
      <c r="V1659" s="37" t="str">
        <f>IFERROR(__xludf.DUMMYFUNCTION("if(not(iserror(index(split(C1659, "" ""),2))), index(split(C1659, "" ""),1),"""")"),"")</f>
        <v/>
      </c>
      <c r="W1659" s="315" t="str">
        <f>IFERROR(__xludf.DUMMYFUNCTION("if(V1659="""",C1659,if(not(iserror(index(split(C1659, "" ""),3))), index(split(C1659, "" ""),3),index(split(C1659, "" ""),2)))"),"")</f>
        <v/>
      </c>
      <c r="X1659" s="38" t="b">
        <f t="shared" si="2"/>
        <v>0</v>
      </c>
      <c r="Y1659" s="38"/>
      <c r="Z1659" s="40"/>
      <c r="AA1659" s="40"/>
      <c r="AB1659" s="38"/>
      <c r="AC1659" s="38"/>
      <c r="AD1659" s="38"/>
      <c r="AE1659" s="38"/>
      <c r="AF1659" s="38"/>
      <c r="AG1659" s="38"/>
      <c r="AH1659" s="38"/>
      <c r="AI1659" s="38"/>
      <c r="AJ1659" s="38"/>
      <c r="AK1659" s="38"/>
      <c r="AL1659" s="38"/>
      <c r="AM1659" s="38"/>
      <c r="AN1659" s="38"/>
      <c r="AO1659" s="38"/>
      <c r="AP1659" s="38"/>
      <c r="AQ1659" s="38"/>
      <c r="AR1659" s="38"/>
      <c r="AS1659" s="38"/>
      <c r="AT1659" s="38"/>
      <c r="AU1659" s="38"/>
      <c r="AV1659" s="38"/>
      <c r="AW1659" s="38"/>
      <c r="AX1659" s="38"/>
      <c r="AY1659" s="38"/>
      <c r="AZ1659" s="38"/>
      <c r="BA1659" s="38"/>
      <c r="BB1659" s="38"/>
      <c r="BC1659" s="38"/>
      <c r="BD1659" s="38"/>
      <c r="BE1659" s="38"/>
      <c r="BF1659" s="38"/>
      <c r="BG1659" s="38"/>
    </row>
    <row r="1660">
      <c r="A1660" s="16"/>
      <c r="B1660" s="380"/>
      <c r="C1660" s="146"/>
      <c r="D1660" s="146"/>
      <c r="E1660" s="16"/>
      <c r="F1660" s="91"/>
      <c r="G1660" s="16"/>
      <c r="H1660" s="320" t="str">
        <f t="shared" si="1"/>
        <v/>
      </c>
      <c r="I1660" s="16"/>
      <c r="J1660" s="16"/>
      <c r="K1660" s="16"/>
      <c r="L1660" s="38"/>
      <c r="M1660" s="16"/>
      <c r="N1660" s="16"/>
      <c r="O1660" s="16"/>
      <c r="P1660" s="15"/>
      <c r="Q1660" s="15"/>
      <c r="R1660" s="16"/>
      <c r="S1660" s="16"/>
      <c r="T1660" s="16"/>
      <c r="U1660" s="16"/>
      <c r="V1660" s="37" t="str">
        <f>IFERROR(__xludf.DUMMYFUNCTION("if(not(iserror(index(split(C1660, "" ""),2))), index(split(C1660, "" ""),1),"""")"),"")</f>
        <v/>
      </c>
      <c r="W1660" s="315" t="str">
        <f>IFERROR(__xludf.DUMMYFUNCTION("if(V1660="""",C1660,if(not(iserror(index(split(C1660, "" ""),3))), index(split(C1660, "" ""),3),index(split(C1660, "" ""),2)))"),"")</f>
        <v/>
      </c>
      <c r="X1660" s="38" t="b">
        <f t="shared" si="2"/>
        <v>0</v>
      </c>
      <c r="Y1660" s="38"/>
      <c r="Z1660" s="40"/>
      <c r="AA1660" s="40"/>
      <c r="AB1660" s="38"/>
      <c r="AC1660" s="38"/>
      <c r="AD1660" s="38"/>
      <c r="AE1660" s="38"/>
      <c r="AF1660" s="38"/>
      <c r="AG1660" s="38"/>
      <c r="AH1660" s="38"/>
      <c r="AI1660" s="38"/>
      <c r="AJ1660" s="38"/>
      <c r="AK1660" s="38"/>
      <c r="AL1660" s="38"/>
      <c r="AM1660" s="38"/>
      <c r="AN1660" s="38"/>
      <c r="AO1660" s="38"/>
      <c r="AP1660" s="38"/>
      <c r="AQ1660" s="38"/>
      <c r="AR1660" s="38"/>
      <c r="AS1660" s="38"/>
      <c r="AT1660" s="38"/>
      <c r="AU1660" s="38"/>
      <c r="AV1660" s="38"/>
      <c r="AW1660" s="38"/>
      <c r="AX1660" s="38"/>
      <c r="AY1660" s="38"/>
      <c r="AZ1660" s="38"/>
      <c r="BA1660" s="38"/>
      <c r="BB1660" s="38"/>
      <c r="BC1660" s="38"/>
      <c r="BD1660" s="38"/>
      <c r="BE1660" s="38"/>
      <c r="BF1660" s="38"/>
      <c r="BG1660" s="38"/>
    </row>
    <row r="1661">
      <c r="A1661" s="16"/>
      <c r="B1661" s="380"/>
      <c r="C1661" s="146"/>
      <c r="D1661" s="146"/>
      <c r="E1661" s="16"/>
      <c r="F1661" s="91"/>
      <c r="G1661" s="16"/>
      <c r="H1661" s="320" t="str">
        <f t="shared" si="1"/>
        <v/>
      </c>
      <c r="I1661" s="16"/>
      <c r="J1661" s="16"/>
      <c r="K1661" s="16"/>
      <c r="L1661" s="38"/>
      <c r="M1661" s="16"/>
      <c r="N1661" s="16"/>
      <c r="O1661" s="16"/>
      <c r="P1661" s="15"/>
      <c r="Q1661" s="15"/>
      <c r="R1661" s="16"/>
      <c r="S1661" s="16"/>
      <c r="T1661" s="16"/>
      <c r="U1661" s="16"/>
      <c r="V1661" s="37" t="str">
        <f>IFERROR(__xludf.DUMMYFUNCTION("if(not(iserror(index(split(C1661, "" ""),2))), index(split(C1661, "" ""),1),"""")"),"")</f>
        <v/>
      </c>
      <c r="W1661" s="315" t="str">
        <f>IFERROR(__xludf.DUMMYFUNCTION("if(V1661="""",C1661,if(not(iserror(index(split(C1661, "" ""),3))), index(split(C1661, "" ""),3),index(split(C1661, "" ""),2)))"),"")</f>
        <v/>
      </c>
      <c r="X1661" s="38" t="b">
        <f t="shared" si="2"/>
        <v>0</v>
      </c>
      <c r="Y1661" s="38"/>
      <c r="Z1661" s="40"/>
      <c r="AA1661" s="40"/>
      <c r="AB1661" s="38"/>
      <c r="AC1661" s="38"/>
      <c r="AD1661" s="38"/>
      <c r="AE1661" s="38"/>
      <c r="AF1661" s="38"/>
      <c r="AG1661" s="38"/>
      <c r="AH1661" s="38"/>
      <c r="AI1661" s="38"/>
      <c r="AJ1661" s="38"/>
      <c r="AK1661" s="38"/>
      <c r="AL1661" s="38"/>
      <c r="AM1661" s="38"/>
      <c r="AN1661" s="38"/>
      <c r="AO1661" s="38"/>
      <c r="AP1661" s="38"/>
      <c r="AQ1661" s="38"/>
      <c r="AR1661" s="38"/>
      <c r="AS1661" s="38"/>
      <c r="AT1661" s="38"/>
      <c r="AU1661" s="38"/>
      <c r="AV1661" s="38"/>
      <c r="AW1661" s="38"/>
      <c r="AX1661" s="38"/>
      <c r="AY1661" s="38"/>
      <c r="AZ1661" s="38"/>
      <c r="BA1661" s="38"/>
      <c r="BB1661" s="38"/>
      <c r="BC1661" s="38"/>
      <c r="BD1661" s="38"/>
      <c r="BE1661" s="38"/>
      <c r="BF1661" s="38"/>
      <c r="BG1661" s="38"/>
    </row>
    <row r="1662">
      <c r="A1662" s="16"/>
      <c r="B1662" s="380"/>
      <c r="C1662" s="146"/>
      <c r="D1662" s="146"/>
      <c r="E1662" s="16"/>
      <c r="F1662" s="91"/>
      <c r="G1662" s="16"/>
      <c r="H1662" s="320" t="str">
        <f t="shared" si="1"/>
        <v/>
      </c>
      <c r="I1662" s="16"/>
      <c r="J1662" s="16"/>
      <c r="K1662" s="16"/>
      <c r="L1662" s="38"/>
      <c r="M1662" s="16"/>
      <c r="N1662" s="16"/>
      <c r="O1662" s="16"/>
      <c r="P1662" s="15"/>
      <c r="Q1662" s="15"/>
      <c r="R1662" s="16"/>
      <c r="S1662" s="16"/>
      <c r="T1662" s="16"/>
      <c r="U1662" s="16"/>
      <c r="V1662" s="37" t="str">
        <f>IFERROR(__xludf.DUMMYFUNCTION("if(not(iserror(index(split(C1662, "" ""),2))), index(split(C1662, "" ""),1),"""")"),"")</f>
        <v/>
      </c>
      <c r="W1662" s="315" t="str">
        <f>IFERROR(__xludf.DUMMYFUNCTION("if(V1662="""",C1662,if(not(iserror(index(split(C1662, "" ""),3))), index(split(C1662, "" ""),3),index(split(C1662, "" ""),2)))"),"")</f>
        <v/>
      </c>
      <c r="X1662" s="38" t="b">
        <f t="shared" si="2"/>
        <v>0</v>
      </c>
      <c r="Y1662" s="38"/>
      <c r="Z1662" s="40"/>
      <c r="AA1662" s="40"/>
      <c r="AB1662" s="38"/>
      <c r="AC1662" s="38"/>
      <c r="AD1662" s="38"/>
      <c r="AE1662" s="38"/>
      <c r="AF1662" s="38"/>
      <c r="AG1662" s="38"/>
      <c r="AH1662" s="38"/>
      <c r="AI1662" s="38"/>
      <c r="AJ1662" s="38"/>
      <c r="AK1662" s="38"/>
      <c r="AL1662" s="38"/>
      <c r="AM1662" s="38"/>
      <c r="AN1662" s="38"/>
      <c r="AO1662" s="38"/>
      <c r="AP1662" s="38"/>
      <c r="AQ1662" s="38"/>
      <c r="AR1662" s="38"/>
      <c r="AS1662" s="38"/>
      <c r="AT1662" s="38"/>
      <c r="AU1662" s="38"/>
      <c r="AV1662" s="38"/>
      <c r="AW1662" s="38"/>
      <c r="AX1662" s="38"/>
      <c r="AY1662" s="38"/>
      <c r="AZ1662" s="38"/>
      <c r="BA1662" s="38"/>
      <c r="BB1662" s="38"/>
      <c r="BC1662" s="38"/>
      <c r="BD1662" s="38"/>
      <c r="BE1662" s="38"/>
      <c r="BF1662" s="38"/>
      <c r="BG1662" s="38"/>
    </row>
    <row r="1663">
      <c r="A1663" s="16"/>
      <c r="B1663" s="380"/>
      <c r="C1663" s="146"/>
      <c r="D1663" s="146"/>
      <c r="E1663" s="16"/>
      <c r="F1663" s="91"/>
      <c r="G1663" s="16"/>
      <c r="H1663" s="320" t="str">
        <f t="shared" si="1"/>
        <v/>
      </c>
      <c r="I1663" s="16"/>
      <c r="J1663" s="16"/>
      <c r="K1663" s="16"/>
      <c r="L1663" s="38"/>
      <c r="M1663" s="16"/>
      <c r="N1663" s="16"/>
      <c r="O1663" s="16"/>
      <c r="P1663" s="15"/>
      <c r="Q1663" s="15"/>
      <c r="R1663" s="16"/>
      <c r="S1663" s="16"/>
      <c r="T1663" s="16"/>
      <c r="U1663" s="16"/>
      <c r="V1663" s="37" t="str">
        <f>IFERROR(__xludf.DUMMYFUNCTION("if(not(iserror(index(split(C1663, "" ""),2))), index(split(C1663, "" ""),1),"""")"),"")</f>
        <v/>
      </c>
      <c r="W1663" s="315" t="str">
        <f>IFERROR(__xludf.DUMMYFUNCTION("if(V1663="""",C1663,if(not(iserror(index(split(C1663, "" ""),3))), index(split(C1663, "" ""),3),index(split(C1663, "" ""),2)))"),"")</f>
        <v/>
      </c>
      <c r="X1663" s="38" t="b">
        <f t="shared" si="2"/>
        <v>0</v>
      </c>
      <c r="Y1663" s="38"/>
      <c r="Z1663" s="40"/>
      <c r="AA1663" s="40"/>
      <c r="AB1663" s="38"/>
      <c r="AC1663" s="38"/>
      <c r="AD1663" s="38"/>
      <c r="AE1663" s="38"/>
      <c r="AF1663" s="38"/>
      <c r="AG1663" s="38"/>
      <c r="AH1663" s="38"/>
      <c r="AI1663" s="38"/>
      <c r="AJ1663" s="38"/>
      <c r="AK1663" s="38"/>
      <c r="AL1663" s="38"/>
      <c r="AM1663" s="38"/>
      <c r="AN1663" s="38"/>
      <c r="AO1663" s="38"/>
      <c r="AP1663" s="38"/>
      <c r="AQ1663" s="38"/>
      <c r="AR1663" s="38"/>
      <c r="AS1663" s="38"/>
      <c r="AT1663" s="38"/>
      <c r="AU1663" s="38"/>
      <c r="AV1663" s="38"/>
      <c r="AW1663" s="38"/>
      <c r="AX1663" s="38"/>
      <c r="AY1663" s="38"/>
      <c r="AZ1663" s="38"/>
      <c r="BA1663" s="38"/>
      <c r="BB1663" s="38"/>
      <c r="BC1663" s="38"/>
      <c r="BD1663" s="38"/>
      <c r="BE1663" s="38"/>
      <c r="BF1663" s="38"/>
      <c r="BG1663" s="38"/>
    </row>
    <row r="1664">
      <c r="A1664" s="16"/>
      <c r="B1664" s="380"/>
      <c r="C1664" s="146"/>
      <c r="D1664" s="146"/>
      <c r="E1664" s="16"/>
      <c r="F1664" s="91"/>
      <c r="G1664" s="16"/>
      <c r="H1664" s="320" t="str">
        <f t="shared" si="1"/>
        <v/>
      </c>
      <c r="I1664" s="16"/>
      <c r="J1664" s="16"/>
      <c r="K1664" s="16"/>
      <c r="L1664" s="38"/>
      <c r="M1664" s="16"/>
      <c r="N1664" s="16"/>
      <c r="O1664" s="16"/>
      <c r="P1664" s="15"/>
      <c r="Q1664" s="15"/>
      <c r="R1664" s="16"/>
      <c r="S1664" s="16"/>
      <c r="T1664" s="16"/>
      <c r="U1664" s="16"/>
      <c r="V1664" s="37" t="str">
        <f>IFERROR(__xludf.DUMMYFUNCTION("if(not(iserror(index(split(C1664, "" ""),2))), index(split(C1664, "" ""),1),"""")"),"")</f>
        <v/>
      </c>
      <c r="W1664" s="315" t="str">
        <f>IFERROR(__xludf.DUMMYFUNCTION("if(V1664="""",C1664,if(not(iserror(index(split(C1664, "" ""),3))), index(split(C1664, "" ""),3),index(split(C1664, "" ""),2)))"),"")</f>
        <v/>
      </c>
      <c r="X1664" s="38" t="b">
        <f t="shared" si="2"/>
        <v>0</v>
      </c>
      <c r="Y1664" s="38"/>
      <c r="Z1664" s="40"/>
      <c r="AA1664" s="40"/>
      <c r="AB1664" s="38"/>
      <c r="AC1664" s="38"/>
      <c r="AD1664" s="38"/>
      <c r="AE1664" s="38"/>
      <c r="AF1664" s="38"/>
      <c r="AG1664" s="38"/>
      <c r="AH1664" s="38"/>
      <c r="AI1664" s="38"/>
      <c r="AJ1664" s="38"/>
      <c r="AK1664" s="38"/>
      <c r="AL1664" s="38"/>
      <c r="AM1664" s="38"/>
      <c r="AN1664" s="38"/>
      <c r="AO1664" s="38"/>
      <c r="AP1664" s="38"/>
      <c r="AQ1664" s="38"/>
      <c r="AR1664" s="38"/>
      <c r="AS1664" s="38"/>
      <c r="AT1664" s="38"/>
      <c r="AU1664" s="38"/>
      <c r="AV1664" s="38"/>
      <c r="AW1664" s="38"/>
      <c r="AX1664" s="38"/>
      <c r="AY1664" s="38"/>
      <c r="AZ1664" s="38"/>
      <c r="BA1664" s="38"/>
      <c r="BB1664" s="38"/>
      <c r="BC1664" s="38"/>
      <c r="BD1664" s="38"/>
      <c r="BE1664" s="38"/>
      <c r="BF1664" s="38"/>
      <c r="BG1664" s="38"/>
    </row>
    <row r="1665">
      <c r="A1665" s="16"/>
      <c r="B1665" s="380"/>
      <c r="C1665" s="146"/>
      <c r="D1665" s="146"/>
      <c r="E1665" s="16"/>
      <c r="F1665" s="91"/>
      <c r="G1665" s="16"/>
      <c r="H1665" s="320" t="str">
        <f t="shared" si="1"/>
        <v/>
      </c>
      <c r="I1665" s="16"/>
      <c r="J1665" s="16"/>
      <c r="K1665" s="16"/>
      <c r="L1665" s="38"/>
      <c r="M1665" s="16"/>
      <c r="N1665" s="16"/>
      <c r="O1665" s="16"/>
      <c r="P1665" s="15"/>
      <c r="Q1665" s="15"/>
      <c r="R1665" s="16"/>
      <c r="S1665" s="16"/>
      <c r="T1665" s="16"/>
      <c r="U1665" s="16"/>
      <c r="V1665" s="37" t="str">
        <f>IFERROR(__xludf.DUMMYFUNCTION("if(not(iserror(index(split(C1665, "" ""),2))), index(split(C1665, "" ""),1),"""")"),"")</f>
        <v/>
      </c>
      <c r="W1665" s="315" t="str">
        <f>IFERROR(__xludf.DUMMYFUNCTION("if(V1665="""",C1665,if(not(iserror(index(split(C1665, "" ""),3))), index(split(C1665, "" ""),3),index(split(C1665, "" ""),2)))"),"")</f>
        <v/>
      </c>
      <c r="X1665" s="38" t="b">
        <f t="shared" si="2"/>
        <v>0</v>
      </c>
      <c r="Y1665" s="38"/>
      <c r="Z1665" s="40"/>
      <c r="AA1665" s="40"/>
      <c r="AB1665" s="38"/>
      <c r="AC1665" s="38"/>
      <c r="AD1665" s="38"/>
      <c r="AE1665" s="38"/>
      <c r="AF1665" s="38"/>
      <c r="AG1665" s="38"/>
      <c r="AH1665" s="38"/>
      <c r="AI1665" s="38"/>
      <c r="AJ1665" s="38"/>
      <c r="AK1665" s="38"/>
      <c r="AL1665" s="38"/>
      <c r="AM1665" s="38"/>
      <c r="AN1665" s="38"/>
      <c r="AO1665" s="38"/>
      <c r="AP1665" s="38"/>
      <c r="AQ1665" s="38"/>
      <c r="AR1665" s="38"/>
      <c r="AS1665" s="38"/>
      <c r="AT1665" s="38"/>
      <c r="AU1665" s="38"/>
      <c r="AV1665" s="38"/>
      <c r="AW1665" s="38"/>
      <c r="AX1665" s="38"/>
      <c r="AY1665" s="38"/>
      <c r="AZ1665" s="38"/>
      <c r="BA1665" s="38"/>
      <c r="BB1665" s="38"/>
      <c r="BC1665" s="38"/>
      <c r="BD1665" s="38"/>
      <c r="BE1665" s="38"/>
      <c r="BF1665" s="38"/>
      <c r="BG1665" s="38"/>
    </row>
    <row r="1666">
      <c r="A1666" s="16"/>
      <c r="B1666" s="380"/>
      <c r="C1666" s="146"/>
      <c r="D1666" s="146"/>
      <c r="E1666" s="16"/>
      <c r="F1666" s="91"/>
      <c r="G1666" s="16"/>
      <c r="H1666" s="320" t="str">
        <f t="shared" si="1"/>
        <v/>
      </c>
      <c r="I1666" s="16"/>
      <c r="J1666" s="16"/>
      <c r="K1666" s="16"/>
      <c r="L1666" s="38"/>
      <c r="M1666" s="16"/>
      <c r="N1666" s="16"/>
      <c r="O1666" s="16"/>
      <c r="P1666" s="15"/>
      <c r="Q1666" s="15"/>
      <c r="R1666" s="16"/>
      <c r="S1666" s="16"/>
      <c r="T1666" s="16"/>
      <c r="U1666" s="16"/>
      <c r="V1666" s="37" t="str">
        <f>IFERROR(__xludf.DUMMYFUNCTION("if(not(iserror(index(split(C1666, "" ""),2))), index(split(C1666, "" ""),1),"""")"),"")</f>
        <v/>
      </c>
      <c r="W1666" s="315" t="str">
        <f>IFERROR(__xludf.DUMMYFUNCTION("if(V1666="""",C1666,if(not(iserror(index(split(C1666, "" ""),3))), index(split(C1666, "" ""),3),index(split(C1666, "" ""),2)))"),"")</f>
        <v/>
      </c>
      <c r="X1666" s="38" t="b">
        <f t="shared" si="2"/>
        <v>0</v>
      </c>
      <c r="Y1666" s="38"/>
      <c r="Z1666" s="40"/>
      <c r="AA1666" s="40"/>
      <c r="AB1666" s="38"/>
      <c r="AC1666" s="38"/>
      <c r="AD1666" s="38"/>
      <c r="AE1666" s="38"/>
      <c r="AF1666" s="38"/>
      <c r="AG1666" s="38"/>
      <c r="AH1666" s="38"/>
      <c r="AI1666" s="38"/>
      <c r="AJ1666" s="38"/>
      <c r="AK1666" s="38"/>
      <c r="AL1666" s="38"/>
      <c r="AM1666" s="38"/>
      <c r="AN1666" s="38"/>
      <c r="AO1666" s="38"/>
      <c r="AP1666" s="38"/>
      <c r="AQ1666" s="38"/>
      <c r="AR1666" s="38"/>
      <c r="AS1666" s="38"/>
      <c r="AT1666" s="38"/>
      <c r="AU1666" s="38"/>
      <c r="AV1666" s="38"/>
      <c r="AW1666" s="38"/>
      <c r="AX1666" s="38"/>
      <c r="AY1666" s="38"/>
      <c r="AZ1666" s="38"/>
      <c r="BA1666" s="38"/>
      <c r="BB1666" s="38"/>
      <c r="BC1666" s="38"/>
      <c r="BD1666" s="38"/>
      <c r="BE1666" s="38"/>
      <c r="BF1666" s="38"/>
      <c r="BG1666" s="38"/>
    </row>
    <row r="1667">
      <c r="A1667" s="16"/>
      <c r="B1667" s="380"/>
      <c r="C1667" s="146"/>
      <c r="D1667" s="146"/>
      <c r="E1667" s="16"/>
      <c r="F1667" s="91"/>
      <c r="G1667" s="16"/>
      <c r="H1667" s="320" t="str">
        <f t="shared" si="1"/>
        <v/>
      </c>
      <c r="I1667" s="16"/>
      <c r="J1667" s="16"/>
      <c r="K1667" s="16"/>
      <c r="L1667" s="38"/>
      <c r="M1667" s="16"/>
      <c r="N1667" s="16"/>
      <c r="O1667" s="16"/>
      <c r="P1667" s="15"/>
      <c r="Q1667" s="15"/>
      <c r="R1667" s="16"/>
      <c r="S1667" s="16"/>
      <c r="T1667" s="16"/>
      <c r="U1667" s="16"/>
      <c r="V1667" s="37" t="str">
        <f>IFERROR(__xludf.DUMMYFUNCTION("if(not(iserror(index(split(C1667, "" ""),2))), index(split(C1667, "" ""),1),"""")"),"")</f>
        <v/>
      </c>
      <c r="W1667" s="315" t="str">
        <f>IFERROR(__xludf.DUMMYFUNCTION("if(V1667="""",C1667,if(not(iserror(index(split(C1667, "" ""),3))), index(split(C1667, "" ""),3),index(split(C1667, "" ""),2)))"),"")</f>
        <v/>
      </c>
      <c r="X1667" s="38" t="b">
        <f t="shared" si="2"/>
        <v>0</v>
      </c>
      <c r="Y1667" s="38"/>
      <c r="Z1667" s="40"/>
      <c r="AA1667" s="40"/>
      <c r="AB1667" s="38"/>
      <c r="AC1667" s="38"/>
      <c r="AD1667" s="38"/>
      <c r="AE1667" s="38"/>
      <c r="AF1667" s="38"/>
      <c r="AG1667" s="38"/>
      <c r="AH1667" s="38"/>
      <c r="AI1667" s="38"/>
      <c r="AJ1667" s="38"/>
      <c r="AK1667" s="38"/>
      <c r="AL1667" s="38"/>
      <c r="AM1667" s="38"/>
      <c r="AN1667" s="38"/>
      <c r="AO1667" s="38"/>
      <c r="AP1667" s="38"/>
      <c r="AQ1667" s="38"/>
      <c r="AR1667" s="38"/>
      <c r="AS1667" s="38"/>
      <c r="AT1667" s="38"/>
      <c r="AU1667" s="38"/>
      <c r="AV1667" s="38"/>
      <c r="AW1667" s="38"/>
      <c r="AX1667" s="38"/>
      <c r="AY1667" s="38"/>
      <c r="AZ1667" s="38"/>
      <c r="BA1667" s="38"/>
      <c r="BB1667" s="38"/>
      <c r="BC1667" s="38"/>
      <c r="BD1667" s="38"/>
      <c r="BE1667" s="38"/>
      <c r="BF1667" s="38"/>
      <c r="BG1667" s="38"/>
    </row>
    <row r="1668">
      <c r="A1668" s="16"/>
      <c r="B1668" s="380"/>
      <c r="C1668" s="146"/>
      <c r="D1668" s="146"/>
      <c r="E1668" s="16"/>
      <c r="F1668" s="91"/>
      <c r="G1668" s="16"/>
      <c r="H1668" s="320" t="str">
        <f t="shared" si="1"/>
        <v/>
      </c>
      <c r="I1668" s="16"/>
      <c r="J1668" s="16"/>
      <c r="K1668" s="16"/>
      <c r="L1668" s="38"/>
      <c r="M1668" s="16"/>
      <c r="N1668" s="16"/>
      <c r="O1668" s="16"/>
      <c r="P1668" s="15"/>
      <c r="Q1668" s="15"/>
      <c r="R1668" s="16"/>
      <c r="S1668" s="16"/>
      <c r="T1668" s="16"/>
      <c r="U1668" s="16"/>
      <c r="V1668" s="37" t="str">
        <f>IFERROR(__xludf.DUMMYFUNCTION("if(not(iserror(index(split(C1668, "" ""),2))), index(split(C1668, "" ""),1),"""")"),"")</f>
        <v/>
      </c>
      <c r="W1668" s="315" t="str">
        <f>IFERROR(__xludf.DUMMYFUNCTION("if(V1668="""",C1668,if(not(iserror(index(split(C1668, "" ""),3))), index(split(C1668, "" ""),3),index(split(C1668, "" ""),2)))"),"")</f>
        <v/>
      </c>
      <c r="X1668" s="38" t="b">
        <f t="shared" si="2"/>
        <v>0</v>
      </c>
      <c r="Y1668" s="38"/>
      <c r="Z1668" s="40"/>
      <c r="AA1668" s="40"/>
      <c r="AB1668" s="38"/>
      <c r="AC1668" s="38"/>
      <c r="AD1668" s="38"/>
      <c r="AE1668" s="38"/>
      <c r="AF1668" s="38"/>
      <c r="AG1668" s="38"/>
      <c r="AH1668" s="38"/>
      <c r="AI1668" s="38"/>
      <c r="AJ1668" s="38"/>
      <c r="AK1668" s="38"/>
      <c r="AL1668" s="38"/>
      <c r="AM1668" s="38"/>
      <c r="AN1668" s="38"/>
      <c r="AO1668" s="38"/>
      <c r="AP1668" s="38"/>
      <c r="AQ1668" s="38"/>
      <c r="AR1668" s="38"/>
      <c r="AS1668" s="38"/>
      <c r="AT1668" s="38"/>
      <c r="AU1668" s="38"/>
      <c r="AV1668" s="38"/>
      <c r="AW1668" s="38"/>
      <c r="AX1668" s="38"/>
      <c r="AY1668" s="38"/>
      <c r="AZ1668" s="38"/>
      <c r="BA1668" s="38"/>
      <c r="BB1668" s="38"/>
      <c r="BC1668" s="38"/>
      <c r="BD1668" s="38"/>
      <c r="BE1668" s="38"/>
      <c r="BF1668" s="38"/>
      <c r="BG1668" s="38"/>
    </row>
    <row r="1669">
      <c r="A1669" s="16"/>
      <c r="B1669" s="380"/>
      <c r="C1669" s="146"/>
      <c r="D1669" s="146"/>
      <c r="E1669" s="16"/>
      <c r="F1669" s="91"/>
      <c r="G1669" s="16"/>
      <c r="H1669" s="320" t="str">
        <f t="shared" si="1"/>
        <v/>
      </c>
      <c r="I1669" s="16"/>
      <c r="J1669" s="16"/>
      <c r="K1669" s="16"/>
      <c r="L1669" s="38"/>
      <c r="M1669" s="16"/>
      <c r="N1669" s="16"/>
      <c r="O1669" s="16"/>
      <c r="P1669" s="15"/>
      <c r="Q1669" s="15"/>
      <c r="R1669" s="16"/>
      <c r="S1669" s="16"/>
      <c r="T1669" s="16"/>
      <c r="U1669" s="16"/>
      <c r="V1669" s="37" t="str">
        <f>IFERROR(__xludf.DUMMYFUNCTION("if(not(iserror(index(split(C1669, "" ""),2))), index(split(C1669, "" ""),1),"""")"),"")</f>
        <v/>
      </c>
      <c r="W1669" s="315" t="str">
        <f>IFERROR(__xludf.DUMMYFUNCTION("if(V1669="""",C1669,if(not(iserror(index(split(C1669, "" ""),3))), index(split(C1669, "" ""),3),index(split(C1669, "" ""),2)))"),"")</f>
        <v/>
      </c>
      <c r="X1669" s="38" t="b">
        <f t="shared" si="2"/>
        <v>0</v>
      </c>
      <c r="Y1669" s="38"/>
      <c r="Z1669" s="40"/>
      <c r="AA1669" s="40"/>
      <c r="AB1669" s="38"/>
      <c r="AC1669" s="38"/>
      <c r="AD1669" s="38"/>
      <c r="AE1669" s="38"/>
      <c r="AF1669" s="38"/>
      <c r="AG1669" s="38"/>
      <c r="AH1669" s="38"/>
      <c r="AI1669" s="38"/>
      <c r="AJ1669" s="38"/>
      <c r="AK1669" s="38"/>
      <c r="AL1669" s="38"/>
      <c r="AM1669" s="38"/>
      <c r="AN1669" s="38"/>
      <c r="AO1669" s="38"/>
      <c r="AP1669" s="38"/>
      <c r="AQ1669" s="38"/>
      <c r="AR1669" s="38"/>
      <c r="AS1669" s="38"/>
      <c r="AT1669" s="38"/>
      <c r="AU1669" s="38"/>
      <c r="AV1669" s="38"/>
      <c r="AW1669" s="38"/>
      <c r="AX1669" s="38"/>
      <c r="AY1669" s="38"/>
      <c r="AZ1669" s="38"/>
      <c r="BA1669" s="38"/>
      <c r="BB1669" s="38"/>
      <c r="BC1669" s="38"/>
      <c r="BD1669" s="38"/>
      <c r="BE1669" s="38"/>
      <c r="BF1669" s="38"/>
      <c r="BG1669" s="38"/>
    </row>
    <row r="1670">
      <c r="A1670" s="16"/>
      <c r="B1670" s="380"/>
      <c r="C1670" s="146"/>
      <c r="D1670" s="146"/>
      <c r="E1670" s="16"/>
      <c r="F1670" s="91"/>
      <c r="G1670" s="16"/>
      <c r="H1670" s="320" t="str">
        <f t="shared" si="1"/>
        <v/>
      </c>
      <c r="I1670" s="16"/>
      <c r="J1670" s="16"/>
      <c r="K1670" s="16"/>
      <c r="L1670" s="38"/>
      <c r="M1670" s="16"/>
      <c r="N1670" s="16"/>
      <c r="O1670" s="16"/>
      <c r="P1670" s="15"/>
      <c r="Q1670" s="15"/>
      <c r="R1670" s="16"/>
      <c r="S1670" s="16"/>
      <c r="T1670" s="16"/>
      <c r="U1670" s="16"/>
      <c r="V1670" s="37" t="str">
        <f>IFERROR(__xludf.DUMMYFUNCTION("if(not(iserror(index(split(C1670, "" ""),2))), index(split(C1670, "" ""),1),"""")"),"")</f>
        <v/>
      </c>
      <c r="W1670" s="315" t="str">
        <f>IFERROR(__xludf.DUMMYFUNCTION("if(V1670="""",C1670,if(not(iserror(index(split(C1670, "" ""),3))), index(split(C1670, "" ""),3),index(split(C1670, "" ""),2)))"),"")</f>
        <v/>
      </c>
      <c r="X1670" s="38" t="b">
        <f t="shared" si="2"/>
        <v>0</v>
      </c>
      <c r="Y1670" s="38"/>
      <c r="Z1670" s="40"/>
      <c r="AA1670" s="40"/>
      <c r="AB1670" s="38"/>
      <c r="AC1670" s="38"/>
      <c r="AD1670" s="38"/>
      <c r="AE1670" s="38"/>
      <c r="AF1670" s="38"/>
      <c r="AG1670" s="38"/>
      <c r="AH1670" s="38"/>
      <c r="AI1670" s="38"/>
      <c r="AJ1670" s="38"/>
      <c r="AK1670" s="38"/>
      <c r="AL1670" s="38"/>
      <c r="AM1670" s="38"/>
      <c r="AN1670" s="38"/>
      <c r="AO1670" s="38"/>
      <c r="AP1670" s="38"/>
      <c r="AQ1670" s="38"/>
      <c r="AR1670" s="38"/>
      <c r="AS1670" s="38"/>
      <c r="AT1670" s="38"/>
      <c r="AU1670" s="38"/>
      <c r="AV1670" s="38"/>
      <c r="AW1670" s="38"/>
      <c r="AX1670" s="38"/>
      <c r="AY1670" s="38"/>
      <c r="AZ1670" s="38"/>
      <c r="BA1670" s="38"/>
      <c r="BB1670" s="38"/>
      <c r="BC1670" s="38"/>
      <c r="BD1670" s="38"/>
      <c r="BE1670" s="38"/>
      <c r="BF1670" s="38"/>
      <c r="BG1670" s="38"/>
    </row>
    <row r="1671">
      <c r="A1671" s="16"/>
      <c r="B1671" s="380"/>
      <c r="C1671" s="146"/>
      <c r="D1671" s="146"/>
      <c r="E1671" s="16"/>
      <c r="F1671" s="91"/>
      <c r="G1671" s="16"/>
      <c r="H1671" s="320" t="str">
        <f t="shared" si="1"/>
        <v/>
      </c>
      <c r="I1671" s="16"/>
      <c r="J1671" s="16"/>
      <c r="K1671" s="16"/>
      <c r="L1671" s="38"/>
      <c r="M1671" s="16"/>
      <c r="N1671" s="16"/>
      <c r="O1671" s="16"/>
      <c r="P1671" s="15"/>
      <c r="Q1671" s="15"/>
      <c r="R1671" s="16"/>
      <c r="S1671" s="16"/>
      <c r="T1671" s="16"/>
      <c r="U1671" s="16"/>
      <c r="V1671" s="37" t="str">
        <f>IFERROR(__xludf.DUMMYFUNCTION("if(not(iserror(index(split(C1671, "" ""),2))), index(split(C1671, "" ""),1),"""")"),"")</f>
        <v/>
      </c>
      <c r="W1671" s="315" t="str">
        <f>IFERROR(__xludf.DUMMYFUNCTION("if(V1671="""",C1671,if(not(iserror(index(split(C1671, "" ""),3))), index(split(C1671, "" ""),3),index(split(C1671, "" ""),2)))"),"")</f>
        <v/>
      </c>
      <c r="X1671" s="38" t="b">
        <f t="shared" si="2"/>
        <v>0</v>
      </c>
      <c r="Y1671" s="38"/>
      <c r="Z1671" s="40"/>
      <c r="AA1671" s="40"/>
      <c r="AB1671" s="38"/>
      <c r="AC1671" s="38"/>
      <c r="AD1671" s="38"/>
      <c r="AE1671" s="38"/>
      <c r="AF1671" s="38"/>
      <c r="AG1671" s="38"/>
      <c r="AH1671" s="38"/>
      <c r="AI1671" s="38"/>
      <c r="AJ1671" s="38"/>
      <c r="AK1671" s="38"/>
      <c r="AL1671" s="38"/>
      <c r="AM1671" s="38"/>
      <c r="AN1671" s="38"/>
      <c r="AO1671" s="38"/>
      <c r="AP1671" s="38"/>
      <c r="AQ1671" s="38"/>
      <c r="AR1671" s="38"/>
      <c r="AS1671" s="38"/>
      <c r="AT1671" s="38"/>
      <c r="AU1671" s="38"/>
      <c r="AV1671" s="38"/>
      <c r="AW1671" s="38"/>
      <c r="AX1671" s="38"/>
      <c r="AY1671" s="38"/>
      <c r="AZ1671" s="38"/>
      <c r="BA1671" s="38"/>
      <c r="BB1671" s="38"/>
      <c r="BC1671" s="38"/>
      <c r="BD1671" s="38"/>
      <c r="BE1671" s="38"/>
      <c r="BF1671" s="38"/>
      <c r="BG1671" s="38"/>
    </row>
    <row r="1672">
      <c r="A1672" s="16"/>
      <c r="B1672" s="380"/>
      <c r="C1672" s="146"/>
      <c r="D1672" s="146"/>
      <c r="E1672" s="16"/>
      <c r="F1672" s="91"/>
      <c r="G1672" s="16"/>
      <c r="H1672" s="320" t="str">
        <f t="shared" si="1"/>
        <v/>
      </c>
      <c r="I1672" s="16"/>
      <c r="J1672" s="16"/>
      <c r="K1672" s="16"/>
      <c r="L1672" s="38"/>
      <c r="M1672" s="16"/>
      <c r="N1672" s="16"/>
      <c r="O1672" s="16"/>
      <c r="P1672" s="15"/>
      <c r="Q1672" s="15"/>
      <c r="R1672" s="16"/>
      <c r="S1672" s="16"/>
      <c r="T1672" s="16"/>
      <c r="U1672" s="16"/>
      <c r="V1672" s="37" t="str">
        <f>IFERROR(__xludf.DUMMYFUNCTION("if(not(iserror(index(split(C1672, "" ""),2))), index(split(C1672, "" ""),1),"""")"),"")</f>
        <v/>
      </c>
      <c r="W1672" s="315" t="str">
        <f>IFERROR(__xludf.DUMMYFUNCTION("if(V1672="""",C1672,if(not(iserror(index(split(C1672, "" ""),3))), index(split(C1672, "" ""),3),index(split(C1672, "" ""),2)))"),"")</f>
        <v/>
      </c>
      <c r="X1672" s="38" t="b">
        <f t="shared" si="2"/>
        <v>0</v>
      </c>
      <c r="Y1672" s="38"/>
      <c r="Z1672" s="40"/>
      <c r="AA1672" s="40"/>
      <c r="AB1672" s="38"/>
      <c r="AC1672" s="38"/>
      <c r="AD1672" s="38"/>
      <c r="AE1672" s="38"/>
      <c r="AF1672" s="38"/>
      <c r="AG1672" s="38"/>
      <c r="AH1672" s="38"/>
      <c r="AI1672" s="38"/>
      <c r="AJ1672" s="38"/>
      <c r="AK1672" s="38"/>
      <c r="AL1672" s="38"/>
      <c r="AM1672" s="38"/>
      <c r="AN1672" s="38"/>
      <c r="AO1672" s="38"/>
      <c r="AP1672" s="38"/>
      <c r="AQ1672" s="38"/>
      <c r="AR1672" s="38"/>
      <c r="AS1672" s="38"/>
      <c r="AT1672" s="38"/>
      <c r="AU1672" s="38"/>
      <c r="AV1672" s="38"/>
      <c r="AW1672" s="38"/>
      <c r="AX1672" s="38"/>
      <c r="AY1672" s="38"/>
      <c r="AZ1672" s="38"/>
      <c r="BA1672" s="38"/>
      <c r="BB1672" s="38"/>
      <c r="BC1672" s="38"/>
      <c r="BD1672" s="38"/>
      <c r="BE1672" s="38"/>
      <c r="BF1672" s="38"/>
      <c r="BG1672" s="38"/>
    </row>
    <row r="1673">
      <c r="A1673" s="16"/>
      <c r="B1673" s="380"/>
      <c r="C1673" s="146"/>
      <c r="D1673" s="146"/>
      <c r="E1673" s="16"/>
      <c r="F1673" s="91"/>
      <c r="G1673" s="16"/>
      <c r="H1673" s="320" t="str">
        <f t="shared" si="1"/>
        <v/>
      </c>
      <c r="I1673" s="16"/>
      <c r="J1673" s="16"/>
      <c r="K1673" s="16"/>
      <c r="L1673" s="38"/>
      <c r="M1673" s="16"/>
      <c r="N1673" s="16"/>
      <c r="O1673" s="16"/>
      <c r="P1673" s="15"/>
      <c r="Q1673" s="15"/>
      <c r="R1673" s="16"/>
      <c r="S1673" s="16"/>
      <c r="T1673" s="16"/>
      <c r="U1673" s="16"/>
      <c r="V1673" s="37" t="str">
        <f>IFERROR(__xludf.DUMMYFUNCTION("if(not(iserror(index(split(C1673, "" ""),2))), index(split(C1673, "" ""),1),"""")"),"")</f>
        <v/>
      </c>
      <c r="W1673" s="315" t="str">
        <f>IFERROR(__xludf.DUMMYFUNCTION("if(V1673="""",C1673,if(not(iserror(index(split(C1673, "" ""),3))), index(split(C1673, "" ""),3),index(split(C1673, "" ""),2)))"),"")</f>
        <v/>
      </c>
      <c r="X1673" s="38" t="b">
        <f t="shared" si="2"/>
        <v>0</v>
      </c>
      <c r="Y1673" s="38"/>
      <c r="Z1673" s="40"/>
      <c r="AA1673" s="40"/>
      <c r="AB1673" s="38"/>
      <c r="AC1673" s="38"/>
      <c r="AD1673" s="38"/>
      <c r="AE1673" s="38"/>
      <c r="AF1673" s="38"/>
      <c r="AG1673" s="38"/>
      <c r="AH1673" s="38"/>
      <c r="AI1673" s="38"/>
      <c r="AJ1673" s="38"/>
      <c r="AK1673" s="38"/>
      <c r="AL1673" s="38"/>
      <c r="AM1673" s="38"/>
      <c r="AN1673" s="38"/>
      <c r="AO1673" s="38"/>
      <c r="AP1673" s="38"/>
      <c r="AQ1673" s="38"/>
      <c r="AR1673" s="38"/>
      <c r="AS1673" s="38"/>
      <c r="AT1673" s="38"/>
      <c r="AU1673" s="38"/>
      <c r="AV1673" s="38"/>
      <c r="AW1673" s="38"/>
      <c r="AX1673" s="38"/>
      <c r="AY1673" s="38"/>
      <c r="AZ1673" s="38"/>
      <c r="BA1673" s="38"/>
      <c r="BB1673" s="38"/>
      <c r="BC1673" s="38"/>
      <c r="BD1673" s="38"/>
      <c r="BE1673" s="38"/>
      <c r="BF1673" s="38"/>
      <c r="BG1673" s="38"/>
    </row>
    <row r="1674">
      <c r="A1674" s="16"/>
      <c r="B1674" s="380"/>
      <c r="C1674" s="146"/>
      <c r="D1674" s="146"/>
      <c r="E1674" s="16"/>
      <c r="F1674" s="91"/>
      <c r="G1674" s="16"/>
      <c r="H1674" s="320" t="str">
        <f t="shared" si="1"/>
        <v/>
      </c>
      <c r="I1674" s="16"/>
      <c r="J1674" s="16"/>
      <c r="K1674" s="16"/>
      <c r="L1674" s="38"/>
      <c r="M1674" s="16"/>
      <c r="N1674" s="16"/>
      <c r="O1674" s="16"/>
      <c r="P1674" s="15"/>
      <c r="Q1674" s="15"/>
      <c r="R1674" s="16"/>
      <c r="S1674" s="16"/>
      <c r="T1674" s="16"/>
      <c r="U1674" s="16"/>
      <c r="V1674" s="37" t="str">
        <f>IFERROR(__xludf.DUMMYFUNCTION("if(not(iserror(index(split(C1674, "" ""),2))), index(split(C1674, "" ""),1),"""")"),"")</f>
        <v/>
      </c>
      <c r="W1674" s="315" t="str">
        <f>IFERROR(__xludf.DUMMYFUNCTION("if(V1674="""",C1674,if(not(iserror(index(split(C1674, "" ""),3))), index(split(C1674, "" ""),3),index(split(C1674, "" ""),2)))"),"")</f>
        <v/>
      </c>
      <c r="X1674" s="38" t="b">
        <f t="shared" si="2"/>
        <v>0</v>
      </c>
      <c r="Y1674" s="38"/>
      <c r="Z1674" s="40"/>
      <c r="AA1674" s="40"/>
      <c r="AB1674" s="38"/>
      <c r="AC1674" s="38"/>
      <c r="AD1674" s="38"/>
      <c r="AE1674" s="38"/>
      <c r="AF1674" s="38"/>
      <c r="AG1674" s="38"/>
      <c r="AH1674" s="38"/>
      <c r="AI1674" s="38"/>
      <c r="AJ1674" s="38"/>
      <c r="AK1674" s="38"/>
      <c r="AL1674" s="38"/>
      <c r="AM1674" s="38"/>
      <c r="AN1674" s="38"/>
      <c r="AO1674" s="38"/>
      <c r="AP1674" s="38"/>
      <c r="AQ1674" s="38"/>
      <c r="AR1674" s="38"/>
      <c r="AS1674" s="38"/>
      <c r="AT1674" s="38"/>
      <c r="AU1674" s="38"/>
      <c r="AV1674" s="38"/>
      <c r="AW1674" s="38"/>
      <c r="AX1674" s="38"/>
      <c r="AY1674" s="38"/>
      <c r="AZ1674" s="38"/>
      <c r="BA1674" s="38"/>
      <c r="BB1674" s="38"/>
      <c r="BC1674" s="38"/>
      <c r="BD1674" s="38"/>
      <c r="BE1674" s="38"/>
      <c r="BF1674" s="38"/>
      <c r="BG1674" s="38"/>
    </row>
    <row r="1675">
      <c r="A1675" s="16"/>
      <c r="B1675" s="380"/>
      <c r="C1675" s="146"/>
      <c r="D1675" s="146"/>
      <c r="E1675" s="16"/>
      <c r="F1675" s="91"/>
      <c r="G1675" s="16"/>
      <c r="H1675" s="320" t="str">
        <f t="shared" si="1"/>
        <v/>
      </c>
      <c r="I1675" s="16"/>
      <c r="J1675" s="16"/>
      <c r="K1675" s="16"/>
      <c r="L1675" s="38"/>
      <c r="M1675" s="16"/>
      <c r="N1675" s="16"/>
      <c r="O1675" s="16"/>
      <c r="P1675" s="15"/>
      <c r="Q1675" s="15"/>
      <c r="R1675" s="16"/>
      <c r="S1675" s="16"/>
      <c r="T1675" s="16"/>
      <c r="U1675" s="16"/>
      <c r="V1675" s="37" t="str">
        <f>IFERROR(__xludf.DUMMYFUNCTION("if(not(iserror(index(split(C1675, "" ""),2))), index(split(C1675, "" ""),1),"""")"),"")</f>
        <v/>
      </c>
      <c r="W1675" s="315" t="str">
        <f>IFERROR(__xludf.DUMMYFUNCTION("if(V1675="""",C1675,if(not(iserror(index(split(C1675, "" ""),3))), index(split(C1675, "" ""),3),index(split(C1675, "" ""),2)))"),"")</f>
        <v/>
      </c>
      <c r="X1675" s="38" t="b">
        <f t="shared" si="2"/>
        <v>0</v>
      </c>
      <c r="Y1675" s="38"/>
      <c r="Z1675" s="40"/>
      <c r="AA1675" s="40"/>
      <c r="AB1675" s="38"/>
      <c r="AC1675" s="38"/>
      <c r="AD1675" s="38"/>
      <c r="AE1675" s="38"/>
      <c r="AF1675" s="38"/>
      <c r="AG1675" s="38"/>
      <c r="AH1675" s="38"/>
      <c r="AI1675" s="38"/>
      <c r="AJ1675" s="38"/>
      <c r="AK1675" s="38"/>
      <c r="AL1675" s="38"/>
      <c r="AM1675" s="38"/>
      <c r="AN1675" s="38"/>
      <c r="AO1675" s="38"/>
      <c r="AP1675" s="38"/>
      <c r="AQ1675" s="38"/>
      <c r="AR1675" s="38"/>
      <c r="AS1675" s="38"/>
      <c r="AT1675" s="38"/>
      <c r="AU1675" s="38"/>
      <c r="AV1675" s="38"/>
      <c r="AW1675" s="38"/>
      <c r="AX1675" s="38"/>
      <c r="AY1675" s="38"/>
      <c r="AZ1675" s="38"/>
      <c r="BA1675" s="38"/>
      <c r="BB1675" s="38"/>
      <c r="BC1675" s="38"/>
      <c r="BD1675" s="38"/>
      <c r="BE1675" s="38"/>
      <c r="BF1675" s="38"/>
      <c r="BG1675" s="38"/>
    </row>
    <row r="1676">
      <c r="A1676" s="16"/>
      <c r="B1676" s="380"/>
      <c r="C1676" s="146"/>
      <c r="D1676" s="146"/>
      <c r="E1676" s="16"/>
      <c r="F1676" s="91"/>
      <c r="G1676" s="16"/>
      <c r="H1676" s="320" t="str">
        <f t="shared" si="1"/>
        <v/>
      </c>
      <c r="I1676" s="16"/>
      <c r="J1676" s="16"/>
      <c r="K1676" s="16"/>
      <c r="L1676" s="38"/>
      <c r="M1676" s="16"/>
      <c r="N1676" s="16"/>
      <c r="O1676" s="16"/>
      <c r="P1676" s="15"/>
      <c r="Q1676" s="15"/>
      <c r="R1676" s="16"/>
      <c r="S1676" s="16"/>
      <c r="T1676" s="16"/>
      <c r="U1676" s="16"/>
      <c r="V1676" s="37" t="str">
        <f>IFERROR(__xludf.DUMMYFUNCTION("if(not(iserror(index(split(C1676, "" ""),2))), index(split(C1676, "" ""),1),"""")"),"")</f>
        <v/>
      </c>
      <c r="W1676" s="315" t="str">
        <f>IFERROR(__xludf.DUMMYFUNCTION("if(V1676="""",C1676,if(not(iserror(index(split(C1676, "" ""),3))), index(split(C1676, "" ""),3),index(split(C1676, "" ""),2)))"),"")</f>
        <v/>
      </c>
      <c r="X1676" s="38" t="b">
        <f t="shared" si="2"/>
        <v>0</v>
      </c>
      <c r="Y1676" s="38"/>
      <c r="Z1676" s="40"/>
      <c r="AA1676" s="40"/>
      <c r="AB1676" s="38"/>
      <c r="AC1676" s="38"/>
      <c r="AD1676" s="38"/>
      <c r="AE1676" s="38"/>
      <c r="AF1676" s="38"/>
      <c r="AG1676" s="38"/>
      <c r="AH1676" s="38"/>
      <c r="AI1676" s="38"/>
      <c r="AJ1676" s="38"/>
      <c r="AK1676" s="38"/>
      <c r="AL1676" s="38"/>
      <c r="AM1676" s="38"/>
      <c r="AN1676" s="38"/>
      <c r="AO1676" s="38"/>
      <c r="AP1676" s="38"/>
      <c r="AQ1676" s="38"/>
      <c r="AR1676" s="38"/>
      <c r="AS1676" s="38"/>
      <c r="AT1676" s="38"/>
      <c r="AU1676" s="38"/>
      <c r="AV1676" s="38"/>
      <c r="AW1676" s="38"/>
      <c r="AX1676" s="38"/>
      <c r="AY1676" s="38"/>
      <c r="AZ1676" s="38"/>
      <c r="BA1676" s="38"/>
      <c r="BB1676" s="38"/>
      <c r="BC1676" s="38"/>
      <c r="BD1676" s="38"/>
      <c r="BE1676" s="38"/>
      <c r="BF1676" s="38"/>
      <c r="BG1676" s="38"/>
    </row>
    <row r="1677">
      <c r="A1677" s="16"/>
      <c r="B1677" s="380"/>
      <c r="C1677" s="146"/>
      <c r="D1677" s="146"/>
      <c r="E1677" s="16"/>
      <c r="F1677" s="91"/>
      <c r="G1677" s="16"/>
      <c r="H1677" s="320" t="str">
        <f t="shared" si="1"/>
        <v/>
      </c>
      <c r="I1677" s="16"/>
      <c r="J1677" s="16"/>
      <c r="K1677" s="16"/>
      <c r="L1677" s="38"/>
      <c r="M1677" s="16"/>
      <c r="N1677" s="16"/>
      <c r="O1677" s="16"/>
      <c r="P1677" s="15"/>
      <c r="Q1677" s="15"/>
      <c r="R1677" s="16"/>
      <c r="S1677" s="16"/>
      <c r="T1677" s="16"/>
      <c r="U1677" s="16"/>
      <c r="V1677" s="37" t="str">
        <f>IFERROR(__xludf.DUMMYFUNCTION("if(not(iserror(index(split(C1677, "" ""),2))), index(split(C1677, "" ""),1),"""")"),"")</f>
        <v/>
      </c>
      <c r="W1677" s="315" t="str">
        <f>IFERROR(__xludf.DUMMYFUNCTION("if(V1677="""",C1677,if(not(iserror(index(split(C1677, "" ""),3))), index(split(C1677, "" ""),3),index(split(C1677, "" ""),2)))"),"")</f>
        <v/>
      </c>
      <c r="X1677" s="38" t="b">
        <f t="shared" si="2"/>
        <v>0</v>
      </c>
      <c r="Y1677" s="38"/>
      <c r="Z1677" s="40"/>
      <c r="AA1677" s="40"/>
      <c r="AB1677" s="38"/>
      <c r="AC1677" s="38"/>
      <c r="AD1677" s="38"/>
      <c r="AE1677" s="38"/>
      <c r="AF1677" s="38"/>
      <c r="AG1677" s="38"/>
      <c r="AH1677" s="38"/>
      <c r="AI1677" s="38"/>
      <c r="AJ1677" s="38"/>
      <c r="AK1677" s="38"/>
      <c r="AL1677" s="38"/>
      <c r="AM1677" s="38"/>
      <c r="AN1677" s="38"/>
      <c r="AO1677" s="38"/>
      <c r="AP1677" s="38"/>
      <c r="AQ1677" s="38"/>
      <c r="AR1677" s="38"/>
      <c r="AS1677" s="38"/>
      <c r="AT1677" s="38"/>
      <c r="AU1677" s="38"/>
      <c r="AV1677" s="38"/>
      <c r="AW1677" s="38"/>
      <c r="AX1677" s="38"/>
      <c r="AY1677" s="38"/>
      <c r="AZ1677" s="38"/>
      <c r="BA1677" s="38"/>
      <c r="BB1677" s="38"/>
      <c r="BC1677" s="38"/>
      <c r="BD1677" s="38"/>
      <c r="BE1677" s="38"/>
      <c r="BF1677" s="38"/>
      <c r="BG1677" s="38"/>
    </row>
    <row r="1678">
      <c r="A1678" s="16"/>
      <c r="B1678" s="380"/>
      <c r="C1678" s="146"/>
      <c r="D1678" s="146"/>
      <c r="E1678" s="16"/>
      <c r="F1678" s="91"/>
      <c r="G1678" s="16"/>
      <c r="H1678" s="320" t="str">
        <f t="shared" si="1"/>
        <v/>
      </c>
      <c r="I1678" s="16"/>
      <c r="J1678" s="16"/>
      <c r="K1678" s="16"/>
      <c r="L1678" s="38"/>
      <c r="M1678" s="16"/>
      <c r="N1678" s="16"/>
      <c r="O1678" s="16"/>
      <c r="P1678" s="15"/>
      <c r="Q1678" s="15"/>
      <c r="R1678" s="16"/>
      <c r="S1678" s="16"/>
      <c r="T1678" s="16"/>
      <c r="U1678" s="16"/>
      <c r="V1678" s="37" t="str">
        <f>IFERROR(__xludf.DUMMYFUNCTION("if(not(iserror(index(split(C1678, "" ""),2))), index(split(C1678, "" ""),1),"""")"),"")</f>
        <v/>
      </c>
      <c r="W1678" s="315" t="str">
        <f>IFERROR(__xludf.DUMMYFUNCTION("if(V1678="""",C1678,if(not(iserror(index(split(C1678, "" ""),3))), index(split(C1678, "" ""),3),index(split(C1678, "" ""),2)))"),"")</f>
        <v/>
      </c>
      <c r="X1678" s="38" t="b">
        <f t="shared" si="2"/>
        <v>0</v>
      </c>
      <c r="Y1678" s="38"/>
      <c r="Z1678" s="40"/>
      <c r="AA1678" s="40"/>
      <c r="AB1678" s="38"/>
      <c r="AC1678" s="38"/>
      <c r="AD1678" s="38"/>
      <c r="AE1678" s="38"/>
      <c r="AF1678" s="38"/>
      <c r="AG1678" s="38"/>
      <c r="AH1678" s="38"/>
      <c r="AI1678" s="38"/>
      <c r="AJ1678" s="38"/>
      <c r="AK1678" s="38"/>
      <c r="AL1678" s="38"/>
      <c r="AM1678" s="38"/>
      <c r="AN1678" s="38"/>
      <c r="AO1678" s="38"/>
      <c r="AP1678" s="38"/>
      <c r="AQ1678" s="38"/>
      <c r="AR1678" s="38"/>
      <c r="AS1678" s="38"/>
      <c r="AT1678" s="38"/>
      <c r="AU1678" s="38"/>
      <c r="AV1678" s="38"/>
      <c r="AW1678" s="38"/>
      <c r="AX1678" s="38"/>
      <c r="AY1678" s="38"/>
      <c r="AZ1678" s="38"/>
      <c r="BA1678" s="38"/>
      <c r="BB1678" s="38"/>
      <c r="BC1678" s="38"/>
      <c r="BD1678" s="38"/>
      <c r="BE1678" s="38"/>
      <c r="BF1678" s="38"/>
      <c r="BG1678" s="38"/>
    </row>
    <row r="1679">
      <c r="A1679" s="16"/>
      <c r="B1679" s="380"/>
      <c r="C1679" s="146"/>
      <c r="D1679" s="146"/>
      <c r="E1679" s="16"/>
      <c r="F1679" s="91"/>
      <c r="G1679" s="16"/>
      <c r="H1679" s="320" t="str">
        <f t="shared" si="1"/>
        <v/>
      </c>
      <c r="I1679" s="16"/>
      <c r="J1679" s="16"/>
      <c r="K1679" s="16"/>
      <c r="L1679" s="38"/>
      <c r="M1679" s="16"/>
      <c r="N1679" s="16"/>
      <c r="O1679" s="16"/>
      <c r="P1679" s="15"/>
      <c r="Q1679" s="15"/>
      <c r="R1679" s="16"/>
      <c r="S1679" s="16"/>
      <c r="T1679" s="16"/>
      <c r="U1679" s="16"/>
      <c r="V1679" s="37" t="str">
        <f>IFERROR(__xludf.DUMMYFUNCTION("if(not(iserror(index(split(C1679, "" ""),2))), index(split(C1679, "" ""),1),"""")"),"")</f>
        <v/>
      </c>
      <c r="W1679" s="315" t="str">
        <f>IFERROR(__xludf.DUMMYFUNCTION("if(V1679="""",C1679,if(not(iserror(index(split(C1679, "" ""),3))), index(split(C1679, "" ""),3),index(split(C1679, "" ""),2)))"),"")</f>
        <v/>
      </c>
      <c r="X1679" s="38" t="b">
        <f t="shared" si="2"/>
        <v>0</v>
      </c>
      <c r="Y1679" s="38"/>
      <c r="Z1679" s="40"/>
      <c r="AA1679" s="40"/>
      <c r="AB1679" s="38"/>
      <c r="AC1679" s="38"/>
      <c r="AD1679" s="38"/>
      <c r="AE1679" s="38"/>
      <c r="AF1679" s="38"/>
      <c r="AG1679" s="38"/>
      <c r="AH1679" s="38"/>
      <c r="AI1679" s="38"/>
      <c r="AJ1679" s="38"/>
      <c r="AK1679" s="38"/>
      <c r="AL1679" s="38"/>
      <c r="AM1679" s="38"/>
      <c r="AN1679" s="38"/>
      <c r="AO1679" s="38"/>
      <c r="AP1679" s="38"/>
      <c r="AQ1679" s="38"/>
      <c r="AR1679" s="38"/>
      <c r="AS1679" s="38"/>
      <c r="AT1679" s="38"/>
      <c r="AU1679" s="38"/>
      <c r="AV1679" s="38"/>
      <c r="AW1679" s="38"/>
      <c r="AX1679" s="38"/>
      <c r="AY1679" s="38"/>
      <c r="AZ1679" s="38"/>
      <c r="BA1679" s="38"/>
      <c r="BB1679" s="38"/>
      <c r="BC1679" s="38"/>
      <c r="BD1679" s="38"/>
      <c r="BE1679" s="38"/>
      <c r="BF1679" s="38"/>
      <c r="BG1679" s="38"/>
    </row>
    <row r="1680">
      <c r="A1680" s="16"/>
      <c r="B1680" s="380"/>
      <c r="C1680" s="146"/>
      <c r="D1680" s="146"/>
      <c r="E1680" s="16"/>
      <c r="F1680" s="91"/>
      <c r="G1680" s="16"/>
      <c r="H1680" s="320" t="str">
        <f t="shared" si="1"/>
        <v/>
      </c>
      <c r="I1680" s="16"/>
      <c r="J1680" s="16"/>
      <c r="K1680" s="16"/>
      <c r="L1680" s="38"/>
      <c r="M1680" s="16"/>
      <c r="N1680" s="16"/>
      <c r="O1680" s="16"/>
      <c r="P1680" s="15"/>
      <c r="Q1680" s="15"/>
      <c r="R1680" s="16"/>
      <c r="S1680" s="16"/>
      <c r="T1680" s="16"/>
      <c r="U1680" s="16"/>
      <c r="V1680" s="37" t="str">
        <f>IFERROR(__xludf.DUMMYFUNCTION("if(not(iserror(index(split(C1680, "" ""),2))), index(split(C1680, "" ""),1),"""")"),"")</f>
        <v/>
      </c>
      <c r="W1680" s="315" t="str">
        <f>IFERROR(__xludf.DUMMYFUNCTION("if(V1680="""",C1680,if(not(iserror(index(split(C1680, "" ""),3))), index(split(C1680, "" ""),3),index(split(C1680, "" ""),2)))"),"")</f>
        <v/>
      </c>
      <c r="X1680" s="38" t="b">
        <f t="shared" si="2"/>
        <v>0</v>
      </c>
      <c r="Y1680" s="38"/>
      <c r="Z1680" s="40"/>
      <c r="AA1680" s="40"/>
      <c r="AB1680" s="38"/>
      <c r="AC1680" s="38"/>
      <c r="AD1680" s="38"/>
      <c r="AE1680" s="38"/>
      <c r="AF1680" s="38"/>
      <c r="AG1680" s="38"/>
      <c r="AH1680" s="38"/>
      <c r="AI1680" s="38"/>
      <c r="AJ1680" s="38"/>
      <c r="AK1680" s="38"/>
      <c r="AL1680" s="38"/>
      <c r="AM1680" s="38"/>
      <c r="AN1680" s="38"/>
      <c r="AO1680" s="38"/>
      <c r="AP1680" s="38"/>
      <c r="AQ1680" s="38"/>
      <c r="AR1680" s="38"/>
      <c r="AS1680" s="38"/>
      <c r="AT1680" s="38"/>
      <c r="AU1680" s="38"/>
      <c r="AV1680" s="38"/>
      <c r="AW1680" s="38"/>
      <c r="AX1680" s="38"/>
      <c r="AY1680" s="38"/>
      <c r="AZ1680" s="38"/>
      <c r="BA1680" s="38"/>
      <c r="BB1680" s="38"/>
      <c r="BC1680" s="38"/>
      <c r="BD1680" s="38"/>
      <c r="BE1680" s="38"/>
      <c r="BF1680" s="38"/>
      <c r="BG1680" s="38"/>
    </row>
    <row r="1681">
      <c r="A1681" s="16"/>
      <c r="B1681" s="380"/>
      <c r="C1681" s="146"/>
      <c r="D1681" s="146"/>
      <c r="E1681" s="16"/>
      <c r="F1681" s="91"/>
      <c r="G1681" s="16"/>
      <c r="H1681" s="320" t="str">
        <f t="shared" si="1"/>
        <v/>
      </c>
      <c r="I1681" s="16"/>
      <c r="J1681" s="16"/>
      <c r="K1681" s="16"/>
      <c r="L1681" s="38"/>
      <c r="M1681" s="16"/>
      <c r="N1681" s="16"/>
      <c r="O1681" s="16"/>
      <c r="P1681" s="15"/>
      <c r="Q1681" s="15"/>
      <c r="R1681" s="16"/>
      <c r="S1681" s="16"/>
      <c r="T1681" s="16"/>
      <c r="U1681" s="16"/>
      <c r="V1681" s="37" t="str">
        <f>IFERROR(__xludf.DUMMYFUNCTION("if(not(iserror(index(split(C1681, "" ""),2))), index(split(C1681, "" ""),1),"""")"),"")</f>
        <v/>
      </c>
      <c r="W1681" s="315" t="str">
        <f>IFERROR(__xludf.DUMMYFUNCTION("if(V1681="""",C1681,if(not(iserror(index(split(C1681, "" ""),3))), index(split(C1681, "" ""),3),index(split(C1681, "" ""),2)))"),"")</f>
        <v/>
      </c>
      <c r="X1681" s="38" t="b">
        <f t="shared" si="2"/>
        <v>0</v>
      </c>
      <c r="Y1681" s="38"/>
      <c r="Z1681" s="40"/>
      <c r="AA1681" s="40"/>
      <c r="AB1681" s="38"/>
      <c r="AC1681" s="38"/>
      <c r="AD1681" s="38"/>
      <c r="AE1681" s="38"/>
      <c r="AF1681" s="38"/>
      <c r="AG1681" s="38"/>
      <c r="AH1681" s="38"/>
      <c r="AI1681" s="38"/>
      <c r="AJ1681" s="38"/>
      <c r="AK1681" s="38"/>
      <c r="AL1681" s="38"/>
      <c r="AM1681" s="38"/>
      <c r="AN1681" s="38"/>
      <c r="AO1681" s="38"/>
      <c r="AP1681" s="38"/>
      <c r="AQ1681" s="38"/>
      <c r="AR1681" s="38"/>
      <c r="AS1681" s="38"/>
      <c r="AT1681" s="38"/>
      <c r="AU1681" s="38"/>
      <c r="AV1681" s="38"/>
      <c r="AW1681" s="38"/>
      <c r="AX1681" s="38"/>
      <c r="AY1681" s="38"/>
      <c r="AZ1681" s="38"/>
      <c r="BA1681" s="38"/>
      <c r="BB1681" s="38"/>
      <c r="BC1681" s="38"/>
      <c r="BD1681" s="38"/>
      <c r="BE1681" s="38"/>
      <c r="BF1681" s="38"/>
      <c r="BG1681" s="38"/>
    </row>
    <row r="1682">
      <c r="A1682" s="16"/>
      <c r="B1682" s="380"/>
      <c r="C1682" s="146"/>
      <c r="D1682" s="146"/>
      <c r="E1682" s="16"/>
      <c r="F1682" s="91"/>
      <c r="G1682" s="16"/>
      <c r="H1682" s="320" t="str">
        <f t="shared" si="1"/>
        <v/>
      </c>
      <c r="I1682" s="16"/>
      <c r="J1682" s="16"/>
      <c r="K1682" s="16"/>
      <c r="L1682" s="38"/>
      <c r="M1682" s="16"/>
      <c r="N1682" s="16"/>
      <c r="O1682" s="16"/>
      <c r="P1682" s="15"/>
      <c r="Q1682" s="15"/>
      <c r="R1682" s="16"/>
      <c r="S1682" s="16"/>
      <c r="T1682" s="16"/>
      <c r="U1682" s="16"/>
      <c r="V1682" s="37" t="str">
        <f>IFERROR(__xludf.DUMMYFUNCTION("if(not(iserror(index(split(C1682, "" ""),2))), index(split(C1682, "" ""),1),"""")"),"")</f>
        <v/>
      </c>
      <c r="W1682" s="315" t="str">
        <f>IFERROR(__xludf.DUMMYFUNCTION("if(V1682="""",C1682,if(not(iserror(index(split(C1682, "" ""),3))), index(split(C1682, "" ""),3),index(split(C1682, "" ""),2)))"),"")</f>
        <v/>
      </c>
      <c r="X1682" s="38" t="b">
        <f t="shared" si="2"/>
        <v>0</v>
      </c>
      <c r="Y1682" s="38"/>
      <c r="Z1682" s="40"/>
      <c r="AA1682" s="40"/>
      <c r="AB1682" s="38"/>
      <c r="AC1682" s="38"/>
      <c r="AD1682" s="38"/>
      <c r="AE1682" s="38"/>
      <c r="AF1682" s="38"/>
      <c r="AG1682" s="38"/>
      <c r="AH1682" s="38"/>
      <c r="AI1682" s="38"/>
      <c r="AJ1682" s="38"/>
      <c r="AK1682" s="38"/>
      <c r="AL1682" s="38"/>
      <c r="AM1682" s="38"/>
      <c r="AN1682" s="38"/>
      <c r="AO1682" s="38"/>
      <c r="AP1682" s="38"/>
      <c r="AQ1682" s="38"/>
      <c r="AR1682" s="38"/>
      <c r="AS1682" s="38"/>
      <c r="AT1682" s="38"/>
      <c r="AU1682" s="38"/>
      <c r="AV1682" s="38"/>
      <c r="AW1682" s="38"/>
      <c r="AX1682" s="38"/>
      <c r="AY1682" s="38"/>
      <c r="AZ1682" s="38"/>
      <c r="BA1682" s="38"/>
      <c r="BB1682" s="38"/>
      <c r="BC1682" s="38"/>
      <c r="BD1682" s="38"/>
      <c r="BE1682" s="38"/>
      <c r="BF1682" s="38"/>
      <c r="BG1682" s="38"/>
    </row>
    <row r="1683">
      <c r="A1683" s="16"/>
      <c r="B1683" s="380"/>
      <c r="C1683" s="146"/>
      <c r="D1683" s="146"/>
      <c r="E1683" s="16"/>
      <c r="F1683" s="91"/>
      <c r="G1683" s="16"/>
      <c r="H1683" s="320" t="str">
        <f t="shared" si="1"/>
        <v/>
      </c>
      <c r="I1683" s="16"/>
      <c r="J1683" s="16"/>
      <c r="K1683" s="16"/>
      <c r="L1683" s="38"/>
      <c r="M1683" s="16"/>
      <c r="N1683" s="16"/>
      <c r="O1683" s="16"/>
      <c r="P1683" s="15"/>
      <c r="Q1683" s="15"/>
      <c r="R1683" s="16"/>
      <c r="S1683" s="16"/>
      <c r="T1683" s="16"/>
      <c r="U1683" s="16"/>
      <c r="V1683" s="37" t="str">
        <f>IFERROR(__xludf.DUMMYFUNCTION("if(not(iserror(index(split(C1683, "" ""),2))), index(split(C1683, "" ""),1),"""")"),"")</f>
        <v/>
      </c>
      <c r="W1683" s="315" t="str">
        <f>IFERROR(__xludf.DUMMYFUNCTION("if(V1683="""",C1683,if(not(iserror(index(split(C1683, "" ""),3))), index(split(C1683, "" ""),3),index(split(C1683, "" ""),2)))"),"")</f>
        <v/>
      </c>
      <c r="X1683" s="38" t="b">
        <f t="shared" si="2"/>
        <v>0</v>
      </c>
      <c r="Y1683" s="38"/>
      <c r="Z1683" s="40"/>
      <c r="AA1683" s="40"/>
      <c r="AB1683" s="38"/>
      <c r="AC1683" s="38"/>
      <c r="AD1683" s="38"/>
      <c r="AE1683" s="38"/>
      <c r="AF1683" s="38"/>
      <c r="AG1683" s="38"/>
      <c r="AH1683" s="38"/>
      <c r="AI1683" s="38"/>
      <c r="AJ1683" s="38"/>
      <c r="AK1683" s="38"/>
      <c r="AL1683" s="38"/>
      <c r="AM1683" s="38"/>
      <c r="AN1683" s="38"/>
      <c r="AO1683" s="38"/>
      <c r="AP1683" s="38"/>
      <c r="AQ1683" s="38"/>
      <c r="AR1683" s="38"/>
      <c r="AS1683" s="38"/>
      <c r="AT1683" s="38"/>
      <c r="AU1683" s="38"/>
      <c r="AV1683" s="38"/>
      <c r="AW1683" s="38"/>
      <c r="AX1683" s="38"/>
      <c r="AY1683" s="38"/>
      <c r="AZ1683" s="38"/>
      <c r="BA1683" s="38"/>
      <c r="BB1683" s="38"/>
      <c r="BC1683" s="38"/>
      <c r="BD1683" s="38"/>
      <c r="BE1683" s="38"/>
      <c r="BF1683" s="38"/>
      <c r="BG1683" s="38"/>
    </row>
    <row r="1684">
      <c r="A1684" s="16"/>
      <c r="B1684" s="380"/>
      <c r="C1684" s="146"/>
      <c r="D1684" s="146"/>
      <c r="E1684" s="16"/>
      <c r="F1684" s="91"/>
      <c r="G1684" s="16"/>
      <c r="H1684" s="320" t="str">
        <f t="shared" si="1"/>
        <v/>
      </c>
      <c r="I1684" s="16"/>
      <c r="J1684" s="16"/>
      <c r="K1684" s="16"/>
      <c r="L1684" s="38"/>
      <c r="M1684" s="16"/>
      <c r="N1684" s="16"/>
      <c r="O1684" s="16"/>
      <c r="P1684" s="15"/>
      <c r="Q1684" s="15"/>
      <c r="R1684" s="16"/>
      <c r="S1684" s="16"/>
      <c r="T1684" s="16"/>
      <c r="U1684" s="16"/>
      <c r="V1684" s="37" t="str">
        <f>IFERROR(__xludf.DUMMYFUNCTION("if(not(iserror(index(split(C1684, "" ""),2))), index(split(C1684, "" ""),1),"""")"),"")</f>
        <v/>
      </c>
      <c r="W1684" s="315" t="str">
        <f>IFERROR(__xludf.DUMMYFUNCTION("if(V1684="""",C1684,if(not(iserror(index(split(C1684, "" ""),3))), index(split(C1684, "" ""),3),index(split(C1684, "" ""),2)))"),"")</f>
        <v/>
      </c>
      <c r="X1684" s="38" t="b">
        <f t="shared" si="2"/>
        <v>0</v>
      </c>
      <c r="Y1684" s="38"/>
      <c r="Z1684" s="40"/>
      <c r="AA1684" s="40"/>
      <c r="AB1684" s="38"/>
      <c r="AC1684" s="38"/>
      <c r="AD1684" s="38"/>
      <c r="AE1684" s="38"/>
      <c r="AF1684" s="38"/>
      <c r="AG1684" s="38"/>
      <c r="AH1684" s="38"/>
      <c r="AI1684" s="38"/>
      <c r="AJ1684" s="38"/>
      <c r="AK1684" s="38"/>
      <c r="AL1684" s="38"/>
      <c r="AM1684" s="38"/>
      <c r="AN1684" s="38"/>
      <c r="AO1684" s="38"/>
      <c r="AP1684" s="38"/>
      <c r="AQ1684" s="38"/>
      <c r="AR1684" s="38"/>
      <c r="AS1684" s="38"/>
      <c r="AT1684" s="38"/>
      <c r="AU1684" s="38"/>
      <c r="AV1684" s="38"/>
      <c r="AW1684" s="38"/>
      <c r="AX1684" s="38"/>
      <c r="AY1684" s="38"/>
      <c r="AZ1684" s="38"/>
      <c r="BA1684" s="38"/>
      <c r="BB1684" s="38"/>
      <c r="BC1684" s="38"/>
      <c r="BD1684" s="38"/>
      <c r="BE1684" s="38"/>
      <c r="BF1684" s="38"/>
      <c r="BG1684" s="38"/>
    </row>
    <row r="1685">
      <c r="A1685" s="16"/>
      <c r="B1685" s="380"/>
      <c r="C1685" s="146"/>
      <c r="D1685" s="146"/>
      <c r="E1685" s="16"/>
      <c r="F1685" s="91"/>
      <c r="G1685" s="16"/>
      <c r="H1685" s="320" t="str">
        <f t="shared" si="1"/>
        <v/>
      </c>
      <c r="I1685" s="16"/>
      <c r="J1685" s="16"/>
      <c r="K1685" s="16"/>
      <c r="L1685" s="38"/>
      <c r="M1685" s="16"/>
      <c r="N1685" s="16"/>
      <c r="O1685" s="16"/>
      <c r="P1685" s="15"/>
      <c r="Q1685" s="15"/>
      <c r="R1685" s="16"/>
      <c r="S1685" s="16"/>
      <c r="T1685" s="16"/>
      <c r="U1685" s="16"/>
      <c r="V1685" s="37" t="str">
        <f>IFERROR(__xludf.DUMMYFUNCTION("if(not(iserror(index(split(C1685, "" ""),2))), index(split(C1685, "" ""),1),"""")"),"")</f>
        <v/>
      </c>
      <c r="W1685" s="315" t="str">
        <f>IFERROR(__xludf.DUMMYFUNCTION("if(V1685="""",C1685,if(not(iserror(index(split(C1685, "" ""),3))), index(split(C1685, "" ""),3),index(split(C1685, "" ""),2)))"),"")</f>
        <v/>
      </c>
      <c r="X1685" s="38" t="b">
        <f t="shared" si="2"/>
        <v>0</v>
      </c>
      <c r="Y1685" s="38"/>
      <c r="Z1685" s="40"/>
      <c r="AA1685" s="40"/>
      <c r="AB1685" s="38"/>
      <c r="AC1685" s="38"/>
      <c r="AD1685" s="38"/>
      <c r="AE1685" s="38"/>
      <c r="AF1685" s="38"/>
      <c r="AG1685" s="38"/>
      <c r="AH1685" s="38"/>
      <c r="AI1685" s="38"/>
      <c r="AJ1685" s="38"/>
      <c r="AK1685" s="38"/>
      <c r="AL1685" s="38"/>
      <c r="AM1685" s="38"/>
      <c r="AN1685" s="38"/>
      <c r="AO1685" s="38"/>
      <c r="AP1685" s="38"/>
      <c r="AQ1685" s="38"/>
      <c r="AR1685" s="38"/>
      <c r="AS1685" s="38"/>
      <c r="AT1685" s="38"/>
      <c r="AU1685" s="38"/>
      <c r="AV1685" s="38"/>
      <c r="AW1685" s="38"/>
      <c r="AX1685" s="38"/>
      <c r="AY1685" s="38"/>
      <c r="AZ1685" s="38"/>
      <c r="BA1685" s="38"/>
      <c r="BB1685" s="38"/>
      <c r="BC1685" s="38"/>
      <c r="BD1685" s="38"/>
      <c r="BE1685" s="38"/>
      <c r="BF1685" s="38"/>
      <c r="BG1685" s="38"/>
    </row>
    <row r="1686">
      <c r="A1686" s="16"/>
      <c r="B1686" s="380"/>
      <c r="C1686" s="146"/>
      <c r="D1686" s="146"/>
      <c r="E1686" s="16"/>
      <c r="F1686" s="91"/>
      <c r="G1686" s="16"/>
      <c r="H1686" s="320" t="str">
        <f t="shared" si="1"/>
        <v/>
      </c>
      <c r="I1686" s="16"/>
      <c r="J1686" s="16"/>
      <c r="K1686" s="16"/>
      <c r="L1686" s="38"/>
      <c r="M1686" s="16"/>
      <c r="N1686" s="16"/>
      <c r="O1686" s="16"/>
      <c r="P1686" s="15"/>
      <c r="Q1686" s="15"/>
      <c r="R1686" s="16"/>
      <c r="S1686" s="16"/>
      <c r="T1686" s="16"/>
      <c r="U1686" s="16"/>
      <c r="V1686" s="37" t="str">
        <f>IFERROR(__xludf.DUMMYFUNCTION("if(not(iserror(index(split(C1686, "" ""),2))), index(split(C1686, "" ""),1),"""")"),"")</f>
        <v/>
      </c>
      <c r="W1686" s="315" t="str">
        <f>IFERROR(__xludf.DUMMYFUNCTION("if(V1686="""",C1686,if(not(iserror(index(split(C1686, "" ""),3))), index(split(C1686, "" ""),3),index(split(C1686, "" ""),2)))"),"")</f>
        <v/>
      </c>
      <c r="X1686" s="38" t="b">
        <f t="shared" si="2"/>
        <v>0</v>
      </c>
      <c r="Y1686" s="38"/>
      <c r="Z1686" s="40"/>
      <c r="AA1686" s="40"/>
      <c r="AB1686" s="38"/>
      <c r="AC1686" s="38"/>
      <c r="AD1686" s="38"/>
      <c r="AE1686" s="38"/>
      <c r="AF1686" s="38"/>
      <c r="AG1686" s="38"/>
      <c r="AH1686" s="38"/>
      <c r="AI1686" s="38"/>
      <c r="AJ1686" s="38"/>
      <c r="AK1686" s="38"/>
      <c r="AL1686" s="38"/>
      <c r="AM1686" s="38"/>
      <c r="AN1686" s="38"/>
      <c r="AO1686" s="38"/>
      <c r="AP1686" s="38"/>
      <c r="AQ1686" s="38"/>
      <c r="AR1686" s="38"/>
      <c r="AS1686" s="38"/>
      <c r="AT1686" s="38"/>
      <c r="AU1686" s="38"/>
      <c r="AV1686" s="38"/>
      <c r="AW1686" s="38"/>
      <c r="AX1686" s="38"/>
      <c r="AY1686" s="38"/>
      <c r="AZ1686" s="38"/>
      <c r="BA1686" s="38"/>
      <c r="BB1686" s="38"/>
      <c r="BC1686" s="38"/>
      <c r="BD1686" s="38"/>
      <c r="BE1686" s="38"/>
      <c r="BF1686" s="38"/>
      <c r="BG1686" s="38"/>
    </row>
    <row r="1687">
      <c r="A1687" s="16"/>
      <c r="B1687" s="380"/>
      <c r="C1687" s="146"/>
      <c r="D1687" s="146"/>
      <c r="E1687" s="16"/>
      <c r="F1687" s="91"/>
      <c r="G1687" s="16"/>
      <c r="H1687" s="320" t="str">
        <f t="shared" si="1"/>
        <v/>
      </c>
      <c r="I1687" s="16"/>
      <c r="J1687" s="16"/>
      <c r="K1687" s="16"/>
      <c r="L1687" s="38"/>
      <c r="M1687" s="16"/>
      <c r="N1687" s="16"/>
      <c r="O1687" s="16"/>
      <c r="P1687" s="15"/>
      <c r="Q1687" s="15"/>
      <c r="R1687" s="16"/>
      <c r="S1687" s="16"/>
      <c r="T1687" s="16"/>
      <c r="U1687" s="16"/>
      <c r="V1687" s="37" t="str">
        <f>IFERROR(__xludf.DUMMYFUNCTION("if(not(iserror(index(split(C1687, "" ""),2))), index(split(C1687, "" ""),1),"""")"),"")</f>
        <v/>
      </c>
      <c r="W1687" s="315" t="str">
        <f>IFERROR(__xludf.DUMMYFUNCTION("if(V1687="""",C1687,if(not(iserror(index(split(C1687, "" ""),3))), index(split(C1687, "" ""),3),index(split(C1687, "" ""),2)))"),"")</f>
        <v/>
      </c>
      <c r="X1687" s="38" t="b">
        <f t="shared" si="2"/>
        <v>0</v>
      </c>
      <c r="Y1687" s="38"/>
      <c r="Z1687" s="40"/>
      <c r="AA1687" s="40"/>
      <c r="AB1687" s="38"/>
      <c r="AC1687" s="38"/>
      <c r="AD1687" s="38"/>
      <c r="AE1687" s="38"/>
      <c r="AF1687" s="38"/>
      <c r="AG1687" s="38"/>
      <c r="AH1687" s="38"/>
      <c r="AI1687" s="38"/>
      <c r="AJ1687" s="38"/>
      <c r="AK1687" s="38"/>
      <c r="AL1687" s="38"/>
      <c r="AM1687" s="38"/>
      <c r="AN1687" s="38"/>
      <c r="AO1687" s="38"/>
      <c r="AP1687" s="38"/>
      <c r="AQ1687" s="38"/>
      <c r="AR1687" s="38"/>
      <c r="AS1687" s="38"/>
      <c r="AT1687" s="38"/>
      <c r="AU1687" s="38"/>
      <c r="AV1687" s="38"/>
      <c r="AW1687" s="38"/>
      <c r="AX1687" s="38"/>
      <c r="AY1687" s="38"/>
      <c r="AZ1687" s="38"/>
      <c r="BA1687" s="38"/>
      <c r="BB1687" s="38"/>
      <c r="BC1687" s="38"/>
      <c r="BD1687" s="38"/>
      <c r="BE1687" s="38"/>
      <c r="BF1687" s="38"/>
      <c r="BG1687" s="38"/>
    </row>
    <row r="1688">
      <c r="A1688" s="16"/>
      <c r="B1688" s="380"/>
      <c r="C1688" s="146"/>
      <c r="D1688" s="146"/>
      <c r="E1688" s="16"/>
      <c r="F1688" s="91"/>
      <c r="G1688" s="16"/>
      <c r="H1688" s="320" t="str">
        <f t="shared" si="1"/>
        <v/>
      </c>
      <c r="I1688" s="16"/>
      <c r="J1688" s="16"/>
      <c r="K1688" s="16"/>
      <c r="L1688" s="38"/>
      <c r="M1688" s="16"/>
      <c r="N1688" s="16"/>
      <c r="O1688" s="16"/>
      <c r="P1688" s="15"/>
      <c r="Q1688" s="15"/>
      <c r="R1688" s="16"/>
      <c r="S1688" s="16"/>
      <c r="T1688" s="16"/>
      <c r="U1688" s="16"/>
      <c r="V1688" s="37" t="str">
        <f>IFERROR(__xludf.DUMMYFUNCTION("if(not(iserror(index(split(C1688, "" ""),2))), index(split(C1688, "" ""),1),"""")"),"")</f>
        <v/>
      </c>
      <c r="W1688" s="315" t="str">
        <f>IFERROR(__xludf.DUMMYFUNCTION("if(V1688="""",C1688,if(not(iserror(index(split(C1688, "" ""),3))), index(split(C1688, "" ""),3),index(split(C1688, "" ""),2)))"),"")</f>
        <v/>
      </c>
      <c r="X1688" s="38" t="b">
        <f t="shared" si="2"/>
        <v>0</v>
      </c>
      <c r="Y1688" s="38"/>
      <c r="Z1688" s="40"/>
      <c r="AA1688" s="40"/>
      <c r="AB1688" s="38"/>
      <c r="AC1688" s="38"/>
      <c r="AD1688" s="38"/>
      <c r="AE1688" s="38"/>
      <c r="AF1688" s="38"/>
      <c r="AG1688" s="38"/>
      <c r="AH1688" s="38"/>
      <c r="AI1688" s="38"/>
      <c r="AJ1688" s="38"/>
      <c r="AK1688" s="38"/>
      <c r="AL1688" s="38"/>
      <c r="AM1688" s="38"/>
      <c r="AN1688" s="38"/>
      <c r="AO1688" s="38"/>
      <c r="AP1688" s="38"/>
      <c r="AQ1688" s="38"/>
      <c r="AR1688" s="38"/>
      <c r="AS1688" s="38"/>
      <c r="AT1688" s="38"/>
      <c r="AU1688" s="38"/>
      <c r="AV1688" s="38"/>
      <c r="AW1688" s="38"/>
      <c r="AX1688" s="38"/>
      <c r="AY1688" s="38"/>
      <c r="AZ1688" s="38"/>
      <c r="BA1688" s="38"/>
      <c r="BB1688" s="38"/>
      <c r="BC1688" s="38"/>
      <c r="BD1688" s="38"/>
      <c r="BE1688" s="38"/>
      <c r="BF1688" s="38"/>
      <c r="BG1688" s="38"/>
    </row>
    <row r="1689">
      <c r="A1689" s="16"/>
      <c r="B1689" s="380"/>
      <c r="C1689" s="146"/>
      <c r="D1689" s="146"/>
      <c r="E1689" s="16"/>
      <c r="F1689" s="91"/>
      <c r="G1689" s="16"/>
      <c r="H1689" s="320" t="str">
        <f t="shared" si="1"/>
        <v/>
      </c>
      <c r="I1689" s="16"/>
      <c r="J1689" s="16"/>
      <c r="K1689" s="16"/>
      <c r="L1689" s="38"/>
      <c r="M1689" s="16"/>
      <c r="N1689" s="16"/>
      <c r="O1689" s="16"/>
      <c r="P1689" s="15"/>
      <c r="Q1689" s="15"/>
      <c r="R1689" s="16"/>
      <c r="S1689" s="16"/>
      <c r="T1689" s="16"/>
      <c r="U1689" s="16"/>
      <c r="V1689" s="37" t="str">
        <f>IFERROR(__xludf.DUMMYFUNCTION("if(not(iserror(index(split(C1689, "" ""),2))), index(split(C1689, "" ""),1),"""")"),"")</f>
        <v/>
      </c>
      <c r="W1689" s="315" t="str">
        <f>IFERROR(__xludf.DUMMYFUNCTION("if(V1689="""",C1689,if(not(iserror(index(split(C1689, "" ""),3))), index(split(C1689, "" ""),3),index(split(C1689, "" ""),2)))"),"")</f>
        <v/>
      </c>
      <c r="X1689" s="38" t="b">
        <f t="shared" si="2"/>
        <v>0</v>
      </c>
      <c r="Y1689" s="38"/>
      <c r="Z1689" s="40"/>
      <c r="AA1689" s="40"/>
      <c r="AB1689" s="38"/>
      <c r="AC1689" s="38"/>
      <c r="AD1689" s="38"/>
      <c r="AE1689" s="38"/>
      <c r="AF1689" s="38"/>
      <c r="AG1689" s="38"/>
      <c r="AH1689" s="38"/>
      <c r="AI1689" s="38"/>
      <c r="AJ1689" s="38"/>
      <c r="AK1689" s="38"/>
      <c r="AL1689" s="38"/>
      <c r="AM1689" s="38"/>
      <c r="AN1689" s="38"/>
      <c r="AO1689" s="38"/>
      <c r="AP1689" s="38"/>
      <c r="AQ1689" s="38"/>
      <c r="AR1689" s="38"/>
      <c r="AS1689" s="38"/>
      <c r="AT1689" s="38"/>
      <c r="AU1689" s="38"/>
      <c r="AV1689" s="38"/>
      <c r="AW1689" s="38"/>
      <c r="AX1689" s="38"/>
      <c r="AY1689" s="38"/>
      <c r="AZ1689" s="38"/>
      <c r="BA1689" s="38"/>
      <c r="BB1689" s="38"/>
      <c r="BC1689" s="38"/>
      <c r="BD1689" s="38"/>
      <c r="BE1689" s="38"/>
      <c r="BF1689" s="38"/>
      <c r="BG1689" s="38"/>
    </row>
    <row r="1690">
      <c r="A1690" s="16"/>
      <c r="B1690" s="380"/>
      <c r="C1690" s="146"/>
      <c r="D1690" s="146"/>
      <c r="E1690" s="16"/>
      <c r="F1690" s="91"/>
      <c r="G1690" s="16"/>
      <c r="H1690" s="320" t="str">
        <f t="shared" si="1"/>
        <v/>
      </c>
      <c r="I1690" s="16"/>
      <c r="J1690" s="16"/>
      <c r="K1690" s="16"/>
      <c r="L1690" s="38"/>
      <c r="M1690" s="16"/>
      <c r="N1690" s="16"/>
      <c r="O1690" s="16"/>
      <c r="P1690" s="15"/>
      <c r="Q1690" s="15"/>
      <c r="R1690" s="16"/>
      <c r="S1690" s="16"/>
      <c r="T1690" s="16"/>
      <c r="U1690" s="16"/>
      <c r="V1690" s="37" t="str">
        <f>IFERROR(__xludf.DUMMYFUNCTION("if(not(iserror(index(split(C1690, "" ""),2))), index(split(C1690, "" ""),1),"""")"),"")</f>
        <v/>
      </c>
      <c r="W1690" s="315" t="str">
        <f>IFERROR(__xludf.DUMMYFUNCTION("if(V1690="""",C1690,if(not(iserror(index(split(C1690, "" ""),3))), index(split(C1690, "" ""),3),index(split(C1690, "" ""),2)))"),"")</f>
        <v/>
      </c>
      <c r="X1690" s="38" t="b">
        <f t="shared" si="2"/>
        <v>0</v>
      </c>
      <c r="Y1690" s="38"/>
      <c r="Z1690" s="40"/>
      <c r="AA1690" s="40"/>
      <c r="AB1690" s="38"/>
      <c r="AC1690" s="38"/>
      <c r="AD1690" s="38"/>
      <c r="AE1690" s="38"/>
      <c r="AF1690" s="38"/>
      <c r="AG1690" s="38"/>
      <c r="AH1690" s="38"/>
      <c r="AI1690" s="38"/>
      <c r="AJ1690" s="38"/>
      <c r="AK1690" s="38"/>
      <c r="AL1690" s="38"/>
      <c r="AM1690" s="38"/>
      <c r="AN1690" s="38"/>
      <c r="AO1690" s="38"/>
      <c r="AP1690" s="38"/>
      <c r="AQ1690" s="38"/>
      <c r="AR1690" s="38"/>
      <c r="AS1690" s="38"/>
      <c r="AT1690" s="38"/>
      <c r="AU1690" s="38"/>
      <c r="AV1690" s="38"/>
      <c r="AW1690" s="38"/>
      <c r="AX1690" s="38"/>
      <c r="AY1690" s="38"/>
      <c r="AZ1690" s="38"/>
      <c r="BA1690" s="38"/>
      <c r="BB1690" s="38"/>
      <c r="BC1690" s="38"/>
      <c r="BD1690" s="38"/>
      <c r="BE1690" s="38"/>
      <c r="BF1690" s="38"/>
      <c r="BG1690" s="38"/>
    </row>
    <row r="1691">
      <c r="A1691" s="16"/>
      <c r="B1691" s="380"/>
      <c r="C1691" s="146"/>
      <c r="D1691" s="146"/>
      <c r="E1691" s="16"/>
      <c r="F1691" s="91"/>
      <c r="G1691" s="16"/>
      <c r="H1691" s="320" t="str">
        <f t="shared" si="1"/>
        <v/>
      </c>
      <c r="I1691" s="16"/>
      <c r="J1691" s="16"/>
      <c r="K1691" s="16"/>
      <c r="L1691" s="38"/>
      <c r="M1691" s="16"/>
      <c r="N1691" s="16"/>
      <c r="O1691" s="16"/>
      <c r="P1691" s="15"/>
      <c r="Q1691" s="15"/>
      <c r="R1691" s="16"/>
      <c r="S1691" s="16"/>
      <c r="T1691" s="16"/>
      <c r="U1691" s="16"/>
      <c r="V1691" s="37" t="str">
        <f>IFERROR(__xludf.DUMMYFUNCTION("if(not(iserror(index(split(C1691, "" ""),2))), index(split(C1691, "" ""),1),"""")"),"")</f>
        <v/>
      </c>
      <c r="W1691" s="315" t="str">
        <f>IFERROR(__xludf.DUMMYFUNCTION("if(V1691="""",C1691,if(not(iserror(index(split(C1691, "" ""),3))), index(split(C1691, "" ""),3),index(split(C1691, "" ""),2)))"),"")</f>
        <v/>
      </c>
      <c r="X1691" s="38" t="b">
        <f t="shared" si="2"/>
        <v>0</v>
      </c>
      <c r="Y1691" s="38"/>
      <c r="Z1691" s="40"/>
      <c r="AA1691" s="40"/>
      <c r="AB1691" s="38"/>
      <c r="AC1691" s="38"/>
      <c r="AD1691" s="38"/>
      <c r="AE1691" s="38"/>
      <c r="AF1691" s="38"/>
      <c r="AG1691" s="38"/>
      <c r="AH1691" s="38"/>
      <c r="AI1691" s="38"/>
      <c r="AJ1691" s="38"/>
      <c r="AK1691" s="38"/>
      <c r="AL1691" s="38"/>
      <c r="AM1691" s="38"/>
      <c r="AN1691" s="38"/>
      <c r="AO1691" s="38"/>
      <c r="AP1691" s="38"/>
      <c r="AQ1691" s="38"/>
      <c r="AR1691" s="38"/>
      <c r="AS1691" s="38"/>
      <c r="AT1691" s="38"/>
      <c r="AU1691" s="38"/>
      <c r="AV1691" s="38"/>
      <c r="AW1691" s="38"/>
      <c r="AX1691" s="38"/>
      <c r="AY1691" s="38"/>
      <c r="AZ1691" s="38"/>
      <c r="BA1691" s="38"/>
      <c r="BB1691" s="38"/>
      <c r="BC1691" s="38"/>
      <c r="BD1691" s="38"/>
      <c r="BE1691" s="38"/>
      <c r="BF1691" s="38"/>
      <c r="BG1691" s="38"/>
    </row>
    <row r="1692">
      <c r="A1692" s="16"/>
      <c r="B1692" s="16"/>
      <c r="C1692" s="146"/>
      <c r="D1692" s="146"/>
      <c r="E1692" s="16"/>
      <c r="F1692" s="91"/>
      <c r="G1692" s="16"/>
      <c r="H1692" s="320" t="str">
        <f t="shared" si="1"/>
        <v/>
      </c>
      <c r="I1692" s="16"/>
      <c r="J1692" s="16"/>
      <c r="K1692" s="16"/>
      <c r="L1692" s="38"/>
      <c r="M1692" s="16"/>
      <c r="N1692" s="16"/>
      <c r="O1692" s="16"/>
      <c r="P1692" s="15"/>
      <c r="Q1692" s="15"/>
      <c r="R1692" s="16"/>
      <c r="S1692" s="16"/>
      <c r="T1692" s="16"/>
      <c r="U1692" s="16"/>
      <c r="V1692" s="37" t="str">
        <f>IFERROR(__xludf.DUMMYFUNCTION("if(not(iserror(index(split(C1692, "" ""),2))), index(split(C1692, "" ""),1),"""")"),"")</f>
        <v/>
      </c>
      <c r="W1692" s="315" t="str">
        <f>IFERROR(__xludf.DUMMYFUNCTION("if(V1692="""",C1692,if(not(iserror(index(split(C1692, "" ""),3))), index(split(C1692, "" ""),3),index(split(C1692, "" ""),2)))"),"")</f>
        <v/>
      </c>
      <c r="X1692" s="38" t="b">
        <f t="shared" si="2"/>
        <v>0</v>
      </c>
      <c r="Y1692" s="38"/>
      <c r="Z1692" s="40"/>
      <c r="AA1692" s="40"/>
      <c r="AB1692" s="38"/>
      <c r="AC1692" s="38"/>
      <c r="AD1692" s="38"/>
      <c r="AE1692" s="38"/>
      <c r="AF1692" s="38"/>
      <c r="AG1692" s="38"/>
      <c r="AH1692" s="38"/>
      <c r="AI1692" s="38"/>
      <c r="AJ1692" s="38"/>
      <c r="AK1692" s="38"/>
      <c r="AL1692" s="38"/>
      <c r="AM1692" s="38"/>
      <c r="AN1692" s="38"/>
      <c r="AO1692" s="38"/>
      <c r="AP1692" s="38"/>
      <c r="AQ1692" s="38"/>
      <c r="AR1692" s="38"/>
      <c r="AS1692" s="38"/>
      <c r="AT1692" s="38"/>
      <c r="AU1692" s="38"/>
      <c r="AV1692" s="38"/>
      <c r="AW1692" s="38"/>
      <c r="AX1692" s="38"/>
      <c r="AY1692" s="38"/>
      <c r="AZ1692" s="38"/>
      <c r="BA1692" s="38"/>
      <c r="BB1692" s="38"/>
      <c r="BC1692" s="38"/>
      <c r="BD1692" s="38"/>
      <c r="BE1692" s="38"/>
      <c r="BF1692" s="38"/>
      <c r="BG1692" s="38"/>
    </row>
    <row r="1693">
      <c r="A1693" s="16"/>
      <c r="B1693" s="16"/>
      <c r="C1693" s="146"/>
      <c r="D1693" s="146"/>
      <c r="E1693" s="16"/>
      <c r="F1693" s="91"/>
      <c r="G1693" s="16"/>
      <c r="H1693" s="320" t="str">
        <f t="shared" si="1"/>
        <v/>
      </c>
      <c r="I1693" s="16"/>
      <c r="J1693" s="16"/>
      <c r="K1693" s="16"/>
      <c r="L1693" s="38"/>
      <c r="M1693" s="16"/>
      <c r="N1693" s="16"/>
      <c r="O1693" s="16"/>
      <c r="P1693" s="15"/>
      <c r="Q1693" s="15"/>
      <c r="R1693" s="16"/>
      <c r="S1693" s="16"/>
      <c r="T1693" s="16"/>
      <c r="U1693" s="16"/>
      <c r="V1693" s="37" t="str">
        <f>IFERROR(__xludf.DUMMYFUNCTION("if(not(iserror(index(split(C1693, "" ""),2))), index(split(C1693, "" ""),1),"""")"),"")</f>
        <v/>
      </c>
      <c r="W1693" s="315" t="str">
        <f>IFERROR(__xludf.DUMMYFUNCTION("if(V1693="""",C1693,if(not(iserror(index(split(C1693, "" ""),3))), index(split(C1693, "" ""),3),index(split(C1693, "" ""),2)))"),"")</f>
        <v/>
      </c>
      <c r="X1693" s="38" t="b">
        <f t="shared" si="2"/>
        <v>0</v>
      </c>
      <c r="Y1693" s="38"/>
      <c r="Z1693" s="40"/>
      <c r="AA1693" s="40"/>
      <c r="AB1693" s="38"/>
      <c r="AC1693" s="38"/>
      <c r="AD1693" s="38"/>
      <c r="AE1693" s="38"/>
      <c r="AF1693" s="38"/>
      <c r="AG1693" s="38"/>
      <c r="AH1693" s="38"/>
      <c r="AI1693" s="38"/>
      <c r="AJ1693" s="38"/>
      <c r="AK1693" s="38"/>
      <c r="AL1693" s="38"/>
      <c r="AM1693" s="38"/>
      <c r="AN1693" s="38"/>
      <c r="AO1693" s="38"/>
      <c r="AP1693" s="38"/>
      <c r="AQ1693" s="38"/>
      <c r="AR1693" s="38"/>
      <c r="AS1693" s="38"/>
      <c r="AT1693" s="38"/>
      <c r="AU1693" s="38"/>
      <c r="AV1693" s="38"/>
      <c r="AW1693" s="38"/>
      <c r="AX1693" s="38"/>
      <c r="AY1693" s="38"/>
      <c r="AZ1693" s="38"/>
      <c r="BA1693" s="38"/>
      <c r="BB1693" s="38"/>
      <c r="BC1693" s="38"/>
      <c r="BD1693" s="38"/>
      <c r="BE1693" s="38"/>
      <c r="BF1693" s="38"/>
      <c r="BG1693" s="38"/>
    </row>
    <row r="1694">
      <c r="A1694" s="16"/>
      <c r="B1694" s="16"/>
      <c r="C1694" s="146"/>
      <c r="D1694" s="146"/>
      <c r="E1694" s="16"/>
      <c r="F1694" s="91"/>
      <c r="G1694" s="16"/>
      <c r="H1694" s="320" t="str">
        <f t="shared" si="1"/>
        <v/>
      </c>
      <c r="I1694" s="16"/>
      <c r="J1694" s="16"/>
      <c r="K1694" s="16"/>
      <c r="L1694" s="38"/>
      <c r="M1694" s="16"/>
      <c r="N1694" s="16"/>
      <c r="O1694" s="16"/>
      <c r="P1694" s="15"/>
      <c r="Q1694" s="15"/>
      <c r="R1694" s="16"/>
      <c r="S1694" s="16"/>
      <c r="T1694" s="16"/>
      <c r="U1694" s="16"/>
      <c r="V1694" s="37" t="str">
        <f>IFERROR(__xludf.DUMMYFUNCTION("if(not(iserror(index(split(C1694, "" ""),2))), index(split(C1694, "" ""),1),"""")"),"")</f>
        <v/>
      </c>
      <c r="W1694" s="315" t="str">
        <f>IFERROR(__xludf.DUMMYFUNCTION("if(V1694="""",C1694,if(not(iserror(index(split(C1694, "" ""),3))), index(split(C1694, "" ""),3),index(split(C1694, "" ""),2)))"),"")</f>
        <v/>
      </c>
      <c r="X1694" s="38" t="b">
        <f t="shared" si="2"/>
        <v>0</v>
      </c>
      <c r="Y1694" s="38"/>
      <c r="Z1694" s="40"/>
      <c r="AA1694" s="40"/>
      <c r="AB1694" s="38"/>
      <c r="AC1694" s="38"/>
      <c r="AD1694" s="38"/>
      <c r="AE1694" s="38"/>
      <c r="AF1694" s="38"/>
      <c r="AG1694" s="38"/>
      <c r="AH1694" s="38"/>
      <c r="AI1694" s="38"/>
      <c r="AJ1694" s="38"/>
      <c r="AK1694" s="38"/>
      <c r="AL1694" s="38"/>
      <c r="AM1694" s="38"/>
      <c r="AN1694" s="38"/>
      <c r="AO1694" s="38"/>
      <c r="AP1694" s="38"/>
      <c r="AQ1694" s="38"/>
      <c r="AR1694" s="38"/>
      <c r="AS1694" s="38"/>
      <c r="AT1694" s="38"/>
      <c r="AU1694" s="38"/>
      <c r="AV1694" s="38"/>
      <c r="AW1694" s="38"/>
      <c r="AX1694" s="38"/>
      <c r="AY1694" s="38"/>
      <c r="AZ1694" s="38"/>
      <c r="BA1694" s="38"/>
      <c r="BB1694" s="38"/>
      <c r="BC1694" s="38"/>
      <c r="BD1694" s="38"/>
      <c r="BE1694" s="38"/>
      <c r="BF1694" s="38"/>
      <c r="BG1694" s="38"/>
    </row>
    <row r="1695">
      <c r="A1695" s="16"/>
      <c r="B1695" s="16"/>
      <c r="C1695" s="146"/>
      <c r="D1695" s="146"/>
      <c r="E1695" s="16"/>
      <c r="F1695" s="91"/>
      <c r="G1695" s="16"/>
      <c r="H1695" s="320" t="str">
        <f t="shared" si="1"/>
        <v/>
      </c>
      <c r="I1695" s="16"/>
      <c r="J1695" s="16"/>
      <c r="K1695" s="16"/>
      <c r="L1695" s="38"/>
      <c r="M1695" s="16"/>
      <c r="N1695" s="16"/>
      <c r="O1695" s="16"/>
      <c r="P1695" s="15"/>
      <c r="Q1695" s="15"/>
      <c r="R1695" s="16"/>
      <c r="S1695" s="16"/>
      <c r="T1695" s="16"/>
      <c r="U1695" s="16"/>
      <c r="V1695" s="37" t="str">
        <f>IFERROR(__xludf.DUMMYFUNCTION("if(not(iserror(index(split(C1695, "" ""),2))), index(split(C1695, "" ""),1),"""")"),"")</f>
        <v/>
      </c>
      <c r="W1695" s="315" t="str">
        <f>IFERROR(__xludf.DUMMYFUNCTION("if(V1695="""",C1695,if(not(iserror(index(split(C1695, "" ""),3))), index(split(C1695, "" ""),3),index(split(C1695, "" ""),2)))"),"")</f>
        <v/>
      </c>
      <c r="X1695" s="38" t="b">
        <f t="shared" si="2"/>
        <v>0</v>
      </c>
      <c r="Y1695" s="38"/>
      <c r="Z1695" s="40"/>
      <c r="AA1695" s="40"/>
      <c r="AB1695" s="38"/>
      <c r="AC1695" s="38"/>
      <c r="AD1695" s="38"/>
      <c r="AE1695" s="38"/>
      <c r="AF1695" s="38"/>
      <c r="AG1695" s="38"/>
      <c r="AH1695" s="38"/>
      <c r="AI1695" s="38"/>
      <c r="AJ1695" s="38"/>
      <c r="AK1695" s="38"/>
      <c r="AL1695" s="38"/>
      <c r="AM1695" s="38"/>
      <c r="AN1695" s="38"/>
      <c r="AO1695" s="38"/>
      <c r="AP1695" s="38"/>
      <c r="AQ1695" s="38"/>
      <c r="AR1695" s="38"/>
      <c r="AS1695" s="38"/>
      <c r="AT1695" s="38"/>
      <c r="AU1695" s="38"/>
      <c r="AV1695" s="38"/>
      <c r="AW1695" s="38"/>
      <c r="AX1695" s="38"/>
      <c r="AY1695" s="38"/>
      <c r="AZ1695" s="38"/>
      <c r="BA1695" s="38"/>
      <c r="BB1695" s="38"/>
      <c r="BC1695" s="38"/>
      <c r="BD1695" s="38"/>
      <c r="BE1695" s="38"/>
      <c r="BF1695" s="38"/>
      <c r="BG1695" s="38"/>
    </row>
    <row r="1696">
      <c r="A1696" s="16"/>
      <c r="B1696" s="16"/>
      <c r="C1696" s="146"/>
      <c r="D1696" s="146"/>
      <c r="E1696" s="16"/>
      <c r="F1696" s="91"/>
      <c r="G1696" s="16"/>
      <c r="H1696" s="320" t="str">
        <f t="shared" si="1"/>
        <v/>
      </c>
      <c r="I1696" s="16"/>
      <c r="J1696" s="16"/>
      <c r="K1696" s="16"/>
      <c r="L1696" s="38"/>
      <c r="M1696" s="16"/>
      <c r="N1696" s="16"/>
      <c r="O1696" s="16"/>
      <c r="P1696" s="15"/>
      <c r="Q1696" s="15"/>
      <c r="R1696" s="16"/>
      <c r="S1696" s="16"/>
      <c r="T1696" s="16"/>
      <c r="U1696" s="16"/>
      <c r="V1696" s="37" t="str">
        <f>IFERROR(__xludf.DUMMYFUNCTION("if(not(iserror(index(split(C1696, "" ""),2))), index(split(C1696, "" ""),1),"""")"),"")</f>
        <v/>
      </c>
      <c r="W1696" s="315" t="str">
        <f>IFERROR(__xludf.DUMMYFUNCTION("if(V1696="""",C1696,if(not(iserror(index(split(C1696, "" ""),3))), index(split(C1696, "" ""),3),index(split(C1696, "" ""),2)))"),"")</f>
        <v/>
      </c>
      <c r="X1696" s="38" t="b">
        <f t="shared" si="2"/>
        <v>0</v>
      </c>
      <c r="Y1696" s="38"/>
      <c r="Z1696" s="40"/>
      <c r="AA1696" s="40"/>
      <c r="AB1696" s="38"/>
      <c r="AC1696" s="38"/>
      <c r="AD1696" s="38"/>
      <c r="AE1696" s="38"/>
      <c r="AF1696" s="38"/>
      <c r="AG1696" s="38"/>
      <c r="AH1696" s="38"/>
      <c r="AI1696" s="38"/>
      <c r="AJ1696" s="38"/>
      <c r="AK1696" s="38"/>
      <c r="AL1696" s="38"/>
      <c r="AM1696" s="38"/>
      <c r="AN1696" s="38"/>
      <c r="AO1696" s="38"/>
      <c r="AP1696" s="38"/>
      <c r="AQ1696" s="38"/>
      <c r="AR1696" s="38"/>
      <c r="AS1696" s="38"/>
      <c r="AT1696" s="38"/>
      <c r="AU1696" s="38"/>
      <c r="AV1696" s="38"/>
      <c r="AW1696" s="38"/>
      <c r="AX1696" s="38"/>
      <c r="AY1696" s="38"/>
      <c r="AZ1696" s="38"/>
      <c r="BA1696" s="38"/>
      <c r="BB1696" s="38"/>
      <c r="BC1696" s="38"/>
      <c r="BD1696" s="38"/>
      <c r="BE1696" s="38"/>
      <c r="BF1696" s="38"/>
      <c r="BG1696" s="38"/>
    </row>
    <row r="1697">
      <c r="A1697" s="16"/>
      <c r="B1697" s="16"/>
      <c r="C1697" s="146"/>
      <c r="D1697" s="146"/>
      <c r="E1697" s="16"/>
      <c r="F1697" s="91"/>
      <c r="G1697" s="16"/>
      <c r="H1697" s="320" t="str">
        <f t="shared" si="1"/>
        <v/>
      </c>
      <c r="I1697" s="16"/>
      <c r="J1697" s="16"/>
      <c r="K1697" s="16"/>
      <c r="L1697" s="38"/>
      <c r="M1697" s="16"/>
      <c r="N1697" s="16"/>
      <c r="O1697" s="16"/>
      <c r="P1697" s="15"/>
      <c r="Q1697" s="15"/>
      <c r="R1697" s="16"/>
      <c r="S1697" s="16"/>
      <c r="T1697" s="16"/>
      <c r="U1697" s="16"/>
      <c r="V1697" s="37" t="str">
        <f>IFERROR(__xludf.DUMMYFUNCTION("if(not(iserror(index(split(C1697, "" ""),2))), index(split(C1697, "" ""),1),"""")"),"")</f>
        <v/>
      </c>
      <c r="W1697" s="315" t="str">
        <f>IFERROR(__xludf.DUMMYFUNCTION("if(V1697="""",C1697,if(not(iserror(index(split(C1697, "" ""),3))), index(split(C1697, "" ""),3),index(split(C1697, "" ""),2)))"),"")</f>
        <v/>
      </c>
      <c r="X1697" s="38" t="b">
        <f t="shared" si="2"/>
        <v>0</v>
      </c>
      <c r="Y1697" s="38"/>
      <c r="Z1697" s="40"/>
      <c r="AA1697" s="40"/>
      <c r="AB1697" s="38"/>
      <c r="AC1697" s="38"/>
      <c r="AD1697" s="38"/>
      <c r="AE1697" s="38"/>
      <c r="AF1697" s="38"/>
      <c r="AG1697" s="38"/>
      <c r="AH1697" s="38"/>
      <c r="AI1697" s="38"/>
      <c r="AJ1697" s="38"/>
      <c r="AK1697" s="38"/>
      <c r="AL1697" s="38"/>
      <c r="AM1697" s="38"/>
      <c r="AN1697" s="38"/>
      <c r="AO1697" s="38"/>
      <c r="AP1697" s="38"/>
      <c r="AQ1697" s="38"/>
      <c r="AR1697" s="38"/>
      <c r="AS1697" s="38"/>
      <c r="AT1697" s="38"/>
      <c r="AU1697" s="38"/>
      <c r="AV1697" s="38"/>
      <c r="AW1697" s="38"/>
      <c r="AX1697" s="38"/>
      <c r="AY1697" s="38"/>
      <c r="AZ1697" s="38"/>
      <c r="BA1697" s="38"/>
      <c r="BB1697" s="38"/>
      <c r="BC1697" s="38"/>
      <c r="BD1697" s="38"/>
      <c r="BE1697" s="38"/>
      <c r="BF1697" s="38"/>
      <c r="BG1697" s="38"/>
    </row>
    <row r="1698">
      <c r="A1698" s="16"/>
      <c r="B1698" s="16"/>
      <c r="C1698" s="146"/>
      <c r="D1698" s="146"/>
      <c r="E1698" s="16"/>
      <c r="F1698" s="91"/>
      <c r="G1698" s="16"/>
      <c r="H1698" s="320" t="str">
        <f t="shared" si="1"/>
        <v/>
      </c>
      <c r="I1698" s="16"/>
      <c r="J1698" s="16"/>
      <c r="K1698" s="16"/>
      <c r="L1698" s="38"/>
      <c r="M1698" s="16"/>
      <c r="N1698" s="16"/>
      <c r="O1698" s="16"/>
      <c r="P1698" s="15"/>
      <c r="Q1698" s="15"/>
      <c r="R1698" s="16"/>
      <c r="S1698" s="16"/>
      <c r="T1698" s="16"/>
      <c r="U1698" s="16"/>
      <c r="V1698" s="37" t="str">
        <f>IFERROR(__xludf.DUMMYFUNCTION("if(not(iserror(index(split(C1698, "" ""),2))), index(split(C1698, "" ""),1),"""")"),"")</f>
        <v/>
      </c>
      <c r="W1698" s="315" t="str">
        <f>IFERROR(__xludf.DUMMYFUNCTION("if(V1698="""",C1698,if(not(iserror(index(split(C1698, "" ""),3))), index(split(C1698, "" ""),3),index(split(C1698, "" ""),2)))"),"")</f>
        <v/>
      </c>
      <c r="X1698" s="38" t="b">
        <f t="shared" si="2"/>
        <v>0</v>
      </c>
      <c r="Y1698" s="38"/>
      <c r="Z1698" s="40"/>
      <c r="AA1698" s="40"/>
      <c r="AB1698" s="38"/>
      <c r="AC1698" s="38"/>
      <c r="AD1698" s="38"/>
      <c r="AE1698" s="38"/>
      <c r="AF1698" s="38"/>
      <c r="AG1698" s="38"/>
      <c r="AH1698" s="38"/>
      <c r="AI1698" s="38"/>
      <c r="AJ1698" s="38"/>
      <c r="AK1698" s="38"/>
      <c r="AL1698" s="38"/>
      <c r="AM1698" s="38"/>
      <c r="AN1698" s="38"/>
      <c r="AO1698" s="38"/>
      <c r="AP1698" s="38"/>
      <c r="AQ1698" s="38"/>
      <c r="AR1698" s="38"/>
      <c r="AS1698" s="38"/>
      <c r="AT1698" s="38"/>
      <c r="AU1698" s="38"/>
      <c r="AV1698" s="38"/>
      <c r="AW1698" s="38"/>
      <c r="AX1698" s="38"/>
      <c r="AY1698" s="38"/>
      <c r="AZ1698" s="38"/>
      <c r="BA1698" s="38"/>
      <c r="BB1698" s="38"/>
      <c r="BC1698" s="38"/>
      <c r="BD1698" s="38"/>
      <c r="BE1698" s="38"/>
      <c r="BF1698" s="38"/>
      <c r="BG1698" s="38"/>
    </row>
    <row r="1699">
      <c r="A1699" s="16"/>
      <c r="B1699" s="16"/>
      <c r="C1699" s="146"/>
      <c r="D1699" s="146"/>
      <c r="E1699" s="16"/>
      <c r="F1699" s="91"/>
      <c r="G1699" s="16"/>
      <c r="H1699" s="320" t="str">
        <f t="shared" si="1"/>
        <v/>
      </c>
      <c r="I1699" s="16"/>
      <c r="J1699" s="16"/>
      <c r="K1699" s="16"/>
      <c r="L1699" s="38"/>
      <c r="M1699" s="16"/>
      <c r="N1699" s="16"/>
      <c r="O1699" s="16"/>
      <c r="P1699" s="15"/>
      <c r="Q1699" s="15"/>
      <c r="R1699" s="16"/>
      <c r="S1699" s="16"/>
      <c r="T1699" s="16"/>
      <c r="U1699" s="16"/>
      <c r="V1699" s="37" t="str">
        <f>IFERROR(__xludf.DUMMYFUNCTION("if(not(iserror(index(split(C1699, "" ""),2))), index(split(C1699, "" ""),1),"""")"),"")</f>
        <v/>
      </c>
      <c r="W1699" s="315" t="str">
        <f>IFERROR(__xludf.DUMMYFUNCTION("if(V1699="""",C1699,if(not(iserror(index(split(C1699, "" ""),3))), index(split(C1699, "" ""),3),index(split(C1699, "" ""),2)))"),"")</f>
        <v/>
      </c>
      <c r="X1699" s="38" t="b">
        <f t="shared" si="2"/>
        <v>0</v>
      </c>
      <c r="Y1699" s="38"/>
      <c r="Z1699" s="40"/>
      <c r="AA1699" s="40"/>
      <c r="AB1699" s="38"/>
      <c r="AC1699" s="38"/>
      <c r="AD1699" s="38"/>
      <c r="AE1699" s="38"/>
      <c r="AF1699" s="38"/>
      <c r="AG1699" s="38"/>
      <c r="AH1699" s="38"/>
      <c r="AI1699" s="38"/>
      <c r="AJ1699" s="38"/>
      <c r="AK1699" s="38"/>
      <c r="AL1699" s="38"/>
      <c r="AM1699" s="38"/>
      <c r="AN1699" s="38"/>
      <c r="AO1699" s="38"/>
      <c r="AP1699" s="38"/>
      <c r="AQ1699" s="38"/>
      <c r="AR1699" s="38"/>
      <c r="AS1699" s="38"/>
      <c r="AT1699" s="38"/>
      <c r="AU1699" s="38"/>
      <c r="AV1699" s="38"/>
      <c r="AW1699" s="38"/>
      <c r="AX1699" s="38"/>
      <c r="AY1699" s="38"/>
      <c r="AZ1699" s="38"/>
      <c r="BA1699" s="38"/>
      <c r="BB1699" s="38"/>
      <c r="BC1699" s="38"/>
      <c r="BD1699" s="38"/>
      <c r="BE1699" s="38"/>
      <c r="BF1699" s="38"/>
      <c r="BG1699" s="38"/>
    </row>
    <row r="1700">
      <c r="A1700" s="16"/>
      <c r="B1700" s="16"/>
      <c r="C1700" s="146"/>
      <c r="D1700" s="146"/>
      <c r="E1700" s="16"/>
      <c r="F1700" s="91"/>
      <c r="G1700" s="16"/>
      <c r="H1700" s="320" t="str">
        <f t="shared" si="1"/>
        <v/>
      </c>
      <c r="I1700" s="16"/>
      <c r="J1700" s="16"/>
      <c r="K1700" s="16"/>
      <c r="L1700" s="38"/>
      <c r="M1700" s="16"/>
      <c r="N1700" s="16"/>
      <c r="O1700" s="16"/>
      <c r="P1700" s="15"/>
      <c r="Q1700" s="15"/>
      <c r="R1700" s="16"/>
      <c r="S1700" s="16"/>
      <c r="T1700" s="16"/>
      <c r="U1700" s="16"/>
      <c r="V1700" s="37" t="str">
        <f>IFERROR(__xludf.DUMMYFUNCTION("if(not(iserror(index(split(C1700, "" ""),2))), index(split(C1700, "" ""),1),"""")"),"")</f>
        <v/>
      </c>
      <c r="W1700" s="315" t="str">
        <f>IFERROR(__xludf.DUMMYFUNCTION("if(V1700="""",C1700,if(not(iserror(index(split(C1700, "" ""),3))), index(split(C1700, "" ""),3),index(split(C1700, "" ""),2)))"),"")</f>
        <v/>
      </c>
      <c r="X1700" s="38" t="b">
        <f t="shared" si="2"/>
        <v>0</v>
      </c>
      <c r="Y1700" s="38"/>
      <c r="Z1700" s="40"/>
      <c r="AA1700" s="40"/>
      <c r="AB1700" s="38"/>
      <c r="AC1700" s="38"/>
      <c r="AD1700" s="38"/>
      <c r="AE1700" s="38"/>
      <c r="AF1700" s="38"/>
      <c r="AG1700" s="38"/>
      <c r="AH1700" s="38"/>
      <c r="AI1700" s="38"/>
      <c r="AJ1700" s="38"/>
      <c r="AK1700" s="38"/>
      <c r="AL1700" s="38"/>
      <c r="AM1700" s="38"/>
      <c r="AN1700" s="38"/>
      <c r="AO1700" s="38"/>
      <c r="AP1700" s="38"/>
      <c r="AQ1700" s="38"/>
      <c r="AR1700" s="38"/>
      <c r="AS1700" s="38"/>
      <c r="AT1700" s="38"/>
      <c r="AU1700" s="38"/>
      <c r="AV1700" s="38"/>
      <c r="AW1700" s="38"/>
      <c r="AX1700" s="38"/>
      <c r="AY1700" s="38"/>
      <c r="AZ1700" s="38"/>
      <c r="BA1700" s="38"/>
      <c r="BB1700" s="38"/>
      <c r="BC1700" s="38"/>
      <c r="BD1700" s="38"/>
      <c r="BE1700" s="38"/>
      <c r="BF1700" s="38"/>
      <c r="BG1700" s="38"/>
    </row>
    <row r="1701">
      <c r="A1701" s="16"/>
      <c r="B1701" s="16"/>
      <c r="C1701" s="146"/>
      <c r="D1701" s="146"/>
      <c r="E1701" s="16"/>
      <c r="F1701" s="91"/>
      <c r="G1701" s="16"/>
      <c r="H1701" s="320" t="str">
        <f t="shared" si="1"/>
        <v/>
      </c>
      <c r="I1701" s="16"/>
      <c r="J1701" s="16"/>
      <c r="K1701" s="16"/>
      <c r="L1701" s="38"/>
      <c r="M1701" s="16"/>
      <c r="N1701" s="16"/>
      <c r="O1701" s="16"/>
      <c r="P1701" s="15"/>
      <c r="Q1701" s="15"/>
      <c r="R1701" s="16"/>
      <c r="S1701" s="16"/>
      <c r="T1701" s="16"/>
      <c r="U1701" s="16"/>
      <c r="V1701" s="37" t="str">
        <f>IFERROR(__xludf.DUMMYFUNCTION("if(not(iserror(index(split(C1701, "" ""),2))), index(split(C1701, "" ""),1),"""")"),"")</f>
        <v/>
      </c>
      <c r="W1701" s="315" t="str">
        <f>IFERROR(__xludf.DUMMYFUNCTION("if(V1701="""",C1701,if(not(iserror(index(split(C1701, "" ""),3))), index(split(C1701, "" ""),3),index(split(C1701, "" ""),2)))"),"")</f>
        <v/>
      </c>
      <c r="X1701" s="38" t="b">
        <f t="shared" si="2"/>
        <v>0</v>
      </c>
      <c r="Y1701" s="38"/>
      <c r="Z1701" s="40"/>
      <c r="AA1701" s="40"/>
      <c r="AB1701" s="38"/>
      <c r="AC1701" s="38"/>
      <c r="AD1701" s="38"/>
      <c r="AE1701" s="38"/>
      <c r="AF1701" s="38"/>
      <c r="AG1701" s="38"/>
      <c r="AH1701" s="38"/>
      <c r="AI1701" s="38"/>
      <c r="AJ1701" s="38"/>
      <c r="AK1701" s="38"/>
      <c r="AL1701" s="38"/>
      <c r="AM1701" s="38"/>
      <c r="AN1701" s="38"/>
      <c r="AO1701" s="38"/>
      <c r="AP1701" s="38"/>
      <c r="AQ1701" s="38"/>
      <c r="AR1701" s="38"/>
      <c r="AS1701" s="38"/>
      <c r="AT1701" s="38"/>
      <c r="AU1701" s="38"/>
      <c r="AV1701" s="38"/>
      <c r="AW1701" s="38"/>
      <c r="AX1701" s="38"/>
      <c r="AY1701" s="38"/>
      <c r="AZ1701" s="38"/>
      <c r="BA1701" s="38"/>
      <c r="BB1701" s="38"/>
      <c r="BC1701" s="38"/>
      <c r="BD1701" s="38"/>
      <c r="BE1701" s="38"/>
      <c r="BF1701" s="38"/>
      <c r="BG1701" s="38"/>
    </row>
    <row r="1702">
      <c r="A1702" s="16"/>
      <c r="B1702" s="16"/>
      <c r="C1702" s="146"/>
      <c r="D1702" s="146"/>
      <c r="E1702" s="16"/>
      <c r="F1702" s="91"/>
      <c r="G1702" s="16"/>
      <c r="H1702" s="320" t="str">
        <f t="shared" si="1"/>
        <v/>
      </c>
      <c r="I1702" s="16"/>
      <c r="J1702" s="16"/>
      <c r="K1702" s="16"/>
      <c r="L1702" s="38"/>
      <c r="M1702" s="16"/>
      <c r="N1702" s="16"/>
      <c r="O1702" s="16"/>
      <c r="P1702" s="15"/>
      <c r="Q1702" s="15"/>
      <c r="R1702" s="16"/>
      <c r="S1702" s="16"/>
      <c r="T1702" s="16"/>
      <c r="U1702" s="16"/>
      <c r="V1702" s="37" t="str">
        <f>IFERROR(__xludf.DUMMYFUNCTION("if(not(iserror(index(split(C1702, "" ""),2))), index(split(C1702, "" ""),1),"""")"),"")</f>
        <v/>
      </c>
      <c r="W1702" s="315" t="str">
        <f>IFERROR(__xludf.DUMMYFUNCTION("if(V1702="""",C1702,if(not(iserror(index(split(C1702, "" ""),3))), index(split(C1702, "" ""),3),index(split(C1702, "" ""),2)))"),"")</f>
        <v/>
      </c>
      <c r="X1702" s="38" t="b">
        <f t="shared" si="2"/>
        <v>0</v>
      </c>
      <c r="Y1702" s="38"/>
      <c r="Z1702" s="40"/>
      <c r="AA1702" s="40"/>
      <c r="AB1702" s="38"/>
      <c r="AC1702" s="38"/>
      <c r="AD1702" s="38"/>
      <c r="AE1702" s="38"/>
      <c r="AF1702" s="38"/>
      <c r="AG1702" s="38"/>
      <c r="AH1702" s="38"/>
      <c r="AI1702" s="38"/>
      <c r="AJ1702" s="38"/>
      <c r="AK1702" s="38"/>
      <c r="AL1702" s="38"/>
      <c r="AM1702" s="38"/>
      <c r="AN1702" s="38"/>
      <c r="AO1702" s="38"/>
      <c r="AP1702" s="38"/>
      <c r="AQ1702" s="38"/>
      <c r="AR1702" s="38"/>
      <c r="AS1702" s="38"/>
      <c r="AT1702" s="38"/>
      <c r="AU1702" s="38"/>
      <c r="AV1702" s="38"/>
      <c r="AW1702" s="38"/>
      <c r="AX1702" s="38"/>
      <c r="AY1702" s="38"/>
      <c r="AZ1702" s="38"/>
      <c r="BA1702" s="38"/>
      <c r="BB1702" s="38"/>
      <c r="BC1702" s="38"/>
      <c r="BD1702" s="38"/>
      <c r="BE1702" s="38"/>
      <c r="BF1702" s="38"/>
      <c r="BG1702" s="38"/>
    </row>
    <row r="1703">
      <c r="A1703" s="16"/>
      <c r="B1703" s="16"/>
      <c r="C1703" s="146"/>
      <c r="D1703" s="146"/>
      <c r="E1703" s="16"/>
      <c r="F1703" s="91"/>
      <c r="G1703" s="16"/>
      <c r="H1703" s="320" t="str">
        <f t="shared" si="1"/>
        <v/>
      </c>
      <c r="I1703" s="16"/>
      <c r="J1703" s="16"/>
      <c r="K1703" s="16"/>
      <c r="L1703" s="38"/>
      <c r="M1703" s="16"/>
      <c r="N1703" s="16"/>
      <c r="O1703" s="16"/>
      <c r="P1703" s="15"/>
      <c r="Q1703" s="15"/>
      <c r="R1703" s="16"/>
      <c r="S1703" s="16"/>
      <c r="T1703" s="16"/>
      <c r="U1703" s="16"/>
      <c r="V1703" s="37" t="str">
        <f>IFERROR(__xludf.DUMMYFUNCTION("if(not(iserror(index(split(C1703, "" ""),2))), index(split(C1703, "" ""),1),"""")"),"")</f>
        <v/>
      </c>
      <c r="W1703" s="315" t="str">
        <f>IFERROR(__xludf.DUMMYFUNCTION("if(V1703="""",C1703,if(not(iserror(index(split(C1703, "" ""),3))), index(split(C1703, "" ""),3),index(split(C1703, "" ""),2)))"),"")</f>
        <v/>
      </c>
      <c r="X1703" s="38" t="b">
        <f t="shared" si="2"/>
        <v>0</v>
      </c>
      <c r="Y1703" s="38"/>
      <c r="Z1703" s="40"/>
      <c r="AA1703" s="40"/>
      <c r="AB1703" s="38"/>
      <c r="AC1703" s="38"/>
      <c r="AD1703" s="38"/>
      <c r="AE1703" s="38"/>
      <c r="AF1703" s="38"/>
      <c r="AG1703" s="38"/>
      <c r="AH1703" s="38"/>
      <c r="AI1703" s="38"/>
      <c r="AJ1703" s="38"/>
      <c r="AK1703" s="38"/>
      <c r="AL1703" s="38"/>
      <c r="AM1703" s="38"/>
      <c r="AN1703" s="38"/>
      <c r="AO1703" s="38"/>
      <c r="AP1703" s="38"/>
      <c r="AQ1703" s="38"/>
      <c r="AR1703" s="38"/>
      <c r="AS1703" s="38"/>
      <c r="AT1703" s="38"/>
      <c r="AU1703" s="38"/>
      <c r="AV1703" s="38"/>
      <c r="AW1703" s="38"/>
      <c r="AX1703" s="38"/>
      <c r="AY1703" s="38"/>
      <c r="AZ1703" s="38"/>
      <c r="BA1703" s="38"/>
      <c r="BB1703" s="38"/>
      <c r="BC1703" s="38"/>
      <c r="BD1703" s="38"/>
      <c r="BE1703" s="38"/>
      <c r="BF1703" s="38"/>
      <c r="BG1703" s="38"/>
    </row>
    <row r="1704">
      <c r="A1704" s="16"/>
      <c r="B1704" s="16"/>
      <c r="C1704" s="146"/>
      <c r="D1704" s="146"/>
      <c r="E1704" s="16"/>
      <c r="F1704" s="91"/>
      <c r="G1704" s="16"/>
      <c r="H1704" s="320" t="str">
        <f t="shared" si="1"/>
        <v/>
      </c>
      <c r="I1704" s="16"/>
      <c r="J1704" s="16"/>
      <c r="K1704" s="16"/>
      <c r="L1704" s="38"/>
      <c r="M1704" s="16"/>
      <c r="N1704" s="16"/>
      <c r="O1704" s="16"/>
      <c r="P1704" s="15"/>
      <c r="Q1704" s="15"/>
      <c r="R1704" s="16"/>
      <c r="S1704" s="16"/>
      <c r="T1704" s="16"/>
      <c r="U1704" s="16"/>
      <c r="V1704" s="37" t="str">
        <f>IFERROR(__xludf.DUMMYFUNCTION("if(not(iserror(index(split(C1704, "" ""),2))), index(split(C1704, "" ""),1),"""")"),"")</f>
        <v/>
      </c>
      <c r="W1704" s="315" t="str">
        <f>IFERROR(__xludf.DUMMYFUNCTION("if(V1704="""",C1704,if(not(iserror(index(split(C1704, "" ""),3))), index(split(C1704, "" ""),3),index(split(C1704, "" ""),2)))"),"")</f>
        <v/>
      </c>
      <c r="X1704" s="38" t="b">
        <f t="shared" si="2"/>
        <v>0</v>
      </c>
      <c r="Y1704" s="38"/>
      <c r="Z1704" s="40"/>
      <c r="AA1704" s="40"/>
      <c r="AB1704" s="38"/>
      <c r="AC1704" s="38"/>
      <c r="AD1704" s="38"/>
      <c r="AE1704" s="38"/>
      <c r="AF1704" s="38"/>
      <c r="AG1704" s="38"/>
      <c r="AH1704" s="38"/>
      <c r="AI1704" s="38"/>
      <c r="AJ1704" s="38"/>
      <c r="AK1704" s="38"/>
      <c r="AL1704" s="38"/>
      <c r="AM1704" s="38"/>
      <c r="AN1704" s="38"/>
      <c r="AO1704" s="38"/>
      <c r="AP1704" s="38"/>
      <c r="AQ1704" s="38"/>
      <c r="AR1704" s="38"/>
      <c r="AS1704" s="38"/>
      <c r="AT1704" s="38"/>
      <c r="AU1704" s="38"/>
      <c r="AV1704" s="38"/>
      <c r="AW1704" s="38"/>
      <c r="AX1704" s="38"/>
      <c r="AY1704" s="38"/>
      <c r="AZ1704" s="38"/>
      <c r="BA1704" s="38"/>
      <c r="BB1704" s="38"/>
      <c r="BC1704" s="38"/>
      <c r="BD1704" s="38"/>
      <c r="BE1704" s="38"/>
      <c r="BF1704" s="38"/>
      <c r="BG1704" s="38"/>
    </row>
    <row r="1705">
      <c r="A1705" s="16"/>
      <c r="B1705" s="16"/>
      <c r="C1705" s="146"/>
      <c r="D1705" s="146"/>
      <c r="E1705" s="16"/>
      <c r="F1705" s="91"/>
      <c r="G1705" s="16"/>
      <c r="H1705" s="320" t="str">
        <f t="shared" si="1"/>
        <v/>
      </c>
      <c r="I1705" s="16"/>
      <c r="J1705" s="16"/>
      <c r="K1705" s="16"/>
      <c r="L1705" s="38"/>
      <c r="M1705" s="16"/>
      <c r="N1705" s="16"/>
      <c r="O1705" s="16"/>
      <c r="P1705" s="15"/>
      <c r="Q1705" s="15"/>
      <c r="R1705" s="16"/>
      <c r="S1705" s="16"/>
      <c r="T1705" s="16"/>
      <c r="U1705" s="16"/>
      <c r="V1705" s="37" t="str">
        <f>IFERROR(__xludf.DUMMYFUNCTION("if(not(iserror(index(split(C1705, "" ""),2))), index(split(C1705, "" ""),1),"""")"),"")</f>
        <v/>
      </c>
      <c r="W1705" s="315" t="str">
        <f>IFERROR(__xludf.DUMMYFUNCTION("if(V1705="""",C1705,if(not(iserror(index(split(C1705, "" ""),3))), index(split(C1705, "" ""),3),index(split(C1705, "" ""),2)))"),"")</f>
        <v/>
      </c>
      <c r="X1705" s="38" t="b">
        <f t="shared" si="2"/>
        <v>0</v>
      </c>
      <c r="Y1705" s="38"/>
      <c r="Z1705" s="40"/>
      <c r="AA1705" s="40"/>
      <c r="AB1705" s="38"/>
      <c r="AC1705" s="38"/>
      <c r="AD1705" s="38"/>
      <c r="AE1705" s="38"/>
      <c r="AF1705" s="38"/>
      <c r="AG1705" s="38"/>
      <c r="AH1705" s="38"/>
      <c r="AI1705" s="38"/>
      <c r="AJ1705" s="38"/>
      <c r="AK1705" s="38"/>
      <c r="AL1705" s="38"/>
      <c r="AM1705" s="38"/>
      <c r="AN1705" s="38"/>
      <c r="AO1705" s="38"/>
      <c r="AP1705" s="38"/>
      <c r="AQ1705" s="38"/>
      <c r="AR1705" s="38"/>
      <c r="AS1705" s="38"/>
      <c r="AT1705" s="38"/>
      <c r="AU1705" s="38"/>
      <c r="AV1705" s="38"/>
      <c r="AW1705" s="38"/>
      <c r="AX1705" s="38"/>
      <c r="AY1705" s="38"/>
      <c r="AZ1705" s="38"/>
      <c r="BA1705" s="38"/>
      <c r="BB1705" s="38"/>
      <c r="BC1705" s="38"/>
      <c r="BD1705" s="38"/>
      <c r="BE1705" s="38"/>
      <c r="BF1705" s="38"/>
      <c r="BG1705" s="38"/>
    </row>
    <row r="1706">
      <c r="A1706" s="16"/>
      <c r="B1706" s="16"/>
      <c r="C1706" s="146"/>
      <c r="D1706" s="146"/>
      <c r="E1706" s="16"/>
      <c r="F1706" s="91"/>
      <c r="G1706" s="16"/>
      <c r="H1706" s="320" t="str">
        <f t="shared" si="1"/>
        <v/>
      </c>
      <c r="I1706" s="16"/>
      <c r="J1706" s="16"/>
      <c r="K1706" s="16"/>
      <c r="L1706" s="38"/>
      <c r="M1706" s="16"/>
      <c r="N1706" s="16"/>
      <c r="O1706" s="16"/>
      <c r="P1706" s="15"/>
      <c r="Q1706" s="15"/>
      <c r="R1706" s="16"/>
      <c r="S1706" s="16"/>
      <c r="T1706" s="16"/>
      <c r="U1706" s="16"/>
      <c r="V1706" s="37" t="str">
        <f>IFERROR(__xludf.DUMMYFUNCTION("if(not(iserror(index(split(C1706, "" ""),2))), index(split(C1706, "" ""),1),"""")"),"")</f>
        <v/>
      </c>
      <c r="W1706" s="315" t="str">
        <f>IFERROR(__xludf.DUMMYFUNCTION("if(V1706="""",C1706,if(not(iserror(index(split(C1706, "" ""),3))), index(split(C1706, "" ""),3),index(split(C1706, "" ""),2)))"),"")</f>
        <v/>
      </c>
      <c r="X1706" s="38" t="b">
        <f t="shared" si="2"/>
        <v>0</v>
      </c>
      <c r="Y1706" s="38"/>
      <c r="Z1706" s="40"/>
      <c r="AA1706" s="40"/>
      <c r="AB1706" s="38"/>
      <c r="AC1706" s="38"/>
      <c r="AD1706" s="38"/>
      <c r="AE1706" s="38"/>
      <c r="AF1706" s="38"/>
      <c r="AG1706" s="38"/>
      <c r="AH1706" s="38"/>
      <c r="AI1706" s="38"/>
      <c r="AJ1706" s="38"/>
      <c r="AK1706" s="38"/>
      <c r="AL1706" s="38"/>
      <c r="AM1706" s="38"/>
      <c r="AN1706" s="38"/>
      <c r="AO1706" s="38"/>
      <c r="AP1706" s="38"/>
      <c r="AQ1706" s="38"/>
      <c r="AR1706" s="38"/>
      <c r="AS1706" s="38"/>
      <c r="AT1706" s="38"/>
      <c r="AU1706" s="38"/>
      <c r="AV1706" s="38"/>
      <c r="AW1706" s="38"/>
      <c r="AX1706" s="38"/>
      <c r="AY1706" s="38"/>
      <c r="AZ1706" s="38"/>
      <c r="BA1706" s="38"/>
      <c r="BB1706" s="38"/>
      <c r="BC1706" s="38"/>
      <c r="BD1706" s="38"/>
      <c r="BE1706" s="38"/>
      <c r="BF1706" s="38"/>
      <c r="BG1706" s="38"/>
    </row>
    <row r="1707">
      <c r="A1707" s="16"/>
      <c r="B1707" s="16"/>
      <c r="C1707" s="146"/>
      <c r="D1707" s="146"/>
      <c r="E1707" s="16"/>
      <c r="F1707" s="91"/>
      <c r="G1707" s="16"/>
      <c r="H1707" s="320" t="str">
        <f t="shared" si="1"/>
        <v/>
      </c>
      <c r="I1707" s="16"/>
      <c r="J1707" s="16"/>
      <c r="K1707" s="16"/>
      <c r="L1707" s="38"/>
      <c r="M1707" s="16"/>
      <c r="N1707" s="16"/>
      <c r="O1707" s="16"/>
      <c r="P1707" s="15"/>
      <c r="Q1707" s="15"/>
      <c r="R1707" s="16"/>
      <c r="S1707" s="16"/>
      <c r="T1707" s="16"/>
      <c r="U1707" s="16"/>
      <c r="V1707" s="37" t="str">
        <f>IFERROR(__xludf.DUMMYFUNCTION("if(not(iserror(index(split(C1707, "" ""),2))), index(split(C1707, "" ""),1),"""")"),"")</f>
        <v/>
      </c>
      <c r="W1707" s="315" t="str">
        <f>IFERROR(__xludf.DUMMYFUNCTION("if(V1707="""",C1707,if(not(iserror(index(split(C1707, "" ""),3))), index(split(C1707, "" ""),3),index(split(C1707, "" ""),2)))"),"")</f>
        <v/>
      </c>
      <c r="X1707" s="38" t="b">
        <f t="shared" si="2"/>
        <v>0</v>
      </c>
      <c r="Y1707" s="38"/>
      <c r="Z1707" s="40"/>
      <c r="AA1707" s="40"/>
      <c r="AB1707" s="38"/>
      <c r="AC1707" s="38"/>
      <c r="AD1707" s="38"/>
      <c r="AE1707" s="38"/>
      <c r="AF1707" s="38"/>
      <c r="AG1707" s="38"/>
      <c r="AH1707" s="38"/>
      <c r="AI1707" s="38"/>
      <c r="AJ1707" s="38"/>
      <c r="AK1707" s="38"/>
      <c r="AL1707" s="38"/>
      <c r="AM1707" s="38"/>
      <c r="AN1707" s="38"/>
      <c r="AO1707" s="38"/>
      <c r="AP1707" s="38"/>
      <c r="AQ1707" s="38"/>
      <c r="AR1707" s="38"/>
      <c r="AS1707" s="38"/>
      <c r="AT1707" s="38"/>
      <c r="AU1707" s="38"/>
      <c r="AV1707" s="38"/>
      <c r="AW1707" s="38"/>
      <c r="AX1707" s="38"/>
      <c r="AY1707" s="38"/>
      <c r="AZ1707" s="38"/>
      <c r="BA1707" s="38"/>
      <c r="BB1707" s="38"/>
      <c r="BC1707" s="38"/>
      <c r="BD1707" s="38"/>
      <c r="BE1707" s="38"/>
      <c r="BF1707" s="38"/>
      <c r="BG1707" s="38"/>
    </row>
    <row r="1708">
      <c r="A1708" s="16"/>
      <c r="B1708" s="16"/>
      <c r="C1708" s="146"/>
      <c r="D1708" s="146"/>
      <c r="E1708" s="16"/>
      <c r="F1708" s="91"/>
      <c r="G1708" s="16"/>
      <c r="H1708" s="320" t="str">
        <f t="shared" si="1"/>
        <v/>
      </c>
      <c r="I1708" s="16"/>
      <c r="J1708" s="16"/>
      <c r="K1708" s="16"/>
      <c r="L1708" s="38"/>
      <c r="M1708" s="16"/>
      <c r="N1708" s="16"/>
      <c r="O1708" s="16"/>
      <c r="P1708" s="15"/>
      <c r="Q1708" s="15"/>
      <c r="R1708" s="16"/>
      <c r="S1708" s="16"/>
      <c r="T1708" s="16"/>
      <c r="U1708" s="16"/>
      <c r="V1708" s="37" t="str">
        <f>IFERROR(__xludf.DUMMYFUNCTION("if(not(iserror(index(split(C1708, "" ""),2))), index(split(C1708, "" ""),1),"""")"),"")</f>
        <v/>
      </c>
      <c r="W1708" s="315" t="str">
        <f>IFERROR(__xludf.DUMMYFUNCTION("if(V1708="""",C1708,if(not(iserror(index(split(C1708, "" ""),3))), index(split(C1708, "" ""),3),index(split(C1708, "" ""),2)))"),"")</f>
        <v/>
      </c>
      <c r="X1708" s="38" t="b">
        <f t="shared" si="2"/>
        <v>0</v>
      </c>
      <c r="Y1708" s="38"/>
      <c r="Z1708" s="40"/>
      <c r="AA1708" s="40"/>
      <c r="AB1708" s="38"/>
      <c r="AC1708" s="38"/>
      <c r="AD1708" s="38"/>
      <c r="AE1708" s="38"/>
      <c r="AF1708" s="38"/>
      <c r="AG1708" s="38"/>
      <c r="AH1708" s="38"/>
      <c r="AI1708" s="38"/>
      <c r="AJ1708" s="38"/>
      <c r="AK1708" s="38"/>
      <c r="AL1708" s="38"/>
      <c r="AM1708" s="38"/>
      <c r="AN1708" s="38"/>
      <c r="AO1708" s="38"/>
      <c r="AP1708" s="38"/>
      <c r="AQ1708" s="38"/>
      <c r="AR1708" s="38"/>
      <c r="AS1708" s="38"/>
      <c r="AT1708" s="38"/>
      <c r="AU1708" s="38"/>
      <c r="AV1708" s="38"/>
      <c r="AW1708" s="38"/>
      <c r="AX1708" s="38"/>
      <c r="AY1708" s="38"/>
      <c r="AZ1708" s="38"/>
      <c r="BA1708" s="38"/>
      <c r="BB1708" s="38"/>
      <c r="BC1708" s="38"/>
      <c r="BD1708" s="38"/>
      <c r="BE1708" s="38"/>
      <c r="BF1708" s="38"/>
      <c r="BG1708" s="38"/>
    </row>
    <row r="1709">
      <c r="A1709" s="16"/>
      <c r="B1709" s="16"/>
      <c r="C1709" s="146"/>
      <c r="D1709" s="146"/>
      <c r="E1709" s="16"/>
      <c r="F1709" s="91"/>
      <c r="G1709" s="16"/>
      <c r="H1709" s="320" t="str">
        <f t="shared" si="1"/>
        <v/>
      </c>
      <c r="I1709" s="16"/>
      <c r="J1709" s="16"/>
      <c r="K1709" s="16"/>
      <c r="L1709" s="38"/>
      <c r="M1709" s="16"/>
      <c r="N1709" s="16"/>
      <c r="O1709" s="16"/>
      <c r="P1709" s="15"/>
      <c r="Q1709" s="15"/>
      <c r="R1709" s="16"/>
      <c r="S1709" s="16"/>
      <c r="T1709" s="16"/>
      <c r="U1709" s="16"/>
      <c r="V1709" s="37" t="str">
        <f>IFERROR(__xludf.DUMMYFUNCTION("if(not(iserror(index(split(C1709, "" ""),2))), index(split(C1709, "" ""),1),"""")"),"")</f>
        <v/>
      </c>
      <c r="W1709" s="315" t="str">
        <f>IFERROR(__xludf.DUMMYFUNCTION("if(V1709="""",C1709,if(not(iserror(index(split(C1709, "" ""),3))), index(split(C1709, "" ""),3),index(split(C1709, "" ""),2)))"),"")</f>
        <v/>
      </c>
      <c r="X1709" s="38" t="b">
        <f t="shared" si="2"/>
        <v>0</v>
      </c>
      <c r="Y1709" s="38"/>
      <c r="Z1709" s="40"/>
      <c r="AA1709" s="40"/>
      <c r="AB1709" s="38"/>
      <c r="AC1709" s="38"/>
      <c r="AD1709" s="38"/>
      <c r="AE1709" s="38"/>
      <c r="AF1709" s="38"/>
      <c r="AG1709" s="38"/>
      <c r="AH1709" s="38"/>
      <c r="AI1709" s="38"/>
      <c r="AJ1709" s="38"/>
      <c r="AK1709" s="38"/>
      <c r="AL1709" s="38"/>
      <c r="AM1709" s="38"/>
      <c r="AN1709" s="38"/>
      <c r="AO1709" s="38"/>
      <c r="AP1709" s="38"/>
      <c r="AQ1709" s="38"/>
      <c r="AR1709" s="38"/>
      <c r="AS1709" s="38"/>
      <c r="AT1709" s="38"/>
      <c r="AU1709" s="38"/>
      <c r="AV1709" s="38"/>
      <c r="AW1709" s="38"/>
      <c r="AX1709" s="38"/>
      <c r="AY1709" s="38"/>
      <c r="AZ1709" s="38"/>
      <c r="BA1709" s="38"/>
      <c r="BB1709" s="38"/>
      <c r="BC1709" s="38"/>
      <c r="BD1709" s="38"/>
      <c r="BE1709" s="38"/>
      <c r="BF1709" s="38"/>
      <c r="BG1709" s="38"/>
    </row>
    <row r="1710">
      <c r="A1710" s="16"/>
      <c r="B1710" s="16"/>
      <c r="C1710" s="146"/>
      <c r="D1710" s="146"/>
      <c r="E1710" s="16"/>
      <c r="F1710" s="91"/>
      <c r="G1710" s="16"/>
      <c r="H1710" s="320" t="str">
        <f t="shared" si="1"/>
        <v/>
      </c>
      <c r="I1710" s="16"/>
      <c r="J1710" s="16"/>
      <c r="K1710" s="16"/>
      <c r="L1710" s="38"/>
      <c r="M1710" s="16"/>
      <c r="N1710" s="16"/>
      <c r="O1710" s="16"/>
      <c r="P1710" s="15"/>
      <c r="Q1710" s="15"/>
      <c r="R1710" s="16"/>
      <c r="S1710" s="16"/>
      <c r="T1710" s="16"/>
      <c r="U1710" s="16"/>
      <c r="V1710" s="37" t="str">
        <f>IFERROR(__xludf.DUMMYFUNCTION("if(not(iserror(index(split(C1710, "" ""),2))), index(split(C1710, "" ""),1),"""")"),"")</f>
        <v/>
      </c>
      <c r="W1710" s="315" t="str">
        <f>IFERROR(__xludf.DUMMYFUNCTION("if(V1710="""",C1710,if(not(iserror(index(split(C1710, "" ""),3))), index(split(C1710, "" ""),3),index(split(C1710, "" ""),2)))"),"")</f>
        <v/>
      </c>
      <c r="X1710" s="38" t="b">
        <f t="shared" si="2"/>
        <v>0</v>
      </c>
      <c r="Y1710" s="38"/>
      <c r="Z1710" s="40"/>
      <c r="AA1710" s="40"/>
      <c r="AB1710" s="38"/>
      <c r="AC1710" s="38"/>
      <c r="AD1710" s="38"/>
      <c r="AE1710" s="38"/>
      <c r="AF1710" s="38"/>
      <c r="AG1710" s="38"/>
      <c r="AH1710" s="38"/>
      <c r="AI1710" s="38"/>
      <c r="AJ1710" s="38"/>
      <c r="AK1710" s="38"/>
      <c r="AL1710" s="38"/>
      <c r="AM1710" s="38"/>
      <c r="AN1710" s="38"/>
      <c r="AO1710" s="38"/>
      <c r="AP1710" s="38"/>
      <c r="AQ1710" s="38"/>
      <c r="AR1710" s="38"/>
      <c r="AS1710" s="38"/>
      <c r="AT1710" s="38"/>
      <c r="AU1710" s="38"/>
      <c r="AV1710" s="38"/>
      <c r="AW1710" s="38"/>
      <c r="AX1710" s="38"/>
      <c r="AY1710" s="38"/>
      <c r="AZ1710" s="38"/>
      <c r="BA1710" s="38"/>
      <c r="BB1710" s="38"/>
      <c r="BC1710" s="38"/>
      <c r="BD1710" s="38"/>
      <c r="BE1710" s="38"/>
      <c r="BF1710" s="38"/>
      <c r="BG1710" s="38"/>
    </row>
    <row r="1711">
      <c r="A1711" s="16"/>
      <c r="B1711" s="16"/>
      <c r="C1711" s="146"/>
      <c r="D1711" s="146"/>
      <c r="E1711" s="16"/>
      <c r="F1711" s="91"/>
      <c r="G1711" s="16"/>
      <c r="H1711" s="320" t="str">
        <f t="shared" si="1"/>
        <v/>
      </c>
      <c r="I1711" s="16"/>
      <c r="J1711" s="16"/>
      <c r="K1711" s="16"/>
      <c r="L1711" s="38"/>
      <c r="M1711" s="16"/>
      <c r="N1711" s="16"/>
      <c r="O1711" s="16"/>
      <c r="P1711" s="15"/>
      <c r="Q1711" s="15"/>
      <c r="R1711" s="16"/>
      <c r="S1711" s="16"/>
      <c r="T1711" s="16"/>
      <c r="U1711" s="16"/>
      <c r="V1711" s="37" t="str">
        <f>IFERROR(__xludf.DUMMYFUNCTION("if(not(iserror(index(split(C1711, "" ""),2))), index(split(C1711, "" ""),1),"""")"),"")</f>
        <v/>
      </c>
      <c r="W1711" s="315" t="str">
        <f>IFERROR(__xludf.DUMMYFUNCTION("if(V1711="""",C1711,if(not(iserror(index(split(C1711, "" ""),3))), index(split(C1711, "" ""),3),index(split(C1711, "" ""),2)))"),"")</f>
        <v/>
      </c>
      <c r="X1711" s="38" t="b">
        <f t="shared" si="2"/>
        <v>0</v>
      </c>
      <c r="Y1711" s="38"/>
      <c r="Z1711" s="40"/>
      <c r="AA1711" s="40"/>
      <c r="AB1711" s="38"/>
      <c r="AC1711" s="38"/>
      <c r="AD1711" s="38"/>
      <c r="AE1711" s="38"/>
      <c r="AF1711" s="38"/>
      <c r="AG1711" s="38"/>
      <c r="AH1711" s="38"/>
      <c r="AI1711" s="38"/>
      <c r="AJ1711" s="38"/>
      <c r="AK1711" s="38"/>
      <c r="AL1711" s="38"/>
      <c r="AM1711" s="38"/>
      <c r="AN1711" s="38"/>
      <c r="AO1711" s="38"/>
      <c r="AP1711" s="38"/>
      <c r="AQ1711" s="38"/>
      <c r="AR1711" s="38"/>
      <c r="AS1711" s="38"/>
      <c r="AT1711" s="38"/>
      <c r="AU1711" s="38"/>
      <c r="AV1711" s="38"/>
      <c r="AW1711" s="38"/>
      <c r="AX1711" s="38"/>
      <c r="AY1711" s="38"/>
      <c r="AZ1711" s="38"/>
      <c r="BA1711" s="38"/>
      <c r="BB1711" s="38"/>
      <c r="BC1711" s="38"/>
      <c r="BD1711" s="38"/>
      <c r="BE1711" s="38"/>
      <c r="BF1711" s="38"/>
      <c r="BG1711" s="38"/>
    </row>
    <row r="1712">
      <c r="A1712" s="16"/>
      <c r="B1712" s="16"/>
      <c r="C1712" s="146"/>
      <c r="D1712" s="146"/>
      <c r="E1712" s="16"/>
      <c r="F1712" s="91"/>
      <c r="G1712" s="16"/>
      <c r="H1712" s="320" t="str">
        <f t="shared" si="1"/>
        <v/>
      </c>
      <c r="I1712" s="16"/>
      <c r="J1712" s="16"/>
      <c r="K1712" s="16"/>
      <c r="L1712" s="38"/>
      <c r="M1712" s="16"/>
      <c r="N1712" s="16"/>
      <c r="O1712" s="16"/>
      <c r="P1712" s="15"/>
      <c r="Q1712" s="15"/>
      <c r="R1712" s="16"/>
      <c r="S1712" s="16"/>
      <c r="T1712" s="16"/>
      <c r="U1712" s="16"/>
      <c r="V1712" s="37" t="str">
        <f>IFERROR(__xludf.DUMMYFUNCTION("if(not(iserror(index(split(C1712, "" ""),2))), index(split(C1712, "" ""),1),"""")"),"")</f>
        <v/>
      </c>
      <c r="W1712" s="315" t="str">
        <f>IFERROR(__xludf.DUMMYFUNCTION("if(V1712="""",C1712,if(not(iserror(index(split(C1712, "" ""),3))), index(split(C1712, "" ""),3),index(split(C1712, "" ""),2)))"),"")</f>
        <v/>
      </c>
      <c r="X1712" s="38" t="b">
        <f t="shared" si="2"/>
        <v>0</v>
      </c>
      <c r="Y1712" s="38"/>
      <c r="Z1712" s="40"/>
      <c r="AA1712" s="40"/>
      <c r="AB1712" s="38"/>
      <c r="AC1712" s="38"/>
      <c r="AD1712" s="38"/>
      <c r="AE1712" s="38"/>
      <c r="AF1712" s="38"/>
      <c r="AG1712" s="38"/>
      <c r="AH1712" s="38"/>
      <c r="AI1712" s="38"/>
      <c r="AJ1712" s="38"/>
      <c r="AK1712" s="38"/>
      <c r="AL1712" s="38"/>
      <c r="AM1712" s="38"/>
      <c r="AN1712" s="38"/>
      <c r="AO1712" s="38"/>
      <c r="AP1712" s="38"/>
      <c r="AQ1712" s="38"/>
      <c r="AR1712" s="38"/>
      <c r="AS1712" s="38"/>
      <c r="AT1712" s="38"/>
      <c r="AU1712" s="38"/>
      <c r="AV1712" s="38"/>
      <c r="AW1712" s="38"/>
      <c r="AX1712" s="38"/>
      <c r="AY1712" s="38"/>
      <c r="AZ1712" s="38"/>
      <c r="BA1712" s="38"/>
      <c r="BB1712" s="38"/>
      <c r="BC1712" s="38"/>
      <c r="BD1712" s="38"/>
      <c r="BE1712" s="38"/>
      <c r="BF1712" s="38"/>
      <c r="BG1712" s="38"/>
    </row>
    <row r="1713">
      <c r="A1713" s="16"/>
      <c r="B1713" s="16"/>
      <c r="C1713" s="146"/>
      <c r="D1713" s="146"/>
      <c r="E1713" s="16"/>
      <c r="F1713" s="91"/>
      <c r="G1713" s="16"/>
      <c r="H1713" s="320" t="str">
        <f t="shared" si="1"/>
        <v/>
      </c>
      <c r="I1713" s="16"/>
      <c r="J1713" s="16"/>
      <c r="K1713" s="16"/>
      <c r="L1713" s="38"/>
      <c r="M1713" s="16"/>
      <c r="N1713" s="16"/>
      <c r="O1713" s="16"/>
      <c r="P1713" s="15"/>
      <c r="Q1713" s="15"/>
      <c r="R1713" s="16"/>
      <c r="S1713" s="16"/>
      <c r="T1713" s="16"/>
      <c r="U1713" s="16"/>
      <c r="V1713" s="37" t="str">
        <f>IFERROR(__xludf.DUMMYFUNCTION("if(not(iserror(index(split(C1713, "" ""),2))), index(split(C1713, "" ""),1),"""")"),"")</f>
        <v/>
      </c>
      <c r="W1713" s="315" t="str">
        <f>IFERROR(__xludf.DUMMYFUNCTION("if(V1713="""",C1713,if(not(iserror(index(split(C1713, "" ""),3))), index(split(C1713, "" ""),3),index(split(C1713, "" ""),2)))"),"")</f>
        <v/>
      </c>
      <c r="X1713" s="38" t="b">
        <f t="shared" si="2"/>
        <v>0</v>
      </c>
      <c r="Y1713" s="38"/>
      <c r="Z1713" s="40"/>
      <c r="AA1713" s="40"/>
      <c r="AB1713" s="38"/>
      <c r="AC1713" s="38"/>
      <c r="AD1713" s="38"/>
      <c r="AE1713" s="38"/>
      <c r="AF1713" s="38"/>
      <c r="AG1713" s="38"/>
      <c r="AH1713" s="38"/>
      <c r="AI1713" s="38"/>
      <c r="AJ1713" s="38"/>
      <c r="AK1713" s="38"/>
      <c r="AL1713" s="38"/>
      <c r="AM1713" s="38"/>
      <c r="AN1713" s="38"/>
      <c r="AO1713" s="38"/>
      <c r="AP1713" s="38"/>
      <c r="AQ1713" s="38"/>
      <c r="AR1713" s="38"/>
      <c r="AS1713" s="38"/>
      <c r="AT1713" s="38"/>
      <c r="AU1713" s="38"/>
      <c r="AV1713" s="38"/>
      <c r="AW1713" s="38"/>
      <c r="AX1713" s="38"/>
      <c r="AY1713" s="38"/>
      <c r="AZ1713" s="38"/>
      <c r="BA1713" s="38"/>
      <c r="BB1713" s="38"/>
      <c r="BC1713" s="38"/>
      <c r="BD1713" s="38"/>
      <c r="BE1713" s="38"/>
      <c r="BF1713" s="38"/>
      <c r="BG1713" s="38"/>
    </row>
    <row r="1714">
      <c r="A1714" s="16"/>
      <c r="B1714" s="16"/>
      <c r="C1714" s="146"/>
      <c r="D1714" s="146"/>
      <c r="E1714" s="16"/>
      <c r="F1714" s="91"/>
      <c r="G1714" s="16"/>
      <c r="H1714" s="320" t="str">
        <f t="shared" si="1"/>
        <v/>
      </c>
      <c r="I1714" s="16"/>
      <c r="J1714" s="16"/>
      <c r="K1714" s="16"/>
      <c r="L1714" s="38"/>
      <c r="M1714" s="16"/>
      <c r="N1714" s="16"/>
      <c r="O1714" s="16"/>
      <c r="P1714" s="15"/>
      <c r="Q1714" s="15"/>
      <c r="R1714" s="16"/>
      <c r="S1714" s="16"/>
      <c r="T1714" s="16"/>
      <c r="U1714" s="16"/>
      <c r="V1714" s="37" t="str">
        <f>IFERROR(__xludf.DUMMYFUNCTION("if(not(iserror(index(split(C1714, "" ""),2))), index(split(C1714, "" ""),1),"""")"),"")</f>
        <v/>
      </c>
      <c r="W1714" s="315" t="str">
        <f>IFERROR(__xludf.DUMMYFUNCTION("if(V1714="""",C1714,if(not(iserror(index(split(C1714, "" ""),3))), index(split(C1714, "" ""),3),index(split(C1714, "" ""),2)))"),"")</f>
        <v/>
      </c>
      <c r="X1714" s="38" t="b">
        <f t="shared" si="2"/>
        <v>0</v>
      </c>
      <c r="Y1714" s="38"/>
      <c r="Z1714" s="40"/>
      <c r="AA1714" s="40"/>
      <c r="AB1714" s="38"/>
      <c r="AC1714" s="38"/>
      <c r="AD1714" s="38"/>
      <c r="AE1714" s="38"/>
      <c r="AF1714" s="38"/>
      <c r="AG1714" s="38"/>
      <c r="AH1714" s="38"/>
      <c r="AI1714" s="38"/>
      <c r="AJ1714" s="38"/>
      <c r="AK1714" s="38"/>
      <c r="AL1714" s="38"/>
      <c r="AM1714" s="38"/>
      <c r="AN1714" s="38"/>
      <c r="AO1714" s="38"/>
      <c r="AP1714" s="38"/>
      <c r="AQ1714" s="38"/>
      <c r="AR1714" s="38"/>
      <c r="AS1714" s="38"/>
      <c r="AT1714" s="38"/>
      <c r="AU1714" s="38"/>
      <c r="AV1714" s="38"/>
      <c r="AW1714" s="38"/>
      <c r="AX1714" s="38"/>
      <c r="AY1714" s="38"/>
      <c r="AZ1714" s="38"/>
      <c r="BA1714" s="38"/>
      <c r="BB1714" s="38"/>
      <c r="BC1714" s="38"/>
      <c r="BD1714" s="38"/>
      <c r="BE1714" s="38"/>
      <c r="BF1714" s="38"/>
      <c r="BG1714" s="38"/>
    </row>
    <row r="1715">
      <c r="A1715" s="16"/>
      <c r="B1715" s="16"/>
      <c r="C1715" s="146"/>
      <c r="D1715" s="146"/>
      <c r="E1715" s="16"/>
      <c r="F1715" s="91"/>
      <c r="G1715" s="16"/>
      <c r="H1715" s="320" t="str">
        <f t="shared" si="1"/>
        <v/>
      </c>
      <c r="I1715" s="16"/>
      <c r="J1715" s="16"/>
      <c r="K1715" s="16"/>
      <c r="L1715" s="38"/>
      <c r="M1715" s="16"/>
      <c r="N1715" s="16"/>
      <c r="O1715" s="16"/>
      <c r="P1715" s="15"/>
      <c r="Q1715" s="15"/>
      <c r="R1715" s="16"/>
      <c r="S1715" s="16"/>
      <c r="T1715" s="16"/>
      <c r="U1715" s="16"/>
      <c r="V1715" s="37" t="str">
        <f>IFERROR(__xludf.DUMMYFUNCTION("if(not(iserror(index(split(C1715, "" ""),2))), index(split(C1715, "" ""),1),"""")"),"")</f>
        <v/>
      </c>
      <c r="W1715" s="315" t="str">
        <f>IFERROR(__xludf.DUMMYFUNCTION("if(V1715="""",C1715,if(not(iserror(index(split(C1715, "" ""),3))), index(split(C1715, "" ""),3),index(split(C1715, "" ""),2)))"),"")</f>
        <v/>
      </c>
      <c r="X1715" s="38" t="b">
        <f t="shared" si="2"/>
        <v>0</v>
      </c>
      <c r="Y1715" s="38"/>
      <c r="Z1715" s="40"/>
      <c r="AA1715" s="40"/>
      <c r="AB1715" s="38"/>
      <c r="AC1715" s="38"/>
      <c r="AD1715" s="38"/>
      <c r="AE1715" s="38"/>
      <c r="AF1715" s="38"/>
      <c r="AG1715" s="38"/>
      <c r="AH1715" s="38"/>
      <c r="AI1715" s="38"/>
      <c r="AJ1715" s="38"/>
      <c r="AK1715" s="38"/>
      <c r="AL1715" s="38"/>
      <c r="AM1715" s="38"/>
      <c r="AN1715" s="38"/>
      <c r="AO1715" s="38"/>
      <c r="AP1715" s="38"/>
      <c r="AQ1715" s="38"/>
      <c r="AR1715" s="38"/>
      <c r="AS1715" s="38"/>
      <c r="AT1715" s="38"/>
      <c r="AU1715" s="38"/>
      <c r="AV1715" s="38"/>
      <c r="AW1715" s="38"/>
      <c r="AX1715" s="38"/>
      <c r="AY1715" s="38"/>
      <c r="AZ1715" s="38"/>
      <c r="BA1715" s="38"/>
      <c r="BB1715" s="38"/>
      <c r="BC1715" s="38"/>
      <c r="BD1715" s="38"/>
      <c r="BE1715" s="38"/>
      <c r="BF1715" s="38"/>
      <c r="BG1715" s="38"/>
    </row>
    <row r="1716">
      <c r="A1716" s="16"/>
      <c r="B1716" s="16"/>
      <c r="C1716" s="146"/>
      <c r="D1716" s="146"/>
      <c r="E1716" s="16"/>
      <c r="F1716" s="91"/>
      <c r="G1716" s="16"/>
      <c r="H1716" s="320" t="str">
        <f t="shared" si="1"/>
        <v/>
      </c>
      <c r="I1716" s="16"/>
      <c r="J1716" s="16"/>
      <c r="K1716" s="16"/>
      <c r="L1716" s="38"/>
      <c r="M1716" s="16"/>
      <c r="N1716" s="16"/>
      <c r="O1716" s="16"/>
      <c r="P1716" s="15"/>
      <c r="Q1716" s="15"/>
      <c r="R1716" s="16"/>
      <c r="S1716" s="16"/>
      <c r="T1716" s="16"/>
      <c r="U1716" s="16"/>
      <c r="V1716" s="37" t="str">
        <f>IFERROR(__xludf.DUMMYFUNCTION("if(not(iserror(index(split(C1716, "" ""),2))), index(split(C1716, "" ""),1),"""")"),"")</f>
        <v/>
      </c>
      <c r="W1716" s="315" t="str">
        <f>IFERROR(__xludf.DUMMYFUNCTION("if(V1716="""",C1716,if(not(iserror(index(split(C1716, "" ""),3))), index(split(C1716, "" ""),3),index(split(C1716, "" ""),2)))"),"")</f>
        <v/>
      </c>
      <c r="X1716" s="38" t="b">
        <f t="shared" si="2"/>
        <v>0</v>
      </c>
      <c r="Y1716" s="38"/>
      <c r="Z1716" s="40"/>
      <c r="AA1716" s="40"/>
      <c r="AB1716" s="38"/>
      <c r="AC1716" s="38"/>
      <c r="AD1716" s="38"/>
      <c r="AE1716" s="38"/>
      <c r="AF1716" s="38"/>
      <c r="AG1716" s="38"/>
      <c r="AH1716" s="38"/>
      <c r="AI1716" s="38"/>
      <c r="AJ1716" s="38"/>
      <c r="AK1716" s="38"/>
      <c r="AL1716" s="38"/>
      <c r="AM1716" s="38"/>
      <c r="AN1716" s="38"/>
      <c r="AO1716" s="38"/>
      <c r="AP1716" s="38"/>
      <c r="AQ1716" s="38"/>
      <c r="AR1716" s="38"/>
      <c r="AS1716" s="38"/>
      <c r="AT1716" s="38"/>
      <c r="AU1716" s="38"/>
      <c r="AV1716" s="38"/>
      <c r="AW1716" s="38"/>
      <c r="AX1716" s="38"/>
      <c r="AY1716" s="38"/>
      <c r="AZ1716" s="38"/>
      <c r="BA1716" s="38"/>
      <c r="BB1716" s="38"/>
      <c r="BC1716" s="38"/>
      <c r="BD1716" s="38"/>
      <c r="BE1716" s="38"/>
      <c r="BF1716" s="38"/>
      <c r="BG1716" s="38"/>
    </row>
    <row r="1717">
      <c r="A1717" s="16"/>
      <c r="B1717" s="16"/>
      <c r="C1717" s="146"/>
      <c r="D1717" s="146"/>
      <c r="E1717" s="16"/>
      <c r="F1717" s="91"/>
      <c r="G1717" s="16"/>
      <c r="H1717" s="320" t="str">
        <f t="shared" si="1"/>
        <v/>
      </c>
      <c r="I1717" s="16"/>
      <c r="J1717" s="16"/>
      <c r="K1717" s="16"/>
      <c r="L1717" s="38"/>
      <c r="M1717" s="16"/>
      <c r="N1717" s="16"/>
      <c r="O1717" s="16"/>
      <c r="P1717" s="15"/>
      <c r="Q1717" s="15"/>
      <c r="R1717" s="16"/>
      <c r="S1717" s="16"/>
      <c r="T1717" s="16"/>
      <c r="U1717" s="16"/>
      <c r="V1717" s="37" t="str">
        <f>IFERROR(__xludf.DUMMYFUNCTION("if(not(iserror(index(split(C1717, "" ""),2))), index(split(C1717, "" ""),1),"""")"),"")</f>
        <v/>
      </c>
      <c r="W1717" s="315" t="str">
        <f>IFERROR(__xludf.DUMMYFUNCTION("if(V1717="""",C1717,if(not(iserror(index(split(C1717, "" ""),3))), index(split(C1717, "" ""),3),index(split(C1717, "" ""),2)))"),"")</f>
        <v/>
      </c>
      <c r="X1717" s="38" t="b">
        <f t="shared" si="2"/>
        <v>0</v>
      </c>
      <c r="Y1717" s="38"/>
      <c r="Z1717" s="40"/>
      <c r="AA1717" s="40"/>
      <c r="AB1717" s="38"/>
      <c r="AC1717" s="38"/>
      <c r="AD1717" s="38"/>
      <c r="AE1717" s="38"/>
      <c r="AF1717" s="38"/>
      <c r="AG1717" s="38"/>
      <c r="AH1717" s="38"/>
      <c r="AI1717" s="38"/>
      <c r="AJ1717" s="38"/>
      <c r="AK1717" s="38"/>
      <c r="AL1717" s="38"/>
      <c r="AM1717" s="38"/>
      <c r="AN1717" s="38"/>
      <c r="AO1717" s="38"/>
      <c r="AP1717" s="38"/>
      <c r="AQ1717" s="38"/>
      <c r="AR1717" s="38"/>
      <c r="AS1717" s="38"/>
      <c r="AT1717" s="38"/>
      <c r="AU1717" s="38"/>
      <c r="AV1717" s="38"/>
      <c r="AW1717" s="38"/>
      <c r="AX1717" s="38"/>
      <c r="AY1717" s="38"/>
      <c r="AZ1717" s="38"/>
      <c r="BA1717" s="38"/>
      <c r="BB1717" s="38"/>
      <c r="BC1717" s="38"/>
      <c r="BD1717" s="38"/>
      <c r="BE1717" s="38"/>
      <c r="BF1717" s="38"/>
      <c r="BG1717" s="38"/>
    </row>
    <row r="1718">
      <c r="A1718" s="16"/>
      <c r="B1718" s="16"/>
      <c r="C1718" s="146"/>
      <c r="D1718" s="146"/>
      <c r="E1718" s="16"/>
      <c r="F1718" s="91"/>
      <c r="G1718" s="16"/>
      <c r="H1718" s="320" t="str">
        <f t="shared" si="1"/>
        <v/>
      </c>
      <c r="I1718" s="16"/>
      <c r="J1718" s="16"/>
      <c r="K1718" s="16"/>
      <c r="L1718" s="38"/>
      <c r="M1718" s="16"/>
      <c r="N1718" s="16"/>
      <c r="O1718" s="16"/>
      <c r="P1718" s="15"/>
      <c r="Q1718" s="15"/>
      <c r="R1718" s="16"/>
      <c r="S1718" s="16"/>
      <c r="T1718" s="16"/>
      <c r="U1718" s="16"/>
      <c r="V1718" s="37" t="str">
        <f>IFERROR(__xludf.DUMMYFUNCTION("if(not(iserror(index(split(C1718, "" ""),2))), index(split(C1718, "" ""),1),"""")"),"")</f>
        <v/>
      </c>
      <c r="W1718" s="315" t="str">
        <f>IFERROR(__xludf.DUMMYFUNCTION("if(V1718="""",C1718,if(not(iserror(index(split(C1718, "" ""),3))), index(split(C1718, "" ""),3),index(split(C1718, "" ""),2)))"),"")</f>
        <v/>
      </c>
      <c r="X1718" s="38" t="b">
        <f t="shared" si="2"/>
        <v>0</v>
      </c>
      <c r="Y1718" s="38"/>
      <c r="Z1718" s="40"/>
      <c r="AA1718" s="40"/>
      <c r="AB1718" s="38"/>
      <c r="AC1718" s="38"/>
      <c r="AD1718" s="38"/>
      <c r="AE1718" s="38"/>
      <c r="AF1718" s="38"/>
      <c r="AG1718" s="38"/>
      <c r="AH1718" s="38"/>
      <c r="AI1718" s="38"/>
      <c r="AJ1718" s="38"/>
      <c r="AK1718" s="38"/>
      <c r="AL1718" s="38"/>
      <c r="AM1718" s="38"/>
      <c r="AN1718" s="38"/>
      <c r="AO1718" s="38"/>
      <c r="AP1718" s="38"/>
      <c r="AQ1718" s="38"/>
      <c r="AR1718" s="38"/>
      <c r="AS1718" s="38"/>
      <c r="AT1718" s="38"/>
      <c r="AU1718" s="38"/>
      <c r="AV1718" s="38"/>
      <c r="AW1718" s="38"/>
      <c r="AX1718" s="38"/>
      <c r="AY1718" s="38"/>
      <c r="AZ1718" s="38"/>
      <c r="BA1718" s="38"/>
      <c r="BB1718" s="38"/>
      <c r="BC1718" s="38"/>
      <c r="BD1718" s="38"/>
      <c r="BE1718" s="38"/>
      <c r="BF1718" s="38"/>
      <c r="BG1718" s="38"/>
    </row>
    <row r="1719">
      <c r="A1719" s="16"/>
      <c r="B1719" s="16"/>
      <c r="C1719" s="146"/>
      <c r="D1719" s="146"/>
      <c r="E1719" s="16"/>
      <c r="F1719" s="91"/>
      <c r="G1719" s="16"/>
      <c r="H1719" s="320" t="str">
        <f t="shared" si="1"/>
        <v/>
      </c>
      <c r="I1719" s="16"/>
      <c r="J1719" s="16"/>
      <c r="K1719" s="16"/>
      <c r="L1719" s="38"/>
      <c r="M1719" s="16"/>
      <c r="N1719" s="16"/>
      <c r="O1719" s="16"/>
      <c r="P1719" s="15"/>
      <c r="Q1719" s="15"/>
      <c r="R1719" s="16"/>
      <c r="S1719" s="16"/>
      <c r="T1719" s="16"/>
      <c r="U1719" s="16"/>
      <c r="V1719" s="37" t="str">
        <f>IFERROR(__xludf.DUMMYFUNCTION("if(not(iserror(index(split(C1719, "" ""),2))), index(split(C1719, "" ""),1),"""")"),"")</f>
        <v/>
      </c>
      <c r="W1719" s="315" t="str">
        <f>IFERROR(__xludf.DUMMYFUNCTION("if(V1719="""",C1719,if(not(iserror(index(split(C1719, "" ""),3))), index(split(C1719, "" ""),3),index(split(C1719, "" ""),2)))"),"")</f>
        <v/>
      </c>
      <c r="X1719" s="38" t="b">
        <f t="shared" si="2"/>
        <v>0</v>
      </c>
      <c r="Y1719" s="38"/>
      <c r="Z1719" s="40"/>
      <c r="AA1719" s="40"/>
      <c r="AB1719" s="38"/>
      <c r="AC1719" s="38"/>
      <c r="AD1719" s="38"/>
      <c r="AE1719" s="38"/>
      <c r="AF1719" s="38"/>
      <c r="AG1719" s="38"/>
      <c r="AH1719" s="38"/>
      <c r="AI1719" s="38"/>
      <c r="AJ1719" s="38"/>
      <c r="AK1719" s="38"/>
      <c r="AL1719" s="38"/>
      <c r="AM1719" s="38"/>
      <c r="AN1719" s="38"/>
      <c r="AO1719" s="38"/>
      <c r="AP1719" s="38"/>
      <c r="AQ1719" s="38"/>
      <c r="AR1719" s="38"/>
      <c r="AS1719" s="38"/>
      <c r="AT1719" s="38"/>
      <c r="AU1719" s="38"/>
      <c r="AV1719" s="38"/>
      <c r="AW1719" s="38"/>
      <c r="AX1719" s="38"/>
      <c r="AY1719" s="38"/>
      <c r="AZ1719" s="38"/>
      <c r="BA1719" s="38"/>
      <c r="BB1719" s="38"/>
      <c r="BC1719" s="38"/>
      <c r="BD1719" s="38"/>
      <c r="BE1719" s="38"/>
      <c r="BF1719" s="38"/>
      <c r="BG1719" s="38"/>
    </row>
    <row r="1720">
      <c r="A1720" s="16"/>
      <c r="B1720" s="16"/>
      <c r="C1720" s="146"/>
      <c r="D1720" s="146"/>
      <c r="E1720" s="16"/>
      <c r="F1720" s="91"/>
      <c r="G1720" s="16"/>
      <c r="H1720" s="320" t="str">
        <f t="shared" si="1"/>
        <v/>
      </c>
      <c r="I1720" s="16"/>
      <c r="J1720" s="16"/>
      <c r="K1720" s="16"/>
      <c r="L1720" s="38"/>
      <c r="M1720" s="16"/>
      <c r="N1720" s="16"/>
      <c r="O1720" s="16"/>
      <c r="P1720" s="15"/>
      <c r="Q1720" s="15"/>
      <c r="R1720" s="16"/>
      <c r="S1720" s="16"/>
      <c r="T1720" s="16"/>
      <c r="U1720" s="16"/>
      <c r="V1720" s="37" t="str">
        <f>IFERROR(__xludf.DUMMYFUNCTION("if(not(iserror(index(split(C1720, "" ""),2))), index(split(C1720, "" ""),1),"""")"),"")</f>
        <v/>
      </c>
      <c r="W1720" s="315" t="str">
        <f>IFERROR(__xludf.DUMMYFUNCTION("if(V1720="""",C1720,if(not(iserror(index(split(C1720, "" ""),3))), index(split(C1720, "" ""),3),index(split(C1720, "" ""),2)))"),"")</f>
        <v/>
      </c>
      <c r="X1720" s="38" t="b">
        <f t="shared" si="2"/>
        <v>0</v>
      </c>
      <c r="Y1720" s="38"/>
      <c r="Z1720" s="40"/>
      <c r="AA1720" s="40"/>
      <c r="AB1720" s="38"/>
      <c r="AC1720" s="38"/>
      <c r="AD1720" s="38"/>
      <c r="AE1720" s="38"/>
      <c r="AF1720" s="38"/>
      <c r="AG1720" s="38"/>
      <c r="AH1720" s="38"/>
      <c r="AI1720" s="38"/>
      <c r="AJ1720" s="38"/>
      <c r="AK1720" s="38"/>
      <c r="AL1720" s="38"/>
      <c r="AM1720" s="38"/>
      <c r="AN1720" s="38"/>
      <c r="AO1720" s="38"/>
      <c r="AP1720" s="38"/>
      <c r="AQ1720" s="38"/>
      <c r="AR1720" s="38"/>
      <c r="AS1720" s="38"/>
      <c r="AT1720" s="38"/>
      <c r="AU1720" s="38"/>
      <c r="AV1720" s="38"/>
      <c r="AW1720" s="38"/>
      <c r="AX1720" s="38"/>
      <c r="AY1720" s="38"/>
      <c r="AZ1720" s="38"/>
      <c r="BA1720" s="38"/>
      <c r="BB1720" s="38"/>
      <c r="BC1720" s="38"/>
      <c r="BD1720" s="38"/>
      <c r="BE1720" s="38"/>
      <c r="BF1720" s="38"/>
      <c r="BG1720" s="38"/>
    </row>
    <row r="1721">
      <c r="A1721" s="16"/>
      <c r="B1721" s="16"/>
      <c r="C1721" s="146"/>
      <c r="D1721" s="146"/>
      <c r="E1721" s="16"/>
      <c r="F1721" s="91"/>
      <c r="G1721" s="16"/>
      <c r="H1721" s="320" t="str">
        <f t="shared" si="1"/>
        <v/>
      </c>
      <c r="I1721" s="16"/>
      <c r="J1721" s="16"/>
      <c r="K1721" s="16"/>
      <c r="L1721" s="38"/>
      <c r="M1721" s="16"/>
      <c r="N1721" s="16"/>
      <c r="O1721" s="16"/>
      <c r="P1721" s="15"/>
      <c r="Q1721" s="15"/>
      <c r="R1721" s="16"/>
      <c r="S1721" s="16"/>
      <c r="T1721" s="16"/>
      <c r="U1721" s="16"/>
      <c r="V1721" s="37" t="str">
        <f>IFERROR(__xludf.DUMMYFUNCTION("if(not(iserror(index(split(C1721, "" ""),2))), index(split(C1721, "" ""),1),"""")"),"")</f>
        <v/>
      </c>
      <c r="W1721" s="315" t="str">
        <f>IFERROR(__xludf.DUMMYFUNCTION("if(V1721="""",C1721,if(not(iserror(index(split(C1721, "" ""),3))), index(split(C1721, "" ""),3),index(split(C1721, "" ""),2)))"),"")</f>
        <v/>
      </c>
      <c r="X1721" s="38" t="b">
        <f t="shared" si="2"/>
        <v>0</v>
      </c>
      <c r="Y1721" s="38"/>
      <c r="Z1721" s="40"/>
      <c r="AA1721" s="40"/>
      <c r="AB1721" s="38"/>
      <c r="AC1721" s="38"/>
      <c r="AD1721" s="38"/>
      <c r="AE1721" s="38"/>
      <c r="AF1721" s="38"/>
      <c r="AG1721" s="38"/>
      <c r="AH1721" s="38"/>
      <c r="AI1721" s="38"/>
      <c r="AJ1721" s="38"/>
      <c r="AK1721" s="38"/>
      <c r="AL1721" s="38"/>
      <c r="AM1721" s="38"/>
      <c r="AN1721" s="38"/>
      <c r="AO1721" s="38"/>
      <c r="AP1721" s="38"/>
      <c r="AQ1721" s="38"/>
      <c r="AR1721" s="38"/>
      <c r="AS1721" s="38"/>
      <c r="AT1721" s="38"/>
      <c r="AU1721" s="38"/>
      <c r="AV1721" s="38"/>
      <c r="AW1721" s="38"/>
      <c r="AX1721" s="38"/>
      <c r="AY1721" s="38"/>
      <c r="AZ1721" s="38"/>
      <c r="BA1721" s="38"/>
      <c r="BB1721" s="38"/>
      <c r="BC1721" s="38"/>
      <c r="BD1721" s="38"/>
      <c r="BE1721" s="38"/>
      <c r="BF1721" s="38"/>
      <c r="BG1721" s="38"/>
    </row>
    <row r="1722">
      <c r="A1722" s="16"/>
      <c r="B1722" s="16"/>
      <c r="C1722" s="146"/>
      <c r="D1722" s="146"/>
      <c r="E1722" s="16"/>
      <c r="F1722" s="91"/>
      <c r="G1722" s="16"/>
      <c r="H1722" s="320" t="str">
        <f t="shared" si="1"/>
        <v/>
      </c>
      <c r="I1722" s="16"/>
      <c r="J1722" s="16"/>
      <c r="K1722" s="16"/>
      <c r="L1722" s="38"/>
      <c r="M1722" s="16"/>
      <c r="N1722" s="16"/>
      <c r="O1722" s="16"/>
      <c r="P1722" s="15"/>
      <c r="Q1722" s="15"/>
      <c r="R1722" s="16"/>
      <c r="S1722" s="16"/>
      <c r="T1722" s="16"/>
      <c r="U1722" s="16"/>
      <c r="V1722" s="37" t="str">
        <f>IFERROR(__xludf.DUMMYFUNCTION("if(not(iserror(index(split(C1722, "" ""),2))), index(split(C1722, "" ""),1),"""")"),"")</f>
        <v/>
      </c>
      <c r="W1722" s="315" t="str">
        <f>IFERROR(__xludf.DUMMYFUNCTION("if(V1722="""",C1722,if(not(iserror(index(split(C1722, "" ""),3))), index(split(C1722, "" ""),3),index(split(C1722, "" ""),2)))"),"")</f>
        <v/>
      </c>
      <c r="X1722" s="38" t="b">
        <f t="shared" si="2"/>
        <v>0</v>
      </c>
      <c r="Y1722" s="38"/>
      <c r="Z1722" s="40"/>
      <c r="AA1722" s="40"/>
      <c r="AB1722" s="38"/>
      <c r="AC1722" s="38"/>
      <c r="AD1722" s="38"/>
      <c r="AE1722" s="38"/>
      <c r="AF1722" s="38"/>
      <c r="AG1722" s="38"/>
      <c r="AH1722" s="38"/>
      <c r="AI1722" s="38"/>
      <c r="AJ1722" s="38"/>
      <c r="AK1722" s="38"/>
      <c r="AL1722" s="38"/>
      <c r="AM1722" s="38"/>
      <c r="AN1722" s="38"/>
      <c r="AO1722" s="38"/>
      <c r="AP1722" s="38"/>
      <c r="AQ1722" s="38"/>
      <c r="AR1722" s="38"/>
      <c r="AS1722" s="38"/>
      <c r="AT1722" s="38"/>
      <c r="AU1722" s="38"/>
      <c r="AV1722" s="38"/>
      <c r="AW1722" s="38"/>
      <c r="AX1722" s="38"/>
      <c r="AY1722" s="38"/>
      <c r="AZ1722" s="38"/>
      <c r="BA1722" s="38"/>
      <c r="BB1722" s="38"/>
      <c r="BC1722" s="38"/>
      <c r="BD1722" s="38"/>
      <c r="BE1722" s="38"/>
      <c r="BF1722" s="38"/>
      <c r="BG1722" s="38"/>
    </row>
    <row r="1723">
      <c r="A1723" s="16"/>
      <c r="B1723" s="16"/>
      <c r="C1723" s="146"/>
      <c r="D1723" s="146"/>
      <c r="E1723" s="16"/>
      <c r="F1723" s="91"/>
      <c r="G1723" s="16"/>
      <c r="H1723" s="320" t="str">
        <f t="shared" si="1"/>
        <v/>
      </c>
      <c r="I1723" s="16"/>
      <c r="J1723" s="16"/>
      <c r="K1723" s="16"/>
      <c r="L1723" s="38"/>
      <c r="M1723" s="16"/>
      <c r="N1723" s="16"/>
      <c r="O1723" s="16"/>
      <c r="P1723" s="15"/>
      <c r="Q1723" s="15"/>
      <c r="R1723" s="16"/>
      <c r="S1723" s="16"/>
      <c r="T1723" s="16"/>
      <c r="U1723" s="16"/>
      <c r="V1723" s="37" t="str">
        <f>IFERROR(__xludf.DUMMYFUNCTION("if(not(iserror(index(split(C1723, "" ""),2))), index(split(C1723, "" ""),1),"""")"),"")</f>
        <v/>
      </c>
      <c r="W1723" s="315" t="str">
        <f>IFERROR(__xludf.DUMMYFUNCTION("if(V1723="""",C1723,if(not(iserror(index(split(C1723, "" ""),3))), index(split(C1723, "" ""),3),index(split(C1723, "" ""),2)))"),"")</f>
        <v/>
      </c>
      <c r="X1723" s="38" t="b">
        <f t="shared" si="2"/>
        <v>0</v>
      </c>
      <c r="Y1723" s="38"/>
      <c r="Z1723" s="40"/>
      <c r="AA1723" s="40"/>
      <c r="AB1723" s="38"/>
      <c r="AC1723" s="38"/>
      <c r="AD1723" s="38"/>
      <c r="AE1723" s="38"/>
      <c r="AF1723" s="38"/>
      <c r="AG1723" s="38"/>
      <c r="AH1723" s="38"/>
      <c r="AI1723" s="38"/>
      <c r="AJ1723" s="38"/>
      <c r="AK1723" s="38"/>
      <c r="AL1723" s="38"/>
      <c r="AM1723" s="38"/>
      <c r="AN1723" s="38"/>
      <c r="AO1723" s="38"/>
      <c r="AP1723" s="38"/>
      <c r="AQ1723" s="38"/>
      <c r="AR1723" s="38"/>
      <c r="AS1723" s="38"/>
      <c r="AT1723" s="38"/>
      <c r="AU1723" s="38"/>
      <c r="AV1723" s="38"/>
      <c r="AW1723" s="38"/>
      <c r="AX1723" s="38"/>
      <c r="AY1723" s="38"/>
      <c r="AZ1723" s="38"/>
      <c r="BA1723" s="38"/>
      <c r="BB1723" s="38"/>
      <c r="BC1723" s="38"/>
      <c r="BD1723" s="38"/>
      <c r="BE1723" s="38"/>
      <c r="BF1723" s="38"/>
      <c r="BG1723" s="38"/>
    </row>
    <row r="1724">
      <c r="A1724" s="16"/>
      <c r="B1724" s="16"/>
      <c r="C1724" s="146"/>
      <c r="D1724" s="146"/>
      <c r="E1724" s="16"/>
      <c r="F1724" s="91"/>
      <c r="G1724" s="16"/>
      <c r="H1724" s="320" t="str">
        <f t="shared" si="1"/>
        <v/>
      </c>
      <c r="I1724" s="16"/>
      <c r="J1724" s="16"/>
      <c r="K1724" s="16"/>
      <c r="L1724" s="38"/>
      <c r="M1724" s="16"/>
      <c r="N1724" s="16"/>
      <c r="O1724" s="16"/>
      <c r="P1724" s="15"/>
      <c r="Q1724" s="15"/>
      <c r="R1724" s="16"/>
      <c r="S1724" s="16"/>
      <c r="T1724" s="16"/>
      <c r="U1724" s="16"/>
      <c r="V1724" s="37" t="str">
        <f>IFERROR(__xludf.DUMMYFUNCTION("if(not(iserror(index(split(C1724, "" ""),2))), index(split(C1724, "" ""),1),"""")"),"")</f>
        <v/>
      </c>
      <c r="W1724" s="315" t="str">
        <f>IFERROR(__xludf.DUMMYFUNCTION("if(V1724="""",C1724,if(not(iserror(index(split(C1724, "" ""),3))), index(split(C1724, "" ""),3),index(split(C1724, "" ""),2)))"),"")</f>
        <v/>
      </c>
      <c r="X1724" s="38" t="b">
        <f t="shared" si="2"/>
        <v>0</v>
      </c>
      <c r="Y1724" s="38"/>
      <c r="Z1724" s="40"/>
      <c r="AA1724" s="40"/>
      <c r="AB1724" s="38"/>
      <c r="AC1724" s="38"/>
      <c r="AD1724" s="38"/>
      <c r="AE1724" s="38"/>
      <c r="AF1724" s="38"/>
      <c r="AG1724" s="38"/>
      <c r="AH1724" s="38"/>
      <c r="AI1724" s="38"/>
      <c r="AJ1724" s="38"/>
      <c r="AK1724" s="38"/>
      <c r="AL1724" s="38"/>
      <c r="AM1724" s="38"/>
      <c r="AN1724" s="38"/>
      <c r="AO1724" s="38"/>
      <c r="AP1724" s="38"/>
      <c r="AQ1724" s="38"/>
      <c r="AR1724" s="38"/>
      <c r="AS1724" s="38"/>
      <c r="AT1724" s="38"/>
      <c r="AU1724" s="38"/>
      <c r="AV1724" s="38"/>
      <c r="AW1724" s="38"/>
      <c r="AX1724" s="38"/>
      <c r="AY1724" s="38"/>
      <c r="AZ1724" s="38"/>
      <c r="BA1724" s="38"/>
      <c r="BB1724" s="38"/>
      <c r="BC1724" s="38"/>
      <c r="BD1724" s="38"/>
      <c r="BE1724" s="38"/>
      <c r="BF1724" s="38"/>
      <c r="BG1724" s="38"/>
    </row>
    <row r="1725">
      <c r="A1725" s="16"/>
      <c r="B1725" s="16"/>
      <c r="C1725" s="146"/>
      <c r="D1725" s="146"/>
      <c r="E1725" s="16"/>
      <c r="F1725" s="91"/>
      <c r="G1725" s="16"/>
      <c r="H1725" s="320" t="str">
        <f t="shared" si="1"/>
        <v/>
      </c>
      <c r="I1725" s="16"/>
      <c r="J1725" s="16"/>
      <c r="K1725" s="16"/>
      <c r="L1725" s="38"/>
      <c r="M1725" s="16"/>
      <c r="N1725" s="16"/>
      <c r="O1725" s="16"/>
      <c r="P1725" s="15"/>
      <c r="Q1725" s="15"/>
      <c r="R1725" s="16"/>
      <c r="S1725" s="16"/>
      <c r="T1725" s="16"/>
      <c r="U1725" s="16"/>
      <c r="V1725" s="37" t="str">
        <f>IFERROR(__xludf.DUMMYFUNCTION("if(not(iserror(index(split(C1725, "" ""),2))), index(split(C1725, "" ""),1),"""")"),"")</f>
        <v/>
      </c>
      <c r="W1725" s="315" t="str">
        <f>IFERROR(__xludf.DUMMYFUNCTION("if(V1725="""",C1725,if(not(iserror(index(split(C1725, "" ""),3))), index(split(C1725, "" ""),3),index(split(C1725, "" ""),2)))"),"")</f>
        <v/>
      </c>
      <c r="X1725" s="38" t="b">
        <f t="shared" si="2"/>
        <v>0</v>
      </c>
      <c r="Y1725" s="38"/>
      <c r="Z1725" s="40"/>
      <c r="AA1725" s="40"/>
      <c r="AB1725" s="38"/>
      <c r="AC1725" s="38"/>
      <c r="AD1725" s="38"/>
      <c r="AE1725" s="38"/>
      <c r="AF1725" s="38"/>
      <c r="AG1725" s="38"/>
      <c r="AH1725" s="38"/>
      <c r="AI1725" s="38"/>
      <c r="AJ1725" s="38"/>
      <c r="AK1725" s="38"/>
      <c r="AL1725" s="38"/>
      <c r="AM1725" s="38"/>
      <c r="AN1725" s="38"/>
      <c r="AO1725" s="38"/>
      <c r="AP1725" s="38"/>
      <c r="AQ1725" s="38"/>
      <c r="AR1725" s="38"/>
      <c r="AS1725" s="38"/>
      <c r="AT1725" s="38"/>
      <c r="AU1725" s="38"/>
      <c r="AV1725" s="38"/>
      <c r="AW1725" s="38"/>
      <c r="AX1725" s="38"/>
      <c r="AY1725" s="38"/>
      <c r="AZ1725" s="38"/>
      <c r="BA1725" s="38"/>
      <c r="BB1725" s="38"/>
      <c r="BC1725" s="38"/>
      <c r="BD1725" s="38"/>
      <c r="BE1725" s="38"/>
      <c r="BF1725" s="38"/>
      <c r="BG1725" s="38"/>
    </row>
    <row r="1726">
      <c r="A1726" s="16"/>
      <c r="B1726" s="16"/>
      <c r="C1726" s="146"/>
      <c r="D1726" s="146"/>
      <c r="E1726" s="16"/>
      <c r="F1726" s="91"/>
      <c r="G1726" s="16"/>
      <c r="H1726" s="320" t="str">
        <f t="shared" si="1"/>
        <v/>
      </c>
      <c r="I1726" s="16"/>
      <c r="J1726" s="16"/>
      <c r="K1726" s="16"/>
      <c r="L1726" s="38"/>
      <c r="M1726" s="16"/>
      <c r="N1726" s="16"/>
      <c r="O1726" s="16"/>
      <c r="P1726" s="15"/>
      <c r="Q1726" s="15"/>
      <c r="R1726" s="16"/>
      <c r="S1726" s="16"/>
      <c r="T1726" s="16"/>
      <c r="U1726" s="16"/>
      <c r="V1726" s="37" t="str">
        <f>IFERROR(__xludf.DUMMYFUNCTION("if(not(iserror(index(split(C1726, "" ""),2))), index(split(C1726, "" ""),1),"""")"),"")</f>
        <v/>
      </c>
      <c r="W1726" s="315" t="str">
        <f>IFERROR(__xludf.DUMMYFUNCTION("if(V1726="""",C1726,if(not(iserror(index(split(C1726, "" ""),3))), index(split(C1726, "" ""),3),index(split(C1726, "" ""),2)))"),"")</f>
        <v/>
      </c>
      <c r="X1726" s="38" t="b">
        <f t="shared" si="2"/>
        <v>0</v>
      </c>
      <c r="Y1726" s="38"/>
      <c r="Z1726" s="40"/>
      <c r="AA1726" s="40"/>
      <c r="AB1726" s="38"/>
      <c r="AC1726" s="38"/>
      <c r="AD1726" s="38"/>
      <c r="AE1726" s="38"/>
      <c r="AF1726" s="38"/>
      <c r="AG1726" s="38"/>
      <c r="AH1726" s="38"/>
      <c r="AI1726" s="38"/>
      <c r="AJ1726" s="38"/>
      <c r="AK1726" s="38"/>
      <c r="AL1726" s="38"/>
      <c r="AM1726" s="38"/>
      <c r="AN1726" s="38"/>
      <c r="AO1726" s="38"/>
      <c r="AP1726" s="38"/>
      <c r="AQ1726" s="38"/>
      <c r="AR1726" s="38"/>
      <c r="AS1726" s="38"/>
      <c r="AT1726" s="38"/>
      <c r="AU1726" s="38"/>
      <c r="AV1726" s="38"/>
      <c r="AW1726" s="38"/>
      <c r="AX1726" s="38"/>
      <c r="AY1726" s="38"/>
      <c r="AZ1726" s="38"/>
      <c r="BA1726" s="38"/>
      <c r="BB1726" s="38"/>
      <c r="BC1726" s="38"/>
      <c r="BD1726" s="38"/>
      <c r="BE1726" s="38"/>
      <c r="BF1726" s="38"/>
      <c r="BG1726" s="38"/>
    </row>
    <row r="1727">
      <c r="A1727" s="16"/>
      <c r="B1727" s="16"/>
      <c r="C1727" s="146"/>
      <c r="D1727" s="146"/>
      <c r="E1727" s="16"/>
      <c r="F1727" s="91"/>
      <c r="G1727" s="16"/>
      <c r="H1727" s="320" t="str">
        <f t="shared" si="1"/>
        <v/>
      </c>
      <c r="I1727" s="16"/>
      <c r="J1727" s="16"/>
      <c r="K1727" s="16"/>
      <c r="L1727" s="38"/>
      <c r="M1727" s="16"/>
      <c r="N1727" s="16"/>
      <c r="O1727" s="16"/>
      <c r="P1727" s="15"/>
      <c r="Q1727" s="15"/>
      <c r="R1727" s="16"/>
      <c r="S1727" s="16"/>
      <c r="T1727" s="16"/>
      <c r="U1727" s="16"/>
      <c r="V1727" s="37" t="str">
        <f>IFERROR(__xludf.DUMMYFUNCTION("if(not(iserror(index(split(C1727, "" ""),2))), index(split(C1727, "" ""),1),"""")"),"")</f>
        <v/>
      </c>
      <c r="W1727" s="315" t="str">
        <f>IFERROR(__xludf.DUMMYFUNCTION("if(V1727="""",C1727,if(not(iserror(index(split(C1727, "" ""),3))), index(split(C1727, "" ""),3),index(split(C1727, "" ""),2)))"),"")</f>
        <v/>
      </c>
      <c r="X1727" s="38" t="b">
        <f t="shared" si="2"/>
        <v>0</v>
      </c>
      <c r="Y1727" s="38"/>
      <c r="Z1727" s="40"/>
      <c r="AA1727" s="40"/>
      <c r="AB1727" s="38"/>
      <c r="AC1727" s="38"/>
      <c r="AD1727" s="38"/>
      <c r="AE1727" s="38"/>
      <c r="AF1727" s="38"/>
      <c r="AG1727" s="38"/>
      <c r="AH1727" s="38"/>
      <c r="AI1727" s="38"/>
      <c r="AJ1727" s="38"/>
      <c r="AK1727" s="38"/>
      <c r="AL1727" s="38"/>
      <c r="AM1727" s="38"/>
      <c r="AN1727" s="38"/>
      <c r="AO1727" s="38"/>
      <c r="AP1727" s="38"/>
      <c r="AQ1727" s="38"/>
      <c r="AR1727" s="38"/>
      <c r="AS1727" s="38"/>
      <c r="AT1727" s="38"/>
      <c r="AU1727" s="38"/>
      <c r="AV1727" s="38"/>
      <c r="AW1727" s="38"/>
      <c r="AX1727" s="38"/>
      <c r="AY1727" s="38"/>
      <c r="AZ1727" s="38"/>
      <c r="BA1727" s="38"/>
      <c r="BB1727" s="38"/>
      <c r="BC1727" s="38"/>
      <c r="BD1727" s="38"/>
      <c r="BE1727" s="38"/>
      <c r="BF1727" s="38"/>
      <c r="BG1727" s="38"/>
    </row>
    <row r="1728">
      <c r="A1728" s="16"/>
      <c r="B1728" s="16"/>
      <c r="C1728" s="146"/>
      <c r="D1728" s="146"/>
      <c r="E1728" s="16"/>
      <c r="F1728" s="91"/>
      <c r="G1728" s="16"/>
      <c r="H1728" s="320" t="str">
        <f t="shared" si="1"/>
        <v/>
      </c>
      <c r="I1728" s="16"/>
      <c r="J1728" s="16"/>
      <c r="K1728" s="16"/>
      <c r="L1728" s="38"/>
      <c r="M1728" s="16"/>
      <c r="N1728" s="16"/>
      <c r="O1728" s="16"/>
      <c r="P1728" s="15"/>
      <c r="Q1728" s="15"/>
      <c r="R1728" s="16"/>
      <c r="S1728" s="16"/>
      <c r="T1728" s="16"/>
      <c r="U1728" s="16"/>
      <c r="V1728" s="37" t="str">
        <f>IFERROR(__xludf.DUMMYFUNCTION("if(not(iserror(index(split(C1728, "" ""),2))), index(split(C1728, "" ""),1),"""")"),"")</f>
        <v/>
      </c>
      <c r="W1728" s="315" t="str">
        <f>IFERROR(__xludf.DUMMYFUNCTION("if(V1728="""",C1728,if(not(iserror(index(split(C1728, "" ""),3))), index(split(C1728, "" ""),3),index(split(C1728, "" ""),2)))"),"")</f>
        <v/>
      </c>
      <c r="X1728" s="38" t="b">
        <f t="shared" si="2"/>
        <v>0</v>
      </c>
      <c r="Y1728" s="38"/>
      <c r="Z1728" s="40"/>
      <c r="AA1728" s="40"/>
      <c r="AB1728" s="38"/>
      <c r="AC1728" s="38"/>
      <c r="AD1728" s="38"/>
      <c r="AE1728" s="38"/>
      <c r="AF1728" s="38"/>
      <c r="AG1728" s="38"/>
      <c r="AH1728" s="38"/>
      <c r="AI1728" s="38"/>
      <c r="AJ1728" s="38"/>
      <c r="AK1728" s="38"/>
      <c r="AL1728" s="38"/>
      <c r="AM1728" s="38"/>
      <c r="AN1728" s="38"/>
      <c r="AO1728" s="38"/>
      <c r="AP1728" s="38"/>
      <c r="AQ1728" s="38"/>
      <c r="AR1728" s="38"/>
      <c r="AS1728" s="38"/>
      <c r="AT1728" s="38"/>
      <c r="AU1728" s="38"/>
      <c r="AV1728" s="38"/>
      <c r="AW1728" s="38"/>
      <c r="AX1728" s="38"/>
      <c r="AY1728" s="38"/>
      <c r="AZ1728" s="38"/>
      <c r="BA1728" s="38"/>
      <c r="BB1728" s="38"/>
      <c r="BC1728" s="38"/>
      <c r="BD1728" s="38"/>
      <c r="BE1728" s="38"/>
      <c r="BF1728" s="38"/>
      <c r="BG1728" s="38"/>
    </row>
    <row r="1729">
      <c r="A1729" s="16"/>
      <c r="B1729" s="16"/>
      <c r="C1729" s="146"/>
      <c r="D1729" s="146"/>
      <c r="E1729" s="16"/>
      <c r="F1729" s="91"/>
      <c r="G1729" s="16"/>
      <c r="H1729" s="320" t="str">
        <f t="shared" si="1"/>
        <v/>
      </c>
      <c r="I1729" s="16"/>
      <c r="J1729" s="16"/>
      <c r="K1729" s="16"/>
      <c r="L1729" s="38"/>
      <c r="M1729" s="16"/>
      <c r="N1729" s="16"/>
      <c r="O1729" s="16"/>
      <c r="P1729" s="15"/>
      <c r="Q1729" s="15"/>
      <c r="R1729" s="16"/>
      <c r="S1729" s="16"/>
      <c r="T1729" s="16"/>
      <c r="U1729" s="16"/>
      <c r="V1729" s="37" t="str">
        <f>IFERROR(__xludf.DUMMYFUNCTION("if(not(iserror(index(split(C1729, "" ""),2))), index(split(C1729, "" ""),1),"""")"),"")</f>
        <v/>
      </c>
      <c r="W1729" s="315" t="str">
        <f>IFERROR(__xludf.DUMMYFUNCTION("if(V1729="""",C1729,if(not(iserror(index(split(C1729, "" ""),3))), index(split(C1729, "" ""),3),index(split(C1729, "" ""),2)))"),"")</f>
        <v/>
      </c>
      <c r="X1729" s="38" t="b">
        <f t="shared" si="2"/>
        <v>0</v>
      </c>
      <c r="Y1729" s="38"/>
      <c r="Z1729" s="40"/>
      <c r="AA1729" s="40"/>
      <c r="AB1729" s="38"/>
      <c r="AC1729" s="38"/>
      <c r="AD1729" s="38"/>
      <c r="AE1729" s="38"/>
      <c r="AF1729" s="38"/>
      <c r="AG1729" s="38"/>
      <c r="AH1729" s="38"/>
      <c r="AI1729" s="38"/>
      <c r="AJ1729" s="38"/>
      <c r="AK1729" s="38"/>
      <c r="AL1729" s="38"/>
      <c r="AM1729" s="38"/>
      <c r="AN1729" s="38"/>
      <c r="AO1729" s="38"/>
      <c r="AP1729" s="38"/>
      <c r="AQ1729" s="38"/>
      <c r="AR1729" s="38"/>
      <c r="AS1729" s="38"/>
      <c r="AT1729" s="38"/>
      <c r="AU1729" s="38"/>
      <c r="AV1729" s="38"/>
      <c r="AW1729" s="38"/>
      <c r="AX1729" s="38"/>
      <c r="AY1729" s="38"/>
      <c r="AZ1729" s="38"/>
      <c r="BA1729" s="38"/>
      <c r="BB1729" s="38"/>
      <c r="BC1729" s="38"/>
      <c r="BD1729" s="38"/>
      <c r="BE1729" s="38"/>
      <c r="BF1729" s="38"/>
      <c r="BG1729" s="38"/>
    </row>
    <row r="1730">
      <c r="A1730" s="16"/>
      <c r="B1730" s="16"/>
      <c r="C1730" s="146"/>
      <c r="D1730" s="146"/>
      <c r="E1730" s="16"/>
      <c r="F1730" s="91"/>
      <c r="G1730" s="16"/>
      <c r="H1730" s="320" t="str">
        <f t="shared" si="1"/>
        <v/>
      </c>
      <c r="I1730" s="16"/>
      <c r="J1730" s="16"/>
      <c r="K1730" s="16"/>
      <c r="L1730" s="38"/>
      <c r="M1730" s="16"/>
      <c r="N1730" s="16"/>
      <c r="O1730" s="16"/>
      <c r="P1730" s="15"/>
      <c r="Q1730" s="15"/>
      <c r="R1730" s="16"/>
      <c r="S1730" s="16"/>
      <c r="T1730" s="16"/>
      <c r="U1730" s="16"/>
      <c r="V1730" s="37" t="str">
        <f>IFERROR(__xludf.DUMMYFUNCTION("if(not(iserror(index(split(C1730, "" ""),2))), index(split(C1730, "" ""),1),"""")"),"")</f>
        <v/>
      </c>
      <c r="W1730" s="315" t="str">
        <f>IFERROR(__xludf.DUMMYFUNCTION("if(V1730="""",C1730,if(not(iserror(index(split(C1730, "" ""),3))), index(split(C1730, "" ""),3),index(split(C1730, "" ""),2)))"),"")</f>
        <v/>
      </c>
      <c r="X1730" s="38" t="b">
        <f t="shared" si="2"/>
        <v>0</v>
      </c>
      <c r="Y1730" s="38"/>
      <c r="Z1730" s="40"/>
      <c r="AA1730" s="40"/>
      <c r="AB1730" s="38"/>
      <c r="AC1730" s="38"/>
      <c r="AD1730" s="38"/>
      <c r="AE1730" s="38"/>
      <c r="AF1730" s="38"/>
      <c r="AG1730" s="38"/>
      <c r="AH1730" s="38"/>
      <c r="AI1730" s="38"/>
      <c r="AJ1730" s="38"/>
      <c r="AK1730" s="38"/>
      <c r="AL1730" s="38"/>
      <c r="AM1730" s="38"/>
      <c r="AN1730" s="38"/>
      <c r="AO1730" s="38"/>
      <c r="AP1730" s="38"/>
      <c r="AQ1730" s="38"/>
      <c r="AR1730" s="38"/>
      <c r="AS1730" s="38"/>
      <c r="AT1730" s="38"/>
      <c r="AU1730" s="38"/>
      <c r="AV1730" s="38"/>
      <c r="AW1730" s="38"/>
      <c r="AX1730" s="38"/>
      <c r="AY1730" s="38"/>
      <c r="AZ1730" s="38"/>
      <c r="BA1730" s="38"/>
      <c r="BB1730" s="38"/>
      <c r="BC1730" s="38"/>
      <c r="BD1730" s="38"/>
      <c r="BE1730" s="38"/>
      <c r="BF1730" s="38"/>
      <c r="BG1730" s="38"/>
    </row>
    <row r="1731">
      <c r="A1731" s="16"/>
      <c r="B1731" s="16"/>
      <c r="C1731" s="146"/>
      <c r="D1731" s="146"/>
      <c r="E1731" s="16"/>
      <c r="F1731" s="91"/>
      <c r="G1731" s="16"/>
      <c r="H1731" s="320" t="str">
        <f t="shared" si="1"/>
        <v/>
      </c>
      <c r="I1731" s="16"/>
      <c r="J1731" s="16"/>
      <c r="K1731" s="16"/>
      <c r="L1731" s="38"/>
      <c r="M1731" s="16"/>
      <c r="N1731" s="16"/>
      <c r="O1731" s="16"/>
      <c r="P1731" s="15"/>
      <c r="Q1731" s="15"/>
      <c r="R1731" s="16"/>
      <c r="S1731" s="16"/>
      <c r="T1731" s="16"/>
      <c r="U1731" s="16"/>
      <c r="V1731" s="37" t="str">
        <f>IFERROR(__xludf.DUMMYFUNCTION("if(not(iserror(index(split(C1731, "" ""),2))), index(split(C1731, "" ""),1),"""")"),"")</f>
        <v/>
      </c>
      <c r="W1731" s="315" t="str">
        <f>IFERROR(__xludf.DUMMYFUNCTION("if(V1731="""",C1731,if(not(iserror(index(split(C1731, "" ""),3))), index(split(C1731, "" ""),3),index(split(C1731, "" ""),2)))"),"")</f>
        <v/>
      </c>
      <c r="X1731" s="38" t="b">
        <f t="shared" si="2"/>
        <v>0</v>
      </c>
      <c r="Y1731" s="38"/>
      <c r="Z1731" s="40"/>
      <c r="AA1731" s="40"/>
      <c r="AB1731" s="38"/>
      <c r="AC1731" s="38"/>
      <c r="AD1731" s="38"/>
      <c r="AE1731" s="38"/>
      <c r="AF1731" s="38"/>
      <c r="AG1731" s="38"/>
      <c r="AH1731" s="38"/>
      <c r="AI1731" s="38"/>
      <c r="AJ1731" s="38"/>
      <c r="AK1731" s="38"/>
      <c r="AL1731" s="38"/>
      <c r="AM1731" s="38"/>
      <c r="AN1731" s="38"/>
      <c r="AO1731" s="38"/>
      <c r="AP1731" s="38"/>
      <c r="AQ1731" s="38"/>
      <c r="AR1731" s="38"/>
      <c r="AS1731" s="38"/>
      <c r="AT1731" s="38"/>
      <c r="AU1731" s="38"/>
      <c r="AV1731" s="38"/>
      <c r="AW1731" s="38"/>
      <c r="AX1731" s="38"/>
      <c r="AY1731" s="38"/>
      <c r="AZ1731" s="38"/>
      <c r="BA1731" s="38"/>
      <c r="BB1731" s="38"/>
      <c r="BC1731" s="38"/>
      <c r="BD1731" s="38"/>
      <c r="BE1731" s="38"/>
      <c r="BF1731" s="38"/>
      <c r="BG1731" s="38"/>
    </row>
    <row r="1732">
      <c r="A1732" s="16"/>
      <c r="B1732" s="16"/>
      <c r="C1732" s="146"/>
      <c r="D1732" s="146"/>
      <c r="E1732" s="16"/>
      <c r="F1732" s="91"/>
      <c r="G1732" s="16"/>
      <c r="H1732" s="320" t="str">
        <f t="shared" si="1"/>
        <v/>
      </c>
      <c r="I1732" s="16"/>
      <c r="J1732" s="16"/>
      <c r="K1732" s="16"/>
      <c r="L1732" s="38"/>
      <c r="M1732" s="16"/>
      <c r="N1732" s="16"/>
      <c r="O1732" s="16"/>
      <c r="P1732" s="15"/>
      <c r="Q1732" s="15"/>
      <c r="R1732" s="16"/>
      <c r="S1732" s="16"/>
      <c r="T1732" s="16"/>
      <c r="U1732" s="16"/>
      <c r="V1732" s="37" t="str">
        <f>IFERROR(__xludf.DUMMYFUNCTION("if(not(iserror(index(split(C1732, "" ""),2))), index(split(C1732, "" ""),1),"""")"),"")</f>
        <v/>
      </c>
      <c r="W1732" s="315" t="str">
        <f>IFERROR(__xludf.DUMMYFUNCTION("if(V1732="""",C1732,if(not(iserror(index(split(C1732, "" ""),3))), index(split(C1732, "" ""),3),index(split(C1732, "" ""),2)))"),"")</f>
        <v/>
      </c>
      <c r="X1732" s="38" t="b">
        <f t="shared" si="2"/>
        <v>0</v>
      </c>
      <c r="Y1732" s="38"/>
      <c r="Z1732" s="40"/>
      <c r="AA1732" s="40"/>
      <c r="AB1732" s="38"/>
      <c r="AC1732" s="38"/>
      <c r="AD1732" s="38"/>
      <c r="AE1732" s="38"/>
      <c r="AF1732" s="38"/>
      <c r="AG1732" s="38"/>
      <c r="AH1732" s="38"/>
      <c r="AI1732" s="38"/>
      <c r="AJ1732" s="38"/>
      <c r="AK1732" s="38"/>
      <c r="AL1732" s="38"/>
      <c r="AM1732" s="38"/>
      <c r="AN1732" s="38"/>
      <c r="AO1732" s="38"/>
      <c r="AP1732" s="38"/>
      <c r="AQ1732" s="38"/>
      <c r="AR1732" s="38"/>
      <c r="AS1732" s="38"/>
      <c r="AT1732" s="38"/>
      <c r="AU1732" s="38"/>
      <c r="AV1732" s="38"/>
      <c r="AW1732" s="38"/>
      <c r="AX1732" s="38"/>
      <c r="AY1732" s="38"/>
      <c r="AZ1732" s="38"/>
      <c r="BA1732" s="38"/>
      <c r="BB1732" s="38"/>
      <c r="BC1732" s="38"/>
      <c r="BD1732" s="38"/>
      <c r="BE1732" s="38"/>
      <c r="BF1732" s="38"/>
      <c r="BG1732" s="38"/>
    </row>
    <row r="1733">
      <c r="A1733" s="16"/>
      <c r="B1733" s="16"/>
      <c r="C1733" s="146"/>
      <c r="D1733" s="146"/>
      <c r="E1733" s="16"/>
      <c r="F1733" s="91"/>
      <c r="G1733" s="16"/>
      <c r="H1733" s="320" t="str">
        <f t="shared" si="1"/>
        <v/>
      </c>
      <c r="I1733" s="16"/>
      <c r="J1733" s="16"/>
      <c r="K1733" s="16"/>
      <c r="L1733" s="38"/>
      <c r="M1733" s="16"/>
      <c r="N1733" s="16"/>
      <c r="O1733" s="16"/>
      <c r="P1733" s="15"/>
      <c r="Q1733" s="15"/>
      <c r="R1733" s="16"/>
      <c r="S1733" s="16"/>
      <c r="T1733" s="16"/>
      <c r="U1733" s="16"/>
      <c r="V1733" s="37" t="str">
        <f>IFERROR(__xludf.DUMMYFUNCTION("if(not(iserror(index(split(C1733, "" ""),2))), index(split(C1733, "" ""),1),"""")"),"")</f>
        <v/>
      </c>
      <c r="W1733" s="315" t="str">
        <f>IFERROR(__xludf.DUMMYFUNCTION("if(V1733="""",C1733,if(not(iserror(index(split(C1733, "" ""),3))), index(split(C1733, "" ""),3),index(split(C1733, "" ""),2)))"),"")</f>
        <v/>
      </c>
      <c r="X1733" s="38" t="b">
        <f t="shared" si="2"/>
        <v>0</v>
      </c>
      <c r="Y1733" s="38"/>
      <c r="Z1733" s="40"/>
      <c r="AA1733" s="40"/>
      <c r="AB1733" s="38"/>
      <c r="AC1733" s="38"/>
      <c r="AD1733" s="38"/>
      <c r="AE1733" s="38"/>
      <c r="AF1733" s="38"/>
      <c r="AG1733" s="38"/>
      <c r="AH1733" s="38"/>
      <c r="AI1733" s="38"/>
      <c r="AJ1733" s="38"/>
      <c r="AK1733" s="38"/>
      <c r="AL1733" s="38"/>
      <c r="AM1733" s="38"/>
      <c r="AN1733" s="38"/>
      <c r="AO1733" s="38"/>
      <c r="AP1733" s="38"/>
      <c r="AQ1733" s="38"/>
      <c r="AR1733" s="38"/>
      <c r="AS1733" s="38"/>
      <c r="AT1733" s="38"/>
      <c r="AU1733" s="38"/>
      <c r="AV1733" s="38"/>
      <c r="AW1733" s="38"/>
      <c r="AX1733" s="38"/>
      <c r="AY1733" s="38"/>
      <c r="AZ1733" s="38"/>
      <c r="BA1733" s="38"/>
      <c r="BB1733" s="38"/>
      <c r="BC1733" s="38"/>
      <c r="BD1733" s="38"/>
      <c r="BE1733" s="38"/>
      <c r="BF1733" s="38"/>
      <c r="BG1733" s="38"/>
    </row>
    <row r="1734">
      <c r="A1734" s="16"/>
      <c r="B1734" s="16"/>
      <c r="C1734" s="146"/>
      <c r="D1734" s="146"/>
      <c r="E1734" s="16"/>
      <c r="F1734" s="91"/>
      <c r="G1734" s="16"/>
      <c r="H1734" s="320" t="str">
        <f t="shared" si="1"/>
        <v/>
      </c>
      <c r="I1734" s="16"/>
      <c r="J1734" s="16"/>
      <c r="K1734" s="16"/>
      <c r="L1734" s="38"/>
      <c r="M1734" s="16"/>
      <c r="N1734" s="16"/>
      <c r="O1734" s="16"/>
      <c r="P1734" s="15"/>
      <c r="Q1734" s="15"/>
      <c r="R1734" s="16"/>
      <c r="S1734" s="16"/>
      <c r="T1734" s="16"/>
      <c r="U1734" s="16"/>
      <c r="V1734" s="37" t="str">
        <f>IFERROR(__xludf.DUMMYFUNCTION("if(not(iserror(index(split(C1734, "" ""),2))), index(split(C1734, "" ""),1),"""")"),"")</f>
        <v/>
      </c>
      <c r="W1734" s="315" t="str">
        <f>IFERROR(__xludf.DUMMYFUNCTION("if(V1734="""",C1734,if(not(iserror(index(split(C1734, "" ""),3))), index(split(C1734, "" ""),3),index(split(C1734, "" ""),2)))"),"")</f>
        <v/>
      </c>
      <c r="X1734" s="38" t="b">
        <f t="shared" si="2"/>
        <v>0</v>
      </c>
      <c r="Y1734" s="38"/>
      <c r="Z1734" s="40"/>
      <c r="AA1734" s="40"/>
      <c r="AB1734" s="38"/>
      <c r="AC1734" s="38"/>
      <c r="AD1734" s="38"/>
      <c r="AE1734" s="38"/>
      <c r="AF1734" s="38"/>
      <c r="AG1734" s="38"/>
      <c r="AH1734" s="38"/>
      <c r="AI1734" s="38"/>
      <c r="AJ1734" s="38"/>
      <c r="AK1734" s="38"/>
      <c r="AL1734" s="38"/>
      <c r="AM1734" s="38"/>
      <c r="AN1734" s="38"/>
      <c r="AO1734" s="38"/>
      <c r="AP1734" s="38"/>
      <c r="AQ1734" s="38"/>
      <c r="AR1734" s="38"/>
      <c r="AS1734" s="38"/>
      <c r="AT1734" s="38"/>
      <c r="AU1734" s="38"/>
      <c r="AV1734" s="38"/>
      <c r="AW1734" s="38"/>
      <c r="AX1734" s="38"/>
      <c r="AY1734" s="38"/>
      <c r="AZ1734" s="38"/>
      <c r="BA1734" s="38"/>
      <c r="BB1734" s="38"/>
      <c r="BC1734" s="38"/>
      <c r="BD1734" s="38"/>
      <c r="BE1734" s="38"/>
      <c r="BF1734" s="38"/>
      <c r="BG1734" s="38"/>
    </row>
    <row r="1735">
      <c r="A1735" s="16"/>
      <c r="B1735" s="16"/>
      <c r="C1735" s="146"/>
      <c r="D1735" s="146"/>
      <c r="E1735" s="16"/>
      <c r="F1735" s="91"/>
      <c r="G1735" s="16"/>
      <c r="H1735" s="320" t="str">
        <f t="shared" si="1"/>
        <v/>
      </c>
      <c r="I1735" s="16"/>
      <c r="J1735" s="16"/>
      <c r="K1735" s="16"/>
      <c r="L1735" s="38"/>
      <c r="M1735" s="16"/>
      <c r="N1735" s="16"/>
      <c r="O1735" s="16"/>
      <c r="P1735" s="15"/>
      <c r="Q1735" s="15"/>
      <c r="R1735" s="16"/>
      <c r="S1735" s="16"/>
      <c r="T1735" s="16"/>
      <c r="U1735" s="16"/>
      <c r="V1735" s="37" t="str">
        <f>IFERROR(__xludf.DUMMYFUNCTION("if(not(iserror(index(split(C1735, "" ""),2))), index(split(C1735, "" ""),1),"""")"),"")</f>
        <v/>
      </c>
      <c r="W1735" s="315" t="str">
        <f>IFERROR(__xludf.DUMMYFUNCTION("if(V1735="""",C1735,if(not(iserror(index(split(C1735, "" ""),3))), index(split(C1735, "" ""),3),index(split(C1735, "" ""),2)))"),"")</f>
        <v/>
      </c>
      <c r="X1735" s="38" t="b">
        <f t="shared" si="2"/>
        <v>0</v>
      </c>
      <c r="Y1735" s="38"/>
      <c r="Z1735" s="40"/>
      <c r="AA1735" s="40"/>
      <c r="AB1735" s="38"/>
      <c r="AC1735" s="38"/>
      <c r="AD1735" s="38"/>
      <c r="AE1735" s="38"/>
      <c r="AF1735" s="38"/>
      <c r="AG1735" s="38"/>
      <c r="AH1735" s="38"/>
      <c r="AI1735" s="38"/>
      <c r="AJ1735" s="38"/>
      <c r="AK1735" s="38"/>
      <c r="AL1735" s="38"/>
      <c r="AM1735" s="38"/>
      <c r="AN1735" s="38"/>
      <c r="AO1735" s="38"/>
      <c r="AP1735" s="38"/>
      <c r="AQ1735" s="38"/>
      <c r="AR1735" s="38"/>
      <c r="AS1735" s="38"/>
      <c r="AT1735" s="38"/>
      <c r="AU1735" s="38"/>
      <c r="AV1735" s="38"/>
      <c r="AW1735" s="38"/>
      <c r="AX1735" s="38"/>
      <c r="AY1735" s="38"/>
      <c r="AZ1735" s="38"/>
      <c r="BA1735" s="38"/>
      <c r="BB1735" s="38"/>
      <c r="BC1735" s="38"/>
      <c r="BD1735" s="38"/>
      <c r="BE1735" s="38"/>
      <c r="BF1735" s="38"/>
      <c r="BG1735" s="38"/>
    </row>
    <row r="1736">
      <c r="A1736" s="16"/>
      <c r="B1736" s="16"/>
      <c r="C1736" s="146"/>
      <c r="D1736" s="146"/>
      <c r="E1736" s="16"/>
      <c r="F1736" s="91"/>
      <c r="G1736" s="16"/>
      <c r="H1736" s="320" t="str">
        <f t="shared" si="1"/>
        <v/>
      </c>
      <c r="I1736" s="16"/>
      <c r="J1736" s="16"/>
      <c r="K1736" s="16"/>
      <c r="L1736" s="38"/>
      <c r="M1736" s="16"/>
      <c r="N1736" s="16"/>
      <c r="O1736" s="16"/>
      <c r="P1736" s="15"/>
      <c r="Q1736" s="15"/>
      <c r="R1736" s="16"/>
      <c r="S1736" s="16"/>
      <c r="T1736" s="16"/>
      <c r="U1736" s="16"/>
      <c r="V1736" s="37" t="str">
        <f>IFERROR(__xludf.DUMMYFUNCTION("if(not(iserror(index(split(C1736, "" ""),2))), index(split(C1736, "" ""),1),"""")"),"")</f>
        <v/>
      </c>
      <c r="W1736" s="315" t="str">
        <f>IFERROR(__xludf.DUMMYFUNCTION("if(V1736="""",C1736,if(not(iserror(index(split(C1736, "" ""),3))), index(split(C1736, "" ""),3),index(split(C1736, "" ""),2)))"),"")</f>
        <v/>
      </c>
      <c r="X1736" s="38" t="b">
        <f t="shared" si="2"/>
        <v>0</v>
      </c>
      <c r="Y1736" s="38"/>
      <c r="Z1736" s="40"/>
      <c r="AA1736" s="40"/>
      <c r="AB1736" s="38"/>
      <c r="AC1736" s="38"/>
      <c r="AD1736" s="38"/>
      <c r="AE1736" s="38"/>
      <c r="AF1736" s="38"/>
      <c r="AG1736" s="38"/>
      <c r="AH1736" s="38"/>
      <c r="AI1736" s="38"/>
      <c r="AJ1736" s="38"/>
      <c r="AK1736" s="38"/>
      <c r="AL1736" s="38"/>
      <c r="AM1736" s="38"/>
      <c r="AN1736" s="38"/>
      <c r="AO1736" s="38"/>
      <c r="AP1736" s="38"/>
      <c r="AQ1736" s="38"/>
      <c r="AR1736" s="38"/>
      <c r="AS1736" s="38"/>
      <c r="AT1736" s="38"/>
      <c r="AU1736" s="38"/>
      <c r="AV1736" s="38"/>
      <c r="AW1736" s="38"/>
      <c r="AX1736" s="38"/>
      <c r="AY1736" s="38"/>
      <c r="AZ1736" s="38"/>
      <c r="BA1736" s="38"/>
      <c r="BB1736" s="38"/>
      <c r="BC1736" s="38"/>
      <c r="BD1736" s="38"/>
      <c r="BE1736" s="38"/>
      <c r="BF1736" s="38"/>
      <c r="BG1736" s="38"/>
    </row>
    <row r="1737">
      <c r="A1737" s="16"/>
      <c r="B1737" s="16"/>
      <c r="C1737" s="146"/>
      <c r="D1737" s="146"/>
      <c r="E1737" s="16"/>
      <c r="F1737" s="91"/>
      <c r="G1737" s="16"/>
      <c r="H1737" s="320" t="str">
        <f t="shared" si="1"/>
        <v/>
      </c>
      <c r="I1737" s="16"/>
      <c r="J1737" s="16"/>
      <c r="K1737" s="16"/>
      <c r="L1737" s="38"/>
      <c r="M1737" s="16"/>
      <c r="N1737" s="16"/>
      <c r="O1737" s="16"/>
      <c r="P1737" s="15"/>
      <c r="Q1737" s="15"/>
      <c r="R1737" s="16"/>
      <c r="S1737" s="16"/>
      <c r="T1737" s="16"/>
      <c r="U1737" s="16"/>
      <c r="V1737" s="37" t="str">
        <f>IFERROR(__xludf.DUMMYFUNCTION("if(not(iserror(index(split(C1737, "" ""),2))), index(split(C1737, "" ""),1),"""")"),"")</f>
        <v/>
      </c>
      <c r="W1737" s="315" t="str">
        <f>IFERROR(__xludf.DUMMYFUNCTION("if(V1737="""",C1737,if(not(iserror(index(split(C1737, "" ""),3))), index(split(C1737, "" ""),3),index(split(C1737, "" ""),2)))"),"")</f>
        <v/>
      </c>
      <c r="X1737" s="38" t="b">
        <f t="shared" si="2"/>
        <v>0</v>
      </c>
      <c r="Y1737" s="38"/>
      <c r="Z1737" s="40"/>
      <c r="AA1737" s="40"/>
      <c r="AB1737" s="38"/>
      <c r="AC1737" s="38"/>
      <c r="AD1737" s="38"/>
      <c r="AE1737" s="38"/>
      <c r="AF1737" s="38"/>
      <c r="AG1737" s="38"/>
      <c r="AH1737" s="38"/>
      <c r="AI1737" s="38"/>
      <c r="AJ1737" s="38"/>
      <c r="AK1737" s="38"/>
      <c r="AL1737" s="38"/>
      <c r="AM1737" s="38"/>
      <c r="AN1737" s="38"/>
      <c r="AO1737" s="38"/>
      <c r="AP1737" s="38"/>
      <c r="AQ1737" s="38"/>
      <c r="AR1737" s="38"/>
      <c r="AS1737" s="38"/>
      <c r="AT1737" s="38"/>
      <c r="AU1737" s="38"/>
      <c r="AV1737" s="38"/>
      <c r="AW1737" s="38"/>
      <c r="AX1737" s="38"/>
      <c r="AY1737" s="38"/>
      <c r="AZ1737" s="38"/>
      <c r="BA1737" s="38"/>
      <c r="BB1737" s="38"/>
      <c r="BC1737" s="38"/>
      <c r="BD1737" s="38"/>
      <c r="BE1737" s="38"/>
      <c r="BF1737" s="38"/>
      <c r="BG1737" s="38"/>
    </row>
    <row r="1738">
      <c r="A1738" s="16"/>
      <c r="B1738" s="16"/>
      <c r="C1738" s="146"/>
      <c r="D1738" s="146"/>
      <c r="E1738" s="16"/>
      <c r="F1738" s="91"/>
      <c r="G1738" s="16"/>
      <c r="H1738" s="320" t="str">
        <f t="shared" si="1"/>
        <v/>
      </c>
      <c r="I1738" s="16"/>
      <c r="J1738" s="16"/>
      <c r="K1738" s="16"/>
      <c r="L1738" s="38"/>
      <c r="M1738" s="16"/>
      <c r="N1738" s="16"/>
      <c r="O1738" s="16"/>
      <c r="P1738" s="15"/>
      <c r="Q1738" s="15"/>
      <c r="R1738" s="16"/>
      <c r="S1738" s="16"/>
      <c r="T1738" s="16"/>
      <c r="U1738" s="16"/>
      <c r="V1738" s="37" t="str">
        <f>IFERROR(__xludf.DUMMYFUNCTION("if(not(iserror(index(split(C1738, "" ""),2))), index(split(C1738, "" ""),1),"""")"),"")</f>
        <v/>
      </c>
      <c r="W1738" s="315" t="str">
        <f>IFERROR(__xludf.DUMMYFUNCTION("if(V1738="""",C1738,if(not(iserror(index(split(C1738, "" ""),3))), index(split(C1738, "" ""),3),index(split(C1738, "" ""),2)))"),"")</f>
        <v/>
      </c>
      <c r="X1738" s="38" t="b">
        <f t="shared" si="2"/>
        <v>0</v>
      </c>
      <c r="Y1738" s="38"/>
      <c r="Z1738" s="40"/>
      <c r="AA1738" s="40"/>
      <c r="AB1738" s="38"/>
      <c r="AC1738" s="38"/>
      <c r="AD1738" s="38"/>
      <c r="AE1738" s="38"/>
      <c r="AF1738" s="38"/>
      <c r="AG1738" s="38"/>
      <c r="AH1738" s="38"/>
      <c r="AI1738" s="38"/>
      <c r="AJ1738" s="38"/>
      <c r="AK1738" s="38"/>
      <c r="AL1738" s="38"/>
      <c r="AM1738" s="38"/>
      <c r="AN1738" s="38"/>
      <c r="AO1738" s="38"/>
      <c r="AP1738" s="38"/>
      <c r="AQ1738" s="38"/>
      <c r="AR1738" s="38"/>
      <c r="AS1738" s="38"/>
      <c r="AT1738" s="38"/>
      <c r="AU1738" s="38"/>
      <c r="AV1738" s="38"/>
      <c r="AW1738" s="38"/>
      <c r="AX1738" s="38"/>
      <c r="AY1738" s="38"/>
      <c r="AZ1738" s="38"/>
      <c r="BA1738" s="38"/>
      <c r="BB1738" s="38"/>
      <c r="BC1738" s="38"/>
      <c r="BD1738" s="38"/>
      <c r="BE1738" s="38"/>
      <c r="BF1738" s="38"/>
      <c r="BG1738" s="38"/>
    </row>
    <row r="1739">
      <c r="A1739" s="16"/>
      <c r="B1739" s="16"/>
      <c r="C1739" s="146"/>
      <c r="D1739" s="146"/>
      <c r="E1739" s="16"/>
      <c r="F1739" s="91"/>
      <c r="G1739" s="16"/>
      <c r="H1739" s="320" t="str">
        <f t="shared" si="1"/>
        <v/>
      </c>
      <c r="I1739" s="16"/>
      <c r="J1739" s="16"/>
      <c r="K1739" s="16"/>
      <c r="L1739" s="38"/>
      <c r="M1739" s="16"/>
      <c r="N1739" s="16"/>
      <c r="O1739" s="16"/>
      <c r="P1739" s="15"/>
      <c r="Q1739" s="15"/>
      <c r="R1739" s="16"/>
      <c r="S1739" s="16"/>
      <c r="T1739" s="16"/>
      <c r="U1739" s="16"/>
      <c r="V1739" s="37" t="str">
        <f>IFERROR(__xludf.DUMMYFUNCTION("if(not(iserror(index(split(C1739, "" ""),2))), index(split(C1739, "" ""),1),"""")"),"")</f>
        <v/>
      </c>
      <c r="W1739" s="315" t="str">
        <f>IFERROR(__xludf.DUMMYFUNCTION("if(V1739="""",C1739,if(not(iserror(index(split(C1739, "" ""),3))), index(split(C1739, "" ""),3),index(split(C1739, "" ""),2)))"),"")</f>
        <v/>
      </c>
      <c r="X1739" s="38" t="b">
        <f t="shared" si="2"/>
        <v>0</v>
      </c>
      <c r="Y1739" s="38"/>
      <c r="Z1739" s="40"/>
      <c r="AA1739" s="40"/>
      <c r="AB1739" s="38"/>
      <c r="AC1739" s="38"/>
      <c r="AD1739" s="38"/>
      <c r="AE1739" s="38"/>
      <c r="AF1739" s="38"/>
      <c r="AG1739" s="38"/>
      <c r="AH1739" s="38"/>
      <c r="AI1739" s="38"/>
      <c r="AJ1739" s="38"/>
      <c r="AK1739" s="38"/>
      <c r="AL1739" s="38"/>
      <c r="AM1739" s="38"/>
      <c r="AN1739" s="38"/>
      <c r="AO1739" s="38"/>
      <c r="AP1739" s="38"/>
      <c r="AQ1739" s="38"/>
      <c r="AR1739" s="38"/>
      <c r="AS1739" s="38"/>
      <c r="AT1739" s="38"/>
      <c r="AU1739" s="38"/>
      <c r="AV1739" s="38"/>
      <c r="AW1739" s="38"/>
      <c r="AX1739" s="38"/>
      <c r="AY1739" s="38"/>
      <c r="AZ1739" s="38"/>
      <c r="BA1739" s="38"/>
      <c r="BB1739" s="38"/>
      <c r="BC1739" s="38"/>
      <c r="BD1739" s="38"/>
      <c r="BE1739" s="38"/>
      <c r="BF1739" s="38"/>
      <c r="BG1739" s="38"/>
    </row>
    <row r="1740">
      <c r="A1740" s="16"/>
      <c r="B1740" s="16"/>
      <c r="C1740" s="146"/>
      <c r="D1740" s="146"/>
      <c r="E1740" s="16"/>
      <c r="F1740" s="91"/>
      <c r="G1740" s="16"/>
      <c r="H1740" s="320" t="str">
        <f t="shared" si="1"/>
        <v/>
      </c>
      <c r="I1740" s="16"/>
      <c r="J1740" s="16"/>
      <c r="K1740" s="16"/>
      <c r="L1740" s="38"/>
      <c r="M1740" s="16"/>
      <c r="N1740" s="16"/>
      <c r="O1740" s="16"/>
      <c r="P1740" s="15"/>
      <c r="Q1740" s="15"/>
      <c r="R1740" s="16"/>
      <c r="S1740" s="16"/>
      <c r="T1740" s="16"/>
      <c r="U1740" s="16"/>
      <c r="V1740" s="37" t="str">
        <f>IFERROR(__xludf.DUMMYFUNCTION("if(not(iserror(index(split(C1740, "" ""),2))), index(split(C1740, "" ""),1),"""")"),"")</f>
        <v/>
      </c>
      <c r="W1740" s="315" t="str">
        <f>IFERROR(__xludf.DUMMYFUNCTION("if(V1740="""",C1740,if(not(iserror(index(split(C1740, "" ""),3))), index(split(C1740, "" ""),3),index(split(C1740, "" ""),2)))"),"")</f>
        <v/>
      </c>
      <c r="X1740" s="38" t="b">
        <f t="shared" si="2"/>
        <v>0</v>
      </c>
      <c r="Y1740" s="38"/>
      <c r="Z1740" s="40"/>
      <c r="AA1740" s="40"/>
      <c r="AB1740" s="38"/>
      <c r="AC1740" s="38"/>
      <c r="AD1740" s="38"/>
      <c r="AE1740" s="38"/>
      <c r="AF1740" s="38"/>
      <c r="AG1740" s="38"/>
      <c r="AH1740" s="38"/>
      <c r="AI1740" s="38"/>
      <c r="AJ1740" s="38"/>
      <c r="AK1740" s="38"/>
      <c r="AL1740" s="38"/>
      <c r="AM1740" s="38"/>
      <c r="AN1740" s="38"/>
      <c r="AO1740" s="38"/>
      <c r="AP1740" s="38"/>
      <c r="AQ1740" s="38"/>
      <c r="AR1740" s="38"/>
      <c r="AS1740" s="38"/>
      <c r="AT1740" s="38"/>
      <c r="AU1740" s="38"/>
      <c r="AV1740" s="38"/>
      <c r="AW1740" s="38"/>
      <c r="AX1740" s="38"/>
      <c r="AY1740" s="38"/>
      <c r="AZ1740" s="38"/>
      <c r="BA1740" s="38"/>
      <c r="BB1740" s="38"/>
      <c r="BC1740" s="38"/>
      <c r="BD1740" s="38"/>
      <c r="BE1740" s="38"/>
      <c r="BF1740" s="38"/>
      <c r="BG1740" s="38"/>
    </row>
    <row r="1741">
      <c r="A1741" s="16"/>
      <c r="B1741" s="16"/>
      <c r="C1741" s="146"/>
      <c r="D1741" s="146"/>
      <c r="E1741" s="16"/>
      <c r="F1741" s="91"/>
      <c r="G1741" s="16"/>
      <c r="H1741" s="320" t="str">
        <f t="shared" si="1"/>
        <v/>
      </c>
      <c r="I1741" s="16"/>
      <c r="J1741" s="16"/>
      <c r="K1741" s="16"/>
      <c r="L1741" s="38"/>
      <c r="M1741" s="16"/>
      <c r="N1741" s="16"/>
      <c r="O1741" s="16"/>
      <c r="P1741" s="15"/>
      <c r="Q1741" s="15"/>
      <c r="R1741" s="16"/>
      <c r="S1741" s="16"/>
      <c r="T1741" s="16"/>
      <c r="U1741" s="16"/>
      <c r="V1741" s="37" t="str">
        <f>IFERROR(__xludf.DUMMYFUNCTION("if(not(iserror(index(split(C1741, "" ""),2))), index(split(C1741, "" ""),1),"""")"),"")</f>
        <v/>
      </c>
      <c r="W1741" s="315" t="str">
        <f>IFERROR(__xludf.DUMMYFUNCTION("if(V1741="""",C1741,if(not(iserror(index(split(C1741, "" ""),3))), index(split(C1741, "" ""),3),index(split(C1741, "" ""),2)))"),"")</f>
        <v/>
      </c>
      <c r="X1741" s="38" t="b">
        <f t="shared" si="2"/>
        <v>0</v>
      </c>
      <c r="Y1741" s="38"/>
      <c r="Z1741" s="40"/>
      <c r="AA1741" s="40"/>
      <c r="AB1741" s="38"/>
      <c r="AC1741" s="38"/>
      <c r="AD1741" s="38"/>
      <c r="AE1741" s="38"/>
      <c r="AF1741" s="38"/>
      <c r="AG1741" s="38"/>
      <c r="AH1741" s="38"/>
      <c r="AI1741" s="38"/>
      <c r="AJ1741" s="38"/>
      <c r="AK1741" s="38"/>
      <c r="AL1741" s="38"/>
      <c r="AM1741" s="38"/>
      <c r="AN1741" s="38"/>
      <c r="AO1741" s="38"/>
      <c r="AP1741" s="38"/>
      <c r="AQ1741" s="38"/>
      <c r="AR1741" s="38"/>
      <c r="AS1741" s="38"/>
      <c r="AT1741" s="38"/>
      <c r="AU1741" s="38"/>
      <c r="AV1741" s="38"/>
      <c r="AW1741" s="38"/>
      <c r="AX1741" s="38"/>
      <c r="AY1741" s="38"/>
      <c r="AZ1741" s="38"/>
      <c r="BA1741" s="38"/>
      <c r="BB1741" s="38"/>
      <c r="BC1741" s="38"/>
      <c r="BD1741" s="38"/>
      <c r="BE1741" s="38"/>
      <c r="BF1741" s="38"/>
      <c r="BG1741" s="38"/>
    </row>
    <row r="1742">
      <c r="A1742" s="16"/>
      <c r="B1742" s="16"/>
      <c r="C1742" s="146"/>
      <c r="D1742" s="146"/>
      <c r="E1742" s="16"/>
      <c r="F1742" s="91"/>
      <c r="G1742" s="16"/>
      <c r="H1742" s="320" t="str">
        <f t="shared" si="1"/>
        <v/>
      </c>
      <c r="I1742" s="16"/>
      <c r="J1742" s="16"/>
      <c r="K1742" s="16"/>
      <c r="L1742" s="38"/>
      <c r="M1742" s="16"/>
      <c r="N1742" s="16"/>
      <c r="O1742" s="16"/>
      <c r="P1742" s="15"/>
      <c r="Q1742" s="15"/>
      <c r="R1742" s="16"/>
      <c r="S1742" s="16"/>
      <c r="T1742" s="16"/>
      <c r="U1742" s="16"/>
      <c r="V1742" s="37" t="str">
        <f>IFERROR(__xludf.DUMMYFUNCTION("if(not(iserror(index(split(C1742, "" ""),2))), index(split(C1742, "" ""),1),"""")"),"")</f>
        <v/>
      </c>
      <c r="W1742" s="315" t="str">
        <f>IFERROR(__xludf.DUMMYFUNCTION("if(V1742="""",C1742,if(not(iserror(index(split(C1742, "" ""),3))), index(split(C1742, "" ""),3),index(split(C1742, "" ""),2)))"),"")</f>
        <v/>
      </c>
      <c r="X1742" s="38" t="b">
        <f t="shared" si="2"/>
        <v>0</v>
      </c>
      <c r="Y1742" s="38"/>
      <c r="Z1742" s="40"/>
      <c r="AA1742" s="40"/>
      <c r="AB1742" s="38"/>
      <c r="AC1742" s="38"/>
      <c r="AD1742" s="38"/>
      <c r="AE1742" s="38"/>
      <c r="AF1742" s="38"/>
      <c r="AG1742" s="38"/>
      <c r="AH1742" s="38"/>
      <c r="AI1742" s="38"/>
      <c r="AJ1742" s="38"/>
      <c r="AK1742" s="38"/>
      <c r="AL1742" s="38"/>
      <c r="AM1742" s="38"/>
      <c r="AN1742" s="38"/>
      <c r="AO1742" s="38"/>
      <c r="AP1742" s="38"/>
      <c r="AQ1742" s="38"/>
      <c r="AR1742" s="38"/>
      <c r="AS1742" s="38"/>
      <c r="AT1742" s="38"/>
      <c r="AU1742" s="38"/>
      <c r="AV1742" s="38"/>
      <c r="AW1742" s="38"/>
      <c r="AX1742" s="38"/>
      <c r="AY1742" s="38"/>
      <c r="AZ1742" s="38"/>
      <c r="BA1742" s="38"/>
      <c r="BB1742" s="38"/>
      <c r="BC1742" s="38"/>
      <c r="BD1742" s="38"/>
      <c r="BE1742" s="38"/>
      <c r="BF1742" s="38"/>
      <c r="BG1742" s="38"/>
    </row>
    <row r="1743">
      <c r="A1743" s="16"/>
      <c r="B1743" s="16"/>
      <c r="C1743" s="146"/>
      <c r="D1743" s="146"/>
      <c r="E1743" s="16"/>
      <c r="F1743" s="91"/>
      <c r="G1743" s="16"/>
      <c r="H1743" s="320" t="str">
        <f t="shared" si="1"/>
        <v/>
      </c>
      <c r="I1743" s="16"/>
      <c r="J1743" s="16"/>
      <c r="K1743" s="16"/>
      <c r="L1743" s="38"/>
      <c r="M1743" s="16"/>
      <c r="N1743" s="16"/>
      <c r="O1743" s="16"/>
      <c r="P1743" s="15"/>
      <c r="Q1743" s="15"/>
      <c r="R1743" s="16"/>
      <c r="S1743" s="16"/>
      <c r="T1743" s="16"/>
      <c r="U1743" s="16"/>
      <c r="V1743" s="37" t="str">
        <f>IFERROR(__xludf.DUMMYFUNCTION("if(not(iserror(index(split(C1743, "" ""),2))), index(split(C1743, "" ""),1),"""")"),"")</f>
        <v/>
      </c>
      <c r="W1743" s="315" t="str">
        <f>IFERROR(__xludf.DUMMYFUNCTION("if(V1743="""",C1743,if(not(iserror(index(split(C1743, "" ""),3))), index(split(C1743, "" ""),3),index(split(C1743, "" ""),2)))"),"")</f>
        <v/>
      </c>
      <c r="X1743" s="38" t="b">
        <f t="shared" si="2"/>
        <v>0</v>
      </c>
      <c r="Y1743" s="38"/>
      <c r="Z1743" s="40"/>
      <c r="AA1743" s="40"/>
      <c r="AB1743" s="38"/>
      <c r="AC1743" s="38"/>
      <c r="AD1743" s="38"/>
      <c r="AE1743" s="38"/>
      <c r="AF1743" s="38"/>
      <c r="AG1743" s="38"/>
      <c r="AH1743" s="38"/>
      <c r="AI1743" s="38"/>
      <c r="AJ1743" s="38"/>
      <c r="AK1743" s="38"/>
      <c r="AL1743" s="38"/>
      <c r="AM1743" s="38"/>
      <c r="AN1743" s="38"/>
      <c r="AO1743" s="38"/>
      <c r="AP1743" s="38"/>
      <c r="AQ1743" s="38"/>
      <c r="AR1743" s="38"/>
      <c r="AS1743" s="38"/>
      <c r="AT1743" s="38"/>
      <c r="AU1743" s="38"/>
      <c r="AV1743" s="38"/>
      <c r="AW1743" s="38"/>
      <c r="AX1743" s="38"/>
      <c r="AY1743" s="38"/>
      <c r="AZ1743" s="38"/>
      <c r="BA1743" s="38"/>
      <c r="BB1743" s="38"/>
      <c r="BC1743" s="38"/>
      <c r="BD1743" s="38"/>
      <c r="BE1743" s="38"/>
      <c r="BF1743" s="38"/>
      <c r="BG1743" s="38"/>
    </row>
    <row r="1744">
      <c r="A1744" s="16"/>
      <c r="B1744" s="16"/>
      <c r="C1744" s="146"/>
      <c r="D1744" s="146"/>
      <c r="E1744" s="16"/>
      <c r="F1744" s="91"/>
      <c r="G1744" s="16"/>
      <c r="H1744" s="320" t="str">
        <f t="shared" si="1"/>
        <v/>
      </c>
      <c r="I1744" s="16"/>
      <c r="J1744" s="16"/>
      <c r="K1744" s="16"/>
      <c r="L1744" s="38"/>
      <c r="M1744" s="16"/>
      <c r="N1744" s="16"/>
      <c r="O1744" s="16"/>
      <c r="P1744" s="15"/>
      <c r="Q1744" s="15"/>
      <c r="R1744" s="16"/>
      <c r="S1744" s="16"/>
      <c r="T1744" s="16"/>
      <c r="U1744" s="16"/>
      <c r="V1744" s="37" t="str">
        <f>IFERROR(__xludf.DUMMYFUNCTION("if(not(iserror(index(split(C1744, "" ""),2))), index(split(C1744, "" ""),1),"""")"),"")</f>
        <v/>
      </c>
      <c r="W1744" s="315" t="str">
        <f>IFERROR(__xludf.DUMMYFUNCTION("if(V1744="""",C1744,if(not(iserror(index(split(C1744, "" ""),3))), index(split(C1744, "" ""),3),index(split(C1744, "" ""),2)))"),"")</f>
        <v/>
      </c>
      <c r="X1744" s="38" t="b">
        <f t="shared" si="2"/>
        <v>0</v>
      </c>
      <c r="Y1744" s="38"/>
      <c r="Z1744" s="40"/>
      <c r="AA1744" s="40"/>
      <c r="AB1744" s="38"/>
      <c r="AC1744" s="38"/>
      <c r="AD1744" s="38"/>
      <c r="AE1744" s="38"/>
      <c r="AF1744" s="38"/>
      <c r="AG1744" s="38"/>
      <c r="AH1744" s="38"/>
      <c r="AI1744" s="38"/>
      <c r="AJ1744" s="38"/>
      <c r="AK1744" s="38"/>
      <c r="AL1744" s="38"/>
      <c r="AM1744" s="38"/>
      <c r="AN1744" s="38"/>
      <c r="AO1744" s="38"/>
      <c r="AP1744" s="38"/>
      <c r="AQ1744" s="38"/>
      <c r="AR1744" s="38"/>
      <c r="AS1744" s="38"/>
      <c r="AT1744" s="38"/>
      <c r="AU1744" s="38"/>
      <c r="AV1744" s="38"/>
      <c r="AW1744" s="38"/>
      <c r="AX1744" s="38"/>
      <c r="AY1744" s="38"/>
      <c r="AZ1744" s="38"/>
      <c r="BA1744" s="38"/>
      <c r="BB1744" s="38"/>
      <c r="BC1744" s="38"/>
      <c r="BD1744" s="38"/>
      <c r="BE1744" s="38"/>
      <c r="BF1744" s="38"/>
      <c r="BG1744" s="38"/>
    </row>
    <row r="1745">
      <c r="A1745" s="16"/>
      <c r="B1745" s="16"/>
      <c r="C1745" s="146"/>
      <c r="D1745" s="146"/>
      <c r="E1745" s="16"/>
      <c r="F1745" s="91"/>
      <c r="G1745" s="16"/>
      <c r="H1745" s="320" t="str">
        <f t="shared" si="1"/>
        <v/>
      </c>
      <c r="I1745" s="16"/>
      <c r="J1745" s="16"/>
      <c r="K1745" s="16"/>
      <c r="L1745" s="38"/>
      <c r="M1745" s="16"/>
      <c r="N1745" s="16"/>
      <c r="O1745" s="16"/>
      <c r="P1745" s="15"/>
      <c r="Q1745" s="15"/>
      <c r="R1745" s="16"/>
      <c r="S1745" s="16"/>
      <c r="T1745" s="16"/>
      <c r="U1745" s="16"/>
      <c r="V1745" s="37" t="str">
        <f>IFERROR(__xludf.DUMMYFUNCTION("if(not(iserror(index(split(C1745, "" ""),2))), index(split(C1745, "" ""),1),"""")"),"")</f>
        <v/>
      </c>
      <c r="W1745" s="315" t="str">
        <f>IFERROR(__xludf.DUMMYFUNCTION("if(V1745="""",C1745,if(not(iserror(index(split(C1745, "" ""),3))), index(split(C1745, "" ""),3),index(split(C1745, "" ""),2)))"),"")</f>
        <v/>
      </c>
      <c r="X1745" s="38" t="b">
        <f t="shared" si="2"/>
        <v>0</v>
      </c>
      <c r="Y1745" s="38"/>
      <c r="Z1745" s="40"/>
      <c r="AA1745" s="40"/>
      <c r="AB1745" s="38"/>
      <c r="AC1745" s="38"/>
      <c r="AD1745" s="38"/>
      <c r="AE1745" s="38"/>
      <c r="AF1745" s="38"/>
      <c r="AG1745" s="38"/>
      <c r="AH1745" s="38"/>
      <c r="AI1745" s="38"/>
      <c r="AJ1745" s="38"/>
      <c r="AK1745" s="38"/>
      <c r="AL1745" s="38"/>
      <c r="AM1745" s="38"/>
      <c r="AN1745" s="38"/>
      <c r="AO1745" s="38"/>
      <c r="AP1745" s="38"/>
      <c r="AQ1745" s="38"/>
      <c r="AR1745" s="38"/>
      <c r="AS1745" s="38"/>
      <c r="AT1745" s="38"/>
      <c r="AU1745" s="38"/>
      <c r="AV1745" s="38"/>
      <c r="AW1745" s="38"/>
      <c r="AX1745" s="38"/>
      <c r="AY1745" s="38"/>
      <c r="AZ1745" s="38"/>
      <c r="BA1745" s="38"/>
      <c r="BB1745" s="38"/>
      <c r="BC1745" s="38"/>
      <c r="BD1745" s="38"/>
      <c r="BE1745" s="38"/>
      <c r="BF1745" s="38"/>
      <c r="BG1745" s="38"/>
    </row>
    <row r="1746">
      <c r="A1746" s="16"/>
      <c r="B1746" s="16"/>
      <c r="C1746" s="146"/>
      <c r="D1746" s="146"/>
      <c r="E1746" s="16"/>
      <c r="F1746" s="91"/>
      <c r="G1746" s="16"/>
      <c r="H1746" s="320" t="str">
        <f t="shared" si="1"/>
        <v/>
      </c>
      <c r="I1746" s="16"/>
      <c r="J1746" s="16"/>
      <c r="K1746" s="16"/>
      <c r="L1746" s="38"/>
      <c r="M1746" s="16"/>
      <c r="N1746" s="16"/>
      <c r="O1746" s="16"/>
      <c r="P1746" s="15"/>
      <c r="Q1746" s="15"/>
      <c r="R1746" s="16"/>
      <c r="S1746" s="16"/>
      <c r="T1746" s="16"/>
      <c r="U1746" s="16"/>
      <c r="V1746" s="37" t="str">
        <f>IFERROR(__xludf.DUMMYFUNCTION("if(not(iserror(index(split(C1746, "" ""),2))), index(split(C1746, "" ""),1),"""")"),"")</f>
        <v/>
      </c>
      <c r="W1746" s="315" t="str">
        <f>IFERROR(__xludf.DUMMYFUNCTION("if(V1746="""",C1746,if(not(iserror(index(split(C1746, "" ""),3))), index(split(C1746, "" ""),3),index(split(C1746, "" ""),2)))"),"")</f>
        <v/>
      </c>
      <c r="X1746" s="38" t="b">
        <f t="shared" si="2"/>
        <v>0</v>
      </c>
      <c r="Y1746" s="38"/>
      <c r="Z1746" s="40"/>
      <c r="AA1746" s="40"/>
      <c r="AB1746" s="38"/>
      <c r="AC1746" s="38"/>
      <c r="AD1746" s="38"/>
      <c r="AE1746" s="38"/>
      <c r="AF1746" s="38"/>
      <c r="AG1746" s="38"/>
      <c r="AH1746" s="38"/>
      <c r="AI1746" s="38"/>
      <c r="AJ1746" s="38"/>
      <c r="AK1746" s="38"/>
      <c r="AL1746" s="38"/>
      <c r="AM1746" s="38"/>
      <c r="AN1746" s="38"/>
      <c r="AO1746" s="38"/>
      <c r="AP1746" s="38"/>
      <c r="AQ1746" s="38"/>
      <c r="AR1746" s="38"/>
      <c r="AS1746" s="38"/>
      <c r="AT1746" s="38"/>
      <c r="AU1746" s="38"/>
      <c r="AV1746" s="38"/>
      <c r="AW1746" s="38"/>
      <c r="AX1746" s="38"/>
      <c r="AY1746" s="38"/>
      <c r="AZ1746" s="38"/>
      <c r="BA1746" s="38"/>
      <c r="BB1746" s="38"/>
      <c r="BC1746" s="38"/>
      <c r="BD1746" s="38"/>
      <c r="BE1746" s="38"/>
      <c r="BF1746" s="38"/>
      <c r="BG1746" s="38"/>
    </row>
    <row r="1747">
      <c r="A1747" s="16"/>
      <c r="B1747" s="16"/>
      <c r="C1747" s="146"/>
      <c r="D1747" s="146"/>
      <c r="E1747" s="16"/>
      <c r="F1747" s="91"/>
      <c r="G1747" s="16"/>
      <c r="H1747" s="320" t="str">
        <f t="shared" si="1"/>
        <v/>
      </c>
      <c r="I1747" s="16"/>
      <c r="J1747" s="16"/>
      <c r="K1747" s="16"/>
      <c r="L1747" s="38"/>
      <c r="M1747" s="16"/>
      <c r="N1747" s="16"/>
      <c r="O1747" s="16"/>
      <c r="P1747" s="15"/>
      <c r="Q1747" s="15"/>
      <c r="R1747" s="16"/>
      <c r="S1747" s="16"/>
      <c r="T1747" s="16"/>
      <c r="U1747" s="16"/>
      <c r="V1747" s="37" t="str">
        <f>IFERROR(__xludf.DUMMYFUNCTION("if(not(iserror(index(split(C1747, "" ""),2))), index(split(C1747, "" ""),1),"""")"),"")</f>
        <v/>
      </c>
      <c r="W1747" s="315" t="str">
        <f>IFERROR(__xludf.DUMMYFUNCTION("if(V1747="""",C1747,if(not(iserror(index(split(C1747, "" ""),3))), index(split(C1747, "" ""),3),index(split(C1747, "" ""),2)))"),"")</f>
        <v/>
      </c>
      <c r="X1747" s="38" t="b">
        <f t="shared" si="2"/>
        <v>0</v>
      </c>
      <c r="Y1747" s="38"/>
      <c r="Z1747" s="40"/>
      <c r="AA1747" s="40"/>
      <c r="AB1747" s="38"/>
      <c r="AC1747" s="38"/>
      <c r="AD1747" s="38"/>
      <c r="AE1747" s="38"/>
      <c r="AF1747" s="38"/>
      <c r="AG1747" s="38"/>
      <c r="AH1747" s="38"/>
      <c r="AI1747" s="38"/>
      <c r="AJ1747" s="38"/>
      <c r="AK1747" s="38"/>
      <c r="AL1747" s="38"/>
      <c r="AM1747" s="38"/>
      <c r="AN1747" s="38"/>
      <c r="AO1747" s="38"/>
      <c r="AP1747" s="38"/>
      <c r="AQ1747" s="38"/>
      <c r="AR1747" s="38"/>
      <c r="AS1747" s="38"/>
      <c r="AT1747" s="38"/>
      <c r="AU1747" s="38"/>
      <c r="AV1747" s="38"/>
      <c r="AW1747" s="38"/>
      <c r="AX1747" s="38"/>
      <c r="AY1747" s="38"/>
      <c r="AZ1747" s="38"/>
      <c r="BA1747" s="38"/>
      <c r="BB1747" s="38"/>
      <c r="BC1747" s="38"/>
      <c r="BD1747" s="38"/>
      <c r="BE1747" s="38"/>
      <c r="BF1747" s="38"/>
      <c r="BG1747" s="38"/>
    </row>
    <row r="1748">
      <c r="A1748" s="16"/>
      <c r="B1748" s="16"/>
      <c r="C1748" s="146"/>
      <c r="D1748" s="146"/>
      <c r="E1748" s="16"/>
      <c r="F1748" s="91"/>
      <c r="G1748" s="16"/>
      <c r="H1748" s="320" t="str">
        <f t="shared" si="1"/>
        <v/>
      </c>
      <c r="I1748" s="16"/>
      <c r="J1748" s="16"/>
      <c r="K1748" s="16"/>
      <c r="L1748" s="38"/>
      <c r="M1748" s="16"/>
      <c r="N1748" s="16"/>
      <c r="O1748" s="16"/>
      <c r="P1748" s="15"/>
      <c r="Q1748" s="15"/>
      <c r="R1748" s="16"/>
      <c r="S1748" s="16"/>
      <c r="T1748" s="16"/>
      <c r="U1748" s="16"/>
      <c r="V1748" s="37" t="str">
        <f>IFERROR(__xludf.DUMMYFUNCTION("if(not(iserror(index(split(C1748, "" ""),2))), index(split(C1748, "" ""),1),"""")"),"")</f>
        <v/>
      </c>
      <c r="W1748" s="315" t="str">
        <f>IFERROR(__xludf.DUMMYFUNCTION("if(V1748="""",C1748,if(not(iserror(index(split(C1748, "" ""),3))), index(split(C1748, "" ""),3),index(split(C1748, "" ""),2)))"),"")</f>
        <v/>
      </c>
      <c r="X1748" s="38" t="b">
        <f t="shared" si="2"/>
        <v>0</v>
      </c>
      <c r="Y1748" s="38"/>
      <c r="Z1748" s="40"/>
      <c r="AA1748" s="40"/>
      <c r="AB1748" s="38"/>
      <c r="AC1748" s="38"/>
      <c r="AD1748" s="38"/>
      <c r="AE1748" s="38"/>
      <c r="AF1748" s="38"/>
      <c r="AG1748" s="38"/>
      <c r="AH1748" s="38"/>
      <c r="AI1748" s="38"/>
      <c r="AJ1748" s="38"/>
      <c r="AK1748" s="38"/>
      <c r="AL1748" s="38"/>
      <c r="AM1748" s="38"/>
      <c r="AN1748" s="38"/>
      <c r="AO1748" s="38"/>
      <c r="AP1748" s="38"/>
      <c r="AQ1748" s="38"/>
      <c r="AR1748" s="38"/>
      <c r="AS1748" s="38"/>
      <c r="AT1748" s="38"/>
      <c r="AU1748" s="38"/>
      <c r="AV1748" s="38"/>
      <c r="AW1748" s="38"/>
      <c r="AX1748" s="38"/>
      <c r="AY1748" s="38"/>
      <c r="AZ1748" s="38"/>
      <c r="BA1748" s="38"/>
      <c r="BB1748" s="38"/>
      <c r="BC1748" s="38"/>
      <c r="BD1748" s="38"/>
      <c r="BE1748" s="38"/>
      <c r="BF1748" s="38"/>
      <c r="BG1748" s="38"/>
    </row>
    <row r="1749">
      <c r="A1749" s="16"/>
      <c r="B1749" s="16"/>
      <c r="C1749" s="146"/>
      <c r="D1749" s="146"/>
      <c r="E1749" s="16"/>
      <c r="F1749" s="91"/>
      <c r="G1749" s="16"/>
      <c r="H1749" s="320" t="str">
        <f t="shared" si="1"/>
        <v/>
      </c>
      <c r="I1749" s="16"/>
      <c r="J1749" s="16"/>
      <c r="K1749" s="16"/>
      <c r="L1749" s="38"/>
      <c r="M1749" s="16"/>
      <c r="N1749" s="16"/>
      <c r="O1749" s="16"/>
      <c r="P1749" s="15"/>
      <c r="Q1749" s="15"/>
      <c r="R1749" s="16"/>
      <c r="S1749" s="16"/>
      <c r="T1749" s="16"/>
      <c r="U1749" s="16"/>
      <c r="V1749" s="37" t="str">
        <f>IFERROR(__xludf.DUMMYFUNCTION("if(not(iserror(index(split(C1749, "" ""),2))), index(split(C1749, "" ""),1),"""")"),"")</f>
        <v/>
      </c>
      <c r="W1749" s="315" t="str">
        <f>IFERROR(__xludf.DUMMYFUNCTION("if(V1749="""",C1749,if(not(iserror(index(split(C1749, "" ""),3))), index(split(C1749, "" ""),3),index(split(C1749, "" ""),2)))"),"")</f>
        <v/>
      </c>
      <c r="X1749" s="38" t="b">
        <f t="shared" si="2"/>
        <v>0</v>
      </c>
      <c r="Y1749" s="38"/>
      <c r="Z1749" s="40"/>
      <c r="AA1749" s="40"/>
      <c r="AB1749" s="38"/>
      <c r="AC1749" s="38"/>
      <c r="AD1749" s="38"/>
      <c r="AE1749" s="38"/>
      <c r="AF1749" s="38"/>
      <c r="AG1749" s="38"/>
      <c r="AH1749" s="38"/>
      <c r="AI1749" s="38"/>
      <c r="AJ1749" s="38"/>
      <c r="AK1749" s="38"/>
      <c r="AL1749" s="38"/>
      <c r="AM1749" s="38"/>
      <c r="AN1749" s="38"/>
      <c r="AO1749" s="38"/>
      <c r="AP1749" s="38"/>
      <c r="AQ1749" s="38"/>
      <c r="AR1749" s="38"/>
      <c r="AS1749" s="38"/>
      <c r="AT1749" s="38"/>
      <c r="AU1749" s="38"/>
      <c r="AV1749" s="38"/>
      <c r="AW1749" s="38"/>
      <c r="AX1749" s="38"/>
      <c r="AY1749" s="38"/>
      <c r="AZ1749" s="38"/>
      <c r="BA1749" s="38"/>
      <c r="BB1749" s="38"/>
      <c r="BC1749" s="38"/>
      <c r="BD1749" s="38"/>
      <c r="BE1749" s="38"/>
      <c r="BF1749" s="38"/>
      <c r="BG1749" s="38"/>
    </row>
    <row r="1750">
      <c r="A1750" s="16"/>
      <c r="B1750" s="16"/>
      <c r="C1750" s="146"/>
      <c r="D1750" s="146"/>
      <c r="E1750" s="16"/>
      <c r="F1750" s="91"/>
      <c r="G1750" s="16"/>
      <c r="H1750" s="320" t="str">
        <f t="shared" si="1"/>
        <v/>
      </c>
      <c r="I1750" s="16"/>
      <c r="J1750" s="16"/>
      <c r="K1750" s="16"/>
      <c r="L1750" s="38"/>
      <c r="M1750" s="16"/>
      <c r="N1750" s="16"/>
      <c r="O1750" s="16"/>
      <c r="P1750" s="15"/>
      <c r="Q1750" s="15"/>
      <c r="R1750" s="16"/>
      <c r="S1750" s="16"/>
      <c r="T1750" s="16"/>
      <c r="U1750" s="16"/>
      <c r="V1750" s="37" t="str">
        <f>IFERROR(__xludf.DUMMYFUNCTION("if(not(iserror(index(split(C1750, "" ""),2))), index(split(C1750, "" ""),1),"""")"),"")</f>
        <v/>
      </c>
      <c r="W1750" s="315" t="str">
        <f>IFERROR(__xludf.DUMMYFUNCTION("if(V1750="""",C1750,if(not(iserror(index(split(C1750, "" ""),3))), index(split(C1750, "" ""),3),index(split(C1750, "" ""),2)))"),"")</f>
        <v/>
      </c>
      <c r="X1750" s="38" t="b">
        <f t="shared" si="2"/>
        <v>0</v>
      </c>
      <c r="Y1750" s="38"/>
      <c r="Z1750" s="40"/>
      <c r="AA1750" s="40"/>
      <c r="AB1750" s="38"/>
      <c r="AC1750" s="38"/>
      <c r="AD1750" s="38"/>
      <c r="AE1750" s="38"/>
      <c r="AF1750" s="38"/>
      <c r="AG1750" s="38"/>
      <c r="AH1750" s="38"/>
      <c r="AI1750" s="38"/>
      <c r="AJ1750" s="38"/>
      <c r="AK1750" s="38"/>
      <c r="AL1750" s="38"/>
      <c r="AM1750" s="38"/>
      <c r="AN1750" s="38"/>
      <c r="AO1750" s="38"/>
      <c r="AP1750" s="38"/>
      <c r="AQ1750" s="38"/>
      <c r="AR1750" s="38"/>
      <c r="AS1750" s="38"/>
      <c r="AT1750" s="38"/>
      <c r="AU1750" s="38"/>
      <c r="AV1750" s="38"/>
      <c r="AW1750" s="38"/>
      <c r="AX1750" s="38"/>
      <c r="AY1750" s="38"/>
      <c r="AZ1750" s="38"/>
      <c r="BA1750" s="38"/>
      <c r="BB1750" s="38"/>
      <c r="BC1750" s="38"/>
      <c r="BD1750" s="38"/>
      <c r="BE1750" s="38"/>
      <c r="BF1750" s="38"/>
      <c r="BG1750" s="38"/>
    </row>
    <row r="1751">
      <c r="A1751" s="16"/>
      <c r="B1751" s="16"/>
      <c r="C1751" s="146"/>
      <c r="D1751" s="146"/>
      <c r="E1751" s="16"/>
      <c r="F1751" s="91"/>
      <c r="G1751" s="16"/>
      <c r="H1751" s="320" t="str">
        <f t="shared" si="1"/>
        <v/>
      </c>
      <c r="I1751" s="16"/>
      <c r="J1751" s="16"/>
      <c r="K1751" s="16"/>
      <c r="L1751" s="38"/>
      <c r="M1751" s="16"/>
      <c r="N1751" s="16"/>
      <c r="O1751" s="16"/>
      <c r="P1751" s="15"/>
      <c r="Q1751" s="15"/>
      <c r="R1751" s="16"/>
      <c r="S1751" s="16"/>
      <c r="T1751" s="16"/>
      <c r="U1751" s="16"/>
      <c r="V1751" s="37" t="str">
        <f>IFERROR(__xludf.DUMMYFUNCTION("if(not(iserror(index(split(C1751, "" ""),2))), index(split(C1751, "" ""),1),"""")"),"")</f>
        <v/>
      </c>
      <c r="W1751" s="315" t="str">
        <f>IFERROR(__xludf.DUMMYFUNCTION("if(V1751="""",C1751,if(not(iserror(index(split(C1751, "" ""),3))), index(split(C1751, "" ""),3),index(split(C1751, "" ""),2)))"),"")</f>
        <v/>
      </c>
      <c r="X1751" s="38" t="b">
        <f t="shared" si="2"/>
        <v>0</v>
      </c>
      <c r="Y1751" s="38"/>
      <c r="Z1751" s="40"/>
      <c r="AA1751" s="40"/>
      <c r="AB1751" s="38"/>
      <c r="AC1751" s="38"/>
      <c r="AD1751" s="38"/>
      <c r="AE1751" s="38"/>
      <c r="AF1751" s="38"/>
      <c r="AG1751" s="38"/>
      <c r="AH1751" s="38"/>
      <c r="AI1751" s="38"/>
      <c r="AJ1751" s="38"/>
      <c r="AK1751" s="38"/>
      <c r="AL1751" s="38"/>
      <c r="AM1751" s="38"/>
      <c r="AN1751" s="38"/>
      <c r="AO1751" s="38"/>
      <c r="AP1751" s="38"/>
      <c r="AQ1751" s="38"/>
      <c r="AR1751" s="38"/>
      <c r="AS1751" s="38"/>
      <c r="AT1751" s="38"/>
      <c r="AU1751" s="38"/>
      <c r="AV1751" s="38"/>
      <c r="AW1751" s="38"/>
      <c r="AX1751" s="38"/>
      <c r="AY1751" s="38"/>
      <c r="AZ1751" s="38"/>
      <c r="BA1751" s="38"/>
      <c r="BB1751" s="38"/>
      <c r="BC1751" s="38"/>
      <c r="BD1751" s="38"/>
      <c r="BE1751" s="38"/>
      <c r="BF1751" s="38"/>
      <c r="BG1751" s="38"/>
    </row>
    <row r="1752">
      <c r="A1752" s="16"/>
      <c r="B1752" s="16"/>
      <c r="C1752" s="146"/>
      <c r="D1752" s="146"/>
      <c r="E1752" s="16"/>
      <c r="F1752" s="91"/>
      <c r="G1752" s="16"/>
      <c r="H1752" s="320" t="str">
        <f t="shared" si="1"/>
        <v/>
      </c>
      <c r="I1752" s="16"/>
      <c r="J1752" s="16"/>
      <c r="K1752" s="16"/>
      <c r="L1752" s="38"/>
      <c r="M1752" s="16"/>
      <c r="N1752" s="16"/>
      <c r="O1752" s="16"/>
      <c r="P1752" s="15"/>
      <c r="Q1752" s="15"/>
      <c r="R1752" s="16"/>
      <c r="S1752" s="16"/>
      <c r="T1752" s="16"/>
      <c r="U1752" s="16"/>
      <c r="V1752" s="37" t="str">
        <f>IFERROR(__xludf.DUMMYFUNCTION("if(not(iserror(index(split(C1752, "" ""),2))), index(split(C1752, "" ""),1),"""")"),"")</f>
        <v/>
      </c>
      <c r="W1752" s="315" t="str">
        <f>IFERROR(__xludf.DUMMYFUNCTION("if(V1752="""",C1752,if(not(iserror(index(split(C1752, "" ""),3))), index(split(C1752, "" ""),3),index(split(C1752, "" ""),2)))"),"")</f>
        <v/>
      </c>
      <c r="X1752" s="38" t="b">
        <f t="shared" si="2"/>
        <v>0</v>
      </c>
      <c r="Y1752" s="38"/>
      <c r="Z1752" s="40"/>
      <c r="AA1752" s="40"/>
      <c r="AB1752" s="38"/>
      <c r="AC1752" s="38"/>
      <c r="AD1752" s="38"/>
      <c r="AE1752" s="38"/>
      <c r="AF1752" s="38"/>
      <c r="AG1752" s="38"/>
      <c r="AH1752" s="38"/>
      <c r="AI1752" s="38"/>
      <c r="AJ1752" s="38"/>
      <c r="AK1752" s="38"/>
      <c r="AL1752" s="38"/>
      <c r="AM1752" s="38"/>
      <c r="AN1752" s="38"/>
      <c r="AO1752" s="38"/>
      <c r="AP1752" s="38"/>
      <c r="AQ1752" s="38"/>
      <c r="AR1752" s="38"/>
      <c r="AS1752" s="38"/>
      <c r="AT1752" s="38"/>
      <c r="AU1752" s="38"/>
      <c r="AV1752" s="38"/>
      <c r="AW1752" s="38"/>
      <c r="AX1752" s="38"/>
      <c r="AY1752" s="38"/>
      <c r="AZ1752" s="38"/>
      <c r="BA1752" s="38"/>
      <c r="BB1752" s="38"/>
      <c r="BC1752" s="38"/>
      <c r="BD1752" s="38"/>
      <c r="BE1752" s="38"/>
      <c r="BF1752" s="38"/>
      <c r="BG1752" s="38"/>
    </row>
    <row r="1753">
      <c r="A1753" s="16"/>
      <c r="B1753" s="16"/>
      <c r="C1753" s="146"/>
      <c r="D1753" s="146"/>
      <c r="E1753" s="16"/>
      <c r="F1753" s="91"/>
      <c r="G1753" s="16"/>
      <c r="H1753" s="320" t="str">
        <f t="shared" si="1"/>
        <v/>
      </c>
      <c r="I1753" s="16"/>
      <c r="J1753" s="16"/>
      <c r="K1753" s="16"/>
      <c r="L1753" s="38"/>
      <c r="M1753" s="16"/>
      <c r="N1753" s="16"/>
      <c r="O1753" s="16"/>
      <c r="P1753" s="15"/>
      <c r="Q1753" s="15"/>
      <c r="R1753" s="16"/>
      <c r="S1753" s="16"/>
      <c r="T1753" s="16"/>
      <c r="U1753" s="16"/>
      <c r="V1753" s="37" t="str">
        <f>IFERROR(__xludf.DUMMYFUNCTION("if(not(iserror(index(split(C1753, "" ""),2))), index(split(C1753, "" ""),1),"""")"),"")</f>
        <v/>
      </c>
      <c r="W1753" s="315" t="str">
        <f>IFERROR(__xludf.DUMMYFUNCTION("if(V1753="""",C1753,if(not(iserror(index(split(C1753, "" ""),3))), index(split(C1753, "" ""),3),index(split(C1753, "" ""),2)))"),"")</f>
        <v/>
      </c>
      <c r="X1753" s="38" t="b">
        <f t="shared" si="2"/>
        <v>0</v>
      </c>
      <c r="Y1753" s="38"/>
      <c r="Z1753" s="40"/>
      <c r="AA1753" s="40"/>
      <c r="AB1753" s="38"/>
      <c r="AC1753" s="38"/>
      <c r="AD1753" s="38"/>
      <c r="AE1753" s="38"/>
      <c r="AF1753" s="38"/>
      <c r="AG1753" s="38"/>
      <c r="AH1753" s="38"/>
      <c r="AI1753" s="38"/>
      <c r="AJ1753" s="38"/>
      <c r="AK1753" s="38"/>
      <c r="AL1753" s="38"/>
      <c r="AM1753" s="38"/>
      <c r="AN1753" s="38"/>
      <c r="AO1753" s="38"/>
      <c r="AP1753" s="38"/>
      <c r="AQ1753" s="38"/>
      <c r="AR1753" s="38"/>
      <c r="AS1753" s="38"/>
      <c r="AT1753" s="38"/>
      <c r="AU1753" s="38"/>
      <c r="AV1753" s="38"/>
      <c r="AW1753" s="38"/>
      <c r="AX1753" s="38"/>
      <c r="AY1753" s="38"/>
      <c r="AZ1753" s="38"/>
      <c r="BA1753" s="38"/>
      <c r="BB1753" s="38"/>
      <c r="BC1753" s="38"/>
      <c r="BD1753" s="38"/>
      <c r="BE1753" s="38"/>
      <c r="BF1753" s="38"/>
      <c r="BG1753" s="38"/>
    </row>
    <row r="1754">
      <c r="A1754" s="16"/>
      <c r="B1754" s="16"/>
      <c r="C1754" s="146"/>
      <c r="D1754" s="146"/>
      <c r="E1754" s="16"/>
      <c r="F1754" s="91"/>
      <c r="G1754" s="16"/>
      <c r="H1754" s="320" t="str">
        <f t="shared" si="1"/>
        <v/>
      </c>
      <c r="I1754" s="16"/>
      <c r="J1754" s="16"/>
      <c r="K1754" s="16"/>
      <c r="L1754" s="38"/>
      <c r="M1754" s="16"/>
      <c r="N1754" s="16"/>
      <c r="O1754" s="16"/>
      <c r="P1754" s="15"/>
      <c r="Q1754" s="15"/>
      <c r="R1754" s="16"/>
      <c r="S1754" s="16"/>
      <c r="T1754" s="16"/>
      <c r="U1754" s="16"/>
      <c r="V1754" s="37" t="str">
        <f>IFERROR(__xludf.DUMMYFUNCTION("if(not(iserror(index(split(C1754, "" ""),2))), index(split(C1754, "" ""),1),"""")"),"")</f>
        <v/>
      </c>
      <c r="W1754" s="315" t="str">
        <f>IFERROR(__xludf.DUMMYFUNCTION("if(V1754="""",C1754,if(not(iserror(index(split(C1754, "" ""),3))), index(split(C1754, "" ""),3),index(split(C1754, "" ""),2)))"),"")</f>
        <v/>
      </c>
      <c r="X1754" s="38" t="b">
        <f t="shared" si="2"/>
        <v>0</v>
      </c>
      <c r="Y1754" s="38"/>
      <c r="Z1754" s="40"/>
      <c r="AA1754" s="40"/>
      <c r="AB1754" s="38"/>
      <c r="AC1754" s="38"/>
      <c r="AD1754" s="38"/>
      <c r="AE1754" s="38"/>
      <c r="AF1754" s="38"/>
      <c r="AG1754" s="38"/>
      <c r="AH1754" s="38"/>
      <c r="AI1754" s="38"/>
      <c r="AJ1754" s="38"/>
      <c r="AK1754" s="38"/>
      <c r="AL1754" s="38"/>
      <c r="AM1754" s="38"/>
      <c r="AN1754" s="38"/>
      <c r="AO1754" s="38"/>
      <c r="AP1754" s="38"/>
      <c r="AQ1754" s="38"/>
      <c r="AR1754" s="38"/>
      <c r="AS1754" s="38"/>
      <c r="AT1754" s="38"/>
      <c r="AU1754" s="38"/>
      <c r="AV1754" s="38"/>
      <c r="AW1754" s="38"/>
      <c r="AX1754" s="38"/>
      <c r="AY1754" s="38"/>
      <c r="AZ1754" s="38"/>
      <c r="BA1754" s="38"/>
      <c r="BB1754" s="38"/>
      <c r="BC1754" s="38"/>
      <c r="BD1754" s="38"/>
      <c r="BE1754" s="38"/>
      <c r="BF1754" s="38"/>
      <c r="BG1754" s="38"/>
    </row>
    <row r="1755">
      <c r="A1755" s="16"/>
      <c r="B1755" s="16"/>
      <c r="C1755" s="146"/>
      <c r="D1755" s="146"/>
      <c r="E1755" s="16"/>
      <c r="F1755" s="91"/>
      <c r="G1755" s="16"/>
      <c r="H1755" s="320" t="str">
        <f t="shared" si="1"/>
        <v/>
      </c>
      <c r="I1755" s="16"/>
      <c r="J1755" s="16"/>
      <c r="K1755" s="16"/>
      <c r="L1755" s="38"/>
      <c r="M1755" s="16"/>
      <c r="N1755" s="16"/>
      <c r="O1755" s="16"/>
      <c r="P1755" s="15"/>
      <c r="Q1755" s="15"/>
      <c r="R1755" s="16"/>
      <c r="S1755" s="16"/>
      <c r="T1755" s="16"/>
      <c r="U1755" s="16"/>
      <c r="V1755" s="37" t="str">
        <f>IFERROR(__xludf.DUMMYFUNCTION("if(not(iserror(index(split(C1755, "" ""),2))), index(split(C1755, "" ""),1),"""")"),"")</f>
        <v/>
      </c>
      <c r="W1755" s="315" t="str">
        <f>IFERROR(__xludf.DUMMYFUNCTION("if(V1755="""",C1755,if(not(iserror(index(split(C1755, "" ""),3))), index(split(C1755, "" ""),3),index(split(C1755, "" ""),2)))"),"")</f>
        <v/>
      </c>
      <c r="X1755" s="38" t="b">
        <f t="shared" si="2"/>
        <v>0</v>
      </c>
      <c r="Y1755" s="38"/>
      <c r="Z1755" s="40"/>
      <c r="AA1755" s="40"/>
      <c r="AB1755" s="38"/>
      <c r="AC1755" s="38"/>
      <c r="AD1755" s="38"/>
      <c r="AE1755" s="38"/>
      <c r="AF1755" s="38"/>
      <c r="AG1755" s="38"/>
      <c r="AH1755" s="38"/>
      <c r="AI1755" s="38"/>
      <c r="AJ1755" s="38"/>
      <c r="AK1755" s="38"/>
      <c r="AL1755" s="38"/>
      <c r="AM1755" s="38"/>
      <c r="AN1755" s="38"/>
      <c r="AO1755" s="38"/>
      <c r="AP1755" s="38"/>
      <c r="AQ1755" s="38"/>
      <c r="AR1755" s="38"/>
      <c r="AS1755" s="38"/>
      <c r="AT1755" s="38"/>
      <c r="AU1755" s="38"/>
      <c r="AV1755" s="38"/>
      <c r="AW1755" s="38"/>
      <c r="AX1755" s="38"/>
      <c r="AY1755" s="38"/>
      <c r="AZ1755" s="38"/>
      <c r="BA1755" s="38"/>
      <c r="BB1755" s="38"/>
      <c r="BC1755" s="38"/>
      <c r="BD1755" s="38"/>
      <c r="BE1755" s="38"/>
      <c r="BF1755" s="38"/>
      <c r="BG1755" s="38"/>
    </row>
    <row r="1756">
      <c r="A1756" s="16"/>
      <c r="B1756" s="16"/>
      <c r="C1756" s="146"/>
      <c r="D1756" s="146"/>
      <c r="E1756" s="16"/>
      <c r="F1756" s="91"/>
      <c r="G1756" s="16"/>
      <c r="H1756" s="320" t="str">
        <f t="shared" si="1"/>
        <v/>
      </c>
      <c r="I1756" s="16"/>
      <c r="J1756" s="16"/>
      <c r="K1756" s="16"/>
      <c r="L1756" s="38"/>
      <c r="M1756" s="16"/>
      <c r="N1756" s="16"/>
      <c r="O1756" s="16"/>
      <c r="P1756" s="15"/>
      <c r="Q1756" s="15"/>
      <c r="R1756" s="16"/>
      <c r="S1756" s="16"/>
      <c r="T1756" s="16"/>
      <c r="U1756" s="16"/>
      <c r="V1756" s="37" t="str">
        <f>IFERROR(__xludf.DUMMYFUNCTION("if(not(iserror(index(split(C1756, "" ""),2))), index(split(C1756, "" ""),1),"""")"),"")</f>
        <v/>
      </c>
      <c r="W1756" s="315" t="str">
        <f>IFERROR(__xludf.DUMMYFUNCTION("if(V1756="""",C1756,if(not(iserror(index(split(C1756, "" ""),3))), index(split(C1756, "" ""),3),index(split(C1756, "" ""),2)))"),"")</f>
        <v/>
      </c>
      <c r="X1756" s="38" t="b">
        <f t="shared" si="2"/>
        <v>0</v>
      </c>
      <c r="Y1756" s="38"/>
      <c r="Z1756" s="40"/>
      <c r="AA1756" s="40"/>
      <c r="AB1756" s="38"/>
      <c r="AC1756" s="38"/>
      <c r="AD1756" s="38"/>
      <c r="AE1756" s="38"/>
      <c r="AF1756" s="38"/>
      <c r="AG1756" s="38"/>
      <c r="AH1756" s="38"/>
      <c r="AI1756" s="38"/>
      <c r="AJ1756" s="38"/>
      <c r="AK1756" s="38"/>
      <c r="AL1756" s="38"/>
      <c r="AM1756" s="38"/>
      <c r="AN1756" s="38"/>
      <c r="AO1756" s="38"/>
      <c r="AP1756" s="38"/>
      <c r="AQ1756" s="38"/>
      <c r="AR1756" s="38"/>
      <c r="AS1756" s="38"/>
      <c r="AT1756" s="38"/>
      <c r="AU1756" s="38"/>
      <c r="AV1756" s="38"/>
      <c r="AW1756" s="38"/>
      <c r="AX1756" s="38"/>
      <c r="AY1756" s="38"/>
      <c r="AZ1756" s="38"/>
      <c r="BA1756" s="38"/>
      <c r="BB1756" s="38"/>
      <c r="BC1756" s="38"/>
      <c r="BD1756" s="38"/>
      <c r="BE1756" s="38"/>
      <c r="BF1756" s="38"/>
      <c r="BG1756" s="38"/>
    </row>
    <row r="1757">
      <c r="A1757" s="16"/>
      <c r="B1757" s="16"/>
      <c r="C1757" s="146"/>
      <c r="D1757" s="146"/>
      <c r="E1757" s="16"/>
      <c r="F1757" s="91"/>
      <c r="G1757" s="16"/>
      <c r="H1757" s="320" t="str">
        <f t="shared" si="1"/>
        <v/>
      </c>
      <c r="I1757" s="16"/>
      <c r="J1757" s="16"/>
      <c r="K1757" s="16"/>
      <c r="L1757" s="38"/>
      <c r="M1757" s="16"/>
      <c r="N1757" s="16"/>
      <c r="O1757" s="16"/>
      <c r="P1757" s="15"/>
      <c r="Q1757" s="15"/>
      <c r="R1757" s="16"/>
      <c r="S1757" s="16"/>
      <c r="T1757" s="16"/>
      <c r="U1757" s="16"/>
      <c r="V1757" s="37" t="str">
        <f>IFERROR(__xludf.DUMMYFUNCTION("if(not(iserror(index(split(C1757, "" ""),2))), index(split(C1757, "" ""),1),"""")"),"")</f>
        <v/>
      </c>
      <c r="W1757" s="315" t="str">
        <f>IFERROR(__xludf.DUMMYFUNCTION("if(V1757="""",C1757,if(not(iserror(index(split(C1757, "" ""),3))), index(split(C1757, "" ""),3),index(split(C1757, "" ""),2)))"),"")</f>
        <v/>
      </c>
      <c r="X1757" s="38" t="b">
        <f t="shared" si="2"/>
        <v>0</v>
      </c>
      <c r="Y1757" s="38"/>
      <c r="Z1757" s="40"/>
      <c r="AA1757" s="40"/>
      <c r="AB1757" s="38"/>
      <c r="AC1757" s="38"/>
      <c r="AD1757" s="38"/>
      <c r="AE1757" s="38"/>
      <c r="AF1757" s="38"/>
      <c r="AG1757" s="38"/>
      <c r="AH1757" s="38"/>
      <c r="AI1757" s="38"/>
      <c r="AJ1757" s="38"/>
      <c r="AK1757" s="38"/>
      <c r="AL1757" s="38"/>
      <c r="AM1757" s="38"/>
      <c r="AN1757" s="38"/>
      <c r="AO1757" s="38"/>
      <c r="AP1757" s="38"/>
      <c r="AQ1757" s="38"/>
      <c r="AR1757" s="38"/>
      <c r="AS1757" s="38"/>
      <c r="AT1757" s="38"/>
      <c r="AU1757" s="38"/>
      <c r="AV1757" s="38"/>
      <c r="AW1757" s="38"/>
      <c r="AX1757" s="38"/>
      <c r="AY1757" s="38"/>
      <c r="AZ1757" s="38"/>
      <c r="BA1757" s="38"/>
      <c r="BB1757" s="38"/>
      <c r="BC1757" s="38"/>
      <c r="BD1757" s="38"/>
      <c r="BE1757" s="38"/>
      <c r="BF1757" s="38"/>
      <c r="BG1757" s="38"/>
    </row>
    <row r="1758">
      <c r="A1758" s="16"/>
      <c r="B1758" s="16"/>
      <c r="C1758" s="146"/>
      <c r="D1758" s="146"/>
      <c r="E1758" s="16"/>
      <c r="F1758" s="91"/>
      <c r="G1758" s="16"/>
      <c r="H1758" s="320" t="str">
        <f t="shared" si="1"/>
        <v/>
      </c>
      <c r="I1758" s="16"/>
      <c r="J1758" s="16"/>
      <c r="K1758" s="16"/>
      <c r="L1758" s="38"/>
      <c r="M1758" s="16"/>
      <c r="N1758" s="16"/>
      <c r="O1758" s="16"/>
      <c r="P1758" s="15"/>
      <c r="Q1758" s="15"/>
      <c r="R1758" s="16"/>
      <c r="S1758" s="16"/>
      <c r="T1758" s="16"/>
      <c r="U1758" s="16"/>
      <c r="V1758" s="37" t="str">
        <f>IFERROR(__xludf.DUMMYFUNCTION("if(not(iserror(index(split(C1758, "" ""),2))), index(split(C1758, "" ""),1),"""")"),"")</f>
        <v/>
      </c>
      <c r="W1758" s="315" t="str">
        <f>IFERROR(__xludf.DUMMYFUNCTION("if(V1758="""",C1758,if(not(iserror(index(split(C1758, "" ""),3))), index(split(C1758, "" ""),3),index(split(C1758, "" ""),2)))"),"")</f>
        <v/>
      </c>
      <c r="X1758" s="38" t="b">
        <f t="shared" si="2"/>
        <v>0</v>
      </c>
      <c r="Y1758" s="38"/>
      <c r="Z1758" s="40"/>
      <c r="AA1758" s="40"/>
      <c r="AB1758" s="38"/>
      <c r="AC1758" s="38"/>
      <c r="AD1758" s="38"/>
      <c r="AE1758" s="38"/>
      <c r="AF1758" s="38"/>
      <c r="AG1758" s="38"/>
      <c r="AH1758" s="38"/>
      <c r="AI1758" s="38"/>
      <c r="AJ1758" s="38"/>
      <c r="AK1758" s="38"/>
      <c r="AL1758" s="38"/>
      <c r="AM1758" s="38"/>
      <c r="AN1758" s="38"/>
      <c r="AO1758" s="38"/>
      <c r="AP1758" s="38"/>
      <c r="AQ1758" s="38"/>
      <c r="AR1758" s="38"/>
      <c r="AS1758" s="38"/>
      <c r="AT1758" s="38"/>
      <c r="AU1758" s="38"/>
      <c r="AV1758" s="38"/>
      <c r="AW1758" s="38"/>
      <c r="AX1758" s="38"/>
      <c r="AY1758" s="38"/>
      <c r="AZ1758" s="38"/>
      <c r="BA1758" s="38"/>
      <c r="BB1758" s="38"/>
      <c r="BC1758" s="38"/>
      <c r="BD1758" s="38"/>
      <c r="BE1758" s="38"/>
      <c r="BF1758" s="38"/>
      <c r="BG1758" s="38"/>
    </row>
    <row r="1759">
      <c r="A1759" s="16"/>
      <c r="B1759" s="16"/>
      <c r="C1759" s="146"/>
      <c r="D1759" s="146"/>
      <c r="E1759" s="16"/>
      <c r="F1759" s="91"/>
      <c r="G1759" s="16"/>
      <c r="H1759" s="320" t="str">
        <f t="shared" si="1"/>
        <v/>
      </c>
      <c r="I1759" s="16"/>
      <c r="J1759" s="16"/>
      <c r="K1759" s="16"/>
      <c r="L1759" s="38"/>
      <c r="M1759" s="16"/>
      <c r="N1759" s="16"/>
      <c r="O1759" s="16"/>
      <c r="P1759" s="15"/>
      <c r="Q1759" s="15"/>
      <c r="R1759" s="16"/>
      <c r="S1759" s="16"/>
      <c r="T1759" s="16"/>
      <c r="U1759" s="16"/>
      <c r="V1759" s="37" t="str">
        <f>IFERROR(__xludf.DUMMYFUNCTION("if(not(iserror(index(split(C1759, "" ""),2))), index(split(C1759, "" ""),1),"""")"),"")</f>
        <v/>
      </c>
      <c r="W1759" s="315" t="str">
        <f>IFERROR(__xludf.DUMMYFUNCTION("if(V1759="""",C1759,if(not(iserror(index(split(C1759, "" ""),3))), index(split(C1759, "" ""),3),index(split(C1759, "" ""),2)))"),"")</f>
        <v/>
      </c>
      <c r="X1759" s="38" t="b">
        <f t="shared" si="2"/>
        <v>0</v>
      </c>
      <c r="Y1759" s="38"/>
      <c r="Z1759" s="40"/>
      <c r="AA1759" s="40"/>
      <c r="AB1759" s="38"/>
      <c r="AC1759" s="38"/>
      <c r="AD1759" s="38"/>
      <c r="AE1759" s="38"/>
      <c r="AF1759" s="38"/>
      <c r="AG1759" s="38"/>
      <c r="AH1759" s="38"/>
      <c r="AI1759" s="38"/>
      <c r="AJ1759" s="38"/>
      <c r="AK1759" s="38"/>
      <c r="AL1759" s="38"/>
      <c r="AM1759" s="38"/>
      <c r="AN1759" s="38"/>
      <c r="AO1759" s="38"/>
      <c r="AP1759" s="38"/>
      <c r="AQ1759" s="38"/>
      <c r="AR1759" s="38"/>
      <c r="AS1759" s="38"/>
      <c r="AT1759" s="38"/>
      <c r="AU1759" s="38"/>
      <c r="AV1759" s="38"/>
      <c r="AW1759" s="38"/>
      <c r="AX1759" s="38"/>
      <c r="AY1759" s="38"/>
      <c r="AZ1759" s="38"/>
      <c r="BA1759" s="38"/>
      <c r="BB1759" s="38"/>
      <c r="BC1759" s="38"/>
      <c r="BD1759" s="38"/>
      <c r="BE1759" s="38"/>
      <c r="BF1759" s="38"/>
      <c r="BG1759" s="38"/>
    </row>
    <row r="1760">
      <c r="A1760" s="16"/>
      <c r="B1760" s="16"/>
      <c r="C1760" s="146"/>
      <c r="D1760" s="146"/>
      <c r="E1760" s="16"/>
      <c r="F1760" s="91"/>
      <c r="G1760" s="16"/>
      <c r="H1760" s="320" t="str">
        <f t="shared" si="1"/>
        <v/>
      </c>
      <c r="I1760" s="16"/>
      <c r="J1760" s="16"/>
      <c r="K1760" s="16"/>
      <c r="L1760" s="38"/>
      <c r="M1760" s="16"/>
      <c r="N1760" s="16"/>
      <c r="O1760" s="16"/>
      <c r="P1760" s="15"/>
      <c r="Q1760" s="15"/>
      <c r="R1760" s="16"/>
      <c r="S1760" s="16"/>
      <c r="T1760" s="16"/>
      <c r="U1760" s="16"/>
      <c r="V1760" s="37" t="str">
        <f>IFERROR(__xludf.DUMMYFUNCTION("if(not(iserror(index(split(C1760, "" ""),2))), index(split(C1760, "" ""),1),"""")"),"")</f>
        <v/>
      </c>
      <c r="W1760" s="315" t="str">
        <f>IFERROR(__xludf.DUMMYFUNCTION("if(V1760="""",C1760,if(not(iserror(index(split(C1760, "" ""),3))), index(split(C1760, "" ""),3),index(split(C1760, "" ""),2)))"),"")</f>
        <v/>
      </c>
      <c r="X1760" s="38" t="b">
        <f t="shared" si="2"/>
        <v>0</v>
      </c>
      <c r="Y1760" s="38"/>
      <c r="Z1760" s="40"/>
      <c r="AA1760" s="40"/>
      <c r="AB1760" s="38"/>
      <c r="AC1760" s="38"/>
      <c r="AD1760" s="38"/>
      <c r="AE1760" s="38"/>
      <c r="AF1760" s="38"/>
      <c r="AG1760" s="38"/>
      <c r="AH1760" s="38"/>
      <c r="AI1760" s="38"/>
      <c r="AJ1760" s="38"/>
      <c r="AK1760" s="38"/>
      <c r="AL1760" s="38"/>
      <c r="AM1760" s="38"/>
      <c r="AN1760" s="38"/>
      <c r="AO1760" s="38"/>
      <c r="AP1760" s="38"/>
      <c r="AQ1760" s="38"/>
      <c r="AR1760" s="38"/>
      <c r="AS1760" s="38"/>
      <c r="AT1760" s="38"/>
      <c r="AU1760" s="38"/>
      <c r="AV1760" s="38"/>
      <c r="AW1760" s="38"/>
      <c r="AX1760" s="38"/>
      <c r="AY1760" s="38"/>
      <c r="AZ1760" s="38"/>
      <c r="BA1760" s="38"/>
      <c r="BB1760" s="38"/>
      <c r="BC1760" s="38"/>
      <c r="BD1760" s="38"/>
      <c r="BE1760" s="38"/>
      <c r="BF1760" s="38"/>
      <c r="BG1760" s="38"/>
    </row>
    <row r="1761">
      <c r="A1761" s="16"/>
      <c r="B1761" s="16"/>
      <c r="C1761" s="146"/>
      <c r="D1761" s="146"/>
      <c r="E1761" s="16"/>
      <c r="F1761" s="91"/>
      <c r="G1761" s="16"/>
      <c r="H1761" s="320" t="str">
        <f t="shared" si="1"/>
        <v/>
      </c>
      <c r="I1761" s="16"/>
      <c r="J1761" s="16"/>
      <c r="K1761" s="16"/>
      <c r="L1761" s="38"/>
      <c r="M1761" s="16"/>
      <c r="N1761" s="16"/>
      <c r="O1761" s="16"/>
      <c r="P1761" s="15"/>
      <c r="Q1761" s="15"/>
      <c r="R1761" s="16"/>
      <c r="S1761" s="16"/>
      <c r="T1761" s="16"/>
      <c r="U1761" s="16"/>
      <c r="V1761" s="37" t="str">
        <f>IFERROR(__xludf.DUMMYFUNCTION("if(not(iserror(index(split(C1761, "" ""),2))), index(split(C1761, "" ""),1),"""")"),"")</f>
        <v/>
      </c>
      <c r="W1761" s="315" t="str">
        <f>IFERROR(__xludf.DUMMYFUNCTION("if(V1761="""",C1761,if(not(iserror(index(split(C1761, "" ""),3))), index(split(C1761, "" ""),3),index(split(C1761, "" ""),2)))"),"")</f>
        <v/>
      </c>
      <c r="X1761" s="38" t="b">
        <f t="shared" si="2"/>
        <v>0</v>
      </c>
      <c r="Y1761" s="38"/>
      <c r="Z1761" s="40"/>
      <c r="AA1761" s="40"/>
      <c r="AB1761" s="38"/>
      <c r="AC1761" s="38"/>
      <c r="AD1761" s="38"/>
      <c r="AE1761" s="38"/>
      <c r="AF1761" s="38"/>
      <c r="AG1761" s="38"/>
      <c r="AH1761" s="38"/>
      <c r="AI1761" s="38"/>
      <c r="AJ1761" s="38"/>
      <c r="AK1761" s="38"/>
      <c r="AL1761" s="38"/>
      <c r="AM1761" s="38"/>
      <c r="AN1761" s="38"/>
      <c r="AO1761" s="38"/>
      <c r="AP1761" s="38"/>
      <c r="AQ1761" s="38"/>
      <c r="AR1761" s="38"/>
      <c r="AS1761" s="38"/>
      <c r="AT1761" s="38"/>
      <c r="AU1761" s="38"/>
      <c r="AV1761" s="38"/>
      <c r="AW1761" s="38"/>
      <c r="AX1761" s="38"/>
      <c r="AY1761" s="38"/>
      <c r="AZ1761" s="38"/>
      <c r="BA1761" s="38"/>
      <c r="BB1761" s="38"/>
      <c r="BC1761" s="38"/>
      <c r="BD1761" s="38"/>
      <c r="BE1761" s="38"/>
      <c r="BF1761" s="38"/>
      <c r="BG1761" s="38"/>
    </row>
    <row r="1762">
      <c r="A1762" s="16"/>
      <c r="B1762" s="16"/>
      <c r="C1762" s="146"/>
      <c r="D1762" s="146"/>
      <c r="E1762" s="16"/>
      <c r="F1762" s="91"/>
      <c r="G1762" s="16"/>
      <c r="H1762" s="320" t="str">
        <f t="shared" si="1"/>
        <v/>
      </c>
      <c r="I1762" s="16"/>
      <c r="J1762" s="16"/>
      <c r="K1762" s="16"/>
      <c r="L1762" s="38"/>
      <c r="M1762" s="16"/>
      <c r="N1762" s="16"/>
      <c r="O1762" s="16"/>
      <c r="P1762" s="15"/>
      <c r="Q1762" s="15"/>
      <c r="R1762" s="16"/>
      <c r="S1762" s="16"/>
      <c r="T1762" s="16"/>
      <c r="U1762" s="16"/>
      <c r="V1762" s="37" t="str">
        <f>IFERROR(__xludf.DUMMYFUNCTION("if(not(iserror(index(split(C1762, "" ""),2))), index(split(C1762, "" ""),1),"""")"),"")</f>
        <v/>
      </c>
      <c r="W1762" s="315" t="str">
        <f>IFERROR(__xludf.DUMMYFUNCTION("if(V1762="""",C1762,if(not(iserror(index(split(C1762, "" ""),3))), index(split(C1762, "" ""),3),index(split(C1762, "" ""),2)))"),"")</f>
        <v/>
      </c>
      <c r="X1762" s="38" t="b">
        <f t="shared" si="2"/>
        <v>0</v>
      </c>
      <c r="Y1762" s="38"/>
      <c r="Z1762" s="40"/>
      <c r="AA1762" s="40"/>
      <c r="AB1762" s="38"/>
      <c r="AC1762" s="38"/>
      <c r="AD1762" s="38"/>
      <c r="AE1762" s="38"/>
      <c r="AF1762" s="38"/>
      <c r="AG1762" s="38"/>
      <c r="AH1762" s="38"/>
      <c r="AI1762" s="38"/>
      <c r="AJ1762" s="38"/>
      <c r="AK1762" s="38"/>
      <c r="AL1762" s="38"/>
      <c r="AM1762" s="38"/>
      <c r="AN1762" s="38"/>
      <c r="AO1762" s="38"/>
      <c r="AP1762" s="38"/>
      <c r="AQ1762" s="38"/>
      <c r="AR1762" s="38"/>
      <c r="AS1762" s="38"/>
      <c r="AT1762" s="38"/>
      <c r="AU1762" s="38"/>
      <c r="AV1762" s="38"/>
      <c r="AW1762" s="38"/>
      <c r="AX1762" s="38"/>
      <c r="AY1762" s="38"/>
      <c r="AZ1762" s="38"/>
      <c r="BA1762" s="38"/>
      <c r="BB1762" s="38"/>
      <c r="BC1762" s="38"/>
      <c r="BD1762" s="38"/>
      <c r="BE1762" s="38"/>
      <c r="BF1762" s="38"/>
      <c r="BG1762" s="38"/>
    </row>
    <row r="1763">
      <c r="A1763" s="16"/>
      <c r="B1763" s="16"/>
      <c r="C1763" s="146"/>
      <c r="D1763" s="146"/>
      <c r="E1763" s="16"/>
      <c r="F1763" s="91"/>
      <c r="G1763" s="16"/>
      <c r="H1763" s="320" t="str">
        <f t="shared" si="1"/>
        <v/>
      </c>
      <c r="I1763" s="16"/>
      <c r="J1763" s="16"/>
      <c r="K1763" s="16"/>
      <c r="L1763" s="38"/>
      <c r="M1763" s="16"/>
      <c r="N1763" s="16"/>
      <c r="O1763" s="16"/>
      <c r="P1763" s="15"/>
      <c r="Q1763" s="15"/>
      <c r="R1763" s="16"/>
      <c r="S1763" s="16"/>
      <c r="T1763" s="16"/>
      <c r="U1763" s="16"/>
      <c r="V1763" s="37" t="str">
        <f>IFERROR(__xludf.DUMMYFUNCTION("if(not(iserror(index(split(C1763, "" ""),2))), index(split(C1763, "" ""),1),"""")"),"")</f>
        <v/>
      </c>
      <c r="W1763" s="315" t="str">
        <f>IFERROR(__xludf.DUMMYFUNCTION("if(V1763="""",C1763,if(not(iserror(index(split(C1763, "" ""),3))), index(split(C1763, "" ""),3),index(split(C1763, "" ""),2)))"),"")</f>
        <v/>
      </c>
      <c r="X1763" s="38" t="b">
        <f t="shared" si="2"/>
        <v>0</v>
      </c>
      <c r="Y1763" s="38"/>
      <c r="Z1763" s="40"/>
      <c r="AA1763" s="40"/>
      <c r="AB1763" s="38"/>
      <c r="AC1763" s="38"/>
      <c r="AD1763" s="38"/>
      <c r="AE1763" s="38"/>
      <c r="AF1763" s="38"/>
      <c r="AG1763" s="38"/>
      <c r="AH1763" s="38"/>
      <c r="AI1763" s="38"/>
      <c r="AJ1763" s="38"/>
      <c r="AK1763" s="38"/>
      <c r="AL1763" s="38"/>
      <c r="AM1763" s="38"/>
      <c r="AN1763" s="38"/>
      <c r="AO1763" s="38"/>
      <c r="AP1763" s="38"/>
      <c r="AQ1763" s="38"/>
      <c r="AR1763" s="38"/>
      <c r="AS1763" s="38"/>
      <c r="AT1763" s="38"/>
      <c r="AU1763" s="38"/>
      <c r="AV1763" s="38"/>
      <c r="AW1763" s="38"/>
      <c r="AX1763" s="38"/>
      <c r="AY1763" s="38"/>
      <c r="AZ1763" s="38"/>
      <c r="BA1763" s="38"/>
      <c r="BB1763" s="38"/>
      <c r="BC1763" s="38"/>
      <c r="BD1763" s="38"/>
      <c r="BE1763" s="38"/>
      <c r="BF1763" s="38"/>
      <c r="BG1763" s="38"/>
    </row>
    <row r="1764">
      <c r="A1764" s="16"/>
      <c r="B1764" s="16"/>
      <c r="C1764" s="146"/>
      <c r="D1764" s="146"/>
      <c r="E1764" s="16"/>
      <c r="F1764" s="91"/>
      <c r="G1764" s="16"/>
      <c r="H1764" s="320" t="str">
        <f t="shared" si="1"/>
        <v/>
      </c>
      <c r="I1764" s="16"/>
      <c r="J1764" s="16"/>
      <c r="K1764" s="16"/>
      <c r="L1764" s="38"/>
      <c r="M1764" s="16"/>
      <c r="N1764" s="16"/>
      <c r="O1764" s="16"/>
      <c r="P1764" s="15"/>
      <c r="Q1764" s="15"/>
      <c r="R1764" s="16"/>
      <c r="S1764" s="16"/>
      <c r="T1764" s="16"/>
      <c r="U1764" s="16"/>
      <c r="V1764" s="37" t="str">
        <f>IFERROR(__xludf.DUMMYFUNCTION("if(not(iserror(index(split(C1764, "" ""),2))), index(split(C1764, "" ""),1),"""")"),"")</f>
        <v/>
      </c>
      <c r="W1764" s="315" t="str">
        <f>IFERROR(__xludf.DUMMYFUNCTION("if(V1764="""",C1764,if(not(iserror(index(split(C1764, "" ""),3))), index(split(C1764, "" ""),3),index(split(C1764, "" ""),2)))"),"")</f>
        <v/>
      </c>
      <c r="X1764" s="38" t="b">
        <f t="shared" si="2"/>
        <v>0</v>
      </c>
      <c r="Y1764" s="38"/>
      <c r="Z1764" s="40"/>
      <c r="AA1764" s="40"/>
      <c r="AB1764" s="38"/>
      <c r="AC1764" s="38"/>
      <c r="AD1764" s="38"/>
      <c r="AE1764" s="38"/>
      <c r="AF1764" s="38"/>
      <c r="AG1764" s="38"/>
      <c r="AH1764" s="38"/>
      <c r="AI1764" s="38"/>
      <c r="AJ1764" s="38"/>
      <c r="AK1764" s="38"/>
      <c r="AL1764" s="38"/>
      <c r="AM1764" s="38"/>
      <c r="AN1764" s="38"/>
      <c r="AO1764" s="38"/>
      <c r="AP1764" s="38"/>
      <c r="AQ1764" s="38"/>
      <c r="AR1764" s="38"/>
      <c r="AS1764" s="38"/>
      <c r="AT1764" s="38"/>
      <c r="AU1764" s="38"/>
      <c r="AV1764" s="38"/>
      <c r="AW1764" s="38"/>
      <c r="AX1764" s="38"/>
      <c r="AY1764" s="38"/>
      <c r="AZ1764" s="38"/>
      <c r="BA1764" s="38"/>
      <c r="BB1764" s="38"/>
      <c r="BC1764" s="38"/>
      <c r="BD1764" s="38"/>
      <c r="BE1764" s="38"/>
      <c r="BF1764" s="38"/>
      <c r="BG1764" s="38"/>
    </row>
    <row r="1765">
      <c r="A1765" s="16"/>
      <c r="B1765" s="16"/>
      <c r="C1765" s="146"/>
      <c r="D1765" s="146"/>
      <c r="E1765" s="16"/>
      <c r="F1765" s="91"/>
      <c r="G1765" s="16"/>
      <c r="H1765" s="320" t="str">
        <f t="shared" si="1"/>
        <v/>
      </c>
      <c r="I1765" s="16"/>
      <c r="J1765" s="16"/>
      <c r="K1765" s="16"/>
      <c r="L1765" s="38"/>
      <c r="M1765" s="16"/>
      <c r="N1765" s="16"/>
      <c r="O1765" s="16"/>
      <c r="P1765" s="15"/>
      <c r="Q1765" s="15"/>
      <c r="R1765" s="16"/>
      <c r="S1765" s="16"/>
      <c r="T1765" s="16"/>
      <c r="U1765" s="16"/>
      <c r="V1765" s="37" t="str">
        <f>IFERROR(__xludf.DUMMYFUNCTION("if(not(iserror(index(split(C1765, "" ""),2))), index(split(C1765, "" ""),1),"""")"),"")</f>
        <v/>
      </c>
      <c r="W1765" s="315" t="str">
        <f>IFERROR(__xludf.DUMMYFUNCTION("if(V1765="""",C1765,if(not(iserror(index(split(C1765, "" ""),3))), index(split(C1765, "" ""),3),index(split(C1765, "" ""),2)))"),"")</f>
        <v/>
      </c>
      <c r="X1765" s="38" t="b">
        <f t="shared" si="2"/>
        <v>0</v>
      </c>
      <c r="Y1765" s="38"/>
      <c r="Z1765" s="40"/>
      <c r="AA1765" s="40"/>
      <c r="AB1765" s="38"/>
      <c r="AC1765" s="38"/>
      <c r="AD1765" s="38"/>
      <c r="AE1765" s="38"/>
      <c r="AF1765" s="38"/>
      <c r="AG1765" s="38"/>
      <c r="AH1765" s="38"/>
      <c r="AI1765" s="38"/>
      <c r="AJ1765" s="38"/>
      <c r="AK1765" s="38"/>
      <c r="AL1765" s="38"/>
      <c r="AM1765" s="38"/>
      <c r="AN1765" s="38"/>
      <c r="AO1765" s="38"/>
      <c r="AP1765" s="38"/>
      <c r="AQ1765" s="38"/>
      <c r="AR1765" s="38"/>
      <c r="AS1765" s="38"/>
      <c r="AT1765" s="38"/>
      <c r="AU1765" s="38"/>
      <c r="AV1765" s="38"/>
      <c r="AW1765" s="38"/>
      <c r="AX1765" s="38"/>
      <c r="AY1765" s="38"/>
      <c r="AZ1765" s="38"/>
      <c r="BA1765" s="38"/>
      <c r="BB1765" s="38"/>
      <c r="BC1765" s="38"/>
      <c r="BD1765" s="38"/>
      <c r="BE1765" s="38"/>
      <c r="BF1765" s="38"/>
      <c r="BG1765" s="38"/>
    </row>
    <row r="1766">
      <c r="A1766" s="16"/>
      <c r="B1766" s="16"/>
      <c r="C1766" s="146"/>
      <c r="D1766" s="146"/>
      <c r="E1766" s="16"/>
      <c r="F1766" s="91"/>
      <c r="G1766" s="16"/>
      <c r="H1766" s="320" t="str">
        <f t="shared" si="1"/>
        <v/>
      </c>
      <c r="I1766" s="16"/>
      <c r="J1766" s="16"/>
      <c r="K1766" s="16"/>
      <c r="L1766" s="38"/>
      <c r="M1766" s="16"/>
      <c r="N1766" s="16"/>
      <c r="O1766" s="16"/>
      <c r="P1766" s="15"/>
      <c r="Q1766" s="15"/>
      <c r="R1766" s="16"/>
      <c r="S1766" s="16"/>
      <c r="T1766" s="16"/>
      <c r="U1766" s="16"/>
      <c r="V1766" s="37" t="str">
        <f>IFERROR(__xludf.DUMMYFUNCTION("if(not(iserror(index(split(C1766, "" ""),2))), index(split(C1766, "" ""),1),"""")"),"")</f>
        <v/>
      </c>
      <c r="W1766" s="315" t="str">
        <f>IFERROR(__xludf.DUMMYFUNCTION("if(V1766="""",C1766,if(not(iserror(index(split(C1766, "" ""),3))), index(split(C1766, "" ""),3),index(split(C1766, "" ""),2)))"),"")</f>
        <v/>
      </c>
      <c r="X1766" s="38" t="b">
        <f t="shared" si="2"/>
        <v>0</v>
      </c>
      <c r="Y1766" s="38"/>
      <c r="Z1766" s="40"/>
      <c r="AA1766" s="40"/>
      <c r="AB1766" s="38"/>
      <c r="AC1766" s="38"/>
      <c r="AD1766" s="38"/>
      <c r="AE1766" s="38"/>
      <c r="AF1766" s="38"/>
      <c r="AG1766" s="38"/>
      <c r="AH1766" s="38"/>
      <c r="AI1766" s="38"/>
      <c r="AJ1766" s="38"/>
      <c r="AK1766" s="38"/>
      <c r="AL1766" s="38"/>
      <c r="AM1766" s="38"/>
      <c r="AN1766" s="38"/>
      <c r="AO1766" s="38"/>
      <c r="AP1766" s="38"/>
      <c r="AQ1766" s="38"/>
      <c r="AR1766" s="38"/>
      <c r="AS1766" s="38"/>
      <c r="AT1766" s="38"/>
      <c r="AU1766" s="38"/>
      <c r="AV1766" s="38"/>
      <c r="AW1766" s="38"/>
      <c r="AX1766" s="38"/>
      <c r="AY1766" s="38"/>
      <c r="AZ1766" s="38"/>
      <c r="BA1766" s="38"/>
      <c r="BB1766" s="38"/>
      <c r="BC1766" s="38"/>
      <c r="BD1766" s="38"/>
      <c r="BE1766" s="38"/>
      <c r="BF1766" s="38"/>
      <c r="BG1766" s="38"/>
    </row>
    <row r="1767">
      <c r="A1767" s="16"/>
      <c r="B1767" s="16"/>
      <c r="C1767" s="146"/>
      <c r="D1767" s="146"/>
      <c r="E1767" s="16"/>
      <c r="F1767" s="91"/>
      <c r="G1767" s="16"/>
      <c r="H1767" s="320" t="str">
        <f t="shared" si="1"/>
        <v/>
      </c>
      <c r="I1767" s="16"/>
      <c r="J1767" s="16"/>
      <c r="K1767" s="16"/>
      <c r="L1767" s="38"/>
      <c r="M1767" s="16"/>
      <c r="N1767" s="16"/>
      <c r="O1767" s="16"/>
      <c r="P1767" s="15"/>
      <c r="Q1767" s="15"/>
      <c r="R1767" s="16"/>
      <c r="S1767" s="16"/>
      <c r="T1767" s="16"/>
      <c r="U1767" s="16"/>
      <c r="V1767" s="37" t="str">
        <f>IFERROR(__xludf.DUMMYFUNCTION("if(not(iserror(index(split(C1767, "" ""),2))), index(split(C1767, "" ""),1),"""")"),"")</f>
        <v/>
      </c>
      <c r="W1767" s="315" t="str">
        <f>IFERROR(__xludf.DUMMYFUNCTION("if(V1767="""",C1767,if(not(iserror(index(split(C1767, "" ""),3))), index(split(C1767, "" ""),3),index(split(C1767, "" ""),2)))"),"")</f>
        <v/>
      </c>
      <c r="X1767" s="38" t="b">
        <f t="shared" si="2"/>
        <v>0</v>
      </c>
      <c r="Y1767" s="38"/>
      <c r="Z1767" s="40"/>
      <c r="AA1767" s="40"/>
      <c r="AB1767" s="38"/>
      <c r="AC1767" s="38"/>
      <c r="AD1767" s="38"/>
      <c r="AE1767" s="38"/>
      <c r="AF1767" s="38"/>
      <c r="AG1767" s="38"/>
      <c r="AH1767" s="38"/>
      <c r="AI1767" s="38"/>
      <c r="AJ1767" s="38"/>
      <c r="AK1767" s="38"/>
      <c r="AL1767" s="38"/>
      <c r="AM1767" s="38"/>
      <c r="AN1767" s="38"/>
      <c r="AO1767" s="38"/>
      <c r="AP1767" s="38"/>
      <c r="AQ1767" s="38"/>
      <c r="AR1767" s="38"/>
      <c r="AS1767" s="38"/>
      <c r="AT1767" s="38"/>
      <c r="AU1767" s="38"/>
      <c r="AV1767" s="38"/>
      <c r="AW1767" s="38"/>
      <c r="AX1767" s="38"/>
      <c r="AY1767" s="38"/>
      <c r="AZ1767" s="38"/>
      <c r="BA1767" s="38"/>
      <c r="BB1767" s="38"/>
      <c r="BC1767" s="38"/>
      <c r="BD1767" s="38"/>
      <c r="BE1767" s="38"/>
      <c r="BF1767" s="38"/>
      <c r="BG1767" s="38"/>
    </row>
    <row r="1768">
      <c r="A1768" s="16"/>
      <c r="B1768" s="16"/>
      <c r="C1768" s="146"/>
      <c r="D1768" s="146"/>
      <c r="E1768" s="16"/>
      <c r="F1768" s="91"/>
      <c r="G1768" s="16"/>
      <c r="H1768" s="320" t="str">
        <f t="shared" si="1"/>
        <v/>
      </c>
      <c r="I1768" s="16"/>
      <c r="J1768" s="16"/>
      <c r="K1768" s="16"/>
      <c r="L1768" s="38"/>
      <c r="M1768" s="16"/>
      <c r="N1768" s="16"/>
      <c r="O1768" s="16"/>
      <c r="P1768" s="15"/>
      <c r="Q1768" s="15"/>
      <c r="R1768" s="16"/>
      <c r="S1768" s="16"/>
      <c r="T1768" s="16"/>
      <c r="U1768" s="16"/>
      <c r="V1768" s="37" t="str">
        <f>IFERROR(__xludf.DUMMYFUNCTION("if(not(iserror(index(split(C1768, "" ""),2))), index(split(C1768, "" ""),1),"""")"),"")</f>
        <v/>
      </c>
      <c r="W1768" s="315" t="str">
        <f>IFERROR(__xludf.DUMMYFUNCTION("if(V1768="""",C1768,if(not(iserror(index(split(C1768, "" ""),3))), index(split(C1768, "" ""),3),index(split(C1768, "" ""),2)))"),"")</f>
        <v/>
      </c>
      <c r="X1768" s="38" t="b">
        <f t="shared" si="2"/>
        <v>0</v>
      </c>
      <c r="Y1768" s="38"/>
      <c r="Z1768" s="40"/>
      <c r="AA1768" s="40"/>
      <c r="AB1768" s="38"/>
      <c r="AC1768" s="38"/>
      <c r="AD1768" s="38"/>
      <c r="AE1768" s="38"/>
      <c r="AF1768" s="38"/>
      <c r="AG1768" s="38"/>
      <c r="AH1768" s="38"/>
      <c r="AI1768" s="38"/>
      <c r="AJ1768" s="38"/>
      <c r="AK1768" s="38"/>
      <c r="AL1768" s="38"/>
      <c r="AM1768" s="38"/>
      <c r="AN1768" s="38"/>
      <c r="AO1768" s="38"/>
      <c r="AP1768" s="38"/>
      <c r="AQ1768" s="38"/>
      <c r="AR1768" s="38"/>
      <c r="AS1768" s="38"/>
      <c r="AT1768" s="38"/>
      <c r="AU1768" s="38"/>
      <c r="AV1768" s="38"/>
      <c r="AW1768" s="38"/>
      <c r="AX1768" s="38"/>
      <c r="AY1768" s="38"/>
      <c r="AZ1768" s="38"/>
      <c r="BA1768" s="38"/>
      <c r="BB1768" s="38"/>
      <c r="BC1768" s="38"/>
      <c r="BD1768" s="38"/>
      <c r="BE1768" s="38"/>
      <c r="BF1768" s="38"/>
      <c r="BG1768" s="38"/>
    </row>
    <row r="1769">
      <c r="A1769" s="16"/>
      <c r="B1769" s="16"/>
      <c r="C1769" s="146"/>
      <c r="D1769" s="146"/>
      <c r="E1769" s="16"/>
      <c r="F1769" s="91"/>
      <c r="G1769" s="16"/>
      <c r="H1769" s="320" t="str">
        <f t="shared" si="1"/>
        <v/>
      </c>
      <c r="I1769" s="16"/>
      <c r="J1769" s="16"/>
      <c r="K1769" s="16"/>
      <c r="L1769" s="38"/>
      <c r="M1769" s="16"/>
      <c r="N1769" s="16"/>
      <c r="O1769" s="16"/>
      <c r="P1769" s="15"/>
      <c r="Q1769" s="15"/>
      <c r="R1769" s="16"/>
      <c r="S1769" s="16"/>
      <c r="T1769" s="16"/>
      <c r="U1769" s="16"/>
      <c r="V1769" s="37" t="str">
        <f>IFERROR(__xludf.DUMMYFUNCTION("if(not(iserror(index(split(C1769, "" ""),2))), index(split(C1769, "" ""),1),"""")"),"")</f>
        <v/>
      </c>
      <c r="W1769" s="315" t="str">
        <f>IFERROR(__xludf.DUMMYFUNCTION("if(V1769="""",C1769,if(not(iserror(index(split(C1769, "" ""),3))), index(split(C1769, "" ""),3),index(split(C1769, "" ""),2)))"),"")</f>
        <v/>
      </c>
      <c r="X1769" s="38" t="b">
        <f t="shared" si="2"/>
        <v>0</v>
      </c>
      <c r="Y1769" s="38"/>
      <c r="Z1769" s="40"/>
      <c r="AA1769" s="40"/>
      <c r="AB1769" s="38"/>
      <c r="AC1769" s="38"/>
      <c r="AD1769" s="38"/>
      <c r="AE1769" s="38"/>
      <c r="AF1769" s="38"/>
      <c r="AG1769" s="38"/>
      <c r="AH1769" s="38"/>
      <c r="AI1769" s="38"/>
      <c r="AJ1769" s="38"/>
      <c r="AK1769" s="38"/>
      <c r="AL1769" s="38"/>
      <c r="AM1769" s="38"/>
      <c r="AN1769" s="38"/>
      <c r="AO1769" s="38"/>
      <c r="AP1769" s="38"/>
      <c r="AQ1769" s="38"/>
      <c r="AR1769" s="38"/>
      <c r="AS1769" s="38"/>
      <c r="AT1769" s="38"/>
      <c r="AU1769" s="38"/>
      <c r="AV1769" s="38"/>
      <c r="AW1769" s="38"/>
      <c r="AX1769" s="38"/>
      <c r="AY1769" s="38"/>
      <c r="AZ1769" s="38"/>
      <c r="BA1769" s="38"/>
      <c r="BB1769" s="38"/>
      <c r="BC1769" s="38"/>
      <c r="BD1769" s="38"/>
      <c r="BE1769" s="38"/>
      <c r="BF1769" s="38"/>
      <c r="BG1769" s="38"/>
    </row>
    <row r="1770">
      <c r="A1770" s="16"/>
      <c r="B1770" s="16"/>
      <c r="C1770" s="146"/>
      <c r="D1770" s="146"/>
      <c r="E1770" s="16"/>
      <c r="F1770" s="91"/>
      <c r="G1770" s="16"/>
      <c r="H1770" s="320" t="str">
        <f t="shared" si="1"/>
        <v/>
      </c>
      <c r="I1770" s="16"/>
      <c r="J1770" s="16"/>
      <c r="K1770" s="16"/>
      <c r="L1770" s="38"/>
      <c r="M1770" s="16"/>
      <c r="N1770" s="16"/>
      <c r="O1770" s="16"/>
      <c r="P1770" s="15"/>
      <c r="Q1770" s="15"/>
      <c r="R1770" s="16"/>
      <c r="S1770" s="16"/>
      <c r="T1770" s="16"/>
      <c r="U1770" s="16"/>
      <c r="V1770" s="37" t="str">
        <f>IFERROR(__xludf.DUMMYFUNCTION("if(not(iserror(index(split(C1770, "" ""),2))), index(split(C1770, "" ""),1),"""")"),"")</f>
        <v/>
      </c>
      <c r="W1770" s="315" t="str">
        <f>IFERROR(__xludf.DUMMYFUNCTION("if(V1770="""",C1770,if(not(iserror(index(split(C1770, "" ""),3))), index(split(C1770, "" ""),3),index(split(C1770, "" ""),2)))"),"")</f>
        <v/>
      </c>
      <c r="X1770" s="38" t="b">
        <f t="shared" si="2"/>
        <v>0</v>
      </c>
      <c r="Y1770" s="38"/>
      <c r="Z1770" s="40"/>
      <c r="AA1770" s="40"/>
      <c r="AB1770" s="38"/>
      <c r="AC1770" s="38"/>
      <c r="AD1770" s="38"/>
      <c r="AE1770" s="38"/>
      <c r="AF1770" s="38"/>
      <c r="AG1770" s="38"/>
      <c r="AH1770" s="38"/>
      <c r="AI1770" s="38"/>
      <c r="AJ1770" s="38"/>
      <c r="AK1770" s="38"/>
      <c r="AL1770" s="38"/>
      <c r="AM1770" s="38"/>
      <c r="AN1770" s="38"/>
      <c r="AO1770" s="38"/>
      <c r="AP1770" s="38"/>
      <c r="AQ1770" s="38"/>
      <c r="AR1770" s="38"/>
      <c r="AS1770" s="38"/>
      <c r="AT1770" s="38"/>
      <c r="AU1770" s="38"/>
      <c r="AV1770" s="38"/>
      <c r="AW1770" s="38"/>
      <c r="AX1770" s="38"/>
      <c r="AY1770" s="38"/>
      <c r="AZ1770" s="38"/>
      <c r="BA1770" s="38"/>
      <c r="BB1770" s="38"/>
      <c r="BC1770" s="38"/>
      <c r="BD1770" s="38"/>
      <c r="BE1770" s="38"/>
      <c r="BF1770" s="38"/>
      <c r="BG1770" s="38"/>
    </row>
    <row r="1771">
      <c r="A1771" s="16"/>
      <c r="B1771" s="16"/>
      <c r="C1771" s="146"/>
      <c r="D1771" s="146"/>
      <c r="E1771" s="16"/>
      <c r="F1771" s="91"/>
      <c r="G1771" s="16"/>
      <c r="H1771" s="320" t="str">
        <f t="shared" si="1"/>
        <v/>
      </c>
      <c r="I1771" s="16"/>
      <c r="J1771" s="16"/>
      <c r="K1771" s="16"/>
      <c r="L1771" s="38"/>
      <c r="M1771" s="16"/>
      <c r="N1771" s="16"/>
      <c r="O1771" s="16"/>
      <c r="P1771" s="15"/>
      <c r="Q1771" s="15"/>
      <c r="R1771" s="16"/>
      <c r="S1771" s="16"/>
      <c r="T1771" s="16"/>
      <c r="U1771" s="16"/>
      <c r="V1771" s="37" t="str">
        <f>IFERROR(__xludf.DUMMYFUNCTION("if(not(iserror(index(split(C1771, "" ""),2))), index(split(C1771, "" ""),1),"""")"),"")</f>
        <v/>
      </c>
      <c r="W1771" s="315" t="str">
        <f>IFERROR(__xludf.DUMMYFUNCTION("if(V1771="""",C1771,if(not(iserror(index(split(C1771, "" ""),3))), index(split(C1771, "" ""),3),index(split(C1771, "" ""),2)))"),"")</f>
        <v/>
      </c>
      <c r="X1771" s="38" t="b">
        <f t="shared" si="2"/>
        <v>0</v>
      </c>
      <c r="Y1771" s="38"/>
      <c r="Z1771" s="40"/>
      <c r="AA1771" s="40"/>
      <c r="AB1771" s="38"/>
      <c r="AC1771" s="38"/>
      <c r="AD1771" s="38"/>
      <c r="AE1771" s="38"/>
      <c r="AF1771" s="38"/>
      <c r="AG1771" s="38"/>
      <c r="AH1771" s="38"/>
      <c r="AI1771" s="38"/>
      <c r="AJ1771" s="38"/>
      <c r="AK1771" s="38"/>
      <c r="AL1771" s="38"/>
      <c r="AM1771" s="38"/>
      <c r="AN1771" s="38"/>
      <c r="AO1771" s="38"/>
      <c r="AP1771" s="38"/>
      <c r="AQ1771" s="38"/>
      <c r="AR1771" s="38"/>
      <c r="AS1771" s="38"/>
      <c r="AT1771" s="38"/>
      <c r="AU1771" s="38"/>
      <c r="AV1771" s="38"/>
      <c r="AW1771" s="38"/>
      <c r="AX1771" s="38"/>
      <c r="AY1771" s="38"/>
      <c r="AZ1771" s="38"/>
      <c r="BA1771" s="38"/>
      <c r="BB1771" s="38"/>
      <c r="BC1771" s="38"/>
      <c r="BD1771" s="38"/>
      <c r="BE1771" s="38"/>
      <c r="BF1771" s="38"/>
      <c r="BG1771" s="38"/>
    </row>
    <row r="1772">
      <c r="A1772" s="16"/>
      <c r="B1772" s="16"/>
      <c r="C1772" s="146"/>
      <c r="D1772" s="146"/>
      <c r="E1772" s="16"/>
      <c r="F1772" s="91"/>
      <c r="G1772" s="16"/>
      <c r="H1772" s="320" t="str">
        <f t="shared" si="1"/>
        <v/>
      </c>
      <c r="I1772" s="16"/>
      <c r="J1772" s="16"/>
      <c r="K1772" s="16"/>
      <c r="L1772" s="38"/>
      <c r="M1772" s="16"/>
      <c r="N1772" s="16"/>
      <c r="O1772" s="16"/>
      <c r="P1772" s="15"/>
      <c r="Q1772" s="15"/>
      <c r="R1772" s="16"/>
      <c r="S1772" s="16"/>
      <c r="T1772" s="16"/>
      <c r="U1772" s="16"/>
      <c r="V1772" s="37" t="str">
        <f>IFERROR(__xludf.DUMMYFUNCTION("if(not(iserror(index(split(C1772, "" ""),2))), index(split(C1772, "" ""),1),"""")"),"")</f>
        <v/>
      </c>
      <c r="W1772" s="315" t="str">
        <f>IFERROR(__xludf.DUMMYFUNCTION("if(V1772="""",C1772,if(not(iserror(index(split(C1772, "" ""),3))), index(split(C1772, "" ""),3),index(split(C1772, "" ""),2)))"),"")</f>
        <v/>
      </c>
      <c r="X1772" s="38" t="b">
        <f t="shared" si="2"/>
        <v>0</v>
      </c>
      <c r="Y1772" s="38"/>
      <c r="Z1772" s="40"/>
      <c r="AA1772" s="40"/>
      <c r="AB1772" s="38"/>
      <c r="AC1772" s="38"/>
      <c r="AD1772" s="38"/>
      <c r="AE1772" s="38"/>
      <c r="AF1772" s="38"/>
      <c r="AG1772" s="38"/>
      <c r="AH1772" s="38"/>
      <c r="AI1772" s="38"/>
      <c r="AJ1772" s="38"/>
      <c r="AK1772" s="38"/>
      <c r="AL1772" s="38"/>
      <c r="AM1772" s="38"/>
      <c r="AN1772" s="38"/>
      <c r="AO1772" s="38"/>
      <c r="AP1772" s="38"/>
      <c r="AQ1772" s="38"/>
      <c r="AR1772" s="38"/>
      <c r="AS1772" s="38"/>
      <c r="AT1772" s="38"/>
      <c r="AU1772" s="38"/>
      <c r="AV1772" s="38"/>
      <c r="AW1772" s="38"/>
      <c r="AX1772" s="38"/>
      <c r="AY1772" s="38"/>
      <c r="AZ1772" s="38"/>
      <c r="BA1772" s="38"/>
      <c r="BB1772" s="38"/>
      <c r="BC1772" s="38"/>
      <c r="BD1772" s="38"/>
      <c r="BE1772" s="38"/>
      <c r="BF1772" s="38"/>
      <c r="BG1772" s="38"/>
    </row>
    <row r="1773">
      <c r="A1773" s="16"/>
      <c r="B1773" s="16"/>
      <c r="C1773" s="146"/>
      <c r="D1773" s="146"/>
      <c r="E1773" s="16"/>
      <c r="F1773" s="91"/>
      <c r="G1773" s="16"/>
      <c r="H1773" s="320" t="str">
        <f t="shared" si="1"/>
        <v/>
      </c>
      <c r="I1773" s="16"/>
      <c r="J1773" s="16"/>
      <c r="K1773" s="16"/>
      <c r="L1773" s="38"/>
      <c r="M1773" s="16"/>
      <c r="N1773" s="16"/>
      <c r="O1773" s="16"/>
      <c r="P1773" s="15"/>
      <c r="Q1773" s="15"/>
      <c r="R1773" s="16"/>
      <c r="S1773" s="16"/>
      <c r="T1773" s="16"/>
      <c r="U1773" s="16"/>
      <c r="V1773" s="37" t="str">
        <f>IFERROR(__xludf.DUMMYFUNCTION("if(not(iserror(index(split(C1773, "" ""),2))), index(split(C1773, "" ""),1),"""")"),"")</f>
        <v/>
      </c>
      <c r="W1773" s="315" t="str">
        <f>IFERROR(__xludf.DUMMYFUNCTION("if(V1773="""",C1773,if(not(iserror(index(split(C1773, "" ""),3))), index(split(C1773, "" ""),3),index(split(C1773, "" ""),2)))"),"")</f>
        <v/>
      </c>
      <c r="X1773" s="38" t="b">
        <f t="shared" si="2"/>
        <v>0</v>
      </c>
      <c r="Y1773" s="38"/>
      <c r="Z1773" s="40"/>
      <c r="AA1773" s="40"/>
      <c r="AB1773" s="38"/>
      <c r="AC1773" s="38"/>
      <c r="AD1773" s="38"/>
      <c r="AE1773" s="38"/>
      <c r="AF1773" s="38"/>
      <c r="AG1773" s="38"/>
      <c r="AH1773" s="38"/>
      <c r="AI1773" s="38"/>
      <c r="AJ1773" s="38"/>
      <c r="AK1773" s="38"/>
      <c r="AL1773" s="38"/>
      <c r="AM1773" s="38"/>
      <c r="AN1773" s="38"/>
      <c r="AO1773" s="38"/>
      <c r="AP1773" s="38"/>
      <c r="AQ1773" s="38"/>
      <c r="AR1773" s="38"/>
      <c r="AS1773" s="38"/>
      <c r="AT1773" s="38"/>
      <c r="AU1773" s="38"/>
      <c r="AV1773" s="38"/>
      <c r="AW1773" s="38"/>
      <c r="AX1773" s="38"/>
      <c r="AY1773" s="38"/>
      <c r="AZ1773" s="38"/>
      <c r="BA1773" s="38"/>
      <c r="BB1773" s="38"/>
      <c r="BC1773" s="38"/>
      <c r="BD1773" s="38"/>
      <c r="BE1773" s="38"/>
      <c r="BF1773" s="38"/>
      <c r="BG1773" s="38"/>
    </row>
    <row r="1774">
      <c r="A1774" s="16"/>
      <c r="B1774" s="16"/>
      <c r="C1774" s="146"/>
      <c r="D1774" s="146"/>
      <c r="E1774" s="16"/>
      <c r="F1774" s="91"/>
      <c r="G1774" s="16"/>
      <c r="H1774" s="320" t="str">
        <f t="shared" si="1"/>
        <v/>
      </c>
      <c r="I1774" s="16"/>
      <c r="J1774" s="16"/>
      <c r="K1774" s="16"/>
      <c r="L1774" s="38"/>
      <c r="M1774" s="16"/>
      <c r="N1774" s="16"/>
      <c r="O1774" s="16"/>
      <c r="P1774" s="15"/>
      <c r="Q1774" s="15"/>
      <c r="R1774" s="16"/>
      <c r="S1774" s="16"/>
      <c r="T1774" s="16"/>
      <c r="U1774" s="16"/>
      <c r="V1774" s="37" t="str">
        <f>IFERROR(__xludf.DUMMYFUNCTION("if(not(iserror(index(split(C1774, "" ""),2))), index(split(C1774, "" ""),1),"""")"),"")</f>
        <v/>
      </c>
      <c r="W1774" s="315" t="str">
        <f>IFERROR(__xludf.DUMMYFUNCTION("if(V1774="""",C1774,if(not(iserror(index(split(C1774, "" ""),3))), index(split(C1774, "" ""),3),index(split(C1774, "" ""),2)))"),"")</f>
        <v/>
      </c>
      <c r="X1774" s="38" t="b">
        <f t="shared" si="2"/>
        <v>0</v>
      </c>
      <c r="Y1774" s="38"/>
      <c r="Z1774" s="40"/>
      <c r="AA1774" s="40"/>
      <c r="AB1774" s="38"/>
      <c r="AC1774" s="38"/>
      <c r="AD1774" s="38"/>
      <c r="AE1774" s="38"/>
      <c r="AF1774" s="38"/>
      <c r="AG1774" s="38"/>
      <c r="AH1774" s="38"/>
      <c r="AI1774" s="38"/>
      <c r="AJ1774" s="38"/>
      <c r="AK1774" s="38"/>
      <c r="AL1774" s="38"/>
      <c r="AM1774" s="38"/>
      <c r="AN1774" s="38"/>
      <c r="AO1774" s="38"/>
      <c r="AP1774" s="38"/>
      <c r="AQ1774" s="38"/>
      <c r="AR1774" s="38"/>
      <c r="AS1774" s="38"/>
      <c r="AT1774" s="38"/>
      <c r="AU1774" s="38"/>
      <c r="AV1774" s="38"/>
      <c r="AW1774" s="38"/>
      <c r="AX1774" s="38"/>
      <c r="AY1774" s="38"/>
      <c r="AZ1774" s="38"/>
      <c r="BA1774" s="38"/>
      <c r="BB1774" s="38"/>
      <c r="BC1774" s="38"/>
      <c r="BD1774" s="38"/>
      <c r="BE1774" s="38"/>
      <c r="BF1774" s="38"/>
      <c r="BG1774" s="38"/>
    </row>
    <row r="1775">
      <c r="A1775" s="16"/>
      <c r="B1775" s="16"/>
      <c r="C1775" s="146"/>
      <c r="D1775" s="146"/>
      <c r="E1775" s="16"/>
      <c r="F1775" s="91"/>
      <c r="G1775" s="16"/>
      <c r="H1775" s="320" t="str">
        <f t="shared" si="1"/>
        <v/>
      </c>
      <c r="I1775" s="16"/>
      <c r="J1775" s="16"/>
      <c r="K1775" s="16"/>
      <c r="L1775" s="38"/>
      <c r="M1775" s="16"/>
      <c r="N1775" s="16"/>
      <c r="O1775" s="16"/>
      <c r="P1775" s="15"/>
      <c r="Q1775" s="15"/>
      <c r="R1775" s="16"/>
      <c r="S1775" s="16"/>
      <c r="T1775" s="16"/>
      <c r="U1775" s="16"/>
      <c r="V1775" s="37" t="str">
        <f>IFERROR(__xludf.DUMMYFUNCTION("if(not(iserror(index(split(C1775, "" ""),2))), index(split(C1775, "" ""),1),"""")"),"")</f>
        <v/>
      </c>
      <c r="W1775" s="315" t="str">
        <f>IFERROR(__xludf.DUMMYFUNCTION("if(V1775="""",C1775,if(not(iserror(index(split(C1775, "" ""),3))), index(split(C1775, "" ""),3),index(split(C1775, "" ""),2)))"),"")</f>
        <v/>
      </c>
      <c r="X1775" s="38" t="b">
        <f t="shared" si="2"/>
        <v>0</v>
      </c>
      <c r="Y1775" s="38"/>
      <c r="Z1775" s="40"/>
      <c r="AA1775" s="40"/>
      <c r="AB1775" s="38"/>
      <c r="AC1775" s="38"/>
      <c r="AD1775" s="38"/>
      <c r="AE1775" s="38"/>
      <c r="AF1775" s="38"/>
      <c r="AG1775" s="38"/>
      <c r="AH1775" s="38"/>
      <c r="AI1775" s="38"/>
      <c r="AJ1775" s="38"/>
      <c r="AK1775" s="38"/>
      <c r="AL1775" s="38"/>
      <c r="AM1775" s="38"/>
      <c r="AN1775" s="38"/>
      <c r="AO1775" s="38"/>
      <c r="AP1775" s="38"/>
      <c r="AQ1775" s="38"/>
      <c r="AR1775" s="38"/>
      <c r="AS1775" s="38"/>
      <c r="AT1775" s="38"/>
      <c r="AU1775" s="38"/>
      <c r="AV1775" s="38"/>
      <c r="AW1775" s="38"/>
      <c r="AX1775" s="38"/>
      <c r="AY1775" s="38"/>
      <c r="AZ1775" s="38"/>
      <c r="BA1775" s="38"/>
      <c r="BB1775" s="38"/>
      <c r="BC1775" s="38"/>
      <c r="BD1775" s="38"/>
      <c r="BE1775" s="38"/>
      <c r="BF1775" s="38"/>
      <c r="BG1775" s="38"/>
    </row>
    <row r="1776">
      <c r="A1776" s="16"/>
      <c r="B1776" s="16"/>
      <c r="C1776" s="146"/>
      <c r="D1776" s="146"/>
      <c r="E1776" s="16"/>
      <c r="F1776" s="91"/>
      <c r="G1776" s="16"/>
      <c r="H1776" s="320" t="str">
        <f t="shared" si="1"/>
        <v/>
      </c>
      <c r="I1776" s="16"/>
      <c r="J1776" s="16"/>
      <c r="K1776" s="16"/>
      <c r="L1776" s="38"/>
      <c r="M1776" s="16"/>
      <c r="N1776" s="16"/>
      <c r="O1776" s="16"/>
      <c r="P1776" s="15"/>
      <c r="Q1776" s="15"/>
      <c r="R1776" s="16"/>
      <c r="S1776" s="16"/>
      <c r="T1776" s="16"/>
      <c r="U1776" s="16"/>
      <c r="V1776" s="37" t="str">
        <f>IFERROR(__xludf.DUMMYFUNCTION("if(not(iserror(index(split(C1776, "" ""),2))), index(split(C1776, "" ""),1),"""")"),"")</f>
        <v/>
      </c>
      <c r="W1776" s="315" t="str">
        <f>IFERROR(__xludf.DUMMYFUNCTION("if(V1776="""",C1776,if(not(iserror(index(split(C1776, "" ""),3))), index(split(C1776, "" ""),3),index(split(C1776, "" ""),2)))"),"")</f>
        <v/>
      </c>
      <c r="X1776" s="38" t="b">
        <f t="shared" si="2"/>
        <v>0</v>
      </c>
      <c r="Y1776" s="38"/>
      <c r="Z1776" s="40"/>
      <c r="AA1776" s="40"/>
      <c r="AB1776" s="38"/>
      <c r="AC1776" s="38"/>
      <c r="AD1776" s="38"/>
      <c r="AE1776" s="38"/>
      <c r="AF1776" s="38"/>
      <c r="AG1776" s="38"/>
      <c r="AH1776" s="38"/>
      <c r="AI1776" s="38"/>
      <c r="AJ1776" s="38"/>
      <c r="AK1776" s="38"/>
      <c r="AL1776" s="38"/>
      <c r="AM1776" s="38"/>
      <c r="AN1776" s="38"/>
      <c r="AO1776" s="38"/>
      <c r="AP1776" s="38"/>
      <c r="AQ1776" s="38"/>
      <c r="AR1776" s="38"/>
      <c r="AS1776" s="38"/>
      <c r="AT1776" s="38"/>
      <c r="AU1776" s="38"/>
      <c r="AV1776" s="38"/>
      <c r="AW1776" s="38"/>
      <c r="AX1776" s="38"/>
      <c r="AY1776" s="38"/>
      <c r="AZ1776" s="38"/>
      <c r="BA1776" s="38"/>
      <c r="BB1776" s="38"/>
      <c r="BC1776" s="38"/>
      <c r="BD1776" s="38"/>
      <c r="BE1776" s="38"/>
      <c r="BF1776" s="38"/>
      <c r="BG1776" s="38"/>
    </row>
    <row r="1777">
      <c r="A1777" s="16"/>
      <c r="B1777" s="16"/>
      <c r="C1777" s="146"/>
      <c r="D1777" s="146"/>
      <c r="E1777" s="16"/>
      <c r="F1777" s="91"/>
      <c r="G1777" s="16"/>
      <c r="H1777" s="320" t="str">
        <f t="shared" si="1"/>
        <v/>
      </c>
      <c r="I1777" s="16"/>
      <c r="J1777" s="16"/>
      <c r="K1777" s="16"/>
      <c r="L1777" s="38"/>
      <c r="M1777" s="16"/>
      <c r="N1777" s="16"/>
      <c r="O1777" s="16"/>
      <c r="P1777" s="15"/>
      <c r="Q1777" s="15"/>
      <c r="R1777" s="16"/>
      <c r="S1777" s="16"/>
      <c r="T1777" s="16"/>
      <c r="U1777" s="16"/>
      <c r="V1777" s="37" t="str">
        <f>IFERROR(__xludf.DUMMYFUNCTION("if(not(iserror(index(split(C1777, "" ""),2))), index(split(C1777, "" ""),1),"""")"),"")</f>
        <v/>
      </c>
      <c r="W1777" s="315" t="str">
        <f>IFERROR(__xludf.DUMMYFUNCTION("if(V1777="""",C1777,if(not(iserror(index(split(C1777, "" ""),3))), index(split(C1777, "" ""),3),index(split(C1777, "" ""),2)))"),"")</f>
        <v/>
      </c>
      <c r="X1777" s="38" t="b">
        <f t="shared" si="2"/>
        <v>0</v>
      </c>
      <c r="Y1777" s="38"/>
      <c r="Z1777" s="40"/>
      <c r="AA1777" s="40"/>
      <c r="AB1777" s="38"/>
      <c r="AC1777" s="38"/>
      <c r="AD1777" s="38"/>
      <c r="AE1777" s="38"/>
      <c r="AF1777" s="38"/>
      <c r="AG1777" s="38"/>
      <c r="AH1777" s="38"/>
      <c r="AI1777" s="38"/>
      <c r="AJ1777" s="38"/>
      <c r="AK1777" s="38"/>
      <c r="AL1777" s="38"/>
      <c r="AM1777" s="38"/>
      <c r="AN1777" s="38"/>
      <c r="AO1777" s="38"/>
      <c r="AP1777" s="38"/>
      <c r="AQ1777" s="38"/>
      <c r="AR1777" s="38"/>
      <c r="AS1777" s="38"/>
      <c r="AT1777" s="38"/>
      <c r="AU1777" s="38"/>
      <c r="AV1777" s="38"/>
      <c r="AW1777" s="38"/>
      <c r="AX1777" s="38"/>
      <c r="AY1777" s="38"/>
      <c r="AZ1777" s="38"/>
      <c r="BA1777" s="38"/>
      <c r="BB1777" s="38"/>
      <c r="BC1777" s="38"/>
      <c r="BD1777" s="38"/>
      <c r="BE1777" s="38"/>
      <c r="BF1777" s="38"/>
      <c r="BG1777" s="38"/>
    </row>
    <row r="1778">
      <c r="A1778" s="16"/>
      <c r="B1778" s="16"/>
      <c r="C1778" s="146"/>
      <c r="D1778" s="146"/>
      <c r="E1778" s="16"/>
      <c r="F1778" s="91"/>
      <c r="G1778" s="16"/>
      <c r="H1778" s="320" t="str">
        <f t="shared" si="1"/>
        <v/>
      </c>
      <c r="I1778" s="16"/>
      <c r="J1778" s="16"/>
      <c r="K1778" s="16"/>
      <c r="L1778" s="38"/>
      <c r="M1778" s="16"/>
      <c r="N1778" s="16"/>
      <c r="O1778" s="16"/>
      <c r="P1778" s="15"/>
      <c r="Q1778" s="15"/>
      <c r="R1778" s="16"/>
      <c r="S1778" s="16"/>
      <c r="T1778" s="16"/>
      <c r="U1778" s="16"/>
      <c r="V1778" s="37" t="str">
        <f>IFERROR(__xludf.DUMMYFUNCTION("if(not(iserror(index(split(C1778, "" ""),2))), index(split(C1778, "" ""),1),"""")"),"")</f>
        <v/>
      </c>
      <c r="W1778" s="315" t="str">
        <f>IFERROR(__xludf.DUMMYFUNCTION("if(V1778="""",C1778,if(not(iserror(index(split(C1778, "" ""),3))), index(split(C1778, "" ""),3),index(split(C1778, "" ""),2)))"),"")</f>
        <v/>
      </c>
      <c r="X1778" s="38" t="b">
        <f t="shared" si="2"/>
        <v>0</v>
      </c>
      <c r="Y1778" s="38"/>
      <c r="Z1778" s="40"/>
      <c r="AA1778" s="40"/>
      <c r="AB1778" s="38"/>
      <c r="AC1778" s="38"/>
      <c r="AD1778" s="38"/>
      <c r="AE1778" s="38"/>
      <c r="AF1778" s="38"/>
      <c r="AG1778" s="38"/>
      <c r="AH1778" s="38"/>
      <c r="AI1778" s="38"/>
      <c r="AJ1778" s="38"/>
      <c r="AK1778" s="38"/>
      <c r="AL1778" s="38"/>
      <c r="AM1778" s="38"/>
      <c r="AN1778" s="38"/>
      <c r="AO1778" s="38"/>
      <c r="AP1778" s="38"/>
      <c r="AQ1778" s="38"/>
      <c r="AR1778" s="38"/>
      <c r="AS1778" s="38"/>
      <c r="AT1778" s="38"/>
      <c r="AU1778" s="38"/>
      <c r="AV1778" s="38"/>
      <c r="AW1778" s="38"/>
      <c r="AX1778" s="38"/>
      <c r="AY1778" s="38"/>
      <c r="AZ1778" s="38"/>
      <c r="BA1778" s="38"/>
      <c r="BB1778" s="38"/>
      <c r="BC1778" s="38"/>
      <c r="BD1778" s="38"/>
      <c r="BE1778" s="38"/>
      <c r="BF1778" s="38"/>
      <c r="BG1778" s="38"/>
    </row>
    <row r="1779">
      <c r="A1779" s="16"/>
      <c r="B1779" s="16"/>
      <c r="C1779" s="146"/>
      <c r="D1779" s="146"/>
      <c r="E1779" s="16"/>
      <c r="F1779" s="91"/>
      <c r="G1779" s="16"/>
      <c r="H1779" s="320" t="str">
        <f t="shared" si="1"/>
        <v/>
      </c>
      <c r="I1779" s="16"/>
      <c r="J1779" s="16"/>
      <c r="K1779" s="16"/>
      <c r="L1779" s="38"/>
      <c r="M1779" s="16"/>
      <c r="N1779" s="16"/>
      <c r="O1779" s="16"/>
      <c r="P1779" s="15"/>
      <c r="Q1779" s="15"/>
      <c r="R1779" s="16"/>
      <c r="S1779" s="16"/>
      <c r="T1779" s="16"/>
      <c r="U1779" s="16"/>
      <c r="V1779" s="37" t="str">
        <f>IFERROR(__xludf.DUMMYFUNCTION("if(not(iserror(index(split(C1779, "" ""),2))), index(split(C1779, "" ""),1),"""")"),"")</f>
        <v/>
      </c>
      <c r="W1779" s="315" t="str">
        <f>IFERROR(__xludf.DUMMYFUNCTION("if(V1779="""",C1779,if(not(iserror(index(split(C1779, "" ""),3))), index(split(C1779, "" ""),3),index(split(C1779, "" ""),2)))"),"")</f>
        <v/>
      </c>
      <c r="X1779" s="38" t="b">
        <f t="shared" si="2"/>
        <v>0</v>
      </c>
      <c r="Y1779" s="38"/>
      <c r="Z1779" s="40"/>
      <c r="AA1779" s="40"/>
      <c r="AB1779" s="38"/>
      <c r="AC1779" s="38"/>
      <c r="AD1779" s="38"/>
      <c r="AE1779" s="38"/>
      <c r="AF1779" s="38"/>
      <c r="AG1779" s="38"/>
      <c r="AH1779" s="38"/>
      <c r="AI1779" s="38"/>
      <c r="AJ1779" s="38"/>
      <c r="AK1779" s="38"/>
      <c r="AL1779" s="38"/>
      <c r="AM1779" s="38"/>
      <c r="AN1779" s="38"/>
      <c r="AO1779" s="38"/>
      <c r="AP1779" s="38"/>
      <c r="AQ1779" s="38"/>
      <c r="AR1779" s="38"/>
      <c r="AS1779" s="38"/>
      <c r="AT1779" s="38"/>
      <c r="AU1779" s="38"/>
      <c r="AV1779" s="38"/>
      <c r="AW1779" s="38"/>
      <c r="AX1779" s="38"/>
      <c r="AY1779" s="38"/>
      <c r="AZ1779" s="38"/>
      <c r="BA1779" s="38"/>
      <c r="BB1779" s="38"/>
      <c r="BC1779" s="38"/>
      <c r="BD1779" s="38"/>
      <c r="BE1779" s="38"/>
      <c r="BF1779" s="38"/>
      <c r="BG1779" s="38"/>
    </row>
    <row r="1780">
      <c r="A1780" s="16"/>
      <c r="B1780" s="16"/>
      <c r="C1780" s="146"/>
      <c r="D1780" s="146"/>
      <c r="E1780" s="16"/>
      <c r="F1780" s="91"/>
      <c r="G1780" s="16"/>
      <c r="H1780" s="320" t="str">
        <f t="shared" si="1"/>
        <v/>
      </c>
      <c r="I1780" s="16"/>
      <c r="J1780" s="16"/>
      <c r="K1780" s="16"/>
      <c r="L1780" s="38"/>
      <c r="M1780" s="16"/>
      <c r="N1780" s="16"/>
      <c r="O1780" s="16"/>
      <c r="P1780" s="15"/>
      <c r="Q1780" s="15"/>
      <c r="R1780" s="16"/>
      <c r="S1780" s="16"/>
      <c r="T1780" s="16"/>
      <c r="U1780" s="16"/>
      <c r="V1780" s="37" t="str">
        <f>IFERROR(__xludf.DUMMYFUNCTION("if(not(iserror(index(split(C1780, "" ""),2))), index(split(C1780, "" ""),1),"""")"),"")</f>
        <v/>
      </c>
      <c r="W1780" s="315" t="str">
        <f>IFERROR(__xludf.DUMMYFUNCTION("if(V1780="""",C1780,if(not(iserror(index(split(C1780, "" ""),3))), index(split(C1780, "" ""),3),index(split(C1780, "" ""),2)))"),"")</f>
        <v/>
      </c>
      <c r="X1780" s="38" t="b">
        <f t="shared" si="2"/>
        <v>0</v>
      </c>
      <c r="Y1780" s="38"/>
      <c r="Z1780" s="40"/>
      <c r="AA1780" s="40"/>
      <c r="AB1780" s="38"/>
      <c r="AC1780" s="38"/>
      <c r="AD1780" s="38"/>
      <c r="AE1780" s="38"/>
      <c r="AF1780" s="38"/>
      <c r="AG1780" s="38"/>
      <c r="AH1780" s="38"/>
      <c r="AI1780" s="38"/>
      <c r="AJ1780" s="38"/>
      <c r="AK1780" s="38"/>
      <c r="AL1780" s="38"/>
      <c r="AM1780" s="38"/>
      <c r="AN1780" s="38"/>
      <c r="AO1780" s="38"/>
      <c r="AP1780" s="38"/>
      <c r="AQ1780" s="38"/>
      <c r="AR1780" s="38"/>
      <c r="AS1780" s="38"/>
      <c r="AT1780" s="38"/>
      <c r="AU1780" s="38"/>
      <c r="AV1780" s="38"/>
      <c r="AW1780" s="38"/>
      <c r="AX1780" s="38"/>
      <c r="AY1780" s="38"/>
      <c r="AZ1780" s="38"/>
      <c r="BA1780" s="38"/>
      <c r="BB1780" s="38"/>
      <c r="BC1780" s="38"/>
      <c r="BD1780" s="38"/>
      <c r="BE1780" s="38"/>
      <c r="BF1780" s="38"/>
      <c r="BG1780" s="38"/>
    </row>
    <row r="1781">
      <c r="A1781" s="16"/>
      <c r="B1781" s="16"/>
      <c r="C1781" s="146"/>
      <c r="D1781" s="146"/>
      <c r="E1781" s="16"/>
      <c r="F1781" s="91"/>
      <c r="G1781" s="16"/>
      <c r="H1781" s="320" t="str">
        <f t="shared" si="1"/>
        <v/>
      </c>
      <c r="I1781" s="16"/>
      <c r="J1781" s="16"/>
      <c r="K1781" s="16"/>
      <c r="L1781" s="38"/>
      <c r="M1781" s="16"/>
      <c r="N1781" s="16"/>
      <c r="O1781" s="16"/>
      <c r="P1781" s="15"/>
      <c r="Q1781" s="15"/>
      <c r="R1781" s="16"/>
      <c r="S1781" s="16"/>
      <c r="T1781" s="16"/>
      <c r="U1781" s="16"/>
      <c r="V1781" s="37" t="str">
        <f>IFERROR(__xludf.DUMMYFUNCTION("if(not(iserror(index(split(C1781, "" ""),2))), index(split(C1781, "" ""),1),"""")"),"")</f>
        <v/>
      </c>
      <c r="W1781" s="315" t="str">
        <f>IFERROR(__xludf.DUMMYFUNCTION("if(V1781="""",C1781,if(not(iserror(index(split(C1781, "" ""),3))), index(split(C1781, "" ""),3),index(split(C1781, "" ""),2)))"),"")</f>
        <v/>
      </c>
      <c r="X1781" s="38" t="b">
        <f t="shared" si="2"/>
        <v>0</v>
      </c>
      <c r="Y1781" s="38"/>
      <c r="Z1781" s="40"/>
      <c r="AA1781" s="40"/>
      <c r="AB1781" s="38"/>
      <c r="AC1781" s="38"/>
      <c r="AD1781" s="38"/>
      <c r="AE1781" s="38"/>
      <c r="AF1781" s="38"/>
      <c r="AG1781" s="38"/>
      <c r="AH1781" s="38"/>
      <c r="AI1781" s="38"/>
      <c r="AJ1781" s="38"/>
      <c r="AK1781" s="38"/>
      <c r="AL1781" s="38"/>
      <c r="AM1781" s="38"/>
      <c r="AN1781" s="38"/>
      <c r="AO1781" s="38"/>
      <c r="AP1781" s="38"/>
      <c r="AQ1781" s="38"/>
      <c r="AR1781" s="38"/>
      <c r="AS1781" s="38"/>
      <c r="AT1781" s="38"/>
      <c r="AU1781" s="38"/>
      <c r="AV1781" s="38"/>
      <c r="AW1781" s="38"/>
      <c r="AX1781" s="38"/>
      <c r="AY1781" s="38"/>
      <c r="AZ1781" s="38"/>
      <c r="BA1781" s="38"/>
      <c r="BB1781" s="38"/>
      <c r="BC1781" s="38"/>
      <c r="BD1781" s="38"/>
      <c r="BE1781" s="38"/>
      <c r="BF1781" s="38"/>
      <c r="BG1781" s="38"/>
    </row>
    <row r="1782">
      <c r="A1782" s="16"/>
      <c r="B1782" s="16"/>
      <c r="C1782" s="146"/>
      <c r="D1782" s="146"/>
      <c r="E1782" s="16"/>
      <c r="F1782" s="91"/>
      <c r="G1782" s="16"/>
      <c r="H1782" s="320" t="str">
        <f t="shared" si="1"/>
        <v/>
      </c>
      <c r="I1782" s="16"/>
      <c r="J1782" s="16"/>
      <c r="K1782" s="16"/>
      <c r="L1782" s="38"/>
      <c r="M1782" s="16"/>
      <c r="N1782" s="16"/>
      <c r="O1782" s="16"/>
      <c r="P1782" s="15"/>
      <c r="Q1782" s="15"/>
      <c r="R1782" s="16"/>
      <c r="S1782" s="16"/>
      <c r="T1782" s="16"/>
      <c r="U1782" s="16"/>
      <c r="V1782" s="37" t="str">
        <f>IFERROR(__xludf.DUMMYFUNCTION("if(not(iserror(index(split(C1782, "" ""),2))), index(split(C1782, "" ""),1),"""")"),"")</f>
        <v/>
      </c>
      <c r="W1782" s="315" t="str">
        <f>IFERROR(__xludf.DUMMYFUNCTION("if(V1782="""",C1782,if(not(iserror(index(split(C1782, "" ""),3))), index(split(C1782, "" ""),3),index(split(C1782, "" ""),2)))"),"")</f>
        <v/>
      </c>
      <c r="X1782" s="38" t="b">
        <f t="shared" si="2"/>
        <v>0</v>
      </c>
      <c r="Y1782" s="38"/>
      <c r="Z1782" s="40"/>
      <c r="AA1782" s="40"/>
      <c r="AB1782" s="38"/>
      <c r="AC1782" s="38"/>
      <c r="AD1782" s="38"/>
      <c r="AE1782" s="38"/>
      <c r="AF1782" s="38"/>
      <c r="AG1782" s="38"/>
      <c r="AH1782" s="38"/>
      <c r="AI1782" s="38"/>
      <c r="AJ1782" s="38"/>
      <c r="AK1782" s="38"/>
      <c r="AL1782" s="38"/>
      <c r="AM1782" s="38"/>
      <c r="AN1782" s="38"/>
      <c r="AO1782" s="38"/>
      <c r="AP1782" s="38"/>
      <c r="AQ1782" s="38"/>
      <c r="AR1782" s="38"/>
      <c r="AS1782" s="38"/>
      <c r="AT1782" s="38"/>
      <c r="AU1782" s="38"/>
      <c r="AV1782" s="38"/>
      <c r="AW1782" s="38"/>
      <c r="AX1782" s="38"/>
      <c r="AY1782" s="38"/>
      <c r="AZ1782" s="38"/>
      <c r="BA1782" s="38"/>
      <c r="BB1782" s="38"/>
      <c r="BC1782" s="38"/>
      <c r="BD1782" s="38"/>
      <c r="BE1782" s="38"/>
      <c r="BF1782" s="38"/>
      <c r="BG1782" s="38"/>
    </row>
    <row r="1783">
      <c r="A1783" s="16"/>
      <c r="B1783" s="16"/>
      <c r="C1783" s="146"/>
      <c r="D1783" s="146"/>
      <c r="E1783" s="16"/>
      <c r="F1783" s="91"/>
      <c r="G1783" s="16"/>
      <c r="H1783" s="320" t="str">
        <f t="shared" si="1"/>
        <v/>
      </c>
      <c r="I1783" s="16"/>
      <c r="J1783" s="16"/>
      <c r="K1783" s="16"/>
      <c r="L1783" s="38"/>
      <c r="M1783" s="16"/>
      <c r="N1783" s="16"/>
      <c r="O1783" s="16"/>
      <c r="P1783" s="15"/>
      <c r="Q1783" s="15"/>
      <c r="R1783" s="16"/>
      <c r="S1783" s="16"/>
      <c r="T1783" s="16"/>
      <c r="U1783" s="16"/>
      <c r="V1783" s="37" t="str">
        <f>IFERROR(__xludf.DUMMYFUNCTION("if(not(iserror(index(split(C1783, "" ""),2))), index(split(C1783, "" ""),1),"""")"),"")</f>
        <v/>
      </c>
      <c r="W1783" s="315" t="str">
        <f>IFERROR(__xludf.DUMMYFUNCTION("if(V1783="""",C1783,if(not(iserror(index(split(C1783, "" ""),3))), index(split(C1783, "" ""),3),index(split(C1783, "" ""),2)))"),"")</f>
        <v/>
      </c>
      <c r="X1783" s="38" t="b">
        <f t="shared" si="2"/>
        <v>0</v>
      </c>
      <c r="Y1783" s="38"/>
      <c r="Z1783" s="40"/>
      <c r="AA1783" s="40"/>
      <c r="AB1783" s="38"/>
      <c r="AC1783" s="38"/>
      <c r="AD1783" s="38"/>
      <c r="AE1783" s="38"/>
      <c r="AF1783" s="38"/>
      <c r="AG1783" s="38"/>
      <c r="AH1783" s="38"/>
      <c r="AI1783" s="38"/>
      <c r="AJ1783" s="38"/>
      <c r="AK1783" s="38"/>
      <c r="AL1783" s="38"/>
      <c r="AM1783" s="38"/>
      <c r="AN1783" s="38"/>
      <c r="AO1783" s="38"/>
      <c r="AP1783" s="38"/>
      <c r="AQ1783" s="38"/>
      <c r="AR1783" s="38"/>
      <c r="AS1783" s="38"/>
      <c r="AT1783" s="38"/>
      <c r="AU1783" s="38"/>
      <c r="AV1783" s="38"/>
      <c r="AW1783" s="38"/>
      <c r="AX1783" s="38"/>
      <c r="AY1783" s="38"/>
      <c r="AZ1783" s="38"/>
      <c r="BA1783" s="38"/>
      <c r="BB1783" s="38"/>
      <c r="BC1783" s="38"/>
      <c r="BD1783" s="38"/>
      <c r="BE1783" s="38"/>
      <c r="BF1783" s="38"/>
      <c r="BG1783" s="38"/>
    </row>
    <row r="1784">
      <c r="A1784" s="16"/>
      <c r="B1784" s="16"/>
      <c r="C1784" s="146"/>
      <c r="D1784" s="146"/>
      <c r="E1784" s="16"/>
      <c r="F1784" s="91"/>
      <c r="G1784" s="16"/>
      <c r="H1784" s="320" t="str">
        <f t="shared" si="1"/>
        <v/>
      </c>
      <c r="I1784" s="16"/>
      <c r="J1784" s="16"/>
      <c r="K1784" s="16"/>
      <c r="L1784" s="38"/>
      <c r="M1784" s="16"/>
      <c r="N1784" s="16"/>
      <c r="O1784" s="16"/>
      <c r="P1784" s="15"/>
      <c r="Q1784" s="15"/>
      <c r="R1784" s="16"/>
      <c r="S1784" s="16"/>
      <c r="T1784" s="16"/>
      <c r="U1784" s="16"/>
      <c r="V1784" s="37" t="str">
        <f>IFERROR(__xludf.DUMMYFUNCTION("if(not(iserror(index(split(C1784, "" ""),2))), index(split(C1784, "" ""),1),"""")"),"")</f>
        <v/>
      </c>
      <c r="W1784" s="315" t="str">
        <f>IFERROR(__xludf.DUMMYFUNCTION("if(V1784="""",C1784,if(not(iserror(index(split(C1784, "" ""),3))), index(split(C1784, "" ""),3),index(split(C1784, "" ""),2)))"),"")</f>
        <v/>
      </c>
      <c r="X1784" s="38" t="b">
        <f t="shared" si="2"/>
        <v>0</v>
      </c>
      <c r="Y1784" s="38"/>
      <c r="Z1784" s="40"/>
      <c r="AA1784" s="40"/>
      <c r="AB1784" s="38"/>
      <c r="AC1784" s="38"/>
      <c r="AD1784" s="38"/>
      <c r="AE1784" s="38"/>
      <c r="AF1784" s="38"/>
      <c r="AG1784" s="38"/>
      <c r="AH1784" s="38"/>
      <c r="AI1784" s="38"/>
      <c r="AJ1784" s="38"/>
      <c r="AK1784" s="38"/>
      <c r="AL1784" s="38"/>
      <c r="AM1784" s="38"/>
      <c r="AN1784" s="38"/>
      <c r="AO1784" s="38"/>
      <c r="AP1784" s="38"/>
      <c r="AQ1784" s="38"/>
      <c r="AR1784" s="38"/>
      <c r="AS1784" s="38"/>
      <c r="AT1784" s="38"/>
      <c r="AU1784" s="38"/>
      <c r="AV1784" s="38"/>
      <c r="AW1784" s="38"/>
      <c r="AX1784" s="38"/>
      <c r="AY1784" s="38"/>
      <c r="AZ1784" s="38"/>
      <c r="BA1784" s="38"/>
      <c r="BB1784" s="38"/>
      <c r="BC1784" s="38"/>
      <c r="BD1784" s="38"/>
      <c r="BE1784" s="38"/>
      <c r="BF1784" s="38"/>
      <c r="BG1784" s="38"/>
    </row>
    <row r="1785">
      <c r="A1785" s="16"/>
      <c r="B1785" s="16"/>
      <c r="C1785" s="146"/>
      <c r="D1785" s="146"/>
      <c r="E1785" s="16"/>
      <c r="F1785" s="91"/>
      <c r="G1785" s="16"/>
      <c r="H1785" s="320" t="str">
        <f t="shared" si="1"/>
        <v/>
      </c>
      <c r="I1785" s="16"/>
      <c r="J1785" s="16"/>
      <c r="K1785" s="16"/>
      <c r="L1785" s="38"/>
      <c r="M1785" s="16"/>
      <c r="N1785" s="16"/>
      <c r="O1785" s="16"/>
      <c r="P1785" s="15"/>
      <c r="Q1785" s="15"/>
      <c r="R1785" s="16"/>
      <c r="S1785" s="16"/>
      <c r="T1785" s="16"/>
      <c r="U1785" s="16"/>
      <c r="V1785" s="37" t="str">
        <f>IFERROR(__xludf.DUMMYFUNCTION("if(not(iserror(index(split(C1785, "" ""),2))), index(split(C1785, "" ""),1),"""")"),"")</f>
        <v/>
      </c>
      <c r="W1785" s="315" t="str">
        <f>IFERROR(__xludf.DUMMYFUNCTION("if(V1785="""",C1785,if(not(iserror(index(split(C1785, "" ""),3))), index(split(C1785, "" ""),3),index(split(C1785, "" ""),2)))"),"")</f>
        <v/>
      </c>
      <c r="X1785" s="38" t="b">
        <f t="shared" si="2"/>
        <v>0</v>
      </c>
      <c r="Y1785" s="38"/>
      <c r="Z1785" s="40"/>
      <c r="AA1785" s="40"/>
      <c r="AB1785" s="38"/>
      <c r="AC1785" s="38"/>
      <c r="AD1785" s="38"/>
      <c r="AE1785" s="38"/>
      <c r="AF1785" s="38"/>
      <c r="AG1785" s="38"/>
      <c r="AH1785" s="38"/>
      <c r="AI1785" s="38"/>
      <c r="AJ1785" s="38"/>
      <c r="AK1785" s="38"/>
      <c r="AL1785" s="38"/>
      <c r="AM1785" s="38"/>
      <c r="AN1785" s="38"/>
      <c r="AO1785" s="38"/>
      <c r="AP1785" s="38"/>
      <c r="AQ1785" s="38"/>
      <c r="AR1785" s="38"/>
      <c r="AS1785" s="38"/>
      <c r="AT1785" s="38"/>
      <c r="AU1785" s="38"/>
      <c r="AV1785" s="38"/>
      <c r="AW1785" s="38"/>
      <c r="AX1785" s="38"/>
      <c r="AY1785" s="38"/>
      <c r="AZ1785" s="38"/>
      <c r="BA1785" s="38"/>
      <c r="BB1785" s="38"/>
      <c r="BC1785" s="38"/>
      <c r="BD1785" s="38"/>
      <c r="BE1785" s="38"/>
      <c r="BF1785" s="38"/>
      <c r="BG1785" s="38"/>
    </row>
    <row r="1786">
      <c r="A1786" s="16"/>
      <c r="B1786" s="16"/>
      <c r="C1786" s="146"/>
      <c r="D1786" s="146"/>
      <c r="E1786" s="16"/>
      <c r="F1786" s="91"/>
      <c r="G1786" s="16"/>
      <c r="H1786" s="320" t="str">
        <f t="shared" si="1"/>
        <v/>
      </c>
      <c r="I1786" s="16"/>
      <c r="J1786" s="16"/>
      <c r="K1786" s="16"/>
      <c r="L1786" s="38"/>
      <c r="M1786" s="16"/>
      <c r="N1786" s="16"/>
      <c r="O1786" s="16"/>
      <c r="P1786" s="15"/>
      <c r="Q1786" s="15"/>
      <c r="R1786" s="16"/>
      <c r="S1786" s="16"/>
      <c r="T1786" s="16"/>
      <c r="U1786" s="16"/>
      <c r="V1786" s="37" t="str">
        <f>IFERROR(__xludf.DUMMYFUNCTION("if(not(iserror(index(split(C1786, "" ""),2))), index(split(C1786, "" ""),1),"""")"),"")</f>
        <v/>
      </c>
      <c r="W1786" s="315" t="str">
        <f>IFERROR(__xludf.DUMMYFUNCTION("if(V1786="""",C1786,if(not(iserror(index(split(C1786, "" ""),3))), index(split(C1786, "" ""),3),index(split(C1786, "" ""),2)))"),"")</f>
        <v/>
      </c>
      <c r="X1786" s="38" t="b">
        <f t="shared" si="2"/>
        <v>0</v>
      </c>
      <c r="Y1786" s="38"/>
      <c r="Z1786" s="40"/>
      <c r="AA1786" s="40"/>
      <c r="AB1786" s="38"/>
      <c r="AC1786" s="38"/>
      <c r="AD1786" s="38"/>
      <c r="AE1786" s="38"/>
      <c r="AF1786" s="38"/>
      <c r="AG1786" s="38"/>
      <c r="AH1786" s="38"/>
      <c r="AI1786" s="38"/>
      <c r="AJ1786" s="38"/>
      <c r="AK1786" s="38"/>
      <c r="AL1786" s="38"/>
      <c r="AM1786" s="38"/>
      <c r="AN1786" s="38"/>
      <c r="AO1786" s="38"/>
      <c r="AP1786" s="38"/>
      <c r="AQ1786" s="38"/>
      <c r="AR1786" s="38"/>
      <c r="AS1786" s="38"/>
      <c r="AT1786" s="38"/>
      <c r="AU1786" s="38"/>
      <c r="AV1786" s="38"/>
      <c r="AW1786" s="38"/>
      <c r="AX1786" s="38"/>
      <c r="AY1786" s="38"/>
      <c r="AZ1786" s="38"/>
      <c r="BA1786" s="38"/>
      <c r="BB1786" s="38"/>
      <c r="BC1786" s="38"/>
      <c r="BD1786" s="38"/>
      <c r="BE1786" s="38"/>
      <c r="BF1786" s="38"/>
      <c r="BG1786" s="38"/>
    </row>
    <row r="1787">
      <c r="A1787" s="16"/>
      <c r="B1787" s="16"/>
      <c r="C1787" s="146"/>
      <c r="D1787" s="146"/>
      <c r="E1787" s="16"/>
      <c r="F1787" s="91"/>
      <c r="G1787" s="16"/>
      <c r="H1787" s="320" t="str">
        <f t="shared" si="1"/>
        <v/>
      </c>
      <c r="I1787" s="16"/>
      <c r="J1787" s="16"/>
      <c r="K1787" s="16"/>
      <c r="L1787" s="38"/>
      <c r="M1787" s="16"/>
      <c r="N1787" s="16"/>
      <c r="O1787" s="16"/>
      <c r="P1787" s="15"/>
      <c r="Q1787" s="15"/>
      <c r="R1787" s="16"/>
      <c r="S1787" s="16"/>
      <c r="T1787" s="16"/>
      <c r="U1787" s="16"/>
      <c r="V1787" s="37" t="str">
        <f>IFERROR(__xludf.DUMMYFUNCTION("if(not(iserror(index(split(C1787, "" ""),2))), index(split(C1787, "" ""),1),"""")"),"")</f>
        <v/>
      </c>
      <c r="W1787" s="315" t="str">
        <f>IFERROR(__xludf.DUMMYFUNCTION("if(V1787="""",C1787,if(not(iserror(index(split(C1787, "" ""),3))), index(split(C1787, "" ""),3),index(split(C1787, "" ""),2)))"),"")</f>
        <v/>
      </c>
      <c r="X1787" s="38" t="b">
        <f t="shared" si="2"/>
        <v>0</v>
      </c>
      <c r="Y1787" s="38"/>
      <c r="Z1787" s="40"/>
      <c r="AA1787" s="40"/>
      <c r="AB1787" s="38"/>
      <c r="AC1787" s="38"/>
      <c r="AD1787" s="38"/>
      <c r="AE1787" s="38"/>
      <c r="AF1787" s="38"/>
      <c r="AG1787" s="38"/>
      <c r="AH1787" s="38"/>
      <c r="AI1787" s="38"/>
      <c r="AJ1787" s="38"/>
      <c r="AK1787" s="38"/>
      <c r="AL1787" s="38"/>
      <c r="AM1787" s="38"/>
      <c r="AN1787" s="38"/>
      <c r="AO1787" s="38"/>
      <c r="AP1787" s="38"/>
      <c r="AQ1787" s="38"/>
      <c r="AR1787" s="38"/>
      <c r="AS1787" s="38"/>
      <c r="AT1787" s="38"/>
      <c r="AU1787" s="38"/>
      <c r="AV1787" s="38"/>
      <c r="AW1787" s="38"/>
      <c r="AX1787" s="38"/>
      <c r="AY1787" s="38"/>
      <c r="AZ1787" s="38"/>
      <c r="BA1787" s="38"/>
      <c r="BB1787" s="38"/>
      <c r="BC1787" s="38"/>
      <c r="BD1787" s="38"/>
      <c r="BE1787" s="38"/>
      <c r="BF1787" s="38"/>
      <c r="BG1787" s="38"/>
    </row>
    <row r="1788">
      <c r="A1788" s="16"/>
      <c r="B1788" s="16"/>
      <c r="C1788" s="146"/>
      <c r="D1788" s="146"/>
      <c r="E1788" s="16"/>
      <c r="F1788" s="91"/>
      <c r="G1788" s="16"/>
      <c r="H1788" s="320" t="str">
        <f t="shared" si="1"/>
        <v/>
      </c>
      <c r="I1788" s="16"/>
      <c r="J1788" s="16"/>
      <c r="K1788" s="16"/>
      <c r="L1788" s="38"/>
      <c r="M1788" s="16"/>
      <c r="N1788" s="16"/>
      <c r="O1788" s="16"/>
      <c r="P1788" s="15"/>
      <c r="Q1788" s="15"/>
      <c r="R1788" s="16"/>
      <c r="S1788" s="16"/>
      <c r="T1788" s="16"/>
      <c r="U1788" s="16"/>
      <c r="V1788" s="37" t="str">
        <f>IFERROR(__xludf.DUMMYFUNCTION("if(not(iserror(index(split(C1788, "" ""),2))), index(split(C1788, "" ""),1),"""")"),"")</f>
        <v/>
      </c>
      <c r="W1788" s="315" t="str">
        <f>IFERROR(__xludf.DUMMYFUNCTION("if(V1788="""",C1788,if(not(iserror(index(split(C1788, "" ""),3))), index(split(C1788, "" ""),3),index(split(C1788, "" ""),2)))"),"")</f>
        <v/>
      </c>
      <c r="X1788" s="38" t="b">
        <f t="shared" si="2"/>
        <v>0</v>
      </c>
      <c r="Y1788" s="38"/>
      <c r="Z1788" s="40"/>
      <c r="AA1788" s="40"/>
      <c r="AB1788" s="38"/>
      <c r="AC1788" s="38"/>
      <c r="AD1788" s="38"/>
      <c r="AE1788" s="38"/>
      <c r="AF1788" s="38"/>
      <c r="AG1788" s="38"/>
      <c r="AH1788" s="38"/>
      <c r="AI1788" s="38"/>
      <c r="AJ1788" s="38"/>
      <c r="AK1788" s="38"/>
      <c r="AL1788" s="38"/>
      <c r="AM1788" s="38"/>
      <c r="AN1788" s="38"/>
      <c r="AO1788" s="38"/>
      <c r="AP1788" s="38"/>
      <c r="AQ1788" s="38"/>
      <c r="AR1788" s="38"/>
      <c r="AS1788" s="38"/>
      <c r="AT1788" s="38"/>
      <c r="AU1788" s="38"/>
      <c r="AV1788" s="38"/>
      <c r="AW1788" s="38"/>
      <c r="AX1788" s="38"/>
      <c r="AY1788" s="38"/>
      <c r="AZ1788" s="38"/>
      <c r="BA1788" s="38"/>
      <c r="BB1788" s="38"/>
      <c r="BC1788" s="38"/>
      <c r="BD1788" s="38"/>
      <c r="BE1788" s="38"/>
      <c r="BF1788" s="38"/>
      <c r="BG1788" s="38"/>
    </row>
    <row r="1789">
      <c r="A1789" s="16"/>
      <c r="B1789" s="16"/>
      <c r="C1789" s="146"/>
      <c r="D1789" s="146"/>
      <c r="E1789" s="16"/>
      <c r="F1789" s="91"/>
      <c r="G1789" s="16"/>
      <c r="H1789" s="320" t="str">
        <f t="shared" si="1"/>
        <v/>
      </c>
      <c r="I1789" s="16"/>
      <c r="J1789" s="16"/>
      <c r="K1789" s="16"/>
      <c r="L1789" s="38"/>
      <c r="M1789" s="16"/>
      <c r="N1789" s="16"/>
      <c r="O1789" s="16"/>
      <c r="P1789" s="15"/>
      <c r="Q1789" s="15"/>
      <c r="R1789" s="16"/>
      <c r="S1789" s="16"/>
      <c r="T1789" s="16"/>
      <c r="U1789" s="16"/>
      <c r="V1789" s="37" t="str">
        <f>IFERROR(__xludf.DUMMYFUNCTION("if(not(iserror(index(split(C1789, "" ""),2))), index(split(C1789, "" ""),1),"""")"),"")</f>
        <v/>
      </c>
      <c r="W1789" s="315" t="str">
        <f>IFERROR(__xludf.DUMMYFUNCTION("if(V1789="""",C1789,if(not(iserror(index(split(C1789, "" ""),3))), index(split(C1789, "" ""),3),index(split(C1789, "" ""),2)))"),"")</f>
        <v/>
      </c>
      <c r="X1789" s="38" t="b">
        <f t="shared" si="2"/>
        <v>0</v>
      </c>
      <c r="Y1789" s="38"/>
      <c r="Z1789" s="40"/>
      <c r="AA1789" s="40"/>
      <c r="AB1789" s="38"/>
      <c r="AC1789" s="38"/>
      <c r="AD1789" s="38"/>
      <c r="AE1789" s="38"/>
      <c r="AF1789" s="38"/>
      <c r="AG1789" s="38"/>
      <c r="AH1789" s="38"/>
      <c r="AI1789" s="38"/>
      <c r="AJ1789" s="38"/>
      <c r="AK1789" s="38"/>
      <c r="AL1789" s="38"/>
      <c r="AM1789" s="38"/>
      <c r="AN1789" s="38"/>
      <c r="AO1789" s="38"/>
      <c r="AP1789" s="38"/>
      <c r="AQ1789" s="38"/>
      <c r="AR1789" s="38"/>
      <c r="AS1789" s="38"/>
      <c r="AT1789" s="38"/>
      <c r="AU1789" s="38"/>
      <c r="AV1789" s="38"/>
      <c r="AW1789" s="38"/>
      <c r="AX1789" s="38"/>
      <c r="AY1789" s="38"/>
      <c r="AZ1789" s="38"/>
      <c r="BA1789" s="38"/>
      <c r="BB1789" s="38"/>
      <c r="BC1789" s="38"/>
      <c r="BD1789" s="38"/>
      <c r="BE1789" s="38"/>
      <c r="BF1789" s="38"/>
      <c r="BG1789" s="38"/>
    </row>
    <row r="1790">
      <c r="A1790" s="16"/>
      <c r="B1790" s="16"/>
      <c r="C1790" s="146"/>
      <c r="D1790" s="146"/>
      <c r="E1790" s="16"/>
      <c r="F1790" s="91"/>
      <c r="G1790" s="16"/>
      <c r="H1790" s="320" t="str">
        <f t="shared" si="1"/>
        <v/>
      </c>
      <c r="I1790" s="16"/>
      <c r="J1790" s="16"/>
      <c r="K1790" s="16"/>
      <c r="L1790" s="38"/>
      <c r="M1790" s="16"/>
      <c r="N1790" s="16"/>
      <c r="O1790" s="16"/>
      <c r="P1790" s="15"/>
      <c r="Q1790" s="15"/>
      <c r="R1790" s="16"/>
      <c r="S1790" s="16"/>
      <c r="T1790" s="16"/>
      <c r="U1790" s="16"/>
      <c r="V1790" s="37" t="str">
        <f>IFERROR(__xludf.DUMMYFUNCTION("if(not(iserror(index(split(C1790, "" ""),2))), index(split(C1790, "" ""),1),"""")"),"")</f>
        <v/>
      </c>
      <c r="W1790" s="315" t="str">
        <f>IFERROR(__xludf.DUMMYFUNCTION("if(V1790="""",C1790,if(not(iserror(index(split(C1790, "" ""),3))), index(split(C1790, "" ""),3),index(split(C1790, "" ""),2)))"),"")</f>
        <v/>
      </c>
      <c r="X1790" s="38" t="b">
        <f t="shared" si="2"/>
        <v>0</v>
      </c>
      <c r="Y1790" s="38"/>
      <c r="Z1790" s="40"/>
      <c r="AA1790" s="40"/>
      <c r="AB1790" s="38"/>
      <c r="AC1790" s="38"/>
      <c r="AD1790" s="38"/>
      <c r="AE1790" s="38"/>
      <c r="AF1790" s="38"/>
      <c r="AG1790" s="38"/>
      <c r="AH1790" s="38"/>
      <c r="AI1790" s="38"/>
      <c r="AJ1790" s="38"/>
      <c r="AK1790" s="38"/>
      <c r="AL1790" s="38"/>
      <c r="AM1790" s="38"/>
      <c r="AN1790" s="38"/>
      <c r="AO1790" s="38"/>
      <c r="AP1790" s="38"/>
      <c r="AQ1790" s="38"/>
      <c r="AR1790" s="38"/>
      <c r="AS1790" s="38"/>
      <c r="AT1790" s="38"/>
      <c r="AU1790" s="38"/>
      <c r="AV1790" s="38"/>
      <c r="AW1790" s="38"/>
      <c r="AX1790" s="38"/>
      <c r="AY1790" s="38"/>
      <c r="AZ1790" s="38"/>
      <c r="BA1790" s="38"/>
      <c r="BB1790" s="38"/>
      <c r="BC1790" s="38"/>
      <c r="BD1790" s="38"/>
      <c r="BE1790" s="38"/>
      <c r="BF1790" s="38"/>
      <c r="BG1790" s="38"/>
    </row>
    <row r="1791">
      <c r="A1791" s="16"/>
      <c r="B1791" s="16"/>
      <c r="C1791" s="146"/>
      <c r="D1791" s="146"/>
      <c r="E1791" s="16"/>
      <c r="F1791" s="91"/>
      <c r="G1791" s="16"/>
      <c r="H1791" s="320" t="str">
        <f t="shared" si="1"/>
        <v/>
      </c>
      <c r="I1791" s="16"/>
      <c r="J1791" s="16"/>
      <c r="K1791" s="16"/>
      <c r="L1791" s="38"/>
      <c r="M1791" s="16"/>
      <c r="N1791" s="16"/>
      <c r="O1791" s="16"/>
      <c r="P1791" s="15"/>
      <c r="Q1791" s="15"/>
      <c r="R1791" s="16"/>
      <c r="S1791" s="16"/>
      <c r="T1791" s="16"/>
      <c r="U1791" s="16"/>
      <c r="V1791" s="37" t="str">
        <f>IFERROR(__xludf.DUMMYFUNCTION("if(not(iserror(index(split(C1791, "" ""),2))), index(split(C1791, "" ""),1),"""")"),"")</f>
        <v/>
      </c>
      <c r="W1791" s="315" t="str">
        <f>IFERROR(__xludf.DUMMYFUNCTION("if(V1791="""",C1791,if(not(iserror(index(split(C1791, "" ""),3))), index(split(C1791, "" ""),3),index(split(C1791, "" ""),2)))"),"")</f>
        <v/>
      </c>
      <c r="X1791" s="38" t="b">
        <f t="shared" si="2"/>
        <v>0</v>
      </c>
      <c r="Y1791" s="38"/>
      <c r="Z1791" s="40"/>
      <c r="AA1791" s="40"/>
      <c r="AB1791" s="38"/>
      <c r="AC1791" s="38"/>
      <c r="AD1791" s="38"/>
      <c r="AE1791" s="38"/>
      <c r="AF1791" s="38"/>
      <c r="AG1791" s="38"/>
      <c r="AH1791" s="38"/>
      <c r="AI1791" s="38"/>
      <c r="AJ1791" s="38"/>
      <c r="AK1791" s="38"/>
      <c r="AL1791" s="38"/>
      <c r="AM1791" s="38"/>
      <c r="AN1791" s="38"/>
      <c r="AO1791" s="38"/>
      <c r="AP1791" s="38"/>
      <c r="AQ1791" s="38"/>
      <c r="AR1791" s="38"/>
      <c r="AS1791" s="38"/>
      <c r="AT1791" s="38"/>
      <c r="AU1791" s="38"/>
      <c r="AV1791" s="38"/>
      <c r="AW1791" s="38"/>
      <c r="AX1791" s="38"/>
      <c r="AY1791" s="38"/>
      <c r="AZ1791" s="38"/>
      <c r="BA1791" s="38"/>
      <c r="BB1791" s="38"/>
      <c r="BC1791" s="38"/>
      <c r="BD1791" s="38"/>
      <c r="BE1791" s="38"/>
      <c r="BF1791" s="38"/>
      <c r="BG1791" s="38"/>
    </row>
    <row r="1792">
      <c r="A1792" s="16"/>
      <c r="B1792" s="16"/>
      <c r="C1792" s="146"/>
      <c r="D1792" s="146"/>
      <c r="E1792" s="16"/>
      <c r="F1792" s="91"/>
      <c r="G1792" s="16"/>
      <c r="H1792" s="320" t="str">
        <f t="shared" si="1"/>
        <v/>
      </c>
      <c r="I1792" s="16"/>
      <c r="J1792" s="16"/>
      <c r="K1792" s="16"/>
      <c r="L1792" s="38"/>
      <c r="M1792" s="16"/>
      <c r="N1792" s="16"/>
      <c r="O1792" s="16"/>
      <c r="P1792" s="15"/>
      <c r="Q1792" s="15"/>
      <c r="R1792" s="16"/>
      <c r="S1792" s="16"/>
      <c r="T1792" s="16"/>
      <c r="U1792" s="16"/>
      <c r="V1792" s="37" t="str">
        <f>IFERROR(__xludf.DUMMYFUNCTION("if(not(iserror(index(split(C1792, "" ""),2))), index(split(C1792, "" ""),1),"""")"),"")</f>
        <v/>
      </c>
      <c r="W1792" s="315" t="str">
        <f>IFERROR(__xludf.DUMMYFUNCTION("if(V1792="""",C1792,if(not(iserror(index(split(C1792, "" ""),3))), index(split(C1792, "" ""),3),index(split(C1792, "" ""),2)))"),"")</f>
        <v/>
      </c>
      <c r="X1792" s="38" t="b">
        <f t="shared" si="2"/>
        <v>0</v>
      </c>
      <c r="Y1792" s="38"/>
      <c r="Z1792" s="40"/>
      <c r="AA1792" s="40"/>
      <c r="AB1792" s="38"/>
      <c r="AC1792" s="38"/>
      <c r="AD1792" s="38"/>
      <c r="AE1792" s="38"/>
      <c r="AF1792" s="38"/>
      <c r="AG1792" s="38"/>
      <c r="AH1792" s="38"/>
      <c r="AI1792" s="38"/>
      <c r="AJ1792" s="38"/>
      <c r="AK1792" s="38"/>
      <c r="AL1792" s="38"/>
      <c r="AM1792" s="38"/>
      <c r="AN1792" s="38"/>
      <c r="AO1792" s="38"/>
      <c r="AP1792" s="38"/>
      <c r="AQ1792" s="38"/>
      <c r="AR1792" s="38"/>
      <c r="AS1792" s="38"/>
      <c r="AT1792" s="38"/>
      <c r="AU1792" s="38"/>
      <c r="AV1792" s="38"/>
      <c r="AW1792" s="38"/>
      <c r="AX1792" s="38"/>
      <c r="AY1792" s="38"/>
      <c r="AZ1792" s="38"/>
      <c r="BA1792" s="38"/>
      <c r="BB1792" s="38"/>
      <c r="BC1792" s="38"/>
      <c r="BD1792" s="38"/>
      <c r="BE1792" s="38"/>
      <c r="BF1792" s="38"/>
      <c r="BG1792" s="38"/>
    </row>
    <row r="1793">
      <c r="A1793" s="16"/>
      <c r="B1793" s="16"/>
      <c r="C1793" s="146"/>
      <c r="D1793" s="146"/>
      <c r="E1793" s="16"/>
      <c r="F1793" s="91"/>
      <c r="G1793" s="16"/>
      <c r="H1793" s="320" t="str">
        <f t="shared" si="1"/>
        <v/>
      </c>
      <c r="I1793" s="16"/>
      <c r="J1793" s="16"/>
      <c r="K1793" s="16"/>
      <c r="L1793" s="38"/>
      <c r="M1793" s="16"/>
      <c r="N1793" s="16"/>
      <c r="O1793" s="16"/>
      <c r="P1793" s="15"/>
      <c r="Q1793" s="15"/>
      <c r="R1793" s="16"/>
      <c r="S1793" s="16"/>
      <c r="T1793" s="16"/>
      <c r="U1793" s="16"/>
      <c r="V1793" s="37" t="str">
        <f>IFERROR(__xludf.DUMMYFUNCTION("if(not(iserror(index(split(C1793, "" ""),2))), index(split(C1793, "" ""),1),"""")"),"")</f>
        <v/>
      </c>
      <c r="W1793" s="315" t="str">
        <f>IFERROR(__xludf.DUMMYFUNCTION("if(V1793="""",C1793,if(not(iserror(index(split(C1793, "" ""),3))), index(split(C1793, "" ""),3),index(split(C1793, "" ""),2)))"),"")</f>
        <v/>
      </c>
      <c r="X1793" s="38" t="b">
        <f t="shared" si="2"/>
        <v>0</v>
      </c>
      <c r="Y1793" s="38"/>
      <c r="Z1793" s="40"/>
      <c r="AA1793" s="40"/>
      <c r="AB1793" s="38"/>
      <c r="AC1793" s="38"/>
      <c r="AD1793" s="38"/>
      <c r="AE1793" s="38"/>
      <c r="AF1793" s="38"/>
      <c r="AG1793" s="38"/>
      <c r="AH1793" s="38"/>
      <c r="AI1793" s="38"/>
      <c r="AJ1793" s="38"/>
      <c r="AK1793" s="38"/>
      <c r="AL1793" s="38"/>
      <c r="AM1793" s="38"/>
      <c r="AN1793" s="38"/>
      <c r="AO1793" s="38"/>
      <c r="AP1793" s="38"/>
      <c r="AQ1793" s="38"/>
      <c r="AR1793" s="38"/>
      <c r="AS1793" s="38"/>
      <c r="AT1793" s="38"/>
      <c r="AU1793" s="38"/>
      <c r="AV1793" s="38"/>
      <c r="AW1793" s="38"/>
      <c r="AX1793" s="38"/>
      <c r="AY1793" s="38"/>
      <c r="AZ1793" s="38"/>
      <c r="BA1793" s="38"/>
      <c r="BB1793" s="38"/>
      <c r="BC1793" s="38"/>
      <c r="BD1793" s="38"/>
      <c r="BE1793" s="38"/>
      <c r="BF1793" s="38"/>
      <c r="BG1793" s="38"/>
    </row>
    <row r="1794">
      <c r="A1794" s="16"/>
      <c r="B1794" s="16"/>
      <c r="C1794" s="146"/>
      <c r="D1794" s="146"/>
      <c r="E1794" s="16"/>
      <c r="F1794" s="91"/>
      <c r="G1794" s="16"/>
      <c r="H1794" s="320" t="str">
        <f t="shared" si="1"/>
        <v/>
      </c>
      <c r="I1794" s="16"/>
      <c r="J1794" s="16"/>
      <c r="K1794" s="16"/>
      <c r="L1794" s="38"/>
      <c r="M1794" s="16"/>
      <c r="N1794" s="16"/>
      <c r="O1794" s="16"/>
      <c r="P1794" s="15"/>
      <c r="Q1794" s="15"/>
      <c r="R1794" s="16"/>
      <c r="S1794" s="16"/>
      <c r="T1794" s="16"/>
      <c r="U1794" s="16"/>
      <c r="V1794" s="37" t="str">
        <f>IFERROR(__xludf.DUMMYFUNCTION("if(not(iserror(index(split(C1794, "" ""),2))), index(split(C1794, "" ""),1),"""")"),"")</f>
        <v/>
      </c>
      <c r="W1794" s="315" t="str">
        <f>IFERROR(__xludf.DUMMYFUNCTION("if(V1794="""",C1794,if(not(iserror(index(split(C1794, "" ""),3))), index(split(C1794, "" ""),3),index(split(C1794, "" ""),2)))"),"")</f>
        <v/>
      </c>
      <c r="X1794" s="38" t="b">
        <f t="shared" si="2"/>
        <v>0</v>
      </c>
      <c r="Y1794" s="38"/>
      <c r="Z1794" s="40"/>
      <c r="AA1794" s="40"/>
      <c r="AB1794" s="38"/>
      <c r="AC1794" s="38"/>
      <c r="AD1794" s="38"/>
      <c r="AE1794" s="38"/>
      <c r="AF1794" s="38"/>
      <c r="AG1794" s="38"/>
      <c r="AH1794" s="38"/>
      <c r="AI1794" s="38"/>
      <c r="AJ1794" s="38"/>
      <c r="AK1794" s="38"/>
      <c r="AL1794" s="38"/>
      <c r="AM1794" s="38"/>
      <c r="AN1794" s="38"/>
      <c r="AO1794" s="38"/>
      <c r="AP1794" s="38"/>
      <c r="AQ1794" s="38"/>
      <c r="AR1794" s="38"/>
      <c r="AS1794" s="38"/>
      <c r="AT1794" s="38"/>
      <c r="AU1794" s="38"/>
      <c r="AV1794" s="38"/>
      <c r="AW1794" s="38"/>
      <c r="AX1794" s="38"/>
      <c r="AY1794" s="38"/>
      <c r="AZ1794" s="38"/>
      <c r="BA1794" s="38"/>
      <c r="BB1794" s="38"/>
      <c r="BC1794" s="38"/>
      <c r="BD1794" s="38"/>
      <c r="BE1794" s="38"/>
      <c r="BF1794" s="38"/>
      <c r="BG1794" s="38"/>
    </row>
    <row r="1795">
      <c r="A1795" s="16"/>
      <c r="B1795" s="16"/>
      <c r="C1795" s="146"/>
      <c r="D1795" s="146"/>
      <c r="E1795" s="16"/>
      <c r="F1795" s="91"/>
      <c r="G1795" s="16"/>
      <c r="H1795" s="320" t="str">
        <f t="shared" si="1"/>
        <v/>
      </c>
      <c r="I1795" s="16"/>
      <c r="J1795" s="16"/>
      <c r="K1795" s="16"/>
      <c r="L1795" s="38"/>
      <c r="M1795" s="16"/>
      <c r="N1795" s="16"/>
      <c r="O1795" s="16"/>
      <c r="P1795" s="15"/>
      <c r="Q1795" s="15"/>
      <c r="R1795" s="16"/>
      <c r="S1795" s="16"/>
      <c r="T1795" s="16"/>
      <c r="U1795" s="16"/>
      <c r="V1795" s="37" t="str">
        <f>IFERROR(__xludf.DUMMYFUNCTION("if(not(iserror(index(split(C1795, "" ""),2))), index(split(C1795, "" ""),1),"""")"),"")</f>
        <v/>
      </c>
      <c r="W1795" s="315" t="str">
        <f>IFERROR(__xludf.DUMMYFUNCTION("if(V1795="""",C1795,if(not(iserror(index(split(C1795, "" ""),3))), index(split(C1795, "" ""),3),index(split(C1795, "" ""),2)))"),"")</f>
        <v/>
      </c>
      <c r="X1795" s="38" t="b">
        <f t="shared" si="2"/>
        <v>0</v>
      </c>
      <c r="Y1795" s="38"/>
      <c r="Z1795" s="40"/>
      <c r="AA1795" s="40"/>
      <c r="AB1795" s="38"/>
      <c r="AC1795" s="38"/>
      <c r="AD1795" s="38"/>
      <c r="AE1795" s="38"/>
      <c r="AF1795" s="38"/>
      <c r="AG1795" s="38"/>
      <c r="AH1795" s="38"/>
      <c r="AI1795" s="38"/>
      <c r="AJ1795" s="38"/>
      <c r="AK1795" s="38"/>
      <c r="AL1795" s="38"/>
      <c r="AM1795" s="38"/>
      <c r="AN1795" s="38"/>
      <c r="AO1795" s="38"/>
      <c r="AP1795" s="38"/>
      <c r="AQ1795" s="38"/>
      <c r="AR1795" s="38"/>
      <c r="AS1795" s="38"/>
      <c r="AT1795" s="38"/>
      <c r="AU1795" s="38"/>
      <c r="AV1795" s="38"/>
      <c r="AW1795" s="38"/>
      <c r="AX1795" s="38"/>
      <c r="AY1795" s="38"/>
      <c r="AZ1795" s="38"/>
      <c r="BA1795" s="38"/>
      <c r="BB1795" s="38"/>
      <c r="BC1795" s="38"/>
      <c r="BD1795" s="38"/>
      <c r="BE1795" s="38"/>
      <c r="BF1795" s="38"/>
      <c r="BG1795" s="38"/>
    </row>
    <row r="1796">
      <c r="A1796" s="16"/>
      <c r="B1796" s="16"/>
      <c r="C1796" s="146"/>
      <c r="D1796" s="146"/>
      <c r="E1796" s="16"/>
      <c r="F1796" s="91"/>
      <c r="G1796" s="16"/>
      <c r="H1796" s="320" t="str">
        <f t="shared" si="1"/>
        <v/>
      </c>
      <c r="I1796" s="16"/>
      <c r="J1796" s="16"/>
      <c r="K1796" s="16"/>
      <c r="L1796" s="38"/>
      <c r="M1796" s="16"/>
      <c r="N1796" s="16"/>
      <c r="O1796" s="16"/>
      <c r="P1796" s="15"/>
      <c r="Q1796" s="15"/>
      <c r="R1796" s="16"/>
      <c r="S1796" s="16"/>
      <c r="T1796" s="16"/>
      <c r="U1796" s="16"/>
      <c r="V1796" s="37" t="str">
        <f>IFERROR(__xludf.DUMMYFUNCTION("if(not(iserror(index(split(C1796, "" ""),2))), index(split(C1796, "" ""),1),"""")"),"")</f>
        <v/>
      </c>
      <c r="W1796" s="315" t="str">
        <f>IFERROR(__xludf.DUMMYFUNCTION("if(V1796="""",C1796,if(not(iserror(index(split(C1796, "" ""),3))), index(split(C1796, "" ""),3),index(split(C1796, "" ""),2)))"),"")</f>
        <v/>
      </c>
      <c r="X1796" s="38" t="b">
        <f t="shared" si="2"/>
        <v>0</v>
      </c>
      <c r="Y1796" s="38"/>
      <c r="Z1796" s="40"/>
      <c r="AA1796" s="40"/>
      <c r="AB1796" s="38"/>
      <c r="AC1796" s="38"/>
      <c r="AD1796" s="38"/>
      <c r="AE1796" s="38"/>
      <c r="AF1796" s="38"/>
      <c r="AG1796" s="38"/>
      <c r="AH1796" s="38"/>
      <c r="AI1796" s="38"/>
      <c r="AJ1796" s="38"/>
      <c r="AK1796" s="38"/>
      <c r="AL1796" s="38"/>
      <c r="AM1796" s="38"/>
      <c r="AN1796" s="38"/>
      <c r="AO1796" s="38"/>
      <c r="AP1796" s="38"/>
      <c r="AQ1796" s="38"/>
      <c r="AR1796" s="38"/>
      <c r="AS1796" s="38"/>
      <c r="AT1796" s="38"/>
      <c r="AU1796" s="38"/>
      <c r="AV1796" s="38"/>
      <c r="AW1796" s="38"/>
      <c r="AX1796" s="38"/>
      <c r="AY1796" s="38"/>
      <c r="AZ1796" s="38"/>
      <c r="BA1796" s="38"/>
      <c r="BB1796" s="38"/>
      <c r="BC1796" s="38"/>
      <c r="BD1796" s="38"/>
      <c r="BE1796" s="38"/>
      <c r="BF1796" s="38"/>
      <c r="BG1796" s="38"/>
    </row>
    <row r="1797">
      <c r="A1797" s="16"/>
      <c r="B1797" s="16"/>
      <c r="C1797" s="146"/>
      <c r="D1797" s="146"/>
      <c r="E1797" s="16"/>
      <c r="F1797" s="91"/>
      <c r="G1797" s="16"/>
      <c r="H1797" s="320" t="str">
        <f t="shared" si="1"/>
        <v/>
      </c>
      <c r="I1797" s="16"/>
      <c r="J1797" s="16"/>
      <c r="K1797" s="16"/>
      <c r="L1797" s="38"/>
      <c r="M1797" s="16"/>
      <c r="N1797" s="16"/>
      <c r="O1797" s="16"/>
      <c r="P1797" s="15"/>
      <c r="Q1797" s="15"/>
      <c r="R1797" s="16"/>
      <c r="S1797" s="16"/>
      <c r="T1797" s="16"/>
      <c r="U1797" s="16"/>
      <c r="V1797" s="37" t="str">
        <f>IFERROR(__xludf.DUMMYFUNCTION("if(not(iserror(index(split(C1797, "" ""),2))), index(split(C1797, "" ""),1),"""")"),"")</f>
        <v/>
      </c>
      <c r="W1797" s="315" t="str">
        <f>IFERROR(__xludf.DUMMYFUNCTION("if(V1797="""",C1797,if(not(iserror(index(split(C1797, "" ""),3))), index(split(C1797, "" ""),3),index(split(C1797, "" ""),2)))"),"")</f>
        <v/>
      </c>
      <c r="X1797" s="38" t="b">
        <f t="shared" si="2"/>
        <v>0</v>
      </c>
      <c r="Y1797" s="38"/>
      <c r="Z1797" s="40"/>
      <c r="AA1797" s="40"/>
      <c r="AB1797" s="38"/>
      <c r="AC1797" s="38"/>
      <c r="AD1797" s="38"/>
      <c r="AE1797" s="38"/>
      <c r="AF1797" s="38"/>
      <c r="AG1797" s="38"/>
      <c r="AH1797" s="38"/>
      <c r="AI1797" s="38"/>
      <c r="AJ1797" s="38"/>
      <c r="AK1797" s="38"/>
      <c r="AL1797" s="38"/>
      <c r="AM1797" s="38"/>
      <c r="AN1797" s="38"/>
      <c r="AO1797" s="38"/>
      <c r="AP1797" s="38"/>
      <c r="AQ1797" s="38"/>
      <c r="AR1797" s="38"/>
      <c r="AS1797" s="38"/>
      <c r="AT1797" s="38"/>
      <c r="AU1797" s="38"/>
      <c r="AV1797" s="38"/>
      <c r="AW1797" s="38"/>
      <c r="AX1797" s="38"/>
      <c r="AY1797" s="38"/>
      <c r="AZ1797" s="38"/>
      <c r="BA1797" s="38"/>
      <c r="BB1797" s="38"/>
      <c r="BC1797" s="38"/>
      <c r="BD1797" s="38"/>
      <c r="BE1797" s="38"/>
      <c r="BF1797" s="38"/>
      <c r="BG1797" s="38"/>
    </row>
    <row r="1798">
      <c r="A1798" s="16"/>
      <c r="B1798" s="16"/>
      <c r="C1798" s="146"/>
      <c r="D1798" s="146"/>
      <c r="E1798" s="16"/>
      <c r="F1798" s="91"/>
      <c r="G1798" s="16"/>
      <c r="H1798" s="320" t="str">
        <f t="shared" si="1"/>
        <v/>
      </c>
      <c r="I1798" s="16"/>
      <c r="J1798" s="16"/>
      <c r="K1798" s="16"/>
      <c r="L1798" s="38"/>
      <c r="M1798" s="16"/>
      <c r="N1798" s="16"/>
      <c r="O1798" s="16"/>
      <c r="P1798" s="15"/>
      <c r="Q1798" s="15"/>
      <c r="R1798" s="16"/>
      <c r="S1798" s="16"/>
      <c r="T1798" s="16"/>
      <c r="U1798" s="16"/>
      <c r="V1798" s="37" t="str">
        <f>IFERROR(__xludf.DUMMYFUNCTION("if(not(iserror(index(split(C1798, "" ""),2))), index(split(C1798, "" ""),1),"""")"),"")</f>
        <v/>
      </c>
      <c r="W1798" s="315" t="str">
        <f>IFERROR(__xludf.DUMMYFUNCTION("if(V1798="""",C1798,if(not(iserror(index(split(C1798, "" ""),3))), index(split(C1798, "" ""),3),index(split(C1798, "" ""),2)))"),"")</f>
        <v/>
      </c>
      <c r="X1798" s="38" t="b">
        <f t="shared" si="2"/>
        <v>0</v>
      </c>
      <c r="Y1798" s="38"/>
      <c r="Z1798" s="40"/>
      <c r="AA1798" s="40"/>
      <c r="AB1798" s="38"/>
      <c r="AC1798" s="38"/>
      <c r="AD1798" s="38"/>
      <c r="AE1798" s="38"/>
      <c r="AF1798" s="38"/>
      <c r="AG1798" s="38"/>
      <c r="AH1798" s="38"/>
      <c r="AI1798" s="38"/>
      <c r="AJ1798" s="38"/>
      <c r="AK1798" s="38"/>
      <c r="AL1798" s="38"/>
      <c r="AM1798" s="38"/>
      <c r="AN1798" s="38"/>
      <c r="AO1798" s="38"/>
      <c r="AP1798" s="38"/>
      <c r="AQ1798" s="38"/>
      <c r="AR1798" s="38"/>
      <c r="AS1798" s="38"/>
      <c r="AT1798" s="38"/>
      <c r="AU1798" s="38"/>
      <c r="AV1798" s="38"/>
      <c r="AW1798" s="38"/>
      <c r="AX1798" s="38"/>
      <c r="AY1798" s="38"/>
      <c r="AZ1798" s="38"/>
      <c r="BA1798" s="38"/>
      <c r="BB1798" s="38"/>
      <c r="BC1798" s="38"/>
      <c r="BD1798" s="38"/>
      <c r="BE1798" s="38"/>
      <c r="BF1798" s="38"/>
      <c r="BG1798" s="38"/>
    </row>
    <row r="1799">
      <c r="A1799" s="16"/>
      <c r="B1799" s="16"/>
      <c r="C1799" s="146"/>
      <c r="D1799" s="146"/>
      <c r="E1799" s="16"/>
      <c r="F1799" s="91"/>
      <c r="G1799" s="16"/>
      <c r="H1799" s="320" t="str">
        <f t="shared" si="1"/>
        <v/>
      </c>
      <c r="I1799" s="16"/>
      <c r="J1799" s="16"/>
      <c r="K1799" s="16"/>
      <c r="L1799" s="38"/>
      <c r="M1799" s="16"/>
      <c r="N1799" s="16"/>
      <c r="O1799" s="16"/>
      <c r="P1799" s="15"/>
      <c r="Q1799" s="15"/>
      <c r="R1799" s="16"/>
      <c r="S1799" s="16"/>
      <c r="T1799" s="16"/>
      <c r="U1799" s="16"/>
      <c r="V1799" s="37" t="str">
        <f>IFERROR(__xludf.DUMMYFUNCTION("if(not(iserror(index(split(C1799, "" ""),2))), index(split(C1799, "" ""),1),"""")"),"")</f>
        <v/>
      </c>
      <c r="W1799" s="315" t="str">
        <f>IFERROR(__xludf.DUMMYFUNCTION("if(V1799="""",C1799,if(not(iserror(index(split(C1799, "" ""),3))), index(split(C1799, "" ""),3),index(split(C1799, "" ""),2)))"),"")</f>
        <v/>
      </c>
      <c r="X1799" s="38" t="b">
        <f t="shared" si="2"/>
        <v>0</v>
      </c>
      <c r="Y1799" s="38"/>
      <c r="Z1799" s="40"/>
      <c r="AA1799" s="40"/>
      <c r="AB1799" s="38"/>
      <c r="AC1799" s="38"/>
      <c r="AD1799" s="38"/>
      <c r="AE1799" s="38"/>
      <c r="AF1799" s="38"/>
      <c r="AG1799" s="38"/>
      <c r="AH1799" s="38"/>
      <c r="AI1799" s="38"/>
      <c r="AJ1799" s="38"/>
      <c r="AK1799" s="38"/>
      <c r="AL1799" s="38"/>
      <c r="AM1799" s="38"/>
      <c r="AN1799" s="38"/>
      <c r="AO1799" s="38"/>
      <c r="AP1799" s="38"/>
      <c r="AQ1799" s="38"/>
      <c r="AR1799" s="38"/>
      <c r="AS1799" s="38"/>
      <c r="AT1799" s="38"/>
      <c r="AU1799" s="38"/>
      <c r="AV1799" s="38"/>
      <c r="AW1799" s="38"/>
      <c r="AX1799" s="38"/>
      <c r="AY1799" s="38"/>
      <c r="AZ1799" s="38"/>
      <c r="BA1799" s="38"/>
      <c r="BB1799" s="38"/>
      <c r="BC1799" s="38"/>
      <c r="BD1799" s="38"/>
      <c r="BE1799" s="38"/>
      <c r="BF1799" s="38"/>
      <c r="BG1799" s="38"/>
    </row>
    <row r="1800">
      <c r="A1800" s="16"/>
      <c r="B1800" s="16"/>
      <c r="C1800" s="146"/>
      <c r="D1800" s="146"/>
      <c r="E1800" s="16"/>
      <c r="F1800" s="91"/>
      <c r="G1800" s="16"/>
      <c r="H1800" s="320" t="str">
        <f t="shared" si="1"/>
        <v/>
      </c>
      <c r="I1800" s="16"/>
      <c r="J1800" s="16"/>
      <c r="K1800" s="16"/>
      <c r="L1800" s="38"/>
      <c r="M1800" s="16"/>
      <c r="N1800" s="16"/>
      <c r="O1800" s="16"/>
      <c r="P1800" s="15"/>
      <c r="Q1800" s="15"/>
      <c r="R1800" s="16"/>
      <c r="S1800" s="16"/>
      <c r="T1800" s="16"/>
      <c r="U1800" s="16"/>
      <c r="V1800" s="37" t="str">
        <f>IFERROR(__xludf.DUMMYFUNCTION("if(not(iserror(index(split(C1800, "" ""),2))), index(split(C1800, "" ""),1),"""")"),"")</f>
        <v/>
      </c>
      <c r="W1800" s="315" t="str">
        <f>IFERROR(__xludf.DUMMYFUNCTION("if(V1800="""",C1800,if(not(iserror(index(split(C1800, "" ""),3))), index(split(C1800, "" ""),3),index(split(C1800, "" ""),2)))"),"")</f>
        <v/>
      </c>
      <c r="X1800" s="38" t="b">
        <f t="shared" si="2"/>
        <v>0</v>
      </c>
      <c r="Y1800" s="38"/>
      <c r="Z1800" s="40"/>
      <c r="AA1800" s="40"/>
      <c r="AB1800" s="38"/>
      <c r="AC1800" s="38"/>
      <c r="AD1800" s="38"/>
      <c r="AE1800" s="38"/>
      <c r="AF1800" s="38"/>
      <c r="AG1800" s="38"/>
      <c r="AH1800" s="38"/>
      <c r="AI1800" s="38"/>
      <c r="AJ1800" s="38"/>
      <c r="AK1800" s="38"/>
      <c r="AL1800" s="38"/>
      <c r="AM1800" s="38"/>
      <c r="AN1800" s="38"/>
      <c r="AO1800" s="38"/>
      <c r="AP1800" s="38"/>
      <c r="AQ1800" s="38"/>
      <c r="AR1800" s="38"/>
      <c r="AS1800" s="38"/>
      <c r="AT1800" s="38"/>
      <c r="AU1800" s="38"/>
      <c r="AV1800" s="38"/>
      <c r="AW1800" s="38"/>
      <c r="AX1800" s="38"/>
      <c r="AY1800" s="38"/>
      <c r="AZ1800" s="38"/>
      <c r="BA1800" s="38"/>
      <c r="BB1800" s="38"/>
      <c r="BC1800" s="38"/>
      <c r="BD1800" s="38"/>
      <c r="BE1800" s="38"/>
      <c r="BF1800" s="38"/>
      <c r="BG1800" s="38"/>
    </row>
    <row r="1801">
      <c r="A1801" s="16"/>
      <c r="B1801" s="16"/>
      <c r="C1801" s="146"/>
      <c r="D1801" s="146"/>
      <c r="E1801" s="16"/>
      <c r="F1801" s="91"/>
      <c r="G1801" s="16"/>
      <c r="H1801" s="320" t="str">
        <f t="shared" si="1"/>
        <v/>
      </c>
      <c r="I1801" s="16"/>
      <c r="J1801" s="16"/>
      <c r="K1801" s="16"/>
      <c r="L1801" s="38"/>
      <c r="M1801" s="16"/>
      <c r="N1801" s="16"/>
      <c r="O1801" s="16"/>
      <c r="P1801" s="15"/>
      <c r="Q1801" s="15"/>
      <c r="R1801" s="16"/>
      <c r="S1801" s="16"/>
      <c r="T1801" s="16"/>
      <c r="U1801" s="16"/>
      <c r="V1801" s="37" t="str">
        <f>IFERROR(__xludf.DUMMYFUNCTION("if(not(iserror(index(split(C1801, "" ""),2))), index(split(C1801, "" ""),1),"""")"),"")</f>
        <v/>
      </c>
      <c r="W1801" s="315" t="str">
        <f>IFERROR(__xludf.DUMMYFUNCTION("if(V1801="""",C1801,if(not(iserror(index(split(C1801, "" ""),3))), index(split(C1801, "" ""),3),index(split(C1801, "" ""),2)))"),"")</f>
        <v/>
      </c>
      <c r="X1801" s="38" t="b">
        <f t="shared" si="2"/>
        <v>0</v>
      </c>
      <c r="Y1801" s="38"/>
      <c r="Z1801" s="40"/>
      <c r="AA1801" s="40"/>
      <c r="AB1801" s="38"/>
      <c r="AC1801" s="38"/>
      <c r="AD1801" s="38"/>
      <c r="AE1801" s="38"/>
      <c r="AF1801" s="38"/>
      <c r="AG1801" s="38"/>
      <c r="AH1801" s="38"/>
      <c r="AI1801" s="38"/>
      <c r="AJ1801" s="38"/>
      <c r="AK1801" s="38"/>
      <c r="AL1801" s="38"/>
      <c r="AM1801" s="38"/>
      <c r="AN1801" s="38"/>
      <c r="AO1801" s="38"/>
      <c r="AP1801" s="38"/>
      <c r="AQ1801" s="38"/>
      <c r="AR1801" s="38"/>
      <c r="AS1801" s="38"/>
      <c r="AT1801" s="38"/>
      <c r="AU1801" s="38"/>
      <c r="AV1801" s="38"/>
      <c r="AW1801" s="38"/>
      <c r="AX1801" s="38"/>
      <c r="AY1801" s="38"/>
      <c r="AZ1801" s="38"/>
      <c r="BA1801" s="38"/>
      <c r="BB1801" s="38"/>
      <c r="BC1801" s="38"/>
      <c r="BD1801" s="38"/>
      <c r="BE1801" s="38"/>
      <c r="BF1801" s="38"/>
      <c r="BG1801" s="38"/>
    </row>
    <row r="1802">
      <c r="A1802" s="16"/>
      <c r="B1802" s="16"/>
      <c r="C1802" s="146"/>
      <c r="D1802" s="146"/>
      <c r="E1802" s="16"/>
      <c r="F1802" s="91"/>
      <c r="G1802" s="16"/>
      <c r="H1802" s="320" t="str">
        <f t="shared" si="1"/>
        <v/>
      </c>
      <c r="I1802" s="16"/>
      <c r="J1802" s="16"/>
      <c r="K1802" s="16"/>
      <c r="L1802" s="38"/>
      <c r="M1802" s="16"/>
      <c r="N1802" s="16"/>
      <c r="O1802" s="16"/>
      <c r="P1802" s="15"/>
      <c r="Q1802" s="15"/>
      <c r="R1802" s="16"/>
      <c r="S1802" s="16"/>
      <c r="T1802" s="16"/>
      <c r="U1802" s="16"/>
      <c r="V1802" s="37" t="str">
        <f>IFERROR(__xludf.DUMMYFUNCTION("if(not(iserror(index(split(C1802, "" ""),2))), index(split(C1802, "" ""),1),"""")"),"")</f>
        <v/>
      </c>
      <c r="W1802" s="315" t="str">
        <f>IFERROR(__xludf.DUMMYFUNCTION("if(V1802="""",C1802,if(not(iserror(index(split(C1802, "" ""),3))), index(split(C1802, "" ""),3),index(split(C1802, "" ""),2)))"),"")</f>
        <v/>
      </c>
      <c r="X1802" s="38" t="b">
        <f t="shared" si="2"/>
        <v>0</v>
      </c>
      <c r="Y1802" s="38"/>
      <c r="Z1802" s="40"/>
      <c r="AA1802" s="40"/>
      <c r="AB1802" s="38"/>
      <c r="AC1802" s="38"/>
      <c r="AD1802" s="38"/>
      <c r="AE1802" s="38"/>
      <c r="AF1802" s="38"/>
      <c r="AG1802" s="38"/>
      <c r="AH1802" s="38"/>
      <c r="AI1802" s="38"/>
      <c r="AJ1802" s="38"/>
      <c r="AK1802" s="38"/>
      <c r="AL1802" s="38"/>
      <c r="AM1802" s="38"/>
      <c r="AN1802" s="38"/>
      <c r="AO1802" s="38"/>
      <c r="AP1802" s="38"/>
      <c r="AQ1802" s="38"/>
      <c r="AR1802" s="38"/>
      <c r="AS1802" s="38"/>
      <c r="AT1802" s="38"/>
      <c r="AU1802" s="38"/>
      <c r="AV1802" s="38"/>
      <c r="AW1802" s="38"/>
      <c r="AX1802" s="38"/>
      <c r="AY1802" s="38"/>
      <c r="AZ1802" s="38"/>
      <c r="BA1802" s="38"/>
      <c r="BB1802" s="38"/>
      <c r="BC1802" s="38"/>
      <c r="BD1802" s="38"/>
      <c r="BE1802" s="38"/>
      <c r="BF1802" s="38"/>
      <c r="BG1802" s="38"/>
    </row>
    <row r="1803">
      <c r="A1803" s="16"/>
      <c r="B1803" s="16"/>
      <c r="C1803" s="146"/>
      <c r="D1803" s="146"/>
      <c r="E1803" s="16"/>
      <c r="F1803" s="91"/>
      <c r="G1803" s="16"/>
      <c r="H1803" s="320" t="str">
        <f t="shared" si="1"/>
        <v/>
      </c>
      <c r="I1803" s="16"/>
      <c r="J1803" s="16"/>
      <c r="K1803" s="16"/>
      <c r="L1803" s="38"/>
      <c r="M1803" s="16"/>
      <c r="N1803" s="16"/>
      <c r="O1803" s="16"/>
      <c r="P1803" s="15"/>
      <c r="Q1803" s="15"/>
      <c r="R1803" s="16"/>
      <c r="S1803" s="16"/>
      <c r="T1803" s="16"/>
      <c r="U1803" s="16"/>
      <c r="V1803" s="37" t="str">
        <f>IFERROR(__xludf.DUMMYFUNCTION("if(not(iserror(index(split(C1803, "" ""),2))), index(split(C1803, "" ""),1),"""")"),"")</f>
        <v/>
      </c>
      <c r="W1803" s="315" t="str">
        <f>IFERROR(__xludf.DUMMYFUNCTION("if(V1803="""",C1803,if(not(iserror(index(split(C1803, "" ""),3))), index(split(C1803, "" ""),3),index(split(C1803, "" ""),2)))"),"")</f>
        <v/>
      </c>
      <c r="X1803" s="38" t="b">
        <f t="shared" si="2"/>
        <v>0</v>
      </c>
      <c r="Y1803" s="38"/>
      <c r="Z1803" s="40"/>
      <c r="AA1803" s="40"/>
      <c r="AB1803" s="38"/>
      <c r="AC1803" s="38"/>
      <c r="AD1803" s="38"/>
      <c r="AE1803" s="38"/>
      <c r="AF1803" s="38"/>
      <c r="AG1803" s="38"/>
      <c r="AH1803" s="38"/>
      <c r="AI1803" s="38"/>
      <c r="AJ1803" s="38"/>
      <c r="AK1803" s="38"/>
      <c r="AL1803" s="38"/>
      <c r="AM1803" s="38"/>
      <c r="AN1803" s="38"/>
      <c r="AO1803" s="38"/>
      <c r="AP1803" s="38"/>
      <c r="AQ1803" s="38"/>
      <c r="AR1803" s="38"/>
      <c r="AS1803" s="38"/>
      <c r="AT1803" s="38"/>
      <c r="AU1803" s="38"/>
      <c r="AV1803" s="38"/>
      <c r="AW1803" s="38"/>
      <c r="AX1803" s="38"/>
      <c r="AY1803" s="38"/>
      <c r="AZ1803" s="38"/>
      <c r="BA1803" s="38"/>
      <c r="BB1803" s="38"/>
      <c r="BC1803" s="38"/>
      <c r="BD1803" s="38"/>
      <c r="BE1803" s="38"/>
      <c r="BF1803" s="38"/>
      <c r="BG1803" s="38"/>
    </row>
    <row r="1804">
      <c r="A1804" s="16"/>
      <c r="B1804" s="16"/>
      <c r="C1804" s="146"/>
      <c r="D1804" s="146"/>
      <c r="E1804" s="16"/>
      <c r="F1804" s="91"/>
      <c r="G1804" s="16"/>
      <c r="H1804" s="320" t="str">
        <f t="shared" si="1"/>
        <v/>
      </c>
      <c r="I1804" s="16"/>
      <c r="J1804" s="16"/>
      <c r="K1804" s="16"/>
      <c r="L1804" s="38"/>
      <c r="M1804" s="16"/>
      <c r="N1804" s="16"/>
      <c r="O1804" s="16"/>
      <c r="P1804" s="15"/>
      <c r="Q1804" s="15"/>
      <c r="R1804" s="16"/>
      <c r="S1804" s="16"/>
      <c r="T1804" s="16"/>
      <c r="U1804" s="16"/>
      <c r="V1804" s="37" t="str">
        <f>IFERROR(__xludf.DUMMYFUNCTION("if(not(iserror(index(split(C1804, "" ""),2))), index(split(C1804, "" ""),1),"""")"),"")</f>
        <v/>
      </c>
      <c r="W1804" s="315" t="str">
        <f>IFERROR(__xludf.DUMMYFUNCTION("if(V1804="""",C1804,if(not(iserror(index(split(C1804, "" ""),3))), index(split(C1804, "" ""),3),index(split(C1804, "" ""),2)))"),"")</f>
        <v/>
      </c>
      <c r="X1804" s="38" t="b">
        <f t="shared" si="2"/>
        <v>0</v>
      </c>
      <c r="Y1804" s="38"/>
      <c r="Z1804" s="40"/>
      <c r="AA1804" s="40"/>
      <c r="AB1804" s="38"/>
      <c r="AC1804" s="38"/>
      <c r="AD1804" s="38"/>
      <c r="AE1804" s="38"/>
      <c r="AF1804" s="38"/>
      <c r="AG1804" s="38"/>
      <c r="AH1804" s="38"/>
      <c r="AI1804" s="38"/>
      <c r="AJ1804" s="38"/>
      <c r="AK1804" s="38"/>
      <c r="AL1804" s="38"/>
      <c r="AM1804" s="38"/>
      <c r="AN1804" s="38"/>
      <c r="AO1804" s="38"/>
      <c r="AP1804" s="38"/>
      <c r="AQ1804" s="38"/>
      <c r="AR1804" s="38"/>
      <c r="AS1804" s="38"/>
      <c r="AT1804" s="38"/>
      <c r="AU1804" s="38"/>
      <c r="AV1804" s="38"/>
      <c r="AW1804" s="38"/>
      <c r="AX1804" s="38"/>
      <c r="AY1804" s="38"/>
      <c r="AZ1804" s="38"/>
      <c r="BA1804" s="38"/>
      <c r="BB1804" s="38"/>
      <c r="BC1804" s="38"/>
      <c r="BD1804" s="38"/>
      <c r="BE1804" s="38"/>
      <c r="BF1804" s="38"/>
      <c r="BG1804" s="38"/>
    </row>
    <row r="1805">
      <c r="A1805" s="16"/>
      <c r="B1805" s="16"/>
      <c r="C1805" s="146"/>
      <c r="D1805" s="146"/>
      <c r="E1805" s="16"/>
      <c r="F1805" s="91"/>
      <c r="G1805" s="16"/>
      <c r="H1805" s="320" t="str">
        <f t="shared" si="1"/>
        <v/>
      </c>
      <c r="I1805" s="16"/>
      <c r="J1805" s="16"/>
      <c r="K1805" s="16"/>
      <c r="L1805" s="38"/>
      <c r="M1805" s="16"/>
      <c r="N1805" s="16"/>
      <c r="O1805" s="16"/>
      <c r="P1805" s="15"/>
      <c r="Q1805" s="15"/>
      <c r="R1805" s="16"/>
      <c r="S1805" s="16"/>
      <c r="T1805" s="16"/>
      <c r="U1805" s="16"/>
      <c r="V1805" s="37" t="str">
        <f>IFERROR(__xludf.DUMMYFUNCTION("if(not(iserror(index(split(C1805, "" ""),2))), index(split(C1805, "" ""),1),"""")"),"")</f>
        <v/>
      </c>
      <c r="W1805" s="315" t="str">
        <f>IFERROR(__xludf.DUMMYFUNCTION("if(V1805="""",C1805,if(not(iserror(index(split(C1805, "" ""),3))), index(split(C1805, "" ""),3),index(split(C1805, "" ""),2)))"),"")</f>
        <v/>
      </c>
      <c r="X1805" s="38" t="b">
        <f t="shared" si="2"/>
        <v>0</v>
      </c>
      <c r="Y1805" s="38"/>
      <c r="Z1805" s="40"/>
      <c r="AA1805" s="40"/>
      <c r="AB1805" s="38"/>
      <c r="AC1805" s="38"/>
      <c r="AD1805" s="38"/>
      <c r="AE1805" s="38"/>
      <c r="AF1805" s="38"/>
      <c r="AG1805" s="38"/>
      <c r="AH1805" s="38"/>
      <c r="AI1805" s="38"/>
      <c r="AJ1805" s="38"/>
      <c r="AK1805" s="38"/>
      <c r="AL1805" s="38"/>
      <c r="AM1805" s="38"/>
      <c r="AN1805" s="38"/>
      <c r="AO1805" s="38"/>
      <c r="AP1805" s="38"/>
      <c r="AQ1805" s="38"/>
      <c r="AR1805" s="38"/>
      <c r="AS1805" s="38"/>
      <c r="AT1805" s="38"/>
      <c r="AU1805" s="38"/>
      <c r="AV1805" s="38"/>
      <c r="AW1805" s="38"/>
      <c r="AX1805" s="38"/>
      <c r="AY1805" s="38"/>
      <c r="AZ1805" s="38"/>
      <c r="BA1805" s="38"/>
      <c r="BB1805" s="38"/>
      <c r="BC1805" s="38"/>
      <c r="BD1805" s="38"/>
      <c r="BE1805" s="38"/>
      <c r="BF1805" s="38"/>
      <c r="BG1805" s="38"/>
    </row>
    <row r="1806">
      <c r="A1806" s="16"/>
      <c r="B1806" s="16"/>
      <c r="C1806" s="146"/>
      <c r="D1806" s="146"/>
      <c r="E1806" s="16"/>
      <c r="F1806" s="91"/>
      <c r="G1806" s="16"/>
      <c r="H1806" s="320" t="str">
        <f t="shared" si="1"/>
        <v/>
      </c>
      <c r="I1806" s="16"/>
      <c r="J1806" s="16"/>
      <c r="K1806" s="16"/>
      <c r="L1806" s="38"/>
      <c r="M1806" s="16"/>
      <c r="N1806" s="16"/>
      <c r="O1806" s="16"/>
      <c r="P1806" s="15"/>
      <c r="Q1806" s="15"/>
      <c r="R1806" s="16"/>
      <c r="S1806" s="16"/>
      <c r="T1806" s="16"/>
      <c r="U1806" s="16"/>
      <c r="V1806" s="37" t="str">
        <f>IFERROR(__xludf.DUMMYFUNCTION("if(not(iserror(index(split(C1806, "" ""),2))), index(split(C1806, "" ""),1),"""")"),"")</f>
        <v/>
      </c>
      <c r="W1806" s="315" t="str">
        <f>IFERROR(__xludf.DUMMYFUNCTION("if(V1806="""",C1806,if(not(iserror(index(split(C1806, "" ""),3))), index(split(C1806, "" ""),3),index(split(C1806, "" ""),2)))"),"")</f>
        <v/>
      </c>
      <c r="X1806" s="38" t="b">
        <f t="shared" si="2"/>
        <v>0</v>
      </c>
      <c r="Y1806" s="38"/>
      <c r="Z1806" s="40"/>
      <c r="AA1806" s="40"/>
      <c r="AB1806" s="38"/>
      <c r="AC1806" s="38"/>
      <c r="AD1806" s="38"/>
      <c r="AE1806" s="38"/>
      <c r="AF1806" s="38"/>
      <c r="AG1806" s="38"/>
      <c r="AH1806" s="38"/>
      <c r="AI1806" s="38"/>
      <c r="AJ1806" s="38"/>
      <c r="AK1806" s="38"/>
      <c r="AL1806" s="38"/>
      <c r="AM1806" s="38"/>
      <c r="AN1806" s="38"/>
      <c r="AO1806" s="38"/>
      <c r="AP1806" s="38"/>
      <c r="AQ1806" s="38"/>
      <c r="AR1806" s="38"/>
      <c r="AS1806" s="38"/>
      <c r="AT1806" s="38"/>
      <c r="AU1806" s="38"/>
      <c r="AV1806" s="38"/>
      <c r="AW1806" s="38"/>
      <c r="AX1806" s="38"/>
      <c r="AY1806" s="38"/>
      <c r="AZ1806" s="38"/>
      <c r="BA1806" s="38"/>
      <c r="BB1806" s="38"/>
      <c r="BC1806" s="38"/>
      <c r="BD1806" s="38"/>
      <c r="BE1806" s="38"/>
      <c r="BF1806" s="38"/>
      <c r="BG1806" s="38"/>
    </row>
    <row r="1807">
      <c r="A1807" s="16"/>
      <c r="B1807" s="16"/>
      <c r="C1807" s="146"/>
      <c r="D1807" s="146"/>
      <c r="E1807" s="16"/>
      <c r="F1807" s="91"/>
      <c r="G1807" s="16"/>
      <c r="H1807" s="320" t="str">
        <f t="shared" si="1"/>
        <v/>
      </c>
      <c r="I1807" s="16"/>
      <c r="J1807" s="16"/>
      <c r="K1807" s="16"/>
      <c r="L1807" s="38"/>
      <c r="M1807" s="16"/>
      <c r="N1807" s="16"/>
      <c r="O1807" s="16"/>
      <c r="P1807" s="15"/>
      <c r="Q1807" s="15"/>
      <c r="R1807" s="16"/>
      <c r="S1807" s="16"/>
      <c r="T1807" s="16"/>
      <c r="U1807" s="16"/>
      <c r="V1807" s="37" t="str">
        <f>IFERROR(__xludf.DUMMYFUNCTION("if(not(iserror(index(split(C1807, "" ""),2))), index(split(C1807, "" ""),1),"""")"),"")</f>
        <v/>
      </c>
      <c r="W1807" s="315" t="str">
        <f>IFERROR(__xludf.DUMMYFUNCTION("if(V1807="""",C1807,if(not(iserror(index(split(C1807, "" ""),3))), index(split(C1807, "" ""),3),index(split(C1807, "" ""),2)))"),"")</f>
        <v/>
      </c>
      <c r="X1807" s="38" t="b">
        <f t="shared" si="2"/>
        <v>0</v>
      </c>
      <c r="Y1807" s="38"/>
      <c r="Z1807" s="40"/>
      <c r="AA1807" s="40"/>
      <c r="AB1807" s="38"/>
      <c r="AC1807" s="38"/>
      <c r="AD1807" s="38"/>
      <c r="AE1807" s="38"/>
      <c r="AF1807" s="38"/>
      <c r="AG1807" s="38"/>
      <c r="AH1807" s="38"/>
      <c r="AI1807" s="38"/>
      <c r="AJ1807" s="38"/>
      <c r="AK1807" s="38"/>
      <c r="AL1807" s="38"/>
      <c r="AM1807" s="38"/>
      <c r="AN1807" s="38"/>
      <c r="AO1807" s="38"/>
      <c r="AP1807" s="38"/>
      <c r="AQ1807" s="38"/>
      <c r="AR1807" s="38"/>
      <c r="AS1807" s="38"/>
      <c r="AT1807" s="38"/>
      <c r="AU1807" s="38"/>
      <c r="AV1807" s="38"/>
      <c r="AW1807" s="38"/>
      <c r="AX1807" s="38"/>
      <c r="AY1807" s="38"/>
      <c r="AZ1807" s="38"/>
      <c r="BA1807" s="38"/>
      <c r="BB1807" s="38"/>
      <c r="BC1807" s="38"/>
      <c r="BD1807" s="38"/>
      <c r="BE1807" s="38"/>
      <c r="BF1807" s="38"/>
      <c r="BG1807" s="38"/>
    </row>
    <row r="1808">
      <c r="A1808" s="16"/>
      <c r="B1808" s="16"/>
      <c r="C1808" s="146"/>
      <c r="D1808" s="146"/>
      <c r="E1808" s="16"/>
      <c r="F1808" s="91"/>
      <c r="G1808" s="16"/>
      <c r="H1808" s="320" t="str">
        <f t="shared" si="1"/>
        <v/>
      </c>
      <c r="I1808" s="16"/>
      <c r="J1808" s="16"/>
      <c r="K1808" s="16"/>
      <c r="L1808" s="38"/>
      <c r="M1808" s="16"/>
      <c r="N1808" s="16"/>
      <c r="O1808" s="16"/>
      <c r="P1808" s="15"/>
      <c r="Q1808" s="15"/>
      <c r="R1808" s="16"/>
      <c r="S1808" s="16"/>
      <c r="T1808" s="16"/>
      <c r="U1808" s="16"/>
      <c r="V1808" s="37" t="str">
        <f>IFERROR(__xludf.DUMMYFUNCTION("if(not(iserror(index(split(C1808, "" ""),2))), index(split(C1808, "" ""),1),"""")"),"")</f>
        <v/>
      </c>
      <c r="W1808" s="315" t="str">
        <f>IFERROR(__xludf.DUMMYFUNCTION("if(V1808="""",C1808,if(not(iserror(index(split(C1808, "" ""),3))), index(split(C1808, "" ""),3),index(split(C1808, "" ""),2)))"),"")</f>
        <v/>
      </c>
      <c r="X1808" s="38" t="b">
        <f t="shared" si="2"/>
        <v>0</v>
      </c>
      <c r="Y1808" s="38"/>
      <c r="Z1808" s="40"/>
      <c r="AA1808" s="40"/>
      <c r="AB1808" s="38"/>
      <c r="AC1808" s="38"/>
      <c r="AD1808" s="38"/>
      <c r="AE1808" s="38"/>
      <c r="AF1808" s="38"/>
      <c r="AG1808" s="38"/>
      <c r="AH1808" s="38"/>
      <c r="AI1808" s="38"/>
      <c r="AJ1808" s="38"/>
      <c r="AK1808" s="38"/>
      <c r="AL1808" s="38"/>
      <c r="AM1808" s="38"/>
      <c r="AN1808" s="38"/>
      <c r="AO1808" s="38"/>
      <c r="AP1808" s="38"/>
      <c r="AQ1808" s="38"/>
      <c r="AR1808" s="38"/>
      <c r="AS1808" s="38"/>
      <c r="AT1808" s="38"/>
      <c r="AU1808" s="38"/>
      <c r="AV1808" s="38"/>
      <c r="AW1808" s="38"/>
      <c r="AX1808" s="38"/>
      <c r="AY1808" s="38"/>
      <c r="AZ1808" s="38"/>
      <c r="BA1808" s="38"/>
      <c r="BB1808" s="38"/>
      <c r="BC1808" s="38"/>
      <c r="BD1808" s="38"/>
      <c r="BE1808" s="38"/>
      <c r="BF1808" s="38"/>
      <c r="BG1808" s="38"/>
    </row>
    <row r="1809">
      <c r="A1809" s="16"/>
      <c r="B1809" s="16"/>
      <c r="C1809" s="146"/>
      <c r="D1809" s="146"/>
      <c r="E1809" s="16"/>
      <c r="F1809" s="91"/>
      <c r="G1809" s="16"/>
      <c r="H1809" s="320" t="str">
        <f t="shared" si="1"/>
        <v/>
      </c>
      <c r="I1809" s="16"/>
      <c r="J1809" s="16"/>
      <c r="K1809" s="16"/>
      <c r="L1809" s="38"/>
      <c r="M1809" s="16"/>
      <c r="N1809" s="16"/>
      <c r="O1809" s="16"/>
      <c r="P1809" s="15"/>
      <c r="Q1809" s="15"/>
      <c r="R1809" s="16"/>
      <c r="S1809" s="16"/>
      <c r="T1809" s="16"/>
      <c r="U1809" s="16"/>
      <c r="V1809" s="37" t="str">
        <f>IFERROR(__xludf.DUMMYFUNCTION("if(not(iserror(index(split(C1809, "" ""),2))), index(split(C1809, "" ""),1),"""")"),"")</f>
        <v/>
      </c>
      <c r="W1809" s="315" t="str">
        <f>IFERROR(__xludf.DUMMYFUNCTION("if(V1809="""",C1809,if(not(iserror(index(split(C1809, "" ""),3))), index(split(C1809, "" ""),3),index(split(C1809, "" ""),2)))"),"")</f>
        <v/>
      </c>
      <c r="X1809" s="38" t="b">
        <f t="shared" si="2"/>
        <v>0</v>
      </c>
      <c r="Y1809" s="38"/>
      <c r="Z1809" s="40"/>
      <c r="AA1809" s="40"/>
      <c r="AB1809" s="38"/>
      <c r="AC1809" s="38"/>
      <c r="AD1809" s="38"/>
      <c r="AE1809" s="38"/>
      <c r="AF1809" s="38"/>
      <c r="AG1809" s="38"/>
      <c r="AH1809" s="38"/>
      <c r="AI1809" s="38"/>
      <c r="AJ1809" s="38"/>
      <c r="AK1809" s="38"/>
      <c r="AL1809" s="38"/>
      <c r="AM1809" s="38"/>
      <c r="AN1809" s="38"/>
      <c r="AO1809" s="38"/>
      <c r="AP1809" s="38"/>
      <c r="AQ1809" s="38"/>
      <c r="AR1809" s="38"/>
      <c r="AS1809" s="38"/>
      <c r="AT1809" s="38"/>
      <c r="AU1809" s="38"/>
      <c r="AV1809" s="38"/>
      <c r="AW1809" s="38"/>
      <c r="AX1809" s="38"/>
      <c r="AY1809" s="38"/>
      <c r="AZ1809" s="38"/>
      <c r="BA1809" s="38"/>
      <c r="BB1809" s="38"/>
      <c r="BC1809" s="38"/>
      <c r="BD1809" s="38"/>
      <c r="BE1809" s="38"/>
      <c r="BF1809" s="38"/>
      <c r="BG1809" s="38"/>
    </row>
    <row r="1810">
      <c r="A1810" s="16"/>
      <c r="B1810" s="16"/>
      <c r="C1810" s="146"/>
      <c r="D1810" s="146"/>
      <c r="E1810" s="16"/>
      <c r="F1810" s="91"/>
      <c r="G1810" s="16"/>
      <c r="H1810" s="320" t="str">
        <f t="shared" si="1"/>
        <v/>
      </c>
      <c r="I1810" s="16"/>
      <c r="J1810" s="16"/>
      <c r="K1810" s="16"/>
      <c r="L1810" s="38"/>
      <c r="M1810" s="16"/>
      <c r="N1810" s="16"/>
      <c r="O1810" s="16"/>
      <c r="P1810" s="15"/>
      <c r="Q1810" s="15"/>
      <c r="R1810" s="16"/>
      <c r="S1810" s="16"/>
      <c r="T1810" s="16"/>
      <c r="U1810" s="16"/>
      <c r="V1810" s="37" t="str">
        <f>IFERROR(__xludf.DUMMYFUNCTION("if(not(iserror(index(split(C1810, "" ""),2))), index(split(C1810, "" ""),1),"""")"),"")</f>
        <v/>
      </c>
      <c r="W1810" s="315" t="str">
        <f>IFERROR(__xludf.DUMMYFUNCTION("if(V1810="""",C1810,if(not(iserror(index(split(C1810, "" ""),3))), index(split(C1810, "" ""),3),index(split(C1810, "" ""),2)))"),"")</f>
        <v/>
      </c>
      <c r="X1810" s="38" t="b">
        <f t="shared" si="2"/>
        <v>0</v>
      </c>
      <c r="Y1810" s="38"/>
      <c r="Z1810" s="40"/>
      <c r="AA1810" s="40"/>
      <c r="AB1810" s="38"/>
      <c r="AC1810" s="38"/>
      <c r="AD1810" s="38"/>
      <c r="AE1810" s="38"/>
      <c r="AF1810" s="38"/>
      <c r="AG1810" s="38"/>
      <c r="AH1810" s="38"/>
      <c r="AI1810" s="38"/>
      <c r="AJ1810" s="38"/>
      <c r="AK1810" s="38"/>
      <c r="AL1810" s="38"/>
      <c r="AM1810" s="38"/>
      <c r="AN1810" s="38"/>
      <c r="AO1810" s="38"/>
      <c r="AP1810" s="38"/>
      <c r="AQ1810" s="38"/>
      <c r="AR1810" s="38"/>
      <c r="AS1810" s="38"/>
      <c r="AT1810" s="38"/>
      <c r="AU1810" s="38"/>
      <c r="AV1810" s="38"/>
      <c r="AW1810" s="38"/>
      <c r="AX1810" s="38"/>
      <c r="AY1810" s="38"/>
      <c r="AZ1810" s="38"/>
      <c r="BA1810" s="38"/>
      <c r="BB1810" s="38"/>
      <c r="BC1810" s="38"/>
      <c r="BD1810" s="38"/>
      <c r="BE1810" s="38"/>
      <c r="BF1810" s="38"/>
      <c r="BG1810" s="38"/>
    </row>
    <row r="1811">
      <c r="A1811" s="16"/>
      <c r="B1811" s="16"/>
      <c r="C1811" s="146"/>
      <c r="D1811" s="146"/>
      <c r="E1811" s="16"/>
      <c r="F1811" s="91"/>
      <c r="G1811" s="16"/>
      <c r="H1811" s="320" t="str">
        <f t="shared" si="1"/>
        <v/>
      </c>
      <c r="I1811" s="16"/>
      <c r="J1811" s="16"/>
      <c r="K1811" s="16"/>
      <c r="L1811" s="38"/>
      <c r="M1811" s="16"/>
      <c r="N1811" s="16"/>
      <c r="O1811" s="16"/>
      <c r="P1811" s="15"/>
      <c r="Q1811" s="15"/>
      <c r="R1811" s="16"/>
      <c r="S1811" s="16"/>
      <c r="T1811" s="16"/>
      <c r="U1811" s="16"/>
      <c r="V1811" s="37" t="str">
        <f>IFERROR(__xludf.DUMMYFUNCTION("if(not(iserror(index(split(C1811, "" ""),2))), index(split(C1811, "" ""),1),"""")"),"")</f>
        <v/>
      </c>
      <c r="W1811" s="315" t="str">
        <f>IFERROR(__xludf.DUMMYFUNCTION("if(V1811="""",C1811,if(not(iserror(index(split(C1811, "" ""),3))), index(split(C1811, "" ""),3),index(split(C1811, "" ""),2)))"),"")</f>
        <v/>
      </c>
      <c r="X1811" s="38" t="b">
        <f t="shared" si="2"/>
        <v>0</v>
      </c>
      <c r="Y1811" s="38"/>
      <c r="Z1811" s="40"/>
      <c r="AA1811" s="40"/>
      <c r="AB1811" s="38"/>
      <c r="AC1811" s="38"/>
      <c r="AD1811" s="38"/>
      <c r="AE1811" s="38"/>
      <c r="AF1811" s="38"/>
      <c r="AG1811" s="38"/>
      <c r="AH1811" s="38"/>
      <c r="AI1811" s="38"/>
      <c r="AJ1811" s="38"/>
      <c r="AK1811" s="38"/>
      <c r="AL1811" s="38"/>
      <c r="AM1811" s="38"/>
      <c r="AN1811" s="38"/>
      <c r="AO1811" s="38"/>
      <c r="AP1811" s="38"/>
      <c r="AQ1811" s="38"/>
      <c r="AR1811" s="38"/>
      <c r="AS1811" s="38"/>
      <c r="AT1811" s="38"/>
      <c r="AU1811" s="38"/>
      <c r="AV1811" s="38"/>
      <c r="AW1811" s="38"/>
      <c r="AX1811" s="38"/>
      <c r="AY1811" s="38"/>
      <c r="AZ1811" s="38"/>
      <c r="BA1811" s="38"/>
      <c r="BB1811" s="38"/>
      <c r="BC1811" s="38"/>
      <c r="BD1811" s="38"/>
      <c r="BE1811" s="38"/>
      <c r="BF1811" s="38"/>
      <c r="BG1811" s="38"/>
    </row>
    <row r="1812">
      <c r="A1812" s="16"/>
      <c r="B1812" s="16"/>
      <c r="C1812" s="146"/>
      <c r="D1812" s="146"/>
      <c r="E1812" s="16"/>
      <c r="F1812" s="91"/>
      <c r="G1812" s="16"/>
      <c r="H1812" s="320" t="str">
        <f t="shared" si="1"/>
        <v/>
      </c>
      <c r="I1812" s="16"/>
      <c r="J1812" s="16"/>
      <c r="K1812" s="16"/>
      <c r="L1812" s="38"/>
      <c r="M1812" s="16"/>
      <c r="N1812" s="16"/>
      <c r="O1812" s="16"/>
      <c r="P1812" s="15"/>
      <c r="Q1812" s="15"/>
      <c r="R1812" s="16"/>
      <c r="S1812" s="16"/>
      <c r="T1812" s="16"/>
      <c r="U1812" s="16"/>
      <c r="V1812" s="37" t="str">
        <f>IFERROR(__xludf.DUMMYFUNCTION("if(not(iserror(index(split(C1812, "" ""),2))), index(split(C1812, "" ""),1),"""")"),"")</f>
        <v/>
      </c>
      <c r="W1812" s="315" t="str">
        <f>IFERROR(__xludf.DUMMYFUNCTION("if(V1812="""",C1812,if(not(iserror(index(split(C1812, "" ""),3))), index(split(C1812, "" ""),3),index(split(C1812, "" ""),2)))"),"")</f>
        <v/>
      </c>
      <c r="X1812" s="38" t="b">
        <f t="shared" si="2"/>
        <v>0</v>
      </c>
      <c r="Y1812" s="38"/>
      <c r="Z1812" s="40"/>
      <c r="AA1812" s="40"/>
      <c r="AB1812" s="38"/>
      <c r="AC1812" s="38"/>
      <c r="AD1812" s="38"/>
      <c r="AE1812" s="38"/>
      <c r="AF1812" s="38"/>
      <c r="AG1812" s="38"/>
      <c r="AH1812" s="38"/>
      <c r="AI1812" s="38"/>
      <c r="AJ1812" s="38"/>
      <c r="AK1812" s="38"/>
      <c r="AL1812" s="38"/>
      <c r="AM1812" s="38"/>
      <c r="AN1812" s="38"/>
      <c r="AO1812" s="38"/>
      <c r="AP1812" s="38"/>
      <c r="AQ1812" s="38"/>
      <c r="AR1812" s="38"/>
      <c r="AS1812" s="38"/>
      <c r="AT1812" s="38"/>
      <c r="AU1812" s="38"/>
      <c r="AV1812" s="38"/>
      <c r="AW1812" s="38"/>
      <c r="AX1812" s="38"/>
      <c r="AY1812" s="38"/>
      <c r="AZ1812" s="38"/>
      <c r="BA1812" s="38"/>
      <c r="BB1812" s="38"/>
      <c r="BC1812" s="38"/>
      <c r="BD1812" s="38"/>
      <c r="BE1812" s="38"/>
      <c r="BF1812" s="38"/>
      <c r="BG1812" s="38"/>
    </row>
    <row r="1813">
      <c r="A1813" s="16"/>
      <c r="B1813" s="16"/>
      <c r="C1813" s="146"/>
      <c r="D1813" s="146"/>
      <c r="E1813" s="16"/>
      <c r="F1813" s="91"/>
      <c r="G1813" s="16"/>
      <c r="H1813" s="320" t="str">
        <f t="shared" si="1"/>
        <v/>
      </c>
      <c r="I1813" s="16"/>
      <c r="J1813" s="16"/>
      <c r="K1813" s="16"/>
      <c r="L1813" s="38"/>
      <c r="M1813" s="16"/>
      <c r="N1813" s="16"/>
      <c r="O1813" s="16"/>
      <c r="P1813" s="15"/>
      <c r="Q1813" s="15"/>
      <c r="R1813" s="16"/>
      <c r="S1813" s="16"/>
      <c r="T1813" s="16"/>
      <c r="U1813" s="16"/>
      <c r="V1813" s="37" t="str">
        <f>IFERROR(__xludf.DUMMYFUNCTION("if(not(iserror(index(split(C1813, "" ""),2))), index(split(C1813, "" ""),1),"""")"),"")</f>
        <v/>
      </c>
      <c r="W1813" s="315" t="str">
        <f>IFERROR(__xludf.DUMMYFUNCTION("if(V1813="""",C1813,if(not(iserror(index(split(C1813, "" ""),3))), index(split(C1813, "" ""),3),index(split(C1813, "" ""),2)))"),"")</f>
        <v/>
      </c>
      <c r="X1813" s="38" t="b">
        <f t="shared" si="2"/>
        <v>0</v>
      </c>
      <c r="Y1813" s="38"/>
      <c r="Z1813" s="40"/>
      <c r="AA1813" s="40"/>
      <c r="AB1813" s="38"/>
      <c r="AC1813" s="38"/>
      <c r="AD1813" s="38"/>
      <c r="AE1813" s="38"/>
      <c r="AF1813" s="38"/>
      <c r="AG1813" s="38"/>
      <c r="AH1813" s="38"/>
      <c r="AI1813" s="38"/>
      <c r="AJ1813" s="38"/>
      <c r="AK1813" s="38"/>
      <c r="AL1813" s="38"/>
      <c r="AM1813" s="38"/>
      <c r="AN1813" s="38"/>
      <c r="AO1813" s="38"/>
      <c r="AP1813" s="38"/>
      <c r="AQ1813" s="38"/>
      <c r="AR1813" s="38"/>
      <c r="AS1813" s="38"/>
      <c r="AT1813" s="38"/>
      <c r="AU1813" s="38"/>
      <c r="AV1813" s="38"/>
      <c r="AW1813" s="38"/>
      <c r="AX1813" s="38"/>
      <c r="AY1813" s="38"/>
      <c r="AZ1813" s="38"/>
      <c r="BA1813" s="38"/>
      <c r="BB1813" s="38"/>
      <c r="BC1813" s="38"/>
      <c r="BD1813" s="38"/>
      <c r="BE1813" s="38"/>
      <c r="BF1813" s="38"/>
      <c r="BG1813" s="38"/>
    </row>
    <row r="1814">
      <c r="A1814" s="16"/>
      <c r="B1814" s="16"/>
      <c r="C1814" s="146"/>
      <c r="D1814" s="146"/>
      <c r="E1814" s="16"/>
      <c r="F1814" s="91"/>
      <c r="G1814" s="16"/>
      <c r="H1814" s="320" t="str">
        <f t="shared" si="1"/>
        <v/>
      </c>
      <c r="I1814" s="16"/>
      <c r="J1814" s="16"/>
      <c r="K1814" s="16"/>
      <c r="L1814" s="38"/>
      <c r="M1814" s="16"/>
      <c r="N1814" s="16"/>
      <c r="O1814" s="16"/>
      <c r="P1814" s="15"/>
      <c r="Q1814" s="15"/>
      <c r="R1814" s="16"/>
      <c r="S1814" s="16"/>
      <c r="T1814" s="16"/>
      <c r="U1814" s="16"/>
      <c r="V1814" s="37" t="str">
        <f>IFERROR(__xludf.DUMMYFUNCTION("if(not(iserror(index(split(C1814, "" ""),2))), index(split(C1814, "" ""),1),"""")"),"")</f>
        <v/>
      </c>
      <c r="W1814" s="315" t="str">
        <f>IFERROR(__xludf.DUMMYFUNCTION("if(V1814="""",C1814,if(not(iserror(index(split(C1814, "" ""),3))), index(split(C1814, "" ""),3),index(split(C1814, "" ""),2)))"),"")</f>
        <v/>
      </c>
      <c r="X1814" s="38" t="b">
        <f t="shared" si="2"/>
        <v>0</v>
      </c>
      <c r="Y1814" s="38"/>
      <c r="Z1814" s="40"/>
      <c r="AA1814" s="40"/>
      <c r="AB1814" s="38"/>
      <c r="AC1814" s="38"/>
      <c r="AD1814" s="38"/>
      <c r="AE1814" s="38"/>
      <c r="AF1814" s="38"/>
      <c r="AG1814" s="38"/>
      <c r="AH1814" s="38"/>
      <c r="AI1814" s="38"/>
      <c r="AJ1814" s="38"/>
      <c r="AK1814" s="38"/>
      <c r="AL1814" s="38"/>
      <c r="AM1814" s="38"/>
      <c r="AN1814" s="38"/>
      <c r="AO1814" s="38"/>
      <c r="AP1814" s="38"/>
      <c r="AQ1814" s="38"/>
      <c r="AR1814" s="38"/>
      <c r="AS1814" s="38"/>
      <c r="AT1814" s="38"/>
      <c r="AU1814" s="38"/>
      <c r="AV1814" s="38"/>
      <c r="AW1814" s="38"/>
      <c r="AX1814" s="38"/>
      <c r="AY1814" s="38"/>
      <c r="AZ1814" s="38"/>
      <c r="BA1814" s="38"/>
      <c r="BB1814" s="38"/>
      <c r="BC1814" s="38"/>
      <c r="BD1814" s="38"/>
      <c r="BE1814" s="38"/>
      <c r="BF1814" s="38"/>
      <c r="BG1814" s="38"/>
    </row>
    <row r="1815">
      <c r="A1815" s="16"/>
      <c r="B1815" s="16"/>
      <c r="C1815" s="146"/>
      <c r="D1815" s="146"/>
      <c r="E1815" s="16"/>
      <c r="F1815" s="91"/>
      <c r="G1815" s="16"/>
      <c r="H1815" s="320" t="str">
        <f t="shared" si="1"/>
        <v/>
      </c>
      <c r="I1815" s="16"/>
      <c r="J1815" s="16"/>
      <c r="K1815" s="16"/>
      <c r="L1815" s="38"/>
      <c r="M1815" s="16"/>
      <c r="N1815" s="16"/>
      <c r="O1815" s="16"/>
      <c r="P1815" s="15"/>
      <c r="Q1815" s="15"/>
      <c r="R1815" s="16"/>
      <c r="S1815" s="16"/>
      <c r="T1815" s="16"/>
      <c r="U1815" s="16"/>
      <c r="V1815" s="37" t="str">
        <f>IFERROR(__xludf.DUMMYFUNCTION("if(not(iserror(index(split(C1815, "" ""),2))), index(split(C1815, "" ""),1),"""")"),"")</f>
        <v/>
      </c>
      <c r="W1815" s="315" t="str">
        <f>IFERROR(__xludf.DUMMYFUNCTION("if(V1815="""",C1815,if(not(iserror(index(split(C1815, "" ""),3))), index(split(C1815, "" ""),3),index(split(C1815, "" ""),2)))"),"")</f>
        <v/>
      </c>
      <c r="X1815" s="38" t="b">
        <f t="shared" si="2"/>
        <v>0</v>
      </c>
      <c r="Y1815" s="38"/>
      <c r="Z1815" s="40"/>
      <c r="AA1815" s="40"/>
      <c r="AB1815" s="38"/>
      <c r="AC1815" s="38"/>
      <c r="AD1815" s="38"/>
      <c r="AE1815" s="38"/>
      <c r="AF1815" s="38"/>
      <c r="AG1815" s="38"/>
      <c r="AH1815" s="38"/>
      <c r="AI1815" s="38"/>
      <c r="AJ1815" s="38"/>
      <c r="AK1815" s="38"/>
      <c r="AL1815" s="38"/>
      <c r="AM1815" s="38"/>
      <c r="AN1815" s="38"/>
      <c r="AO1815" s="38"/>
      <c r="AP1815" s="38"/>
      <c r="AQ1815" s="38"/>
      <c r="AR1815" s="38"/>
      <c r="AS1815" s="38"/>
      <c r="AT1815" s="38"/>
      <c r="AU1815" s="38"/>
      <c r="AV1815" s="38"/>
      <c r="AW1815" s="38"/>
      <c r="AX1815" s="38"/>
      <c r="AY1815" s="38"/>
      <c r="AZ1815" s="38"/>
      <c r="BA1815" s="38"/>
      <c r="BB1815" s="38"/>
      <c r="BC1815" s="38"/>
      <c r="BD1815" s="38"/>
      <c r="BE1815" s="38"/>
      <c r="BF1815" s="38"/>
      <c r="BG1815" s="38"/>
    </row>
    <row r="1816">
      <c r="A1816" s="16"/>
      <c r="B1816" s="16"/>
      <c r="C1816" s="146"/>
      <c r="D1816" s="146"/>
      <c r="E1816" s="16"/>
      <c r="F1816" s="91"/>
      <c r="G1816" s="16"/>
      <c r="H1816" s="320" t="str">
        <f t="shared" si="1"/>
        <v/>
      </c>
      <c r="I1816" s="16"/>
      <c r="J1816" s="16"/>
      <c r="K1816" s="16"/>
      <c r="L1816" s="38"/>
      <c r="M1816" s="16"/>
      <c r="N1816" s="16"/>
      <c r="O1816" s="16"/>
      <c r="P1816" s="15"/>
      <c r="Q1816" s="15"/>
      <c r="R1816" s="16"/>
      <c r="S1816" s="16"/>
      <c r="T1816" s="16"/>
      <c r="U1816" s="16"/>
      <c r="V1816" s="37" t="str">
        <f>IFERROR(__xludf.DUMMYFUNCTION("if(not(iserror(index(split(C1816, "" ""),2))), index(split(C1816, "" ""),1),"""")"),"")</f>
        <v/>
      </c>
      <c r="W1816" s="315" t="str">
        <f>IFERROR(__xludf.DUMMYFUNCTION("if(V1816="""",C1816,if(not(iserror(index(split(C1816, "" ""),3))), index(split(C1816, "" ""),3),index(split(C1816, "" ""),2)))"),"")</f>
        <v/>
      </c>
      <c r="X1816" s="38" t="b">
        <f t="shared" si="2"/>
        <v>0</v>
      </c>
      <c r="Y1816" s="38"/>
      <c r="Z1816" s="40"/>
      <c r="AA1816" s="40"/>
      <c r="AB1816" s="38"/>
      <c r="AC1816" s="38"/>
      <c r="AD1816" s="38"/>
      <c r="AE1816" s="38"/>
      <c r="AF1816" s="38"/>
      <c r="AG1816" s="38"/>
      <c r="AH1816" s="38"/>
      <c r="AI1816" s="38"/>
      <c r="AJ1816" s="38"/>
      <c r="AK1816" s="38"/>
      <c r="AL1816" s="38"/>
      <c r="AM1816" s="38"/>
      <c r="AN1816" s="38"/>
      <c r="AO1816" s="38"/>
      <c r="AP1816" s="38"/>
      <c r="AQ1816" s="38"/>
      <c r="AR1816" s="38"/>
      <c r="AS1816" s="38"/>
      <c r="AT1816" s="38"/>
      <c r="AU1816" s="38"/>
      <c r="AV1816" s="38"/>
      <c r="AW1816" s="38"/>
      <c r="AX1816" s="38"/>
      <c r="AY1816" s="38"/>
      <c r="AZ1816" s="38"/>
      <c r="BA1816" s="38"/>
      <c r="BB1816" s="38"/>
      <c r="BC1816" s="38"/>
      <c r="BD1816" s="38"/>
      <c r="BE1816" s="38"/>
      <c r="BF1816" s="38"/>
      <c r="BG1816" s="38"/>
    </row>
    <row r="1817">
      <c r="A1817" s="16"/>
      <c r="B1817" s="16"/>
      <c r="C1817" s="146"/>
      <c r="D1817" s="146"/>
      <c r="E1817" s="16"/>
      <c r="F1817" s="91"/>
      <c r="G1817" s="16"/>
      <c r="H1817" s="320" t="str">
        <f t="shared" si="1"/>
        <v/>
      </c>
      <c r="I1817" s="16"/>
      <c r="J1817" s="16"/>
      <c r="K1817" s="16"/>
      <c r="L1817" s="38"/>
      <c r="M1817" s="16"/>
      <c r="N1817" s="16"/>
      <c r="O1817" s="16"/>
      <c r="P1817" s="15"/>
      <c r="Q1817" s="15"/>
      <c r="R1817" s="16"/>
      <c r="S1817" s="16"/>
      <c r="T1817" s="16"/>
      <c r="U1817" s="16"/>
      <c r="V1817" s="37" t="str">
        <f>IFERROR(__xludf.DUMMYFUNCTION("if(not(iserror(index(split(C1817, "" ""),2))), index(split(C1817, "" ""),1),"""")"),"")</f>
        <v/>
      </c>
      <c r="W1817" s="315" t="str">
        <f>IFERROR(__xludf.DUMMYFUNCTION("if(V1817="""",C1817,if(not(iserror(index(split(C1817, "" ""),3))), index(split(C1817, "" ""),3),index(split(C1817, "" ""),2)))"),"")</f>
        <v/>
      </c>
      <c r="X1817" s="38" t="b">
        <f t="shared" si="2"/>
        <v>0</v>
      </c>
      <c r="Y1817" s="38"/>
      <c r="Z1817" s="40"/>
      <c r="AA1817" s="40"/>
      <c r="AB1817" s="38"/>
      <c r="AC1817" s="38"/>
      <c r="AD1817" s="38"/>
      <c r="AE1817" s="38"/>
      <c r="AF1817" s="38"/>
      <c r="AG1817" s="38"/>
      <c r="AH1817" s="38"/>
      <c r="AI1817" s="38"/>
      <c r="AJ1817" s="38"/>
      <c r="AK1817" s="38"/>
      <c r="AL1817" s="38"/>
      <c r="AM1817" s="38"/>
      <c r="AN1817" s="38"/>
      <c r="AO1817" s="38"/>
      <c r="AP1817" s="38"/>
      <c r="AQ1817" s="38"/>
      <c r="AR1817" s="38"/>
      <c r="AS1817" s="38"/>
      <c r="AT1817" s="38"/>
      <c r="AU1817" s="38"/>
      <c r="AV1817" s="38"/>
      <c r="AW1817" s="38"/>
      <c r="AX1817" s="38"/>
      <c r="AY1817" s="38"/>
      <c r="AZ1817" s="38"/>
      <c r="BA1817" s="38"/>
      <c r="BB1817" s="38"/>
      <c r="BC1817" s="38"/>
      <c r="BD1817" s="38"/>
      <c r="BE1817" s="38"/>
      <c r="BF1817" s="38"/>
      <c r="BG1817" s="38"/>
    </row>
    <row r="1818">
      <c r="A1818" s="16"/>
      <c r="B1818" s="16"/>
      <c r="C1818" s="146"/>
      <c r="D1818" s="146"/>
      <c r="E1818" s="16"/>
      <c r="F1818" s="91"/>
      <c r="G1818" s="16"/>
      <c r="H1818" s="320" t="str">
        <f t="shared" si="1"/>
        <v/>
      </c>
      <c r="I1818" s="16"/>
      <c r="J1818" s="16"/>
      <c r="K1818" s="16"/>
      <c r="L1818" s="38"/>
      <c r="M1818" s="16"/>
      <c r="N1818" s="16"/>
      <c r="O1818" s="16"/>
      <c r="P1818" s="15"/>
      <c r="Q1818" s="15"/>
      <c r="R1818" s="16"/>
      <c r="S1818" s="16"/>
      <c r="T1818" s="16"/>
      <c r="U1818" s="16"/>
      <c r="V1818" s="37" t="str">
        <f>IFERROR(__xludf.DUMMYFUNCTION("if(not(iserror(index(split(C1818, "" ""),2))), index(split(C1818, "" ""),1),"""")"),"")</f>
        <v/>
      </c>
      <c r="W1818" s="315" t="str">
        <f>IFERROR(__xludf.DUMMYFUNCTION("if(V1818="""",C1818,if(not(iserror(index(split(C1818, "" ""),3))), index(split(C1818, "" ""),3),index(split(C1818, "" ""),2)))"),"")</f>
        <v/>
      </c>
      <c r="X1818" s="38" t="b">
        <f t="shared" si="2"/>
        <v>0</v>
      </c>
      <c r="Y1818" s="38"/>
      <c r="Z1818" s="40"/>
      <c r="AA1818" s="40"/>
      <c r="AB1818" s="38"/>
      <c r="AC1818" s="38"/>
      <c r="AD1818" s="38"/>
      <c r="AE1818" s="38"/>
      <c r="AF1818" s="38"/>
      <c r="AG1818" s="38"/>
      <c r="AH1818" s="38"/>
      <c r="AI1818" s="38"/>
      <c r="AJ1818" s="38"/>
      <c r="AK1818" s="38"/>
      <c r="AL1818" s="38"/>
      <c r="AM1818" s="38"/>
      <c r="AN1818" s="38"/>
      <c r="AO1818" s="38"/>
      <c r="AP1818" s="38"/>
      <c r="AQ1818" s="38"/>
      <c r="AR1818" s="38"/>
      <c r="AS1818" s="38"/>
      <c r="AT1818" s="38"/>
      <c r="AU1818" s="38"/>
      <c r="AV1818" s="38"/>
      <c r="AW1818" s="38"/>
      <c r="AX1818" s="38"/>
      <c r="AY1818" s="38"/>
      <c r="AZ1818" s="38"/>
      <c r="BA1818" s="38"/>
      <c r="BB1818" s="38"/>
      <c r="BC1818" s="38"/>
      <c r="BD1818" s="38"/>
      <c r="BE1818" s="38"/>
      <c r="BF1818" s="38"/>
      <c r="BG1818" s="38"/>
    </row>
    <row r="1819">
      <c r="A1819" s="16"/>
      <c r="B1819" s="16"/>
      <c r="C1819" s="146"/>
      <c r="D1819" s="146"/>
      <c r="E1819" s="16"/>
      <c r="F1819" s="91"/>
      <c r="G1819" s="16"/>
      <c r="H1819" s="320" t="str">
        <f t="shared" si="1"/>
        <v/>
      </c>
      <c r="I1819" s="16"/>
      <c r="J1819" s="16"/>
      <c r="K1819" s="16"/>
      <c r="L1819" s="38"/>
      <c r="M1819" s="16"/>
      <c r="N1819" s="16"/>
      <c r="O1819" s="16"/>
      <c r="P1819" s="15"/>
      <c r="Q1819" s="15"/>
      <c r="R1819" s="16"/>
      <c r="S1819" s="16"/>
      <c r="T1819" s="16"/>
      <c r="U1819" s="16"/>
      <c r="V1819" s="37" t="str">
        <f>IFERROR(__xludf.DUMMYFUNCTION("if(not(iserror(index(split(C1819, "" ""),2))), index(split(C1819, "" ""),1),"""")"),"")</f>
        <v/>
      </c>
      <c r="W1819" s="315" t="str">
        <f>IFERROR(__xludf.DUMMYFUNCTION("if(V1819="""",C1819,if(not(iserror(index(split(C1819, "" ""),3))), index(split(C1819, "" ""),3),index(split(C1819, "" ""),2)))"),"")</f>
        <v/>
      </c>
      <c r="X1819" s="38" t="b">
        <f t="shared" si="2"/>
        <v>0</v>
      </c>
      <c r="Y1819" s="38"/>
      <c r="Z1819" s="40"/>
      <c r="AA1819" s="40"/>
      <c r="AB1819" s="38"/>
      <c r="AC1819" s="38"/>
      <c r="AD1819" s="38"/>
      <c r="AE1819" s="38"/>
      <c r="AF1819" s="38"/>
      <c r="AG1819" s="38"/>
      <c r="AH1819" s="38"/>
      <c r="AI1819" s="38"/>
      <c r="AJ1819" s="38"/>
      <c r="AK1819" s="38"/>
      <c r="AL1819" s="38"/>
      <c r="AM1819" s="38"/>
      <c r="AN1819" s="38"/>
      <c r="AO1819" s="38"/>
      <c r="AP1819" s="38"/>
      <c r="AQ1819" s="38"/>
      <c r="AR1819" s="38"/>
      <c r="AS1819" s="38"/>
      <c r="AT1819" s="38"/>
      <c r="AU1819" s="38"/>
      <c r="AV1819" s="38"/>
      <c r="AW1819" s="38"/>
      <c r="AX1819" s="38"/>
      <c r="AY1819" s="38"/>
      <c r="AZ1819" s="38"/>
      <c r="BA1819" s="38"/>
      <c r="BB1819" s="38"/>
      <c r="BC1819" s="38"/>
      <c r="BD1819" s="38"/>
      <c r="BE1819" s="38"/>
      <c r="BF1819" s="38"/>
      <c r="BG1819" s="38"/>
    </row>
    <row r="1820">
      <c r="A1820" s="16"/>
      <c r="B1820" s="16"/>
      <c r="C1820" s="146"/>
      <c r="D1820" s="146"/>
      <c r="E1820" s="16"/>
      <c r="F1820" s="91"/>
      <c r="G1820" s="16"/>
      <c r="H1820" s="320" t="str">
        <f t="shared" si="1"/>
        <v/>
      </c>
      <c r="I1820" s="16"/>
      <c r="J1820" s="16"/>
      <c r="K1820" s="16"/>
      <c r="L1820" s="38"/>
      <c r="M1820" s="16"/>
      <c r="N1820" s="16"/>
      <c r="O1820" s="16"/>
      <c r="P1820" s="15"/>
      <c r="Q1820" s="15"/>
      <c r="R1820" s="16"/>
      <c r="S1820" s="16"/>
      <c r="T1820" s="16"/>
      <c r="U1820" s="16"/>
      <c r="V1820" s="37" t="str">
        <f>IFERROR(__xludf.DUMMYFUNCTION("if(not(iserror(index(split(C1820, "" ""),2))), index(split(C1820, "" ""),1),"""")"),"")</f>
        <v/>
      </c>
      <c r="W1820" s="315" t="str">
        <f>IFERROR(__xludf.DUMMYFUNCTION("if(V1820="""",C1820,if(not(iserror(index(split(C1820, "" ""),3))), index(split(C1820, "" ""),3),index(split(C1820, "" ""),2)))"),"")</f>
        <v/>
      </c>
      <c r="X1820" s="38" t="b">
        <f t="shared" si="2"/>
        <v>0</v>
      </c>
      <c r="Y1820" s="38"/>
      <c r="Z1820" s="40"/>
      <c r="AA1820" s="40"/>
      <c r="AB1820" s="38"/>
      <c r="AC1820" s="38"/>
      <c r="AD1820" s="38"/>
      <c r="AE1820" s="38"/>
      <c r="AF1820" s="38"/>
      <c r="AG1820" s="38"/>
      <c r="AH1820" s="38"/>
      <c r="AI1820" s="38"/>
      <c r="AJ1820" s="38"/>
      <c r="AK1820" s="38"/>
      <c r="AL1820" s="38"/>
      <c r="AM1820" s="38"/>
      <c r="AN1820" s="38"/>
      <c r="AO1820" s="38"/>
      <c r="AP1820" s="38"/>
      <c r="AQ1820" s="38"/>
      <c r="AR1820" s="38"/>
      <c r="AS1820" s="38"/>
      <c r="AT1820" s="38"/>
      <c r="AU1820" s="38"/>
      <c r="AV1820" s="38"/>
      <c r="AW1820" s="38"/>
      <c r="AX1820" s="38"/>
      <c r="AY1820" s="38"/>
      <c r="AZ1820" s="38"/>
      <c r="BA1820" s="38"/>
      <c r="BB1820" s="38"/>
      <c r="BC1820" s="38"/>
      <c r="BD1820" s="38"/>
      <c r="BE1820" s="38"/>
      <c r="BF1820" s="38"/>
      <c r="BG1820" s="38"/>
    </row>
    <row r="1821">
      <c r="A1821" s="16"/>
      <c r="B1821" s="16"/>
      <c r="C1821" s="146"/>
      <c r="D1821" s="146"/>
      <c r="E1821" s="16"/>
      <c r="F1821" s="91"/>
      <c r="G1821" s="16"/>
      <c r="H1821" s="320" t="str">
        <f t="shared" si="1"/>
        <v/>
      </c>
      <c r="I1821" s="16"/>
      <c r="J1821" s="16"/>
      <c r="K1821" s="16"/>
      <c r="L1821" s="38"/>
      <c r="M1821" s="16"/>
      <c r="N1821" s="16"/>
      <c r="O1821" s="16"/>
      <c r="P1821" s="15"/>
      <c r="Q1821" s="15"/>
      <c r="R1821" s="16"/>
      <c r="S1821" s="16"/>
      <c r="T1821" s="16"/>
      <c r="U1821" s="16"/>
      <c r="V1821" s="37" t="str">
        <f>IFERROR(__xludf.DUMMYFUNCTION("if(not(iserror(index(split(C1821, "" ""),2))), index(split(C1821, "" ""),1),"""")"),"")</f>
        <v/>
      </c>
      <c r="W1821" s="315" t="str">
        <f>IFERROR(__xludf.DUMMYFUNCTION("if(V1821="""",C1821,if(not(iserror(index(split(C1821, "" ""),3))), index(split(C1821, "" ""),3),index(split(C1821, "" ""),2)))"),"")</f>
        <v/>
      </c>
      <c r="X1821" s="38" t="b">
        <f t="shared" si="2"/>
        <v>0</v>
      </c>
      <c r="Y1821" s="38"/>
      <c r="Z1821" s="40"/>
      <c r="AA1821" s="40"/>
      <c r="AB1821" s="38"/>
      <c r="AC1821" s="38"/>
      <c r="AD1821" s="38"/>
      <c r="AE1821" s="38"/>
      <c r="AF1821" s="38"/>
      <c r="AG1821" s="38"/>
      <c r="AH1821" s="38"/>
      <c r="AI1821" s="38"/>
      <c r="AJ1821" s="38"/>
      <c r="AK1821" s="38"/>
      <c r="AL1821" s="38"/>
      <c r="AM1821" s="38"/>
      <c r="AN1821" s="38"/>
      <c r="AO1821" s="38"/>
      <c r="AP1821" s="38"/>
      <c r="AQ1821" s="38"/>
      <c r="AR1821" s="38"/>
      <c r="AS1821" s="38"/>
      <c r="AT1821" s="38"/>
      <c r="AU1821" s="38"/>
      <c r="AV1821" s="38"/>
      <c r="AW1821" s="38"/>
      <c r="AX1821" s="38"/>
      <c r="AY1821" s="38"/>
      <c r="AZ1821" s="38"/>
      <c r="BA1821" s="38"/>
      <c r="BB1821" s="38"/>
      <c r="BC1821" s="38"/>
      <c r="BD1821" s="38"/>
      <c r="BE1821" s="38"/>
      <c r="BF1821" s="38"/>
      <c r="BG1821" s="38"/>
    </row>
    <row r="1822">
      <c r="A1822" s="16"/>
      <c r="B1822" s="16"/>
      <c r="C1822" s="146"/>
      <c r="D1822" s="146"/>
      <c r="E1822" s="16"/>
      <c r="F1822" s="91"/>
      <c r="G1822" s="16"/>
      <c r="H1822" s="320" t="str">
        <f t="shared" si="1"/>
        <v/>
      </c>
      <c r="I1822" s="16"/>
      <c r="J1822" s="16"/>
      <c r="K1822" s="16"/>
      <c r="L1822" s="38"/>
      <c r="M1822" s="16"/>
      <c r="N1822" s="16"/>
      <c r="O1822" s="16"/>
      <c r="P1822" s="15"/>
      <c r="Q1822" s="15"/>
      <c r="R1822" s="16"/>
      <c r="S1822" s="16"/>
      <c r="T1822" s="16"/>
      <c r="U1822" s="16"/>
      <c r="V1822" s="37" t="str">
        <f>IFERROR(__xludf.DUMMYFUNCTION("if(not(iserror(index(split(C1822, "" ""),2))), index(split(C1822, "" ""),1),"""")"),"")</f>
        <v/>
      </c>
      <c r="W1822" s="315" t="str">
        <f>IFERROR(__xludf.DUMMYFUNCTION("if(V1822="""",C1822,if(not(iserror(index(split(C1822, "" ""),3))), index(split(C1822, "" ""),3),index(split(C1822, "" ""),2)))"),"")</f>
        <v/>
      </c>
      <c r="X1822" s="38" t="b">
        <f t="shared" si="2"/>
        <v>0</v>
      </c>
      <c r="Y1822" s="38"/>
      <c r="Z1822" s="40"/>
      <c r="AA1822" s="40"/>
      <c r="AB1822" s="38"/>
      <c r="AC1822" s="38"/>
      <c r="AD1822" s="38"/>
      <c r="AE1822" s="38"/>
      <c r="AF1822" s="38"/>
      <c r="AG1822" s="38"/>
      <c r="AH1822" s="38"/>
      <c r="AI1822" s="38"/>
      <c r="AJ1822" s="38"/>
      <c r="AK1822" s="38"/>
      <c r="AL1822" s="38"/>
      <c r="AM1822" s="38"/>
      <c r="AN1822" s="38"/>
      <c r="AO1822" s="38"/>
      <c r="AP1822" s="38"/>
      <c r="AQ1822" s="38"/>
      <c r="AR1822" s="38"/>
      <c r="AS1822" s="38"/>
      <c r="AT1822" s="38"/>
      <c r="AU1822" s="38"/>
      <c r="AV1822" s="38"/>
      <c r="AW1822" s="38"/>
      <c r="AX1822" s="38"/>
      <c r="AY1822" s="38"/>
      <c r="AZ1822" s="38"/>
      <c r="BA1822" s="38"/>
      <c r="BB1822" s="38"/>
      <c r="BC1822" s="38"/>
      <c r="BD1822" s="38"/>
      <c r="BE1822" s="38"/>
      <c r="BF1822" s="38"/>
      <c r="BG1822" s="38"/>
    </row>
    <row r="1823">
      <c r="A1823" s="16"/>
      <c r="B1823" s="16"/>
      <c r="C1823" s="146"/>
      <c r="D1823" s="146"/>
      <c r="E1823" s="16"/>
      <c r="F1823" s="91"/>
      <c r="G1823" s="16"/>
      <c r="H1823" s="320" t="str">
        <f t="shared" si="1"/>
        <v/>
      </c>
      <c r="I1823" s="16"/>
      <c r="J1823" s="16"/>
      <c r="K1823" s="16"/>
      <c r="L1823" s="38"/>
      <c r="M1823" s="16"/>
      <c r="N1823" s="16"/>
      <c r="O1823" s="16"/>
      <c r="P1823" s="15"/>
      <c r="Q1823" s="15"/>
      <c r="R1823" s="16"/>
      <c r="S1823" s="16"/>
      <c r="T1823" s="16"/>
      <c r="U1823" s="16"/>
      <c r="V1823" s="37" t="str">
        <f>IFERROR(__xludf.DUMMYFUNCTION("if(not(iserror(index(split(C1823, "" ""),2))), index(split(C1823, "" ""),1),"""")"),"")</f>
        <v/>
      </c>
      <c r="W1823" s="315" t="str">
        <f>IFERROR(__xludf.DUMMYFUNCTION("if(V1823="""",C1823,if(not(iserror(index(split(C1823, "" ""),3))), index(split(C1823, "" ""),3),index(split(C1823, "" ""),2)))"),"")</f>
        <v/>
      </c>
      <c r="X1823" s="38" t="b">
        <f t="shared" si="2"/>
        <v>0</v>
      </c>
      <c r="Y1823" s="38"/>
      <c r="Z1823" s="40"/>
      <c r="AA1823" s="40"/>
      <c r="AB1823" s="38"/>
      <c r="AC1823" s="38"/>
      <c r="AD1823" s="38"/>
      <c r="AE1823" s="38"/>
      <c r="AF1823" s="38"/>
      <c r="AG1823" s="38"/>
      <c r="AH1823" s="38"/>
      <c r="AI1823" s="38"/>
      <c r="AJ1823" s="38"/>
      <c r="AK1823" s="38"/>
      <c r="AL1823" s="38"/>
      <c r="AM1823" s="38"/>
      <c r="AN1823" s="38"/>
      <c r="AO1823" s="38"/>
      <c r="AP1823" s="38"/>
      <c r="AQ1823" s="38"/>
      <c r="AR1823" s="38"/>
      <c r="AS1823" s="38"/>
      <c r="AT1823" s="38"/>
      <c r="AU1823" s="38"/>
      <c r="AV1823" s="38"/>
      <c r="AW1823" s="38"/>
      <c r="AX1823" s="38"/>
      <c r="AY1823" s="38"/>
      <c r="AZ1823" s="38"/>
      <c r="BA1823" s="38"/>
      <c r="BB1823" s="38"/>
      <c r="BC1823" s="38"/>
      <c r="BD1823" s="38"/>
      <c r="BE1823" s="38"/>
      <c r="BF1823" s="38"/>
      <c r="BG1823" s="38"/>
    </row>
    <row r="1824">
      <c r="A1824" s="16"/>
      <c r="B1824" s="16"/>
      <c r="C1824" s="146"/>
      <c r="D1824" s="146"/>
      <c r="E1824" s="16"/>
      <c r="F1824" s="91"/>
      <c r="G1824" s="16"/>
      <c r="H1824" s="320" t="str">
        <f t="shared" si="1"/>
        <v/>
      </c>
      <c r="I1824" s="16"/>
      <c r="J1824" s="16"/>
      <c r="K1824" s="16"/>
      <c r="L1824" s="38"/>
      <c r="M1824" s="16"/>
      <c r="N1824" s="16"/>
      <c r="O1824" s="16"/>
      <c r="P1824" s="15"/>
      <c r="Q1824" s="15"/>
      <c r="R1824" s="16"/>
      <c r="S1824" s="16"/>
      <c r="T1824" s="16"/>
      <c r="U1824" s="16"/>
      <c r="V1824" s="37" t="str">
        <f>IFERROR(__xludf.DUMMYFUNCTION("if(not(iserror(index(split(C1824, "" ""),2))), index(split(C1824, "" ""),1),"""")"),"")</f>
        <v/>
      </c>
      <c r="W1824" s="315" t="str">
        <f>IFERROR(__xludf.DUMMYFUNCTION("if(V1824="""",C1824,if(not(iserror(index(split(C1824, "" ""),3))), index(split(C1824, "" ""),3),index(split(C1824, "" ""),2)))"),"")</f>
        <v/>
      </c>
      <c r="X1824" s="38" t="b">
        <f t="shared" si="2"/>
        <v>0</v>
      </c>
      <c r="Y1824" s="38"/>
      <c r="Z1824" s="40"/>
      <c r="AA1824" s="40"/>
      <c r="AB1824" s="38"/>
      <c r="AC1824" s="38"/>
      <c r="AD1824" s="38"/>
      <c r="AE1824" s="38"/>
      <c r="AF1824" s="38"/>
      <c r="AG1824" s="38"/>
      <c r="AH1824" s="38"/>
      <c r="AI1824" s="38"/>
      <c r="AJ1824" s="38"/>
      <c r="AK1824" s="38"/>
      <c r="AL1824" s="38"/>
      <c r="AM1824" s="38"/>
      <c r="AN1824" s="38"/>
      <c r="AO1824" s="38"/>
      <c r="AP1824" s="38"/>
      <c r="AQ1824" s="38"/>
      <c r="AR1824" s="38"/>
      <c r="AS1824" s="38"/>
      <c r="AT1824" s="38"/>
      <c r="AU1824" s="38"/>
      <c r="AV1824" s="38"/>
      <c r="AW1824" s="38"/>
      <c r="AX1824" s="38"/>
      <c r="AY1824" s="38"/>
      <c r="AZ1824" s="38"/>
      <c r="BA1824" s="38"/>
      <c r="BB1824" s="38"/>
      <c r="BC1824" s="38"/>
      <c r="BD1824" s="38"/>
      <c r="BE1824" s="38"/>
      <c r="BF1824" s="38"/>
      <c r="BG1824" s="38"/>
    </row>
    <row r="1825">
      <c r="A1825" s="16"/>
      <c r="B1825" s="16"/>
      <c r="C1825" s="146"/>
      <c r="D1825" s="146"/>
      <c r="E1825" s="16"/>
      <c r="F1825" s="91"/>
      <c r="G1825" s="16"/>
      <c r="H1825" s="320" t="str">
        <f t="shared" si="1"/>
        <v/>
      </c>
      <c r="I1825" s="16"/>
      <c r="J1825" s="16"/>
      <c r="K1825" s="16"/>
      <c r="L1825" s="38"/>
      <c r="M1825" s="16"/>
      <c r="N1825" s="16"/>
      <c r="O1825" s="16"/>
      <c r="P1825" s="15"/>
      <c r="Q1825" s="15"/>
      <c r="R1825" s="16"/>
      <c r="S1825" s="16"/>
      <c r="T1825" s="16"/>
      <c r="U1825" s="16"/>
      <c r="V1825" s="37" t="str">
        <f>IFERROR(__xludf.DUMMYFUNCTION("if(not(iserror(index(split(C1825, "" ""),2))), index(split(C1825, "" ""),1),"""")"),"")</f>
        <v/>
      </c>
      <c r="W1825" s="315" t="str">
        <f>IFERROR(__xludf.DUMMYFUNCTION("if(V1825="""",C1825,if(not(iserror(index(split(C1825, "" ""),3))), index(split(C1825, "" ""),3),index(split(C1825, "" ""),2)))"),"")</f>
        <v/>
      </c>
      <c r="X1825" s="38" t="b">
        <f t="shared" si="2"/>
        <v>0</v>
      </c>
      <c r="Y1825" s="38"/>
      <c r="Z1825" s="40"/>
      <c r="AA1825" s="40"/>
      <c r="AB1825" s="38"/>
      <c r="AC1825" s="38"/>
      <c r="AD1825" s="38"/>
      <c r="AE1825" s="38"/>
      <c r="AF1825" s="38"/>
      <c r="AG1825" s="38"/>
      <c r="AH1825" s="38"/>
      <c r="AI1825" s="38"/>
      <c r="AJ1825" s="38"/>
      <c r="AK1825" s="38"/>
      <c r="AL1825" s="38"/>
      <c r="AM1825" s="38"/>
      <c r="AN1825" s="38"/>
      <c r="AO1825" s="38"/>
      <c r="AP1825" s="38"/>
      <c r="AQ1825" s="38"/>
      <c r="AR1825" s="38"/>
      <c r="AS1825" s="38"/>
      <c r="AT1825" s="38"/>
      <c r="AU1825" s="38"/>
      <c r="AV1825" s="38"/>
      <c r="AW1825" s="38"/>
      <c r="AX1825" s="38"/>
      <c r="AY1825" s="38"/>
      <c r="AZ1825" s="38"/>
      <c r="BA1825" s="38"/>
      <c r="BB1825" s="38"/>
      <c r="BC1825" s="38"/>
      <c r="BD1825" s="38"/>
      <c r="BE1825" s="38"/>
      <c r="BF1825" s="38"/>
      <c r="BG1825" s="38"/>
    </row>
    <row r="1826">
      <c r="A1826" s="16"/>
      <c r="B1826" s="16"/>
      <c r="C1826" s="146"/>
      <c r="D1826" s="146"/>
      <c r="E1826" s="16"/>
      <c r="F1826" s="91"/>
      <c r="G1826" s="16"/>
      <c r="H1826" s="320" t="str">
        <f t="shared" si="1"/>
        <v/>
      </c>
      <c r="I1826" s="16"/>
      <c r="J1826" s="16"/>
      <c r="K1826" s="16"/>
      <c r="L1826" s="38"/>
      <c r="M1826" s="16"/>
      <c r="N1826" s="16"/>
      <c r="O1826" s="16"/>
      <c r="P1826" s="15"/>
      <c r="Q1826" s="15"/>
      <c r="R1826" s="16"/>
      <c r="S1826" s="16"/>
      <c r="T1826" s="16"/>
      <c r="U1826" s="16"/>
      <c r="V1826" s="37" t="str">
        <f>IFERROR(__xludf.DUMMYFUNCTION("if(not(iserror(index(split(C1826, "" ""),2))), index(split(C1826, "" ""),1),"""")"),"")</f>
        <v/>
      </c>
      <c r="W1826" s="315" t="str">
        <f>IFERROR(__xludf.DUMMYFUNCTION("if(V1826="""",C1826,if(not(iserror(index(split(C1826, "" ""),3))), index(split(C1826, "" ""),3),index(split(C1826, "" ""),2)))"),"")</f>
        <v/>
      </c>
      <c r="X1826" s="38" t="b">
        <f t="shared" si="2"/>
        <v>0</v>
      </c>
      <c r="Y1826" s="38"/>
      <c r="Z1826" s="40"/>
      <c r="AA1826" s="40"/>
      <c r="AB1826" s="38"/>
      <c r="AC1826" s="38"/>
      <c r="AD1826" s="38"/>
      <c r="AE1826" s="38"/>
      <c r="AF1826" s="38"/>
      <c r="AG1826" s="38"/>
      <c r="AH1826" s="38"/>
      <c r="AI1826" s="38"/>
      <c r="AJ1826" s="38"/>
      <c r="AK1826" s="38"/>
      <c r="AL1826" s="38"/>
      <c r="AM1826" s="38"/>
      <c r="AN1826" s="38"/>
      <c r="AO1826" s="38"/>
      <c r="AP1826" s="38"/>
      <c r="AQ1826" s="38"/>
      <c r="AR1826" s="38"/>
      <c r="AS1826" s="38"/>
      <c r="AT1826" s="38"/>
      <c r="AU1826" s="38"/>
      <c r="AV1826" s="38"/>
      <c r="AW1826" s="38"/>
      <c r="AX1826" s="38"/>
      <c r="AY1826" s="38"/>
      <c r="AZ1826" s="38"/>
      <c r="BA1826" s="38"/>
      <c r="BB1826" s="38"/>
      <c r="BC1826" s="38"/>
      <c r="BD1826" s="38"/>
      <c r="BE1826" s="38"/>
      <c r="BF1826" s="38"/>
      <c r="BG1826" s="38"/>
    </row>
    <row r="1827">
      <c r="A1827" s="16"/>
      <c r="B1827" s="16"/>
      <c r="C1827" s="146"/>
      <c r="D1827" s="146"/>
      <c r="E1827" s="16"/>
      <c r="F1827" s="91"/>
      <c r="G1827" s="16"/>
      <c r="H1827" s="320" t="str">
        <f t="shared" si="1"/>
        <v/>
      </c>
      <c r="I1827" s="16"/>
      <c r="J1827" s="16"/>
      <c r="K1827" s="16"/>
      <c r="L1827" s="38"/>
      <c r="M1827" s="16"/>
      <c r="N1827" s="16"/>
      <c r="O1827" s="16"/>
      <c r="P1827" s="15"/>
      <c r="Q1827" s="15"/>
      <c r="R1827" s="16"/>
      <c r="S1827" s="16"/>
      <c r="T1827" s="16"/>
      <c r="U1827" s="16"/>
      <c r="V1827" s="37" t="str">
        <f>IFERROR(__xludf.DUMMYFUNCTION("if(not(iserror(index(split(C1827, "" ""),2))), index(split(C1827, "" ""),1),"""")"),"")</f>
        <v/>
      </c>
      <c r="W1827" s="315" t="str">
        <f>IFERROR(__xludf.DUMMYFUNCTION("if(V1827="""",C1827,if(not(iserror(index(split(C1827, "" ""),3))), index(split(C1827, "" ""),3),index(split(C1827, "" ""),2)))"),"")</f>
        <v/>
      </c>
      <c r="X1827" s="38" t="b">
        <f t="shared" si="2"/>
        <v>0</v>
      </c>
      <c r="Y1827" s="38"/>
      <c r="Z1827" s="40"/>
      <c r="AA1827" s="40"/>
      <c r="AB1827" s="38"/>
      <c r="AC1827" s="38"/>
      <c r="AD1827" s="38"/>
      <c r="AE1827" s="38"/>
      <c r="AF1827" s="38"/>
      <c r="AG1827" s="38"/>
      <c r="AH1827" s="38"/>
      <c r="AI1827" s="38"/>
      <c r="AJ1827" s="38"/>
      <c r="AK1827" s="38"/>
      <c r="AL1827" s="38"/>
      <c r="AM1827" s="38"/>
      <c r="AN1827" s="38"/>
      <c r="AO1827" s="38"/>
      <c r="AP1827" s="38"/>
      <c r="AQ1827" s="38"/>
      <c r="AR1827" s="38"/>
      <c r="AS1827" s="38"/>
      <c r="AT1827" s="38"/>
      <c r="AU1827" s="38"/>
      <c r="AV1827" s="38"/>
      <c r="AW1827" s="38"/>
      <c r="AX1827" s="38"/>
      <c r="AY1827" s="38"/>
      <c r="AZ1827" s="38"/>
      <c r="BA1827" s="38"/>
      <c r="BB1827" s="38"/>
      <c r="BC1827" s="38"/>
      <c r="BD1827" s="38"/>
      <c r="BE1827" s="38"/>
      <c r="BF1827" s="38"/>
      <c r="BG1827" s="38"/>
    </row>
    <row r="1828">
      <c r="A1828" s="16"/>
      <c r="B1828" s="16"/>
      <c r="C1828" s="146"/>
      <c r="D1828" s="146"/>
      <c r="E1828" s="16"/>
      <c r="F1828" s="91"/>
      <c r="G1828" s="16"/>
      <c r="H1828" s="320" t="str">
        <f t="shared" si="1"/>
        <v/>
      </c>
      <c r="I1828" s="16"/>
      <c r="J1828" s="16"/>
      <c r="K1828" s="16"/>
      <c r="L1828" s="38"/>
      <c r="M1828" s="16"/>
      <c r="N1828" s="16"/>
      <c r="O1828" s="16"/>
      <c r="P1828" s="15"/>
      <c r="Q1828" s="15"/>
      <c r="R1828" s="16"/>
      <c r="S1828" s="16"/>
      <c r="T1828" s="16"/>
      <c r="U1828" s="16"/>
      <c r="V1828" s="37" t="str">
        <f>IFERROR(__xludf.DUMMYFUNCTION("if(not(iserror(index(split(C1828, "" ""),2))), index(split(C1828, "" ""),1),"""")"),"")</f>
        <v/>
      </c>
      <c r="W1828" s="315" t="str">
        <f>IFERROR(__xludf.DUMMYFUNCTION("if(V1828="""",C1828,if(not(iserror(index(split(C1828, "" ""),3))), index(split(C1828, "" ""),3),index(split(C1828, "" ""),2)))"),"")</f>
        <v/>
      </c>
      <c r="X1828" s="38" t="b">
        <f t="shared" si="2"/>
        <v>0</v>
      </c>
      <c r="Y1828" s="38"/>
      <c r="Z1828" s="40"/>
      <c r="AA1828" s="40"/>
      <c r="AB1828" s="38"/>
      <c r="AC1828" s="38"/>
      <c r="AD1828" s="38"/>
      <c r="AE1828" s="38"/>
      <c r="AF1828" s="38"/>
      <c r="AG1828" s="38"/>
      <c r="AH1828" s="38"/>
      <c r="AI1828" s="38"/>
      <c r="AJ1828" s="38"/>
      <c r="AK1828" s="38"/>
      <c r="AL1828" s="38"/>
      <c r="AM1828" s="38"/>
      <c r="AN1828" s="38"/>
      <c r="AO1828" s="38"/>
      <c r="AP1828" s="38"/>
      <c r="AQ1828" s="38"/>
      <c r="AR1828" s="38"/>
      <c r="AS1828" s="38"/>
      <c r="AT1828" s="38"/>
      <c r="AU1828" s="38"/>
      <c r="AV1828" s="38"/>
      <c r="AW1828" s="38"/>
      <c r="AX1828" s="38"/>
      <c r="AY1828" s="38"/>
      <c r="AZ1828" s="38"/>
      <c r="BA1828" s="38"/>
      <c r="BB1828" s="38"/>
      <c r="BC1828" s="38"/>
      <c r="BD1828" s="38"/>
      <c r="BE1828" s="38"/>
      <c r="BF1828" s="38"/>
      <c r="BG1828" s="38"/>
    </row>
    <row r="1829">
      <c r="A1829" s="16"/>
      <c r="B1829" s="16"/>
      <c r="C1829" s="146"/>
      <c r="D1829" s="146"/>
      <c r="E1829" s="16"/>
      <c r="F1829" s="91"/>
      <c r="G1829" s="16"/>
      <c r="H1829" s="320" t="str">
        <f t="shared" si="1"/>
        <v/>
      </c>
      <c r="I1829" s="16"/>
      <c r="J1829" s="16"/>
      <c r="K1829" s="16"/>
      <c r="L1829" s="38"/>
      <c r="M1829" s="16"/>
      <c r="N1829" s="16"/>
      <c r="O1829" s="16"/>
      <c r="P1829" s="15"/>
      <c r="Q1829" s="15"/>
      <c r="R1829" s="16"/>
      <c r="S1829" s="16"/>
      <c r="T1829" s="16"/>
      <c r="U1829" s="16"/>
      <c r="V1829" s="37" t="str">
        <f>IFERROR(__xludf.DUMMYFUNCTION("if(not(iserror(index(split(C1829, "" ""),2))), index(split(C1829, "" ""),1),"""")"),"")</f>
        <v/>
      </c>
      <c r="W1829" s="315" t="str">
        <f>IFERROR(__xludf.DUMMYFUNCTION("if(V1829="""",C1829,if(not(iserror(index(split(C1829, "" ""),3))), index(split(C1829, "" ""),3),index(split(C1829, "" ""),2)))"),"")</f>
        <v/>
      </c>
      <c r="X1829" s="38" t="b">
        <f t="shared" si="2"/>
        <v>0</v>
      </c>
      <c r="Y1829" s="38"/>
      <c r="Z1829" s="40"/>
      <c r="AA1829" s="40"/>
      <c r="AB1829" s="38"/>
      <c r="AC1829" s="38"/>
      <c r="AD1829" s="38"/>
      <c r="AE1829" s="38"/>
      <c r="AF1829" s="38"/>
      <c r="AG1829" s="38"/>
      <c r="AH1829" s="38"/>
      <c r="AI1829" s="38"/>
      <c r="AJ1829" s="38"/>
      <c r="AK1829" s="38"/>
      <c r="AL1829" s="38"/>
      <c r="AM1829" s="38"/>
      <c r="AN1829" s="38"/>
      <c r="AO1829" s="38"/>
      <c r="AP1829" s="38"/>
      <c r="AQ1829" s="38"/>
      <c r="AR1829" s="38"/>
      <c r="AS1829" s="38"/>
      <c r="AT1829" s="38"/>
      <c r="AU1829" s="38"/>
      <c r="AV1829" s="38"/>
      <c r="AW1829" s="38"/>
      <c r="AX1829" s="38"/>
      <c r="AY1829" s="38"/>
      <c r="AZ1829" s="38"/>
      <c r="BA1829" s="38"/>
      <c r="BB1829" s="38"/>
      <c r="BC1829" s="38"/>
      <c r="BD1829" s="38"/>
      <c r="BE1829" s="38"/>
      <c r="BF1829" s="38"/>
      <c r="BG1829" s="38"/>
    </row>
    <row r="1830">
      <c r="A1830" s="16"/>
      <c r="B1830" s="16"/>
      <c r="C1830" s="146"/>
      <c r="D1830" s="146"/>
      <c r="E1830" s="16"/>
      <c r="F1830" s="91"/>
      <c r="G1830" s="16"/>
      <c r="H1830" s="320" t="str">
        <f t="shared" si="1"/>
        <v/>
      </c>
      <c r="I1830" s="16"/>
      <c r="J1830" s="16"/>
      <c r="K1830" s="16"/>
      <c r="L1830" s="38"/>
      <c r="M1830" s="16"/>
      <c r="N1830" s="16"/>
      <c r="O1830" s="16"/>
      <c r="P1830" s="15"/>
      <c r="Q1830" s="15"/>
      <c r="R1830" s="16"/>
      <c r="S1830" s="16"/>
      <c r="T1830" s="16"/>
      <c r="U1830" s="16"/>
      <c r="V1830" s="37" t="str">
        <f>IFERROR(__xludf.DUMMYFUNCTION("if(not(iserror(index(split(C1830, "" ""),2))), index(split(C1830, "" ""),1),"""")"),"")</f>
        <v/>
      </c>
      <c r="W1830" s="315" t="str">
        <f>IFERROR(__xludf.DUMMYFUNCTION("if(V1830="""",C1830,if(not(iserror(index(split(C1830, "" ""),3))), index(split(C1830, "" ""),3),index(split(C1830, "" ""),2)))"),"")</f>
        <v/>
      </c>
      <c r="X1830" s="38" t="b">
        <f t="shared" si="2"/>
        <v>0</v>
      </c>
      <c r="Y1830" s="38"/>
      <c r="Z1830" s="40"/>
      <c r="AA1830" s="40"/>
      <c r="AB1830" s="38"/>
      <c r="AC1830" s="38"/>
      <c r="AD1830" s="38"/>
      <c r="AE1830" s="38"/>
      <c r="AF1830" s="38"/>
      <c r="AG1830" s="38"/>
      <c r="AH1830" s="38"/>
      <c r="AI1830" s="38"/>
      <c r="AJ1830" s="38"/>
      <c r="AK1830" s="38"/>
      <c r="AL1830" s="38"/>
      <c r="AM1830" s="38"/>
      <c r="AN1830" s="38"/>
      <c r="AO1830" s="38"/>
      <c r="AP1830" s="38"/>
      <c r="AQ1830" s="38"/>
      <c r="AR1830" s="38"/>
      <c r="AS1830" s="38"/>
      <c r="AT1830" s="38"/>
      <c r="AU1830" s="38"/>
      <c r="AV1830" s="38"/>
      <c r="AW1830" s="38"/>
      <c r="AX1830" s="38"/>
      <c r="AY1830" s="38"/>
      <c r="AZ1830" s="38"/>
      <c r="BA1830" s="38"/>
      <c r="BB1830" s="38"/>
      <c r="BC1830" s="38"/>
      <c r="BD1830" s="38"/>
      <c r="BE1830" s="38"/>
      <c r="BF1830" s="38"/>
      <c r="BG1830" s="38"/>
    </row>
    <row r="1831">
      <c r="A1831" s="16"/>
      <c r="B1831" s="16"/>
      <c r="C1831" s="146"/>
      <c r="D1831" s="146"/>
      <c r="E1831" s="16"/>
      <c r="F1831" s="91"/>
      <c r="G1831" s="16"/>
      <c r="H1831" s="320" t="str">
        <f t="shared" si="1"/>
        <v/>
      </c>
      <c r="I1831" s="16"/>
      <c r="J1831" s="16"/>
      <c r="K1831" s="16"/>
      <c r="L1831" s="38"/>
      <c r="M1831" s="16"/>
      <c r="N1831" s="16"/>
      <c r="O1831" s="16"/>
      <c r="P1831" s="15"/>
      <c r="Q1831" s="15"/>
      <c r="R1831" s="16"/>
      <c r="S1831" s="16"/>
      <c r="T1831" s="16"/>
      <c r="U1831" s="16"/>
      <c r="V1831" s="37" t="str">
        <f>IFERROR(__xludf.DUMMYFUNCTION("if(not(iserror(index(split(C1831, "" ""),2))), index(split(C1831, "" ""),1),"""")"),"")</f>
        <v/>
      </c>
      <c r="W1831" s="315" t="str">
        <f>IFERROR(__xludf.DUMMYFUNCTION("if(V1831="""",C1831,if(not(iserror(index(split(C1831, "" ""),3))), index(split(C1831, "" ""),3),index(split(C1831, "" ""),2)))"),"")</f>
        <v/>
      </c>
      <c r="X1831" s="38" t="b">
        <f t="shared" si="2"/>
        <v>0</v>
      </c>
      <c r="Y1831" s="38"/>
      <c r="Z1831" s="40"/>
      <c r="AA1831" s="40"/>
      <c r="AB1831" s="38"/>
      <c r="AC1831" s="38"/>
      <c r="AD1831" s="38"/>
      <c r="AE1831" s="38"/>
      <c r="AF1831" s="38"/>
      <c r="AG1831" s="38"/>
      <c r="AH1831" s="38"/>
      <c r="AI1831" s="38"/>
      <c r="AJ1831" s="38"/>
      <c r="AK1831" s="38"/>
      <c r="AL1831" s="38"/>
      <c r="AM1831" s="38"/>
      <c r="AN1831" s="38"/>
      <c r="AO1831" s="38"/>
      <c r="AP1831" s="38"/>
      <c r="AQ1831" s="38"/>
      <c r="AR1831" s="38"/>
      <c r="AS1831" s="38"/>
      <c r="AT1831" s="38"/>
      <c r="AU1831" s="38"/>
      <c r="AV1831" s="38"/>
      <c r="AW1831" s="38"/>
      <c r="AX1831" s="38"/>
      <c r="AY1831" s="38"/>
      <c r="AZ1831" s="38"/>
      <c r="BA1831" s="38"/>
      <c r="BB1831" s="38"/>
      <c r="BC1831" s="38"/>
      <c r="BD1831" s="38"/>
      <c r="BE1831" s="38"/>
      <c r="BF1831" s="38"/>
      <c r="BG1831" s="38"/>
    </row>
    <row r="1832">
      <c r="A1832" s="16"/>
      <c r="B1832" s="16"/>
      <c r="C1832" s="146"/>
      <c r="D1832" s="146"/>
      <c r="E1832" s="16"/>
      <c r="F1832" s="91"/>
      <c r="G1832" s="16"/>
      <c r="H1832" s="320" t="str">
        <f t="shared" si="1"/>
        <v/>
      </c>
      <c r="I1832" s="16"/>
      <c r="J1832" s="16"/>
      <c r="K1832" s="16"/>
      <c r="L1832" s="38"/>
      <c r="M1832" s="16"/>
      <c r="N1832" s="16"/>
      <c r="O1832" s="16"/>
      <c r="P1832" s="15"/>
      <c r="Q1832" s="15"/>
      <c r="R1832" s="16"/>
      <c r="S1832" s="16"/>
      <c r="T1832" s="16"/>
      <c r="U1832" s="16"/>
      <c r="V1832" s="37" t="str">
        <f>IFERROR(__xludf.DUMMYFUNCTION("if(not(iserror(index(split(C1832, "" ""),2))), index(split(C1832, "" ""),1),"""")"),"")</f>
        <v/>
      </c>
      <c r="W1832" s="315" t="str">
        <f>IFERROR(__xludf.DUMMYFUNCTION("if(V1832="""",C1832,if(not(iserror(index(split(C1832, "" ""),3))), index(split(C1832, "" ""),3),index(split(C1832, "" ""),2)))"),"")</f>
        <v/>
      </c>
      <c r="X1832" s="38" t="b">
        <f t="shared" si="2"/>
        <v>0</v>
      </c>
      <c r="Y1832" s="38"/>
      <c r="Z1832" s="40"/>
      <c r="AA1832" s="40"/>
      <c r="AB1832" s="38"/>
      <c r="AC1832" s="38"/>
      <c r="AD1832" s="38"/>
      <c r="AE1832" s="38"/>
      <c r="AF1832" s="38"/>
      <c r="AG1832" s="38"/>
      <c r="AH1832" s="38"/>
      <c r="AI1832" s="38"/>
      <c r="AJ1832" s="38"/>
      <c r="AK1832" s="38"/>
      <c r="AL1832" s="38"/>
      <c r="AM1832" s="38"/>
      <c r="AN1832" s="38"/>
      <c r="AO1832" s="38"/>
      <c r="AP1832" s="38"/>
      <c r="AQ1832" s="38"/>
      <c r="AR1832" s="38"/>
      <c r="AS1832" s="38"/>
      <c r="AT1832" s="38"/>
      <c r="AU1832" s="38"/>
      <c r="AV1832" s="38"/>
      <c r="AW1832" s="38"/>
      <c r="AX1832" s="38"/>
      <c r="AY1832" s="38"/>
      <c r="AZ1832" s="38"/>
      <c r="BA1832" s="38"/>
      <c r="BB1832" s="38"/>
      <c r="BC1832" s="38"/>
      <c r="BD1832" s="38"/>
      <c r="BE1832" s="38"/>
      <c r="BF1832" s="38"/>
      <c r="BG1832" s="38"/>
    </row>
    <row r="1833">
      <c r="A1833" s="16"/>
      <c r="B1833" s="16"/>
      <c r="C1833" s="146"/>
      <c r="D1833" s="146"/>
      <c r="E1833" s="16"/>
      <c r="F1833" s="91"/>
      <c r="G1833" s="16"/>
      <c r="H1833" s="320" t="str">
        <f t="shared" si="1"/>
        <v/>
      </c>
      <c r="I1833" s="16"/>
      <c r="J1833" s="16"/>
      <c r="K1833" s="16"/>
      <c r="L1833" s="38"/>
      <c r="M1833" s="16"/>
      <c r="N1833" s="16"/>
      <c r="O1833" s="16"/>
      <c r="P1833" s="15"/>
      <c r="Q1833" s="15"/>
      <c r="R1833" s="16"/>
      <c r="S1833" s="16"/>
      <c r="T1833" s="16"/>
      <c r="U1833" s="16"/>
      <c r="V1833" s="37" t="str">
        <f>IFERROR(__xludf.DUMMYFUNCTION("if(not(iserror(index(split(C1833, "" ""),2))), index(split(C1833, "" ""),1),"""")"),"")</f>
        <v/>
      </c>
      <c r="W1833" s="315" t="str">
        <f>IFERROR(__xludf.DUMMYFUNCTION("if(V1833="""",C1833,if(not(iserror(index(split(C1833, "" ""),3))), index(split(C1833, "" ""),3),index(split(C1833, "" ""),2)))"),"")</f>
        <v/>
      </c>
      <c r="X1833" s="38" t="b">
        <f t="shared" si="2"/>
        <v>0</v>
      </c>
      <c r="Y1833" s="38"/>
      <c r="Z1833" s="40"/>
      <c r="AA1833" s="40"/>
      <c r="AB1833" s="38"/>
      <c r="AC1833" s="38"/>
      <c r="AD1833" s="38"/>
      <c r="AE1833" s="38"/>
      <c r="AF1833" s="38"/>
      <c r="AG1833" s="38"/>
      <c r="AH1833" s="38"/>
      <c r="AI1833" s="38"/>
      <c r="AJ1833" s="38"/>
      <c r="AK1833" s="38"/>
      <c r="AL1833" s="38"/>
      <c r="AM1833" s="38"/>
      <c r="AN1833" s="38"/>
      <c r="AO1833" s="38"/>
      <c r="AP1833" s="38"/>
      <c r="AQ1833" s="38"/>
      <c r="AR1833" s="38"/>
      <c r="AS1833" s="38"/>
      <c r="AT1833" s="38"/>
      <c r="AU1833" s="38"/>
      <c r="AV1833" s="38"/>
      <c r="AW1833" s="38"/>
      <c r="AX1833" s="38"/>
      <c r="AY1833" s="38"/>
      <c r="AZ1833" s="38"/>
      <c r="BA1833" s="38"/>
      <c r="BB1833" s="38"/>
      <c r="BC1833" s="38"/>
      <c r="BD1833" s="38"/>
      <c r="BE1833" s="38"/>
      <c r="BF1833" s="38"/>
      <c r="BG1833" s="38"/>
    </row>
    <row r="1834">
      <c r="A1834" s="16"/>
      <c r="B1834" s="16"/>
      <c r="C1834" s="146"/>
      <c r="D1834" s="146"/>
      <c r="E1834" s="16"/>
      <c r="F1834" s="91"/>
      <c r="G1834" s="16"/>
      <c r="H1834" s="320" t="str">
        <f t="shared" si="1"/>
        <v/>
      </c>
      <c r="I1834" s="16"/>
      <c r="J1834" s="16"/>
      <c r="K1834" s="16"/>
      <c r="L1834" s="38"/>
      <c r="M1834" s="16"/>
      <c r="N1834" s="16"/>
      <c r="O1834" s="16"/>
      <c r="P1834" s="15"/>
      <c r="Q1834" s="15"/>
      <c r="R1834" s="16"/>
      <c r="S1834" s="16"/>
      <c r="T1834" s="16"/>
      <c r="U1834" s="16"/>
      <c r="V1834" s="37" t="str">
        <f>IFERROR(__xludf.DUMMYFUNCTION("if(not(iserror(index(split(C1834, "" ""),2))), index(split(C1834, "" ""),1),"""")"),"")</f>
        <v/>
      </c>
      <c r="W1834" s="315" t="str">
        <f>IFERROR(__xludf.DUMMYFUNCTION("if(V1834="""",C1834,if(not(iserror(index(split(C1834, "" ""),3))), index(split(C1834, "" ""),3),index(split(C1834, "" ""),2)))"),"")</f>
        <v/>
      </c>
      <c r="X1834" s="38" t="b">
        <f t="shared" si="2"/>
        <v>0</v>
      </c>
      <c r="Y1834" s="38"/>
      <c r="Z1834" s="40"/>
      <c r="AA1834" s="40"/>
      <c r="AB1834" s="38"/>
      <c r="AC1834" s="38"/>
      <c r="AD1834" s="38"/>
      <c r="AE1834" s="38"/>
      <c r="AF1834" s="38"/>
      <c r="AG1834" s="38"/>
      <c r="AH1834" s="38"/>
      <c r="AI1834" s="38"/>
      <c r="AJ1834" s="38"/>
      <c r="AK1834" s="38"/>
      <c r="AL1834" s="38"/>
      <c r="AM1834" s="38"/>
      <c r="AN1834" s="38"/>
      <c r="AO1834" s="38"/>
      <c r="AP1834" s="38"/>
      <c r="AQ1834" s="38"/>
      <c r="AR1834" s="38"/>
      <c r="AS1834" s="38"/>
      <c r="AT1834" s="38"/>
      <c r="AU1834" s="38"/>
      <c r="AV1834" s="38"/>
      <c r="AW1834" s="38"/>
      <c r="AX1834" s="38"/>
      <c r="AY1834" s="38"/>
      <c r="AZ1834" s="38"/>
      <c r="BA1834" s="38"/>
      <c r="BB1834" s="38"/>
      <c r="BC1834" s="38"/>
      <c r="BD1834" s="38"/>
      <c r="BE1834" s="38"/>
      <c r="BF1834" s="38"/>
      <c r="BG1834" s="38"/>
    </row>
    <row r="1835">
      <c r="A1835" s="16"/>
      <c r="B1835" s="16"/>
      <c r="C1835" s="146"/>
      <c r="D1835" s="146"/>
      <c r="E1835" s="16"/>
      <c r="F1835" s="91"/>
      <c r="G1835" s="16"/>
      <c r="H1835" s="320" t="str">
        <f t="shared" si="1"/>
        <v/>
      </c>
      <c r="I1835" s="16"/>
      <c r="J1835" s="16"/>
      <c r="K1835" s="16"/>
      <c r="L1835" s="38"/>
      <c r="M1835" s="16"/>
      <c r="N1835" s="16"/>
      <c r="O1835" s="16"/>
      <c r="P1835" s="15"/>
      <c r="Q1835" s="15"/>
      <c r="R1835" s="16"/>
      <c r="S1835" s="16"/>
      <c r="T1835" s="16"/>
      <c r="U1835" s="16"/>
      <c r="V1835" s="37" t="str">
        <f>IFERROR(__xludf.DUMMYFUNCTION("if(not(iserror(index(split(C1835, "" ""),2))), index(split(C1835, "" ""),1),"""")"),"")</f>
        <v/>
      </c>
      <c r="W1835" s="315" t="str">
        <f>IFERROR(__xludf.DUMMYFUNCTION("if(V1835="""",C1835,if(not(iserror(index(split(C1835, "" ""),3))), index(split(C1835, "" ""),3),index(split(C1835, "" ""),2)))"),"")</f>
        <v/>
      </c>
      <c r="X1835" s="38" t="b">
        <f t="shared" si="2"/>
        <v>0</v>
      </c>
      <c r="Y1835" s="38"/>
      <c r="Z1835" s="40"/>
      <c r="AA1835" s="40"/>
      <c r="AB1835" s="38"/>
      <c r="AC1835" s="38"/>
      <c r="AD1835" s="38"/>
      <c r="AE1835" s="38"/>
      <c r="AF1835" s="38"/>
      <c r="AG1835" s="38"/>
      <c r="AH1835" s="38"/>
      <c r="AI1835" s="38"/>
      <c r="AJ1835" s="38"/>
      <c r="AK1835" s="38"/>
      <c r="AL1835" s="38"/>
      <c r="AM1835" s="38"/>
      <c r="AN1835" s="38"/>
      <c r="AO1835" s="38"/>
      <c r="AP1835" s="38"/>
      <c r="AQ1835" s="38"/>
      <c r="AR1835" s="38"/>
      <c r="AS1835" s="38"/>
      <c r="AT1835" s="38"/>
      <c r="AU1835" s="38"/>
      <c r="AV1835" s="38"/>
      <c r="AW1835" s="38"/>
      <c r="AX1835" s="38"/>
      <c r="AY1835" s="38"/>
      <c r="AZ1835" s="38"/>
      <c r="BA1835" s="38"/>
      <c r="BB1835" s="38"/>
      <c r="BC1835" s="38"/>
      <c r="BD1835" s="38"/>
      <c r="BE1835" s="38"/>
      <c r="BF1835" s="38"/>
      <c r="BG1835" s="38"/>
    </row>
    <row r="1836">
      <c r="A1836" s="16"/>
      <c r="B1836" s="16"/>
      <c r="C1836" s="146"/>
      <c r="D1836" s="146"/>
      <c r="E1836" s="16"/>
      <c r="F1836" s="91"/>
      <c r="G1836" s="16"/>
      <c r="H1836" s="320" t="str">
        <f t="shared" si="1"/>
        <v/>
      </c>
      <c r="I1836" s="16"/>
      <c r="J1836" s="16"/>
      <c r="K1836" s="16"/>
      <c r="L1836" s="38"/>
      <c r="M1836" s="16"/>
      <c r="N1836" s="16"/>
      <c r="O1836" s="16"/>
      <c r="P1836" s="15"/>
      <c r="Q1836" s="15"/>
      <c r="R1836" s="16"/>
      <c r="S1836" s="16"/>
      <c r="T1836" s="16"/>
      <c r="U1836" s="16"/>
      <c r="V1836" s="37" t="str">
        <f>IFERROR(__xludf.DUMMYFUNCTION("if(not(iserror(index(split(C1836, "" ""),2))), index(split(C1836, "" ""),1),"""")"),"")</f>
        <v/>
      </c>
      <c r="W1836" s="315" t="str">
        <f>IFERROR(__xludf.DUMMYFUNCTION("if(V1836="""",C1836,if(not(iserror(index(split(C1836, "" ""),3))), index(split(C1836, "" ""),3),index(split(C1836, "" ""),2)))"),"")</f>
        <v/>
      </c>
      <c r="X1836" s="38" t="b">
        <f t="shared" si="2"/>
        <v>0</v>
      </c>
      <c r="Y1836" s="38"/>
      <c r="Z1836" s="40"/>
      <c r="AA1836" s="40"/>
      <c r="AB1836" s="38"/>
      <c r="AC1836" s="38"/>
      <c r="AD1836" s="38"/>
      <c r="AE1836" s="38"/>
      <c r="AF1836" s="38"/>
      <c r="AG1836" s="38"/>
      <c r="AH1836" s="38"/>
      <c r="AI1836" s="38"/>
      <c r="AJ1836" s="38"/>
      <c r="AK1836" s="38"/>
      <c r="AL1836" s="38"/>
      <c r="AM1836" s="38"/>
      <c r="AN1836" s="38"/>
      <c r="AO1836" s="38"/>
      <c r="AP1836" s="38"/>
      <c r="AQ1836" s="38"/>
      <c r="AR1836" s="38"/>
      <c r="AS1836" s="38"/>
      <c r="AT1836" s="38"/>
      <c r="AU1836" s="38"/>
      <c r="AV1836" s="38"/>
      <c r="AW1836" s="38"/>
      <c r="AX1836" s="38"/>
      <c r="AY1836" s="38"/>
      <c r="AZ1836" s="38"/>
      <c r="BA1836" s="38"/>
      <c r="BB1836" s="38"/>
      <c r="BC1836" s="38"/>
      <c r="BD1836" s="38"/>
      <c r="BE1836" s="38"/>
      <c r="BF1836" s="38"/>
      <c r="BG1836" s="38"/>
    </row>
    <row r="1837">
      <c r="A1837" s="16"/>
      <c r="B1837" s="16"/>
      <c r="C1837" s="146"/>
      <c r="D1837" s="146"/>
      <c r="E1837" s="16"/>
      <c r="F1837" s="91"/>
      <c r="G1837" s="16"/>
      <c r="H1837" s="320" t="str">
        <f t="shared" si="1"/>
        <v/>
      </c>
      <c r="I1837" s="16"/>
      <c r="J1837" s="16"/>
      <c r="K1837" s="16"/>
      <c r="L1837" s="38"/>
      <c r="M1837" s="16"/>
      <c r="N1837" s="16"/>
      <c r="O1837" s="16"/>
      <c r="P1837" s="15"/>
      <c r="Q1837" s="15"/>
      <c r="R1837" s="16"/>
      <c r="S1837" s="16"/>
      <c r="T1837" s="16"/>
      <c r="U1837" s="16"/>
      <c r="V1837" s="37" t="str">
        <f>IFERROR(__xludf.DUMMYFUNCTION("if(not(iserror(index(split(C1837, "" ""),2))), index(split(C1837, "" ""),1),"""")"),"")</f>
        <v/>
      </c>
      <c r="W1837" s="315" t="str">
        <f>IFERROR(__xludf.DUMMYFUNCTION("if(V1837="""",C1837,if(not(iserror(index(split(C1837, "" ""),3))), index(split(C1837, "" ""),3),index(split(C1837, "" ""),2)))"),"")</f>
        <v/>
      </c>
      <c r="X1837" s="38" t="b">
        <f t="shared" si="2"/>
        <v>0</v>
      </c>
      <c r="Y1837" s="38"/>
      <c r="Z1837" s="40"/>
      <c r="AA1837" s="40"/>
      <c r="AB1837" s="38"/>
      <c r="AC1837" s="38"/>
      <c r="AD1837" s="38"/>
      <c r="AE1837" s="38"/>
      <c r="AF1837" s="38"/>
      <c r="AG1837" s="38"/>
      <c r="AH1837" s="38"/>
      <c r="AI1837" s="38"/>
      <c r="AJ1837" s="38"/>
      <c r="AK1837" s="38"/>
      <c r="AL1837" s="38"/>
      <c r="AM1837" s="38"/>
      <c r="AN1837" s="38"/>
      <c r="AO1837" s="38"/>
      <c r="AP1837" s="38"/>
      <c r="AQ1837" s="38"/>
      <c r="AR1837" s="38"/>
      <c r="AS1837" s="38"/>
      <c r="AT1837" s="38"/>
      <c r="AU1837" s="38"/>
      <c r="AV1837" s="38"/>
      <c r="AW1837" s="38"/>
      <c r="AX1837" s="38"/>
      <c r="AY1837" s="38"/>
      <c r="AZ1837" s="38"/>
      <c r="BA1837" s="38"/>
      <c r="BB1837" s="38"/>
      <c r="BC1837" s="38"/>
      <c r="BD1837" s="38"/>
      <c r="BE1837" s="38"/>
      <c r="BF1837" s="38"/>
      <c r="BG1837" s="38"/>
    </row>
    <row r="1838">
      <c r="A1838" s="16"/>
      <c r="B1838" s="16"/>
      <c r="C1838" s="146"/>
      <c r="D1838" s="146"/>
      <c r="E1838" s="16"/>
      <c r="F1838" s="91"/>
      <c r="G1838" s="16"/>
      <c r="H1838" s="320" t="str">
        <f t="shared" si="1"/>
        <v/>
      </c>
      <c r="I1838" s="16"/>
      <c r="J1838" s="16"/>
      <c r="K1838" s="16"/>
      <c r="L1838" s="38"/>
      <c r="M1838" s="16"/>
      <c r="N1838" s="16"/>
      <c r="O1838" s="16"/>
      <c r="P1838" s="15"/>
      <c r="Q1838" s="15"/>
      <c r="R1838" s="16"/>
      <c r="S1838" s="16"/>
      <c r="T1838" s="16"/>
      <c r="U1838" s="16"/>
      <c r="V1838" s="37" t="str">
        <f>IFERROR(__xludf.DUMMYFUNCTION("if(not(iserror(index(split(C1838, "" ""),2))), index(split(C1838, "" ""),1),"""")"),"")</f>
        <v/>
      </c>
      <c r="W1838" s="315" t="str">
        <f>IFERROR(__xludf.DUMMYFUNCTION("if(V1838="""",C1838,if(not(iserror(index(split(C1838, "" ""),3))), index(split(C1838, "" ""),3),index(split(C1838, "" ""),2)))"),"")</f>
        <v/>
      </c>
      <c r="X1838" s="38" t="b">
        <f t="shared" si="2"/>
        <v>0</v>
      </c>
      <c r="Y1838" s="38"/>
      <c r="Z1838" s="40"/>
      <c r="AA1838" s="40"/>
      <c r="AB1838" s="38"/>
      <c r="AC1838" s="38"/>
      <c r="AD1838" s="38"/>
      <c r="AE1838" s="38"/>
      <c r="AF1838" s="38"/>
      <c r="AG1838" s="38"/>
      <c r="AH1838" s="38"/>
      <c r="AI1838" s="38"/>
      <c r="AJ1838" s="38"/>
      <c r="AK1838" s="38"/>
      <c r="AL1838" s="38"/>
      <c r="AM1838" s="38"/>
      <c r="AN1838" s="38"/>
      <c r="AO1838" s="38"/>
      <c r="AP1838" s="38"/>
      <c r="AQ1838" s="38"/>
      <c r="AR1838" s="38"/>
      <c r="AS1838" s="38"/>
      <c r="AT1838" s="38"/>
      <c r="AU1838" s="38"/>
      <c r="AV1838" s="38"/>
      <c r="AW1838" s="38"/>
      <c r="AX1838" s="38"/>
      <c r="AY1838" s="38"/>
      <c r="AZ1838" s="38"/>
      <c r="BA1838" s="38"/>
      <c r="BB1838" s="38"/>
      <c r="BC1838" s="38"/>
      <c r="BD1838" s="38"/>
      <c r="BE1838" s="38"/>
      <c r="BF1838" s="38"/>
      <c r="BG1838" s="38"/>
    </row>
    <row r="1839">
      <c r="A1839" s="16"/>
      <c r="B1839" s="16"/>
      <c r="C1839" s="146"/>
      <c r="D1839" s="146"/>
      <c r="E1839" s="16"/>
      <c r="F1839" s="91"/>
      <c r="G1839" s="16"/>
      <c r="H1839" s="320" t="str">
        <f t="shared" si="1"/>
        <v/>
      </c>
      <c r="I1839" s="16"/>
      <c r="J1839" s="16"/>
      <c r="K1839" s="16"/>
      <c r="L1839" s="38"/>
      <c r="M1839" s="16"/>
      <c r="N1839" s="16"/>
      <c r="O1839" s="16"/>
      <c r="P1839" s="15"/>
      <c r="Q1839" s="15"/>
      <c r="R1839" s="16"/>
      <c r="S1839" s="16"/>
      <c r="T1839" s="16"/>
      <c r="U1839" s="16"/>
      <c r="V1839" s="37" t="str">
        <f>IFERROR(__xludf.DUMMYFUNCTION("if(not(iserror(index(split(C1839, "" ""),2))), index(split(C1839, "" ""),1),"""")"),"")</f>
        <v/>
      </c>
      <c r="W1839" s="315" t="str">
        <f>IFERROR(__xludf.DUMMYFUNCTION("if(V1839="""",C1839,if(not(iserror(index(split(C1839, "" ""),3))), index(split(C1839, "" ""),3),index(split(C1839, "" ""),2)))"),"")</f>
        <v/>
      </c>
      <c r="X1839" s="38" t="b">
        <f t="shared" si="2"/>
        <v>0</v>
      </c>
      <c r="Y1839" s="38"/>
      <c r="Z1839" s="40"/>
      <c r="AA1839" s="40"/>
      <c r="AB1839" s="38"/>
      <c r="AC1839" s="38"/>
      <c r="AD1839" s="38"/>
      <c r="AE1839" s="38"/>
      <c r="AF1839" s="38"/>
      <c r="AG1839" s="38"/>
      <c r="AH1839" s="38"/>
      <c r="AI1839" s="38"/>
      <c r="AJ1839" s="38"/>
      <c r="AK1839" s="38"/>
      <c r="AL1839" s="38"/>
      <c r="AM1839" s="38"/>
      <c r="AN1839" s="38"/>
      <c r="AO1839" s="38"/>
      <c r="AP1839" s="38"/>
      <c r="AQ1839" s="38"/>
      <c r="AR1839" s="38"/>
      <c r="AS1839" s="38"/>
      <c r="AT1839" s="38"/>
      <c r="AU1839" s="38"/>
      <c r="AV1839" s="38"/>
      <c r="AW1839" s="38"/>
      <c r="AX1839" s="38"/>
      <c r="AY1839" s="38"/>
      <c r="AZ1839" s="38"/>
      <c r="BA1839" s="38"/>
      <c r="BB1839" s="38"/>
      <c r="BC1839" s="38"/>
      <c r="BD1839" s="38"/>
      <c r="BE1839" s="38"/>
      <c r="BF1839" s="38"/>
      <c r="BG1839" s="38"/>
    </row>
    <row r="1840">
      <c r="A1840" s="16"/>
      <c r="B1840" s="16"/>
      <c r="C1840" s="146"/>
      <c r="D1840" s="146"/>
      <c r="E1840" s="16"/>
      <c r="F1840" s="91"/>
      <c r="G1840" s="16"/>
      <c r="H1840" s="320" t="str">
        <f t="shared" si="1"/>
        <v/>
      </c>
      <c r="I1840" s="16"/>
      <c r="J1840" s="16"/>
      <c r="K1840" s="16"/>
      <c r="L1840" s="38"/>
      <c r="M1840" s="16"/>
      <c r="N1840" s="16"/>
      <c r="O1840" s="16"/>
      <c r="P1840" s="15"/>
      <c r="Q1840" s="15"/>
      <c r="R1840" s="16"/>
      <c r="S1840" s="16"/>
      <c r="T1840" s="16"/>
      <c r="U1840" s="16"/>
      <c r="V1840" s="37" t="str">
        <f>IFERROR(__xludf.DUMMYFUNCTION("if(not(iserror(index(split(C1840, "" ""),2))), index(split(C1840, "" ""),1),"""")"),"")</f>
        <v/>
      </c>
      <c r="W1840" s="315" t="str">
        <f>IFERROR(__xludf.DUMMYFUNCTION("if(V1840="""",C1840,if(not(iserror(index(split(C1840, "" ""),3))), index(split(C1840, "" ""),3),index(split(C1840, "" ""),2)))"),"")</f>
        <v/>
      </c>
      <c r="X1840" s="38" t="b">
        <f t="shared" si="2"/>
        <v>0</v>
      </c>
      <c r="Y1840" s="38"/>
      <c r="Z1840" s="40"/>
      <c r="AA1840" s="40"/>
      <c r="AB1840" s="38"/>
      <c r="AC1840" s="38"/>
      <c r="AD1840" s="38"/>
      <c r="AE1840" s="38"/>
      <c r="AF1840" s="38"/>
      <c r="AG1840" s="38"/>
      <c r="AH1840" s="38"/>
      <c r="AI1840" s="38"/>
      <c r="AJ1840" s="38"/>
      <c r="AK1840" s="38"/>
      <c r="AL1840" s="38"/>
      <c r="AM1840" s="38"/>
      <c r="AN1840" s="38"/>
      <c r="AO1840" s="38"/>
      <c r="AP1840" s="38"/>
      <c r="AQ1840" s="38"/>
      <c r="AR1840" s="38"/>
      <c r="AS1840" s="38"/>
      <c r="AT1840" s="38"/>
      <c r="AU1840" s="38"/>
      <c r="AV1840" s="38"/>
      <c r="AW1840" s="38"/>
      <c r="AX1840" s="38"/>
      <c r="AY1840" s="38"/>
      <c r="AZ1840" s="38"/>
      <c r="BA1840" s="38"/>
      <c r="BB1840" s="38"/>
      <c r="BC1840" s="38"/>
      <c r="BD1840" s="38"/>
      <c r="BE1840" s="38"/>
      <c r="BF1840" s="38"/>
      <c r="BG1840" s="38"/>
    </row>
    <row r="1841">
      <c r="A1841" s="16"/>
      <c r="B1841" s="16"/>
      <c r="C1841" s="146"/>
      <c r="D1841" s="146"/>
      <c r="E1841" s="16"/>
      <c r="F1841" s="91"/>
      <c r="G1841" s="16"/>
      <c r="H1841" s="320" t="str">
        <f t="shared" si="1"/>
        <v/>
      </c>
      <c r="I1841" s="16"/>
      <c r="J1841" s="16"/>
      <c r="K1841" s="16"/>
      <c r="L1841" s="38"/>
      <c r="M1841" s="16"/>
      <c r="N1841" s="16"/>
      <c r="O1841" s="16"/>
      <c r="P1841" s="15"/>
      <c r="Q1841" s="15"/>
      <c r="R1841" s="16"/>
      <c r="S1841" s="16"/>
      <c r="T1841" s="16"/>
      <c r="U1841" s="16"/>
      <c r="V1841" s="37" t="str">
        <f>IFERROR(__xludf.DUMMYFUNCTION("if(not(iserror(index(split(C1841, "" ""),2))), index(split(C1841, "" ""),1),"""")"),"")</f>
        <v/>
      </c>
      <c r="W1841" s="315" t="str">
        <f>IFERROR(__xludf.DUMMYFUNCTION("if(V1841="""",C1841,if(not(iserror(index(split(C1841, "" ""),3))), index(split(C1841, "" ""),3),index(split(C1841, "" ""),2)))"),"")</f>
        <v/>
      </c>
      <c r="X1841" s="38" t="b">
        <f t="shared" si="2"/>
        <v>0</v>
      </c>
      <c r="Y1841" s="38"/>
      <c r="Z1841" s="40"/>
      <c r="AA1841" s="40"/>
      <c r="AB1841" s="38"/>
      <c r="AC1841" s="38"/>
      <c r="AD1841" s="38"/>
      <c r="AE1841" s="38"/>
      <c r="AF1841" s="38"/>
      <c r="AG1841" s="38"/>
      <c r="AH1841" s="38"/>
      <c r="AI1841" s="38"/>
      <c r="AJ1841" s="38"/>
      <c r="AK1841" s="38"/>
      <c r="AL1841" s="38"/>
      <c r="AM1841" s="38"/>
      <c r="AN1841" s="38"/>
      <c r="AO1841" s="38"/>
      <c r="AP1841" s="38"/>
      <c r="AQ1841" s="38"/>
      <c r="AR1841" s="38"/>
      <c r="AS1841" s="38"/>
      <c r="AT1841" s="38"/>
      <c r="AU1841" s="38"/>
      <c r="AV1841" s="38"/>
      <c r="AW1841" s="38"/>
      <c r="AX1841" s="38"/>
      <c r="AY1841" s="38"/>
      <c r="AZ1841" s="38"/>
      <c r="BA1841" s="38"/>
      <c r="BB1841" s="38"/>
      <c r="BC1841" s="38"/>
      <c r="BD1841" s="38"/>
      <c r="BE1841" s="38"/>
      <c r="BF1841" s="38"/>
      <c r="BG1841" s="38"/>
    </row>
    <row r="1842">
      <c r="A1842" s="16"/>
      <c r="B1842" s="16"/>
      <c r="C1842" s="146"/>
      <c r="D1842" s="146"/>
      <c r="E1842" s="16"/>
      <c r="F1842" s="91"/>
      <c r="G1842" s="16"/>
      <c r="H1842" s="320" t="str">
        <f t="shared" si="1"/>
        <v/>
      </c>
      <c r="I1842" s="16"/>
      <c r="J1842" s="16"/>
      <c r="K1842" s="16"/>
      <c r="L1842" s="38"/>
      <c r="M1842" s="16"/>
      <c r="N1842" s="16"/>
      <c r="O1842" s="16"/>
      <c r="P1842" s="15"/>
      <c r="Q1842" s="15"/>
      <c r="R1842" s="16"/>
      <c r="S1842" s="16"/>
      <c r="T1842" s="16"/>
      <c r="U1842" s="16"/>
      <c r="V1842" s="37" t="str">
        <f>IFERROR(__xludf.DUMMYFUNCTION("if(not(iserror(index(split(C1842, "" ""),2))), index(split(C1842, "" ""),1),"""")"),"")</f>
        <v/>
      </c>
      <c r="W1842" s="315" t="str">
        <f>IFERROR(__xludf.DUMMYFUNCTION("if(V1842="""",C1842,if(not(iserror(index(split(C1842, "" ""),3))), index(split(C1842, "" ""),3),index(split(C1842, "" ""),2)))"),"")</f>
        <v/>
      </c>
      <c r="X1842" s="38" t="b">
        <f t="shared" si="2"/>
        <v>0</v>
      </c>
      <c r="Y1842" s="38"/>
      <c r="Z1842" s="40"/>
      <c r="AA1842" s="40"/>
      <c r="AB1842" s="38"/>
      <c r="AC1842" s="38"/>
      <c r="AD1842" s="38"/>
      <c r="AE1842" s="38"/>
      <c r="AF1842" s="38"/>
      <c r="AG1842" s="38"/>
      <c r="AH1842" s="38"/>
      <c r="AI1842" s="38"/>
      <c r="AJ1842" s="38"/>
      <c r="AK1842" s="38"/>
      <c r="AL1842" s="38"/>
      <c r="AM1842" s="38"/>
      <c r="AN1842" s="38"/>
      <c r="AO1842" s="38"/>
      <c r="AP1842" s="38"/>
      <c r="AQ1842" s="38"/>
      <c r="AR1842" s="38"/>
      <c r="AS1842" s="38"/>
      <c r="AT1842" s="38"/>
      <c r="AU1842" s="38"/>
      <c r="AV1842" s="38"/>
      <c r="AW1842" s="38"/>
      <c r="AX1842" s="38"/>
      <c r="AY1842" s="38"/>
      <c r="AZ1842" s="38"/>
      <c r="BA1842" s="38"/>
      <c r="BB1842" s="38"/>
      <c r="BC1842" s="38"/>
      <c r="BD1842" s="38"/>
      <c r="BE1842" s="38"/>
      <c r="BF1842" s="38"/>
      <c r="BG1842" s="38"/>
    </row>
    <row r="1843">
      <c r="A1843" s="16"/>
      <c r="B1843" s="16"/>
      <c r="C1843" s="146"/>
      <c r="D1843" s="146"/>
      <c r="E1843" s="16"/>
      <c r="F1843" s="91"/>
      <c r="G1843" s="16"/>
      <c r="H1843" s="320" t="str">
        <f t="shared" si="1"/>
        <v/>
      </c>
      <c r="I1843" s="16"/>
      <c r="J1843" s="16"/>
      <c r="K1843" s="16"/>
      <c r="L1843" s="38"/>
      <c r="M1843" s="16"/>
      <c r="N1843" s="16"/>
      <c r="O1843" s="16"/>
      <c r="P1843" s="15"/>
      <c r="Q1843" s="15"/>
      <c r="R1843" s="16"/>
      <c r="S1843" s="16"/>
      <c r="T1843" s="16"/>
      <c r="U1843" s="16"/>
      <c r="V1843" s="37" t="str">
        <f>IFERROR(__xludf.DUMMYFUNCTION("if(not(iserror(index(split(C1843, "" ""),2))), index(split(C1843, "" ""),1),"""")"),"")</f>
        <v/>
      </c>
      <c r="W1843" s="315" t="str">
        <f>IFERROR(__xludf.DUMMYFUNCTION("if(V1843="""",C1843,if(not(iserror(index(split(C1843, "" ""),3))), index(split(C1843, "" ""),3),index(split(C1843, "" ""),2)))"),"")</f>
        <v/>
      </c>
      <c r="X1843" s="38" t="b">
        <f t="shared" si="2"/>
        <v>0</v>
      </c>
      <c r="Y1843" s="38"/>
      <c r="Z1843" s="40"/>
      <c r="AA1843" s="40"/>
      <c r="AB1843" s="38"/>
      <c r="AC1843" s="38"/>
      <c r="AD1843" s="38"/>
      <c r="AE1843" s="38"/>
      <c r="AF1843" s="38"/>
      <c r="AG1843" s="38"/>
      <c r="AH1843" s="38"/>
      <c r="AI1843" s="38"/>
      <c r="AJ1843" s="38"/>
      <c r="AK1843" s="38"/>
      <c r="AL1843" s="38"/>
      <c r="AM1843" s="38"/>
      <c r="AN1843" s="38"/>
      <c r="AO1843" s="38"/>
      <c r="AP1843" s="38"/>
      <c r="AQ1843" s="38"/>
      <c r="AR1843" s="38"/>
      <c r="AS1843" s="38"/>
      <c r="AT1843" s="38"/>
      <c r="AU1843" s="38"/>
      <c r="AV1843" s="38"/>
      <c r="AW1843" s="38"/>
      <c r="AX1843" s="38"/>
      <c r="AY1843" s="38"/>
      <c r="AZ1843" s="38"/>
      <c r="BA1843" s="38"/>
      <c r="BB1843" s="38"/>
      <c r="BC1843" s="38"/>
      <c r="BD1843" s="38"/>
      <c r="BE1843" s="38"/>
      <c r="BF1843" s="38"/>
      <c r="BG1843" s="38"/>
    </row>
    <row r="1844">
      <c r="A1844" s="16"/>
      <c r="B1844" s="16"/>
      <c r="C1844" s="146"/>
      <c r="D1844" s="146"/>
      <c r="E1844" s="16"/>
      <c r="F1844" s="91"/>
      <c r="G1844" s="16"/>
      <c r="H1844" s="320" t="str">
        <f t="shared" si="1"/>
        <v/>
      </c>
      <c r="I1844" s="16"/>
      <c r="J1844" s="16"/>
      <c r="K1844" s="16"/>
      <c r="L1844" s="38"/>
      <c r="M1844" s="16"/>
      <c r="N1844" s="16"/>
      <c r="O1844" s="16"/>
      <c r="P1844" s="15"/>
      <c r="Q1844" s="15"/>
      <c r="R1844" s="16"/>
      <c r="S1844" s="16"/>
      <c r="T1844" s="16"/>
      <c r="U1844" s="16"/>
      <c r="V1844" s="37" t="str">
        <f>IFERROR(__xludf.DUMMYFUNCTION("if(not(iserror(index(split(C1844, "" ""),2))), index(split(C1844, "" ""),1),"""")"),"")</f>
        <v/>
      </c>
      <c r="W1844" s="315" t="str">
        <f>IFERROR(__xludf.DUMMYFUNCTION("if(V1844="""",C1844,if(not(iserror(index(split(C1844, "" ""),3))), index(split(C1844, "" ""),3),index(split(C1844, "" ""),2)))"),"")</f>
        <v/>
      </c>
      <c r="X1844" s="38" t="b">
        <f t="shared" si="2"/>
        <v>0</v>
      </c>
      <c r="Y1844" s="38"/>
      <c r="Z1844" s="40"/>
      <c r="AA1844" s="40"/>
      <c r="AB1844" s="38"/>
      <c r="AC1844" s="38"/>
      <c r="AD1844" s="38"/>
      <c r="AE1844" s="38"/>
      <c r="AF1844" s="38"/>
      <c r="AG1844" s="38"/>
      <c r="AH1844" s="38"/>
      <c r="AI1844" s="38"/>
      <c r="AJ1844" s="38"/>
      <c r="AK1844" s="38"/>
      <c r="AL1844" s="38"/>
      <c r="AM1844" s="38"/>
      <c r="AN1844" s="38"/>
      <c r="AO1844" s="38"/>
      <c r="AP1844" s="38"/>
      <c r="AQ1844" s="38"/>
      <c r="AR1844" s="38"/>
      <c r="AS1844" s="38"/>
      <c r="AT1844" s="38"/>
      <c r="AU1844" s="38"/>
      <c r="AV1844" s="38"/>
      <c r="AW1844" s="38"/>
      <c r="AX1844" s="38"/>
      <c r="AY1844" s="38"/>
      <c r="AZ1844" s="38"/>
      <c r="BA1844" s="38"/>
      <c r="BB1844" s="38"/>
      <c r="BC1844" s="38"/>
      <c r="BD1844" s="38"/>
      <c r="BE1844" s="38"/>
      <c r="BF1844" s="38"/>
      <c r="BG1844" s="38"/>
    </row>
    <row r="1845">
      <c r="A1845" s="16"/>
      <c r="B1845" s="16"/>
      <c r="C1845" s="146"/>
      <c r="D1845" s="146"/>
      <c r="E1845" s="16"/>
      <c r="F1845" s="91"/>
      <c r="G1845" s="16"/>
      <c r="H1845" s="320" t="str">
        <f t="shared" si="1"/>
        <v/>
      </c>
      <c r="I1845" s="16"/>
      <c r="J1845" s="16"/>
      <c r="K1845" s="16"/>
      <c r="L1845" s="38"/>
      <c r="M1845" s="16"/>
      <c r="N1845" s="16"/>
      <c r="O1845" s="16"/>
      <c r="P1845" s="15"/>
      <c r="Q1845" s="15"/>
      <c r="R1845" s="16"/>
      <c r="S1845" s="16"/>
      <c r="T1845" s="16"/>
      <c r="U1845" s="16"/>
      <c r="V1845" s="37" t="str">
        <f>IFERROR(__xludf.DUMMYFUNCTION("if(not(iserror(index(split(C1845, "" ""),2))), index(split(C1845, "" ""),1),"""")"),"")</f>
        <v/>
      </c>
      <c r="W1845" s="315" t="str">
        <f>IFERROR(__xludf.DUMMYFUNCTION("if(V1845="""",C1845,if(not(iserror(index(split(C1845, "" ""),3))), index(split(C1845, "" ""),3),index(split(C1845, "" ""),2)))"),"")</f>
        <v/>
      </c>
      <c r="X1845" s="38" t="b">
        <f t="shared" si="2"/>
        <v>0</v>
      </c>
      <c r="Y1845" s="38"/>
      <c r="Z1845" s="40"/>
      <c r="AA1845" s="40"/>
      <c r="AB1845" s="38"/>
      <c r="AC1845" s="38"/>
      <c r="AD1845" s="38"/>
      <c r="AE1845" s="38"/>
      <c r="AF1845" s="38"/>
      <c r="AG1845" s="38"/>
      <c r="AH1845" s="38"/>
      <c r="AI1845" s="38"/>
      <c r="AJ1845" s="38"/>
      <c r="AK1845" s="38"/>
      <c r="AL1845" s="38"/>
      <c r="AM1845" s="38"/>
      <c r="AN1845" s="38"/>
      <c r="AO1845" s="38"/>
      <c r="AP1845" s="38"/>
      <c r="AQ1845" s="38"/>
      <c r="AR1845" s="38"/>
      <c r="AS1845" s="38"/>
      <c r="AT1845" s="38"/>
      <c r="AU1845" s="38"/>
      <c r="AV1845" s="38"/>
      <c r="AW1845" s="38"/>
      <c r="AX1845" s="38"/>
      <c r="AY1845" s="38"/>
      <c r="AZ1845" s="38"/>
      <c r="BA1845" s="38"/>
      <c r="BB1845" s="38"/>
      <c r="BC1845" s="38"/>
      <c r="BD1845" s="38"/>
      <c r="BE1845" s="38"/>
      <c r="BF1845" s="38"/>
      <c r="BG1845" s="38"/>
    </row>
    <row r="1846">
      <c r="A1846" s="16"/>
      <c r="B1846" s="16"/>
      <c r="C1846" s="146"/>
      <c r="D1846" s="146"/>
      <c r="E1846" s="16"/>
      <c r="F1846" s="91"/>
      <c r="G1846" s="16"/>
      <c r="H1846" s="320" t="str">
        <f t="shared" si="1"/>
        <v/>
      </c>
      <c r="I1846" s="16"/>
      <c r="J1846" s="16"/>
      <c r="K1846" s="16"/>
      <c r="L1846" s="38"/>
      <c r="M1846" s="16"/>
      <c r="N1846" s="16"/>
      <c r="O1846" s="16"/>
      <c r="P1846" s="15"/>
      <c r="Q1846" s="15"/>
      <c r="R1846" s="16"/>
      <c r="S1846" s="16"/>
      <c r="T1846" s="16"/>
      <c r="U1846" s="16"/>
      <c r="V1846" s="37" t="str">
        <f>IFERROR(__xludf.DUMMYFUNCTION("if(not(iserror(index(split(C1846, "" ""),2))), index(split(C1846, "" ""),1),"""")"),"")</f>
        <v/>
      </c>
      <c r="W1846" s="315" t="str">
        <f>IFERROR(__xludf.DUMMYFUNCTION("if(V1846="""",C1846,if(not(iserror(index(split(C1846, "" ""),3))), index(split(C1846, "" ""),3),index(split(C1846, "" ""),2)))"),"")</f>
        <v/>
      </c>
      <c r="X1846" s="38" t="b">
        <f t="shared" si="2"/>
        <v>0</v>
      </c>
      <c r="Y1846" s="38"/>
      <c r="Z1846" s="40"/>
      <c r="AA1846" s="40"/>
      <c r="AB1846" s="38"/>
      <c r="AC1846" s="38"/>
      <c r="AD1846" s="38"/>
      <c r="AE1846" s="38"/>
      <c r="AF1846" s="38"/>
      <c r="AG1846" s="38"/>
      <c r="AH1846" s="38"/>
      <c r="AI1846" s="38"/>
      <c r="AJ1846" s="38"/>
      <c r="AK1846" s="38"/>
      <c r="AL1846" s="38"/>
      <c r="AM1846" s="38"/>
      <c r="AN1846" s="38"/>
      <c r="AO1846" s="38"/>
      <c r="AP1846" s="38"/>
      <c r="AQ1846" s="38"/>
      <c r="AR1846" s="38"/>
      <c r="AS1846" s="38"/>
      <c r="AT1846" s="38"/>
      <c r="AU1846" s="38"/>
      <c r="AV1846" s="38"/>
      <c r="AW1846" s="38"/>
      <c r="AX1846" s="38"/>
      <c r="AY1846" s="38"/>
      <c r="AZ1846" s="38"/>
      <c r="BA1846" s="38"/>
      <c r="BB1846" s="38"/>
      <c r="BC1846" s="38"/>
      <c r="BD1846" s="38"/>
      <c r="BE1846" s="38"/>
      <c r="BF1846" s="38"/>
      <c r="BG1846" s="38"/>
    </row>
    <row r="1847">
      <c r="A1847" s="16"/>
      <c r="B1847" s="16"/>
      <c r="C1847" s="146"/>
      <c r="D1847" s="146"/>
      <c r="E1847" s="16"/>
      <c r="F1847" s="91"/>
      <c r="G1847" s="16"/>
      <c r="H1847" s="320" t="str">
        <f t="shared" si="1"/>
        <v/>
      </c>
      <c r="I1847" s="16"/>
      <c r="J1847" s="16"/>
      <c r="K1847" s="16"/>
      <c r="L1847" s="38"/>
      <c r="M1847" s="16"/>
      <c r="N1847" s="16"/>
      <c r="O1847" s="16"/>
      <c r="P1847" s="15"/>
      <c r="Q1847" s="15"/>
      <c r="R1847" s="16"/>
      <c r="S1847" s="16"/>
      <c r="T1847" s="16"/>
      <c r="U1847" s="16"/>
      <c r="V1847" s="37" t="str">
        <f>IFERROR(__xludf.DUMMYFUNCTION("if(not(iserror(index(split(C1847, "" ""),2))), index(split(C1847, "" ""),1),"""")"),"")</f>
        <v/>
      </c>
      <c r="W1847" s="315" t="str">
        <f>IFERROR(__xludf.DUMMYFUNCTION("if(V1847="""",C1847,if(not(iserror(index(split(C1847, "" ""),3))), index(split(C1847, "" ""),3),index(split(C1847, "" ""),2)))"),"")</f>
        <v/>
      </c>
      <c r="X1847" s="38" t="b">
        <f t="shared" si="2"/>
        <v>0</v>
      </c>
      <c r="Y1847" s="38"/>
      <c r="Z1847" s="40"/>
      <c r="AA1847" s="40"/>
      <c r="AB1847" s="38"/>
      <c r="AC1847" s="38"/>
      <c r="AD1847" s="38"/>
      <c r="AE1847" s="38"/>
      <c r="AF1847" s="38"/>
      <c r="AG1847" s="38"/>
      <c r="AH1847" s="38"/>
      <c r="AI1847" s="38"/>
      <c r="AJ1847" s="38"/>
      <c r="AK1847" s="38"/>
      <c r="AL1847" s="38"/>
      <c r="AM1847" s="38"/>
      <c r="AN1847" s="38"/>
      <c r="AO1847" s="38"/>
      <c r="AP1847" s="38"/>
      <c r="AQ1847" s="38"/>
      <c r="AR1847" s="38"/>
      <c r="AS1847" s="38"/>
      <c r="AT1847" s="38"/>
      <c r="AU1847" s="38"/>
      <c r="AV1847" s="38"/>
      <c r="AW1847" s="38"/>
      <c r="AX1847" s="38"/>
      <c r="AY1847" s="38"/>
      <c r="AZ1847" s="38"/>
      <c r="BA1847" s="38"/>
      <c r="BB1847" s="38"/>
      <c r="BC1847" s="38"/>
      <c r="BD1847" s="38"/>
      <c r="BE1847" s="38"/>
      <c r="BF1847" s="38"/>
      <c r="BG1847" s="38"/>
    </row>
    <row r="1848">
      <c r="A1848" s="16"/>
      <c r="B1848" s="16"/>
      <c r="C1848" s="146"/>
      <c r="D1848" s="146"/>
      <c r="E1848" s="16"/>
      <c r="F1848" s="91"/>
      <c r="G1848" s="16"/>
      <c r="H1848" s="320" t="str">
        <f t="shared" si="1"/>
        <v/>
      </c>
      <c r="I1848" s="16"/>
      <c r="J1848" s="16"/>
      <c r="K1848" s="16"/>
      <c r="L1848" s="38"/>
      <c r="M1848" s="16"/>
      <c r="N1848" s="16"/>
      <c r="O1848" s="16"/>
      <c r="P1848" s="15"/>
      <c r="Q1848" s="15"/>
      <c r="R1848" s="16"/>
      <c r="S1848" s="16"/>
      <c r="T1848" s="16"/>
      <c r="U1848" s="16"/>
      <c r="V1848" s="37" t="str">
        <f>IFERROR(__xludf.DUMMYFUNCTION("if(not(iserror(index(split(C1848, "" ""),2))), index(split(C1848, "" ""),1),"""")"),"")</f>
        <v/>
      </c>
      <c r="W1848" s="315" t="str">
        <f>IFERROR(__xludf.DUMMYFUNCTION("if(V1848="""",C1848,if(not(iserror(index(split(C1848, "" ""),3))), index(split(C1848, "" ""),3),index(split(C1848, "" ""),2)))"),"")</f>
        <v/>
      </c>
      <c r="X1848" s="38" t="b">
        <f t="shared" si="2"/>
        <v>0</v>
      </c>
      <c r="Y1848" s="38"/>
      <c r="Z1848" s="40"/>
      <c r="AA1848" s="40"/>
      <c r="AB1848" s="38"/>
      <c r="AC1848" s="38"/>
      <c r="AD1848" s="38"/>
      <c r="AE1848" s="38"/>
      <c r="AF1848" s="38"/>
      <c r="AG1848" s="38"/>
      <c r="AH1848" s="38"/>
      <c r="AI1848" s="38"/>
      <c r="AJ1848" s="38"/>
      <c r="AK1848" s="38"/>
      <c r="AL1848" s="38"/>
      <c r="AM1848" s="38"/>
      <c r="AN1848" s="38"/>
      <c r="AO1848" s="38"/>
      <c r="AP1848" s="38"/>
      <c r="AQ1848" s="38"/>
      <c r="AR1848" s="38"/>
      <c r="AS1848" s="38"/>
      <c r="AT1848" s="38"/>
      <c r="AU1848" s="38"/>
      <c r="AV1848" s="38"/>
      <c r="AW1848" s="38"/>
      <c r="AX1848" s="38"/>
      <c r="AY1848" s="38"/>
      <c r="AZ1848" s="38"/>
      <c r="BA1848" s="38"/>
      <c r="BB1848" s="38"/>
      <c r="BC1848" s="38"/>
      <c r="BD1848" s="38"/>
      <c r="BE1848" s="38"/>
      <c r="BF1848" s="38"/>
      <c r="BG1848" s="38"/>
    </row>
    <row r="1849">
      <c r="A1849" s="16"/>
      <c r="B1849" s="16"/>
      <c r="C1849" s="146"/>
      <c r="D1849" s="146"/>
      <c r="E1849" s="16"/>
      <c r="F1849" s="91"/>
      <c r="G1849" s="16"/>
      <c r="H1849" s="320" t="str">
        <f t="shared" si="1"/>
        <v/>
      </c>
      <c r="I1849" s="16"/>
      <c r="J1849" s="16"/>
      <c r="K1849" s="16"/>
      <c r="L1849" s="38"/>
      <c r="M1849" s="16"/>
      <c r="N1849" s="16"/>
      <c r="O1849" s="16"/>
      <c r="P1849" s="15"/>
      <c r="Q1849" s="15"/>
      <c r="R1849" s="16"/>
      <c r="S1849" s="16"/>
      <c r="T1849" s="16"/>
      <c r="U1849" s="16"/>
      <c r="V1849" s="37" t="str">
        <f>IFERROR(__xludf.DUMMYFUNCTION("if(not(iserror(index(split(C1849, "" ""),2))), index(split(C1849, "" ""),1),"""")"),"")</f>
        <v/>
      </c>
      <c r="W1849" s="315" t="str">
        <f>IFERROR(__xludf.DUMMYFUNCTION("if(V1849="""",C1849,if(not(iserror(index(split(C1849, "" ""),3))), index(split(C1849, "" ""),3),index(split(C1849, "" ""),2)))"),"")</f>
        <v/>
      </c>
      <c r="X1849" s="38" t="b">
        <f t="shared" si="2"/>
        <v>0</v>
      </c>
      <c r="Y1849" s="38"/>
      <c r="Z1849" s="40"/>
      <c r="AA1849" s="40"/>
      <c r="AB1849" s="38"/>
      <c r="AC1849" s="38"/>
      <c r="AD1849" s="38"/>
      <c r="AE1849" s="38"/>
      <c r="AF1849" s="38"/>
      <c r="AG1849" s="38"/>
      <c r="AH1849" s="38"/>
      <c r="AI1849" s="38"/>
      <c r="AJ1849" s="38"/>
      <c r="AK1849" s="38"/>
      <c r="AL1849" s="38"/>
      <c r="AM1849" s="38"/>
      <c r="AN1849" s="38"/>
      <c r="AO1849" s="38"/>
      <c r="AP1849" s="38"/>
      <c r="AQ1849" s="38"/>
      <c r="AR1849" s="38"/>
      <c r="AS1849" s="38"/>
      <c r="AT1849" s="38"/>
      <c r="AU1849" s="38"/>
      <c r="AV1849" s="38"/>
      <c r="AW1849" s="38"/>
      <c r="AX1849" s="38"/>
      <c r="AY1849" s="38"/>
      <c r="AZ1849" s="38"/>
      <c r="BA1849" s="38"/>
      <c r="BB1849" s="38"/>
      <c r="BC1849" s="38"/>
      <c r="BD1849" s="38"/>
      <c r="BE1849" s="38"/>
      <c r="BF1849" s="38"/>
      <c r="BG1849" s="38"/>
    </row>
    <row r="1850">
      <c r="A1850" s="16"/>
      <c r="B1850" s="16"/>
      <c r="C1850" s="146"/>
      <c r="D1850" s="146"/>
      <c r="E1850" s="16"/>
      <c r="F1850" s="91"/>
      <c r="G1850" s="16"/>
      <c r="H1850" s="320" t="str">
        <f t="shared" si="1"/>
        <v/>
      </c>
      <c r="I1850" s="16"/>
      <c r="J1850" s="16"/>
      <c r="K1850" s="16"/>
      <c r="L1850" s="38"/>
      <c r="M1850" s="16"/>
      <c r="N1850" s="16"/>
      <c r="O1850" s="16"/>
      <c r="P1850" s="15"/>
      <c r="Q1850" s="15"/>
      <c r="R1850" s="16"/>
      <c r="S1850" s="16"/>
      <c r="T1850" s="16"/>
      <c r="U1850" s="16"/>
      <c r="V1850" s="37" t="str">
        <f>IFERROR(__xludf.DUMMYFUNCTION("if(not(iserror(index(split(C1850, "" ""),2))), index(split(C1850, "" ""),1),"""")"),"")</f>
        <v/>
      </c>
      <c r="W1850" s="315" t="str">
        <f>IFERROR(__xludf.DUMMYFUNCTION("if(V1850="""",C1850,if(not(iserror(index(split(C1850, "" ""),3))), index(split(C1850, "" ""),3),index(split(C1850, "" ""),2)))"),"")</f>
        <v/>
      </c>
      <c r="X1850" s="38" t="b">
        <f t="shared" si="2"/>
        <v>0</v>
      </c>
      <c r="Y1850" s="38"/>
      <c r="Z1850" s="40"/>
      <c r="AA1850" s="40"/>
      <c r="AB1850" s="38"/>
      <c r="AC1850" s="38"/>
      <c r="AD1850" s="38"/>
      <c r="AE1850" s="38"/>
      <c r="AF1850" s="38"/>
      <c r="AG1850" s="38"/>
      <c r="AH1850" s="38"/>
      <c r="AI1850" s="38"/>
      <c r="AJ1850" s="38"/>
      <c r="AK1850" s="38"/>
      <c r="AL1850" s="38"/>
      <c r="AM1850" s="38"/>
      <c r="AN1850" s="38"/>
      <c r="AO1850" s="38"/>
      <c r="AP1850" s="38"/>
      <c r="AQ1850" s="38"/>
      <c r="AR1850" s="38"/>
      <c r="AS1850" s="38"/>
      <c r="AT1850" s="38"/>
      <c r="AU1850" s="38"/>
      <c r="AV1850" s="38"/>
      <c r="AW1850" s="38"/>
      <c r="AX1850" s="38"/>
      <c r="AY1850" s="38"/>
      <c r="AZ1850" s="38"/>
      <c r="BA1850" s="38"/>
      <c r="BB1850" s="38"/>
      <c r="BC1850" s="38"/>
      <c r="BD1850" s="38"/>
      <c r="BE1850" s="38"/>
      <c r="BF1850" s="38"/>
      <c r="BG1850" s="38"/>
    </row>
    <row r="1851">
      <c r="A1851" s="16"/>
      <c r="B1851" s="16"/>
      <c r="C1851" s="146"/>
      <c r="D1851" s="146"/>
      <c r="E1851" s="16"/>
      <c r="F1851" s="91"/>
      <c r="G1851" s="16"/>
      <c r="H1851" s="320" t="str">
        <f t="shared" si="1"/>
        <v/>
      </c>
      <c r="I1851" s="16"/>
      <c r="J1851" s="16"/>
      <c r="K1851" s="16"/>
      <c r="L1851" s="38"/>
      <c r="M1851" s="16"/>
      <c r="N1851" s="16"/>
      <c r="O1851" s="16"/>
      <c r="P1851" s="15"/>
      <c r="Q1851" s="15"/>
      <c r="R1851" s="16"/>
      <c r="S1851" s="16"/>
      <c r="T1851" s="16"/>
      <c r="U1851" s="16"/>
      <c r="V1851" s="37" t="str">
        <f>IFERROR(__xludf.DUMMYFUNCTION("if(not(iserror(index(split(C1851, "" ""),2))), index(split(C1851, "" ""),1),"""")"),"")</f>
        <v/>
      </c>
      <c r="W1851" s="315" t="str">
        <f>IFERROR(__xludf.DUMMYFUNCTION("if(V1851="""",C1851,if(not(iserror(index(split(C1851, "" ""),3))), index(split(C1851, "" ""),3),index(split(C1851, "" ""),2)))"),"")</f>
        <v/>
      </c>
      <c r="X1851" s="38" t="b">
        <f t="shared" si="2"/>
        <v>0</v>
      </c>
      <c r="Y1851" s="38"/>
      <c r="Z1851" s="40"/>
      <c r="AA1851" s="40"/>
      <c r="AB1851" s="38"/>
      <c r="AC1851" s="38"/>
      <c r="AD1851" s="38"/>
      <c r="AE1851" s="38"/>
      <c r="AF1851" s="38"/>
      <c r="AG1851" s="38"/>
      <c r="AH1851" s="38"/>
      <c r="AI1851" s="38"/>
      <c r="AJ1851" s="38"/>
      <c r="AK1851" s="38"/>
      <c r="AL1851" s="38"/>
      <c r="AM1851" s="38"/>
      <c r="AN1851" s="38"/>
      <c r="AO1851" s="38"/>
      <c r="AP1851" s="38"/>
      <c r="AQ1851" s="38"/>
      <c r="AR1851" s="38"/>
      <c r="AS1851" s="38"/>
      <c r="AT1851" s="38"/>
      <c r="AU1851" s="38"/>
      <c r="AV1851" s="38"/>
      <c r="AW1851" s="38"/>
      <c r="AX1851" s="38"/>
      <c r="AY1851" s="38"/>
      <c r="AZ1851" s="38"/>
      <c r="BA1851" s="38"/>
      <c r="BB1851" s="38"/>
      <c r="BC1851" s="38"/>
      <c r="BD1851" s="38"/>
      <c r="BE1851" s="38"/>
      <c r="BF1851" s="38"/>
      <c r="BG1851" s="38"/>
    </row>
    <row r="1852">
      <c r="A1852" s="16"/>
      <c r="B1852" s="16"/>
      <c r="C1852" s="146"/>
      <c r="D1852" s="146"/>
      <c r="E1852" s="16"/>
      <c r="F1852" s="91"/>
      <c r="G1852" s="16"/>
      <c r="H1852" s="320" t="str">
        <f t="shared" si="1"/>
        <v/>
      </c>
      <c r="I1852" s="16"/>
      <c r="J1852" s="16"/>
      <c r="K1852" s="16"/>
      <c r="L1852" s="38"/>
      <c r="M1852" s="16"/>
      <c r="N1852" s="16"/>
      <c r="O1852" s="16"/>
      <c r="P1852" s="15"/>
      <c r="Q1852" s="15"/>
      <c r="R1852" s="16"/>
      <c r="S1852" s="16"/>
      <c r="T1852" s="16"/>
      <c r="U1852" s="16"/>
      <c r="V1852" s="37" t="str">
        <f>IFERROR(__xludf.DUMMYFUNCTION("if(not(iserror(index(split(C1852, "" ""),2))), index(split(C1852, "" ""),1),"""")"),"")</f>
        <v/>
      </c>
      <c r="W1852" s="315" t="str">
        <f>IFERROR(__xludf.DUMMYFUNCTION("if(V1852="""",C1852,if(not(iserror(index(split(C1852, "" ""),3))), index(split(C1852, "" ""),3),index(split(C1852, "" ""),2)))"),"")</f>
        <v/>
      </c>
      <c r="X1852" s="38" t="b">
        <f t="shared" si="2"/>
        <v>0</v>
      </c>
      <c r="Y1852" s="38"/>
      <c r="Z1852" s="40"/>
      <c r="AA1852" s="40"/>
      <c r="AB1852" s="38"/>
      <c r="AC1852" s="38"/>
      <c r="AD1852" s="38"/>
      <c r="AE1852" s="38"/>
      <c r="AF1852" s="38"/>
      <c r="AG1852" s="38"/>
      <c r="AH1852" s="38"/>
      <c r="AI1852" s="38"/>
      <c r="AJ1852" s="38"/>
      <c r="AK1852" s="38"/>
      <c r="AL1852" s="38"/>
      <c r="AM1852" s="38"/>
      <c r="AN1852" s="38"/>
      <c r="AO1852" s="38"/>
      <c r="AP1852" s="38"/>
      <c r="AQ1852" s="38"/>
      <c r="AR1852" s="38"/>
      <c r="AS1852" s="38"/>
      <c r="AT1852" s="38"/>
      <c r="AU1852" s="38"/>
      <c r="AV1852" s="38"/>
      <c r="AW1852" s="38"/>
      <c r="AX1852" s="38"/>
      <c r="AY1852" s="38"/>
      <c r="AZ1852" s="38"/>
      <c r="BA1852" s="38"/>
      <c r="BB1852" s="38"/>
      <c r="BC1852" s="38"/>
      <c r="BD1852" s="38"/>
      <c r="BE1852" s="38"/>
      <c r="BF1852" s="38"/>
      <c r="BG1852" s="38"/>
    </row>
    <row r="1853">
      <c r="A1853" s="16"/>
      <c r="B1853" s="16"/>
      <c r="C1853" s="146"/>
      <c r="D1853" s="146"/>
      <c r="E1853" s="16"/>
      <c r="F1853" s="91"/>
      <c r="G1853" s="16"/>
      <c r="H1853" s="320" t="str">
        <f t="shared" si="1"/>
        <v/>
      </c>
      <c r="I1853" s="16"/>
      <c r="J1853" s="16"/>
      <c r="K1853" s="16"/>
      <c r="L1853" s="38"/>
      <c r="M1853" s="16"/>
      <c r="N1853" s="16"/>
      <c r="O1853" s="16"/>
      <c r="P1853" s="15"/>
      <c r="Q1853" s="15"/>
      <c r="R1853" s="16"/>
      <c r="S1853" s="16"/>
      <c r="T1853" s="16"/>
      <c r="U1853" s="16"/>
      <c r="V1853" s="37" t="str">
        <f>IFERROR(__xludf.DUMMYFUNCTION("if(not(iserror(index(split(C1853, "" ""),2))), index(split(C1853, "" ""),1),"""")"),"")</f>
        <v/>
      </c>
      <c r="W1853" s="315" t="str">
        <f>IFERROR(__xludf.DUMMYFUNCTION("if(V1853="""",C1853,if(not(iserror(index(split(C1853, "" ""),3))), index(split(C1853, "" ""),3),index(split(C1853, "" ""),2)))"),"")</f>
        <v/>
      </c>
      <c r="X1853" s="38" t="b">
        <f t="shared" si="2"/>
        <v>0</v>
      </c>
      <c r="Y1853" s="38"/>
      <c r="Z1853" s="40"/>
      <c r="AA1853" s="40"/>
      <c r="AB1853" s="38"/>
      <c r="AC1853" s="38"/>
      <c r="AD1853" s="38"/>
      <c r="AE1853" s="38"/>
      <c r="AF1853" s="38"/>
      <c r="AG1853" s="38"/>
      <c r="AH1853" s="38"/>
      <c r="AI1853" s="38"/>
      <c r="AJ1853" s="38"/>
      <c r="AK1853" s="38"/>
      <c r="AL1853" s="38"/>
      <c r="AM1853" s="38"/>
      <c r="AN1853" s="38"/>
      <c r="AO1853" s="38"/>
      <c r="AP1853" s="38"/>
      <c r="AQ1853" s="38"/>
      <c r="AR1853" s="38"/>
      <c r="AS1853" s="38"/>
      <c r="AT1853" s="38"/>
      <c r="AU1853" s="38"/>
      <c r="AV1853" s="38"/>
      <c r="AW1853" s="38"/>
      <c r="AX1853" s="38"/>
      <c r="AY1853" s="38"/>
      <c r="AZ1853" s="38"/>
      <c r="BA1853" s="38"/>
      <c r="BB1853" s="38"/>
      <c r="BC1853" s="38"/>
      <c r="BD1853" s="38"/>
      <c r="BE1853" s="38"/>
      <c r="BF1853" s="38"/>
      <c r="BG1853" s="38"/>
    </row>
    <row r="1854">
      <c r="A1854" s="16"/>
      <c r="B1854" s="16"/>
      <c r="C1854" s="146"/>
      <c r="D1854" s="146"/>
      <c r="E1854" s="16"/>
      <c r="F1854" s="91"/>
      <c r="G1854" s="16"/>
      <c r="H1854" s="320" t="str">
        <f t="shared" si="1"/>
        <v/>
      </c>
      <c r="I1854" s="16"/>
      <c r="J1854" s="16"/>
      <c r="K1854" s="16"/>
      <c r="L1854" s="38"/>
      <c r="M1854" s="16"/>
      <c r="N1854" s="16"/>
      <c r="O1854" s="16"/>
      <c r="P1854" s="15"/>
      <c r="Q1854" s="15"/>
      <c r="R1854" s="16"/>
      <c r="S1854" s="16"/>
      <c r="T1854" s="16"/>
      <c r="U1854" s="16"/>
      <c r="V1854" s="37" t="str">
        <f>IFERROR(__xludf.DUMMYFUNCTION("if(not(iserror(index(split(C1854, "" ""),2))), index(split(C1854, "" ""),1),"""")"),"")</f>
        <v/>
      </c>
      <c r="W1854" s="315" t="str">
        <f>IFERROR(__xludf.DUMMYFUNCTION("if(V1854="""",C1854,if(not(iserror(index(split(C1854, "" ""),3))), index(split(C1854, "" ""),3),index(split(C1854, "" ""),2)))"),"")</f>
        <v/>
      </c>
      <c r="X1854" s="38" t="b">
        <f t="shared" si="2"/>
        <v>0</v>
      </c>
      <c r="Y1854" s="38"/>
      <c r="Z1854" s="40"/>
      <c r="AA1854" s="40"/>
      <c r="AB1854" s="38"/>
      <c r="AC1854" s="38"/>
      <c r="AD1854" s="38"/>
      <c r="AE1854" s="38"/>
      <c r="AF1854" s="38"/>
      <c r="AG1854" s="38"/>
      <c r="AH1854" s="38"/>
      <c r="AI1854" s="38"/>
      <c r="AJ1854" s="38"/>
      <c r="AK1854" s="38"/>
      <c r="AL1854" s="38"/>
      <c r="AM1854" s="38"/>
      <c r="AN1854" s="38"/>
      <c r="AO1854" s="38"/>
      <c r="AP1854" s="38"/>
      <c r="AQ1854" s="38"/>
      <c r="AR1854" s="38"/>
      <c r="AS1854" s="38"/>
      <c r="AT1854" s="38"/>
      <c r="AU1854" s="38"/>
      <c r="AV1854" s="38"/>
      <c r="AW1854" s="38"/>
      <c r="AX1854" s="38"/>
      <c r="AY1854" s="38"/>
      <c r="AZ1854" s="38"/>
      <c r="BA1854" s="38"/>
      <c r="BB1854" s="38"/>
      <c r="BC1854" s="38"/>
      <c r="BD1854" s="38"/>
      <c r="BE1854" s="38"/>
      <c r="BF1854" s="38"/>
      <c r="BG1854" s="38"/>
    </row>
    <row r="1855">
      <c r="A1855" s="16"/>
      <c r="B1855" s="16"/>
      <c r="C1855" s="146"/>
      <c r="D1855" s="146"/>
      <c r="E1855" s="16"/>
      <c r="F1855" s="91"/>
      <c r="G1855" s="16"/>
      <c r="H1855" s="320" t="str">
        <f t="shared" si="1"/>
        <v/>
      </c>
      <c r="I1855" s="16"/>
      <c r="J1855" s="16"/>
      <c r="K1855" s="16"/>
      <c r="L1855" s="38"/>
      <c r="M1855" s="16"/>
      <c r="N1855" s="16"/>
      <c r="O1855" s="16"/>
      <c r="P1855" s="15"/>
      <c r="Q1855" s="15"/>
      <c r="R1855" s="16"/>
      <c r="S1855" s="16"/>
      <c r="T1855" s="16"/>
      <c r="U1855" s="16"/>
      <c r="V1855" s="37" t="str">
        <f>IFERROR(__xludf.DUMMYFUNCTION("if(not(iserror(index(split(C1855, "" ""),2))), index(split(C1855, "" ""),1),"""")"),"")</f>
        <v/>
      </c>
      <c r="W1855" s="315" t="str">
        <f>IFERROR(__xludf.DUMMYFUNCTION("if(V1855="""",C1855,if(not(iserror(index(split(C1855, "" ""),3))), index(split(C1855, "" ""),3),index(split(C1855, "" ""),2)))"),"")</f>
        <v/>
      </c>
      <c r="X1855" s="38" t="b">
        <f t="shared" si="2"/>
        <v>0</v>
      </c>
      <c r="Y1855" s="38"/>
      <c r="Z1855" s="40"/>
      <c r="AA1855" s="40"/>
      <c r="AB1855" s="38"/>
      <c r="AC1855" s="38"/>
      <c r="AD1855" s="38"/>
      <c r="AE1855" s="38"/>
      <c r="AF1855" s="38"/>
      <c r="AG1855" s="38"/>
      <c r="AH1855" s="38"/>
      <c r="AI1855" s="38"/>
      <c r="AJ1855" s="38"/>
      <c r="AK1855" s="38"/>
      <c r="AL1855" s="38"/>
      <c r="AM1855" s="38"/>
      <c r="AN1855" s="38"/>
      <c r="AO1855" s="38"/>
      <c r="AP1855" s="38"/>
      <c r="AQ1855" s="38"/>
      <c r="AR1855" s="38"/>
      <c r="AS1855" s="38"/>
      <c r="AT1855" s="38"/>
      <c r="AU1855" s="38"/>
      <c r="AV1855" s="38"/>
      <c r="AW1855" s="38"/>
      <c r="AX1855" s="38"/>
      <c r="AY1855" s="38"/>
      <c r="AZ1855" s="38"/>
      <c r="BA1855" s="38"/>
      <c r="BB1855" s="38"/>
      <c r="BC1855" s="38"/>
      <c r="BD1855" s="38"/>
      <c r="BE1855" s="38"/>
      <c r="BF1855" s="38"/>
      <c r="BG1855" s="38"/>
    </row>
    <row r="1856">
      <c r="A1856" s="16"/>
      <c r="B1856" s="16"/>
      <c r="C1856" s="146"/>
      <c r="D1856" s="146"/>
      <c r="E1856" s="16"/>
      <c r="F1856" s="91"/>
      <c r="G1856" s="16"/>
      <c r="H1856" s="320" t="str">
        <f t="shared" si="1"/>
        <v/>
      </c>
      <c r="I1856" s="16"/>
      <c r="J1856" s="16"/>
      <c r="K1856" s="16"/>
      <c r="L1856" s="38"/>
      <c r="M1856" s="16"/>
      <c r="N1856" s="16"/>
      <c r="O1856" s="16"/>
      <c r="P1856" s="15"/>
      <c r="Q1856" s="15"/>
      <c r="R1856" s="16"/>
      <c r="S1856" s="16"/>
      <c r="T1856" s="16"/>
      <c r="U1856" s="16"/>
      <c r="V1856" s="37" t="str">
        <f>IFERROR(__xludf.DUMMYFUNCTION("if(not(iserror(index(split(C1856, "" ""),2))), index(split(C1856, "" ""),1),"""")"),"")</f>
        <v/>
      </c>
      <c r="W1856" s="315" t="str">
        <f>IFERROR(__xludf.DUMMYFUNCTION("if(V1856="""",C1856,if(not(iserror(index(split(C1856, "" ""),3))), index(split(C1856, "" ""),3),index(split(C1856, "" ""),2)))"),"")</f>
        <v/>
      </c>
      <c r="X1856" s="38" t="b">
        <f t="shared" si="2"/>
        <v>0</v>
      </c>
      <c r="Y1856" s="38"/>
      <c r="Z1856" s="40"/>
      <c r="AA1856" s="40"/>
      <c r="AB1856" s="38"/>
      <c r="AC1856" s="38"/>
      <c r="AD1856" s="38"/>
      <c r="AE1856" s="38"/>
      <c r="AF1856" s="38"/>
      <c r="AG1856" s="38"/>
      <c r="AH1856" s="38"/>
      <c r="AI1856" s="38"/>
      <c r="AJ1856" s="38"/>
      <c r="AK1856" s="38"/>
      <c r="AL1856" s="38"/>
      <c r="AM1856" s="38"/>
      <c r="AN1856" s="38"/>
      <c r="AO1856" s="38"/>
      <c r="AP1856" s="38"/>
      <c r="AQ1856" s="38"/>
      <c r="AR1856" s="38"/>
      <c r="AS1856" s="38"/>
      <c r="AT1856" s="38"/>
      <c r="AU1856" s="38"/>
      <c r="AV1856" s="38"/>
      <c r="AW1856" s="38"/>
      <c r="AX1856" s="38"/>
      <c r="AY1856" s="38"/>
      <c r="AZ1856" s="38"/>
      <c r="BA1856" s="38"/>
      <c r="BB1856" s="38"/>
      <c r="BC1856" s="38"/>
      <c r="BD1856" s="38"/>
      <c r="BE1856" s="38"/>
      <c r="BF1856" s="38"/>
      <c r="BG1856" s="38"/>
    </row>
    <row r="1857">
      <c r="A1857" s="16"/>
      <c r="B1857" s="16"/>
      <c r="C1857" s="146"/>
      <c r="D1857" s="146"/>
      <c r="E1857" s="16"/>
      <c r="F1857" s="91"/>
      <c r="G1857" s="16"/>
      <c r="H1857" s="320" t="str">
        <f t="shared" si="1"/>
        <v/>
      </c>
      <c r="I1857" s="16"/>
      <c r="J1857" s="16"/>
      <c r="K1857" s="16"/>
      <c r="L1857" s="38"/>
      <c r="M1857" s="16"/>
      <c r="N1857" s="16"/>
      <c r="O1857" s="16"/>
      <c r="P1857" s="15"/>
      <c r="Q1857" s="15"/>
      <c r="R1857" s="16"/>
      <c r="S1857" s="16"/>
      <c r="T1857" s="16"/>
      <c r="U1857" s="16"/>
      <c r="V1857" s="37" t="str">
        <f>IFERROR(__xludf.DUMMYFUNCTION("if(not(iserror(index(split(C1857, "" ""),2))), index(split(C1857, "" ""),1),"""")"),"")</f>
        <v/>
      </c>
      <c r="W1857" s="315" t="str">
        <f>IFERROR(__xludf.DUMMYFUNCTION("if(V1857="""",C1857,if(not(iserror(index(split(C1857, "" ""),3))), index(split(C1857, "" ""),3),index(split(C1857, "" ""),2)))"),"")</f>
        <v/>
      </c>
      <c r="X1857" s="38" t="b">
        <f t="shared" si="2"/>
        <v>0</v>
      </c>
      <c r="Y1857" s="38"/>
      <c r="Z1857" s="40"/>
      <c r="AA1857" s="40"/>
      <c r="AB1857" s="38"/>
      <c r="AC1857" s="38"/>
      <c r="AD1857" s="38"/>
      <c r="AE1857" s="38"/>
      <c r="AF1857" s="38"/>
      <c r="AG1857" s="38"/>
      <c r="AH1857" s="38"/>
      <c r="AI1857" s="38"/>
      <c r="AJ1857" s="38"/>
      <c r="AK1857" s="38"/>
      <c r="AL1857" s="38"/>
      <c r="AM1857" s="38"/>
      <c r="AN1857" s="38"/>
      <c r="AO1857" s="38"/>
      <c r="AP1857" s="38"/>
      <c r="AQ1857" s="38"/>
      <c r="AR1857" s="38"/>
      <c r="AS1857" s="38"/>
      <c r="AT1857" s="38"/>
      <c r="AU1857" s="38"/>
      <c r="AV1857" s="38"/>
      <c r="AW1857" s="38"/>
      <c r="AX1857" s="38"/>
      <c r="AY1857" s="38"/>
      <c r="AZ1857" s="38"/>
      <c r="BA1857" s="38"/>
      <c r="BB1857" s="38"/>
      <c r="BC1857" s="38"/>
      <c r="BD1857" s="38"/>
      <c r="BE1857" s="38"/>
      <c r="BF1857" s="38"/>
      <c r="BG1857" s="38"/>
    </row>
    <row r="1858">
      <c r="A1858" s="16"/>
      <c r="B1858" s="16"/>
      <c r="C1858" s="146"/>
      <c r="D1858" s="146"/>
      <c r="E1858" s="16"/>
      <c r="F1858" s="91"/>
      <c r="G1858" s="16"/>
      <c r="H1858" s="320" t="str">
        <f t="shared" si="1"/>
        <v/>
      </c>
      <c r="I1858" s="16"/>
      <c r="J1858" s="16"/>
      <c r="K1858" s="16"/>
      <c r="L1858" s="38"/>
      <c r="M1858" s="16"/>
      <c r="N1858" s="16"/>
      <c r="O1858" s="16"/>
      <c r="P1858" s="15"/>
      <c r="Q1858" s="15"/>
      <c r="R1858" s="16"/>
      <c r="S1858" s="16"/>
      <c r="T1858" s="16"/>
      <c r="U1858" s="16"/>
      <c r="V1858" s="37" t="str">
        <f>IFERROR(__xludf.DUMMYFUNCTION("if(not(iserror(index(split(C1858, "" ""),2))), index(split(C1858, "" ""),1),"""")"),"")</f>
        <v/>
      </c>
      <c r="W1858" s="315" t="str">
        <f>IFERROR(__xludf.DUMMYFUNCTION("if(V1858="""",C1858,if(not(iserror(index(split(C1858, "" ""),3))), index(split(C1858, "" ""),3),index(split(C1858, "" ""),2)))"),"")</f>
        <v/>
      </c>
      <c r="X1858" s="38" t="b">
        <f t="shared" si="2"/>
        <v>0</v>
      </c>
      <c r="Y1858" s="38"/>
      <c r="Z1858" s="40"/>
      <c r="AA1858" s="40"/>
      <c r="AB1858" s="38"/>
      <c r="AC1858" s="38"/>
      <c r="AD1858" s="38"/>
      <c r="AE1858" s="38"/>
      <c r="AF1858" s="38"/>
      <c r="AG1858" s="38"/>
      <c r="AH1858" s="38"/>
      <c r="AI1858" s="38"/>
      <c r="AJ1858" s="38"/>
      <c r="AK1858" s="38"/>
      <c r="AL1858" s="38"/>
      <c r="AM1858" s="38"/>
      <c r="AN1858" s="38"/>
      <c r="AO1858" s="38"/>
      <c r="AP1858" s="38"/>
      <c r="AQ1858" s="38"/>
      <c r="AR1858" s="38"/>
      <c r="AS1858" s="38"/>
      <c r="AT1858" s="38"/>
      <c r="AU1858" s="38"/>
      <c r="AV1858" s="38"/>
      <c r="AW1858" s="38"/>
      <c r="AX1858" s="38"/>
      <c r="AY1858" s="38"/>
      <c r="AZ1858" s="38"/>
      <c r="BA1858" s="38"/>
      <c r="BB1858" s="38"/>
      <c r="BC1858" s="38"/>
      <c r="BD1858" s="38"/>
      <c r="BE1858" s="38"/>
      <c r="BF1858" s="38"/>
      <c r="BG1858" s="38"/>
    </row>
    <row r="1859">
      <c r="A1859" s="16"/>
      <c r="B1859" s="16"/>
      <c r="C1859" s="146"/>
      <c r="D1859" s="146"/>
      <c r="E1859" s="16"/>
      <c r="F1859" s="91"/>
      <c r="G1859" s="16"/>
      <c r="H1859" s="320" t="str">
        <f t="shared" si="1"/>
        <v/>
      </c>
      <c r="I1859" s="16"/>
      <c r="J1859" s="16"/>
      <c r="K1859" s="16"/>
      <c r="L1859" s="38"/>
      <c r="M1859" s="16"/>
      <c r="N1859" s="16"/>
      <c r="O1859" s="16"/>
      <c r="P1859" s="15"/>
      <c r="Q1859" s="15"/>
      <c r="R1859" s="16"/>
      <c r="S1859" s="16"/>
      <c r="T1859" s="16"/>
      <c r="U1859" s="16"/>
      <c r="V1859" s="37" t="str">
        <f>IFERROR(__xludf.DUMMYFUNCTION("if(not(iserror(index(split(C1859, "" ""),2))), index(split(C1859, "" ""),1),"""")"),"")</f>
        <v/>
      </c>
      <c r="W1859" s="315" t="str">
        <f>IFERROR(__xludf.DUMMYFUNCTION("if(V1859="""",C1859,if(not(iserror(index(split(C1859, "" ""),3))), index(split(C1859, "" ""),3),index(split(C1859, "" ""),2)))"),"")</f>
        <v/>
      </c>
      <c r="X1859" s="38" t="b">
        <f t="shared" si="2"/>
        <v>0</v>
      </c>
      <c r="Y1859" s="38"/>
      <c r="Z1859" s="40"/>
      <c r="AA1859" s="40"/>
      <c r="AB1859" s="38"/>
      <c r="AC1859" s="38"/>
      <c r="AD1859" s="38"/>
      <c r="AE1859" s="38"/>
      <c r="AF1859" s="38"/>
      <c r="AG1859" s="38"/>
      <c r="AH1859" s="38"/>
      <c r="AI1859" s="38"/>
      <c r="AJ1859" s="38"/>
      <c r="AK1859" s="38"/>
      <c r="AL1859" s="38"/>
      <c r="AM1859" s="38"/>
      <c r="AN1859" s="38"/>
      <c r="AO1859" s="38"/>
      <c r="AP1859" s="38"/>
      <c r="AQ1859" s="38"/>
      <c r="AR1859" s="38"/>
      <c r="AS1859" s="38"/>
      <c r="AT1859" s="38"/>
      <c r="AU1859" s="38"/>
      <c r="AV1859" s="38"/>
      <c r="AW1859" s="38"/>
      <c r="AX1859" s="38"/>
      <c r="AY1859" s="38"/>
      <c r="AZ1859" s="38"/>
      <c r="BA1859" s="38"/>
      <c r="BB1859" s="38"/>
      <c r="BC1859" s="38"/>
      <c r="BD1859" s="38"/>
      <c r="BE1859" s="38"/>
      <c r="BF1859" s="38"/>
      <c r="BG1859" s="38"/>
    </row>
    <row r="1860">
      <c r="A1860" s="16"/>
      <c r="B1860" s="16"/>
      <c r="C1860" s="146"/>
      <c r="D1860" s="146"/>
      <c r="E1860" s="16"/>
      <c r="F1860" s="91"/>
      <c r="G1860" s="16"/>
      <c r="H1860" s="320" t="str">
        <f t="shared" si="1"/>
        <v/>
      </c>
      <c r="I1860" s="16"/>
      <c r="J1860" s="16"/>
      <c r="K1860" s="16"/>
      <c r="L1860" s="38"/>
      <c r="M1860" s="16"/>
      <c r="N1860" s="16"/>
      <c r="O1860" s="16"/>
      <c r="P1860" s="15"/>
      <c r="Q1860" s="15"/>
      <c r="R1860" s="16"/>
      <c r="S1860" s="16"/>
      <c r="T1860" s="16"/>
      <c r="U1860" s="16"/>
      <c r="V1860" s="37" t="str">
        <f>IFERROR(__xludf.DUMMYFUNCTION("if(not(iserror(index(split(C1860, "" ""),2))), index(split(C1860, "" ""),1),"""")"),"")</f>
        <v/>
      </c>
      <c r="W1860" s="315" t="str">
        <f>IFERROR(__xludf.DUMMYFUNCTION("if(V1860="""",C1860,if(not(iserror(index(split(C1860, "" ""),3))), index(split(C1860, "" ""),3),index(split(C1860, "" ""),2)))"),"")</f>
        <v/>
      </c>
      <c r="X1860" s="38" t="b">
        <f t="shared" si="2"/>
        <v>0</v>
      </c>
      <c r="Y1860" s="38"/>
      <c r="Z1860" s="40"/>
      <c r="AA1860" s="40"/>
      <c r="AB1860" s="38"/>
      <c r="AC1860" s="38"/>
      <c r="AD1860" s="38"/>
      <c r="AE1860" s="38"/>
      <c r="AF1860" s="38"/>
      <c r="AG1860" s="38"/>
      <c r="AH1860" s="38"/>
      <c r="AI1860" s="38"/>
      <c r="AJ1860" s="38"/>
      <c r="AK1860" s="38"/>
      <c r="AL1860" s="38"/>
      <c r="AM1860" s="38"/>
      <c r="AN1860" s="38"/>
      <c r="AO1860" s="38"/>
      <c r="AP1860" s="38"/>
      <c r="AQ1860" s="38"/>
      <c r="AR1860" s="38"/>
      <c r="AS1860" s="38"/>
      <c r="AT1860" s="38"/>
      <c r="AU1860" s="38"/>
      <c r="AV1860" s="38"/>
      <c r="AW1860" s="38"/>
      <c r="AX1860" s="38"/>
      <c r="AY1860" s="38"/>
      <c r="AZ1860" s="38"/>
      <c r="BA1860" s="38"/>
      <c r="BB1860" s="38"/>
      <c r="BC1860" s="38"/>
      <c r="BD1860" s="38"/>
      <c r="BE1860" s="38"/>
      <c r="BF1860" s="38"/>
      <c r="BG1860" s="38"/>
    </row>
    <row r="1861">
      <c r="A1861" s="16"/>
      <c r="B1861" s="16"/>
      <c r="C1861" s="146"/>
      <c r="D1861" s="146"/>
      <c r="E1861" s="16"/>
      <c r="F1861" s="91"/>
      <c r="G1861" s="16"/>
      <c r="H1861" s="320" t="str">
        <f t="shared" si="1"/>
        <v/>
      </c>
      <c r="I1861" s="16"/>
      <c r="J1861" s="16"/>
      <c r="K1861" s="16"/>
      <c r="L1861" s="38"/>
      <c r="M1861" s="16"/>
      <c r="N1861" s="16"/>
      <c r="O1861" s="16"/>
      <c r="P1861" s="15"/>
      <c r="Q1861" s="15"/>
      <c r="R1861" s="16"/>
      <c r="S1861" s="16"/>
      <c r="T1861" s="16"/>
      <c r="U1861" s="16"/>
      <c r="V1861" s="37" t="str">
        <f>IFERROR(__xludf.DUMMYFUNCTION("if(not(iserror(index(split(C1861, "" ""),2))), index(split(C1861, "" ""),1),"""")"),"")</f>
        <v/>
      </c>
      <c r="W1861" s="315" t="str">
        <f>IFERROR(__xludf.DUMMYFUNCTION("if(V1861="""",C1861,if(not(iserror(index(split(C1861, "" ""),3))), index(split(C1861, "" ""),3),index(split(C1861, "" ""),2)))"),"")</f>
        <v/>
      </c>
      <c r="X1861" s="38" t="b">
        <f t="shared" si="2"/>
        <v>0</v>
      </c>
      <c r="Y1861" s="38"/>
      <c r="Z1861" s="40"/>
      <c r="AA1861" s="40"/>
      <c r="AB1861" s="38"/>
      <c r="AC1861" s="38"/>
      <c r="AD1861" s="38"/>
      <c r="AE1861" s="38"/>
      <c r="AF1861" s="38"/>
      <c r="AG1861" s="38"/>
      <c r="AH1861" s="38"/>
      <c r="AI1861" s="38"/>
      <c r="AJ1861" s="38"/>
      <c r="AK1861" s="38"/>
      <c r="AL1861" s="38"/>
      <c r="AM1861" s="38"/>
      <c r="AN1861" s="38"/>
      <c r="AO1861" s="38"/>
      <c r="AP1861" s="38"/>
      <c r="AQ1861" s="38"/>
      <c r="AR1861" s="38"/>
      <c r="AS1861" s="38"/>
      <c r="AT1861" s="38"/>
      <c r="AU1861" s="38"/>
      <c r="AV1861" s="38"/>
      <c r="AW1861" s="38"/>
      <c r="AX1861" s="38"/>
      <c r="AY1861" s="38"/>
      <c r="AZ1861" s="38"/>
      <c r="BA1861" s="38"/>
      <c r="BB1861" s="38"/>
      <c r="BC1861" s="38"/>
      <c r="BD1861" s="38"/>
      <c r="BE1861" s="38"/>
      <c r="BF1861" s="38"/>
      <c r="BG1861" s="38"/>
    </row>
    <row r="1862">
      <c r="A1862" s="16"/>
      <c r="B1862" s="16"/>
      <c r="C1862" s="146"/>
      <c r="D1862" s="146"/>
      <c r="E1862" s="16"/>
      <c r="F1862" s="91"/>
      <c r="G1862" s="16"/>
      <c r="H1862" s="320" t="str">
        <f t="shared" si="1"/>
        <v/>
      </c>
      <c r="I1862" s="16"/>
      <c r="J1862" s="16"/>
      <c r="K1862" s="16"/>
      <c r="L1862" s="38"/>
      <c r="M1862" s="16"/>
      <c r="N1862" s="16"/>
      <c r="O1862" s="16"/>
      <c r="P1862" s="15"/>
      <c r="Q1862" s="15"/>
      <c r="R1862" s="16"/>
      <c r="S1862" s="16"/>
      <c r="T1862" s="16"/>
      <c r="U1862" s="16"/>
      <c r="V1862" s="37" t="str">
        <f>IFERROR(__xludf.DUMMYFUNCTION("if(not(iserror(index(split(C1862, "" ""),2))), index(split(C1862, "" ""),1),"""")"),"")</f>
        <v/>
      </c>
      <c r="W1862" s="315" t="str">
        <f>IFERROR(__xludf.DUMMYFUNCTION("if(V1862="""",C1862,if(not(iserror(index(split(C1862, "" ""),3))), index(split(C1862, "" ""),3),index(split(C1862, "" ""),2)))"),"")</f>
        <v/>
      </c>
      <c r="X1862" s="38" t="b">
        <f t="shared" si="2"/>
        <v>0</v>
      </c>
      <c r="Y1862" s="38"/>
      <c r="Z1862" s="40"/>
      <c r="AA1862" s="40"/>
      <c r="AB1862" s="38"/>
      <c r="AC1862" s="38"/>
      <c r="AD1862" s="38"/>
      <c r="AE1862" s="38"/>
      <c r="AF1862" s="38"/>
      <c r="AG1862" s="38"/>
      <c r="AH1862" s="38"/>
      <c r="AI1862" s="38"/>
      <c r="AJ1862" s="38"/>
      <c r="AK1862" s="38"/>
      <c r="AL1862" s="38"/>
      <c r="AM1862" s="38"/>
      <c r="AN1862" s="38"/>
      <c r="AO1862" s="38"/>
      <c r="AP1862" s="38"/>
      <c r="AQ1862" s="38"/>
      <c r="AR1862" s="38"/>
      <c r="AS1862" s="38"/>
      <c r="AT1862" s="38"/>
      <c r="AU1862" s="38"/>
      <c r="AV1862" s="38"/>
      <c r="AW1862" s="38"/>
      <c r="AX1862" s="38"/>
      <c r="AY1862" s="38"/>
      <c r="AZ1862" s="38"/>
      <c r="BA1862" s="38"/>
      <c r="BB1862" s="38"/>
      <c r="BC1862" s="38"/>
      <c r="BD1862" s="38"/>
      <c r="BE1862" s="38"/>
      <c r="BF1862" s="38"/>
      <c r="BG1862" s="38"/>
    </row>
    <row r="1863">
      <c r="A1863" s="16"/>
      <c r="B1863" s="16"/>
      <c r="C1863" s="146"/>
      <c r="D1863" s="146"/>
      <c r="E1863" s="16"/>
      <c r="F1863" s="91"/>
      <c r="G1863" s="16"/>
      <c r="H1863" s="320" t="str">
        <f t="shared" si="1"/>
        <v/>
      </c>
      <c r="I1863" s="16"/>
      <c r="J1863" s="16"/>
      <c r="K1863" s="16"/>
      <c r="L1863" s="38"/>
      <c r="M1863" s="16"/>
      <c r="N1863" s="16"/>
      <c r="O1863" s="16"/>
      <c r="P1863" s="15"/>
      <c r="Q1863" s="15"/>
      <c r="R1863" s="16"/>
      <c r="S1863" s="16"/>
      <c r="T1863" s="16"/>
      <c r="U1863" s="16"/>
      <c r="V1863" s="37" t="str">
        <f>IFERROR(__xludf.DUMMYFUNCTION("if(not(iserror(index(split(C1863, "" ""),2))), index(split(C1863, "" ""),1),"""")"),"")</f>
        <v/>
      </c>
      <c r="W1863" s="315" t="str">
        <f>IFERROR(__xludf.DUMMYFUNCTION("if(V1863="""",C1863,if(not(iserror(index(split(C1863, "" ""),3))), index(split(C1863, "" ""),3),index(split(C1863, "" ""),2)))"),"")</f>
        <v/>
      </c>
      <c r="X1863" s="38" t="b">
        <f t="shared" si="2"/>
        <v>0</v>
      </c>
      <c r="Y1863" s="38"/>
      <c r="Z1863" s="40"/>
      <c r="AA1863" s="40"/>
      <c r="AB1863" s="38"/>
      <c r="AC1863" s="38"/>
      <c r="AD1863" s="38"/>
      <c r="AE1863" s="38"/>
      <c r="AF1863" s="38"/>
      <c r="AG1863" s="38"/>
      <c r="AH1863" s="38"/>
      <c r="AI1863" s="38"/>
      <c r="AJ1863" s="38"/>
      <c r="AK1863" s="38"/>
      <c r="AL1863" s="38"/>
      <c r="AM1863" s="38"/>
      <c r="AN1863" s="38"/>
      <c r="AO1863" s="38"/>
      <c r="AP1863" s="38"/>
      <c r="AQ1863" s="38"/>
      <c r="AR1863" s="38"/>
      <c r="AS1863" s="38"/>
      <c r="AT1863" s="38"/>
      <c r="AU1863" s="38"/>
      <c r="AV1863" s="38"/>
      <c r="AW1863" s="38"/>
      <c r="AX1863" s="38"/>
      <c r="AY1863" s="38"/>
      <c r="AZ1863" s="38"/>
      <c r="BA1863" s="38"/>
      <c r="BB1863" s="38"/>
      <c r="BC1863" s="38"/>
      <c r="BD1863" s="38"/>
      <c r="BE1863" s="38"/>
      <c r="BF1863" s="38"/>
      <c r="BG1863" s="38"/>
    </row>
    <row r="1864">
      <c r="A1864" s="16"/>
      <c r="B1864" s="16"/>
      <c r="C1864" s="146"/>
      <c r="D1864" s="146"/>
      <c r="E1864" s="16"/>
      <c r="F1864" s="91"/>
      <c r="G1864" s="16"/>
      <c r="H1864" s="320" t="str">
        <f t="shared" si="1"/>
        <v/>
      </c>
      <c r="I1864" s="16"/>
      <c r="J1864" s="16"/>
      <c r="K1864" s="16"/>
      <c r="L1864" s="38"/>
      <c r="M1864" s="16"/>
      <c r="N1864" s="16"/>
      <c r="O1864" s="16"/>
      <c r="P1864" s="15"/>
      <c r="Q1864" s="15"/>
      <c r="R1864" s="16"/>
      <c r="S1864" s="16"/>
      <c r="T1864" s="16"/>
      <c r="U1864" s="16"/>
      <c r="V1864" s="37" t="str">
        <f>IFERROR(__xludf.DUMMYFUNCTION("if(not(iserror(index(split(C1864, "" ""),2))), index(split(C1864, "" ""),1),"""")"),"")</f>
        <v/>
      </c>
      <c r="W1864" s="315" t="str">
        <f>IFERROR(__xludf.DUMMYFUNCTION("if(V1864="""",C1864,if(not(iserror(index(split(C1864, "" ""),3))), index(split(C1864, "" ""),3),index(split(C1864, "" ""),2)))"),"")</f>
        <v/>
      </c>
      <c r="X1864" s="38" t="b">
        <f t="shared" si="2"/>
        <v>0</v>
      </c>
      <c r="Y1864" s="38"/>
      <c r="Z1864" s="40"/>
      <c r="AA1864" s="40"/>
      <c r="AB1864" s="38"/>
      <c r="AC1864" s="38"/>
      <c r="AD1864" s="38"/>
      <c r="AE1864" s="38"/>
      <c r="AF1864" s="38"/>
      <c r="AG1864" s="38"/>
      <c r="AH1864" s="38"/>
      <c r="AI1864" s="38"/>
      <c r="AJ1864" s="38"/>
      <c r="AK1864" s="38"/>
      <c r="AL1864" s="38"/>
      <c r="AM1864" s="38"/>
      <c r="AN1864" s="38"/>
      <c r="AO1864" s="38"/>
      <c r="AP1864" s="38"/>
      <c r="AQ1864" s="38"/>
      <c r="AR1864" s="38"/>
      <c r="AS1864" s="38"/>
      <c r="AT1864" s="38"/>
      <c r="AU1864" s="38"/>
      <c r="AV1864" s="38"/>
      <c r="AW1864" s="38"/>
      <c r="AX1864" s="38"/>
      <c r="AY1864" s="38"/>
      <c r="AZ1864" s="38"/>
      <c r="BA1864" s="38"/>
      <c r="BB1864" s="38"/>
      <c r="BC1864" s="38"/>
      <c r="BD1864" s="38"/>
      <c r="BE1864" s="38"/>
      <c r="BF1864" s="38"/>
      <c r="BG1864" s="38"/>
    </row>
    <row r="1865">
      <c r="A1865" s="16"/>
      <c r="B1865" s="16"/>
      <c r="C1865" s="146"/>
      <c r="D1865" s="146"/>
      <c r="E1865" s="16"/>
      <c r="F1865" s="91"/>
      <c r="G1865" s="16"/>
      <c r="H1865" s="320" t="str">
        <f t="shared" si="1"/>
        <v/>
      </c>
      <c r="I1865" s="16"/>
      <c r="J1865" s="16"/>
      <c r="K1865" s="16"/>
      <c r="L1865" s="38"/>
      <c r="M1865" s="16"/>
      <c r="N1865" s="16"/>
      <c r="O1865" s="16"/>
      <c r="P1865" s="15"/>
      <c r="Q1865" s="15"/>
      <c r="R1865" s="16"/>
      <c r="S1865" s="16"/>
      <c r="T1865" s="16"/>
      <c r="U1865" s="16"/>
      <c r="V1865" s="37" t="str">
        <f>IFERROR(__xludf.DUMMYFUNCTION("if(not(iserror(index(split(C1865, "" ""),2))), index(split(C1865, "" ""),1),"""")"),"")</f>
        <v/>
      </c>
      <c r="W1865" s="315" t="str">
        <f>IFERROR(__xludf.DUMMYFUNCTION("if(V1865="""",C1865,if(not(iserror(index(split(C1865, "" ""),3))), index(split(C1865, "" ""),3),index(split(C1865, "" ""),2)))"),"")</f>
        <v/>
      </c>
      <c r="X1865" s="38" t="b">
        <f t="shared" si="2"/>
        <v>0</v>
      </c>
      <c r="Y1865" s="38"/>
      <c r="Z1865" s="40"/>
      <c r="AA1865" s="40"/>
      <c r="AB1865" s="38"/>
      <c r="AC1865" s="38"/>
      <c r="AD1865" s="38"/>
      <c r="AE1865" s="38"/>
      <c r="AF1865" s="38"/>
      <c r="AG1865" s="38"/>
      <c r="AH1865" s="38"/>
      <c r="AI1865" s="38"/>
      <c r="AJ1865" s="38"/>
      <c r="AK1865" s="38"/>
      <c r="AL1865" s="38"/>
      <c r="AM1865" s="38"/>
      <c r="AN1865" s="38"/>
      <c r="AO1865" s="38"/>
      <c r="AP1865" s="38"/>
      <c r="AQ1865" s="38"/>
      <c r="AR1865" s="38"/>
      <c r="AS1865" s="38"/>
      <c r="AT1865" s="38"/>
      <c r="AU1865" s="38"/>
      <c r="AV1865" s="38"/>
      <c r="AW1865" s="38"/>
      <c r="AX1865" s="38"/>
      <c r="AY1865" s="38"/>
      <c r="AZ1865" s="38"/>
      <c r="BA1865" s="38"/>
      <c r="BB1865" s="38"/>
      <c r="BC1865" s="38"/>
      <c r="BD1865" s="38"/>
      <c r="BE1865" s="38"/>
      <c r="BF1865" s="38"/>
      <c r="BG1865" s="38"/>
    </row>
    <row r="1866">
      <c r="A1866" s="16"/>
      <c r="B1866" s="16"/>
      <c r="C1866" s="146"/>
      <c r="D1866" s="146"/>
      <c r="E1866" s="16"/>
      <c r="F1866" s="91"/>
      <c r="G1866" s="16"/>
      <c r="H1866" s="320" t="str">
        <f t="shared" si="1"/>
        <v/>
      </c>
      <c r="I1866" s="16"/>
      <c r="J1866" s="16"/>
      <c r="K1866" s="16"/>
      <c r="L1866" s="38"/>
      <c r="M1866" s="16"/>
      <c r="N1866" s="16"/>
      <c r="O1866" s="16"/>
      <c r="P1866" s="15"/>
      <c r="Q1866" s="15"/>
      <c r="R1866" s="16"/>
      <c r="S1866" s="16"/>
      <c r="T1866" s="16"/>
      <c r="U1866" s="16"/>
      <c r="V1866" s="37" t="str">
        <f>IFERROR(__xludf.DUMMYFUNCTION("if(not(iserror(index(split(C1866, "" ""),2))), index(split(C1866, "" ""),1),"""")"),"")</f>
        <v/>
      </c>
      <c r="W1866" s="315" t="str">
        <f>IFERROR(__xludf.DUMMYFUNCTION("if(V1866="""",C1866,if(not(iserror(index(split(C1866, "" ""),3))), index(split(C1866, "" ""),3),index(split(C1866, "" ""),2)))"),"")</f>
        <v/>
      </c>
      <c r="X1866" s="38" t="b">
        <f t="shared" si="2"/>
        <v>0</v>
      </c>
      <c r="Y1866" s="38"/>
      <c r="Z1866" s="40"/>
      <c r="AA1866" s="40"/>
      <c r="AB1866" s="38"/>
      <c r="AC1866" s="38"/>
      <c r="AD1866" s="38"/>
      <c r="AE1866" s="38"/>
      <c r="AF1866" s="38"/>
      <c r="AG1866" s="38"/>
      <c r="AH1866" s="38"/>
      <c r="AI1866" s="38"/>
      <c r="AJ1866" s="38"/>
      <c r="AK1866" s="38"/>
      <c r="AL1866" s="38"/>
      <c r="AM1866" s="38"/>
      <c r="AN1866" s="38"/>
      <c r="AO1866" s="38"/>
      <c r="AP1866" s="38"/>
      <c r="AQ1866" s="38"/>
      <c r="AR1866" s="38"/>
      <c r="AS1866" s="38"/>
      <c r="AT1866" s="38"/>
      <c r="AU1866" s="38"/>
      <c r="AV1866" s="38"/>
      <c r="AW1866" s="38"/>
      <c r="AX1866" s="38"/>
      <c r="AY1866" s="38"/>
      <c r="AZ1866" s="38"/>
      <c r="BA1866" s="38"/>
      <c r="BB1866" s="38"/>
      <c r="BC1866" s="38"/>
      <c r="BD1866" s="38"/>
      <c r="BE1866" s="38"/>
      <c r="BF1866" s="38"/>
      <c r="BG1866" s="38"/>
    </row>
    <row r="1867">
      <c r="A1867" s="16"/>
      <c r="B1867" s="16"/>
      <c r="C1867" s="146"/>
      <c r="D1867" s="146"/>
      <c r="E1867" s="16"/>
      <c r="F1867" s="91"/>
      <c r="G1867" s="16"/>
      <c r="H1867" s="320" t="str">
        <f t="shared" si="1"/>
        <v/>
      </c>
      <c r="I1867" s="16"/>
      <c r="J1867" s="16"/>
      <c r="K1867" s="16"/>
      <c r="L1867" s="38"/>
      <c r="M1867" s="16"/>
      <c r="N1867" s="16"/>
      <c r="O1867" s="16"/>
      <c r="P1867" s="15"/>
      <c r="Q1867" s="15"/>
      <c r="R1867" s="16"/>
      <c r="S1867" s="16"/>
      <c r="T1867" s="16"/>
      <c r="U1867" s="16"/>
      <c r="V1867" s="37" t="str">
        <f>IFERROR(__xludf.DUMMYFUNCTION("if(not(iserror(index(split(C1867, "" ""),2))), index(split(C1867, "" ""),1),"""")"),"")</f>
        <v/>
      </c>
      <c r="W1867" s="315" t="str">
        <f>IFERROR(__xludf.DUMMYFUNCTION("if(V1867="""",C1867,if(not(iserror(index(split(C1867, "" ""),3))), index(split(C1867, "" ""),3),index(split(C1867, "" ""),2)))"),"")</f>
        <v/>
      </c>
      <c r="X1867" s="38" t="b">
        <f t="shared" si="2"/>
        <v>0</v>
      </c>
      <c r="Y1867" s="38"/>
      <c r="Z1867" s="40"/>
      <c r="AA1867" s="40"/>
      <c r="AB1867" s="38"/>
      <c r="AC1867" s="38"/>
      <c r="AD1867" s="38"/>
      <c r="AE1867" s="38"/>
      <c r="AF1867" s="38"/>
      <c r="AG1867" s="38"/>
      <c r="AH1867" s="38"/>
      <c r="AI1867" s="38"/>
      <c r="AJ1867" s="38"/>
      <c r="AK1867" s="38"/>
      <c r="AL1867" s="38"/>
      <c r="AM1867" s="38"/>
      <c r="AN1867" s="38"/>
      <c r="AO1867" s="38"/>
      <c r="AP1867" s="38"/>
      <c r="AQ1867" s="38"/>
      <c r="AR1867" s="38"/>
      <c r="AS1867" s="38"/>
      <c r="AT1867" s="38"/>
      <c r="AU1867" s="38"/>
      <c r="AV1867" s="38"/>
      <c r="AW1867" s="38"/>
      <c r="AX1867" s="38"/>
      <c r="AY1867" s="38"/>
      <c r="AZ1867" s="38"/>
      <c r="BA1867" s="38"/>
      <c r="BB1867" s="38"/>
      <c r="BC1867" s="38"/>
      <c r="BD1867" s="38"/>
      <c r="BE1867" s="38"/>
      <c r="BF1867" s="38"/>
      <c r="BG1867" s="38"/>
    </row>
    <row r="1868">
      <c r="A1868" s="16"/>
      <c r="B1868" s="16"/>
      <c r="C1868" s="146"/>
      <c r="D1868" s="146"/>
      <c r="E1868" s="16"/>
      <c r="F1868" s="91"/>
      <c r="G1868" s="16"/>
      <c r="H1868" s="320" t="str">
        <f t="shared" si="1"/>
        <v/>
      </c>
      <c r="I1868" s="16"/>
      <c r="J1868" s="16"/>
      <c r="K1868" s="16"/>
      <c r="L1868" s="38"/>
      <c r="M1868" s="16"/>
      <c r="N1868" s="16"/>
      <c r="O1868" s="16"/>
      <c r="P1868" s="15"/>
      <c r="Q1868" s="15"/>
      <c r="R1868" s="16"/>
      <c r="S1868" s="16"/>
      <c r="T1868" s="16"/>
      <c r="U1868" s="16"/>
      <c r="V1868" s="37" t="str">
        <f>IFERROR(__xludf.DUMMYFUNCTION("if(not(iserror(index(split(C1868, "" ""),2))), index(split(C1868, "" ""),1),"""")"),"")</f>
        <v/>
      </c>
      <c r="W1868" s="315" t="str">
        <f>IFERROR(__xludf.DUMMYFUNCTION("if(V1868="""",C1868,if(not(iserror(index(split(C1868, "" ""),3))), index(split(C1868, "" ""),3),index(split(C1868, "" ""),2)))"),"")</f>
        <v/>
      </c>
      <c r="X1868" s="38" t="b">
        <f t="shared" si="2"/>
        <v>0</v>
      </c>
      <c r="Y1868" s="38"/>
      <c r="Z1868" s="40"/>
      <c r="AA1868" s="40"/>
      <c r="AB1868" s="38"/>
      <c r="AC1868" s="38"/>
      <c r="AD1868" s="38"/>
      <c r="AE1868" s="38"/>
      <c r="AF1868" s="38"/>
      <c r="AG1868" s="38"/>
      <c r="AH1868" s="38"/>
      <c r="AI1868" s="38"/>
      <c r="AJ1868" s="38"/>
      <c r="AK1868" s="38"/>
      <c r="AL1868" s="38"/>
      <c r="AM1868" s="38"/>
      <c r="AN1868" s="38"/>
      <c r="AO1868" s="38"/>
      <c r="AP1868" s="38"/>
      <c r="AQ1868" s="38"/>
      <c r="AR1868" s="38"/>
      <c r="AS1868" s="38"/>
      <c r="AT1868" s="38"/>
      <c r="AU1868" s="38"/>
      <c r="AV1868" s="38"/>
      <c r="AW1868" s="38"/>
      <c r="AX1868" s="38"/>
      <c r="AY1868" s="38"/>
      <c r="AZ1868" s="38"/>
      <c r="BA1868" s="38"/>
      <c r="BB1868" s="38"/>
      <c r="BC1868" s="38"/>
      <c r="BD1868" s="38"/>
      <c r="BE1868" s="38"/>
      <c r="BF1868" s="38"/>
      <c r="BG1868" s="38"/>
    </row>
    <row r="1869">
      <c r="A1869" s="16"/>
      <c r="B1869" s="16"/>
      <c r="C1869" s="146"/>
      <c r="D1869" s="146"/>
      <c r="E1869" s="16"/>
      <c r="F1869" s="91"/>
      <c r="G1869" s="16"/>
      <c r="H1869" s="320" t="str">
        <f t="shared" si="1"/>
        <v/>
      </c>
      <c r="I1869" s="16"/>
      <c r="J1869" s="16"/>
      <c r="K1869" s="16"/>
      <c r="L1869" s="38"/>
      <c r="M1869" s="16"/>
      <c r="N1869" s="16"/>
      <c r="O1869" s="16"/>
      <c r="P1869" s="15"/>
      <c r="Q1869" s="15"/>
      <c r="R1869" s="16"/>
      <c r="S1869" s="16"/>
      <c r="T1869" s="16"/>
      <c r="U1869" s="16"/>
      <c r="V1869" s="37" t="str">
        <f>IFERROR(__xludf.DUMMYFUNCTION("if(not(iserror(index(split(C1869, "" ""),2))), index(split(C1869, "" ""),1),"""")"),"")</f>
        <v/>
      </c>
      <c r="W1869" s="315" t="str">
        <f>IFERROR(__xludf.DUMMYFUNCTION("if(V1869="""",C1869,if(not(iserror(index(split(C1869, "" ""),3))), index(split(C1869, "" ""),3),index(split(C1869, "" ""),2)))"),"")</f>
        <v/>
      </c>
      <c r="X1869" s="38" t="b">
        <f t="shared" si="2"/>
        <v>0</v>
      </c>
      <c r="Y1869" s="38"/>
      <c r="Z1869" s="40"/>
      <c r="AA1869" s="40"/>
      <c r="AB1869" s="38"/>
      <c r="AC1869" s="38"/>
      <c r="AD1869" s="38"/>
      <c r="AE1869" s="38"/>
      <c r="AF1869" s="38"/>
      <c r="AG1869" s="38"/>
      <c r="AH1869" s="38"/>
      <c r="AI1869" s="38"/>
      <c r="AJ1869" s="38"/>
      <c r="AK1869" s="38"/>
      <c r="AL1869" s="38"/>
      <c r="AM1869" s="38"/>
      <c r="AN1869" s="38"/>
      <c r="AO1869" s="38"/>
      <c r="AP1869" s="38"/>
      <c r="AQ1869" s="38"/>
      <c r="AR1869" s="38"/>
      <c r="AS1869" s="38"/>
      <c r="AT1869" s="38"/>
      <c r="AU1869" s="38"/>
      <c r="AV1869" s="38"/>
      <c r="AW1869" s="38"/>
      <c r="AX1869" s="38"/>
      <c r="AY1869" s="38"/>
      <c r="AZ1869" s="38"/>
      <c r="BA1869" s="38"/>
      <c r="BB1869" s="38"/>
      <c r="BC1869" s="38"/>
      <c r="BD1869" s="38"/>
      <c r="BE1869" s="38"/>
      <c r="BF1869" s="38"/>
      <c r="BG1869" s="38"/>
    </row>
    <row r="1870">
      <c r="A1870" s="16"/>
      <c r="B1870" s="16"/>
      <c r="C1870" s="146"/>
      <c r="D1870" s="146"/>
      <c r="E1870" s="16"/>
      <c r="F1870" s="91"/>
      <c r="G1870" s="16"/>
      <c r="H1870" s="320" t="str">
        <f t="shared" si="1"/>
        <v/>
      </c>
      <c r="I1870" s="16"/>
      <c r="J1870" s="16"/>
      <c r="K1870" s="16"/>
      <c r="L1870" s="38"/>
      <c r="M1870" s="16"/>
      <c r="N1870" s="16"/>
      <c r="O1870" s="16"/>
      <c r="P1870" s="15"/>
      <c r="Q1870" s="15"/>
      <c r="R1870" s="16"/>
      <c r="S1870" s="16"/>
      <c r="T1870" s="16"/>
      <c r="U1870" s="16"/>
      <c r="V1870" s="37" t="str">
        <f>IFERROR(__xludf.DUMMYFUNCTION("if(not(iserror(index(split(C1870, "" ""),2))), index(split(C1870, "" ""),1),"""")"),"")</f>
        <v/>
      </c>
      <c r="W1870" s="315" t="str">
        <f>IFERROR(__xludf.DUMMYFUNCTION("if(V1870="""",C1870,if(not(iserror(index(split(C1870, "" ""),3))), index(split(C1870, "" ""),3),index(split(C1870, "" ""),2)))"),"")</f>
        <v/>
      </c>
      <c r="X1870" s="38" t="b">
        <f t="shared" si="2"/>
        <v>0</v>
      </c>
      <c r="Y1870" s="38"/>
      <c r="Z1870" s="40"/>
      <c r="AA1870" s="40"/>
      <c r="AB1870" s="38"/>
      <c r="AC1870" s="38"/>
      <c r="AD1870" s="38"/>
      <c r="AE1870" s="38"/>
      <c r="AF1870" s="38"/>
      <c r="AG1870" s="38"/>
      <c r="AH1870" s="38"/>
      <c r="AI1870" s="38"/>
      <c r="AJ1870" s="38"/>
      <c r="AK1870" s="38"/>
      <c r="AL1870" s="38"/>
      <c r="AM1870" s="38"/>
      <c r="AN1870" s="38"/>
      <c r="AO1870" s="38"/>
      <c r="AP1870" s="38"/>
      <c r="AQ1870" s="38"/>
      <c r="AR1870" s="38"/>
      <c r="AS1870" s="38"/>
      <c r="AT1870" s="38"/>
      <c r="AU1870" s="38"/>
      <c r="AV1870" s="38"/>
      <c r="AW1870" s="38"/>
      <c r="AX1870" s="38"/>
      <c r="AY1870" s="38"/>
      <c r="AZ1870" s="38"/>
      <c r="BA1870" s="38"/>
      <c r="BB1870" s="38"/>
      <c r="BC1870" s="38"/>
      <c r="BD1870" s="38"/>
      <c r="BE1870" s="38"/>
      <c r="BF1870" s="38"/>
      <c r="BG1870" s="38"/>
    </row>
    <row r="1871">
      <c r="A1871" s="16"/>
      <c r="B1871" s="16"/>
      <c r="C1871" s="146"/>
      <c r="D1871" s="146"/>
      <c r="E1871" s="16"/>
      <c r="F1871" s="91"/>
      <c r="G1871" s="16"/>
      <c r="H1871" s="320" t="str">
        <f t="shared" si="1"/>
        <v/>
      </c>
      <c r="I1871" s="16"/>
      <c r="J1871" s="16"/>
      <c r="K1871" s="16"/>
      <c r="L1871" s="38"/>
      <c r="M1871" s="16"/>
      <c r="N1871" s="16"/>
      <c r="O1871" s="16"/>
      <c r="P1871" s="15"/>
      <c r="Q1871" s="15"/>
      <c r="R1871" s="16"/>
      <c r="S1871" s="16"/>
      <c r="T1871" s="16"/>
      <c r="U1871" s="16"/>
      <c r="V1871" s="37" t="str">
        <f>IFERROR(__xludf.DUMMYFUNCTION("if(not(iserror(index(split(C1871, "" ""),2))), index(split(C1871, "" ""),1),"""")"),"")</f>
        <v/>
      </c>
      <c r="W1871" s="315" t="str">
        <f>IFERROR(__xludf.DUMMYFUNCTION("if(V1871="""",C1871,if(not(iserror(index(split(C1871, "" ""),3))), index(split(C1871, "" ""),3),index(split(C1871, "" ""),2)))"),"")</f>
        <v/>
      </c>
      <c r="X1871" s="38" t="b">
        <f t="shared" si="2"/>
        <v>0</v>
      </c>
      <c r="Y1871" s="38"/>
      <c r="Z1871" s="40"/>
      <c r="AA1871" s="40"/>
      <c r="AB1871" s="38"/>
      <c r="AC1871" s="38"/>
      <c r="AD1871" s="38"/>
      <c r="AE1871" s="38"/>
      <c r="AF1871" s="38"/>
      <c r="AG1871" s="38"/>
      <c r="AH1871" s="38"/>
      <c r="AI1871" s="38"/>
      <c r="AJ1871" s="38"/>
      <c r="AK1871" s="38"/>
      <c r="AL1871" s="38"/>
      <c r="AM1871" s="38"/>
      <c r="AN1871" s="38"/>
      <c r="AO1871" s="38"/>
      <c r="AP1871" s="38"/>
      <c r="AQ1871" s="38"/>
      <c r="AR1871" s="38"/>
      <c r="AS1871" s="38"/>
      <c r="AT1871" s="38"/>
      <c r="AU1871" s="38"/>
      <c r="AV1871" s="38"/>
      <c r="AW1871" s="38"/>
      <c r="AX1871" s="38"/>
      <c r="AY1871" s="38"/>
      <c r="AZ1871" s="38"/>
      <c r="BA1871" s="38"/>
      <c r="BB1871" s="38"/>
      <c r="BC1871" s="38"/>
      <c r="BD1871" s="38"/>
      <c r="BE1871" s="38"/>
      <c r="BF1871" s="38"/>
      <c r="BG1871" s="38"/>
    </row>
    <row r="1872">
      <c r="A1872" s="16"/>
      <c r="B1872" s="16"/>
      <c r="C1872" s="146"/>
      <c r="D1872" s="146"/>
      <c r="E1872" s="16"/>
      <c r="F1872" s="91"/>
      <c r="G1872" s="16"/>
      <c r="H1872" s="320" t="str">
        <f t="shared" si="1"/>
        <v/>
      </c>
      <c r="I1872" s="16"/>
      <c r="J1872" s="16"/>
      <c r="K1872" s="16"/>
      <c r="L1872" s="38"/>
      <c r="M1872" s="16"/>
      <c r="N1872" s="16"/>
      <c r="O1872" s="16"/>
      <c r="P1872" s="15"/>
      <c r="Q1872" s="15"/>
      <c r="R1872" s="16"/>
      <c r="S1872" s="16"/>
      <c r="T1872" s="16"/>
      <c r="U1872" s="16"/>
      <c r="V1872" s="37" t="str">
        <f>IFERROR(__xludf.DUMMYFUNCTION("if(not(iserror(index(split(C1872, "" ""),2))), index(split(C1872, "" ""),1),"""")"),"")</f>
        <v/>
      </c>
      <c r="W1872" s="315" t="str">
        <f>IFERROR(__xludf.DUMMYFUNCTION("if(V1872="""",C1872,if(not(iserror(index(split(C1872, "" ""),3))), index(split(C1872, "" ""),3),index(split(C1872, "" ""),2)))"),"")</f>
        <v/>
      </c>
      <c r="X1872" s="38" t="b">
        <f t="shared" si="2"/>
        <v>0</v>
      </c>
      <c r="Y1872" s="38"/>
      <c r="Z1872" s="40"/>
      <c r="AA1872" s="40"/>
      <c r="AB1872" s="38"/>
      <c r="AC1872" s="38"/>
      <c r="AD1872" s="38"/>
      <c r="AE1872" s="38"/>
      <c r="AF1872" s="38"/>
      <c r="AG1872" s="38"/>
      <c r="AH1872" s="38"/>
      <c r="AI1872" s="38"/>
      <c r="AJ1872" s="38"/>
      <c r="AK1872" s="38"/>
      <c r="AL1872" s="38"/>
      <c r="AM1872" s="38"/>
      <c r="AN1872" s="38"/>
      <c r="AO1872" s="38"/>
      <c r="AP1872" s="38"/>
      <c r="AQ1872" s="38"/>
      <c r="AR1872" s="38"/>
      <c r="AS1872" s="38"/>
      <c r="AT1872" s="38"/>
      <c r="AU1872" s="38"/>
      <c r="AV1872" s="38"/>
      <c r="AW1872" s="38"/>
      <c r="AX1872" s="38"/>
      <c r="AY1872" s="38"/>
      <c r="AZ1872" s="38"/>
      <c r="BA1872" s="38"/>
      <c r="BB1872" s="38"/>
      <c r="BC1872" s="38"/>
      <c r="BD1872" s="38"/>
      <c r="BE1872" s="38"/>
      <c r="BF1872" s="38"/>
      <c r="BG1872" s="38"/>
    </row>
    <row r="1873">
      <c r="A1873" s="16"/>
      <c r="B1873" s="16"/>
      <c r="C1873" s="146"/>
      <c r="D1873" s="146"/>
      <c r="E1873" s="16"/>
      <c r="F1873" s="91"/>
      <c r="G1873" s="16"/>
      <c r="H1873" s="320" t="str">
        <f t="shared" si="1"/>
        <v/>
      </c>
      <c r="I1873" s="16"/>
      <c r="J1873" s="16"/>
      <c r="K1873" s="16"/>
      <c r="L1873" s="38"/>
      <c r="M1873" s="16"/>
      <c r="N1873" s="16"/>
      <c r="O1873" s="16"/>
      <c r="P1873" s="15"/>
      <c r="Q1873" s="15"/>
      <c r="R1873" s="16"/>
      <c r="S1873" s="16"/>
      <c r="T1873" s="16"/>
      <c r="U1873" s="16"/>
      <c r="V1873" s="37" t="str">
        <f>IFERROR(__xludf.DUMMYFUNCTION("if(not(iserror(index(split(C1873, "" ""),2))), index(split(C1873, "" ""),1),"""")"),"")</f>
        <v/>
      </c>
      <c r="W1873" s="315" t="str">
        <f>IFERROR(__xludf.DUMMYFUNCTION("if(V1873="""",C1873,if(not(iserror(index(split(C1873, "" ""),3))), index(split(C1873, "" ""),3),index(split(C1873, "" ""),2)))"),"")</f>
        <v/>
      </c>
      <c r="X1873" s="38" t="b">
        <f t="shared" si="2"/>
        <v>0</v>
      </c>
      <c r="Y1873" s="38"/>
      <c r="Z1873" s="40"/>
      <c r="AA1873" s="40"/>
      <c r="AB1873" s="38"/>
      <c r="AC1873" s="38"/>
      <c r="AD1873" s="38"/>
      <c r="AE1873" s="38"/>
      <c r="AF1873" s="38"/>
      <c r="AG1873" s="38"/>
      <c r="AH1873" s="38"/>
      <c r="AI1873" s="38"/>
      <c r="AJ1873" s="38"/>
      <c r="AK1873" s="38"/>
      <c r="AL1873" s="38"/>
      <c r="AM1873" s="38"/>
      <c r="AN1873" s="38"/>
      <c r="AO1873" s="38"/>
      <c r="AP1873" s="38"/>
      <c r="AQ1873" s="38"/>
      <c r="AR1873" s="38"/>
      <c r="AS1873" s="38"/>
      <c r="AT1873" s="38"/>
      <c r="AU1873" s="38"/>
      <c r="AV1873" s="38"/>
      <c r="AW1873" s="38"/>
      <c r="AX1873" s="38"/>
      <c r="AY1873" s="38"/>
      <c r="AZ1873" s="38"/>
      <c r="BA1873" s="38"/>
      <c r="BB1873" s="38"/>
      <c r="BC1873" s="38"/>
      <c r="BD1873" s="38"/>
      <c r="BE1873" s="38"/>
      <c r="BF1873" s="38"/>
      <c r="BG1873" s="38"/>
    </row>
    <row r="1874">
      <c r="A1874" s="16"/>
      <c r="B1874" s="16"/>
      <c r="C1874" s="146"/>
      <c r="D1874" s="146"/>
      <c r="E1874" s="16"/>
      <c r="F1874" s="91"/>
      <c r="G1874" s="16"/>
      <c r="H1874" s="320" t="str">
        <f t="shared" si="1"/>
        <v/>
      </c>
      <c r="I1874" s="16"/>
      <c r="J1874" s="16"/>
      <c r="K1874" s="16"/>
      <c r="L1874" s="38"/>
      <c r="M1874" s="16"/>
      <c r="N1874" s="16"/>
      <c r="O1874" s="16"/>
      <c r="P1874" s="15"/>
      <c r="Q1874" s="15"/>
      <c r="R1874" s="16"/>
      <c r="S1874" s="16"/>
      <c r="T1874" s="16"/>
      <c r="U1874" s="16"/>
      <c r="V1874" s="37" t="str">
        <f>IFERROR(__xludf.DUMMYFUNCTION("if(not(iserror(index(split(C1874, "" ""),2))), index(split(C1874, "" ""),1),"""")"),"")</f>
        <v/>
      </c>
      <c r="W1874" s="315" t="str">
        <f>IFERROR(__xludf.DUMMYFUNCTION("if(V1874="""",C1874,if(not(iserror(index(split(C1874, "" ""),3))), index(split(C1874, "" ""),3),index(split(C1874, "" ""),2)))"),"")</f>
        <v/>
      </c>
      <c r="X1874" s="38" t="b">
        <f t="shared" si="2"/>
        <v>0</v>
      </c>
      <c r="Y1874" s="38"/>
      <c r="Z1874" s="40"/>
      <c r="AA1874" s="40"/>
      <c r="AB1874" s="38"/>
      <c r="AC1874" s="38"/>
      <c r="AD1874" s="38"/>
      <c r="AE1874" s="38"/>
      <c r="AF1874" s="38"/>
      <c r="AG1874" s="38"/>
      <c r="AH1874" s="38"/>
      <c r="AI1874" s="38"/>
      <c r="AJ1874" s="38"/>
      <c r="AK1874" s="38"/>
      <c r="AL1874" s="38"/>
      <c r="AM1874" s="38"/>
      <c r="AN1874" s="38"/>
      <c r="AO1874" s="38"/>
      <c r="AP1874" s="38"/>
      <c r="AQ1874" s="38"/>
      <c r="AR1874" s="38"/>
      <c r="AS1874" s="38"/>
      <c r="AT1874" s="38"/>
      <c r="AU1874" s="38"/>
      <c r="AV1874" s="38"/>
      <c r="AW1874" s="38"/>
      <c r="AX1874" s="38"/>
      <c r="AY1874" s="38"/>
      <c r="AZ1874" s="38"/>
      <c r="BA1874" s="38"/>
      <c r="BB1874" s="38"/>
      <c r="BC1874" s="38"/>
      <c r="BD1874" s="38"/>
      <c r="BE1874" s="38"/>
      <c r="BF1874" s="38"/>
      <c r="BG1874" s="38"/>
    </row>
    <row r="1875">
      <c r="A1875" s="16"/>
      <c r="B1875" s="16"/>
      <c r="C1875" s="146"/>
      <c r="D1875" s="146"/>
      <c r="E1875" s="16"/>
      <c r="F1875" s="91"/>
      <c r="G1875" s="16"/>
      <c r="H1875" s="320" t="str">
        <f t="shared" si="1"/>
        <v/>
      </c>
      <c r="I1875" s="16"/>
      <c r="J1875" s="16"/>
      <c r="K1875" s="16"/>
      <c r="L1875" s="38"/>
      <c r="M1875" s="16"/>
      <c r="N1875" s="16"/>
      <c r="O1875" s="16"/>
      <c r="P1875" s="15"/>
      <c r="Q1875" s="15"/>
      <c r="R1875" s="16"/>
      <c r="S1875" s="16"/>
      <c r="T1875" s="16"/>
      <c r="U1875" s="16"/>
      <c r="V1875" s="37" t="str">
        <f>IFERROR(__xludf.DUMMYFUNCTION("if(not(iserror(index(split(C1875, "" ""),2))), index(split(C1875, "" ""),1),"""")"),"")</f>
        <v/>
      </c>
      <c r="W1875" s="315" t="str">
        <f>IFERROR(__xludf.DUMMYFUNCTION("if(V1875="""",C1875,if(not(iserror(index(split(C1875, "" ""),3))), index(split(C1875, "" ""),3),index(split(C1875, "" ""),2)))"),"")</f>
        <v/>
      </c>
      <c r="X1875" s="38" t="b">
        <f t="shared" si="2"/>
        <v>0</v>
      </c>
      <c r="Y1875" s="38"/>
      <c r="Z1875" s="40"/>
      <c r="AA1875" s="40"/>
      <c r="AB1875" s="38"/>
      <c r="AC1875" s="38"/>
      <c r="AD1875" s="38"/>
      <c r="AE1875" s="38"/>
      <c r="AF1875" s="38"/>
      <c r="AG1875" s="38"/>
      <c r="AH1875" s="38"/>
      <c r="AI1875" s="38"/>
      <c r="AJ1875" s="38"/>
      <c r="AK1875" s="38"/>
      <c r="AL1875" s="38"/>
      <c r="AM1875" s="38"/>
      <c r="AN1875" s="38"/>
      <c r="AO1875" s="38"/>
      <c r="AP1875" s="38"/>
      <c r="AQ1875" s="38"/>
      <c r="AR1875" s="38"/>
      <c r="AS1875" s="38"/>
      <c r="AT1875" s="38"/>
      <c r="AU1875" s="38"/>
      <c r="AV1875" s="38"/>
      <c r="AW1875" s="38"/>
      <c r="AX1875" s="38"/>
      <c r="AY1875" s="38"/>
      <c r="AZ1875" s="38"/>
      <c r="BA1875" s="38"/>
      <c r="BB1875" s="38"/>
      <c r="BC1875" s="38"/>
      <c r="BD1875" s="38"/>
      <c r="BE1875" s="38"/>
      <c r="BF1875" s="38"/>
      <c r="BG1875" s="38"/>
    </row>
    <row r="1876">
      <c r="A1876" s="16"/>
      <c r="B1876" s="16"/>
      <c r="C1876" s="146"/>
      <c r="D1876" s="146"/>
      <c r="E1876" s="16"/>
      <c r="F1876" s="91"/>
      <c r="G1876" s="16"/>
      <c r="H1876" s="320" t="str">
        <f t="shared" si="1"/>
        <v/>
      </c>
      <c r="I1876" s="16"/>
      <c r="J1876" s="16"/>
      <c r="K1876" s="16"/>
      <c r="L1876" s="38"/>
      <c r="M1876" s="16"/>
      <c r="N1876" s="16"/>
      <c r="O1876" s="16"/>
      <c r="P1876" s="15"/>
      <c r="Q1876" s="15"/>
      <c r="R1876" s="16"/>
      <c r="S1876" s="16"/>
      <c r="T1876" s="16"/>
      <c r="U1876" s="16"/>
      <c r="V1876" s="37" t="str">
        <f>IFERROR(__xludf.DUMMYFUNCTION("if(not(iserror(index(split(C1876, "" ""),2))), index(split(C1876, "" ""),1),"""")"),"")</f>
        <v/>
      </c>
      <c r="W1876" s="315" t="str">
        <f>IFERROR(__xludf.DUMMYFUNCTION("if(V1876="""",C1876,if(not(iserror(index(split(C1876, "" ""),3))), index(split(C1876, "" ""),3),index(split(C1876, "" ""),2)))"),"")</f>
        <v/>
      </c>
      <c r="X1876" s="38" t="b">
        <f t="shared" si="2"/>
        <v>0</v>
      </c>
      <c r="Y1876" s="38"/>
      <c r="Z1876" s="40"/>
      <c r="AA1876" s="40"/>
      <c r="AB1876" s="38"/>
      <c r="AC1876" s="38"/>
      <c r="AD1876" s="38"/>
      <c r="AE1876" s="38"/>
      <c r="AF1876" s="38"/>
      <c r="AG1876" s="38"/>
      <c r="AH1876" s="38"/>
      <c r="AI1876" s="38"/>
      <c r="AJ1876" s="38"/>
      <c r="AK1876" s="38"/>
      <c r="AL1876" s="38"/>
      <c r="AM1876" s="38"/>
      <c r="AN1876" s="38"/>
      <c r="AO1876" s="38"/>
      <c r="AP1876" s="38"/>
      <c r="AQ1876" s="38"/>
      <c r="AR1876" s="38"/>
      <c r="AS1876" s="38"/>
      <c r="AT1876" s="38"/>
      <c r="AU1876" s="38"/>
      <c r="AV1876" s="38"/>
      <c r="AW1876" s="38"/>
      <c r="AX1876" s="38"/>
      <c r="AY1876" s="38"/>
      <c r="AZ1876" s="38"/>
      <c r="BA1876" s="38"/>
      <c r="BB1876" s="38"/>
      <c r="BC1876" s="38"/>
      <c r="BD1876" s="38"/>
      <c r="BE1876" s="38"/>
      <c r="BF1876" s="38"/>
      <c r="BG1876" s="38"/>
    </row>
    <row r="1877">
      <c r="A1877" s="16"/>
      <c r="B1877" s="16"/>
      <c r="C1877" s="146"/>
      <c r="D1877" s="146"/>
      <c r="E1877" s="16"/>
      <c r="F1877" s="91"/>
      <c r="G1877" s="16"/>
      <c r="H1877" s="320" t="str">
        <f t="shared" si="1"/>
        <v/>
      </c>
      <c r="I1877" s="16"/>
      <c r="J1877" s="16"/>
      <c r="K1877" s="16"/>
      <c r="L1877" s="38"/>
      <c r="M1877" s="16"/>
      <c r="N1877" s="16"/>
      <c r="O1877" s="16"/>
      <c r="P1877" s="15"/>
      <c r="Q1877" s="15"/>
      <c r="R1877" s="16"/>
      <c r="S1877" s="16"/>
      <c r="T1877" s="16"/>
      <c r="U1877" s="16"/>
      <c r="V1877" s="37" t="str">
        <f>IFERROR(__xludf.DUMMYFUNCTION("if(not(iserror(index(split(C1877, "" ""),2))), index(split(C1877, "" ""),1),"""")"),"")</f>
        <v/>
      </c>
      <c r="W1877" s="315" t="str">
        <f>IFERROR(__xludf.DUMMYFUNCTION("if(V1877="""",C1877,if(not(iserror(index(split(C1877, "" ""),3))), index(split(C1877, "" ""),3),index(split(C1877, "" ""),2)))"),"")</f>
        <v/>
      </c>
      <c r="X1877" s="38" t="b">
        <f t="shared" si="2"/>
        <v>0</v>
      </c>
      <c r="Y1877" s="38"/>
      <c r="Z1877" s="40"/>
      <c r="AA1877" s="40"/>
      <c r="AB1877" s="38"/>
      <c r="AC1877" s="38"/>
      <c r="AD1877" s="38"/>
      <c r="AE1877" s="38"/>
      <c r="AF1877" s="38"/>
      <c r="AG1877" s="38"/>
      <c r="AH1877" s="38"/>
      <c r="AI1877" s="38"/>
      <c r="AJ1877" s="38"/>
      <c r="AK1877" s="38"/>
      <c r="AL1877" s="38"/>
      <c r="AM1877" s="38"/>
      <c r="AN1877" s="38"/>
      <c r="AO1877" s="38"/>
      <c r="AP1877" s="38"/>
      <c r="AQ1877" s="38"/>
      <c r="AR1877" s="38"/>
      <c r="AS1877" s="38"/>
      <c r="AT1877" s="38"/>
      <c r="AU1877" s="38"/>
      <c r="AV1877" s="38"/>
      <c r="AW1877" s="38"/>
      <c r="AX1877" s="38"/>
      <c r="AY1877" s="38"/>
      <c r="AZ1877" s="38"/>
      <c r="BA1877" s="38"/>
      <c r="BB1877" s="38"/>
      <c r="BC1877" s="38"/>
      <c r="BD1877" s="38"/>
      <c r="BE1877" s="38"/>
      <c r="BF1877" s="38"/>
      <c r="BG1877" s="38"/>
    </row>
    <row r="1878">
      <c r="A1878" s="16"/>
      <c r="B1878" s="16"/>
      <c r="C1878" s="146"/>
      <c r="D1878" s="146"/>
      <c r="E1878" s="16"/>
      <c r="F1878" s="91"/>
      <c r="G1878" s="16"/>
      <c r="H1878" s="320" t="str">
        <f t="shared" si="1"/>
        <v/>
      </c>
      <c r="I1878" s="16"/>
      <c r="J1878" s="16"/>
      <c r="K1878" s="16"/>
      <c r="L1878" s="38"/>
      <c r="M1878" s="16"/>
      <c r="N1878" s="16"/>
      <c r="O1878" s="16"/>
      <c r="P1878" s="15"/>
      <c r="Q1878" s="15"/>
      <c r="R1878" s="16"/>
      <c r="S1878" s="16"/>
      <c r="T1878" s="16"/>
      <c r="U1878" s="16"/>
      <c r="V1878" s="37" t="str">
        <f>IFERROR(__xludf.DUMMYFUNCTION("if(not(iserror(index(split(C1878, "" ""),2))), index(split(C1878, "" ""),1),"""")"),"")</f>
        <v/>
      </c>
      <c r="W1878" s="315" t="str">
        <f>IFERROR(__xludf.DUMMYFUNCTION("if(V1878="""",C1878,if(not(iserror(index(split(C1878, "" ""),3))), index(split(C1878, "" ""),3),index(split(C1878, "" ""),2)))"),"")</f>
        <v/>
      </c>
      <c r="X1878" s="38" t="b">
        <f t="shared" si="2"/>
        <v>0</v>
      </c>
      <c r="Y1878" s="38"/>
      <c r="Z1878" s="40"/>
      <c r="AA1878" s="40"/>
      <c r="AB1878" s="38"/>
      <c r="AC1878" s="38"/>
      <c r="AD1878" s="38"/>
      <c r="AE1878" s="38"/>
      <c r="AF1878" s="38"/>
      <c r="AG1878" s="38"/>
      <c r="AH1878" s="38"/>
      <c r="AI1878" s="38"/>
      <c r="AJ1878" s="38"/>
      <c r="AK1878" s="38"/>
      <c r="AL1878" s="38"/>
      <c r="AM1878" s="38"/>
      <c r="AN1878" s="38"/>
      <c r="AO1878" s="38"/>
      <c r="AP1878" s="38"/>
      <c r="AQ1878" s="38"/>
      <c r="AR1878" s="38"/>
      <c r="AS1878" s="38"/>
      <c r="AT1878" s="38"/>
      <c r="AU1878" s="38"/>
      <c r="AV1878" s="38"/>
      <c r="AW1878" s="38"/>
      <c r="AX1878" s="38"/>
      <c r="AY1878" s="38"/>
      <c r="AZ1878" s="38"/>
      <c r="BA1878" s="38"/>
      <c r="BB1878" s="38"/>
      <c r="BC1878" s="38"/>
      <c r="BD1878" s="38"/>
      <c r="BE1878" s="38"/>
      <c r="BF1878" s="38"/>
      <c r="BG1878" s="38"/>
    </row>
    <row r="1879">
      <c r="A1879" s="16"/>
      <c r="B1879" s="16"/>
      <c r="C1879" s="146"/>
      <c r="D1879" s="146"/>
      <c r="E1879" s="16"/>
      <c r="F1879" s="91"/>
      <c r="G1879" s="16"/>
      <c r="H1879" s="320" t="str">
        <f t="shared" si="1"/>
        <v/>
      </c>
      <c r="I1879" s="16"/>
      <c r="J1879" s="16"/>
      <c r="K1879" s="16"/>
      <c r="L1879" s="38"/>
      <c r="M1879" s="16"/>
      <c r="N1879" s="16"/>
      <c r="O1879" s="16"/>
      <c r="P1879" s="15"/>
      <c r="Q1879" s="15"/>
      <c r="R1879" s="16"/>
      <c r="S1879" s="16"/>
      <c r="T1879" s="16"/>
      <c r="U1879" s="16"/>
      <c r="V1879" s="37" t="str">
        <f>IFERROR(__xludf.DUMMYFUNCTION("if(not(iserror(index(split(C1879, "" ""),2))), index(split(C1879, "" ""),1),"""")"),"")</f>
        <v/>
      </c>
      <c r="W1879" s="315" t="str">
        <f>IFERROR(__xludf.DUMMYFUNCTION("if(V1879="""",C1879,if(not(iserror(index(split(C1879, "" ""),3))), index(split(C1879, "" ""),3),index(split(C1879, "" ""),2)))"),"")</f>
        <v/>
      </c>
      <c r="X1879" s="38" t="b">
        <f t="shared" si="2"/>
        <v>0</v>
      </c>
      <c r="Y1879" s="38"/>
      <c r="Z1879" s="40"/>
      <c r="AA1879" s="40"/>
      <c r="AB1879" s="38"/>
      <c r="AC1879" s="38"/>
      <c r="AD1879" s="38"/>
      <c r="AE1879" s="38"/>
      <c r="AF1879" s="38"/>
      <c r="AG1879" s="38"/>
      <c r="AH1879" s="38"/>
      <c r="AI1879" s="38"/>
      <c r="AJ1879" s="38"/>
      <c r="AK1879" s="38"/>
      <c r="AL1879" s="38"/>
      <c r="AM1879" s="38"/>
      <c r="AN1879" s="38"/>
      <c r="AO1879" s="38"/>
      <c r="AP1879" s="38"/>
      <c r="AQ1879" s="38"/>
      <c r="AR1879" s="38"/>
      <c r="AS1879" s="38"/>
      <c r="AT1879" s="38"/>
      <c r="AU1879" s="38"/>
      <c r="AV1879" s="38"/>
      <c r="AW1879" s="38"/>
      <c r="AX1879" s="38"/>
      <c r="AY1879" s="38"/>
      <c r="AZ1879" s="38"/>
      <c r="BA1879" s="38"/>
      <c r="BB1879" s="38"/>
      <c r="BC1879" s="38"/>
      <c r="BD1879" s="38"/>
      <c r="BE1879" s="38"/>
      <c r="BF1879" s="38"/>
      <c r="BG1879" s="38"/>
    </row>
    <row r="1880">
      <c r="A1880" s="16"/>
      <c r="B1880" s="16"/>
      <c r="C1880" s="146"/>
      <c r="D1880" s="146"/>
      <c r="E1880" s="16"/>
      <c r="F1880" s="91"/>
      <c r="G1880" s="16"/>
      <c r="H1880" s="320" t="str">
        <f t="shared" si="1"/>
        <v/>
      </c>
      <c r="I1880" s="16"/>
      <c r="J1880" s="16"/>
      <c r="K1880" s="16"/>
      <c r="L1880" s="38"/>
      <c r="M1880" s="16"/>
      <c r="N1880" s="16"/>
      <c r="O1880" s="16"/>
      <c r="P1880" s="15"/>
      <c r="Q1880" s="15"/>
      <c r="R1880" s="16"/>
      <c r="S1880" s="16"/>
      <c r="T1880" s="16"/>
      <c r="U1880" s="16"/>
      <c r="V1880" s="37" t="str">
        <f>IFERROR(__xludf.DUMMYFUNCTION("if(not(iserror(index(split(C1880, "" ""),2))), index(split(C1880, "" ""),1),"""")"),"")</f>
        <v/>
      </c>
      <c r="W1880" s="315" t="str">
        <f>IFERROR(__xludf.DUMMYFUNCTION("if(V1880="""",C1880,if(not(iserror(index(split(C1880, "" ""),3))), index(split(C1880, "" ""),3),index(split(C1880, "" ""),2)))"),"")</f>
        <v/>
      </c>
      <c r="X1880" s="38" t="b">
        <f t="shared" si="2"/>
        <v>0</v>
      </c>
      <c r="Y1880" s="38"/>
      <c r="Z1880" s="40"/>
      <c r="AA1880" s="40"/>
      <c r="AB1880" s="38"/>
      <c r="AC1880" s="38"/>
      <c r="AD1880" s="38"/>
      <c r="AE1880" s="38"/>
      <c r="AF1880" s="38"/>
      <c r="AG1880" s="38"/>
      <c r="AH1880" s="38"/>
      <c r="AI1880" s="38"/>
      <c r="AJ1880" s="38"/>
      <c r="AK1880" s="38"/>
      <c r="AL1880" s="38"/>
      <c r="AM1880" s="38"/>
      <c r="AN1880" s="38"/>
      <c r="AO1880" s="38"/>
      <c r="AP1880" s="38"/>
      <c r="AQ1880" s="38"/>
      <c r="AR1880" s="38"/>
      <c r="AS1880" s="38"/>
      <c r="AT1880" s="38"/>
      <c r="AU1880" s="38"/>
      <c r="AV1880" s="38"/>
      <c r="AW1880" s="38"/>
      <c r="AX1880" s="38"/>
      <c r="AY1880" s="38"/>
      <c r="AZ1880" s="38"/>
      <c r="BA1880" s="38"/>
      <c r="BB1880" s="38"/>
      <c r="BC1880" s="38"/>
      <c r="BD1880" s="38"/>
      <c r="BE1880" s="38"/>
      <c r="BF1880" s="38"/>
      <c r="BG1880" s="38"/>
    </row>
    <row r="1881">
      <c r="A1881" s="16"/>
      <c r="B1881" s="16"/>
      <c r="C1881" s="146"/>
      <c r="D1881" s="146"/>
      <c r="E1881" s="16"/>
      <c r="F1881" s="91"/>
      <c r="G1881" s="16"/>
      <c r="H1881" s="320" t="str">
        <f t="shared" si="1"/>
        <v/>
      </c>
      <c r="I1881" s="16"/>
      <c r="J1881" s="16"/>
      <c r="K1881" s="16"/>
      <c r="L1881" s="38"/>
      <c r="M1881" s="16"/>
      <c r="N1881" s="16"/>
      <c r="O1881" s="16"/>
      <c r="P1881" s="15"/>
      <c r="Q1881" s="15"/>
      <c r="R1881" s="16"/>
      <c r="S1881" s="16"/>
      <c r="T1881" s="16"/>
      <c r="U1881" s="16"/>
      <c r="V1881" s="37" t="str">
        <f>IFERROR(__xludf.DUMMYFUNCTION("if(not(iserror(index(split(C1881, "" ""),2))), index(split(C1881, "" ""),1),"""")"),"")</f>
        <v/>
      </c>
      <c r="W1881" s="315" t="str">
        <f>IFERROR(__xludf.DUMMYFUNCTION("if(V1881="""",C1881,if(not(iserror(index(split(C1881, "" ""),3))), index(split(C1881, "" ""),3),index(split(C1881, "" ""),2)))"),"")</f>
        <v/>
      </c>
      <c r="X1881" s="38" t="b">
        <f t="shared" si="2"/>
        <v>0</v>
      </c>
      <c r="Y1881" s="38"/>
      <c r="Z1881" s="40"/>
      <c r="AA1881" s="40"/>
      <c r="AB1881" s="38"/>
      <c r="AC1881" s="38"/>
      <c r="AD1881" s="38"/>
      <c r="AE1881" s="38"/>
      <c r="AF1881" s="38"/>
      <c r="AG1881" s="38"/>
      <c r="AH1881" s="38"/>
      <c r="AI1881" s="38"/>
      <c r="AJ1881" s="38"/>
      <c r="AK1881" s="38"/>
      <c r="AL1881" s="38"/>
      <c r="AM1881" s="38"/>
      <c r="AN1881" s="38"/>
      <c r="AO1881" s="38"/>
      <c r="AP1881" s="38"/>
      <c r="AQ1881" s="38"/>
      <c r="AR1881" s="38"/>
      <c r="AS1881" s="38"/>
      <c r="AT1881" s="38"/>
      <c r="AU1881" s="38"/>
      <c r="AV1881" s="38"/>
      <c r="AW1881" s="38"/>
      <c r="AX1881" s="38"/>
      <c r="AY1881" s="38"/>
      <c r="AZ1881" s="38"/>
      <c r="BA1881" s="38"/>
      <c r="BB1881" s="38"/>
      <c r="BC1881" s="38"/>
      <c r="BD1881" s="38"/>
      <c r="BE1881" s="38"/>
      <c r="BF1881" s="38"/>
      <c r="BG1881" s="38"/>
    </row>
    <row r="1882">
      <c r="A1882" s="16"/>
      <c r="B1882" s="16"/>
      <c r="C1882" s="146"/>
      <c r="D1882" s="146"/>
      <c r="E1882" s="16"/>
      <c r="F1882" s="91"/>
      <c r="G1882" s="16"/>
      <c r="H1882" s="320" t="str">
        <f t="shared" si="1"/>
        <v/>
      </c>
      <c r="I1882" s="16"/>
      <c r="J1882" s="16"/>
      <c r="K1882" s="16"/>
      <c r="L1882" s="38"/>
      <c r="M1882" s="16"/>
      <c r="N1882" s="16"/>
      <c r="O1882" s="16"/>
      <c r="P1882" s="15"/>
      <c r="Q1882" s="15"/>
      <c r="R1882" s="16"/>
      <c r="S1882" s="16"/>
      <c r="T1882" s="16"/>
      <c r="U1882" s="16"/>
      <c r="V1882" s="37" t="str">
        <f>IFERROR(__xludf.DUMMYFUNCTION("if(not(iserror(index(split(C1882, "" ""),2))), index(split(C1882, "" ""),1),"""")"),"")</f>
        <v/>
      </c>
      <c r="W1882" s="315" t="str">
        <f>IFERROR(__xludf.DUMMYFUNCTION("if(V1882="""",C1882,if(not(iserror(index(split(C1882, "" ""),3))), index(split(C1882, "" ""),3),index(split(C1882, "" ""),2)))"),"")</f>
        <v/>
      </c>
      <c r="X1882" s="38" t="b">
        <f t="shared" si="2"/>
        <v>0</v>
      </c>
      <c r="Y1882" s="38"/>
      <c r="Z1882" s="40"/>
      <c r="AA1882" s="40"/>
      <c r="AB1882" s="38"/>
      <c r="AC1882" s="38"/>
      <c r="AD1882" s="38"/>
      <c r="AE1882" s="38"/>
      <c r="AF1882" s="38"/>
      <c r="AG1882" s="38"/>
      <c r="AH1882" s="38"/>
      <c r="AI1882" s="38"/>
      <c r="AJ1882" s="38"/>
      <c r="AK1882" s="38"/>
      <c r="AL1882" s="38"/>
      <c r="AM1882" s="38"/>
      <c r="AN1882" s="38"/>
      <c r="AO1882" s="38"/>
      <c r="AP1882" s="38"/>
      <c r="AQ1882" s="38"/>
      <c r="AR1882" s="38"/>
      <c r="AS1882" s="38"/>
      <c r="AT1882" s="38"/>
      <c r="AU1882" s="38"/>
      <c r="AV1882" s="38"/>
      <c r="AW1882" s="38"/>
      <c r="AX1882" s="38"/>
      <c r="AY1882" s="38"/>
      <c r="AZ1882" s="38"/>
      <c r="BA1882" s="38"/>
      <c r="BB1882" s="38"/>
      <c r="BC1882" s="38"/>
      <c r="BD1882" s="38"/>
      <c r="BE1882" s="38"/>
      <c r="BF1882" s="38"/>
      <c r="BG1882" s="38"/>
    </row>
    <row r="1883">
      <c r="A1883" s="16"/>
      <c r="B1883" s="16"/>
      <c r="C1883" s="146"/>
      <c r="D1883" s="146"/>
      <c r="E1883" s="16"/>
      <c r="F1883" s="91"/>
      <c r="G1883" s="16"/>
      <c r="H1883" s="320" t="str">
        <f t="shared" si="1"/>
        <v/>
      </c>
      <c r="I1883" s="16"/>
      <c r="J1883" s="16"/>
      <c r="K1883" s="16"/>
      <c r="L1883" s="38"/>
      <c r="M1883" s="16"/>
      <c r="N1883" s="16"/>
      <c r="O1883" s="16"/>
      <c r="P1883" s="15"/>
      <c r="Q1883" s="15"/>
      <c r="R1883" s="16"/>
      <c r="S1883" s="16"/>
      <c r="T1883" s="16"/>
      <c r="U1883" s="16"/>
      <c r="V1883" s="37" t="str">
        <f>IFERROR(__xludf.DUMMYFUNCTION("if(not(iserror(index(split(C1883, "" ""),2))), index(split(C1883, "" ""),1),"""")"),"")</f>
        <v/>
      </c>
      <c r="W1883" s="315" t="str">
        <f>IFERROR(__xludf.DUMMYFUNCTION("if(V1883="""",C1883,if(not(iserror(index(split(C1883, "" ""),3))), index(split(C1883, "" ""),3),index(split(C1883, "" ""),2)))"),"")</f>
        <v/>
      </c>
      <c r="X1883" s="38" t="b">
        <f t="shared" si="2"/>
        <v>0</v>
      </c>
      <c r="Y1883" s="38"/>
      <c r="Z1883" s="40"/>
      <c r="AA1883" s="40"/>
      <c r="AB1883" s="38"/>
      <c r="AC1883" s="38"/>
      <c r="AD1883" s="38"/>
      <c r="AE1883" s="38"/>
      <c r="AF1883" s="38"/>
      <c r="AG1883" s="38"/>
      <c r="AH1883" s="38"/>
      <c r="AI1883" s="38"/>
      <c r="AJ1883" s="38"/>
      <c r="AK1883" s="38"/>
      <c r="AL1883" s="38"/>
      <c r="AM1883" s="38"/>
      <c r="AN1883" s="38"/>
      <c r="AO1883" s="38"/>
      <c r="AP1883" s="38"/>
      <c r="AQ1883" s="38"/>
      <c r="AR1883" s="38"/>
      <c r="AS1883" s="38"/>
      <c r="AT1883" s="38"/>
      <c r="AU1883" s="38"/>
      <c r="AV1883" s="38"/>
      <c r="AW1883" s="38"/>
      <c r="AX1883" s="38"/>
      <c r="AY1883" s="38"/>
      <c r="AZ1883" s="38"/>
      <c r="BA1883" s="38"/>
      <c r="BB1883" s="38"/>
      <c r="BC1883" s="38"/>
      <c r="BD1883" s="38"/>
      <c r="BE1883" s="38"/>
      <c r="BF1883" s="38"/>
      <c r="BG1883" s="38"/>
    </row>
    <row r="1884">
      <c r="A1884" s="16"/>
      <c r="B1884" s="16"/>
      <c r="C1884" s="146"/>
      <c r="D1884" s="146"/>
      <c r="E1884" s="16"/>
      <c r="F1884" s="91"/>
      <c r="G1884" s="16"/>
      <c r="H1884" s="320" t="str">
        <f t="shared" si="1"/>
        <v/>
      </c>
      <c r="I1884" s="16"/>
      <c r="J1884" s="16"/>
      <c r="K1884" s="16"/>
      <c r="L1884" s="38"/>
      <c r="M1884" s="16"/>
      <c r="N1884" s="16"/>
      <c r="O1884" s="16"/>
      <c r="P1884" s="15"/>
      <c r="Q1884" s="15"/>
      <c r="R1884" s="16"/>
      <c r="S1884" s="16"/>
      <c r="T1884" s="16"/>
      <c r="U1884" s="16"/>
      <c r="V1884" s="37" t="str">
        <f>IFERROR(__xludf.DUMMYFUNCTION("if(not(iserror(index(split(C1884, "" ""),2))), index(split(C1884, "" ""),1),"""")"),"")</f>
        <v/>
      </c>
      <c r="W1884" s="315" t="str">
        <f>IFERROR(__xludf.DUMMYFUNCTION("if(V1884="""",C1884,if(not(iserror(index(split(C1884, "" ""),3))), index(split(C1884, "" ""),3),index(split(C1884, "" ""),2)))"),"")</f>
        <v/>
      </c>
      <c r="X1884" s="38" t="b">
        <f t="shared" si="2"/>
        <v>0</v>
      </c>
      <c r="Y1884" s="38"/>
      <c r="Z1884" s="40"/>
      <c r="AA1884" s="40"/>
      <c r="AB1884" s="38"/>
      <c r="AC1884" s="38"/>
      <c r="AD1884" s="38"/>
      <c r="AE1884" s="38"/>
      <c r="AF1884" s="38"/>
      <c r="AG1884" s="38"/>
      <c r="AH1884" s="38"/>
      <c r="AI1884" s="38"/>
      <c r="AJ1884" s="38"/>
      <c r="AK1884" s="38"/>
      <c r="AL1884" s="38"/>
      <c r="AM1884" s="38"/>
      <c r="AN1884" s="38"/>
      <c r="AO1884" s="38"/>
      <c r="AP1884" s="38"/>
      <c r="AQ1884" s="38"/>
      <c r="AR1884" s="38"/>
      <c r="AS1884" s="38"/>
      <c r="AT1884" s="38"/>
      <c r="AU1884" s="38"/>
      <c r="AV1884" s="38"/>
      <c r="AW1884" s="38"/>
      <c r="AX1884" s="38"/>
      <c r="AY1884" s="38"/>
      <c r="AZ1884" s="38"/>
      <c r="BA1884" s="38"/>
      <c r="BB1884" s="38"/>
      <c r="BC1884" s="38"/>
      <c r="BD1884" s="38"/>
      <c r="BE1884" s="38"/>
      <c r="BF1884" s="38"/>
      <c r="BG1884" s="38"/>
    </row>
    <row r="1885">
      <c r="A1885" s="16"/>
      <c r="B1885" s="16"/>
      <c r="C1885" s="146"/>
      <c r="D1885" s="146"/>
      <c r="E1885" s="16"/>
      <c r="F1885" s="91"/>
      <c r="G1885" s="16"/>
      <c r="H1885" s="320" t="str">
        <f t="shared" si="1"/>
        <v/>
      </c>
      <c r="I1885" s="16"/>
      <c r="J1885" s="16"/>
      <c r="K1885" s="16"/>
      <c r="L1885" s="38"/>
      <c r="M1885" s="16"/>
      <c r="N1885" s="16"/>
      <c r="O1885" s="16"/>
      <c r="P1885" s="15"/>
      <c r="Q1885" s="15"/>
      <c r="R1885" s="16"/>
      <c r="S1885" s="16"/>
      <c r="T1885" s="16"/>
      <c r="U1885" s="16"/>
      <c r="V1885" s="37" t="str">
        <f>IFERROR(__xludf.DUMMYFUNCTION("if(not(iserror(index(split(C1885, "" ""),2))), index(split(C1885, "" ""),1),"""")"),"")</f>
        <v/>
      </c>
      <c r="W1885" s="315" t="str">
        <f>IFERROR(__xludf.DUMMYFUNCTION("if(V1885="""",C1885,if(not(iserror(index(split(C1885, "" ""),3))), index(split(C1885, "" ""),3),index(split(C1885, "" ""),2)))"),"")</f>
        <v/>
      </c>
      <c r="X1885" s="38" t="b">
        <f t="shared" si="2"/>
        <v>0</v>
      </c>
      <c r="Y1885" s="38"/>
      <c r="Z1885" s="40"/>
      <c r="AA1885" s="40"/>
      <c r="AB1885" s="38"/>
      <c r="AC1885" s="38"/>
      <c r="AD1885" s="38"/>
      <c r="AE1885" s="38"/>
      <c r="AF1885" s="38"/>
      <c r="AG1885" s="38"/>
      <c r="AH1885" s="38"/>
      <c r="AI1885" s="38"/>
      <c r="AJ1885" s="38"/>
      <c r="AK1885" s="38"/>
      <c r="AL1885" s="38"/>
      <c r="AM1885" s="38"/>
      <c r="AN1885" s="38"/>
      <c r="AO1885" s="38"/>
      <c r="AP1885" s="38"/>
      <c r="AQ1885" s="38"/>
      <c r="AR1885" s="38"/>
      <c r="AS1885" s="38"/>
      <c r="AT1885" s="38"/>
      <c r="AU1885" s="38"/>
      <c r="AV1885" s="38"/>
      <c r="AW1885" s="38"/>
      <c r="AX1885" s="38"/>
      <c r="AY1885" s="38"/>
      <c r="AZ1885" s="38"/>
      <c r="BA1885" s="38"/>
      <c r="BB1885" s="38"/>
      <c r="BC1885" s="38"/>
      <c r="BD1885" s="38"/>
      <c r="BE1885" s="38"/>
      <c r="BF1885" s="38"/>
      <c r="BG1885" s="38"/>
    </row>
    <row r="1886">
      <c r="A1886" s="16"/>
      <c r="B1886" s="16"/>
      <c r="C1886" s="146"/>
      <c r="D1886" s="146"/>
      <c r="E1886" s="16"/>
      <c r="F1886" s="91"/>
      <c r="G1886" s="16"/>
      <c r="H1886" s="320" t="str">
        <f t="shared" si="1"/>
        <v/>
      </c>
      <c r="I1886" s="16"/>
      <c r="J1886" s="16"/>
      <c r="K1886" s="16"/>
      <c r="L1886" s="38"/>
      <c r="M1886" s="16"/>
      <c r="N1886" s="16"/>
      <c r="O1886" s="16"/>
      <c r="P1886" s="15"/>
      <c r="Q1886" s="15"/>
      <c r="R1886" s="16"/>
      <c r="S1886" s="16"/>
      <c r="T1886" s="16"/>
      <c r="U1886" s="16"/>
      <c r="V1886" s="37" t="str">
        <f>IFERROR(__xludf.DUMMYFUNCTION("if(not(iserror(index(split(C1886, "" ""),2))), index(split(C1886, "" ""),1),"""")"),"")</f>
        <v/>
      </c>
      <c r="W1886" s="315" t="str">
        <f>IFERROR(__xludf.DUMMYFUNCTION("if(V1886="""",C1886,if(not(iserror(index(split(C1886, "" ""),3))), index(split(C1886, "" ""),3),index(split(C1886, "" ""),2)))"),"")</f>
        <v/>
      </c>
      <c r="X1886" s="38" t="b">
        <f t="shared" si="2"/>
        <v>0</v>
      </c>
      <c r="Y1886" s="38"/>
      <c r="Z1886" s="40"/>
      <c r="AA1886" s="40"/>
      <c r="AB1886" s="38"/>
      <c r="AC1886" s="38"/>
      <c r="AD1886" s="38"/>
      <c r="AE1886" s="38"/>
      <c r="AF1886" s="38"/>
      <c r="AG1886" s="38"/>
      <c r="AH1886" s="38"/>
      <c r="AI1886" s="38"/>
      <c r="AJ1886" s="38"/>
      <c r="AK1886" s="38"/>
      <c r="AL1886" s="38"/>
      <c r="AM1886" s="38"/>
      <c r="AN1886" s="38"/>
      <c r="AO1886" s="38"/>
      <c r="AP1886" s="38"/>
      <c r="AQ1886" s="38"/>
      <c r="AR1886" s="38"/>
      <c r="AS1886" s="38"/>
      <c r="AT1886" s="38"/>
      <c r="AU1886" s="38"/>
      <c r="AV1886" s="38"/>
      <c r="AW1886" s="38"/>
      <c r="AX1886" s="38"/>
      <c r="AY1886" s="38"/>
      <c r="AZ1886" s="38"/>
      <c r="BA1886" s="38"/>
      <c r="BB1886" s="38"/>
      <c r="BC1886" s="38"/>
      <c r="BD1886" s="38"/>
      <c r="BE1886" s="38"/>
      <c r="BF1886" s="38"/>
      <c r="BG1886" s="38"/>
    </row>
    <row r="1887">
      <c r="A1887" s="16"/>
      <c r="B1887" s="16"/>
      <c r="C1887" s="146"/>
      <c r="D1887" s="146"/>
      <c r="E1887" s="16"/>
      <c r="F1887" s="91"/>
      <c r="G1887" s="16"/>
      <c r="H1887" s="320" t="str">
        <f t="shared" si="1"/>
        <v/>
      </c>
      <c r="I1887" s="16"/>
      <c r="J1887" s="16"/>
      <c r="K1887" s="16"/>
      <c r="L1887" s="38"/>
      <c r="M1887" s="16"/>
      <c r="N1887" s="16"/>
      <c r="O1887" s="16"/>
      <c r="P1887" s="15"/>
      <c r="Q1887" s="15"/>
      <c r="R1887" s="16"/>
      <c r="S1887" s="16"/>
      <c r="T1887" s="16"/>
      <c r="U1887" s="16"/>
      <c r="V1887" s="37" t="str">
        <f>IFERROR(__xludf.DUMMYFUNCTION("if(not(iserror(index(split(C1887, "" ""),2))), index(split(C1887, "" ""),1),"""")"),"")</f>
        <v/>
      </c>
      <c r="W1887" s="315" t="str">
        <f>IFERROR(__xludf.DUMMYFUNCTION("if(V1887="""",C1887,if(not(iserror(index(split(C1887, "" ""),3))), index(split(C1887, "" ""),3),index(split(C1887, "" ""),2)))"),"")</f>
        <v/>
      </c>
      <c r="X1887" s="38" t="b">
        <f t="shared" si="2"/>
        <v>0</v>
      </c>
      <c r="Y1887" s="38"/>
      <c r="Z1887" s="40"/>
      <c r="AA1887" s="40"/>
      <c r="AB1887" s="38"/>
      <c r="AC1887" s="38"/>
      <c r="AD1887" s="38"/>
      <c r="AE1887" s="38"/>
      <c r="AF1887" s="38"/>
      <c r="AG1887" s="38"/>
      <c r="AH1887" s="38"/>
      <c r="AI1887" s="38"/>
      <c r="AJ1887" s="38"/>
      <c r="AK1887" s="38"/>
      <c r="AL1887" s="38"/>
      <c r="AM1887" s="38"/>
      <c r="AN1887" s="38"/>
      <c r="AO1887" s="38"/>
      <c r="AP1887" s="38"/>
      <c r="AQ1887" s="38"/>
      <c r="AR1887" s="38"/>
      <c r="AS1887" s="38"/>
      <c r="AT1887" s="38"/>
      <c r="AU1887" s="38"/>
      <c r="AV1887" s="38"/>
      <c r="AW1887" s="38"/>
      <c r="AX1887" s="38"/>
      <c r="AY1887" s="38"/>
      <c r="AZ1887" s="38"/>
      <c r="BA1887" s="38"/>
      <c r="BB1887" s="38"/>
      <c r="BC1887" s="38"/>
      <c r="BD1887" s="38"/>
      <c r="BE1887" s="38"/>
      <c r="BF1887" s="38"/>
      <c r="BG1887" s="38"/>
    </row>
    <row r="1888">
      <c r="A1888" s="16"/>
      <c r="B1888" s="16"/>
      <c r="C1888" s="146"/>
      <c r="D1888" s="146"/>
      <c r="E1888" s="16"/>
      <c r="F1888" s="91"/>
      <c r="G1888" s="16"/>
      <c r="H1888" s="320" t="str">
        <f t="shared" si="1"/>
        <v/>
      </c>
      <c r="I1888" s="16"/>
      <c r="J1888" s="16"/>
      <c r="K1888" s="16"/>
      <c r="L1888" s="38"/>
      <c r="M1888" s="16"/>
      <c r="N1888" s="16"/>
      <c r="O1888" s="16"/>
      <c r="P1888" s="15"/>
      <c r="Q1888" s="15"/>
      <c r="R1888" s="16"/>
      <c r="S1888" s="16"/>
      <c r="T1888" s="16"/>
      <c r="U1888" s="16"/>
      <c r="V1888" s="37" t="str">
        <f>IFERROR(__xludf.DUMMYFUNCTION("if(not(iserror(index(split(C1888, "" ""),2))), index(split(C1888, "" ""),1),"""")"),"")</f>
        <v/>
      </c>
      <c r="W1888" s="315" t="str">
        <f>IFERROR(__xludf.DUMMYFUNCTION("if(V1888="""",C1888,if(not(iserror(index(split(C1888, "" ""),3))), index(split(C1888, "" ""),3),index(split(C1888, "" ""),2)))"),"")</f>
        <v/>
      </c>
      <c r="X1888" s="38" t="b">
        <f t="shared" si="2"/>
        <v>0</v>
      </c>
      <c r="Y1888" s="38"/>
      <c r="Z1888" s="40"/>
      <c r="AA1888" s="40"/>
      <c r="AB1888" s="38"/>
      <c r="AC1888" s="38"/>
      <c r="AD1888" s="38"/>
      <c r="AE1888" s="38"/>
      <c r="AF1888" s="38"/>
      <c r="AG1888" s="38"/>
      <c r="AH1888" s="38"/>
      <c r="AI1888" s="38"/>
      <c r="AJ1888" s="38"/>
      <c r="AK1888" s="38"/>
      <c r="AL1888" s="38"/>
      <c r="AM1888" s="38"/>
      <c r="AN1888" s="38"/>
      <c r="AO1888" s="38"/>
      <c r="AP1888" s="38"/>
      <c r="AQ1888" s="38"/>
      <c r="AR1888" s="38"/>
      <c r="AS1888" s="38"/>
      <c r="AT1888" s="38"/>
      <c r="AU1888" s="38"/>
      <c r="AV1888" s="38"/>
      <c r="AW1888" s="38"/>
      <c r="AX1888" s="38"/>
      <c r="AY1888" s="38"/>
      <c r="AZ1888" s="38"/>
      <c r="BA1888" s="38"/>
      <c r="BB1888" s="38"/>
      <c r="BC1888" s="38"/>
      <c r="BD1888" s="38"/>
      <c r="BE1888" s="38"/>
      <c r="BF1888" s="38"/>
      <c r="BG1888" s="38"/>
    </row>
    <row r="1889">
      <c r="A1889" s="16"/>
      <c r="B1889" s="16"/>
      <c r="C1889" s="146"/>
      <c r="D1889" s="146"/>
      <c r="E1889" s="16"/>
      <c r="F1889" s="91"/>
      <c r="G1889" s="16"/>
      <c r="H1889" s="320" t="str">
        <f t="shared" si="1"/>
        <v/>
      </c>
      <c r="I1889" s="16"/>
      <c r="J1889" s="16"/>
      <c r="K1889" s="16"/>
      <c r="L1889" s="38"/>
      <c r="M1889" s="16"/>
      <c r="N1889" s="16"/>
      <c r="O1889" s="16"/>
      <c r="P1889" s="15"/>
      <c r="Q1889" s="15"/>
      <c r="R1889" s="16"/>
      <c r="S1889" s="16"/>
      <c r="T1889" s="16"/>
      <c r="U1889" s="16"/>
      <c r="V1889" s="37" t="str">
        <f>IFERROR(__xludf.DUMMYFUNCTION("if(not(iserror(index(split(C1889, "" ""),2))), index(split(C1889, "" ""),1),"""")"),"")</f>
        <v/>
      </c>
      <c r="W1889" s="315" t="str">
        <f>IFERROR(__xludf.DUMMYFUNCTION("if(V1889="""",C1889,if(not(iserror(index(split(C1889, "" ""),3))), index(split(C1889, "" ""),3),index(split(C1889, "" ""),2)))"),"")</f>
        <v/>
      </c>
      <c r="X1889" s="38" t="b">
        <f t="shared" si="2"/>
        <v>0</v>
      </c>
      <c r="Y1889" s="38"/>
      <c r="Z1889" s="40"/>
      <c r="AA1889" s="40"/>
      <c r="AB1889" s="38"/>
      <c r="AC1889" s="38"/>
      <c r="AD1889" s="38"/>
      <c r="AE1889" s="38"/>
      <c r="AF1889" s="38"/>
      <c r="AG1889" s="38"/>
      <c r="AH1889" s="38"/>
      <c r="AI1889" s="38"/>
      <c r="AJ1889" s="38"/>
      <c r="AK1889" s="38"/>
      <c r="AL1889" s="38"/>
      <c r="AM1889" s="38"/>
      <c r="AN1889" s="38"/>
      <c r="AO1889" s="38"/>
      <c r="AP1889" s="38"/>
      <c r="AQ1889" s="38"/>
      <c r="AR1889" s="38"/>
      <c r="AS1889" s="38"/>
      <c r="AT1889" s="38"/>
      <c r="AU1889" s="38"/>
      <c r="AV1889" s="38"/>
      <c r="AW1889" s="38"/>
      <c r="AX1889" s="38"/>
      <c r="AY1889" s="38"/>
      <c r="AZ1889" s="38"/>
      <c r="BA1889" s="38"/>
      <c r="BB1889" s="38"/>
      <c r="BC1889" s="38"/>
      <c r="BD1889" s="38"/>
      <c r="BE1889" s="38"/>
      <c r="BF1889" s="38"/>
      <c r="BG1889" s="38"/>
    </row>
    <row r="1890">
      <c r="A1890" s="16"/>
      <c r="B1890" s="16"/>
      <c r="C1890" s="146"/>
      <c r="D1890" s="146"/>
      <c r="E1890" s="16"/>
      <c r="F1890" s="91"/>
      <c r="G1890" s="16"/>
      <c r="H1890" s="320" t="str">
        <f t="shared" si="1"/>
        <v/>
      </c>
      <c r="I1890" s="16"/>
      <c r="J1890" s="16"/>
      <c r="K1890" s="16"/>
      <c r="L1890" s="38"/>
      <c r="M1890" s="16"/>
      <c r="N1890" s="16"/>
      <c r="O1890" s="16"/>
      <c r="P1890" s="15"/>
      <c r="Q1890" s="15"/>
      <c r="R1890" s="16"/>
      <c r="S1890" s="16"/>
      <c r="T1890" s="16"/>
      <c r="U1890" s="16"/>
      <c r="V1890" s="37" t="str">
        <f>IFERROR(__xludf.DUMMYFUNCTION("if(not(iserror(index(split(C1890, "" ""),2))), index(split(C1890, "" ""),1),"""")"),"")</f>
        <v/>
      </c>
      <c r="W1890" s="315" t="str">
        <f>IFERROR(__xludf.DUMMYFUNCTION("if(V1890="""",C1890,if(not(iserror(index(split(C1890, "" ""),3))), index(split(C1890, "" ""),3),index(split(C1890, "" ""),2)))"),"")</f>
        <v/>
      </c>
      <c r="X1890" s="38" t="b">
        <f t="shared" si="2"/>
        <v>0</v>
      </c>
      <c r="Y1890" s="38"/>
      <c r="Z1890" s="40"/>
      <c r="AA1890" s="40"/>
      <c r="AB1890" s="38"/>
      <c r="AC1890" s="38"/>
      <c r="AD1890" s="38"/>
      <c r="AE1890" s="38"/>
      <c r="AF1890" s="38"/>
      <c r="AG1890" s="38"/>
      <c r="AH1890" s="38"/>
      <c r="AI1890" s="38"/>
      <c r="AJ1890" s="38"/>
      <c r="AK1890" s="38"/>
      <c r="AL1890" s="38"/>
      <c r="AM1890" s="38"/>
      <c r="AN1890" s="38"/>
      <c r="AO1890" s="38"/>
      <c r="AP1890" s="38"/>
      <c r="AQ1890" s="38"/>
      <c r="AR1890" s="38"/>
      <c r="AS1890" s="38"/>
      <c r="AT1890" s="38"/>
      <c r="AU1890" s="38"/>
      <c r="AV1890" s="38"/>
      <c r="AW1890" s="38"/>
      <c r="AX1890" s="38"/>
      <c r="AY1890" s="38"/>
      <c r="AZ1890" s="38"/>
      <c r="BA1890" s="38"/>
      <c r="BB1890" s="38"/>
      <c r="BC1890" s="38"/>
      <c r="BD1890" s="38"/>
      <c r="BE1890" s="38"/>
      <c r="BF1890" s="38"/>
      <c r="BG1890" s="38"/>
    </row>
    <row r="1891">
      <c r="A1891" s="16"/>
      <c r="B1891" s="16"/>
      <c r="C1891" s="146"/>
      <c r="D1891" s="146"/>
      <c r="E1891" s="16"/>
      <c r="F1891" s="91"/>
      <c r="G1891" s="16"/>
      <c r="H1891" s="320" t="str">
        <f t="shared" si="1"/>
        <v/>
      </c>
      <c r="I1891" s="16"/>
      <c r="J1891" s="16"/>
      <c r="K1891" s="16"/>
      <c r="L1891" s="38"/>
      <c r="M1891" s="16"/>
      <c r="N1891" s="16"/>
      <c r="O1891" s="16"/>
      <c r="P1891" s="15"/>
      <c r="Q1891" s="15"/>
      <c r="R1891" s="16"/>
      <c r="S1891" s="16"/>
      <c r="T1891" s="16"/>
      <c r="U1891" s="16"/>
      <c r="V1891" s="37" t="str">
        <f>IFERROR(__xludf.DUMMYFUNCTION("if(not(iserror(index(split(C1891, "" ""),2))), index(split(C1891, "" ""),1),"""")"),"")</f>
        <v/>
      </c>
      <c r="W1891" s="315" t="str">
        <f>IFERROR(__xludf.DUMMYFUNCTION("if(V1891="""",C1891,if(not(iserror(index(split(C1891, "" ""),3))), index(split(C1891, "" ""),3),index(split(C1891, "" ""),2)))"),"")</f>
        <v/>
      </c>
      <c r="X1891" s="38" t="b">
        <f t="shared" si="2"/>
        <v>0</v>
      </c>
      <c r="Y1891" s="38"/>
      <c r="Z1891" s="40"/>
      <c r="AA1891" s="40"/>
      <c r="AB1891" s="38"/>
      <c r="AC1891" s="38"/>
      <c r="AD1891" s="38"/>
      <c r="AE1891" s="38"/>
      <c r="AF1891" s="38"/>
      <c r="AG1891" s="38"/>
      <c r="AH1891" s="38"/>
      <c r="AI1891" s="38"/>
      <c r="AJ1891" s="38"/>
      <c r="AK1891" s="38"/>
      <c r="AL1891" s="38"/>
      <c r="AM1891" s="38"/>
      <c r="AN1891" s="38"/>
      <c r="AO1891" s="38"/>
      <c r="AP1891" s="38"/>
      <c r="AQ1891" s="38"/>
      <c r="AR1891" s="38"/>
      <c r="AS1891" s="38"/>
      <c r="AT1891" s="38"/>
      <c r="AU1891" s="38"/>
      <c r="AV1891" s="38"/>
      <c r="AW1891" s="38"/>
      <c r="AX1891" s="38"/>
      <c r="AY1891" s="38"/>
      <c r="AZ1891" s="38"/>
      <c r="BA1891" s="38"/>
      <c r="BB1891" s="38"/>
      <c r="BC1891" s="38"/>
      <c r="BD1891" s="38"/>
      <c r="BE1891" s="38"/>
      <c r="BF1891" s="38"/>
      <c r="BG1891" s="38"/>
    </row>
    <row r="1892">
      <c r="A1892" s="16"/>
      <c r="B1892" s="16"/>
      <c r="C1892" s="146"/>
      <c r="D1892" s="146"/>
      <c r="E1892" s="16"/>
      <c r="F1892" s="91"/>
      <c r="G1892" s="16"/>
      <c r="H1892" s="320" t="str">
        <f t="shared" si="1"/>
        <v/>
      </c>
      <c r="I1892" s="16"/>
      <c r="J1892" s="16"/>
      <c r="K1892" s="16"/>
      <c r="L1892" s="38"/>
      <c r="M1892" s="16"/>
      <c r="N1892" s="16"/>
      <c r="O1892" s="16"/>
      <c r="P1892" s="15"/>
      <c r="Q1892" s="15"/>
      <c r="R1892" s="16"/>
      <c r="S1892" s="16"/>
      <c r="T1892" s="16"/>
      <c r="U1892" s="16"/>
      <c r="V1892" s="37" t="str">
        <f>IFERROR(__xludf.DUMMYFUNCTION("if(not(iserror(index(split(C1892, "" ""),2))), index(split(C1892, "" ""),1),"""")"),"")</f>
        <v/>
      </c>
      <c r="W1892" s="315" t="str">
        <f>IFERROR(__xludf.DUMMYFUNCTION("if(V1892="""",C1892,if(not(iserror(index(split(C1892, "" ""),3))), index(split(C1892, "" ""),3),index(split(C1892, "" ""),2)))"),"")</f>
        <v/>
      </c>
      <c r="X1892" s="38" t="b">
        <f t="shared" si="2"/>
        <v>0</v>
      </c>
      <c r="Y1892" s="38"/>
      <c r="Z1892" s="40"/>
      <c r="AA1892" s="40"/>
      <c r="AB1892" s="38"/>
      <c r="AC1892" s="38"/>
      <c r="AD1892" s="38"/>
      <c r="AE1892" s="38"/>
      <c r="AF1892" s="38"/>
      <c r="AG1892" s="38"/>
      <c r="AH1892" s="38"/>
      <c r="AI1892" s="38"/>
      <c r="AJ1892" s="38"/>
      <c r="AK1892" s="38"/>
      <c r="AL1892" s="38"/>
      <c r="AM1892" s="38"/>
      <c r="AN1892" s="38"/>
      <c r="AO1892" s="38"/>
      <c r="AP1892" s="38"/>
      <c r="AQ1892" s="38"/>
      <c r="AR1892" s="38"/>
      <c r="AS1892" s="38"/>
      <c r="AT1892" s="38"/>
      <c r="AU1892" s="38"/>
      <c r="AV1892" s="38"/>
      <c r="AW1892" s="38"/>
      <c r="AX1892" s="38"/>
      <c r="AY1892" s="38"/>
      <c r="AZ1892" s="38"/>
      <c r="BA1892" s="38"/>
      <c r="BB1892" s="38"/>
      <c r="BC1892" s="38"/>
      <c r="BD1892" s="38"/>
      <c r="BE1892" s="38"/>
      <c r="BF1892" s="38"/>
      <c r="BG1892" s="38"/>
    </row>
    <row r="1893">
      <c r="A1893" s="16"/>
      <c r="B1893" s="16"/>
      <c r="C1893" s="146"/>
      <c r="D1893" s="146"/>
      <c r="E1893" s="16"/>
      <c r="F1893" s="91"/>
      <c r="G1893" s="16"/>
      <c r="H1893" s="320" t="str">
        <f t="shared" si="1"/>
        <v/>
      </c>
      <c r="I1893" s="16"/>
      <c r="J1893" s="16"/>
      <c r="K1893" s="16"/>
      <c r="L1893" s="38"/>
      <c r="M1893" s="16"/>
      <c r="N1893" s="16"/>
      <c r="O1893" s="16"/>
      <c r="P1893" s="15"/>
      <c r="Q1893" s="15"/>
      <c r="R1893" s="16"/>
      <c r="S1893" s="16"/>
      <c r="T1893" s="16"/>
      <c r="U1893" s="16"/>
      <c r="V1893" s="37" t="str">
        <f>IFERROR(__xludf.DUMMYFUNCTION("if(not(iserror(index(split(C1893, "" ""),2))), index(split(C1893, "" ""),1),"""")"),"")</f>
        <v/>
      </c>
      <c r="W1893" s="315" t="str">
        <f>IFERROR(__xludf.DUMMYFUNCTION("if(V1893="""",C1893,if(not(iserror(index(split(C1893, "" ""),3))), index(split(C1893, "" ""),3),index(split(C1893, "" ""),2)))"),"")</f>
        <v/>
      </c>
      <c r="X1893" s="38" t="b">
        <f t="shared" si="2"/>
        <v>0</v>
      </c>
      <c r="Y1893" s="38"/>
      <c r="Z1893" s="40"/>
      <c r="AA1893" s="40"/>
      <c r="AB1893" s="38"/>
      <c r="AC1893" s="38"/>
      <c r="AD1893" s="38"/>
      <c r="AE1893" s="38"/>
      <c r="AF1893" s="38"/>
      <c r="AG1893" s="38"/>
      <c r="AH1893" s="38"/>
      <c r="AI1893" s="38"/>
      <c r="AJ1893" s="38"/>
      <c r="AK1893" s="38"/>
      <c r="AL1893" s="38"/>
      <c r="AM1893" s="38"/>
      <c r="AN1893" s="38"/>
      <c r="AO1893" s="38"/>
      <c r="AP1893" s="38"/>
      <c r="AQ1893" s="38"/>
      <c r="AR1893" s="38"/>
      <c r="AS1893" s="38"/>
      <c r="AT1893" s="38"/>
      <c r="AU1893" s="38"/>
      <c r="AV1893" s="38"/>
      <c r="AW1893" s="38"/>
      <c r="AX1893" s="38"/>
      <c r="AY1893" s="38"/>
      <c r="AZ1893" s="38"/>
      <c r="BA1893" s="38"/>
      <c r="BB1893" s="38"/>
      <c r="BC1893" s="38"/>
      <c r="BD1893" s="38"/>
      <c r="BE1893" s="38"/>
      <c r="BF1893" s="38"/>
      <c r="BG1893" s="38"/>
    </row>
    <row r="1894">
      <c r="A1894" s="16"/>
      <c r="B1894" s="16"/>
      <c r="C1894" s="146"/>
      <c r="D1894" s="146"/>
      <c r="E1894" s="16"/>
      <c r="F1894" s="91"/>
      <c r="G1894" s="16"/>
      <c r="H1894" s="320" t="str">
        <f t="shared" si="1"/>
        <v/>
      </c>
      <c r="I1894" s="16"/>
      <c r="J1894" s="16"/>
      <c r="K1894" s="16"/>
      <c r="L1894" s="38"/>
      <c r="M1894" s="16"/>
      <c r="N1894" s="16"/>
      <c r="O1894" s="16"/>
      <c r="P1894" s="15"/>
      <c r="Q1894" s="15"/>
      <c r="R1894" s="16"/>
      <c r="S1894" s="16"/>
      <c r="T1894" s="16"/>
      <c r="U1894" s="16"/>
      <c r="V1894" s="37" t="str">
        <f>IFERROR(__xludf.DUMMYFUNCTION("if(not(iserror(index(split(C1894, "" ""),2))), index(split(C1894, "" ""),1),"""")"),"")</f>
        <v/>
      </c>
      <c r="W1894" s="315" t="str">
        <f>IFERROR(__xludf.DUMMYFUNCTION("if(V1894="""",C1894,if(not(iserror(index(split(C1894, "" ""),3))), index(split(C1894, "" ""),3),index(split(C1894, "" ""),2)))"),"")</f>
        <v/>
      </c>
      <c r="X1894" s="38" t="b">
        <f t="shared" si="2"/>
        <v>0</v>
      </c>
      <c r="Y1894" s="38"/>
      <c r="Z1894" s="40"/>
      <c r="AA1894" s="40"/>
      <c r="AB1894" s="38"/>
      <c r="AC1894" s="38"/>
      <c r="AD1894" s="38"/>
      <c r="AE1894" s="38"/>
      <c r="AF1894" s="38"/>
      <c r="AG1894" s="38"/>
      <c r="AH1894" s="38"/>
      <c r="AI1894" s="38"/>
      <c r="AJ1894" s="38"/>
      <c r="AK1894" s="38"/>
      <c r="AL1894" s="38"/>
      <c r="AM1894" s="38"/>
      <c r="AN1894" s="38"/>
      <c r="AO1894" s="38"/>
      <c r="AP1894" s="38"/>
      <c r="AQ1894" s="38"/>
      <c r="AR1894" s="38"/>
      <c r="AS1894" s="38"/>
      <c r="AT1894" s="38"/>
      <c r="AU1894" s="38"/>
      <c r="AV1894" s="38"/>
      <c r="AW1894" s="38"/>
      <c r="AX1894" s="38"/>
      <c r="AY1894" s="38"/>
      <c r="AZ1894" s="38"/>
      <c r="BA1894" s="38"/>
      <c r="BB1894" s="38"/>
      <c r="BC1894" s="38"/>
      <c r="BD1894" s="38"/>
      <c r="BE1894" s="38"/>
      <c r="BF1894" s="38"/>
      <c r="BG1894" s="38"/>
    </row>
    <row r="1895">
      <c r="A1895" s="16"/>
      <c r="B1895" s="16"/>
      <c r="C1895" s="146"/>
      <c r="D1895" s="146"/>
      <c r="E1895" s="16"/>
      <c r="F1895" s="91"/>
      <c r="G1895" s="16"/>
      <c r="H1895" s="320" t="str">
        <f t="shared" si="1"/>
        <v/>
      </c>
      <c r="I1895" s="16"/>
      <c r="J1895" s="16"/>
      <c r="K1895" s="16"/>
      <c r="L1895" s="38"/>
      <c r="M1895" s="16"/>
      <c r="N1895" s="16"/>
      <c r="O1895" s="16"/>
      <c r="P1895" s="15"/>
      <c r="Q1895" s="15"/>
      <c r="R1895" s="16"/>
      <c r="S1895" s="16"/>
      <c r="T1895" s="16"/>
      <c r="U1895" s="16"/>
      <c r="V1895" s="37" t="str">
        <f>IFERROR(__xludf.DUMMYFUNCTION("if(not(iserror(index(split(C1895, "" ""),2))), index(split(C1895, "" ""),1),"""")"),"")</f>
        <v/>
      </c>
      <c r="W1895" s="315" t="str">
        <f>IFERROR(__xludf.DUMMYFUNCTION("if(V1895="""",C1895,if(not(iserror(index(split(C1895, "" ""),3))), index(split(C1895, "" ""),3),index(split(C1895, "" ""),2)))"),"")</f>
        <v/>
      </c>
      <c r="X1895" s="38" t="b">
        <f t="shared" si="2"/>
        <v>0</v>
      </c>
      <c r="Y1895" s="38"/>
      <c r="Z1895" s="40"/>
      <c r="AA1895" s="40"/>
      <c r="AB1895" s="38"/>
      <c r="AC1895" s="38"/>
      <c r="AD1895" s="38"/>
      <c r="AE1895" s="38"/>
      <c r="AF1895" s="38"/>
      <c r="AG1895" s="38"/>
      <c r="AH1895" s="38"/>
      <c r="AI1895" s="38"/>
      <c r="AJ1895" s="38"/>
      <c r="AK1895" s="38"/>
      <c r="AL1895" s="38"/>
      <c r="AM1895" s="38"/>
      <c r="AN1895" s="38"/>
      <c r="AO1895" s="38"/>
      <c r="AP1895" s="38"/>
      <c r="AQ1895" s="38"/>
      <c r="AR1895" s="38"/>
      <c r="AS1895" s="38"/>
      <c r="AT1895" s="38"/>
      <c r="AU1895" s="38"/>
      <c r="AV1895" s="38"/>
      <c r="AW1895" s="38"/>
      <c r="AX1895" s="38"/>
      <c r="AY1895" s="38"/>
      <c r="AZ1895" s="38"/>
      <c r="BA1895" s="38"/>
      <c r="BB1895" s="38"/>
      <c r="BC1895" s="38"/>
      <c r="BD1895" s="38"/>
      <c r="BE1895" s="38"/>
      <c r="BF1895" s="38"/>
      <c r="BG1895" s="38"/>
    </row>
    <row r="1896">
      <c r="A1896" s="16"/>
      <c r="B1896" s="16"/>
      <c r="C1896" s="146"/>
      <c r="D1896" s="146"/>
      <c r="E1896" s="16"/>
      <c r="F1896" s="91"/>
      <c r="G1896" s="16"/>
      <c r="H1896" s="320" t="str">
        <f t="shared" si="1"/>
        <v/>
      </c>
      <c r="I1896" s="16"/>
      <c r="J1896" s="16"/>
      <c r="K1896" s="16"/>
      <c r="L1896" s="38"/>
      <c r="M1896" s="16"/>
      <c r="N1896" s="16"/>
      <c r="O1896" s="16"/>
      <c r="P1896" s="15"/>
      <c r="Q1896" s="15"/>
      <c r="R1896" s="16"/>
      <c r="S1896" s="16"/>
      <c r="T1896" s="16"/>
      <c r="U1896" s="16"/>
      <c r="V1896" s="37" t="str">
        <f>IFERROR(__xludf.DUMMYFUNCTION("if(not(iserror(index(split(C1896, "" ""),2))), index(split(C1896, "" ""),1),"""")"),"")</f>
        <v/>
      </c>
      <c r="W1896" s="315" t="str">
        <f>IFERROR(__xludf.DUMMYFUNCTION("if(V1896="""",C1896,if(not(iserror(index(split(C1896, "" ""),3))), index(split(C1896, "" ""),3),index(split(C1896, "" ""),2)))"),"")</f>
        <v/>
      </c>
      <c r="X1896" s="38" t="b">
        <f t="shared" si="2"/>
        <v>0</v>
      </c>
      <c r="Y1896" s="38"/>
      <c r="Z1896" s="40"/>
      <c r="AA1896" s="40"/>
      <c r="AB1896" s="38"/>
      <c r="AC1896" s="38"/>
      <c r="AD1896" s="38"/>
      <c r="AE1896" s="38"/>
      <c r="AF1896" s="38"/>
      <c r="AG1896" s="38"/>
      <c r="AH1896" s="38"/>
      <c r="AI1896" s="38"/>
      <c r="AJ1896" s="38"/>
      <c r="AK1896" s="38"/>
      <c r="AL1896" s="38"/>
      <c r="AM1896" s="38"/>
      <c r="AN1896" s="38"/>
      <c r="AO1896" s="38"/>
      <c r="AP1896" s="38"/>
      <c r="AQ1896" s="38"/>
      <c r="AR1896" s="38"/>
      <c r="AS1896" s="38"/>
      <c r="AT1896" s="38"/>
      <c r="AU1896" s="38"/>
      <c r="AV1896" s="38"/>
      <c r="AW1896" s="38"/>
      <c r="AX1896" s="38"/>
      <c r="AY1896" s="38"/>
      <c r="AZ1896" s="38"/>
      <c r="BA1896" s="38"/>
      <c r="BB1896" s="38"/>
      <c r="BC1896" s="38"/>
      <c r="BD1896" s="38"/>
      <c r="BE1896" s="38"/>
      <c r="BF1896" s="38"/>
      <c r="BG1896" s="38"/>
    </row>
    <row r="1897">
      <c r="A1897" s="16"/>
      <c r="B1897" s="16"/>
      <c r="C1897" s="146"/>
      <c r="D1897" s="146"/>
      <c r="E1897" s="16"/>
      <c r="F1897" s="91"/>
      <c r="G1897" s="16"/>
      <c r="H1897" s="320" t="str">
        <f t="shared" si="1"/>
        <v/>
      </c>
      <c r="I1897" s="16"/>
      <c r="J1897" s="16"/>
      <c r="K1897" s="16"/>
      <c r="L1897" s="38"/>
      <c r="M1897" s="16"/>
      <c r="N1897" s="16"/>
      <c r="O1897" s="16"/>
      <c r="P1897" s="15"/>
      <c r="Q1897" s="15"/>
      <c r="R1897" s="16"/>
      <c r="S1897" s="16"/>
      <c r="T1897" s="16"/>
      <c r="U1897" s="16"/>
      <c r="V1897" s="37" t="str">
        <f>IFERROR(__xludf.DUMMYFUNCTION("if(not(iserror(index(split(C1897, "" ""),2))), index(split(C1897, "" ""),1),"""")"),"")</f>
        <v/>
      </c>
      <c r="W1897" s="315" t="str">
        <f>IFERROR(__xludf.DUMMYFUNCTION("if(V1897="""",C1897,if(not(iserror(index(split(C1897, "" ""),3))), index(split(C1897, "" ""),3),index(split(C1897, "" ""),2)))"),"")</f>
        <v/>
      </c>
      <c r="X1897" s="38" t="b">
        <f t="shared" si="2"/>
        <v>0</v>
      </c>
      <c r="Y1897" s="38"/>
      <c r="Z1897" s="40"/>
      <c r="AA1897" s="40"/>
      <c r="AB1897" s="38"/>
      <c r="AC1897" s="38"/>
      <c r="AD1897" s="38"/>
      <c r="AE1897" s="38"/>
      <c r="AF1897" s="38"/>
      <c r="AG1897" s="38"/>
      <c r="AH1897" s="38"/>
      <c r="AI1897" s="38"/>
      <c r="AJ1897" s="38"/>
      <c r="AK1897" s="38"/>
      <c r="AL1897" s="38"/>
      <c r="AM1897" s="38"/>
      <c r="AN1897" s="38"/>
      <c r="AO1897" s="38"/>
      <c r="AP1897" s="38"/>
      <c r="AQ1897" s="38"/>
      <c r="AR1897" s="38"/>
      <c r="AS1897" s="38"/>
      <c r="AT1897" s="38"/>
      <c r="AU1897" s="38"/>
      <c r="AV1897" s="38"/>
      <c r="AW1897" s="38"/>
      <c r="AX1897" s="38"/>
      <c r="AY1897" s="38"/>
      <c r="AZ1897" s="38"/>
      <c r="BA1897" s="38"/>
      <c r="BB1897" s="38"/>
      <c r="BC1897" s="38"/>
      <c r="BD1897" s="38"/>
      <c r="BE1897" s="38"/>
      <c r="BF1897" s="38"/>
      <c r="BG1897" s="38"/>
    </row>
    <row r="1898">
      <c r="A1898" s="16"/>
      <c r="B1898" s="16"/>
      <c r="C1898" s="146"/>
      <c r="D1898" s="146"/>
      <c r="E1898" s="16"/>
      <c r="F1898" s="91"/>
      <c r="G1898" s="16"/>
      <c r="H1898" s="320" t="str">
        <f t="shared" si="1"/>
        <v/>
      </c>
      <c r="I1898" s="16"/>
      <c r="J1898" s="16"/>
      <c r="K1898" s="16"/>
      <c r="L1898" s="38"/>
      <c r="M1898" s="16"/>
      <c r="N1898" s="16"/>
      <c r="O1898" s="16"/>
      <c r="P1898" s="15"/>
      <c r="Q1898" s="15"/>
      <c r="R1898" s="16"/>
      <c r="S1898" s="16"/>
      <c r="T1898" s="16"/>
      <c r="U1898" s="16"/>
      <c r="V1898" s="37" t="str">
        <f>IFERROR(__xludf.DUMMYFUNCTION("if(not(iserror(index(split(C1898, "" ""),2))), index(split(C1898, "" ""),1),"""")"),"")</f>
        <v/>
      </c>
      <c r="W1898" s="315" t="str">
        <f>IFERROR(__xludf.DUMMYFUNCTION("if(V1898="""",C1898,if(not(iserror(index(split(C1898, "" ""),3))), index(split(C1898, "" ""),3),index(split(C1898, "" ""),2)))"),"")</f>
        <v/>
      </c>
      <c r="X1898" s="38" t="b">
        <f t="shared" si="2"/>
        <v>0</v>
      </c>
      <c r="Y1898" s="38"/>
      <c r="Z1898" s="40"/>
      <c r="AA1898" s="40"/>
      <c r="AB1898" s="38"/>
      <c r="AC1898" s="38"/>
      <c r="AD1898" s="38"/>
      <c r="AE1898" s="38"/>
      <c r="AF1898" s="38"/>
      <c r="AG1898" s="38"/>
      <c r="AH1898" s="38"/>
      <c r="AI1898" s="38"/>
      <c r="AJ1898" s="38"/>
      <c r="AK1898" s="38"/>
      <c r="AL1898" s="38"/>
      <c r="AM1898" s="38"/>
      <c r="AN1898" s="38"/>
      <c r="AO1898" s="38"/>
      <c r="AP1898" s="38"/>
      <c r="AQ1898" s="38"/>
      <c r="AR1898" s="38"/>
      <c r="AS1898" s="38"/>
      <c r="AT1898" s="38"/>
      <c r="AU1898" s="38"/>
      <c r="AV1898" s="38"/>
      <c r="AW1898" s="38"/>
      <c r="AX1898" s="38"/>
      <c r="AY1898" s="38"/>
      <c r="AZ1898" s="38"/>
      <c r="BA1898" s="38"/>
      <c r="BB1898" s="38"/>
      <c r="BC1898" s="38"/>
      <c r="BD1898" s="38"/>
      <c r="BE1898" s="38"/>
      <c r="BF1898" s="38"/>
      <c r="BG1898" s="38"/>
    </row>
    <row r="1899">
      <c r="A1899" s="16"/>
      <c r="B1899" s="16"/>
      <c r="C1899" s="146"/>
      <c r="D1899" s="146"/>
      <c r="E1899" s="16"/>
      <c r="F1899" s="91"/>
      <c r="G1899" s="16"/>
      <c r="H1899" s="320" t="str">
        <f t="shared" si="1"/>
        <v/>
      </c>
      <c r="I1899" s="16"/>
      <c r="J1899" s="16"/>
      <c r="K1899" s="16"/>
      <c r="L1899" s="38"/>
      <c r="M1899" s="16"/>
      <c r="N1899" s="16"/>
      <c r="O1899" s="16"/>
      <c r="P1899" s="15"/>
      <c r="Q1899" s="15"/>
      <c r="R1899" s="16"/>
      <c r="S1899" s="16"/>
      <c r="T1899" s="16"/>
      <c r="U1899" s="16"/>
      <c r="V1899" s="37" t="str">
        <f>IFERROR(__xludf.DUMMYFUNCTION("if(not(iserror(index(split(C1899, "" ""),2))), index(split(C1899, "" ""),1),"""")"),"")</f>
        <v/>
      </c>
      <c r="W1899" s="315" t="str">
        <f>IFERROR(__xludf.DUMMYFUNCTION("if(V1899="""",C1899,if(not(iserror(index(split(C1899, "" ""),3))), index(split(C1899, "" ""),3),index(split(C1899, "" ""),2)))"),"")</f>
        <v/>
      </c>
      <c r="X1899" s="38" t="b">
        <f t="shared" si="2"/>
        <v>0</v>
      </c>
      <c r="Y1899" s="38"/>
      <c r="Z1899" s="40"/>
      <c r="AA1899" s="40"/>
      <c r="AB1899" s="38"/>
      <c r="AC1899" s="38"/>
      <c r="AD1899" s="38"/>
      <c r="AE1899" s="38"/>
      <c r="AF1899" s="38"/>
      <c r="AG1899" s="38"/>
      <c r="AH1899" s="38"/>
      <c r="AI1899" s="38"/>
      <c r="AJ1899" s="38"/>
      <c r="AK1899" s="38"/>
      <c r="AL1899" s="38"/>
      <c r="AM1899" s="38"/>
      <c r="AN1899" s="38"/>
      <c r="AO1899" s="38"/>
      <c r="AP1899" s="38"/>
      <c r="AQ1899" s="38"/>
      <c r="AR1899" s="38"/>
      <c r="AS1899" s="38"/>
      <c r="AT1899" s="38"/>
      <c r="AU1899" s="38"/>
      <c r="AV1899" s="38"/>
      <c r="AW1899" s="38"/>
      <c r="AX1899" s="38"/>
      <c r="AY1899" s="38"/>
      <c r="AZ1899" s="38"/>
      <c r="BA1899" s="38"/>
      <c r="BB1899" s="38"/>
      <c r="BC1899" s="38"/>
      <c r="BD1899" s="38"/>
      <c r="BE1899" s="38"/>
      <c r="BF1899" s="38"/>
      <c r="BG1899" s="38"/>
    </row>
    <row r="1900">
      <c r="A1900" s="16"/>
      <c r="B1900" s="16"/>
      <c r="C1900" s="146"/>
      <c r="D1900" s="146"/>
      <c r="E1900" s="16"/>
      <c r="F1900" s="91"/>
      <c r="G1900" s="16"/>
      <c r="H1900" s="320" t="str">
        <f t="shared" si="1"/>
        <v/>
      </c>
      <c r="I1900" s="16"/>
      <c r="J1900" s="16"/>
      <c r="K1900" s="16"/>
      <c r="L1900" s="38"/>
      <c r="M1900" s="16"/>
      <c r="N1900" s="16"/>
      <c r="O1900" s="16"/>
      <c r="P1900" s="15"/>
      <c r="Q1900" s="15"/>
      <c r="R1900" s="16"/>
      <c r="S1900" s="16"/>
      <c r="T1900" s="16"/>
      <c r="U1900" s="16"/>
      <c r="V1900" s="37" t="str">
        <f>IFERROR(__xludf.DUMMYFUNCTION("if(not(iserror(index(split(C1900, "" ""),2))), index(split(C1900, "" ""),1),"""")"),"")</f>
        <v/>
      </c>
      <c r="W1900" s="315" t="str">
        <f>IFERROR(__xludf.DUMMYFUNCTION("if(V1900="""",C1900,if(not(iserror(index(split(C1900, "" ""),3))), index(split(C1900, "" ""),3),index(split(C1900, "" ""),2)))"),"")</f>
        <v/>
      </c>
      <c r="X1900" s="38" t="b">
        <f t="shared" si="2"/>
        <v>0</v>
      </c>
      <c r="Y1900" s="38"/>
      <c r="Z1900" s="40"/>
      <c r="AA1900" s="40"/>
      <c r="AB1900" s="38"/>
      <c r="AC1900" s="38"/>
      <c r="AD1900" s="38"/>
      <c r="AE1900" s="38"/>
      <c r="AF1900" s="38"/>
      <c r="AG1900" s="38"/>
      <c r="AH1900" s="38"/>
      <c r="AI1900" s="38"/>
      <c r="AJ1900" s="38"/>
      <c r="AK1900" s="38"/>
      <c r="AL1900" s="38"/>
      <c r="AM1900" s="38"/>
      <c r="AN1900" s="38"/>
      <c r="AO1900" s="38"/>
      <c r="AP1900" s="38"/>
      <c r="AQ1900" s="38"/>
      <c r="AR1900" s="38"/>
      <c r="AS1900" s="38"/>
      <c r="AT1900" s="38"/>
      <c r="AU1900" s="38"/>
      <c r="AV1900" s="38"/>
      <c r="AW1900" s="38"/>
      <c r="AX1900" s="38"/>
      <c r="AY1900" s="38"/>
      <c r="AZ1900" s="38"/>
      <c r="BA1900" s="38"/>
      <c r="BB1900" s="38"/>
      <c r="BC1900" s="38"/>
      <c r="BD1900" s="38"/>
      <c r="BE1900" s="38"/>
      <c r="BF1900" s="38"/>
      <c r="BG1900" s="38"/>
    </row>
    <row r="1901">
      <c r="A1901" s="16"/>
      <c r="B1901" s="16"/>
      <c r="C1901" s="146"/>
      <c r="D1901" s="146"/>
      <c r="E1901" s="16"/>
      <c r="F1901" s="91"/>
      <c r="G1901" s="16"/>
      <c r="H1901" s="320" t="str">
        <f t="shared" si="1"/>
        <v/>
      </c>
      <c r="I1901" s="16"/>
      <c r="J1901" s="16"/>
      <c r="K1901" s="16"/>
      <c r="L1901" s="38"/>
      <c r="M1901" s="16"/>
      <c r="N1901" s="16"/>
      <c r="O1901" s="16"/>
      <c r="P1901" s="15"/>
      <c r="Q1901" s="15"/>
      <c r="R1901" s="16"/>
      <c r="S1901" s="16"/>
      <c r="T1901" s="16"/>
      <c r="U1901" s="16"/>
      <c r="V1901" s="37" t="str">
        <f>IFERROR(__xludf.DUMMYFUNCTION("if(not(iserror(index(split(C1901, "" ""),2))), index(split(C1901, "" ""),1),"""")"),"")</f>
        <v/>
      </c>
      <c r="W1901" s="315" t="str">
        <f>IFERROR(__xludf.DUMMYFUNCTION("if(V1901="""",C1901,if(not(iserror(index(split(C1901, "" ""),3))), index(split(C1901, "" ""),3),index(split(C1901, "" ""),2)))"),"")</f>
        <v/>
      </c>
      <c r="X1901" s="38" t="b">
        <f t="shared" si="2"/>
        <v>0</v>
      </c>
      <c r="Y1901" s="38"/>
      <c r="Z1901" s="40"/>
      <c r="AA1901" s="40"/>
      <c r="AB1901" s="38"/>
      <c r="AC1901" s="38"/>
      <c r="AD1901" s="38"/>
      <c r="AE1901" s="38"/>
      <c r="AF1901" s="38"/>
      <c r="AG1901" s="38"/>
      <c r="AH1901" s="38"/>
      <c r="AI1901" s="38"/>
      <c r="AJ1901" s="38"/>
      <c r="AK1901" s="38"/>
      <c r="AL1901" s="38"/>
      <c r="AM1901" s="38"/>
      <c r="AN1901" s="38"/>
      <c r="AO1901" s="38"/>
      <c r="AP1901" s="38"/>
      <c r="AQ1901" s="38"/>
      <c r="AR1901" s="38"/>
      <c r="AS1901" s="38"/>
      <c r="AT1901" s="38"/>
      <c r="AU1901" s="38"/>
      <c r="AV1901" s="38"/>
      <c r="AW1901" s="38"/>
      <c r="AX1901" s="38"/>
      <c r="AY1901" s="38"/>
      <c r="AZ1901" s="38"/>
      <c r="BA1901" s="38"/>
      <c r="BB1901" s="38"/>
      <c r="BC1901" s="38"/>
      <c r="BD1901" s="38"/>
      <c r="BE1901" s="38"/>
      <c r="BF1901" s="38"/>
      <c r="BG1901" s="38"/>
    </row>
    <row r="1902">
      <c r="A1902" s="16"/>
      <c r="B1902" s="16"/>
      <c r="C1902" s="146"/>
      <c r="D1902" s="146"/>
      <c r="E1902" s="16"/>
      <c r="F1902" s="91"/>
      <c r="G1902" s="16"/>
      <c r="H1902" s="320" t="str">
        <f t="shared" si="1"/>
        <v/>
      </c>
      <c r="I1902" s="16"/>
      <c r="J1902" s="16"/>
      <c r="K1902" s="16"/>
      <c r="L1902" s="38"/>
      <c r="M1902" s="16"/>
      <c r="N1902" s="16"/>
      <c r="O1902" s="16"/>
      <c r="P1902" s="15"/>
      <c r="Q1902" s="15"/>
      <c r="R1902" s="16"/>
      <c r="S1902" s="16"/>
      <c r="T1902" s="16"/>
      <c r="U1902" s="16"/>
      <c r="V1902" s="37" t="str">
        <f>IFERROR(__xludf.DUMMYFUNCTION("if(not(iserror(index(split(C1902, "" ""),2))), index(split(C1902, "" ""),1),"""")"),"")</f>
        <v/>
      </c>
      <c r="W1902" s="315" t="str">
        <f>IFERROR(__xludf.DUMMYFUNCTION("if(V1902="""",C1902,if(not(iserror(index(split(C1902, "" ""),3))), index(split(C1902, "" ""),3),index(split(C1902, "" ""),2)))"),"")</f>
        <v/>
      </c>
      <c r="X1902" s="38" t="b">
        <f t="shared" si="2"/>
        <v>0</v>
      </c>
      <c r="Y1902" s="38"/>
      <c r="Z1902" s="40"/>
      <c r="AA1902" s="40"/>
      <c r="AB1902" s="38"/>
      <c r="AC1902" s="38"/>
      <c r="AD1902" s="38"/>
      <c r="AE1902" s="38"/>
      <c r="AF1902" s="38"/>
      <c r="AG1902" s="38"/>
      <c r="AH1902" s="38"/>
      <c r="AI1902" s="38"/>
      <c r="AJ1902" s="38"/>
      <c r="AK1902" s="38"/>
      <c r="AL1902" s="38"/>
      <c r="AM1902" s="38"/>
      <c r="AN1902" s="38"/>
      <c r="AO1902" s="38"/>
      <c r="AP1902" s="38"/>
      <c r="AQ1902" s="38"/>
      <c r="AR1902" s="38"/>
      <c r="AS1902" s="38"/>
      <c r="AT1902" s="38"/>
      <c r="AU1902" s="38"/>
      <c r="AV1902" s="38"/>
      <c r="AW1902" s="38"/>
      <c r="AX1902" s="38"/>
      <c r="AY1902" s="38"/>
      <c r="AZ1902" s="38"/>
      <c r="BA1902" s="38"/>
      <c r="BB1902" s="38"/>
      <c r="BC1902" s="38"/>
      <c r="BD1902" s="38"/>
      <c r="BE1902" s="38"/>
      <c r="BF1902" s="38"/>
      <c r="BG1902" s="38"/>
    </row>
    <row r="1903">
      <c r="A1903" s="16"/>
      <c r="B1903" s="16"/>
      <c r="C1903" s="146"/>
      <c r="D1903" s="146"/>
      <c r="E1903" s="16"/>
      <c r="F1903" s="91"/>
      <c r="G1903" s="16"/>
      <c r="H1903" s="320" t="str">
        <f t="shared" si="1"/>
        <v/>
      </c>
      <c r="I1903" s="16"/>
      <c r="J1903" s="16"/>
      <c r="K1903" s="16"/>
      <c r="L1903" s="38"/>
      <c r="M1903" s="16"/>
      <c r="N1903" s="16"/>
      <c r="O1903" s="16"/>
      <c r="P1903" s="15"/>
      <c r="Q1903" s="15"/>
      <c r="R1903" s="16"/>
      <c r="S1903" s="16"/>
      <c r="T1903" s="16"/>
      <c r="U1903" s="16"/>
      <c r="V1903" s="37" t="str">
        <f>IFERROR(__xludf.DUMMYFUNCTION("if(not(iserror(index(split(C1903, "" ""),2))), index(split(C1903, "" ""),1),"""")"),"")</f>
        <v/>
      </c>
      <c r="W1903" s="315" t="str">
        <f>IFERROR(__xludf.DUMMYFUNCTION("if(V1903="""",C1903,if(not(iserror(index(split(C1903, "" ""),3))), index(split(C1903, "" ""),3),index(split(C1903, "" ""),2)))"),"")</f>
        <v/>
      </c>
      <c r="X1903" s="38" t="b">
        <f t="shared" si="2"/>
        <v>0</v>
      </c>
      <c r="Y1903" s="38"/>
      <c r="Z1903" s="40"/>
      <c r="AA1903" s="40"/>
      <c r="AB1903" s="38"/>
      <c r="AC1903" s="38"/>
      <c r="AD1903" s="38"/>
      <c r="AE1903" s="38"/>
      <c r="AF1903" s="38"/>
      <c r="AG1903" s="38"/>
      <c r="AH1903" s="38"/>
      <c r="AI1903" s="38"/>
      <c r="AJ1903" s="38"/>
      <c r="AK1903" s="38"/>
      <c r="AL1903" s="38"/>
      <c r="AM1903" s="38"/>
      <c r="AN1903" s="38"/>
      <c r="AO1903" s="38"/>
      <c r="AP1903" s="38"/>
      <c r="AQ1903" s="38"/>
      <c r="AR1903" s="38"/>
      <c r="AS1903" s="38"/>
      <c r="AT1903" s="38"/>
      <c r="AU1903" s="38"/>
      <c r="AV1903" s="38"/>
      <c r="AW1903" s="38"/>
      <c r="AX1903" s="38"/>
      <c r="AY1903" s="38"/>
      <c r="AZ1903" s="38"/>
      <c r="BA1903" s="38"/>
      <c r="BB1903" s="38"/>
      <c r="BC1903" s="38"/>
      <c r="BD1903" s="38"/>
      <c r="BE1903" s="38"/>
      <c r="BF1903" s="38"/>
      <c r="BG1903" s="38"/>
    </row>
    <row r="1904">
      <c r="A1904" s="16"/>
      <c r="B1904" s="16"/>
      <c r="C1904" s="146"/>
      <c r="D1904" s="146"/>
      <c r="E1904" s="16"/>
      <c r="F1904" s="91"/>
      <c r="G1904" s="16"/>
      <c r="H1904" s="320" t="str">
        <f t="shared" si="1"/>
        <v/>
      </c>
      <c r="I1904" s="16"/>
      <c r="J1904" s="16"/>
      <c r="K1904" s="16"/>
      <c r="L1904" s="38"/>
      <c r="M1904" s="16"/>
      <c r="N1904" s="16"/>
      <c r="O1904" s="16"/>
      <c r="P1904" s="15"/>
      <c r="Q1904" s="15"/>
      <c r="R1904" s="16"/>
      <c r="S1904" s="16"/>
      <c r="T1904" s="16"/>
      <c r="U1904" s="16"/>
      <c r="V1904" s="37" t="str">
        <f>IFERROR(__xludf.DUMMYFUNCTION("if(not(iserror(index(split(C1904, "" ""),2))), index(split(C1904, "" ""),1),"""")"),"")</f>
        <v/>
      </c>
      <c r="W1904" s="315" t="str">
        <f>IFERROR(__xludf.DUMMYFUNCTION("if(V1904="""",C1904,if(not(iserror(index(split(C1904, "" ""),3))), index(split(C1904, "" ""),3),index(split(C1904, "" ""),2)))"),"")</f>
        <v/>
      </c>
      <c r="X1904" s="38" t="b">
        <f t="shared" si="2"/>
        <v>0</v>
      </c>
      <c r="Y1904" s="38"/>
      <c r="Z1904" s="40"/>
      <c r="AA1904" s="40"/>
      <c r="AB1904" s="38"/>
      <c r="AC1904" s="38"/>
      <c r="AD1904" s="38"/>
      <c r="AE1904" s="38"/>
      <c r="AF1904" s="38"/>
      <c r="AG1904" s="38"/>
      <c r="AH1904" s="38"/>
      <c r="AI1904" s="38"/>
      <c r="AJ1904" s="38"/>
      <c r="AK1904" s="38"/>
      <c r="AL1904" s="38"/>
      <c r="AM1904" s="38"/>
      <c r="AN1904" s="38"/>
      <c r="AO1904" s="38"/>
      <c r="AP1904" s="38"/>
      <c r="AQ1904" s="38"/>
      <c r="AR1904" s="38"/>
      <c r="AS1904" s="38"/>
      <c r="AT1904" s="38"/>
      <c r="AU1904" s="38"/>
      <c r="AV1904" s="38"/>
      <c r="AW1904" s="38"/>
      <c r="AX1904" s="38"/>
      <c r="AY1904" s="38"/>
      <c r="AZ1904" s="38"/>
      <c r="BA1904" s="38"/>
      <c r="BB1904" s="38"/>
      <c r="BC1904" s="38"/>
      <c r="BD1904" s="38"/>
      <c r="BE1904" s="38"/>
      <c r="BF1904" s="38"/>
      <c r="BG1904" s="38"/>
    </row>
    <row r="1905">
      <c r="A1905" s="16"/>
      <c r="B1905" s="16"/>
      <c r="C1905" s="146"/>
      <c r="D1905" s="146"/>
      <c r="E1905" s="16"/>
      <c r="F1905" s="91"/>
      <c r="G1905" s="16"/>
      <c r="H1905" s="320" t="str">
        <f t="shared" si="1"/>
        <v/>
      </c>
      <c r="I1905" s="16"/>
      <c r="J1905" s="16"/>
      <c r="K1905" s="16"/>
      <c r="L1905" s="38"/>
      <c r="M1905" s="16"/>
      <c r="N1905" s="16"/>
      <c r="O1905" s="16"/>
      <c r="P1905" s="15"/>
      <c r="Q1905" s="15"/>
      <c r="R1905" s="16"/>
      <c r="S1905" s="16"/>
      <c r="T1905" s="16"/>
      <c r="U1905" s="16"/>
      <c r="V1905" s="37" t="str">
        <f>IFERROR(__xludf.DUMMYFUNCTION("if(not(iserror(index(split(C1905, "" ""),2))), index(split(C1905, "" ""),1),"""")"),"")</f>
        <v/>
      </c>
      <c r="W1905" s="315" t="str">
        <f>IFERROR(__xludf.DUMMYFUNCTION("if(V1905="""",C1905,if(not(iserror(index(split(C1905, "" ""),3))), index(split(C1905, "" ""),3),index(split(C1905, "" ""),2)))"),"")</f>
        <v/>
      </c>
      <c r="X1905" s="38" t="b">
        <f t="shared" si="2"/>
        <v>0</v>
      </c>
      <c r="Y1905" s="38"/>
      <c r="Z1905" s="40"/>
      <c r="AA1905" s="40"/>
      <c r="AB1905" s="38"/>
      <c r="AC1905" s="38"/>
      <c r="AD1905" s="38"/>
      <c r="AE1905" s="38"/>
      <c r="AF1905" s="38"/>
      <c r="AG1905" s="38"/>
      <c r="AH1905" s="38"/>
      <c r="AI1905" s="38"/>
      <c r="AJ1905" s="38"/>
      <c r="AK1905" s="38"/>
      <c r="AL1905" s="38"/>
      <c r="AM1905" s="38"/>
      <c r="AN1905" s="38"/>
      <c r="AO1905" s="38"/>
      <c r="AP1905" s="38"/>
      <c r="AQ1905" s="38"/>
      <c r="AR1905" s="38"/>
      <c r="AS1905" s="38"/>
      <c r="AT1905" s="38"/>
      <c r="AU1905" s="38"/>
      <c r="AV1905" s="38"/>
      <c r="AW1905" s="38"/>
      <c r="AX1905" s="38"/>
      <c r="AY1905" s="38"/>
      <c r="AZ1905" s="38"/>
      <c r="BA1905" s="38"/>
      <c r="BB1905" s="38"/>
      <c r="BC1905" s="38"/>
      <c r="BD1905" s="38"/>
      <c r="BE1905" s="38"/>
      <c r="BF1905" s="38"/>
      <c r="BG1905" s="38"/>
    </row>
    <row r="1906">
      <c r="A1906" s="16"/>
      <c r="B1906" s="16"/>
      <c r="C1906" s="146"/>
      <c r="D1906" s="146"/>
      <c r="E1906" s="16"/>
      <c r="F1906" s="91"/>
      <c r="G1906" s="16"/>
      <c r="H1906" s="320" t="str">
        <f t="shared" si="1"/>
        <v/>
      </c>
      <c r="I1906" s="16"/>
      <c r="J1906" s="16"/>
      <c r="K1906" s="16"/>
      <c r="L1906" s="38"/>
      <c r="M1906" s="16"/>
      <c r="N1906" s="16"/>
      <c r="O1906" s="16"/>
      <c r="P1906" s="15"/>
      <c r="Q1906" s="15"/>
      <c r="R1906" s="16"/>
      <c r="S1906" s="16"/>
      <c r="T1906" s="16"/>
      <c r="U1906" s="16"/>
      <c r="V1906" s="37" t="str">
        <f>IFERROR(__xludf.DUMMYFUNCTION("if(not(iserror(index(split(C1906, "" ""),2))), index(split(C1906, "" ""),1),"""")"),"")</f>
        <v/>
      </c>
      <c r="W1906" s="315" t="str">
        <f>IFERROR(__xludf.DUMMYFUNCTION("if(V1906="""",C1906,if(not(iserror(index(split(C1906, "" ""),3))), index(split(C1906, "" ""),3),index(split(C1906, "" ""),2)))"),"")</f>
        <v/>
      </c>
      <c r="X1906" s="38" t="b">
        <f t="shared" si="2"/>
        <v>0</v>
      </c>
      <c r="Y1906" s="38"/>
      <c r="Z1906" s="40"/>
      <c r="AA1906" s="40"/>
      <c r="AB1906" s="38"/>
      <c r="AC1906" s="38"/>
      <c r="AD1906" s="38"/>
      <c r="AE1906" s="38"/>
      <c r="AF1906" s="38"/>
      <c r="AG1906" s="38"/>
      <c r="AH1906" s="38"/>
      <c r="AI1906" s="38"/>
      <c r="AJ1906" s="38"/>
      <c r="AK1906" s="38"/>
      <c r="AL1906" s="38"/>
      <c r="AM1906" s="38"/>
      <c r="AN1906" s="38"/>
      <c r="AO1906" s="38"/>
      <c r="AP1906" s="38"/>
      <c r="AQ1906" s="38"/>
      <c r="AR1906" s="38"/>
      <c r="AS1906" s="38"/>
      <c r="AT1906" s="38"/>
      <c r="AU1906" s="38"/>
      <c r="AV1906" s="38"/>
      <c r="AW1906" s="38"/>
      <c r="AX1906" s="38"/>
      <c r="AY1906" s="38"/>
      <c r="AZ1906" s="38"/>
      <c r="BA1906" s="38"/>
      <c r="BB1906" s="38"/>
      <c r="BC1906" s="38"/>
      <c r="BD1906" s="38"/>
      <c r="BE1906" s="38"/>
      <c r="BF1906" s="38"/>
      <c r="BG1906" s="38"/>
    </row>
    <row r="1907">
      <c r="A1907" s="16"/>
      <c r="B1907" s="16"/>
      <c r="C1907" s="146"/>
      <c r="D1907" s="146"/>
      <c r="E1907" s="16"/>
      <c r="F1907" s="91"/>
      <c r="G1907" s="16"/>
      <c r="H1907" s="320" t="str">
        <f t="shared" si="1"/>
        <v/>
      </c>
      <c r="I1907" s="16"/>
      <c r="J1907" s="16"/>
      <c r="K1907" s="16"/>
      <c r="L1907" s="38"/>
      <c r="M1907" s="16"/>
      <c r="N1907" s="16"/>
      <c r="O1907" s="16"/>
      <c r="P1907" s="15"/>
      <c r="Q1907" s="15"/>
      <c r="R1907" s="16"/>
      <c r="S1907" s="16"/>
      <c r="T1907" s="16"/>
      <c r="U1907" s="16"/>
      <c r="V1907" s="37" t="str">
        <f>IFERROR(__xludf.DUMMYFUNCTION("if(not(iserror(index(split(C1907, "" ""),2))), index(split(C1907, "" ""),1),"""")"),"")</f>
        <v/>
      </c>
      <c r="W1907" s="315" t="str">
        <f>IFERROR(__xludf.DUMMYFUNCTION("if(V1907="""",C1907,if(not(iserror(index(split(C1907, "" ""),3))), index(split(C1907, "" ""),3),index(split(C1907, "" ""),2)))"),"")</f>
        <v/>
      </c>
      <c r="X1907" s="38" t="b">
        <f t="shared" si="2"/>
        <v>0</v>
      </c>
      <c r="Y1907" s="38"/>
      <c r="Z1907" s="40"/>
      <c r="AA1907" s="40"/>
      <c r="AB1907" s="38"/>
      <c r="AC1907" s="38"/>
      <c r="AD1907" s="38"/>
      <c r="AE1907" s="38"/>
      <c r="AF1907" s="38"/>
      <c r="AG1907" s="38"/>
      <c r="AH1907" s="38"/>
      <c r="AI1907" s="38"/>
      <c r="AJ1907" s="38"/>
      <c r="AK1907" s="38"/>
      <c r="AL1907" s="38"/>
      <c r="AM1907" s="38"/>
      <c r="AN1907" s="38"/>
      <c r="AO1907" s="38"/>
      <c r="AP1907" s="38"/>
      <c r="AQ1907" s="38"/>
      <c r="AR1907" s="38"/>
      <c r="AS1907" s="38"/>
      <c r="AT1907" s="38"/>
      <c r="AU1907" s="38"/>
      <c r="AV1907" s="38"/>
      <c r="AW1907" s="38"/>
      <c r="AX1907" s="38"/>
      <c r="AY1907" s="38"/>
      <c r="AZ1907" s="38"/>
      <c r="BA1907" s="38"/>
      <c r="BB1907" s="38"/>
      <c r="BC1907" s="38"/>
      <c r="BD1907" s="38"/>
      <c r="BE1907" s="38"/>
      <c r="BF1907" s="38"/>
      <c r="BG1907" s="38"/>
    </row>
    <row r="1908">
      <c r="A1908" s="16"/>
      <c r="B1908" s="16"/>
      <c r="C1908" s="146"/>
      <c r="D1908" s="146"/>
      <c r="E1908" s="16"/>
      <c r="F1908" s="91"/>
      <c r="G1908" s="16"/>
      <c r="H1908" s="320" t="str">
        <f t="shared" si="1"/>
        <v/>
      </c>
      <c r="I1908" s="16"/>
      <c r="J1908" s="16"/>
      <c r="K1908" s="16"/>
      <c r="L1908" s="38"/>
      <c r="M1908" s="16"/>
      <c r="N1908" s="16"/>
      <c r="O1908" s="16"/>
      <c r="P1908" s="15"/>
      <c r="Q1908" s="15"/>
      <c r="R1908" s="16"/>
      <c r="S1908" s="16"/>
      <c r="T1908" s="16"/>
      <c r="U1908" s="16"/>
      <c r="V1908" s="37" t="str">
        <f>IFERROR(__xludf.DUMMYFUNCTION("if(not(iserror(index(split(C1908, "" ""),2))), index(split(C1908, "" ""),1),"""")"),"")</f>
        <v/>
      </c>
      <c r="W1908" s="315" t="str">
        <f>IFERROR(__xludf.DUMMYFUNCTION("if(V1908="""",C1908,if(not(iserror(index(split(C1908, "" ""),3))), index(split(C1908, "" ""),3),index(split(C1908, "" ""),2)))"),"")</f>
        <v/>
      </c>
      <c r="X1908" s="38" t="b">
        <f t="shared" si="2"/>
        <v>0</v>
      </c>
      <c r="Y1908" s="38"/>
      <c r="Z1908" s="40"/>
      <c r="AA1908" s="40"/>
      <c r="AB1908" s="38"/>
      <c r="AC1908" s="38"/>
      <c r="AD1908" s="38"/>
      <c r="AE1908" s="38"/>
      <c r="AF1908" s="38"/>
      <c r="AG1908" s="38"/>
      <c r="AH1908" s="38"/>
      <c r="AI1908" s="38"/>
      <c r="AJ1908" s="38"/>
      <c r="AK1908" s="38"/>
      <c r="AL1908" s="38"/>
      <c r="AM1908" s="38"/>
      <c r="AN1908" s="38"/>
      <c r="AO1908" s="38"/>
      <c r="AP1908" s="38"/>
      <c r="AQ1908" s="38"/>
      <c r="AR1908" s="38"/>
      <c r="AS1908" s="38"/>
      <c r="AT1908" s="38"/>
      <c r="AU1908" s="38"/>
      <c r="AV1908" s="38"/>
      <c r="AW1908" s="38"/>
      <c r="AX1908" s="38"/>
      <c r="AY1908" s="38"/>
      <c r="AZ1908" s="38"/>
      <c r="BA1908" s="38"/>
      <c r="BB1908" s="38"/>
      <c r="BC1908" s="38"/>
      <c r="BD1908" s="38"/>
      <c r="BE1908" s="38"/>
      <c r="BF1908" s="38"/>
      <c r="BG1908" s="38"/>
    </row>
    <row r="1909">
      <c r="A1909" s="16"/>
      <c r="B1909" s="16"/>
      <c r="C1909" s="146"/>
      <c r="D1909" s="146"/>
      <c r="E1909" s="16"/>
      <c r="F1909" s="91"/>
      <c r="G1909" s="16"/>
      <c r="H1909" s="320" t="str">
        <f t="shared" si="1"/>
        <v/>
      </c>
      <c r="I1909" s="16"/>
      <c r="J1909" s="16"/>
      <c r="K1909" s="16"/>
      <c r="L1909" s="38"/>
      <c r="M1909" s="16"/>
      <c r="N1909" s="16"/>
      <c r="O1909" s="16"/>
      <c r="P1909" s="15"/>
      <c r="Q1909" s="15"/>
      <c r="R1909" s="16"/>
      <c r="S1909" s="16"/>
      <c r="T1909" s="16"/>
      <c r="U1909" s="16"/>
      <c r="V1909" s="37" t="str">
        <f>IFERROR(__xludf.DUMMYFUNCTION("if(not(iserror(index(split(C1909, "" ""),2))), index(split(C1909, "" ""),1),"""")"),"")</f>
        <v/>
      </c>
      <c r="W1909" s="315" t="str">
        <f>IFERROR(__xludf.DUMMYFUNCTION("if(V1909="""",C1909,if(not(iserror(index(split(C1909, "" ""),3))), index(split(C1909, "" ""),3),index(split(C1909, "" ""),2)))"),"")</f>
        <v/>
      </c>
      <c r="X1909" s="38" t="b">
        <f t="shared" si="2"/>
        <v>0</v>
      </c>
      <c r="Y1909" s="38"/>
      <c r="Z1909" s="40"/>
      <c r="AA1909" s="40"/>
      <c r="AB1909" s="38"/>
      <c r="AC1909" s="38"/>
      <c r="AD1909" s="38"/>
      <c r="AE1909" s="38"/>
      <c r="AF1909" s="38"/>
      <c r="AG1909" s="38"/>
      <c r="AH1909" s="38"/>
      <c r="AI1909" s="38"/>
      <c r="AJ1909" s="38"/>
      <c r="AK1909" s="38"/>
      <c r="AL1909" s="38"/>
      <c r="AM1909" s="38"/>
      <c r="AN1909" s="38"/>
      <c r="AO1909" s="38"/>
      <c r="AP1909" s="38"/>
      <c r="AQ1909" s="38"/>
      <c r="AR1909" s="38"/>
      <c r="AS1909" s="38"/>
      <c r="AT1909" s="38"/>
      <c r="AU1909" s="38"/>
      <c r="AV1909" s="38"/>
      <c r="AW1909" s="38"/>
      <c r="AX1909" s="38"/>
      <c r="AY1909" s="38"/>
      <c r="AZ1909" s="38"/>
      <c r="BA1909" s="38"/>
      <c r="BB1909" s="38"/>
      <c r="BC1909" s="38"/>
      <c r="BD1909" s="38"/>
      <c r="BE1909" s="38"/>
      <c r="BF1909" s="38"/>
      <c r="BG1909" s="38"/>
    </row>
    <row r="1910">
      <c r="A1910" s="16"/>
      <c r="B1910" s="16"/>
      <c r="C1910" s="146"/>
      <c r="D1910" s="146"/>
      <c r="E1910" s="16"/>
      <c r="F1910" s="91"/>
      <c r="G1910" s="16"/>
      <c r="H1910" s="320" t="str">
        <f t="shared" si="1"/>
        <v/>
      </c>
      <c r="I1910" s="16"/>
      <c r="J1910" s="16"/>
      <c r="K1910" s="16"/>
      <c r="L1910" s="38"/>
      <c r="M1910" s="16"/>
      <c r="N1910" s="16"/>
      <c r="O1910" s="16"/>
      <c r="P1910" s="15"/>
      <c r="Q1910" s="15"/>
      <c r="R1910" s="16"/>
      <c r="S1910" s="16"/>
      <c r="T1910" s="16"/>
      <c r="U1910" s="16"/>
      <c r="V1910" s="37" t="str">
        <f>IFERROR(__xludf.DUMMYFUNCTION("if(not(iserror(index(split(C1910, "" ""),2))), index(split(C1910, "" ""),1),"""")"),"")</f>
        <v/>
      </c>
      <c r="W1910" s="315" t="str">
        <f>IFERROR(__xludf.DUMMYFUNCTION("if(V1910="""",C1910,if(not(iserror(index(split(C1910, "" ""),3))), index(split(C1910, "" ""),3),index(split(C1910, "" ""),2)))"),"")</f>
        <v/>
      </c>
      <c r="X1910" s="38" t="b">
        <f t="shared" si="2"/>
        <v>0</v>
      </c>
      <c r="Y1910" s="38"/>
      <c r="Z1910" s="40"/>
      <c r="AA1910" s="40"/>
      <c r="AB1910" s="38"/>
      <c r="AC1910" s="38"/>
      <c r="AD1910" s="38"/>
      <c r="AE1910" s="38"/>
      <c r="AF1910" s="38"/>
      <c r="AG1910" s="38"/>
      <c r="AH1910" s="38"/>
      <c r="AI1910" s="38"/>
      <c r="AJ1910" s="38"/>
      <c r="AK1910" s="38"/>
      <c r="AL1910" s="38"/>
      <c r="AM1910" s="38"/>
      <c r="AN1910" s="38"/>
      <c r="AO1910" s="38"/>
      <c r="AP1910" s="38"/>
      <c r="AQ1910" s="38"/>
      <c r="AR1910" s="38"/>
      <c r="AS1910" s="38"/>
      <c r="AT1910" s="38"/>
      <c r="AU1910" s="38"/>
      <c r="AV1910" s="38"/>
      <c r="AW1910" s="38"/>
      <c r="AX1910" s="38"/>
      <c r="AY1910" s="38"/>
      <c r="AZ1910" s="38"/>
      <c r="BA1910" s="38"/>
      <c r="BB1910" s="38"/>
      <c r="BC1910" s="38"/>
      <c r="BD1910" s="38"/>
      <c r="BE1910" s="38"/>
      <c r="BF1910" s="38"/>
      <c r="BG1910" s="38"/>
    </row>
    <row r="1911">
      <c r="A1911" s="16"/>
      <c r="B1911" s="16"/>
      <c r="C1911" s="146"/>
      <c r="D1911" s="146"/>
      <c r="E1911" s="16"/>
      <c r="F1911" s="91"/>
      <c r="G1911" s="16"/>
      <c r="H1911" s="320" t="str">
        <f t="shared" si="1"/>
        <v/>
      </c>
      <c r="I1911" s="16"/>
      <c r="J1911" s="16"/>
      <c r="K1911" s="16"/>
      <c r="L1911" s="38"/>
      <c r="M1911" s="16"/>
      <c r="N1911" s="16"/>
      <c r="O1911" s="16"/>
      <c r="P1911" s="15"/>
      <c r="Q1911" s="15"/>
      <c r="R1911" s="16"/>
      <c r="S1911" s="16"/>
      <c r="T1911" s="16"/>
      <c r="U1911" s="16"/>
      <c r="V1911" s="37" t="str">
        <f>IFERROR(__xludf.DUMMYFUNCTION("if(not(iserror(index(split(C1911, "" ""),2))), index(split(C1911, "" ""),1),"""")"),"")</f>
        <v/>
      </c>
      <c r="W1911" s="315" t="str">
        <f>IFERROR(__xludf.DUMMYFUNCTION("if(V1911="""",C1911,if(not(iserror(index(split(C1911, "" ""),3))), index(split(C1911, "" ""),3),index(split(C1911, "" ""),2)))"),"")</f>
        <v/>
      </c>
      <c r="X1911" s="38" t="b">
        <f t="shared" si="2"/>
        <v>0</v>
      </c>
      <c r="Y1911" s="38"/>
      <c r="Z1911" s="40"/>
      <c r="AA1911" s="40"/>
      <c r="AB1911" s="38"/>
      <c r="AC1911" s="38"/>
      <c r="AD1911" s="38"/>
      <c r="AE1911" s="38"/>
      <c r="AF1911" s="38"/>
      <c r="AG1911" s="38"/>
      <c r="AH1911" s="38"/>
      <c r="AI1911" s="38"/>
      <c r="AJ1911" s="38"/>
      <c r="AK1911" s="38"/>
      <c r="AL1911" s="38"/>
      <c r="AM1911" s="38"/>
      <c r="AN1911" s="38"/>
      <c r="AO1911" s="38"/>
      <c r="AP1911" s="38"/>
      <c r="AQ1911" s="38"/>
      <c r="AR1911" s="38"/>
      <c r="AS1911" s="38"/>
      <c r="AT1911" s="38"/>
      <c r="AU1911" s="38"/>
      <c r="AV1911" s="38"/>
      <c r="AW1911" s="38"/>
      <c r="AX1911" s="38"/>
      <c r="AY1911" s="38"/>
      <c r="AZ1911" s="38"/>
      <c r="BA1911" s="38"/>
      <c r="BB1911" s="38"/>
      <c r="BC1911" s="38"/>
      <c r="BD1911" s="38"/>
      <c r="BE1911" s="38"/>
      <c r="BF1911" s="38"/>
      <c r="BG1911" s="38"/>
    </row>
    <row r="1912">
      <c r="A1912" s="16"/>
      <c r="B1912" s="16"/>
      <c r="C1912" s="146"/>
      <c r="D1912" s="146"/>
      <c r="E1912" s="16"/>
      <c r="F1912" s="91"/>
      <c r="G1912" s="16"/>
      <c r="H1912" s="320" t="str">
        <f t="shared" si="1"/>
        <v/>
      </c>
      <c r="I1912" s="16"/>
      <c r="J1912" s="16"/>
      <c r="K1912" s="16"/>
      <c r="L1912" s="38"/>
      <c r="M1912" s="16"/>
      <c r="N1912" s="16"/>
      <c r="O1912" s="16"/>
      <c r="P1912" s="15"/>
      <c r="Q1912" s="15"/>
      <c r="R1912" s="16"/>
      <c r="S1912" s="16"/>
      <c r="T1912" s="16"/>
      <c r="U1912" s="16"/>
      <c r="V1912" s="37" t="str">
        <f>IFERROR(__xludf.DUMMYFUNCTION("if(not(iserror(index(split(C1912, "" ""),2))), index(split(C1912, "" ""),1),"""")"),"")</f>
        <v/>
      </c>
      <c r="W1912" s="315" t="str">
        <f>IFERROR(__xludf.DUMMYFUNCTION("if(V1912="""",C1912,if(not(iserror(index(split(C1912, "" ""),3))), index(split(C1912, "" ""),3),index(split(C1912, "" ""),2)))"),"")</f>
        <v/>
      </c>
      <c r="X1912" s="38" t="b">
        <f t="shared" si="2"/>
        <v>0</v>
      </c>
      <c r="Y1912" s="38"/>
      <c r="Z1912" s="40"/>
      <c r="AA1912" s="40"/>
      <c r="AB1912" s="38"/>
      <c r="AC1912" s="38"/>
      <c r="AD1912" s="38"/>
      <c r="AE1912" s="38"/>
      <c r="AF1912" s="38"/>
      <c r="AG1912" s="38"/>
      <c r="AH1912" s="38"/>
      <c r="AI1912" s="38"/>
      <c r="AJ1912" s="38"/>
      <c r="AK1912" s="38"/>
      <c r="AL1912" s="38"/>
      <c r="AM1912" s="38"/>
      <c r="AN1912" s="38"/>
      <c r="AO1912" s="38"/>
      <c r="AP1912" s="38"/>
      <c r="AQ1912" s="38"/>
      <c r="AR1912" s="38"/>
      <c r="AS1912" s="38"/>
      <c r="AT1912" s="38"/>
      <c r="AU1912" s="38"/>
      <c r="AV1912" s="38"/>
      <c r="AW1912" s="38"/>
      <c r="AX1912" s="38"/>
      <c r="AY1912" s="38"/>
      <c r="AZ1912" s="38"/>
      <c r="BA1912" s="38"/>
      <c r="BB1912" s="38"/>
      <c r="BC1912" s="38"/>
      <c r="BD1912" s="38"/>
      <c r="BE1912" s="38"/>
      <c r="BF1912" s="38"/>
      <c r="BG1912" s="38"/>
    </row>
    <row r="1913">
      <c r="A1913" s="16"/>
      <c r="B1913" s="16"/>
      <c r="C1913" s="146"/>
      <c r="D1913" s="146"/>
      <c r="E1913" s="16"/>
      <c r="F1913" s="91"/>
      <c r="G1913" s="16"/>
      <c r="H1913" s="320" t="str">
        <f t="shared" si="1"/>
        <v/>
      </c>
      <c r="I1913" s="16"/>
      <c r="J1913" s="16"/>
      <c r="K1913" s="16"/>
      <c r="L1913" s="38"/>
      <c r="M1913" s="16"/>
      <c r="N1913" s="16"/>
      <c r="O1913" s="16"/>
      <c r="P1913" s="15"/>
      <c r="Q1913" s="15"/>
      <c r="R1913" s="16"/>
      <c r="S1913" s="16"/>
      <c r="T1913" s="16"/>
      <c r="U1913" s="16"/>
      <c r="V1913" s="37" t="str">
        <f>IFERROR(__xludf.DUMMYFUNCTION("if(not(iserror(index(split(C1913, "" ""),2))), index(split(C1913, "" ""),1),"""")"),"")</f>
        <v/>
      </c>
      <c r="W1913" s="315" t="str">
        <f>IFERROR(__xludf.DUMMYFUNCTION("if(V1913="""",C1913,if(not(iserror(index(split(C1913, "" ""),3))), index(split(C1913, "" ""),3),index(split(C1913, "" ""),2)))"),"")</f>
        <v/>
      </c>
      <c r="X1913" s="38" t="b">
        <f t="shared" si="2"/>
        <v>0</v>
      </c>
      <c r="Y1913" s="38"/>
      <c r="Z1913" s="40"/>
      <c r="AA1913" s="40"/>
      <c r="AB1913" s="38"/>
      <c r="AC1913" s="38"/>
      <c r="AD1913" s="38"/>
      <c r="AE1913" s="38"/>
      <c r="AF1913" s="38"/>
      <c r="AG1913" s="38"/>
      <c r="AH1913" s="38"/>
      <c r="AI1913" s="38"/>
      <c r="AJ1913" s="38"/>
      <c r="AK1913" s="38"/>
      <c r="AL1913" s="38"/>
      <c r="AM1913" s="38"/>
      <c r="AN1913" s="38"/>
      <c r="AO1913" s="38"/>
      <c r="AP1913" s="38"/>
      <c r="AQ1913" s="38"/>
      <c r="AR1913" s="38"/>
      <c r="AS1913" s="38"/>
      <c r="AT1913" s="38"/>
      <c r="AU1913" s="38"/>
      <c r="AV1913" s="38"/>
      <c r="AW1913" s="38"/>
      <c r="AX1913" s="38"/>
      <c r="AY1913" s="38"/>
      <c r="AZ1913" s="38"/>
      <c r="BA1913" s="38"/>
      <c r="BB1913" s="38"/>
      <c r="BC1913" s="38"/>
      <c r="BD1913" s="38"/>
      <c r="BE1913" s="38"/>
      <c r="BF1913" s="38"/>
      <c r="BG1913" s="38"/>
    </row>
    <row r="1914">
      <c r="A1914" s="16"/>
      <c r="B1914" s="16"/>
      <c r="C1914" s="146"/>
      <c r="D1914" s="146"/>
      <c r="E1914" s="16"/>
      <c r="F1914" s="91"/>
      <c r="G1914" s="16"/>
      <c r="H1914" s="320" t="str">
        <f t="shared" si="1"/>
        <v/>
      </c>
      <c r="I1914" s="16"/>
      <c r="J1914" s="16"/>
      <c r="K1914" s="16"/>
      <c r="L1914" s="38"/>
      <c r="M1914" s="16"/>
      <c r="N1914" s="16"/>
      <c r="O1914" s="16"/>
      <c r="P1914" s="15"/>
      <c r="Q1914" s="15"/>
      <c r="R1914" s="16"/>
      <c r="S1914" s="16"/>
      <c r="T1914" s="16"/>
      <c r="U1914" s="16"/>
      <c r="V1914" s="37" t="str">
        <f>IFERROR(__xludf.DUMMYFUNCTION("if(not(iserror(index(split(C1914, "" ""),2))), index(split(C1914, "" ""),1),"""")"),"")</f>
        <v/>
      </c>
      <c r="W1914" s="315" t="str">
        <f>IFERROR(__xludf.DUMMYFUNCTION("if(V1914="""",C1914,if(not(iserror(index(split(C1914, "" ""),3))), index(split(C1914, "" ""),3),index(split(C1914, "" ""),2)))"),"")</f>
        <v/>
      </c>
      <c r="X1914" s="38" t="b">
        <f t="shared" si="2"/>
        <v>0</v>
      </c>
      <c r="Y1914" s="38"/>
      <c r="Z1914" s="40"/>
      <c r="AA1914" s="40"/>
      <c r="AB1914" s="38"/>
      <c r="AC1914" s="38"/>
      <c r="AD1914" s="38"/>
      <c r="AE1914" s="38"/>
      <c r="AF1914" s="38"/>
      <c r="AG1914" s="38"/>
      <c r="AH1914" s="38"/>
      <c r="AI1914" s="38"/>
      <c r="AJ1914" s="38"/>
      <c r="AK1914" s="38"/>
      <c r="AL1914" s="38"/>
      <c r="AM1914" s="38"/>
      <c r="AN1914" s="38"/>
      <c r="AO1914" s="38"/>
      <c r="AP1914" s="38"/>
      <c r="AQ1914" s="38"/>
      <c r="AR1914" s="38"/>
      <c r="AS1914" s="38"/>
      <c r="AT1914" s="38"/>
      <c r="AU1914" s="38"/>
      <c r="AV1914" s="38"/>
      <c r="AW1914" s="38"/>
      <c r="AX1914" s="38"/>
      <c r="AY1914" s="38"/>
      <c r="AZ1914" s="38"/>
      <c r="BA1914" s="38"/>
      <c r="BB1914" s="38"/>
      <c r="BC1914" s="38"/>
      <c r="BD1914" s="38"/>
      <c r="BE1914" s="38"/>
      <c r="BF1914" s="38"/>
      <c r="BG1914" s="38"/>
    </row>
    <row r="1915">
      <c r="A1915" s="16"/>
      <c r="B1915" s="16"/>
      <c r="C1915" s="146"/>
      <c r="D1915" s="146"/>
      <c r="E1915" s="16"/>
      <c r="F1915" s="91"/>
      <c r="G1915" s="16"/>
      <c r="H1915" s="320" t="str">
        <f t="shared" si="1"/>
        <v/>
      </c>
      <c r="I1915" s="16"/>
      <c r="J1915" s="16"/>
      <c r="K1915" s="16"/>
      <c r="L1915" s="38"/>
      <c r="M1915" s="16"/>
      <c r="N1915" s="16"/>
      <c r="O1915" s="16"/>
      <c r="P1915" s="15"/>
      <c r="Q1915" s="15"/>
      <c r="R1915" s="16"/>
      <c r="S1915" s="16"/>
      <c r="T1915" s="16"/>
      <c r="U1915" s="16"/>
      <c r="V1915" s="37" t="str">
        <f>IFERROR(__xludf.DUMMYFUNCTION("if(not(iserror(index(split(C1915, "" ""),2))), index(split(C1915, "" ""),1),"""")"),"")</f>
        <v/>
      </c>
      <c r="W1915" s="315" t="str">
        <f>IFERROR(__xludf.DUMMYFUNCTION("if(V1915="""",C1915,if(not(iserror(index(split(C1915, "" ""),3))), index(split(C1915, "" ""),3),index(split(C1915, "" ""),2)))"),"")</f>
        <v/>
      </c>
      <c r="X1915" s="38" t="b">
        <f t="shared" si="2"/>
        <v>0</v>
      </c>
      <c r="Y1915" s="38"/>
      <c r="Z1915" s="40"/>
      <c r="AA1915" s="40"/>
      <c r="AB1915" s="38"/>
      <c r="AC1915" s="38"/>
      <c r="AD1915" s="38"/>
      <c r="AE1915" s="38"/>
      <c r="AF1915" s="38"/>
      <c r="AG1915" s="38"/>
      <c r="AH1915" s="38"/>
      <c r="AI1915" s="38"/>
      <c r="AJ1915" s="38"/>
      <c r="AK1915" s="38"/>
      <c r="AL1915" s="38"/>
      <c r="AM1915" s="38"/>
      <c r="AN1915" s="38"/>
      <c r="AO1915" s="38"/>
      <c r="AP1915" s="38"/>
      <c r="AQ1915" s="38"/>
      <c r="AR1915" s="38"/>
      <c r="AS1915" s="38"/>
      <c r="AT1915" s="38"/>
      <c r="AU1915" s="38"/>
      <c r="AV1915" s="38"/>
      <c r="AW1915" s="38"/>
      <c r="AX1915" s="38"/>
      <c r="AY1915" s="38"/>
      <c r="AZ1915" s="38"/>
      <c r="BA1915" s="38"/>
      <c r="BB1915" s="38"/>
      <c r="BC1915" s="38"/>
      <c r="BD1915" s="38"/>
      <c r="BE1915" s="38"/>
      <c r="BF1915" s="38"/>
      <c r="BG1915" s="38"/>
    </row>
    <row r="1916">
      <c r="A1916" s="16"/>
      <c r="B1916" s="16"/>
      <c r="C1916" s="146"/>
      <c r="D1916" s="146"/>
      <c r="E1916" s="16"/>
      <c r="F1916" s="91"/>
      <c r="G1916" s="16"/>
      <c r="H1916" s="320" t="str">
        <f t="shared" si="1"/>
        <v/>
      </c>
      <c r="I1916" s="16"/>
      <c r="J1916" s="16"/>
      <c r="K1916" s="16"/>
      <c r="L1916" s="38"/>
      <c r="M1916" s="16"/>
      <c r="N1916" s="16"/>
      <c r="O1916" s="16"/>
      <c r="P1916" s="15"/>
      <c r="Q1916" s="15"/>
      <c r="R1916" s="16"/>
      <c r="S1916" s="16"/>
      <c r="T1916" s="16"/>
      <c r="U1916" s="16"/>
      <c r="V1916" s="37" t="str">
        <f>IFERROR(__xludf.DUMMYFUNCTION("if(not(iserror(index(split(C1916, "" ""),2))), index(split(C1916, "" ""),1),"""")"),"")</f>
        <v/>
      </c>
      <c r="W1916" s="315" t="str">
        <f>IFERROR(__xludf.DUMMYFUNCTION("if(V1916="""",C1916,if(not(iserror(index(split(C1916, "" ""),3))), index(split(C1916, "" ""),3),index(split(C1916, "" ""),2)))"),"")</f>
        <v/>
      </c>
      <c r="X1916" s="38" t="b">
        <f t="shared" si="2"/>
        <v>0</v>
      </c>
      <c r="Y1916" s="38"/>
      <c r="Z1916" s="40"/>
      <c r="AA1916" s="40"/>
      <c r="AB1916" s="38"/>
      <c r="AC1916" s="38"/>
      <c r="AD1916" s="38"/>
      <c r="AE1916" s="38"/>
      <c r="AF1916" s="38"/>
      <c r="AG1916" s="38"/>
      <c r="AH1916" s="38"/>
      <c r="AI1916" s="38"/>
      <c r="AJ1916" s="38"/>
      <c r="AK1916" s="38"/>
      <c r="AL1916" s="38"/>
      <c r="AM1916" s="38"/>
      <c r="AN1916" s="38"/>
      <c r="AO1916" s="38"/>
      <c r="AP1916" s="38"/>
      <c r="AQ1916" s="38"/>
      <c r="AR1916" s="38"/>
      <c r="AS1916" s="38"/>
      <c r="AT1916" s="38"/>
      <c r="AU1916" s="38"/>
      <c r="AV1916" s="38"/>
      <c r="AW1916" s="38"/>
      <c r="AX1916" s="38"/>
      <c r="AY1916" s="38"/>
      <c r="AZ1916" s="38"/>
      <c r="BA1916" s="38"/>
      <c r="BB1916" s="38"/>
      <c r="BC1916" s="38"/>
      <c r="BD1916" s="38"/>
      <c r="BE1916" s="38"/>
      <c r="BF1916" s="38"/>
      <c r="BG1916" s="38"/>
    </row>
    <row r="1917">
      <c r="A1917" s="16"/>
      <c r="B1917" s="16"/>
      <c r="C1917" s="146"/>
      <c r="D1917" s="146"/>
      <c r="E1917" s="16"/>
      <c r="F1917" s="91"/>
      <c r="G1917" s="16"/>
      <c r="H1917" s="320" t="str">
        <f t="shared" si="1"/>
        <v/>
      </c>
      <c r="I1917" s="16"/>
      <c r="J1917" s="16"/>
      <c r="K1917" s="16"/>
      <c r="L1917" s="38"/>
      <c r="M1917" s="16"/>
      <c r="N1917" s="16"/>
      <c r="O1917" s="16"/>
      <c r="P1917" s="15"/>
      <c r="Q1917" s="15"/>
      <c r="R1917" s="16"/>
      <c r="S1917" s="16"/>
      <c r="T1917" s="16"/>
      <c r="U1917" s="16"/>
      <c r="V1917" s="37" t="str">
        <f>IFERROR(__xludf.DUMMYFUNCTION("if(not(iserror(index(split(C1917, "" ""),2))), index(split(C1917, "" ""),1),"""")"),"")</f>
        <v/>
      </c>
      <c r="W1917" s="315" t="str">
        <f>IFERROR(__xludf.DUMMYFUNCTION("if(V1917="""",C1917,if(not(iserror(index(split(C1917, "" ""),3))), index(split(C1917, "" ""),3),index(split(C1917, "" ""),2)))"),"")</f>
        <v/>
      </c>
      <c r="X1917" s="38" t="b">
        <f t="shared" si="2"/>
        <v>0</v>
      </c>
      <c r="Y1917" s="38"/>
      <c r="Z1917" s="40"/>
      <c r="AA1917" s="40"/>
      <c r="AB1917" s="38"/>
      <c r="AC1917" s="38"/>
      <c r="AD1917" s="38"/>
      <c r="AE1917" s="38"/>
      <c r="AF1917" s="38"/>
      <c r="AG1917" s="38"/>
      <c r="AH1917" s="38"/>
      <c r="AI1917" s="38"/>
      <c r="AJ1917" s="38"/>
      <c r="AK1917" s="38"/>
      <c r="AL1917" s="38"/>
      <c r="AM1917" s="38"/>
      <c r="AN1917" s="38"/>
      <c r="AO1917" s="38"/>
      <c r="AP1917" s="38"/>
      <c r="AQ1917" s="38"/>
      <c r="AR1917" s="38"/>
      <c r="AS1917" s="38"/>
      <c r="AT1917" s="38"/>
      <c r="AU1917" s="38"/>
      <c r="AV1917" s="38"/>
      <c r="AW1917" s="38"/>
      <c r="AX1917" s="38"/>
      <c r="AY1917" s="38"/>
      <c r="AZ1917" s="38"/>
      <c r="BA1917" s="38"/>
      <c r="BB1917" s="38"/>
      <c r="BC1917" s="38"/>
      <c r="BD1917" s="38"/>
      <c r="BE1917" s="38"/>
      <c r="BF1917" s="38"/>
      <c r="BG1917" s="38"/>
    </row>
    <row r="1918">
      <c r="A1918" s="16"/>
      <c r="B1918" s="16"/>
      <c r="C1918" s="146"/>
      <c r="D1918" s="146"/>
      <c r="E1918" s="16"/>
      <c r="F1918" s="91"/>
      <c r="G1918" s="16"/>
      <c r="H1918" s="320" t="str">
        <f t="shared" si="1"/>
        <v/>
      </c>
      <c r="I1918" s="16"/>
      <c r="J1918" s="16"/>
      <c r="K1918" s="16"/>
      <c r="L1918" s="38"/>
      <c r="M1918" s="16"/>
      <c r="N1918" s="16"/>
      <c r="O1918" s="16"/>
      <c r="P1918" s="15"/>
      <c r="Q1918" s="15"/>
      <c r="R1918" s="16"/>
      <c r="S1918" s="16"/>
      <c r="T1918" s="16"/>
      <c r="U1918" s="16"/>
      <c r="V1918" s="37" t="str">
        <f>IFERROR(__xludf.DUMMYFUNCTION("if(not(iserror(index(split(C1918, "" ""),2))), index(split(C1918, "" ""),1),"""")"),"")</f>
        <v/>
      </c>
      <c r="W1918" s="315" t="str">
        <f>IFERROR(__xludf.DUMMYFUNCTION("if(V1918="""",C1918,if(not(iserror(index(split(C1918, "" ""),3))), index(split(C1918, "" ""),3),index(split(C1918, "" ""),2)))"),"")</f>
        <v/>
      </c>
      <c r="X1918" s="38" t="b">
        <f t="shared" si="2"/>
        <v>0</v>
      </c>
      <c r="Y1918" s="38"/>
      <c r="Z1918" s="40"/>
      <c r="AA1918" s="40"/>
      <c r="AB1918" s="38"/>
      <c r="AC1918" s="38"/>
      <c r="AD1918" s="38"/>
      <c r="AE1918" s="38"/>
      <c r="AF1918" s="38"/>
      <c r="AG1918" s="38"/>
      <c r="AH1918" s="38"/>
      <c r="AI1918" s="38"/>
      <c r="AJ1918" s="38"/>
      <c r="AK1918" s="38"/>
      <c r="AL1918" s="38"/>
      <c r="AM1918" s="38"/>
      <c r="AN1918" s="38"/>
      <c r="AO1918" s="38"/>
      <c r="AP1918" s="38"/>
      <c r="AQ1918" s="38"/>
      <c r="AR1918" s="38"/>
      <c r="AS1918" s="38"/>
      <c r="AT1918" s="38"/>
      <c r="AU1918" s="38"/>
      <c r="AV1918" s="38"/>
      <c r="AW1918" s="38"/>
      <c r="AX1918" s="38"/>
      <c r="AY1918" s="38"/>
      <c r="AZ1918" s="38"/>
      <c r="BA1918" s="38"/>
      <c r="BB1918" s="38"/>
      <c r="BC1918" s="38"/>
      <c r="BD1918" s="38"/>
      <c r="BE1918" s="38"/>
      <c r="BF1918" s="38"/>
      <c r="BG1918" s="38"/>
    </row>
    <row r="1919">
      <c r="A1919" s="16"/>
      <c r="B1919" s="16"/>
      <c r="C1919" s="146"/>
      <c r="D1919" s="146"/>
      <c r="E1919" s="16"/>
      <c r="F1919" s="91"/>
      <c r="G1919" s="16"/>
      <c r="H1919" s="320" t="str">
        <f t="shared" si="1"/>
        <v/>
      </c>
      <c r="I1919" s="16"/>
      <c r="J1919" s="16"/>
      <c r="K1919" s="16"/>
      <c r="L1919" s="38"/>
      <c r="M1919" s="16"/>
      <c r="N1919" s="16"/>
      <c r="O1919" s="16"/>
      <c r="P1919" s="15"/>
      <c r="Q1919" s="15"/>
      <c r="R1919" s="16"/>
      <c r="S1919" s="16"/>
      <c r="T1919" s="16"/>
      <c r="U1919" s="16"/>
      <c r="V1919" s="37" t="str">
        <f>IFERROR(__xludf.DUMMYFUNCTION("if(not(iserror(index(split(C1919, "" ""),2))), index(split(C1919, "" ""),1),"""")"),"")</f>
        <v/>
      </c>
      <c r="W1919" s="315" t="str">
        <f>IFERROR(__xludf.DUMMYFUNCTION("if(V1919="""",C1919,if(not(iserror(index(split(C1919, "" ""),3))), index(split(C1919, "" ""),3),index(split(C1919, "" ""),2)))"),"")</f>
        <v/>
      </c>
      <c r="X1919" s="38" t="b">
        <f t="shared" si="2"/>
        <v>0</v>
      </c>
      <c r="Y1919" s="38"/>
      <c r="Z1919" s="40"/>
      <c r="AA1919" s="40"/>
      <c r="AB1919" s="38"/>
      <c r="AC1919" s="38"/>
      <c r="AD1919" s="38"/>
      <c r="AE1919" s="38"/>
      <c r="AF1919" s="38"/>
      <c r="AG1919" s="38"/>
      <c r="AH1919" s="38"/>
      <c r="AI1919" s="38"/>
      <c r="AJ1919" s="38"/>
      <c r="AK1919" s="38"/>
      <c r="AL1919" s="38"/>
      <c r="AM1919" s="38"/>
      <c r="AN1919" s="38"/>
      <c r="AO1919" s="38"/>
      <c r="AP1919" s="38"/>
      <c r="AQ1919" s="38"/>
      <c r="AR1919" s="38"/>
      <c r="AS1919" s="38"/>
      <c r="AT1919" s="38"/>
      <c r="AU1919" s="38"/>
      <c r="AV1919" s="38"/>
      <c r="AW1919" s="38"/>
      <c r="AX1919" s="38"/>
      <c r="AY1919" s="38"/>
      <c r="AZ1919" s="38"/>
      <c r="BA1919" s="38"/>
      <c r="BB1919" s="38"/>
      <c r="BC1919" s="38"/>
      <c r="BD1919" s="38"/>
      <c r="BE1919" s="38"/>
      <c r="BF1919" s="38"/>
      <c r="BG1919" s="38"/>
    </row>
    <row r="1920">
      <c r="A1920" s="16"/>
      <c r="B1920" s="16"/>
      <c r="C1920" s="146"/>
      <c r="D1920" s="146"/>
      <c r="E1920" s="16"/>
      <c r="F1920" s="91"/>
      <c r="G1920" s="16"/>
      <c r="H1920" s="320" t="str">
        <f t="shared" si="1"/>
        <v/>
      </c>
      <c r="I1920" s="16"/>
      <c r="J1920" s="16"/>
      <c r="K1920" s="16"/>
      <c r="L1920" s="38"/>
      <c r="M1920" s="16"/>
      <c r="N1920" s="16"/>
      <c r="O1920" s="16"/>
      <c r="P1920" s="15"/>
      <c r="Q1920" s="15"/>
      <c r="R1920" s="16"/>
      <c r="S1920" s="16"/>
      <c r="T1920" s="16"/>
      <c r="U1920" s="16"/>
      <c r="V1920" s="37" t="str">
        <f>IFERROR(__xludf.DUMMYFUNCTION("if(not(iserror(index(split(C1920, "" ""),2))), index(split(C1920, "" ""),1),"""")"),"")</f>
        <v/>
      </c>
      <c r="W1920" s="315" t="str">
        <f>IFERROR(__xludf.DUMMYFUNCTION("if(V1920="""",C1920,if(not(iserror(index(split(C1920, "" ""),3))), index(split(C1920, "" ""),3),index(split(C1920, "" ""),2)))"),"")</f>
        <v/>
      </c>
      <c r="X1920" s="38" t="b">
        <f t="shared" si="2"/>
        <v>0</v>
      </c>
      <c r="Y1920" s="38"/>
      <c r="Z1920" s="40"/>
      <c r="AA1920" s="40"/>
      <c r="AB1920" s="38"/>
      <c r="AC1920" s="38"/>
      <c r="AD1920" s="38"/>
      <c r="AE1920" s="38"/>
      <c r="AF1920" s="38"/>
      <c r="AG1920" s="38"/>
      <c r="AH1920" s="38"/>
      <c r="AI1920" s="38"/>
      <c r="AJ1920" s="38"/>
      <c r="AK1920" s="38"/>
      <c r="AL1920" s="38"/>
      <c r="AM1920" s="38"/>
      <c r="AN1920" s="38"/>
      <c r="AO1920" s="38"/>
      <c r="AP1920" s="38"/>
      <c r="AQ1920" s="38"/>
      <c r="AR1920" s="38"/>
      <c r="AS1920" s="38"/>
      <c r="AT1920" s="38"/>
      <c r="AU1920" s="38"/>
      <c r="AV1920" s="38"/>
      <c r="AW1920" s="38"/>
      <c r="AX1920" s="38"/>
      <c r="AY1920" s="38"/>
      <c r="AZ1920" s="38"/>
      <c r="BA1920" s="38"/>
      <c r="BB1920" s="38"/>
      <c r="BC1920" s="38"/>
      <c r="BD1920" s="38"/>
      <c r="BE1920" s="38"/>
      <c r="BF1920" s="38"/>
      <c r="BG1920" s="38"/>
    </row>
    <row r="1921">
      <c r="A1921" s="16"/>
      <c r="B1921" s="16"/>
      <c r="C1921" s="146"/>
      <c r="D1921" s="146"/>
      <c r="E1921" s="16"/>
      <c r="F1921" s="91"/>
      <c r="G1921" s="16"/>
      <c r="H1921" s="320" t="str">
        <f t="shared" si="1"/>
        <v/>
      </c>
      <c r="I1921" s="16"/>
      <c r="J1921" s="16"/>
      <c r="K1921" s="16"/>
      <c r="L1921" s="38"/>
      <c r="M1921" s="16"/>
      <c r="N1921" s="16"/>
      <c r="O1921" s="16"/>
      <c r="P1921" s="15"/>
      <c r="Q1921" s="15"/>
      <c r="R1921" s="16"/>
      <c r="S1921" s="16"/>
      <c r="T1921" s="16"/>
      <c r="U1921" s="16"/>
      <c r="V1921" s="37" t="str">
        <f>IFERROR(__xludf.DUMMYFUNCTION("if(not(iserror(index(split(C1921, "" ""),2))), index(split(C1921, "" ""),1),"""")"),"")</f>
        <v/>
      </c>
      <c r="W1921" s="315" t="str">
        <f>IFERROR(__xludf.DUMMYFUNCTION("if(V1921="""",C1921,if(not(iserror(index(split(C1921, "" ""),3))), index(split(C1921, "" ""),3),index(split(C1921, "" ""),2)))"),"")</f>
        <v/>
      </c>
      <c r="X1921" s="38" t="b">
        <f t="shared" si="2"/>
        <v>0</v>
      </c>
      <c r="Y1921" s="38"/>
      <c r="Z1921" s="40"/>
      <c r="AA1921" s="40"/>
      <c r="AB1921" s="38"/>
      <c r="AC1921" s="38"/>
      <c r="AD1921" s="38"/>
      <c r="AE1921" s="38"/>
      <c r="AF1921" s="38"/>
      <c r="AG1921" s="38"/>
      <c r="AH1921" s="38"/>
      <c r="AI1921" s="38"/>
      <c r="AJ1921" s="38"/>
      <c r="AK1921" s="38"/>
      <c r="AL1921" s="38"/>
      <c r="AM1921" s="38"/>
      <c r="AN1921" s="38"/>
      <c r="AO1921" s="38"/>
      <c r="AP1921" s="38"/>
      <c r="AQ1921" s="38"/>
      <c r="AR1921" s="38"/>
      <c r="AS1921" s="38"/>
      <c r="AT1921" s="38"/>
      <c r="AU1921" s="38"/>
      <c r="AV1921" s="38"/>
      <c r="AW1921" s="38"/>
      <c r="AX1921" s="38"/>
      <c r="AY1921" s="38"/>
      <c r="AZ1921" s="38"/>
      <c r="BA1921" s="38"/>
      <c r="BB1921" s="38"/>
      <c r="BC1921" s="38"/>
      <c r="BD1921" s="38"/>
      <c r="BE1921" s="38"/>
      <c r="BF1921" s="38"/>
      <c r="BG1921" s="38"/>
    </row>
    <row r="1922">
      <c r="A1922" s="16"/>
      <c r="B1922" s="16"/>
      <c r="C1922" s="146"/>
      <c r="D1922" s="146"/>
      <c r="E1922" s="16"/>
      <c r="F1922" s="91"/>
      <c r="G1922" s="16"/>
      <c r="H1922" s="320" t="str">
        <f t="shared" si="1"/>
        <v/>
      </c>
      <c r="I1922" s="16"/>
      <c r="J1922" s="16"/>
      <c r="K1922" s="16"/>
      <c r="L1922" s="38"/>
      <c r="M1922" s="16"/>
      <c r="N1922" s="16"/>
      <c r="O1922" s="16"/>
      <c r="P1922" s="15"/>
      <c r="Q1922" s="15"/>
      <c r="R1922" s="16"/>
      <c r="S1922" s="16"/>
      <c r="T1922" s="16"/>
      <c r="U1922" s="16"/>
      <c r="V1922" s="37" t="str">
        <f>IFERROR(__xludf.DUMMYFUNCTION("if(not(iserror(index(split(C1922, "" ""),2))), index(split(C1922, "" ""),1),"""")"),"")</f>
        <v/>
      </c>
      <c r="W1922" s="315" t="str">
        <f>IFERROR(__xludf.DUMMYFUNCTION("if(V1922="""",C1922,if(not(iserror(index(split(C1922, "" ""),3))), index(split(C1922, "" ""),3),index(split(C1922, "" ""),2)))"),"")</f>
        <v/>
      </c>
      <c r="X1922" s="38" t="b">
        <f t="shared" si="2"/>
        <v>0</v>
      </c>
      <c r="Y1922" s="38"/>
      <c r="Z1922" s="40"/>
      <c r="AA1922" s="40"/>
      <c r="AB1922" s="38"/>
      <c r="AC1922" s="38"/>
      <c r="AD1922" s="38"/>
      <c r="AE1922" s="38"/>
      <c r="AF1922" s="38"/>
      <c r="AG1922" s="38"/>
      <c r="AH1922" s="38"/>
      <c r="AI1922" s="38"/>
      <c r="AJ1922" s="38"/>
      <c r="AK1922" s="38"/>
      <c r="AL1922" s="38"/>
      <c r="AM1922" s="38"/>
      <c r="AN1922" s="38"/>
      <c r="AO1922" s="38"/>
      <c r="AP1922" s="38"/>
      <c r="AQ1922" s="38"/>
      <c r="AR1922" s="38"/>
      <c r="AS1922" s="38"/>
      <c r="AT1922" s="38"/>
      <c r="AU1922" s="38"/>
      <c r="AV1922" s="38"/>
      <c r="AW1922" s="38"/>
      <c r="AX1922" s="38"/>
      <c r="AY1922" s="38"/>
      <c r="AZ1922" s="38"/>
      <c r="BA1922" s="38"/>
      <c r="BB1922" s="38"/>
      <c r="BC1922" s="38"/>
      <c r="BD1922" s="38"/>
      <c r="BE1922" s="38"/>
      <c r="BF1922" s="38"/>
      <c r="BG1922" s="38"/>
    </row>
    <row r="1923">
      <c r="A1923" s="16"/>
      <c r="B1923" s="16"/>
      <c r="C1923" s="146"/>
      <c r="D1923" s="146"/>
      <c r="E1923" s="16"/>
      <c r="F1923" s="91"/>
      <c r="G1923" s="16"/>
      <c r="H1923" s="320" t="str">
        <f t="shared" si="1"/>
        <v/>
      </c>
      <c r="I1923" s="16"/>
      <c r="J1923" s="16"/>
      <c r="K1923" s="16"/>
      <c r="L1923" s="38"/>
      <c r="M1923" s="16"/>
      <c r="N1923" s="16"/>
      <c r="O1923" s="16"/>
      <c r="P1923" s="15"/>
      <c r="Q1923" s="15"/>
      <c r="R1923" s="16"/>
      <c r="S1923" s="16"/>
      <c r="T1923" s="16"/>
      <c r="U1923" s="16"/>
      <c r="V1923" s="37" t="str">
        <f>IFERROR(__xludf.DUMMYFUNCTION("if(not(iserror(index(split(C1923, "" ""),2))), index(split(C1923, "" ""),1),"""")"),"")</f>
        <v/>
      </c>
      <c r="W1923" s="315" t="str">
        <f>IFERROR(__xludf.DUMMYFUNCTION("if(V1923="""",C1923,if(not(iserror(index(split(C1923, "" ""),3))), index(split(C1923, "" ""),3),index(split(C1923, "" ""),2)))"),"")</f>
        <v/>
      </c>
      <c r="X1923" s="38" t="b">
        <f t="shared" si="2"/>
        <v>0</v>
      </c>
      <c r="Y1923" s="38"/>
      <c r="Z1923" s="40"/>
      <c r="AA1923" s="40"/>
      <c r="AB1923" s="38"/>
      <c r="AC1923" s="38"/>
      <c r="AD1923" s="38"/>
      <c r="AE1923" s="38"/>
      <c r="AF1923" s="38"/>
      <c r="AG1923" s="38"/>
      <c r="AH1923" s="38"/>
      <c r="AI1923" s="38"/>
      <c r="AJ1923" s="38"/>
      <c r="AK1923" s="38"/>
      <c r="AL1923" s="38"/>
      <c r="AM1923" s="38"/>
      <c r="AN1923" s="38"/>
      <c r="AO1923" s="38"/>
      <c r="AP1923" s="38"/>
      <c r="AQ1923" s="38"/>
      <c r="AR1923" s="38"/>
      <c r="AS1923" s="38"/>
      <c r="AT1923" s="38"/>
      <c r="AU1923" s="38"/>
      <c r="AV1923" s="38"/>
      <c r="AW1923" s="38"/>
      <c r="AX1923" s="38"/>
      <c r="AY1923" s="38"/>
      <c r="AZ1923" s="38"/>
      <c r="BA1923" s="38"/>
      <c r="BB1923" s="38"/>
      <c r="BC1923" s="38"/>
      <c r="BD1923" s="38"/>
      <c r="BE1923" s="38"/>
      <c r="BF1923" s="38"/>
      <c r="BG1923" s="38"/>
    </row>
    <row r="1924">
      <c r="A1924" s="16"/>
      <c r="B1924" s="16"/>
      <c r="C1924" s="146"/>
      <c r="D1924" s="146"/>
      <c r="E1924" s="16"/>
      <c r="F1924" s="91"/>
      <c r="G1924" s="16"/>
      <c r="H1924" s="320" t="str">
        <f t="shared" si="1"/>
        <v/>
      </c>
      <c r="I1924" s="16"/>
      <c r="J1924" s="16"/>
      <c r="K1924" s="16"/>
      <c r="L1924" s="38"/>
      <c r="M1924" s="16"/>
      <c r="N1924" s="16"/>
      <c r="O1924" s="16"/>
      <c r="P1924" s="15"/>
      <c r="Q1924" s="15"/>
      <c r="R1924" s="16"/>
      <c r="S1924" s="16"/>
      <c r="T1924" s="16"/>
      <c r="U1924" s="16"/>
      <c r="V1924" s="37" t="str">
        <f>IFERROR(__xludf.DUMMYFUNCTION("if(not(iserror(index(split(C1924, "" ""),2))), index(split(C1924, "" ""),1),"""")"),"")</f>
        <v/>
      </c>
      <c r="W1924" s="315" t="str">
        <f>IFERROR(__xludf.DUMMYFUNCTION("if(V1924="""",C1924,if(not(iserror(index(split(C1924, "" ""),3))), index(split(C1924, "" ""),3),index(split(C1924, "" ""),2)))"),"")</f>
        <v/>
      </c>
      <c r="X1924" s="38" t="b">
        <f t="shared" si="2"/>
        <v>0</v>
      </c>
      <c r="Y1924" s="38"/>
      <c r="Z1924" s="40"/>
      <c r="AA1924" s="40"/>
      <c r="AB1924" s="38"/>
      <c r="AC1924" s="38"/>
      <c r="AD1924" s="38"/>
      <c r="AE1924" s="38"/>
      <c r="AF1924" s="38"/>
      <c r="AG1924" s="38"/>
      <c r="AH1924" s="38"/>
      <c r="AI1924" s="38"/>
      <c r="AJ1924" s="38"/>
      <c r="AK1924" s="38"/>
      <c r="AL1924" s="38"/>
      <c r="AM1924" s="38"/>
      <c r="AN1924" s="38"/>
      <c r="AO1924" s="38"/>
      <c r="AP1924" s="38"/>
      <c r="AQ1924" s="38"/>
      <c r="AR1924" s="38"/>
      <c r="AS1924" s="38"/>
      <c r="AT1924" s="38"/>
      <c r="AU1924" s="38"/>
      <c r="AV1924" s="38"/>
      <c r="AW1924" s="38"/>
      <c r="AX1924" s="38"/>
      <c r="AY1924" s="38"/>
      <c r="AZ1924" s="38"/>
      <c r="BA1924" s="38"/>
      <c r="BB1924" s="38"/>
      <c r="BC1924" s="38"/>
      <c r="BD1924" s="38"/>
      <c r="BE1924" s="38"/>
      <c r="BF1924" s="38"/>
      <c r="BG1924" s="38"/>
    </row>
    <row r="1925">
      <c r="A1925" s="16"/>
      <c r="B1925" s="16"/>
      <c r="C1925" s="146"/>
      <c r="D1925" s="146"/>
      <c r="E1925" s="16"/>
      <c r="F1925" s="91"/>
      <c r="G1925" s="16"/>
      <c r="H1925" s="320" t="str">
        <f t="shared" si="1"/>
        <v/>
      </c>
      <c r="I1925" s="16"/>
      <c r="J1925" s="16"/>
      <c r="K1925" s="16"/>
      <c r="L1925" s="38"/>
      <c r="M1925" s="16"/>
      <c r="N1925" s="16"/>
      <c r="O1925" s="16"/>
      <c r="P1925" s="15"/>
      <c r="Q1925" s="15"/>
      <c r="R1925" s="16"/>
      <c r="S1925" s="16"/>
      <c r="T1925" s="16"/>
      <c r="U1925" s="16"/>
      <c r="V1925" s="37" t="str">
        <f>IFERROR(__xludf.DUMMYFUNCTION("if(not(iserror(index(split(C1925, "" ""),2))), index(split(C1925, "" ""),1),"""")"),"")</f>
        <v/>
      </c>
      <c r="W1925" s="315" t="str">
        <f>IFERROR(__xludf.DUMMYFUNCTION("if(V1925="""",C1925,if(not(iserror(index(split(C1925, "" ""),3))), index(split(C1925, "" ""),3),index(split(C1925, "" ""),2)))"),"")</f>
        <v/>
      </c>
      <c r="X1925" s="38" t="b">
        <f t="shared" si="2"/>
        <v>0</v>
      </c>
      <c r="Y1925" s="38"/>
      <c r="Z1925" s="40"/>
      <c r="AA1925" s="40"/>
      <c r="AB1925" s="38"/>
      <c r="AC1925" s="38"/>
      <c r="AD1925" s="38"/>
      <c r="AE1925" s="38"/>
      <c r="AF1925" s="38"/>
      <c r="AG1925" s="38"/>
      <c r="AH1925" s="38"/>
      <c r="AI1925" s="38"/>
      <c r="AJ1925" s="38"/>
      <c r="AK1925" s="38"/>
      <c r="AL1925" s="38"/>
      <c r="AM1925" s="38"/>
      <c r="AN1925" s="38"/>
      <c r="AO1925" s="38"/>
      <c r="AP1925" s="38"/>
      <c r="AQ1925" s="38"/>
      <c r="AR1925" s="38"/>
      <c r="AS1925" s="38"/>
      <c r="AT1925" s="38"/>
      <c r="AU1925" s="38"/>
      <c r="AV1925" s="38"/>
      <c r="AW1925" s="38"/>
      <c r="AX1925" s="38"/>
      <c r="AY1925" s="38"/>
      <c r="AZ1925" s="38"/>
      <c r="BA1925" s="38"/>
      <c r="BB1925" s="38"/>
      <c r="BC1925" s="38"/>
      <c r="BD1925" s="38"/>
      <c r="BE1925" s="38"/>
      <c r="BF1925" s="38"/>
      <c r="BG1925" s="38"/>
    </row>
    <row r="1926">
      <c r="A1926" s="16"/>
      <c r="B1926" s="16"/>
      <c r="C1926" s="146"/>
      <c r="D1926" s="146"/>
      <c r="E1926" s="16"/>
      <c r="F1926" s="91"/>
      <c r="G1926" s="16"/>
      <c r="H1926" s="320" t="str">
        <f t="shared" si="1"/>
        <v/>
      </c>
      <c r="I1926" s="16"/>
      <c r="J1926" s="16"/>
      <c r="K1926" s="16"/>
      <c r="L1926" s="38"/>
      <c r="M1926" s="16"/>
      <c r="N1926" s="16"/>
      <c r="O1926" s="16"/>
      <c r="P1926" s="15"/>
      <c r="Q1926" s="15"/>
      <c r="R1926" s="16"/>
      <c r="S1926" s="16"/>
      <c r="T1926" s="16"/>
      <c r="U1926" s="16"/>
      <c r="V1926" s="37" t="str">
        <f>IFERROR(__xludf.DUMMYFUNCTION("if(not(iserror(index(split(C1926, "" ""),2))), index(split(C1926, "" ""),1),"""")"),"")</f>
        <v/>
      </c>
      <c r="W1926" s="315" t="str">
        <f>IFERROR(__xludf.DUMMYFUNCTION("if(V1926="""",C1926,if(not(iserror(index(split(C1926, "" ""),3))), index(split(C1926, "" ""),3),index(split(C1926, "" ""),2)))"),"")</f>
        <v/>
      </c>
      <c r="X1926" s="38" t="b">
        <f t="shared" si="2"/>
        <v>0</v>
      </c>
      <c r="Y1926" s="38"/>
      <c r="Z1926" s="40"/>
      <c r="AA1926" s="40"/>
      <c r="AB1926" s="38"/>
      <c r="AC1926" s="38"/>
      <c r="AD1926" s="38"/>
      <c r="AE1926" s="38"/>
      <c r="AF1926" s="38"/>
      <c r="AG1926" s="38"/>
      <c r="AH1926" s="38"/>
      <c r="AI1926" s="38"/>
      <c r="AJ1926" s="38"/>
      <c r="AK1926" s="38"/>
      <c r="AL1926" s="38"/>
      <c r="AM1926" s="38"/>
      <c r="AN1926" s="38"/>
      <c r="AO1926" s="38"/>
      <c r="AP1926" s="38"/>
      <c r="AQ1926" s="38"/>
      <c r="AR1926" s="38"/>
      <c r="AS1926" s="38"/>
      <c r="AT1926" s="38"/>
      <c r="AU1926" s="38"/>
      <c r="AV1926" s="38"/>
      <c r="AW1926" s="38"/>
      <c r="AX1926" s="38"/>
      <c r="AY1926" s="38"/>
      <c r="AZ1926" s="38"/>
      <c r="BA1926" s="38"/>
      <c r="BB1926" s="38"/>
      <c r="BC1926" s="38"/>
      <c r="BD1926" s="38"/>
      <c r="BE1926" s="38"/>
      <c r="BF1926" s="38"/>
      <c r="BG1926" s="38"/>
    </row>
    <row r="1927">
      <c r="A1927" s="16"/>
      <c r="B1927" s="16"/>
      <c r="C1927" s="146"/>
      <c r="D1927" s="146"/>
      <c r="E1927" s="16"/>
      <c r="F1927" s="91"/>
      <c r="G1927" s="16"/>
      <c r="H1927" s="320" t="str">
        <f t="shared" si="1"/>
        <v/>
      </c>
      <c r="I1927" s="16"/>
      <c r="J1927" s="16"/>
      <c r="K1927" s="16"/>
      <c r="L1927" s="38"/>
      <c r="M1927" s="16"/>
      <c r="N1927" s="16"/>
      <c r="O1927" s="16"/>
      <c r="P1927" s="15"/>
      <c r="Q1927" s="15"/>
      <c r="R1927" s="16"/>
      <c r="S1927" s="16"/>
      <c r="T1927" s="16"/>
      <c r="U1927" s="16"/>
      <c r="V1927" s="37" t="str">
        <f>IFERROR(__xludf.DUMMYFUNCTION("if(not(iserror(index(split(C1927, "" ""),2))), index(split(C1927, "" ""),1),"""")"),"")</f>
        <v/>
      </c>
      <c r="W1927" s="315" t="str">
        <f>IFERROR(__xludf.DUMMYFUNCTION("if(V1927="""",C1927,if(not(iserror(index(split(C1927, "" ""),3))), index(split(C1927, "" ""),3),index(split(C1927, "" ""),2)))"),"")</f>
        <v/>
      </c>
      <c r="X1927" s="38" t="b">
        <f t="shared" si="2"/>
        <v>0</v>
      </c>
      <c r="Y1927" s="38"/>
      <c r="Z1927" s="40"/>
      <c r="AA1927" s="40"/>
      <c r="AB1927" s="38"/>
      <c r="AC1927" s="38"/>
      <c r="AD1927" s="38"/>
      <c r="AE1927" s="38"/>
      <c r="AF1927" s="38"/>
      <c r="AG1927" s="38"/>
      <c r="AH1927" s="38"/>
      <c r="AI1927" s="38"/>
      <c r="AJ1927" s="38"/>
      <c r="AK1927" s="38"/>
      <c r="AL1927" s="38"/>
      <c r="AM1927" s="38"/>
      <c r="AN1927" s="38"/>
      <c r="AO1927" s="38"/>
      <c r="AP1927" s="38"/>
      <c r="AQ1927" s="38"/>
      <c r="AR1927" s="38"/>
      <c r="AS1927" s="38"/>
      <c r="AT1927" s="38"/>
      <c r="AU1927" s="38"/>
      <c r="AV1927" s="38"/>
      <c r="AW1927" s="38"/>
      <c r="AX1927" s="38"/>
      <c r="AY1927" s="38"/>
      <c r="AZ1927" s="38"/>
      <c r="BA1927" s="38"/>
      <c r="BB1927" s="38"/>
      <c r="BC1927" s="38"/>
      <c r="BD1927" s="38"/>
      <c r="BE1927" s="38"/>
      <c r="BF1927" s="38"/>
      <c r="BG1927" s="38"/>
    </row>
    <row r="1928">
      <c r="A1928" s="16"/>
      <c r="B1928" s="16"/>
      <c r="C1928" s="146"/>
      <c r="D1928" s="146"/>
      <c r="E1928" s="16"/>
      <c r="F1928" s="91"/>
      <c r="G1928" s="16"/>
      <c r="H1928" s="320" t="str">
        <f t="shared" si="1"/>
        <v/>
      </c>
      <c r="I1928" s="16"/>
      <c r="J1928" s="16"/>
      <c r="K1928" s="16"/>
      <c r="L1928" s="38"/>
      <c r="M1928" s="16"/>
      <c r="N1928" s="16"/>
      <c r="O1928" s="16"/>
      <c r="P1928" s="15"/>
      <c r="Q1928" s="15"/>
      <c r="R1928" s="16"/>
      <c r="S1928" s="16"/>
      <c r="T1928" s="16"/>
      <c r="U1928" s="16"/>
      <c r="V1928" s="37" t="str">
        <f>IFERROR(__xludf.DUMMYFUNCTION("if(not(iserror(index(split(C1928, "" ""),2))), index(split(C1928, "" ""),1),"""")"),"")</f>
        <v/>
      </c>
      <c r="W1928" s="315" t="str">
        <f>IFERROR(__xludf.DUMMYFUNCTION("if(V1928="""",C1928,if(not(iserror(index(split(C1928, "" ""),3))), index(split(C1928, "" ""),3),index(split(C1928, "" ""),2)))"),"")</f>
        <v/>
      </c>
      <c r="X1928" s="38" t="b">
        <f t="shared" si="2"/>
        <v>0</v>
      </c>
      <c r="Y1928" s="38"/>
      <c r="Z1928" s="40"/>
      <c r="AA1928" s="40"/>
      <c r="AB1928" s="38"/>
      <c r="AC1928" s="38"/>
      <c r="AD1928" s="38"/>
      <c r="AE1928" s="38"/>
      <c r="AF1928" s="38"/>
      <c r="AG1928" s="38"/>
      <c r="AH1928" s="38"/>
      <c r="AI1928" s="38"/>
      <c r="AJ1928" s="38"/>
      <c r="AK1928" s="38"/>
      <c r="AL1928" s="38"/>
      <c r="AM1928" s="38"/>
      <c r="AN1928" s="38"/>
      <c r="AO1928" s="38"/>
      <c r="AP1928" s="38"/>
      <c r="AQ1928" s="38"/>
      <c r="AR1928" s="38"/>
      <c r="AS1928" s="38"/>
      <c r="AT1928" s="38"/>
      <c r="AU1928" s="38"/>
      <c r="AV1928" s="38"/>
      <c r="AW1928" s="38"/>
      <c r="AX1928" s="38"/>
      <c r="AY1928" s="38"/>
      <c r="AZ1928" s="38"/>
      <c r="BA1928" s="38"/>
      <c r="BB1928" s="38"/>
      <c r="BC1928" s="38"/>
      <c r="BD1928" s="38"/>
      <c r="BE1928" s="38"/>
      <c r="BF1928" s="38"/>
      <c r="BG1928" s="38"/>
    </row>
    <row r="1929">
      <c r="A1929" s="16"/>
      <c r="B1929" s="16"/>
      <c r="C1929" s="146"/>
      <c r="D1929" s="146"/>
      <c r="E1929" s="16"/>
      <c r="F1929" s="91"/>
      <c r="G1929" s="16"/>
      <c r="H1929" s="320" t="str">
        <f t="shared" si="1"/>
        <v/>
      </c>
      <c r="I1929" s="16"/>
      <c r="J1929" s="16"/>
      <c r="K1929" s="16"/>
      <c r="L1929" s="38"/>
      <c r="M1929" s="16"/>
      <c r="N1929" s="16"/>
      <c r="O1929" s="16"/>
      <c r="P1929" s="15"/>
      <c r="Q1929" s="15"/>
      <c r="R1929" s="16"/>
      <c r="S1929" s="16"/>
      <c r="T1929" s="16"/>
      <c r="U1929" s="16"/>
      <c r="V1929" s="37" t="str">
        <f>IFERROR(__xludf.DUMMYFUNCTION("if(not(iserror(index(split(C1929, "" ""),2))), index(split(C1929, "" ""),1),"""")"),"")</f>
        <v/>
      </c>
      <c r="W1929" s="315" t="str">
        <f>IFERROR(__xludf.DUMMYFUNCTION("if(V1929="""",C1929,if(not(iserror(index(split(C1929, "" ""),3))), index(split(C1929, "" ""),3),index(split(C1929, "" ""),2)))"),"")</f>
        <v/>
      </c>
      <c r="X1929" s="38" t="b">
        <f t="shared" si="2"/>
        <v>0</v>
      </c>
      <c r="Y1929" s="38"/>
      <c r="Z1929" s="40"/>
      <c r="AA1929" s="40"/>
      <c r="AB1929" s="38"/>
      <c r="AC1929" s="38"/>
      <c r="AD1929" s="38"/>
      <c r="AE1929" s="38"/>
      <c r="AF1929" s="38"/>
      <c r="AG1929" s="38"/>
      <c r="AH1929" s="38"/>
      <c r="AI1929" s="38"/>
      <c r="AJ1929" s="38"/>
      <c r="AK1929" s="38"/>
      <c r="AL1929" s="38"/>
      <c r="AM1929" s="38"/>
      <c r="AN1929" s="38"/>
      <c r="AO1929" s="38"/>
      <c r="AP1929" s="38"/>
      <c r="AQ1929" s="38"/>
      <c r="AR1929" s="38"/>
      <c r="AS1929" s="38"/>
      <c r="AT1929" s="38"/>
      <c r="AU1929" s="38"/>
      <c r="AV1929" s="38"/>
      <c r="AW1929" s="38"/>
      <c r="AX1929" s="38"/>
      <c r="AY1929" s="38"/>
      <c r="AZ1929" s="38"/>
      <c r="BA1929" s="38"/>
      <c r="BB1929" s="38"/>
      <c r="BC1929" s="38"/>
      <c r="BD1929" s="38"/>
      <c r="BE1929" s="38"/>
      <c r="BF1929" s="38"/>
      <c r="BG1929" s="38"/>
    </row>
    <row r="1930">
      <c r="A1930" s="16"/>
      <c r="B1930" s="16"/>
      <c r="C1930" s="146"/>
      <c r="D1930" s="146"/>
      <c r="E1930" s="16"/>
      <c r="F1930" s="91"/>
      <c r="G1930" s="16"/>
      <c r="H1930" s="320" t="str">
        <f t="shared" si="1"/>
        <v/>
      </c>
      <c r="I1930" s="16"/>
      <c r="J1930" s="16"/>
      <c r="K1930" s="16"/>
      <c r="L1930" s="38"/>
      <c r="M1930" s="16"/>
      <c r="N1930" s="16"/>
      <c r="O1930" s="16"/>
      <c r="P1930" s="15"/>
      <c r="Q1930" s="15"/>
      <c r="R1930" s="16"/>
      <c r="S1930" s="16"/>
      <c r="T1930" s="16"/>
      <c r="U1930" s="16"/>
      <c r="V1930" s="37" t="str">
        <f>IFERROR(__xludf.DUMMYFUNCTION("if(not(iserror(index(split(C1930, "" ""),2))), index(split(C1930, "" ""),1),"""")"),"")</f>
        <v/>
      </c>
      <c r="W1930" s="315" t="str">
        <f>IFERROR(__xludf.DUMMYFUNCTION("if(V1930="""",C1930,if(not(iserror(index(split(C1930, "" ""),3))), index(split(C1930, "" ""),3),index(split(C1930, "" ""),2)))"),"")</f>
        <v/>
      </c>
      <c r="X1930" s="38" t="b">
        <f t="shared" si="2"/>
        <v>0</v>
      </c>
      <c r="Y1930" s="38"/>
      <c r="Z1930" s="40"/>
      <c r="AA1930" s="40"/>
      <c r="AB1930" s="38"/>
      <c r="AC1930" s="38"/>
      <c r="AD1930" s="38"/>
      <c r="AE1930" s="38"/>
      <c r="AF1930" s="38"/>
      <c r="AG1930" s="38"/>
      <c r="AH1930" s="38"/>
      <c r="AI1930" s="38"/>
      <c r="AJ1930" s="38"/>
      <c r="AK1930" s="38"/>
      <c r="AL1930" s="38"/>
      <c r="AM1930" s="38"/>
      <c r="AN1930" s="38"/>
      <c r="AO1930" s="38"/>
      <c r="AP1930" s="38"/>
      <c r="AQ1930" s="38"/>
      <c r="AR1930" s="38"/>
      <c r="AS1930" s="38"/>
      <c r="AT1930" s="38"/>
      <c r="AU1930" s="38"/>
      <c r="AV1930" s="38"/>
      <c r="AW1930" s="38"/>
      <c r="AX1930" s="38"/>
      <c r="AY1930" s="38"/>
      <c r="AZ1930" s="38"/>
      <c r="BA1930" s="38"/>
      <c r="BB1930" s="38"/>
      <c r="BC1930" s="38"/>
      <c r="BD1930" s="38"/>
      <c r="BE1930" s="38"/>
      <c r="BF1930" s="38"/>
      <c r="BG1930" s="38"/>
    </row>
    <row r="1931">
      <c r="A1931" s="16"/>
      <c r="B1931" s="16"/>
      <c r="C1931" s="146"/>
      <c r="D1931" s="146"/>
      <c r="E1931" s="16"/>
      <c r="F1931" s="91"/>
      <c r="G1931" s="16"/>
      <c r="H1931" s="320" t="str">
        <f t="shared" si="1"/>
        <v/>
      </c>
      <c r="I1931" s="16"/>
      <c r="J1931" s="16"/>
      <c r="K1931" s="16"/>
      <c r="L1931" s="38"/>
      <c r="M1931" s="16"/>
      <c r="N1931" s="16"/>
      <c r="O1931" s="16"/>
      <c r="P1931" s="15"/>
      <c r="Q1931" s="15"/>
      <c r="R1931" s="16"/>
      <c r="S1931" s="16"/>
      <c r="T1931" s="16"/>
      <c r="U1931" s="16"/>
      <c r="V1931" s="37" t="str">
        <f>IFERROR(__xludf.DUMMYFUNCTION("if(not(iserror(index(split(C1931, "" ""),2))), index(split(C1931, "" ""),1),"""")"),"")</f>
        <v/>
      </c>
      <c r="W1931" s="315" t="str">
        <f>IFERROR(__xludf.DUMMYFUNCTION("if(V1931="""",C1931,if(not(iserror(index(split(C1931, "" ""),3))), index(split(C1931, "" ""),3),index(split(C1931, "" ""),2)))"),"")</f>
        <v/>
      </c>
      <c r="X1931" s="38" t="b">
        <f t="shared" si="2"/>
        <v>0</v>
      </c>
      <c r="Y1931" s="38"/>
      <c r="Z1931" s="40"/>
      <c r="AA1931" s="40"/>
      <c r="AB1931" s="38"/>
      <c r="AC1931" s="38"/>
      <c r="AD1931" s="38"/>
      <c r="AE1931" s="38"/>
      <c r="AF1931" s="38"/>
      <c r="AG1931" s="38"/>
      <c r="AH1931" s="38"/>
      <c r="AI1931" s="38"/>
      <c r="AJ1931" s="38"/>
      <c r="AK1931" s="38"/>
      <c r="AL1931" s="38"/>
      <c r="AM1931" s="38"/>
      <c r="AN1931" s="38"/>
      <c r="AO1931" s="38"/>
      <c r="AP1931" s="38"/>
      <c r="AQ1931" s="38"/>
      <c r="AR1931" s="38"/>
      <c r="AS1931" s="38"/>
      <c r="AT1931" s="38"/>
      <c r="AU1931" s="38"/>
      <c r="AV1931" s="38"/>
      <c r="AW1931" s="38"/>
      <c r="AX1931" s="38"/>
      <c r="AY1931" s="38"/>
      <c r="AZ1931" s="38"/>
      <c r="BA1931" s="38"/>
      <c r="BB1931" s="38"/>
      <c r="BC1931" s="38"/>
      <c r="BD1931" s="38"/>
      <c r="BE1931" s="38"/>
      <c r="BF1931" s="38"/>
      <c r="BG1931" s="38"/>
    </row>
    <row r="1932">
      <c r="A1932" s="16"/>
      <c r="B1932" s="16"/>
      <c r="C1932" s="146"/>
      <c r="D1932" s="146"/>
      <c r="E1932" s="16"/>
      <c r="F1932" s="91"/>
      <c r="G1932" s="16"/>
      <c r="H1932" s="320" t="str">
        <f t="shared" si="1"/>
        <v/>
      </c>
      <c r="I1932" s="16"/>
      <c r="J1932" s="16"/>
      <c r="K1932" s="16"/>
      <c r="L1932" s="38"/>
      <c r="M1932" s="16"/>
      <c r="N1932" s="16"/>
      <c r="O1932" s="16"/>
      <c r="P1932" s="15"/>
      <c r="Q1932" s="15"/>
      <c r="R1932" s="16"/>
      <c r="S1932" s="16"/>
      <c r="T1932" s="16"/>
      <c r="U1932" s="16"/>
      <c r="V1932" s="37" t="str">
        <f>IFERROR(__xludf.DUMMYFUNCTION("if(not(iserror(index(split(C1932, "" ""),2))), index(split(C1932, "" ""),1),"""")"),"")</f>
        <v/>
      </c>
      <c r="W1932" s="315" t="str">
        <f>IFERROR(__xludf.DUMMYFUNCTION("if(V1932="""",C1932,if(not(iserror(index(split(C1932, "" ""),3))), index(split(C1932, "" ""),3),index(split(C1932, "" ""),2)))"),"")</f>
        <v/>
      </c>
      <c r="X1932" s="38" t="b">
        <f t="shared" si="2"/>
        <v>0</v>
      </c>
      <c r="Y1932" s="38"/>
      <c r="Z1932" s="40"/>
      <c r="AA1932" s="40"/>
      <c r="AB1932" s="38"/>
      <c r="AC1932" s="38"/>
      <c r="AD1932" s="38"/>
      <c r="AE1932" s="38"/>
      <c r="AF1932" s="38"/>
      <c r="AG1932" s="38"/>
      <c r="AH1932" s="38"/>
      <c r="AI1932" s="38"/>
      <c r="AJ1932" s="38"/>
      <c r="AK1932" s="38"/>
      <c r="AL1932" s="38"/>
      <c r="AM1932" s="38"/>
      <c r="AN1932" s="38"/>
      <c r="AO1932" s="38"/>
      <c r="AP1932" s="38"/>
      <c r="AQ1932" s="38"/>
      <c r="AR1932" s="38"/>
      <c r="AS1932" s="38"/>
      <c r="AT1932" s="38"/>
      <c r="AU1932" s="38"/>
      <c r="AV1932" s="38"/>
      <c r="AW1932" s="38"/>
      <c r="AX1932" s="38"/>
      <c r="AY1932" s="38"/>
      <c r="AZ1932" s="38"/>
      <c r="BA1932" s="38"/>
      <c r="BB1932" s="38"/>
      <c r="BC1932" s="38"/>
      <c r="BD1932" s="38"/>
      <c r="BE1932" s="38"/>
      <c r="BF1932" s="38"/>
      <c r="BG1932" s="38"/>
    </row>
    <row r="1933">
      <c r="A1933" s="16"/>
      <c r="B1933" s="16"/>
      <c r="C1933" s="146"/>
      <c r="D1933" s="146"/>
      <c r="E1933" s="16"/>
      <c r="F1933" s="91"/>
      <c r="G1933" s="16"/>
      <c r="H1933" s="320" t="str">
        <f t="shared" si="1"/>
        <v/>
      </c>
      <c r="I1933" s="16"/>
      <c r="J1933" s="16"/>
      <c r="K1933" s="16"/>
      <c r="L1933" s="38"/>
      <c r="M1933" s="16"/>
      <c r="N1933" s="16"/>
      <c r="O1933" s="16"/>
      <c r="P1933" s="15"/>
      <c r="Q1933" s="15"/>
      <c r="R1933" s="16"/>
      <c r="S1933" s="16"/>
      <c r="T1933" s="16"/>
      <c r="U1933" s="16"/>
      <c r="V1933" s="37" t="str">
        <f>IFERROR(__xludf.DUMMYFUNCTION("if(not(iserror(index(split(C1933, "" ""),2))), index(split(C1933, "" ""),1),"""")"),"")</f>
        <v/>
      </c>
      <c r="W1933" s="315" t="str">
        <f>IFERROR(__xludf.DUMMYFUNCTION("if(V1933="""",C1933,if(not(iserror(index(split(C1933, "" ""),3))), index(split(C1933, "" ""),3),index(split(C1933, "" ""),2)))"),"")</f>
        <v/>
      </c>
      <c r="X1933" s="38" t="b">
        <f t="shared" si="2"/>
        <v>0</v>
      </c>
      <c r="Y1933" s="38"/>
      <c r="Z1933" s="40"/>
      <c r="AA1933" s="40"/>
      <c r="AB1933" s="38"/>
      <c r="AC1933" s="38"/>
      <c r="AD1933" s="38"/>
      <c r="AE1933" s="38"/>
      <c r="AF1933" s="38"/>
      <c r="AG1933" s="38"/>
      <c r="AH1933" s="38"/>
      <c r="AI1933" s="38"/>
      <c r="AJ1933" s="38"/>
      <c r="AK1933" s="38"/>
      <c r="AL1933" s="38"/>
      <c r="AM1933" s="38"/>
      <c r="AN1933" s="38"/>
      <c r="AO1933" s="38"/>
      <c r="AP1933" s="38"/>
      <c r="AQ1933" s="38"/>
      <c r="AR1933" s="38"/>
      <c r="AS1933" s="38"/>
      <c r="AT1933" s="38"/>
      <c r="AU1933" s="38"/>
      <c r="AV1933" s="38"/>
      <c r="AW1933" s="38"/>
      <c r="AX1933" s="38"/>
      <c r="AY1933" s="38"/>
      <c r="AZ1933" s="38"/>
      <c r="BA1933" s="38"/>
      <c r="BB1933" s="38"/>
      <c r="BC1933" s="38"/>
      <c r="BD1933" s="38"/>
      <c r="BE1933" s="38"/>
      <c r="BF1933" s="38"/>
      <c r="BG1933" s="38"/>
    </row>
    <row r="1934">
      <c r="A1934" s="16"/>
      <c r="B1934" s="16"/>
      <c r="C1934" s="146"/>
      <c r="D1934" s="146"/>
      <c r="E1934" s="16"/>
      <c r="F1934" s="91"/>
      <c r="G1934" s="16"/>
      <c r="H1934" s="320" t="str">
        <f t="shared" si="1"/>
        <v/>
      </c>
      <c r="I1934" s="16"/>
      <c r="J1934" s="16"/>
      <c r="K1934" s="16"/>
      <c r="L1934" s="38"/>
      <c r="M1934" s="16"/>
      <c r="N1934" s="16"/>
      <c r="O1934" s="16"/>
      <c r="P1934" s="15"/>
      <c r="Q1934" s="15"/>
      <c r="R1934" s="16"/>
      <c r="S1934" s="16"/>
      <c r="T1934" s="16"/>
      <c r="U1934" s="16"/>
      <c r="V1934" s="37" t="str">
        <f>IFERROR(__xludf.DUMMYFUNCTION("if(not(iserror(index(split(C1934, "" ""),2))), index(split(C1934, "" ""),1),"""")"),"")</f>
        <v/>
      </c>
      <c r="W1934" s="315" t="str">
        <f>IFERROR(__xludf.DUMMYFUNCTION("if(V1934="""",C1934,if(not(iserror(index(split(C1934, "" ""),3))), index(split(C1934, "" ""),3),index(split(C1934, "" ""),2)))"),"")</f>
        <v/>
      </c>
      <c r="X1934" s="38" t="b">
        <f t="shared" si="2"/>
        <v>0</v>
      </c>
      <c r="Y1934" s="38"/>
      <c r="Z1934" s="40"/>
      <c r="AA1934" s="40"/>
      <c r="AB1934" s="38"/>
      <c r="AC1934" s="38"/>
      <c r="AD1934" s="38"/>
      <c r="AE1934" s="38"/>
      <c r="AF1934" s="38"/>
      <c r="AG1934" s="38"/>
      <c r="AH1934" s="38"/>
      <c r="AI1934" s="38"/>
      <c r="AJ1934" s="38"/>
      <c r="AK1934" s="38"/>
      <c r="AL1934" s="38"/>
      <c r="AM1934" s="38"/>
      <c r="AN1934" s="38"/>
      <c r="AO1934" s="38"/>
      <c r="AP1934" s="38"/>
      <c r="AQ1934" s="38"/>
      <c r="AR1934" s="38"/>
      <c r="AS1934" s="38"/>
      <c r="AT1934" s="38"/>
      <c r="AU1934" s="38"/>
      <c r="AV1934" s="38"/>
      <c r="AW1934" s="38"/>
      <c r="AX1934" s="38"/>
      <c r="AY1934" s="38"/>
      <c r="AZ1934" s="38"/>
      <c r="BA1934" s="38"/>
      <c r="BB1934" s="38"/>
      <c r="BC1934" s="38"/>
      <c r="BD1934" s="38"/>
      <c r="BE1934" s="38"/>
      <c r="BF1934" s="38"/>
      <c r="BG1934" s="38"/>
    </row>
    <row r="1935">
      <c r="A1935" s="16"/>
      <c r="B1935" s="16"/>
      <c r="C1935" s="146"/>
      <c r="D1935" s="146"/>
      <c r="E1935" s="16"/>
      <c r="F1935" s="91"/>
      <c r="G1935" s="16"/>
      <c r="H1935" s="320" t="str">
        <f t="shared" si="1"/>
        <v/>
      </c>
      <c r="I1935" s="16"/>
      <c r="J1935" s="16"/>
      <c r="K1935" s="16"/>
      <c r="L1935" s="38"/>
      <c r="M1935" s="16"/>
      <c r="N1935" s="16"/>
      <c r="O1935" s="16"/>
      <c r="P1935" s="15"/>
      <c r="Q1935" s="15"/>
      <c r="R1935" s="16"/>
      <c r="S1935" s="16"/>
      <c r="T1935" s="16"/>
      <c r="U1935" s="16"/>
      <c r="V1935" s="37" t="str">
        <f>IFERROR(__xludf.DUMMYFUNCTION("if(not(iserror(index(split(C1935, "" ""),2))), index(split(C1935, "" ""),1),"""")"),"")</f>
        <v/>
      </c>
      <c r="W1935" s="315" t="str">
        <f>IFERROR(__xludf.DUMMYFUNCTION("if(V1935="""",C1935,if(not(iserror(index(split(C1935, "" ""),3))), index(split(C1935, "" ""),3),index(split(C1935, "" ""),2)))"),"")</f>
        <v/>
      </c>
      <c r="X1935" s="38" t="b">
        <f t="shared" si="2"/>
        <v>0</v>
      </c>
      <c r="Y1935" s="38"/>
      <c r="Z1935" s="40"/>
      <c r="AA1935" s="40"/>
      <c r="AB1935" s="38"/>
      <c r="AC1935" s="38"/>
      <c r="AD1935" s="38"/>
      <c r="AE1935" s="38"/>
      <c r="AF1935" s="38"/>
      <c r="AG1935" s="38"/>
      <c r="AH1935" s="38"/>
      <c r="AI1935" s="38"/>
      <c r="AJ1935" s="38"/>
      <c r="AK1935" s="38"/>
      <c r="AL1935" s="38"/>
      <c r="AM1935" s="38"/>
      <c r="AN1935" s="38"/>
      <c r="AO1935" s="38"/>
      <c r="AP1935" s="38"/>
      <c r="AQ1935" s="38"/>
      <c r="AR1935" s="38"/>
      <c r="AS1935" s="38"/>
      <c r="AT1935" s="38"/>
      <c r="AU1935" s="38"/>
      <c r="AV1935" s="38"/>
      <c r="AW1935" s="38"/>
      <c r="AX1935" s="38"/>
      <c r="AY1935" s="38"/>
      <c r="AZ1935" s="38"/>
      <c r="BA1935" s="38"/>
      <c r="BB1935" s="38"/>
      <c r="BC1935" s="38"/>
      <c r="BD1935" s="38"/>
      <c r="BE1935" s="38"/>
      <c r="BF1935" s="38"/>
      <c r="BG1935" s="38"/>
    </row>
    <row r="1936">
      <c r="A1936" s="16"/>
      <c r="B1936" s="16"/>
      <c r="C1936" s="146"/>
      <c r="D1936" s="146"/>
      <c r="E1936" s="16"/>
      <c r="F1936" s="91"/>
      <c r="G1936" s="16"/>
      <c r="H1936" s="320" t="str">
        <f t="shared" si="1"/>
        <v/>
      </c>
      <c r="I1936" s="16"/>
      <c r="J1936" s="16"/>
      <c r="K1936" s="16"/>
      <c r="L1936" s="38"/>
      <c r="M1936" s="16"/>
      <c r="N1936" s="16"/>
      <c r="O1936" s="16"/>
      <c r="P1936" s="15"/>
      <c r="Q1936" s="15"/>
      <c r="R1936" s="16"/>
      <c r="S1936" s="16"/>
      <c r="T1936" s="16"/>
      <c r="U1936" s="16"/>
      <c r="V1936" s="37" t="str">
        <f>IFERROR(__xludf.DUMMYFUNCTION("if(not(iserror(index(split(C1936, "" ""),2))), index(split(C1936, "" ""),1),"""")"),"")</f>
        <v/>
      </c>
      <c r="W1936" s="315" t="str">
        <f>IFERROR(__xludf.DUMMYFUNCTION("if(V1936="""",C1936,if(not(iserror(index(split(C1936, "" ""),3))), index(split(C1936, "" ""),3),index(split(C1936, "" ""),2)))"),"")</f>
        <v/>
      </c>
      <c r="X1936" s="38" t="b">
        <f t="shared" si="2"/>
        <v>0</v>
      </c>
      <c r="Y1936" s="38"/>
      <c r="Z1936" s="40"/>
      <c r="AA1936" s="40"/>
      <c r="AB1936" s="38"/>
      <c r="AC1936" s="38"/>
      <c r="AD1936" s="38"/>
      <c r="AE1936" s="38"/>
      <c r="AF1936" s="38"/>
      <c r="AG1936" s="38"/>
      <c r="AH1936" s="38"/>
      <c r="AI1936" s="38"/>
      <c r="AJ1936" s="38"/>
      <c r="AK1936" s="38"/>
      <c r="AL1936" s="38"/>
      <c r="AM1936" s="38"/>
      <c r="AN1936" s="38"/>
      <c r="AO1936" s="38"/>
      <c r="AP1936" s="38"/>
      <c r="AQ1936" s="38"/>
      <c r="AR1936" s="38"/>
      <c r="AS1936" s="38"/>
      <c r="AT1936" s="38"/>
      <c r="AU1936" s="38"/>
      <c r="AV1936" s="38"/>
      <c r="AW1936" s="38"/>
      <c r="AX1936" s="38"/>
      <c r="AY1936" s="38"/>
      <c r="AZ1936" s="38"/>
      <c r="BA1936" s="38"/>
      <c r="BB1936" s="38"/>
      <c r="BC1936" s="38"/>
      <c r="BD1936" s="38"/>
      <c r="BE1936" s="38"/>
      <c r="BF1936" s="38"/>
      <c r="BG1936" s="38"/>
    </row>
    <row r="1937">
      <c r="A1937" s="16"/>
      <c r="B1937" s="16"/>
      <c r="C1937" s="146"/>
      <c r="D1937" s="146"/>
      <c r="E1937" s="16"/>
      <c r="F1937" s="91"/>
      <c r="G1937" s="16"/>
      <c r="H1937" s="320" t="str">
        <f t="shared" si="1"/>
        <v/>
      </c>
      <c r="I1937" s="16"/>
      <c r="J1937" s="16"/>
      <c r="K1937" s="16"/>
      <c r="L1937" s="38"/>
      <c r="M1937" s="16"/>
      <c r="N1937" s="16"/>
      <c r="O1937" s="16"/>
      <c r="P1937" s="15"/>
      <c r="Q1937" s="15"/>
      <c r="R1937" s="16"/>
      <c r="S1937" s="16"/>
      <c r="T1937" s="16"/>
      <c r="U1937" s="16"/>
      <c r="V1937" s="37" t="str">
        <f>IFERROR(__xludf.DUMMYFUNCTION("if(not(iserror(index(split(C1937, "" ""),2))), index(split(C1937, "" ""),1),"""")"),"")</f>
        <v/>
      </c>
      <c r="W1937" s="315" t="str">
        <f>IFERROR(__xludf.DUMMYFUNCTION("if(V1937="""",C1937,if(not(iserror(index(split(C1937, "" ""),3))), index(split(C1937, "" ""),3),index(split(C1937, "" ""),2)))"),"")</f>
        <v/>
      </c>
      <c r="X1937" s="38" t="b">
        <f t="shared" si="2"/>
        <v>0</v>
      </c>
      <c r="Y1937" s="38"/>
      <c r="Z1937" s="40"/>
      <c r="AA1937" s="40"/>
      <c r="AB1937" s="38"/>
      <c r="AC1937" s="38"/>
      <c r="AD1937" s="38"/>
      <c r="AE1937" s="38"/>
      <c r="AF1937" s="38"/>
      <c r="AG1937" s="38"/>
      <c r="AH1937" s="38"/>
      <c r="AI1937" s="38"/>
      <c r="AJ1937" s="38"/>
      <c r="AK1937" s="38"/>
      <c r="AL1937" s="38"/>
      <c r="AM1937" s="38"/>
      <c r="AN1937" s="38"/>
      <c r="AO1937" s="38"/>
      <c r="AP1937" s="38"/>
      <c r="AQ1937" s="38"/>
      <c r="AR1937" s="38"/>
      <c r="AS1937" s="38"/>
      <c r="AT1937" s="38"/>
      <c r="AU1937" s="38"/>
      <c r="AV1937" s="38"/>
      <c r="AW1937" s="38"/>
      <c r="AX1937" s="38"/>
      <c r="AY1937" s="38"/>
      <c r="AZ1937" s="38"/>
      <c r="BA1937" s="38"/>
      <c r="BB1937" s="38"/>
      <c r="BC1937" s="38"/>
      <c r="BD1937" s="38"/>
      <c r="BE1937" s="38"/>
      <c r="BF1937" s="38"/>
      <c r="BG1937" s="38"/>
    </row>
    <row r="1938">
      <c r="A1938" s="16"/>
      <c r="B1938" s="16"/>
      <c r="C1938" s="146"/>
      <c r="D1938" s="146"/>
      <c r="E1938" s="16"/>
      <c r="F1938" s="91"/>
      <c r="G1938" s="16"/>
      <c r="H1938" s="320" t="str">
        <f t="shared" si="1"/>
        <v/>
      </c>
      <c r="I1938" s="16"/>
      <c r="J1938" s="16"/>
      <c r="K1938" s="16"/>
      <c r="L1938" s="38"/>
      <c r="M1938" s="16"/>
      <c r="N1938" s="16"/>
      <c r="O1938" s="16"/>
      <c r="P1938" s="15"/>
      <c r="Q1938" s="15"/>
      <c r="R1938" s="16"/>
      <c r="S1938" s="16"/>
      <c r="T1938" s="16"/>
      <c r="U1938" s="16"/>
      <c r="V1938" s="37" t="str">
        <f>IFERROR(__xludf.DUMMYFUNCTION("if(not(iserror(index(split(C1938, "" ""),2))), index(split(C1938, "" ""),1),"""")"),"")</f>
        <v/>
      </c>
      <c r="W1938" s="315" t="str">
        <f>IFERROR(__xludf.DUMMYFUNCTION("if(V1938="""",C1938,if(not(iserror(index(split(C1938, "" ""),3))), index(split(C1938, "" ""),3),index(split(C1938, "" ""),2)))"),"")</f>
        <v/>
      </c>
      <c r="X1938" s="38" t="b">
        <f t="shared" si="2"/>
        <v>0</v>
      </c>
      <c r="Y1938" s="38"/>
      <c r="Z1938" s="40"/>
      <c r="AA1938" s="40"/>
      <c r="AB1938" s="38"/>
      <c r="AC1938" s="38"/>
      <c r="AD1938" s="38"/>
      <c r="AE1938" s="38"/>
      <c r="AF1938" s="38"/>
      <c r="AG1938" s="38"/>
      <c r="AH1938" s="38"/>
      <c r="AI1938" s="38"/>
      <c r="AJ1938" s="38"/>
      <c r="AK1938" s="38"/>
      <c r="AL1938" s="38"/>
      <c r="AM1938" s="38"/>
      <c r="AN1938" s="38"/>
      <c r="AO1938" s="38"/>
      <c r="AP1938" s="38"/>
      <c r="AQ1938" s="38"/>
      <c r="AR1938" s="38"/>
      <c r="AS1938" s="38"/>
      <c r="AT1938" s="38"/>
      <c r="AU1938" s="38"/>
      <c r="AV1938" s="38"/>
      <c r="AW1938" s="38"/>
      <c r="AX1938" s="38"/>
      <c r="AY1938" s="38"/>
      <c r="AZ1938" s="38"/>
      <c r="BA1938" s="38"/>
      <c r="BB1938" s="38"/>
      <c r="BC1938" s="38"/>
      <c r="BD1938" s="38"/>
      <c r="BE1938" s="38"/>
      <c r="BF1938" s="38"/>
      <c r="BG1938" s="38"/>
    </row>
    <row r="1939">
      <c r="A1939" s="16"/>
      <c r="B1939" s="16"/>
      <c r="C1939" s="146"/>
      <c r="D1939" s="146"/>
      <c r="E1939" s="16"/>
      <c r="F1939" s="91"/>
      <c r="G1939" s="16"/>
      <c r="H1939" s="320" t="str">
        <f t="shared" si="1"/>
        <v/>
      </c>
      <c r="I1939" s="16"/>
      <c r="J1939" s="16"/>
      <c r="K1939" s="16"/>
      <c r="L1939" s="38"/>
      <c r="M1939" s="16"/>
      <c r="N1939" s="16"/>
      <c r="O1939" s="16"/>
      <c r="P1939" s="15"/>
      <c r="Q1939" s="15"/>
      <c r="R1939" s="16"/>
      <c r="S1939" s="16"/>
      <c r="T1939" s="16"/>
      <c r="U1939" s="16"/>
      <c r="V1939" s="37" t="str">
        <f>IFERROR(__xludf.DUMMYFUNCTION("if(not(iserror(index(split(C1939, "" ""),2))), index(split(C1939, "" ""),1),"""")"),"")</f>
        <v/>
      </c>
      <c r="W1939" s="315" t="str">
        <f>IFERROR(__xludf.DUMMYFUNCTION("if(V1939="""",C1939,if(not(iserror(index(split(C1939, "" ""),3))), index(split(C1939, "" ""),3),index(split(C1939, "" ""),2)))"),"")</f>
        <v/>
      </c>
      <c r="X1939" s="38" t="b">
        <f t="shared" si="2"/>
        <v>0</v>
      </c>
      <c r="Y1939" s="38"/>
      <c r="Z1939" s="40"/>
      <c r="AA1939" s="40"/>
      <c r="AB1939" s="38"/>
      <c r="AC1939" s="38"/>
      <c r="AD1939" s="38"/>
      <c r="AE1939" s="38"/>
      <c r="AF1939" s="38"/>
      <c r="AG1939" s="38"/>
      <c r="AH1939" s="38"/>
      <c r="AI1939" s="38"/>
      <c r="AJ1939" s="38"/>
      <c r="AK1939" s="38"/>
      <c r="AL1939" s="38"/>
      <c r="AM1939" s="38"/>
      <c r="AN1939" s="38"/>
      <c r="AO1939" s="38"/>
      <c r="AP1939" s="38"/>
      <c r="AQ1939" s="38"/>
      <c r="AR1939" s="38"/>
      <c r="AS1939" s="38"/>
      <c r="AT1939" s="38"/>
      <c r="AU1939" s="38"/>
      <c r="AV1939" s="38"/>
      <c r="AW1939" s="38"/>
      <c r="AX1939" s="38"/>
      <c r="AY1939" s="38"/>
      <c r="AZ1939" s="38"/>
      <c r="BA1939" s="38"/>
      <c r="BB1939" s="38"/>
      <c r="BC1939" s="38"/>
      <c r="BD1939" s="38"/>
      <c r="BE1939" s="38"/>
      <c r="BF1939" s="38"/>
      <c r="BG1939" s="38"/>
    </row>
    <row r="1940">
      <c r="A1940" s="16"/>
      <c r="B1940" s="16"/>
      <c r="C1940" s="146"/>
      <c r="D1940" s="146"/>
      <c r="E1940" s="16"/>
      <c r="F1940" s="91"/>
      <c r="G1940" s="16"/>
      <c r="H1940" s="320" t="str">
        <f t="shared" si="1"/>
        <v/>
      </c>
      <c r="I1940" s="16"/>
      <c r="J1940" s="16"/>
      <c r="K1940" s="16"/>
      <c r="L1940" s="38"/>
      <c r="M1940" s="16"/>
      <c r="N1940" s="16"/>
      <c r="O1940" s="16"/>
      <c r="P1940" s="15"/>
      <c r="Q1940" s="15"/>
      <c r="R1940" s="16"/>
      <c r="S1940" s="16"/>
      <c r="T1940" s="16"/>
      <c r="U1940" s="16"/>
      <c r="V1940" s="37" t="str">
        <f>IFERROR(__xludf.DUMMYFUNCTION("if(not(iserror(index(split(C1940, "" ""),2))), index(split(C1940, "" ""),1),"""")"),"")</f>
        <v/>
      </c>
      <c r="W1940" s="315" t="str">
        <f>IFERROR(__xludf.DUMMYFUNCTION("if(V1940="""",C1940,if(not(iserror(index(split(C1940, "" ""),3))), index(split(C1940, "" ""),3),index(split(C1940, "" ""),2)))"),"")</f>
        <v/>
      </c>
      <c r="X1940" s="38" t="b">
        <f t="shared" si="2"/>
        <v>0</v>
      </c>
      <c r="Y1940" s="38"/>
      <c r="Z1940" s="40"/>
      <c r="AA1940" s="40"/>
      <c r="AB1940" s="38"/>
      <c r="AC1940" s="38"/>
      <c r="AD1940" s="38"/>
      <c r="AE1940" s="38"/>
      <c r="AF1940" s="38"/>
      <c r="AG1940" s="38"/>
      <c r="AH1940" s="38"/>
      <c r="AI1940" s="38"/>
      <c r="AJ1940" s="38"/>
      <c r="AK1940" s="38"/>
      <c r="AL1940" s="38"/>
      <c r="AM1940" s="38"/>
      <c r="AN1940" s="38"/>
      <c r="AO1940" s="38"/>
      <c r="AP1940" s="38"/>
      <c r="AQ1940" s="38"/>
      <c r="AR1940" s="38"/>
      <c r="AS1940" s="38"/>
      <c r="AT1940" s="38"/>
      <c r="AU1940" s="38"/>
      <c r="AV1940" s="38"/>
      <c r="AW1940" s="38"/>
      <c r="AX1940" s="38"/>
      <c r="AY1940" s="38"/>
      <c r="AZ1940" s="38"/>
      <c r="BA1940" s="38"/>
      <c r="BB1940" s="38"/>
      <c r="BC1940" s="38"/>
      <c r="BD1940" s="38"/>
      <c r="BE1940" s="38"/>
      <c r="BF1940" s="38"/>
      <c r="BG1940" s="38"/>
    </row>
    <row r="1941">
      <c r="A1941" s="16"/>
      <c r="B1941" s="16"/>
      <c r="C1941" s="146"/>
      <c r="D1941" s="146"/>
      <c r="E1941" s="16"/>
      <c r="F1941" s="91"/>
      <c r="G1941" s="16"/>
      <c r="H1941" s="320" t="str">
        <f t="shared" si="1"/>
        <v/>
      </c>
      <c r="I1941" s="16"/>
      <c r="J1941" s="16"/>
      <c r="K1941" s="16"/>
      <c r="L1941" s="38"/>
      <c r="M1941" s="16"/>
      <c r="N1941" s="16"/>
      <c r="O1941" s="16"/>
      <c r="P1941" s="15"/>
      <c r="Q1941" s="15"/>
      <c r="R1941" s="16"/>
      <c r="S1941" s="16"/>
      <c r="T1941" s="16"/>
      <c r="U1941" s="16"/>
      <c r="V1941" s="37" t="str">
        <f>IFERROR(__xludf.DUMMYFUNCTION("if(not(iserror(index(split(C1941, "" ""),2))), index(split(C1941, "" ""),1),"""")"),"")</f>
        <v/>
      </c>
      <c r="W1941" s="315" t="str">
        <f>IFERROR(__xludf.DUMMYFUNCTION("if(V1941="""",C1941,if(not(iserror(index(split(C1941, "" ""),3))), index(split(C1941, "" ""),3),index(split(C1941, "" ""),2)))"),"")</f>
        <v/>
      </c>
      <c r="X1941" s="38" t="b">
        <f t="shared" si="2"/>
        <v>0</v>
      </c>
      <c r="Y1941" s="38"/>
      <c r="Z1941" s="40"/>
      <c r="AA1941" s="40"/>
      <c r="AB1941" s="38"/>
      <c r="AC1941" s="38"/>
      <c r="AD1941" s="38"/>
      <c r="AE1941" s="38"/>
      <c r="AF1941" s="38"/>
      <c r="AG1941" s="38"/>
      <c r="AH1941" s="38"/>
      <c r="AI1941" s="38"/>
      <c r="AJ1941" s="38"/>
      <c r="AK1941" s="38"/>
      <c r="AL1941" s="38"/>
      <c r="AM1941" s="38"/>
      <c r="AN1941" s="38"/>
      <c r="AO1941" s="38"/>
      <c r="AP1941" s="38"/>
      <c r="AQ1941" s="38"/>
      <c r="AR1941" s="38"/>
      <c r="AS1941" s="38"/>
      <c r="AT1941" s="38"/>
      <c r="AU1941" s="38"/>
      <c r="AV1941" s="38"/>
      <c r="AW1941" s="38"/>
      <c r="AX1941" s="38"/>
      <c r="AY1941" s="38"/>
      <c r="AZ1941" s="38"/>
      <c r="BA1941" s="38"/>
      <c r="BB1941" s="38"/>
      <c r="BC1941" s="38"/>
      <c r="BD1941" s="38"/>
      <c r="BE1941" s="38"/>
      <c r="BF1941" s="38"/>
      <c r="BG1941" s="38"/>
    </row>
    <row r="1942">
      <c r="A1942" s="16"/>
      <c r="B1942" s="16"/>
      <c r="C1942" s="146"/>
      <c r="D1942" s="146"/>
      <c r="E1942" s="16"/>
      <c r="F1942" s="91"/>
      <c r="G1942" s="16"/>
      <c r="H1942" s="320" t="str">
        <f t="shared" si="1"/>
        <v/>
      </c>
      <c r="I1942" s="16"/>
      <c r="J1942" s="16"/>
      <c r="K1942" s="16"/>
      <c r="L1942" s="38"/>
      <c r="M1942" s="16"/>
      <c r="N1942" s="16"/>
      <c r="O1942" s="16"/>
      <c r="P1942" s="15"/>
      <c r="Q1942" s="15"/>
      <c r="R1942" s="16"/>
      <c r="S1942" s="16"/>
      <c r="T1942" s="16"/>
      <c r="U1942" s="16"/>
      <c r="V1942" s="37" t="str">
        <f>IFERROR(__xludf.DUMMYFUNCTION("if(not(iserror(index(split(C1942, "" ""),2))), index(split(C1942, "" ""),1),"""")"),"")</f>
        <v/>
      </c>
      <c r="W1942" s="315" t="str">
        <f>IFERROR(__xludf.DUMMYFUNCTION("if(V1942="""",C1942,if(not(iserror(index(split(C1942, "" ""),3))), index(split(C1942, "" ""),3),index(split(C1942, "" ""),2)))"),"")</f>
        <v/>
      </c>
      <c r="X1942" s="38" t="b">
        <f t="shared" si="2"/>
        <v>0</v>
      </c>
      <c r="Y1942" s="38"/>
      <c r="Z1942" s="40"/>
      <c r="AA1942" s="40"/>
      <c r="AB1942" s="38"/>
      <c r="AC1942" s="38"/>
      <c r="AD1942" s="38"/>
      <c r="AE1942" s="38"/>
      <c r="AF1942" s="38"/>
      <c r="AG1942" s="38"/>
      <c r="AH1942" s="38"/>
      <c r="AI1942" s="38"/>
      <c r="AJ1942" s="38"/>
      <c r="AK1942" s="38"/>
      <c r="AL1942" s="38"/>
      <c r="AM1942" s="38"/>
      <c r="AN1942" s="38"/>
      <c r="AO1942" s="38"/>
      <c r="AP1942" s="38"/>
      <c r="AQ1942" s="38"/>
      <c r="AR1942" s="38"/>
      <c r="AS1942" s="38"/>
      <c r="AT1942" s="38"/>
      <c r="AU1942" s="38"/>
      <c r="AV1942" s="38"/>
      <c r="AW1942" s="38"/>
      <c r="AX1942" s="38"/>
      <c r="AY1942" s="38"/>
      <c r="AZ1942" s="38"/>
      <c r="BA1942" s="38"/>
      <c r="BB1942" s="38"/>
      <c r="BC1942" s="38"/>
      <c r="BD1942" s="38"/>
      <c r="BE1942" s="38"/>
      <c r="BF1942" s="38"/>
      <c r="BG1942" s="38"/>
    </row>
    <row r="1943">
      <c r="A1943" s="16"/>
      <c r="B1943" s="16"/>
      <c r="C1943" s="146"/>
      <c r="D1943" s="146"/>
      <c r="E1943" s="16"/>
      <c r="F1943" s="91"/>
      <c r="G1943" s="16"/>
      <c r="H1943" s="320" t="str">
        <f t="shared" si="1"/>
        <v/>
      </c>
      <c r="I1943" s="16"/>
      <c r="J1943" s="16"/>
      <c r="K1943" s="16"/>
      <c r="L1943" s="38"/>
      <c r="M1943" s="16"/>
      <c r="N1943" s="16"/>
      <c r="O1943" s="16"/>
      <c r="P1943" s="15"/>
      <c r="Q1943" s="15"/>
      <c r="R1943" s="16"/>
      <c r="S1943" s="16"/>
      <c r="T1943" s="16"/>
      <c r="U1943" s="16"/>
      <c r="V1943" s="37" t="str">
        <f>IFERROR(__xludf.DUMMYFUNCTION("if(not(iserror(index(split(C1943, "" ""),2))), index(split(C1943, "" ""),1),"""")"),"")</f>
        <v/>
      </c>
      <c r="W1943" s="315" t="str">
        <f>IFERROR(__xludf.DUMMYFUNCTION("if(V1943="""",C1943,if(not(iserror(index(split(C1943, "" ""),3))), index(split(C1943, "" ""),3),index(split(C1943, "" ""),2)))"),"")</f>
        <v/>
      </c>
      <c r="X1943" s="38" t="b">
        <f t="shared" si="2"/>
        <v>0</v>
      </c>
      <c r="Y1943" s="38"/>
      <c r="Z1943" s="40"/>
      <c r="AA1943" s="40"/>
      <c r="AB1943" s="38"/>
      <c r="AC1943" s="38"/>
      <c r="AD1943" s="38"/>
      <c r="AE1943" s="38"/>
      <c r="AF1943" s="38"/>
      <c r="AG1943" s="38"/>
      <c r="AH1943" s="38"/>
      <c r="AI1943" s="38"/>
      <c r="AJ1943" s="38"/>
      <c r="AK1943" s="38"/>
      <c r="AL1943" s="38"/>
      <c r="AM1943" s="38"/>
      <c r="AN1943" s="38"/>
      <c r="AO1943" s="38"/>
      <c r="AP1943" s="38"/>
      <c r="AQ1943" s="38"/>
      <c r="AR1943" s="38"/>
      <c r="AS1943" s="38"/>
      <c r="AT1943" s="38"/>
      <c r="AU1943" s="38"/>
      <c r="AV1943" s="38"/>
      <c r="AW1943" s="38"/>
      <c r="AX1943" s="38"/>
      <c r="AY1943" s="38"/>
      <c r="AZ1943" s="38"/>
      <c r="BA1943" s="38"/>
      <c r="BB1943" s="38"/>
      <c r="BC1943" s="38"/>
      <c r="BD1943" s="38"/>
      <c r="BE1943" s="38"/>
      <c r="BF1943" s="38"/>
      <c r="BG1943" s="38"/>
    </row>
    <row r="1944">
      <c r="A1944" s="16"/>
      <c r="B1944" s="16"/>
      <c r="C1944" s="146"/>
      <c r="D1944" s="146"/>
      <c r="E1944" s="16"/>
      <c r="F1944" s="91"/>
      <c r="G1944" s="16"/>
      <c r="H1944" s="320" t="str">
        <f t="shared" si="1"/>
        <v/>
      </c>
      <c r="I1944" s="16"/>
      <c r="J1944" s="16"/>
      <c r="K1944" s="16"/>
      <c r="L1944" s="38"/>
      <c r="M1944" s="16"/>
      <c r="N1944" s="16"/>
      <c r="O1944" s="16"/>
      <c r="P1944" s="15"/>
      <c r="Q1944" s="15"/>
      <c r="R1944" s="16"/>
      <c r="S1944" s="16"/>
      <c r="T1944" s="16"/>
      <c r="U1944" s="16"/>
      <c r="V1944" s="37" t="str">
        <f>IFERROR(__xludf.DUMMYFUNCTION("if(not(iserror(index(split(C1944, "" ""),2))), index(split(C1944, "" ""),1),"""")"),"")</f>
        <v/>
      </c>
      <c r="W1944" s="315" t="str">
        <f>IFERROR(__xludf.DUMMYFUNCTION("if(V1944="""",C1944,if(not(iserror(index(split(C1944, "" ""),3))), index(split(C1944, "" ""),3),index(split(C1944, "" ""),2)))"),"")</f>
        <v/>
      </c>
      <c r="X1944" s="38" t="b">
        <f t="shared" si="2"/>
        <v>0</v>
      </c>
      <c r="Y1944" s="38"/>
      <c r="Z1944" s="40"/>
      <c r="AA1944" s="40"/>
      <c r="AB1944" s="38"/>
      <c r="AC1944" s="38"/>
      <c r="AD1944" s="38"/>
      <c r="AE1944" s="38"/>
      <c r="AF1944" s="38"/>
      <c r="AG1944" s="38"/>
      <c r="AH1944" s="38"/>
      <c r="AI1944" s="38"/>
      <c r="AJ1944" s="38"/>
      <c r="AK1944" s="38"/>
      <c r="AL1944" s="38"/>
      <c r="AM1944" s="38"/>
      <c r="AN1944" s="38"/>
      <c r="AO1944" s="38"/>
      <c r="AP1944" s="38"/>
      <c r="AQ1944" s="38"/>
      <c r="AR1944" s="38"/>
      <c r="AS1944" s="38"/>
      <c r="AT1944" s="38"/>
      <c r="AU1944" s="38"/>
      <c r="AV1944" s="38"/>
      <c r="AW1944" s="38"/>
      <c r="AX1944" s="38"/>
      <c r="AY1944" s="38"/>
      <c r="AZ1944" s="38"/>
      <c r="BA1944" s="38"/>
      <c r="BB1944" s="38"/>
      <c r="BC1944" s="38"/>
      <c r="BD1944" s="38"/>
      <c r="BE1944" s="38"/>
      <c r="BF1944" s="38"/>
      <c r="BG1944" s="38"/>
    </row>
    <row r="1945">
      <c r="A1945" s="16"/>
      <c r="B1945" s="16"/>
      <c r="C1945" s="146"/>
      <c r="D1945" s="146"/>
      <c r="E1945" s="16"/>
      <c r="F1945" s="91"/>
      <c r="G1945" s="16"/>
      <c r="H1945" s="320" t="str">
        <f t="shared" si="1"/>
        <v/>
      </c>
      <c r="I1945" s="16"/>
      <c r="J1945" s="16"/>
      <c r="K1945" s="16"/>
      <c r="L1945" s="38"/>
      <c r="M1945" s="16"/>
      <c r="N1945" s="16"/>
      <c r="O1945" s="16"/>
      <c r="P1945" s="15"/>
      <c r="Q1945" s="15"/>
      <c r="R1945" s="16"/>
      <c r="S1945" s="16"/>
      <c r="T1945" s="16"/>
      <c r="U1945" s="16"/>
      <c r="V1945" s="37" t="str">
        <f>IFERROR(__xludf.DUMMYFUNCTION("if(not(iserror(index(split(C1945, "" ""),2))), index(split(C1945, "" ""),1),"""")"),"")</f>
        <v/>
      </c>
      <c r="W1945" s="315" t="str">
        <f>IFERROR(__xludf.DUMMYFUNCTION("if(V1945="""",C1945,if(not(iserror(index(split(C1945, "" ""),3))), index(split(C1945, "" ""),3),index(split(C1945, "" ""),2)))"),"")</f>
        <v/>
      </c>
      <c r="X1945" s="38" t="b">
        <f t="shared" si="2"/>
        <v>0</v>
      </c>
      <c r="Y1945" s="38"/>
      <c r="Z1945" s="40"/>
      <c r="AA1945" s="40"/>
      <c r="AB1945" s="38"/>
      <c r="AC1945" s="38"/>
      <c r="AD1945" s="38"/>
      <c r="AE1945" s="38"/>
      <c r="AF1945" s="38"/>
      <c r="AG1945" s="38"/>
      <c r="AH1945" s="38"/>
      <c r="AI1945" s="38"/>
      <c r="AJ1945" s="38"/>
      <c r="AK1945" s="38"/>
      <c r="AL1945" s="38"/>
      <c r="AM1945" s="38"/>
      <c r="AN1945" s="38"/>
      <c r="AO1945" s="38"/>
      <c r="AP1945" s="38"/>
      <c r="AQ1945" s="38"/>
      <c r="AR1945" s="38"/>
      <c r="AS1945" s="38"/>
      <c r="AT1945" s="38"/>
      <c r="AU1945" s="38"/>
      <c r="AV1945" s="38"/>
      <c r="AW1945" s="38"/>
      <c r="AX1945" s="38"/>
      <c r="AY1945" s="38"/>
      <c r="AZ1945" s="38"/>
      <c r="BA1945" s="38"/>
      <c r="BB1945" s="38"/>
      <c r="BC1945" s="38"/>
      <c r="BD1945" s="38"/>
      <c r="BE1945" s="38"/>
      <c r="BF1945" s="38"/>
      <c r="BG1945" s="38"/>
    </row>
    <row r="1946">
      <c r="A1946" s="16"/>
      <c r="B1946" s="16"/>
      <c r="C1946" s="146"/>
      <c r="D1946" s="146"/>
      <c r="E1946" s="16"/>
      <c r="F1946" s="91"/>
      <c r="G1946" s="16"/>
      <c r="H1946" s="320" t="str">
        <f t="shared" si="1"/>
        <v/>
      </c>
      <c r="I1946" s="16"/>
      <c r="J1946" s="16"/>
      <c r="K1946" s="16"/>
      <c r="L1946" s="38"/>
      <c r="M1946" s="16"/>
      <c r="N1946" s="16"/>
      <c r="O1946" s="16"/>
      <c r="P1946" s="15"/>
      <c r="Q1946" s="15"/>
      <c r="R1946" s="16"/>
      <c r="S1946" s="16"/>
      <c r="T1946" s="16"/>
      <c r="U1946" s="16"/>
      <c r="V1946" s="37" t="str">
        <f>IFERROR(__xludf.DUMMYFUNCTION("if(not(iserror(index(split(C1946, "" ""),2))), index(split(C1946, "" ""),1),"""")"),"")</f>
        <v/>
      </c>
      <c r="W1946" s="315" t="str">
        <f>IFERROR(__xludf.DUMMYFUNCTION("if(V1946="""",C1946,if(not(iserror(index(split(C1946, "" ""),3))), index(split(C1946, "" ""),3),index(split(C1946, "" ""),2)))"),"")</f>
        <v/>
      </c>
      <c r="X1946" s="38" t="b">
        <f t="shared" si="2"/>
        <v>0</v>
      </c>
      <c r="Y1946" s="38"/>
      <c r="Z1946" s="40"/>
      <c r="AA1946" s="40"/>
      <c r="AB1946" s="38"/>
      <c r="AC1946" s="38"/>
      <c r="AD1946" s="38"/>
      <c r="AE1946" s="38"/>
      <c r="AF1946" s="38"/>
      <c r="AG1946" s="38"/>
      <c r="AH1946" s="38"/>
      <c r="AI1946" s="38"/>
      <c r="AJ1946" s="38"/>
      <c r="AK1946" s="38"/>
      <c r="AL1946" s="38"/>
      <c r="AM1946" s="38"/>
      <c r="AN1946" s="38"/>
      <c r="AO1946" s="38"/>
      <c r="AP1946" s="38"/>
      <c r="AQ1946" s="38"/>
      <c r="AR1946" s="38"/>
      <c r="AS1946" s="38"/>
      <c r="AT1946" s="38"/>
      <c r="AU1946" s="38"/>
      <c r="AV1946" s="38"/>
      <c r="AW1946" s="38"/>
      <c r="AX1946" s="38"/>
      <c r="AY1946" s="38"/>
      <c r="AZ1946" s="38"/>
      <c r="BA1946" s="38"/>
      <c r="BB1946" s="38"/>
      <c r="BC1946" s="38"/>
      <c r="BD1946" s="38"/>
      <c r="BE1946" s="38"/>
      <c r="BF1946" s="38"/>
      <c r="BG1946" s="38"/>
    </row>
    <row r="1947">
      <c r="A1947" s="16"/>
      <c r="B1947" s="16"/>
      <c r="C1947" s="146"/>
      <c r="D1947" s="146"/>
      <c r="E1947" s="16"/>
      <c r="F1947" s="91"/>
      <c r="G1947" s="16"/>
      <c r="H1947" s="320" t="str">
        <f t="shared" si="1"/>
        <v/>
      </c>
      <c r="I1947" s="16"/>
      <c r="J1947" s="16"/>
      <c r="K1947" s="16"/>
      <c r="L1947" s="38"/>
      <c r="M1947" s="16"/>
      <c r="N1947" s="16"/>
      <c r="O1947" s="16"/>
      <c r="P1947" s="15"/>
      <c r="Q1947" s="15"/>
      <c r="R1947" s="16"/>
      <c r="S1947" s="16"/>
      <c r="T1947" s="16"/>
      <c r="U1947" s="16"/>
      <c r="V1947" s="37" t="str">
        <f>IFERROR(__xludf.DUMMYFUNCTION("if(not(iserror(index(split(C1947, "" ""),2))), index(split(C1947, "" ""),1),"""")"),"")</f>
        <v/>
      </c>
      <c r="W1947" s="315" t="str">
        <f>IFERROR(__xludf.DUMMYFUNCTION("if(V1947="""",C1947,if(not(iserror(index(split(C1947, "" ""),3))), index(split(C1947, "" ""),3),index(split(C1947, "" ""),2)))"),"")</f>
        <v/>
      </c>
      <c r="X1947" s="38" t="b">
        <f t="shared" si="2"/>
        <v>0</v>
      </c>
      <c r="Y1947" s="38"/>
      <c r="Z1947" s="40"/>
      <c r="AA1947" s="40"/>
      <c r="AB1947" s="38"/>
      <c r="AC1947" s="38"/>
      <c r="AD1947" s="38"/>
      <c r="AE1947" s="38"/>
      <c r="AF1947" s="38"/>
      <c r="AG1947" s="38"/>
      <c r="AH1947" s="38"/>
      <c r="AI1947" s="38"/>
      <c r="AJ1947" s="38"/>
      <c r="AK1947" s="38"/>
      <c r="AL1947" s="38"/>
      <c r="AM1947" s="38"/>
      <c r="AN1947" s="38"/>
      <c r="AO1947" s="38"/>
      <c r="AP1947" s="38"/>
      <c r="AQ1947" s="38"/>
      <c r="AR1947" s="38"/>
      <c r="AS1947" s="38"/>
      <c r="AT1947" s="38"/>
      <c r="AU1947" s="38"/>
      <c r="AV1947" s="38"/>
      <c r="AW1947" s="38"/>
      <c r="AX1947" s="38"/>
      <c r="AY1947" s="38"/>
      <c r="AZ1947" s="38"/>
      <c r="BA1947" s="38"/>
      <c r="BB1947" s="38"/>
      <c r="BC1947" s="38"/>
      <c r="BD1947" s="38"/>
      <c r="BE1947" s="38"/>
      <c r="BF1947" s="38"/>
      <c r="BG1947" s="38"/>
    </row>
    <row r="1948">
      <c r="A1948" s="16"/>
      <c r="B1948" s="16"/>
      <c r="C1948" s="146"/>
      <c r="D1948" s="146"/>
      <c r="E1948" s="16"/>
      <c r="F1948" s="91"/>
      <c r="G1948" s="16"/>
      <c r="H1948" s="320" t="str">
        <f t="shared" si="1"/>
        <v/>
      </c>
      <c r="I1948" s="16"/>
      <c r="J1948" s="16"/>
      <c r="K1948" s="16"/>
      <c r="L1948" s="38"/>
      <c r="M1948" s="16"/>
      <c r="N1948" s="16"/>
      <c r="O1948" s="16"/>
      <c r="P1948" s="15"/>
      <c r="Q1948" s="15"/>
      <c r="R1948" s="16"/>
      <c r="S1948" s="16"/>
      <c r="T1948" s="16"/>
      <c r="U1948" s="16"/>
      <c r="V1948" s="37" t="str">
        <f>IFERROR(__xludf.DUMMYFUNCTION("if(not(iserror(index(split(C1948, "" ""),2))), index(split(C1948, "" ""),1),"""")"),"")</f>
        <v/>
      </c>
      <c r="W1948" s="315" t="str">
        <f>IFERROR(__xludf.DUMMYFUNCTION("if(V1948="""",C1948,if(not(iserror(index(split(C1948, "" ""),3))), index(split(C1948, "" ""),3),index(split(C1948, "" ""),2)))"),"")</f>
        <v/>
      </c>
      <c r="X1948" s="38" t="b">
        <f t="shared" si="2"/>
        <v>0</v>
      </c>
      <c r="Y1948" s="38"/>
      <c r="Z1948" s="40"/>
      <c r="AA1948" s="40"/>
      <c r="AB1948" s="38"/>
      <c r="AC1948" s="38"/>
      <c r="AD1948" s="38"/>
      <c r="AE1948" s="38"/>
      <c r="AF1948" s="38"/>
      <c r="AG1948" s="38"/>
      <c r="AH1948" s="38"/>
      <c r="AI1948" s="38"/>
      <c r="AJ1948" s="38"/>
      <c r="AK1948" s="38"/>
      <c r="AL1948" s="38"/>
      <c r="AM1948" s="38"/>
      <c r="AN1948" s="38"/>
      <c r="AO1948" s="38"/>
      <c r="AP1948" s="38"/>
      <c r="AQ1948" s="38"/>
      <c r="AR1948" s="38"/>
      <c r="AS1948" s="38"/>
      <c r="AT1948" s="38"/>
      <c r="AU1948" s="38"/>
      <c r="AV1948" s="38"/>
      <c r="AW1948" s="38"/>
      <c r="AX1948" s="38"/>
      <c r="AY1948" s="38"/>
      <c r="AZ1948" s="38"/>
      <c r="BA1948" s="38"/>
      <c r="BB1948" s="38"/>
      <c r="BC1948" s="38"/>
      <c r="BD1948" s="38"/>
      <c r="BE1948" s="38"/>
      <c r="BF1948" s="38"/>
      <c r="BG1948" s="38"/>
    </row>
    <row r="1949">
      <c r="A1949" s="16"/>
      <c r="B1949" s="16"/>
      <c r="C1949" s="146"/>
      <c r="D1949" s="146"/>
      <c r="E1949" s="16"/>
      <c r="F1949" s="91"/>
      <c r="G1949" s="16"/>
      <c r="H1949" s="320" t="str">
        <f t="shared" si="1"/>
        <v/>
      </c>
      <c r="I1949" s="16"/>
      <c r="J1949" s="16"/>
      <c r="K1949" s="16"/>
      <c r="L1949" s="38"/>
      <c r="M1949" s="16"/>
      <c r="N1949" s="16"/>
      <c r="O1949" s="16"/>
      <c r="P1949" s="15"/>
      <c r="Q1949" s="15"/>
      <c r="R1949" s="16"/>
      <c r="S1949" s="16"/>
      <c r="T1949" s="16"/>
      <c r="U1949" s="16"/>
      <c r="V1949" s="37" t="str">
        <f>IFERROR(__xludf.DUMMYFUNCTION("if(not(iserror(index(split(C1949, "" ""),2))), index(split(C1949, "" ""),1),"""")"),"")</f>
        <v/>
      </c>
      <c r="W1949" s="315" t="str">
        <f>IFERROR(__xludf.DUMMYFUNCTION("if(V1949="""",C1949,if(not(iserror(index(split(C1949, "" ""),3))), index(split(C1949, "" ""),3),index(split(C1949, "" ""),2)))"),"")</f>
        <v/>
      </c>
      <c r="X1949" s="38" t="b">
        <f t="shared" si="2"/>
        <v>0</v>
      </c>
      <c r="Y1949" s="38"/>
      <c r="Z1949" s="40"/>
      <c r="AA1949" s="40"/>
      <c r="AB1949" s="38"/>
      <c r="AC1949" s="38"/>
      <c r="AD1949" s="38"/>
      <c r="AE1949" s="38"/>
      <c r="AF1949" s="38"/>
      <c r="AG1949" s="38"/>
      <c r="AH1949" s="38"/>
      <c r="AI1949" s="38"/>
      <c r="AJ1949" s="38"/>
      <c r="AK1949" s="38"/>
      <c r="AL1949" s="38"/>
      <c r="AM1949" s="38"/>
      <c r="AN1949" s="38"/>
      <c r="AO1949" s="38"/>
      <c r="AP1949" s="38"/>
      <c r="AQ1949" s="38"/>
      <c r="AR1949" s="38"/>
      <c r="AS1949" s="38"/>
      <c r="AT1949" s="38"/>
      <c r="AU1949" s="38"/>
      <c r="AV1949" s="38"/>
      <c r="AW1949" s="38"/>
      <c r="AX1949" s="38"/>
      <c r="AY1949" s="38"/>
      <c r="AZ1949" s="38"/>
      <c r="BA1949" s="38"/>
      <c r="BB1949" s="38"/>
      <c r="BC1949" s="38"/>
      <c r="BD1949" s="38"/>
      <c r="BE1949" s="38"/>
      <c r="BF1949" s="38"/>
      <c r="BG1949" s="38"/>
    </row>
    <row r="1950">
      <c r="A1950" s="16"/>
      <c r="B1950" s="16"/>
      <c r="C1950" s="146"/>
      <c r="D1950" s="146"/>
      <c r="E1950" s="16"/>
      <c r="F1950" s="91"/>
      <c r="G1950" s="16"/>
      <c r="H1950" s="320" t="str">
        <f t="shared" si="1"/>
        <v/>
      </c>
      <c r="I1950" s="16"/>
      <c r="J1950" s="16"/>
      <c r="K1950" s="16"/>
      <c r="L1950" s="38"/>
      <c r="M1950" s="16"/>
      <c r="N1950" s="16"/>
      <c r="O1950" s="16"/>
      <c r="P1950" s="15"/>
      <c r="Q1950" s="15"/>
      <c r="R1950" s="16"/>
      <c r="S1950" s="16"/>
      <c r="T1950" s="16"/>
      <c r="U1950" s="16"/>
      <c r="V1950" s="37" t="str">
        <f>IFERROR(__xludf.DUMMYFUNCTION("if(not(iserror(index(split(C1950, "" ""),2))), index(split(C1950, "" ""),1),"""")"),"")</f>
        <v/>
      </c>
      <c r="W1950" s="315" t="str">
        <f>IFERROR(__xludf.DUMMYFUNCTION("if(V1950="""",C1950,if(not(iserror(index(split(C1950, "" ""),3))), index(split(C1950, "" ""),3),index(split(C1950, "" ""),2)))"),"")</f>
        <v/>
      </c>
      <c r="X1950" s="38" t="b">
        <f t="shared" si="2"/>
        <v>0</v>
      </c>
      <c r="Y1950" s="38"/>
      <c r="Z1950" s="40"/>
      <c r="AA1950" s="40"/>
      <c r="AB1950" s="38"/>
      <c r="AC1950" s="38"/>
      <c r="AD1950" s="38"/>
      <c r="AE1950" s="38"/>
      <c r="AF1950" s="38"/>
      <c r="AG1950" s="38"/>
      <c r="AH1950" s="38"/>
      <c r="AI1950" s="38"/>
      <c r="AJ1950" s="38"/>
      <c r="AK1950" s="38"/>
      <c r="AL1950" s="38"/>
      <c r="AM1950" s="38"/>
      <c r="AN1950" s="38"/>
      <c r="AO1950" s="38"/>
      <c r="AP1950" s="38"/>
      <c r="AQ1950" s="38"/>
      <c r="AR1950" s="38"/>
      <c r="AS1950" s="38"/>
      <c r="AT1950" s="38"/>
      <c r="AU1950" s="38"/>
      <c r="AV1950" s="38"/>
      <c r="AW1950" s="38"/>
      <c r="AX1950" s="38"/>
      <c r="AY1950" s="38"/>
      <c r="AZ1950" s="38"/>
      <c r="BA1950" s="38"/>
      <c r="BB1950" s="38"/>
      <c r="BC1950" s="38"/>
      <c r="BD1950" s="38"/>
      <c r="BE1950" s="38"/>
      <c r="BF1950" s="38"/>
      <c r="BG1950" s="38"/>
    </row>
    <row r="1951">
      <c r="A1951" s="16"/>
      <c r="B1951" s="16"/>
      <c r="C1951" s="146"/>
      <c r="D1951" s="146"/>
      <c r="E1951" s="16"/>
      <c r="F1951" s="91"/>
      <c r="G1951" s="16"/>
      <c r="H1951" s="320" t="str">
        <f t="shared" si="1"/>
        <v/>
      </c>
      <c r="I1951" s="16"/>
      <c r="J1951" s="16"/>
      <c r="K1951" s="16"/>
      <c r="L1951" s="38"/>
      <c r="M1951" s="16"/>
      <c r="N1951" s="16"/>
      <c r="O1951" s="16"/>
      <c r="P1951" s="15"/>
      <c r="Q1951" s="15"/>
      <c r="R1951" s="16"/>
      <c r="S1951" s="16"/>
      <c r="T1951" s="16"/>
      <c r="U1951" s="16"/>
      <c r="V1951" s="37" t="str">
        <f>IFERROR(__xludf.DUMMYFUNCTION("if(not(iserror(index(split(C1951, "" ""),2))), index(split(C1951, "" ""),1),"""")"),"")</f>
        <v/>
      </c>
      <c r="W1951" s="315" t="str">
        <f>IFERROR(__xludf.DUMMYFUNCTION("if(V1951="""",C1951,if(not(iserror(index(split(C1951, "" ""),3))), index(split(C1951, "" ""),3),index(split(C1951, "" ""),2)))"),"")</f>
        <v/>
      </c>
      <c r="X1951" s="38" t="b">
        <f t="shared" si="2"/>
        <v>0</v>
      </c>
      <c r="Y1951" s="38"/>
      <c r="Z1951" s="40"/>
      <c r="AA1951" s="40"/>
      <c r="AB1951" s="38"/>
      <c r="AC1951" s="38"/>
      <c r="AD1951" s="38"/>
      <c r="AE1951" s="38"/>
      <c r="AF1951" s="38"/>
      <c r="AG1951" s="38"/>
      <c r="AH1951" s="38"/>
      <c r="AI1951" s="38"/>
      <c r="AJ1951" s="38"/>
      <c r="AK1951" s="38"/>
      <c r="AL1951" s="38"/>
      <c r="AM1951" s="38"/>
      <c r="AN1951" s="38"/>
      <c r="AO1951" s="38"/>
      <c r="AP1951" s="38"/>
      <c r="AQ1951" s="38"/>
      <c r="AR1951" s="38"/>
      <c r="AS1951" s="38"/>
      <c r="AT1951" s="38"/>
      <c r="AU1951" s="38"/>
      <c r="AV1951" s="38"/>
      <c r="AW1951" s="38"/>
      <c r="AX1951" s="38"/>
      <c r="AY1951" s="38"/>
      <c r="AZ1951" s="38"/>
      <c r="BA1951" s="38"/>
      <c r="BB1951" s="38"/>
      <c r="BC1951" s="38"/>
      <c r="BD1951" s="38"/>
      <c r="BE1951" s="38"/>
      <c r="BF1951" s="38"/>
      <c r="BG1951" s="38"/>
    </row>
    <row r="1952">
      <c r="A1952" s="16"/>
      <c r="B1952" s="16"/>
      <c r="C1952" s="146"/>
      <c r="D1952" s="146"/>
      <c r="E1952" s="16"/>
      <c r="F1952" s="91"/>
      <c r="G1952" s="16"/>
      <c r="H1952" s="320" t="str">
        <f t="shared" si="1"/>
        <v/>
      </c>
      <c r="I1952" s="16"/>
      <c r="J1952" s="16"/>
      <c r="K1952" s="16"/>
      <c r="L1952" s="38"/>
      <c r="M1952" s="16"/>
      <c r="N1952" s="16"/>
      <c r="O1952" s="16"/>
      <c r="P1952" s="15"/>
      <c r="Q1952" s="15"/>
      <c r="R1952" s="16"/>
      <c r="S1952" s="16"/>
      <c r="T1952" s="16"/>
      <c r="U1952" s="16"/>
      <c r="V1952" s="37" t="str">
        <f>IFERROR(__xludf.DUMMYFUNCTION("if(not(iserror(index(split(C1952, "" ""),2))), index(split(C1952, "" ""),1),"""")"),"")</f>
        <v/>
      </c>
      <c r="W1952" s="315" t="str">
        <f>IFERROR(__xludf.DUMMYFUNCTION("if(V1952="""",C1952,if(not(iserror(index(split(C1952, "" ""),3))), index(split(C1952, "" ""),3),index(split(C1952, "" ""),2)))"),"")</f>
        <v/>
      </c>
      <c r="X1952" s="38" t="b">
        <f t="shared" si="2"/>
        <v>0</v>
      </c>
      <c r="Y1952" s="38"/>
      <c r="Z1952" s="40"/>
      <c r="AA1952" s="40"/>
      <c r="AB1952" s="38"/>
      <c r="AC1952" s="38"/>
      <c r="AD1952" s="38"/>
      <c r="AE1952" s="38"/>
      <c r="AF1952" s="38"/>
      <c r="AG1952" s="38"/>
      <c r="AH1952" s="38"/>
      <c r="AI1952" s="38"/>
      <c r="AJ1952" s="38"/>
      <c r="AK1952" s="38"/>
      <c r="AL1952" s="38"/>
      <c r="AM1952" s="38"/>
      <c r="AN1952" s="38"/>
      <c r="AO1952" s="38"/>
      <c r="AP1952" s="38"/>
      <c r="AQ1952" s="38"/>
      <c r="AR1952" s="38"/>
      <c r="AS1952" s="38"/>
      <c r="AT1952" s="38"/>
      <c r="AU1952" s="38"/>
      <c r="AV1952" s="38"/>
      <c r="AW1952" s="38"/>
      <c r="AX1952" s="38"/>
      <c r="AY1952" s="38"/>
      <c r="AZ1952" s="38"/>
      <c r="BA1952" s="38"/>
      <c r="BB1952" s="38"/>
      <c r="BC1952" s="38"/>
      <c r="BD1952" s="38"/>
      <c r="BE1952" s="38"/>
      <c r="BF1952" s="38"/>
      <c r="BG1952" s="38"/>
    </row>
    <row r="1953">
      <c r="A1953" s="16"/>
      <c r="B1953" s="16"/>
      <c r="C1953" s="146"/>
      <c r="D1953" s="146"/>
      <c r="E1953" s="16"/>
      <c r="F1953" s="91"/>
      <c r="G1953" s="16"/>
      <c r="H1953" s="320" t="str">
        <f t="shared" si="1"/>
        <v/>
      </c>
      <c r="I1953" s="16"/>
      <c r="J1953" s="16"/>
      <c r="K1953" s="16"/>
      <c r="L1953" s="38"/>
      <c r="M1953" s="16"/>
      <c r="N1953" s="16"/>
      <c r="O1953" s="16"/>
      <c r="P1953" s="15"/>
      <c r="Q1953" s="15"/>
      <c r="R1953" s="16"/>
      <c r="S1953" s="16"/>
      <c r="T1953" s="16"/>
      <c r="U1953" s="16"/>
      <c r="V1953" s="37" t="str">
        <f>IFERROR(__xludf.DUMMYFUNCTION("if(not(iserror(index(split(C1953, "" ""),2))), index(split(C1953, "" ""),1),"""")"),"")</f>
        <v/>
      </c>
      <c r="W1953" s="315" t="str">
        <f>IFERROR(__xludf.DUMMYFUNCTION("if(V1953="""",C1953,if(not(iserror(index(split(C1953, "" ""),3))), index(split(C1953, "" ""),3),index(split(C1953, "" ""),2)))"),"")</f>
        <v/>
      </c>
      <c r="X1953" s="38" t="b">
        <f t="shared" si="2"/>
        <v>0</v>
      </c>
      <c r="Y1953" s="38"/>
      <c r="Z1953" s="40"/>
      <c r="AA1953" s="40"/>
      <c r="AB1953" s="38"/>
      <c r="AC1953" s="38"/>
      <c r="AD1953" s="38"/>
      <c r="AE1953" s="38"/>
      <c r="AF1953" s="38"/>
      <c r="AG1953" s="38"/>
      <c r="AH1953" s="38"/>
      <c r="AI1953" s="38"/>
      <c r="AJ1953" s="38"/>
      <c r="AK1953" s="38"/>
      <c r="AL1953" s="38"/>
      <c r="AM1953" s="38"/>
      <c r="AN1953" s="38"/>
      <c r="AO1953" s="38"/>
      <c r="AP1953" s="38"/>
      <c r="AQ1953" s="38"/>
      <c r="AR1953" s="38"/>
      <c r="AS1953" s="38"/>
      <c r="AT1953" s="38"/>
      <c r="AU1953" s="38"/>
      <c r="AV1953" s="38"/>
      <c r="AW1953" s="38"/>
      <c r="AX1953" s="38"/>
      <c r="AY1953" s="38"/>
      <c r="AZ1953" s="38"/>
      <c r="BA1953" s="38"/>
      <c r="BB1953" s="38"/>
      <c r="BC1953" s="38"/>
      <c r="BD1953" s="38"/>
      <c r="BE1953" s="38"/>
      <c r="BF1953" s="38"/>
      <c r="BG1953" s="38"/>
    </row>
    <row r="1954">
      <c r="A1954" s="16"/>
      <c r="B1954" s="16"/>
      <c r="C1954" s="146"/>
      <c r="D1954" s="146"/>
      <c r="E1954" s="16"/>
      <c r="F1954" s="91"/>
      <c r="G1954" s="16"/>
      <c r="H1954" s="320" t="str">
        <f t="shared" si="1"/>
        <v/>
      </c>
      <c r="I1954" s="16"/>
      <c r="J1954" s="16"/>
      <c r="K1954" s="16"/>
      <c r="L1954" s="38"/>
      <c r="M1954" s="16"/>
      <c r="N1954" s="16"/>
      <c r="O1954" s="16"/>
      <c r="P1954" s="15"/>
      <c r="Q1954" s="15"/>
      <c r="R1954" s="16"/>
      <c r="S1954" s="16"/>
      <c r="T1954" s="16"/>
      <c r="U1954" s="16"/>
      <c r="V1954" s="37" t="str">
        <f>IFERROR(__xludf.DUMMYFUNCTION("if(not(iserror(index(split(C1954, "" ""),2))), index(split(C1954, "" ""),1),"""")"),"")</f>
        <v/>
      </c>
      <c r="W1954" s="315" t="str">
        <f>IFERROR(__xludf.DUMMYFUNCTION("if(V1954="""",C1954,if(not(iserror(index(split(C1954, "" ""),3))), index(split(C1954, "" ""),3),index(split(C1954, "" ""),2)))"),"")</f>
        <v/>
      </c>
      <c r="X1954" s="38" t="b">
        <f t="shared" si="2"/>
        <v>0</v>
      </c>
      <c r="Y1954" s="38"/>
      <c r="Z1954" s="40"/>
      <c r="AA1954" s="40"/>
      <c r="AB1954" s="38"/>
      <c r="AC1954" s="38"/>
      <c r="AD1954" s="38"/>
      <c r="AE1954" s="38"/>
      <c r="AF1954" s="38"/>
      <c r="AG1954" s="38"/>
      <c r="AH1954" s="38"/>
      <c r="AI1954" s="38"/>
      <c r="AJ1954" s="38"/>
      <c r="AK1954" s="38"/>
      <c r="AL1954" s="38"/>
      <c r="AM1954" s="38"/>
      <c r="AN1954" s="38"/>
      <c r="AO1954" s="38"/>
      <c r="AP1954" s="38"/>
      <c r="AQ1954" s="38"/>
      <c r="AR1954" s="38"/>
      <c r="AS1954" s="38"/>
      <c r="AT1954" s="38"/>
      <c r="AU1954" s="38"/>
      <c r="AV1954" s="38"/>
      <c r="AW1954" s="38"/>
      <c r="AX1954" s="38"/>
      <c r="AY1954" s="38"/>
      <c r="AZ1954" s="38"/>
      <c r="BA1954" s="38"/>
      <c r="BB1954" s="38"/>
      <c r="BC1954" s="38"/>
      <c r="BD1954" s="38"/>
      <c r="BE1954" s="38"/>
      <c r="BF1954" s="38"/>
      <c r="BG1954" s="38"/>
    </row>
    <row r="1955">
      <c r="A1955" s="16"/>
      <c r="B1955" s="16"/>
      <c r="C1955" s="146"/>
      <c r="D1955" s="146"/>
      <c r="E1955" s="16"/>
      <c r="F1955" s="91"/>
      <c r="G1955" s="16"/>
      <c r="H1955" s="320" t="str">
        <f t="shared" si="1"/>
        <v/>
      </c>
      <c r="I1955" s="16"/>
      <c r="J1955" s="16"/>
      <c r="K1955" s="16"/>
      <c r="L1955" s="38"/>
      <c r="M1955" s="16"/>
      <c r="N1955" s="16"/>
      <c r="O1955" s="16"/>
      <c r="P1955" s="15"/>
      <c r="Q1955" s="15"/>
      <c r="R1955" s="16"/>
      <c r="S1955" s="16"/>
      <c r="T1955" s="16"/>
      <c r="U1955" s="16"/>
      <c r="V1955" s="37" t="str">
        <f>IFERROR(__xludf.DUMMYFUNCTION("if(not(iserror(index(split(C1955, "" ""),2))), index(split(C1955, "" ""),1),"""")"),"")</f>
        <v/>
      </c>
      <c r="W1955" s="315" t="str">
        <f>IFERROR(__xludf.DUMMYFUNCTION("if(V1955="""",C1955,if(not(iserror(index(split(C1955, "" ""),3))), index(split(C1955, "" ""),3),index(split(C1955, "" ""),2)))"),"")</f>
        <v/>
      </c>
      <c r="X1955" s="38" t="b">
        <f t="shared" si="2"/>
        <v>0</v>
      </c>
      <c r="Y1955" s="38"/>
      <c r="Z1955" s="40"/>
      <c r="AA1955" s="40"/>
      <c r="AB1955" s="38"/>
      <c r="AC1955" s="38"/>
      <c r="AD1955" s="38"/>
      <c r="AE1955" s="38"/>
      <c r="AF1955" s="38"/>
      <c r="AG1955" s="38"/>
      <c r="AH1955" s="38"/>
      <c r="AI1955" s="38"/>
      <c r="AJ1955" s="38"/>
      <c r="AK1955" s="38"/>
      <c r="AL1955" s="38"/>
      <c r="AM1955" s="38"/>
      <c r="AN1955" s="38"/>
      <c r="AO1955" s="38"/>
      <c r="AP1955" s="38"/>
      <c r="AQ1955" s="38"/>
      <c r="AR1955" s="38"/>
      <c r="AS1955" s="38"/>
      <c r="AT1955" s="38"/>
      <c r="AU1955" s="38"/>
      <c r="AV1955" s="38"/>
      <c r="AW1955" s="38"/>
      <c r="AX1955" s="38"/>
      <c r="AY1955" s="38"/>
      <c r="AZ1955" s="38"/>
      <c r="BA1955" s="38"/>
      <c r="BB1955" s="38"/>
      <c r="BC1955" s="38"/>
      <c r="BD1955" s="38"/>
      <c r="BE1955" s="38"/>
      <c r="BF1955" s="38"/>
      <c r="BG1955" s="38"/>
    </row>
    <row r="1956">
      <c r="A1956" s="16"/>
      <c r="B1956" s="16"/>
      <c r="C1956" s="146"/>
      <c r="D1956" s="146"/>
      <c r="E1956" s="16"/>
      <c r="F1956" s="91"/>
      <c r="G1956" s="16"/>
      <c r="H1956" s="320" t="str">
        <f t="shared" si="1"/>
        <v/>
      </c>
      <c r="I1956" s="16"/>
      <c r="J1956" s="16"/>
      <c r="K1956" s="16"/>
      <c r="L1956" s="38"/>
      <c r="M1956" s="16"/>
      <c r="N1956" s="16"/>
      <c r="O1956" s="16"/>
      <c r="P1956" s="15"/>
      <c r="Q1956" s="15"/>
      <c r="R1956" s="16"/>
      <c r="S1956" s="16"/>
      <c r="T1956" s="16"/>
      <c r="U1956" s="16"/>
      <c r="V1956" s="37" t="str">
        <f>IFERROR(__xludf.DUMMYFUNCTION("if(not(iserror(index(split(C1956, "" ""),2))), index(split(C1956, "" ""),1),"""")"),"")</f>
        <v/>
      </c>
      <c r="W1956" s="315" t="str">
        <f>IFERROR(__xludf.DUMMYFUNCTION("if(V1956="""",C1956,if(not(iserror(index(split(C1956, "" ""),3))), index(split(C1956, "" ""),3),index(split(C1956, "" ""),2)))"),"")</f>
        <v/>
      </c>
      <c r="X1956" s="38" t="b">
        <f t="shared" si="2"/>
        <v>0</v>
      </c>
      <c r="Y1956" s="38"/>
      <c r="Z1956" s="40"/>
      <c r="AA1956" s="40"/>
      <c r="AB1956" s="38"/>
      <c r="AC1956" s="38"/>
      <c r="AD1956" s="38"/>
      <c r="AE1956" s="38"/>
      <c r="AF1956" s="38"/>
      <c r="AG1956" s="38"/>
      <c r="AH1956" s="38"/>
      <c r="AI1956" s="38"/>
      <c r="AJ1956" s="38"/>
      <c r="AK1956" s="38"/>
      <c r="AL1956" s="38"/>
      <c r="AM1956" s="38"/>
      <c r="AN1956" s="38"/>
      <c r="AO1956" s="38"/>
      <c r="AP1956" s="38"/>
      <c r="AQ1956" s="38"/>
      <c r="AR1956" s="38"/>
      <c r="AS1956" s="38"/>
      <c r="AT1956" s="38"/>
      <c r="AU1956" s="38"/>
      <c r="AV1956" s="38"/>
      <c r="AW1956" s="38"/>
      <c r="AX1956" s="38"/>
      <c r="AY1956" s="38"/>
      <c r="AZ1956" s="38"/>
      <c r="BA1956" s="38"/>
      <c r="BB1956" s="38"/>
      <c r="BC1956" s="38"/>
      <c r="BD1956" s="38"/>
      <c r="BE1956" s="38"/>
      <c r="BF1956" s="38"/>
      <c r="BG1956" s="38"/>
    </row>
    <row r="1957">
      <c r="A1957" s="16"/>
      <c r="B1957" s="16"/>
      <c r="C1957" s="146"/>
      <c r="D1957" s="146"/>
      <c r="E1957" s="16"/>
      <c r="F1957" s="91"/>
      <c r="G1957" s="16"/>
      <c r="H1957" s="320" t="str">
        <f t="shared" si="1"/>
        <v/>
      </c>
      <c r="I1957" s="16"/>
      <c r="J1957" s="16"/>
      <c r="K1957" s="16"/>
      <c r="L1957" s="38"/>
      <c r="M1957" s="16"/>
      <c r="N1957" s="16"/>
      <c r="O1957" s="16"/>
      <c r="P1957" s="15"/>
      <c r="Q1957" s="15"/>
      <c r="R1957" s="16"/>
      <c r="S1957" s="16"/>
      <c r="T1957" s="16"/>
      <c r="U1957" s="16"/>
      <c r="V1957" s="37" t="str">
        <f>IFERROR(__xludf.DUMMYFUNCTION("if(not(iserror(index(split(C1957, "" ""),2))), index(split(C1957, "" ""),1),"""")"),"")</f>
        <v/>
      </c>
      <c r="W1957" s="315" t="str">
        <f>IFERROR(__xludf.DUMMYFUNCTION("if(V1957="""",C1957,if(not(iserror(index(split(C1957, "" ""),3))), index(split(C1957, "" ""),3),index(split(C1957, "" ""),2)))"),"")</f>
        <v/>
      </c>
      <c r="X1957" s="38" t="b">
        <f t="shared" si="2"/>
        <v>0</v>
      </c>
      <c r="Y1957" s="38"/>
      <c r="Z1957" s="40"/>
      <c r="AA1957" s="40"/>
      <c r="AB1957" s="38"/>
      <c r="AC1957" s="38"/>
      <c r="AD1957" s="38"/>
      <c r="AE1957" s="38"/>
      <c r="AF1957" s="38"/>
      <c r="AG1957" s="38"/>
      <c r="AH1957" s="38"/>
      <c r="AI1957" s="38"/>
      <c r="AJ1957" s="38"/>
      <c r="AK1957" s="38"/>
      <c r="AL1957" s="38"/>
      <c r="AM1957" s="38"/>
      <c r="AN1957" s="38"/>
      <c r="AO1957" s="38"/>
      <c r="AP1957" s="38"/>
      <c r="AQ1957" s="38"/>
      <c r="AR1957" s="38"/>
      <c r="AS1957" s="38"/>
      <c r="AT1957" s="38"/>
      <c r="AU1957" s="38"/>
      <c r="AV1957" s="38"/>
      <c r="AW1957" s="38"/>
      <c r="AX1957" s="38"/>
      <c r="AY1957" s="38"/>
      <c r="AZ1957" s="38"/>
      <c r="BA1957" s="38"/>
      <c r="BB1957" s="38"/>
      <c r="BC1957" s="38"/>
      <c r="BD1957" s="38"/>
      <c r="BE1957" s="38"/>
      <c r="BF1957" s="38"/>
      <c r="BG1957" s="38"/>
    </row>
    <row r="1958">
      <c r="A1958" s="16"/>
      <c r="B1958" s="16"/>
      <c r="C1958" s="146"/>
      <c r="D1958" s="146"/>
      <c r="E1958" s="16"/>
      <c r="F1958" s="91"/>
      <c r="G1958" s="16"/>
      <c r="H1958" s="320" t="str">
        <f t="shared" si="1"/>
        <v/>
      </c>
      <c r="I1958" s="16"/>
      <c r="J1958" s="16"/>
      <c r="K1958" s="16"/>
      <c r="L1958" s="38"/>
      <c r="M1958" s="16"/>
      <c r="N1958" s="16"/>
      <c r="O1958" s="16"/>
      <c r="P1958" s="15"/>
      <c r="Q1958" s="15"/>
      <c r="R1958" s="16"/>
      <c r="S1958" s="16"/>
      <c r="T1958" s="16"/>
      <c r="U1958" s="16"/>
      <c r="V1958" s="37" t="str">
        <f>IFERROR(__xludf.DUMMYFUNCTION("if(not(iserror(index(split(C1958, "" ""),2))), index(split(C1958, "" ""),1),"""")"),"")</f>
        <v/>
      </c>
      <c r="W1958" s="315" t="str">
        <f>IFERROR(__xludf.DUMMYFUNCTION("if(V1958="""",C1958,if(not(iserror(index(split(C1958, "" ""),3))), index(split(C1958, "" ""),3),index(split(C1958, "" ""),2)))"),"")</f>
        <v/>
      </c>
      <c r="X1958" s="38" t="b">
        <f t="shared" si="2"/>
        <v>0</v>
      </c>
      <c r="Y1958" s="38"/>
      <c r="Z1958" s="40"/>
      <c r="AA1958" s="40"/>
      <c r="AB1958" s="38"/>
      <c r="AC1958" s="38"/>
      <c r="AD1958" s="38"/>
      <c r="AE1958" s="38"/>
      <c r="AF1958" s="38"/>
      <c r="AG1958" s="38"/>
      <c r="AH1958" s="38"/>
      <c r="AI1958" s="38"/>
      <c r="AJ1958" s="38"/>
      <c r="AK1958" s="38"/>
      <c r="AL1958" s="38"/>
      <c r="AM1958" s="38"/>
      <c r="AN1958" s="38"/>
      <c r="AO1958" s="38"/>
      <c r="AP1958" s="38"/>
      <c r="AQ1958" s="38"/>
      <c r="AR1958" s="38"/>
      <c r="AS1958" s="38"/>
      <c r="AT1958" s="38"/>
      <c r="AU1958" s="38"/>
      <c r="AV1958" s="38"/>
      <c r="AW1958" s="38"/>
      <c r="AX1958" s="38"/>
      <c r="AY1958" s="38"/>
      <c r="AZ1958" s="38"/>
      <c r="BA1958" s="38"/>
      <c r="BB1958" s="38"/>
      <c r="BC1958" s="38"/>
      <c r="BD1958" s="38"/>
      <c r="BE1958" s="38"/>
      <c r="BF1958" s="38"/>
      <c r="BG1958" s="38"/>
    </row>
    <row r="1959">
      <c r="A1959" s="16"/>
      <c r="B1959" s="16"/>
      <c r="C1959" s="146"/>
      <c r="D1959" s="146"/>
      <c r="E1959" s="16"/>
      <c r="F1959" s="91"/>
      <c r="G1959" s="16"/>
      <c r="H1959" s="320" t="str">
        <f t="shared" si="1"/>
        <v/>
      </c>
      <c r="I1959" s="16"/>
      <c r="J1959" s="16"/>
      <c r="K1959" s="16"/>
      <c r="L1959" s="38"/>
      <c r="M1959" s="16"/>
      <c r="N1959" s="16"/>
      <c r="O1959" s="16"/>
      <c r="P1959" s="15"/>
      <c r="Q1959" s="15"/>
      <c r="R1959" s="16"/>
      <c r="S1959" s="16"/>
      <c r="T1959" s="16"/>
      <c r="U1959" s="16"/>
      <c r="V1959" s="37" t="str">
        <f>IFERROR(__xludf.DUMMYFUNCTION("if(not(iserror(index(split(C1959, "" ""),2))), index(split(C1959, "" ""),1),"""")"),"")</f>
        <v/>
      </c>
      <c r="W1959" s="315" t="str">
        <f>IFERROR(__xludf.DUMMYFUNCTION("if(V1959="""",C1959,if(not(iserror(index(split(C1959, "" ""),3))), index(split(C1959, "" ""),3),index(split(C1959, "" ""),2)))"),"")</f>
        <v/>
      </c>
      <c r="X1959" s="38" t="b">
        <f t="shared" si="2"/>
        <v>0</v>
      </c>
      <c r="Y1959" s="38"/>
      <c r="Z1959" s="40"/>
      <c r="AA1959" s="40"/>
      <c r="AB1959" s="38"/>
      <c r="AC1959" s="38"/>
      <c r="AD1959" s="38"/>
      <c r="AE1959" s="38"/>
      <c r="AF1959" s="38"/>
      <c r="AG1959" s="38"/>
      <c r="AH1959" s="38"/>
      <c r="AI1959" s="38"/>
      <c r="AJ1959" s="38"/>
      <c r="AK1959" s="38"/>
      <c r="AL1959" s="38"/>
      <c r="AM1959" s="38"/>
      <c r="AN1959" s="38"/>
      <c r="AO1959" s="38"/>
      <c r="AP1959" s="38"/>
      <c r="AQ1959" s="38"/>
      <c r="AR1959" s="38"/>
      <c r="AS1959" s="38"/>
      <c r="AT1959" s="38"/>
      <c r="AU1959" s="38"/>
      <c r="AV1959" s="38"/>
      <c r="AW1959" s="38"/>
      <c r="AX1959" s="38"/>
      <c r="AY1959" s="38"/>
      <c r="AZ1959" s="38"/>
      <c r="BA1959" s="38"/>
      <c r="BB1959" s="38"/>
      <c r="BC1959" s="38"/>
      <c r="BD1959" s="38"/>
      <c r="BE1959" s="38"/>
      <c r="BF1959" s="38"/>
      <c r="BG1959" s="38"/>
    </row>
    <row r="1960">
      <c r="A1960" s="16"/>
      <c r="B1960" s="16"/>
      <c r="C1960" s="146"/>
      <c r="D1960" s="146"/>
      <c r="E1960" s="16"/>
      <c r="F1960" s="91"/>
      <c r="G1960" s="16"/>
      <c r="H1960" s="320" t="str">
        <f t="shared" si="1"/>
        <v/>
      </c>
      <c r="I1960" s="16"/>
      <c r="J1960" s="16"/>
      <c r="K1960" s="16"/>
      <c r="L1960" s="38"/>
      <c r="M1960" s="16"/>
      <c r="N1960" s="16"/>
      <c r="O1960" s="16"/>
      <c r="P1960" s="15"/>
      <c r="Q1960" s="15"/>
      <c r="R1960" s="16"/>
      <c r="S1960" s="16"/>
      <c r="T1960" s="16"/>
      <c r="U1960" s="16"/>
      <c r="V1960" s="37" t="str">
        <f>IFERROR(__xludf.DUMMYFUNCTION("if(not(iserror(index(split(C1960, "" ""),2))), index(split(C1960, "" ""),1),"""")"),"")</f>
        <v/>
      </c>
      <c r="W1960" s="315" t="str">
        <f>IFERROR(__xludf.DUMMYFUNCTION("if(V1960="""",C1960,if(not(iserror(index(split(C1960, "" ""),3))), index(split(C1960, "" ""),3),index(split(C1960, "" ""),2)))"),"")</f>
        <v/>
      </c>
      <c r="X1960" s="38" t="b">
        <f t="shared" si="2"/>
        <v>0</v>
      </c>
      <c r="Y1960" s="38"/>
      <c r="Z1960" s="40"/>
      <c r="AA1960" s="40"/>
      <c r="AB1960" s="38"/>
      <c r="AC1960" s="38"/>
      <c r="AD1960" s="38"/>
      <c r="AE1960" s="38"/>
      <c r="AF1960" s="38"/>
      <c r="AG1960" s="38"/>
      <c r="AH1960" s="38"/>
      <c r="AI1960" s="38"/>
      <c r="AJ1960" s="38"/>
      <c r="AK1960" s="38"/>
      <c r="AL1960" s="38"/>
      <c r="AM1960" s="38"/>
      <c r="AN1960" s="38"/>
      <c r="AO1960" s="38"/>
      <c r="AP1960" s="38"/>
      <c r="AQ1960" s="38"/>
      <c r="AR1960" s="38"/>
      <c r="AS1960" s="38"/>
      <c r="AT1960" s="38"/>
      <c r="AU1960" s="38"/>
      <c r="AV1960" s="38"/>
      <c r="AW1960" s="38"/>
      <c r="AX1960" s="38"/>
      <c r="AY1960" s="38"/>
      <c r="AZ1960" s="38"/>
      <c r="BA1960" s="38"/>
      <c r="BB1960" s="38"/>
      <c r="BC1960" s="38"/>
      <c r="BD1960" s="38"/>
      <c r="BE1960" s="38"/>
      <c r="BF1960" s="38"/>
      <c r="BG1960" s="38"/>
    </row>
    <row r="1961">
      <c r="A1961" s="16"/>
      <c r="B1961" s="16"/>
      <c r="C1961" s="146"/>
      <c r="D1961" s="146"/>
      <c r="E1961" s="16"/>
      <c r="F1961" s="91"/>
      <c r="G1961" s="16"/>
      <c r="H1961" s="320" t="str">
        <f t="shared" si="1"/>
        <v/>
      </c>
      <c r="I1961" s="16"/>
      <c r="J1961" s="16"/>
      <c r="K1961" s="16"/>
      <c r="L1961" s="38"/>
      <c r="M1961" s="16"/>
      <c r="N1961" s="16"/>
      <c r="O1961" s="16"/>
      <c r="P1961" s="15"/>
      <c r="Q1961" s="15"/>
      <c r="R1961" s="16"/>
      <c r="S1961" s="16"/>
      <c r="T1961" s="16"/>
      <c r="U1961" s="16"/>
      <c r="V1961" s="37" t="str">
        <f>IFERROR(__xludf.DUMMYFUNCTION("if(not(iserror(index(split(C1961, "" ""),2))), index(split(C1961, "" ""),1),"""")"),"")</f>
        <v/>
      </c>
      <c r="W1961" s="315" t="str">
        <f>IFERROR(__xludf.DUMMYFUNCTION("if(V1961="""",C1961,if(not(iserror(index(split(C1961, "" ""),3))), index(split(C1961, "" ""),3),index(split(C1961, "" ""),2)))"),"")</f>
        <v/>
      </c>
      <c r="X1961" s="38" t="b">
        <f t="shared" si="2"/>
        <v>0</v>
      </c>
      <c r="Y1961" s="38"/>
      <c r="Z1961" s="40"/>
      <c r="AA1961" s="40"/>
      <c r="AB1961" s="38"/>
      <c r="AC1961" s="38"/>
      <c r="AD1961" s="38"/>
      <c r="AE1961" s="38"/>
      <c r="AF1961" s="38"/>
      <c r="AG1961" s="38"/>
      <c r="AH1961" s="38"/>
      <c r="AI1961" s="38"/>
      <c r="AJ1961" s="38"/>
      <c r="AK1961" s="38"/>
      <c r="AL1961" s="38"/>
      <c r="AM1961" s="38"/>
      <c r="AN1961" s="38"/>
      <c r="AO1961" s="38"/>
      <c r="AP1961" s="38"/>
      <c r="AQ1961" s="38"/>
      <c r="AR1961" s="38"/>
      <c r="AS1961" s="38"/>
      <c r="AT1961" s="38"/>
      <c r="AU1961" s="38"/>
      <c r="AV1961" s="38"/>
      <c r="AW1961" s="38"/>
      <c r="AX1961" s="38"/>
      <c r="AY1961" s="38"/>
      <c r="AZ1961" s="38"/>
      <c r="BA1961" s="38"/>
      <c r="BB1961" s="38"/>
      <c r="BC1961" s="38"/>
      <c r="BD1961" s="38"/>
      <c r="BE1961" s="38"/>
      <c r="BF1961" s="38"/>
      <c r="BG1961" s="38"/>
    </row>
    <row r="1962">
      <c r="A1962" s="16"/>
      <c r="B1962" s="16"/>
      <c r="C1962" s="146"/>
      <c r="D1962" s="146"/>
      <c r="E1962" s="16"/>
      <c r="F1962" s="91"/>
      <c r="G1962" s="16"/>
      <c r="H1962" s="320" t="str">
        <f t="shared" si="1"/>
        <v/>
      </c>
      <c r="I1962" s="16"/>
      <c r="J1962" s="16"/>
      <c r="K1962" s="16"/>
      <c r="L1962" s="38"/>
      <c r="M1962" s="16"/>
      <c r="N1962" s="16"/>
      <c r="O1962" s="16"/>
      <c r="P1962" s="15"/>
      <c r="Q1962" s="15"/>
      <c r="R1962" s="16"/>
      <c r="S1962" s="16"/>
      <c r="T1962" s="16"/>
      <c r="U1962" s="16"/>
      <c r="V1962" s="37" t="str">
        <f>IFERROR(__xludf.DUMMYFUNCTION("if(not(iserror(index(split(C1962, "" ""),2))), index(split(C1962, "" ""),1),"""")"),"")</f>
        <v/>
      </c>
      <c r="W1962" s="315" t="str">
        <f>IFERROR(__xludf.DUMMYFUNCTION("if(V1962="""",C1962,if(not(iserror(index(split(C1962, "" ""),3))), index(split(C1962, "" ""),3),index(split(C1962, "" ""),2)))"),"")</f>
        <v/>
      </c>
      <c r="X1962" s="38" t="b">
        <f t="shared" si="2"/>
        <v>0</v>
      </c>
      <c r="Y1962" s="38"/>
      <c r="Z1962" s="40"/>
      <c r="AA1962" s="40"/>
      <c r="AB1962" s="38"/>
      <c r="AC1962" s="38"/>
      <c r="AD1962" s="38"/>
      <c r="AE1962" s="38"/>
      <c r="AF1962" s="38"/>
      <c r="AG1962" s="38"/>
      <c r="AH1962" s="38"/>
      <c r="AI1962" s="38"/>
      <c r="AJ1962" s="38"/>
      <c r="AK1962" s="38"/>
      <c r="AL1962" s="38"/>
      <c r="AM1962" s="38"/>
      <c r="AN1962" s="38"/>
      <c r="AO1962" s="38"/>
      <c r="AP1962" s="38"/>
      <c r="AQ1962" s="38"/>
      <c r="AR1962" s="38"/>
      <c r="AS1962" s="38"/>
      <c r="AT1962" s="38"/>
      <c r="AU1962" s="38"/>
      <c r="AV1962" s="38"/>
      <c r="AW1962" s="38"/>
      <c r="AX1962" s="38"/>
      <c r="AY1962" s="38"/>
      <c r="AZ1962" s="38"/>
      <c r="BA1962" s="38"/>
      <c r="BB1962" s="38"/>
      <c r="BC1962" s="38"/>
      <c r="BD1962" s="38"/>
      <c r="BE1962" s="38"/>
      <c r="BF1962" s="38"/>
      <c r="BG1962" s="38"/>
    </row>
    <row r="1963">
      <c r="A1963" s="16"/>
      <c r="B1963" s="16"/>
      <c r="C1963" s="146"/>
      <c r="D1963" s="146"/>
      <c r="E1963" s="16"/>
      <c r="F1963" s="91"/>
      <c r="G1963" s="16"/>
      <c r="H1963" s="320" t="str">
        <f t="shared" si="1"/>
        <v/>
      </c>
      <c r="I1963" s="16"/>
      <c r="J1963" s="16"/>
      <c r="K1963" s="16"/>
      <c r="L1963" s="38"/>
      <c r="M1963" s="16"/>
      <c r="N1963" s="16"/>
      <c r="O1963" s="16"/>
      <c r="P1963" s="15"/>
      <c r="Q1963" s="15"/>
      <c r="R1963" s="16"/>
      <c r="S1963" s="16"/>
      <c r="T1963" s="16"/>
      <c r="U1963" s="16"/>
      <c r="V1963" s="37" t="str">
        <f>IFERROR(__xludf.DUMMYFUNCTION("if(not(iserror(index(split(C1963, "" ""),2))), index(split(C1963, "" ""),1),"""")"),"")</f>
        <v/>
      </c>
      <c r="W1963" s="315" t="str">
        <f>IFERROR(__xludf.DUMMYFUNCTION("if(V1963="""",C1963,if(not(iserror(index(split(C1963, "" ""),3))), index(split(C1963, "" ""),3),index(split(C1963, "" ""),2)))"),"")</f>
        <v/>
      </c>
      <c r="X1963" s="38" t="b">
        <f t="shared" si="2"/>
        <v>0</v>
      </c>
      <c r="Y1963" s="38"/>
      <c r="Z1963" s="40"/>
      <c r="AA1963" s="40"/>
      <c r="AB1963" s="38"/>
      <c r="AC1963" s="38"/>
      <c r="AD1963" s="38"/>
      <c r="AE1963" s="38"/>
      <c r="AF1963" s="38"/>
      <c r="AG1963" s="38"/>
      <c r="AH1963" s="38"/>
      <c r="AI1963" s="38"/>
      <c r="AJ1963" s="38"/>
      <c r="AK1963" s="38"/>
      <c r="AL1963" s="38"/>
      <c r="AM1963" s="38"/>
      <c r="AN1963" s="38"/>
      <c r="AO1963" s="38"/>
      <c r="AP1963" s="38"/>
      <c r="AQ1963" s="38"/>
      <c r="AR1963" s="38"/>
      <c r="AS1963" s="38"/>
      <c r="AT1963" s="38"/>
      <c r="AU1963" s="38"/>
      <c r="AV1963" s="38"/>
      <c r="AW1963" s="38"/>
      <c r="AX1963" s="38"/>
      <c r="AY1963" s="38"/>
      <c r="AZ1963" s="38"/>
      <c r="BA1963" s="38"/>
      <c r="BB1963" s="38"/>
      <c r="BC1963" s="38"/>
      <c r="BD1963" s="38"/>
      <c r="BE1963" s="38"/>
      <c r="BF1963" s="38"/>
      <c r="BG1963" s="38"/>
    </row>
    <row r="1964">
      <c r="A1964" s="16"/>
      <c r="B1964" s="16"/>
      <c r="C1964" s="146"/>
      <c r="D1964" s="146"/>
      <c r="E1964" s="16"/>
      <c r="F1964" s="91"/>
      <c r="G1964" s="16"/>
      <c r="H1964" s="320" t="str">
        <f t="shared" si="1"/>
        <v/>
      </c>
      <c r="I1964" s="16"/>
      <c r="J1964" s="16"/>
      <c r="K1964" s="16"/>
      <c r="L1964" s="38"/>
      <c r="M1964" s="16"/>
      <c r="N1964" s="16"/>
      <c r="O1964" s="16"/>
      <c r="P1964" s="15"/>
      <c r="Q1964" s="15"/>
      <c r="R1964" s="16"/>
      <c r="S1964" s="16"/>
      <c r="T1964" s="16"/>
      <c r="U1964" s="16"/>
      <c r="V1964" s="37" t="str">
        <f>IFERROR(__xludf.DUMMYFUNCTION("if(not(iserror(index(split(C1964, "" ""),2))), index(split(C1964, "" ""),1),"""")"),"")</f>
        <v/>
      </c>
      <c r="W1964" s="315" t="str">
        <f>IFERROR(__xludf.DUMMYFUNCTION("if(V1964="""",C1964,if(not(iserror(index(split(C1964, "" ""),3))), index(split(C1964, "" ""),3),index(split(C1964, "" ""),2)))"),"")</f>
        <v/>
      </c>
      <c r="X1964" s="38" t="b">
        <f t="shared" si="2"/>
        <v>0</v>
      </c>
      <c r="Y1964" s="38"/>
      <c r="Z1964" s="40"/>
      <c r="AA1964" s="40"/>
      <c r="AB1964" s="38"/>
      <c r="AC1964" s="38"/>
      <c r="AD1964" s="38"/>
      <c r="AE1964" s="38"/>
      <c r="AF1964" s="38"/>
      <c r="AG1964" s="38"/>
      <c r="AH1964" s="38"/>
      <c r="AI1964" s="38"/>
      <c r="AJ1964" s="38"/>
      <c r="AK1964" s="38"/>
      <c r="AL1964" s="38"/>
      <c r="AM1964" s="38"/>
      <c r="AN1964" s="38"/>
      <c r="AO1964" s="38"/>
      <c r="AP1964" s="38"/>
      <c r="AQ1964" s="38"/>
      <c r="AR1964" s="38"/>
      <c r="AS1964" s="38"/>
      <c r="AT1964" s="38"/>
      <c r="AU1964" s="38"/>
      <c r="AV1964" s="38"/>
      <c r="AW1964" s="38"/>
      <c r="AX1964" s="38"/>
      <c r="AY1964" s="38"/>
      <c r="AZ1964" s="38"/>
      <c r="BA1964" s="38"/>
      <c r="BB1964" s="38"/>
      <c r="BC1964" s="38"/>
      <c r="BD1964" s="38"/>
      <c r="BE1964" s="38"/>
      <c r="BF1964" s="38"/>
      <c r="BG1964" s="38"/>
    </row>
    <row r="1965">
      <c r="A1965" s="16"/>
      <c r="B1965" s="16"/>
      <c r="C1965" s="146"/>
      <c r="D1965" s="146"/>
      <c r="E1965" s="16"/>
      <c r="F1965" s="91"/>
      <c r="G1965" s="16"/>
      <c r="H1965" s="320" t="str">
        <f t="shared" si="1"/>
        <v/>
      </c>
      <c r="I1965" s="16"/>
      <c r="J1965" s="16"/>
      <c r="K1965" s="16"/>
      <c r="L1965" s="38"/>
      <c r="M1965" s="16"/>
      <c r="N1965" s="16"/>
      <c r="O1965" s="16"/>
      <c r="P1965" s="15"/>
      <c r="Q1965" s="15"/>
      <c r="R1965" s="16"/>
      <c r="S1965" s="16"/>
      <c r="T1965" s="16"/>
      <c r="U1965" s="16"/>
      <c r="V1965" s="37" t="str">
        <f>IFERROR(__xludf.DUMMYFUNCTION("if(not(iserror(index(split(C1965, "" ""),2))), index(split(C1965, "" ""),1),"""")"),"")</f>
        <v/>
      </c>
      <c r="W1965" s="315" t="str">
        <f>IFERROR(__xludf.DUMMYFUNCTION("if(V1965="""",C1965,if(not(iserror(index(split(C1965, "" ""),3))), index(split(C1965, "" ""),3),index(split(C1965, "" ""),2)))"),"")</f>
        <v/>
      </c>
      <c r="X1965" s="38" t="b">
        <f t="shared" si="2"/>
        <v>0</v>
      </c>
      <c r="Y1965" s="38"/>
      <c r="Z1965" s="40"/>
      <c r="AA1965" s="40"/>
      <c r="AB1965" s="38"/>
      <c r="AC1965" s="38"/>
      <c r="AD1965" s="38"/>
      <c r="AE1965" s="38"/>
      <c r="AF1965" s="38"/>
      <c r="AG1965" s="38"/>
      <c r="AH1965" s="38"/>
      <c r="AI1965" s="38"/>
      <c r="AJ1965" s="38"/>
      <c r="AK1965" s="38"/>
      <c r="AL1965" s="38"/>
      <c r="AM1965" s="38"/>
      <c r="AN1965" s="38"/>
      <c r="AO1965" s="38"/>
      <c r="AP1965" s="38"/>
      <c r="AQ1965" s="38"/>
      <c r="AR1965" s="38"/>
      <c r="AS1965" s="38"/>
      <c r="AT1965" s="38"/>
      <c r="AU1965" s="38"/>
      <c r="AV1965" s="38"/>
      <c r="AW1965" s="38"/>
      <c r="AX1965" s="38"/>
      <c r="AY1965" s="38"/>
      <c r="AZ1965" s="38"/>
      <c r="BA1965" s="38"/>
      <c r="BB1965" s="38"/>
      <c r="BC1965" s="38"/>
      <c r="BD1965" s="38"/>
      <c r="BE1965" s="38"/>
      <c r="BF1965" s="38"/>
      <c r="BG1965" s="38"/>
    </row>
    <row r="1966">
      <c r="A1966" s="16"/>
      <c r="B1966" s="16"/>
      <c r="C1966" s="146"/>
      <c r="D1966" s="146"/>
      <c r="E1966" s="16"/>
      <c r="F1966" s="91"/>
      <c r="G1966" s="16"/>
      <c r="H1966" s="320" t="str">
        <f t="shared" si="1"/>
        <v/>
      </c>
      <c r="I1966" s="16"/>
      <c r="J1966" s="16"/>
      <c r="K1966" s="16"/>
      <c r="L1966" s="38"/>
      <c r="M1966" s="16"/>
      <c r="N1966" s="16"/>
      <c r="O1966" s="16"/>
      <c r="P1966" s="15"/>
      <c r="Q1966" s="15"/>
      <c r="R1966" s="16"/>
      <c r="S1966" s="16"/>
      <c r="T1966" s="16"/>
      <c r="U1966" s="16"/>
      <c r="V1966" s="37" t="str">
        <f>IFERROR(__xludf.DUMMYFUNCTION("if(not(iserror(index(split(C1966, "" ""),2))), index(split(C1966, "" ""),1),"""")"),"")</f>
        <v/>
      </c>
      <c r="W1966" s="315" t="str">
        <f>IFERROR(__xludf.DUMMYFUNCTION("if(V1966="""",C1966,if(not(iserror(index(split(C1966, "" ""),3))), index(split(C1966, "" ""),3),index(split(C1966, "" ""),2)))"),"")</f>
        <v/>
      </c>
      <c r="X1966" s="38" t="b">
        <f t="shared" si="2"/>
        <v>0</v>
      </c>
      <c r="Y1966" s="38"/>
      <c r="Z1966" s="40"/>
      <c r="AA1966" s="40"/>
      <c r="AB1966" s="38"/>
      <c r="AC1966" s="38"/>
      <c r="AD1966" s="38"/>
      <c r="AE1966" s="38"/>
      <c r="AF1966" s="38"/>
      <c r="AG1966" s="38"/>
      <c r="AH1966" s="38"/>
      <c r="AI1966" s="38"/>
      <c r="AJ1966" s="38"/>
      <c r="AK1966" s="38"/>
      <c r="AL1966" s="38"/>
      <c r="AM1966" s="38"/>
      <c r="AN1966" s="38"/>
      <c r="AO1966" s="38"/>
      <c r="AP1966" s="38"/>
      <c r="AQ1966" s="38"/>
      <c r="AR1966" s="38"/>
      <c r="AS1966" s="38"/>
      <c r="AT1966" s="38"/>
      <c r="AU1966" s="38"/>
      <c r="AV1966" s="38"/>
      <c r="AW1966" s="38"/>
      <c r="AX1966" s="38"/>
      <c r="AY1966" s="38"/>
      <c r="AZ1966" s="38"/>
      <c r="BA1966" s="38"/>
      <c r="BB1966" s="38"/>
      <c r="BC1966" s="38"/>
      <c r="BD1966" s="38"/>
      <c r="BE1966" s="38"/>
      <c r="BF1966" s="38"/>
      <c r="BG1966" s="38"/>
    </row>
    <row r="1967">
      <c r="A1967" s="16"/>
      <c r="B1967" s="16"/>
      <c r="C1967" s="146"/>
      <c r="D1967" s="146"/>
      <c r="E1967" s="16"/>
      <c r="F1967" s="91"/>
      <c r="G1967" s="16"/>
      <c r="H1967" s="320" t="str">
        <f t="shared" si="1"/>
        <v/>
      </c>
      <c r="I1967" s="16"/>
      <c r="J1967" s="16"/>
      <c r="K1967" s="16"/>
      <c r="L1967" s="38"/>
      <c r="M1967" s="16"/>
      <c r="N1967" s="16"/>
      <c r="O1967" s="16"/>
      <c r="P1967" s="15"/>
      <c r="Q1967" s="15"/>
      <c r="R1967" s="16"/>
      <c r="S1967" s="16"/>
      <c r="T1967" s="16"/>
      <c r="U1967" s="16"/>
      <c r="V1967" s="37" t="str">
        <f>IFERROR(__xludf.DUMMYFUNCTION("if(not(iserror(index(split(C1967, "" ""),2))), index(split(C1967, "" ""),1),"""")"),"")</f>
        <v/>
      </c>
      <c r="W1967" s="315" t="str">
        <f>IFERROR(__xludf.DUMMYFUNCTION("if(V1967="""",C1967,if(not(iserror(index(split(C1967, "" ""),3))), index(split(C1967, "" ""),3),index(split(C1967, "" ""),2)))"),"")</f>
        <v/>
      </c>
      <c r="X1967" s="38" t="b">
        <f t="shared" si="2"/>
        <v>0</v>
      </c>
      <c r="Y1967" s="38"/>
      <c r="Z1967" s="40"/>
      <c r="AA1967" s="40"/>
      <c r="AB1967" s="38"/>
      <c r="AC1967" s="38"/>
      <c r="AD1967" s="38"/>
      <c r="AE1967" s="38"/>
      <c r="AF1967" s="38"/>
      <c r="AG1967" s="38"/>
      <c r="AH1967" s="38"/>
      <c r="AI1967" s="38"/>
      <c r="AJ1967" s="38"/>
      <c r="AK1967" s="38"/>
      <c r="AL1967" s="38"/>
      <c r="AM1967" s="38"/>
      <c r="AN1967" s="38"/>
      <c r="AO1967" s="38"/>
      <c r="AP1967" s="38"/>
      <c r="AQ1967" s="38"/>
      <c r="AR1967" s="38"/>
      <c r="AS1967" s="38"/>
      <c r="AT1967" s="38"/>
      <c r="AU1967" s="38"/>
      <c r="AV1967" s="38"/>
      <c r="AW1967" s="38"/>
      <c r="AX1967" s="38"/>
      <c r="AY1967" s="38"/>
      <c r="AZ1967" s="38"/>
      <c r="BA1967" s="38"/>
      <c r="BB1967" s="38"/>
      <c r="BC1967" s="38"/>
      <c r="BD1967" s="38"/>
      <c r="BE1967" s="38"/>
      <c r="BF1967" s="38"/>
      <c r="BG1967" s="38"/>
    </row>
    <row r="1968">
      <c r="A1968" s="16"/>
      <c r="B1968" s="16"/>
      <c r="C1968" s="146"/>
      <c r="D1968" s="146"/>
      <c r="E1968" s="16"/>
      <c r="F1968" s="91"/>
      <c r="G1968" s="16"/>
      <c r="H1968" s="320" t="str">
        <f t="shared" si="1"/>
        <v/>
      </c>
      <c r="I1968" s="16"/>
      <c r="J1968" s="16"/>
      <c r="K1968" s="16"/>
      <c r="L1968" s="38"/>
      <c r="M1968" s="16"/>
      <c r="N1968" s="16"/>
      <c r="O1968" s="16"/>
      <c r="P1968" s="15"/>
      <c r="Q1968" s="15"/>
      <c r="R1968" s="16"/>
      <c r="S1968" s="16"/>
      <c r="T1968" s="16"/>
      <c r="U1968" s="16"/>
      <c r="V1968" s="37" t="str">
        <f>IFERROR(__xludf.DUMMYFUNCTION("if(not(iserror(index(split(C1968, "" ""),2))), index(split(C1968, "" ""),1),"""")"),"")</f>
        <v/>
      </c>
      <c r="W1968" s="315" t="str">
        <f>IFERROR(__xludf.DUMMYFUNCTION("if(V1968="""",C1968,if(not(iserror(index(split(C1968, "" ""),3))), index(split(C1968, "" ""),3),index(split(C1968, "" ""),2)))"),"")</f>
        <v/>
      </c>
      <c r="X1968" s="38" t="b">
        <f t="shared" si="2"/>
        <v>0</v>
      </c>
      <c r="Y1968" s="38"/>
      <c r="Z1968" s="40"/>
      <c r="AA1968" s="40"/>
      <c r="AB1968" s="38"/>
      <c r="AC1968" s="38"/>
      <c r="AD1968" s="38"/>
      <c r="AE1968" s="38"/>
      <c r="AF1968" s="38"/>
      <c r="AG1968" s="38"/>
      <c r="AH1968" s="38"/>
      <c r="AI1968" s="38"/>
      <c r="AJ1968" s="38"/>
      <c r="AK1968" s="38"/>
      <c r="AL1968" s="38"/>
      <c r="AM1968" s="38"/>
      <c r="AN1968" s="38"/>
      <c r="AO1968" s="38"/>
      <c r="AP1968" s="38"/>
      <c r="AQ1968" s="38"/>
      <c r="AR1968" s="38"/>
      <c r="AS1968" s="38"/>
      <c r="AT1968" s="38"/>
      <c r="AU1968" s="38"/>
      <c r="AV1968" s="38"/>
      <c r="AW1968" s="38"/>
      <c r="AX1968" s="38"/>
      <c r="AY1968" s="38"/>
      <c r="AZ1968" s="38"/>
      <c r="BA1968" s="38"/>
      <c r="BB1968" s="38"/>
      <c r="BC1968" s="38"/>
      <c r="BD1968" s="38"/>
      <c r="BE1968" s="38"/>
      <c r="BF1968" s="38"/>
      <c r="BG1968" s="38"/>
    </row>
    <row r="1969">
      <c r="A1969" s="16"/>
      <c r="B1969" s="16"/>
      <c r="C1969" s="146"/>
      <c r="D1969" s="146"/>
      <c r="E1969" s="16"/>
      <c r="F1969" s="91"/>
      <c r="G1969" s="16"/>
      <c r="H1969" s="320" t="str">
        <f t="shared" si="1"/>
        <v/>
      </c>
      <c r="I1969" s="16"/>
      <c r="J1969" s="16"/>
      <c r="K1969" s="16"/>
      <c r="L1969" s="38"/>
      <c r="M1969" s="16"/>
      <c r="N1969" s="16"/>
      <c r="O1969" s="16"/>
      <c r="P1969" s="15"/>
      <c r="Q1969" s="15"/>
      <c r="R1969" s="16"/>
      <c r="S1969" s="16"/>
      <c r="T1969" s="16"/>
      <c r="U1969" s="16"/>
      <c r="V1969" s="37" t="str">
        <f>IFERROR(__xludf.DUMMYFUNCTION("if(not(iserror(index(split(C1969, "" ""),2))), index(split(C1969, "" ""),1),"""")"),"")</f>
        <v/>
      </c>
      <c r="W1969" s="315" t="str">
        <f>IFERROR(__xludf.DUMMYFUNCTION("if(V1969="""",C1969,if(not(iserror(index(split(C1969, "" ""),3))), index(split(C1969, "" ""),3),index(split(C1969, "" ""),2)))"),"")</f>
        <v/>
      </c>
      <c r="X1969" s="38" t="b">
        <f t="shared" si="2"/>
        <v>0</v>
      </c>
      <c r="Y1969" s="38"/>
      <c r="Z1969" s="40"/>
      <c r="AA1969" s="40"/>
      <c r="AB1969" s="38"/>
      <c r="AC1969" s="38"/>
      <c r="AD1969" s="38"/>
      <c r="AE1969" s="38"/>
      <c r="AF1969" s="38"/>
      <c r="AG1969" s="38"/>
      <c r="AH1969" s="38"/>
      <c r="AI1969" s="38"/>
      <c r="AJ1969" s="38"/>
      <c r="AK1969" s="38"/>
      <c r="AL1969" s="38"/>
      <c r="AM1969" s="38"/>
      <c r="AN1969" s="38"/>
      <c r="AO1969" s="38"/>
      <c r="AP1969" s="38"/>
      <c r="AQ1969" s="38"/>
      <c r="AR1969" s="38"/>
      <c r="AS1969" s="38"/>
      <c r="AT1969" s="38"/>
      <c r="AU1969" s="38"/>
      <c r="AV1969" s="38"/>
      <c r="AW1969" s="38"/>
      <c r="AX1969" s="38"/>
      <c r="AY1969" s="38"/>
      <c r="AZ1969" s="38"/>
      <c r="BA1969" s="38"/>
      <c r="BB1969" s="38"/>
      <c r="BC1969" s="38"/>
      <c r="BD1969" s="38"/>
      <c r="BE1969" s="38"/>
      <c r="BF1969" s="38"/>
      <c r="BG1969" s="38"/>
    </row>
    <row r="1970">
      <c r="A1970" s="16"/>
      <c r="B1970" s="16"/>
      <c r="C1970" s="146"/>
      <c r="D1970" s="146"/>
      <c r="E1970" s="16"/>
      <c r="F1970" s="91"/>
      <c r="G1970" s="16"/>
      <c r="H1970" s="320" t="str">
        <f t="shared" si="1"/>
        <v/>
      </c>
      <c r="I1970" s="16"/>
      <c r="J1970" s="16"/>
      <c r="K1970" s="16"/>
      <c r="L1970" s="38"/>
      <c r="M1970" s="16"/>
      <c r="N1970" s="16"/>
      <c r="O1970" s="16"/>
      <c r="P1970" s="15"/>
      <c r="Q1970" s="15"/>
      <c r="R1970" s="16"/>
      <c r="S1970" s="16"/>
      <c r="T1970" s="16"/>
      <c r="U1970" s="16"/>
      <c r="V1970" s="37" t="str">
        <f>IFERROR(__xludf.DUMMYFUNCTION("if(not(iserror(index(split(C1970, "" ""),2))), index(split(C1970, "" ""),1),"""")"),"")</f>
        <v/>
      </c>
      <c r="W1970" s="315" t="str">
        <f>IFERROR(__xludf.DUMMYFUNCTION("if(V1970="""",C1970,if(not(iserror(index(split(C1970, "" ""),3))), index(split(C1970, "" ""),3),index(split(C1970, "" ""),2)))"),"")</f>
        <v/>
      </c>
      <c r="X1970" s="38" t="b">
        <f t="shared" si="2"/>
        <v>0</v>
      </c>
      <c r="Y1970" s="38"/>
      <c r="Z1970" s="40"/>
      <c r="AA1970" s="40"/>
      <c r="AB1970" s="38"/>
      <c r="AC1970" s="38"/>
      <c r="AD1970" s="38"/>
      <c r="AE1970" s="38"/>
      <c r="AF1970" s="38"/>
      <c r="AG1970" s="38"/>
      <c r="AH1970" s="38"/>
      <c r="AI1970" s="38"/>
      <c r="AJ1970" s="38"/>
      <c r="AK1970" s="38"/>
      <c r="AL1970" s="38"/>
      <c r="AM1970" s="38"/>
      <c r="AN1970" s="38"/>
      <c r="AO1970" s="38"/>
      <c r="AP1970" s="38"/>
      <c r="AQ1970" s="38"/>
      <c r="AR1970" s="38"/>
      <c r="AS1970" s="38"/>
      <c r="AT1970" s="38"/>
      <c r="AU1970" s="38"/>
      <c r="AV1970" s="38"/>
      <c r="AW1970" s="38"/>
      <c r="AX1970" s="38"/>
      <c r="AY1970" s="38"/>
      <c r="AZ1970" s="38"/>
      <c r="BA1970" s="38"/>
      <c r="BB1970" s="38"/>
      <c r="BC1970" s="38"/>
      <c r="BD1970" s="38"/>
      <c r="BE1970" s="38"/>
      <c r="BF1970" s="38"/>
      <c r="BG1970" s="38"/>
    </row>
    <row r="1971">
      <c r="A1971" s="16"/>
      <c r="B1971" s="16"/>
      <c r="C1971" s="146"/>
      <c r="D1971" s="146"/>
      <c r="E1971" s="16"/>
      <c r="F1971" s="91"/>
      <c r="G1971" s="16"/>
      <c r="H1971" s="320" t="str">
        <f t="shared" si="1"/>
        <v/>
      </c>
      <c r="I1971" s="16"/>
      <c r="J1971" s="16"/>
      <c r="K1971" s="16"/>
      <c r="L1971" s="38"/>
      <c r="M1971" s="16"/>
      <c r="N1971" s="16"/>
      <c r="O1971" s="16"/>
      <c r="P1971" s="15"/>
      <c r="Q1971" s="15"/>
      <c r="R1971" s="16"/>
      <c r="S1971" s="16"/>
      <c r="T1971" s="16"/>
      <c r="U1971" s="16"/>
      <c r="V1971" s="37" t="str">
        <f>IFERROR(__xludf.DUMMYFUNCTION("if(not(iserror(index(split(C1971, "" ""),2))), index(split(C1971, "" ""),1),"""")"),"")</f>
        <v/>
      </c>
      <c r="W1971" s="315" t="str">
        <f>IFERROR(__xludf.DUMMYFUNCTION("if(V1971="""",C1971,if(not(iserror(index(split(C1971, "" ""),3))), index(split(C1971, "" ""),3),index(split(C1971, "" ""),2)))"),"")</f>
        <v/>
      </c>
      <c r="X1971" s="38" t="b">
        <f t="shared" si="2"/>
        <v>0</v>
      </c>
      <c r="Y1971" s="38"/>
      <c r="Z1971" s="40"/>
      <c r="AA1971" s="40"/>
      <c r="AB1971" s="38"/>
      <c r="AC1971" s="38"/>
      <c r="AD1971" s="38"/>
      <c r="AE1971" s="38"/>
      <c r="AF1971" s="38"/>
      <c r="AG1971" s="38"/>
      <c r="AH1971" s="38"/>
      <c r="AI1971" s="38"/>
      <c r="AJ1971" s="38"/>
      <c r="AK1971" s="38"/>
      <c r="AL1971" s="38"/>
      <c r="AM1971" s="38"/>
      <c r="AN1971" s="38"/>
      <c r="AO1971" s="38"/>
      <c r="AP1971" s="38"/>
      <c r="AQ1971" s="38"/>
      <c r="AR1971" s="38"/>
      <c r="AS1971" s="38"/>
      <c r="AT1971" s="38"/>
      <c r="AU1971" s="38"/>
      <c r="AV1971" s="38"/>
      <c r="AW1971" s="38"/>
      <c r="AX1971" s="38"/>
      <c r="AY1971" s="38"/>
      <c r="AZ1971" s="38"/>
      <c r="BA1971" s="38"/>
      <c r="BB1971" s="38"/>
      <c r="BC1971" s="38"/>
      <c r="BD1971" s="38"/>
      <c r="BE1971" s="38"/>
      <c r="BF1971" s="38"/>
      <c r="BG1971" s="38"/>
    </row>
    <row r="1972">
      <c r="A1972" s="16"/>
      <c r="B1972" s="16"/>
      <c r="C1972" s="146"/>
      <c r="D1972" s="146"/>
      <c r="E1972" s="16"/>
      <c r="F1972" s="91"/>
      <c r="G1972" s="16"/>
      <c r="H1972" s="320" t="str">
        <f t="shared" si="1"/>
        <v/>
      </c>
      <c r="I1972" s="16"/>
      <c r="J1972" s="16"/>
      <c r="K1972" s="16"/>
      <c r="L1972" s="38"/>
      <c r="M1972" s="16"/>
      <c r="N1972" s="16"/>
      <c r="O1972" s="16"/>
      <c r="P1972" s="15"/>
      <c r="Q1972" s="15"/>
      <c r="R1972" s="16"/>
      <c r="S1972" s="16"/>
      <c r="T1972" s="16"/>
      <c r="U1972" s="16"/>
      <c r="V1972" s="37" t="str">
        <f>IFERROR(__xludf.DUMMYFUNCTION("if(not(iserror(index(split(C1972, "" ""),2))), index(split(C1972, "" ""),1),"""")"),"")</f>
        <v/>
      </c>
      <c r="W1972" s="315" t="str">
        <f>IFERROR(__xludf.DUMMYFUNCTION("if(V1972="""",C1972,if(not(iserror(index(split(C1972, "" ""),3))), index(split(C1972, "" ""),3),index(split(C1972, "" ""),2)))"),"")</f>
        <v/>
      </c>
      <c r="X1972" s="38" t="b">
        <f t="shared" si="2"/>
        <v>0</v>
      </c>
      <c r="Y1972" s="38"/>
      <c r="Z1972" s="40"/>
      <c r="AA1972" s="40"/>
      <c r="AB1972" s="38"/>
      <c r="AC1972" s="38"/>
      <c r="AD1972" s="38"/>
      <c r="AE1972" s="38"/>
      <c r="AF1972" s="38"/>
      <c r="AG1972" s="38"/>
      <c r="AH1972" s="38"/>
      <c r="AI1972" s="38"/>
      <c r="AJ1972" s="38"/>
      <c r="AK1972" s="38"/>
      <c r="AL1972" s="38"/>
      <c r="AM1972" s="38"/>
      <c r="AN1972" s="38"/>
      <c r="AO1972" s="38"/>
      <c r="AP1972" s="38"/>
      <c r="AQ1972" s="38"/>
      <c r="AR1972" s="38"/>
      <c r="AS1972" s="38"/>
      <c r="AT1972" s="38"/>
      <c r="AU1972" s="38"/>
      <c r="AV1972" s="38"/>
      <c r="AW1972" s="38"/>
      <c r="AX1972" s="38"/>
      <c r="AY1972" s="38"/>
      <c r="AZ1972" s="38"/>
      <c r="BA1972" s="38"/>
      <c r="BB1972" s="38"/>
      <c r="BC1972" s="38"/>
      <c r="BD1972" s="38"/>
      <c r="BE1972" s="38"/>
      <c r="BF1972" s="38"/>
      <c r="BG1972" s="38"/>
    </row>
    <row r="1973">
      <c r="A1973" s="16"/>
      <c r="B1973" s="16"/>
      <c r="C1973" s="146"/>
      <c r="D1973" s="146"/>
      <c r="E1973" s="16"/>
      <c r="F1973" s="91"/>
      <c r="G1973" s="16"/>
      <c r="H1973" s="320" t="str">
        <f t="shared" si="1"/>
        <v/>
      </c>
      <c r="I1973" s="16"/>
      <c r="J1973" s="16"/>
      <c r="K1973" s="16"/>
      <c r="L1973" s="38"/>
      <c r="M1973" s="16"/>
      <c r="N1973" s="16"/>
      <c r="O1973" s="16"/>
      <c r="P1973" s="15"/>
      <c r="Q1973" s="15"/>
      <c r="R1973" s="16"/>
      <c r="S1973" s="16"/>
      <c r="T1973" s="16"/>
      <c r="U1973" s="16"/>
      <c r="V1973" s="37" t="str">
        <f>IFERROR(__xludf.DUMMYFUNCTION("if(not(iserror(index(split(C1973, "" ""),2))), index(split(C1973, "" ""),1),"""")"),"")</f>
        <v/>
      </c>
      <c r="W1973" s="315" t="str">
        <f>IFERROR(__xludf.DUMMYFUNCTION("if(V1973="""",C1973,if(not(iserror(index(split(C1973, "" ""),3))), index(split(C1973, "" ""),3),index(split(C1973, "" ""),2)))"),"")</f>
        <v/>
      </c>
      <c r="X1973" s="38" t="b">
        <f t="shared" si="2"/>
        <v>0</v>
      </c>
      <c r="Y1973" s="38"/>
      <c r="Z1973" s="40"/>
      <c r="AA1973" s="40"/>
      <c r="AB1973" s="38"/>
      <c r="AC1973" s="38"/>
      <c r="AD1973" s="38"/>
      <c r="AE1973" s="38"/>
      <c r="AF1973" s="38"/>
      <c r="AG1973" s="38"/>
      <c r="AH1973" s="38"/>
      <c r="AI1973" s="38"/>
      <c r="AJ1973" s="38"/>
      <c r="AK1973" s="38"/>
      <c r="AL1973" s="38"/>
      <c r="AM1973" s="38"/>
      <c r="AN1973" s="38"/>
      <c r="AO1973" s="38"/>
      <c r="AP1973" s="38"/>
      <c r="AQ1973" s="38"/>
      <c r="AR1973" s="38"/>
      <c r="AS1973" s="38"/>
      <c r="AT1973" s="38"/>
      <c r="AU1973" s="38"/>
      <c r="AV1973" s="38"/>
      <c r="AW1973" s="38"/>
      <c r="AX1973" s="38"/>
      <c r="AY1973" s="38"/>
      <c r="AZ1973" s="38"/>
      <c r="BA1973" s="38"/>
      <c r="BB1973" s="38"/>
      <c r="BC1973" s="38"/>
      <c r="BD1973" s="38"/>
      <c r="BE1973" s="38"/>
      <c r="BF1973" s="38"/>
      <c r="BG1973" s="38"/>
    </row>
    <row r="1974">
      <c r="A1974" s="16"/>
      <c r="B1974" s="16"/>
      <c r="C1974" s="146"/>
      <c r="D1974" s="146"/>
      <c r="E1974" s="16"/>
      <c r="F1974" s="91"/>
      <c r="G1974" s="16"/>
      <c r="H1974" s="320" t="str">
        <f t="shared" si="1"/>
        <v/>
      </c>
      <c r="I1974" s="16"/>
      <c r="J1974" s="16"/>
      <c r="K1974" s="16"/>
      <c r="L1974" s="38"/>
      <c r="M1974" s="16"/>
      <c r="N1974" s="16"/>
      <c r="O1974" s="16"/>
      <c r="P1974" s="15"/>
      <c r="Q1974" s="15"/>
      <c r="R1974" s="16"/>
      <c r="S1974" s="16"/>
      <c r="T1974" s="16"/>
      <c r="U1974" s="16"/>
      <c r="V1974" s="37" t="str">
        <f>IFERROR(__xludf.DUMMYFUNCTION("if(not(iserror(index(split(C1974, "" ""),2))), index(split(C1974, "" ""),1),"""")"),"")</f>
        <v/>
      </c>
      <c r="W1974" s="315" t="str">
        <f>IFERROR(__xludf.DUMMYFUNCTION("if(V1974="""",C1974,if(not(iserror(index(split(C1974, "" ""),3))), index(split(C1974, "" ""),3),index(split(C1974, "" ""),2)))"),"")</f>
        <v/>
      </c>
      <c r="X1974" s="38" t="b">
        <f t="shared" si="2"/>
        <v>0</v>
      </c>
      <c r="Y1974" s="38"/>
      <c r="Z1974" s="40"/>
      <c r="AA1974" s="40"/>
      <c r="AB1974" s="38"/>
      <c r="AC1974" s="38"/>
      <c r="AD1974" s="38"/>
      <c r="AE1974" s="38"/>
      <c r="AF1974" s="38"/>
      <c r="AG1974" s="38"/>
      <c r="AH1974" s="38"/>
      <c r="AI1974" s="38"/>
      <c r="AJ1974" s="38"/>
      <c r="AK1974" s="38"/>
      <c r="AL1974" s="38"/>
      <c r="AM1974" s="38"/>
      <c r="AN1974" s="38"/>
      <c r="AO1974" s="38"/>
      <c r="AP1974" s="38"/>
      <c r="AQ1974" s="38"/>
      <c r="AR1974" s="38"/>
      <c r="AS1974" s="38"/>
      <c r="AT1974" s="38"/>
      <c r="AU1974" s="38"/>
      <c r="AV1974" s="38"/>
      <c r="AW1974" s="38"/>
      <c r="AX1974" s="38"/>
      <c r="AY1974" s="38"/>
      <c r="AZ1974" s="38"/>
      <c r="BA1974" s="38"/>
      <c r="BB1974" s="38"/>
      <c r="BC1974" s="38"/>
      <c r="BD1974" s="38"/>
      <c r="BE1974" s="38"/>
      <c r="BF1974" s="38"/>
      <c r="BG1974" s="38"/>
    </row>
    <row r="1975">
      <c r="A1975" s="16"/>
      <c r="B1975" s="16"/>
      <c r="C1975" s="146"/>
      <c r="D1975" s="146"/>
      <c r="E1975" s="16"/>
      <c r="F1975" s="91"/>
      <c r="G1975" s="16"/>
      <c r="H1975" s="320" t="str">
        <f t="shared" si="1"/>
        <v/>
      </c>
      <c r="I1975" s="16"/>
      <c r="J1975" s="16"/>
      <c r="K1975" s="16"/>
      <c r="L1975" s="38"/>
      <c r="M1975" s="16"/>
      <c r="N1975" s="16"/>
      <c r="O1975" s="16"/>
      <c r="P1975" s="15"/>
      <c r="Q1975" s="15"/>
      <c r="R1975" s="16"/>
      <c r="S1975" s="16"/>
      <c r="T1975" s="16"/>
      <c r="U1975" s="16"/>
      <c r="V1975" s="37" t="str">
        <f>IFERROR(__xludf.DUMMYFUNCTION("if(not(iserror(index(split(C1975, "" ""),2))), index(split(C1975, "" ""),1),"""")"),"")</f>
        <v/>
      </c>
      <c r="W1975" s="315" t="str">
        <f>IFERROR(__xludf.DUMMYFUNCTION("if(V1975="""",C1975,if(not(iserror(index(split(C1975, "" ""),3))), index(split(C1975, "" ""),3),index(split(C1975, "" ""),2)))"),"")</f>
        <v/>
      </c>
      <c r="X1975" s="38" t="b">
        <f t="shared" si="2"/>
        <v>0</v>
      </c>
      <c r="Y1975" s="38"/>
      <c r="Z1975" s="40"/>
      <c r="AA1975" s="40"/>
      <c r="AB1975" s="38"/>
      <c r="AC1975" s="38"/>
      <c r="AD1975" s="38"/>
      <c r="AE1975" s="38"/>
      <c r="AF1975" s="38"/>
      <c r="AG1975" s="38"/>
      <c r="AH1975" s="38"/>
      <c r="AI1975" s="38"/>
      <c r="AJ1975" s="38"/>
      <c r="AK1975" s="38"/>
      <c r="AL1975" s="38"/>
      <c r="AM1975" s="38"/>
      <c r="AN1975" s="38"/>
      <c r="AO1975" s="38"/>
      <c r="AP1975" s="38"/>
      <c r="AQ1975" s="38"/>
      <c r="AR1975" s="38"/>
      <c r="AS1975" s="38"/>
      <c r="AT1975" s="38"/>
      <c r="AU1975" s="38"/>
      <c r="AV1975" s="38"/>
      <c r="AW1975" s="38"/>
      <c r="AX1975" s="38"/>
      <c r="AY1975" s="38"/>
      <c r="AZ1975" s="38"/>
      <c r="BA1975" s="38"/>
      <c r="BB1975" s="38"/>
      <c r="BC1975" s="38"/>
      <c r="BD1975" s="38"/>
      <c r="BE1975" s="38"/>
      <c r="BF1975" s="38"/>
      <c r="BG1975" s="38"/>
    </row>
    <row r="1976">
      <c r="A1976" s="16"/>
      <c r="B1976" s="16"/>
      <c r="C1976" s="146"/>
      <c r="D1976" s="146"/>
      <c r="E1976" s="16"/>
      <c r="F1976" s="91"/>
      <c r="G1976" s="16"/>
      <c r="H1976" s="320" t="str">
        <f t="shared" si="1"/>
        <v/>
      </c>
      <c r="I1976" s="16"/>
      <c r="J1976" s="16"/>
      <c r="K1976" s="16"/>
      <c r="L1976" s="38"/>
      <c r="M1976" s="16"/>
      <c r="N1976" s="16"/>
      <c r="O1976" s="16"/>
      <c r="P1976" s="15"/>
      <c r="Q1976" s="15"/>
      <c r="R1976" s="16"/>
      <c r="S1976" s="16"/>
      <c r="T1976" s="16"/>
      <c r="U1976" s="16"/>
      <c r="V1976" s="37" t="str">
        <f>IFERROR(__xludf.DUMMYFUNCTION("if(not(iserror(index(split(C1976, "" ""),2))), index(split(C1976, "" ""),1),"""")"),"")</f>
        <v/>
      </c>
      <c r="W1976" s="315" t="str">
        <f>IFERROR(__xludf.DUMMYFUNCTION("if(V1976="""",C1976,if(not(iserror(index(split(C1976, "" ""),3))), index(split(C1976, "" ""),3),index(split(C1976, "" ""),2)))"),"")</f>
        <v/>
      </c>
      <c r="X1976" s="38" t="b">
        <f t="shared" si="2"/>
        <v>0</v>
      </c>
      <c r="Y1976" s="38"/>
      <c r="Z1976" s="40"/>
      <c r="AA1976" s="40"/>
      <c r="AB1976" s="38"/>
      <c r="AC1976" s="38"/>
      <c r="AD1976" s="38"/>
      <c r="AE1976" s="38"/>
      <c r="AF1976" s="38"/>
      <c r="AG1976" s="38"/>
      <c r="AH1976" s="38"/>
      <c r="AI1976" s="38"/>
      <c r="AJ1976" s="38"/>
      <c r="AK1976" s="38"/>
      <c r="AL1976" s="38"/>
      <c r="AM1976" s="38"/>
      <c r="AN1976" s="38"/>
      <c r="AO1976" s="38"/>
      <c r="AP1976" s="38"/>
      <c r="AQ1976" s="38"/>
      <c r="AR1976" s="38"/>
      <c r="AS1976" s="38"/>
      <c r="AT1976" s="38"/>
      <c r="AU1976" s="38"/>
      <c r="AV1976" s="38"/>
      <c r="AW1976" s="38"/>
      <c r="AX1976" s="38"/>
      <c r="AY1976" s="38"/>
      <c r="AZ1976" s="38"/>
      <c r="BA1976" s="38"/>
      <c r="BB1976" s="38"/>
      <c r="BC1976" s="38"/>
      <c r="BD1976" s="38"/>
      <c r="BE1976" s="38"/>
      <c r="BF1976" s="38"/>
      <c r="BG1976" s="38"/>
    </row>
    <row r="1977">
      <c r="A1977" s="16"/>
      <c r="B1977" s="16"/>
      <c r="C1977" s="146"/>
      <c r="D1977" s="146"/>
      <c r="E1977" s="16"/>
      <c r="F1977" s="91"/>
      <c r="G1977" s="16"/>
      <c r="H1977" s="320" t="str">
        <f t="shared" si="1"/>
        <v/>
      </c>
      <c r="I1977" s="16"/>
      <c r="J1977" s="16"/>
      <c r="K1977" s="16"/>
      <c r="L1977" s="38"/>
      <c r="M1977" s="16"/>
      <c r="N1977" s="16"/>
      <c r="O1977" s="16"/>
      <c r="P1977" s="15"/>
      <c r="Q1977" s="15"/>
      <c r="R1977" s="16"/>
      <c r="S1977" s="16"/>
      <c r="T1977" s="16"/>
      <c r="U1977" s="16"/>
      <c r="V1977" s="37" t="str">
        <f>IFERROR(__xludf.DUMMYFUNCTION("if(not(iserror(index(split(C1977, "" ""),2))), index(split(C1977, "" ""),1),"""")"),"")</f>
        <v/>
      </c>
      <c r="W1977" s="315" t="str">
        <f>IFERROR(__xludf.DUMMYFUNCTION("if(V1977="""",C1977,if(not(iserror(index(split(C1977, "" ""),3))), index(split(C1977, "" ""),3),index(split(C1977, "" ""),2)))"),"")</f>
        <v/>
      </c>
      <c r="X1977" s="38" t="b">
        <f t="shared" si="2"/>
        <v>0</v>
      </c>
      <c r="Y1977" s="38"/>
      <c r="Z1977" s="40"/>
      <c r="AA1977" s="40"/>
      <c r="AB1977" s="38"/>
      <c r="AC1977" s="38"/>
      <c r="AD1977" s="38"/>
      <c r="AE1977" s="38"/>
      <c r="AF1977" s="38"/>
      <c r="AG1977" s="38"/>
      <c r="AH1977" s="38"/>
      <c r="AI1977" s="38"/>
      <c r="AJ1977" s="38"/>
      <c r="AK1977" s="38"/>
      <c r="AL1977" s="38"/>
      <c r="AM1977" s="38"/>
      <c r="AN1977" s="38"/>
      <c r="AO1977" s="38"/>
      <c r="AP1977" s="38"/>
      <c r="AQ1977" s="38"/>
      <c r="AR1977" s="38"/>
      <c r="AS1977" s="38"/>
      <c r="AT1977" s="38"/>
      <c r="AU1977" s="38"/>
      <c r="AV1977" s="38"/>
      <c r="AW1977" s="38"/>
      <c r="AX1977" s="38"/>
      <c r="AY1977" s="38"/>
      <c r="AZ1977" s="38"/>
      <c r="BA1977" s="38"/>
      <c r="BB1977" s="38"/>
      <c r="BC1977" s="38"/>
      <c r="BD1977" s="38"/>
      <c r="BE1977" s="38"/>
      <c r="BF1977" s="38"/>
      <c r="BG1977" s="38"/>
    </row>
    <row r="1978">
      <c r="A1978" s="16"/>
      <c r="B1978" s="16"/>
      <c r="C1978" s="146"/>
      <c r="D1978" s="146"/>
      <c r="E1978" s="16"/>
      <c r="F1978" s="91"/>
      <c r="G1978" s="16"/>
      <c r="H1978" s="320" t="str">
        <f t="shared" si="1"/>
        <v/>
      </c>
      <c r="I1978" s="16"/>
      <c r="J1978" s="16"/>
      <c r="K1978" s="16"/>
      <c r="L1978" s="38"/>
      <c r="M1978" s="16"/>
      <c r="N1978" s="16"/>
      <c r="O1978" s="16"/>
      <c r="P1978" s="15"/>
      <c r="Q1978" s="15"/>
      <c r="R1978" s="16"/>
      <c r="S1978" s="16"/>
      <c r="T1978" s="16"/>
      <c r="U1978" s="16"/>
      <c r="V1978" s="37" t="str">
        <f>IFERROR(__xludf.DUMMYFUNCTION("if(not(iserror(index(split(C1978, "" ""),2))), index(split(C1978, "" ""),1),"""")"),"")</f>
        <v/>
      </c>
      <c r="W1978" s="315" t="str">
        <f>IFERROR(__xludf.DUMMYFUNCTION("if(V1978="""",C1978,if(not(iserror(index(split(C1978, "" ""),3))), index(split(C1978, "" ""),3),index(split(C1978, "" ""),2)))"),"")</f>
        <v/>
      </c>
      <c r="X1978" s="38" t="b">
        <f t="shared" si="2"/>
        <v>0</v>
      </c>
      <c r="Y1978" s="38"/>
      <c r="Z1978" s="40"/>
      <c r="AA1978" s="40"/>
      <c r="AB1978" s="38"/>
      <c r="AC1978" s="38"/>
      <c r="AD1978" s="38"/>
      <c r="AE1978" s="38"/>
      <c r="AF1978" s="38"/>
      <c r="AG1978" s="38"/>
      <c r="AH1978" s="38"/>
      <c r="AI1978" s="38"/>
      <c r="AJ1978" s="38"/>
      <c r="AK1978" s="38"/>
      <c r="AL1978" s="38"/>
      <c r="AM1978" s="38"/>
      <c r="AN1978" s="38"/>
      <c r="AO1978" s="38"/>
      <c r="AP1978" s="38"/>
      <c r="AQ1978" s="38"/>
      <c r="AR1978" s="38"/>
      <c r="AS1978" s="38"/>
      <c r="AT1978" s="38"/>
      <c r="AU1978" s="38"/>
      <c r="AV1978" s="38"/>
      <c r="AW1978" s="38"/>
      <c r="AX1978" s="38"/>
      <c r="AY1978" s="38"/>
      <c r="AZ1978" s="38"/>
      <c r="BA1978" s="38"/>
      <c r="BB1978" s="38"/>
      <c r="BC1978" s="38"/>
      <c r="BD1978" s="38"/>
      <c r="BE1978" s="38"/>
      <c r="BF1978" s="38"/>
      <c r="BG1978" s="38"/>
    </row>
    <row r="1979">
      <c r="A1979" s="16"/>
      <c r="B1979" s="16"/>
      <c r="C1979" s="146"/>
      <c r="D1979" s="146"/>
      <c r="E1979" s="16"/>
      <c r="F1979" s="91"/>
      <c r="G1979" s="16"/>
      <c r="H1979" s="320" t="str">
        <f t="shared" si="1"/>
        <v/>
      </c>
      <c r="I1979" s="16"/>
      <c r="J1979" s="16"/>
      <c r="K1979" s="16"/>
      <c r="L1979" s="38"/>
      <c r="M1979" s="16"/>
      <c r="N1979" s="16"/>
      <c r="O1979" s="16"/>
      <c r="P1979" s="15"/>
      <c r="Q1979" s="15"/>
      <c r="R1979" s="16"/>
      <c r="S1979" s="16"/>
      <c r="T1979" s="16"/>
      <c r="U1979" s="16"/>
      <c r="V1979" s="37" t="str">
        <f>IFERROR(__xludf.DUMMYFUNCTION("if(not(iserror(index(split(C1979, "" ""),2))), index(split(C1979, "" ""),1),"""")"),"")</f>
        <v/>
      </c>
      <c r="W1979" s="315" t="str">
        <f>IFERROR(__xludf.DUMMYFUNCTION("if(V1979="""",C1979,if(not(iserror(index(split(C1979, "" ""),3))), index(split(C1979, "" ""),3),index(split(C1979, "" ""),2)))"),"")</f>
        <v/>
      </c>
      <c r="X1979" s="38" t="b">
        <f t="shared" si="2"/>
        <v>0</v>
      </c>
      <c r="Y1979" s="38"/>
      <c r="Z1979" s="40"/>
      <c r="AA1979" s="40"/>
      <c r="AB1979" s="38"/>
      <c r="AC1979" s="38"/>
      <c r="AD1979" s="38"/>
      <c r="AE1979" s="38"/>
      <c r="AF1979" s="38"/>
      <c r="AG1979" s="38"/>
      <c r="AH1979" s="38"/>
      <c r="AI1979" s="38"/>
      <c r="AJ1979" s="38"/>
      <c r="AK1979" s="38"/>
      <c r="AL1979" s="38"/>
      <c r="AM1979" s="38"/>
      <c r="AN1979" s="38"/>
      <c r="AO1979" s="38"/>
      <c r="AP1979" s="38"/>
      <c r="AQ1979" s="38"/>
      <c r="AR1979" s="38"/>
      <c r="AS1979" s="38"/>
      <c r="AT1979" s="38"/>
      <c r="AU1979" s="38"/>
      <c r="AV1979" s="38"/>
      <c r="AW1979" s="38"/>
      <c r="AX1979" s="38"/>
      <c r="AY1979" s="38"/>
      <c r="AZ1979" s="38"/>
      <c r="BA1979" s="38"/>
      <c r="BB1979" s="38"/>
      <c r="BC1979" s="38"/>
      <c r="BD1979" s="38"/>
      <c r="BE1979" s="38"/>
      <c r="BF1979" s="38"/>
      <c r="BG1979" s="38"/>
    </row>
    <row r="1980">
      <c r="A1980" s="16"/>
      <c r="B1980" s="16"/>
      <c r="C1980" s="146"/>
      <c r="D1980" s="146"/>
      <c r="E1980" s="16"/>
      <c r="F1980" s="91"/>
      <c r="G1980" s="16"/>
      <c r="H1980" s="320" t="str">
        <f t="shared" si="1"/>
        <v/>
      </c>
      <c r="I1980" s="16"/>
      <c r="J1980" s="16"/>
      <c r="K1980" s="16"/>
      <c r="L1980" s="38"/>
      <c r="M1980" s="16"/>
      <c r="N1980" s="16"/>
      <c r="O1980" s="16"/>
      <c r="P1980" s="15"/>
      <c r="Q1980" s="15"/>
      <c r="R1980" s="16"/>
      <c r="S1980" s="16"/>
      <c r="T1980" s="16"/>
      <c r="U1980" s="16"/>
      <c r="V1980" s="37" t="str">
        <f>IFERROR(__xludf.DUMMYFUNCTION("if(not(iserror(index(split(C1980, "" ""),2))), index(split(C1980, "" ""),1),"""")"),"")</f>
        <v/>
      </c>
      <c r="W1980" s="315" t="str">
        <f>IFERROR(__xludf.DUMMYFUNCTION("if(V1980="""",C1980,if(not(iserror(index(split(C1980, "" ""),3))), index(split(C1980, "" ""),3),index(split(C1980, "" ""),2)))"),"")</f>
        <v/>
      </c>
      <c r="X1980" s="38" t="b">
        <f t="shared" si="2"/>
        <v>0</v>
      </c>
      <c r="Y1980" s="38"/>
      <c r="Z1980" s="40"/>
      <c r="AA1980" s="40"/>
      <c r="AB1980" s="38"/>
      <c r="AC1980" s="38"/>
      <c r="AD1980" s="38"/>
      <c r="AE1980" s="38"/>
      <c r="AF1980" s="38"/>
      <c r="AG1980" s="38"/>
      <c r="AH1980" s="38"/>
      <c r="AI1980" s="38"/>
      <c r="AJ1980" s="38"/>
      <c r="AK1980" s="38"/>
      <c r="AL1980" s="38"/>
      <c r="AM1980" s="38"/>
      <c r="AN1980" s="38"/>
      <c r="AO1980" s="38"/>
      <c r="AP1980" s="38"/>
      <c r="AQ1980" s="38"/>
      <c r="AR1980" s="38"/>
      <c r="AS1980" s="38"/>
      <c r="AT1980" s="38"/>
      <c r="AU1980" s="38"/>
      <c r="AV1980" s="38"/>
      <c r="AW1980" s="38"/>
      <c r="AX1980" s="38"/>
      <c r="AY1980" s="38"/>
      <c r="AZ1980" s="38"/>
      <c r="BA1980" s="38"/>
      <c r="BB1980" s="38"/>
      <c r="BC1980" s="38"/>
      <c r="BD1980" s="38"/>
      <c r="BE1980" s="38"/>
      <c r="BF1980" s="38"/>
      <c r="BG1980" s="38"/>
    </row>
    <row r="1981">
      <c r="A1981" s="16"/>
      <c r="B1981" s="16"/>
      <c r="C1981" s="146"/>
      <c r="D1981" s="146"/>
      <c r="E1981" s="16"/>
      <c r="F1981" s="91"/>
      <c r="G1981" s="16"/>
      <c r="H1981" s="320" t="str">
        <f t="shared" si="1"/>
        <v/>
      </c>
      <c r="I1981" s="16"/>
      <c r="J1981" s="16"/>
      <c r="K1981" s="16"/>
      <c r="L1981" s="38"/>
      <c r="M1981" s="16"/>
      <c r="N1981" s="16"/>
      <c r="O1981" s="16"/>
      <c r="P1981" s="15"/>
      <c r="Q1981" s="15"/>
      <c r="R1981" s="16"/>
      <c r="S1981" s="16"/>
      <c r="T1981" s="16"/>
      <c r="U1981" s="16"/>
      <c r="V1981" s="37" t="str">
        <f>IFERROR(__xludf.DUMMYFUNCTION("if(not(iserror(index(split(C1981, "" ""),2))), index(split(C1981, "" ""),1),"""")"),"")</f>
        <v/>
      </c>
      <c r="W1981" s="315" t="str">
        <f>IFERROR(__xludf.DUMMYFUNCTION("if(V1981="""",C1981,if(not(iserror(index(split(C1981, "" ""),3))), index(split(C1981, "" ""),3),index(split(C1981, "" ""),2)))"),"")</f>
        <v/>
      </c>
      <c r="X1981" s="38" t="b">
        <f t="shared" si="2"/>
        <v>0</v>
      </c>
      <c r="Y1981" s="38"/>
      <c r="Z1981" s="40"/>
      <c r="AA1981" s="40"/>
      <c r="AB1981" s="38"/>
      <c r="AC1981" s="38"/>
      <c r="AD1981" s="38"/>
      <c r="AE1981" s="38"/>
      <c r="AF1981" s="38"/>
      <c r="AG1981" s="38"/>
      <c r="AH1981" s="38"/>
      <c r="AI1981" s="38"/>
      <c r="AJ1981" s="38"/>
      <c r="AK1981" s="38"/>
      <c r="AL1981" s="38"/>
      <c r="AM1981" s="38"/>
      <c r="AN1981" s="38"/>
      <c r="AO1981" s="38"/>
      <c r="AP1981" s="38"/>
      <c r="AQ1981" s="38"/>
      <c r="AR1981" s="38"/>
      <c r="AS1981" s="38"/>
      <c r="AT1981" s="38"/>
      <c r="AU1981" s="38"/>
      <c r="AV1981" s="38"/>
      <c r="AW1981" s="38"/>
      <c r="AX1981" s="38"/>
      <c r="AY1981" s="38"/>
      <c r="AZ1981" s="38"/>
      <c r="BA1981" s="38"/>
      <c r="BB1981" s="38"/>
      <c r="BC1981" s="38"/>
      <c r="BD1981" s="38"/>
      <c r="BE1981" s="38"/>
      <c r="BF1981" s="38"/>
      <c r="BG1981" s="38"/>
    </row>
    <row r="1982">
      <c r="A1982" s="16"/>
      <c r="B1982" s="16"/>
      <c r="C1982" s="146"/>
      <c r="D1982" s="146"/>
      <c r="E1982" s="16"/>
      <c r="F1982" s="91"/>
      <c r="G1982" s="16"/>
      <c r="H1982" s="320" t="str">
        <f t="shared" si="1"/>
        <v/>
      </c>
      <c r="I1982" s="16"/>
      <c r="J1982" s="16"/>
      <c r="K1982" s="16"/>
      <c r="L1982" s="38"/>
      <c r="M1982" s="16"/>
      <c r="N1982" s="16"/>
      <c r="O1982" s="16"/>
      <c r="P1982" s="15"/>
      <c r="Q1982" s="15"/>
      <c r="R1982" s="16"/>
      <c r="S1982" s="16"/>
      <c r="T1982" s="16"/>
      <c r="U1982" s="16"/>
      <c r="V1982" s="37" t="str">
        <f>IFERROR(__xludf.DUMMYFUNCTION("if(not(iserror(index(split(C1982, "" ""),2))), index(split(C1982, "" ""),1),"""")"),"")</f>
        <v/>
      </c>
      <c r="W1982" s="315" t="str">
        <f>IFERROR(__xludf.DUMMYFUNCTION("if(V1982="""",C1982,if(not(iserror(index(split(C1982, "" ""),3))), index(split(C1982, "" ""),3),index(split(C1982, "" ""),2)))"),"")</f>
        <v/>
      </c>
      <c r="X1982" s="38" t="b">
        <f t="shared" si="2"/>
        <v>0</v>
      </c>
      <c r="Y1982" s="38"/>
      <c r="Z1982" s="40"/>
      <c r="AA1982" s="40"/>
      <c r="AB1982" s="38"/>
      <c r="AC1982" s="38"/>
      <c r="AD1982" s="38"/>
      <c r="AE1982" s="38"/>
      <c r="AF1982" s="38"/>
      <c r="AG1982" s="38"/>
      <c r="AH1982" s="38"/>
      <c r="AI1982" s="38"/>
      <c r="AJ1982" s="38"/>
      <c r="AK1982" s="38"/>
      <c r="AL1982" s="38"/>
      <c r="AM1982" s="38"/>
      <c r="AN1982" s="38"/>
      <c r="AO1982" s="38"/>
      <c r="AP1982" s="38"/>
      <c r="AQ1982" s="38"/>
      <c r="AR1982" s="38"/>
      <c r="AS1982" s="38"/>
      <c r="AT1982" s="38"/>
      <c r="AU1982" s="38"/>
      <c r="AV1982" s="38"/>
      <c r="AW1982" s="38"/>
      <c r="AX1982" s="38"/>
      <c r="AY1982" s="38"/>
      <c r="AZ1982" s="38"/>
      <c r="BA1982" s="38"/>
      <c r="BB1982" s="38"/>
      <c r="BC1982" s="38"/>
      <c r="BD1982" s="38"/>
      <c r="BE1982" s="38"/>
      <c r="BF1982" s="38"/>
      <c r="BG1982" s="38"/>
    </row>
    <row r="1983">
      <c r="A1983" s="16"/>
      <c r="B1983" s="16"/>
      <c r="C1983" s="146"/>
      <c r="D1983" s="146"/>
      <c r="E1983" s="16"/>
      <c r="F1983" s="91"/>
      <c r="G1983" s="16"/>
      <c r="H1983" s="320" t="str">
        <f t="shared" si="1"/>
        <v/>
      </c>
      <c r="I1983" s="16"/>
      <c r="J1983" s="16"/>
      <c r="K1983" s="16"/>
      <c r="L1983" s="38"/>
      <c r="M1983" s="16"/>
      <c r="N1983" s="16"/>
      <c r="O1983" s="16"/>
      <c r="P1983" s="15"/>
      <c r="Q1983" s="15"/>
      <c r="R1983" s="16"/>
      <c r="S1983" s="16"/>
      <c r="T1983" s="16"/>
      <c r="U1983" s="16"/>
      <c r="V1983" s="37" t="str">
        <f>IFERROR(__xludf.DUMMYFUNCTION("if(not(iserror(index(split(C1983, "" ""),2))), index(split(C1983, "" ""),1),"""")"),"")</f>
        <v/>
      </c>
      <c r="W1983" s="315" t="str">
        <f>IFERROR(__xludf.DUMMYFUNCTION("if(V1983="""",C1983,if(not(iserror(index(split(C1983, "" ""),3))), index(split(C1983, "" ""),3),index(split(C1983, "" ""),2)))"),"")</f>
        <v/>
      </c>
      <c r="X1983" s="38" t="b">
        <f t="shared" si="2"/>
        <v>0</v>
      </c>
      <c r="Y1983" s="38"/>
      <c r="Z1983" s="40"/>
      <c r="AA1983" s="40"/>
      <c r="AB1983" s="38"/>
      <c r="AC1983" s="38"/>
      <c r="AD1983" s="38"/>
      <c r="AE1983" s="38"/>
      <c r="AF1983" s="38"/>
      <c r="AG1983" s="38"/>
      <c r="AH1983" s="38"/>
      <c r="AI1983" s="38"/>
      <c r="AJ1983" s="38"/>
      <c r="AK1983" s="38"/>
      <c r="AL1983" s="38"/>
      <c r="AM1983" s="38"/>
      <c r="AN1983" s="38"/>
      <c r="AO1983" s="38"/>
      <c r="AP1983" s="38"/>
      <c r="AQ1983" s="38"/>
      <c r="AR1983" s="38"/>
      <c r="AS1983" s="38"/>
      <c r="AT1983" s="38"/>
      <c r="AU1983" s="38"/>
      <c r="AV1983" s="38"/>
      <c r="AW1983" s="38"/>
      <c r="AX1983" s="38"/>
      <c r="AY1983" s="38"/>
      <c r="AZ1983" s="38"/>
      <c r="BA1983" s="38"/>
      <c r="BB1983" s="38"/>
      <c r="BC1983" s="38"/>
      <c r="BD1983" s="38"/>
      <c r="BE1983" s="38"/>
      <c r="BF1983" s="38"/>
      <c r="BG1983" s="38"/>
    </row>
    <row r="1984">
      <c r="A1984" s="16"/>
      <c r="B1984" s="16"/>
      <c r="C1984" s="146"/>
      <c r="D1984" s="146"/>
      <c r="E1984" s="16"/>
      <c r="F1984" s="91"/>
      <c r="G1984" s="16"/>
      <c r="H1984" s="320" t="str">
        <f t="shared" si="1"/>
        <v/>
      </c>
      <c r="I1984" s="16"/>
      <c r="J1984" s="16"/>
      <c r="K1984" s="16"/>
      <c r="L1984" s="38"/>
      <c r="M1984" s="16"/>
      <c r="N1984" s="16"/>
      <c r="O1984" s="16"/>
      <c r="P1984" s="15"/>
      <c r="Q1984" s="15"/>
      <c r="R1984" s="16"/>
      <c r="S1984" s="16"/>
      <c r="T1984" s="16"/>
      <c r="U1984" s="16"/>
      <c r="V1984" s="37" t="str">
        <f>IFERROR(__xludf.DUMMYFUNCTION("if(not(iserror(index(split(C1984, "" ""),2))), index(split(C1984, "" ""),1),"""")"),"")</f>
        <v/>
      </c>
      <c r="W1984" s="315" t="str">
        <f>IFERROR(__xludf.DUMMYFUNCTION("if(V1984="""",C1984,if(not(iserror(index(split(C1984, "" ""),3))), index(split(C1984, "" ""),3),index(split(C1984, "" ""),2)))"),"")</f>
        <v/>
      </c>
      <c r="X1984" s="38" t="b">
        <f t="shared" si="2"/>
        <v>0</v>
      </c>
      <c r="Y1984" s="38"/>
      <c r="Z1984" s="40"/>
      <c r="AA1984" s="40"/>
      <c r="AB1984" s="38"/>
      <c r="AC1984" s="38"/>
      <c r="AD1984" s="38"/>
      <c r="AE1984" s="38"/>
      <c r="AF1984" s="38"/>
      <c r="AG1984" s="38"/>
      <c r="AH1984" s="38"/>
      <c r="AI1984" s="38"/>
      <c r="AJ1984" s="38"/>
      <c r="AK1984" s="38"/>
      <c r="AL1984" s="38"/>
      <c r="AM1984" s="38"/>
      <c r="AN1984" s="38"/>
      <c r="AO1984" s="38"/>
      <c r="AP1984" s="38"/>
      <c r="AQ1984" s="38"/>
      <c r="AR1984" s="38"/>
      <c r="AS1984" s="38"/>
      <c r="AT1984" s="38"/>
      <c r="AU1984" s="38"/>
      <c r="AV1984" s="38"/>
      <c r="AW1984" s="38"/>
      <c r="AX1984" s="38"/>
      <c r="AY1984" s="38"/>
      <c r="AZ1984" s="38"/>
      <c r="BA1984" s="38"/>
      <c r="BB1984" s="38"/>
      <c r="BC1984" s="38"/>
      <c r="BD1984" s="38"/>
      <c r="BE1984" s="38"/>
      <c r="BF1984" s="38"/>
      <c r="BG1984" s="38"/>
    </row>
    <row r="1985">
      <c r="A1985" s="16"/>
      <c r="B1985" s="16"/>
      <c r="C1985" s="146"/>
      <c r="D1985" s="146"/>
      <c r="E1985" s="16"/>
      <c r="F1985" s="91"/>
      <c r="G1985" s="16"/>
      <c r="H1985" s="320" t="str">
        <f t="shared" si="1"/>
        <v/>
      </c>
      <c r="I1985" s="16"/>
      <c r="J1985" s="16"/>
      <c r="K1985" s="16"/>
      <c r="L1985" s="38"/>
      <c r="M1985" s="16"/>
      <c r="N1985" s="16"/>
      <c r="O1985" s="16"/>
      <c r="P1985" s="15"/>
      <c r="Q1985" s="15"/>
      <c r="R1985" s="16"/>
      <c r="S1985" s="16"/>
      <c r="T1985" s="16"/>
      <c r="U1985" s="16"/>
      <c r="V1985" s="37" t="str">
        <f>IFERROR(__xludf.DUMMYFUNCTION("if(not(iserror(index(split(C1985, "" ""),2))), index(split(C1985, "" ""),1),"""")"),"")</f>
        <v/>
      </c>
      <c r="W1985" s="315" t="str">
        <f>IFERROR(__xludf.DUMMYFUNCTION("if(V1985="""",C1985,if(not(iserror(index(split(C1985, "" ""),3))), index(split(C1985, "" ""),3),index(split(C1985, "" ""),2)))"),"")</f>
        <v/>
      </c>
      <c r="X1985" s="38" t="b">
        <f t="shared" si="2"/>
        <v>0</v>
      </c>
      <c r="Y1985" s="38"/>
      <c r="Z1985" s="40"/>
      <c r="AA1985" s="40"/>
      <c r="AB1985" s="38"/>
      <c r="AC1985" s="38"/>
      <c r="AD1985" s="38"/>
      <c r="AE1985" s="38"/>
      <c r="AF1985" s="38"/>
      <c r="AG1985" s="38"/>
      <c r="AH1985" s="38"/>
      <c r="AI1985" s="38"/>
      <c r="AJ1985" s="38"/>
      <c r="AK1985" s="38"/>
      <c r="AL1985" s="38"/>
      <c r="AM1985" s="38"/>
      <c r="AN1985" s="38"/>
      <c r="AO1985" s="38"/>
      <c r="AP1985" s="38"/>
      <c r="AQ1985" s="38"/>
      <c r="AR1985" s="38"/>
      <c r="AS1985" s="38"/>
      <c r="AT1985" s="38"/>
      <c r="AU1985" s="38"/>
      <c r="AV1985" s="38"/>
      <c r="AW1985" s="38"/>
      <c r="AX1985" s="38"/>
      <c r="AY1985" s="38"/>
      <c r="AZ1985" s="38"/>
      <c r="BA1985" s="38"/>
      <c r="BB1985" s="38"/>
      <c r="BC1985" s="38"/>
      <c r="BD1985" s="38"/>
      <c r="BE1985" s="38"/>
      <c r="BF1985" s="38"/>
      <c r="BG1985" s="38"/>
    </row>
    <row r="1986">
      <c r="A1986" s="16"/>
      <c r="B1986" s="16"/>
      <c r="C1986" s="146"/>
      <c r="D1986" s="146"/>
      <c r="E1986" s="16"/>
      <c r="F1986" s="91"/>
      <c r="G1986" s="16"/>
      <c r="H1986" s="320" t="str">
        <f t="shared" si="1"/>
        <v/>
      </c>
      <c r="I1986" s="16"/>
      <c r="J1986" s="16"/>
      <c r="K1986" s="16"/>
      <c r="L1986" s="38"/>
      <c r="M1986" s="16"/>
      <c r="N1986" s="16"/>
      <c r="O1986" s="16"/>
      <c r="P1986" s="15"/>
      <c r="Q1986" s="15"/>
      <c r="R1986" s="16"/>
      <c r="S1986" s="16"/>
      <c r="T1986" s="16"/>
      <c r="U1986" s="16"/>
      <c r="V1986" s="37" t="str">
        <f>IFERROR(__xludf.DUMMYFUNCTION("if(not(iserror(index(split(C1986, "" ""),2))), index(split(C1986, "" ""),1),"""")"),"")</f>
        <v/>
      </c>
      <c r="W1986" s="315" t="str">
        <f>IFERROR(__xludf.DUMMYFUNCTION("if(V1986="""",C1986,if(not(iserror(index(split(C1986, "" ""),3))), index(split(C1986, "" ""),3),index(split(C1986, "" ""),2)))"),"")</f>
        <v/>
      </c>
      <c r="X1986" s="38" t="b">
        <f t="shared" si="2"/>
        <v>0</v>
      </c>
      <c r="Y1986" s="38"/>
      <c r="Z1986" s="40"/>
      <c r="AA1986" s="40"/>
      <c r="AB1986" s="38"/>
      <c r="AC1986" s="38"/>
      <c r="AD1986" s="38"/>
      <c r="AE1986" s="38"/>
      <c r="AF1986" s="38"/>
      <c r="AG1986" s="38"/>
      <c r="AH1986" s="38"/>
      <c r="AI1986" s="38"/>
      <c r="AJ1986" s="38"/>
      <c r="AK1986" s="38"/>
      <c r="AL1986" s="38"/>
      <c r="AM1986" s="38"/>
      <c r="AN1986" s="38"/>
      <c r="AO1986" s="38"/>
      <c r="AP1986" s="38"/>
      <c r="AQ1986" s="38"/>
      <c r="AR1986" s="38"/>
      <c r="AS1986" s="38"/>
      <c r="AT1986" s="38"/>
      <c r="AU1986" s="38"/>
      <c r="AV1986" s="38"/>
      <c r="AW1986" s="38"/>
      <c r="AX1986" s="38"/>
      <c r="AY1986" s="38"/>
      <c r="AZ1986" s="38"/>
      <c r="BA1986" s="38"/>
      <c r="BB1986" s="38"/>
      <c r="BC1986" s="38"/>
      <c r="BD1986" s="38"/>
      <c r="BE1986" s="38"/>
      <c r="BF1986" s="38"/>
      <c r="BG1986" s="38"/>
    </row>
    <row r="1987">
      <c r="A1987" s="16"/>
      <c r="B1987" s="16"/>
      <c r="C1987" s="146"/>
      <c r="D1987" s="146"/>
      <c r="E1987" s="16"/>
      <c r="F1987" s="91"/>
      <c r="G1987" s="16"/>
      <c r="H1987" s="320" t="str">
        <f t="shared" si="1"/>
        <v/>
      </c>
      <c r="I1987" s="16"/>
      <c r="J1987" s="16"/>
      <c r="K1987" s="16"/>
      <c r="L1987" s="38"/>
      <c r="M1987" s="16"/>
      <c r="N1987" s="16"/>
      <c r="O1987" s="16"/>
      <c r="P1987" s="15"/>
      <c r="Q1987" s="15"/>
      <c r="R1987" s="16"/>
      <c r="S1987" s="16"/>
      <c r="T1987" s="16"/>
      <c r="U1987" s="16"/>
      <c r="V1987" s="37" t="str">
        <f>IFERROR(__xludf.DUMMYFUNCTION("if(not(iserror(index(split(C1987, "" ""),2))), index(split(C1987, "" ""),1),"""")"),"")</f>
        <v/>
      </c>
      <c r="W1987" s="315" t="str">
        <f>IFERROR(__xludf.DUMMYFUNCTION("if(V1987="""",C1987,if(not(iserror(index(split(C1987, "" ""),3))), index(split(C1987, "" ""),3),index(split(C1987, "" ""),2)))"),"")</f>
        <v/>
      </c>
      <c r="X1987" s="38" t="b">
        <f t="shared" si="2"/>
        <v>0</v>
      </c>
      <c r="Y1987" s="38"/>
      <c r="Z1987" s="40"/>
      <c r="AA1987" s="40"/>
      <c r="AB1987" s="38"/>
      <c r="AC1987" s="38"/>
      <c r="AD1987" s="38"/>
      <c r="AE1987" s="38"/>
      <c r="AF1987" s="38"/>
      <c r="AG1987" s="38"/>
      <c r="AH1987" s="38"/>
      <c r="AI1987" s="38"/>
      <c r="AJ1987" s="38"/>
      <c r="AK1987" s="38"/>
      <c r="AL1987" s="38"/>
      <c r="AM1987" s="38"/>
      <c r="AN1987" s="38"/>
      <c r="AO1987" s="38"/>
      <c r="AP1987" s="38"/>
      <c r="AQ1987" s="38"/>
      <c r="AR1987" s="38"/>
      <c r="AS1987" s="38"/>
      <c r="AT1987" s="38"/>
      <c r="AU1987" s="38"/>
      <c r="AV1987" s="38"/>
      <c r="AW1987" s="38"/>
      <c r="AX1987" s="38"/>
      <c r="AY1987" s="38"/>
      <c r="AZ1987" s="38"/>
      <c r="BA1987" s="38"/>
      <c r="BB1987" s="38"/>
      <c r="BC1987" s="38"/>
      <c r="BD1987" s="38"/>
      <c r="BE1987" s="38"/>
      <c r="BF1987" s="38"/>
      <c r="BG1987" s="38"/>
    </row>
    <row r="1988">
      <c r="A1988" s="16"/>
      <c r="B1988" s="16"/>
      <c r="C1988" s="146"/>
      <c r="D1988" s="146"/>
      <c r="E1988" s="16"/>
      <c r="F1988" s="91"/>
      <c r="G1988" s="16"/>
      <c r="H1988" s="320" t="str">
        <f t="shared" si="1"/>
        <v/>
      </c>
      <c r="I1988" s="16"/>
      <c r="J1988" s="16"/>
      <c r="K1988" s="16"/>
      <c r="L1988" s="38"/>
      <c r="M1988" s="16"/>
      <c r="N1988" s="16"/>
      <c r="O1988" s="16"/>
      <c r="P1988" s="15"/>
      <c r="Q1988" s="15"/>
      <c r="R1988" s="16"/>
      <c r="S1988" s="16"/>
      <c r="T1988" s="16"/>
      <c r="U1988" s="16"/>
      <c r="V1988" s="37" t="str">
        <f>IFERROR(__xludf.DUMMYFUNCTION("if(not(iserror(index(split(C1988, "" ""),2))), index(split(C1988, "" ""),1),"""")"),"")</f>
        <v/>
      </c>
      <c r="W1988" s="315" t="str">
        <f>IFERROR(__xludf.DUMMYFUNCTION("if(V1988="""",C1988,if(not(iserror(index(split(C1988, "" ""),3))), index(split(C1988, "" ""),3),index(split(C1988, "" ""),2)))"),"")</f>
        <v/>
      </c>
      <c r="X1988" s="38" t="b">
        <f t="shared" si="2"/>
        <v>0</v>
      </c>
      <c r="Y1988" s="38"/>
      <c r="Z1988" s="40"/>
      <c r="AA1988" s="40"/>
      <c r="AB1988" s="38"/>
      <c r="AC1988" s="38"/>
      <c r="AD1988" s="38"/>
      <c r="AE1988" s="38"/>
      <c r="AF1988" s="38"/>
      <c r="AG1988" s="38"/>
      <c r="AH1988" s="38"/>
      <c r="AI1988" s="38"/>
      <c r="AJ1988" s="38"/>
      <c r="AK1988" s="38"/>
      <c r="AL1988" s="38"/>
      <c r="AM1988" s="38"/>
      <c r="AN1988" s="38"/>
      <c r="AO1988" s="38"/>
      <c r="AP1988" s="38"/>
      <c r="AQ1988" s="38"/>
      <c r="AR1988" s="38"/>
      <c r="AS1988" s="38"/>
      <c r="AT1988" s="38"/>
      <c r="AU1988" s="38"/>
      <c r="AV1988" s="38"/>
      <c r="AW1988" s="38"/>
      <c r="AX1988" s="38"/>
      <c r="AY1988" s="38"/>
      <c r="AZ1988" s="38"/>
      <c r="BA1988" s="38"/>
      <c r="BB1988" s="38"/>
      <c r="BC1988" s="38"/>
      <c r="BD1988" s="38"/>
      <c r="BE1988" s="38"/>
      <c r="BF1988" s="38"/>
      <c r="BG1988" s="38"/>
    </row>
    <row r="1989">
      <c r="A1989" s="16"/>
      <c r="B1989" s="16"/>
      <c r="C1989" s="146"/>
      <c r="D1989" s="146"/>
      <c r="E1989" s="16"/>
      <c r="F1989" s="91"/>
      <c r="G1989" s="16"/>
      <c r="H1989" s="320" t="str">
        <f t="shared" si="1"/>
        <v/>
      </c>
      <c r="I1989" s="16"/>
      <c r="J1989" s="16"/>
      <c r="K1989" s="16"/>
      <c r="L1989" s="38"/>
      <c r="M1989" s="16"/>
      <c r="N1989" s="16"/>
      <c r="O1989" s="16"/>
      <c r="P1989" s="15"/>
      <c r="Q1989" s="15"/>
      <c r="R1989" s="16"/>
      <c r="S1989" s="16"/>
      <c r="T1989" s="16"/>
      <c r="U1989" s="16"/>
      <c r="V1989" s="37" t="str">
        <f>IFERROR(__xludf.DUMMYFUNCTION("if(not(iserror(index(split(C1989, "" ""),2))), index(split(C1989, "" ""),1),"""")"),"")</f>
        <v/>
      </c>
      <c r="W1989" s="315" t="str">
        <f>IFERROR(__xludf.DUMMYFUNCTION("if(V1989="""",C1989,if(not(iserror(index(split(C1989, "" ""),3))), index(split(C1989, "" ""),3),index(split(C1989, "" ""),2)))"),"")</f>
        <v/>
      </c>
      <c r="X1989" s="38" t="b">
        <f t="shared" si="2"/>
        <v>0</v>
      </c>
      <c r="Y1989" s="38"/>
      <c r="Z1989" s="40"/>
      <c r="AA1989" s="40"/>
      <c r="AB1989" s="38"/>
      <c r="AC1989" s="38"/>
      <c r="AD1989" s="38"/>
      <c r="AE1989" s="38"/>
      <c r="AF1989" s="38"/>
      <c r="AG1989" s="38"/>
      <c r="AH1989" s="38"/>
      <c r="AI1989" s="38"/>
      <c r="AJ1989" s="38"/>
      <c r="AK1989" s="38"/>
      <c r="AL1989" s="38"/>
      <c r="AM1989" s="38"/>
      <c r="AN1989" s="38"/>
      <c r="AO1989" s="38"/>
      <c r="AP1989" s="38"/>
      <c r="AQ1989" s="38"/>
      <c r="AR1989" s="38"/>
      <c r="AS1989" s="38"/>
      <c r="AT1989" s="38"/>
      <c r="AU1989" s="38"/>
      <c r="AV1989" s="38"/>
      <c r="AW1989" s="38"/>
      <c r="AX1989" s="38"/>
      <c r="AY1989" s="38"/>
      <c r="AZ1989" s="38"/>
      <c r="BA1989" s="38"/>
      <c r="BB1989" s="38"/>
      <c r="BC1989" s="38"/>
      <c r="BD1989" s="38"/>
      <c r="BE1989" s="38"/>
      <c r="BF1989" s="38"/>
      <c r="BG1989" s="38"/>
    </row>
    <row r="1990">
      <c r="A1990" s="16"/>
      <c r="B1990" s="16"/>
      <c r="C1990" s="146"/>
      <c r="D1990" s="146"/>
      <c r="E1990" s="16"/>
      <c r="F1990" s="91"/>
      <c r="G1990" s="16"/>
      <c r="H1990" s="320" t="str">
        <f t="shared" si="1"/>
        <v/>
      </c>
      <c r="I1990" s="16"/>
      <c r="J1990" s="16"/>
      <c r="K1990" s="16"/>
      <c r="L1990" s="38"/>
      <c r="M1990" s="16"/>
      <c r="N1990" s="16"/>
      <c r="O1990" s="16"/>
      <c r="P1990" s="15"/>
      <c r="Q1990" s="15"/>
      <c r="R1990" s="16"/>
      <c r="S1990" s="16"/>
      <c r="T1990" s="16"/>
      <c r="U1990" s="16"/>
      <c r="V1990" s="37" t="str">
        <f>IFERROR(__xludf.DUMMYFUNCTION("if(not(iserror(index(split(C1990, "" ""),2))), index(split(C1990, "" ""),1),"""")"),"")</f>
        <v/>
      </c>
      <c r="W1990" s="315" t="str">
        <f>IFERROR(__xludf.DUMMYFUNCTION("if(V1990="""",C1990,if(not(iserror(index(split(C1990, "" ""),3))), index(split(C1990, "" ""),3),index(split(C1990, "" ""),2)))"),"")</f>
        <v/>
      </c>
      <c r="X1990" s="38" t="b">
        <f t="shared" si="2"/>
        <v>0</v>
      </c>
      <c r="Y1990" s="38"/>
      <c r="Z1990" s="40"/>
      <c r="AA1990" s="40"/>
      <c r="AB1990" s="38"/>
      <c r="AC1990" s="38"/>
      <c r="AD1990" s="38"/>
      <c r="AE1990" s="38"/>
      <c r="AF1990" s="38"/>
      <c r="AG1990" s="38"/>
      <c r="AH1990" s="38"/>
      <c r="AI1990" s="38"/>
      <c r="AJ1990" s="38"/>
      <c r="AK1990" s="38"/>
      <c r="AL1990" s="38"/>
      <c r="AM1990" s="38"/>
      <c r="AN1990" s="38"/>
      <c r="AO1990" s="38"/>
      <c r="AP1990" s="38"/>
      <c r="AQ1990" s="38"/>
      <c r="AR1990" s="38"/>
      <c r="AS1990" s="38"/>
      <c r="AT1990" s="38"/>
      <c r="AU1990" s="38"/>
      <c r="AV1990" s="38"/>
      <c r="AW1990" s="38"/>
      <c r="AX1990" s="38"/>
      <c r="AY1990" s="38"/>
      <c r="AZ1990" s="38"/>
      <c r="BA1990" s="38"/>
      <c r="BB1990" s="38"/>
      <c r="BC1990" s="38"/>
      <c r="BD1990" s="38"/>
      <c r="BE1990" s="38"/>
      <c r="BF1990" s="38"/>
      <c r="BG1990" s="38"/>
    </row>
    <row r="1991">
      <c r="A1991" s="16"/>
      <c r="B1991" s="16"/>
      <c r="C1991" s="146"/>
      <c r="D1991" s="146"/>
      <c r="E1991" s="16"/>
      <c r="F1991" s="91"/>
      <c r="G1991" s="16"/>
      <c r="H1991" s="320" t="str">
        <f t="shared" si="1"/>
        <v/>
      </c>
      <c r="I1991" s="16"/>
      <c r="J1991" s="16"/>
      <c r="K1991" s="16"/>
      <c r="L1991" s="38"/>
      <c r="M1991" s="16"/>
      <c r="N1991" s="16"/>
      <c r="O1991" s="16"/>
      <c r="P1991" s="15"/>
      <c r="Q1991" s="15"/>
      <c r="R1991" s="16"/>
      <c r="S1991" s="16"/>
      <c r="T1991" s="16"/>
      <c r="U1991" s="16"/>
      <c r="V1991" s="37" t="str">
        <f>IFERROR(__xludf.DUMMYFUNCTION("if(not(iserror(index(split(C1991, "" ""),2))), index(split(C1991, "" ""),1),"""")"),"")</f>
        <v/>
      </c>
      <c r="W1991" s="315" t="str">
        <f>IFERROR(__xludf.DUMMYFUNCTION("if(V1991="""",C1991,if(not(iserror(index(split(C1991, "" ""),3))), index(split(C1991, "" ""),3),index(split(C1991, "" ""),2)))"),"")</f>
        <v/>
      </c>
      <c r="X1991" s="38" t="b">
        <f t="shared" si="2"/>
        <v>0</v>
      </c>
      <c r="Y1991" s="38"/>
      <c r="Z1991" s="40"/>
      <c r="AA1991" s="40"/>
      <c r="AB1991" s="38"/>
      <c r="AC1991" s="38"/>
      <c r="AD1991" s="38"/>
      <c r="AE1991" s="38"/>
      <c r="AF1991" s="38"/>
      <c r="AG1991" s="38"/>
      <c r="AH1991" s="38"/>
      <c r="AI1991" s="38"/>
      <c r="AJ1991" s="38"/>
      <c r="AK1991" s="38"/>
      <c r="AL1991" s="38"/>
      <c r="AM1991" s="38"/>
      <c r="AN1991" s="38"/>
      <c r="AO1991" s="38"/>
      <c r="AP1991" s="38"/>
      <c r="AQ1991" s="38"/>
      <c r="AR1991" s="38"/>
      <c r="AS1991" s="38"/>
      <c r="AT1991" s="38"/>
      <c r="AU1991" s="38"/>
      <c r="AV1991" s="38"/>
      <c r="AW1991" s="38"/>
      <c r="AX1991" s="38"/>
      <c r="AY1991" s="38"/>
      <c r="AZ1991" s="38"/>
      <c r="BA1991" s="38"/>
      <c r="BB1991" s="38"/>
      <c r="BC1991" s="38"/>
      <c r="BD1991" s="38"/>
      <c r="BE1991" s="38"/>
      <c r="BF1991" s="38"/>
      <c r="BG1991" s="38"/>
    </row>
    <row r="1992">
      <c r="A1992" s="16"/>
      <c r="B1992" s="16"/>
      <c r="C1992" s="146"/>
      <c r="D1992" s="146"/>
      <c r="E1992" s="16"/>
      <c r="F1992" s="91"/>
      <c r="G1992" s="16"/>
      <c r="H1992" s="320" t="str">
        <f t="shared" si="1"/>
        <v/>
      </c>
      <c r="I1992" s="16"/>
      <c r="J1992" s="16"/>
      <c r="K1992" s="16"/>
      <c r="L1992" s="38"/>
      <c r="M1992" s="16"/>
      <c r="N1992" s="16"/>
      <c r="O1992" s="16"/>
      <c r="P1992" s="15"/>
      <c r="Q1992" s="15"/>
      <c r="R1992" s="16"/>
      <c r="S1992" s="16"/>
      <c r="T1992" s="16"/>
      <c r="U1992" s="16"/>
      <c r="V1992" s="37" t="str">
        <f>IFERROR(__xludf.DUMMYFUNCTION("if(not(iserror(index(split(C1992, "" ""),2))), index(split(C1992, "" ""),1),"""")"),"")</f>
        <v/>
      </c>
      <c r="W1992" s="315" t="str">
        <f>IFERROR(__xludf.DUMMYFUNCTION("if(V1992="""",C1992,if(not(iserror(index(split(C1992, "" ""),3))), index(split(C1992, "" ""),3),index(split(C1992, "" ""),2)))"),"")</f>
        <v/>
      </c>
      <c r="X1992" s="38" t="b">
        <f t="shared" si="2"/>
        <v>0</v>
      </c>
      <c r="Y1992" s="38"/>
      <c r="Z1992" s="40"/>
      <c r="AA1992" s="40"/>
      <c r="AB1992" s="38"/>
      <c r="AC1992" s="38"/>
      <c r="AD1992" s="38"/>
      <c r="AE1992" s="38"/>
      <c r="AF1992" s="38"/>
      <c r="AG1992" s="38"/>
      <c r="AH1992" s="38"/>
      <c r="AI1992" s="38"/>
      <c r="AJ1992" s="38"/>
      <c r="AK1992" s="38"/>
      <c r="AL1992" s="38"/>
      <c r="AM1992" s="38"/>
      <c r="AN1992" s="38"/>
      <c r="AO1992" s="38"/>
      <c r="AP1992" s="38"/>
      <c r="AQ1992" s="38"/>
      <c r="AR1992" s="38"/>
      <c r="AS1992" s="38"/>
      <c r="AT1992" s="38"/>
      <c r="AU1992" s="38"/>
      <c r="AV1992" s="38"/>
      <c r="AW1992" s="38"/>
      <c r="AX1992" s="38"/>
      <c r="AY1992" s="38"/>
      <c r="AZ1992" s="38"/>
      <c r="BA1992" s="38"/>
      <c r="BB1992" s="38"/>
      <c r="BC1992" s="38"/>
      <c r="BD1992" s="38"/>
      <c r="BE1992" s="38"/>
      <c r="BF1992" s="38"/>
      <c r="BG1992" s="38"/>
    </row>
    <row r="1993">
      <c r="A1993" s="16"/>
      <c r="B1993" s="16"/>
      <c r="C1993" s="146"/>
      <c r="D1993" s="146"/>
      <c r="E1993" s="16"/>
      <c r="F1993" s="91"/>
      <c r="G1993" s="16"/>
      <c r="H1993" s="320" t="str">
        <f t="shared" si="1"/>
        <v/>
      </c>
      <c r="I1993" s="16"/>
      <c r="J1993" s="16"/>
      <c r="K1993" s="16"/>
      <c r="L1993" s="38"/>
      <c r="M1993" s="16"/>
      <c r="N1993" s="16"/>
      <c r="O1993" s="16"/>
      <c r="P1993" s="15"/>
      <c r="Q1993" s="15"/>
      <c r="R1993" s="16"/>
      <c r="S1993" s="16"/>
      <c r="T1993" s="16"/>
      <c r="U1993" s="16"/>
      <c r="V1993" s="37" t="str">
        <f>IFERROR(__xludf.DUMMYFUNCTION("if(not(iserror(index(split(C1993, "" ""),2))), index(split(C1993, "" ""),1),"""")"),"")</f>
        <v/>
      </c>
      <c r="W1993" s="315" t="str">
        <f>IFERROR(__xludf.DUMMYFUNCTION("if(V1993="""",C1993,if(not(iserror(index(split(C1993, "" ""),3))), index(split(C1993, "" ""),3),index(split(C1993, "" ""),2)))"),"")</f>
        <v/>
      </c>
      <c r="X1993" s="38" t="b">
        <f t="shared" si="2"/>
        <v>0</v>
      </c>
      <c r="Y1993" s="38"/>
      <c r="Z1993" s="40"/>
      <c r="AA1993" s="40"/>
      <c r="AB1993" s="38"/>
      <c r="AC1993" s="38"/>
      <c r="AD1993" s="38"/>
      <c r="AE1993" s="38"/>
      <c r="AF1993" s="38"/>
      <c r="AG1993" s="38"/>
      <c r="AH1993" s="38"/>
      <c r="AI1993" s="38"/>
      <c r="AJ1993" s="38"/>
      <c r="AK1993" s="38"/>
      <c r="AL1993" s="38"/>
      <c r="AM1993" s="38"/>
      <c r="AN1993" s="38"/>
      <c r="AO1993" s="38"/>
      <c r="AP1993" s="38"/>
      <c r="AQ1993" s="38"/>
      <c r="AR1993" s="38"/>
      <c r="AS1993" s="38"/>
      <c r="AT1993" s="38"/>
      <c r="AU1993" s="38"/>
      <c r="AV1993" s="38"/>
      <c r="AW1993" s="38"/>
      <c r="AX1993" s="38"/>
      <c r="AY1993" s="38"/>
      <c r="AZ1993" s="38"/>
      <c r="BA1993" s="38"/>
      <c r="BB1993" s="38"/>
      <c r="BC1993" s="38"/>
      <c r="BD1993" s="38"/>
      <c r="BE1993" s="38"/>
      <c r="BF1993" s="38"/>
      <c r="BG1993" s="38"/>
    </row>
    <row r="1994">
      <c r="A1994" s="16"/>
      <c r="B1994" s="16"/>
      <c r="C1994" s="146"/>
      <c r="D1994" s="146"/>
      <c r="E1994" s="16"/>
      <c r="F1994" s="91"/>
      <c r="G1994" s="16"/>
      <c r="H1994" s="320" t="str">
        <f t="shared" si="1"/>
        <v/>
      </c>
      <c r="I1994" s="16"/>
      <c r="J1994" s="16"/>
      <c r="K1994" s="16"/>
      <c r="L1994" s="38"/>
      <c r="M1994" s="16"/>
      <c r="N1994" s="16"/>
      <c r="O1994" s="16"/>
      <c r="P1994" s="15"/>
      <c r="Q1994" s="15"/>
      <c r="R1994" s="16"/>
      <c r="S1994" s="16"/>
      <c r="T1994" s="16"/>
      <c r="U1994" s="16"/>
      <c r="V1994" s="37" t="str">
        <f>IFERROR(__xludf.DUMMYFUNCTION("if(not(iserror(index(split(C1994, "" ""),2))), index(split(C1994, "" ""),1),"""")"),"")</f>
        <v/>
      </c>
      <c r="W1994" s="315" t="str">
        <f>IFERROR(__xludf.DUMMYFUNCTION("if(V1994="""",C1994,if(not(iserror(index(split(C1994, "" ""),3))), index(split(C1994, "" ""),3),index(split(C1994, "" ""),2)))"),"")</f>
        <v/>
      </c>
      <c r="X1994" s="38" t="b">
        <f t="shared" si="2"/>
        <v>0</v>
      </c>
      <c r="Y1994" s="38"/>
      <c r="Z1994" s="40"/>
      <c r="AA1994" s="40"/>
      <c r="AB1994" s="38"/>
      <c r="AC1994" s="38"/>
      <c r="AD1994" s="38"/>
      <c r="AE1994" s="38"/>
      <c r="AF1994" s="38"/>
      <c r="AG1994" s="38"/>
      <c r="AH1994" s="38"/>
      <c r="AI1994" s="38"/>
      <c r="AJ1994" s="38"/>
      <c r="AK1994" s="38"/>
      <c r="AL1994" s="38"/>
      <c r="AM1994" s="38"/>
      <c r="AN1994" s="38"/>
      <c r="AO1994" s="38"/>
      <c r="AP1994" s="38"/>
      <c r="AQ1994" s="38"/>
      <c r="AR1994" s="38"/>
      <c r="AS1994" s="38"/>
      <c r="AT1994" s="38"/>
      <c r="AU1994" s="38"/>
      <c r="AV1994" s="38"/>
      <c r="AW1994" s="38"/>
      <c r="AX1994" s="38"/>
      <c r="AY1994" s="38"/>
      <c r="AZ1994" s="38"/>
      <c r="BA1994" s="38"/>
      <c r="BB1994" s="38"/>
      <c r="BC1994" s="38"/>
      <c r="BD1994" s="38"/>
      <c r="BE1994" s="38"/>
      <c r="BF1994" s="38"/>
      <c r="BG1994" s="38"/>
    </row>
    <row r="1995">
      <c r="A1995" s="16"/>
      <c r="B1995" s="16"/>
      <c r="C1995" s="146"/>
      <c r="D1995" s="146"/>
      <c r="E1995" s="16"/>
      <c r="F1995" s="91"/>
      <c r="G1995" s="16"/>
      <c r="H1995" s="320" t="str">
        <f t="shared" si="1"/>
        <v/>
      </c>
      <c r="I1995" s="16"/>
      <c r="J1995" s="16"/>
      <c r="K1995" s="16"/>
      <c r="L1995" s="38"/>
      <c r="M1995" s="16"/>
      <c r="N1995" s="16"/>
      <c r="O1995" s="16"/>
      <c r="P1995" s="15"/>
      <c r="Q1995" s="15"/>
      <c r="R1995" s="16"/>
      <c r="S1995" s="16"/>
      <c r="T1995" s="16"/>
      <c r="U1995" s="16"/>
      <c r="V1995" s="37" t="str">
        <f>IFERROR(__xludf.DUMMYFUNCTION("if(not(iserror(index(split(C1995, "" ""),2))), index(split(C1995, "" ""),1),"""")"),"")</f>
        <v/>
      </c>
      <c r="W1995" s="315" t="str">
        <f>IFERROR(__xludf.DUMMYFUNCTION("if(V1995="""",C1995,if(not(iserror(index(split(C1995, "" ""),3))), index(split(C1995, "" ""),3),index(split(C1995, "" ""),2)))"),"")</f>
        <v/>
      </c>
      <c r="X1995" s="38" t="b">
        <f t="shared" si="2"/>
        <v>0</v>
      </c>
      <c r="Y1995" s="38"/>
      <c r="Z1995" s="40"/>
      <c r="AA1995" s="40"/>
      <c r="AB1995" s="38"/>
      <c r="AC1995" s="38"/>
      <c r="AD1995" s="38"/>
      <c r="AE1995" s="38"/>
      <c r="AF1995" s="38"/>
      <c r="AG1995" s="38"/>
      <c r="AH1995" s="38"/>
      <c r="AI1995" s="38"/>
      <c r="AJ1995" s="38"/>
      <c r="AK1995" s="38"/>
      <c r="AL1995" s="38"/>
      <c r="AM1995" s="38"/>
      <c r="AN1995" s="38"/>
      <c r="AO1995" s="38"/>
      <c r="AP1995" s="38"/>
      <c r="AQ1995" s="38"/>
      <c r="AR1995" s="38"/>
      <c r="AS1995" s="38"/>
      <c r="AT1995" s="38"/>
      <c r="AU1995" s="38"/>
      <c r="AV1995" s="38"/>
      <c r="AW1995" s="38"/>
      <c r="AX1995" s="38"/>
      <c r="AY1995" s="38"/>
      <c r="AZ1995" s="38"/>
      <c r="BA1995" s="38"/>
      <c r="BB1995" s="38"/>
      <c r="BC1995" s="38"/>
      <c r="BD1995" s="38"/>
      <c r="BE1995" s="38"/>
      <c r="BF1995" s="38"/>
      <c r="BG1995" s="38"/>
    </row>
    <row r="1996">
      <c r="A1996" s="16"/>
      <c r="B1996" s="16"/>
      <c r="C1996" s="146"/>
      <c r="D1996" s="146"/>
      <c r="E1996" s="16"/>
      <c r="F1996" s="91"/>
      <c r="G1996" s="16"/>
      <c r="H1996" s="320" t="str">
        <f t="shared" si="1"/>
        <v/>
      </c>
      <c r="I1996" s="16"/>
      <c r="J1996" s="16"/>
      <c r="K1996" s="16"/>
      <c r="L1996" s="38"/>
      <c r="M1996" s="16"/>
      <c r="N1996" s="16"/>
      <c r="O1996" s="16"/>
      <c r="P1996" s="15"/>
      <c r="Q1996" s="15"/>
      <c r="R1996" s="16"/>
      <c r="S1996" s="16"/>
      <c r="T1996" s="16"/>
      <c r="U1996" s="16"/>
      <c r="V1996" s="37" t="str">
        <f>IFERROR(__xludf.DUMMYFUNCTION("if(not(iserror(index(split(C1996, "" ""),2))), index(split(C1996, "" ""),1),"""")"),"")</f>
        <v/>
      </c>
      <c r="W1996" s="315" t="str">
        <f>IFERROR(__xludf.DUMMYFUNCTION("if(V1996="""",C1996,if(not(iserror(index(split(C1996, "" ""),3))), index(split(C1996, "" ""),3),index(split(C1996, "" ""),2)))"),"")</f>
        <v/>
      </c>
      <c r="X1996" s="38" t="b">
        <f t="shared" si="2"/>
        <v>0</v>
      </c>
      <c r="Y1996" s="38"/>
      <c r="Z1996" s="40"/>
      <c r="AA1996" s="40"/>
      <c r="AB1996" s="38"/>
      <c r="AC1996" s="38"/>
      <c r="AD1996" s="38"/>
      <c r="AE1996" s="38"/>
      <c r="AF1996" s="38"/>
      <c r="AG1996" s="38"/>
      <c r="AH1996" s="38"/>
      <c r="AI1996" s="38"/>
      <c r="AJ1996" s="38"/>
      <c r="AK1996" s="38"/>
      <c r="AL1996" s="38"/>
      <c r="AM1996" s="38"/>
      <c r="AN1996" s="38"/>
      <c r="AO1996" s="38"/>
      <c r="AP1996" s="38"/>
      <c r="AQ1996" s="38"/>
      <c r="AR1996" s="38"/>
      <c r="AS1996" s="38"/>
      <c r="AT1996" s="38"/>
      <c r="AU1996" s="38"/>
      <c r="AV1996" s="38"/>
      <c r="AW1996" s="38"/>
      <c r="AX1996" s="38"/>
      <c r="AY1996" s="38"/>
      <c r="AZ1996" s="38"/>
      <c r="BA1996" s="38"/>
      <c r="BB1996" s="38"/>
      <c r="BC1996" s="38"/>
      <c r="BD1996" s="38"/>
      <c r="BE1996" s="38"/>
      <c r="BF1996" s="38"/>
      <c r="BG1996" s="38"/>
    </row>
    <row r="1997">
      <c r="A1997" s="16"/>
      <c r="B1997" s="16"/>
      <c r="C1997" s="146"/>
      <c r="D1997" s="146"/>
      <c r="E1997" s="16"/>
      <c r="F1997" s="91"/>
      <c r="G1997" s="16"/>
      <c r="H1997" s="320" t="str">
        <f t="shared" si="1"/>
        <v/>
      </c>
      <c r="I1997" s="16"/>
      <c r="J1997" s="16"/>
      <c r="K1997" s="16"/>
      <c r="L1997" s="38"/>
      <c r="M1997" s="16"/>
      <c r="N1997" s="16"/>
      <c r="O1997" s="16"/>
      <c r="P1997" s="15"/>
      <c r="Q1997" s="15"/>
      <c r="R1997" s="16"/>
      <c r="S1997" s="16"/>
      <c r="T1997" s="16"/>
      <c r="U1997" s="16"/>
      <c r="V1997" s="37" t="str">
        <f>IFERROR(__xludf.DUMMYFUNCTION("if(not(iserror(index(split(C1997, "" ""),2))), index(split(C1997, "" ""),1),"""")"),"")</f>
        <v/>
      </c>
      <c r="W1997" s="315" t="str">
        <f>IFERROR(__xludf.DUMMYFUNCTION("if(V1997="""",C1997,if(not(iserror(index(split(C1997, "" ""),3))), index(split(C1997, "" ""),3),index(split(C1997, "" ""),2)))"),"")</f>
        <v/>
      </c>
      <c r="X1997" s="38" t="b">
        <f t="shared" si="2"/>
        <v>0</v>
      </c>
      <c r="Y1997" s="38"/>
      <c r="Z1997" s="40"/>
      <c r="AA1997" s="40"/>
      <c r="AB1997" s="38"/>
      <c r="AC1997" s="38"/>
      <c r="AD1997" s="38"/>
      <c r="AE1997" s="38"/>
      <c r="AF1997" s="38"/>
      <c r="AG1997" s="38"/>
      <c r="AH1997" s="38"/>
      <c r="AI1997" s="38"/>
      <c r="AJ1997" s="38"/>
      <c r="AK1997" s="38"/>
      <c r="AL1997" s="38"/>
      <c r="AM1997" s="38"/>
      <c r="AN1997" s="38"/>
      <c r="AO1997" s="38"/>
      <c r="AP1997" s="38"/>
      <c r="AQ1997" s="38"/>
      <c r="AR1997" s="38"/>
      <c r="AS1997" s="38"/>
      <c r="AT1997" s="38"/>
      <c r="AU1997" s="38"/>
      <c r="AV1997" s="38"/>
      <c r="AW1997" s="38"/>
      <c r="AX1997" s="38"/>
      <c r="AY1997" s="38"/>
      <c r="AZ1997" s="38"/>
      <c r="BA1997" s="38"/>
      <c r="BB1997" s="38"/>
      <c r="BC1997" s="38"/>
      <c r="BD1997" s="38"/>
      <c r="BE1997" s="38"/>
      <c r="BF1997" s="38"/>
      <c r="BG1997" s="38"/>
    </row>
    <row r="1998">
      <c r="A1998" s="16"/>
      <c r="B1998" s="16"/>
      <c r="C1998" s="146"/>
      <c r="D1998" s="146"/>
      <c r="E1998" s="16"/>
      <c r="F1998" s="91"/>
      <c r="G1998" s="16"/>
      <c r="H1998" s="320" t="str">
        <f t="shared" si="1"/>
        <v/>
      </c>
      <c r="I1998" s="16"/>
      <c r="J1998" s="16"/>
      <c r="K1998" s="16"/>
      <c r="L1998" s="38"/>
      <c r="M1998" s="16"/>
      <c r="N1998" s="16"/>
      <c r="O1998" s="16"/>
      <c r="P1998" s="15"/>
      <c r="Q1998" s="15"/>
      <c r="R1998" s="16"/>
      <c r="S1998" s="16"/>
      <c r="T1998" s="16"/>
      <c r="U1998" s="16"/>
      <c r="V1998" s="37" t="str">
        <f>IFERROR(__xludf.DUMMYFUNCTION("if(not(iserror(index(split(C1998, "" ""),2))), index(split(C1998, "" ""),1),"""")"),"")</f>
        <v/>
      </c>
      <c r="W1998" s="315" t="str">
        <f>IFERROR(__xludf.DUMMYFUNCTION("if(V1998="""",C1998,if(not(iserror(index(split(C1998, "" ""),3))), index(split(C1998, "" ""),3),index(split(C1998, "" ""),2)))"),"")</f>
        <v/>
      </c>
      <c r="X1998" s="38" t="b">
        <f t="shared" si="2"/>
        <v>0</v>
      </c>
      <c r="Y1998" s="38"/>
      <c r="Z1998" s="40"/>
      <c r="AA1998" s="40"/>
      <c r="AB1998" s="38"/>
      <c r="AC1998" s="38"/>
      <c r="AD1998" s="38"/>
      <c r="AE1998" s="38"/>
      <c r="AF1998" s="38"/>
      <c r="AG1998" s="38"/>
      <c r="AH1998" s="38"/>
      <c r="AI1998" s="38"/>
      <c r="AJ1998" s="38"/>
      <c r="AK1998" s="38"/>
      <c r="AL1998" s="38"/>
      <c r="AM1998" s="38"/>
      <c r="AN1998" s="38"/>
      <c r="AO1998" s="38"/>
      <c r="AP1998" s="38"/>
      <c r="AQ1998" s="38"/>
      <c r="AR1998" s="38"/>
      <c r="AS1998" s="38"/>
      <c r="AT1998" s="38"/>
      <c r="AU1998" s="38"/>
      <c r="AV1998" s="38"/>
      <c r="AW1998" s="38"/>
      <c r="AX1998" s="38"/>
      <c r="AY1998" s="38"/>
      <c r="AZ1998" s="38"/>
      <c r="BA1998" s="38"/>
      <c r="BB1998" s="38"/>
      <c r="BC1998" s="38"/>
      <c r="BD1998" s="38"/>
      <c r="BE1998" s="38"/>
      <c r="BF1998" s="38"/>
      <c r="BG1998" s="38"/>
    </row>
    <row r="1999">
      <c r="A1999" s="16"/>
      <c r="B1999" s="16"/>
      <c r="C1999" s="146"/>
      <c r="D1999" s="146"/>
      <c r="E1999" s="16"/>
      <c r="F1999" s="91"/>
      <c r="G1999" s="16"/>
      <c r="H1999" s="320" t="str">
        <f t="shared" si="1"/>
        <v/>
      </c>
      <c r="I1999" s="16"/>
      <c r="J1999" s="16"/>
      <c r="K1999" s="16"/>
      <c r="L1999" s="38"/>
      <c r="M1999" s="16"/>
      <c r="N1999" s="16"/>
      <c r="O1999" s="16"/>
      <c r="P1999" s="15"/>
      <c r="Q1999" s="15"/>
      <c r="R1999" s="16"/>
      <c r="S1999" s="16"/>
      <c r="T1999" s="16"/>
      <c r="U1999" s="16"/>
      <c r="V1999" s="37" t="str">
        <f>IFERROR(__xludf.DUMMYFUNCTION("if(not(iserror(index(split(C1999, "" ""),2))), index(split(C1999, "" ""),1),"""")"),"")</f>
        <v/>
      </c>
      <c r="W1999" s="315" t="str">
        <f>IFERROR(__xludf.DUMMYFUNCTION("if(V1999="""",C1999,if(not(iserror(index(split(C1999, "" ""),3))), index(split(C1999, "" ""),3),index(split(C1999, "" ""),2)))"),"")</f>
        <v/>
      </c>
      <c r="X1999" s="38" t="b">
        <f t="shared" si="2"/>
        <v>0</v>
      </c>
      <c r="Y1999" s="38"/>
      <c r="Z1999" s="40"/>
      <c r="AA1999" s="40"/>
      <c r="AB1999" s="38"/>
      <c r="AC1999" s="38"/>
      <c r="AD1999" s="38"/>
      <c r="AE1999" s="38"/>
      <c r="AF1999" s="38"/>
      <c r="AG1999" s="38"/>
      <c r="AH1999" s="38"/>
      <c r="AI1999" s="38"/>
      <c r="AJ1999" s="38"/>
      <c r="AK1999" s="38"/>
      <c r="AL1999" s="38"/>
      <c r="AM1999" s="38"/>
      <c r="AN1999" s="38"/>
      <c r="AO1999" s="38"/>
      <c r="AP1999" s="38"/>
      <c r="AQ1999" s="38"/>
      <c r="AR1999" s="38"/>
      <c r="AS1999" s="38"/>
      <c r="AT1999" s="38"/>
      <c r="AU1999" s="38"/>
      <c r="AV1999" s="38"/>
      <c r="AW1999" s="38"/>
      <c r="AX1999" s="38"/>
      <c r="AY1999" s="38"/>
      <c r="AZ1999" s="38"/>
      <c r="BA1999" s="38"/>
      <c r="BB1999" s="38"/>
      <c r="BC1999" s="38"/>
      <c r="BD1999" s="38"/>
      <c r="BE1999" s="38"/>
      <c r="BF1999" s="38"/>
      <c r="BG1999" s="38"/>
    </row>
    <row r="2000">
      <c r="A2000" s="16"/>
      <c r="B2000" s="16"/>
      <c r="C2000" s="146"/>
      <c r="D2000" s="146"/>
      <c r="E2000" s="16"/>
      <c r="F2000" s="91"/>
      <c r="G2000" s="16"/>
      <c r="H2000" s="320" t="str">
        <f t="shared" si="1"/>
        <v/>
      </c>
      <c r="I2000" s="16"/>
      <c r="J2000" s="16"/>
      <c r="K2000" s="16"/>
      <c r="L2000" s="38"/>
      <c r="M2000" s="16"/>
      <c r="N2000" s="16"/>
      <c r="O2000" s="16"/>
      <c r="P2000" s="15"/>
      <c r="Q2000" s="15"/>
      <c r="R2000" s="16"/>
      <c r="S2000" s="16"/>
      <c r="T2000" s="16"/>
      <c r="U2000" s="16"/>
      <c r="V2000" s="37" t="str">
        <f>IFERROR(__xludf.DUMMYFUNCTION("if(not(iserror(index(split(C2000, "" ""),2))), index(split(C2000, "" ""),1),"""")"),"")</f>
        <v/>
      </c>
      <c r="W2000" s="315" t="str">
        <f>IFERROR(__xludf.DUMMYFUNCTION("if(V2000="""",C2000,if(not(iserror(index(split(C2000, "" ""),3))), index(split(C2000, "" ""),3),index(split(C2000, "" ""),2)))"),"")</f>
        <v/>
      </c>
      <c r="X2000" s="38" t="b">
        <f t="shared" si="2"/>
        <v>0</v>
      </c>
      <c r="Y2000" s="38"/>
      <c r="Z2000" s="40"/>
      <c r="AA2000" s="40"/>
      <c r="AB2000" s="38"/>
      <c r="AC2000" s="38"/>
      <c r="AD2000" s="38"/>
      <c r="AE2000" s="38"/>
      <c r="AF2000" s="38"/>
      <c r="AG2000" s="38"/>
      <c r="AH2000" s="38"/>
      <c r="AI2000" s="38"/>
      <c r="AJ2000" s="38"/>
      <c r="AK2000" s="38"/>
      <c r="AL2000" s="38"/>
      <c r="AM2000" s="38"/>
      <c r="AN2000" s="38"/>
      <c r="AO2000" s="38"/>
      <c r="AP2000" s="38"/>
      <c r="AQ2000" s="38"/>
      <c r="AR2000" s="38"/>
      <c r="AS2000" s="38"/>
      <c r="AT2000" s="38"/>
      <c r="AU2000" s="38"/>
      <c r="AV2000" s="38"/>
      <c r="AW2000" s="38"/>
      <c r="AX2000" s="38"/>
      <c r="AY2000" s="38"/>
      <c r="AZ2000" s="38"/>
      <c r="BA2000" s="38"/>
      <c r="BB2000" s="38"/>
      <c r="BC2000" s="38"/>
      <c r="BD2000" s="38"/>
      <c r="BE2000" s="38"/>
      <c r="BF2000" s="38"/>
      <c r="BG2000" s="38"/>
    </row>
    <row r="2001">
      <c r="A2001" s="16"/>
      <c r="B2001" s="16"/>
      <c r="C2001" s="146"/>
      <c r="D2001" s="146"/>
      <c r="E2001" s="16"/>
      <c r="F2001" s="91"/>
      <c r="G2001" s="16"/>
      <c r="H2001" s="320" t="str">
        <f t="shared" si="1"/>
        <v/>
      </c>
      <c r="I2001" s="16"/>
      <c r="J2001" s="16"/>
      <c r="K2001" s="16"/>
      <c r="L2001" s="38"/>
      <c r="M2001" s="16"/>
      <c r="N2001" s="16"/>
      <c r="O2001" s="16"/>
      <c r="P2001" s="15"/>
      <c r="Q2001" s="15"/>
      <c r="R2001" s="16"/>
      <c r="S2001" s="16"/>
      <c r="T2001" s="16"/>
      <c r="U2001" s="16"/>
      <c r="V2001" s="37" t="str">
        <f>IFERROR(__xludf.DUMMYFUNCTION("if(not(iserror(index(split(C2001, "" ""),2))), index(split(C2001, "" ""),1),"""")"),"")</f>
        <v/>
      </c>
      <c r="W2001" s="315" t="str">
        <f>IFERROR(__xludf.DUMMYFUNCTION("if(V2001="""",C2001,if(not(iserror(index(split(C2001, "" ""),3))), index(split(C2001, "" ""),3),index(split(C2001, "" ""),2)))"),"")</f>
        <v/>
      </c>
      <c r="X2001" s="38" t="b">
        <f t="shared" si="2"/>
        <v>0</v>
      </c>
      <c r="Y2001" s="38"/>
      <c r="Z2001" s="40"/>
      <c r="AA2001" s="40"/>
      <c r="AB2001" s="38"/>
      <c r="AC2001" s="38"/>
      <c r="AD2001" s="38"/>
      <c r="AE2001" s="38"/>
      <c r="AF2001" s="38"/>
      <c r="AG2001" s="38"/>
      <c r="AH2001" s="38"/>
      <c r="AI2001" s="38"/>
      <c r="AJ2001" s="38"/>
      <c r="AK2001" s="38"/>
      <c r="AL2001" s="38"/>
      <c r="AM2001" s="38"/>
      <c r="AN2001" s="38"/>
      <c r="AO2001" s="38"/>
      <c r="AP2001" s="38"/>
      <c r="AQ2001" s="38"/>
      <c r="AR2001" s="38"/>
      <c r="AS2001" s="38"/>
      <c r="AT2001" s="38"/>
      <c r="AU2001" s="38"/>
      <c r="AV2001" s="38"/>
      <c r="AW2001" s="38"/>
      <c r="AX2001" s="38"/>
      <c r="AY2001" s="38"/>
      <c r="AZ2001" s="38"/>
      <c r="BA2001" s="38"/>
      <c r="BB2001" s="38"/>
      <c r="BC2001" s="38"/>
      <c r="BD2001" s="38"/>
      <c r="BE2001" s="38"/>
      <c r="BF2001" s="38"/>
      <c r="BG2001" s="38"/>
    </row>
    <row r="2002">
      <c r="A2002" s="16"/>
      <c r="B2002" s="16"/>
      <c r="C2002" s="146"/>
      <c r="D2002" s="146"/>
      <c r="E2002" s="16"/>
      <c r="F2002" s="91"/>
      <c r="G2002" s="16"/>
      <c r="H2002" s="320" t="str">
        <f t="shared" si="1"/>
        <v/>
      </c>
      <c r="I2002" s="16"/>
      <c r="J2002" s="16"/>
      <c r="K2002" s="16"/>
      <c r="L2002" s="38"/>
      <c r="M2002" s="16"/>
      <c r="N2002" s="16"/>
      <c r="O2002" s="16"/>
      <c r="P2002" s="15"/>
      <c r="Q2002" s="15"/>
      <c r="R2002" s="16"/>
      <c r="S2002" s="16"/>
      <c r="T2002" s="16"/>
      <c r="U2002" s="16"/>
      <c r="V2002" s="37" t="str">
        <f>IFERROR(__xludf.DUMMYFUNCTION("if(not(iserror(index(split(C2002, "" ""),2))), index(split(C2002, "" ""),1),"""")"),"")</f>
        <v/>
      </c>
      <c r="W2002" s="315" t="str">
        <f>IFERROR(__xludf.DUMMYFUNCTION("if(V2002="""",C2002,if(not(iserror(index(split(C2002, "" ""),3))), index(split(C2002, "" ""),3),index(split(C2002, "" ""),2)))"),"")</f>
        <v/>
      </c>
      <c r="X2002" s="38" t="b">
        <f t="shared" si="2"/>
        <v>0</v>
      </c>
      <c r="Y2002" s="38"/>
      <c r="Z2002" s="40"/>
      <c r="AA2002" s="40"/>
      <c r="AB2002" s="38"/>
      <c r="AC2002" s="38"/>
      <c r="AD2002" s="38"/>
      <c r="AE2002" s="38"/>
      <c r="AF2002" s="38"/>
      <c r="AG2002" s="38"/>
      <c r="AH2002" s="38"/>
      <c r="AI2002" s="38"/>
      <c r="AJ2002" s="38"/>
      <c r="AK2002" s="38"/>
      <c r="AL2002" s="38"/>
      <c r="AM2002" s="38"/>
      <c r="AN2002" s="38"/>
      <c r="AO2002" s="38"/>
      <c r="AP2002" s="38"/>
      <c r="AQ2002" s="38"/>
      <c r="AR2002" s="38"/>
      <c r="AS2002" s="38"/>
      <c r="AT2002" s="38"/>
      <c r="AU2002" s="38"/>
      <c r="AV2002" s="38"/>
      <c r="AW2002" s="38"/>
      <c r="AX2002" s="38"/>
      <c r="AY2002" s="38"/>
      <c r="AZ2002" s="38"/>
      <c r="BA2002" s="38"/>
      <c r="BB2002" s="38"/>
      <c r="BC2002" s="38"/>
      <c r="BD2002" s="38"/>
      <c r="BE2002" s="38"/>
      <c r="BF2002" s="38"/>
      <c r="BG2002" s="38"/>
    </row>
    <row r="2003">
      <c r="A2003" s="16"/>
      <c r="B2003" s="16"/>
      <c r="C2003" s="146"/>
      <c r="D2003" s="146"/>
      <c r="E2003" s="16"/>
      <c r="F2003" s="91"/>
      <c r="G2003" s="16"/>
      <c r="H2003" s="320" t="str">
        <f t="shared" si="1"/>
        <v/>
      </c>
      <c r="I2003" s="16"/>
      <c r="J2003" s="16"/>
      <c r="K2003" s="16"/>
      <c r="L2003" s="38"/>
      <c r="M2003" s="16"/>
      <c r="N2003" s="16"/>
      <c r="O2003" s="16"/>
      <c r="P2003" s="15"/>
      <c r="Q2003" s="15"/>
      <c r="R2003" s="16"/>
      <c r="S2003" s="16"/>
      <c r="T2003" s="16"/>
      <c r="U2003" s="16"/>
      <c r="V2003" s="37" t="str">
        <f>IFERROR(__xludf.DUMMYFUNCTION("if(not(iserror(index(split(C2003, "" ""),2))), index(split(C2003, "" ""),1),"""")"),"")</f>
        <v/>
      </c>
      <c r="W2003" s="315" t="str">
        <f>IFERROR(__xludf.DUMMYFUNCTION("if(V2003="""",C2003,if(not(iserror(index(split(C2003, "" ""),3))), index(split(C2003, "" ""),3),index(split(C2003, "" ""),2)))"),"")</f>
        <v/>
      </c>
      <c r="X2003" s="38" t="b">
        <f t="shared" si="2"/>
        <v>0</v>
      </c>
      <c r="Y2003" s="38"/>
      <c r="Z2003" s="40"/>
      <c r="AA2003" s="40"/>
      <c r="AB2003" s="38"/>
      <c r="AC2003" s="38"/>
      <c r="AD2003" s="38"/>
      <c r="AE2003" s="38"/>
      <c r="AF2003" s="38"/>
      <c r="AG2003" s="38"/>
      <c r="AH2003" s="38"/>
      <c r="AI2003" s="38"/>
      <c r="AJ2003" s="38"/>
      <c r="AK2003" s="38"/>
      <c r="AL2003" s="38"/>
      <c r="AM2003" s="38"/>
      <c r="AN2003" s="38"/>
      <c r="AO2003" s="38"/>
      <c r="AP2003" s="38"/>
      <c r="AQ2003" s="38"/>
      <c r="AR2003" s="38"/>
      <c r="AS2003" s="38"/>
      <c r="AT2003" s="38"/>
      <c r="AU2003" s="38"/>
      <c r="AV2003" s="38"/>
      <c r="AW2003" s="38"/>
      <c r="AX2003" s="38"/>
      <c r="AY2003" s="38"/>
      <c r="AZ2003" s="38"/>
      <c r="BA2003" s="38"/>
      <c r="BB2003" s="38"/>
      <c r="BC2003" s="38"/>
      <c r="BD2003" s="38"/>
      <c r="BE2003" s="38"/>
      <c r="BF2003" s="38"/>
      <c r="BG2003" s="38"/>
    </row>
    <row r="2004">
      <c r="A2004" s="16"/>
      <c r="B2004" s="16"/>
      <c r="C2004" s="146"/>
      <c r="D2004" s="146"/>
      <c r="E2004" s="16"/>
      <c r="F2004" s="91"/>
      <c r="G2004" s="16"/>
      <c r="H2004" s="320" t="str">
        <f t="shared" si="1"/>
        <v/>
      </c>
      <c r="I2004" s="16"/>
      <c r="J2004" s="16"/>
      <c r="K2004" s="16"/>
      <c r="L2004" s="38"/>
      <c r="M2004" s="16"/>
      <c r="N2004" s="16"/>
      <c r="O2004" s="16"/>
      <c r="P2004" s="15"/>
      <c r="Q2004" s="15"/>
      <c r="R2004" s="16"/>
      <c r="S2004" s="16"/>
      <c r="T2004" s="16"/>
      <c r="U2004" s="16"/>
      <c r="V2004" s="37" t="str">
        <f>IFERROR(__xludf.DUMMYFUNCTION("if(not(iserror(index(split(C2004, "" ""),2))), index(split(C2004, "" ""),1),"""")"),"")</f>
        <v/>
      </c>
      <c r="W2004" s="315" t="str">
        <f>IFERROR(__xludf.DUMMYFUNCTION("if(V2004="""",C2004,if(not(iserror(index(split(C2004, "" ""),3))), index(split(C2004, "" ""),3),index(split(C2004, "" ""),2)))"),"")</f>
        <v/>
      </c>
      <c r="X2004" s="38" t="b">
        <f t="shared" si="2"/>
        <v>0</v>
      </c>
      <c r="Y2004" s="38"/>
      <c r="Z2004" s="40"/>
      <c r="AA2004" s="40"/>
      <c r="AB2004" s="38"/>
      <c r="AC2004" s="38"/>
      <c r="AD2004" s="38"/>
      <c r="AE2004" s="38"/>
      <c r="AF2004" s="38"/>
      <c r="AG2004" s="38"/>
      <c r="AH2004" s="38"/>
      <c r="AI2004" s="38"/>
      <c r="AJ2004" s="38"/>
      <c r="AK2004" s="38"/>
      <c r="AL2004" s="38"/>
      <c r="AM2004" s="38"/>
      <c r="AN2004" s="38"/>
      <c r="AO2004" s="38"/>
      <c r="AP2004" s="38"/>
      <c r="AQ2004" s="38"/>
      <c r="AR2004" s="38"/>
      <c r="AS2004" s="38"/>
      <c r="AT2004" s="38"/>
      <c r="AU2004" s="38"/>
      <c r="AV2004" s="38"/>
      <c r="AW2004" s="38"/>
      <c r="AX2004" s="38"/>
      <c r="AY2004" s="38"/>
      <c r="AZ2004" s="38"/>
      <c r="BA2004" s="38"/>
      <c r="BB2004" s="38"/>
      <c r="BC2004" s="38"/>
      <c r="BD2004" s="38"/>
      <c r="BE2004" s="38"/>
      <c r="BF2004" s="38"/>
      <c r="BG2004" s="38"/>
    </row>
    <row r="2005">
      <c r="A2005" s="16"/>
      <c r="B2005" s="16"/>
      <c r="C2005" s="146"/>
      <c r="D2005" s="146"/>
      <c r="E2005" s="16"/>
      <c r="F2005" s="91"/>
      <c r="G2005" s="16"/>
      <c r="H2005" s="320" t="str">
        <f t="shared" si="1"/>
        <v/>
      </c>
      <c r="I2005" s="16"/>
      <c r="J2005" s="16"/>
      <c r="K2005" s="16"/>
      <c r="L2005" s="38"/>
      <c r="M2005" s="16"/>
      <c r="N2005" s="16"/>
      <c r="O2005" s="16"/>
      <c r="P2005" s="15"/>
      <c r="Q2005" s="15"/>
      <c r="R2005" s="16"/>
      <c r="S2005" s="16"/>
      <c r="T2005" s="16"/>
      <c r="U2005" s="16"/>
      <c r="V2005" s="37" t="str">
        <f>IFERROR(__xludf.DUMMYFUNCTION("if(not(iserror(index(split(C2005, "" ""),2))), index(split(C2005, "" ""),1),"""")"),"")</f>
        <v/>
      </c>
      <c r="W2005" s="315" t="str">
        <f>IFERROR(__xludf.DUMMYFUNCTION("if(V2005="""",C2005,if(not(iserror(index(split(C2005, "" ""),3))), index(split(C2005, "" ""),3),index(split(C2005, "" ""),2)))"),"")</f>
        <v/>
      </c>
      <c r="X2005" s="38" t="b">
        <f t="shared" si="2"/>
        <v>0</v>
      </c>
      <c r="Y2005" s="38"/>
      <c r="Z2005" s="40"/>
      <c r="AA2005" s="40"/>
      <c r="AB2005" s="38"/>
      <c r="AC2005" s="38"/>
      <c r="AD2005" s="38"/>
      <c r="AE2005" s="38"/>
      <c r="AF2005" s="38"/>
      <c r="AG2005" s="38"/>
      <c r="AH2005" s="38"/>
      <c r="AI2005" s="38"/>
      <c r="AJ2005" s="38"/>
      <c r="AK2005" s="38"/>
      <c r="AL2005" s="38"/>
      <c r="AM2005" s="38"/>
      <c r="AN2005" s="38"/>
      <c r="AO2005" s="38"/>
      <c r="AP2005" s="38"/>
      <c r="AQ2005" s="38"/>
      <c r="AR2005" s="38"/>
      <c r="AS2005" s="38"/>
      <c r="AT2005" s="38"/>
      <c r="AU2005" s="38"/>
      <c r="AV2005" s="38"/>
      <c r="AW2005" s="38"/>
      <c r="AX2005" s="38"/>
      <c r="AY2005" s="38"/>
      <c r="AZ2005" s="38"/>
      <c r="BA2005" s="38"/>
      <c r="BB2005" s="38"/>
      <c r="BC2005" s="38"/>
      <c r="BD2005" s="38"/>
      <c r="BE2005" s="38"/>
      <c r="BF2005" s="38"/>
      <c r="BG2005" s="38"/>
    </row>
    <row r="2006">
      <c r="A2006" s="16"/>
      <c r="B2006" s="16"/>
      <c r="C2006" s="146"/>
      <c r="D2006" s="146"/>
      <c r="E2006" s="16"/>
      <c r="F2006" s="91"/>
      <c r="G2006" s="16"/>
      <c r="H2006" s="320" t="str">
        <f t="shared" si="1"/>
        <v/>
      </c>
      <c r="I2006" s="16"/>
      <c r="J2006" s="16"/>
      <c r="K2006" s="16"/>
      <c r="L2006" s="38"/>
      <c r="M2006" s="16"/>
      <c r="N2006" s="16"/>
      <c r="O2006" s="16"/>
      <c r="P2006" s="15"/>
      <c r="Q2006" s="15"/>
      <c r="R2006" s="16"/>
      <c r="S2006" s="16"/>
      <c r="T2006" s="16"/>
      <c r="U2006" s="16"/>
      <c r="V2006" s="37" t="str">
        <f>IFERROR(__xludf.DUMMYFUNCTION("if(not(iserror(index(split(C2006, "" ""),2))), index(split(C2006, "" ""),1),"""")"),"")</f>
        <v/>
      </c>
      <c r="W2006" s="315" t="str">
        <f>IFERROR(__xludf.DUMMYFUNCTION("if(V2006="""",C2006,if(not(iserror(index(split(C2006, "" ""),3))), index(split(C2006, "" ""),3),index(split(C2006, "" ""),2)))"),"")</f>
        <v/>
      </c>
      <c r="X2006" s="38" t="b">
        <f t="shared" si="2"/>
        <v>0</v>
      </c>
      <c r="Y2006" s="38"/>
      <c r="Z2006" s="40"/>
      <c r="AA2006" s="40"/>
      <c r="AB2006" s="38"/>
      <c r="AC2006" s="38"/>
      <c r="AD2006" s="38"/>
      <c r="AE2006" s="38"/>
      <c r="AF2006" s="38"/>
      <c r="AG2006" s="38"/>
      <c r="AH2006" s="38"/>
      <c r="AI2006" s="38"/>
      <c r="AJ2006" s="38"/>
      <c r="AK2006" s="38"/>
      <c r="AL2006" s="38"/>
      <c r="AM2006" s="38"/>
      <c r="AN2006" s="38"/>
      <c r="AO2006" s="38"/>
      <c r="AP2006" s="38"/>
      <c r="AQ2006" s="38"/>
      <c r="AR2006" s="38"/>
      <c r="AS2006" s="38"/>
      <c r="AT2006" s="38"/>
      <c r="AU2006" s="38"/>
      <c r="AV2006" s="38"/>
      <c r="AW2006" s="38"/>
      <c r="AX2006" s="38"/>
      <c r="AY2006" s="38"/>
      <c r="AZ2006" s="38"/>
      <c r="BA2006" s="38"/>
      <c r="BB2006" s="38"/>
      <c r="BC2006" s="38"/>
      <c r="BD2006" s="38"/>
      <c r="BE2006" s="38"/>
      <c r="BF2006" s="38"/>
      <c r="BG2006" s="38"/>
    </row>
    <row r="2007">
      <c r="A2007" s="16"/>
      <c r="B2007" s="16"/>
      <c r="C2007" s="146"/>
      <c r="D2007" s="146"/>
      <c r="E2007" s="16"/>
      <c r="F2007" s="91"/>
      <c r="G2007" s="16"/>
      <c r="H2007" s="320" t="str">
        <f t="shared" si="1"/>
        <v/>
      </c>
      <c r="I2007" s="16"/>
      <c r="J2007" s="16"/>
      <c r="K2007" s="16"/>
      <c r="L2007" s="38"/>
      <c r="M2007" s="16"/>
      <c r="N2007" s="16"/>
      <c r="O2007" s="16"/>
      <c r="P2007" s="15"/>
      <c r="Q2007" s="15"/>
      <c r="R2007" s="16"/>
      <c r="S2007" s="16"/>
      <c r="T2007" s="16"/>
      <c r="U2007" s="16"/>
      <c r="V2007" s="37" t="str">
        <f>IFERROR(__xludf.DUMMYFUNCTION("if(not(iserror(index(split(C2007, "" ""),2))), index(split(C2007, "" ""),1),"""")"),"")</f>
        <v/>
      </c>
      <c r="W2007" s="315" t="str">
        <f>IFERROR(__xludf.DUMMYFUNCTION("if(V2007="""",C2007,if(not(iserror(index(split(C2007, "" ""),3))), index(split(C2007, "" ""),3),index(split(C2007, "" ""),2)))"),"")</f>
        <v/>
      </c>
      <c r="X2007" s="38" t="b">
        <f t="shared" si="2"/>
        <v>0</v>
      </c>
      <c r="Y2007" s="38"/>
      <c r="Z2007" s="40"/>
      <c r="AA2007" s="40"/>
      <c r="AB2007" s="38"/>
      <c r="AC2007" s="38"/>
      <c r="AD2007" s="38"/>
      <c r="AE2007" s="38"/>
      <c r="AF2007" s="38"/>
      <c r="AG2007" s="38"/>
      <c r="AH2007" s="38"/>
      <c r="AI2007" s="38"/>
      <c r="AJ2007" s="38"/>
      <c r="AK2007" s="38"/>
      <c r="AL2007" s="38"/>
      <c r="AM2007" s="38"/>
      <c r="AN2007" s="38"/>
      <c r="AO2007" s="38"/>
      <c r="AP2007" s="38"/>
      <c r="AQ2007" s="38"/>
      <c r="AR2007" s="38"/>
      <c r="AS2007" s="38"/>
      <c r="AT2007" s="38"/>
      <c r="AU2007" s="38"/>
      <c r="AV2007" s="38"/>
      <c r="AW2007" s="38"/>
      <c r="AX2007" s="38"/>
      <c r="AY2007" s="38"/>
      <c r="AZ2007" s="38"/>
      <c r="BA2007" s="38"/>
      <c r="BB2007" s="38"/>
      <c r="BC2007" s="38"/>
      <c r="BD2007" s="38"/>
      <c r="BE2007" s="38"/>
      <c r="BF2007" s="38"/>
      <c r="BG2007" s="38"/>
    </row>
    <row r="2008">
      <c r="A2008" s="16"/>
      <c r="B2008" s="16"/>
      <c r="C2008" s="146"/>
      <c r="D2008" s="146"/>
      <c r="E2008" s="16"/>
      <c r="F2008" s="91"/>
      <c r="G2008" s="16"/>
      <c r="H2008" s="320" t="str">
        <f t="shared" si="1"/>
        <v/>
      </c>
      <c r="I2008" s="16"/>
      <c r="J2008" s="16"/>
      <c r="K2008" s="16"/>
      <c r="L2008" s="38"/>
      <c r="M2008" s="16"/>
      <c r="N2008" s="16"/>
      <c r="O2008" s="16"/>
      <c r="P2008" s="15"/>
      <c r="Q2008" s="15"/>
      <c r="R2008" s="16"/>
      <c r="S2008" s="16"/>
      <c r="T2008" s="16"/>
      <c r="U2008" s="16"/>
      <c r="V2008" s="37" t="str">
        <f>IFERROR(__xludf.DUMMYFUNCTION("if(not(iserror(index(split(C2008, "" ""),2))), index(split(C2008, "" ""),1),"""")"),"")</f>
        <v/>
      </c>
      <c r="W2008" s="315" t="str">
        <f>IFERROR(__xludf.DUMMYFUNCTION("if(V2008="""",C2008,if(not(iserror(index(split(C2008, "" ""),3))), index(split(C2008, "" ""),3),index(split(C2008, "" ""),2)))"),"")</f>
        <v/>
      </c>
      <c r="X2008" s="38" t="b">
        <f t="shared" si="2"/>
        <v>0</v>
      </c>
      <c r="Y2008" s="38"/>
      <c r="Z2008" s="40"/>
      <c r="AA2008" s="40"/>
      <c r="AB2008" s="38"/>
      <c r="AC2008" s="38"/>
      <c r="AD2008" s="38"/>
      <c r="AE2008" s="38"/>
      <c r="AF2008" s="38"/>
      <c r="AG2008" s="38"/>
      <c r="AH2008" s="38"/>
      <c r="AI2008" s="38"/>
      <c r="AJ2008" s="38"/>
      <c r="AK2008" s="38"/>
      <c r="AL2008" s="38"/>
      <c r="AM2008" s="38"/>
      <c r="AN2008" s="38"/>
      <c r="AO2008" s="38"/>
      <c r="AP2008" s="38"/>
      <c r="AQ2008" s="38"/>
      <c r="AR2008" s="38"/>
      <c r="AS2008" s="38"/>
      <c r="AT2008" s="38"/>
      <c r="AU2008" s="38"/>
      <c r="AV2008" s="38"/>
      <c r="AW2008" s="38"/>
      <c r="AX2008" s="38"/>
      <c r="AY2008" s="38"/>
      <c r="AZ2008" s="38"/>
      <c r="BA2008" s="38"/>
      <c r="BB2008" s="38"/>
      <c r="BC2008" s="38"/>
      <c r="BD2008" s="38"/>
      <c r="BE2008" s="38"/>
      <c r="BF2008" s="38"/>
      <c r="BG2008" s="38"/>
    </row>
    <row r="2009">
      <c r="A2009" s="16"/>
      <c r="B2009" s="16"/>
      <c r="C2009" s="146"/>
      <c r="D2009" s="146"/>
      <c r="E2009" s="16"/>
      <c r="F2009" s="91"/>
      <c r="G2009" s="16"/>
      <c r="H2009" s="320" t="str">
        <f t="shared" si="1"/>
        <v/>
      </c>
      <c r="I2009" s="16"/>
      <c r="J2009" s="16"/>
      <c r="K2009" s="16"/>
      <c r="L2009" s="38"/>
      <c r="M2009" s="16"/>
      <c r="N2009" s="16"/>
      <c r="O2009" s="16"/>
      <c r="P2009" s="15"/>
      <c r="Q2009" s="15"/>
      <c r="R2009" s="16"/>
      <c r="S2009" s="16"/>
      <c r="T2009" s="16"/>
      <c r="U2009" s="16"/>
      <c r="V2009" s="37" t="str">
        <f>IFERROR(__xludf.DUMMYFUNCTION("if(not(iserror(index(split(C2009, "" ""),2))), index(split(C2009, "" ""),1),"""")"),"")</f>
        <v/>
      </c>
      <c r="W2009" s="315" t="str">
        <f>IFERROR(__xludf.DUMMYFUNCTION("if(V2009="""",C2009,if(not(iserror(index(split(C2009, "" ""),3))), index(split(C2009, "" ""),3),index(split(C2009, "" ""),2)))"),"")</f>
        <v/>
      </c>
      <c r="X2009" s="38" t="b">
        <f t="shared" si="2"/>
        <v>0</v>
      </c>
      <c r="Y2009" s="38"/>
      <c r="Z2009" s="40"/>
      <c r="AA2009" s="40"/>
      <c r="AB2009" s="38"/>
      <c r="AC2009" s="38"/>
      <c r="AD2009" s="38"/>
      <c r="AE2009" s="38"/>
      <c r="AF2009" s="38"/>
      <c r="AG2009" s="38"/>
      <c r="AH2009" s="38"/>
      <c r="AI2009" s="38"/>
      <c r="AJ2009" s="38"/>
      <c r="AK2009" s="38"/>
      <c r="AL2009" s="38"/>
      <c r="AM2009" s="38"/>
      <c r="AN2009" s="38"/>
      <c r="AO2009" s="38"/>
      <c r="AP2009" s="38"/>
      <c r="AQ2009" s="38"/>
      <c r="AR2009" s="38"/>
      <c r="AS2009" s="38"/>
      <c r="AT2009" s="38"/>
      <c r="AU2009" s="38"/>
      <c r="AV2009" s="38"/>
      <c r="AW2009" s="38"/>
      <c r="AX2009" s="38"/>
      <c r="AY2009" s="38"/>
      <c r="AZ2009" s="38"/>
      <c r="BA2009" s="38"/>
      <c r="BB2009" s="38"/>
      <c r="BC2009" s="38"/>
      <c r="BD2009" s="38"/>
      <c r="BE2009" s="38"/>
      <c r="BF2009" s="38"/>
      <c r="BG2009" s="38"/>
    </row>
    <row r="2010">
      <c r="A2010" s="16"/>
      <c r="B2010" s="16"/>
      <c r="C2010" s="146"/>
      <c r="D2010" s="146"/>
      <c r="E2010" s="16"/>
      <c r="F2010" s="91"/>
      <c r="G2010" s="16"/>
      <c r="H2010" s="320" t="str">
        <f t="shared" si="1"/>
        <v/>
      </c>
      <c r="I2010" s="16"/>
      <c r="J2010" s="16"/>
      <c r="K2010" s="16"/>
      <c r="L2010" s="38"/>
      <c r="M2010" s="16"/>
      <c r="N2010" s="16"/>
      <c r="O2010" s="16"/>
      <c r="P2010" s="15"/>
      <c r="Q2010" s="15"/>
      <c r="R2010" s="16"/>
      <c r="S2010" s="16"/>
      <c r="T2010" s="16"/>
      <c r="U2010" s="16"/>
      <c r="V2010" s="37" t="str">
        <f>IFERROR(__xludf.DUMMYFUNCTION("if(not(iserror(index(split(C2010, "" ""),2))), index(split(C2010, "" ""),1),"""")"),"")</f>
        <v/>
      </c>
      <c r="W2010" s="315" t="str">
        <f>IFERROR(__xludf.DUMMYFUNCTION("if(V2010="""",C2010,if(not(iserror(index(split(C2010, "" ""),3))), index(split(C2010, "" ""),3),index(split(C2010, "" ""),2)))"),"")</f>
        <v/>
      </c>
      <c r="X2010" s="38" t="b">
        <f t="shared" si="2"/>
        <v>0</v>
      </c>
      <c r="Y2010" s="38"/>
      <c r="Z2010" s="40"/>
      <c r="AA2010" s="40"/>
      <c r="AB2010" s="38"/>
      <c r="AC2010" s="38"/>
      <c r="AD2010" s="38"/>
      <c r="AE2010" s="38"/>
      <c r="AF2010" s="38"/>
      <c r="AG2010" s="38"/>
      <c r="AH2010" s="38"/>
      <c r="AI2010" s="38"/>
      <c r="AJ2010" s="38"/>
      <c r="AK2010" s="38"/>
      <c r="AL2010" s="38"/>
      <c r="AM2010" s="38"/>
      <c r="AN2010" s="38"/>
      <c r="AO2010" s="38"/>
      <c r="AP2010" s="38"/>
      <c r="AQ2010" s="38"/>
      <c r="AR2010" s="38"/>
      <c r="AS2010" s="38"/>
      <c r="AT2010" s="38"/>
      <c r="AU2010" s="38"/>
      <c r="AV2010" s="38"/>
      <c r="AW2010" s="38"/>
      <c r="AX2010" s="38"/>
      <c r="AY2010" s="38"/>
      <c r="AZ2010" s="38"/>
      <c r="BA2010" s="38"/>
      <c r="BB2010" s="38"/>
      <c r="BC2010" s="38"/>
      <c r="BD2010" s="38"/>
      <c r="BE2010" s="38"/>
      <c r="BF2010" s="38"/>
      <c r="BG2010" s="38"/>
    </row>
    <row r="2011">
      <c r="A2011" s="16"/>
      <c r="B2011" s="16"/>
      <c r="C2011" s="146"/>
      <c r="D2011" s="146"/>
      <c r="E2011" s="16"/>
      <c r="F2011" s="91"/>
      <c r="G2011" s="16"/>
      <c r="H2011" s="320" t="str">
        <f t="shared" si="1"/>
        <v/>
      </c>
      <c r="I2011" s="16"/>
      <c r="J2011" s="16"/>
      <c r="K2011" s="16"/>
      <c r="L2011" s="38"/>
      <c r="M2011" s="16"/>
      <c r="N2011" s="16"/>
      <c r="O2011" s="16"/>
      <c r="P2011" s="15"/>
      <c r="Q2011" s="15"/>
      <c r="R2011" s="16"/>
      <c r="S2011" s="16"/>
      <c r="T2011" s="16"/>
      <c r="U2011" s="16"/>
      <c r="V2011" s="37" t="str">
        <f>IFERROR(__xludf.DUMMYFUNCTION("if(not(iserror(index(split(C2011, "" ""),2))), index(split(C2011, "" ""),1),"""")"),"")</f>
        <v/>
      </c>
      <c r="W2011" s="315" t="str">
        <f>IFERROR(__xludf.DUMMYFUNCTION("if(V2011="""",C2011,if(not(iserror(index(split(C2011, "" ""),3))), index(split(C2011, "" ""),3),index(split(C2011, "" ""),2)))"),"")</f>
        <v/>
      </c>
      <c r="X2011" s="38" t="b">
        <f t="shared" si="2"/>
        <v>0</v>
      </c>
      <c r="Y2011" s="38"/>
      <c r="Z2011" s="40"/>
      <c r="AA2011" s="40"/>
      <c r="AB2011" s="38"/>
      <c r="AC2011" s="38"/>
      <c r="AD2011" s="38"/>
      <c r="AE2011" s="38"/>
      <c r="AF2011" s="38"/>
      <c r="AG2011" s="38"/>
      <c r="AH2011" s="38"/>
      <c r="AI2011" s="38"/>
      <c r="AJ2011" s="38"/>
      <c r="AK2011" s="38"/>
      <c r="AL2011" s="38"/>
      <c r="AM2011" s="38"/>
      <c r="AN2011" s="38"/>
      <c r="AO2011" s="38"/>
      <c r="AP2011" s="38"/>
      <c r="AQ2011" s="38"/>
      <c r="AR2011" s="38"/>
      <c r="AS2011" s="38"/>
      <c r="AT2011" s="38"/>
      <c r="AU2011" s="38"/>
      <c r="AV2011" s="38"/>
      <c r="AW2011" s="38"/>
      <c r="AX2011" s="38"/>
      <c r="AY2011" s="38"/>
      <c r="AZ2011" s="38"/>
      <c r="BA2011" s="38"/>
      <c r="BB2011" s="38"/>
      <c r="BC2011" s="38"/>
      <c r="BD2011" s="38"/>
      <c r="BE2011" s="38"/>
      <c r="BF2011" s="38"/>
      <c r="BG2011" s="38"/>
    </row>
    <row r="2012">
      <c r="A2012" s="16"/>
      <c r="B2012" s="16"/>
      <c r="C2012" s="146"/>
      <c r="D2012" s="146"/>
      <c r="E2012" s="16"/>
      <c r="F2012" s="91"/>
      <c r="G2012" s="16"/>
      <c r="H2012" s="320" t="str">
        <f t="shared" si="1"/>
        <v/>
      </c>
      <c r="I2012" s="16"/>
      <c r="J2012" s="16"/>
      <c r="K2012" s="16"/>
      <c r="L2012" s="38"/>
      <c r="M2012" s="16"/>
      <c r="N2012" s="16"/>
      <c r="O2012" s="16"/>
      <c r="P2012" s="15"/>
      <c r="Q2012" s="15"/>
      <c r="R2012" s="16"/>
      <c r="S2012" s="16"/>
      <c r="T2012" s="16"/>
      <c r="U2012" s="16"/>
      <c r="V2012" s="37" t="str">
        <f>IFERROR(__xludf.DUMMYFUNCTION("if(not(iserror(index(split(C2012, "" ""),2))), index(split(C2012, "" ""),1),"""")"),"")</f>
        <v/>
      </c>
      <c r="W2012" s="315" t="str">
        <f>IFERROR(__xludf.DUMMYFUNCTION("if(V2012="""",C2012,if(not(iserror(index(split(C2012, "" ""),3))), index(split(C2012, "" ""),3),index(split(C2012, "" ""),2)))"),"")</f>
        <v/>
      </c>
      <c r="X2012" s="38" t="b">
        <f t="shared" si="2"/>
        <v>0</v>
      </c>
      <c r="Y2012" s="38"/>
      <c r="Z2012" s="40"/>
      <c r="AA2012" s="40"/>
      <c r="AB2012" s="38"/>
      <c r="AC2012" s="38"/>
      <c r="AD2012" s="38"/>
      <c r="AE2012" s="38"/>
      <c r="AF2012" s="38"/>
      <c r="AG2012" s="38"/>
      <c r="AH2012" s="38"/>
      <c r="AI2012" s="38"/>
      <c r="AJ2012" s="38"/>
      <c r="AK2012" s="38"/>
      <c r="AL2012" s="38"/>
      <c r="AM2012" s="38"/>
      <c r="AN2012" s="38"/>
      <c r="AO2012" s="38"/>
      <c r="AP2012" s="38"/>
      <c r="AQ2012" s="38"/>
      <c r="AR2012" s="38"/>
      <c r="AS2012" s="38"/>
      <c r="AT2012" s="38"/>
      <c r="AU2012" s="38"/>
      <c r="AV2012" s="38"/>
      <c r="AW2012" s="38"/>
      <c r="AX2012" s="38"/>
      <c r="AY2012" s="38"/>
      <c r="AZ2012" s="38"/>
      <c r="BA2012" s="38"/>
      <c r="BB2012" s="38"/>
      <c r="BC2012" s="38"/>
      <c r="BD2012" s="38"/>
      <c r="BE2012" s="38"/>
      <c r="BF2012" s="38"/>
      <c r="BG2012" s="38"/>
    </row>
    <row r="2013">
      <c r="A2013" s="16"/>
      <c r="B2013" s="16"/>
      <c r="C2013" s="146"/>
      <c r="D2013" s="146"/>
      <c r="E2013" s="16"/>
      <c r="F2013" s="91"/>
      <c r="G2013" s="16"/>
      <c r="H2013" s="320" t="str">
        <f t="shared" si="1"/>
        <v/>
      </c>
      <c r="I2013" s="16"/>
      <c r="J2013" s="16"/>
      <c r="K2013" s="16"/>
      <c r="L2013" s="38"/>
      <c r="M2013" s="16"/>
      <c r="N2013" s="16"/>
      <c r="O2013" s="16"/>
      <c r="P2013" s="15"/>
      <c r="Q2013" s="15"/>
      <c r="R2013" s="16"/>
      <c r="S2013" s="16"/>
      <c r="T2013" s="16"/>
      <c r="U2013" s="16"/>
      <c r="V2013" s="37" t="str">
        <f>IFERROR(__xludf.DUMMYFUNCTION("if(not(iserror(index(split(C2013, "" ""),2))), index(split(C2013, "" ""),1),"""")"),"")</f>
        <v/>
      </c>
      <c r="W2013" s="315" t="str">
        <f>IFERROR(__xludf.DUMMYFUNCTION("if(V2013="""",C2013,if(not(iserror(index(split(C2013, "" ""),3))), index(split(C2013, "" ""),3),index(split(C2013, "" ""),2)))"),"")</f>
        <v/>
      </c>
      <c r="X2013" s="38" t="b">
        <f t="shared" si="2"/>
        <v>0</v>
      </c>
      <c r="Y2013" s="38"/>
      <c r="Z2013" s="40"/>
      <c r="AA2013" s="40"/>
      <c r="AB2013" s="38"/>
      <c r="AC2013" s="38"/>
      <c r="AD2013" s="38"/>
      <c r="AE2013" s="38"/>
      <c r="AF2013" s="38"/>
      <c r="AG2013" s="38"/>
      <c r="AH2013" s="38"/>
      <c r="AI2013" s="38"/>
      <c r="AJ2013" s="38"/>
      <c r="AK2013" s="38"/>
      <c r="AL2013" s="38"/>
      <c r="AM2013" s="38"/>
      <c r="AN2013" s="38"/>
      <c r="AO2013" s="38"/>
      <c r="AP2013" s="38"/>
      <c r="AQ2013" s="38"/>
      <c r="AR2013" s="38"/>
      <c r="AS2013" s="38"/>
      <c r="AT2013" s="38"/>
      <c r="AU2013" s="38"/>
      <c r="AV2013" s="38"/>
      <c r="AW2013" s="38"/>
      <c r="AX2013" s="38"/>
      <c r="AY2013" s="38"/>
      <c r="AZ2013" s="38"/>
      <c r="BA2013" s="38"/>
      <c r="BB2013" s="38"/>
      <c r="BC2013" s="38"/>
      <c r="BD2013" s="38"/>
      <c r="BE2013" s="38"/>
      <c r="BF2013" s="38"/>
      <c r="BG2013" s="38"/>
    </row>
    <row r="2014">
      <c r="A2014" s="16"/>
      <c r="B2014" s="16"/>
      <c r="C2014" s="146"/>
      <c r="D2014" s="146"/>
      <c r="E2014" s="16"/>
      <c r="F2014" s="91"/>
      <c r="G2014" s="16"/>
      <c r="H2014" s="320" t="str">
        <f t="shared" si="1"/>
        <v/>
      </c>
      <c r="I2014" s="16"/>
      <c r="J2014" s="16"/>
      <c r="K2014" s="16"/>
      <c r="L2014" s="38"/>
      <c r="M2014" s="16"/>
      <c r="N2014" s="16"/>
      <c r="O2014" s="16"/>
      <c r="P2014" s="15"/>
      <c r="Q2014" s="15"/>
      <c r="R2014" s="16"/>
      <c r="S2014" s="16"/>
      <c r="T2014" s="16"/>
      <c r="U2014" s="16"/>
      <c r="V2014" s="37" t="str">
        <f>IFERROR(__xludf.DUMMYFUNCTION("if(not(iserror(index(split(C2014, "" ""),2))), index(split(C2014, "" ""),1),"""")"),"")</f>
        <v/>
      </c>
      <c r="W2014" s="315" t="str">
        <f>IFERROR(__xludf.DUMMYFUNCTION("if(V2014="""",C2014,if(not(iserror(index(split(C2014, "" ""),3))), index(split(C2014, "" ""),3),index(split(C2014, "" ""),2)))"),"")</f>
        <v/>
      </c>
      <c r="X2014" s="38" t="b">
        <f t="shared" si="2"/>
        <v>0</v>
      </c>
      <c r="Y2014" s="38"/>
      <c r="Z2014" s="40"/>
      <c r="AA2014" s="40"/>
      <c r="AB2014" s="38"/>
      <c r="AC2014" s="38"/>
      <c r="AD2014" s="38"/>
      <c r="AE2014" s="38"/>
      <c r="AF2014" s="38"/>
      <c r="AG2014" s="38"/>
      <c r="AH2014" s="38"/>
      <c r="AI2014" s="38"/>
      <c r="AJ2014" s="38"/>
      <c r="AK2014" s="38"/>
      <c r="AL2014" s="38"/>
      <c r="AM2014" s="38"/>
      <c r="AN2014" s="38"/>
      <c r="AO2014" s="38"/>
      <c r="AP2014" s="38"/>
      <c r="AQ2014" s="38"/>
      <c r="AR2014" s="38"/>
      <c r="AS2014" s="38"/>
      <c r="AT2014" s="38"/>
      <c r="AU2014" s="38"/>
      <c r="AV2014" s="38"/>
      <c r="AW2014" s="38"/>
      <c r="AX2014" s="38"/>
      <c r="AY2014" s="38"/>
      <c r="AZ2014" s="38"/>
      <c r="BA2014" s="38"/>
      <c r="BB2014" s="38"/>
      <c r="BC2014" s="38"/>
      <c r="BD2014" s="38"/>
      <c r="BE2014" s="38"/>
      <c r="BF2014" s="38"/>
      <c r="BG2014" s="38"/>
    </row>
    <row r="2015">
      <c r="A2015" s="16"/>
      <c r="B2015" s="16"/>
      <c r="C2015" s="146"/>
      <c r="D2015" s="146"/>
      <c r="E2015" s="16"/>
      <c r="F2015" s="91"/>
      <c r="G2015" s="16"/>
      <c r="H2015" s="320" t="str">
        <f t="shared" si="1"/>
        <v/>
      </c>
      <c r="I2015" s="16"/>
      <c r="J2015" s="16"/>
      <c r="K2015" s="16"/>
      <c r="L2015" s="38"/>
      <c r="M2015" s="16"/>
      <c r="N2015" s="16"/>
      <c r="O2015" s="16"/>
      <c r="P2015" s="15"/>
      <c r="Q2015" s="15"/>
      <c r="R2015" s="16"/>
      <c r="S2015" s="16"/>
      <c r="T2015" s="16"/>
      <c r="U2015" s="16"/>
      <c r="V2015" s="37" t="str">
        <f>IFERROR(__xludf.DUMMYFUNCTION("if(not(iserror(index(split(C2015, "" ""),2))), index(split(C2015, "" ""),1),"""")"),"")</f>
        <v/>
      </c>
      <c r="W2015" s="315" t="str">
        <f>IFERROR(__xludf.DUMMYFUNCTION("if(V2015="""",C2015,if(not(iserror(index(split(C2015, "" ""),3))), index(split(C2015, "" ""),3),index(split(C2015, "" ""),2)))"),"")</f>
        <v/>
      </c>
      <c r="X2015" s="38" t="b">
        <f t="shared" si="2"/>
        <v>0</v>
      </c>
      <c r="Y2015" s="38"/>
      <c r="Z2015" s="40"/>
      <c r="AA2015" s="40"/>
      <c r="AB2015" s="38"/>
      <c r="AC2015" s="38"/>
      <c r="AD2015" s="38"/>
      <c r="AE2015" s="38"/>
      <c r="AF2015" s="38"/>
      <c r="AG2015" s="38"/>
      <c r="AH2015" s="38"/>
      <c r="AI2015" s="38"/>
      <c r="AJ2015" s="38"/>
      <c r="AK2015" s="38"/>
      <c r="AL2015" s="38"/>
      <c r="AM2015" s="38"/>
      <c r="AN2015" s="38"/>
      <c r="AO2015" s="38"/>
      <c r="AP2015" s="38"/>
      <c r="AQ2015" s="38"/>
      <c r="AR2015" s="38"/>
      <c r="AS2015" s="38"/>
      <c r="AT2015" s="38"/>
      <c r="AU2015" s="38"/>
      <c r="AV2015" s="38"/>
      <c r="AW2015" s="38"/>
      <c r="AX2015" s="38"/>
      <c r="AY2015" s="38"/>
      <c r="AZ2015" s="38"/>
      <c r="BA2015" s="38"/>
      <c r="BB2015" s="38"/>
      <c r="BC2015" s="38"/>
      <c r="BD2015" s="38"/>
      <c r="BE2015" s="38"/>
      <c r="BF2015" s="38"/>
      <c r="BG2015" s="38"/>
    </row>
    <row r="2016">
      <c r="A2016" s="16"/>
      <c r="B2016" s="16"/>
      <c r="C2016" s="146"/>
      <c r="D2016" s="146"/>
      <c r="E2016" s="16"/>
      <c r="F2016" s="91"/>
      <c r="G2016" s="16"/>
      <c r="H2016" s="320" t="str">
        <f t="shared" si="1"/>
        <v/>
      </c>
      <c r="I2016" s="16"/>
      <c r="J2016" s="16"/>
      <c r="K2016" s="16"/>
      <c r="L2016" s="38"/>
      <c r="M2016" s="16"/>
      <c r="N2016" s="16"/>
      <c r="O2016" s="16"/>
      <c r="P2016" s="15"/>
      <c r="Q2016" s="15"/>
      <c r="R2016" s="16"/>
      <c r="S2016" s="16"/>
      <c r="T2016" s="16"/>
      <c r="U2016" s="16"/>
      <c r="V2016" s="37" t="str">
        <f>IFERROR(__xludf.DUMMYFUNCTION("if(not(iserror(index(split(C2016, "" ""),2))), index(split(C2016, "" ""),1),"""")"),"")</f>
        <v/>
      </c>
      <c r="W2016" s="315" t="str">
        <f>IFERROR(__xludf.DUMMYFUNCTION("if(V2016="""",C2016,if(not(iserror(index(split(C2016, "" ""),3))), index(split(C2016, "" ""),3),index(split(C2016, "" ""),2)))"),"")</f>
        <v/>
      </c>
      <c r="X2016" s="38" t="b">
        <f t="shared" si="2"/>
        <v>0</v>
      </c>
      <c r="Y2016" s="38"/>
      <c r="Z2016" s="40"/>
      <c r="AA2016" s="40"/>
      <c r="AB2016" s="38"/>
      <c r="AC2016" s="38"/>
      <c r="AD2016" s="38"/>
      <c r="AE2016" s="38"/>
      <c r="AF2016" s="38"/>
      <c r="AG2016" s="38"/>
      <c r="AH2016" s="38"/>
      <c r="AI2016" s="38"/>
      <c r="AJ2016" s="38"/>
      <c r="AK2016" s="38"/>
      <c r="AL2016" s="38"/>
      <c r="AM2016" s="38"/>
      <c r="AN2016" s="38"/>
      <c r="AO2016" s="38"/>
      <c r="AP2016" s="38"/>
      <c r="AQ2016" s="38"/>
      <c r="AR2016" s="38"/>
      <c r="AS2016" s="38"/>
      <c r="AT2016" s="38"/>
      <c r="AU2016" s="38"/>
      <c r="AV2016" s="38"/>
      <c r="AW2016" s="38"/>
      <c r="AX2016" s="38"/>
      <c r="AY2016" s="38"/>
      <c r="AZ2016" s="38"/>
      <c r="BA2016" s="38"/>
      <c r="BB2016" s="38"/>
      <c r="BC2016" s="38"/>
      <c r="BD2016" s="38"/>
      <c r="BE2016" s="38"/>
      <c r="BF2016" s="38"/>
      <c r="BG2016" s="38"/>
    </row>
    <row r="2017">
      <c r="A2017" s="16"/>
      <c r="B2017" s="16"/>
      <c r="C2017" s="146"/>
      <c r="D2017" s="146"/>
      <c r="E2017" s="16"/>
      <c r="F2017" s="91"/>
      <c r="G2017" s="16"/>
      <c r="H2017" s="320" t="str">
        <f t="shared" si="1"/>
        <v/>
      </c>
      <c r="I2017" s="16"/>
      <c r="J2017" s="16"/>
      <c r="K2017" s="16"/>
      <c r="L2017" s="38"/>
      <c r="M2017" s="16"/>
      <c r="N2017" s="16"/>
      <c r="O2017" s="16"/>
      <c r="P2017" s="15"/>
      <c r="Q2017" s="15"/>
      <c r="R2017" s="16"/>
      <c r="S2017" s="16"/>
      <c r="T2017" s="16"/>
      <c r="U2017" s="16"/>
      <c r="V2017" s="37" t="str">
        <f>IFERROR(__xludf.DUMMYFUNCTION("if(not(iserror(index(split(C2017, "" ""),2))), index(split(C2017, "" ""),1),"""")"),"")</f>
        <v/>
      </c>
      <c r="W2017" s="315" t="str">
        <f>IFERROR(__xludf.DUMMYFUNCTION("if(V2017="""",C2017,if(not(iserror(index(split(C2017, "" ""),3))), index(split(C2017, "" ""),3),index(split(C2017, "" ""),2)))"),"")</f>
        <v/>
      </c>
      <c r="X2017" s="38" t="b">
        <f t="shared" si="2"/>
        <v>0</v>
      </c>
      <c r="Y2017" s="38"/>
      <c r="Z2017" s="40"/>
      <c r="AA2017" s="40"/>
      <c r="AB2017" s="38"/>
      <c r="AC2017" s="38"/>
      <c r="AD2017" s="38"/>
      <c r="AE2017" s="38"/>
      <c r="AF2017" s="38"/>
      <c r="AG2017" s="38"/>
      <c r="AH2017" s="38"/>
      <c r="AI2017" s="38"/>
      <c r="AJ2017" s="38"/>
      <c r="AK2017" s="38"/>
      <c r="AL2017" s="38"/>
      <c r="AM2017" s="38"/>
      <c r="AN2017" s="38"/>
      <c r="AO2017" s="38"/>
      <c r="AP2017" s="38"/>
      <c r="AQ2017" s="38"/>
      <c r="AR2017" s="38"/>
      <c r="AS2017" s="38"/>
      <c r="AT2017" s="38"/>
      <c r="AU2017" s="38"/>
      <c r="AV2017" s="38"/>
      <c r="AW2017" s="38"/>
      <c r="AX2017" s="38"/>
      <c r="AY2017" s="38"/>
      <c r="AZ2017" s="38"/>
      <c r="BA2017" s="38"/>
      <c r="BB2017" s="38"/>
      <c r="BC2017" s="38"/>
      <c r="BD2017" s="38"/>
      <c r="BE2017" s="38"/>
      <c r="BF2017" s="38"/>
      <c r="BG2017" s="38"/>
    </row>
    <row r="2018">
      <c r="A2018" s="16"/>
      <c r="B2018" s="16"/>
      <c r="C2018" s="146"/>
      <c r="D2018" s="146"/>
      <c r="E2018" s="16"/>
      <c r="F2018" s="91"/>
      <c r="G2018" s="16"/>
      <c r="H2018" s="320" t="str">
        <f t="shared" si="1"/>
        <v/>
      </c>
      <c r="I2018" s="16"/>
      <c r="J2018" s="16"/>
      <c r="K2018" s="16"/>
      <c r="L2018" s="38"/>
      <c r="M2018" s="16"/>
      <c r="N2018" s="16"/>
      <c r="O2018" s="16"/>
      <c r="P2018" s="15"/>
      <c r="Q2018" s="15"/>
      <c r="R2018" s="16"/>
      <c r="S2018" s="16"/>
      <c r="T2018" s="16"/>
      <c r="U2018" s="16"/>
      <c r="V2018" s="37" t="str">
        <f>IFERROR(__xludf.DUMMYFUNCTION("if(not(iserror(index(split(C2018, "" ""),2))), index(split(C2018, "" ""),1),"""")"),"")</f>
        <v/>
      </c>
      <c r="W2018" s="315" t="str">
        <f>IFERROR(__xludf.DUMMYFUNCTION("if(V2018="""",C2018,if(not(iserror(index(split(C2018, "" ""),3))), index(split(C2018, "" ""),3),index(split(C2018, "" ""),2)))"),"")</f>
        <v/>
      </c>
      <c r="X2018" s="38" t="b">
        <f t="shared" si="2"/>
        <v>0</v>
      </c>
      <c r="Y2018" s="38"/>
      <c r="Z2018" s="40"/>
      <c r="AA2018" s="40"/>
      <c r="AB2018" s="38"/>
      <c r="AC2018" s="38"/>
      <c r="AD2018" s="38"/>
      <c r="AE2018" s="38"/>
      <c r="AF2018" s="38"/>
      <c r="AG2018" s="38"/>
      <c r="AH2018" s="38"/>
      <c r="AI2018" s="38"/>
      <c r="AJ2018" s="38"/>
      <c r="AK2018" s="38"/>
      <c r="AL2018" s="38"/>
      <c r="AM2018" s="38"/>
      <c r="AN2018" s="38"/>
      <c r="AO2018" s="38"/>
      <c r="AP2018" s="38"/>
      <c r="AQ2018" s="38"/>
      <c r="AR2018" s="38"/>
      <c r="AS2018" s="38"/>
      <c r="AT2018" s="38"/>
      <c r="AU2018" s="38"/>
      <c r="AV2018" s="38"/>
      <c r="AW2018" s="38"/>
      <c r="AX2018" s="38"/>
      <c r="AY2018" s="38"/>
      <c r="AZ2018" s="38"/>
      <c r="BA2018" s="38"/>
      <c r="BB2018" s="38"/>
      <c r="BC2018" s="38"/>
      <c r="BD2018" s="38"/>
      <c r="BE2018" s="38"/>
      <c r="BF2018" s="38"/>
      <c r="BG2018" s="38"/>
    </row>
    <row r="2019">
      <c r="A2019" s="16"/>
      <c r="B2019" s="16"/>
      <c r="C2019" s="146"/>
      <c r="D2019" s="146"/>
      <c r="E2019" s="16"/>
      <c r="F2019" s="91"/>
      <c r="G2019" s="16"/>
      <c r="H2019" s="320" t="str">
        <f t="shared" si="1"/>
        <v/>
      </c>
      <c r="I2019" s="16"/>
      <c r="J2019" s="16"/>
      <c r="K2019" s="16"/>
      <c r="L2019" s="38"/>
      <c r="M2019" s="16"/>
      <c r="N2019" s="16"/>
      <c r="O2019" s="16"/>
      <c r="P2019" s="15"/>
      <c r="Q2019" s="15"/>
      <c r="R2019" s="16"/>
      <c r="S2019" s="16"/>
      <c r="T2019" s="16"/>
      <c r="U2019" s="16"/>
      <c r="V2019" s="37" t="str">
        <f>IFERROR(__xludf.DUMMYFUNCTION("if(not(iserror(index(split(C2019, "" ""),2))), index(split(C2019, "" ""),1),"""")"),"")</f>
        <v/>
      </c>
      <c r="W2019" s="315" t="str">
        <f>IFERROR(__xludf.DUMMYFUNCTION("if(V2019="""",C2019,if(not(iserror(index(split(C2019, "" ""),3))), index(split(C2019, "" ""),3),index(split(C2019, "" ""),2)))"),"")</f>
        <v/>
      </c>
      <c r="X2019" s="38" t="b">
        <f t="shared" si="2"/>
        <v>0</v>
      </c>
      <c r="Y2019" s="38"/>
      <c r="Z2019" s="40"/>
      <c r="AA2019" s="40"/>
      <c r="AB2019" s="38"/>
      <c r="AC2019" s="38"/>
      <c r="AD2019" s="38"/>
      <c r="AE2019" s="38"/>
      <c r="AF2019" s="38"/>
      <c r="AG2019" s="38"/>
      <c r="AH2019" s="38"/>
      <c r="AI2019" s="38"/>
      <c r="AJ2019" s="38"/>
      <c r="AK2019" s="38"/>
      <c r="AL2019" s="38"/>
      <c r="AM2019" s="38"/>
      <c r="AN2019" s="38"/>
      <c r="AO2019" s="38"/>
      <c r="AP2019" s="38"/>
      <c r="AQ2019" s="38"/>
      <c r="AR2019" s="38"/>
      <c r="AS2019" s="38"/>
      <c r="AT2019" s="38"/>
      <c r="AU2019" s="38"/>
      <c r="AV2019" s="38"/>
      <c r="AW2019" s="38"/>
      <c r="AX2019" s="38"/>
      <c r="AY2019" s="38"/>
      <c r="AZ2019" s="38"/>
      <c r="BA2019" s="38"/>
      <c r="BB2019" s="38"/>
      <c r="BC2019" s="38"/>
      <c r="BD2019" s="38"/>
      <c r="BE2019" s="38"/>
      <c r="BF2019" s="38"/>
      <c r="BG2019" s="38"/>
    </row>
    <row r="2020">
      <c r="A2020" s="16"/>
      <c r="B2020" s="16"/>
      <c r="C2020" s="146"/>
      <c r="D2020" s="146"/>
      <c r="E2020" s="16"/>
      <c r="F2020" s="91"/>
      <c r="G2020" s="16"/>
      <c r="H2020" s="320" t="str">
        <f t="shared" si="1"/>
        <v/>
      </c>
      <c r="I2020" s="16"/>
      <c r="J2020" s="16"/>
      <c r="K2020" s="16"/>
      <c r="L2020" s="38"/>
      <c r="M2020" s="16"/>
      <c r="N2020" s="16"/>
      <c r="O2020" s="16"/>
      <c r="P2020" s="15"/>
      <c r="Q2020" s="15"/>
      <c r="R2020" s="16"/>
      <c r="S2020" s="16"/>
      <c r="T2020" s="16"/>
      <c r="U2020" s="16"/>
      <c r="V2020" s="37" t="str">
        <f>IFERROR(__xludf.DUMMYFUNCTION("if(not(iserror(index(split(C2020, "" ""),2))), index(split(C2020, "" ""),1),"""")"),"")</f>
        <v/>
      </c>
      <c r="W2020" s="315" t="str">
        <f>IFERROR(__xludf.DUMMYFUNCTION("if(V2020="""",C2020,if(not(iserror(index(split(C2020, "" ""),3))), index(split(C2020, "" ""),3),index(split(C2020, "" ""),2)))"),"")</f>
        <v/>
      </c>
      <c r="X2020" s="38" t="b">
        <f t="shared" si="2"/>
        <v>0</v>
      </c>
      <c r="Y2020" s="38"/>
      <c r="Z2020" s="40"/>
      <c r="AA2020" s="40"/>
      <c r="AB2020" s="38"/>
      <c r="AC2020" s="38"/>
      <c r="AD2020" s="38"/>
      <c r="AE2020" s="38"/>
      <c r="AF2020" s="38"/>
      <c r="AG2020" s="38"/>
      <c r="AH2020" s="38"/>
      <c r="AI2020" s="38"/>
      <c r="AJ2020" s="38"/>
      <c r="AK2020" s="38"/>
      <c r="AL2020" s="38"/>
      <c r="AM2020" s="38"/>
      <c r="AN2020" s="38"/>
      <c r="AO2020" s="38"/>
      <c r="AP2020" s="38"/>
      <c r="AQ2020" s="38"/>
      <c r="AR2020" s="38"/>
      <c r="AS2020" s="38"/>
      <c r="AT2020" s="38"/>
      <c r="AU2020" s="38"/>
      <c r="AV2020" s="38"/>
      <c r="AW2020" s="38"/>
      <c r="AX2020" s="38"/>
      <c r="AY2020" s="38"/>
      <c r="AZ2020" s="38"/>
      <c r="BA2020" s="38"/>
      <c r="BB2020" s="38"/>
      <c r="BC2020" s="38"/>
      <c r="BD2020" s="38"/>
      <c r="BE2020" s="38"/>
      <c r="BF2020" s="38"/>
      <c r="BG2020" s="38"/>
    </row>
    <row r="2021">
      <c r="A2021" s="16"/>
      <c r="B2021" s="16"/>
      <c r="C2021" s="146"/>
      <c r="D2021" s="146"/>
      <c r="E2021" s="16"/>
      <c r="F2021" s="91"/>
      <c r="G2021" s="16"/>
      <c r="H2021" s="320" t="str">
        <f t="shared" si="1"/>
        <v/>
      </c>
      <c r="I2021" s="16"/>
      <c r="J2021" s="16"/>
      <c r="K2021" s="16"/>
      <c r="L2021" s="38"/>
      <c r="M2021" s="16"/>
      <c r="N2021" s="16"/>
      <c r="O2021" s="16"/>
      <c r="P2021" s="15"/>
      <c r="Q2021" s="15"/>
      <c r="R2021" s="16"/>
      <c r="S2021" s="16"/>
      <c r="T2021" s="16"/>
      <c r="U2021" s="16"/>
      <c r="V2021" s="37" t="str">
        <f>IFERROR(__xludf.DUMMYFUNCTION("if(not(iserror(index(split(C2021, "" ""),2))), index(split(C2021, "" ""),1),"""")"),"")</f>
        <v/>
      </c>
      <c r="W2021" s="315" t="str">
        <f>IFERROR(__xludf.DUMMYFUNCTION("if(V2021="""",C2021,if(not(iserror(index(split(C2021, "" ""),3))), index(split(C2021, "" ""),3),index(split(C2021, "" ""),2)))"),"")</f>
        <v/>
      </c>
      <c r="X2021" s="38" t="b">
        <f t="shared" si="2"/>
        <v>0</v>
      </c>
      <c r="Y2021" s="38"/>
      <c r="Z2021" s="40"/>
      <c r="AA2021" s="40"/>
      <c r="AB2021" s="38"/>
      <c r="AC2021" s="38"/>
      <c r="AD2021" s="38"/>
      <c r="AE2021" s="38"/>
      <c r="AF2021" s="38"/>
      <c r="AG2021" s="38"/>
      <c r="AH2021" s="38"/>
      <c r="AI2021" s="38"/>
      <c r="AJ2021" s="38"/>
      <c r="AK2021" s="38"/>
      <c r="AL2021" s="38"/>
      <c r="AM2021" s="38"/>
      <c r="AN2021" s="38"/>
      <c r="AO2021" s="38"/>
      <c r="AP2021" s="38"/>
      <c r="AQ2021" s="38"/>
      <c r="AR2021" s="38"/>
      <c r="AS2021" s="38"/>
      <c r="AT2021" s="38"/>
      <c r="AU2021" s="38"/>
      <c r="AV2021" s="38"/>
      <c r="AW2021" s="38"/>
      <c r="AX2021" s="38"/>
      <c r="AY2021" s="38"/>
      <c r="AZ2021" s="38"/>
      <c r="BA2021" s="38"/>
      <c r="BB2021" s="38"/>
      <c r="BC2021" s="38"/>
      <c r="BD2021" s="38"/>
      <c r="BE2021" s="38"/>
      <c r="BF2021" s="38"/>
      <c r="BG2021" s="38"/>
    </row>
    <row r="2022">
      <c r="A2022" s="16"/>
      <c r="B2022" s="16"/>
      <c r="C2022" s="146"/>
      <c r="D2022" s="146"/>
      <c r="E2022" s="16"/>
      <c r="F2022" s="91"/>
      <c r="G2022" s="16"/>
      <c r="H2022" s="320" t="str">
        <f t="shared" si="1"/>
        <v/>
      </c>
      <c r="I2022" s="16"/>
      <c r="J2022" s="16"/>
      <c r="K2022" s="16"/>
      <c r="L2022" s="38"/>
      <c r="M2022" s="16"/>
      <c r="N2022" s="16"/>
      <c r="O2022" s="16"/>
      <c r="P2022" s="15"/>
      <c r="Q2022" s="15"/>
      <c r="R2022" s="16"/>
      <c r="S2022" s="16"/>
      <c r="T2022" s="16"/>
      <c r="U2022" s="16"/>
      <c r="V2022" s="37" t="str">
        <f>IFERROR(__xludf.DUMMYFUNCTION("if(not(iserror(index(split(C2022, "" ""),2))), index(split(C2022, "" ""),1),"""")"),"")</f>
        <v/>
      </c>
      <c r="W2022" s="315" t="str">
        <f>IFERROR(__xludf.DUMMYFUNCTION("if(V2022="""",C2022,if(not(iserror(index(split(C2022, "" ""),3))), index(split(C2022, "" ""),3),index(split(C2022, "" ""),2)))"),"")</f>
        <v/>
      </c>
      <c r="X2022" s="38" t="b">
        <f t="shared" si="2"/>
        <v>0</v>
      </c>
      <c r="Y2022" s="38"/>
      <c r="Z2022" s="40"/>
      <c r="AA2022" s="40"/>
      <c r="AB2022" s="38"/>
      <c r="AC2022" s="38"/>
      <c r="AD2022" s="38"/>
      <c r="AE2022" s="38"/>
      <c r="AF2022" s="38"/>
      <c r="AG2022" s="38"/>
      <c r="AH2022" s="38"/>
      <c r="AI2022" s="38"/>
      <c r="AJ2022" s="38"/>
      <c r="AK2022" s="38"/>
      <c r="AL2022" s="38"/>
      <c r="AM2022" s="38"/>
      <c r="AN2022" s="38"/>
      <c r="AO2022" s="38"/>
      <c r="AP2022" s="38"/>
      <c r="AQ2022" s="38"/>
      <c r="AR2022" s="38"/>
      <c r="AS2022" s="38"/>
      <c r="AT2022" s="38"/>
      <c r="AU2022" s="38"/>
      <c r="AV2022" s="38"/>
      <c r="AW2022" s="38"/>
      <c r="AX2022" s="38"/>
      <c r="AY2022" s="38"/>
      <c r="AZ2022" s="38"/>
      <c r="BA2022" s="38"/>
      <c r="BB2022" s="38"/>
      <c r="BC2022" s="38"/>
      <c r="BD2022" s="38"/>
      <c r="BE2022" s="38"/>
      <c r="BF2022" s="38"/>
      <c r="BG2022" s="38"/>
    </row>
    <row r="2023">
      <c r="A2023" s="16"/>
      <c r="B2023" s="16"/>
      <c r="C2023" s="146"/>
      <c r="D2023" s="146"/>
      <c r="E2023" s="16"/>
      <c r="F2023" s="91"/>
      <c r="G2023" s="16"/>
      <c r="H2023" s="320" t="str">
        <f t="shared" si="1"/>
        <v/>
      </c>
      <c r="I2023" s="16"/>
      <c r="J2023" s="16"/>
      <c r="K2023" s="16"/>
      <c r="L2023" s="38"/>
      <c r="M2023" s="16"/>
      <c r="N2023" s="16"/>
      <c r="O2023" s="16"/>
      <c r="P2023" s="15"/>
      <c r="Q2023" s="15"/>
      <c r="R2023" s="16"/>
      <c r="S2023" s="16"/>
      <c r="T2023" s="16"/>
      <c r="U2023" s="16"/>
      <c r="V2023" s="37" t="str">
        <f>IFERROR(__xludf.DUMMYFUNCTION("if(not(iserror(index(split(C2023, "" ""),2))), index(split(C2023, "" ""),1),"""")"),"")</f>
        <v/>
      </c>
      <c r="W2023" s="315" t="str">
        <f>IFERROR(__xludf.DUMMYFUNCTION("if(V2023="""",C2023,if(not(iserror(index(split(C2023, "" ""),3))), index(split(C2023, "" ""),3),index(split(C2023, "" ""),2)))"),"")</f>
        <v/>
      </c>
      <c r="X2023" s="38" t="b">
        <f t="shared" si="2"/>
        <v>0</v>
      </c>
      <c r="Y2023" s="38"/>
      <c r="Z2023" s="40"/>
      <c r="AA2023" s="40"/>
      <c r="AB2023" s="38"/>
      <c r="AC2023" s="38"/>
      <c r="AD2023" s="38"/>
      <c r="AE2023" s="38"/>
      <c r="AF2023" s="38"/>
      <c r="AG2023" s="38"/>
      <c r="AH2023" s="38"/>
      <c r="AI2023" s="38"/>
      <c r="AJ2023" s="38"/>
      <c r="AK2023" s="38"/>
      <c r="AL2023" s="38"/>
      <c r="AM2023" s="38"/>
      <c r="AN2023" s="38"/>
      <c r="AO2023" s="38"/>
      <c r="AP2023" s="38"/>
      <c r="AQ2023" s="38"/>
      <c r="AR2023" s="38"/>
      <c r="AS2023" s="38"/>
      <c r="AT2023" s="38"/>
      <c r="AU2023" s="38"/>
      <c r="AV2023" s="38"/>
      <c r="AW2023" s="38"/>
      <c r="AX2023" s="38"/>
      <c r="AY2023" s="38"/>
      <c r="AZ2023" s="38"/>
      <c r="BA2023" s="38"/>
      <c r="BB2023" s="38"/>
      <c r="BC2023" s="38"/>
      <c r="BD2023" s="38"/>
      <c r="BE2023" s="38"/>
      <c r="BF2023" s="38"/>
      <c r="BG2023" s="38"/>
    </row>
    <row r="2024">
      <c r="A2024" s="16"/>
      <c r="B2024" s="16"/>
      <c r="C2024" s="146"/>
      <c r="D2024" s="146"/>
      <c r="E2024" s="16"/>
      <c r="F2024" s="91"/>
      <c r="G2024" s="16"/>
      <c r="H2024" s="320" t="str">
        <f t="shared" si="1"/>
        <v/>
      </c>
      <c r="I2024" s="16"/>
      <c r="J2024" s="16"/>
      <c r="K2024" s="16"/>
      <c r="L2024" s="38"/>
      <c r="M2024" s="16"/>
      <c r="N2024" s="16"/>
      <c r="O2024" s="16"/>
      <c r="P2024" s="15"/>
      <c r="Q2024" s="15"/>
      <c r="R2024" s="16"/>
      <c r="S2024" s="16"/>
      <c r="T2024" s="16"/>
      <c r="U2024" s="16"/>
      <c r="V2024" s="37" t="str">
        <f>IFERROR(__xludf.DUMMYFUNCTION("if(not(iserror(index(split(C2024, "" ""),2))), index(split(C2024, "" ""),1),"""")"),"")</f>
        <v/>
      </c>
      <c r="W2024" s="315" t="str">
        <f>IFERROR(__xludf.DUMMYFUNCTION("if(V2024="""",C2024,if(not(iserror(index(split(C2024, "" ""),3))), index(split(C2024, "" ""),3),index(split(C2024, "" ""),2)))"),"")</f>
        <v/>
      </c>
      <c r="X2024" s="38" t="b">
        <f t="shared" si="2"/>
        <v>0</v>
      </c>
      <c r="Y2024" s="38"/>
      <c r="Z2024" s="40"/>
      <c r="AA2024" s="40"/>
      <c r="AB2024" s="38"/>
      <c r="AC2024" s="38"/>
      <c r="AD2024" s="38"/>
      <c r="AE2024" s="38"/>
      <c r="AF2024" s="38"/>
      <c r="AG2024" s="38"/>
      <c r="AH2024" s="38"/>
      <c r="AI2024" s="38"/>
      <c r="AJ2024" s="38"/>
      <c r="AK2024" s="38"/>
      <c r="AL2024" s="38"/>
      <c r="AM2024" s="38"/>
      <c r="AN2024" s="38"/>
      <c r="AO2024" s="38"/>
      <c r="AP2024" s="38"/>
      <c r="AQ2024" s="38"/>
      <c r="AR2024" s="38"/>
      <c r="AS2024" s="38"/>
      <c r="AT2024" s="38"/>
      <c r="AU2024" s="38"/>
      <c r="AV2024" s="38"/>
      <c r="AW2024" s="38"/>
      <c r="AX2024" s="38"/>
      <c r="AY2024" s="38"/>
      <c r="AZ2024" s="38"/>
      <c r="BA2024" s="38"/>
      <c r="BB2024" s="38"/>
      <c r="BC2024" s="38"/>
      <c r="BD2024" s="38"/>
      <c r="BE2024" s="38"/>
      <c r="BF2024" s="38"/>
      <c r="BG2024" s="38"/>
    </row>
    <row r="2025">
      <c r="A2025" s="16"/>
      <c r="B2025" s="16"/>
      <c r="C2025" s="146"/>
      <c r="D2025" s="146"/>
      <c r="E2025" s="16"/>
      <c r="F2025" s="91"/>
      <c r="G2025" s="16"/>
      <c r="H2025" s="320" t="str">
        <f t="shared" si="1"/>
        <v/>
      </c>
      <c r="I2025" s="16"/>
      <c r="J2025" s="16"/>
      <c r="K2025" s="16"/>
      <c r="L2025" s="38"/>
      <c r="M2025" s="16"/>
      <c r="N2025" s="16"/>
      <c r="O2025" s="16"/>
      <c r="P2025" s="15"/>
      <c r="Q2025" s="15"/>
      <c r="R2025" s="16"/>
      <c r="S2025" s="16"/>
      <c r="T2025" s="16"/>
      <c r="U2025" s="16"/>
      <c r="V2025" s="37" t="str">
        <f>IFERROR(__xludf.DUMMYFUNCTION("if(not(iserror(index(split(C2025, "" ""),2))), index(split(C2025, "" ""),1),"""")"),"")</f>
        <v/>
      </c>
      <c r="W2025" s="315" t="str">
        <f>IFERROR(__xludf.DUMMYFUNCTION("if(V2025="""",C2025,if(not(iserror(index(split(C2025, "" ""),3))), index(split(C2025, "" ""),3),index(split(C2025, "" ""),2)))"),"")</f>
        <v/>
      </c>
      <c r="X2025" s="38" t="b">
        <f t="shared" si="2"/>
        <v>0</v>
      </c>
      <c r="Y2025" s="38"/>
      <c r="Z2025" s="40"/>
      <c r="AA2025" s="40"/>
      <c r="AB2025" s="38"/>
      <c r="AC2025" s="38"/>
      <c r="AD2025" s="38"/>
      <c r="AE2025" s="38"/>
      <c r="AF2025" s="38"/>
      <c r="AG2025" s="38"/>
      <c r="AH2025" s="38"/>
      <c r="AI2025" s="38"/>
      <c r="AJ2025" s="38"/>
      <c r="AK2025" s="38"/>
      <c r="AL2025" s="38"/>
      <c r="AM2025" s="38"/>
      <c r="AN2025" s="38"/>
      <c r="AO2025" s="38"/>
      <c r="AP2025" s="38"/>
      <c r="AQ2025" s="38"/>
      <c r="AR2025" s="38"/>
      <c r="AS2025" s="38"/>
      <c r="AT2025" s="38"/>
      <c r="AU2025" s="38"/>
      <c r="AV2025" s="38"/>
      <c r="AW2025" s="38"/>
      <c r="AX2025" s="38"/>
      <c r="AY2025" s="38"/>
      <c r="AZ2025" s="38"/>
      <c r="BA2025" s="38"/>
      <c r="BB2025" s="38"/>
      <c r="BC2025" s="38"/>
      <c r="BD2025" s="38"/>
      <c r="BE2025" s="38"/>
      <c r="BF2025" s="38"/>
      <c r="BG2025" s="38"/>
    </row>
    <row r="2026">
      <c r="A2026" s="16"/>
      <c r="B2026" s="16"/>
      <c r="C2026" s="146"/>
      <c r="D2026" s="146"/>
      <c r="E2026" s="16"/>
      <c r="F2026" s="91"/>
      <c r="G2026" s="16"/>
      <c r="H2026" s="320" t="str">
        <f t="shared" si="1"/>
        <v/>
      </c>
      <c r="I2026" s="16"/>
      <c r="J2026" s="16"/>
      <c r="K2026" s="16"/>
      <c r="L2026" s="38"/>
      <c r="M2026" s="16"/>
      <c r="N2026" s="16"/>
      <c r="O2026" s="16"/>
      <c r="P2026" s="15"/>
      <c r="Q2026" s="15"/>
      <c r="R2026" s="16"/>
      <c r="S2026" s="16"/>
      <c r="T2026" s="16"/>
      <c r="U2026" s="16"/>
      <c r="V2026" s="37" t="str">
        <f>IFERROR(__xludf.DUMMYFUNCTION("if(not(iserror(index(split(C2026, "" ""),2))), index(split(C2026, "" ""),1),"""")"),"")</f>
        <v/>
      </c>
      <c r="W2026" s="315" t="str">
        <f>IFERROR(__xludf.DUMMYFUNCTION("if(V2026="""",C2026,if(not(iserror(index(split(C2026, "" ""),3))), index(split(C2026, "" ""),3),index(split(C2026, "" ""),2)))"),"")</f>
        <v/>
      </c>
      <c r="X2026" s="38" t="b">
        <f t="shared" si="2"/>
        <v>0</v>
      </c>
      <c r="Y2026" s="38"/>
      <c r="Z2026" s="40"/>
      <c r="AA2026" s="40"/>
      <c r="AB2026" s="38"/>
      <c r="AC2026" s="38"/>
      <c r="AD2026" s="38"/>
      <c r="AE2026" s="38"/>
      <c r="AF2026" s="38"/>
      <c r="AG2026" s="38"/>
      <c r="AH2026" s="38"/>
      <c r="AI2026" s="38"/>
      <c r="AJ2026" s="38"/>
      <c r="AK2026" s="38"/>
      <c r="AL2026" s="38"/>
      <c r="AM2026" s="38"/>
      <c r="AN2026" s="38"/>
      <c r="AO2026" s="38"/>
      <c r="AP2026" s="38"/>
      <c r="AQ2026" s="38"/>
      <c r="AR2026" s="38"/>
      <c r="AS2026" s="38"/>
      <c r="AT2026" s="38"/>
      <c r="AU2026" s="38"/>
      <c r="AV2026" s="38"/>
      <c r="AW2026" s="38"/>
      <c r="AX2026" s="38"/>
      <c r="AY2026" s="38"/>
      <c r="AZ2026" s="38"/>
      <c r="BA2026" s="38"/>
      <c r="BB2026" s="38"/>
      <c r="BC2026" s="38"/>
      <c r="BD2026" s="38"/>
      <c r="BE2026" s="38"/>
      <c r="BF2026" s="38"/>
      <c r="BG2026" s="38"/>
    </row>
    <row r="2027">
      <c r="A2027" s="16"/>
      <c r="B2027" s="16"/>
      <c r="C2027" s="146"/>
      <c r="D2027" s="146"/>
      <c r="E2027" s="16"/>
      <c r="F2027" s="91"/>
      <c r="G2027" s="16"/>
      <c r="H2027" s="320" t="str">
        <f t="shared" si="1"/>
        <v/>
      </c>
      <c r="I2027" s="16"/>
      <c r="J2027" s="16"/>
      <c r="K2027" s="16"/>
      <c r="L2027" s="38"/>
      <c r="M2027" s="16"/>
      <c r="N2027" s="16"/>
      <c r="O2027" s="16"/>
      <c r="P2027" s="15"/>
      <c r="Q2027" s="15"/>
      <c r="R2027" s="16"/>
      <c r="S2027" s="16"/>
      <c r="T2027" s="16"/>
      <c r="U2027" s="16"/>
      <c r="V2027" s="37" t="str">
        <f>IFERROR(__xludf.DUMMYFUNCTION("if(not(iserror(index(split(C2027, "" ""),2))), index(split(C2027, "" ""),1),"""")"),"")</f>
        <v/>
      </c>
      <c r="W2027" s="315" t="str">
        <f>IFERROR(__xludf.DUMMYFUNCTION("if(V2027="""",C2027,if(not(iserror(index(split(C2027, "" ""),3))), index(split(C2027, "" ""),3),index(split(C2027, "" ""),2)))"),"")</f>
        <v/>
      </c>
      <c r="X2027" s="38" t="b">
        <f t="shared" si="2"/>
        <v>0</v>
      </c>
      <c r="Y2027" s="38"/>
      <c r="Z2027" s="40"/>
      <c r="AA2027" s="40"/>
      <c r="AB2027" s="38"/>
      <c r="AC2027" s="38"/>
      <c r="AD2027" s="38"/>
      <c r="AE2027" s="38"/>
      <c r="AF2027" s="38"/>
      <c r="AG2027" s="38"/>
      <c r="AH2027" s="38"/>
      <c r="AI2027" s="38"/>
      <c r="AJ2027" s="38"/>
      <c r="AK2027" s="38"/>
      <c r="AL2027" s="38"/>
      <c r="AM2027" s="38"/>
      <c r="AN2027" s="38"/>
      <c r="AO2027" s="38"/>
      <c r="AP2027" s="38"/>
      <c r="AQ2027" s="38"/>
      <c r="AR2027" s="38"/>
      <c r="AS2027" s="38"/>
      <c r="AT2027" s="38"/>
      <c r="AU2027" s="38"/>
      <c r="AV2027" s="38"/>
      <c r="AW2027" s="38"/>
      <c r="AX2027" s="38"/>
      <c r="AY2027" s="38"/>
      <c r="AZ2027" s="38"/>
      <c r="BA2027" s="38"/>
      <c r="BB2027" s="38"/>
      <c r="BC2027" s="38"/>
      <c r="BD2027" s="38"/>
      <c r="BE2027" s="38"/>
      <c r="BF2027" s="38"/>
      <c r="BG2027" s="38"/>
    </row>
    <row r="2028">
      <c r="A2028" s="16"/>
      <c r="B2028" s="16"/>
      <c r="C2028" s="146"/>
      <c r="D2028" s="146"/>
      <c r="E2028" s="16"/>
      <c r="F2028" s="91"/>
      <c r="G2028" s="16"/>
      <c r="H2028" s="320" t="str">
        <f t="shared" si="1"/>
        <v/>
      </c>
      <c r="I2028" s="16"/>
      <c r="J2028" s="16"/>
      <c r="K2028" s="16"/>
      <c r="L2028" s="38"/>
      <c r="M2028" s="16"/>
      <c r="N2028" s="16"/>
      <c r="O2028" s="16"/>
      <c r="P2028" s="15"/>
      <c r="Q2028" s="15"/>
      <c r="R2028" s="16"/>
      <c r="S2028" s="16"/>
      <c r="T2028" s="16"/>
      <c r="U2028" s="16"/>
      <c r="V2028" s="37" t="str">
        <f>IFERROR(__xludf.DUMMYFUNCTION("if(not(iserror(index(split(C2028, "" ""),2))), index(split(C2028, "" ""),1),"""")"),"")</f>
        <v/>
      </c>
      <c r="W2028" s="315" t="str">
        <f>IFERROR(__xludf.DUMMYFUNCTION("if(V2028="""",C2028,if(not(iserror(index(split(C2028, "" ""),3))), index(split(C2028, "" ""),3),index(split(C2028, "" ""),2)))"),"")</f>
        <v/>
      </c>
      <c r="X2028" s="38" t="b">
        <f t="shared" si="2"/>
        <v>0</v>
      </c>
      <c r="Y2028" s="38"/>
      <c r="Z2028" s="40"/>
      <c r="AA2028" s="40"/>
      <c r="AB2028" s="38"/>
      <c r="AC2028" s="38"/>
      <c r="AD2028" s="38"/>
      <c r="AE2028" s="38"/>
      <c r="AF2028" s="38"/>
      <c r="AG2028" s="38"/>
      <c r="AH2028" s="38"/>
      <c r="AI2028" s="38"/>
      <c r="AJ2028" s="38"/>
      <c r="AK2028" s="38"/>
      <c r="AL2028" s="38"/>
      <c r="AM2028" s="38"/>
      <c r="AN2028" s="38"/>
      <c r="AO2028" s="38"/>
      <c r="AP2028" s="38"/>
      <c r="AQ2028" s="38"/>
      <c r="AR2028" s="38"/>
      <c r="AS2028" s="38"/>
      <c r="AT2028" s="38"/>
      <c r="AU2028" s="38"/>
      <c r="AV2028" s="38"/>
      <c r="AW2028" s="38"/>
      <c r="AX2028" s="38"/>
      <c r="AY2028" s="38"/>
      <c r="AZ2028" s="38"/>
      <c r="BA2028" s="38"/>
      <c r="BB2028" s="38"/>
      <c r="BC2028" s="38"/>
      <c r="BD2028" s="38"/>
      <c r="BE2028" s="38"/>
      <c r="BF2028" s="38"/>
      <c r="BG2028" s="38"/>
    </row>
    <row r="2029">
      <c r="A2029" s="16"/>
      <c r="B2029" s="16"/>
      <c r="C2029" s="146"/>
      <c r="D2029" s="146"/>
      <c r="E2029" s="16"/>
      <c r="F2029" s="91"/>
      <c r="G2029" s="16"/>
      <c r="H2029" s="320" t="str">
        <f t="shared" si="1"/>
        <v/>
      </c>
      <c r="I2029" s="16"/>
      <c r="J2029" s="16"/>
      <c r="K2029" s="16"/>
      <c r="L2029" s="38"/>
      <c r="M2029" s="16"/>
      <c r="N2029" s="16"/>
      <c r="O2029" s="16"/>
      <c r="P2029" s="15"/>
      <c r="Q2029" s="15"/>
      <c r="R2029" s="16"/>
      <c r="S2029" s="16"/>
      <c r="T2029" s="16"/>
      <c r="U2029" s="16"/>
      <c r="V2029" s="37" t="str">
        <f>IFERROR(__xludf.DUMMYFUNCTION("if(not(iserror(index(split(C2029, "" ""),2))), index(split(C2029, "" ""),1),"""")"),"")</f>
        <v/>
      </c>
      <c r="W2029" s="315" t="str">
        <f>IFERROR(__xludf.DUMMYFUNCTION("if(V2029="""",C2029,if(not(iserror(index(split(C2029, "" ""),3))), index(split(C2029, "" ""),3),index(split(C2029, "" ""),2)))"),"")</f>
        <v/>
      </c>
      <c r="X2029" s="38" t="b">
        <f t="shared" si="2"/>
        <v>0</v>
      </c>
      <c r="Y2029" s="38"/>
      <c r="Z2029" s="40"/>
      <c r="AA2029" s="40"/>
      <c r="AB2029" s="38"/>
      <c r="AC2029" s="38"/>
      <c r="AD2029" s="38"/>
      <c r="AE2029" s="38"/>
      <c r="AF2029" s="38"/>
      <c r="AG2029" s="38"/>
      <c r="AH2029" s="38"/>
      <c r="AI2029" s="38"/>
      <c r="AJ2029" s="38"/>
      <c r="AK2029" s="38"/>
      <c r="AL2029" s="38"/>
      <c r="AM2029" s="38"/>
      <c r="AN2029" s="38"/>
      <c r="AO2029" s="38"/>
      <c r="AP2029" s="38"/>
      <c r="AQ2029" s="38"/>
      <c r="AR2029" s="38"/>
      <c r="AS2029" s="38"/>
      <c r="AT2029" s="38"/>
      <c r="AU2029" s="38"/>
      <c r="AV2029" s="38"/>
      <c r="AW2029" s="38"/>
      <c r="AX2029" s="38"/>
      <c r="AY2029" s="38"/>
      <c r="AZ2029" s="38"/>
      <c r="BA2029" s="38"/>
      <c r="BB2029" s="38"/>
      <c r="BC2029" s="38"/>
      <c r="BD2029" s="38"/>
      <c r="BE2029" s="38"/>
      <c r="BF2029" s="38"/>
      <c r="BG2029" s="38"/>
    </row>
    <row r="2030">
      <c r="A2030" s="16"/>
      <c r="B2030" s="16"/>
      <c r="C2030" s="146"/>
      <c r="D2030" s="146"/>
      <c r="E2030" s="16"/>
      <c r="F2030" s="91"/>
      <c r="G2030" s="16"/>
      <c r="H2030" s="320" t="str">
        <f t="shared" si="1"/>
        <v/>
      </c>
      <c r="I2030" s="16"/>
      <c r="J2030" s="16"/>
      <c r="K2030" s="16"/>
      <c r="L2030" s="38"/>
      <c r="M2030" s="16"/>
      <c r="N2030" s="16"/>
      <c r="O2030" s="16"/>
      <c r="P2030" s="15"/>
      <c r="Q2030" s="15"/>
      <c r="R2030" s="16"/>
      <c r="S2030" s="16"/>
      <c r="T2030" s="16"/>
      <c r="U2030" s="16"/>
      <c r="V2030" s="37" t="str">
        <f>IFERROR(__xludf.DUMMYFUNCTION("if(not(iserror(index(split(C2030, "" ""),2))), index(split(C2030, "" ""),1),"""")"),"")</f>
        <v/>
      </c>
      <c r="W2030" s="315" t="str">
        <f>IFERROR(__xludf.DUMMYFUNCTION("if(V2030="""",C2030,if(not(iserror(index(split(C2030, "" ""),3))), index(split(C2030, "" ""),3),index(split(C2030, "" ""),2)))"),"")</f>
        <v/>
      </c>
      <c r="X2030" s="38" t="b">
        <f t="shared" si="2"/>
        <v>0</v>
      </c>
      <c r="Y2030" s="38"/>
      <c r="Z2030" s="40"/>
      <c r="AA2030" s="40"/>
      <c r="AB2030" s="38"/>
      <c r="AC2030" s="38"/>
      <c r="AD2030" s="38"/>
      <c r="AE2030" s="38"/>
      <c r="AF2030" s="38"/>
      <c r="AG2030" s="38"/>
      <c r="AH2030" s="38"/>
      <c r="AI2030" s="38"/>
      <c r="AJ2030" s="38"/>
      <c r="AK2030" s="38"/>
      <c r="AL2030" s="38"/>
      <c r="AM2030" s="38"/>
      <c r="AN2030" s="38"/>
      <c r="AO2030" s="38"/>
      <c r="AP2030" s="38"/>
      <c r="AQ2030" s="38"/>
      <c r="AR2030" s="38"/>
      <c r="AS2030" s="38"/>
      <c r="AT2030" s="38"/>
      <c r="AU2030" s="38"/>
      <c r="AV2030" s="38"/>
      <c r="AW2030" s="38"/>
      <c r="AX2030" s="38"/>
      <c r="AY2030" s="38"/>
      <c r="AZ2030" s="38"/>
      <c r="BA2030" s="38"/>
      <c r="BB2030" s="38"/>
      <c r="BC2030" s="38"/>
      <c r="BD2030" s="38"/>
      <c r="BE2030" s="38"/>
      <c r="BF2030" s="38"/>
      <c r="BG2030" s="38"/>
    </row>
    <row r="2031">
      <c r="A2031" s="16"/>
      <c r="B2031" s="16"/>
      <c r="C2031" s="146"/>
      <c r="D2031" s="146"/>
      <c r="E2031" s="16"/>
      <c r="F2031" s="91"/>
      <c r="G2031" s="16"/>
      <c r="H2031" s="320" t="str">
        <f t="shared" si="1"/>
        <v/>
      </c>
      <c r="I2031" s="16"/>
      <c r="J2031" s="16"/>
      <c r="K2031" s="16"/>
      <c r="L2031" s="38"/>
      <c r="M2031" s="16"/>
      <c r="N2031" s="16"/>
      <c r="O2031" s="16"/>
      <c r="P2031" s="15"/>
      <c r="Q2031" s="15"/>
      <c r="R2031" s="16"/>
      <c r="S2031" s="16"/>
      <c r="T2031" s="16"/>
      <c r="U2031" s="16"/>
      <c r="V2031" s="37" t="str">
        <f>IFERROR(__xludf.DUMMYFUNCTION("if(not(iserror(index(split(C2031, "" ""),2))), index(split(C2031, "" ""),1),"""")"),"")</f>
        <v/>
      </c>
      <c r="W2031" s="315" t="str">
        <f>IFERROR(__xludf.DUMMYFUNCTION("if(V2031="""",C2031,if(not(iserror(index(split(C2031, "" ""),3))), index(split(C2031, "" ""),3),index(split(C2031, "" ""),2)))"),"")</f>
        <v/>
      </c>
      <c r="X2031" s="38" t="b">
        <f t="shared" si="2"/>
        <v>0</v>
      </c>
      <c r="Y2031" s="38"/>
      <c r="Z2031" s="40"/>
      <c r="AA2031" s="40"/>
      <c r="AB2031" s="38"/>
      <c r="AC2031" s="38"/>
      <c r="AD2031" s="38"/>
      <c r="AE2031" s="38"/>
      <c r="AF2031" s="38"/>
      <c r="AG2031" s="38"/>
      <c r="AH2031" s="38"/>
      <c r="AI2031" s="38"/>
      <c r="AJ2031" s="38"/>
      <c r="AK2031" s="38"/>
      <c r="AL2031" s="38"/>
      <c r="AM2031" s="38"/>
      <c r="AN2031" s="38"/>
      <c r="AO2031" s="38"/>
      <c r="AP2031" s="38"/>
      <c r="AQ2031" s="38"/>
      <c r="AR2031" s="38"/>
      <c r="AS2031" s="38"/>
      <c r="AT2031" s="38"/>
      <c r="AU2031" s="38"/>
      <c r="AV2031" s="38"/>
      <c r="AW2031" s="38"/>
      <c r="AX2031" s="38"/>
      <c r="AY2031" s="38"/>
      <c r="AZ2031" s="38"/>
      <c r="BA2031" s="38"/>
      <c r="BB2031" s="38"/>
      <c r="BC2031" s="38"/>
      <c r="BD2031" s="38"/>
      <c r="BE2031" s="38"/>
      <c r="BF2031" s="38"/>
      <c r="BG2031" s="38"/>
    </row>
    <row r="2032">
      <c r="A2032" s="16"/>
      <c r="B2032" s="16"/>
      <c r="C2032" s="146"/>
      <c r="D2032" s="146"/>
      <c r="E2032" s="16"/>
      <c r="F2032" s="91"/>
      <c r="G2032" s="16"/>
      <c r="H2032" s="320" t="str">
        <f t="shared" si="1"/>
        <v/>
      </c>
      <c r="I2032" s="16"/>
      <c r="J2032" s="16"/>
      <c r="K2032" s="16"/>
      <c r="L2032" s="38"/>
      <c r="M2032" s="16"/>
      <c r="N2032" s="16"/>
      <c r="O2032" s="16"/>
      <c r="P2032" s="15"/>
      <c r="Q2032" s="15"/>
      <c r="R2032" s="16"/>
      <c r="S2032" s="16"/>
      <c r="T2032" s="16"/>
      <c r="U2032" s="16"/>
      <c r="V2032" s="37" t="str">
        <f>IFERROR(__xludf.DUMMYFUNCTION("if(not(iserror(index(split(C2032, "" ""),2))), index(split(C2032, "" ""),1),"""")"),"")</f>
        <v/>
      </c>
      <c r="W2032" s="315" t="str">
        <f>IFERROR(__xludf.DUMMYFUNCTION("if(V2032="""",C2032,if(not(iserror(index(split(C2032, "" ""),3))), index(split(C2032, "" ""),3),index(split(C2032, "" ""),2)))"),"")</f>
        <v/>
      </c>
      <c r="X2032" s="38" t="b">
        <f t="shared" si="2"/>
        <v>0</v>
      </c>
      <c r="Y2032" s="38"/>
      <c r="Z2032" s="40"/>
      <c r="AA2032" s="40"/>
      <c r="AB2032" s="38"/>
      <c r="AC2032" s="38"/>
      <c r="AD2032" s="38"/>
      <c r="AE2032" s="38"/>
      <c r="AF2032" s="38"/>
      <c r="AG2032" s="38"/>
      <c r="AH2032" s="38"/>
      <c r="AI2032" s="38"/>
      <c r="AJ2032" s="38"/>
      <c r="AK2032" s="38"/>
      <c r="AL2032" s="38"/>
      <c r="AM2032" s="38"/>
      <c r="AN2032" s="38"/>
      <c r="AO2032" s="38"/>
      <c r="AP2032" s="38"/>
      <c r="AQ2032" s="38"/>
      <c r="AR2032" s="38"/>
      <c r="AS2032" s="38"/>
      <c r="AT2032" s="38"/>
      <c r="AU2032" s="38"/>
      <c r="AV2032" s="38"/>
      <c r="AW2032" s="38"/>
      <c r="AX2032" s="38"/>
      <c r="AY2032" s="38"/>
      <c r="AZ2032" s="38"/>
      <c r="BA2032" s="38"/>
      <c r="BB2032" s="38"/>
      <c r="BC2032" s="38"/>
      <c r="BD2032" s="38"/>
      <c r="BE2032" s="38"/>
      <c r="BF2032" s="38"/>
      <c r="BG2032" s="38"/>
    </row>
    <row r="2033">
      <c r="A2033" s="16"/>
      <c r="B2033" s="16"/>
      <c r="C2033" s="146"/>
      <c r="D2033" s="146"/>
      <c r="E2033" s="16"/>
      <c r="F2033" s="91"/>
      <c r="G2033" s="16"/>
      <c r="H2033" s="320" t="str">
        <f t="shared" si="1"/>
        <v/>
      </c>
      <c r="I2033" s="16"/>
      <c r="J2033" s="16"/>
      <c r="K2033" s="16"/>
      <c r="L2033" s="38"/>
      <c r="M2033" s="16"/>
      <c r="N2033" s="16"/>
      <c r="O2033" s="16"/>
      <c r="P2033" s="15"/>
      <c r="Q2033" s="15"/>
      <c r="R2033" s="16"/>
      <c r="S2033" s="16"/>
      <c r="T2033" s="16"/>
      <c r="U2033" s="16"/>
      <c r="V2033" s="37" t="str">
        <f>IFERROR(__xludf.DUMMYFUNCTION("if(not(iserror(index(split(C2033, "" ""),2))), index(split(C2033, "" ""),1),"""")"),"")</f>
        <v/>
      </c>
      <c r="W2033" s="315" t="str">
        <f>IFERROR(__xludf.DUMMYFUNCTION("if(V2033="""",C2033,if(not(iserror(index(split(C2033, "" ""),3))), index(split(C2033, "" ""),3),index(split(C2033, "" ""),2)))"),"")</f>
        <v/>
      </c>
      <c r="X2033" s="38" t="b">
        <f t="shared" si="2"/>
        <v>0</v>
      </c>
      <c r="Y2033" s="38"/>
      <c r="Z2033" s="40"/>
      <c r="AA2033" s="40"/>
      <c r="AB2033" s="38"/>
      <c r="AC2033" s="38"/>
      <c r="AD2033" s="38"/>
      <c r="AE2033" s="38"/>
      <c r="AF2033" s="38"/>
      <c r="AG2033" s="38"/>
      <c r="AH2033" s="38"/>
      <c r="AI2033" s="38"/>
      <c r="AJ2033" s="38"/>
      <c r="AK2033" s="38"/>
      <c r="AL2033" s="38"/>
      <c r="AM2033" s="38"/>
      <c r="AN2033" s="38"/>
      <c r="AO2033" s="38"/>
      <c r="AP2033" s="38"/>
      <c r="AQ2033" s="38"/>
      <c r="AR2033" s="38"/>
      <c r="AS2033" s="38"/>
      <c r="AT2033" s="38"/>
      <c r="AU2033" s="38"/>
      <c r="AV2033" s="38"/>
      <c r="AW2033" s="38"/>
      <c r="AX2033" s="38"/>
      <c r="AY2033" s="38"/>
      <c r="AZ2033" s="38"/>
      <c r="BA2033" s="38"/>
      <c r="BB2033" s="38"/>
      <c r="BC2033" s="38"/>
      <c r="BD2033" s="38"/>
      <c r="BE2033" s="38"/>
      <c r="BF2033" s="38"/>
      <c r="BG2033" s="38"/>
    </row>
    <row r="2034">
      <c r="A2034" s="16"/>
      <c r="B2034" s="16"/>
      <c r="C2034" s="146"/>
      <c r="D2034" s="146"/>
      <c r="E2034" s="16"/>
      <c r="F2034" s="91"/>
      <c r="G2034" s="16"/>
      <c r="H2034" s="320" t="str">
        <f t="shared" si="1"/>
        <v/>
      </c>
      <c r="I2034" s="16"/>
      <c r="J2034" s="16"/>
      <c r="K2034" s="16"/>
      <c r="L2034" s="38"/>
      <c r="M2034" s="16"/>
      <c r="N2034" s="16"/>
      <c r="O2034" s="16"/>
      <c r="P2034" s="15"/>
      <c r="Q2034" s="15"/>
      <c r="R2034" s="16"/>
      <c r="S2034" s="16"/>
      <c r="T2034" s="16"/>
      <c r="U2034" s="16"/>
      <c r="V2034" s="37" t="str">
        <f>IFERROR(__xludf.DUMMYFUNCTION("if(not(iserror(index(split(C2034, "" ""),2))), index(split(C2034, "" ""),1),"""")"),"")</f>
        <v/>
      </c>
      <c r="W2034" s="315" t="str">
        <f>IFERROR(__xludf.DUMMYFUNCTION("if(V2034="""",C2034,if(not(iserror(index(split(C2034, "" ""),3))), index(split(C2034, "" ""),3),index(split(C2034, "" ""),2)))"),"")</f>
        <v/>
      </c>
      <c r="X2034" s="38" t="b">
        <f t="shared" si="2"/>
        <v>0</v>
      </c>
      <c r="Y2034" s="38"/>
      <c r="Z2034" s="40"/>
      <c r="AA2034" s="40"/>
      <c r="AB2034" s="38"/>
      <c r="AC2034" s="38"/>
      <c r="AD2034" s="38"/>
      <c r="AE2034" s="38"/>
      <c r="AF2034" s="38"/>
      <c r="AG2034" s="38"/>
      <c r="AH2034" s="38"/>
      <c r="AI2034" s="38"/>
      <c r="AJ2034" s="38"/>
      <c r="AK2034" s="38"/>
      <c r="AL2034" s="38"/>
      <c r="AM2034" s="38"/>
      <c r="AN2034" s="38"/>
      <c r="AO2034" s="38"/>
      <c r="AP2034" s="38"/>
      <c r="AQ2034" s="38"/>
      <c r="AR2034" s="38"/>
      <c r="AS2034" s="38"/>
      <c r="AT2034" s="38"/>
      <c r="AU2034" s="38"/>
      <c r="AV2034" s="38"/>
      <c r="AW2034" s="38"/>
      <c r="AX2034" s="38"/>
      <c r="AY2034" s="38"/>
      <c r="AZ2034" s="38"/>
      <c r="BA2034" s="38"/>
      <c r="BB2034" s="38"/>
      <c r="BC2034" s="38"/>
      <c r="BD2034" s="38"/>
      <c r="BE2034" s="38"/>
      <c r="BF2034" s="38"/>
      <c r="BG2034" s="38"/>
    </row>
    <row r="2035">
      <c r="A2035" s="16"/>
      <c r="B2035" s="16"/>
      <c r="C2035" s="146"/>
      <c r="D2035" s="146"/>
      <c r="E2035" s="16"/>
      <c r="F2035" s="91"/>
      <c r="G2035" s="16"/>
      <c r="H2035" s="320" t="str">
        <f t="shared" si="1"/>
        <v/>
      </c>
      <c r="I2035" s="16"/>
      <c r="J2035" s="16"/>
      <c r="K2035" s="16"/>
      <c r="L2035" s="38"/>
      <c r="M2035" s="16"/>
      <c r="N2035" s="16"/>
      <c r="O2035" s="16"/>
      <c r="P2035" s="15"/>
      <c r="Q2035" s="15"/>
      <c r="R2035" s="16"/>
      <c r="S2035" s="16"/>
      <c r="T2035" s="16"/>
      <c r="U2035" s="16"/>
      <c r="V2035" s="37" t="str">
        <f>IFERROR(__xludf.DUMMYFUNCTION("if(not(iserror(index(split(C2035, "" ""),2))), index(split(C2035, "" ""),1),"""")"),"")</f>
        <v/>
      </c>
      <c r="W2035" s="315" t="str">
        <f>IFERROR(__xludf.DUMMYFUNCTION("if(V2035="""",C2035,if(not(iserror(index(split(C2035, "" ""),3))), index(split(C2035, "" ""),3),index(split(C2035, "" ""),2)))"),"")</f>
        <v/>
      </c>
      <c r="X2035" s="38" t="b">
        <f t="shared" si="2"/>
        <v>0</v>
      </c>
      <c r="Y2035" s="38"/>
      <c r="Z2035" s="40"/>
      <c r="AA2035" s="40"/>
      <c r="AB2035" s="38"/>
      <c r="AC2035" s="38"/>
      <c r="AD2035" s="38"/>
      <c r="AE2035" s="38"/>
      <c r="AF2035" s="38"/>
      <c r="AG2035" s="38"/>
      <c r="AH2035" s="38"/>
      <c r="AI2035" s="38"/>
      <c r="AJ2035" s="38"/>
      <c r="AK2035" s="38"/>
      <c r="AL2035" s="38"/>
      <c r="AM2035" s="38"/>
      <c r="AN2035" s="38"/>
      <c r="AO2035" s="38"/>
      <c r="AP2035" s="38"/>
      <c r="AQ2035" s="38"/>
      <c r="AR2035" s="38"/>
      <c r="AS2035" s="38"/>
      <c r="AT2035" s="38"/>
      <c r="AU2035" s="38"/>
      <c r="AV2035" s="38"/>
      <c r="AW2035" s="38"/>
      <c r="AX2035" s="38"/>
      <c r="AY2035" s="38"/>
      <c r="AZ2035" s="38"/>
      <c r="BA2035" s="38"/>
      <c r="BB2035" s="38"/>
      <c r="BC2035" s="38"/>
      <c r="BD2035" s="38"/>
      <c r="BE2035" s="38"/>
      <c r="BF2035" s="38"/>
      <c r="BG2035" s="38"/>
    </row>
    <row r="2036">
      <c r="A2036" s="16"/>
      <c r="B2036" s="16"/>
      <c r="C2036" s="146"/>
      <c r="D2036" s="146"/>
      <c r="E2036" s="16"/>
      <c r="F2036" s="91"/>
      <c r="G2036" s="16"/>
      <c r="H2036" s="320" t="str">
        <f t="shared" si="1"/>
        <v/>
      </c>
      <c r="I2036" s="16"/>
      <c r="J2036" s="16"/>
      <c r="K2036" s="16"/>
      <c r="L2036" s="38"/>
      <c r="M2036" s="16"/>
      <c r="N2036" s="16"/>
      <c r="O2036" s="16"/>
      <c r="P2036" s="15"/>
      <c r="Q2036" s="15"/>
      <c r="R2036" s="16"/>
      <c r="S2036" s="16"/>
      <c r="T2036" s="16"/>
      <c r="U2036" s="16"/>
      <c r="V2036" s="37" t="str">
        <f>IFERROR(__xludf.DUMMYFUNCTION("if(not(iserror(index(split(C2036, "" ""),2))), index(split(C2036, "" ""),1),"""")"),"")</f>
        <v/>
      </c>
      <c r="W2036" s="315" t="str">
        <f>IFERROR(__xludf.DUMMYFUNCTION("if(V2036="""",C2036,if(not(iserror(index(split(C2036, "" ""),3))), index(split(C2036, "" ""),3),index(split(C2036, "" ""),2)))"),"")</f>
        <v/>
      </c>
      <c r="X2036" s="38" t="b">
        <f t="shared" si="2"/>
        <v>0</v>
      </c>
      <c r="Y2036" s="38"/>
      <c r="Z2036" s="40"/>
      <c r="AA2036" s="40"/>
      <c r="AB2036" s="38"/>
      <c r="AC2036" s="38"/>
      <c r="AD2036" s="38"/>
      <c r="AE2036" s="38"/>
      <c r="AF2036" s="38"/>
      <c r="AG2036" s="38"/>
      <c r="AH2036" s="38"/>
      <c r="AI2036" s="38"/>
      <c r="AJ2036" s="38"/>
      <c r="AK2036" s="38"/>
      <c r="AL2036" s="38"/>
      <c r="AM2036" s="38"/>
      <c r="AN2036" s="38"/>
      <c r="AO2036" s="38"/>
      <c r="AP2036" s="38"/>
      <c r="AQ2036" s="38"/>
      <c r="AR2036" s="38"/>
      <c r="AS2036" s="38"/>
      <c r="AT2036" s="38"/>
      <c r="AU2036" s="38"/>
      <c r="AV2036" s="38"/>
      <c r="AW2036" s="38"/>
      <c r="AX2036" s="38"/>
      <c r="AY2036" s="38"/>
      <c r="AZ2036" s="38"/>
      <c r="BA2036" s="38"/>
      <c r="BB2036" s="38"/>
      <c r="BC2036" s="38"/>
      <c r="BD2036" s="38"/>
      <c r="BE2036" s="38"/>
      <c r="BF2036" s="38"/>
      <c r="BG2036" s="38"/>
    </row>
    <row r="2037">
      <c r="A2037" s="16"/>
      <c r="B2037" s="16"/>
      <c r="C2037" s="146"/>
      <c r="D2037" s="146"/>
      <c r="E2037" s="16"/>
      <c r="F2037" s="91"/>
      <c r="G2037" s="16"/>
      <c r="H2037" s="320" t="str">
        <f t="shared" si="1"/>
        <v/>
      </c>
      <c r="I2037" s="16"/>
      <c r="J2037" s="16"/>
      <c r="K2037" s="16"/>
      <c r="L2037" s="38"/>
      <c r="M2037" s="16"/>
      <c r="N2037" s="16"/>
      <c r="O2037" s="16"/>
      <c r="P2037" s="15"/>
      <c r="Q2037" s="15"/>
      <c r="R2037" s="16"/>
      <c r="S2037" s="16"/>
      <c r="T2037" s="16"/>
      <c r="U2037" s="16"/>
      <c r="V2037" s="37" t="str">
        <f>IFERROR(__xludf.DUMMYFUNCTION("if(not(iserror(index(split(C2037, "" ""),2))), index(split(C2037, "" ""),1),"""")"),"")</f>
        <v/>
      </c>
      <c r="W2037" s="315" t="str">
        <f>IFERROR(__xludf.DUMMYFUNCTION("if(V2037="""",C2037,if(not(iserror(index(split(C2037, "" ""),3))), index(split(C2037, "" ""),3),index(split(C2037, "" ""),2)))"),"")</f>
        <v/>
      </c>
      <c r="X2037" s="38" t="b">
        <f t="shared" si="2"/>
        <v>0</v>
      </c>
      <c r="Y2037" s="38"/>
      <c r="Z2037" s="40"/>
      <c r="AA2037" s="40"/>
      <c r="AB2037" s="38"/>
      <c r="AC2037" s="38"/>
      <c r="AD2037" s="38"/>
      <c r="AE2037" s="38"/>
      <c r="AF2037" s="38"/>
      <c r="AG2037" s="38"/>
      <c r="AH2037" s="38"/>
      <c r="AI2037" s="38"/>
      <c r="AJ2037" s="38"/>
      <c r="AK2037" s="38"/>
      <c r="AL2037" s="38"/>
      <c r="AM2037" s="38"/>
      <c r="AN2037" s="38"/>
      <c r="AO2037" s="38"/>
      <c r="AP2037" s="38"/>
      <c r="AQ2037" s="38"/>
      <c r="AR2037" s="38"/>
      <c r="AS2037" s="38"/>
      <c r="AT2037" s="38"/>
      <c r="AU2037" s="38"/>
      <c r="AV2037" s="38"/>
      <c r="AW2037" s="38"/>
      <c r="AX2037" s="38"/>
      <c r="AY2037" s="38"/>
      <c r="AZ2037" s="38"/>
      <c r="BA2037" s="38"/>
      <c r="BB2037" s="38"/>
      <c r="BC2037" s="38"/>
      <c r="BD2037" s="38"/>
      <c r="BE2037" s="38"/>
      <c r="BF2037" s="38"/>
      <c r="BG2037" s="38"/>
    </row>
    <row r="2038">
      <c r="A2038" s="16"/>
      <c r="B2038" s="16"/>
      <c r="C2038" s="146"/>
      <c r="D2038" s="146"/>
      <c r="E2038" s="16"/>
      <c r="F2038" s="91"/>
      <c r="G2038" s="16"/>
      <c r="H2038" s="320" t="str">
        <f t="shared" si="1"/>
        <v/>
      </c>
      <c r="I2038" s="16"/>
      <c r="J2038" s="16"/>
      <c r="K2038" s="16"/>
      <c r="L2038" s="38"/>
      <c r="M2038" s="16"/>
      <c r="N2038" s="16"/>
      <c r="O2038" s="16"/>
      <c r="P2038" s="15"/>
      <c r="Q2038" s="15"/>
      <c r="R2038" s="16"/>
      <c r="S2038" s="16"/>
      <c r="T2038" s="16"/>
      <c r="U2038" s="16"/>
      <c r="V2038" s="37" t="str">
        <f>IFERROR(__xludf.DUMMYFUNCTION("if(not(iserror(index(split(C2038, "" ""),2))), index(split(C2038, "" ""),1),"""")"),"")</f>
        <v/>
      </c>
      <c r="W2038" s="315" t="str">
        <f>IFERROR(__xludf.DUMMYFUNCTION("if(V2038="""",C2038,if(not(iserror(index(split(C2038, "" ""),3))), index(split(C2038, "" ""),3),index(split(C2038, "" ""),2)))"),"")</f>
        <v/>
      </c>
      <c r="X2038" s="38" t="b">
        <f t="shared" si="2"/>
        <v>0</v>
      </c>
      <c r="Y2038" s="38"/>
      <c r="Z2038" s="40"/>
      <c r="AA2038" s="40"/>
      <c r="AB2038" s="38"/>
      <c r="AC2038" s="38"/>
      <c r="AD2038" s="38"/>
      <c r="AE2038" s="38"/>
      <c r="AF2038" s="38"/>
      <c r="AG2038" s="38"/>
      <c r="AH2038" s="38"/>
      <c r="AI2038" s="38"/>
      <c r="AJ2038" s="38"/>
      <c r="AK2038" s="38"/>
      <c r="AL2038" s="38"/>
      <c r="AM2038" s="38"/>
      <c r="AN2038" s="38"/>
      <c r="AO2038" s="38"/>
      <c r="AP2038" s="38"/>
      <c r="AQ2038" s="38"/>
      <c r="AR2038" s="38"/>
      <c r="AS2038" s="38"/>
      <c r="AT2038" s="38"/>
      <c r="AU2038" s="38"/>
      <c r="AV2038" s="38"/>
      <c r="AW2038" s="38"/>
      <c r="AX2038" s="38"/>
      <c r="AY2038" s="38"/>
      <c r="AZ2038" s="38"/>
      <c r="BA2038" s="38"/>
      <c r="BB2038" s="38"/>
      <c r="BC2038" s="38"/>
      <c r="BD2038" s="38"/>
      <c r="BE2038" s="38"/>
      <c r="BF2038" s="38"/>
      <c r="BG2038" s="38"/>
    </row>
    <row r="2039">
      <c r="A2039" s="16"/>
      <c r="B2039" s="16"/>
      <c r="C2039" s="146"/>
      <c r="D2039" s="146"/>
      <c r="E2039" s="16"/>
      <c r="F2039" s="91"/>
      <c r="G2039" s="16"/>
      <c r="H2039" s="320" t="str">
        <f t="shared" si="1"/>
        <v/>
      </c>
      <c r="I2039" s="16"/>
      <c r="J2039" s="16"/>
      <c r="K2039" s="16"/>
      <c r="L2039" s="38"/>
      <c r="M2039" s="16"/>
      <c r="N2039" s="16"/>
      <c r="O2039" s="16"/>
      <c r="P2039" s="15"/>
      <c r="Q2039" s="15"/>
      <c r="R2039" s="16"/>
      <c r="S2039" s="16"/>
      <c r="T2039" s="16"/>
      <c r="U2039" s="16"/>
      <c r="V2039" s="37" t="str">
        <f>IFERROR(__xludf.DUMMYFUNCTION("if(not(iserror(index(split(C2039, "" ""),2))), index(split(C2039, "" ""),1),"""")"),"")</f>
        <v/>
      </c>
      <c r="W2039" s="315" t="str">
        <f>IFERROR(__xludf.DUMMYFUNCTION("if(V2039="""",C2039,if(not(iserror(index(split(C2039, "" ""),3))), index(split(C2039, "" ""),3),index(split(C2039, "" ""),2)))"),"")</f>
        <v/>
      </c>
      <c r="X2039" s="38" t="b">
        <f t="shared" si="2"/>
        <v>0</v>
      </c>
      <c r="Y2039" s="38"/>
      <c r="Z2039" s="40"/>
      <c r="AA2039" s="40"/>
      <c r="AB2039" s="38"/>
      <c r="AC2039" s="38"/>
      <c r="AD2039" s="38"/>
      <c r="AE2039" s="38"/>
      <c r="AF2039" s="38"/>
      <c r="AG2039" s="38"/>
      <c r="AH2039" s="38"/>
      <c r="AI2039" s="38"/>
      <c r="AJ2039" s="38"/>
      <c r="AK2039" s="38"/>
      <c r="AL2039" s="38"/>
      <c r="AM2039" s="38"/>
      <c r="AN2039" s="38"/>
      <c r="AO2039" s="38"/>
      <c r="AP2039" s="38"/>
      <c r="AQ2039" s="38"/>
      <c r="AR2039" s="38"/>
      <c r="AS2039" s="38"/>
      <c r="AT2039" s="38"/>
      <c r="AU2039" s="38"/>
      <c r="AV2039" s="38"/>
      <c r="AW2039" s="38"/>
      <c r="AX2039" s="38"/>
      <c r="AY2039" s="38"/>
      <c r="AZ2039" s="38"/>
      <c r="BA2039" s="38"/>
      <c r="BB2039" s="38"/>
      <c r="BC2039" s="38"/>
      <c r="BD2039" s="38"/>
      <c r="BE2039" s="38"/>
      <c r="BF2039" s="38"/>
      <c r="BG2039" s="38"/>
    </row>
    <row r="2040">
      <c r="A2040" s="16"/>
      <c r="B2040" s="16"/>
      <c r="C2040" s="146"/>
      <c r="D2040" s="146"/>
      <c r="E2040" s="16"/>
      <c r="F2040" s="91"/>
      <c r="G2040" s="16"/>
      <c r="H2040" s="320" t="str">
        <f t="shared" si="1"/>
        <v/>
      </c>
      <c r="I2040" s="16"/>
      <c r="J2040" s="16"/>
      <c r="K2040" s="16"/>
      <c r="L2040" s="38"/>
      <c r="M2040" s="16"/>
      <c r="N2040" s="16"/>
      <c r="O2040" s="16"/>
      <c r="P2040" s="15"/>
      <c r="Q2040" s="15"/>
      <c r="R2040" s="16"/>
      <c r="S2040" s="16"/>
      <c r="T2040" s="16"/>
      <c r="U2040" s="16"/>
      <c r="V2040" s="37" t="str">
        <f>IFERROR(__xludf.DUMMYFUNCTION("if(not(iserror(index(split(C2040, "" ""),2))), index(split(C2040, "" ""),1),"""")"),"")</f>
        <v/>
      </c>
      <c r="W2040" s="315" t="str">
        <f>IFERROR(__xludf.DUMMYFUNCTION("if(V2040="""",C2040,if(not(iserror(index(split(C2040, "" ""),3))), index(split(C2040, "" ""),3),index(split(C2040, "" ""),2)))"),"")</f>
        <v/>
      </c>
      <c r="X2040" s="38" t="b">
        <f t="shared" si="2"/>
        <v>0</v>
      </c>
      <c r="Y2040" s="38"/>
      <c r="Z2040" s="40"/>
      <c r="AA2040" s="40"/>
      <c r="AB2040" s="38"/>
      <c r="AC2040" s="38"/>
      <c r="AD2040" s="38"/>
      <c r="AE2040" s="38"/>
      <c r="AF2040" s="38"/>
      <c r="AG2040" s="38"/>
      <c r="AH2040" s="38"/>
      <c r="AI2040" s="38"/>
      <c r="AJ2040" s="38"/>
      <c r="AK2040" s="38"/>
      <c r="AL2040" s="38"/>
      <c r="AM2040" s="38"/>
      <c r="AN2040" s="38"/>
      <c r="AO2040" s="38"/>
      <c r="AP2040" s="38"/>
      <c r="AQ2040" s="38"/>
      <c r="AR2040" s="38"/>
      <c r="AS2040" s="38"/>
      <c r="AT2040" s="38"/>
      <c r="AU2040" s="38"/>
      <c r="AV2040" s="38"/>
      <c r="AW2040" s="38"/>
      <c r="AX2040" s="38"/>
      <c r="AY2040" s="38"/>
      <c r="AZ2040" s="38"/>
      <c r="BA2040" s="38"/>
      <c r="BB2040" s="38"/>
      <c r="BC2040" s="38"/>
      <c r="BD2040" s="38"/>
      <c r="BE2040" s="38"/>
      <c r="BF2040" s="38"/>
      <c r="BG2040" s="38"/>
    </row>
    <row r="2041">
      <c r="A2041" s="16"/>
      <c r="B2041" s="16"/>
      <c r="C2041" s="146"/>
      <c r="D2041" s="146"/>
      <c r="E2041" s="16"/>
      <c r="F2041" s="91"/>
      <c r="G2041" s="16"/>
      <c r="H2041" s="320" t="str">
        <f t="shared" si="1"/>
        <v/>
      </c>
      <c r="I2041" s="16"/>
      <c r="J2041" s="16"/>
      <c r="K2041" s="16"/>
      <c r="L2041" s="38"/>
      <c r="M2041" s="16"/>
      <c r="N2041" s="16"/>
      <c r="O2041" s="16"/>
      <c r="P2041" s="15"/>
      <c r="Q2041" s="15"/>
      <c r="R2041" s="16"/>
      <c r="S2041" s="16"/>
      <c r="T2041" s="16"/>
      <c r="U2041" s="16"/>
      <c r="V2041" s="37" t="str">
        <f>IFERROR(__xludf.DUMMYFUNCTION("if(not(iserror(index(split(C2041, "" ""),2))), index(split(C2041, "" ""),1),"""")"),"")</f>
        <v/>
      </c>
      <c r="W2041" s="315" t="str">
        <f>IFERROR(__xludf.DUMMYFUNCTION("if(V2041="""",C2041,if(not(iserror(index(split(C2041, "" ""),3))), index(split(C2041, "" ""),3),index(split(C2041, "" ""),2)))"),"")</f>
        <v/>
      </c>
      <c r="X2041" s="38" t="b">
        <f t="shared" si="2"/>
        <v>0</v>
      </c>
      <c r="Y2041" s="38"/>
      <c r="Z2041" s="40"/>
      <c r="AA2041" s="40"/>
      <c r="AB2041" s="38"/>
      <c r="AC2041" s="38"/>
      <c r="AD2041" s="38"/>
      <c r="AE2041" s="38"/>
      <c r="AF2041" s="38"/>
      <c r="AG2041" s="38"/>
      <c r="AH2041" s="38"/>
      <c r="AI2041" s="38"/>
      <c r="AJ2041" s="38"/>
      <c r="AK2041" s="38"/>
      <c r="AL2041" s="38"/>
      <c r="AM2041" s="38"/>
      <c r="AN2041" s="38"/>
      <c r="AO2041" s="38"/>
      <c r="AP2041" s="38"/>
      <c r="AQ2041" s="38"/>
      <c r="AR2041" s="38"/>
      <c r="AS2041" s="38"/>
      <c r="AT2041" s="38"/>
      <c r="AU2041" s="38"/>
      <c r="AV2041" s="38"/>
      <c r="AW2041" s="38"/>
      <c r="AX2041" s="38"/>
      <c r="AY2041" s="38"/>
      <c r="AZ2041" s="38"/>
      <c r="BA2041" s="38"/>
      <c r="BB2041" s="38"/>
      <c r="BC2041" s="38"/>
      <c r="BD2041" s="38"/>
      <c r="BE2041" s="38"/>
      <c r="BF2041" s="38"/>
      <c r="BG2041" s="38"/>
    </row>
    <row r="2042">
      <c r="A2042" s="16"/>
      <c r="B2042" s="16"/>
      <c r="C2042" s="146"/>
      <c r="D2042" s="146"/>
      <c r="E2042" s="16"/>
      <c r="F2042" s="91"/>
      <c r="G2042" s="16"/>
      <c r="H2042" s="320" t="str">
        <f t="shared" si="1"/>
        <v/>
      </c>
      <c r="I2042" s="16"/>
      <c r="J2042" s="16"/>
      <c r="K2042" s="16"/>
      <c r="L2042" s="38"/>
      <c r="M2042" s="16"/>
      <c r="N2042" s="16"/>
      <c r="O2042" s="16"/>
      <c r="P2042" s="15"/>
      <c r="Q2042" s="15"/>
      <c r="R2042" s="16"/>
      <c r="S2042" s="16"/>
      <c r="T2042" s="16"/>
      <c r="U2042" s="16"/>
      <c r="V2042" s="37" t="str">
        <f>IFERROR(__xludf.DUMMYFUNCTION("if(not(iserror(index(split(C2042, "" ""),2))), index(split(C2042, "" ""),1),"""")"),"")</f>
        <v/>
      </c>
      <c r="W2042" s="315" t="str">
        <f>IFERROR(__xludf.DUMMYFUNCTION("if(V2042="""",C2042,if(not(iserror(index(split(C2042, "" ""),3))), index(split(C2042, "" ""),3),index(split(C2042, "" ""),2)))"),"")</f>
        <v/>
      </c>
      <c r="X2042" s="38" t="b">
        <f t="shared" si="2"/>
        <v>0</v>
      </c>
      <c r="Y2042" s="38"/>
      <c r="Z2042" s="40"/>
      <c r="AA2042" s="40"/>
      <c r="AB2042" s="38"/>
      <c r="AC2042" s="38"/>
      <c r="AD2042" s="38"/>
      <c r="AE2042" s="38"/>
      <c r="AF2042" s="38"/>
      <c r="AG2042" s="38"/>
      <c r="AH2042" s="38"/>
      <c r="AI2042" s="38"/>
      <c r="AJ2042" s="38"/>
      <c r="AK2042" s="38"/>
      <c r="AL2042" s="38"/>
      <c r="AM2042" s="38"/>
      <c r="AN2042" s="38"/>
      <c r="AO2042" s="38"/>
      <c r="AP2042" s="38"/>
      <c r="AQ2042" s="38"/>
      <c r="AR2042" s="38"/>
      <c r="AS2042" s="38"/>
      <c r="AT2042" s="38"/>
      <c r="AU2042" s="38"/>
      <c r="AV2042" s="38"/>
      <c r="AW2042" s="38"/>
      <c r="AX2042" s="38"/>
      <c r="AY2042" s="38"/>
      <c r="AZ2042" s="38"/>
      <c r="BA2042" s="38"/>
      <c r="BB2042" s="38"/>
      <c r="BC2042" s="38"/>
      <c r="BD2042" s="38"/>
      <c r="BE2042" s="38"/>
      <c r="BF2042" s="38"/>
      <c r="BG2042" s="38"/>
    </row>
    <row r="2043">
      <c r="A2043" s="16"/>
      <c r="B2043" s="16"/>
      <c r="C2043" s="146"/>
      <c r="D2043" s="146"/>
      <c r="E2043" s="16"/>
      <c r="F2043" s="91"/>
      <c r="G2043" s="16"/>
      <c r="H2043" s="320" t="str">
        <f t="shared" si="1"/>
        <v/>
      </c>
      <c r="I2043" s="16"/>
      <c r="J2043" s="16"/>
      <c r="K2043" s="16"/>
      <c r="L2043" s="38"/>
      <c r="M2043" s="16"/>
      <c r="N2043" s="16"/>
      <c r="O2043" s="16"/>
      <c r="P2043" s="15"/>
      <c r="Q2043" s="15"/>
      <c r="R2043" s="16"/>
      <c r="S2043" s="16"/>
      <c r="T2043" s="16"/>
      <c r="U2043" s="16"/>
      <c r="V2043" s="37" t="str">
        <f>IFERROR(__xludf.DUMMYFUNCTION("if(not(iserror(index(split(C2043, "" ""),2))), index(split(C2043, "" ""),1),"""")"),"")</f>
        <v/>
      </c>
      <c r="W2043" s="315" t="str">
        <f>IFERROR(__xludf.DUMMYFUNCTION("if(V2043="""",C2043,if(not(iserror(index(split(C2043, "" ""),3))), index(split(C2043, "" ""),3),index(split(C2043, "" ""),2)))"),"")</f>
        <v/>
      </c>
      <c r="X2043" s="38" t="b">
        <f t="shared" si="2"/>
        <v>0</v>
      </c>
      <c r="Y2043" s="38"/>
      <c r="Z2043" s="40"/>
      <c r="AA2043" s="40"/>
      <c r="AB2043" s="38"/>
      <c r="AC2043" s="38"/>
      <c r="AD2043" s="38"/>
      <c r="AE2043" s="38"/>
      <c r="AF2043" s="38"/>
      <c r="AG2043" s="38"/>
      <c r="AH2043" s="38"/>
      <c r="AI2043" s="38"/>
      <c r="AJ2043" s="38"/>
      <c r="AK2043" s="38"/>
      <c r="AL2043" s="38"/>
      <c r="AM2043" s="38"/>
      <c r="AN2043" s="38"/>
      <c r="AO2043" s="38"/>
      <c r="AP2043" s="38"/>
      <c r="AQ2043" s="38"/>
      <c r="AR2043" s="38"/>
      <c r="AS2043" s="38"/>
      <c r="AT2043" s="38"/>
      <c r="AU2043" s="38"/>
      <c r="AV2043" s="38"/>
      <c r="AW2043" s="38"/>
      <c r="AX2043" s="38"/>
      <c r="AY2043" s="38"/>
      <c r="AZ2043" s="38"/>
      <c r="BA2043" s="38"/>
      <c r="BB2043" s="38"/>
      <c r="BC2043" s="38"/>
      <c r="BD2043" s="38"/>
      <c r="BE2043" s="38"/>
      <c r="BF2043" s="38"/>
      <c r="BG2043" s="38"/>
    </row>
    <row r="2044">
      <c r="A2044" s="16"/>
      <c r="B2044" s="16"/>
      <c r="C2044" s="146"/>
      <c r="D2044" s="146"/>
      <c r="E2044" s="16"/>
      <c r="F2044" s="91"/>
      <c r="G2044" s="16"/>
      <c r="H2044" s="320" t="str">
        <f t="shared" si="1"/>
        <v/>
      </c>
      <c r="I2044" s="16"/>
      <c r="J2044" s="16"/>
      <c r="K2044" s="16"/>
      <c r="L2044" s="38"/>
      <c r="M2044" s="16"/>
      <c r="N2044" s="16"/>
      <c r="O2044" s="16"/>
      <c r="P2044" s="15"/>
      <c r="Q2044" s="15"/>
      <c r="R2044" s="16"/>
      <c r="S2044" s="16"/>
      <c r="T2044" s="16"/>
      <c r="U2044" s="16"/>
      <c r="V2044" s="37" t="str">
        <f>IFERROR(__xludf.DUMMYFUNCTION("if(not(iserror(index(split(C2044, "" ""),2))), index(split(C2044, "" ""),1),"""")"),"")</f>
        <v/>
      </c>
      <c r="W2044" s="315" t="str">
        <f>IFERROR(__xludf.DUMMYFUNCTION("if(V2044="""",C2044,if(not(iserror(index(split(C2044, "" ""),3))), index(split(C2044, "" ""),3),index(split(C2044, "" ""),2)))"),"")</f>
        <v/>
      </c>
      <c r="X2044" s="38" t="b">
        <f t="shared" si="2"/>
        <v>0</v>
      </c>
      <c r="Y2044" s="38"/>
      <c r="Z2044" s="40"/>
      <c r="AA2044" s="40"/>
      <c r="AB2044" s="38"/>
      <c r="AC2044" s="38"/>
      <c r="AD2044" s="38"/>
      <c r="AE2044" s="38"/>
      <c r="AF2044" s="38"/>
      <c r="AG2044" s="38"/>
      <c r="AH2044" s="38"/>
      <c r="AI2044" s="38"/>
      <c r="AJ2044" s="38"/>
      <c r="AK2044" s="38"/>
      <c r="AL2044" s="38"/>
      <c r="AM2044" s="38"/>
      <c r="AN2044" s="38"/>
      <c r="AO2044" s="38"/>
      <c r="AP2044" s="38"/>
      <c r="AQ2044" s="38"/>
      <c r="AR2044" s="38"/>
      <c r="AS2044" s="38"/>
      <c r="AT2044" s="38"/>
      <c r="AU2044" s="38"/>
      <c r="AV2044" s="38"/>
      <c r="AW2044" s="38"/>
      <c r="AX2044" s="38"/>
      <c r="AY2044" s="38"/>
      <c r="AZ2044" s="38"/>
      <c r="BA2044" s="38"/>
      <c r="BB2044" s="38"/>
      <c r="BC2044" s="38"/>
      <c r="BD2044" s="38"/>
      <c r="BE2044" s="38"/>
      <c r="BF2044" s="38"/>
      <c r="BG2044" s="38"/>
    </row>
    <row r="2045">
      <c r="A2045" s="16"/>
      <c r="B2045" s="16"/>
      <c r="C2045" s="146"/>
      <c r="D2045" s="146"/>
      <c r="E2045" s="16"/>
      <c r="F2045" s="91"/>
      <c r="G2045" s="16"/>
      <c r="H2045" s="320" t="str">
        <f t="shared" si="1"/>
        <v/>
      </c>
      <c r="I2045" s="16"/>
      <c r="J2045" s="16"/>
      <c r="K2045" s="16"/>
      <c r="L2045" s="38"/>
      <c r="M2045" s="16"/>
      <c r="N2045" s="16"/>
      <c r="O2045" s="16"/>
      <c r="P2045" s="15"/>
      <c r="Q2045" s="15"/>
      <c r="R2045" s="16"/>
      <c r="S2045" s="16"/>
      <c r="T2045" s="16"/>
      <c r="U2045" s="16"/>
      <c r="V2045" s="37" t="str">
        <f>IFERROR(__xludf.DUMMYFUNCTION("if(not(iserror(index(split(C2045, "" ""),2))), index(split(C2045, "" ""),1),"""")"),"")</f>
        <v/>
      </c>
      <c r="W2045" s="315" t="str">
        <f>IFERROR(__xludf.DUMMYFUNCTION("if(V2045="""",C2045,if(not(iserror(index(split(C2045, "" ""),3))), index(split(C2045, "" ""),3),index(split(C2045, "" ""),2)))"),"")</f>
        <v/>
      </c>
      <c r="X2045" s="38" t="b">
        <f t="shared" si="2"/>
        <v>0</v>
      </c>
      <c r="Y2045" s="38"/>
      <c r="Z2045" s="40"/>
      <c r="AA2045" s="40"/>
      <c r="AB2045" s="38"/>
      <c r="AC2045" s="38"/>
      <c r="AD2045" s="38"/>
      <c r="AE2045" s="38"/>
      <c r="AF2045" s="38"/>
      <c r="AG2045" s="38"/>
      <c r="AH2045" s="38"/>
      <c r="AI2045" s="38"/>
      <c r="AJ2045" s="38"/>
      <c r="AK2045" s="38"/>
      <c r="AL2045" s="38"/>
      <c r="AM2045" s="38"/>
      <c r="AN2045" s="38"/>
      <c r="AO2045" s="38"/>
      <c r="AP2045" s="38"/>
      <c r="AQ2045" s="38"/>
      <c r="AR2045" s="38"/>
      <c r="AS2045" s="38"/>
      <c r="AT2045" s="38"/>
      <c r="AU2045" s="38"/>
      <c r="AV2045" s="38"/>
      <c r="AW2045" s="38"/>
      <c r="AX2045" s="38"/>
      <c r="AY2045" s="38"/>
      <c r="AZ2045" s="38"/>
      <c r="BA2045" s="38"/>
      <c r="BB2045" s="38"/>
      <c r="BC2045" s="38"/>
      <c r="BD2045" s="38"/>
      <c r="BE2045" s="38"/>
      <c r="BF2045" s="38"/>
      <c r="BG2045" s="38"/>
    </row>
    <row r="2046">
      <c r="A2046" s="16"/>
      <c r="B2046" s="16"/>
      <c r="C2046" s="146"/>
      <c r="D2046" s="146"/>
      <c r="E2046" s="16"/>
      <c r="F2046" s="91"/>
      <c r="G2046" s="16"/>
      <c r="H2046" s="320" t="str">
        <f t="shared" si="1"/>
        <v/>
      </c>
      <c r="I2046" s="16"/>
      <c r="J2046" s="16"/>
      <c r="K2046" s="16"/>
      <c r="L2046" s="38"/>
      <c r="M2046" s="16"/>
      <c r="N2046" s="16"/>
      <c r="O2046" s="16"/>
      <c r="P2046" s="15"/>
      <c r="Q2046" s="15"/>
      <c r="R2046" s="16"/>
      <c r="S2046" s="16"/>
      <c r="T2046" s="16"/>
      <c r="U2046" s="16"/>
      <c r="V2046" s="37" t="str">
        <f>IFERROR(__xludf.DUMMYFUNCTION("if(not(iserror(index(split(C2046, "" ""),2))), index(split(C2046, "" ""),1),"""")"),"")</f>
        <v/>
      </c>
      <c r="W2046" s="315" t="str">
        <f>IFERROR(__xludf.DUMMYFUNCTION("if(V2046="""",C2046,if(not(iserror(index(split(C2046, "" ""),3))), index(split(C2046, "" ""),3),index(split(C2046, "" ""),2)))"),"")</f>
        <v/>
      </c>
      <c r="X2046" s="38" t="b">
        <f t="shared" si="2"/>
        <v>0</v>
      </c>
      <c r="Y2046" s="38"/>
      <c r="Z2046" s="40"/>
      <c r="AA2046" s="40"/>
      <c r="AB2046" s="38"/>
      <c r="AC2046" s="38"/>
      <c r="AD2046" s="38"/>
      <c r="AE2046" s="38"/>
      <c r="AF2046" s="38"/>
      <c r="AG2046" s="38"/>
      <c r="AH2046" s="38"/>
      <c r="AI2046" s="38"/>
      <c r="AJ2046" s="38"/>
      <c r="AK2046" s="38"/>
      <c r="AL2046" s="38"/>
      <c r="AM2046" s="38"/>
      <c r="AN2046" s="38"/>
      <c r="AO2046" s="38"/>
      <c r="AP2046" s="38"/>
      <c r="AQ2046" s="38"/>
      <c r="AR2046" s="38"/>
      <c r="AS2046" s="38"/>
      <c r="AT2046" s="38"/>
      <c r="AU2046" s="38"/>
      <c r="AV2046" s="38"/>
      <c r="AW2046" s="38"/>
      <c r="AX2046" s="38"/>
      <c r="AY2046" s="38"/>
      <c r="AZ2046" s="38"/>
      <c r="BA2046" s="38"/>
      <c r="BB2046" s="38"/>
      <c r="BC2046" s="38"/>
      <c r="BD2046" s="38"/>
      <c r="BE2046" s="38"/>
      <c r="BF2046" s="38"/>
      <c r="BG2046" s="38"/>
    </row>
    <row r="2047">
      <c r="A2047" s="16"/>
      <c r="B2047" s="16"/>
      <c r="C2047" s="146"/>
      <c r="D2047" s="146"/>
      <c r="E2047" s="16"/>
      <c r="F2047" s="91"/>
      <c r="G2047" s="16"/>
      <c r="H2047" s="320" t="str">
        <f t="shared" si="1"/>
        <v/>
      </c>
      <c r="I2047" s="16"/>
      <c r="J2047" s="16"/>
      <c r="K2047" s="16"/>
      <c r="L2047" s="38"/>
      <c r="M2047" s="16"/>
      <c r="N2047" s="16"/>
      <c r="O2047" s="16"/>
      <c r="P2047" s="15"/>
      <c r="Q2047" s="15"/>
      <c r="R2047" s="16"/>
      <c r="S2047" s="16"/>
      <c r="T2047" s="16"/>
      <c r="U2047" s="16"/>
      <c r="V2047" s="37" t="str">
        <f>IFERROR(__xludf.DUMMYFUNCTION("if(not(iserror(index(split(C2047, "" ""),2))), index(split(C2047, "" ""),1),"""")"),"")</f>
        <v/>
      </c>
      <c r="W2047" s="315" t="str">
        <f>IFERROR(__xludf.DUMMYFUNCTION("if(V2047="""",C2047,if(not(iserror(index(split(C2047, "" ""),3))), index(split(C2047, "" ""),3),index(split(C2047, "" ""),2)))"),"")</f>
        <v/>
      </c>
      <c r="X2047" s="38" t="b">
        <f t="shared" si="2"/>
        <v>0</v>
      </c>
      <c r="Y2047" s="38"/>
      <c r="Z2047" s="40"/>
      <c r="AA2047" s="40"/>
      <c r="AB2047" s="38"/>
      <c r="AC2047" s="38"/>
      <c r="AD2047" s="38"/>
      <c r="AE2047" s="38"/>
      <c r="AF2047" s="38"/>
      <c r="AG2047" s="38"/>
      <c r="AH2047" s="38"/>
      <c r="AI2047" s="38"/>
      <c r="AJ2047" s="38"/>
      <c r="AK2047" s="38"/>
      <c r="AL2047" s="38"/>
      <c r="AM2047" s="38"/>
      <c r="AN2047" s="38"/>
      <c r="AO2047" s="38"/>
      <c r="AP2047" s="38"/>
      <c r="AQ2047" s="38"/>
      <c r="AR2047" s="38"/>
      <c r="AS2047" s="38"/>
      <c r="AT2047" s="38"/>
      <c r="AU2047" s="38"/>
      <c r="AV2047" s="38"/>
      <c r="AW2047" s="38"/>
      <c r="AX2047" s="38"/>
      <c r="AY2047" s="38"/>
      <c r="AZ2047" s="38"/>
      <c r="BA2047" s="38"/>
      <c r="BB2047" s="38"/>
      <c r="BC2047" s="38"/>
      <c r="BD2047" s="38"/>
      <c r="BE2047" s="38"/>
      <c r="BF2047" s="38"/>
      <c r="BG2047" s="38"/>
    </row>
    <row r="2048">
      <c r="A2048" s="16"/>
      <c r="B2048" s="16"/>
      <c r="C2048" s="146"/>
      <c r="D2048" s="146"/>
      <c r="E2048" s="16"/>
      <c r="F2048" s="91"/>
      <c r="G2048" s="16"/>
      <c r="H2048" s="320" t="str">
        <f t="shared" si="1"/>
        <v/>
      </c>
      <c r="I2048" s="16"/>
      <c r="J2048" s="16"/>
      <c r="K2048" s="16"/>
      <c r="L2048" s="38"/>
      <c r="M2048" s="16"/>
      <c r="N2048" s="16"/>
      <c r="O2048" s="16"/>
      <c r="P2048" s="15"/>
      <c r="Q2048" s="15"/>
      <c r="R2048" s="16"/>
      <c r="S2048" s="16"/>
      <c r="T2048" s="16"/>
      <c r="U2048" s="16"/>
      <c r="V2048" s="37" t="str">
        <f>IFERROR(__xludf.DUMMYFUNCTION("if(not(iserror(index(split(C2048, "" ""),2))), index(split(C2048, "" ""),1),"""")"),"")</f>
        <v/>
      </c>
      <c r="W2048" s="315" t="str">
        <f>IFERROR(__xludf.DUMMYFUNCTION("if(V2048="""",C2048,if(not(iserror(index(split(C2048, "" ""),3))), index(split(C2048, "" ""),3),index(split(C2048, "" ""),2)))"),"")</f>
        <v/>
      </c>
      <c r="X2048" s="38" t="b">
        <f t="shared" si="2"/>
        <v>0</v>
      </c>
      <c r="Y2048" s="38"/>
      <c r="Z2048" s="40"/>
      <c r="AA2048" s="40"/>
      <c r="AB2048" s="38"/>
      <c r="AC2048" s="38"/>
      <c r="AD2048" s="38"/>
      <c r="AE2048" s="38"/>
      <c r="AF2048" s="38"/>
      <c r="AG2048" s="38"/>
      <c r="AH2048" s="38"/>
      <c r="AI2048" s="38"/>
      <c r="AJ2048" s="38"/>
      <c r="AK2048" s="38"/>
      <c r="AL2048" s="38"/>
      <c r="AM2048" s="38"/>
      <c r="AN2048" s="38"/>
      <c r="AO2048" s="38"/>
      <c r="AP2048" s="38"/>
      <c r="AQ2048" s="38"/>
      <c r="AR2048" s="38"/>
      <c r="AS2048" s="38"/>
      <c r="AT2048" s="38"/>
      <c r="AU2048" s="38"/>
      <c r="AV2048" s="38"/>
      <c r="AW2048" s="38"/>
      <c r="AX2048" s="38"/>
      <c r="AY2048" s="38"/>
      <c r="AZ2048" s="38"/>
      <c r="BA2048" s="38"/>
      <c r="BB2048" s="38"/>
      <c r="BC2048" s="38"/>
      <c r="BD2048" s="38"/>
      <c r="BE2048" s="38"/>
      <c r="BF2048" s="38"/>
      <c r="BG2048" s="38"/>
    </row>
    <row r="2049">
      <c r="A2049" s="16"/>
      <c r="B2049" s="16"/>
      <c r="C2049" s="146"/>
      <c r="D2049" s="146"/>
      <c r="E2049" s="16"/>
      <c r="F2049" s="91"/>
      <c r="G2049" s="16"/>
      <c r="H2049" s="320" t="str">
        <f t="shared" si="1"/>
        <v/>
      </c>
      <c r="I2049" s="16"/>
      <c r="J2049" s="16"/>
      <c r="K2049" s="16"/>
      <c r="L2049" s="38"/>
      <c r="M2049" s="16"/>
      <c r="N2049" s="16"/>
      <c r="O2049" s="16"/>
      <c r="P2049" s="15"/>
      <c r="Q2049" s="15"/>
      <c r="R2049" s="16"/>
      <c r="S2049" s="16"/>
      <c r="T2049" s="16"/>
      <c r="U2049" s="16"/>
      <c r="V2049" s="37" t="str">
        <f>IFERROR(__xludf.DUMMYFUNCTION("if(not(iserror(index(split(C2049, "" ""),2))), index(split(C2049, "" ""),1),"""")"),"")</f>
        <v/>
      </c>
      <c r="W2049" s="315" t="str">
        <f>IFERROR(__xludf.DUMMYFUNCTION("if(V2049="""",C2049,if(not(iserror(index(split(C2049, "" ""),3))), index(split(C2049, "" ""),3),index(split(C2049, "" ""),2)))"),"")</f>
        <v/>
      </c>
      <c r="X2049" s="38" t="b">
        <f t="shared" si="2"/>
        <v>0</v>
      </c>
      <c r="Y2049" s="38"/>
      <c r="Z2049" s="40"/>
      <c r="AA2049" s="40"/>
      <c r="AB2049" s="38"/>
      <c r="AC2049" s="38"/>
      <c r="AD2049" s="38"/>
      <c r="AE2049" s="38"/>
      <c r="AF2049" s="38"/>
      <c r="AG2049" s="38"/>
      <c r="AH2049" s="38"/>
      <c r="AI2049" s="38"/>
      <c r="AJ2049" s="38"/>
      <c r="AK2049" s="38"/>
      <c r="AL2049" s="38"/>
      <c r="AM2049" s="38"/>
      <c r="AN2049" s="38"/>
      <c r="AO2049" s="38"/>
      <c r="AP2049" s="38"/>
      <c r="AQ2049" s="38"/>
      <c r="AR2049" s="38"/>
      <c r="AS2049" s="38"/>
      <c r="AT2049" s="38"/>
      <c r="AU2049" s="38"/>
      <c r="AV2049" s="38"/>
      <c r="AW2049" s="38"/>
      <c r="AX2049" s="38"/>
      <c r="AY2049" s="38"/>
      <c r="AZ2049" s="38"/>
      <c r="BA2049" s="38"/>
      <c r="BB2049" s="38"/>
      <c r="BC2049" s="38"/>
      <c r="BD2049" s="38"/>
      <c r="BE2049" s="38"/>
      <c r="BF2049" s="38"/>
      <c r="BG2049" s="38"/>
    </row>
    <row r="2050">
      <c r="A2050" s="16"/>
      <c r="B2050" s="16"/>
      <c r="C2050" s="146"/>
      <c r="D2050" s="146"/>
      <c r="E2050" s="16"/>
      <c r="F2050" s="91"/>
      <c r="G2050" s="16"/>
      <c r="H2050" s="320" t="str">
        <f t="shared" si="1"/>
        <v/>
      </c>
      <c r="I2050" s="16"/>
      <c r="J2050" s="16"/>
      <c r="K2050" s="16"/>
      <c r="L2050" s="38"/>
      <c r="M2050" s="16"/>
      <c r="N2050" s="16"/>
      <c r="O2050" s="16"/>
      <c r="P2050" s="15"/>
      <c r="Q2050" s="15"/>
      <c r="R2050" s="16"/>
      <c r="S2050" s="16"/>
      <c r="T2050" s="16"/>
      <c r="U2050" s="16"/>
      <c r="V2050" s="37" t="str">
        <f>IFERROR(__xludf.DUMMYFUNCTION("if(not(iserror(index(split(C2050, "" ""),2))), index(split(C2050, "" ""),1),"""")"),"")</f>
        <v/>
      </c>
      <c r="W2050" s="315" t="str">
        <f>IFERROR(__xludf.DUMMYFUNCTION("if(V2050="""",C2050,if(not(iserror(index(split(C2050, "" ""),3))), index(split(C2050, "" ""),3),index(split(C2050, "" ""),2)))"),"")</f>
        <v/>
      </c>
      <c r="X2050" s="38" t="b">
        <f t="shared" si="2"/>
        <v>0</v>
      </c>
      <c r="Y2050" s="38"/>
      <c r="Z2050" s="40"/>
      <c r="AA2050" s="40"/>
      <c r="AB2050" s="38"/>
      <c r="AC2050" s="38"/>
      <c r="AD2050" s="38"/>
      <c r="AE2050" s="38"/>
      <c r="AF2050" s="38"/>
      <c r="AG2050" s="38"/>
      <c r="AH2050" s="38"/>
      <c r="AI2050" s="38"/>
      <c r="AJ2050" s="38"/>
      <c r="AK2050" s="38"/>
      <c r="AL2050" s="38"/>
      <c r="AM2050" s="38"/>
      <c r="AN2050" s="38"/>
      <c r="AO2050" s="38"/>
      <c r="AP2050" s="38"/>
      <c r="AQ2050" s="38"/>
      <c r="AR2050" s="38"/>
      <c r="AS2050" s="38"/>
      <c r="AT2050" s="38"/>
      <c r="AU2050" s="38"/>
      <c r="AV2050" s="38"/>
      <c r="AW2050" s="38"/>
      <c r="AX2050" s="38"/>
      <c r="AY2050" s="38"/>
      <c r="AZ2050" s="38"/>
      <c r="BA2050" s="38"/>
      <c r="BB2050" s="38"/>
      <c r="BC2050" s="38"/>
      <c r="BD2050" s="38"/>
      <c r="BE2050" s="38"/>
      <c r="BF2050" s="38"/>
      <c r="BG2050" s="38"/>
    </row>
    <row r="2051">
      <c r="A2051" s="16"/>
      <c r="B2051" s="16"/>
      <c r="C2051" s="146"/>
      <c r="D2051" s="146"/>
      <c r="E2051" s="16"/>
      <c r="F2051" s="91"/>
      <c r="G2051" s="16"/>
      <c r="H2051" s="320" t="str">
        <f t="shared" si="1"/>
        <v/>
      </c>
      <c r="I2051" s="16"/>
      <c r="J2051" s="16"/>
      <c r="K2051" s="16"/>
      <c r="L2051" s="38"/>
      <c r="M2051" s="16"/>
      <c r="N2051" s="16"/>
      <c r="O2051" s="16"/>
      <c r="P2051" s="15"/>
      <c r="Q2051" s="15"/>
      <c r="R2051" s="16"/>
      <c r="S2051" s="16"/>
      <c r="T2051" s="16"/>
      <c r="U2051" s="16"/>
      <c r="V2051" s="37" t="str">
        <f>IFERROR(__xludf.DUMMYFUNCTION("if(not(iserror(index(split(C2051, "" ""),2))), index(split(C2051, "" ""),1),"""")"),"")</f>
        <v/>
      </c>
      <c r="W2051" s="315" t="str">
        <f>IFERROR(__xludf.DUMMYFUNCTION("if(V2051="""",C2051,if(not(iserror(index(split(C2051, "" ""),3))), index(split(C2051, "" ""),3),index(split(C2051, "" ""),2)))"),"")</f>
        <v/>
      </c>
      <c r="X2051" s="38" t="b">
        <f t="shared" si="2"/>
        <v>0</v>
      </c>
      <c r="Y2051" s="38"/>
      <c r="Z2051" s="40"/>
      <c r="AA2051" s="40"/>
      <c r="AB2051" s="38"/>
      <c r="AC2051" s="38"/>
      <c r="AD2051" s="38"/>
      <c r="AE2051" s="38"/>
      <c r="AF2051" s="38"/>
      <c r="AG2051" s="38"/>
      <c r="AH2051" s="38"/>
      <c r="AI2051" s="38"/>
      <c r="AJ2051" s="38"/>
      <c r="AK2051" s="38"/>
      <c r="AL2051" s="38"/>
      <c r="AM2051" s="38"/>
      <c r="AN2051" s="38"/>
      <c r="AO2051" s="38"/>
      <c r="AP2051" s="38"/>
      <c r="AQ2051" s="38"/>
      <c r="AR2051" s="38"/>
      <c r="AS2051" s="38"/>
      <c r="AT2051" s="38"/>
      <c r="AU2051" s="38"/>
      <c r="AV2051" s="38"/>
      <c r="AW2051" s="38"/>
      <c r="AX2051" s="38"/>
      <c r="AY2051" s="38"/>
      <c r="AZ2051" s="38"/>
      <c r="BA2051" s="38"/>
      <c r="BB2051" s="38"/>
      <c r="BC2051" s="38"/>
      <c r="BD2051" s="38"/>
      <c r="BE2051" s="38"/>
      <c r="BF2051" s="38"/>
      <c r="BG2051" s="38"/>
    </row>
    <row r="2052">
      <c r="A2052" s="16"/>
      <c r="B2052" s="16"/>
      <c r="C2052" s="146"/>
      <c r="D2052" s="146"/>
      <c r="E2052" s="16"/>
      <c r="F2052" s="91"/>
      <c r="G2052" s="16"/>
      <c r="H2052" s="320" t="str">
        <f t="shared" si="1"/>
        <v/>
      </c>
      <c r="I2052" s="16"/>
      <c r="J2052" s="16"/>
      <c r="K2052" s="16"/>
      <c r="L2052" s="38"/>
      <c r="M2052" s="16"/>
      <c r="N2052" s="16"/>
      <c r="O2052" s="16"/>
      <c r="P2052" s="15"/>
      <c r="Q2052" s="15"/>
      <c r="R2052" s="16"/>
      <c r="S2052" s="16"/>
      <c r="T2052" s="16"/>
      <c r="U2052" s="16"/>
      <c r="V2052" s="37" t="str">
        <f>IFERROR(__xludf.DUMMYFUNCTION("if(not(iserror(index(split(C2052, "" ""),2))), index(split(C2052, "" ""),1),"""")"),"")</f>
        <v/>
      </c>
      <c r="W2052" s="315" t="str">
        <f>IFERROR(__xludf.DUMMYFUNCTION("if(V2052="""",C2052,if(not(iserror(index(split(C2052, "" ""),3))), index(split(C2052, "" ""),3),index(split(C2052, "" ""),2)))"),"")</f>
        <v/>
      </c>
      <c r="X2052" s="38" t="b">
        <f t="shared" si="2"/>
        <v>0</v>
      </c>
      <c r="Y2052" s="38"/>
      <c r="Z2052" s="40"/>
      <c r="AA2052" s="40"/>
      <c r="AB2052" s="38"/>
      <c r="AC2052" s="38"/>
      <c r="AD2052" s="38"/>
      <c r="AE2052" s="38"/>
      <c r="AF2052" s="38"/>
      <c r="AG2052" s="38"/>
      <c r="AH2052" s="38"/>
      <c r="AI2052" s="38"/>
      <c r="AJ2052" s="38"/>
      <c r="AK2052" s="38"/>
      <c r="AL2052" s="38"/>
      <c r="AM2052" s="38"/>
      <c r="AN2052" s="38"/>
      <c r="AO2052" s="38"/>
      <c r="AP2052" s="38"/>
      <c r="AQ2052" s="38"/>
      <c r="AR2052" s="38"/>
      <c r="AS2052" s="38"/>
      <c r="AT2052" s="38"/>
      <c r="AU2052" s="38"/>
      <c r="AV2052" s="38"/>
      <c r="AW2052" s="38"/>
      <c r="AX2052" s="38"/>
      <c r="AY2052" s="38"/>
      <c r="AZ2052" s="38"/>
      <c r="BA2052" s="38"/>
      <c r="BB2052" s="38"/>
      <c r="BC2052" s="38"/>
      <c r="BD2052" s="38"/>
      <c r="BE2052" s="38"/>
      <c r="BF2052" s="38"/>
      <c r="BG2052" s="38"/>
    </row>
    <row r="2053">
      <c r="A2053" s="16"/>
      <c r="B2053" s="16"/>
      <c r="C2053" s="146"/>
      <c r="D2053" s="146"/>
      <c r="E2053" s="16"/>
      <c r="F2053" s="91"/>
      <c r="G2053" s="16"/>
      <c r="H2053" s="320" t="str">
        <f t="shared" si="1"/>
        <v/>
      </c>
      <c r="I2053" s="16"/>
      <c r="J2053" s="16"/>
      <c r="K2053" s="16"/>
      <c r="L2053" s="38"/>
      <c r="M2053" s="16"/>
      <c r="N2053" s="16"/>
      <c r="O2053" s="16"/>
      <c r="P2053" s="15"/>
      <c r="Q2053" s="15"/>
      <c r="R2053" s="16"/>
      <c r="S2053" s="16"/>
      <c r="T2053" s="16"/>
      <c r="U2053" s="16"/>
      <c r="V2053" s="37" t="str">
        <f>IFERROR(__xludf.DUMMYFUNCTION("if(not(iserror(index(split(C2053, "" ""),2))), index(split(C2053, "" ""),1),"""")"),"")</f>
        <v/>
      </c>
      <c r="W2053" s="315" t="str">
        <f>IFERROR(__xludf.DUMMYFUNCTION("if(V2053="""",C2053,if(not(iserror(index(split(C2053, "" ""),3))), index(split(C2053, "" ""),3),index(split(C2053, "" ""),2)))"),"")</f>
        <v/>
      </c>
      <c r="X2053" s="38" t="b">
        <f t="shared" si="2"/>
        <v>0</v>
      </c>
      <c r="Y2053" s="38"/>
      <c r="Z2053" s="40"/>
      <c r="AA2053" s="40"/>
      <c r="AB2053" s="38"/>
      <c r="AC2053" s="38"/>
      <c r="AD2053" s="38"/>
      <c r="AE2053" s="38"/>
      <c r="AF2053" s="38"/>
      <c r="AG2053" s="38"/>
      <c r="AH2053" s="38"/>
      <c r="AI2053" s="38"/>
      <c r="AJ2053" s="38"/>
      <c r="AK2053" s="38"/>
      <c r="AL2053" s="38"/>
      <c r="AM2053" s="38"/>
      <c r="AN2053" s="38"/>
      <c r="AO2053" s="38"/>
      <c r="AP2053" s="38"/>
      <c r="AQ2053" s="38"/>
      <c r="AR2053" s="38"/>
      <c r="AS2053" s="38"/>
      <c r="AT2053" s="38"/>
      <c r="AU2053" s="38"/>
      <c r="AV2053" s="38"/>
      <c r="AW2053" s="38"/>
      <c r="AX2053" s="38"/>
      <c r="AY2053" s="38"/>
      <c r="AZ2053" s="38"/>
      <c r="BA2053" s="38"/>
      <c r="BB2053" s="38"/>
      <c r="BC2053" s="38"/>
      <c r="BD2053" s="38"/>
      <c r="BE2053" s="38"/>
      <c r="BF2053" s="38"/>
      <c r="BG2053" s="38"/>
    </row>
    <row r="2054">
      <c r="A2054" s="16"/>
      <c r="B2054" s="16"/>
      <c r="C2054" s="146"/>
      <c r="D2054" s="146"/>
      <c r="E2054" s="16"/>
      <c r="F2054" s="91"/>
      <c r="G2054" s="16"/>
      <c r="H2054" s="320" t="str">
        <f t="shared" si="1"/>
        <v/>
      </c>
      <c r="I2054" s="16"/>
      <c r="J2054" s="16"/>
      <c r="K2054" s="16"/>
      <c r="L2054" s="38"/>
      <c r="M2054" s="16"/>
      <c r="N2054" s="16"/>
      <c r="O2054" s="16"/>
      <c r="P2054" s="15"/>
      <c r="Q2054" s="15"/>
      <c r="R2054" s="16"/>
      <c r="S2054" s="16"/>
      <c r="T2054" s="16"/>
      <c r="U2054" s="16"/>
      <c r="V2054" s="37" t="str">
        <f>IFERROR(__xludf.DUMMYFUNCTION("if(not(iserror(index(split(C2054, "" ""),2))), index(split(C2054, "" ""),1),"""")"),"")</f>
        <v/>
      </c>
      <c r="W2054" s="315" t="str">
        <f>IFERROR(__xludf.DUMMYFUNCTION("if(V2054="""",C2054,if(not(iserror(index(split(C2054, "" ""),3))), index(split(C2054, "" ""),3),index(split(C2054, "" ""),2)))"),"")</f>
        <v/>
      </c>
      <c r="X2054" s="38" t="b">
        <f t="shared" si="2"/>
        <v>0</v>
      </c>
      <c r="Y2054" s="38"/>
      <c r="Z2054" s="40"/>
      <c r="AA2054" s="40"/>
      <c r="AB2054" s="38"/>
      <c r="AC2054" s="38"/>
      <c r="AD2054" s="38"/>
      <c r="AE2054" s="38"/>
      <c r="AF2054" s="38"/>
      <c r="AG2054" s="38"/>
      <c r="AH2054" s="38"/>
      <c r="AI2054" s="38"/>
      <c r="AJ2054" s="38"/>
      <c r="AK2054" s="38"/>
      <c r="AL2054" s="38"/>
      <c r="AM2054" s="38"/>
      <c r="AN2054" s="38"/>
      <c r="AO2054" s="38"/>
      <c r="AP2054" s="38"/>
      <c r="AQ2054" s="38"/>
      <c r="AR2054" s="38"/>
      <c r="AS2054" s="38"/>
      <c r="AT2054" s="38"/>
      <c r="AU2054" s="38"/>
      <c r="AV2054" s="38"/>
      <c r="AW2054" s="38"/>
      <c r="AX2054" s="38"/>
      <c r="AY2054" s="38"/>
      <c r="AZ2054" s="38"/>
      <c r="BA2054" s="38"/>
      <c r="BB2054" s="38"/>
      <c r="BC2054" s="38"/>
      <c r="BD2054" s="38"/>
      <c r="BE2054" s="38"/>
      <c r="BF2054" s="38"/>
      <c r="BG2054" s="38"/>
    </row>
    <row r="2055">
      <c r="A2055" s="16"/>
      <c r="B2055" s="16"/>
      <c r="C2055" s="146"/>
      <c r="D2055" s="146"/>
      <c r="E2055" s="16"/>
      <c r="F2055" s="91"/>
      <c r="G2055" s="16"/>
      <c r="H2055" s="320" t="str">
        <f t="shared" si="1"/>
        <v/>
      </c>
      <c r="I2055" s="16"/>
      <c r="J2055" s="16"/>
      <c r="K2055" s="16"/>
      <c r="L2055" s="38"/>
      <c r="M2055" s="16"/>
      <c r="N2055" s="16"/>
      <c r="O2055" s="16"/>
      <c r="P2055" s="15"/>
      <c r="Q2055" s="15"/>
      <c r="R2055" s="16"/>
      <c r="S2055" s="16"/>
      <c r="T2055" s="16"/>
      <c r="U2055" s="16"/>
      <c r="V2055" s="37" t="str">
        <f>IFERROR(__xludf.DUMMYFUNCTION("if(not(iserror(index(split(C2055, "" ""),2))), index(split(C2055, "" ""),1),"""")"),"")</f>
        <v/>
      </c>
      <c r="W2055" s="315" t="str">
        <f>IFERROR(__xludf.DUMMYFUNCTION("if(V2055="""",C2055,if(not(iserror(index(split(C2055, "" ""),3))), index(split(C2055, "" ""),3),index(split(C2055, "" ""),2)))"),"")</f>
        <v/>
      </c>
      <c r="X2055" s="38" t="b">
        <f t="shared" si="2"/>
        <v>0</v>
      </c>
      <c r="Y2055" s="38"/>
      <c r="Z2055" s="40"/>
      <c r="AA2055" s="40"/>
      <c r="AB2055" s="38"/>
      <c r="AC2055" s="38"/>
      <c r="AD2055" s="38"/>
      <c r="AE2055" s="38"/>
      <c r="AF2055" s="38"/>
      <c r="AG2055" s="38"/>
      <c r="AH2055" s="38"/>
      <c r="AI2055" s="38"/>
      <c r="AJ2055" s="38"/>
      <c r="AK2055" s="38"/>
      <c r="AL2055" s="38"/>
      <c r="AM2055" s="38"/>
      <c r="AN2055" s="38"/>
      <c r="AO2055" s="38"/>
      <c r="AP2055" s="38"/>
      <c r="AQ2055" s="38"/>
      <c r="AR2055" s="38"/>
      <c r="AS2055" s="38"/>
      <c r="AT2055" s="38"/>
      <c r="AU2055" s="38"/>
      <c r="AV2055" s="38"/>
      <c r="AW2055" s="38"/>
      <c r="AX2055" s="38"/>
      <c r="AY2055" s="38"/>
      <c r="AZ2055" s="38"/>
      <c r="BA2055" s="38"/>
      <c r="BB2055" s="38"/>
      <c r="BC2055" s="38"/>
      <c r="BD2055" s="38"/>
      <c r="BE2055" s="38"/>
      <c r="BF2055" s="38"/>
      <c r="BG2055" s="38"/>
    </row>
    <row r="2056">
      <c r="A2056" s="16"/>
      <c r="B2056" s="16"/>
      <c r="C2056" s="146"/>
      <c r="D2056" s="146"/>
      <c r="E2056" s="16"/>
      <c r="F2056" s="91"/>
      <c r="G2056" s="16"/>
      <c r="H2056" s="320" t="str">
        <f t="shared" si="1"/>
        <v/>
      </c>
      <c r="I2056" s="16"/>
      <c r="J2056" s="16"/>
      <c r="K2056" s="16"/>
      <c r="L2056" s="38"/>
      <c r="M2056" s="16"/>
      <c r="N2056" s="16"/>
      <c r="O2056" s="16"/>
      <c r="P2056" s="15"/>
      <c r="Q2056" s="15"/>
      <c r="R2056" s="16"/>
      <c r="S2056" s="16"/>
      <c r="T2056" s="16"/>
      <c r="U2056" s="16"/>
      <c r="V2056" s="37" t="str">
        <f>IFERROR(__xludf.DUMMYFUNCTION("if(not(iserror(index(split(C2056, "" ""),2))), index(split(C2056, "" ""),1),"""")"),"")</f>
        <v/>
      </c>
      <c r="W2056" s="315" t="str">
        <f>IFERROR(__xludf.DUMMYFUNCTION("if(V2056="""",C2056,if(not(iserror(index(split(C2056, "" ""),3))), index(split(C2056, "" ""),3),index(split(C2056, "" ""),2)))"),"")</f>
        <v/>
      </c>
      <c r="X2056" s="38" t="b">
        <f t="shared" si="2"/>
        <v>0</v>
      </c>
      <c r="Y2056" s="38"/>
      <c r="Z2056" s="40"/>
      <c r="AA2056" s="40"/>
      <c r="AB2056" s="38"/>
      <c r="AC2056" s="38"/>
      <c r="AD2056" s="38"/>
      <c r="AE2056" s="38"/>
      <c r="AF2056" s="38"/>
      <c r="AG2056" s="38"/>
      <c r="AH2056" s="38"/>
      <c r="AI2056" s="38"/>
      <c r="AJ2056" s="38"/>
      <c r="AK2056" s="38"/>
      <c r="AL2056" s="38"/>
      <c r="AM2056" s="38"/>
      <c r="AN2056" s="38"/>
      <c r="AO2056" s="38"/>
      <c r="AP2056" s="38"/>
      <c r="AQ2056" s="38"/>
      <c r="AR2056" s="38"/>
      <c r="AS2056" s="38"/>
      <c r="AT2056" s="38"/>
      <c r="AU2056" s="38"/>
      <c r="AV2056" s="38"/>
      <c r="AW2056" s="38"/>
      <c r="AX2056" s="38"/>
      <c r="AY2056" s="38"/>
      <c r="AZ2056" s="38"/>
      <c r="BA2056" s="38"/>
      <c r="BB2056" s="38"/>
      <c r="BC2056" s="38"/>
      <c r="BD2056" s="38"/>
      <c r="BE2056" s="38"/>
      <c r="BF2056" s="38"/>
      <c r="BG2056" s="38"/>
    </row>
    <row r="2057">
      <c r="A2057" s="16"/>
      <c r="B2057" s="16"/>
      <c r="C2057" s="146"/>
      <c r="D2057" s="146"/>
      <c r="E2057" s="16"/>
      <c r="F2057" s="91"/>
      <c r="G2057" s="16"/>
      <c r="H2057" s="320" t="str">
        <f t="shared" si="1"/>
        <v/>
      </c>
      <c r="I2057" s="16"/>
      <c r="J2057" s="16"/>
      <c r="K2057" s="16"/>
      <c r="L2057" s="38"/>
      <c r="M2057" s="16"/>
      <c r="N2057" s="16"/>
      <c r="O2057" s="16"/>
      <c r="P2057" s="15"/>
      <c r="Q2057" s="15"/>
      <c r="R2057" s="16"/>
      <c r="S2057" s="16"/>
      <c r="T2057" s="16"/>
      <c r="U2057" s="16"/>
      <c r="V2057" s="37" t="str">
        <f>IFERROR(__xludf.DUMMYFUNCTION("if(not(iserror(index(split(C2057, "" ""),2))), index(split(C2057, "" ""),1),"""")"),"")</f>
        <v/>
      </c>
      <c r="W2057" s="315" t="str">
        <f>IFERROR(__xludf.DUMMYFUNCTION("if(V2057="""",C2057,if(not(iserror(index(split(C2057, "" ""),3))), index(split(C2057, "" ""),3),index(split(C2057, "" ""),2)))"),"")</f>
        <v/>
      </c>
      <c r="X2057" s="38" t="b">
        <f t="shared" si="2"/>
        <v>0</v>
      </c>
      <c r="Y2057" s="38"/>
      <c r="Z2057" s="40"/>
      <c r="AA2057" s="40"/>
      <c r="AB2057" s="38"/>
      <c r="AC2057" s="38"/>
      <c r="AD2057" s="38"/>
      <c r="AE2057" s="38"/>
      <c r="AF2057" s="38"/>
      <c r="AG2057" s="38"/>
      <c r="AH2057" s="38"/>
      <c r="AI2057" s="38"/>
      <c r="AJ2057" s="38"/>
      <c r="AK2057" s="38"/>
      <c r="AL2057" s="38"/>
      <c r="AM2057" s="38"/>
      <c r="AN2057" s="38"/>
      <c r="AO2057" s="38"/>
      <c r="AP2057" s="38"/>
      <c r="AQ2057" s="38"/>
      <c r="AR2057" s="38"/>
      <c r="AS2057" s="38"/>
      <c r="AT2057" s="38"/>
      <c r="AU2057" s="38"/>
      <c r="AV2057" s="38"/>
      <c r="AW2057" s="38"/>
      <c r="AX2057" s="38"/>
      <c r="AY2057" s="38"/>
      <c r="AZ2057" s="38"/>
      <c r="BA2057" s="38"/>
      <c r="BB2057" s="38"/>
      <c r="BC2057" s="38"/>
      <c r="BD2057" s="38"/>
      <c r="BE2057" s="38"/>
      <c r="BF2057" s="38"/>
      <c r="BG2057" s="38"/>
    </row>
    <row r="2058">
      <c r="A2058" s="16"/>
      <c r="B2058" s="16"/>
      <c r="C2058" s="146"/>
      <c r="D2058" s="146"/>
      <c r="E2058" s="16"/>
      <c r="F2058" s="91"/>
      <c r="G2058" s="16"/>
      <c r="H2058" s="320" t="str">
        <f t="shared" si="1"/>
        <v/>
      </c>
      <c r="I2058" s="16"/>
      <c r="J2058" s="16"/>
      <c r="K2058" s="16"/>
      <c r="L2058" s="38"/>
      <c r="M2058" s="16"/>
      <c r="N2058" s="16"/>
      <c r="O2058" s="16"/>
      <c r="P2058" s="15"/>
      <c r="Q2058" s="15"/>
      <c r="R2058" s="16"/>
      <c r="S2058" s="16"/>
      <c r="T2058" s="16"/>
      <c r="U2058" s="16"/>
      <c r="V2058" s="37" t="str">
        <f>IFERROR(__xludf.DUMMYFUNCTION("if(not(iserror(index(split(C2058, "" ""),2))), index(split(C2058, "" ""),1),"""")"),"")</f>
        <v/>
      </c>
      <c r="W2058" s="315" t="str">
        <f>IFERROR(__xludf.DUMMYFUNCTION("if(V2058="""",C2058,if(not(iserror(index(split(C2058, "" ""),3))), index(split(C2058, "" ""),3),index(split(C2058, "" ""),2)))"),"")</f>
        <v/>
      </c>
      <c r="X2058" s="38" t="b">
        <f t="shared" si="2"/>
        <v>0</v>
      </c>
      <c r="Y2058" s="38"/>
      <c r="Z2058" s="40"/>
      <c r="AA2058" s="40"/>
      <c r="AB2058" s="38"/>
      <c r="AC2058" s="38"/>
      <c r="AD2058" s="38"/>
      <c r="AE2058" s="38"/>
      <c r="AF2058" s="38"/>
      <c r="AG2058" s="38"/>
      <c r="AH2058" s="38"/>
      <c r="AI2058" s="38"/>
      <c r="AJ2058" s="38"/>
      <c r="AK2058" s="38"/>
      <c r="AL2058" s="38"/>
      <c r="AM2058" s="38"/>
      <c r="AN2058" s="38"/>
      <c r="AO2058" s="38"/>
      <c r="AP2058" s="38"/>
      <c r="AQ2058" s="38"/>
      <c r="AR2058" s="38"/>
      <c r="AS2058" s="38"/>
      <c r="AT2058" s="38"/>
      <c r="AU2058" s="38"/>
      <c r="AV2058" s="38"/>
      <c r="AW2058" s="38"/>
      <c r="AX2058" s="38"/>
      <c r="AY2058" s="38"/>
      <c r="AZ2058" s="38"/>
      <c r="BA2058" s="38"/>
      <c r="BB2058" s="38"/>
      <c r="BC2058" s="38"/>
      <c r="BD2058" s="38"/>
      <c r="BE2058" s="38"/>
      <c r="BF2058" s="38"/>
      <c r="BG2058" s="38"/>
    </row>
    <row r="2059">
      <c r="A2059" s="16"/>
      <c r="B2059" s="16"/>
      <c r="C2059" s="146"/>
      <c r="D2059" s="146"/>
      <c r="E2059" s="16"/>
      <c r="F2059" s="91"/>
      <c r="G2059" s="16"/>
      <c r="H2059" s="320" t="str">
        <f t="shared" si="1"/>
        <v/>
      </c>
      <c r="I2059" s="16"/>
      <c r="J2059" s="16"/>
      <c r="K2059" s="16"/>
      <c r="L2059" s="38"/>
      <c r="M2059" s="16"/>
      <c r="N2059" s="16"/>
      <c r="O2059" s="16"/>
      <c r="P2059" s="15"/>
      <c r="Q2059" s="15"/>
      <c r="R2059" s="16"/>
      <c r="S2059" s="16"/>
      <c r="T2059" s="16"/>
      <c r="U2059" s="16"/>
      <c r="V2059" s="37" t="str">
        <f>IFERROR(__xludf.DUMMYFUNCTION("if(not(iserror(index(split(C2059, "" ""),2))), index(split(C2059, "" ""),1),"""")"),"")</f>
        <v/>
      </c>
      <c r="W2059" s="315" t="str">
        <f>IFERROR(__xludf.DUMMYFUNCTION("if(V2059="""",C2059,if(not(iserror(index(split(C2059, "" ""),3))), index(split(C2059, "" ""),3),index(split(C2059, "" ""),2)))"),"")</f>
        <v/>
      </c>
      <c r="X2059" s="38" t="b">
        <f t="shared" si="2"/>
        <v>0</v>
      </c>
      <c r="Y2059" s="38"/>
      <c r="Z2059" s="40"/>
      <c r="AA2059" s="40"/>
      <c r="AB2059" s="38"/>
      <c r="AC2059" s="38"/>
      <c r="AD2059" s="38"/>
      <c r="AE2059" s="38"/>
      <c r="AF2059" s="38"/>
      <c r="AG2059" s="38"/>
      <c r="AH2059" s="38"/>
      <c r="AI2059" s="38"/>
      <c r="AJ2059" s="38"/>
      <c r="AK2059" s="38"/>
      <c r="AL2059" s="38"/>
      <c r="AM2059" s="38"/>
      <c r="AN2059" s="38"/>
      <c r="AO2059" s="38"/>
      <c r="AP2059" s="38"/>
      <c r="AQ2059" s="38"/>
      <c r="AR2059" s="38"/>
      <c r="AS2059" s="38"/>
      <c r="AT2059" s="38"/>
      <c r="AU2059" s="38"/>
      <c r="AV2059" s="38"/>
      <c r="AW2059" s="38"/>
      <c r="AX2059" s="38"/>
      <c r="AY2059" s="38"/>
      <c r="AZ2059" s="38"/>
      <c r="BA2059" s="38"/>
      <c r="BB2059" s="38"/>
      <c r="BC2059" s="38"/>
      <c r="BD2059" s="38"/>
      <c r="BE2059" s="38"/>
      <c r="BF2059" s="38"/>
      <c r="BG2059" s="38"/>
    </row>
    <row r="2060">
      <c r="A2060" s="16"/>
      <c r="B2060" s="16"/>
      <c r="C2060" s="146"/>
      <c r="D2060" s="146"/>
      <c r="E2060" s="16"/>
      <c r="F2060" s="91"/>
      <c r="G2060" s="16"/>
      <c r="H2060" s="320" t="str">
        <f t="shared" si="1"/>
        <v/>
      </c>
      <c r="I2060" s="16"/>
      <c r="J2060" s="16"/>
      <c r="K2060" s="16"/>
      <c r="L2060" s="38"/>
      <c r="M2060" s="16"/>
      <c r="N2060" s="16"/>
      <c r="O2060" s="16"/>
      <c r="P2060" s="15"/>
      <c r="Q2060" s="15"/>
      <c r="R2060" s="16"/>
      <c r="S2060" s="16"/>
      <c r="T2060" s="16"/>
      <c r="U2060" s="16"/>
      <c r="V2060" s="37" t="str">
        <f>IFERROR(__xludf.DUMMYFUNCTION("if(not(iserror(index(split(C2060, "" ""),2))), index(split(C2060, "" ""),1),"""")"),"")</f>
        <v/>
      </c>
      <c r="W2060" s="315" t="str">
        <f>IFERROR(__xludf.DUMMYFUNCTION("if(V2060="""",C2060,if(not(iserror(index(split(C2060, "" ""),3))), index(split(C2060, "" ""),3),index(split(C2060, "" ""),2)))"),"")</f>
        <v/>
      </c>
      <c r="X2060" s="38" t="b">
        <f t="shared" si="2"/>
        <v>0</v>
      </c>
      <c r="Y2060" s="38"/>
      <c r="Z2060" s="40"/>
      <c r="AA2060" s="40"/>
      <c r="AB2060" s="38"/>
      <c r="AC2060" s="38"/>
      <c r="AD2060" s="38"/>
      <c r="AE2060" s="38"/>
      <c r="AF2060" s="38"/>
      <c r="AG2060" s="38"/>
      <c r="AH2060" s="38"/>
      <c r="AI2060" s="38"/>
      <c r="AJ2060" s="38"/>
      <c r="AK2060" s="38"/>
      <c r="AL2060" s="38"/>
      <c r="AM2060" s="38"/>
      <c r="AN2060" s="38"/>
      <c r="AO2060" s="38"/>
      <c r="AP2060" s="38"/>
      <c r="AQ2060" s="38"/>
      <c r="AR2060" s="38"/>
      <c r="AS2060" s="38"/>
      <c r="AT2060" s="38"/>
      <c r="AU2060" s="38"/>
      <c r="AV2060" s="38"/>
      <c r="AW2060" s="38"/>
      <c r="AX2060" s="38"/>
      <c r="AY2060" s="38"/>
      <c r="AZ2060" s="38"/>
      <c r="BA2060" s="38"/>
      <c r="BB2060" s="38"/>
      <c r="BC2060" s="38"/>
      <c r="BD2060" s="38"/>
      <c r="BE2060" s="38"/>
      <c r="BF2060" s="38"/>
      <c r="BG2060" s="38"/>
    </row>
    <row r="2061">
      <c r="A2061" s="16"/>
      <c r="B2061" s="16"/>
      <c r="C2061" s="146"/>
      <c r="D2061" s="146"/>
      <c r="E2061" s="16"/>
      <c r="F2061" s="91"/>
      <c r="G2061" s="16"/>
      <c r="H2061" s="320" t="str">
        <f t="shared" si="1"/>
        <v/>
      </c>
      <c r="I2061" s="16"/>
      <c r="J2061" s="16"/>
      <c r="K2061" s="16"/>
      <c r="L2061" s="38"/>
      <c r="M2061" s="16"/>
      <c r="N2061" s="16"/>
      <c r="O2061" s="16"/>
      <c r="P2061" s="15"/>
      <c r="Q2061" s="15"/>
      <c r="R2061" s="16"/>
      <c r="S2061" s="16"/>
      <c r="T2061" s="16"/>
      <c r="U2061" s="16"/>
      <c r="V2061" s="37" t="str">
        <f>IFERROR(__xludf.DUMMYFUNCTION("if(not(iserror(index(split(C2061, "" ""),2))), index(split(C2061, "" ""),1),"""")"),"")</f>
        <v/>
      </c>
      <c r="W2061" s="315" t="str">
        <f>IFERROR(__xludf.DUMMYFUNCTION("if(V2061="""",C2061,if(not(iserror(index(split(C2061, "" ""),3))), index(split(C2061, "" ""),3),index(split(C2061, "" ""),2)))"),"")</f>
        <v/>
      </c>
      <c r="X2061" s="38" t="b">
        <f t="shared" si="2"/>
        <v>0</v>
      </c>
      <c r="Y2061" s="38"/>
      <c r="Z2061" s="40"/>
      <c r="AA2061" s="40"/>
      <c r="AB2061" s="38"/>
      <c r="AC2061" s="38"/>
      <c r="AD2061" s="38"/>
      <c r="AE2061" s="38"/>
      <c r="AF2061" s="38"/>
      <c r="AG2061" s="38"/>
      <c r="AH2061" s="38"/>
      <c r="AI2061" s="38"/>
      <c r="AJ2061" s="38"/>
      <c r="AK2061" s="38"/>
      <c r="AL2061" s="38"/>
      <c r="AM2061" s="38"/>
      <c r="AN2061" s="38"/>
      <c r="AO2061" s="38"/>
      <c r="AP2061" s="38"/>
      <c r="AQ2061" s="38"/>
      <c r="AR2061" s="38"/>
      <c r="AS2061" s="38"/>
      <c r="AT2061" s="38"/>
      <c r="AU2061" s="38"/>
      <c r="AV2061" s="38"/>
      <c r="AW2061" s="38"/>
      <c r="AX2061" s="38"/>
      <c r="AY2061" s="38"/>
      <c r="AZ2061" s="38"/>
      <c r="BA2061" s="38"/>
      <c r="BB2061" s="38"/>
      <c r="BC2061" s="38"/>
      <c r="BD2061" s="38"/>
      <c r="BE2061" s="38"/>
      <c r="BF2061" s="38"/>
      <c r="BG2061" s="38"/>
    </row>
    <row r="2062">
      <c r="A2062" s="16"/>
      <c r="B2062" s="16"/>
      <c r="C2062" s="146"/>
      <c r="D2062" s="146"/>
      <c r="E2062" s="16"/>
      <c r="F2062" s="91"/>
      <c r="G2062" s="16"/>
      <c r="H2062" s="320" t="str">
        <f t="shared" si="1"/>
        <v/>
      </c>
      <c r="I2062" s="16"/>
      <c r="J2062" s="16"/>
      <c r="K2062" s="16"/>
      <c r="L2062" s="38"/>
      <c r="M2062" s="16"/>
      <c r="N2062" s="16"/>
      <c r="O2062" s="16"/>
      <c r="P2062" s="15"/>
      <c r="Q2062" s="15"/>
      <c r="R2062" s="16"/>
      <c r="S2062" s="16"/>
      <c r="T2062" s="16"/>
      <c r="U2062" s="16"/>
      <c r="V2062" s="37" t="str">
        <f>IFERROR(__xludf.DUMMYFUNCTION("if(not(iserror(index(split(C2062, "" ""),2))), index(split(C2062, "" ""),1),"""")"),"")</f>
        <v/>
      </c>
      <c r="W2062" s="315" t="str">
        <f>IFERROR(__xludf.DUMMYFUNCTION("if(V2062="""",C2062,if(not(iserror(index(split(C2062, "" ""),3))), index(split(C2062, "" ""),3),index(split(C2062, "" ""),2)))"),"")</f>
        <v/>
      </c>
      <c r="X2062" s="38" t="b">
        <f t="shared" si="2"/>
        <v>0</v>
      </c>
      <c r="Y2062" s="38"/>
      <c r="Z2062" s="40"/>
      <c r="AA2062" s="40"/>
      <c r="AB2062" s="38"/>
      <c r="AC2062" s="38"/>
      <c r="AD2062" s="38"/>
      <c r="AE2062" s="38"/>
      <c r="AF2062" s="38"/>
      <c r="AG2062" s="38"/>
      <c r="AH2062" s="38"/>
      <c r="AI2062" s="38"/>
      <c r="AJ2062" s="38"/>
      <c r="AK2062" s="38"/>
      <c r="AL2062" s="38"/>
      <c r="AM2062" s="38"/>
      <c r="AN2062" s="38"/>
      <c r="AO2062" s="38"/>
      <c r="AP2062" s="38"/>
      <c r="AQ2062" s="38"/>
      <c r="AR2062" s="38"/>
      <c r="AS2062" s="38"/>
      <c r="AT2062" s="38"/>
      <c r="AU2062" s="38"/>
      <c r="AV2062" s="38"/>
      <c r="AW2062" s="38"/>
      <c r="AX2062" s="38"/>
      <c r="AY2062" s="38"/>
      <c r="AZ2062" s="38"/>
      <c r="BA2062" s="38"/>
      <c r="BB2062" s="38"/>
      <c r="BC2062" s="38"/>
      <c r="BD2062" s="38"/>
      <c r="BE2062" s="38"/>
      <c r="BF2062" s="38"/>
      <c r="BG2062" s="38"/>
    </row>
    <row r="2063">
      <c r="A2063" s="16"/>
      <c r="B2063" s="16"/>
      <c r="C2063" s="146"/>
      <c r="D2063" s="146"/>
      <c r="E2063" s="16"/>
      <c r="F2063" s="91"/>
      <c r="G2063" s="16"/>
      <c r="H2063" s="320" t="str">
        <f t="shared" si="1"/>
        <v/>
      </c>
      <c r="I2063" s="16"/>
      <c r="J2063" s="16"/>
      <c r="K2063" s="16"/>
      <c r="L2063" s="38"/>
      <c r="M2063" s="16"/>
      <c r="N2063" s="16"/>
      <c r="O2063" s="16"/>
      <c r="P2063" s="15"/>
      <c r="Q2063" s="15"/>
      <c r="R2063" s="16"/>
      <c r="S2063" s="16"/>
      <c r="T2063" s="16"/>
      <c r="U2063" s="16"/>
      <c r="V2063" s="37" t="str">
        <f>IFERROR(__xludf.DUMMYFUNCTION("if(not(iserror(index(split(C2063, "" ""),2))), index(split(C2063, "" ""),1),"""")"),"")</f>
        <v/>
      </c>
      <c r="W2063" s="315" t="str">
        <f>IFERROR(__xludf.DUMMYFUNCTION("if(V2063="""",C2063,if(not(iserror(index(split(C2063, "" ""),3))), index(split(C2063, "" ""),3),index(split(C2063, "" ""),2)))"),"")</f>
        <v/>
      </c>
      <c r="X2063" s="38" t="b">
        <f t="shared" si="2"/>
        <v>0</v>
      </c>
      <c r="Y2063" s="38"/>
      <c r="Z2063" s="40"/>
      <c r="AA2063" s="40"/>
      <c r="AB2063" s="38"/>
      <c r="AC2063" s="38"/>
      <c r="AD2063" s="38"/>
      <c r="AE2063" s="38"/>
      <c r="AF2063" s="38"/>
      <c r="AG2063" s="38"/>
      <c r="AH2063" s="38"/>
      <c r="AI2063" s="38"/>
      <c r="AJ2063" s="38"/>
      <c r="AK2063" s="38"/>
      <c r="AL2063" s="38"/>
      <c r="AM2063" s="38"/>
      <c r="AN2063" s="38"/>
      <c r="AO2063" s="38"/>
      <c r="AP2063" s="38"/>
      <c r="AQ2063" s="38"/>
      <c r="AR2063" s="38"/>
      <c r="AS2063" s="38"/>
      <c r="AT2063" s="38"/>
      <c r="AU2063" s="38"/>
      <c r="AV2063" s="38"/>
      <c r="AW2063" s="38"/>
      <c r="AX2063" s="38"/>
      <c r="AY2063" s="38"/>
      <c r="AZ2063" s="38"/>
      <c r="BA2063" s="38"/>
      <c r="BB2063" s="38"/>
      <c r="BC2063" s="38"/>
      <c r="BD2063" s="38"/>
      <c r="BE2063" s="38"/>
      <c r="BF2063" s="38"/>
      <c r="BG2063" s="38"/>
    </row>
    <row r="2064">
      <c r="A2064" s="16"/>
      <c r="B2064" s="16"/>
      <c r="C2064" s="146"/>
      <c r="D2064" s="146"/>
      <c r="E2064" s="16"/>
      <c r="F2064" s="91"/>
      <c r="G2064" s="16"/>
      <c r="H2064" s="320" t="str">
        <f t="shared" si="1"/>
        <v/>
      </c>
      <c r="I2064" s="16"/>
      <c r="J2064" s="16"/>
      <c r="K2064" s="16"/>
      <c r="L2064" s="38"/>
      <c r="M2064" s="16"/>
      <c r="N2064" s="16"/>
      <c r="O2064" s="16"/>
      <c r="P2064" s="15"/>
      <c r="Q2064" s="15"/>
      <c r="R2064" s="16"/>
      <c r="S2064" s="16"/>
      <c r="T2064" s="16"/>
      <c r="U2064" s="16"/>
      <c r="V2064" s="37" t="str">
        <f>IFERROR(__xludf.DUMMYFUNCTION("if(not(iserror(index(split(C2064, "" ""),2))), index(split(C2064, "" ""),1),"""")"),"")</f>
        <v/>
      </c>
      <c r="W2064" s="315" t="str">
        <f>IFERROR(__xludf.DUMMYFUNCTION("if(V2064="""",C2064,if(not(iserror(index(split(C2064, "" ""),3))), index(split(C2064, "" ""),3),index(split(C2064, "" ""),2)))"),"")</f>
        <v/>
      </c>
      <c r="X2064" s="38" t="b">
        <f t="shared" si="2"/>
        <v>0</v>
      </c>
      <c r="Y2064" s="38"/>
      <c r="Z2064" s="40"/>
      <c r="AA2064" s="40"/>
      <c r="AB2064" s="38"/>
      <c r="AC2064" s="38"/>
      <c r="AD2064" s="38"/>
      <c r="AE2064" s="38"/>
      <c r="AF2064" s="38"/>
      <c r="AG2064" s="38"/>
      <c r="AH2064" s="38"/>
      <c r="AI2064" s="38"/>
      <c r="AJ2064" s="38"/>
      <c r="AK2064" s="38"/>
      <c r="AL2064" s="38"/>
      <c r="AM2064" s="38"/>
      <c r="AN2064" s="38"/>
      <c r="AO2064" s="38"/>
      <c r="AP2064" s="38"/>
      <c r="AQ2064" s="38"/>
      <c r="AR2064" s="38"/>
      <c r="AS2064" s="38"/>
      <c r="AT2064" s="38"/>
      <c r="AU2064" s="38"/>
      <c r="AV2064" s="38"/>
      <c r="AW2064" s="38"/>
      <c r="AX2064" s="38"/>
      <c r="AY2064" s="38"/>
      <c r="AZ2064" s="38"/>
      <c r="BA2064" s="38"/>
      <c r="BB2064" s="38"/>
      <c r="BC2064" s="38"/>
      <c r="BD2064" s="38"/>
      <c r="BE2064" s="38"/>
      <c r="BF2064" s="38"/>
      <c r="BG2064" s="38"/>
    </row>
    <row r="2065">
      <c r="A2065" s="16"/>
      <c r="B2065" s="16"/>
      <c r="C2065" s="146"/>
      <c r="D2065" s="146"/>
      <c r="E2065" s="16"/>
      <c r="F2065" s="91"/>
      <c r="G2065" s="16"/>
      <c r="H2065" s="320" t="str">
        <f t="shared" si="1"/>
        <v/>
      </c>
      <c r="I2065" s="16"/>
      <c r="J2065" s="16"/>
      <c r="K2065" s="16"/>
      <c r="L2065" s="38"/>
      <c r="M2065" s="16"/>
      <c r="N2065" s="16"/>
      <c r="O2065" s="16"/>
      <c r="P2065" s="15"/>
      <c r="Q2065" s="15"/>
      <c r="R2065" s="16"/>
      <c r="S2065" s="16"/>
      <c r="T2065" s="16"/>
      <c r="U2065" s="16"/>
      <c r="V2065" s="37" t="str">
        <f>IFERROR(__xludf.DUMMYFUNCTION("if(not(iserror(index(split(C2065, "" ""),2))), index(split(C2065, "" ""),1),"""")"),"")</f>
        <v/>
      </c>
      <c r="W2065" s="315" t="str">
        <f>IFERROR(__xludf.DUMMYFUNCTION("if(V2065="""",C2065,if(not(iserror(index(split(C2065, "" ""),3))), index(split(C2065, "" ""),3),index(split(C2065, "" ""),2)))"),"")</f>
        <v/>
      </c>
      <c r="X2065" s="38" t="b">
        <f t="shared" si="2"/>
        <v>0</v>
      </c>
      <c r="Y2065" s="38"/>
      <c r="Z2065" s="40"/>
      <c r="AA2065" s="40"/>
      <c r="AB2065" s="38"/>
      <c r="AC2065" s="38"/>
      <c r="AD2065" s="38"/>
      <c r="AE2065" s="38"/>
      <c r="AF2065" s="38"/>
      <c r="AG2065" s="38"/>
      <c r="AH2065" s="38"/>
      <c r="AI2065" s="38"/>
      <c r="AJ2065" s="38"/>
      <c r="AK2065" s="38"/>
      <c r="AL2065" s="38"/>
      <c r="AM2065" s="38"/>
      <c r="AN2065" s="38"/>
      <c r="AO2065" s="38"/>
      <c r="AP2065" s="38"/>
      <c r="AQ2065" s="38"/>
      <c r="AR2065" s="38"/>
      <c r="AS2065" s="38"/>
      <c r="AT2065" s="38"/>
      <c r="AU2065" s="38"/>
      <c r="AV2065" s="38"/>
      <c r="AW2065" s="38"/>
      <c r="AX2065" s="38"/>
      <c r="AY2065" s="38"/>
      <c r="AZ2065" s="38"/>
      <c r="BA2065" s="38"/>
      <c r="BB2065" s="38"/>
      <c r="BC2065" s="38"/>
      <c r="BD2065" s="38"/>
      <c r="BE2065" s="38"/>
      <c r="BF2065" s="38"/>
      <c r="BG2065" s="38"/>
    </row>
    <row r="2066">
      <c r="A2066" s="16"/>
      <c r="B2066" s="16"/>
      <c r="C2066" s="146"/>
      <c r="D2066" s="146"/>
      <c r="E2066" s="16"/>
      <c r="F2066" s="91"/>
      <c r="G2066" s="16"/>
      <c r="H2066" s="320" t="str">
        <f t="shared" si="1"/>
        <v/>
      </c>
      <c r="I2066" s="16"/>
      <c r="J2066" s="16"/>
      <c r="K2066" s="16"/>
      <c r="L2066" s="38"/>
      <c r="M2066" s="16"/>
      <c r="N2066" s="16"/>
      <c r="O2066" s="16"/>
      <c r="P2066" s="15"/>
      <c r="Q2066" s="15"/>
      <c r="R2066" s="16"/>
      <c r="S2066" s="16"/>
      <c r="T2066" s="16"/>
      <c r="U2066" s="16"/>
      <c r="V2066" s="37" t="str">
        <f>IFERROR(__xludf.DUMMYFUNCTION("if(not(iserror(index(split(C2066, "" ""),2))), index(split(C2066, "" ""),1),"""")"),"")</f>
        <v/>
      </c>
      <c r="W2066" s="315" t="str">
        <f>IFERROR(__xludf.DUMMYFUNCTION("if(V2066="""",C2066,if(not(iserror(index(split(C2066, "" ""),3))), index(split(C2066, "" ""),3),index(split(C2066, "" ""),2)))"),"")</f>
        <v/>
      </c>
      <c r="X2066" s="38" t="b">
        <f t="shared" si="2"/>
        <v>0</v>
      </c>
      <c r="Y2066" s="38"/>
      <c r="Z2066" s="40"/>
      <c r="AA2066" s="40"/>
      <c r="AB2066" s="38"/>
      <c r="AC2066" s="38"/>
      <c r="AD2066" s="38"/>
      <c r="AE2066" s="38"/>
      <c r="AF2066" s="38"/>
      <c r="AG2066" s="38"/>
      <c r="AH2066" s="38"/>
      <c r="AI2066" s="38"/>
      <c r="AJ2066" s="38"/>
      <c r="AK2066" s="38"/>
      <c r="AL2066" s="38"/>
      <c r="AM2066" s="38"/>
      <c r="AN2066" s="38"/>
      <c r="AO2066" s="38"/>
      <c r="AP2066" s="38"/>
      <c r="AQ2066" s="38"/>
      <c r="AR2066" s="38"/>
      <c r="AS2066" s="38"/>
      <c r="AT2066" s="38"/>
      <c r="AU2066" s="38"/>
      <c r="AV2066" s="38"/>
      <c r="AW2066" s="38"/>
      <c r="AX2066" s="38"/>
      <c r="AY2066" s="38"/>
      <c r="AZ2066" s="38"/>
      <c r="BA2066" s="38"/>
      <c r="BB2066" s="38"/>
      <c r="BC2066" s="38"/>
      <c r="BD2066" s="38"/>
      <c r="BE2066" s="38"/>
      <c r="BF2066" s="38"/>
      <c r="BG2066" s="38"/>
    </row>
    <row r="2067">
      <c r="A2067" s="16"/>
      <c r="B2067" s="16"/>
      <c r="C2067" s="146"/>
      <c r="D2067" s="146"/>
      <c r="E2067" s="16"/>
      <c r="F2067" s="91"/>
      <c r="G2067" s="16"/>
      <c r="H2067" s="320" t="str">
        <f t="shared" si="1"/>
        <v/>
      </c>
      <c r="I2067" s="16"/>
      <c r="J2067" s="16"/>
      <c r="K2067" s="16"/>
      <c r="L2067" s="38"/>
      <c r="M2067" s="16"/>
      <c r="N2067" s="16"/>
      <c r="O2067" s="16"/>
      <c r="P2067" s="15"/>
      <c r="Q2067" s="15"/>
      <c r="R2067" s="16"/>
      <c r="S2067" s="16"/>
      <c r="T2067" s="16"/>
      <c r="U2067" s="16"/>
      <c r="V2067" s="37" t="str">
        <f>IFERROR(__xludf.DUMMYFUNCTION("if(not(iserror(index(split(C2067, "" ""),2))), index(split(C2067, "" ""),1),"""")"),"")</f>
        <v/>
      </c>
      <c r="W2067" s="315" t="str">
        <f>IFERROR(__xludf.DUMMYFUNCTION("if(V2067="""",C2067,if(not(iserror(index(split(C2067, "" ""),3))), index(split(C2067, "" ""),3),index(split(C2067, "" ""),2)))"),"")</f>
        <v/>
      </c>
      <c r="X2067" s="38" t="b">
        <f t="shared" si="2"/>
        <v>0</v>
      </c>
      <c r="Y2067" s="38"/>
      <c r="Z2067" s="40"/>
      <c r="AA2067" s="40"/>
      <c r="AB2067" s="38"/>
      <c r="AC2067" s="38"/>
      <c r="AD2067" s="38"/>
      <c r="AE2067" s="38"/>
      <c r="AF2067" s="38"/>
      <c r="AG2067" s="38"/>
      <c r="AH2067" s="38"/>
      <c r="AI2067" s="38"/>
      <c r="AJ2067" s="38"/>
      <c r="AK2067" s="38"/>
      <c r="AL2067" s="38"/>
      <c r="AM2067" s="38"/>
      <c r="AN2067" s="38"/>
      <c r="AO2067" s="38"/>
      <c r="AP2067" s="38"/>
      <c r="AQ2067" s="38"/>
      <c r="AR2067" s="38"/>
      <c r="AS2067" s="38"/>
      <c r="AT2067" s="38"/>
      <c r="AU2067" s="38"/>
      <c r="AV2067" s="38"/>
      <c r="AW2067" s="38"/>
      <c r="AX2067" s="38"/>
      <c r="AY2067" s="38"/>
      <c r="AZ2067" s="38"/>
      <c r="BA2067" s="38"/>
      <c r="BB2067" s="38"/>
      <c r="BC2067" s="38"/>
      <c r="BD2067" s="38"/>
      <c r="BE2067" s="38"/>
      <c r="BF2067" s="38"/>
      <c r="BG2067" s="38"/>
    </row>
    <row r="2068">
      <c r="A2068" s="16"/>
      <c r="B2068" s="16"/>
      <c r="C2068" s="146"/>
      <c r="D2068" s="146"/>
      <c r="E2068" s="16"/>
      <c r="F2068" s="91"/>
      <c r="G2068" s="16"/>
      <c r="H2068" s="320" t="str">
        <f t="shared" si="1"/>
        <v/>
      </c>
      <c r="I2068" s="16"/>
      <c r="J2068" s="16"/>
      <c r="K2068" s="16"/>
      <c r="L2068" s="38"/>
      <c r="M2068" s="16"/>
      <c r="N2068" s="16"/>
      <c r="O2068" s="16"/>
      <c r="P2068" s="15"/>
      <c r="Q2068" s="15"/>
      <c r="R2068" s="16"/>
      <c r="S2068" s="16"/>
      <c r="T2068" s="16"/>
      <c r="U2068" s="16"/>
      <c r="V2068" s="37" t="str">
        <f>IFERROR(__xludf.DUMMYFUNCTION("if(not(iserror(index(split(C2068, "" ""),2))), index(split(C2068, "" ""),1),"""")"),"")</f>
        <v/>
      </c>
      <c r="W2068" s="315" t="str">
        <f>IFERROR(__xludf.DUMMYFUNCTION("if(V2068="""",C2068,if(not(iserror(index(split(C2068, "" ""),3))), index(split(C2068, "" ""),3),index(split(C2068, "" ""),2)))"),"")</f>
        <v/>
      </c>
      <c r="X2068" s="38" t="b">
        <f t="shared" si="2"/>
        <v>0</v>
      </c>
      <c r="Y2068" s="38"/>
      <c r="Z2068" s="40"/>
      <c r="AA2068" s="40"/>
      <c r="AB2068" s="38"/>
      <c r="AC2068" s="38"/>
      <c r="AD2068" s="38"/>
      <c r="AE2068" s="38"/>
      <c r="AF2068" s="38"/>
      <c r="AG2068" s="38"/>
      <c r="AH2068" s="38"/>
      <c r="AI2068" s="38"/>
      <c r="AJ2068" s="38"/>
      <c r="AK2068" s="38"/>
      <c r="AL2068" s="38"/>
      <c r="AM2068" s="38"/>
      <c r="AN2068" s="38"/>
      <c r="AO2068" s="38"/>
      <c r="AP2068" s="38"/>
      <c r="AQ2068" s="38"/>
      <c r="AR2068" s="38"/>
      <c r="AS2068" s="38"/>
      <c r="AT2068" s="38"/>
      <c r="AU2068" s="38"/>
      <c r="AV2068" s="38"/>
      <c r="AW2068" s="38"/>
      <c r="AX2068" s="38"/>
      <c r="AY2068" s="38"/>
      <c r="AZ2068" s="38"/>
      <c r="BA2068" s="38"/>
      <c r="BB2068" s="38"/>
      <c r="BC2068" s="38"/>
      <c r="BD2068" s="38"/>
      <c r="BE2068" s="38"/>
      <c r="BF2068" s="38"/>
      <c r="BG2068" s="38"/>
    </row>
    <row r="2069">
      <c r="A2069" s="16"/>
      <c r="B2069" s="16"/>
      <c r="C2069" s="146"/>
      <c r="D2069" s="146"/>
      <c r="E2069" s="16"/>
      <c r="F2069" s="91"/>
      <c r="G2069" s="16"/>
      <c r="H2069" s="320" t="str">
        <f t="shared" si="1"/>
        <v/>
      </c>
      <c r="I2069" s="16"/>
      <c r="J2069" s="16"/>
      <c r="K2069" s="16"/>
      <c r="L2069" s="38"/>
      <c r="M2069" s="16"/>
      <c r="N2069" s="16"/>
      <c r="O2069" s="16"/>
      <c r="P2069" s="15"/>
      <c r="Q2069" s="15"/>
      <c r="R2069" s="16"/>
      <c r="S2069" s="16"/>
      <c r="T2069" s="16"/>
      <c r="U2069" s="16"/>
      <c r="V2069" s="37" t="str">
        <f>IFERROR(__xludf.DUMMYFUNCTION("if(not(iserror(index(split(C2069, "" ""),2))), index(split(C2069, "" ""),1),"""")"),"")</f>
        <v/>
      </c>
      <c r="W2069" s="315" t="str">
        <f>IFERROR(__xludf.DUMMYFUNCTION("if(V2069="""",C2069,if(not(iserror(index(split(C2069, "" ""),3))), index(split(C2069, "" ""),3),index(split(C2069, "" ""),2)))"),"")</f>
        <v/>
      </c>
      <c r="X2069" s="38" t="b">
        <f t="shared" si="2"/>
        <v>0</v>
      </c>
      <c r="Y2069" s="38"/>
      <c r="Z2069" s="40"/>
      <c r="AA2069" s="40"/>
      <c r="AB2069" s="38"/>
      <c r="AC2069" s="38"/>
      <c r="AD2069" s="38"/>
      <c r="AE2069" s="38"/>
      <c r="AF2069" s="38"/>
      <c r="AG2069" s="38"/>
      <c r="AH2069" s="38"/>
      <c r="AI2069" s="38"/>
      <c r="AJ2069" s="38"/>
      <c r="AK2069" s="38"/>
      <c r="AL2069" s="38"/>
      <c r="AM2069" s="38"/>
      <c r="AN2069" s="38"/>
      <c r="AO2069" s="38"/>
      <c r="AP2069" s="38"/>
      <c r="AQ2069" s="38"/>
      <c r="AR2069" s="38"/>
      <c r="AS2069" s="38"/>
      <c r="AT2069" s="38"/>
      <c r="AU2069" s="38"/>
      <c r="AV2069" s="38"/>
      <c r="AW2069" s="38"/>
      <c r="AX2069" s="38"/>
      <c r="AY2069" s="38"/>
      <c r="AZ2069" s="38"/>
      <c r="BA2069" s="38"/>
      <c r="BB2069" s="38"/>
      <c r="BC2069" s="38"/>
      <c r="BD2069" s="38"/>
      <c r="BE2069" s="38"/>
      <c r="BF2069" s="38"/>
      <c r="BG2069" s="38"/>
    </row>
    <row r="2070">
      <c r="A2070" s="16"/>
      <c r="B2070" s="16"/>
      <c r="C2070" s="146"/>
      <c r="D2070" s="146"/>
      <c r="E2070" s="16"/>
      <c r="F2070" s="91"/>
      <c r="G2070" s="16"/>
      <c r="H2070" s="320" t="str">
        <f t="shared" si="1"/>
        <v/>
      </c>
      <c r="I2070" s="16"/>
      <c r="J2070" s="16"/>
      <c r="K2070" s="16"/>
      <c r="L2070" s="38"/>
      <c r="M2070" s="16"/>
      <c r="N2070" s="16"/>
      <c r="O2070" s="16"/>
      <c r="P2070" s="15"/>
      <c r="Q2070" s="15"/>
      <c r="R2070" s="16"/>
      <c r="S2070" s="16"/>
      <c r="T2070" s="16"/>
      <c r="U2070" s="16"/>
      <c r="V2070" s="37" t="str">
        <f>IFERROR(__xludf.DUMMYFUNCTION("if(not(iserror(index(split(C2070, "" ""),2))), index(split(C2070, "" ""),1),"""")"),"")</f>
        <v/>
      </c>
      <c r="W2070" s="315" t="str">
        <f>IFERROR(__xludf.DUMMYFUNCTION("if(V2070="""",C2070,if(not(iserror(index(split(C2070, "" ""),3))), index(split(C2070, "" ""),3),index(split(C2070, "" ""),2)))"),"")</f>
        <v/>
      </c>
      <c r="X2070" s="38" t="b">
        <f t="shared" si="2"/>
        <v>0</v>
      </c>
      <c r="Y2070" s="38"/>
      <c r="Z2070" s="40"/>
      <c r="AA2070" s="40"/>
      <c r="AB2070" s="38"/>
      <c r="AC2070" s="38"/>
      <c r="AD2070" s="38"/>
      <c r="AE2070" s="38"/>
      <c r="AF2070" s="38"/>
      <c r="AG2070" s="38"/>
      <c r="AH2070" s="38"/>
      <c r="AI2070" s="38"/>
      <c r="AJ2070" s="38"/>
      <c r="AK2070" s="38"/>
      <c r="AL2070" s="38"/>
      <c r="AM2070" s="38"/>
      <c r="AN2070" s="38"/>
      <c r="AO2070" s="38"/>
      <c r="AP2070" s="38"/>
      <c r="AQ2070" s="38"/>
      <c r="AR2070" s="38"/>
      <c r="AS2070" s="38"/>
      <c r="AT2070" s="38"/>
      <c r="AU2070" s="38"/>
      <c r="AV2070" s="38"/>
      <c r="AW2070" s="38"/>
      <c r="AX2070" s="38"/>
      <c r="AY2070" s="38"/>
      <c r="AZ2070" s="38"/>
      <c r="BA2070" s="38"/>
      <c r="BB2070" s="38"/>
      <c r="BC2070" s="38"/>
      <c r="BD2070" s="38"/>
      <c r="BE2070" s="38"/>
      <c r="BF2070" s="38"/>
      <c r="BG2070" s="38"/>
    </row>
    <row r="2071">
      <c r="A2071" s="16"/>
      <c r="B2071" s="16"/>
      <c r="C2071" s="146"/>
      <c r="D2071" s="146"/>
      <c r="E2071" s="16"/>
      <c r="F2071" s="91"/>
      <c r="G2071" s="16"/>
      <c r="H2071" s="320" t="str">
        <f t="shared" si="1"/>
        <v/>
      </c>
      <c r="I2071" s="16"/>
      <c r="J2071" s="16"/>
      <c r="K2071" s="16"/>
      <c r="L2071" s="38"/>
      <c r="M2071" s="16"/>
      <c r="N2071" s="16"/>
      <c r="O2071" s="16"/>
      <c r="P2071" s="15"/>
      <c r="Q2071" s="15"/>
      <c r="R2071" s="16"/>
      <c r="S2071" s="16"/>
      <c r="T2071" s="16"/>
      <c r="U2071" s="16"/>
      <c r="V2071" s="37" t="str">
        <f>IFERROR(__xludf.DUMMYFUNCTION("if(not(iserror(index(split(C2071, "" ""),2))), index(split(C2071, "" ""),1),"""")"),"")</f>
        <v/>
      </c>
      <c r="W2071" s="315" t="str">
        <f>IFERROR(__xludf.DUMMYFUNCTION("if(V2071="""",C2071,if(not(iserror(index(split(C2071, "" ""),3))), index(split(C2071, "" ""),3),index(split(C2071, "" ""),2)))"),"")</f>
        <v/>
      </c>
      <c r="X2071" s="38" t="b">
        <f t="shared" si="2"/>
        <v>0</v>
      </c>
      <c r="Y2071" s="38"/>
      <c r="Z2071" s="40"/>
      <c r="AA2071" s="40"/>
      <c r="AB2071" s="38"/>
      <c r="AC2071" s="38"/>
      <c r="AD2071" s="38"/>
      <c r="AE2071" s="38"/>
      <c r="AF2071" s="38"/>
      <c r="AG2071" s="38"/>
      <c r="AH2071" s="38"/>
      <c r="AI2071" s="38"/>
      <c r="AJ2071" s="38"/>
      <c r="AK2071" s="38"/>
      <c r="AL2071" s="38"/>
      <c r="AM2071" s="38"/>
      <c r="AN2071" s="38"/>
      <c r="AO2071" s="38"/>
      <c r="AP2071" s="38"/>
      <c r="AQ2071" s="38"/>
      <c r="AR2071" s="38"/>
      <c r="AS2071" s="38"/>
      <c r="AT2071" s="38"/>
      <c r="AU2071" s="38"/>
      <c r="AV2071" s="38"/>
      <c r="AW2071" s="38"/>
      <c r="AX2071" s="38"/>
      <c r="AY2071" s="38"/>
      <c r="AZ2071" s="38"/>
      <c r="BA2071" s="38"/>
      <c r="BB2071" s="38"/>
      <c r="BC2071" s="38"/>
      <c r="BD2071" s="38"/>
      <c r="BE2071" s="38"/>
      <c r="BF2071" s="38"/>
      <c r="BG2071" s="38"/>
    </row>
    <row r="2072">
      <c r="A2072" s="16"/>
      <c r="B2072" s="16"/>
      <c r="C2072" s="146"/>
      <c r="D2072" s="146"/>
      <c r="E2072" s="16"/>
      <c r="F2072" s="91"/>
      <c r="G2072" s="16"/>
      <c r="H2072" s="320" t="str">
        <f t="shared" si="1"/>
        <v/>
      </c>
      <c r="I2072" s="16"/>
      <c r="J2072" s="16"/>
      <c r="K2072" s="16"/>
      <c r="L2072" s="38"/>
      <c r="M2072" s="16"/>
      <c r="N2072" s="16"/>
      <c r="O2072" s="16"/>
      <c r="P2072" s="15"/>
      <c r="Q2072" s="15"/>
      <c r="R2072" s="16"/>
      <c r="S2072" s="16"/>
      <c r="T2072" s="16"/>
      <c r="U2072" s="16"/>
      <c r="V2072" s="37" t="str">
        <f>IFERROR(__xludf.DUMMYFUNCTION("if(not(iserror(index(split(C2072, "" ""),2))), index(split(C2072, "" ""),1),"""")"),"")</f>
        <v/>
      </c>
      <c r="W2072" s="315" t="str">
        <f>IFERROR(__xludf.DUMMYFUNCTION("if(V2072="""",C2072,if(not(iserror(index(split(C2072, "" ""),3))), index(split(C2072, "" ""),3),index(split(C2072, "" ""),2)))"),"")</f>
        <v/>
      </c>
      <c r="X2072" s="38" t="b">
        <f t="shared" si="2"/>
        <v>0</v>
      </c>
      <c r="Y2072" s="38"/>
      <c r="Z2072" s="40"/>
      <c r="AA2072" s="40"/>
      <c r="AB2072" s="38"/>
      <c r="AC2072" s="38"/>
      <c r="AD2072" s="38"/>
      <c r="AE2072" s="38"/>
      <c r="AF2072" s="38"/>
      <c r="AG2072" s="38"/>
      <c r="AH2072" s="38"/>
      <c r="AI2072" s="38"/>
      <c r="AJ2072" s="38"/>
      <c r="AK2072" s="38"/>
      <c r="AL2072" s="38"/>
      <c r="AM2072" s="38"/>
      <c r="AN2072" s="38"/>
      <c r="AO2072" s="38"/>
      <c r="AP2072" s="38"/>
      <c r="AQ2072" s="38"/>
      <c r="AR2072" s="38"/>
      <c r="AS2072" s="38"/>
      <c r="AT2072" s="38"/>
      <c r="AU2072" s="38"/>
      <c r="AV2072" s="38"/>
      <c r="AW2072" s="38"/>
      <c r="AX2072" s="38"/>
      <c r="AY2072" s="38"/>
      <c r="AZ2072" s="38"/>
      <c r="BA2072" s="38"/>
      <c r="BB2072" s="38"/>
      <c r="BC2072" s="38"/>
      <c r="BD2072" s="38"/>
      <c r="BE2072" s="38"/>
      <c r="BF2072" s="38"/>
      <c r="BG2072" s="38"/>
    </row>
    <row r="2073">
      <c r="A2073" s="16"/>
      <c r="B2073" s="16"/>
      <c r="C2073" s="146"/>
      <c r="D2073" s="146"/>
      <c r="E2073" s="16"/>
      <c r="F2073" s="91"/>
      <c r="G2073" s="16"/>
      <c r="H2073" s="320" t="str">
        <f t="shared" si="1"/>
        <v/>
      </c>
      <c r="I2073" s="16"/>
      <c r="J2073" s="16"/>
      <c r="K2073" s="16"/>
      <c r="L2073" s="38"/>
      <c r="M2073" s="16"/>
      <c r="N2073" s="16"/>
      <c r="O2073" s="16"/>
      <c r="P2073" s="15"/>
      <c r="Q2073" s="15"/>
      <c r="R2073" s="16"/>
      <c r="S2073" s="16"/>
      <c r="T2073" s="16"/>
      <c r="U2073" s="16"/>
      <c r="V2073" s="37" t="str">
        <f>IFERROR(__xludf.DUMMYFUNCTION("if(not(iserror(index(split(C2073, "" ""),2))), index(split(C2073, "" ""),1),"""")"),"")</f>
        <v/>
      </c>
      <c r="W2073" s="315" t="str">
        <f>IFERROR(__xludf.DUMMYFUNCTION("if(V2073="""",C2073,if(not(iserror(index(split(C2073, "" ""),3))), index(split(C2073, "" ""),3),index(split(C2073, "" ""),2)))"),"")</f>
        <v/>
      </c>
      <c r="X2073" s="38" t="b">
        <f t="shared" si="2"/>
        <v>0</v>
      </c>
      <c r="Y2073" s="38"/>
      <c r="Z2073" s="40"/>
      <c r="AA2073" s="40"/>
      <c r="AB2073" s="38"/>
      <c r="AC2073" s="38"/>
      <c r="AD2073" s="38"/>
      <c r="AE2073" s="38"/>
      <c r="AF2073" s="38"/>
      <c r="AG2073" s="38"/>
      <c r="AH2073" s="38"/>
      <c r="AI2073" s="38"/>
      <c r="AJ2073" s="38"/>
      <c r="AK2073" s="38"/>
      <c r="AL2073" s="38"/>
      <c r="AM2073" s="38"/>
      <c r="AN2073" s="38"/>
      <c r="AO2073" s="38"/>
      <c r="AP2073" s="38"/>
      <c r="AQ2073" s="38"/>
      <c r="AR2073" s="38"/>
      <c r="AS2073" s="38"/>
      <c r="AT2073" s="38"/>
      <c r="AU2073" s="38"/>
      <c r="AV2073" s="38"/>
      <c r="AW2073" s="38"/>
      <c r="AX2073" s="38"/>
      <c r="AY2073" s="38"/>
      <c r="AZ2073" s="38"/>
      <c r="BA2073" s="38"/>
      <c r="BB2073" s="38"/>
      <c r="BC2073" s="38"/>
      <c r="BD2073" s="38"/>
      <c r="BE2073" s="38"/>
      <c r="BF2073" s="38"/>
      <c r="BG2073" s="38"/>
    </row>
    <row r="2074">
      <c r="A2074" s="16"/>
      <c r="B2074" s="16"/>
      <c r="C2074" s="146"/>
      <c r="D2074" s="146"/>
      <c r="E2074" s="16"/>
      <c r="F2074" s="91"/>
      <c r="G2074" s="16"/>
      <c r="H2074" s="320" t="str">
        <f t="shared" si="1"/>
        <v/>
      </c>
      <c r="I2074" s="16"/>
      <c r="J2074" s="16"/>
      <c r="K2074" s="16"/>
      <c r="L2074" s="38"/>
      <c r="M2074" s="16"/>
      <c r="N2074" s="16"/>
      <c r="O2074" s="16"/>
      <c r="P2074" s="15"/>
      <c r="Q2074" s="15"/>
      <c r="R2074" s="16"/>
      <c r="S2074" s="16"/>
      <c r="T2074" s="16"/>
      <c r="U2074" s="16"/>
      <c r="V2074" s="37" t="str">
        <f>IFERROR(__xludf.DUMMYFUNCTION("if(not(iserror(index(split(C2074, "" ""),2))), index(split(C2074, "" ""),1),"""")"),"")</f>
        <v/>
      </c>
      <c r="W2074" s="315" t="str">
        <f>IFERROR(__xludf.DUMMYFUNCTION("if(V2074="""",C2074,if(not(iserror(index(split(C2074, "" ""),3))), index(split(C2074, "" ""),3),index(split(C2074, "" ""),2)))"),"")</f>
        <v/>
      </c>
      <c r="X2074" s="38" t="b">
        <f t="shared" si="2"/>
        <v>0</v>
      </c>
      <c r="Y2074" s="38"/>
      <c r="Z2074" s="40"/>
      <c r="AA2074" s="40"/>
      <c r="AB2074" s="38"/>
      <c r="AC2074" s="38"/>
      <c r="AD2074" s="38"/>
      <c r="AE2074" s="38"/>
      <c r="AF2074" s="38"/>
      <c r="AG2074" s="38"/>
      <c r="AH2074" s="38"/>
      <c r="AI2074" s="38"/>
      <c r="AJ2074" s="38"/>
      <c r="AK2074" s="38"/>
      <c r="AL2074" s="38"/>
      <c r="AM2074" s="38"/>
      <c r="AN2074" s="38"/>
      <c r="AO2074" s="38"/>
      <c r="AP2074" s="38"/>
      <c r="AQ2074" s="38"/>
      <c r="AR2074" s="38"/>
      <c r="AS2074" s="38"/>
      <c r="AT2074" s="38"/>
      <c r="AU2074" s="38"/>
      <c r="AV2074" s="38"/>
      <c r="AW2074" s="38"/>
      <c r="AX2074" s="38"/>
      <c r="AY2074" s="38"/>
      <c r="AZ2074" s="38"/>
      <c r="BA2074" s="38"/>
      <c r="BB2074" s="38"/>
      <c r="BC2074" s="38"/>
      <c r="BD2074" s="38"/>
      <c r="BE2074" s="38"/>
      <c r="BF2074" s="38"/>
      <c r="BG2074" s="38"/>
    </row>
    <row r="2075">
      <c r="A2075" s="16"/>
      <c r="B2075" s="16"/>
      <c r="C2075" s="146"/>
      <c r="D2075" s="146"/>
      <c r="E2075" s="16"/>
      <c r="F2075" s="91"/>
      <c r="G2075" s="16"/>
      <c r="H2075" s="320" t="str">
        <f t="shared" si="1"/>
        <v/>
      </c>
      <c r="I2075" s="16"/>
      <c r="J2075" s="16"/>
      <c r="K2075" s="16"/>
      <c r="L2075" s="38"/>
      <c r="M2075" s="16"/>
      <c r="N2075" s="16"/>
      <c r="O2075" s="16"/>
      <c r="P2075" s="15"/>
      <c r="Q2075" s="15"/>
      <c r="R2075" s="16"/>
      <c r="S2075" s="16"/>
      <c r="T2075" s="16"/>
      <c r="U2075" s="16"/>
      <c r="V2075" s="37" t="str">
        <f>IFERROR(__xludf.DUMMYFUNCTION("if(not(iserror(index(split(C2075, "" ""),2))), index(split(C2075, "" ""),1),"""")"),"")</f>
        <v/>
      </c>
      <c r="W2075" s="315" t="str">
        <f>IFERROR(__xludf.DUMMYFUNCTION("if(V2075="""",C2075,if(not(iserror(index(split(C2075, "" ""),3))), index(split(C2075, "" ""),3),index(split(C2075, "" ""),2)))"),"")</f>
        <v/>
      </c>
      <c r="X2075" s="38" t="b">
        <f t="shared" si="2"/>
        <v>0</v>
      </c>
      <c r="Y2075" s="38"/>
      <c r="Z2075" s="40"/>
      <c r="AA2075" s="40"/>
      <c r="AB2075" s="38"/>
      <c r="AC2075" s="38"/>
      <c r="AD2075" s="38"/>
      <c r="AE2075" s="38"/>
      <c r="AF2075" s="38"/>
      <c r="AG2075" s="38"/>
      <c r="AH2075" s="38"/>
      <c r="AI2075" s="38"/>
      <c r="AJ2075" s="38"/>
      <c r="AK2075" s="38"/>
      <c r="AL2075" s="38"/>
      <c r="AM2075" s="38"/>
      <c r="AN2075" s="38"/>
      <c r="AO2075" s="38"/>
      <c r="AP2075" s="38"/>
      <c r="AQ2075" s="38"/>
      <c r="AR2075" s="38"/>
      <c r="AS2075" s="38"/>
      <c r="AT2075" s="38"/>
      <c r="AU2075" s="38"/>
      <c r="AV2075" s="38"/>
      <c r="AW2075" s="38"/>
      <c r="AX2075" s="38"/>
      <c r="AY2075" s="38"/>
      <c r="AZ2075" s="38"/>
      <c r="BA2075" s="38"/>
      <c r="BB2075" s="38"/>
      <c r="BC2075" s="38"/>
      <c r="BD2075" s="38"/>
      <c r="BE2075" s="38"/>
      <c r="BF2075" s="38"/>
      <c r="BG2075" s="38"/>
    </row>
    <row r="2076">
      <c r="A2076" s="16"/>
      <c r="B2076" s="16"/>
      <c r="C2076" s="146"/>
      <c r="D2076" s="146"/>
      <c r="E2076" s="16"/>
      <c r="F2076" s="91"/>
      <c r="G2076" s="16"/>
      <c r="H2076" s="320" t="str">
        <f t="shared" si="1"/>
        <v/>
      </c>
      <c r="I2076" s="16"/>
      <c r="J2076" s="16"/>
      <c r="K2076" s="16"/>
      <c r="L2076" s="38"/>
      <c r="M2076" s="16"/>
      <c r="N2076" s="16"/>
      <c r="O2076" s="16"/>
      <c r="P2076" s="15"/>
      <c r="Q2076" s="15"/>
      <c r="R2076" s="16"/>
      <c r="S2076" s="16"/>
      <c r="T2076" s="16"/>
      <c r="U2076" s="16"/>
      <c r="V2076" s="37" t="str">
        <f>IFERROR(__xludf.DUMMYFUNCTION("if(not(iserror(index(split(C2076, "" ""),2))), index(split(C2076, "" ""),1),"""")"),"")</f>
        <v/>
      </c>
      <c r="W2076" s="315" t="str">
        <f>IFERROR(__xludf.DUMMYFUNCTION("if(V2076="""",C2076,if(not(iserror(index(split(C2076, "" ""),3))), index(split(C2076, "" ""),3),index(split(C2076, "" ""),2)))"),"")</f>
        <v/>
      </c>
      <c r="X2076" s="38" t="b">
        <f t="shared" si="2"/>
        <v>0</v>
      </c>
      <c r="Y2076" s="38"/>
      <c r="Z2076" s="40"/>
      <c r="AA2076" s="40"/>
      <c r="AB2076" s="38"/>
      <c r="AC2076" s="38"/>
      <c r="AD2076" s="38"/>
      <c r="AE2076" s="38"/>
      <c r="AF2076" s="38"/>
      <c r="AG2076" s="38"/>
      <c r="AH2076" s="38"/>
      <c r="AI2076" s="38"/>
      <c r="AJ2076" s="38"/>
      <c r="AK2076" s="38"/>
      <c r="AL2076" s="38"/>
      <c r="AM2076" s="38"/>
      <c r="AN2076" s="38"/>
      <c r="AO2076" s="38"/>
      <c r="AP2076" s="38"/>
      <c r="AQ2076" s="38"/>
      <c r="AR2076" s="38"/>
      <c r="AS2076" s="38"/>
      <c r="AT2076" s="38"/>
      <c r="AU2076" s="38"/>
      <c r="AV2076" s="38"/>
      <c r="AW2076" s="38"/>
      <c r="AX2076" s="38"/>
      <c r="AY2076" s="38"/>
      <c r="AZ2076" s="38"/>
      <c r="BA2076" s="38"/>
      <c r="BB2076" s="38"/>
      <c r="BC2076" s="38"/>
      <c r="BD2076" s="38"/>
      <c r="BE2076" s="38"/>
      <c r="BF2076" s="38"/>
      <c r="BG2076" s="38"/>
    </row>
    <row r="2077">
      <c r="A2077" s="16"/>
      <c r="B2077" s="16"/>
      <c r="C2077" s="146"/>
      <c r="D2077" s="146"/>
      <c r="E2077" s="16"/>
      <c r="F2077" s="91"/>
      <c r="G2077" s="16"/>
      <c r="H2077" s="320" t="str">
        <f t="shared" si="1"/>
        <v/>
      </c>
      <c r="I2077" s="16"/>
      <c r="J2077" s="16"/>
      <c r="K2077" s="16"/>
      <c r="L2077" s="38"/>
      <c r="M2077" s="16"/>
      <c r="N2077" s="16"/>
      <c r="O2077" s="16"/>
      <c r="P2077" s="15"/>
      <c r="Q2077" s="15"/>
      <c r="R2077" s="16"/>
      <c r="S2077" s="16"/>
      <c r="T2077" s="16"/>
      <c r="U2077" s="16"/>
      <c r="V2077" s="37" t="str">
        <f>IFERROR(__xludf.DUMMYFUNCTION("if(not(iserror(index(split(C2077, "" ""),2))), index(split(C2077, "" ""),1),"""")"),"")</f>
        <v/>
      </c>
      <c r="W2077" s="315" t="str">
        <f>IFERROR(__xludf.DUMMYFUNCTION("if(V2077="""",C2077,if(not(iserror(index(split(C2077, "" ""),3))), index(split(C2077, "" ""),3),index(split(C2077, "" ""),2)))"),"")</f>
        <v/>
      </c>
      <c r="X2077" s="38" t="b">
        <f t="shared" si="2"/>
        <v>0</v>
      </c>
      <c r="Y2077" s="38"/>
      <c r="Z2077" s="40"/>
      <c r="AA2077" s="40"/>
      <c r="AB2077" s="38"/>
      <c r="AC2077" s="38"/>
      <c r="AD2077" s="38"/>
      <c r="AE2077" s="38"/>
      <c r="AF2077" s="38"/>
      <c r="AG2077" s="38"/>
      <c r="AH2077" s="38"/>
      <c r="AI2077" s="38"/>
      <c r="AJ2077" s="38"/>
      <c r="AK2077" s="38"/>
      <c r="AL2077" s="38"/>
      <c r="AM2077" s="38"/>
      <c r="AN2077" s="38"/>
      <c r="AO2077" s="38"/>
      <c r="AP2077" s="38"/>
      <c r="AQ2077" s="38"/>
      <c r="AR2077" s="38"/>
      <c r="AS2077" s="38"/>
      <c r="AT2077" s="38"/>
      <c r="AU2077" s="38"/>
      <c r="AV2077" s="38"/>
      <c r="AW2077" s="38"/>
      <c r="AX2077" s="38"/>
      <c r="AY2077" s="38"/>
      <c r="AZ2077" s="38"/>
      <c r="BA2077" s="38"/>
      <c r="BB2077" s="38"/>
      <c r="BC2077" s="38"/>
      <c r="BD2077" s="38"/>
      <c r="BE2077" s="38"/>
      <c r="BF2077" s="38"/>
      <c r="BG2077" s="38"/>
    </row>
    <row r="2078">
      <c r="A2078" s="16"/>
      <c r="B2078" s="16"/>
      <c r="C2078" s="146"/>
      <c r="D2078" s="146"/>
      <c r="E2078" s="16"/>
      <c r="F2078" s="91"/>
      <c r="G2078" s="16"/>
      <c r="H2078" s="320" t="str">
        <f t="shared" si="1"/>
        <v/>
      </c>
      <c r="I2078" s="16"/>
      <c r="J2078" s="16"/>
      <c r="K2078" s="16"/>
      <c r="L2078" s="38"/>
      <c r="M2078" s="16"/>
      <c r="N2078" s="16"/>
      <c r="O2078" s="16"/>
      <c r="P2078" s="15"/>
      <c r="Q2078" s="15"/>
      <c r="R2078" s="16"/>
      <c r="S2078" s="16"/>
      <c r="T2078" s="16"/>
      <c r="U2078" s="16"/>
      <c r="V2078" s="37" t="str">
        <f>IFERROR(__xludf.DUMMYFUNCTION("if(not(iserror(index(split(C2078, "" ""),2))), index(split(C2078, "" ""),1),"""")"),"")</f>
        <v/>
      </c>
      <c r="W2078" s="315" t="str">
        <f>IFERROR(__xludf.DUMMYFUNCTION("if(V2078="""",C2078,if(not(iserror(index(split(C2078, "" ""),3))), index(split(C2078, "" ""),3),index(split(C2078, "" ""),2)))"),"")</f>
        <v/>
      </c>
      <c r="X2078" s="38" t="b">
        <f t="shared" si="2"/>
        <v>0</v>
      </c>
      <c r="Y2078" s="38"/>
      <c r="Z2078" s="40"/>
      <c r="AA2078" s="40"/>
      <c r="AB2078" s="38"/>
      <c r="AC2078" s="38"/>
      <c r="AD2078" s="38"/>
      <c r="AE2078" s="38"/>
      <c r="AF2078" s="38"/>
      <c r="AG2078" s="38"/>
      <c r="AH2078" s="38"/>
      <c r="AI2078" s="38"/>
      <c r="AJ2078" s="38"/>
      <c r="AK2078" s="38"/>
      <c r="AL2078" s="38"/>
      <c r="AM2078" s="38"/>
      <c r="AN2078" s="38"/>
      <c r="AO2078" s="38"/>
      <c r="AP2078" s="38"/>
      <c r="AQ2078" s="38"/>
      <c r="AR2078" s="38"/>
      <c r="AS2078" s="38"/>
      <c r="AT2078" s="38"/>
      <c r="AU2078" s="38"/>
      <c r="AV2078" s="38"/>
      <c r="AW2078" s="38"/>
      <c r="AX2078" s="38"/>
      <c r="AY2078" s="38"/>
      <c r="AZ2078" s="38"/>
      <c r="BA2078" s="38"/>
      <c r="BB2078" s="38"/>
      <c r="BC2078" s="38"/>
      <c r="BD2078" s="38"/>
      <c r="BE2078" s="38"/>
      <c r="BF2078" s="38"/>
      <c r="BG2078" s="38"/>
    </row>
    <row r="2079">
      <c r="A2079" s="16"/>
      <c r="B2079" s="16"/>
      <c r="C2079" s="146"/>
      <c r="D2079" s="146"/>
      <c r="E2079" s="16"/>
      <c r="F2079" s="91"/>
      <c r="G2079" s="16"/>
      <c r="H2079" s="320" t="str">
        <f t="shared" si="1"/>
        <v/>
      </c>
      <c r="I2079" s="16"/>
      <c r="J2079" s="16"/>
      <c r="K2079" s="16"/>
      <c r="L2079" s="38"/>
      <c r="M2079" s="16"/>
      <c r="N2079" s="16"/>
      <c r="O2079" s="16"/>
      <c r="P2079" s="15"/>
      <c r="Q2079" s="15"/>
      <c r="R2079" s="16"/>
      <c r="S2079" s="16"/>
      <c r="T2079" s="16"/>
      <c r="U2079" s="16"/>
      <c r="V2079" s="37" t="str">
        <f>IFERROR(__xludf.DUMMYFUNCTION("if(not(iserror(index(split(C2079, "" ""),2))), index(split(C2079, "" ""),1),"""")"),"")</f>
        <v/>
      </c>
      <c r="W2079" s="315" t="str">
        <f>IFERROR(__xludf.DUMMYFUNCTION("if(V2079="""",C2079,if(not(iserror(index(split(C2079, "" ""),3))), index(split(C2079, "" ""),3),index(split(C2079, "" ""),2)))"),"")</f>
        <v/>
      </c>
      <c r="X2079" s="38" t="b">
        <f t="shared" si="2"/>
        <v>0</v>
      </c>
      <c r="Y2079" s="38"/>
      <c r="Z2079" s="40"/>
      <c r="AA2079" s="40"/>
      <c r="AB2079" s="38"/>
      <c r="AC2079" s="38"/>
      <c r="AD2079" s="38"/>
      <c r="AE2079" s="38"/>
      <c r="AF2079" s="38"/>
      <c r="AG2079" s="38"/>
      <c r="AH2079" s="38"/>
      <c r="AI2079" s="38"/>
      <c r="AJ2079" s="38"/>
      <c r="AK2079" s="38"/>
      <c r="AL2079" s="38"/>
      <c r="AM2079" s="38"/>
      <c r="AN2079" s="38"/>
      <c r="AO2079" s="38"/>
      <c r="AP2079" s="38"/>
      <c r="AQ2079" s="38"/>
      <c r="AR2079" s="38"/>
      <c r="AS2079" s="38"/>
      <c r="AT2079" s="38"/>
      <c r="AU2079" s="38"/>
      <c r="AV2079" s="38"/>
      <c r="AW2079" s="38"/>
      <c r="AX2079" s="38"/>
      <c r="AY2079" s="38"/>
      <c r="AZ2079" s="38"/>
      <c r="BA2079" s="38"/>
      <c r="BB2079" s="38"/>
      <c r="BC2079" s="38"/>
      <c r="BD2079" s="38"/>
      <c r="BE2079" s="38"/>
      <c r="BF2079" s="38"/>
      <c r="BG2079" s="38"/>
    </row>
    <row r="2080">
      <c r="A2080" s="16"/>
      <c r="B2080" s="16"/>
      <c r="C2080" s="146"/>
      <c r="D2080" s="146"/>
      <c r="E2080" s="16"/>
      <c r="F2080" s="91"/>
      <c r="G2080" s="16"/>
      <c r="H2080" s="320" t="str">
        <f t="shared" si="1"/>
        <v/>
      </c>
      <c r="I2080" s="16"/>
      <c r="J2080" s="16"/>
      <c r="K2080" s="16"/>
      <c r="L2080" s="38"/>
      <c r="M2080" s="16"/>
      <c r="N2080" s="16"/>
      <c r="O2080" s="16"/>
      <c r="P2080" s="15"/>
      <c r="Q2080" s="15"/>
      <c r="R2080" s="16"/>
      <c r="S2080" s="16"/>
      <c r="T2080" s="16"/>
      <c r="U2080" s="16"/>
      <c r="V2080" s="37" t="str">
        <f>IFERROR(__xludf.DUMMYFUNCTION("if(not(iserror(index(split(C2080, "" ""),2))), index(split(C2080, "" ""),1),"""")"),"")</f>
        <v/>
      </c>
      <c r="W2080" s="315" t="str">
        <f>IFERROR(__xludf.DUMMYFUNCTION("if(V2080="""",C2080,if(not(iserror(index(split(C2080, "" ""),3))), index(split(C2080, "" ""),3),index(split(C2080, "" ""),2)))"),"")</f>
        <v/>
      </c>
      <c r="X2080" s="38" t="b">
        <f t="shared" si="2"/>
        <v>0</v>
      </c>
      <c r="Y2080" s="38"/>
      <c r="Z2080" s="40"/>
      <c r="AA2080" s="40"/>
      <c r="AB2080" s="38"/>
      <c r="AC2080" s="38"/>
      <c r="AD2080" s="38"/>
      <c r="AE2080" s="38"/>
      <c r="AF2080" s="38"/>
      <c r="AG2080" s="38"/>
      <c r="AH2080" s="38"/>
      <c r="AI2080" s="38"/>
      <c r="AJ2080" s="38"/>
      <c r="AK2080" s="38"/>
      <c r="AL2080" s="38"/>
      <c r="AM2080" s="38"/>
      <c r="AN2080" s="38"/>
      <c r="AO2080" s="38"/>
      <c r="AP2080" s="38"/>
      <c r="AQ2080" s="38"/>
      <c r="AR2080" s="38"/>
      <c r="AS2080" s="38"/>
      <c r="AT2080" s="38"/>
      <c r="AU2080" s="38"/>
      <c r="AV2080" s="38"/>
      <c r="AW2080" s="38"/>
      <c r="AX2080" s="38"/>
      <c r="AY2080" s="38"/>
      <c r="AZ2080" s="38"/>
      <c r="BA2080" s="38"/>
      <c r="BB2080" s="38"/>
      <c r="BC2080" s="38"/>
      <c r="BD2080" s="38"/>
      <c r="BE2080" s="38"/>
      <c r="BF2080" s="38"/>
      <c r="BG2080" s="38"/>
    </row>
    <row r="2081">
      <c r="A2081" s="16"/>
      <c r="B2081" s="16"/>
      <c r="C2081" s="146"/>
      <c r="D2081" s="146"/>
      <c r="E2081" s="16"/>
      <c r="F2081" s="91"/>
      <c r="G2081" s="16"/>
      <c r="H2081" s="320" t="str">
        <f t="shared" si="1"/>
        <v/>
      </c>
      <c r="I2081" s="16"/>
      <c r="J2081" s="16"/>
      <c r="K2081" s="16"/>
      <c r="L2081" s="38"/>
      <c r="M2081" s="16"/>
      <c r="N2081" s="16"/>
      <c r="O2081" s="16"/>
      <c r="P2081" s="15"/>
      <c r="Q2081" s="15"/>
      <c r="R2081" s="16"/>
      <c r="S2081" s="16"/>
      <c r="T2081" s="16"/>
      <c r="U2081" s="16"/>
      <c r="V2081" s="37" t="str">
        <f>IFERROR(__xludf.DUMMYFUNCTION("if(not(iserror(index(split(C2081, "" ""),2))), index(split(C2081, "" ""),1),"""")"),"")</f>
        <v/>
      </c>
      <c r="W2081" s="315" t="str">
        <f>IFERROR(__xludf.DUMMYFUNCTION("if(V2081="""",C2081,if(not(iserror(index(split(C2081, "" ""),3))), index(split(C2081, "" ""),3),index(split(C2081, "" ""),2)))"),"")</f>
        <v/>
      </c>
      <c r="X2081" s="38" t="b">
        <f t="shared" si="2"/>
        <v>0</v>
      </c>
      <c r="Y2081" s="38"/>
      <c r="Z2081" s="40"/>
      <c r="AA2081" s="40"/>
      <c r="AB2081" s="38"/>
      <c r="AC2081" s="38"/>
      <c r="AD2081" s="38"/>
      <c r="AE2081" s="38"/>
      <c r="AF2081" s="38"/>
      <c r="AG2081" s="38"/>
      <c r="AH2081" s="38"/>
      <c r="AI2081" s="38"/>
      <c r="AJ2081" s="38"/>
      <c r="AK2081" s="38"/>
      <c r="AL2081" s="38"/>
      <c r="AM2081" s="38"/>
      <c r="AN2081" s="38"/>
      <c r="AO2081" s="38"/>
      <c r="AP2081" s="38"/>
      <c r="AQ2081" s="38"/>
      <c r="AR2081" s="38"/>
      <c r="AS2081" s="38"/>
      <c r="AT2081" s="38"/>
      <c r="AU2081" s="38"/>
      <c r="AV2081" s="38"/>
      <c r="AW2081" s="38"/>
      <c r="AX2081" s="38"/>
      <c r="AY2081" s="38"/>
      <c r="AZ2081" s="38"/>
      <c r="BA2081" s="38"/>
      <c r="BB2081" s="38"/>
      <c r="BC2081" s="38"/>
      <c r="BD2081" s="38"/>
      <c r="BE2081" s="38"/>
      <c r="BF2081" s="38"/>
      <c r="BG2081" s="38"/>
    </row>
    <row r="2082">
      <c r="A2082" s="16"/>
      <c r="B2082" s="16"/>
      <c r="C2082" s="146"/>
      <c r="D2082" s="146"/>
      <c r="E2082" s="16"/>
      <c r="F2082" s="91"/>
      <c r="G2082" s="16"/>
      <c r="H2082" s="320" t="str">
        <f t="shared" si="1"/>
        <v/>
      </c>
      <c r="I2082" s="16"/>
      <c r="J2082" s="16"/>
      <c r="K2082" s="16"/>
      <c r="L2082" s="38"/>
      <c r="M2082" s="16"/>
      <c r="N2082" s="16"/>
      <c r="O2082" s="16"/>
      <c r="P2082" s="15"/>
      <c r="Q2082" s="15"/>
      <c r="R2082" s="16"/>
      <c r="S2082" s="16"/>
      <c r="T2082" s="16"/>
      <c r="U2082" s="16"/>
      <c r="V2082" s="37" t="str">
        <f>IFERROR(__xludf.DUMMYFUNCTION("if(not(iserror(index(split(C2082, "" ""),2))), index(split(C2082, "" ""),1),"""")"),"")</f>
        <v/>
      </c>
      <c r="W2082" s="315" t="str">
        <f>IFERROR(__xludf.DUMMYFUNCTION("if(V2082="""",C2082,if(not(iserror(index(split(C2082, "" ""),3))), index(split(C2082, "" ""),3),index(split(C2082, "" ""),2)))"),"")</f>
        <v/>
      </c>
      <c r="X2082" s="38" t="b">
        <f t="shared" si="2"/>
        <v>0</v>
      </c>
      <c r="Y2082" s="38"/>
      <c r="Z2082" s="40"/>
      <c r="AA2082" s="40"/>
      <c r="AB2082" s="38"/>
      <c r="AC2082" s="38"/>
      <c r="AD2082" s="38"/>
      <c r="AE2082" s="38"/>
      <c r="AF2082" s="38"/>
      <c r="AG2082" s="38"/>
      <c r="AH2082" s="38"/>
      <c r="AI2082" s="38"/>
      <c r="AJ2082" s="38"/>
      <c r="AK2082" s="38"/>
      <c r="AL2082" s="38"/>
      <c r="AM2082" s="38"/>
      <c r="AN2082" s="38"/>
      <c r="AO2082" s="38"/>
      <c r="AP2082" s="38"/>
      <c r="AQ2082" s="38"/>
      <c r="AR2082" s="38"/>
      <c r="AS2082" s="38"/>
      <c r="AT2082" s="38"/>
      <c r="AU2082" s="38"/>
      <c r="AV2082" s="38"/>
      <c r="AW2082" s="38"/>
      <c r="AX2082" s="38"/>
      <c r="AY2082" s="38"/>
      <c r="AZ2082" s="38"/>
      <c r="BA2082" s="38"/>
      <c r="BB2082" s="38"/>
      <c r="BC2082" s="38"/>
      <c r="BD2082" s="38"/>
      <c r="BE2082" s="38"/>
      <c r="BF2082" s="38"/>
      <c r="BG2082" s="38"/>
    </row>
    <row r="2083">
      <c r="A2083" s="16"/>
      <c r="B2083" s="16"/>
      <c r="C2083" s="146"/>
      <c r="D2083" s="146"/>
      <c r="E2083" s="16"/>
      <c r="F2083" s="91"/>
      <c r="G2083" s="16"/>
      <c r="H2083" s="320" t="str">
        <f t="shared" si="1"/>
        <v/>
      </c>
      <c r="I2083" s="16"/>
      <c r="J2083" s="16"/>
      <c r="K2083" s="16"/>
      <c r="L2083" s="38"/>
      <c r="M2083" s="16"/>
      <c r="N2083" s="16"/>
      <c r="O2083" s="16"/>
      <c r="P2083" s="15"/>
      <c r="Q2083" s="15"/>
      <c r="R2083" s="16"/>
      <c r="S2083" s="16"/>
      <c r="T2083" s="16"/>
      <c r="U2083" s="16"/>
      <c r="V2083" s="37" t="str">
        <f>IFERROR(__xludf.DUMMYFUNCTION("if(not(iserror(index(split(C2083, "" ""),2))), index(split(C2083, "" ""),1),"""")"),"")</f>
        <v/>
      </c>
      <c r="W2083" s="315" t="str">
        <f>IFERROR(__xludf.DUMMYFUNCTION("if(V2083="""",C2083,if(not(iserror(index(split(C2083, "" ""),3))), index(split(C2083, "" ""),3),index(split(C2083, "" ""),2)))"),"")</f>
        <v/>
      </c>
      <c r="X2083" s="38" t="b">
        <f t="shared" si="2"/>
        <v>0</v>
      </c>
      <c r="Y2083" s="38"/>
      <c r="Z2083" s="40"/>
      <c r="AA2083" s="40"/>
      <c r="AB2083" s="38"/>
      <c r="AC2083" s="38"/>
      <c r="AD2083" s="38"/>
      <c r="AE2083" s="38"/>
      <c r="AF2083" s="38"/>
      <c r="AG2083" s="38"/>
      <c r="AH2083" s="38"/>
      <c r="AI2083" s="38"/>
      <c r="AJ2083" s="38"/>
      <c r="AK2083" s="38"/>
      <c r="AL2083" s="38"/>
      <c r="AM2083" s="38"/>
      <c r="AN2083" s="38"/>
      <c r="AO2083" s="38"/>
      <c r="AP2083" s="38"/>
      <c r="AQ2083" s="38"/>
      <c r="AR2083" s="38"/>
      <c r="AS2083" s="38"/>
      <c r="AT2083" s="38"/>
      <c r="AU2083" s="38"/>
      <c r="AV2083" s="38"/>
      <c r="AW2083" s="38"/>
      <c r="AX2083" s="38"/>
      <c r="AY2083" s="38"/>
      <c r="AZ2083" s="38"/>
      <c r="BA2083" s="38"/>
      <c r="BB2083" s="38"/>
      <c r="BC2083" s="38"/>
      <c r="BD2083" s="38"/>
      <c r="BE2083" s="38"/>
      <c r="BF2083" s="38"/>
      <c r="BG2083" s="38"/>
    </row>
    <row r="2084">
      <c r="A2084" s="16"/>
      <c r="B2084" s="16"/>
      <c r="C2084" s="146"/>
      <c r="D2084" s="146"/>
      <c r="E2084" s="16"/>
      <c r="F2084" s="91"/>
      <c r="G2084" s="16"/>
      <c r="H2084" s="320" t="str">
        <f t="shared" si="1"/>
        <v/>
      </c>
      <c r="I2084" s="16"/>
      <c r="J2084" s="16"/>
      <c r="K2084" s="16"/>
      <c r="L2084" s="38"/>
      <c r="M2084" s="16"/>
      <c r="N2084" s="16"/>
      <c r="O2084" s="16"/>
      <c r="P2084" s="15"/>
      <c r="Q2084" s="15"/>
      <c r="R2084" s="16"/>
      <c r="S2084" s="16"/>
      <c r="T2084" s="16"/>
      <c r="U2084" s="16"/>
      <c r="V2084" s="37" t="str">
        <f>IFERROR(__xludf.DUMMYFUNCTION("if(not(iserror(index(split(C2084, "" ""),2))), index(split(C2084, "" ""),1),"""")"),"")</f>
        <v/>
      </c>
      <c r="W2084" s="315" t="str">
        <f>IFERROR(__xludf.DUMMYFUNCTION("if(V2084="""",C2084,if(not(iserror(index(split(C2084, "" ""),3))), index(split(C2084, "" ""),3),index(split(C2084, "" ""),2)))"),"")</f>
        <v/>
      </c>
      <c r="X2084" s="38" t="b">
        <f t="shared" si="2"/>
        <v>0</v>
      </c>
      <c r="Y2084" s="38"/>
      <c r="Z2084" s="40"/>
      <c r="AA2084" s="40"/>
      <c r="AB2084" s="38"/>
      <c r="AC2084" s="38"/>
      <c r="AD2084" s="38"/>
      <c r="AE2084" s="38"/>
      <c r="AF2084" s="38"/>
      <c r="AG2084" s="38"/>
      <c r="AH2084" s="38"/>
      <c r="AI2084" s="38"/>
      <c r="AJ2084" s="38"/>
      <c r="AK2084" s="38"/>
      <c r="AL2084" s="38"/>
      <c r="AM2084" s="38"/>
      <c r="AN2084" s="38"/>
      <c r="AO2084" s="38"/>
      <c r="AP2084" s="38"/>
      <c r="AQ2084" s="38"/>
      <c r="AR2084" s="38"/>
      <c r="AS2084" s="38"/>
      <c r="AT2084" s="38"/>
      <c r="AU2084" s="38"/>
      <c r="AV2084" s="38"/>
      <c r="AW2084" s="38"/>
      <c r="AX2084" s="38"/>
      <c r="AY2084" s="38"/>
      <c r="AZ2084" s="38"/>
      <c r="BA2084" s="38"/>
      <c r="BB2084" s="38"/>
      <c r="BC2084" s="38"/>
      <c r="BD2084" s="38"/>
      <c r="BE2084" s="38"/>
      <c r="BF2084" s="38"/>
      <c r="BG2084" s="38"/>
    </row>
    <row r="2085">
      <c r="A2085" s="16"/>
      <c r="B2085" s="16"/>
      <c r="C2085" s="146"/>
      <c r="D2085" s="146"/>
      <c r="E2085" s="16"/>
      <c r="F2085" s="91"/>
      <c r="G2085" s="16"/>
      <c r="H2085" s="320" t="str">
        <f t="shared" si="1"/>
        <v/>
      </c>
      <c r="I2085" s="16"/>
      <c r="J2085" s="16"/>
      <c r="K2085" s="16"/>
      <c r="L2085" s="38"/>
      <c r="M2085" s="16"/>
      <c r="N2085" s="16"/>
      <c r="O2085" s="16"/>
      <c r="P2085" s="15"/>
      <c r="Q2085" s="15"/>
      <c r="R2085" s="16"/>
      <c r="S2085" s="16"/>
      <c r="T2085" s="16"/>
      <c r="U2085" s="16"/>
      <c r="V2085" s="37" t="str">
        <f>IFERROR(__xludf.DUMMYFUNCTION("if(not(iserror(index(split(C2085, "" ""),2))), index(split(C2085, "" ""),1),"""")"),"")</f>
        <v/>
      </c>
      <c r="W2085" s="315" t="str">
        <f>IFERROR(__xludf.DUMMYFUNCTION("if(V2085="""",C2085,if(not(iserror(index(split(C2085, "" ""),3))), index(split(C2085, "" ""),3),index(split(C2085, "" ""),2)))"),"")</f>
        <v/>
      </c>
      <c r="X2085" s="38" t="b">
        <f t="shared" si="2"/>
        <v>0</v>
      </c>
      <c r="Y2085" s="38"/>
      <c r="Z2085" s="40"/>
      <c r="AA2085" s="40"/>
      <c r="AB2085" s="38"/>
      <c r="AC2085" s="38"/>
      <c r="AD2085" s="38"/>
      <c r="AE2085" s="38"/>
      <c r="AF2085" s="38"/>
      <c r="AG2085" s="38"/>
      <c r="AH2085" s="38"/>
      <c r="AI2085" s="38"/>
      <c r="AJ2085" s="38"/>
      <c r="AK2085" s="38"/>
      <c r="AL2085" s="38"/>
      <c r="AM2085" s="38"/>
      <c r="AN2085" s="38"/>
      <c r="AO2085" s="38"/>
      <c r="AP2085" s="38"/>
      <c r="AQ2085" s="38"/>
      <c r="AR2085" s="38"/>
      <c r="AS2085" s="38"/>
      <c r="AT2085" s="38"/>
      <c r="AU2085" s="38"/>
      <c r="AV2085" s="38"/>
      <c r="AW2085" s="38"/>
      <c r="AX2085" s="38"/>
      <c r="AY2085" s="38"/>
      <c r="AZ2085" s="38"/>
      <c r="BA2085" s="38"/>
      <c r="BB2085" s="38"/>
      <c r="BC2085" s="38"/>
      <c r="BD2085" s="38"/>
      <c r="BE2085" s="38"/>
      <c r="BF2085" s="38"/>
      <c r="BG2085" s="38"/>
    </row>
    <row r="2086">
      <c r="A2086" s="16"/>
      <c r="B2086" s="16"/>
      <c r="C2086" s="146"/>
      <c r="D2086" s="146"/>
      <c r="E2086" s="16"/>
      <c r="F2086" s="91"/>
      <c r="G2086" s="16"/>
      <c r="H2086" s="320" t="str">
        <f t="shared" si="1"/>
        <v/>
      </c>
      <c r="I2086" s="16"/>
      <c r="J2086" s="16"/>
      <c r="K2086" s="16"/>
      <c r="L2086" s="38"/>
      <c r="M2086" s="16"/>
      <c r="N2086" s="16"/>
      <c r="O2086" s="16"/>
      <c r="P2086" s="15"/>
      <c r="Q2086" s="15"/>
      <c r="R2086" s="16"/>
      <c r="S2086" s="16"/>
      <c r="T2086" s="16"/>
      <c r="U2086" s="16"/>
      <c r="V2086" s="37" t="str">
        <f>IFERROR(__xludf.DUMMYFUNCTION("if(not(iserror(index(split(C2086, "" ""),2))), index(split(C2086, "" ""),1),"""")"),"")</f>
        <v/>
      </c>
      <c r="W2086" s="315" t="str">
        <f>IFERROR(__xludf.DUMMYFUNCTION("if(V2086="""",C2086,if(not(iserror(index(split(C2086, "" ""),3))), index(split(C2086, "" ""),3),index(split(C2086, "" ""),2)))"),"")</f>
        <v/>
      </c>
      <c r="X2086" s="38" t="b">
        <f t="shared" si="2"/>
        <v>0</v>
      </c>
      <c r="Y2086" s="38"/>
      <c r="Z2086" s="40"/>
      <c r="AA2086" s="40"/>
      <c r="AB2086" s="38"/>
      <c r="AC2086" s="38"/>
      <c r="AD2086" s="38"/>
      <c r="AE2086" s="38"/>
      <c r="AF2086" s="38"/>
      <c r="AG2086" s="38"/>
      <c r="AH2086" s="38"/>
      <c r="AI2086" s="38"/>
      <c r="AJ2086" s="38"/>
      <c r="AK2086" s="38"/>
      <c r="AL2086" s="38"/>
      <c r="AM2086" s="38"/>
      <c r="AN2086" s="38"/>
      <c r="AO2086" s="38"/>
      <c r="AP2086" s="38"/>
      <c r="AQ2086" s="38"/>
      <c r="AR2086" s="38"/>
      <c r="AS2086" s="38"/>
      <c r="AT2086" s="38"/>
      <c r="AU2086" s="38"/>
      <c r="AV2086" s="38"/>
      <c r="AW2086" s="38"/>
      <c r="AX2086" s="38"/>
      <c r="AY2086" s="38"/>
      <c r="AZ2086" s="38"/>
      <c r="BA2086" s="38"/>
      <c r="BB2086" s="38"/>
      <c r="BC2086" s="38"/>
      <c r="BD2086" s="38"/>
      <c r="BE2086" s="38"/>
      <c r="BF2086" s="38"/>
      <c r="BG2086" s="38"/>
    </row>
    <row r="2087">
      <c r="A2087" s="16"/>
      <c r="B2087" s="16"/>
      <c r="C2087" s="146"/>
      <c r="D2087" s="146"/>
      <c r="E2087" s="16"/>
      <c r="F2087" s="91"/>
      <c r="G2087" s="16"/>
      <c r="H2087" s="320" t="str">
        <f t="shared" si="1"/>
        <v/>
      </c>
      <c r="I2087" s="16"/>
      <c r="J2087" s="16"/>
      <c r="K2087" s="16"/>
      <c r="L2087" s="38"/>
      <c r="M2087" s="16"/>
      <c r="N2087" s="16"/>
      <c r="O2087" s="16"/>
      <c r="P2087" s="15"/>
      <c r="Q2087" s="15"/>
      <c r="R2087" s="16"/>
      <c r="S2087" s="16"/>
      <c r="T2087" s="16"/>
      <c r="U2087" s="16"/>
      <c r="V2087" s="37" t="str">
        <f>IFERROR(__xludf.DUMMYFUNCTION("if(not(iserror(index(split(C2087, "" ""),2))), index(split(C2087, "" ""),1),"""")"),"")</f>
        <v/>
      </c>
      <c r="W2087" s="315" t="str">
        <f>IFERROR(__xludf.DUMMYFUNCTION("if(V2087="""",C2087,if(not(iserror(index(split(C2087, "" ""),3))), index(split(C2087, "" ""),3),index(split(C2087, "" ""),2)))"),"")</f>
        <v/>
      </c>
      <c r="X2087" s="38" t="b">
        <f t="shared" si="2"/>
        <v>0</v>
      </c>
      <c r="Y2087" s="38"/>
      <c r="Z2087" s="40"/>
      <c r="AA2087" s="40"/>
      <c r="AB2087" s="38"/>
      <c r="AC2087" s="38"/>
      <c r="AD2087" s="38"/>
      <c r="AE2087" s="38"/>
      <c r="AF2087" s="38"/>
      <c r="AG2087" s="38"/>
      <c r="AH2087" s="38"/>
      <c r="AI2087" s="38"/>
      <c r="AJ2087" s="38"/>
      <c r="AK2087" s="38"/>
      <c r="AL2087" s="38"/>
      <c r="AM2087" s="38"/>
      <c r="AN2087" s="38"/>
      <c r="AO2087" s="38"/>
      <c r="AP2087" s="38"/>
      <c r="AQ2087" s="38"/>
      <c r="AR2087" s="38"/>
      <c r="AS2087" s="38"/>
      <c r="AT2087" s="38"/>
      <c r="AU2087" s="38"/>
      <c r="AV2087" s="38"/>
      <c r="AW2087" s="38"/>
      <c r="AX2087" s="38"/>
      <c r="AY2087" s="38"/>
      <c r="AZ2087" s="38"/>
      <c r="BA2087" s="38"/>
      <c r="BB2087" s="38"/>
      <c r="BC2087" s="38"/>
      <c r="BD2087" s="38"/>
      <c r="BE2087" s="38"/>
      <c r="BF2087" s="38"/>
      <c r="BG2087" s="38"/>
    </row>
    <row r="2088">
      <c r="A2088" s="16"/>
      <c r="B2088" s="16"/>
      <c r="C2088" s="146"/>
      <c r="D2088" s="146"/>
      <c r="E2088" s="16"/>
      <c r="F2088" s="91"/>
      <c r="G2088" s="16"/>
      <c r="H2088" s="320" t="str">
        <f t="shared" si="1"/>
        <v/>
      </c>
      <c r="I2088" s="16"/>
      <c r="J2088" s="16"/>
      <c r="K2088" s="16"/>
      <c r="L2088" s="38"/>
      <c r="M2088" s="16"/>
      <c r="N2088" s="16"/>
      <c r="O2088" s="16"/>
      <c r="P2088" s="15"/>
      <c r="Q2088" s="15"/>
      <c r="R2088" s="16"/>
      <c r="S2088" s="16"/>
      <c r="T2088" s="16"/>
      <c r="U2088" s="16"/>
      <c r="V2088" s="37" t="str">
        <f>IFERROR(__xludf.DUMMYFUNCTION("if(not(iserror(index(split(C2088, "" ""),2))), index(split(C2088, "" ""),1),"""")"),"")</f>
        <v/>
      </c>
      <c r="W2088" s="315" t="str">
        <f>IFERROR(__xludf.DUMMYFUNCTION("if(V2088="""",C2088,if(not(iserror(index(split(C2088, "" ""),3))), index(split(C2088, "" ""),3),index(split(C2088, "" ""),2)))"),"")</f>
        <v/>
      </c>
      <c r="X2088" s="38" t="b">
        <f t="shared" si="2"/>
        <v>0</v>
      </c>
      <c r="Y2088" s="38"/>
      <c r="Z2088" s="40"/>
      <c r="AA2088" s="40"/>
      <c r="AB2088" s="38"/>
      <c r="AC2088" s="38"/>
      <c r="AD2088" s="38"/>
      <c r="AE2088" s="38"/>
      <c r="AF2088" s="38"/>
      <c r="AG2088" s="38"/>
      <c r="AH2088" s="38"/>
      <c r="AI2088" s="38"/>
      <c r="AJ2088" s="38"/>
      <c r="AK2088" s="38"/>
      <c r="AL2088" s="38"/>
      <c r="AM2088" s="38"/>
      <c r="AN2088" s="38"/>
      <c r="AO2088" s="38"/>
      <c r="AP2088" s="38"/>
      <c r="AQ2088" s="38"/>
      <c r="AR2088" s="38"/>
      <c r="AS2088" s="38"/>
      <c r="AT2088" s="38"/>
      <c r="AU2088" s="38"/>
      <c r="AV2088" s="38"/>
      <c r="AW2088" s="38"/>
      <c r="AX2088" s="38"/>
      <c r="AY2088" s="38"/>
      <c r="AZ2088" s="38"/>
      <c r="BA2088" s="38"/>
      <c r="BB2088" s="38"/>
      <c r="BC2088" s="38"/>
      <c r="BD2088" s="38"/>
      <c r="BE2088" s="38"/>
      <c r="BF2088" s="38"/>
      <c r="BG2088" s="38"/>
    </row>
    <row r="2089">
      <c r="A2089" s="16"/>
      <c r="B2089" s="16"/>
      <c r="C2089" s="146"/>
      <c r="D2089" s="146"/>
      <c r="E2089" s="16"/>
      <c r="F2089" s="91"/>
      <c r="G2089" s="16"/>
      <c r="H2089" s="320" t="str">
        <f t="shared" si="1"/>
        <v/>
      </c>
      <c r="I2089" s="16"/>
      <c r="J2089" s="16"/>
      <c r="K2089" s="16"/>
      <c r="L2089" s="38"/>
      <c r="M2089" s="16"/>
      <c r="N2089" s="16"/>
      <c r="O2089" s="16"/>
      <c r="P2089" s="15"/>
      <c r="Q2089" s="15"/>
      <c r="R2089" s="16"/>
      <c r="S2089" s="16"/>
      <c r="T2089" s="16"/>
      <c r="U2089" s="16"/>
      <c r="V2089" s="37" t="str">
        <f>IFERROR(__xludf.DUMMYFUNCTION("if(not(iserror(index(split(C2089, "" ""),2))), index(split(C2089, "" ""),1),"""")"),"")</f>
        <v/>
      </c>
      <c r="W2089" s="315" t="str">
        <f>IFERROR(__xludf.DUMMYFUNCTION("if(V2089="""",C2089,if(not(iserror(index(split(C2089, "" ""),3))), index(split(C2089, "" ""),3),index(split(C2089, "" ""),2)))"),"")</f>
        <v/>
      </c>
      <c r="X2089" s="38" t="b">
        <f t="shared" si="2"/>
        <v>0</v>
      </c>
      <c r="Y2089" s="38"/>
      <c r="Z2089" s="40"/>
      <c r="AA2089" s="40"/>
      <c r="AB2089" s="38"/>
      <c r="AC2089" s="38"/>
      <c r="AD2089" s="38"/>
      <c r="AE2089" s="38"/>
      <c r="AF2089" s="38"/>
      <c r="AG2089" s="38"/>
      <c r="AH2089" s="38"/>
      <c r="AI2089" s="38"/>
      <c r="AJ2089" s="38"/>
      <c r="AK2089" s="38"/>
      <c r="AL2089" s="38"/>
      <c r="AM2089" s="38"/>
      <c r="AN2089" s="38"/>
      <c r="AO2089" s="38"/>
      <c r="AP2089" s="38"/>
      <c r="AQ2089" s="38"/>
      <c r="AR2089" s="38"/>
      <c r="AS2089" s="38"/>
      <c r="AT2089" s="38"/>
      <c r="AU2089" s="38"/>
      <c r="AV2089" s="38"/>
      <c r="AW2089" s="38"/>
      <c r="AX2089" s="38"/>
      <c r="AY2089" s="38"/>
      <c r="AZ2089" s="38"/>
      <c r="BA2089" s="38"/>
      <c r="BB2089" s="38"/>
      <c r="BC2089" s="38"/>
      <c r="BD2089" s="38"/>
      <c r="BE2089" s="38"/>
      <c r="BF2089" s="38"/>
      <c r="BG2089" s="38"/>
    </row>
    <row r="2090">
      <c r="A2090" s="16"/>
      <c r="B2090" s="16"/>
      <c r="C2090" s="146"/>
      <c r="D2090" s="146"/>
      <c r="E2090" s="16"/>
      <c r="F2090" s="91"/>
      <c r="G2090" s="16"/>
      <c r="H2090" s="320" t="str">
        <f t="shared" si="1"/>
        <v/>
      </c>
      <c r="I2090" s="16"/>
      <c r="J2090" s="16"/>
      <c r="K2090" s="16"/>
      <c r="L2090" s="38"/>
      <c r="M2090" s="16"/>
      <c r="N2090" s="16"/>
      <c r="O2090" s="16"/>
      <c r="P2090" s="15"/>
      <c r="Q2090" s="15"/>
      <c r="R2090" s="16"/>
      <c r="S2090" s="16"/>
      <c r="T2090" s="16"/>
      <c r="U2090" s="16"/>
      <c r="V2090" s="37" t="str">
        <f>IFERROR(__xludf.DUMMYFUNCTION("if(not(iserror(index(split(C2090, "" ""),2))), index(split(C2090, "" ""),1),"""")"),"")</f>
        <v/>
      </c>
      <c r="W2090" s="315" t="str">
        <f>IFERROR(__xludf.DUMMYFUNCTION("if(V2090="""",C2090,if(not(iserror(index(split(C2090, "" ""),3))), index(split(C2090, "" ""),3),index(split(C2090, "" ""),2)))"),"")</f>
        <v/>
      </c>
      <c r="X2090" s="38" t="b">
        <f t="shared" si="2"/>
        <v>0</v>
      </c>
      <c r="Y2090" s="38"/>
      <c r="Z2090" s="40"/>
      <c r="AA2090" s="40"/>
      <c r="AB2090" s="38"/>
      <c r="AC2090" s="38"/>
      <c r="AD2090" s="38"/>
      <c r="AE2090" s="38"/>
      <c r="AF2090" s="38"/>
      <c r="AG2090" s="38"/>
      <c r="AH2090" s="38"/>
      <c r="AI2090" s="38"/>
      <c r="AJ2090" s="38"/>
      <c r="AK2090" s="38"/>
      <c r="AL2090" s="38"/>
      <c r="AM2090" s="38"/>
      <c r="AN2090" s="38"/>
      <c r="AO2090" s="38"/>
      <c r="AP2090" s="38"/>
      <c r="AQ2090" s="38"/>
      <c r="AR2090" s="38"/>
      <c r="AS2090" s="38"/>
      <c r="AT2090" s="38"/>
      <c r="AU2090" s="38"/>
      <c r="AV2090" s="38"/>
      <c r="AW2090" s="38"/>
      <c r="AX2090" s="38"/>
      <c r="AY2090" s="38"/>
      <c r="AZ2090" s="38"/>
      <c r="BA2090" s="38"/>
      <c r="BB2090" s="38"/>
      <c r="BC2090" s="38"/>
      <c r="BD2090" s="38"/>
      <c r="BE2090" s="38"/>
      <c r="BF2090" s="38"/>
      <c r="BG2090" s="38"/>
    </row>
    <row r="2091">
      <c r="A2091" s="16"/>
      <c r="B2091" s="16"/>
      <c r="C2091" s="146"/>
      <c r="D2091" s="146"/>
      <c r="E2091" s="16"/>
      <c r="F2091" s="91"/>
      <c r="G2091" s="16"/>
      <c r="H2091" s="320" t="str">
        <f t="shared" si="1"/>
        <v/>
      </c>
      <c r="I2091" s="16"/>
      <c r="J2091" s="16"/>
      <c r="K2091" s="16"/>
      <c r="L2091" s="38"/>
      <c r="M2091" s="16"/>
      <c r="N2091" s="16"/>
      <c r="O2091" s="16"/>
      <c r="P2091" s="15"/>
      <c r="Q2091" s="15"/>
      <c r="R2091" s="16"/>
      <c r="S2091" s="16"/>
      <c r="T2091" s="16"/>
      <c r="U2091" s="16"/>
      <c r="V2091" s="37" t="str">
        <f>IFERROR(__xludf.DUMMYFUNCTION("if(not(iserror(index(split(C2091, "" ""),2))), index(split(C2091, "" ""),1),"""")"),"")</f>
        <v/>
      </c>
      <c r="W2091" s="315" t="str">
        <f>IFERROR(__xludf.DUMMYFUNCTION("if(V2091="""",C2091,if(not(iserror(index(split(C2091, "" ""),3))), index(split(C2091, "" ""),3),index(split(C2091, "" ""),2)))"),"")</f>
        <v/>
      </c>
      <c r="X2091" s="38" t="b">
        <f t="shared" si="2"/>
        <v>0</v>
      </c>
      <c r="Y2091" s="38"/>
      <c r="Z2091" s="40"/>
      <c r="AA2091" s="40"/>
      <c r="AB2091" s="38"/>
      <c r="AC2091" s="38"/>
      <c r="AD2091" s="38"/>
      <c r="AE2091" s="38"/>
      <c r="AF2091" s="38"/>
      <c r="AG2091" s="38"/>
      <c r="AH2091" s="38"/>
      <c r="AI2091" s="38"/>
      <c r="AJ2091" s="38"/>
      <c r="AK2091" s="38"/>
      <c r="AL2091" s="38"/>
      <c r="AM2091" s="38"/>
      <c r="AN2091" s="38"/>
      <c r="AO2091" s="38"/>
      <c r="AP2091" s="38"/>
      <c r="AQ2091" s="38"/>
      <c r="AR2091" s="38"/>
      <c r="AS2091" s="38"/>
      <c r="AT2091" s="38"/>
      <c r="AU2091" s="38"/>
      <c r="AV2091" s="38"/>
      <c r="AW2091" s="38"/>
      <c r="AX2091" s="38"/>
      <c r="AY2091" s="38"/>
      <c r="AZ2091" s="38"/>
      <c r="BA2091" s="38"/>
      <c r="BB2091" s="38"/>
      <c r="BC2091" s="38"/>
      <c r="BD2091" s="38"/>
      <c r="BE2091" s="38"/>
      <c r="BF2091" s="38"/>
      <c r="BG2091" s="38"/>
    </row>
    <row r="2092">
      <c r="A2092" s="16"/>
      <c r="B2092" s="16"/>
      <c r="C2092" s="146"/>
      <c r="D2092" s="146"/>
      <c r="E2092" s="16"/>
      <c r="F2092" s="91"/>
      <c r="G2092" s="16"/>
      <c r="H2092" s="320" t="str">
        <f t="shared" si="1"/>
        <v/>
      </c>
      <c r="I2092" s="16"/>
      <c r="J2092" s="16"/>
      <c r="K2092" s="16"/>
      <c r="L2092" s="38"/>
      <c r="M2092" s="16"/>
      <c r="N2092" s="16"/>
      <c r="O2092" s="16"/>
      <c r="P2092" s="15"/>
      <c r="Q2092" s="15"/>
      <c r="R2092" s="16"/>
      <c r="S2092" s="16"/>
      <c r="T2092" s="16"/>
      <c r="U2092" s="16"/>
      <c r="V2092" s="37" t="str">
        <f>IFERROR(__xludf.DUMMYFUNCTION("if(not(iserror(index(split(C2092, "" ""),2))), index(split(C2092, "" ""),1),"""")"),"")</f>
        <v/>
      </c>
      <c r="W2092" s="315" t="str">
        <f>IFERROR(__xludf.DUMMYFUNCTION("if(V2092="""",C2092,if(not(iserror(index(split(C2092, "" ""),3))), index(split(C2092, "" ""),3),index(split(C2092, "" ""),2)))"),"")</f>
        <v/>
      </c>
      <c r="X2092" s="38" t="b">
        <f t="shared" si="2"/>
        <v>0</v>
      </c>
      <c r="Y2092" s="38"/>
      <c r="Z2092" s="40"/>
      <c r="AA2092" s="40"/>
      <c r="AB2092" s="38"/>
      <c r="AC2092" s="38"/>
      <c r="AD2092" s="38"/>
      <c r="AE2092" s="38"/>
      <c r="AF2092" s="38"/>
      <c r="AG2092" s="38"/>
      <c r="AH2092" s="38"/>
      <c r="AI2092" s="38"/>
      <c r="AJ2092" s="38"/>
      <c r="AK2092" s="38"/>
      <c r="AL2092" s="38"/>
      <c r="AM2092" s="38"/>
      <c r="AN2092" s="38"/>
      <c r="AO2092" s="38"/>
      <c r="AP2092" s="38"/>
      <c r="AQ2092" s="38"/>
      <c r="AR2092" s="38"/>
      <c r="AS2092" s="38"/>
      <c r="AT2092" s="38"/>
      <c r="AU2092" s="38"/>
      <c r="AV2092" s="38"/>
      <c r="AW2092" s="38"/>
      <c r="AX2092" s="38"/>
      <c r="AY2092" s="38"/>
      <c r="AZ2092" s="38"/>
      <c r="BA2092" s="38"/>
      <c r="BB2092" s="38"/>
      <c r="BC2092" s="38"/>
      <c r="BD2092" s="38"/>
      <c r="BE2092" s="38"/>
      <c r="BF2092" s="38"/>
      <c r="BG2092" s="38"/>
    </row>
    <row r="2093">
      <c r="A2093" s="16"/>
      <c r="B2093" s="16"/>
      <c r="C2093" s="146"/>
      <c r="D2093" s="146"/>
      <c r="E2093" s="16"/>
      <c r="F2093" s="91"/>
      <c r="G2093" s="16"/>
      <c r="H2093" s="320" t="str">
        <f t="shared" si="1"/>
        <v/>
      </c>
      <c r="I2093" s="16"/>
      <c r="J2093" s="16"/>
      <c r="K2093" s="16"/>
      <c r="L2093" s="38"/>
      <c r="M2093" s="16"/>
      <c r="N2093" s="16"/>
      <c r="O2093" s="16"/>
      <c r="P2093" s="15"/>
      <c r="Q2093" s="15"/>
      <c r="R2093" s="16"/>
      <c r="S2093" s="16"/>
      <c r="T2093" s="16"/>
      <c r="U2093" s="16"/>
      <c r="V2093" s="37" t="str">
        <f>IFERROR(__xludf.DUMMYFUNCTION("if(not(iserror(index(split(C2093, "" ""),2))), index(split(C2093, "" ""),1),"""")"),"")</f>
        <v/>
      </c>
      <c r="W2093" s="315" t="str">
        <f>IFERROR(__xludf.DUMMYFUNCTION("if(V2093="""",C2093,if(not(iserror(index(split(C2093, "" ""),3))), index(split(C2093, "" ""),3),index(split(C2093, "" ""),2)))"),"")</f>
        <v/>
      </c>
      <c r="X2093" s="38" t="b">
        <f t="shared" si="2"/>
        <v>0</v>
      </c>
      <c r="Y2093" s="38"/>
      <c r="Z2093" s="40"/>
      <c r="AA2093" s="40"/>
      <c r="AB2093" s="38"/>
      <c r="AC2093" s="38"/>
      <c r="AD2093" s="38"/>
      <c r="AE2093" s="38"/>
      <c r="AF2093" s="38"/>
      <c r="AG2093" s="38"/>
      <c r="AH2093" s="38"/>
      <c r="AI2093" s="38"/>
      <c r="AJ2093" s="38"/>
      <c r="AK2093" s="38"/>
      <c r="AL2093" s="38"/>
      <c r="AM2093" s="38"/>
      <c r="AN2093" s="38"/>
      <c r="AO2093" s="38"/>
      <c r="AP2093" s="38"/>
      <c r="AQ2093" s="38"/>
      <c r="AR2093" s="38"/>
      <c r="AS2093" s="38"/>
      <c r="AT2093" s="38"/>
      <c r="AU2093" s="38"/>
      <c r="AV2093" s="38"/>
      <c r="AW2093" s="38"/>
      <c r="AX2093" s="38"/>
      <c r="AY2093" s="38"/>
      <c r="AZ2093" s="38"/>
      <c r="BA2093" s="38"/>
      <c r="BB2093" s="38"/>
      <c r="BC2093" s="38"/>
      <c r="BD2093" s="38"/>
      <c r="BE2093" s="38"/>
      <c r="BF2093" s="38"/>
      <c r="BG2093" s="38"/>
    </row>
    <row r="2094">
      <c r="A2094" s="16"/>
      <c r="B2094" s="16"/>
      <c r="C2094" s="146"/>
      <c r="D2094" s="146"/>
      <c r="E2094" s="16"/>
      <c r="F2094" s="91"/>
      <c r="G2094" s="16"/>
      <c r="H2094" s="320" t="str">
        <f t="shared" si="1"/>
        <v/>
      </c>
      <c r="I2094" s="16"/>
      <c r="J2094" s="16"/>
      <c r="K2094" s="16"/>
      <c r="L2094" s="38"/>
      <c r="M2094" s="16"/>
      <c r="N2094" s="16"/>
      <c r="O2094" s="16"/>
      <c r="P2094" s="15"/>
      <c r="Q2094" s="15"/>
      <c r="R2094" s="16"/>
      <c r="S2094" s="16"/>
      <c r="T2094" s="16"/>
      <c r="U2094" s="16"/>
      <c r="V2094" s="37" t="str">
        <f>IFERROR(__xludf.DUMMYFUNCTION("if(not(iserror(index(split(C2094, "" ""),2))), index(split(C2094, "" ""),1),"""")"),"")</f>
        <v/>
      </c>
      <c r="W2094" s="315" t="str">
        <f>IFERROR(__xludf.DUMMYFUNCTION("if(V2094="""",C2094,if(not(iserror(index(split(C2094, "" ""),3))), index(split(C2094, "" ""),3),index(split(C2094, "" ""),2)))"),"")</f>
        <v/>
      </c>
      <c r="X2094" s="38" t="b">
        <f t="shared" si="2"/>
        <v>0</v>
      </c>
      <c r="Y2094" s="38"/>
      <c r="Z2094" s="40"/>
      <c r="AA2094" s="40"/>
      <c r="AB2094" s="38"/>
      <c r="AC2094" s="38"/>
      <c r="AD2094" s="38"/>
      <c r="AE2094" s="38"/>
      <c r="AF2094" s="38"/>
      <c r="AG2094" s="38"/>
      <c r="AH2094" s="38"/>
      <c r="AI2094" s="38"/>
      <c r="AJ2094" s="38"/>
      <c r="AK2094" s="38"/>
      <c r="AL2094" s="38"/>
      <c r="AM2094" s="38"/>
      <c r="AN2094" s="38"/>
      <c r="AO2094" s="38"/>
      <c r="AP2094" s="38"/>
      <c r="AQ2094" s="38"/>
      <c r="AR2094" s="38"/>
      <c r="AS2094" s="38"/>
      <c r="AT2094" s="38"/>
      <c r="AU2094" s="38"/>
      <c r="AV2094" s="38"/>
      <c r="AW2094" s="38"/>
      <c r="AX2094" s="38"/>
      <c r="AY2094" s="38"/>
      <c r="AZ2094" s="38"/>
      <c r="BA2094" s="38"/>
      <c r="BB2094" s="38"/>
      <c r="BC2094" s="38"/>
      <c r="BD2094" s="38"/>
      <c r="BE2094" s="38"/>
      <c r="BF2094" s="38"/>
      <c r="BG2094" s="38"/>
    </row>
    <row r="2095">
      <c r="A2095" s="16"/>
      <c r="B2095" s="16"/>
      <c r="C2095" s="146"/>
      <c r="D2095" s="146"/>
      <c r="E2095" s="16"/>
      <c r="F2095" s="91"/>
      <c r="G2095" s="16"/>
      <c r="H2095" s="320" t="str">
        <f t="shared" si="1"/>
        <v/>
      </c>
      <c r="I2095" s="16"/>
      <c r="J2095" s="16"/>
      <c r="K2095" s="16"/>
      <c r="L2095" s="38"/>
      <c r="M2095" s="16"/>
      <c r="N2095" s="16"/>
      <c r="O2095" s="16"/>
      <c r="P2095" s="15"/>
      <c r="Q2095" s="15"/>
      <c r="R2095" s="16"/>
      <c r="S2095" s="16"/>
      <c r="T2095" s="16"/>
      <c r="U2095" s="16"/>
      <c r="V2095" s="37" t="str">
        <f>IFERROR(__xludf.DUMMYFUNCTION("if(not(iserror(index(split(C2095, "" ""),2))), index(split(C2095, "" ""),1),"""")"),"")</f>
        <v/>
      </c>
      <c r="W2095" s="315" t="str">
        <f>IFERROR(__xludf.DUMMYFUNCTION("if(V2095="""",C2095,if(not(iserror(index(split(C2095, "" ""),3))), index(split(C2095, "" ""),3),index(split(C2095, "" ""),2)))"),"")</f>
        <v/>
      </c>
      <c r="X2095" s="38" t="b">
        <f t="shared" si="2"/>
        <v>0</v>
      </c>
      <c r="Y2095" s="38"/>
      <c r="Z2095" s="40"/>
      <c r="AA2095" s="40"/>
      <c r="AB2095" s="38"/>
      <c r="AC2095" s="38"/>
      <c r="AD2095" s="38"/>
      <c r="AE2095" s="38"/>
      <c r="AF2095" s="38"/>
      <c r="AG2095" s="38"/>
      <c r="AH2095" s="38"/>
      <c r="AI2095" s="38"/>
      <c r="AJ2095" s="38"/>
      <c r="AK2095" s="38"/>
      <c r="AL2095" s="38"/>
      <c r="AM2095" s="38"/>
      <c r="AN2095" s="38"/>
      <c r="AO2095" s="38"/>
      <c r="AP2095" s="38"/>
      <c r="AQ2095" s="38"/>
      <c r="AR2095" s="38"/>
      <c r="AS2095" s="38"/>
      <c r="AT2095" s="38"/>
      <c r="AU2095" s="38"/>
      <c r="AV2095" s="38"/>
      <c r="AW2095" s="38"/>
      <c r="AX2095" s="38"/>
      <c r="AY2095" s="38"/>
      <c r="AZ2095" s="38"/>
      <c r="BA2095" s="38"/>
      <c r="BB2095" s="38"/>
      <c r="BC2095" s="38"/>
      <c r="BD2095" s="38"/>
      <c r="BE2095" s="38"/>
      <c r="BF2095" s="38"/>
      <c r="BG2095" s="38"/>
    </row>
    <row r="2096">
      <c r="A2096" s="16"/>
      <c r="B2096" s="16"/>
      <c r="C2096" s="146"/>
      <c r="D2096" s="146"/>
      <c r="E2096" s="16"/>
      <c r="F2096" s="91"/>
      <c r="G2096" s="16"/>
      <c r="H2096" s="320" t="str">
        <f t="shared" si="1"/>
        <v/>
      </c>
      <c r="I2096" s="16"/>
      <c r="J2096" s="16"/>
      <c r="K2096" s="16"/>
      <c r="L2096" s="38"/>
      <c r="M2096" s="16"/>
      <c r="N2096" s="16"/>
      <c r="O2096" s="16"/>
      <c r="P2096" s="15"/>
      <c r="Q2096" s="15"/>
      <c r="R2096" s="16"/>
      <c r="S2096" s="16"/>
      <c r="T2096" s="16"/>
      <c r="U2096" s="16"/>
      <c r="V2096" s="37" t="str">
        <f>IFERROR(__xludf.DUMMYFUNCTION("if(not(iserror(index(split(C2096, "" ""),2))), index(split(C2096, "" ""),1),"""")"),"")</f>
        <v/>
      </c>
      <c r="W2096" s="315" t="str">
        <f>IFERROR(__xludf.DUMMYFUNCTION("if(V2096="""",C2096,if(not(iserror(index(split(C2096, "" ""),3))), index(split(C2096, "" ""),3),index(split(C2096, "" ""),2)))"),"")</f>
        <v/>
      </c>
      <c r="X2096" s="38" t="b">
        <f t="shared" si="2"/>
        <v>0</v>
      </c>
      <c r="Y2096" s="38"/>
      <c r="Z2096" s="40"/>
      <c r="AA2096" s="40"/>
      <c r="AB2096" s="38"/>
      <c r="AC2096" s="38"/>
      <c r="AD2096" s="38"/>
      <c r="AE2096" s="38"/>
      <c r="AF2096" s="38"/>
      <c r="AG2096" s="38"/>
      <c r="AH2096" s="38"/>
      <c r="AI2096" s="38"/>
      <c r="AJ2096" s="38"/>
      <c r="AK2096" s="38"/>
      <c r="AL2096" s="38"/>
      <c r="AM2096" s="38"/>
      <c r="AN2096" s="38"/>
      <c r="AO2096" s="38"/>
      <c r="AP2096" s="38"/>
      <c r="AQ2096" s="38"/>
      <c r="AR2096" s="38"/>
      <c r="AS2096" s="38"/>
      <c r="AT2096" s="38"/>
      <c r="AU2096" s="38"/>
      <c r="AV2096" s="38"/>
      <c r="AW2096" s="38"/>
      <c r="AX2096" s="38"/>
      <c r="AY2096" s="38"/>
      <c r="AZ2096" s="38"/>
      <c r="BA2096" s="38"/>
      <c r="BB2096" s="38"/>
      <c r="BC2096" s="38"/>
      <c r="BD2096" s="38"/>
      <c r="BE2096" s="38"/>
      <c r="BF2096" s="38"/>
      <c r="BG2096" s="38"/>
    </row>
    <row r="2097">
      <c r="A2097" s="16"/>
      <c r="B2097" s="16"/>
      <c r="C2097" s="146"/>
      <c r="D2097" s="146"/>
      <c r="E2097" s="16"/>
      <c r="F2097" s="91"/>
      <c r="G2097" s="16"/>
      <c r="H2097" s="320" t="str">
        <f t="shared" si="1"/>
        <v/>
      </c>
      <c r="I2097" s="16"/>
      <c r="J2097" s="16"/>
      <c r="K2097" s="16"/>
      <c r="L2097" s="38"/>
      <c r="M2097" s="16"/>
      <c r="N2097" s="16"/>
      <c r="O2097" s="16"/>
      <c r="P2097" s="15"/>
      <c r="Q2097" s="15"/>
      <c r="R2097" s="16"/>
      <c r="S2097" s="16"/>
      <c r="T2097" s="16"/>
      <c r="U2097" s="16"/>
      <c r="V2097" s="37" t="str">
        <f>IFERROR(__xludf.DUMMYFUNCTION("if(not(iserror(index(split(C2097, "" ""),2))), index(split(C2097, "" ""),1),"""")"),"")</f>
        <v/>
      </c>
      <c r="W2097" s="315" t="str">
        <f>IFERROR(__xludf.DUMMYFUNCTION("if(V2097="""",C2097,if(not(iserror(index(split(C2097, "" ""),3))), index(split(C2097, "" ""),3),index(split(C2097, "" ""),2)))"),"")</f>
        <v/>
      </c>
      <c r="X2097" s="38" t="b">
        <f t="shared" si="2"/>
        <v>0</v>
      </c>
      <c r="Y2097" s="38"/>
      <c r="Z2097" s="40"/>
      <c r="AA2097" s="40"/>
      <c r="AB2097" s="38"/>
      <c r="AC2097" s="38"/>
      <c r="AD2097" s="38"/>
      <c r="AE2097" s="38"/>
      <c r="AF2097" s="38"/>
      <c r="AG2097" s="38"/>
      <c r="AH2097" s="38"/>
      <c r="AI2097" s="38"/>
      <c r="AJ2097" s="38"/>
      <c r="AK2097" s="38"/>
      <c r="AL2097" s="38"/>
      <c r="AM2097" s="38"/>
      <c r="AN2097" s="38"/>
      <c r="AO2097" s="38"/>
      <c r="AP2097" s="38"/>
      <c r="AQ2097" s="38"/>
      <c r="AR2097" s="38"/>
      <c r="AS2097" s="38"/>
      <c r="AT2097" s="38"/>
      <c r="AU2097" s="38"/>
      <c r="AV2097" s="38"/>
      <c r="AW2097" s="38"/>
      <c r="AX2097" s="38"/>
      <c r="AY2097" s="38"/>
      <c r="AZ2097" s="38"/>
      <c r="BA2097" s="38"/>
      <c r="BB2097" s="38"/>
      <c r="BC2097" s="38"/>
      <c r="BD2097" s="38"/>
      <c r="BE2097" s="38"/>
      <c r="BF2097" s="38"/>
      <c r="BG2097" s="38"/>
    </row>
    <row r="2098">
      <c r="A2098" s="16"/>
      <c r="B2098" s="16"/>
      <c r="C2098" s="146"/>
      <c r="D2098" s="146"/>
      <c r="E2098" s="16"/>
      <c r="F2098" s="91"/>
      <c r="G2098" s="16"/>
      <c r="H2098" s="320" t="str">
        <f t="shared" si="1"/>
        <v/>
      </c>
      <c r="I2098" s="16"/>
      <c r="J2098" s="16"/>
      <c r="K2098" s="16"/>
      <c r="L2098" s="38"/>
      <c r="M2098" s="16"/>
      <c r="N2098" s="16"/>
      <c r="O2098" s="16"/>
      <c r="P2098" s="15"/>
      <c r="Q2098" s="15"/>
      <c r="R2098" s="16"/>
      <c r="S2098" s="16"/>
      <c r="T2098" s="16"/>
      <c r="U2098" s="16"/>
      <c r="V2098" s="37" t="str">
        <f>IFERROR(__xludf.DUMMYFUNCTION("if(not(iserror(index(split(C2098, "" ""),2))), index(split(C2098, "" ""),1),"""")"),"")</f>
        <v/>
      </c>
      <c r="W2098" s="315" t="str">
        <f>IFERROR(__xludf.DUMMYFUNCTION("if(V2098="""",C2098,if(not(iserror(index(split(C2098, "" ""),3))), index(split(C2098, "" ""),3),index(split(C2098, "" ""),2)))"),"")</f>
        <v/>
      </c>
      <c r="X2098" s="38" t="b">
        <f t="shared" si="2"/>
        <v>0</v>
      </c>
      <c r="Y2098" s="38"/>
      <c r="Z2098" s="40"/>
      <c r="AA2098" s="40"/>
      <c r="AB2098" s="38"/>
      <c r="AC2098" s="38"/>
      <c r="AD2098" s="38"/>
      <c r="AE2098" s="38"/>
      <c r="AF2098" s="38"/>
      <c r="AG2098" s="38"/>
      <c r="AH2098" s="38"/>
      <c r="AI2098" s="38"/>
      <c r="AJ2098" s="38"/>
      <c r="AK2098" s="38"/>
      <c r="AL2098" s="38"/>
      <c r="AM2098" s="38"/>
      <c r="AN2098" s="38"/>
      <c r="AO2098" s="38"/>
      <c r="AP2098" s="38"/>
      <c r="AQ2098" s="38"/>
      <c r="AR2098" s="38"/>
      <c r="AS2098" s="38"/>
      <c r="AT2098" s="38"/>
      <c r="AU2098" s="38"/>
      <c r="AV2098" s="38"/>
      <c r="AW2098" s="38"/>
      <c r="AX2098" s="38"/>
      <c r="AY2098" s="38"/>
      <c r="AZ2098" s="38"/>
      <c r="BA2098" s="38"/>
      <c r="BB2098" s="38"/>
      <c r="BC2098" s="38"/>
      <c r="BD2098" s="38"/>
      <c r="BE2098" s="38"/>
      <c r="BF2098" s="38"/>
      <c r="BG2098" s="38"/>
    </row>
    <row r="2099">
      <c r="A2099" s="16"/>
      <c r="B2099" s="16"/>
      <c r="C2099" s="146"/>
      <c r="D2099" s="146"/>
      <c r="E2099" s="16"/>
      <c r="F2099" s="91"/>
      <c r="G2099" s="16"/>
      <c r="H2099" s="320" t="str">
        <f t="shared" si="1"/>
        <v/>
      </c>
      <c r="I2099" s="16"/>
      <c r="J2099" s="16"/>
      <c r="K2099" s="16"/>
      <c r="L2099" s="38"/>
      <c r="M2099" s="16"/>
      <c r="N2099" s="16"/>
      <c r="O2099" s="16"/>
      <c r="P2099" s="15"/>
      <c r="Q2099" s="15"/>
      <c r="R2099" s="16"/>
      <c r="S2099" s="16"/>
      <c r="T2099" s="16"/>
      <c r="U2099" s="16"/>
      <c r="V2099" s="37" t="str">
        <f>IFERROR(__xludf.DUMMYFUNCTION("if(not(iserror(index(split(C2099, "" ""),2))), index(split(C2099, "" ""),1),"""")"),"")</f>
        <v/>
      </c>
      <c r="W2099" s="315" t="str">
        <f>IFERROR(__xludf.DUMMYFUNCTION("if(V2099="""",C2099,if(not(iserror(index(split(C2099, "" ""),3))), index(split(C2099, "" ""),3),index(split(C2099, "" ""),2)))"),"")</f>
        <v/>
      </c>
      <c r="X2099" s="38" t="b">
        <f t="shared" si="2"/>
        <v>0</v>
      </c>
      <c r="Y2099" s="38"/>
      <c r="Z2099" s="40"/>
      <c r="AA2099" s="40"/>
      <c r="AB2099" s="38"/>
      <c r="AC2099" s="38"/>
      <c r="AD2099" s="38"/>
      <c r="AE2099" s="38"/>
      <c r="AF2099" s="38"/>
      <c r="AG2099" s="38"/>
      <c r="AH2099" s="38"/>
      <c r="AI2099" s="38"/>
      <c r="AJ2099" s="38"/>
      <c r="AK2099" s="38"/>
      <c r="AL2099" s="38"/>
      <c r="AM2099" s="38"/>
      <c r="AN2099" s="38"/>
      <c r="AO2099" s="38"/>
      <c r="AP2099" s="38"/>
      <c r="AQ2099" s="38"/>
      <c r="AR2099" s="38"/>
      <c r="AS2099" s="38"/>
      <c r="AT2099" s="38"/>
      <c r="AU2099" s="38"/>
      <c r="AV2099" s="38"/>
      <c r="AW2099" s="38"/>
      <c r="AX2099" s="38"/>
      <c r="AY2099" s="38"/>
      <c r="AZ2099" s="38"/>
      <c r="BA2099" s="38"/>
      <c r="BB2099" s="38"/>
      <c r="BC2099" s="38"/>
      <c r="BD2099" s="38"/>
      <c r="BE2099" s="38"/>
      <c r="BF2099" s="38"/>
      <c r="BG2099" s="38"/>
    </row>
    <row r="2100">
      <c r="A2100" s="16"/>
      <c r="B2100" s="16"/>
      <c r="C2100" s="146"/>
      <c r="D2100" s="146"/>
      <c r="E2100" s="16"/>
      <c r="F2100" s="91"/>
      <c r="G2100" s="16"/>
      <c r="H2100" s="320" t="str">
        <f t="shared" si="1"/>
        <v/>
      </c>
      <c r="I2100" s="16"/>
      <c r="J2100" s="16"/>
      <c r="K2100" s="16"/>
      <c r="L2100" s="38"/>
      <c r="M2100" s="16"/>
      <c r="N2100" s="16"/>
      <c r="O2100" s="16"/>
      <c r="P2100" s="15"/>
      <c r="Q2100" s="15"/>
      <c r="R2100" s="16"/>
      <c r="S2100" s="16"/>
      <c r="T2100" s="16"/>
      <c r="U2100" s="16"/>
      <c r="V2100" s="37" t="str">
        <f>IFERROR(__xludf.DUMMYFUNCTION("if(not(iserror(index(split(C2100, "" ""),2))), index(split(C2100, "" ""),1),"""")"),"")</f>
        <v/>
      </c>
      <c r="W2100" s="315" t="str">
        <f>IFERROR(__xludf.DUMMYFUNCTION("if(V2100="""",C2100,if(not(iserror(index(split(C2100, "" ""),3))), index(split(C2100, "" ""),3),index(split(C2100, "" ""),2)))"),"")</f>
        <v/>
      </c>
      <c r="X2100" s="38" t="b">
        <f t="shared" si="2"/>
        <v>0</v>
      </c>
      <c r="Y2100" s="38"/>
      <c r="Z2100" s="40"/>
      <c r="AA2100" s="40"/>
      <c r="AB2100" s="38"/>
      <c r="AC2100" s="38"/>
      <c r="AD2100" s="38"/>
      <c r="AE2100" s="38"/>
      <c r="AF2100" s="38"/>
      <c r="AG2100" s="38"/>
      <c r="AH2100" s="38"/>
      <c r="AI2100" s="38"/>
      <c r="AJ2100" s="38"/>
      <c r="AK2100" s="38"/>
      <c r="AL2100" s="38"/>
      <c r="AM2100" s="38"/>
      <c r="AN2100" s="38"/>
      <c r="AO2100" s="38"/>
      <c r="AP2100" s="38"/>
      <c r="AQ2100" s="38"/>
      <c r="AR2100" s="38"/>
      <c r="AS2100" s="38"/>
      <c r="AT2100" s="38"/>
      <c r="AU2100" s="38"/>
      <c r="AV2100" s="38"/>
      <c r="AW2100" s="38"/>
      <c r="AX2100" s="38"/>
      <c r="AY2100" s="38"/>
      <c r="AZ2100" s="38"/>
      <c r="BA2100" s="38"/>
      <c r="BB2100" s="38"/>
      <c r="BC2100" s="38"/>
      <c r="BD2100" s="38"/>
      <c r="BE2100" s="38"/>
      <c r="BF2100" s="38"/>
      <c r="BG2100" s="38"/>
    </row>
    <row r="2101">
      <c r="A2101" s="16"/>
      <c r="B2101" s="16"/>
      <c r="C2101" s="146"/>
      <c r="D2101" s="146"/>
      <c r="E2101" s="16"/>
      <c r="F2101" s="91"/>
      <c r="G2101" s="16"/>
      <c r="H2101" s="320" t="str">
        <f t="shared" si="1"/>
        <v/>
      </c>
      <c r="I2101" s="16"/>
      <c r="J2101" s="16"/>
      <c r="K2101" s="16"/>
      <c r="L2101" s="38"/>
      <c r="M2101" s="16"/>
      <c r="N2101" s="16"/>
      <c r="O2101" s="16"/>
      <c r="P2101" s="15"/>
      <c r="Q2101" s="15"/>
      <c r="R2101" s="16"/>
      <c r="S2101" s="16"/>
      <c r="T2101" s="16"/>
      <c r="U2101" s="16"/>
      <c r="V2101" s="37" t="str">
        <f>IFERROR(__xludf.DUMMYFUNCTION("if(not(iserror(index(split(C2101, "" ""),2))), index(split(C2101, "" ""),1),"""")"),"")</f>
        <v/>
      </c>
      <c r="W2101" s="315" t="str">
        <f>IFERROR(__xludf.DUMMYFUNCTION("if(V2101="""",C2101,if(not(iserror(index(split(C2101, "" ""),3))), index(split(C2101, "" ""),3),index(split(C2101, "" ""),2)))"),"")</f>
        <v/>
      </c>
      <c r="X2101" s="38" t="b">
        <f t="shared" si="2"/>
        <v>0</v>
      </c>
      <c r="Y2101" s="38"/>
      <c r="Z2101" s="40"/>
      <c r="AA2101" s="40"/>
      <c r="AB2101" s="38"/>
      <c r="AC2101" s="38"/>
      <c r="AD2101" s="38"/>
      <c r="AE2101" s="38"/>
      <c r="AF2101" s="38"/>
      <c r="AG2101" s="38"/>
      <c r="AH2101" s="38"/>
      <c r="AI2101" s="38"/>
      <c r="AJ2101" s="38"/>
      <c r="AK2101" s="38"/>
      <c r="AL2101" s="38"/>
      <c r="AM2101" s="38"/>
      <c r="AN2101" s="38"/>
      <c r="AO2101" s="38"/>
      <c r="AP2101" s="38"/>
      <c r="AQ2101" s="38"/>
      <c r="AR2101" s="38"/>
      <c r="AS2101" s="38"/>
      <c r="AT2101" s="38"/>
      <c r="AU2101" s="38"/>
      <c r="AV2101" s="38"/>
      <c r="AW2101" s="38"/>
      <c r="AX2101" s="38"/>
      <c r="AY2101" s="38"/>
      <c r="AZ2101" s="38"/>
      <c r="BA2101" s="38"/>
      <c r="BB2101" s="38"/>
      <c r="BC2101" s="38"/>
      <c r="BD2101" s="38"/>
      <c r="BE2101" s="38"/>
      <c r="BF2101" s="38"/>
      <c r="BG2101" s="38"/>
    </row>
    <row r="2102">
      <c r="A2102" s="16"/>
      <c r="B2102" s="16"/>
      <c r="C2102" s="146"/>
      <c r="D2102" s="146"/>
      <c r="E2102" s="16"/>
      <c r="F2102" s="91"/>
      <c r="G2102" s="16"/>
      <c r="H2102" s="320" t="str">
        <f t="shared" si="1"/>
        <v/>
      </c>
      <c r="I2102" s="16"/>
      <c r="J2102" s="16"/>
      <c r="K2102" s="16"/>
      <c r="L2102" s="38"/>
      <c r="M2102" s="16"/>
      <c r="N2102" s="16"/>
      <c r="O2102" s="16"/>
      <c r="P2102" s="15"/>
      <c r="Q2102" s="15"/>
      <c r="R2102" s="16"/>
      <c r="S2102" s="16"/>
      <c r="T2102" s="16"/>
      <c r="U2102" s="16"/>
      <c r="V2102" s="37" t="str">
        <f>IFERROR(__xludf.DUMMYFUNCTION("if(not(iserror(index(split(C2102, "" ""),2))), index(split(C2102, "" ""),1),"""")"),"")</f>
        <v/>
      </c>
      <c r="W2102" s="315" t="str">
        <f>IFERROR(__xludf.DUMMYFUNCTION("if(V2102="""",C2102,if(not(iserror(index(split(C2102, "" ""),3))), index(split(C2102, "" ""),3),index(split(C2102, "" ""),2)))"),"")</f>
        <v/>
      </c>
      <c r="X2102" s="38" t="b">
        <f t="shared" si="2"/>
        <v>0</v>
      </c>
      <c r="Y2102" s="38"/>
      <c r="Z2102" s="40"/>
      <c r="AA2102" s="40"/>
      <c r="AB2102" s="38"/>
      <c r="AC2102" s="38"/>
      <c r="AD2102" s="38"/>
      <c r="AE2102" s="38"/>
      <c r="AF2102" s="38"/>
      <c r="AG2102" s="38"/>
      <c r="AH2102" s="38"/>
      <c r="AI2102" s="38"/>
      <c r="AJ2102" s="38"/>
      <c r="AK2102" s="38"/>
      <c r="AL2102" s="38"/>
      <c r="AM2102" s="38"/>
      <c r="AN2102" s="38"/>
      <c r="AO2102" s="38"/>
      <c r="AP2102" s="38"/>
      <c r="AQ2102" s="38"/>
      <c r="AR2102" s="38"/>
      <c r="AS2102" s="38"/>
      <c r="AT2102" s="38"/>
      <c r="AU2102" s="38"/>
      <c r="AV2102" s="38"/>
      <c r="AW2102" s="38"/>
      <c r="AX2102" s="38"/>
      <c r="AY2102" s="38"/>
      <c r="AZ2102" s="38"/>
      <c r="BA2102" s="38"/>
      <c r="BB2102" s="38"/>
      <c r="BC2102" s="38"/>
      <c r="BD2102" s="38"/>
      <c r="BE2102" s="38"/>
      <c r="BF2102" s="38"/>
      <c r="BG2102" s="38"/>
    </row>
    <row r="2103">
      <c r="A2103" s="16"/>
      <c r="B2103" s="16"/>
      <c r="C2103" s="146"/>
      <c r="D2103" s="146"/>
      <c r="E2103" s="16"/>
      <c r="F2103" s="91"/>
      <c r="G2103" s="16"/>
      <c r="H2103" s="320" t="str">
        <f t="shared" si="1"/>
        <v/>
      </c>
      <c r="I2103" s="16"/>
      <c r="J2103" s="16"/>
      <c r="K2103" s="16"/>
      <c r="L2103" s="38"/>
      <c r="M2103" s="16"/>
      <c r="N2103" s="16"/>
      <c r="O2103" s="16"/>
      <c r="P2103" s="15"/>
      <c r="Q2103" s="15"/>
      <c r="R2103" s="16"/>
      <c r="S2103" s="16"/>
      <c r="T2103" s="16"/>
      <c r="U2103" s="16"/>
      <c r="V2103" s="37" t="str">
        <f>IFERROR(__xludf.DUMMYFUNCTION("if(not(iserror(index(split(C2103, "" ""),2))), index(split(C2103, "" ""),1),"""")"),"")</f>
        <v/>
      </c>
      <c r="W2103" s="315" t="str">
        <f>IFERROR(__xludf.DUMMYFUNCTION("if(V2103="""",C2103,if(not(iserror(index(split(C2103, "" ""),3))), index(split(C2103, "" ""),3),index(split(C2103, "" ""),2)))"),"")</f>
        <v/>
      </c>
      <c r="X2103" s="38" t="b">
        <f t="shared" si="2"/>
        <v>0</v>
      </c>
      <c r="Y2103" s="38"/>
      <c r="Z2103" s="40"/>
      <c r="AA2103" s="40"/>
      <c r="AB2103" s="38"/>
      <c r="AC2103" s="38"/>
      <c r="AD2103" s="38"/>
      <c r="AE2103" s="38"/>
      <c r="AF2103" s="38"/>
      <c r="AG2103" s="38"/>
      <c r="AH2103" s="38"/>
      <c r="AI2103" s="38"/>
      <c r="AJ2103" s="38"/>
      <c r="AK2103" s="38"/>
      <c r="AL2103" s="38"/>
      <c r="AM2103" s="38"/>
      <c r="AN2103" s="38"/>
      <c r="AO2103" s="38"/>
      <c r="AP2103" s="38"/>
      <c r="AQ2103" s="38"/>
      <c r="AR2103" s="38"/>
      <c r="AS2103" s="38"/>
      <c r="AT2103" s="38"/>
      <c r="AU2103" s="38"/>
      <c r="AV2103" s="38"/>
      <c r="AW2103" s="38"/>
      <c r="AX2103" s="38"/>
      <c r="AY2103" s="38"/>
      <c r="AZ2103" s="38"/>
      <c r="BA2103" s="38"/>
      <c r="BB2103" s="38"/>
      <c r="BC2103" s="38"/>
      <c r="BD2103" s="38"/>
      <c r="BE2103" s="38"/>
      <c r="BF2103" s="38"/>
      <c r="BG2103" s="38"/>
    </row>
    <row r="2104">
      <c r="A2104" s="16"/>
      <c r="B2104" s="16"/>
      <c r="C2104" s="146"/>
      <c r="D2104" s="146"/>
      <c r="E2104" s="16"/>
      <c r="F2104" s="91"/>
      <c r="G2104" s="16"/>
      <c r="H2104" s="320" t="str">
        <f t="shared" si="1"/>
        <v/>
      </c>
      <c r="I2104" s="16"/>
      <c r="J2104" s="16"/>
      <c r="K2104" s="16"/>
      <c r="L2104" s="38"/>
      <c r="M2104" s="16"/>
      <c r="N2104" s="16"/>
      <c r="O2104" s="16"/>
      <c r="P2104" s="15"/>
      <c r="Q2104" s="15"/>
      <c r="R2104" s="16"/>
      <c r="S2104" s="16"/>
      <c r="T2104" s="16"/>
      <c r="U2104" s="16"/>
      <c r="V2104" s="37" t="str">
        <f>IFERROR(__xludf.DUMMYFUNCTION("if(not(iserror(index(split(C2104, "" ""),2))), index(split(C2104, "" ""),1),"""")"),"")</f>
        <v/>
      </c>
      <c r="W2104" s="315" t="str">
        <f>IFERROR(__xludf.DUMMYFUNCTION("if(V2104="""",C2104,if(not(iserror(index(split(C2104, "" ""),3))), index(split(C2104, "" ""),3),index(split(C2104, "" ""),2)))"),"")</f>
        <v/>
      </c>
      <c r="X2104" s="38" t="b">
        <f t="shared" si="2"/>
        <v>0</v>
      </c>
      <c r="Y2104" s="38"/>
      <c r="Z2104" s="40"/>
      <c r="AA2104" s="40"/>
      <c r="AB2104" s="38"/>
      <c r="AC2104" s="38"/>
      <c r="AD2104" s="38"/>
      <c r="AE2104" s="38"/>
      <c r="AF2104" s="38"/>
      <c r="AG2104" s="38"/>
      <c r="AH2104" s="38"/>
      <c r="AI2104" s="38"/>
      <c r="AJ2104" s="38"/>
      <c r="AK2104" s="38"/>
      <c r="AL2104" s="38"/>
      <c r="AM2104" s="38"/>
      <c r="AN2104" s="38"/>
      <c r="AO2104" s="38"/>
      <c r="AP2104" s="38"/>
      <c r="AQ2104" s="38"/>
      <c r="AR2104" s="38"/>
      <c r="AS2104" s="38"/>
      <c r="AT2104" s="38"/>
      <c r="AU2104" s="38"/>
      <c r="AV2104" s="38"/>
      <c r="AW2104" s="38"/>
      <c r="AX2104" s="38"/>
      <c r="AY2104" s="38"/>
      <c r="AZ2104" s="38"/>
      <c r="BA2104" s="38"/>
      <c r="BB2104" s="38"/>
      <c r="BC2104" s="38"/>
      <c r="BD2104" s="38"/>
      <c r="BE2104" s="38"/>
      <c r="BF2104" s="38"/>
      <c r="BG2104" s="38"/>
    </row>
    <row r="2105">
      <c r="A2105" s="16"/>
      <c r="B2105" s="16"/>
      <c r="C2105" s="146"/>
      <c r="D2105" s="146"/>
      <c r="E2105" s="16"/>
      <c r="F2105" s="91"/>
      <c r="G2105" s="16"/>
      <c r="H2105" s="320" t="str">
        <f t="shared" si="1"/>
        <v/>
      </c>
      <c r="I2105" s="16"/>
      <c r="J2105" s="16"/>
      <c r="K2105" s="16"/>
      <c r="L2105" s="38"/>
      <c r="M2105" s="16"/>
      <c r="N2105" s="16"/>
      <c r="O2105" s="16"/>
      <c r="P2105" s="15"/>
      <c r="Q2105" s="15"/>
      <c r="R2105" s="16"/>
      <c r="S2105" s="16"/>
      <c r="T2105" s="16"/>
      <c r="U2105" s="16"/>
      <c r="V2105" s="37" t="str">
        <f>IFERROR(__xludf.DUMMYFUNCTION("if(not(iserror(index(split(C2105, "" ""),2))), index(split(C2105, "" ""),1),"""")"),"")</f>
        <v/>
      </c>
      <c r="W2105" s="315" t="str">
        <f>IFERROR(__xludf.DUMMYFUNCTION("if(V2105="""",C2105,if(not(iserror(index(split(C2105, "" ""),3))), index(split(C2105, "" ""),3),index(split(C2105, "" ""),2)))"),"")</f>
        <v/>
      </c>
      <c r="X2105" s="38" t="b">
        <f t="shared" si="2"/>
        <v>0</v>
      </c>
      <c r="Y2105" s="38"/>
      <c r="Z2105" s="40"/>
      <c r="AA2105" s="40"/>
      <c r="AB2105" s="38"/>
      <c r="AC2105" s="38"/>
      <c r="AD2105" s="38"/>
      <c r="AE2105" s="38"/>
      <c r="AF2105" s="38"/>
      <c r="AG2105" s="38"/>
      <c r="AH2105" s="38"/>
      <c r="AI2105" s="38"/>
      <c r="AJ2105" s="38"/>
      <c r="AK2105" s="38"/>
      <c r="AL2105" s="38"/>
      <c r="AM2105" s="38"/>
      <c r="AN2105" s="38"/>
      <c r="AO2105" s="38"/>
      <c r="AP2105" s="38"/>
      <c r="AQ2105" s="38"/>
      <c r="AR2105" s="38"/>
      <c r="AS2105" s="38"/>
      <c r="AT2105" s="38"/>
      <c r="AU2105" s="38"/>
      <c r="AV2105" s="38"/>
      <c r="AW2105" s="38"/>
      <c r="AX2105" s="38"/>
      <c r="AY2105" s="38"/>
      <c r="AZ2105" s="38"/>
      <c r="BA2105" s="38"/>
      <c r="BB2105" s="38"/>
      <c r="BC2105" s="38"/>
      <c r="BD2105" s="38"/>
      <c r="BE2105" s="38"/>
      <c r="BF2105" s="38"/>
      <c r="BG2105" s="38"/>
    </row>
    <row r="2106">
      <c r="A2106" s="16"/>
      <c r="B2106" s="16"/>
      <c r="C2106" s="146"/>
      <c r="D2106" s="146"/>
      <c r="E2106" s="16"/>
      <c r="F2106" s="91"/>
      <c r="G2106" s="16"/>
      <c r="H2106" s="320" t="str">
        <f t="shared" si="1"/>
        <v/>
      </c>
      <c r="I2106" s="16"/>
      <c r="J2106" s="16"/>
      <c r="K2106" s="16"/>
      <c r="L2106" s="38"/>
      <c r="M2106" s="16"/>
      <c r="N2106" s="16"/>
      <c r="O2106" s="16"/>
      <c r="P2106" s="15"/>
      <c r="Q2106" s="15"/>
      <c r="R2106" s="16"/>
      <c r="S2106" s="16"/>
      <c r="T2106" s="16"/>
      <c r="U2106" s="16"/>
      <c r="V2106" s="37" t="str">
        <f>IFERROR(__xludf.DUMMYFUNCTION("if(not(iserror(index(split(C2106, "" ""),2))), index(split(C2106, "" ""),1),"""")"),"")</f>
        <v/>
      </c>
      <c r="W2106" s="315" t="str">
        <f>IFERROR(__xludf.DUMMYFUNCTION("if(V2106="""",C2106,if(not(iserror(index(split(C2106, "" ""),3))), index(split(C2106, "" ""),3),index(split(C2106, "" ""),2)))"),"")</f>
        <v/>
      </c>
      <c r="X2106" s="38" t="b">
        <f t="shared" si="2"/>
        <v>0</v>
      </c>
      <c r="Y2106" s="38"/>
      <c r="Z2106" s="40"/>
      <c r="AA2106" s="40"/>
      <c r="AB2106" s="38"/>
      <c r="AC2106" s="38"/>
      <c r="AD2106" s="38"/>
      <c r="AE2106" s="38"/>
      <c r="AF2106" s="38"/>
      <c r="AG2106" s="38"/>
      <c r="AH2106" s="38"/>
      <c r="AI2106" s="38"/>
      <c r="AJ2106" s="38"/>
      <c r="AK2106" s="38"/>
      <c r="AL2106" s="38"/>
      <c r="AM2106" s="38"/>
      <c r="AN2106" s="38"/>
      <c r="AO2106" s="38"/>
      <c r="AP2106" s="38"/>
      <c r="AQ2106" s="38"/>
      <c r="AR2106" s="38"/>
      <c r="AS2106" s="38"/>
      <c r="AT2106" s="38"/>
      <c r="AU2106" s="38"/>
      <c r="AV2106" s="38"/>
      <c r="AW2106" s="38"/>
      <c r="AX2106" s="38"/>
      <c r="AY2106" s="38"/>
      <c r="AZ2106" s="38"/>
      <c r="BA2106" s="38"/>
      <c r="BB2106" s="38"/>
      <c r="BC2106" s="38"/>
      <c r="BD2106" s="38"/>
      <c r="BE2106" s="38"/>
      <c r="BF2106" s="38"/>
      <c r="BG2106" s="38"/>
    </row>
    <row r="2107">
      <c r="A2107" s="16"/>
      <c r="B2107" s="16"/>
      <c r="C2107" s="146"/>
      <c r="D2107" s="146"/>
      <c r="E2107" s="16"/>
      <c r="F2107" s="91"/>
      <c r="G2107" s="16"/>
      <c r="H2107" s="320" t="str">
        <f t="shared" si="1"/>
        <v/>
      </c>
      <c r="I2107" s="16"/>
      <c r="J2107" s="16"/>
      <c r="K2107" s="16"/>
      <c r="L2107" s="38"/>
      <c r="M2107" s="16"/>
      <c r="N2107" s="16"/>
      <c r="O2107" s="16"/>
      <c r="P2107" s="15"/>
      <c r="Q2107" s="15"/>
      <c r="R2107" s="16"/>
      <c r="S2107" s="16"/>
      <c r="T2107" s="16"/>
      <c r="U2107" s="16"/>
      <c r="V2107" s="37" t="str">
        <f>IFERROR(__xludf.DUMMYFUNCTION("if(not(iserror(index(split(C2107, "" ""),2))), index(split(C2107, "" ""),1),"""")"),"")</f>
        <v/>
      </c>
      <c r="W2107" s="315" t="str">
        <f>IFERROR(__xludf.DUMMYFUNCTION("if(V2107="""",C2107,if(not(iserror(index(split(C2107, "" ""),3))), index(split(C2107, "" ""),3),index(split(C2107, "" ""),2)))"),"")</f>
        <v/>
      </c>
      <c r="X2107" s="38" t="b">
        <f t="shared" si="2"/>
        <v>0</v>
      </c>
      <c r="Y2107" s="38"/>
      <c r="Z2107" s="40"/>
      <c r="AA2107" s="40"/>
      <c r="AB2107" s="38"/>
      <c r="AC2107" s="38"/>
      <c r="AD2107" s="38"/>
      <c r="AE2107" s="38"/>
      <c r="AF2107" s="38"/>
      <c r="AG2107" s="38"/>
      <c r="AH2107" s="38"/>
      <c r="AI2107" s="38"/>
      <c r="AJ2107" s="38"/>
      <c r="AK2107" s="38"/>
      <c r="AL2107" s="38"/>
      <c r="AM2107" s="38"/>
      <c r="AN2107" s="38"/>
      <c r="AO2107" s="38"/>
      <c r="AP2107" s="38"/>
      <c r="AQ2107" s="38"/>
      <c r="AR2107" s="38"/>
      <c r="AS2107" s="38"/>
      <c r="AT2107" s="38"/>
      <c r="AU2107" s="38"/>
      <c r="AV2107" s="38"/>
      <c r="AW2107" s="38"/>
      <c r="AX2107" s="38"/>
      <c r="AY2107" s="38"/>
      <c r="AZ2107" s="38"/>
      <c r="BA2107" s="38"/>
      <c r="BB2107" s="38"/>
      <c r="BC2107" s="38"/>
      <c r="BD2107" s="38"/>
      <c r="BE2107" s="38"/>
      <c r="BF2107" s="38"/>
      <c r="BG2107" s="38"/>
    </row>
    <row r="2108">
      <c r="A2108" s="16"/>
      <c r="B2108" s="16"/>
      <c r="C2108" s="146"/>
      <c r="D2108" s="146"/>
      <c r="E2108" s="16"/>
      <c r="F2108" s="91"/>
      <c r="G2108" s="16"/>
      <c r="H2108" s="320" t="str">
        <f t="shared" si="1"/>
        <v/>
      </c>
      <c r="I2108" s="16"/>
      <c r="J2108" s="16"/>
      <c r="K2108" s="16"/>
      <c r="L2108" s="38"/>
      <c r="M2108" s="16"/>
      <c r="N2108" s="16"/>
      <c r="O2108" s="16"/>
      <c r="P2108" s="15"/>
      <c r="Q2108" s="15"/>
      <c r="R2108" s="16"/>
      <c r="S2108" s="16"/>
      <c r="T2108" s="16"/>
      <c r="U2108" s="16"/>
      <c r="V2108" s="37" t="str">
        <f>IFERROR(__xludf.DUMMYFUNCTION("if(not(iserror(index(split(C2108, "" ""),2))), index(split(C2108, "" ""),1),"""")"),"")</f>
        <v/>
      </c>
      <c r="W2108" s="315" t="str">
        <f>IFERROR(__xludf.DUMMYFUNCTION("if(V2108="""",C2108,if(not(iserror(index(split(C2108, "" ""),3))), index(split(C2108, "" ""),3),index(split(C2108, "" ""),2)))"),"")</f>
        <v/>
      </c>
      <c r="X2108" s="38" t="b">
        <f t="shared" si="2"/>
        <v>0</v>
      </c>
      <c r="Y2108" s="38"/>
      <c r="Z2108" s="40"/>
      <c r="AA2108" s="40"/>
      <c r="AB2108" s="38"/>
      <c r="AC2108" s="38"/>
      <c r="AD2108" s="38"/>
      <c r="AE2108" s="38"/>
      <c r="AF2108" s="38"/>
      <c r="AG2108" s="38"/>
      <c r="AH2108" s="38"/>
      <c r="AI2108" s="38"/>
      <c r="AJ2108" s="38"/>
      <c r="AK2108" s="38"/>
      <c r="AL2108" s="38"/>
      <c r="AM2108" s="38"/>
      <c r="AN2108" s="38"/>
      <c r="AO2108" s="38"/>
      <c r="AP2108" s="38"/>
      <c r="AQ2108" s="38"/>
      <c r="AR2108" s="38"/>
      <c r="AS2108" s="38"/>
      <c r="AT2108" s="38"/>
      <c r="AU2108" s="38"/>
      <c r="AV2108" s="38"/>
      <c r="AW2108" s="38"/>
      <c r="AX2108" s="38"/>
      <c r="AY2108" s="38"/>
      <c r="AZ2108" s="38"/>
      <c r="BA2108" s="38"/>
      <c r="BB2108" s="38"/>
      <c r="BC2108" s="38"/>
      <c r="BD2108" s="38"/>
      <c r="BE2108" s="38"/>
      <c r="BF2108" s="38"/>
      <c r="BG2108" s="38"/>
    </row>
    <row r="2109">
      <c r="A2109" s="16"/>
      <c r="B2109" s="16"/>
      <c r="C2109" s="146"/>
      <c r="D2109" s="146"/>
      <c r="E2109" s="16"/>
      <c r="F2109" s="91"/>
      <c r="G2109" s="16"/>
      <c r="H2109" s="320" t="str">
        <f t="shared" si="1"/>
        <v/>
      </c>
      <c r="I2109" s="16"/>
      <c r="J2109" s="16"/>
      <c r="K2109" s="16"/>
      <c r="L2109" s="38"/>
      <c r="M2109" s="16"/>
      <c r="N2109" s="16"/>
      <c r="O2109" s="16"/>
      <c r="P2109" s="15"/>
      <c r="Q2109" s="15"/>
      <c r="R2109" s="16"/>
      <c r="S2109" s="16"/>
      <c r="T2109" s="16"/>
      <c r="U2109" s="16"/>
      <c r="V2109" s="37" t="str">
        <f>IFERROR(__xludf.DUMMYFUNCTION("if(not(iserror(index(split(C2109, "" ""),2))), index(split(C2109, "" ""),1),"""")"),"")</f>
        <v/>
      </c>
      <c r="W2109" s="315" t="str">
        <f>IFERROR(__xludf.DUMMYFUNCTION("if(V2109="""",C2109,if(not(iserror(index(split(C2109, "" ""),3))), index(split(C2109, "" ""),3),index(split(C2109, "" ""),2)))"),"")</f>
        <v/>
      </c>
      <c r="X2109" s="38" t="b">
        <f t="shared" si="2"/>
        <v>0</v>
      </c>
      <c r="Y2109" s="38"/>
      <c r="Z2109" s="40"/>
      <c r="AA2109" s="40"/>
      <c r="AB2109" s="38"/>
      <c r="AC2109" s="38"/>
      <c r="AD2109" s="38"/>
      <c r="AE2109" s="38"/>
      <c r="AF2109" s="38"/>
      <c r="AG2109" s="38"/>
      <c r="AH2109" s="38"/>
      <c r="AI2109" s="38"/>
      <c r="AJ2109" s="38"/>
      <c r="AK2109" s="38"/>
      <c r="AL2109" s="38"/>
      <c r="AM2109" s="38"/>
      <c r="AN2109" s="38"/>
      <c r="AO2109" s="38"/>
      <c r="AP2109" s="38"/>
      <c r="AQ2109" s="38"/>
      <c r="AR2109" s="38"/>
      <c r="AS2109" s="38"/>
      <c r="AT2109" s="38"/>
      <c r="AU2109" s="38"/>
      <c r="AV2109" s="38"/>
      <c r="AW2109" s="38"/>
      <c r="AX2109" s="38"/>
      <c r="AY2109" s="38"/>
      <c r="AZ2109" s="38"/>
      <c r="BA2109" s="38"/>
      <c r="BB2109" s="38"/>
      <c r="BC2109" s="38"/>
      <c r="BD2109" s="38"/>
      <c r="BE2109" s="38"/>
      <c r="BF2109" s="38"/>
      <c r="BG2109" s="38"/>
    </row>
    <row r="2110">
      <c r="A2110" s="16"/>
      <c r="B2110" s="16"/>
      <c r="C2110" s="146"/>
      <c r="D2110" s="146"/>
      <c r="E2110" s="16"/>
      <c r="F2110" s="91"/>
      <c r="G2110" s="16"/>
      <c r="H2110" s="320" t="str">
        <f t="shared" si="1"/>
        <v/>
      </c>
      <c r="I2110" s="16"/>
      <c r="J2110" s="16"/>
      <c r="K2110" s="16"/>
      <c r="L2110" s="38"/>
      <c r="M2110" s="16"/>
      <c r="N2110" s="16"/>
      <c r="O2110" s="16"/>
      <c r="P2110" s="15"/>
      <c r="Q2110" s="15"/>
      <c r="R2110" s="16"/>
      <c r="S2110" s="16"/>
      <c r="T2110" s="16"/>
      <c r="U2110" s="16"/>
      <c r="V2110" s="37" t="str">
        <f>IFERROR(__xludf.DUMMYFUNCTION("if(not(iserror(index(split(C2110, "" ""),2))), index(split(C2110, "" ""),1),"""")"),"")</f>
        <v/>
      </c>
      <c r="W2110" s="315" t="str">
        <f>IFERROR(__xludf.DUMMYFUNCTION("if(V2110="""",C2110,if(not(iserror(index(split(C2110, "" ""),3))), index(split(C2110, "" ""),3),index(split(C2110, "" ""),2)))"),"")</f>
        <v/>
      </c>
      <c r="X2110" s="38" t="b">
        <f t="shared" si="2"/>
        <v>0</v>
      </c>
      <c r="Y2110" s="38"/>
      <c r="Z2110" s="40"/>
      <c r="AA2110" s="40"/>
      <c r="AB2110" s="38"/>
      <c r="AC2110" s="38"/>
      <c r="AD2110" s="38"/>
      <c r="AE2110" s="38"/>
      <c r="AF2110" s="38"/>
      <c r="AG2110" s="38"/>
      <c r="AH2110" s="38"/>
      <c r="AI2110" s="38"/>
      <c r="AJ2110" s="38"/>
      <c r="AK2110" s="38"/>
      <c r="AL2110" s="38"/>
      <c r="AM2110" s="38"/>
      <c r="AN2110" s="38"/>
      <c r="AO2110" s="38"/>
      <c r="AP2110" s="38"/>
      <c r="AQ2110" s="38"/>
      <c r="AR2110" s="38"/>
      <c r="AS2110" s="38"/>
      <c r="AT2110" s="38"/>
      <c r="AU2110" s="38"/>
      <c r="AV2110" s="38"/>
      <c r="AW2110" s="38"/>
      <c r="AX2110" s="38"/>
      <c r="AY2110" s="38"/>
      <c r="AZ2110" s="38"/>
      <c r="BA2110" s="38"/>
      <c r="BB2110" s="38"/>
      <c r="BC2110" s="38"/>
      <c r="BD2110" s="38"/>
      <c r="BE2110" s="38"/>
      <c r="BF2110" s="38"/>
      <c r="BG2110" s="38"/>
    </row>
    <row r="2111">
      <c r="A2111" s="16"/>
      <c r="B2111" s="16"/>
      <c r="C2111" s="146"/>
      <c r="D2111" s="146"/>
      <c r="E2111" s="16"/>
      <c r="F2111" s="91"/>
      <c r="G2111" s="16"/>
      <c r="H2111" s="320" t="str">
        <f t="shared" si="1"/>
        <v/>
      </c>
      <c r="I2111" s="16"/>
      <c r="J2111" s="16"/>
      <c r="K2111" s="16"/>
      <c r="L2111" s="38"/>
      <c r="M2111" s="16"/>
      <c r="N2111" s="16"/>
      <c r="O2111" s="16"/>
      <c r="P2111" s="15"/>
      <c r="Q2111" s="15"/>
      <c r="R2111" s="16"/>
      <c r="S2111" s="16"/>
      <c r="T2111" s="16"/>
      <c r="U2111" s="16"/>
      <c r="V2111" s="37" t="str">
        <f>IFERROR(__xludf.DUMMYFUNCTION("if(not(iserror(index(split(C2111, "" ""),2))), index(split(C2111, "" ""),1),"""")"),"")</f>
        <v/>
      </c>
      <c r="W2111" s="315" t="str">
        <f>IFERROR(__xludf.DUMMYFUNCTION("if(V2111="""",C2111,if(not(iserror(index(split(C2111, "" ""),3))), index(split(C2111, "" ""),3),index(split(C2111, "" ""),2)))"),"")</f>
        <v/>
      </c>
      <c r="X2111" s="38" t="b">
        <f t="shared" si="2"/>
        <v>0</v>
      </c>
      <c r="Y2111" s="38"/>
      <c r="Z2111" s="40"/>
      <c r="AA2111" s="40"/>
      <c r="AB2111" s="38"/>
      <c r="AC2111" s="38"/>
      <c r="AD2111" s="38"/>
      <c r="AE2111" s="38"/>
      <c r="AF2111" s="38"/>
      <c r="AG2111" s="38"/>
      <c r="AH2111" s="38"/>
      <c r="AI2111" s="38"/>
      <c r="AJ2111" s="38"/>
      <c r="AK2111" s="38"/>
      <c r="AL2111" s="38"/>
      <c r="AM2111" s="38"/>
      <c r="AN2111" s="38"/>
      <c r="AO2111" s="38"/>
      <c r="AP2111" s="38"/>
      <c r="AQ2111" s="38"/>
      <c r="AR2111" s="38"/>
      <c r="AS2111" s="38"/>
      <c r="AT2111" s="38"/>
      <c r="AU2111" s="38"/>
      <c r="AV2111" s="38"/>
      <c r="AW2111" s="38"/>
      <c r="AX2111" s="38"/>
      <c r="AY2111" s="38"/>
      <c r="AZ2111" s="38"/>
      <c r="BA2111" s="38"/>
      <c r="BB2111" s="38"/>
      <c r="BC2111" s="38"/>
      <c r="BD2111" s="38"/>
      <c r="BE2111" s="38"/>
      <c r="BF2111" s="38"/>
      <c r="BG2111" s="38"/>
    </row>
    <row r="2112">
      <c r="A2112" s="16"/>
      <c r="B2112" s="16"/>
      <c r="C2112" s="146"/>
      <c r="D2112" s="146"/>
      <c r="E2112" s="16"/>
      <c r="F2112" s="91"/>
      <c r="G2112" s="16"/>
      <c r="H2112" s="320" t="str">
        <f t="shared" si="1"/>
        <v/>
      </c>
      <c r="I2112" s="16"/>
      <c r="J2112" s="16"/>
      <c r="K2112" s="16"/>
      <c r="L2112" s="38"/>
      <c r="M2112" s="16"/>
      <c r="N2112" s="16"/>
      <c r="O2112" s="16"/>
      <c r="P2112" s="15"/>
      <c r="Q2112" s="15"/>
      <c r="R2112" s="16"/>
      <c r="S2112" s="16"/>
      <c r="T2112" s="16"/>
      <c r="U2112" s="16"/>
      <c r="V2112" s="37" t="str">
        <f>IFERROR(__xludf.DUMMYFUNCTION("if(not(iserror(index(split(C2112, "" ""),2))), index(split(C2112, "" ""),1),"""")"),"")</f>
        <v/>
      </c>
      <c r="W2112" s="315" t="str">
        <f>IFERROR(__xludf.DUMMYFUNCTION("if(V2112="""",C2112,if(not(iserror(index(split(C2112, "" ""),3))), index(split(C2112, "" ""),3),index(split(C2112, "" ""),2)))"),"")</f>
        <v/>
      </c>
      <c r="X2112" s="38" t="b">
        <f t="shared" si="2"/>
        <v>0</v>
      </c>
      <c r="Y2112" s="38"/>
      <c r="Z2112" s="40"/>
      <c r="AA2112" s="40"/>
      <c r="AB2112" s="38"/>
      <c r="AC2112" s="38"/>
      <c r="AD2112" s="38"/>
      <c r="AE2112" s="38"/>
      <c r="AF2112" s="38"/>
      <c r="AG2112" s="38"/>
      <c r="AH2112" s="38"/>
      <c r="AI2112" s="38"/>
      <c r="AJ2112" s="38"/>
      <c r="AK2112" s="38"/>
      <c r="AL2112" s="38"/>
      <c r="AM2112" s="38"/>
      <c r="AN2112" s="38"/>
      <c r="AO2112" s="38"/>
      <c r="AP2112" s="38"/>
      <c r="AQ2112" s="38"/>
      <c r="AR2112" s="38"/>
      <c r="AS2112" s="38"/>
      <c r="AT2112" s="38"/>
      <c r="AU2112" s="38"/>
      <c r="AV2112" s="38"/>
      <c r="AW2112" s="38"/>
      <c r="AX2112" s="38"/>
      <c r="AY2112" s="38"/>
      <c r="AZ2112" s="38"/>
      <c r="BA2112" s="38"/>
      <c r="BB2112" s="38"/>
      <c r="BC2112" s="38"/>
      <c r="BD2112" s="38"/>
      <c r="BE2112" s="38"/>
      <c r="BF2112" s="38"/>
      <c r="BG2112" s="38"/>
    </row>
    <row r="2113">
      <c r="A2113" s="16"/>
      <c r="B2113" s="16"/>
      <c r="C2113" s="146"/>
      <c r="D2113" s="146"/>
      <c r="E2113" s="16"/>
      <c r="F2113" s="91"/>
      <c r="G2113" s="16"/>
      <c r="H2113" s="320" t="str">
        <f t="shared" si="1"/>
        <v/>
      </c>
      <c r="I2113" s="16"/>
      <c r="J2113" s="16"/>
      <c r="K2113" s="16"/>
      <c r="L2113" s="38"/>
      <c r="M2113" s="16"/>
      <c r="N2113" s="16"/>
      <c r="O2113" s="16"/>
      <c r="P2113" s="15"/>
      <c r="Q2113" s="15"/>
      <c r="R2113" s="16"/>
      <c r="S2113" s="16"/>
      <c r="T2113" s="16"/>
      <c r="U2113" s="16"/>
      <c r="V2113" s="37" t="str">
        <f>IFERROR(__xludf.DUMMYFUNCTION("if(not(iserror(index(split(C2113, "" ""),2))), index(split(C2113, "" ""),1),"""")"),"")</f>
        <v/>
      </c>
      <c r="W2113" s="315" t="str">
        <f>IFERROR(__xludf.DUMMYFUNCTION("if(V2113="""",C2113,if(not(iserror(index(split(C2113, "" ""),3))), index(split(C2113, "" ""),3),index(split(C2113, "" ""),2)))"),"")</f>
        <v/>
      </c>
      <c r="X2113" s="38" t="b">
        <f t="shared" si="2"/>
        <v>0</v>
      </c>
      <c r="Y2113" s="38"/>
      <c r="Z2113" s="40"/>
      <c r="AA2113" s="40"/>
      <c r="AB2113" s="38"/>
      <c r="AC2113" s="38"/>
      <c r="AD2113" s="38"/>
      <c r="AE2113" s="38"/>
      <c r="AF2113" s="38"/>
      <c r="AG2113" s="38"/>
      <c r="AH2113" s="38"/>
      <c r="AI2113" s="38"/>
      <c r="AJ2113" s="38"/>
      <c r="AK2113" s="38"/>
      <c r="AL2113" s="38"/>
      <c r="AM2113" s="38"/>
      <c r="AN2113" s="38"/>
      <c r="AO2113" s="38"/>
      <c r="AP2113" s="38"/>
      <c r="AQ2113" s="38"/>
      <c r="AR2113" s="38"/>
      <c r="AS2113" s="38"/>
      <c r="AT2113" s="38"/>
      <c r="AU2113" s="38"/>
      <c r="AV2113" s="38"/>
      <c r="AW2113" s="38"/>
      <c r="AX2113" s="38"/>
      <c r="AY2113" s="38"/>
      <c r="AZ2113" s="38"/>
      <c r="BA2113" s="38"/>
      <c r="BB2113" s="38"/>
      <c r="BC2113" s="38"/>
      <c r="BD2113" s="38"/>
      <c r="BE2113" s="38"/>
      <c r="BF2113" s="38"/>
      <c r="BG2113" s="38"/>
    </row>
    <row r="2114">
      <c r="A2114" s="16"/>
      <c r="B2114" s="16"/>
      <c r="C2114" s="146"/>
      <c r="D2114" s="146"/>
      <c r="E2114" s="16"/>
      <c r="F2114" s="91"/>
      <c r="G2114" s="16"/>
      <c r="H2114" s="320" t="str">
        <f t="shared" si="1"/>
        <v/>
      </c>
      <c r="I2114" s="16"/>
      <c r="J2114" s="16"/>
      <c r="K2114" s="16"/>
      <c r="L2114" s="38"/>
      <c r="M2114" s="16"/>
      <c r="N2114" s="16"/>
      <c r="O2114" s="16"/>
      <c r="P2114" s="15"/>
      <c r="Q2114" s="15"/>
      <c r="R2114" s="16"/>
      <c r="S2114" s="16"/>
      <c r="T2114" s="16"/>
      <c r="U2114" s="16"/>
      <c r="V2114" s="37" t="str">
        <f>IFERROR(__xludf.DUMMYFUNCTION("if(not(iserror(index(split(C2114, "" ""),2))), index(split(C2114, "" ""),1),"""")"),"")</f>
        <v/>
      </c>
      <c r="W2114" s="315" t="str">
        <f>IFERROR(__xludf.DUMMYFUNCTION("if(V2114="""",C2114,if(not(iserror(index(split(C2114, "" ""),3))), index(split(C2114, "" ""),3),index(split(C2114, "" ""),2)))"),"")</f>
        <v/>
      </c>
      <c r="X2114" s="38" t="b">
        <f t="shared" si="2"/>
        <v>0</v>
      </c>
      <c r="Y2114" s="38"/>
      <c r="Z2114" s="40"/>
      <c r="AA2114" s="40"/>
      <c r="AB2114" s="38"/>
      <c r="AC2114" s="38"/>
      <c r="AD2114" s="38"/>
      <c r="AE2114" s="38"/>
      <c r="AF2114" s="38"/>
      <c r="AG2114" s="38"/>
      <c r="AH2114" s="38"/>
      <c r="AI2114" s="38"/>
      <c r="AJ2114" s="38"/>
      <c r="AK2114" s="38"/>
      <c r="AL2114" s="38"/>
      <c r="AM2114" s="38"/>
      <c r="AN2114" s="38"/>
      <c r="AO2114" s="38"/>
      <c r="AP2114" s="38"/>
      <c r="AQ2114" s="38"/>
      <c r="AR2114" s="38"/>
      <c r="AS2114" s="38"/>
      <c r="AT2114" s="38"/>
      <c r="AU2114" s="38"/>
      <c r="AV2114" s="38"/>
      <c r="AW2114" s="38"/>
      <c r="AX2114" s="38"/>
      <c r="AY2114" s="38"/>
      <c r="AZ2114" s="38"/>
      <c r="BA2114" s="38"/>
      <c r="BB2114" s="38"/>
      <c r="BC2114" s="38"/>
      <c r="BD2114" s="38"/>
      <c r="BE2114" s="38"/>
      <c r="BF2114" s="38"/>
      <c r="BG2114" s="38"/>
    </row>
    <row r="2115">
      <c r="A2115" s="16"/>
      <c r="B2115" s="16"/>
      <c r="C2115" s="146"/>
      <c r="D2115" s="146"/>
      <c r="E2115" s="16"/>
      <c r="F2115" s="91"/>
      <c r="G2115" s="16"/>
      <c r="H2115" s="320" t="str">
        <f t="shared" si="1"/>
        <v/>
      </c>
      <c r="I2115" s="16"/>
      <c r="J2115" s="16"/>
      <c r="K2115" s="16"/>
      <c r="L2115" s="38"/>
      <c r="M2115" s="16"/>
      <c r="N2115" s="16"/>
      <c r="O2115" s="16"/>
      <c r="P2115" s="15"/>
      <c r="Q2115" s="15"/>
      <c r="R2115" s="16"/>
      <c r="S2115" s="16"/>
      <c r="T2115" s="16"/>
      <c r="U2115" s="16"/>
      <c r="V2115" s="37" t="str">
        <f>IFERROR(__xludf.DUMMYFUNCTION("if(not(iserror(index(split(C2115, "" ""),2))), index(split(C2115, "" ""),1),"""")"),"")</f>
        <v/>
      </c>
      <c r="W2115" s="315" t="str">
        <f>IFERROR(__xludf.DUMMYFUNCTION("if(V2115="""",C2115,if(not(iserror(index(split(C2115, "" ""),3))), index(split(C2115, "" ""),3),index(split(C2115, "" ""),2)))"),"")</f>
        <v/>
      </c>
      <c r="X2115" s="38" t="b">
        <f t="shared" si="2"/>
        <v>0</v>
      </c>
      <c r="Y2115" s="38"/>
      <c r="Z2115" s="40"/>
      <c r="AA2115" s="40"/>
      <c r="AB2115" s="38"/>
      <c r="AC2115" s="38"/>
      <c r="AD2115" s="38"/>
      <c r="AE2115" s="38"/>
      <c r="AF2115" s="38"/>
      <c r="AG2115" s="38"/>
      <c r="AH2115" s="38"/>
      <c r="AI2115" s="38"/>
      <c r="AJ2115" s="38"/>
      <c r="AK2115" s="38"/>
      <c r="AL2115" s="38"/>
      <c r="AM2115" s="38"/>
      <c r="AN2115" s="38"/>
      <c r="AO2115" s="38"/>
      <c r="AP2115" s="38"/>
      <c r="AQ2115" s="38"/>
      <c r="AR2115" s="38"/>
      <c r="AS2115" s="38"/>
      <c r="AT2115" s="38"/>
      <c r="AU2115" s="38"/>
      <c r="AV2115" s="38"/>
      <c r="AW2115" s="38"/>
      <c r="AX2115" s="38"/>
      <c r="AY2115" s="38"/>
      <c r="AZ2115" s="38"/>
      <c r="BA2115" s="38"/>
      <c r="BB2115" s="38"/>
      <c r="BC2115" s="38"/>
      <c r="BD2115" s="38"/>
      <c r="BE2115" s="38"/>
      <c r="BF2115" s="38"/>
      <c r="BG2115" s="38"/>
    </row>
    <row r="2116">
      <c r="A2116" s="16"/>
      <c r="B2116" s="16"/>
      <c r="C2116" s="146"/>
      <c r="D2116" s="146"/>
      <c r="E2116" s="16"/>
      <c r="F2116" s="91"/>
      <c r="G2116" s="16"/>
      <c r="H2116" s="320" t="str">
        <f t="shared" si="1"/>
        <v/>
      </c>
      <c r="I2116" s="16"/>
      <c r="J2116" s="16"/>
      <c r="K2116" s="16"/>
      <c r="L2116" s="38"/>
      <c r="M2116" s="16"/>
      <c r="N2116" s="16"/>
      <c r="O2116" s="16"/>
      <c r="P2116" s="15"/>
      <c r="Q2116" s="15"/>
      <c r="R2116" s="16"/>
      <c r="S2116" s="16"/>
      <c r="T2116" s="16"/>
      <c r="U2116" s="16"/>
      <c r="V2116" s="37" t="str">
        <f>IFERROR(__xludf.DUMMYFUNCTION("if(not(iserror(index(split(C2116, "" ""),2))), index(split(C2116, "" ""),1),"""")"),"")</f>
        <v/>
      </c>
      <c r="W2116" s="315" t="str">
        <f>IFERROR(__xludf.DUMMYFUNCTION("if(V2116="""",C2116,if(not(iserror(index(split(C2116, "" ""),3))), index(split(C2116, "" ""),3),index(split(C2116, "" ""),2)))"),"")</f>
        <v/>
      </c>
      <c r="X2116" s="38" t="b">
        <f t="shared" si="2"/>
        <v>0</v>
      </c>
      <c r="Y2116" s="38"/>
      <c r="Z2116" s="40"/>
      <c r="AA2116" s="40"/>
      <c r="AB2116" s="38"/>
      <c r="AC2116" s="38"/>
      <c r="AD2116" s="38"/>
      <c r="AE2116" s="38"/>
      <c r="AF2116" s="38"/>
      <c r="AG2116" s="38"/>
      <c r="AH2116" s="38"/>
      <c r="AI2116" s="38"/>
      <c r="AJ2116" s="38"/>
      <c r="AK2116" s="38"/>
      <c r="AL2116" s="38"/>
      <c r="AM2116" s="38"/>
      <c r="AN2116" s="38"/>
      <c r="AO2116" s="38"/>
      <c r="AP2116" s="38"/>
      <c r="AQ2116" s="38"/>
      <c r="AR2116" s="38"/>
      <c r="AS2116" s="38"/>
      <c r="AT2116" s="38"/>
      <c r="AU2116" s="38"/>
      <c r="AV2116" s="38"/>
      <c r="AW2116" s="38"/>
      <c r="AX2116" s="38"/>
      <c r="AY2116" s="38"/>
      <c r="AZ2116" s="38"/>
      <c r="BA2116" s="38"/>
      <c r="BB2116" s="38"/>
      <c r="BC2116" s="38"/>
      <c r="BD2116" s="38"/>
      <c r="BE2116" s="38"/>
      <c r="BF2116" s="38"/>
      <c r="BG2116" s="38"/>
    </row>
    <row r="2117">
      <c r="A2117" s="16"/>
      <c r="B2117" s="16"/>
      <c r="C2117" s="146"/>
      <c r="D2117" s="146"/>
      <c r="E2117" s="16"/>
      <c r="F2117" s="91"/>
      <c r="G2117" s="16"/>
      <c r="H2117" s="320" t="str">
        <f t="shared" si="1"/>
        <v/>
      </c>
      <c r="I2117" s="16"/>
      <c r="J2117" s="16"/>
      <c r="K2117" s="16"/>
      <c r="L2117" s="38"/>
      <c r="M2117" s="16"/>
      <c r="N2117" s="16"/>
      <c r="O2117" s="16"/>
      <c r="P2117" s="15"/>
      <c r="Q2117" s="15"/>
      <c r="R2117" s="16"/>
      <c r="S2117" s="16"/>
      <c r="T2117" s="16"/>
      <c r="U2117" s="16"/>
      <c r="V2117" s="37" t="str">
        <f>IFERROR(__xludf.DUMMYFUNCTION("if(not(iserror(index(split(C2117, "" ""),2))), index(split(C2117, "" ""),1),"""")"),"")</f>
        <v/>
      </c>
      <c r="W2117" s="315" t="str">
        <f>IFERROR(__xludf.DUMMYFUNCTION("if(V2117="""",C2117,if(not(iserror(index(split(C2117, "" ""),3))), index(split(C2117, "" ""),3),index(split(C2117, "" ""),2)))"),"")</f>
        <v/>
      </c>
      <c r="X2117" s="38" t="b">
        <f t="shared" si="2"/>
        <v>0</v>
      </c>
      <c r="Y2117" s="38"/>
      <c r="Z2117" s="40"/>
      <c r="AA2117" s="40"/>
      <c r="AB2117" s="38"/>
      <c r="AC2117" s="38"/>
      <c r="AD2117" s="38"/>
      <c r="AE2117" s="38"/>
      <c r="AF2117" s="38"/>
      <c r="AG2117" s="38"/>
      <c r="AH2117" s="38"/>
      <c r="AI2117" s="38"/>
      <c r="AJ2117" s="38"/>
      <c r="AK2117" s="38"/>
      <c r="AL2117" s="38"/>
      <c r="AM2117" s="38"/>
      <c r="AN2117" s="38"/>
      <c r="AO2117" s="38"/>
      <c r="AP2117" s="38"/>
      <c r="AQ2117" s="38"/>
      <c r="AR2117" s="38"/>
      <c r="AS2117" s="38"/>
      <c r="AT2117" s="38"/>
      <c r="AU2117" s="38"/>
      <c r="AV2117" s="38"/>
      <c r="AW2117" s="38"/>
      <c r="AX2117" s="38"/>
      <c r="AY2117" s="38"/>
      <c r="AZ2117" s="38"/>
      <c r="BA2117" s="38"/>
      <c r="BB2117" s="38"/>
      <c r="BC2117" s="38"/>
      <c r="BD2117" s="38"/>
      <c r="BE2117" s="38"/>
      <c r="BF2117" s="38"/>
      <c r="BG2117" s="38"/>
    </row>
    <row r="2118">
      <c r="A2118" s="16"/>
      <c r="B2118" s="16"/>
      <c r="C2118" s="146"/>
      <c r="D2118" s="146"/>
      <c r="E2118" s="16"/>
      <c r="F2118" s="91"/>
      <c r="G2118" s="16"/>
      <c r="H2118" s="320" t="str">
        <f t="shared" si="1"/>
        <v/>
      </c>
      <c r="I2118" s="16"/>
      <c r="J2118" s="16"/>
      <c r="K2118" s="16"/>
      <c r="L2118" s="38"/>
      <c r="M2118" s="16"/>
      <c r="N2118" s="16"/>
      <c r="O2118" s="16"/>
      <c r="P2118" s="15"/>
      <c r="Q2118" s="15"/>
      <c r="R2118" s="16"/>
      <c r="S2118" s="16"/>
      <c r="T2118" s="16"/>
      <c r="U2118" s="16"/>
      <c r="V2118" s="37" t="str">
        <f>IFERROR(__xludf.DUMMYFUNCTION("if(not(iserror(index(split(C2118, "" ""),2))), index(split(C2118, "" ""),1),"""")"),"")</f>
        <v/>
      </c>
      <c r="W2118" s="315" t="str">
        <f>IFERROR(__xludf.DUMMYFUNCTION("if(V2118="""",C2118,if(not(iserror(index(split(C2118, "" ""),3))), index(split(C2118, "" ""),3),index(split(C2118, "" ""),2)))"),"")</f>
        <v/>
      </c>
      <c r="X2118" s="38" t="b">
        <f t="shared" si="2"/>
        <v>0</v>
      </c>
      <c r="Y2118" s="38"/>
      <c r="Z2118" s="40"/>
      <c r="AA2118" s="40"/>
      <c r="AB2118" s="38"/>
      <c r="AC2118" s="38"/>
      <c r="AD2118" s="38"/>
      <c r="AE2118" s="38"/>
      <c r="AF2118" s="38"/>
      <c r="AG2118" s="38"/>
      <c r="AH2118" s="38"/>
      <c r="AI2118" s="38"/>
      <c r="AJ2118" s="38"/>
      <c r="AK2118" s="38"/>
      <c r="AL2118" s="38"/>
      <c r="AM2118" s="38"/>
      <c r="AN2118" s="38"/>
      <c r="AO2118" s="38"/>
      <c r="AP2118" s="38"/>
      <c r="AQ2118" s="38"/>
      <c r="AR2118" s="38"/>
      <c r="AS2118" s="38"/>
      <c r="AT2118" s="38"/>
      <c r="AU2118" s="38"/>
      <c r="AV2118" s="38"/>
      <c r="AW2118" s="38"/>
      <c r="AX2118" s="38"/>
      <c r="AY2118" s="38"/>
      <c r="AZ2118" s="38"/>
      <c r="BA2118" s="38"/>
      <c r="BB2118" s="38"/>
      <c r="BC2118" s="38"/>
      <c r="BD2118" s="38"/>
      <c r="BE2118" s="38"/>
      <c r="BF2118" s="38"/>
      <c r="BG2118" s="38"/>
    </row>
    <row r="2119">
      <c r="A2119" s="16"/>
      <c r="B2119" s="16"/>
      <c r="C2119" s="146"/>
      <c r="D2119" s="146"/>
      <c r="E2119" s="16"/>
      <c r="F2119" s="91"/>
      <c r="G2119" s="16"/>
      <c r="H2119" s="320" t="str">
        <f t="shared" si="1"/>
        <v/>
      </c>
      <c r="I2119" s="16"/>
      <c r="J2119" s="16"/>
      <c r="K2119" s="16"/>
      <c r="L2119" s="38"/>
      <c r="M2119" s="16"/>
      <c r="N2119" s="16"/>
      <c r="O2119" s="16"/>
      <c r="P2119" s="15"/>
      <c r="Q2119" s="15"/>
      <c r="R2119" s="16"/>
      <c r="S2119" s="16"/>
      <c r="T2119" s="16"/>
      <c r="U2119" s="16"/>
      <c r="V2119" s="37" t="str">
        <f>IFERROR(__xludf.DUMMYFUNCTION("if(not(iserror(index(split(C2119, "" ""),2))), index(split(C2119, "" ""),1),"""")"),"")</f>
        <v/>
      </c>
      <c r="W2119" s="315" t="str">
        <f>IFERROR(__xludf.DUMMYFUNCTION("if(V2119="""",C2119,if(not(iserror(index(split(C2119, "" ""),3))), index(split(C2119, "" ""),3),index(split(C2119, "" ""),2)))"),"")</f>
        <v/>
      </c>
      <c r="X2119" s="38" t="b">
        <f t="shared" si="2"/>
        <v>0</v>
      </c>
      <c r="Y2119" s="38"/>
      <c r="Z2119" s="40"/>
      <c r="AA2119" s="40"/>
      <c r="AB2119" s="38"/>
      <c r="AC2119" s="38"/>
      <c r="AD2119" s="38"/>
      <c r="AE2119" s="38"/>
      <c r="AF2119" s="38"/>
      <c r="AG2119" s="38"/>
      <c r="AH2119" s="38"/>
      <c r="AI2119" s="38"/>
      <c r="AJ2119" s="38"/>
      <c r="AK2119" s="38"/>
      <c r="AL2119" s="38"/>
      <c r="AM2119" s="38"/>
      <c r="AN2119" s="38"/>
      <c r="AO2119" s="38"/>
      <c r="AP2119" s="38"/>
      <c r="AQ2119" s="38"/>
      <c r="AR2119" s="38"/>
      <c r="AS2119" s="38"/>
      <c r="AT2119" s="38"/>
      <c r="AU2119" s="38"/>
      <c r="AV2119" s="38"/>
      <c r="AW2119" s="38"/>
      <c r="AX2119" s="38"/>
      <c r="AY2119" s="38"/>
      <c r="AZ2119" s="38"/>
      <c r="BA2119" s="38"/>
      <c r="BB2119" s="38"/>
      <c r="BC2119" s="38"/>
      <c r="BD2119" s="38"/>
      <c r="BE2119" s="38"/>
      <c r="BF2119" s="38"/>
      <c r="BG2119" s="38"/>
    </row>
    <row r="2120">
      <c r="A2120" s="16"/>
      <c r="B2120" s="16"/>
      <c r="C2120" s="146"/>
      <c r="D2120" s="146"/>
      <c r="E2120" s="16"/>
      <c r="F2120" s="91"/>
      <c r="G2120" s="16"/>
      <c r="H2120" s="320" t="str">
        <f t="shared" si="1"/>
        <v/>
      </c>
      <c r="I2120" s="16"/>
      <c r="J2120" s="16"/>
      <c r="K2120" s="16"/>
      <c r="L2120" s="38"/>
      <c r="M2120" s="16"/>
      <c r="N2120" s="16"/>
      <c r="O2120" s="16"/>
      <c r="P2120" s="15"/>
      <c r="Q2120" s="15"/>
      <c r="R2120" s="16"/>
      <c r="S2120" s="16"/>
      <c r="T2120" s="16"/>
      <c r="U2120" s="16"/>
      <c r="V2120" s="37" t="str">
        <f>IFERROR(__xludf.DUMMYFUNCTION("if(not(iserror(index(split(C2120, "" ""),2))), index(split(C2120, "" ""),1),"""")"),"")</f>
        <v/>
      </c>
      <c r="W2120" s="315" t="str">
        <f>IFERROR(__xludf.DUMMYFUNCTION("if(V2120="""",C2120,if(not(iserror(index(split(C2120, "" ""),3))), index(split(C2120, "" ""),3),index(split(C2120, "" ""),2)))"),"")</f>
        <v/>
      </c>
      <c r="X2120" s="38" t="b">
        <f t="shared" si="2"/>
        <v>0</v>
      </c>
      <c r="Y2120" s="38"/>
      <c r="Z2120" s="40"/>
      <c r="AA2120" s="40"/>
      <c r="AB2120" s="38"/>
      <c r="AC2120" s="38"/>
      <c r="AD2120" s="38"/>
      <c r="AE2120" s="38"/>
      <c r="AF2120" s="38"/>
      <c r="AG2120" s="38"/>
      <c r="AH2120" s="38"/>
      <c r="AI2120" s="38"/>
      <c r="AJ2120" s="38"/>
      <c r="AK2120" s="38"/>
      <c r="AL2120" s="38"/>
      <c r="AM2120" s="38"/>
      <c r="AN2120" s="38"/>
      <c r="AO2120" s="38"/>
      <c r="AP2120" s="38"/>
      <c r="AQ2120" s="38"/>
      <c r="AR2120" s="38"/>
      <c r="AS2120" s="38"/>
      <c r="AT2120" s="38"/>
      <c r="AU2120" s="38"/>
      <c r="AV2120" s="38"/>
      <c r="AW2120" s="38"/>
      <c r="AX2120" s="38"/>
      <c r="AY2120" s="38"/>
      <c r="AZ2120" s="38"/>
      <c r="BA2120" s="38"/>
      <c r="BB2120" s="38"/>
      <c r="BC2120" s="38"/>
      <c r="BD2120" s="38"/>
      <c r="BE2120" s="38"/>
      <c r="BF2120" s="38"/>
      <c r="BG2120" s="38"/>
    </row>
    <row r="2121">
      <c r="A2121" s="16"/>
      <c r="B2121" s="16"/>
      <c r="C2121" s="146"/>
      <c r="D2121" s="146"/>
      <c r="E2121" s="16"/>
      <c r="F2121" s="91"/>
      <c r="G2121" s="16"/>
      <c r="H2121" s="320" t="str">
        <f t="shared" si="1"/>
        <v/>
      </c>
      <c r="I2121" s="16"/>
      <c r="J2121" s="16"/>
      <c r="K2121" s="16"/>
      <c r="L2121" s="38"/>
      <c r="M2121" s="16"/>
      <c r="N2121" s="16"/>
      <c r="O2121" s="16"/>
      <c r="P2121" s="15"/>
      <c r="Q2121" s="15"/>
      <c r="R2121" s="16"/>
      <c r="S2121" s="16"/>
      <c r="T2121" s="16"/>
      <c r="U2121" s="16"/>
      <c r="V2121" s="37" t="str">
        <f>IFERROR(__xludf.DUMMYFUNCTION("if(not(iserror(index(split(C2121, "" ""),2))), index(split(C2121, "" ""),1),"""")"),"")</f>
        <v/>
      </c>
      <c r="W2121" s="315" t="str">
        <f>IFERROR(__xludf.DUMMYFUNCTION("if(V2121="""",C2121,if(not(iserror(index(split(C2121, "" ""),3))), index(split(C2121, "" ""),3),index(split(C2121, "" ""),2)))"),"")</f>
        <v/>
      </c>
      <c r="X2121" s="38" t="b">
        <f t="shared" si="2"/>
        <v>0</v>
      </c>
      <c r="Y2121" s="38"/>
      <c r="Z2121" s="40"/>
      <c r="AA2121" s="40"/>
      <c r="AB2121" s="38"/>
      <c r="AC2121" s="38"/>
      <c r="AD2121" s="38"/>
      <c r="AE2121" s="38"/>
      <c r="AF2121" s="38"/>
      <c r="AG2121" s="38"/>
      <c r="AH2121" s="38"/>
      <c r="AI2121" s="38"/>
      <c r="AJ2121" s="38"/>
      <c r="AK2121" s="38"/>
      <c r="AL2121" s="38"/>
      <c r="AM2121" s="38"/>
      <c r="AN2121" s="38"/>
      <c r="AO2121" s="38"/>
      <c r="AP2121" s="38"/>
      <c r="AQ2121" s="38"/>
      <c r="AR2121" s="38"/>
      <c r="AS2121" s="38"/>
      <c r="AT2121" s="38"/>
      <c r="AU2121" s="38"/>
      <c r="AV2121" s="38"/>
      <c r="AW2121" s="38"/>
      <c r="AX2121" s="38"/>
      <c r="AY2121" s="38"/>
      <c r="AZ2121" s="38"/>
      <c r="BA2121" s="38"/>
      <c r="BB2121" s="38"/>
      <c r="BC2121" s="38"/>
      <c r="BD2121" s="38"/>
      <c r="BE2121" s="38"/>
      <c r="BF2121" s="38"/>
      <c r="BG2121" s="38"/>
    </row>
    <row r="2122">
      <c r="A2122" s="16"/>
      <c r="B2122" s="16"/>
      <c r="C2122" s="146"/>
      <c r="D2122" s="146"/>
      <c r="E2122" s="16"/>
      <c r="F2122" s="91"/>
      <c r="G2122" s="16"/>
      <c r="H2122" s="320" t="str">
        <f t="shared" si="1"/>
        <v/>
      </c>
      <c r="I2122" s="16"/>
      <c r="J2122" s="16"/>
      <c r="K2122" s="16"/>
      <c r="L2122" s="38"/>
      <c r="M2122" s="16"/>
      <c r="N2122" s="16"/>
      <c r="O2122" s="16"/>
      <c r="P2122" s="15"/>
      <c r="Q2122" s="15"/>
      <c r="R2122" s="16"/>
      <c r="S2122" s="16"/>
      <c r="T2122" s="16"/>
      <c r="U2122" s="16"/>
      <c r="V2122" s="37" t="str">
        <f>IFERROR(__xludf.DUMMYFUNCTION("if(not(iserror(index(split(C2122, "" ""),2))), index(split(C2122, "" ""),1),"""")"),"")</f>
        <v/>
      </c>
      <c r="W2122" s="315" t="str">
        <f>IFERROR(__xludf.DUMMYFUNCTION("if(V2122="""",C2122,if(not(iserror(index(split(C2122, "" ""),3))), index(split(C2122, "" ""),3),index(split(C2122, "" ""),2)))"),"")</f>
        <v/>
      </c>
      <c r="X2122" s="38" t="b">
        <f t="shared" si="2"/>
        <v>0</v>
      </c>
      <c r="Y2122" s="38"/>
      <c r="Z2122" s="40"/>
      <c r="AA2122" s="40"/>
      <c r="AB2122" s="38"/>
      <c r="AC2122" s="38"/>
      <c r="AD2122" s="38"/>
      <c r="AE2122" s="38"/>
      <c r="AF2122" s="38"/>
      <c r="AG2122" s="38"/>
      <c r="AH2122" s="38"/>
      <c r="AI2122" s="38"/>
      <c r="AJ2122" s="38"/>
      <c r="AK2122" s="38"/>
      <c r="AL2122" s="38"/>
      <c r="AM2122" s="38"/>
      <c r="AN2122" s="38"/>
      <c r="AO2122" s="38"/>
      <c r="AP2122" s="38"/>
      <c r="AQ2122" s="38"/>
      <c r="AR2122" s="38"/>
      <c r="AS2122" s="38"/>
      <c r="AT2122" s="38"/>
      <c r="AU2122" s="38"/>
      <c r="AV2122" s="38"/>
      <c r="AW2122" s="38"/>
      <c r="AX2122" s="38"/>
      <c r="AY2122" s="38"/>
      <c r="AZ2122" s="38"/>
      <c r="BA2122" s="38"/>
      <c r="BB2122" s="38"/>
      <c r="BC2122" s="38"/>
      <c r="BD2122" s="38"/>
      <c r="BE2122" s="38"/>
      <c r="BF2122" s="38"/>
      <c r="BG2122" s="38"/>
    </row>
    <row r="2123">
      <c r="A2123" s="16"/>
      <c r="B2123" s="16"/>
      <c r="C2123" s="146"/>
      <c r="D2123" s="146"/>
      <c r="E2123" s="16"/>
      <c r="F2123" s="91"/>
      <c r="G2123" s="16"/>
      <c r="H2123" s="320" t="str">
        <f t="shared" si="1"/>
        <v/>
      </c>
      <c r="I2123" s="16"/>
      <c r="J2123" s="16"/>
      <c r="K2123" s="16"/>
      <c r="L2123" s="38"/>
      <c r="M2123" s="16"/>
      <c r="N2123" s="16"/>
      <c r="O2123" s="16"/>
      <c r="P2123" s="15"/>
      <c r="Q2123" s="15"/>
      <c r="R2123" s="16"/>
      <c r="S2123" s="16"/>
      <c r="T2123" s="16"/>
      <c r="U2123" s="16"/>
      <c r="V2123" s="37" t="str">
        <f>IFERROR(__xludf.DUMMYFUNCTION("if(not(iserror(index(split(C2123, "" ""),2))), index(split(C2123, "" ""),1),"""")"),"")</f>
        <v/>
      </c>
      <c r="W2123" s="315" t="str">
        <f>IFERROR(__xludf.DUMMYFUNCTION("if(V2123="""",C2123,if(not(iserror(index(split(C2123, "" ""),3))), index(split(C2123, "" ""),3),index(split(C2123, "" ""),2)))"),"")</f>
        <v/>
      </c>
      <c r="X2123" s="38" t="b">
        <f t="shared" si="2"/>
        <v>0</v>
      </c>
      <c r="Y2123" s="38"/>
      <c r="Z2123" s="40"/>
      <c r="AA2123" s="40"/>
      <c r="AB2123" s="38"/>
      <c r="AC2123" s="38"/>
      <c r="AD2123" s="38"/>
      <c r="AE2123" s="38"/>
      <c r="AF2123" s="38"/>
      <c r="AG2123" s="38"/>
      <c r="AH2123" s="38"/>
      <c r="AI2123" s="38"/>
      <c r="AJ2123" s="38"/>
      <c r="AK2123" s="38"/>
      <c r="AL2123" s="38"/>
      <c r="AM2123" s="38"/>
      <c r="AN2123" s="38"/>
      <c r="AO2123" s="38"/>
      <c r="AP2123" s="38"/>
      <c r="AQ2123" s="38"/>
      <c r="AR2123" s="38"/>
      <c r="AS2123" s="38"/>
      <c r="AT2123" s="38"/>
      <c r="AU2123" s="38"/>
      <c r="AV2123" s="38"/>
      <c r="AW2123" s="38"/>
      <c r="AX2123" s="38"/>
      <c r="AY2123" s="38"/>
      <c r="AZ2123" s="38"/>
      <c r="BA2123" s="38"/>
      <c r="BB2123" s="38"/>
      <c r="BC2123" s="38"/>
      <c r="BD2123" s="38"/>
      <c r="BE2123" s="38"/>
      <c r="BF2123" s="38"/>
      <c r="BG2123" s="38"/>
    </row>
    <row r="2124">
      <c r="A2124" s="16"/>
      <c r="B2124" s="16"/>
      <c r="C2124" s="146"/>
      <c r="D2124" s="146"/>
      <c r="E2124" s="16"/>
      <c r="F2124" s="91"/>
      <c r="G2124" s="16"/>
      <c r="H2124" s="320" t="str">
        <f t="shared" si="1"/>
        <v/>
      </c>
      <c r="I2124" s="16"/>
      <c r="J2124" s="16"/>
      <c r="K2124" s="16"/>
      <c r="L2124" s="38"/>
      <c r="M2124" s="16"/>
      <c r="N2124" s="16"/>
      <c r="O2124" s="16"/>
      <c r="P2124" s="15"/>
      <c r="Q2124" s="15"/>
      <c r="R2124" s="16"/>
      <c r="S2124" s="16"/>
      <c r="T2124" s="16"/>
      <c r="U2124" s="16"/>
      <c r="V2124" s="37" t="str">
        <f>IFERROR(__xludf.DUMMYFUNCTION("if(not(iserror(index(split(C2124, "" ""),2))), index(split(C2124, "" ""),1),"""")"),"")</f>
        <v/>
      </c>
      <c r="W2124" s="315" t="str">
        <f>IFERROR(__xludf.DUMMYFUNCTION("if(V2124="""",C2124,if(not(iserror(index(split(C2124, "" ""),3))), index(split(C2124, "" ""),3),index(split(C2124, "" ""),2)))"),"")</f>
        <v/>
      </c>
      <c r="X2124" s="38" t="b">
        <f t="shared" si="2"/>
        <v>0</v>
      </c>
      <c r="Y2124" s="38"/>
      <c r="Z2124" s="40"/>
      <c r="AA2124" s="40"/>
      <c r="AB2124" s="38"/>
      <c r="AC2124" s="38"/>
      <c r="AD2124" s="38"/>
      <c r="AE2124" s="38"/>
      <c r="AF2124" s="38"/>
      <c r="AG2124" s="38"/>
      <c r="AH2124" s="38"/>
      <c r="AI2124" s="38"/>
      <c r="AJ2124" s="38"/>
      <c r="AK2124" s="38"/>
      <c r="AL2124" s="38"/>
      <c r="AM2124" s="38"/>
      <c r="AN2124" s="38"/>
      <c r="AO2124" s="38"/>
      <c r="AP2124" s="38"/>
      <c r="AQ2124" s="38"/>
      <c r="AR2124" s="38"/>
      <c r="AS2124" s="38"/>
      <c r="AT2124" s="38"/>
      <c r="AU2124" s="38"/>
      <c r="AV2124" s="38"/>
      <c r="AW2124" s="38"/>
      <c r="AX2124" s="38"/>
      <c r="AY2124" s="38"/>
      <c r="AZ2124" s="38"/>
      <c r="BA2124" s="38"/>
      <c r="BB2124" s="38"/>
      <c r="BC2124" s="38"/>
      <c r="BD2124" s="38"/>
      <c r="BE2124" s="38"/>
      <c r="BF2124" s="38"/>
      <c r="BG2124" s="38"/>
    </row>
    <row r="2125">
      <c r="A2125" s="16"/>
      <c r="B2125" s="16"/>
      <c r="C2125" s="146"/>
      <c r="D2125" s="146"/>
      <c r="E2125" s="16"/>
      <c r="F2125" s="91"/>
      <c r="G2125" s="16"/>
      <c r="H2125" s="320" t="str">
        <f t="shared" si="1"/>
        <v/>
      </c>
      <c r="I2125" s="16"/>
      <c r="J2125" s="16"/>
      <c r="K2125" s="16"/>
      <c r="L2125" s="38"/>
      <c r="M2125" s="16"/>
      <c r="N2125" s="16"/>
      <c r="O2125" s="16"/>
      <c r="P2125" s="15"/>
      <c r="Q2125" s="15"/>
      <c r="R2125" s="16"/>
      <c r="S2125" s="16"/>
      <c r="T2125" s="16"/>
      <c r="U2125" s="16"/>
      <c r="V2125" s="37" t="str">
        <f>IFERROR(__xludf.DUMMYFUNCTION("if(not(iserror(index(split(C2125, "" ""),2))), index(split(C2125, "" ""),1),"""")"),"")</f>
        <v/>
      </c>
      <c r="W2125" s="315" t="str">
        <f>IFERROR(__xludf.DUMMYFUNCTION("if(V2125="""",C2125,if(not(iserror(index(split(C2125, "" ""),3))), index(split(C2125, "" ""),3),index(split(C2125, "" ""),2)))"),"")</f>
        <v/>
      </c>
      <c r="X2125" s="38" t="b">
        <f t="shared" si="2"/>
        <v>0</v>
      </c>
      <c r="Y2125" s="38"/>
      <c r="Z2125" s="40"/>
      <c r="AA2125" s="40"/>
      <c r="AB2125" s="38"/>
      <c r="AC2125" s="38"/>
      <c r="AD2125" s="38"/>
      <c r="AE2125" s="38"/>
      <c r="AF2125" s="38"/>
      <c r="AG2125" s="38"/>
      <c r="AH2125" s="38"/>
      <c r="AI2125" s="38"/>
      <c r="AJ2125" s="38"/>
      <c r="AK2125" s="38"/>
      <c r="AL2125" s="38"/>
      <c r="AM2125" s="38"/>
      <c r="AN2125" s="38"/>
      <c r="AO2125" s="38"/>
      <c r="AP2125" s="38"/>
      <c r="AQ2125" s="38"/>
      <c r="AR2125" s="38"/>
      <c r="AS2125" s="38"/>
      <c r="AT2125" s="38"/>
      <c r="AU2125" s="38"/>
      <c r="AV2125" s="38"/>
      <c r="AW2125" s="38"/>
      <c r="AX2125" s="38"/>
      <c r="AY2125" s="38"/>
      <c r="AZ2125" s="38"/>
      <c r="BA2125" s="38"/>
      <c r="BB2125" s="38"/>
      <c r="BC2125" s="38"/>
      <c r="BD2125" s="38"/>
      <c r="BE2125" s="38"/>
      <c r="BF2125" s="38"/>
      <c r="BG2125" s="38"/>
    </row>
    <row r="2126">
      <c r="A2126" s="16"/>
      <c r="B2126" s="16"/>
      <c r="C2126" s="146"/>
      <c r="D2126" s="146"/>
      <c r="E2126" s="16"/>
      <c r="F2126" s="91"/>
      <c r="G2126" s="16"/>
      <c r="H2126" s="320" t="str">
        <f t="shared" si="1"/>
        <v/>
      </c>
      <c r="I2126" s="16"/>
      <c r="J2126" s="16"/>
      <c r="K2126" s="16"/>
      <c r="L2126" s="38"/>
      <c r="M2126" s="16"/>
      <c r="N2126" s="16"/>
      <c r="O2126" s="16"/>
      <c r="P2126" s="15"/>
      <c r="Q2126" s="15"/>
      <c r="R2126" s="16"/>
      <c r="S2126" s="16"/>
      <c r="T2126" s="16"/>
      <c r="U2126" s="16"/>
      <c r="V2126" s="37" t="str">
        <f>IFERROR(__xludf.DUMMYFUNCTION("if(not(iserror(index(split(C2126, "" ""),2))), index(split(C2126, "" ""),1),"""")"),"")</f>
        <v/>
      </c>
      <c r="W2126" s="315" t="str">
        <f>IFERROR(__xludf.DUMMYFUNCTION("if(V2126="""",C2126,if(not(iserror(index(split(C2126, "" ""),3))), index(split(C2126, "" ""),3),index(split(C2126, "" ""),2)))"),"")</f>
        <v/>
      </c>
      <c r="X2126" s="38" t="b">
        <f t="shared" si="2"/>
        <v>0</v>
      </c>
      <c r="Y2126" s="38"/>
      <c r="Z2126" s="40"/>
      <c r="AA2126" s="40"/>
      <c r="AB2126" s="38"/>
      <c r="AC2126" s="38"/>
      <c r="AD2126" s="38"/>
      <c r="AE2126" s="38"/>
      <c r="AF2126" s="38"/>
      <c r="AG2126" s="38"/>
      <c r="AH2126" s="38"/>
      <c r="AI2126" s="38"/>
      <c r="AJ2126" s="38"/>
      <c r="AK2126" s="38"/>
      <c r="AL2126" s="38"/>
      <c r="AM2126" s="38"/>
      <c r="AN2126" s="38"/>
      <c r="AO2126" s="38"/>
      <c r="AP2126" s="38"/>
      <c r="AQ2126" s="38"/>
      <c r="AR2126" s="38"/>
      <c r="AS2126" s="38"/>
      <c r="AT2126" s="38"/>
      <c r="AU2126" s="38"/>
      <c r="AV2126" s="38"/>
      <c r="AW2126" s="38"/>
      <c r="AX2126" s="38"/>
      <c r="AY2126" s="38"/>
      <c r="AZ2126" s="38"/>
      <c r="BA2126" s="38"/>
      <c r="BB2126" s="38"/>
      <c r="BC2126" s="38"/>
      <c r="BD2126" s="38"/>
      <c r="BE2126" s="38"/>
      <c r="BF2126" s="38"/>
      <c r="BG2126" s="38"/>
    </row>
    <row r="2127">
      <c r="A2127" s="16"/>
      <c r="B2127" s="16"/>
      <c r="C2127" s="146"/>
      <c r="D2127" s="146"/>
      <c r="E2127" s="16"/>
      <c r="F2127" s="91"/>
      <c r="G2127" s="16"/>
      <c r="H2127" s="320" t="str">
        <f t="shared" si="1"/>
        <v/>
      </c>
      <c r="I2127" s="16"/>
      <c r="J2127" s="16"/>
      <c r="K2127" s="16"/>
      <c r="L2127" s="38"/>
      <c r="M2127" s="16"/>
      <c r="N2127" s="16"/>
      <c r="O2127" s="16"/>
      <c r="P2127" s="15"/>
      <c r="Q2127" s="15"/>
      <c r="R2127" s="16"/>
      <c r="S2127" s="16"/>
      <c r="T2127" s="16"/>
      <c r="U2127" s="16"/>
      <c r="V2127" s="37" t="str">
        <f>IFERROR(__xludf.DUMMYFUNCTION("if(not(iserror(index(split(C2127, "" ""),2))), index(split(C2127, "" ""),1),"""")"),"")</f>
        <v/>
      </c>
      <c r="W2127" s="315" t="str">
        <f>IFERROR(__xludf.DUMMYFUNCTION("if(V2127="""",C2127,if(not(iserror(index(split(C2127, "" ""),3))), index(split(C2127, "" ""),3),index(split(C2127, "" ""),2)))"),"")</f>
        <v/>
      </c>
      <c r="X2127" s="38" t="b">
        <f t="shared" si="2"/>
        <v>0</v>
      </c>
      <c r="Y2127" s="38"/>
      <c r="Z2127" s="40"/>
      <c r="AA2127" s="40"/>
      <c r="AB2127" s="38"/>
      <c r="AC2127" s="38"/>
      <c r="AD2127" s="38"/>
      <c r="AE2127" s="38"/>
      <c r="AF2127" s="38"/>
      <c r="AG2127" s="38"/>
      <c r="AH2127" s="38"/>
      <c r="AI2127" s="38"/>
      <c r="AJ2127" s="38"/>
      <c r="AK2127" s="38"/>
      <c r="AL2127" s="38"/>
      <c r="AM2127" s="38"/>
      <c r="AN2127" s="38"/>
      <c r="AO2127" s="38"/>
      <c r="AP2127" s="38"/>
      <c r="AQ2127" s="38"/>
      <c r="AR2127" s="38"/>
      <c r="AS2127" s="38"/>
      <c r="AT2127" s="38"/>
      <c r="AU2127" s="38"/>
      <c r="AV2127" s="38"/>
      <c r="AW2127" s="38"/>
      <c r="AX2127" s="38"/>
      <c r="AY2127" s="38"/>
      <c r="AZ2127" s="38"/>
      <c r="BA2127" s="38"/>
      <c r="BB2127" s="38"/>
      <c r="BC2127" s="38"/>
      <c r="BD2127" s="38"/>
      <c r="BE2127" s="38"/>
      <c r="BF2127" s="38"/>
      <c r="BG2127" s="38"/>
    </row>
    <row r="2128">
      <c r="A2128" s="16"/>
      <c r="B2128" s="16"/>
      <c r="C2128" s="146"/>
      <c r="D2128" s="146"/>
      <c r="E2128" s="16"/>
      <c r="F2128" s="91"/>
      <c r="G2128" s="16"/>
      <c r="H2128" s="320" t="str">
        <f t="shared" si="1"/>
        <v/>
      </c>
      <c r="I2128" s="16"/>
      <c r="J2128" s="16"/>
      <c r="K2128" s="16"/>
      <c r="L2128" s="38"/>
      <c r="M2128" s="16"/>
      <c r="N2128" s="16"/>
      <c r="O2128" s="16"/>
      <c r="P2128" s="15"/>
      <c r="Q2128" s="15"/>
      <c r="R2128" s="16"/>
      <c r="S2128" s="16"/>
      <c r="T2128" s="16"/>
      <c r="U2128" s="16"/>
      <c r="V2128" s="37" t="str">
        <f>IFERROR(__xludf.DUMMYFUNCTION("if(not(iserror(index(split(C2128, "" ""),2))), index(split(C2128, "" ""),1),"""")"),"")</f>
        <v/>
      </c>
      <c r="W2128" s="315" t="str">
        <f>IFERROR(__xludf.DUMMYFUNCTION("if(V2128="""",C2128,if(not(iserror(index(split(C2128, "" ""),3))), index(split(C2128, "" ""),3),index(split(C2128, "" ""),2)))"),"")</f>
        <v/>
      </c>
      <c r="X2128" s="38" t="b">
        <f t="shared" si="2"/>
        <v>0</v>
      </c>
      <c r="Y2128" s="38"/>
      <c r="Z2128" s="40"/>
      <c r="AA2128" s="40"/>
      <c r="AB2128" s="38"/>
      <c r="AC2128" s="38"/>
      <c r="AD2128" s="38"/>
      <c r="AE2128" s="38"/>
      <c r="AF2128" s="38"/>
      <c r="AG2128" s="38"/>
      <c r="AH2128" s="38"/>
      <c r="AI2128" s="38"/>
      <c r="AJ2128" s="38"/>
      <c r="AK2128" s="38"/>
      <c r="AL2128" s="38"/>
      <c r="AM2128" s="38"/>
      <c r="AN2128" s="38"/>
      <c r="AO2128" s="38"/>
      <c r="AP2128" s="38"/>
      <c r="AQ2128" s="38"/>
      <c r="AR2128" s="38"/>
      <c r="AS2128" s="38"/>
      <c r="AT2128" s="38"/>
      <c r="AU2128" s="38"/>
      <c r="AV2128" s="38"/>
      <c r="AW2128" s="38"/>
      <c r="AX2128" s="38"/>
      <c r="AY2128" s="38"/>
      <c r="AZ2128" s="38"/>
      <c r="BA2128" s="38"/>
      <c r="BB2128" s="38"/>
      <c r="BC2128" s="38"/>
      <c r="BD2128" s="38"/>
      <c r="BE2128" s="38"/>
      <c r="BF2128" s="38"/>
      <c r="BG2128" s="38"/>
    </row>
    <row r="2129">
      <c r="A2129" s="16"/>
      <c r="B2129" s="16"/>
      <c r="C2129" s="146"/>
      <c r="D2129" s="146"/>
      <c r="E2129" s="16"/>
      <c r="F2129" s="91"/>
      <c r="G2129" s="16"/>
      <c r="H2129" s="320" t="str">
        <f t="shared" si="1"/>
        <v/>
      </c>
      <c r="I2129" s="16"/>
      <c r="J2129" s="16"/>
      <c r="K2129" s="16"/>
      <c r="L2129" s="38"/>
      <c r="M2129" s="16"/>
      <c r="N2129" s="16"/>
      <c r="O2129" s="16"/>
      <c r="P2129" s="15"/>
      <c r="Q2129" s="15"/>
      <c r="R2129" s="16"/>
      <c r="S2129" s="16"/>
      <c r="T2129" s="16"/>
      <c r="U2129" s="16"/>
      <c r="V2129" s="37" t="str">
        <f>IFERROR(__xludf.DUMMYFUNCTION("if(not(iserror(index(split(C2129, "" ""),2))), index(split(C2129, "" ""),1),"""")"),"")</f>
        <v/>
      </c>
      <c r="W2129" s="315" t="str">
        <f>IFERROR(__xludf.DUMMYFUNCTION("if(V2129="""",C2129,if(not(iserror(index(split(C2129, "" ""),3))), index(split(C2129, "" ""),3),index(split(C2129, "" ""),2)))"),"")</f>
        <v/>
      </c>
      <c r="X2129" s="38" t="b">
        <f t="shared" si="2"/>
        <v>0</v>
      </c>
      <c r="Y2129" s="38"/>
      <c r="Z2129" s="40"/>
      <c r="AA2129" s="40"/>
      <c r="AB2129" s="38"/>
      <c r="AC2129" s="38"/>
      <c r="AD2129" s="38"/>
      <c r="AE2129" s="38"/>
      <c r="AF2129" s="38"/>
      <c r="AG2129" s="38"/>
      <c r="AH2129" s="38"/>
      <c r="AI2129" s="38"/>
      <c r="AJ2129" s="38"/>
      <c r="AK2129" s="38"/>
      <c r="AL2129" s="38"/>
      <c r="AM2129" s="38"/>
      <c r="AN2129" s="38"/>
      <c r="AO2129" s="38"/>
      <c r="AP2129" s="38"/>
      <c r="AQ2129" s="38"/>
      <c r="AR2129" s="38"/>
      <c r="AS2129" s="38"/>
      <c r="AT2129" s="38"/>
      <c r="AU2129" s="38"/>
      <c r="AV2129" s="38"/>
      <c r="AW2129" s="38"/>
      <c r="AX2129" s="38"/>
      <c r="AY2129" s="38"/>
      <c r="AZ2129" s="38"/>
      <c r="BA2129" s="38"/>
      <c r="BB2129" s="38"/>
      <c r="BC2129" s="38"/>
      <c r="BD2129" s="38"/>
      <c r="BE2129" s="38"/>
      <c r="BF2129" s="38"/>
      <c r="BG2129" s="38"/>
    </row>
    <row r="2130">
      <c r="A2130" s="16"/>
      <c r="B2130" s="16"/>
      <c r="C2130" s="146"/>
      <c r="D2130" s="146"/>
      <c r="E2130" s="16"/>
      <c r="F2130" s="91"/>
      <c r="G2130" s="16"/>
      <c r="H2130" s="320" t="str">
        <f t="shared" si="1"/>
        <v/>
      </c>
      <c r="I2130" s="16"/>
      <c r="J2130" s="16"/>
      <c r="K2130" s="16"/>
      <c r="L2130" s="38"/>
      <c r="M2130" s="16"/>
      <c r="N2130" s="16"/>
      <c r="O2130" s="16"/>
      <c r="P2130" s="15"/>
      <c r="Q2130" s="15"/>
      <c r="R2130" s="16"/>
      <c r="S2130" s="16"/>
      <c r="T2130" s="16"/>
      <c r="U2130" s="16"/>
      <c r="V2130" s="37" t="str">
        <f>IFERROR(__xludf.DUMMYFUNCTION("if(not(iserror(index(split(C2130, "" ""),2))), index(split(C2130, "" ""),1),"""")"),"")</f>
        <v/>
      </c>
      <c r="W2130" s="315" t="str">
        <f>IFERROR(__xludf.DUMMYFUNCTION("if(V2130="""",C2130,if(not(iserror(index(split(C2130, "" ""),3))), index(split(C2130, "" ""),3),index(split(C2130, "" ""),2)))"),"")</f>
        <v/>
      </c>
      <c r="X2130" s="38" t="b">
        <f t="shared" si="2"/>
        <v>0</v>
      </c>
      <c r="Y2130" s="38"/>
      <c r="Z2130" s="40"/>
      <c r="AA2130" s="40"/>
      <c r="AB2130" s="38"/>
      <c r="AC2130" s="38"/>
      <c r="AD2130" s="38"/>
      <c r="AE2130" s="38"/>
      <c r="AF2130" s="38"/>
      <c r="AG2130" s="38"/>
      <c r="AH2130" s="38"/>
      <c r="AI2130" s="38"/>
      <c r="AJ2130" s="38"/>
      <c r="AK2130" s="38"/>
      <c r="AL2130" s="38"/>
      <c r="AM2130" s="38"/>
      <c r="AN2130" s="38"/>
      <c r="AO2130" s="38"/>
      <c r="AP2130" s="38"/>
      <c r="AQ2130" s="38"/>
      <c r="AR2130" s="38"/>
      <c r="AS2130" s="38"/>
      <c r="AT2130" s="38"/>
      <c r="AU2130" s="38"/>
      <c r="AV2130" s="38"/>
      <c r="AW2130" s="38"/>
      <c r="AX2130" s="38"/>
      <c r="AY2130" s="38"/>
      <c r="AZ2130" s="38"/>
      <c r="BA2130" s="38"/>
      <c r="BB2130" s="38"/>
      <c r="BC2130" s="38"/>
      <c r="BD2130" s="38"/>
      <c r="BE2130" s="38"/>
      <c r="BF2130" s="38"/>
      <c r="BG2130" s="38"/>
    </row>
    <row r="2131">
      <c r="A2131" s="16"/>
      <c r="B2131" s="16"/>
      <c r="C2131" s="146"/>
      <c r="D2131" s="146"/>
      <c r="E2131" s="16"/>
      <c r="F2131" s="91"/>
      <c r="G2131" s="16"/>
      <c r="H2131" s="320" t="str">
        <f t="shared" si="1"/>
        <v/>
      </c>
      <c r="I2131" s="16"/>
      <c r="J2131" s="16"/>
      <c r="K2131" s="16"/>
      <c r="L2131" s="38"/>
      <c r="M2131" s="16"/>
      <c r="N2131" s="16"/>
      <c r="O2131" s="16"/>
      <c r="P2131" s="15"/>
      <c r="Q2131" s="15"/>
      <c r="R2131" s="16"/>
      <c r="S2131" s="16"/>
      <c r="T2131" s="16"/>
      <c r="U2131" s="16"/>
      <c r="V2131" s="37" t="str">
        <f>IFERROR(__xludf.DUMMYFUNCTION("if(not(iserror(index(split(C2131, "" ""),2))), index(split(C2131, "" ""),1),"""")"),"")</f>
        <v/>
      </c>
      <c r="W2131" s="315" t="str">
        <f>IFERROR(__xludf.DUMMYFUNCTION("if(V2131="""",C2131,if(not(iserror(index(split(C2131, "" ""),3))), index(split(C2131, "" ""),3),index(split(C2131, "" ""),2)))"),"")</f>
        <v/>
      </c>
      <c r="X2131" s="38" t="b">
        <f t="shared" si="2"/>
        <v>0</v>
      </c>
      <c r="Y2131" s="38"/>
      <c r="Z2131" s="40"/>
      <c r="AA2131" s="40"/>
      <c r="AB2131" s="38"/>
      <c r="AC2131" s="38"/>
      <c r="AD2131" s="38"/>
      <c r="AE2131" s="38"/>
      <c r="AF2131" s="38"/>
      <c r="AG2131" s="38"/>
      <c r="AH2131" s="38"/>
      <c r="AI2131" s="38"/>
      <c r="AJ2131" s="38"/>
      <c r="AK2131" s="38"/>
      <c r="AL2131" s="38"/>
      <c r="AM2131" s="38"/>
      <c r="AN2131" s="38"/>
      <c r="AO2131" s="38"/>
      <c r="AP2131" s="38"/>
      <c r="AQ2131" s="38"/>
      <c r="AR2131" s="38"/>
      <c r="AS2131" s="38"/>
      <c r="AT2131" s="38"/>
      <c r="AU2131" s="38"/>
      <c r="AV2131" s="38"/>
      <c r="AW2131" s="38"/>
      <c r="AX2131" s="38"/>
      <c r="AY2131" s="38"/>
      <c r="AZ2131" s="38"/>
      <c r="BA2131" s="38"/>
      <c r="BB2131" s="38"/>
      <c r="BC2131" s="38"/>
      <c r="BD2131" s="38"/>
      <c r="BE2131" s="38"/>
      <c r="BF2131" s="38"/>
      <c r="BG2131" s="38"/>
    </row>
    <row r="2132">
      <c r="A2132" s="16"/>
      <c r="B2132" s="16"/>
      <c r="C2132" s="146"/>
      <c r="D2132" s="146"/>
      <c r="E2132" s="16"/>
      <c r="F2132" s="91"/>
      <c r="G2132" s="16"/>
      <c r="H2132" s="320" t="str">
        <f t="shared" si="1"/>
        <v/>
      </c>
      <c r="I2132" s="16"/>
      <c r="J2132" s="16"/>
      <c r="K2132" s="16"/>
      <c r="L2132" s="38"/>
      <c r="M2132" s="16"/>
      <c r="N2132" s="16"/>
      <c r="O2132" s="16"/>
      <c r="P2132" s="15"/>
      <c r="Q2132" s="15"/>
      <c r="R2132" s="16"/>
      <c r="S2132" s="16"/>
      <c r="T2132" s="16"/>
      <c r="U2132" s="16"/>
      <c r="V2132" s="37" t="str">
        <f>IFERROR(__xludf.DUMMYFUNCTION("if(not(iserror(index(split(C2132, "" ""),2))), index(split(C2132, "" ""),1),"""")"),"")</f>
        <v/>
      </c>
      <c r="W2132" s="315" t="str">
        <f>IFERROR(__xludf.DUMMYFUNCTION("if(V2132="""",C2132,if(not(iserror(index(split(C2132, "" ""),3))), index(split(C2132, "" ""),3),index(split(C2132, "" ""),2)))"),"")</f>
        <v/>
      </c>
      <c r="X2132" s="38" t="b">
        <f t="shared" si="2"/>
        <v>0</v>
      </c>
      <c r="Y2132" s="38"/>
      <c r="Z2132" s="40"/>
      <c r="AA2132" s="40"/>
      <c r="AB2132" s="38"/>
      <c r="AC2132" s="38"/>
      <c r="AD2132" s="38"/>
      <c r="AE2132" s="38"/>
      <c r="AF2132" s="38"/>
      <c r="AG2132" s="38"/>
      <c r="AH2132" s="38"/>
      <c r="AI2132" s="38"/>
      <c r="AJ2132" s="38"/>
      <c r="AK2132" s="38"/>
      <c r="AL2132" s="38"/>
      <c r="AM2132" s="38"/>
      <c r="AN2132" s="38"/>
      <c r="AO2132" s="38"/>
      <c r="AP2132" s="38"/>
      <c r="AQ2132" s="38"/>
      <c r="AR2132" s="38"/>
      <c r="AS2132" s="38"/>
      <c r="AT2132" s="38"/>
      <c r="AU2132" s="38"/>
      <c r="AV2132" s="38"/>
      <c r="AW2132" s="38"/>
      <c r="AX2132" s="38"/>
      <c r="AY2132" s="38"/>
      <c r="AZ2132" s="38"/>
      <c r="BA2132" s="38"/>
      <c r="BB2132" s="38"/>
      <c r="BC2132" s="38"/>
      <c r="BD2132" s="38"/>
      <c r="BE2132" s="38"/>
      <c r="BF2132" s="38"/>
      <c r="BG2132" s="38"/>
    </row>
    <row r="2133">
      <c r="A2133" s="16"/>
      <c r="B2133" s="16"/>
      <c r="C2133" s="146"/>
      <c r="D2133" s="146"/>
      <c r="E2133" s="16"/>
      <c r="F2133" s="91"/>
      <c r="G2133" s="16"/>
      <c r="H2133" s="320" t="str">
        <f t="shared" si="1"/>
        <v/>
      </c>
      <c r="I2133" s="16"/>
      <c r="J2133" s="16"/>
      <c r="K2133" s="16"/>
      <c r="L2133" s="38"/>
      <c r="M2133" s="16"/>
      <c r="N2133" s="16"/>
      <c r="O2133" s="16"/>
      <c r="P2133" s="15"/>
      <c r="Q2133" s="15"/>
      <c r="R2133" s="16"/>
      <c r="S2133" s="16"/>
      <c r="T2133" s="16"/>
      <c r="U2133" s="16"/>
      <c r="V2133" s="37" t="str">
        <f>IFERROR(__xludf.DUMMYFUNCTION("if(not(iserror(index(split(C2133, "" ""),2))), index(split(C2133, "" ""),1),"""")"),"")</f>
        <v/>
      </c>
      <c r="W2133" s="315" t="str">
        <f>IFERROR(__xludf.DUMMYFUNCTION("if(V2133="""",C2133,if(not(iserror(index(split(C2133, "" ""),3))), index(split(C2133, "" ""),3),index(split(C2133, "" ""),2)))"),"")</f>
        <v/>
      </c>
      <c r="X2133" s="38" t="b">
        <f t="shared" si="2"/>
        <v>0</v>
      </c>
      <c r="Y2133" s="38"/>
      <c r="Z2133" s="40"/>
      <c r="AA2133" s="40"/>
      <c r="AB2133" s="38"/>
      <c r="AC2133" s="38"/>
      <c r="AD2133" s="38"/>
      <c r="AE2133" s="38"/>
      <c r="AF2133" s="38"/>
      <c r="AG2133" s="38"/>
      <c r="AH2133" s="38"/>
      <c r="AI2133" s="38"/>
      <c r="AJ2133" s="38"/>
      <c r="AK2133" s="38"/>
      <c r="AL2133" s="38"/>
      <c r="AM2133" s="38"/>
      <c r="AN2133" s="38"/>
      <c r="AO2133" s="38"/>
      <c r="AP2133" s="38"/>
      <c r="AQ2133" s="38"/>
      <c r="AR2133" s="38"/>
      <c r="AS2133" s="38"/>
      <c r="AT2133" s="38"/>
      <c r="AU2133" s="38"/>
      <c r="AV2133" s="38"/>
      <c r="AW2133" s="38"/>
      <c r="AX2133" s="38"/>
      <c r="AY2133" s="38"/>
      <c r="AZ2133" s="38"/>
      <c r="BA2133" s="38"/>
      <c r="BB2133" s="38"/>
      <c r="BC2133" s="38"/>
      <c r="BD2133" s="38"/>
      <c r="BE2133" s="38"/>
      <c r="BF2133" s="38"/>
      <c r="BG2133" s="38"/>
    </row>
    <row r="2134">
      <c r="A2134" s="16"/>
      <c r="B2134" s="16"/>
      <c r="C2134" s="146"/>
      <c r="D2134" s="146"/>
      <c r="E2134" s="16"/>
      <c r="F2134" s="91"/>
      <c r="G2134" s="16"/>
      <c r="H2134" s="320" t="str">
        <f t="shared" si="1"/>
        <v/>
      </c>
      <c r="I2134" s="16"/>
      <c r="J2134" s="16"/>
      <c r="K2134" s="16"/>
      <c r="L2134" s="38"/>
      <c r="M2134" s="16"/>
      <c r="N2134" s="16"/>
      <c r="O2134" s="16"/>
      <c r="P2134" s="15"/>
      <c r="Q2134" s="15"/>
      <c r="R2134" s="16"/>
      <c r="S2134" s="16"/>
      <c r="T2134" s="16"/>
      <c r="U2134" s="16"/>
      <c r="V2134" s="37" t="str">
        <f>IFERROR(__xludf.DUMMYFUNCTION("if(not(iserror(index(split(C2134, "" ""),2))), index(split(C2134, "" ""),1),"""")"),"")</f>
        <v/>
      </c>
      <c r="W2134" s="315" t="str">
        <f>IFERROR(__xludf.DUMMYFUNCTION("if(V2134="""",C2134,if(not(iserror(index(split(C2134, "" ""),3))), index(split(C2134, "" ""),3),index(split(C2134, "" ""),2)))"),"")</f>
        <v/>
      </c>
      <c r="X2134" s="38" t="b">
        <f t="shared" si="2"/>
        <v>0</v>
      </c>
      <c r="Y2134" s="38"/>
      <c r="Z2134" s="40"/>
      <c r="AA2134" s="40"/>
      <c r="AB2134" s="38"/>
      <c r="AC2134" s="38"/>
      <c r="AD2134" s="38"/>
      <c r="AE2134" s="38"/>
      <c r="AF2134" s="38"/>
      <c r="AG2134" s="38"/>
      <c r="AH2134" s="38"/>
      <c r="AI2134" s="38"/>
      <c r="AJ2134" s="38"/>
      <c r="AK2134" s="38"/>
      <c r="AL2134" s="38"/>
      <c r="AM2134" s="38"/>
      <c r="AN2134" s="38"/>
      <c r="AO2134" s="38"/>
      <c r="AP2134" s="38"/>
      <c r="AQ2134" s="38"/>
      <c r="AR2134" s="38"/>
      <c r="AS2134" s="38"/>
      <c r="AT2134" s="38"/>
      <c r="AU2134" s="38"/>
      <c r="AV2134" s="38"/>
      <c r="AW2134" s="38"/>
      <c r="AX2134" s="38"/>
      <c r="AY2134" s="38"/>
      <c r="AZ2134" s="38"/>
      <c r="BA2134" s="38"/>
      <c r="BB2134" s="38"/>
      <c r="BC2134" s="38"/>
      <c r="BD2134" s="38"/>
      <c r="BE2134" s="38"/>
      <c r="BF2134" s="38"/>
      <c r="BG2134" s="38"/>
    </row>
    <row r="2135">
      <c r="A2135" s="16"/>
      <c r="B2135" s="16"/>
      <c r="C2135" s="146"/>
      <c r="D2135" s="146"/>
      <c r="E2135" s="16"/>
      <c r="F2135" s="91"/>
      <c r="G2135" s="16"/>
      <c r="H2135" s="320" t="str">
        <f t="shared" si="1"/>
        <v/>
      </c>
      <c r="I2135" s="16"/>
      <c r="J2135" s="16"/>
      <c r="K2135" s="16"/>
      <c r="L2135" s="38"/>
      <c r="M2135" s="16"/>
      <c r="N2135" s="16"/>
      <c r="O2135" s="16"/>
      <c r="P2135" s="15"/>
      <c r="Q2135" s="15"/>
      <c r="R2135" s="16"/>
      <c r="S2135" s="16"/>
      <c r="T2135" s="16"/>
      <c r="U2135" s="16"/>
      <c r="V2135" s="37" t="str">
        <f>IFERROR(__xludf.DUMMYFUNCTION("if(not(iserror(index(split(C2135, "" ""),2))), index(split(C2135, "" ""),1),"""")"),"")</f>
        <v/>
      </c>
      <c r="W2135" s="315" t="str">
        <f>IFERROR(__xludf.DUMMYFUNCTION("if(V2135="""",C2135,if(not(iserror(index(split(C2135, "" ""),3))), index(split(C2135, "" ""),3),index(split(C2135, "" ""),2)))"),"")</f>
        <v/>
      </c>
      <c r="X2135" s="38" t="b">
        <f t="shared" si="2"/>
        <v>0</v>
      </c>
      <c r="Y2135" s="38"/>
      <c r="Z2135" s="40"/>
      <c r="AA2135" s="40"/>
      <c r="AB2135" s="38"/>
      <c r="AC2135" s="38"/>
      <c r="AD2135" s="38"/>
      <c r="AE2135" s="38"/>
      <c r="AF2135" s="38"/>
      <c r="AG2135" s="38"/>
      <c r="AH2135" s="38"/>
      <c r="AI2135" s="38"/>
      <c r="AJ2135" s="38"/>
      <c r="AK2135" s="38"/>
      <c r="AL2135" s="38"/>
      <c r="AM2135" s="38"/>
      <c r="AN2135" s="38"/>
      <c r="AO2135" s="38"/>
      <c r="AP2135" s="38"/>
      <c r="AQ2135" s="38"/>
      <c r="AR2135" s="38"/>
      <c r="AS2135" s="38"/>
      <c r="AT2135" s="38"/>
      <c r="AU2135" s="38"/>
      <c r="AV2135" s="38"/>
      <c r="AW2135" s="38"/>
      <c r="AX2135" s="38"/>
      <c r="AY2135" s="38"/>
      <c r="AZ2135" s="38"/>
      <c r="BA2135" s="38"/>
      <c r="BB2135" s="38"/>
      <c r="BC2135" s="38"/>
      <c r="BD2135" s="38"/>
      <c r="BE2135" s="38"/>
      <c r="BF2135" s="38"/>
      <c r="BG2135" s="38"/>
    </row>
    <row r="2136">
      <c r="A2136" s="16"/>
      <c r="B2136" s="16"/>
      <c r="C2136" s="146"/>
      <c r="D2136" s="146"/>
      <c r="E2136" s="16"/>
      <c r="F2136" s="91"/>
      <c r="G2136" s="16"/>
      <c r="H2136" s="320" t="str">
        <f t="shared" si="1"/>
        <v/>
      </c>
      <c r="I2136" s="16"/>
      <c r="J2136" s="16"/>
      <c r="K2136" s="16"/>
      <c r="L2136" s="38"/>
      <c r="M2136" s="16"/>
      <c r="N2136" s="16"/>
      <c r="O2136" s="16"/>
      <c r="P2136" s="15"/>
      <c r="Q2136" s="15"/>
      <c r="R2136" s="16"/>
      <c r="S2136" s="16"/>
      <c r="T2136" s="16"/>
      <c r="U2136" s="16"/>
      <c r="V2136" s="37" t="str">
        <f>IFERROR(__xludf.DUMMYFUNCTION("if(not(iserror(index(split(C2136, "" ""),2))), index(split(C2136, "" ""),1),"""")"),"")</f>
        <v/>
      </c>
      <c r="W2136" s="315" t="str">
        <f>IFERROR(__xludf.DUMMYFUNCTION("if(V2136="""",C2136,if(not(iserror(index(split(C2136, "" ""),3))), index(split(C2136, "" ""),3),index(split(C2136, "" ""),2)))"),"")</f>
        <v/>
      </c>
      <c r="X2136" s="38" t="b">
        <f t="shared" si="2"/>
        <v>0</v>
      </c>
      <c r="Y2136" s="38"/>
      <c r="Z2136" s="40"/>
      <c r="AA2136" s="40"/>
      <c r="AB2136" s="38"/>
      <c r="AC2136" s="38"/>
      <c r="AD2136" s="38"/>
      <c r="AE2136" s="38"/>
      <c r="AF2136" s="38"/>
      <c r="AG2136" s="38"/>
      <c r="AH2136" s="38"/>
      <c r="AI2136" s="38"/>
      <c r="AJ2136" s="38"/>
      <c r="AK2136" s="38"/>
      <c r="AL2136" s="38"/>
      <c r="AM2136" s="38"/>
      <c r="AN2136" s="38"/>
      <c r="AO2136" s="38"/>
      <c r="AP2136" s="38"/>
      <c r="AQ2136" s="38"/>
      <c r="AR2136" s="38"/>
      <c r="AS2136" s="38"/>
      <c r="AT2136" s="38"/>
      <c r="AU2136" s="38"/>
      <c r="AV2136" s="38"/>
      <c r="AW2136" s="38"/>
      <c r="AX2136" s="38"/>
      <c r="AY2136" s="38"/>
      <c r="AZ2136" s="38"/>
      <c r="BA2136" s="38"/>
      <c r="BB2136" s="38"/>
      <c r="BC2136" s="38"/>
      <c r="BD2136" s="38"/>
      <c r="BE2136" s="38"/>
      <c r="BF2136" s="38"/>
      <c r="BG2136" s="38"/>
    </row>
    <row r="2137">
      <c r="A2137" s="16"/>
      <c r="B2137" s="16"/>
      <c r="C2137" s="146"/>
      <c r="D2137" s="146"/>
      <c r="E2137" s="16"/>
      <c r="F2137" s="91"/>
      <c r="G2137" s="16"/>
      <c r="H2137" s="320" t="str">
        <f t="shared" si="1"/>
        <v/>
      </c>
      <c r="I2137" s="16"/>
      <c r="J2137" s="16"/>
      <c r="K2137" s="16"/>
      <c r="L2137" s="38"/>
      <c r="M2137" s="16"/>
      <c r="N2137" s="16"/>
      <c r="O2137" s="16"/>
      <c r="P2137" s="15"/>
      <c r="Q2137" s="15"/>
      <c r="R2137" s="16"/>
      <c r="S2137" s="16"/>
      <c r="T2137" s="16"/>
      <c r="U2137" s="16"/>
      <c r="V2137" s="37" t="str">
        <f>IFERROR(__xludf.DUMMYFUNCTION("if(not(iserror(index(split(C2137, "" ""),2))), index(split(C2137, "" ""),1),"""")"),"")</f>
        <v/>
      </c>
      <c r="W2137" s="315" t="str">
        <f>IFERROR(__xludf.DUMMYFUNCTION("if(V2137="""",C2137,if(not(iserror(index(split(C2137, "" ""),3))), index(split(C2137, "" ""),3),index(split(C2137, "" ""),2)))"),"")</f>
        <v/>
      </c>
      <c r="X2137" s="38" t="b">
        <f t="shared" si="2"/>
        <v>0</v>
      </c>
      <c r="Y2137" s="38"/>
      <c r="Z2137" s="40"/>
      <c r="AA2137" s="40"/>
      <c r="AB2137" s="38"/>
      <c r="AC2137" s="38"/>
      <c r="AD2137" s="38"/>
      <c r="AE2137" s="38"/>
      <c r="AF2137" s="38"/>
      <c r="AG2137" s="38"/>
      <c r="AH2137" s="38"/>
      <c r="AI2137" s="38"/>
      <c r="AJ2137" s="38"/>
      <c r="AK2137" s="38"/>
      <c r="AL2137" s="38"/>
      <c r="AM2137" s="38"/>
      <c r="AN2137" s="38"/>
      <c r="AO2137" s="38"/>
      <c r="AP2137" s="38"/>
      <c r="AQ2137" s="38"/>
      <c r="AR2137" s="38"/>
      <c r="AS2137" s="38"/>
      <c r="AT2137" s="38"/>
      <c r="AU2137" s="38"/>
      <c r="AV2137" s="38"/>
      <c r="AW2137" s="38"/>
      <c r="AX2137" s="38"/>
      <c r="AY2137" s="38"/>
      <c r="AZ2137" s="38"/>
      <c r="BA2137" s="38"/>
      <c r="BB2137" s="38"/>
      <c r="BC2137" s="38"/>
      <c r="BD2137" s="38"/>
      <c r="BE2137" s="38"/>
      <c r="BF2137" s="38"/>
      <c r="BG2137" s="38"/>
    </row>
    <row r="2138">
      <c r="A2138" s="16"/>
      <c r="B2138" s="16"/>
      <c r="C2138" s="146"/>
      <c r="D2138" s="146"/>
      <c r="E2138" s="16"/>
      <c r="F2138" s="91"/>
      <c r="G2138" s="16"/>
      <c r="H2138" s="320" t="str">
        <f t="shared" si="1"/>
        <v/>
      </c>
      <c r="I2138" s="16"/>
      <c r="J2138" s="16"/>
      <c r="K2138" s="16"/>
      <c r="L2138" s="38"/>
      <c r="M2138" s="16"/>
      <c r="N2138" s="16"/>
      <c r="O2138" s="16"/>
      <c r="P2138" s="15"/>
      <c r="Q2138" s="15"/>
      <c r="R2138" s="16"/>
      <c r="S2138" s="16"/>
      <c r="T2138" s="16"/>
      <c r="U2138" s="16"/>
      <c r="V2138" s="37" t="str">
        <f>IFERROR(__xludf.DUMMYFUNCTION("if(not(iserror(index(split(C2138, "" ""),2))), index(split(C2138, "" ""),1),"""")"),"")</f>
        <v/>
      </c>
      <c r="W2138" s="315" t="str">
        <f>IFERROR(__xludf.DUMMYFUNCTION("if(V2138="""",C2138,if(not(iserror(index(split(C2138, "" ""),3))), index(split(C2138, "" ""),3),index(split(C2138, "" ""),2)))"),"")</f>
        <v/>
      </c>
      <c r="X2138" s="38" t="b">
        <f t="shared" si="2"/>
        <v>0</v>
      </c>
      <c r="Y2138" s="38"/>
      <c r="Z2138" s="40"/>
      <c r="AA2138" s="40"/>
      <c r="AB2138" s="38"/>
      <c r="AC2138" s="38"/>
      <c r="AD2138" s="38"/>
      <c r="AE2138" s="38"/>
      <c r="AF2138" s="38"/>
      <c r="AG2138" s="38"/>
      <c r="AH2138" s="38"/>
      <c r="AI2138" s="38"/>
      <c r="AJ2138" s="38"/>
      <c r="AK2138" s="38"/>
      <c r="AL2138" s="38"/>
      <c r="AM2138" s="38"/>
      <c r="AN2138" s="38"/>
      <c r="AO2138" s="38"/>
      <c r="AP2138" s="38"/>
      <c r="AQ2138" s="38"/>
      <c r="AR2138" s="38"/>
      <c r="AS2138" s="38"/>
      <c r="AT2138" s="38"/>
      <c r="AU2138" s="38"/>
      <c r="AV2138" s="38"/>
      <c r="AW2138" s="38"/>
      <c r="AX2138" s="38"/>
      <c r="AY2138" s="38"/>
      <c r="AZ2138" s="38"/>
      <c r="BA2138" s="38"/>
      <c r="BB2138" s="38"/>
      <c r="BC2138" s="38"/>
      <c r="BD2138" s="38"/>
      <c r="BE2138" s="38"/>
      <c r="BF2138" s="38"/>
      <c r="BG2138" s="38"/>
    </row>
    <row r="2139">
      <c r="A2139" s="16"/>
      <c r="B2139" s="16"/>
      <c r="C2139" s="146"/>
      <c r="D2139" s="146"/>
      <c r="E2139" s="16"/>
      <c r="F2139" s="91"/>
      <c r="G2139" s="16"/>
      <c r="H2139" s="320" t="str">
        <f t="shared" si="1"/>
        <v/>
      </c>
      <c r="I2139" s="16"/>
      <c r="J2139" s="16"/>
      <c r="K2139" s="16"/>
      <c r="L2139" s="38"/>
      <c r="M2139" s="16"/>
      <c r="N2139" s="16"/>
      <c r="O2139" s="16"/>
      <c r="P2139" s="15"/>
      <c r="Q2139" s="15"/>
      <c r="R2139" s="16"/>
      <c r="S2139" s="16"/>
      <c r="T2139" s="16"/>
      <c r="U2139" s="16"/>
      <c r="V2139" s="37" t="str">
        <f>IFERROR(__xludf.DUMMYFUNCTION("if(not(iserror(index(split(C2139, "" ""),2))), index(split(C2139, "" ""),1),"""")"),"")</f>
        <v/>
      </c>
      <c r="W2139" s="315" t="str">
        <f>IFERROR(__xludf.DUMMYFUNCTION("if(V2139="""",C2139,if(not(iserror(index(split(C2139, "" ""),3))), index(split(C2139, "" ""),3),index(split(C2139, "" ""),2)))"),"")</f>
        <v/>
      </c>
      <c r="X2139" s="38" t="b">
        <f t="shared" si="2"/>
        <v>0</v>
      </c>
      <c r="Y2139" s="38"/>
      <c r="Z2139" s="40"/>
      <c r="AA2139" s="40"/>
      <c r="AB2139" s="38"/>
      <c r="AC2139" s="38"/>
      <c r="AD2139" s="38"/>
      <c r="AE2139" s="38"/>
      <c r="AF2139" s="38"/>
      <c r="AG2139" s="38"/>
      <c r="AH2139" s="38"/>
      <c r="AI2139" s="38"/>
      <c r="AJ2139" s="38"/>
      <c r="AK2139" s="38"/>
      <c r="AL2139" s="38"/>
      <c r="AM2139" s="38"/>
      <c r="AN2139" s="38"/>
      <c r="AO2139" s="38"/>
      <c r="AP2139" s="38"/>
      <c r="AQ2139" s="38"/>
      <c r="AR2139" s="38"/>
      <c r="AS2139" s="38"/>
      <c r="AT2139" s="38"/>
      <c r="AU2139" s="38"/>
      <c r="AV2139" s="38"/>
      <c r="AW2139" s="38"/>
      <c r="AX2139" s="38"/>
      <c r="AY2139" s="38"/>
      <c r="AZ2139" s="38"/>
      <c r="BA2139" s="38"/>
      <c r="BB2139" s="38"/>
      <c r="BC2139" s="38"/>
      <c r="BD2139" s="38"/>
      <c r="BE2139" s="38"/>
      <c r="BF2139" s="38"/>
      <c r="BG2139" s="38"/>
    </row>
    <row r="2140">
      <c r="A2140" s="16"/>
      <c r="B2140" s="16"/>
      <c r="C2140" s="146"/>
      <c r="D2140" s="146"/>
      <c r="E2140" s="16"/>
      <c r="F2140" s="91"/>
      <c r="G2140" s="16"/>
      <c r="H2140" s="320" t="str">
        <f t="shared" si="1"/>
        <v/>
      </c>
      <c r="I2140" s="16"/>
      <c r="J2140" s="16"/>
      <c r="K2140" s="16"/>
      <c r="L2140" s="38"/>
      <c r="M2140" s="16"/>
      <c r="N2140" s="16"/>
      <c r="O2140" s="16"/>
      <c r="P2140" s="15"/>
      <c r="Q2140" s="15"/>
      <c r="R2140" s="16"/>
      <c r="S2140" s="16"/>
      <c r="T2140" s="16"/>
      <c r="U2140" s="16"/>
      <c r="V2140" s="37" t="str">
        <f>IFERROR(__xludf.DUMMYFUNCTION("if(not(iserror(index(split(C2140, "" ""),2))), index(split(C2140, "" ""),1),"""")"),"")</f>
        <v/>
      </c>
      <c r="W2140" s="315" t="str">
        <f>IFERROR(__xludf.DUMMYFUNCTION("if(V2140="""",C2140,if(not(iserror(index(split(C2140, "" ""),3))), index(split(C2140, "" ""),3),index(split(C2140, "" ""),2)))"),"")</f>
        <v/>
      </c>
      <c r="X2140" s="38" t="b">
        <f t="shared" si="2"/>
        <v>0</v>
      </c>
      <c r="Y2140" s="38"/>
      <c r="Z2140" s="40"/>
      <c r="AA2140" s="40"/>
      <c r="AB2140" s="38"/>
      <c r="AC2140" s="38"/>
      <c r="AD2140" s="38"/>
      <c r="AE2140" s="38"/>
      <c r="AF2140" s="38"/>
      <c r="AG2140" s="38"/>
      <c r="AH2140" s="38"/>
      <c r="AI2140" s="38"/>
      <c r="AJ2140" s="38"/>
      <c r="AK2140" s="38"/>
      <c r="AL2140" s="38"/>
      <c r="AM2140" s="38"/>
      <c r="AN2140" s="38"/>
      <c r="AO2140" s="38"/>
      <c r="AP2140" s="38"/>
      <c r="AQ2140" s="38"/>
      <c r="AR2140" s="38"/>
      <c r="AS2140" s="38"/>
      <c r="AT2140" s="38"/>
      <c r="AU2140" s="38"/>
      <c r="AV2140" s="38"/>
      <c r="AW2140" s="38"/>
      <c r="AX2140" s="38"/>
      <c r="AY2140" s="38"/>
      <c r="AZ2140" s="38"/>
      <c r="BA2140" s="38"/>
      <c r="BB2140" s="38"/>
      <c r="BC2140" s="38"/>
      <c r="BD2140" s="38"/>
      <c r="BE2140" s="38"/>
      <c r="BF2140" s="38"/>
      <c r="BG2140" s="38"/>
    </row>
    <row r="2141">
      <c r="A2141" s="16"/>
      <c r="B2141" s="16"/>
      <c r="C2141" s="146"/>
      <c r="D2141" s="146"/>
      <c r="E2141" s="16"/>
      <c r="F2141" s="91"/>
      <c r="G2141" s="16"/>
      <c r="H2141" s="320" t="str">
        <f t="shared" si="1"/>
        <v/>
      </c>
      <c r="I2141" s="16"/>
      <c r="J2141" s="16"/>
      <c r="K2141" s="16"/>
      <c r="L2141" s="38"/>
      <c r="M2141" s="16"/>
      <c r="N2141" s="16"/>
      <c r="O2141" s="16"/>
      <c r="P2141" s="15"/>
      <c r="Q2141" s="15"/>
      <c r="R2141" s="16"/>
      <c r="S2141" s="16"/>
      <c r="T2141" s="16"/>
      <c r="U2141" s="16"/>
      <c r="V2141" s="37" t="str">
        <f>IFERROR(__xludf.DUMMYFUNCTION("if(not(iserror(index(split(C2141, "" ""),2))), index(split(C2141, "" ""),1),"""")"),"")</f>
        <v/>
      </c>
      <c r="W2141" s="315" t="str">
        <f>IFERROR(__xludf.DUMMYFUNCTION("if(V2141="""",C2141,if(not(iserror(index(split(C2141, "" ""),3))), index(split(C2141, "" ""),3),index(split(C2141, "" ""),2)))"),"")</f>
        <v/>
      </c>
      <c r="X2141" s="38" t="b">
        <f t="shared" si="2"/>
        <v>0</v>
      </c>
      <c r="Y2141" s="38"/>
      <c r="Z2141" s="40"/>
      <c r="AA2141" s="40"/>
      <c r="AB2141" s="38"/>
      <c r="AC2141" s="38"/>
      <c r="AD2141" s="38"/>
      <c r="AE2141" s="38"/>
      <c r="AF2141" s="38"/>
      <c r="AG2141" s="38"/>
      <c r="AH2141" s="38"/>
      <c r="AI2141" s="38"/>
      <c r="AJ2141" s="38"/>
      <c r="AK2141" s="38"/>
      <c r="AL2141" s="38"/>
      <c r="AM2141" s="38"/>
      <c r="AN2141" s="38"/>
      <c r="AO2141" s="38"/>
      <c r="AP2141" s="38"/>
      <c r="AQ2141" s="38"/>
      <c r="AR2141" s="38"/>
      <c r="AS2141" s="38"/>
      <c r="AT2141" s="38"/>
      <c r="AU2141" s="38"/>
      <c r="AV2141" s="38"/>
      <c r="AW2141" s="38"/>
      <c r="AX2141" s="38"/>
      <c r="AY2141" s="38"/>
      <c r="AZ2141" s="38"/>
      <c r="BA2141" s="38"/>
      <c r="BB2141" s="38"/>
      <c r="BC2141" s="38"/>
      <c r="BD2141" s="38"/>
      <c r="BE2141" s="38"/>
      <c r="BF2141" s="38"/>
      <c r="BG2141" s="38"/>
    </row>
    <row r="2142">
      <c r="A2142" s="16"/>
      <c r="B2142" s="16"/>
      <c r="C2142" s="146"/>
      <c r="D2142" s="146"/>
      <c r="E2142" s="16"/>
      <c r="F2142" s="91"/>
      <c r="G2142" s="16"/>
      <c r="H2142" s="320" t="str">
        <f t="shared" si="1"/>
        <v/>
      </c>
      <c r="I2142" s="16"/>
      <c r="J2142" s="16"/>
      <c r="K2142" s="16"/>
      <c r="L2142" s="38"/>
      <c r="M2142" s="16"/>
      <c r="N2142" s="16"/>
      <c r="O2142" s="16"/>
      <c r="P2142" s="15"/>
      <c r="Q2142" s="15"/>
      <c r="R2142" s="16"/>
      <c r="S2142" s="16"/>
      <c r="T2142" s="16"/>
      <c r="U2142" s="16"/>
      <c r="V2142" s="37" t="str">
        <f>IFERROR(__xludf.DUMMYFUNCTION("if(not(iserror(index(split(C2142, "" ""),2))), index(split(C2142, "" ""),1),"""")"),"")</f>
        <v/>
      </c>
      <c r="W2142" s="315" t="str">
        <f>IFERROR(__xludf.DUMMYFUNCTION("if(V2142="""",C2142,if(not(iserror(index(split(C2142, "" ""),3))), index(split(C2142, "" ""),3),index(split(C2142, "" ""),2)))"),"")</f>
        <v/>
      </c>
      <c r="X2142" s="38" t="b">
        <f t="shared" si="2"/>
        <v>0</v>
      </c>
      <c r="Y2142" s="38"/>
      <c r="Z2142" s="40"/>
      <c r="AA2142" s="40"/>
      <c r="AB2142" s="38"/>
      <c r="AC2142" s="38"/>
      <c r="AD2142" s="38"/>
      <c r="AE2142" s="38"/>
      <c r="AF2142" s="38"/>
      <c r="AG2142" s="38"/>
      <c r="AH2142" s="38"/>
      <c r="AI2142" s="38"/>
      <c r="AJ2142" s="38"/>
      <c r="AK2142" s="38"/>
      <c r="AL2142" s="38"/>
      <c r="AM2142" s="38"/>
      <c r="AN2142" s="38"/>
      <c r="AO2142" s="38"/>
      <c r="AP2142" s="38"/>
      <c r="AQ2142" s="38"/>
      <c r="AR2142" s="38"/>
      <c r="AS2142" s="38"/>
      <c r="AT2142" s="38"/>
      <c r="AU2142" s="38"/>
      <c r="AV2142" s="38"/>
      <c r="AW2142" s="38"/>
      <c r="AX2142" s="38"/>
      <c r="AY2142" s="38"/>
      <c r="AZ2142" s="38"/>
      <c r="BA2142" s="38"/>
      <c r="BB2142" s="38"/>
      <c r="BC2142" s="38"/>
      <c r="BD2142" s="38"/>
      <c r="BE2142" s="38"/>
      <c r="BF2142" s="38"/>
      <c r="BG2142" s="38"/>
    </row>
    <row r="2143">
      <c r="A2143" s="16"/>
      <c r="B2143" s="16"/>
      <c r="C2143" s="146"/>
      <c r="D2143" s="146"/>
      <c r="E2143" s="16"/>
      <c r="F2143" s="91"/>
      <c r="G2143" s="16"/>
      <c r="H2143" s="320" t="str">
        <f t="shared" si="1"/>
        <v/>
      </c>
      <c r="I2143" s="16"/>
      <c r="J2143" s="16"/>
      <c r="K2143" s="16"/>
      <c r="L2143" s="38"/>
      <c r="M2143" s="16"/>
      <c r="N2143" s="16"/>
      <c r="O2143" s="16"/>
      <c r="P2143" s="15"/>
      <c r="Q2143" s="15"/>
      <c r="R2143" s="16"/>
      <c r="S2143" s="16"/>
      <c r="T2143" s="16"/>
      <c r="U2143" s="16"/>
      <c r="V2143" s="37" t="str">
        <f>IFERROR(__xludf.DUMMYFUNCTION("if(not(iserror(index(split(C2143, "" ""),2))), index(split(C2143, "" ""),1),"""")"),"")</f>
        <v/>
      </c>
      <c r="W2143" s="315" t="str">
        <f>IFERROR(__xludf.DUMMYFUNCTION("if(V2143="""",C2143,if(not(iserror(index(split(C2143, "" ""),3))), index(split(C2143, "" ""),3),index(split(C2143, "" ""),2)))"),"")</f>
        <v/>
      </c>
      <c r="X2143" s="38" t="b">
        <f t="shared" si="2"/>
        <v>0</v>
      </c>
      <c r="Y2143" s="38"/>
      <c r="Z2143" s="40"/>
      <c r="AA2143" s="40"/>
      <c r="AB2143" s="38"/>
      <c r="AC2143" s="38"/>
      <c r="AD2143" s="38"/>
      <c r="AE2143" s="38"/>
      <c r="AF2143" s="38"/>
      <c r="AG2143" s="38"/>
      <c r="AH2143" s="38"/>
      <c r="AI2143" s="38"/>
      <c r="AJ2143" s="38"/>
      <c r="AK2143" s="38"/>
      <c r="AL2143" s="38"/>
      <c r="AM2143" s="38"/>
      <c r="AN2143" s="38"/>
      <c r="AO2143" s="38"/>
      <c r="AP2143" s="38"/>
      <c r="AQ2143" s="38"/>
      <c r="AR2143" s="38"/>
      <c r="AS2143" s="38"/>
      <c r="AT2143" s="38"/>
      <c r="AU2143" s="38"/>
      <c r="AV2143" s="38"/>
      <c r="AW2143" s="38"/>
      <c r="AX2143" s="38"/>
      <c r="AY2143" s="38"/>
      <c r="AZ2143" s="38"/>
      <c r="BA2143" s="38"/>
      <c r="BB2143" s="38"/>
      <c r="BC2143" s="38"/>
      <c r="BD2143" s="38"/>
      <c r="BE2143" s="38"/>
      <c r="BF2143" s="38"/>
      <c r="BG2143" s="38"/>
    </row>
    <row r="2144">
      <c r="A2144" s="16"/>
      <c r="B2144" s="16"/>
      <c r="C2144" s="146"/>
      <c r="D2144" s="146"/>
      <c r="E2144" s="16"/>
      <c r="F2144" s="91"/>
      <c r="G2144" s="16"/>
      <c r="H2144" s="320" t="str">
        <f t="shared" si="1"/>
        <v/>
      </c>
      <c r="I2144" s="16"/>
      <c r="J2144" s="16"/>
      <c r="K2144" s="16"/>
      <c r="L2144" s="38"/>
      <c r="M2144" s="16"/>
      <c r="N2144" s="16"/>
      <c r="O2144" s="16"/>
      <c r="P2144" s="15"/>
      <c r="Q2144" s="15"/>
      <c r="R2144" s="16"/>
      <c r="S2144" s="16"/>
      <c r="T2144" s="16"/>
      <c r="U2144" s="16"/>
      <c r="V2144" s="37" t="str">
        <f>IFERROR(__xludf.DUMMYFUNCTION("if(not(iserror(index(split(C2144, "" ""),2))), index(split(C2144, "" ""),1),"""")"),"")</f>
        <v/>
      </c>
      <c r="W2144" s="315" t="str">
        <f>IFERROR(__xludf.DUMMYFUNCTION("if(V2144="""",C2144,if(not(iserror(index(split(C2144, "" ""),3))), index(split(C2144, "" ""),3),index(split(C2144, "" ""),2)))"),"")</f>
        <v/>
      </c>
      <c r="X2144" s="38" t="b">
        <f t="shared" si="2"/>
        <v>0</v>
      </c>
      <c r="Y2144" s="38"/>
      <c r="Z2144" s="40"/>
      <c r="AA2144" s="40"/>
      <c r="AB2144" s="38"/>
      <c r="AC2144" s="38"/>
      <c r="AD2144" s="38"/>
      <c r="AE2144" s="38"/>
      <c r="AF2144" s="38"/>
      <c r="AG2144" s="38"/>
      <c r="AH2144" s="38"/>
      <c r="AI2144" s="38"/>
      <c r="AJ2144" s="38"/>
      <c r="AK2144" s="38"/>
      <c r="AL2144" s="38"/>
      <c r="AM2144" s="38"/>
      <c r="AN2144" s="38"/>
      <c r="AO2144" s="38"/>
      <c r="AP2144" s="38"/>
      <c r="AQ2144" s="38"/>
      <c r="AR2144" s="38"/>
      <c r="AS2144" s="38"/>
      <c r="AT2144" s="38"/>
      <c r="AU2144" s="38"/>
      <c r="AV2144" s="38"/>
      <c r="AW2144" s="38"/>
      <c r="AX2144" s="38"/>
      <c r="AY2144" s="38"/>
      <c r="AZ2144" s="38"/>
      <c r="BA2144" s="38"/>
      <c r="BB2144" s="38"/>
      <c r="BC2144" s="38"/>
      <c r="BD2144" s="38"/>
      <c r="BE2144" s="38"/>
      <c r="BF2144" s="38"/>
      <c r="BG2144" s="38"/>
    </row>
    <row r="2145">
      <c r="A2145" s="16"/>
      <c r="B2145" s="16"/>
      <c r="C2145" s="146"/>
      <c r="D2145" s="146"/>
      <c r="E2145" s="16"/>
      <c r="F2145" s="91"/>
      <c r="G2145" s="16"/>
      <c r="H2145" s="320" t="str">
        <f t="shared" si="1"/>
        <v/>
      </c>
      <c r="I2145" s="16"/>
      <c r="J2145" s="16"/>
      <c r="K2145" s="16"/>
      <c r="L2145" s="38"/>
      <c r="M2145" s="16"/>
      <c r="N2145" s="16"/>
      <c r="O2145" s="16"/>
      <c r="P2145" s="15"/>
      <c r="Q2145" s="15"/>
      <c r="R2145" s="16"/>
      <c r="S2145" s="16"/>
      <c r="T2145" s="16"/>
      <c r="U2145" s="16"/>
      <c r="V2145" s="37" t="str">
        <f>IFERROR(__xludf.DUMMYFUNCTION("if(not(iserror(index(split(C2145, "" ""),2))), index(split(C2145, "" ""),1),"""")"),"")</f>
        <v/>
      </c>
      <c r="W2145" s="315" t="str">
        <f>IFERROR(__xludf.DUMMYFUNCTION("if(V2145="""",C2145,if(not(iserror(index(split(C2145, "" ""),3))), index(split(C2145, "" ""),3),index(split(C2145, "" ""),2)))"),"")</f>
        <v/>
      </c>
      <c r="X2145" s="38" t="b">
        <f t="shared" si="2"/>
        <v>0</v>
      </c>
      <c r="Y2145" s="38"/>
      <c r="Z2145" s="40"/>
      <c r="AA2145" s="40"/>
      <c r="AB2145" s="38"/>
      <c r="AC2145" s="38"/>
      <c r="AD2145" s="38"/>
      <c r="AE2145" s="38"/>
      <c r="AF2145" s="38"/>
      <c r="AG2145" s="38"/>
      <c r="AH2145" s="38"/>
      <c r="AI2145" s="38"/>
      <c r="AJ2145" s="38"/>
      <c r="AK2145" s="38"/>
      <c r="AL2145" s="38"/>
      <c r="AM2145" s="38"/>
      <c r="AN2145" s="38"/>
      <c r="AO2145" s="38"/>
      <c r="AP2145" s="38"/>
      <c r="AQ2145" s="38"/>
      <c r="AR2145" s="38"/>
      <c r="AS2145" s="38"/>
      <c r="AT2145" s="38"/>
      <c r="AU2145" s="38"/>
      <c r="AV2145" s="38"/>
      <c r="AW2145" s="38"/>
      <c r="AX2145" s="38"/>
      <c r="AY2145" s="38"/>
      <c r="AZ2145" s="38"/>
      <c r="BA2145" s="38"/>
      <c r="BB2145" s="38"/>
      <c r="BC2145" s="38"/>
      <c r="BD2145" s="38"/>
      <c r="BE2145" s="38"/>
      <c r="BF2145" s="38"/>
      <c r="BG2145" s="38"/>
    </row>
    <row r="2146">
      <c r="A2146" s="16"/>
      <c r="B2146" s="16"/>
      <c r="C2146" s="146"/>
      <c r="D2146" s="146"/>
      <c r="E2146" s="16"/>
      <c r="F2146" s="91"/>
      <c r="G2146" s="16"/>
      <c r="H2146" s="320" t="str">
        <f t="shared" si="1"/>
        <v/>
      </c>
      <c r="I2146" s="16"/>
      <c r="J2146" s="16"/>
      <c r="K2146" s="16"/>
      <c r="L2146" s="38"/>
      <c r="M2146" s="16"/>
      <c r="N2146" s="16"/>
      <c r="O2146" s="16"/>
      <c r="P2146" s="15"/>
      <c r="Q2146" s="15"/>
      <c r="R2146" s="16"/>
      <c r="S2146" s="16"/>
      <c r="T2146" s="16"/>
      <c r="U2146" s="16"/>
      <c r="V2146" s="37" t="str">
        <f>IFERROR(__xludf.DUMMYFUNCTION("if(not(iserror(index(split(C2146, "" ""),2))), index(split(C2146, "" ""),1),"""")"),"")</f>
        <v/>
      </c>
      <c r="W2146" s="315" t="str">
        <f>IFERROR(__xludf.DUMMYFUNCTION("if(V2146="""",C2146,if(not(iserror(index(split(C2146, "" ""),3))), index(split(C2146, "" ""),3),index(split(C2146, "" ""),2)))"),"")</f>
        <v/>
      </c>
      <c r="X2146" s="38" t="b">
        <f t="shared" si="2"/>
        <v>0</v>
      </c>
      <c r="Y2146" s="38"/>
      <c r="Z2146" s="40"/>
      <c r="AA2146" s="40"/>
      <c r="AB2146" s="38"/>
      <c r="AC2146" s="38"/>
      <c r="AD2146" s="38"/>
      <c r="AE2146" s="38"/>
      <c r="AF2146" s="38"/>
      <c r="AG2146" s="38"/>
      <c r="AH2146" s="38"/>
      <c r="AI2146" s="38"/>
      <c r="AJ2146" s="38"/>
      <c r="AK2146" s="38"/>
      <c r="AL2146" s="38"/>
      <c r="AM2146" s="38"/>
      <c r="AN2146" s="38"/>
      <c r="AO2146" s="38"/>
      <c r="AP2146" s="38"/>
      <c r="AQ2146" s="38"/>
      <c r="AR2146" s="38"/>
      <c r="AS2146" s="38"/>
      <c r="AT2146" s="38"/>
      <c r="AU2146" s="38"/>
      <c r="AV2146" s="38"/>
      <c r="AW2146" s="38"/>
      <c r="AX2146" s="38"/>
      <c r="AY2146" s="38"/>
      <c r="AZ2146" s="38"/>
      <c r="BA2146" s="38"/>
      <c r="BB2146" s="38"/>
      <c r="BC2146" s="38"/>
      <c r="BD2146" s="38"/>
      <c r="BE2146" s="38"/>
      <c r="BF2146" s="38"/>
      <c r="BG2146" s="38"/>
    </row>
    <row r="2147">
      <c r="A2147" s="16"/>
      <c r="B2147" s="16"/>
      <c r="C2147" s="146"/>
      <c r="D2147" s="146"/>
      <c r="E2147" s="16"/>
      <c r="F2147" s="91"/>
      <c r="G2147" s="16"/>
      <c r="H2147" s="320" t="str">
        <f t="shared" si="1"/>
        <v/>
      </c>
      <c r="I2147" s="16"/>
      <c r="J2147" s="16"/>
      <c r="K2147" s="16"/>
      <c r="L2147" s="38"/>
      <c r="M2147" s="16"/>
      <c r="N2147" s="16"/>
      <c r="O2147" s="16"/>
      <c r="P2147" s="15"/>
      <c r="Q2147" s="15"/>
      <c r="R2147" s="16"/>
      <c r="S2147" s="16"/>
      <c r="T2147" s="16"/>
      <c r="U2147" s="16"/>
      <c r="V2147" s="37" t="str">
        <f>IFERROR(__xludf.DUMMYFUNCTION("if(not(iserror(index(split(C2147, "" ""),2))), index(split(C2147, "" ""),1),"""")"),"")</f>
        <v/>
      </c>
      <c r="W2147" s="315" t="str">
        <f>IFERROR(__xludf.DUMMYFUNCTION("if(V2147="""",C2147,if(not(iserror(index(split(C2147, "" ""),3))), index(split(C2147, "" ""),3),index(split(C2147, "" ""),2)))"),"")</f>
        <v/>
      </c>
      <c r="X2147" s="38" t="b">
        <f t="shared" si="2"/>
        <v>0</v>
      </c>
      <c r="Y2147" s="38"/>
      <c r="Z2147" s="40"/>
      <c r="AA2147" s="40"/>
      <c r="AB2147" s="38"/>
      <c r="AC2147" s="38"/>
      <c r="AD2147" s="38"/>
      <c r="AE2147" s="38"/>
      <c r="AF2147" s="38"/>
      <c r="AG2147" s="38"/>
      <c r="AH2147" s="38"/>
      <c r="AI2147" s="38"/>
      <c r="AJ2147" s="38"/>
      <c r="AK2147" s="38"/>
      <c r="AL2147" s="38"/>
      <c r="AM2147" s="38"/>
      <c r="AN2147" s="38"/>
      <c r="AO2147" s="38"/>
      <c r="AP2147" s="38"/>
      <c r="AQ2147" s="38"/>
      <c r="AR2147" s="38"/>
      <c r="AS2147" s="38"/>
      <c r="AT2147" s="38"/>
      <c r="AU2147" s="38"/>
      <c r="AV2147" s="38"/>
      <c r="AW2147" s="38"/>
      <c r="AX2147" s="38"/>
      <c r="AY2147" s="38"/>
      <c r="AZ2147" s="38"/>
      <c r="BA2147" s="38"/>
      <c r="BB2147" s="38"/>
      <c r="BC2147" s="38"/>
      <c r="BD2147" s="38"/>
      <c r="BE2147" s="38"/>
      <c r="BF2147" s="38"/>
      <c r="BG2147" s="38"/>
    </row>
    <row r="2148">
      <c r="A2148" s="16"/>
      <c r="B2148" s="16"/>
      <c r="C2148" s="146"/>
      <c r="D2148" s="146"/>
      <c r="E2148" s="16"/>
      <c r="F2148" s="91"/>
      <c r="G2148" s="16"/>
      <c r="H2148" s="320" t="str">
        <f t="shared" si="1"/>
        <v/>
      </c>
      <c r="I2148" s="16"/>
      <c r="J2148" s="16"/>
      <c r="K2148" s="16"/>
      <c r="L2148" s="38"/>
      <c r="M2148" s="16"/>
      <c r="N2148" s="16"/>
      <c r="O2148" s="16"/>
      <c r="P2148" s="15"/>
      <c r="Q2148" s="15"/>
      <c r="R2148" s="16"/>
      <c r="S2148" s="16"/>
      <c r="T2148" s="16"/>
      <c r="U2148" s="16"/>
      <c r="V2148" s="37" t="str">
        <f>IFERROR(__xludf.DUMMYFUNCTION("if(not(iserror(index(split(C2148, "" ""),2))), index(split(C2148, "" ""),1),"""")"),"")</f>
        <v/>
      </c>
      <c r="W2148" s="315" t="str">
        <f>IFERROR(__xludf.DUMMYFUNCTION("if(V2148="""",C2148,if(not(iserror(index(split(C2148, "" ""),3))), index(split(C2148, "" ""),3),index(split(C2148, "" ""),2)))"),"")</f>
        <v/>
      </c>
      <c r="X2148" s="38" t="b">
        <f t="shared" si="2"/>
        <v>0</v>
      </c>
      <c r="Y2148" s="38"/>
      <c r="Z2148" s="40"/>
      <c r="AA2148" s="40"/>
      <c r="AB2148" s="38"/>
      <c r="AC2148" s="38"/>
      <c r="AD2148" s="38"/>
      <c r="AE2148" s="38"/>
      <c r="AF2148" s="38"/>
      <c r="AG2148" s="38"/>
      <c r="AH2148" s="38"/>
      <c r="AI2148" s="38"/>
      <c r="AJ2148" s="38"/>
      <c r="AK2148" s="38"/>
      <c r="AL2148" s="38"/>
      <c r="AM2148" s="38"/>
      <c r="AN2148" s="38"/>
      <c r="AO2148" s="38"/>
      <c r="AP2148" s="38"/>
      <c r="AQ2148" s="38"/>
      <c r="AR2148" s="38"/>
      <c r="AS2148" s="38"/>
      <c r="AT2148" s="38"/>
      <c r="AU2148" s="38"/>
      <c r="AV2148" s="38"/>
      <c r="AW2148" s="38"/>
      <c r="AX2148" s="38"/>
      <c r="AY2148" s="38"/>
      <c r="AZ2148" s="38"/>
      <c r="BA2148" s="38"/>
      <c r="BB2148" s="38"/>
      <c r="BC2148" s="38"/>
      <c r="BD2148" s="38"/>
      <c r="BE2148" s="38"/>
      <c r="BF2148" s="38"/>
      <c r="BG2148" s="38"/>
    </row>
    <row r="2149">
      <c r="A2149" s="16"/>
      <c r="B2149" s="16"/>
      <c r="C2149" s="146"/>
      <c r="D2149" s="146"/>
      <c r="E2149" s="16"/>
      <c r="F2149" s="91"/>
      <c r="G2149" s="16"/>
      <c r="H2149" s="320" t="str">
        <f t="shared" si="1"/>
        <v/>
      </c>
      <c r="I2149" s="16"/>
      <c r="J2149" s="16"/>
      <c r="K2149" s="16"/>
      <c r="L2149" s="38"/>
      <c r="M2149" s="16"/>
      <c r="N2149" s="16"/>
      <c r="O2149" s="16"/>
      <c r="P2149" s="15"/>
      <c r="Q2149" s="15"/>
      <c r="R2149" s="16"/>
      <c r="S2149" s="16"/>
      <c r="T2149" s="16"/>
      <c r="U2149" s="16"/>
      <c r="V2149" s="37" t="str">
        <f>IFERROR(__xludf.DUMMYFUNCTION("if(not(iserror(index(split(C2149, "" ""),2))), index(split(C2149, "" ""),1),"""")"),"")</f>
        <v/>
      </c>
      <c r="W2149" s="315" t="str">
        <f>IFERROR(__xludf.DUMMYFUNCTION("if(V2149="""",C2149,if(not(iserror(index(split(C2149, "" ""),3))), index(split(C2149, "" ""),3),index(split(C2149, "" ""),2)))"),"")</f>
        <v/>
      </c>
      <c r="X2149" s="38" t="b">
        <f t="shared" si="2"/>
        <v>0</v>
      </c>
      <c r="Y2149" s="38"/>
      <c r="Z2149" s="40"/>
      <c r="AA2149" s="40"/>
      <c r="AB2149" s="38"/>
      <c r="AC2149" s="38"/>
      <c r="AD2149" s="38"/>
      <c r="AE2149" s="38"/>
      <c r="AF2149" s="38"/>
      <c r="AG2149" s="38"/>
      <c r="AH2149" s="38"/>
      <c r="AI2149" s="38"/>
      <c r="AJ2149" s="38"/>
      <c r="AK2149" s="38"/>
      <c r="AL2149" s="38"/>
      <c r="AM2149" s="38"/>
      <c r="AN2149" s="38"/>
      <c r="AO2149" s="38"/>
      <c r="AP2149" s="38"/>
      <c r="AQ2149" s="38"/>
      <c r="AR2149" s="38"/>
      <c r="AS2149" s="38"/>
      <c r="AT2149" s="38"/>
      <c r="AU2149" s="38"/>
      <c r="AV2149" s="38"/>
      <c r="AW2149" s="38"/>
      <c r="AX2149" s="38"/>
      <c r="AY2149" s="38"/>
      <c r="AZ2149" s="38"/>
      <c r="BA2149" s="38"/>
      <c r="BB2149" s="38"/>
      <c r="BC2149" s="38"/>
      <c r="BD2149" s="38"/>
      <c r="BE2149" s="38"/>
      <c r="BF2149" s="38"/>
      <c r="BG2149" s="38"/>
    </row>
    <row r="2150">
      <c r="A2150" s="16"/>
      <c r="B2150" s="16"/>
      <c r="C2150" s="146"/>
      <c r="D2150" s="146"/>
      <c r="E2150" s="16"/>
      <c r="F2150" s="91"/>
      <c r="G2150" s="16"/>
      <c r="H2150" s="320" t="str">
        <f t="shared" si="1"/>
        <v/>
      </c>
      <c r="I2150" s="16"/>
      <c r="J2150" s="16"/>
      <c r="K2150" s="16"/>
      <c r="L2150" s="38"/>
      <c r="M2150" s="16"/>
      <c r="N2150" s="16"/>
      <c r="O2150" s="16"/>
      <c r="P2150" s="15"/>
      <c r="Q2150" s="15"/>
      <c r="R2150" s="16"/>
      <c r="S2150" s="16"/>
      <c r="T2150" s="16"/>
      <c r="U2150" s="16"/>
      <c r="V2150" s="37" t="str">
        <f>IFERROR(__xludf.DUMMYFUNCTION("if(not(iserror(index(split(C2150, "" ""),2))), index(split(C2150, "" ""),1),"""")"),"")</f>
        <v/>
      </c>
      <c r="W2150" s="315" t="str">
        <f>IFERROR(__xludf.DUMMYFUNCTION("if(V2150="""",C2150,if(not(iserror(index(split(C2150, "" ""),3))), index(split(C2150, "" ""),3),index(split(C2150, "" ""),2)))"),"")</f>
        <v/>
      </c>
      <c r="X2150" s="38" t="b">
        <f t="shared" si="2"/>
        <v>0</v>
      </c>
      <c r="Y2150" s="38"/>
      <c r="Z2150" s="40"/>
      <c r="AA2150" s="40"/>
      <c r="AB2150" s="38"/>
      <c r="AC2150" s="38"/>
      <c r="AD2150" s="38"/>
      <c r="AE2150" s="38"/>
      <c r="AF2150" s="38"/>
      <c r="AG2150" s="38"/>
      <c r="AH2150" s="38"/>
      <c r="AI2150" s="38"/>
      <c r="AJ2150" s="38"/>
      <c r="AK2150" s="38"/>
      <c r="AL2150" s="38"/>
      <c r="AM2150" s="38"/>
      <c r="AN2150" s="38"/>
      <c r="AO2150" s="38"/>
      <c r="AP2150" s="38"/>
      <c r="AQ2150" s="38"/>
      <c r="AR2150" s="38"/>
      <c r="AS2150" s="38"/>
      <c r="AT2150" s="38"/>
      <c r="AU2150" s="38"/>
      <c r="AV2150" s="38"/>
      <c r="AW2150" s="38"/>
      <c r="AX2150" s="38"/>
      <c r="AY2150" s="38"/>
      <c r="AZ2150" s="38"/>
      <c r="BA2150" s="38"/>
      <c r="BB2150" s="38"/>
      <c r="BC2150" s="38"/>
      <c r="BD2150" s="38"/>
      <c r="BE2150" s="38"/>
      <c r="BF2150" s="38"/>
      <c r="BG2150" s="38"/>
    </row>
    <row r="2151">
      <c r="A2151" s="16"/>
      <c r="B2151" s="16"/>
      <c r="C2151" s="146"/>
      <c r="D2151" s="146"/>
      <c r="E2151" s="16"/>
      <c r="F2151" s="91"/>
      <c r="G2151" s="16"/>
      <c r="H2151" s="320" t="str">
        <f t="shared" si="1"/>
        <v/>
      </c>
      <c r="I2151" s="16"/>
      <c r="J2151" s="16"/>
      <c r="K2151" s="16"/>
      <c r="L2151" s="38"/>
      <c r="M2151" s="16"/>
      <c r="N2151" s="16"/>
      <c r="O2151" s="16"/>
      <c r="P2151" s="15"/>
      <c r="Q2151" s="15"/>
      <c r="R2151" s="16"/>
      <c r="S2151" s="16"/>
      <c r="T2151" s="16"/>
      <c r="U2151" s="16"/>
      <c r="V2151" s="37" t="str">
        <f>IFERROR(__xludf.DUMMYFUNCTION("if(not(iserror(index(split(C2151, "" ""),2))), index(split(C2151, "" ""),1),"""")"),"")</f>
        <v/>
      </c>
      <c r="W2151" s="315" t="str">
        <f>IFERROR(__xludf.DUMMYFUNCTION("if(V2151="""",C2151,if(not(iserror(index(split(C2151, "" ""),3))), index(split(C2151, "" ""),3),index(split(C2151, "" ""),2)))"),"")</f>
        <v/>
      </c>
      <c r="X2151" s="38" t="b">
        <f t="shared" si="2"/>
        <v>0</v>
      </c>
      <c r="Y2151" s="38"/>
      <c r="Z2151" s="40"/>
      <c r="AA2151" s="40"/>
      <c r="AB2151" s="38"/>
      <c r="AC2151" s="38"/>
      <c r="AD2151" s="38"/>
      <c r="AE2151" s="38"/>
      <c r="AF2151" s="38"/>
      <c r="AG2151" s="38"/>
      <c r="AH2151" s="38"/>
      <c r="AI2151" s="38"/>
      <c r="AJ2151" s="38"/>
      <c r="AK2151" s="38"/>
      <c r="AL2151" s="38"/>
      <c r="AM2151" s="38"/>
      <c r="AN2151" s="38"/>
      <c r="AO2151" s="38"/>
      <c r="AP2151" s="38"/>
      <c r="AQ2151" s="38"/>
      <c r="AR2151" s="38"/>
      <c r="AS2151" s="38"/>
      <c r="AT2151" s="38"/>
      <c r="AU2151" s="38"/>
      <c r="AV2151" s="38"/>
      <c r="AW2151" s="38"/>
      <c r="AX2151" s="38"/>
      <c r="AY2151" s="38"/>
      <c r="AZ2151" s="38"/>
      <c r="BA2151" s="38"/>
      <c r="BB2151" s="38"/>
      <c r="BC2151" s="38"/>
      <c r="BD2151" s="38"/>
      <c r="BE2151" s="38"/>
      <c r="BF2151" s="38"/>
      <c r="BG2151" s="38"/>
    </row>
    <row r="2152">
      <c r="A2152" s="16"/>
      <c r="B2152" s="16"/>
      <c r="C2152" s="146"/>
      <c r="D2152" s="146"/>
      <c r="E2152" s="16"/>
      <c r="F2152" s="91"/>
      <c r="G2152" s="16"/>
      <c r="H2152" s="320" t="str">
        <f t="shared" si="1"/>
        <v/>
      </c>
      <c r="I2152" s="16"/>
      <c r="J2152" s="16"/>
      <c r="K2152" s="16"/>
      <c r="L2152" s="38"/>
      <c r="M2152" s="16"/>
      <c r="N2152" s="16"/>
      <c r="O2152" s="16"/>
      <c r="P2152" s="15"/>
      <c r="Q2152" s="15"/>
      <c r="R2152" s="16"/>
      <c r="S2152" s="16"/>
      <c r="T2152" s="16"/>
      <c r="U2152" s="16"/>
      <c r="V2152" s="37" t="str">
        <f>IFERROR(__xludf.DUMMYFUNCTION("if(not(iserror(index(split(C2152, "" ""),2))), index(split(C2152, "" ""),1),"""")"),"")</f>
        <v/>
      </c>
      <c r="W2152" s="315" t="str">
        <f>IFERROR(__xludf.DUMMYFUNCTION("if(V2152="""",C2152,if(not(iserror(index(split(C2152, "" ""),3))), index(split(C2152, "" ""),3),index(split(C2152, "" ""),2)))"),"")</f>
        <v/>
      </c>
      <c r="X2152" s="38" t="b">
        <f t="shared" si="2"/>
        <v>0</v>
      </c>
      <c r="Y2152" s="38"/>
      <c r="Z2152" s="40"/>
      <c r="AA2152" s="40"/>
      <c r="AB2152" s="38"/>
      <c r="AC2152" s="38"/>
      <c r="AD2152" s="38"/>
      <c r="AE2152" s="38"/>
      <c r="AF2152" s="38"/>
      <c r="AG2152" s="38"/>
      <c r="AH2152" s="38"/>
      <c r="AI2152" s="38"/>
      <c r="AJ2152" s="38"/>
      <c r="AK2152" s="38"/>
      <c r="AL2152" s="38"/>
      <c r="AM2152" s="38"/>
      <c r="AN2152" s="38"/>
      <c r="AO2152" s="38"/>
      <c r="AP2152" s="38"/>
      <c r="AQ2152" s="38"/>
      <c r="AR2152" s="38"/>
      <c r="AS2152" s="38"/>
      <c r="AT2152" s="38"/>
      <c r="AU2152" s="38"/>
      <c r="AV2152" s="38"/>
      <c r="AW2152" s="38"/>
      <c r="AX2152" s="38"/>
      <c r="AY2152" s="38"/>
      <c r="AZ2152" s="38"/>
      <c r="BA2152" s="38"/>
      <c r="BB2152" s="38"/>
      <c r="BC2152" s="38"/>
      <c r="BD2152" s="38"/>
      <c r="BE2152" s="38"/>
      <c r="BF2152" s="38"/>
      <c r="BG2152" s="38"/>
    </row>
    <row r="2153">
      <c r="A2153" s="16"/>
      <c r="B2153" s="16"/>
      <c r="C2153" s="146"/>
      <c r="D2153" s="146"/>
      <c r="E2153" s="16"/>
      <c r="F2153" s="91"/>
      <c r="G2153" s="16"/>
      <c r="H2153" s="320" t="str">
        <f t="shared" si="1"/>
        <v/>
      </c>
      <c r="I2153" s="16"/>
      <c r="J2153" s="16"/>
      <c r="K2153" s="16"/>
      <c r="L2153" s="38"/>
      <c r="M2153" s="16"/>
      <c r="N2153" s="16"/>
      <c r="O2153" s="16"/>
      <c r="P2153" s="15"/>
      <c r="Q2153" s="15"/>
      <c r="R2153" s="16"/>
      <c r="S2153" s="16"/>
      <c r="T2153" s="16"/>
      <c r="U2153" s="16"/>
      <c r="V2153" s="37" t="str">
        <f>IFERROR(__xludf.DUMMYFUNCTION("if(not(iserror(index(split(C2153, "" ""),2))), index(split(C2153, "" ""),1),"""")"),"")</f>
        <v/>
      </c>
      <c r="W2153" s="315" t="str">
        <f>IFERROR(__xludf.DUMMYFUNCTION("if(V2153="""",C2153,if(not(iserror(index(split(C2153, "" ""),3))), index(split(C2153, "" ""),3),index(split(C2153, "" ""),2)))"),"")</f>
        <v/>
      </c>
      <c r="X2153" s="38" t="b">
        <f t="shared" si="2"/>
        <v>0</v>
      </c>
      <c r="Y2153" s="38"/>
      <c r="Z2153" s="40"/>
      <c r="AA2153" s="40"/>
      <c r="AB2153" s="38"/>
      <c r="AC2153" s="38"/>
      <c r="AD2153" s="38"/>
      <c r="AE2153" s="38"/>
      <c r="AF2153" s="38"/>
      <c r="AG2153" s="38"/>
      <c r="AH2153" s="38"/>
      <c r="AI2153" s="38"/>
      <c r="AJ2153" s="38"/>
      <c r="AK2153" s="38"/>
      <c r="AL2153" s="38"/>
      <c r="AM2153" s="38"/>
      <c r="AN2153" s="38"/>
      <c r="AO2153" s="38"/>
      <c r="AP2153" s="38"/>
      <c r="AQ2153" s="38"/>
      <c r="AR2153" s="38"/>
      <c r="AS2153" s="38"/>
      <c r="AT2153" s="38"/>
      <c r="AU2153" s="38"/>
      <c r="AV2153" s="38"/>
      <c r="AW2153" s="38"/>
      <c r="AX2153" s="38"/>
      <c r="AY2153" s="38"/>
      <c r="AZ2153" s="38"/>
      <c r="BA2153" s="38"/>
      <c r="BB2153" s="38"/>
      <c r="BC2153" s="38"/>
      <c r="BD2153" s="38"/>
      <c r="BE2153" s="38"/>
      <c r="BF2153" s="38"/>
      <c r="BG2153" s="38"/>
    </row>
    <row r="2154">
      <c r="A2154" s="16"/>
      <c r="B2154" s="16"/>
      <c r="C2154" s="146"/>
      <c r="D2154" s="146"/>
      <c r="E2154" s="16"/>
      <c r="F2154" s="91"/>
      <c r="G2154" s="16"/>
      <c r="H2154" s="320" t="str">
        <f t="shared" si="1"/>
        <v/>
      </c>
      <c r="I2154" s="16"/>
      <c r="J2154" s="16"/>
      <c r="K2154" s="16"/>
      <c r="L2154" s="38"/>
      <c r="M2154" s="16"/>
      <c r="N2154" s="16"/>
      <c r="O2154" s="16"/>
      <c r="P2154" s="15"/>
      <c r="Q2154" s="15"/>
      <c r="R2154" s="16"/>
      <c r="S2154" s="16"/>
      <c r="T2154" s="16"/>
      <c r="U2154" s="16"/>
      <c r="V2154" s="37" t="str">
        <f>IFERROR(__xludf.DUMMYFUNCTION("if(not(iserror(index(split(C2154, "" ""),2))), index(split(C2154, "" ""),1),"""")"),"")</f>
        <v/>
      </c>
      <c r="W2154" s="315" t="str">
        <f>IFERROR(__xludf.DUMMYFUNCTION("if(V2154="""",C2154,if(not(iserror(index(split(C2154, "" ""),3))), index(split(C2154, "" ""),3),index(split(C2154, "" ""),2)))"),"")</f>
        <v/>
      </c>
      <c r="X2154" s="38" t="b">
        <f t="shared" si="2"/>
        <v>0</v>
      </c>
      <c r="Y2154" s="38"/>
      <c r="Z2154" s="40"/>
      <c r="AA2154" s="40"/>
      <c r="AB2154" s="38"/>
      <c r="AC2154" s="38"/>
      <c r="AD2154" s="38"/>
      <c r="AE2154" s="38"/>
      <c r="AF2154" s="38"/>
      <c r="AG2154" s="38"/>
      <c r="AH2154" s="38"/>
      <c r="AI2154" s="38"/>
      <c r="AJ2154" s="38"/>
      <c r="AK2154" s="38"/>
      <c r="AL2154" s="38"/>
      <c r="AM2154" s="38"/>
      <c r="AN2154" s="38"/>
      <c r="AO2154" s="38"/>
      <c r="AP2154" s="38"/>
      <c r="AQ2154" s="38"/>
      <c r="AR2154" s="38"/>
      <c r="AS2154" s="38"/>
      <c r="AT2154" s="38"/>
      <c r="AU2154" s="38"/>
      <c r="AV2154" s="38"/>
      <c r="AW2154" s="38"/>
      <c r="AX2154" s="38"/>
      <c r="AY2154" s="38"/>
      <c r="AZ2154" s="38"/>
      <c r="BA2154" s="38"/>
      <c r="BB2154" s="38"/>
      <c r="BC2154" s="38"/>
      <c r="BD2154" s="38"/>
      <c r="BE2154" s="38"/>
      <c r="BF2154" s="38"/>
      <c r="BG2154" s="38"/>
    </row>
    <row r="2155">
      <c r="A2155" s="16"/>
      <c r="B2155" s="16"/>
      <c r="C2155" s="146"/>
      <c r="D2155" s="146"/>
      <c r="E2155" s="16"/>
      <c r="F2155" s="91"/>
      <c r="G2155" s="16"/>
      <c r="H2155" s="320" t="str">
        <f t="shared" si="1"/>
        <v/>
      </c>
      <c r="I2155" s="16"/>
      <c r="J2155" s="16"/>
      <c r="K2155" s="16"/>
      <c r="L2155" s="38"/>
      <c r="M2155" s="16"/>
      <c r="N2155" s="16"/>
      <c r="O2155" s="16"/>
      <c r="P2155" s="15"/>
      <c r="Q2155" s="15"/>
      <c r="R2155" s="16"/>
      <c r="S2155" s="16"/>
      <c r="T2155" s="16"/>
      <c r="U2155" s="16"/>
      <c r="V2155" s="37" t="str">
        <f>IFERROR(__xludf.DUMMYFUNCTION("if(not(iserror(index(split(C2155, "" ""),2))), index(split(C2155, "" ""),1),"""")"),"")</f>
        <v/>
      </c>
      <c r="W2155" s="315" t="str">
        <f>IFERROR(__xludf.DUMMYFUNCTION("if(V2155="""",C2155,if(not(iserror(index(split(C2155, "" ""),3))), index(split(C2155, "" ""),3),index(split(C2155, "" ""),2)))"),"")</f>
        <v/>
      </c>
      <c r="X2155" s="38" t="b">
        <f t="shared" si="2"/>
        <v>0</v>
      </c>
      <c r="Y2155" s="38"/>
      <c r="Z2155" s="40"/>
      <c r="AA2155" s="40"/>
      <c r="AB2155" s="38"/>
      <c r="AC2155" s="38"/>
      <c r="AD2155" s="38"/>
      <c r="AE2155" s="38"/>
      <c r="AF2155" s="38"/>
      <c r="AG2155" s="38"/>
      <c r="AH2155" s="38"/>
      <c r="AI2155" s="38"/>
      <c r="AJ2155" s="38"/>
      <c r="AK2155" s="38"/>
      <c r="AL2155" s="38"/>
      <c r="AM2155" s="38"/>
      <c r="AN2155" s="38"/>
      <c r="AO2155" s="38"/>
      <c r="AP2155" s="38"/>
      <c r="AQ2155" s="38"/>
      <c r="AR2155" s="38"/>
      <c r="AS2155" s="38"/>
      <c r="AT2155" s="38"/>
      <c r="AU2155" s="38"/>
      <c r="AV2155" s="38"/>
      <c r="AW2155" s="38"/>
      <c r="AX2155" s="38"/>
      <c r="AY2155" s="38"/>
      <c r="AZ2155" s="38"/>
      <c r="BA2155" s="38"/>
      <c r="BB2155" s="38"/>
      <c r="BC2155" s="38"/>
      <c r="BD2155" s="38"/>
      <c r="BE2155" s="38"/>
      <c r="BF2155" s="38"/>
      <c r="BG2155" s="38"/>
    </row>
    <row r="2156">
      <c r="A2156" s="16"/>
      <c r="B2156" s="16"/>
      <c r="C2156" s="146"/>
      <c r="D2156" s="146"/>
      <c r="E2156" s="16"/>
      <c r="F2156" s="91"/>
      <c r="G2156" s="16"/>
      <c r="H2156" s="320" t="str">
        <f t="shared" si="1"/>
        <v/>
      </c>
      <c r="I2156" s="16"/>
      <c r="J2156" s="16"/>
      <c r="K2156" s="16"/>
      <c r="L2156" s="38"/>
      <c r="M2156" s="16"/>
      <c r="N2156" s="16"/>
      <c r="O2156" s="16"/>
      <c r="P2156" s="15"/>
      <c r="Q2156" s="15"/>
      <c r="R2156" s="16"/>
      <c r="S2156" s="16"/>
      <c r="T2156" s="16"/>
      <c r="U2156" s="16"/>
      <c r="V2156" s="37" t="str">
        <f>IFERROR(__xludf.DUMMYFUNCTION("if(not(iserror(index(split(C2156, "" ""),2))), index(split(C2156, "" ""),1),"""")"),"")</f>
        <v/>
      </c>
      <c r="W2156" s="315" t="str">
        <f>IFERROR(__xludf.DUMMYFUNCTION("if(V2156="""",C2156,if(not(iserror(index(split(C2156, "" ""),3))), index(split(C2156, "" ""),3),index(split(C2156, "" ""),2)))"),"")</f>
        <v/>
      </c>
      <c r="X2156" s="38" t="b">
        <f t="shared" si="2"/>
        <v>0</v>
      </c>
      <c r="Y2156" s="38"/>
      <c r="Z2156" s="40"/>
      <c r="AA2156" s="40"/>
      <c r="AB2156" s="38"/>
      <c r="AC2156" s="38"/>
      <c r="AD2156" s="38"/>
      <c r="AE2156" s="38"/>
      <c r="AF2156" s="38"/>
      <c r="AG2156" s="38"/>
      <c r="AH2156" s="38"/>
      <c r="AI2156" s="38"/>
      <c r="AJ2156" s="38"/>
      <c r="AK2156" s="38"/>
      <c r="AL2156" s="38"/>
      <c r="AM2156" s="38"/>
      <c r="AN2156" s="38"/>
      <c r="AO2156" s="38"/>
      <c r="AP2156" s="38"/>
      <c r="AQ2156" s="38"/>
      <c r="AR2156" s="38"/>
      <c r="AS2156" s="38"/>
      <c r="AT2156" s="38"/>
      <c r="AU2156" s="38"/>
      <c r="AV2156" s="38"/>
      <c r="AW2156" s="38"/>
      <c r="AX2156" s="38"/>
      <c r="AY2156" s="38"/>
      <c r="AZ2156" s="38"/>
      <c r="BA2156" s="38"/>
      <c r="BB2156" s="38"/>
      <c r="BC2156" s="38"/>
      <c r="BD2156" s="38"/>
      <c r="BE2156" s="38"/>
      <c r="BF2156" s="38"/>
      <c r="BG2156" s="38"/>
    </row>
    <row r="2157">
      <c r="A2157" s="16"/>
      <c r="B2157" s="16"/>
      <c r="C2157" s="146"/>
      <c r="D2157" s="146"/>
      <c r="E2157" s="16"/>
      <c r="F2157" s="91"/>
      <c r="G2157" s="16"/>
      <c r="H2157" s="320" t="str">
        <f t="shared" si="1"/>
        <v/>
      </c>
      <c r="I2157" s="16"/>
      <c r="J2157" s="16"/>
      <c r="K2157" s="16"/>
      <c r="L2157" s="38"/>
      <c r="M2157" s="16"/>
      <c r="N2157" s="16"/>
      <c r="O2157" s="16"/>
      <c r="P2157" s="15"/>
      <c r="Q2157" s="15"/>
      <c r="R2157" s="16"/>
      <c r="S2157" s="16"/>
      <c r="T2157" s="16"/>
      <c r="U2157" s="16"/>
      <c r="V2157" s="37" t="str">
        <f>IFERROR(__xludf.DUMMYFUNCTION("if(not(iserror(index(split(C2157, "" ""),2))), index(split(C2157, "" ""),1),"""")"),"")</f>
        <v/>
      </c>
      <c r="W2157" s="315" t="str">
        <f>IFERROR(__xludf.DUMMYFUNCTION("if(V2157="""",C2157,if(not(iserror(index(split(C2157, "" ""),3))), index(split(C2157, "" ""),3),index(split(C2157, "" ""),2)))"),"")</f>
        <v/>
      </c>
      <c r="X2157" s="38" t="b">
        <f t="shared" si="2"/>
        <v>0</v>
      </c>
      <c r="Y2157" s="38"/>
      <c r="Z2157" s="40"/>
      <c r="AA2157" s="40"/>
      <c r="AB2157" s="38"/>
      <c r="AC2157" s="38"/>
      <c r="AD2157" s="38"/>
      <c r="AE2157" s="38"/>
      <c r="AF2157" s="38"/>
      <c r="AG2157" s="38"/>
      <c r="AH2157" s="38"/>
      <c r="AI2157" s="38"/>
      <c r="AJ2157" s="38"/>
      <c r="AK2157" s="38"/>
      <c r="AL2157" s="38"/>
      <c r="AM2157" s="38"/>
      <c r="AN2157" s="38"/>
      <c r="AO2157" s="38"/>
      <c r="AP2157" s="38"/>
      <c r="AQ2157" s="38"/>
      <c r="AR2157" s="38"/>
      <c r="AS2157" s="38"/>
      <c r="AT2157" s="38"/>
      <c r="AU2157" s="38"/>
      <c r="AV2157" s="38"/>
      <c r="AW2157" s="38"/>
      <c r="AX2157" s="38"/>
      <c r="AY2157" s="38"/>
      <c r="AZ2157" s="38"/>
      <c r="BA2157" s="38"/>
      <c r="BB2157" s="38"/>
      <c r="BC2157" s="38"/>
      <c r="BD2157" s="38"/>
      <c r="BE2157" s="38"/>
      <c r="BF2157" s="38"/>
      <c r="BG2157" s="38"/>
    </row>
    <row r="2158">
      <c r="A2158" s="16"/>
      <c r="B2158" s="16"/>
      <c r="C2158" s="146"/>
      <c r="D2158" s="146"/>
      <c r="E2158" s="16"/>
      <c r="F2158" s="91"/>
      <c r="G2158" s="16"/>
      <c r="H2158" s="320" t="str">
        <f t="shared" si="1"/>
        <v/>
      </c>
      <c r="I2158" s="16"/>
      <c r="J2158" s="16"/>
      <c r="K2158" s="16"/>
      <c r="L2158" s="38"/>
      <c r="M2158" s="16"/>
      <c r="N2158" s="16"/>
      <c r="O2158" s="16"/>
      <c r="P2158" s="15"/>
      <c r="Q2158" s="15"/>
      <c r="R2158" s="16"/>
      <c r="S2158" s="16"/>
      <c r="T2158" s="16"/>
      <c r="U2158" s="16"/>
      <c r="V2158" s="37" t="str">
        <f>IFERROR(__xludf.DUMMYFUNCTION("if(not(iserror(index(split(C2158, "" ""),2))), index(split(C2158, "" ""),1),"""")"),"")</f>
        <v/>
      </c>
      <c r="W2158" s="315" t="str">
        <f>IFERROR(__xludf.DUMMYFUNCTION("if(V2158="""",C2158,if(not(iserror(index(split(C2158, "" ""),3))), index(split(C2158, "" ""),3),index(split(C2158, "" ""),2)))"),"")</f>
        <v/>
      </c>
      <c r="X2158" s="38" t="b">
        <f t="shared" si="2"/>
        <v>0</v>
      </c>
      <c r="Y2158" s="38"/>
      <c r="Z2158" s="40"/>
      <c r="AA2158" s="40"/>
      <c r="AB2158" s="38"/>
      <c r="AC2158" s="38"/>
      <c r="AD2158" s="38"/>
      <c r="AE2158" s="38"/>
      <c r="AF2158" s="38"/>
      <c r="AG2158" s="38"/>
      <c r="AH2158" s="38"/>
      <c r="AI2158" s="38"/>
      <c r="AJ2158" s="38"/>
      <c r="AK2158" s="38"/>
      <c r="AL2158" s="38"/>
      <c r="AM2158" s="38"/>
      <c r="AN2158" s="38"/>
      <c r="AO2158" s="38"/>
      <c r="AP2158" s="38"/>
      <c r="AQ2158" s="38"/>
      <c r="AR2158" s="38"/>
      <c r="AS2158" s="38"/>
      <c r="AT2158" s="38"/>
      <c r="AU2158" s="38"/>
      <c r="AV2158" s="38"/>
      <c r="AW2158" s="38"/>
      <c r="AX2158" s="38"/>
      <c r="AY2158" s="38"/>
      <c r="AZ2158" s="38"/>
      <c r="BA2158" s="38"/>
      <c r="BB2158" s="38"/>
      <c r="BC2158" s="38"/>
      <c r="BD2158" s="38"/>
      <c r="BE2158" s="38"/>
      <c r="BF2158" s="38"/>
      <c r="BG2158" s="38"/>
    </row>
    <row r="2159">
      <c r="A2159" s="16"/>
      <c r="B2159" s="16"/>
      <c r="C2159" s="146"/>
      <c r="D2159" s="146"/>
      <c r="E2159" s="16"/>
      <c r="F2159" s="91"/>
      <c r="G2159" s="16"/>
      <c r="H2159" s="320" t="str">
        <f t="shared" si="1"/>
        <v/>
      </c>
      <c r="I2159" s="16"/>
      <c r="J2159" s="16"/>
      <c r="K2159" s="16"/>
      <c r="L2159" s="38"/>
      <c r="M2159" s="16"/>
      <c r="N2159" s="16"/>
      <c r="O2159" s="16"/>
      <c r="P2159" s="15"/>
      <c r="Q2159" s="15"/>
      <c r="R2159" s="16"/>
      <c r="S2159" s="16"/>
      <c r="T2159" s="16"/>
      <c r="U2159" s="16"/>
      <c r="V2159" s="37" t="str">
        <f>IFERROR(__xludf.DUMMYFUNCTION("if(not(iserror(index(split(C2159, "" ""),2))), index(split(C2159, "" ""),1),"""")"),"")</f>
        <v/>
      </c>
      <c r="W2159" s="315" t="str">
        <f>IFERROR(__xludf.DUMMYFUNCTION("if(V2159="""",C2159,if(not(iserror(index(split(C2159, "" ""),3))), index(split(C2159, "" ""),3),index(split(C2159, "" ""),2)))"),"")</f>
        <v/>
      </c>
      <c r="X2159" s="38" t="b">
        <f t="shared" si="2"/>
        <v>0</v>
      </c>
      <c r="Y2159" s="38"/>
      <c r="Z2159" s="40"/>
      <c r="AA2159" s="40"/>
      <c r="AB2159" s="38"/>
      <c r="AC2159" s="38"/>
      <c r="AD2159" s="38"/>
      <c r="AE2159" s="38"/>
      <c r="AF2159" s="38"/>
      <c r="AG2159" s="38"/>
      <c r="AH2159" s="38"/>
      <c r="AI2159" s="38"/>
      <c r="AJ2159" s="38"/>
      <c r="AK2159" s="38"/>
      <c r="AL2159" s="38"/>
      <c r="AM2159" s="38"/>
      <c r="AN2159" s="38"/>
      <c r="AO2159" s="38"/>
      <c r="AP2159" s="38"/>
      <c r="AQ2159" s="38"/>
      <c r="AR2159" s="38"/>
      <c r="AS2159" s="38"/>
      <c r="AT2159" s="38"/>
      <c r="AU2159" s="38"/>
      <c r="AV2159" s="38"/>
      <c r="AW2159" s="38"/>
      <c r="AX2159" s="38"/>
      <c r="AY2159" s="38"/>
      <c r="AZ2159" s="38"/>
      <c r="BA2159" s="38"/>
      <c r="BB2159" s="38"/>
      <c r="BC2159" s="38"/>
      <c r="BD2159" s="38"/>
      <c r="BE2159" s="38"/>
      <c r="BF2159" s="38"/>
      <c r="BG2159" s="38"/>
    </row>
    <row r="2160">
      <c r="A2160" s="16"/>
      <c r="B2160" s="16"/>
      <c r="C2160" s="146"/>
      <c r="D2160" s="146"/>
      <c r="E2160" s="16"/>
      <c r="F2160" s="91"/>
      <c r="G2160" s="16"/>
      <c r="H2160" s="320" t="str">
        <f t="shared" si="1"/>
        <v/>
      </c>
      <c r="I2160" s="16"/>
      <c r="J2160" s="16"/>
      <c r="K2160" s="16"/>
      <c r="L2160" s="38"/>
      <c r="M2160" s="16"/>
      <c r="N2160" s="16"/>
      <c r="O2160" s="16"/>
      <c r="P2160" s="15"/>
      <c r="Q2160" s="15"/>
      <c r="R2160" s="16"/>
      <c r="S2160" s="16"/>
      <c r="T2160" s="16"/>
      <c r="U2160" s="16"/>
      <c r="V2160" s="37" t="str">
        <f>IFERROR(__xludf.DUMMYFUNCTION("if(not(iserror(index(split(C2160, "" ""),2))), index(split(C2160, "" ""),1),"""")"),"")</f>
        <v/>
      </c>
      <c r="W2160" s="315" t="str">
        <f>IFERROR(__xludf.DUMMYFUNCTION("if(V2160="""",C2160,if(not(iserror(index(split(C2160, "" ""),3))), index(split(C2160, "" ""),3),index(split(C2160, "" ""),2)))"),"")</f>
        <v/>
      </c>
      <c r="X2160" s="38" t="b">
        <f t="shared" si="2"/>
        <v>0</v>
      </c>
      <c r="Y2160" s="38"/>
      <c r="Z2160" s="40"/>
      <c r="AA2160" s="40"/>
      <c r="AB2160" s="38"/>
      <c r="AC2160" s="38"/>
      <c r="AD2160" s="38"/>
      <c r="AE2160" s="38"/>
      <c r="AF2160" s="38"/>
      <c r="AG2160" s="38"/>
      <c r="AH2160" s="38"/>
      <c r="AI2160" s="38"/>
      <c r="AJ2160" s="38"/>
      <c r="AK2160" s="38"/>
      <c r="AL2160" s="38"/>
      <c r="AM2160" s="38"/>
      <c r="AN2160" s="38"/>
      <c r="AO2160" s="38"/>
      <c r="AP2160" s="38"/>
      <c r="AQ2160" s="38"/>
      <c r="AR2160" s="38"/>
      <c r="AS2160" s="38"/>
      <c r="AT2160" s="38"/>
      <c r="AU2160" s="38"/>
      <c r="AV2160" s="38"/>
      <c r="AW2160" s="38"/>
      <c r="AX2160" s="38"/>
      <c r="AY2160" s="38"/>
      <c r="AZ2160" s="38"/>
      <c r="BA2160" s="38"/>
      <c r="BB2160" s="38"/>
      <c r="BC2160" s="38"/>
      <c r="BD2160" s="38"/>
      <c r="BE2160" s="38"/>
      <c r="BF2160" s="38"/>
      <c r="BG2160" s="38"/>
    </row>
    <row r="2161">
      <c r="A2161" s="16"/>
      <c r="B2161" s="16"/>
      <c r="C2161" s="146"/>
      <c r="D2161" s="146"/>
      <c r="E2161" s="16"/>
      <c r="F2161" s="91"/>
      <c r="G2161" s="16"/>
      <c r="H2161" s="320" t="str">
        <f t="shared" si="1"/>
        <v/>
      </c>
      <c r="I2161" s="16"/>
      <c r="J2161" s="16"/>
      <c r="K2161" s="16"/>
      <c r="L2161" s="38"/>
      <c r="M2161" s="16"/>
      <c r="N2161" s="16"/>
      <c r="O2161" s="16"/>
      <c r="P2161" s="15"/>
      <c r="Q2161" s="15"/>
      <c r="R2161" s="16"/>
      <c r="S2161" s="16"/>
      <c r="T2161" s="16"/>
      <c r="U2161" s="16"/>
      <c r="V2161" s="37" t="str">
        <f>IFERROR(__xludf.DUMMYFUNCTION("if(not(iserror(index(split(C2161, "" ""),2))), index(split(C2161, "" ""),1),"""")"),"")</f>
        <v/>
      </c>
      <c r="W2161" s="315" t="str">
        <f>IFERROR(__xludf.DUMMYFUNCTION("if(V2161="""",C2161,if(not(iserror(index(split(C2161, "" ""),3))), index(split(C2161, "" ""),3),index(split(C2161, "" ""),2)))"),"")</f>
        <v/>
      </c>
      <c r="X2161" s="38" t="b">
        <f t="shared" si="2"/>
        <v>0</v>
      </c>
      <c r="Y2161" s="38"/>
      <c r="Z2161" s="40"/>
      <c r="AA2161" s="40"/>
      <c r="AB2161" s="38"/>
      <c r="AC2161" s="38"/>
      <c r="AD2161" s="38"/>
      <c r="AE2161" s="38"/>
      <c r="AF2161" s="38"/>
      <c r="AG2161" s="38"/>
      <c r="AH2161" s="38"/>
      <c r="AI2161" s="38"/>
      <c r="AJ2161" s="38"/>
      <c r="AK2161" s="38"/>
      <c r="AL2161" s="38"/>
      <c r="AM2161" s="38"/>
      <c r="AN2161" s="38"/>
      <c r="AO2161" s="38"/>
      <c r="AP2161" s="38"/>
      <c r="AQ2161" s="38"/>
      <c r="AR2161" s="38"/>
      <c r="AS2161" s="38"/>
      <c r="AT2161" s="38"/>
      <c r="AU2161" s="38"/>
      <c r="AV2161" s="38"/>
      <c r="AW2161" s="38"/>
      <c r="AX2161" s="38"/>
      <c r="AY2161" s="38"/>
      <c r="AZ2161" s="38"/>
      <c r="BA2161" s="38"/>
      <c r="BB2161" s="38"/>
      <c r="BC2161" s="38"/>
      <c r="BD2161" s="38"/>
      <c r="BE2161" s="38"/>
      <c r="BF2161" s="38"/>
      <c r="BG2161" s="38"/>
    </row>
    <row r="2162">
      <c r="A2162" s="16"/>
      <c r="B2162" s="16"/>
      <c r="C2162" s="146"/>
      <c r="D2162" s="146"/>
      <c r="E2162" s="16"/>
      <c r="F2162" s="91"/>
      <c r="G2162" s="16"/>
      <c r="H2162" s="320" t="str">
        <f t="shared" si="1"/>
        <v/>
      </c>
      <c r="I2162" s="16"/>
      <c r="J2162" s="16"/>
      <c r="K2162" s="16"/>
      <c r="L2162" s="38"/>
      <c r="M2162" s="16"/>
      <c r="N2162" s="16"/>
      <c r="O2162" s="16"/>
      <c r="P2162" s="15"/>
      <c r="Q2162" s="15"/>
      <c r="R2162" s="16"/>
      <c r="S2162" s="16"/>
      <c r="T2162" s="16"/>
      <c r="U2162" s="16"/>
      <c r="V2162" s="37" t="str">
        <f>IFERROR(__xludf.DUMMYFUNCTION("if(not(iserror(index(split(C2162, "" ""),2))), index(split(C2162, "" ""),1),"""")"),"")</f>
        <v/>
      </c>
      <c r="W2162" s="315" t="str">
        <f>IFERROR(__xludf.DUMMYFUNCTION("if(V2162="""",C2162,if(not(iserror(index(split(C2162, "" ""),3))), index(split(C2162, "" ""),3),index(split(C2162, "" ""),2)))"),"")</f>
        <v/>
      </c>
      <c r="X2162" s="38" t="b">
        <f t="shared" si="2"/>
        <v>0</v>
      </c>
      <c r="Y2162" s="38"/>
      <c r="Z2162" s="40"/>
      <c r="AA2162" s="40"/>
      <c r="AB2162" s="38"/>
      <c r="AC2162" s="38"/>
      <c r="AD2162" s="38"/>
      <c r="AE2162" s="38"/>
      <c r="AF2162" s="38"/>
      <c r="AG2162" s="38"/>
      <c r="AH2162" s="38"/>
      <c r="AI2162" s="38"/>
      <c r="AJ2162" s="38"/>
      <c r="AK2162" s="38"/>
      <c r="AL2162" s="38"/>
      <c r="AM2162" s="38"/>
      <c r="AN2162" s="38"/>
      <c r="AO2162" s="38"/>
      <c r="AP2162" s="38"/>
      <c r="AQ2162" s="38"/>
      <c r="AR2162" s="38"/>
      <c r="AS2162" s="38"/>
      <c r="AT2162" s="38"/>
      <c r="AU2162" s="38"/>
      <c r="AV2162" s="38"/>
      <c r="AW2162" s="38"/>
      <c r="AX2162" s="38"/>
      <c r="AY2162" s="38"/>
      <c r="AZ2162" s="38"/>
      <c r="BA2162" s="38"/>
      <c r="BB2162" s="38"/>
      <c r="BC2162" s="38"/>
      <c r="BD2162" s="38"/>
      <c r="BE2162" s="38"/>
      <c r="BF2162" s="38"/>
      <c r="BG2162" s="38"/>
    </row>
    <row r="2163">
      <c r="A2163" s="16"/>
      <c r="B2163" s="16"/>
      <c r="C2163" s="146"/>
      <c r="D2163" s="146"/>
      <c r="E2163" s="16"/>
      <c r="F2163" s="91"/>
      <c r="G2163" s="16"/>
      <c r="H2163" s="320" t="str">
        <f t="shared" si="1"/>
        <v/>
      </c>
      <c r="I2163" s="16"/>
      <c r="J2163" s="16"/>
      <c r="K2163" s="16"/>
      <c r="L2163" s="38"/>
      <c r="M2163" s="16"/>
      <c r="N2163" s="16"/>
      <c r="O2163" s="16"/>
      <c r="P2163" s="15"/>
      <c r="Q2163" s="15"/>
      <c r="R2163" s="16"/>
      <c r="S2163" s="16"/>
      <c r="T2163" s="16"/>
      <c r="U2163" s="16"/>
      <c r="V2163" s="37" t="str">
        <f>IFERROR(__xludf.DUMMYFUNCTION("if(not(iserror(index(split(C2163, "" ""),2))), index(split(C2163, "" ""),1),"""")"),"")</f>
        <v/>
      </c>
      <c r="W2163" s="315" t="str">
        <f>IFERROR(__xludf.DUMMYFUNCTION("if(V2163="""",C2163,if(not(iserror(index(split(C2163, "" ""),3))), index(split(C2163, "" ""),3),index(split(C2163, "" ""),2)))"),"")</f>
        <v/>
      </c>
      <c r="X2163" s="38" t="b">
        <f t="shared" si="2"/>
        <v>0</v>
      </c>
      <c r="Y2163" s="38"/>
      <c r="Z2163" s="40"/>
      <c r="AA2163" s="40"/>
      <c r="AB2163" s="38"/>
      <c r="AC2163" s="38"/>
      <c r="AD2163" s="38"/>
      <c r="AE2163" s="38"/>
      <c r="AF2163" s="38"/>
      <c r="AG2163" s="38"/>
      <c r="AH2163" s="38"/>
      <c r="AI2163" s="38"/>
      <c r="AJ2163" s="38"/>
      <c r="AK2163" s="38"/>
      <c r="AL2163" s="38"/>
      <c r="AM2163" s="38"/>
      <c r="AN2163" s="38"/>
      <c r="AO2163" s="38"/>
      <c r="AP2163" s="38"/>
      <c r="AQ2163" s="38"/>
      <c r="AR2163" s="38"/>
      <c r="AS2163" s="38"/>
      <c r="AT2163" s="38"/>
      <c r="AU2163" s="38"/>
      <c r="AV2163" s="38"/>
      <c r="AW2163" s="38"/>
      <c r="AX2163" s="38"/>
      <c r="AY2163" s="38"/>
      <c r="AZ2163" s="38"/>
      <c r="BA2163" s="38"/>
      <c r="BB2163" s="38"/>
      <c r="BC2163" s="38"/>
      <c r="BD2163" s="38"/>
      <c r="BE2163" s="38"/>
      <c r="BF2163" s="38"/>
      <c r="BG2163" s="38"/>
    </row>
    <row r="2164">
      <c r="A2164" s="16"/>
      <c r="B2164" s="16"/>
      <c r="C2164" s="146"/>
      <c r="D2164" s="146"/>
      <c r="E2164" s="16"/>
      <c r="F2164" s="91"/>
      <c r="G2164" s="16"/>
      <c r="H2164" s="320" t="str">
        <f t="shared" si="1"/>
        <v/>
      </c>
      <c r="I2164" s="16"/>
      <c r="J2164" s="16"/>
      <c r="K2164" s="16"/>
      <c r="L2164" s="38"/>
      <c r="M2164" s="16"/>
      <c r="N2164" s="16"/>
      <c r="O2164" s="16"/>
      <c r="P2164" s="15"/>
      <c r="Q2164" s="15"/>
      <c r="R2164" s="16"/>
      <c r="S2164" s="16"/>
      <c r="T2164" s="16"/>
      <c r="U2164" s="16"/>
      <c r="V2164" s="37" t="str">
        <f>IFERROR(__xludf.DUMMYFUNCTION("if(not(iserror(index(split(C2164, "" ""),2))), index(split(C2164, "" ""),1),"""")"),"")</f>
        <v/>
      </c>
      <c r="W2164" s="315" t="str">
        <f>IFERROR(__xludf.DUMMYFUNCTION("if(V2164="""",C2164,if(not(iserror(index(split(C2164, "" ""),3))), index(split(C2164, "" ""),3),index(split(C2164, "" ""),2)))"),"")</f>
        <v/>
      </c>
      <c r="X2164" s="38" t="b">
        <f t="shared" si="2"/>
        <v>0</v>
      </c>
      <c r="Y2164" s="38"/>
      <c r="Z2164" s="40"/>
      <c r="AA2164" s="40"/>
      <c r="AB2164" s="38"/>
      <c r="AC2164" s="38"/>
      <c r="AD2164" s="38"/>
      <c r="AE2164" s="38"/>
      <c r="AF2164" s="38"/>
      <c r="AG2164" s="38"/>
      <c r="AH2164" s="38"/>
      <c r="AI2164" s="38"/>
      <c r="AJ2164" s="38"/>
      <c r="AK2164" s="38"/>
      <c r="AL2164" s="38"/>
      <c r="AM2164" s="38"/>
      <c r="AN2164" s="38"/>
      <c r="AO2164" s="38"/>
      <c r="AP2164" s="38"/>
      <c r="AQ2164" s="38"/>
      <c r="AR2164" s="38"/>
      <c r="AS2164" s="38"/>
      <c r="AT2164" s="38"/>
      <c r="AU2164" s="38"/>
      <c r="AV2164" s="38"/>
      <c r="AW2164" s="38"/>
      <c r="AX2164" s="38"/>
      <c r="AY2164" s="38"/>
      <c r="AZ2164" s="38"/>
      <c r="BA2164" s="38"/>
      <c r="BB2164" s="38"/>
      <c r="BC2164" s="38"/>
      <c r="BD2164" s="38"/>
      <c r="BE2164" s="38"/>
      <c r="BF2164" s="38"/>
      <c r="BG2164" s="38"/>
    </row>
    <row r="2165">
      <c r="A2165" s="16"/>
      <c r="B2165" s="16"/>
      <c r="C2165" s="146"/>
      <c r="D2165" s="146"/>
      <c r="E2165" s="16"/>
      <c r="F2165" s="91"/>
      <c r="G2165" s="16"/>
      <c r="H2165" s="320" t="str">
        <f t="shared" si="1"/>
        <v/>
      </c>
      <c r="I2165" s="16"/>
      <c r="J2165" s="16"/>
      <c r="K2165" s="16"/>
      <c r="L2165" s="38"/>
      <c r="M2165" s="16"/>
      <c r="N2165" s="16"/>
      <c r="O2165" s="16"/>
      <c r="P2165" s="15"/>
      <c r="Q2165" s="15"/>
      <c r="R2165" s="16"/>
      <c r="S2165" s="16"/>
      <c r="T2165" s="16"/>
      <c r="U2165" s="16"/>
      <c r="V2165" s="37" t="str">
        <f>IFERROR(__xludf.DUMMYFUNCTION("if(not(iserror(index(split(C2165, "" ""),2))), index(split(C2165, "" ""),1),"""")"),"")</f>
        <v/>
      </c>
      <c r="W2165" s="315" t="str">
        <f>IFERROR(__xludf.DUMMYFUNCTION("if(V2165="""",C2165,if(not(iserror(index(split(C2165, "" ""),3))), index(split(C2165, "" ""),3),index(split(C2165, "" ""),2)))"),"")</f>
        <v/>
      </c>
      <c r="X2165" s="38" t="b">
        <f t="shared" si="2"/>
        <v>0</v>
      </c>
      <c r="Y2165" s="38"/>
      <c r="Z2165" s="40"/>
      <c r="AA2165" s="40"/>
      <c r="AB2165" s="38"/>
      <c r="AC2165" s="38"/>
      <c r="AD2165" s="38"/>
      <c r="AE2165" s="38"/>
      <c r="AF2165" s="38"/>
      <c r="AG2165" s="38"/>
      <c r="AH2165" s="38"/>
      <c r="AI2165" s="38"/>
      <c r="AJ2165" s="38"/>
      <c r="AK2165" s="38"/>
      <c r="AL2165" s="38"/>
      <c r="AM2165" s="38"/>
      <c r="AN2165" s="38"/>
      <c r="AO2165" s="38"/>
      <c r="AP2165" s="38"/>
      <c r="AQ2165" s="38"/>
      <c r="AR2165" s="38"/>
      <c r="AS2165" s="38"/>
      <c r="AT2165" s="38"/>
      <c r="AU2165" s="38"/>
      <c r="AV2165" s="38"/>
      <c r="AW2165" s="38"/>
      <c r="AX2165" s="38"/>
      <c r="AY2165" s="38"/>
      <c r="AZ2165" s="38"/>
      <c r="BA2165" s="38"/>
      <c r="BB2165" s="38"/>
      <c r="BC2165" s="38"/>
      <c r="BD2165" s="38"/>
      <c r="BE2165" s="38"/>
      <c r="BF2165" s="38"/>
      <c r="BG2165" s="38"/>
    </row>
    <row r="2166">
      <c r="A2166" s="16"/>
      <c r="B2166" s="16"/>
      <c r="C2166" s="146"/>
      <c r="D2166" s="146"/>
      <c r="E2166" s="16"/>
      <c r="F2166" s="91"/>
      <c r="G2166" s="16"/>
      <c r="H2166" s="320" t="str">
        <f t="shared" si="1"/>
        <v/>
      </c>
      <c r="I2166" s="16"/>
      <c r="J2166" s="16"/>
      <c r="K2166" s="16"/>
      <c r="L2166" s="38"/>
      <c r="M2166" s="16"/>
      <c r="N2166" s="16"/>
      <c r="O2166" s="16"/>
      <c r="P2166" s="15"/>
      <c r="Q2166" s="15"/>
      <c r="R2166" s="16"/>
      <c r="S2166" s="16"/>
      <c r="T2166" s="16"/>
      <c r="U2166" s="16"/>
      <c r="V2166" s="37" t="str">
        <f>IFERROR(__xludf.DUMMYFUNCTION("if(not(iserror(index(split(C2166, "" ""),2))), index(split(C2166, "" ""),1),"""")"),"")</f>
        <v/>
      </c>
      <c r="W2166" s="315" t="str">
        <f>IFERROR(__xludf.DUMMYFUNCTION("if(V2166="""",C2166,if(not(iserror(index(split(C2166, "" ""),3))), index(split(C2166, "" ""),3),index(split(C2166, "" ""),2)))"),"")</f>
        <v/>
      </c>
      <c r="X2166" s="38" t="b">
        <f t="shared" si="2"/>
        <v>0</v>
      </c>
      <c r="Y2166" s="38"/>
      <c r="Z2166" s="40"/>
      <c r="AA2166" s="40"/>
      <c r="AB2166" s="38"/>
      <c r="AC2166" s="38"/>
      <c r="AD2166" s="38"/>
      <c r="AE2166" s="38"/>
      <c r="AF2166" s="38"/>
      <c r="AG2166" s="38"/>
      <c r="AH2166" s="38"/>
      <c r="AI2166" s="38"/>
      <c r="AJ2166" s="38"/>
      <c r="AK2166" s="38"/>
      <c r="AL2166" s="38"/>
      <c r="AM2166" s="38"/>
      <c r="AN2166" s="38"/>
      <c r="AO2166" s="38"/>
      <c r="AP2166" s="38"/>
      <c r="AQ2166" s="38"/>
      <c r="AR2166" s="38"/>
      <c r="AS2166" s="38"/>
      <c r="AT2166" s="38"/>
      <c r="AU2166" s="38"/>
      <c r="AV2166" s="38"/>
      <c r="AW2166" s="38"/>
      <c r="AX2166" s="38"/>
      <c r="AY2166" s="38"/>
      <c r="AZ2166" s="38"/>
      <c r="BA2166" s="38"/>
      <c r="BB2166" s="38"/>
      <c r="BC2166" s="38"/>
      <c r="BD2166" s="38"/>
      <c r="BE2166" s="38"/>
      <c r="BF2166" s="38"/>
      <c r="BG2166" s="38"/>
    </row>
    <row r="2167">
      <c r="A2167" s="16"/>
      <c r="B2167" s="16"/>
      <c r="C2167" s="146"/>
      <c r="D2167" s="146"/>
      <c r="E2167" s="16"/>
      <c r="F2167" s="91"/>
      <c r="G2167" s="16"/>
      <c r="H2167" s="320" t="str">
        <f t="shared" si="1"/>
        <v/>
      </c>
      <c r="I2167" s="16"/>
      <c r="J2167" s="16"/>
      <c r="K2167" s="16"/>
      <c r="L2167" s="38"/>
      <c r="M2167" s="16"/>
      <c r="N2167" s="16"/>
      <c r="O2167" s="16"/>
      <c r="P2167" s="15"/>
      <c r="Q2167" s="15"/>
      <c r="R2167" s="16"/>
      <c r="S2167" s="16"/>
      <c r="T2167" s="16"/>
      <c r="U2167" s="16"/>
      <c r="V2167" s="37" t="str">
        <f>IFERROR(__xludf.DUMMYFUNCTION("if(not(iserror(index(split(C2167, "" ""),2))), index(split(C2167, "" ""),1),"""")"),"")</f>
        <v/>
      </c>
      <c r="W2167" s="315" t="str">
        <f>IFERROR(__xludf.DUMMYFUNCTION("if(V2167="""",C2167,if(not(iserror(index(split(C2167, "" ""),3))), index(split(C2167, "" ""),3),index(split(C2167, "" ""),2)))"),"")</f>
        <v/>
      </c>
      <c r="X2167" s="38" t="b">
        <f t="shared" si="2"/>
        <v>0</v>
      </c>
      <c r="Y2167" s="38"/>
      <c r="Z2167" s="40"/>
      <c r="AA2167" s="40"/>
      <c r="AB2167" s="38"/>
      <c r="AC2167" s="38"/>
      <c r="AD2167" s="38"/>
      <c r="AE2167" s="38"/>
      <c r="AF2167" s="38"/>
      <c r="AG2167" s="38"/>
      <c r="AH2167" s="38"/>
      <c r="AI2167" s="38"/>
      <c r="AJ2167" s="38"/>
      <c r="AK2167" s="38"/>
      <c r="AL2167" s="38"/>
      <c r="AM2167" s="38"/>
      <c r="AN2167" s="38"/>
      <c r="AO2167" s="38"/>
      <c r="AP2167" s="38"/>
      <c r="AQ2167" s="38"/>
      <c r="AR2167" s="38"/>
      <c r="AS2167" s="38"/>
      <c r="AT2167" s="38"/>
      <c r="AU2167" s="38"/>
      <c r="AV2167" s="38"/>
      <c r="AW2167" s="38"/>
      <c r="AX2167" s="38"/>
      <c r="AY2167" s="38"/>
      <c r="AZ2167" s="38"/>
      <c r="BA2167" s="38"/>
      <c r="BB2167" s="38"/>
      <c r="BC2167" s="38"/>
      <c r="BD2167" s="38"/>
      <c r="BE2167" s="38"/>
      <c r="BF2167" s="38"/>
      <c r="BG2167" s="38"/>
    </row>
    <row r="2168">
      <c r="A2168" s="16"/>
      <c r="B2168" s="16"/>
      <c r="C2168" s="146"/>
      <c r="D2168" s="146"/>
      <c r="E2168" s="16"/>
      <c r="F2168" s="91"/>
      <c r="G2168" s="16"/>
      <c r="H2168" s="320" t="str">
        <f t="shared" si="1"/>
        <v/>
      </c>
      <c r="I2168" s="16"/>
      <c r="J2168" s="16"/>
      <c r="K2168" s="16"/>
      <c r="L2168" s="38"/>
      <c r="M2168" s="16"/>
      <c r="N2168" s="16"/>
      <c r="O2168" s="16"/>
      <c r="P2168" s="15"/>
      <c r="Q2168" s="15"/>
      <c r="R2168" s="16"/>
      <c r="S2168" s="16"/>
      <c r="T2168" s="16"/>
      <c r="U2168" s="16"/>
      <c r="V2168" s="37" t="str">
        <f>IFERROR(__xludf.DUMMYFUNCTION("if(not(iserror(index(split(C2168, "" ""),2))), index(split(C2168, "" ""),1),"""")"),"")</f>
        <v/>
      </c>
      <c r="W2168" s="315" t="str">
        <f>IFERROR(__xludf.DUMMYFUNCTION("if(V2168="""",C2168,if(not(iserror(index(split(C2168, "" ""),3))), index(split(C2168, "" ""),3),index(split(C2168, "" ""),2)))"),"")</f>
        <v/>
      </c>
      <c r="X2168" s="38" t="b">
        <f t="shared" si="2"/>
        <v>0</v>
      </c>
      <c r="Y2168" s="38"/>
      <c r="Z2168" s="40"/>
      <c r="AA2168" s="40"/>
      <c r="AB2168" s="38"/>
      <c r="AC2168" s="38"/>
      <c r="AD2168" s="38"/>
      <c r="AE2168" s="38"/>
      <c r="AF2168" s="38"/>
      <c r="AG2168" s="38"/>
      <c r="AH2168" s="38"/>
      <c r="AI2168" s="38"/>
      <c r="AJ2168" s="38"/>
      <c r="AK2168" s="38"/>
      <c r="AL2168" s="38"/>
      <c r="AM2168" s="38"/>
      <c r="AN2168" s="38"/>
      <c r="AO2168" s="38"/>
      <c r="AP2168" s="38"/>
      <c r="AQ2168" s="38"/>
      <c r="AR2168" s="38"/>
      <c r="AS2168" s="38"/>
      <c r="AT2168" s="38"/>
      <c r="AU2168" s="38"/>
      <c r="AV2168" s="38"/>
      <c r="AW2168" s="38"/>
      <c r="AX2168" s="38"/>
      <c r="AY2168" s="38"/>
      <c r="AZ2168" s="38"/>
      <c r="BA2168" s="38"/>
      <c r="BB2168" s="38"/>
      <c r="BC2168" s="38"/>
      <c r="BD2168" s="38"/>
      <c r="BE2168" s="38"/>
      <c r="BF2168" s="38"/>
      <c r="BG2168" s="38"/>
    </row>
    <row r="2169">
      <c r="A2169" s="16"/>
      <c r="B2169" s="16"/>
      <c r="C2169" s="146"/>
      <c r="D2169" s="146"/>
      <c r="E2169" s="16"/>
      <c r="F2169" s="91"/>
      <c r="G2169" s="16"/>
      <c r="H2169" s="320" t="str">
        <f t="shared" si="1"/>
        <v/>
      </c>
      <c r="I2169" s="16"/>
      <c r="J2169" s="16"/>
      <c r="K2169" s="16"/>
      <c r="L2169" s="38"/>
      <c r="M2169" s="16"/>
      <c r="N2169" s="16"/>
      <c r="O2169" s="16"/>
      <c r="P2169" s="15"/>
      <c r="Q2169" s="15"/>
      <c r="R2169" s="16"/>
      <c r="S2169" s="16"/>
      <c r="T2169" s="16"/>
      <c r="U2169" s="16"/>
      <c r="V2169" s="37" t="str">
        <f>IFERROR(__xludf.DUMMYFUNCTION("if(not(iserror(index(split(C2169, "" ""),2))), index(split(C2169, "" ""),1),"""")"),"")</f>
        <v/>
      </c>
      <c r="W2169" s="315" t="str">
        <f>IFERROR(__xludf.DUMMYFUNCTION("if(V2169="""",C2169,if(not(iserror(index(split(C2169, "" ""),3))), index(split(C2169, "" ""),3),index(split(C2169, "" ""),2)))"),"")</f>
        <v/>
      </c>
      <c r="X2169" s="38" t="b">
        <f t="shared" si="2"/>
        <v>0</v>
      </c>
      <c r="Y2169" s="38"/>
      <c r="Z2169" s="40"/>
      <c r="AA2169" s="40"/>
      <c r="AB2169" s="38"/>
      <c r="AC2169" s="38"/>
      <c r="AD2169" s="38"/>
      <c r="AE2169" s="38"/>
      <c r="AF2169" s="38"/>
      <c r="AG2169" s="38"/>
      <c r="AH2169" s="38"/>
      <c r="AI2169" s="38"/>
      <c r="AJ2169" s="38"/>
      <c r="AK2169" s="38"/>
      <c r="AL2169" s="38"/>
      <c r="AM2169" s="38"/>
      <c r="AN2169" s="38"/>
      <c r="AO2169" s="38"/>
      <c r="AP2169" s="38"/>
      <c r="AQ2169" s="38"/>
      <c r="AR2169" s="38"/>
      <c r="AS2169" s="38"/>
      <c r="AT2169" s="38"/>
      <c r="AU2169" s="38"/>
      <c r="AV2169" s="38"/>
      <c r="AW2169" s="38"/>
      <c r="AX2169" s="38"/>
      <c r="AY2169" s="38"/>
      <c r="AZ2169" s="38"/>
      <c r="BA2169" s="38"/>
      <c r="BB2169" s="38"/>
      <c r="BC2169" s="38"/>
      <c r="BD2169" s="38"/>
      <c r="BE2169" s="38"/>
      <c r="BF2169" s="38"/>
      <c r="BG2169" s="38"/>
    </row>
    <row r="2170">
      <c r="A2170" s="16"/>
      <c r="B2170" s="16"/>
      <c r="C2170" s="146"/>
      <c r="D2170" s="146"/>
      <c r="E2170" s="16"/>
      <c r="F2170" s="91"/>
      <c r="G2170" s="16"/>
      <c r="H2170" s="320" t="str">
        <f t="shared" si="1"/>
        <v/>
      </c>
      <c r="I2170" s="16"/>
      <c r="J2170" s="16"/>
      <c r="K2170" s="16"/>
      <c r="L2170" s="38"/>
      <c r="M2170" s="16"/>
      <c r="N2170" s="16"/>
      <c r="O2170" s="16"/>
      <c r="P2170" s="15"/>
      <c r="Q2170" s="15"/>
      <c r="R2170" s="16"/>
      <c r="S2170" s="16"/>
      <c r="T2170" s="16"/>
      <c r="U2170" s="16"/>
      <c r="V2170" s="37" t="str">
        <f>IFERROR(__xludf.DUMMYFUNCTION("if(not(iserror(index(split(C2170, "" ""),2))), index(split(C2170, "" ""),1),"""")"),"")</f>
        <v/>
      </c>
      <c r="W2170" s="315" t="str">
        <f>IFERROR(__xludf.DUMMYFUNCTION("if(V2170="""",C2170,if(not(iserror(index(split(C2170, "" ""),3))), index(split(C2170, "" ""),3),index(split(C2170, "" ""),2)))"),"")</f>
        <v/>
      </c>
      <c r="X2170" s="38" t="b">
        <f t="shared" si="2"/>
        <v>0</v>
      </c>
      <c r="Y2170" s="38"/>
      <c r="Z2170" s="40"/>
      <c r="AA2170" s="40"/>
      <c r="AB2170" s="38"/>
      <c r="AC2170" s="38"/>
      <c r="AD2170" s="38"/>
      <c r="AE2170" s="38"/>
      <c r="AF2170" s="38"/>
      <c r="AG2170" s="38"/>
      <c r="AH2170" s="38"/>
      <c r="AI2170" s="38"/>
      <c r="AJ2170" s="38"/>
      <c r="AK2170" s="38"/>
      <c r="AL2170" s="38"/>
      <c r="AM2170" s="38"/>
      <c r="AN2170" s="38"/>
      <c r="AO2170" s="38"/>
      <c r="AP2170" s="38"/>
      <c r="AQ2170" s="38"/>
      <c r="AR2170" s="38"/>
      <c r="AS2170" s="38"/>
      <c r="AT2170" s="38"/>
      <c r="AU2170" s="38"/>
      <c r="AV2170" s="38"/>
      <c r="AW2170" s="38"/>
      <c r="AX2170" s="38"/>
      <c r="AY2170" s="38"/>
      <c r="AZ2170" s="38"/>
      <c r="BA2170" s="38"/>
      <c r="BB2170" s="38"/>
      <c r="BC2170" s="38"/>
      <c r="BD2170" s="38"/>
      <c r="BE2170" s="38"/>
      <c r="BF2170" s="38"/>
      <c r="BG2170" s="38"/>
    </row>
    <row r="2171">
      <c r="A2171" s="16"/>
      <c r="B2171" s="16"/>
      <c r="C2171" s="146"/>
      <c r="D2171" s="146"/>
      <c r="E2171" s="16"/>
      <c r="F2171" s="91"/>
      <c r="G2171" s="16"/>
      <c r="H2171" s="320" t="str">
        <f t="shared" si="1"/>
        <v/>
      </c>
      <c r="I2171" s="16"/>
      <c r="J2171" s="16"/>
      <c r="K2171" s="16"/>
      <c r="L2171" s="38"/>
      <c r="M2171" s="16"/>
      <c r="N2171" s="16"/>
      <c r="O2171" s="16"/>
      <c r="P2171" s="15"/>
      <c r="Q2171" s="15"/>
      <c r="R2171" s="16"/>
      <c r="S2171" s="16"/>
      <c r="T2171" s="16"/>
      <c r="U2171" s="16"/>
      <c r="V2171" s="37" t="str">
        <f>IFERROR(__xludf.DUMMYFUNCTION("if(not(iserror(index(split(C2171, "" ""),2))), index(split(C2171, "" ""),1),"""")"),"")</f>
        <v/>
      </c>
      <c r="W2171" s="315" t="str">
        <f>IFERROR(__xludf.DUMMYFUNCTION("if(V2171="""",C2171,if(not(iserror(index(split(C2171, "" ""),3))), index(split(C2171, "" ""),3),index(split(C2171, "" ""),2)))"),"")</f>
        <v/>
      </c>
      <c r="X2171" s="38" t="b">
        <f t="shared" si="2"/>
        <v>0</v>
      </c>
      <c r="Y2171" s="38"/>
      <c r="Z2171" s="40"/>
      <c r="AA2171" s="40"/>
      <c r="AB2171" s="38"/>
      <c r="AC2171" s="38"/>
      <c r="AD2171" s="38"/>
      <c r="AE2171" s="38"/>
      <c r="AF2171" s="38"/>
      <c r="AG2171" s="38"/>
      <c r="AH2171" s="38"/>
      <c r="AI2171" s="38"/>
      <c r="AJ2171" s="38"/>
      <c r="AK2171" s="38"/>
      <c r="AL2171" s="38"/>
      <c r="AM2171" s="38"/>
      <c r="AN2171" s="38"/>
      <c r="AO2171" s="38"/>
      <c r="AP2171" s="38"/>
      <c r="AQ2171" s="38"/>
      <c r="AR2171" s="38"/>
      <c r="AS2171" s="38"/>
      <c r="AT2171" s="38"/>
      <c r="AU2171" s="38"/>
      <c r="AV2171" s="38"/>
      <c r="AW2171" s="38"/>
      <c r="AX2171" s="38"/>
      <c r="AY2171" s="38"/>
      <c r="AZ2171" s="38"/>
      <c r="BA2171" s="38"/>
      <c r="BB2171" s="38"/>
      <c r="BC2171" s="38"/>
      <c r="BD2171" s="38"/>
      <c r="BE2171" s="38"/>
      <c r="BF2171" s="38"/>
      <c r="BG2171" s="38"/>
    </row>
    <row r="2172">
      <c r="A2172" s="16"/>
      <c r="B2172" s="16"/>
      <c r="C2172" s="146"/>
      <c r="D2172" s="146"/>
      <c r="E2172" s="16"/>
      <c r="F2172" s="91"/>
      <c r="G2172" s="16"/>
      <c r="H2172" s="320" t="str">
        <f t="shared" si="1"/>
        <v/>
      </c>
      <c r="I2172" s="16"/>
      <c r="J2172" s="16"/>
      <c r="K2172" s="16"/>
      <c r="L2172" s="38"/>
      <c r="M2172" s="16"/>
      <c r="N2172" s="16"/>
      <c r="O2172" s="16"/>
      <c r="P2172" s="15"/>
      <c r="Q2172" s="15"/>
      <c r="R2172" s="16"/>
      <c r="S2172" s="16"/>
      <c r="T2172" s="16"/>
      <c r="U2172" s="16"/>
      <c r="V2172" s="37" t="str">
        <f>IFERROR(__xludf.DUMMYFUNCTION("if(not(iserror(index(split(C2172, "" ""),2))), index(split(C2172, "" ""),1),"""")"),"")</f>
        <v/>
      </c>
      <c r="W2172" s="315" t="str">
        <f>IFERROR(__xludf.DUMMYFUNCTION("if(V2172="""",C2172,if(not(iserror(index(split(C2172, "" ""),3))), index(split(C2172, "" ""),3),index(split(C2172, "" ""),2)))"),"")</f>
        <v/>
      </c>
      <c r="X2172" s="38" t="b">
        <f t="shared" si="2"/>
        <v>0</v>
      </c>
      <c r="Y2172" s="38"/>
      <c r="Z2172" s="40"/>
      <c r="AA2172" s="40"/>
      <c r="AB2172" s="38"/>
      <c r="AC2172" s="38"/>
      <c r="AD2172" s="38"/>
      <c r="AE2172" s="38"/>
      <c r="AF2172" s="38"/>
      <c r="AG2172" s="38"/>
      <c r="AH2172" s="38"/>
      <c r="AI2172" s="38"/>
      <c r="AJ2172" s="38"/>
      <c r="AK2172" s="38"/>
      <c r="AL2172" s="38"/>
      <c r="AM2172" s="38"/>
      <c r="AN2172" s="38"/>
      <c r="AO2172" s="38"/>
      <c r="AP2172" s="38"/>
      <c r="AQ2172" s="38"/>
      <c r="AR2172" s="38"/>
      <c r="AS2172" s="38"/>
      <c r="AT2172" s="38"/>
      <c r="AU2172" s="38"/>
      <c r="AV2172" s="38"/>
      <c r="AW2172" s="38"/>
      <c r="AX2172" s="38"/>
      <c r="AY2172" s="38"/>
      <c r="AZ2172" s="38"/>
      <c r="BA2172" s="38"/>
      <c r="BB2172" s="38"/>
      <c r="BC2172" s="38"/>
      <c r="BD2172" s="38"/>
      <c r="BE2172" s="38"/>
      <c r="BF2172" s="38"/>
      <c r="BG2172" s="38"/>
    </row>
    <row r="2173">
      <c r="A2173" s="16"/>
      <c r="B2173" s="16"/>
      <c r="C2173" s="146"/>
      <c r="D2173" s="146"/>
      <c r="E2173" s="16"/>
      <c r="F2173" s="91"/>
      <c r="G2173" s="16"/>
      <c r="H2173" s="320" t="str">
        <f t="shared" si="1"/>
        <v/>
      </c>
      <c r="I2173" s="16"/>
      <c r="J2173" s="16"/>
      <c r="K2173" s="16"/>
      <c r="L2173" s="38"/>
      <c r="M2173" s="16"/>
      <c r="N2173" s="16"/>
      <c r="O2173" s="16"/>
      <c r="P2173" s="15"/>
      <c r="Q2173" s="15"/>
      <c r="R2173" s="16"/>
      <c r="S2173" s="16"/>
      <c r="T2173" s="16"/>
      <c r="U2173" s="16"/>
      <c r="V2173" s="37" t="str">
        <f>IFERROR(__xludf.DUMMYFUNCTION("if(not(iserror(index(split(C2173, "" ""),2))), index(split(C2173, "" ""),1),"""")"),"")</f>
        <v/>
      </c>
      <c r="W2173" s="315" t="str">
        <f>IFERROR(__xludf.DUMMYFUNCTION("if(V2173="""",C2173,if(not(iserror(index(split(C2173, "" ""),3))), index(split(C2173, "" ""),3),index(split(C2173, "" ""),2)))"),"")</f>
        <v/>
      </c>
      <c r="X2173" s="38" t="b">
        <f t="shared" si="2"/>
        <v>0</v>
      </c>
      <c r="Y2173" s="38"/>
      <c r="Z2173" s="40"/>
      <c r="AA2173" s="40"/>
      <c r="AB2173" s="38"/>
      <c r="AC2173" s="38"/>
      <c r="AD2173" s="38"/>
      <c r="AE2173" s="38"/>
      <c r="AF2173" s="38"/>
      <c r="AG2173" s="38"/>
      <c r="AH2173" s="38"/>
      <c r="AI2173" s="38"/>
      <c r="AJ2173" s="38"/>
      <c r="AK2173" s="38"/>
      <c r="AL2173" s="38"/>
      <c r="AM2173" s="38"/>
      <c r="AN2173" s="38"/>
      <c r="AO2173" s="38"/>
      <c r="AP2173" s="38"/>
      <c r="AQ2173" s="38"/>
      <c r="AR2173" s="38"/>
      <c r="AS2173" s="38"/>
      <c r="AT2173" s="38"/>
      <c r="AU2173" s="38"/>
      <c r="AV2173" s="38"/>
      <c r="AW2173" s="38"/>
      <c r="AX2173" s="38"/>
      <c r="AY2173" s="38"/>
      <c r="AZ2173" s="38"/>
      <c r="BA2173" s="38"/>
      <c r="BB2173" s="38"/>
      <c r="BC2173" s="38"/>
      <c r="BD2173" s="38"/>
      <c r="BE2173" s="38"/>
      <c r="BF2173" s="38"/>
      <c r="BG2173" s="38"/>
    </row>
    <row r="2174">
      <c r="A2174" s="16"/>
      <c r="B2174" s="16"/>
      <c r="C2174" s="146"/>
      <c r="D2174" s="146"/>
      <c r="E2174" s="16"/>
      <c r="F2174" s="91"/>
      <c r="G2174" s="16"/>
      <c r="H2174" s="320" t="str">
        <f t="shared" si="1"/>
        <v/>
      </c>
      <c r="I2174" s="16"/>
      <c r="J2174" s="16"/>
      <c r="K2174" s="16"/>
      <c r="L2174" s="38"/>
      <c r="M2174" s="16"/>
      <c r="N2174" s="16"/>
      <c r="O2174" s="16"/>
      <c r="P2174" s="15"/>
      <c r="Q2174" s="15"/>
      <c r="R2174" s="16"/>
      <c r="S2174" s="16"/>
      <c r="T2174" s="16"/>
      <c r="U2174" s="16"/>
      <c r="V2174" s="37" t="str">
        <f>IFERROR(__xludf.DUMMYFUNCTION("if(not(iserror(index(split(C2174, "" ""),2))), index(split(C2174, "" ""),1),"""")"),"")</f>
        <v/>
      </c>
      <c r="W2174" s="315" t="str">
        <f>IFERROR(__xludf.DUMMYFUNCTION("if(V2174="""",C2174,if(not(iserror(index(split(C2174, "" ""),3))), index(split(C2174, "" ""),3),index(split(C2174, "" ""),2)))"),"")</f>
        <v/>
      </c>
      <c r="X2174" s="38" t="b">
        <f t="shared" si="2"/>
        <v>0</v>
      </c>
      <c r="Y2174" s="38"/>
      <c r="Z2174" s="40"/>
      <c r="AA2174" s="40"/>
      <c r="AB2174" s="38"/>
      <c r="AC2174" s="38"/>
      <c r="AD2174" s="38"/>
      <c r="AE2174" s="38"/>
      <c r="AF2174" s="38"/>
      <c r="AG2174" s="38"/>
      <c r="AH2174" s="38"/>
      <c r="AI2174" s="38"/>
      <c r="AJ2174" s="38"/>
      <c r="AK2174" s="38"/>
      <c r="AL2174" s="38"/>
      <c r="AM2174" s="38"/>
      <c r="AN2174" s="38"/>
      <c r="AO2174" s="38"/>
      <c r="AP2174" s="38"/>
      <c r="AQ2174" s="38"/>
      <c r="AR2174" s="38"/>
      <c r="AS2174" s="38"/>
      <c r="AT2174" s="38"/>
      <c r="AU2174" s="38"/>
      <c r="AV2174" s="38"/>
      <c r="AW2174" s="38"/>
      <c r="AX2174" s="38"/>
      <c r="AY2174" s="38"/>
      <c r="AZ2174" s="38"/>
      <c r="BA2174" s="38"/>
      <c r="BB2174" s="38"/>
      <c r="BC2174" s="38"/>
      <c r="BD2174" s="38"/>
      <c r="BE2174" s="38"/>
      <c r="BF2174" s="38"/>
      <c r="BG2174" s="38"/>
    </row>
    <row r="2175">
      <c r="A2175" s="16"/>
      <c r="B2175" s="16"/>
      <c r="C2175" s="146"/>
      <c r="D2175" s="146"/>
      <c r="E2175" s="16"/>
      <c r="F2175" s="91"/>
      <c r="G2175" s="16"/>
      <c r="H2175" s="320" t="str">
        <f t="shared" si="1"/>
        <v/>
      </c>
      <c r="I2175" s="16"/>
      <c r="J2175" s="16"/>
      <c r="K2175" s="16"/>
      <c r="L2175" s="38"/>
      <c r="M2175" s="16"/>
      <c r="N2175" s="16"/>
      <c r="O2175" s="16"/>
      <c r="P2175" s="15"/>
      <c r="Q2175" s="15"/>
      <c r="R2175" s="16"/>
      <c r="S2175" s="16"/>
      <c r="T2175" s="16"/>
      <c r="U2175" s="16"/>
      <c r="V2175" s="37" t="str">
        <f>IFERROR(__xludf.DUMMYFUNCTION("if(not(iserror(index(split(C2175, "" ""),2))), index(split(C2175, "" ""),1),"""")"),"")</f>
        <v/>
      </c>
      <c r="W2175" s="315" t="str">
        <f>IFERROR(__xludf.DUMMYFUNCTION("if(V2175="""",C2175,if(not(iserror(index(split(C2175, "" ""),3))), index(split(C2175, "" ""),3),index(split(C2175, "" ""),2)))"),"")</f>
        <v/>
      </c>
      <c r="X2175" s="38" t="b">
        <f t="shared" si="2"/>
        <v>0</v>
      </c>
      <c r="Y2175" s="38"/>
      <c r="Z2175" s="40"/>
      <c r="AA2175" s="40"/>
      <c r="AB2175" s="38"/>
      <c r="AC2175" s="38"/>
      <c r="AD2175" s="38"/>
      <c r="AE2175" s="38"/>
      <c r="AF2175" s="38"/>
      <c r="AG2175" s="38"/>
      <c r="AH2175" s="38"/>
      <c r="AI2175" s="38"/>
      <c r="AJ2175" s="38"/>
      <c r="AK2175" s="38"/>
      <c r="AL2175" s="38"/>
      <c r="AM2175" s="38"/>
      <c r="AN2175" s="38"/>
      <c r="AO2175" s="38"/>
      <c r="AP2175" s="38"/>
      <c r="AQ2175" s="38"/>
      <c r="AR2175" s="38"/>
      <c r="AS2175" s="38"/>
      <c r="AT2175" s="38"/>
      <c r="AU2175" s="38"/>
      <c r="AV2175" s="38"/>
      <c r="AW2175" s="38"/>
      <c r="AX2175" s="38"/>
      <c r="AY2175" s="38"/>
      <c r="AZ2175" s="38"/>
      <c r="BA2175" s="38"/>
      <c r="BB2175" s="38"/>
      <c r="BC2175" s="38"/>
      <c r="BD2175" s="38"/>
      <c r="BE2175" s="38"/>
      <c r="BF2175" s="38"/>
      <c r="BG2175" s="38"/>
    </row>
    <row r="2176">
      <c r="A2176" s="16"/>
      <c r="B2176" s="16"/>
      <c r="C2176" s="146"/>
      <c r="D2176" s="146"/>
      <c r="E2176" s="16"/>
      <c r="F2176" s="91"/>
      <c r="G2176" s="16"/>
      <c r="H2176" s="320" t="str">
        <f t="shared" si="1"/>
        <v/>
      </c>
      <c r="I2176" s="16"/>
      <c r="J2176" s="16"/>
      <c r="K2176" s="16"/>
      <c r="L2176" s="38"/>
      <c r="M2176" s="16"/>
      <c r="N2176" s="16"/>
      <c r="O2176" s="16"/>
      <c r="P2176" s="15"/>
      <c r="Q2176" s="15"/>
      <c r="R2176" s="16"/>
      <c r="S2176" s="16"/>
      <c r="T2176" s="16"/>
      <c r="U2176" s="16"/>
      <c r="V2176" s="37" t="str">
        <f>IFERROR(__xludf.DUMMYFUNCTION("if(not(iserror(index(split(C2176, "" ""),2))), index(split(C2176, "" ""),1),"""")"),"")</f>
        <v/>
      </c>
      <c r="W2176" s="315" t="str">
        <f>IFERROR(__xludf.DUMMYFUNCTION("if(V2176="""",C2176,if(not(iserror(index(split(C2176, "" ""),3))), index(split(C2176, "" ""),3),index(split(C2176, "" ""),2)))"),"")</f>
        <v/>
      </c>
      <c r="X2176" s="38" t="b">
        <f t="shared" si="2"/>
        <v>0</v>
      </c>
      <c r="Y2176" s="38"/>
      <c r="Z2176" s="40"/>
      <c r="AA2176" s="40"/>
      <c r="AB2176" s="38"/>
      <c r="AC2176" s="38"/>
      <c r="AD2176" s="38"/>
      <c r="AE2176" s="38"/>
      <c r="AF2176" s="38"/>
      <c r="AG2176" s="38"/>
      <c r="AH2176" s="38"/>
      <c r="AI2176" s="38"/>
      <c r="AJ2176" s="38"/>
      <c r="AK2176" s="38"/>
      <c r="AL2176" s="38"/>
      <c r="AM2176" s="38"/>
      <c r="AN2176" s="38"/>
      <c r="AO2176" s="38"/>
      <c r="AP2176" s="38"/>
      <c r="AQ2176" s="38"/>
      <c r="AR2176" s="38"/>
      <c r="AS2176" s="38"/>
      <c r="AT2176" s="38"/>
      <c r="AU2176" s="38"/>
      <c r="AV2176" s="38"/>
      <c r="AW2176" s="38"/>
      <c r="AX2176" s="38"/>
      <c r="AY2176" s="38"/>
      <c r="AZ2176" s="38"/>
      <c r="BA2176" s="38"/>
      <c r="BB2176" s="38"/>
      <c r="BC2176" s="38"/>
      <c r="BD2176" s="38"/>
      <c r="BE2176" s="38"/>
      <c r="BF2176" s="38"/>
      <c r="BG2176" s="38"/>
    </row>
    <row r="2177">
      <c r="A2177" s="16"/>
      <c r="B2177" s="16"/>
      <c r="C2177" s="146"/>
      <c r="D2177" s="146"/>
      <c r="E2177" s="16"/>
      <c r="F2177" s="91"/>
      <c r="G2177" s="16"/>
      <c r="H2177" s="320" t="str">
        <f t="shared" si="1"/>
        <v/>
      </c>
      <c r="I2177" s="16"/>
      <c r="J2177" s="16"/>
      <c r="K2177" s="16"/>
      <c r="L2177" s="38"/>
      <c r="M2177" s="16"/>
      <c r="N2177" s="16"/>
      <c r="O2177" s="16"/>
      <c r="P2177" s="15"/>
      <c r="Q2177" s="15"/>
      <c r="R2177" s="16"/>
      <c r="S2177" s="16"/>
      <c r="T2177" s="16"/>
      <c r="U2177" s="16"/>
      <c r="V2177" s="37" t="str">
        <f>IFERROR(__xludf.DUMMYFUNCTION("if(not(iserror(index(split(C2177, "" ""),2))), index(split(C2177, "" ""),1),"""")"),"")</f>
        <v/>
      </c>
      <c r="W2177" s="315" t="str">
        <f>IFERROR(__xludf.DUMMYFUNCTION("if(V2177="""",C2177,if(not(iserror(index(split(C2177, "" ""),3))), index(split(C2177, "" ""),3),index(split(C2177, "" ""),2)))"),"")</f>
        <v/>
      </c>
      <c r="X2177" s="38" t="b">
        <f t="shared" si="2"/>
        <v>0</v>
      </c>
      <c r="Y2177" s="38"/>
      <c r="Z2177" s="40"/>
      <c r="AA2177" s="40"/>
      <c r="AB2177" s="38"/>
      <c r="AC2177" s="38"/>
      <c r="AD2177" s="38"/>
      <c r="AE2177" s="38"/>
      <c r="AF2177" s="38"/>
      <c r="AG2177" s="38"/>
      <c r="AH2177" s="38"/>
      <c r="AI2177" s="38"/>
      <c r="AJ2177" s="38"/>
      <c r="AK2177" s="38"/>
      <c r="AL2177" s="38"/>
      <c r="AM2177" s="38"/>
      <c r="AN2177" s="38"/>
      <c r="AO2177" s="38"/>
      <c r="AP2177" s="38"/>
      <c r="AQ2177" s="38"/>
      <c r="AR2177" s="38"/>
      <c r="AS2177" s="38"/>
      <c r="AT2177" s="38"/>
      <c r="AU2177" s="38"/>
      <c r="AV2177" s="38"/>
      <c r="AW2177" s="38"/>
      <c r="AX2177" s="38"/>
      <c r="AY2177" s="38"/>
      <c r="AZ2177" s="38"/>
      <c r="BA2177" s="38"/>
      <c r="BB2177" s="38"/>
      <c r="BC2177" s="38"/>
      <c r="BD2177" s="38"/>
      <c r="BE2177" s="38"/>
      <c r="BF2177" s="38"/>
      <c r="BG2177" s="38"/>
    </row>
    <row r="2178">
      <c r="A2178" s="16"/>
      <c r="B2178" s="16"/>
      <c r="C2178" s="146"/>
      <c r="D2178" s="146"/>
      <c r="E2178" s="16"/>
      <c r="F2178" s="91"/>
      <c r="G2178" s="16"/>
      <c r="H2178" s="320" t="str">
        <f t="shared" si="1"/>
        <v/>
      </c>
      <c r="I2178" s="16"/>
      <c r="J2178" s="16"/>
      <c r="K2178" s="16"/>
      <c r="L2178" s="38"/>
      <c r="M2178" s="16"/>
      <c r="N2178" s="16"/>
      <c r="O2178" s="16"/>
      <c r="P2178" s="15"/>
      <c r="Q2178" s="15"/>
      <c r="R2178" s="16"/>
      <c r="S2178" s="16"/>
      <c r="T2178" s="16"/>
      <c r="U2178" s="16"/>
      <c r="V2178" s="37" t="str">
        <f>IFERROR(__xludf.DUMMYFUNCTION("if(not(iserror(index(split(C2178, "" ""),2))), index(split(C2178, "" ""),1),"""")"),"")</f>
        <v/>
      </c>
      <c r="W2178" s="315" t="str">
        <f>IFERROR(__xludf.DUMMYFUNCTION("if(V2178="""",C2178,if(not(iserror(index(split(C2178, "" ""),3))), index(split(C2178, "" ""),3),index(split(C2178, "" ""),2)))"),"")</f>
        <v/>
      </c>
      <c r="X2178" s="38" t="b">
        <f t="shared" si="2"/>
        <v>0</v>
      </c>
      <c r="Y2178" s="38"/>
      <c r="Z2178" s="40"/>
      <c r="AA2178" s="40"/>
      <c r="AB2178" s="38"/>
      <c r="AC2178" s="38"/>
      <c r="AD2178" s="38"/>
      <c r="AE2178" s="38"/>
      <c r="AF2178" s="38"/>
      <c r="AG2178" s="38"/>
      <c r="AH2178" s="38"/>
      <c r="AI2178" s="38"/>
      <c r="AJ2178" s="38"/>
      <c r="AK2178" s="38"/>
      <c r="AL2178" s="38"/>
      <c r="AM2178" s="38"/>
      <c r="AN2178" s="38"/>
      <c r="AO2178" s="38"/>
      <c r="AP2178" s="38"/>
      <c r="AQ2178" s="38"/>
      <c r="AR2178" s="38"/>
      <c r="AS2178" s="38"/>
      <c r="AT2178" s="38"/>
      <c r="AU2178" s="38"/>
      <c r="AV2178" s="38"/>
      <c r="AW2178" s="38"/>
      <c r="AX2178" s="38"/>
      <c r="AY2178" s="38"/>
      <c r="AZ2178" s="38"/>
      <c r="BA2178" s="38"/>
      <c r="BB2178" s="38"/>
      <c r="BC2178" s="38"/>
      <c r="BD2178" s="38"/>
      <c r="BE2178" s="38"/>
      <c r="BF2178" s="38"/>
      <c r="BG2178" s="38"/>
    </row>
    <row r="2179">
      <c r="A2179" s="16"/>
      <c r="B2179" s="16"/>
      <c r="C2179" s="146"/>
      <c r="D2179" s="146"/>
      <c r="E2179" s="16"/>
      <c r="F2179" s="91"/>
      <c r="G2179" s="16"/>
      <c r="H2179" s="320" t="str">
        <f t="shared" si="1"/>
        <v/>
      </c>
      <c r="I2179" s="16"/>
      <c r="J2179" s="16"/>
      <c r="K2179" s="16"/>
      <c r="L2179" s="38"/>
      <c r="M2179" s="16"/>
      <c r="N2179" s="16"/>
      <c r="O2179" s="16"/>
      <c r="P2179" s="15"/>
      <c r="Q2179" s="15"/>
      <c r="R2179" s="16"/>
      <c r="S2179" s="16"/>
      <c r="T2179" s="16"/>
      <c r="U2179" s="16"/>
      <c r="V2179" s="37" t="str">
        <f>IFERROR(__xludf.DUMMYFUNCTION("if(not(iserror(index(split(C2179, "" ""),2))), index(split(C2179, "" ""),1),"""")"),"")</f>
        <v/>
      </c>
      <c r="W2179" s="315" t="str">
        <f>IFERROR(__xludf.DUMMYFUNCTION("if(V2179="""",C2179,if(not(iserror(index(split(C2179, "" ""),3))), index(split(C2179, "" ""),3),index(split(C2179, "" ""),2)))"),"")</f>
        <v/>
      </c>
      <c r="X2179" s="38" t="b">
        <f t="shared" si="2"/>
        <v>0</v>
      </c>
      <c r="Y2179" s="38"/>
      <c r="Z2179" s="40"/>
      <c r="AA2179" s="40"/>
      <c r="AB2179" s="38"/>
      <c r="AC2179" s="38"/>
      <c r="AD2179" s="38"/>
      <c r="AE2179" s="38"/>
      <c r="AF2179" s="38"/>
      <c r="AG2179" s="38"/>
      <c r="AH2179" s="38"/>
      <c r="AI2179" s="38"/>
      <c r="AJ2179" s="38"/>
      <c r="AK2179" s="38"/>
      <c r="AL2179" s="38"/>
      <c r="AM2179" s="38"/>
      <c r="AN2179" s="38"/>
      <c r="AO2179" s="38"/>
      <c r="AP2179" s="38"/>
      <c r="AQ2179" s="38"/>
      <c r="AR2179" s="38"/>
      <c r="AS2179" s="38"/>
      <c r="AT2179" s="38"/>
      <c r="AU2179" s="38"/>
      <c r="AV2179" s="38"/>
      <c r="AW2179" s="38"/>
      <c r="AX2179" s="38"/>
      <c r="AY2179" s="38"/>
      <c r="AZ2179" s="38"/>
      <c r="BA2179" s="38"/>
      <c r="BB2179" s="38"/>
      <c r="BC2179" s="38"/>
      <c r="BD2179" s="38"/>
      <c r="BE2179" s="38"/>
      <c r="BF2179" s="38"/>
      <c r="BG2179" s="38"/>
    </row>
    <row r="2180">
      <c r="A2180" s="16"/>
      <c r="B2180" s="16"/>
      <c r="C2180" s="146"/>
      <c r="D2180" s="146"/>
      <c r="E2180" s="16"/>
      <c r="F2180" s="91"/>
      <c r="G2180" s="16"/>
      <c r="H2180" s="320" t="str">
        <f t="shared" si="1"/>
        <v/>
      </c>
      <c r="I2180" s="16"/>
      <c r="J2180" s="16"/>
      <c r="K2180" s="16"/>
      <c r="L2180" s="38"/>
      <c r="M2180" s="16"/>
      <c r="N2180" s="16"/>
      <c r="O2180" s="16"/>
      <c r="P2180" s="15"/>
      <c r="Q2180" s="15"/>
      <c r="R2180" s="16"/>
      <c r="S2180" s="16"/>
      <c r="T2180" s="16"/>
      <c r="U2180" s="16"/>
      <c r="V2180" s="37" t="str">
        <f>IFERROR(__xludf.DUMMYFUNCTION("if(not(iserror(index(split(C2180, "" ""),2))), index(split(C2180, "" ""),1),"""")"),"")</f>
        <v/>
      </c>
      <c r="W2180" s="315" t="str">
        <f>IFERROR(__xludf.DUMMYFUNCTION("if(V2180="""",C2180,if(not(iserror(index(split(C2180, "" ""),3))), index(split(C2180, "" ""),3),index(split(C2180, "" ""),2)))"),"")</f>
        <v/>
      </c>
      <c r="X2180" s="38" t="b">
        <f t="shared" si="2"/>
        <v>0</v>
      </c>
      <c r="Y2180" s="38"/>
      <c r="Z2180" s="40"/>
      <c r="AA2180" s="40"/>
      <c r="AB2180" s="38"/>
      <c r="AC2180" s="38"/>
      <c r="AD2180" s="38"/>
      <c r="AE2180" s="38"/>
      <c r="AF2180" s="38"/>
      <c r="AG2180" s="38"/>
      <c r="AH2180" s="38"/>
      <c r="AI2180" s="38"/>
      <c r="AJ2180" s="38"/>
      <c r="AK2180" s="38"/>
      <c r="AL2180" s="38"/>
      <c r="AM2180" s="38"/>
      <c r="AN2180" s="38"/>
      <c r="AO2180" s="38"/>
      <c r="AP2180" s="38"/>
      <c r="AQ2180" s="38"/>
      <c r="AR2180" s="38"/>
      <c r="AS2180" s="38"/>
      <c r="AT2180" s="38"/>
      <c r="AU2180" s="38"/>
      <c r="AV2180" s="38"/>
      <c r="AW2180" s="38"/>
      <c r="AX2180" s="38"/>
      <c r="AY2180" s="38"/>
      <c r="AZ2180" s="38"/>
      <c r="BA2180" s="38"/>
      <c r="BB2180" s="38"/>
      <c r="BC2180" s="38"/>
      <c r="BD2180" s="38"/>
      <c r="BE2180" s="38"/>
      <c r="BF2180" s="38"/>
      <c r="BG2180" s="38"/>
    </row>
    <row r="2181">
      <c r="A2181" s="16"/>
      <c r="B2181" s="16"/>
      <c r="C2181" s="146"/>
      <c r="D2181" s="146"/>
      <c r="E2181" s="16"/>
      <c r="F2181" s="91"/>
      <c r="G2181" s="16"/>
      <c r="H2181" s="320" t="str">
        <f t="shared" si="1"/>
        <v/>
      </c>
      <c r="I2181" s="16"/>
      <c r="J2181" s="16"/>
      <c r="K2181" s="16"/>
      <c r="L2181" s="38"/>
      <c r="M2181" s="16"/>
      <c r="N2181" s="16"/>
      <c r="O2181" s="16"/>
      <c r="P2181" s="15"/>
      <c r="Q2181" s="15"/>
      <c r="R2181" s="16"/>
      <c r="S2181" s="16"/>
      <c r="T2181" s="16"/>
      <c r="U2181" s="16"/>
      <c r="V2181" s="37" t="str">
        <f>IFERROR(__xludf.DUMMYFUNCTION("if(not(iserror(index(split(C2181, "" ""),2))), index(split(C2181, "" ""),1),"""")"),"")</f>
        <v/>
      </c>
      <c r="W2181" s="315" t="str">
        <f>IFERROR(__xludf.DUMMYFUNCTION("if(V2181="""",C2181,if(not(iserror(index(split(C2181, "" ""),3))), index(split(C2181, "" ""),3),index(split(C2181, "" ""),2)))"),"")</f>
        <v/>
      </c>
      <c r="X2181" s="38" t="b">
        <f t="shared" si="2"/>
        <v>0</v>
      </c>
      <c r="Y2181" s="38"/>
      <c r="Z2181" s="40"/>
      <c r="AA2181" s="40"/>
      <c r="AB2181" s="38"/>
      <c r="AC2181" s="38"/>
      <c r="AD2181" s="38"/>
      <c r="AE2181" s="38"/>
      <c r="AF2181" s="38"/>
      <c r="AG2181" s="38"/>
      <c r="AH2181" s="38"/>
      <c r="AI2181" s="38"/>
      <c r="AJ2181" s="38"/>
      <c r="AK2181" s="38"/>
      <c r="AL2181" s="38"/>
      <c r="AM2181" s="38"/>
      <c r="AN2181" s="38"/>
      <c r="AO2181" s="38"/>
      <c r="AP2181" s="38"/>
      <c r="AQ2181" s="38"/>
      <c r="AR2181" s="38"/>
      <c r="AS2181" s="38"/>
      <c r="AT2181" s="38"/>
      <c r="AU2181" s="38"/>
      <c r="AV2181" s="38"/>
      <c r="AW2181" s="38"/>
      <c r="AX2181" s="38"/>
      <c r="AY2181" s="38"/>
      <c r="AZ2181" s="38"/>
      <c r="BA2181" s="38"/>
      <c r="BB2181" s="38"/>
      <c r="BC2181" s="38"/>
      <c r="BD2181" s="38"/>
      <c r="BE2181" s="38"/>
      <c r="BF2181" s="38"/>
      <c r="BG2181" s="38"/>
    </row>
    <row r="2182">
      <c r="A2182" s="16"/>
      <c r="B2182" s="16"/>
      <c r="C2182" s="146"/>
      <c r="D2182" s="146"/>
      <c r="E2182" s="16"/>
      <c r="F2182" s="91"/>
      <c r="G2182" s="16"/>
      <c r="H2182" s="320" t="str">
        <f t="shared" si="1"/>
        <v/>
      </c>
      <c r="I2182" s="16"/>
      <c r="J2182" s="16"/>
      <c r="K2182" s="16"/>
      <c r="L2182" s="38"/>
      <c r="M2182" s="16"/>
      <c r="N2182" s="16"/>
      <c r="O2182" s="16"/>
      <c r="P2182" s="15"/>
      <c r="Q2182" s="15"/>
      <c r="R2182" s="16"/>
      <c r="S2182" s="16"/>
      <c r="T2182" s="16"/>
      <c r="U2182" s="16"/>
      <c r="V2182" s="37" t="str">
        <f>IFERROR(__xludf.DUMMYFUNCTION("if(not(iserror(index(split(C2182, "" ""),2))), index(split(C2182, "" ""),1),"""")"),"")</f>
        <v/>
      </c>
      <c r="W2182" s="315" t="str">
        <f>IFERROR(__xludf.DUMMYFUNCTION("if(V2182="""",C2182,if(not(iserror(index(split(C2182, "" ""),3))), index(split(C2182, "" ""),3),index(split(C2182, "" ""),2)))"),"")</f>
        <v/>
      </c>
      <c r="X2182" s="38" t="b">
        <f t="shared" si="2"/>
        <v>0</v>
      </c>
      <c r="Y2182" s="38"/>
      <c r="Z2182" s="40"/>
      <c r="AA2182" s="40"/>
      <c r="AB2182" s="38"/>
      <c r="AC2182" s="38"/>
      <c r="AD2182" s="38"/>
      <c r="AE2182" s="38"/>
      <c r="AF2182" s="38"/>
      <c r="AG2182" s="38"/>
      <c r="AH2182" s="38"/>
      <c r="AI2182" s="38"/>
      <c r="AJ2182" s="38"/>
      <c r="AK2182" s="38"/>
      <c r="AL2182" s="38"/>
      <c r="AM2182" s="38"/>
      <c r="AN2182" s="38"/>
      <c r="AO2182" s="38"/>
      <c r="AP2182" s="38"/>
      <c r="AQ2182" s="38"/>
      <c r="AR2182" s="38"/>
      <c r="AS2182" s="38"/>
      <c r="AT2182" s="38"/>
      <c r="AU2182" s="38"/>
      <c r="AV2182" s="38"/>
      <c r="AW2182" s="38"/>
      <c r="AX2182" s="38"/>
      <c r="AY2182" s="38"/>
      <c r="AZ2182" s="38"/>
      <c r="BA2182" s="38"/>
      <c r="BB2182" s="38"/>
      <c r="BC2182" s="38"/>
      <c r="BD2182" s="38"/>
      <c r="BE2182" s="38"/>
      <c r="BF2182" s="38"/>
      <c r="BG2182" s="38"/>
    </row>
    <row r="2183">
      <c r="A2183" s="16"/>
      <c r="B2183" s="16"/>
      <c r="C2183" s="146"/>
      <c r="D2183" s="146"/>
      <c r="E2183" s="16"/>
      <c r="F2183" s="91"/>
      <c r="G2183" s="16"/>
      <c r="H2183" s="320" t="str">
        <f t="shared" si="1"/>
        <v/>
      </c>
      <c r="I2183" s="16"/>
      <c r="J2183" s="16"/>
      <c r="K2183" s="16"/>
      <c r="L2183" s="38"/>
      <c r="M2183" s="16"/>
      <c r="N2183" s="16"/>
      <c r="O2183" s="16"/>
      <c r="P2183" s="15"/>
      <c r="Q2183" s="15"/>
      <c r="R2183" s="16"/>
      <c r="S2183" s="16"/>
      <c r="T2183" s="16"/>
      <c r="U2183" s="16"/>
      <c r="V2183" s="37" t="str">
        <f>IFERROR(__xludf.DUMMYFUNCTION("if(not(iserror(index(split(C2183, "" ""),2))), index(split(C2183, "" ""),1),"""")"),"")</f>
        <v/>
      </c>
      <c r="W2183" s="315" t="str">
        <f>IFERROR(__xludf.DUMMYFUNCTION("if(V2183="""",C2183,if(not(iserror(index(split(C2183, "" ""),3))), index(split(C2183, "" ""),3),index(split(C2183, "" ""),2)))"),"")</f>
        <v/>
      </c>
      <c r="X2183" s="38" t="b">
        <f t="shared" si="2"/>
        <v>0</v>
      </c>
      <c r="Y2183" s="38"/>
      <c r="Z2183" s="40"/>
      <c r="AA2183" s="40"/>
      <c r="AB2183" s="38"/>
      <c r="AC2183" s="38"/>
      <c r="AD2183" s="38"/>
      <c r="AE2183" s="38"/>
      <c r="AF2183" s="38"/>
      <c r="AG2183" s="38"/>
      <c r="AH2183" s="38"/>
      <c r="AI2183" s="38"/>
      <c r="AJ2183" s="38"/>
      <c r="AK2183" s="38"/>
      <c r="AL2183" s="38"/>
      <c r="AM2183" s="38"/>
      <c r="AN2183" s="38"/>
      <c r="AO2183" s="38"/>
      <c r="AP2183" s="38"/>
      <c r="AQ2183" s="38"/>
      <c r="AR2183" s="38"/>
      <c r="AS2183" s="38"/>
      <c r="AT2183" s="38"/>
      <c r="AU2183" s="38"/>
      <c r="AV2183" s="38"/>
      <c r="AW2183" s="38"/>
      <c r="AX2183" s="38"/>
      <c r="AY2183" s="38"/>
      <c r="AZ2183" s="38"/>
      <c r="BA2183" s="38"/>
      <c r="BB2183" s="38"/>
      <c r="BC2183" s="38"/>
      <c r="BD2183" s="38"/>
      <c r="BE2183" s="38"/>
      <c r="BF2183" s="38"/>
      <c r="BG2183" s="38"/>
    </row>
    <row r="2184">
      <c r="A2184" s="16"/>
      <c r="B2184" s="16"/>
      <c r="C2184" s="146"/>
      <c r="D2184" s="146"/>
      <c r="E2184" s="16"/>
      <c r="F2184" s="91"/>
      <c r="G2184" s="16"/>
      <c r="H2184" s="320" t="str">
        <f t="shared" si="1"/>
        <v/>
      </c>
      <c r="I2184" s="16"/>
      <c r="J2184" s="16"/>
      <c r="K2184" s="16"/>
      <c r="L2184" s="38"/>
      <c r="M2184" s="16"/>
      <c r="N2184" s="16"/>
      <c r="O2184" s="16"/>
      <c r="P2184" s="15"/>
      <c r="Q2184" s="15"/>
      <c r="R2184" s="16"/>
      <c r="S2184" s="16"/>
      <c r="T2184" s="16"/>
      <c r="U2184" s="16"/>
      <c r="V2184" s="37" t="str">
        <f>IFERROR(__xludf.DUMMYFUNCTION("if(not(iserror(index(split(C2184, "" ""),2))), index(split(C2184, "" ""),1),"""")"),"")</f>
        <v/>
      </c>
      <c r="W2184" s="315" t="str">
        <f>IFERROR(__xludf.DUMMYFUNCTION("if(V2184="""",C2184,if(not(iserror(index(split(C2184, "" ""),3))), index(split(C2184, "" ""),3),index(split(C2184, "" ""),2)))"),"")</f>
        <v/>
      </c>
      <c r="X2184" s="38" t="b">
        <f t="shared" si="2"/>
        <v>0</v>
      </c>
      <c r="Y2184" s="38"/>
      <c r="Z2184" s="40"/>
      <c r="AA2184" s="40"/>
      <c r="AB2184" s="38"/>
      <c r="AC2184" s="38"/>
      <c r="AD2184" s="38"/>
      <c r="AE2184" s="38"/>
      <c r="AF2184" s="38"/>
      <c r="AG2184" s="38"/>
      <c r="AH2184" s="38"/>
      <c r="AI2184" s="38"/>
      <c r="AJ2184" s="38"/>
      <c r="AK2184" s="38"/>
      <c r="AL2184" s="38"/>
      <c r="AM2184" s="38"/>
      <c r="AN2184" s="38"/>
      <c r="AO2184" s="38"/>
      <c r="AP2184" s="38"/>
      <c r="AQ2184" s="38"/>
      <c r="AR2184" s="38"/>
      <c r="AS2184" s="38"/>
      <c r="AT2184" s="38"/>
      <c r="AU2184" s="38"/>
      <c r="AV2184" s="38"/>
      <c r="AW2184" s="38"/>
      <c r="AX2184" s="38"/>
      <c r="AY2184" s="38"/>
      <c r="AZ2184" s="38"/>
      <c r="BA2184" s="38"/>
      <c r="BB2184" s="38"/>
      <c r="BC2184" s="38"/>
      <c r="BD2184" s="38"/>
      <c r="BE2184" s="38"/>
      <c r="BF2184" s="38"/>
      <c r="BG2184" s="38"/>
    </row>
    <row r="2185">
      <c r="A2185" s="16"/>
      <c r="B2185" s="16"/>
      <c r="C2185" s="146"/>
      <c r="D2185" s="146"/>
      <c r="E2185" s="16"/>
      <c r="F2185" s="91"/>
      <c r="G2185" s="16"/>
      <c r="H2185" s="320" t="str">
        <f t="shared" si="1"/>
        <v/>
      </c>
      <c r="I2185" s="16"/>
      <c r="J2185" s="16"/>
      <c r="K2185" s="16"/>
      <c r="L2185" s="38"/>
      <c r="M2185" s="16"/>
      <c r="N2185" s="16"/>
      <c r="O2185" s="16"/>
      <c r="P2185" s="15"/>
      <c r="Q2185" s="15"/>
      <c r="R2185" s="16"/>
      <c r="S2185" s="16"/>
      <c r="T2185" s="16"/>
      <c r="U2185" s="16"/>
      <c r="V2185" s="37" t="str">
        <f>IFERROR(__xludf.DUMMYFUNCTION("if(not(iserror(index(split(C2185, "" ""),2))), index(split(C2185, "" ""),1),"""")"),"")</f>
        <v/>
      </c>
      <c r="W2185" s="315" t="str">
        <f>IFERROR(__xludf.DUMMYFUNCTION("if(V2185="""",C2185,if(not(iserror(index(split(C2185, "" ""),3))), index(split(C2185, "" ""),3),index(split(C2185, "" ""),2)))"),"")</f>
        <v/>
      </c>
      <c r="X2185" s="38" t="b">
        <f t="shared" si="2"/>
        <v>0</v>
      </c>
      <c r="Y2185" s="38"/>
      <c r="Z2185" s="40"/>
      <c r="AA2185" s="40"/>
      <c r="AB2185" s="38"/>
      <c r="AC2185" s="38"/>
      <c r="AD2185" s="38"/>
      <c r="AE2185" s="38"/>
      <c r="AF2185" s="38"/>
      <c r="AG2185" s="38"/>
      <c r="AH2185" s="38"/>
      <c r="AI2185" s="38"/>
      <c r="AJ2185" s="38"/>
      <c r="AK2185" s="38"/>
      <c r="AL2185" s="38"/>
      <c r="AM2185" s="38"/>
      <c r="AN2185" s="38"/>
      <c r="AO2185" s="38"/>
      <c r="AP2185" s="38"/>
      <c r="AQ2185" s="38"/>
      <c r="AR2185" s="38"/>
      <c r="AS2185" s="38"/>
      <c r="AT2185" s="38"/>
      <c r="AU2185" s="38"/>
      <c r="AV2185" s="38"/>
      <c r="AW2185" s="38"/>
      <c r="AX2185" s="38"/>
      <c r="AY2185" s="38"/>
      <c r="AZ2185" s="38"/>
      <c r="BA2185" s="38"/>
      <c r="BB2185" s="38"/>
      <c r="BC2185" s="38"/>
      <c r="BD2185" s="38"/>
      <c r="BE2185" s="38"/>
      <c r="BF2185" s="38"/>
      <c r="BG2185" s="38"/>
    </row>
    <row r="2186">
      <c r="A2186" s="16"/>
      <c r="B2186" s="16"/>
      <c r="C2186" s="146"/>
      <c r="D2186" s="146"/>
      <c r="E2186" s="16"/>
      <c r="F2186" s="91"/>
      <c r="G2186" s="16"/>
      <c r="H2186" s="320" t="str">
        <f t="shared" si="1"/>
        <v/>
      </c>
      <c r="I2186" s="16"/>
      <c r="J2186" s="16"/>
      <c r="K2186" s="16"/>
      <c r="L2186" s="38"/>
      <c r="M2186" s="16"/>
      <c r="N2186" s="16"/>
      <c r="O2186" s="16"/>
      <c r="P2186" s="15"/>
      <c r="Q2186" s="15"/>
      <c r="R2186" s="16"/>
      <c r="S2186" s="16"/>
      <c r="T2186" s="16"/>
      <c r="U2186" s="16"/>
      <c r="V2186" s="37" t="str">
        <f>IFERROR(__xludf.DUMMYFUNCTION("if(not(iserror(index(split(C2186, "" ""),2))), index(split(C2186, "" ""),1),"""")"),"")</f>
        <v/>
      </c>
      <c r="W2186" s="315" t="str">
        <f>IFERROR(__xludf.DUMMYFUNCTION("if(V2186="""",C2186,if(not(iserror(index(split(C2186, "" ""),3))), index(split(C2186, "" ""),3),index(split(C2186, "" ""),2)))"),"")</f>
        <v/>
      </c>
      <c r="X2186" s="38" t="b">
        <f t="shared" si="2"/>
        <v>0</v>
      </c>
      <c r="Y2186" s="38"/>
      <c r="Z2186" s="40"/>
      <c r="AA2186" s="40"/>
      <c r="AB2186" s="38"/>
      <c r="AC2186" s="38"/>
      <c r="AD2186" s="38"/>
      <c r="AE2186" s="38"/>
      <c r="AF2186" s="38"/>
      <c r="AG2186" s="38"/>
      <c r="AH2186" s="38"/>
      <c r="AI2186" s="38"/>
      <c r="AJ2186" s="38"/>
      <c r="AK2186" s="38"/>
      <c r="AL2186" s="38"/>
      <c r="AM2186" s="38"/>
      <c r="AN2186" s="38"/>
      <c r="AO2186" s="38"/>
      <c r="AP2186" s="38"/>
      <c r="AQ2186" s="38"/>
      <c r="AR2186" s="38"/>
      <c r="AS2186" s="38"/>
      <c r="AT2186" s="38"/>
      <c r="AU2186" s="38"/>
      <c r="AV2186" s="38"/>
      <c r="AW2186" s="38"/>
      <c r="AX2186" s="38"/>
      <c r="AY2186" s="38"/>
      <c r="AZ2186" s="38"/>
      <c r="BA2186" s="38"/>
      <c r="BB2186" s="38"/>
      <c r="BC2186" s="38"/>
      <c r="BD2186" s="38"/>
      <c r="BE2186" s="38"/>
      <c r="BF2186" s="38"/>
      <c r="BG2186" s="38"/>
    </row>
    <row r="2187">
      <c r="A2187" s="16"/>
      <c r="B2187" s="16"/>
      <c r="C2187" s="146"/>
      <c r="D2187" s="146"/>
      <c r="E2187" s="16"/>
      <c r="F2187" s="91"/>
      <c r="G2187" s="16"/>
      <c r="H2187" s="320" t="str">
        <f t="shared" si="1"/>
        <v/>
      </c>
      <c r="I2187" s="16"/>
      <c r="J2187" s="16"/>
      <c r="K2187" s="16"/>
      <c r="L2187" s="38"/>
      <c r="M2187" s="16"/>
      <c r="N2187" s="16"/>
      <c r="O2187" s="16"/>
      <c r="P2187" s="15"/>
      <c r="Q2187" s="15"/>
      <c r="R2187" s="16"/>
      <c r="S2187" s="16"/>
      <c r="T2187" s="16"/>
      <c r="U2187" s="16"/>
      <c r="V2187" s="37" t="str">
        <f>IFERROR(__xludf.DUMMYFUNCTION("if(not(iserror(index(split(C2187, "" ""),2))), index(split(C2187, "" ""),1),"""")"),"")</f>
        <v/>
      </c>
      <c r="W2187" s="315" t="str">
        <f>IFERROR(__xludf.DUMMYFUNCTION("if(V2187="""",C2187,if(not(iserror(index(split(C2187, "" ""),3))), index(split(C2187, "" ""),3),index(split(C2187, "" ""),2)))"),"")</f>
        <v/>
      </c>
      <c r="X2187" s="38" t="b">
        <f t="shared" si="2"/>
        <v>0</v>
      </c>
      <c r="Y2187" s="38"/>
      <c r="Z2187" s="40"/>
      <c r="AA2187" s="40"/>
      <c r="AB2187" s="38"/>
      <c r="AC2187" s="38"/>
      <c r="AD2187" s="38"/>
      <c r="AE2187" s="38"/>
      <c r="AF2187" s="38"/>
      <c r="AG2187" s="38"/>
      <c r="AH2187" s="38"/>
      <c r="AI2187" s="38"/>
      <c r="AJ2187" s="38"/>
      <c r="AK2187" s="38"/>
      <c r="AL2187" s="38"/>
      <c r="AM2187" s="38"/>
      <c r="AN2187" s="38"/>
      <c r="AO2187" s="38"/>
      <c r="AP2187" s="38"/>
      <c r="AQ2187" s="38"/>
      <c r="AR2187" s="38"/>
      <c r="AS2187" s="38"/>
      <c r="AT2187" s="38"/>
      <c r="AU2187" s="38"/>
      <c r="AV2187" s="38"/>
      <c r="AW2187" s="38"/>
      <c r="AX2187" s="38"/>
      <c r="AY2187" s="38"/>
      <c r="AZ2187" s="38"/>
      <c r="BA2187" s="38"/>
      <c r="BB2187" s="38"/>
      <c r="BC2187" s="38"/>
      <c r="BD2187" s="38"/>
      <c r="BE2187" s="38"/>
      <c r="BF2187" s="38"/>
      <c r="BG2187" s="38"/>
    </row>
    <row r="2188">
      <c r="A2188" s="16"/>
      <c r="B2188" s="16"/>
      <c r="C2188" s="146"/>
      <c r="D2188" s="146"/>
      <c r="E2188" s="16"/>
      <c r="F2188" s="91"/>
      <c r="G2188" s="16"/>
      <c r="H2188" s="320" t="str">
        <f t="shared" si="1"/>
        <v/>
      </c>
      <c r="I2188" s="16"/>
      <c r="J2188" s="16"/>
      <c r="K2188" s="16"/>
      <c r="L2188" s="38"/>
      <c r="M2188" s="16"/>
      <c r="N2188" s="16"/>
      <c r="O2188" s="16"/>
      <c r="P2188" s="15"/>
      <c r="Q2188" s="15"/>
      <c r="R2188" s="16"/>
      <c r="S2188" s="16"/>
      <c r="T2188" s="16"/>
      <c r="U2188" s="16"/>
      <c r="V2188" s="37" t="str">
        <f>IFERROR(__xludf.DUMMYFUNCTION("if(not(iserror(index(split(C2188, "" ""),2))), index(split(C2188, "" ""),1),"""")"),"")</f>
        <v/>
      </c>
      <c r="W2188" s="315" t="str">
        <f>IFERROR(__xludf.DUMMYFUNCTION("if(V2188="""",C2188,if(not(iserror(index(split(C2188, "" ""),3))), index(split(C2188, "" ""),3),index(split(C2188, "" ""),2)))"),"")</f>
        <v/>
      </c>
      <c r="X2188" s="38" t="b">
        <f t="shared" si="2"/>
        <v>0</v>
      </c>
      <c r="Y2188" s="38"/>
      <c r="Z2188" s="40"/>
      <c r="AA2188" s="40"/>
      <c r="AB2188" s="38"/>
      <c r="AC2188" s="38"/>
      <c r="AD2188" s="38"/>
      <c r="AE2188" s="38"/>
      <c r="AF2188" s="38"/>
      <c r="AG2188" s="38"/>
      <c r="AH2188" s="38"/>
      <c r="AI2188" s="38"/>
      <c r="AJ2188" s="38"/>
      <c r="AK2188" s="38"/>
      <c r="AL2188" s="38"/>
      <c r="AM2188" s="38"/>
      <c r="AN2188" s="38"/>
      <c r="AO2188" s="38"/>
      <c r="AP2188" s="38"/>
      <c r="AQ2188" s="38"/>
      <c r="AR2188" s="38"/>
      <c r="AS2188" s="38"/>
      <c r="AT2188" s="38"/>
      <c r="AU2188" s="38"/>
      <c r="AV2188" s="38"/>
      <c r="AW2188" s="38"/>
      <c r="AX2188" s="38"/>
      <c r="AY2188" s="38"/>
      <c r="AZ2188" s="38"/>
      <c r="BA2188" s="38"/>
      <c r="BB2188" s="38"/>
      <c r="BC2188" s="38"/>
      <c r="BD2188" s="38"/>
      <c r="BE2188" s="38"/>
      <c r="BF2188" s="38"/>
      <c r="BG2188" s="38"/>
    </row>
    <row r="2189">
      <c r="A2189" s="16"/>
      <c r="B2189" s="16"/>
      <c r="C2189" s="146"/>
      <c r="D2189" s="146"/>
      <c r="E2189" s="16"/>
      <c r="F2189" s="91"/>
      <c r="G2189" s="16"/>
      <c r="H2189" s="320" t="str">
        <f t="shared" si="1"/>
        <v/>
      </c>
      <c r="I2189" s="16"/>
      <c r="J2189" s="16"/>
      <c r="K2189" s="16"/>
      <c r="L2189" s="38"/>
      <c r="M2189" s="16"/>
      <c r="N2189" s="16"/>
      <c r="O2189" s="16"/>
      <c r="P2189" s="15"/>
      <c r="Q2189" s="15"/>
      <c r="R2189" s="16"/>
      <c r="S2189" s="16"/>
      <c r="T2189" s="16"/>
      <c r="U2189" s="16"/>
      <c r="V2189" s="37" t="str">
        <f>IFERROR(__xludf.DUMMYFUNCTION("if(not(iserror(index(split(C2189, "" ""),2))), index(split(C2189, "" ""),1),"""")"),"")</f>
        <v/>
      </c>
      <c r="W2189" s="315" t="str">
        <f>IFERROR(__xludf.DUMMYFUNCTION("if(V2189="""",C2189,if(not(iserror(index(split(C2189, "" ""),3))), index(split(C2189, "" ""),3),index(split(C2189, "" ""),2)))"),"")</f>
        <v/>
      </c>
      <c r="X2189" s="38" t="b">
        <f t="shared" si="2"/>
        <v>0</v>
      </c>
      <c r="Y2189" s="38"/>
      <c r="Z2189" s="40"/>
      <c r="AA2189" s="40"/>
      <c r="AB2189" s="38"/>
      <c r="AC2189" s="38"/>
      <c r="AD2189" s="38"/>
      <c r="AE2189" s="38"/>
      <c r="AF2189" s="38"/>
      <c r="AG2189" s="38"/>
      <c r="AH2189" s="38"/>
      <c r="AI2189" s="38"/>
      <c r="AJ2189" s="38"/>
      <c r="AK2189" s="38"/>
      <c r="AL2189" s="38"/>
      <c r="AM2189" s="38"/>
      <c r="AN2189" s="38"/>
      <c r="AO2189" s="38"/>
      <c r="AP2189" s="38"/>
      <c r="AQ2189" s="38"/>
      <c r="AR2189" s="38"/>
      <c r="AS2189" s="38"/>
      <c r="AT2189" s="38"/>
      <c r="AU2189" s="38"/>
      <c r="AV2189" s="38"/>
      <c r="AW2189" s="38"/>
      <c r="AX2189" s="38"/>
      <c r="AY2189" s="38"/>
      <c r="AZ2189" s="38"/>
      <c r="BA2189" s="38"/>
      <c r="BB2189" s="38"/>
      <c r="BC2189" s="38"/>
      <c r="BD2189" s="38"/>
      <c r="BE2189" s="38"/>
      <c r="BF2189" s="38"/>
      <c r="BG2189" s="38"/>
    </row>
    <row r="2190">
      <c r="A2190" s="16"/>
      <c r="B2190" s="16"/>
      <c r="C2190" s="146"/>
      <c r="D2190" s="146"/>
      <c r="E2190" s="16"/>
      <c r="F2190" s="91"/>
      <c r="G2190" s="16"/>
      <c r="H2190" s="320" t="str">
        <f t="shared" si="1"/>
        <v/>
      </c>
      <c r="I2190" s="16"/>
      <c r="J2190" s="16"/>
      <c r="K2190" s="16"/>
      <c r="L2190" s="38"/>
      <c r="M2190" s="16"/>
      <c r="N2190" s="16"/>
      <c r="O2190" s="16"/>
      <c r="P2190" s="15"/>
      <c r="Q2190" s="15"/>
      <c r="R2190" s="16"/>
      <c r="S2190" s="16"/>
      <c r="T2190" s="16"/>
      <c r="U2190" s="16"/>
      <c r="V2190" s="37" t="str">
        <f>IFERROR(__xludf.DUMMYFUNCTION("if(not(iserror(index(split(C2190, "" ""),2))), index(split(C2190, "" ""),1),"""")"),"")</f>
        <v/>
      </c>
      <c r="W2190" s="315" t="str">
        <f>IFERROR(__xludf.DUMMYFUNCTION("if(V2190="""",C2190,if(not(iserror(index(split(C2190, "" ""),3))), index(split(C2190, "" ""),3),index(split(C2190, "" ""),2)))"),"")</f>
        <v/>
      </c>
      <c r="X2190" s="38" t="b">
        <f t="shared" si="2"/>
        <v>0</v>
      </c>
      <c r="Y2190" s="38"/>
      <c r="Z2190" s="40"/>
      <c r="AA2190" s="40"/>
      <c r="AB2190" s="38"/>
      <c r="AC2190" s="38"/>
      <c r="AD2190" s="38"/>
      <c r="AE2190" s="38"/>
      <c r="AF2190" s="38"/>
      <c r="AG2190" s="38"/>
      <c r="AH2190" s="38"/>
      <c r="AI2190" s="38"/>
      <c r="AJ2190" s="38"/>
      <c r="AK2190" s="38"/>
      <c r="AL2190" s="38"/>
      <c r="AM2190" s="38"/>
      <c r="AN2190" s="38"/>
      <c r="AO2190" s="38"/>
      <c r="AP2190" s="38"/>
      <c r="AQ2190" s="38"/>
      <c r="AR2190" s="38"/>
      <c r="AS2190" s="38"/>
      <c r="AT2190" s="38"/>
      <c r="AU2190" s="38"/>
      <c r="AV2190" s="38"/>
      <c r="AW2190" s="38"/>
      <c r="AX2190" s="38"/>
      <c r="AY2190" s="38"/>
      <c r="AZ2190" s="38"/>
      <c r="BA2190" s="38"/>
      <c r="BB2190" s="38"/>
      <c r="BC2190" s="38"/>
      <c r="BD2190" s="38"/>
      <c r="BE2190" s="38"/>
      <c r="BF2190" s="38"/>
      <c r="BG2190" s="38"/>
    </row>
    <row r="2191">
      <c r="A2191" s="16"/>
      <c r="B2191" s="16"/>
      <c r="C2191" s="146"/>
      <c r="D2191" s="146"/>
      <c r="E2191" s="16"/>
      <c r="F2191" s="91"/>
      <c r="G2191" s="16"/>
      <c r="H2191" s="320" t="str">
        <f t="shared" si="1"/>
        <v/>
      </c>
      <c r="I2191" s="16"/>
      <c r="J2191" s="16"/>
      <c r="K2191" s="16"/>
      <c r="L2191" s="38"/>
      <c r="M2191" s="16"/>
      <c r="N2191" s="16"/>
      <c r="O2191" s="16"/>
      <c r="P2191" s="15"/>
      <c r="Q2191" s="15"/>
      <c r="R2191" s="16"/>
      <c r="S2191" s="16"/>
      <c r="T2191" s="16"/>
      <c r="U2191" s="16"/>
      <c r="V2191" s="37" t="str">
        <f>IFERROR(__xludf.DUMMYFUNCTION("if(not(iserror(index(split(C2191, "" ""),2))), index(split(C2191, "" ""),1),"""")"),"")</f>
        <v/>
      </c>
      <c r="W2191" s="315" t="str">
        <f>IFERROR(__xludf.DUMMYFUNCTION("if(V2191="""",C2191,if(not(iserror(index(split(C2191, "" ""),3))), index(split(C2191, "" ""),3),index(split(C2191, "" ""),2)))"),"")</f>
        <v/>
      </c>
      <c r="X2191" s="38" t="b">
        <f t="shared" si="2"/>
        <v>0</v>
      </c>
      <c r="Y2191" s="38"/>
      <c r="Z2191" s="40"/>
      <c r="AA2191" s="40"/>
      <c r="AB2191" s="38"/>
      <c r="AC2191" s="38"/>
      <c r="AD2191" s="38"/>
      <c r="AE2191" s="38"/>
      <c r="AF2191" s="38"/>
      <c r="AG2191" s="38"/>
      <c r="AH2191" s="38"/>
      <c r="AI2191" s="38"/>
      <c r="AJ2191" s="38"/>
      <c r="AK2191" s="38"/>
      <c r="AL2191" s="38"/>
      <c r="AM2191" s="38"/>
      <c r="AN2191" s="38"/>
      <c r="AO2191" s="38"/>
      <c r="AP2191" s="38"/>
      <c r="AQ2191" s="38"/>
      <c r="AR2191" s="38"/>
      <c r="AS2191" s="38"/>
      <c r="AT2191" s="38"/>
      <c r="AU2191" s="38"/>
      <c r="AV2191" s="38"/>
      <c r="AW2191" s="38"/>
      <c r="AX2191" s="38"/>
      <c r="AY2191" s="38"/>
      <c r="AZ2191" s="38"/>
      <c r="BA2191" s="38"/>
      <c r="BB2191" s="38"/>
      <c r="BC2191" s="38"/>
      <c r="BD2191" s="38"/>
      <c r="BE2191" s="38"/>
      <c r="BF2191" s="38"/>
      <c r="BG2191" s="38"/>
    </row>
    <row r="2192">
      <c r="A2192" s="16"/>
      <c r="B2192" s="16"/>
      <c r="C2192" s="146"/>
      <c r="D2192" s="146"/>
      <c r="E2192" s="16"/>
      <c r="F2192" s="91"/>
      <c r="G2192" s="16"/>
      <c r="H2192" s="320" t="str">
        <f t="shared" si="1"/>
        <v/>
      </c>
      <c r="I2192" s="16"/>
      <c r="J2192" s="16"/>
      <c r="K2192" s="16"/>
      <c r="L2192" s="38"/>
      <c r="M2192" s="16"/>
      <c r="N2192" s="16"/>
      <c r="O2192" s="16"/>
      <c r="P2192" s="15"/>
      <c r="Q2192" s="15"/>
      <c r="R2192" s="16"/>
      <c r="S2192" s="16"/>
      <c r="T2192" s="16"/>
      <c r="U2192" s="16"/>
      <c r="V2192" s="37" t="str">
        <f>IFERROR(__xludf.DUMMYFUNCTION("if(not(iserror(index(split(C2192, "" ""),2))), index(split(C2192, "" ""),1),"""")"),"")</f>
        <v/>
      </c>
      <c r="W2192" s="315" t="str">
        <f>IFERROR(__xludf.DUMMYFUNCTION("if(V2192="""",C2192,if(not(iserror(index(split(C2192, "" ""),3))), index(split(C2192, "" ""),3),index(split(C2192, "" ""),2)))"),"")</f>
        <v/>
      </c>
      <c r="X2192" s="38" t="b">
        <f t="shared" si="2"/>
        <v>0</v>
      </c>
      <c r="Y2192" s="38"/>
      <c r="Z2192" s="40"/>
      <c r="AA2192" s="40"/>
      <c r="AB2192" s="38"/>
      <c r="AC2192" s="38"/>
      <c r="AD2192" s="38"/>
      <c r="AE2192" s="38"/>
      <c r="AF2192" s="38"/>
      <c r="AG2192" s="38"/>
      <c r="AH2192" s="38"/>
      <c r="AI2192" s="38"/>
      <c r="AJ2192" s="38"/>
      <c r="AK2192" s="38"/>
      <c r="AL2192" s="38"/>
      <c r="AM2192" s="38"/>
      <c r="AN2192" s="38"/>
      <c r="AO2192" s="38"/>
      <c r="AP2192" s="38"/>
      <c r="AQ2192" s="38"/>
      <c r="AR2192" s="38"/>
      <c r="AS2192" s="38"/>
      <c r="AT2192" s="38"/>
      <c r="AU2192" s="38"/>
      <c r="AV2192" s="38"/>
      <c r="AW2192" s="38"/>
      <c r="AX2192" s="38"/>
      <c r="AY2192" s="38"/>
      <c r="AZ2192" s="38"/>
      <c r="BA2192" s="38"/>
      <c r="BB2192" s="38"/>
      <c r="BC2192" s="38"/>
      <c r="BD2192" s="38"/>
      <c r="BE2192" s="38"/>
      <c r="BF2192" s="38"/>
      <c r="BG2192" s="38"/>
    </row>
    <row r="2193">
      <c r="A2193" s="16"/>
      <c r="B2193" s="16"/>
      <c r="C2193" s="146"/>
      <c r="D2193" s="146"/>
      <c r="E2193" s="16"/>
      <c r="F2193" s="91"/>
      <c r="G2193" s="16"/>
      <c r="H2193" s="320" t="str">
        <f t="shared" si="1"/>
        <v/>
      </c>
      <c r="I2193" s="16"/>
      <c r="J2193" s="16"/>
      <c r="K2193" s="16"/>
      <c r="L2193" s="38"/>
      <c r="M2193" s="16"/>
      <c r="N2193" s="16"/>
      <c r="O2193" s="16"/>
      <c r="P2193" s="15"/>
      <c r="Q2193" s="15"/>
      <c r="R2193" s="16"/>
      <c r="S2193" s="16"/>
      <c r="T2193" s="16"/>
      <c r="U2193" s="16"/>
      <c r="V2193" s="37" t="str">
        <f>IFERROR(__xludf.DUMMYFUNCTION("if(not(iserror(index(split(C2193, "" ""),2))), index(split(C2193, "" ""),1),"""")"),"")</f>
        <v/>
      </c>
      <c r="W2193" s="315" t="str">
        <f>IFERROR(__xludf.DUMMYFUNCTION("if(V2193="""",C2193,if(not(iserror(index(split(C2193, "" ""),3))), index(split(C2193, "" ""),3),index(split(C2193, "" ""),2)))"),"")</f>
        <v/>
      </c>
      <c r="X2193" s="38" t="b">
        <f t="shared" si="2"/>
        <v>0</v>
      </c>
      <c r="Y2193" s="38"/>
      <c r="Z2193" s="40"/>
      <c r="AA2193" s="40"/>
      <c r="AB2193" s="38"/>
      <c r="AC2193" s="38"/>
      <c r="AD2193" s="38"/>
      <c r="AE2193" s="38"/>
      <c r="AF2193" s="38"/>
      <c r="AG2193" s="38"/>
      <c r="AH2193" s="38"/>
      <c r="AI2193" s="38"/>
      <c r="AJ2193" s="38"/>
      <c r="AK2193" s="38"/>
      <c r="AL2193" s="38"/>
      <c r="AM2193" s="38"/>
      <c r="AN2193" s="38"/>
      <c r="AO2193" s="38"/>
      <c r="AP2193" s="38"/>
      <c r="AQ2193" s="38"/>
      <c r="AR2193" s="38"/>
      <c r="AS2193" s="38"/>
      <c r="AT2193" s="38"/>
      <c r="AU2193" s="38"/>
      <c r="AV2193" s="38"/>
      <c r="AW2193" s="38"/>
      <c r="AX2193" s="38"/>
      <c r="AY2193" s="38"/>
      <c r="AZ2193" s="38"/>
      <c r="BA2193" s="38"/>
      <c r="BB2193" s="38"/>
      <c r="BC2193" s="38"/>
      <c r="BD2193" s="38"/>
      <c r="BE2193" s="38"/>
      <c r="BF2193" s="38"/>
      <c r="BG2193" s="38"/>
    </row>
    <row r="2194">
      <c r="A2194" s="16"/>
      <c r="B2194" s="16"/>
      <c r="C2194" s="146"/>
      <c r="D2194" s="146"/>
      <c r="E2194" s="16"/>
      <c r="F2194" s="91"/>
      <c r="G2194" s="16"/>
      <c r="H2194" s="320" t="str">
        <f t="shared" si="1"/>
        <v/>
      </c>
      <c r="I2194" s="16"/>
      <c r="J2194" s="16"/>
      <c r="K2194" s="16"/>
      <c r="L2194" s="38"/>
      <c r="M2194" s="16"/>
      <c r="N2194" s="16"/>
      <c r="O2194" s="16"/>
      <c r="P2194" s="15"/>
      <c r="Q2194" s="15"/>
      <c r="R2194" s="16"/>
      <c r="S2194" s="16"/>
      <c r="T2194" s="16"/>
      <c r="U2194" s="16"/>
      <c r="V2194" s="37" t="str">
        <f>IFERROR(__xludf.DUMMYFUNCTION("if(not(iserror(index(split(C2194, "" ""),2))), index(split(C2194, "" ""),1),"""")"),"")</f>
        <v/>
      </c>
      <c r="W2194" s="315" t="str">
        <f>IFERROR(__xludf.DUMMYFUNCTION("if(V2194="""",C2194,if(not(iserror(index(split(C2194, "" ""),3))), index(split(C2194, "" ""),3),index(split(C2194, "" ""),2)))"),"")</f>
        <v/>
      </c>
      <c r="X2194" s="38" t="b">
        <f t="shared" si="2"/>
        <v>0</v>
      </c>
      <c r="Y2194" s="38"/>
      <c r="Z2194" s="40"/>
      <c r="AA2194" s="40"/>
      <c r="AB2194" s="38"/>
      <c r="AC2194" s="38"/>
      <c r="AD2194" s="38"/>
      <c r="AE2194" s="38"/>
      <c r="AF2194" s="38"/>
      <c r="AG2194" s="38"/>
      <c r="AH2194" s="38"/>
      <c r="AI2194" s="38"/>
      <c r="AJ2194" s="38"/>
      <c r="AK2194" s="38"/>
      <c r="AL2194" s="38"/>
      <c r="AM2194" s="38"/>
      <c r="AN2194" s="38"/>
      <c r="AO2194" s="38"/>
      <c r="AP2194" s="38"/>
      <c r="AQ2194" s="38"/>
      <c r="AR2194" s="38"/>
      <c r="AS2194" s="38"/>
      <c r="AT2194" s="38"/>
      <c r="AU2194" s="38"/>
      <c r="AV2194" s="38"/>
      <c r="AW2194" s="38"/>
      <c r="AX2194" s="38"/>
      <c r="AY2194" s="38"/>
      <c r="AZ2194" s="38"/>
      <c r="BA2194" s="38"/>
      <c r="BB2194" s="38"/>
      <c r="BC2194" s="38"/>
      <c r="BD2194" s="38"/>
      <c r="BE2194" s="38"/>
      <c r="BF2194" s="38"/>
      <c r="BG2194" s="38"/>
    </row>
    <row r="2195">
      <c r="A2195" s="16"/>
      <c r="B2195" s="16"/>
      <c r="C2195" s="146"/>
      <c r="D2195" s="146"/>
      <c r="E2195" s="16"/>
      <c r="F2195" s="91"/>
      <c r="G2195" s="16"/>
      <c r="H2195" s="320" t="str">
        <f t="shared" si="1"/>
        <v/>
      </c>
      <c r="I2195" s="16"/>
      <c r="J2195" s="16"/>
      <c r="K2195" s="16"/>
      <c r="L2195" s="38"/>
      <c r="M2195" s="16"/>
      <c r="N2195" s="16"/>
      <c r="O2195" s="16"/>
      <c r="P2195" s="15"/>
      <c r="Q2195" s="15"/>
      <c r="R2195" s="16"/>
      <c r="S2195" s="16"/>
      <c r="T2195" s="16"/>
      <c r="U2195" s="16"/>
      <c r="V2195" s="37" t="str">
        <f>IFERROR(__xludf.DUMMYFUNCTION("if(not(iserror(index(split(C2195, "" ""),2))), index(split(C2195, "" ""),1),"""")"),"")</f>
        <v/>
      </c>
      <c r="W2195" s="315" t="str">
        <f>IFERROR(__xludf.DUMMYFUNCTION("if(V2195="""",C2195,if(not(iserror(index(split(C2195, "" ""),3))), index(split(C2195, "" ""),3),index(split(C2195, "" ""),2)))"),"")</f>
        <v/>
      </c>
      <c r="X2195" s="38" t="b">
        <f t="shared" si="2"/>
        <v>0</v>
      </c>
      <c r="Y2195" s="38"/>
      <c r="Z2195" s="40"/>
      <c r="AA2195" s="40"/>
      <c r="AB2195" s="38"/>
      <c r="AC2195" s="38"/>
      <c r="AD2195" s="38"/>
      <c r="AE2195" s="38"/>
      <c r="AF2195" s="38"/>
      <c r="AG2195" s="38"/>
      <c r="AH2195" s="38"/>
      <c r="AI2195" s="38"/>
      <c r="AJ2195" s="38"/>
      <c r="AK2195" s="38"/>
      <c r="AL2195" s="38"/>
      <c r="AM2195" s="38"/>
      <c r="AN2195" s="38"/>
      <c r="AO2195" s="38"/>
      <c r="AP2195" s="38"/>
      <c r="AQ2195" s="38"/>
      <c r="AR2195" s="38"/>
      <c r="AS2195" s="38"/>
      <c r="AT2195" s="38"/>
      <c r="AU2195" s="38"/>
      <c r="AV2195" s="38"/>
      <c r="AW2195" s="38"/>
      <c r="AX2195" s="38"/>
      <c r="AY2195" s="38"/>
      <c r="AZ2195" s="38"/>
      <c r="BA2195" s="38"/>
      <c r="BB2195" s="38"/>
      <c r="BC2195" s="38"/>
      <c r="BD2195" s="38"/>
      <c r="BE2195" s="38"/>
      <c r="BF2195" s="38"/>
      <c r="BG2195" s="38"/>
    </row>
    <row r="2196">
      <c r="A2196" s="16"/>
      <c r="B2196" s="16"/>
      <c r="C2196" s="146"/>
      <c r="D2196" s="146"/>
      <c r="E2196" s="16"/>
      <c r="F2196" s="91"/>
      <c r="G2196" s="16"/>
      <c r="H2196" s="320" t="str">
        <f t="shared" si="1"/>
        <v/>
      </c>
      <c r="I2196" s="16"/>
      <c r="J2196" s="16"/>
      <c r="K2196" s="16"/>
      <c r="L2196" s="38"/>
      <c r="M2196" s="16"/>
      <c r="N2196" s="16"/>
      <c r="O2196" s="16"/>
      <c r="P2196" s="15"/>
      <c r="Q2196" s="15"/>
      <c r="R2196" s="16"/>
      <c r="S2196" s="16"/>
      <c r="T2196" s="16"/>
      <c r="U2196" s="16"/>
      <c r="V2196" s="37" t="str">
        <f>IFERROR(__xludf.DUMMYFUNCTION("if(not(iserror(index(split(C2196, "" ""),2))), index(split(C2196, "" ""),1),"""")"),"")</f>
        <v/>
      </c>
      <c r="W2196" s="315" t="str">
        <f>IFERROR(__xludf.DUMMYFUNCTION("if(V2196="""",C2196,if(not(iserror(index(split(C2196, "" ""),3))), index(split(C2196, "" ""),3),index(split(C2196, "" ""),2)))"),"")</f>
        <v/>
      </c>
      <c r="X2196" s="38" t="b">
        <f t="shared" si="2"/>
        <v>0</v>
      </c>
      <c r="Y2196" s="38"/>
      <c r="Z2196" s="40"/>
      <c r="AA2196" s="40"/>
      <c r="AB2196" s="38"/>
      <c r="AC2196" s="38"/>
      <c r="AD2196" s="38"/>
      <c r="AE2196" s="38"/>
      <c r="AF2196" s="38"/>
      <c r="AG2196" s="38"/>
      <c r="AH2196" s="38"/>
      <c r="AI2196" s="38"/>
      <c r="AJ2196" s="38"/>
      <c r="AK2196" s="38"/>
      <c r="AL2196" s="38"/>
      <c r="AM2196" s="38"/>
      <c r="AN2196" s="38"/>
      <c r="AO2196" s="38"/>
      <c r="AP2196" s="38"/>
      <c r="AQ2196" s="38"/>
      <c r="AR2196" s="38"/>
      <c r="AS2196" s="38"/>
      <c r="AT2196" s="38"/>
      <c r="AU2196" s="38"/>
      <c r="AV2196" s="38"/>
      <c r="AW2196" s="38"/>
      <c r="AX2196" s="38"/>
      <c r="AY2196" s="38"/>
      <c r="AZ2196" s="38"/>
      <c r="BA2196" s="38"/>
      <c r="BB2196" s="38"/>
      <c r="BC2196" s="38"/>
      <c r="BD2196" s="38"/>
      <c r="BE2196" s="38"/>
      <c r="BF2196" s="38"/>
      <c r="BG2196" s="38"/>
    </row>
    <row r="2197">
      <c r="A2197" s="16"/>
      <c r="B2197" s="16"/>
      <c r="C2197" s="146"/>
      <c r="D2197" s="146"/>
      <c r="E2197" s="16"/>
      <c r="F2197" s="91"/>
      <c r="G2197" s="16"/>
      <c r="H2197" s="320" t="str">
        <f t="shared" si="1"/>
        <v/>
      </c>
      <c r="I2197" s="16"/>
      <c r="J2197" s="16"/>
      <c r="K2197" s="16"/>
      <c r="L2197" s="38"/>
      <c r="M2197" s="16"/>
      <c r="N2197" s="16"/>
      <c r="O2197" s="16"/>
      <c r="P2197" s="15"/>
      <c r="Q2197" s="15"/>
      <c r="R2197" s="16"/>
      <c r="S2197" s="16"/>
      <c r="T2197" s="16"/>
      <c r="U2197" s="16"/>
      <c r="V2197" s="37" t="str">
        <f>IFERROR(__xludf.DUMMYFUNCTION("if(not(iserror(index(split(C2197, "" ""),2))), index(split(C2197, "" ""),1),"""")"),"")</f>
        <v/>
      </c>
      <c r="W2197" s="315" t="str">
        <f>IFERROR(__xludf.DUMMYFUNCTION("if(V2197="""",C2197,if(not(iserror(index(split(C2197, "" ""),3))), index(split(C2197, "" ""),3),index(split(C2197, "" ""),2)))"),"")</f>
        <v/>
      </c>
      <c r="X2197" s="38" t="b">
        <f t="shared" si="2"/>
        <v>0</v>
      </c>
      <c r="Y2197" s="38"/>
      <c r="Z2197" s="40"/>
      <c r="AA2197" s="40"/>
      <c r="AB2197" s="38"/>
      <c r="AC2197" s="38"/>
      <c r="AD2197" s="38"/>
      <c r="AE2197" s="38"/>
      <c r="AF2197" s="38"/>
      <c r="AG2197" s="38"/>
      <c r="AH2197" s="38"/>
      <c r="AI2197" s="38"/>
      <c r="AJ2197" s="38"/>
      <c r="AK2197" s="38"/>
      <c r="AL2197" s="38"/>
      <c r="AM2197" s="38"/>
      <c r="AN2197" s="38"/>
      <c r="AO2197" s="38"/>
      <c r="AP2197" s="38"/>
      <c r="AQ2197" s="38"/>
      <c r="AR2197" s="38"/>
      <c r="AS2197" s="38"/>
      <c r="AT2197" s="38"/>
      <c r="AU2197" s="38"/>
      <c r="AV2197" s="38"/>
      <c r="AW2197" s="38"/>
      <c r="AX2197" s="38"/>
      <c r="AY2197" s="38"/>
      <c r="AZ2197" s="38"/>
      <c r="BA2197" s="38"/>
      <c r="BB2197" s="38"/>
      <c r="BC2197" s="38"/>
      <c r="BD2197" s="38"/>
      <c r="BE2197" s="38"/>
      <c r="BF2197" s="38"/>
      <c r="BG2197" s="38"/>
    </row>
    <row r="2198">
      <c r="A2198" s="16"/>
      <c r="B2198" s="16"/>
      <c r="C2198" s="146"/>
      <c r="D2198" s="146"/>
      <c r="E2198" s="16"/>
      <c r="F2198" s="91"/>
      <c r="G2198" s="16"/>
      <c r="H2198" s="320" t="str">
        <f t="shared" si="1"/>
        <v/>
      </c>
      <c r="I2198" s="16"/>
      <c r="J2198" s="16"/>
      <c r="K2198" s="16"/>
      <c r="L2198" s="38"/>
      <c r="M2198" s="16"/>
      <c r="N2198" s="16"/>
      <c r="O2198" s="16"/>
      <c r="P2198" s="15"/>
      <c r="Q2198" s="15"/>
      <c r="R2198" s="16"/>
      <c r="S2198" s="16"/>
      <c r="T2198" s="16"/>
      <c r="U2198" s="16"/>
      <c r="V2198" s="37" t="str">
        <f>IFERROR(__xludf.DUMMYFUNCTION("if(not(iserror(index(split(C2198, "" ""),2))), index(split(C2198, "" ""),1),"""")"),"")</f>
        <v/>
      </c>
      <c r="W2198" s="315" t="str">
        <f>IFERROR(__xludf.DUMMYFUNCTION("if(V2198="""",C2198,if(not(iserror(index(split(C2198, "" ""),3))), index(split(C2198, "" ""),3),index(split(C2198, "" ""),2)))"),"")</f>
        <v/>
      </c>
      <c r="X2198" s="38" t="b">
        <f t="shared" si="2"/>
        <v>0</v>
      </c>
      <c r="Y2198" s="38"/>
      <c r="Z2198" s="40"/>
      <c r="AA2198" s="40"/>
      <c r="AB2198" s="38"/>
      <c r="AC2198" s="38"/>
      <c r="AD2198" s="38"/>
      <c r="AE2198" s="38"/>
      <c r="AF2198" s="38"/>
      <c r="AG2198" s="38"/>
      <c r="AH2198" s="38"/>
      <c r="AI2198" s="38"/>
      <c r="AJ2198" s="38"/>
      <c r="AK2198" s="38"/>
      <c r="AL2198" s="38"/>
      <c r="AM2198" s="38"/>
      <c r="AN2198" s="38"/>
      <c r="AO2198" s="38"/>
      <c r="AP2198" s="38"/>
      <c r="AQ2198" s="38"/>
      <c r="AR2198" s="38"/>
      <c r="AS2198" s="38"/>
      <c r="AT2198" s="38"/>
      <c r="AU2198" s="38"/>
      <c r="AV2198" s="38"/>
      <c r="AW2198" s="38"/>
      <c r="AX2198" s="38"/>
      <c r="AY2198" s="38"/>
      <c r="AZ2198" s="38"/>
      <c r="BA2198" s="38"/>
      <c r="BB2198" s="38"/>
      <c r="BC2198" s="38"/>
      <c r="BD2198" s="38"/>
      <c r="BE2198" s="38"/>
      <c r="BF2198" s="38"/>
      <c r="BG2198" s="38"/>
    </row>
    <row r="2199">
      <c r="A2199" s="16"/>
      <c r="B2199" s="16"/>
      <c r="C2199" s="146"/>
      <c r="D2199" s="146"/>
      <c r="E2199" s="16"/>
      <c r="F2199" s="91"/>
      <c r="G2199" s="16"/>
      <c r="H2199" s="320" t="str">
        <f t="shared" si="1"/>
        <v/>
      </c>
      <c r="I2199" s="16"/>
      <c r="J2199" s="16"/>
      <c r="K2199" s="16"/>
      <c r="L2199" s="38"/>
      <c r="M2199" s="16"/>
      <c r="N2199" s="16"/>
      <c r="O2199" s="16"/>
      <c r="P2199" s="15"/>
      <c r="Q2199" s="15"/>
      <c r="R2199" s="16"/>
      <c r="S2199" s="16"/>
      <c r="T2199" s="16"/>
      <c r="U2199" s="16"/>
      <c r="V2199" s="37" t="str">
        <f>IFERROR(__xludf.DUMMYFUNCTION("if(not(iserror(index(split(C2199, "" ""),2))), index(split(C2199, "" ""),1),"""")"),"")</f>
        <v/>
      </c>
      <c r="W2199" s="315" t="str">
        <f>IFERROR(__xludf.DUMMYFUNCTION("if(V2199="""",C2199,if(not(iserror(index(split(C2199, "" ""),3))), index(split(C2199, "" ""),3),index(split(C2199, "" ""),2)))"),"")</f>
        <v/>
      </c>
      <c r="X2199" s="38" t="b">
        <f t="shared" si="2"/>
        <v>0</v>
      </c>
      <c r="Y2199" s="38"/>
      <c r="Z2199" s="40"/>
      <c r="AA2199" s="40"/>
      <c r="AB2199" s="38"/>
      <c r="AC2199" s="38"/>
      <c r="AD2199" s="38"/>
      <c r="AE2199" s="38"/>
      <c r="AF2199" s="38"/>
      <c r="AG2199" s="38"/>
      <c r="AH2199" s="38"/>
      <c r="AI2199" s="38"/>
      <c r="AJ2199" s="38"/>
      <c r="AK2199" s="38"/>
      <c r="AL2199" s="38"/>
      <c r="AM2199" s="38"/>
      <c r="AN2199" s="38"/>
      <c r="AO2199" s="38"/>
      <c r="AP2199" s="38"/>
      <c r="AQ2199" s="38"/>
      <c r="AR2199" s="38"/>
      <c r="AS2199" s="38"/>
      <c r="AT2199" s="38"/>
      <c r="AU2199" s="38"/>
      <c r="AV2199" s="38"/>
      <c r="AW2199" s="38"/>
      <c r="AX2199" s="38"/>
      <c r="AY2199" s="38"/>
      <c r="AZ2199" s="38"/>
      <c r="BA2199" s="38"/>
      <c r="BB2199" s="38"/>
      <c r="BC2199" s="38"/>
      <c r="BD2199" s="38"/>
      <c r="BE2199" s="38"/>
      <c r="BF2199" s="38"/>
      <c r="BG2199" s="38"/>
    </row>
    <row r="2200">
      <c r="A2200" s="16"/>
      <c r="B2200" s="16"/>
      <c r="C2200" s="146"/>
      <c r="D2200" s="146"/>
      <c r="E2200" s="16"/>
      <c r="F2200" s="91"/>
      <c r="G2200" s="16"/>
      <c r="H2200" s="320" t="str">
        <f t="shared" si="1"/>
        <v/>
      </c>
      <c r="I2200" s="16"/>
      <c r="J2200" s="16"/>
      <c r="K2200" s="16"/>
      <c r="L2200" s="38"/>
      <c r="M2200" s="16"/>
      <c r="N2200" s="16"/>
      <c r="O2200" s="16"/>
      <c r="P2200" s="15"/>
      <c r="Q2200" s="15"/>
      <c r="R2200" s="16"/>
      <c r="S2200" s="16"/>
      <c r="T2200" s="16"/>
      <c r="U2200" s="16"/>
      <c r="V2200" s="37" t="str">
        <f>IFERROR(__xludf.DUMMYFUNCTION("if(not(iserror(index(split(C2200, "" ""),2))), index(split(C2200, "" ""),1),"""")"),"")</f>
        <v/>
      </c>
      <c r="W2200" s="315" t="str">
        <f>IFERROR(__xludf.DUMMYFUNCTION("if(V2200="""",C2200,if(not(iserror(index(split(C2200, "" ""),3))), index(split(C2200, "" ""),3),index(split(C2200, "" ""),2)))"),"")</f>
        <v/>
      </c>
      <c r="X2200" s="38" t="b">
        <f t="shared" si="2"/>
        <v>0</v>
      </c>
      <c r="Y2200" s="38"/>
      <c r="Z2200" s="40"/>
      <c r="AA2200" s="40"/>
      <c r="AB2200" s="38"/>
      <c r="AC2200" s="38"/>
      <c r="AD2200" s="38"/>
      <c r="AE2200" s="38"/>
      <c r="AF2200" s="38"/>
      <c r="AG2200" s="38"/>
      <c r="AH2200" s="38"/>
      <c r="AI2200" s="38"/>
      <c r="AJ2200" s="38"/>
      <c r="AK2200" s="38"/>
      <c r="AL2200" s="38"/>
      <c r="AM2200" s="38"/>
      <c r="AN2200" s="38"/>
      <c r="AO2200" s="38"/>
      <c r="AP2200" s="38"/>
      <c r="AQ2200" s="38"/>
      <c r="AR2200" s="38"/>
      <c r="AS2200" s="38"/>
      <c r="AT2200" s="38"/>
      <c r="AU2200" s="38"/>
      <c r="AV2200" s="38"/>
      <c r="AW2200" s="38"/>
      <c r="AX2200" s="38"/>
      <c r="AY2200" s="38"/>
      <c r="AZ2200" s="38"/>
      <c r="BA2200" s="38"/>
      <c r="BB2200" s="38"/>
      <c r="BC2200" s="38"/>
      <c r="BD2200" s="38"/>
      <c r="BE2200" s="38"/>
      <c r="BF2200" s="38"/>
      <c r="BG2200" s="38"/>
    </row>
    <row r="2201">
      <c r="A2201" s="16"/>
      <c r="B2201" s="16"/>
      <c r="C2201" s="146"/>
      <c r="D2201" s="146"/>
      <c r="E2201" s="16"/>
      <c r="F2201" s="91"/>
      <c r="G2201" s="16"/>
      <c r="H2201" s="320" t="str">
        <f t="shared" si="1"/>
        <v/>
      </c>
      <c r="I2201" s="16"/>
      <c r="J2201" s="16"/>
      <c r="K2201" s="16"/>
      <c r="L2201" s="38"/>
      <c r="M2201" s="16"/>
      <c r="N2201" s="16"/>
      <c r="O2201" s="16"/>
      <c r="P2201" s="15"/>
      <c r="Q2201" s="15"/>
      <c r="R2201" s="16"/>
      <c r="S2201" s="16"/>
      <c r="T2201" s="16"/>
      <c r="U2201" s="16"/>
      <c r="V2201" s="37" t="str">
        <f>IFERROR(__xludf.DUMMYFUNCTION("if(not(iserror(index(split(C2201, "" ""),2))), index(split(C2201, "" ""),1),"""")"),"")</f>
        <v/>
      </c>
      <c r="W2201" s="315" t="str">
        <f>IFERROR(__xludf.DUMMYFUNCTION("if(V2201="""",C2201,if(not(iserror(index(split(C2201, "" ""),3))), index(split(C2201, "" ""),3),index(split(C2201, "" ""),2)))"),"")</f>
        <v/>
      </c>
      <c r="X2201" s="38" t="b">
        <f t="shared" si="2"/>
        <v>0</v>
      </c>
      <c r="Y2201" s="38"/>
      <c r="Z2201" s="40"/>
      <c r="AA2201" s="40"/>
      <c r="AB2201" s="38"/>
      <c r="AC2201" s="38"/>
      <c r="AD2201" s="38"/>
      <c r="AE2201" s="38"/>
      <c r="AF2201" s="38"/>
      <c r="AG2201" s="38"/>
      <c r="AH2201" s="38"/>
      <c r="AI2201" s="38"/>
      <c r="AJ2201" s="38"/>
      <c r="AK2201" s="38"/>
      <c r="AL2201" s="38"/>
      <c r="AM2201" s="38"/>
      <c r="AN2201" s="38"/>
      <c r="AO2201" s="38"/>
      <c r="AP2201" s="38"/>
      <c r="AQ2201" s="38"/>
      <c r="AR2201" s="38"/>
      <c r="AS2201" s="38"/>
      <c r="AT2201" s="38"/>
      <c r="AU2201" s="38"/>
      <c r="AV2201" s="38"/>
      <c r="AW2201" s="38"/>
      <c r="AX2201" s="38"/>
      <c r="AY2201" s="38"/>
      <c r="AZ2201" s="38"/>
      <c r="BA2201" s="38"/>
      <c r="BB2201" s="38"/>
      <c r="BC2201" s="38"/>
      <c r="BD2201" s="38"/>
      <c r="BE2201" s="38"/>
      <c r="BF2201" s="38"/>
      <c r="BG2201" s="38"/>
    </row>
    <row r="2202">
      <c r="A2202" s="16"/>
      <c r="B2202" s="16"/>
      <c r="C2202" s="146"/>
      <c r="D2202" s="146"/>
      <c r="E2202" s="16"/>
      <c r="F2202" s="91"/>
      <c r="G2202" s="16"/>
      <c r="H2202" s="320" t="str">
        <f t="shared" si="1"/>
        <v/>
      </c>
      <c r="I2202" s="16"/>
      <c r="J2202" s="16"/>
      <c r="K2202" s="16"/>
      <c r="L2202" s="38"/>
      <c r="M2202" s="16"/>
      <c r="N2202" s="16"/>
      <c r="O2202" s="16"/>
      <c r="P2202" s="15"/>
      <c r="Q2202" s="15"/>
      <c r="R2202" s="16"/>
      <c r="S2202" s="16"/>
      <c r="T2202" s="16"/>
      <c r="U2202" s="16"/>
      <c r="V2202" s="37" t="str">
        <f>IFERROR(__xludf.DUMMYFUNCTION("if(not(iserror(index(split(C2202, "" ""),2))), index(split(C2202, "" ""),1),"""")"),"")</f>
        <v/>
      </c>
      <c r="W2202" s="315" t="str">
        <f>IFERROR(__xludf.DUMMYFUNCTION("if(V2202="""",C2202,if(not(iserror(index(split(C2202, "" ""),3))), index(split(C2202, "" ""),3),index(split(C2202, "" ""),2)))"),"")</f>
        <v/>
      </c>
      <c r="X2202" s="38" t="b">
        <f t="shared" si="2"/>
        <v>0</v>
      </c>
      <c r="Y2202" s="38"/>
      <c r="Z2202" s="40"/>
      <c r="AA2202" s="40"/>
      <c r="AB2202" s="38"/>
      <c r="AC2202" s="38"/>
      <c r="AD2202" s="38"/>
      <c r="AE2202" s="38"/>
      <c r="AF2202" s="38"/>
      <c r="AG2202" s="38"/>
      <c r="AH2202" s="38"/>
      <c r="AI2202" s="38"/>
      <c r="AJ2202" s="38"/>
      <c r="AK2202" s="38"/>
      <c r="AL2202" s="38"/>
      <c r="AM2202" s="38"/>
      <c r="AN2202" s="38"/>
      <c r="AO2202" s="38"/>
      <c r="AP2202" s="38"/>
      <c r="AQ2202" s="38"/>
      <c r="AR2202" s="38"/>
      <c r="AS2202" s="38"/>
      <c r="AT2202" s="38"/>
      <c r="AU2202" s="38"/>
      <c r="AV2202" s="38"/>
      <c r="AW2202" s="38"/>
      <c r="AX2202" s="38"/>
      <c r="AY2202" s="38"/>
      <c r="AZ2202" s="38"/>
      <c r="BA2202" s="38"/>
      <c r="BB2202" s="38"/>
      <c r="BC2202" s="38"/>
      <c r="BD2202" s="38"/>
      <c r="BE2202" s="38"/>
      <c r="BF2202" s="38"/>
      <c r="BG2202" s="38"/>
    </row>
    <row r="2203">
      <c r="A2203" s="16"/>
      <c r="B2203" s="16"/>
      <c r="C2203" s="146"/>
      <c r="D2203" s="146"/>
      <c r="E2203" s="16"/>
      <c r="F2203" s="91"/>
      <c r="G2203" s="16"/>
      <c r="H2203" s="320" t="str">
        <f t="shared" si="1"/>
        <v/>
      </c>
      <c r="I2203" s="16"/>
      <c r="J2203" s="16"/>
      <c r="K2203" s="16"/>
      <c r="L2203" s="38"/>
      <c r="M2203" s="16"/>
      <c r="N2203" s="16"/>
      <c r="O2203" s="16"/>
      <c r="P2203" s="15"/>
      <c r="Q2203" s="15"/>
      <c r="R2203" s="16"/>
      <c r="S2203" s="16"/>
      <c r="T2203" s="16"/>
      <c r="U2203" s="16"/>
      <c r="V2203" s="37" t="str">
        <f>IFERROR(__xludf.DUMMYFUNCTION("if(not(iserror(index(split(C2203, "" ""),2))), index(split(C2203, "" ""),1),"""")"),"")</f>
        <v/>
      </c>
      <c r="W2203" s="315" t="str">
        <f>IFERROR(__xludf.DUMMYFUNCTION("if(V2203="""",C2203,if(not(iserror(index(split(C2203, "" ""),3))), index(split(C2203, "" ""),3),index(split(C2203, "" ""),2)))"),"")</f>
        <v/>
      </c>
      <c r="X2203" s="38" t="b">
        <f t="shared" si="2"/>
        <v>0</v>
      </c>
      <c r="Y2203" s="38"/>
      <c r="Z2203" s="40"/>
      <c r="AA2203" s="40"/>
      <c r="AB2203" s="38"/>
      <c r="AC2203" s="38"/>
      <c r="AD2203" s="38"/>
      <c r="AE2203" s="38"/>
      <c r="AF2203" s="38"/>
      <c r="AG2203" s="38"/>
      <c r="AH2203" s="38"/>
      <c r="AI2203" s="38"/>
      <c r="AJ2203" s="38"/>
      <c r="AK2203" s="38"/>
      <c r="AL2203" s="38"/>
      <c r="AM2203" s="38"/>
      <c r="AN2203" s="38"/>
      <c r="AO2203" s="38"/>
      <c r="AP2203" s="38"/>
      <c r="AQ2203" s="38"/>
      <c r="AR2203" s="38"/>
      <c r="AS2203" s="38"/>
      <c r="AT2203" s="38"/>
      <c r="AU2203" s="38"/>
      <c r="AV2203" s="38"/>
      <c r="AW2203" s="38"/>
      <c r="AX2203" s="38"/>
      <c r="AY2203" s="38"/>
      <c r="AZ2203" s="38"/>
      <c r="BA2203" s="38"/>
      <c r="BB2203" s="38"/>
      <c r="BC2203" s="38"/>
      <c r="BD2203" s="38"/>
      <c r="BE2203" s="38"/>
      <c r="BF2203" s="38"/>
      <c r="BG2203" s="38"/>
    </row>
    <row r="2204">
      <c r="A2204" s="16"/>
      <c r="B2204" s="16"/>
      <c r="C2204" s="146"/>
      <c r="D2204" s="146"/>
      <c r="E2204" s="16"/>
      <c r="F2204" s="91"/>
      <c r="G2204" s="16"/>
      <c r="H2204" s="320" t="str">
        <f t="shared" si="1"/>
        <v/>
      </c>
      <c r="I2204" s="16"/>
      <c r="J2204" s="16"/>
      <c r="K2204" s="16"/>
      <c r="L2204" s="38"/>
      <c r="M2204" s="16"/>
      <c r="N2204" s="16"/>
      <c r="O2204" s="16"/>
      <c r="P2204" s="15"/>
      <c r="Q2204" s="15"/>
      <c r="R2204" s="16"/>
      <c r="S2204" s="16"/>
      <c r="T2204" s="16"/>
      <c r="U2204" s="16"/>
      <c r="V2204" s="37" t="str">
        <f>IFERROR(__xludf.DUMMYFUNCTION("if(not(iserror(index(split(C2204, "" ""),2))), index(split(C2204, "" ""),1),"""")"),"")</f>
        <v/>
      </c>
      <c r="W2204" s="315" t="str">
        <f>IFERROR(__xludf.DUMMYFUNCTION("if(V2204="""",C2204,if(not(iserror(index(split(C2204, "" ""),3))), index(split(C2204, "" ""),3),index(split(C2204, "" ""),2)))"),"")</f>
        <v/>
      </c>
      <c r="X2204" s="38" t="b">
        <f t="shared" si="2"/>
        <v>0</v>
      </c>
      <c r="Y2204" s="38"/>
      <c r="Z2204" s="40"/>
      <c r="AA2204" s="40"/>
      <c r="AB2204" s="38"/>
      <c r="AC2204" s="38"/>
      <c r="AD2204" s="38"/>
      <c r="AE2204" s="38"/>
      <c r="AF2204" s="38"/>
      <c r="AG2204" s="38"/>
      <c r="AH2204" s="38"/>
      <c r="AI2204" s="38"/>
      <c r="AJ2204" s="38"/>
      <c r="AK2204" s="38"/>
      <c r="AL2204" s="38"/>
      <c r="AM2204" s="38"/>
      <c r="AN2204" s="38"/>
      <c r="AO2204" s="38"/>
      <c r="AP2204" s="38"/>
      <c r="AQ2204" s="38"/>
      <c r="AR2204" s="38"/>
      <c r="AS2204" s="38"/>
      <c r="AT2204" s="38"/>
      <c r="AU2204" s="38"/>
      <c r="AV2204" s="38"/>
      <c r="AW2204" s="38"/>
      <c r="AX2204" s="38"/>
      <c r="AY2204" s="38"/>
      <c r="AZ2204" s="38"/>
      <c r="BA2204" s="38"/>
      <c r="BB2204" s="38"/>
      <c r="BC2204" s="38"/>
      <c r="BD2204" s="38"/>
      <c r="BE2204" s="38"/>
      <c r="BF2204" s="38"/>
      <c r="BG2204" s="38"/>
    </row>
    <row r="2205">
      <c r="A2205" s="16"/>
      <c r="B2205" s="16"/>
      <c r="C2205" s="146"/>
      <c r="D2205" s="146"/>
      <c r="E2205" s="16"/>
      <c r="F2205" s="91"/>
      <c r="G2205" s="16"/>
      <c r="H2205" s="320" t="str">
        <f t="shared" si="1"/>
        <v/>
      </c>
      <c r="I2205" s="16"/>
      <c r="J2205" s="16"/>
      <c r="K2205" s="16"/>
      <c r="L2205" s="38"/>
      <c r="M2205" s="16"/>
      <c r="N2205" s="16"/>
      <c r="O2205" s="16"/>
      <c r="P2205" s="15"/>
      <c r="Q2205" s="15"/>
      <c r="R2205" s="16"/>
      <c r="S2205" s="16"/>
      <c r="T2205" s="16"/>
      <c r="U2205" s="16"/>
      <c r="V2205" s="37" t="str">
        <f>IFERROR(__xludf.DUMMYFUNCTION("if(not(iserror(index(split(C2205, "" ""),2))), index(split(C2205, "" ""),1),"""")"),"")</f>
        <v/>
      </c>
      <c r="W2205" s="315" t="str">
        <f>IFERROR(__xludf.DUMMYFUNCTION("if(V2205="""",C2205,if(not(iserror(index(split(C2205, "" ""),3))), index(split(C2205, "" ""),3),index(split(C2205, "" ""),2)))"),"")</f>
        <v/>
      </c>
      <c r="X2205" s="38" t="b">
        <f t="shared" si="2"/>
        <v>0</v>
      </c>
      <c r="Y2205" s="38"/>
      <c r="Z2205" s="40"/>
      <c r="AA2205" s="40"/>
      <c r="AB2205" s="38"/>
      <c r="AC2205" s="38"/>
      <c r="AD2205" s="38"/>
      <c r="AE2205" s="38"/>
      <c r="AF2205" s="38"/>
      <c r="AG2205" s="38"/>
      <c r="AH2205" s="38"/>
      <c r="AI2205" s="38"/>
      <c r="AJ2205" s="38"/>
      <c r="AK2205" s="38"/>
      <c r="AL2205" s="38"/>
      <c r="AM2205" s="38"/>
      <c r="AN2205" s="38"/>
      <c r="AO2205" s="38"/>
      <c r="AP2205" s="38"/>
      <c r="AQ2205" s="38"/>
      <c r="AR2205" s="38"/>
      <c r="AS2205" s="38"/>
      <c r="AT2205" s="38"/>
      <c r="AU2205" s="38"/>
      <c r="AV2205" s="38"/>
      <c r="AW2205" s="38"/>
      <c r="AX2205" s="38"/>
      <c r="AY2205" s="38"/>
      <c r="AZ2205" s="38"/>
      <c r="BA2205" s="38"/>
      <c r="BB2205" s="38"/>
      <c r="BC2205" s="38"/>
      <c r="BD2205" s="38"/>
      <c r="BE2205" s="38"/>
      <c r="BF2205" s="38"/>
      <c r="BG2205" s="38"/>
    </row>
    <row r="2206">
      <c r="A2206" s="16"/>
      <c r="B2206" s="16"/>
      <c r="C2206" s="146"/>
      <c r="D2206" s="146"/>
      <c r="E2206" s="16"/>
      <c r="F2206" s="91"/>
      <c r="G2206" s="16"/>
      <c r="H2206" s="320" t="str">
        <f t="shared" si="1"/>
        <v/>
      </c>
      <c r="I2206" s="16"/>
      <c r="J2206" s="16"/>
      <c r="K2206" s="16"/>
      <c r="L2206" s="38"/>
      <c r="M2206" s="16"/>
      <c r="N2206" s="16"/>
      <c r="O2206" s="16"/>
      <c r="P2206" s="15"/>
      <c r="Q2206" s="15"/>
      <c r="R2206" s="16"/>
      <c r="S2206" s="16"/>
      <c r="T2206" s="16"/>
      <c r="U2206" s="16"/>
      <c r="V2206" s="37" t="str">
        <f>IFERROR(__xludf.DUMMYFUNCTION("if(not(iserror(index(split(C2206, "" ""),2))), index(split(C2206, "" ""),1),"""")"),"")</f>
        <v/>
      </c>
      <c r="W2206" s="315" t="str">
        <f>IFERROR(__xludf.DUMMYFUNCTION("if(V2206="""",C2206,if(not(iserror(index(split(C2206, "" ""),3))), index(split(C2206, "" ""),3),index(split(C2206, "" ""),2)))"),"")</f>
        <v/>
      </c>
      <c r="X2206" s="38" t="b">
        <f t="shared" si="2"/>
        <v>0</v>
      </c>
      <c r="Y2206" s="38"/>
      <c r="Z2206" s="40"/>
      <c r="AA2206" s="40"/>
      <c r="AB2206" s="38"/>
      <c r="AC2206" s="38"/>
      <c r="AD2206" s="38"/>
      <c r="AE2206" s="38"/>
      <c r="AF2206" s="38"/>
      <c r="AG2206" s="38"/>
      <c r="AH2206" s="38"/>
      <c r="AI2206" s="38"/>
      <c r="AJ2206" s="38"/>
      <c r="AK2206" s="38"/>
      <c r="AL2206" s="38"/>
      <c r="AM2206" s="38"/>
      <c r="AN2206" s="38"/>
      <c r="AO2206" s="38"/>
      <c r="AP2206" s="38"/>
      <c r="AQ2206" s="38"/>
      <c r="AR2206" s="38"/>
      <c r="AS2206" s="38"/>
      <c r="AT2206" s="38"/>
      <c r="AU2206" s="38"/>
      <c r="AV2206" s="38"/>
      <c r="AW2206" s="38"/>
      <c r="AX2206" s="38"/>
      <c r="AY2206" s="38"/>
      <c r="AZ2206" s="38"/>
      <c r="BA2206" s="38"/>
      <c r="BB2206" s="38"/>
      <c r="BC2206" s="38"/>
      <c r="BD2206" s="38"/>
      <c r="BE2206" s="38"/>
      <c r="BF2206" s="38"/>
      <c r="BG2206" s="38"/>
    </row>
    <row r="2207">
      <c r="A2207" s="16"/>
      <c r="B2207" s="16"/>
      <c r="C2207" s="146"/>
      <c r="D2207" s="146"/>
      <c r="E2207" s="16"/>
      <c r="F2207" s="91"/>
      <c r="G2207" s="16"/>
      <c r="H2207" s="320" t="str">
        <f t="shared" si="1"/>
        <v/>
      </c>
      <c r="I2207" s="16"/>
      <c r="J2207" s="16"/>
      <c r="K2207" s="16"/>
      <c r="L2207" s="38"/>
      <c r="M2207" s="16"/>
      <c r="N2207" s="16"/>
      <c r="O2207" s="16"/>
      <c r="P2207" s="15"/>
      <c r="Q2207" s="15"/>
      <c r="R2207" s="16"/>
      <c r="S2207" s="16"/>
      <c r="T2207" s="16"/>
      <c r="U2207" s="16"/>
      <c r="V2207" s="37" t="str">
        <f>IFERROR(__xludf.DUMMYFUNCTION("if(not(iserror(index(split(C2207, "" ""),2))), index(split(C2207, "" ""),1),"""")"),"")</f>
        <v/>
      </c>
      <c r="W2207" s="315" t="str">
        <f>IFERROR(__xludf.DUMMYFUNCTION("if(V2207="""",C2207,if(not(iserror(index(split(C2207, "" ""),3))), index(split(C2207, "" ""),3),index(split(C2207, "" ""),2)))"),"")</f>
        <v/>
      </c>
      <c r="X2207" s="38" t="b">
        <f t="shared" si="2"/>
        <v>0</v>
      </c>
      <c r="Y2207" s="38"/>
      <c r="Z2207" s="40"/>
      <c r="AA2207" s="40"/>
      <c r="AB2207" s="38"/>
      <c r="AC2207" s="38"/>
      <c r="AD2207" s="38"/>
      <c r="AE2207" s="38"/>
      <c r="AF2207" s="38"/>
      <c r="AG2207" s="38"/>
      <c r="AH2207" s="38"/>
      <c r="AI2207" s="38"/>
      <c r="AJ2207" s="38"/>
      <c r="AK2207" s="38"/>
      <c r="AL2207" s="38"/>
      <c r="AM2207" s="38"/>
      <c r="AN2207" s="38"/>
      <c r="AO2207" s="38"/>
      <c r="AP2207" s="38"/>
      <c r="AQ2207" s="38"/>
      <c r="AR2207" s="38"/>
      <c r="AS2207" s="38"/>
      <c r="AT2207" s="38"/>
      <c r="AU2207" s="38"/>
      <c r="AV2207" s="38"/>
      <c r="AW2207" s="38"/>
      <c r="AX2207" s="38"/>
      <c r="AY2207" s="38"/>
      <c r="AZ2207" s="38"/>
      <c r="BA2207" s="38"/>
      <c r="BB2207" s="38"/>
      <c r="BC2207" s="38"/>
      <c r="BD2207" s="38"/>
      <c r="BE2207" s="38"/>
      <c r="BF2207" s="38"/>
      <c r="BG2207" s="38"/>
    </row>
    <row r="2208">
      <c r="A2208" s="16"/>
      <c r="B2208" s="16"/>
      <c r="C2208" s="146"/>
      <c r="D2208" s="146"/>
      <c r="E2208" s="16"/>
      <c r="F2208" s="91"/>
      <c r="G2208" s="16"/>
      <c r="H2208" s="320" t="str">
        <f t="shared" si="1"/>
        <v/>
      </c>
      <c r="I2208" s="16"/>
      <c r="J2208" s="16"/>
      <c r="K2208" s="16"/>
      <c r="L2208" s="38"/>
      <c r="M2208" s="16"/>
      <c r="N2208" s="16"/>
      <c r="O2208" s="16"/>
      <c r="P2208" s="15"/>
      <c r="Q2208" s="15"/>
      <c r="R2208" s="16"/>
      <c r="S2208" s="16"/>
      <c r="T2208" s="16"/>
      <c r="U2208" s="16"/>
      <c r="V2208" s="37" t="str">
        <f>IFERROR(__xludf.DUMMYFUNCTION("if(not(iserror(index(split(C2208, "" ""),2))), index(split(C2208, "" ""),1),"""")"),"")</f>
        <v/>
      </c>
      <c r="W2208" s="315" t="str">
        <f>IFERROR(__xludf.DUMMYFUNCTION("if(V2208="""",C2208,if(not(iserror(index(split(C2208, "" ""),3))), index(split(C2208, "" ""),3),index(split(C2208, "" ""),2)))"),"")</f>
        <v/>
      </c>
      <c r="X2208" s="38" t="b">
        <f t="shared" si="2"/>
        <v>0</v>
      </c>
      <c r="Y2208" s="38"/>
      <c r="Z2208" s="40"/>
      <c r="AA2208" s="40"/>
      <c r="AB2208" s="38"/>
      <c r="AC2208" s="38"/>
      <c r="AD2208" s="38"/>
      <c r="AE2208" s="38"/>
      <c r="AF2208" s="38"/>
      <c r="AG2208" s="38"/>
      <c r="AH2208" s="38"/>
      <c r="AI2208" s="38"/>
      <c r="AJ2208" s="38"/>
      <c r="AK2208" s="38"/>
      <c r="AL2208" s="38"/>
      <c r="AM2208" s="38"/>
      <c r="AN2208" s="38"/>
      <c r="AO2208" s="38"/>
      <c r="AP2208" s="38"/>
      <c r="AQ2208" s="38"/>
      <c r="AR2208" s="38"/>
      <c r="AS2208" s="38"/>
      <c r="AT2208" s="38"/>
      <c r="AU2208" s="38"/>
      <c r="AV2208" s="38"/>
      <c r="AW2208" s="38"/>
      <c r="AX2208" s="38"/>
      <c r="AY2208" s="38"/>
      <c r="AZ2208" s="38"/>
      <c r="BA2208" s="38"/>
      <c r="BB2208" s="38"/>
      <c r="BC2208" s="38"/>
      <c r="BD2208" s="38"/>
      <c r="BE2208" s="38"/>
      <c r="BF2208" s="38"/>
      <c r="BG2208" s="38"/>
    </row>
    <row r="2209">
      <c r="A2209" s="16"/>
      <c r="B2209" s="16"/>
      <c r="C2209" s="146"/>
      <c r="D2209" s="146"/>
      <c r="E2209" s="16"/>
      <c r="F2209" s="91"/>
      <c r="G2209" s="16"/>
      <c r="H2209" s="320" t="str">
        <f t="shared" si="1"/>
        <v/>
      </c>
      <c r="I2209" s="16"/>
      <c r="J2209" s="16"/>
      <c r="K2209" s="16"/>
      <c r="L2209" s="38"/>
      <c r="M2209" s="16"/>
      <c r="N2209" s="16"/>
      <c r="O2209" s="16"/>
      <c r="P2209" s="15"/>
      <c r="Q2209" s="15"/>
      <c r="R2209" s="16"/>
      <c r="S2209" s="16"/>
      <c r="T2209" s="16"/>
      <c r="U2209" s="16"/>
      <c r="V2209" s="37" t="str">
        <f>IFERROR(__xludf.DUMMYFUNCTION("if(not(iserror(index(split(C2209, "" ""),2))), index(split(C2209, "" ""),1),"""")"),"")</f>
        <v/>
      </c>
      <c r="W2209" s="315" t="str">
        <f>IFERROR(__xludf.DUMMYFUNCTION("if(V2209="""",C2209,if(not(iserror(index(split(C2209, "" ""),3))), index(split(C2209, "" ""),3),index(split(C2209, "" ""),2)))"),"")</f>
        <v/>
      </c>
      <c r="X2209" s="38" t="b">
        <f t="shared" si="2"/>
        <v>0</v>
      </c>
      <c r="Y2209" s="38"/>
      <c r="Z2209" s="40"/>
      <c r="AA2209" s="40"/>
      <c r="AB2209" s="38"/>
      <c r="AC2209" s="38"/>
      <c r="AD2209" s="38"/>
      <c r="AE2209" s="38"/>
      <c r="AF2209" s="38"/>
      <c r="AG2209" s="38"/>
      <c r="AH2209" s="38"/>
      <c r="AI2209" s="38"/>
      <c r="AJ2209" s="38"/>
      <c r="AK2209" s="38"/>
      <c r="AL2209" s="38"/>
      <c r="AM2209" s="38"/>
      <c r="AN2209" s="38"/>
      <c r="AO2209" s="38"/>
      <c r="AP2209" s="38"/>
      <c r="AQ2209" s="38"/>
      <c r="AR2209" s="38"/>
      <c r="AS2209" s="38"/>
      <c r="AT2209" s="38"/>
      <c r="AU2209" s="38"/>
      <c r="AV2209" s="38"/>
      <c r="AW2209" s="38"/>
      <c r="AX2209" s="38"/>
      <c r="AY2209" s="38"/>
      <c r="AZ2209" s="38"/>
      <c r="BA2209" s="38"/>
      <c r="BB2209" s="38"/>
      <c r="BC2209" s="38"/>
      <c r="BD2209" s="38"/>
      <c r="BE2209" s="38"/>
      <c r="BF2209" s="38"/>
      <c r="BG2209" s="38"/>
    </row>
    <row r="2210">
      <c r="A2210" s="16"/>
      <c r="B2210" s="16"/>
      <c r="C2210" s="146"/>
      <c r="D2210" s="146"/>
      <c r="E2210" s="16"/>
      <c r="F2210" s="91"/>
      <c r="G2210" s="16"/>
      <c r="H2210" s="320" t="str">
        <f t="shared" si="1"/>
        <v/>
      </c>
      <c r="I2210" s="16"/>
      <c r="J2210" s="16"/>
      <c r="K2210" s="16"/>
      <c r="L2210" s="38"/>
      <c r="M2210" s="16"/>
      <c r="N2210" s="16"/>
      <c r="O2210" s="16"/>
      <c r="P2210" s="15"/>
      <c r="Q2210" s="15"/>
      <c r="R2210" s="16"/>
      <c r="S2210" s="16"/>
      <c r="T2210" s="16"/>
      <c r="U2210" s="16"/>
      <c r="V2210" s="37" t="str">
        <f>IFERROR(__xludf.DUMMYFUNCTION("if(not(iserror(index(split(C2210, "" ""),2))), index(split(C2210, "" ""),1),"""")"),"")</f>
        <v/>
      </c>
      <c r="W2210" s="315" t="str">
        <f>IFERROR(__xludf.DUMMYFUNCTION("if(V2210="""",C2210,if(not(iserror(index(split(C2210, "" ""),3))), index(split(C2210, "" ""),3),index(split(C2210, "" ""),2)))"),"")</f>
        <v/>
      </c>
      <c r="X2210" s="38" t="b">
        <f t="shared" si="2"/>
        <v>0</v>
      </c>
      <c r="Y2210" s="38"/>
      <c r="Z2210" s="40"/>
      <c r="AA2210" s="40"/>
      <c r="AB2210" s="38"/>
      <c r="AC2210" s="38"/>
      <c r="AD2210" s="38"/>
      <c r="AE2210" s="38"/>
      <c r="AF2210" s="38"/>
      <c r="AG2210" s="38"/>
      <c r="AH2210" s="38"/>
      <c r="AI2210" s="38"/>
      <c r="AJ2210" s="38"/>
      <c r="AK2210" s="38"/>
      <c r="AL2210" s="38"/>
      <c r="AM2210" s="38"/>
      <c r="AN2210" s="38"/>
      <c r="AO2210" s="38"/>
      <c r="AP2210" s="38"/>
      <c r="AQ2210" s="38"/>
      <c r="AR2210" s="38"/>
      <c r="AS2210" s="38"/>
      <c r="AT2210" s="38"/>
      <c r="AU2210" s="38"/>
      <c r="AV2210" s="38"/>
      <c r="AW2210" s="38"/>
      <c r="AX2210" s="38"/>
      <c r="AY2210" s="38"/>
      <c r="AZ2210" s="38"/>
      <c r="BA2210" s="38"/>
      <c r="BB2210" s="38"/>
      <c r="BC2210" s="38"/>
      <c r="BD2210" s="38"/>
      <c r="BE2210" s="38"/>
      <c r="BF2210" s="38"/>
      <c r="BG2210" s="38"/>
    </row>
    <row r="2211">
      <c r="A2211" s="16"/>
      <c r="B2211" s="16"/>
      <c r="C2211" s="146"/>
      <c r="D2211" s="146"/>
      <c r="E2211" s="16"/>
      <c r="F2211" s="91"/>
      <c r="G2211" s="16"/>
      <c r="H2211" s="320" t="str">
        <f t="shared" si="1"/>
        <v/>
      </c>
      <c r="I2211" s="16"/>
      <c r="J2211" s="16"/>
      <c r="K2211" s="16"/>
      <c r="L2211" s="38"/>
      <c r="M2211" s="16"/>
      <c r="N2211" s="16"/>
      <c r="O2211" s="16"/>
      <c r="P2211" s="15"/>
      <c r="Q2211" s="15"/>
      <c r="R2211" s="16"/>
      <c r="S2211" s="16"/>
      <c r="T2211" s="16"/>
      <c r="U2211" s="16"/>
      <c r="V2211" s="37" t="str">
        <f>IFERROR(__xludf.DUMMYFUNCTION("if(not(iserror(index(split(C2211, "" ""),2))), index(split(C2211, "" ""),1),"""")"),"")</f>
        <v/>
      </c>
      <c r="W2211" s="315" t="str">
        <f>IFERROR(__xludf.DUMMYFUNCTION("if(V2211="""",C2211,if(not(iserror(index(split(C2211, "" ""),3))), index(split(C2211, "" ""),3),index(split(C2211, "" ""),2)))"),"")</f>
        <v/>
      </c>
      <c r="X2211" s="38" t="b">
        <f t="shared" si="2"/>
        <v>0</v>
      </c>
      <c r="Y2211" s="38"/>
      <c r="Z2211" s="40"/>
      <c r="AA2211" s="40"/>
      <c r="AB2211" s="38"/>
      <c r="AC2211" s="38"/>
      <c r="AD2211" s="38"/>
      <c r="AE2211" s="38"/>
      <c r="AF2211" s="38"/>
      <c r="AG2211" s="38"/>
      <c r="AH2211" s="38"/>
      <c r="AI2211" s="38"/>
      <c r="AJ2211" s="38"/>
      <c r="AK2211" s="38"/>
      <c r="AL2211" s="38"/>
      <c r="AM2211" s="38"/>
      <c r="AN2211" s="38"/>
      <c r="AO2211" s="38"/>
      <c r="AP2211" s="38"/>
      <c r="AQ2211" s="38"/>
      <c r="AR2211" s="38"/>
      <c r="AS2211" s="38"/>
      <c r="AT2211" s="38"/>
      <c r="AU2211" s="38"/>
      <c r="AV2211" s="38"/>
      <c r="AW2211" s="38"/>
      <c r="AX2211" s="38"/>
      <c r="AY2211" s="38"/>
      <c r="AZ2211" s="38"/>
      <c r="BA2211" s="38"/>
      <c r="BB2211" s="38"/>
      <c r="BC2211" s="38"/>
      <c r="BD2211" s="38"/>
      <c r="BE2211" s="38"/>
      <c r="BF2211" s="38"/>
      <c r="BG2211" s="38"/>
    </row>
    <row r="2212">
      <c r="A2212" s="16"/>
      <c r="B2212" s="16"/>
      <c r="C2212" s="146"/>
      <c r="D2212" s="146"/>
      <c r="E2212" s="16"/>
      <c r="F2212" s="91"/>
      <c r="G2212" s="16"/>
      <c r="H2212" s="320" t="str">
        <f t="shared" si="1"/>
        <v/>
      </c>
      <c r="I2212" s="16"/>
      <c r="J2212" s="16"/>
      <c r="K2212" s="16"/>
      <c r="L2212" s="38"/>
      <c r="M2212" s="16"/>
      <c r="N2212" s="16"/>
      <c r="O2212" s="16"/>
      <c r="P2212" s="15"/>
      <c r="Q2212" s="15"/>
      <c r="R2212" s="16"/>
      <c r="S2212" s="16"/>
      <c r="T2212" s="16"/>
      <c r="U2212" s="16"/>
      <c r="V2212" s="37" t="str">
        <f>IFERROR(__xludf.DUMMYFUNCTION("if(not(iserror(index(split(C2212, "" ""),2))), index(split(C2212, "" ""),1),"""")"),"")</f>
        <v/>
      </c>
      <c r="W2212" s="315" t="str">
        <f>IFERROR(__xludf.DUMMYFUNCTION("if(V2212="""",C2212,if(not(iserror(index(split(C2212, "" ""),3))), index(split(C2212, "" ""),3),index(split(C2212, "" ""),2)))"),"")</f>
        <v/>
      </c>
      <c r="X2212" s="38" t="b">
        <f t="shared" si="2"/>
        <v>0</v>
      </c>
      <c r="Y2212" s="38"/>
      <c r="Z2212" s="40"/>
      <c r="AA2212" s="40"/>
      <c r="AB2212" s="38"/>
      <c r="AC2212" s="38"/>
      <c r="AD2212" s="38"/>
      <c r="AE2212" s="38"/>
      <c r="AF2212" s="38"/>
      <c r="AG2212" s="38"/>
      <c r="AH2212" s="38"/>
      <c r="AI2212" s="38"/>
      <c r="AJ2212" s="38"/>
      <c r="AK2212" s="38"/>
      <c r="AL2212" s="38"/>
      <c r="AM2212" s="38"/>
      <c r="AN2212" s="38"/>
      <c r="AO2212" s="38"/>
      <c r="AP2212" s="38"/>
      <c r="AQ2212" s="38"/>
      <c r="AR2212" s="38"/>
      <c r="AS2212" s="38"/>
      <c r="AT2212" s="38"/>
      <c r="AU2212" s="38"/>
      <c r="AV2212" s="38"/>
      <c r="AW2212" s="38"/>
      <c r="AX2212" s="38"/>
      <c r="AY2212" s="38"/>
      <c r="AZ2212" s="38"/>
      <c r="BA2212" s="38"/>
      <c r="BB2212" s="38"/>
      <c r="BC2212" s="38"/>
      <c r="BD2212" s="38"/>
      <c r="BE2212" s="38"/>
      <c r="BF2212" s="38"/>
      <c r="BG2212" s="38"/>
    </row>
    <row r="2213">
      <c r="A2213" s="16"/>
      <c r="B2213" s="16"/>
      <c r="C2213" s="146"/>
      <c r="D2213" s="146"/>
      <c r="E2213" s="16"/>
      <c r="F2213" s="91"/>
      <c r="G2213" s="16"/>
      <c r="H2213" s="320" t="str">
        <f t="shared" si="1"/>
        <v/>
      </c>
      <c r="I2213" s="16"/>
      <c r="J2213" s="16"/>
      <c r="K2213" s="16"/>
      <c r="L2213" s="38"/>
      <c r="M2213" s="16"/>
      <c r="N2213" s="16"/>
      <c r="O2213" s="16"/>
      <c r="P2213" s="15"/>
      <c r="Q2213" s="15"/>
      <c r="R2213" s="16"/>
      <c r="S2213" s="16"/>
      <c r="T2213" s="16"/>
      <c r="U2213" s="16"/>
      <c r="V2213" s="37" t="str">
        <f>IFERROR(__xludf.DUMMYFUNCTION("if(not(iserror(index(split(C2213, "" ""),2))), index(split(C2213, "" ""),1),"""")"),"")</f>
        <v/>
      </c>
      <c r="W2213" s="315" t="str">
        <f>IFERROR(__xludf.DUMMYFUNCTION("if(V2213="""",C2213,if(not(iserror(index(split(C2213, "" ""),3))), index(split(C2213, "" ""),3),index(split(C2213, "" ""),2)))"),"")</f>
        <v/>
      </c>
      <c r="X2213" s="38" t="b">
        <f t="shared" si="2"/>
        <v>0</v>
      </c>
      <c r="Y2213" s="38"/>
      <c r="Z2213" s="40"/>
      <c r="AA2213" s="40"/>
      <c r="AB2213" s="38"/>
      <c r="AC2213" s="38"/>
      <c r="AD2213" s="38"/>
      <c r="AE2213" s="38"/>
      <c r="AF2213" s="38"/>
      <c r="AG2213" s="38"/>
      <c r="AH2213" s="38"/>
      <c r="AI2213" s="38"/>
      <c r="AJ2213" s="38"/>
      <c r="AK2213" s="38"/>
      <c r="AL2213" s="38"/>
      <c r="AM2213" s="38"/>
      <c r="AN2213" s="38"/>
      <c r="AO2213" s="38"/>
      <c r="AP2213" s="38"/>
      <c r="AQ2213" s="38"/>
      <c r="AR2213" s="38"/>
      <c r="AS2213" s="38"/>
      <c r="AT2213" s="38"/>
      <c r="AU2213" s="38"/>
      <c r="AV2213" s="38"/>
      <c r="AW2213" s="38"/>
      <c r="AX2213" s="38"/>
      <c r="AY2213" s="38"/>
      <c r="AZ2213" s="38"/>
      <c r="BA2213" s="38"/>
      <c r="BB2213" s="38"/>
      <c r="BC2213" s="38"/>
      <c r="BD2213" s="38"/>
      <c r="BE2213" s="38"/>
      <c r="BF2213" s="38"/>
      <c r="BG2213" s="38"/>
    </row>
    <row r="2214">
      <c r="A2214" s="16"/>
      <c r="B2214" s="16"/>
      <c r="C2214" s="146"/>
      <c r="D2214" s="146"/>
      <c r="E2214" s="16"/>
      <c r="F2214" s="91"/>
      <c r="G2214" s="16"/>
      <c r="H2214" s="320" t="str">
        <f t="shared" si="1"/>
        <v/>
      </c>
      <c r="I2214" s="16"/>
      <c r="J2214" s="16"/>
      <c r="K2214" s="16"/>
      <c r="L2214" s="38"/>
      <c r="M2214" s="16"/>
      <c r="N2214" s="16"/>
      <c r="O2214" s="16"/>
      <c r="P2214" s="15"/>
      <c r="Q2214" s="15"/>
      <c r="R2214" s="16"/>
      <c r="S2214" s="16"/>
      <c r="T2214" s="16"/>
      <c r="U2214" s="16"/>
      <c r="V2214" s="37" t="str">
        <f>IFERROR(__xludf.DUMMYFUNCTION("if(not(iserror(index(split(C2214, "" ""),2))), index(split(C2214, "" ""),1),"""")"),"")</f>
        <v/>
      </c>
      <c r="W2214" s="315" t="str">
        <f>IFERROR(__xludf.DUMMYFUNCTION("if(V2214="""",C2214,if(not(iserror(index(split(C2214, "" ""),3))), index(split(C2214, "" ""),3),index(split(C2214, "" ""),2)))"),"")</f>
        <v/>
      </c>
      <c r="X2214" s="38" t="b">
        <f t="shared" si="2"/>
        <v>0</v>
      </c>
      <c r="Y2214" s="38"/>
      <c r="Z2214" s="40"/>
      <c r="AA2214" s="40"/>
      <c r="AB2214" s="38"/>
      <c r="AC2214" s="38"/>
      <c r="AD2214" s="38"/>
      <c r="AE2214" s="38"/>
      <c r="AF2214" s="38"/>
      <c r="AG2214" s="38"/>
      <c r="AH2214" s="38"/>
      <c r="AI2214" s="38"/>
      <c r="AJ2214" s="38"/>
      <c r="AK2214" s="38"/>
      <c r="AL2214" s="38"/>
      <c r="AM2214" s="38"/>
      <c r="AN2214" s="38"/>
      <c r="AO2214" s="38"/>
      <c r="AP2214" s="38"/>
      <c r="AQ2214" s="38"/>
      <c r="AR2214" s="38"/>
      <c r="AS2214" s="38"/>
      <c r="AT2214" s="38"/>
      <c r="AU2214" s="38"/>
      <c r="AV2214" s="38"/>
      <c r="AW2214" s="38"/>
      <c r="AX2214" s="38"/>
      <c r="AY2214" s="38"/>
      <c r="AZ2214" s="38"/>
      <c r="BA2214" s="38"/>
      <c r="BB2214" s="38"/>
      <c r="BC2214" s="38"/>
      <c r="BD2214" s="38"/>
      <c r="BE2214" s="38"/>
      <c r="BF2214" s="38"/>
      <c r="BG2214" s="38"/>
    </row>
    <row r="2215">
      <c r="A2215" s="16"/>
      <c r="B2215" s="16"/>
      <c r="C2215" s="146"/>
      <c r="D2215" s="146"/>
      <c r="E2215" s="16"/>
      <c r="F2215" s="91"/>
      <c r="G2215" s="16"/>
      <c r="H2215" s="320" t="str">
        <f t="shared" si="1"/>
        <v/>
      </c>
      <c r="I2215" s="16"/>
      <c r="J2215" s="16"/>
      <c r="K2215" s="16"/>
      <c r="L2215" s="38"/>
      <c r="M2215" s="16"/>
      <c r="N2215" s="16"/>
      <c r="O2215" s="16"/>
      <c r="P2215" s="15"/>
      <c r="Q2215" s="15"/>
      <c r="R2215" s="16"/>
      <c r="S2215" s="16"/>
      <c r="T2215" s="16"/>
      <c r="U2215" s="16"/>
      <c r="V2215" s="37" t="str">
        <f>IFERROR(__xludf.DUMMYFUNCTION("if(not(iserror(index(split(C2215, "" ""),2))), index(split(C2215, "" ""),1),"""")"),"")</f>
        <v/>
      </c>
      <c r="W2215" s="315" t="str">
        <f>IFERROR(__xludf.DUMMYFUNCTION("if(V2215="""",C2215,if(not(iserror(index(split(C2215, "" ""),3))), index(split(C2215, "" ""),3),index(split(C2215, "" ""),2)))"),"")</f>
        <v/>
      </c>
      <c r="X2215" s="38" t="b">
        <f t="shared" si="2"/>
        <v>0</v>
      </c>
      <c r="Y2215" s="38"/>
      <c r="Z2215" s="40"/>
      <c r="AA2215" s="40"/>
      <c r="AB2215" s="38"/>
      <c r="AC2215" s="38"/>
      <c r="AD2215" s="38"/>
      <c r="AE2215" s="38"/>
      <c r="AF2215" s="38"/>
      <c r="AG2215" s="38"/>
      <c r="AH2215" s="38"/>
      <c r="AI2215" s="38"/>
      <c r="AJ2215" s="38"/>
      <c r="AK2215" s="38"/>
      <c r="AL2215" s="38"/>
      <c r="AM2215" s="38"/>
      <c r="AN2215" s="38"/>
      <c r="AO2215" s="38"/>
      <c r="AP2215" s="38"/>
      <c r="AQ2215" s="38"/>
      <c r="AR2215" s="38"/>
      <c r="AS2215" s="38"/>
      <c r="AT2215" s="38"/>
      <c r="AU2215" s="38"/>
      <c r="AV2215" s="38"/>
      <c r="AW2215" s="38"/>
      <c r="AX2215" s="38"/>
      <c r="AY2215" s="38"/>
      <c r="AZ2215" s="38"/>
      <c r="BA2215" s="38"/>
      <c r="BB2215" s="38"/>
      <c r="BC2215" s="38"/>
      <c r="BD2215" s="38"/>
      <c r="BE2215" s="38"/>
      <c r="BF2215" s="38"/>
      <c r="BG2215" s="38"/>
    </row>
    <row r="2216">
      <c r="A2216" s="16"/>
      <c r="B2216" s="16"/>
      <c r="C2216" s="146"/>
      <c r="D2216" s="146"/>
      <c r="E2216" s="16"/>
      <c r="F2216" s="91"/>
      <c r="G2216" s="16"/>
      <c r="H2216" s="320" t="str">
        <f t="shared" si="1"/>
        <v/>
      </c>
      <c r="I2216" s="16"/>
      <c r="J2216" s="16"/>
      <c r="K2216" s="16"/>
      <c r="L2216" s="38"/>
      <c r="M2216" s="16"/>
      <c r="N2216" s="16"/>
      <c r="O2216" s="16"/>
      <c r="P2216" s="15"/>
      <c r="Q2216" s="15"/>
      <c r="R2216" s="16"/>
      <c r="S2216" s="16"/>
      <c r="T2216" s="16"/>
      <c r="U2216" s="16"/>
      <c r="V2216" s="37" t="str">
        <f>IFERROR(__xludf.DUMMYFUNCTION("if(not(iserror(index(split(C2216, "" ""),2))), index(split(C2216, "" ""),1),"""")"),"")</f>
        <v/>
      </c>
      <c r="W2216" s="315" t="str">
        <f>IFERROR(__xludf.DUMMYFUNCTION("if(V2216="""",C2216,if(not(iserror(index(split(C2216, "" ""),3))), index(split(C2216, "" ""),3),index(split(C2216, "" ""),2)))"),"")</f>
        <v/>
      </c>
      <c r="X2216" s="38" t="b">
        <f t="shared" si="2"/>
        <v>0</v>
      </c>
      <c r="Y2216" s="38"/>
      <c r="Z2216" s="40"/>
      <c r="AA2216" s="40"/>
      <c r="AB2216" s="38"/>
      <c r="AC2216" s="38"/>
      <c r="AD2216" s="38"/>
      <c r="AE2216" s="38"/>
      <c r="AF2216" s="38"/>
      <c r="AG2216" s="38"/>
      <c r="AH2216" s="38"/>
      <c r="AI2216" s="38"/>
      <c r="AJ2216" s="38"/>
      <c r="AK2216" s="38"/>
      <c r="AL2216" s="38"/>
      <c r="AM2216" s="38"/>
      <c r="AN2216" s="38"/>
      <c r="AO2216" s="38"/>
      <c r="AP2216" s="38"/>
      <c r="AQ2216" s="38"/>
      <c r="AR2216" s="38"/>
      <c r="AS2216" s="38"/>
      <c r="AT2216" s="38"/>
      <c r="AU2216" s="38"/>
      <c r="AV2216" s="38"/>
      <c r="AW2216" s="38"/>
      <c r="AX2216" s="38"/>
      <c r="AY2216" s="38"/>
      <c r="AZ2216" s="38"/>
      <c r="BA2216" s="38"/>
      <c r="BB2216" s="38"/>
      <c r="BC2216" s="38"/>
      <c r="BD2216" s="38"/>
      <c r="BE2216" s="38"/>
      <c r="BF2216" s="38"/>
      <c r="BG2216" s="38"/>
    </row>
    <row r="2217">
      <c r="A2217" s="16"/>
      <c r="B2217" s="16"/>
      <c r="C2217" s="146"/>
      <c r="D2217" s="146"/>
      <c r="E2217" s="16"/>
      <c r="F2217" s="91"/>
      <c r="G2217" s="16"/>
      <c r="H2217" s="320" t="str">
        <f t="shared" si="1"/>
        <v/>
      </c>
      <c r="I2217" s="16"/>
      <c r="J2217" s="16"/>
      <c r="K2217" s="16"/>
      <c r="L2217" s="38"/>
      <c r="M2217" s="16"/>
      <c r="N2217" s="16"/>
      <c r="O2217" s="16"/>
      <c r="P2217" s="15"/>
      <c r="Q2217" s="15"/>
      <c r="R2217" s="16"/>
      <c r="S2217" s="16"/>
      <c r="T2217" s="16"/>
      <c r="U2217" s="16"/>
      <c r="V2217" s="37" t="str">
        <f>IFERROR(__xludf.DUMMYFUNCTION("if(not(iserror(index(split(C2217, "" ""),2))), index(split(C2217, "" ""),1),"""")"),"")</f>
        <v/>
      </c>
      <c r="W2217" s="315" t="str">
        <f>IFERROR(__xludf.DUMMYFUNCTION("if(V2217="""",C2217,if(not(iserror(index(split(C2217, "" ""),3))), index(split(C2217, "" ""),3),index(split(C2217, "" ""),2)))"),"")</f>
        <v/>
      </c>
      <c r="X2217" s="38" t="b">
        <f t="shared" si="2"/>
        <v>0</v>
      </c>
      <c r="Y2217" s="38"/>
      <c r="Z2217" s="40"/>
      <c r="AA2217" s="40"/>
      <c r="AB2217" s="38"/>
      <c r="AC2217" s="38"/>
      <c r="AD2217" s="38"/>
      <c r="AE2217" s="38"/>
      <c r="AF2217" s="38"/>
      <c r="AG2217" s="38"/>
      <c r="AH2217" s="38"/>
      <c r="AI2217" s="38"/>
      <c r="AJ2217" s="38"/>
      <c r="AK2217" s="38"/>
      <c r="AL2217" s="38"/>
      <c r="AM2217" s="38"/>
      <c r="AN2217" s="38"/>
      <c r="AO2217" s="38"/>
      <c r="AP2217" s="38"/>
      <c r="AQ2217" s="38"/>
      <c r="AR2217" s="38"/>
      <c r="AS2217" s="38"/>
      <c r="AT2217" s="38"/>
      <c r="AU2217" s="38"/>
      <c r="AV2217" s="38"/>
      <c r="AW2217" s="38"/>
      <c r="AX2217" s="38"/>
      <c r="AY2217" s="38"/>
      <c r="AZ2217" s="38"/>
      <c r="BA2217" s="38"/>
      <c r="BB2217" s="38"/>
      <c r="BC2217" s="38"/>
      <c r="BD2217" s="38"/>
      <c r="BE2217" s="38"/>
      <c r="BF2217" s="38"/>
      <c r="BG2217" s="38"/>
    </row>
    <row r="2218">
      <c r="A2218" s="16"/>
      <c r="B2218" s="16"/>
      <c r="C2218" s="146"/>
      <c r="D2218" s="146"/>
      <c r="E2218" s="16"/>
      <c r="F2218" s="91"/>
      <c r="G2218" s="16"/>
      <c r="H2218" s="320" t="str">
        <f t="shared" si="1"/>
        <v/>
      </c>
      <c r="I2218" s="16"/>
      <c r="J2218" s="16"/>
      <c r="K2218" s="16"/>
      <c r="L2218" s="38"/>
      <c r="M2218" s="16"/>
      <c r="N2218" s="16"/>
      <c r="O2218" s="16"/>
      <c r="P2218" s="15"/>
      <c r="Q2218" s="15"/>
      <c r="R2218" s="16"/>
      <c r="S2218" s="16"/>
      <c r="T2218" s="16"/>
      <c r="U2218" s="16"/>
      <c r="V2218" s="37" t="str">
        <f>IFERROR(__xludf.DUMMYFUNCTION("if(not(iserror(index(split(C2218, "" ""),2))), index(split(C2218, "" ""),1),"""")"),"")</f>
        <v/>
      </c>
      <c r="W2218" s="315" t="str">
        <f>IFERROR(__xludf.DUMMYFUNCTION("if(V2218="""",C2218,if(not(iserror(index(split(C2218, "" ""),3))), index(split(C2218, "" ""),3),index(split(C2218, "" ""),2)))"),"")</f>
        <v/>
      </c>
      <c r="X2218" s="38" t="b">
        <f t="shared" si="2"/>
        <v>0</v>
      </c>
      <c r="Y2218" s="38"/>
      <c r="Z2218" s="40"/>
      <c r="AA2218" s="40"/>
      <c r="AB2218" s="38"/>
      <c r="AC2218" s="38"/>
      <c r="AD2218" s="38"/>
      <c r="AE2218" s="38"/>
      <c r="AF2218" s="38"/>
      <c r="AG2218" s="38"/>
      <c r="AH2218" s="38"/>
      <c r="AI2218" s="38"/>
      <c r="AJ2218" s="38"/>
      <c r="AK2218" s="38"/>
      <c r="AL2218" s="38"/>
      <c r="AM2218" s="38"/>
      <c r="AN2218" s="38"/>
      <c r="AO2218" s="38"/>
      <c r="AP2218" s="38"/>
      <c r="AQ2218" s="38"/>
      <c r="AR2218" s="38"/>
      <c r="AS2218" s="38"/>
      <c r="AT2218" s="38"/>
      <c r="AU2218" s="38"/>
      <c r="AV2218" s="38"/>
      <c r="AW2218" s="38"/>
      <c r="AX2218" s="38"/>
      <c r="AY2218" s="38"/>
      <c r="AZ2218" s="38"/>
      <c r="BA2218" s="38"/>
      <c r="BB2218" s="38"/>
      <c r="BC2218" s="38"/>
      <c r="BD2218" s="38"/>
      <c r="BE2218" s="38"/>
      <c r="BF2218" s="38"/>
      <c r="BG2218" s="38"/>
    </row>
    <row r="2219">
      <c r="A2219" s="16"/>
      <c r="B2219" s="16"/>
      <c r="C2219" s="146"/>
      <c r="D2219" s="146"/>
      <c r="E2219" s="16"/>
      <c r="F2219" s="91"/>
      <c r="G2219" s="16"/>
      <c r="H2219" s="320" t="str">
        <f t="shared" si="1"/>
        <v/>
      </c>
      <c r="I2219" s="16"/>
      <c r="J2219" s="16"/>
      <c r="K2219" s="16"/>
      <c r="L2219" s="38"/>
      <c r="M2219" s="16"/>
      <c r="N2219" s="16"/>
      <c r="O2219" s="16"/>
      <c r="P2219" s="15"/>
      <c r="Q2219" s="15"/>
      <c r="R2219" s="16"/>
      <c r="S2219" s="16"/>
      <c r="T2219" s="16"/>
      <c r="U2219" s="16"/>
      <c r="V2219" s="37" t="str">
        <f>IFERROR(__xludf.DUMMYFUNCTION("if(not(iserror(index(split(C2219, "" ""),2))), index(split(C2219, "" ""),1),"""")"),"")</f>
        <v/>
      </c>
      <c r="W2219" s="315" t="str">
        <f>IFERROR(__xludf.DUMMYFUNCTION("if(V2219="""",C2219,if(not(iserror(index(split(C2219, "" ""),3))), index(split(C2219, "" ""),3),index(split(C2219, "" ""),2)))"),"")</f>
        <v/>
      </c>
      <c r="X2219" s="38" t="b">
        <f t="shared" si="2"/>
        <v>0</v>
      </c>
      <c r="Y2219" s="38"/>
      <c r="Z2219" s="40"/>
      <c r="AA2219" s="40"/>
      <c r="AB2219" s="38"/>
      <c r="AC2219" s="38"/>
      <c r="AD2219" s="38"/>
      <c r="AE2219" s="38"/>
      <c r="AF2219" s="38"/>
      <c r="AG2219" s="38"/>
      <c r="AH2219" s="38"/>
      <c r="AI2219" s="38"/>
      <c r="AJ2219" s="38"/>
      <c r="AK2219" s="38"/>
      <c r="AL2219" s="38"/>
      <c r="AM2219" s="38"/>
      <c r="AN2219" s="38"/>
      <c r="AO2219" s="38"/>
      <c r="AP2219" s="38"/>
      <c r="AQ2219" s="38"/>
      <c r="AR2219" s="38"/>
      <c r="AS2219" s="38"/>
      <c r="AT2219" s="38"/>
      <c r="AU2219" s="38"/>
      <c r="AV2219" s="38"/>
      <c r="AW2219" s="38"/>
      <c r="AX2219" s="38"/>
      <c r="AY2219" s="38"/>
      <c r="AZ2219" s="38"/>
      <c r="BA2219" s="38"/>
      <c r="BB2219" s="38"/>
      <c r="BC2219" s="38"/>
      <c r="BD2219" s="38"/>
      <c r="BE2219" s="38"/>
      <c r="BF2219" s="38"/>
      <c r="BG2219" s="38"/>
    </row>
    <row r="2220">
      <c r="A2220" s="16"/>
      <c r="B2220" s="16"/>
      <c r="C2220" s="146"/>
      <c r="D2220" s="146"/>
      <c r="E2220" s="16"/>
      <c r="F2220" s="91"/>
      <c r="G2220" s="16"/>
      <c r="H2220" s="320" t="str">
        <f t="shared" si="1"/>
        <v/>
      </c>
      <c r="I2220" s="16"/>
      <c r="J2220" s="16"/>
      <c r="K2220" s="16"/>
      <c r="L2220" s="38"/>
      <c r="M2220" s="16"/>
      <c r="N2220" s="16"/>
      <c r="O2220" s="16"/>
      <c r="P2220" s="15"/>
      <c r="Q2220" s="15"/>
      <c r="R2220" s="16"/>
      <c r="S2220" s="16"/>
      <c r="T2220" s="16"/>
      <c r="U2220" s="16"/>
      <c r="V2220" s="37" t="str">
        <f>IFERROR(__xludf.DUMMYFUNCTION("if(not(iserror(index(split(C2220, "" ""),2))), index(split(C2220, "" ""),1),"""")"),"")</f>
        <v/>
      </c>
      <c r="W2220" s="315" t="str">
        <f>IFERROR(__xludf.DUMMYFUNCTION("if(V2220="""",C2220,if(not(iserror(index(split(C2220, "" ""),3))), index(split(C2220, "" ""),3),index(split(C2220, "" ""),2)))"),"")</f>
        <v/>
      </c>
      <c r="X2220" s="38" t="b">
        <f t="shared" si="2"/>
        <v>0</v>
      </c>
      <c r="Y2220" s="38"/>
      <c r="Z2220" s="40"/>
      <c r="AA2220" s="40"/>
      <c r="AB2220" s="38"/>
      <c r="AC2220" s="38"/>
      <c r="AD2220" s="38"/>
      <c r="AE2220" s="38"/>
      <c r="AF2220" s="38"/>
      <c r="AG2220" s="38"/>
      <c r="AH2220" s="38"/>
      <c r="AI2220" s="38"/>
      <c r="AJ2220" s="38"/>
      <c r="AK2220" s="38"/>
      <c r="AL2220" s="38"/>
      <c r="AM2220" s="38"/>
      <c r="AN2220" s="38"/>
      <c r="AO2220" s="38"/>
      <c r="AP2220" s="38"/>
      <c r="AQ2220" s="38"/>
      <c r="AR2220" s="38"/>
      <c r="AS2220" s="38"/>
      <c r="AT2220" s="38"/>
      <c r="AU2220" s="38"/>
      <c r="AV2220" s="38"/>
      <c r="AW2220" s="38"/>
      <c r="AX2220" s="38"/>
      <c r="AY2220" s="38"/>
      <c r="AZ2220" s="38"/>
      <c r="BA2220" s="38"/>
      <c r="BB2220" s="38"/>
      <c r="BC2220" s="38"/>
      <c r="BD2220" s="38"/>
      <c r="BE2220" s="38"/>
      <c r="BF2220" s="38"/>
      <c r="BG2220" s="38"/>
    </row>
    <row r="2221">
      <c r="A2221" s="16"/>
      <c r="B2221" s="16"/>
      <c r="C2221" s="146"/>
      <c r="D2221" s="146"/>
      <c r="E2221" s="16"/>
      <c r="F2221" s="91"/>
      <c r="G2221" s="16"/>
      <c r="H2221" s="320" t="str">
        <f t="shared" si="1"/>
        <v/>
      </c>
      <c r="I2221" s="16"/>
      <c r="J2221" s="16"/>
      <c r="K2221" s="16"/>
      <c r="L2221" s="38"/>
      <c r="M2221" s="16"/>
      <c r="N2221" s="16"/>
      <c r="O2221" s="16"/>
      <c r="P2221" s="15"/>
      <c r="Q2221" s="15"/>
      <c r="R2221" s="16"/>
      <c r="S2221" s="16"/>
      <c r="T2221" s="16"/>
      <c r="U2221" s="16"/>
      <c r="V2221" s="37" t="str">
        <f>IFERROR(__xludf.DUMMYFUNCTION("if(not(iserror(index(split(C2221, "" ""),2))), index(split(C2221, "" ""),1),"""")"),"")</f>
        <v/>
      </c>
      <c r="W2221" s="315" t="str">
        <f>IFERROR(__xludf.DUMMYFUNCTION("if(V2221="""",C2221,if(not(iserror(index(split(C2221, "" ""),3))), index(split(C2221, "" ""),3),index(split(C2221, "" ""),2)))"),"")</f>
        <v/>
      </c>
      <c r="X2221" s="38" t="b">
        <f t="shared" si="2"/>
        <v>0</v>
      </c>
      <c r="Y2221" s="38"/>
      <c r="Z2221" s="40"/>
      <c r="AA2221" s="40"/>
      <c r="AB2221" s="38"/>
      <c r="AC2221" s="38"/>
      <c r="AD2221" s="38"/>
      <c r="AE2221" s="38"/>
      <c r="AF2221" s="38"/>
      <c r="AG2221" s="38"/>
      <c r="AH2221" s="38"/>
      <c r="AI2221" s="38"/>
      <c r="AJ2221" s="38"/>
      <c r="AK2221" s="38"/>
      <c r="AL2221" s="38"/>
      <c r="AM2221" s="38"/>
      <c r="AN2221" s="38"/>
      <c r="AO2221" s="38"/>
      <c r="AP2221" s="38"/>
      <c r="AQ2221" s="38"/>
      <c r="AR2221" s="38"/>
      <c r="AS2221" s="38"/>
      <c r="AT2221" s="38"/>
      <c r="AU2221" s="38"/>
      <c r="AV2221" s="38"/>
      <c r="AW2221" s="38"/>
      <c r="AX2221" s="38"/>
      <c r="AY2221" s="38"/>
      <c r="AZ2221" s="38"/>
      <c r="BA2221" s="38"/>
      <c r="BB2221" s="38"/>
      <c r="BC2221" s="38"/>
      <c r="BD2221" s="38"/>
      <c r="BE2221" s="38"/>
      <c r="BF2221" s="38"/>
      <c r="BG2221" s="38"/>
    </row>
    <row r="2222">
      <c r="A2222" s="16"/>
      <c r="B2222" s="16"/>
      <c r="C2222" s="146"/>
      <c r="D2222" s="146"/>
      <c r="E2222" s="16"/>
      <c r="F2222" s="91"/>
      <c r="G2222" s="16"/>
      <c r="H2222" s="320" t="str">
        <f t="shared" si="1"/>
        <v/>
      </c>
      <c r="I2222" s="16"/>
      <c r="J2222" s="16"/>
      <c r="K2222" s="16"/>
      <c r="L2222" s="38"/>
      <c r="M2222" s="16"/>
      <c r="N2222" s="16"/>
      <c r="O2222" s="16"/>
      <c r="P2222" s="15"/>
      <c r="Q2222" s="15"/>
      <c r="R2222" s="16"/>
      <c r="S2222" s="16"/>
      <c r="T2222" s="16"/>
      <c r="U2222" s="16"/>
      <c r="V2222" s="37" t="str">
        <f>IFERROR(__xludf.DUMMYFUNCTION("if(not(iserror(index(split(C2222, "" ""),2))), index(split(C2222, "" ""),1),"""")"),"")</f>
        <v/>
      </c>
      <c r="W2222" s="315" t="str">
        <f>IFERROR(__xludf.DUMMYFUNCTION("if(V2222="""",C2222,if(not(iserror(index(split(C2222, "" ""),3))), index(split(C2222, "" ""),3),index(split(C2222, "" ""),2)))"),"")</f>
        <v/>
      </c>
      <c r="X2222" s="38" t="b">
        <f t="shared" si="2"/>
        <v>0</v>
      </c>
      <c r="Y2222" s="38"/>
      <c r="Z2222" s="40"/>
      <c r="AA2222" s="40"/>
      <c r="AB2222" s="38"/>
      <c r="AC2222" s="38"/>
      <c r="AD2222" s="38"/>
      <c r="AE2222" s="38"/>
      <c r="AF2222" s="38"/>
      <c r="AG2222" s="38"/>
      <c r="AH2222" s="38"/>
      <c r="AI2222" s="38"/>
      <c r="AJ2222" s="38"/>
      <c r="AK2222" s="38"/>
      <c r="AL2222" s="38"/>
      <c r="AM2222" s="38"/>
      <c r="AN2222" s="38"/>
      <c r="AO2222" s="38"/>
      <c r="AP2222" s="38"/>
      <c r="AQ2222" s="38"/>
      <c r="AR2222" s="38"/>
      <c r="AS2222" s="38"/>
      <c r="AT2222" s="38"/>
      <c r="AU2222" s="38"/>
      <c r="AV2222" s="38"/>
      <c r="AW2222" s="38"/>
      <c r="AX2222" s="38"/>
      <c r="AY2222" s="38"/>
      <c r="AZ2222" s="38"/>
      <c r="BA2222" s="38"/>
      <c r="BB2222" s="38"/>
      <c r="BC2222" s="38"/>
      <c r="BD2222" s="38"/>
      <c r="BE2222" s="38"/>
      <c r="BF2222" s="38"/>
      <c r="BG2222" s="38"/>
    </row>
    <row r="2223">
      <c r="A2223" s="16"/>
      <c r="B2223" s="16"/>
      <c r="C2223" s="146"/>
      <c r="D2223" s="146"/>
      <c r="E2223" s="16"/>
      <c r="F2223" s="91"/>
      <c r="G2223" s="16"/>
      <c r="H2223" s="320" t="str">
        <f t="shared" si="1"/>
        <v/>
      </c>
      <c r="I2223" s="16"/>
      <c r="J2223" s="16"/>
      <c r="K2223" s="16"/>
      <c r="L2223" s="38"/>
      <c r="M2223" s="16"/>
      <c r="N2223" s="16"/>
      <c r="O2223" s="16"/>
      <c r="P2223" s="15"/>
      <c r="Q2223" s="15"/>
      <c r="R2223" s="16"/>
      <c r="S2223" s="16"/>
      <c r="T2223" s="16"/>
      <c r="U2223" s="16"/>
      <c r="V2223" s="37" t="str">
        <f>IFERROR(__xludf.DUMMYFUNCTION("if(not(iserror(index(split(C2223, "" ""),2))), index(split(C2223, "" ""),1),"""")"),"")</f>
        <v/>
      </c>
      <c r="W2223" s="315" t="str">
        <f>IFERROR(__xludf.DUMMYFUNCTION("if(V2223="""",C2223,if(not(iserror(index(split(C2223, "" ""),3))), index(split(C2223, "" ""),3),index(split(C2223, "" ""),2)))"),"")</f>
        <v/>
      </c>
      <c r="X2223" s="38" t="b">
        <f t="shared" si="2"/>
        <v>0</v>
      </c>
      <c r="Y2223" s="38"/>
      <c r="Z2223" s="40"/>
      <c r="AA2223" s="40"/>
      <c r="AB2223" s="38"/>
      <c r="AC2223" s="38"/>
      <c r="AD2223" s="38"/>
      <c r="AE2223" s="38"/>
      <c r="AF2223" s="38"/>
      <c r="AG2223" s="38"/>
      <c r="AH2223" s="38"/>
      <c r="AI2223" s="38"/>
      <c r="AJ2223" s="38"/>
      <c r="AK2223" s="38"/>
      <c r="AL2223" s="38"/>
      <c r="AM2223" s="38"/>
      <c r="AN2223" s="38"/>
      <c r="AO2223" s="38"/>
      <c r="AP2223" s="38"/>
      <c r="AQ2223" s="38"/>
      <c r="AR2223" s="38"/>
      <c r="AS2223" s="38"/>
      <c r="AT2223" s="38"/>
      <c r="AU2223" s="38"/>
      <c r="AV2223" s="38"/>
      <c r="AW2223" s="38"/>
      <c r="AX2223" s="38"/>
      <c r="AY2223" s="38"/>
      <c r="AZ2223" s="38"/>
      <c r="BA2223" s="38"/>
      <c r="BB2223" s="38"/>
      <c r="BC2223" s="38"/>
      <c r="BD2223" s="38"/>
      <c r="BE2223" s="38"/>
      <c r="BF2223" s="38"/>
      <c r="BG2223" s="38"/>
    </row>
    <row r="2224">
      <c r="A2224" s="16"/>
      <c r="B2224" s="16"/>
      <c r="C2224" s="146"/>
      <c r="D2224" s="146"/>
      <c r="E2224" s="16"/>
      <c r="F2224" s="91"/>
      <c r="G2224" s="16"/>
      <c r="H2224" s="320" t="str">
        <f t="shared" si="1"/>
        <v/>
      </c>
      <c r="I2224" s="16"/>
      <c r="J2224" s="16"/>
      <c r="K2224" s="16"/>
      <c r="L2224" s="38"/>
      <c r="M2224" s="16"/>
      <c r="N2224" s="16"/>
      <c r="O2224" s="16"/>
      <c r="P2224" s="15"/>
      <c r="Q2224" s="15"/>
      <c r="R2224" s="16"/>
      <c r="S2224" s="16"/>
      <c r="T2224" s="16"/>
      <c r="U2224" s="16"/>
      <c r="V2224" s="37" t="str">
        <f>IFERROR(__xludf.DUMMYFUNCTION("if(not(iserror(index(split(C2224, "" ""),2))), index(split(C2224, "" ""),1),"""")"),"")</f>
        <v/>
      </c>
      <c r="W2224" s="315" t="str">
        <f>IFERROR(__xludf.DUMMYFUNCTION("if(V2224="""",C2224,if(not(iserror(index(split(C2224, "" ""),3))), index(split(C2224, "" ""),3),index(split(C2224, "" ""),2)))"),"")</f>
        <v/>
      </c>
      <c r="X2224" s="38" t="b">
        <f t="shared" si="2"/>
        <v>0</v>
      </c>
      <c r="Y2224" s="38"/>
      <c r="Z2224" s="40"/>
      <c r="AA2224" s="40"/>
      <c r="AB2224" s="38"/>
      <c r="AC2224" s="38"/>
      <c r="AD2224" s="38"/>
      <c r="AE2224" s="38"/>
      <c r="AF2224" s="38"/>
      <c r="AG2224" s="38"/>
      <c r="AH2224" s="38"/>
      <c r="AI2224" s="38"/>
      <c r="AJ2224" s="38"/>
      <c r="AK2224" s="38"/>
      <c r="AL2224" s="38"/>
      <c r="AM2224" s="38"/>
      <c r="AN2224" s="38"/>
      <c r="AO2224" s="38"/>
      <c r="AP2224" s="38"/>
      <c r="AQ2224" s="38"/>
      <c r="AR2224" s="38"/>
      <c r="AS2224" s="38"/>
      <c r="AT2224" s="38"/>
      <c r="AU2224" s="38"/>
      <c r="AV2224" s="38"/>
      <c r="AW2224" s="38"/>
      <c r="AX2224" s="38"/>
      <c r="AY2224" s="38"/>
      <c r="AZ2224" s="38"/>
      <c r="BA2224" s="38"/>
      <c r="BB2224" s="38"/>
      <c r="BC2224" s="38"/>
      <c r="BD2224" s="38"/>
      <c r="BE2224" s="38"/>
      <c r="BF2224" s="38"/>
      <c r="BG2224" s="38"/>
    </row>
    <row r="2225">
      <c r="A2225" s="16"/>
      <c r="B2225" s="16"/>
      <c r="C2225" s="146"/>
      <c r="D2225" s="146"/>
      <c r="E2225" s="16"/>
      <c r="F2225" s="91"/>
      <c r="G2225" s="16"/>
      <c r="H2225" s="320" t="str">
        <f t="shared" si="1"/>
        <v/>
      </c>
      <c r="I2225" s="16"/>
      <c r="J2225" s="16"/>
      <c r="K2225" s="16"/>
      <c r="L2225" s="38"/>
      <c r="M2225" s="16"/>
      <c r="N2225" s="16"/>
      <c r="O2225" s="16"/>
      <c r="P2225" s="15"/>
      <c r="Q2225" s="15"/>
      <c r="R2225" s="16"/>
      <c r="S2225" s="16"/>
      <c r="T2225" s="16"/>
      <c r="U2225" s="16"/>
      <c r="V2225" s="37" t="str">
        <f>IFERROR(__xludf.DUMMYFUNCTION("if(not(iserror(index(split(C2225, "" ""),2))), index(split(C2225, "" ""),1),"""")"),"")</f>
        <v/>
      </c>
      <c r="W2225" s="315" t="str">
        <f>IFERROR(__xludf.DUMMYFUNCTION("if(V2225="""",C2225,if(not(iserror(index(split(C2225, "" ""),3))), index(split(C2225, "" ""),3),index(split(C2225, "" ""),2)))"),"")</f>
        <v/>
      </c>
      <c r="X2225" s="38" t="b">
        <f t="shared" si="2"/>
        <v>0</v>
      </c>
      <c r="Y2225" s="38"/>
      <c r="Z2225" s="40"/>
      <c r="AA2225" s="40"/>
      <c r="AB2225" s="38"/>
      <c r="AC2225" s="38"/>
      <c r="AD2225" s="38"/>
      <c r="AE2225" s="38"/>
      <c r="AF2225" s="38"/>
      <c r="AG2225" s="38"/>
      <c r="AH2225" s="38"/>
      <c r="AI2225" s="38"/>
      <c r="AJ2225" s="38"/>
      <c r="AK2225" s="38"/>
      <c r="AL2225" s="38"/>
      <c r="AM2225" s="38"/>
      <c r="AN2225" s="38"/>
      <c r="AO2225" s="38"/>
      <c r="AP2225" s="38"/>
      <c r="AQ2225" s="38"/>
      <c r="AR2225" s="38"/>
      <c r="AS2225" s="38"/>
      <c r="AT2225" s="38"/>
      <c r="AU2225" s="38"/>
      <c r="AV2225" s="38"/>
      <c r="AW2225" s="38"/>
      <c r="AX2225" s="38"/>
      <c r="AY2225" s="38"/>
      <c r="AZ2225" s="38"/>
      <c r="BA2225" s="38"/>
      <c r="BB2225" s="38"/>
      <c r="BC2225" s="38"/>
      <c r="BD2225" s="38"/>
      <c r="BE2225" s="38"/>
      <c r="BF2225" s="38"/>
      <c r="BG2225" s="38"/>
    </row>
    <row r="2226">
      <c r="A2226" s="16"/>
      <c r="B2226" s="16"/>
      <c r="C2226" s="146"/>
      <c r="D2226" s="146"/>
      <c r="E2226" s="16"/>
      <c r="F2226" s="91"/>
      <c r="G2226" s="16"/>
      <c r="H2226" s="320" t="str">
        <f t="shared" si="1"/>
        <v/>
      </c>
      <c r="I2226" s="16"/>
      <c r="J2226" s="16"/>
      <c r="K2226" s="16"/>
      <c r="L2226" s="38"/>
      <c r="M2226" s="16"/>
      <c r="N2226" s="16"/>
      <c r="O2226" s="16"/>
      <c r="P2226" s="15"/>
      <c r="Q2226" s="15"/>
      <c r="R2226" s="16"/>
      <c r="S2226" s="16"/>
      <c r="T2226" s="16"/>
      <c r="U2226" s="16"/>
      <c r="V2226" s="37" t="str">
        <f>IFERROR(__xludf.DUMMYFUNCTION("if(not(iserror(index(split(C2226, "" ""),2))), index(split(C2226, "" ""),1),"""")"),"")</f>
        <v/>
      </c>
      <c r="W2226" s="315" t="str">
        <f>IFERROR(__xludf.DUMMYFUNCTION("if(V2226="""",C2226,if(not(iserror(index(split(C2226, "" ""),3))), index(split(C2226, "" ""),3),index(split(C2226, "" ""),2)))"),"")</f>
        <v/>
      </c>
      <c r="X2226" s="38" t="b">
        <f t="shared" si="2"/>
        <v>0</v>
      </c>
      <c r="Y2226" s="38"/>
      <c r="Z2226" s="40"/>
      <c r="AA2226" s="40"/>
      <c r="AB2226" s="38"/>
      <c r="AC2226" s="38"/>
      <c r="AD2226" s="38"/>
      <c r="AE2226" s="38"/>
      <c r="AF2226" s="38"/>
      <c r="AG2226" s="38"/>
      <c r="AH2226" s="38"/>
      <c r="AI2226" s="38"/>
      <c r="AJ2226" s="38"/>
      <c r="AK2226" s="38"/>
      <c r="AL2226" s="38"/>
      <c r="AM2226" s="38"/>
      <c r="AN2226" s="38"/>
      <c r="AO2226" s="38"/>
      <c r="AP2226" s="38"/>
      <c r="AQ2226" s="38"/>
      <c r="AR2226" s="38"/>
      <c r="AS2226" s="38"/>
      <c r="AT2226" s="38"/>
      <c r="AU2226" s="38"/>
      <c r="AV2226" s="38"/>
      <c r="AW2226" s="38"/>
      <c r="AX2226" s="38"/>
      <c r="AY2226" s="38"/>
      <c r="AZ2226" s="38"/>
      <c r="BA2226" s="38"/>
      <c r="BB2226" s="38"/>
      <c r="BC2226" s="38"/>
      <c r="BD2226" s="38"/>
      <c r="BE2226" s="38"/>
      <c r="BF2226" s="38"/>
      <c r="BG2226" s="38"/>
    </row>
    <row r="2227">
      <c r="A2227" s="16"/>
      <c r="B2227" s="16"/>
      <c r="C2227" s="146"/>
      <c r="D2227" s="146"/>
      <c r="E2227" s="16"/>
      <c r="F2227" s="91"/>
      <c r="G2227" s="16"/>
      <c r="H2227" s="320" t="str">
        <f t="shared" si="1"/>
        <v/>
      </c>
      <c r="I2227" s="16"/>
      <c r="J2227" s="16"/>
      <c r="K2227" s="16"/>
      <c r="L2227" s="38"/>
      <c r="M2227" s="16"/>
      <c r="N2227" s="16"/>
      <c r="O2227" s="16"/>
      <c r="P2227" s="15"/>
      <c r="Q2227" s="15"/>
      <c r="R2227" s="16"/>
      <c r="S2227" s="16"/>
      <c r="T2227" s="16"/>
      <c r="U2227" s="16"/>
      <c r="V2227" s="37" t="str">
        <f>IFERROR(__xludf.DUMMYFUNCTION("if(not(iserror(index(split(C2227, "" ""),2))), index(split(C2227, "" ""),1),"""")"),"")</f>
        <v/>
      </c>
      <c r="W2227" s="315" t="str">
        <f>IFERROR(__xludf.DUMMYFUNCTION("if(V2227="""",C2227,if(not(iserror(index(split(C2227, "" ""),3))), index(split(C2227, "" ""),3),index(split(C2227, "" ""),2)))"),"")</f>
        <v/>
      </c>
      <c r="X2227" s="38" t="b">
        <f t="shared" si="2"/>
        <v>0</v>
      </c>
      <c r="Y2227" s="38"/>
      <c r="Z2227" s="40"/>
      <c r="AA2227" s="40"/>
      <c r="AB2227" s="38"/>
      <c r="AC2227" s="38"/>
      <c r="AD2227" s="38"/>
      <c r="AE2227" s="38"/>
      <c r="AF2227" s="38"/>
      <c r="AG2227" s="38"/>
      <c r="AH2227" s="38"/>
      <c r="AI2227" s="38"/>
      <c r="AJ2227" s="38"/>
      <c r="AK2227" s="38"/>
      <c r="AL2227" s="38"/>
      <c r="AM2227" s="38"/>
      <c r="AN2227" s="38"/>
      <c r="AO2227" s="38"/>
      <c r="AP2227" s="38"/>
      <c r="AQ2227" s="38"/>
      <c r="AR2227" s="38"/>
      <c r="AS2227" s="38"/>
      <c r="AT2227" s="38"/>
      <c r="AU2227" s="38"/>
      <c r="AV2227" s="38"/>
      <c r="AW2227" s="38"/>
      <c r="AX2227" s="38"/>
      <c r="AY2227" s="38"/>
      <c r="AZ2227" s="38"/>
      <c r="BA2227" s="38"/>
      <c r="BB2227" s="38"/>
      <c r="BC2227" s="38"/>
      <c r="BD2227" s="38"/>
      <c r="BE2227" s="38"/>
      <c r="BF2227" s="38"/>
      <c r="BG2227" s="38"/>
    </row>
    <row r="2228">
      <c r="A2228" s="16"/>
      <c r="B2228" s="16"/>
      <c r="C2228" s="146"/>
      <c r="D2228" s="146"/>
      <c r="E2228" s="16"/>
      <c r="F2228" s="91"/>
      <c r="G2228" s="16"/>
      <c r="H2228" s="320" t="str">
        <f t="shared" si="1"/>
        <v/>
      </c>
      <c r="I2228" s="16"/>
      <c r="J2228" s="16"/>
      <c r="K2228" s="16"/>
      <c r="L2228" s="38"/>
      <c r="M2228" s="16"/>
      <c r="N2228" s="16"/>
      <c r="O2228" s="16"/>
      <c r="P2228" s="15"/>
      <c r="Q2228" s="15"/>
      <c r="R2228" s="16"/>
      <c r="S2228" s="16"/>
      <c r="T2228" s="16"/>
      <c r="U2228" s="16"/>
      <c r="V2228" s="37" t="str">
        <f>IFERROR(__xludf.DUMMYFUNCTION("if(not(iserror(index(split(C2228, "" ""),2))), index(split(C2228, "" ""),1),"""")"),"")</f>
        <v/>
      </c>
      <c r="W2228" s="315" t="str">
        <f>IFERROR(__xludf.DUMMYFUNCTION("if(V2228="""",C2228,if(not(iserror(index(split(C2228, "" ""),3))), index(split(C2228, "" ""),3),index(split(C2228, "" ""),2)))"),"")</f>
        <v/>
      </c>
      <c r="X2228" s="38" t="b">
        <f t="shared" si="2"/>
        <v>0</v>
      </c>
      <c r="Y2228" s="38"/>
      <c r="Z2228" s="40"/>
      <c r="AA2228" s="40"/>
      <c r="AB2228" s="38"/>
      <c r="AC2228" s="38"/>
      <c r="AD2228" s="38"/>
      <c r="AE2228" s="38"/>
      <c r="AF2228" s="38"/>
      <c r="AG2228" s="38"/>
      <c r="AH2228" s="38"/>
      <c r="AI2228" s="38"/>
      <c r="AJ2228" s="38"/>
      <c r="AK2228" s="38"/>
      <c r="AL2228" s="38"/>
      <c r="AM2228" s="38"/>
      <c r="AN2228" s="38"/>
      <c r="AO2228" s="38"/>
      <c r="AP2228" s="38"/>
      <c r="AQ2228" s="38"/>
      <c r="AR2228" s="38"/>
      <c r="AS2228" s="38"/>
      <c r="AT2228" s="38"/>
      <c r="AU2228" s="38"/>
      <c r="AV2228" s="38"/>
      <c r="AW2228" s="38"/>
      <c r="AX2228" s="38"/>
      <c r="AY2228" s="38"/>
      <c r="AZ2228" s="38"/>
      <c r="BA2228" s="38"/>
      <c r="BB2228" s="38"/>
      <c r="BC2228" s="38"/>
      <c r="BD2228" s="38"/>
      <c r="BE2228" s="38"/>
      <c r="BF2228" s="38"/>
      <c r="BG2228" s="38"/>
    </row>
    <row r="2229">
      <c r="A2229" s="16"/>
      <c r="B2229" s="16"/>
      <c r="C2229" s="146"/>
      <c r="D2229" s="146"/>
      <c r="E2229" s="16"/>
      <c r="F2229" s="91"/>
      <c r="G2229" s="16"/>
      <c r="H2229" s="320" t="str">
        <f t="shared" si="1"/>
        <v/>
      </c>
      <c r="I2229" s="16"/>
      <c r="J2229" s="16"/>
      <c r="K2229" s="16"/>
      <c r="L2229" s="38"/>
      <c r="M2229" s="16"/>
      <c r="N2229" s="16"/>
      <c r="O2229" s="16"/>
      <c r="P2229" s="15"/>
      <c r="Q2229" s="15"/>
      <c r="R2229" s="16"/>
      <c r="S2229" s="16"/>
      <c r="T2229" s="16"/>
      <c r="U2229" s="16"/>
      <c r="V2229" s="37" t="str">
        <f>IFERROR(__xludf.DUMMYFUNCTION("if(not(iserror(index(split(C2229, "" ""),2))), index(split(C2229, "" ""),1),"""")"),"")</f>
        <v/>
      </c>
      <c r="W2229" s="315" t="str">
        <f>IFERROR(__xludf.DUMMYFUNCTION("if(V2229="""",C2229,if(not(iserror(index(split(C2229, "" ""),3))), index(split(C2229, "" ""),3),index(split(C2229, "" ""),2)))"),"")</f>
        <v/>
      </c>
      <c r="X2229" s="38" t="b">
        <f t="shared" si="2"/>
        <v>0</v>
      </c>
      <c r="Y2229" s="38"/>
      <c r="Z2229" s="40"/>
      <c r="AA2229" s="40"/>
      <c r="AB2229" s="38"/>
      <c r="AC2229" s="38"/>
      <c r="AD2229" s="38"/>
      <c r="AE2229" s="38"/>
      <c r="AF2229" s="38"/>
      <c r="AG2229" s="38"/>
      <c r="AH2229" s="38"/>
      <c r="AI2229" s="38"/>
      <c r="AJ2229" s="38"/>
      <c r="AK2229" s="38"/>
      <c r="AL2229" s="38"/>
      <c r="AM2229" s="38"/>
      <c r="AN2229" s="38"/>
      <c r="AO2229" s="38"/>
      <c r="AP2229" s="38"/>
      <c r="AQ2229" s="38"/>
      <c r="AR2229" s="38"/>
      <c r="AS2229" s="38"/>
      <c r="AT2229" s="38"/>
      <c r="AU2229" s="38"/>
      <c r="AV2229" s="38"/>
      <c r="AW2229" s="38"/>
      <c r="AX2229" s="38"/>
      <c r="AY2229" s="38"/>
      <c r="AZ2229" s="38"/>
      <c r="BA2229" s="38"/>
      <c r="BB2229" s="38"/>
      <c r="BC2229" s="38"/>
      <c r="BD2229" s="38"/>
      <c r="BE2229" s="38"/>
      <c r="BF2229" s="38"/>
      <c r="BG2229" s="38"/>
    </row>
    <row r="2230">
      <c r="A2230" s="16"/>
      <c r="B2230" s="16"/>
      <c r="C2230" s="146"/>
      <c r="D2230" s="146"/>
      <c r="E2230" s="16"/>
      <c r="F2230" s="91"/>
      <c r="G2230" s="16"/>
      <c r="H2230" s="320" t="str">
        <f t="shared" si="1"/>
        <v/>
      </c>
      <c r="I2230" s="16"/>
      <c r="J2230" s="16"/>
      <c r="K2230" s="16"/>
      <c r="L2230" s="38"/>
      <c r="M2230" s="16"/>
      <c r="N2230" s="16"/>
      <c r="O2230" s="16"/>
      <c r="P2230" s="15"/>
      <c r="Q2230" s="15"/>
      <c r="R2230" s="16"/>
      <c r="S2230" s="16"/>
      <c r="T2230" s="16"/>
      <c r="U2230" s="16"/>
      <c r="V2230" s="37" t="str">
        <f>IFERROR(__xludf.DUMMYFUNCTION("if(not(iserror(index(split(C2230, "" ""),2))), index(split(C2230, "" ""),1),"""")"),"")</f>
        <v/>
      </c>
      <c r="W2230" s="315" t="str">
        <f>IFERROR(__xludf.DUMMYFUNCTION("if(V2230="""",C2230,if(not(iserror(index(split(C2230, "" ""),3))), index(split(C2230, "" ""),3),index(split(C2230, "" ""),2)))"),"")</f>
        <v/>
      </c>
      <c r="X2230" s="38" t="b">
        <f t="shared" si="2"/>
        <v>0</v>
      </c>
      <c r="Y2230" s="38"/>
      <c r="Z2230" s="40"/>
      <c r="AA2230" s="40"/>
      <c r="AB2230" s="38"/>
      <c r="AC2230" s="38"/>
      <c r="AD2230" s="38"/>
      <c r="AE2230" s="38"/>
      <c r="AF2230" s="38"/>
      <c r="AG2230" s="38"/>
      <c r="AH2230" s="38"/>
      <c r="AI2230" s="38"/>
      <c r="AJ2230" s="38"/>
      <c r="AK2230" s="38"/>
      <c r="AL2230" s="38"/>
      <c r="AM2230" s="38"/>
      <c r="AN2230" s="38"/>
      <c r="AO2230" s="38"/>
      <c r="AP2230" s="38"/>
      <c r="AQ2230" s="38"/>
      <c r="AR2230" s="38"/>
      <c r="AS2230" s="38"/>
      <c r="AT2230" s="38"/>
      <c r="AU2230" s="38"/>
      <c r="AV2230" s="38"/>
      <c r="AW2230" s="38"/>
      <c r="AX2230" s="38"/>
      <c r="AY2230" s="38"/>
      <c r="AZ2230" s="38"/>
      <c r="BA2230" s="38"/>
      <c r="BB2230" s="38"/>
      <c r="BC2230" s="38"/>
      <c r="BD2230" s="38"/>
      <c r="BE2230" s="38"/>
      <c r="BF2230" s="38"/>
      <c r="BG2230" s="38"/>
    </row>
    <row r="2231">
      <c r="A2231" s="16"/>
      <c r="B2231" s="16"/>
      <c r="C2231" s="146"/>
      <c r="D2231" s="146"/>
      <c r="E2231" s="16"/>
      <c r="F2231" s="91"/>
      <c r="G2231" s="16"/>
      <c r="H2231" s="320" t="str">
        <f t="shared" si="1"/>
        <v/>
      </c>
      <c r="I2231" s="16"/>
      <c r="J2231" s="16"/>
      <c r="K2231" s="16"/>
      <c r="L2231" s="38"/>
      <c r="M2231" s="16"/>
      <c r="N2231" s="16"/>
      <c r="O2231" s="16"/>
      <c r="P2231" s="15"/>
      <c r="Q2231" s="15"/>
      <c r="R2231" s="16"/>
      <c r="S2231" s="16"/>
      <c r="T2231" s="16"/>
      <c r="U2231" s="16"/>
      <c r="V2231" s="37" t="str">
        <f>IFERROR(__xludf.DUMMYFUNCTION("if(not(iserror(index(split(C2231, "" ""),2))), index(split(C2231, "" ""),1),"""")"),"")</f>
        <v/>
      </c>
      <c r="W2231" s="315" t="str">
        <f>IFERROR(__xludf.DUMMYFUNCTION("if(V2231="""",C2231,if(not(iserror(index(split(C2231, "" ""),3))), index(split(C2231, "" ""),3),index(split(C2231, "" ""),2)))"),"")</f>
        <v/>
      </c>
      <c r="X2231" s="38" t="b">
        <f t="shared" si="2"/>
        <v>0</v>
      </c>
      <c r="Y2231" s="38"/>
      <c r="Z2231" s="40"/>
      <c r="AA2231" s="40"/>
      <c r="AB2231" s="38"/>
      <c r="AC2231" s="38"/>
      <c r="AD2231" s="38"/>
      <c r="AE2231" s="38"/>
      <c r="AF2231" s="38"/>
      <c r="AG2231" s="38"/>
      <c r="AH2231" s="38"/>
      <c r="AI2231" s="38"/>
      <c r="AJ2231" s="38"/>
      <c r="AK2231" s="38"/>
      <c r="AL2231" s="38"/>
      <c r="AM2231" s="38"/>
      <c r="AN2231" s="38"/>
      <c r="AO2231" s="38"/>
      <c r="AP2231" s="38"/>
      <c r="AQ2231" s="38"/>
      <c r="AR2231" s="38"/>
      <c r="AS2231" s="38"/>
      <c r="AT2231" s="38"/>
      <c r="AU2231" s="38"/>
      <c r="AV2231" s="38"/>
      <c r="AW2231" s="38"/>
      <c r="AX2231" s="38"/>
      <c r="AY2231" s="38"/>
      <c r="AZ2231" s="38"/>
      <c r="BA2231" s="38"/>
      <c r="BB2231" s="38"/>
      <c r="BC2231" s="38"/>
      <c r="BD2231" s="38"/>
      <c r="BE2231" s="38"/>
      <c r="BF2231" s="38"/>
      <c r="BG2231" s="38"/>
    </row>
    <row r="2232">
      <c r="A2232" s="16"/>
      <c r="B2232" s="16"/>
      <c r="C2232" s="146"/>
      <c r="D2232" s="146"/>
      <c r="E2232" s="16"/>
      <c r="F2232" s="91"/>
      <c r="G2232" s="16"/>
      <c r="H2232" s="320" t="str">
        <f t="shared" si="1"/>
        <v/>
      </c>
      <c r="I2232" s="16"/>
      <c r="J2232" s="16"/>
      <c r="K2232" s="16"/>
      <c r="L2232" s="38"/>
      <c r="M2232" s="16"/>
      <c r="N2232" s="16"/>
      <c r="O2232" s="16"/>
      <c r="P2232" s="15"/>
      <c r="Q2232" s="15"/>
      <c r="R2232" s="16"/>
      <c r="S2232" s="16"/>
      <c r="T2232" s="16"/>
      <c r="U2232" s="16"/>
      <c r="V2232" s="37" t="str">
        <f>IFERROR(__xludf.DUMMYFUNCTION("if(not(iserror(index(split(C2232, "" ""),2))), index(split(C2232, "" ""),1),"""")"),"")</f>
        <v/>
      </c>
      <c r="W2232" s="315" t="str">
        <f>IFERROR(__xludf.DUMMYFUNCTION("if(V2232="""",C2232,if(not(iserror(index(split(C2232, "" ""),3))), index(split(C2232, "" ""),3),index(split(C2232, "" ""),2)))"),"")</f>
        <v/>
      </c>
      <c r="X2232" s="38" t="b">
        <f t="shared" si="2"/>
        <v>0</v>
      </c>
      <c r="Y2232" s="38"/>
      <c r="Z2232" s="40"/>
      <c r="AA2232" s="40"/>
      <c r="AB2232" s="38"/>
      <c r="AC2232" s="38"/>
      <c r="AD2232" s="38"/>
      <c r="AE2232" s="38"/>
      <c r="AF2232" s="38"/>
      <c r="AG2232" s="38"/>
      <c r="AH2232" s="38"/>
      <c r="AI2232" s="38"/>
      <c r="AJ2232" s="38"/>
      <c r="AK2232" s="38"/>
      <c r="AL2232" s="38"/>
      <c r="AM2232" s="38"/>
      <c r="AN2232" s="38"/>
      <c r="AO2232" s="38"/>
      <c r="AP2232" s="38"/>
      <c r="AQ2232" s="38"/>
      <c r="AR2232" s="38"/>
      <c r="AS2232" s="38"/>
      <c r="AT2232" s="38"/>
      <c r="AU2232" s="38"/>
      <c r="AV2232" s="38"/>
      <c r="AW2232" s="38"/>
      <c r="AX2232" s="38"/>
      <c r="AY2232" s="38"/>
      <c r="AZ2232" s="38"/>
      <c r="BA2232" s="38"/>
      <c r="BB2232" s="38"/>
      <c r="BC2232" s="38"/>
      <c r="BD2232" s="38"/>
      <c r="BE2232" s="38"/>
      <c r="BF2232" s="38"/>
      <c r="BG2232" s="38"/>
    </row>
    <row r="2233">
      <c r="A2233" s="16"/>
      <c r="B2233" s="16"/>
      <c r="C2233" s="146"/>
      <c r="D2233" s="146"/>
      <c r="E2233" s="16"/>
      <c r="F2233" s="91"/>
      <c r="G2233" s="16"/>
      <c r="H2233" s="320" t="str">
        <f t="shared" si="1"/>
        <v/>
      </c>
      <c r="I2233" s="16"/>
      <c r="J2233" s="16"/>
      <c r="K2233" s="16"/>
      <c r="L2233" s="38"/>
      <c r="M2233" s="16"/>
      <c r="N2233" s="16"/>
      <c r="O2233" s="16"/>
      <c r="P2233" s="15"/>
      <c r="Q2233" s="15"/>
      <c r="R2233" s="16"/>
      <c r="S2233" s="16"/>
      <c r="T2233" s="16"/>
      <c r="U2233" s="16"/>
      <c r="V2233" s="37" t="str">
        <f>IFERROR(__xludf.DUMMYFUNCTION("if(not(iserror(index(split(C2233, "" ""),2))), index(split(C2233, "" ""),1),"""")"),"")</f>
        <v/>
      </c>
      <c r="W2233" s="315" t="str">
        <f>IFERROR(__xludf.DUMMYFUNCTION("if(V2233="""",C2233,if(not(iserror(index(split(C2233, "" ""),3))), index(split(C2233, "" ""),3),index(split(C2233, "" ""),2)))"),"")</f>
        <v/>
      </c>
      <c r="X2233" s="38" t="b">
        <f t="shared" si="2"/>
        <v>0</v>
      </c>
      <c r="Y2233" s="38"/>
      <c r="Z2233" s="40"/>
      <c r="AA2233" s="40"/>
      <c r="AB2233" s="38"/>
      <c r="AC2233" s="38"/>
      <c r="AD2233" s="38"/>
      <c r="AE2233" s="38"/>
      <c r="AF2233" s="38"/>
      <c r="AG2233" s="38"/>
      <c r="AH2233" s="38"/>
      <c r="AI2233" s="38"/>
      <c r="AJ2233" s="38"/>
      <c r="AK2233" s="38"/>
      <c r="AL2233" s="38"/>
      <c r="AM2233" s="38"/>
      <c r="AN2233" s="38"/>
      <c r="AO2233" s="38"/>
      <c r="AP2233" s="38"/>
      <c r="AQ2233" s="38"/>
      <c r="AR2233" s="38"/>
      <c r="AS2233" s="38"/>
      <c r="AT2233" s="38"/>
      <c r="AU2233" s="38"/>
      <c r="AV2233" s="38"/>
      <c r="AW2233" s="38"/>
      <c r="AX2233" s="38"/>
      <c r="AY2233" s="38"/>
      <c r="AZ2233" s="38"/>
      <c r="BA2233" s="38"/>
      <c r="BB2233" s="38"/>
      <c r="BC2233" s="38"/>
      <c r="BD2233" s="38"/>
      <c r="BE2233" s="38"/>
      <c r="BF2233" s="38"/>
      <c r="BG2233" s="38"/>
    </row>
    <row r="2234">
      <c r="A2234" s="16"/>
      <c r="B2234" s="16"/>
      <c r="C2234" s="146"/>
      <c r="D2234" s="146"/>
      <c r="E2234" s="16"/>
      <c r="F2234" s="91"/>
      <c r="G2234" s="16"/>
      <c r="H2234" s="320" t="str">
        <f t="shared" si="1"/>
        <v/>
      </c>
      <c r="I2234" s="16"/>
      <c r="J2234" s="16"/>
      <c r="K2234" s="16"/>
      <c r="L2234" s="38"/>
      <c r="M2234" s="16"/>
      <c r="N2234" s="16"/>
      <c r="O2234" s="16"/>
      <c r="P2234" s="15"/>
      <c r="Q2234" s="15"/>
      <c r="R2234" s="16"/>
      <c r="S2234" s="16"/>
      <c r="T2234" s="16"/>
      <c r="U2234" s="16"/>
      <c r="V2234" s="37" t="str">
        <f>IFERROR(__xludf.DUMMYFUNCTION("if(not(iserror(index(split(C2234, "" ""),2))), index(split(C2234, "" ""),1),"""")"),"")</f>
        <v/>
      </c>
      <c r="W2234" s="315" t="str">
        <f>IFERROR(__xludf.DUMMYFUNCTION("if(V2234="""",C2234,if(not(iserror(index(split(C2234, "" ""),3))), index(split(C2234, "" ""),3),index(split(C2234, "" ""),2)))"),"")</f>
        <v/>
      </c>
      <c r="X2234" s="38" t="b">
        <f t="shared" si="2"/>
        <v>0</v>
      </c>
      <c r="Y2234" s="38"/>
      <c r="Z2234" s="40"/>
      <c r="AA2234" s="40"/>
      <c r="AB2234" s="38"/>
      <c r="AC2234" s="38"/>
      <c r="AD2234" s="38"/>
      <c r="AE2234" s="38"/>
      <c r="AF2234" s="38"/>
      <c r="AG2234" s="38"/>
      <c r="AH2234" s="38"/>
      <c r="AI2234" s="38"/>
      <c r="AJ2234" s="38"/>
      <c r="AK2234" s="38"/>
      <c r="AL2234" s="38"/>
      <c r="AM2234" s="38"/>
      <c r="AN2234" s="38"/>
      <c r="AO2234" s="38"/>
      <c r="AP2234" s="38"/>
      <c r="AQ2234" s="38"/>
      <c r="AR2234" s="38"/>
      <c r="AS2234" s="38"/>
      <c r="AT2234" s="38"/>
      <c r="AU2234" s="38"/>
      <c r="AV2234" s="38"/>
      <c r="AW2234" s="38"/>
      <c r="AX2234" s="38"/>
      <c r="AY2234" s="38"/>
      <c r="AZ2234" s="38"/>
      <c r="BA2234" s="38"/>
      <c r="BB2234" s="38"/>
      <c r="BC2234" s="38"/>
      <c r="BD2234" s="38"/>
      <c r="BE2234" s="38"/>
      <c r="BF2234" s="38"/>
      <c r="BG2234" s="38"/>
    </row>
    <row r="2235">
      <c r="A2235" s="16"/>
      <c r="B2235" s="16"/>
      <c r="C2235" s="146"/>
      <c r="D2235" s="146"/>
      <c r="E2235" s="16"/>
      <c r="F2235" s="91"/>
      <c r="G2235" s="16"/>
      <c r="H2235" s="320" t="str">
        <f t="shared" si="1"/>
        <v/>
      </c>
      <c r="I2235" s="16"/>
      <c r="J2235" s="16"/>
      <c r="K2235" s="16"/>
      <c r="L2235" s="38"/>
      <c r="M2235" s="16"/>
      <c r="N2235" s="16"/>
      <c r="O2235" s="16"/>
      <c r="P2235" s="15"/>
      <c r="Q2235" s="15"/>
      <c r="R2235" s="16"/>
      <c r="S2235" s="16"/>
      <c r="T2235" s="16"/>
      <c r="U2235" s="16"/>
      <c r="V2235" s="37" t="str">
        <f>IFERROR(__xludf.DUMMYFUNCTION("if(not(iserror(index(split(C2235, "" ""),2))), index(split(C2235, "" ""),1),"""")"),"")</f>
        <v/>
      </c>
      <c r="W2235" s="315" t="str">
        <f>IFERROR(__xludf.DUMMYFUNCTION("if(V2235="""",C2235,if(not(iserror(index(split(C2235, "" ""),3))), index(split(C2235, "" ""),3),index(split(C2235, "" ""),2)))"),"")</f>
        <v/>
      </c>
      <c r="X2235" s="38" t="b">
        <f t="shared" si="2"/>
        <v>0</v>
      </c>
      <c r="Y2235" s="38"/>
      <c r="Z2235" s="40"/>
      <c r="AA2235" s="40"/>
      <c r="AB2235" s="38"/>
      <c r="AC2235" s="38"/>
      <c r="AD2235" s="38"/>
      <c r="AE2235" s="38"/>
      <c r="AF2235" s="38"/>
      <c r="AG2235" s="38"/>
      <c r="AH2235" s="38"/>
      <c r="AI2235" s="38"/>
      <c r="AJ2235" s="38"/>
      <c r="AK2235" s="38"/>
      <c r="AL2235" s="38"/>
      <c r="AM2235" s="38"/>
      <c r="AN2235" s="38"/>
      <c r="AO2235" s="38"/>
      <c r="AP2235" s="38"/>
      <c r="AQ2235" s="38"/>
      <c r="AR2235" s="38"/>
      <c r="AS2235" s="38"/>
      <c r="AT2235" s="38"/>
      <c r="AU2235" s="38"/>
      <c r="AV2235" s="38"/>
      <c r="AW2235" s="38"/>
      <c r="AX2235" s="38"/>
      <c r="AY2235" s="38"/>
      <c r="AZ2235" s="38"/>
      <c r="BA2235" s="38"/>
      <c r="BB2235" s="38"/>
      <c r="BC2235" s="38"/>
      <c r="BD2235" s="38"/>
      <c r="BE2235" s="38"/>
      <c r="BF2235" s="38"/>
      <c r="BG2235" s="38"/>
    </row>
    <row r="2236">
      <c r="A2236" s="16"/>
      <c r="B2236" s="16"/>
      <c r="C2236" s="146"/>
      <c r="D2236" s="146"/>
      <c r="E2236" s="16"/>
      <c r="F2236" s="91"/>
      <c r="G2236" s="16"/>
      <c r="H2236" s="320" t="str">
        <f t="shared" si="1"/>
        <v/>
      </c>
      <c r="I2236" s="16"/>
      <c r="J2236" s="16"/>
      <c r="K2236" s="16"/>
      <c r="L2236" s="38"/>
      <c r="M2236" s="16"/>
      <c r="N2236" s="16"/>
      <c r="O2236" s="16"/>
      <c r="P2236" s="15"/>
      <c r="Q2236" s="15"/>
      <c r="R2236" s="16"/>
      <c r="S2236" s="16"/>
      <c r="T2236" s="16"/>
      <c r="U2236" s="16"/>
      <c r="V2236" s="37" t="str">
        <f>IFERROR(__xludf.DUMMYFUNCTION("if(not(iserror(index(split(C2236, "" ""),2))), index(split(C2236, "" ""),1),"""")"),"")</f>
        <v/>
      </c>
      <c r="W2236" s="315" t="str">
        <f>IFERROR(__xludf.DUMMYFUNCTION("if(V2236="""",C2236,if(not(iserror(index(split(C2236, "" ""),3))), index(split(C2236, "" ""),3),index(split(C2236, "" ""),2)))"),"")</f>
        <v/>
      </c>
      <c r="X2236" s="38" t="b">
        <f t="shared" si="2"/>
        <v>0</v>
      </c>
      <c r="Y2236" s="38"/>
      <c r="Z2236" s="40"/>
      <c r="AA2236" s="40"/>
      <c r="AB2236" s="38"/>
      <c r="AC2236" s="38"/>
      <c r="AD2236" s="38"/>
      <c r="AE2236" s="38"/>
      <c r="AF2236" s="38"/>
      <c r="AG2236" s="38"/>
      <c r="AH2236" s="38"/>
      <c r="AI2236" s="38"/>
      <c r="AJ2236" s="38"/>
      <c r="AK2236" s="38"/>
      <c r="AL2236" s="38"/>
      <c r="AM2236" s="38"/>
      <c r="AN2236" s="38"/>
      <c r="AO2236" s="38"/>
      <c r="AP2236" s="38"/>
      <c r="AQ2236" s="38"/>
      <c r="AR2236" s="38"/>
      <c r="AS2236" s="38"/>
      <c r="AT2236" s="38"/>
      <c r="AU2236" s="38"/>
      <c r="AV2236" s="38"/>
      <c r="AW2236" s="38"/>
      <c r="AX2236" s="38"/>
      <c r="AY2236" s="38"/>
      <c r="AZ2236" s="38"/>
      <c r="BA2236" s="38"/>
      <c r="BB2236" s="38"/>
      <c r="BC2236" s="38"/>
      <c r="BD2236" s="38"/>
      <c r="BE2236" s="38"/>
      <c r="BF2236" s="38"/>
      <c r="BG2236" s="38"/>
    </row>
    <row r="2237">
      <c r="A2237" s="16"/>
      <c r="B2237" s="16"/>
      <c r="C2237" s="146"/>
      <c r="D2237" s="146"/>
      <c r="E2237" s="16"/>
      <c r="F2237" s="91"/>
      <c r="G2237" s="16"/>
      <c r="H2237" s="320" t="str">
        <f t="shared" si="1"/>
        <v/>
      </c>
      <c r="I2237" s="16"/>
      <c r="J2237" s="16"/>
      <c r="K2237" s="16"/>
      <c r="L2237" s="38"/>
      <c r="M2237" s="16"/>
      <c r="N2237" s="16"/>
      <c r="O2237" s="16"/>
      <c r="P2237" s="15"/>
      <c r="Q2237" s="15"/>
      <c r="R2237" s="16"/>
      <c r="S2237" s="16"/>
      <c r="T2237" s="16"/>
      <c r="U2237" s="16"/>
      <c r="V2237" s="37" t="str">
        <f>IFERROR(__xludf.DUMMYFUNCTION("if(not(iserror(index(split(C2237, "" ""),2))), index(split(C2237, "" ""),1),"""")"),"")</f>
        <v/>
      </c>
      <c r="W2237" s="315" t="str">
        <f>IFERROR(__xludf.DUMMYFUNCTION("if(V2237="""",C2237,if(not(iserror(index(split(C2237, "" ""),3))), index(split(C2237, "" ""),3),index(split(C2237, "" ""),2)))"),"")</f>
        <v/>
      </c>
      <c r="X2237" s="38" t="b">
        <f t="shared" si="2"/>
        <v>0</v>
      </c>
      <c r="Y2237" s="38"/>
      <c r="Z2237" s="40"/>
      <c r="AA2237" s="40"/>
      <c r="AB2237" s="38"/>
      <c r="AC2237" s="38"/>
      <c r="AD2237" s="38"/>
      <c r="AE2237" s="38"/>
      <c r="AF2237" s="38"/>
      <c r="AG2237" s="38"/>
      <c r="AH2237" s="38"/>
      <c r="AI2237" s="38"/>
      <c r="AJ2237" s="38"/>
      <c r="AK2237" s="38"/>
      <c r="AL2237" s="38"/>
      <c r="AM2237" s="38"/>
      <c r="AN2237" s="38"/>
      <c r="AO2237" s="38"/>
      <c r="AP2237" s="38"/>
      <c r="AQ2237" s="38"/>
      <c r="AR2237" s="38"/>
      <c r="AS2237" s="38"/>
      <c r="AT2237" s="38"/>
      <c r="AU2237" s="38"/>
      <c r="AV2237" s="38"/>
      <c r="AW2237" s="38"/>
      <c r="AX2237" s="38"/>
      <c r="AY2237" s="38"/>
      <c r="AZ2237" s="38"/>
      <c r="BA2237" s="38"/>
      <c r="BB2237" s="38"/>
      <c r="BC2237" s="38"/>
      <c r="BD2237" s="38"/>
      <c r="BE2237" s="38"/>
      <c r="BF2237" s="38"/>
      <c r="BG2237" s="38"/>
    </row>
    <row r="2238">
      <c r="A2238" s="16"/>
      <c r="B2238" s="16"/>
      <c r="C2238" s="146"/>
      <c r="D2238" s="146"/>
      <c r="E2238" s="16"/>
      <c r="F2238" s="91"/>
      <c r="G2238" s="16"/>
      <c r="H2238" s="320" t="str">
        <f t="shared" si="1"/>
        <v/>
      </c>
      <c r="I2238" s="16"/>
      <c r="J2238" s="16"/>
      <c r="K2238" s="16"/>
      <c r="L2238" s="38"/>
      <c r="M2238" s="16"/>
      <c r="N2238" s="16"/>
      <c r="O2238" s="16"/>
      <c r="P2238" s="15"/>
      <c r="Q2238" s="15"/>
      <c r="R2238" s="16"/>
      <c r="S2238" s="16"/>
      <c r="T2238" s="16"/>
      <c r="U2238" s="16"/>
      <c r="V2238" s="37" t="str">
        <f>IFERROR(__xludf.DUMMYFUNCTION("if(not(iserror(index(split(C2238, "" ""),2))), index(split(C2238, "" ""),1),"""")"),"")</f>
        <v/>
      </c>
      <c r="W2238" s="315" t="str">
        <f>IFERROR(__xludf.DUMMYFUNCTION("if(V2238="""",C2238,if(not(iserror(index(split(C2238, "" ""),3))), index(split(C2238, "" ""),3),index(split(C2238, "" ""),2)))"),"")</f>
        <v/>
      </c>
      <c r="X2238" s="38" t="b">
        <f t="shared" si="2"/>
        <v>0</v>
      </c>
      <c r="Y2238" s="38"/>
      <c r="Z2238" s="40"/>
      <c r="AA2238" s="40"/>
      <c r="AB2238" s="38"/>
      <c r="AC2238" s="38"/>
      <c r="AD2238" s="38"/>
      <c r="AE2238" s="38"/>
      <c r="AF2238" s="38"/>
      <c r="AG2238" s="38"/>
      <c r="AH2238" s="38"/>
      <c r="AI2238" s="38"/>
      <c r="AJ2238" s="38"/>
      <c r="AK2238" s="38"/>
      <c r="AL2238" s="38"/>
      <c r="AM2238" s="38"/>
      <c r="AN2238" s="38"/>
      <c r="AO2238" s="38"/>
      <c r="AP2238" s="38"/>
      <c r="AQ2238" s="38"/>
      <c r="AR2238" s="38"/>
      <c r="AS2238" s="38"/>
      <c r="AT2238" s="38"/>
      <c r="AU2238" s="38"/>
      <c r="AV2238" s="38"/>
      <c r="AW2238" s="38"/>
      <c r="AX2238" s="38"/>
      <c r="AY2238" s="38"/>
      <c r="AZ2238" s="38"/>
      <c r="BA2238" s="38"/>
      <c r="BB2238" s="38"/>
      <c r="BC2238" s="38"/>
      <c r="BD2238" s="38"/>
      <c r="BE2238" s="38"/>
      <c r="BF2238" s="38"/>
      <c r="BG2238" s="38"/>
    </row>
    <row r="2239">
      <c r="A2239" s="16"/>
      <c r="B2239" s="16"/>
      <c r="C2239" s="146"/>
      <c r="D2239" s="146"/>
      <c r="E2239" s="16"/>
      <c r="F2239" s="91"/>
      <c r="G2239" s="16"/>
      <c r="H2239" s="320" t="str">
        <f t="shared" si="1"/>
        <v/>
      </c>
      <c r="I2239" s="16"/>
      <c r="J2239" s="16"/>
      <c r="K2239" s="16"/>
      <c r="L2239" s="38"/>
      <c r="M2239" s="16"/>
      <c r="N2239" s="16"/>
      <c r="O2239" s="16"/>
      <c r="P2239" s="15"/>
      <c r="Q2239" s="15"/>
      <c r="R2239" s="16"/>
      <c r="S2239" s="16"/>
      <c r="T2239" s="16"/>
      <c r="U2239" s="16"/>
      <c r="V2239" s="37" t="str">
        <f>IFERROR(__xludf.DUMMYFUNCTION("if(not(iserror(index(split(C2239, "" ""),2))), index(split(C2239, "" ""),1),"""")"),"")</f>
        <v/>
      </c>
      <c r="W2239" s="315" t="str">
        <f>IFERROR(__xludf.DUMMYFUNCTION("if(V2239="""",C2239,if(not(iserror(index(split(C2239, "" ""),3))), index(split(C2239, "" ""),3),index(split(C2239, "" ""),2)))"),"")</f>
        <v/>
      </c>
      <c r="X2239" s="38" t="b">
        <f t="shared" si="2"/>
        <v>0</v>
      </c>
      <c r="Y2239" s="38"/>
      <c r="Z2239" s="40"/>
      <c r="AA2239" s="40"/>
      <c r="AB2239" s="38"/>
      <c r="AC2239" s="38"/>
      <c r="AD2239" s="38"/>
      <c r="AE2239" s="38"/>
      <c r="AF2239" s="38"/>
      <c r="AG2239" s="38"/>
      <c r="AH2239" s="38"/>
      <c r="AI2239" s="38"/>
      <c r="AJ2239" s="38"/>
      <c r="AK2239" s="38"/>
      <c r="AL2239" s="38"/>
      <c r="AM2239" s="38"/>
      <c r="AN2239" s="38"/>
      <c r="AO2239" s="38"/>
      <c r="AP2239" s="38"/>
      <c r="AQ2239" s="38"/>
      <c r="AR2239" s="38"/>
      <c r="AS2239" s="38"/>
      <c r="AT2239" s="38"/>
      <c r="AU2239" s="38"/>
      <c r="AV2239" s="38"/>
      <c r="AW2239" s="38"/>
      <c r="AX2239" s="38"/>
      <c r="AY2239" s="38"/>
      <c r="AZ2239" s="38"/>
      <c r="BA2239" s="38"/>
      <c r="BB2239" s="38"/>
      <c r="BC2239" s="38"/>
      <c r="BD2239" s="38"/>
      <c r="BE2239" s="38"/>
      <c r="BF2239" s="38"/>
      <c r="BG2239" s="38"/>
    </row>
    <row r="2240">
      <c r="A2240" s="16"/>
      <c r="B2240" s="16"/>
      <c r="C2240" s="146"/>
      <c r="D2240" s="146"/>
      <c r="E2240" s="16"/>
      <c r="F2240" s="91"/>
      <c r="G2240" s="16"/>
      <c r="H2240" s="320" t="str">
        <f t="shared" si="1"/>
        <v/>
      </c>
      <c r="I2240" s="16"/>
      <c r="J2240" s="16"/>
      <c r="K2240" s="16"/>
      <c r="L2240" s="38"/>
      <c r="M2240" s="16"/>
      <c r="N2240" s="16"/>
      <c r="O2240" s="16"/>
      <c r="P2240" s="15"/>
      <c r="Q2240" s="15"/>
      <c r="R2240" s="16"/>
      <c r="S2240" s="16"/>
      <c r="T2240" s="16"/>
      <c r="U2240" s="16"/>
      <c r="V2240" s="37" t="str">
        <f>IFERROR(__xludf.DUMMYFUNCTION("if(not(iserror(index(split(C2240, "" ""),2))), index(split(C2240, "" ""),1),"""")"),"")</f>
        <v/>
      </c>
      <c r="W2240" s="315" t="str">
        <f>IFERROR(__xludf.DUMMYFUNCTION("if(V2240="""",C2240,if(not(iserror(index(split(C2240, "" ""),3))), index(split(C2240, "" ""),3),index(split(C2240, "" ""),2)))"),"")</f>
        <v/>
      </c>
      <c r="X2240" s="38" t="b">
        <f t="shared" si="2"/>
        <v>0</v>
      </c>
      <c r="Y2240" s="38"/>
      <c r="Z2240" s="40"/>
      <c r="AA2240" s="40"/>
      <c r="AB2240" s="38"/>
      <c r="AC2240" s="38"/>
      <c r="AD2240" s="38"/>
      <c r="AE2240" s="38"/>
      <c r="AF2240" s="38"/>
      <c r="AG2240" s="38"/>
      <c r="AH2240" s="38"/>
      <c r="AI2240" s="38"/>
      <c r="AJ2240" s="38"/>
      <c r="AK2240" s="38"/>
      <c r="AL2240" s="38"/>
      <c r="AM2240" s="38"/>
      <c r="AN2240" s="38"/>
      <c r="AO2240" s="38"/>
      <c r="AP2240" s="38"/>
      <c r="AQ2240" s="38"/>
      <c r="AR2240" s="38"/>
      <c r="AS2240" s="38"/>
      <c r="AT2240" s="38"/>
      <c r="AU2240" s="38"/>
      <c r="AV2240" s="38"/>
      <c r="AW2240" s="38"/>
      <c r="AX2240" s="38"/>
      <c r="AY2240" s="38"/>
      <c r="AZ2240" s="38"/>
      <c r="BA2240" s="38"/>
      <c r="BB2240" s="38"/>
      <c r="BC2240" s="38"/>
      <c r="BD2240" s="38"/>
      <c r="BE2240" s="38"/>
      <c r="BF2240" s="38"/>
      <c r="BG2240" s="38"/>
    </row>
    <row r="2241">
      <c r="A2241" s="16"/>
      <c r="B2241" s="16"/>
      <c r="C2241" s="146"/>
      <c r="D2241" s="146"/>
      <c r="E2241" s="16"/>
      <c r="F2241" s="91"/>
      <c r="G2241" s="16"/>
      <c r="H2241" s="320" t="str">
        <f t="shared" si="1"/>
        <v/>
      </c>
      <c r="I2241" s="16"/>
      <c r="J2241" s="16"/>
      <c r="K2241" s="16"/>
      <c r="L2241" s="38"/>
      <c r="M2241" s="16"/>
      <c r="N2241" s="16"/>
      <c r="O2241" s="16"/>
      <c r="P2241" s="15"/>
      <c r="Q2241" s="15"/>
      <c r="R2241" s="16"/>
      <c r="S2241" s="16"/>
      <c r="T2241" s="16"/>
      <c r="U2241" s="16"/>
      <c r="V2241" s="37" t="str">
        <f>IFERROR(__xludf.DUMMYFUNCTION("if(not(iserror(index(split(C2241, "" ""),2))), index(split(C2241, "" ""),1),"""")"),"")</f>
        <v/>
      </c>
      <c r="W2241" s="315" t="str">
        <f>IFERROR(__xludf.DUMMYFUNCTION("if(V2241="""",C2241,if(not(iserror(index(split(C2241, "" ""),3))), index(split(C2241, "" ""),3),index(split(C2241, "" ""),2)))"),"")</f>
        <v/>
      </c>
      <c r="X2241" s="38" t="b">
        <f t="shared" si="2"/>
        <v>0</v>
      </c>
      <c r="Y2241" s="38"/>
      <c r="Z2241" s="40"/>
      <c r="AA2241" s="40"/>
      <c r="AB2241" s="38"/>
      <c r="AC2241" s="38"/>
      <c r="AD2241" s="38"/>
      <c r="AE2241" s="38"/>
      <c r="AF2241" s="38"/>
      <c r="AG2241" s="38"/>
      <c r="AH2241" s="38"/>
      <c r="AI2241" s="38"/>
      <c r="AJ2241" s="38"/>
      <c r="AK2241" s="38"/>
      <c r="AL2241" s="38"/>
      <c r="AM2241" s="38"/>
      <c r="AN2241" s="38"/>
      <c r="AO2241" s="38"/>
      <c r="AP2241" s="38"/>
      <c r="AQ2241" s="38"/>
      <c r="AR2241" s="38"/>
      <c r="AS2241" s="38"/>
      <c r="AT2241" s="38"/>
      <c r="AU2241" s="38"/>
      <c r="AV2241" s="38"/>
      <c r="AW2241" s="38"/>
      <c r="AX2241" s="38"/>
      <c r="AY2241" s="38"/>
      <c r="AZ2241" s="38"/>
      <c r="BA2241" s="38"/>
      <c r="BB2241" s="38"/>
      <c r="BC2241" s="38"/>
      <c r="BD2241" s="38"/>
      <c r="BE2241" s="38"/>
      <c r="BF2241" s="38"/>
      <c r="BG2241" s="38"/>
    </row>
    <row r="2242">
      <c r="A2242" s="16"/>
      <c r="B2242" s="16"/>
      <c r="C2242" s="146"/>
      <c r="D2242" s="146"/>
      <c r="E2242" s="16"/>
      <c r="F2242" s="91"/>
      <c r="G2242" s="16"/>
      <c r="H2242" s="320" t="str">
        <f t="shared" si="1"/>
        <v/>
      </c>
      <c r="I2242" s="16"/>
      <c r="J2242" s="16"/>
      <c r="K2242" s="16"/>
      <c r="L2242" s="38"/>
      <c r="M2242" s="16"/>
      <c r="N2242" s="16"/>
      <c r="O2242" s="16"/>
      <c r="P2242" s="15"/>
      <c r="Q2242" s="15"/>
      <c r="R2242" s="16"/>
      <c r="S2242" s="16"/>
      <c r="T2242" s="16"/>
      <c r="U2242" s="16"/>
      <c r="V2242" s="37" t="str">
        <f>IFERROR(__xludf.DUMMYFUNCTION("if(not(iserror(index(split(C2242, "" ""),2))), index(split(C2242, "" ""),1),"""")"),"")</f>
        <v/>
      </c>
      <c r="W2242" s="315" t="str">
        <f>IFERROR(__xludf.DUMMYFUNCTION("if(V2242="""",C2242,if(not(iserror(index(split(C2242, "" ""),3))), index(split(C2242, "" ""),3),index(split(C2242, "" ""),2)))"),"")</f>
        <v/>
      </c>
      <c r="X2242" s="38" t="b">
        <f t="shared" si="2"/>
        <v>0</v>
      </c>
      <c r="Y2242" s="38"/>
      <c r="Z2242" s="40"/>
      <c r="AA2242" s="40"/>
      <c r="AB2242" s="38"/>
      <c r="AC2242" s="38"/>
      <c r="AD2242" s="38"/>
      <c r="AE2242" s="38"/>
      <c r="AF2242" s="38"/>
      <c r="AG2242" s="38"/>
      <c r="AH2242" s="38"/>
      <c r="AI2242" s="38"/>
      <c r="AJ2242" s="38"/>
      <c r="AK2242" s="38"/>
      <c r="AL2242" s="38"/>
      <c r="AM2242" s="38"/>
      <c r="AN2242" s="38"/>
      <c r="AO2242" s="38"/>
      <c r="AP2242" s="38"/>
      <c r="AQ2242" s="38"/>
      <c r="AR2242" s="38"/>
      <c r="AS2242" s="38"/>
      <c r="AT2242" s="38"/>
      <c r="AU2242" s="38"/>
      <c r="AV2242" s="38"/>
      <c r="AW2242" s="38"/>
      <c r="AX2242" s="38"/>
      <c r="AY2242" s="38"/>
      <c r="AZ2242" s="38"/>
      <c r="BA2242" s="38"/>
      <c r="BB2242" s="38"/>
      <c r="BC2242" s="38"/>
      <c r="BD2242" s="38"/>
      <c r="BE2242" s="38"/>
      <c r="BF2242" s="38"/>
      <c r="BG2242" s="38"/>
    </row>
    <row r="2243">
      <c r="A2243" s="16"/>
      <c r="B2243" s="16"/>
      <c r="C2243" s="146"/>
      <c r="D2243" s="146"/>
      <c r="E2243" s="16"/>
      <c r="F2243" s="91"/>
      <c r="G2243" s="16"/>
      <c r="H2243" s="320" t="str">
        <f t="shared" si="1"/>
        <v/>
      </c>
      <c r="I2243" s="16"/>
      <c r="J2243" s="16"/>
      <c r="K2243" s="16"/>
      <c r="L2243" s="38"/>
      <c r="M2243" s="16"/>
      <c r="N2243" s="16"/>
      <c r="O2243" s="16"/>
      <c r="P2243" s="15"/>
      <c r="Q2243" s="15"/>
      <c r="R2243" s="16"/>
      <c r="S2243" s="16"/>
      <c r="T2243" s="16"/>
      <c r="U2243" s="16"/>
      <c r="V2243" s="37" t="str">
        <f>IFERROR(__xludf.DUMMYFUNCTION("if(not(iserror(index(split(C2243, "" ""),2))), index(split(C2243, "" ""),1),"""")"),"")</f>
        <v/>
      </c>
      <c r="W2243" s="315" t="str">
        <f>IFERROR(__xludf.DUMMYFUNCTION("if(V2243="""",C2243,if(not(iserror(index(split(C2243, "" ""),3))), index(split(C2243, "" ""),3),index(split(C2243, "" ""),2)))"),"")</f>
        <v/>
      </c>
      <c r="X2243" s="38" t="b">
        <f t="shared" si="2"/>
        <v>0</v>
      </c>
      <c r="Y2243" s="38"/>
      <c r="Z2243" s="40"/>
      <c r="AA2243" s="40"/>
      <c r="AB2243" s="38"/>
      <c r="AC2243" s="38"/>
      <c r="AD2243" s="38"/>
      <c r="AE2243" s="38"/>
      <c r="AF2243" s="38"/>
      <c r="AG2243" s="38"/>
      <c r="AH2243" s="38"/>
      <c r="AI2243" s="38"/>
      <c r="AJ2243" s="38"/>
      <c r="AK2243" s="38"/>
      <c r="AL2243" s="38"/>
      <c r="AM2243" s="38"/>
      <c r="AN2243" s="38"/>
      <c r="AO2243" s="38"/>
      <c r="AP2243" s="38"/>
      <c r="AQ2243" s="38"/>
      <c r="AR2243" s="38"/>
      <c r="AS2243" s="38"/>
      <c r="AT2243" s="38"/>
      <c r="AU2243" s="38"/>
      <c r="AV2243" s="38"/>
      <c r="AW2243" s="38"/>
      <c r="AX2243" s="38"/>
      <c r="AY2243" s="38"/>
      <c r="AZ2243" s="38"/>
      <c r="BA2243" s="38"/>
      <c r="BB2243" s="38"/>
      <c r="BC2243" s="38"/>
      <c r="BD2243" s="38"/>
      <c r="BE2243" s="38"/>
      <c r="BF2243" s="38"/>
      <c r="BG2243" s="38"/>
    </row>
    <row r="2244">
      <c r="A2244" s="16"/>
      <c r="B2244" s="16"/>
      <c r="C2244" s="146"/>
      <c r="D2244" s="146"/>
      <c r="E2244" s="16"/>
      <c r="F2244" s="91"/>
      <c r="G2244" s="16"/>
      <c r="H2244" s="320" t="str">
        <f t="shared" si="1"/>
        <v/>
      </c>
      <c r="I2244" s="16"/>
      <c r="J2244" s="16"/>
      <c r="K2244" s="16"/>
      <c r="L2244" s="38"/>
      <c r="M2244" s="16"/>
      <c r="N2244" s="16"/>
      <c r="O2244" s="16"/>
      <c r="P2244" s="15"/>
      <c r="Q2244" s="15"/>
      <c r="R2244" s="16"/>
      <c r="S2244" s="16"/>
      <c r="T2244" s="16"/>
      <c r="U2244" s="16"/>
      <c r="V2244" s="37" t="str">
        <f>IFERROR(__xludf.DUMMYFUNCTION("if(not(iserror(index(split(C2244, "" ""),2))), index(split(C2244, "" ""),1),"""")"),"")</f>
        <v/>
      </c>
      <c r="W2244" s="315" t="str">
        <f>IFERROR(__xludf.DUMMYFUNCTION("if(V2244="""",C2244,if(not(iserror(index(split(C2244, "" ""),3))), index(split(C2244, "" ""),3),index(split(C2244, "" ""),2)))"),"")</f>
        <v/>
      </c>
      <c r="X2244" s="38" t="b">
        <f t="shared" si="2"/>
        <v>0</v>
      </c>
      <c r="Y2244" s="38"/>
      <c r="Z2244" s="40"/>
      <c r="AA2244" s="40"/>
      <c r="AB2244" s="38"/>
      <c r="AC2244" s="38"/>
      <c r="AD2244" s="38"/>
      <c r="AE2244" s="38"/>
      <c r="AF2244" s="38"/>
      <c r="AG2244" s="38"/>
      <c r="AH2244" s="38"/>
      <c r="AI2244" s="38"/>
      <c r="AJ2244" s="38"/>
      <c r="AK2244" s="38"/>
      <c r="AL2244" s="38"/>
      <c r="AM2244" s="38"/>
      <c r="AN2244" s="38"/>
      <c r="AO2244" s="38"/>
      <c r="AP2244" s="38"/>
      <c r="AQ2244" s="38"/>
      <c r="AR2244" s="38"/>
      <c r="AS2244" s="38"/>
      <c r="AT2244" s="38"/>
      <c r="AU2244" s="38"/>
      <c r="AV2244" s="38"/>
      <c r="AW2244" s="38"/>
      <c r="AX2244" s="38"/>
      <c r="AY2244" s="38"/>
      <c r="AZ2244" s="38"/>
      <c r="BA2244" s="38"/>
      <c r="BB2244" s="38"/>
      <c r="BC2244" s="38"/>
      <c r="BD2244" s="38"/>
      <c r="BE2244" s="38"/>
      <c r="BF2244" s="38"/>
      <c r="BG2244" s="38"/>
    </row>
    <row r="2245">
      <c r="A2245" s="16"/>
      <c r="B2245" s="16"/>
      <c r="C2245" s="146"/>
      <c r="D2245" s="146"/>
      <c r="E2245" s="16"/>
      <c r="F2245" s="91"/>
      <c r="G2245" s="16"/>
      <c r="H2245" s="320" t="str">
        <f t="shared" si="1"/>
        <v/>
      </c>
      <c r="I2245" s="16"/>
      <c r="J2245" s="16"/>
      <c r="K2245" s="16"/>
      <c r="L2245" s="38"/>
      <c r="M2245" s="16"/>
      <c r="N2245" s="16"/>
      <c r="O2245" s="16"/>
      <c r="P2245" s="15"/>
      <c r="Q2245" s="15"/>
      <c r="R2245" s="16"/>
      <c r="S2245" s="16"/>
      <c r="T2245" s="16"/>
      <c r="U2245" s="16"/>
      <c r="V2245" s="37" t="str">
        <f>IFERROR(__xludf.DUMMYFUNCTION("if(not(iserror(index(split(C2245, "" ""),2))), index(split(C2245, "" ""),1),"""")"),"")</f>
        <v/>
      </c>
      <c r="W2245" s="315" t="str">
        <f>IFERROR(__xludf.DUMMYFUNCTION("if(V2245="""",C2245,if(not(iserror(index(split(C2245, "" ""),3))), index(split(C2245, "" ""),3),index(split(C2245, "" ""),2)))"),"")</f>
        <v/>
      </c>
      <c r="X2245" s="38" t="b">
        <f t="shared" si="2"/>
        <v>0</v>
      </c>
      <c r="Y2245" s="38"/>
      <c r="Z2245" s="40"/>
      <c r="AA2245" s="40"/>
      <c r="AB2245" s="38"/>
      <c r="AC2245" s="38"/>
      <c r="AD2245" s="38"/>
      <c r="AE2245" s="38"/>
      <c r="AF2245" s="38"/>
      <c r="AG2245" s="38"/>
      <c r="AH2245" s="38"/>
      <c r="AI2245" s="38"/>
      <c r="AJ2245" s="38"/>
      <c r="AK2245" s="38"/>
      <c r="AL2245" s="38"/>
      <c r="AM2245" s="38"/>
      <c r="AN2245" s="38"/>
      <c r="AO2245" s="38"/>
      <c r="AP2245" s="38"/>
      <c r="AQ2245" s="38"/>
      <c r="AR2245" s="38"/>
      <c r="AS2245" s="38"/>
      <c r="AT2245" s="38"/>
      <c r="AU2245" s="38"/>
      <c r="AV2245" s="38"/>
      <c r="AW2245" s="38"/>
      <c r="AX2245" s="38"/>
      <c r="AY2245" s="38"/>
      <c r="AZ2245" s="38"/>
      <c r="BA2245" s="38"/>
      <c r="BB2245" s="38"/>
      <c r="BC2245" s="38"/>
      <c r="BD2245" s="38"/>
      <c r="BE2245" s="38"/>
      <c r="BF2245" s="38"/>
      <c r="BG2245" s="38"/>
    </row>
    <row r="2246">
      <c r="A2246" s="16"/>
      <c r="B2246" s="16"/>
      <c r="C2246" s="146"/>
      <c r="D2246" s="146"/>
      <c r="E2246" s="16"/>
      <c r="F2246" s="91"/>
      <c r="G2246" s="16"/>
      <c r="H2246" s="320" t="str">
        <f t="shared" si="1"/>
        <v/>
      </c>
      <c r="I2246" s="16"/>
      <c r="J2246" s="16"/>
      <c r="K2246" s="16"/>
      <c r="L2246" s="38"/>
      <c r="M2246" s="16"/>
      <c r="N2246" s="16"/>
      <c r="O2246" s="16"/>
      <c r="P2246" s="15"/>
      <c r="Q2246" s="15"/>
      <c r="R2246" s="16"/>
      <c r="S2246" s="16"/>
      <c r="T2246" s="16"/>
      <c r="U2246" s="16"/>
      <c r="V2246" s="37" t="str">
        <f>IFERROR(__xludf.DUMMYFUNCTION("if(not(iserror(index(split(C2246, "" ""),2))), index(split(C2246, "" ""),1),"""")"),"")</f>
        <v/>
      </c>
      <c r="W2246" s="315" t="str">
        <f>IFERROR(__xludf.DUMMYFUNCTION("if(V2246="""",C2246,if(not(iserror(index(split(C2246, "" ""),3))), index(split(C2246, "" ""),3),index(split(C2246, "" ""),2)))"),"")</f>
        <v/>
      </c>
      <c r="X2246" s="38" t="b">
        <f t="shared" si="2"/>
        <v>0</v>
      </c>
      <c r="Y2246" s="38"/>
      <c r="Z2246" s="40"/>
      <c r="AA2246" s="40"/>
      <c r="AB2246" s="38"/>
      <c r="AC2246" s="38"/>
      <c r="AD2246" s="38"/>
      <c r="AE2246" s="38"/>
      <c r="AF2246" s="38"/>
      <c r="AG2246" s="38"/>
      <c r="AH2246" s="38"/>
      <c r="AI2246" s="38"/>
      <c r="AJ2246" s="38"/>
      <c r="AK2246" s="38"/>
      <c r="AL2246" s="38"/>
      <c r="AM2246" s="38"/>
      <c r="AN2246" s="38"/>
      <c r="AO2246" s="38"/>
      <c r="AP2246" s="38"/>
      <c r="AQ2246" s="38"/>
      <c r="AR2246" s="38"/>
      <c r="AS2246" s="38"/>
      <c r="AT2246" s="38"/>
      <c r="AU2246" s="38"/>
      <c r="AV2246" s="38"/>
      <c r="AW2246" s="38"/>
      <c r="AX2246" s="38"/>
      <c r="AY2246" s="38"/>
      <c r="AZ2246" s="38"/>
      <c r="BA2246" s="38"/>
      <c r="BB2246" s="38"/>
      <c r="BC2246" s="38"/>
      <c r="BD2246" s="38"/>
      <c r="BE2246" s="38"/>
      <c r="BF2246" s="38"/>
      <c r="BG2246" s="38"/>
    </row>
    <row r="2247">
      <c r="A2247" s="16"/>
      <c r="B2247" s="16"/>
      <c r="C2247" s="146"/>
      <c r="D2247" s="146"/>
      <c r="E2247" s="16"/>
      <c r="F2247" s="91"/>
      <c r="G2247" s="16"/>
      <c r="H2247" s="320" t="str">
        <f t="shared" si="1"/>
        <v/>
      </c>
      <c r="I2247" s="16"/>
      <c r="J2247" s="16"/>
      <c r="K2247" s="16"/>
      <c r="L2247" s="38"/>
      <c r="M2247" s="16"/>
      <c r="N2247" s="16"/>
      <c r="O2247" s="16"/>
      <c r="P2247" s="15"/>
      <c r="Q2247" s="15"/>
      <c r="R2247" s="16"/>
      <c r="S2247" s="16"/>
      <c r="T2247" s="16"/>
      <c r="U2247" s="16"/>
      <c r="V2247" s="37" t="str">
        <f>IFERROR(__xludf.DUMMYFUNCTION("if(not(iserror(index(split(C2247, "" ""),2))), index(split(C2247, "" ""),1),"""")"),"")</f>
        <v/>
      </c>
      <c r="W2247" s="315" t="str">
        <f>IFERROR(__xludf.DUMMYFUNCTION("if(V2247="""",C2247,if(not(iserror(index(split(C2247, "" ""),3))), index(split(C2247, "" ""),3),index(split(C2247, "" ""),2)))"),"")</f>
        <v/>
      </c>
      <c r="X2247" s="38" t="b">
        <f t="shared" si="2"/>
        <v>0</v>
      </c>
      <c r="Y2247" s="38"/>
      <c r="Z2247" s="40"/>
      <c r="AA2247" s="40"/>
      <c r="AB2247" s="38"/>
      <c r="AC2247" s="38"/>
      <c r="AD2247" s="38"/>
      <c r="AE2247" s="38"/>
      <c r="AF2247" s="38"/>
      <c r="AG2247" s="38"/>
      <c r="AH2247" s="38"/>
      <c r="AI2247" s="38"/>
      <c r="AJ2247" s="38"/>
      <c r="AK2247" s="38"/>
      <c r="AL2247" s="38"/>
      <c r="AM2247" s="38"/>
      <c r="AN2247" s="38"/>
      <c r="AO2247" s="38"/>
      <c r="AP2247" s="38"/>
      <c r="AQ2247" s="38"/>
      <c r="AR2247" s="38"/>
      <c r="AS2247" s="38"/>
      <c r="AT2247" s="38"/>
      <c r="AU2247" s="38"/>
      <c r="AV2247" s="38"/>
      <c r="AW2247" s="38"/>
      <c r="AX2247" s="38"/>
      <c r="AY2247" s="38"/>
      <c r="AZ2247" s="38"/>
      <c r="BA2247" s="38"/>
      <c r="BB2247" s="38"/>
      <c r="BC2247" s="38"/>
      <c r="BD2247" s="38"/>
      <c r="BE2247" s="38"/>
      <c r="BF2247" s="38"/>
      <c r="BG2247" s="38"/>
    </row>
    <row r="2248">
      <c r="A2248" s="16"/>
      <c r="B2248" s="16"/>
      <c r="C2248" s="146"/>
      <c r="D2248" s="146"/>
      <c r="E2248" s="16"/>
      <c r="F2248" s="91"/>
      <c r="G2248" s="16"/>
      <c r="H2248" s="320" t="str">
        <f t="shared" si="1"/>
        <v/>
      </c>
      <c r="I2248" s="16"/>
      <c r="J2248" s="16"/>
      <c r="K2248" s="16"/>
      <c r="L2248" s="38"/>
      <c r="M2248" s="16"/>
      <c r="N2248" s="16"/>
      <c r="O2248" s="16"/>
      <c r="P2248" s="15"/>
      <c r="Q2248" s="15"/>
      <c r="R2248" s="16"/>
      <c r="S2248" s="16"/>
      <c r="T2248" s="16"/>
      <c r="U2248" s="16"/>
      <c r="V2248" s="37" t="str">
        <f>IFERROR(__xludf.DUMMYFUNCTION("if(not(iserror(index(split(C2248, "" ""),2))), index(split(C2248, "" ""),1),"""")"),"")</f>
        <v/>
      </c>
      <c r="W2248" s="315" t="str">
        <f>IFERROR(__xludf.DUMMYFUNCTION("if(V2248="""",C2248,if(not(iserror(index(split(C2248, "" ""),3))), index(split(C2248, "" ""),3),index(split(C2248, "" ""),2)))"),"")</f>
        <v/>
      </c>
      <c r="X2248" s="38" t="b">
        <f t="shared" si="2"/>
        <v>0</v>
      </c>
      <c r="Y2248" s="38"/>
      <c r="Z2248" s="40"/>
      <c r="AA2248" s="40"/>
      <c r="AB2248" s="38"/>
      <c r="AC2248" s="38"/>
      <c r="AD2248" s="38"/>
      <c r="AE2248" s="38"/>
      <c r="AF2248" s="38"/>
      <c r="AG2248" s="38"/>
      <c r="AH2248" s="38"/>
      <c r="AI2248" s="38"/>
      <c r="AJ2248" s="38"/>
      <c r="AK2248" s="38"/>
      <c r="AL2248" s="38"/>
      <c r="AM2248" s="38"/>
      <c r="AN2248" s="38"/>
      <c r="AO2248" s="38"/>
      <c r="AP2248" s="38"/>
      <c r="AQ2248" s="38"/>
      <c r="AR2248" s="38"/>
      <c r="AS2248" s="38"/>
      <c r="AT2248" s="38"/>
      <c r="AU2248" s="38"/>
      <c r="AV2248" s="38"/>
      <c r="AW2248" s="38"/>
      <c r="AX2248" s="38"/>
      <c r="AY2248" s="38"/>
      <c r="AZ2248" s="38"/>
      <c r="BA2248" s="38"/>
      <c r="BB2248" s="38"/>
      <c r="BC2248" s="38"/>
      <c r="BD2248" s="38"/>
      <c r="BE2248" s="38"/>
      <c r="BF2248" s="38"/>
      <c r="BG2248" s="38"/>
    </row>
    <row r="2249">
      <c r="A2249" s="16"/>
      <c r="B2249" s="16"/>
      <c r="C2249" s="146"/>
      <c r="D2249" s="146"/>
      <c r="E2249" s="16"/>
      <c r="F2249" s="91"/>
      <c r="G2249" s="16"/>
      <c r="H2249" s="320" t="str">
        <f t="shared" si="1"/>
        <v/>
      </c>
      <c r="I2249" s="16"/>
      <c r="J2249" s="16"/>
      <c r="K2249" s="16"/>
      <c r="L2249" s="38"/>
      <c r="M2249" s="16"/>
      <c r="N2249" s="16"/>
      <c r="O2249" s="16"/>
      <c r="P2249" s="15"/>
      <c r="Q2249" s="15"/>
      <c r="R2249" s="16"/>
      <c r="S2249" s="16"/>
      <c r="T2249" s="16"/>
      <c r="U2249" s="16"/>
      <c r="V2249" s="37" t="str">
        <f>IFERROR(__xludf.DUMMYFUNCTION("if(not(iserror(index(split(C2249, "" ""),2))), index(split(C2249, "" ""),1),"""")"),"")</f>
        <v/>
      </c>
      <c r="W2249" s="315" t="str">
        <f>IFERROR(__xludf.DUMMYFUNCTION("if(V2249="""",C2249,if(not(iserror(index(split(C2249, "" ""),3))), index(split(C2249, "" ""),3),index(split(C2249, "" ""),2)))"),"")</f>
        <v/>
      </c>
      <c r="X2249" s="38" t="b">
        <f t="shared" si="2"/>
        <v>0</v>
      </c>
      <c r="Y2249" s="38"/>
      <c r="Z2249" s="40"/>
      <c r="AA2249" s="40"/>
      <c r="AB2249" s="38"/>
      <c r="AC2249" s="38"/>
      <c r="AD2249" s="38"/>
      <c r="AE2249" s="38"/>
      <c r="AF2249" s="38"/>
      <c r="AG2249" s="38"/>
      <c r="AH2249" s="38"/>
      <c r="AI2249" s="38"/>
      <c r="AJ2249" s="38"/>
      <c r="AK2249" s="38"/>
      <c r="AL2249" s="38"/>
      <c r="AM2249" s="38"/>
      <c r="AN2249" s="38"/>
      <c r="AO2249" s="38"/>
      <c r="AP2249" s="38"/>
      <c r="AQ2249" s="38"/>
      <c r="AR2249" s="38"/>
      <c r="AS2249" s="38"/>
      <c r="AT2249" s="38"/>
      <c r="AU2249" s="38"/>
      <c r="AV2249" s="38"/>
      <c r="AW2249" s="38"/>
      <c r="AX2249" s="38"/>
      <c r="AY2249" s="38"/>
      <c r="AZ2249" s="38"/>
      <c r="BA2249" s="38"/>
      <c r="BB2249" s="38"/>
      <c r="BC2249" s="38"/>
      <c r="BD2249" s="38"/>
      <c r="BE2249" s="38"/>
      <c r="BF2249" s="38"/>
      <c r="BG2249" s="38"/>
    </row>
    <row r="2250">
      <c r="A2250" s="16"/>
      <c r="B2250" s="16"/>
      <c r="C2250" s="146"/>
      <c r="D2250" s="146"/>
      <c r="E2250" s="16"/>
      <c r="F2250" s="91"/>
      <c r="G2250" s="16"/>
      <c r="H2250" s="320" t="str">
        <f t="shared" si="1"/>
        <v/>
      </c>
      <c r="I2250" s="16"/>
      <c r="J2250" s="16"/>
      <c r="K2250" s="16"/>
      <c r="L2250" s="38"/>
      <c r="M2250" s="16"/>
      <c r="N2250" s="16"/>
      <c r="O2250" s="16"/>
      <c r="P2250" s="15"/>
      <c r="Q2250" s="15"/>
      <c r="R2250" s="16"/>
      <c r="S2250" s="16"/>
      <c r="T2250" s="16"/>
      <c r="U2250" s="16"/>
      <c r="V2250" s="37" t="str">
        <f>IFERROR(__xludf.DUMMYFUNCTION("if(not(iserror(index(split(C2250, "" ""),2))), index(split(C2250, "" ""),1),"""")"),"")</f>
        <v/>
      </c>
      <c r="W2250" s="315" t="str">
        <f>IFERROR(__xludf.DUMMYFUNCTION("if(V2250="""",C2250,if(not(iserror(index(split(C2250, "" ""),3))), index(split(C2250, "" ""),3),index(split(C2250, "" ""),2)))"),"")</f>
        <v/>
      </c>
      <c r="X2250" s="38" t="b">
        <f t="shared" si="2"/>
        <v>0</v>
      </c>
      <c r="Y2250" s="38"/>
      <c r="Z2250" s="40"/>
      <c r="AA2250" s="40"/>
      <c r="AB2250" s="38"/>
      <c r="AC2250" s="38"/>
      <c r="AD2250" s="38"/>
      <c r="AE2250" s="38"/>
      <c r="AF2250" s="38"/>
      <c r="AG2250" s="38"/>
      <c r="AH2250" s="38"/>
      <c r="AI2250" s="38"/>
      <c r="AJ2250" s="38"/>
      <c r="AK2250" s="38"/>
      <c r="AL2250" s="38"/>
      <c r="AM2250" s="38"/>
      <c r="AN2250" s="38"/>
      <c r="AO2250" s="38"/>
      <c r="AP2250" s="38"/>
      <c r="AQ2250" s="38"/>
      <c r="AR2250" s="38"/>
      <c r="AS2250" s="38"/>
      <c r="AT2250" s="38"/>
      <c r="AU2250" s="38"/>
      <c r="AV2250" s="38"/>
      <c r="AW2250" s="38"/>
      <c r="AX2250" s="38"/>
      <c r="AY2250" s="38"/>
      <c r="AZ2250" s="38"/>
      <c r="BA2250" s="38"/>
      <c r="BB2250" s="38"/>
      <c r="BC2250" s="38"/>
      <c r="BD2250" s="38"/>
      <c r="BE2250" s="38"/>
      <c r="BF2250" s="38"/>
      <c r="BG2250" s="38"/>
    </row>
    <row r="2251">
      <c r="A2251" s="16"/>
      <c r="B2251" s="16"/>
      <c r="C2251" s="146"/>
      <c r="D2251" s="146"/>
      <c r="E2251" s="16"/>
      <c r="F2251" s="91"/>
      <c r="G2251" s="16"/>
      <c r="H2251" s="320" t="str">
        <f t="shared" si="1"/>
        <v/>
      </c>
      <c r="I2251" s="16"/>
      <c r="J2251" s="16"/>
      <c r="K2251" s="16"/>
      <c r="L2251" s="38"/>
      <c r="M2251" s="16"/>
      <c r="N2251" s="16"/>
      <c r="O2251" s="16"/>
      <c r="P2251" s="15"/>
      <c r="Q2251" s="15"/>
      <c r="R2251" s="16"/>
      <c r="S2251" s="16"/>
      <c r="T2251" s="16"/>
      <c r="U2251" s="16"/>
      <c r="V2251" s="37" t="str">
        <f>IFERROR(__xludf.DUMMYFUNCTION("if(not(iserror(index(split(C2251, "" ""),2))), index(split(C2251, "" ""),1),"""")"),"")</f>
        <v/>
      </c>
      <c r="W2251" s="315" t="str">
        <f>IFERROR(__xludf.DUMMYFUNCTION("if(V2251="""",C2251,if(not(iserror(index(split(C2251, "" ""),3))), index(split(C2251, "" ""),3),index(split(C2251, "" ""),2)))"),"")</f>
        <v/>
      </c>
      <c r="X2251" s="38" t="b">
        <f t="shared" si="2"/>
        <v>0</v>
      </c>
      <c r="Y2251" s="38"/>
      <c r="Z2251" s="40"/>
      <c r="AA2251" s="40"/>
      <c r="AB2251" s="38"/>
      <c r="AC2251" s="38"/>
      <c r="AD2251" s="38"/>
      <c r="AE2251" s="38"/>
      <c r="AF2251" s="38"/>
      <c r="AG2251" s="38"/>
      <c r="AH2251" s="38"/>
      <c r="AI2251" s="38"/>
      <c r="AJ2251" s="38"/>
      <c r="AK2251" s="38"/>
      <c r="AL2251" s="38"/>
      <c r="AM2251" s="38"/>
      <c r="AN2251" s="38"/>
      <c r="AO2251" s="38"/>
      <c r="AP2251" s="38"/>
      <c r="AQ2251" s="38"/>
      <c r="AR2251" s="38"/>
      <c r="AS2251" s="38"/>
      <c r="AT2251" s="38"/>
      <c r="AU2251" s="38"/>
      <c r="AV2251" s="38"/>
      <c r="AW2251" s="38"/>
      <c r="AX2251" s="38"/>
      <c r="AY2251" s="38"/>
      <c r="AZ2251" s="38"/>
      <c r="BA2251" s="38"/>
      <c r="BB2251" s="38"/>
      <c r="BC2251" s="38"/>
      <c r="BD2251" s="38"/>
      <c r="BE2251" s="38"/>
      <c r="BF2251" s="38"/>
      <c r="BG2251" s="38"/>
    </row>
    <row r="2252">
      <c r="A2252" s="16"/>
      <c r="B2252" s="16"/>
      <c r="C2252" s="146"/>
      <c r="D2252" s="146"/>
      <c r="E2252" s="16"/>
      <c r="F2252" s="91"/>
      <c r="G2252" s="16"/>
      <c r="H2252" s="320" t="str">
        <f t="shared" si="1"/>
        <v/>
      </c>
      <c r="I2252" s="16"/>
      <c r="J2252" s="16"/>
      <c r="K2252" s="16"/>
      <c r="L2252" s="38"/>
      <c r="M2252" s="16"/>
      <c r="N2252" s="16"/>
      <c r="O2252" s="16"/>
      <c r="P2252" s="15"/>
      <c r="Q2252" s="15"/>
      <c r="R2252" s="16"/>
      <c r="S2252" s="16"/>
      <c r="T2252" s="16"/>
      <c r="U2252" s="16"/>
      <c r="V2252" s="37" t="str">
        <f>IFERROR(__xludf.DUMMYFUNCTION("if(not(iserror(index(split(C2252, "" ""),2))), index(split(C2252, "" ""),1),"""")"),"")</f>
        <v/>
      </c>
      <c r="W2252" s="315" t="str">
        <f>IFERROR(__xludf.DUMMYFUNCTION("if(V2252="""",C2252,if(not(iserror(index(split(C2252, "" ""),3))), index(split(C2252, "" ""),3),index(split(C2252, "" ""),2)))"),"")</f>
        <v/>
      </c>
      <c r="X2252" s="38" t="b">
        <f t="shared" si="2"/>
        <v>0</v>
      </c>
      <c r="Y2252" s="38"/>
      <c r="Z2252" s="40"/>
      <c r="AA2252" s="40"/>
      <c r="AB2252" s="38"/>
      <c r="AC2252" s="38"/>
      <c r="AD2252" s="38"/>
      <c r="AE2252" s="38"/>
      <c r="AF2252" s="38"/>
      <c r="AG2252" s="38"/>
      <c r="AH2252" s="38"/>
      <c r="AI2252" s="38"/>
      <c r="AJ2252" s="38"/>
      <c r="AK2252" s="38"/>
      <c r="AL2252" s="38"/>
      <c r="AM2252" s="38"/>
      <c r="AN2252" s="38"/>
      <c r="AO2252" s="38"/>
      <c r="AP2252" s="38"/>
      <c r="AQ2252" s="38"/>
      <c r="AR2252" s="38"/>
      <c r="AS2252" s="38"/>
      <c r="AT2252" s="38"/>
      <c r="AU2252" s="38"/>
      <c r="AV2252" s="38"/>
      <c r="AW2252" s="38"/>
      <c r="AX2252" s="38"/>
      <c r="AY2252" s="38"/>
      <c r="AZ2252" s="38"/>
      <c r="BA2252" s="38"/>
      <c r="BB2252" s="38"/>
      <c r="BC2252" s="38"/>
      <c r="BD2252" s="38"/>
      <c r="BE2252" s="38"/>
      <c r="BF2252" s="38"/>
      <c r="BG2252" s="38"/>
    </row>
    <row r="2253">
      <c r="A2253" s="16"/>
      <c r="B2253" s="16"/>
      <c r="C2253" s="146"/>
      <c r="D2253" s="146"/>
      <c r="E2253" s="16"/>
      <c r="F2253" s="91"/>
      <c r="G2253" s="16"/>
      <c r="H2253" s="320" t="str">
        <f t="shared" si="1"/>
        <v/>
      </c>
      <c r="I2253" s="16"/>
      <c r="J2253" s="16"/>
      <c r="K2253" s="16"/>
      <c r="L2253" s="38"/>
      <c r="M2253" s="16"/>
      <c r="N2253" s="16"/>
      <c r="O2253" s="16"/>
      <c r="P2253" s="15"/>
      <c r="Q2253" s="15"/>
      <c r="R2253" s="16"/>
      <c r="S2253" s="16"/>
      <c r="T2253" s="16"/>
      <c r="U2253" s="16"/>
      <c r="V2253" s="37" t="str">
        <f>IFERROR(__xludf.DUMMYFUNCTION("if(not(iserror(index(split(C2253, "" ""),2))), index(split(C2253, "" ""),1),"""")"),"")</f>
        <v/>
      </c>
      <c r="W2253" s="315" t="str">
        <f>IFERROR(__xludf.DUMMYFUNCTION("if(V2253="""",C2253,if(not(iserror(index(split(C2253, "" ""),3))), index(split(C2253, "" ""),3),index(split(C2253, "" ""),2)))"),"")</f>
        <v/>
      </c>
      <c r="X2253" s="38" t="b">
        <f t="shared" si="2"/>
        <v>0</v>
      </c>
      <c r="Y2253" s="38"/>
      <c r="Z2253" s="40"/>
      <c r="AA2253" s="40"/>
      <c r="AB2253" s="38"/>
      <c r="AC2253" s="38"/>
      <c r="AD2253" s="38"/>
      <c r="AE2253" s="38"/>
      <c r="AF2253" s="38"/>
      <c r="AG2253" s="38"/>
      <c r="AH2253" s="38"/>
      <c r="AI2253" s="38"/>
      <c r="AJ2253" s="38"/>
      <c r="AK2253" s="38"/>
      <c r="AL2253" s="38"/>
      <c r="AM2253" s="38"/>
      <c r="AN2253" s="38"/>
      <c r="AO2253" s="38"/>
      <c r="AP2253" s="38"/>
      <c r="AQ2253" s="38"/>
      <c r="AR2253" s="38"/>
      <c r="AS2253" s="38"/>
      <c r="AT2253" s="38"/>
      <c r="AU2253" s="38"/>
      <c r="AV2253" s="38"/>
      <c r="AW2253" s="38"/>
      <c r="AX2253" s="38"/>
      <c r="AY2253" s="38"/>
      <c r="AZ2253" s="38"/>
      <c r="BA2253" s="38"/>
      <c r="BB2253" s="38"/>
      <c r="BC2253" s="38"/>
      <c r="BD2253" s="38"/>
      <c r="BE2253" s="38"/>
      <c r="BF2253" s="38"/>
      <c r="BG2253" s="38"/>
    </row>
    <row r="2254">
      <c r="A2254" s="16"/>
      <c r="B2254" s="16"/>
      <c r="C2254" s="146"/>
      <c r="D2254" s="146"/>
      <c r="E2254" s="16"/>
      <c r="F2254" s="91"/>
      <c r="G2254" s="16"/>
      <c r="H2254" s="320" t="str">
        <f t="shared" si="1"/>
        <v/>
      </c>
      <c r="I2254" s="16"/>
      <c r="J2254" s="16"/>
      <c r="K2254" s="16"/>
      <c r="L2254" s="38"/>
      <c r="M2254" s="16"/>
      <c r="N2254" s="16"/>
      <c r="O2254" s="16"/>
      <c r="P2254" s="15"/>
      <c r="Q2254" s="15"/>
      <c r="R2254" s="16"/>
      <c r="S2254" s="16"/>
      <c r="T2254" s="16"/>
      <c r="U2254" s="16"/>
      <c r="V2254" s="37" t="str">
        <f>IFERROR(__xludf.DUMMYFUNCTION("if(not(iserror(index(split(C2254, "" ""),2))), index(split(C2254, "" ""),1),"""")"),"")</f>
        <v/>
      </c>
      <c r="W2254" s="315" t="str">
        <f>IFERROR(__xludf.DUMMYFUNCTION("if(V2254="""",C2254,if(not(iserror(index(split(C2254, "" ""),3))), index(split(C2254, "" ""),3),index(split(C2254, "" ""),2)))"),"")</f>
        <v/>
      </c>
      <c r="X2254" s="38" t="b">
        <f t="shared" si="2"/>
        <v>0</v>
      </c>
      <c r="Y2254" s="38"/>
      <c r="Z2254" s="40"/>
      <c r="AA2254" s="40"/>
      <c r="AB2254" s="38"/>
      <c r="AC2254" s="38"/>
      <c r="AD2254" s="38"/>
      <c r="AE2254" s="38"/>
      <c r="AF2254" s="38"/>
      <c r="AG2254" s="38"/>
      <c r="AH2254" s="38"/>
      <c r="AI2254" s="38"/>
      <c r="AJ2254" s="38"/>
      <c r="AK2254" s="38"/>
      <c r="AL2254" s="38"/>
      <c r="AM2254" s="38"/>
      <c r="AN2254" s="38"/>
      <c r="AO2254" s="38"/>
      <c r="AP2254" s="38"/>
      <c r="AQ2254" s="38"/>
      <c r="AR2254" s="38"/>
      <c r="AS2254" s="38"/>
      <c r="AT2254" s="38"/>
      <c r="AU2254" s="38"/>
      <c r="AV2254" s="38"/>
      <c r="AW2254" s="38"/>
      <c r="AX2254" s="38"/>
      <c r="AY2254" s="38"/>
      <c r="AZ2254" s="38"/>
      <c r="BA2254" s="38"/>
      <c r="BB2254" s="38"/>
      <c r="BC2254" s="38"/>
      <c r="BD2254" s="38"/>
      <c r="BE2254" s="38"/>
      <c r="BF2254" s="38"/>
      <c r="BG2254" s="38"/>
    </row>
    <row r="2255">
      <c r="A2255" s="16"/>
      <c r="B2255" s="16"/>
      <c r="C2255" s="146"/>
      <c r="D2255" s="146"/>
      <c r="E2255" s="16"/>
      <c r="F2255" s="91"/>
      <c r="G2255" s="16"/>
      <c r="H2255" s="320" t="str">
        <f t="shared" si="1"/>
        <v/>
      </c>
      <c r="I2255" s="16"/>
      <c r="J2255" s="16"/>
      <c r="K2255" s="16"/>
      <c r="L2255" s="38"/>
      <c r="M2255" s="16"/>
      <c r="N2255" s="16"/>
      <c r="O2255" s="16"/>
      <c r="P2255" s="15"/>
      <c r="Q2255" s="15"/>
      <c r="R2255" s="16"/>
      <c r="S2255" s="16"/>
      <c r="T2255" s="16"/>
      <c r="U2255" s="16"/>
      <c r="V2255" s="37" t="str">
        <f>IFERROR(__xludf.DUMMYFUNCTION("if(not(iserror(index(split(C2255, "" ""),2))), index(split(C2255, "" ""),1),"""")"),"")</f>
        <v/>
      </c>
      <c r="W2255" s="315" t="str">
        <f>IFERROR(__xludf.DUMMYFUNCTION("if(V2255="""",C2255,if(not(iserror(index(split(C2255, "" ""),3))), index(split(C2255, "" ""),3),index(split(C2255, "" ""),2)))"),"")</f>
        <v/>
      </c>
      <c r="X2255" s="38" t="b">
        <f t="shared" si="2"/>
        <v>0</v>
      </c>
      <c r="Y2255" s="38"/>
      <c r="Z2255" s="40"/>
      <c r="AA2255" s="40"/>
      <c r="AB2255" s="38"/>
      <c r="AC2255" s="38"/>
      <c r="AD2255" s="38"/>
      <c r="AE2255" s="38"/>
      <c r="AF2255" s="38"/>
      <c r="AG2255" s="38"/>
      <c r="AH2255" s="38"/>
      <c r="AI2255" s="38"/>
      <c r="AJ2255" s="38"/>
      <c r="AK2255" s="38"/>
      <c r="AL2255" s="38"/>
      <c r="AM2255" s="38"/>
      <c r="AN2255" s="38"/>
      <c r="AO2255" s="38"/>
      <c r="AP2255" s="38"/>
      <c r="AQ2255" s="38"/>
      <c r="AR2255" s="38"/>
      <c r="AS2255" s="38"/>
      <c r="AT2255" s="38"/>
      <c r="AU2255" s="38"/>
      <c r="AV2255" s="38"/>
      <c r="AW2255" s="38"/>
      <c r="AX2255" s="38"/>
      <c r="AY2255" s="38"/>
      <c r="AZ2255" s="38"/>
      <c r="BA2255" s="38"/>
      <c r="BB2255" s="38"/>
      <c r="BC2255" s="38"/>
      <c r="BD2255" s="38"/>
      <c r="BE2255" s="38"/>
      <c r="BF2255" s="38"/>
      <c r="BG2255" s="38"/>
    </row>
    <row r="2256">
      <c r="A2256" s="16"/>
      <c r="B2256" s="16"/>
      <c r="C2256" s="146"/>
      <c r="D2256" s="146"/>
      <c r="E2256" s="16"/>
      <c r="F2256" s="91"/>
      <c r="G2256" s="16"/>
      <c r="H2256" s="320" t="str">
        <f t="shared" si="1"/>
        <v/>
      </c>
      <c r="I2256" s="16"/>
      <c r="J2256" s="16"/>
      <c r="K2256" s="16"/>
      <c r="L2256" s="38"/>
      <c r="M2256" s="16"/>
      <c r="N2256" s="16"/>
      <c r="O2256" s="16"/>
      <c r="P2256" s="15"/>
      <c r="Q2256" s="15"/>
      <c r="R2256" s="16"/>
      <c r="S2256" s="16"/>
      <c r="T2256" s="16"/>
      <c r="U2256" s="16"/>
      <c r="V2256" s="37" t="str">
        <f>IFERROR(__xludf.DUMMYFUNCTION("if(not(iserror(index(split(C2256, "" ""),2))), index(split(C2256, "" ""),1),"""")"),"")</f>
        <v/>
      </c>
      <c r="W2256" s="315" t="str">
        <f>IFERROR(__xludf.DUMMYFUNCTION("if(V2256="""",C2256,if(not(iserror(index(split(C2256, "" ""),3))), index(split(C2256, "" ""),3),index(split(C2256, "" ""),2)))"),"")</f>
        <v/>
      </c>
      <c r="X2256" s="38" t="b">
        <f t="shared" si="2"/>
        <v>0</v>
      </c>
      <c r="Y2256" s="38"/>
      <c r="Z2256" s="40"/>
      <c r="AA2256" s="40"/>
      <c r="AB2256" s="38"/>
      <c r="AC2256" s="38"/>
      <c r="AD2256" s="38"/>
      <c r="AE2256" s="38"/>
      <c r="AF2256" s="38"/>
      <c r="AG2256" s="38"/>
      <c r="AH2256" s="38"/>
      <c r="AI2256" s="38"/>
      <c r="AJ2256" s="38"/>
      <c r="AK2256" s="38"/>
      <c r="AL2256" s="38"/>
      <c r="AM2256" s="38"/>
      <c r="AN2256" s="38"/>
      <c r="AO2256" s="38"/>
      <c r="AP2256" s="38"/>
      <c r="AQ2256" s="38"/>
      <c r="AR2256" s="38"/>
      <c r="AS2256" s="38"/>
      <c r="AT2256" s="38"/>
      <c r="AU2256" s="38"/>
      <c r="AV2256" s="38"/>
      <c r="AW2256" s="38"/>
      <c r="AX2256" s="38"/>
      <c r="AY2256" s="38"/>
      <c r="AZ2256" s="38"/>
      <c r="BA2256" s="38"/>
      <c r="BB2256" s="38"/>
      <c r="BC2256" s="38"/>
      <c r="BD2256" s="38"/>
      <c r="BE2256" s="38"/>
      <c r="BF2256" s="38"/>
      <c r="BG2256" s="38"/>
    </row>
    <row r="2257">
      <c r="A2257" s="16"/>
      <c r="B2257" s="16"/>
      <c r="C2257" s="146"/>
      <c r="D2257" s="146"/>
      <c r="E2257" s="16"/>
      <c r="F2257" s="91"/>
      <c r="G2257" s="16"/>
      <c r="H2257" s="320" t="str">
        <f t="shared" si="1"/>
        <v/>
      </c>
      <c r="I2257" s="16"/>
      <c r="J2257" s="16"/>
      <c r="K2257" s="16"/>
      <c r="L2257" s="38"/>
      <c r="M2257" s="16"/>
      <c r="N2257" s="16"/>
      <c r="O2257" s="16"/>
      <c r="P2257" s="15"/>
      <c r="Q2257" s="15"/>
      <c r="R2257" s="16"/>
      <c r="S2257" s="16"/>
      <c r="T2257" s="16"/>
      <c r="U2257" s="16"/>
      <c r="V2257" s="37" t="str">
        <f>IFERROR(__xludf.DUMMYFUNCTION("if(not(iserror(index(split(C2257, "" ""),2))), index(split(C2257, "" ""),1),"""")"),"")</f>
        <v/>
      </c>
      <c r="W2257" s="315" t="str">
        <f>IFERROR(__xludf.DUMMYFUNCTION("if(V2257="""",C2257,if(not(iserror(index(split(C2257, "" ""),3))), index(split(C2257, "" ""),3),index(split(C2257, "" ""),2)))"),"")</f>
        <v/>
      </c>
      <c r="X2257" s="38" t="b">
        <f t="shared" si="2"/>
        <v>0</v>
      </c>
      <c r="Y2257" s="38"/>
      <c r="Z2257" s="40"/>
      <c r="AA2257" s="40"/>
      <c r="AB2257" s="38"/>
      <c r="AC2257" s="38"/>
      <c r="AD2257" s="38"/>
      <c r="AE2257" s="38"/>
      <c r="AF2257" s="38"/>
      <c r="AG2257" s="38"/>
      <c r="AH2257" s="38"/>
      <c r="AI2257" s="38"/>
      <c r="AJ2257" s="38"/>
      <c r="AK2257" s="38"/>
      <c r="AL2257" s="38"/>
      <c r="AM2257" s="38"/>
      <c r="AN2257" s="38"/>
      <c r="AO2257" s="38"/>
      <c r="AP2257" s="38"/>
      <c r="AQ2257" s="38"/>
      <c r="AR2257" s="38"/>
      <c r="AS2257" s="38"/>
      <c r="AT2257" s="38"/>
      <c r="AU2257" s="38"/>
      <c r="AV2257" s="38"/>
      <c r="AW2257" s="38"/>
      <c r="AX2257" s="38"/>
      <c r="AY2257" s="38"/>
      <c r="AZ2257" s="38"/>
      <c r="BA2257" s="38"/>
      <c r="BB2257" s="38"/>
      <c r="BC2257" s="38"/>
      <c r="BD2257" s="38"/>
      <c r="BE2257" s="38"/>
      <c r="BF2257" s="38"/>
      <c r="BG2257" s="38"/>
    </row>
    <row r="2258">
      <c r="A2258" s="16"/>
      <c r="B2258" s="16"/>
      <c r="C2258" s="146"/>
      <c r="D2258" s="146"/>
      <c r="E2258" s="16"/>
      <c r="F2258" s="91"/>
      <c r="G2258" s="16"/>
      <c r="H2258" s="320" t="str">
        <f t="shared" si="1"/>
        <v/>
      </c>
      <c r="I2258" s="16"/>
      <c r="J2258" s="16"/>
      <c r="K2258" s="16"/>
      <c r="L2258" s="38"/>
      <c r="M2258" s="16"/>
      <c r="N2258" s="16"/>
      <c r="O2258" s="16"/>
      <c r="P2258" s="15"/>
      <c r="Q2258" s="15"/>
      <c r="R2258" s="16"/>
      <c r="S2258" s="16"/>
      <c r="T2258" s="16"/>
      <c r="U2258" s="16"/>
      <c r="V2258" s="37" t="str">
        <f>IFERROR(__xludf.DUMMYFUNCTION("if(not(iserror(index(split(C2258, "" ""),2))), index(split(C2258, "" ""),1),"""")"),"")</f>
        <v/>
      </c>
      <c r="W2258" s="315" t="str">
        <f>IFERROR(__xludf.DUMMYFUNCTION("if(V2258="""",C2258,if(not(iserror(index(split(C2258, "" ""),3))), index(split(C2258, "" ""),3),index(split(C2258, "" ""),2)))"),"")</f>
        <v/>
      </c>
      <c r="X2258" s="38" t="b">
        <f t="shared" si="2"/>
        <v>0</v>
      </c>
      <c r="Y2258" s="38"/>
      <c r="Z2258" s="40"/>
      <c r="AA2258" s="40"/>
      <c r="AB2258" s="38"/>
      <c r="AC2258" s="38"/>
      <c r="AD2258" s="38"/>
      <c r="AE2258" s="38"/>
      <c r="AF2258" s="38"/>
      <c r="AG2258" s="38"/>
      <c r="AH2258" s="38"/>
      <c r="AI2258" s="38"/>
      <c r="AJ2258" s="38"/>
      <c r="AK2258" s="38"/>
      <c r="AL2258" s="38"/>
      <c r="AM2258" s="38"/>
      <c r="AN2258" s="38"/>
      <c r="AO2258" s="38"/>
      <c r="AP2258" s="38"/>
      <c r="AQ2258" s="38"/>
      <c r="AR2258" s="38"/>
      <c r="AS2258" s="38"/>
      <c r="AT2258" s="38"/>
      <c r="AU2258" s="38"/>
      <c r="AV2258" s="38"/>
      <c r="AW2258" s="38"/>
      <c r="AX2258" s="38"/>
      <c r="AY2258" s="38"/>
      <c r="AZ2258" s="38"/>
      <c r="BA2258" s="38"/>
      <c r="BB2258" s="38"/>
      <c r="BC2258" s="38"/>
      <c r="BD2258" s="38"/>
      <c r="BE2258" s="38"/>
      <c r="BF2258" s="38"/>
      <c r="BG2258" s="38"/>
    </row>
    <row r="2259">
      <c r="A2259" s="16"/>
      <c r="B2259" s="16"/>
      <c r="C2259" s="146"/>
      <c r="D2259" s="146"/>
      <c r="E2259" s="16"/>
      <c r="F2259" s="91"/>
      <c r="G2259" s="16"/>
      <c r="H2259" s="320" t="str">
        <f t="shared" si="1"/>
        <v/>
      </c>
      <c r="I2259" s="16"/>
      <c r="J2259" s="16"/>
      <c r="K2259" s="16"/>
      <c r="L2259" s="38"/>
      <c r="M2259" s="16"/>
      <c r="N2259" s="16"/>
      <c r="O2259" s="16"/>
      <c r="P2259" s="15"/>
      <c r="Q2259" s="15"/>
      <c r="R2259" s="16"/>
      <c r="S2259" s="16"/>
      <c r="T2259" s="16"/>
      <c r="U2259" s="16"/>
      <c r="V2259" s="37" t="str">
        <f>IFERROR(__xludf.DUMMYFUNCTION("if(not(iserror(index(split(C2259, "" ""),2))), index(split(C2259, "" ""),1),"""")"),"")</f>
        <v/>
      </c>
      <c r="W2259" s="315" t="str">
        <f>IFERROR(__xludf.DUMMYFUNCTION("if(V2259="""",C2259,if(not(iserror(index(split(C2259, "" ""),3))), index(split(C2259, "" ""),3),index(split(C2259, "" ""),2)))"),"")</f>
        <v/>
      </c>
      <c r="X2259" s="38" t="b">
        <f t="shared" si="2"/>
        <v>0</v>
      </c>
      <c r="Y2259" s="38"/>
      <c r="Z2259" s="40"/>
      <c r="AA2259" s="40"/>
      <c r="AB2259" s="38"/>
      <c r="AC2259" s="38"/>
      <c r="AD2259" s="38"/>
      <c r="AE2259" s="38"/>
      <c r="AF2259" s="38"/>
      <c r="AG2259" s="38"/>
      <c r="AH2259" s="38"/>
      <c r="AI2259" s="38"/>
      <c r="AJ2259" s="38"/>
      <c r="AK2259" s="38"/>
      <c r="AL2259" s="38"/>
      <c r="AM2259" s="38"/>
      <c r="AN2259" s="38"/>
      <c r="AO2259" s="38"/>
      <c r="AP2259" s="38"/>
      <c r="AQ2259" s="38"/>
      <c r="AR2259" s="38"/>
      <c r="AS2259" s="38"/>
      <c r="AT2259" s="38"/>
      <c r="AU2259" s="38"/>
      <c r="AV2259" s="38"/>
      <c r="AW2259" s="38"/>
      <c r="AX2259" s="38"/>
      <c r="AY2259" s="38"/>
      <c r="AZ2259" s="38"/>
      <c r="BA2259" s="38"/>
      <c r="BB2259" s="38"/>
      <c r="BC2259" s="38"/>
      <c r="BD2259" s="38"/>
      <c r="BE2259" s="38"/>
      <c r="BF2259" s="38"/>
      <c r="BG2259" s="38"/>
    </row>
    <row r="2260">
      <c r="A2260" s="16"/>
      <c r="B2260" s="16"/>
      <c r="C2260" s="146"/>
      <c r="D2260" s="146"/>
      <c r="E2260" s="16"/>
      <c r="F2260" s="91"/>
      <c r="G2260" s="16"/>
      <c r="H2260" s="320" t="str">
        <f t="shared" si="1"/>
        <v/>
      </c>
      <c r="I2260" s="16"/>
      <c r="J2260" s="16"/>
      <c r="K2260" s="16"/>
      <c r="L2260" s="38"/>
      <c r="M2260" s="16"/>
      <c r="N2260" s="16"/>
      <c r="O2260" s="16"/>
      <c r="P2260" s="15"/>
      <c r="Q2260" s="15"/>
      <c r="R2260" s="16"/>
      <c r="S2260" s="16"/>
      <c r="T2260" s="16"/>
      <c r="U2260" s="16"/>
      <c r="V2260" s="37" t="str">
        <f>IFERROR(__xludf.DUMMYFUNCTION("if(not(iserror(index(split(C2260, "" ""),2))), index(split(C2260, "" ""),1),"""")"),"")</f>
        <v/>
      </c>
      <c r="W2260" s="315" t="str">
        <f>IFERROR(__xludf.DUMMYFUNCTION("if(V2260="""",C2260,if(not(iserror(index(split(C2260, "" ""),3))), index(split(C2260, "" ""),3),index(split(C2260, "" ""),2)))"),"")</f>
        <v/>
      </c>
      <c r="X2260" s="38" t="b">
        <f t="shared" si="2"/>
        <v>0</v>
      </c>
      <c r="Y2260" s="38"/>
      <c r="Z2260" s="40"/>
      <c r="AA2260" s="40"/>
      <c r="AB2260" s="38"/>
      <c r="AC2260" s="38"/>
      <c r="AD2260" s="38"/>
      <c r="AE2260" s="38"/>
      <c r="AF2260" s="38"/>
      <c r="AG2260" s="38"/>
      <c r="AH2260" s="38"/>
      <c r="AI2260" s="38"/>
      <c r="AJ2260" s="38"/>
      <c r="AK2260" s="38"/>
      <c r="AL2260" s="38"/>
      <c r="AM2260" s="38"/>
      <c r="AN2260" s="38"/>
      <c r="AO2260" s="38"/>
      <c r="AP2260" s="38"/>
      <c r="AQ2260" s="38"/>
      <c r="AR2260" s="38"/>
      <c r="AS2260" s="38"/>
      <c r="AT2260" s="38"/>
      <c r="AU2260" s="38"/>
      <c r="AV2260" s="38"/>
      <c r="AW2260" s="38"/>
      <c r="AX2260" s="38"/>
      <c r="AY2260" s="38"/>
      <c r="AZ2260" s="38"/>
      <c r="BA2260" s="38"/>
      <c r="BB2260" s="38"/>
      <c r="BC2260" s="38"/>
      <c r="BD2260" s="38"/>
      <c r="BE2260" s="38"/>
      <c r="BF2260" s="38"/>
      <c r="BG2260" s="38"/>
    </row>
    <row r="2261">
      <c r="A2261" s="16"/>
      <c r="B2261" s="16"/>
      <c r="C2261" s="146"/>
      <c r="D2261" s="146"/>
      <c r="E2261" s="16"/>
      <c r="F2261" s="91"/>
      <c r="G2261" s="16"/>
      <c r="H2261" s="320" t="str">
        <f t="shared" si="1"/>
        <v/>
      </c>
      <c r="I2261" s="16"/>
      <c r="J2261" s="16"/>
      <c r="K2261" s="16"/>
      <c r="L2261" s="38"/>
      <c r="M2261" s="16"/>
      <c r="N2261" s="16"/>
      <c r="O2261" s="16"/>
      <c r="P2261" s="15"/>
      <c r="Q2261" s="15"/>
      <c r="R2261" s="16"/>
      <c r="S2261" s="16"/>
      <c r="T2261" s="16"/>
      <c r="U2261" s="16"/>
      <c r="V2261" s="37" t="str">
        <f>IFERROR(__xludf.DUMMYFUNCTION("if(not(iserror(index(split(C2261, "" ""),2))), index(split(C2261, "" ""),1),"""")"),"")</f>
        <v/>
      </c>
      <c r="W2261" s="315" t="str">
        <f>IFERROR(__xludf.DUMMYFUNCTION("if(V2261="""",C2261,if(not(iserror(index(split(C2261, "" ""),3))), index(split(C2261, "" ""),3),index(split(C2261, "" ""),2)))"),"")</f>
        <v/>
      </c>
      <c r="X2261" s="38" t="b">
        <f t="shared" si="2"/>
        <v>0</v>
      </c>
      <c r="Y2261" s="38"/>
      <c r="Z2261" s="40"/>
      <c r="AA2261" s="40"/>
      <c r="AB2261" s="38"/>
      <c r="AC2261" s="38"/>
      <c r="AD2261" s="38"/>
      <c r="AE2261" s="38"/>
      <c r="AF2261" s="38"/>
      <c r="AG2261" s="38"/>
      <c r="AH2261" s="38"/>
      <c r="AI2261" s="38"/>
      <c r="AJ2261" s="38"/>
      <c r="AK2261" s="38"/>
      <c r="AL2261" s="38"/>
      <c r="AM2261" s="38"/>
      <c r="AN2261" s="38"/>
      <c r="AO2261" s="38"/>
      <c r="AP2261" s="38"/>
      <c r="AQ2261" s="38"/>
      <c r="AR2261" s="38"/>
      <c r="AS2261" s="38"/>
      <c r="AT2261" s="38"/>
      <c r="AU2261" s="38"/>
      <c r="AV2261" s="38"/>
      <c r="AW2261" s="38"/>
      <c r="AX2261" s="38"/>
      <c r="AY2261" s="38"/>
      <c r="AZ2261" s="38"/>
      <c r="BA2261" s="38"/>
      <c r="BB2261" s="38"/>
      <c r="BC2261" s="38"/>
      <c r="BD2261" s="38"/>
      <c r="BE2261" s="38"/>
      <c r="BF2261" s="38"/>
      <c r="BG2261" s="38"/>
    </row>
    <row r="2262">
      <c r="A2262" s="16"/>
      <c r="B2262" s="16"/>
      <c r="C2262" s="146"/>
      <c r="D2262" s="146"/>
      <c r="E2262" s="16"/>
      <c r="F2262" s="91"/>
      <c r="G2262" s="16"/>
      <c r="H2262" s="320" t="str">
        <f t="shared" si="1"/>
        <v/>
      </c>
      <c r="I2262" s="16"/>
      <c r="J2262" s="16"/>
      <c r="K2262" s="16"/>
      <c r="L2262" s="38"/>
      <c r="M2262" s="16"/>
      <c r="N2262" s="16"/>
      <c r="O2262" s="16"/>
      <c r="P2262" s="15"/>
      <c r="Q2262" s="15"/>
      <c r="R2262" s="16"/>
      <c r="S2262" s="16"/>
      <c r="T2262" s="16"/>
      <c r="U2262" s="16"/>
      <c r="V2262" s="37" t="str">
        <f>IFERROR(__xludf.DUMMYFUNCTION("if(not(iserror(index(split(C2262, "" ""),2))), index(split(C2262, "" ""),1),"""")"),"")</f>
        <v/>
      </c>
      <c r="W2262" s="315" t="str">
        <f>IFERROR(__xludf.DUMMYFUNCTION("if(V2262="""",C2262,if(not(iserror(index(split(C2262, "" ""),3))), index(split(C2262, "" ""),3),index(split(C2262, "" ""),2)))"),"")</f>
        <v/>
      </c>
      <c r="X2262" s="38" t="b">
        <f t="shared" si="2"/>
        <v>0</v>
      </c>
      <c r="Y2262" s="38"/>
      <c r="Z2262" s="40"/>
      <c r="AA2262" s="40"/>
      <c r="AB2262" s="38"/>
      <c r="AC2262" s="38"/>
      <c r="AD2262" s="38"/>
      <c r="AE2262" s="38"/>
      <c r="AF2262" s="38"/>
      <c r="AG2262" s="38"/>
      <c r="AH2262" s="38"/>
      <c r="AI2262" s="38"/>
      <c r="AJ2262" s="38"/>
      <c r="AK2262" s="38"/>
      <c r="AL2262" s="38"/>
      <c r="AM2262" s="38"/>
      <c r="AN2262" s="38"/>
      <c r="AO2262" s="38"/>
      <c r="AP2262" s="38"/>
      <c r="AQ2262" s="38"/>
      <c r="AR2262" s="38"/>
      <c r="AS2262" s="38"/>
      <c r="AT2262" s="38"/>
      <c r="AU2262" s="38"/>
      <c r="AV2262" s="38"/>
      <c r="AW2262" s="38"/>
      <c r="AX2262" s="38"/>
      <c r="AY2262" s="38"/>
      <c r="AZ2262" s="38"/>
      <c r="BA2262" s="38"/>
      <c r="BB2262" s="38"/>
      <c r="BC2262" s="38"/>
      <c r="BD2262" s="38"/>
      <c r="BE2262" s="38"/>
      <c r="BF2262" s="38"/>
      <c r="BG2262" s="38"/>
    </row>
    <row r="2263">
      <c r="A2263" s="16"/>
      <c r="B2263" s="16"/>
      <c r="C2263" s="146"/>
      <c r="D2263" s="146"/>
      <c r="E2263" s="16"/>
      <c r="F2263" s="91"/>
      <c r="G2263" s="16"/>
      <c r="H2263" s="320" t="str">
        <f t="shared" si="1"/>
        <v/>
      </c>
      <c r="I2263" s="16"/>
      <c r="J2263" s="16"/>
      <c r="K2263" s="16"/>
      <c r="L2263" s="38"/>
      <c r="M2263" s="16"/>
      <c r="N2263" s="16"/>
      <c r="O2263" s="16"/>
      <c r="P2263" s="15"/>
      <c r="Q2263" s="15"/>
      <c r="R2263" s="16"/>
      <c r="S2263" s="16"/>
      <c r="T2263" s="16"/>
      <c r="U2263" s="16"/>
      <c r="V2263" s="37" t="str">
        <f>IFERROR(__xludf.DUMMYFUNCTION("if(not(iserror(index(split(C2263, "" ""),2))), index(split(C2263, "" ""),1),"""")"),"")</f>
        <v/>
      </c>
      <c r="W2263" s="315" t="str">
        <f>IFERROR(__xludf.DUMMYFUNCTION("if(V2263="""",C2263,if(not(iserror(index(split(C2263, "" ""),3))), index(split(C2263, "" ""),3),index(split(C2263, "" ""),2)))"),"")</f>
        <v/>
      </c>
      <c r="X2263" s="38" t="b">
        <f t="shared" si="2"/>
        <v>0</v>
      </c>
      <c r="Y2263" s="38"/>
      <c r="Z2263" s="40"/>
      <c r="AA2263" s="40"/>
      <c r="AB2263" s="38"/>
      <c r="AC2263" s="38"/>
      <c r="AD2263" s="38"/>
      <c r="AE2263" s="38"/>
      <c r="AF2263" s="38"/>
      <c r="AG2263" s="38"/>
      <c r="AH2263" s="38"/>
      <c r="AI2263" s="38"/>
      <c r="AJ2263" s="38"/>
      <c r="AK2263" s="38"/>
      <c r="AL2263" s="38"/>
      <c r="AM2263" s="38"/>
      <c r="AN2263" s="38"/>
      <c r="AO2263" s="38"/>
      <c r="AP2263" s="38"/>
      <c r="AQ2263" s="38"/>
      <c r="AR2263" s="38"/>
      <c r="AS2263" s="38"/>
      <c r="AT2263" s="38"/>
      <c r="AU2263" s="38"/>
      <c r="AV2263" s="38"/>
      <c r="AW2263" s="38"/>
      <c r="AX2263" s="38"/>
      <c r="AY2263" s="38"/>
      <c r="AZ2263" s="38"/>
      <c r="BA2263" s="38"/>
      <c r="BB2263" s="38"/>
      <c r="BC2263" s="38"/>
      <c r="BD2263" s="38"/>
      <c r="BE2263" s="38"/>
      <c r="BF2263" s="38"/>
      <c r="BG2263" s="38"/>
    </row>
    <row r="2264">
      <c r="A2264" s="16"/>
      <c r="B2264" s="16"/>
      <c r="C2264" s="146"/>
      <c r="D2264" s="146"/>
      <c r="E2264" s="16"/>
      <c r="F2264" s="91"/>
      <c r="G2264" s="16"/>
      <c r="H2264" s="320" t="str">
        <f t="shared" si="1"/>
        <v/>
      </c>
      <c r="I2264" s="16"/>
      <c r="J2264" s="16"/>
      <c r="K2264" s="16"/>
      <c r="L2264" s="38"/>
      <c r="M2264" s="16"/>
      <c r="N2264" s="16"/>
      <c r="O2264" s="16"/>
      <c r="P2264" s="15"/>
      <c r="Q2264" s="15"/>
      <c r="R2264" s="16"/>
      <c r="S2264" s="16"/>
      <c r="T2264" s="16"/>
      <c r="U2264" s="16"/>
      <c r="V2264" s="37" t="str">
        <f>IFERROR(__xludf.DUMMYFUNCTION("if(not(iserror(index(split(C2264, "" ""),2))), index(split(C2264, "" ""),1),"""")"),"")</f>
        <v/>
      </c>
      <c r="W2264" s="315" t="str">
        <f>IFERROR(__xludf.DUMMYFUNCTION("if(V2264="""",C2264,if(not(iserror(index(split(C2264, "" ""),3))), index(split(C2264, "" ""),3),index(split(C2264, "" ""),2)))"),"")</f>
        <v/>
      </c>
      <c r="X2264" s="38" t="b">
        <f t="shared" si="2"/>
        <v>0</v>
      </c>
      <c r="Y2264" s="38"/>
      <c r="Z2264" s="40"/>
      <c r="AA2264" s="40"/>
      <c r="AB2264" s="38"/>
      <c r="AC2264" s="38"/>
      <c r="AD2264" s="38"/>
      <c r="AE2264" s="38"/>
      <c r="AF2264" s="38"/>
      <c r="AG2264" s="38"/>
      <c r="AH2264" s="38"/>
      <c r="AI2264" s="38"/>
      <c r="AJ2264" s="38"/>
      <c r="AK2264" s="38"/>
      <c r="AL2264" s="38"/>
      <c r="AM2264" s="38"/>
      <c r="AN2264" s="38"/>
      <c r="AO2264" s="38"/>
      <c r="AP2264" s="38"/>
      <c r="AQ2264" s="38"/>
      <c r="AR2264" s="38"/>
      <c r="AS2264" s="38"/>
      <c r="AT2264" s="38"/>
      <c r="AU2264" s="38"/>
      <c r="AV2264" s="38"/>
      <c r="AW2264" s="38"/>
      <c r="AX2264" s="38"/>
      <c r="AY2264" s="38"/>
      <c r="AZ2264" s="38"/>
      <c r="BA2264" s="38"/>
      <c r="BB2264" s="38"/>
      <c r="BC2264" s="38"/>
      <c r="BD2264" s="38"/>
      <c r="BE2264" s="38"/>
      <c r="BF2264" s="38"/>
      <c r="BG2264" s="38"/>
    </row>
    <row r="2265">
      <c r="A2265" s="16"/>
      <c r="B2265" s="16"/>
      <c r="C2265" s="146"/>
      <c r="D2265" s="146"/>
      <c r="E2265" s="16"/>
      <c r="F2265" s="91"/>
      <c r="G2265" s="16"/>
      <c r="H2265" s="320" t="str">
        <f t="shared" si="1"/>
        <v/>
      </c>
      <c r="I2265" s="16"/>
      <c r="J2265" s="16"/>
      <c r="K2265" s="16"/>
      <c r="L2265" s="38"/>
      <c r="M2265" s="16"/>
      <c r="N2265" s="16"/>
      <c r="O2265" s="16"/>
      <c r="P2265" s="15"/>
      <c r="Q2265" s="15"/>
      <c r="R2265" s="16"/>
      <c r="S2265" s="16"/>
      <c r="T2265" s="16"/>
      <c r="U2265" s="16"/>
      <c r="V2265" s="37" t="str">
        <f>IFERROR(__xludf.DUMMYFUNCTION("if(not(iserror(index(split(C2265, "" ""),2))), index(split(C2265, "" ""),1),"""")"),"")</f>
        <v/>
      </c>
      <c r="W2265" s="315" t="str">
        <f>IFERROR(__xludf.DUMMYFUNCTION("if(V2265="""",C2265,if(not(iserror(index(split(C2265, "" ""),3))), index(split(C2265, "" ""),3),index(split(C2265, "" ""),2)))"),"")</f>
        <v/>
      </c>
      <c r="X2265" s="38" t="b">
        <f t="shared" si="2"/>
        <v>0</v>
      </c>
      <c r="Y2265" s="38"/>
      <c r="Z2265" s="40"/>
      <c r="AA2265" s="40"/>
      <c r="AB2265" s="38"/>
      <c r="AC2265" s="38"/>
      <c r="AD2265" s="38"/>
      <c r="AE2265" s="38"/>
      <c r="AF2265" s="38"/>
      <c r="AG2265" s="38"/>
      <c r="AH2265" s="38"/>
      <c r="AI2265" s="38"/>
      <c r="AJ2265" s="38"/>
      <c r="AK2265" s="38"/>
      <c r="AL2265" s="38"/>
      <c r="AM2265" s="38"/>
      <c r="AN2265" s="38"/>
      <c r="AO2265" s="38"/>
      <c r="AP2265" s="38"/>
      <c r="AQ2265" s="38"/>
      <c r="AR2265" s="38"/>
      <c r="AS2265" s="38"/>
      <c r="AT2265" s="38"/>
      <c r="AU2265" s="38"/>
      <c r="AV2265" s="38"/>
      <c r="AW2265" s="38"/>
      <c r="AX2265" s="38"/>
      <c r="AY2265" s="38"/>
      <c r="AZ2265" s="38"/>
      <c r="BA2265" s="38"/>
      <c r="BB2265" s="38"/>
      <c r="BC2265" s="38"/>
      <c r="BD2265" s="38"/>
      <c r="BE2265" s="38"/>
      <c r="BF2265" s="38"/>
      <c r="BG2265" s="38"/>
    </row>
    <row r="2266">
      <c r="A2266" s="16"/>
      <c r="B2266" s="16"/>
      <c r="C2266" s="146"/>
      <c r="D2266" s="146"/>
      <c r="E2266" s="16"/>
      <c r="F2266" s="91"/>
      <c r="G2266" s="16"/>
      <c r="H2266" s="320" t="str">
        <f t="shared" si="1"/>
        <v/>
      </c>
      <c r="I2266" s="16"/>
      <c r="J2266" s="16"/>
      <c r="K2266" s="16"/>
      <c r="L2266" s="38"/>
      <c r="M2266" s="16"/>
      <c r="N2266" s="16"/>
      <c r="O2266" s="16"/>
      <c r="P2266" s="15"/>
      <c r="Q2266" s="15"/>
      <c r="R2266" s="16"/>
      <c r="S2266" s="16"/>
      <c r="T2266" s="16"/>
      <c r="U2266" s="16"/>
      <c r="V2266" s="37" t="str">
        <f>IFERROR(__xludf.DUMMYFUNCTION("if(not(iserror(index(split(C2266, "" ""),2))), index(split(C2266, "" ""),1),"""")"),"")</f>
        <v/>
      </c>
      <c r="W2266" s="315" t="str">
        <f>IFERROR(__xludf.DUMMYFUNCTION("if(V2266="""",C2266,if(not(iserror(index(split(C2266, "" ""),3))), index(split(C2266, "" ""),3),index(split(C2266, "" ""),2)))"),"")</f>
        <v/>
      </c>
      <c r="X2266" s="38" t="b">
        <f t="shared" si="2"/>
        <v>0</v>
      </c>
      <c r="Y2266" s="38"/>
      <c r="Z2266" s="40"/>
      <c r="AA2266" s="40"/>
      <c r="AB2266" s="38"/>
      <c r="AC2266" s="38"/>
      <c r="AD2266" s="38"/>
      <c r="AE2266" s="38"/>
      <c r="AF2266" s="38"/>
      <c r="AG2266" s="38"/>
      <c r="AH2266" s="38"/>
      <c r="AI2266" s="38"/>
      <c r="AJ2266" s="38"/>
      <c r="AK2266" s="38"/>
      <c r="AL2266" s="38"/>
      <c r="AM2266" s="38"/>
      <c r="AN2266" s="38"/>
      <c r="AO2266" s="38"/>
      <c r="AP2266" s="38"/>
      <c r="AQ2266" s="38"/>
      <c r="AR2266" s="38"/>
      <c r="AS2266" s="38"/>
      <c r="AT2266" s="38"/>
      <c r="AU2266" s="38"/>
      <c r="AV2266" s="38"/>
      <c r="AW2266" s="38"/>
      <c r="AX2266" s="38"/>
      <c r="AY2266" s="38"/>
      <c r="AZ2266" s="38"/>
      <c r="BA2266" s="38"/>
      <c r="BB2266" s="38"/>
      <c r="BC2266" s="38"/>
      <c r="BD2266" s="38"/>
      <c r="BE2266" s="38"/>
      <c r="BF2266" s="38"/>
      <c r="BG2266" s="38"/>
    </row>
    <row r="2267">
      <c r="A2267" s="16"/>
      <c r="B2267" s="16"/>
      <c r="C2267" s="146"/>
      <c r="D2267" s="146"/>
      <c r="E2267" s="16"/>
      <c r="F2267" s="91"/>
      <c r="G2267" s="16"/>
      <c r="H2267" s="320" t="str">
        <f t="shared" si="1"/>
        <v/>
      </c>
      <c r="I2267" s="16"/>
      <c r="J2267" s="16"/>
      <c r="K2267" s="16"/>
      <c r="L2267" s="38"/>
      <c r="M2267" s="16"/>
      <c r="N2267" s="16"/>
      <c r="O2267" s="16"/>
      <c r="P2267" s="15"/>
      <c r="Q2267" s="15"/>
      <c r="R2267" s="16"/>
      <c r="S2267" s="16"/>
      <c r="T2267" s="16"/>
      <c r="U2267" s="16"/>
      <c r="V2267" s="37" t="str">
        <f>IFERROR(__xludf.DUMMYFUNCTION("if(not(iserror(index(split(C2267, "" ""),2))), index(split(C2267, "" ""),1),"""")"),"")</f>
        <v/>
      </c>
      <c r="W2267" s="315" t="str">
        <f>IFERROR(__xludf.DUMMYFUNCTION("if(V2267="""",C2267,if(not(iserror(index(split(C2267, "" ""),3))), index(split(C2267, "" ""),3),index(split(C2267, "" ""),2)))"),"")</f>
        <v/>
      </c>
      <c r="X2267" s="38" t="b">
        <f t="shared" si="2"/>
        <v>0</v>
      </c>
      <c r="Y2267" s="38"/>
      <c r="Z2267" s="40"/>
      <c r="AA2267" s="40"/>
      <c r="AB2267" s="38"/>
      <c r="AC2267" s="38"/>
      <c r="AD2267" s="38"/>
      <c r="AE2267" s="38"/>
      <c r="AF2267" s="38"/>
      <c r="AG2267" s="38"/>
      <c r="AH2267" s="38"/>
      <c r="AI2267" s="38"/>
      <c r="AJ2267" s="38"/>
      <c r="AK2267" s="38"/>
      <c r="AL2267" s="38"/>
      <c r="AM2267" s="38"/>
      <c r="AN2267" s="38"/>
      <c r="AO2267" s="38"/>
      <c r="AP2267" s="38"/>
      <c r="AQ2267" s="38"/>
      <c r="AR2267" s="38"/>
      <c r="AS2267" s="38"/>
      <c r="AT2267" s="38"/>
      <c r="AU2267" s="38"/>
      <c r="AV2267" s="38"/>
      <c r="AW2267" s="38"/>
      <c r="AX2267" s="38"/>
      <c r="AY2267" s="38"/>
      <c r="AZ2267" s="38"/>
      <c r="BA2267" s="38"/>
      <c r="BB2267" s="38"/>
      <c r="BC2267" s="38"/>
      <c r="BD2267" s="38"/>
      <c r="BE2267" s="38"/>
      <c r="BF2267" s="38"/>
      <c r="BG2267" s="38"/>
    </row>
    <row r="2268">
      <c r="A2268" s="16"/>
      <c r="B2268" s="16"/>
      <c r="C2268" s="146"/>
      <c r="D2268" s="146"/>
      <c r="E2268" s="16"/>
      <c r="F2268" s="91"/>
      <c r="G2268" s="16"/>
      <c r="H2268" s="320" t="str">
        <f t="shared" si="1"/>
        <v/>
      </c>
      <c r="I2268" s="16"/>
      <c r="J2268" s="16"/>
      <c r="K2268" s="16"/>
      <c r="L2268" s="38"/>
      <c r="M2268" s="16"/>
      <c r="N2268" s="16"/>
      <c r="O2268" s="16"/>
      <c r="P2268" s="15"/>
      <c r="Q2268" s="15"/>
      <c r="R2268" s="16"/>
      <c r="S2268" s="16"/>
      <c r="T2268" s="16"/>
      <c r="U2268" s="16"/>
      <c r="V2268" s="37" t="str">
        <f>IFERROR(__xludf.DUMMYFUNCTION("if(not(iserror(index(split(C2268, "" ""),2))), index(split(C2268, "" ""),1),"""")"),"")</f>
        <v/>
      </c>
      <c r="W2268" s="315" t="str">
        <f>IFERROR(__xludf.DUMMYFUNCTION("if(V2268="""",C2268,if(not(iserror(index(split(C2268, "" ""),3))), index(split(C2268, "" ""),3),index(split(C2268, "" ""),2)))"),"")</f>
        <v/>
      </c>
      <c r="X2268" s="38" t="b">
        <f t="shared" si="2"/>
        <v>0</v>
      </c>
      <c r="Y2268" s="38"/>
      <c r="Z2268" s="40"/>
      <c r="AA2268" s="40"/>
      <c r="AB2268" s="38"/>
      <c r="AC2268" s="38"/>
      <c r="AD2268" s="38"/>
      <c r="AE2268" s="38"/>
      <c r="AF2268" s="38"/>
      <c r="AG2268" s="38"/>
      <c r="AH2268" s="38"/>
      <c r="AI2268" s="38"/>
      <c r="AJ2268" s="38"/>
      <c r="AK2268" s="38"/>
      <c r="AL2268" s="38"/>
      <c r="AM2268" s="38"/>
      <c r="AN2268" s="38"/>
      <c r="AO2268" s="38"/>
      <c r="AP2268" s="38"/>
      <c r="AQ2268" s="38"/>
      <c r="AR2268" s="38"/>
      <c r="AS2268" s="38"/>
      <c r="AT2268" s="38"/>
      <c r="AU2268" s="38"/>
      <c r="AV2268" s="38"/>
      <c r="AW2268" s="38"/>
      <c r="AX2268" s="38"/>
      <c r="AY2268" s="38"/>
      <c r="AZ2268" s="38"/>
      <c r="BA2268" s="38"/>
      <c r="BB2268" s="38"/>
      <c r="BC2268" s="38"/>
      <c r="BD2268" s="38"/>
      <c r="BE2268" s="38"/>
      <c r="BF2268" s="38"/>
      <c r="BG2268" s="38"/>
    </row>
    <row r="2269">
      <c r="A2269" s="16"/>
      <c r="B2269" s="16"/>
      <c r="C2269" s="146"/>
      <c r="D2269" s="146"/>
      <c r="E2269" s="16"/>
      <c r="F2269" s="91"/>
      <c r="G2269" s="16"/>
      <c r="H2269" s="320" t="str">
        <f t="shared" si="1"/>
        <v/>
      </c>
      <c r="I2269" s="16"/>
      <c r="J2269" s="16"/>
      <c r="K2269" s="16"/>
      <c r="L2269" s="38"/>
      <c r="M2269" s="16"/>
      <c r="N2269" s="16"/>
      <c r="O2269" s="16"/>
      <c r="P2269" s="15"/>
      <c r="Q2269" s="15"/>
      <c r="R2269" s="16"/>
      <c r="S2269" s="16"/>
      <c r="T2269" s="16"/>
      <c r="U2269" s="16"/>
      <c r="V2269" s="37" t="str">
        <f>IFERROR(__xludf.DUMMYFUNCTION("if(not(iserror(index(split(C2269, "" ""),2))), index(split(C2269, "" ""),1),"""")"),"")</f>
        <v/>
      </c>
      <c r="W2269" s="315" t="str">
        <f>IFERROR(__xludf.DUMMYFUNCTION("if(V2269="""",C2269,if(not(iserror(index(split(C2269, "" ""),3))), index(split(C2269, "" ""),3),index(split(C2269, "" ""),2)))"),"")</f>
        <v/>
      </c>
      <c r="X2269" s="38" t="b">
        <f t="shared" si="2"/>
        <v>0</v>
      </c>
      <c r="Y2269" s="38"/>
      <c r="Z2269" s="40"/>
      <c r="AA2269" s="40"/>
      <c r="AB2269" s="38"/>
      <c r="AC2269" s="38"/>
      <c r="AD2269" s="38"/>
      <c r="AE2269" s="38"/>
      <c r="AF2269" s="38"/>
      <c r="AG2269" s="38"/>
      <c r="AH2269" s="38"/>
      <c r="AI2269" s="38"/>
      <c r="AJ2269" s="38"/>
      <c r="AK2269" s="38"/>
      <c r="AL2269" s="38"/>
      <c r="AM2269" s="38"/>
      <c r="AN2269" s="38"/>
      <c r="AO2269" s="38"/>
      <c r="AP2269" s="38"/>
      <c r="AQ2269" s="38"/>
      <c r="AR2269" s="38"/>
      <c r="AS2269" s="38"/>
      <c r="AT2269" s="38"/>
      <c r="AU2269" s="38"/>
      <c r="AV2269" s="38"/>
      <c r="AW2269" s="38"/>
      <c r="AX2269" s="38"/>
      <c r="AY2269" s="38"/>
      <c r="AZ2269" s="38"/>
      <c r="BA2269" s="38"/>
      <c r="BB2269" s="38"/>
      <c r="BC2269" s="38"/>
      <c r="BD2269" s="38"/>
      <c r="BE2269" s="38"/>
      <c r="BF2269" s="38"/>
      <c r="BG2269" s="38"/>
    </row>
    <row r="2270">
      <c r="A2270" s="16"/>
      <c r="B2270" s="16"/>
      <c r="C2270" s="146"/>
      <c r="D2270" s="146"/>
      <c r="E2270" s="16"/>
      <c r="F2270" s="91"/>
      <c r="G2270" s="16"/>
      <c r="H2270" s="320" t="str">
        <f t="shared" si="1"/>
        <v/>
      </c>
      <c r="I2270" s="16"/>
      <c r="J2270" s="16"/>
      <c r="K2270" s="16"/>
      <c r="L2270" s="38"/>
      <c r="M2270" s="16"/>
      <c r="N2270" s="16"/>
      <c r="O2270" s="16"/>
      <c r="P2270" s="15"/>
      <c r="Q2270" s="15"/>
      <c r="R2270" s="16"/>
      <c r="S2270" s="16"/>
      <c r="T2270" s="16"/>
      <c r="U2270" s="16"/>
      <c r="V2270" s="37" t="str">
        <f>IFERROR(__xludf.DUMMYFUNCTION("if(not(iserror(index(split(C2270, "" ""),2))), index(split(C2270, "" ""),1),"""")"),"")</f>
        <v/>
      </c>
      <c r="W2270" s="315" t="str">
        <f>IFERROR(__xludf.DUMMYFUNCTION("if(V2270="""",C2270,if(not(iserror(index(split(C2270, "" ""),3))), index(split(C2270, "" ""),3),index(split(C2270, "" ""),2)))"),"")</f>
        <v/>
      </c>
      <c r="X2270" s="38" t="b">
        <f t="shared" si="2"/>
        <v>0</v>
      </c>
      <c r="Y2270" s="38"/>
      <c r="Z2270" s="40"/>
      <c r="AA2270" s="40"/>
      <c r="AB2270" s="38"/>
      <c r="AC2270" s="38"/>
      <c r="AD2270" s="38"/>
      <c r="AE2270" s="38"/>
      <c r="AF2270" s="38"/>
      <c r="AG2270" s="38"/>
      <c r="AH2270" s="38"/>
      <c r="AI2270" s="38"/>
      <c r="AJ2270" s="38"/>
      <c r="AK2270" s="38"/>
      <c r="AL2270" s="38"/>
      <c r="AM2270" s="38"/>
      <c r="AN2270" s="38"/>
      <c r="AO2270" s="38"/>
      <c r="AP2270" s="38"/>
      <c r="AQ2270" s="38"/>
      <c r="AR2270" s="38"/>
      <c r="AS2270" s="38"/>
      <c r="AT2270" s="38"/>
      <c r="AU2270" s="38"/>
      <c r="AV2270" s="38"/>
      <c r="AW2270" s="38"/>
      <c r="AX2270" s="38"/>
      <c r="AY2270" s="38"/>
      <c r="AZ2270" s="38"/>
      <c r="BA2270" s="38"/>
      <c r="BB2270" s="38"/>
      <c r="BC2270" s="38"/>
      <c r="BD2270" s="38"/>
      <c r="BE2270" s="38"/>
      <c r="BF2270" s="38"/>
      <c r="BG2270" s="38"/>
    </row>
    <row r="2271">
      <c r="A2271" s="16"/>
      <c r="B2271" s="16"/>
      <c r="C2271" s="146"/>
      <c r="D2271" s="146"/>
      <c r="E2271" s="16"/>
      <c r="F2271" s="91"/>
      <c r="G2271" s="16"/>
      <c r="H2271" s="320" t="str">
        <f t="shared" si="1"/>
        <v/>
      </c>
      <c r="I2271" s="16"/>
      <c r="J2271" s="16"/>
      <c r="K2271" s="16"/>
      <c r="L2271" s="38"/>
      <c r="M2271" s="16"/>
      <c r="N2271" s="16"/>
      <c r="O2271" s="16"/>
      <c r="P2271" s="15"/>
      <c r="Q2271" s="15"/>
      <c r="R2271" s="16"/>
      <c r="S2271" s="16"/>
      <c r="T2271" s="16"/>
      <c r="U2271" s="16"/>
      <c r="V2271" s="37" t="str">
        <f>IFERROR(__xludf.DUMMYFUNCTION("if(not(iserror(index(split(C2271, "" ""),2))), index(split(C2271, "" ""),1),"""")"),"")</f>
        <v/>
      </c>
      <c r="W2271" s="315" t="str">
        <f>IFERROR(__xludf.DUMMYFUNCTION("if(V2271="""",C2271,if(not(iserror(index(split(C2271, "" ""),3))), index(split(C2271, "" ""),3),index(split(C2271, "" ""),2)))"),"")</f>
        <v/>
      </c>
      <c r="X2271" s="38" t="b">
        <f t="shared" si="2"/>
        <v>0</v>
      </c>
      <c r="Y2271" s="38"/>
      <c r="Z2271" s="40"/>
      <c r="AA2271" s="40"/>
      <c r="AB2271" s="38"/>
      <c r="AC2271" s="38"/>
      <c r="AD2271" s="38"/>
      <c r="AE2271" s="38"/>
      <c r="AF2271" s="38"/>
      <c r="AG2271" s="38"/>
      <c r="AH2271" s="38"/>
      <c r="AI2271" s="38"/>
      <c r="AJ2271" s="38"/>
      <c r="AK2271" s="38"/>
      <c r="AL2271" s="38"/>
      <c r="AM2271" s="38"/>
      <c r="AN2271" s="38"/>
      <c r="AO2271" s="38"/>
      <c r="AP2271" s="38"/>
      <c r="AQ2271" s="38"/>
      <c r="AR2271" s="38"/>
      <c r="AS2271" s="38"/>
      <c r="AT2271" s="38"/>
      <c r="AU2271" s="38"/>
      <c r="AV2271" s="38"/>
      <c r="AW2271" s="38"/>
      <c r="AX2271" s="38"/>
      <c r="AY2271" s="38"/>
      <c r="AZ2271" s="38"/>
      <c r="BA2271" s="38"/>
      <c r="BB2271" s="38"/>
      <c r="BC2271" s="38"/>
      <c r="BD2271" s="38"/>
      <c r="BE2271" s="38"/>
      <c r="BF2271" s="38"/>
      <c r="BG2271" s="38"/>
    </row>
    <row r="2272">
      <c r="A2272" s="16"/>
      <c r="B2272" s="16"/>
      <c r="C2272" s="146"/>
      <c r="D2272" s="146"/>
      <c r="E2272" s="16"/>
      <c r="F2272" s="91"/>
      <c r="G2272" s="16"/>
      <c r="H2272" s="320" t="str">
        <f t="shared" si="1"/>
        <v/>
      </c>
      <c r="I2272" s="16"/>
      <c r="J2272" s="16"/>
      <c r="K2272" s="16"/>
      <c r="L2272" s="38"/>
      <c r="M2272" s="16"/>
      <c r="N2272" s="16"/>
      <c r="O2272" s="16"/>
      <c r="P2272" s="15"/>
      <c r="Q2272" s="15"/>
      <c r="R2272" s="16"/>
      <c r="S2272" s="16"/>
      <c r="T2272" s="16"/>
      <c r="U2272" s="16"/>
      <c r="V2272" s="37" t="str">
        <f>IFERROR(__xludf.DUMMYFUNCTION("if(not(iserror(index(split(C2272, "" ""),2))), index(split(C2272, "" ""),1),"""")"),"")</f>
        <v/>
      </c>
      <c r="W2272" s="315" t="str">
        <f>IFERROR(__xludf.DUMMYFUNCTION("if(V2272="""",C2272,if(not(iserror(index(split(C2272, "" ""),3))), index(split(C2272, "" ""),3),index(split(C2272, "" ""),2)))"),"")</f>
        <v/>
      </c>
      <c r="X2272" s="38" t="b">
        <f t="shared" si="2"/>
        <v>0</v>
      </c>
      <c r="Y2272" s="38"/>
      <c r="Z2272" s="40"/>
      <c r="AA2272" s="40"/>
      <c r="AB2272" s="38"/>
      <c r="AC2272" s="38"/>
      <c r="AD2272" s="38"/>
      <c r="AE2272" s="38"/>
      <c r="AF2272" s="38"/>
      <c r="AG2272" s="38"/>
      <c r="AH2272" s="38"/>
      <c r="AI2272" s="38"/>
      <c r="AJ2272" s="38"/>
      <c r="AK2272" s="38"/>
      <c r="AL2272" s="38"/>
      <c r="AM2272" s="38"/>
      <c r="AN2272" s="38"/>
      <c r="AO2272" s="38"/>
      <c r="AP2272" s="38"/>
      <c r="AQ2272" s="38"/>
      <c r="AR2272" s="38"/>
      <c r="AS2272" s="38"/>
      <c r="AT2272" s="38"/>
      <c r="AU2272" s="38"/>
      <c r="AV2272" s="38"/>
      <c r="AW2272" s="38"/>
      <c r="AX2272" s="38"/>
      <c r="AY2272" s="38"/>
      <c r="AZ2272" s="38"/>
      <c r="BA2272" s="38"/>
      <c r="BB2272" s="38"/>
      <c r="BC2272" s="38"/>
      <c r="BD2272" s="38"/>
      <c r="BE2272" s="38"/>
      <c r="BF2272" s="38"/>
      <c r="BG2272" s="38"/>
    </row>
    <row r="2273">
      <c r="A2273" s="16"/>
      <c r="B2273" s="16"/>
      <c r="C2273" s="146"/>
      <c r="D2273" s="146"/>
      <c r="E2273" s="16"/>
      <c r="F2273" s="91"/>
      <c r="G2273" s="16"/>
      <c r="H2273" s="320" t="str">
        <f t="shared" si="1"/>
        <v/>
      </c>
      <c r="I2273" s="16"/>
      <c r="J2273" s="16"/>
      <c r="K2273" s="16"/>
      <c r="L2273" s="38"/>
      <c r="M2273" s="16"/>
      <c r="N2273" s="16"/>
      <c r="O2273" s="16"/>
      <c r="P2273" s="15"/>
      <c r="Q2273" s="15"/>
      <c r="R2273" s="16"/>
      <c r="S2273" s="16"/>
      <c r="T2273" s="16"/>
      <c r="U2273" s="16"/>
      <c r="V2273" s="37" t="str">
        <f>IFERROR(__xludf.DUMMYFUNCTION("if(not(iserror(index(split(C2273, "" ""),2))), index(split(C2273, "" ""),1),"""")"),"")</f>
        <v/>
      </c>
      <c r="W2273" s="315" t="str">
        <f>IFERROR(__xludf.DUMMYFUNCTION("if(V2273="""",C2273,if(not(iserror(index(split(C2273, "" ""),3))), index(split(C2273, "" ""),3),index(split(C2273, "" ""),2)))"),"")</f>
        <v/>
      </c>
      <c r="X2273" s="38" t="b">
        <f t="shared" si="2"/>
        <v>0</v>
      </c>
      <c r="Y2273" s="38"/>
      <c r="Z2273" s="40"/>
      <c r="AA2273" s="40"/>
      <c r="AB2273" s="38"/>
      <c r="AC2273" s="38"/>
      <c r="AD2273" s="38"/>
      <c r="AE2273" s="38"/>
      <c r="AF2273" s="38"/>
      <c r="AG2273" s="38"/>
      <c r="AH2273" s="38"/>
      <c r="AI2273" s="38"/>
      <c r="AJ2273" s="38"/>
      <c r="AK2273" s="38"/>
      <c r="AL2273" s="38"/>
      <c r="AM2273" s="38"/>
      <c r="AN2273" s="38"/>
      <c r="AO2273" s="38"/>
      <c r="AP2273" s="38"/>
      <c r="AQ2273" s="38"/>
      <c r="AR2273" s="38"/>
      <c r="AS2273" s="38"/>
      <c r="AT2273" s="38"/>
      <c r="AU2273" s="38"/>
      <c r="AV2273" s="38"/>
      <c r="AW2273" s="38"/>
      <c r="AX2273" s="38"/>
      <c r="AY2273" s="38"/>
      <c r="AZ2273" s="38"/>
      <c r="BA2273" s="38"/>
      <c r="BB2273" s="38"/>
      <c r="BC2273" s="38"/>
      <c r="BD2273" s="38"/>
      <c r="BE2273" s="38"/>
      <c r="BF2273" s="38"/>
      <c r="BG2273" s="38"/>
    </row>
    <row r="2274">
      <c r="A2274" s="16"/>
      <c r="B2274" s="16"/>
      <c r="C2274" s="146"/>
      <c r="D2274" s="146"/>
      <c r="E2274" s="16"/>
      <c r="F2274" s="91"/>
      <c r="G2274" s="16"/>
      <c r="H2274" s="320" t="str">
        <f t="shared" si="1"/>
        <v/>
      </c>
      <c r="I2274" s="16"/>
      <c r="J2274" s="16"/>
      <c r="K2274" s="16"/>
      <c r="L2274" s="38"/>
      <c r="M2274" s="16"/>
      <c r="N2274" s="16"/>
      <c r="O2274" s="16"/>
      <c r="P2274" s="15"/>
      <c r="Q2274" s="15"/>
      <c r="R2274" s="16"/>
      <c r="S2274" s="16"/>
      <c r="T2274" s="16"/>
      <c r="U2274" s="16"/>
      <c r="V2274" s="37" t="str">
        <f>IFERROR(__xludf.DUMMYFUNCTION("if(not(iserror(index(split(C2274, "" ""),2))), index(split(C2274, "" ""),1),"""")"),"")</f>
        <v/>
      </c>
      <c r="W2274" s="315" t="str">
        <f>IFERROR(__xludf.DUMMYFUNCTION("if(V2274="""",C2274,if(not(iserror(index(split(C2274, "" ""),3))), index(split(C2274, "" ""),3),index(split(C2274, "" ""),2)))"),"")</f>
        <v/>
      </c>
      <c r="X2274" s="38" t="b">
        <f t="shared" si="2"/>
        <v>0</v>
      </c>
      <c r="Y2274" s="38"/>
      <c r="Z2274" s="40"/>
      <c r="AA2274" s="40"/>
      <c r="AB2274" s="38"/>
      <c r="AC2274" s="38"/>
      <c r="AD2274" s="38"/>
      <c r="AE2274" s="38"/>
      <c r="AF2274" s="38"/>
      <c r="AG2274" s="38"/>
      <c r="AH2274" s="38"/>
      <c r="AI2274" s="38"/>
      <c r="AJ2274" s="38"/>
      <c r="AK2274" s="38"/>
      <c r="AL2274" s="38"/>
      <c r="AM2274" s="38"/>
      <c r="AN2274" s="38"/>
      <c r="AO2274" s="38"/>
      <c r="AP2274" s="38"/>
      <c r="AQ2274" s="38"/>
      <c r="AR2274" s="38"/>
      <c r="AS2274" s="38"/>
      <c r="AT2274" s="38"/>
      <c r="AU2274" s="38"/>
      <c r="AV2274" s="38"/>
      <c r="AW2274" s="38"/>
      <c r="AX2274" s="38"/>
      <c r="AY2274" s="38"/>
      <c r="AZ2274" s="38"/>
      <c r="BA2274" s="38"/>
      <c r="BB2274" s="38"/>
      <c r="BC2274" s="38"/>
      <c r="BD2274" s="38"/>
      <c r="BE2274" s="38"/>
      <c r="BF2274" s="38"/>
      <c r="BG2274" s="38"/>
    </row>
    <row r="2275">
      <c r="A2275" s="16"/>
      <c r="B2275" s="16"/>
      <c r="C2275" s="146"/>
      <c r="D2275" s="146"/>
      <c r="E2275" s="16"/>
      <c r="F2275" s="91"/>
      <c r="G2275" s="16"/>
      <c r="H2275" s="320" t="str">
        <f t="shared" si="1"/>
        <v/>
      </c>
      <c r="I2275" s="16"/>
      <c r="J2275" s="16"/>
      <c r="K2275" s="16"/>
      <c r="L2275" s="38"/>
      <c r="M2275" s="16"/>
      <c r="N2275" s="16"/>
      <c r="O2275" s="16"/>
      <c r="P2275" s="15"/>
      <c r="Q2275" s="15"/>
      <c r="R2275" s="16"/>
      <c r="S2275" s="16"/>
      <c r="T2275" s="16"/>
      <c r="U2275" s="16"/>
      <c r="V2275" s="37" t="str">
        <f>IFERROR(__xludf.DUMMYFUNCTION("if(not(iserror(index(split(C2275, "" ""),2))), index(split(C2275, "" ""),1),"""")"),"")</f>
        <v/>
      </c>
      <c r="W2275" s="315" t="str">
        <f>IFERROR(__xludf.DUMMYFUNCTION("if(V2275="""",C2275,if(not(iserror(index(split(C2275, "" ""),3))), index(split(C2275, "" ""),3),index(split(C2275, "" ""),2)))"),"")</f>
        <v/>
      </c>
      <c r="X2275" s="38" t="b">
        <f t="shared" si="2"/>
        <v>0</v>
      </c>
      <c r="Y2275" s="38"/>
      <c r="Z2275" s="40"/>
      <c r="AA2275" s="40"/>
      <c r="AB2275" s="38"/>
      <c r="AC2275" s="38"/>
      <c r="AD2275" s="38"/>
      <c r="AE2275" s="38"/>
      <c r="AF2275" s="38"/>
      <c r="AG2275" s="38"/>
      <c r="AH2275" s="38"/>
      <c r="AI2275" s="38"/>
      <c r="AJ2275" s="38"/>
      <c r="AK2275" s="38"/>
      <c r="AL2275" s="38"/>
      <c r="AM2275" s="38"/>
      <c r="AN2275" s="38"/>
      <c r="AO2275" s="38"/>
      <c r="AP2275" s="38"/>
      <c r="AQ2275" s="38"/>
      <c r="AR2275" s="38"/>
      <c r="AS2275" s="38"/>
      <c r="AT2275" s="38"/>
      <c r="AU2275" s="38"/>
      <c r="AV2275" s="38"/>
      <c r="AW2275" s="38"/>
      <c r="AX2275" s="38"/>
      <c r="AY2275" s="38"/>
      <c r="AZ2275" s="38"/>
      <c r="BA2275" s="38"/>
      <c r="BB2275" s="38"/>
      <c r="BC2275" s="38"/>
      <c r="BD2275" s="38"/>
      <c r="BE2275" s="38"/>
      <c r="BF2275" s="38"/>
      <c r="BG2275" s="38"/>
    </row>
    <row r="2276">
      <c r="A2276" s="16"/>
      <c r="B2276" s="16"/>
      <c r="C2276" s="146"/>
      <c r="D2276" s="146"/>
      <c r="E2276" s="16"/>
      <c r="F2276" s="91"/>
      <c r="G2276" s="16"/>
      <c r="H2276" s="320" t="str">
        <f t="shared" si="1"/>
        <v/>
      </c>
      <c r="I2276" s="16"/>
      <c r="J2276" s="16"/>
      <c r="K2276" s="16"/>
      <c r="L2276" s="38"/>
      <c r="M2276" s="16"/>
      <c r="N2276" s="16"/>
      <c r="O2276" s="16"/>
      <c r="P2276" s="15"/>
      <c r="Q2276" s="15"/>
      <c r="R2276" s="16"/>
      <c r="S2276" s="16"/>
      <c r="T2276" s="16"/>
      <c r="U2276" s="16"/>
      <c r="V2276" s="37" t="str">
        <f>IFERROR(__xludf.DUMMYFUNCTION("if(not(iserror(index(split(C2276, "" ""),2))), index(split(C2276, "" ""),1),"""")"),"")</f>
        <v/>
      </c>
      <c r="W2276" s="315" t="str">
        <f>IFERROR(__xludf.DUMMYFUNCTION("if(V2276="""",C2276,if(not(iserror(index(split(C2276, "" ""),3))), index(split(C2276, "" ""),3),index(split(C2276, "" ""),2)))"),"")</f>
        <v/>
      </c>
      <c r="X2276" s="38" t="b">
        <f t="shared" si="2"/>
        <v>0</v>
      </c>
      <c r="Y2276" s="38"/>
      <c r="Z2276" s="40"/>
      <c r="AA2276" s="40"/>
      <c r="AB2276" s="38"/>
      <c r="AC2276" s="38"/>
      <c r="AD2276" s="38"/>
      <c r="AE2276" s="38"/>
      <c r="AF2276" s="38"/>
      <c r="AG2276" s="38"/>
      <c r="AH2276" s="38"/>
      <c r="AI2276" s="38"/>
      <c r="AJ2276" s="38"/>
      <c r="AK2276" s="38"/>
      <c r="AL2276" s="38"/>
      <c r="AM2276" s="38"/>
      <c r="AN2276" s="38"/>
      <c r="AO2276" s="38"/>
      <c r="AP2276" s="38"/>
      <c r="AQ2276" s="38"/>
      <c r="AR2276" s="38"/>
      <c r="AS2276" s="38"/>
      <c r="AT2276" s="38"/>
      <c r="AU2276" s="38"/>
      <c r="AV2276" s="38"/>
      <c r="AW2276" s="38"/>
      <c r="AX2276" s="38"/>
      <c r="AY2276" s="38"/>
      <c r="AZ2276" s="38"/>
      <c r="BA2276" s="38"/>
      <c r="BB2276" s="38"/>
      <c r="BC2276" s="38"/>
      <c r="BD2276" s="38"/>
      <c r="BE2276" s="38"/>
      <c r="BF2276" s="38"/>
      <c r="BG2276" s="38"/>
    </row>
    <row r="2277">
      <c r="A2277" s="16"/>
      <c r="B2277" s="16"/>
      <c r="C2277" s="146"/>
      <c r="D2277" s="146"/>
      <c r="E2277" s="16"/>
      <c r="F2277" s="91"/>
      <c r="G2277" s="16"/>
      <c r="H2277" s="320" t="str">
        <f t="shared" si="1"/>
        <v/>
      </c>
      <c r="I2277" s="16"/>
      <c r="J2277" s="16"/>
      <c r="K2277" s="16"/>
      <c r="L2277" s="38"/>
      <c r="M2277" s="16"/>
      <c r="N2277" s="16"/>
      <c r="O2277" s="16"/>
      <c r="P2277" s="15"/>
      <c r="Q2277" s="15"/>
      <c r="R2277" s="16"/>
      <c r="S2277" s="16"/>
      <c r="T2277" s="16"/>
      <c r="U2277" s="16"/>
      <c r="V2277" s="37" t="str">
        <f>IFERROR(__xludf.DUMMYFUNCTION("if(not(iserror(index(split(C2277, "" ""),2))), index(split(C2277, "" ""),1),"""")"),"")</f>
        <v/>
      </c>
      <c r="W2277" s="315" t="str">
        <f>IFERROR(__xludf.DUMMYFUNCTION("if(V2277="""",C2277,if(not(iserror(index(split(C2277, "" ""),3))), index(split(C2277, "" ""),3),index(split(C2277, "" ""),2)))"),"")</f>
        <v/>
      </c>
      <c r="X2277" s="38" t="b">
        <f t="shared" si="2"/>
        <v>0</v>
      </c>
      <c r="Y2277" s="38"/>
      <c r="Z2277" s="40"/>
      <c r="AA2277" s="40"/>
      <c r="AB2277" s="38"/>
      <c r="AC2277" s="38"/>
      <c r="AD2277" s="38"/>
      <c r="AE2277" s="38"/>
      <c r="AF2277" s="38"/>
      <c r="AG2277" s="38"/>
      <c r="AH2277" s="38"/>
      <c r="AI2277" s="38"/>
      <c r="AJ2277" s="38"/>
      <c r="AK2277" s="38"/>
      <c r="AL2277" s="38"/>
      <c r="AM2277" s="38"/>
      <c r="AN2277" s="38"/>
      <c r="AO2277" s="38"/>
      <c r="AP2277" s="38"/>
      <c r="AQ2277" s="38"/>
      <c r="AR2277" s="38"/>
      <c r="AS2277" s="38"/>
      <c r="AT2277" s="38"/>
      <c r="AU2277" s="38"/>
      <c r="AV2277" s="38"/>
      <c r="AW2277" s="38"/>
      <c r="AX2277" s="38"/>
      <c r="AY2277" s="38"/>
      <c r="AZ2277" s="38"/>
      <c r="BA2277" s="38"/>
      <c r="BB2277" s="38"/>
      <c r="BC2277" s="38"/>
      <c r="BD2277" s="38"/>
      <c r="BE2277" s="38"/>
      <c r="BF2277" s="38"/>
      <c r="BG2277" s="38"/>
    </row>
    <row r="2278">
      <c r="A2278" s="16"/>
      <c r="B2278" s="16"/>
      <c r="C2278" s="146"/>
      <c r="D2278" s="146"/>
      <c r="E2278" s="16"/>
      <c r="F2278" s="91"/>
      <c r="G2278" s="16"/>
      <c r="H2278" s="320" t="str">
        <f t="shared" si="1"/>
        <v/>
      </c>
      <c r="I2278" s="16"/>
      <c r="J2278" s="16"/>
      <c r="K2278" s="16"/>
      <c r="L2278" s="38"/>
      <c r="M2278" s="16"/>
      <c r="N2278" s="16"/>
      <c r="O2278" s="16"/>
      <c r="P2278" s="15"/>
      <c r="Q2278" s="15"/>
      <c r="R2278" s="16"/>
      <c r="S2278" s="16"/>
      <c r="T2278" s="16"/>
      <c r="U2278" s="16"/>
      <c r="V2278" s="37" t="str">
        <f>IFERROR(__xludf.DUMMYFUNCTION("if(not(iserror(index(split(C2278, "" ""),2))), index(split(C2278, "" ""),1),"""")"),"")</f>
        <v/>
      </c>
      <c r="W2278" s="315" t="str">
        <f>IFERROR(__xludf.DUMMYFUNCTION("if(V2278="""",C2278,if(not(iserror(index(split(C2278, "" ""),3))), index(split(C2278, "" ""),3),index(split(C2278, "" ""),2)))"),"")</f>
        <v/>
      </c>
      <c r="X2278" s="38" t="b">
        <f t="shared" si="2"/>
        <v>0</v>
      </c>
      <c r="Y2278" s="38"/>
      <c r="Z2278" s="40"/>
      <c r="AA2278" s="40"/>
      <c r="AB2278" s="38"/>
      <c r="AC2278" s="38"/>
      <c r="AD2278" s="38"/>
      <c r="AE2278" s="38"/>
      <c r="AF2278" s="38"/>
      <c r="AG2278" s="38"/>
      <c r="AH2278" s="38"/>
      <c r="AI2278" s="38"/>
      <c r="AJ2278" s="38"/>
      <c r="AK2278" s="38"/>
      <c r="AL2278" s="38"/>
      <c r="AM2278" s="38"/>
      <c r="AN2278" s="38"/>
      <c r="AO2278" s="38"/>
      <c r="AP2278" s="38"/>
      <c r="AQ2278" s="38"/>
      <c r="AR2278" s="38"/>
      <c r="AS2278" s="38"/>
      <c r="AT2278" s="38"/>
      <c r="AU2278" s="38"/>
      <c r="AV2278" s="38"/>
      <c r="AW2278" s="38"/>
      <c r="AX2278" s="38"/>
      <c r="AY2278" s="38"/>
      <c r="AZ2278" s="38"/>
      <c r="BA2278" s="38"/>
      <c r="BB2278" s="38"/>
      <c r="BC2278" s="38"/>
      <c r="BD2278" s="38"/>
      <c r="BE2278" s="38"/>
      <c r="BF2278" s="38"/>
      <c r="BG2278" s="38"/>
    </row>
    <row r="2279">
      <c r="A2279" s="16"/>
      <c r="B2279" s="16"/>
      <c r="C2279" s="146"/>
      <c r="D2279" s="146"/>
      <c r="E2279" s="16"/>
      <c r="F2279" s="91"/>
      <c r="G2279" s="16"/>
      <c r="H2279" s="320" t="str">
        <f t="shared" si="1"/>
        <v/>
      </c>
      <c r="I2279" s="16"/>
      <c r="J2279" s="16"/>
      <c r="K2279" s="16"/>
      <c r="L2279" s="38"/>
      <c r="M2279" s="16"/>
      <c r="N2279" s="16"/>
      <c r="O2279" s="16"/>
      <c r="P2279" s="15"/>
      <c r="Q2279" s="15"/>
      <c r="R2279" s="16"/>
      <c r="S2279" s="16"/>
      <c r="T2279" s="16"/>
      <c r="U2279" s="16"/>
      <c r="V2279" s="37" t="str">
        <f>IFERROR(__xludf.DUMMYFUNCTION("if(not(iserror(index(split(C2279, "" ""),2))), index(split(C2279, "" ""),1),"""")"),"")</f>
        <v/>
      </c>
      <c r="W2279" s="315" t="str">
        <f>IFERROR(__xludf.DUMMYFUNCTION("if(V2279="""",C2279,if(not(iserror(index(split(C2279, "" ""),3))), index(split(C2279, "" ""),3),index(split(C2279, "" ""),2)))"),"")</f>
        <v/>
      </c>
      <c r="X2279" s="38" t="b">
        <f t="shared" si="2"/>
        <v>0</v>
      </c>
      <c r="Y2279" s="38"/>
      <c r="Z2279" s="40"/>
      <c r="AA2279" s="40"/>
      <c r="AB2279" s="38"/>
      <c r="AC2279" s="38"/>
      <c r="AD2279" s="38"/>
      <c r="AE2279" s="38"/>
      <c r="AF2279" s="38"/>
      <c r="AG2279" s="38"/>
      <c r="AH2279" s="38"/>
      <c r="AI2279" s="38"/>
      <c r="AJ2279" s="38"/>
      <c r="AK2279" s="38"/>
      <c r="AL2279" s="38"/>
      <c r="AM2279" s="38"/>
      <c r="AN2279" s="38"/>
      <c r="AO2279" s="38"/>
      <c r="AP2279" s="38"/>
      <c r="AQ2279" s="38"/>
      <c r="AR2279" s="38"/>
      <c r="AS2279" s="38"/>
      <c r="AT2279" s="38"/>
      <c r="AU2279" s="38"/>
      <c r="AV2279" s="38"/>
      <c r="AW2279" s="38"/>
      <c r="AX2279" s="38"/>
      <c r="AY2279" s="38"/>
      <c r="AZ2279" s="38"/>
      <c r="BA2279" s="38"/>
      <c r="BB2279" s="38"/>
      <c r="BC2279" s="38"/>
      <c r="BD2279" s="38"/>
      <c r="BE2279" s="38"/>
      <c r="BF2279" s="38"/>
      <c r="BG2279" s="38"/>
    </row>
    <row r="2280">
      <c r="A2280" s="16"/>
      <c r="B2280" s="16"/>
      <c r="C2280" s="146"/>
      <c r="D2280" s="146"/>
      <c r="E2280" s="16"/>
      <c r="F2280" s="91"/>
      <c r="G2280" s="16"/>
      <c r="H2280" s="320" t="str">
        <f t="shared" si="1"/>
        <v/>
      </c>
      <c r="I2280" s="16"/>
      <c r="J2280" s="16"/>
      <c r="K2280" s="16"/>
      <c r="L2280" s="38"/>
      <c r="M2280" s="16"/>
      <c r="N2280" s="16"/>
      <c r="O2280" s="16"/>
      <c r="P2280" s="15"/>
      <c r="Q2280" s="15"/>
      <c r="R2280" s="16"/>
      <c r="S2280" s="16"/>
      <c r="T2280" s="16"/>
      <c r="U2280" s="16"/>
      <c r="V2280" s="37" t="str">
        <f>IFERROR(__xludf.DUMMYFUNCTION("if(not(iserror(index(split(C2280, "" ""),2))), index(split(C2280, "" ""),1),"""")"),"")</f>
        <v/>
      </c>
      <c r="W2280" s="315" t="str">
        <f>IFERROR(__xludf.DUMMYFUNCTION("if(V2280="""",C2280,if(not(iserror(index(split(C2280, "" ""),3))), index(split(C2280, "" ""),3),index(split(C2280, "" ""),2)))"),"")</f>
        <v/>
      </c>
      <c r="X2280" s="38" t="b">
        <f t="shared" si="2"/>
        <v>0</v>
      </c>
      <c r="Y2280" s="38"/>
      <c r="Z2280" s="40"/>
      <c r="AA2280" s="40"/>
      <c r="AB2280" s="38"/>
      <c r="AC2280" s="38"/>
      <c r="AD2280" s="38"/>
      <c r="AE2280" s="38"/>
      <c r="AF2280" s="38"/>
      <c r="AG2280" s="38"/>
      <c r="AH2280" s="38"/>
      <c r="AI2280" s="38"/>
      <c r="AJ2280" s="38"/>
      <c r="AK2280" s="38"/>
      <c r="AL2280" s="38"/>
      <c r="AM2280" s="38"/>
      <c r="AN2280" s="38"/>
      <c r="AO2280" s="38"/>
      <c r="AP2280" s="38"/>
      <c r="AQ2280" s="38"/>
      <c r="AR2280" s="38"/>
      <c r="AS2280" s="38"/>
      <c r="AT2280" s="38"/>
      <c r="AU2280" s="38"/>
      <c r="AV2280" s="38"/>
      <c r="AW2280" s="38"/>
      <c r="AX2280" s="38"/>
      <c r="AY2280" s="38"/>
      <c r="AZ2280" s="38"/>
      <c r="BA2280" s="38"/>
      <c r="BB2280" s="38"/>
      <c r="BC2280" s="38"/>
      <c r="BD2280" s="38"/>
      <c r="BE2280" s="38"/>
      <c r="BF2280" s="38"/>
      <c r="BG2280" s="38"/>
    </row>
    <row r="2281">
      <c r="A2281" s="16"/>
      <c r="B2281" s="16"/>
      <c r="C2281" s="146"/>
      <c r="D2281" s="146"/>
      <c r="E2281" s="16"/>
      <c r="F2281" s="91"/>
      <c r="G2281" s="16"/>
      <c r="H2281" s="320" t="str">
        <f t="shared" si="1"/>
        <v/>
      </c>
      <c r="I2281" s="16"/>
      <c r="J2281" s="16"/>
      <c r="K2281" s="16"/>
      <c r="L2281" s="38"/>
      <c r="M2281" s="16"/>
      <c r="N2281" s="16"/>
      <c r="O2281" s="16"/>
      <c r="P2281" s="15"/>
      <c r="Q2281" s="15"/>
      <c r="R2281" s="16"/>
      <c r="S2281" s="16"/>
      <c r="T2281" s="16"/>
      <c r="U2281" s="16"/>
      <c r="V2281" s="37" t="str">
        <f>IFERROR(__xludf.DUMMYFUNCTION("if(not(iserror(index(split(C2281, "" ""),2))), index(split(C2281, "" ""),1),"""")"),"")</f>
        <v/>
      </c>
      <c r="W2281" s="315" t="str">
        <f>IFERROR(__xludf.DUMMYFUNCTION("if(V2281="""",C2281,if(not(iserror(index(split(C2281, "" ""),3))), index(split(C2281, "" ""),3),index(split(C2281, "" ""),2)))"),"")</f>
        <v/>
      </c>
      <c r="X2281" s="38" t="b">
        <f t="shared" si="2"/>
        <v>0</v>
      </c>
      <c r="Y2281" s="38"/>
      <c r="Z2281" s="40"/>
      <c r="AA2281" s="40"/>
      <c r="AB2281" s="38"/>
      <c r="AC2281" s="38"/>
      <c r="AD2281" s="38"/>
      <c r="AE2281" s="38"/>
      <c r="AF2281" s="38"/>
      <c r="AG2281" s="38"/>
      <c r="AH2281" s="38"/>
      <c r="AI2281" s="38"/>
      <c r="AJ2281" s="38"/>
      <c r="AK2281" s="38"/>
      <c r="AL2281" s="38"/>
      <c r="AM2281" s="38"/>
      <c r="AN2281" s="38"/>
      <c r="AO2281" s="38"/>
      <c r="AP2281" s="38"/>
      <c r="AQ2281" s="38"/>
      <c r="AR2281" s="38"/>
      <c r="AS2281" s="38"/>
      <c r="AT2281" s="38"/>
      <c r="AU2281" s="38"/>
      <c r="AV2281" s="38"/>
      <c r="AW2281" s="38"/>
      <c r="AX2281" s="38"/>
      <c r="AY2281" s="38"/>
      <c r="AZ2281" s="38"/>
      <c r="BA2281" s="38"/>
      <c r="BB2281" s="38"/>
      <c r="BC2281" s="38"/>
      <c r="BD2281" s="38"/>
      <c r="BE2281" s="38"/>
      <c r="BF2281" s="38"/>
      <c r="BG2281" s="38"/>
    </row>
    <row r="2282">
      <c r="A2282" s="16"/>
      <c r="B2282" s="16"/>
      <c r="C2282" s="146"/>
      <c r="D2282" s="146"/>
      <c r="E2282" s="16"/>
      <c r="F2282" s="91"/>
      <c r="G2282" s="16"/>
      <c r="H2282" s="320" t="str">
        <f t="shared" si="1"/>
        <v/>
      </c>
      <c r="I2282" s="16"/>
      <c r="J2282" s="16"/>
      <c r="K2282" s="16"/>
      <c r="L2282" s="38"/>
      <c r="M2282" s="16"/>
      <c r="N2282" s="16"/>
      <c r="O2282" s="16"/>
      <c r="P2282" s="15"/>
      <c r="Q2282" s="15"/>
      <c r="R2282" s="16"/>
      <c r="S2282" s="16"/>
      <c r="T2282" s="16"/>
      <c r="U2282" s="16"/>
      <c r="V2282" s="37" t="str">
        <f>IFERROR(__xludf.DUMMYFUNCTION("if(not(iserror(index(split(C2282, "" ""),2))), index(split(C2282, "" ""),1),"""")"),"")</f>
        <v/>
      </c>
      <c r="W2282" s="315" t="str">
        <f>IFERROR(__xludf.DUMMYFUNCTION("if(V2282="""",C2282,if(not(iserror(index(split(C2282, "" ""),3))), index(split(C2282, "" ""),3),index(split(C2282, "" ""),2)))"),"")</f>
        <v/>
      </c>
      <c r="X2282" s="38" t="b">
        <f t="shared" si="2"/>
        <v>0</v>
      </c>
      <c r="Y2282" s="38"/>
      <c r="Z2282" s="40"/>
      <c r="AA2282" s="40"/>
      <c r="AB2282" s="38"/>
      <c r="AC2282" s="38"/>
      <c r="AD2282" s="38"/>
      <c r="AE2282" s="38"/>
      <c r="AF2282" s="38"/>
      <c r="AG2282" s="38"/>
      <c r="AH2282" s="38"/>
      <c r="AI2282" s="38"/>
      <c r="AJ2282" s="38"/>
      <c r="AK2282" s="38"/>
      <c r="AL2282" s="38"/>
      <c r="AM2282" s="38"/>
      <c r="AN2282" s="38"/>
      <c r="AO2282" s="38"/>
      <c r="AP2282" s="38"/>
      <c r="AQ2282" s="38"/>
      <c r="AR2282" s="38"/>
      <c r="AS2282" s="38"/>
      <c r="AT2282" s="38"/>
      <c r="AU2282" s="38"/>
      <c r="AV2282" s="38"/>
      <c r="AW2282" s="38"/>
      <c r="AX2282" s="38"/>
      <c r="AY2282" s="38"/>
      <c r="AZ2282" s="38"/>
      <c r="BA2282" s="38"/>
      <c r="BB2282" s="38"/>
      <c r="BC2282" s="38"/>
      <c r="BD2282" s="38"/>
      <c r="BE2282" s="38"/>
      <c r="BF2282" s="38"/>
      <c r="BG2282" s="38"/>
    </row>
    <row r="2283">
      <c r="A2283" s="16"/>
      <c r="B2283" s="16"/>
      <c r="C2283" s="146"/>
      <c r="D2283" s="146"/>
      <c r="E2283" s="16"/>
      <c r="F2283" s="91"/>
      <c r="G2283" s="16"/>
      <c r="H2283" s="320" t="str">
        <f t="shared" si="1"/>
        <v/>
      </c>
      <c r="I2283" s="16"/>
      <c r="J2283" s="16"/>
      <c r="K2283" s="16"/>
      <c r="L2283" s="38"/>
      <c r="M2283" s="16"/>
      <c r="N2283" s="16"/>
      <c r="O2283" s="16"/>
      <c r="P2283" s="15"/>
      <c r="Q2283" s="15"/>
      <c r="R2283" s="16"/>
      <c r="S2283" s="16"/>
      <c r="T2283" s="16"/>
      <c r="U2283" s="16"/>
      <c r="V2283" s="37" t="str">
        <f>IFERROR(__xludf.DUMMYFUNCTION("if(not(iserror(index(split(C2283, "" ""),2))), index(split(C2283, "" ""),1),"""")"),"")</f>
        <v/>
      </c>
      <c r="W2283" s="315" t="str">
        <f>IFERROR(__xludf.DUMMYFUNCTION("if(V2283="""",C2283,if(not(iserror(index(split(C2283, "" ""),3))), index(split(C2283, "" ""),3),index(split(C2283, "" ""),2)))"),"")</f>
        <v/>
      </c>
      <c r="X2283" s="38" t="b">
        <f t="shared" si="2"/>
        <v>0</v>
      </c>
      <c r="Y2283" s="38"/>
      <c r="Z2283" s="40"/>
      <c r="AA2283" s="40"/>
      <c r="AB2283" s="38"/>
      <c r="AC2283" s="38"/>
      <c r="AD2283" s="38"/>
      <c r="AE2283" s="38"/>
      <c r="AF2283" s="38"/>
      <c r="AG2283" s="38"/>
      <c r="AH2283" s="38"/>
      <c r="AI2283" s="38"/>
      <c r="AJ2283" s="38"/>
      <c r="AK2283" s="38"/>
      <c r="AL2283" s="38"/>
      <c r="AM2283" s="38"/>
      <c r="AN2283" s="38"/>
      <c r="AO2283" s="38"/>
      <c r="AP2283" s="38"/>
      <c r="AQ2283" s="38"/>
      <c r="AR2283" s="38"/>
      <c r="AS2283" s="38"/>
      <c r="AT2283" s="38"/>
      <c r="AU2283" s="38"/>
      <c r="AV2283" s="38"/>
      <c r="AW2283" s="38"/>
      <c r="AX2283" s="38"/>
      <c r="AY2283" s="38"/>
      <c r="AZ2283" s="38"/>
      <c r="BA2283" s="38"/>
      <c r="BB2283" s="38"/>
      <c r="BC2283" s="38"/>
      <c r="BD2283" s="38"/>
      <c r="BE2283" s="38"/>
      <c r="BF2283" s="38"/>
      <c r="BG2283" s="38"/>
    </row>
    <row r="2284">
      <c r="A2284" s="16"/>
      <c r="B2284" s="16"/>
      <c r="C2284" s="146"/>
      <c r="D2284" s="146"/>
      <c r="E2284" s="16"/>
      <c r="F2284" s="91"/>
      <c r="G2284" s="16"/>
      <c r="H2284" s="320" t="str">
        <f t="shared" si="1"/>
        <v/>
      </c>
      <c r="I2284" s="16"/>
      <c r="J2284" s="16"/>
      <c r="K2284" s="16"/>
      <c r="L2284" s="38"/>
      <c r="M2284" s="16"/>
      <c r="N2284" s="16"/>
      <c r="O2284" s="16"/>
      <c r="P2284" s="15"/>
      <c r="Q2284" s="15"/>
      <c r="R2284" s="16"/>
      <c r="S2284" s="16"/>
      <c r="T2284" s="16"/>
      <c r="U2284" s="16"/>
      <c r="V2284" s="37" t="str">
        <f>IFERROR(__xludf.DUMMYFUNCTION("if(not(iserror(index(split(C2284, "" ""),2))), index(split(C2284, "" ""),1),"""")"),"")</f>
        <v/>
      </c>
      <c r="W2284" s="315" t="str">
        <f>IFERROR(__xludf.DUMMYFUNCTION("if(V2284="""",C2284,if(not(iserror(index(split(C2284, "" ""),3))), index(split(C2284, "" ""),3),index(split(C2284, "" ""),2)))"),"")</f>
        <v/>
      </c>
      <c r="X2284" s="38" t="b">
        <f t="shared" si="2"/>
        <v>0</v>
      </c>
      <c r="Y2284" s="38"/>
      <c r="Z2284" s="40"/>
      <c r="AA2284" s="40"/>
      <c r="AB2284" s="38"/>
      <c r="AC2284" s="38"/>
      <c r="AD2284" s="38"/>
      <c r="AE2284" s="38"/>
      <c r="AF2284" s="38"/>
      <c r="AG2284" s="38"/>
      <c r="AH2284" s="38"/>
      <c r="AI2284" s="38"/>
      <c r="AJ2284" s="38"/>
      <c r="AK2284" s="38"/>
      <c r="AL2284" s="38"/>
      <c r="AM2284" s="38"/>
      <c r="AN2284" s="38"/>
      <c r="AO2284" s="38"/>
      <c r="AP2284" s="38"/>
      <c r="AQ2284" s="38"/>
      <c r="AR2284" s="38"/>
      <c r="AS2284" s="38"/>
      <c r="AT2284" s="38"/>
      <c r="AU2284" s="38"/>
      <c r="AV2284" s="38"/>
      <c r="AW2284" s="38"/>
      <c r="AX2284" s="38"/>
      <c r="AY2284" s="38"/>
      <c r="AZ2284" s="38"/>
      <c r="BA2284" s="38"/>
      <c r="BB2284" s="38"/>
      <c r="BC2284" s="38"/>
      <c r="BD2284" s="38"/>
      <c r="BE2284" s="38"/>
      <c r="BF2284" s="38"/>
      <c r="BG2284" s="38"/>
    </row>
    <row r="2285">
      <c r="A2285" s="16"/>
      <c r="B2285" s="16"/>
      <c r="C2285" s="146"/>
      <c r="D2285" s="146"/>
      <c r="E2285" s="16"/>
      <c r="F2285" s="91"/>
      <c r="G2285" s="16"/>
      <c r="H2285" s="320" t="str">
        <f t="shared" si="1"/>
        <v/>
      </c>
      <c r="I2285" s="16"/>
      <c r="J2285" s="16"/>
      <c r="K2285" s="16"/>
      <c r="L2285" s="38"/>
      <c r="M2285" s="16"/>
      <c r="N2285" s="16"/>
      <c r="O2285" s="16"/>
      <c r="P2285" s="15"/>
      <c r="Q2285" s="15"/>
      <c r="R2285" s="16"/>
      <c r="S2285" s="16"/>
      <c r="T2285" s="16"/>
      <c r="U2285" s="16"/>
      <c r="V2285" s="37" t="str">
        <f>IFERROR(__xludf.DUMMYFUNCTION("if(not(iserror(index(split(C2285, "" ""),2))), index(split(C2285, "" ""),1),"""")"),"")</f>
        <v/>
      </c>
      <c r="W2285" s="315" t="str">
        <f>IFERROR(__xludf.DUMMYFUNCTION("if(V2285="""",C2285,if(not(iserror(index(split(C2285, "" ""),3))), index(split(C2285, "" ""),3),index(split(C2285, "" ""),2)))"),"")</f>
        <v/>
      </c>
      <c r="X2285" s="38" t="b">
        <f t="shared" si="2"/>
        <v>0</v>
      </c>
      <c r="Y2285" s="38"/>
      <c r="Z2285" s="40"/>
      <c r="AA2285" s="40"/>
      <c r="AB2285" s="38"/>
      <c r="AC2285" s="38"/>
      <c r="AD2285" s="38"/>
      <c r="AE2285" s="38"/>
      <c r="AF2285" s="38"/>
      <c r="AG2285" s="38"/>
      <c r="AH2285" s="38"/>
      <c r="AI2285" s="38"/>
      <c r="AJ2285" s="38"/>
      <c r="AK2285" s="38"/>
      <c r="AL2285" s="38"/>
      <c r="AM2285" s="38"/>
      <c r="AN2285" s="38"/>
      <c r="AO2285" s="38"/>
      <c r="AP2285" s="38"/>
      <c r="AQ2285" s="38"/>
      <c r="AR2285" s="38"/>
      <c r="AS2285" s="38"/>
      <c r="AT2285" s="38"/>
      <c r="AU2285" s="38"/>
      <c r="AV2285" s="38"/>
      <c r="AW2285" s="38"/>
      <c r="AX2285" s="38"/>
      <c r="AY2285" s="38"/>
      <c r="AZ2285" s="38"/>
      <c r="BA2285" s="38"/>
      <c r="BB2285" s="38"/>
      <c r="BC2285" s="38"/>
      <c r="BD2285" s="38"/>
      <c r="BE2285" s="38"/>
      <c r="BF2285" s="38"/>
      <c r="BG2285" s="38"/>
    </row>
    <row r="2286">
      <c r="A2286" s="16"/>
      <c r="B2286" s="16"/>
      <c r="C2286" s="146"/>
      <c r="D2286" s="146"/>
      <c r="E2286" s="16"/>
      <c r="F2286" s="91"/>
      <c r="G2286" s="16"/>
      <c r="H2286" s="320" t="str">
        <f t="shared" si="1"/>
        <v/>
      </c>
      <c r="I2286" s="16"/>
      <c r="J2286" s="16"/>
      <c r="K2286" s="16"/>
      <c r="L2286" s="38"/>
      <c r="M2286" s="16"/>
      <c r="N2286" s="16"/>
      <c r="O2286" s="16"/>
      <c r="P2286" s="15"/>
      <c r="Q2286" s="15"/>
      <c r="R2286" s="16"/>
      <c r="S2286" s="16"/>
      <c r="T2286" s="16"/>
      <c r="U2286" s="16"/>
      <c r="V2286" s="37" t="str">
        <f>IFERROR(__xludf.DUMMYFUNCTION("if(not(iserror(index(split(C2286, "" ""),2))), index(split(C2286, "" ""),1),"""")"),"")</f>
        <v/>
      </c>
      <c r="W2286" s="315" t="str">
        <f>IFERROR(__xludf.DUMMYFUNCTION("if(V2286="""",C2286,if(not(iserror(index(split(C2286, "" ""),3))), index(split(C2286, "" ""),3),index(split(C2286, "" ""),2)))"),"")</f>
        <v/>
      </c>
      <c r="X2286" s="38" t="b">
        <f t="shared" si="2"/>
        <v>0</v>
      </c>
      <c r="Y2286" s="38"/>
      <c r="Z2286" s="40"/>
      <c r="AA2286" s="40"/>
      <c r="AB2286" s="38"/>
      <c r="AC2286" s="38"/>
      <c r="AD2286" s="38"/>
      <c r="AE2286" s="38"/>
      <c r="AF2286" s="38"/>
      <c r="AG2286" s="38"/>
      <c r="AH2286" s="38"/>
      <c r="AI2286" s="38"/>
      <c r="AJ2286" s="38"/>
      <c r="AK2286" s="38"/>
      <c r="AL2286" s="38"/>
      <c r="AM2286" s="38"/>
      <c r="AN2286" s="38"/>
      <c r="AO2286" s="38"/>
      <c r="AP2286" s="38"/>
      <c r="AQ2286" s="38"/>
      <c r="AR2286" s="38"/>
      <c r="AS2286" s="38"/>
      <c r="AT2286" s="38"/>
      <c r="AU2286" s="38"/>
      <c r="AV2286" s="38"/>
      <c r="AW2286" s="38"/>
      <c r="AX2286" s="38"/>
      <c r="AY2286" s="38"/>
      <c r="AZ2286" s="38"/>
      <c r="BA2286" s="38"/>
      <c r="BB2286" s="38"/>
      <c r="BC2286" s="38"/>
      <c r="BD2286" s="38"/>
      <c r="BE2286" s="38"/>
      <c r="BF2286" s="38"/>
      <c r="BG2286" s="38"/>
    </row>
    <row r="2287">
      <c r="A2287" s="16"/>
      <c r="B2287" s="16"/>
      <c r="C2287" s="146"/>
      <c r="D2287" s="146"/>
      <c r="E2287" s="16"/>
      <c r="F2287" s="91"/>
      <c r="G2287" s="16"/>
      <c r="H2287" s="320" t="str">
        <f t="shared" si="1"/>
        <v/>
      </c>
      <c r="I2287" s="16"/>
      <c r="J2287" s="16"/>
      <c r="K2287" s="16"/>
      <c r="L2287" s="38"/>
      <c r="M2287" s="16"/>
      <c r="N2287" s="16"/>
      <c r="O2287" s="16"/>
      <c r="P2287" s="15"/>
      <c r="Q2287" s="15"/>
      <c r="R2287" s="16"/>
      <c r="S2287" s="16"/>
      <c r="T2287" s="16"/>
      <c r="U2287" s="16"/>
      <c r="V2287" s="37" t="str">
        <f>IFERROR(__xludf.DUMMYFUNCTION("if(not(iserror(index(split(C2287, "" ""),2))), index(split(C2287, "" ""),1),"""")"),"")</f>
        <v/>
      </c>
      <c r="W2287" s="315" t="str">
        <f>IFERROR(__xludf.DUMMYFUNCTION("if(V2287="""",C2287,if(not(iserror(index(split(C2287, "" ""),3))), index(split(C2287, "" ""),3),index(split(C2287, "" ""),2)))"),"")</f>
        <v/>
      </c>
      <c r="X2287" s="38" t="b">
        <f t="shared" si="2"/>
        <v>0</v>
      </c>
      <c r="Y2287" s="38"/>
      <c r="Z2287" s="40"/>
      <c r="AA2287" s="40"/>
      <c r="AB2287" s="38"/>
      <c r="AC2287" s="38"/>
      <c r="AD2287" s="38"/>
      <c r="AE2287" s="38"/>
      <c r="AF2287" s="38"/>
      <c r="AG2287" s="38"/>
      <c r="AH2287" s="38"/>
      <c r="AI2287" s="38"/>
      <c r="AJ2287" s="38"/>
      <c r="AK2287" s="38"/>
      <c r="AL2287" s="38"/>
      <c r="AM2287" s="38"/>
      <c r="AN2287" s="38"/>
      <c r="AO2287" s="38"/>
      <c r="AP2287" s="38"/>
      <c r="AQ2287" s="38"/>
      <c r="AR2287" s="38"/>
      <c r="AS2287" s="38"/>
      <c r="AT2287" s="38"/>
      <c r="AU2287" s="38"/>
      <c r="AV2287" s="38"/>
      <c r="AW2287" s="38"/>
      <c r="AX2287" s="38"/>
      <c r="AY2287" s="38"/>
      <c r="AZ2287" s="38"/>
      <c r="BA2287" s="38"/>
      <c r="BB2287" s="38"/>
      <c r="BC2287" s="38"/>
      <c r="BD2287" s="38"/>
      <c r="BE2287" s="38"/>
      <c r="BF2287" s="38"/>
      <c r="BG2287" s="38"/>
    </row>
    <row r="2288">
      <c r="A2288" s="16"/>
      <c r="B2288" s="16"/>
      <c r="C2288" s="146"/>
      <c r="D2288" s="146"/>
      <c r="E2288" s="16"/>
      <c r="F2288" s="91"/>
      <c r="G2288" s="16"/>
      <c r="H2288" s="320" t="str">
        <f t="shared" si="1"/>
        <v/>
      </c>
      <c r="I2288" s="16"/>
      <c r="J2288" s="16"/>
      <c r="K2288" s="16"/>
      <c r="L2288" s="38"/>
      <c r="M2288" s="16"/>
      <c r="N2288" s="16"/>
      <c r="O2288" s="16"/>
      <c r="P2288" s="15"/>
      <c r="Q2288" s="15"/>
      <c r="R2288" s="16"/>
      <c r="S2288" s="16"/>
      <c r="T2288" s="16"/>
      <c r="U2288" s="16"/>
      <c r="V2288" s="37" t="str">
        <f>IFERROR(__xludf.DUMMYFUNCTION("if(not(iserror(index(split(C2288, "" ""),2))), index(split(C2288, "" ""),1),"""")"),"")</f>
        <v/>
      </c>
      <c r="W2288" s="315" t="str">
        <f>IFERROR(__xludf.DUMMYFUNCTION("if(V2288="""",C2288,if(not(iserror(index(split(C2288, "" ""),3))), index(split(C2288, "" ""),3),index(split(C2288, "" ""),2)))"),"")</f>
        <v/>
      </c>
      <c r="X2288" s="38" t="b">
        <f t="shared" si="2"/>
        <v>0</v>
      </c>
      <c r="Y2288" s="38"/>
      <c r="Z2288" s="40"/>
      <c r="AA2288" s="40"/>
      <c r="AB2288" s="38"/>
      <c r="AC2288" s="38"/>
      <c r="AD2288" s="38"/>
      <c r="AE2288" s="38"/>
      <c r="AF2288" s="38"/>
      <c r="AG2288" s="38"/>
      <c r="AH2288" s="38"/>
      <c r="AI2288" s="38"/>
      <c r="AJ2288" s="38"/>
      <c r="AK2288" s="38"/>
      <c r="AL2288" s="38"/>
      <c r="AM2288" s="38"/>
      <c r="AN2288" s="38"/>
      <c r="AO2288" s="38"/>
      <c r="AP2288" s="38"/>
      <c r="AQ2288" s="38"/>
      <c r="AR2288" s="38"/>
      <c r="AS2288" s="38"/>
      <c r="AT2288" s="38"/>
      <c r="AU2288" s="38"/>
      <c r="AV2288" s="38"/>
      <c r="AW2288" s="38"/>
      <c r="AX2288" s="38"/>
      <c r="AY2288" s="38"/>
      <c r="AZ2288" s="38"/>
      <c r="BA2288" s="38"/>
      <c r="BB2288" s="38"/>
      <c r="BC2288" s="38"/>
      <c r="BD2288" s="38"/>
      <c r="BE2288" s="38"/>
      <c r="BF2288" s="38"/>
      <c r="BG2288" s="38"/>
    </row>
    <row r="2289">
      <c r="A2289" s="16"/>
      <c r="B2289" s="16"/>
      <c r="C2289" s="146"/>
      <c r="D2289" s="146"/>
      <c r="E2289" s="16"/>
      <c r="F2289" s="91"/>
      <c r="G2289" s="16"/>
      <c r="H2289" s="320" t="str">
        <f t="shared" si="1"/>
        <v/>
      </c>
      <c r="I2289" s="16"/>
      <c r="J2289" s="16"/>
      <c r="K2289" s="16"/>
      <c r="L2289" s="38"/>
      <c r="M2289" s="16"/>
      <c r="N2289" s="16"/>
      <c r="O2289" s="16"/>
      <c r="P2289" s="15"/>
      <c r="Q2289" s="15"/>
      <c r="R2289" s="16"/>
      <c r="S2289" s="16"/>
      <c r="T2289" s="16"/>
      <c r="U2289" s="16"/>
      <c r="V2289" s="37" t="str">
        <f>IFERROR(__xludf.DUMMYFUNCTION("if(not(iserror(index(split(C2289, "" ""),2))), index(split(C2289, "" ""),1),"""")"),"")</f>
        <v/>
      </c>
      <c r="W2289" s="315" t="str">
        <f>IFERROR(__xludf.DUMMYFUNCTION("if(V2289="""",C2289,if(not(iserror(index(split(C2289, "" ""),3))), index(split(C2289, "" ""),3),index(split(C2289, "" ""),2)))"),"")</f>
        <v/>
      </c>
      <c r="X2289" s="38" t="b">
        <f t="shared" si="2"/>
        <v>0</v>
      </c>
      <c r="Y2289" s="38"/>
      <c r="Z2289" s="40"/>
      <c r="AA2289" s="40"/>
      <c r="AB2289" s="38"/>
      <c r="AC2289" s="38"/>
      <c r="AD2289" s="38"/>
      <c r="AE2289" s="38"/>
      <c r="AF2289" s="38"/>
      <c r="AG2289" s="38"/>
      <c r="AH2289" s="38"/>
      <c r="AI2289" s="38"/>
      <c r="AJ2289" s="38"/>
      <c r="AK2289" s="38"/>
      <c r="AL2289" s="38"/>
      <c r="AM2289" s="38"/>
      <c r="AN2289" s="38"/>
      <c r="AO2289" s="38"/>
      <c r="AP2289" s="38"/>
      <c r="AQ2289" s="38"/>
      <c r="AR2289" s="38"/>
      <c r="AS2289" s="38"/>
      <c r="AT2289" s="38"/>
      <c r="AU2289" s="38"/>
      <c r="AV2289" s="38"/>
      <c r="AW2289" s="38"/>
      <c r="AX2289" s="38"/>
      <c r="AY2289" s="38"/>
      <c r="AZ2289" s="38"/>
      <c r="BA2289" s="38"/>
      <c r="BB2289" s="38"/>
      <c r="BC2289" s="38"/>
      <c r="BD2289" s="38"/>
      <c r="BE2289" s="38"/>
      <c r="BF2289" s="38"/>
      <c r="BG2289" s="38"/>
    </row>
    <row r="2290">
      <c r="A2290" s="16"/>
      <c r="B2290" s="16"/>
      <c r="C2290" s="146"/>
      <c r="D2290" s="146"/>
      <c r="E2290" s="16"/>
      <c r="F2290" s="91"/>
      <c r="G2290" s="16"/>
      <c r="H2290" s="320" t="str">
        <f t="shared" si="1"/>
        <v/>
      </c>
      <c r="I2290" s="16"/>
      <c r="J2290" s="16"/>
      <c r="K2290" s="16"/>
      <c r="L2290" s="38"/>
      <c r="M2290" s="16"/>
      <c r="N2290" s="16"/>
      <c r="O2290" s="16"/>
      <c r="P2290" s="15"/>
      <c r="Q2290" s="15"/>
      <c r="R2290" s="16"/>
      <c r="S2290" s="16"/>
      <c r="T2290" s="16"/>
      <c r="U2290" s="16"/>
      <c r="V2290" s="37" t="str">
        <f>IFERROR(__xludf.DUMMYFUNCTION("if(not(iserror(index(split(C2290, "" ""),2))), index(split(C2290, "" ""),1),"""")"),"")</f>
        <v/>
      </c>
      <c r="W2290" s="315" t="str">
        <f>IFERROR(__xludf.DUMMYFUNCTION("if(V2290="""",C2290,if(not(iserror(index(split(C2290, "" ""),3))), index(split(C2290, "" ""),3),index(split(C2290, "" ""),2)))"),"")</f>
        <v/>
      </c>
      <c r="X2290" s="38" t="b">
        <f t="shared" si="2"/>
        <v>0</v>
      </c>
      <c r="Y2290" s="38"/>
      <c r="Z2290" s="40"/>
      <c r="AA2290" s="40"/>
      <c r="AB2290" s="38"/>
      <c r="AC2290" s="38"/>
      <c r="AD2290" s="38"/>
      <c r="AE2290" s="38"/>
      <c r="AF2290" s="38"/>
      <c r="AG2290" s="38"/>
      <c r="AH2290" s="38"/>
      <c r="AI2290" s="38"/>
      <c r="AJ2290" s="38"/>
      <c r="AK2290" s="38"/>
      <c r="AL2290" s="38"/>
      <c r="AM2290" s="38"/>
      <c r="AN2290" s="38"/>
      <c r="AO2290" s="38"/>
      <c r="AP2290" s="38"/>
      <c r="AQ2290" s="38"/>
      <c r="AR2290" s="38"/>
      <c r="AS2290" s="38"/>
      <c r="AT2290" s="38"/>
      <c r="AU2290" s="38"/>
      <c r="AV2290" s="38"/>
      <c r="AW2290" s="38"/>
      <c r="AX2290" s="38"/>
      <c r="AY2290" s="38"/>
      <c r="AZ2290" s="38"/>
      <c r="BA2290" s="38"/>
      <c r="BB2290" s="38"/>
      <c r="BC2290" s="38"/>
      <c r="BD2290" s="38"/>
      <c r="BE2290" s="38"/>
      <c r="BF2290" s="38"/>
      <c r="BG2290" s="38"/>
    </row>
    <row r="2291">
      <c r="A2291" s="16"/>
      <c r="B2291" s="16"/>
      <c r="C2291" s="146"/>
      <c r="D2291" s="146"/>
      <c r="E2291" s="16"/>
      <c r="F2291" s="91"/>
      <c r="G2291" s="16"/>
      <c r="H2291" s="320" t="str">
        <f t="shared" si="1"/>
        <v/>
      </c>
      <c r="I2291" s="16"/>
      <c r="J2291" s="16"/>
      <c r="K2291" s="16"/>
      <c r="L2291" s="38"/>
      <c r="M2291" s="16"/>
      <c r="N2291" s="16"/>
      <c r="O2291" s="16"/>
      <c r="P2291" s="15"/>
      <c r="Q2291" s="15"/>
      <c r="R2291" s="16"/>
      <c r="S2291" s="16"/>
      <c r="T2291" s="16"/>
      <c r="U2291" s="16"/>
      <c r="V2291" s="37" t="str">
        <f>IFERROR(__xludf.DUMMYFUNCTION("if(not(iserror(index(split(C2291, "" ""),2))), index(split(C2291, "" ""),1),"""")"),"")</f>
        <v/>
      </c>
      <c r="W2291" s="315" t="str">
        <f>IFERROR(__xludf.DUMMYFUNCTION("if(V2291="""",C2291,if(not(iserror(index(split(C2291, "" ""),3))), index(split(C2291, "" ""),3),index(split(C2291, "" ""),2)))"),"")</f>
        <v/>
      </c>
      <c r="X2291" s="38" t="b">
        <f t="shared" si="2"/>
        <v>0</v>
      </c>
      <c r="Y2291" s="38"/>
      <c r="Z2291" s="40"/>
      <c r="AA2291" s="40"/>
      <c r="AB2291" s="38"/>
      <c r="AC2291" s="38"/>
      <c r="AD2291" s="38"/>
      <c r="AE2291" s="38"/>
      <c r="AF2291" s="38"/>
      <c r="AG2291" s="38"/>
      <c r="AH2291" s="38"/>
      <c r="AI2291" s="38"/>
      <c r="AJ2291" s="38"/>
      <c r="AK2291" s="38"/>
      <c r="AL2291" s="38"/>
      <c r="AM2291" s="38"/>
      <c r="AN2291" s="38"/>
      <c r="AO2291" s="38"/>
      <c r="AP2291" s="38"/>
      <c r="AQ2291" s="38"/>
      <c r="AR2291" s="38"/>
      <c r="AS2291" s="38"/>
      <c r="AT2291" s="38"/>
      <c r="AU2291" s="38"/>
      <c r="AV2291" s="38"/>
      <c r="AW2291" s="38"/>
      <c r="AX2291" s="38"/>
      <c r="AY2291" s="38"/>
      <c r="AZ2291" s="38"/>
      <c r="BA2291" s="38"/>
      <c r="BB2291" s="38"/>
      <c r="BC2291" s="38"/>
      <c r="BD2291" s="38"/>
      <c r="BE2291" s="38"/>
      <c r="BF2291" s="38"/>
      <c r="BG2291" s="38"/>
    </row>
    <row r="2292">
      <c r="A2292" s="16"/>
      <c r="B2292" s="16"/>
      <c r="C2292" s="146"/>
      <c r="D2292" s="146"/>
      <c r="E2292" s="16"/>
      <c r="F2292" s="91"/>
      <c r="G2292" s="16"/>
      <c r="H2292" s="320" t="str">
        <f t="shared" si="1"/>
        <v/>
      </c>
      <c r="I2292" s="16"/>
      <c r="J2292" s="16"/>
      <c r="K2292" s="16"/>
      <c r="L2292" s="38"/>
      <c r="M2292" s="16"/>
      <c r="N2292" s="16"/>
      <c r="O2292" s="16"/>
      <c r="P2292" s="15"/>
      <c r="Q2292" s="15"/>
      <c r="R2292" s="16"/>
      <c r="S2292" s="16"/>
      <c r="T2292" s="16"/>
      <c r="U2292" s="16"/>
      <c r="V2292" s="37" t="str">
        <f>IFERROR(__xludf.DUMMYFUNCTION("if(not(iserror(index(split(C2292, "" ""),2))), index(split(C2292, "" ""),1),"""")"),"")</f>
        <v/>
      </c>
      <c r="W2292" s="315" t="str">
        <f>IFERROR(__xludf.DUMMYFUNCTION("if(V2292="""",C2292,if(not(iserror(index(split(C2292, "" ""),3))), index(split(C2292, "" ""),3),index(split(C2292, "" ""),2)))"),"")</f>
        <v/>
      </c>
      <c r="X2292" s="38" t="b">
        <f t="shared" si="2"/>
        <v>0</v>
      </c>
      <c r="Y2292" s="38"/>
      <c r="Z2292" s="40"/>
      <c r="AA2292" s="40"/>
      <c r="AB2292" s="38"/>
      <c r="AC2292" s="38"/>
      <c r="AD2292" s="38"/>
      <c r="AE2292" s="38"/>
      <c r="AF2292" s="38"/>
      <c r="AG2292" s="38"/>
      <c r="AH2292" s="38"/>
      <c r="AI2292" s="38"/>
      <c r="AJ2292" s="38"/>
      <c r="AK2292" s="38"/>
      <c r="AL2292" s="38"/>
      <c r="AM2292" s="38"/>
      <c r="AN2292" s="38"/>
      <c r="AO2292" s="38"/>
      <c r="AP2292" s="38"/>
      <c r="AQ2292" s="38"/>
      <c r="AR2292" s="38"/>
      <c r="AS2292" s="38"/>
      <c r="AT2292" s="38"/>
      <c r="AU2292" s="38"/>
      <c r="AV2292" s="38"/>
      <c r="AW2292" s="38"/>
      <c r="AX2292" s="38"/>
      <c r="AY2292" s="38"/>
      <c r="AZ2292" s="38"/>
      <c r="BA2292" s="38"/>
      <c r="BB2292" s="38"/>
      <c r="BC2292" s="38"/>
      <c r="BD2292" s="38"/>
      <c r="BE2292" s="38"/>
      <c r="BF2292" s="38"/>
      <c r="BG2292" s="38"/>
    </row>
    <row r="2293">
      <c r="A2293" s="16"/>
      <c r="B2293" s="16"/>
      <c r="C2293" s="146"/>
      <c r="D2293" s="146"/>
      <c r="E2293" s="16"/>
      <c r="F2293" s="91"/>
      <c r="G2293" s="16"/>
      <c r="H2293" s="320" t="str">
        <f t="shared" si="1"/>
        <v/>
      </c>
      <c r="I2293" s="16"/>
      <c r="J2293" s="16"/>
      <c r="K2293" s="16"/>
      <c r="L2293" s="38"/>
      <c r="M2293" s="16"/>
      <c r="N2293" s="16"/>
      <c r="O2293" s="16"/>
      <c r="P2293" s="15"/>
      <c r="Q2293" s="15"/>
      <c r="R2293" s="16"/>
      <c r="S2293" s="16"/>
      <c r="T2293" s="16"/>
      <c r="U2293" s="16"/>
      <c r="V2293" s="37" t="str">
        <f>IFERROR(__xludf.DUMMYFUNCTION("if(not(iserror(index(split(C2293, "" ""),2))), index(split(C2293, "" ""),1),"""")"),"")</f>
        <v/>
      </c>
      <c r="W2293" s="315" t="str">
        <f>IFERROR(__xludf.DUMMYFUNCTION("if(V2293="""",C2293,if(not(iserror(index(split(C2293, "" ""),3))), index(split(C2293, "" ""),3),index(split(C2293, "" ""),2)))"),"")</f>
        <v/>
      </c>
      <c r="X2293" s="38" t="b">
        <f t="shared" si="2"/>
        <v>0</v>
      </c>
      <c r="Y2293" s="38"/>
      <c r="Z2293" s="40"/>
      <c r="AA2293" s="40"/>
      <c r="AB2293" s="38"/>
      <c r="AC2293" s="38"/>
      <c r="AD2293" s="38"/>
      <c r="AE2293" s="38"/>
      <c r="AF2293" s="38"/>
      <c r="AG2293" s="38"/>
      <c r="AH2293" s="38"/>
      <c r="AI2293" s="38"/>
      <c r="AJ2293" s="38"/>
      <c r="AK2293" s="38"/>
      <c r="AL2293" s="38"/>
      <c r="AM2293" s="38"/>
      <c r="AN2293" s="38"/>
      <c r="AO2293" s="38"/>
      <c r="AP2293" s="38"/>
      <c r="AQ2293" s="38"/>
      <c r="AR2293" s="38"/>
      <c r="AS2293" s="38"/>
      <c r="AT2293" s="38"/>
      <c r="AU2293" s="38"/>
      <c r="AV2293" s="38"/>
      <c r="AW2293" s="38"/>
      <c r="AX2293" s="38"/>
      <c r="AY2293" s="38"/>
      <c r="AZ2293" s="38"/>
      <c r="BA2293" s="38"/>
      <c r="BB2293" s="38"/>
      <c r="BC2293" s="38"/>
      <c r="BD2293" s="38"/>
      <c r="BE2293" s="38"/>
      <c r="BF2293" s="38"/>
      <c r="BG2293" s="38"/>
    </row>
    <row r="2294">
      <c r="A2294" s="16"/>
      <c r="B2294" s="16"/>
      <c r="C2294" s="146"/>
      <c r="D2294" s="146"/>
      <c r="E2294" s="16"/>
      <c r="F2294" s="91"/>
      <c r="G2294" s="16"/>
      <c r="H2294" s="320" t="str">
        <f t="shared" si="1"/>
        <v/>
      </c>
      <c r="I2294" s="16"/>
      <c r="J2294" s="16"/>
      <c r="K2294" s="16"/>
      <c r="L2294" s="38"/>
      <c r="M2294" s="16"/>
      <c r="N2294" s="16"/>
      <c r="O2294" s="16"/>
      <c r="P2294" s="15"/>
      <c r="Q2294" s="15"/>
      <c r="R2294" s="16"/>
      <c r="S2294" s="16"/>
      <c r="T2294" s="16"/>
      <c r="U2294" s="16"/>
      <c r="V2294" s="37" t="str">
        <f>IFERROR(__xludf.DUMMYFUNCTION("if(not(iserror(index(split(C2294, "" ""),2))), index(split(C2294, "" ""),1),"""")"),"")</f>
        <v/>
      </c>
      <c r="W2294" s="315" t="str">
        <f>IFERROR(__xludf.DUMMYFUNCTION("if(V2294="""",C2294,if(not(iserror(index(split(C2294, "" ""),3))), index(split(C2294, "" ""),3),index(split(C2294, "" ""),2)))"),"")</f>
        <v/>
      </c>
      <c r="X2294" s="38" t="b">
        <f t="shared" si="2"/>
        <v>0</v>
      </c>
      <c r="Y2294" s="38"/>
      <c r="Z2294" s="40"/>
      <c r="AA2294" s="40"/>
      <c r="AB2294" s="38"/>
      <c r="AC2294" s="38"/>
      <c r="AD2294" s="38"/>
      <c r="AE2294" s="38"/>
      <c r="AF2294" s="38"/>
      <c r="AG2294" s="38"/>
      <c r="AH2294" s="38"/>
      <c r="AI2294" s="38"/>
      <c r="AJ2294" s="38"/>
      <c r="AK2294" s="38"/>
      <c r="AL2294" s="38"/>
      <c r="AM2294" s="38"/>
      <c r="AN2294" s="38"/>
      <c r="AO2294" s="38"/>
      <c r="AP2294" s="38"/>
      <c r="AQ2294" s="38"/>
      <c r="AR2294" s="38"/>
      <c r="AS2294" s="38"/>
      <c r="AT2294" s="38"/>
      <c r="AU2294" s="38"/>
      <c r="AV2294" s="38"/>
      <c r="AW2294" s="38"/>
      <c r="AX2294" s="38"/>
      <c r="AY2294" s="38"/>
      <c r="AZ2294" s="38"/>
      <c r="BA2294" s="38"/>
      <c r="BB2294" s="38"/>
      <c r="BC2294" s="38"/>
      <c r="BD2294" s="38"/>
      <c r="BE2294" s="38"/>
      <c r="BF2294" s="38"/>
      <c r="BG2294" s="38"/>
    </row>
    <row r="2295">
      <c r="A2295" s="16"/>
      <c r="B2295" s="16"/>
      <c r="C2295" s="146"/>
      <c r="D2295" s="146"/>
      <c r="E2295" s="16"/>
      <c r="F2295" s="91"/>
      <c r="G2295" s="16"/>
      <c r="H2295" s="320" t="str">
        <f t="shared" si="1"/>
        <v/>
      </c>
      <c r="I2295" s="16"/>
      <c r="J2295" s="16"/>
      <c r="K2295" s="16"/>
      <c r="L2295" s="38"/>
      <c r="M2295" s="16"/>
      <c r="N2295" s="16"/>
      <c r="O2295" s="16"/>
      <c r="P2295" s="15"/>
      <c r="Q2295" s="15"/>
      <c r="R2295" s="16"/>
      <c r="S2295" s="16"/>
      <c r="T2295" s="16"/>
      <c r="U2295" s="16"/>
      <c r="V2295" s="37" t="str">
        <f>IFERROR(__xludf.DUMMYFUNCTION("if(not(iserror(index(split(C2295, "" ""),2))), index(split(C2295, "" ""),1),"""")"),"")</f>
        <v/>
      </c>
      <c r="W2295" s="315" t="str">
        <f>IFERROR(__xludf.DUMMYFUNCTION("if(V2295="""",C2295,if(not(iserror(index(split(C2295, "" ""),3))), index(split(C2295, "" ""),3),index(split(C2295, "" ""),2)))"),"")</f>
        <v/>
      </c>
      <c r="X2295" s="38" t="b">
        <f t="shared" si="2"/>
        <v>0</v>
      </c>
      <c r="Y2295" s="38"/>
      <c r="Z2295" s="40"/>
      <c r="AA2295" s="40"/>
      <c r="AB2295" s="38"/>
      <c r="AC2295" s="38"/>
      <c r="AD2295" s="38"/>
      <c r="AE2295" s="38"/>
      <c r="AF2295" s="38"/>
      <c r="AG2295" s="38"/>
      <c r="AH2295" s="38"/>
      <c r="AI2295" s="38"/>
      <c r="AJ2295" s="38"/>
      <c r="AK2295" s="38"/>
      <c r="AL2295" s="38"/>
      <c r="AM2295" s="38"/>
      <c r="AN2295" s="38"/>
      <c r="AO2295" s="38"/>
      <c r="AP2295" s="38"/>
      <c r="AQ2295" s="38"/>
      <c r="AR2295" s="38"/>
      <c r="AS2295" s="38"/>
      <c r="AT2295" s="38"/>
      <c r="AU2295" s="38"/>
      <c r="AV2295" s="38"/>
      <c r="AW2295" s="38"/>
      <c r="AX2295" s="38"/>
      <c r="AY2295" s="38"/>
      <c r="AZ2295" s="38"/>
      <c r="BA2295" s="38"/>
      <c r="BB2295" s="38"/>
      <c r="BC2295" s="38"/>
      <c r="BD2295" s="38"/>
      <c r="BE2295" s="38"/>
      <c r="BF2295" s="38"/>
      <c r="BG2295" s="38"/>
    </row>
    <row r="2296">
      <c r="A2296" s="16"/>
      <c r="B2296" s="16"/>
      <c r="C2296" s="146"/>
      <c r="D2296" s="146"/>
      <c r="E2296" s="16"/>
      <c r="F2296" s="91"/>
      <c r="G2296" s="16"/>
      <c r="H2296" s="320" t="str">
        <f t="shared" si="1"/>
        <v/>
      </c>
      <c r="I2296" s="16"/>
      <c r="J2296" s="16"/>
      <c r="K2296" s="16"/>
      <c r="L2296" s="38"/>
      <c r="M2296" s="16"/>
      <c r="N2296" s="16"/>
      <c r="O2296" s="16"/>
      <c r="P2296" s="15"/>
      <c r="Q2296" s="15"/>
      <c r="R2296" s="16"/>
      <c r="S2296" s="16"/>
      <c r="T2296" s="16"/>
      <c r="U2296" s="16"/>
      <c r="V2296" s="37" t="str">
        <f>IFERROR(__xludf.DUMMYFUNCTION("if(not(iserror(index(split(C2296, "" ""),2))), index(split(C2296, "" ""),1),"""")"),"")</f>
        <v/>
      </c>
      <c r="W2296" s="315" t="str">
        <f>IFERROR(__xludf.DUMMYFUNCTION("if(V2296="""",C2296,if(not(iserror(index(split(C2296, "" ""),3))), index(split(C2296, "" ""),3),index(split(C2296, "" ""),2)))"),"")</f>
        <v/>
      </c>
      <c r="X2296" s="38" t="b">
        <f t="shared" si="2"/>
        <v>0</v>
      </c>
      <c r="Y2296" s="38"/>
      <c r="Z2296" s="40"/>
      <c r="AA2296" s="40"/>
      <c r="AB2296" s="38"/>
      <c r="AC2296" s="38"/>
      <c r="AD2296" s="38"/>
      <c r="AE2296" s="38"/>
      <c r="AF2296" s="38"/>
      <c r="AG2296" s="38"/>
      <c r="AH2296" s="38"/>
      <c r="AI2296" s="38"/>
      <c r="AJ2296" s="38"/>
      <c r="AK2296" s="38"/>
      <c r="AL2296" s="38"/>
      <c r="AM2296" s="38"/>
      <c r="AN2296" s="38"/>
      <c r="AO2296" s="38"/>
      <c r="AP2296" s="38"/>
      <c r="AQ2296" s="38"/>
      <c r="AR2296" s="38"/>
      <c r="AS2296" s="38"/>
      <c r="AT2296" s="38"/>
      <c r="AU2296" s="38"/>
      <c r="AV2296" s="38"/>
      <c r="AW2296" s="38"/>
      <c r="AX2296" s="38"/>
      <c r="AY2296" s="38"/>
      <c r="AZ2296" s="38"/>
      <c r="BA2296" s="38"/>
      <c r="BB2296" s="38"/>
      <c r="BC2296" s="38"/>
      <c r="BD2296" s="38"/>
      <c r="BE2296" s="38"/>
      <c r="BF2296" s="38"/>
      <c r="BG2296" s="38"/>
    </row>
    <row r="2297">
      <c r="A2297" s="16"/>
      <c r="B2297" s="16"/>
      <c r="C2297" s="146"/>
      <c r="D2297" s="146"/>
      <c r="E2297" s="16"/>
      <c r="F2297" s="91"/>
      <c r="G2297" s="16"/>
      <c r="H2297" s="320" t="str">
        <f t="shared" si="1"/>
        <v/>
      </c>
      <c r="I2297" s="16"/>
      <c r="J2297" s="16"/>
      <c r="K2297" s="16"/>
      <c r="L2297" s="38"/>
      <c r="M2297" s="16"/>
      <c r="N2297" s="16"/>
      <c r="O2297" s="16"/>
      <c r="P2297" s="15"/>
      <c r="Q2297" s="15"/>
      <c r="R2297" s="16"/>
      <c r="S2297" s="16"/>
      <c r="T2297" s="16"/>
      <c r="U2297" s="16"/>
      <c r="V2297" s="37" t="str">
        <f>IFERROR(__xludf.DUMMYFUNCTION("if(not(iserror(index(split(C2297, "" ""),2))), index(split(C2297, "" ""),1),"""")"),"")</f>
        <v/>
      </c>
      <c r="W2297" s="315" t="str">
        <f>IFERROR(__xludf.DUMMYFUNCTION("if(V2297="""",C2297,if(not(iserror(index(split(C2297, "" ""),3))), index(split(C2297, "" ""),3),index(split(C2297, "" ""),2)))"),"")</f>
        <v/>
      </c>
      <c r="X2297" s="38" t="b">
        <f t="shared" si="2"/>
        <v>0</v>
      </c>
      <c r="Y2297" s="38"/>
      <c r="Z2297" s="40"/>
      <c r="AA2297" s="40"/>
      <c r="AB2297" s="38"/>
      <c r="AC2297" s="38"/>
      <c r="AD2297" s="38"/>
      <c r="AE2297" s="38"/>
      <c r="AF2297" s="38"/>
      <c r="AG2297" s="38"/>
      <c r="AH2297" s="38"/>
      <c r="AI2297" s="38"/>
      <c r="AJ2297" s="38"/>
      <c r="AK2297" s="38"/>
      <c r="AL2297" s="38"/>
      <c r="AM2297" s="38"/>
      <c r="AN2297" s="38"/>
      <c r="AO2297" s="38"/>
      <c r="AP2297" s="38"/>
      <c r="AQ2297" s="38"/>
      <c r="AR2297" s="38"/>
      <c r="AS2297" s="38"/>
      <c r="AT2297" s="38"/>
      <c r="AU2297" s="38"/>
      <c r="AV2297" s="38"/>
      <c r="AW2297" s="38"/>
      <c r="AX2297" s="38"/>
      <c r="AY2297" s="38"/>
      <c r="AZ2297" s="38"/>
      <c r="BA2297" s="38"/>
      <c r="BB2297" s="38"/>
      <c r="BC2297" s="38"/>
      <c r="BD2297" s="38"/>
      <c r="BE2297" s="38"/>
      <c r="BF2297" s="38"/>
      <c r="BG2297" s="38"/>
    </row>
    <row r="2298">
      <c r="A2298" s="16"/>
      <c r="B2298" s="16"/>
      <c r="C2298" s="146"/>
      <c r="D2298" s="146"/>
      <c r="E2298" s="16"/>
      <c r="F2298" s="91"/>
      <c r="G2298" s="16"/>
      <c r="H2298" s="320" t="str">
        <f t="shared" si="1"/>
        <v/>
      </c>
      <c r="I2298" s="16"/>
      <c r="J2298" s="16"/>
      <c r="K2298" s="16"/>
      <c r="L2298" s="38"/>
      <c r="M2298" s="16"/>
      <c r="N2298" s="16"/>
      <c r="O2298" s="16"/>
      <c r="P2298" s="15"/>
      <c r="Q2298" s="15"/>
      <c r="R2298" s="16"/>
      <c r="S2298" s="16"/>
      <c r="T2298" s="16"/>
      <c r="U2298" s="16"/>
      <c r="V2298" s="37" t="str">
        <f>IFERROR(__xludf.DUMMYFUNCTION("if(not(iserror(index(split(C2298, "" ""),2))), index(split(C2298, "" ""),1),"""")"),"")</f>
        <v/>
      </c>
      <c r="W2298" s="315" t="str">
        <f>IFERROR(__xludf.DUMMYFUNCTION("if(V2298="""",C2298,if(not(iserror(index(split(C2298, "" ""),3))), index(split(C2298, "" ""),3),index(split(C2298, "" ""),2)))"),"")</f>
        <v/>
      </c>
      <c r="X2298" s="38" t="b">
        <f t="shared" si="2"/>
        <v>0</v>
      </c>
      <c r="Y2298" s="38"/>
      <c r="Z2298" s="40"/>
      <c r="AA2298" s="40"/>
      <c r="AB2298" s="38"/>
      <c r="AC2298" s="38"/>
      <c r="AD2298" s="38"/>
      <c r="AE2298" s="38"/>
      <c r="AF2298" s="38"/>
      <c r="AG2298" s="38"/>
      <c r="AH2298" s="38"/>
      <c r="AI2298" s="38"/>
      <c r="AJ2298" s="38"/>
      <c r="AK2298" s="38"/>
      <c r="AL2298" s="38"/>
      <c r="AM2298" s="38"/>
      <c r="AN2298" s="38"/>
      <c r="AO2298" s="38"/>
      <c r="AP2298" s="38"/>
      <c r="AQ2298" s="38"/>
      <c r="AR2298" s="38"/>
      <c r="AS2298" s="38"/>
      <c r="AT2298" s="38"/>
      <c r="AU2298" s="38"/>
      <c r="AV2298" s="38"/>
      <c r="AW2298" s="38"/>
      <c r="AX2298" s="38"/>
      <c r="AY2298" s="38"/>
      <c r="AZ2298" s="38"/>
      <c r="BA2298" s="38"/>
      <c r="BB2298" s="38"/>
      <c r="BC2298" s="38"/>
      <c r="BD2298" s="38"/>
      <c r="BE2298" s="38"/>
      <c r="BF2298" s="38"/>
      <c r="BG2298" s="38"/>
    </row>
    <row r="2299">
      <c r="A2299" s="16"/>
      <c r="B2299" s="16"/>
      <c r="C2299" s="146"/>
      <c r="D2299" s="146"/>
      <c r="E2299" s="16"/>
      <c r="F2299" s="91"/>
      <c r="G2299" s="16"/>
      <c r="H2299" s="320" t="str">
        <f t="shared" si="1"/>
        <v/>
      </c>
      <c r="I2299" s="16"/>
      <c r="J2299" s="16"/>
      <c r="K2299" s="16"/>
      <c r="L2299" s="38"/>
      <c r="M2299" s="16"/>
      <c r="N2299" s="16"/>
      <c r="O2299" s="16"/>
      <c r="P2299" s="15"/>
      <c r="Q2299" s="15"/>
      <c r="R2299" s="16"/>
      <c r="S2299" s="16"/>
      <c r="T2299" s="16"/>
      <c r="U2299" s="16"/>
      <c r="V2299" s="37" t="str">
        <f>IFERROR(__xludf.DUMMYFUNCTION("if(not(iserror(index(split(C2299, "" ""),2))), index(split(C2299, "" ""),1),"""")"),"")</f>
        <v/>
      </c>
      <c r="W2299" s="315" t="str">
        <f>IFERROR(__xludf.DUMMYFUNCTION("if(V2299="""",C2299,if(not(iserror(index(split(C2299, "" ""),3))), index(split(C2299, "" ""),3),index(split(C2299, "" ""),2)))"),"")</f>
        <v/>
      </c>
      <c r="X2299" s="38" t="b">
        <f t="shared" si="2"/>
        <v>0</v>
      </c>
      <c r="Y2299" s="38"/>
      <c r="Z2299" s="40"/>
      <c r="AA2299" s="40"/>
      <c r="AB2299" s="38"/>
      <c r="AC2299" s="38"/>
      <c r="AD2299" s="38"/>
      <c r="AE2299" s="38"/>
      <c r="AF2299" s="38"/>
      <c r="AG2299" s="38"/>
      <c r="AH2299" s="38"/>
      <c r="AI2299" s="38"/>
      <c r="AJ2299" s="38"/>
      <c r="AK2299" s="38"/>
      <c r="AL2299" s="38"/>
      <c r="AM2299" s="38"/>
      <c r="AN2299" s="38"/>
      <c r="AO2299" s="38"/>
      <c r="AP2299" s="38"/>
      <c r="AQ2299" s="38"/>
      <c r="AR2299" s="38"/>
      <c r="AS2299" s="38"/>
      <c r="AT2299" s="38"/>
      <c r="AU2299" s="38"/>
      <c r="AV2299" s="38"/>
      <c r="AW2299" s="38"/>
      <c r="AX2299" s="38"/>
      <c r="AY2299" s="38"/>
      <c r="AZ2299" s="38"/>
      <c r="BA2299" s="38"/>
      <c r="BB2299" s="38"/>
      <c r="BC2299" s="38"/>
      <c r="BD2299" s="38"/>
      <c r="BE2299" s="38"/>
      <c r="BF2299" s="38"/>
      <c r="BG2299" s="38"/>
    </row>
    <row r="2300">
      <c r="A2300" s="16"/>
      <c r="B2300" s="16"/>
      <c r="C2300" s="146"/>
      <c r="D2300" s="146"/>
      <c r="E2300" s="16"/>
      <c r="F2300" s="91"/>
      <c r="G2300" s="16"/>
      <c r="H2300" s="320" t="str">
        <f t="shared" si="1"/>
        <v/>
      </c>
      <c r="I2300" s="16"/>
      <c r="J2300" s="16"/>
      <c r="K2300" s="16"/>
      <c r="L2300" s="38"/>
      <c r="M2300" s="16"/>
      <c r="N2300" s="16"/>
      <c r="O2300" s="16"/>
      <c r="P2300" s="15"/>
      <c r="Q2300" s="15"/>
      <c r="R2300" s="16"/>
      <c r="S2300" s="16"/>
      <c r="T2300" s="16"/>
      <c r="U2300" s="16"/>
      <c r="V2300" s="37" t="str">
        <f>IFERROR(__xludf.DUMMYFUNCTION("if(not(iserror(index(split(C2300, "" ""),2))), index(split(C2300, "" ""),1),"""")"),"")</f>
        <v/>
      </c>
      <c r="W2300" s="315" t="str">
        <f>IFERROR(__xludf.DUMMYFUNCTION("if(V2300="""",C2300,if(not(iserror(index(split(C2300, "" ""),3))), index(split(C2300, "" ""),3),index(split(C2300, "" ""),2)))"),"")</f>
        <v/>
      </c>
      <c r="X2300" s="38" t="b">
        <f t="shared" si="2"/>
        <v>0</v>
      </c>
      <c r="Y2300" s="38"/>
      <c r="Z2300" s="40"/>
      <c r="AA2300" s="40"/>
      <c r="AB2300" s="38"/>
      <c r="AC2300" s="38"/>
      <c r="AD2300" s="38"/>
      <c r="AE2300" s="38"/>
      <c r="AF2300" s="38"/>
      <c r="AG2300" s="38"/>
      <c r="AH2300" s="38"/>
      <c r="AI2300" s="38"/>
      <c r="AJ2300" s="38"/>
      <c r="AK2300" s="38"/>
      <c r="AL2300" s="38"/>
      <c r="AM2300" s="38"/>
      <c r="AN2300" s="38"/>
      <c r="AO2300" s="38"/>
      <c r="AP2300" s="38"/>
      <c r="AQ2300" s="38"/>
      <c r="AR2300" s="38"/>
      <c r="AS2300" s="38"/>
      <c r="AT2300" s="38"/>
      <c r="AU2300" s="38"/>
      <c r="AV2300" s="38"/>
      <c r="AW2300" s="38"/>
      <c r="AX2300" s="38"/>
      <c r="AY2300" s="38"/>
      <c r="AZ2300" s="38"/>
      <c r="BA2300" s="38"/>
      <c r="BB2300" s="38"/>
      <c r="BC2300" s="38"/>
      <c r="BD2300" s="38"/>
      <c r="BE2300" s="38"/>
      <c r="BF2300" s="38"/>
      <c r="BG2300" s="38"/>
    </row>
    <row r="2301">
      <c r="A2301" s="16"/>
      <c r="B2301" s="16"/>
      <c r="C2301" s="146"/>
      <c r="D2301" s="146"/>
      <c r="E2301" s="16"/>
      <c r="F2301" s="91"/>
      <c r="G2301" s="16"/>
      <c r="H2301" s="320" t="str">
        <f t="shared" si="1"/>
        <v/>
      </c>
      <c r="I2301" s="16"/>
      <c r="J2301" s="16"/>
      <c r="K2301" s="16"/>
      <c r="L2301" s="38"/>
      <c r="M2301" s="16"/>
      <c r="N2301" s="16"/>
      <c r="O2301" s="16"/>
      <c r="P2301" s="15"/>
      <c r="Q2301" s="15"/>
      <c r="R2301" s="16"/>
      <c r="S2301" s="16"/>
      <c r="T2301" s="16"/>
      <c r="U2301" s="16"/>
      <c r="V2301" s="37" t="str">
        <f>IFERROR(__xludf.DUMMYFUNCTION("if(not(iserror(index(split(C2301, "" ""),2))), index(split(C2301, "" ""),1),"""")"),"")</f>
        <v/>
      </c>
      <c r="W2301" s="315" t="str">
        <f>IFERROR(__xludf.DUMMYFUNCTION("if(V2301="""",C2301,if(not(iserror(index(split(C2301, "" ""),3))), index(split(C2301, "" ""),3),index(split(C2301, "" ""),2)))"),"")</f>
        <v/>
      </c>
      <c r="X2301" s="38" t="b">
        <f t="shared" si="2"/>
        <v>0</v>
      </c>
      <c r="Y2301" s="38"/>
      <c r="Z2301" s="40"/>
      <c r="AA2301" s="40"/>
      <c r="AB2301" s="38"/>
      <c r="AC2301" s="38"/>
      <c r="AD2301" s="38"/>
      <c r="AE2301" s="38"/>
      <c r="AF2301" s="38"/>
      <c r="AG2301" s="38"/>
      <c r="AH2301" s="38"/>
      <c r="AI2301" s="38"/>
      <c r="AJ2301" s="38"/>
      <c r="AK2301" s="38"/>
      <c r="AL2301" s="38"/>
      <c r="AM2301" s="38"/>
      <c r="AN2301" s="38"/>
      <c r="AO2301" s="38"/>
      <c r="AP2301" s="38"/>
      <c r="AQ2301" s="38"/>
      <c r="AR2301" s="38"/>
      <c r="AS2301" s="38"/>
      <c r="AT2301" s="38"/>
      <c r="AU2301" s="38"/>
      <c r="AV2301" s="38"/>
      <c r="AW2301" s="38"/>
      <c r="AX2301" s="38"/>
      <c r="AY2301" s="38"/>
      <c r="AZ2301" s="38"/>
      <c r="BA2301" s="38"/>
      <c r="BB2301" s="38"/>
      <c r="BC2301" s="38"/>
      <c r="BD2301" s="38"/>
      <c r="BE2301" s="38"/>
      <c r="BF2301" s="38"/>
      <c r="BG2301" s="38"/>
    </row>
    <row r="2302">
      <c r="A2302" s="16"/>
      <c r="B2302" s="16"/>
      <c r="C2302" s="146"/>
      <c r="D2302" s="146"/>
      <c r="E2302" s="16"/>
      <c r="F2302" s="91"/>
      <c r="G2302" s="16"/>
      <c r="H2302" s="320" t="str">
        <f t="shared" si="1"/>
        <v/>
      </c>
      <c r="I2302" s="16"/>
      <c r="J2302" s="16"/>
      <c r="K2302" s="16"/>
      <c r="L2302" s="38"/>
      <c r="M2302" s="16"/>
      <c r="N2302" s="16"/>
      <c r="O2302" s="16"/>
      <c r="P2302" s="15"/>
      <c r="Q2302" s="15"/>
      <c r="R2302" s="16"/>
      <c r="S2302" s="16"/>
      <c r="T2302" s="16"/>
      <c r="U2302" s="16"/>
      <c r="V2302" s="37" t="str">
        <f>IFERROR(__xludf.DUMMYFUNCTION("if(not(iserror(index(split(C2302, "" ""),2))), index(split(C2302, "" ""),1),"""")"),"")</f>
        <v/>
      </c>
      <c r="W2302" s="315" t="str">
        <f>IFERROR(__xludf.DUMMYFUNCTION("if(V2302="""",C2302,if(not(iserror(index(split(C2302, "" ""),3))), index(split(C2302, "" ""),3),index(split(C2302, "" ""),2)))"),"")</f>
        <v/>
      </c>
      <c r="X2302" s="38" t="b">
        <f t="shared" si="2"/>
        <v>0</v>
      </c>
      <c r="Y2302" s="38"/>
      <c r="Z2302" s="40"/>
      <c r="AA2302" s="40"/>
      <c r="AB2302" s="38"/>
      <c r="AC2302" s="38"/>
      <c r="AD2302" s="38"/>
      <c r="AE2302" s="38"/>
      <c r="AF2302" s="38"/>
      <c r="AG2302" s="38"/>
      <c r="AH2302" s="38"/>
      <c r="AI2302" s="38"/>
      <c r="AJ2302" s="38"/>
      <c r="AK2302" s="38"/>
      <c r="AL2302" s="38"/>
      <c r="AM2302" s="38"/>
      <c r="AN2302" s="38"/>
      <c r="AO2302" s="38"/>
      <c r="AP2302" s="38"/>
      <c r="AQ2302" s="38"/>
      <c r="AR2302" s="38"/>
      <c r="AS2302" s="38"/>
      <c r="AT2302" s="38"/>
      <c r="AU2302" s="38"/>
      <c r="AV2302" s="38"/>
      <c r="AW2302" s="38"/>
      <c r="AX2302" s="38"/>
      <c r="AY2302" s="38"/>
      <c r="AZ2302" s="38"/>
      <c r="BA2302" s="38"/>
      <c r="BB2302" s="38"/>
      <c r="BC2302" s="38"/>
      <c r="BD2302" s="38"/>
      <c r="BE2302" s="38"/>
      <c r="BF2302" s="38"/>
      <c r="BG2302" s="38"/>
    </row>
    <row r="2303">
      <c r="A2303" s="16"/>
      <c r="B2303" s="16"/>
      <c r="C2303" s="146"/>
      <c r="D2303" s="146"/>
      <c r="E2303" s="16"/>
      <c r="F2303" s="91"/>
      <c r="G2303" s="16"/>
      <c r="H2303" s="320" t="str">
        <f t="shared" si="1"/>
        <v/>
      </c>
      <c r="I2303" s="16"/>
      <c r="J2303" s="16"/>
      <c r="K2303" s="16"/>
      <c r="L2303" s="38"/>
      <c r="M2303" s="16"/>
      <c r="N2303" s="16"/>
      <c r="O2303" s="16"/>
      <c r="P2303" s="15"/>
      <c r="Q2303" s="15"/>
      <c r="R2303" s="16"/>
      <c r="S2303" s="16"/>
      <c r="T2303" s="16"/>
      <c r="U2303" s="16"/>
      <c r="V2303" s="37" t="str">
        <f>IFERROR(__xludf.DUMMYFUNCTION("if(not(iserror(index(split(C2303, "" ""),2))), index(split(C2303, "" ""),1),"""")"),"")</f>
        <v/>
      </c>
      <c r="W2303" s="315" t="str">
        <f>IFERROR(__xludf.DUMMYFUNCTION("if(V2303="""",C2303,if(not(iserror(index(split(C2303, "" ""),3))), index(split(C2303, "" ""),3),index(split(C2303, "" ""),2)))"),"")</f>
        <v/>
      </c>
      <c r="X2303" s="38" t="b">
        <f t="shared" si="2"/>
        <v>0</v>
      </c>
      <c r="Y2303" s="38"/>
      <c r="Z2303" s="40"/>
      <c r="AA2303" s="40"/>
      <c r="AB2303" s="38"/>
      <c r="AC2303" s="38"/>
      <c r="AD2303" s="38"/>
      <c r="AE2303" s="38"/>
      <c r="AF2303" s="38"/>
      <c r="AG2303" s="38"/>
      <c r="AH2303" s="38"/>
      <c r="AI2303" s="38"/>
      <c r="AJ2303" s="38"/>
      <c r="AK2303" s="38"/>
      <c r="AL2303" s="38"/>
      <c r="AM2303" s="38"/>
      <c r="AN2303" s="38"/>
      <c r="AO2303" s="38"/>
      <c r="AP2303" s="38"/>
      <c r="AQ2303" s="38"/>
      <c r="AR2303" s="38"/>
      <c r="AS2303" s="38"/>
      <c r="AT2303" s="38"/>
      <c r="AU2303" s="38"/>
      <c r="AV2303" s="38"/>
      <c r="AW2303" s="38"/>
      <c r="AX2303" s="38"/>
      <c r="AY2303" s="38"/>
      <c r="AZ2303" s="38"/>
      <c r="BA2303" s="38"/>
      <c r="BB2303" s="38"/>
      <c r="BC2303" s="38"/>
      <c r="BD2303" s="38"/>
      <c r="BE2303" s="38"/>
      <c r="BF2303" s="38"/>
      <c r="BG2303" s="38"/>
    </row>
    <row r="2304">
      <c r="A2304" s="16"/>
      <c r="B2304" s="16"/>
      <c r="C2304" s="146"/>
      <c r="D2304" s="146"/>
      <c r="E2304" s="16"/>
      <c r="F2304" s="91"/>
      <c r="G2304" s="16"/>
      <c r="H2304" s="320" t="str">
        <f t="shared" si="1"/>
        <v/>
      </c>
      <c r="I2304" s="16"/>
      <c r="J2304" s="16"/>
      <c r="K2304" s="16"/>
      <c r="L2304" s="38"/>
      <c r="M2304" s="16"/>
      <c r="N2304" s="16"/>
      <c r="O2304" s="16"/>
      <c r="P2304" s="15"/>
      <c r="Q2304" s="15"/>
      <c r="R2304" s="16"/>
      <c r="S2304" s="16"/>
      <c r="T2304" s="16"/>
      <c r="U2304" s="16"/>
      <c r="V2304" s="37" t="str">
        <f>IFERROR(__xludf.DUMMYFUNCTION("if(not(iserror(index(split(C2304, "" ""),2))), index(split(C2304, "" ""),1),"""")"),"")</f>
        <v/>
      </c>
      <c r="W2304" s="315" t="str">
        <f>IFERROR(__xludf.DUMMYFUNCTION("if(V2304="""",C2304,if(not(iserror(index(split(C2304, "" ""),3))), index(split(C2304, "" ""),3),index(split(C2304, "" ""),2)))"),"")</f>
        <v/>
      </c>
      <c r="X2304" s="38" t="b">
        <f t="shared" si="2"/>
        <v>0</v>
      </c>
      <c r="Y2304" s="38"/>
      <c r="Z2304" s="40"/>
      <c r="AA2304" s="40"/>
      <c r="AB2304" s="38"/>
      <c r="AC2304" s="38"/>
      <c r="AD2304" s="38"/>
      <c r="AE2304" s="38"/>
      <c r="AF2304" s="38"/>
      <c r="AG2304" s="38"/>
      <c r="AH2304" s="38"/>
      <c r="AI2304" s="38"/>
      <c r="AJ2304" s="38"/>
      <c r="AK2304" s="38"/>
      <c r="AL2304" s="38"/>
      <c r="AM2304" s="38"/>
      <c r="AN2304" s="38"/>
      <c r="AO2304" s="38"/>
      <c r="AP2304" s="38"/>
      <c r="AQ2304" s="38"/>
      <c r="AR2304" s="38"/>
      <c r="AS2304" s="38"/>
      <c r="AT2304" s="38"/>
      <c r="AU2304" s="38"/>
      <c r="AV2304" s="38"/>
      <c r="AW2304" s="38"/>
      <c r="AX2304" s="38"/>
      <c r="AY2304" s="38"/>
      <c r="AZ2304" s="38"/>
      <c r="BA2304" s="38"/>
      <c r="BB2304" s="38"/>
      <c r="BC2304" s="38"/>
      <c r="BD2304" s="38"/>
      <c r="BE2304" s="38"/>
      <c r="BF2304" s="38"/>
      <c r="BG2304" s="38"/>
    </row>
    <row r="2305">
      <c r="A2305" s="16"/>
      <c r="B2305" s="16"/>
      <c r="C2305" s="146"/>
      <c r="D2305" s="146"/>
      <c r="E2305" s="16"/>
      <c r="F2305" s="91"/>
      <c r="G2305" s="16"/>
      <c r="H2305" s="320" t="str">
        <f t="shared" si="1"/>
        <v/>
      </c>
      <c r="I2305" s="16"/>
      <c r="J2305" s="16"/>
      <c r="K2305" s="16"/>
      <c r="L2305" s="38"/>
      <c r="M2305" s="16"/>
      <c r="N2305" s="16"/>
      <c r="O2305" s="16"/>
      <c r="P2305" s="15"/>
      <c r="Q2305" s="15"/>
      <c r="R2305" s="16"/>
      <c r="S2305" s="16"/>
      <c r="T2305" s="16"/>
      <c r="U2305" s="16"/>
      <c r="V2305" s="37" t="str">
        <f>IFERROR(__xludf.DUMMYFUNCTION("if(not(iserror(index(split(C2305, "" ""),2))), index(split(C2305, "" ""),1),"""")"),"")</f>
        <v/>
      </c>
      <c r="W2305" s="315" t="str">
        <f>IFERROR(__xludf.DUMMYFUNCTION("if(V2305="""",C2305,if(not(iserror(index(split(C2305, "" ""),3))), index(split(C2305, "" ""),3),index(split(C2305, "" ""),2)))"),"")</f>
        <v/>
      </c>
      <c r="X2305" s="38" t="b">
        <f t="shared" si="2"/>
        <v>0</v>
      </c>
      <c r="Y2305" s="38"/>
      <c r="Z2305" s="40"/>
      <c r="AA2305" s="40"/>
      <c r="AB2305" s="38"/>
      <c r="AC2305" s="38"/>
      <c r="AD2305" s="38"/>
      <c r="AE2305" s="38"/>
      <c r="AF2305" s="38"/>
      <c r="AG2305" s="38"/>
      <c r="AH2305" s="38"/>
      <c r="AI2305" s="38"/>
      <c r="AJ2305" s="38"/>
      <c r="AK2305" s="38"/>
      <c r="AL2305" s="38"/>
      <c r="AM2305" s="38"/>
      <c r="AN2305" s="38"/>
      <c r="AO2305" s="38"/>
      <c r="AP2305" s="38"/>
      <c r="AQ2305" s="38"/>
      <c r="AR2305" s="38"/>
      <c r="AS2305" s="38"/>
      <c r="AT2305" s="38"/>
      <c r="AU2305" s="38"/>
      <c r="AV2305" s="38"/>
      <c r="AW2305" s="38"/>
      <c r="AX2305" s="38"/>
      <c r="AY2305" s="38"/>
      <c r="AZ2305" s="38"/>
      <c r="BA2305" s="38"/>
      <c r="BB2305" s="38"/>
      <c r="BC2305" s="38"/>
      <c r="BD2305" s="38"/>
      <c r="BE2305" s="38"/>
      <c r="BF2305" s="38"/>
      <c r="BG2305" s="38"/>
    </row>
    <row r="2306">
      <c r="A2306" s="16"/>
      <c r="B2306" s="16"/>
      <c r="C2306" s="146"/>
      <c r="D2306" s="146"/>
      <c r="E2306" s="16"/>
      <c r="F2306" s="91"/>
      <c r="G2306" s="16"/>
      <c r="H2306" s="320" t="str">
        <f t="shared" si="1"/>
        <v/>
      </c>
      <c r="I2306" s="16"/>
      <c r="J2306" s="16"/>
      <c r="K2306" s="16"/>
      <c r="L2306" s="38"/>
      <c r="M2306" s="16"/>
      <c r="N2306" s="16"/>
      <c r="O2306" s="16"/>
      <c r="P2306" s="15"/>
      <c r="Q2306" s="15"/>
      <c r="R2306" s="16"/>
      <c r="S2306" s="16"/>
      <c r="T2306" s="16"/>
      <c r="U2306" s="16"/>
      <c r="V2306" s="37" t="str">
        <f>IFERROR(__xludf.DUMMYFUNCTION("if(not(iserror(index(split(C2306, "" ""),2))), index(split(C2306, "" ""),1),"""")"),"")</f>
        <v/>
      </c>
      <c r="W2306" s="315" t="str">
        <f>IFERROR(__xludf.DUMMYFUNCTION("if(V2306="""",C2306,if(not(iserror(index(split(C2306, "" ""),3))), index(split(C2306, "" ""),3),index(split(C2306, "" ""),2)))"),"")</f>
        <v/>
      </c>
      <c r="X2306" s="38" t="b">
        <f t="shared" si="2"/>
        <v>0</v>
      </c>
      <c r="Y2306" s="38"/>
      <c r="Z2306" s="40"/>
      <c r="AA2306" s="40"/>
      <c r="AB2306" s="38"/>
      <c r="AC2306" s="38"/>
      <c r="AD2306" s="38"/>
      <c r="AE2306" s="38"/>
      <c r="AF2306" s="38"/>
      <c r="AG2306" s="38"/>
      <c r="AH2306" s="38"/>
      <c r="AI2306" s="38"/>
      <c r="AJ2306" s="38"/>
      <c r="AK2306" s="38"/>
      <c r="AL2306" s="38"/>
      <c r="AM2306" s="38"/>
      <c r="AN2306" s="38"/>
      <c r="AO2306" s="38"/>
      <c r="AP2306" s="38"/>
      <c r="AQ2306" s="38"/>
      <c r="AR2306" s="38"/>
      <c r="AS2306" s="38"/>
      <c r="AT2306" s="38"/>
      <c r="AU2306" s="38"/>
      <c r="AV2306" s="38"/>
      <c r="AW2306" s="38"/>
      <c r="AX2306" s="38"/>
      <c r="AY2306" s="38"/>
      <c r="AZ2306" s="38"/>
      <c r="BA2306" s="38"/>
      <c r="BB2306" s="38"/>
      <c r="BC2306" s="38"/>
      <c r="BD2306" s="38"/>
      <c r="BE2306" s="38"/>
      <c r="BF2306" s="38"/>
      <c r="BG2306" s="38"/>
    </row>
    <row r="2307">
      <c r="A2307" s="16"/>
      <c r="B2307" s="16"/>
      <c r="C2307" s="146"/>
      <c r="D2307" s="146"/>
      <c r="E2307" s="16"/>
      <c r="F2307" s="91"/>
      <c r="G2307" s="16"/>
      <c r="H2307" s="320" t="str">
        <f t="shared" si="1"/>
        <v/>
      </c>
      <c r="I2307" s="16"/>
      <c r="J2307" s="16"/>
      <c r="K2307" s="16"/>
      <c r="L2307" s="38"/>
      <c r="M2307" s="16"/>
      <c r="N2307" s="16"/>
      <c r="O2307" s="16"/>
      <c r="P2307" s="15"/>
      <c r="Q2307" s="15"/>
      <c r="R2307" s="16"/>
      <c r="S2307" s="16"/>
      <c r="T2307" s="16"/>
      <c r="U2307" s="16"/>
      <c r="V2307" s="37" t="str">
        <f>IFERROR(__xludf.DUMMYFUNCTION("if(not(iserror(index(split(C2307, "" ""),2))), index(split(C2307, "" ""),1),"""")"),"")</f>
        <v/>
      </c>
      <c r="W2307" s="315" t="str">
        <f>IFERROR(__xludf.DUMMYFUNCTION("if(V2307="""",C2307,if(not(iserror(index(split(C2307, "" ""),3))), index(split(C2307, "" ""),3),index(split(C2307, "" ""),2)))"),"")</f>
        <v/>
      </c>
      <c r="X2307" s="38" t="b">
        <f t="shared" si="2"/>
        <v>0</v>
      </c>
      <c r="Y2307" s="38"/>
      <c r="Z2307" s="40"/>
      <c r="AA2307" s="40"/>
      <c r="AB2307" s="38"/>
      <c r="AC2307" s="38"/>
      <c r="AD2307" s="38"/>
      <c r="AE2307" s="38"/>
      <c r="AF2307" s="38"/>
      <c r="AG2307" s="38"/>
      <c r="AH2307" s="38"/>
      <c r="AI2307" s="38"/>
      <c r="AJ2307" s="38"/>
      <c r="AK2307" s="38"/>
      <c r="AL2307" s="38"/>
      <c r="AM2307" s="38"/>
      <c r="AN2307" s="38"/>
      <c r="AO2307" s="38"/>
      <c r="AP2307" s="38"/>
      <c r="AQ2307" s="38"/>
      <c r="AR2307" s="38"/>
      <c r="AS2307" s="38"/>
      <c r="AT2307" s="38"/>
      <c r="AU2307" s="38"/>
      <c r="AV2307" s="38"/>
      <c r="AW2307" s="38"/>
      <c r="AX2307" s="38"/>
      <c r="AY2307" s="38"/>
      <c r="AZ2307" s="38"/>
      <c r="BA2307" s="38"/>
      <c r="BB2307" s="38"/>
      <c r="BC2307" s="38"/>
      <c r="BD2307" s="38"/>
      <c r="BE2307" s="38"/>
      <c r="BF2307" s="38"/>
      <c r="BG2307" s="38"/>
    </row>
    <row r="2308">
      <c r="A2308" s="16"/>
      <c r="B2308" s="16"/>
      <c r="C2308" s="146"/>
      <c r="D2308" s="146"/>
      <c r="E2308" s="16"/>
      <c r="F2308" s="91"/>
      <c r="G2308" s="16"/>
      <c r="H2308" s="320" t="str">
        <f t="shared" si="1"/>
        <v/>
      </c>
      <c r="I2308" s="16"/>
      <c r="J2308" s="16"/>
      <c r="K2308" s="16"/>
      <c r="L2308" s="38"/>
      <c r="M2308" s="16"/>
      <c r="N2308" s="16"/>
      <c r="O2308" s="16"/>
      <c r="P2308" s="15"/>
      <c r="Q2308" s="15"/>
      <c r="R2308" s="16"/>
      <c r="S2308" s="16"/>
      <c r="T2308" s="16"/>
      <c r="U2308" s="16"/>
      <c r="V2308" s="37" t="str">
        <f>IFERROR(__xludf.DUMMYFUNCTION("if(not(iserror(index(split(C2308, "" ""),2))), index(split(C2308, "" ""),1),"""")"),"")</f>
        <v/>
      </c>
      <c r="W2308" s="315" t="str">
        <f>IFERROR(__xludf.DUMMYFUNCTION("if(V2308="""",C2308,if(not(iserror(index(split(C2308, "" ""),3))), index(split(C2308, "" ""),3),index(split(C2308, "" ""),2)))"),"")</f>
        <v/>
      </c>
      <c r="X2308" s="38" t="b">
        <f t="shared" si="2"/>
        <v>0</v>
      </c>
      <c r="Y2308" s="38"/>
      <c r="Z2308" s="40"/>
      <c r="AA2308" s="40"/>
      <c r="AB2308" s="38"/>
      <c r="AC2308" s="38"/>
      <c r="AD2308" s="38"/>
      <c r="AE2308" s="38"/>
      <c r="AF2308" s="38"/>
      <c r="AG2308" s="38"/>
      <c r="AH2308" s="38"/>
      <c r="AI2308" s="38"/>
      <c r="AJ2308" s="38"/>
      <c r="AK2308" s="38"/>
      <c r="AL2308" s="38"/>
      <c r="AM2308" s="38"/>
      <c r="AN2308" s="38"/>
      <c r="AO2308" s="38"/>
      <c r="AP2308" s="38"/>
      <c r="AQ2308" s="38"/>
      <c r="AR2308" s="38"/>
      <c r="AS2308" s="38"/>
      <c r="AT2308" s="38"/>
      <c r="AU2308" s="38"/>
      <c r="AV2308" s="38"/>
      <c r="AW2308" s="38"/>
      <c r="AX2308" s="38"/>
      <c r="AY2308" s="38"/>
      <c r="AZ2308" s="38"/>
      <c r="BA2308" s="38"/>
      <c r="BB2308" s="38"/>
      <c r="BC2308" s="38"/>
      <c r="BD2308" s="38"/>
      <c r="BE2308" s="38"/>
      <c r="BF2308" s="38"/>
      <c r="BG2308" s="38"/>
    </row>
    <row r="2309">
      <c r="A2309" s="16"/>
      <c r="B2309" s="16"/>
      <c r="C2309" s="146"/>
      <c r="D2309" s="146"/>
      <c r="E2309" s="16"/>
      <c r="F2309" s="91"/>
      <c r="G2309" s="16"/>
      <c r="H2309" s="320" t="str">
        <f t="shared" si="1"/>
        <v/>
      </c>
      <c r="I2309" s="16"/>
      <c r="J2309" s="16"/>
      <c r="K2309" s="16"/>
      <c r="L2309" s="38"/>
      <c r="M2309" s="16"/>
      <c r="N2309" s="16"/>
      <c r="O2309" s="16"/>
      <c r="P2309" s="15"/>
      <c r="Q2309" s="15"/>
      <c r="R2309" s="16"/>
      <c r="S2309" s="16"/>
      <c r="T2309" s="16"/>
      <c r="U2309" s="16"/>
      <c r="V2309" s="37" t="str">
        <f>IFERROR(__xludf.DUMMYFUNCTION("if(not(iserror(index(split(C2309, "" ""),2))), index(split(C2309, "" ""),1),"""")"),"")</f>
        <v/>
      </c>
      <c r="W2309" s="315" t="str">
        <f>IFERROR(__xludf.DUMMYFUNCTION("if(V2309="""",C2309,if(not(iserror(index(split(C2309, "" ""),3))), index(split(C2309, "" ""),3),index(split(C2309, "" ""),2)))"),"")</f>
        <v/>
      </c>
      <c r="X2309" s="38" t="b">
        <f t="shared" si="2"/>
        <v>0</v>
      </c>
      <c r="Y2309" s="38"/>
      <c r="Z2309" s="40"/>
      <c r="AA2309" s="40"/>
      <c r="AB2309" s="38"/>
      <c r="AC2309" s="38"/>
      <c r="AD2309" s="38"/>
      <c r="AE2309" s="38"/>
      <c r="AF2309" s="38"/>
      <c r="AG2309" s="38"/>
      <c r="AH2309" s="38"/>
      <c r="AI2309" s="38"/>
      <c r="AJ2309" s="38"/>
      <c r="AK2309" s="38"/>
      <c r="AL2309" s="38"/>
      <c r="AM2309" s="38"/>
      <c r="AN2309" s="38"/>
      <c r="AO2309" s="38"/>
      <c r="AP2309" s="38"/>
      <c r="AQ2309" s="38"/>
      <c r="AR2309" s="38"/>
      <c r="AS2309" s="38"/>
      <c r="AT2309" s="38"/>
      <c r="AU2309" s="38"/>
      <c r="AV2309" s="38"/>
      <c r="AW2309" s="38"/>
      <c r="AX2309" s="38"/>
      <c r="AY2309" s="38"/>
      <c r="AZ2309" s="38"/>
      <c r="BA2309" s="38"/>
      <c r="BB2309" s="38"/>
      <c r="BC2309" s="38"/>
      <c r="BD2309" s="38"/>
      <c r="BE2309" s="38"/>
      <c r="BF2309" s="38"/>
      <c r="BG2309" s="38"/>
    </row>
    <row r="2310">
      <c r="A2310" s="16"/>
      <c r="B2310" s="16"/>
      <c r="C2310" s="146"/>
      <c r="D2310" s="146"/>
      <c r="E2310" s="16"/>
      <c r="F2310" s="91"/>
      <c r="G2310" s="16"/>
      <c r="H2310" s="320" t="str">
        <f t="shared" si="1"/>
        <v/>
      </c>
      <c r="I2310" s="16"/>
      <c r="J2310" s="16"/>
      <c r="K2310" s="16"/>
      <c r="L2310" s="38"/>
      <c r="M2310" s="16"/>
      <c r="N2310" s="16"/>
      <c r="O2310" s="16"/>
      <c r="P2310" s="15"/>
      <c r="Q2310" s="15"/>
      <c r="R2310" s="16"/>
      <c r="S2310" s="16"/>
      <c r="T2310" s="16"/>
      <c r="U2310" s="16"/>
      <c r="V2310" s="37" t="str">
        <f>IFERROR(__xludf.DUMMYFUNCTION("if(not(iserror(index(split(C2310, "" ""),2))), index(split(C2310, "" ""),1),"""")"),"")</f>
        <v/>
      </c>
      <c r="W2310" s="315" t="str">
        <f>IFERROR(__xludf.DUMMYFUNCTION("if(V2310="""",C2310,if(not(iserror(index(split(C2310, "" ""),3))), index(split(C2310, "" ""),3),index(split(C2310, "" ""),2)))"),"")</f>
        <v/>
      </c>
      <c r="X2310" s="38" t="b">
        <f t="shared" si="2"/>
        <v>0</v>
      </c>
      <c r="Y2310" s="38"/>
      <c r="Z2310" s="40"/>
      <c r="AA2310" s="40"/>
      <c r="AB2310" s="38"/>
      <c r="AC2310" s="38"/>
      <c r="AD2310" s="38"/>
      <c r="AE2310" s="38"/>
      <c r="AF2310" s="38"/>
      <c r="AG2310" s="38"/>
      <c r="AH2310" s="38"/>
      <c r="AI2310" s="38"/>
      <c r="AJ2310" s="38"/>
      <c r="AK2310" s="38"/>
      <c r="AL2310" s="38"/>
      <c r="AM2310" s="38"/>
      <c r="AN2310" s="38"/>
      <c r="AO2310" s="38"/>
      <c r="AP2310" s="38"/>
      <c r="AQ2310" s="38"/>
      <c r="AR2310" s="38"/>
      <c r="AS2310" s="38"/>
      <c r="AT2310" s="38"/>
      <c r="AU2310" s="38"/>
      <c r="AV2310" s="38"/>
      <c r="AW2310" s="38"/>
      <c r="AX2310" s="38"/>
      <c r="AY2310" s="38"/>
      <c r="AZ2310" s="38"/>
      <c r="BA2310" s="38"/>
      <c r="BB2310" s="38"/>
      <c r="BC2310" s="38"/>
      <c r="BD2310" s="38"/>
      <c r="BE2310" s="38"/>
      <c r="BF2310" s="38"/>
      <c r="BG2310" s="38"/>
    </row>
    <row r="2311">
      <c r="A2311" s="16"/>
      <c r="B2311" s="16"/>
      <c r="C2311" s="146"/>
      <c r="D2311" s="146"/>
      <c r="E2311" s="16"/>
      <c r="F2311" s="91"/>
      <c r="G2311" s="16"/>
      <c r="H2311" s="320" t="str">
        <f t="shared" si="1"/>
        <v/>
      </c>
      <c r="I2311" s="16"/>
      <c r="J2311" s="16"/>
      <c r="K2311" s="16"/>
      <c r="L2311" s="38"/>
      <c r="M2311" s="16"/>
      <c r="N2311" s="16"/>
      <c r="O2311" s="16"/>
      <c r="P2311" s="15"/>
      <c r="Q2311" s="15"/>
      <c r="R2311" s="16"/>
      <c r="S2311" s="16"/>
      <c r="T2311" s="16"/>
      <c r="U2311" s="16"/>
      <c r="V2311" s="37" t="str">
        <f>IFERROR(__xludf.DUMMYFUNCTION("if(not(iserror(index(split(C2311, "" ""),2))), index(split(C2311, "" ""),1),"""")"),"")</f>
        <v/>
      </c>
      <c r="W2311" s="315" t="str">
        <f>IFERROR(__xludf.DUMMYFUNCTION("if(V2311="""",C2311,if(not(iserror(index(split(C2311, "" ""),3))), index(split(C2311, "" ""),3),index(split(C2311, "" ""),2)))"),"")</f>
        <v/>
      </c>
      <c r="X2311" s="38" t="b">
        <f t="shared" si="2"/>
        <v>0</v>
      </c>
      <c r="Y2311" s="38"/>
      <c r="Z2311" s="40"/>
      <c r="AA2311" s="40"/>
      <c r="AB2311" s="38"/>
      <c r="AC2311" s="38"/>
      <c r="AD2311" s="38"/>
      <c r="AE2311" s="38"/>
      <c r="AF2311" s="38"/>
      <c r="AG2311" s="38"/>
      <c r="AH2311" s="38"/>
      <c r="AI2311" s="38"/>
      <c r="AJ2311" s="38"/>
      <c r="AK2311" s="38"/>
      <c r="AL2311" s="38"/>
      <c r="AM2311" s="38"/>
      <c r="AN2311" s="38"/>
      <c r="AO2311" s="38"/>
      <c r="AP2311" s="38"/>
      <c r="AQ2311" s="38"/>
      <c r="AR2311" s="38"/>
      <c r="AS2311" s="38"/>
      <c r="AT2311" s="38"/>
      <c r="AU2311" s="38"/>
      <c r="AV2311" s="38"/>
      <c r="AW2311" s="38"/>
      <c r="AX2311" s="38"/>
      <c r="AY2311" s="38"/>
      <c r="AZ2311" s="38"/>
      <c r="BA2311" s="38"/>
      <c r="BB2311" s="38"/>
      <c r="BC2311" s="38"/>
      <c r="BD2311" s="38"/>
      <c r="BE2311" s="38"/>
      <c r="BF2311" s="38"/>
      <c r="BG2311" s="38"/>
    </row>
    <row r="2312">
      <c r="A2312" s="16"/>
      <c r="B2312" s="16"/>
      <c r="C2312" s="146"/>
      <c r="D2312" s="146"/>
      <c r="E2312" s="16"/>
      <c r="F2312" s="91"/>
      <c r="G2312" s="16"/>
      <c r="H2312" s="320" t="str">
        <f t="shared" si="1"/>
        <v/>
      </c>
      <c r="I2312" s="16"/>
      <c r="J2312" s="16"/>
      <c r="K2312" s="16"/>
      <c r="L2312" s="38"/>
      <c r="M2312" s="16"/>
      <c r="N2312" s="16"/>
      <c r="O2312" s="16"/>
      <c r="P2312" s="15"/>
      <c r="Q2312" s="15"/>
      <c r="R2312" s="16"/>
      <c r="S2312" s="16"/>
      <c r="T2312" s="16"/>
      <c r="U2312" s="16"/>
      <c r="V2312" s="37" t="str">
        <f>IFERROR(__xludf.DUMMYFUNCTION("if(not(iserror(index(split(C2312, "" ""),2))), index(split(C2312, "" ""),1),"""")"),"")</f>
        <v/>
      </c>
      <c r="W2312" s="315" t="str">
        <f>IFERROR(__xludf.DUMMYFUNCTION("if(V2312="""",C2312,if(not(iserror(index(split(C2312, "" ""),3))), index(split(C2312, "" ""),3),index(split(C2312, "" ""),2)))"),"")</f>
        <v/>
      </c>
      <c r="X2312" s="38" t="b">
        <f t="shared" si="2"/>
        <v>0</v>
      </c>
      <c r="Y2312" s="38"/>
      <c r="Z2312" s="40"/>
      <c r="AA2312" s="40"/>
      <c r="AB2312" s="38"/>
      <c r="AC2312" s="38"/>
      <c r="AD2312" s="38"/>
      <c r="AE2312" s="38"/>
      <c r="AF2312" s="38"/>
      <c r="AG2312" s="38"/>
      <c r="AH2312" s="38"/>
      <c r="AI2312" s="38"/>
      <c r="AJ2312" s="38"/>
      <c r="AK2312" s="38"/>
      <c r="AL2312" s="38"/>
      <c r="AM2312" s="38"/>
      <c r="AN2312" s="38"/>
      <c r="AO2312" s="38"/>
      <c r="AP2312" s="38"/>
      <c r="AQ2312" s="38"/>
      <c r="AR2312" s="38"/>
      <c r="AS2312" s="38"/>
      <c r="AT2312" s="38"/>
      <c r="AU2312" s="38"/>
      <c r="AV2312" s="38"/>
      <c r="AW2312" s="38"/>
      <c r="AX2312" s="38"/>
      <c r="AY2312" s="38"/>
      <c r="AZ2312" s="38"/>
      <c r="BA2312" s="38"/>
      <c r="BB2312" s="38"/>
      <c r="BC2312" s="38"/>
      <c r="BD2312" s="38"/>
      <c r="BE2312" s="38"/>
      <c r="BF2312" s="38"/>
      <c r="BG2312" s="38"/>
    </row>
    <row r="2313">
      <c r="A2313" s="16"/>
      <c r="B2313" s="16"/>
      <c r="C2313" s="146"/>
      <c r="D2313" s="146"/>
      <c r="E2313" s="16"/>
      <c r="F2313" s="91"/>
      <c r="G2313" s="16"/>
      <c r="H2313" s="320" t="str">
        <f t="shared" si="1"/>
        <v/>
      </c>
      <c r="I2313" s="16"/>
      <c r="J2313" s="16"/>
      <c r="K2313" s="16"/>
      <c r="L2313" s="38"/>
      <c r="M2313" s="16"/>
      <c r="N2313" s="16"/>
      <c r="O2313" s="16"/>
      <c r="P2313" s="15"/>
      <c r="Q2313" s="15"/>
      <c r="R2313" s="16"/>
      <c r="S2313" s="16"/>
      <c r="T2313" s="16"/>
      <c r="U2313" s="16"/>
      <c r="V2313" s="37" t="str">
        <f>IFERROR(__xludf.DUMMYFUNCTION("if(not(iserror(index(split(C2313, "" ""),2))), index(split(C2313, "" ""),1),"""")"),"")</f>
        <v/>
      </c>
      <c r="W2313" s="315" t="str">
        <f>IFERROR(__xludf.DUMMYFUNCTION("if(V2313="""",C2313,if(not(iserror(index(split(C2313, "" ""),3))), index(split(C2313, "" ""),3),index(split(C2313, "" ""),2)))"),"")</f>
        <v/>
      </c>
      <c r="X2313" s="38" t="b">
        <f t="shared" si="2"/>
        <v>0</v>
      </c>
      <c r="Y2313" s="38"/>
      <c r="Z2313" s="40"/>
      <c r="AA2313" s="40"/>
      <c r="AB2313" s="38"/>
      <c r="AC2313" s="38"/>
      <c r="AD2313" s="38"/>
      <c r="AE2313" s="38"/>
      <c r="AF2313" s="38"/>
      <c r="AG2313" s="38"/>
      <c r="AH2313" s="38"/>
      <c r="AI2313" s="38"/>
      <c r="AJ2313" s="38"/>
      <c r="AK2313" s="38"/>
      <c r="AL2313" s="38"/>
      <c r="AM2313" s="38"/>
      <c r="AN2313" s="38"/>
      <c r="AO2313" s="38"/>
      <c r="AP2313" s="38"/>
      <c r="AQ2313" s="38"/>
      <c r="AR2313" s="38"/>
      <c r="AS2313" s="38"/>
      <c r="AT2313" s="38"/>
      <c r="AU2313" s="38"/>
      <c r="AV2313" s="38"/>
      <c r="AW2313" s="38"/>
      <c r="AX2313" s="38"/>
      <c r="AY2313" s="38"/>
      <c r="AZ2313" s="38"/>
      <c r="BA2313" s="38"/>
      <c r="BB2313" s="38"/>
      <c r="BC2313" s="38"/>
      <c r="BD2313" s="38"/>
      <c r="BE2313" s="38"/>
      <c r="BF2313" s="38"/>
      <c r="BG2313" s="38"/>
    </row>
    <row r="2314">
      <c r="A2314" s="16"/>
      <c r="B2314" s="16"/>
      <c r="C2314" s="146"/>
      <c r="D2314" s="146"/>
      <c r="E2314" s="16"/>
      <c r="F2314" s="91"/>
      <c r="G2314" s="16"/>
      <c r="H2314" s="320" t="str">
        <f t="shared" si="1"/>
        <v/>
      </c>
      <c r="I2314" s="16"/>
      <c r="J2314" s="16"/>
      <c r="K2314" s="16"/>
      <c r="L2314" s="38"/>
      <c r="M2314" s="16"/>
      <c r="N2314" s="16"/>
      <c r="O2314" s="16"/>
      <c r="P2314" s="15"/>
      <c r="Q2314" s="15"/>
      <c r="R2314" s="16"/>
      <c r="S2314" s="16"/>
      <c r="T2314" s="16"/>
      <c r="U2314" s="16"/>
      <c r="V2314" s="37" t="str">
        <f>IFERROR(__xludf.DUMMYFUNCTION("if(not(iserror(index(split(C2314, "" ""),2))), index(split(C2314, "" ""),1),"""")"),"")</f>
        <v/>
      </c>
      <c r="W2314" s="315" t="str">
        <f>IFERROR(__xludf.DUMMYFUNCTION("if(V2314="""",C2314,if(not(iserror(index(split(C2314, "" ""),3))), index(split(C2314, "" ""),3),index(split(C2314, "" ""),2)))"),"")</f>
        <v/>
      </c>
      <c r="X2314" s="38" t="b">
        <f t="shared" si="2"/>
        <v>0</v>
      </c>
      <c r="Y2314" s="38"/>
      <c r="Z2314" s="40"/>
      <c r="AA2314" s="40"/>
      <c r="AB2314" s="38"/>
      <c r="AC2314" s="38"/>
      <c r="AD2314" s="38"/>
      <c r="AE2314" s="38"/>
      <c r="AF2314" s="38"/>
      <c r="AG2314" s="38"/>
      <c r="AH2314" s="38"/>
      <c r="AI2314" s="38"/>
      <c r="AJ2314" s="38"/>
      <c r="AK2314" s="38"/>
      <c r="AL2314" s="38"/>
      <c r="AM2314" s="38"/>
      <c r="AN2314" s="38"/>
      <c r="AO2314" s="38"/>
      <c r="AP2314" s="38"/>
      <c r="AQ2314" s="38"/>
      <c r="AR2314" s="38"/>
      <c r="AS2314" s="38"/>
      <c r="AT2314" s="38"/>
      <c r="AU2314" s="38"/>
      <c r="AV2314" s="38"/>
      <c r="AW2314" s="38"/>
      <c r="AX2314" s="38"/>
      <c r="AY2314" s="38"/>
      <c r="AZ2314" s="38"/>
      <c r="BA2314" s="38"/>
      <c r="BB2314" s="38"/>
      <c r="BC2314" s="38"/>
      <c r="BD2314" s="38"/>
      <c r="BE2314" s="38"/>
      <c r="BF2314" s="38"/>
      <c r="BG2314" s="38"/>
    </row>
    <row r="2315">
      <c r="A2315" s="16"/>
      <c r="B2315" s="16"/>
      <c r="C2315" s="146"/>
      <c r="D2315" s="146"/>
      <c r="E2315" s="16"/>
      <c r="F2315" s="91"/>
      <c r="G2315" s="16"/>
      <c r="H2315" s="320" t="str">
        <f t="shared" si="1"/>
        <v/>
      </c>
      <c r="I2315" s="16"/>
      <c r="J2315" s="16"/>
      <c r="K2315" s="16"/>
      <c r="L2315" s="38"/>
      <c r="M2315" s="16"/>
      <c r="N2315" s="16"/>
      <c r="O2315" s="16"/>
      <c r="P2315" s="15"/>
      <c r="Q2315" s="15"/>
      <c r="R2315" s="16"/>
      <c r="S2315" s="16"/>
      <c r="T2315" s="16"/>
      <c r="U2315" s="16"/>
      <c r="V2315" s="37" t="str">
        <f>IFERROR(__xludf.DUMMYFUNCTION("if(not(iserror(index(split(C2315, "" ""),2))), index(split(C2315, "" ""),1),"""")"),"")</f>
        <v/>
      </c>
      <c r="W2315" s="315" t="str">
        <f>IFERROR(__xludf.DUMMYFUNCTION("if(V2315="""",C2315,if(not(iserror(index(split(C2315, "" ""),3))), index(split(C2315, "" ""),3),index(split(C2315, "" ""),2)))"),"")</f>
        <v/>
      </c>
      <c r="X2315" s="38" t="b">
        <f t="shared" si="2"/>
        <v>0</v>
      </c>
      <c r="Y2315" s="38"/>
      <c r="Z2315" s="40"/>
      <c r="AA2315" s="40"/>
      <c r="AB2315" s="38"/>
      <c r="AC2315" s="38"/>
      <c r="AD2315" s="38"/>
      <c r="AE2315" s="38"/>
      <c r="AF2315" s="38"/>
      <c r="AG2315" s="38"/>
      <c r="AH2315" s="38"/>
      <c r="AI2315" s="38"/>
      <c r="AJ2315" s="38"/>
      <c r="AK2315" s="38"/>
      <c r="AL2315" s="38"/>
      <c r="AM2315" s="38"/>
      <c r="AN2315" s="38"/>
      <c r="AO2315" s="38"/>
      <c r="AP2315" s="38"/>
      <c r="AQ2315" s="38"/>
      <c r="AR2315" s="38"/>
      <c r="AS2315" s="38"/>
      <c r="AT2315" s="38"/>
      <c r="AU2315" s="38"/>
      <c r="AV2315" s="38"/>
      <c r="AW2315" s="38"/>
      <c r="AX2315" s="38"/>
      <c r="AY2315" s="38"/>
      <c r="AZ2315" s="38"/>
      <c r="BA2315" s="38"/>
      <c r="BB2315" s="38"/>
      <c r="BC2315" s="38"/>
      <c r="BD2315" s="38"/>
      <c r="BE2315" s="38"/>
      <c r="BF2315" s="38"/>
      <c r="BG2315" s="38"/>
    </row>
    <row r="2316">
      <c r="A2316" s="16"/>
      <c r="B2316" s="16"/>
      <c r="C2316" s="146"/>
      <c r="D2316" s="146"/>
      <c r="E2316" s="16"/>
      <c r="F2316" s="91"/>
      <c r="G2316" s="16"/>
      <c r="H2316" s="320" t="str">
        <f t="shared" si="1"/>
        <v/>
      </c>
      <c r="I2316" s="16"/>
      <c r="J2316" s="16"/>
      <c r="K2316" s="16"/>
      <c r="L2316" s="38"/>
      <c r="M2316" s="16"/>
      <c r="N2316" s="16"/>
      <c r="O2316" s="16"/>
      <c r="P2316" s="15"/>
      <c r="Q2316" s="15"/>
      <c r="R2316" s="16"/>
      <c r="S2316" s="16"/>
      <c r="T2316" s="16"/>
      <c r="U2316" s="16"/>
      <c r="V2316" s="37" t="str">
        <f>IFERROR(__xludf.DUMMYFUNCTION("if(not(iserror(index(split(C2316, "" ""),2))), index(split(C2316, "" ""),1),"""")"),"")</f>
        <v/>
      </c>
      <c r="W2316" s="315" t="str">
        <f>IFERROR(__xludf.DUMMYFUNCTION("if(V2316="""",C2316,if(not(iserror(index(split(C2316, "" ""),3))), index(split(C2316, "" ""),3),index(split(C2316, "" ""),2)))"),"")</f>
        <v/>
      </c>
      <c r="X2316" s="38" t="b">
        <f t="shared" si="2"/>
        <v>0</v>
      </c>
      <c r="Y2316" s="38"/>
      <c r="Z2316" s="40"/>
      <c r="AA2316" s="40"/>
      <c r="AB2316" s="38"/>
      <c r="AC2316" s="38"/>
      <c r="AD2316" s="38"/>
      <c r="AE2316" s="38"/>
      <c r="AF2316" s="38"/>
      <c r="AG2316" s="38"/>
      <c r="AH2316" s="38"/>
      <c r="AI2316" s="38"/>
      <c r="AJ2316" s="38"/>
      <c r="AK2316" s="38"/>
      <c r="AL2316" s="38"/>
      <c r="AM2316" s="38"/>
      <c r="AN2316" s="38"/>
      <c r="AO2316" s="38"/>
      <c r="AP2316" s="38"/>
      <c r="AQ2316" s="38"/>
      <c r="AR2316" s="38"/>
      <c r="AS2316" s="38"/>
      <c r="AT2316" s="38"/>
      <c r="AU2316" s="38"/>
      <c r="AV2316" s="38"/>
      <c r="AW2316" s="38"/>
      <c r="AX2316" s="38"/>
      <c r="AY2316" s="38"/>
      <c r="AZ2316" s="38"/>
      <c r="BA2316" s="38"/>
      <c r="BB2316" s="38"/>
      <c r="BC2316" s="38"/>
      <c r="BD2316" s="38"/>
      <c r="BE2316" s="38"/>
      <c r="BF2316" s="38"/>
      <c r="BG2316" s="38"/>
    </row>
    <row r="2317">
      <c r="A2317" s="16"/>
      <c r="B2317" s="16"/>
      <c r="C2317" s="146"/>
      <c r="D2317" s="146"/>
      <c r="E2317" s="16"/>
      <c r="F2317" s="91"/>
      <c r="G2317" s="16"/>
      <c r="H2317" s="320" t="str">
        <f t="shared" si="1"/>
        <v/>
      </c>
      <c r="I2317" s="16"/>
      <c r="J2317" s="16"/>
      <c r="K2317" s="16"/>
      <c r="L2317" s="38"/>
      <c r="M2317" s="16"/>
      <c r="N2317" s="16"/>
      <c r="O2317" s="16"/>
      <c r="P2317" s="15"/>
      <c r="Q2317" s="15"/>
      <c r="R2317" s="16"/>
      <c r="S2317" s="16"/>
      <c r="T2317" s="16"/>
      <c r="U2317" s="16"/>
      <c r="V2317" s="37" t="str">
        <f>IFERROR(__xludf.DUMMYFUNCTION("if(not(iserror(index(split(C2317, "" ""),2))), index(split(C2317, "" ""),1),"""")"),"")</f>
        <v/>
      </c>
      <c r="W2317" s="315" t="str">
        <f>IFERROR(__xludf.DUMMYFUNCTION("if(V2317="""",C2317,if(not(iserror(index(split(C2317, "" ""),3))), index(split(C2317, "" ""),3),index(split(C2317, "" ""),2)))"),"")</f>
        <v/>
      </c>
      <c r="X2317" s="38" t="b">
        <f t="shared" si="2"/>
        <v>0</v>
      </c>
      <c r="Y2317" s="38"/>
      <c r="Z2317" s="40"/>
      <c r="AA2317" s="40"/>
      <c r="AB2317" s="38"/>
      <c r="AC2317" s="38"/>
      <c r="AD2317" s="38"/>
      <c r="AE2317" s="38"/>
      <c r="AF2317" s="38"/>
      <c r="AG2317" s="38"/>
      <c r="AH2317" s="38"/>
      <c r="AI2317" s="38"/>
      <c r="AJ2317" s="38"/>
      <c r="AK2317" s="38"/>
      <c r="AL2317" s="38"/>
      <c r="AM2317" s="38"/>
      <c r="AN2317" s="38"/>
      <c r="AO2317" s="38"/>
      <c r="AP2317" s="38"/>
      <c r="AQ2317" s="38"/>
      <c r="AR2317" s="38"/>
      <c r="AS2317" s="38"/>
      <c r="AT2317" s="38"/>
      <c r="AU2317" s="38"/>
      <c r="AV2317" s="38"/>
      <c r="AW2317" s="38"/>
      <c r="AX2317" s="38"/>
      <c r="AY2317" s="38"/>
      <c r="AZ2317" s="38"/>
      <c r="BA2317" s="38"/>
      <c r="BB2317" s="38"/>
      <c r="BC2317" s="38"/>
      <c r="BD2317" s="38"/>
      <c r="BE2317" s="38"/>
      <c r="BF2317" s="38"/>
      <c r="BG2317" s="38"/>
    </row>
    <row r="2318">
      <c r="A2318" s="16"/>
      <c r="B2318" s="16"/>
      <c r="C2318" s="146"/>
      <c r="D2318" s="146"/>
      <c r="E2318" s="16"/>
      <c r="F2318" s="91"/>
      <c r="G2318" s="16"/>
      <c r="H2318" s="320" t="str">
        <f t="shared" si="1"/>
        <v/>
      </c>
      <c r="I2318" s="16"/>
      <c r="J2318" s="16"/>
      <c r="K2318" s="16"/>
      <c r="L2318" s="38"/>
      <c r="M2318" s="16"/>
      <c r="N2318" s="16"/>
      <c r="O2318" s="16"/>
      <c r="P2318" s="15"/>
      <c r="Q2318" s="15"/>
      <c r="R2318" s="16"/>
      <c r="S2318" s="16"/>
      <c r="T2318" s="16"/>
      <c r="U2318" s="16"/>
      <c r="V2318" s="37" t="str">
        <f>IFERROR(__xludf.DUMMYFUNCTION("if(not(iserror(index(split(C2318, "" ""),2))), index(split(C2318, "" ""),1),"""")"),"")</f>
        <v/>
      </c>
      <c r="W2318" s="315" t="str">
        <f>IFERROR(__xludf.DUMMYFUNCTION("if(V2318="""",C2318,if(not(iserror(index(split(C2318, "" ""),3))), index(split(C2318, "" ""),3),index(split(C2318, "" ""),2)))"),"")</f>
        <v/>
      </c>
      <c r="X2318" s="38" t="b">
        <f t="shared" si="2"/>
        <v>0</v>
      </c>
      <c r="Y2318" s="38"/>
      <c r="Z2318" s="40"/>
      <c r="AA2318" s="40"/>
      <c r="AB2318" s="38"/>
      <c r="AC2318" s="38"/>
      <c r="AD2318" s="38"/>
      <c r="AE2318" s="38"/>
      <c r="AF2318" s="38"/>
      <c r="AG2318" s="38"/>
      <c r="AH2318" s="38"/>
      <c r="AI2318" s="38"/>
      <c r="AJ2318" s="38"/>
      <c r="AK2318" s="38"/>
      <c r="AL2318" s="38"/>
      <c r="AM2318" s="38"/>
      <c r="AN2318" s="38"/>
      <c r="AO2318" s="38"/>
      <c r="AP2318" s="38"/>
      <c r="AQ2318" s="38"/>
      <c r="AR2318" s="38"/>
      <c r="AS2318" s="38"/>
      <c r="AT2318" s="38"/>
      <c r="AU2318" s="38"/>
      <c r="AV2318" s="38"/>
      <c r="AW2318" s="38"/>
      <c r="AX2318" s="38"/>
      <c r="AY2318" s="38"/>
      <c r="AZ2318" s="38"/>
      <c r="BA2318" s="38"/>
      <c r="BB2318" s="38"/>
      <c r="BC2318" s="38"/>
      <c r="BD2318" s="38"/>
      <c r="BE2318" s="38"/>
      <c r="BF2318" s="38"/>
      <c r="BG2318" s="38"/>
    </row>
    <row r="2319">
      <c r="A2319" s="16"/>
      <c r="B2319" s="16"/>
      <c r="C2319" s="146"/>
      <c r="D2319" s="146"/>
      <c r="E2319" s="16"/>
      <c r="F2319" s="91"/>
      <c r="G2319" s="16"/>
      <c r="H2319" s="320" t="str">
        <f t="shared" si="1"/>
        <v/>
      </c>
      <c r="I2319" s="16"/>
      <c r="J2319" s="16"/>
      <c r="K2319" s="16"/>
      <c r="L2319" s="38"/>
      <c r="M2319" s="16"/>
      <c r="N2319" s="16"/>
      <c r="O2319" s="16"/>
      <c r="P2319" s="15"/>
      <c r="Q2319" s="15"/>
      <c r="R2319" s="16"/>
      <c r="S2319" s="16"/>
      <c r="T2319" s="16"/>
      <c r="U2319" s="16"/>
      <c r="V2319" s="37" t="str">
        <f>IFERROR(__xludf.DUMMYFUNCTION("if(not(iserror(index(split(C2319, "" ""),2))), index(split(C2319, "" ""),1),"""")"),"")</f>
        <v/>
      </c>
      <c r="W2319" s="315" t="str">
        <f>IFERROR(__xludf.DUMMYFUNCTION("if(V2319="""",C2319,if(not(iserror(index(split(C2319, "" ""),3))), index(split(C2319, "" ""),3),index(split(C2319, "" ""),2)))"),"")</f>
        <v/>
      </c>
      <c r="X2319" s="38" t="b">
        <f t="shared" si="2"/>
        <v>0</v>
      </c>
      <c r="Y2319" s="38"/>
      <c r="Z2319" s="40"/>
      <c r="AA2319" s="40"/>
      <c r="AB2319" s="38"/>
      <c r="AC2319" s="38"/>
      <c r="AD2319" s="38"/>
      <c r="AE2319" s="38"/>
      <c r="AF2319" s="38"/>
      <c r="AG2319" s="38"/>
      <c r="AH2319" s="38"/>
      <c r="AI2319" s="38"/>
      <c r="AJ2319" s="38"/>
      <c r="AK2319" s="38"/>
      <c r="AL2319" s="38"/>
      <c r="AM2319" s="38"/>
      <c r="AN2319" s="38"/>
      <c r="AO2319" s="38"/>
      <c r="AP2319" s="38"/>
      <c r="AQ2319" s="38"/>
      <c r="AR2319" s="38"/>
      <c r="AS2319" s="38"/>
      <c r="AT2319" s="38"/>
      <c r="AU2319" s="38"/>
      <c r="AV2319" s="38"/>
      <c r="AW2319" s="38"/>
      <c r="AX2319" s="38"/>
      <c r="AY2319" s="38"/>
      <c r="AZ2319" s="38"/>
      <c r="BA2319" s="38"/>
      <c r="BB2319" s="38"/>
      <c r="BC2319" s="38"/>
      <c r="BD2319" s="38"/>
      <c r="BE2319" s="38"/>
      <c r="BF2319" s="38"/>
      <c r="BG2319" s="38"/>
    </row>
    <row r="2320">
      <c r="A2320" s="16"/>
      <c r="B2320" s="16"/>
      <c r="C2320" s="146"/>
      <c r="D2320" s="146"/>
      <c r="E2320" s="16"/>
      <c r="F2320" s="91"/>
      <c r="G2320" s="16"/>
      <c r="H2320" s="320" t="str">
        <f t="shared" si="1"/>
        <v/>
      </c>
      <c r="I2320" s="16"/>
      <c r="J2320" s="16"/>
      <c r="K2320" s="16"/>
      <c r="L2320" s="38"/>
      <c r="M2320" s="16"/>
      <c r="N2320" s="16"/>
      <c r="O2320" s="16"/>
      <c r="P2320" s="15"/>
      <c r="Q2320" s="15"/>
      <c r="R2320" s="16"/>
      <c r="S2320" s="16"/>
      <c r="T2320" s="16"/>
      <c r="U2320" s="16"/>
      <c r="V2320" s="37" t="str">
        <f>IFERROR(__xludf.DUMMYFUNCTION("if(not(iserror(index(split(C2320, "" ""),2))), index(split(C2320, "" ""),1),"""")"),"")</f>
        <v/>
      </c>
      <c r="W2320" s="315" t="str">
        <f>IFERROR(__xludf.DUMMYFUNCTION("if(V2320="""",C2320,if(not(iserror(index(split(C2320, "" ""),3))), index(split(C2320, "" ""),3),index(split(C2320, "" ""),2)))"),"")</f>
        <v/>
      </c>
      <c r="X2320" s="38" t="b">
        <f t="shared" si="2"/>
        <v>0</v>
      </c>
      <c r="Y2320" s="38"/>
      <c r="Z2320" s="40"/>
      <c r="AA2320" s="40"/>
      <c r="AB2320" s="38"/>
      <c r="AC2320" s="38"/>
      <c r="AD2320" s="38"/>
      <c r="AE2320" s="38"/>
      <c r="AF2320" s="38"/>
      <c r="AG2320" s="38"/>
      <c r="AH2320" s="38"/>
      <c r="AI2320" s="38"/>
      <c r="AJ2320" s="38"/>
      <c r="AK2320" s="38"/>
      <c r="AL2320" s="38"/>
      <c r="AM2320" s="38"/>
      <c r="AN2320" s="38"/>
      <c r="AO2320" s="38"/>
      <c r="AP2320" s="38"/>
      <c r="AQ2320" s="38"/>
      <c r="AR2320" s="38"/>
      <c r="AS2320" s="38"/>
      <c r="AT2320" s="38"/>
      <c r="AU2320" s="38"/>
      <c r="AV2320" s="38"/>
      <c r="AW2320" s="38"/>
      <c r="AX2320" s="38"/>
      <c r="AY2320" s="38"/>
      <c r="AZ2320" s="38"/>
      <c r="BA2320" s="38"/>
      <c r="BB2320" s="38"/>
      <c r="BC2320" s="38"/>
      <c r="BD2320" s="38"/>
      <c r="BE2320" s="38"/>
      <c r="BF2320" s="38"/>
      <c r="BG2320" s="38"/>
    </row>
    <row r="2321">
      <c r="A2321" s="16"/>
      <c r="B2321" s="16"/>
      <c r="C2321" s="146"/>
      <c r="D2321" s="146"/>
      <c r="E2321" s="16"/>
      <c r="F2321" s="91"/>
      <c r="G2321" s="16"/>
      <c r="H2321" s="320" t="str">
        <f t="shared" si="1"/>
        <v/>
      </c>
      <c r="I2321" s="16"/>
      <c r="J2321" s="16"/>
      <c r="K2321" s="16"/>
      <c r="L2321" s="38"/>
      <c r="M2321" s="16"/>
      <c r="N2321" s="16"/>
      <c r="O2321" s="16"/>
      <c r="P2321" s="15"/>
      <c r="Q2321" s="15"/>
      <c r="R2321" s="16"/>
      <c r="S2321" s="16"/>
      <c r="T2321" s="16"/>
      <c r="U2321" s="16"/>
      <c r="V2321" s="37" t="str">
        <f>IFERROR(__xludf.DUMMYFUNCTION("if(not(iserror(index(split(C2321, "" ""),2))), index(split(C2321, "" ""),1),"""")"),"")</f>
        <v/>
      </c>
      <c r="W2321" s="315" t="str">
        <f>IFERROR(__xludf.DUMMYFUNCTION("if(V2321="""",C2321,if(not(iserror(index(split(C2321, "" ""),3))), index(split(C2321, "" ""),3),index(split(C2321, "" ""),2)))"),"")</f>
        <v/>
      </c>
      <c r="X2321" s="38" t="b">
        <f t="shared" si="2"/>
        <v>0</v>
      </c>
      <c r="Y2321" s="38"/>
      <c r="Z2321" s="40"/>
      <c r="AA2321" s="40"/>
      <c r="AB2321" s="38"/>
      <c r="AC2321" s="38"/>
      <c r="AD2321" s="38"/>
      <c r="AE2321" s="38"/>
      <c r="AF2321" s="38"/>
      <c r="AG2321" s="38"/>
      <c r="AH2321" s="38"/>
      <c r="AI2321" s="38"/>
      <c r="AJ2321" s="38"/>
      <c r="AK2321" s="38"/>
      <c r="AL2321" s="38"/>
      <c r="AM2321" s="38"/>
      <c r="AN2321" s="38"/>
      <c r="AO2321" s="38"/>
      <c r="AP2321" s="38"/>
      <c r="AQ2321" s="38"/>
      <c r="AR2321" s="38"/>
      <c r="AS2321" s="38"/>
      <c r="AT2321" s="38"/>
      <c r="AU2321" s="38"/>
      <c r="AV2321" s="38"/>
      <c r="AW2321" s="38"/>
      <c r="AX2321" s="38"/>
      <c r="AY2321" s="38"/>
      <c r="AZ2321" s="38"/>
      <c r="BA2321" s="38"/>
      <c r="BB2321" s="38"/>
      <c r="BC2321" s="38"/>
      <c r="BD2321" s="38"/>
      <c r="BE2321" s="38"/>
      <c r="BF2321" s="38"/>
      <c r="BG2321" s="38"/>
    </row>
    <row r="2322">
      <c r="A2322" s="16"/>
      <c r="B2322" s="16"/>
      <c r="C2322" s="146"/>
      <c r="D2322" s="146"/>
      <c r="E2322" s="16"/>
      <c r="F2322" s="91"/>
      <c r="G2322" s="16"/>
      <c r="H2322" s="320" t="str">
        <f t="shared" si="1"/>
        <v/>
      </c>
      <c r="I2322" s="16"/>
      <c r="J2322" s="16"/>
      <c r="K2322" s="16"/>
      <c r="L2322" s="38"/>
      <c r="M2322" s="16"/>
      <c r="N2322" s="16"/>
      <c r="O2322" s="16"/>
      <c r="P2322" s="15"/>
      <c r="Q2322" s="15"/>
      <c r="R2322" s="16"/>
      <c r="S2322" s="16"/>
      <c r="T2322" s="16"/>
      <c r="U2322" s="16"/>
      <c r="V2322" s="37" t="str">
        <f>IFERROR(__xludf.DUMMYFUNCTION("if(not(iserror(index(split(C2322, "" ""),2))), index(split(C2322, "" ""),1),"""")"),"")</f>
        <v/>
      </c>
      <c r="W2322" s="315" t="str">
        <f>IFERROR(__xludf.DUMMYFUNCTION("if(V2322="""",C2322,if(not(iserror(index(split(C2322, "" ""),3))), index(split(C2322, "" ""),3),index(split(C2322, "" ""),2)))"),"")</f>
        <v/>
      </c>
      <c r="X2322" s="38" t="b">
        <f t="shared" si="2"/>
        <v>0</v>
      </c>
      <c r="Y2322" s="38"/>
      <c r="Z2322" s="40"/>
      <c r="AA2322" s="40"/>
      <c r="AB2322" s="38"/>
      <c r="AC2322" s="38"/>
      <c r="AD2322" s="38"/>
      <c r="AE2322" s="38"/>
      <c r="AF2322" s="38"/>
      <c r="AG2322" s="38"/>
      <c r="AH2322" s="38"/>
      <c r="AI2322" s="38"/>
      <c r="AJ2322" s="38"/>
      <c r="AK2322" s="38"/>
      <c r="AL2322" s="38"/>
      <c r="AM2322" s="38"/>
      <c r="AN2322" s="38"/>
      <c r="AO2322" s="38"/>
      <c r="AP2322" s="38"/>
      <c r="AQ2322" s="38"/>
      <c r="AR2322" s="38"/>
      <c r="AS2322" s="38"/>
      <c r="AT2322" s="38"/>
      <c r="AU2322" s="38"/>
      <c r="AV2322" s="38"/>
      <c r="AW2322" s="38"/>
      <c r="AX2322" s="38"/>
      <c r="AY2322" s="38"/>
      <c r="AZ2322" s="38"/>
      <c r="BA2322" s="38"/>
      <c r="BB2322" s="38"/>
      <c r="BC2322" s="38"/>
      <c r="BD2322" s="38"/>
      <c r="BE2322" s="38"/>
      <c r="BF2322" s="38"/>
      <c r="BG2322" s="38"/>
    </row>
    <row r="2323">
      <c r="A2323" s="16"/>
      <c r="B2323" s="16"/>
      <c r="C2323" s="146"/>
      <c r="D2323" s="146"/>
      <c r="E2323" s="16"/>
      <c r="F2323" s="91"/>
      <c r="G2323" s="16"/>
      <c r="H2323" s="320" t="str">
        <f t="shared" si="1"/>
        <v/>
      </c>
      <c r="I2323" s="16"/>
      <c r="J2323" s="16"/>
      <c r="K2323" s="16"/>
      <c r="L2323" s="38"/>
      <c r="M2323" s="16"/>
      <c r="N2323" s="16"/>
      <c r="O2323" s="16"/>
      <c r="P2323" s="15"/>
      <c r="Q2323" s="15"/>
      <c r="R2323" s="16"/>
      <c r="S2323" s="16"/>
      <c r="T2323" s="16"/>
      <c r="U2323" s="16"/>
      <c r="V2323" s="37" t="str">
        <f>IFERROR(__xludf.DUMMYFUNCTION("if(not(iserror(index(split(C2323, "" ""),2))), index(split(C2323, "" ""),1),"""")"),"")</f>
        <v/>
      </c>
      <c r="W2323" s="315" t="str">
        <f>IFERROR(__xludf.DUMMYFUNCTION("if(V2323="""",C2323,if(not(iserror(index(split(C2323, "" ""),3))), index(split(C2323, "" ""),3),index(split(C2323, "" ""),2)))"),"")</f>
        <v/>
      </c>
      <c r="X2323" s="38" t="b">
        <f t="shared" si="2"/>
        <v>0</v>
      </c>
      <c r="Y2323" s="38"/>
      <c r="Z2323" s="40"/>
      <c r="AA2323" s="40"/>
      <c r="AB2323" s="38"/>
      <c r="AC2323" s="38"/>
      <c r="AD2323" s="38"/>
      <c r="AE2323" s="38"/>
      <c r="AF2323" s="38"/>
      <c r="AG2323" s="38"/>
      <c r="AH2323" s="38"/>
      <c r="AI2323" s="38"/>
      <c r="AJ2323" s="38"/>
      <c r="AK2323" s="38"/>
      <c r="AL2323" s="38"/>
      <c r="AM2323" s="38"/>
      <c r="AN2323" s="38"/>
      <c r="AO2323" s="38"/>
      <c r="AP2323" s="38"/>
      <c r="AQ2323" s="38"/>
      <c r="AR2323" s="38"/>
      <c r="AS2323" s="38"/>
      <c r="AT2323" s="38"/>
      <c r="AU2323" s="38"/>
      <c r="AV2323" s="38"/>
      <c r="AW2323" s="38"/>
      <c r="AX2323" s="38"/>
      <c r="AY2323" s="38"/>
      <c r="AZ2323" s="38"/>
      <c r="BA2323" s="38"/>
      <c r="BB2323" s="38"/>
      <c r="BC2323" s="38"/>
      <c r="BD2323" s="38"/>
      <c r="BE2323" s="38"/>
      <c r="BF2323" s="38"/>
      <c r="BG2323" s="38"/>
    </row>
    <row r="2324">
      <c r="A2324" s="16"/>
      <c r="B2324" s="16"/>
      <c r="C2324" s="146"/>
      <c r="D2324" s="146"/>
      <c r="E2324" s="16"/>
      <c r="F2324" s="91"/>
      <c r="G2324" s="16"/>
      <c r="H2324" s="320" t="str">
        <f t="shared" si="1"/>
        <v/>
      </c>
      <c r="I2324" s="16"/>
      <c r="J2324" s="16"/>
      <c r="K2324" s="16"/>
      <c r="L2324" s="38"/>
      <c r="M2324" s="16"/>
      <c r="N2324" s="16"/>
      <c r="O2324" s="16"/>
      <c r="P2324" s="15"/>
      <c r="Q2324" s="15"/>
      <c r="R2324" s="16"/>
      <c r="S2324" s="16"/>
      <c r="T2324" s="16"/>
      <c r="U2324" s="16"/>
      <c r="V2324" s="37" t="str">
        <f>IFERROR(__xludf.DUMMYFUNCTION("if(not(iserror(index(split(C2324, "" ""),2))), index(split(C2324, "" ""),1),"""")"),"")</f>
        <v/>
      </c>
      <c r="W2324" s="315" t="str">
        <f>IFERROR(__xludf.DUMMYFUNCTION("if(V2324="""",C2324,if(not(iserror(index(split(C2324, "" ""),3))), index(split(C2324, "" ""),3),index(split(C2324, "" ""),2)))"),"")</f>
        <v/>
      </c>
      <c r="X2324" s="38" t="b">
        <f t="shared" si="2"/>
        <v>0</v>
      </c>
      <c r="Y2324" s="38"/>
      <c r="Z2324" s="40"/>
      <c r="AA2324" s="40"/>
      <c r="AB2324" s="38"/>
      <c r="AC2324" s="38"/>
      <c r="AD2324" s="38"/>
      <c r="AE2324" s="38"/>
      <c r="AF2324" s="38"/>
      <c r="AG2324" s="38"/>
      <c r="AH2324" s="38"/>
      <c r="AI2324" s="38"/>
      <c r="AJ2324" s="38"/>
      <c r="AK2324" s="38"/>
      <c r="AL2324" s="38"/>
      <c r="AM2324" s="38"/>
      <c r="AN2324" s="38"/>
      <c r="AO2324" s="38"/>
      <c r="AP2324" s="38"/>
      <c r="AQ2324" s="38"/>
      <c r="AR2324" s="38"/>
      <c r="AS2324" s="38"/>
      <c r="AT2324" s="38"/>
      <c r="AU2324" s="38"/>
      <c r="AV2324" s="38"/>
      <c r="AW2324" s="38"/>
      <c r="AX2324" s="38"/>
      <c r="AY2324" s="38"/>
      <c r="AZ2324" s="38"/>
      <c r="BA2324" s="38"/>
      <c r="BB2324" s="38"/>
      <c r="BC2324" s="38"/>
      <c r="BD2324" s="38"/>
      <c r="BE2324" s="38"/>
      <c r="BF2324" s="38"/>
      <c r="BG2324" s="38"/>
    </row>
    <row r="2325">
      <c r="A2325" s="16"/>
      <c r="B2325" s="16"/>
      <c r="C2325" s="146"/>
      <c r="D2325" s="146"/>
      <c r="E2325" s="16"/>
      <c r="F2325" s="91"/>
      <c r="G2325" s="16"/>
      <c r="H2325" s="320" t="str">
        <f t="shared" si="1"/>
        <v/>
      </c>
      <c r="I2325" s="16"/>
      <c r="J2325" s="16"/>
      <c r="K2325" s="16"/>
      <c r="L2325" s="38"/>
      <c r="M2325" s="16"/>
      <c r="N2325" s="16"/>
      <c r="O2325" s="16"/>
      <c r="P2325" s="15"/>
      <c r="Q2325" s="15"/>
      <c r="R2325" s="16"/>
      <c r="S2325" s="16"/>
      <c r="T2325" s="16"/>
      <c r="U2325" s="16"/>
      <c r="V2325" s="37" t="str">
        <f>IFERROR(__xludf.DUMMYFUNCTION("if(not(iserror(index(split(C2325, "" ""),2))), index(split(C2325, "" ""),1),"""")"),"")</f>
        <v/>
      </c>
      <c r="W2325" s="315" t="str">
        <f>IFERROR(__xludf.DUMMYFUNCTION("if(V2325="""",C2325,if(not(iserror(index(split(C2325, "" ""),3))), index(split(C2325, "" ""),3),index(split(C2325, "" ""),2)))"),"")</f>
        <v/>
      </c>
      <c r="X2325" s="38" t="b">
        <f t="shared" si="2"/>
        <v>0</v>
      </c>
      <c r="Y2325" s="38"/>
      <c r="Z2325" s="40"/>
      <c r="AA2325" s="40"/>
      <c r="AB2325" s="38"/>
      <c r="AC2325" s="38"/>
      <c r="AD2325" s="38"/>
      <c r="AE2325" s="38"/>
      <c r="AF2325" s="38"/>
      <c r="AG2325" s="38"/>
      <c r="AH2325" s="38"/>
      <c r="AI2325" s="38"/>
      <c r="AJ2325" s="38"/>
      <c r="AK2325" s="38"/>
      <c r="AL2325" s="38"/>
      <c r="AM2325" s="38"/>
      <c r="AN2325" s="38"/>
      <c r="AO2325" s="38"/>
      <c r="AP2325" s="38"/>
      <c r="AQ2325" s="38"/>
      <c r="AR2325" s="38"/>
      <c r="AS2325" s="38"/>
      <c r="AT2325" s="38"/>
      <c r="AU2325" s="38"/>
      <c r="AV2325" s="38"/>
      <c r="AW2325" s="38"/>
      <c r="AX2325" s="38"/>
      <c r="AY2325" s="38"/>
      <c r="AZ2325" s="38"/>
      <c r="BA2325" s="38"/>
      <c r="BB2325" s="38"/>
      <c r="BC2325" s="38"/>
      <c r="BD2325" s="38"/>
      <c r="BE2325" s="38"/>
      <c r="BF2325" s="38"/>
      <c r="BG2325" s="38"/>
    </row>
    <row r="2326">
      <c r="A2326" s="16"/>
      <c r="B2326" s="16"/>
      <c r="C2326" s="146"/>
      <c r="D2326" s="146"/>
      <c r="E2326" s="16"/>
      <c r="F2326" s="91"/>
      <c r="G2326" s="16"/>
      <c r="H2326" s="320" t="str">
        <f t="shared" si="1"/>
        <v/>
      </c>
      <c r="I2326" s="16"/>
      <c r="J2326" s="16"/>
      <c r="K2326" s="16"/>
      <c r="L2326" s="38"/>
      <c r="M2326" s="16"/>
      <c r="N2326" s="16"/>
      <c r="O2326" s="16"/>
      <c r="P2326" s="15"/>
      <c r="Q2326" s="15"/>
      <c r="R2326" s="16"/>
      <c r="S2326" s="16"/>
      <c r="T2326" s="16"/>
      <c r="U2326" s="16"/>
      <c r="V2326" s="37" t="str">
        <f>IFERROR(__xludf.DUMMYFUNCTION("if(not(iserror(index(split(C2326, "" ""),2))), index(split(C2326, "" ""),1),"""")"),"")</f>
        <v/>
      </c>
      <c r="W2326" s="315" t="str">
        <f>IFERROR(__xludf.DUMMYFUNCTION("if(V2326="""",C2326,if(not(iserror(index(split(C2326, "" ""),3))), index(split(C2326, "" ""),3),index(split(C2326, "" ""),2)))"),"")</f>
        <v/>
      </c>
      <c r="X2326" s="38" t="b">
        <f t="shared" si="2"/>
        <v>0</v>
      </c>
      <c r="Y2326" s="38"/>
      <c r="Z2326" s="40"/>
      <c r="AA2326" s="40"/>
      <c r="AB2326" s="38"/>
      <c r="AC2326" s="38"/>
      <c r="AD2326" s="38"/>
      <c r="AE2326" s="38"/>
      <c r="AF2326" s="38"/>
      <c r="AG2326" s="38"/>
      <c r="AH2326" s="38"/>
      <c r="AI2326" s="38"/>
      <c r="AJ2326" s="38"/>
      <c r="AK2326" s="38"/>
      <c r="AL2326" s="38"/>
      <c r="AM2326" s="38"/>
      <c r="AN2326" s="38"/>
      <c r="AO2326" s="38"/>
      <c r="AP2326" s="38"/>
      <c r="AQ2326" s="38"/>
      <c r="AR2326" s="38"/>
      <c r="AS2326" s="38"/>
      <c r="AT2326" s="38"/>
      <c r="AU2326" s="38"/>
      <c r="AV2326" s="38"/>
      <c r="AW2326" s="38"/>
      <c r="AX2326" s="38"/>
      <c r="AY2326" s="38"/>
      <c r="AZ2326" s="38"/>
      <c r="BA2326" s="38"/>
      <c r="BB2326" s="38"/>
      <c r="BC2326" s="38"/>
      <c r="BD2326" s="38"/>
      <c r="BE2326" s="38"/>
      <c r="BF2326" s="38"/>
      <c r="BG2326" s="38"/>
    </row>
    <row r="2327">
      <c r="A2327" s="16"/>
      <c r="B2327" s="16"/>
      <c r="C2327" s="146"/>
      <c r="D2327" s="146"/>
      <c r="E2327" s="16"/>
      <c r="F2327" s="91"/>
      <c r="G2327" s="16"/>
      <c r="H2327" s="320" t="str">
        <f t="shared" si="1"/>
        <v/>
      </c>
      <c r="I2327" s="16"/>
      <c r="J2327" s="16"/>
      <c r="K2327" s="16"/>
      <c r="L2327" s="38"/>
      <c r="M2327" s="16"/>
      <c r="N2327" s="16"/>
      <c r="O2327" s="16"/>
      <c r="P2327" s="15"/>
      <c r="Q2327" s="15"/>
      <c r="R2327" s="16"/>
      <c r="S2327" s="16"/>
      <c r="T2327" s="16"/>
      <c r="U2327" s="16"/>
      <c r="V2327" s="37" t="str">
        <f>IFERROR(__xludf.DUMMYFUNCTION("if(not(iserror(index(split(C2327, "" ""),2))), index(split(C2327, "" ""),1),"""")"),"")</f>
        <v/>
      </c>
      <c r="W2327" s="315" t="str">
        <f>IFERROR(__xludf.DUMMYFUNCTION("if(V2327="""",C2327,if(not(iserror(index(split(C2327, "" ""),3))), index(split(C2327, "" ""),3),index(split(C2327, "" ""),2)))"),"")</f>
        <v/>
      </c>
      <c r="X2327" s="38" t="b">
        <f t="shared" si="2"/>
        <v>0</v>
      </c>
      <c r="Y2327" s="38"/>
      <c r="Z2327" s="40"/>
      <c r="AA2327" s="40"/>
      <c r="AB2327" s="38"/>
      <c r="AC2327" s="38"/>
      <c r="AD2327" s="38"/>
      <c r="AE2327" s="38"/>
      <c r="AF2327" s="38"/>
      <c r="AG2327" s="38"/>
      <c r="AH2327" s="38"/>
      <c r="AI2327" s="38"/>
      <c r="AJ2327" s="38"/>
      <c r="AK2327" s="38"/>
      <c r="AL2327" s="38"/>
      <c r="AM2327" s="38"/>
      <c r="AN2327" s="38"/>
      <c r="AO2327" s="38"/>
      <c r="AP2327" s="38"/>
      <c r="AQ2327" s="38"/>
      <c r="AR2327" s="38"/>
      <c r="AS2327" s="38"/>
      <c r="AT2327" s="38"/>
      <c r="AU2327" s="38"/>
      <c r="AV2327" s="38"/>
      <c r="AW2327" s="38"/>
      <c r="AX2327" s="38"/>
      <c r="AY2327" s="38"/>
      <c r="AZ2327" s="38"/>
      <c r="BA2327" s="38"/>
      <c r="BB2327" s="38"/>
      <c r="BC2327" s="38"/>
      <c r="BD2327" s="38"/>
      <c r="BE2327" s="38"/>
      <c r="BF2327" s="38"/>
      <c r="BG2327" s="38"/>
    </row>
    <row r="2328">
      <c r="A2328" s="16"/>
      <c r="B2328" s="16"/>
      <c r="C2328" s="146"/>
      <c r="D2328" s="146"/>
      <c r="E2328" s="16"/>
      <c r="F2328" s="91"/>
      <c r="G2328" s="16"/>
      <c r="H2328" s="320" t="str">
        <f t="shared" si="1"/>
        <v/>
      </c>
      <c r="I2328" s="16"/>
      <c r="J2328" s="16"/>
      <c r="K2328" s="16"/>
      <c r="L2328" s="38"/>
      <c r="M2328" s="16"/>
      <c r="N2328" s="16"/>
      <c r="O2328" s="16"/>
      <c r="P2328" s="15"/>
      <c r="Q2328" s="15"/>
      <c r="R2328" s="16"/>
      <c r="S2328" s="16"/>
      <c r="T2328" s="16"/>
      <c r="U2328" s="16"/>
      <c r="V2328" s="37" t="str">
        <f>IFERROR(__xludf.DUMMYFUNCTION("if(not(iserror(index(split(C2328, "" ""),2))), index(split(C2328, "" ""),1),"""")"),"")</f>
        <v/>
      </c>
      <c r="W2328" s="315" t="str">
        <f>IFERROR(__xludf.DUMMYFUNCTION("if(V2328="""",C2328,if(not(iserror(index(split(C2328, "" ""),3))), index(split(C2328, "" ""),3),index(split(C2328, "" ""),2)))"),"")</f>
        <v/>
      </c>
      <c r="X2328" s="38" t="b">
        <f t="shared" si="2"/>
        <v>0</v>
      </c>
      <c r="Y2328" s="38"/>
      <c r="Z2328" s="40"/>
      <c r="AA2328" s="40"/>
      <c r="AB2328" s="38"/>
      <c r="AC2328" s="38"/>
      <c r="AD2328" s="38"/>
      <c r="AE2328" s="38"/>
      <c r="AF2328" s="38"/>
      <c r="AG2328" s="38"/>
      <c r="AH2328" s="38"/>
      <c r="AI2328" s="38"/>
      <c r="AJ2328" s="38"/>
      <c r="AK2328" s="38"/>
      <c r="AL2328" s="38"/>
      <c r="AM2328" s="38"/>
      <c r="AN2328" s="38"/>
      <c r="AO2328" s="38"/>
      <c r="AP2328" s="38"/>
      <c r="AQ2328" s="38"/>
      <c r="AR2328" s="38"/>
      <c r="AS2328" s="38"/>
      <c r="AT2328" s="38"/>
      <c r="AU2328" s="38"/>
      <c r="AV2328" s="38"/>
      <c r="AW2328" s="38"/>
      <c r="AX2328" s="38"/>
      <c r="AY2328" s="38"/>
      <c r="AZ2328" s="38"/>
      <c r="BA2328" s="38"/>
      <c r="BB2328" s="38"/>
      <c r="BC2328" s="38"/>
      <c r="BD2328" s="38"/>
      <c r="BE2328" s="38"/>
      <c r="BF2328" s="38"/>
      <c r="BG2328" s="38"/>
    </row>
    <row r="2329">
      <c r="A2329" s="16"/>
      <c r="B2329" s="16"/>
      <c r="C2329" s="146"/>
      <c r="D2329" s="146"/>
      <c r="E2329" s="16"/>
      <c r="F2329" s="91"/>
      <c r="G2329" s="16"/>
      <c r="H2329" s="320" t="str">
        <f t="shared" si="1"/>
        <v/>
      </c>
      <c r="I2329" s="16"/>
      <c r="J2329" s="16"/>
      <c r="K2329" s="16"/>
      <c r="L2329" s="38"/>
      <c r="M2329" s="16"/>
      <c r="N2329" s="16"/>
      <c r="O2329" s="16"/>
      <c r="P2329" s="15"/>
      <c r="Q2329" s="15"/>
      <c r="R2329" s="16"/>
      <c r="S2329" s="16"/>
      <c r="T2329" s="16"/>
      <c r="U2329" s="16"/>
      <c r="V2329" s="37" t="str">
        <f>IFERROR(__xludf.DUMMYFUNCTION("if(not(iserror(index(split(C2329, "" ""),2))), index(split(C2329, "" ""),1),"""")"),"")</f>
        <v/>
      </c>
      <c r="W2329" s="315" t="str">
        <f>IFERROR(__xludf.DUMMYFUNCTION("if(V2329="""",C2329,if(not(iserror(index(split(C2329, "" ""),3))), index(split(C2329, "" ""),3),index(split(C2329, "" ""),2)))"),"")</f>
        <v/>
      </c>
      <c r="X2329" s="38" t="b">
        <f t="shared" si="2"/>
        <v>0</v>
      </c>
      <c r="Y2329" s="38"/>
      <c r="Z2329" s="40"/>
      <c r="AA2329" s="40"/>
      <c r="AB2329" s="38"/>
      <c r="AC2329" s="38"/>
      <c r="AD2329" s="38"/>
      <c r="AE2329" s="38"/>
      <c r="AF2329" s="38"/>
      <c r="AG2329" s="38"/>
      <c r="AH2329" s="38"/>
      <c r="AI2329" s="38"/>
      <c r="AJ2329" s="38"/>
      <c r="AK2329" s="38"/>
      <c r="AL2329" s="38"/>
      <c r="AM2329" s="38"/>
      <c r="AN2329" s="38"/>
      <c r="AO2329" s="38"/>
      <c r="AP2329" s="38"/>
      <c r="AQ2329" s="38"/>
      <c r="AR2329" s="38"/>
      <c r="AS2329" s="38"/>
      <c r="AT2329" s="38"/>
      <c r="AU2329" s="38"/>
      <c r="AV2329" s="38"/>
      <c r="AW2329" s="38"/>
      <c r="AX2329" s="38"/>
      <c r="AY2329" s="38"/>
      <c r="AZ2329" s="38"/>
      <c r="BA2329" s="38"/>
      <c r="BB2329" s="38"/>
      <c r="BC2329" s="38"/>
      <c r="BD2329" s="38"/>
      <c r="BE2329" s="38"/>
      <c r="BF2329" s="38"/>
      <c r="BG2329" s="38"/>
    </row>
    <row r="2330">
      <c r="A2330" s="16"/>
      <c r="B2330" s="16"/>
      <c r="C2330" s="146"/>
      <c r="D2330" s="146"/>
      <c r="E2330" s="16"/>
      <c r="F2330" s="91"/>
      <c r="G2330" s="16"/>
      <c r="H2330" s="320" t="str">
        <f t="shared" si="1"/>
        <v/>
      </c>
      <c r="I2330" s="16"/>
      <c r="J2330" s="16"/>
      <c r="K2330" s="16"/>
      <c r="L2330" s="38"/>
      <c r="M2330" s="16"/>
      <c r="N2330" s="16"/>
      <c r="O2330" s="16"/>
      <c r="P2330" s="15"/>
      <c r="Q2330" s="15"/>
      <c r="R2330" s="16"/>
      <c r="S2330" s="16"/>
      <c r="T2330" s="16"/>
      <c r="U2330" s="16"/>
      <c r="V2330" s="37" t="str">
        <f>IFERROR(__xludf.DUMMYFUNCTION("if(not(iserror(index(split(C2330, "" ""),2))), index(split(C2330, "" ""),1),"""")"),"")</f>
        <v/>
      </c>
      <c r="W2330" s="315" t="str">
        <f>IFERROR(__xludf.DUMMYFUNCTION("if(V2330="""",C2330,if(not(iserror(index(split(C2330, "" ""),3))), index(split(C2330, "" ""),3),index(split(C2330, "" ""),2)))"),"")</f>
        <v/>
      </c>
      <c r="X2330" s="38" t="b">
        <f t="shared" si="2"/>
        <v>0</v>
      </c>
      <c r="Y2330" s="38"/>
      <c r="Z2330" s="40"/>
      <c r="AA2330" s="40"/>
      <c r="AB2330" s="38"/>
      <c r="AC2330" s="38"/>
      <c r="AD2330" s="38"/>
      <c r="AE2330" s="38"/>
      <c r="AF2330" s="38"/>
      <c r="AG2330" s="38"/>
      <c r="AH2330" s="38"/>
      <c r="AI2330" s="38"/>
      <c r="AJ2330" s="38"/>
      <c r="AK2330" s="38"/>
      <c r="AL2330" s="38"/>
      <c r="AM2330" s="38"/>
      <c r="AN2330" s="38"/>
      <c r="AO2330" s="38"/>
      <c r="AP2330" s="38"/>
      <c r="AQ2330" s="38"/>
      <c r="AR2330" s="38"/>
      <c r="AS2330" s="38"/>
      <c r="AT2330" s="38"/>
      <c r="AU2330" s="38"/>
      <c r="AV2330" s="38"/>
      <c r="AW2330" s="38"/>
      <c r="AX2330" s="38"/>
      <c r="AY2330" s="38"/>
      <c r="AZ2330" s="38"/>
      <c r="BA2330" s="38"/>
      <c r="BB2330" s="38"/>
      <c r="BC2330" s="38"/>
      <c r="BD2330" s="38"/>
      <c r="BE2330" s="38"/>
      <c r="BF2330" s="38"/>
      <c r="BG2330" s="38"/>
    </row>
    <row r="2331">
      <c r="A2331" s="16"/>
      <c r="B2331" s="16"/>
      <c r="C2331" s="146"/>
      <c r="D2331" s="146"/>
      <c r="E2331" s="16"/>
      <c r="F2331" s="91"/>
      <c r="G2331" s="16"/>
      <c r="H2331" s="320" t="str">
        <f t="shared" si="1"/>
        <v/>
      </c>
      <c r="I2331" s="16"/>
      <c r="J2331" s="16"/>
      <c r="K2331" s="16"/>
      <c r="L2331" s="38"/>
      <c r="M2331" s="16"/>
      <c r="N2331" s="16"/>
      <c r="O2331" s="16"/>
      <c r="P2331" s="15"/>
      <c r="Q2331" s="15"/>
      <c r="R2331" s="16"/>
      <c r="S2331" s="16"/>
      <c r="T2331" s="16"/>
      <c r="U2331" s="16"/>
      <c r="V2331" s="37" t="str">
        <f>IFERROR(__xludf.DUMMYFUNCTION("if(not(iserror(index(split(C2331, "" ""),2))), index(split(C2331, "" ""),1),"""")"),"")</f>
        <v/>
      </c>
      <c r="W2331" s="315" t="str">
        <f>IFERROR(__xludf.DUMMYFUNCTION("if(V2331="""",C2331,if(not(iserror(index(split(C2331, "" ""),3))), index(split(C2331, "" ""),3),index(split(C2331, "" ""),2)))"),"")</f>
        <v/>
      </c>
      <c r="X2331" s="38" t="b">
        <f t="shared" si="2"/>
        <v>0</v>
      </c>
      <c r="Y2331" s="38"/>
      <c r="Z2331" s="40"/>
      <c r="AA2331" s="40"/>
      <c r="AB2331" s="38"/>
      <c r="AC2331" s="38"/>
      <c r="AD2331" s="38"/>
      <c r="AE2331" s="38"/>
      <c r="AF2331" s="38"/>
      <c r="AG2331" s="38"/>
      <c r="AH2331" s="38"/>
      <c r="AI2331" s="38"/>
      <c r="AJ2331" s="38"/>
      <c r="AK2331" s="38"/>
      <c r="AL2331" s="38"/>
      <c r="AM2331" s="38"/>
      <c r="AN2331" s="38"/>
      <c r="AO2331" s="38"/>
      <c r="AP2331" s="38"/>
      <c r="AQ2331" s="38"/>
      <c r="AR2331" s="38"/>
      <c r="AS2331" s="38"/>
      <c r="AT2331" s="38"/>
      <c r="AU2331" s="38"/>
      <c r="AV2331" s="38"/>
      <c r="AW2331" s="38"/>
      <c r="AX2331" s="38"/>
      <c r="AY2331" s="38"/>
      <c r="AZ2331" s="38"/>
      <c r="BA2331" s="38"/>
      <c r="BB2331" s="38"/>
      <c r="BC2331" s="38"/>
      <c r="BD2331" s="38"/>
      <c r="BE2331" s="38"/>
      <c r="BF2331" s="38"/>
      <c r="BG2331" s="38"/>
    </row>
    <row r="2332">
      <c r="A2332" s="16"/>
      <c r="B2332" s="16"/>
      <c r="C2332" s="146"/>
      <c r="D2332" s="146"/>
      <c r="E2332" s="16"/>
      <c r="F2332" s="91"/>
      <c r="G2332" s="16"/>
      <c r="H2332" s="320" t="str">
        <f t="shared" si="1"/>
        <v/>
      </c>
      <c r="I2332" s="16"/>
      <c r="J2332" s="16"/>
      <c r="K2332" s="16"/>
      <c r="L2332" s="38"/>
      <c r="M2332" s="16"/>
      <c r="N2332" s="16"/>
      <c r="O2332" s="16"/>
      <c r="P2332" s="15"/>
      <c r="Q2332" s="15"/>
      <c r="R2332" s="16"/>
      <c r="S2332" s="16"/>
      <c r="T2332" s="16"/>
      <c r="U2332" s="16"/>
      <c r="V2332" s="37" t="str">
        <f>IFERROR(__xludf.DUMMYFUNCTION("if(not(iserror(index(split(C2332, "" ""),2))), index(split(C2332, "" ""),1),"""")"),"")</f>
        <v/>
      </c>
      <c r="W2332" s="315" t="str">
        <f>IFERROR(__xludf.DUMMYFUNCTION("if(V2332="""",C2332,if(not(iserror(index(split(C2332, "" ""),3))), index(split(C2332, "" ""),3),index(split(C2332, "" ""),2)))"),"")</f>
        <v/>
      </c>
      <c r="X2332" s="38" t="b">
        <f t="shared" si="2"/>
        <v>0</v>
      </c>
      <c r="Y2332" s="38"/>
      <c r="Z2332" s="40"/>
      <c r="AA2332" s="40"/>
      <c r="AB2332" s="38"/>
      <c r="AC2332" s="38"/>
      <c r="AD2332" s="38"/>
      <c r="AE2332" s="38"/>
      <c r="AF2332" s="38"/>
      <c r="AG2332" s="38"/>
      <c r="AH2332" s="38"/>
      <c r="AI2332" s="38"/>
      <c r="AJ2332" s="38"/>
      <c r="AK2332" s="38"/>
      <c r="AL2332" s="38"/>
      <c r="AM2332" s="38"/>
      <c r="AN2332" s="38"/>
      <c r="AO2332" s="38"/>
      <c r="AP2332" s="38"/>
      <c r="AQ2332" s="38"/>
      <c r="AR2332" s="38"/>
      <c r="AS2332" s="38"/>
      <c r="AT2332" s="38"/>
      <c r="AU2332" s="38"/>
      <c r="AV2332" s="38"/>
      <c r="AW2332" s="38"/>
      <c r="AX2332" s="38"/>
      <c r="AY2332" s="38"/>
      <c r="AZ2332" s="38"/>
      <c r="BA2332" s="38"/>
      <c r="BB2332" s="38"/>
      <c r="BC2332" s="38"/>
      <c r="BD2332" s="38"/>
      <c r="BE2332" s="38"/>
      <c r="BF2332" s="38"/>
      <c r="BG2332" s="38"/>
    </row>
    <row r="2333">
      <c r="A2333" s="16"/>
      <c r="B2333" s="16"/>
      <c r="C2333" s="146"/>
      <c r="D2333" s="146"/>
      <c r="E2333" s="16"/>
      <c r="F2333" s="91"/>
      <c r="G2333" s="16"/>
      <c r="H2333" s="320" t="str">
        <f t="shared" si="1"/>
        <v/>
      </c>
      <c r="I2333" s="16"/>
      <c r="J2333" s="16"/>
      <c r="K2333" s="16"/>
      <c r="L2333" s="38"/>
      <c r="M2333" s="16"/>
      <c r="N2333" s="16"/>
      <c r="O2333" s="16"/>
      <c r="P2333" s="15"/>
      <c r="Q2333" s="15"/>
      <c r="R2333" s="16"/>
      <c r="S2333" s="16"/>
      <c r="T2333" s="16"/>
      <c r="U2333" s="16"/>
      <c r="V2333" s="37" t="str">
        <f>IFERROR(__xludf.DUMMYFUNCTION("if(not(iserror(index(split(C2333, "" ""),2))), index(split(C2333, "" ""),1),"""")"),"")</f>
        <v/>
      </c>
      <c r="W2333" s="315" t="str">
        <f>IFERROR(__xludf.DUMMYFUNCTION("if(V2333="""",C2333,if(not(iserror(index(split(C2333, "" ""),3))), index(split(C2333, "" ""),3),index(split(C2333, "" ""),2)))"),"")</f>
        <v/>
      </c>
      <c r="X2333" s="38" t="b">
        <f t="shared" si="2"/>
        <v>0</v>
      </c>
      <c r="Y2333" s="38"/>
      <c r="Z2333" s="40"/>
      <c r="AA2333" s="40"/>
      <c r="AB2333" s="38"/>
      <c r="AC2333" s="38"/>
      <c r="AD2333" s="38"/>
      <c r="AE2333" s="38"/>
      <c r="AF2333" s="38"/>
      <c r="AG2333" s="38"/>
      <c r="AH2333" s="38"/>
      <c r="AI2333" s="38"/>
      <c r="AJ2333" s="38"/>
      <c r="AK2333" s="38"/>
      <c r="AL2333" s="38"/>
      <c r="AM2333" s="38"/>
      <c r="AN2333" s="38"/>
      <c r="AO2333" s="38"/>
      <c r="AP2333" s="38"/>
      <c r="AQ2333" s="38"/>
      <c r="AR2333" s="38"/>
      <c r="AS2333" s="38"/>
      <c r="AT2333" s="38"/>
      <c r="AU2333" s="38"/>
      <c r="AV2333" s="38"/>
      <c r="AW2333" s="38"/>
      <c r="AX2333" s="38"/>
      <c r="AY2333" s="38"/>
      <c r="AZ2333" s="38"/>
      <c r="BA2333" s="38"/>
      <c r="BB2333" s="38"/>
      <c r="BC2333" s="38"/>
      <c r="BD2333" s="38"/>
      <c r="BE2333" s="38"/>
      <c r="BF2333" s="38"/>
      <c r="BG2333" s="38"/>
    </row>
    <row r="2334">
      <c r="A2334" s="16"/>
      <c r="B2334" s="16"/>
      <c r="C2334" s="146"/>
      <c r="D2334" s="146"/>
      <c r="E2334" s="16"/>
      <c r="F2334" s="91"/>
      <c r="G2334" s="16"/>
      <c r="H2334" s="320" t="str">
        <f t="shared" si="1"/>
        <v/>
      </c>
      <c r="I2334" s="16"/>
      <c r="J2334" s="16"/>
      <c r="K2334" s="16"/>
      <c r="L2334" s="38"/>
      <c r="M2334" s="16"/>
      <c r="N2334" s="16"/>
      <c r="O2334" s="16"/>
      <c r="P2334" s="15"/>
      <c r="Q2334" s="15"/>
      <c r="R2334" s="16"/>
      <c r="S2334" s="16"/>
      <c r="T2334" s="16"/>
      <c r="U2334" s="16"/>
      <c r="V2334" s="37" t="str">
        <f>IFERROR(__xludf.DUMMYFUNCTION("if(not(iserror(index(split(C2334, "" ""),2))), index(split(C2334, "" ""),1),"""")"),"")</f>
        <v/>
      </c>
      <c r="W2334" s="315" t="str">
        <f>IFERROR(__xludf.DUMMYFUNCTION("if(V2334="""",C2334,if(not(iserror(index(split(C2334, "" ""),3))), index(split(C2334, "" ""),3),index(split(C2334, "" ""),2)))"),"")</f>
        <v/>
      </c>
      <c r="X2334" s="38" t="b">
        <f t="shared" si="2"/>
        <v>0</v>
      </c>
      <c r="Y2334" s="38"/>
      <c r="Z2334" s="40"/>
      <c r="AA2334" s="40"/>
      <c r="AB2334" s="38"/>
      <c r="AC2334" s="38"/>
      <c r="AD2334" s="38"/>
      <c r="AE2334" s="38"/>
      <c r="AF2334" s="38"/>
      <c r="AG2334" s="38"/>
      <c r="AH2334" s="38"/>
      <c r="AI2334" s="38"/>
      <c r="AJ2334" s="38"/>
      <c r="AK2334" s="38"/>
      <c r="AL2334" s="38"/>
      <c r="AM2334" s="38"/>
      <c r="AN2334" s="38"/>
      <c r="AO2334" s="38"/>
      <c r="AP2334" s="38"/>
      <c r="AQ2334" s="38"/>
      <c r="AR2334" s="38"/>
      <c r="AS2334" s="38"/>
      <c r="AT2334" s="38"/>
      <c r="AU2334" s="38"/>
      <c r="AV2334" s="38"/>
      <c r="AW2334" s="38"/>
      <c r="AX2334" s="38"/>
      <c r="AY2334" s="38"/>
      <c r="AZ2334" s="38"/>
      <c r="BA2334" s="38"/>
      <c r="BB2334" s="38"/>
      <c r="BC2334" s="38"/>
      <c r="BD2334" s="38"/>
      <c r="BE2334" s="38"/>
      <c r="BF2334" s="38"/>
      <c r="BG2334" s="38"/>
    </row>
    <row r="2335">
      <c r="A2335" s="16"/>
      <c r="B2335" s="16"/>
      <c r="C2335" s="146"/>
      <c r="D2335" s="146"/>
      <c r="E2335" s="16"/>
      <c r="F2335" s="91"/>
      <c r="G2335" s="16"/>
      <c r="H2335" s="320" t="str">
        <f t="shared" si="1"/>
        <v/>
      </c>
      <c r="I2335" s="16"/>
      <c r="J2335" s="16"/>
      <c r="K2335" s="16"/>
      <c r="L2335" s="38"/>
      <c r="M2335" s="16"/>
      <c r="N2335" s="16"/>
      <c r="O2335" s="16"/>
      <c r="P2335" s="15"/>
      <c r="Q2335" s="15"/>
      <c r="R2335" s="16"/>
      <c r="S2335" s="16"/>
      <c r="T2335" s="16"/>
      <c r="U2335" s="16"/>
      <c r="V2335" s="37" t="str">
        <f>IFERROR(__xludf.DUMMYFUNCTION("if(not(iserror(index(split(C2335, "" ""),2))), index(split(C2335, "" ""),1),"""")"),"")</f>
        <v/>
      </c>
      <c r="W2335" s="315" t="str">
        <f>IFERROR(__xludf.DUMMYFUNCTION("if(V2335="""",C2335,if(not(iserror(index(split(C2335, "" ""),3))), index(split(C2335, "" ""),3),index(split(C2335, "" ""),2)))"),"")</f>
        <v/>
      </c>
      <c r="X2335" s="38" t="b">
        <f t="shared" si="2"/>
        <v>0</v>
      </c>
      <c r="Y2335" s="38"/>
      <c r="Z2335" s="40"/>
      <c r="AA2335" s="40"/>
      <c r="AB2335" s="38"/>
      <c r="AC2335" s="38"/>
      <c r="AD2335" s="38"/>
      <c r="AE2335" s="38"/>
      <c r="AF2335" s="38"/>
      <c r="AG2335" s="38"/>
      <c r="AH2335" s="38"/>
      <c r="AI2335" s="38"/>
      <c r="AJ2335" s="38"/>
      <c r="AK2335" s="38"/>
      <c r="AL2335" s="38"/>
      <c r="AM2335" s="38"/>
      <c r="AN2335" s="38"/>
      <c r="AO2335" s="38"/>
      <c r="AP2335" s="38"/>
      <c r="AQ2335" s="38"/>
      <c r="AR2335" s="38"/>
      <c r="AS2335" s="38"/>
      <c r="AT2335" s="38"/>
      <c r="AU2335" s="38"/>
      <c r="AV2335" s="38"/>
      <c r="AW2335" s="38"/>
      <c r="AX2335" s="38"/>
      <c r="AY2335" s="38"/>
      <c r="AZ2335" s="38"/>
      <c r="BA2335" s="38"/>
      <c r="BB2335" s="38"/>
      <c r="BC2335" s="38"/>
      <c r="BD2335" s="38"/>
      <c r="BE2335" s="38"/>
      <c r="BF2335" s="38"/>
      <c r="BG2335" s="38"/>
    </row>
    <row r="2336">
      <c r="A2336" s="16"/>
      <c r="B2336" s="16"/>
      <c r="C2336" s="146"/>
      <c r="D2336" s="146"/>
      <c r="E2336" s="16"/>
      <c r="F2336" s="91"/>
      <c r="G2336" s="16"/>
      <c r="H2336" s="320" t="str">
        <f t="shared" si="1"/>
        <v/>
      </c>
      <c r="I2336" s="16"/>
      <c r="J2336" s="16"/>
      <c r="K2336" s="16"/>
      <c r="L2336" s="38"/>
      <c r="M2336" s="16"/>
      <c r="N2336" s="16"/>
      <c r="O2336" s="16"/>
      <c r="P2336" s="15"/>
      <c r="Q2336" s="15"/>
      <c r="R2336" s="16"/>
      <c r="S2336" s="16"/>
      <c r="T2336" s="16"/>
      <c r="U2336" s="16"/>
      <c r="V2336" s="37" t="str">
        <f>IFERROR(__xludf.DUMMYFUNCTION("if(not(iserror(index(split(C2336, "" ""),2))), index(split(C2336, "" ""),1),"""")"),"")</f>
        <v/>
      </c>
      <c r="W2336" s="315" t="str">
        <f>IFERROR(__xludf.DUMMYFUNCTION("if(V2336="""",C2336,if(not(iserror(index(split(C2336, "" ""),3))), index(split(C2336, "" ""),3),index(split(C2336, "" ""),2)))"),"")</f>
        <v/>
      </c>
      <c r="X2336" s="38" t="b">
        <f t="shared" si="2"/>
        <v>0</v>
      </c>
      <c r="Y2336" s="38"/>
      <c r="Z2336" s="40"/>
      <c r="AA2336" s="40"/>
      <c r="AB2336" s="38"/>
      <c r="AC2336" s="38"/>
      <c r="AD2336" s="38"/>
      <c r="AE2336" s="38"/>
      <c r="AF2336" s="38"/>
      <c r="AG2336" s="38"/>
      <c r="AH2336" s="38"/>
      <c r="AI2336" s="38"/>
      <c r="AJ2336" s="38"/>
      <c r="AK2336" s="38"/>
      <c r="AL2336" s="38"/>
      <c r="AM2336" s="38"/>
      <c r="AN2336" s="38"/>
      <c r="AO2336" s="38"/>
      <c r="AP2336" s="38"/>
      <c r="AQ2336" s="38"/>
      <c r="AR2336" s="38"/>
      <c r="AS2336" s="38"/>
      <c r="AT2336" s="38"/>
      <c r="AU2336" s="38"/>
      <c r="AV2336" s="38"/>
      <c r="AW2336" s="38"/>
      <c r="AX2336" s="38"/>
      <c r="AY2336" s="38"/>
      <c r="AZ2336" s="38"/>
      <c r="BA2336" s="38"/>
      <c r="BB2336" s="38"/>
      <c r="BC2336" s="38"/>
      <c r="BD2336" s="38"/>
      <c r="BE2336" s="38"/>
      <c r="BF2336" s="38"/>
      <c r="BG2336" s="38"/>
    </row>
    <row r="2337">
      <c r="A2337" s="16"/>
      <c r="B2337" s="16"/>
      <c r="C2337" s="146"/>
      <c r="D2337" s="146"/>
      <c r="E2337" s="16"/>
      <c r="F2337" s="91"/>
      <c r="G2337" s="16"/>
      <c r="H2337" s="320" t="str">
        <f t="shared" si="1"/>
        <v/>
      </c>
      <c r="I2337" s="16"/>
      <c r="J2337" s="16"/>
      <c r="K2337" s="16"/>
      <c r="L2337" s="38"/>
      <c r="M2337" s="16"/>
      <c r="N2337" s="16"/>
      <c r="O2337" s="16"/>
      <c r="P2337" s="15"/>
      <c r="Q2337" s="15"/>
      <c r="R2337" s="16"/>
      <c r="S2337" s="16"/>
      <c r="T2337" s="16"/>
      <c r="U2337" s="16"/>
      <c r="V2337" s="37" t="str">
        <f>IFERROR(__xludf.DUMMYFUNCTION("if(not(iserror(index(split(C2337, "" ""),2))), index(split(C2337, "" ""),1),"""")"),"")</f>
        <v/>
      </c>
      <c r="W2337" s="315" t="str">
        <f>IFERROR(__xludf.DUMMYFUNCTION("if(V2337="""",C2337,if(not(iserror(index(split(C2337, "" ""),3))), index(split(C2337, "" ""),3),index(split(C2337, "" ""),2)))"),"")</f>
        <v/>
      </c>
      <c r="X2337" s="38" t="b">
        <f t="shared" si="2"/>
        <v>0</v>
      </c>
      <c r="Y2337" s="38"/>
      <c r="Z2337" s="40"/>
      <c r="AA2337" s="40"/>
      <c r="AB2337" s="38"/>
      <c r="AC2337" s="38"/>
      <c r="AD2337" s="38"/>
      <c r="AE2337" s="38"/>
      <c r="AF2337" s="38"/>
      <c r="AG2337" s="38"/>
      <c r="AH2337" s="38"/>
      <c r="AI2337" s="38"/>
      <c r="AJ2337" s="38"/>
      <c r="AK2337" s="38"/>
      <c r="AL2337" s="38"/>
      <c r="AM2337" s="38"/>
      <c r="AN2337" s="38"/>
      <c r="AO2337" s="38"/>
      <c r="AP2337" s="38"/>
      <c r="AQ2337" s="38"/>
      <c r="AR2337" s="38"/>
      <c r="AS2337" s="38"/>
      <c r="AT2337" s="38"/>
      <c r="AU2337" s="38"/>
      <c r="AV2337" s="38"/>
      <c r="AW2337" s="38"/>
      <c r="AX2337" s="38"/>
      <c r="AY2337" s="38"/>
      <c r="AZ2337" s="38"/>
      <c r="BA2337" s="38"/>
      <c r="BB2337" s="38"/>
      <c r="BC2337" s="38"/>
      <c r="BD2337" s="38"/>
      <c r="BE2337" s="38"/>
      <c r="BF2337" s="38"/>
      <c r="BG2337" s="38"/>
    </row>
    <row r="2338">
      <c r="A2338" s="16"/>
      <c r="B2338" s="16"/>
      <c r="C2338" s="146"/>
      <c r="D2338" s="146"/>
      <c r="E2338" s="16"/>
      <c r="F2338" s="91"/>
      <c r="G2338" s="16"/>
      <c r="H2338" s="320" t="str">
        <f t="shared" si="1"/>
        <v/>
      </c>
      <c r="I2338" s="16"/>
      <c r="J2338" s="16"/>
      <c r="K2338" s="16"/>
      <c r="L2338" s="38"/>
      <c r="M2338" s="16"/>
      <c r="N2338" s="16"/>
      <c r="O2338" s="16"/>
      <c r="P2338" s="15"/>
      <c r="Q2338" s="15"/>
      <c r="R2338" s="16"/>
      <c r="S2338" s="16"/>
      <c r="T2338" s="16"/>
      <c r="U2338" s="16"/>
      <c r="V2338" s="37" t="str">
        <f>IFERROR(__xludf.DUMMYFUNCTION("if(not(iserror(index(split(C2338, "" ""),2))), index(split(C2338, "" ""),1),"""")"),"")</f>
        <v/>
      </c>
      <c r="W2338" s="315" t="str">
        <f>IFERROR(__xludf.DUMMYFUNCTION("if(V2338="""",C2338,if(not(iserror(index(split(C2338, "" ""),3))), index(split(C2338, "" ""),3),index(split(C2338, "" ""),2)))"),"")</f>
        <v/>
      </c>
      <c r="X2338" s="38" t="b">
        <f t="shared" si="2"/>
        <v>0</v>
      </c>
      <c r="Y2338" s="38"/>
      <c r="Z2338" s="40"/>
      <c r="AA2338" s="40"/>
      <c r="AB2338" s="38"/>
      <c r="AC2338" s="38"/>
      <c r="AD2338" s="38"/>
      <c r="AE2338" s="38"/>
      <c r="AF2338" s="38"/>
      <c r="AG2338" s="38"/>
      <c r="AH2338" s="38"/>
      <c r="AI2338" s="38"/>
      <c r="AJ2338" s="38"/>
      <c r="AK2338" s="38"/>
      <c r="AL2338" s="38"/>
      <c r="AM2338" s="38"/>
      <c r="AN2338" s="38"/>
      <c r="AO2338" s="38"/>
      <c r="AP2338" s="38"/>
      <c r="AQ2338" s="38"/>
      <c r="AR2338" s="38"/>
      <c r="AS2338" s="38"/>
      <c r="AT2338" s="38"/>
      <c r="AU2338" s="38"/>
      <c r="AV2338" s="38"/>
      <c r="AW2338" s="38"/>
      <c r="AX2338" s="38"/>
      <c r="AY2338" s="38"/>
      <c r="AZ2338" s="38"/>
      <c r="BA2338" s="38"/>
      <c r="BB2338" s="38"/>
      <c r="BC2338" s="38"/>
      <c r="BD2338" s="38"/>
      <c r="BE2338" s="38"/>
      <c r="BF2338" s="38"/>
      <c r="BG2338" s="38"/>
    </row>
    <row r="2339">
      <c r="A2339" s="16"/>
      <c r="B2339" s="16"/>
      <c r="C2339" s="146"/>
      <c r="D2339" s="146"/>
      <c r="E2339" s="16"/>
      <c r="F2339" s="91"/>
      <c r="G2339" s="16"/>
      <c r="H2339" s="320" t="str">
        <f t="shared" si="1"/>
        <v/>
      </c>
      <c r="I2339" s="16"/>
      <c r="J2339" s="16"/>
      <c r="K2339" s="16"/>
      <c r="L2339" s="38"/>
      <c r="M2339" s="16"/>
      <c r="N2339" s="16"/>
      <c r="O2339" s="16"/>
      <c r="P2339" s="15"/>
      <c r="Q2339" s="15"/>
      <c r="R2339" s="16"/>
      <c r="S2339" s="16"/>
      <c r="T2339" s="16"/>
      <c r="U2339" s="16"/>
      <c r="V2339" s="37" t="str">
        <f>IFERROR(__xludf.DUMMYFUNCTION("if(not(iserror(index(split(C2339, "" ""),2))), index(split(C2339, "" ""),1),"""")"),"")</f>
        <v/>
      </c>
      <c r="W2339" s="315" t="str">
        <f>IFERROR(__xludf.DUMMYFUNCTION("if(V2339="""",C2339,if(not(iserror(index(split(C2339, "" ""),3))), index(split(C2339, "" ""),3),index(split(C2339, "" ""),2)))"),"")</f>
        <v/>
      </c>
      <c r="X2339" s="38" t="b">
        <f t="shared" si="2"/>
        <v>0</v>
      </c>
      <c r="Y2339" s="38"/>
      <c r="Z2339" s="40"/>
      <c r="AA2339" s="40"/>
      <c r="AB2339" s="38"/>
      <c r="AC2339" s="38"/>
      <c r="AD2339" s="38"/>
      <c r="AE2339" s="38"/>
      <c r="AF2339" s="38"/>
      <c r="AG2339" s="38"/>
      <c r="AH2339" s="38"/>
      <c r="AI2339" s="38"/>
      <c r="AJ2339" s="38"/>
      <c r="AK2339" s="38"/>
      <c r="AL2339" s="38"/>
      <c r="AM2339" s="38"/>
      <c r="AN2339" s="38"/>
      <c r="AO2339" s="38"/>
      <c r="AP2339" s="38"/>
      <c r="AQ2339" s="38"/>
      <c r="AR2339" s="38"/>
      <c r="AS2339" s="38"/>
      <c r="AT2339" s="38"/>
      <c r="AU2339" s="38"/>
      <c r="AV2339" s="38"/>
      <c r="AW2339" s="38"/>
      <c r="AX2339" s="38"/>
      <c r="AY2339" s="38"/>
      <c r="AZ2339" s="38"/>
      <c r="BA2339" s="38"/>
      <c r="BB2339" s="38"/>
      <c r="BC2339" s="38"/>
      <c r="BD2339" s="38"/>
      <c r="BE2339" s="38"/>
      <c r="BF2339" s="38"/>
      <c r="BG2339" s="38"/>
    </row>
    <row r="2340">
      <c r="A2340" s="16"/>
      <c r="B2340" s="16"/>
      <c r="C2340" s="146"/>
      <c r="D2340" s="146"/>
      <c r="E2340" s="16"/>
      <c r="F2340" s="91"/>
      <c r="G2340" s="16"/>
      <c r="H2340" s="320" t="str">
        <f t="shared" si="1"/>
        <v/>
      </c>
      <c r="I2340" s="16"/>
      <c r="J2340" s="16"/>
      <c r="K2340" s="16"/>
      <c r="L2340" s="38"/>
      <c r="M2340" s="16"/>
      <c r="N2340" s="16"/>
      <c r="O2340" s="16"/>
      <c r="P2340" s="15"/>
      <c r="Q2340" s="15"/>
      <c r="R2340" s="16"/>
      <c r="S2340" s="16"/>
      <c r="T2340" s="16"/>
      <c r="U2340" s="16"/>
      <c r="V2340" s="37" t="str">
        <f>IFERROR(__xludf.DUMMYFUNCTION("if(not(iserror(index(split(C2340, "" ""),2))), index(split(C2340, "" ""),1),"""")"),"")</f>
        <v/>
      </c>
      <c r="W2340" s="315" t="str">
        <f>IFERROR(__xludf.DUMMYFUNCTION("if(V2340="""",C2340,if(not(iserror(index(split(C2340, "" ""),3))), index(split(C2340, "" ""),3),index(split(C2340, "" ""),2)))"),"")</f>
        <v/>
      </c>
      <c r="X2340" s="38" t="b">
        <f t="shared" si="2"/>
        <v>0</v>
      </c>
      <c r="Y2340" s="38"/>
      <c r="Z2340" s="40"/>
      <c r="AA2340" s="40"/>
      <c r="AB2340" s="38"/>
      <c r="AC2340" s="38"/>
      <c r="AD2340" s="38"/>
      <c r="AE2340" s="38"/>
      <c r="AF2340" s="38"/>
      <c r="AG2340" s="38"/>
      <c r="AH2340" s="38"/>
      <c r="AI2340" s="38"/>
      <c r="AJ2340" s="38"/>
      <c r="AK2340" s="38"/>
      <c r="AL2340" s="38"/>
      <c r="AM2340" s="38"/>
      <c r="AN2340" s="38"/>
      <c r="AO2340" s="38"/>
      <c r="AP2340" s="38"/>
      <c r="AQ2340" s="38"/>
      <c r="AR2340" s="38"/>
      <c r="AS2340" s="38"/>
      <c r="AT2340" s="38"/>
      <c r="AU2340" s="38"/>
      <c r="AV2340" s="38"/>
      <c r="AW2340" s="38"/>
      <c r="AX2340" s="38"/>
      <c r="AY2340" s="38"/>
      <c r="AZ2340" s="38"/>
      <c r="BA2340" s="38"/>
      <c r="BB2340" s="38"/>
      <c r="BC2340" s="38"/>
      <c r="BD2340" s="38"/>
      <c r="BE2340" s="38"/>
      <c r="BF2340" s="38"/>
      <c r="BG2340" s="38"/>
    </row>
    <row r="2341">
      <c r="A2341" s="16"/>
      <c r="B2341" s="16"/>
      <c r="C2341" s="146"/>
      <c r="D2341" s="146"/>
      <c r="E2341" s="16"/>
      <c r="F2341" s="91"/>
      <c r="G2341" s="16"/>
      <c r="H2341" s="320" t="str">
        <f t="shared" si="1"/>
        <v/>
      </c>
      <c r="I2341" s="16"/>
      <c r="J2341" s="16"/>
      <c r="K2341" s="16"/>
      <c r="L2341" s="38"/>
      <c r="M2341" s="16"/>
      <c r="N2341" s="16"/>
      <c r="O2341" s="16"/>
      <c r="P2341" s="15"/>
      <c r="Q2341" s="15"/>
      <c r="R2341" s="16"/>
      <c r="S2341" s="16"/>
      <c r="T2341" s="16"/>
      <c r="U2341" s="16"/>
      <c r="V2341" s="37" t="str">
        <f>IFERROR(__xludf.DUMMYFUNCTION("if(not(iserror(index(split(C2341, "" ""),2))), index(split(C2341, "" ""),1),"""")"),"")</f>
        <v/>
      </c>
      <c r="W2341" s="315" t="str">
        <f>IFERROR(__xludf.DUMMYFUNCTION("if(V2341="""",C2341,if(not(iserror(index(split(C2341, "" ""),3))), index(split(C2341, "" ""),3),index(split(C2341, "" ""),2)))"),"")</f>
        <v/>
      </c>
      <c r="X2341" s="38" t="b">
        <f t="shared" si="2"/>
        <v>0</v>
      </c>
      <c r="Y2341" s="38"/>
      <c r="Z2341" s="40"/>
      <c r="AA2341" s="40"/>
      <c r="AB2341" s="38"/>
      <c r="AC2341" s="38"/>
      <c r="AD2341" s="38"/>
      <c r="AE2341" s="38"/>
      <c r="AF2341" s="38"/>
      <c r="AG2341" s="38"/>
      <c r="AH2341" s="38"/>
      <c r="AI2341" s="38"/>
      <c r="AJ2341" s="38"/>
      <c r="AK2341" s="38"/>
      <c r="AL2341" s="38"/>
      <c r="AM2341" s="38"/>
      <c r="AN2341" s="38"/>
      <c r="AO2341" s="38"/>
      <c r="AP2341" s="38"/>
      <c r="AQ2341" s="38"/>
      <c r="AR2341" s="38"/>
      <c r="AS2341" s="38"/>
      <c r="AT2341" s="38"/>
      <c r="AU2341" s="38"/>
      <c r="AV2341" s="38"/>
      <c r="AW2341" s="38"/>
      <c r="AX2341" s="38"/>
      <c r="AY2341" s="38"/>
      <c r="AZ2341" s="38"/>
      <c r="BA2341" s="38"/>
      <c r="BB2341" s="38"/>
      <c r="BC2341" s="38"/>
      <c r="BD2341" s="38"/>
      <c r="BE2341" s="38"/>
      <c r="BF2341" s="38"/>
      <c r="BG2341" s="38"/>
    </row>
    <row r="2342">
      <c r="A2342" s="16"/>
      <c r="B2342" s="16"/>
      <c r="C2342" s="146"/>
      <c r="D2342" s="146"/>
      <c r="E2342" s="16"/>
      <c r="F2342" s="91"/>
      <c r="G2342" s="16"/>
      <c r="H2342" s="320" t="str">
        <f t="shared" si="1"/>
        <v/>
      </c>
      <c r="I2342" s="16"/>
      <c r="J2342" s="16"/>
      <c r="K2342" s="16"/>
      <c r="L2342" s="38"/>
      <c r="M2342" s="16"/>
      <c r="N2342" s="16"/>
      <c r="O2342" s="16"/>
      <c r="P2342" s="15"/>
      <c r="Q2342" s="15"/>
      <c r="R2342" s="16"/>
      <c r="S2342" s="16"/>
      <c r="T2342" s="16"/>
      <c r="U2342" s="16"/>
      <c r="V2342" s="37" t="str">
        <f>IFERROR(__xludf.DUMMYFUNCTION("if(not(iserror(index(split(C2342, "" ""),2))), index(split(C2342, "" ""),1),"""")"),"")</f>
        <v/>
      </c>
      <c r="W2342" s="315" t="str">
        <f>IFERROR(__xludf.DUMMYFUNCTION("if(V2342="""",C2342,if(not(iserror(index(split(C2342, "" ""),3))), index(split(C2342, "" ""),3),index(split(C2342, "" ""),2)))"),"")</f>
        <v/>
      </c>
      <c r="X2342" s="38" t="b">
        <f t="shared" si="2"/>
        <v>0</v>
      </c>
      <c r="Y2342" s="38"/>
      <c r="Z2342" s="40"/>
      <c r="AA2342" s="40"/>
      <c r="AB2342" s="38"/>
      <c r="AC2342" s="38"/>
      <c r="AD2342" s="38"/>
      <c r="AE2342" s="38"/>
      <c r="AF2342" s="38"/>
      <c r="AG2342" s="38"/>
      <c r="AH2342" s="38"/>
      <c r="AI2342" s="38"/>
      <c r="AJ2342" s="38"/>
      <c r="AK2342" s="38"/>
      <c r="AL2342" s="38"/>
      <c r="AM2342" s="38"/>
      <c r="AN2342" s="38"/>
      <c r="AO2342" s="38"/>
      <c r="AP2342" s="38"/>
      <c r="AQ2342" s="38"/>
      <c r="AR2342" s="38"/>
      <c r="AS2342" s="38"/>
      <c r="AT2342" s="38"/>
      <c r="AU2342" s="38"/>
      <c r="AV2342" s="38"/>
      <c r="AW2342" s="38"/>
      <c r="AX2342" s="38"/>
      <c r="AY2342" s="38"/>
      <c r="AZ2342" s="38"/>
      <c r="BA2342" s="38"/>
      <c r="BB2342" s="38"/>
      <c r="BC2342" s="38"/>
      <c r="BD2342" s="38"/>
      <c r="BE2342" s="38"/>
      <c r="BF2342" s="38"/>
      <c r="BG2342" s="38"/>
    </row>
    <row r="2343">
      <c r="A2343" s="16"/>
      <c r="B2343" s="16"/>
      <c r="C2343" s="146"/>
      <c r="D2343" s="146"/>
      <c r="E2343" s="16"/>
      <c r="F2343" s="91"/>
      <c r="G2343" s="16"/>
      <c r="H2343" s="320" t="str">
        <f t="shared" si="1"/>
        <v/>
      </c>
      <c r="I2343" s="16"/>
      <c r="J2343" s="16"/>
      <c r="K2343" s="16"/>
      <c r="L2343" s="38"/>
      <c r="M2343" s="16"/>
      <c r="N2343" s="16"/>
      <c r="O2343" s="16"/>
      <c r="P2343" s="15"/>
      <c r="Q2343" s="15"/>
      <c r="R2343" s="16"/>
      <c r="S2343" s="16"/>
      <c r="T2343" s="16"/>
      <c r="U2343" s="16"/>
      <c r="V2343" s="37" t="str">
        <f>IFERROR(__xludf.DUMMYFUNCTION("if(not(iserror(index(split(C2343, "" ""),2))), index(split(C2343, "" ""),1),"""")"),"")</f>
        <v/>
      </c>
      <c r="W2343" s="315" t="str">
        <f>IFERROR(__xludf.DUMMYFUNCTION("if(V2343="""",C2343,if(not(iserror(index(split(C2343, "" ""),3))), index(split(C2343, "" ""),3),index(split(C2343, "" ""),2)))"),"")</f>
        <v/>
      </c>
      <c r="X2343" s="38" t="b">
        <f t="shared" si="2"/>
        <v>0</v>
      </c>
      <c r="Y2343" s="38"/>
      <c r="Z2343" s="40"/>
      <c r="AA2343" s="40"/>
      <c r="AB2343" s="38"/>
      <c r="AC2343" s="38"/>
      <c r="AD2343" s="38"/>
      <c r="AE2343" s="38"/>
      <c r="AF2343" s="38"/>
      <c r="AG2343" s="38"/>
      <c r="AH2343" s="38"/>
      <c r="AI2343" s="38"/>
      <c r="AJ2343" s="38"/>
      <c r="AK2343" s="38"/>
      <c r="AL2343" s="38"/>
      <c r="AM2343" s="38"/>
      <c r="AN2343" s="38"/>
      <c r="AO2343" s="38"/>
      <c r="AP2343" s="38"/>
      <c r="AQ2343" s="38"/>
      <c r="AR2343" s="38"/>
      <c r="AS2343" s="38"/>
      <c r="AT2343" s="38"/>
      <c r="AU2343" s="38"/>
      <c r="AV2343" s="38"/>
      <c r="AW2343" s="38"/>
      <c r="AX2343" s="38"/>
      <c r="AY2343" s="38"/>
      <c r="AZ2343" s="38"/>
      <c r="BA2343" s="38"/>
      <c r="BB2343" s="38"/>
      <c r="BC2343" s="38"/>
      <c r="BD2343" s="38"/>
      <c r="BE2343" s="38"/>
      <c r="BF2343" s="38"/>
      <c r="BG2343" s="38"/>
    </row>
    <row r="2344">
      <c r="A2344" s="16"/>
      <c r="B2344" s="16"/>
      <c r="C2344" s="146"/>
      <c r="D2344" s="146"/>
      <c r="E2344" s="16"/>
      <c r="F2344" s="91"/>
      <c r="G2344" s="16"/>
      <c r="H2344" s="320" t="str">
        <f t="shared" si="1"/>
        <v/>
      </c>
      <c r="I2344" s="16"/>
      <c r="J2344" s="16"/>
      <c r="K2344" s="16"/>
      <c r="L2344" s="38"/>
      <c r="M2344" s="16"/>
      <c r="N2344" s="16"/>
      <c r="O2344" s="16"/>
      <c r="P2344" s="15"/>
      <c r="Q2344" s="15"/>
      <c r="R2344" s="16"/>
      <c r="S2344" s="16"/>
      <c r="T2344" s="16"/>
      <c r="U2344" s="16"/>
      <c r="V2344" s="37" t="str">
        <f>IFERROR(__xludf.DUMMYFUNCTION("if(not(iserror(index(split(C2344, "" ""),2))), index(split(C2344, "" ""),1),"""")"),"")</f>
        <v/>
      </c>
      <c r="W2344" s="315" t="str">
        <f>IFERROR(__xludf.DUMMYFUNCTION("if(V2344="""",C2344,if(not(iserror(index(split(C2344, "" ""),3))), index(split(C2344, "" ""),3),index(split(C2344, "" ""),2)))"),"")</f>
        <v/>
      </c>
      <c r="X2344" s="38" t="b">
        <f t="shared" si="2"/>
        <v>0</v>
      </c>
      <c r="Y2344" s="38"/>
      <c r="Z2344" s="40"/>
      <c r="AA2344" s="40"/>
      <c r="AB2344" s="38"/>
      <c r="AC2344" s="38"/>
      <c r="AD2344" s="38"/>
      <c r="AE2344" s="38"/>
      <c r="AF2344" s="38"/>
      <c r="AG2344" s="38"/>
      <c r="AH2344" s="38"/>
      <c r="AI2344" s="38"/>
      <c r="AJ2344" s="38"/>
      <c r="AK2344" s="38"/>
      <c r="AL2344" s="38"/>
      <c r="AM2344" s="38"/>
      <c r="AN2344" s="38"/>
      <c r="AO2344" s="38"/>
      <c r="AP2344" s="38"/>
      <c r="AQ2344" s="38"/>
      <c r="AR2344" s="38"/>
      <c r="AS2344" s="38"/>
      <c r="AT2344" s="38"/>
      <c r="AU2344" s="38"/>
      <c r="AV2344" s="38"/>
      <c r="AW2344" s="38"/>
      <c r="AX2344" s="38"/>
      <c r="AY2344" s="38"/>
      <c r="AZ2344" s="38"/>
      <c r="BA2344" s="38"/>
      <c r="BB2344" s="38"/>
      <c r="BC2344" s="38"/>
      <c r="BD2344" s="38"/>
      <c r="BE2344" s="38"/>
      <c r="BF2344" s="38"/>
      <c r="BG2344" s="38"/>
    </row>
    <row r="2345">
      <c r="A2345" s="16"/>
      <c r="B2345" s="16"/>
      <c r="C2345" s="146"/>
      <c r="D2345" s="146"/>
      <c r="E2345" s="16"/>
      <c r="F2345" s="91"/>
      <c r="G2345" s="16"/>
      <c r="H2345" s="320" t="str">
        <f t="shared" si="1"/>
        <v/>
      </c>
      <c r="I2345" s="16"/>
      <c r="J2345" s="16"/>
      <c r="K2345" s="16"/>
      <c r="L2345" s="38"/>
      <c r="M2345" s="16"/>
      <c r="N2345" s="16"/>
      <c r="O2345" s="16"/>
      <c r="P2345" s="15"/>
      <c r="Q2345" s="15"/>
      <c r="R2345" s="16"/>
      <c r="S2345" s="16"/>
      <c r="T2345" s="16"/>
      <c r="U2345" s="16"/>
      <c r="V2345" s="37" t="str">
        <f>IFERROR(__xludf.DUMMYFUNCTION("if(not(iserror(index(split(C2345, "" ""),2))), index(split(C2345, "" ""),1),"""")"),"")</f>
        <v/>
      </c>
      <c r="W2345" s="315" t="str">
        <f>IFERROR(__xludf.DUMMYFUNCTION("if(V2345="""",C2345,if(not(iserror(index(split(C2345, "" ""),3))), index(split(C2345, "" ""),3),index(split(C2345, "" ""),2)))"),"")</f>
        <v/>
      </c>
      <c r="X2345" s="38" t="b">
        <f t="shared" si="2"/>
        <v>0</v>
      </c>
      <c r="Y2345" s="38"/>
      <c r="Z2345" s="40"/>
      <c r="AA2345" s="40"/>
      <c r="AB2345" s="38"/>
      <c r="AC2345" s="38"/>
      <c r="AD2345" s="38"/>
      <c r="AE2345" s="38"/>
      <c r="AF2345" s="38"/>
      <c r="AG2345" s="38"/>
      <c r="AH2345" s="38"/>
      <c r="AI2345" s="38"/>
      <c r="AJ2345" s="38"/>
      <c r="AK2345" s="38"/>
      <c r="AL2345" s="38"/>
      <c r="AM2345" s="38"/>
      <c r="AN2345" s="38"/>
      <c r="AO2345" s="38"/>
      <c r="AP2345" s="38"/>
      <c r="AQ2345" s="38"/>
      <c r="AR2345" s="38"/>
      <c r="AS2345" s="38"/>
      <c r="AT2345" s="38"/>
      <c r="AU2345" s="38"/>
      <c r="AV2345" s="38"/>
      <c r="AW2345" s="38"/>
      <c r="AX2345" s="38"/>
      <c r="AY2345" s="38"/>
      <c r="AZ2345" s="38"/>
      <c r="BA2345" s="38"/>
      <c r="BB2345" s="38"/>
      <c r="BC2345" s="38"/>
      <c r="BD2345" s="38"/>
      <c r="BE2345" s="38"/>
      <c r="BF2345" s="38"/>
      <c r="BG2345" s="38"/>
    </row>
    <row r="2346">
      <c r="A2346" s="16"/>
      <c r="B2346" s="16"/>
      <c r="C2346" s="146"/>
      <c r="D2346" s="146"/>
      <c r="E2346" s="16"/>
      <c r="F2346" s="91"/>
      <c r="G2346" s="16"/>
      <c r="H2346" s="320" t="str">
        <f t="shared" si="1"/>
        <v/>
      </c>
      <c r="I2346" s="16"/>
      <c r="J2346" s="16"/>
      <c r="K2346" s="16"/>
      <c r="L2346" s="38"/>
      <c r="M2346" s="16"/>
      <c r="N2346" s="16"/>
      <c r="O2346" s="16"/>
      <c r="P2346" s="15"/>
      <c r="Q2346" s="15"/>
      <c r="R2346" s="16"/>
      <c r="S2346" s="16"/>
      <c r="T2346" s="16"/>
      <c r="U2346" s="16"/>
      <c r="V2346" s="37" t="str">
        <f>IFERROR(__xludf.DUMMYFUNCTION("if(not(iserror(index(split(C2346, "" ""),2))), index(split(C2346, "" ""),1),"""")"),"")</f>
        <v/>
      </c>
      <c r="W2346" s="315" t="str">
        <f>IFERROR(__xludf.DUMMYFUNCTION("if(V2346="""",C2346,if(not(iserror(index(split(C2346, "" ""),3))), index(split(C2346, "" ""),3),index(split(C2346, "" ""),2)))"),"")</f>
        <v/>
      </c>
      <c r="X2346" s="38" t="b">
        <f t="shared" si="2"/>
        <v>0</v>
      </c>
      <c r="Y2346" s="38"/>
      <c r="Z2346" s="40"/>
      <c r="AA2346" s="40"/>
      <c r="AB2346" s="38"/>
      <c r="AC2346" s="38"/>
      <c r="AD2346" s="38"/>
      <c r="AE2346" s="38"/>
      <c r="AF2346" s="38"/>
      <c r="AG2346" s="38"/>
      <c r="AH2346" s="38"/>
      <c r="AI2346" s="38"/>
      <c r="AJ2346" s="38"/>
      <c r="AK2346" s="38"/>
      <c r="AL2346" s="38"/>
      <c r="AM2346" s="38"/>
      <c r="AN2346" s="38"/>
      <c r="AO2346" s="38"/>
      <c r="AP2346" s="38"/>
      <c r="AQ2346" s="38"/>
      <c r="AR2346" s="38"/>
      <c r="AS2346" s="38"/>
      <c r="AT2346" s="38"/>
      <c r="AU2346" s="38"/>
      <c r="AV2346" s="38"/>
      <c r="AW2346" s="38"/>
      <c r="AX2346" s="38"/>
      <c r="AY2346" s="38"/>
      <c r="AZ2346" s="38"/>
      <c r="BA2346" s="38"/>
      <c r="BB2346" s="38"/>
      <c r="BC2346" s="38"/>
      <c r="BD2346" s="38"/>
      <c r="BE2346" s="38"/>
      <c r="BF2346" s="38"/>
      <c r="BG2346" s="38"/>
    </row>
    <row r="2347">
      <c r="A2347" s="16"/>
      <c r="B2347" s="16"/>
      <c r="C2347" s="146"/>
      <c r="D2347" s="146"/>
      <c r="E2347" s="16"/>
      <c r="F2347" s="91"/>
      <c r="G2347" s="16"/>
      <c r="H2347" s="320" t="str">
        <f t="shared" si="1"/>
        <v/>
      </c>
      <c r="I2347" s="16"/>
      <c r="J2347" s="16"/>
      <c r="K2347" s="16"/>
      <c r="L2347" s="38"/>
      <c r="M2347" s="16"/>
      <c r="N2347" s="16"/>
      <c r="O2347" s="16"/>
      <c r="P2347" s="15"/>
      <c r="Q2347" s="15"/>
      <c r="R2347" s="16"/>
      <c r="S2347" s="16"/>
      <c r="T2347" s="16"/>
      <c r="U2347" s="16"/>
      <c r="V2347" s="37" t="str">
        <f>IFERROR(__xludf.DUMMYFUNCTION("if(not(iserror(index(split(C2347, "" ""),2))), index(split(C2347, "" ""),1),"""")"),"")</f>
        <v/>
      </c>
      <c r="W2347" s="315" t="str">
        <f>IFERROR(__xludf.DUMMYFUNCTION("if(V2347="""",C2347,if(not(iserror(index(split(C2347, "" ""),3))), index(split(C2347, "" ""),3),index(split(C2347, "" ""),2)))"),"")</f>
        <v/>
      </c>
      <c r="X2347" s="38" t="b">
        <f t="shared" si="2"/>
        <v>0</v>
      </c>
      <c r="Y2347" s="38"/>
      <c r="Z2347" s="40"/>
      <c r="AA2347" s="40"/>
      <c r="AB2347" s="38"/>
      <c r="AC2347" s="38"/>
      <c r="AD2347" s="38"/>
      <c r="AE2347" s="38"/>
      <c r="AF2347" s="38"/>
      <c r="AG2347" s="38"/>
      <c r="AH2347" s="38"/>
      <c r="AI2347" s="38"/>
      <c r="AJ2347" s="38"/>
      <c r="AK2347" s="38"/>
      <c r="AL2347" s="38"/>
      <c r="AM2347" s="38"/>
      <c r="AN2347" s="38"/>
      <c r="AO2347" s="38"/>
      <c r="AP2347" s="38"/>
      <c r="AQ2347" s="38"/>
      <c r="AR2347" s="38"/>
      <c r="AS2347" s="38"/>
      <c r="AT2347" s="38"/>
      <c r="AU2347" s="38"/>
      <c r="AV2347" s="38"/>
      <c r="AW2347" s="38"/>
      <c r="AX2347" s="38"/>
      <c r="AY2347" s="38"/>
      <c r="AZ2347" s="38"/>
      <c r="BA2347" s="38"/>
      <c r="BB2347" s="38"/>
      <c r="BC2347" s="38"/>
      <c r="BD2347" s="38"/>
      <c r="BE2347" s="38"/>
      <c r="BF2347" s="38"/>
      <c r="BG2347" s="38"/>
    </row>
    <row r="2348">
      <c r="A2348" s="16"/>
      <c r="B2348" s="16"/>
      <c r="C2348" s="146"/>
      <c r="D2348" s="146"/>
      <c r="E2348" s="16"/>
      <c r="F2348" s="91"/>
      <c r="G2348" s="16"/>
      <c r="H2348" s="320" t="str">
        <f t="shared" si="1"/>
        <v/>
      </c>
      <c r="I2348" s="16"/>
      <c r="J2348" s="16"/>
      <c r="K2348" s="16"/>
      <c r="L2348" s="38"/>
      <c r="M2348" s="16"/>
      <c r="N2348" s="16"/>
      <c r="O2348" s="16"/>
      <c r="P2348" s="15"/>
      <c r="Q2348" s="15"/>
      <c r="R2348" s="16"/>
      <c r="S2348" s="16"/>
      <c r="T2348" s="16"/>
      <c r="U2348" s="16"/>
      <c r="V2348" s="37" t="str">
        <f>IFERROR(__xludf.DUMMYFUNCTION("if(not(iserror(index(split(C2348, "" ""),2))), index(split(C2348, "" ""),1),"""")"),"")</f>
        <v/>
      </c>
      <c r="W2348" s="315" t="str">
        <f>IFERROR(__xludf.DUMMYFUNCTION("if(V2348="""",C2348,if(not(iserror(index(split(C2348, "" ""),3))), index(split(C2348, "" ""),3),index(split(C2348, "" ""),2)))"),"")</f>
        <v/>
      </c>
      <c r="X2348" s="38" t="b">
        <f t="shared" si="2"/>
        <v>0</v>
      </c>
      <c r="Y2348" s="38"/>
      <c r="Z2348" s="40"/>
      <c r="AA2348" s="40"/>
      <c r="AB2348" s="38"/>
      <c r="AC2348" s="38"/>
      <c r="AD2348" s="38"/>
      <c r="AE2348" s="38"/>
      <c r="AF2348" s="38"/>
      <c r="AG2348" s="38"/>
      <c r="AH2348" s="38"/>
      <c r="AI2348" s="38"/>
      <c r="AJ2348" s="38"/>
      <c r="AK2348" s="38"/>
      <c r="AL2348" s="38"/>
      <c r="AM2348" s="38"/>
      <c r="AN2348" s="38"/>
      <c r="AO2348" s="38"/>
      <c r="AP2348" s="38"/>
      <c r="AQ2348" s="38"/>
      <c r="AR2348" s="38"/>
      <c r="AS2348" s="38"/>
      <c r="AT2348" s="38"/>
      <c r="AU2348" s="38"/>
      <c r="AV2348" s="38"/>
      <c r="AW2348" s="38"/>
      <c r="AX2348" s="38"/>
      <c r="AY2348" s="38"/>
      <c r="AZ2348" s="38"/>
      <c r="BA2348" s="38"/>
      <c r="BB2348" s="38"/>
      <c r="BC2348" s="38"/>
      <c r="BD2348" s="38"/>
      <c r="BE2348" s="38"/>
      <c r="BF2348" s="38"/>
      <c r="BG2348" s="38"/>
    </row>
    <row r="2349">
      <c r="A2349" s="16"/>
      <c r="B2349" s="16"/>
      <c r="C2349" s="146"/>
      <c r="D2349" s="146"/>
      <c r="E2349" s="16"/>
      <c r="F2349" s="91"/>
      <c r="G2349" s="16"/>
      <c r="H2349" s="320" t="str">
        <f t="shared" si="1"/>
        <v/>
      </c>
      <c r="I2349" s="16"/>
      <c r="J2349" s="16"/>
      <c r="K2349" s="16"/>
      <c r="L2349" s="38"/>
      <c r="M2349" s="16"/>
      <c r="N2349" s="16"/>
      <c r="O2349" s="16"/>
      <c r="P2349" s="15"/>
      <c r="Q2349" s="15"/>
      <c r="R2349" s="16"/>
      <c r="S2349" s="16"/>
      <c r="T2349" s="16"/>
      <c r="U2349" s="16"/>
      <c r="V2349" s="37" t="str">
        <f>IFERROR(__xludf.DUMMYFUNCTION("if(not(iserror(index(split(C2349, "" ""),2))), index(split(C2349, "" ""),1),"""")"),"")</f>
        <v/>
      </c>
      <c r="W2349" s="315" t="str">
        <f>IFERROR(__xludf.DUMMYFUNCTION("if(V2349="""",C2349,if(not(iserror(index(split(C2349, "" ""),3))), index(split(C2349, "" ""),3),index(split(C2349, "" ""),2)))"),"")</f>
        <v/>
      </c>
      <c r="X2349" s="38" t="b">
        <f t="shared" si="2"/>
        <v>0</v>
      </c>
      <c r="Y2349" s="38"/>
      <c r="Z2349" s="40"/>
      <c r="AA2349" s="40"/>
      <c r="AB2349" s="38"/>
      <c r="AC2349" s="38"/>
      <c r="AD2349" s="38"/>
      <c r="AE2349" s="38"/>
      <c r="AF2349" s="38"/>
      <c r="AG2349" s="38"/>
      <c r="AH2349" s="38"/>
      <c r="AI2349" s="38"/>
      <c r="AJ2349" s="38"/>
      <c r="AK2349" s="38"/>
      <c r="AL2349" s="38"/>
      <c r="AM2349" s="38"/>
      <c r="AN2349" s="38"/>
      <c r="AO2349" s="38"/>
      <c r="AP2349" s="38"/>
      <c r="AQ2349" s="38"/>
      <c r="AR2349" s="38"/>
      <c r="AS2349" s="38"/>
      <c r="AT2349" s="38"/>
      <c r="AU2349" s="38"/>
      <c r="AV2349" s="38"/>
      <c r="AW2349" s="38"/>
      <c r="AX2349" s="38"/>
      <c r="AY2349" s="38"/>
      <c r="AZ2349" s="38"/>
      <c r="BA2349" s="38"/>
      <c r="BB2349" s="38"/>
      <c r="BC2349" s="38"/>
      <c r="BD2349" s="38"/>
      <c r="BE2349" s="38"/>
      <c r="BF2349" s="38"/>
      <c r="BG2349" s="38"/>
    </row>
    <row r="2350">
      <c r="A2350" s="16"/>
      <c r="B2350" s="16"/>
      <c r="C2350" s="146"/>
      <c r="D2350" s="146"/>
      <c r="E2350" s="16"/>
      <c r="F2350" s="91"/>
      <c r="G2350" s="16"/>
      <c r="H2350" s="320" t="str">
        <f t="shared" si="1"/>
        <v/>
      </c>
      <c r="I2350" s="16"/>
      <c r="J2350" s="16"/>
      <c r="K2350" s="16"/>
      <c r="L2350" s="38"/>
      <c r="M2350" s="16"/>
      <c r="N2350" s="16"/>
      <c r="O2350" s="16"/>
      <c r="P2350" s="15"/>
      <c r="Q2350" s="15"/>
      <c r="R2350" s="16"/>
      <c r="S2350" s="16"/>
      <c r="T2350" s="16"/>
      <c r="U2350" s="16"/>
      <c r="V2350" s="37" t="str">
        <f>IFERROR(__xludf.DUMMYFUNCTION("if(not(iserror(index(split(C2350, "" ""),2))), index(split(C2350, "" ""),1),"""")"),"")</f>
        <v/>
      </c>
      <c r="W2350" s="315" t="str">
        <f>IFERROR(__xludf.DUMMYFUNCTION("if(V2350="""",C2350,if(not(iserror(index(split(C2350, "" ""),3))), index(split(C2350, "" ""),3),index(split(C2350, "" ""),2)))"),"")</f>
        <v/>
      </c>
      <c r="X2350" s="38" t="b">
        <f t="shared" si="2"/>
        <v>0</v>
      </c>
      <c r="Y2350" s="38"/>
      <c r="Z2350" s="40"/>
      <c r="AA2350" s="40"/>
      <c r="AB2350" s="38"/>
      <c r="AC2350" s="38"/>
      <c r="AD2350" s="38"/>
      <c r="AE2350" s="38"/>
      <c r="AF2350" s="38"/>
      <c r="AG2350" s="38"/>
      <c r="AH2350" s="38"/>
      <c r="AI2350" s="38"/>
      <c r="AJ2350" s="38"/>
      <c r="AK2350" s="38"/>
      <c r="AL2350" s="38"/>
      <c r="AM2350" s="38"/>
      <c r="AN2350" s="38"/>
      <c r="AO2350" s="38"/>
      <c r="AP2350" s="38"/>
      <c r="AQ2350" s="38"/>
      <c r="AR2350" s="38"/>
      <c r="AS2350" s="38"/>
      <c r="AT2350" s="38"/>
      <c r="AU2350" s="38"/>
      <c r="AV2350" s="38"/>
      <c r="AW2350" s="38"/>
      <c r="AX2350" s="38"/>
      <c r="AY2350" s="38"/>
      <c r="AZ2350" s="38"/>
      <c r="BA2350" s="38"/>
      <c r="BB2350" s="38"/>
      <c r="BC2350" s="38"/>
      <c r="BD2350" s="38"/>
      <c r="BE2350" s="38"/>
      <c r="BF2350" s="38"/>
      <c r="BG2350" s="38"/>
    </row>
    <row r="2351">
      <c r="A2351" s="16"/>
      <c r="B2351" s="16"/>
      <c r="C2351" s="146"/>
      <c r="D2351" s="146"/>
      <c r="E2351" s="16"/>
      <c r="F2351" s="91"/>
      <c r="G2351" s="16"/>
      <c r="H2351" s="320" t="str">
        <f t="shared" si="1"/>
        <v/>
      </c>
      <c r="I2351" s="16"/>
      <c r="J2351" s="16"/>
      <c r="K2351" s="16"/>
      <c r="L2351" s="38"/>
      <c r="M2351" s="16"/>
      <c r="N2351" s="16"/>
      <c r="O2351" s="16"/>
      <c r="P2351" s="15"/>
      <c r="Q2351" s="15"/>
      <c r="R2351" s="16"/>
      <c r="S2351" s="16"/>
      <c r="T2351" s="16"/>
      <c r="U2351" s="16"/>
      <c r="V2351" s="37" t="str">
        <f>IFERROR(__xludf.DUMMYFUNCTION("if(not(iserror(index(split(C2351, "" ""),2))), index(split(C2351, "" ""),1),"""")"),"")</f>
        <v/>
      </c>
      <c r="W2351" s="315" t="str">
        <f>IFERROR(__xludf.DUMMYFUNCTION("if(V2351="""",C2351,if(not(iserror(index(split(C2351, "" ""),3))), index(split(C2351, "" ""),3),index(split(C2351, "" ""),2)))"),"")</f>
        <v/>
      </c>
      <c r="X2351" s="38" t="b">
        <f t="shared" si="2"/>
        <v>0</v>
      </c>
      <c r="Y2351" s="38"/>
      <c r="Z2351" s="40"/>
      <c r="AA2351" s="40"/>
      <c r="AB2351" s="38"/>
      <c r="AC2351" s="38"/>
      <c r="AD2351" s="38"/>
      <c r="AE2351" s="38"/>
      <c r="AF2351" s="38"/>
      <c r="AG2351" s="38"/>
      <c r="AH2351" s="38"/>
      <c r="AI2351" s="38"/>
      <c r="AJ2351" s="38"/>
      <c r="AK2351" s="38"/>
      <c r="AL2351" s="38"/>
      <c r="AM2351" s="38"/>
      <c r="AN2351" s="38"/>
      <c r="AO2351" s="38"/>
      <c r="AP2351" s="38"/>
      <c r="AQ2351" s="38"/>
      <c r="AR2351" s="38"/>
      <c r="AS2351" s="38"/>
      <c r="AT2351" s="38"/>
      <c r="AU2351" s="38"/>
      <c r="AV2351" s="38"/>
      <c r="AW2351" s="38"/>
      <c r="AX2351" s="38"/>
      <c r="AY2351" s="38"/>
      <c r="AZ2351" s="38"/>
      <c r="BA2351" s="38"/>
      <c r="BB2351" s="38"/>
      <c r="BC2351" s="38"/>
      <c r="BD2351" s="38"/>
      <c r="BE2351" s="38"/>
      <c r="BF2351" s="38"/>
      <c r="BG2351" s="38"/>
    </row>
    <row r="2352">
      <c r="A2352" s="16"/>
      <c r="B2352" s="16"/>
      <c r="C2352" s="146"/>
      <c r="D2352" s="146"/>
      <c r="E2352" s="16"/>
      <c r="F2352" s="91"/>
      <c r="G2352" s="16"/>
      <c r="H2352" s="320" t="str">
        <f t="shared" si="1"/>
        <v/>
      </c>
      <c r="I2352" s="16"/>
      <c r="J2352" s="16"/>
      <c r="K2352" s="16"/>
      <c r="L2352" s="38"/>
      <c r="M2352" s="16"/>
      <c r="N2352" s="16"/>
      <c r="O2352" s="16"/>
      <c r="P2352" s="15"/>
      <c r="Q2352" s="15"/>
      <c r="R2352" s="16"/>
      <c r="S2352" s="16"/>
      <c r="T2352" s="16"/>
      <c r="U2352" s="16"/>
      <c r="V2352" s="37" t="str">
        <f>IFERROR(__xludf.DUMMYFUNCTION("if(not(iserror(index(split(C2352, "" ""),2))), index(split(C2352, "" ""),1),"""")"),"")</f>
        <v/>
      </c>
      <c r="W2352" s="315" t="str">
        <f>IFERROR(__xludf.DUMMYFUNCTION("if(V2352="""",C2352,if(not(iserror(index(split(C2352, "" ""),3))), index(split(C2352, "" ""),3),index(split(C2352, "" ""),2)))"),"")</f>
        <v/>
      </c>
      <c r="X2352" s="38" t="b">
        <f t="shared" si="2"/>
        <v>0</v>
      </c>
      <c r="Y2352" s="38"/>
      <c r="Z2352" s="40"/>
      <c r="AA2352" s="40"/>
      <c r="AB2352" s="38"/>
      <c r="AC2352" s="38"/>
      <c r="AD2352" s="38"/>
      <c r="AE2352" s="38"/>
      <c r="AF2352" s="38"/>
      <c r="AG2352" s="38"/>
      <c r="AH2352" s="38"/>
      <c r="AI2352" s="38"/>
      <c r="AJ2352" s="38"/>
      <c r="AK2352" s="38"/>
      <c r="AL2352" s="38"/>
      <c r="AM2352" s="38"/>
      <c r="AN2352" s="38"/>
      <c r="AO2352" s="38"/>
      <c r="AP2352" s="38"/>
      <c r="AQ2352" s="38"/>
      <c r="AR2352" s="38"/>
      <c r="AS2352" s="38"/>
      <c r="AT2352" s="38"/>
      <c r="AU2352" s="38"/>
      <c r="AV2352" s="38"/>
      <c r="AW2352" s="38"/>
      <c r="AX2352" s="38"/>
      <c r="AY2352" s="38"/>
      <c r="AZ2352" s="38"/>
      <c r="BA2352" s="38"/>
      <c r="BB2352" s="38"/>
      <c r="BC2352" s="38"/>
      <c r="BD2352" s="38"/>
      <c r="BE2352" s="38"/>
      <c r="BF2352" s="38"/>
      <c r="BG2352" s="38"/>
    </row>
    <row r="2353">
      <c r="A2353" s="16"/>
      <c r="B2353" s="16"/>
      <c r="C2353" s="146"/>
      <c r="D2353" s="146"/>
      <c r="E2353" s="16"/>
      <c r="F2353" s="91"/>
      <c r="G2353" s="16"/>
      <c r="H2353" s="320" t="str">
        <f t="shared" si="1"/>
        <v/>
      </c>
      <c r="I2353" s="16"/>
      <c r="J2353" s="16"/>
      <c r="K2353" s="16"/>
      <c r="L2353" s="38"/>
      <c r="M2353" s="16"/>
      <c r="N2353" s="16"/>
      <c r="O2353" s="16"/>
      <c r="P2353" s="15"/>
      <c r="Q2353" s="15"/>
      <c r="R2353" s="16"/>
      <c r="S2353" s="16"/>
      <c r="T2353" s="16"/>
      <c r="U2353" s="16"/>
      <c r="V2353" s="37" t="str">
        <f>IFERROR(__xludf.DUMMYFUNCTION("if(not(iserror(index(split(C2353, "" ""),2))), index(split(C2353, "" ""),1),"""")"),"")</f>
        <v/>
      </c>
      <c r="W2353" s="315" t="str">
        <f>IFERROR(__xludf.DUMMYFUNCTION("if(V2353="""",C2353,if(not(iserror(index(split(C2353, "" ""),3))), index(split(C2353, "" ""),3),index(split(C2353, "" ""),2)))"),"")</f>
        <v/>
      </c>
      <c r="X2353" s="38" t="b">
        <f t="shared" si="2"/>
        <v>0</v>
      </c>
      <c r="Y2353" s="38"/>
      <c r="Z2353" s="40"/>
      <c r="AA2353" s="40"/>
      <c r="AB2353" s="38"/>
      <c r="AC2353" s="38"/>
      <c r="AD2353" s="38"/>
      <c r="AE2353" s="38"/>
      <c r="AF2353" s="38"/>
      <c r="AG2353" s="38"/>
      <c r="AH2353" s="38"/>
      <c r="AI2353" s="38"/>
      <c r="AJ2353" s="38"/>
      <c r="AK2353" s="38"/>
      <c r="AL2353" s="38"/>
      <c r="AM2353" s="38"/>
      <c r="AN2353" s="38"/>
      <c r="AO2353" s="38"/>
      <c r="AP2353" s="38"/>
      <c r="AQ2353" s="38"/>
      <c r="AR2353" s="38"/>
      <c r="AS2353" s="38"/>
      <c r="AT2353" s="38"/>
      <c r="AU2353" s="38"/>
      <c r="AV2353" s="38"/>
      <c r="AW2353" s="38"/>
      <c r="AX2353" s="38"/>
      <c r="AY2353" s="38"/>
      <c r="AZ2353" s="38"/>
      <c r="BA2353" s="38"/>
      <c r="BB2353" s="38"/>
      <c r="BC2353" s="38"/>
      <c r="BD2353" s="38"/>
      <c r="BE2353" s="38"/>
      <c r="BF2353" s="38"/>
      <c r="BG2353" s="38"/>
    </row>
    <row r="2354">
      <c r="A2354" s="16"/>
      <c r="B2354" s="16"/>
      <c r="C2354" s="146"/>
      <c r="D2354" s="146"/>
      <c r="E2354" s="16"/>
      <c r="F2354" s="91"/>
      <c r="G2354" s="16"/>
      <c r="H2354" s="320" t="str">
        <f t="shared" si="1"/>
        <v/>
      </c>
      <c r="I2354" s="16"/>
      <c r="J2354" s="16"/>
      <c r="K2354" s="16"/>
      <c r="L2354" s="38"/>
      <c r="M2354" s="16"/>
      <c r="N2354" s="16"/>
      <c r="O2354" s="16"/>
      <c r="P2354" s="15"/>
      <c r="Q2354" s="15"/>
      <c r="R2354" s="16"/>
      <c r="S2354" s="16"/>
      <c r="T2354" s="16"/>
      <c r="U2354" s="16"/>
      <c r="V2354" s="37" t="str">
        <f>IFERROR(__xludf.DUMMYFUNCTION("if(not(iserror(index(split(C2354, "" ""),2))), index(split(C2354, "" ""),1),"""")"),"")</f>
        <v/>
      </c>
      <c r="W2354" s="315" t="str">
        <f>IFERROR(__xludf.DUMMYFUNCTION("if(V2354="""",C2354,if(not(iserror(index(split(C2354, "" ""),3))), index(split(C2354, "" ""),3),index(split(C2354, "" ""),2)))"),"")</f>
        <v/>
      </c>
      <c r="X2354" s="38" t="b">
        <f t="shared" si="2"/>
        <v>0</v>
      </c>
      <c r="Y2354" s="38"/>
      <c r="Z2354" s="40"/>
      <c r="AA2354" s="40"/>
      <c r="AB2354" s="38"/>
      <c r="AC2354" s="38"/>
      <c r="AD2354" s="38"/>
      <c r="AE2354" s="38"/>
      <c r="AF2354" s="38"/>
      <c r="AG2354" s="38"/>
      <c r="AH2354" s="38"/>
      <c r="AI2354" s="38"/>
      <c r="AJ2354" s="38"/>
      <c r="AK2354" s="38"/>
      <c r="AL2354" s="38"/>
      <c r="AM2354" s="38"/>
      <c r="AN2354" s="38"/>
      <c r="AO2354" s="38"/>
      <c r="AP2354" s="38"/>
      <c r="AQ2354" s="38"/>
      <c r="AR2354" s="38"/>
      <c r="AS2354" s="38"/>
      <c r="AT2354" s="38"/>
      <c r="AU2354" s="38"/>
      <c r="AV2354" s="38"/>
      <c r="AW2354" s="38"/>
      <c r="AX2354" s="38"/>
      <c r="AY2354" s="38"/>
      <c r="AZ2354" s="38"/>
      <c r="BA2354" s="38"/>
      <c r="BB2354" s="38"/>
      <c r="BC2354" s="38"/>
      <c r="BD2354" s="38"/>
      <c r="BE2354" s="38"/>
      <c r="BF2354" s="38"/>
      <c r="BG2354" s="38"/>
    </row>
    <row r="2355">
      <c r="A2355" s="16"/>
      <c r="B2355" s="16"/>
      <c r="C2355" s="146"/>
      <c r="D2355" s="146"/>
      <c r="E2355" s="16"/>
      <c r="F2355" s="91"/>
      <c r="G2355" s="16"/>
      <c r="H2355" s="320" t="str">
        <f t="shared" si="1"/>
        <v/>
      </c>
      <c r="I2355" s="16"/>
      <c r="J2355" s="16"/>
      <c r="K2355" s="16"/>
      <c r="L2355" s="38"/>
      <c r="M2355" s="16"/>
      <c r="N2355" s="16"/>
      <c r="O2355" s="16"/>
      <c r="P2355" s="15"/>
      <c r="Q2355" s="15"/>
      <c r="R2355" s="16"/>
      <c r="S2355" s="16"/>
      <c r="T2355" s="16"/>
      <c r="U2355" s="16"/>
      <c r="V2355" s="37" t="str">
        <f>IFERROR(__xludf.DUMMYFUNCTION("if(not(iserror(index(split(C2355, "" ""),2))), index(split(C2355, "" ""),1),"""")"),"")</f>
        <v/>
      </c>
      <c r="W2355" s="315" t="str">
        <f>IFERROR(__xludf.DUMMYFUNCTION("if(V2355="""",C2355,if(not(iserror(index(split(C2355, "" ""),3))), index(split(C2355, "" ""),3),index(split(C2355, "" ""),2)))"),"")</f>
        <v/>
      </c>
      <c r="X2355" s="38" t="b">
        <f t="shared" si="2"/>
        <v>0</v>
      </c>
      <c r="Y2355" s="38"/>
      <c r="Z2355" s="40"/>
      <c r="AA2355" s="40"/>
      <c r="AB2355" s="38"/>
      <c r="AC2355" s="38"/>
      <c r="AD2355" s="38"/>
      <c r="AE2355" s="38"/>
      <c r="AF2355" s="38"/>
      <c r="AG2355" s="38"/>
      <c r="AH2355" s="38"/>
      <c r="AI2355" s="38"/>
      <c r="AJ2355" s="38"/>
      <c r="AK2355" s="38"/>
      <c r="AL2355" s="38"/>
      <c r="AM2355" s="38"/>
      <c r="AN2355" s="38"/>
      <c r="AO2355" s="38"/>
      <c r="AP2355" s="38"/>
      <c r="AQ2355" s="38"/>
      <c r="AR2355" s="38"/>
      <c r="AS2355" s="38"/>
      <c r="AT2355" s="38"/>
      <c r="AU2355" s="38"/>
      <c r="AV2355" s="38"/>
      <c r="AW2355" s="38"/>
      <c r="AX2355" s="38"/>
      <c r="AY2355" s="38"/>
      <c r="AZ2355" s="38"/>
      <c r="BA2355" s="38"/>
      <c r="BB2355" s="38"/>
      <c r="BC2355" s="38"/>
      <c r="BD2355" s="38"/>
      <c r="BE2355" s="38"/>
      <c r="BF2355" s="38"/>
      <c r="BG2355" s="38"/>
    </row>
    <row r="2356">
      <c r="A2356" s="16"/>
      <c r="B2356" s="16"/>
      <c r="C2356" s="146"/>
      <c r="D2356" s="146"/>
      <c r="E2356" s="16"/>
      <c r="F2356" s="91"/>
      <c r="G2356" s="16"/>
      <c r="H2356" s="320" t="str">
        <f t="shared" si="1"/>
        <v/>
      </c>
      <c r="I2356" s="16"/>
      <c r="J2356" s="16"/>
      <c r="K2356" s="16"/>
      <c r="L2356" s="38"/>
      <c r="M2356" s="16"/>
      <c r="N2356" s="16"/>
      <c r="O2356" s="16"/>
      <c r="P2356" s="15"/>
      <c r="Q2356" s="15"/>
      <c r="R2356" s="16"/>
      <c r="S2356" s="16"/>
      <c r="T2356" s="16"/>
      <c r="U2356" s="16"/>
      <c r="V2356" s="37" t="str">
        <f>IFERROR(__xludf.DUMMYFUNCTION("if(not(iserror(index(split(C2356, "" ""),2))), index(split(C2356, "" ""),1),"""")"),"")</f>
        <v/>
      </c>
      <c r="W2356" s="315" t="str">
        <f>IFERROR(__xludf.DUMMYFUNCTION("if(V2356="""",C2356,if(not(iserror(index(split(C2356, "" ""),3))), index(split(C2356, "" ""),3),index(split(C2356, "" ""),2)))"),"")</f>
        <v/>
      </c>
      <c r="X2356" s="38" t="b">
        <f t="shared" si="2"/>
        <v>0</v>
      </c>
      <c r="Y2356" s="38"/>
      <c r="Z2356" s="40"/>
      <c r="AA2356" s="40"/>
      <c r="AB2356" s="38"/>
      <c r="AC2356" s="38"/>
      <c r="AD2356" s="38"/>
      <c r="AE2356" s="38"/>
      <c r="AF2356" s="38"/>
      <c r="AG2356" s="38"/>
      <c r="AH2356" s="38"/>
      <c r="AI2356" s="38"/>
      <c r="AJ2356" s="38"/>
      <c r="AK2356" s="38"/>
      <c r="AL2356" s="38"/>
      <c r="AM2356" s="38"/>
      <c r="AN2356" s="38"/>
      <c r="AO2356" s="38"/>
      <c r="AP2356" s="38"/>
      <c r="AQ2356" s="38"/>
      <c r="AR2356" s="38"/>
      <c r="AS2356" s="38"/>
      <c r="AT2356" s="38"/>
      <c r="AU2356" s="38"/>
      <c r="AV2356" s="38"/>
      <c r="AW2356" s="38"/>
      <c r="AX2356" s="38"/>
      <c r="AY2356" s="38"/>
      <c r="AZ2356" s="38"/>
      <c r="BA2356" s="38"/>
      <c r="BB2356" s="38"/>
      <c r="BC2356" s="38"/>
      <c r="BD2356" s="38"/>
      <c r="BE2356" s="38"/>
      <c r="BF2356" s="38"/>
      <c r="BG2356" s="38"/>
    </row>
    <row r="2357">
      <c r="A2357" s="16"/>
      <c r="B2357" s="16"/>
      <c r="C2357" s="146"/>
      <c r="D2357" s="146"/>
      <c r="E2357" s="16"/>
      <c r="F2357" s="91"/>
      <c r="G2357" s="16"/>
      <c r="H2357" s="320" t="str">
        <f t="shared" si="1"/>
        <v/>
      </c>
      <c r="I2357" s="16"/>
      <c r="J2357" s="16"/>
      <c r="K2357" s="16"/>
      <c r="L2357" s="38"/>
      <c r="M2357" s="16"/>
      <c r="N2357" s="16"/>
      <c r="O2357" s="16"/>
      <c r="P2357" s="15"/>
      <c r="Q2357" s="15"/>
      <c r="R2357" s="16"/>
      <c r="S2357" s="16"/>
      <c r="T2357" s="16"/>
      <c r="U2357" s="16"/>
      <c r="V2357" s="37" t="str">
        <f>IFERROR(__xludf.DUMMYFUNCTION("if(not(iserror(index(split(C2357, "" ""),2))), index(split(C2357, "" ""),1),"""")"),"")</f>
        <v/>
      </c>
      <c r="W2357" s="315" t="str">
        <f>IFERROR(__xludf.DUMMYFUNCTION("if(V2357="""",C2357,if(not(iserror(index(split(C2357, "" ""),3))), index(split(C2357, "" ""),3),index(split(C2357, "" ""),2)))"),"")</f>
        <v/>
      </c>
      <c r="X2357" s="38" t="b">
        <f t="shared" si="2"/>
        <v>0</v>
      </c>
      <c r="Y2357" s="38"/>
      <c r="Z2357" s="40"/>
      <c r="AA2357" s="40"/>
      <c r="AB2357" s="38"/>
      <c r="AC2357" s="38"/>
      <c r="AD2357" s="38"/>
      <c r="AE2357" s="38"/>
      <c r="AF2357" s="38"/>
      <c r="AG2357" s="38"/>
      <c r="AH2357" s="38"/>
      <c r="AI2357" s="38"/>
      <c r="AJ2357" s="38"/>
      <c r="AK2357" s="38"/>
      <c r="AL2357" s="38"/>
      <c r="AM2357" s="38"/>
      <c r="AN2357" s="38"/>
      <c r="AO2357" s="38"/>
      <c r="AP2357" s="38"/>
      <c r="AQ2357" s="38"/>
      <c r="AR2357" s="38"/>
      <c r="AS2357" s="38"/>
      <c r="AT2357" s="38"/>
      <c r="AU2357" s="38"/>
      <c r="AV2357" s="38"/>
      <c r="AW2357" s="38"/>
      <c r="AX2357" s="38"/>
      <c r="AY2357" s="38"/>
      <c r="AZ2357" s="38"/>
      <c r="BA2357" s="38"/>
      <c r="BB2357" s="38"/>
      <c r="BC2357" s="38"/>
      <c r="BD2357" s="38"/>
      <c r="BE2357" s="38"/>
      <c r="BF2357" s="38"/>
      <c r="BG2357" s="38"/>
    </row>
    <row r="2358">
      <c r="A2358" s="16"/>
      <c r="B2358" s="16"/>
      <c r="C2358" s="146"/>
      <c r="D2358" s="146"/>
      <c r="E2358" s="16"/>
      <c r="F2358" s="91"/>
      <c r="G2358" s="16"/>
      <c r="H2358" s="320" t="str">
        <f t="shared" si="1"/>
        <v/>
      </c>
      <c r="I2358" s="16"/>
      <c r="J2358" s="16"/>
      <c r="K2358" s="16"/>
      <c r="L2358" s="38"/>
      <c r="M2358" s="16"/>
      <c r="N2358" s="16"/>
      <c r="O2358" s="16"/>
      <c r="P2358" s="15"/>
      <c r="Q2358" s="15"/>
      <c r="R2358" s="16"/>
      <c r="S2358" s="16"/>
      <c r="T2358" s="16"/>
      <c r="U2358" s="16"/>
      <c r="V2358" s="37" t="str">
        <f>IFERROR(__xludf.DUMMYFUNCTION("if(not(iserror(index(split(C2358, "" ""),2))), index(split(C2358, "" ""),1),"""")"),"")</f>
        <v/>
      </c>
      <c r="W2358" s="315" t="str">
        <f>IFERROR(__xludf.DUMMYFUNCTION("if(V2358="""",C2358,if(not(iserror(index(split(C2358, "" ""),3))), index(split(C2358, "" ""),3),index(split(C2358, "" ""),2)))"),"")</f>
        <v/>
      </c>
      <c r="X2358" s="38" t="b">
        <f t="shared" si="2"/>
        <v>0</v>
      </c>
      <c r="Y2358" s="38"/>
      <c r="Z2358" s="40"/>
      <c r="AA2358" s="40"/>
      <c r="AB2358" s="38"/>
      <c r="AC2358" s="38"/>
      <c r="AD2358" s="38"/>
      <c r="AE2358" s="38"/>
      <c r="AF2358" s="38"/>
      <c r="AG2358" s="38"/>
      <c r="AH2358" s="38"/>
      <c r="AI2358" s="38"/>
      <c r="AJ2358" s="38"/>
      <c r="AK2358" s="38"/>
      <c r="AL2358" s="38"/>
      <c r="AM2358" s="38"/>
      <c r="AN2358" s="38"/>
      <c r="AO2358" s="38"/>
      <c r="AP2358" s="38"/>
      <c r="AQ2358" s="38"/>
      <c r="AR2358" s="38"/>
      <c r="AS2358" s="38"/>
      <c r="AT2358" s="38"/>
      <c r="AU2358" s="38"/>
      <c r="AV2358" s="38"/>
      <c r="AW2358" s="38"/>
      <c r="AX2358" s="38"/>
      <c r="AY2358" s="38"/>
      <c r="AZ2358" s="38"/>
      <c r="BA2358" s="38"/>
      <c r="BB2358" s="38"/>
      <c r="BC2358" s="38"/>
      <c r="BD2358" s="38"/>
      <c r="BE2358" s="38"/>
      <c r="BF2358" s="38"/>
      <c r="BG2358" s="38"/>
    </row>
    <row r="2359">
      <c r="A2359" s="16"/>
      <c r="B2359" s="16"/>
      <c r="C2359" s="146"/>
      <c r="D2359" s="146"/>
      <c r="E2359" s="16"/>
      <c r="F2359" s="91"/>
      <c r="G2359" s="16"/>
      <c r="H2359" s="320" t="str">
        <f t="shared" si="1"/>
        <v/>
      </c>
      <c r="I2359" s="16"/>
      <c r="J2359" s="16"/>
      <c r="K2359" s="16"/>
      <c r="L2359" s="38"/>
      <c r="M2359" s="16"/>
      <c r="N2359" s="16"/>
      <c r="O2359" s="16"/>
      <c r="P2359" s="15"/>
      <c r="Q2359" s="15"/>
      <c r="R2359" s="16"/>
      <c r="S2359" s="16"/>
      <c r="T2359" s="16"/>
      <c r="U2359" s="16"/>
      <c r="V2359" s="37" t="str">
        <f>IFERROR(__xludf.DUMMYFUNCTION("if(not(iserror(index(split(C2359, "" ""),2))), index(split(C2359, "" ""),1),"""")"),"")</f>
        <v/>
      </c>
      <c r="W2359" s="315" t="str">
        <f>IFERROR(__xludf.DUMMYFUNCTION("if(V2359="""",C2359,if(not(iserror(index(split(C2359, "" ""),3))), index(split(C2359, "" ""),3),index(split(C2359, "" ""),2)))"),"")</f>
        <v/>
      </c>
      <c r="X2359" s="38" t="b">
        <f t="shared" si="2"/>
        <v>0</v>
      </c>
      <c r="Y2359" s="38"/>
      <c r="Z2359" s="40"/>
      <c r="AA2359" s="40"/>
      <c r="AB2359" s="38"/>
      <c r="AC2359" s="38"/>
      <c r="AD2359" s="38"/>
      <c r="AE2359" s="38"/>
      <c r="AF2359" s="38"/>
      <c r="AG2359" s="38"/>
      <c r="AH2359" s="38"/>
      <c r="AI2359" s="38"/>
      <c r="AJ2359" s="38"/>
      <c r="AK2359" s="38"/>
      <c r="AL2359" s="38"/>
      <c r="AM2359" s="38"/>
      <c r="AN2359" s="38"/>
      <c r="AO2359" s="38"/>
      <c r="AP2359" s="38"/>
      <c r="AQ2359" s="38"/>
      <c r="AR2359" s="38"/>
      <c r="AS2359" s="38"/>
      <c r="AT2359" s="38"/>
      <c r="AU2359" s="38"/>
      <c r="AV2359" s="38"/>
      <c r="AW2359" s="38"/>
      <c r="AX2359" s="38"/>
      <c r="AY2359" s="38"/>
      <c r="AZ2359" s="38"/>
      <c r="BA2359" s="38"/>
      <c r="BB2359" s="38"/>
      <c r="BC2359" s="38"/>
      <c r="BD2359" s="38"/>
      <c r="BE2359" s="38"/>
      <c r="BF2359" s="38"/>
      <c r="BG2359" s="38"/>
    </row>
    <row r="2360">
      <c r="A2360" s="16"/>
      <c r="B2360" s="16"/>
      <c r="C2360" s="146"/>
      <c r="D2360" s="146"/>
      <c r="E2360" s="16"/>
      <c r="F2360" s="91"/>
      <c r="G2360" s="16"/>
      <c r="H2360" s="320" t="str">
        <f t="shared" si="1"/>
        <v/>
      </c>
      <c r="I2360" s="16"/>
      <c r="J2360" s="16"/>
      <c r="K2360" s="16"/>
      <c r="L2360" s="38"/>
      <c r="M2360" s="16"/>
      <c r="N2360" s="16"/>
      <c r="O2360" s="16"/>
      <c r="P2360" s="15"/>
      <c r="Q2360" s="15"/>
      <c r="R2360" s="16"/>
      <c r="S2360" s="16"/>
      <c r="T2360" s="16"/>
      <c r="U2360" s="16"/>
      <c r="V2360" s="37" t="str">
        <f>IFERROR(__xludf.DUMMYFUNCTION("if(not(iserror(index(split(C2360, "" ""),2))), index(split(C2360, "" ""),1),"""")"),"")</f>
        <v/>
      </c>
      <c r="W2360" s="315" t="str">
        <f>IFERROR(__xludf.DUMMYFUNCTION("if(V2360="""",C2360,if(not(iserror(index(split(C2360, "" ""),3))), index(split(C2360, "" ""),3),index(split(C2360, "" ""),2)))"),"")</f>
        <v/>
      </c>
      <c r="X2360" s="38" t="b">
        <f t="shared" si="2"/>
        <v>0</v>
      </c>
      <c r="Y2360" s="38"/>
      <c r="Z2360" s="40"/>
      <c r="AA2360" s="40"/>
      <c r="AB2360" s="38"/>
      <c r="AC2360" s="38"/>
      <c r="AD2360" s="38"/>
      <c r="AE2360" s="38"/>
      <c r="AF2360" s="38"/>
      <c r="AG2360" s="38"/>
      <c r="AH2360" s="38"/>
      <c r="AI2360" s="38"/>
      <c r="AJ2360" s="38"/>
      <c r="AK2360" s="38"/>
      <c r="AL2360" s="38"/>
      <c r="AM2360" s="38"/>
      <c r="AN2360" s="38"/>
      <c r="AO2360" s="38"/>
      <c r="AP2360" s="38"/>
      <c r="AQ2360" s="38"/>
      <c r="AR2360" s="38"/>
      <c r="AS2360" s="38"/>
      <c r="AT2360" s="38"/>
      <c r="AU2360" s="38"/>
      <c r="AV2360" s="38"/>
      <c r="AW2360" s="38"/>
      <c r="AX2360" s="38"/>
      <c r="AY2360" s="38"/>
      <c r="AZ2360" s="38"/>
      <c r="BA2360" s="38"/>
      <c r="BB2360" s="38"/>
      <c r="BC2360" s="38"/>
      <c r="BD2360" s="38"/>
      <c r="BE2360" s="38"/>
      <c r="BF2360" s="38"/>
      <c r="BG2360" s="38"/>
    </row>
    <row r="2361">
      <c r="A2361" s="16"/>
      <c r="B2361" s="16"/>
      <c r="C2361" s="146"/>
      <c r="D2361" s="146"/>
      <c r="E2361" s="16"/>
      <c r="F2361" s="91"/>
      <c r="G2361" s="16"/>
      <c r="H2361" s="320" t="str">
        <f t="shared" si="1"/>
        <v/>
      </c>
      <c r="I2361" s="16"/>
      <c r="J2361" s="16"/>
      <c r="K2361" s="16"/>
      <c r="L2361" s="38"/>
      <c r="M2361" s="16"/>
      <c r="N2361" s="16"/>
      <c r="O2361" s="16"/>
      <c r="P2361" s="15"/>
      <c r="Q2361" s="15"/>
      <c r="R2361" s="16"/>
      <c r="S2361" s="16"/>
      <c r="T2361" s="16"/>
      <c r="U2361" s="16"/>
      <c r="V2361" s="37" t="str">
        <f>IFERROR(__xludf.DUMMYFUNCTION("if(not(iserror(index(split(C2361, "" ""),2))), index(split(C2361, "" ""),1),"""")"),"")</f>
        <v/>
      </c>
      <c r="W2361" s="315" t="str">
        <f>IFERROR(__xludf.DUMMYFUNCTION("if(V2361="""",C2361,if(not(iserror(index(split(C2361, "" ""),3))), index(split(C2361, "" ""),3),index(split(C2361, "" ""),2)))"),"")</f>
        <v/>
      </c>
      <c r="X2361" s="38" t="b">
        <f t="shared" si="2"/>
        <v>0</v>
      </c>
      <c r="Y2361" s="38"/>
      <c r="Z2361" s="40"/>
      <c r="AA2361" s="40"/>
      <c r="AB2361" s="38"/>
      <c r="AC2361" s="38"/>
      <c r="AD2361" s="38"/>
      <c r="AE2361" s="38"/>
      <c r="AF2361" s="38"/>
      <c r="AG2361" s="38"/>
      <c r="AH2361" s="38"/>
      <c r="AI2361" s="38"/>
      <c r="AJ2361" s="38"/>
      <c r="AK2361" s="38"/>
      <c r="AL2361" s="38"/>
      <c r="AM2361" s="38"/>
      <c r="AN2361" s="38"/>
      <c r="AO2361" s="38"/>
      <c r="AP2361" s="38"/>
      <c r="AQ2361" s="38"/>
      <c r="AR2361" s="38"/>
      <c r="AS2361" s="38"/>
      <c r="AT2361" s="38"/>
      <c r="AU2361" s="38"/>
      <c r="AV2361" s="38"/>
      <c r="AW2361" s="38"/>
      <c r="AX2361" s="38"/>
      <c r="AY2361" s="38"/>
      <c r="AZ2361" s="38"/>
      <c r="BA2361" s="38"/>
      <c r="BB2361" s="38"/>
      <c r="BC2361" s="38"/>
      <c r="BD2361" s="38"/>
      <c r="BE2361" s="38"/>
      <c r="BF2361" s="38"/>
      <c r="BG2361" s="38"/>
    </row>
    <row r="2362">
      <c r="A2362" s="16"/>
      <c r="B2362" s="16"/>
      <c r="C2362" s="146"/>
      <c r="D2362" s="146"/>
      <c r="E2362" s="16"/>
      <c r="F2362" s="91"/>
      <c r="G2362" s="16"/>
      <c r="H2362" s="320" t="str">
        <f t="shared" si="1"/>
        <v/>
      </c>
      <c r="I2362" s="16"/>
      <c r="J2362" s="16"/>
      <c r="K2362" s="16"/>
      <c r="L2362" s="38"/>
      <c r="M2362" s="16"/>
      <c r="N2362" s="16"/>
      <c r="O2362" s="16"/>
      <c r="P2362" s="15"/>
      <c r="Q2362" s="15"/>
      <c r="R2362" s="16"/>
      <c r="S2362" s="16"/>
      <c r="T2362" s="16"/>
      <c r="U2362" s="16"/>
      <c r="V2362" s="37" t="str">
        <f>IFERROR(__xludf.DUMMYFUNCTION("if(not(iserror(index(split(C2362, "" ""),2))), index(split(C2362, "" ""),1),"""")"),"")</f>
        <v/>
      </c>
      <c r="W2362" s="315" t="str">
        <f>IFERROR(__xludf.DUMMYFUNCTION("if(V2362="""",C2362,if(not(iserror(index(split(C2362, "" ""),3))), index(split(C2362, "" ""),3),index(split(C2362, "" ""),2)))"),"")</f>
        <v/>
      </c>
      <c r="X2362" s="38" t="b">
        <f t="shared" si="2"/>
        <v>0</v>
      </c>
      <c r="Y2362" s="38"/>
      <c r="Z2362" s="40"/>
      <c r="AA2362" s="40"/>
      <c r="AB2362" s="38"/>
      <c r="AC2362" s="38"/>
      <c r="AD2362" s="38"/>
      <c r="AE2362" s="38"/>
      <c r="AF2362" s="38"/>
      <c r="AG2362" s="38"/>
      <c r="AH2362" s="38"/>
      <c r="AI2362" s="38"/>
      <c r="AJ2362" s="38"/>
      <c r="AK2362" s="38"/>
      <c r="AL2362" s="38"/>
      <c r="AM2362" s="38"/>
      <c r="AN2362" s="38"/>
      <c r="AO2362" s="38"/>
      <c r="AP2362" s="38"/>
      <c r="AQ2362" s="38"/>
      <c r="AR2362" s="38"/>
      <c r="AS2362" s="38"/>
      <c r="AT2362" s="38"/>
      <c r="AU2362" s="38"/>
      <c r="AV2362" s="38"/>
      <c r="AW2362" s="38"/>
      <c r="AX2362" s="38"/>
      <c r="AY2362" s="38"/>
      <c r="AZ2362" s="38"/>
      <c r="BA2362" s="38"/>
      <c r="BB2362" s="38"/>
      <c r="BC2362" s="38"/>
      <c r="BD2362" s="38"/>
      <c r="BE2362" s="38"/>
      <c r="BF2362" s="38"/>
      <c r="BG2362" s="38"/>
    </row>
    <row r="2363">
      <c r="A2363" s="16"/>
      <c r="B2363" s="16"/>
      <c r="C2363" s="146"/>
      <c r="D2363" s="146"/>
      <c r="E2363" s="16"/>
      <c r="F2363" s="91"/>
      <c r="G2363" s="16"/>
      <c r="H2363" s="320" t="str">
        <f t="shared" si="1"/>
        <v/>
      </c>
      <c r="I2363" s="16"/>
      <c r="J2363" s="16"/>
      <c r="K2363" s="16"/>
      <c r="L2363" s="38"/>
      <c r="M2363" s="16"/>
      <c r="N2363" s="16"/>
      <c r="O2363" s="16"/>
      <c r="P2363" s="15"/>
      <c r="Q2363" s="15"/>
      <c r="R2363" s="16"/>
      <c r="S2363" s="16"/>
      <c r="T2363" s="16"/>
      <c r="U2363" s="16"/>
      <c r="V2363" s="37" t="str">
        <f>IFERROR(__xludf.DUMMYFUNCTION("if(not(iserror(index(split(C2363, "" ""),2))), index(split(C2363, "" ""),1),"""")"),"")</f>
        <v/>
      </c>
      <c r="W2363" s="315" t="str">
        <f>IFERROR(__xludf.DUMMYFUNCTION("if(V2363="""",C2363,if(not(iserror(index(split(C2363, "" ""),3))), index(split(C2363, "" ""),3),index(split(C2363, "" ""),2)))"),"")</f>
        <v/>
      </c>
      <c r="X2363" s="38" t="b">
        <f t="shared" si="2"/>
        <v>0</v>
      </c>
      <c r="Y2363" s="38"/>
      <c r="Z2363" s="40"/>
      <c r="AA2363" s="40"/>
      <c r="AB2363" s="38"/>
      <c r="AC2363" s="38"/>
      <c r="AD2363" s="38"/>
      <c r="AE2363" s="38"/>
      <c r="AF2363" s="38"/>
      <c r="AG2363" s="38"/>
      <c r="AH2363" s="38"/>
      <c r="AI2363" s="38"/>
      <c r="AJ2363" s="38"/>
      <c r="AK2363" s="38"/>
      <c r="AL2363" s="38"/>
      <c r="AM2363" s="38"/>
      <c r="AN2363" s="38"/>
      <c r="AO2363" s="38"/>
      <c r="AP2363" s="38"/>
      <c r="AQ2363" s="38"/>
      <c r="AR2363" s="38"/>
      <c r="AS2363" s="38"/>
      <c r="AT2363" s="38"/>
      <c r="AU2363" s="38"/>
      <c r="AV2363" s="38"/>
      <c r="AW2363" s="38"/>
      <c r="AX2363" s="38"/>
      <c r="AY2363" s="38"/>
      <c r="AZ2363" s="38"/>
      <c r="BA2363" s="38"/>
      <c r="BB2363" s="38"/>
      <c r="BC2363" s="38"/>
      <c r="BD2363" s="38"/>
      <c r="BE2363" s="38"/>
      <c r="BF2363" s="38"/>
      <c r="BG2363" s="38"/>
    </row>
    <row r="2364">
      <c r="A2364" s="16"/>
      <c r="B2364" s="16"/>
      <c r="C2364" s="146"/>
      <c r="D2364" s="146"/>
      <c r="E2364" s="16"/>
      <c r="F2364" s="91"/>
      <c r="G2364" s="16"/>
      <c r="H2364" s="320" t="str">
        <f t="shared" si="1"/>
        <v/>
      </c>
      <c r="I2364" s="16"/>
      <c r="J2364" s="16"/>
      <c r="K2364" s="16"/>
      <c r="L2364" s="38"/>
      <c r="M2364" s="16"/>
      <c r="N2364" s="16"/>
      <c r="O2364" s="16"/>
      <c r="P2364" s="15"/>
      <c r="Q2364" s="15"/>
      <c r="R2364" s="16"/>
      <c r="S2364" s="16"/>
      <c r="T2364" s="16"/>
      <c r="U2364" s="16"/>
      <c r="V2364" s="37" t="str">
        <f>IFERROR(__xludf.DUMMYFUNCTION("if(not(iserror(index(split(C2364, "" ""),2))), index(split(C2364, "" ""),1),"""")"),"")</f>
        <v/>
      </c>
      <c r="W2364" s="315" t="str">
        <f>IFERROR(__xludf.DUMMYFUNCTION("if(V2364="""",C2364,if(not(iserror(index(split(C2364, "" ""),3))), index(split(C2364, "" ""),3),index(split(C2364, "" ""),2)))"),"")</f>
        <v/>
      </c>
      <c r="X2364" s="38" t="b">
        <f t="shared" si="2"/>
        <v>0</v>
      </c>
      <c r="Y2364" s="38"/>
      <c r="Z2364" s="40"/>
      <c r="AA2364" s="40"/>
      <c r="AB2364" s="38"/>
      <c r="AC2364" s="38"/>
      <c r="AD2364" s="38"/>
      <c r="AE2364" s="38"/>
      <c r="AF2364" s="38"/>
      <c r="AG2364" s="38"/>
      <c r="AH2364" s="38"/>
      <c r="AI2364" s="38"/>
      <c r="AJ2364" s="38"/>
      <c r="AK2364" s="38"/>
      <c r="AL2364" s="38"/>
      <c r="AM2364" s="38"/>
      <c r="AN2364" s="38"/>
      <c r="AO2364" s="38"/>
      <c r="AP2364" s="38"/>
      <c r="AQ2364" s="38"/>
      <c r="AR2364" s="38"/>
      <c r="AS2364" s="38"/>
      <c r="AT2364" s="38"/>
      <c r="AU2364" s="38"/>
      <c r="AV2364" s="38"/>
      <c r="AW2364" s="38"/>
      <c r="AX2364" s="38"/>
      <c r="AY2364" s="38"/>
      <c r="AZ2364" s="38"/>
      <c r="BA2364" s="38"/>
      <c r="BB2364" s="38"/>
      <c r="BC2364" s="38"/>
      <c r="BD2364" s="38"/>
      <c r="BE2364" s="38"/>
      <c r="BF2364" s="38"/>
      <c r="BG2364" s="38"/>
    </row>
    <row r="2365">
      <c r="A2365" s="16"/>
      <c r="B2365" s="16"/>
      <c r="C2365" s="146"/>
      <c r="D2365" s="146"/>
      <c r="E2365" s="16"/>
      <c r="F2365" s="91"/>
      <c r="G2365" s="16"/>
      <c r="H2365" s="320" t="str">
        <f t="shared" si="1"/>
        <v/>
      </c>
      <c r="I2365" s="16"/>
      <c r="J2365" s="16"/>
      <c r="K2365" s="16"/>
      <c r="L2365" s="38"/>
      <c r="M2365" s="16"/>
      <c r="N2365" s="16"/>
      <c r="O2365" s="16"/>
      <c r="P2365" s="15"/>
      <c r="Q2365" s="15"/>
      <c r="R2365" s="16"/>
      <c r="S2365" s="16"/>
      <c r="T2365" s="16"/>
      <c r="U2365" s="16"/>
      <c r="V2365" s="37" t="str">
        <f>IFERROR(__xludf.DUMMYFUNCTION("if(not(iserror(index(split(C2365, "" ""),2))), index(split(C2365, "" ""),1),"""")"),"")</f>
        <v/>
      </c>
      <c r="W2365" s="315" t="str">
        <f>IFERROR(__xludf.DUMMYFUNCTION("if(V2365="""",C2365,if(not(iserror(index(split(C2365, "" ""),3))), index(split(C2365, "" ""),3),index(split(C2365, "" ""),2)))"),"")</f>
        <v/>
      </c>
      <c r="X2365" s="38" t="b">
        <f t="shared" si="2"/>
        <v>0</v>
      </c>
      <c r="Y2365" s="38"/>
      <c r="Z2365" s="40"/>
      <c r="AA2365" s="40"/>
      <c r="AB2365" s="38"/>
      <c r="AC2365" s="38"/>
      <c r="AD2365" s="38"/>
      <c r="AE2365" s="38"/>
      <c r="AF2365" s="38"/>
      <c r="AG2365" s="38"/>
      <c r="AH2365" s="38"/>
      <c r="AI2365" s="38"/>
      <c r="AJ2365" s="38"/>
      <c r="AK2365" s="38"/>
      <c r="AL2365" s="38"/>
      <c r="AM2365" s="38"/>
      <c r="AN2365" s="38"/>
      <c r="AO2365" s="38"/>
      <c r="AP2365" s="38"/>
      <c r="AQ2365" s="38"/>
      <c r="AR2365" s="38"/>
      <c r="AS2365" s="38"/>
      <c r="AT2365" s="38"/>
      <c r="AU2365" s="38"/>
      <c r="AV2365" s="38"/>
      <c r="AW2365" s="38"/>
      <c r="AX2365" s="38"/>
      <c r="AY2365" s="38"/>
      <c r="AZ2365" s="38"/>
      <c r="BA2365" s="38"/>
      <c r="BB2365" s="38"/>
      <c r="BC2365" s="38"/>
      <c r="BD2365" s="38"/>
      <c r="BE2365" s="38"/>
      <c r="BF2365" s="38"/>
      <c r="BG2365" s="38"/>
    </row>
    <row r="2366">
      <c r="A2366" s="16"/>
      <c r="B2366" s="16"/>
      <c r="C2366" s="146"/>
      <c r="D2366" s="146"/>
      <c r="E2366" s="16"/>
      <c r="F2366" s="91"/>
      <c r="G2366" s="16"/>
      <c r="H2366" s="320" t="str">
        <f t="shared" si="1"/>
        <v/>
      </c>
      <c r="I2366" s="16"/>
      <c r="J2366" s="16"/>
      <c r="K2366" s="16"/>
      <c r="L2366" s="38"/>
      <c r="M2366" s="16"/>
      <c r="N2366" s="16"/>
      <c r="O2366" s="16"/>
      <c r="P2366" s="15"/>
      <c r="Q2366" s="15"/>
      <c r="R2366" s="16"/>
      <c r="S2366" s="16"/>
      <c r="T2366" s="16"/>
      <c r="U2366" s="16"/>
      <c r="V2366" s="37" t="str">
        <f>IFERROR(__xludf.DUMMYFUNCTION("if(not(iserror(index(split(C2366, "" ""),2))), index(split(C2366, "" ""),1),"""")"),"")</f>
        <v/>
      </c>
      <c r="W2366" s="315" t="str">
        <f>IFERROR(__xludf.DUMMYFUNCTION("if(V2366="""",C2366,if(not(iserror(index(split(C2366, "" ""),3))), index(split(C2366, "" ""),3),index(split(C2366, "" ""),2)))"),"")</f>
        <v/>
      </c>
      <c r="X2366" s="38" t="b">
        <f t="shared" si="2"/>
        <v>0</v>
      </c>
      <c r="Y2366" s="38"/>
      <c r="Z2366" s="40"/>
      <c r="AA2366" s="40"/>
      <c r="AB2366" s="38"/>
      <c r="AC2366" s="38"/>
      <c r="AD2366" s="38"/>
      <c r="AE2366" s="38"/>
      <c r="AF2366" s="38"/>
      <c r="AG2366" s="38"/>
      <c r="AH2366" s="38"/>
      <c r="AI2366" s="38"/>
      <c r="AJ2366" s="38"/>
      <c r="AK2366" s="38"/>
      <c r="AL2366" s="38"/>
      <c r="AM2366" s="38"/>
      <c r="AN2366" s="38"/>
      <c r="AO2366" s="38"/>
      <c r="AP2366" s="38"/>
      <c r="AQ2366" s="38"/>
      <c r="AR2366" s="38"/>
      <c r="AS2366" s="38"/>
      <c r="AT2366" s="38"/>
      <c r="AU2366" s="38"/>
      <c r="AV2366" s="38"/>
      <c r="AW2366" s="38"/>
      <c r="AX2366" s="38"/>
      <c r="AY2366" s="38"/>
      <c r="AZ2366" s="38"/>
      <c r="BA2366" s="38"/>
      <c r="BB2366" s="38"/>
      <c r="BC2366" s="38"/>
      <c r="BD2366" s="38"/>
      <c r="BE2366" s="38"/>
      <c r="BF2366" s="38"/>
      <c r="BG2366" s="38"/>
    </row>
    <row r="2367">
      <c r="A2367" s="16"/>
      <c r="B2367" s="16"/>
      <c r="C2367" s="146"/>
      <c r="D2367" s="146"/>
      <c r="E2367" s="16"/>
      <c r="F2367" s="91"/>
      <c r="G2367" s="16"/>
      <c r="H2367" s="320" t="str">
        <f t="shared" si="1"/>
        <v/>
      </c>
      <c r="I2367" s="16"/>
      <c r="J2367" s="16"/>
      <c r="K2367" s="16"/>
      <c r="L2367" s="38"/>
      <c r="M2367" s="16"/>
      <c r="N2367" s="16"/>
      <c r="O2367" s="16"/>
      <c r="P2367" s="15"/>
      <c r="Q2367" s="15"/>
      <c r="R2367" s="16"/>
      <c r="S2367" s="16"/>
      <c r="T2367" s="16"/>
      <c r="U2367" s="16"/>
      <c r="V2367" s="37" t="str">
        <f>IFERROR(__xludf.DUMMYFUNCTION("if(not(iserror(index(split(C2367, "" ""),2))), index(split(C2367, "" ""),1),"""")"),"")</f>
        <v/>
      </c>
      <c r="W2367" s="315" t="str">
        <f>IFERROR(__xludf.DUMMYFUNCTION("if(V2367="""",C2367,if(not(iserror(index(split(C2367, "" ""),3))), index(split(C2367, "" ""),3),index(split(C2367, "" ""),2)))"),"")</f>
        <v/>
      </c>
      <c r="X2367" s="38" t="b">
        <f t="shared" si="2"/>
        <v>0</v>
      </c>
      <c r="Y2367" s="38"/>
      <c r="Z2367" s="40"/>
      <c r="AA2367" s="40"/>
      <c r="AB2367" s="38"/>
      <c r="AC2367" s="38"/>
      <c r="AD2367" s="38"/>
      <c r="AE2367" s="38"/>
      <c r="AF2367" s="38"/>
      <c r="AG2367" s="38"/>
      <c r="AH2367" s="38"/>
      <c r="AI2367" s="38"/>
      <c r="AJ2367" s="38"/>
      <c r="AK2367" s="38"/>
      <c r="AL2367" s="38"/>
      <c r="AM2367" s="38"/>
      <c r="AN2367" s="38"/>
      <c r="AO2367" s="38"/>
      <c r="AP2367" s="38"/>
      <c r="AQ2367" s="38"/>
      <c r="AR2367" s="38"/>
      <c r="AS2367" s="38"/>
      <c r="AT2367" s="38"/>
      <c r="AU2367" s="38"/>
      <c r="AV2367" s="38"/>
      <c r="AW2367" s="38"/>
      <c r="AX2367" s="38"/>
      <c r="AY2367" s="38"/>
      <c r="AZ2367" s="38"/>
      <c r="BA2367" s="38"/>
      <c r="BB2367" s="38"/>
      <c r="BC2367" s="38"/>
      <c r="BD2367" s="38"/>
      <c r="BE2367" s="38"/>
      <c r="BF2367" s="38"/>
      <c r="BG2367" s="38"/>
    </row>
    <row r="2368">
      <c r="A2368" s="16"/>
      <c r="B2368" s="16"/>
      <c r="C2368" s="146"/>
      <c r="D2368" s="146"/>
      <c r="E2368" s="16"/>
      <c r="F2368" s="91"/>
      <c r="G2368" s="16"/>
      <c r="H2368" s="320" t="str">
        <f t="shared" si="1"/>
        <v/>
      </c>
      <c r="I2368" s="16"/>
      <c r="J2368" s="16"/>
      <c r="K2368" s="16"/>
      <c r="L2368" s="38"/>
      <c r="M2368" s="16"/>
      <c r="N2368" s="16"/>
      <c r="O2368" s="16"/>
      <c r="P2368" s="15"/>
      <c r="Q2368" s="15"/>
      <c r="R2368" s="16"/>
      <c r="S2368" s="16"/>
      <c r="T2368" s="16"/>
      <c r="U2368" s="16"/>
      <c r="V2368" s="37" t="str">
        <f>IFERROR(__xludf.DUMMYFUNCTION("if(not(iserror(index(split(C2368, "" ""),2))), index(split(C2368, "" ""),1),"""")"),"")</f>
        <v/>
      </c>
      <c r="W2368" s="315" t="str">
        <f>IFERROR(__xludf.DUMMYFUNCTION("if(V2368="""",C2368,if(not(iserror(index(split(C2368, "" ""),3))), index(split(C2368, "" ""),3),index(split(C2368, "" ""),2)))"),"")</f>
        <v/>
      </c>
      <c r="X2368" s="38" t="b">
        <f t="shared" si="2"/>
        <v>0</v>
      </c>
      <c r="Y2368" s="38"/>
      <c r="Z2368" s="40"/>
      <c r="AA2368" s="40"/>
      <c r="AB2368" s="38"/>
      <c r="AC2368" s="38"/>
      <c r="AD2368" s="38"/>
      <c r="AE2368" s="38"/>
      <c r="AF2368" s="38"/>
      <c r="AG2368" s="38"/>
      <c r="AH2368" s="38"/>
      <c r="AI2368" s="38"/>
      <c r="AJ2368" s="38"/>
      <c r="AK2368" s="38"/>
      <c r="AL2368" s="38"/>
      <c r="AM2368" s="38"/>
      <c r="AN2368" s="38"/>
      <c r="AO2368" s="38"/>
      <c r="AP2368" s="38"/>
      <c r="AQ2368" s="38"/>
      <c r="AR2368" s="38"/>
      <c r="AS2368" s="38"/>
      <c r="AT2368" s="38"/>
      <c r="AU2368" s="38"/>
      <c r="AV2368" s="38"/>
      <c r="AW2368" s="38"/>
      <c r="AX2368" s="38"/>
      <c r="AY2368" s="38"/>
      <c r="AZ2368" s="38"/>
      <c r="BA2368" s="38"/>
      <c r="BB2368" s="38"/>
      <c r="BC2368" s="38"/>
      <c r="BD2368" s="38"/>
      <c r="BE2368" s="38"/>
      <c r="BF2368" s="38"/>
      <c r="BG2368" s="38"/>
    </row>
    <row r="2369">
      <c r="A2369" s="16"/>
      <c r="B2369" s="16"/>
      <c r="C2369" s="146"/>
      <c r="D2369" s="146"/>
      <c r="E2369" s="16"/>
      <c r="F2369" s="91"/>
      <c r="G2369" s="16"/>
      <c r="H2369" s="320" t="str">
        <f t="shared" si="1"/>
        <v/>
      </c>
      <c r="I2369" s="16"/>
      <c r="J2369" s="16"/>
      <c r="K2369" s="16"/>
      <c r="L2369" s="38"/>
      <c r="M2369" s="16"/>
      <c r="N2369" s="16"/>
      <c r="O2369" s="16"/>
      <c r="P2369" s="15"/>
      <c r="Q2369" s="15"/>
      <c r="R2369" s="16"/>
      <c r="S2369" s="16"/>
      <c r="T2369" s="16"/>
      <c r="U2369" s="16"/>
      <c r="V2369" s="37" t="str">
        <f>IFERROR(__xludf.DUMMYFUNCTION("if(not(iserror(index(split(C2369, "" ""),2))), index(split(C2369, "" ""),1),"""")"),"")</f>
        <v/>
      </c>
      <c r="W2369" s="315" t="str">
        <f>IFERROR(__xludf.DUMMYFUNCTION("if(V2369="""",C2369,if(not(iserror(index(split(C2369, "" ""),3))), index(split(C2369, "" ""),3),index(split(C2369, "" ""),2)))"),"")</f>
        <v/>
      </c>
      <c r="X2369" s="38" t="b">
        <f t="shared" si="2"/>
        <v>0</v>
      </c>
      <c r="Y2369" s="38"/>
      <c r="Z2369" s="40"/>
      <c r="AA2369" s="40"/>
      <c r="AB2369" s="38"/>
      <c r="AC2369" s="38"/>
      <c r="AD2369" s="38"/>
      <c r="AE2369" s="38"/>
      <c r="AF2369" s="38"/>
      <c r="AG2369" s="38"/>
      <c r="AH2369" s="38"/>
      <c r="AI2369" s="38"/>
      <c r="AJ2369" s="38"/>
      <c r="AK2369" s="38"/>
      <c r="AL2369" s="38"/>
      <c r="AM2369" s="38"/>
      <c r="AN2369" s="38"/>
      <c r="AO2369" s="38"/>
      <c r="AP2369" s="38"/>
      <c r="AQ2369" s="38"/>
      <c r="AR2369" s="38"/>
      <c r="AS2369" s="38"/>
      <c r="AT2369" s="38"/>
      <c r="AU2369" s="38"/>
      <c r="AV2369" s="38"/>
      <c r="AW2369" s="38"/>
      <c r="AX2369" s="38"/>
      <c r="AY2369" s="38"/>
      <c r="AZ2369" s="38"/>
      <c r="BA2369" s="38"/>
      <c r="BB2369" s="38"/>
      <c r="BC2369" s="38"/>
      <c r="BD2369" s="38"/>
      <c r="BE2369" s="38"/>
      <c r="BF2369" s="38"/>
      <c r="BG2369" s="38"/>
    </row>
    <row r="2370">
      <c r="A2370" s="16"/>
      <c r="B2370" s="16"/>
      <c r="C2370" s="146"/>
      <c r="D2370" s="146"/>
      <c r="E2370" s="16"/>
      <c r="F2370" s="91"/>
      <c r="G2370" s="16"/>
      <c r="H2370" s="320" t="str">
        <f t="shared" si="1"/>
        <v/>
      </c>
      <c r="I2370" s="16"/>
      <c r="J2370" s="16"/>
      <c r="K2370" s="16"/>
      <c r="L2370" s="38"/>
      <c r="M2370" s="16"/>
      <c r="N2370" s="16"/>
      <c r="O2370" s="16"/>
      <c r="P2370" s="15"/>
      <c r="Q2370" s="15"/>
      <c r="R2370" s="16"/>
      <c r="S2370" s="16"/>
      <c r="T2370" s="16"/>
      <c r="U2370" s="16"/>
      <c r="V2370" s="37" t="str">
        <f>IFERROR(__xludf.DUMMYFUNCTION("if(not(iserror(index(split(C2370, "" ""),2))), index(split(C2370, "" ""),1),"""")"),"")</f>
        <v/>
      </c>
      <c r="W2370" s="315" t="str">
        <f>IFERROR(__xludf.DUMMYFUNCTION("if(V2370="""",C2370,if(not(iserror(index(split(C2370, "" ""),3))), index(split(C2370, "" ""),3),index(split(C2370, "" ""),2)))"),"")</f>
        <v/>
      </c>
      <c r="X2370" s="38" t="b">
        <f t="shared" si="2"/>
        <v>0</v>
      </c>
      <c r="Y2370" s="38"/>
      <c r="Z2370" s="40"/>
      <c r="AA2370" s="40"/>
      <c r="AB2370" s="38"/>
      <c r="AC2370" s="38"/>
      <c r="AD2370" s="38"/>
      <c r="AE2370" s="38"/>
      <c r="AF2370" s="38"/>
      <c r="AG2370" s="38"/>
      <c r="AH2370" s="38"/>
      <c r="AI2370" s="38"/>
      <c r="AJ2370" s="38"/>
      <c r="AK2370" s="38"/>
      <c r="AL2370" s="38"/>
      <c r="AM2370" s="38"/>
      <c r="AN2370" s="38"/>
      <c r="AO2370" s="38"/>
      <c r="AP2370" s="38"/>
      <c r="AQ2370" s="38"/>
      <c r="AR2370" s="38"/>
      <c r="AS2370" s="38"/>
      <c r="AT2370" s="38"/>
      <c r="AU2370" s="38"/>
      <c r="AV2370" s="38"/>
      <c r="AW2370" s="38"/>
      <c r="AX2370" s="38"/>
      <c r="AY2370" s="38"/>
      <c r="AZ2370" s="38"/>
      <c r="BA2370" s="38"/>
      <c r="BB2370" s="38"/>
      <c r="BC2370" s="38"/>
      <c r="BD2370" s="38"/>
      <c r="BE2370" s="38"/>
      <c r="BF2370" s="38"/>
      <c r="BG2370" s="38"/>
    </row>
    <row r="2371">
      <c r="A2371" s="16"/>
      <c r="B2371" s="16"/>
      <c r="C2371" s="146"/>
      <c r="D2371" s="146"/>
      <c r="E2371" s="16"/>
      <c r="F2371" s="91"/>
      <c r="G2371" s="16"/>
      <c r="H2371" s="320" t="str">
        <f t="shared" si="1"/>
        <v/>
      </c>
      <c r="I2371" s="16"/>
      <c r="J2371" s="16"/>
      <c r="K2371" s="16"/>
      <c r="L2371" s="38"/>
      <c r="M2371" s="16"/>
      <c r="N2371" s="16"/>
      <c r="O2371" s="16"/>
      <c r="P2371" s="15"/>
      <c r="Q2371" s="15"/>
      <c r="R2371" s="16"/>
      <c r="S2371" s="16"/>
      <c r="T2371" s="16"/>
      <c r="U2371" s="16"/>
      <c r="V2371" s="37" t="str">
        <f>IFERROR(__xludf.DUMMYFUNCTION("if(not(iserror(index(split(C2371, "" ""),2))), index(split(C2371, "" ""),1),"""")"),"")</f>
        <v/>
      </c>
      <c r="W2371" s="315" t="str">
        <f>IFERROR(__xludf.DUMMYFUNCTION("if(V2371="""",C2371,if(not(iserror(index(split(C2371, "" ""),3))), index(split(C2371, "" ""),3),index(split(C2371, "" ""),2)))"),"")</f>
        <v/>
      </c>
      <c r="X2371" s="38" t="b">
        <f t="shared" si="2"/>
        <v>0</v>
      </c>
      <c r="Y2371" s="38"/>
      <c r="Z2371" s="40"/>
      <c r="AA2371" s="40"/>
      <c r="AB2371" s="38"/>
      <c r="AC2371" s="38"/>
      <c r="AD2371" s="38"/>
      <c r="AE2371" s="38"/>
      <c r="AF2371" s="38"/>
      <c r="AG2371" s="38"/>
      <c r="AH2371" s="38"/>
      <c r="AI2371" s="38"/>
      <c r="AJ2371" s="38"/>
      <c r="AK2371" s="38"/>
      <c r="AL2371" s="38"/>
      <c r="AM2371" s="38"/>
      <c r="AN2371" s="38"/>
      <c r="AO2371" s="38"/>
      <c r="AP2371" s="38"/>
      <c r="AQ2371" s="38"/>
      <c r="AR2371" s="38"/>
      <c r="AS2371" s="38"/>
      <c r="AT2371" s="38"/>
      <c r="AU2371" s="38"/>
      <c r="AV2371" s="38"/>
      <c r="AW2371" s="38"/>
      <c r="AX2371" s="38"/>
      <c r="AY2371" s="38"/>
      <c r="AZ2371" s="38"/>
      <c r="BA2371" s="38"/>
      <c r="BB2371" s="38"/>
      <c r="BC2371" s="38"/>
      <c r="BD2371" s="38"/>
      <c r="BE2371" s="38"/>
      <c r="BF2371" s="38"/>
      <c r="BG2371" s="38"/>
    </row>
    <row r="2372">
      <c r="A2372" s="16"/>
      <c r="B2372" s="16"/>
      <c r="C2372" s="146"/>
      <c r="D2372" s="146"/>
      <c r="E2372" s="16"/>
      <c r="F2372" s="91"/>
      <c r="G2372" s="16"/>
      <c r="H2372" s="320" t="str">
        <f t="shared" si="1"/>
        <v/>
      </c>
      <c r="I2372" s="16"/>
      <c r="J2372" s="16"/>
      <c r="K2372" s="16"/>
      <c r="L2372" s="38"/>
      <c r="M2372" s="16"/>
      <c r="N2372" s="16"/>
      <c r="O2372" s="16"/>
      <c r="P2372" s="15"/>
      <c r="Q2372" s="15"/>
      <c r="R2372" s="16"/>
      <c r="S2372" s="16"/>
      <c r="T2372" s="16"/>
      <c r="U2372" s="16"/>
      <c r="V2372" s="37" t="str">
        <f>IFERROR(__xludf.DUMMYFUNCTION("if(not(iserror(index(split(C2372, "" ""),2))), index(split(C2372, "" ""),1),"""")"),"")</f>
        <v/>
      </c>
      <c r="W2372" s="315" t="str">
        <f>IFERROR(__xludf.DUMMYFUNCTION("if(V2372="""",C2372,if(not(iserror(index(split(C2372, "" ""),3))), index(split(C2372, "" ""),3),index(split(C2372, "" ""),2)))"),"")</f>
        <v/>
      </c>
      <c r="X2372" s="38" t="b">
        <f t="shared" si="2"/>
        <v>0</v>
      </c>
      <c r="Y2372" s="38"/>
      <c r="Z2372" s="40"/>
      <c r="AA2372" s="40"/>
      <c r="AB2372" s="38"/>
      <c r="AC2372" s="38"/>
      <c r="AD2372" s="38"/>
      <c r="AE2372" s="38"/>
      <c r="AF2372" s="38"/>
      <c r="AG2372" s="38"/>
      <c r="AH2372" s="38"/>
      <c r="AI2372" s="38"/>
      <c r="AJ2372" s="38"/>
      <c r="AK2372" s="38"/>
      <c r="AL2372" s="38"/>
      <c r="AM2372" s="38"/>
      <c r="AN2372" s="38"/>
      <c r="AO2372" s="38"/>
      <c r="AP2372" s="38"/>
      <c r="AQ2372" s="38"/>
      <c r="AR2372" s="38"/>
      <c r="AS2372" s="38"/>
      <c r="AT2372" s="38"/>
      <c r="AU2372" s="38"/>
      <c r="AV2372" s="38"/>
      <c r="AW2372" s="38"/>
      <c r="AX2372" s="38"/>
      <c r="AY2372" s="38"/>
      <c r="AZ2372" s="38"/>
      <c r="BA2372" s="38"/>
      <c r="BB2372" s="38"/>
      <c r="BC2372" s="38"/>
      <c r="BD2372" s="38"/>
      <c r="BE2372" s="38"/>
      <c r="BF2372" s="38"/>
      <c r="BG2372" s="38"/>
    </row>
    <row r="2373">
      <c r="A2373" s="16"/>
      <c r="B2373" s="16"/>
      <c r="C2373" s="146"/>
      <c r="D2373" s="146"/>
      <c r="E2373" s="16"/>
      <c r="F2373" s="91"/>
      <c r="G2373" s="16"/>
      <c r="H2373" s="320" t="str">
        <f t="shared" si="1"/>
        <v/>
      </c>
      <c r="I2373" s="16"/>
      <c r="J2373" s="16"/>
      <c r="K2373" s="16"/>
      <c r="L2373" s="38"/>
      <c r="M2373" s="16"/>
      <c r="N2373" s="16"/>
      <c r="O2373" s="16"/>
      <c r="P2373" s="15"/>
      <c r="Q2373" s="15"/>
      <c r="R2373" s="16"/>
      <c r="S2373" s="16"/>
      <c r="T2373" s="16"/>
      <c r="U2373" s="16"/>
      <c r="V2373" s="37" t="str">
        <f>IFERROR(__xludf.DUMMYFUNCTION("if(not(iserror(index(split(C2373, "" ""),2))), index(split(C2373, "" ""),1),"""")"),"")</f>
        <v/>
      </c>
      <c r="W2373" s="315" t="str">
        <f>IFERROR(__xludf.DUMMYFUNCTION("if(V2373="""",C2373,if(not(iserror(index(split(C2373, "" ""),3))), index(split(C2373, "" ""),3),index(split(C2373, "" ""),2)))"),"")</f>
        <v/>
      </c>
      <c r="X2373" s="38" t="b">
        <f t="shared" si="2"/>
        <v>0</v>
      </c>
      <c r="Y2373" s="38"/>
      <c r="Z2373" s="40"/>
      <c r="AA2373" s="40"/>
      <c r="AB2373" s="38"/>
      <c r="AC2373" s="38"/>
      <c r="AD2373" s="38"/>
      <c r="AE2373" s="38"/>
      <c r="AF2373" s="38"/>
      <c r="AG2373" s="38"/>
      <c r="AH2373" s="38"/>
      <c r="AI2373" s="38"/>
      <c r="AJ2373" s="38"/>
      <c r="AK2373" s="38"/>
      <c r="AL2373" s="38"/>
      <c r="AM2373" s="38"/>
      <c r="AN2373" s="38"/>
      <c r="AO2373" s="38"/>
      <c r="AP2373" s="38"/>
      <c r="AQ2373" s="38"/>
      <c r="AR2373" s="38"/>
      <c r="AS2373" s="38"/>
      <c r="AT2373" s="38"/>
      <c r="AU2373" s="38"/>
      <c r="AV2373" s="38"/>
      <c r="AW2373" s="38"/>
      <c r="AX2373" s="38"/>
      <c r="AY2373" s="38"/>
      <c r="AZ2373" s="38"/>
      <c r="BA2373" s="38"/>
      <c r="BB2373" s="38"/>
      <c r="BC2373" s="38"/>
      <c r="BD2373" s="38"/>
      <c r="BE2373" s="38"/>
      <c r="BF2373" s="38"/>
      <c r="BG2373" s="38"/>
    </row>
    <row r="2374">
      <c r="A2374" s="16"/>
      <c r="B2374" s="16"/>
      <c r="C2374" s="146"/>
      <c r="D2374" s="146"/>
      <c r="E2374" s="16"/>
      <c r="F2374" s="91"/>
      <c r="G2374" s="16"/>
      <c r="H2374" s="320" t="str">
        <f t="shared" si="1"/>
        <v/>
      </c>
      <c r="I2374" s="16"/>
      <c r="J2374" s="16"/>
      <c r="K2374" s="16"/>
      <c r="L2374" s="38"/>
      <c r="M2374" s="16"/>
      <c r="N2374" s="16"/>
      <c r="O2374" s="16"/>
      <c r="P2374" s="15"/>
      <c r="Q2374" s="15"/>
      <c r="R2374" s="16"/>
      <c r="S2374" s="16"/>
      <c r="T2374" s="16"/>
      <c r="U2374" s="16"/>
      <c r="V2374" s="37" t="str">
        <f>IFERROR(__xludf.DUMMYFUNCTION("if(not(iserror(index(split(C2374, "" ""),2))), index(split(C2374, "" ""),1),"""")"),"")</f>
        <v/>
      </c>
      <c r="W2374" s="315" t="str">
        <f>IFERROR(__xludf.DUMMYFUNCTION("if(V2374="""",C2374,if(not(iserror(index(split(C2374, "" ""),3))), index(split(C2374, "" ""),3),index(split(C2374, "" ""),2)))"),"")</f>
        <v/>
      </c>
      <c r="X2374" s="38" t="b">
        <f t="shared" si="2"/>
        <v>0</v>
      </c>
      <c r="Y2374" s="38"/>
      <c r="Z2374" s="40"/>
      <c r="AA2374" s="40"/>
      <c r="AB2374" s="38"/>
      <c r="AC2374" s="38"/>
      <c r="AD2374" s="38"/>
      <c r="AE2374" s="38"/>
      <c r="AF2374" s="38"/>
      <c r="AG2374" s="38"/>
      <c r="AH2374" s="38"/>
      <c r="AI2374" s="38"/>
      <c r="AJ2374" s="38"/>
      <c r="AK2374" s="38"/>
      <c r="AL2374" s="38"/>
      <c r="AM2374" s="38"/>
      <c r="AN2374" s="38"/>
      <c r="AO2374" s="38"/>
      <c r="AP2374" s="38"/>
      <c r="AQ2374" s="38"/>
      <c r="AR2374" s="38"/>
      <c r="AS2374" s="38"/>
      <c r="AT2374" s="38"/>
      <c r="AU2374" s="38"/>
      <c r="AV2374" s="38"/>
      <c r="AW2374" s="38"/>
      <c r="AX2374" s="38"/>
      <c r="AY2374" s="38"/>
      <c r="AZ2374" s="38"/>
      <c r="BA2374" s="38"/>
      <c r="BB2374" s="38"/>
      <c r="BC2374" s="38"/>
      <c r="BD2374" s="38"/>
      <c r="BE2374" s="38"/>
      <c r="BF2374" s="38"/>
      <c r="BG2374" s="38"/>
    </row>
    <row r="2375">
      <c r="A2375" s="16"/>
      <c r="B2375" s="16"/>
      <c r="C2375" s="146"/>
      <c r="D2375" s="146"/>
      <c r="E2375" s="16"/>
      <c r="F2375" s="91"/>
      <c r="G2375" s="16"/>
      <c r="H2375" s="320" t="str">
        <f t="shared" si="1"/>
        <v/>
      </c>
      <c r="I2375" s="16"/>
      <c r="J2375" s="16"/>
      <c r="K2375" s="16"/>
      <c r="L2375" s="38"/>
      <c r="M2375" s="16"/>
      <c r="N2375" s="16"/>
      <c r="O2375" s="16"/>
      <c r="P2375" s="15"/>
      <c r="Q2375" s="15"/>
      <c r="R2375" s="16"/>
      <c r="S2375" s="16"/>
      <c r="T2375" s="16"/>
      <c r="U2375" s="16"/>
      <c r="V2375" s="37" t="str">
        <f>IFERROR(__xludf.DUMMYFUNCTION("if(not(iserror(index(split(C2375, "" ""),2))), index(split(C2375, "" ""),1),"""")"),"")</f>
        <v/>
      </c>
      <c r="W2375" s="315" t="str">
        <f>IFERROR(__xludf.DUMMYFUNCTION("if(V2375="""",C2375,if(not(iserror(index(split(C2375, "" ""),3))), index(split(C2375, "" ""),3),index(split(C2375, "" ""),2)))"),"")</f>
        <v/>
      </c>
      <c r="X2375" s="38" t="b">
        <f t="shared" si="2"/>
        <v>0</v>
      </c>
      <c r="Y2375" s="38"/>
      <c r="Z2375" s="40"/>
      <c r="AA2375" s="40"/>
      <c r="AB2375" s="38"/>
      <c r="AC2375" s="38"/>
      <c r="AD2375" s="38"/>
      <c r="AE2375" s="38"/>
      <c r="AF2375" s="38"/>
      <c r="AG2375" s="38"/>
      <c r="AH2375" s="38"/>
      <c r="AI2375" s="38"/>
      <c r="AJ2375" s="38"/>
      <c r="AK2375" s="38"/>
      <c r="AL2375" s="38"/>
      <c r="AM2375" s="38"/>
      <c r="AN2375" s="38"/>
      <c r="AO2375" s="38"/>
      <c r="AP2375" s="38"/>
      <c r="AQ2375" s="38"/>
      <c r="AR2375" s="38"/>
      <c r="AS2375" s="38"/>
      <c r="AT2375" s="38"/>
      <c r="AU2375" s="38"/>
      <c r="AV2375" s="38"/>
      <c r="AW2375" s="38"/>
      <c r="AX2375" s="38"/>
      <c r="AY2375" s="38"/>
      <c r="AZ2375" s="38"/>
      <c r="BA2375" s="38"/>
      <c r="BB2375" s="38"/>
      <c r="BC2375" s="38"/>
      <c r="BD2375" s="38"/>
      <c r="BE2375" s="38"/>
      <c r="BF2375" s="38"/>
      <c r="BG2375" s="38"/>
    </row>
    <row r="2376">
      <c r="A2376" s="16"/>
      <c r="B2376" s="16"/>
      <c r="C2376" s="146"/>
      <c r="D2376" s="146"/>
      <c r="E2376" s="16"/>
      <c r="F2376" s="91"/>
      <c r="G2376" s="16"/>
      <c r="H2376" s="320" t="str">
        <f t="shared" si="1"/>
        <v/>
      </c>
      <c r="I2376" s="16"/>
      <c r="J2376" s="16"/>
      <c r="K2376" s="16"/>
      <c r="L2376" s="38"/>
      <c r="M2376" s="16"/>
      <c r="N2376" s="16"/>
      <c r="O2376" s="16"/>
      <c r="P2376" s="15"/>
      <c r="Q2376" s="15"/>
      <c r="R2376" s="16"/>
      <c r="S2376" s="16"/>
      <c r="T2376" s="16"/>
      <c r="U2376" s="16"/>
      <c r="V2376" s="37" t="str">
        <f>IFERROR(__xludf.DUMMYFUNCTION("if(not(iserror(index(split(C2376, "" ""),2))), index(split(C2376, "" ""),1),"""")"),"")</f>
        <v/>
      </c>
      <c r="W2376" s="315" t="str">
        <f>IFERROR(__xludf.DUMMYFUNCTION("if(V2376="""",C2376,if(not(iserror(index(split(C2376, "" ""),3))), index(split(C2376, "" ""),3),index(split(C2376, "" ""),2)))"),"")</f>
        <v/>
      </c>
      <c r="X2376" s="38" t="b">
        <f t="shared" si="2"/>
        <v>0</v>
      </c>
      <c r="Y2376" s="38"/>
      <c r="Z2376" s="40"/>
      <c r="AA2376" s="40"/>
      <c r="AB2376" s="38"/>
      <c r="AC2376" s="38"/>
      <c r="AD2376" s="38"/>
      <c r="AE2376" s="38"/>
      <c r="AF2376" s="38"/>
      <c r="AG2376" s="38"/>
      <c r="AH2376" s="38"/>
      <c r="AI2376" s="38"/>
      <c r="AJ2376" s="38"/>
      <c r="AK2376" s="38"/>
      <c r="AL2376" s="38"/>
      <c r="AM2376" s="38"/>
      <c r="AN2376" s="38"/>
      <c r="AO2376" s="38"/>
      <c r="AP2376" s="38"/>
      <c r="AQ2376" s="38"/>
      <c r="AR2376" s="38"/>
      <c r="AS2376" s="38"/>
      <c r="AT2376" s="38"/>
      <c r="AU2376" s="38"/>
      <c r="AV2376" s="38"/>
      <c r="AW2376" s="38"/>
      <c r="AX2376" s="38"/>
      <c r="AY2376" s="38"/>
      <c r="AZ2376" s="38"/>
      <c r="BA2376" s="38"/>
      <c r="BB2376" s="38"/>
      <c r="BC2376" s="38"/>
      <c r="BD2376" s="38"/>
      <c r="BE2376" s="38"/>
      <c r="BF2376" s="38"/>
      <c r="BG2376" s="38"/>
    </row>
    <row r="2377">
      <c r="A2377" s="16"/>
      <c r="B2377" s="16"/>
      <c r="C2377" s="146"/>
      <c r="D2377" s="146"/>
      <c r="E2377" s="16"/>
      <c r="F2377" s="91"/>
      <c r="G2377" s="16"/>
      <c r="H2377" s="320" t="str">
        <f t="shared" si="1"/>
        <v/>
      </c>
      <c r="I2377" s="16"/>
      <c r="J2377" s="16"/>
      <c r="K2377" s="16"/>
      <c r="L2377" s="38"/>
      <c r="M2377" s="16"/>
      <c r="N2377" s="16"/>
      <c r="O2377" s="16"/>
      <c r="P2377" s="15"/>
      <c r="Q2377" s="15"/>
      <c r="R2377" s="16"/>
      <c r="S2377" s="16"/>
      <c r="T2377" s="16"/>
      <c r="U2377" s="16"/>
      <c r="V2377" s="37" t="str">
        <f>IFERROR(__xludf.DUMMYFUNCTION("if(not(iserror(index(split(C2377, "" ""),2))), index(split(C2377, "" ""),1),"""")"),"")</f>
        <v/>
      </c>
      <c r="W2377" s="315" t="str">
        <f>IFERROR(__xludf.DUMMYFUNCTION("if(V2377="""",C2377,if(not(iserror(index(split(C2377, "" ""),3))), index(split(C2377, "" ""),3),index(split(C2377, "" ""),2)))"),"")</f>
        <v/>
      </c>
      <c r="X2377" s="38" t="b">
        <f t="shared" si="2"/>
        <v>0</v>
      </c>
      <c r="Y2377" s="38"/>
      <c r="Z2377" s="40"/>
      <c r="AA2377" s="40"/>
      <c r="AB2377" s="38"/>
      <c r="AC2377" s="38"/>
      <c r="AD2377" s="38"/>
      <c r="AE2377" s="38"/>
      <c r="AF2377" s="38"/>
      <c r="AG2377" s="38"/>
      <c r="AH2377" s="38"/>
      <c r="AI2377" s="38"/>
      <c r="AJ2377" s="38"/>
      <c r="AK2377" s="38"/>
      <c r="AL2377" s="38"/>
      <c r="AM2377" s="38"/>
      <c r="AN2377" s="38"/>
      <c r="AO2377" s="38"/>
      <c r="AP2377" s="38"/>
      <c r="AQ2377" s="38"/>
      <c r="AR2377" s="38"/>
      <c r="AS2377" s="38"/>
      <c r="AT2377" s="38"/>
      <c r="AU2377" s="38"/>
      <c r="AV2377" s="38"/>
      <c r="AW2377" s="38"/>
      <c r="AX2377" s="38"/>
      <c r="AY2377" s="38"/>
      <c r="AZ2377" s="38"/>
      <c r="BA2377" s="38"/>
      <c r="BB2377" s="38"/>
      <c r="BC2377" s="38"/>
      <c r="BD2377" s="38"/>
      <c r="BE2377" s="38"/>
      <c r="BF2377" s="38"/>
      <c r="BG2377" s="38"/>
    </row>
    <row r="2378">
      <c r="A2378" s="16"/>
      <c r="B2378" s="16"/>
      <c r="C2378" s="146"/>
      <c r="D2378" s="146"/>
      <c r="E2378" s="16"/>
      <c r="F2378" s="91"/>
      <c r="G2378" s="16"/>
      <c r="H2378" s="320" t="str">
        <f t="shared" si="1"/>
        <v/>
      </c>
      <c r="I2378" s="16"/>
      <c r="J2378" s="16"/>
      <c r="K2378" s="16"/>
      <c r="L2378" s="38"/>
      <c r="M2378" s="16"/>
      <c r="N2378" s="16"/>
      <c r="O2378" s="16"/>
      <c r="P2378" s="15"/>
      <c r="Q2378" s="15"/>
      <c r="R2378" s="16"/>
      <c r="S2378" s="16"/>
      <c r="T2378" s="16"/>
      <c r="U2378" s="16"/>
      <c r="V2378" s="37" t="str">
        <f>IFERROR(__xludf.DUMMYFUNCTION("if(not(iserror(index(split(C2378, "" ""),2))), index(split(C2378, "" ""),1),"""")"),"")</f>
        <v/>
      </c>
      <c r="W2378" s="315" t="str">
        <f>IFERROR(__xludf.DUMMYFUNCTION("if(V2378="""",C2378,if(not(iserror(index(split(C2378, "" ""),3))), index(split(C2378, "" ""),3),index(split(C2378, "" ""),2)))"),"")</f>
        <v/>
      </c>
      <c r="X2378" s="38" t="b">
        <f t="shared" si="2"/>
        <v>0</v>
      </c>
      <c r="Y2378" s="38"/>
      <c r="Z2378" s="40"/>
      <c r="AA2378" s="40"/>
      <c r="AB2378" s="38"/>
      <c r="AC2378" s="38"/>
      <c r="AD2378" s="38"/>
      <c r="AE2378" s="38"/>
      <c r="AF2378" s="38"/>
      <c r="AG2378" s="38"/>
      <c r="AH2378" s="38"/>
      <c r="AI2378" s="38"/>
      <c r="AJ2378" s="38"/>
      <c r="AK2378" s="38"/>
      <c r="AL2378" s="38"/>
      <c r="AM2378" s="38"/>
      <c r="AN2378" s="38"/>
      <c r="AO2378" s="38"/>
      <c r="AP2378" s="38"/>
      <c r="AQ2378" s="38"/>
      <c r="AR2378" s="38"/>
      <c r="AS2378" s="38"/>
      <c r="AT2378" s="38"/>
      <c r="AU2378" s="38"/>
      <c r="AV2378" s="38"/>
      <c r="AW2378" s="38"/>
      <c r="AX2378" s="38"/>
      <c r="AY2378" s="38"/>
      <c r="AZ2378" s="38"/>
      <c r="BA2378" s="38"/>
      <c r="BB2378" s="38"/>
      <c r="BC2378" s="38"/>
      <c r="BD2378" s="38"/>
      <c r="BE2378" s="38"/>
      <c r="BF2378" s="38"/>
      <c r="BG2378" s="38"/>
    </row>
    <row r="2379">
      <c r="A2379" s="16"/>
      <c r="B2379" s="16"/>
      <c r="C2379" s="146"/>
      <c r="D2379" s="146"/>
      <c r="E2379" s="16"/>
      <c r="F2379" s="91"/>
      <c r="G2379" s="16"/>
      <c r="H2379" s="320" t="str">
        <f t="shared" si="1"/>
        <v/>
      </c>
      <c r="I2379" s="16"/>
      <c r="J2379" s="16"/>
      <c r="K2379" s="16"/>
      <c r="L2379" s="38"/>
      <c r="M2379" s="16"/>
      <c r="N2379" s="16"/>
      <c r="O2379" s="16"/>
      <c r="P2379" s="15"/>
      <c r="Q2379" s="15"/>
      <c r="R2379" s="16"/>
      <c r="S2379" s="16"/>
      <c r="T2379" s="16"/>
      <c r="U2379" s="16"/>
      <c r="V2379" s="37" t="str">
        <f>IFERROR(__xludf.DUMMYFUNCTION("if(not(iserror(index(split(C2379, "" ""),2))), index(split(C2379, "" ""),1),"""")"),"")</f>
        <v/>
      </c>
      <c r="W2379" s="315" t="str">
        <f>IFERROR(__xludf.DUMMYFUNCTION("if(V2379="""",C2379,if(not(iserror(index(split(C2379, "" ""),3))), index(split(C2379, "" ""),3),index(split(C2379, "" ""),2)))"),"")</f>
        <v/>
      </c>
      <c r="X2379" s="38" t="b">
        <f t="shared" si="2"/>
        <v>0</v>
      </c>
      <c r="Y2379" s="38"/>
      <c r="Z2379" s="40"/>
      <c r="AA2379" s="40"/>
      <c r="AB2379" s="38"/>
      <c r="AC2379" s="38"/>
      <c r="AD2379" s="38"/>
      <c r="AE2379" s="38"/>
      <c r="AF2379" s="38"/>
      <c r="AG2379" s="38"/>
      <c r="AH2379" s="38"/>
      <c r="AI2379" s="38"/>
      <c r="AJ2379" s="38"/>
      <c r="AK2379" s="38"/>
      <c r="AL2379" s="38"/>
      <c r="AM2379" s="38"/>
      <c r="AN2379" s="38"/>
      <c r="AO2379" s="38"/>
      <c r="AP2379" s="38"/>
      <c r="AQ2379" s="38"/>
      <c r="AR2379" s="38"/>
      <c r="AS2379" s="38"/>
      <c r="AT2379" s="38"/>
      <c r="AU2379" s="38"/>
      <c r="AV2379" s="38"/>
      <c r="AW2379" s="38"/>
      <c r="AX2379" s="38"/>
      <c r="AY2379" s="38"/>
      <c r="AZ2379" s="38"/>
      <c r="BA2379" s="38"/>
      <c r="BB2379" s="38"/>
      <c r="BC2379" s="38"/>
      <c r="BD2379" s="38"/>
      <c r="BE2379" s="38"/>
      <c r="BF2379" s="38"/>
      <c r="BG2379" s="38"/>
    </row>
    <row r="2380">
      <c r="A2380" s="16"/>
      <c r="B2380" s="16"/>
      <c r="C2380" s="146"/>
      <c r="D2380" s="146"/>
      <c r="E2380" s="16"/>
      <c r="F2380" s="91"/>
      <c r="G2380" s="16"/>
      <c r="H2380" s="320" t="str">
        <f t="shared" si="1"/>
        <v/>
      </c>
      <c r="I2380" s="16"/>
      <c r="J2380" s="16"/>
      <c r="K2380" s="16"/>
      <c r="L2380" s="38"/>
      <c r="M2380" s="16"/>
      <c r="N2380" s="16"/>
      <c r="O2380" s="16"/>
      <c r="P2380" s="15"/>
      <c r="Q2380" s="15"/>
      <c r="R2380" s="16"/>
      <c r="S2380" s="16"/>
      <c r="T2380" s="16"/>
      <c r="U2380" s="16"/>
      <c r="V2380" s="37" t="str">
        <f>IFERROR(__xludf.DUMMYFUNCTION("if(not(iserror(index(split(C2380, "" ""),2))), index(split(C2380, "" ""),1),"""")"),"")</f>
        <v/>
      </c>
      <c r="W2380" s="315" t="str">
        <f>IFERROR(__xludf.DUMMYFUNCTION("if(V2380="""",C2380,if(not(iserror(index(split(C2380, "" ""),3))), index(split(C2380, "" ""),3),index(split(C2380, "" ""),2)))"),"")</f>
        <v/>
      </c>
      <c r="X2380" s="38" t="b">
        <f t="shared" si="2"/>
        <v>0</v>
      </c>
      <c r="Y2380" s="38"/>
      <c r="Z2380" s="40"/>
      <c r="AA2380" s="40"/>
      <c r="AB2380" s="38"/>
      <c r="AC2380" s="38"/>
      <c r="AD2380" s="38"/>
      <c r="AE2380" s="38"/>
      <c r="AF2380" s="38"/>
      <c r="AG2380" s="38"/>
      <c r="AH2380" s="38"/>
      <c r="AI2380" s="38"/>
      <c r="AJ2380" s="38"/>
      <c r="AK2380" s="38"/>
      <c r="AL2380" s="38"/>
      <c r="AM2380" s="38"/>
      <c r="AN2380" s="38"/>
      <c r="AO2380" s="38"/>
      <c r="AP2380" s="38"/>
      <c r="AQ2380" s="38"/>
      <c r="AR2380" s="38"/>
      <c r="AS2380" s="38"/>
      <c r="AT2380" s="38"/>
      <c r="AU2380" s="38"/>
      <c r="AV2380" s="38"/>
      <c r="AW2380" s="38"/>
      <c r="AX2380" s="38"/>
      <c r="AY2380" s="38"/>
      <c r="AZ2380" s="38"/>
      <c r="BA2380" s="38"/>
      <c r="BB2380" s="38"/>
      <c r="BC2380" s="38"/>
      <c r="BD2380" s="38"/>
      <c r="BE2380" s="38"/>
      <c r="BF2380" s="38"/>
      <c r="BG2380" s="38"/>
    </row>
    <row r="2381">
      <c r="A2381" s="16"/>
      <c r="B2381" s="16"/>
      <c r="C2381" s="146"/>
      <c r="D2381" s="146"/>
      <c r="E2381" s="16"/>
      <c r="F2381" s="91"/>
      <c r="G2381" s="16"/>
      <c r="H2381" s="320" t="str">
        <f t="shared" si="1"/>
        <v/>
      </c>
      <c r="I2381" s="16"/>
      <c r="J2381" s="16"/>
      <c r="K2381" s="16"/>
      <c r="L2381" s="38"/>
      <c r="M2381" s="16"/>
      <c r="N2381" s="16"/>
      <c r="O2381" s="16"/>
      <c r="P2381" s="15"/>
      <c r="Q2381" s="15"/>
      <c r="R2381" s="16"/>
      <c r="S2381" s="16"/>
      <c r="T2381" s="16"/>
      <c r="U2381" s="16"/>
      <c r="V2381" s="37" t="str">
        <f>IFERROR(__xludf.DUMMYFUNCTION("if(not(iserror(index(split(C2381, "" ""),2))), index(split(C2381, "" ""),1),"""")"),"")</f>
        <v/>
      </c>
      <c r="W2381" s="315" t="str">
        <f>IFERROR(__xludf.DUMMYFUNCTION("if(V2381="""",C2381,if(not(iserror(index(split(C2381, "" ""),3))), index(split(C2381, "" ""),3),index(split(C2381, "" ""),2)))"),"")</f>
        <v/>
      </c>
      <c r="X2381" s="38" t="b">
        <f t="shared" si="2"/>
        <v>0</v>
      </c>
      <c r="Y2381" s="38"/>
      <c r="Z2381" s="40"/>
      <c r="AA2381" s="40"/>
      <c r="AB2381" s="38"/>
      <c r="AC2381" s="38"/>
      <c r="AD2381" s="38"/>
      <c r="AE2381" s="38"/>
      <c r="AF2381" s="38"/>
      <c r="AG2381" s="38"/>
      <c r="AH2381" s="38"/>
      <c r="AI2381" s="38"/>
      <c r="AJ2381" s="38"/>
      <c r="AK2381" s="38"/>
      <c r="AL2381" s="38"/>
      <c r="AM2381" s="38"/>
      <c r="AN2381" s="38"/>
      <c r="AO2381" s="38"/>
      <c r="AP2381" s="38"/>
      <c r="AQ2381" s="38"/>
      <c r="AR2381" s="38"/>
      <c r="AS2381" s="38"/>
      <c r="AT2381" s="38"/>
      <c r="AU2381" s="38"/>
      <c r="AV2381" s="38"/>
      <c r="AW2381" s="38"/>
      <c r="AX2381" s="38"/>
      <c r="AY2381" s="38"/>
      <c r="AZ2381" s="38"/>
      <c r="BA2381" s="38"/>
      <c r="BB2381" s="38"/>
      <c r="BC2381" s="38"/>
      <c r="BD2381" s="38"/>
      <c r="BE2381" s="38"/>
      <c r="BF2381" s="38"/>
      <c r="BG2381" s="38"/>
    </row>
    <row r="2382">
      <c r="A2382" s="16"/>
      <c r="B2382" s="16"/>
      <c r="C2382" s="146"/>
      <c r="D2382" s="146"/>
      <c r="E2382" s="16"/>
      <c r="F2382" s="91"/>
      <c r="G2382" s="16"/>
      <c r="H2382" s="320" t="str">
        <f t="shared" si="1"/>
        <v/>
      </c>
      <c r="I2382" s="16"/>
      <c r="J2382" s="16"/>
      <c r="K2382" s="16"/>
      <c r="L2382" s="38"/>
      <c r="M2382" s="16"/>
      <c r="N2382" s="16"/>
      <c r="O2382" s="16"/>
      <c r="P2382" s="15"/>
      <c r="Q2382" s="15"/>
      <c r="R2382" s="16"/>
      <c r="S2382" s="16"/>
      <c r="T2382" s="16"/>
      <c r="U2382" s="16"/>
      <c r="V2382" s="37" t="str">
        <f>IFERROR(__xludf.DUMMYFUNCTION("if(not(iserror(index(split(C2382, "" ""),2))), index(split(C2382, "" ""),1),"""")"),"")</f>
        <v/>
      </c>
      <c r="W2382" s="315" t="str">
        <f>IFERROR(__xludf.DUMMYFUNCTION("if(V2382="""",C2382,if(not(iserror(index(split(C2382, "" ""),3))), index(split(C2382, "" ""),3),index(split(C2382, "" ""),2)))"),"")</f>
        <v/>
      </c>
      <c r="X2382" s="38" t="b">
        <f t="shared" si="2"/>
        <v>0</v>
      </c>
      <c r="Y2382" s="38"/>
      <c r="Z2382" s="40"/>
      <c r="AA2382" s="40"/>
      <c r="AB2382" s="38"/>
      <c r="AC2382" s="38"/>
      <c r="AD2382" s="38"/>
      <c r="AE2382" s="38"/>
      <c r="AF2382" s="38"/>
      <c r="AG2382" s="38"/>
      <c r="AH2382" s="38"/>
      <c r="AI2382" s="38"/>
      <c r="AJ2382" s="38"/>
      <c r="AK2382" s="38"/>
      <c r="AL2382" s="38"/>
      <c r="AM2382" s="38"/>
      <c r="AN2382" s="38"/>
      <c r="AO2382" s="38"/>
      <c r="AP2382" s="38"/>
      <c r="AQ2382" s="38"/>
      <c r="AR2382" s="38"/>
      <c r="AS2382" s="38"/>
      <c r="AT2382" s="38"/>
      <c r="AU2382" s="38"/>
      <c r="AV2382" s="38"/>
      <c r="AW2382" s="38"/>
      <c r="AX2382" s="38"/>
      <c r="AY2382" s="38"/>
      <c r="AZ2382" s="38"/>
      <c r="BA2382" s="38"/>
      <c r="BB2382" s="38"/>
      <c r="BC2382" s="38"/>
      <c r="BD2382" s="38"/>
      <c r="BE2382" s="38"/>
      <c r="BF2382" s="38"/>
      <c r="BG2382" s="38"/>
    </row>
    <row r="2383">
      <c r="A2383" s="16"/>
      <c r="B2383" s="16"/>
      <c r="C2383" s="146"/>
      <c r="D2383" s="146"/>
      <c r="E2383" s="16"/>
      <c r="F2383" s="91"/>
      <c r="G2383" s="16"/>
      <c r="H2383" s="320" t="str">
        <f t="shared" si="1"/>
        <v/>
      </c>
      <c r="I2383" s="16"/>
      <c r="J2383" s="16"/>
      <c r="K2383" s="16"/>
      <c r="L2383" s="38"/>
      <c r="M2383" s="16"/>
      <c r="N2383" s="16"/>
      <c r="O2383" s="16"/>
      <c r="P2383" s="15"/>
      <c r="Q2383" s="15"/>
      <c r="R2383" s="16"/>
      <c r="S2383" s="16"/>
      <c r="T2383" s="16"/>
      <c r="U2383" s="16"/>
      <c r="V2383" s="37" t="str">
        <f>IFERROR(__xludf.DUMMYFUNCTION("if(not(iserror(index(split(C2383, "" ""),2))), index(split(C2383, "" ""),1),"""")"),"")</f>
        <v/>
      </c>
      <c r="W2383" s="315" t="str">
        <f>IFERROR(__xludf.DUMMYFUNCTION("if(V2383="""",C2383,if(not(iserror(index(split(C2383, "" ""),3))), index(split(C2383, "" ""),3),index(split(C2383, "" ""),2)))"),"")</f>
        <v/>
      </c>
      <c r="X2383" s="38" t="b">
        <f t="shared" si="2"/>
        <v>0</v>
      </c>
      <c r="Y2383" s="38"/>
      <c r="Z2383" s="40"/>
      <c r="AA2383" s="40"/>
      <c r="AB2383" s="38"/>
      <c r="AC2383" s="38"/>
      <c r="AD2383" s="38"/>
      <c r="AE2383" s="38"/>
      <c r="AF2383" s="38"/>
      <c r="AG2383" s="38"/>
      <c r="AH2383" s="38"/>
      <c r="AI2383" s="38"/>
      <c r="AJ2383" s="38"/>
      <c r="AK2383" s="38"/>
      <c r="AL2383" s="38"/>
      <c r="AM2383" s="38"/>
      <c r="AN2383" s="38"/>
      <c r="AO2383" s="38"/>
      <c r="AP2383" s="38"/>
      <c r="AQ2383" s="38"/>
      <c r="AR2383" s="38"/>
      <c r="AS2383" s="38"/>
      <c r="AT2383" s="38"/>
      <c r="AU2383" s="38"/>
      <c r="AV2383" s="38"/>
      <c r="AW2383" s="38"/>
      <c r="AX2383" s="38"/>
      <c r="AY2383" s="38"/>
      <c r="AZ2383" s="38"/>
      <c r="BA2383" s="38"/>
      <c r="BB2383" s="38"/>
      <c r="BC2383" s="38"/>
      <c r="BD2383" s="38"/>
      <c r="BE2383" s="38"/>
      <c r="BF2383" s="38"/>
      <c r="BG2383" s="38"/>
    </row>
    <row r="2384">
      <c r="A2384" s="16"/>
      <c r="B2384" s="16"/>
      <c r="C2384" s="146"/>
      <c r="D2384" s="146"/>
      <c r="E2384" s="16"/>
      <c r="F2384" s="91"/>
      <c r="G2384" s="16"/>
      <c r="H2384" s="320" t="str">
        <f t="shared" si="1"/>
        <v/>
      </c>
      <c r="I2384" s="16"/>
      <c r="J2384" s="16"/>
      <c r="K2384" s="16"/>
      <c r="L2384" s="38"/>
      <c r="M2384" s="16"/>
      <c r="N2384" s="16"/>
      <c r="O2384" s="16"/>
      <c r="P2384" s="15"/>
      <c r="Q2384" s="15"/>
      <c r="R2384" s="16"/>
      <c r="S2384" s="16"/>
      <c r="T2384" s="16"/>
      <c r="U2384" s="16"/>
      <c r="V2384" s="37" t="str">
        <f>IFERROR(__xludf.DUMMYFUNCTION("if(not(iserror(index(split(C2384, "" ""),2))), index(split(C2384, "" ""),1),"""")"),"")</f>
        <v/>
      </c>
      <c r="W2384" s="315" t="str">
        <f>IFERROR(__xludf.DUMMYFUNCTION("if(V2384="""",C2384,if(not(iserror(index(split(C2384, "" ""),3))), index(split(C2384, "" ""),3),index(split(C2384, "" ""),2)))"),"")</f>
        <v/>
      </c>
      <c r="X2384" s="38" t="b">
        <f t="shared" si="2"/>
        <v>0</v>
      </c>
      <c r="Y2384" s="38"/>
      <c r="Z2384" s="40"/>
      <c r="AA2384" s="40"/>
      <c r="AB2384" s="38"/>
      <c r="AC2384" s="38"/>
      <c r="AD2384" s="38"/>
      <c r="AE2384" s="38"/>
      <c r="AF2384" s="38"/>
      <c r="AG2384" s="38"/>
      <c r="AH2384" s="38"/>
      <c r="AI2384" s="38"/>
      <c r="AJ2384" s="38"/>
      <c r="AK2384" s="38"/>
      <c r="AL2384" s="38"/>
      <c r="AM2384" s="38"/>
      <c r="AN2384" s="38"/>
      <c r="AO2384" s="38"/>
      <c r="AP2384" s="38"/>
      <c r="AQ2384" s="38"/>
      <c r="AR2384" s="38"/>
      <c r="AS2384" s="38"/>
      <c r="AT2384" s="38"/>
      <c r="AU2384" s="38"/>
      <c r="AV2384" s="38"/>
      <c r="AW2384" s="38"/>
      <c r="AX2384" s="38"/>
      <c r="AY2384" s="38"/>
      <c r="AZ2384" s="38"/>
      <c r="BA2384" s="38"/>
      <c r="BB2384" s="38"/>
      <c r="BC2384" s="38"/>
      <c r="BD2384" s="38"/>
      <c r="BE2384" s="38"/>
      <c r="BF2384" s="38"/>
      <c r="BG2384" s="38"/>
    </row>
    <row r="2385">
      <c r="A2385" s="16"/>
      <c r="B2385" s="16"/>
      <c r="C2385" s="146"/>
      <c r="D2385" s="146"/>
      <c r="E2385" s="16"/>
      <c r="F2385" s="91"/>
      <c r="G2385" s="16"/>
      <c r="H2385" s="320" t="str">
        <f t="shared" si="1"/>
        <v/>
      </c>
      <c r="I2385" s="16"/>
      <c r="J2385" s="16"/>
      <c r="K2385" s="16"/>
      <c r="L2385" s="38"/>
      <c r="M2385" s="16"/>
      <c r="N2385" s="16"/>
      <c r="O2385" s="16"/>
      <c r="P2385" s="15"/>
      <c r="Q2385" s="15"/>
      <c r="R2385" s="16"/>
      <c r="S2385" s="16"/>
      <c r="T2385" s="16"/>
      <c r="U2385" s="16"/>
      <c r="V2385" s="37" t="str">
        <f>IFERROR(__xludf.DUMMYFUNCTION("if(not(iserror(index(split(C2385, "" ""),2))), index(split(C2385, "" ""),1),"""")"),"")</f>
        <v/>
      </c>
      <c r="W2385" s="315" t="str">
        <f>IFERROR(__xludf.DUMMYFUNCTION("if(V2385="""",C2385,if(not(iserror(index(split(C2385, "" ""),3))), index(split(C2385, "" ""),3),index(split(C2385, "" ""),2)))"),"")</f>
        <v/>
      </c>
      <c r="X2385" s="38" t="b">
        <f t="shared" si="2"/>
        <v>0</v>
      </c>
      <c r="Y2385" s="38"/>
      <c r="Z2385" s="40"/>
      <c r="AA2385" s="40"/>
      <c r="AB2385" s="38"/>
      <c r="AC2385" s="38"/>
      <c r="AD2385" s="38"/>
      <c r="AE2385" s="38"/>
      <c r="AF2385" s="38"/>
      <c r="AG2385" s="38"/>
      <c r="AH2385" s="38"/>
      <c r="AI2385" s="38"/>
      <c r="AJ2385" s="38"/>
      <c r="AK2385" s="38"/>
      <c r="AL2385" s="38"/>
      <c r="AM2385" s="38"/>
      <c r="AN2385" s="38"/>
      <c r="AO2385" s="38"/>
      <c r="AP2385" s="38"/>
      <c r="AQ2385" s="38"/>
      <c r="AR2385" s="38"/>
      <c r="AS2385" s="38"/>
      <c r="AT2385" s="38"/>
      <c r="AU2385" s="38"/>
      <c r="AV2385" s="38"/>
      <c r="AW2385" s="38"/>
      <c r="AX2385" s="38"/>
      <c r="AY2385" s="38"/>
      <c r="AZ2385" s="38"/>
      <c r="BA2385" s="38"/>
      <c r="BB2385" s="38"/>
      <c r="BC2385" s="38"/>
      <c r="BD2385" s="38"/>
      <c r="BE2385" s="38"/>
      <c r="BF2385" s="38"/>
      <c r="BG2385" s="38"/>
    </row>
    <row r="2386">
      <c r="A2386" s="16"/>
      <c r="B2386" s="16"/>
      <c r="C2386" s="146"/>
      <c r="D2386" s="146"/>
      <c r="E2386" s="16"/>
      <c r="F2386" s="91"/>
      <c r="G2386" s="16"/>
      <c r="H2386" s="320" t="str">
        <f t="shared" si="1"/>
        <v/>
      </c>
      <c r="I2386" s="16"/>
      <c r="J2386" s="16"/>
      <c r="K2386" s="16"/>
      <c r="L2386" s="38"/>
      <c r="M2386" s="16"/>
      <c r="N2386" s="16"/>
      <c r="O2386" s="16"/>
      <c r="P2386" s="15"/>
      <c r="Q2386" s="15"/>
      <c r="R2386" s="16"/>
      <c r="S2386" s="16"/>
      <c r="T2386" s="16"/>
      <c r="U2386" s="16"/>
      <c r="V2386" s="37" t="str">
        <f>IFERROR(__xludf.DUMMYFUNCTION("if(not(iserror(index(split(C2386, "" ""),2))), index(split(C2386, "" ""),1),"""")"),"")</f>
        <v/>
      </c>
      <c r="W2386" s="315" t="str">
        <f>IFERROR(__xludf.DUMMYFUNCTION("if(V2386="""",C2386,if(not(iserror(index(split(C2386, "" ""),3))), index(split(C2386, "" ""),3),index(split(C2386, "" ""),2)))"),"")</f>
        <v/>
      </c>
      <c r="X2386" s="38" t="b">
        <f t="shared" si="2"/>
        <v>0</v>
      </c>
      <c r="Y2386" s="38"/>
      <c r="Z2386" s="40"/>
      <c r="AA2386" s="40"/>
      <c r="AB2386" s="38"/>
      <c r="AC2386" s="38"/>
      <c r="AD2386" s="38"/>
      <c r="AE2386" s="38"/>
      <c r="AF2386" s="38"/>
      <c r="AG2386" s="38"/>
      <c r="AH2386" s="38"/>
      <c r="AI2386" s="38"/>
      <c r="AJ2386" s="38"/>
      <c r="AK2386" s="38"/>
      <c r="AL2386" s="38"/>
      <c r="AM2386" s="38"/>
      <c r="AN2386" s="38"/>
      <c r="AO2386" s="38"/>
      <c r="AP2386" s="38"/>
      <c r="AQ2386" s="38"/>
      <c r="AR2386" s="38"/>
      <c r="AS2386" s="38"/>
      <c r="AT2386" s="38"/>
      <c r="AU2386" s="38"/>
      <c r="AV2386" s="38"/>
      <c r="AW2386" s="38"/>
      <c r="AX2386" s="38"/>
      <c r="AY2386" s="38"/>
      <c r="AZ2386" s="38"/>
      <c r="BA2386" s="38"/>
      <c r="BB2386" s="38"/>
      <c r="BC2386" s="38"/>
      <c r="BD2386" s="38"/>
      <c r="BE2386" s="38"/>
      <c r="BF2386" s="38"/>
      <c r="BG2386" s="38"/>
    </row>
    <row r="2387">
      <c r="A2387" s="16"/>
      <c r="B2387" s="16"/>
      <c r="C2387" s="146"/>
      <c r="D2387" s="146"/>
      <c r="E2387" s="16"/>
      <c r="F2387" s="91"/>
      <c r="G2387" s="16"/>
      <c r="H2387" s="320" t="str">
        <f t="shared" si="1"/>
        <v/>
      </c>
      <c r="I2387" s="16"/>
      <c r="J2387" s="16"/>
      <c r="K2387" s="16"/>
      <c r="L2387" s="38"/>
      <c r="M2387" s="16"/>
      <c r="N2387" s="16"/>
      <c r="O2387" s="16"/>
      <c r="P2387" s="15"/>
      <c r="Q2387" s="15"/>
      <c r="R2387" s="16"/>
      <c r="S2387" s="16"/>
      <c r="T2387" s="16"/>
      <c r="U2387" s="16"/>
      <c r="V2387" s="37" t="str">
        <f>IFERROR(__xludf.DUMMYFUNCTION("if(not(iserror(index(split(C2387, "" ""),2))), index(split(C2387, "" ""),1),"""")"),"")</f>
        <v/>
      </c>
      <c r="W2387" s="315" t="str">
        <f>IFERROR(__xludf.DUMMYFUNCTION("if(V2387="""",C2387,if(not(iserror(index(split(C2387, "" ""),3))), index(split(C2387, "" ""),3),index(split(C2387, "" ""),2)))"),"")</f>
        <v/>
      </c>
      <c r="X2387" s="38" t="b">
        <f t="shared" si="2"/>
        <v>0</v>
      </c>
      <c r="Y2387" s="38"/>
      <c r="Z2387" s="40"/>
      <c r="AA2387" s="40"/>
      <c r="AB2387" s="38"/>
      <c r="AC2387" s="38"/>
      <c r="AD2387" s="38"/>
      <c r="AE2387" s="38"/>
      <c r="AF2387" s="38"/>
      <c r="AG2387" s="38"/>
      <c r="AH2387" s="38"/>
      <c r="AI2387" s="38"/>
      <c r="AJ2387" s="38"/>
      <c r="AK2387" s="38"/>
      <c r="AL2387" s="38"/>
      <c r="AM2387" s="38"/>
      <c r="AN2387" s="38"/>
      <c r="AO2387" s="38"/>
      <c r="AP2387" s="38"/>
      <c r="AQ2387" s="38"/>
      <c r="AR2387" s="38"/>
      <c r="AS2387" s="38"/>
      <c r="AT2387" s="38"/>
      <c r="AU2387" s="38"/>
      <c r="AV2387" s="38"/>
      <c r="AW2387" s="38"/>
      <c r="AX2387" s="38"/>
      <c r="AY2387" s="38"/>
      <c r="AZ2387" s="38"/>
      <c r="BA2387" s="38"/>
      <c r="BB2387" s="38"/>
      <c r="BC2387" s="38"/>
      <c r="BD2387" s="38"/>
      <c r="BE2387" s="38"/>
      <c r="BF2387" s="38"/>
      <c r="BG2387" s="38"/>
    </row>
    <row r="2388">
      <c r="A2388" s="16"/>
      <c r="B2388" s="16"/>
      <c r="C2388" s="146"/>
      <c r="D2388" s="146"/>
      <c r="E2388" s="16"/>
      <c r="F2388" s="91"/>
      <c r="G2388" s="16"/>
      <c r="H2388" s="320" t="str">
        <f t="shared" si="1"/>
        <v/>
      </c>
      <c r="I2388" s="16"/>
      <c r="J2388" s="16"/>
      <c r="K2388" s="16"/>
      <c r="L2388" s="38"/>
      <c r="M2388" s="16"/>
      <c r="N2388" s="16"/>
      <c r="O2388" s="16"/>
      <c r="P2388" s="15"/>
      <c r="Q2388" s="15"/>
      <c r="R2388" s="16"/>
      <c r="S2388" s="16"/>
      <c r="T2388" s="16"/>
      <c r="U2388" s="16"/>
      <c r="V2388" s="37" t="str">
        <f>IFERROR(__xludf.DUMMYFUNCTION("if(not(iserror(index(split(C2388, "" ""),2))), index(split(C2388, "" ""),1),"""")"),"")</f>
        <v/>
      </c>
      <c r="W2388" s="315" t="str">
        <f>IFERROR(__xludf.DUMMYFUNCTION("if(V2388="""",C2388,if(not(iserror(index(split(C2388, "" ""),3))), index(split(C2388, "" ""),3),index(split(C2388, "" ""),2)))"),"")</f>
        <v/>
      </c>
      <c r="X2388" s="38" t="b">
        <f t="shared" si="2"/>
        <v>0</v>
      </c>
      <c r="Y2388" s="38"/>
      <c r="Z2388" s="40"/>
      <c r="AA2388" s="40"/>
      <c r="AB2388" s="38"/>
      <c r="AC2388" s="38"/>
      <c r="AD2388" s="38"/>
      <c r="AE2388" s="38"/>
      <c r="AF2388" s="38"/>
      <c r="AG2388" s="38"/>
      <c r="AH2388" s="38"/>
      <c r="AI2388" s="38"/>
      <c r="AJ2388" s="38"/>
      <c r="AK2388" s="38"/>
      <c r="AL2388" s="38"/>
      <c r="AM2388" s="38"/>
      <c r="AN2388" s="38"/>
      <c r="AO2388" s="38"/>
      <c r="AP2388" s="38"/>
      <c r="AQ2388" s="38"/>
      <c r="AR2388" s="38"/>
      <c r="AS2388" s="38"/>
      <c r="AT2388" s="38"/>
      <c r="AU2388" s="38"/>
      <c r="AV2388" s="38"/>
      <c r="AW2388" s="38"/>
      <c r="AX2388" s="38"/>
      <c r="AY2388" s="38"/>
      <c r="AZ2388" s="38"/>
      <c r="BA2388" s="38"/>
      <c r="BB2388" s="38"/>
      <c r="BC2388" s="38"/>
      <c r="BD2388" s="38"/>
      <c r="BE2388" s="38"/>
      <c r="BF2388" s="38"/>
      <c r="BG2388" s="38"/>
    </row>
    <row r="2389">
      <c r="A2389" s="16"/>
      <c r="B2389" s="16"/>
      <c r="C2389" s="146"/>
      <c r="D2389" s="146"/>
      <c r="E2389" s="16"/>
      <c r="F2389" s="91"/>
      <c r="G2389" s="16"/>
      <c r="H2389" s="320" t="str">
        <f t="shared" si="1"/>
        <v/>
      </c>
      <c r="I2389" s="16"/>
      <c r="J2389" s="16"/>
      <c r="K2389" s="16"/>
      <c r="L2389" s="38"/>
      <c r="M2389" s="16"/>
      <c r="N2389" s="16"/>
      <c r="O2389" s="16"/>
      <c r="P2389" s="15"/>
      <c r="Q2389" s="15"/>
      <c r="R2389" s="16"/>
      <c r="S2389" s="16"/>
      <c r="T2389" s="16"/>
      <c r="U2389" s="16"/>
      <c r="V2389" s="37" t="str">
        <f>IFERROR(__xludf.DUMMYFUNCTION("if(not(iserror(index(split(C2389, "" ""),2))), index(split(C2389, "" ""),1),"""")"),"")</f>
        <v/>
      </c>
      <c r="W2389" s="315" t="str">
        <f>IFERROR(__xludf.DUMMYFUNCTION("if(V2389="""",C2389,if(not(iserror(index(split(C2389, "" ""),3))), index(split(C2389, "" ""),3),index(split(C2389, "" ""),2)))"),"")</f>
        <v/>
      </c>
      <c r="X2389" s="38" t="b">
        <f t="shared" si="2"/>
        <v>0</v>
      </c>
      <c r="Y2389" s="38"/>
      <c r="Z2389" s="40"/>
      <c r="AA2389" s="40"/>
      <c r="AB2389" s="38"/>
      <c r="AC2389" s="38"/>
      <c r="AD2389" s="38"/>
      <c r="AE2389" s="38"/>
      <c r="AF2389" s="38"/>
      <c r="AG2389" s="38"/>
      <c r="AH2389" s="38"/>
      <c r="AI2389" s="38"/>
      <c r="AJ2389" s="38"/>
      <c r="AK2389" s="38"/>
      <c r="AL2389" s="38"/>
      <c r="AM2389" s="38"/>
      <c r="AN2389" s="38"/>
      <c r="AO2389" s="38"/>
      <c r="AP2389" s="38"/>
      <c r="AQ2389" s="38"/>
      <c r="AR2389" s="38"/>
      <c r="AS2389" s="38"/>
      <c r="AT2389" s="38"/>
      <c r="AU2389" s="38"/>
      <c r="AV2389" s="38"/>
      <c r="AW2389" s="38"/>
      <c r="AX2389" s="38"/>
      <c r="AY2389" s="38"/>
      <c r="AZ2389" s="38"/>
      <c r="BA2389" s="38"/>
      <c r="BB2389" s="38"/>
      <c r="BC2389" s="38"/>
      <c r="BD2389" s="38"/>
      <c r="BE2389" s="38"/>
      <c r="BF2389" s="38"/>
      <c r="BG2389" s="38"/>
    </row>
    <row r="2390">
      <c r="A2390" s="16"/>
      <c r="B2390" s="16"/>
      <c r="C2390" s="146"/>
      <c r="D2390" s="146"/>
      <c r="E2390" s="16"/>
      <c r="F2390" s="91"/>
      <c r="G2390" s="16"/>
      <c r="H2390" s="320" t="str">
        <f t="shared" si="1"/>
        <v/>
      </c>
      <c r="I2390" s="16"/>
      <c r="J2390" s="16"/>
      <c r="K2390" s="16"/>
      <c r="L2390" s="38"/>
      <c r="M2390" s="16"/>
      <c r="N2390" s="16"/>
      <c r="O2390" s="16"/>
      <c r="P2390" s="15"/>
      <c r="Q2390" s="15"/>
      <c r="R2390" s="16"/>
      <c r="S2390" s="16"/>
      <c r="T2390" s="16"/>
      <c r="U2390" s="16"/>
      <c r="V2390" s="37" t="str">
        <f>IFERROR(__xludf.DUMMYFUNCTION("if(not(iserror(index(split(C2390, "" ""),2))), index(split(C2390, "" ""),1),"""")"),"")</f>
        <v/>
      </c>
      <c r="W2390" s="315" t="str">
        <f>IFERROR(__xludf.DUMMYFUNCTION("if(V2390="""",C2390,if(not(iserror(index(split(C2390, "" ""),3))), index(split(C2390, "" ""),3),index(split(C2390, "" ""),2)))"),"")</f>
        <v/>
      </c>
      <c r="X2390" s="38" t="b">
        <f t="shared" si="2"/>
        <v>0</v>
      </c>
      <c r="Y2390" s="38"/>
      <c r="Z2390" s="40"/>
      <c r="AA2390" s="40"/>
      <c r="AB2390" s="38"/>
      <c r="AC2390" s="38"/>
      <c r="AD2390" s="38"/>
      <c r="AE2390" s="38"/>
      <c r="AF2390" s="38"/>
      <c r="AG2390" s="38"/>
      <c r="AH2390" s="38"/>
      <c r="AI2390" s="38"/>
      <c r="AJ2390" s="38"/>
      <c r="AK2390" s="38"/>
      <c r="AL2390" s="38"/>
      <c r="AM2390" s="38"/>
      <c r="AN2390" s="38"/>
      <c r="AO2390" s="38"/>
      <c r="AP2390" s="38"/>
      <c r="AQ2390" s="38"/>
      <c r="AR2390" s="38"/>
      <c r="AS2390" s="38"/>
      <c r="AT2390" s="38"/>
      <c r="AU2390" s="38"/>
      <c r="AV2390" s="38"/>
      <c r="AW2390" s="38"/>
      <c r="AX2390" s="38"/>
      <c r="AY2390" s="38"/>
      <c r="AZ2390" s="38"/>
      <c r="BA2390" s="38"/>
      <c r="BB2390" s="38"/>
      <c r="BC2390" s="38"/>
      <c r="BD2390" s="38"/>
      <c r="BE2390" s="38"/>
      <c r="BF2390" s="38"/>
      <c r="BG2390" s="38"/>
    </row>
    <row r="2391">
      <c r="A2391" s="16"/>
      <c r="B2391" s="16"/>
      <c r="C2391" s="146"/>
      <c r="D2391" s="146"/>
      <c r="E2391" s="16"/>
      <c r="F2391" s="91"/>
      <c r="G2391" s="16"/>
      <c r="H2391" s="320" t="str">
        <f t="shared" si="1"/>
        <v/>
      </c>
      <c r="I2391" s="16"/>
      <c r="J2391" s="16"/>
      <c r="K2391" s="16"/>
      <c r="L2391" s="38"/>
      <c r="M2391" s="16"/>
      <c r="N2391" s="16"/>
      <c r="O2391" s="16"/>
      <c r="P2391" s="15"/>
      <c r="Q2391" s="15"/>
      <c r="R2391" s="16"/>
      <c r="S2391" s="16"/>
      <c r="T2391" s="16"/>
      <c r="U2391" s="16"/>
      <c r="V2391" s="37" t="str">
        <f>IFERROR(__xludf.DUMMYFUNCTION("if(not(iserror(index(split(C2391, "" ""),2))), index(split(C2391, "" ""),1),"""")"),"")</f>
        <v/>
      </c>
      <c r="W2391" s="315" t="str">
        <f>IFERROR(__xludf.DUMMYFUNCTION("if(V2391="""",C2391,if(not(iserror(index(split(C2391, "" ""),3))), index(split(C2391, "" ""),3),index(split(C2391, "" ""),2)))"),"")</f>
        <v/>
      </c>
      <c r="X2391" s="38" t="b">
        <f t="shared" si="2"/>
        <v>0</v>
      </c>
      <c r="Y2391" s="38"/>
      <c r="Z2391" s="40"/>
      <c r="AA2391" s="40"/>
      <c r="AB2391" s="38"/>
      <c r="AC2391" s="38"/>
      <c r="AD2391" s="38"/>
      <c r="AE2391" s="38"/>
      <c r="AF2391" s="38"/>
      <c r="AG2391" s="38"/>
      <c r="AH2391" s="38"/>
      <c r="AI2391" s="38"/>
      <c r="AJ2391" s="38"/>
      <c r="AK2391" s="38"/>
      <c r="AL2391" s="38"/>
      <c r="AM2391" s="38"/>
      <c r="AN2391" s="38"/>
      <c r="AO2391" s="38"/>
      <c r="AP2391" s="38"/>
      <c r="AQ2391" s="38"/>
      <c r="AR2391" s="38"/>
      <c r="AS2391" s="38"/>
      <c r="AT2391" s="38"/>
      <c r="AU2391" s="38"/>
      <c r="AV2391" s="38"/>
      <c r="AW2391" s="38"/>
      <c r="AX2391" s="38"/>
      <c r="AY2391" s="38"/>
      <c r="AZ2391" s="38"/>
      <c r="BA2391" s="38"/>
      <c r="BB2391" s="38"/>
      <c r="BC2391" s="38"/>
      <c r="BD2391" s="38"/>
      <c r="BE2391" s="38"/>
      <c r="BF2391" s="38"/>
      <c r="BG2391" s="38"/>
    </row>
    <row r="2392">
      <c r="A2392" s="16"/>
      <c r="B2392" s="16"/>
      <c r="C2392" s="146"/>
      <c r="D2392" s="146"/>
      <c r="E2392" s="16"/>
      <c r="F2392" s="91"/>
      <c r="G2392" s="16"/>
      <c r="H2392" s="320" t="str">
        <f t="shared" si="1"/>
        <v/>
      </c>
      <c r="I2392" s="16"/>
      <c r="J2392" s="16"/>
      <c r="K2392" s="16"/>
      <c r="L2392" s="38"/>
      <c r="M2392" s="16"/>
      <c r="N2392" s="16"/>
      <c r="O2392" s="16"/>
      <c r="P2392" s="15"/>
      <c r="Q2392" s="15"/>
      <c r="R2392" s="16"/>
      <c r="S2392" s="16"/>
      <c r="T2392" s="16"/>
      <c r="U2392" s="16"/>
      <c r="V2392" s="37" t="str">
        <f>IFERROR(__xludf.DUMMYFUNCTION("if(not(iserror(index(split(C2392, "" ""),2))), index(split(C2392, "" ""),1),"""")"),"")</f>
        <v/>
      </c>
      <c r="W2392" s="315" t="str">
        <f>IFERROR(__xludf.DUMMYFUNCTION("if(V2392="""",C2392,if(not(iserror(index(split(C2392, "" ""),3))), index(split(C2392, "" ""),3),index(split(C2392, "" ""),2)))"),"")</f>
        <v/>
      </c>
      <c r="X2392" s="38" t="b">
        <f t="shared" si="2"/>
        <v>0</v>
      </c>
      <c r="Y2392" s="38"/>
      <c r="Z2392" s="40"/>
      <c r="AA2392" s="40"/>
      <c r="AB2392" s="38"/>
      <c r="AC2392" s="38"/>
      <c r="AD2392" s="38"/>
      <c r="AE2392" s="38"/>
      <c r="AF2392" s="38"/>
      <c r="AG2392" s="38"/>
      <c r="AH2392" s="38"/>
      <c r="AI2392" s="38"/>
      <c r="AJ2392" s="38"/>
      <c r="AK2392" s="38"/>
      <c r="AL2392" s="38"/>
      <c r="AM2392" s="38"/>
      <c r="AN2392" s="38"/>
      <c r="AO2392" s="38"/>
      <c r="AP2392" s="38"/>
      <c r="AQ2392" s="38"/>
      <c r="AR2392" s="38"/>
      <c r="AS2392" s="38"/>
      <c r="AT2392" s="38"/>
      <c r="AU2392" s="38"/>
      <c r="AV2392" s="38"/>
      <c r="AW2392" s="38"/>
      <c r="AX2392" s="38"/>
      <c r="AY2392" s="38"/>
      <c r="AZ2392" s="38"/>
      <c r="BA2392" s="38"/>
      <c r="BB2392" s="38"/>
      <c r="BC2392" s="38"/>
      <c r="BD2392" s="38"/>
      <c r="BE2392" s="38"/>
      <c r="BF2392" s="38"/>
      <c r="BG2392" s="38"/>
    </row>
    <row r="2393">
      <c r="A2393" s="16"/>
      <c r="B2393" s="16"/>
      <c r="C2393" s="146"/>
      <c r="D2393" s="146"/>
      <c r="E2393" s="16"/>
      <c r="F2393" s="91"/>
      <c r="G2393" s="16"/>
      <c r="H2393" s="320" t="str">
        <f t="shared" si="1"/>
        <v/>
      </c>
      <c r="I2393" s="16"/>
      <c r="J2393" s="16"/>
      <c r="K2393" s="16"/>
      <c r="L2393" s="38"/>
      <c r="M2393" s="16"/>
      <c r="N2393" s="16"/>
      <c r="O2393" s="16"/>
      <c r="P2393" s="15"/>
      <c r="Q2393" s="15"/>
      <c r="R2393" s="16"/>
      <c r="S2393" s="16"/>
      <c r="T2393" s="16"/>
      <c r="U2393" s="16"/>
      <c r="V2393" s="37" t="str">
        <f>IFERROR(__xludf.DUMMYFUNCTION("if(not(iserror(index(split(C2393, "" ""),2))), index(split(C2393, "" ""),1),"""")"),"")</f>
        <v/>
      </c>
      <c r="W2393" s="315" t="str">
        <f>IFERROR(__xludf.DUMMYFUNCTION("if(V2393="""",C2393,if(not(iserror(index(split(C2393, "" ""),3))), index(split(C2393, "" ""),3),index(split(C2393, "" ""),2)))"),"")</f>
        <v/>
      </c>
      <c r="X2393" s="38" t="b">
        <f t="shared" si="2"/>
        <v>0</v>
      </c>
      <c r="Y2393" s="38"/>
      <c r="Z2393" s="40"/>
      <c r="AA2393" s="40"/>
      <c r="AB2393" s="38"/>
      <c r="AC2393" s="38"/>
      <c r="AD2393" s="38"/>
      <c r="AE2393" s="38"/>
      <c r="AF2393" s="38"/>
      <c r="AG2393" s="38"/>
      <c r="AH2393" s="38"/>
      <c r="AI2393" s="38"/>
      <c r="AJ2393" s="38"/>
      <c r="AK2393" s="38"/>
      <c r="AL2393" s="38"/>
      <c r="AM2393" s="38"/>
      <c r="AN2393" s="38"/>
      <c r="AO2393" s="38"/>
      <c r="AP2393" s="38"/>
      <c r="AQ2393" s="38"/>
      <c r="AR2393" s="38"/>
      <c r="AS2393" s="38"/>
      <c r="AT2393" s="38"/>
      <c r="AU2393" s="38"/>
      <c r="AV2393" s="38"/>
      <c r="AW2393" s="38"/>
      <c r="AX2393" s="38"/>
      <c r="AY2393" s="38"/>
      <c r="AZ2393" s="38"/>
      <c r="BA2393" s="38"/>
      <c r="BB2393" s="38"/>
      <c r="BC2393" s="38"/>
      <c r="BD2393" s="38"/>
      <c r="BE2393" s="38"/>
      <c r="BF2393" s="38"/>
      <c r="BG2393" s="38"/>
    </row>
    <row r="2394">
      <c r="A2394" s="16"/>
      <c r="B2394" s="16"/>
      <c r="C2394" s="146"/>
      <c r="D2394" s="146"/>
      <c r="E2394" s="16"/>
      <c r="F2394" s="91"/>
      <c r="G2394" s="16"/>
      <c r="H2394" s="320" t="str">
        <f t="shared" si="1"/>
        <v/>
      </c>
      <c r="I2394" s="16"/>
      <c r="J2394" s="16"/>
      <c r="K2394" s="16"/>
      <c r="L2394" s="38"/>
      <c r="M2394" s="16"/>
      <c r="N2394" s="16"/>
      <c r="O2394" s="16"/>
      <c r="P2394" s="15"/>
      <c r="Q2394" s="15"/>
      <c r="R2394" s="16"/>
      <c r="S2394" s="16"/>
      <c r="T2394" s="16"/>
      <c r="U2394" s="16"/>
      <c r="V2394" s="37" t="str">
        <f>IFERROR(__xludf.DUMMYFUNCTION("if(not(iserror(index(split(C2394, "" ""),2))), index(split(C2394, "" ""),1),"""")"),"")</f>
        <v/>
      </c>
      <c r="W2394" s="315" t="str">
        <f>IFERROR(__xludf.DUMMYFUNCTION("if(V2394="""",C2394,if(not(iserror(index(split(C2394, "" ""),3))), index(split(C2394, "" ""),3),index(split(C2394, "" ""),2)))"),"")</f>
        <v/>
      </c>
      <c r="X2394" s="38" t="b">
        <f t="shared" si="2"/>
        <v>0</v>
      </c>
      <c r="Y2394" s="38"/>
      <c r="Z2394" s="40"/>
      <c r="AA2394" s="40"/>
      <c r="AB2394" s="38"/>
      <c r="AC2394" s="38"/>
      <c r="AD2394" s="38"/>
      <c r="AE2394" s="38"/>
      <c r="AF2394" s="38"/>
      <c r="AG2394" s="38"/>
      <c r="AH2394" s="38"/>
      <c r="AI2394" s="38"/>
      <c r="AJ2394" s="38"/>
      <c r="AK2394" s="38"/>
      <c r="AL2394" s="38"/>
      <c r="AM2394" s="38"/>
      <c r="AN2394" s="38"/>
      <c r="AO2394" s="38"/>
      <c r="AP2394" s="38"/>
      <c r="AQ2394" s="38"/>
      <c r="AR2394" s="38"/>
      <c r="AS2394" s="38"/>
      <c r="AT2394" s="38"/>
      <c r="AU2394" s="38"/>
      <c r="AV2394" s="38"/>
      <c r="AW2394" s="38"/>
      <c r="AX2394" s="38"/>
      <c r="AY2394" s="38"/>
      <c r="AZ2394" s="38"/>
      <c r="BA2394" s="38"/>
      <c r="BB2394" s="38"/>
      <c r="BC2394" s="38"/>
      <c r="BD2394" s="38"/>
      <c r="BE2394" s="38"/>
      <c r="BF2394" s="38"/>
      <c r="BG2394" s="38"/>
    </row>
    <row r="2395">
      <c r="A2395" s="16"/>
      <c r="B2395" s="16"/>
      <c r="C2395" s="146"/>
      <c r="D2395" s="146"/>
      <c r="E2395" s="16"/>
      <c r="F2395" s="91"/>
      <c r="G2395" s="16"/>
      <c r="H2395" s="320" t="str">
        <f t="shared" si="1"/>
        <v/>
      </c>
      <c r="I2395" s="16"/>
      <c r="J2395" s="16"/>
      <c r="K2395" s="16"/>
      <c r="L2395" s="38"/>
      <c r="M2395" s="16"/>
      <c r="N2395" s="16"/>
      <c r="O2395" s="16"/>
      <c r="P2395" s="15"/>
      <c r="Q2395" s="15"/>
      <c r="R2395" s="16"/>
      <c r="S2395" s="16"/>
      <c r="T2395" s="16"/>
      <c r="U2395" s="16"/>
      <c r="V2395" s="37" t="str">
        <f>IFERROR(__xludf.DUMMYFUNCTION("if(not(iserror(index(split(C2395, "" ""),2))), index(split(C2395, "" ""),1),"""")"),"")</f>
        <v/>
      </c>
      <c r="W2395" s="315" t="str">
        <f>IFERROR(__xludf.DUMMYFUNCTION("if(V2395="""",C2395,if(not(iserror(index(split(C2395, "" ""),3))), index(split(C2395, "" ""),3),index(split(C2395, "" ""),2)))"),"")</f>
        <v/>
      </c>
      <c r="X2395" s="38" t="b">
        <f t="shared" si="2"/>
        <v>0</v>
      </c>
      <c r="Y2395" s="38"/>
      <c r="Z2395" s="40"/>
      <c r="AA2395" s="40"/>
      <c r="AB2395" s="38"/>
      <c r="AC2395" s="38"/>
      <c r="AD2395" s="38"/>
      <c r="AE2395" s="38"/>
      <c r="AF2395" s="38"/>
      <c r="AG2395" s="38"/>
      <c r="AH2395" s="38"/>
      <c r="AI2395" s="38"/>
      <c r="AJ2395" s="38"/>
      <c r="AK2395" s="38"/>
      <c r="AL2395" s="38"/>
      <c r="AM2395" s="38"/>
      <c r="AN2395" s="38"/>
      <c r="AO2395" s="38"/>
      <c r="AP2395" s="38"/>
      <c r="AQ2395" s="38"/>
      <c r="AR2395" s="38"/>
      <c r="AS2395" s="38"/>
      <c r="AT2395" s="38"/>
      <c r="AU2395" s="38"/>
      <c r="AV2395" s="38"/>
      <c r="AW2395" s="38"/>
      <c r="AX2395" s="38"/>
      <c r="AY2395" s="38"/>
      <c r="AZ2395" s="38"/>
      <c r="BA2395" s="38"/>
      <c r="BB2395" s="38"/>
      <c r="BC2395" s="38"/>
      <c r="BD2395" s="38"/>
      <c r="BE2395" s="38"/>
      <c r="BF2395" s="38"/>
      <c r="BG2395" s="38"/>
    </row>
    <row r="2396">
      <c r="A2396" s="16"/>
      <c r="B2396" s="16"/>
      <c r="C2396" s="146"/>
      <c r="D2396" s="146"/>
      <c r="E2396" s="16"/>
      <c r="F2396" s="91"/>
      <c r="G2396" s="16"/>
      <c r="H2396" s="320" t="str">
        <f t="shared" si="1"/>
        <v/>
      </c>
      <c r="I2396" s="16"/>
      <c r="J2396" s="16"/>
      <c r="K2396" s="16"/>
      <c r="L2396" s="38"/>
      <c r="M2396" s="16"/>
      <c r="N2396" s="16"/>
      <c r="O2396" s="16"/>
      <c r="P2396" s="15"/>
      <c r="Q2396" s="15"/>
      <c r="R2396" s="16"/>
      <c r="S2396" s="16"/>
      <c r="T2396" s="16"/>
      <c r="U2396" s="16"/>
      <c r="V2396" s="37" t="str">
        <f>IFERROR(__xludf.DUMMYFUNCTION("if(not(iserror(index(split(C2396, "" ""),2))), index(split(C2396, "" ""),1),"""")"),"")</f>
        <v/>
      </c>
      <c r="W2396" s="315" t="str">
        <f>IFERROR(__xludf.DUMMYFUNCTION("if(V2396="""",C2396,if(not(iserror(index(split(C2396, "" ""),3))), index(split(C2396, "" ""),3),index(split(C2396, "" ""),2)))"),"")</f>
        <v/>
      </c>
      <c r="X2396" s="38" t="b">
        <f t="shared" si="2"/>
        <v>0</v>
      </c>
      <c r="Y2396" s="38"/>
      <c r="Z2396" s="40"/>
      <c r="AA2396" s="40"/>
      <c r="AB2396" s="38"/>
      <c r="AC2396" s="38"/>
      <c r="AD2396" s="38"/>
      <c r="AE2396" s="38"/>
      <c r="AF2396" s="38"/>
      <c r="AG2396" s="38"/>
      <c r="AH2396" s="38"/>
      <c r="AI2396" s="38"/>
      <c r="AJ2396" s="38"/>
      <c r="AK2396" s="38"/>
      <c r="AL2396" s="38"/>
      <c r="AM2396" s="38"/>
      <c r="AN2396" s="38"/>
      <c r="AO2396" s="38"/>
      <c r="AP2396" s="38"/>
      <c r="AQ2396" s="38"/>
      <c r="AR2396" s="38"/>
      <c r="AS2396" s="38"/>
      <c r="AT2396" s="38"/>
      <c r="AU2396" s="38"/>
      <c r="AV2396" s="38"/>
      <c r="AW2396" s="38"/>
      <c r="AX2396" s="38"/>
      <c r="AY2396" s="38"/>
      <c r="AZ2396" s="38"/>
      <c r="BA2396" s="38"/>
      <c r="BB2396" s="38"/>
      <c r="BC2396" s="38"/>
      <c r="BD2396" s="38"/>
      <c r="BE2396" s="38"/>
      <c r="BF2396" s="38"/>
      <c r="BG2396" s="38"/>
    </row>
    <row r="2397">
      <c r="A2397" s="16"/>
      <c r="B2397" s="16"/>
      <c r="C2397" s="146"/>
      <c r="D2397" s="146"/>
      <c r="E2397" s="16"/>
      <c r="F2397" s="91"/>
      <c r="G2397" s="16"/>
      <c r="H2397" s="320" t="str">
        <f t="shared" si="1"/>
        <v/>
      </c>
      <c r="I2397" s="16"/>
      <c r="J2397" s="16"/>
      <c r="K2397" s="16"/>
      <c r="L2397" s="38"/>
      <c r="M2397" s="16"/>
      <c r="N2397" s="16"/>
      <c r="O2397" s="16"/>
      <c r="P2397" s="15"/>
      <c r="Q2397" s="15"/>
      <c r="R2397" s="16"/>
      <c r="S2397" s="16"/>
      <c r="T2397" s="16"/>
      <c r="U2397" s="16"/>
      <c r="V2397" s="37" t="str">
        <f>IFERROR(__xludf.DUMMYFUNCTION("if(not(iserror(index(split(C2397, "" ""),2))), index(split(C2397, "" ""),1),"""")"),"")</f>
        <v/>
      </c>
      <c r="W2397" s="315" t="str">
        <f>IFERROR(__xludf.DUMMYFUNCTION("if(V2397="""",C2397,if(not(iserror(index(split(C2397, "" ""),3))), index(split(C2397, "" ""),3),index(split(C2397, "" ""),2)))"),"")</f>
        <v/>
      </c>
      <c r="X2397" s="38" t="b">
        <f t="shared" si="2"/>
        <v>0</v>
      </c>
      <c r="Y2397" s="38"/>
      <c r="Z2397" s="40"/>
      <c r="AA2397" s="40"/>
      <c r="AB2397" s="38"/>
      <c r="AC2397" s="38"/>
      <c r="AD2397" s="38"/>
      <c r="AE2397" s="38"/>
      <c r="AF2397" s="38"/>
      <c r="AG2397" s="38"/>
      <c r="AH2397" s="38"/>
      <c r="AI2397" s="38"/>
      <c r="AJ2397" s="38"/>
      <c r="AK2397" s="38"/>
      <c r="AL2397" s="38"/>
      <c r="AM2397" s="38"/>
      <c r="AN2397" s="38"/>
      <c r="AO2397" s="38"/>
      <c r="AP2397" s="38"/>
      <c r="AQ2397" s="38"/>
      <c r="AR2397" s="38"/>
      <c r="AS2397" s="38"/>
      <c r="AT2397" s="38"/>
      <c r="AU2397" s="38"/>
      <c r="AV2397" s="38"/>
      <c r="AW2397" s="38"/>
      <c r="AX2397" s="38"/>
      <c r="AY2397" s="38"/>
      <c r="AZ2397" s="38"/>
      <c r="BA2397" s="38"/>
      <c r="BB2397" s="38"/>
      <c r="BC2397" s="38"/>
      <c r="BD2397" s="38"/>
      <c r="BE2397" s="38"/>
      <c r="BF2397" s="38"/>
      <c r="BG2397" s="38"/>
    </row>
    <row r="2398">
      <c r="A2398" s="16"/>
      <c r="B2398" s="16"/>
      <c r="C2398" s="146"/>
      <c r="D2398" s="146"/>
      <c r="E2398" s="16"/>
      <c r="F2398" s="91"/>
      <c r="G2398" s="16"/>
      <c r="H2398" s="320" t="str">
        <f t="shared" si="1"/>
        <v/>
      </c>
      <c r="I2398" s="16"/>
      <c r="J2398" s="16"/>
      <c r="K2398" s="16"/>
      <c r="L2398" s="38"/>
      <c r="M2398" s="16"/>
      <c r="N2398" s="16"/>
      <c r="O2398" s="16"/>
      <c r="P2398" s="15"/>
      <c r="Q2398" s="15"/>
      <c r="R2398" s="16"/>
      <c r="S2398" s="16"/>
      <c r="T2398" s="16"/>
      <c r="U2398" s="16"/>
      <c r="V2398" s="37" t="str">
        <f>IFERROR(__xludf.DUMMYFUNCTION("if(not(iserror(index(split(C2398, "" ""),2))), index(split(C2398, "" ""),1),"""")"),"")</f>
        <v/>
      </c>
      <c r="W2398" s="315" t="str">
        <f>IFERROR(__xludf.DUMMYFUNCTION("if(V2398="""",C2398,if(not(iserror(index(split(C2398, "" ""),3))), index(split(C2398, "" ""),3),index(split(C2398, "" ""),2)))"),"")</f>
        <v/>
      </c>
      <c r="X2398" s="38" t="b">
        <f t="shared" si="2"/>
        <v>0</v>
      </c>
      <c r="Y2398" s="38"/>
      <c r="Z2398" s="40"/>
      <c r="AA2398" s="40"/>
      <c r="AB2398" s="38"/>
      <c r="AC2398" s="38"/>
      <c r="AD2398" s="38"/>
      <c r="AE2398" s="38"/>
      <c r="AF2398" s="38"/>
      <c r="AG2398" s="38"/>
      <c r="AH2398" s="38"/>
      <c r="AI2398" s="38"/>
      <c r="AJ2398" s="38"/>
      <c r="AK2398" s="38"/>
      <c r="AL2398" s="38"/>
      <c r="AM2398" s="38"/>
      <c r="AN2398" s="38"/>
      <c r="AO2398" s="38"/>
      <c r="AP2398" s="38"/>
      <c r="AQ2398" s="38"/>
      <c r="AR2398" s="38"/>
      <c r="AS2398" s="38"/>
      <c r="AT2398" s="38"/>
      <c r="AU2398" s="38"/>
      <c r="AV2398" s="38"/>
      <c r="AW2398" s="38"/>
      <c r="AX2398" s="38"/>
      <c r="AY2398" s="38"/>
      <c r="AZ2398" s="38"/>
      <c r="BA2398" s="38"/>
      <c r="BB2398" s="38"/>
      <c r="BC2398" s="38"/>
      <c r="BD2398" s="38"/>
      <c r="BE2398" s="38"/>
      <c r="BF2398" s="38"/>
      <c r="BG2398" s="38"/>
    </row>
    <row r="2399">
      <c r="A2399" s="16"/>
      <c r="B2399" s="16"/>
      <c r="C2399" s="146"/>
      <c r="D2399" s="146"/>
      <c r="E2399" s="16"/>
      <c r="F2399" s="91"/>
      <c r="G2399" s="16"/>
      <c r="H2399" s="320" t="str">
        <f t="shared" si="1"/>
        <v/>
      </c>
      <c r="I2399" s="16"/>
      <c r="J2399" s="16"/>
      <c r="K2399" s="16"/>
      <c r="L2399" s="38"/>
      <c r="M2399" s="16"/>
      <c r="N2399" s="16"/>
      <c r="O2399" s="16"/>
      <c r="P2399" s="15"/>
      <c r="Q2399" s="15"/>
      <c r="R2399" s="16"/>
      <c r="S2399" s="16"/>
      <c r="T2399" s="16"/>
      <c r="U2399" s="16"/>
      <c r="V2399" s="37" t="str">
        <f>IFERROR(__xludf.DUMMYFUNCTION("if(not(iserror(index(split(C2399, "" ""),2))), index(split(C2399, "" ""),1),"""")"),"")</f>
        <v/>
      </c>
      <c r="W2399" s="315" t="str">
        <f>IFERROR(__xludf.DUMMYFUNCTION("if(V2399="""",C2399,if(not(iserror(index(split(C2399, "" ""),3))), index(split(C2399, "" ""),3),index(split(C2399, "" ""),2)))"),"")</f>
        <v/>
      </c>
      <c r="X2399" s="38" t="b">
        <f t="shared" si="2"/>
        <v>0</v>
      </c>
      <c r="Y2399" s="38"/>
      <c r="Z2399" s="40"/>
      <c r="AA2399" s="40"/>
      <c r="AB2399" s="38"/>
      <c r="AC2399" s="38"/>
      <c r="AD2399" s="38"/>
      <c r="AE2399" s="38"/>
      <c r="AF2399" s="38"/>
      <c r="AG2399" s="38"/>
      <c r="AH2399" s="38"/>
      <c r="AI2399" s="38"/>
      <c r="AJ2399" s="38"/>
      <c r="AK2399" s="38"/>
      <c r="AL2399" s="38"/>
      <c r="AM2399" s="38"/>
      <c r="AN2399" s="38"/>
      <c r="AO2399" s="38"/>
      <c r="AP2399" s="38"/>
      <c r="AQ2399" s="38"/>
      <c r="AR2399" s="38"/>
      <c r="AS2399" s="38"/>
      <c r="AT2399" s="38"/>
      <c r="AU2399" s="38"/>
      <c r="AV2399" s="38"/>
      <c r="AW2399" s="38"/>
      <c r="AX2399" s="38"/>
      <c r="AY2399" s="38"/>
      <c r="AZ2399" s="38"/>
      <c r="BA2399" s="38"/>
      <c r="BB2399" s="38"/>
      <c r="BC2399" s="38"/>
      <c r="BD2399" s="38"/>
      <c r="BE2399" s="38"/>
      <c r="BF2399" s="38"/>
      <c r="BG2399" s="38"/>
    </row>
    <row r="2400">
      <c r="A2400" s="16"/>
      <c r="B2400" s="16"/>
      <c r="C2400" s="146"/>
      <c r="D2400" s="146"/>
      <c r="E2400" s="16"/>
      <c r="F2400" s="91"/>
      <c r="G2400" s="16"/>
      <c r="H2400" s="320" t="str">
        <f t="shared" si="1"/>
        <v/>
      </c>
      <c r="I2400" s="16"/>
      <c r="J2400" s="16"/>
      <c r="K2400" s="16"/>
      <c r="L2400" s="38"/>
      <c r="M2400" s="16"/>
      <c r="N2400" s="16"/>
      <c r="O2400" s="16"/>
      <c r="P2400" s="15"/>
      <c r="Q2400" s="15"/>
      <c r="R2400" s="16"/>
      <c r="S2400" s="16"/>
      <c r="T2400" s="16"/>
      <c r="U2400" s="16"/>
      <c r="V2400" s="37" t="str">
        <f>IFERROR(__xludf.DUMMYFUNCTION("if(not(iserror(index(split(C2400, "" ""),2))), index(split(C2400, "" ""),1),"""")"),"")</f>
        <v/>
      </c>
      <c r="W2400" s="315" t="str">
        <f>IFERROR(__xludf.DUMMYFUNCTION("if(V2400="""",C2400,if(not(iserror(index(split(C2400, "" ""),3))), index(split(C2400, "" ""),3),index(split(C2400, "" ""),2)))"),"")</f>
        <v/>
      </c>
      <c r="X2400" s="38" t="b">
        <f t="shared" si="2"/>
        <v>0</v>
      </c>
      <c r="Y2400" s="38"/>
      <c r="Z2400" s="40"/>
      <c r="AA2400" s="40"/>
      <c r="AB2400" s="38"/>
      <c r="AC2400" s="38"/>
      <c r="AD2400" s="38"/>
      <c r="AE2400" s="38"/>
      <c r="AF2400" s="38"/>
      <c r="AG2400" s="38"/>
      <c r="AH2400" s="38"/>
      <c r="AI2400" s="38"/>
      <c r="AJ2400" s="38"/>
      <c r="AK2400" s="38"/>
      <c r="AL2400" s="38"/>
      <c r="AM2400" s="38"/>
      <c r="AN2400" s="38"/>
      <c r="AO2400" s="38"/>
      <c r="AP2400" s="38"/>
      <c r="AQ2400" s="38"/>
      <c r="AR2400" s="38"/>
      <c r="AS2400" s="38"/>
      <c r="AT2400" s="38"/>
      <c r="AU2400" s="38"/>
      <c r="AV2400" s="38"/>
      <c r="AW2400" s="38"/>
      <c r="AX2400" s="38"/>
      <c r="AY2400" s="38"/>
      <c r="AZ2400" s="38"/>
      <c r="BA2400" s="38"/>
      <c r="BB2400" s="38"/>
      <c r="BC2400" s="38"/>
      <c r="BD2400" s="38"/>
      <c r="BE2400" s="38"/>
      <c r="BF2400" s="38"/>
      <c r="BG2400" s="38"/>
    </row>
    <row r="2401">
      <c r="A2401" s="16"/>
      <c r="B2401" s="16"/>
      <c r="C2401" s="146"/>
      <c r="D2401" s="146"/>
      <c r="E2401" s="16"/>
      <c r="F2401" s="91"/>
      <c r="G2401" s="16"/>
      <c r="H2401" s="320" t="str">
        <f t="shared" si="1"/>
        <v/>
      </c>
      <c r="I2401" s="16"/>
      <c r="J2401" s="16"/>
      <c r="K2401" s="16"/>
      <c r="L2401" s="38"/>
      <c r="M2401" s="16"/>
      <c r="N2401" s="16"/>
      <c r="O2401" s="16"/>
      <c r="P2401" s="15"/>
      <c r="Q2401" s="15"/>
      <c r="R2401" s="16"/>
      <c r="S2401" s="16"/>
      <c r="T2401" s="16"/>
      <c r="U2401" s="16"/>
      <c r="V2401" s="37" t="str">
        <f>IFERROR(__xludf.DUMMYFUNCTION("if(not(iserror(index(split(C2401, "" ""),2))), index(split(C2401, "" ""),1),"""")"),"")</f>
        <v/>
      </c>
      <c r="W2401" s="315" t="str">
        <f>IFERROR(__xludf.DUMMYFUNCTION("if(V2401="""",C2401,if(not(iserror(index(split(C2401, "" ""),3))), index(split(C2401, "" ""),3),index(split(C2401, "" ""),2)))"),"")</f>
        <v/>
      </c>
      <c r="X2401" s="38" t="b">
        <f t="shared" si="2"/>
        <v>0</v>
      </c>
      <c r="Y2401" s="38"/>
      <c r="Z2401" s="40"/>
      <c r="AA2401" s="40"/>
      <c r="AB2401" s="38"/>
      <c r="AC2401" s="38"/>
      <c r="AD2401" s="38"/>
      <c r="AE2401" s="38"/>
      <c r="AF2401" s="38"/>
      <c r="AG2401" s="38"/>
      <c r="AH2401" s="38"/>
      <c r="AI2401" s="38"/>
      <c r="AJ2401" s="38"/>
      <c r="AK2401" s="38"/>
      <c r="AL2401" s="38"/>
      <c r="AM2401" s="38"/>
      <c r="AN2401" s="38"/>
      <c r="AO2401" s="38"/>
      <c r="AP2401" s="38"/>
      <c r="AQ2401" s="38"/>
      <c r="AR2401" s="38"/>
      <c r="AS2401" s="38"/>
      <c r="AT2401" s="38"/>
      <c r="AU2401" s="38"/>
      <c r="AV2401" s="38"/>
      <c r="AW2401" s="38"/>
      <c r="AX2401" s="38"/>
      <c r="AY2401" s="38"/>
      <c r="AZ2401" s="38"/>
      <c r="BA2401" s="38"/>
      <c r="BB2401" s="38"/>
      <c r="BC2401" s="38"/>
      <c r="BD2401" s="38"/>
      <c r="BE2401" s="38"/>
      <c r="BF2401" s="38"/>
      <c r="BG2401" s="38"/>
    </row>
    <row r="2402">
      <c r="A2402" s="16"/>
      <c r="B2402" s="16"/>
      <c r="C2402" s="146"/>
      <c r="D2402" s="146"/>
      <c r="E2402" s="16"/>
      <c r="F2402" s="91"/>
      <c r="G2402" s="16"/>
      <c r="H2402" s="320" t="str">
        <f t="shared" si="1"/>
        <v/>
      </c>
      <c r="I2402" s="16"/>
      <c r="J2402" s="16"/>
      <c r="K2402" s="16"/>
      <c r="L2402" s="38"/>
      <c r="M2402" s="16"/>
      <c r="N2402" s="16"/>
      <c r="O2402" s="16"/>
      <c r="P2402" s="15"/>
      <c r="Q2402" s="15"/>
      <c r="R2402" s="16"/>
      <c r="S2402" s="16"/>
      <c r="T2402" s="16"/>
      <c r="U2402" s="16"/>
      <c r="V2402" s="37" t="str">
        <f>IFERROR(__xludf.DUMMYFUNCTION("if(not(iserror(index(split(C2402, "" ""),2))), index(split(C2402, "" ""),1),"""")"),"")</f>
        <v/>
      </c>
      <c r="W2402" s="315" t="str">
        <f>IFERROR(__xludf.DUMMYFUNCTION("if(V2402="""",C2402,if(not(iserror(index(split(C2402, "" ""),3))), index(split(C2402, "" ""),3),index(split(C2402, "" ""),2)))"),"")</f>
        <v/>
      </c>
      <c r="X2402" s="38" t="b">
        <f t="shared" si="2"/>
        <v>0</v>
      </c>
      <c r="Y2402" s="38"/>
      <c r="Z2402" s="40"/>
      <c r="AA2402" s="40"/>
      <c r="AB2402" s="38"/>
      <c r="AC2402" s="38"/>
      <c r="AD2402" s="38"/>
      <c r="AE2402" s="38"/>
      <c r="AF2402" s="38"/>
      <c r="AG2402" s="38"/>
      <c r="AH2402" s="38"/>
      <c r="AI2402" s="38"/>
      <c r="AJ2402" s="38"/>
      <c r="AK2402" s="38"/>
      <c r="AL2402" s="38"/>
      <c r="AM2402" s="38"/>
      <c r="AN2402" s="38"/>
      <c r="AO2402" s="38"/>
      <c r="AP2402" s="38"/>
      <c r="AQ2402" s="38"/>
      <c r="AR2402" s="38"/>
      <c r="AS2402" s="38"/>
      <c r="AT2402" s="38"/>
      <c r="AU2402" s="38"/>
      <c r="AV2402" s="38"/>
      <c r="AW2402" s="38"/>
      <c r="AX2402" s="38"/>
      <c r="AY2402" s="38"/>
      <c r="AZ2402" s="38"/>
      <c r="BA2402" s="38"/>
      <c r="BB2402" s="38"/>
      <c r="BC2402" s="38"/>
      <c r="BD2402" s="38"/>
      <c r="BE2402" s="38"/>
      <c r="BF2402" s="38"/>
      <c r="BG2402" s="38"/>
    </row>
    <row r="2403">
      <c r="A2403" s="16"/>
      <c r="B2403" s="16"/>
      <c r="C2403" s="146"/>
      <c r="D2403" s="146"/>
      <c r="E2403" s="16"/>
      <c r="F2403" s="91"/>
      <c r="G2403" s="16"/>
      <c r="H2403" s="320" t="str">
        <f t="shared" si="1"/>
        <v/>
      </c>
      <c r="I2403" s="16"/>
      <c r="J2403" s="16"/>
      <c r="K2403" s="16"/>
      <c r="L2403" s="38"/>
      <c r="M2403" s="16"/>
      <c r="N2403" s="16"/>
      <c r="O2403" s="16"/>
      <c r="P2403" s="15"/>
      <c r="Q2403" s="15"/>
      <c r="R2403" s="16"/>
      <c r="S2403" s="16"/>
      <c r="T2403" s="16"/>
      <c r="U2403" s="16"/>
      <c r="V2403" s="37" t="str">
        <f>IFERROR(__xludf.DUMMYFUNCTION("if(not(iserror(index(split(C2403, "" ""),2))), index(split(C2403, "" ""),1),"""")"),"")</f>
        <v/>
      </c>
      <c r="W2403" s="315" t="str">
        <f>IFERROR(__xludf.DUMMYFUNCTION("if(V2403="""",C2403,if(not(iserror(index(split(C2403, "" ""),3))), index(split(C2403, "" ""),3),index(split(C2403, "" ""),2)))"),"")</f>
        <v/>
      </c>
      <c r="X2403" s="38" t="b">
        <f t="shared" si="2"/>
        <v>0</v>
      </c>
      <c r="Y2403" s="38"/>
      <c r="Z2403" s="40"/>
      <c r="AA2403" s="40"/>
      <c r="AB2403" s="38"/>
      <c r="AC2403" s="38"/>
      <c r="AD2403" s="38"/>
      <c r="AE2403" s="38"/>
      <c r="AF2403" s="38"/>
      <c r="AG2403" s="38"/>
      <c r="AH2403" s="38"/>
      <c r="AI2403" s="38"/>
      <c r="AJ2403" s="38"/>
      <c r="AK2403" s="38"/>
      <c r="AL2403" s="38"/>
      <c r="AM2403" s="38"/>
      <c r="AN2403" s="38"/>
      <c r="AO2403" s="38"/>
      <c r="AP2403" s="38"/>
      <c r="AQ2403" s="38"/>
      <c r="AR2403" s="38"/>
      <c r="AS2403" s="38"/>
      <c r="AT2403" s="38"/>
      <c r="AU2403" s="38"/>
      <c r="AV2403" s="38"/>
      <c r="AW2403" s="38"/>
      <c r="AX2403" s="38"/>
      <c r="AY2403" s="38"/>
      <c r="AZ2403" s="38"/>
      <c r="BA2403" s="38"/>
      <c r="BB2403" s="38"/>
      <c r="BC2403" s="38"/>
      <c r="BD2403" s="38"/>
      <c r="BE2403" s="38"/>
      <c r="BF2403" s="38"/>
      <c r="BG2403" s="38"/>
    </row>
    <row r="2404">
      <c r="A2404" s="16"/>
      <c r="B2404" s="16"/>
      <c r="C2404" s="146"/>
      <c r="D2404" s="146"/>
      <c r="E2404" s="16"/>
      <c r="F2404" s="91"/>
      <c r="G2404" s="16"/>
      <c r="H2404" s="320" t="str">
        <f t="shared" si="1"/>
        <v/>
      </c>
      <c r="I2404" s="16"/>
      <c r="J2404" s="16"/>
      <c r="K2404" s="16"/>
      <c r="L2404" s="38"/>
      <c r="M2404" s="16"/>
      <c r="N2404" s="16"/>
      <c r="O2404" s="16"/>
      <c r="P2404" s="15"/>
      <c r="Q2404" s="15"/>
      <c r="R2404" s="16"/>
      <c r="S2404" s="16"/>
      <c r="T2404" s="16"/>
      <c r="U2404" s="16"/>
      <c r="V2404" s="37" t="str">
        <f>IFERROR(__xludf.DUMMYFUNCTION("if(not(iserror(index(split(C2404, "" ""),2))), index(split(C2404, "" ""),1),"""")"),"")</f>
        <v/>
      </c>
      <c r="W2404" s="315" t="str">
        <f>IFERROR(__xludf.DUMMYFUNCTION("if(V2404="""",C2404,if(not(iserror(index(split(C2404, "" ""),3))), index(split(C2404, "" ""),3),index(split(C2404, "" ""),2)))"),"")</f>
        <v/>
      </c>
      <c r="X2404" s="38" t="b">
        <f t="shared" si="2"/>
        <v>0</v>
      </c>
      <c r="Y2404" s="38"/>
      <c r="Z2404" s="40"/>
      <c r="AA2404" s="40"/>
      <c r="AB2404" s="38"/>
      <c r="AC2404" s="38"/>
      <c r="AD2404" s="38"/>
      <c r="AE2404" s="38"/>
      <c r="AF2404" s="38"/>
      <c r="AG2404" s="38"/>
      <c r="AH2404" s="38"/>
      <c r="AI2404" s="38"/>
      <c r="AJ2404" s="38"/>
      <c r="AK2404" s="38"/>
      <c r="AL2404" s="38"/>
      <c r="AM2404" s="38"/>
      <c r="AN2404" s="38"/>
      <c r="AO2404" s="38"/>
      <c r="AP2404" s="38"/>
      <c r="AQ2404" s="38"/>
      <c r="AR2404" s="38"/>
      <c r="AS2404" s="38"/>
      <c r="AT2404" s="38"/>
      <c r="AU2404" s="38"/>
      <c r="AV2404" s="38"/>
      <c r="AW2404" s="38"/>
      <c r="AX2404" s="38"/>
      <c r="AY2404" s="38"/>
      <c r="AZ2404" s="38"/>
      <c r="BA2404" s="38"/>
      <c r="BB2404" s="38"/>
      <c r="BC2404" s="38"/>
      <c r="BD2404" s="38"/>
      <c r="BE2404" s="38"/>
      <c r="BF2404" s="38"/>
      <c r="BG2404" s="38"/>
    </row>
    <row r="2405">
      <c r="A2405" s="16"/>
      <c r="B2405" s="16"/>
      <c r="C2405" s="146"/>
      <c r="D2405" s="146"/>
      <c r="E2405" s="16"/>
      <c r="F2405" s="91"/>
      <c r="G2405" s="16"/>
      <c r="H2405" s="320" t="str">
        <f t="shared" si="1"/>
        <v/>
      </c>
      <c r="I2405" s="16"/>
      <c r="J2405" s="16"/>
      <c r="K2405" s="16"/>
      <c r="L2405" s="38"/>
      <c r="M2405" s="16"/>
      <c r="N2405" s="16"/>
      <c r="O2405" s="16"/>
      <c r="P2405" s="15"/>
      <c r="Q2405" s="15"/>
      <c r="R2405" s="16"/>
      <c r="S2405" s="16"/>
      <c r="T2405" s="16"/>
      <c r="U2405" s="16"/>
      <c r="V2405" s="37" t="str">
        <f>IFERROR(__xludf.DUMMYFUNCTION("if(not(iserror(index(split(C2405, "" ""),2))), index(split(C2405, "" ""),1),"""")"),"")</f>
        <v/>
      </c>
      <c r="W2405" s="315" t="str">
        <f>IFERROR(__xludf.DUMMYFUNCTION("if(V2405="""",C2405,if(not(iserror(index(split(C2405, "" ""),3))), index(split(C2405, "" ""),3),index(split(C2405, "" ""),2)))"),"")</f>
        <v/>
      </c>
      <c r="X2405" s="38" t="b">
        <f t="shared" si="2"/>
        <v>0</v>
      </c>
      <c r="Y2405" s="38"/>
      <c r="Z2405" s="40"/>
      <c r="AA2405" s="40"/>
      <c r="AB2405" s="38"/>
      <c r="AC2405" s="38"/>
      <c r="AD2405" s="38"/>
      <c r="AE2405" s="38"/>
      <c r="AF2405" s="38"/>
      <c r="AG2405" s="38"/>
      <c r="AH2405" s="38"/>
      <c r="AI2405" s="38"/>
      <c r="AJ2405" s="38"/>
      <c r="AK2405" s="38"/>
      <c r="AL2405" s="38"/>
      <c r="AM2405" s="38"/>
      <c r="AN2405" s="38"/>
      <c r="AO2405" s="38"/>
      <c r="AP2405" s="38"/>
      <c r="AQ2405" s="38"/>
      <c r="AR2405" s="38"/>
      <c r="AS2405" s="38"/>
      <c r="AT2405" s="38"/>
      <c r="AU2405" s="38"/>
      <c r="AV2405" s="38"/>
      <c r="AW2405" s="38"/>
      <c r="AX2405" s="38"/>
      <c r="AY2405" s="38"/>
      <c r="AZ2405" s="38"/>
      <c r="BA2405" s="38"/>
      <c r="BB2405" s="38"/>
      <c r="BC2405" s="38"/>
      <c r="BD2405" s="38"/>
      <c r="BE2405" s="38"/>
      <c r="BF2405" s="38"/>
      <c r="BG2405" s="38"/>
    </row>
    <row r="2406">
      <c r="A2406" s="16"/>
      <c r="B2406" s="16"/>
      <c r="C2406" s="146"/>
      <c r="D2406" s="146"/>
      <c r="E2406" s="16"/>
      <c r="F2406" s="91"/>
      <c r="G2406" s="16"/>
      <c r="H2406" s="320" t="str">
        <f t="shared" si="1"/>
        <v/>
      </c>
      <c r="I2406" s="16"/>
      <c r="J2406" s="16"/>
      <c r="K2406" s="16"/>
      <c r="L2406" s="38"/>
      <c r="M2406" s="16"/>
      <c r="N2406" s="16"/>
      <c r="O2406" s="16"/>
      <c r="P2406" s="15"/>
      <c r="Q2406" s="15"/>
      <c r="R2406" s="16"/>
      <c r="S2406" s="16"/>
      <c r="T2406" s="16"/>
      <c r="U2406" s="16"/>
      <c r="V2406" s="37" t="str">
        <f>IFERROR(__xludf.DUMMYFUNCTION("if(not(iserror(index(split(C2406, "" ""),2))), index(split(C2406, "" ""),1),"""")"),"")</f>
        <v/>
      </c>
      <c r="W2406" s="315" t="str">
        <f>IFERROR(__xludf.DUMMYFUNCTION("if(V2406="""",C2406,if(not(iserror(index(split(C2406, "" ""),3))), index(split(C2406, "" ""),3),index(split(C2406, "" ""),2)))"),"")</f>
        <v/>
      </c>
      <c r="X2406" s="38" t="b">
        <f t="shared" si="2"/>
        <v>0</v>
      </c>
      <c r="Y2406" s="38"/>
      <c r="Z2406" s="40"/>
      <c r="AA2406" s="40"/>
      <c r="AB2406" s="38"/>
      <c r="AC2406" s="38"/>
      <c r="AD2406" s="38"/>
      <c r="AE2406" s="38"/>
      <c r="AF2406" s="38"/>
      <c r="AG2406" s="38"/>
      <c r="AH2406" s="38"/>
      <c r="AI2406" s="38"/>
      <c r="AJ2406" s="38"/>
      <c r="AK2406" s="38"/>
      <c r="AL2406" s="38"/>
      <c r="AM2406" s="38"/>
      <c r="AN2406" s="38"/>
      <c r="AO2406" s="38"/>
      <c r="AP2406" s="38"/>
      <c r="AQ2406" s="38"/>
      <c r="AR2406" s="38"/>
      <c r="AS2406" s="38"/>
      <c r="AT2406" s="38"/>
      <c r="AU2406" s="38"/>
      <c r="AV2406" s="38"/>
      <c r="AW2406" s="38"/>
      <c r="AX2406" s="38"/>
      <c r="AY2406" s="38"/>
      <c r="AZ2406" s="38"/>
      <c r="BA2406" s="38"/>
      <c r="BB2406" s="38"/>
      <c r="BC2406" s="38"/>
      <c r="BD2406" s="38"/>
      <c r="BE2406" s="38"/>
      <c r="BF2406" s="38"/>
      <c r="BG2406" s="38"/>
    </row>
    <row r="2407">
      <c r="A2407" s="16"/>
      <c r="B2407" s="16"/>
      <c r="C2407" s="146"/>
      <c r="D2407" s="146"/>
      <c r="E2407" s="16"/>
      <c r="F2407" s="91"/>
      <c r="G2407" s="16"/>
      <c r="H2407" s="320" t="str">
        <f t="shared" si="1"/>
        <v/>
      </c>
      <c r="I2407" s="16"/>
      <c r="J2407" s="16"/>
      <c r="K2407" s="16"/>
      <c r="L2407" s="38"/>
      <c r="M2407" s="16"/>
      <c r="N2407" s="16"/>
      <c r="O2407" s="16"/>
      <c r="P2407" s="15"/>
      <c r="Q2407" s="15"/>
      <c r="R2407" s="16"/>
      <c r="S2407" s="16"/>
      <c r="T2407" s="16"/>
      <c r="U2407" s="16"/>
      <c r="V2407" s="37" t="str">
        <f>IFERROR(__xludf.DUMMYFUNCTION("if(not(iserror(index(split(C2407, "" ""),2))), index(split(C2407, "" ""),1),"""")"),"")</f>
        <v/>
      </c>
      <c r="W2407" s="315" t="str">
        <f>IFERROR(__xludf.DUMMYFUNCTION("if(V2407="""",C2407,if(not(iserror(index(split(C2407, "" ""),3))), index(split(C2407, "" ""),3),index(split(C2407, "" ""),2)))"),"")</f>
        <v/>
      </c>
      <c r="X2407" s="38" t="b">
        <f t="shared" si="2"/>
        <v>0</v>
      </c>
      <c r="Y2407" s="38"/>
      <c r="Z2407" s="40"/>
      <c r="AA2407" s="40"/>
      <c r="AB2407" s="38"/>
      <c r="AC2407" s="38"/>
      <c r="AD2407" s="38"/>
      <c r="AE2407" s="38"/>
      <c r="AF2407" s="38"/>
      <c r="AG2407" s="38"/>
      <c r="AH2407" s="38"/>
      <c r="AI2407" s="38"/>
      <c r="AJ2407" s="38"/>
      <c r="AK2407" s="38"/>
      <c r="AL2407" s="38"/>
      <c r="AM2407" s="38"/>
      <c r="AN2407" s="38"/>
      <c r="AO2407" s="38"/>
      <c r="AP2407" s="38"/>
      <c r="AQ2407" s="38"/>
      <c r="AR2407" s="38"/>
      <c r="AS2407" s="38"/>
      <c r="AT2407" s="38"/>
      <c r="AU2407" s="38"/>
      <c r="AV2407" s="38"/>
      <c r="AW2407" s="38"/>
      <c r="AX2407" s="38"/>
      <c r="AY2407" s="38"/>
      <c r="AZ2407" s="38"/>
      <c r="BA2407" s="38"/>
      <c r="BB2407" s="38"/>
      <c r="BC2407" s="38"/>
      <c r="BD2407" s="38"/>
      <c r="BE2407" s="38"/>
      <c r="BF2407" s="38"/>
      <c r="BG2407" s="38"/>
    </row>
    <row r="2408">
      <c r="A2408" s="16"/>
      <c r="B2408" s="16"/>
      <c r="C2408" s="146"/>
      <c r="D2408" s="146"/>
      <c r="E2408" s="16"/>
      <c r="F2408" s="91"/>
      <c r="G2408" s="16"/>
      <c r="H2408" s="320" t="str">
        <f t="shared" si="1"/>
        <v/>
      </c>
      <c r="I2408" s="16"/>
      <c r="J2408" s="16"/>
      <c r="K2408" s="16"/>
      <c r="L2408" s="38"/>
      <c r="M2408" s="16"/>
      <c r="N2408" s="16"/>
      <c r="O2408" s="16"/>
      <c r="P2408" s="15"/>
      <c r="Q2408" s="15"/>
      <c r="R2408" s="16"/>
      <c r="S2408" s="16"/>
      <c r="T2408" s="16"/>
      <c r="U2408" s="16"/>
      <c r="V2408" s="37" t="str">
        <f>IFERROR(__xludf.DUMMYFUNCTION("if(not(iserror(index(split(C2408, "" ""),2))), index(split(C2408, "" ""),1),"""")"),"")</f>
        <v/>
      </c>
      <c r="W2408" s="315" t="str">
        <f>IFERROR(__xludf.DUMMYFUNCTION("if(V2408="""",C2408,if(not(iserror(index(split(C2408, "" ""),3))), index(split(C2408, "" ""),3),index(split(C2408, "" ""),2)))"),"")</f>
        <v/>
      </c>
      <c r="X2408" s="38" t="b">
        <f t="shared" si="2"/>
        <v>0</v>
      </c>
      <c r="Y2408" s="38"/>
      <c r="Z2408" s="40"/>
      <c r="AA2408" s="40"/>
      <c r="AB2408" s="38"/>
      <c r="AC2408" s="38"/>
      <c r="AD2408" s="38"/>
      <c r="AE2408" s="38"/>
      <c r="AF2408" s="38"/>
      <c r="AG2408" s="38"/>
      <c r="AH2408" s="38"/>
      <c r="AI2408" s="38"/>
      <c r="AJ2408" s="38"/>
      <c r="AK2408" s="38"/>
      <c r="AL2408" s="38"/>
      <c r="AM2408" s="38"/>
      <c r="AN2408" s="38"/>
      <c r="AO2408" s="38"/>
      <c r="AP2408" s="38"/>
      <c r="AQ2408" s="38"/>
      <c r="AR2408" s="38"/>
      <c r="AS2408" s="38"/>
      <c r="AT2408" s="38"/>
      <c r="AU2408" s="38"/>
      <c r="AV2408" s="38"/>
      <c r="AW2408" s="38"/>
      <c r="AX2408" s="38"/>
      <c r="AY2408" s="38"/>
      <c r="AZ2408" s="38"/>
      <c r="BA2408" s="38"/>
      <c r="BB2408" s="38"/>
      <c r="BC2408" s="38"/>
      <c r="BD2408" s="38"/>
      <c r="BE2408" s="38"/>
      <c r="BF2408" s="38"/>
      <c r="BG2408" s="38"/>
    </row>
    <row r="2409">
      <c r="A2409" s="16"/>
      <c r="B2409" s="16"/>
      <c r="C2409" s="146"/>
      <c r="D2409" s="146"/>
      <c r="E2409" s="16"/>
      <c r="F2409" s="91"/>
      <c r="G2409" s="16"/>
      <c r="H2409" s="320" t="str">
        <f t="shared" si="1"/>
        <v/>
      </c>
      <c r="I2409" s="16"/>
      <c r="J2409" s="16"/>
      <c r="K2409" s="16"/>
      <c r="L2409" s="38"/>
      <c r="M2409" s="16"/>
      <c r="N2409" s="16"/>
      <c r="O2409" s="16"/>
      <c r="P2409" s="15"/>
      <c r="Q2409" s="15"/>
      <c r="R2409" s="16"/>
      <c r="S2409" s="16"/>
      <c r="T2409" s="16"/>
      <c r="U2409" s="16"/>
      <c r="V2409" s="37" t="str">
        <f>IFERROR(__xludf.DUMMYFUNCTION("if(not(iserror(index(split(C2409, "" ""),2))), index(split(C2409, "" ""),1),"""")"),"")</f>
        <v/>
      </c>
      <c r="W2409" s="315" t="str">
        <f>IFERROR(__xludf.DUMMYFUNCTION("if(V2409="""",C2409,if(not(iserror(index(split(C2409, "" ""),3))), index(split(C2409, "" ""),3),index(split(C2409, "" ""),2)))"),"")</f>
        <v/>
      </c>
      <c r="X2409" s="38" t="b">
        <f t="shared" si="2"/>
        <v>0</v>
      </c>
      <c r="Y2409" s="38"/>
      <c r="Z2409" s="40"/>
      <c r="AA2409" s="40"/>
      <c r="AB2409" s="38"/>
      <c r="AC2409" s="38"/>
      <c r="AD2409" s="38"/>
      <c r="AE2409" s="38"/>
      <c r="AF2409" s="38"/>
      <c r="AG2409" s="38"/>
      <c r="AH2409" s="38"/>
      <c r="AI2409" s="38"/>
      <c r="AJ2409" s="38"/>
      <c r="AK2409" s="38"/>
      <c r="AL2409" s="38"/>
      <c r="AM2409" s="38"/>
      <c r="AN2409" s="38"/>
      <c r="AO2409" s="38"/>
      <c r="AP2409" s="38"/>
      <c r="AQ2409" s="38"/>
      <c r="AR2409" s="38"/>
      <c r="AS2409" s="38"/>
      <c r="AT2409" s="38"/>
      <c r="AU2409" s="38"/>
      <c r="AV2409" s="38"/>
      <c r="AW2409" s="38"/>
      <c r="AX2409" s="38"/>
      <c r="AY2409" s="38"/>
      <c r="AZ2409" s="38"/>
      <c r="BA2409" s="38"/>
      <c r="BB2409" s="38"/>
      <c r="BC2409" s="38"/>
      <c r="BD2409" s="38"/>
      <c r="BE2409" s="38"/>
      <c r="BF2409" s="38"/>
      <c r="BG2409" s="38"/>
    </row>
    <row r="2410">
      <c r="A2410" s="16"/>
      <c r="B2410" s="16"/>
      <c r="C2410" s="146"/>
      <c r="D2410" s="146"/>
      <c r="E2410" s="16"/>
      <c r="F2410" s="91"/>
      <c r="G2410" s="16"/>
      <c r="H2410" s="320" t="str">
        <f t="shared" si="1"/>
        <v/>
      </c>
      <c r="I2410" s="16"/>
      <c r="J2410" s="16"/>
      <c r="K2410" s="16"/>
      <c r="L2410" s="38"/>
      <c r="M2410" s="16"/>
      <c r="N2410" s="16"/>
      <c r="O2410" s="16"/>
      <c r="P2410" s="15"/>
      <c r="Q2410" s="15"/>
      <c r="R2410" s="16"/>
      <c r="S2410" s="16"/>
      <c r="T2410" s="16"/>
      <c r="U2410" s="16"/>
      <c r="V2410" s="37" t="str">
        <f>IFERROR(__xludf.DUMMYFUNCTION("if(not(iserror(index(split(C2410, "" ""),2))), index(split(C2410, "" ""),1),"""")"),"")</f>
        <v/>
      </c>
      <c r="W2410" s="315" t="str">
        <f>IFERROR(__xludf.DUMMYFUNCTION("if(V2410="""",C2410,if(not(iserror(index(split(C2410, "" ""),3))), index(split(C2410, "" ""),3),index(split(C2410, "" ""),2)))"),"")</f>
        <v/>
      </c>
      <c r="X2410" s="38" t="b">
        <f t="shared" si="2"/>
        <v>0</v>
      </c>
      <c r="Y2410" s="38"/>
      <c r="Z2410" s="40"/>
      <c r="AA2410" s="40"/>
      <c r="AB2410" s="38"/>
      <c r="AC2410" s="38"/>
      <c r="AD2410" s="38"/>
      <c r="AE2410" s="38"/>
      <c r="AF2410" s="38"/>
      <c r="AG2410" s="38"/>
      <c r="AH2410" s="38"/>
      <c r="AI2410" s="38"/>
      <c r="AJ2410" s="38"/>
      <c r="AK2410" s="38"/>
      <c r="AL2410" s="38"/>
      <c r="AM2410" s="38"/>
      <c r="AN2410" s="38"/>
      <c r="AO2410" s="38"/>
      <c r="AP2410" s="38"/>
      <c r="AQ2410" s="38"/>
      <c r="AR2410" s="38"/>
      <c r="AS2410" s="38"/>
      <c r="AT2410" s="38"/>
      <c r="AU2410" s="38"/>
      <c r="AV2410" s="38"/>
      <c r="AW2410" s="38"/>
      <c r="AX2410" s="38"/>
      <c r="AY2410" s="38"/>
      <c r="AZ2410" s="38"/>
      <c r="BA2410" s="38"/>
      <c r="BB2410" s="38"/>
      <c r="BC2410" s="38"/>
      <c r="BD2410" s="38"/>
      <c r="BE2410" s="38"/>
      <c r="BF2410" s="38"/>
      <c r="BG2410" s="38"/>
    </row>
    <row r="2411">
      <c r="A2411" s="16"/>
      <c r="B2411" s="16"/>
      <c r="C2411" s="146"/>
      <c r="D2411" s="146"/>
      <c r="E2411" s="16"/>
      <c r="F2411" s="91"/>
      <c r="G2411" s="16"/>
      <c r="H2411" s="320" t="str">
        <f t="shared" si="1"/>
        <v/>
      </c>
      <c r="I2411" s="16"/>
      <c r="J2411" s="16"/>
      <c r="K2411" s="16"/>
      <c r="L2411" s="38"/>
      <c r="M2411" s="16"/>
      <c r="N2411" s="16"/>
      <c r="O2411" s="16"/>
      <c r="P2411" s="15"/>
      <c r="Q2411" s="15"/>
      <c r="R2411" s="16"/>
      <c r="S2411" s="16"/>
      <c r="T2411" s="16"/>
      <c r="U2411" s="16"/>
      <c r="V2411" s="37" t="str">
        <f>IFERROR(__xludf.DUMMYFUNCTION("if(not(iserror(index(split(C2411, "" ""),2))), index(split(C2411, "" ""),1),"""")"),"")</f>
        <v/>
      </c>
      <c r="W2411" s="315" t="str">
        <f>IFERROR(__xludf.DUMMYFUNCTION("if(V2411="""",C2411,if(not(iserror(index(split(C2411, "" ""),3))), index(split(C2411, "" ""),3),index(split(C2411, "" ""),2)))"),"")</f>
        <v/>
      </c>
      <c r="X2411" s="38" t="b">
        <f t="shared" si="2"/>
        <v>0</v>
      </c>
      <c r="Y2411" s="38"/>
      <c r="Z2411" s="40"/>
      <c r="AA2411" s="40"/>
      <c r="AB2411" s="38"/>
      <c r="AC2411" s="38"/>
      <c r="AD2411" s="38"/>
      <c r="AE2411" s="38"/>
      <c r="AF2411" s="38"/>
      <c r="AG2411" s="38"/>
      <c r="AH2411" s="38"/>
      <c r="AI2411" s="38"/>
      <c r="AJ2411" s="38"/>
      <c r="AK2411" s="38"/>
      <c r="AL2411" s="38"/>
      <c r="AM2411" s="38"/>
      <c r="AN2411" s="38"/>
      <c r="AO2411" s="38"/>
      <c r="AP2411" s="38"/>
      <c r="AQ2411" s="38"/>
      <c r="AR2411" s="38"/>
      <c r="AS2411" s="38"/>
      <c r="AT2411" s="38"/>
      <c r="AU2411" s="38"/>
      <c r="AV2411" s="38"/>
      <c r="AW2411" s="38"/>
      <c r="AX2411" s="38"/>
      <c r="AY2411" s="38"/>
      <c r="AZ2411" s="38"/>
      <c r="BA2411" s="38"/>
      <c r="BB2411" s="38"/>
      <c r="BC2411" s="38"/>
      <c r="BD2411" s="38"/>
      <c r="BE2411" s="38"/>
      <c r="BF2411" s="38"/>
      <c r="BG2411" s="38"/>
    </row>
    <row r="2412">
      <c r="A2412" s="16"/>
      <c r="B2412" s="16"/>
      <c r="C2412" s="146"/>
      <c r="D2412" s="146"/>
      <c r="E2412" s="16"/>
      <c r="F2412" s="91"/>
      <c r="G2412" s="16"/>
      <c r="H2412" s="320" t="str">
        <f t="shared" si="1"/>
        <v/>
      </c>
      <c r="I2412" s="16"/>
      <c r="J2412" s="16"/>
      <c r="K2412" s="16"/>
      <c r="L2412" s="38"/>
      <c r="M2412" s="16"/>
      <c r="N2412" s="16"/>
      <c r="O2412" s="16"/>
      <c r="P2412" s="15"/>
      <c r="Q2412" s="15"/>
      <c r="R2412" s="16"/>
      <c r="S2412" s="16"/>
      <c r="T2412" s="16"/>
      <c r="U2412" s="16"/>
      <c r="V2412" s="37" t="str">
        <f>IFERROR(__xludf.DUMMYFUNCTION("if(not(iserror(index(split(C2412, "" ""),2))), index(split(C2412, "" ""),1),"""")"),"")</f>
        <v/>
      </c>
      <c r="W2412" s="315" t="str">
        <f>IFERROR(__xludf.DUMMYFUNCTION("if(V2412="""",C2412,if(not(iserror(index(split(C2412, "" ""),3))), index(split(C2412, "" ""),3),index(split(C2412, "" ""),2)))"),"")</f>
        <v/>
      </c>
      <c r="X2412" s="38" t="b">
        <f t="shared" si="2"/>
        <v>0</v>
      </c>
      <c r="Y2412" s="38"/>
      <c r="Z2412" s="40"/>
      <c r="AA2412" s="40"/>
      <c r="AB2412" s="38"/>
      <c r="AC2412" s="38"/>
      <c r="AD2412" s="38"/>
      <c r="AE2412" s="38"/>
      <c r="AF2412" s="38"/>
      <c r="AG2412" s="38"/>
      <c r="AH2412" s="38"/>
      <c r="AI2412" s="38"/>
      <c r="AJ2412" s="38"/>
      <c r="AK2412" s="38"/>
      <c r="AL2412" s="38"/>
      <c r="AM2412" s="38"/>
      <c r="AN2412" s="38"/>
      <c r="AO2412" s="38"/>
      <c r="AP2412" s="38"/>
      <c r="AQ2412" s="38"/>
      <c r="AR2412" s="38"/>
      <c r="AS2412" s="38"/>
      <c r="AT2412" s="38"/>
      <c r="AU2412" s="38"/>
      <c r="AV2412" s="38"/>
      <c r="AW2412" s="38"/>
      <c r="AX2412" s="38"/>
      <c r="AY2412" s="38"/>
      <c r="AZ2412" s="38"/>
      <c r="BA2412" s="38"/>
      <c r="BB2412" s="38"/>
      <c r="BC2412" s="38"/>
      <c r="BD2412" s="38"/>
      <c r="BE2412" s="38"/>
      <c r="BF2412" s="38"/>
      <c r="BG2412" s="38"/>
    </row>
    <row r="2413">
      <c r="A2413" s="16"/>
      <c r="B2413" s="16"/>
      <c r="C2413" s="146"/>
      <c r="D2413" s="146"/>
      <c r="E2413" s="16"/>
      <c r="F2413" s="91"/>
      <c r="G2413" s="16"/>
      <c r="H2413" s="320" t="str">
        <f t="shared" si="1"/>
        <v/>
      </c>
      <c r="I2413" s="16"/>
      <c r="J2413" s="16"/>
      <c r="K2413" s="16"/>
      <c r="L2413" s="38"/>
      <c r="M2413" s="16"/>
      <c r="N2413" s="16"/>
      <c r="O2413" s="16"/>
      <c r="P2413" s="15"/>
      <c r="Q2413" s="15"/>
      <c r="R2413" s="16"/>
      <c r="S2413" s="16"/>
      <c r="T2413" s="16"/>
      <c r="U2413" s="16"/>
      <c r="V2413" s="37" t="str">
        <f>IFERROR(__xludf.DUMMYFUNCTION("if(not(iserror(index(split(C2413, "" ""),2))), index(split(C2413, "" ""),1),"""")"),"")</f>
        <v/>
      </c>
      <c r="W2413" s="315" t="str">
        <f>IFERROR(__xludf.DUMMYFUNCTION("if(V2413="""",C2413,if(not(iserror(index(split(C2413, "" ""),3))), index(split(C2413, "" ""),3),index(split(C2413, "" ""),2)))"),"")</f>
        <v/>
      </c>
      <c r="X2413" s="38" t="b">
        <f t="shared" si="2"/>
        <v>0</v>
      </c>
      <c r="Y2413" s="38"/>
      <c r="Z2413" s="40"/>
      <c r="AA2413" s="40"/>
      <c r="AB2413" s="38"/>
      <c r="AC2413" s="38"/>
      <c r="AD2413" s="38"/>
      <c r="AE2413" s="38"/>
      <c r="AF2413" s="38"/>
      <c r="AG2413" s="38"/>
      <c r="AH2413" s="38"/>
      <c r="AI2413" s="38"/>
      <c r="AJ2413" s="38"/>
      <c r="AK2413" s="38"/>
      <c r="AL2413" s="38"/>
      <c r="AM2413" s="38"/>
      <c r="AN2413" s="38"/>
      <c r="AO2413" s="38"/>
      <c r="AP2413" s="38"/>
      <c r="AQ2413" s="38"/>
      <c r="AR2413" s="38"/>
      <c r="AS2413" s="38"/>
      <c r="AT2413" s="38"/>
      <c r="AU2413" s="38"/>
      <c r="AV2413" s="38"/>
      <c r="AW2413" s="38"/>
      <c r="AX2413" s="38"/>
      <c r="AY2413" s="38"/>
      <c r="AZ2413" s="38"/>
      <c r="BA2413" s="38"/>
      <c r="BB2413" s="38"/>
      <c r="BC2413" s="38"/>
      <c r="BD2413" s="38"/>
      <c r="BE2413" s="38"/>
      <c r="BF2413" s="38"/>
      <c r="BG2413" s="38"/>
    </row>
    <row r="2414">
      <c r="A2414" s="16"/>
      <c r="B2414" s="16"/>
      <c r="C2414" s="146"/>
      <c r="D2414" s="146"/>
      <c r="E2414" s="16"/>
      <c r="F2414" s="91"/>
      <c r="G2414" s="16"/>
      <c r="H2414" s="320" t="str">
        <f t="shared" si="1"/>
        <v/>
      </c>
      <c r="I2414" s="16"/>
      <c r="J2414" s="16"/>
      <c r="K2414" s="16"/>
      <c r="L2414" s="38"/>
      <c r="M2414" s="16"/>
      <c r="N2414" s="16"/>
      <c r="O2414" s="16"/>
      <c r="P2414" s="15"/>
      <c r="Q2414" s="15"/>
      <c r="R2414" s="16"/>
      <c r="S2414" s="16"/>
      <c r="T2414" s="16"/>
      <c r="U2414" s="16"/>
      <c r="V2414" s="37" t="str">
        <f>IFERROR(__xludf.DUMMYFUNCTION("if(not(iserror(index(split(C2414, "" ""),2))), index(split(C2414, "" ""),1),"""")"),"")</f>
        <v/>
      </c>
      <c r="W2414" s="315" t="str">
        <f>IFERROR(__xludf.DUMMYFUNCTION("if(V2414="""",C2414,if(not(iserror(index(split(C2414, "" ""),3))), index(split(C2414, "" ""),3),index(split(C2414, "" ""),2)))"),"")</f>
        <v/>
      </c>
      <c r="X2414" s="38" t="b">
        <f t="shared" si="2"/>
        <v>0</v>
      </c>
      <c r="Y2414" s="38"/>
      <c r="Z2414" s="40"/>
      <c r="AA2414" s="40"/>
      <c r="AB2414" s="38"/>
      <c r="AC2414" s="38"/>
      <c r="AD2414" s="38"/>
      <c r="AE2414" s="38"/>
      <c r="AF2414" s="38"/>
      <c r="AG2414" s="38"/>
      <c r="AH2414" s="38"/>
      <c r="AI2414" s="38"/>
      <c r="AJ2414" s="38"/>
      <c r="AK2414" s="38"/>
      <c r="AL2414" s="38"/>
      <c r="AM2414" s="38"/>
      <c r="AN2414" s="38"/>
      <c r="AO2414" s="38"/>
      <c r="AP2414" s="38"/>
      <c r="AQ2414" s="38"/>
      <c r="AR2414" s="38"/>
      <c r="AS2414" s="38"/>
      <c r="AT2414" s="38"/>
      <c r="AU2414" s="38"/>
      <c r="AV2414" s="38"/>
      <c r="AW2414" s="38"/>
      <c r="AX2414" s="38"/>
      <c r="AY2414" s="38"/>
      <c r="AZ2414" s="38"/>
      <c r="BA2414" s="38"/>
      <c r="BB2414" s="38"/>
      <c r="BC2414" s="38"/>
      <c r="BD2414" s="38"/>
      <c r="BE2414" s="38"/>
      <c r="BF2414" s="38"/>
      <c r="BG2414" s="38"/>
    </row>
    <row r="2415">
      <c r="A2415" s="16"/>
      <c r="B2415" s="16"/>
      <c r="C2415" s="146"/>
      <c r="D2415" s="146"/>
      <c r="E2415" s="16"/>
      <c r="F2415" s="91"/>
      <c r="G2415" s="16"/>
      <c r="H2415" s="320" t="str">
        <f t="shared" si="1"/>
        <v/>
      </c>
      <c r="I2415" s="16"/>
      <c r="J2415" s="16"/>
      <c r="K2415" s="16"/>
      <c r="L2415" s="38"/>
      <c r="M2415" s="16"/>
      <c r="N2415" s="16"/>
      <c r="O2415" s="16"/>
      <c r="P2415" s="15"/>
      <c r="Q2415" s="15"/>
      <c r="R2415" s="16"/>
      <c r="S2415" s="16"/>
      <c r="T2415" s="16"/>
      <c r="U2415" s="16"/>
      <c r="V2415" s="37" t="str">
        <f>IFERROR(__xludf.DUMMYFUNCTION("if(not(iserror(index(split(C2415, "" ""),2))), index(split(C2415, "" ""),1),"""")"),"")</f>
        <v/>
      </c>
      <c r="W2415" s="315" t="str">
        <f>IFERROR(__xludf.DUMMYFUNCTION("if(V2415="""",C2415,if(not(iserror(index(split(C2415, "" ""),3))), index(split(C2415, "" ""),3),index(split(C2415, "" ""),2)))"),"")</f>
        <v/>
      </c>
      <c r="X2415" s="38" t="b">
        <f t="shared" si="2"/>
        <v>0</v>
      </c>
      <c r="Y2415" s="38"/>
      <c r="Z2415" s="40"/>
      <c r="AA2415" s="40"/>
      <c r="AB2415" s="38"/>
      <c r="AC2415" s="38"/>
      <c r="AD2415" s="38"/>
      <c r="AE2415" s="38"/>
      <c r="AF2415" s="38"/>
      <c r="AG2415" s="38"/>
      <c r="AH2415" s="38"/>
      <c r="AI2415" s="38"/>
      <c r="AJ2415" s="38"/>
      <c r="AK2415" s="38"/>
      <c r="AL2415" s="38"/>
      <c r="AM2415" s="38"/>
      <c r="AN2415" s="38"/>
      <c r="AO2415" s="38"/>
      <c r="AP2415" s="38"/>
      <c r="AQ2415" s="38"/>
      <c r="AR2415" s="38"/>
      <c r="AS2415" s="38"/>
      <c r="AT2415" s="38"/>
      <c r="AU2415" s="38"/>
      <c r="AV2415" s="38"/>
      <c r="AW2415" s="38"/>
      <c r="AX2415" s="38"/>
      <c r="AY2415" s="38"/>
      <c r="AZ2415" s="38"/>
      <c r="BA2415" s="38"/>
      <c r="BB2415" s="38"/>
      <c r="BC2415" s="38"/>
      <c r="BD2415" s="38"/>
      <c r="BE2415" s="38"/>
      <c r="BF2415" s="38"/>
      <c r="BG2415" s="38"/>
    </row>
    <row r="2416">
      <c r="A2416" s="16"/>
      <c r="B2416" s="16"/>
      <c r="C2416" s="146"/>
      <c r="D2416" s="146"/>
      <c r="E2416" s="16"/>
      <c r="F2416" s="91"/>
      <c r="G2416" s="16"/>
      <c r="H2416" s="320" t="str">
        <f t="shared" si="1"/>
        <v/>
      </c>
      <c r="I2416" s="16"/>
      <c r="J2416" s="16"/>
      <c r="K2416" s="16"/>
      <c r="L2416" s="38"/>
      <c r="M2416" s="16"/>
      <c r="N2416" s="16"/>
      <c r="O2416" s="16"/>
      <c r="P2416" s="15"/>
      <c r="Q2416" s="15"/>
      <c r="R2416" s="16"/>
      <c r="S2416" s="16"/>
      <c r="T2416" s="16"/>
      <c r="U2416" s="16"/>
      <c r="V2416" s="37" t="str">
        <f>IFERROR(__xludf.DUMMYFUNCTION("if(not(iserror(index(split(C2416, "" ""),2))), index(split(C2416, "" ""),1),"""")"),"")</f>
        <v/>
      </c>
      <c r="W2416" s="315" t="str">
        <f>IFERROR(__xludf.DUMMYFUNCTION("if(V2416="""",C2416,if(not(iserror(index(split(C2416, "" ""),3))), index(split(C2416, "" ""),3),index(split(C2416, "" ""),2)))"),"")</f>
        <v/>
      </c>
      <c r="X2416" s="38" t="b">
        <f t="shared" si="2"/>
        <v>0</v>
      </c>
      <c r="Y2416" s="38"/>
      <c r="Z2416" s="40"/>
      <c r="AA2416" s="40"/>
      <c r="AB2416" s="38"/>
      <c r="AC2416" s="38"/>
      <c r="AD2416" s="38"/>
      <c r="AE2416" s="38"/>
      <c r="AF2416" s="38"/>
      <c r="AG2416" s="38"/>
      <c r="AH2416" s="38"/>
      <c r="AI2416" s="38"/>
      <c r="AJ2416" s="38"/>
      <c r="AK2416" s="38"/>
      <c r="AL2416" s="38"/>
      <c r="AM2416" s="38"/>
      <c r="AN2416" s="38"/>
      <c r="AO2416" s="38"/>
      <c r="AP2416" s="38"/>
      <c r="AQ2416" s="38"/>
      <c r="AR2416" s="38"/>
      <c r="AS2416" s="38"/>
      <c r="AT2416" s="38"/>
      <c r="AU2416" s="38"/>
      <c r="AV2416" s="38"/>
      <c r="AW2416" s="38"/>
      <c r="AX2416" s="38"/>
      <c r="AY2416" s="38"/>
      <c r="AZ2416" s="38"/>
      <c r="BA2416" s="38"/>
      <c r="BB2416" s="38"/>
      <c r="BC2416" s="38"/>
      <c r="BD2416" s="38"/>
      <c r="BE2416" s="38"/>
      <c r="BF2416" s="38"/>
      <c r="BG2416" s="38"/>
    </row>
    <row r="2417">
      <c r="A2417" s="16"/>
      <c r="B2417" s="16"/>
      <c r="C2417" s="146"/>
      <c r="D2417" s="146"/>
      <c r="E2417" s="16"/>
      <c r="F2417" s="91"/>
      <c r="G2417" s="16"/>
      <c r="H2417" s="320" t="str">
        <f t="shared" si="1"/>
        <v/>
      </c>
      <c r="I2417" s="16"/>
      <c r="J2417" s="16"/>
      <c r="K2417" s="16"/>
      <c r="L2417" s="38"/>
      <c r="M2417" s="16"/>
      <c r="N2417" s="16"/>
      <c r="O2417" s="16"/>
      <c r="P2417" s="15"/>
      <c r="Q2417" s="15"/>
      <c r="R2417" s="16"/>
      <c r="S2417" s="16"/>
      <c r="T2417" s="16"/>
      <c r="U2417" s="16"/>
      <c r="V2417" s="37" t="str">
        <f>IFERROR(__xludf.DUMMYFUNCTION("if(not(iserror(index(split(C2417, "" ""),2))), index(split(C2417, "" ""),1),"""")"),"")</f>
        <v/>
      </c>
      <c r="W2417" s="315" t="str">
        <f>IFERROR(__xludf.DUMMYFUNCTION("if(V2417="""",C2417,if(not(iserror(index(split(C2417, "" ""),3))), index(split(C2417, "" ""),3),index(split(C2417, "" ""),2)))"),"")</f>
        <v/>
      </c>
      <c r="X2417" s="38" t="b">
        <f t="shared" si="2"/>
        <v>0</v>
      </c>
      <c r="Y2417" s="38"/>
      <c r="Z2417" s="40"/>
      <c r="AA2417" s="40"/>
      <c r="AB2417" s="38"/>
      <c r="AC2417" s="38"/>
      <c r="AD2417" s="38"/>
      <c r="AE2417" s="38"/>
      <c r="AF2417" s="38"/>
      <c r="AG2417" s="38"/>
      <c r="AH2417" s="38"/>
      <c r="AI2417" s="38"/>
      <c r="AJ2417" s="38"/>
      <c r="AK2417" s="38"/>
      <c r="AL2417" s="38"/>
      <c r="AM2417" s="38"/>
      <c r="AN2417" s="38"/>
      <c r="AO2417" s="38"/>
      <c r="AP2417" s="38"/>
      <c r="AQ2417" s="38"/>
      <c r="AR2417" s="38"/>
      <c r="AS2417" s="38"/>
      <c r="AT2417" s="38"/>
      <c r="AU2417" s="38"/>
      <c r="AV2417" s="38"/>
      <c r="AW2417" s="38"/>
      <c r="AX2417" s="38"/>
      <c r="AY2417" s="38"/>
      <c r="AZ2417" s="38"/>
      <c r="BA2417" s="38"/>
      <c r="BB2417" s="38"/>
      <c r="BC2417" s="38"/>
      <c r="BD2417" s="38"/>
      <c r="BE2417" s="38"/>
      <c r="BF2417" s="38"/>
      <c r="BG2417" s="38"/>
    </row>
    <row r="2418">
      <c r="A2418" s="16"/>
      <c r="B2418" s="16"/>
      <c r="C2418" s="146"/>
      <c r="D2418" s="146"/>
      <c r="E2418" s="16"/>
      <c r="F2418" s="91"/>
      <c r="G2418" s="16"/>
      <c r="H2418" s="320" t="str">
        <f t="shared" si="1"/>
        <v/>
      </c>
      <c r="I2418" s="16"/>
      <c r="J2418" s="16"/>
      <c r="K2418" s="16"/>
      <c r="L2418" s="38"/>
      <c r="M2418" s="16"/>
      <c r="N2418" s="16"/>
      <c r="O2418" s="16"/>
      <c r="P2418" s="15"/>
      <c r="Q2418" s="15"/>
      <c r="R2418" s="16"/>
      <c r="S2418" s="16"/>
      <c r="T2418" s="16"/>
      <c r="U2418" s="16"/>
      <c r="V2418" s="37" t="str">
        <f>IFERROR(__xludf.DUMMYFUNCTION("if(not(iserror(index(split(C2418, "" ""),2))), index(split(C2418, "" ""),1),"""")"),"")</f>
        <v/>
      </c>
      <c r="W2418" s="315" t="str">
        <f>IFERROR(__xludf.DUMMYFUNCTION("if(V2418="""",C2418,if(not(iserror(index(split(C2418, "" ""),3))), index(split(C2418, "" ""),3),index(split(C2418, "" ""),2)))"),"")</f>
        <v/>
      </c>
      <c r="X2418" s="38" t="b">
        <f t="shared" si="2"/>
        <v>0</v>
      </c>
      <c r="Y2418" s="38"/>
      <c r="Z2418" s="40"/>
      <c r="AA2418" s="40"/>
      <c r="AB2418" s="38"/>
      <c r="AC2418" s="38"/>
      <c r="AD2418" s="38"/>
      <c r="AE2418" s="38"/>
      <c r="AF2418" s="38"/>
      <c r="AG2418" s="38"/>
      <c r="AH2418" s="38"/>
      <c r="AI2418" s="38"/>
      <c r="AJ2418" s="38"/>
      <c r="AK2418" s="38"/>
      <c r="AL2418" s="38"/>
      <c r="AM2418" s="38"/>
      <c r="AN2418" s="38"/>
      <c r="AO2418" s="38"/>
      <c r="AP2418" s="38"/>
      <c r="AQ2418" s="38"/>
      <c r="AR2418" s="38"/>
      <c r="AS2418" s="38"/>
      <c r="AT2418" s="38"/>
      <c r="AU2418" s="38"/>
      <c r="AV2418" s="38"/>
      <c r="AW2418" s="38"/>
      <c r="AX2418" s="38"/>
      <c r="AY2418" s="38"/>
      <c r="AZ2418" s="38"/>
      <c r="BA2418" s="38"/>
      <c r="BB2418" s="38"/>
      <c r="BC2418" s="38"/>
      <c r="BD2418" s="38"/>
      <c r="BE2418" s="38"/>
      <c r="BF2418" s="38"/>
      <c r="BG2418" s="38"/>
    </row>
    <row r="2419">
      <c r="A2419" s="16"/>
      <c r="B2419" s="16"/>
      <c r="C2419" s="146"/>
      <c r="D2419" s="146"/>
      <c r="E2419" s="16"/>
      <c r="F2419" s="91"/>
      <c r="G2419" s="16"/>
      <c r="H2419" s="320" t="str">
        <f t="shared" si="1"/>
        <v/>
      </c>
      <c r="I2419" s="16"/>
      <c r="J2419" s="16"/>
      <c r="K2419" s="16"/>
      <c r="L2419" s="38"/>
      <c r="M2419" s="16"/>
      <c r="N2419" s="16"/>
      <c r="O2419" s="16"/>
      <c r="P2419" s="15"/>
      <c r="Q2419" s="15"/>
      <c r="R2419" s="16"/>
      <c r="S2419" s="16"/>
      <c r="T2419" s="16"/>
      <c r="U2419" s="16"/>
      <c r="V2419" s="37" t="str">
        <f>IFERROR(__xludf.DUMMYFUNCTION("if(not(iserror(index(split(C2419, "" ""),2))), index(split(C2419, "" ""),1),"""")"),"")</f>
        <v/>
      </c>
      <c r="W2419" s="315" t="str">
        <f>IFERROR(__xludf.DUMMYFUNCTION("if(V2419="""",C2419,if(not(iserror(index(split(C2419, "" ""),3))), index(split(C2419, "" ""),3),index(split(C2419, "" ""),2)))"),"")</f>
        <v/>
      </c>
      <c r="X2419" s="38" t="b">
        <f t="shared" si="2"/>
        <v>0</v>
      </c>
      <c r="Y2419" s="38"/>
      <c r="Z2419" s="40"/>
      <c r="AA2419" s="40"/>
      <c r="AB2419" s="38"/>
      <c r="AC2419" s="38"/>
      <c r="AD2419" s="38"/>
      <c r="AE2419" s="38"/>
      <c r="AF2419" s="38"/>
      <c r="AG2419" s="38"/>
      <c r="AH2419" s="38"/>
      <c r="AI2419" s="38"/>
      <c r="AJ2419" s="38"/>
      <c r="AK2419" s="38"/>
      <c r="AL2419" s="38"/>
      <c r="AM2419" s="38"/>
      <c r="AN2419" s="38"/>
      <c r="AO2419" s="38"/>
      <c r="AP2419" s="38"/>
      <c r="AQ2419" s="38"/>
      <c r="AR2419" s="38"/>
      <c r="AS2419" s="38"/>
      <c r="AT2419" s="38"/>
      <c r="AU2419" s="38"/>
      <c r="AV2419" s="38"/>
      <c r="AW2419" s="38"/>
      <c r="AX2419" s="38"/>
      <c r="AY2419" s="38"/>
      <c r="AZ2419" s="38"/>
      <c r="BA2419" s="38"/>
      <c r="BB2419" s="38"/>
      <c r="BC2419" s="38"/>
      <c r="BD2419" s="38"/>
      <c r="BE2419" s="38"/>
      <c r="BF2419" s="38"/>
      <c r="BG2419" s="38"/>
    </row>
    <row r="2420">
      <c r="A2420" s="16"/>
      <c r="B2420" s="16"/>
      <c r="C2420" s="146"/>
      <c r="D2420" s="146"/>
      <c r="E2420" s="16"/>
      <c r="F2420" s="91"/>
      <c r="G2420" s="16"/>
      <c r="H2420" s="320" t="str">
        <f t="shared" si="1"/>
        <v/>
      </c>
      <c r="I2420" s="16"/>
      <c r="J2420" s="16"/>
      <c r="K2420" s="16"/>
      <c r="L2420" s="38"/>
      <c r="M2420" s="16"/>
      <c r="N2420" s="16"/>
      <c r="O2420" s="16"/>
      <c r="P2420" s="15"/>
      <c r="Q2420" s="15"/>
      <c r="R2420" s="16"/>
      <c r="S2420" s="16"/>
      <c r="T2420" s="16"/>
      <c r="U2420" s="16"/>
      <c r="V2420" s="37" t="str">
        <f>IFERROR(__xludf.DUMMYFUNCTION("if(not(iserror(index(split(C2420, "" ""),2))), index(split(C2420, "" ""),1),"""")"),"")</f>
        <v/>
      </c>
      <c r="W2420" s="315" t="str">
        <f>IFERROR(__xludf.DUMMYFUNCTION("if(V2420="""",C2420,if(not(iserror(index(split(C2420, "" ""),3))), index(split(C2420, "" ""),3),index(split(C2420, "" ""),2)))"),"")</f>
        <v/>
      </c>
      <c r="X2420" s="38" t="b">
        <f t="shared" si="2"/>
        <v>0</v>
      </c>
      <c r="Y2420" s="38"/>
      <c r="Z2420" s="40"/>
      <c r="AA2420" s="40"/>
      <c r="AB2420" s="38"/>
      <c r="AC2420" s="38"/>
      <c r="AD2420" s="38"/>
      <c r="AE2420" s="38"/>
      <c r="AF2420" s="38"/>
      <c r="AG2420" s="38"/>
      <c r="AH2420" s="38"/>
      <c r="AI2420" s="38"/>
      <c r="AJ2420" s="38"/>
      <c r="AK2420" s="38"/>
      <c r="AL2420" s="38"/>
      <c r="AM2420" s="38"/>
      <c r="AN2420" s="38"/>
      <c r="AO2420" s="38"/>
      <c r="AP2420" s="38"/>
      <c r="AQ2420" s="38"/>
      <c r="AR2420" s="38"/>
      <c r="AS2420" s="38"/>
      <c r="AT2420" s="38"/>
      <c r="AU2420" s="38"/>
      <c r="AV2420" s="38"/>
      <c r="AW2420" s="38"/>
      <c r="AX2420" s="38"/>
      <c r="AY2420" s="38"/>
      <c r="AZ2420" s="38"/>
      <c r="BA2420" s="38"/>
      <c r="BB2420" s="38"/>
      <c r="BC2420" s="38"/>
      <c r="BD2420" s="38"/>
      <c r="BE2420" s="38"/>
      <c r="BF2420" s="38"/>
      <c r="BG2420" s="38"/>
    </row>
    <row r="2421">
      <c r="A2421" s="16"/>
      <c r="B2421" s="16"/>
      <c r="C2421" s="146"/>
      <c r="D2421" s="146"/>
      <c r="E2421" s="16"/>
      <c r="F2421" s="91"/>
      <c r="G2421" s="16"/>
      <c r="H2421" s="320" t="str">
        <f t="shared" si="1"/>
        <v/>
      </c>
      <c r="I2421" s="16"/>
      <c r="J2421" s="16"/>
      <c r="K2421" s="16"/>
      <c r="L2421" s="38"/>
      <c r="M2421" s="16"/>
      <c r="N2421" s="16"/>
      <c r="O2421" s="16"/>
      <c r="P2421" s="15"/>
      <c r="Q2421" s="15"/>
      <c r="R2421" s="16"/>
      <c r="S2421" s="16"/>
      <c r="T2421" s="16"/>
      <c r="U2421" s="16"/>
      <c r="V2421" s="37" t="str">
        <f>IFERROR(__xludf.DUMMYFUNCTION("if(not(iserror(index(split(C2421, "" ""),2))), index(split(C2421, "" ""),1),"""")"),"")</f>
        <v/>
      </c>
      <c r="W2421" s="315" t="str">
        <f>IFERROR(__xludf.DUMMYFUNCTION("if(V2421="""",C2421,if(not(iserror(index(split(C2421, "" ""),3))), index(split(C2421, "" ""),3),index(split(C2421, "" ""),2)))"),"")</f>
        <v/>
      </c>
      <c r="X2421" s="38" t="b">
        <f t="shared" si="2"/>
        <v>0</v>
      </c>
      <c r="Y2421" s="38"/>
      <c r="Z2421" s="40"/>
      <c r="AA2421" s="40"/>
      <c r="AB2421" s="38"/>
      <c r="AC2421" s="38"/>
      <c r="AD2421" s="38"/>
      <c r="AE2421" s="38"/>
      <c r="AF2421" s="38"/>
      <c r="AG2421" s="38"/>
      <c r="AH2421" s="38"/>
      <c r="AI2421" s="38"/>
      <c r="AJ2421" s="38"/>
      <c r="AK2421" s="38"/>
      <c r="AL2421" s="38"/>
      <c r="AM2421" s="38"/>
      <c r="AN2421" s="38"/>
      <c r="AO2421" s="38"/>
      <c r="AP2421" s="38"/>
      <c r="AQ2421" s="38"/>
      <c r="AR2421" s="38"/>
      <c r="AS2421" s="38"/>
      <c r="AT2421" s="38"/>
      <c r="AU2421" s="38"/>
      <c r="AV2421" s="38"/>
      <c r="AW2421" s="38"/>
      <c r="AX2421" s="38"/>
      <c r="AY2421" s="38"/>
      <c r="AZ2421" s="38"/>
      <c r="BA2421" s="38"/>
      <c r="BB2421" s="38"/>
      <c r="BC2421" s="38"/>
      <c r="BD2421" s="38"/>
      <c r="BE2421" s="38"/>
      <c r="BF2421" s="38"/>
      <c r="BG2421" s="38"/>
    </row>
    <row r="2422">
      <c r="A2422" s="16"/>
      <c r="B2422" s="16"/>
      <c r="C2422" s="146"/>
      <c r="D2422" s="146"/>
      <c r="E2422" s="16"/>
      <c r="F2422" s="91"/>
      <c r="G2422" s="16"/>
      <c r="H2422" s="320" t="str">
        <f t="shared" si="1"/>
        <v/>
      </c>
      <c r="I2422" s="16"/>
      <c r="J2422" s="16"/>
      <c r="K2422" s="16"/>
      <c r="L2422" s="38"/>
      <c r="M2422" s="16"/>
      <c r="N2422" s="16"/>
      <c r="O2422" s="16"/>
      <c r="P2422" s="15"/>
      <c r="Q2422" s="15"/>
      <c r="R2422" s="16"/>
      <c r="S2422" s="16"/>
      <c r="T2422" s="16"/>
      <c r="U2422" s="16"/>
      <c r="V2422" s="37" t="str">
        <f>IFERROR(__xludf.DUMMYFUNCTION("if(not(iserror(index(split(C2422, "" ""),2))), index(split(C2422, "" ""),1),"""")"),"")</f>
        <v/>
      </c>
      <c r="W2422" s="315" t="str">
        <f>IFERROR(__xludf.DUMMYFUNCTION("if(V2422="""",C2422,if(not(iserror(index(split(C2422, "" ""),3))), index(split(C2422, "" ""),3),index(split(C2422, "" ""),2)))"),"")</f>
        <v/>
      </c>
      <c r="X2422" s="38" t="b">
        <f t="shared" si="2"/>
        <v>0</v>
      </c>
      <c r="Y2422" s="38"/>
      <c r="Z2422" s="40"/>
      <c r="AA2422" s="40"/>
      <c r="AB2422" s="38"/>
      <c r="AC2422" s="38"/>
      <c r="AD2422" s="38"/>
      <c r="AE2422" s="38"/>
      <c r="AF2422" s="38"/>
      <c r="AG2422" s="38"/>
      <c r="AH2422" s="38"/>
      <c r="AI2422" s="38"/>
      <c r="AJ2422" s="38"/>
      <c r="AK2422" s="38"/>
      <c r="AL2422" s="38"/>
      <c r="AM2422" s="38"/>
      <c r="AN2422" s="38"/>
      <c r="AO2422" s="38"/>
      <c r="AP2422" s="38"/>
      <c r="AQ2422" s="38"/>
      <c r="AR2422" s="38"/>
      <c r="AS2422" s="38"/>
      <c r="AT2422" s="38"/>
      <c r="AU2422" s="38"/>
      <c r="AV2422" s="38"/>
      <c r="AW2422" s="38"/>
      <c r="AX2422" s="38"/>
      <c r="AY2422" s="38"/>
      <c r="AZ2422" s="38"/>
      <c r="BA2422" s="38"/>
      <c r="BB2422" s="38"/>
      <c r="BC2422" s="38"/>
      <c r="BD2422" s="38"/>
      <c r="BE2422" s="38"/>
      <c r="BF2422" s="38"/>
      <c r="BG2422" s="38"/>
    </row>
    <row r="2423">
      <c r="A2423" s="16"/>
      <c r="B2423" s="16"/>
      <c r="C2423" s="146"/>
      <c r="D2423" s="146"/>
      <c r="E2423" s="16"/>
      <c r="F2423" s="91"/>
      <c r="G2423" s="16"/>
      <c r="H2423" s="320" t="str">
        <f t="shared" si="1"/>
        <v/>
      </c>
      <c r="I2423" s="16"/>
      <c r="J2423" s="16"/>
      <c r="K2423" s="16"/>
      <c r="L2423" s="38"/>
      <c r="M2423" s="16"/>
      <c r="N2423" s="16"/>
      <c r="O2423" s="16"/>
      <c r="P2423" s="15"/>
      <c r="Q2423" s="15"/>
      <c r="R2423" s="16"/>
      <c r="S2423" s="16"/>
      <c r="T2423" s="16"/>
      <c r="U2423" s="16"/>
      <c r="V2423" s="37" t="str">
        <f>IFERROR(__xludf.DUMMYFUNCTION("if(not(iserror(index(split(C2423, "" ""),2))), index(split(C2423, "" ""),1),"""")"),"")</f>
        <v/>
      </c>
      <c r="W2423" s="315" t="str">
        <f>IFERROR(__xludf.DUMMYFUNCTION("if(V2423="""",C2423,if(not(iserror(index(split(C2423, "" ""),3))), index(split(C2423, "" ""),3),index(split(C2423, "" ""),2)))"),"")</f>
        <v/>
      </c>
      <c r="X2423" s="38" t="b">
        <f t="shared" si="2"/>
        <v>0</v>
      </c>
      <c r="Y2423" s="38"/>
      <c r="Z2423" s="40"/>
      <c r="AA2423" s="40"/>
      <c r="AB2423" s="38"/>
      <c r="AC2423" s="38"/>
      <c r="AD2423" s="38"/>
      <c r="AE2423" s="38"/>
      <c r="AF2423" s="38"/>
      <c r="AG2423" s="38"/>
      <c r="AH2423" s="38"/>
      <c r="AI2423" s="38"/>
      <c r="AJ2423" s="38"/>
      <c r="AK2423" s="38"/>
      <c r="AL2423" s="38"/>
      <c r="AM2423" s="38"/>
      <c r="AN2423" s="38"/>
      <c r="AO2423" s="38"/>
      <c r="AP2423" s="38"/>
      <c r="AQ2423" s="38"/>
      <c r="AR2423" s="38"/>
      <c r="AS2423" s="38"/>
      <c r="AT2423" s="38"/>
      <c r="AU2423" s="38"/>
      <c r="AV2423" s="38"/>
      <c r="AW2423" s="38"/>
      <c r="AX2423" s="38"/>
      <c r="AY2423" s="38"/>
      <c r="AZ2423" s="38"/>
      <c r="BA2423" s="38"/>
      <c r="BB2423" s="38"/>
      <c r="BC2423" s="38"/>
      <c r="BD2423" s="38"/>
      <c r="BE2423" s="38"/>
      <c r="BF2423" s="38"/>
      <c r="BG2423" s="38"/>
    </row>
    <row r="2424">
      <c r="A2424" s="16"/>
      <c r="B2424" s="16"/>
      <c r="C2424" s="146"/>
      <c r="D2424" s="146"/>
      <c r="E2424" s="16"/>
      <c r="F2424" s="91"/>
      <c r="G2424" s="16"/>
      <c r="H2424" s="320" t="str">
        <f t="shared" si="1"/>
        <v/>
      </c>
      <c r="I2424" s="16"/>
      <c r="J2424" s="16"/>
      <c r="K2424" s="16"/>
      <c r="L2424" s="38"/>
      <c r="M2424" s="16"/>
      <c r="N2424" s="16"/>
      <c r="O2424" s="16"/>
      <c r="P2424" s="15"/>
      <c r="Q2424" s="15"/>
      <c r="R2424" s="16"/>
      <c r="S2424" s="16"/>
      <c r="T2424" s="16"/>
      <c r="U2424" s="16"/>
      <c r="V2424" s="37" t="str">
        <f>IFERROR(__xludf.DUMMYFUNCTION("if(not(iserror(index(split(C2424, "" ""),2))), index(split(C2424, "" ""),1),"""")"),"")</f>
        <v/>
      </c>
      <c r="W2424" s="315" t="str">
        <f>IFERROR(__xludf.DUMMYFUNCTION("if(V2424="""",C2424,if(not(iserror(index(split(C2424, "" ""),3))), index(split(C2424, "" ""),3),index(split(C2424, "" ""),2)))"),"")</f>
        <v/>
      </c>
      <c r="X2424" s="38" t="b">
        <f t="shared" si="2"/>
        <v>0</v>
      </c>
      <c r="Y2424" s="38"/>
      <c r="Z2424" s="40"/>
      <c r="AA2424" s="40"/>
      <c r="AB2424" s="38"/>
      <c r="AC2424" s="38"/>
      <c r="AD2424" s="38"/>
      <c r="AE2424" s="38"/>
      <c r="AF2424" s="38"/>
      <c r="AG2424" s="38"/>
      <c r="AH2424" s="38"/>
      <c r="AI2424" s="38"/>
      <c r="AJ2424" s="38"/>
      <c r="AK2424" s="38"/>
      <c r="AL2424" s="38"/>
      <c r="AM2424" s="38"/>
      <c r="AN2424" s="38"/>
      <c r="AO2424" s="38"/>
      <c r="AP2424" s="38"/>
      <c r="AQ2424" s="38"/>
      <c r="AR2424" s="38"/>
      <c r="AS2424" s="38"/>
      <c r="AT2424" s="38"/>
      <c r="AU2424" s="38"/>
      <c r="AV2424" s="38"/>
      <c r="AW2424" s="38"/>
      <c r="AX2424" s="38"/>
      <c r="AY2424" s="38"/>
      <c r="AZ2424" s="38"/>
      <c r="BA2424" s="38"/>
      <c r="BB2424" s="38"/>
      <c r="BC2424" s="38"/>
      <c r="BD2424" s="38"/>
      <c r="BE2424" s="38"/>
      <c r="BF2424" s="38"/>
      <c r="BG2424" s="38"/>
    </row>
    <row r="2425">
      <c r="A2425" s="16"/>
      <c r="B2425" s="16"/>
      <c r="C2425" s="146"/>
      <c r="D2425" s="146"/>
      <c r="E2425" s="16"/>
      <c r="F2425" s="91"/>
      <c r="G2425" s="16"/>
      <c r="H2425" s="320" t="str">
        <f t="shared" si="1"/>
        <v/>
      </c>
      <c r="I2425" s="16"/>
      <c r="J2425" s="16"/>
      <c r="K2425" s="16"/>
      <c r="L2425" s="38"/>
      <c r="M2425" s="16"/>
      <c r="N2425" s="16"/>
      <c r="O2425" s="16"/>
      <c r="P2425" s="15"/>
      <c r="Q2425" s="15"/>
      <c r="R2425" s="16"/>
      <c r="S2425" s="16"/>
      <c r="T2425" s="16"/>
      <c r="U2425" s="16"/>
      <c r="V2425" s="37" t="str">
        <f>IFERROR(__xludf.DUMMYFUNCTION("if(not(iserror(index(split(C2425, "" ""),2))), index(split(C2425, "" ""),1),"""")"),"")</f>
        <v/>
      </c>
      <c r="W2425" s="315" t="str">
        <f>IFERROR(__xludf.DUMMYFUNCTION("if(V2425="""",C2425,if(not(iserror(index(split(C2425, "" ""),3))), index(split(C2425, "" ""),3),index(split(C2425, "" ""),2)))"),"")</f>
        <v/>
      </c>
      <c r="X2425" s="38" t="b">
        <f t="shared" si="2"/>
        <v>0</v>
      </c>
      <c r="Y2425" s="38"/>
      <c r="Z2425" s="40"/>
      <c r="AA2425" s="40"/>
      <c r="AB2425" s="38"/>
      <c r="AC2425" s="38"/>
      <c r="AD2425" s="38"/>
      <c r="AE2425" s="38"/>
      <c r="AF2425" s="38"/>
      <c r="AG2425" s="38"/>
      <c r="AH2425" s="38"/>
      <c r="AI2425" s="38"/>
      <c r="AJ2425" s="38"/>
      <c r="AK2425" s="38"/>
      <c r="AL2425" s="38"/>
      <c r="AM2425" s="38"/>
      <c r="AN2425" s="38"/>
      <c r="AO2425" s="38"/>
      <c r="AP2425" s="38"/>
      <c r="AQ2425" s="38"/>
      <c r="AR2425" s="38"/>
      <c r="AS2425" s="38"/>
      <c r="AT2425" s="38"/>
      <c r="AU2425" s="38"/>
      <c r="AV2425" s="38"/>
      <c r="AW2425" s="38"/>
      <c r="AX2425" s="38"/>
      <c r="AY2425" s="38"/>
      <c r="AZ2425" s="38"/>
      <c r="BA2425" s="38"/>
      <c r="BB2425" s="38"/>
      <c r="BC2425" s="38"/>
      <c r="BD2425" s="38"/>
      <c r="BE2425" s="38"/>
      <c r="BF2425" s="38"/>
      <c r="BG2425" s="38"/>
    </row>
    <row r="2426">
      <c r="A2426" s="16"/>
      <c r="B2426" s="16"/>
      <c r="C2426" s="146"/>
      <c r="D2426" s="146"/>
      <c r="E2426" s="16"/>
      <c r="F2426" s="91"/>
      <c r="G2426" s="16"/>
      <c r="H2426" s="320" t="str">
        <f t="shared" si="1"/>
        <v/>
      </c>
      <c r="I2426" s="16"/>
      <c r="J2426" s="16"/>
      <c r="K2426" s="16"/>
      <c r="L2426" s="38"/>
      <c r="M2426" s="16"/>
      <c r="N2426" s="16"/>
      <c r="O2426" s="16"/>
      <c r="P2426" s="15"/>
      <c r="Q2426" s="15"/>
      <c r="R2426" s="16"/>
      <c r="S2426" s="16"/>
      <c r="T2426" s="16"/>
      <c r="U2426" s="16"/>
      <c r="V2426" s="37" t="str">
        <f>IFERROR(__xludf.DUMMYFUNCTION("if(not(iserror(index(split(C2426, "" ""),2))), index(split(C2426, "" ""),1),"""")"),"")</f>
        <v/>
      </c>
      <c r="W2426" s="315" t="str">
        <f>IFERROR(__xludf.DUMMYFUNCTION("if(V2426="""",C2426,if(not(iserror(index(split(C2426, "" ""),3))), index(split(C2426, "" ""),3),index(split(C2426, "" ""),2)))"),"")</f>
        <v/>
      </c>
      <c r="X2426" s="38" t="b">
        <f t="shared" si="2"/>
        <v>0</v>
      </c>
      <c r="Y2426" s="38"/>
      <c r="Z2426" s="40"/>
      <c r="AA2426" s="40"/>
      <c r="AB2426" s="38"/>
      <c r="AC2426" s="38"/>
      <c r="AD2426" s="38"/>
      <c r="AE2426" s="38"/>
      <c r="AF2426" s="38"/>
      <c r="AG2426" s="38"/>
      <c r="AH2426" s="38"/>
      <c r="AI2426" s="38"/>
      <c r="AJ2426" s="38"/>
      <c r="AK2426" s="38"/>
      <c r="AL2426" s="38"/>
      <c r="AM2426" s="38"/>
      <c r="AN2426" s="38"/>
      <c r="AO2426" s="38"/>
      <c r="AP2426" s="38"/>
      <c r="AQ2426" s="38"/>
      <c r="AR2426" s="38"/>
      <c r="AS2426" s="38"/>
      <c r="AT2426" s="38"/>
      <c r="AU2426" s="38"/>
      <c r="AV2426" s="38"/>
      <c r="AW2426" s="38"/>
      <c r="AX2426" s="38"/>
      <c r="AY2426" s="38"/>
      <c r="AZ2426" s="38"/>
      <c r="BA2426" s="38"/>
      <c r="BB2426" s="38"/>
      <c r="BC2426" s="38"/>
      <c r="BD2426" s="38"/>
      <c r="BE2426" s="38"/>
      <c r="BF2426" s="38"/>
      <c r="BG2426" s="38"/>
    </row>
    <row r="2427">
      <c r="A2427" s="16"/>
      <c r="B2427" s="16"/>
      <c r="C2427" s="146"/>
      <c r="D2427" s="146"/>
      <c r="E2427" s="16"/>
      <c r="F2427" s="91"/>
      <c r="G2427" s="16"/>
      <c r="H2427" s="320" t="str">
        <f t="shared" si="1"/>
        <v/>
      </c>
      <c r="I2427" s="16"/>
      <c r="J2427" s="16"/>
      <c r="K2427" s="16"/>
      <c r="L2427" s="38"/>
      <c r="M2427" s="16"/>
      <c r="N2427" s="16"/>
      <c r="O2427" s="16"/>
      <c r="P2427" s="15"/>
      <c r="Q2427" s="15"/>
      <c r="R2427" s="16"/>
      <c r="S2427" s="16"/>
      <c r="T2427" s="16"/>
      <c r="U2427" s="16"/>
      <c r="V2427" s="37" t="str">
        <f>IFERROR(__xludf.DUMMYFUNCTION("if(not(iserror(index(split(C2427, "" ""),2))), index(split(C2427, "" ""),1),"""")"),"")</f>
        <v/>
      </c>
      <c r="W2427" s="315" t="str">
        <f>IFERROR(__xludf.DUMMYFUNCTION("if(V2427="""",C2427,if(not(iserror(index(split(C2427, "" ""),3))), index(split(C2427, "" ""),3),index(split(C2427, "" ""),2)))"),"")</f>
        <v/>
      </c>
      <c r="X2427" s="38" t="b">
        <f t="shared" si="2"/>
        <v>0</v>
      </c>
      <c r="Y2427" s="38"/>
      <c r="Z2427" s="40"/>
      <c r="AA2427" s="40"/>
      <c r="AB2427" s="38"/>
      <c r="AC2427" s="38"/>
      <c r="AD2427" s="38"/>
      <c r="AE2427" s="38"/>
      <c r="AF2427" s="38"/>
      <c r="AG2427" s="38"/>
      <c r="AH2427" s="38"/>
      <c r="AI2427" s="38"/>
      <c r="AJ2427" s="38"/>
      <c r="AK2427" s="38"/>
      <c r="AL2427" s="38"/>
      <c r="AM2427" s="38"/>
      <c r="AN2427" s="38"/>
      <c r="AO2427" s="38"/>
      <c r="AP2427" s="38"/>
      <c r="AQ2427" s="38"/>
      <c r="AR2427" s="38"/>
      <c r="AS2427" s="38"/>
      <c r="AT2427" s="38"/>
      <c r="AU2427" s="38"/>
      <c r="AV2427" s="38"/>
      <c r="AW2427" s="38"/>
      <c r="AX2427" s="38"/>
      <c r="AY2427" s="38"/>
      <c r="AZ2427" s="38"/>
      <c r="BA2427" s="38"/>
      <c r="BB2427" s="38"/>
      <c r="BC2427" s="38"/>
      <c r="BD2427" s="38"/>
      <c r="BE2427" s="38"/>
      <c r="BF2427" s="38"/>
      <c r="BG2427" s="38"/>
    </row>
    <row r="2428">
      <c r="A2428" s="16"/>
      <c r="B2428" s="16"/>
      <c r="C2428" s="146"/>
      <c r="D2428" s="146"/>
      <c r="E2428" s="16"/>
      <c r="F2428" s="91"/>
      <c r="G2428" s="16"/>
      <c r="H2428" s="320" t="str">
        <f t="shared" si="1"/>
        <v/>
      </c>
      <c r="I2428" s="16"/>
      <c r="J2428" s="16"/>
      <c r="K2428" s="16"/>
      <c r="L2428" s="38"/>
      <c r="M2428" s="16"/>
      <c r="N2428" s="16"/>
      <c r="O2428" s="16"/>
      <c r="P2428" s="15"/>
      <c r="Q2428" s="15"/>
      <c r="R2428" s="16"/>
      <c r="S2428" s="16"/>
      <c r="T2428" s="16"/>
      <c r="U2428" s="16"/>
      <c r="V2428" s="37" t="str">
        <f>IFERROR(__xludf.DUMMYFUNCTION("if(not(iserror(index(split(C2428, "" ""),2))), index(split(C2428, "" ""),1),"""")"),"")</f>
        <v/>
      </c>
      <c r="W2428" s="315" t="str">
        <f>IFERROR(__xludf.DUMMYFUNCTION("if(V2428="""",C2428,if(not(iserror(index(split(C2428, "" ""),3))), index(split(C2428, "" ""),3),index(split(C2428, "" ""),2)))"),"")</f>
        <v/>
      </c>
      <c r="X2428" s="38" t="b">
        <f t="shared" si="2"/>
        <v>0</v>
      </c>
      <c r="Y2428" s="38"/>
      <c r="Z2428" s="40"/>
      <c r="AA2428" s="40"/>
      <c r="AB2428" s="38"/>
      <c r="AC2428" s="38"/>
      <c r="AD2428" s="38"/>
      <c r="AE2428" s="38"/>
      <c r="AF2428" s="38"/>
      <c r="AG2428" s="38"/>
      <c r="AH2428" s="38"/>
      <c r="AI2428" s="38"/>
      <c r="AJ2428" s="38"/>
      <c r="AK2428" s="38"/>
      <c r="AL2428" s="38"/>
      <c r="AM2428" s="38"/>
      <c r="AN2428" s="38"/>
      <c r="AO2428" s="38"/>
      <c r="AP2428" s="38"/>
      <c r="AQ2428" s="38"/>
      <c r="AR2428" s="38"/>
      <c r="AS2428" s="38"/>
      <c r="AT2428" s="38"/>
      <c r="AU2428" s="38"/>
      <c r="AV2428" s="38"/>
      <c r="AW2428" s="38"/>
      <c r="AX2428" s="38"/>
      <c r="AY2428" s="38"/>
      <c r="AZ2428" s="38"/>
      <c r="BA2428" s="38"/>
      <c r="BB2428" s="38"/>
      <c r="BC2428" s="38"/>
      <c r="BD2428" s="38"/>
      <c r="BE2428" s="38"/>
      <c r="BF2428" s="38"/>
      <c r="BG2428" s="38"/>
    </row>
    <row r="2429">
      <c r="A2429" s="16"/>
      <c r="B2429" s="16"/>
      <c r="C2429" s="146"/>
      <c r="D2429" s="146"/>
      <c r="E2429" s="16"/>
      <c r="F2429" s="91"/>
      <c r="G2429" s="16"/>
      <c r="H2429" s="320" t="str">
        <f t="shared" si="1"/>
        <v/>
      </c>
      <c r="I2429" s="16"/>
      <c r="J2429" s="16"/>
      <c r="K2429" s="16"/>
      <c r="L2429" s="38"/>
      <c r="M2429" s="16"/>
      <c r="N2429" s="16"/>
      <c r="O2429" s="16"/>
      <c r="P2429" s="15"/>
      <c r="Q2429" s="15"/>
      <c r="R2429" s="16"/>
      <c r="S2429" s="16"/>
      <c r="T2429" s="16"/>
      <c r="U2429" s="16"/>
      <c r="V2429" s="37" t="str">
        <f>IFERROR(__xludf.DUMMYFUNCTION("if(not(iserror(index(split(C2429, "" ""),2))), index(split(C2429, "" ""),1),"""")"),"")</f>
        <v/>
      </c>
      <c r="W2429" s="315" t="str">
        <f>IFERROR(__xludf.DUMMYFUNCTION("if(V2429="""",C2429,if(not(iserror(index(split(C2429, "" ""),3))), index(split(C2429, "" ""),3),index(split(C2429, "" ""),2)))"),"")</f>
        <v/>
      </c>
      <c r="X2429" s="38" t="b">
        <f t="shared" si="2"/>
        <v>0</v>
      </c>
      <c r="Y2429" s="38"/>
      <c r="Z2429" s="40"/>
      <c r="AA2429" s="40"/>
      <c r="AB2429" s="38"/>
      <c r="AC2429" s="38"/>
      <c r="AD2429" s="38"/>
      <c r="AE2429" s="38"/>
      <c r="AF2429" s="38"/>
      <c r="AG2429" s="38"/>
      <c r="AH2429" s="38"/>
      <c r="AI2429" s="38"/>
      <c r="AJ2429" s="38"/>
      <c r="AK2429" s="38"/>
      <c r="AL2429" s="38"/>
      <c r="AM2429" s="38"/>
      <c r="AN2429" s="38"/>
      <c r="AO2429" s="38"/>
      <c r="AP2429" s="38"/>
      <c r="AQ2429" s="38"/>
      <c r="AR2429" s="38"/>
      <c r="AS2429" s="38"/>
      <c r="AT2429" s="38"/>
      <c r="AU2429" s="38"/>
      <c r="AV2429" s="38"/>
      <c r="AW2429" s="38"/>
      <c r="AX2429" s="38"/>
      <c r="AY2429" s="38"/>
      <c r="AZ2429" s="38"/>
      <c r="BA2429" s="38"/>
      <c r="BB2429" s="38"/>
      <c r="BC2429" s="38"/>
      <c r="BD2429" s="38"/>
      <c r="BE2429" s="38"/>
      <c r="BF2429" s="38"/>
      <c r="BG2429" s="38"/>
    </row>
    <row r="2430">
      <c r="A2430" s="16"/>
      <c r="B2430" s="16"/>
      <c r="C2430" s="146"/>
      <c r="D2430" s="146"/>
      <c r="E2430" s="16"/>
      <c r="F2430" s="91"/>
      <c r="G2430" s="16"/>
      <c r="H2430" s="320" t="str">
        <f t="shared" si="1"/>
        <v/>
      </c>
      <c r="I2430" s="16"/>
      <c r="J2430" s="16"/>
      <c r="K2430" s="16"/>
      <c r="L2430" s="38"/>
      <c r="M2430" s="16"/>
      <c r="N2430" s="16"/>
      <c r="O2430" s="16"/>
      <c r="P2430" s="15"/>
      <c r="Q2430" s="15"/>
      <c r="R2430" s="16"/>
      <c r="S2430" s="16"/>
      <c r="T2430" s="16"/>
      <c r="U2430" s="16"/>
      <c r="V2430" s="37" t="str">
        <f>IFERROR(__xludf.DUMMYFUNCTION("if(not(iserror(index(split(C2430, "" ""),2))), index(split(C2430, "" ""),1),"""")"),"")</f>
        <v/>
      </c>
      <c r="W2430" s="315" t="str">
        <f>IFERROR(__xludf.DUMMYFUNCTION("if(V2430="""",C2430,if(not(iserror(index(split(C2430, "" ""),3))), index(split(C2430, "" ""),3),index(split(C2430, "" ""),2)))"),"")</f>
        <v/>
      </c>
      <c r="X2430" s="38" t="b">
        <f t="shared" si="2"/>
        <v>0</v>
      </c>
      <c r="Y2430" s="38"/>
      <c r="Z2430" s="40"/>
      <c r="AA2430" s="40"/>
      <c r="AB2430" s="38"/>
      <c r="AC2430" s="38"/>
      <c r="AD2430" s="38"/>
      <c r="AE2430" s="38"/>
      <c r="AF2430" s="38"/>
      <c r="AG2430" s="38"/>
      <c r="AH2430" s="38"/>
      <c r="AI2430" s="38"/>
      <c r="AJ2430" s="38"/>
      <c r="AK2430" s="38"/>
      <c r="AL2430" s="38"/>
      <c r="AM2430" s="38"/>
      <c r="AN2430" s="38"/>
      <c r="AO2430" s="38"/>
      <c r="AP2430" s="38"/>
      <c r="AQ2430" s="38"/>
      <c r="AR2430" s="38"/>
      <c r="AS2430" s="38"/>
      <c r="AT2430" s="38"/>
      <c r="AU2430" s="38"/>
      <c r="AV2430" s="38"/>
      <c r="AW2430" s="38"/>
      <c r="AX2430" s="38"/>
      <c r="AY2430" s="38"/>
      <c r="AZ2430" s="38"/>
      <c r="BA2430" s="38"/>
      <c r="BB2430" s="38"/>
      <c r="BC2430" s="38"/>
      <c r="BD2430" s="38"/>
      <c r="BE2430" s="38"/>
      <c r="BF2430" s="38"/>
      <c r="BG2430" s="38"/>
    </row>
    <row r="2431">
      <c r="A2431" s="16"/>
      <c r="B2431" s="16"/>
      <c r="C2431" s="146"/>
      <c r="D2431" s="146"/>
      <c r="E2431" s="16"/>
      <c r="F2431" s="91"/>
      <c r="G2431" s="16"/>
      <c r="H2431" s="320" t="str">
        <f t="shared" si="1"/>
        <v/>
      </c>
      <c r="I2431" s="16"/>
      <c r="J2431" s="16"/>
      <c r="K2431" s="16"/>
      <c r="L2431" s="38"/>
      <c r="M2431" s="16"/>
      <c r="N2431" s="16"/>
      <c r="O2431" s="16"/>
      <c r="P2431" s="15"/>
      <c r="Q2431" s="15"/>
      <c r="R2431" s="16"/>
      <c r="S2431" s="16"/>
      <c r="T2431" s="16"/>
      <c r="U2431" s="16"/>
      <c r="V2431" s="37" t="str">
        <f>IFERROR(__xludf.DUMMYFUNCTION("if(not(iserror(index(split(C2431, "" ""),2))), index(split(C2431, "" ""),1),"""")"),"")</f>
        <v/>
      </c>
      <c r="W2431" s="315" t="str">
        <f>IFERROR(__xludf.DUMMYFUNCTION("if(V2431="""",C2431,if(not(iserror(index(split(C2431, "" ""),3))), index(split(C2431, "" ""),3),index(split(C2431, "" ""),2)))"),"")</f>
        <v/>
      </c>
      <c r="X2431" s="38" t="b">
        <f t="shared" si="2"/>
        <v>0</v>
      </c>
      <c r="Y2431" s="38"/>
      <c r="Z2431" s="40"/>
      <c r="AA2431" s="40"/>
      <c r="AB2431" s="38"/>
      <c r="AC2431" s="38"/>
      <c r="AD2431" s="38"/>
      <c r="AE2431" s="38"/>
      <c r="AF2431" s="38"/>
      <c r="AG2431" s="38"/>
      <c r="AH2431" s="38"/>
      <c r="AI2431" s="38"/>
      <c r="AJ2431" s="38"/>
      <c r="AK2431" s="38"/>
      <c r="AL2431" s="38"/>
      <c r="AM2431" s="38"/>
      <c r="AN2431" s="38"/>
      <c r="AO2431" s="38"/>
      <c r="AP2431" s="38"/>
      <c r="AQ2431" s="38"/>
      <c r="AR2431" s="38"/>
      <c r="AS2431" s="38"/>
      <c r="AT2431" s="38"/>
      <c r="AU2431" s="38"/>
      <c r="AV2431" s="38"/>
      <c r="AW2431" s="38"/>
      <c r="AX2431" s="38"/>
      <c r="AY2431" s="38"/>
      <c r="AZ2431" s="38"/>
      <c r="BA2431" s="38"/>
      <c r="BB2431" s="38"/>
      <c r="BC2431" s="38"/>
      <c r="BD2431" s="38"/>
      <c r="BE2431" s="38"/>
      <c r="BF2431" s="38"/>
      <c r="BG2431" s="38"/>
    </row>
    <row r="2432">
      <c r="A2432" s="16"/>
      <c r="B2432" s="16"/>
      <c r="C2432" s="146"/>
      <c r="D2432" s="146"/>
      <c r="E2432" s="16"/>
      <c r="F2432" s="91"/>
      <c r="G2432" s="16"/>
      <c r="H2432" s="320" t="str">
        <f t="shared" si="1"/>
        <v/>
      </c>
      <c r="I2432" s="16"/>
      <c r="J2432" s="16"/>
      <c r="K2432" s="16"/>
      <c r="L2432" s="38"/>
      <c r="M2432" s="16"/>
      <c r="N2432" s="16"/>
      <c r="O2432" s="16"/>
      <c r="P2432" s="15"/>
      <c r="Q2432" s="15"/>
      <c r="R2432" s="16"/>
      <c r="S2432" s="16"/>
      <c r="T2432" s="16"/>
      <c r="U2432" s="16"/>
      <c r="V2432" s="37" t="str">
        <f>IFERROR(__xludf.DUMMYFUNCTION("if(not(iserror(index(split(C2432, "" ""),2))), index(split(C2432, "" ""),1),"""")"),"")</f>
        <v/>
      </c>
      <c r="W2432" s="315" t="str">
        <f>IFERROR(__xludf.DUMMYFUNCTION("if(V2432="""",C2432,if(not(iserror(index(split(C2432, "" ""),3))), index(split(C2432, "" ""),3),index(split(C2432, "" ""),2)))"),"")</f>
        <v/>
      </c>
      <c r="X2432" s="38" t="b">
        <f t="shared" si="2"/>
        <v>0</v>
      </c>
      <c r="Y2432" s="38"/>
      <c r="Z2432" s="40"/>
      <c r="AA2432" s="40"/>
      <c r="AB2432" s="38"/>
      <c r="AC2432" s="38"/>
      <c r="AD2432" s="38"/>
      <c r="AE2432" s="38"/>
      <c r="AF2432" s="38"/>
      <c r="AG2432" s="38"/>
      <c r="AH2432" s="38"/>
      <c r="AI2432" s="38"/>
      <c r="AJ2432" s="38"/>
      <c r="AK2432" s="38"/>
      <c r="AL2432" s="38"/>
      <c r="AM2432" s="38"/>
      <c r="AN2432" s="38"/>
      <c r="AO2432" s="38"/>
      <c r="AP2432" s="38"/>
      <c r="AQ2432" s="38"/>
      <c r="AR2432" s="38"/>
      <c r="AS2432" s="38"/>
      <c r="AT2432" s="38"/>
      <c r="AU2432" s="38"/>
      <c r="AV2432" s="38"/>
      <c r="AW2432" s="38"/>
      <c r="AX2432" s="38"/>
      <c r="AY2432" s="38"/>
      <c r="AZ2432" s="38"/>
      <c r="BA2432" s="38"/>
      <c r="BB2432" s="38"/>
      <c r="BC2432" s="38"/>
      <c r="BD2432" s="38"/>
      <c r="BE2432" s="38"/>
      <c r="BF2432" s="38"/>
      <c r="BG2432" s="38"/>
    </row>
    <row r="2433">
      <c r="A2433" s="16"/>
      <c r="B2433" s="16"/>
      <c r="C2433" s="146"/>
      <c r="D2433" s="146"/>
      <c r="E2433" s="16"/>
      <c r="F2433" s="91"/>
      <c r="G2433" s="16"/>
      <c r="H2433" s="320" t="str">
        <f t="shared" si="1"/>
        <v/>
      </c>
      <c r="I2433" s="16"/>
      <c r="J2433" s="16"/>
      <c r="K2433" s="16"/>
      <c r="L2433" s="38"/>
      <c r="M2433" s="16"/>
      <c r="N2433" s="16"/>
      <c r="O2433" s="16"/>
      <c r="P2433" s="15"/>
      <c r="Q2433" s="15"/>
      <c r="R2433" s="16"/>
      <c r="S2433" s="16"/>
      <c r="T2433" s="16"/>
      <c r="U2433" s="16"/>
      <c r="V2433" s="37" t="str">
        <f>IFERROR(__xludf.DUMMYFUNCTION("if(not(iserror(index(split(C2433, "" ""),2))), index(split(C2433, "" ""),1),"""")"),"")</f>
        <v/>
      </c>
      <c r="W2433" s="315" t="str">
        <f>IFERROR(__xludf.DUMMYFUNCTION("if(V2433="""",C2433,if(not(iserror(index(split(C2433, "" ""),3))), index(split(C2433, "" ""),3),index(split(C2433, "" ""),2)))"),"")</f>
        <v/>
      </c>
      <c r="X2433" s="38" t="b">
        <f t="shared" si="2"/>
        <v>0</v>
      </c>
      <c r="Y2433" s="38"/>
      <c r="Z2433" s="40"/>
      <c r="AA2433" s="40"/>
      <c r="AB2433" s="38"/>
      <c r="AC2433" s="38"/>
      <c r="AD2433" s="38"/>
      <c r="AE2433" s="38"/>
      <c r="AF2433" s="38"/>
      <c r="AG2433" s="38"/>
      <c r="AH2433" s="38"/>
      <c r="AI2433" s="38"/>
      <c r="AJ2433" s="38"/>
      <c r="AK2433" s="38"/>
      <c r="AL2433" s="38"/>
      <c r="AM2433" s="38"/>
      <c r="AN2433" s="38"/>
      <c r="AO2433" s="38"/>
      <c r="AP2433" s="38"/>
      <c r="AQ2433" s="38"/>
      <c r="AR2433" s="38"/>
      <c r="AS2433" s="38"/>
      <c r="AT2433" s="38"/>
      <c r="AU2433" s="38"/>
      <c r="AV2433" s="38"/>
      <c r="AW2433" s="38"/>
      <c r="AX2433" s="38"/>
      <c r="AY2433" s="38"/>
      <c r="AZ2433" s="38"/>
      <c r="BA2433" s="38"/>
      <c r="BB2433" s="38"/>
      <c r="BC2433" s="38"/>
      <c r="BD2433" s="38"/>
      <c r="BE2433" s="38"/>
      <c r="BF2433" s="38"/>
      <c r="BG2433" s="38"/>
    </row>
    <row r="2434">
      <c r="A2434" s="16"/>
      <c r="B2434" s="16"/>
      <c r="C2434" s="146"/>
      <c r="D2434" s="146"/>
      <c r="E2434" s="16"/>
      <c r="F2434" s="91"/>
      <c r="G2434" s="16"/>
      <c r="H2434" s="320" t="str">
        <f t="shared" si="1"/>
        <v/>
      </c>
      <c r="I2434" s="16"/>
      <c r="J2434" s="16"/>
      <c r="K2434" s="16"/>
      <c r="L2434" s="38"/>
      <c r="M2434" s="16"/>
      <c r="N2434" s="16"/>
      <c r="O2434" s="16"/>
      <c r="P2434" s="15"/>
      <c r="Q2434" s="15"/>
      <c r="R2434" s="16"/>
      <c r="S2434" s="16"/>
      <c r="T2434" s="16"/>
      <c r="U2434" s="16"/>
      <c r="V2434" s="37" t="str">
        <f>IFERROR(__xludf.DUMMYFUNCTION("if(not(iserror(index(split(C2434, "" ""),2))), index(split(C2434, "" ""),1),"""")"),"")</f>
        <v/>
      </c>
      <c r="W2434" s="315" t="str">
        <f>IFERROR(__xludf.DUMMYFUNCTION("if(V2434="""",C2434,if(not(iserror(index(split(C2434, "" ""),3))), index(split(C2434, "" ""),3),index(split(C2434, "" ""),2)))"),"")</f>
        <v/>
      </c>
      <c r="X2434" s="38" t="b">
        <f t="shared" si="2"/>
        <v>0</v>
      </c>
      <c r="Y2434" s="38"/>
      <c r="Z2434" s="40"/>
      <c r="AA2434" s="40"/>
      <c r="AB2434" s="38"/>
      <c r="AC2434" s="38"/>
      <c r="AD2434" s="38"/>
      <c r="AE2434" s="38"/>
      <c r="AF2434" s="38"/>
      <c r="AG2434" s="38"/>
      <c r="AH2434" s="38"/>
      <c r="AI2434" s="38"/>
      <c r="AJ2434" s="38"/>
      <c r="AK2434" s="38"/>
      <c r="AL2434" s="38"/>
      <c r="AM2434" s="38"/>
      <c r="AN2434" s="38"/>
      <c r="AO2434" s="38"/>
      <c r="AP2434" s="38"/>
      <c r="AQ2434" s="38"/>
      <c r="AR2434" s="38"/>
      <c r="AS2434" s="38"/>
      <c r="AT2434" s="38"/>
      <c r="AU2434" s="38"/>
      <c r="AV2434" s="38"/>
      <c r="AW2434" s="38"/>
      <c r="AX2434" s="38"/>
      <c r="AY2434" s="38"/>
      <c r="AZ2434" s="38"/>
      <c r="BA2434" s="38"/>
      <c r="BB2434" s="38"/>
      <c r="BC2434" s="38"/>
      <c r="BD2434" s="38"/>
      <c r="BE2434" s="38"/>
      <c r="BF2434" s="38"/>
      <c r="BG2434" s="38"/>
    </row>
    <row r="2435">
      <c r="A2435" s="16"/>
      <c r="B2435" s="16"/>
      <c r="C2435" s="146"/>
      <c r="D2435" s="146"/>
      <c r="E2435" s="16"/>
      <c r="F2435" s="91"/>
      <c r="G2435" s="16"/>
      <c r="H2435" s="320" t="str">
        <f t="shared" si="1"/>
        <v/>
      </c>
      <c r="I2435" s="16"/>
      <c r="J2435" s="16"/>
      <c r="K2435" s="16"/>
      <c r="L2435" s="38"/>
      <c r="M2435" s="16"/>
      <c r="N2435" s="16"/>
      <c r="O2435" s="16"/>
      <c r="P2435" s="15"/>
      <c r="Q2435" s="15"/>
      <c r="R2435" s="16"/>
      <c r="S2435" s="16"/>
      <c r="T2435" s="16"/>
      <c r="U2435" s="16"/>
      <c r="V2435" s="37" t="str">
        <f>IFERROR(__xludf.DUMMYFUNCTION("if(not(iserror(index(split(C2435, "" ""),2))), index(split(C2435, "" ""),1),"""")"),"")</f>
        <v/>
      </c>
      <c r="W2435" s="315" t="str">
        <f>IFERROR(__xludf.DUMMYFUNCTION("if(V2435="""",C2435,if(not(iserror(index(split(C2435, "" ""),3))), index(split(C2435, "" ""),3),index(split(C2435, "" ""),2)))"),"")</f>
        <v/>
      </c>
      <c r="X2435" s="38" t="b">
        <f t="shared" si="2"/>
        <v>0</v>
      </c>
      <c r="Y2435" s="38"/>
      <c r="Z2435" s="40"/>
      <c r="AA2435" s="40"/>
      <c r="AB2435" s="38"/>
      <c r="AC2435" s="38"/>
      <c r="AD2435" s="38"/>
      <c r="AE2435" s="38"/>
      <c r="AF2435" s="38"/>
      <c r="AG2435" s="38"/>
      <c r="AH2435" s="38"/>
      <c r="AI2435" s="38"/>
      <c r="AJ2435" s="38"/>
      <c r="AK2435" s="38"/>
      <c r="AL2435" s="38"/>
      <c r="AM2435" s="38"/>
      <c r="AN2435" s="38"/>
      <c r="AO2435" s="38"/>
      <c r="AP2435" s="38"/>
      <c r="AQ2435" s="38"/>
      <c r="AR2435" s="38"/>
      <c r="AS2435" s="38"/>
      <c r="AT2435" s="38"/>
      <c r="AU2435" s="38"/>
      <c r="AV2435" s="38"/>
      <c r="AW2435" s="38"/>
      <c r="AX2435" s="38"/>
      <c r="AY2435" s="38"/>
      <c r="AZ2435" s="38"/>
      <c r="BA2435" s="38"/>
      <c r="BB2435" s="38"/>
      <c r="BC2435" s="38"/>
      <c r="BD2435" s="38"/>
      <c r="BE2435" s="38"/>
      <c r="BF2435" s="38"/>
      <c r="BG2435" s="38"/>
    </row>
    <row r="2436">
      <c r="A2436" s="16"/>
      <c r="B2436" s="16"/>
      <c r="C2436" s="146"/>
      <c r="D2436" s="146"/>
      <c r="E2436" s="16"/>
      <c r="F2436" s="91"/>
      <c r="G2436" s="16"/>
      <c r="H2436" s="320" t="str">
        <f t="shared" si="1"/>
        <v/>
      </c>
      <c r="I2436" s="16"/>
      <c r="J2436" s="16"/>
      <c r="K2436" s="16"/>
      <c r="L2436" s="38"/>
      <c r="M2436" s="16"/>
      <c r="N2436" s="16"/>
      <c r="O2436" s="16"/>
      <c r="P2436" s="15"/>
      <c r="Q2436" s="15"/>
      <c r="R2436" s="16"/>
      <c r="S2436" s="16"/>
      <c r="T2436" s="16"/>
      <c r="U2436" s="16"/>
      <c r="V2436" s="37" t="str">
        <f>IFERROR(__xludf.DUMMYFUNCTION("if(not(iserror(index(split(C2436, "" ""),2))), index(split(C2436, "" ""),1),"""")"),"")</f>
        <v/>
      </c>
      <c r="W2436" s="315" t="str">
        <f>IFERROR(__xludf.DUMMYFUNCTION("if(V2436="""",C2436,if(not(iserror(index(split(C2436, "" ""),3))), index(split(C2436, "" ""),3),index(split(C2436, "" ""),2)))"),"")</f>
        <v/>
      </c>
      <c r="X2436" s="38" t="b">
        <f t="shared" si="2"/>
        <v>0</v>
      </c>
      <c r="Y2436" s="38"/>
      <c r="Z2436" s="40"/>
      <c r="AA2436" s="40"/>
      <c r="AB2436" s="38"/>
      <c r="AC2436" s="38"/>
      <c r="AD2436" s="38"/>
      <c r="AE2436" s="38"/>
      <c r="AF2436" s="38"/>
      <c r="AG2436" s="38"/>
      <c r="AH2436" s="38"/>
      <c r="AI2436" s="38"/>
      <c r="AJ2436" s="38"/>
      <c r="AK2436" s="38"/>
      <c r="AL2436" s="38"/>
      <c r="AM2436" s="38"/>
      <c r="AN2436" s="38"/>
      <c r="AO2436" s="38"/>
      <c r="AP2436" s="38"/>
      <c r="AQ2436" s="38"/>
      <c r="AR2436" s="38"/>
      <c r="AS2436" s="38"/>
      <c r="AT2436" s="38"/>
      <c r="AU2436" s="38"/>
      <c r="AV2436" s="38"/>
      <c r="AW2436" s="38"/>
      <c r="AX2436" s="38"/>
      <c r="AY2436" s="38"/>
      <c r="AZ2436" s="38"/>
      <c r="BA2436" s="38"/>
      <c r="BB2436" s="38"/>
      <c r="BC2436" s="38"/>
      <c r="BD2436" s="38"/>
      <c r="BE2436" s="38"/>
      <c r="BF2436" s="38"/>
      <c r="BG2436" s="38"/>
    </row>
    <row r="2437">
      <c r="A2437" s="16"/>
      <c r="B2437" s="16"/>
      <c r="C2437" s="146"/>
      <c r="D2437" s="146"/>
      <c r="E2437" s="16"/>
      <c r="F2437" s="91"/>
      <c r="G2437" s="16"/>
      <c r="H2437" s="320" t="str">
        <f t="shared" si="1"/>
        <v/>
      </c>
      <c r="I2437" s="16"/>
      <c r="J2437" s="16"/>
      <c r="K2437" s="16"/>
      <c r="L2437" s="38"/>
      <c r="M2437" s="16"/>
      <c r="N2437" s="16"/>
      <c r="O2437" s="16"/>
      <c r="P2437" s="15"/>
      <c r="Q2437" s="15"/>
      <c r="R2437" s="16"/>
      <c r="S2437" s="16"/>
      <c r="T2437" s="16"/>
      <c r="U2437" s="16"/>
      <c r="V2437" s="37" t="str">
        <f>IFERROR(__xludf.DUMMYFUNCTION("if(not(iserror(index(split(C2437, "" ""),2))), index(split(C2437, "" ""),1),"""")"),"")</f>
        <v/>
      </c>
      <c r="W2437" s="315" t="str">
        <f>IFERROR(__xludf.DUMMYFUNCTION("if(V2437="""",C2437,if(not(iserror(index(split(C2437, "" ""),3))), index(split(C2437, "" ""),3),index(split(C2437, "" ""),2)))"),"")</f>
        <v/>
      </c>
      <c r="X2437" s="38" t="b">
        <f t="shared" si="2"/>
        <v>0</v>
      </c>
      <c r="Y2437" s="38"/>
      <c r="Z2437" s="40"/>
      <c r="AA2437" s="40"/>
      <c r="AB2437" s="38"/>
      <c r="AC2437" s="38"/>
      <c r="AD2437" s="38"/>
      <c r="AE2437" s="38"/>
      <c r="AF2437" s="38"/>
      <c r="AG2437" s="38"/>
      <c r="AH2437" s="38"/>
      <c r="AI2437" s="38"/>
      <c r="AJ2437" s="38"/>
      <c r="AK2437" s="38"/>
      <c r="AL2437" s="38"/>
      <c r="AM2437" s="38"/>
      <c r="AN2437" s="38"/>
      <c r="AO2437" s="38"/>
      <c r="AP2437" s="38"/>
      <c r="AQ2437" s="38"/>
      <c r="AR2437" s="38"/>
      <c r="AS2437" s="38"/>
      <c r="AT2437" s="38"/>
      <c r="AU2437" s="38"/>
      <c r="AV2437" s="38"/>
      <c r="AW2437" s="38"/>
      <c r="AX2437" s="38"/>
      <c r="AY2437" s="38"/>
      <c r="AZ2437" s="38"/>
      <c r="BA2437" s="38"/>
      <c r="BB2437" s="38"/>
      <c r="BC2437" s="38"/>
      <c r="BD2437" s="38"/>
      <c r="BE2437" s="38"/>
      <c r="BF2437" s="38"/>
      <c r="BG2437" s="38"/>
    </row>
    <row r="2438">
      <c r="A2438" s="16"/>
      <c r="B2438" s="16"/>
      <c r="C2438" s="146"/>
      <c r="D2438" s="146"/>
      <c r="E2438" s="16"/>
      <c r="F2438" s="91"/>
      <c r="G2438" s="16"/>
      <c r="H2438" s="320" t="str">
        <f t="shared" si="1"/>
        <v/>
      </c>
      <c r="I2438" s="16"/>
      <c r="J2438" s="16"/>
      <c r="K2438" s="16"/>
      <c r="L2438" s="38"/>
      <c r="M2438" s="16"/>
      <c r="N2438" s="16"/>
      <c r="O2438" s="16"/>
      <c r="P2438" s="15"/>
      <c r="Q2438" s="15"/>
      <c r="R2438" s="16"/>
      <c r="S2438" s="16"/>
      <c r="T2438" s="16"/>
      <c r="U2438" s="16"/>
      <c r="V2438" s="37" t="str">
        <f>IFERROR(__xludf.DUMMYFUNCTION("if(not(iserror(index(split(C2438, "" ""),2))), index(split(C2438, "" ""),1),"""")"),"")</f>
        <v/>
      </c>
      <c r="W2438" s="315" t="str">
        <f>IFERROR(__xludf.DUMMYFUNCTION("if(V2438="""",C2438,if(not(iserror(index(split(C2438, "" ""),3))), index(split(C2438, "" ""),3),index(split(C2438, "" ""),2)))"),"")</f>
        <v/>
      </c>
      <c r="X2438" s="38" t="b">
        <f t="shared" si="2"/>
        <v>0</v>
      </c>
      <c r="Y2438" s="38"/>
      <c r="Z2438" s="40"/>
      <c r="AA2438" s="40"/>
      <c r="AB2438" s="38"/>
      <c r="AC2438" s="38"/>
      <c r="AD2438" s="38"/>
      <c r="AE2438" s="38"/>
      <c r="AF2438" s="38"/>
      <c r="AG2438" s="38"/>
      <c r="AH2438" s="38"/>
      <c r="AI2438" s="38"/>
      <c r="AJ2438" s="38"/>
      <c r="AK2438" s="38"/>
      <c r="AL2438" s="38"/>
      <c r="AM2438" s="38"/>
      <c r="AN2438" s="38"/>
      <c r="AO2438" s="38"/>
      <c r="AP2438" s="38"/>
      <c r="AQ2438" s="38"/>
      <c r="AR2438" s="38"/>
      <c r="AS2438" s="38"/>
      <c r="AT2438" s="38"/>
      <c r="AU2438" s="38"/>
      <c r="AV2438" s="38"/>
      <c r="AW2438" s="38"/>
      <c r="AX2438" s="38"/>
      <c r="AY2438" s="38"/>
      <c r="AZ2438" s="38"/>
      <c r="BA2438" s="38"/>
      <c r="BB2438" s="38"/>
      <c r="BC2438" s="38"/>
      <c r="BD2438" s="38"/>
      <c r="BE2438" s="38"/>
      <c r="BF2438" s="38"/>
      <c r="BG2438" s="38"/>
    </row>
    <row r="2439">
      <c r="A2439" s="16"/>
      <c r="B2439" s="16"/>
      <c r="C2439" s="146"/>
      <c r="D2439" s="146"/>
      <c r="E2439" s="16"/>
      <c r="F2439" s="91"/>
      <c r="G2439" s="16"/>
      <c r="H2439" s="320" t="str">
        <f t="shared" si="1"/>
        <v/>
      </c>
      <c r="I2439" s="16"/>
      <c r="J2439" s="16"/>
      <c r="K2439" s="16"/>
      <c r="L2439" s="38"/>
      <c r="M2439" s="16"/>
      <c r="N2439" s="16"/>
      <c r="O2439" s="16"/>
      <c r="P2439" s="15"/>
      <c r="Q2439" s="15"/>
      <c r="R2439" s="16"/>
      <c r="S2439" s="16"/>
      <c r="T2439" s="16"/>
      <c r="U2439" s="16"/>
      <c r="V2439" s="37" t="str">
        <f>IFERROR(__xludf.DUMMYFUNCTION("if(not(iserror(index(split(C2439, "" ""),2))), index(split(C2439, "" ""),1),"""")"),"")</f>
        <v/>
      </c>
      <c r="W2439" s="315" t="str">
        <f>IFERROR(__xludf.DUMMYFUNCTION("if(V2439="""",C2439,if(not(iserror(index(split(C2439, "" ""),3))), index(split(C2439, "" ""),3),index(split(C2439, "" ""),2)))"),"")</f>
        <v/>
      </c>
      <c r="X2439" s="38" t="b">
        <f t="shared" si="2"/>
        <v>0</v>
      </c>
      <c r="Y2439" s="38"/>
      <c r="Z2439" s="40"/>
      <c r="AA2439" s="40"/>
      <c r="AB2439" s="38"/>
      <c r="AC2439" s="38"/>
      <c r="AD2439" s="38"/>
      <c r="AE2439" s="38"/>
      <c r="AF2439" s="38"/>
      <c r="AG2439" s="38"/>
      <c r="AH2439" s="38"/>
      <c r="AI2439" s="38"/>
      <c r="AJ2439" s="38"/>
      <c r="AK2439" s="38"/>
      <c r="AL2439" s="38"/>
      <c r="AM2439" s="38"/>
      <c r="AN2439" s="38"/>
      <c r="AO2439" s="38"/>
      <c r="AP2439" s="38"/>
      <c r="AQ2439" s="38"/>
      <c r="AR2439" s="38"/>
      <c r="AS2439" s="38"/>
      <c r="AT2439" s="38"/>
      <c r="AU2439" s="38"/>
      <c r="AV2439" s="38"/>
      <c r="AW2439" s="38"/>
      <c r="AX2439" s="38"/>
      <c r="AY2439" s="38"/>
      <c r="AZ2439" s="38"/>
      <c r="BA2439" s="38"/>
      <c r="BB2439" s="38"/>
      <c r="BC2439" s="38"/>
      <c r="BD2439" s="38"/>
      <c r="BE2439" s="38"/>
      <c r="BF2439" s="38"/>
      <c r="BG2439" s="38"/>
    </row>
    <row r="2440">
      <c r="A2440" s="16"/>
      <c r="B2440" s="16"/>
      <c r="C2440" s="146"/>
      <c r="D2440" s="146"/>
      <c r="E2440" s="16"/>
      <c r="F2440" s="91"/>
      <c r="G2440" s="16"/>
      <c r="H2440" s="320" t="str">
        <f t="shared" si="1"/>
        <v/>
      </c>
      <c r="I2440" s="16"/>
      <c r="J2440" s="16"/>
      <c r="K2440" s="16"/>
      <c r="L2440" s="38"/>
      <c r="M2440" s="16"/>
      <c r="N2440" s="16"/>
      <c r="O2440" s="16"/>
      <c r="P2440" s="15"/>
      <c r="Q2440" s="15"/>
      <c r="R2440" s="16"/>
      <c r="S2440" s="16"/>
      <c r="T2440" s="16"/>
      <c r="U2440" s="16"/>
      <c r="V2440" s="37" t="str">
        <f>IFERROR(__xludf.DUMMYFUNCTION("if(not(iserror(index(split(C2440, "" ""),2))), index(split(C2440, "" ""),1),"""")"),"")</f>
        <v/>
      </c>
      <c r="W2440" s="315" t="str">
        <f>IFERROR(__xludf.DUMMYFUNCTION("if(V2440="""",C2440,if(not(iserror(index(split(C2440, "" ""),3))), index(split(C2440, "" ""),3),index(split(C2440, "" ""),2)))"),"")</f>
        <v/>
      </c>
      <c r="X2440" s="38" t="b">
        <f t="shared" si="2"/>
        <v>0</v>
      </c>
      <c r="Y2440" s="38"/>
      <c r="Z2440" s="40"/>
      <c r="AA2440" s="40"/>
      <c r="AB2440" s="38"/>
      <c r="AC2440" s="38"/>
      <c r="AD2440" s="38"/>
      <c r="AE2440" s="38"/>
      <c r="AF2440" s="38"/>
      <c r="AG2440" s="38"/>
      <c r="AH2440" s="38"/>
      <c r="AI2440" s="38"/>
      <c r="AJ2440" s="38"/>
      <c r="AK2440" s="38"/>
      <c r="AL2440" s="38"/>
      <c r="AM2440" s="38"/>
      <c r="AN2440" s="38"/>
      <c r="AO2440" s="38"/>
      <c r="AP2440" s="38"/>
      <c r="AQ2440" s="38"/>
      <c r="AR2440" s="38"/>
      <c r="AS2440" s="38"/>
      <c r="AT2440" s="38"/>
      <c r="AU2440" s="38"/>
      <c r="AV2440" s="38"/>
      <c r="AW2440" s="38"/>
      <c r="AX2440" s="38"/>
      <c r="AY2440" s="38"/>
      <c r="AZ2440" s="38"/>
      <c r="BA2440" s="38"/>
      <c r="BB2440" s="38"/>
      <c r="BC2440" s="38"/>
      <c r="BD2440" s="38"/>
      <c r="BE2440" s="38"/>
      <c r="BF2440" s="38"/>
      <c r="BG2440" s="38"/>
    </row>
    <row r="2441">
      <c r="A2441" s="16"/>
      <c r="B2441" s="16"/>
      <c r="C2441" s="146"/>
      <c r="D2441" s="146"/>
      <c r="E2441" s="16"/>
      <c r="F2441" s="91"/>
      <c r="G2441" s="16"/>
      <c r="H2441" s="320" t="str">
        <f t="shared" si="1"/>
        <v/>
      </c>
      <c r="I2441" s="16"/>
      <c r="J2441" s="16"/>
      <c r="K2441" s="16"/>
      <c r="L2441" s="38"/>
      <c r="M2441" s="16"/>
      <c r="N2441" s="16"/>
      <c r="O2441" s="16"/>
      <c r="P2441" s="15"/>
      <c r="Q2441" s="15"/>
      <c r="R2441" s="16"/>
      <c r="S2441" s="16"/>
      <c r="T2441" s="16"/>
      <c r="U2441" s="16"/>
      <c r="V2441" s="37" t="str">
        <f>IFERROR(__xludf.DUMMYFUNCTION("if(not(iserror(index(split(C2441, "" ""),2))), index(split(C2441, "" ""),1),"""")"),"")</f>
        <v/>
      </c>
      <c r="W2441" s="315" t="str">
        <f>IFERROR(__xludf.DUMMYFUNCTION("if(V2441="""",C2441,if(not(iserror(index(split(C2441, "" ""),3))), index(split(C2441, "" ""),3),index(split(C2441, "" ""),2)))"),"")</f>
        <v/>
      </c>
      <c r="X2441" s="38" t="b">
        <f t="shared" si="2"/>
        <v>0</v>
      </c>
      <c r="Y2441" s="38"/>
      <c r="Z2441" s="40"/>
      <c r="AA2441" s="40"/>
      <c r="AB2441" s="38"/>
      <c r="AC2441" s="38"/>
      <c r="AD2441" s="38"/>
      <c r="AE2441" s="38"/>
      <c r="AF2441" s="38"/>
      <c r="AG2441" s="38"/>
      <c r="AH2441" s="38"/>
      <c r="AI2441" s="38"/>
      <c r="AJ2441" s="38"/>
      <c r="AK2441" s="38"/>
      <c r="AL2441" s="38"/>
      <c r="AM2441" s="38"/>
      <c r="AN2441" s="38"/>
      <c r="AO2441" s="38"/>
      <c r="AP2441" s="38"/>
      <c r="AQ2441" s="38"/>
      <c r="AR2441" s="38"/>
      <c r="AS2441" s="38"/>
      <c r="AT2441" s="38"/>
      <c r="AU2441" s="38"/>
      <c r="AV2441" s="38"/>
      <c r="AW2441" s="38"/>
      <c r="AX2441" s="38"/>
      <c r="AY2441" s="38"/>
      <c r="AZ2441" s="38"/>
      <c r="BA2441" s="38"/>
      <c r="BB2441" s="38"/>
      <c r="BC2441" s="38"/>
      <c r="BD2441" s="38"/>
      <c r="BE2441" s="38"/>
      <c r="BF2441" s="38"/>
      <c r="BG2441" s="38"/>
    </row>
    <row r="2442">
      <c r="A2442" s="16"/>
      <c r="B2442" s="16"/>
      <c r="C2442" s="146"/>
      <c r="D2442" s="146"/>
      <c r="E2442" s="16"/>
      <c r="F2442" s="91"/>
      <c r="G2442" s="16"/>
      <c r="H2442" s="320" t="str">
        <f t="shared" si="1"/>
        <v/>
      </c>
      <c r="I2442" s="16"/>
      <c r="J2442" s="16"/>
      <c r="K2442" s="16"/>
      <c r="L2442" s="38"/>
      <c r="M2442" s="16"/>
      <c r="N2442" s="16"/>
      <c r="O2442" s="16"/>
      <c r="P2442" s="15"/>
      <c r="Q2442" s="15"/>
      <c r="R2442" s="16"/>
      <c r="S2442" s="16"/>
      <c r="T2442" s="16"/>
      <c r="U2442" s="16"/>
      <c r="V2442" s="37" t="str">
        <f>IFERROR(__xludf.DUMMYFUNCTION("if(not(iserror(index(split(C2442, "" ""),2))), index(split(C2442, "" ""),1),"""")"),"")</f>
        <v/>
      </c>
      <c r="W2442" s="315" t="str">
        <f>IFERROR(__xludf.DUMMYFUNCTION("if(V2442="""",C2442,if(not(iserror(index(split(C2442, "" ""),3))), index(split(C2442, "" ""),3),index(split(C2442, "" ""),2)))"),"")</f>
        <v/>
      </c>
      <c r="X2442" s="38" t="b">
        <f t="shared" si="2"/>
        <v>0</v>
      </c>
      <c r="Y2442" s="38"/>
      <c r="Z2442" s="40"/>
      <c r="AA2442" s="40"/>
      <c r="AB2442" s="38"/>
      <c r="AC2442" s="38"/>
      <c r="AD2442" s="38"/>
      <c r="AE2442" s="38"/>
      <c r="AF2442" s="38"/>
      <c r="AG2442" s="38"/>
      <c r="AH2442" s="38"/>
      <c r="AI2442" s="38"/>
      <c r="AJ2442" s="38"/>
      <c r="AK2442" s="38"/>
      <c r="AL2442" s="38"/>
      <c r="AM2442" s="38"/>
      <c r="AN2442" s="38"/>
      <c r="AO2442" s="38"/>
      <c r="AP2442" s="38"/>
      <c r="AQ2442" s="38"/>
      <c r="AR2442" s="38"/>
      <c r="AS2442" s="38"/>
      <c r="AT2442" s="38"/>
      <c r="AU2442" s="38"/>
      <c r="AV2442" s="38"/>
      <c r="AW2442" s="38"/>
      <c r="AX2442" s="38"/>
      <c r="AY2442" s="38"/>
      <c r="AZ2442" s="38"/>
      <c r="BA2442" s="38"/>
      <c r="BB2442" s="38"/>
      <c r="BC2442" s="38"/>
      <c r="BD2442" s="38"/>
      <c r="BE2442" s="38"/>
      <c r="BF2442" s="38"/>
      <c r="BG2442" s="38"/>
    </row>
    <row r="2443">
      <c r="A2443" s="16"/>
      <c r="B2443" s="16"/>
      <c r="C2443" s="146"/>
      <c r="D2443" s="146"/>
      <c r="E2443" s="16"/>
      <c r="F2443" s="91"/>
      <c r="G2443" s="16"/>
      <c r="H2443" s="320" t="str">
        <f t="shared" si="1"/>
        <v/>
      </c>
      <c r="I2443" s="16"/>
      <c r="J2443" s="16"/>
      <c r="K2443" s="16"/>
      <c r="L2443" s="38"/>
      <c r="M2443" s="16"/>
      <c r="N2443" s="16"/>
      <c r="O2443" s="16"/>
      <c r="P2443" s="15"/>
      <c r="Q2443" s="15"/>
      <c r="R2443" s="16"/>
      <c r="S2443" s="16"/>
      <c r="T2443" s="16"/>
      <c r="U2443" s="16"/>
      <c r="V2443" s="37" t="str">
        <f>IFERROR(__xludf.DUMMYFUNCTION("if(not(iserror(index(split(C2443, "" ""),2))), index(split(C2443, "" ""),1),"""")"),"")</f>
        <v/>
      </c>
      <c r="W2443" s="315" t="str">
        <f>IFERROR(__xludf.DUMMYFUNCTION("if(V2443="""",C2443,if(not(iserror(index(split(C2443, "" ""),3))), index(split(C2443, "" ""),3),index(split(C2443, "" ""),2)))"),"")</f>
        <v/>
      </c>
      <c r="X2443" s="38" t="b">
        <f t="shared" si="2"/>
        <v>0</v>
      </c>
      <c r="Y2443" s="38"/>
      <c r="Z2443" s="40"/>
      <c r="AA2443" s="40"/>
      <c r="AB2443" s="38"/>
      <c r="AC2443" s="38"/>
      <c r="AD2443" s="38"/>
      <c r="AE2443" s="38"/>
      <c r="AF2443" s="38"/>
      <c r="AG2443" s="38"/>
      <c r="AH2443" s="38"/>
      <c r="AI2443" s="38"/>
      <c r="AJ2443" s="38"/>
      <c r="AK2443" s="38"/>
      <c r="AL2443" s="38"/>
      <c r="AM2443" s="38"/>
      <c r="AN2443" s="38"/>
      <c r="AO2443" s="38"/>
      <c r="AP2443" s="38"/>
      <c r="AQ2443" s="38"/>
      <c r="AR2443" s="38"/>
      <c r="AS2443" s="38"/>
      <c r="AT2443" s="38"/>
      <c r="AU2443" s="38"/>
      <c r="AV2443" s="38"/>
      <c r="AW2443" s="38"/>
      <c r="AX2443" s="38"/>
      <c r="AY2443" s="38"/>
      <c r="AZ2443" s="38"/>
      <c r="BA2443" s="38"/>
      <c r="BB2443" s="38"/>
      <c r="BC2443" s="38"/>
      <c r="BD2443" s="38"/>
      <c r="BE2443" s="38"/>
      <c r="BF2443" s="38"/>
      <c r="BG2443" s="38"/>
    </row>
    <row r="2444">
      <c r="A2444" s="16"/>
      <c r="B2444" s="16"/>
      <c r="C2444" s="146"/>
      <c r="D2444" s="146"/>
      <c r="E2444" s="16"/>
      <c r="F2444" s="91"/>
      <c r="G2444" s="16"/>
      <c r="H2444" s="320" t="str">
        <f t="shared" si="1"/>
        <v/>
      </c>
      <c r="I2444" s="16"/>
      <c r="J2444" s="16"/>
      <c r="K2444" s="16"/>
      <c r="L2444" s="38"/>
      <c r="M2444" s="16"/>
      <c r="N2444" s="16"/>
      <c r="O2444" s="16"/>
      <c r="P2444" s="15"/>
      <c r="Q2444" s="15"/>
      <c r="R2444" s="16"/>
      <c r="S2444" s="16"/>
      <c r="T2444" s="16"/>
      <c r="U2444" s="16"/>
      <c r="V2444" s="37" t="str">
        <f>IFERROR(__xludf.DUMMYFUNCTION("if(not(iserror(index(split(C2444, "" ""),2))), index(split(C2444, "" ""),1),"""")"),"")</f>
        <v/>
      </c>
      <c r="W2444" s="315" t="str">
        <f>IFERROR(__xludf.DUMMYFUNCTION("if(V2444="""",C2444,if(not(iserror(index(split(C2444, "" ""),3))), index(split(C2444, "" ""),3),index(split(C2444, "" ""),2)))"),"")</f>
        <v/>
      </c>
      <c r="X2444" s="38" t="b">
        <f t="shared" si="2"/>
        <v>0</v>
      </c>
      <c r="Y2444" s="38"/>
      <c r="Z2444" s="40"/>
      <c r="AA2444" s="40"/>
      <c r="AB2444" s="38"/>
      <c r="AC2444" s="38"/>
      <c r="AD2444" s="38"/>
      <c r="AE2444" s="38"/>
      <c r="AF2444" s="38"/>
      <c r="AG2444" s="38"/>
      <c r="AH2444" s="38"/>
      <c r="AI2444" s="38"/>
      <c r="AJ2444" s="38"/>
      <c r="AK2444" s="38"/>
      <c r="AL2444" s="38"/>
      <c r="AM2444" s="38"/>
      <c r="AN2444" s="38"/>
      <c r="AO2444" s="38"/>
      <c r="AP2444" s="38"/>
      <c r="AQ2444" s="38"/>
      <c r="AR2444" s="38"/>
      <c r="AS2444" s="38"/>
      <c r="AT2444" s="38"/>
      <c r="AU2444" s="38"/>
      <c r="AV2444" s="38"/>
      <c r="AW2444" s="38"/>
      <c r="AX2444" s="38"/>
      <c r="AY2444" s="38"/>
      <c r="AZ2444" s="38"/>
      <c r="BA2444" s="38"/>
      <c r="BB2444" s="38"/>
      <c r="BC2444" s="38"/>
      <c r="BD2444" s="38"/>
      <c r="BE2444" s="38"/>
      <c r="BF2444" s="38"/>
      <c r="BG2444" s="38"/>
    </row>
    <row r="2445">
      <c r="A2445" s="16"/>
      <c r="B2445" s="16"/>
      <c r="C2445" s="146"/>
      <c r="D2445" s="146"/>
      <c r="E2445" s="16"/>
      <c r="F2445" s="91"/>
      <c r="G2445" s="16"/>
      <c r="H2445" s="320" t="str">
        <f t="shared" si="1"/>
        <v/>
      </c>
      <c r="I2445" s="16"/>
      <c r="J2445" s="16"/>
      <c r="K2445" s="16"/>
      <c r="L2445" s="38"/>
      <c r="M2445" s="16"/>
      <c r="N2445" s="16"/>
      <c r="O2445" s="16"/>
      <c r="P2445" s="15"/>
      <c r="Q2445" s="15"/>
      <c r="R2445" s="16"/>
      <c r="S2445" s="16"/>
      <c r="T2445" s="16"/>
      <c r="U2445" s="16"/>
      <c r="V2445" s="37" t="str">
        <f>IFERROR(__xludf.DUMMYFUNCTION("if(not(iserror(index(split(C2445, "" ""),2))), index(split(C2445, "" ""),1),"""")"),"")</f>
        <v/>
      </c>
      <c r="W2445" s="315" t="str">
        <f>IFERROR(__xludf.DUMMYFUNCTION("if(V2445="""",C2445,if(not(iserror(index(split(C2445, "" ""),3))), index(split(C2445, "" ""),3),index(split(C2445, "" ""),2)))"),"")</f>
        <v/>
      </c>
      <c r="X2445" s="38" t="b">
        <f t="shared" si="2"/>
        <v>0</v>
      </c>
      <c r="Y2445" s="38"/>
      <c r="Z2445" s="40"/>
      <c r="AA2445" s="40"/>
      <c r="AB2445" s="38"/>
      <c r="AC2445" s="38"/>
      <c r="AD2445" s="38"/>
      <c r="AE2445" s="38"/>
      <c r="AF2445" s="38"/>
      <c r="AG2445" s="38"/>
      <c r="AH2445" s="38"/>
      <c r="AI2445" s="38"/>
      <c r="AJ2445" s="38"/>
      <c r="AK2445" s="38"/>
      <c r="AL2445" s="38"/>
      <c r="AM2445" s="38"/>
      <c r="AN2445" s="38"/>
      <c r="AO2445" s="38"/>
      <c r="AP2445" s="38"/>
      <c r="AQ2445" s="38"/>
      <c r="AR2445" s="38"/>
      <c r="AS2445" s="38"/>
      <c r="AT2445" s="38"/>
      <c r="AU2445" s="38"/>
      <c r="AV2445" s="38"/>
      <c r="AW2445" s="38"/>
      <c r="AX2445" s="38"/>
      <c r="AY2445" s="38"/>
      <c r="AZ2445" s="38"/>
      <c r="BA2445" s="38"/>
      <c r="BB2445" s="38"/>
      <c r="BC2445" s="38"/>
      <c r="BD2445" s="38"/>
      <c r="BE2445" s="38"/>
      <c r="BF2445" s="38"/>
      <c r="BG2445" s="38"/>
    </row>
    <row r="2446">
      <c r="A2446" s="16"/>
      <c r="B2446" s="16"/>
      <c r="C2446" s="146"/>
      <c r="D2446" s="146"/>
      <c r="E2446" s="16"/>
      <c r="F2446" s="91"/>
      <c r="G2446" s="16"/>
      <c r="H2446" s="320" t="str">
        <f t="shared" si="1"/>
        <v/>
      </c>
      <c r="I2446" s="16"/>
      <c r="J2446" s="16"/>
      <c r="K2446" s="16"/>
      <c r="L2446" s="38"/>
      <c r="M2446" s="16"/>
      <c r="N2446" s="16"/>
      <c r="O2446" s="16"/>
      <c r="P2446" s="15"/>
      <c r="Q2446" s="15"/>
      <c r="R2446" s="16"/>
      <c r="S2446" s="16"/>
      <c r="T2446" s="16"/>
      <c r="U2446" s="16"/>
      <c r="V2446" s="37" t="str">
        <f>IFERROR(__xludf.DUMMYFUNCTION("if(not(iserror(index(split(C2446, "" ""),2))), index(split(C2446, "" ""),1),"""")"),"")</f>
        <v/>
      </c>
      <c r="W2446" s="315" t="str">
        <f>IFERROR(__xludf.DUMMYFUNCTION("if(V2446="""",C2446,if(not(iserror(index(split(C2446, "" ""),3))), index(split(C2446, "" ""),3),index(split(C2446, "" ""),2)))"),"")</f>
        <v/>
      </c>
      <c r="X2446" s="38" t="b">
        <f t="shared" si="2"/>
        <v>0</v>
      </c>
      <c r="Y2446" s="38"/>
      <c r="Z2446" s="40"/>
      <c r="AA2446" s="40"/>
      <c r="AB2446" s="38"/>
      <c r="AC2446" s="38"/>
      <c r="AD2446" s="38"/>
      <c r="AE2446" s="38"/>
      <c r="AF2446" s="38"/>
      <c r="AG2446" s="38"/>
      <c r="AH2446" s="38"/>
      <c r="AI2446" s="38"/>
      <c r="AJ2446" s="38"/>
      <c r="AK2446" s="38"/>
      <c r="AL2446" s="38"/>
      <c r="AM2446" s="38"/>
      <c r="AN2446" s="38"/>
      <c r="AO2446" s="38"/>
      <c r="AP2446" s="38"/>
      <c r="AQ2446" s="38"/>
      <c r="AR2446" s="38"/>
      <c r="AS2446" s="38"/>
      <c r="AT2446" s="38"/>
      <c r="AU2446" s="38"/>
      <c r="AV2446" s="38"/>
      <c r="AW2446" s="38"/>
      <c r="AX2446" s="38"/>
      <c r="AY2446" s="38"/>
      <c r="AZ2446" s="38"/>
      <c r="BA2446" s="38"/>
      <c r="BB2446" s="38"/>
      <c r="BC2446" s="38"/>
      <c r="BD2446" s="38"/>
      <c r="BE2446" s="38"/>
      <c r="BF2446" s="38"/>
      <c r="BG2446" s="38"/>
    </row>
    <row r="2447">
      <c r="A2447" s="16"/>
      <c r="B2447" s="16"/>
      <c r="C2447" s="146"/>
      <c r="D2447" s="146"/>
      <c r="E2447" s="16"/>
      <c r="F2447" s="91"/>
      <c r="G2447" s="16"/>
      <c r="H2447" s="320" t="str">
        <f t="shared" si="1"/>
        <v/>
      </c>
      <c r="I2447" s="16"/>
      <c r="J2447" s="16"/>
      <c r="K2447" s="16"/>
      <c r="L2447" s="38"/>
      <c r="M2447" s="16"/>
      <c r="N2447" s="16"/>
      <c r="O2447" s="16"/>
      <c r="P2447" s="15"/>
      <c r="Q2447" s="15"/>
      <c r="R2447" s="16"/>
      <c r="S2447" s="16"/>
      <c r="T2447" s="16"/>
      <c r="U2447" s="16"/>
      <c r="V2447" s="37" t="str">
        <f>IFERROR(__xludf.DUMMYFUNCTION("if(not(iserror(index(split(C2447, "" ""),2))), index(split(C2447, "" ""),1),"""")"),"")</f>
        <v/>
      </c>
      <c r="W2447" s="315" t="str">
        <f>IFERROR(__xludf.DUMMYFUNCTION("if(V2447="""",C2447,if(not(iserror(index(split(C2447, "" ""),3))), index(split(C2447, "" ""),3),index(split(C2447, "" ""),2)))"),"")</f>
        <v/>
      </c>
      <c r="X2447" s="38" t="b">
        <f t="shared" si="2"/>
        <v>0</v>
      </c>
      <c r="Y2447" s="38"/>
      <c r="Z2447" s="40"/>
      <c r="AA2447" s="40"/>
      <c r="AB2447" s="38"/>
      <c r="AC2447" s="38"/>
      <c r="AD2447" s="38"/>
      <c r="AE2447" s="38"/>
      <c r="AF2447" s="38"/>
      <c r="AG2447" s="38"/>
      <c r="AH2447" s="38"/>
      <c r="AI2447" s="38"/>
      <c r="AJ2447" s="38"/>
      <c r="AK2447" s="38"/>
      <c r="AL2447" s="38"/>
      <c r="AM2447" s="38"/>
      <c r="AN2447" s="38"/>
      <c r="AO2447" s="38"/>
      <c r="AP2447" s="38"/>
      <c r="AQ2447" s="38"/>
      <c r="AR2447" s="38"/>
      <c r="AS2447" s="38"/>
      <c r="AT2447" s="38"/>
      <c r="AU2447" s="38"/>
      <c r="AV2447" s="38"/>
      <c r="AW2447" s="38"/>
      <c r="AX2447" s="38"/>
      <c r="AY2447" s="38"/>
      <c r="AZ2447" s="38"/>
      <c r="BA2447" s="38"/>
      <c r="BB2447" s="38"/>
      <c r="BC2447" s="38"/>
      <c r="BD2447" s="38"/>
      <c r="BE2447" s="38"/>
      <c r="BF2447" s="38"/>
      <c r="BG2447" s="38"/>
    </row>
    <row r="2448">
      <c r="A2448" s="16"/>
      <c r="B2448" s="16"/>
      <c r="C2448" s="146"/>
      <c r="D2448" s="146"/>
      <c r="E2448" s="16"/>
      <c r="F2448" s="91"/>
      <c r="G2448" s="16"/>
      <c r="H2448" s="320" t="str">
        <f t="shared" si="1"/>
        <v/>
      </c>
      <c r="I2448" s="16"/>
      <c r="J2448" s="16"/>
      <c r="K2448" s="16"/>
      <c r="L2448" s="38"/>
      <c r="M2448" s="16"/>
      <c r="N2448" s="16"/>
      <c r="O2448" s="16"/>
      <c r="P2448" s="15"/>
      <c r="Q2448" s="15"/>
      <c r="R2448" s="16"/>
      <c r="S2448" s="16"/>
      <c r="T2448" s="16"/>
      <c r="U2448" s="16"/>
      <c r="V2448" s="37" t="str">
        <f>IFERROR(__xludf.DUMMYFUNCTION("if(not(iserror(index(split(C2448, "" ""),2))), index(split(C2448, "" ""),1),"""")"),"")</f>
        <v/>
      </c>
      <c r="W2448" s="315" t="str">
        <f>IFERROR(__xludf.DUMMYFUNCTION("if(V2448="""",C2448,if(not(iserror(index(split(C2448, "" ""),3))), index(split(C2448, "" ""),3),index(split(C2448, "" ""),2)))"),"")</f>
        <v/>
      </c>
      <c r="X2448" s="38" t="b">
        <f t="shared" si="2"/>
        <v>0</v>
      </c>
      <c r="Y2448" s="38"/>
      <c r="Z2448" s="40"/>
      <c r="AA2448" s="40"/>
      <c r="AB2448" s="38"/>
      <c r="AC2448" s="38"/>
      <c r="AD2448" s="38"/>
      <c r="AE2448" s="38"/>
      <c r="AF2448" s="38"/>
      <c r="AG2448" s="38"/>
      <c r="AH2448" s="38"/>
      <c r="AI2448" s="38"/>
      <c r="AJ2448" s="38"/>
      <c r="AK2448" s="38"/>
      <c r="AL2448" s="38"/>
      <c r="AM2448" s="38"/>
      <c r="AN2448" s="38"/>
      <c r="AO2448" s="38"/>
      <c r="AP2448" s="38"/>
      <c r="AQ2448" s="38"/>
      <c r="AR2448" s="38"/>
      <c r="AS2448" s="38"/>
      <c r="AT2448" s="38"/>
      <c r="AU2448" s="38"/>
      <c r="AV2448" s="38"/>
      <c r="AW2448" s="38"/>
      <c r="AX2448" s="38"/>
      <c r="AY2448" s="38"/>
      <c r="AZ2448" s="38"/>
      <c r="BA2448" s="38"/>
      <c r="BB2448" s="38"/>
      <c r="BC2448" s="38"/>
      <c r="BD2448" s="38"/>
      <c r="BE2448" s="38"/>
      <c r="BF2448" s="38"/>
      <c r="BG2448" s="38"/>
    </row>
    <row r="2449">
      <c r="A2449" s="16"/>
      <c r="B2449" s="16"/>
      <c r="C2449" s="146"/>
      <c r="D2449" s="146"/>
      <c r="E2449" s="16"/>
      <c r="F2449" s="91"/>
      <c r="G2449" s="16"/>
      <c r="H2449" s="320" t="str">
        <f t="shared" si="1"/>
        <v/>
      </c>
      <c r="I2449" s="16"/>
      <c r="J2449" s="16"/>
      <c r="K2449" s="16"/>
      <c r="L2449" s="38"/>
      <c r="M2449" s="16"/>
      <c r="N2449" s="16"/>
      <c r="O2449" s="16"/>
      <c r="P2449" s="15"/>
      <c r="Q2449" s="15"/>
      <c r="R2449" s="16"/>
      <c r="S2449" s="16"/>
      <c r="T2449" s="16"/>
      <c r="U2449" s="16"/>
      <c r="V2449" s="37" t="str">
        <f>IFERROR(__xludf.DUMMYFUNCTION("if(not(iserror(index(split(C2449, "" ""),2))), index(split(C2449, "" ""),1),"""")"),"")</f>
        <v/>
      </c>
      <c r="W2449" s="315" t="str">
        <f>IFERROR(__xludf.DUMMYFUNCTION("if(V2449="""",C2449,if(not(iserror(index(split(C2449, "" ""),3))), index(split(C2449, "" ""),3),index(split(C2449, "" ""),2)))"),"")</f>
        <v/>
      </c>
      <c r="X2449" s="38" t="b">
        <f t="shared" si="2"/>
        <v>0</v>
      </c>
      <c r="Y2449" s="38"/>
      <c r="Z2449" s="40"/>
      <c r="AA2449" s="40"/>
      <c r="AB2449" s="38"/>
      <c r="AC2449" s="38"/>
      <c r="AD2449" s="38"/>
      <c r="AE2449" s="38"/>
      <c r="AF2449" s="38"/>
      <c r="AG2449" s="38"/>
      <c r="AH2449" s="38"/>
      <c r="AI2449" s="38"/>
      <c r="AJ2449" s="38"/>
      <c r="AK2449" s="38"/>
      <c r="AL2449" s="38"/>
      <c r="AM2449" s="38"/>
      <c r="AN2449" s="38"/>
      <c r="AO2449" s="38"/>
      <c r="AP2449" s="38"/>
      <c r="AQ2449" s="38"/>
      <c r="AR2449" s="38"/>
      <c r="AS2449" s="38"/>
      <c r="AT2449" s="38"/>
      <c r="AU2449" s="38"/>
      <c r="AV2449" s="38"/>
      <c r="AW2449" s="38"/>
      <c r="AX2449" s="38"/>
      <c r="AY2449" s="38"/>
      <c r="AZ2449" s="38"/>
      <c r="BA2449" s="38"/>
      <c r="BB2449" s="38"/>
      <c r="BC2449" s="38"/>
      <c r="BD2449" s="38"/>
      <c r="BE2449" s="38"/>
      <c r="BF2449" s="38"/>
      <c r="BG2449" s="38"/>
    </row>
    <row r="2450">
      <c r="A2450" s="16"/>
      <c r="B2450" s="16"/>
      <c r="C2450" s="146"/>
      <c r="D2450" s="146"/>
      <c r="E2450" s="16"/>
      <c r="F2450" s="91"/>
      <c r="G2450" s="16"/>
      <c r="H2450" s="320" t="str">
        <f t="shared" si="1"/>
        <v/>
      </c>
      <c r="I2450" s="16"/>
      <c r="J2450" s="16"/>
      <c r="K2450" s="16"/>
      <c r="L2450" s="38"/>
      <c r="M2450" s="16"/>
      <c r="N2450" s="16"/>
      <c r="O2450" s="16"/>
      <c r="P2450" s="15"/>
      <c r="Q2450" s="15"/>
      <c r="R2450" s="16"/>
      <c r="S2450" s="16"/>
      <c r="T2450" s="16"/>
      <c r="U2450" s="16"/>
      <c r="V2450" s="37" t="str">
        <f>IFERROR(__xludf.DUMMYFUNCTION("if(not(iserror(index(split(C2450, "" ""),2))), index(split(C2450, "" ""),1),"""")"),"")</f>
        <v/>
      </c>
      <c r="W2450" s="315" t="str">
        <f>IFERROR(__xludf.DUMMYFUNCTION("if(V2450="""",C2450,if(not(iserror(index(split(C2450, "" ""),3))), index(split(C2450, "" ""),3),index(split(C2450, "" ""),2)))"),"")</f>
        <v/>
      </c>
      <c r="X2450" s="38" t="b">
        <f t="shared" si="2"/>
        <v>0</v>
      </c>
      <c r="Y2450" s="38"/>
      <c r="Z2450" s="40"/>
      <c r="AA2450" s="40"/>
      <c r="AB2450" s="38"/>
      <c r="AC2450" s="38"/>
      <c r="AD2450" s="38"/>
      <c r="AE2450" s="38"/>
      <c r="AF2450" s="38"/>
      <c r="AG2450" s="38"/>
      <c r="AH2450" s="38"/>
      <c r="AI2450" s="38"/>
      <c r="AJ2450" s="38"/>
      <c r="AK2450" s="38"/>
      <c r="AL2450" s="38"/>
      <c r="AM2450" s="38"/>
      <c r="AN2450" s="38"/>
      <c r="AO2450" s="38"/>
      <c r="AP2450" s="38"/>
      <c r="AQ2450" s="38"/>
      <c r="AR2450" s="38"/>
      <c r="AS2450" s="38"/>
      <c r="AT2450" s="38"/>
      <c r="AU2450" s="38"/>
      <c r="AV2450" s="38"/>
      <c r="AW2450" s="38"/>
      <c r="AX2450" s="38"/>
      <c r="AY2450" s="38"/>
      <c r="AZ2450" s="38"/>
      <c r="BA2450" s="38"/>
      <c r="BB2450" s="38"/>
      <c r="BC2450" s="38"/>
      <c r="BD2450" s="38"/>
      <c r="BE2450" s="38"/>
      <c r="BF2450" s="38"/>
      <c r="BG2450" s="38"/>
    </row>
    <row r="2451">
      <c r="A2451" s="16"/>
      <c r="B2451" s="16"/>
      <c r="C2451" s="146"/>
      <c r="D2451" s="146"/>
      <c r="E2451" s="16"/>
      <c r="F2451" s="91"/>
      <c r="G2451" s="16"/>
      <c r="H2451" s="320" t="str">
        <f t="shared" si="1"/>
        <v/>
      </c>
      <c r="I2451" s="16"/>
      <c r="J2451" s="16"/>
      <c r="K2451" s="16"/>
      <c r="L2451" s="38"/>
      <c r="M2451" s="16"/>
      <c r="N2451" s="16"/>
      <c r="O2451" s="16"/>
      <c r="P2451" s="15"/>
      <c r="Q2451" s="15"/>
      <c r="R2451" s="16"/>
      <c r="S2451" s="16"/>
      <c r="T2451" s="16"/>
      <c r="U2451" s="16"/>
      <c r="V2451" s="37" t="str">
        <f>IFERROR(__xludf.DUMMYFUNCTION("if(not(iserror(index(split(C2451, "" ""),2))), index(split(C2451, "" ""),1),"""")"),"")</f>
        <v/>
      </c>
      <c r="W2451" s="315" t="str">
        <f>IFERROR(__xludf.DUMMYFUNCTION("if(V2451="""",C2451,if(not(iserror(index(split(C2451, "" ""),3))), index(split(C2451, "" ""),3),index(split(C2451, "" ""),2)))"),"")</f>
        <v/>
      </c>
      <c r="X2451" s="38" t="b">
        <f t="shared" si="2"/>
        <v>0</v>
      </c>
      <c r="Y2451" s="38"/>
      <c r="Z2451" s="40"/>
      <c r="AA2451" s="40"/>
      <c r="AB2451" s="38"/>
      <c r="AC2451" s="38"/>
      <c r="AD2451" s="38"/>
      <c r="AE2451" s="38"/>
      <c r="AF2451" s="38"/>
      <c r="AG2451" s="38"/>
      <c r="AH2451" s="38"/>
      <c r="AI2451" s="38"/>
      <c r="AJ2451" s="38"/>
      <c r="AK2451" s="38"/>
      <c r="AL2451" s="38"/>
      <c r="AM2451" s="38"/>
      <c r="AN2451" s="38"/>
      <c r="AO2451" s="38"/>
      <c r="AP2451" s="38"/>
      <c r="AQ2451" s="38"/>
      <c r="AR2451" s="38"/>
      <c r="AS2451" s="38"/>
      <c r="AT2451" s="38"/>
      <c r="AU2451" s="38"/>
      <c r="AV2451" s="38"/>
      <c r="AW2451" s="38"/>
      <c r="AX2451" s="38"/>
      <c r="AY2451" s="38"/>
      <c r="AZ2451" s="38"/>
      <c r="BA2451" s="38"/>
      <c r="BB2451" s="38"/>
      <c r="BC2451" s="38"/>
      <c r="BD2451" s="38"/>
      <c r="BE2451" s="38"/>
      <c r="BF2451" s="38"/>
      <c r="BG2451" s="38"/>
    </row>
    <row r="2452">
      <c r="A2452" s="16"/>
      <c r="B2452" s="16"/>
      <c r="C2452" s="146"/>
      <c r="D2452" s="146"/>
      <c r="E2452" s="16"/>
      <c r="F2452" s="91"/>
      <c r="G2452" s="16"/>
      <c r="H2452" s="320" t="str">
        <f t="shared" si="1"/>
        <v/>
      </c>
      <c r="I2452" s="16"/>
      <c r="J2452" s="16"/>
      <c r="K2452" s="16"/>
      <c r="L2452" s="38"/>
      <c r="M2452" s="16"/>
      <c r="N2452" s="16"/>
      <c r="O2452" s="16"/>
      <c r="P2452" s="15"/>
      <c r="Q2452" s="15"/>
      <c r="R2452" s="16"/>
      <c r="S2452" s="16"/>
      <c r="T2452" s="16"/>
      <c r="U2452" s="16"/>
      <c r="V2452" s="37" t="str">
        <f>IFERROR(__xludf.DUMMYFUNCTION("if(not(iserror(index(split(C2452, "" ""),2))), index(split(C2452, "" ""),1),"""")"),"")</f>
        <v/>
      </c>
      <c r="W2452" s="315" t="str">
        <f>IFERROR(__xludf.DUMMYFUNCTION("if(V2452="""",C2452,if(not(iserror(index(split(C2452, "" ""),3))), index(split(C2452, "" ""),3),index(split(C2452, "" ""),2)))"),"")</f>
        <v/>
      </c>
      <c r="X2452" s="38" t="b">
        <f t="shared" si="2"/>
        <v>0</v>
      </c>
      <c r="Y2452" s="38"/>
      <c r="Z2452" s="40"/>
      <c r="AA2452" s="40"/>
      <c r="AB2452" s="38"/>
      <c r="AC2452" s="38"/>
      <c r="AD2452" s="38"/>
      <c r="AE2452" s="38"/>
      <c r="AF2452" s="38"/>
      <c r="AG2452" s="38"/>
      <c r="AH2452" s="38"/>
      <c r="AI2452" s="38"/>
      <c r="AJ2452" s="38"/>
      <c r="AK2452" s="38"/>
      <c r="AL2452" s="38"/>
      <c r="AM2452" s="38"/>
      <c r="AN2452" s="38"/>
      <c r="AO2452" s="38"/>
      <c r="AP2452" s="38"/>
      <c r="AQ2452" s="38"/>
      <c r="AR2452" s="38"/>
      <c r="AS2452" s="38"/>
      <c r="AT2452" s="38"/>
      <c r="AU2452" s="38"/>
      <c r="AV2452" s="38"/>
      <c r="AW2452" s="38"/>
      <c r="AX2452" s="38"/>
      <c r="AY2452" s="38"/>
      <c r="AZ2452" s="38"/>
      <c r="BA2452" s="38"/>
      <c r="BB2452" s="38"/>
      <c r="BC2452" s="38"/>
      <c r="BD2452" s="38"/>
      <c r="BE2452" s="38"/>
      <c r="BF2452" s="38"/>
      <c r="BG2452" s="38"/>
    </row>
    <row r="2453">
      <c r="A2453" s="16"/>
      <c r="B2453" s="16"/>
      <c r="C2453" s="146"/>
      <c r="D2453" s="146"/>
      <c r="E2453" s="16"/>
      <c r="F2453" s="91"/>
      <c r="G2453" s="16"/>
      <c r="H2453" s="320" t="str">
        <f t="shared" si="1"/>
        <v/>
      </c>
      <c r="I2453" s="16"/>
      <c r="J2453" s="16"/>
      <c r="K2453" s="16"/>
      <c r="L2453" s="38"/>
      <c r="M2453" s="16"/>
      <c r="N2453" s="16"/>
      <c r="O2453" s="16"/>
      <c r="P2453" s="15"/>
      <c r="Q2453" s="15"/>
      <c r="R2453" s="16"/>
      <c r="S2453" s="16"/>
      <c r="T2453" s="16"/>
      <c r="U2453" s="16"/>
      <c r="V2453" s="37" t="str">
        <f>IFERROR(__xludf.DUMMYFUNCTION("if(not(iserror(index(split(C2453, "" ""),2))), index(split(C2453, "" ""),1),"""")"),"")</f>
        <v/>
      </c>
      <c r="W2453" s="315" t="str">
        <f>IFERROR(__xludf.DUMMYFUNCTION("if(V2453="""",C2453,if(not(iserror(index(split(C2453, "" ""),3))), index(split(C2453, "" ""),3),index(split(C2453, "" ""),2)))"),"")</f>
        <v/>
      </c>
      <c r="X2453" s="38" t="b">
        <f t="shared" si="2"/>
        <v>0</v>
      </c>
      <c r="Y2453" s="38"/>
      <c r="Z2453" s="40"/>
      <c r="AA2453" s="40"/>
      <c r="AB2453" s="38"/>
      <c r="AC2453" s="38"/>
      <c r="AD2453" s="38"/>
      <c r="AE2453" s="38"/>
      <c r="AF2453" s="38"/>
      <c r="AG2453" s="38"/>
      <c r="AH2453" s="38"/>
      <c r="AI2453" s="38"/>
      <c r="AJ2453" s="38"/>
      <c r="AK2453" s="38"/>
      <c r="AL2453" s="38"/>
      <c r="AM2453" s="38"/>
      <c r="AN2453" s="38"/>
      <c r="AO2453" s="38"/>
      <c r="AP2453" s="38"/>
      <c r="AQ2453" s="38"/>
      <c r="AR2453" s="38"/>
      <c r="AS2453" s="38"/>
      <c r="AT2453" s="38"/>
      <c r="AU2453" s="38"/>
      <c r="AV2453" s="38"/>
      <c r="AW2453" s="38"/>
      <c r="AX2453" s="38"/>
      <c r="AY2453" s="38"/>
      <c r="AZ2453" s="38"/>
      <c r="BA2453" s="38"/>
      <c r="BB2453" s="38"/>
      <c r="BC2453" s="38"/>
      <c r="BD2453" s="38"/>
      <c r="BE2453" s="38"/>
      <c r="BF2453" s="38"/>
      <c r="BG2453" s="38"/>
    </row>
    <row r="2454">
      <c r="A2454" s="16"/>
      <c r="B2454" s="16"/>
      <c r="C2454" s="146"/>
      <c r="D2454" s="146"/>
      <c r="E2454" s="16"/>
      <c r="F2454" s="91"/>
      <c r="G2454" s="16"/>
      <c r="H2454" s="320" t="str">
        <f t="shared" si="1"/>
        <v/>
      </c>
      <c r="I2454" s="16"/>
      <c r="J2454" s="16"/>
      <c r="K2454" s="16"/>
      <c r="L2454" s="38"/>
      <c r="M2454" s="16"/>
      <c r="N2454" s="16"/>
      <c r="O2454" s="16"/>
      <c r="P2454" s="15"/>
      <c r="Q2454" s="15"/>
      <c r="R2454" s="16"/>
      <c r="S2454" s="16"/>
      <c r="T2454" s="16"/>
      <c r="U2454" s="16"/>
      <c r="V2454" s="37" t="str">
        <f>IFERROR(__xludf.DUMMYFUNCTION("if(not(iserror(index(split(C2454, "" ""),2))), index(split(C2454, "" ""),1),"""")"),"")</f>
        <v/>
      </c>
      <c r="W2454" s="315" t="str">
        <f>IFERROR(__xludf.DUMMYFUNCTION("if(V2454="""",C2454,if(not(iserror(index(split(C2454, "" ""),3))), index(split(C2454, "" ""),3),index(split(C2454, "" ""),2)))"),"")</f>
        <v/>
      </c>
      <c r="X2454" s="38" t="b">
        <f t="shared" si="2"/>
        <v>0</v>
      </c>
      <c r="Y2454" s="38"/>
      <c r="Z2454" s="40"/>
      <c r="AA2454" s="40"/>
      <c r="AB2454" s="38"/>
      <c r="AC2454" s="38"/>
      <c r="AD2454" s="38"/>
      <c r="AE2454" s="38"/>
      <c r="AF2454" s="38"/>
      <c r="AG2454" s="38"/>
      <c r="AH2454" s="38"/>
      <c r="AI2454" s="38"/>
      <c r="AJ2454" s="38"/>
      <c r="AK2454" s="38"/>
      <c r="AL2454" s="38"/>
      <c r="AM2454" s="38"/>
      <c r="AN2454" s="38"/>
      <c r="AO2454" s="38"/>
      <c r="AP2454" s="38"/>
      <c r="AQ2454" s="38"/>
      <c r="AR2454" s="38"/>
      <c r="AS2454" s="38"/>
      <c r="AT2454" s="38"/>
      <c r="AU2454" s="38"/>
      <c r="AV2454" s="38"/>
      <c r="AW2454" s="38"/>
      <c r="AX2454" s="38"/>
      <c r="AY2454" s="38"/>
      <c r="AZ2454" s="38"/>
      <c r="BA2454" s="38"/>
      <c r="BB2454" s="38"/>
      <c r="BC2454" s="38"/>
      <c r="BD2454" s="38"/>
      <c r="BE2454" s="38"/>
      <c r="BF2454" s="38"/>
      <c r="BG2454" s="38"/>
    </row>
    <row r="2455">
      <c r="A2455" s="16"/>
      <c r="B2455" s="16"/>
      <c r="C2455" s="146"/>
      <c r="D2455" s="146"/>
      <c r="E2455" s="16"/>
      <c r="F2455" s="91"/>
      <c r="G2455" s="16"/>
      <c r="H2455" s="320" t="str">
        <f t="shared" si="1"/>
        <v/>
      </c>
      <c r="I2455" s="16"/>
      <c r="J2455" s="16"/>
      <c r="K2455" s="16"/>
      <c r="L2455" s="38"/>
      <c r="M2455" s="16"/>
      <c r="N2455" s="16"/>
      <c r="O2455" s="16"/>
      <c r="P2455" s="15"/>
      <c r="Q2455" s="15"/>
      <c r="R2455" s="16"/>
      <c r="S2455" s="16"/>
      <c r="T2455" s="16"/>
      <c r="U2455" s="16"/>
      <c r="V2455" s="37" t="str">
        <f>IFERROR(__xludf.DUMMYFUNCTION("if(not(iserror(index(split(C2455, "" ""),2))), index(split(C2455, "" ""),1),"""")"),"")</f>
        <v/>
      </c>
      <c r="W2455" s="315" t="str">
        <f>IFERROR(__xludf.DUMMYFUNCTION("if(V2455="""",C2455,if(not(iserror(index(split(C2455, "" ""),3))), index(split(C2455, "" ""),3),index(split(C2455, "" ""),2)))"),"")</f>
        <v/>
      </c>
      <c r="X2455" s="38" t="b">
        <f t="shared" si="2"/>
        <v>0</v>
      </c>
      <c r="Y2455" s="38"/>
      <c r="Z2455" s="40"/>
      <c r="AA2455" s="40"/>
      <c r="AB2455" s="38"/>
      <c r="AC2455" s="38"/>
      <c r="AD2455" s="38"/>
      <c r="AE2455" s="38"/>
      <c r="AF2455" s="38"/>
      <c r="AG2455" s="38"/>
      <c r="AH2455" s="38"/>
      <c r="AI2455" s="38"/>
      <c r="AJ2455" s="38"/>
      <c r="AK2455" s="38"/>
      <c r="AL2455" s="38"/>
      <c r="AM2455" s="38"/>
      <c r="AN2455" s="38"/>
      <c r="AO2455" s="38"/>
      <c r="AP2455" s="38"/>
      <c r="AQ2455" s="38"/>
      <c r="AR2455" s="38"/>
      <c r="AS2455" s="38"/>
      <c r="AT2455" s="38"/>
      <c r="AU2455" s="38"/>
      <c r="AV2455" s="38"/>
      <c r="AW2455" s="38"/>
      <c r="AX2455" s="38"/>
      <c r="AY2455" s="38"/>
      <c r="AZ2455" s="38"/>
      <c r="BA2455" s="38"/>
      <c r="BB2455" s="38"/>
      <c r="BC2455" s="38"/>
      <c r="BD2455" s="38"/>
      <c r="BE2455" s="38"/>
      <c r="BF2455" s="38"/>
      <c r="BG2455" s="38"/>
    </row>
    <row r="2456">
      <c r="A2456" s="16"/>
      <c r="B2456" s="16"/>
      <c r="C2456" s="146"/>
      <c r="D2456" s="146"/>
      <c r="E2456" s="16"/>
      <c r="F2456" s="91"/>
      <c r="G2456" s="16"/>
      <c r="H2456" s="320" t="str">
        <f t="shared" si="1"/>
        <v/>
      </c>
      <c r="I2456" s="16"/>
      <c r="J2456" s="16"/>
      <c r="K2456" s="16"/>
      <c r="L2456" s="38"/>
      <c r="M2456" s="16"/>
      <c r="N2456" s="16"/>
      <c r="O2456" s="16"/>
      <c r="P2456" s="15"/>
      <c r="Q2456" s="15"/>
      <c r="R2456" s="16"/>
      <c r="S2456" s="16"/>
      <c r="T2456" s="16"/>
      <c r="U2456" s="16"/>
      <c r="V2456" s="37" t="str">
        <f>IFERROR(__xludf.DUMMYFUNCTION("if(not(iserror(index(split(C2456, "" ""),2))), index(split(C2456, "" ""),1),"""")"),"")</f>
        <v/>
      </c>
      <c r="W2456" s="315" t="str">
        <f>IFERROR(__xludf.DUMMYFUNCTION("if(V2456="""",C2456,if(not(iserror(index(split(C2456, "" ""),3))), index(split(C2456, "" ""),3),index(split(C2456, "" ""),2)))"),"")</f>
        <v/>
      </c>
      <c r="X2456" s="38" t="b">
        <f t="shared" si="2"/>
        <v>0</v>
      </c>
      <c r="Y2456" s="38"/>
      <c r="Z2456" s="40"/>
      <c r="AA2456" s="40"/>
      <c r="AB2456" s="38"/>
      <c r="AC2456" s="38"/>
      <c r="AD2456" s="38"/>
      <c r="AE2456" s="38"/>
      <c r="AF2456" s="38"/>
      <c r="AG2456" s="38"/>
      <c r="AH2456" s="38"/>
      <c r="AI2456" s="38"/>
      <c r="AJ2456" s="38"/>
      <c r="AK2456" s="38"/>
      <c r="AL2456" s="38"/>
      <c r="AM2456" s="38"/>
      <c r="AN2456" s="38"/>
      <c r="AO2456" s="38"/>
      <c r="AP2456" s="38"/>
      <c r="AQ2456" s="38"/>
      <c r="AR2456" s="38"/>
      <c r="AS2456" s="38"/>
      <c r="AT2456" s="38"/>
      <c r="AU2456" s="38"/>
      <c r="AV2456" s="38"/>
      <c r="AW2456" s="38"/>
      <c r="AX2456" s="38"/>
      <c r="AY2456" s="38"/>
      <c r="AZ2456" s="38"/>
      <c r="BA2456" s="38"/>
      <c r="BB2456" s="38"/>
      <c r="BC2456" s="38"/>
      <c r="BD2456" s="38"/>
      <c r="BE2456" s="38"/>
      <c r="BF2456" s="38"/>
      <c r="BG2456" s="38"/>
    </row>
    <row r="2457">
      <c r="A2457" s="16"/>
      <c r="B2457" s="16"/>
      <c r="C2457" s="146"/>
      <c r="D2457" s="146"/>
      <c r="E2457" s="16"/>
      <c r="F2457" s="91"/>
      <c r="G2457" s="16"/>
      <c r="H2457" s="320" t="str">
        <f t="shared" si="1"/>
        <v/>
      </c>
      <c r="I2457" s="16"/>
      <c r="J2457" s="16"/>
      <c r="K2457" s="16"/>
      <c r="L2457" s="38"/>
      <c r="M2457" s="16"/>
      <c r="N2457" s="16"/>
      <c r="O2457" s="16"/>
      <c r="P2457" s="15"/>
      <c r="Q2457" s="15"/>
      <c r="R2457" s="16"/>
      <c r="S2457" s="16"/>
      <c r="T2457" s="16"/>
      <c r="U2457" s="16"/>
      <c r="V2457" s="37" t="str">
        <f>IFERROR(__xludf.DUMMYFUNCTION("if(not(iserror(index(split(C2457, "" ""),2))), index(split(C2457, "" ""),1),"""")"),"")</f>
        <v/>
      </c>
      <c r="W2457" s="315" t="str">
        <f>IFERROR(__xludf.DUMMYFUNCTION("if(V2457="""",C2457,if(not(iserror(index(split(C2457, "" ""),3))), index(split(C2457, "" ""),3),index(split(C2457, "" ""),2)))"),"")</f>
        <v/>
      </c>
      <c r="X2457" s="38" t="b">
        <f t="shared" si="2"/>
        <v>0</v>
      </c>
      <c r="Y2457" s="38"/>
      <c r="Z2457" s="40"/>
      <c r="AA2457" s="40"/>
      <c r="AB2457" s="38"/>
      <c r="AC2457" s="38"/>
      <c r="AD2457" s="38"/>
      <c r="AE2457" s="38"/>
      <c r="AF2457" s="38"/>
      <c r="AG2457" s="38"/>
      <c r="AH2457" s="38"/>
      <c r="AI2457" s="38"/>
      <c r="AJ2457" s="38"/>
      <c r="AK2457" s="38"/>
      <c r="AL2457" s="38"/>
      <c r="AM2457" s="38"/>
      <c r="AN2457" s="38"/>
      <c r="AO2457" s="38"/>
      <c r="AP2457" s="38"/>
      <c r="AQ2457" s="38"/>
      <c r="AR2457" s="38"/>
      <c r="AS2457" s="38"/>
      <c r="AT2457" s="38"/>
      <c r="AU2457" s="38"/>
      <c r="AV2457" s="38"/>
      <c r="AW2457" s="38"/>
      <c r="AX2457" s="38"/>
      <c r="AY2457" s="38"/>
      <c r="AZ2457" s="38"/>
      <c r="BA2457" s="38"/>
      <c r="BB2457" s="38"/>
      <c r="BC2457" s="38"/>
      <c r="BD2457" s="38"/>
      <c r="BE2457" s="38"/>
      <c r="BF2457" s="38"/>
      <c r="BG2457" s="38"/>
    </row>
    <row r="2458">
      <c r="A2458" s="16"/>
      <c r="B2458" s="16"/>
      <c r="C2458" s="146"/>
      <c r="D2458" s="146"/>
      <c r="E2458" s="16"/>
      <c r="F2458" s="91"/>
      <c r="G2458" s="16"/>
      <c r="H2458" s="320" t="str">
        <f t="shared" si="1"/>
        <v/>
      </c>
      <c r="I2458" s="16"/>
      <c r="J2458" s="16"/>
      <c r="K2458" s="16"/>
      <c r="L2458" s="38"/>
      <c r="M2458" s="16"/>
      <c r="N2458" s="16"/>
      <c r="O2458" s="16"/>
      <c r="P2458" s="15"/>
      <c r="Q2458" s="15"/>
      <c r="R2458" s="16"/>
      <c r="S2458" s="16"/>
      <c r="T2458" s="16"/>
      <c r="U2458" s="16"/>
      <c r="V2458" s="37" t="str">
        <f>IFERROR(__xludf.DUMMYFUNCTION("if(not(iserror(index(split(C2458, "" ""),2))), index(split(C2458, "" ""),1),"""")"),"")</f>
        <v/>
      </c>
      <c r="W2458" s="315" t="str">
        <f>IFERROR(__xludf.DUMMYFUNCTION("if(V2458="""",C2458,if(not(iserror(index(split(C2458, "" ""),3))), index(split(C2458, "" ""),3),index(split(C2458, "" ""),2)))"),"")</f>
        <v/>
      </c>
      <c r="X2458" s="38" t="b">
        <f t="shared" si="2"/>
        <v>0</v>
      </c>
      <c r="Y2458" s="38"/>
      <c r="Z2458" s="40"/>
      <c r="AA2458" s="40"/>
      <c r="AB2458" s="38"/>
      <c r="AC2458" s="38"/>
      <c r="AD2458" s="38"/>
      <c r="AE2458" s="38"/>
      <c r="AF2458" s="38"/>
      <c r="AG2458" s="38"/>
      <c r="AH2458" s="38"/>
      <c r="AI2458" s="38"/>
      <c r="AJ2458" s="38"/>
      <c r="AK2458" s="38"/>
      <c r="AL2458" s="38"/>
      <c r="AM2458" s="38"/>
      <c r="AN2458" s="38"/>
      <c r="AO2458" s="38"/>
      <c r="AP2458" s="38"/>
      <c r="AQ2458" s="38"/>
      <c r="AR2458" s="38"/>
      <c r="AS2458" s="38"/>
      <c r="AT2458" s="38"/>
      <c r="AU2458" s="38"/>
      <c r="AV2458" s="38"/>
      <c r="AW2458" s="38"/>
      <c r="AX2458" s="38"/>
      <c r="AY2458" s="38"/>
      <c r="AZ2458" s="38"/>
      <c r="BA2458" s="38"/>
      <c r="BB2458" s="38"/>
      <c r="BC2458" s="38"/>
      <c r="BD2458" s="38"/>
      <c r="BE2458" s="38"/>
      <c r="BF2458" s="38"/>
      <c r="BG2458" s="38"/>
    </row>
    <row r="2459">
      <c r="A2459" s="16"/>
      <c r="B2459" s="16"/>
      <c r="C2459" s="146"/>
      <c r="D2459" s="146"/>
      <c r="E2459" s="16"/>
      <c r="F2459" s="91"/>
      <c r="G2459" s="16"/>
      <c r="H2459" s="320" t="str">
        <f t="shared" si="1"/>
        <v/>
      </c>
      <c r="I2459" s="16"/>
      <c r="J2459" s="16"/>
      <c r="K2459" s="16"/>
      <c r="L2459" s="38"/>
      <c r="M2459" s="16"/>
      <c r="N2459" s="16"/>
      <c r="O2459" s="16"/>
      <c r="P2459" s="15"/>
      <c r="Q2459" s="15"/>
      <c r="R2459" s="16"/>
      <c r="S2459" s="16"/>
      <c r="T2459" s="16"/>
      <c r="U2459" s="16"/>
      <c r="V2459" s="37" t="str">
        <f>IFERROR(__xludf.DUMMYFUNCTION("if(not(iserror(index(split(C2459, "" ""),2))), index(split(C2459, "" ""),1),"""")"),"")</f>
        <v/>
      </c>
      <c r="W2459" s="315" t="str">
        <f>IFERROR(__xludf.DUMMYFUNCTION("if(V2459="""",C2459,if(not(iserror(index(split(C2459, "" ""),3))), index(split(C2459, "" ""),3),index(split(C2459, "" ""),2)))"),"")</f>
        <v/>
      </c>
      <c r="X2459" s="38" t="b">
        <f t="shared" si="2"/>
        <v>0</v>
      </c>
      <c r="Y2459" s="38"/>
      <c r="Z2459" s="40"/>
      <c r="AA2459" s="40"/>
      <c r="AB2459" s="38"/>
      <c r="AC2459" s="38"/>
      <c r="AD2459" s="38"/>
      <c r="AE2459" s="38"/>
      <c r="AF2459" s="38"/>
      <c r="AG2459" s="38"/>
      <c r="AH2459" s="38"/>
      <c r="AI2459" s="38"/>
      <c r="AJ2459" s="38"/>
      <c r="AK2459" s="38"/>
      <c r="AL2459" s="38"/>
      <c r="AM2459" s="38"/>
      <c r="AN2459" s="38"/>
      <c r="AO2459" s="38"/>
      <c r="AP2459" s="38"/>
      <c r="AQ2459" s="38"/>
      <c r="AR2459" s="38"/>
      <c r="AS2459" s="38"/>
      <c r="AT2459" s="38"/>
      <c r="AU2459" s="38"/>
      <c r="AV2459" s="38"/>
      <c r="AW2459" s="38"/>
      <c r="AX2459" s="38"/>
      <c r="AY2459" s="38"/>
      <c r="AZ2459" s="38"/>
      <c r="BA2459" s="38"/>
      <c r="BB2459" s="38"/>
      <c r="BC2459" s="38"/>
      <c r="BD2459" s="38"/>
      <c r="BE2459" s="38"/>
      <c r="BF2459" s="38"/>
      <c r="BG2459" s="38"/>
    </row>
    <row r="2460">
      <c r="A2460" s="16"/>
      <c r="B2460" s="16"/>
      <c r="C2460" s="146"/>
      <c r="D2460" s="146"/>
      <c r="E2460" s="16"/>
      <c r="F2460" s="91"/>
      <c r="G2460" s="16"/>
      <c r="H2460" s="320" t="str">
        <f t="shared" si="1"/>
        <v/>
      </c>
      <c r="I2460" s="16"/>
      <c r="J2460" s="16"/>
      <c r="K2460" s="16"/>
      <c r="L2460" s="38"/>
      <c r="M2460" s="16"/>
      <c r="N2460" s="16"/>
      <c r="O2460" s="16"/>
      <c r="P2460" s="15"/>
      <c r="Q2460" s="15"/>
      <c r="R2460" s="16"/>
      <c r="S2460" s="16"/>
      <c r="T2460" s="16"/>
      <c r="U2460" s="16"/>
      <c r="V2460" s="37" t="str">
        <f>IFERROR(__xludf.DUMMYFUNCTION("if(not(iserror(index(split(C2460, "" ""),2))), index(split(C2460, "" ""),1),"""")"),"")</f>
        <v/>
      </c>
      <c r="W2460" s="315" t="str">
        <f>IFERROR(__xludf.DUMMYFUNCTION("if(V2460="""",C2460,if(not(iserror(index(split(C2460, "" ""),3))), index(split(C2460, "" ""),3),index(split(C2460, "" ""),2)))"),"")</f>
        <v/>
      </c>
      <c r="X2460" s="38" t="b">
        <f t="shared" si="2"/>
        <v>0</v>
      </c>
      <c r="Y2460" s="38"/>
      <c r="Z2460" s="40"/>
      <c r="AA2460" s="40"/>
      <c r="AB2460" s="38"/>
      <c r="AC2460" s="38"/>
      <c r="AD2460" s="38"/>
      <c r="AE2460" s="38"/>
      <c r="AF2460" s="38"/>
      <c r="AG2460" s="38"/>
      <c r="AH2460" s="38"/>
      <c r="AI2460" s="38"/>
      <c r="AJ2460" s="38"/>
      <c r="AK2460" s="38"/>
      <c r="AL2460" s="38"/>
      <c r="AM2460" s="38"/>
      <c r="AN2460" s="38"/>
      <c r="AO2460" s="38"/>
      <c r="AP2460" s="38"/>
      <c r="AQ2460" s="38"/>
      <c r="AR2460" s="38"/>
      <c r="AS2460" s="38"/>
      <c r="AT2460" s="38"/>
      <c r="AU2460" s="38"/>
      <c r="AV2460" s="38"/>
      <c r="AW2460" s="38"/>
      <c r="AX2460" s="38"/>
      <c r="AY2460" s="38"/>
      <c r="AZ2460" s="38"/>
      <c r="BA2460" s="38"/>
      <c r="BB2460" s="38"/>
      <c r="BC2460" s="38"/>
      <c r="BD2460" s="38"/>
      <c r="BE2460" s="38"/>
      <c r="BF2460" s="38"/>
      <c r="BG2460" s="38"/>
    </row>
    <row r="2461">
      <c r="A2461" s="16"/>
      <c r="B2461" s="16"/>
      <c r="C2461" s="146"/>
      <c r="D2461" s="146"/>
      <c r="E2461" s="16"/>
      <c r="F2461" s="91"/>
      <c r="G2461" s="16"/>
      <c r="H2461" s="320" t="str">
        <f t="shared" si="1"/>
        <v/>
      </c>
      <c r="I2461" s="16"/>
      <c r="J2461" s="16"/>
      <c r="K2461" s="16"/>
      <c r="L2461" s="38"/>
      <c r="M2461" s="16"/>
      <c r="N2461" s="16"/>
      <c r="O2461" s="16"/>
      <c r="P2461" s="15"/>
      <c r="Q2461" s="15"/>
      <c r="R2461" s="16"/>
      <c r="S2461" s="16"/>
      <c r="T2461" s="16"/>
      <c r="U2461" s="16"/>
      <c r="V2461" s="37" t="str">
        <f>IFERROR(__xludf.DUMMYFUNCTION("if(not(iserror(index(split(C2461, "" ""),2))), index(split(C2461, "" ""),1),"""")"),"")</f>
        <v/>
      </c>
      <c r="W2461" s="315" t="str">
        <f>IFERROR(__xludf.DUMMYFUNCTION("if(V2461="""",C2461,if(not(iserror(index(split(C2461, "" ""),3))), index(split(C2461, "" ""),3),index(split(C2461, "" ""),2)))"),"")</f>
        <v/>
      </c>
      <c r="X2461" s="38" t="b">
        <f t="shared" si="2"/>
        <v>0</v>
      </c>
      <c r="Y2461" s="38"/>
      <c r="Z2461" s="40"/>
      <c r="AA2461" s="40"/>
      <c r="AB2461" s="38"/>
      <c r="AC2461" s="38"/>
      <c r="AD2461" s="38"/>
      <c r="AE2461" s="38"/>
      <c r="AF2461" s="38"/>
      <c r="AG2461" s="38"/>
      <c r="AH2461" s="38"/>
      <c r="AI2461" s="38"/>
      <c r="AJ2461" s="38"/>
      <c r="AK2461" s="38"/>
      <c r="AL2461" s="38"/>
      <c r="AM2461" s="38"/>
      <c r="AN2461" s="38"/>
      <c r="AO2461" s="38"/>
      <c r="AP2461" s="38"/>
      <c r="AQ2461" s="38"/>
      <c r="AR2461" s="38"/>
      <c r="AS2461" s="38"/>
      <c r="AT2461" s="38"/>
      <c r="AU2461" s="38"/>
      <c r="AV2461" s="38"/>
      <c r="AW2461" s="38"/>
      <c r="AX2461" s="38"/>
      <c r="AY2461" s="38"/>
      <c r="AZ2461" s="38"/>
      <c r="BA2461" s="38"/>
      <c r="BB2461" s="38"/>
      <c r="BC2461" s="38"/>
      <c r="BD2461" s="38"/>
      <c r="BE2461" s="38"/>
      <c r="BF2461" s="38"/>
      <c r="BG2461" s="38"/>
    </row>
    <row r="2462">
      <c r="A2462" s="16"/>
      <c r="B2462" s="16"/>
      <c r="C2462" s="146"/>
      <c r="D2462" s="146"/>
      <c r="E2462" s="16"/>
      <c r="F2462" s="91"/>
      <c r="G2462" s="16"/>
      <c r="H2462" s="320" t="str">
        <f t="shared" si="1"/>
        <v/>
      </c>
      <c r="I2462" s="16"/>
      <c r="J2462" s="16"/>
      <c r="K2462" s="16"/>
      <c r="L2462" s="38"/>
      <c r="M2462" s="16"/>
      <c r="N2462" s="16"/>
      <c r="O2462" s="16"/>
      <c r="P2462" s="15"/>
      <c r="Q2462" s="15"/>
      <c r="R2462" s="16"/>
      <c r="S2462" s="16"/>
      <c r="T2462" s="16"/>
      <c r="U2462" s="16"/>
      <c r="V2462" s="37" t="str">
        <f>IFERROR(__xludf.DUMMYFUNCTION("if(not(iserror(index(split(C2462, "" ""),2))), index(split(C2462, "" ""),1),"""")"),"")</f>
        <v/>
      </c>
      <c r="W2462" s="315" t="str">
        <f>IFERROR(__xludf.DUMMYFUNCTION("if(V2462="""",C2462,if(not(iserror(index(split(C2462, "" ""),3))), index(split(C2462, "" ""),3),index(split(C2462, "" ""),2)))"),"")</f>
        <v/>
      </c>
      <c r="X2462" s="38" t="b">
        <f t="shared" si="2"/>
        <v>0</v>
      </c>
      <c r="Y2462" s="38"/>
      <c r="Z2462" s="40"/>
      <c r="AA2462" s="40"/>
      <c r="AB2462" s="38"/>
      <c r="AC2462" s="38"/>
      <c r="AD2462" s="38"/>
      <c r="AE2462" s="38"/>
      <c r="AF2462" s="38"/>
      <c r="AG2462" s="38"/>
      <c r="AH2462" s="38"/>
      <c r="AI2462" s="38"/>
      <c r="AJ2462" s="38"/>
      <c r="AK2462" s="38"/>
      <c r="AL2462" s="38"/>
      <c r="AM2462" s="38"/>
      <c r="AN2462" s="38"/>
      <c r="AO2462" s="38"/>
      <c r="AP2462" s="38"/>
      <c r="AQ2462" s="38"/>
      <c r="AR2462" s="38"/>
      <c r="AS2462" s="38"/>
      <c r="AT2462" s="38"/>
      <c r="AU2462" s="38"/>
      <c r="AV2462" s="38"/>
      <c r="AW2462" s="38"/>
      <c r="AX2462" s="38"/>
      <c r="AY2462" s="38"/>
      <c r="AZ2462" s="38"/>
      <c r="BA2462" s="38"/>
      <c r="BB2462" s="38"/>
      <c r="BC2462" s="38"/>
      <c r="BD2462" s="38"/>
      <c r="BE2462" s="38"/>
      <c r="BF2462" s="38"/>
      <c r="BG2462" s="38"/>
    </row>
    <row r="2463">
      <c r="A2463" s="16"/>
      <c r="B2463" s="16"/>
      <c r="C2463" s="146"/>
      <c r="D2463" s="146"/>
      <c r="E2463" s="16"/>
      <c r="F2463" s="91"/>
      <c r="G2463" s="16"/>
      <c r="H2463" s="320" t="str">
        <f t="shared" si="1"/>
        <v/>
      </c>
      <c r="I2463" s="16"/>
      <c r="J2463" s="16"/>
      <c r="K2463" s="16"/>
      <c r="L2463" s="38"/>
      <c r="M2463" s="16"/>
      <c r="N2463" s="16"/>
      <c r="O2463" s="16"/>
      <c r="P2463" s="15"/>
      <c r="Q2463" s="15"/>
      <c r="R2463" s="16"/>
      <c r="S2463" s="16"/>
      <c r="T2463" s="16"/>
      <c r="U2463" s="16"/>
      <c r="V2463" s="37" t="str">
        <f>IFERROR(__xludf.DUMMYFUNCTION("if(not(iserror(index(split(C2463, "" ""),2))), index(split(C2463, "" ""),1),"""")"),"")</f>
        <v/>
      </c>
      <c r="W2463" s="315" t="str">
        <f>IFERROR(__xludf.DUMMYFUNCTION("if(V2463="""",C2463,if(not(iserror(index(split(C2463, "" ""),3))), index(split(C2463, "" ""),3),index(split(C2463, "" ""),2)))"),"")</f>
        <v/>
      </c>
      <c r="X2463" s="38" t="b">
        <f t="shared" si="2"/>
        <v>0</v>
      </c>
      <c r="Y2463" s="38"/>
      <c r="Z2463" s="40"/>
      <c r="AA2463" s="40"/>
      <c r="AB2463" s="38"/>
      <c r="AC2463" s="38"/>
      <c r="AD2463" s="38"/>
      <c r="AE2463" s="38"/>
      <c r="AF2463" s="38"/>
      <c r="AG2463" s="38"/>
      <c r="AH2463" s="38"/>
      <c r="AI2463" s="38"/>
      <c r="AJ2463" s="38"/>
      <c r="AK2463" s="38"/>
      <c r="AL2463" s="38"/>
      <c r="AM2463" s="38"/>
      <c r="AN2463" s="38"/>
      <c r="AO2463" s="38"/>
      <c r="AP2463" s="38"/>
      <c r="AQ2463" s="38"/>
      <c r="AR2463" s="38"/>
      <c r="AS2463" s="38"/>
      <c r="AT2463" s="38"/>
      <c r="AU2463" s="38"/>
      <c r="AV2463" s="38"/>
      <c r="AW2463" s="38"/>
      <c r="AX2463" s="38"/>
      <c r="AY2463" s="38"/>
      <c r="AZ2463" s="38"/>
      <c r="BA2463" s="38"/>
      <c r="BB2463" s="38"/>
      <c r="BC2463" s="38"/>
      <c r="BD2463" s="38"/>
      <c r="BE2463" s="38"/>
      <c r="BF2463" s="38"/>
      <c r="BG2463" s="38"/>
    </row>
    <row r="2464">
      <c r="A2464" s="16"/>
      <c r="B2464" s="16"/>
      <c r="C2464" s="146"/>
      <c r="D2464" s="146"/>
      <c r="E2464" s="16"/>
      <c r="F2464" s="91"/>
      <c r="G2464" s="16"/>
      <c r="H2464" s="320" t="str">
        <f t="shared" si="1"/>
        <v/>
      </c>
      <c r="I2464" s="16"/>
      <c r="J2464" s="16"/>
      <c r="K2464" s="16"/>
      <c r="L2464" s="38"/>
      <c r="M2464" s="16"/>
      <c r="N2464" s="16"/>
      <c r="O2464" s="16"/>
      <c r="P2464" s="15"/>
      <c r="Q2464" s="15"/>
      <c r="R2464" s="16"/>
      <c r="S2464" s="16"/>
      <c r="T2464" s="16"/>
      <c r="U2464" s="16"/>
      <c r="V2464" s="37" t="str">
        <f>IFERROR(__xludf.DUMMYFUNCTION("if(not(iserror(index(split(C2464, "" ""),2))), index(split(C2464, "" ""),1),"""")"),"")</f>
        <v/>
      </c>
      <c r="W2464" s="315" t="str">
        <f>IFERROR(__xludf.DUMMYFUNCTION("if(V2464="""",C2464,if(not(iserror(index(split(C2464, "" ""),3))), index(split(C2464, "" ""),3),index(split(C2464, "" ""),2)))"),"")</f>
        <v/>
      </c>
      <c r="X2464" s="38" t="b">
        <f t="shared" si="2"/>
        <v>0</v>
      </c>
      <c r="Y2464" s="38"/>
      <c r="Z2464" s="40"/>
      <c r="AA2464" s="40"/>
      <c r="AB2464" s="38"/>
      <c r="AC2464" s="38"/>
      <c r="AD2464" s="38"/>
      <c r="AE2464" s="38"/>
      <c r="AF2464" s="38"/>
      <c r="AG2464" s="38"/>
      <c r="AH2464" s="38"/>
      <c r="AI2464" s="38"/>
      <c r="AJ2464" s="38"/>
      <c r="AK2464" s="38"/>
      <c r="AL2464" s="38"/>
      <c r="AM2464" s="38"/>
      <c r="AN2464" s="38"/>
      <c r="AO2464" s="38"/>
      <c r="AP2464" s="38"/>
      <c r="AQ2464" s="38"/>
      <c r="AR2464" s="38"/>
      <c r="AS2464" s="38"/>
      <c r="AT2464" s="38"/>
      <c r="AU2464" s="38"/>
      <c r="AV2464" s="38"/>
      <c r="AW2464" s="38"/>
      <c r="AX2464" s="38"/>
      <c r="AY2464" s="38"/>
      <c r="AZ2464" s="38"/>
      <c r="BA2464" s="38"/>
      <c r="BB2464" s="38"/>
      <c r="BC2464" s="38"/>
      <c r="BD2464" s="38"/>
      <c r="BE2464" s="38"/>
      <c r="BF2464" s="38"/>
      <c r="BG2464" s="38"/>
    </row>
    <row r="2465">
      <c r="A2465" s="16"/>
      <c r="B2465" s="16"/>
      <c r="C2465" s="146"/>
      <c r="D2465" s="146"/>
      <c r="E2465" s="16"/>
      <c r="F2465" s="91"/>
      <c r="G2465" s="16"/>
      <c r="H2465" s="320" t="str">
        <f t="shared" si="1"/>
        <v/>
      </c>
      <c r="I2465" s="16"/>
      <c r="J2465" s="16"/>
      <c r="K2465" s="16"/>
      <c r="L2465" s="38"/>
      <c r="M2465" s="16"/>
      <c r="N2465" s="16"/>
      <c r="O2465" s="16"/>
      <c r="P2465" s="15"/>
      <c r="Q2465" s="15"/>
      <c r="R2465" s="16"/>
      <c r="S2465" s="16"/>
      <c r="T2465" s="16"/>
      <c r="U2465" s="16"/>
      <c r="V2465" s="37" t="str">
        <f>IFERROR(__xludf.DUMMYFUNCTION("if(not(iserror(index(split(C2465, "" ""),2))), index(split(C2465, "" ""),1),"""")"),"")</f>
        <v/>
      </c>
      <c r="W2465" s="315" t="str">
        <f>IFERROR(__xludf.DUMMYFUNCTION("if(V2465="""",C2465,if(not(iserror(index(split(C2465, "" ""),3))), index(split(C2465, "" ""),3),index(split(C2465, "" ""),2)))"),"")</f>
        <v/>
      </c>
      <c r="X2465" s="38" t="b">
        <f t="shared" si="2"/>
        <v>0</v>
      </c>
      <c r="Y2465" s="38"/>
      <c r="Z2465" s="40"/>
      <c r="AA2465" s="40"/>
      <c r="AB2465" s="38"/>
      <c r="AC2465" s="38"/>
      <c r="AD2465" s="38"/>
      <c r="AE2465" s="38"/>
      <c r="AF2465" s="38"/>
      <c r="AG2465" s="38"/>
      <c r="AH2465" s="38"/>
      <c r="AI2465" s="38"/>
      <c r="AJ2465" s="38"/>
      <c r="AK2465" s="38"/>
      <c r="AL2465" s="38"/>
      <c r="AM2465" s="38"/>
      <c r="AN2465" s="38"/>
      <c r="AO2465" s="38"/>
      <c r="AP2465" s="38"/>
      <c r="AQ2465" s="38"/>
      <c r="AR2465" s="38"/>
      <c r="AS2465" s="38"/>
      <c r="AT2465" s="38"/>
      <c r="AU2465" s="38"/>
      <c r="AV2465" s="38"/>
      <c r="AW2465" s="38"/>
      <c r="AX2465" s="38"/>
      <c r="AY2465" s="38"/>
      <c r="AZ2465" s="38"/>
      <c r="BA2465" s="38"/>
      <c r="BB2465" s="38"/>
      <c r="BC2465" s="38"/>
      <c r="BD2465" s="38"/>
      <c r="BE2465" s="38"/>
      <c r="BF2465" s="38"/>
      <c r="BG2465" s="38"/>
    </row>
    <row r="2466">
      <c r="A2466" s="16"/>
      <c r="B2466" s="16"/>
      <c r="C2466" s="146"/>
      <c r="D2466" s="146"/>
      <c r="E2466" s="16"/>
      <c r="F2466" s="91"/>
      <c r="G2466" s="16"/>
      <c r="H2466" s="320" t="str">
        <f t="shared" si="1"/>
        <v/>
      </c>
      <c r="I2466" s="16"/>
      <c r="J2466" s="16"/>
      <c r="K2466" s="16"/>
      <c r="L2466" s="38"/>
      <c r="M2466" s="16"/>
      <c r="N2466" s="16"/>
      <c r="O2466" s="16"/>
      <c r="P2466" s="15"/>
      <c r="Q2466" s="15"/>
      <c r="R2466" s="16"/>
      <c r="S2466" s="16"/>
      <c r="T2466" s="16"/>
      <c r="U2466" s="16"/>
      <c r="V2466" s="37" t="str">
        <f>IFERROR(__xludf.DUMMYFUNCTION("if(not(iserror(index(split(C2466, "" ""),2))), index(split(C2466, "" ""),1),"""")"),"")</f>
        <v/>
      </c>
      <c r="W2466" s="315" t="str">
        <f>IFERROR(__xludf.DUMMYFUNCTION("if(V2466="""",C2466,if(not(iserror(index(split(C2466, "" ""),3))), index(split(C2466, "" ""),3),index(split(C2466, "" ""),2)))"),"")</f>
        <v/>
      </c>
      <c r="X2466" s="38" t="b">
        <f t="shared" si="2"/>
        <v>0</v>
      </c>
      <c r="Y2466" s="38"/>
      <c r="Z2466" s="40"/>
      <c r="AA2466" s="40"/>
      <c r="AB2466" s="38"/>
      <c r="AC2466" s="38"/>
      <c r="AD2466" s="38"/>
      <c r="AE2466" s="38"/>
      <c r="AF2466" s="38"/>
      <c r="AG2466" s="38"/>
      <c r="AH2466" s="38"/>
      <c r="AI2466" s="38"/>
      <c r="AJ2466" s="38"/>
      <c r="AK2466" s="38"/>
      <c r="AL2466" s="38"/>
      <c r="AM2466" s="38"/>
      <c r="AN2466" s="38"/>
      <c r="AO2466" s="38"/>
      <c r="AP2466" s="38"/>
      <c r="AQ2466" s="38"/>
      <c r="AR2466" s="38"/>
      <c r="AS2466" s="38"/>
      <c r="AT2466" s="38"/>
      <c r="AU2466" s="38"/>
      <c r="AV2466" s="38"/>
      <c r="AW2466" s="38"/>
      <c r="AX2466" s="38"/>
      <c r="AY2466" s="38"/>
      <c r="AZ2466" s="38"/>
      <c r="BA2466" s="38"/>
      <c r="BB2466" s="38"/>
      <c r="BC2466" s="38"/>
      <c r="BD2466" s="38"/>
      <c r="BE2466" s="38"/>
      <c r="BF2466" s="38"/>
      <c r="BG2466" s="38"/>
    </row>
    <row r="2467">
      <c r="A2467" s="16"/>
      <c r="B2467" s="16"/>
      <c r="C2467" s="146"/>
      <c r="D2467" s="146"/>
      <c r="E2467" s="16"/>
      <c r="F2467" s="91"/>
      <c r="G2467" s="16"/>
      <c r="H2467" s="320" t="str">
        <f t="shared" si="1"/>
        <v/>
      </c>
      <c r="I2467" s="16"/>
      <c r="J2467" s="16"/>
      <c r="K2467" s="16"/>
      <c r="L2467" s="38"/>
      <c r="M2467" s="16"/>
      <c r="N2467" s="16"/>
      <c r="O2467" s="16"/>
      <c r="P2467" s="15"/>
      <c r="Q2467" s="15"/>
      <c r="R2467" s="16"/>
      <c r="S2467" s="16"/>
      <c r="T2467" s="16"/>
      <c r="U2467" s="16"/>
      <c r="V2467" s="37" t="str">
        <f>IFERROR(__xludf.DUMMYFUNCTION("if(not(iserror(index(split(C2467, "" ""),2))), index(split(C2467, "" ""),1),"""")"),"")</f>
        <v/>
      </c>
      <c r="W2467" s="315" t="str">
        <f>IFERROR(__xludf.DUMMYFUNCTION("if(V2467="""",C2467,if(not(iserror(index(split(C2467, "" ""),3))), index(split(C2467, "" ""),3),index(split(C2467, "" ""),2)))"),"")</f>
        <v/>
      </c>
      <c r="X2467" s="38" t="b">
        <f t="shared" si="2"/>
        <v>0</v>
      </c>
      <c r="Y2467" s="38"/>
      <c r="Z2467" s="40"/>
      <c r="AA2467" s="40"/>
      <c r="AB2467" s="38"/>
      <c r="AC2467" s="38"/>
      <c r="AD2467" s="38"/>
      <c r="AE2467" s="38"/>
      <c r="AF2467" s="38"/>
      <c r="AG2467" s="38"/>
      <c r="AH2467" s="38"/>
      <c r="AI2467" s="38"/>
      <c r="AJ2467" s="38"/>
      <c r="AK2467" s="38"/>
      <c r="AL2467" s="38"/>
      <c r="AM2467" s="38"/>
      <c r="AN2467" s="38"/>
      <c r="AO2467" s="38"/>
      <c r="AP2467" s="38"/>
      <c r="AQ2467" s="38"/>
      <c r="AR2467" s="38"/>
      <c r="AS2467" s="38"/>
      <c r="AT2467" s="38"/>
      <c r="AU2467" s="38"/>
      <c r="AV2467" s="38"/>
      <c r="AW2467" s="38"/>
      <c r="AX2467" s="38"/>
      <c r="AY2467" s="38"/>
      <c r="AZ2467" s="38"/>
      <c r="BA2467" s="38"/>
      <c r="BB2467" s="38"/>
      <c r="BC2467" s="38"/>
      <c r="BD2467" s="38"/>
      <c r="BE2467" s="38"/>
      <c r="BF2467" s="38"/>
      <c r="BG2467" s="38"/>
    </row>
    <row r="2468">
      <c r="A2468" s="16"/>
      <c r="B2468" s="16"/>
      <c r="C2468" s="146"/>
      <c r="D2468" s="146"/>
      <c r="E2468" s="16"/>
      <c r="F2468" s="91"/>
      <c r="G2468" s="16"/>
      <c r="H2468" s="320" t="str">
        <f t="shared" si="1"/>
        <v/>
      </c>
      <c r="I2468" s="16"/>
      <c r="J2468" s="16"/>
      <c r="K2468" s="16"/>
      <c r="L2468" s="38"/>
      <c r="M2468" s="16"/>
      <c r="N2468" s="16"/>
      <c r="O2468" s="16"/>
      <c r="P2468" s="15"/>
      <c r="Q2468" s="15"/>
      <c r="R2468" s="16"/>
      <c r="S2468" s="16"/>
      <c r="T2468" s="16"/>
      <c r="U2468" s="16"/>
      <c r="V2468" s="37" t="str">
        <f>IFERROR(__xludf.DUMMYFUNCTION("if(not(iserror(index(split(C2468, "" ""),2))), index(split(C2468, "" ""),1),"""")"),"")</f>
        <v/>
      </c>
      <c r="W2468" s="315" t="str">
        <f>IFERROR(__xludf.DUMMYFUNCTION("if(V2468="""",C2468,if(not(iserror(index(split(C2468, "" ""),3))), index(split(C2468, "" ""),3),index(split(C2468, "" ""),2)))"),"")</f>
        <v/>
      </c>
      <c r="X2468" s="38" t="b">
        <f t="shared" si="2"/>
        <v>0</v>
      </c>
      <c r="Y2468" s="38"/>
      <c r="Z2468" s="40"/>
      <c r="AA2468" s="40"/>
      <c r="AB2468" s="38"/>
      <c r="AC2468" s="38"/>
      <c r="AD2468" s="38"/>
      <c r="AE2468" s="38"/>
      <c r="AF2468" s="38"/>
      <c r="AG2468" s="38"/>
      <c r="AH2468" s="38"/>
      <c r="AI2468" s="38"/>
      <c r="AJ2468" s="38"/>
      <c r="AK2468" s="38"/>
      <c r="AL2468" s="38"/>
      <c r="AM2468" s="38"/>
      <c r="AN2468" s="38"/>
      <c r="AO2468" s="38"/>
      <c r="AP2468" s="38"/>
      <c r="AQ2468" s="38"/>
      <c r="AR2468" s="38"/>
      <c r="AS2468" s="38"/>
      <c r="AT2468" s="38"/>
      <c r="AU2468" s="38"/>
      <c r="AV2468" s="38"/>
      <c r="AW2468" s="38"/>
      <c r="AX2468" s="38"/>
      <c r="AY2468" s="38"/>
      <c r="AZ2468" s="38"/>
      <c r="BA2468" s="38"/>
      <c r="BB2468" s="38"/>
      <c r="BC2468" s="38"/>
      <c r="BD2468" s="38"/>
      <c r="BE2468" s="38"/>
      <c r="BF2468" s="38"/>
      <c r="BG2468" s="38"/>
    </row>
    <row r="2469">
      <c r="A2469" s="16"/>
      <c r="B2469" s="16"/>
      <c r="C2469" s="146"/>
      <c r="D2469" s="146"/>
      <c r="E2469" s="16"/>
      <c r="F2469" s="91"/>
      <c r="G2469" s="16"/>
      <c r="H2469" s="320" t="str">
        <f t="shared" si="1"/>
        <v/>
      </c>
      <c r="I2469" s="16"/>
      <c r="J2469" s="16"/>
      <c r="K2469" s="16"/>
      <c r="L2469" s="38"/>
      <c r="M2469" s="16"/>
      <c r="N2469" s="16"/>
      <c r="O2469" s="16"/>
      <c r="P2469" s="15"/>
      <c r="Q2469" s="15"/>
      <c r="R2469" s="16"/>
      <c r="S2469" s="16"/>
      <c r="T2469" s="16"/>
      <c r="U2469" s="16"/>
      <c r="V2469" s="37" t="str">
        <f>IFERROR(__xludf.DUMMYFUNCTION("if(not(iserror(index(split(C2469, "" ""),2))), index(split(C2469, "" ""),1),"""")"),"")</f>
        <v/>
      </c>
      <c r="W2469" s="315" t="str">
        <f>IFERROR(__xludf.DUMMYFUNCTION("if(V2469="""",C2469,if(not(iserror(index(split(C2469, "" ""),3))), index(split(C2469, "" ""),3),index(split(C2469, "" ""),2)))"),"")</f>
        <v/>
      </c>
      <c r="X2469" s="38" t="b">
        <f t="shared" si="2"/>
        <v>0</v>
      </c>
      <c r="Y2469" s="38"/>
      <c r="Z2469" s="40"/>
      <c r="AA2469" s="40"/>
      <c r="AB2469" s="38"/>
      <c r="AC2469" s="38"/>
      <c r="AD2469" s="38"/>
      <c r="AE2469" s="38"/>
      <c r="AF2469" s="38"/>
      <c r="AG2469" s="38"/>
      <c r="AH2469" s="38"/>
      <c r="AI2469" s="38"/>
      <c r="AJ2469" s="38"/>
      <c r="AK2469" s="38"/>
      <c r="AL2469" s="38"/>
      <c r="AM2469" s="38"/>
      <c r="AN2469" s="38"/>
      <c r="AO2469" s="38"/>
      <c r="AP2469" s="38"/>
      <c r="AQ2469" s="38"/>
      <c r="AR2469" s="38"/>
      <c r="AS2469" s="38"/>
      <c r="AT2469" s="38"/>
      <c r="AU2469" s="38"/>
      <c r="AV2469" s="38"/>
      <c r="AW2469" s="38"/>
      <c r="AX2469" s="38"/>
      <c r="AY2469" s="38"/>
      <c r="AZ2469" s="38"/>
      <c r="BA2469" s="38"/>
      <c r="BB2469" s="38"/>
      <c r="BC2469" s="38"/>
      <c r="BD2469" s="38"/>
      <c r="BE2469" s="38"/>
      <c r="BF2469" s="38"/>
      <c r="BG2469" s="38"/>
    </row>
    <row r="2470">
      <c r="A2470" s="16"/>
      <c r="B2470" s="16"/>
      <c r="C2470" s="146"/>
      <c r="D2470" s="146"/>
      <c r="E2470" s="16"/>
      <c r="F2470" s="91"/>
      <c r="G2470" s="16"/>
      <c r="H2470" s="320" t="str">
        <f t="shared" si="1"/>
        <v/>
      </c>
      <c r="I2470" s="16"/>
      <c r="J2470" s="16"/>
      <c r="K2470" s="16"/>
      <c r="L2470" s="38"/>
      <c r="M2470" s="16"/>
      <c r="N2470" s="16"/>
      <c r="O2470" s="16"/>
      <c r="P2470" s="15"/>
      <c r="Q2470" s="15"/>
      <c r="R2470" s="16"/>
      <c r="S2470" s="16"/>
      <c r="T2470" s="16"/>
      <c r="U2470" s="16"/>
      <c r="V2470" s="37" t="str">
        <f>IFERROR(__xludf.DUMMYFUNCTION("if(not(iserror(index(split(C2470, "" ""),2))), index(split(C2470, "" ""),1),"""")"),"")</f>
        <v/>
      </c>
      <c r="W2470" s="315" t="str">
        <f>IFERROR(__xludf.DUMMYFUNCTION("if(V2470="""",C2470,if(not(iserror(index(split(C2470, "" ""),3))), index(split(C2470, "" ""),3),index(split(C2470, "" ""),2)))"),"")</f>
        <v/>
      </c>
      <c r="X2470" s="38" t="b">
        <f t="shared" si="2"/>
        <v>0</v>
      </c>
      <c r="Y2470" s="38"/>
      <c r="Z2470" s="40"/>
      <c r="AA2470" s="40"/>
      <c r="AB2470" s="38"/>
      <c r="AC2470" s="38"/>
      <c r="AD2470" s="38"/>
      <c r="AE2470" s="38"/>
      <c r="AF2470" s="38"/>
      <c r="AG2470" s="38"/>
      <c r="AH2470" s="38"/>
      <c r="AI2470" s="38"/>
      <c r="AJ2470" s="38"/>
      <c r="AK2470" s="38"/>
      <c r="AL2470" s="38"/>
      <c r="AM2470" s="38"/>
      <c r="AN2470" s="38"/>
      <c r="AO2470" s="38"/>
      <c r="AP2470" s="38"/>
      <c r="AQ2470" s="38"/>
      <c r="AR2470" s="38"/>
      <c r="AS2470" s="38"/>
      <c r="AT2470" s="38"/>
      <c r="AU2470" s="38"/>
      <c r="AV2470" s="38"/>
      <c r="AW2470" s="38"/>
      <c r="AX2470" s="38"/>
      <c r="AY2470" s="38"/>
      <c r="AZ2470" s="38"/>
      <c r="BA2470" s="38"/>
      <c r="BB2470" s="38"/>
      <c r="BC2470" s="38"/>
      <c r="BD2470" s="38"/>
      <c r="BE2470" s="38"/>
      <c r="BF2470" s="38"/>
      <c r="BG2470" s="38"/>
    </row>
    <row r="2471">
      <c r="A2471" s="16"/>
      <c r="B2471" s="16"/>
      <c r="C2471" s="146"/>
      <c r="D2471" s="146"/>
      <c r="E2471" s="16"/>
      <c r="F2471" s="91"/>
      <c r="G2471" s="16"/>
      <c r="H2471" s="320" t="str">
        <f t="shared" si="1"/>
        <v/>
      </c>
      <c r="I2471" s="16"/>
      <c r="J2471" s="16"/>
      <c r="K2471" s="16"/>
      <c r="L2471" s="38"/>
      <c r="M2471" s="16"/>
      <c r="N2471" s="16"/>
      <c r="O2471" s="16"/>
      <c r="P2471" s="15"/>
      <c r="Q2471" s="15"/>
      <c r="R2471" s="16"/>
      <c r="S2471" s="16"/>
      <c r="T2471" s="16"/>
      <c r="U2471" s="16"/>
      <c r="V2471" s="37" t="str">
        <f>IFERROR(__xludf.DUMMYFUNCTION("if(not(iserror(index(split(C2471, "" ""),2))), index(split(C2471, "" ""),1),"""")"),"")</f>
        <v/>
      </c>
      <c r="W2471" s="315" t="str">
        <f>IFERROR(__xludf.DUMMYFUNCTION("if(V2471="""",C2471,if(not(iserror(index(split(C2471, "" ""),3))), index(split(C2471, "" ""),3),index(split(C2471, "" ""),2)))"),"")</f>
        <v/>
      </c>
      <c r="X2471" s="38" t="b">
        <f t="shared" si="2"/>
        <v>0</v>
      </c>
      <c r="Y2471" s="38"/>
      <c r="Z2471" s="40"/>
      <c r="AA2471" s="40"/>
      <c r="AB2471" s="38"/>
      <c r="AC2471" s="38"/>
      <c r="AD2471" s="38"/>
      <c r="AE2471" s="38"/>
      <c r="AF2471" s="38"/>
      <c r="AG2471" s="38"/>
      <c r="AH2471" s="38"/>
      <c r="AI2471" s="38"/>
      <c r="AJ2471" s="38"/>
      <c r="AK2471" s="38"/>
      <c r="AL2471" s="38"/>
      <c r="AM2471" s="38"/>
      <c r="AN2471" s="38"/>
      <c r="AO2471" s="38"/>
      <c r="AP2471" s="38"/>
      <c r="AQ2471" s="38"/>
      <c r="AR2471" s="38"/>
      <c r="AS2471" s="38"/>
      <c r="AT2471" s="38"/>
      <c r="AU2471" s="38"/>
      <c r="AV2471" s="38"/>
      <c r="AW2471" s="38"/>
      <c r="AX2471" s="38"/>
      <c r="AY2471" s="38"/>
      <c r="AZ2471" s="38"/>
      <c r="BA2471" s="38"/>
      <c r="BB2471" s="38"/>
      <c r="BC2471" s="38"/>
      <c r="BD2471" s="38"/>
      <c r="BE2471" s="38"/>
      <c r="BF2471" s="38"/>
      <c r="BG2471" s="38"/>
    </row>
    <row r="2472">
      <c r="A2472" s="16"/>
      <c r="B2472" s="16"/>
      <c r="C2472" s="146"/>
      <c r="D2472" s="146"/>
      <c r="E2472" s="16"/>
      <c r="F2472" s="91"/>
      <c r="G2472" s="16"/>
      <c r="H2472" s="320" t="str">
        <f t="shared" si="1"/>
        <v/>
      </c>
      <c r="I2472" s="16"/>
      <c r="J2472" s="16"/>
      <c r="K2472" s="16"/>
      <c r="L2472" s="38"/>
      <c r="M2472" s="16"/>
      <c r="N2472" s="16"/>
      <c r="O2472" s="16"/>
      <c r="P2472" s="15"/>
      <c r="Q2472" s="15"/>
      <c r="R2472" s="16"/>
      <c r="S2472" s="16"/>
      <c r="T2472" s="16"/>
      <c r="U2472" s="16"/>
      <c r="V2472" s="37" t="str">
        <f>IFERROR(__xludf.DUMMYFUNCTION("if(not(iserror(index(split(C2472, "" ""),2))), index(split(C2472, "" ""),1),"""")"),"")</f>
        <v/>
      </c>
      <c r="W2472" s="315" t="str">
        <f>IFERROR(__xludf.DUMMYFUNCTION("if(V2472="""",C2472,if(not(iserror(index(split(C2472, "" ""),3))), index(split(C2472, "" ""),3),index(split(C2472, "" ""),2)))"),"")</f>
        <v/>
      </c>
      <c r="X2472" s="38" t="b">
        <f t="shared" si="2"/>
        <v>0</v>
      </c>
      <c r="Y2472" s="38"/>
      <c r="Z2472" s="40"/>
      <c r="AA2472" s="40"/>
      <c r="AB2472" s="38"/>
      <c r="AC2472" s="38"/>
      <c r="AD2472" s="38"/>
      <c r="AE2472" s="38"/>
      <c r="AF2472" s="38"/>
      <c r="AG2472" s="38"/>
      <c r="AH2472" s="38"/>
      <c r="AI2472" s="38"/>
      <c r="AJ2472" s="38"/>
      <c r="AK2472" s="38"/>
      <c r="AL2472" s="38"/>
      <c r="AM2472" s="38"/>
      <c r="AN2472" s="38"/>
      <c r="AO2472" s="38"/>
      <c r="AP2472" s="38"/>
      <c r="AQ2472" s="38"/>
      <c r="AR2472" s="38"/>
      <c r="AS2472" s="38"/>
      <c r="AT2472" s="38"/>
      <c r="AU2472" s="38"/>
      <c r="AV2472" s="38"/>
      <c r="AW2472" s="38"/>
      <c r="AX2472" s="38"/>
      <c r="AY2472" s="38"/>
      <c r="AZ2472" s="38"/>
      <c r="BA2472" s="38"/>
      <c r="BB2472" s="38"/>
      <c r="BC2472" s="38"/>
      <c r="BD2472" s="38"/>
      <c r="BE2472" s="38"/>
      <c r="BF2472" s="38"/>
      <c r="BG2472" s="38"/>
    </row>
    <row r="2473">
      <c r="A2473" s="16"/>
      <c r="B2473" s="16"/>
      <c r="C2473" s="146"/>
      <c r="D2473" s="146"/>
      <c r="E2473" s="16"/>
      <c r="F2473" s="91"/>
      <c r="G2473" s="16"/>
      <c r="H2473" s="320" t="str">
        <f t="shared" si="1"/>
        <v/>
      </c>
      <c r="I2473" s="16"/>
      <c r="J2473" s="16"/>
      <c r="K2473" s="16"/>
      <c r="L2473" s="38"/>
      <c r="M2473" s="16"/>
      <c r="N2473" s="16"/>
      <c r="O2473" s="16"/>
      <c r="P2473" s="15"/>
      <c r="Q2473" s="15"/>
      <c r="R2473" s="16"/>
      <c r="S2473" s="16"/>
      <c r="T2473" s="16"/>
      <c r="U2473" s="16"/>
      <c r="V2473" s="37" t="str">
        <f>IFERROR(__xludf.DUMMYFUNCTION("if(not(iserror(index(split(C2473, "" ""),2))), index(split(C2473, "" ""),1),"""")"),"")</f>
        <v/>
      </c>
      <c r="W2473" s="315" t="str">
        <f>IFERROR(__xludf.DUMMYFUNCTION("if(V2473="""",C2473,if(not(iserror(index(split(C2473, "" ""),3))), index(split(C2473, "" ""),3),index(split(C2473, "" ""),2)))"),"")</f>
        <v/>
      </c>
      <c r="X2473" s="38" t="b">
        <f t="shared" si="2"/>
        <v>0</v>
      </c>
      <c r="Y2473" s="38"/>
      <c r="Z2473" s="40"/>
      <c r="AA2473" s="40"/>
      <c r="AB2473" s="38"/>
      <c r="AC2473" s="38"/>
      <c r="AD2473" s="38"/>
      <c r="AE2473" s="38"/>
      <c r="AF2473" s="38"/>
      <c r="AG2473" s="38"/>
      <c r="AH2473" s="38"/>
      <c r="AI2473" s="38"/>
      <c r="AJ2473" s="38"/>
      <c r="AK2473" s="38"/>
      <c r="AL2473" s="38"/>
      <c r="AM2473" s="38"/>
      <c r="AN2473" s="38"/>
      <c r="AO2473" s="38"/>
      <c r="AP2473" s="38"/>
      <c r="AQ2473" s="38"/>
      <c r="AR2473" s="38"/>
      <c r="AS2473" s="38"/>
      <c r="AT2473" s="38"/>
      <c r="AU2473" s="38"/>
      <c r="AV2473" s="38"/>
      <c r="AW2473" s="38"/>
      <c r="AX2473" s="38"/>
      <c r="AY2473" s="38"/>
      <c r="AZ2473" s="38"/>
      <c r="BA2473" s="38"/>
      <c r="BB2473" s="38"/>
      <c r="BC2473" s="38"/>
      <c r="BD2473" s="38"/>
      <c r="BE2473" s="38"/>
      <c r="BF2473" s="38"/>
      <c r="BG2473" s="38"/>
    </row>
    <row r="2474">
      <c r="A2474" s="16"/>
      <c r="B2474" s="16"/>
      <c r="C2474" s="146"/>
      <c r="D2474" s="146"/>
      <c r="E2474" s="16"/>
      <c r="F2474" s="91"/>
      <c r="G2474" s="16"/>
      <c r="H2474" s="320" t="str">
        <f t="shared" si="1"/>
        <v/>
      </c>
      <c r="I2474" s="16"/>
      <c r="J2474" s="16"/>
      <c r="K2474" s="16"/>
      <c r="L2474" s="38"/>
      <c r="M2474" s="16"/>
      <c r="N2474" s="16"/>
      <c r="O2474" s="16"/>
      <c r="P2474" s="15"/>
      <c r="Q2474" s="15"/>
      <c r="R2474" s="16"/>
      <c r="S2474" s="16"/>
      <c r="T2474" s="16"/>
      <c r="U2474" s="16"/>
      <c r="V2474" s="37" t="str">
        <f>IFERROR(__xludf.DUMMYFUNCTION("if(not(iserror(index(split(C2474, "" ""),2))), index(split(C2474, "" ""),1),"""")"),"")</f>
        <v/>
      </c>
      <c r="W2474" s="315" t="str">
        <f>IFERROR(__xludf.DUMMYFUNCTION("if(V2474="""",C2474,if(not(iserror(index(split(C2474, "" ""),3))), index(split(C2474, "" ""),3),index(split(C2474, "" ""),2)))"),"")</f>
        <v/>
      </c>
      <c r="X2474" s="38" t="b">
        <f t="shared" si="2"/>
        <v>0</v>
      </c>
      <c r="Y2474" s="38"/>
      <c r="Z2474" s="40"/>
      <c r="AA2474" s="40"/>
      <c r="AB2474" s="38"/>
      <c r="AC2474" s="38"/>
      <c r="AD2474" s="38"/>
      <c r="AE2474" s="38"/>
      <c r="AF2474" s="38"/>
      <c r="AG2474" s="38"/>
      <c r="AH2474" s="38"/>
      <c r="AI2474" s="38"/>
      <c r="AJ2474" s="38"/>
      <c r="AK2474" s="38"/>
      <c r="AL2474" s="38"/>
      <c r="AM2474" s="38"/>
      <c r="AN2474" s="38"/>
      <c r="AO2474" s="38"/>
      <c r="AP2474" s="38"/>
      <c r="AQ2474" s="38"/>
      <c r="AR2474" s="38"/>
      <c r="AS2474" s="38"/>
      <c r="AT2474" s="38"/>
      <c r="AU2474" s="38"/>
      <c r="AV2474" s="38"/>
      <c r="AW2474" s="38"/>
      <c r="AX2474" s="38"/>
      <c r="AY2474" s="38"/>
      <c r="AZ2474" s="38"/>
      <c r="BA2474" s="38"/>
      <c r="BB2474" s="38"/>
      <c r="BC2474" s="38"/>
      <c r="BD2474" s="38"/>
      <c r="BE2474" s="38"/>
      <c r="BF2474" s="38"/>
      <c r="BG2474" s="38"/>
    </row>
    <row r="2475">
      <c r="A2475" s="16"/>
      <c r="B2475" s="16"/>
      <c r="C2475" s="146"/>
      <c r="D2475" s="146"/>
      <c r="E2475" s="16"/>
      <c r="F2475" s="91"/>
      <c r="G2475" s="16"/>
      <c r="H2475" s="320" t="str">
        <f t="shared" si="1"/>
        <v/>
      </c>
      <c r="I2475" s="16"/>
      <c r="J2475" s="16"/>
      <c r="K2475" s="16"/>
      <c r="L2475" s="38"/>
      <c r="M2475" s="16"/>
      <c r="N2475" s="16"/>
      <c r="O2475" s="16"/>
      <c r="P2475" s="15"/>
      <c r="Q2475" s="15"/>
      <c r="R2475" s="16"/>
      <c r="S2475" s="16"/>
      <c r="T2475" s="16"/>
      <c r="U2475" s="16"/>
      <c r="V2475" s="37" t="str">
        <f>IFERROR(__xludf.DUMMYFUNCTION("if(not(iserror(index(split(C2475, "" ""),2))), index(split(C2475, "" ""),1),"""")"),"")</f>
        <v/>
      </c>
      <c r="W2475" s="315" t="str">
        <f>IFERROR(__xludf.DUMMYFUNCTION("if(V2475="""",C2475,if(not(iserror(index(split(C2475, "" ""),3))), index(split(C2475, "" ""),3),index(split(C2475, "" ""),2)))"),"")</f>
        <v/>
      </c>
      <c r="X2475" s="38" t="b">
        <f t="shared" si="2"/>
        <v>0</v>
      </c>
      <c r="Y2475" s="38"/>
      <c r="Z2475" s="40"/>
      <c r="AA2475" s="40"/>
      <c r="AB2475" s="38"/>
      <c r="AC2475" s="38"/>
      <c r="AD2475" s="38"/>
      <c r="AE2475" s="38"/>
      <c r="AF2475" s="38"/>
      <c r="AG2475" s="38"/>
      <c r="AH2475" s="38"/>
      <c r="AI2475" s="38"/>
      <c r="AJ2475" s="38"/>
      <c r="AK2475" s="38"/>
      <c r="AL2475" s="38"/>
      <c r="AM2475" s="38"/>
      <c r="AN2475" s="38"/>
      <c r="AO2475" s="38"/>
      <c r="AP2475" s="38"/>
      <c r="AQ2475" s="38"/>
      <c r="AR2475" s="38"/>
      <c r="AS2475" s="38"/>
      <c r="AT2475" s="38"/>
      <c r="AU2475" s="38"/>
      <c r="AV2475" s="38"/>
      <c r="AW2475" s="38"/>
      <c r="AX2475" s="38"/>
      <c r="AY2475" s="38"/>
      <c r="AZ2475" s="38"/>
      <c r="BA2475" s="38"/>
      <c r="BB2475" s="38"/>
      <c r="BC2475" s="38"/>
      <c r="BD2475" s="38"/>
      <c r="BE2475" s="38"/>
      <c r="BF2475" s="38"/>
      <c r="BG2475" s="38"/>
    </row>
    <row r="2476">
      <c r="A2476" s="16"/>
      <c r="B2476" s="16"/>
      <c r="C2476" s="146"/>
      <c r="D2476" s="146"/>
      <c r="E2476" s="16"/>
      <c r="F2476" s="91"/>
      <c r="G2476" s="16"/>
      <c r="H2476" s="320" t="str">
        <f t="shared" si="1"/>
        <v/>
      </c>
      <c r="I2476" s="16"/>
      <c r="J2476" s="16"/>
      <c r="K2476" s="16"/>
      <c r="L2476" s="38"/>
      <c r="M2476" s="16"/>
      <c r="N2476" s="16"/>
      <c r="O2476" s="16"/>
      <c r="P2476" s="15"/>
      <c r="Q2476" s="15"/>
      <c r="R2476" s="16"/>
      <c r="S2476" s="16"/>
      <c r="T2476" s="16"/>
      <c r="U2476" s="16"/>
      <c r="V2476" s="37" t="str">
        <f>IFERROR(__xludf.DUMMYFUNCTION("if(not(iserror(index(split(C2476, "" ""),2))), index(split(C2476, "" ""),1),"""")"),"")</f>
        <v/>
      </c>
      <c r="W2476" s="315" t="str">
        <f>IFERROR(__xludf.DUMMYFUNCTION("if(V2476="""",C2476,if(not(iserror(index(split(C2476, "" ""),3))), index(split(C2476, "" ""),3),index(split(C2476, "" ""),2)))"),"")</f>
        <v/>
      </c>
      <c r="X2476" s="38" t="b">
        <f t="shared" si="2"/>
        <v>0</v>
      </c>
      <c r="Y2476" s="38"/>
      <c r="Z2476" s="40"/>
      <c r="AA2476" s="40"/>
      <c r="AB2476" s="38"/>
      <c r="AC2476" s="38"/>
      <c r="AD2476" s="38"/>
      <c r="AE2476" s="38"/>
      <c r="AF2476" s="38"/>
      <c r="AG2476" s="38"/>
      <c r="AH2476" s="38"/>
      <c r="AI2476" s="38"/>
      <c r="AJ2476" s="38"/>
      <c r="AK2476" s="38"/>
      <c r="AL2476" s="38"/>
      <c r="AM2476" s="38"/>
      <c r="AN2476" s="38"/>
      <c r="AO2476" s="38"/>
      <c r="AP2476" s="38"/>
      <c r="AQ2476" s="38"/>
      <c r="AR2476" s="38"/>
      <c r="AS2476" s="38"/>
      <c r="AT2476" s="38"/>
      <c r="AU2476" s="38"/>
      <c r="AV2476" s="38"/>
      <c r="AW2476" s="38"/>
      <c r="AX2476" s="38"/>
      <c r="AY2476" s="38"/>
      <c r="AZ2476" s="38"/>
      <c r="BA2476" s="38"/>
      <c r="BB2476" s="38"/>
      <c r="BC2476" s="38"/>
      <c r="BD2476" s="38"/>
      <c r="BE2476" s="38"/>
      <c r="BF2476" s="38"/>
      <c r="BG2476" s="38"/>
    </row>
    <row r="2477">
      <c r="A2477" s="16"/>
      <c r="B2477" s="16"/>
      <c r="C2477" s="146"/>
      <c r="D2477" s="146"/>
      <c r="E2477" s="16"/>
      <c r="F2477" s="91"/>
      <c r="G2477" s="16"/>
      <c r="H2477" s="320" t="str">
        <f t="shared" si="1"/>
        <v/>
      </c>
      <c r="I2477" s="16"/>
      <c r="J2477" s="16"/>
      <c r="K2477" s="16"/>
      <c r="L2477" s="38"/>
      <c r="M2477" s="16"/>
      <c r="N2477" s="16"/>
      <c r="O2477" s="16"/>
      <c r="P2477" s="15"/>
      <c r="Q2477" s="15"/>
      <c r="R2477" s="16"/>
      <c r="S2477" s="16"/>
      <c r="T2477" s="16"/>
      <c r="U2477" s="16"/>
      <c r="V2477" s="37" t="str">
        <f>IFERROR(__xludf.DUMMYFUNCTION("if(not(iserror(index(split(C2477, "" ""),2))), index(split(C2477, "" ""),1),"""")"),"")</f>
        <v/>
      </c>
      <c r="W2477" s="315" t="str">
        <f>IFERROR(__xludf.DUMMYFUNCTION("if(V2477="""",C2477,if(not(iserror(index(split(C2477, "" ""),3))), index(split(C2477, "" ""),3),index(split(C2477, "" ""),2)))"),"")</f>
        <v/>
      </c>
      <c r="X2477" s="38" t="b">
        <f t="shared" si="2"/>
        <v>0</v>
      </c>
      <c r="Y2477" s="38"/>
      <c r="Z2477" s="40"/>
      <c r="AA2477" s="40"/>
      <c r="AB2477" s="38"/>
      <c r="AC2477" s="38"/>
      <c r="AD2477" s="38"/>
      <c r="AE2477" s="38"/>
      <c r="AF2477" s="38"/>
      <c r="AG2477" s="38"/>
      <c r="AH2477" s="38"/>
      <c r="AI2477" s="38"/>
      <c r="AJ2477" s="38"/>
      <c r="AK2477" s="38"/>
      <c r="AL2477" s="38"/>
      <c r="AM2477" s="38"/>
      <c r="AN2477" s="38"/>
      <c r="AO2477" s="38"/>
      <c r="AP2477" s="38"/>
      <c r="AQ2477" s="38"/>
      <c r="AR2477" s="38"/>
      <c r="AS2477" s="38"/>
      <c r="AT2477" s="38"/>
      <c r="AU2477" s="38"/>
      <c r="AV2477" s="38"/>
      <c r="AW2477" s="38"/>
      <c r="AX2477" s="38"/>
      <c r="AY2477" s="38"/>
      <c r="AZ2477" s="38"/>
      <c r="BA2477" s="38"/>
      <c r="BB2477" s="38"/>
      <c r="BC2477" s="38"/>
      <c r="BD2477" s="38"/>
      <c r="BE2477" s="38"/>
      <c r="BF2477" s="38"/>
      <c r="BG2477" s="38"/>
    </row>
    <row r="2478">
      <c r="A2478" s="16"/>
      <c r="B2478" s="16"/>
      <c r="C2478" s="146"/>
      <c r="D2478" s="146"/>
      <c r="E2478" s="16"/>
      <c r="F2478" s="91"/>
      <c r="G2478" s="16"/>
      <c r="H2478" s="320" t="str">
        <f t="shared" si="1"/>
        <v/>
      </c>
      <c r="I2478" s="16"/>
      <c r="J2478" s="16"/>
      <c r="K2478" s="16"/>
      <c r="L2478" s="38"/>
      <c r="M2478" s="16"/>
      <c r="N2478" s="16"/>
      <c r="O2478" s="16"/>
      <c r="P2478" s="15"/>
      <c r="Q2478" s="15"/>
      <c r="R2478" s="16"/>
      <c r="S2478" s="16"/>
      <c r="T2478" s="16"/>
      <c r="U2478" s="16"/>
      <c r="V2478" s="37" t="str">
        <f>IFERROR(__xludf.DUMMYFUNCTION("if(not(iserror(index(split(C2478, "" ""),2))), index(split(C2478, "" ""),1),"""")"),"")</f>
        <v/>
      </c>
      <c r="W2478" s="315" t="str">
        <f>IFERROR(__xludf.DUMMYFUNCTION("if(V2478="""",C2478,if(not(iserror(index(split(C2478, "" ""),3))), index(split(C2478, "" ""),3),index(split(C2478, "" ""),2)))"),"")</f>
        <v/>
      </c>
      <c r="X2478" s="38" t="b">
        <f t="shared" si="2"/>
        <v>0</v>
      </c>
      <c r="Y2478" s="38"/>
      <c r="Z2478" s="40"/>
      <c r="AA2478" s="40"/>
      <c r="AB2478" s="38"/>
      <c r="AC2478" s="38"/>
      <c r="AD2478" s="38"/>
      <c r="AE2478" s="38"/>
      <c r="AF2478" s="38"/>
      <c r="AG2478" s="38"/>
      <c r="AH2478" s="38"/>
      <c r="AI2478" s="38"/>
      <c r="AJ2478" s="38"/>
      <c r="AK2478" s="38"/>
      <c r="AL2478" s="38"/>
      <c r="AM2478" s="38"/>
      <c r="AN2478" s="38"/>
      <c r="AO2478" s="38"/>
      <c r="AP2478" s="38"/>
      <c r="AQ2478" s="38"/>
      <c r="AR2478" s="38"/>
      <c r="AS2478" s="38"/>
      <c r="AT2478" s="38"/>
      <c r="AU2478" s="38"/>
      <c r="AV2478" s="38"/>
      <c r="AW2478" s="38"/>
      <c r="AX2478" s="38"/>
      <c r="AY2478" s="38"/>
      <c r="AZ2478" s="38"/>
      <c r="BA2478" s="38"/>
      <c r="BB2478" s="38"/>
      <c r="BC2478" s="38"/>
      <c r="BD2478" s="38"/>
      <c r="BE2478" s="38"/>
      <c r="BF2478" s="38"/>
      <c r="BG2478" s="38"/>
    </row>
    <row r="2479">
      <c r="A2479" s="16"/>
      <c r="B2479" s="16"/>
      <c r="C2479" s="146"/>
      <c r="D2479" s="146"/>
      <c r="E2479" s="16"/>
      <c r="F2479" s="91"/>
      <c r="G2479" s="16"/>
      <c r="H2479" s="320" t="str">
        <f t="shared" si="1"/>
        <v/>
      </c>
      <c r="I2479" s="16"/>
      <c r="J2479" s="16"/>
      <c r="K2479" s="16"/>
      <c r="L2479" s="38"/>
      <c r="M2479" s="16"/>
      <c r="N2479" s="16"/>
      <c r="O2479" s="16"/>
      <c r="P2479" s="15"/>
      <c r="Q2479" s="15"/>
      <c r="R2479" s="16"/>
      <c r="S2479" s="16"/>
      <c r="T2479" s="16"/>
      <c r="U2479" s="16"/>
      <c r="V2479" s="37" t="str">
        <f>IFERROR(__xludf.DUMMYFUNCTION("if(not(iserror(index(split(C2479, "" ""),2))), index(split(C2479, "" ""),1),"""")"),"")</f>
        <v/>
      </c>
      <c r="W2479" s="315" t="str">
        <f>IFERROR(__xludf.DUMMYFUNCTION("if(V2479="""",C2479,if(not(iserror(index(split(C2479, "" ""),3))), index(split(C2479, "" ""),3),index(split(C2479, "" ""),2)))"),"")</f>
        <v/>
      </c>
      <c r="X2479" s="38" t="b">
        <f t="shared" si="2"/>
        <v>0</v>
      </c>
      <c r="Y2479" s="38"/>
      <c r="Z2479" s="40"/>
      <c r="AA2479" s="40"/>
      <c r="AB2479" s="38"/>
      <c r="AC2479" s="38"/>
      <c r="AD2479" s="38"/>
      <c r="AE2479" s="38"/>
      <c r="AF2479" s="38"/>
      <c r="AG2479" s="38"/>
      <c r="AH2479" s="38"/>
      <c r="AI2479" s="38"/>
      <c r="AJ2479" s="38"/>
      <c r="AK2479" s="38"/>
      <c r="AL2479" s="38"/>
      <c r="AM2479" s="38"/>
      <c r="AN2479" s="38"/>
      <c r="AO2479" s="38"/>
      <c r="AP2479" s="38"/>
      <c r="AQ2479" s="38"/>
      <c r="AR2479" s="38"/>
      <c r="AS2479" s="38"/>
      <c r="AT2479" s="38"/>
      <c r="AU2479" s="38"/>
      <c r="AV2479" s="38"/>
      <c r="AW2479" s="38"/>
      <c r="AX2479" s="38"/>
      <c r="AY2479" s="38"/>
      <c r="AZ2479" s="38"/>
      <c r="BA2479" s="38"/>
      <c r="BB2479" s="38"/>
      <c r="BC2479" s="38"/>
      <c r="BD2479" s="38"/>
      <c r="BE2479" s="38"/>
      <c r="BF2479" s="38"/>
      <c r="BG2479" s="38"/>
    </row>
    <row r="2480">
      <c r="A2480" s="16"/>
      <c r="B2480" s="16"/>
      <c r="C2480" s="146"/>
      <c r="D2480" s="146"/>
      <c r="E2480" s="16"/>
      <c r="F2480" s="91"/>
      <c r="G2480" s="16"/>
      <c r="H2480" s="320" t="str">
        <f t="shared" si="1"/>
        <v/>
      </c>
      <c r="I2480" s="16"/>
      <c r="J2480" s="16"/>
      <c r="K2480" s="16"/>
      <c r="L2480" s="38"/>
      <c r="M2480" s="16"/>
      <c r="N2480" s="16"/>
      <c r="O2480" s="16"/>
      <c r="P2480" s="15"/>
      <c r="Q2480" s="15"/>
      <c r="R2480" s="16"/>
      <c r="S2480" s="16"/>
      <c r="T2480" s="16"/>
      <c r="U2480" s="16"/>
      <c r="V2480" s="37" t="str">
        <f>IFERROR(__xludf.DUMMYFUNCTION("if(not(iserror(index(split(C2480, "" ""),2))), index(split(C2480, "" ""),1),"""")"),"")</f>
        <v/>
      </c>
      <c r="W2480" s="315" t="str">
        <f>IFERROR(__xludf.DUMMYFUNCTION("if(V2480="""",C2480,if(not(iserror(index(split(C2480, "" ""),3))), index(split(C2480, "" ""),3),index(split(C2480, "" ""),2)))"),"")</f>
        <v/>
      </c>
      <c r="X2480" s="38" t="b">
        <f t="shared" si="2"/>
        <v>0</v>
      </c>
      <c r="Y2480" s="38"/>
      <c r="Z2480" s="40"/>
      <c r="AA2480" s="40"/>
      <c r="AB2480" s="38"/>
      <c r="AC2480" s="38"/>
      <c r="AD2480" s="38"/>
      <c r="AE2480" s="38"/>
      <c r="AF2480" s="38"/>
      <c r="AG2480" s="38"/>
      <c r="AH2480" s="38"/>
      <c r="AI2480" s="38"/>
      <c r="AJ2480" s="38"/>
      <c r="AK2480" s="38"/>
      <c r="AL2480" s="38"/>
      <c r="AM2480" s="38"/>
      <c r="AN2480" s="38"/>
      <c r="AO2480" s="38"/>
      <c r="AP2480" s="38"/>
      <c r="AQ2480" s="38"/>
      <c r="AR2480" s="38"/>
      <c r="AS2480" s="38"/>
      <c r="AT2480" s="38"/>
      <c r="AU2480" s="38"/>
      <c r="AV2480" s="38"/>
      <c r="AW2480" s="38"/>
      <c r="AX2480" s="38"/>
      <c r="AY2480" s="38"/>
      <c r="AZ2480" s="38"/>
      <c r="BA2480" s="38"/>
      <c r="BB2480" s="38"/>
      <c r="BC2480" s="38"/>
      <c r="BD2480" s="38"/>
      <c r="BE2480" s="38"/>
      <c r="BF2480" s="38"/>
      <c r="BG2480" s="38"/>
    </row>
    <row r="2481">
      <c r="A2481" s="16"/>
      <c r="B2481" s="16"/>
      <c r="C2481" s="146"/>
      <c r="D2481" s="146"/>
      <c r="E2481" s="16"/>
      <c r="F2481" s="91"/>
      <c r="G2481" s="16"/>
      <c r="H2481" s="320" t="str">
        <f t="shared" si="1"/>
        <v/>
      </c>
      <c r="I2481" s="16"/>
      <c r="J2481" s="16"/>
      <c r="K2481" s="16"/>
      <c r="L2481" s="38"/>
      <c r="M2481" s="16"/>
      <c r="N2481" s="16"/>
      <c r="O2481" s="16"/>
      <c r="P2481" s="15"/>
      <c r="Q2481" s="15"/>
      <c r="R2481" s="16"/>
      <c r="S2481" s="16"/>
      <c r="T2481" s="16"/>
      <c r="U2481" s="16"/>
      <c r="V2481" s="37" t="str">
        <f>IFERROR(__xludf.DUMMYFUNCTION("if(not(iserror(index(split(C2481, "" ""),2))), index(split(C2481, "" ""),1),"""")"),"")</f>
        <v/>
      </c>
      <c r="W2481" s="315" t="str">
        <f>IFERROR(__xludf.DUMMYFUNCTION("if(V2481="""",C2481,if(not(iserror(index(split(C2481, "" ""),3))), index(split(C2481, "" ""),3),index(split(C2481, "" ""),2)))"),"")</f>
        <v/>
      </c>
      <c r="X2481" s="38" t="b">
        <f t="shared" si="2"/>
        <v>0</v>
      </c>
      <c r="Y2481" s="38"/>
      <c r="Z2481" s="40"/>
      <c r="AA2481" s="40"/>
      <c r="AB2481" s="38"/>
      <c r="AC2481" s="38"/>
      <c r="AD2481" s="38"/>
      <c r="AE2481" s="38"/>
      <c r="AF2481" s="38"/>
      <c r="AG2481" s="38"/>
      <c r="AH2481" s="38"/>
      <c r="AI2481" s="38"/>
      <c r="AJ2481" s="38"/>
      <c r="AK2481" s="38"/>
      <c r="AL2481" s="38"/>
      <c r="AM2481" s="38"/>
      <c r="AN2481" s="38"/>
      <c r="AO2481" s="38"/>
      <c r="AP2481" s="38"/>
      <c r="AQ2481" s="38"/>
      <c r="AR2481" s="38"/>
      <c r="AS2481" s="38"/>
      <c r="AT2481" s="38"/>
      <c r="AU2481" s="38"/>
      <c r="AV2481" s="38"/>
      <c r="AW2481" s="38"/>
      <c r="AX2481" s="38"/>
      <c r="AY2481" s="38"/>
      <c r="AZ2481" s="38"/>
      <c r="BA2481" s="38"/>
      <c r="BB2481" s="38"/>
      <c r="BC2481" s="38"/>
      <c r="BD2481" s="38"/>
      <c r="BE2481" s="38"/>
      <c r="BF2481" s="38"/>
      <c r="BG2481" s="38"/>
    </row>
    <row r="2482">
      <c r="A2482" s="16"/>
      <c r="B2482" s="16"/>
      <c r="C2482" s="146"/>
      <c r="D2482" s="146"/>
      <c r="E2482" s="16"/>
      <c r="F2482" s="91"/>
      <c r="G2482" s="16"/>
      <c r="H2482" s="320" t="str">
        <f t="shared" si="1"/>
        <v/>
      </c>
      <c r="I2482" s="16"/>
      <c r="J2482" s="16"/>
      <c r="K2482" s="16"/>
      <c r="L2482" s="38"/>
      <c r="M2482" s="16"/>
      <c r="N2482" s="16"/>
      <c r="O2482" s="16"/>
      <c r="P2482" s="15"/>
      <c r="Q2482" s="15"/>
      <c r="R2482" s="16"/>
      <c r="S2482" s="16"/>
      <c r="T2482" s="16"/>
      <c r="U2482" s="16"/>
      <c r="V2482" s="37" t="str">
        <f>IFERROR(__xludf.DUMMYFUNCTION("if(not(iserror(index(split(C2482, "" ""),2))), index(split(C2482, "" ""),1),"""")"),"")</f>
        <v/>
      </c>
      <c r="W2482" s="315" t="str">
        <f>IFERROR(__xludf.DUMMYFUNCTION("if(V2482="""",C2482,if(not(iserror(index(split(C2482, "" ""),3))), index(split(C2482, "" ""),3),index(split(C2482, "" ""),2)))"),"")</f>
        <v/>
      </c>
      <c r="X2482" s="38" t="b">
        <f t="shared" si="2"/>
        <v>0</v>
      </c>
      <c r="Y2482" s="38"/>
      <c r="Z2482" s="40"/>
      <c r="AA2482" s="40"/>
      <c r="AB2482" s="38"/>
      <c r="AC2482" s="38"/>
      <c r="AD2482" s="38"/>
      <c r="AE2482" s="38"/>
      <c r="AF2482" s="38"/>
      <c r="AG2482" s="38"/>
      <c r="AH2482" s="38"/>
      <c r="AI2482" s="38"/>
      <c r="AJ2482" s="38"/>
      <c r="AK2482" s="38"/>
      <c r="AL2482" s="38"/>
      <c r="AM2482" s="38"/>
      <c r="AN2482" s="38"/>
      <c r="AO2482" s="38"/>
      <c r="AP2482" s="38"/>
      <c r="AQ2482" s="38"/>
      <c r="AR2482" s="38"/>
      <c r="AS2482" s="38"/>
      <c r="AT2482" s="38"/>
      <c r="AU2482" s="38"/>
      <c r="AV2482" s="38"/>
      <c r="AW2482" s="38"/>
      <c r="AX2482" s="38"/>
      <c r="AY2482" s="38"/>
      <c r="AZ2482" s="38"/>
      <c r="BA2482" s="38"/>
      <c r="BB2482" s="38"/>
      <c r="BC2482" s="38"/>
      <c r="BD2482" s="38"/>
      <c r="BE2482" s="38"/>
      <c r="BF2482" s="38"/>
      <c r="BG2482" s="38"/>
    </row>
    <row r="2483">
      <c r="A2483" s="16"/>
      <c r="B2483" s="16"/>
      <c r="C2483" s="146"/>
      <c r="D2483" s="146"/>
      <c r="E2483" s="16"/>
      <c r="F2483" s="91"/>
      <c r="G2483" s="16"/>
      <c r="H2483" s="320" t="str">
        <f t="shared" si="1"/>
        <v/>
      </c>
      <c r="I2483" s="16"/>
      <c r="J2483" s="16"/>
      <c r="K2483" s="16"/>
      <c r="L2483" s="38"/>
      <c r="M2483" s="16"/>
      <c r="N2483" s="16"/>
      <c r="O2483" s="16"/>
      <c r="P2483" s="15"/>
      <c r="Q2483" s="15"/>
      <c r="R2483" s="16"/>
      <c r="S2483" s="16"/>
      <c r="T2483" s="16"/>
      <c r="U2483" s="16"/>
      <c r="V2483" s="37" t="str">
        <f>IFERROR(__xludf.DUMMYFUNCTION("if(not(iserror(index(split(C2483, "" ""),2))), index(split(C2483, "" ""),1),"""")"),"")</f>
        <v/>
      </c>
      <c r="W2483" s="315" t="str">
        <f>IFERROR(__xludf.DUMMYFUNCTION("if(V2483="""",C2483,if(not(iserror(index(split(C2483, "" ""),3))), index(split(C2483, "" ""),3),index(split(C2483, "" ""),2)))"),"")</f>
        <v/>
      </c>
      <c r="X2483" s="38" t="b">
        <f t="shared" si="2"/>
        <v>0</v>
      </c>
      <c r="Y2483" s="38"/>
      <c r="Z2483" s="40"/>
      <c r="AA2483" s="40"/>
      <c r="AB2483" s="38"/>
      <c r="AC2483" s="38"/>
      <c r="AD2483" s="38"/>
      <c r="AE2483" s="38"/>
      <c r="AF2483" s="38"/>
      <c r="AG2483" s="38"/>
      <c r="AH2483" s="38"/>
      <c r="AI2483" s="38"/>
      <c r="AJ2483" s="38"/>
      <c r="AK2483" s="38"/>
      <c r="AL2483" s="38"/>
      <c r="AM2483" s="38"/>
      <c r="AN2483" s="38"/>
      <c r="AO2483" s="38"/>
      <c r="AP2483" s="38"/>
      <c r="AQ2483" s="38"/>
      <c r="AR2483" s="38"/>
      <c r="AS2483" s="38"/>
      <c r="AT2483" s="38"/>
      <c r="AU2483" s="38"/>
      <c r="AV2483" s="38"/>
      <c r="AW2483" s="38"/>
      <c r="AX2483" s="38"/>
      <c r="AY2483" s="38"/>
      <c r="AZ2483" s="38"/>
      <c r="BA2483" s="38"/>
      <c r="BB2483" s="38"/>
      <c r="BC2483" s="38"/>
      <c r="BD2483" s="38"/>
      <c r="BE2483" s="38"/>
      <c r="BF2483" s="38"/>
      <c r="BG2483" s="38"/>
    </row>
    <row r="2484">
      <c r="A2484" s="16"/>
      <c r="B2484" s="16"/>
      <c r="C2484" s="146"/>
      <c r="D2484" s="146"/>
      <c r="E2484" s="16"/>
      <c r="F2484" s="91"/>
      <c r="G2484" s="16"/>
      <c r="H2484" s="320" t="str">
        <f t="shared" si="1"/>
        <v/>
      </c>
      <c r="I2484" s="16"/>
      <c r="J2484" s="16"/>
      <c r="K2484" s="16"/>
      <c r="L2484" s="38"/>
      <c r="M2484" s="16"/>
      <c r="N2484" s="16"/>
      <c r="O2484" s="16"/>
      <c r="P2484" s="15"/>
      <c r="Q2484" s="15"/>
      <c r="R2484" s="16"/>
      <c r="S2484" s="16"/>
      <c r="T2484" s="16"/>
      <c r="U2484" s="16"/>
      <c r="V2484" s="37" t="str">
        <f>IFERROR(__xludf.DUMMYFUNCTION("if(not(iserror(index(split(C2484, "" ""),2))), index(split(C2484, "" ""),1),"""")"),"")</f>
        <v/>
      </c>
      <c r="W2484" s="315" t="str">
        <f>IFERROR(__xludf.DUMMYFUNCTION("if(V2484="""",C2484,if(not(iserror(index(split(C2484, "" ""),3))), index(split(C2484, "" ""),3),index(split(C2484, "" ""),2)))"),"")</f>
        <v/>
      </c>
      <c r="X2484" s="38" t="b">
        <f t="shared" si="2"/>
        <v>0</v>
      </c>
      <c r="Y2484" s="38"/>
      <c r="Z2484" s="40"/>
      <c r="AA2484" s="40"/>
      <c r="AB2484" s="38"/>
      <c r="AC2484" s="38"/>
      <c r="AD2484" s="38"/>
      <c r="AE2484" s="38"/>
      <c r="AF2484" s="38"/>
      <c r="AG2484" s="38"/>
      <c r="AH2484" s="38"/>
      <c r="AI2484" s="38"/>
      <c r="AJ2484" s="38"/>
      <c r="AK2484" s="38"/>
      <c r="AL2484" s="38"/>
      <c r="AM2484" s="38"/>
      <c r="AN2484" s="38"/>
      <c r="AO2484" s="38"/>
      <c r="AP2484" s="38"/>
      <c r="AQ2484" s="38"/>
      <c r="AR2484" s="38"/>
      <c r="AS2484" s="38"/>
      <c r="AT2484" s="38"/>
      <c r="AU2484" s="38"/>
      <c r="AV2484" s="38"/>
      <c r="AW2484" s="38"/>
      <c r="AX2484" s="38"/>
      <c r="AY2484" s="38"/>
      <c r="AZ2484" s="38"/>
      <c r="BA2484" s="38"/>
      <c r="BB2484" s="38"/>
      <c r="BC2484" s="38"/>
      <c r="BD2484" s="38"/>
      <c r="BE2484" s="38"/>
      <c r="BF2484" s="38"/>
      <c r="BG2484" s="38"/>
    </row>
    <row r="2485">
      <c r="A2485" s="16"/>
      <c r="B2485" s="16"/>
      <c r="C2485" s="146"/>
      <c r="D2485" s="146"/>
      <c r="E2485" s="16"/>
      <c r="F2485" s="91"/>
      <c r="G2485" s="16"/>
      <c r="H2485" s="320" t="str">
        <f t="shared" si="1"/>
        <v/>
      </c>
      <c r="I2485" s="16"/>
      <c r="J2485" s="16"/>
      <c r="K2485" s="16"/>
      <c r="L2485" s="38"/>
      <c r="M2485" s="16"/>
      <c r="N2485" s="16"/>
      <c r="O2485" s="16"/>
      <c r="P2485" s="15"/>
      <c r="Q2485" s="15"/>
      <c r="R2485" s="16"/>
      <c r="S2485" s="16"/>
      <c r="T2485" s="16"/>
      <c r="U2485" s="16"/>
      <c r="V2485" s="37" t="str">
        <f>IFERROR(__xludf.DUMMYFUNCTION("if(not(iserror(index(split(C2485, "" ""),2))), index(split(C2485, "" ""),1),"""")"),"")</f>
        <v/>
      </c>
      <c r="W2485" s="315" t="str">
        <f>IFERROR(__xludf.DUMMYFUNCTION("if(V2485="""",C2485,if(not(iserror(index(split(C2485, "" ""),3))), index(split(C2485, "" ""),3),index(split(C2485, "" ""),2)))"),"")</f>
        <v/>
      </c>
      <c r="X2485" s="38" t="b">
        <f t="shared" si="2"/>
        <v>0</v>
      </c>
      <c r="Y2485" s="38"/>
      <c r="Z2485" s="40"/>
      <c r="AA2485" s="40"/>
      <c r="AB2485" s="38"/>
      <c r="AC2485" s="38"/>
      <c r="AD2485" s="38"/>
      <c r="AE2485" s="38"/>
      <c r="AF2485" s="38"/>
      <c r="AG2485" s="38"/>
      <c r="AH2485" s="38"/>
      <c r="AI2485" s="38"/>
      <c r="AJ2485" s="38"/>
      <c r="AK2485" s="38"/>
      <c r="AL2485" s="38"/>
      <c r="AM2485" s="38"/>
      <c r="AN2485" s="38"/>
      <c r="AO2485" s="38"/>
      <c r="AP2485" s="38"/>
      <c r="AQ2485" s="38"/>
      <c r="AR2485" s="38"/>
      <c r="AS2485" s="38"/>
      <c r="AT2485" s="38"/>
      <c r="AU2485" s="38"/>
      <c r="AV2485" s="38"/>
      <c r="AW2485" s="38"/>
      <c r="AX2485" s="38"/>
      <c r="AY2485" s="38"/>
      <c r="AZ2485" s="38"/>
      <c r="BA2485" s="38"/>
      <c r="BB2485" s="38"/>
      <c r="BC2485" s="38"/>
      <c r="BD2485" s="38"/>
      <c r="BE2485" s="38"/>
      <c r="BF2485" s="38"/>
      <c r="BG2485" s="38"/>
    </row>
    <row r="2486">
      <c r="A2486" s="16"/>
      <c r="B2486" s="16"/>
      <c r="C2486" s="146"/>
      <c r="D2486" s="146"/>
      <c r="E2486" s="16"/>
      <c r="F2486" s="91"/>
      <c r="G2486" s="16"/>
      <c r="H2486" s="320" t="str">
        <f t="shared" si="1"/>
        <v/>
      </c>
      <c r="I2486" s="16"/>
      <c r="J2486" s="16"/>
      <c r="K2486" s="16"/>
      <c r="L2486" s="38"/>
      <c r="M2486" s="16"/>
      <c r="N2486" s="16"/>
      <c r="O2486" s="16"/>
      <c r="P2486" s="15"/>
      <c r="Q2486" s="15"/>
      <c r="R2486" s="16"/>
      <c r="S2486" s="16"/>
      <c r="T2486" s="16"/>
      <c r="U2486" s="16"/>
      <c r="V2486" s="37" t="str">
        <f>IFERROR(__xludf.DUMMYFUNCTION("if(not(iserror(index(split(C2486, "" ""),2))), index(split(C2486, "" ""),1),"""")"),"")</f>
        <v/>
      </c>
      <c r="W2486" s="315" t="str">
        <f>IFERROR(__xludf.DUMMYFUNCTION("if(V2486="""",C2486,if(not(iserror(index(split(C2486, "" ""),3))), index(split(C2486, "" ""),3),index(split(C2486, "" ""),2)))"),"")</f>
        <v/>
      </c>
      <c r="X2486" s="38" t="b">
        <f t="shared" si="2"/>
        <v>0</v>
      </c>
      <c r="Y2486" s="38"/>
      <c r="Z2486" s="40"/>
      <c r="AA2486" s="40"/>
      <c r="AB2486" s="38"/>
      <c r="AC2486" s="38"/>
      <c r="AD2486" s="38"/>
      <c r="AE2486" s="38"/>
      <c r="AF2486" s="38"/>
      <c r="AG2486" s="38"/>
      <c r="AH2486" s="38"/>
      <c r="AI2486" s="38"/>
      <c r="AJ2486" s="38"/>
      <c r="AK2486" s="38"/>
      <c r="AL2486" s="38"/>
      <c r="AM2486" s="38"/>
      <c r="AN2486" s="38"/>
      <c r="AO2486" s="38"/>
      <c r="AP2486" s="38"/>
      <c r="AQ2486" s="38"/>
      <c r="AR2486" s="38"/>
      <c r="AS2486" s="38"/>
      <c r="AT2486" s="38"/>
      <c r="AU2486" s="38"/>
      <c r="AV2486" s="38"/>
      <c r="AW2486" s="38"/>
      <c r="AX2486" s="38"/>
      <c r="AY2486" s="38"/>
      <c r="AZ2486" s="38"/>
      <c r="BA2486" s="38"/>
      <c r="BB2486" s="38"/>
      <c r="BC2486" s="38"/>
      <c r="BD2486" s="38"/>
      <c r="BE2486" s="38"/>
      <c r="BF2486" s="38"/>
      <c r="BG2486" s="38"/>
    </row>
    <row r="2487">
      <c r="A2487" s="16"/>
      <c r="B2487" s="16"/>
      <c r="C2487" s="146"/>
      <c r="D2487" s="146"/>
      <c r="E2487" s="16"/>
      <c r="F2487" s="91"/>
      <c r="G2487" s="16"/>
      <c r="H2487" s="320" t="str">
        <f t="shared" si="1"/>
        <v/>
      </c>
      <c r="I2487" s="16"/>
      <c r="J2487" s="16"/>
      <c r="K2487" s="16"/>
      <c r="L2487" s="38"/>
      <c r="M2487" s="16"/>
      <c r="N2487" s="16"/>
      <c r="O2487" s="16"/>
      <c r="P2487" s="15"/>
      <c r="Q2487" s="15"/>
      <c r="R2487" s="16"/>
      <c r="S2487" s="16"/>
      <c r="T2487" s="16"/>
      <c r="U2487" s="16"/>
      <c r="V2487" s="37" t="str">
        <f>IFERROR(__xludf.DUMMYFUNCTION("if(not(iserror(index(split(C2487, "" ""),2))), index(split(C2487, "" ""),1),"""")"),"")</f>
        <v/>
      </c>
      <c r="W2487" s="315" t="str">
        <f>IFERROR(__xludf.DUMMYFUNCTION("if(V2487="""",C2487,if(not(iserror(index(split(C2487, "" ""),3))), index(split(C2487, "" ""),3),index(split(C2487, "" ""),2)))"),"")</f>
        <v/>
      </c>
      <c r="X2487" s="38" t="b">
        <f t="shared" si="2"/>
        <v>0</v>
      </c>
      <c r="Y2487" s="38"/>
      <c r="Z2487" s="40"/>
      <c r="AA2487" s="40"/>
      <c r="AB2487" s="38"/>
      <c r="AC2487" s="38"/>
      <c r="AD2487" s="38"/>
      <c r="AE2487" s="38"/>
      <c r="AF2487" s="38"/>
      <c r="AG2487" s="38"/>
      <c r="AH2487" s="38"/>
      <c r="AI2487" s="38"/>
      <c r="AJ2487" s="38"/>
      <c r="AK2487" s="38"/>
      <c r="AL2487" s="38"/>
      <c r="AM2487" s="38"/>
      <c r="AN2487" s="38"/>
      <c r="AO2487" s="38"/>
      <c r="AP2487" s="38"/>
      <c r="AQ2487" s="38"/>
      <c r="AR2487" s="38"/>
      <c r="AS2487" s="38"/>
      <c r="AT2487" s="38"/>
      <c r="AU2487" s="38"/>
      <c r="AV2487" s="38"/>
      <c r="AW2487" s="38"/>
      <c r="AX2487" s="38"/>
      <c r="AY2487" s="38"/>
      <c r="AZ2487" s="38"/>
      <c r="BA2487" s="38"/>
      <c r="BB2487" s="38"/>
      <c r="BC2487" s="38"/>
      <c r="BD2487" s="38"/>
      <c r="BE2487" s="38"/>
      <c r="BF2487" s="38"/>
      <c r="BG2487" s="38"/>
    </row>
    <row r="2488">
      <c r="A2488" s="16"/>
      <c r="B2488" s="16"/>
      <c r="C2488" s="146"/>
      <c r="D2488" s="146"/>
      <c r="E2488" s="16"/>
      <c r="F2488" s="91"/>
      <c r="G2488" s="16"/>
      <c r="H2488" s="320" t="str">
        <f t="shared" si="1"/>
        <v/>
      </c>
      <c r="I2488" s="16"/>
      <c r="J2488" s="16"/>
      <c r="K2488" s="16"/>
      <c r="L2488" s="38"/>
      <c r="M2488" s="16"/>
      <c r="N2488" s="16"/>
      <c r="O2488" s="16"/>
      <c r="P2488" s="15"/>
      <c r="Q2488" s="15"/>
      <c r="R2488" s="16"/>
      <c r="S2488" s="16"/>
      <c r="T2488" s="16"/>
      <c r="U2488" s="16"/>
      <c r="V2488" s="37" t="str">
        <f>IFERROR(__xludf.DUMMYFUNCTION("if(not(iserror(index(split(C2488, "" ""),2))), index(split(C2488, "" ""),1),"""")"),"")</f>
        <v/>
      </c>
      <c r="W2488" s="315" t="str">
        <f>IFERROR(__xludf.DUMMYFUNCTION("if(V2488="""",C2488,if(not(iserror(index(split(C2488, "" ""),3))), index(split(C2488, "" ""),3),index(split(C2488, "" ""),2)))"),"")</f>
        <v/>
      </c>
      <c r="X2488" s="38" t="b">
        <f t="shared" si="2"/>
        <v>0</v>
      </c>
      <c r="Y2488" s="38"/>
      <c r="Z2488" s="40"/>
      <c r="AA2488" s="40"/>
      <c r="AB2488" s="38"/>
      <c r="AC2488" s="38"/>
      <c r="AD2488" s="38"/>
      <c r="AE2488" s="38"/>
      <c r="AF2488" s="38"/>
      <c r="AG2488" s="38"/>
      <c r="AH2488" s="38"/>
      <c r="AI2488" s="38"/>
      <c r="AJ2488" s="38"/>
      <c r="AK2488" s="38"/>
      <c r="AL2488" s="38"/>
      <c r="AM2488" s="38"/>
      <c r="AN2488" s="38"/>
      <c r="AO2488" s="38"/>
      <c r="AP2488" s="38"/>
      <c r="AQ2488" s="38"/>
      <c r="AR2488" s="38"/>
      <c r="AS2488" s="38"/>
      <c r="AT2488" s="38"/>
      <c r="AU2488" s="38"/>
      <c r="AV2488" s="38"/>
      <c r="AW2488" s="38"/>
      <c r="AX2488" s="38"/>
      <c r="AY2488" s="38"/>
      <c r="AZ2488" s="38"/>
      <c r="BA2488" s="38"/>
      <c r="BB2488" s="38"/>
      <c r="BC2488" s="38"/>
      <c r="BD2488" s="38"/>
      <c r="BE2488" s="38"/>
      <c r="BF2488" s="38"/>
      <c r="BG2488" s="38"/>
    </row>
    <row r="2489">
      <c r="A2489" s="16"/>
      <c r="B2489" s="16"/>
      <c r="C2489" s="146"/>
      <c r="D2489" s="146"/>
      <c r="E2489" s="16"/>
      <c r="F2489" s="91"/>
      <c r="G2489" s="16"/>
      <c r="H2489" s="320" t="str">
        <f t="shared" si="1"/>
        <v/>
      </c>
      <c r="I2489" s="16"/>
      <c r="J2489" s="16"/>
      <c r="K2489" s="16"/>
      <c r="L2489" s="38"/>
      <c r="M2489" s="16"/>
      <c r="N2489" s="16"/>
      <c r="O2489" s="16"/>
      <c r="P2489" s="15"/>
      <c r="Q2489" s="15"/>
      <c r="R2489" s="16"/>
      <c r="S2489" s="16"/>
      <c r="T2489" s="16"/>
      <c r="U2489" s="16"/>
      <c r="V2489" s="37" t="str">
        <f>IFERROR(__xludf.DUMMYFUNCTION("if(not(iserror(index(split(C2489, "" ""),2))), index(split(C2489, "" ""),1),"""")"),"")</f>
        <v/>
      </c>
      <c r="W2489" s="315" t="str">
        <f>IFERROR(__xludf.DUMMYFUNCTION("if(V2489="""",C2489,if(not(iserror(index(split(C2489, "" ""),3))), index(split(C2489, "" ""),3),index(split(C2489, "" ""),2)))"),"")</f>
        <v/>
      </c>
      <c r="X2489" s="38" t="b">
        <f t="shared" si="2"/>
        <v>0</v>
      </c>
      <c r="Y2489" s="38"/>
      <c r="Z2489" s="40"/>
      <c r="AA2489" s="40"/>
      <c r="AB2489" s="38"/>
      <c r="AC2489" s="38"/>
      <c r="AD2489" s="38"/>
      <c r="AE2489" s="38"/>
      <c r="AF2489" s="38"/>
      <c r="AG2489" s="38"/>
      <c r="AH2489" s="38"/>
      <c r="AI2489" s="38"/>
      <c r="AJ2489" s="38"/>
      <c r="AK2489" s="38"/>
      <c r="AL2489" s="38"/>
      <c r="AM2489" s="38"/>
      <c r="AN2489" s="38"/>
      <c r="AO2489" s="38"/>
      <c r="AP2489" s="38"/>
      <c r="AQ2489" s="38"/>
      <c r="AR2489" s="38"/>
      <c r="AS2489" s="38"/>
      <c r="AT2489" s="38"/>
      <c r="AU2489" s="38"/>
      <c r="AV2489" s="38"/>
      <c r="AW2489" s="38"/>
      <c r="AX2489" s="38"/>
      <c r="AY2489" s="38"/>
      <c r="AZ2489" s="38"/>
      <c r="BA2489" s="38"/>
      <c r="BB2489" s="38"/>
      <c r="BC2489" s="38"/>
      <c r="BD2489" s="38"/>
      <c r="BE2489" s="38"/>
      <c r="BF2489" s="38"/>
      <c r="BG2489" s="38"/>
    </row>
    <row r="2490">
      <c r="A2490" s="16"/>
      <c r="B2490" s="16"/>
      <c r="C2490" s="146"/>
      <c r="D2490" s="146"/>
      <c r="E2490" s="16"/>
      <c r="F2490" s="91"/>
      <c r="G2490" s="16"/>
      <c r="H2490" s="320" t="str">
        <f t="shared" si="1"/>
        <v/>
      </c>
      <c r="I2490" s="16"/>
      <c r="J2490" s="16"/>
      <c r="K2490" s="16"/>
      <c r="L2490" s="38"/>
      <c r="M2490" s="16"/>
      <c r="N2490" s="16"/>
      <c r="O2490" s="16"/>
      <c r="P2490" s="15"/>
      <c r="Q2490" s="15"/>
      <c r="R2490" s="16"/>
      <c r="S2490" s="16"/>
      <c r="T2490" s="16"/>
      <c r="U2490" s="16"/>
      <c r="V2490" s="37" t="str">
        <f>IFERROR(__xludf.DUMMYFUNCTION("if(not(iserror(index(split(C2490, "" ""),2))), index(split(C2490, "" ""),1),"""")"),"")</f>
        <v/>
      </c>
      <c r="W2490" s="315" t="str">
        <f>IFERROR(__xludf.DUMMYFUNCTION("if(V2490="""",C2490,if(not(iserror(index(split(C2490, "" ""),3))), index(split(C2490, "" ""),3),index(split(C2490, "" ""),2)))"),"")</f>
        <v/>
      </c>
      <c r="X2490" s="38" t="b">
        <f t="shared" si="2"/>
        <v>0</v>
      </c>
      <c r="Y2490" s="38"/>
      <c r="Z2490" s="40"/>
      <c r="AA2490" s="40"/>
      <c r="AB2490" s="38"/>
      <c r="AC2490" s="38"/>
      <c r="AD2490" s="38"/>
      <c r="AE2490" s="38"/>
      <c r="AF2490" s="38"/>
      <c r="AG2490" s="38"/>
      <c r="AH2490" s="38"/>
      <c r="AI2490" s="38"/>
      <c r="AJ2490" s="38"/>
      <c r="AK2490" s="38"/>
      <c r="AL2490" s="38"/>
      <c r="AM2490" s="38"/>
      <c r="AN2490" s="38"/>
      <c r="AO2490" s="38"/>
      <c r="AP2490" s="38"/>
      <c r="AQ2490" s="38"/>
      <c r="AR2490" s="38"/>
      <c r="AS2490" s="38"/>
      <c r="AT2490" s="38"/>
      <c r="AU2490" s="38"/>
      <c r="AV2490" s="38"/>
      <c r="AW2490" s="38"/>
      <c r="AX2490" s="38"/>
      <c r="AY2490" s="38"/>
      <c r="AZ2490" s="38"/>
      <c r="BA2490" s="38"/>
      <c r="BB2490" s="38"/>
      <c r="BC2490" s="38"/>
      <c r="BD2490" s="38"/>
      <c r="BE2490" s="38"/>
      <c r="BF2490" s="38"/>
      <c r="BG2490" s="38"/>
    </row>
    <row r="2491">
      <c r="A2491" s="16"/>
      <c r="B2491" s="16"/>
      <c r="C2491" s="146"/>
      <c r="D2491" s="146"/>
      <c r="E2491" s="16"/>
      <c r="F2491" s="91"/>
      <c r="G2491" s="16"/>
      <c r="H2491" s="320" t="str">
        <f t="shared" si="1"/>
        <v/>
      </c>
      <c r="I2491" s="16"/>
      <c r="J2491" s="16"/>
      <c r="K2491" s="16"/>
      <c r="L2491" s="38"/>
      <c r="M2491" s="16"/>
      <c r="N2491" s="16"/>
      <c r="O2491" s="16"/>
      <c r="P2491" s="15"/>
      <c r="Q2491" s="15"/>
      <c r="R2491" s="16"/>
      <c r="S2491" s="16"/>
      <c r="T2491" s="16"/>
      <c r="U2491" s="16"/>
      <c r="V2491" s="37" t="str">
        <f>IFERROR(__xludf.DUMMYFUNCTION("if(not(iserror(index(split(C2491, "" ""),2))), index(split(C2491, "" ""),1),"""")"),"")</f>
        <v/>
      </c>
      <c r="W2491" s="315" t="str">
        <f>IFERROR(__xludf.DUMMYFUNCTION("if(V2491="""",C2491,if(not(iserror(index(split(C2491, "" ""),3))), index(split(C2491, "" ""),3),index(split(C2491, "" ""),2)))"),"")</f>
        <v/>
      </c>
      <c r="X2491" s="38" t="b">
        <f t="shared" si="2"/>
        <v>0</v>
      </c>
      <c r="Y2491" s="38"/>
      <c r="Z2491" s="40"/>
      <c r="AA2491" s="40"/>
      <c r="AB2491" s="38"/>
      <c r="AC2491" s="38"/>
      <c r="AD2491" s="38"/>
      <c r="AE2491" s="38"/>
      <c r="AF2491" s="38"/>
      <c r="AG2491" s="38"/>
      <c r="AH2491" s="38"/>
      <c r="AI2491" s="38"/>
      <c r="AJ2491" s="38"/>
      <c r="AK2491" s="38"/>
      <c r="AL2491" s="38"/>
      <c r="AM2491" s="38"/>
      <c r="AN2491" s="38"/>
      <c r="AO2491" s="38"/>
      <c r="AP2491" s="38"/>
      <c r="AQ2491" s="38"/>
      <c r="AR2491" s="38"/>
      <c r="AS2491" s="38"/>
      <c r="AT2491" s="38"/>
      <c r="AU2491" s="38"/>
      <c r="AV2491" s="38"/>
      <c r="AW2491" s="38"/>
      <c r="AX2491" s="38"/>
      <c r="AY2491" s="38"/>
      <c r="AZ2491" s="38"/>
      <c r="BA2491" s="38"/>
      <c r="BB2491" s="38"/>
      <c r="BC2491" s="38"/>
      <c r="BD2491" s="38"/>
      <c r="BE2491" s="38"/>
      <c r="BF2491" s="38"/>
      <c r="BG2491" s="38"/>
    </row>
    <row r="2492">
      <c r="A2492" s="16"/>
      <c r="B2492" s="16"/>
      <c r="C2492" s="146"/>
      <c r="D2492" s="146"/>
      <c r="E2492" s="16"/>
      <c r="F2492" s="91"/>
      <c r="G2492" s="16"/>
      <c r="H2492" s="320" t="str">
        <f t="shared" si="1"/>
        <v/>
      </c>
      <c r="I2492" s="16"/>
      <c r="J2492" s="16"/>
      <c r="K2492" s="16"/>
      <c r="L2492" s="38"/>
      <c r="M2492" s="16"/>
      <c r="N2492" s="16"/>
      <c r="O2492" s="16"/>
      <c r="P2492" s="15"/>
      <c r="Q2492" s="15"/>
      <c r="R2492" s="16"/>
      <c r="S2492" s="16"/>
      <c r="T2492" s="16"/>
      <c r="U2492" s="16"/>
      <c r="V2492" s="37" t="str">
        <f>IFERROR(__xludf.DUMMYFUNCTION("if(not(iserror(index(split(C2492, "" ""),2))), index(split(C2492, "" ""),1),"""")"),"")</f>
        <v/>
      </c>
      <c r="W2492" s="315" t="str">
        <f>IFERROR(__xludf.DUMMYFUNCTION("if(V2492="""",C2492,if(not(iserror(index(split(C2492, "" ""),3))), index(split(C2492, "" ""),3),index(split(C2492, "" ""),2)))"),"")</f>
        <v/>
      </c>
      <c r="X2492" s="38" t="b">
        <f t="shared" si="2"/>
        <v>0</v>
      </c>
      <c r="Y2492" s="38"/>
      <c r="Z2492" s="40"/>
      <c r="AA2492" s="40"/>
      <c r="AB2492" s="38"/>
      <c r="AC2492" s="38"/>
      <c r="AD2492" s="38"/>
      <c r="AE2492" s="38"/>
      <c r="AF2492" s="38"/>
      <c r="AG2492" s="38"/>
      <c r="AH2492" s="38"/>
      <c r="AI2492" s="38"/>
      <c r="AJ2492" s="38"/>
      <c r="AK2492" s="38"/>
      <c r="AL2492" s="38"/>
      <c r="AM2492" s="38"/>
      <c r="AN2492" s="38"/>
      <c r="AO2492" s="38"/>
      <c r="AP2492" s="38"/>
      <c r="AQ2492" s="38"/>
      <c r="AR2492" s="38"/>
      <c r="AS2492" s="38"/>
      <c r="AT2492" s="38"/>
      <c r="AU2492" s="38"/>
      <c r="AV2492" s="38"/>
      <c r="AW2492" s="38"/>
      <c r="AX2492" s="38"/>
      <c r="AY2492" s="38"/>
      <c r="AZ2492" s="38"/>
      <c r="BA2492" s="38"/>
      <c r="BB2492" s="38"/>
      <c r="BC2492" s="38"/>
      <c r="BD2492" s="38"/>
      <c r="BE2492" s="38"/>
      <c r="BF2492" s="38"/>
      <c r="BG2492" s="38"/>
    </row>
    <row r="2493">
      <c r="A2493" s="16"/>
      <c r="B2493" s="16"/>
      <c r="C2493" s="146"/>
      <c r="D2493" s="146"/>
      <c r="E2493" s="16"/>
      <c r="F2493" s="91"/>
      <c r="G2493" s="16"/>
      <c r="H2493" s="320" t="str">
        <f t="shared" si="1"/>
        <v/>
      </c>
      <c r="I2493" s="16"/>
      <c r="J2493" s="16"/>
      <c r="K2493" s="16"/>
      <c r="L2493" s="38"/>
      <c r="M2493" s="16"/>
      <c r="N2493" s="16"/>
      <c r="O2493" s="16"/>
      <c r="P2493" s="15"/>
      <c r="Q2493" s="15"/>
      <c r="R2493" s="16"/>
      <c r="S2493" s="16"/>
      <c r="T2493" s="16"/>
      <c r="U2493" s="16"/>
      <c r="V2493" s="37" t="str">
        <f>IFERROR(__xludf.DUMMYFUNCTION("if(not(iserror(index(split(C2493, "" ""),2))), index(split(C2493, "" ""),1),"""")"),"")</f>
        <v/>
      </c>
      <c r="W2493" s="315" t="str">
        <f>IFERROR(__xludf.DUMMYFUNCTION("if(V2493="""",C2493,if(not(iserror(index(split(C2493, "" ""),3))), index(split(C2493, "" ""),3),index(split(C2493, "" ""),2)))"),"")</f>
        <v/>
      </c>
      <c r="X2493" s="38" t="b">
        <f t="shared" si="2"/>
        <v>0</v>
      </c>
      <c r="Y2493" s="38"/>
      <c r="Z2493" s="40"/>
      <c r="AA2493" s="40"/>
      <c r="AB2493" s="38"/>
      <c r="AC2493" s="38"/>
      <c r="AD2493" s="38"/>
      <c r="AE2493" s="38"/>
      <c r="AF2493" s="38"/>
      <c r="AG2493" s="38"/>
      <c r="AH2493" s="38"/>
      <c r="AI2493" s="38"/>
      <c r="AJ2493" s="38"/>
      <c r="AK2493" s="38"/>
      <c r="AL2493" s="38"/>
      <c r="AM2493" s="38"/>
      <c r="AN2493" s="38"/>
      <c r="AO2493" s="38"/>
      <c r="AP2493" s="38"/>
      <c r="AQ2493" s="38"/>
      <c r="AR2493" s="38"/>
      <c r="AS2493" s="38"/>
      <c r="AT2493" s="38"/>
      <c r="AU2493" s="38"/>
      <c r="AV2493" s="38"/>
      <c r="AW2493" s="38"/>
      <c r="AX2493" s="38"/>
      <c r="AY2493" s="38"/>
      <c r="AZ2493" s="38"/>
      <c r="BA2493" s="38"/>
      <c r="BB2493" s="38"/>
      <c r="BC2493" s="38"/>
      <c r="BD2493" s="38"/>
      <c r="BE2493" s="38"/>
      <c r="BF2493" s="38"/>
      <c r="BG2493" s="38"/>
    </row>
    <row r="2494">
      <c r="A2494" s="16"/>
      <c r="B2494" s="16"/>
      <c r="C2494" s="146"/>
      <c r="D2494" s="146"/>
      <c r="E2494" s="16"/>
      <c r="F2494" s="91"/>
      <c r="G2494" s="16"/>
      <c r="H2494" s="320" t="str">
        <f t="shared" si="1"/>
        <v/>
      </c>
      <c r="I2494" s="16"/>
      <c r="J2494" s="16"/>
      <c r="K2494" s="16"/>
      <c r="L2494" s="38"/>
      <c r="M2494" s="16"/>
      <c r="N2494" s="16"/>
      <c r="O2494" s="16"/>
      <c r="P2494" s="15"/>
      <c r="Q2494" s="15"/>
      <c r="R2494" s="16"/>
      <c r="S2494" s="16"/>
      <c r="T2494" s="16"/>
      <c r="U2494" s="16"/>
      <c r="V2494" s="37" t="str">
        <f>IFERROR(__xludf.DUMMYFUNCTION("if(not(iserror(index(split(C2494, "" ""),2))), index(split(C2494, "" ""),1),"""")"),"")</f>
        <v/>
      </c>
      <c r="W2494" s="315" t="str">
        <f>IFERROR(__xludf.DUMMYFUNCTION("if(V2494="""",C2494,if(not(iserror(index(split(C2494, "" ""),3))), index(split(C2494, "" ""),3),index(split(C2494, "" ""),2)))"),"")</f>
        <v/>
      </c>
      <c r="X2494" s="38" t="b">
        <f t="shared" si="2"/>
        <v>0</v>
      </c>
      <c r="Y2494" s="38"/>
      <c r="Z2494" s="40"/>
      <c r="AA2494" s="40"/>
      <c r="AB2494" s="38"/>
      <c r="AC2494" s="38"/>
      <c r="AD2494" s="38"/>
      <c r="AE2494" s="38"/>
      <c r="AF2494" s="38"/>
      <c r="AG2494" s="38"/>
      <c r="AH2494" s="38"/>
      <c r="AI2494" s="38"/>
      <c r="AJ2494" s="38"/>
      <c r="AK2494" s="38"/>
      <c r="AL2494" s="38"/>
      <c r="AM2494" s="38"/>
      <c r="AN2494" s="38"/>
      <c r="AO2494" s="38"/>
      <c r="AP2494" s="38"/>
      <c r="AQ2494" s="38"/>
      <c r="AR2494" s="38"/>
      <c r="AS2494" s="38"/>
      <c r="AT2494" s="38"/>
      <c r="AU2494" s="38"/>
      <c r="AV2494" s="38"/>
      <c r="AW2494" s="38"/>
      <c r="AX2494" s="38"/>
      <c r="AY2494" s="38"/>
      <c r="AZ2494" s="38"/>
      <c r="BA2494" s="38"/>
      <c r="BB2494" s="38"/>
      <c r="BC2494" s="38"/>
      <c r="BD2494" s="38"/>
      <c r="BE2494" s="38"/>
      <c r="BF2494" s="38"/>
      <c r="BG2494" s="38"/>
    </row>
    <row r="2495">
      <c r="A2495" s="16"/>
      <c r="B2495" s="16"/>
      <c r="C2495" s="146"/>
      <c r="D2495" s="146"/>
      <c r="E2495" s="16"/>
      <c r="F2495" s="91"/>
      <c r="G2495" s="16"/>
      <c r="H2495" s="320" t="str">
        <f t="shared" si="1"/>
        <v/>
      </c>
      <c r="I2495" s="16"/>
      <c r="J2495" s="16"/>
      <c r="K2495" s="16"/>
      <c r="L2495" s="38"/>
      <c r="M2495" s="16"/>
      <c r="N2495" s="16"/>
      <c r="O2495" s="16"/>
      <c r="P2495" s="15"/>
      <c r="Q2495" s="15"/>
      <c r="R2495" s="16"/>
      <c r="S2495" s="16"/>
      <c r="T2495" s="16"/>
      <c r="U2495" s="16"/>
      <c r="V2495" s="37" t="str">
        <f>IFERROR(__xludf.DUMMYFUNCTION("if(not(iserror(index(split(C2495, "" ""),2))), index(split(C2495, "" ""),1),"""")"),"")</f>
        <v/>
      </c>
      <c r="W2495" s="315" t="str">
        <f>IFERROR(__xludf.DUMMYFUNCTION("if(V2495="""",C2495,if(not(iserror(index(split(C2495, "" ""),3))), index(split(C2495, "" ""),3),index(split(C2495, "" ""),2)))"),"")</f>
        <v/>
      </c>
      <c r="X2495" s="38" t="b">
        <f t="shared" si="2"/>
        <v>0</v>
      </c>
      <c r="Y2495" s="38"/>
      <c r="Z2495" s="40"/>
      <c r="AA2495" s="40"/>
      <c r="AB2495" s="38"/>
      <c r="AC2495" s="38"/>
      <c r="AD2495" s="38"/>
      <c r="AE2495" s="38"/>
      <c r="AF2495" s="38"/>
      <c r="AG2495" s="38"/>
      <c r="AH2495" s="38"/>
      <c r="AI2495" s="38"/>
      <c r="AJ2495" s="38"/>
      <c r="AK2495" s="38"/>
      <c r="AL2495" s="38"/>
      <c r="AM2495" s="38"/>
      <c r="AN2495" s="38"/>
      <c r="AO2495" s="38"/>
      <c r="AP2495" s="38"/>
      <c r="AQ2495" s="38"/>
      <c r="AR2495" s="38"/>
      <c r="AS2495" s="38"/>
      <c r="AT2495" s="38"/>
      <c r="AU2495" s="38"/>
      <c r="AV2495" s="38"/>
      <c r="AW2495" s="38"/>
      <c r="AX2495" s="38"/>
      <c r="AY2495" s="38"/>
      <c r="AZ2495" s="38"/>
      <c r="BA2495" s="38"/>
      <c r="BB2495" s="38"/>
      <c r="BC2495" s="38"/>
      <c r="BD2495" s="38"/>
      <c r="BE2495" s="38"/>
      <c r="BF2495" s="38"/>
      <c r="BG2495" s="38"/>
    </row>
    <row r="2496">
      <c r="A2496" s="16"/>
      <c r="B2496" s="16"/>
      <c r="C2496" s="146"/>
      <c r="D2496" s="146"/>
      <c r="E2496" s="16"/>
      <c r="F2496" s="91"/>
      <c r="G2496" s="16"/>
      <c r="H2496" s="320" t="str">
        <f t="shared" si="1"/>
        <v/>
      </c>
      <c r="I2496" s="16"/>
      <c r="J2496" s="16"/>
      <c r="K2496" s="16"/>
      <c r="L2496" s="38"/>
      <c r="M2496" s="16"/>
      <c r="N2496" s="16"/>
      <c r="O2496" s="16"/>
      <c r="P2496" s="15"/>
      <c r="Q2496" s="15"/>
      <c r="R2496" s="16"/>
      <c r="S2496" s="16"/>
      <c r="T2496" s="16"/>
      <c r="U2496" s="16"/>
      <c r="V2496" s="37" t="str">
        <f>IFERROR(__xludf.DUMMYFUNCTION("if(not(iserror(index(split(C2496, "" ""),2))), index(split(C2496, "" ""),1),"""")"),"")</f>
        <v/>
      </c>
      <c r="W2496" s="315" t="str">
        <f>IFERROR(__xludf.DUMMYFUNCTION("if(V2496="""",C2496,if(not(iserror(index(split(C2496, "" ""),3))), index(split(C2496, "" ""),3),index(split(C2496, "" ""),2)))"),"")</f>
        <v/>
      </c>
      <c r="X2496" s="38" t="b">
        <f t="shared" si="2"/>
        <v>0</v>
      </c>
      <c r="Y2496" s="38"/>
      <c r="Z2496" s="40"/>
      <c r="AA2496" s="40"/>
      <c r="AB2496" s="38"/>
      <c r="AC2496" s="38"/>
      <c r="AD2496" s="38"/>
      <c r="AE2496" s="38"/>
      <c r="AF2496" s="38"/>
      <c r="AG2496" s="38"/>
      <c r="AH2496" s="38"/>
      <c r="AI2496" s="38"/>
      <c r="AJ2496" s="38"/>
      <c r="AK2496" s="38"/>
      <c r="AL2496" s="38"/>
      <c r="AM2496" s="38"/>
      <c r="AN2496" s="38"/>
      <c r="AO2496" s="38"/>
      <c r="AP2496" s="38"/>
      <c r="AQ2496" s="38"/>
      <c r="AR2496" s="38"/>
      <c r="AS2496" s="38"/>
      <c r="AT2496" s="38"/>
      <c r="AU2496" s="38"/>
      <c r="AV2496" s="38"/>
      <c r="AW2496" s="38"/>
      <c r="AX2496" s="38"/>
      <c r="AY2496" s="38"/>
      <c r="AZ2496" s="38"/>
      <c r="BA2496" s="38"/>
      <c r="BB2496" s="38"/>
      <c r="BC2496" s="38"/>
      <c r="BD2496" s="38"/>
      <c r="BE2496" s="38"/>
      <c r="BF2496" s="38"/>
      <c r="BG2496" s="38"/>
    </row>
    <row r="2497">
      <c r="A2497" s="16"/>
      <c r="B2497" s="16"/>
      <c r="C2497" s="146"/>
      <c r="D2497" s="146"/>
      <c r="E2497" s="16"/>
      <c r="F2497" s="91"/>
      <c r="G2497" s="16"/>
      <c r="H2497" s="320" t="str">
        <f t="shared" si="1"/>
        <v/>
      </c>
      <c r="I2497" s="16"/>
      <c r="J2497" s="16"/>
      <c r="K2497" s="16"/>
      <c r="L2497" s="38"/>
      <c r="M2497" s="16"/>
      <c r="N2497" s="16"/>
      <c r="O2497" s="16"/>
      <c r="P2497" s="15"/>
      <c r="Q2497" s="15"/>
      <c r="R2497" s="16"/>
      <c r="S2497" s="16"/>
      <c r="T2497" s="16"/>
      <c r="U2497" s="16"/>
      <c r="V2497" s="37" t="str">
        <f>IFERROR(__xludf.DUMMYFUNCTION("if(not(iserror(index(split(C2497, "" ""),2))), index(split(C2497, "" ""),1),"""")"),"")</f>
        <v/>
      </c>
      <c r="W2497" s="315" t="str">
        <f>IFERROR(__xludf.DUMMYFUNCTION("if(V2497="""",C2497,if(not(iserror(index(split(C2497, "" ""),3))), index(split(C2497, "" ""),3),index(split(C2497, "" ""),2)))"),"")</f>
        <v/>
      </c>
      <c r="X2497" s="38" t="b">
        <f t="shared" si="2"/>
        <v>0</v>
      </c>
      <c r="Y2497" s="38"/>
      <c r="Z2497" s="40"/>
      <c r="AA2497" s="40"/>
      <c r="AB2497" s="38"/>
      <c r="AC2497" s="38"/>
      <c r="AD2497" s="38"/>
      <c r="AE2497" s="38"/>
      <c r="AF2497" s="38"/>
      <c r="AG2497" s="38"/>
      <c r="AH2497" s="38"/>
      <c r="AI2497" s="38"/>
      <c r="AJ2497" s="38"/>
      <c r="AK2497" s="38"/>
      <c r="AL2497" s="38"/>
      <c r="AM2497" s="38"/>
      <c r="AN2497" s="38"/>
      <c r="AO2497" s="38"/>
      <c r="AP2497" s="38"/>
      <c r="AQ2497" s="38"/>
      <c r="AR2497" s="38"/>
      <c r="AS2497" s="38"/>
      <c r="AT2497" s="38"/>
      <c r="AU2497" s="38"/>
      <c r="AV2497" s="38"/>
      <c r="AW2497" s="38"/>
      <c r="AX2497" s="38"/>
      <c r="AY2497" s="38"/>
      <c r="AZ2497" s="38"/>
      <c r="BA2497" s="38"/>
      <c r="BB2497" s="38"/>
      <c r="BC2497" s="38"/>
      <c r="BD2497" s="38"/>
      <c r="BE2497" s="38"/>
      <c r="BF2497" s="38"/>
      <c r="BG2497" s="38"/>
    </row>
    <row r="2498">
      <c r="A2498" s="16"/>
      <c r="B2498" s="16"/>
      <c r="C2498" s="146"/>
      <c r="D2498" s="146"/>
      <c r="E2498" s="16"/>
      <c r="F2498" s="91"/>
      <c r="G2498" s="16"/>
      <c r="H2498" s="320" t="str">
        <f t="shared" si="1"/>
        <v/>
      </c>
      <c r="I2498" s="16"/>
      <c r="J2498" s="16"/>
      <c r="K2498" s="16"/>
      <c r="L2498" s="38"/>
      <c r="M2498" s="16"/>
      <c r="N2498" s="16"/>
      <c r="O2498" s="16"/>
      <c r="P2498" s="15"/>
      <c r="Q2498" s="15"/>
      <c r="R2498" s="16"/>
      <c r="S2498" s="16"/>
      <c r="T2498" s="16"/>
      <c r="U2498" s="16"/>
      <c r="V2498" s="37" t="str">
        <f>IFERROR(__xludf.DUMMYFUNCTION("if(not(iserror(index(split(C2498, "" ""),2))), index(split(C2498, "" ""),1),"""")"),"")</f>
        <v/>
      </c>
      <c r="W2498" s="315" t="str">
        <f>IFERROR(__xludf.DUMMYFUNCTION("if(V2498="""",C2498,if(not(iserror(index(split(C2498, "" ""),3))), index(split(C2498, "" ""),3),index(split(C2498, "" ""),2)))"),"")</f>
        <v/>
      </c>
      <c r="X2498" s="38" t="b">
        <f t="shared" si="2"/>
        <v>0</v>
      </c>
      <c r="Y2498" s="38"/>
      <c r="Z2498" s="40"/>
      <c r="AA2498" s="40"/>
      <c r="AB2498" s="38"/>
      <c r="AC2498" s="38"/>
      <c r="AD2498" s="38"/>
      <c r="AE2498" s="38"/>
      <c r="AF2498" s="38"/>
      <c r="AG2498" s="38"/>
      <c r="AH2498" s="38"/>
      <c r="AI2498" s="38"/>
      <c r="AJ2498" s="38"/>
      <c r="AK2498" s="38"/>
      <c r="AL2498" s="38"/>
      <c r="AM2498" s="38"/>
      <c r="AN2498" s="38"/>
      <c r="AO2498" s="38"/>
      <c r="AP2498" s="38"/>
      <c r="AQ2498" s="38"/>
      <c r="AR2498" s="38"/>
      <c r="AS2498" s="38"/>
      <c r="AT2498" s="38"/>
      <c r="AU2498" s="38"/>
      <c r="AV2498" s="38"/>
      <c r="AW2498" s="38"/>
      <c r="AX2498" s="38"/>
      <c r="AY2498" s="38"/>
      <c r="AZ2498" s="38"/>
      <c r="BA2498" s="38"/>
      <c r="BB2498" s="38"/>
      <c r="BC2498" s="38"/>
      <c r="BD2498" s="38"/>
      <c r="BE2498" s="38"/>
      <c r="BF2498" s="38"/>
      <c r="BG2498" s="38"/>
    </row>
    <row r="2499">
      <c r="A2499" s="16"/>
      <c r="B2499" s="16"/>
      <c r="C2499" s="146"/>
      <c r="D2499" s="146"/>
      <c r="E2499" s="16"/>
      <c r="F2499" s="91"/>
      <c r="G2499" s="16"/>
      <c r="H2499" s="320" t="str">
        <f t="shared" si="1"/>
        <v/>
      </c>
      <c r="I2499" s="16"/>
      <c r="J2499" s="16"/>
      <c r="K2499" s="16"/>
      <c r="L2499" s="38"/>
      <c r="M2499" s="16"/>
      <c r="N2499" s="16"/>
      <c r="O2499" s="16"/>
      <c r="P2499" s="15"/>
      <c r="Q2499" s="15"/>
      <c r="R2499" s="16"/>
      <c r="S2499" s="16"/>
      <c r="T2499" s="16"/>
      <c r="U2499" s="16"/>
      <c r="V2499" s="37" t="str">
        <f>IFERROR(__xludf.DUMMYFUNCTION("if(not(iserror(index(split(C2499, "" ""),2))), index(split(C2499, "" ""),1),"""")"),"")</f>
        <v/>
      </c>
      <c r="W2499" s="315" t="str">
        <f>IFERROR(__xludf.DUMMYFUNCTION("if(V2499="""",C2499,if(not(iserror(index(split(C2499, "" ""),3))), index(split(C2499, "" ""),3),index(split(C2499, "" ""),2)))"),"")</f>
        <v/>
      </c>
      <c r="X2499" s="38" t="b">
        <f t="shared" si="2"/>
        <v>0</v>
      </c>
      <c r="Y2499" s="38"/>
      <c r="Z2499" s="40"/>
      <c r="AA2499" s="40"/>
      <c r="AB2499" s="38"/>
      <c r="AC2499" s="38"/>
      <c r="AD2499" s="38"/>
      <c r="AE2499" s="38"/>
      <c r="AF2499" s="38"/>
      <c r="AG2499" s="38"/>
      <c r="AH2499" s="38"/>
      <c r="AI2499" s="38"/>
      <c r="AJ2499" s="38"/>
      <c r="AK2499" s="38"/>
      <c r="AL2499" s="38"/>
      <c r="AM2499" s="38"/>
      <c r="AN2499" s="38"/>
      <c r="AO2499" s="38"/>
      <c r="AP2499" s="38"/>
      <c r="AQ2499" s="38"/>
      <c r="AR2499" s="38"/>
      <c r="AS2499" s="38"/>
      <c r="AT2499" s="38"/>
      <c r="AU2499" s="38"/>
      <c r="AV2499" s="38"/>
      <c r="AW2499" s="38"/>
      <c r="AX2499" s="38"/>
      <c r="AY2499" s="38"/>
      <c r="AZ2499" s="38"/>
      <c r="BA2499" s="38"/>
      <c r="BB2499" s="38"/>
      <c r="BC2499" s="38"/>
      <c r="BD2499" s="38"/>
      <c r="BE2499" s="38"/>
      <c r="BF2499" s="38"/>
      <c r="BG2499" s="38"/>
    </row>
    <row r="2500">
      <c r="A2500" s="16"/>
      <c r="B2500" s="16"/>
      <c r="C2500" s="146"/>
      <c r="D2500" s="146"/>
      <c r="E2500" s="16"/>
      <c r="F2500" s="91"/>
      <c r="G2500" s="16"/>
      <c r="H2500" s="320" t="str">
        <f t="shared" si="1"/>
        <v/>
      </c>
      <c r="I2500" s="16"/>
      <c r="J2500" s="16"/>
      <c r="K2500" s="16"/>
      <c r="L2500" s="38"/>
      <c r="M2500" s="16"/>
      <c r="N2500" s="16"/>
      <c r="O2500" s="16"/>
      <c r="P2500" s="15"/>
      <c r="Q2500" s="15"/>
      <c r="R2500" s="16"/>
      <c r="S2500" s="16"/>
      <c r="T2500" s="16"/>
      <c r="U2500" s="16"/>
      <c r="V2500" s="37" t="str">
        <f>IFERROR(__xludf.DUMMYFUNCTION("if(not(iserror(index(split(C2500, "" ""),2))), index(split(C2500, "" ""),1),"""")"),"")</f>
        <v/>
      </c>
      <c r="W2500" s="315" t="str">
        <f>IFERROR(__xludf.DUMMYFUNCTION("if(V2500="""",C2500,if(not(iserror(index(split(C2500, "" ""),3))), index(split(C2500, "" ""),3),index(split(C2500, "" ""),2)))"),"")</f>
        <v/>
      </c>
      <c r="X2500" s="38" t="b">
        <f t="shared" si="2"/>
        <v>0</v>
      </c>
      <c r="Y2500" s="38"/>
      <c r="Z2500" s="40"/>
      <c r="AA2500" s="40"/>
      <c r="AB2500" s="38"/>
      <c r="AC2500" s="38"/>
      <c r="AD2500" s="38"/>
      <c r="AE2500" s="38"/>
      <c r="AF2500" s="38"/>
      <c r="AG2500" s="38"/>
      <c r="AH2500" s="38"/>
      <c r="AI2500" s="38"/>
      <c r="AJ2500" s="38"/>
      <c r="AK2500" s="38"/>
      <c r="AL2500" s="38"/>
      <c r="AM2500" s="38"/>
      <c r="AN2500" s="38"/>
      <c r="AO2500" s="38"/>
      <c r="AP2500" s="38"/>
      <c r="AQ2500" s="38"/>
      <c r="AR2500" s="38"/>
      <c r="AS2500" s="38"/>
      <c r="AT2500" s="38"/>
      <c r="AU2500" s="38"/>
      <c r="AV2500" s="38"/>
      <c r="AW2500" s="38"/>
      <c r="AX2500" s="38"/>
      <c r="AY2500" s="38"/>
      <c r="AZ2500" s="38"/>
      <c r="BA2500" s="38"/>
      <c r="BB2500" s="38"/>
      <c r="BC2500" s="38"/>
      <c r="BD2500" s="38"/>
      <c r="BE2500" s="38"/>
      <c r="BF2500" s="38"/>
      <c r="BG2500" s="38"/>
    </row>
    <row r="2501">
      <c r="A2501" s="16"/>
      <c r="B2501" s="16"/>
      <c r="C2501" s="146"/>
      <c r="D2501" s="146"/>
      <c r="E2501" s="16"/>
      <c r="F2501" s="91"/>
      <c r="G2501" s="16"/>
      <c r="H2501" s="320" t="str">
        <f t="shared" si="1"/>
        <v/>
      </c>
      <c r="I2501" s="16"/>
      <c r="J2501" s="16"/>
      <c r="K2501" s="16"/>
      <c r="L2501" s="38"/>
      <c r="M2501" s="16"/>
      <c r="N2501" s="16"/>
      <c r="O2501" s="16"/>
      <c r="P2501" s="15"/>
      <c r="Q2501" s="15"/>
      <c r="R2501" s="16"/>
      <c r="S2501" s="16"/>
      <c r="T2501" s="16"/>
      <c r="U2501" s="16"/>
      <c r="V2501" s="37" t="str">
        <f>IFERROR(__xludf.DUMMYFUNCTION("if(not(iserror(index(split(C2501, "" ""),2))), index(split(C2501, "" ""),1),"""")"),"")</f>
        <v/>
      </c>
      <c r="W2501" s="315" t="str">
        <f>IFERROR(__xludf.DUMMYFUNCTION("if(V2501="""",C2501,if(not(iserror(index(split(C2501, "" ""),3))), index(split(C2501, "" ""),3),index(split(C2501, "" ""),2)))"),"")</f>
        <v/>
      </c>
      <c r="X2501" s="38" t="b">
        <f t="shared" si="2"/>
        <v>0</v>
      </c>
      <c r="Y2501" s="38"/>
      <c r="Z2501" s="40"/>
      <c r="AA2501" s="40"/>
      <c r="AB2501" s="38"/>
      <c r="AC2501" s="38"/>
      <c r="AD2501" s="38"/>
      <c r="AE2501" s="38"/>
      <c r="AF2501" s="38"/>
      <c r="AG2501" s="38"/>
      <c r="AH2501" s="38"/>
      <c r="AI2501" s="38"/>
      <c r="AJ2501" s="38"/>
      <c r="AK2501" s="38"/>
      <c r="AL2501" s="38"/>
      <c r="AM2501" s="38"/>
      <c r="AN2501" s="38"/>
      <c r="AO2501" s="38"/>
      <c r="AP2501" s="38"/>
      <c r="AQ2501" s="38"/>
      <c r="AR2501" s="38"/>
      <c r="AS2501" s="38"/>
      <c r="AT2501" s="38"/>
      <c r="AU2501" s="38"/>
      <c r="AV2501" s="38"/>
      <c r="AW2501" s="38"/>
      <c r="AX2501" s="38"/>
      <c r="AY2501" s="38"/>
      <c r="AZ2501" s="38"/>
      <c r="BA2501" s="38"/>
      <c r="BB2501" s="38"/>
      <c r="BC2501" s="38"/>
      <c r="BD2501" s="38"/>
      <c r="BE2501" s="38"/>
      <c r="BF2501" s="38"/>
      <c r="BG2501" s="38"/>
    </row>
    <row r="2502">
      <c r="A2502" s="16"/>
      <c r="B2502" s="16"/>
      <c r="C2502" s="146"/>
      <c r="D2502" s="146"/>
      <c r="E2502" s="16"/>
      <c r="F2502" s="91"/>
      <c r="G2502" s="16"/>
      <c r="H2502" s="320" t="str">
        <f t="shared" si="1"/>
        <v/>
      </c>
      <c r="I2502" s="16"/>
      <c r="J2502" s="16"/>
      <c r="K2502" s="16"/>
      <c r="L2502" s="38"/>
      <c r="M2502" s="16"/>
      <c r="N2502" s="16"/>
      <c r="O2502" s="16"/>
      <c r="P2502" s="15"/>
      <c r="Q2502" s="15"/>
      <c r="R2502" s="16"/>
      <c r="S2502" s="16"/>
      <c r="T2502" s="16"/>
      <c r="U2502" s="16"/>
      <c r="V2502" s="37" t="str">
        <f>IFERROR(__xludf.DUMMYFUNCTION("if(not(iserror(index(split(C2502, "" ""),2))), index(split(C2502, "" ""),1),"""")"),"")</f>
        <v/>
      </c>
      <c r="W2502" s="315" t="str">
        <f>IFERROR(__xludf.DUMMYFUNCTION("if(V2502="""",C2502,if(not(iserror(index(split(C2502, "" ""),3))), index(split(C2502, "" ""),3),index(split(C2502, "" ""),2)))"),"")</f>
        <v/>
      </c>
      <c r="X2502" s="38" t="b">
        <f t="shared" si="2"/>
        <v>0</v>
      </c>
      <c r="Y2502" s="38"/>
      <c r="Z2502" s="40"/>
      <c r="AA2502" s="40"/>
      <c r="AB2502" s="38"/>
      <c r="AC2502" s="38"/>
      <c r="AD2502" s="38"/>
      <c r="AE2502" s="38"/>
      <c r="AF2502" s="38"/>
      <c r="AG2502" s="38"/>
      <c r="AH2502" s="38"/>
      <c r="AI2502" s="38"/>
      <c r="AJ2502" s="38"/>
      <c r="AK2502" s="38"/>
      <c r="AL2502" s="38"/>
      <c r="AM2502" s="38"/>
      <c r="AN2502" s="38"/>
      <c r="AO2502" s="38"/>
      <c r="AP2502" s="38"/>
      <c r="AQ2502" s="38"/>
      <c r="AR2502" s="38"/>
      <c r="AS2502" s="38"/>
      <c r="AT2502" s="38"/>
      <c r="AU2502" s="38"/>
      <c r="AV2502" s="38"/>
      <c r="AW2502" s="38"/>
      <c r="AX2502" s="38"/>
      <c r="AY2502" s="38"/>
      <c r="AZ2502" s="38"/>
      <c r="BA2502" s="38"/>
      <c r="BB2502" s="38"/>
      <c r="BC2502" s="38"/>
      <c r="BD2502" s="38"/>
      <c r="BE2502" s="38"/>
      <c r="BF2502" s="38"/>
      <c r="BG2502" s="38"/>
    </row>
    <row r="2503">
      <c r="A2503" s="16"/>
      <c r="B2503" s="16"/>
      <c r="C2503" s="146"/>
      <c r="D2503" s="146"/>
      <c r="E2503" s="16"/>
      <c r="F2503" s="91"/>
      <c r="G2503" s="16"/>
      <c r="H2503" s="320" t="str">
        <f t="shared" si="1"/>
        <v/>
      </c>
      <c r="I2503" s="16"/>
      <c r="J2503" s="16"/>
      <c r="K2503" s="16"/>
      <c r="L2503" s="38"/>
      <c r="M2503" s="16"/>
      <c r="N2503" s="16"/>
      <c r="O2503" s="16"/>
      <c r="P2503" s="15"/>
      <c r="Q2503" s="15"/>
      <c r="R2503" s="16"/>
      <c r="S2503" s="16"/>
      <c r="T2503" s="16"/>
      <c r="U2503" s="16"/>
      <c r="V2503" s="37" t="str">
        <f>IFERROR(__xludf.DUMMYFUNCTION("if(not(iserror(index(split(C2503, "" ""),2))), index(split(C2503, "" ""),1),"""")"),"")</f>
        <v/>
      </c>
      <c r="W2503" s="315" t="str">
        <f>IFERROR(__xludf.DUMMYFUNCTION("if(V2503="""",C2503,if(not(iserror(index(split(C2503, "" ""),3))), index(split(C2503, "" ""),3),index(split(C2503, "" ""),2)))"),"")</f>
        <v/>
      </c>
      <c r="X2503" s="38" t="b">
        <f t="shared" si="2"/>
        <v>0</v>
      </c>
      <c r="Y2503" s="38"/>
      <c r="Z2503" s="40"/>
      <c r="AA2503" s="40"/>
      <c r="AB2503" s="38"/>
      <c r="AC2503" s="38"/>
      <c r="AD2503" s="38"/>
      <c r="AE2503" s="38"/>
      <c r="AF2503" s="38"/>
      <c r="AG2503" s="38"/>
      <c r="AH2503" s="38"/>
      <c r="AI2503" s="38"/>
      <c r="AJ2503" s="38"/>
      <c r="AK2503" s="38"/>
      <c r="AL2503" s="38"/>
      <c r="AM2503" s="38"/>
      <c r="AN2503" s="38"/>
      <c r="AO2503" s="38"/>
      <c r="AP2503" s="38"/>
      <c r="AQ2503" s="38"/>
      <c r="AR2503" s="38"/>
      <c r="AS2503" s="38"/>
      <c r="AT2503" s="38"/>
      <c r="AU2503" s="38"/>
      <c r="AV2503" s="38"/>
      <c r="AW2503" s="38"/>
      <c r="AX2503" s="38"/>
      <c r="AY2503" s="38"/>
      <c r="AZ2503" s="38"/>
      <c r="BA2503" s="38"/>
      <c r="BB2503" s="38"/>
      <c r="BC2503" s="38"/>
      <c r="BD2503" s="38"/>
      <c r="BE2503" s="38"/>
      <c r="BF2503" s="38"/>
      <c r="BG2503" s="38"/>
    </row>
    <row r="2504">
      <c r="A2504" s="16"/>
      <c r="B2504" s="16"/>
      <c r="C2504" s="146"/>
      <c r="D2504" s="146"/>
      <c r="E2504" s="16"/>
      <c r="F2504" s="91"/>
      <c r="G2504" s="16"/>
      <c r="H2504" s="320" t="str">
        <f t="shared" si="1"/>
        <v/>
      </c>
      <c r="I2504" s="16"/>
      <c r="J2504" s="16"/>
      <c r="K2504" s="16"/>
      <c r="L2504" s="38"/>
      <c r="M2504" s="16"/>
      <c r="N2504" s="16"/>
      <c r="O2504" s="16"/>
      <c r="P2504" s="15"/>
      <c r="Q2504" s="15"/>
      <c r="R2504" s="16"/>
      <c r="S2504" s="16"/>
      <c r="T2504" s="16"/>
      <c r="U2504" s="16"/>
      <c r="V2504" s="37" t="str">
        <f>IFERROR(__xludf.DUMMYFUNCTION("if(not(iserror(index(split(C2504, "" ""),2))), index(split(C2504, "" ""),1),"""")"),"")</f>
        <v/>
      </c>
      <c r="W2504" s="315" t="str">
        <f>IFERROR(__xludf.DUMMYFUNCTION("if(V2504="""",C2504,if(not(iserror(index(split(C2504, "" ""),3))), index(split(C2504, "" ""),3),index(split(C2504, "" ""),2)))"),"")</f>
        <v/>
      </c>
      <c r="X2504" s="38" t="b">
        <f t="shared" si="2"/>
        <v>0</v>
      </c>
      <c r="Y2504" s="38"/>
      <c r="Z2504" s="40"/>
      <c r="AA2504" s="40"/>
      <c r="AB2504" s="38"/>
      <c r="AC2504" s="38"/>
      <c r="AD2504" s="38"/>
      <c r="AE2504" s="38"/>
      <c r="AF2504" s="38"/>
      <c r="AG2504" s="38"/>
      <c r="AH2504" s="38"/>
      <c r="AI2504" s="38"/>
      <c r="AJ2504" s="38"/>
      <c r="AK2504" s="38"/>
      <c r="AL2504" s="38"/>
      <c r="AM2504" s="38"/>
      <c r="AN2504" s="38"/>
      <c r="AO2504" s="38"/>
      <c r="AP2504" s="38"/>
      <c r="AQ2504" s="38"/>
      <c r="AR2504" s="38"/>
      <c r="AS2504" s="38"/>
      <c r="AT2504" s="38"/>
      <c r="AU2504" s="38"/>
      <c r="AV2504" s="38"/>
      <c r="AW2504" s="38"/>
      <c r="AX2504" s="38"/>
      <c r="AY2504" s="38"/>
      <c r="AZ2504" s="38"/>
      <c r="BA2504" s="38"/>
      <c r="BB2504" s="38"/>
      <c r="BC2504" s="38"/>
      <c r="BD2504" s="38"/>
      <c r="BE2504" s="38"/>
      <c r="BF2504" s="38"/>
      <c r="BG2504" s="38"/>
    </row>
    <row r="2505">
      <c r="A2505" s="16"/>
      <c r="B2505" s="16"/>
      <c r="C2505" s="146"/>
      <c r="D2505" s="146"/>
      <c r="E2505" s="16"/>
      <c r="F2505" s="91"/>
      <c r="G2505" s="16"/>
      <c r="H2505" s="320" t="str">
        <f t="shared" si="1"/>
        <v/>
      </c>
      <c r="I2505" s="16"/>
      <c r="J2505" s="16"/>
      <c r="K2505" s="16"/>
      <c r="L2505" s="38"/>
      <c r="M2505" s="16"/>
      <c r="N2505" s="16"/>
      <c r="O2505" s="16"/>
      <c r="P2505" s="15"/>
      <c r="Q2505" s="15"/>
      <c r="R2505" s="16"/>
      <c r="S2505" s="16"/>
      <c r="T2505" s="16"/>
      <c r="U2505" s="16"/>
      <c r="V2505" s="37" t="str">
        <f>IFERROR(__xludf.DUMMYFUNCTION("if(not(iserror(index(split(C2505, "" ""),2))), index(split(C2505, "" ""),1),"""")"),"")</f>
        <v/>
      </c>
      <c r="W2505" s="315" t="str">
        <f>IFERROR(__xludf.DUMMYFUNCTION("if(V2505="""",C2505,if(not(iserror(index(split(C2505, "" ""),3))), index(split(C2505, "" ""),3),index(split(C2505, "" ""),2)))"),"")</f>
        <v/>
      </c>
      <c r="X2505" s="38" t="b">
        <f t="shared" si="2"/>
        <v>0</v>
      </c>
      <c r="Y2505" s="38"/>
      <c r="Z2505" s="40"/>
      <c r="AA2505" s="40"/>
      <c r="AB2505" s="38"/>
      <c r="AC2505" s="38"/>
      <c r="AD2505" s="38"/>
      <c r="AE2505" s="38"/>
      <c r="AF2505" s="38"/>
      <c r="AG2505" s="38"/>
      <c r="AH2505" s="38"/>
      <c r="AI2505" s="38"/>
      <c r="AJ2505" s="38"/>
      <c r="AK2505" s="38"/>
      <c r="AL2505" s="38"/>
      <c r="AM2505" s="38"/>
      <c r="AN2505" s="38"/>
      <c r="AO2505" s="38"/>
      <c r="AP2505" s="38"/>
      <c r="AQ2505" s="38"/>
      <c r="AR2505" s="38"/>
      <c r="AS2505" s="38"/>
      <c r="AT2505" s="38"/>
      <c r="AU2505" s="38"/>
      <c r="AV2505" s="38"/>
      <c r="AW2505" s="38"/>
      <c r="AX2505" s="38"/>
      <c r="AY2505" s="38"/>
      <c r="AZ2505" s="38"/>
      <c r="BA2505" s="38"/>
      <c r="BB2505" s="38"/>
      <c r="BC2505" s="38"/>
      <c r="BD2505" s="38"/>
      <c r="BE2505" s="38"/>
      <c r="BF2505" s="38"/>
      <c r="BG2505" s="38"/>
    </row>
    <row r="2506">
      <c r="A2506" s="16"/>
      <c r="B2506" s="16"/>
      <c r="C2506" s="146"/>
      <c r="D2506" s="146"/>
      <c r="E2506" s="16"/>
      <c r="F2506" s="91"/>
      <c r="G2506" s="16"/>
      <c r="H2506" s="320" t="str">
        <f t="shared" si="1"/>
        <v/>
      </c>
      <c r="I2506" s="16"/>
      <c r="J2506" s="16"/>
      <c r="K2506" s="16"/>
      <c r="L2506" s="38"/>
      <c r="M2506" s="16"/>
      <c r="N2506" s="16"/>
      <c r="O2506" s="16"/>
      <c r="P2506" s="15"/>
      <c r="Q2506" s="15"/>
      <c r="R2506" s="16"/>
      <c r="S2506" s="16"/>
      <c r="T2506" s="16"/>
      <c r="U2506" s="16"/>
      <c r="V2506" s="37" t="str">
        <f>IFERROR(__xludf.DUMMYFUNCTION("if(not(iserror(index(split(C2506, "" ""),2))), index(split(C2506, "" ""),1),"""")"),"")</f>
        <v/>
      </c>
      <c r="W2506" s="315" t="str">
        <f>IFERROR(__xludf.DUMMYFUNCTION("if(V2506="""",C2506,if(not(iserror(index(split(C2506, "" ""),3))), index(split(C2506, "" ""),3),index(split(C2506, "" ""),2)))"),"")</f>
        <v/>
      </c>
      <c r="X2506" s="38" t="b">
        <f t="shared" si="2"/>
        <v>0</v>
      </c>
      <c r="Y2506" s="38"/>
      <c r="Z2506" s="40"/>
      <c r="AA2506" s="40"/>
      <c r="AB2506" s="38"/>
      <c r="AC2506" s="38"/>
      <c r="AD2506" s="38"/>
      <c r="AE2506" s="38"/>
      <c r="AF2506" s="38"/>
      <c r="AG2506" s="38"/>
      <c r="AH2506" s="38"/>
      <c r="AI2506" s="38"/>
      <c r="AJ2506" s="38"/>
      <c r="AK2506" s="38"/>
      <c r="AL2506" s="38"/>
      <c r="AM2506" s="38"/>
      <c r="AN2506" s="38"/>
      <c r="AO2506" s="38"/>
      <c r="AP2506" s="38"/>
      <c r="AQ2506" s="38"/>
      <c r="AR2506" s="38"/>
      <c r="AS2506" s="38"/>
      <c r="AT2506" s="38"/>
      <c r="AU2506" s="38"/>
      <c r="AV2506" s="38"/>
      <c r="AW2506" s="38"/>
      <c r="AX2506" s="38"/>
      <c r="AY2506" s="38"/>
      <c r="AZ2506" s="38"/>
      <c r="BA2506" s="38"/>
      <c r="BB2506" s="38"/>
      <c r="BC2506" s="38"/>
      <c r="BD2506" s="38"/>
      <c r="BE2506" s="38"/>
      <c r="BF2506" s="38"/>
      <c r="BG2506" s="38"/>
    </row>
    <row r="2507">
      <c r="A2507" s="16"/>
      <c r="B2507" s="16"/>
      <c r="C2507" s="146"/>
      <c r="D2507" s="146"/>
      <c r="E2507" s="16"/>
      <c r="F2507" s="91"/>
      <c r="G2507" s="16"/>
      <c r="H2507" s="320" t="str">
        <f t="shared" si="1"/>
        <v/>
      </c>
      <c r="I2507" s="16"/>
      <c r="J2507" s="16"/>
      <c r="K2507" s="16"/>
      <c r="L2507" s="38"/>
      <c r="M2507" s="16"/>
      <c r="N2507" s="16"/>
      <c r="O2507" s="16"/>
      <c r="P2507" s="15"/>
      <c r="Q2507" s="15"/>
      <c r="R2507" s="16"/>
      <c r="S2507" s="16"/>
      <c r="T2507" s="16"/>
      <c r="U2507" s="16"/>
      <c r="V2507" s="37" t="str">
        <f>IFERROR(__xludf.DUMMYFUNCTION("if(not(iserror(index(split(C2507, "" ""),2))), index(split(C2507, "" ""),1),"""")"),"")</f>
        <v/>
      </c>
      <c r="W2507" s="315" t="str">
        <f>IFERROR(__xludf.DUMMYFUNCTION("if(V2507="""",C2507,if(not(iserror(index(split(C2507, "" ""),3))), index(split(C2507, "" ""),3),index(split(C2507, "" ""),2)))"),"")</f>
        <v/>
      </c>
      <c r="X2507" s="38" t="b">
        <f t="shared" si="2"/>
        <v>0</v>
      </c>
      <c r="Y2507" s="38"/>
      <c r="Z2507" s="40"/>
      <c r="AA2507" s="40"/>
      <c r="AB2507" s="38"/>
      <c r="AC2507" s="38"/>
      <c r="AD2507" s="38"/>
      <c r="AE2507" s="38"/>
      <c r="AF2507" s="38"/>
      <c r="AG2507" s="38"/>
      <c r="AH2507" s="38"/>
      <c r="AI2507" s="38"/>
      <c r="AJ2507" s="38"/>
      <c r="AK2507" s="38"/>
      <c r="AL2507" s="38"/>
      <c r="AM2507" s="38"/>
      <c r="AN2507" s="38"/>
      <c r="AO2507" s="38"/>
      <c r="AP2507" s="38"/>
      <c r="AQ2507" s="38"/>
      <c r="AR2507" s="38"/>
      <c r="AS2507" s="38"/>
      <c r="AT2507" s="38"/>
      <c r="AU2507" s="38"/>
      <c r="AV2507" s="38"/>
      <c r="AW2507" s="38"/>
      <c r="AX2507" s="38"/>
      <c r="AY2507" s="38"/>
      <c r="AZ2507" s="38"/>
      <c r="BA2507" s="38"/>
      <c r="BB2507" s="38"/>
      <c r="BC2507" s="38"/>
      <c r="BD2507" s="38"/>
      <c r="BE2507" s="38"/>
      <c r="BF2507" s="38"/>
      <c r="BG2507" s="38"/>
    </row>
    <row r="2508">
      <c r="A2508" s="16"/>
      <c r="B2508" s="16"/>
      <c r="C2508" s="146"/>
      <c r="D2508" s="146"/>
      <c r="E2508" s="16"/>
      <c r="F2508" s="91"/>
      <c r="G2508" s="16"/>
      <c r="H2508" s="320" t="str">
        <f t="shared" si="1"/>
        <v/>
      </c>
      <c r="I2508" s="16"/>
      <c r="J2508" s="16"/>
      <c r="K2508" s="16"/>
      <c r="L2508" s="38"/>
      <c r="M2508" s="16"/>
      <c r="N2508" s="16"/>
      <c r="O2508" s="16"/>
      <c r="P2508" s="15"/>
      <c r="Q2508" s="15"/>
      <c r="R2508" s="16"/>
      <c r="S2508" s="16"/>
      <c r="T2508" s="16"/>
      <c r="U2508" s="16"/>
      <c r="V2508" s="37" t="str">
        <f>IFERROR(__xludf.DUMMYFUNCTION("if(not(iserror(index(split(C2508, "" ""),2))), index(split(C2508, "" ""),1),"""")"),"")</f>
        <v/>
      </c>
      <c r="W2508" s="315" t="str">
        <f>IFERROR(__xludf.DUMMYFUNCTION("if(V2508="""",C2508,if(not(iserror(index(split(C2508, "" ""),3))), index(split(C2508, "" ""),3),index(split(C2508, "" ""),2)))"),"")</f>
        <v/>
      </c>
      <c r="X2508" s="38" t="b">
        <f t="shared" si="2"/>
        <v>0</v>
      </c>
      <c r="Y2508" s="38"/>
      <c r="Z2508" s="40"/>
      <c r="AA2508" s="40"/>
      <c r="AB2508" s="38"/>
      <c r="AC2508" s="38"/>
      <c r="AD2508" s="38"/>
      <c r="AE2508" s="38"/>
      <c r="AF2508" s="38"/>
      <c r="AG2508" s="38"/>
      <c r="AH2508" s="38"/>
      <c r="AI2508" s="38"/>
      <c r="AJ2508" s="38"/>
      <c r="AK2508" s="38"/>
      <c r="AL2508" s="38"/>
      <c r="AM2508" s="38"/>
      <c r="AN2508" s="38"/>
      <c r="AO2508" s="38"/>
      <c r="AP2508" s="38"/>
      <c r="AQ2508" s="38"/>
      <c r="AR2508" s="38"/>
      <c r="AS2508" s="38"/>
      <c r="AT2508" s="38"/>
      <c r="AU2508" s="38"/>
      <c r="AV2508" s="38"/>
      <c r="AW2508" s="38"/>
      <c r="AX2508" s="38"/>
      <c r="AY2508" s="38"/>
      <c r="AZ2508" s="38"/>
      <c r="BA2508" s="38"/>
      <c r="BB2508" s="38"/>
      <c r="BC2508" s="38"/>
      <c r="BD2508" s="38"/>
      <c r="BE2508" s="38"/>
      <c r="BF2508" s="38"/>
      <c r="BG2508" s="38"/>
    </row>
    <row r="2509">
      <c r="A2509" s="16"/>
      <c r="B2509" s="16"/>
      <c r="C2509" s="146"/>
      <c r="D2509" s="146"/>
      <c r="E2509" s="16"/>
      <c r="F2509" s="91"/>
      <c r="G2509" s="16"/>
      <c r="H2509" s="320" t="str">
        <f t="shared" si="1"/>
        <v/>
      </c>
      <c r="I2509" s="16"/>
      <c r="J2509" s="16"/>
      <c r="K2509" s="16"/>
      <c r="L2509" s="38"/>
      <c r="M2509" s="16"/>
      <c r="N2509" s="16"/>
      <c r="O2509" s="16"/>
      <c r="P2509" s="15"/>
      <c r="Q2509" s="15"/>
      <c r="R2509" s="16"/>
      <c r="S2509" s="16"/>
      <c r="T2509" s="16"/>
      <c r="U2509" s="16"/>
      <c r="V2509" s="37" t="str">
        <f>IFERROR(__xludf.DUMMYFUNCTION("if(not(iserror(index(split(C2509, "" ""),2))), index(split(C2509, "" ""),1),"""")"),"")</f>
        <v/>
      </c>
      <c r="W2509" s="315" t="str">
        <f>IFERROR(__xludf.DUMMYFUNCTION("if(V2509="""",C2509,if(not(iserror(index(split(C2509, "" ""),3))), index(split(C2509, "" ""),3),index(split(C2509, "" ""),2)))"),"")</f>
        <v/>
      </c>
      <c r="X2509" s="38" t="b">
        <f t="shared" si="2"/>
        <v>0</v>
      </c>
      <c r="Y2509" s="38"/>
      <c r="Z2509" s="40"/>
      <c r="AA2509" s="40"/>
      <c r="AB2509" s="38"/>
      <c r="AC2509" s="38"/>
      <c r="AD2509" s="38"/>
      <c r="AE2509" s="38"/>
      <c r="AF2509" s="38"/>
      <c r="AG2509" s="38"/>
      <c r="AH2509" s="38"/>
      <c r="AI2509" s="38"/>
      <c r="AJ2509" s="38"/>
      <c r="AK2509" s="38"/>
      <c r="AL2509" s="38"/>
      <c r="AM2509" s="38"/>
      <c r="AN2509" s="38"/>
      <c r="AO2509" s="38"/>
      <c r="AP2509" s="38"/>
      <c r="AQ2509" s="38"/>
      <c r="AR2509" s="38"/>
      <c r="AS2509" s="38"/>
      <c r="AT2509" s="38"/>
      <c r="AU2509" s="38"/>
      <c r="AV2509" s="38"/>
      <c r="AW2509" s="38"/>
      <c r="AX2509" s="38"/>
      <c r="AY2509" s="38"/>
      <c r="AZ2509" s="38"/>
      <c r="BA2509" s="38"/>
      <c r="BB2509" s="38"/>
      <c r="BC2509" s="38"/>
      <c r="BD2509" s="38"/>
      <c r="BE2509" s="38"/>
      <c r="BF2509" s="38"/>
      <c r="BG2509" s="38"/>
    </row>
    <row r="2510">
      <c r="A2510" s="16"/>
      <c r="B2510" s="16"/>
      <c r="C2510" s="146"/>
      <c r="D2510" s="146"/>
      <c r="E2510" s="16"/>
      <c r="F2510" s="91"/>
      <c r="G2510" s="16"/>
      <c r="H2510" s="320" t="str">
        <f t="shared" si="1"/>
        <v/>
      </c>
      <c r="I2510" s="16"/>
      <c r="J2510" s="16"/>
      <c r="K2510" s="16"/>
      <c r="L2510" s="38"/>
      <c r="M2510" s="16"/>
      <c r="N2510" s="16"/>
      <c r="O2510" s="16"/>
      <c r="P2510" s="15"/>
      <c r="Q2510" s="15"/>
      <c r="R2510" s="16"/>
      <c r="S2510" s="16"/>
      <c r="T2510" s="16"/>
      <c r="U2510" s="16"/>
      <c r="V2510" s="37" t="str">
        <f>IFERROR(__xludf.DUMMYFUNCTION("if(not(iserror(index(split(C2510, "" ""),2))), index(split(C2510, "" ""),1),"""")"),"")</f>
        <v/>
      </c>
      <c r="W2510" s="315" t="str">
        <f>IFERROR(__xludf.DUMMYFUNCTION("if(V2510="""",C2510,if(not(iserror(index(split(C2510, "" ""),3))), index(split(C2510, "" ""),3),index(split(C2510, "" ""),2)))"),"")</f>
        <v/>
      </c>
      <c r="X2510" s="38" t="b">
        <f t="shared" si="2"/>
        <v>0</v>
      </c>
      <c r="Y2510" s="38"/>
      <c r="Z2510" s="40"/>
      <c r="AA2510" s="40"/>
      <c r="AB2510" s="38"/>
      <c r="AC2510" s="38"/>
      <c r="AD2510" s="38"/>
      <c r="AE2510" s="38"/>
      <c r="AF2510" s="38"/>
      <c r="AG2510" s="38"/>
      <c r="AH2510" s="38"/>
      <c r="AI2510" s="38"/>
      <c r="AJ2510" s="38"/>
      <c r="AK2510" s="38"/>
      <c r="AL2510" s="38"/>
      <c r="AM2510" s="38"/>
      <c r="AN2510" s="38"/>
      <c r="AO2510" s="38"/>
      <c r="AP2510" s="38"/>
      <c r="AQ2510" s="38"/>
      <c r="AR2510" s="38"/>
      <c r="AS2510" s="38"/>
      <c r="AT2510" s="38"/>
      <c r="AU2510" s="38"/>
      <c r="AV2510" s="38"/>
      <c r="AW2510" s="38"/>
      <c r="AX2510" s="38"/>
      <c r="AY2510" s="38"/>
      <c r="AZ2510" s="38"/>
      <c r="BA2510" s="38"/>
      <c r="BB2510" s="38"/>
      <c r="BC2510" s="38"/>
      <c r="BD2510" s="38"/>
      <c r="BE2510" s="38"/>
      <c r="BF2510" s="38"/>
      <c r="BG2510" s="38"/>
    </row>
    <row r="2511">
      <c r="A2511" s="16"/>
      <c r="B2511" s="16"/>
      <c r="C2511" s="146"/>
      <c r="D2511" s="146"/>
      <c r="E2511" s="16"/>
      <c r="F2511" s="91"/>
      <c r="G2511" s="16"/>
      <c r="H2511" s="320" t="str">
        <f t="shared" si="1"/>
        <v/>
      </c>
      <c r="I2511" s="16"/>
      <c r="J2511" s="16"/>
      <c r="K2511" s="16"/>
      <c r="L2511" s="38"/>
      <c r="M2511" s="16"/>
      <c r="N2511" s="16"/>
      <c r="O2511" s="16"/>
      <c r="P2511" s="15"/>
      <c r="Q2511" s="15"/>
      <c r="R2511" s="16"/>
      <c r="S2511" s="16"/>
      <c r="T2511" s="16"/>
      <c r="U2511" s="16"/>
      <c r="V2511" s="37" t="str">
        <f>IFERROR(__xludf.DUMMYFUNCTION("if(not(iserror(index(split(C2511, "" ""),2))), index(split(C2511, "" ""),1),"""")"),"")</f>
        <v/>
      </c>
      <c r="W2511" s="315" t="str">
        <f>IFERROR(__xludf.DUMMYFUNCTION("if(V2511="""",C2511,if(not(iserror(index(split(C2511, "" ""),3))), index(split(C2511, "" ""),3),index(split(C2511, "" ""),2)))"),"")</f>
        <v/>
      </c>
      <c r="X2511" s="38" t="b">
        <f t="shared" si="2"/>
        <v>0</v>
      </c>
      <c r="Y2511" s="38"/>
      <c r="Z2511" s="40"/>
      <c r="AA2511" s="40"/>
      <c r="AB2511" s="38"/>
      <c r="AC2511" s="38"/>
      <c r="AD2511" s="38"/>
      <c r="AE2511" s="38"/>
      <c r="AF2511" s="38"/>
      <c r="AG2511" s="38"/>
      <c r="AH2511" s="38"/>
      <c r="AI2511" s="38"/>
      <c r="AJ2511" s="38"/>
      <c r="AK2511" s="38"/>
      <c r="AL2511" s="38"/>
      <c r="AM2511" s="38"/>
      <c r="AN2511" s="38"/>
      <c r="AO2511" s="38"/>
      <c r="AP2511" s="38"/>
      <c r="AQ2511" s="38"/>
      <c r="AR2511" s="38"/>
      <c r="AS2511" s="38"/>
      <c r="AT2511" s="38"/>
      <c r="AU2511" s="38"/>
      <c r="AV2511" s="38"/>
      <c r="AW2511" s="38"/>
      <c r="AX2511" s="38"/>
      <c r="AY2511" s="38"/>
      <c r="AZ2511" s="38"/>
      <c r="BA2511" s="38"/>
      <c r="BB2511" s="38"/>
      <c r="BC2511" s="38"/>
      <c r="BD2511" s="38"/>
      <c r="BE2511" s="38"/>
      <c r="BF2511" s="38"/>
      <c r="BG2511" s="38"/>
    </row>
    <row r="2512">
      <c r="A2512" s="16"/>
      <c r="B2512" s="16"/>
      <c r="C2512" s="146"/>
      <c r="D2512" s="146"/>
      <c r="E2512" s="16"/>
      <c r="F2512" s="91"/>
      <c r="G2512" s="16"/>
      <c r="H2512" s="320" t="str">
        <f t="shared" si="1"/>
        <v/>
      </c>
      <c r="I2512" s="16"/>
      <c r="J2512" s="16"/>
      <c r="K2512" s="16"/>
      <c r="L2512" s="38"/>
      <c r="M2512" s="16"/>
      <c r="N2512" s="16"/>
      <c r="O2512" s="16"/>
      <c r="P2512" s="15"/>
      <c r="Q2512" s="15"/>
      <c r="R2512" s="16"/>
      <c r="S2512" s="16"/>
      <c r="T2512" s="16"/>
      <c r="U2512" s="16"/>
      <c r="V2512" s="37" t="str">
        <f>IFERROR(__xludf.DUMMYFUNCTION("if(not(iserror(index(split(C2512, "" ""),2))), index(split(C2512, "" ""),1),"""")"),"")</f>
        <v/>
      </c>
      <c r="W2512" s="315" t="str">
        <f>IFERROR(__xludf.DUMMYFUNCTION("if(V2512="""",C2512,if(not(iserror(index(split(C2512, "" ""),3))), index(split(C2512, "" ""),3),index(split(C2512, "" ""),2)))"),"")</f>
        <v/>
      </c>
      <c r="X2512" s="38" t="b">
        <f t="shared" si="2"/>
        <v>0</v>
      </c>
      <c r="Y2512" s="38"/>
      <c r="Z2512" s="40"/>
      <c r="AA2512" s="40"/>
      <c r="AB2512" s="38"/>
      <c r="AC2512" s="38"/>
      <c r="AD2512" s="38"/>
      <c r="AE2512" s="38"/>
      <c r="AF2512" s="38"/>
      <c r="AG2512" s="38"/>
      <c r="AH2512" s="38"/>
      <c r="AI2512" s="38"/>
      <c r="AJ2512" s="38"/>
      <c r="AK2512" s="38"/>
      <c r="AL2512" s="38"/>
      <c r="AM2512" s="38"/>
      <c r="AN2512" s="38"/>
      <c r="AO2512" s="38"/>
      <c r="AP2512" s="38"/>
      <c r="AQ2512" s="38"/>
      <c r="AR2512" s="38"/>
      <c r="AS2512" s="38"/>
      <c r="AT2512" s="38"/>
      <c r="AU2512" s="38"/>
      <c r="AV2512" s="38"/>
      <c r="AW2512" s="38"/>
      <c r="AX2512" s="38"/>
      <c r="AY2512" s="38"/>
      <c r="AZ2512" s="38"/>
      <c r="BA2512" s="38"/>
      <c r="BB2512" s="38"/>
      <c r="BC2512" s="38"/>
      <c r="BD2512" s="38"/>
      <c r="BE2512" s="38"/>
      <c r="BF2512" s="38"/>
      <c r="BG2512" s="38"/>
    </row>
    <row r="2513">
      <c r="A2513" s="16"/>
      <c r="B2513" s="16"/>
      <c r="C2513" s="146"/>
      <c r="D2513" s="146"/>
      <c r="E2513" s="16"/>
      <c r="F2513" s="91"/>
      <c r="G2513" s="16"/>
      <c r="H2513" s="320" t="str">
        <f t="shared" si="1"/>
        <v/>
      </c>
      <c r="I2513" s="16"/>
      <c r="J2513" s="16"/>
      <c r="K2513" s="16"/>
      <c r="L2513" s="38"/>
      <c r="M2513" s="16"/>
      <c r="N2513" s="16"/>
      <c r="O2513" s="16"/>
      <c r="P2513" s="15"/>
      <c r="Q2513" s="15"/>
      <c r="R2513" s="16"/>
      <c r="S2513" s="16"/>
      <c r="T2513" s="16"/>
      <c r="U2513" s="16"/>
      <c r="V2513" s="37" t="str">
        <f>IFERROR(__xludf.DUMMYFUNCTION("if(not(iserror(index(split(C2513, "" ""),2))), index(split(C2513, "" ""),1),"""")"),"")</f>
        <v/>
      </c>
      <c r="W2513" s="315" t="str">
        <f>IFERROR(__xludf.DUMMYFUNCTION("if(V2513="""",C2513,if(not(iserror(index(split(C2513, "" ""),3))), index(split(C2513, "" ""),3),index(split(C2513, "" ""),2)))"),"")</f>
        <v/>
      </c>
      <c r="X2513" s="38" t="b">
        <f t="shared" si="2"/>
        <v>0</v>
      </c>
      <c r="Y2513" s="38"/>
      <c r="Z2513" s="40"/>
      <c r="AA2513" s="40"/>
      <c r="AB2513" s="38"/>
      <c r="AC2513" s="38"/>
      <c r="AD2513" s="38"/>
      <c r="AE2513" s="38"/>
      <c r="AF2513" s="38"/>
      <c r="AG2513" s="38"/>
      <c r="AH2513" s="38"/>
      <c r="AI2513" s="38"/>
      <c r="AJ2513" s="38"/>
      <c r="AK2513" s="38"/>
      <c r="AL2513" s="38"/>
      <c r="AM2513" s="38"/>
      <c r="AN2513" s="38"/>
      <c r="AO2513" s="38"/>
      <c r="AP2513" s="38"/>
      <c r="AQ2513" s="38"/>
      <c r="AR2513" s="38"/>
      <c r="AS2513" s="38"/>
      <c r="AT2513" s="38"/>
      <c r="AU2513" s="38"/>
      <c r="AV2513" s="38"/>
      <c r="AW2513" s="38"/>
      <c r="AX2513" s="38"/>
      <c r="AY2513" s="38"/>
      <c r="AZ2513" s="38"/>
      <c r="BA2513" s="38"/>
      <c r="BB2513" s="38"/>
      <c r="BC2513" s="38"/>
      <c r="BD2513" s="38"/>
      <c r="BE2513" s="38"/>
      <c r="BF2513" s="38"/>
      <c r="BG2513" s="38"/>
    </row>
    <row r="2514">
      <c r="A2514" s="16"/>
      <c r="B2514" s="16"/>
      <c r="C2514" s="146"/>
      <c r="D2514" s="146"/>
      <c r="E2514" s="16"/>
      <c r="F2514" s="91"/>
      <c r="G2514" s="16"/>
      <c r="H2514" s="320" t="str">
        <f t="shared" si="1"/>
        <v/>
      </c>
      <c r="I2514" s="16"/>
      <c r="J2514" s="16"/>
      <c r="K2514" s="16"/>
      <c r="L2514" s="38"/>
      <c r="M2514" s="16"/>
      <c r="N2514" s="16"/>
      <c r="O2514" s="16"/>
      <c r="P2514" s="15"/>
      <c r="Q2514" s="15"/>
      <c r="R2514" s="16"/>
      <c r="S2514" s="16"/>
      <c r="T2514" s="16"/>
      <c r="U2514" s="16"/>
      <c r="V2514" s="37" t="str">
        <f>IFERROR(__xludf.DUMMYFUNCTION("if(not(iserror(index(split(C2514, "" ""),2))), index(split(C2514, "" ""),1),"""")"),"")</f>
        <v/>
      </c>
      <c r="W2514" s="315" t="str">
        <f>IFERROR(__xludf.DUMMYFUNCTION("if(V2514="""",C2514,if(not(iserror(index(split(C2514, "" ""),3))), index(split(C2514, "" ""),3),index(split(C2514, "" ""),2)))"),"")</f>
        <v/>
      </c>
      <c r="X2514" s="38" t="b">
        <f t="shared" si="2"/>
        <v>0</v>
      </c>
      <c r="Y2514" s="38"/>
      <c r="Z2514" s="40"/>
      <c r="AA2514" s="40"/>
      <c r="AB2514" s="38"/>
      <c r="AC2514" s="38"/>
      <c r="AD2514" s="38"/>
      <c r="AE2514" s="38"/>
      <c r="AF2514" s="38"/>
      <c r="AG2514" s="38"/>
      <c r="AH2514" s="38"/>
      <c r="AI2514" s="38"/>
      <c r="AJ2514" s="38"/>
      <c r="AK2514" s="38"/>
      <c r="AL2514" s="38"/>
      <c r="AM2514" s="38"/>
      <c r="AN2514" s="38"/>
      <c r="AO2514" s="38"/>
      <c r="AP2514" s="38"/>
      <c r="AQ2514" s="38"/>
      <c r="AR2514" s="38"/>
      <c r="AS2514" s="38"/>
      <c r="AT2514" s="38"/>
      <c r="AU2514" s="38"/>
      <c r="AV2514" s="38"/>
      <c r="AW2514" s="38"/>
      <c r="AX2514" s="38"/>
      <c r="AY2514" s="38"/>
      <c r="AZ2514" s="38"/>
      <c r="BA2514" s="38"/>
      <c r="BB2514" s="38"/>
      <c r="BC2514" s="38"/>
      <c r="BD2514" s="38"/>
      <c r="BE2514" s="38"/>
      <c r="BF2514" s="38"/>
      <c r="BG2514" s="38"/>
    </row>
    <row r="2515">
      <c r="A2515" s="16"/>
      <c r="B2515" s="16"/>
      <c r="C2515" s="146"/>
      <c r="D2515" s="146"/>
      <c r="E2515" s="16"/>
      <c r="F2515" s="91"/>
      <c r="G2515" s="16"/>
      <c r="H2515" s="320" t="str">
        <f t="shared" si="1"/>
        <v/>
      </c>
      <c r="I2515" s="16"/>
      <c r="J2515" s="16"/>
      <c r="K2515" s="16"/>
      <c r="L2515" s="38"/>
      <c r="M2515" s="16"/>
      <c r="N2515" s="16"/>
      <c r="O2515" s="16"/>
      <c r="P2515" s="15"/>
      <c r="Q2515" s="15"/>
      <c r="R2515" s="16"/>
      <c r="S2515" s="16"/>
      <c r="T2515" s="16"/>
      <c r="U2515" s="16"/>
      <c r="V2515" s="37" t="str">
        <f>IFERROR(__xludf.DUMMYFUNCTION("if(not(iserror(index(split(C2515, "" ""),2))), index(split(C2515, "" ""),1),"""")"),"")</f>
        <v/>
      </c>
      <c r="W2515" s="315" t="str">
        <f>IFERROR(__xludf.DUMMYFUNCTION("if(V2515="""",C2515,if(not(iserror(index(split(C2515, "" ""),3))), index(split(C2515, "" ""),3),index(split(C2515, "" ""),2)))"),"")</f>
        <v/>
      </c>
      <c r="X2515" s="38" t="b">
        <f t="shared" si="2"/>
        <v>0</v>
      </c>
      <c r="Y2515" s="38"/>
      <c r="Z2515" s="40"/>
      <c r="AA2515" s="40"/>
      <c r="AB2515" s="38"/>
      <c r="AC2515" s="38"/>
      <c r="AD2515" s="38"/>
      <c r="AE2515" s="38"/>
      <c r="AF2515" s="38"/>
      <c r="AG2515" s="38"/>
      <c r="AH2515" s="38"/>
      <c r="AI2515" s="38"/>
      <c r="AJ2515" s="38"/>
      <c r="AK2515" s="38"/>
      <c r="AL2515" s="38"/>
      <c r="AM2515" s="38"/>
      <c r="AN2515" s="38"/>
      <c r="AO2515" s="38"/>
      <c r="AP2515" s="38"/>
      <c r="AQ2515" s="38"/>
      <c r="AR2515" s="38"/>
      <c r="AS2515" s="38"/>
      <c r="AT2515" s="38"/>
      <c r="AU2515" s="38"/>
      <c r="AV2515" s="38"/>
      <c r="AW2515" s="38"/>
      <c r="AX2515" s="38"/>
      <c r="AY2515" s="38"/>
      <c r="AZ2515" s="38"/>
      <c r="BA2515" s="38"/>
      <c r="BB2515" s="38"/>
      <c r="BC2515" s="38"/>
      <c r="BD2515" s="38"/>
      <c r="BE2515" s="38"/>
      <c r="BF2515" s="38"/>
      <c r="BG2515" s="38"/>
    </row>
    <row r="2516">
      <c r="A2516" s="16"/>
      <c r="B2516" s="16"/>
      <c r="C2516" s="146"/>
      <c r="D2516" s="146"/>
      <c r="E2516" s="16"/>
      <c r="F2516" s="91"/>
      <c r="G2516" s="16"/>
      <c r="H2516" s="320" t="str">
        <f t="shared" si="1"/>
        <v/>
      </c>
      <c r="I2516" s="16"/>
      <c r="J2516" s="16"/>
      <c r="K2516" s="16"/>
      <c r="L2516" s="38"/>
      <c r="M2516" s="16"/>
      <c r="N2516" s="16"/>
      <c r="O2516" s="16"/>
      <c r="P2516" s="15"/>
      <c r="Q2516" s="15"/>
      <c r="R2516" s="16"/>
      <c r="S2516" s="16"/>
      <c r="T2516" s="16"/>
      <c r="U2516" s="16"/>
      <c r="V2516" s="37" t="str">
        <f>IFERROR(__xludf.DUMMYFUNCTION("if(not(iserror(index(split(C2516, "" ""),2))), index(split(C2516, "" ""),1),"""")"),"")</f>
        <v/>
      </c>
      <c r="W2516" s="315" t="str">
        <f>IFERROR(__xludf.DUMMYFUNCTION("if(V2516="""",C2516,if(not(iserror(index(split(C2516, "" ""),3))), index(split(C2516, "" ""),3),index(split(C2516, "" ""),2)))"),"")</f>
        <v/>
      </c>
      <c r="X2516" s="38" t="b">
        <f t="shared" si="2"/>
        <v>0</v>
      </c>
      <c r="Y2516" s="38"/>
      <c r="Z2516" s="40"/>
      <c r="AA2516" s="40"/>
      <c r="AB2516" s="38"/>
      <c r="AC2516" s="38"/>
      <c r="AD2516" s="38"/>
      <c r="AE2516" s="38"/>
      <c r="AF2516" s="38"/>
      <c r="AG2516" s="38"/>
      <c r="AH2516" s="38"/>
      <c r="AI2516" s="38"/>
      <c r="AJ2516" s="38"/>
      <c r="AK2516" s="38"/>
      <c r="AL2516" s="38"/>
      <c r="AM2516" s="38"/>
      <c r="AN2516" s="38"/>
      <c r="AO2516" s="38"/>
      <c r="AP2516" s="38"/>
      <c r="AQ2516" s="38"/>
      <c r="AR2516" s="38"/>
      <c r="AS2516" s="38"/>
      <c r="AT2516" s="38"/>
      <c r="AU2516" s="38"/>
      <c r="AV2516" s="38"/>
      <c r="AW2516" s="38"/>
      <c r="AX2516" s="38"/>
      <c r="AY2516" s="38"/>
      <c r="AZ2516" s="38"/>
      <c r="BA2516" s="38"/>
      <c r="BB2516" s="38"/>
      <c r="BC2516" s="38"/>
      <c r="BD2516" s="38"/>
      <c r="BE2516" s="38"/>
      <c r="BF2516" s="38"/>
      <c r="BG2516" s="38"/>
    </row>
    <row r="2517">
      <c r="A2517" s="16"/>
      <c r="B2517" s="16"/>
      <c r="C2517" s="146"/>
      <c r="D2517" s="146"/>
      <c r="E2517" s="16"/>
      <c r="F2517" s="91"/>
      <c r="G2517" s="16"/>
      <c r="H2517" s="320" t="str">
        <f t="shared" si="1"/>
        <v/>
      </c>
      <c r="I2517" s="16"/>
      <c r="J2517" s="16"/>
      <c r="K2517" s="16"/>
      <c r="L2517" s="38"/>
      <c r="M2517" s="16"/>
      <c r="N2517" s="16"/>
      <c r="O2517" s="16"/>
      <c r="P2517" s="15"/>
      <c r="Q2517" s="15"/>
      <c r="R2517" s="16"/>
      <c r="S2517" s="16"/>
      <c r="T2517" s="16"/>
      <c r="U2517" s="16"/>
      <c r="V2517" s="37" t="str">
        <f>IFERROR(__xludf.DUMMYFUNCTION("if(not(iserror(index(split(C2517, "" ""),2))), index(split(C2517, "" ""),1),"""")"),"")</f>
        <v/>
      </c>
      <c r="W2517" s="315" t="str">
        <f>IFERROR(__xludf.DUMMYFUNCTION("if(V2517="""",C2517,if(not(iserror(index(split(C2517, "" ""),3))), index(split(C2517, "" ""),3),index(split(C2517, "" ""),2)))"),"")</f>
        <v/>
      </c>
      <c r="X2517" s="38" t="b">
        <f t="shared" si="2"/>
        <v>0</v>
      </c>
      <c r="Y2517" s="38"/>
      <c r="Z2517" s="40"/>
      <c r="AA2517" s="40"/>
      <c r="AB2517" s="38"/>
      <c r="AC2517" s="38"/>
      <c r="AD2517" s="38"/>
      <c r="AE2517" s="38"/>
      <c r="AF2517" s="38"/>
      <c r="AG2517" s="38"/>
      <c r="AH2517" s="38"/>
      <c r="AI2517" s="38"/>
      <c r="AJ2517" s="38"/>
      <c r="AK2517" s="38"/>
      <c r="AL2517" s="38"/>
      <c r="AM2517" s="38"/>
      <c r="AN2517" s="38"/>
      <c r="AO2517" s="38"/>
      <c r="AP2517" s="38"/>
      <c r="AQ2517" s="38"/>
      <c r="AR2517" s="38"/>
      <c r="AS2517" s="38"/>
      <c r="AT2517" s="38"/>
      <c r="AU2517" s="38"/>
      <c r="AV2517" s="38"/>
      <c r="AW2517" s="38"/>
      <c r="AX2517" s="38"/>
      <c r="AY2517" s="38"/>
      <c r="AZ2517" s="38"/>
      <c r="BA2517" s="38"/>
      <c r="BB2517" s="38"/>
      <c r="BC2517" s="38"/>
      <c r="BD2517" s="38"/>
      <c r="BE2517" s="38"/>
      <c r="BF2517" s="38"/>
      <c r="BG2517" s="38"/>
    </row>
    <row r="2518">
      <c r="A2518" s="16"/>
      <c r="B2518" s="16"/>
      <c r="C2518" s="146"/>
      <c r="D2518" s="146"/>
      <c r="E2518" s="16"/>
      <c r="F2518" s="91"/>
      <c r="G2518" s="16"/>
      <c r="H2518" s="320" t="str">
        <f t="shared" si="1"/>
        <v/>
      </c>
      <c r="I2518" s="16"/>
      <c r="J2518" s="16"/>
      <c r="K2518" s="16"/>
      <c r="L2518" s="38"/>
      <c r="M2518" s="16"/>
      <c r="N2518" s="16"/>
      <c r="O2518" s="16"/>
      <c r="P2518" s="15"/>
      <c r="Q2518" s="15"/>
      <c r="R2518" s="16"/>
      <c r="S2518" s="16"/>
      <c r="T2518" s="16"/>
      <c r="U2518" s="16"/>
      <c r="V2518" s="37" t="str">
        <f>IFERROR(__xludf.DUMMYFUNCTION("if(not(iserror(index(split(C2518, "" ""),2))), index(split(C2518, "" ""),1),"""")"),"")</f>
        <v/>
      </c>
      <c r="W2518" s="315" t="str">
        <f>IFERROR(__xludf.DUMMYFUNCTION("if(V2518="""",C2518,if(not(iserror(index(split(C2518, "" ""),3))), index(split(C2518, "" ""),3),index(split(C2518, "" ""),2)))"),"")</f>
        <v/>
      </c>
      <c r="X2518" s="38" t="b">
        <f t="shared" si="2"/>
        <v>0</v>
      </c>
      <c r="Y2518" s="38"/>
      <c r="Z2518" s="40"/>
      <c r="AA2518" s="40"/>
      <c r="AB2518" s="38"/>
      <c r="AC2518" s="38"/>
      <c r="AD2518" s="38"/>
      <c r="AE2518" s="38"/>
      <c r="AF2518" s="38"/>
      <c r="AG2518" s="38"/>
      <c r="AH2518" s="38"/>
      <c r="AI2518" s="38"/>
      <c r="AJ2518" s="38"/>
      <c r="AK2518" s="38"/>
      <c r="AL2518" s="38"/>
      <c r="AM2518" s="38"/>
      <c r="AN2518" s="38"/>
      <c r="AO2518" s="38"/>
      <c r="AP2518" s="38"/>
      <c r="AQ2518" s="38"/>
      <c r="AR2518" s="38"/>
      <c r="AS2518" s="38"/>
      <c r="AT2518" s="38"/>
      <c r="AU2518" s="38"/>
      <c r="AV2518" s="38"/>
      <c r="AW2518" s="38"/>
      <c r="AX2518" s="38"/>
      <c r="AY2518" s="38"/>
      <c r="AZ2518" s="38"/>
      <c r="BA2518" s="38"/>
      <c r="BB2518" s="38"/>
      <c r="BC2518" s="38"/>
      <c r="BD2518" s="38"/>
      <c r="BE2518" s="38"/>
      <c r="BF2518" s="38"/>
      <c r="BG2518" s="38"/>
    </row>
    <row r="2519">
      <c r="A2519" s="16"/>
      <c r="B2519" s="16"/>
      <c r="C2519" s="146"/>
      <c r="D2519" s="146"/>
      <c r="E2519" s="16"/>
      <c r="F2519" s="91"/>
      <c r="G2519" s="16"/>
      <c r="H2519" s="320" t="str">
        <f t="shared" si="1"/>
        <v/>
      </c>
      <c r="I2519" s="16"/>
      <c r="J2519" s="16"/>
      <c r="K2519" s="16"/>
      <c r="L2519" s="38"/>
      <c r="M2519" s="16"/>
      <c r="N2519" s="16"/>
      <c r="O2519" s="16"/>
      <c r="P2519" s="15"/>
      <c r="Q2519" s="15"/>
      <c r="R2519" s="16"/>
      <c r="S2519" s="16"/>
      <c r="T2519" s="16"/>
      <c r="U2519" s="16"/>
      <c r="V2519" s="37" t="str">
        <f>IFERROR(__xludf.DUMMYFUNCTION("if(not(iserror(index(split(C2519, "" ""),2))), index(split(C2519, "" ""),1),"""")"),"")</f>
        <v/>
      </c>
      <c r="W2519" s="315" t="str">
        <f>IFERROR(__xludf.DUMMYFUNCTION("if(V2519="""",C2519,if(not(iserror(index(split(C2519, "" ""),3))), index(split(C2519, "" ""),3),index(split(C2519, "" ""),2)))"),"")</f>
        <v/>
      </c>
      <c r="X2519" s="38" t="b">
        <f t="shared" si="2"/>
        <v>0</v>
      </c>
      <c r="Y2519" s="38"/>
      <c r="Z2519" s="40"/>
      <c r="AA2519" s="40"/>
      <c r="AB2519" s="38"/>
      <c r="AC2519" s="38"/>
      <c r="AD2519" s="38"/>
      <c r="AE2519" s="38"/>
      <c r="AF2519" s="38"/>
      <c r="AG2519" s="38"/>
      <c r="AH2519" s="38"/>
      <c r="AI2519" s="38"/>
      <c r="AJ2519" s="38"/>
      <c r="AK2519" s="38"/>
      <c r="AL2519" s="38"/>
      <c r="AM2519" s="38"/>
      <c r="AN2519" s="38"/>
      <c r="AO2519" s="38"/>
      <c r="AP2519" s="38"/>
      <c r="AQ2519" s="38"/>
      <c r="AR2519" s="38"/>
      <c r="AS2519" s="38"/>
      <c r="AT2519" s="38"/>
      <c r="AU2519" s="38"/>
      <c r="AV2519" s="38"/>
      <c r="AW2519" s="38"/>
      <c r="AX2519" s="38"/>
      <c r="AY2519" s="38"/>
      <c r="AZ2519" s="38"/>
      <c r="BA2519" s="38"/>
      <c r="BB2519" s="38"/>
      <c r="BC2519" s="38"/>
      <c r="BD2519" s="38"/>
      <c r="BE2519" s="38"/>
      <c r="BF2519" s="38"/>
      <c r="BG2519" s="38"/>
    </row>
    <row r="2520">
      <c r="A2520" s="16"/>
      <c r="B2520" s="16"/>
      <c r="C2520" s="146"/>
      <c r="D2520" s="146"/>
      <c r="E2520" s="16"/>
      <c r="F2520" s="91"/>
      <c r="G2520" s="16"/>
      <c r="H2520" s="320" t="str">
        <f t="shared" si="1"/>
        <v/>
      </c>
      <c r="I2520" s="16"/>
      <c r="J2520" s="16"/>
      <c r="K2520" s="16"/>
      <c r="L2520" s="38"/>
      <c r="M2520" s="16"/>
      <c r="N2520" s="16"/>
      <c r="O2520" s="16"/>
      <c r="P2520" s="15"/>
      <c r="Q2520" s="15"/>
      <c r="R2520" s="16"/>
      <c r="S2520" s="16"/>
      <c r="T2520" s="16"/>
      <c r="U2520" s="16"/>
      <c r="V2520" s="37" t="str">
        <f>IFERROR(__xludf.DUMMYFUNCTION("if(not(iserror(index(split(C2520, "" ""),2))), index(split(C2520, "" ""),1),"""")"),"")</f>
        <v/>
      </c>
      <c r="W2520" s="315" t="str">
        <f>IFERROR(__xludf.DUMMYFUNCTION("if(V2520="""",C2520,if(not(iserror(index(split(C2520, "" ""),3))), index(split(C2520, "" ""),3),index(split(C2520, "" ""),2)))"),"")</f>
        <v/>
      </c>
      <c r="X2520" s="38" t="b">
        <f t="shared" si="2"/>
        <v>0</v>
      </c>
      <c r="Y2520" s="38"/>
      <c r="Z2520" s="40"/>
      <c r="AA2520" s="40"/>
      <c r="AB2520" s="38"/>
      <c r="AC2520" s="38"/>
      <c r="AD2520" s="38"/>
      <c r="AE2520" s="38"/>
      <c r="AF2520" s="38"/>
      <c r="AG2520" s="38"/>
      <c r="AH2520" s="38"/>
      <c r="AI2520" s="38"/>
      <c r="AJ2520" s="38"/>
      <c r="AK2520" s="38"/>
      <c r="AL2520" s="38"/>
      <c r="AM2520" s="38"/>
      <c r="AN2520" s="38"/>
      <c r="AO2520" s="38"/>
      <c r="AP2520" s="38"/>
      <c r="AQ2520" s="38"/>
      <c r="AR2520" s="38"/>
      <c r="AS2520" s="38"/>
      <c r="AT2520" s="38"/>
      <c r="AU2520" s="38"/>
      <c r="AV2520" s="38"/>
      <c r="AW2520" s="38"/>
      <c r="AX2520" s="38"/>
      <c r="AY2520" s="38"/>
      <c r="AZ2520" s="38"/>
      <c r="BA2520" s="38"/>
      <c r="BB2520" s="38"/>
      <c r="BC2520" s="38"/>
      <c r="BD2520" s="38"/>
      <c r="BE2520" s="38"/>
      <c r="BF2520" s="38"/>
      <c r="BG2520" s="38"/>
    </row>
    <row r="2521">
      <c r="A2521" s="16"/>
      <c r="B2521" s="16"/>
      <c r="C2521" s="146"/>
      <c r="D2521" s="146"/>
      <c r="E2521" s="16"/>
      <c r="F2521" s="91"/>
      <c r="G2521" s="16"/>
      <c r="H2521" s="320" t="str">
        <f t="shared" si="1"/>
        <v/>
      </c>
      <c r="I2521" s="16"/>
      <c r="J2521" s="16"/>
      <c r="K2521" s="16"/>
      <c r="L2521" s="38"/>
      <c r="M2521" s="16"/>
      <c r="N2521" s="16"/>
      <c r="O2521" s="16"/>
      <c r="P2521" s="15"/>
      <c r="Q2521" s="15"/>
      <c r="R2521" s="16"/>
      <c r="S2521" s="16"/>
      <c r="T2521" s="16"/>
      <c r="U2521" s="16"/>
      <c r="V2521" s="37" t="str">
        <f>IFERROR(__xludf.DUMMYFUNCTION("if(not(iserror(index(split(C2521, "" ""),2))), index(split(C2521, "" ""),1),"""")"),"")</f>
        <v/>
      </c>
      <c r="W2521" s="315" t="str">
        <f>IFERROR(__xludf.DUMMYFUNCTION("if(V2521="""",C2521,if(not(iserror(index(split(C2521, "" ""),3))), index(split(C2521, "" ""),3),index(split(C2521, "" ""),2)))"),"")</f>
        <v/>
      </c>
      <c r="X2521" s="38" t="b">
        <f t="shared" si="2"/>
        <v>0</v>
      </c>
      <c r="Y2521" s="38"/>
      <c r="Z2521" s="40"/>
      <c r="AA2521" s="40"/>
      <c r="AB2521" s="38"/>
      <c r="AC2521" s="38"/>
      <c r="AD2521" s="38"/>
      <c r="AE2521" s="38"/>
      <c r="AF2521" s="38"/>
      <c r="AG2521" s="38"/>
      <c r="AH2521" s="38"/>
      <c r="AI2521" s="38"/>
      <c r="AJ2521" s="38"/>
      <c r="AK2521" s="38"/>
      <c r="AL2521" s="38"/>
      <c r="AM2521" s="38"/>
      <c r="AN2521" s="38"/>
      <c r="AO2521" s="38"/>
      <c r="AP2521" s="38"/>
      <c r="AQ2521" s="38"/>
      <c r="AR2521" s="38"/>
      <c r="AS2521" s="38"/>
      <c r="AT2521" s="38"/>
      <c r="AU2521" s="38"/>
      <c r="AV2521" s="38"/>
      <c r="AW2521" s="38"/>
      <c r="AX2521" s="38"/>
      <c r="AY2521" s="38"/>
      <c r="AZ2521" s="38"/>
      <c r="BA2521" s="38"/>
      <c r="BB2521" s="38"/>
      <c r="BC2521" s="38"/>
      <c r="BD2521" s="38"/>
      <c r="BE2521" s="38"/>
      <c r="BF2521" s="38"/>
      <c r="BG2521" s="38"/>
    </row>
    <row r="2522">
      <c r="A2522" s="16"/>
      <c r="B2522" s="16"/>
      <c r="C2522" s="146"/>
      <c r="D2522" s="146"/>
      <c r="E2522" s="16"/>
      <c r="F2522" s="91"/>
      <c r="G2522" s="16"/>
      <c r="H2522" s="320" t="str">
        <f t="shared" si="1"/>
        <v/>
      </c>
      <c r="I2522" s="16"/>
      <c r="J2522" s="16"/>
      <c r="K2522" s="16"/>
      <c r="L2522" s="38"/>
      <c r="M2522" s="16"/>
      <c r="N2522" s="16"/>
      <c r="O2522" s="16"/>
      <c r="P2522" s="15"/>
      <c r="Q2522" s="15"/>
      <c r="R2522" s="16"/>
      <c r="S2522" s="16"/>
      <c r="T2522" s="16"/>
      <c r="U2522" s="16"/>
      <c r="V2522" s="37" t="str">
        <f>IFERROR(__xludf.DUMMYFUNCTION("if(not(iserror(index(split(C2522, "" ""),2))), index(split(C2522, "" ""),1),"""")"),"")</f>
        <v/>
      </c>
      <c r="W2522" s="315" t="str">
        <f>IFERROR(__xludf.DUMMYFUNCTION("if(V2522="""",C2522,if(not(iserror(index(split(C2522, "" ""),3))), index(split(C2522, "" ""),3),index(split(C2522, "" ""),2)))"),"")</f>
        <v/>
      </c>
      <c r="X2522" s="38" t="b">
        <f t="shared" si="2"/>
        <v>0</v>
      </c>
      <c r="Y2522" s="38"/>
      <c r="Z2522" s="40"/>
      <c r="AA2522" s="40"/>
      <c r="AB2522" s="38"/>
      <c r="AC2522" s="38"/>
      <c r="AD2522" s="38"/>
      <c r="AE2522" s="38"/>
      <c r="AF2522" s="38"/>
      <c r="AG2522" s="38"/>
      <c r="AH2522" s="38"/>
      <c r="AI2522" s="38"/>
      <c r="AJ2522" s="38"/>
      <c r="AK2522" s="38"/>
      <c r="AL2522" s="38"/>
      <c r="AM2522" s="38"/>
      <c r="AN2522" s="38"/>
      <c r="AO2522" s="38"/>
      <c r="AP2522" s="38"/>
      <c r="AQ2522" s="38"/>
      <c r="AR2522" s="38"/>
      <c r="AS2522" s="38"/>
      <c r="AT2522" s="38"/>
      <c r="AU2522" s="38"/>
      <c r="AV2522" s="38"/>
      <c r="AW2522" s="38"/>
      <c r="AX2522" s="38"/>
      <c r="AY2522" s="38"/>
      <c r="AZ2522" s="38"/>
      <c r="BA2522" s="38"/>
      <c r="BB2522" s="38"/>
      <c r="BC2522" s="38"/>
      <c r="BD2522" s="38"/>
      <c r="BE2522" s="38"/>
      <c r="BF2522" s="38"/>
      <c r="BG2522" s="38"/>
    </row>
    <row r="2523">
      <c r="A2523" s="16"/>
      <c r="B2523" s="16"/>
      <c r="C2523" s="146"/>
      <c r="D2523" s="146"/>
      <c r="E2523" s="16"/>
      <c r="F2523" s="91"/>
      <c r="G2523" s="16"/>
      <c r="H2523" s="320" t="str">
        <f t="shared" si="1"/>
        <v/>
      </c>
      <c r="I2523" s="16"/>
      <c r="J2523" s="16"/>
      <c r="K2523" s="16"/>
      <c r="L2523" s="38"/>
      <c r="M2523" s="16"/>
      <c r="N2523" s="16"/>
      <c r="O2523" s="16"/>
      <c r="P2523" s="15"/>
      <c r="Q2523" s="15"/>
      <c r="R2523" s="16"/>
      <c r="S2523" s="16"/>
      <c r="T2523" s="16"/>
      <c r="U2523" s="16"/>
      <c r="V2523" s="37" t="str">
        <f>IFERROR(__xludf.DUMMYFUNCTION("if(not(iserror(index(split(C2523, "" ""),2))), index(split(C2523, "" ""),1),"""")"),"")</f>
        <v/>
      </c>
      <c r="W2523" s="315" t="str">
        <f>IFERROR(__xludf.DUMMYFUNCTION("if(V2523="""",C2523,if(not(iserror(index(split(C2523, "" ""),3))), index(split(C2523, "" ""),3),index(split(C2523, "" ""),2)))"),"")</f>
        <v/>
      </c>
      <c r="X2523" s="38" t="b">
        <f t="shared" si="2"/>
        <v>0</v>
      </c>
      <c r="Y2523" s="38"/>
      <c r="Z2523" s="40"/>
      <c r="AA2523" s="40"/>
      <c r="AB2523" s="38"/>
      <c r="AC2523" s="38"/>
      <c r="AD2523" s="38"/>
      <c r="AE2523" s="38"/>
      <c r="AF2523" s="38"/>
      <c r="AG2523" s="38"/>
      <c r="AH2523" s="38"/>
      <c r="AI2523" s="38"/>
      <c r="AJ2523" s="38"/>
      <c r="AK2523" s="38"/>
      <c r="AL2523" s="38"/>
      <c r="AM2523" s="38"/>
      <c r="AN2523" s="38"/>
      <c r="AO2523" s="38"/>
      <c r="AP2523" s="38"/>
      <c r="AQ2523" s="38"/>
      <c r="AR2523" s="38"/>
      <c r="AS2523" s="38"/>
      <c r="AT2523" s="38"/>
      <c r="AU2523" s="38"/>
      <c r="AV2523" s="38"/>
      <c r="AW2523" s="38"/>
      <c r="AX2523" s="38"/>
      <c r="AY2523" s="38"/>
      <c r="AZ2523" s="38"/>
      <c r="BA2523" s="38"/>
      <c r="BB2523" s="38"/>
      <c r="BC2523" s="38"/>
      <c r="BD2523" s="38"/>
      <c r="BE2523" s="38"/>
      <c r="BF2523" s="38"/>
      <c r="BG2523" s="38"/>
    </row>
    <row r="2524">
      <c r="A2524" s="16"/>
      <c r="B2524" s="16"/>
      <c r="C2524" s="146"/>
      <c r="D2524" s="146"/>
      <c r="E2524" s="16"/>
      <c r="F2524" s="91"/>
      <c r="G2524" s="16"/>
      <c r="H2524" s="320" t="str">
        <f t="shared" si="1"/>
        <v/>
      </c>
      <c r="I2524" s="16"/>
      <c r="J2524" s="16"/>
      <c r="K2524" s="16"/>
      <c r="L2524" s="38"/>
      <c r="M2524" s="16"/>
      <c r="N2524" s="16"/>
      <c r="O2524" s="16"/>
      <c r="P2524" s="15"/>
      <c r="Q2524" s="15"/>
      <c r="R2524" s="16"/>
      <c r="S2524" s="16"/>
      <c r="T2524" s="16"/>
      <c r="U2524" s="16"/>
      <c r="V2524" s="37" t="str">
        <f>IFERROR(__xludf.DUMMYFUNCTION("if(not(iserror(index(split(C2524, "" ""),2))), index(split(C2524, "" ""),1),"""")"),"")</f>
        <v/>
      </c>
      <c r="W2524" s="315" t="str">
        <f>IFERROR(__xludf.DUMMYFUNCTION("if(V2524="""",C2524,if(not(iserror(index(split(C2524, "" ""),3))), index(split(C2524, "" ""),3),index(split(C2524, "" ""),2)))"),"")</f>
        <v/>
      </c>
      <c r="X2524" s="38" t="b">
        <f t="shared" si="2"/>
        <v>0</v>
      </c>
      <c r="Y2524" s="38"/>
      <c r="Z2524" s="40"/>
      <c r="AA2524" s="40"/>
      <c r="AB2524" s="38"/>
      <c r="AC2524" s="38"/>
      <c r="AD2524" s="38"/>
      <c r="AE2524" s="38"/>
      <c r="AF2524" s="38"/>
      <c r="AG2524" s="38"/>
      <c r="AH2524" s="38"/>
      <c r="AI2524" s="38"/>
      <c r="AJ2524" s="38"/>
      <c r="AK2524" s="38"/>
      <c r="AL2524" s="38"/>
      <c r="AM2524" s="38"/>
      <c r="AN2524" s="38"/>
      <c r="AO2524" s="38"/>
      <c r="AP2524" s="38"/>
      <c r="AQ2524" s="38"/>
      <c r="AR2524" s="38"/>
      <c r="AS2524" s="38"/>
      <c r="AT2524" s="38"/>
      <c r="AU2524" s="38"/>
      <c r="AV2524" s="38"/>
      <c r="AW2524" s="38"/>
      <c r="AX2524" s="38"/>
      <c r="AY2524" s="38"/>
      <c r="AZ2524" s="38"/>
      <c r="BA2524" s="38"/>
      <c r="BB2524" s="38"/>
      <c r="BC2524" s="38"/>
      <c r="BD2524" s="38"/>
      <c r="BE2524" s="38"/>
      <c r="BF2524" s="38"/>
      <c r="BG2524" s="38"/>
    </row>
    <row r="2525">
      <c r="A2525" s="16"/>
      <c r="B2525" s="16"/>
      <c r="C2525" s="146"/>
      <c r="D2525" s="146"/>
      <c r="E2525" s="16"/>
      <c r="F2525" s="91"/>
      <c r="G2525" s="16"/>
      <c r="H2525" s="320" t="str">
        <f t="shared" si="1"/>
        <v/>
      </c>
      <c r="I2525" s="16"/>
      <c r="J2525" s="16"/>
      <c r="K2525" s="16"/>
      <c r="L2525" s="38"/>
      <c r="M2525" s="16"/>
      <c r="N2525" s="16"/>
      <c r="O2525" s="16"/>
      <c r="P2525" s="15"/>
      <c r="Q2525" s="15"/>
      <c r="R2525" s="16"/>
      <c r="S2525" s="16"/>
      <c r="T2525" s="16"/>
      <c r="U2525" s="16"/>
      <c r="V2525" s="37" t="str">
        <f>IFERROR(__xludf.DUMMYFUNCTION("if(not(iserror(index(split(C2525, "" ""),2))), index(split(C2525, "" ""),1),"""")"),"")</f>
        <v/>
      </c>
      <c r="W2525" s="315" t="str">
        <f>IFERROR(__xludf.DUMMYFUNCTION("if(V2525="""",C2525,if(not(iserror(index(split(C2525, "" ""),3))), index(split(C2525, "" ""),3),index(split(C2525, "" ""),2)))"),"")</f>
        <v/>
      </c>
      <c r="X2525" s="38" t="b">
        <f t="shared" si="2"/>
        <v>0</v>
      </c>
      <c r="Y2525" s="38"/>
      <c r="Z2525" s="40"/>
      <c r="AA2525" s="40"/>
      <c r="AB2525" s="38"/>
      <c r="AC2525" s="38"/>
      <c r="AD2525" s="38"/>
      <c r="AE2525" s="38"/>
      <c r="AF2525" s="38"/>
      <c r="AG2525" s="38"/>
      <c r="AH2525" s="38"/>
      <c r="AI2525" s="38"/>
      <c r="AJ2525" s="38"/>
      <c r="AK2525" s="38"/>
      <c r="AL2525" s="38"/>
      <c r="AM2525" s="38"/>
      <c r="AN2525" s="38"/>
      <c r="AO2525" s="38"/>
      <c r="AP2525" s="38"/>
      <c r="AQ2525" s="38"/>
      <c r="AR2525" s="38"/>
      <c r="AS2525" s="38"/>
      <c r="AT2525" s="38"/>
      <c r="AU2525" s="38"/>
      <c r="AV2525" s="38"/>
      <c r="AW2525" s="38"/>
      <c r="AX2525" s="38"/>
      <c r="AY2525" s="38"/>
      <c r="AZ2525" s="38"/>
      <c r="BA2525" s="38"/>
      <c r="BB2525" s="38"/>
      <c r="BC2525" s="38"/>
      <c r="BD2525" s="38"/>
      <c r="BE2525" s="38"/>
      <c r="BF2525" s="38"/>
      <c r="BG2525" s="38"/>
    </row>
    <row r="2526">
      <c r="A2526" s="16"/>
      <c r="B2526" s="16"/>
      <c r="C2526" s="146"/>
      <c r="D2526" s="146"/>
      <c r="E2526" s="16"/>
      <c r="F2526" s="91"/>
      <c r="G2526" s="16"/>
      <c r="H2526" s="320" t="str">
        <f t="shared" si="1"/>
        <v/>
      </c>
      <c r="I2526" s="16"/>
      <c r="J2526" s="16"/>
      <c r="K2526" s="16"/>
      <c r="L2526" s="38"/>
      <c r="M2526" s="16"/>
      <c r="N2526" s="16"/>
      <c r="O2526" s="16"/>
      <c r="P2526" s="15"/>
      <c r="Q2526" s="15"/>
      <c r="R2526" s="16"/>
      <c r="S2526" s="16"/>
      <c r="T2526" s="16"/>
      <c r="U2526" s="16"/>
      <c r="V2526" s="37" t="str">
        <f>IFERROR(__xludf.DUMMYFUNCTION("if(not(iserror(index(split(C2526, "" ""),2))), index(split(C2526, "" ""),1),"""")"),"")</f>
        <v/>
      </c>
      <c r="W2526" s="315" t="str">
        <f>IFERROR(__xludf.DUMMYFUNCTION("if(V2526="""",C2526,if(not(iserror(index(split(C2526, "" ""),3))), index(split(C2526, "" ""),3),index(split(C2526, "" ""),2)))"),"")</f>
        <v/>
      </c>
      <c r="X2526" s="38" t="b">
        <f t="shared" si="2"/>
        <v>0</v>
      </c>
      <c r="Y2526" s="38"/>
      <c r="Z2526" s="40"/>
      <c r="AA2526" s="40"/>
      <c r="AB2526" s="38"/>
      <c r="AC2526" s="38"/>
      <c r="AD2526" s="38"/>
      <c r="AE2526" s="38"/>
      <c r="AF2526" s="38"/>
      <c r="AG2526" s="38"/>
      <c r="AH2526" s="38"/>
      <c r="AI2526" s="38"/>
      <c r="AJ2526" s="38"/>
      <c r="AK2526" s="38"/>
      <c r="AL2526" s="38"/>
      <c r="AM2526" s="38"/>
      <c r="AN2526" s="38"/>
      <c r="AO2526" s="38"/>
      <c r="AP2526" s="38"/>
      <c r="AQ2526" s="38"/>
      <c r="AR2526" s="38"/>
      <c r="AS2526" s="38"/>
      <c r="AT2526" s="38"/>
      <c r="AU2526" s="38"/>
      <c r="AV2526" s="38"/>
      <c r="AW2526" s="38"/>
      <c r="AX2526" s="38"/>
      <c r="AY2526" s="38"/>
      <c r="AZ2526" s="38"/>
      <c r="BA2526" s="38"/>
      <c r="BB2526" s="38"/>
      <c r="BC2526" s="38"/>
      <c r="BD2526" s="38"/>
      <c r="BE2526" s="38"/>
      <c r="BF2526" s="38"/>
      <c r="BG2526" s="38"/>
    </row>
    <row r="2527">
      <c r="A2527" s="16"/>
      <c r="B2527" s="16"/>
      <c r="C2527" s="146"/>
      <c r="D2527" s="146"/>
      <c r="E2527" s="16"/>
      <c r="F2527" s="91"/>
      <c r="G2527" s="16"/>
      <c r="H2527" s="320" t="str">
        <f t="shared" si="1"/>
        <v/>
      </c>
      <c r="I2527" s="16"/>
      <c r="J2527" s="16"/>
      <c r="K2527" s="16"/>
      <c r="L2527" s="38"/>
      <c r="M2527" s="16"/>
      <c r="N2527" s="16"/>
      <c r="O2527" s="16"/>
      <c r="P2527" s="15"/>
      <c r="Q2527" s="15"/>
      <c r="R2527" s="16"/>
      <c r="S2527" s="16"/>
      <c r="T2527" s="16"/>
      <c r="U2527" s="16"/>
      <c r="V2527" s="37" t="str">
        <f>IFERROR(__xludf.DUMMYFUNCTION("if(not(iserror(index(split(C2527, "" ""),2))), index(split(C2527, "" ""),1),"""")"),"")</f>
        <v/>
      </c>
      <c r="W2527" s="315" t="str">
        <f>IFERROR(__xludf.DUMMYFUNCTION("if(V2527="""",C2527,if(not(iserror(index(split(C2527, "" ""),3))), index(split(C2527, "" ""),3),index(split(C2527, "" ""),2)))"),"")</f>
        <v/>
      </c>
      <c r="X2527" s="38" t="b">
        <f t="shared" si="2"/>
        <v>0</v>
      </c>
      <c r="Y2527" s="38"/>
      <c r="Z2527" s="40"/>
      <c r="AA2527" s="40"/>
      <c r="AB2527" s="38"/>
      <c r="AC2527" s="38"/>
      <c r="AD2527" s="38"/>
      <c r="AE2527" s="38"/>
      <c r="AF2527" s="38"/>
      <c r="AG2527" s="38"/>
      <c r="AH2527" s="38"/>
      <c r="AI2527" s="38"/>
      <c r="AJ2527" s="38"/>
      <c r="AK2527" s="38"/>
      <c r="AL2527" s="38"/>
      <c r="AM2527" s="38"/>
      <c r="AN2527" s="38"/>
      <c r="AO2527" s="38"/>
      <c r="AP2527" s="38"/>
      <c r="AQ2527" s="38"/>
      <c r="AR2527" s="38"/>
      <c r="AS2527" s="38"/>
      <c r="AT2527" s="38"/>
      <c r="AU2527" s="38"/>
      <c r="AV2527" s="38"/>
      <c r="AW2527" s="38"/>
      <c r="AX2527" s="38"/>
      <c r="AY2527" s="38"/>
      <c r="AZ2527" s="38"/>
      <c r="BA2527" s="38"/>
      <c r="BB2527" s="38"/>
      <c r="BC2527" s="38"/>
      <c r="BD2527" s="38"/>
      <c r="BE2527" s="38"/>
      <c r="BF2527" s="38"/>
      <c r="BG2527" s="38"/>
    </row>
    <row r="2528">
      <c r="A2528" s="16"/>
      <c r="B2528" s="16"/>
      <c r="C2528" s="146"/>
      <c r="D2528" s="146"/>
      <c r="E2528" s="16"/>
      <c r="F2528" s="91"/>
      <c r="G2528" s="16"/>
      <c r="H2528" s="320" t="str">
        <f t="shared" si="1"/>
        <v/>
      </c>
      <c r="I2528" s="16"/>
      <c r="J2528" s="16"/>
      <c r="K2528" s="16"/>
      <c r="L2528" s="38"/>
      <c r="M2528" s="16"/>
      <c r="N2528" s="16"/>
      <c r="O2528" s="16"/>
      <c r="P2528" s="15"/>
      <c r="Q2528" s="15"/>
      <c r="R2528" s="16"/>
      <c r="S2528" s="16"/>
      <c r="T2528" s="16"/>
      <c r="U2528" s="16"/>
      <c r="V2528" s="37" t="str">
        <f>IFERROR(__xludf.DUMMYFUNCTION("if(not(iserror(index(split(C2528, "" ""),2))), index(split(C2528, "" ""),1),"""")"),"")</f>
        <v/>
      </c>
      <c r="W2528" s="315" t="str">
        <f>IFERROR(__xludf.DUMMYFUNCTION("if(V2528="""",C2528,if(not(iserror(index(split(C2528, "" ""),3))), index(split(C2528, "" ""),3),index(split(C2528, "" ""),2)))"),"")</f>
        <v/>
      </c>
      <c r="X2528" s="38" t="b">
        <f t="shared" si="2"/>
        <v>0</v>
      </c>
      <c r="Y2528" s="38"/>
      <c r="Z2528" s="40"/>
      <c r="AA2528" s="40"/>
      <c r="AB2528" s="38"/>
      <c r="AC2528" s="38"/>
      <c r="AD2528" s="38"/>
      <c r="AE2528" s="38"/>
      <c r="AF2528" s="38"/>
      <c r="AG2528" s="38"/>
      <c r="AH2528" s="38"/>
      <c r="AI2528" s="38"/>
      <c r="AJ2528" s="38"/>
      <c r="AK2528" s="38"/>
      <c r="AL2528" s="38"/>
      <c r="AM2528" s="38"/>
      <c r="AN2528" s="38"/>
      <c r="AO2528" s="38"/>
      <c r="AP2528" s="38"/>
      <c r="AQ2528" s="38"/>
      <c r="AR2528" s="38"/>
      <c r="AS2528" s="38"/>
      <c r="AT2528" s="38"/>
      <c r="AU2528" s="38"/>
      <c r="AV2528" s="38"/>
      <c r="AW2528" s="38"/>
      <c r="AX2528" s="38"/>
      <c r="AY2528" s="38"/>
      <c r="AZ2528" s="38"/>
      <c r="BA2528" s="38"/>
      <c r="BB2528" s="38"/>
      <c r="BC2528" s="38"/>
      <c r="BD2528" s="38"/>
      <c r="BE2528" s="38"/>
      <c r="BF2528" s="38"/>
      <c r="BG2528" s="38"/>
    </row>
    <row r="2529">
      <c r="A2529" s="16"/>
      <c r="B2529" s="16"/>
      <c r="C2529" s="146"/>
      <c r="D2529" s="146"/>
      <c r="E2529" s="16"/>
      <c r="F2529" s="91"/>
      <c r="G2529" s="16"/>
      <c r="H2529" s="320" t="str">
        <f t="shared" si="1"/>
        <v/>
      </c>
      <c r="I2529" s="16"/>
      <c r="J2529" s="16"/>
      <c r="K2529" s="16"/>
      <c r="L2529" s="38"/>
      <c r="M2529" s="16"/>
      <c r="N2529" s="16"/>
      <c r="O2529" s="16"/>
      <c r="P2529" s="15"/>
      <c r="Q2529" s="15"/>
      <c r="R2529" s="16"/>
      <c r="S2529" s="16"/>
      <c r="T2529" s="16"/>
      <c r="U2529" s="16"/>
      <c r="V2529" s="37" t="str">
        <f>IFERROR(__xludf.DUMMYFUNCTION("if(not(iserror(index(split(C2529, "" ""),2))), index(split(C2529, "" ""),1),"""")"),"")</f>
        <v/>
      </c>
      <c r="W2529" s="315" t="str">
        <f>IFERROR(__xludf.DUMMYFUNCTION("if(V2529="""",C2529,if(not(iserror(index(split(C2529, "" ""),3))), index(split(C2529, "" ""),3),index(split(C2529, "" ""),2)))"),"")</f>
        <v/>
      </c>
      <c r="X2529" s="38" t="b">
        <f t="shared" si="2"/>
        <v>0</v>
      </c>
      <c r="Y2529" s="38"/>
      <c r="Z2529" s="40"/>
      <c r="AA2529" s="40"/>
      <c r="AB2529" s="38"/>
      <c r="AC2529" s="38"/>
      <c r="AD2529" s="38"/>
      <c r="AE2529" s="38"/>
      <c r="AF2529" s="38"/>
      <c r="AG2529" s="38"/>
      <c r="AH2529" s="38"/>
      <c r="AI2529" s="38"/>
      <c r="AJ2529" s="38"/>
      <c r="AK2529" s="38"/>
      <c r="AL2529" s="38"/>
      <c r="AM2529" s="38"/>
      <c r="AN2529" s="38"/>
      <c r="AO2529" s="38"/>
      <c r="AP2529" s="38"/>
      <c r="AQ2529" s="38"/>
      <c r="AR2529" s="38"/>
      <c r="AS2529" s="38"/>
      <c r="AT2529" s="38"/>
      <c r="AU2529" s="38"/>
      <c r="AV2529" s="38"/>
      <c r="AW2529" s="38"/>
      <c r="AX2529" s="38"/>
      <c r="AY2529" s="38"/>
      <c r="AZ2529" s="38"/>
      <c r="BA2529" s="38"/>
      <c r="BB2529" s="38"/>
      <c r="BC2529" s="38"/>
      <c r="BD2529" s="38"/>
      <c r="BE2529" s="38"/>
      <c r="BF2529" s="38"/>
      <c r="BG2529" s="38"/>
    </row>
    <row r="2530">
      <c r="A2530" s="16"/>
      <c r="B2530" s="16"/>
      <c r="C2530" s="146"/>
      <c r="D2530" s="146"/>
      <c r="E2530" s="16"/>
      <c r="F2530" s="91"/>
      <c r="G2530" s="16"/>
      <c r="H2530" s="320" t="str">
        <f t="shared" si="1"/>
        <v/>
      </c>
      <c r="I2530" s="16"/>
      <c r="J2530" s="16"/>
      <c r="K2530" s="16"/>
      <c r="L2530" s="38"/>
      <c r="M2530" s="16"/>
      <c r="N2530" s="16"/>
      <c r="O2530" s="16"/>
      <c r="P2530" s="15"/>
      <c r="Q2530" s="15"/>
      <c r="R2530" s="16"/>
      <c r="S2530" s="16"/>
      <c r="T2530" s="16"/>
      <c r="U2530" s="16"/>
      <c r="V2530" s="37" t="str">
        <f>IFERROR(__xludf.DUMMYFUNCTION("if(not(iserror(index(split(C2530, "" ""),2))), index(split(C2530, "" ""),1),"""")"),"")</f>
        <v/>
      </c>
      <c r="W2530" s="315" t="str">
        <f>IFERROR(__xludf.DUMMYFUNCTION("if(V2530="""",C2530,if(not(iserror(index(split(C2530, "" ""),3))), index(split(C2530, "" ""),3),index(split(C2530, "" ""),2)))"),"")</f>
        <v/>
      </c>
      <c r="X2530" s="38" t="b">
        <f t="shared" si="2"/>
        <v>0</v>
      </c>
      <c r="Y2530" s="38"/>
      <c r="Z2530" s="40"/>
      <c r="AA2530" s="40"/>
      <c r="AB2530" s="38"/>
      <c r="AC2530" s="38"/>
      <c r="AD2530" s="38"/>
      <c r="AE2530" s="38"/>
      <c r="AF2530" s="38"/>
      <c r="AG2530" s="38"/>
      <c r="AH2530" s="38"/>
      <c r="AI2530" s="38"/>
      <c r="AJ2530" s="38"/>
      <c r="AK2530" s="38"/>
      <c r="AL2530" s="38"/>
      <c r="AM2530" s="38"/>
      <c r="AN2530" s="38"/>
      <c r="AO2530" s="38"/>
      <c r="AP2530" s="38"/>
      <c r="AQ2530" s="38"/>
      <c r="AR2530" s="38"/>
      <c r="AS2530" s="38"/>
      <c r="AT2530" s="38"/>
      <c r="AU2530" s="38"/>
      <c r="AV2530" s="38"/>
      <c r="AW2530" s="38"/>
      <c r="AX2530" s="38"/>
      <c r="AY2530" s="38"/>
      <c r="AZ2530" s="38"/>
      <c r="BA2530" s="38"/>
      <c r="BB2530" s="38"/>
      <c r="BC2530" s="38"/>
      <c r="BD2530" s="38"/>
      <c r="BE2530" s="38"/>
      <c r="BF2530" s="38"/>
      <c r="BG2530" s="38"/>
    </row>
    <row r="2531">
      <c r="A2531" s="16"/>
      <c r="B2531" s="16"/>
      <c r="C2531" s="146"/>
      <c r="D2531" s="146"/>
      <c r="E2531" s="16"/>
      <c r="F2531" s="91"/>
      <c r="G2531" s="16"/>
      <c r="H2531" s="320" t="str">
        <f t="shared" si="1"/>
        <v/>
      </c>
      <c r="I2531" s="16"/>
      <c r="J2531" s="16"/>
      <c r="K2531" s="16"/>
      <c r="L2531" s="38"/>
      <c r="M2531" s="16"/>
      <c r="N2531" s="16"/>
      <c r="O2531" s="16"/>
      <c r="P2531" s="15"/>
      <c r="Q2531" s="15"/>
      <c r="R2531" s="16"/>
      <c r="S2531" s="16"/>
      <c r="T2531" s="16"/>
      <c r="U2531" s="16"/>
      <c r="V2531" s="37" t="str">
        <f>IFERROR(__xludf.DUMMYFUNCTION("if(not(iserror(index(split(C2531, "" ""),2))), index(split(C2531, "" ""),1),"""")"),"")</f>
        <v/>
      </c>
      <c r="W2531" s="315" t="str">
        <f>IFERROR(__xludf.DUMMYFUNCTION("if(V2531="""",C2531,if(not(iserror(index(split(C2531, "" ""),3))), index(split(C2531, "" ""),3),index(split(C2531, "" ""),2)))"),"")</f>
        <v/>
      </c>
      <c r="X2531" s="38" t="b">
        <f t="shared" si="2"/>
        <v>0</v>
      </c>
      <c r="Y2531" s="38"/>
      <c r="Z2531" s="40"/>
      <c r="AA2531" s="40"/>
      <c r="AB2531" s="38"/>
      <c r="AC2531" s="38"/>
      <c r="AD2531" s="38"/>
      <c r="AE2531" s="38"/>
      <c r="AF2531" s="38"/>
      <c r="AG2531" s="38"/>
      <c r="AH2531" s="38"/>
      <c r="AI2531" s="38"/>
      <c r="AJ2531" s="38"/>
      <c r="AK2531" s="38"/>
      <c r="AL2531" s="38"/>
      <c r="AM2531" s="38"/>
      <c r="AN2531" s="38"/>
      <c r="AO2531" s="38"/>
      <c r="AP2531" s="38"/>
      <c r="AQ2531" s="38"/>
      <c r="AR2531" s="38"/>
      <c r="AS2531" s="38"/>
      <c r="AT2531" s="38"/>
      <c r="AU2531" s="38"/>
      <c r="AV2531" s="38"/>
      <c r="AW2531" s="38"/>
      <c r="AX2531" s="38"/>
      <c r="AY2531" s="38"/>
      <c r="AZ2531" s="38"/>
      <c r="BA2531" s="38"/>
      <c r="BB2531" s="38"/>
      <c r="BC2531" s="38"/>
      <c r="BD2531" s="38"/>
      <c r="BE2531" s="38"/>
      <c r="BF2531" s="38"/>
      <c r="BG2531" s="38"/>
    </row>
    <row r="2532">
      <c r="A2532" s="16"/>
      <c r="B2532" s="16"/>
      <c r="C2532" s="146"/>
      <c r="D2532" s="146"/>
      <c r="E2532" s="16"/>
      <c r="F2532" s="91"/>
      <c r="G2532" s="16"/>
      <c r="H2532" s="320" t="str">
        <f t="shared" si="1"/>
        <v/>
      </c>
      <c r="I2532" s="16"/>
      <c r="J2532" s="16"/>
      <c r="K2532" s="16"/>
      <c r="L2532" s="38"/>
      <c r="M2532" s="16"/>
      <c r="N2532" s="16"/>
      <c r="O2532" s="16"/>
      <c r="P2532" s="15"/>
      <c r="Q2532" s="15"/>
      <c r="R2532" s="16"/>
      <c r="S2532" s="16"/>
      <c r="T2532" s="16"/>
      <c r="U2532" s="16"/>
      <c r="V2532" s="37" t="str">
        <f>IFERROR(__xludf.DUMMYFUNCTION("if(not(iserror(index(split(C2532, "" ""),2))), index(split(C2532, "" ""),1),"""")"),"")</f>
        <v/>
      </c>
      <c r="W2532" s="315" t="str">
        <f>IFERROR(__xludf.DUMMYFUNCTION("if(V2532="""",C2532,if(not(iserror(index(split(C2532, "" ""),3))), index(split(C2532, "" ""),3),index(split(C2532, "" ""),2)))"),"")</f>
        <v/>
      </c>
      <c r="X2532" s="38" t="b">
        <f t="shared" si="2"/>
        <v>0</v>
      </c>
      <c r="Y2532" s="38"/>
      <c r="Z2532" s="40"/>
      <c r="AA2532" s="40"/>
      <c r="AB2532" s="38"/>
      <c r="AC2532" s="38"/>
      <c r="AD2532" s="38"/>
      <c r="AE2532" s="38"/>
      <c r="AF2532" s="38"/>
      <c r="AG2532" s="38"/>
      <c r="AH2532" s="38"/>
      <c r="AI2532" s="38"/>
      <c r="AJ2532" s="38"/>
      <c r="AK2532" s="38"/>
      <c r="AL2532" s="38"/>
      <c r="AM2532" s="38"/>
      <c r="AN2532" s="38"/>
      <c r="AO2532" s="38"/>
      <c r="AP2532" s="38"/>
      <c r="AQ2532" s="38"/>
      <c r="AR2532" s="38"/>
      <c r="AS2532" s="38"/>
      <c r="AT2532" s="38"/>
      <c r="AU2532" s="38"/>
      <c r="AV2532" s="38"/>
      <c r="AW2532" s="38"/>
      <c r="AX2532" s="38"/>
      <c r="AY2532" s="38"/>
      <c r="AZ2532" s="38"/>
      <c r="BA2532" s="38"/>
      <c r="BB2532" s="38"/>
      <c r="BC2532" s="38"/>
      <c r="BD2532" s="38"/>
      <c r="BE2532" s="38"/>
      <c r="BF2532" s="38"/>
      <c r="BG2532" s="38"/>
    </row>
    <row r="2533">
      <c r="A2533" s="16"/>
      <c r="B2533" s="16"/>
      <c r="C2533" s="146"/>
      <c r="D2533" s="146"/>
      <c r="E2533" s="16"/>
      <c r="F2533" s="91"/>
      <c r="G2533" s="16"/>
      <c r="H2533" s="320" t="str">
        <f t="shared" si="1"/>
        <v/>
      </c>
      <c r="I2533" s="16"/>
      <c r="J2533" s="16"/>
      <c r="K2533" s="16"/>
      <c r="L2533" s="38"/>
      <c r="M2533" s="16"/>
      <c r="N2533" s="16"/>
      <c r="O2533" s="16"/>
      <c r="P2533" s="15"/>
      <c r="Q2533" s="15"/>
      <c r="R2533" s="16"/>
      <c r="S2533" s="16"/>
      <c r="T2533" s="16"/>
      <c r="U2533" s="16"/>
      <c r="V2533" s="37" t="str">
        <f>IFERROR(__xludf.DUMMYFUNCTION("if(not(iserror(index(split(C2533, "" ""),2))), index(split(C2533, "" ""),1),"""")"),"")</f>
        <v/>
      </c>
      <c r="W2533" s="315" t="str">
        <f>IFERROR(__xludf.DUMMYFUNCTION("if(V2533="""",C2533,if(not(iserror(index(split(C2533, "" ""),3))), index(split(C2533, "" ""),3),index(split(C2533, "" ""),2)))"),"")</f>
        <v/>
      </c>
      <c r="X2533" s="38" t="b">
        <f t="shared" si="2"/>
        <v>0</v>
      </c>
      <c r="Y2533" s="38"/>
      <c r="Z2533" s="40"/>
      <c r="AA2533" s="40"/>
      <c r="AB2533" s="38"/>
      <c r="AC2533" s="38"/>
      <c r="AD2533" s="38"/>
      <c r="AE2533" s="38"/>
      <c r="AF2533" s="38"/>
      <c r="AG2533" s="38"/>
      <c r="AH2533" s="38"/>
      <c r="AI2533" s="38"/>
      <c r="AJ2533" s="38"/>
      <c r="AK2533" s="38"/>
      <c r="AL2533" s="38"/>
      <c r="AM2533" s="38"/>
      <c r="AN2533" s="38"/>
      <c r="AO2533" s="38"/>
      <c r="AP2533" s="38"/>
      <c r="AQ2533" s="38"/>
      <c r="AR2533" s="38"/>
      <c r="AS2533" s="38"/>
      <c r="AT2533" s="38"/>
      <c r="AU2533" s="38"/>
      <c r="AV2533" s="38"/>
      <c r="AW2533" s="38"/>
      <c r="AX2533" s="38"/>
      <c r="AY2533" s="38"/>
      <c r="AZ2533" s="38"/>
      <c r="BA2533" s="38"/>
      <c r="BB2533" s="38"/>
      <c r="BC2533" s="38"/>
      <c r="BD2533" s="38"/>
      <c r="BE2533" s="38"/>
      <c r="BF2533" s="38"/>
      <c r="BG2533" s="38"/>
    </row>
    <row r="2534">
      <c r="A2534" s="16"/>
      <c r="B2534" s="16"/>
      <c r="C2534" s="146"/>
      <c r="D2534" s="146"/>
      <c r="E2534" s="16"/>
      <c r="F2534" s="91"/>
      <c r="G2534" s="16"/>
      <c r="H2534" s="320" t="str">
        <f t="shared" si="1"/>
        <v/>
      </c>
      <c r="I2534" s="16"/>
      <c r="J2534" s="16"/>
      <c r="K2534" s="16"/>
      <c r="L2534" s="38"/>
      <c r="M2534" s="16"/>
      <c r="N2534" s="16"/>
      <c r="O2534" s="16"/>
      <c r="P2534" s="15"/>
      <c r="Q2534" s="15"/>
      <c r="R2534" s="16"/>
      <c r="S2534" s="16"/>
      <c r="T2534" s="16"/>
      <c r="U2534" s="16"/>
      <c r="V2534" s="37" t="str">
        <f>IFERROR(__xludf.DUMMYFUNCTION("if(not(iserror(index(split(C2534, "" ""),2))), index(split(C2534, "" ""),1),"""")"),"")</f>
        <v/>
      </c>
      <c r="W2534" s="315" t="str">
        <f>IFERROR(__xludf.DUMMYFUNCTION("if(V2534="""",C2534,if(not(iserror(index(split(C2534, "" ""),3))), index(split(C2534, "" ""),3),index(split(C2534, "" ""),2)))"),"")</f>
        <v/>
      </c>
      <c r="X2534" s="38" t="b">
        <f t="shared" si="2"/>
        <v>0</v>
      </c>
      <c r="Y2534" s="38"/>
      <c r="Z2534" s="40"/>
      <c r="AA2534" s="40"/>
      <c r="AB2534" s="38"/>
      <c r="AC2534" s="38"/>
      <c r="AD2534" s="38"/>
      <c r="AE2534" s="38"/>
      <c r="AF2534" s="38"/>
      <c r="AG2534" s="38"/>
      <c r="AH2534" s="38"/>
      <c r="AI2534" s="38"/>
      <c r="AJ2534" s="38"/>
      <c r="AK2534" s="38"/>
      <c r="AL2534" s="38"/>
      <c r="AM2534" s="38"/>
      <c r="AN2534" s="38"/>
      <c r="AO2534" s="38"/>
      <c r="AP2534" s="38"/>
      <c r="AQ2534" s="38"/>
      <c r="AR2534" s="38"/>
      <c r="AS2534" s="38"/>
      <c r="AT2534" s="38"/>
      <c r="AU2534" s="38"/>
      <c r="AV2534" s="38"/>
      <c r="AW2534" s="38"/>
      <c r="AX2534" s="38"/>
      <c r="AY2534" s="38"/>
      <c r="AZ2534" s="38"/>
      <c r="BA2534" s="38"/>
      <c r="BB2534" s="38"/>
      <c r="BC2534" s="38"/>
      <c r="BD2534" s="38"/>
      <c r="BE2534" s="38"/>
      <c r="BF2534" s="38"/>
      <c r="BG2534" s="38"/>
    </row>
    <row r="2535">
      <c r="A2535" s="16"/>
      <c r="B2535" s="16"/>
      <c r="C2535" s="146"/>
      <c r="D2535" s="146"/>
      <c r="E2535" s="16"/>
      <c r="F2535" s="91"/>
      <c r="G2535" s="16"/>
      <c r="H2535" s="320" t="str">
        <f t="shared" si="1"/>
        <v/>
      </c>
      <c r="I2535" s="16"/>
      <c r="J2535" s="16"/>
      <c r="K2535" s="16"/>
      <c r="L2535" s="38"/>
      <c r="M2535" s="16"/>
      <c r="N2535" s="16"/>
      <c r="O2535" s="16"/>
      <c r="P2535" s="15"/>
      <c r="Q2535" s="15"/>
      <c r="R2535" s="16"/>
      <c r="S2535" s="16"/>
      <c r="T2535" s="16"/>
      <c r="U2535" s="16"/>
      <c r="V2535" s="37" t="str">
        <f>IFERROR(__xludf.DUMMYFUNCTION("if(not(iserror(index(split(C2535, "" ""),2))), index(split(C2535, "" ""),1),"""")"),"")</f>
        <v/>
      </c>
      <c r="W2535" s="315" t="str">
        <f>IFERROR(__xludf.DUMMYFUNCTION("if(V2535="""",C2535,if(not(iserror(index(split(C2535, "" ""),3))), index(split(C2535, "" ""),3),index(split(C2535, "" ""),2)))"),"")</f>
        <v/>
      </c>
      <c r="X2535" s="38" t="b">
        <f t="shared" si="2"/>
        <v>0</v>
      </c>
      <c r="Y2535" s="38"/>
      <c r="Z2535" s="40"/>
      <c r="AA2535" s="40"/>
      <c r="AB2535" s="38"/>
      <c r="AC2535" s="38"/>
      <c r="AD2535" s="38"/>
      <c r="AE2535" s="38"/>
      <c r="AF2535" s="38"/>
      <c r="AG2535" s="38"/>
      <c r="AH2535" s="38"/>
      <c r="AI2535" s="38"/>
      <c r="AJ2535" s="38"/>
      <c r="AK2535" s="38"/>
      <c r="AL2535" s="38"/>
      <c r="AM2535" s="38"/>
      <c r="AN2535" s="38"/>
      <c r="AO2535" s="38"/>
      <c r="AP2535" s="38"/>
      <c r="AQ2535" s="38"/>
      <c r="AR2535" s="38"/>
      <c r="AS2535" s="38"/>
      <c r="AT2535" s="38"/>
      <c r="AU2535" s="38"/>
      <c r="AV2535" s="38"/>
      <c r="AW2535" s="38"/>
      <c r="AX2535" s="38"/>
      <c r="AY2535" s="38"/>
      <c r="AZ2535" s="38"/>
      <c r="BA2535" s="38"/>
      <c r="BB2535" s="38"/>
      <c r="BC2535" s="38"/>
      <c r="BD2535" s="38"/>
      <c r="BE2535" s="38"/>
      <c r="BF2535" s="38"/>
      <c r="BG2535" s="38"/>
    </row>
    <row r="2536">
      <c r="A2536" s="16"/>
      <c r="B2536" s="16"/>
      <c r="C2536" s="146"/>
      <c r="D2536" s="146"/>
      <c r="E2536" s="16"/>
      <c r="F2536" s="91"/>
      <c r="G2536" s="16"/>
      <c r="H2536" s="320" t="str">
        <f t="shared" si="1"/>
        <v/>
      </c>
      <c r="I2536" s="16"/>
      <c r="J2536" s="16"/>
      <c r="K2536" s="16"/>
      <c r="L2536" s="38"/>
      <c r="M2536" s="16"/>
      <c r="N2536" s="16"/>
      <c r="O2536" s="16"/>
      <c r="P2536" s="15"/>
      <c r="Q2536" s="15"/>
      <c r="R2536" s="16"/>
      <c r="S2536" s="16"/>
      <c r="T2536" s="16"/>
      <c r="U2536" s="16"/>
      <c r="V2536" s="37" t="str">
        <f>IFERROR(__xludf.DUMMYFUNCTION("if(not(iserror(index(split(C2536, "" ""),2))), index(split(C2536, "" ""),1),"""")"),"")</f>
        <v/>
      </c>
      <c r="W2536" s="315" t="str">
        <f>IFERROR(__xludf.DUMMYFUNCTION("if(V2536="""",C2536,if(not(iserror(index(split(C2536, "" ""),3))), index(split(C2536, "" ""),3),index(split(C2536, "" ""),2)))"),"")</f>
        <v/>
      </c>
      <c r="X2536" s="38" t="b">
        <f t="shared" si="2"/>
        <v>0</v>
      </c>
      <c r="Y2536" s="38"/>
      <c r="Z2536" s="40"/>
      <c r="AA2536" s="40"/>
      <c r="AB2536" s="38"/>
      <c r="AC2536" s="38"/>
      <c r="AD2536" s="38"/>
      <c r="AE2536" s="38"/>
      <c r="AF2536" s="38"/>
      <c r="AG2536" s="38"/>
      <c r="AH2536" s="38"/>
      <c r="AI2536" s="38"/>
      <c r="AJ2536" s="38"/>
      <c r="AK2536" s="38"/>
      <c r="AL2536" s="38"/>
      <c r="AM2536" s="38"/>
      <c r="AN2536" s="38"/>
      <c r="AO2536" s="38"/>
      <c r="AP2536" s="38"/>
      <c r="AQ2536" s="38"/>
      <c r="AR2536" s="38"/>
      <c r="AS2536" s="38"/>
      <c r="AT2536" s="38"/>
      <c r="AU2536" s="38"/>
      <c r="AV2536" s="38"/>
      <c r="AW2536" s="38"/>
      <c r="AX2536" s="38"/>
      <c r="AY2536" s="38"/>
      <c r="AZ2536" s="38"/>
      <c r="BA2536" s="38"/>
      <c r="BB2536" s="38"/>
      <c r="BC2536" s="38"/>
      <c r="BD2536" s="38"/>
      <c r="BE2536" s="38"/>
      <c r="BF2536" s="38"/>
      <c r="BG2536" s="38"/>
    </row>
    <row r="2537">
      <c r="A2537" s="16"/>
      <c r="B2537" s="16"/>
      <c r="C2537" s="146"/>
      <c r="D2537" s="146"/>
      <c r="E2537" s="16"/>
      <c r="F2537" s="91"/>
      <c r="G2537" s="16"/>
      <c r="H2537" s="320" t="str">
        <f t="shared" si="1"/>
        <v/>
      </c>
      <c r="I2537" s="16"/>
      <c r="J2537" s="16"/>
      <c r="K2537" s="16"/>
      <c r="L2537" s="38"/>
      <c r="M2537" s="16"/>
      <c r="N2537" s="16"/>
      <c r="O2537" s="16"/>
      <c r="P2537" s="15"/>
      <c r="Q2537" s="15"/>
      <c r="R2537" s="16"/>
      <c r="S2537" s="16"/>
      <c r="T2537" s="16"/>
      <c r="U2537" s="16"/>
      <c r="V2537" s="37" t="str">
        <f>IFERROR(__xludf.DUMMYFUNCTION("if(not(iserror(index(split(C2537, "" ""),2))), index(split(C2537, "" ""),1),"""")"),"")</f>
        <v/>
      </c>
      <c r="W2537" s="315" t="str">
        <f>IFERROR(__xludf.DUMMYFUNCTION("if(V2537="""",C2537,if(not(iserror(index(split(C2537, "" ""),3))), index(split(C2537, "" ""),3),index(split(C2537, "" ""),2)))"),"")</f>
        <v/>
      </c>
      <c r="X2537" s="38" t="b">
        <f t="shared" si="2"/>
        <v>0</v>
      </c>
      <c r="Y2537" s="38"/>
      <c r="Z2537" s="40"/>
      <c r="AA2537" s="40"/>
      <c r="AB2537" s="38"/>
      <c r="AC2537" s="38"/>
      <c r="AD2537" s="38"/>
      <c r="AE2537" s="38"/>
      <c r="AF2537" s="38"/>
      <c r="AG2537" s="38"/>
      <c r="AH2537" s="38"/>
      <c r="AI2537" s="38"/>
      <c r="AJ2537" s="38"/>
      <c r="AK2537" s="38"/>
      <c r="AL2537" s="38"/>
      <c r="AM2537" s="38"/>
      <c r="AN2537" s="38"/>
      <c r="AO2537" s="38"/>
      <c r="AP2537" s="38"/>
      <c r="AQ2537" s="38"/>
      <c r="AR2537" s="38"/>
      <c r="AS2537" s="38"/>
      <c r="AT2537" s="38"/>
      <c r="AU2537" s="38"/>
      <c r="AV2537" s="38"/>
      <c r="AW2537" s="38"/>
      <c r="AX2537" s="38"/>
      <c r="AY2537" s="38"/>
      <c r="AZ2537" s="38"/>
      <c r="BA2537" s="38"/>
      <c r="BB2537" s="38"/>
      <c r="BC2537" s="38"/>
      <c r="BD2537" s="38"/>
      <c r="BE2537" s="38"/>
      <c r="BF2537" s="38"/>
      <c r="BG2537" s="38"/>
    </row>
    <row r="2538">
      <c r="A2538" s="16"/>
      <c r="B2538" s="16"/>
      <c r="C2538" s="146"/>
      <c r="D2538" s="146"/>
      <c r="E2538" s="16"/>
      <c r="F2538" s="91"/>
      <c r="G2538" s="16"/>
      <c r="H2538" s="320" t="str">
        <f t="shared" si="1"/>
        <v/>
      </c>
      <c r="I2538" s="16"/>
      <c r="J2538" s="16"/>
      <c r="K2538" s="16"/>
      <c r="L2538" s="38"/>
      <c r="M2538" s="16"/>
      <c r="N2538" s="16"/>
      <c r="O2538" s="16"/>
      <c r="P2538" s="15"/>
      <c r="Q2538" s="15"/>
      <c r="R2538" s="16"/>
      <c r="S2538" s="16"/>
      <c r="T2538" s="16"/>
      <c r="U2538" s="16"/>
      <c r="V2538" s="37" t="str">
        <f>IFERROR(__xludf.DUMMYFUNCTION("if(not(iserror(index(split(C2538, "" ""),2))), index(split(C2538, "" ""),1),"""")"),"")</f>
        <v/>
      </c>
      <c r="W2538" s="315" t="str">
        <f>IFERROR(__xludf.DUMMYFUNCTION("if(V2538="""",C2538,if(not(iserror(index(split(C2538, "" ""),3))), index(split(C2538, "" ""),3),index(split(C2538, "" ""),2)))"),"")</f>
        <v/>
      </c>
      <c r="X2538" s="38" t="b">
        <f t="shared" si="2"/>
        <v>0</v>
      </c>
      <c r="Y2538" s="38"/>
      <c r="Z2538" s="40"/>
      <c r="AA2538" s="40"/>
      <c r="AB2538" s="38"/>
      <c r="AC2538" s="38"/>
      <c r="AD2538" s="38"/>
      <c r="AE2538" s="38"/>
      <c r="AF2538" s="38"/>
      <c r="AG2538" s="38"/>
      <c r="AH2538" s="38"/>
      <c r="AI2538" s="38"/>
      <c r="AJ2538" s="38"/>
      <c r="AK2538" s="38"/>
      <c r="AL2538" s="38"/>
      <c r="AM2538" s="38"/>
      <c r="AN2538" s="38"/>
      <c r="AO2538" s="38"/>
      <c r="AP2538" s="38"/>
      <c r="AQ2538" s="38"/>
      <c r="AR2538" s="38"/>
      <c r="AS2538" s="38"/>
      <c r="AT2538" s="38"/>
      <c r="AU2538" s="38"/>
      <c r="AV2538" s="38"/>
      <c r="AW2538" s="38"/>
      <c r="AX2538" s="38"/>
      <c r="AY2538" s="38"/>
      <c r="AZ2538" s="38"/>
      <c r="BA2538" s="38"/>
      <c r="BB2538" s="38"/>
      <c r="BC2538" s="38"/>
      <c r="BD2538" s="38"/>
      <c r="BE2538" s="38"/>
      <c r="BF2538" s="38"/>
      <c r="BG2538" s="38"/>
    </row>
    <row r="2539">
      <c r="A2539" s="16"/>
      <c r="B2539" s="16"/>
      <c r="C2539" s="146"/>
      <c r="D2539" s="146"/>
      <c r="E2539" s="16"/>
      <c r="F2539" s="91"/>
      <c r="G2539" s="16"/>
      <c r="H2539" s="320" t="str">
        <f t="shared" si="1"/>
        <v/>
      </c>
      <c r="I2539" s="16"/>
      <c r="J2539" s="16"/>
      <c r="K2539" s="16"/>
      <c r="L2539" s="38"/>
      <c r="M2539" s="16"/>
      <c r="N2539" s="16"/>
      <c r="O2539" s="16"/>
      <c r="P2539" s="15"/>
      <c r="Q2539" s="15"/>
      <c r="R2539" s="16"/>
      <c r="S2539" s="16"/>
      <c r="T2539" s="16"/>
      <c r="U2539" s="16"/>
      <c r="V2539" s="37" t="str">
        <f>IFERROR(__xludf.DUMMYFUNCTION("if(not(iserror(index(split(C2539, "" ""),2))), index(split(C2539, "" ""),1),"""")"),"")</f>
        <v/>
      </c>
      <c r="W2539" s="315" t="str">
        <f>IFERROR(__xludf.DUMMYFUNCTION("if(V2539="""",C2539,if(not(iserror(index(split(C2539, "" ""),3))), index(split(C2539, "" ""),3),index(split(C2539, "" ""),2)))"),"")</f>
        <v/>
      </c>
      <c r="X2539" s="38" t="b">
        <f t="shared" si="2"/>
        <v>0</v>
      </c>
      <c r="Y2539" s="38"/>
      <c r="Z2539" s="40"/>
      <c r="AA2539" s="40"/>
      <c r="AB2539" s="38"/>
      <c r="AC2539" s="38"/>
      <c r="AD2539" s="38"/>
      <c r="AE2539" s="38"/>
      <c r="AF2539" s="38"/>
      <c r="AG2539" s="38"/>
      <c r="AH2539" s="38"/>
      <c r="AI2539" s="38"/>
      <c r="AJ2539" s="38"/>
      <c r="AK2539" s="38"/>
      <c r="AL2539" s="38"/>
      <c r="AM2539" s="38"/>
      <c r="AN2539" s="38"/>
      <c r="AO2539" s="38"/>
      <c r="AP2539" s="38"/>
      <c r="AQ2539" s="38"/>
      <c r="AR2539" s="38"/>
      <c r="AS2539" s="38"/>
      <c r="AT2539" s="38"/>
      <c r="AU2539" s="38"/>
      <c r="AV2539" s="38"/>
      <c r="AW2539" s="38"/>
      <c r="AX2539" s="38"/>
      <c r="AY2539" s="38"/>
      <c r="AZ2539" s="38"/>
      <c r="BA2539" s="38"/>
      <c r="BB2539" s="38"/>
      <c r="BC2539" s="38"/>
      <c r="BD2539" s="38"/>
      <c r="BE2539" s="38"/>
      <c r="BF2539" s="38"/>
      <c r="BG2539" s="38"/>
    </row>
    <row r="2540">
      <c r="A2540" s="16"/>
      <c r="B2540" s="16"/>
      <c r="C2540" s="146"/>
      <c r="D2540" s="146"/>
      <c r="E2540" s="16"/>
      <c r="F2540" s="91"/>
      <c r="G2540" s="16"/>
      <c r="H2540" s="320" t="str">
        <f t="shared" si="1"/>
        <v/>
      </c>
      <c r="I2540" s="16"/>
      <c r="J2540" s="16"/>
      <c r="K2540" s="16"/>
      <c r="L2540" s="38"/>
      <c r="M2540" s="16"/>
      <c r="N2540" s="16"/>
      <c r="O2540" s="16"/>
      <c r="P2540" s="15"/>
      <c r="Q2540" s="15"/>
      <c r="R2540" s="16"/>
      <c r="S2540" s="16"/>
      <c r="T2540" s="16"/>
      <c r="U2540" s="16"/>
      <c r="V2540" s="37" t="str">
        <f>IFERROR(__xludf.DUMMYFUNCTION("if(not(iserror(index(split(C2540, "" ""),2))), index(split(C2540, "" ""),1),"""")"),"")</f>
        <v/>
      </c>
      <c r="W2540" s="315" t="str">
        <f>IFERROR(__xludf.DUMMYFUNCTION("if(V2540="""",C2540,if(not(iserror(index(split(C2540, "" ""),3))), index(split(C2540, "" ""),3),index(split(C2540, "" ""),2)))"),"")</f>
        <v/>
      </c>
      <c r="X2540" s="38" t="b">
        <f t="shared" si="2"/>
        <v>0</v>
      </c>
      <c r="Y2540" s="38"/>
      <c r="Z2540" s="40"/>
      <c r="AA2540" s="40"/>
      <c r="AB2540" s="38"/>
      <c r="AC2540" s="38"/>
      <c r="AD2540" s="38"/>
      <c r="AE2540" s="38"/>
      <c r="AF2540" s="38"/>
      <c r="AG2540" s="38"/>
      <c r="AH2540" s="38"/>
      <c r="AI2540" s="38"/>
      <c r="AJ2540" s="38"/>
      <c r="AK2540" s="38"/>
      <c r="AL2540" s="38"/>
      <c r="AM2540" s="38"/>
      <c r="AN2540" s="38"/>
      <c r="AO2540" s="38"/>
      <c r="AP2540" s="38"/>
      <c r="AQ2540" s="38"/>
      <c r="AR2540" s="38"/>
      <c r="AS2540" s="38"/>
      <c r="AT2540" s="38"/>
      <c r="AU2540" s="38"/>
      <c r="AV2540" s="38"/>
      <c r="AW2540" s="38"/>
      <c r="AX2540" s="38"/>
      <c r="AY2540" s="38"/>
      <c r="AZ2540" s="38"/>
      <c r="BA2540" s="38"/>
      <c r="BB2540" s="38"/>
      <c r="BC2540" s="38"/>
      <c r="BD2540" s="38"/>
      <c r="BE2540" s="38"/>
      <c r="BF2540" s="38"/>
      <c r="BG2540" s="38"/>
    </row>
    <row r="2541">
      <c r="A2541" s="16"/>
      <c r="B2541" s="16"/>
      <c r="C2541" s="146"/>
      <c r="D2541" s="146"/>
      <c r="E2541" s="16"/>
      <c r="F2541" s="91"/>
      <c r="G2541" s="16"/>
      <c r="H2541" s="320" t="str">
        <f t="shared" si="1"/>
        <v/>
      </c>
      <c r="I2541" s="16"/>
      <c r="J2541" s="16"/>
      <c r="K2541" s="16"/>
      <c r="L2541" s="38"/>
      <c r="M2541" s="16"/>
      <c r="N2541" s="16"/>
      <c r="O2541" s="16"/>
      <c r="P2541" s="15"/>
      <c r="Q2541" s="15"/>
      <c r="R2541" s="16"/>
      <c r="S2541" s="16"/>
      <c r="T2541" s="16"/>
      <c r="U2541" s="16"/>
      <c r="V2541" s="37" t="str">
        <f>IFERROR(__xludf.DUMMYFUNCTION("if(not(iserror(index(split(C2541, "" ""),2))), index(split(C2541, "" ""),1),"""")"),"")</f>
        <v/>
      </c>
      <c r="W2541" s="315" t="str">
        <f>IFERROR(__xludf.DUMMYFUNCTION("if(V2541="""",C2541,if(not(iserror(index(split(C2541, "" ""),3))), index(split(C2541, "" ""),3),index(split(C2541, "" ""),2)))"),"")</f>
        <v/>
      </c>
      <c r="X2541" s="38" t="b">
        <f t="shared" si="2"/>
        <v>0</v>
      </c>
      <c r="Y2541" s="38"/>
      <c r="Z2541" s="40"/>
      <c r="AA2541" s="40"/>
      <c r="AB2541" s="38"/>
      <c r="AC2541" s="38"/>
      <c r="AD2541" s="38"/>
      <c r="AE2541" s="38"/>
      <c r="AF2541" s="38"/>
      <c r="AG2541" s="38"/>
      <c r="AH2541" s="38"/>
      <c r="AI2541" s="38"/>
      <c r="AJ2541" s="38"/>
      <c r="AK2541" s="38"/>
      <c r="AL2541" s="38"/>
      <c r="AM2541" s="38"/>
      <c r="AN2541" s="38"/>
      <c r="AO2541" s="38"/>
      <c r="AP2541" s="38"/>
      <c r="AQ2541" s="38"/>
      <c r="AR2541" s="38"/>
      <c r="AS2541" s="38"/>
      <c r="AT2541" s="38"/>
      <c r="AU2541" s="38"/>
      <c r="AV2541" s="38"/>
      <c r="AW2541" s="38"/>
      <c r="AX2541" s="38"/>
      <c r="AY2541" s="38"/>
      <c r="AZ2541" s="38"/>
      <c r="BA2541" s="38"/>
      <c r="BB2541" s="38"/>
      <c r="BC2541" s="38"/>
      <c r="BD2541" s="38"/>
      <c r="BE2541" s="38"/>
      <c r="BF2541" s="38"/>
      <c r="BG2541" s="38"/>
    </row>
    <row r="2542">
      <c r="A2542" s="16"/>
      <c r="B2542" s="16"/>
      <c r="C2542" s="146"/>
      <c r="D2542" s="146"/>
      <c r="E2542" s="16"/>
      <c r="F2542" s="91"/>
      <c r="G2542" s="16"/>
      <c r="H2542" s="320" t="str">
        <f t="shared" si="1"/>
        <v/>
      </c>
      <c r="I2542" s="16"/>
      <c r="J2542" s="16"/>
      <c r="K2542" s="16"/>
      <c r="L2542" s="38"/>
      <c r="M2542" s="16"/>
      <c r="N2542" s="16"/>
      <c r="O2542" s="16"/>
      <c r="P2542" s="15"/>
      <c r="Q2542" s="15"/>
      <c r="R2542" s="16"/>
      <c r="S2542" s="16"/>
      <c r="T2542" s="16"/>
      <c r="U2542" s="16"/>
      <c r="V2542" s="37" t="str">
        <f>IFERROR(__xludf.DUMMYFUNCTION("if(not(iserror(index(split(C2542, "" ""),2))), index(split(C2542, "" ""),1),"""")"),"")</f>
        <v/>
      </c>
      <c r="W2542" s="315" t="str">
        <f>IFERROR(__xludf.DUMMYFUNCTION("if(V2542="""",C2542,if(not(iserror(index(split(C2542, "" ""),3))), index(split(C2542, "" ""),3),index(split(C2542, "" ""),2)))"),"")</f>
        <v/>
      </c>
      <c r="X2542" s="38" t="b">
        <f t="shared" si="2"/>
        <v>0</v>
      </c>
      <c r="Y2542" s="38"/>
      <c r="Z2542" s="40"/>
      <c r="AA2542" s="40"/>
      <c r="AB2542" s="38"/>
      <c r="AC2542" s="38"/>
      <c r="AD2542" s="38"/>
      <c r="AE2542" s="38"/>
      <c r="AF2542" s="38"/>
      <c r="AG2542" s="38"/>
      <c r="AH2542" s="38"/>
      <c r="AI2542" s="38"/>
      <c r="AJ2542" s="38"/>
      <c r="AK2542" s="38"/>
      <c r="AL2542" s="38"/>
      <c r="AM2542" s="38"/>
      <c r="AN2542" s="38"/>
      <c r="AO2542" s="38"/>
      <c r="AP2542" s="38"/>
      <c r="AQ2542" s="38"/>
      <c r="AR2542" s="38"/>
      <c r="AS2542" s="38"/>
      <c r="AT2542" s="38"/>
      <c r="AU2542" s="38"/>
      <c r="AV2542" s="38"/>
      <c r="AW2542" s="38"/>
      <c r="AX2542" s="38"/>
      <c r="AY2542" s="38"/>
      <c r="AZ2542" s="38"/>
      <c r="BA2542" s="38"/>
      <c r="BB2542" s="38"/>
      <c r="BC2542" s="38"/>
      <c r="BD2542" s="38"/>
      <c r="BE2542" s="38"/>
      <c r="BF2542" s="38"/>
      <c r="BG2542" s="38"/>
    </row>
    <row r="2543">
      <c r="A2543" s="16"/>
      <c r="B2543" s="16"/>
      <c r="C2543" s="146"/>
      <c r="D2543" s="146"/>
      <c r="E2543" s="16"/>
      <c r="F2543" s="91"/>
      <c r="G2543" s="16"/>
      <c r="H2543" s="320" t="str">
        <f t="shared" si="1"/>
        <v/>
      </c>
      <c r="I2543" s="16"/>
      <c r="J2543" s="16"/>
      <c r="K2543" s="16"/>
      <c r="L2543" s="38"/>
      <c r="M2543" s="16"/>
      <c r="N2543" s="16"/>
      <c r="O2543" s="16"/>
      <c r="P2543" s="15"/>
      <c r="Q2543" s="15"/>
      <c r="R2543" s="16"/>
      <c r="S2543" s="16"/>
      <c r="T2543" s="16"/>
      <c r="U2543" s="16"/>
      <c r="V2543" s="37" t="str">
        <f>IFERROR(__xludf.DUMMYFUNCTION("if(not(iserror(index(split(C2543, "" ""),2))), index(split(C2543, "" ""),1),"""")"),"")</f>
        <v/>
      </c>
      <c r="W2543" s="315" t="str">
        <f>IFERROR(__xludf.DUMMYFUNCTION("if(V2543="""",C2543,if(not(iserror(index(split(C2543, "" ""),3))), index(split(C2543, "" ""),3),index(split(C2543, "" ""),2)))"),"")</f>
        <v/>
      </c>
      <c r="X2543" s="38" t="b">
        <f t="shared" si="2"/>
        <v>0</v>
      </c>
      <c r="Y2543" s="38"/>
      <c r="Z2543" s="40"/>
      <c r="AA2543" s="40"/>
      <c r="AB2543" s="38"/>
      <c r="AC2543" s="38"/>
      <c r="AD2543" s="38"/>
      <c r="AE2543" s="38"/>
      <c r="AF2543" s="38"/>
      <c r="AG2543" s="38"/>
      <c r="AH2543" s="38"/>
      <c r="AI2543" s="38"/>
      <c r="AJ2543" s="38"/>
      <c r="AK2543" s="38"/>
      <c r="AL2543" s="38"/>
      <c r="AM2543" s="38"/>
      <c r="AN2543" s="38"/>
      <c r="AO2543" s="38"/>
      <c r="AP2543" s="38"/>
      <c r="AQ2543" s="38"/>
      <c r="AR2543" s="38"/>
      <c r="AS2543" s="38"/>
      <c r="AT2543" s="38"/>
      <c r="AU2543" s="38"/>
      <c r="AV2543" s="38"/>
      <c r="AW2543" s="38"/>
      <c r="AX2543" s="38"/>
      <c r="AY2543" s="38"/>
      <c r="AZ2543" s="38"/>
      <c r="BA2543" s="38"/>
      <c r="BB2543" s="38"/>
      <c r="BC2543" s="38"/>
      <c r="BD2543" s="38"/>
      <c r="BE2543" s="38"/>
      <c r="BF2543" s="38"/>
      <c r="BG2543" s="38"/>
    </row>
    <row r="2544">
      <c r="A2544" s="16"/>
      <c r="B2544" s="16"/>
      <c r="C2544" s="146"/>
      <c r="D2544" s="146"/>
      <c r="E2544" s="16"/>
      <c r="F2544" s="91"/>
      <c r="G2544" s="16"/>
      <c r="H2544" s="320" t="str">
        <f t="shared" si="1"/>
        <v/>
      </c>
      <c r="I2544" s="16"/>
      <c r="J2544" s="16"/>
      <c r="K2544" s="16"/>
      <c r="L2544" s="38"/>
      <c r="M2544" s="16"/>
      <c r="N2544" s="16"/>
      <c r="O2544" s="16"/>
      <c r="P2544" s="15"/>
      <c r="Q2544" s="15"/>
      <c r="R2544" s="16"/>
      <c r="S2544" s="16"/>
      <c r="T2544" s="16"/>
      <c r="U2544" s="16"/>
      <c r="V2544" s="37" t="str">
        <f>IFERROR(__xludf.DUMMYFUNCTION("if(not(iserror(index(split(C2544, "" ""),2))), index(split(C2544, "" ""),1),"""")"),"")</f>
        <v/>
      </c>
      <c r="W2544" s="315" t="str">
        <f>IFERROR(__xludf.DUMMYFUNCTION("if(V2544="""",C2544,if(not(iserror(index(split(C2544, "" ""),3))), index(split(C2544, "" ""),3),index(split(C2544, "" ""),2)))"),"")</f>
        <v/>
      </c>
      <c r="X2544" s="38" t="b">
        <f t="shared" si="2"/>
        <v>0</v>
      </c>
      <c r="Y2544" s="38"/>
      <c r="Z2544" s="40"/>
      <c r="AA2544" s="40"/>
      <c r="AB2544" s="38"/>
      <c r="AC2544" s="38"/>
      <c r="AD2544" s="38"/>
      <c r="AE2544" s="38"/>
      <c r="AF2544" s="38"/>
      <c r="AG2544" s="38"/>
      <c r="AH2544" s="38"/>
      <c r="AI2544" s="38"/>
      <c r="AJ2544" s="38"/>
      <c r="AK2544" s="38"/>
      <c r="AL2544" s="38"/>
      <c r="AM2544" s="38"/>
      <c r="AN2544" s="38"/>
      <c r="AO2544" s="38"/>
      <c r="AP2544" s="38"/>
      <c r="AQ2544" s="38"/>
      <c r="AR2544" s="38"/>
      <c r="AS2544" s="38"/>
      <c r="AT2544" s="38"/>
      <c r="AU2544" s="38"/>
      <c r="AV2544" s="38"/>
      <c r="AW2544" s="38"/>
      <c r="AX2544" s="38"/>
      <c r="AY2544" s="38"/>
      <c r="AZ2544" s="38"/>
      <c r="BA2544" s="38"/>
      <c r="BB2544" s="38"/>
      <c r="BC2544" s="38"/>
      <c r="BD2544" s="38"/>
      <c r="BE2544" s="38"/>
      <c r="BF2544" s="38"/>
      <c r="BG2544" s="38"/>
    </row>
    <row r="2545">
      <c r="A2545" s="16"/>
      <c r="B2545" s="16"/>
      <c r="C2545" s="146"/>
      <c r="D2545" s="146"/>
      <c r="E2545" s="16"/>
      <c r="F2545" s="91"/>
      <c r="G2545" s="16"/>
      <c r="H2545" s="320" t="str">
        <f t="shared" si="1"/>
        <v/>
      </c>
      <c r="I2545" s="16"/>
      <c r="J2545" s="16"/>
      <c r="K2545" s="16"/>
      <c r="L2545" s="38"/>
      <c r="M2545" s="16"/>
      <c r="N2545" s="16"/>
      <c r="O2545" s="16"/>
      <c r="P2545" s="15"/>
      <c r="Q2545" s="15"/>
      <c r="R2545" s="16"/>
      <c r="S2545" s="16"/>
      <c r="T2545" s="16"/>
      <c r="U2545" s="16"/>
      <c r="V2545" s="37" t="str">
        <f>IFERROR(__xludf.DUMMYFUNCTION("if(not(iserror(index(split(C2545, "" ""),2))), index(split(C2545, "" ""),1),"""")"),"")</f>
        <v/>
      </c>
      <c r="W2545" s="315" t="str">
        <f>IFERROR(__xludf.DUMMYFUNCTION("if(V2545="""",C2545,if(not(iserror(index(split(C2545, "" ""),3))), index(split(C2545, "" ""),3),index(split(C2545, "" ""),2)))"),"")</f>
        <v/>
      </c>
      <c r="X2545" s="38" t="b">
        <f t="shared" si="2"/>
        <v>0</v>
      </c>
      <c r="Y2545" s="38"/>
      <c r="Z2545" s="40"/>
      <c r="AA2545" s="40"/>
      <c r="AB2545" s="38"/>
      <c r="AC2545" s="38"/>
      <c r="AD2545" s="38"/>
      <c r="AE2545" s="38"/>
      <c r="AF2545" s="38"/>
      <c r="AG2545" s="38"/>
      <c r="AH2545" s="38"/>
      <c r="AI2545" s="38"/>
      <c r="AJ2545" s="38"/>
      <c r="AK2545" s="38"/>
      <c r="AL2545" s="38"/>
      <c r="AM2545" s="38"/>
      <c r="AN2545" s="38"/>
      <c r="AO2545" s="38"/>
      <c r="AP2545" s="38"/>
      <c r="AQ2545" s="38"/>
      <c r="AR2545" s="38"/>
      <c r="AS2545" s="38"/>
      <c r="AT2545" s="38"/>
      <c r="AU2545" s="38"/>
      <c r="AV2545" s="38"/>
      <c r="AW2545" s="38"/>
      <c r="AX2545" s="38"/>
      <c r="AY2545" s="38"/>
      <c r="AZ2545" s="38"/>
      <c r="BA2545" s="38"/>
      <c r="BB2545" s="38"/>
      <c r="BC2545" s="38"/>
      <c r="BD2545" s="38"/>
      <c r="BE2545" s="38"/>
      <c r="BF2545" s="38"/>
      <c r="BG2545" s="38"/>
    </row>
    <row r="2546">
      <c r="A2546" s="16"/>
      <c r="B2546" s="16"/>
      <c r="C2546" s="146"/>
      <c r="D2546" s="146"/>
      <c r="E2546" s="16"/>
      <c r="F2546" s="91"/>
      <c r="G2546" s="16"/>
      <c r="H2546" s="320" t="str">
        <f t="shared" si="1"/>
        <v/>
      </c>
      <c r="I2546" s="16"/>
      <c r="J2546" s="16"/>
      <c r="K2546" s="16"/>
      <c r="L2546" s="38"/>
      <c r="M2546" s="16"/>
      <c r="N2546" s="16"/>
      <c r="O2546" s="16"/>
      <c r="P2546" s="15"/>
      <c r="Q2546" s="15"/>
      <c r="R2546" s="16"/>
      <c r="S2546" s="16"/>
      <c r="T2546" s="16"/>
      <c r="U2546" s="16"/>
      <c r="V2546" s="37" t="str">
        <f>IFERROR(__xludf.DUMMYFUNCTION("if(not(iserror(index(split(C2546, "" ""),2))), index(split(C2546, "" ""),1),"""")"),"")</f>
        <v/>
      </c>
      <c r="W2546" s="315" t="str">
        <f>IFERROR(__xludf.DUMMYFUNCTION("if(V2546="""",C2546,if(not(iserror(index(split(C2546, "" ""),3))), index(split(C2546, "" ""),3),index(split(C2546, "" ""),2)))"),"")</f>
        <v/>
      </c>
      <c r="X2546" s="38" t="b">
        <f t="shared" si="2"/>
        <v>0</v>
      </c>
      <c r="Y2546" s="38"/>
      <c r="Z2546" s="40"/>
      <c r="AA2546" s="40"/>
      <c r="AB2546" s="38"/>
      <c r="AC2546" s="38"/>
      <c r="AD2546" s="38"/>
      <c r="AE2546" s="38"/>
      <c r="AF2546" s="38"/>
      <c r="AG2546" s="38"/>
      <c r="AH2546" s="38"/>
      <c r="AI2546" s="38"/>
      <c r="AJ2546" s="38"/>
      <c r="AK2546" s="38"/>
      <c r="AL2546" s="38"/>
      <c r="AM2546" s="38"/>
      <c r="AN2546" s="38"/>
      <c r="AO2546" s="38"/>
      <c r="AP2546" s="38"/>
      <c r="AQ2546" s="38"/>
      <c r="AR2546" s="38"/>
      <c r="AS2546" s="38"/>
      <c r="AT2546" s="38"/>
      <c r="AU2546" s="38"/>
      <c r="AV2546" s="38"/>
      <c r="AW2546" s="38"/>
      <c r="AX2546" s="38"/>
      <c r="AY2546" s="38"/>
      <c r="AZ2546" s="38"/>
      <c r="BA2546" s="38"/>
      <c r="BB2546" s="38"/>
      <c r="BC2546" s="38"/>
      <c r="BD2546" s="38"/>
      <c r="BE2546" s="38"/>
      <c r="BF2546" s="38"/>
      <c r="BG2546" s="38"/>
    </row>
    <row r="2547">
      <c r="A2547" s="16"/>
      <c r="B2547" s="16"/>
      <c r="C2547" s="146"/>
      <c r="D2547" s="146"/>
      <c r="E2547" s="16"/>
      <c r="F2547" s="91"/>
      <c r="G2547" s="16"/>
      <c r="H2547" s="320" t="str">
        <f t="shared" si="1"/>
        <v/>
      </c>
      <c r="I2547" s="16"/>
      <c r="J2547" s="16"/>
      <c r="K2547" s="16"/>
      <c r="L2547" s="38"/>
      <c r="M2547" s="16"/>
      <c r="N2547" s="16"/>
      <c r="O2547" s="16"/>
      <c r="P2547" s="15"/>
      <c r="Q2547" s="15"/>
      <c r="R2547" s="16"/>
      <c r="S2547" s="16"/>
      <c r="T2547" s="16"/>
      <c r="U2547" s="16"/>
      <c r="V2547" s="37" t="str">
        <f>IFERROR(__xludf.DUMMYFUNCTION("if(not(iserror(index(split(C2547, "" ""),2))), index(split(C2547, "" ""),1),"""")"),"")</f>
        <v/>
      </c>
      <c r="W2547" s="315" t="str">
        <f>IFERROR(__xludf.DUMMYFUNCTION("if(V2547="""",C2547,if(not(iserror(index(split(C2547, "" ""),3))), index(split(C2547, "" ""),3),index(split(C2547, "" ""),2)))"),"")</f>
        <v/>
      </c>
      <c r="X2547" s="38" t="b">
        <f t="shared" si="2"/>
        <v>0</v>
      </c>
      <c r="Y2547" s="38"/>
      <c r="Z2547" s="40"/>
      <c r="AA2547" s="40"/>
      <c r="AB2547" s="38"/>
      <c r="AC2547" s="38"/>
      <c r="AD2547" s="38"/>
      <c r="AE2547" s="38"/>
      <c r="AF2547" s="38"/>
      <c r="AG2547" s="38"/>
      <c r="AH2547" s="38"/>
      <c r="AI2547" s="38"/>
      <c r="AJ2547" s="38"/>
      <c r="AK2547" s="38"/>
      <c r="AL2547" s="38"/>
      <c r="AM2547" s="38"/>
      <c r="AN2547" s="38"/>
      <c r="AO2547" s="38"/>
      <c r="AP2547" s="38"/>
      <c r="AQ2547" s="38"/>
      <c r="AR2547" s="38"/>
      <c r="AS2547" s="38"/>
      <c r="AT2547" s="38"/>
      <c r="AU2547" s="38"/>
      <c r="AV2547" s="38"/>
      <c r="AW2547" s="38"/>
      <c r="AX2547" s="38"/>
      <c r="AY2547" s="38"/>
      <c r="AZ2547" s="38"/>
      <c r="BA2547" s="38"/>
      <c r="BB2547" s="38"/>
      <c r="BC2547" s="38"/>
      <c r="BD2547" s="38"/>
      <c r="BE2547" s="38"/>
      <c r="BF2547" s="38"/>
      <c r="BG2547" s="38"/>
    </row>
    <row r="2548">
      <c r="A2548" s="16"/>
      <c r="B2548" s="16"/>
      <c r="C2548" s="146"/>
      <c r="D2548" s="146"/>
      <c r="E2548" s="16"/>
      <c r="F2548" s="91"/>
      <c r="G2548" s="16"/>
      <c r="H2548" s="320" t="str">
        <f t="shared" si="1"/>
        <v/>
      </c>
      <c r="I2548" s="16"/>
      <c r="J2548" s="16"/>
      <c r="K2548" s="16"/>
      <c r="L2548" s="38"/>
      <c r="M2548" s="16"/>
      <c r="N2548" s="16"/>
      <c r="O2548" s="16"/>
      <c r="P2548" s="15"/>
      <c r="Q2548" s="15"/>
      <c r="R2548" s="16"/>
      <c r="S2548" s="16"/>
      <c r="T2548" s="16"/>
      <c r="U2548" s="16"/>
      <c r="V2548" s="37" t="str">
        <f>IFERROR(__xludf.DUMMYFUNCTION("if(not(iserror(index(split(C2548, "" ""),2))), index(split(C2548, "" ""),1),"""")"),"")</f>
        <v/>
      </c>
      <c r="W2548" s="315" t="str">
        <f>IFERROR(__xludf.DUMMYFUNCTION("if(V2548="""",C2548,if(not(iserror(index(split(C2548, "" ""),3))), index(split(C2548, "" ""),3),index(split(C2548, "" ""),2)))"),"")</f>
        <v/>
      </c>
      <c r="X2548" s="38" t="b">
        <f t="shared" si="2"/>
        <v>0</v>
      </c>
      <c r="Y2548" s="38"/>
      <c r="Z2548" s="40"/>
      <c r="AA2548" s="40"/>
      <c r="AB2548" s="38"/>
      <c r="AC2548" s="38"/>
      <c r="AD2548" s="38"/>
      <c r="AE2548" s="38"/>
      <c r="AF2548" s="38"/>
      <c r="AG2548" s="38"/>
      <c r="AH2548" s="38"/>
      <c r="AI2548" s="38"/>
      <c r="AJ2548" s="38"/>
      <c r="AK2548" s="38"/>
      <c r="AL2548" s="38"/>
      <c r="AM2548" s="38"/>
      <c r="AN2548" s="38"/>
      <c r="AO2548" s="38"/>
      <c r="AP2548" s="38"/>
      <c r="AQ2548" s="38"/>
      <c r="AR2548" s="38"/>
      <c r="AS2548" s="38"/>
      <c r="AT2548" s="38"/>
      <c r="AU2548" s="38"/>
      <c r="AV2548" s="38"/>
      <c r="AW2548" s="38"/>
      <c r="AX2548" s="38"/>
      <c r="AY2548" s="38"/>
      <c r="AZ2548" s="38"/>
      <c r="BA2548" s="38"/>
      <c r="BB2548" s="38"/>
      <c r="BC2548" s="38"/>
      <c r="BD2548" s="38"/>
      <c r="BE2548" s="38"/>
      <c r="BF2548" s="38"/>
      <c r="BG2548" s="38"/>
    </row>
    <row r="2549">
      <c r="A2549" s="16"/>
      <c r="B2549" s="16"/>
      <c r="C2549" s="146"/>
      <c r="D2549" s="146"/>
      <c r="E2549" s="16"/>
      <c r="F2549" s="91"/>
      <c r="G2549" s="16"/>
      <c r="H2549" s="320" t="str">
        <f t="shared" si="1"/>
        <v/>
      </c>
      <c r="I2549" s="16"/>
      <c r="J2549" s="16"/>
      <c r="K2549" s="16"/>
      <c r="L2549" s="38"/>
      <c r="M2549" s="16"/>
      <c r="N2549" s="16"/>
      <c r="O2549" s="16"/>
      <c r="P2549" s="15"/>
      <c r="Q2549" s="15"/>
      <c r="R2549" s="16"/>
      <c r="S2549" s="16"/>
      <c r="T2549" s="16"/>
      <c r="U2549" s="16"/>
      <c r="V2549" s="37" t="str">
        <f>IFERROR(__xludf.DUMMYFUNCTION("if(not(iserror(index(split(C2549, "" ""),2))), index(split(C2549, "" ""),1),"""")"),"")</f>
        <v/>
      </c>
      <c r="W2549" s="315" t="str">
        <f>IFERROR(__xludf.DUMMYFUNCTION("if(V2549="""",C2549,if(not(iserror(index(split(C2549, "" ""),3))), index(split(C2549, "" ""),3),index(split(C2549, "" ""),2)))"),"")</f>
        <v/>
      </c>
      <c r="X2549" s="38" t="b">
        <f t="shared" si="2"/>
        <v>0</v>
      </c>
      <c r="Y2549" s="38"/>
      <c r="Z2549" s="40"/>
      <c r="AA2549" s="40"/>
      <c r="AB2549" s="38"/>
      <c r="AC2549" s="38"/>
      <c r="AD2549" s="38"/>
      <c r="AE2549" s="38"/>
      <c r="AF2549" s="38"/>
      <c r="AG2549" s="38"/>
      <c r="AH2549" s="38"/>
      <c r="AI2549" s="38"/>
      <c r="AJ2549" s="38"/>
      <c r="AK2549" s="38"/>
      <c r="AL2549" s="38"/>
      <c r="AM2549" s="38"/>
      <c r="AN2549" s="38"/>
      <c r="AO2549" s="38"/>
      <c r="AP2549" s="38"/>
      <c r="AQ2549" s="38"/>
      <c r="AR2549" s="38"/>
      <c r="AS2549" s="38"/>
      <c r="AT2549" s="38"/>
      <c r="AU2549" s="38"/>
      <c r="AV2549" s="38"/>
      <c r="AW2549" s="38"/>
      <c r="AX2549" s="38"/>
      <c r="AY2549" s="38"/>
      <c r="AZ2549" s="38"/>
      <c r="BA2549" s="38"/>
      <c r="BB2549" s="38"/>
      <c r="BC2549" s="38"/>
      <c r="BD2549" s="38"/>
      <c r="BE2549" s="38"/>
      <c r="BF2549" s="38"/>
      <c r="BG2549" s="38"/>
    </row>
    <row r="2550">
      <c r="A2550" s="16"/>
      <c r="B2550" s="16"/>
      <c r="C2550" s="146"/>
      <c r="D2550" s="146"/>
      <c r="E2550" s="16"/>
      <c r="F2550" s="91"/>
      <c r="G2550" s="16"/>
      <c r="H2550" s="320" t="str">
        <f t="shared" si="1"/>
        <v/>
      </c>
      <c r="I2550" s="16"/>
      <c r="J2550" s="16"/>
      <c r="K2550" s="16"/>
      <c r="L2550" s="38"/>
      <c r="M2550" s="16"/>
      <c r="N2550" s="16"/>
      <c r="O2550" s="16"/>
      <c r="P2550" s="15"/>
      <c r="Q2550" s="15"/>
      <c r="R2550" s="16"/>
      <c r="S2550" s="16"/>
      <c r="T2550" s="16"/>
      <c r="U2550" s="16"/>
      <c r="V2550" s="37" t="str">
        <f>IFERROR(__xludf.DUMMYFUNCTION("if(not(iserror(index(split(C2550, "" ""),2))), index(split(C2550, "" ""),1),"""")"),"")</f>
        <v/>
      </c>
      <c r="W2550" s="315" t="str">
        <f>IFERROR(__xludf.DUMMYFUNCTION("if(V2550="""",C2550,if(not(iserror(index(split(C2550, "" ""),3))), index(split(C2550, "" ""),3),index(split(C2550, "" ""),2)))"),"")</f>
        <v/>
      </c>
      <c r="X2550" s="38" t="b">
        <f t="shared" si="2"/>
        <v>0</v>
      </c>
      <c r="Y2550" s="38"/>
      <c r="Z2550" s="40"/>
      <c r="AA2550" s="40"/>
      <c r="AB2550" s="38"/>
      <c r="AC2550" s="38"/>
      <c r="AD2550" s="38"/>
      <c r="AE2550" s="38"/>
      <c r="AF2550" s="38"/>
      <c r="AG2550" s="38"/>
      <c r="AH2550" s="38"/>
      <c r="AI2550" s="38"/>
      <c r="AJ2550" s="38"/>
      <c r="AK2550" s="38"/>
      <c r="AL2550" s="38"/>
      <c r="AM2550" s="38"/>
      <c r="AN2550" s="38"/>
      <c r="AO2550" s="38"/>
      <c r="AP2550" s="38"/>
      <c r="AQ2550" s="38"/>
      <c r="AR2550" s="38"/>
      <c r="AS2550" s="38"/>
      <c r="AT2550" s="38"/>
      <c r="AU2550" s="38"/>
      <c r="AV2550" s="38"/>
      <c r="AW2550" s="38"/>
      <c r="AX2550" s="38"/>
      <c r="AY2550" s="38"/>
      <c r="AZ2550" s="38"/>
      <c r="BA2550" s="38"/>
      <c r="BB2550" s="38"/>
      <c r="BC2550" s="38"/>
      <c r="BD2550" s="38"/>
      <c r="BE2550" s="38"/>
      <c r="BF2550" s="38"/>
      <c r="BG2550" s="38"/>
    </row>
    <row r="2551">
      <c r="A2551" s="16"/>
      <c r="B2551" s="16"/>
      <c r="C2551" s="146"/>
      <c r="D2551" s="146"/>
      <c r="E2551" s="16"/>
      <c r="F2551" s="91"/>
      <c r="G2551" s="16"/>
      <c r="H2551" s="320" t="str">
        <f t="shared" si="1"/>
        <v/>
      </c>
      <c r="I2551" s="16"/>
      <c r="J2551" s="16"/>
      <c r="K2551" s="16"/>
      <c r="L2551" s="38"/>
      <c r="M2551" s="16"/>
      <c r="N2551" s="16"/>
      <c r="O2551" s="16"/>
      <c r="P2551" s="15"/>
      <c r="Q2551" s="15"/>
      <c r="R2551" s="16"/>
      <c r="S2551" s="16"/>
      <c r="T2551" s="16"/>
      <c r="U2551" s="16"/>
      <c r="V2551" s="37" t="str">
        <f>IFERROR(__xludf.DUMMYFUNCTION("if(not(iserror(index(split(C2551, "" ""),2))), index(split(C2551, "" ""),1),"""")"),"")</f>
        <v/>
      </c>
      <c r="W2551" s="315" t="str">
        <f>IFERROR(__xludf.DUMMYFUNCTION("if(V2551="""",C2551,if(not(iserror(index(split(C2551, "" ""),3))), index(split(C2551, "" ""),3),index(split(C2551, "" ""),2)))"),"")</f>
        <v/>
      </c>
      <c r="X2551" s="38" t="b">
        <f t="shared" si="2"/>
        <v>0</v>
      </c>
      <c r="Y2551" s="38"/>
      <c r="Z2551" s="40"/>
      <c r="AA2551" s="40"/>
      <c r="AB2551" s="38"/>
      <c r="AC2551" s="38"/>
      <c r="AD2551" s="38"/>
      <c r="AE2551" s="38"/>
      <c r="AF2551" s="38"/>
      <c r="AG2551" s="38"/>
      <c r="AH2551" s="38"/>
      <c r="AI2551" s="38"/>
      <c r="AJ2551" s="38"/>
      <c r="AK2551" s="38"/>
      <c r="AL2551" s="38"/>
      <c r="AM2551" s="38"/>
      <c r="AN2551" s="38"/>
      <c r="AO2551" s="38"/>
      <c r="AP2551" s="38"/>
      <c r="AQ2551" s="38"/>
      <c r="AR2551" s="38"/>
      <c r="AS2551" s="38"/>
      <c r="AT2551" s="38"/>
      <c r="AU2551" s="38"/>
      <c r="AV2551" s="38"/>
      <c r="AW2551" s="38"/>
      <c r="AX2551" s="38"/>
      <c r="AY2551" s="38"/>
      <c r="AZ2551" s="38"/>
      <c r="BA2551" s="38"/>
      <c r="BB2551" s="38"/>
      <c r="BC2551" s="38"/>
      <c r="BD2551" s="38"/>
      <c r="BE2551" s="38"/>
      <c r="BF2551" s="38"/>
      <c r="BG2551" s="38"/>
    </row>
    <row r="2552">
      <c r="A2552" s="16"/>
      <c r="B2552" s="16"/>
      <c r="C2552" s="146"/>
      <c r="D2552" s="146"/>
      <c r="E2552" s="16"/>
      <c r="F2552" s="91"/>
      <c r="G2552" s="16"/>
      <c r="H2552" s="320" t="str">
        <f t="shared" si="1"/>
        <v/>
      </c>
      <c r="I2552" s="16"/>
      <c r="J2552" s="16"/>
      <c r="K2552" s="16"/>
      <c r="L2552" s="38"/>
      <c r="M2552" s="16"/>
      <c r="N2552" s="16"/>
      <c r="O2552" s="16"/>
      <c r="P2552" s="15"/>
      <c r="Q2552" s="15"/>
      <c r="R2552" s="16"/>
      <c r="S2552" s="16"/>
      <c r="T2552" s="16"/>
      <c r="U2552" s="16"/>
      <c r="V2552" s="37" t="str">
        <f>IFERROR(__xludf.DUMMYFUNCTION("if(not(iserror(index(split(C2552, "" ""),2))), index(split(C2552, "" ""),1),"""")"),"")</f>
        <v/>
      </c>
      <c r="W2552" s="315" t="str">
        <f>IFERROR(__xludf.DUMMYFUNCTION("if(V2552="""",C2552,if(not(iserror(index(split(C2552, "" ""),3))), index(split(C2552, "" ""),3),index(split(C2552, "" ""),2)))"),"")</f>
        <v/>
      </c>
      <c r="X2552" s="38" t="b">
        <f t="shared" si="2"/>
        <v>0</v>
      </c>
      <c r="Y2552" s="38"/>
      <c r="Z2552" s="40"/>
      <c r="AA2552" s="40"/>
      <c r="AB2552" s="38"/>
      <c r="AC2552" s="38"/>
      <c r="AD2552" s="38"/>
      <c r="AE2552" s="38"/>
      <c r="AF2552" s="38"/>
      <c r="AG2552" s="38"/>
      <c r="AH2552" s="38"/>
      <c r="AI2552" s="38"/>
      <c r="AJ2552" s="38"/>
      <c r="AK2552" s="38"/>
      <c r="AL2552" s="38"/>
      <c r="AM2552" s="38"/>
      <c r="AN2552" s="38"/>
      <c r="AO2552" s="38"/>
      <c r="AP2552" s="38"/>
      <c r="AQ2552" s="38"/>
      <c r="AR2552" s="38"/>
      <c r="AS2552" s="38"/>
      <c r="AT2552" s="38"/>
      <c r="AU2552" s="38"/>
      <c r="AV2552" s="38"/>
      <c r="AW2552" s="38"/>
      <c r="AX2552" s="38"/>
      <c r="AY2552" s="38"/>
      <c r="AZ2552" s="38"/>
      <c r="BA2552" s="38"/>
      <c r="BB2552" s="38"/>
      <c r="BC2552" s="38"/>
      <c r="BD2552" s="38"/>
      <c r="BE2552" s="38"/>
      <c r="BF2552" s="38"/>
      <c r="BG2552" s="38"/>
    </row>
    <row r="2553">
      <c r="A2553" s="16"/>
      <c r="B2553" s="16"/>
      <c r="C2553" s="146"/>
      <c r="D2553" s="146"/>
      <c r="E2553" s="16"/>
      <c r="F2553" s="91"/>
      <c r="G2553" s="16"/>
      <c r="H2553" s="320" t="str">
        <f t="shared" si="1"/>
        <v/>
      </c>
      <c r="I2553" s="16"/>
      <c r="J2553" s="16"/>
      <c r="K2553" s="16"/>
      <c r="L2553" s="38"/>
      <c r="M2553" s="16"/>
      <c r="N2553" s="16"/>
      <c r="O2553" s="16"/>
      <c r="P2553" s="15"/>
      <c r="Q2553" s="15"/>
      <c r="R2553" s="16"/>
      <c r="S2553" s="16"/>
      <c r="T2553" s="16"/>
      <c r="U2553" s="16"/>
      <c r="V2553" s="37" t="str">
        <f>IFERROR(__xludf.DUMMYFUNCTION("if(not(iserror(index(split(C2553, "" ""),2))), index(split(C2553, "" ""),1),"""")"),"")</f>
        <v/>
      </c>
      <c r="W2553" s="315" t="str">
        <f>IFERROR(__xludf.DUMMYFUNCTION("if(V2553="""",C2553,if(not(iserror(index(split(C2553, "" ""),3))), index(split(C2553, "" ""),3),index(split(C2553, "" ""),2)))"),"")</f>
        <v/>
      </c>
      <c r="X2553" s="38" t="b">
        <f t="shared" si="2"/>
        <v>0</v>
      </c>
      <c r="Y2553" s="38"/>
      <c r="Z2553" s="40"/>
      <c r="AA2553" s="40"/>
      <c r="AB2553" s="38"/>
      <c r="AC2553" s="38"/>
      <c r="AD2553" s="38"/>
      <c r="AE2553" s="38"/>
      <c r="AF2553" s="38"/>
      <c r="AG2553" s="38"/>
      <c r="AH2553" s="38"/>
      <c r="AI2553" s="38"/>
      <c r="AJ2553" s="38"/>
      <c r="AK2553" s="38"/>
      <c r="AL2553" s="38"/>
      <c r="AM2553" s="38"/>
      <c r="AN2553" s="38"/>
      <c r="AO2553" s="38"/>
      <c r="AP2553" s="38"/>
      <c r="AQ2553" s="38"/>
      <c r="AR2553" s="38"/>
      <c r="AS2553" s="38"/>
      <c r="AT2553" s="38"/>
      <c r="AU2553" s="38"/>
      <c r="AV2553" s="38"/>
      <c r="AW2553" s="38"/>
      <c r="AX2553" s="38"/>
      <c r="AY2553" s="38"/>
      <c r="AZ2553" s="38"/>
      <c r="BA2553" s="38"/>
      <c r="BB2553" s="38"/>
      <c r="BC2553" s="38"/>
      <c r="BD2553" s="38"/>
      <c r="BE2553" s="38"/>
      <c r="BF2553" s="38"/>
      <c r="BG2553" s="38"/>
    </row>
    <row r="2554">
      <c r="A2554" s="16"/>
      <c r="B2554" s="16"/>
      <c r="C2554" s="146"/>
      <c r="D2554" s="146"/>
      <c r="E2554" s="16"/>
      <c r="F2554" s="91"/>
      <c r="G2554" s="16"/>
      <c r="H2554" s="320" t="str">
        <f t="shared" si="1"/>
        <v/>
      </c>
      <c r="I2554" s="16"/>
      <c r="J2554" s="16"/>
      <c r="K2554" s="16"/>
      <c r="L2554" s="38"/>
      <c r="M2554" s="16"/>
      <c r="N2554" s="16"/>
      <c r="O2554" s="16"/>
      <c r="P2554" s="15"/>
      <c r="Q2554" s="15"/>
      <c r="R2554" s="16"/>
      <c r="S2554" s="16"/>
      <c r="T2554" s="16"/>
      <c r="U2554" s="16"/>
      <c r="V2554" s="37" t="str">
        <f>IFERROR(__xludf.DUMMYFUNCTION("if(not(iserror(index(split(C2554, "" ""),2))), index(split(C2554, "" ""),1),"""")"),"")</f>
        <v/>
      </c>
      <c r="W2554" s="315" t="str">
        <f>IFERROR(__xludf.DUMMYFUNCTION("if(V2554="""",C2554,if(not(iserror(index(split(C2554, "" ""),3))), index(split(C2554, "" ""),3),index(split(C2554, "" ""),2)))"),"")</f>
        <v/>
      </c>
      <c r="X2554" s="38" t="b">
        <f t="shared" si="2"/>
        <v>0</v>
      </c>
      <c r="Y2554" s="38"/>
      <c r="Z2554" s="40"/>
      <c r="AA2554" s="40"/>
      <c r="AB2554" s="38"/>
      <c r="AC2554" s="38"/>
      <c r="AD2554" s="38"/>
      <c r="AE2554" s="38"/>
      <c r="AF2554" s="38"/>
      <c r="AG2554" s="38"/>
      <c r="AH2554" s="38"/>
      <c r="AI2554" s="38"/>
      <c r="AJ2554" s="38"/>
      <c r="AK2554" s="38"/>
      <c r="AL2554" s="38"/>
      <c r="AM2554" s="38"/>
      <c r="AN2554" s="38"/>
      <c r="AO2554" s="38"/>
      <c r="AP2554" s="38"/>
      <c r="AQ2554" s="38"/>
      <c r="AR2554" s="38"/>
      <c r="AS2554" s="38"/>
      <c r="AT2554" s="38"/>
      <c r="AU2554" s="38"/>
      <c r="AV2554" s="38"/>
      <c r="AW2554" s="38"/>
      <c r="AX2554" s="38"/>
      <c r="AY2554" s="38"/>
      <c r="AZ2554" s="38"/>
      <c r="BA2554" s="38"/>
      <c r="BB2554" s="38"/>
      <c r="BC2554" s="38"/>
      <c r="BD2554" s="38"/>
      <c r="BE2554" s="38"/>
      <c r="BF2554" s="38"/>
      <c r="BG2554" s="38"/>
    </row>
    <row r="2555">
      <c r="A2555" s="16"/>
      <c r="B2555" s="16"/>
      <c r="C2555" s="146"/>
      <c r="D2555" s="146"/>
      <c r="E2555" s="16"/>
      <c r="F2555" s="91"/>
      <c r="G2555" s="16"/>
      <c r="H2555" s="320" t="str">
        <f t="shared" si="1"/>
        <v/>
      </c>
      <c r="I2555" s="16"/>
      <c r="J2555" s="16"/>
      <c r="K2555" s="16"/>
      <c r="L2555" s="38"/>
      <c r="M2555" s="16"/>
      <c r="N2555" s="16"/>
      <c r="O2555" s="16"/>
      <c r="P2555" s="15"/>
      <c r="Q2555" s="15"/>
      <c r="R2555" s="16"/>
      <c r="S2555" s="16"/>
      <c r="T2555" s="16"/>
      <c r="U2555" s="16"/>
      <c r="V2555" s="37" t="str">
        <f>IFERROR(__xludf.DUMMYFUNCTION("if(not(iserror(index(split(C2555, "" ""),2))), index(split(C2555, "" ""),1),"""")"),"")</f>
        <v/>
      </c>
      <c r="W2555" s="315" t="str">
        <f>IFERROR(__xludf.DUMMYFUNCTION("if(V2555="""",C2555,if(not(iserror(index(split(C2555, "" ""),3))), index(split(C2555, "" ""),3),index(split(C2555, "" ""),2)))"),"")</f>
        <v/>
      </c>
      <c r="X2555" s="38" t="b">
        <f t="shared" si="2"/>
        <v>0</v>
      </c>
      <c r="Y2555" s="38"/>
      <c r="Z2555" s="40"/>
      <c r="AA2555" s="40"/>
      <c r="AB2555" s="38"/>
      <c r="AC2555" s="38"/>
      <c r="AD2555" s="38"/>
      <c r="AE2555" s="38"/>
      <c r="AF2555" s="38"/>
      <c r="AG2555" s="38"/>
      <c r="AH2555" s="38"/>
      <c r="AI2555" s="38"/>
      <c r="AJ2555" s="38"/>
      <c r="AK2555" s="38"/>
      <c r="AL2555" s="38"/>
      <c r="AM2555" s="38"/>
      <c r="AN2555" s="38"/>
      <c r="AO2555" s="38"/>
      <c r="AP2555" s="38"/>
      <c r="AQ2555" s="38"/>
      <c r="AR2555" s="38"/>
      <c r="AS2555" s="38"/>
      <c r="AT2555" s="38"/>
      <c r="AU2555" s="38"/>
      <c r="AV2555" s="38"/>
      <c r="AW2555" s="38"/>
      <c r="AX2555" s="38"/>
      <c r="AY2555" s="38"/>
      <c r="AZ2555" s="38"/>
      <c r="BA2555" s="38"/>
      <c r="BB2555" s="38"/>
      <c r="BC2555" s="38"/>
      <c r="BD2555" s="38"/>
      <c r="BE2555" s="38"/>
      <c r="BF2555" s="38"/>
      <c r="BG2555" s="38"/>
    </row>
    <row r="2556">
      <c r="A2556" s="16"/>
      <c r="B2556" s="16"/>
      <c r="C2556" s="146"/>
      <c r="D2556" s="146"/>
      <c r="E2556" s="16"/>
      <c r="F2556" s="91"/>
      <c r="G2556" s="16"/>
      <c r="H2556" s="320" t="str">
        <f t="shared" si="1"/>
        <v/>
      </c>
      <c r="I2556" s="16"/>
      <c r="J2556" s="16"/>
      <c r="K2556" s="16"/>
      <c r="L2556" s="38"/>
      <c r="M2556" s="16"/>
      <c r="N2556" s="16"/>
      <c r="O2556" s="16"/>
      <c r="P2556" s="15"/>
      <c r="Q2556" s="15"/>
      <c r="R2556" s="16"/>
      <c r="S2556" s="16"/>
      <c r="T2556" s="16"/>
      <c r="U2556" s="16"/>
      <c r="V2556" s="37" t="str">
        <f>IFERROR(__xludf.DUMMYFUNCTION("if(not(iserror(index(split(C2556, "" ""),2))), index(split(C2556, "" ""),1),"""")"),"")</f>
        <v/>
      </c>
      <c r="W2556" s="315" t="str">
        <f>IFERROR(__xludf.DUMMYFUNCTION("if(V2556="""",C2556,if(not(iserror(index(split(C2556, "" ""),3))), index(split(C2556, "" ""),3),index(split(C2556, "" ""),2)))"),"")</f>
        <v/>
      </c>
      <c r="X2556" s="38" t="b">
        <f t="shared" si="2"/>
        <v>0</v>
      </c>
      <c r="Y2556" s="38"/>
      <c r="Z2556" s="40"/>
      <c r="AA2556" s="40"/>
      <c r="AB2556" s="38"/>
      <c r="AC2556" s="38"/>
      <c r="AD2556" s="38"/>
      <c r="AE2556" s="38"/>
      <c r="AF2556" s="38"/>
      <c r="AG2556" s="38"/>
      <c r="AH2556" s="38"/>
      <c r="AI2556" s="38"/>
      <c r="AJ2556" s="38"/>
      <c r="AK2556" s="38"/>
      <c r="AL2556" s="38"/>
      <c r="AM2556" s="38"/>
      <c r="AN2556" s="38"/>
      <c r="AO2556" s="38"/>
      <c r="AP2556" s="38"/>
      <c r="AQ2556" s="38"/>
      <c r="AR2556" s="38"/>
      <c r="AS2556" s="38"/>
      <c r="AT2556" s="38"/>
      <c r="AU2556" s="38"/>
      <c r="AV2556" s="38"/>
      <c r="AW2556" s="38"/>
      <c r="AX2556" s="38"/>
      <c r="AY2556" s="38"/>
      <c r="AZ2556" s="38"/>
      <c r="BA2556" s="38"/>
      <c r="BB2556" s="38"/>
      <c r="BC2556" s="38"/>
      <c r="BD2556" s="38"/>
      <c r="BE2556" s="38"/>
      <c r="BF2556" s="38"/>
      <c r="BG2556" s="38"/>
    </row>
    <row r="2557">
      <c r="A2557" s="16"/>
      <c r="B2557" s="16"/>
      <c r="C2557" s="146"/>
      <c r="D2557" s="146"/>
      <c r="E2557" s="16"/>
      <c r="F2557" s="91"/>
      <c r="G2557" s="16"/>
      <c r="H2557" s="320" t="str">
        <f t="shared" si="1"/>
        <v/>
      </c>
      <c r="I2557" s="16"/>
      <c r="J2557" s="16"/>
      <c r="K2557" s="16"/>
      <c r="L2557" s="38"/>
      <c r="M2557" s="16"/>
      <c r="N2557" s="16"/>
      <c r="O2557" s="16"/>
      <c r="P2557" s="15"/>
      <c r="Q2557" s="15"/>
      <c r="R2557" s="16"/>
      <c r="S2557" s="16"/>
      <c r="T2557" s="16"/>
      <c r="U2557" s="16"/>
      <c r="V2557" s="37" t="str">
        <f>IFERROR(__xludf.DUMMYFUNCTION("if(not(iserror(index(split(C2557, "" ""),2))), index(split(C2557, "" ""),1),"""")"),"")</f>
        <v/>
      </c>
      <c r="W2557" s="315" t="str">
        <f>IFERROR(__xludf.DUMMYFUNCTION("if(V2557="""",C2557,if(not(iserror(index(split(C2557, "" ""),3))), index(split(C2557, "" ""),3),index(split(C2557, "" ""),2)))"),"")</f>
        <v/>
      </c>
      <c r="X2557" s="38" t="b">
        <f t="shared" si="2"/>
        <v>0</v>
      </c>
      <c r="Y2557" s="38"/>
      <c r="Z2557" s="40"/>
      <c r="AA2557" s="40"/>
      <c r="AB2557" s="38"/>
      <c r="AC2557" s="38"/>
      <c r="AD2557" s="38"/>
      <c r="AE2557" s="38"/>
      <c r="AF2557" s="38"/>
      <c r="AG2557" s="38"/>
      <c r="AH2557" s="38"/>
      <c r="AI2557" s="38"/>
      <c r="AJ2557" s="38"/>
      <c r="AK2557" s="38"/>
      <c r="AL2557" s="38"/>
      <c r="AM2557" s="38"/>
      <c r="AN2557" s="38"/>
      <c r="AO2557" s="38"/>
      <c r="AP2557" s="38"/>
      <c r="AQ2557" s="38"/>
      <c r="AR2557" s="38"/>
      <c r="AS2557" s="38"/>
      <c r="AT2557" s="38"/>
      <c r="AU2557" s="38"/>
      <c r="AV2557" s="38"/>
      <c r="AW2557" s="38"/>
      <c r="AX2557" s="38"/>
      <c r="AY2557" s="38"/>
      <c r="AZ2557" s="38"/>
      <c r="BA2557" s="38"/>
      <c r="BB2557" s="38"/>
      <c r="BC2557" s="38"/>
      <c r="BD2557" s="38"/>
      <c r="BE2557" s="38"/>
      <c r="BF2557" s="38"/>
      <c r="BG2557" s="38"/>
    </row>
    <row r="2558">
      <c r="A2558" s="16"/>
      <c r="B2558" s="16"/>
      <c r="C2558" s="146"/>
      <c r="D2558" s="146"/>
      <c r="E2558" s="16"/>
      <c r="F2558" s="91"/>
      <c r="G2558" s="16"/>
      <c r="H2558" s="320" t="str">
        <f t="shared" si="1"/>
        <v/>
      </c>
      <c r="I2558" s="16"/>
      <c r="J2558" s="16"/>
      <c r="K2558" s="16"/>
      <c r="L2558" s="38"/>
      <c r="M2558" s="16"/>
      <c r="N2558" s="16"/>
      <c r="O2558" s="16"/>
      <c r="P2558" s="15"/>
      <c r="Q2558" s="15"/>
      <c r="R2558" s="16"/>
      <c r="S2558" s="16"/>
      <c r="T2558" s="16"/>
      <c r="U2558" s="16"/>
      <c r="V2558" s="37" t="str">
        <f>IFERROR(__xludf.DUMMYFUNCTION("if(not(iserror(index(split(C2558, "" ""),2))), index(split(C2558, "" ""),1),"""")"),"")</f>
        <v/>
      </c>
      <c r="W2558" s="315" t="str">
        <f>IFERROR(__xludf.DUMMYFUNCTION("if(V2558="""",C2558,if(not(iserror(index(split(C2558, "" ""),3))), index(split(C2558, "" ""),3),index(split(C2558, "" ""),2)))"),"")</f>
        <v/>
      </c>
      <c r="X2558" s="38" t="b">
        <f t="shared" si="2"/>
        <v>0</v>
      </c>
      <c r="Y2558" s="38"/>
      <c r="Z2558" s="40"/>
      <c r="AA2558" s="40"/>
      <c r="AB2558" s="38"/>
      <c r="AC2558" s="38"/>
      <c r="AD2558" s="38"/>
      <c r="AE2558" s="38"/>
      <c r="AF2558" s="38"/>
      <c r="AG2558" s="38"/>
      <c r="AH2558" s="38"/>
      <c r="AI2558" s="38"/>
      <c r="AJ2558" s="38"/>
      <c r="AK2558" s="38"/>
      <c r="AL2558" s="38"/>
      <c r="AM2558" s="38"/>
      <c r="AN2558" s="38"/>
      <c r="AO2558" s="38"/>
      <c r="AP2558" s="38"/>
      <c r="AQ2558" s="38"/>
      <c r="AR2558" s="38"/>
      <c r="AS2558" s="38"/>
      <c r="AT2558" s="38"/>
      <c r="AU2558" s="38"/>
      <c r="AV2558" s="38"/>
      <c r="AW2558" s="38"/>
      <c r="AX2558" s="38"/>
      <c r="AY2558" s="38"/>
      <c r="AZ2558" s="38"/>
      <c r="BA2558" s="38"/>
      <c r="BB2558" s="38"/>
      <c r="BC2558" s="38"/>
      <c r="BD2558" s="38"/>
      <c r="BE2558" s="38"/>
      <c r="BF2558" s="38"/>
      <c r="BG2558" s="38"/>
    </row>
    <row r="2559">
      <c r="A2559" s="16"/>
      <c r="B2559" s="16"/>
      <c r="C2559" s="146"/>
      <c r="D2559" s="146"/>
      <c r="E2559" s="16"/>
      <c r="F2559" s="91"/>
      <c r="G2559" s="16"/>
      <c r="H2559" s="320" t="str">
        <f t="shared" si="1"/>
        <v/>
      </c>
      <c r="I2559" s="16"/>
      <c r="J2559" s="16"/>
      <c r="K2559" s="16"/>
      <c r="L2559" s="38"/>
      <c r="M2559" s="16"/>
      <c r="N2559" s="16"/>
      <c r="O2559" s="16"/>
      <c r="P2559" s="15"/>
      <c r="Q2559" s="15"/>
      <c r="R2559" s="16"/>
      <c r="S2559" s="16"/>
      <c r="T2559" s="16"/>
      <c r="U2559" s="16"/>
      <c r="V2559" s="37" t="str">
        <f>IFERROR(__xludf.DUMMYFUNCTION("if(not(iserror(index(split(C2559, "" ""),2))), index(split(C2559, "" ""),1),"""")"),"")</f>
        <v/>
      </c>
      <c r="W2559" s="315" t="str">
        <f>IFERROR(__xludf.DUMMYFUNCTION("if(V2559="""",C2559,if(not(iserror(index(split(C2559, "" ""),3))), index(split(C2559, "" ""),3),index(split(C2559, "" ""),2)))"),"")</f>
        <v/>
      </c>
      <c r="X2559" s="38" t="b">
        <f t="shared" si="2"/>
        <v>0</v>
      </c>
      <c r="Y2559" s="38"/>
      <c r="Z2559" s="40"/>
      <c r="AA2559" s="40"/>
      <c r="AB2559" s="38"/>
      <c r="AC2559" s="38"/>
      <c r="AD2559" s="38"/>
      <c r="AE2559" s="38"/>
      <c r="AF2559" s="38"/>
      <c r="AG2559" s="38"/>
      <c r="AH2559" s="38"/>
      <c r="AI2559" s="38"/>
      <c r="AJ2559" s="38"/>
      <c r="AK2559" s="38"/>
      <c r="AL2559" s="38"/>
      <c r="AM2559" s="38"/>
      <c r="AN2559" s="38"/>
      <c r="AO2559" s="38"/>
      <c r="AP2559" s="38"/>
      <c r="AQ2559" s="38"/>
      <c r="AR2559" s="38"/>
      <c r="AS2559" s="38"/>
      <c r="AT2559" s="38"/>
      <c r="AU2559" s="38"/>
      <c r="AV2559" s="38"/>
      <c r="AW2559" s="38"/>
      <c r="AX2559" s="38"/>
      <c r="AY2559" s="38"/>
      <c r="AZ2559" s="38"/>
      <c r="BA2559" s="38"/>
      <c r="BB2559" s="38"/>
      <c r="BC2559" s="38"/>
      <c r="BD2559" s="38"/>
      <c r="BE2559" s="38"/>
      <c r="BF2559" s="38"/>
      <c r="BG2559" s="38"/>
    </row>
    <row r="2560">
      <c r="A2560" s="16"/>
      <c r="B2560" s="16"/>
      <c r="C2560" s="146"/>
      <c r="D2560" s="146"/>
      <c r="E2560" s="16"/>
      <c r="F2560" s="91"/>
      <c r="G2560" s="16"/>
      <c r="H2560" s="320" t="str">
        <f t="shared" si="1"/>
        <v/>
      </c>
      <c r="I2560" s="16"/>
      <c r="J2560" s="16"/>
      <c r="K2560" s="16"/>
      <c r="L2560" s="38"/>
      <c r="M2560" s="16"/>
      <c r="N2560" s="16"/>
      <c r="O2560" s="16"/>
      <c r="P2560" s="15"/>
      <c r="Q2560" s="15"/>
      <c r="R2560" s="16"/>
      <c r="S2560" s="16"/>
      <c r="T2560" s="16"/>
      <c r="U2560" s="16"/>
      <c r="V2560" s="37" t="str">
        <f>IFERROR(__xludf.DUMMYFUNCTION("if(not(iserror(index(split(C2560, "" ""),2))), index(split(C2560, "" ""),1),"""")"),"")</f>
        <v/>
      </c>
      <c r="W2560" s="315" t="str">
        <f>IFERROR(__xludf.DUMMYFUNCTION("if(V2560="""",C2560,if(not(iserror(index(split(C2560, "" ""),3))), index(split(C2560, "" ""),3),index(split(C2560, "" ""),2)))"),"")</f>
        <v/>
      </c>
      <c r="X2560" s="38" t="b">
        <f t="shared" si="2"/>
        <v>0</v>
      </c>
      <c r="Y2560" s="38"/>
      <c r="Z2560" s="40"/>
      <c r="AA2560" s="40"/>
      <c r="AB2560" s="38"/>
      <c r="AC2560" s="38"/>
      <c r="AD2560" s="38"/>
      <c r="AE2560" s="38"/>
      <c r="AF2560" s="38"/>
      <c r="AG2560" s="38"/>
      <c r="AH2560" s="38"/>
      <c r="AI2560" s="38"/>
      <c r="AJ2560" s="38"/>
      <c r="AK2560" s="38"/>
      <c r="AL2560" s="38"/>
      <c r="AM2560" s="38"/>
      <c r="AN2560" s="38"/>
      <c r="AO2560" s="38"/>
      <c r="AP2560" s="38"/>
      <c r="AQ2560" s="38"/>
      <c r="AR2560" s="38"/>
      <c r="AS2560" s="38"/>
      <c r="AT2560" s="38"/>
      <c r="AU2560" s="38"/>
      <c r="AV2560" s="38"/>
      <c r="AW2560" s="38"/>
      <c r="AX2560" s="38"/>
      <c r="AY2560" s="38"/>
      <c r="AZ2560" s="38"/>
      <c r="BA2560" s="38"/>
      <c r="BB2560" s="38"/>
      <c r="BC2560" s="38"/>
      <c r="BD2560" s="38"/>
      <c r="BE2560" s="38"/>
      <c r="BF2560" s="38"/>
      <c r="BG2560" s="38"/>
    </row>
    <row r="2561">
      <c r="A2561" s="16"/>
      <c r="B2561" s="16"/>
      <c r="C2561" s="146"/>
      <c r="D2561" s="146"/>
      <c r="E2561" s="16"/>
      <c r="F2561" s="91"/>
      <c r="G2561" s="16"/>
      <c r="H2561" s="320" t="str">
        <f t="shared" si="1"/>
        <v/>
      </c>
      <c r="I2561" s="16"/>
      <c r="J2561" s="16"/>
      <c r="K2561" s="16"/>
      <c r="L2561" s="38"/>
      <c r="M2561" s="16"/>
      <c r="N2561" s="16"/>
      <c r="O2561" s="16"/>
      <c r="P2561" s="15"/>
      <c r="Q2561" s="15"/>
      <c r="R2561" s="16"/>
      <c r="S2561" s="16"/>
      <c r="T2561" s="16"/>
      <c r="U2561" s="16"/>
      <c r="V2561" s="37" t="str">
        <f>IFERROR(__xludf.DUMMYFUNCTION("if(not(iserror(index(split(C2561, "" ""),2))), index(split(C2561, "" ""),1),"""")"),"")</f>
        <v/>
      </c>
      <c r="W2561" s="315" t="str">
        <f>IFERROR(__xludf.DUMMYFUNCTION("if(V2561="""",C2561,if(not(iserror(index(split(C2561, "" ""),3))), index(split(C2561, "" ""),3),index(split(C2561, "" ""),2)))"),"")</f>
        <v/>
      </c>
      <c r="X2561" s="38" t="b">
        <f t="shared" si="2"/>
        <v>0</v>
      </c>
      <c r="Y2561" s="38"/>
      <c r="Z2561" s="40"/>
      <c r="AA2561" s="40"/>
      <c r="AB2561" s="38"/>
      <c r="AC2561" s="38"/>
      <c r="AD2561" s="38"/>
      <c r="AE2561" s="38"/>
      <c r="AF2561" s="38"/>
      <c r="AG2561" s="38"/>
      <c r="AH2561" s="38"/>
      <c r="AI2561" s="38"/>
      <c r="AJ2561" s="38"/>
      <c r="AK2561" s="38"/>
      <c r="AL2561" s="38"/>
      <c r="AM2561" s="38"/>
      <c r="AN2561" s="38"/>
      <c r="AO2561" s="38"/>
      <c r="AP2561" s="38"/>
      <c r="AQ2561" s="38"/>
      <c r="AR2561" s="38"/>
      <c r="AS2561" s="38"/>
      <c r="AT2561" s="38"/>
      <c r="AU2561" s="38"/>
      <c r="AV2561" s="38"/>
      <c r="AW2561" s="38"/>
      <c r="AX2561" s="38"/>
      <c r="AY2561" s="38"/>
      <c r="AZ2561" s="38"/>
      <c r="BA2561" s="38"/>
      <c r="BB2561" s="38"/>
      <c r="BC2561" s="38"/>
      <c r="BD2561" s="38"/>
      <c r="BE2561" s="38"/>
      <c r="BF2561" s="38"/>
      <c r="BG2561" s="38"/>
    </row>
    <row r="2562">
      <c r="A2562" s="16"/>
      <c r="B2562" s="16"/>
      <c r="C2562" s="146"/>
      <c r="D2562" s="146"/>
      <c r="E2562" s="16"/>
      <c r="F2562" s="91"/>
      <c r="G2562" s="16"/>
      <c r="H2562" s="320" t="str">
        <f t="shared" si="1"/>
        <v/>
      </c>
      <c r="I2562" s="16"/>
      <c r="J2562" s="16"/>
      <c r="K2562" s="16"/>
      <c r="L2562" s="38"/>
      <c r="M2562" s="16"/>
      <c r="N2562" s="16"/>
      <c r="O2562" s="16"/>
      <c r="P2562" s="15"/>
      <c r="Q2562" s="15"/>
      <c r="R2562" s="16"/>
      <c r="S2562" s="16"/>
      <c r="T2562" s="16"/>
      <c r="U2562" s="16"/>
      <c r="V2562" s="37" t="str">
        <f>IFERROR(__xludf.DUMMYFUNCTION("if(not(iserror(index(split(C2562, "" ""),2))), index(split(C2562, "" ""),1),"""")"),"")</f>
        <v/>
      </c>
      <c r="W2562" s="315" t="str">
        <f>IFERROR(__xludf.DUMMYFUNCTION("if(V2562="""",C2562,if(not(iserror(index(split(C2562, "" ""),3))), index(split(C2562, "" ""),3),index(split(C2562, "" ""),2)))"),"")</f>
        <v/>
      </c>
      <c r="X2562" s="38" t="b">
        <f t="shared" si="2"/>
        <v>0</v>
      </c>
      <c r="Y2562" s="38"/>
      <c r="Z2562" s="40"/>
      <c r="AA2562" s="40"/>
      <c r="AB2562" s="38"/>
      <c r="AC2562" s="38"/>
      <c r="AD2562" s="38"/>
      <c r="AE2562" s="38"/>
      <c r="AF2562" s="38"/>
      <c r="AG2562" s="38"/>
      <c r="AH2562" s="38"/>
      <c r="AI2562" s="38"/>
      <c r="AJ2562" s="38"/>
      <c r="AK2562" s="38"/>
      <c r="AL2562" s="38"/>
      <c r="AM2562" s="38"/>
      <c r="AN2562" s="38"/>
      <c r="AO2562" s="38"/>
      <c r="AP2562" s="38"/>
      <c r="AQ2562" s="38"/>
      <c r="AR2562" s="38"/>
      <c r="AS2562" s="38"/>
      <c r="AT2562" s="38"/>
      <c r="AU2562" s="38"/>
      <c r="AV2562" s="38"/>
      <c r="AW2562" s="38"/>
      <c r="AX2562" s="38"/>
      <c r="AY2562" s="38"/>
      <c r="AZ2562" s="38"/>
      <c r="BA2562" s="38"/>
      <c r="BB2562" s="38"/>
      <c r="BC2562" s="38"/>
      <c r="BD2562" s="38"/>
      <c r="BE2562" s="38"/>
      <c r="BF2562" s="38"/>
      <c r="BG2562" s="38"/>
    </row>
    <row r="2563">
      <c r="A2563" s="16"/>
      <c r="B2563" s="16"/>
      <c r="C2563" s="146"/>
      <c r="D2563" s="146"/>
      <c r="E2563" s="16"/>
      <c r="F2563" s="91"/>
      <c r="G2563" s="16"/>
      <c r="H2563" s="320" t="str">
        <f t="shared" si="1"/>
        <v/>
      </c>
      <c r="I2563" s="16"/>
      <c r="J2563" s="16"/>
      <c r="K2563" s="16"/>
      <c r="L2563" s="38"/>
      <c r="M2563" s="16"/>
      <c r="N2563" s="16"/>
      <c r="O2563" s="16"/>
      <c r="P2563" s="15"/>
      <c r="Q2563" s="15"/>
      <c r="R2563" s="16"/>
      <c r="S2563" s="16"/>
      <c r="T2563" s="16"/>
      <c r="U2563" s="16"/>
      <c r="V2563" s="37" t="str">
        <f>IFERROR(__xludf.DUMMYFUNCTION("if(not(iserror(index(split(C2563, "" ""),2))), index(split(C2563, "" ""),1),"""")"),"")</f>
        <v/>
      </c>
      <c r="W2563" s="315" t="str">
        <f>IFERROR(__xludf.DUMMYFUNCTION("if(V2563="""",C2563,if(not(iserror(index(split(C2563, "" ""),3))), index(split(C2563, "" ""),3),index(split(C2563, "" ""),2)))"),"")</f>
        <v/>
      </c>
      <c r="X2563" s="38" t="b">
        <f t="shared" si="2"/>
        <v>0</v>
      </c>
      <c r="Y2563" s="38"/>
      <c r="Z2563" s="40"/>
      <c r="AA2563" s="40"/>
      <c r="AB2563" s="38"/>
      <c r="AC2563" s="38"/>
      <c r="AD2563" s="38"/>
      <c r="AE2563" s="38"/>
      <c r="AF2563" s="38"/>
      <c r="AG2563" s="38"/>
      <c r="AH2563" s="38"/>
      <c r="AI2563" s="38"/>
      <c r="AJ2563" s="38"/>
      <c r="AK2563" s="38"/>
      <c r="AL2563" s="38"/>
      <c r="AM2563" s="38"/>
      <c r="AN2563" s="38"/>
      <c r="AO2563" s="38"/>
      <c r="AP2563" s="38"/>
      <c r="AQ2563" s="38"/>
      <c r="AR2563" s="38"/>
      <c r="AS2563" s="38"/>
      <c r="AT2563" s="38"/>
      <c r="AU2563" s="38"/>
      <c r="AV2563" s="38"/>
      <c r="AW2563" s="38"/>
      <c r="AX2563" s="38"/>
      <c r="AY2563" s="38"/>
      <c r="AZ2563" s="38"/>
      <c r="BA2563" s="38"/>
      <c r="BB2563" s="38"/>
      <c r="BC2563" s="38"/>
      <c r="BD2563" s="38"/>
      <c r="BE2563" s="38"/>
      <c r="BF2563" s="38"/>
      <c r="BG2563" s="38"/>
    </row>
    <row r="2564">
      <c r="A2564" s="16"/>
      <c r="B2564" s="16"/>
      <c r="C2564" s="146"/>
      <c r="D2564" s="146"/>
      <c r="E2564" s="16"/>
      <c r="F2564" s="91"/>
      <c r="G2564" s="16"/>
      <c r="H2564" s="320" t="str">
        <f t="shared" si="1"/>
        <v/>
      </c>
      <c r="I2564" s="16"/>
      <c r="J2564" s="16"/>
      <c r="K2564" s="16"/>
      <c r="L2564" s="38"/>
      <c r="M2564" s="16"/>
      <c r="N2564" s="16"/>
      <c r="O2564" s="16"/>
      <c r="P2564" s="15"/>
      <c r="Q2564" s="15"/>
      <c r="R2564" s="16"/>
      <c r="S2564" s="16"/>
      <c r="T2564" s="16"/>
      <c r="U2564" s="16"/>
      <c r="V2564" s="37" t="str">
        <f>IFERROR(__xludf.DUMMYFUNCTION("if(not(iserror(index(split(C2564, "" ""),2))), index(split(C2564, "" ""),1),"""")"),"")</f>
        <v/>
      </c>
      <c r="W2564" s="315" t="str">
        <f>IFERROR(__xludf.DUMMYFUNCTION("if(V2564="""",C2564,if(not(iserror(index(split(C2564, "" ""),3))), index(split(C2564, "" ""),3),index(split(C2564, "" ""),2)))"),"")</f>
        <v/>
      </c>
      <c r="X2564" s="38" t="b">
        <f t="shared" si="2"/>
        <v>0</v>
      </c>
      <c r="Y2564" s="38"/>
      <c r="Z2564" s="40"/>
      <c r="AA2564" s="40"/>
      <c r="AB2564" s="38"/>
      <c r="AC2564" s="38"/>
      <c r="AD2564" s="38"/>
      <c r="AE2564" s="38"/>
      <c r="AF2564" s="38"/>
      <c r="AG2564" s="38"/>
      <c r="AH2564" s="38"/>
      <c r="AI2564" s="38"/>
      <c r="AJ2564" s="38"/>
      <c r="AK2564" s="38"/>
      <c r="AL2564" s="38"/>
      <c r="AM2564" s="38"/>
      <c r="AN2564" s="38"/>
      <c r="AO2564" s="38"/>
      <c r="AP2564" s="38"/>
      <c r="AQ2564" s="38"/>
      <c r="AR2564" s="38"/>
      <c r="AS2564" s="38"/>
      <c r="AT2564" s="38"/>
      <c r="AU2564" s="38"/>
      <c r="AV2564" s="38"/>
      <c r="AW2564" s="38"/>
      <c r="AX2564" s="38"/>
      <c r="AY2564" s="38"/>
      <c r="AZ2564" s="38"/>
      <c r="BA2564" s="38"/>
      <c r="BB2564" s="38"/>
      <c r="BC2564" s="38"/>
      <c r="BD2564" s="38"/>
      <c r="BE2564" s="38"/>
      <c r="BF2564" s="38"/>
      <c r="BG2564" s="38"/>
    </row>
    <row r="2565">
      <c r="A2565" s="16"/>
      <c r="B2565" s="16"/>
      <c r="C2565" s="146"/>
      <c r="D2565" s="146"/>
      <c r="E2565" s="16"/>
      <c r="F2565" s="91"/>
      <c r="G2565" s="16"/>
      <c r="H2565" s="320" t="str">
        <f t="shared" si="1"/>
        <v/>
      </c>
      <c r="I2565" s="16"/>
      <c r="J2565" s="16"/>
      <c r="K2565" s="16"/>
      <c r="L2565" s="38"/>
      <c r="M2565" s="16"/>
      <c r="N2565" s="16"/>
      <c r="O2565" s="16"/>
      <c r="P2565" s="15"/>
      <c r="Q2565" s="15"/>
      <c r="R2565" s="16"/>
      <c r="S2565" s="16"/>
      <c r="T2565" s="16"/>
      <c r="U2565" s="16"/>
      <c r="V2565" s="37" t="str">
        <f>IFERROR(__xludf.DUMMYFUNCTION("if(not(iserror(index(split(C2565, "" ""),2))), index(split(C2565, "" ""),1),"""")"),"")</f>
        <v/>
      </c>
      <c r="W2565" s="315" t="str">
        <f>IFERROR(__xludf.DUMMYFUNCTION("if(V2565="""",C2565,if(not(iserror(index(split(C2565, "" ""),3))), index(split(C2565, "" ""),3),index(split(C2565, "" ""),2)))"),"")</f>
        <v/>
      </c>
      <c r="X2565" s="38" t="b">
        <f t="shared" si="2"/>
        <v>0</v>
      </c>
      <c r="Y2565" s="38"/>
      <c r="Z2565" s="40"/>
      <c r="AA2565" s="40"/>
      <c r="AB2565" s="38"/>
      <c r="AC2565" s="38"/>
      <c r="AD2565" s="38"/>
      <c r="AE2565" s="38"/>
      <c r="AF2565" s="38"/>
      <c r="AG2565" s="38"/>
      <c r="AH2565" s="38"/>
      <c r="AI2565" s="38"/>
      <c r="AJ2565" s="38"/>
      <c r="AK2565" s="38"/>
      <c r="AL2565" s="38"/>
      <c r="AM2565" s="38"/>
      <c r="AN2565" s="38"/>
      <c r="AO2565" s="38"/>
      <c r="AP2565" s="38"/>
      <c r="AQ2565" s="38"/>
      <c r="AR2565" s="38"/>
      <c r="AS2565" s="38"/>
      <c r="AT2565" s="38"/>
      <c r="AU2565" s="38"/>
      <c r="AV2565" s="38"/>
      <c r="AW2565" s="38"/>
      <c r="AX2565" s="38"/>
      <c r="AY2565" s="38"/>
      <c r="AZ2565" s="38"/>
      <c r="BA2565" s="38"/>
      <c r="BB2565" s="38"/>
      <c r="BC2565" s="38"/>
      <c r="BD2565" s="38"/>
      <c r="BE2565" s="38"/>
      <c r="BF2565" s="38"/>
      <c r="BG2565" s="38"/>
    </row>
    <row r="2566">
      <c r="A2566" s="16"/>
      <c r="B2566" s="16"/>
      <c r="C2566" s="146"/>
      <c r="D2566" s="146"/>
      <c r="E2566" s="16"/>
      <c r="F2566" s="91"/>
      <c r="G2566" s="16"/>
      <c r="H2566" s="320" t="str">
        <f t="shared" si="1"/>
        <v/>
      </c>
      <c r="I2566" s="16"/>
      <c r="J2566" s="16"/>
      <c r="K2566" s="16"/>
      <c r="L2566" s="38"/>
      <c r="M2566" s="16"/>
      <c r="N2566" s="16"/>
      <c r="O2566" s="16"/>
      <c r="P2566" s="15"/>
      <c r="Q2566" s="15"/>
      <c r="R2566" s="16"/>
      <c r="S2566" s="16"/>
      <c r="T2566" s="16"/>
      <c r="U2566" s="16"/>
      <c r="V2566" s="37" t="str">
        <f>IFERROR(__xludf.DUMMYFUNCTION("if(not(iserror(index(split(C2566, "" ""),2))), index(split(C2566, "" ""),1),"""")"),"")</f>
        <v/>
      </c>
      <c r="W2566" s="315" t="str">
        <f>IFERROR(__xludf.DUMMYFUNCTION("if(V2566="""",C2566,if(not(iserror(index(split(C2566, "" ""),3))), index(split(C2566, "" ""),3),index(split(C2566, "" ""),2)))"),"")</f>
        <v/>
      </c>
      <c r="X2566" s="38" t="b">
        <f t="shared" si="2"/>
        <v>0</v>
      </c>
      <c r="Y2566" s="38"/>
      <c r="Z2566" s="40"/>
      <c r="AA2566" s="40"/>
      <c r="AB2566" s="38"/>
      <c r="AC2566" s="38"/>
      <c r="AD2566" s="38"/>
      <c r="AE2566" s="38"/>
      <c r="AF2566" s="38"/>
      <c r="AG2566" s="38"/>
      <c r="AH2566" s="38"/>
      <c r="AI2566" s="38"/>
      <c r="AJ2566" s="38"/>
      <c r="AK2566" s="38"/>
      <c r="AL2566" s="38"/>
      <c r="AM2566" s="38"/>
      <c r="AN2566" s="38"/>
      <c r="AO2566" s="38"/>
      <c r="AP2566" s="38"/>
      <c r="AQ2566" s="38"/>
      <c r="AR2566" s="38"/>
      <c r="AS2566" s="38"/>
      <c r="AT2566" s="38"/>
      <c r="AU2566" s="38"/>
      <c r="AV2566" s="38"/>
      <c r="AW2566" s="38"/>
      <c r="AX2566" s="38"/>
      <c r="AY2566" s="38"/>
      <c r="AZ2566" s="38"/>
      <c r="BA2566" s="38"/>
      <c r="BB2566" s="38"/>
      <c r="BC2566" s="38"/>
      <c r="BD2566" s="38"/>
      <c r="BE2566" s="38"/>
      <c r="BF2566" s="38"/>
      <c r="BG2566" s="38"/>
    </row>
    <row r="2567">
      <c r="A2567" s="16"/>
      <c r="B2567" s="16"/>
      <c r="C2567" s="146"/>
      <c r="D2567" s="146"/>
      <c r="E2567" s="16"/>
      <c r="F2567" s="91"/>
      <c r="G2567" s="16"/>
      <c r="H2567" s="320" t="str">
        <f t="shared" si="1"/>
        <v/>
      </c>
      <c r="I2567" s="16"/>
      <c r="J2567" s="16"/>
      <c r="K2567" s="16"/>
      <c r="L2567" s="38"/>
      <c r="M2567" s="16"/>
      <c r="N2567" s="16"/>
      <c r="O2567" s="16"/>
      <c r="P2567" s="15"/>
      <c r="Q2567" s="15"/>
      <c r="R2567" s="16"/>
      <c r="S2567" s="16"/>
      <c r="T2567" s="16"/>
      <c r="U2567" s="16"/>
      <c r="V2567" s="37" t="str">
        <f>IFERROR(__xludf.DUMMYFUNCTION("if(not(iserror(index(split(C2567, "" ""),2))), index(split(C2567, "" ""),1),"""")"),"")</f>
        <v/>
      </c>
      <c r="W2567" s="315" t="str">
        <f>IFERROR(__xludf.DUMMYFUNCTION("if(V2567="""",C2567,if(not(iserror(index(split(C2567, "" ""),3))), index(split(C2567, "" ""),3),index(split(C2567, "" ""),2)))"),"")</f>
        <v/>
      </c>
      <c r="X2567" s="38" t="b">
        <f t="shared" si="2"/>
        <v>0</v>
      </c>
      <c r="Y2567" s="38"/>
      <c r="Z2567" s="40"/>
      <c r="AA2567" s="40"/>
      <c r="AB2567" s="38"/>
      <c r="AC2567" s="38"/>
      <c r="AD2567" s="38"/>
      <c r="AE2567" s="38"/>
      <c r="AF2567" s="38"/>
      <c r="AG2567" s="38"/>
      <c r="AH2567" s="38"/>
      <c r="AI2567" s="38"/>
      <c r="AJ2567" s="38"/>
      <c r="AK2567" s="38"/>
      <c r="AL2567" s="38"/>
      <c r="AM2567" s="38"/>
      <c r="AN2567" s="38"/>
      <c r="AO2567" s="38"/>
      <c r="AP2567" s="38"/>
      <c r="AQ2567" s="38"/>
      <c r="AR2567" s="38"/>
      <c r="AS2567" s="38"/>
      <c r="AT2567" s="38"/>
      <c r="AU2567" s="38"/>
      <c r="AV2567" s="38"/>
      <c r="AW2567" s="38"/>
      <c r="AX2567" s="38"/>
      <c r="AY2567" s="38"/>
      <c r="AZ2567" s="38"/>
      <c r="BA2567" s="38"/>
      <c r="BB2567" s="38"/>
      <c r="BC2567" s="38"/>
      <c r="BD2567" s="38"/>
      <c r="BE2567" s="38"/>
      <c r="BF2567" s="38"/>
      <c r="BG2567" s="38"/>
    </row>
    <row r="2568">
      <c r="A2568" s="16"/>
      <c r="B2568" s="16"/>
      <c r="C2568" s="146"/>
      <c r="D2568" s="146"/>
      <c r="E2568" s="16"/>
      <c r="F2568" s="91"/>
      <c r="G2568" s="16"/>
      <c r="H2568" s="320" t="str">
        <f t="shared" si="1"/>
        <v/>
      </c>
      <c r="I2568" s="16"/>
      <c r="J2568" s="16"/>
      <c r="K2568" s="16"/>
      <c r="L2568" s="38"/>
      <c r="M2568" s="16"/>
      <c r="N2568" s="16"/>
      <c r="O2568" s="16"/>
      <c r="P2568" s="15"/>
      <c r="Q2568" s="15"/>
      <c r="R2568" s="16"/>
      <c r="S2568" s="16"/>
      <c r="T2568" s="16"/>
      <c r="U2568" s="16"/>
      <c r="V2568" s="37" t="str">
        <f>IFERROR(__xludf.DUMMYFUNCTION("if(not(iserror(index(split(C2568, "" ""),2))), index(split(C2568, "" ""),1),"""")"),"")</f>
        <v/>
      </c>
      <c r="W2568" s="315" t="str">
        <f>IFERROR(__xludf.DUMMYFUNCTION("if(V2568="""",C2568,if(not(iserror(index(split(C2568, "" ""),3))), index(split(C2568, "" ""),3),index(split(C2568, "" ""),2)))"),"")</f>
        <v/>
      </c>
      <c r="X2568" s="38" t="b">
        <f t="shared" si="2"/>
        <v>0</v>
      </c>
      <c r="Y2568" s="38"/>
      <c r="Z2568" s="40"/>
      <c r="AA2568" s="40"/>
      <c r="AB2568" s="38"/>
      <c r="AC2568" s="38"/>
      <c r="AD2568" s="38"/>
      <c r="AE2568" s="38"/>
      <c r="AF2568" s="38"/>
      <c r="AG2568" s="38"/>
      <c r="AH2568" s="38"/>
      <c r="AI2568" s="38"/>
      <c r="AJ2568" s="38"/>
      <c r="AK2568" s="38"/>
      <c r="AL2568" s="38"/>
      <c r="AM2568" s="38"/>
      <c r="AN2568" s="38"/>
      <c r="AO2568" s="38"/>
      <c r="AP2568" s="38"/>
      <c r="AQ2568" s="38"/>
      <c r="AR2568" s="38"/>
      <c r="AS2568" s="38"/>
      <c r="AT2568" s="38"/>
      <c r="AU2568" s="38"/>
      <c r="AV2568" s="38"/>
      <c r="AW2568" s="38"/>
      <c r="AX2568" s="38"/>
      <c r="AY2568" s="38"/>
      <c r="AZ2568" s="38"/>
      <c r="BA2568" s="38"/>
      <c r="BB2568" s="38"/>
      <c r="BC2568" s="38"/>
      <c r="BD2568" s="38"/>
      <c r="BE2568" s="38"/>
      <c r="BF2568" s="38"/>
      <c r="BG2568" s="38"/>
    </row>
    <row r="2569">
      <c r="A2569" s="16"/>
      <c r="B2569" s="16"/>
      <c r="C2569" s="146"/>
      <c r="D2569" s="146"/>
      <c r="E2569" s="16"/>
      <c r="F2569" s="91"/>
      <c r="G2569" s="16"/>
      <c r="H2569" s="320" t="str">
        <f t="shared" si="1"/>
        <v/>
      </c>
      <c r="I2569" s="16"/>
      <c r="J2569" s="16"/>
      <c r="K2569" s="16"/>
      <c r="L2569" s="38"/>
      <c r="M2569" s="16"/>
      <c r="N2569" s="16"/>
      <c r="O2569" s="16"/>
      <c r="P2569" s="15"/>
      <c r="Q2569" s="15"/>
      <c r="R2569" s="16"/>
      <c r="S2569" s="16"/>
      <c r="T2569" s="16"/>
      <c r="U2569" s="16"/>
      <c r="V2569" s="37" t="str">
        <f>IFERROR(__xludf.DUMMYFUNCTION("if(not(iserror(index(split(C2569, "" ""),2))), index(split(C2569, "" ""),1),"""")"),"")</f>
        <v/>
      </c>
      <c r="W2569" s="315" t="str">
        <f>IFERROR(__xludf.DUMMYFUNCTION("if(V2569="""",C2569,if(not(iserror(index(split(C2569, "" ""),3))), index(split(C2569, "" ""),3),index(split(C2569, "" ""),2)))"),"")</f>
        <v/>
      </c>
      <c r="X2569" s="38" t="b">
        <f t="shared" si="2"/>
        <v>0</v>
      </c>
      <c r="Y2569" s="38"/>
      <c r="Z2569" s="40"/>
      <c r="AA2569" s="40"/>
      <c r="AB2569" s="38"/>
      <c r="AC2569" s="38"/>
      <c r="AD2569" s="38"/>
      <c r="AE2569" s="38"/>
      <c r="AF2569" s="38"/>
      <c r="AG2569" s="38"/>
      <c r="AH2569" s="38"/>
      <c r="AI2569" s="38"/>
      <c r="AJ2569" s="38"/>
      <c r="AK2569" s="38"/>
      <c r="AL2569" s="38"/>
      <c r="AM2569" s="38"/>
      <c r="AN2569" s="38"/>
      <c r="AO2569" s="38"/>
      <c r="AP2569" s="38"/>
      <c r="AQ2569" s="38"/>
      <c r="AR2569" s="38"/>
      <c r="AS2569" s="38"/>
      <c r="AT2569" s="38"/>
      <c r="AU2569" s="38"/>
      <c r="AV2569" s="38"/>
      <c r="AW2569" s="38"/>
      <c r="AX2569" s="38"/>
      <c r="AY2569" s="38"/>
      <c r="AZ2569" s="38"/>
      <c r="BA2569" s="38"/>
      <c r="BB2569" s="38"/>
      <c r="BC2569" s="38"/>
      <c r="BD2569" s="38"/>
      <c r="BE2569" s="38"/>
      <c r="BF2569" s="38"/>
      <c r="BG2569" s="38"/>
    </row>
    <row r="2570">
      <c r="A2570" s="16"/>
      <c r="B2570" s="16"/>
      <c r="C2570" s="146"/>
      <c r="D2570" s="146"/>
      <c r="E2570" s="16"/>
      <c r="F2570" s="91"/>
      <c r="G2570" s="16"/>
      <c r="H2570" s="320" t="str">
        <f t="shared" si="1"/>
        <v/>
      </c>
      <c r="I2570" s="16"/>
      <c r="J2570" s="16"/>
      <c r="K2570" s="16"/>
      <c r="L2570" s="38"/>
      <c r="M2570" s="16"/>
      <c r="N2570" s="16"/>
      <c r="O2570" s="16"/>
      <c r="P2570" s="15"/>
      <c r="Q2570" s="15"/>
      <c r="R2570" s="16"/>
      <c r="S2570" s="16"/>
      <c r="T2570" s="16"/>
      <c r="U2570" s="16"/>
      <c r="V2570" s="37" t="str">
        <f>IFERROR(__xludf.DUMMYFUNCTION("if(not(iserror(index(split(C2570, "" ""),2))), index(split(C2570, "" ""),1),"""")"),"")</f>
        <v/>
      </c>
      <c r="W2570" s="315" t="str">
        <f>IFERROR(__xludf.DUMMYFUNCTION("if(V2570="""",C2570,if(not(iserror(index(split(C2570, "" ""),3))), index(split(C2570, "" ""),3),index(split(C2570, "" ""),2)))"),"")</f>
        <v/>
      </c>
      <c r="X2570" s="38" t="b">
        <f t="shared" si="2"/>
        <v>0</v>
      </c>
      <c r="Y2570" s="38"/>
      <c r="Z2570" s="40"/>
      <c r="AA2570" s="40"/>
      <c r="AB2570" s="38"/>
      <c r="AC2570" s="38"/>
      <c r="AD2570" s="38"/>
      <c r="AE2570" s="38"/>
      <c r="AF2570" s="38"/>
      <c r="AG2570" s="38"/>
      <c r="AH2570" s="38"/>
      <c r="AI2570" s="38"/>
      <c r="AJ2570" s="38"/>
      <c r="AK2570" s="38"/>
      <c r="AL2570" s="38"/>
      <c r="AM2570" s="38"/>
      <c r="AN2570" s="38"/>
      <c r="AO2570" s="38"/>
      <c r="AP2570" s="38"/>
      <c r="AQ2570" s="38"/>
      <c r="AR2570" s="38"/>
      <c r="AS2570" s="38"/>
      <c r="AT2570" s="38"/>
      <c r="AU2570" s="38"/>
      <c r="AV2570" s="38"/>
      <c r="AW2570" s="38"/>
      <c r="AX2570" s="38"/>
      <c r="AY2570" s="38"/>
      <c r="AZ2570" s="38"/>
      <c r="BA2570" s="38"/>
      <c r="BB2570" s="38"/>
      <c r="BC2570" s="38"/>
      <c r="BD2570" s="38"/>
      <c r="BE2570" s="38"/>
      <c r="BF2570" s="38"/>
      <c r="BG2570" s="38"/>
    </row>
    <row r="2571">
      <c r="A2571" s="16"/>
      <c r="B2571" s="16"/>
      <c r="C2571" s="146"/>
      <c r="D2571" s="146"/>
      <c r="E2571" s="16"/>
      <c r="F2571" s="91"/>
      <c r="G2571" s="16"/>
      <c r="H2571" s="320" t="str">
        <f t="shared" si="1"/>
        <v/>
      </c>
      <c r="I2571" s="16"/>
      <c r="J2571" s="16"/>
      <c r="K2571" s="16"/>
      <c r="L2571" s="38"/>
      <c r="M2571" s="16"/>
      <c r="N2571" s="16"/>
      <c r="O2571" s="16"/>
      <c r="P2571" s="15"/>
      <c r="Q2571" s="15"/>
      <c r="R2571" s="16"/>
      <c r="S2571" s="16"/>
      <c r="T2571" s="16"/>
      <c r="U2571" s="16"/>
      <c r="V2571" s="37" t="str">
        <f>IFERROR(__xludf.DUMMYFUNCTION("if(not(iserror(index(split(C2571, "" ""),2))), index(split(C2571, "" ""),1),"""")"),"")</f>
        <v/>
      </c>
      <c r="W2571" s="315" t="str">
        <f>IFERROR(__xludf.DUMMYFUNCTION("if(V2571="""",C2571,if(not(iserror(index(split(C2571, "" ""),3))), index(split(C2571, "" ""),3),index(split(C2571, "" ""),2)))"),"")</f>
        <v/>
      </c>
      <c r="X2571" s="38" t="b">
        <f t="shared" si="2"/>
        <v>0</v>
      </c>
      <c r="Y2571" s="38"/>
      <c r="Z2571" s="40"/>
      <c r="AA2571" s="40"/>
      <c r="AB2571" s="38"/>
      <c r="AC2571" s="38"/>
      <c r="AD2571" s="38"/>
      <c r="AE2571" s="38"/>
      <c r="AF2571" s="38"/>
      <c r="AG2571" s="38"/>
      <c r="AH2571" s="38"/>
      <c r="AI2571" s="38"/>
      <c r="AJ2571" s="38"/>
      <c r="AK2571" s="38"/>
      <c r="AL2571" s="38"/>
      <c r="AM2571" s="38"/>
      <c r="AN2571" s="38"/>
      <c r="AO2571" s="38"/>
      <c r="AP2571" s="38"/>
      <c r="AQ2571" s="38"/>
      <c r="AR2571" s="38"/>
      <c r="AS2571" s="38"/>
      <c r="AT2571" s="38"/>
      <c r="AU2571" s="38"/>
      <c r="AV2571" s="38"/>
      <c r="AW2571" s="38"/>
      <c r="AX2571" s="38"/>
      <c r="AY2571" s="38"/>
      <c r="AZ2571" s="38"/>
      <c r="BA2571" s="38"/>
      <c r="BB2571" s="38"/>
      <c r="BC2571" s="38"/>
      <c r="BD2571" s="38"/>
      <c r="BE2571" s="38"/>
      <c r="BF2571" s="38"/>
      <c r="BG2571" s="38"/>
    </row>
    <row r="2572">
      <c r="A2572" s="16"/>
      <c r="B2572" s="16"/>
      <c r="C2572" s="146"/>
      <c r="D2572" s="146"/>
      <c r="E2572" s="16"/>
      <c r="F2572" s="91"/>
      <c r="G2572" s="16"/>
      <c r="H2572" s="320" t="str">
        <f t="shared" si="1"/>
        <v/>
      </c>
      <c r="I2572" s="16"/>
      <c r="J2572" s="16"/>
      <c r="K2572" s="16"/>
      <c r="L2572" s="38"/>
      <c r="M2572" s="16"/>
      <c r="N2572" s="16"/>
      <c r="O2572" s="16"/>
      <c r="P2572" s="15"/>
      <c r="Q2572" s="15"/>
      <c r="R2572" s="16"/>
      <c r="S2572" s="16"/>
      <c r="T2572" s="16"/>
      <c r="U2572" s="16"/>
      <c r="V2572" s="37" t="str">
        <f>IFERROR(__xludf.DUMMYFUNCTION("if(not(iserror(index(split(C2572, "" ""),2))), index(split(C2572, "" ""),1),"""")"),"")</f>
        <v/>
      </c>
      <c r="W2572" s="315" t="str">
        <f>IFERROR(__xludf.DUMMYFUNCTION("if(V2572="""",C2572,if(not(iserror(index(split(C2572, "" ""),3))), index(split(C2572, "" ""),3),index(split(C2572, "" ""),2)))"),"")</f>
        <v/>
      </c>
      <c r="X2572" s="38" t="b">
        <f t="shared" si="2"/>
        <v>0</v>
      </c>
      <c r="Y2572" s="38"/>
      <c r="Z2572" s="40"/>
      <c r="AA2572" s="40"/>
      <c r="AB2572" s="38"/>
      <c r="AC2572" s="38"/>
      <c r="AD2572" s="38"/>
      <c r="AE2572" s="38"/>
      <c r="AF2572" s="38"/>
      <c r="AG2572" s="38"/>
      <c r="AH2572" s="38"/>
      <c r="AI2572" s="38"/>
      <c r="AJ2572" s="38"/>
      <c r="AK2572" s="38"/>
      <c r="AL2572" s="38"/>
      <c r="AM2572" s="38"/>
      <c r="AN2572" s="38"/>
      <c r="AO2572" s="38"/>
      <c r="AP2572" s="38"/>
      <c r="AQ2572" s="38"/>
      <c r="AR2572" s="38"/>
      <c r="AS2572" s="38"/>
      <c r="AT2572" s="38"/>
      <c r="AU2572" s="38"/>
      <c r="AV2572" s="38"/>
      <c r="AW2572" s="38"/>
      <c r="AX2572" s="38"/>
      <c r="AY2572" s="38"/>
      <c r="AZ2572" s="38"/>
      <c r="BA2572" s="38"/>
      <c r="BB2572" s="38"/>
      <c r="BC2572" s="38"/>
      <c r="BD2572" s="38"/>
      <c r="BE2572" s="38"/>
      <c r="BF2572" s="38"/>
      <c r="BG2572" s="38"/>
    </row>
    <row r="2573">
      <c r="A2573" s="16"/>
      <c r="B2573" s="16"/>
      <c r="C2573" s="146"/>
      <c r="D2573" s="146"/>
      <c r="E2573" s="16"/>
      <c r="F2573" s="91"/>
      <c r="G2573" s="16"/>
      <c r="H2573" s="320" t="str">
        <f t="shared" si="1"/>
        <v/>
      </c>
      <c r="I2573" s="16"/>
      <c r="J2573" s="16"/>
      <c r="K2573" s="16"/>
      <c r="L2573" s="38"/>
      <c r="M2573" s="16"/>
      <c r="N2573" s="16"/>
      <c r="O2573" s="16"/>
      <c r="P2573" s="15"/>
      <c r="Q2573" s="15"/>
      <c r="R2573" s="16"/>
      <c r="S2573" s="16"/>
      <c r="T2573" s="16"/>
      <c r="U2573" s="16"/>
      <c r="V2573" s="37" t="str">
        <f>IFERROR(__xludf.DUMMYFUNCTION("if(not(iserror(index(split(C2573, "" ""),2))), index(split(C2573, "" ""),1),"""")"),"")</f>
        <v/>
      </c>
      <c r="W2573" s="315" t="str">
        <f>IFERROR(__xludf.DUMMYFUNCTION("if(V2573="""",C2573,if(not(iserror(index(split(C2573, "" ""),3))), index(split(C2573, "" ""),3),index(split(C2573, "" ""),2)))"),"")</f>
        <v/>
      </c>
      <c r="X2573" s="38" t="b">
        <f t="shared" si="2"/>
        <v>0</v>
      </c>
      <c r="Y2573" s="38"/>
      <c r="Z2573" s="40"/>
      <c r="AA2573" s="40"/>
      <c r="AB2573" s="38"/>
      <c r="AC2573" s="38"/>
      <c r="AD2573" s="38"/>
      <c r="AE2573" s="38"/>
      <c r="AF2573" s="38"/>
      <c r="AG2573" s="38"/>
      <c r="AH2573" s="38"/>
      <c r="AI2573" s="38"/>
      <c r="AJ2573" s="38"/>
      <c r="AK2573" s="38"/>
      <c r="AL2573" s="38"/>
      <c r="AM2573" s="38"/>
      <c r="AN2573" s="38"/>
      <c r="AO2573" s="38"/>
      <c r="AP2573" s="38"/>
      <c r="AQ2573" s="38"/>
      <c r="AR2573" s="38"/>
      <c r="AS2573" s="38"/>
      <c r="AT2573" s="38"/>
      <c r="AU2573" s="38"/>
      <c r="AV2573" s="38"/>
      <c r="AW2573" s="38"/>
      <c r="AX2573" s="38"/>
      <c r="AY2573" s="38"/>
      <c r="AZ2573" s="38"/>
      <c r="BA2573" s="38"/>
      <c r="BB2573" s="38"/>
      <c r="BC2573" s="38"/>
      <c r="BD2573" s="38"/>
      <c r="BE2573" s="38"/>
      <c r="BF2573" s="38"/>
      <c r="BG2573" s="38"/>
    </row>
    <row r="2574">
      <c r="A2574" s="16"/>
      <c r="B2574" s="16"/>
      <c r="C2574" s="146"/>
      <c r="D2574" s="146"/>
      <c r="E2574" s="16"/>
      <c r="F2574" s="91"/>
      <c r="G2574" s="16"/>
      <c r="H2574" s="320" t="str">
        <f t="shared" si="1"/>
        <v/>
      </c>
      <c r="I2574" s="16"/>
      <c r="J2574" s="16"/>
      <c r="K2574" s="16"/>
      <c r="L2574" s="38"/>
      <c r="M2574" s="16"/>
      <c r="N2574" s="16"/>
      <c r="O2574" s="16"/>
      <c r="P2574" s="15"/>
      <c r="Q2574" s="15"/>
      <c r="R2574" s="16"/>
      <c r="S2574" s="16"/>
      <c r="T2574" s="16"/>
      <c r="U2574" s="16"/>
      <c r="V2574" s="37" t="str">
        <f>IFERROR(__xludf.DUMMYFUNCTION("if(not(iserror(index(split(C2574, "" ""),2))), index(split(C2574, "" ""),1),"""")"),"")</f>
        <v/>
      </c>
      <c r="W2574" s="315" t="str">
        <f>IFERROR(__xludf.DUMMYFUNCTION("if(V2574="""",C2574,if(not(iserror(index(split(C2574, "" ""),3))), index(split(C2574, "" ""),3),index(split(C2574, "" ""),2)))"),"")</f>
        <v/>
      </c>
      <c r="X2574" s="38" t="b">
        <f t="shared" si="2"/>
        <v>0</v>
      </c>
      <c r="Y2574" s="38"/>
      <c r="Z2574" s="40"/>
      <c r="AA2574" s="40"/>
      <c r="AB2574" s="38"/>
      <c r="AC2574" s="38"/>
      <c r="AD2574" s="38"/>
      <c r="AE2574" s="38"/>
      <c r="AF2574" s="38"/>
      <c r="AG2574" s="38"/>
      <c r="AH2574" s="38"/>
      <c r="AI2574" s="38"/>
      <c r="AJ2574" s="38"/>
      <c r="AK2574" s="38"/>
      <c r="AL2574" s="38"/>
      <c r="AM2574" s="38"/>
      <c r="AN2574" s="38"/>
      <c r="AO2574" s="38"/>
      <c r="AP2574" s="38"/>
      <c r="AQ2574" s="38"/>
      <c r="AR2574" s="38"/>
      <c r="AS2574" s="38"/>
      <c r="AT2574" s="38"/>
      <c r="AU2574" s="38"/>
      <c r="AV2574" s="38"/>
      <c r="AW2574" s="38"/>
      <c r="AX2574" s="38"/>
      <c r="AY2574" s="38"/>
      <c r="AZ2574" s="38"/>
      <c r="BA2574" s="38"/>
      <c r="BB2574" s="38"/>
      <c r="BC2574" s="38"/>
      <c r="BD2574" s="38"/>
      <c r="BE2574" s="38"/>
      <c r="BF2574" s="38"/>
      <c r="BG2574" s="38"/>
    </row>
    <row r="2575">
      <c r="A2575" s="16"/>
      <c r="B2575" s="16"/>
      <c r="C2575" s="146"/>
      <c r="D2575" s="146"/>
      <c r="E2575" s="16"/>
      <c r="F2575" s="91"/>
      <c r="G2575" s="16"/>
      <c r="H2575" s="320" t="str">
        <f t="shared" si="1"/>
        <v/>
      </c>
      <c r="I2575" s="16"/>
      <c r="J2575" s="16"/>
      <c r="K2575" s="16"/>
      <c r="L2575" s="38"/>
      <c r="M2575" s="16"/>
      <c r="N2575" s="16"/>
      <c r="O2575" s="16"/>
      <c r="P2575" s="15"/>
      <c r="Q2575" s="15"/>
      <c r="R2575" s="16"/>
      <c r="S2575" s="16"/>
      <c r="T2575" s="16"/>
      <c r="U2575" s="16"/>
      <c r="V2575" s="37" t="str">
        <f>IFERROR(__xludf.DUMMYFUNCTION("if(not(iserror(index(split(C2575, "" ""),2))), index(split(C2575, "" ""),1),"""")"),"")</f>
        <v/>
      </c>
      <c r="W2575" s="315" t="str">
        <f>IFERROR(__xludf.DUMMYFUNCTION("if(V2575="""",C2575,if(not(iserror(index(split(C2575, "" ""),3))), index(split(C2575, "" ""),3),index(split(C2575, "" ""),2)))"),"")</f>
        <v/>
      </c>
      <c r="X2575" s="38" t="b">
        <f t="shared" si="2"/>
        <v>0</v>
      </c>
      <c r="Y2575" s="38"/>
      <c r="Z2575" s="40"/>
      <c r="AA2575" s="40"/>
      <c r="AB2575" s="38"/>
      <c r="AC2575" s="38"/>
      <c r="AD2575" s="38"/>
      <c r="AE2575" s="38"/>
      <c r="AF2575" s="38"/>
      <c r="AG2575" s="38"/>
      <c r="AH2575" s="38"/>
      <c r="AI2575" s="38"/>
      <c r="AJ2575" s="38"/>
      <c r="AK2575" s="38"/>
      <c r="AL2575" s="38"/>
      <c r="AM2575" s="38"/>
      <c r="AN2575" s="38"/>
      <c r="AO2575" s="38"/>
      <c r="AP2575" s="38"/>
      <c r="AQ2575" s="38"/>
      <c r="AR2575" s="38"/>
      <c r="AS2575" s="38"/>
      <c r="AT2575" s="38"/>
      <c r="AU2575" s="38"/>
      <c r="AV2575" s="38"/>
      <c r="AW2575" s="38"/>
      <c r="AX2575" s="38"/>
      <c r="AY2575" s="38"/>
      <c r="AZ2575" s="38"/>
      <c r="BA2575" s="38"/>
      <c r="BB2575" s="38"/>
      <c r="BC2575" s="38"/>
      <c r="BD2575" s="38"/>
      <c r="BE2575" s="38"/>
      <c r="BF2575" s="38"/>
      <c r="BG2575" s="38"/>
    </row>
    <row r="2576">
      <c r="A2576" s="16"/>
      <c r="B2576" s="16"/>
      <c r="C2576" s="146"/>
      <c r="D2576" s="146"/>
      <c r="E2576" s="16"/>
      <c r="F2576" s="91"/>
      <c r="G2576" s="16"/>
      <c r="H2576" s="320" t="str">
        <f t="shared" si="1"/>
        <v/>
      </c>
      <c r="I2576" s="16"/>
      <c r="J2576" s="16"/>
      <c r="K2576" s="16"/>
      <c r="L2576" s="38"/>
      <c r="M2576" s="16"/>
      <c r="N2576" s="16"/>
      <c r="O2576" s="16"/>
      <c r="P2576" s="15"/>
      <c r="Q2576" s="15"/>
      <c r="R2576" s="16"/>
      <c r="S2576" s="16"/>
      <c r="T2576" s="16"/>
      <c r="U2576" s="16"/>
      <c r="V2576" s="37" t="str">
        <f>IFERROR(__xludf.DUMMYFUNCTION("if(not(iserror(index(split(C2576, "" ""),2))), index(split(C2576, "" ""),1),"""")"),"")</f>
        <v/>
      </c>
      <c r="W2576" s="315" t="str">
        <f>IFERROR(__xludf.DUMMYFUNCTION("if(V2576="""",C2576,if(not(iserror(index(split(C2576, "" ""),3))), index(split(C2576, "" ""),3),index(split(C2576, "" ""),2)))"),"")</f>
        <v/>
      </c>
      <c r="X2576" s="38" t="b">
        <f t="shared" si="2"/>
        <v>0</v>
      </c>
      <c r="Y2576" s="38"/>
      <c r="Z2576" s="40"/>
      <c r="AA2576" s="40"/>
      <c r="AB2576" s="38"/>
      <c r="AC2576" s="38"/>
      <c r="AD2576" s="38"/>
      <c r="AE2576" s="38"/>
      <c r="AF2576" s="38"/>
      <c r="AG2576" s="38"/>
      <c r="AH2576" s="38"/>
      <c r="AI2576" s="38"/>
      <c r="AJ2576" s="38"/>
      <c r="AK2576" s="38"/>
      <c r="AL2576" s="38"/>
      <c r="AM2576" s="38"/>
      <c r="AN2576" s="38"/>
      <c r="AO2576" s="38"/>
      <c r="AP2576" s="38"/>
      <c r="AQ2576" s="38"/>
      <c r="AR2576" s="38"/>
      <c r="AS2576" s="38"/>
      <c r="AT2576" s="38"/>
      <c r="AU2576" s="38"/>
      <c r="AV2576" s="38"/>
      <c r="AW2576" s="38"/>
      <c r="AX2576" s="38"/>
      <c r="AY2576" s="38"/>
      <c r="AZ2576" s="38"/>
      <c r="BA2576" s="38"/>
      <c r="BB2576" s="38"/>
      <c r="BC2576" s="38"/>
      <c r="BD2576" s="38"/>
      <c r="BE2576" s="38"/>
      <c r="BF2576" s="38"/>
      <c r="BG2576" s="38"/>
    </row>
    <row r="2577">
      <c r="A2577" s="16"/>
      <c r="B2577" s="16"/>
      <c r="C2577" s="146"/>
      <c r="D2577" s="146"/>
      <c r="E2577" s="16"/>
      <c r="F2577" s="91"/>
      <c r="G2577" s="16"/>
      <c r="H2577" s="320" t="str">
        <f t="shared" si="1"/>
        <v/>
      </c>
      <c r="I2577" s="16"/>
      <c r="J2577" s="16"/>
      <c r="K2577" s="16"/>
      <c r="L2577" s="38"/>
      <c r="M2577" s="16"/>
      <c r="N2577" s="16"/>
      <c r="O2577" s="16"/>
      <c r="P2577" s="15"/>
      <c r="Q2577" s="15"/>
      <c r="R2577" s="16"/>
      <c r="S2577" s="16"/>
      <c r="T2577" s="16"/>
      <c r="U2577" s="16"/>
      <c r="V2577" s="37" t="str">
        <f>IFERROR(__xludf.DUMMYFUNCTION("if(not(iserror(index(split(C2577, "" ""),2))), index(split(C2577, "" ""),1),"""")"),"")</f>
        <v/>
      </c>
      <c r="W2577" s="315" t="str">
        <f>IFERROR(__xludf.DUMMYFUNCTION("if(V2577="""",C2577,if(not(iserror(index(split(C2577, "" ""),3))), index(split(C2577, "" ""),3),index(split(C2577, "" ""),2)))"),"")</f>
        <v/>
      </c>
      <c r="X2577" s="38" t="b">
        <f t="shared" si="2"/>
        <v>0</v>
      </c>
      <c r="Y2577" s="38"/>
      <c r="Z2577" s="40"/>
      <c r="AA2577" s="40"/>
      <c r="AB2577" s="38"/>
      <c r="AC2577" s="38"/>
      <c r="AD2577" s="38"/>
      <c r="AE2577" s="38"/>
      <c r="AF2577" s="38"/>
      <c r="AG2577" s="38"/>
      <c r="AH2577" s="38"/>
      <c r="AI2577" s="38"/>
      <c r="AJ2577" s="38"/>
      <c r="AK2577" s="38"/>
      <c r="AL2577" s="38"/>
      <c r="AM2577" s="38"/>
      <c r="AN2577" s="38"/>
      <c r="AO2577" s="38"/>
      <c r="AP2577" s="38"/>
      <c r="AQ2577" s="38"/>
      <c r="AR2577" s="38"/>
      <c r="AS2577" s="38"/>
      <c r="AT2577" s="38"/>
      <c r="AU2577" s="38"/>
      <c r="AV2577" s="38"/>
      <c r="AW2577" s="38"/>
      <c r="AX2577" s="38"/>
      <c r="AY2577" s="38"/>
      <c r="AZ2577" s="38"/>
      <c r="BA2577" s="38"/>
      <c r="BB2577" s="38"/>
      <c r="BC2577" s="38"/>
      <c r="BD2577" s="38"/>
      <c r="BE2577" s="38"/>
      <c r="BF2577" s="38"/>
      <c r="BG2577" s="38"/>
    </row>
    <row r="2578">
      <c r="A2578" s="16"/>
      <c r="B2578" s="16"/>
      <c r="C2578" s="146"/>
      <c r="D2578" s="146"/>
      <c r="E2578" s="16"/>
      <c r="F2578" s="91"/>
      <c r="G2578" s="16"/>
      <c r="H2578" s="320" t="str">
        <f t="shared" si="1"/>
        <v/>
      </c>
      <c r="I2578" s="16"/>
      <c r="J2578" s="16"/>
      <c r="K2578" s="16"/>
      <c r="L2578" s="38"/>
      <c r="M2578" s="16"/>
      <c r="N2578" s="16"/>
      <c r="O2578" s="16"/>
      <c r="P2578" s="15"/>
      <c r="Q2578" s="15"/>
      <c r="R2578" s="16"/>
      <c r="S2578" s="16"/>
      <c r="T2578" s="16"/>
      <c r="U2578" s="16"/>
      <c r="V2578" s="37" t="str">
        <f>IFERROR(__xludf.DUMMYFUNCTION("if(not(iserror(index(split(C2578, "" ""),2))), index(split(C2578, "" ""),1),"""")"),"")</f>
        <v/>
      </c>
      <c r="W2578" s="315" t="str">
        <f>IFERROR(__xludf.DUMMYFUNCTION("if(V2578="""",C2578,if(not(iserror(index(split(C2578, "" ""),3))), index(split(C2578, "" ""),3),index(split(C2578, "" ""),2)))"),"")</f>
        <v/>
      </c>
      <c r="X2578" s="38" t="b">
        <f t="shared" si="2"/>
        <v>0</v>
      </c>
      <c r="Y2578" s="38"/>
      <c r="Z2578" s="40"/>
      <c r="AA2578" s="40"/>
      <c r="AB2578" s="38"/>
      <c r="AC2578" s="38"/>
      <c r="AD2578" s="38"/>
      <c r="AE2578" s="38"/>
      <c r="AF2578" s="38"/>
      <c r="AG2578" s="38"/>
      <c r="AH2578" s="38"/>
      <c r="AI2578" s="38"/>
      <c r="AJ2578" s="38"/>
      <c r="AK2578" s="38"/>
      <c r="AL2578" s="38"/>
      <c r="AM2578" s="38"/>
      <c r="AN2578" s="38"/>
      <c r="AO2578" s="38"/>
      <c r="AP2578" s="38"/>
      <c r="AQ2578" s="38"/>
      <c r="AR2578" s="38"/>
      <c r="AS2578" s="38"/>
      <c r="AT2578" s="38"/>
      <c r="AU2578" s="38"/>
      <c r="AV2578" s="38"/>
      <c r="AW2578" s="38"/>
      <c r="AX2578" s="38"/>
      <c r="AY2578" s="38"/>
      <c r="AZ2578" s="38"/>
      <c r="BA2578" s="38"/>
      <c r="BB2578" s="38"/>
      <c r="BC2578" s="38"/>
      <c r="BD2578" s="38"/>
      <c r="BE2578" s="38"/>
      <c r="BF2578" s="38"/>
      <c r="BG2578" s="38"/>
    </row>
    <row r="2579">
      <c r="A2579" s="16"/>
      <c r="B2579" s="16"/>
      <c r="C2579" s="146"/>
      <c r="D2579" s="146"/>
      <c r="E2579" s="16"/>
      <c r="F2579" s="91"/>
      <c r="G2579" s="16"/>
      <c r="H2579" s="320" t="str">
        <f t="shared" si="1"/>
        <v/>
      </c>
      <c r="I2579" s="16"/>
      <c r="J2579" s="16"/>
      <c r="K2579" s="16"/>
      <c r="L2579" s="38"/>
      <c r="M2579" s="16"/>
      <c r="N2579" s="16"/>
      <c r="O2579" s="16"/>
      <c r="P2579" s="15"/>
      <c r="Q2579" s="15"/>
      <c r="R2579" s="16"/>
      <c r="S2579" s="16"/>
      <c r="T2579" s="16"/>
      <c r="U2579" s="16"/>
      <c r="V2579" s="37" t="str">
        <f>IFERROR(__xludf.DUMMYFUNCTION("if(not(iserror(index(split(C2579, "" ""),2))), index(split(C2579, "" ""),1),"""")"),"")</f>
        <v/>
      </c>
      <c r="W2579" s="315" t="str">
        <f>IFERROR(__xludf.DUMMYFUNCTION("if(V2579="""",C2579,if(not(iserror(index(split(C2579, "" ""),3))), index(split(C2579, "" ""),3),index(split(C2579, "" ""),2)))"),"")</f>
        <v/>
      </c>
      <c r="X2579" s="38" t="b">
        <f t="shared" si="2"/>
        <v>0</v>
      </c>
      <c r="Y2579" s="38"/>
      <c r="Z2579" s="40"/>
      <c r="AA2579" s="40"/>
      <c r="AB2579" s="38"/>
      <c r="AC2579" s="38"/>
      <c r="AD2579" s="38"/>
      <c r="AE2579" s="38"/>
      <c r="AF2579" s="38"/>
      <c r="AG2579" s="38"/>
      <c r="AH2579" s="38"/>
      <c r="AI2579" s="38"/>
      <c r="AJ2579" s="38"/>
      <c r="AK2579" s="38"/>
      <c r="AL2579" s="38"/>
      <c r="AM2579" s="38"/>
      <c r="AN2579" s="38"/>
      <c r="AO2579" s="38"/>
      <c r="AP2579" s="38"/>
      <c r="AQ2579" s="38"/>
      <c r="AR2579" s="38"/>
      <c r="AS2579" s="38"/>
      <c r="AT2579" s="38"/>
      <c r="AU2579" s="38"/>
      <c r="AV2579" s="38"/>
      <c r="AW2579" s="38"/>
      <c r="AX2579" s="38"/>
      <c r="AY2579" s="38"/>
      <c r="AZ2579" s="38"/>
      <c r="BA2579" s="38"/>
      <c r="BB2579" s="38"/>
      <c r="BC2579" s="38"/>
      <c r="BD2579" s="38"/>
      <c r="BE2579" s="38"/>
      <c r="BF2579" s="38"/>
      <c r="BG2579" s="38"/>
    </row>
    <row r="2580">
      <c r="A2580" s="16"/>
      <c r="B2580" s="16"/>
      <c r="C2580" s="146"/>
      <c r="D2580" s="146"/>
      <c r="E2580" s="16"/>
      <c r="F2580" s="91"/>
      <c r="G2580" s="16"/>
      <c r="H2580" s="320" t="str">
        <f t="shared" si="1"/>
        <v/>
      </c>
      <c r="I2580" s="16"/>
      <c r="J2580" s="16"/>
      <c r="K2580" s="16"/>
      <c r="L2580" s="38"/>
      <c r="M2580" s="16"/>
      <c r="N2580" s="16"/>
      <c r="O2580" s="16"/>
      <c r="P2580" s="15"/>
      <c r="Q2580" s="15"/>
      <c r="R2580" s="16"/>
      <c r="S2580" s="16"/>
      <c r="T2580" s="16"/>
      <c r="U2580" s="16"/>
      <c r="V2580" s="37" t="str">
        <f>IFERROR(__xludf.DUMMYFUNCTION("if(not(iserror(index(split(C2580, "" ""),2))), index(split(C2580, "" ""),1),"""")"),"")</f>
        <v/>
      </c>
      <c r="W2580" s="315" t="str">
        <f>IFERROR(__xludf.DUMMYFUNCTION("if(V2580="""",C2580,if(not(iserror(index(split(C2580, "" ""),3))), index(split(C2580, "" ""),3),index(split(C2580, "" ""),2)))"),"")</f>
        <v/>
      </c>
      <c r="X2580" s="38" t="b">
        <f t="shared" si="2"/>
        <v>0</v>
      </c>
      <c r="Y2580" s="38"/>
      <c r="Z2580" s="40"/>
      <c r="AA2580" s="40"/>
      <c r="AB2580" s="38"/>
      <c r="AC2580" s="38"/>
      <c r="AD2580" s="38"/>
      <c r="AE2580" s="38"/>
      <c r="AF2580" s="38"/>
      <c r="AG2580" s="38"/>
      <c r="AH2580" s="38"/>
      <c r="AI2580" s="38"/>
      <c r="AJ2580" s="38"/>
      <c r="AK2580" s="38"/>
      <c r="AL2580" s="38"/>
      <c r="AM2580" s="38"/>
      <c r="AN2580" s="38"/>
      <c r="AO2580" s="38"/>
      <c r="AP2580" s="38"/>
      <c r="AQ2580" s="38"/>
      <c r="AR2580" s="38"/>
      <c r="AS2580" s="38"/>
      <c r="AT2580" s="38"/>
      <c r="AU2580" s="38"/>
      <c r="AV2580" s="38"/>
      <c r="AW2580" s="38"/>
      <c r="AX2580" s="38"/>
      <c r="AY2580" s="38"/>
      <c r="AZ2580" s="38"/>
      <c r="BA2580" s="38"/>
      <c r="BB2580" s="38"/>
      <c r="BC2580" s="38"/>
      <c r="BD2580" s="38"/>
      <c r="BE2580" s="38"/>
      <c r="BF2580" s="38"/>
      <c r="BG2580" s="38"/>
    </row>
    <row r="2581">
      <c r="A2581" s="16"/>
      <c r="B2581" s="16"/>
      <c r="C2581" s="146"/>
      <c r="D2581" s="146"/>
      <c r="E2581" s="16"/>
      <c r="F2581" s="91"/>
      <c r="G2581" s="16"/>
      <c r="H2581" s="320" t="str">
        <f t="shared" si="1"/>
        <v/>
      </c>
      <c r="I2581" s="16"/>
      <c r="J2581" s="16"/>
      <c r="K2581" s="16"/>
      <c r="L2581" s="38"/>
      <c r="M2581" s="16"/>
      <c r="N2581" s="16"/>
      <c r="O2581" s="16"/>
      <c r="P2581" s="15"/>
      <c r="Q2581" s="15"/>
      <c r="R2581" s="16"/>
      <c r="S2581" s="16"/>
      <c r="T2581" s="16"/>
      <c r="U2581" s="16"/>
      <c r="V2581" s="37" t="str">
        <f>IFERROR(__xludf.DUMMYFUNCTION("if(not(iserror(index(split(C2581, "" ""),2))), index(split(C2581, "" ""),1),"""")"),"")</f>
        <v/>
      </c>
      <c r="W2581" s="315" t="str">
        <f>IFERROR(__xludf.DUMMYFUNCTION("if(V2581="""",C2581,if(not(iserror(index(split(C2581, "" ""),3))), index(split(C2581, "" ""),3),index(split(C2581, "" ""),2)))"),"")</f>
        <v/>
      </c>
      <c r="X2581" s="38" t="b">
        <f t="shared" si="2"/>
        <v>0</v>
      </c>
      <c r="Y2581" s="38"/>
      <c r="Z2581" s="40"/>
      <c r="AA2581" s="40"/>
      <c r="AB2581" s="38"/>
      <c r="AC2581" s="38"/>
      <c r="AD2581" s="38"/>
      <c r="AE2581" s="38"/>
      <c r="AF2581" s="38"/>
      <c r="AG2581" s="38"/>
      <c r="AH2581" s="38"/>
      <c r="AI2581" s="38"/>
      <c r="AJ2581" s="38"/>
      <c r="AK2581" s="38"/>
      <c r="AL2581" s="38"/>
      <c r="AM2581" s="38"/>
      <c r="AN2581" s="38"/>
      <c r="AO2581" s="38"/>
      <c r="AP2581" s="38"/>
      <c r="AQ2581" s="38"/>
      <c r="AR2581" s="38"/>
      <c r="AS2581" s="38"/>
      <c r="AT2581" s="38"/>
      <c r="AU2581" s="38"/>
      <c r="AV2581" s="38"/>
      <c r="AW2581" s="38"/>
      <c r="AX2581" s="38"/>
      <c r="AY2581" s="38"/>
      <c r="AZ2581" s="38"/>
      <c r="BA2581" s="38"/>
      <c r="BB2581" s="38"/>
      <c r="BC2581" s="38"/>
      <c r="BD2581" s="38"/>
      <c r="BE2581" s="38"/>
      <c r="BF2581" s="38"/>
      <c r="BG2581" s="38"/>
    </row>
    <row r="2582">
      <c r="A2582" s="16"/>
      <c r="B2582" s="16"/>
      <c r="C2582" s="146"/>
      <c r="D2582" s="146"/>
      <c r="E2582" s="16"/>
      <c r="F2582" s="91"/>
      <c r="G2582" s="16"/>
      <c r="H2582" s="320" t="str">
        <f t="shared" si="1"/>
        <v/>
      </c>
      <c r="I2582" s="16"/>
      <c r="J2582" s="16"/>
      <c r="K2582" s="16"/>
      <c r="L2582" s="38"/>
      <c r="M2582" s="16"/>
      <c r="N2582" s="16"/>
      <c r="O2582" s="16"/>
      <c r="P2582" s="15"/>
      <c r="Q2582" s="15"/>
      <c r="R2582" s="16"/>
      <c r="S2582" s="16"/>
      <c r="T2582" s="16"/>
      <c r="U2582" s="16"/>
      <c r="V2582" s="37" t="str">
        <f>IFERROR(__xludf.DUMMYFUNCTION("if(not(iserror(index(split(C2582, "" ""),2))), index(split(C2582, "" ""),1),"""")"),"")</f>
        <v/>
      </c>
      <c r="W2582" s="315" t="str">
        <f>IFERROR(__xludf.DUMMYFUNCTION("if(V2582="""",C2582,if(not(iserror(index(split(C2582, "" ""),3))), index(split(C2582, "" ""),3),index(split(C2582, "" ""),2)))"),"")</f>
        <v/>
      </c>
      <c r="X2582" s="38" t="b">
        <f t="shared" si="2"/>
        <v>0</v>
      </c>
      <c r="Y2582" s="38"/>
      <c r="Z2582" s="40"/>
      <c r="AA2582" s="40"/>
      <c r="AB2582" s="38"/>
      <c r="AC2582" s="38"/>
      <c r="AD2582" s="38"/>
      <c r="AE2582" s="38"/>
      <c r="AF2582" s="38"/>
      <c r="AG2582" s="38"/>
      <c r="AH2582" s="38"/>
      <c r="AI2582" s="38"/>
      <c r="AJ2582" s="38"/>
      <c r="AK2582" s="38"/>
      <c r="AL2582" s="38"/>
      <c r="AM2582" s="38"/>
      <c r="AN2582" s="38"/>
      <c r="AO2582" s="38"/>
      <c r="AP2582" s="38"/>
      <c r="AQ2582" s="38"/>
      <c r="AR2582" s="38"/>
      <c r="AS2582" s="38"/>
      <c r="AT2582" s="38"/>
      <c r="AU2582" s="38"/>
      <c r="AV2582" s="38"/>
      <c r="AW2582" s="38"/>
      <c r="AX2582" s="38"/>
      <c r="AY2582" s="38"/>
      <c r="AZ2582" s="38"/>
      <c r="BA2582" s="38"/>
      <c r="BB2582" s="38"/>
      <c r="BC2582" s="38"/>
      <c r="BD2582" s="38"/>
      <c r="BE2582" s="38"/>
      <c r="BF2582" s="38"/>
      <c r="BG2582" s="38"/>
    </row>
    <row r="2583">
      <c r="A2583" s="16"/>
      <c r="B2583" s="16"/>
      <c r="C2583" s="146"/>
      <c r="D2583" s="146"/>
      <c r="E2583" s="16"/>
      <c r="F2583" s="91"/>
      <c r="G2583" s="16"/>
      <c r="H2583" s="320" t="str">
        <f t="shared" si="1"/>
        <v/>
      </c>
      <c r="I2583" s="16"/>
      <c r="J2583" s="16"/>
      <c r="K2583" s="16"/>
      <c r="L2583" s="38"/>
      <c r="M2583" s="16"/>
      <c r="N2583" s="16"/>
      <c r="O2583" s="16"/>
      <c r="P2583" s="15"/>
      <c r="Q2583" s="15"/>
      <c r="R2583" s="16"/>
      <c r="S2583" s="16"/>
      <c r="T2583" s="16"/>
      <c r="U2583" s="16"/>
      <c r="V2583" s="37" t="str">
        <f>IFERROR(__xludf.DUMMYFUNCTION("if(not(iserror(index(split(C2583, "" ""),2))), index(split(C2583, "" ""),1),"""")"),"")</f>
        <v/>
      </c>
      <c r="W2583" s="315" t="str">
        <f>IFERROR(__xludf.DUMMYFUNCTION("if(V2583="""",C2583,if(not(iserror(index(split(C2583, "" ""),3))), index(split(C2583, "" ""),3),index(split(C2583, "" ""),2)))"),"")</f>
        <v/>
      </c>
      <c r="X2583" s="38" t="b">
        <f t="shared" si="2"/>
        <v>0</v>
      </c>
      <c r="Y2583" s="38"/>
      <c r="Z2583" s="40"/>
      <c r="AA2583" s="40"/>
      <c r="AB2583" s="38"/>
      <c r="AC2583" s="38"/>
      <c r="AD2583" s="38"/>
      <c r="AE2583" s="38"/>
      <c r="AF2583" s="38"/>
      <c r="AG2583" s="38"/>
      <c r="AH2583" s="38"/>
      <c r="AI2583" s="38"/>
      <c r="AJ2583" s="38"/>
      <c r="AK2583" s="38"/>
      <c r="AL2583" s="38"/>
      <c r="AM2583" s="38"/>
      <c r="AN2583" s="38"/>
      <c r="AO2583" s="38"/>
      <c r="AP2583" s="38"/>
      <c r="AQ2583" s="38"/>
      <c r="AR2583" s="38"/>
      <c r="AS2583" s="38"/>
      <c r="AT2583" s="38"/>
      <c r="AU2583" s="38"/>
      <c r="AV2583" s="38"/>
      <c r="AW2583" s="38"/>
      <c r="AX2583" s="38"/>
      <c r="AY2583" s="38"/>
      <c r="AZ2583" s="38"/>
      <c r="BA2583" s="38"/>
      <c r="BB2583" s="38"/>
      <c r="BC2583" s="38"/>
      <c r="BD2583" s="38"/>
      <c r="BE2583" s="38"/>
      <c r="BF2583" s="38"/>
      <c r="BG2583" s="38"/>
    </row>
    <row r="2584">
      <c r="A2584" s="16"/>
      <c r="B2584" s="16"/>
      <c r="C2584" s="146"/>
      <c r="D2584" s="146"/>
      <c r="E2584" s="16"/>
      <c r="F2584" s="91"/>
      <c r="G2584" s="16"/>
      <c r="H2584" s="320" t="str">
        <f t="shared" si="1"/>
        <v/>
      </c>
      <c r="I2584" s="16"/>
      <c r="J2584" s="16"/>
      <c r="K2584" s="16"/>
      <c r="L2584" s="38"/>
      <c r="M2584" s="16"/>
      <c r="N2584" s="16"/>
      <c r="O2584" s="16"/>
      <c r="P2584" s="15"/>
      <c r="Q2584" s="15"/>
      <c r="R2584" s="16"/>
      <c r="S2584" s="16"/>
      <c r="T2584" s="16"/>
      <c r="U2584" s="16"/>
      <c r="V2584" s="37" t="str">
        <f>IFERROR(__xludf.DUMMYFUNCTION("if(not(iserror(index(split(C2584, "" ""),2))), index(split(C2584, "" ""),1),"""")"),"")</f>
        <v/>
      </c>
      <c r="W2584" s="315" t="str">
        <f>IFERROR(__xludf.DUMMYFUNCTION("if(V2584="""",C2584,if(not(iserror(index(split(C2584, "" ""),3))), index(split(C2584, "" ""),3),index(split(C2584, "" ""),2)))"),"")</f>
        <v/>
      </c>
      <c r="X2584" s="38" t="b">
        <f t="shared" si="2"/>
        <v>0</v>
      </c>
      <c r="Y2584" s="38"/>
      <c r="Z2584" s="40"/>
      <c r="AA2584" s="40"/>
      <c r="AB2584" s="38"/>
      <c r="AC2584" s="38"/>
      <c r="AD2584" s="38"/>
      <c r="AE2584" s="38"/>
      <c r="AF2584" s="38"/>
      <c r="AG2584" s="38"/>
      <c r="AH2584" s="38"/>
      <c r="AI2584" s="38"/>
      <c r="AJ2584" s="38"/>
      <c r="AK2584" s="38"/>
      <c r="AL2584" s="38"/>
      <c r="AM2584" s="38"/>
      <c r="AN2584" s="38"/>
      <c r="AO2584" s="38"/>
      <c r="AP2584" s="38"/>
      <c r="AQ2584" s="38"/>
      <c r="AR2584" s="38"/>
      <c r="AS2584" s="38"/>
      <c r="AT2584" s="38"/>
      <c r="AU2584" s="38"/>
      <c r="AV2584" s="38"/>
      <c r="AW2584" s="38"/>
      <c r="AX2584" s="38"/>
      <c r="AY2584" s="38"/>
      <c r="AZ2584" s="38"/>
      <c r="BA2584" s="38"/>
      <c r="BB2584" s="38"/>
      <c r="BC2584" s="38"/>
      <c r="BD2584" s="38"/>
      <c r="BE2584" s="38"/>
      <c r="BF2584" s="38"/>
      <c r="BG2584" s="38"/>
    </row>
    <row r="2585">
      <c r="A2585" s="16"/>
      <c r="B2585" s="16"/>
      <c r="C2585" s="146"/>
      <c r="D2585" s="146"/>
      <c r="E2585" s="16"/>
      <c r="F2585" s="91"/>
      <c r="G2585" s="16"/>
      <c r="H2585" s="320" t="str">
        <f t="shared" si="1"/>
        <v/>
      </c>
      <c r="I2585" s="16"/>
      <c r="J2585" s="16"/>
      <c r="K2585" s="16"/>
      <c r="L2585" s="38"/>
      <c r="M2585" s="16"/>
      <c r="N2585" s="16"/>
      <c r="O2585" s="16"/>
      <c r="P2585" s="15"/>
      <c r="Q2585" s="15"/>
      <c r="R2585" s="16"/>
      <c r="S2585" s="16"/>
      <c r="T2585" s="16"/>
      <c r="U2585" s="16"/>
      <c r="V2585" s="37" t="str">
        <f>IFERROR(__xludf.DUMMYFUNCTION("if(not(iserror(index(split(C2585, "" ""),2))), index(split(C2585, "" ""),1),"""")"),"")</f>
        <v/>
      </c>
      <c r="W2585" s="315" t="str">
        <f>IFERROR(__xludf.DUMMYFUNCTION("if(V2585="""",C2585,if(not(iserror(index(split(C2585, "" ""),3))), index(split(C2585, "" ""),3),index(split(C2585, "" ""),2)))"),"")</f>
        <v/>
      </c>
      <c r="X2585" s="38" t="b">
        <f t="shared" si="2"/>
        <v>0</v>
      </c>
      <c r="Y2585" s="38"/>
      <c r="Z2585" s="40"/>
      <c r="AA2585" s="40"/>
      <c r="AB2585" s="38"/>
      <c r="AC2585" s="38"/>
      <c r="AD2585" s="38"/>
      <c r="AE2585" s="38"/>
      <c r="AF2585" s="38"/>
      <c r="AG2585" s="38"/>
      <c r="AH2585" s="38"/>
      <c r="AI2585" s="38"/>
      <c r="AJ2585" s="38"/>
      <c r="AK2585" s="38"/>
      <c r="AL2585" s="38"/>
      <c r="AM2585" s="38"/>
      <c r="AN2585" s="38"/>
      <c r="AO2585" s="38"/>
      <c r="AP2585" s="38"/>
      <c r="AQ2585" s="38"/>
      <c r="AR2585" s="38"/>
      <c r="AS2585" s="38"/>
      <c r="AT2585" s="38"/>
      <c r="AU2585" s="38"/>
      <c r="AV2585" s="38"/>
      <c r="AW2585" s="38"/>
      <c r="AX2585" s="38"/>
      <c r="AY2585" s="38"/>
      <c r="AZ2585" s="38"/>
      <c r="BA2585" s="38"/>
      <c r="BB2585" s="38"/>
      <c r="BC2585" s="38"/>
      <c r="BD2585" s="38"/>
      <c r="BE2585" s="38"/>
      <c r="BF2585" s="38"/>
      <c r="BG2585" s="38"/>
    </row>
    <row r="2586">
      <c r="A2586" s="16"/>
      <c r="B2586" s="16"/>
      <c r="C2586" s="146"/>
      <c r="D2586" s="146"/>
      <c r="E2586" s="16"/>
      <c r="F2586" s="91"/>
      <c r="G2586" s="16"/>
      <c r="H2586" s="320" t="str">
        <f t="shared" si="1"/>
        <v/>
      </c>
      <c r="I2586" s="16"/>
      <c r="J2586" s="16"/>
      <c r="K2586" s="16"/>
      <c r="L2586" s="38"/>
      <c r="M2586" s="16"/>
      <c r="N2586" s="16"/>
      <c r="O2586" s="16"/>
      <c r="P2586" s="15"/>
      <c r="Q2586" s="15"/>
      <c r="R2586" s="16"/>
      <c r="S2586" s="16"/>
      <c r="T2586" s="16"/>
      <c r="U2586" s="16"/>
      <c r="V2586" s="37" t="str">
        <f>IFERROR(__xludf.DUMMYFUNCTION("if(not(iserror(index(split(C2586, "" ""),2))), index(split(C2586, "" ""),1),"""")"),"")</f>
        <v/>
      </c>
      <c r="W2586" s="315" t="str">
        <f>IFERROR(__xludf.DUMMYFUNCTION("if(V2586="""",C2586,if(not(iserror(index(split(C2586, "" ""),3))), index(split(C2586, "" ""),3),index(split(C2586, "" ""),2)))"),"")</f>
        <v/>
      </c>
      <c r="X2586" s="38" t="b">
        <f t="shared" si="2"/>
        <v>0</v>
      </c>
      <c r="Y2586" s="38"/>
      <c r="Z2586" s="40"/>
      <c r="AA2586" s="40"/>
      <c r="AB2586" s="38"/>
      <c r="AC2586" s="38"/>
      <c r="AD2586" s="38"/>
      <c r="AE2586" s="38"/>
      <c r="AF2586" s="38"/>
      <c r="AG2586" s="38"/>
      <c r="AH2586" s="38"/>
      <c r="AI2586" s="38"/>
      <c r="AJ2586" s="38"/>
      <c r="AK2586" s="38"/>
      <c r="AL2586" s="38"/>
      <c r="AM2586" s="38"/>
      <c r="AN2586" s="38"/>
      <c r="AO2586" s="38"/>
      <c r="AP2586" s="38"/>
      <c r="AQ2586" s="38"/>
      <c r="AR2586" s="38"/>
      <c r="AS2586" s="38"/>
      <c r="AT2586" s="38"/>
      <c r="AU2586" s="38"/>
      <c r="AV2586" s="38"/>
      <c r="AW2586" s="38"/>
      <c r="AX2586" s="38"/>
      <c r="AY2586" s="38"/>
      <c r="AZ2586" s="38"/>
      <c r="BA2586" s="38"/>
      <c r="BB2586" s="38"/>
      <c r="BC2586" s="38"/>
      <c r="BD2586" s="38"/>
      <c r="BE2586" s="38"/>
      <c r="BF2586" s="38"/>
      <c r="BG2586" s="38"/>
    </row>
    <row r="2587">
      <c r="A2587" s="16"/>
      <c r="B2587" s="16"/>
      <c r="C2587" s="146"/>
      <c r="D2587" s="146"/>
      <c r="E2587" s="16"/>
      <c r="F2587" s="91"/>
      <c r="G2587" s="16"/>
      <c r="H2587" s="320" t="str">
        <f t="shared" si="1"/>
        <v/>
      </c>
      <c r="I2587" s="16"/>
      <c r="J2587" s="16"/>
      <c r="K2587" s="16"/>
      <c r="L2587" s="38"/>
      <c r="M2587" s="16"/>
      <c r="N2587" s="16"/>
      <c r="O2587" s="16"/>
      <c r="P2587" s="15"/>
      <c r="Q2587" s="15"/>
      <c r="R2587" s="16"/>
      <c r="S2587" s="16"/>
      <c r="T2587" s="16"/>
      <c r="U2587" s="16"/>
      <c r="V2587" s="37" t="str">
        <f>IFERROR(__xludf.DUMMYFUNCTION("if(not(iserror(index(split(C2587, "" ""),2))), index(split(C2587, "" ""),1),"""")"),"")</f>
        <v/>
      </c>
      <c r="W2587" s="315" t="str">
        <f>IFERROR(__xludf.DUMMYFUNCTION("if(V2587="""",C2587,if(not(iserror(index(split(C2587, "" ""),3))), index(split(C2587, "" ""),3),index(split(C2587, "" ""),2)))"),"")</f>
        <v/>
      </c>
      <c r="X2587" s="38" t="b">
        <f t="shared" si="2"/>
        <v>0</v>
      </c>
      <c r="Y2587" s="38"/>
      <c r="Z2587" s="40"/>
      <c r="AA2587" s="40"/>
      <c r="AB2587" s="38"/>
      <c r="AC2587" s="38"/>
      <c r="AD2587" s="38"/>
      <c r="AE2587" s="38"/>
      <c r="AF2587" s="38"/>
      <c r="AG2587" s="38"/>
      <c r="AH2587" s="38"/>
      <c r="AI2587" s="38"/>
      <c r="AJ2587" s="38"/>
      <c r="AK2587" s="38"/>
      <c r="AL2587" s="38"/>
      <c r="AM2587" s="38"/>
      <c r="AN2587" s="38"/>
      <c r="AO2587" s="38"/>
      <c r="AP2587" s="38"/>
      <c r="AQ2587" s="38"/>
      <c r="AR2587" s="38"/>
      <c r="AS2587" s="38"/>
      <c r="AT2587" s="38"/>
      <c r="AU2587" s="38"/>
      <c r="AV2587" s="38"/>
      <c r="AW2587" s="38"/>
      <c r="AX2587" s="38"/>
      <c r="AY2587" s="38"/>
      <c r="AZ2587" s="38"/>
      <c r="BA2587" s="38"/>
      <c r="BB2587" s="38"/>
      <c r="BC2587" s="38"/>
      <c r="BD2587" s="38"/>
      <c r="BE2587" s="38"/>
      <c r="BF2587" s="38"/>
      <c r="BG2587" s="38"/>
    </row>
    <row r="2588">
      <c r="A2588" s="16"/>
      <c r="B2588" s="16"/>
      <c r="C2588" s="146"/>
      <c r="D2588" s="146"/>
      <c r="E2588" s="16"/>
      <c r="F2588" s="91"/>
      <c r="G2588" s="16"/>
      <c r="H2588" s="320" t="str">
        <f t="shared" si="1"/>
        <v/>
      </c>
      <c r="I2588" s="16"/>
      <c r="J2588" s="16"/>
      <c r="K2588" s="16"/>
      <c r="L2588" s="38"/>
      <c r="M2588" s="16"/>
      <c r="N2588" s="16"/>
      <c r="O2588" s="16"/>
      <c r="P2588" s="15"/>
      <c r="Q2588" s="15"/>
      <c r="R2588" s="16"/>
      <c r="S2588" s="16"/>
      <c r="T2588" s="16"/>
      <c r="U2588" s="16"/>
      <c r="V2588" s="37" t="str">
        <f>IFERROR(__xludf.DUMMYFUNCTION("if(not(iserror(index(split(C2588, "" ""),2))), index(split(C2588, "" ""),1),"""")"),"")</f>
        <v/>
      </c>
      <c r="W2588" s="315" t="str">
        <f>IFERROR(__xludf.DUMMYFUNCTION("if(V2588="""",C2588,if(not(iserror(index(split(C2588, "" ""),3))), index(split(C2588, "" ""),3),index(split(C2588, "" ""),2)))"),"")</f>
        <v/>
      </c>
      <c r="X2588" s="38" t="b">
        <f t="shared" si="2"/>
        <v>0</v>
      </c>
      <c r="Y2588" s="38"/>
      <c r="Z2588" s="40"/>
      <c r="AA2588" s="40"/>
      <c r="AB2588" s="38"/>
      <c r="AC2588" s="38"/>
      <c r="AD2588" s="38"/>
      <c r="AE2588" s="38"/>
      <c r="AF2588" s="38"/>
      <c r="AG2588" s="38"/>
      <c r="AH2588" s="38"/>
      <c r="AI2588" s="38"/>
      <c r="AJ2588" s="38"/>
      <c r="AK2588" s="38"/>
      <c r="AL2588" s="38"/>
      <c r="AM2588" s="38"/>
      <c r="AN2588" s="38"/>
      <c r="AO2588" s="38"/>
      <c r="AP2588" s="38"/>
      <c r="AQ2588" s="38"/>
      <c r="AR2588" s="38"/>
      <c r="AS2588" s="38"/>
      <c r="AT2588" s="38"/>
      <c r="AU2588" s="38"/>
      <c r="AV2588" s="38"/>
      <c r="AW2588" s="38"/>
      <c r="AX2588" s="38"/>
      <c r="AY2588" s="38"/>
      <c r="AZ2588" s="38"/>
      <c r="BA2588" s="38"/>
      <c r="BB2588" s="38"/>
      <c r="BC2588" s="38"/>
      <c r="BD2588" s="38"/>
      <c r="BE2588" s="38"/>
      <c r="BF2588" s="38"/>
      <c r="BG2588" s="38"/>
    </row>
    <row r="2589">
      <c r="A2589" s="16"/>
      <c r="B2589" s="16"/>
      <c r="C2589" s="146"/>
      <c r="D2589" s="146"/>
      <c r="E2589" s="16"/>
      <c r="F2589" s="91"/>
      <c r="G2589" s="16"/>
      <c r="H2589" s="320" t="str">
        <f t="shared" si="1"/>
        <v/>
      </c>
      <c r="I2589" s="16"/>
      <c r="J2589" s="16"/>
      <c r="K2589" s="16"/>
      <c r="L2589" s="38"/>
      <c r="M2589" s="16"/>
      <c r="N2589" s="16"/>
      <c r="O2589" s="16"/>
      <c r="P2589" s="15"/>
      <c r="Q2589" s="15"/>
      <c r="R2589" s="16"/>
      <c r="S2589" s="16"/>
      <c r="T2589" s="16"/>
      <c r="U2589" s="16"/>
      <c r="V2589" s="37" t="str">
        <f>IFERROR(__xludf.DUMMYFUNCTION("if(not(iserror(index(split(C2589, "" ""),2))), index(split(C2589, "" ""),1),"""")"),"")</f>
        <v/>
      </c>
      <c r="W2589" s="315" t="str">
        <f>IFERROR(__xludf.DUMMYFUNCTION("if(V2589="""",C2589,if(not(iserror(index(split(C2589, "" ""),3))), index(split(C2589, "" ""),3),index(split(C2589, "" ""),2)))"),"")</f>
        <v/>
      </c>
      <c r="X2589" s="38" t="b">
        <f t="shared" si="2"/>
        <v>0</v>
      </c>
      <c r="Y2589" s="38"/>
      <c r="Z2589" s="40"/>
      <c r="AA2589" s="40"/>
      <c r="AB2589" s="38"/>
      <c r="AC2589" s="38"/>
      <c r="AD2589" s="38"/>
      <c r="AE2589" s="38"/>
      <c r="AF2589" s="38"/>
      <c r="AG2589" s="38"/>
      <c r="AH2589" s="38"/>
      <c r="AI2589" s="38"/>
      <c r="AJ2589" s="38"/>
      <c r="AK2589" s="38"/>
      <c r="AL2589" s="38"/>
      <c r="AM2589" s="38"/>
      <c r="AN2589" s="38"/>
      <c r="AO2589" s="38"/>
      <c r="AP2589" s="38"/>
      <c r="AQ2589" s="38"/>
      <c r="AR2589" s="38"/>
      <c r="AS2589" s="38"/>
      <c r="AT2589" s="38"/>
      <c r="AU2589" s="38"/>
      <c r="AV2589" s="38"/>
      <c r="AW2589" s="38"/>
      <c r="AX2589" s="38"/>
      <c r="AY2589" s="38"/>
      <c r="AZ2589" s="38"/>
      <c r="BA2589" s="38"/>
      <c r="BB2589" s="38"/>
      <c r="BC2589" s="38"/>
      <c r="BD2589" s="38"/>
      <c r="BE2589" s="38"/>
      <c r="BF2589" s="38"/>
      <c r="BG2589" s="38"/>
    </row>
    <row r="2590">
      <c r="A2590" s="16"/>
      <c r="B2590" s="16"/>
      <c r="C2590" s="146"/>
      <c r="D2590" s="146"/>
      <c r="E2590" s="16"/>
      <c r="F2590" s="91"/>
      <c r="G2590" s="16"/>
      <c r="H2590" s="320" t="str">
        <f t="shared" si="1"/>
        <v/>
      </c>
      <c r="I2590" s="16"/>
      <c r="J2590" s="16"/>
      <c r="K2590" s="16"/>
      <c r="L2590" s="38"/>
      <c r="M2590" s="16"/>
      <c r="N2590" s="16"/>
      <c r="O2590" s="16"/>
      <c r="P2590" s="15"/>
      <c r="Q2590" s="15"/>
      <c r="R2590" s="16"/>
      <c r="S2590" s="16"/>
      <c r="T2590" s="16"/>
      <c r="U2590" s="16"/>
      <c r="V2590" s="37" t="str">
        <f>IFERROR(__xludf.DUMMYFUNCTION("if(not(iserror(index(split(C2590, "" ""),2))), index(split(C2590, "" ""),1),"""")"),"")</f>
        <v/>
      </c>
      <c r="W2590" s="315" t="str">
        <f>IFERROR(__xludf.DUMMYFUNCTION("if(V2590="""",C2590,if(not(iserror(index(split(C2590, "" ""),3))), index(split(C2590, "" ""),3),index(split(C2590, "" ""),2)))"),"")</f>
        <v/>
      </c>
      <c r="X2590" s="38" t="b">
        <f t="shared" si="2"/>
        <v>0</v>
      </c>
      <c r="Y2590" s="38"/>
      <c r="Z2590" s="40"/>
      <c r="AA2590" s="40"/>
      <c r="AB2590" s="38"/>
      <c r="AC2590" s="38"/>
      <c r="AD2590" s="38"/>
      <c r="AE2590" s="38"/>
      <c r="AF2590" s="38"/>
      <c r="AG2590" s="38"/>
      <c r="AH2590" s="38"/>
      <c r="AI2590" s="38"/>
      <c r="AJ2590" s="38"/>
      <c r="AK2590" s="38"/>
      <c r="AL2590" s="38"/>
      <c r="AM2590" s="38"/>
      <c r="AN2590" s="38"/>
      <c r="AO2590" s="38"/>
      <c r="AP2590" s="38"/>
      <c r="AQ2590" s="38"/>
      <c r="AR2590" s="38"/>
      <c r="AS2590" s="38"/>
      <c r="AT2590" s="38"/>
      <c r="AU2590" s="38"/>
      <c r="AV2590" s="38"/>
      <c r="AW2590" s="38"/>
      <c r="AX2590" s="38"/>
      <c r="AY2590" s="38"/>
      <c r="AZ2590" s="38"/>
      <c r="BA2590" s="38"/>
      <c r="BB2590" s="38"/>
      <c r="BC2590" s="38"/>
      <c r="BD2590" s="38"/>
      <c r="BE2590" s="38"/>
      <c r="BF2590" s="38"/>
      <c r="BG2590" s="38"/>
    </row>
    <row r="2591">
      <c r="A2591" s="16"/>
      <c r="B2591" s="16"/>
      <c r="C2591" s="146"/>
      <c r="D2591" s="146"/>
      <c r="E2591" s="16"/>
      <c r="F2591" s="91"/>
      <c r="G2591" s="16"/>
      <c r="H2591" s="320" t="str">
        <f t="shared" si="1"/>
        <v/>
      </c>
      <c r="I2591" s="16"/>
      <c r="J2591" s="16"/>
      <c r="K2591" s="16"/>
      <c r="L2591" s="38"/>
      <c r="M2591" s="16"/>
      <c r="N2591" s="16"/>
      <c r="O2591" s="16"/>
      <c r="P2591" s="15"/>
      <c r="Q2591" s="15"/>
      <c r="R2591" s="16"/>
      <c r="S2591" s="16"/>
      <c r="T2591" s="16"/>
      <c r="U2591" s="16"/>
      <c r="V2591" s="37" t="str">
        <f>IFERROR(__xludf.DUMMYFUNCTION("if(not(iserror(index(split(C2591, "" ""),2))), index(split(C2591, "" ""),1),"""")"),"")</f>
        <v/>
      </c>
      <c r="W2591" s="315" t="str">
        <f>IFERROR(__xludf.DUMMYFUNCTION("if(V2591="""",C2591,if(not(iserror(index(split(C2591, "" ""),3))), index(split(C2591, "" ""),3),index(split(C2591, "" ""),2)))"),"")</f>
        <v/>
      </c>
      <c r="X2591" s="38" t="b">
        <f t="shared" si="2"/>
        <v>0</v>
      </c>
      <c r="Y2591" s="38"/>
      <c r="Z2591" s="40"/>
      <c r="AA2591" s="40"/>
      <c r="AB2591" s="38"/>
      <c r="AC2591" s="38"/>
      <c r="AD2591" s="38"/>
      <c r="AE2591" s="38"/>
      <c r="AF2591" s="38"/>
      <c r="AG2591" s="38"/>
      <c r="AH2591" s="38"/>
      <c r="AI2591" s="38"/>
      <c r="AJ2591" s="38"/>
      <c r="AK2591" s="38"/>
      <c r="AL2591" s="38"/>
      <c r="AM2591" s="38"/>
      <c r="AN2591" s="38"/>
      <c r="AO2591" s="38"/>
      <c r="AP2591" s="38"/>
      <c r="AQ2591" s="38"/>
      <c r="AR2591" s="38"/>
      <c r="AS2591" s="38"/>
      <c r="AT2591" s="38"/>
      <c r="AU2591" s="38"/>
      <c r="AV2591" s="38"/>
      <c r="AW2591" s="38"/>
      <c r="AX2591" s="38"/>
      <c r="AY2591" s="38"/>
      <c r="AZ2591" s="38"/>
      <c r="BA2591" s="38"/>
      <c r="BB2591" s="38"/>
      <c r="BC2591" s="38"/>
      <c r="BD2591" s="38"/>
      <c r="BE2591" s="38"/>
      <c r="BF2591" s="38"/>
      <c r="BG2591" s="38"/>
    </row>
    <row r="2592">
      <c r="A2592" s="16"/>
      <c r="B2592" s="16"/>
      <c r="C2592" s="146"/>
      <c r="D2592" s="146"/>
      <c r="E2592" s="16"/>
      <c r="F2592" s="91"/>
      <c r="G2592" s="16"/>
      <c r="H2592" s="320" t="str">
        <f t="shared" si="1"/>
        <v/>
      </c>
      <c r="I2592" s="16"/>
      <c r="J2592" s="16"/>
      <c r="K2592" s="16"/>
      <c r="L2592" s="38"/>
      <c r="M2592" s="16"/>
      <c r="N2592" s="16"/>
      <c r="O2592" s="16"/>
      <c r="P2592" s="15"/>
      <c r="Q2592" s="15"/>
      <c r="R2592" s="16"/>
      <c r="S2592" s="16"/>
      <c r="T2592" s="16"/>
      <c r="U2592" s="16"/>
      <c r="V2592" s="37" t="str">
        <f>IFERROR(__xludf.DUMMYFUNCTION("if(not(iserror(index(split(C2592, "" ""),2))), index(split(C2592, "" ""),1),"""")"),"")</f>
        <v/>
      </c>
      <c r="W2592" s="315" t="str">
        <f>IFERROR(__xludf.DUMMYFUNCTION("if(V2592="""",C2592,if(not(iserror(index(split(C2592, "" ""),3))), index(split(C2592, "" ""),3),index(split(C2592, "" ""),2)))"),"")</f>
        <v/>
      </c>
      <c r="X2592" s="38" t="b">
        <f t="shared" si="2"/>
        <v>0</v>
      </c>
      <c r="Y2592" s="38"/>
      <c r="Z2592" s="40"/>
      <c r="AA2592" s="40"/>
      <c r="AB2592" s="38"/>
      <c r="AC2592" s="38"/>
      <c r="AD2592" s="38"/>
      <c r="AE2592" s="38"/>
      <c r="AF2592" s="38"/>
      <c r="AG2592" s="38"/>
      <c r="AH2592" s="38"/>
      <c r="AI2592" s="38"/>
      <c r="AJ2592" s="38"/>
      <c r="AK2592" s="38"/>
      <c r="AL2592" s="38"/>
      <c r="AM2592" s="38"/>
      <c r="AN2592" s="38"/>
      <c r="AO2592" s="38"/>
      <c r="AP2592" s="38"/>
      <c r="AQ2592" s="38"/>
      <c r="AR2592" s="38"/>
      <c r="AS2592" s="38"/>
      <c r="AT2592" s="38"/>
      <c r="AU2592" s="38"/>
      <c r="AV2592" s="38"/>
      <c r="AW2592" s="38"/>
      <c r="AX2592" s="38"/>
      <c r="AY2592" s="38"/>
      <c r="AZ2592" s="38"/>
      <c r="BA2592" s="38"/>
      <c r="BB2592" s="38"/>
      <c r="BC2592" s="38"/>
      <c r="BD2592" s="38"/>
      <c r="BE2592" s="38"/>
      <c r="BF2592" s="38"/>
      <c r="BG2592" s="38"/>
    </row>
    <row r="2593">
      <c r="A2593" s="16"/>
      <c r="B2593" s="16"/>
      <c r="C2593" s="146"/>
      <c r="D2593" s="146"/>
      <c r="E2593" s="16"/>
      <c r="F2593" s="91"/>
      <c r="G2593" s="16"/>
      <c r="H2593" s="320" t="str">
        <f t="shared" si="1"/>
        <v/>
      </c>
      <c r="I2593" s="16"/>
      <c r="J2593" s="16"/>
      <c r="K2593" s="16"/>
      <c r="L2593" s="38"/>
      <c r="M2593" s="16"/>
      <c r="N2593" s="16"/>
      <c r="O2593" s="16"/>
      <c r="P2593" s="15"/>
      <c r="Q2593" s="15"/>
      <c r="R2593" s="16"/>
      <c r="S2593" s="16"/>
      <c r="T2593" s="16"/>
      <c r="U2593" s="16"/>
      <c r="V2593" s="37" t="str">
        <f>IFERROR(__xludf.DUMMYFUNCTION("if(not(iserror(index(split(C2593, "" ""),2))), index(split(C2593, "" ""),1),"""")"),"")</f>
        <v/>
      </c>
      <c r="W2593" s="315" t="str">
        <f>IFERROR(__xludf.DUMMYFUNCTION("if(V2593="""",C2593,if(not(iserror(index(split(C2593, "" ""),3))), index(split(C2593, "" ""),3),index(split(C2593, "" ""),2)))"),"")</f>
        <v/>
      </c>
      <c r="X2593" s="38" t="b">
        <f t="shared" si="2"/>
        <v>0</v>
      </c>
      <c r="Y2593" s="38"/>
      <c r="Z2593" s="40"/>
      <c r="AA2593" s="40"/>
      <c r="AB2593" s="38"/>
      <c r="AC2593" s="38"/>
      <c r="AD2593" s="38"/>
      <c r="AE2593" s="38"/>
      <c r="AF2593" s="38"/>
      <c r="AG2593" s="38"/>
      <c r="AH2593" s="38"/>
      <c r="AI2593" s="38"/>
      <c r="AJ2593" s="38"/>
      <c r="AK2593" s="38"/>
      <c r="AL2593" s="38"/>
      <c r="AM2593" s="38"/>
      <c r="AN2593" s="38"/>
      <c r="AO2593" s="38"/>
      <c r="AP2593" s="38"/>
      <c r="AQ2593" s="38"/>
      <c r="AR2593" s="38"/>
      <c r="AS2593" s="38"/>
      <c r="AT2593" s="38"/>
      <c r="AU2593" s="38"/>
      <c r="AV2593" s="38"/>
      <c r="AW2593" s="38"/>
      <c r="AX2593" s="38"/>
      <c r="AY2593" s="38"/>
      <c r="AZ2593" s="38"/>
      <c r="BA2593" s="38"/>
      <c r="BB2593" s="38"/>
      <c r="BC2593" s="38"/>
      <c r="BD2593" s="38"/>
      <c r="BE2593" s="38"/>
      <c r="BF2593" s="38"/>
      <c r="BG2593" s="38"/>
    </row>
    <row r="2594">
      <c r="A2594" s="16"/>
      <c r="B2594" s="16"/>
      <c r="C2594" s="146"/>
      <c r="D2594" s="146"/>
      <c r="E2594" s="16"/>
      <c r="F2594" s="91"/>
      <c r="G2594" s="16"/>
      <c r="H2594" s="320" t="str">
        <f t="shared" si="1"/>
        <v/>
      </c>
      <c r="I2594" s="16"/>
      <c r="J2594" s="16"/>
      <c r="K2594" s="16"/>
      <c r="L2594" s="38"/>
      <c r="M2594" s="16"/>
      <c r="N2594" s="16"/>
      <c r="O2594" s="16"/>
      <c r="P2594" s="15"/>
      <c r="Q2594" s="15"/>
      <c r="R2594" s="16"/>
      <c r="S2594" s="16"/>
      <c r="T2594" s="16"/>
      <c r="U2594" s="16"/>
      <c r="V2594" s="37" t="str">
        <f>IFERROR(__xludf.DUMMYFUNCTION("if(not(iserror(index(split(C2594, "" ""),2))), index(split(C2594, "" ""),1),"""")"),"")</f>
        <v/>
      </c>
      <c r="W2594" s="315" t="str">
        <f>IFERROR(__xludf.DUMMYFUNCTION("if(V2594="""",C2594,if(not(iserror(index(split(C2594, "" ""),3))), index(split(C2594, "" ""),3),index(split(C2594, "" ""),2)))"),"")</f>
        <v/>
      </c>
      <c r="X2594" s="38" t="b">
        <f t="shared" si="2"/>
        <v>0</v>
      </c>
      <c r="Y2594" s="38"/>
      <c r="Z2594" s="40"/>
      <c r="AA2594" s="40"/>
      <c r="AB2594" s="38"/>
      <c r="AC2594" s="38"/>
      <c r="AD2594" s="38"/>
      <c r="AE2594" s="38"/>
      <c r="AF2594" s="38"/>
      <c r="AG2594" s="38"/>
      <c r="AH2594" s="38"/>
      <c r="AI2594" s="38"/>
      <c r="AJ2594" s="38"/>
      <c r="AK2594" s="38"/>
      <c r="AL2594" s="38"/>
      <c r="AM2594" s="38"/>
      <c r="AN2594" s="38"/>
      <c r="AO2594" s="38"/>
      <c r="AP2594" s="38"/>
      <c r="AQ2594" s="38"/>
      <c r="AR2594" s="38"/>
      <c r="AS2594" s="38"/>
      <c r="AT2594" s="38"/>
      <c r="AU2594" s="38"/>
      <c r="AV2594" s="38"/>
      <c r="AW2594" s="38"/>
      <c r="AX2594" s="38"/>
      <c r="AY2594" s="38"/>
      <c r="AZ2594" s="38"/>
      <c r="BA2594" s="38"/>
      <c r="BB2594" s="38"/>
      <c r="BC2594" s="38"/>
      <c r="BD2594" s="38"/>
      <c r="BE2594" s="38"/>
      <c r="BF2594" s="38"/>
      <c r="BG2594" s="38"/>
    </row>
    <row r="2595">
      <c r="A2595" s="16"/>
      <c r="B2595" s="16"/>
      <c r="C2595" s="146"/>
      <c r="D2595" s="146"/>
      <c r="E2595" s="16"/>
      <c r="F2595" s="91"/>
      <c r="G2595" s="16"/>
      <c r="H2595" s="320" t="str">
        <f t="shared" si="1"/>
        <v/>
      </c>
      <c r="I2595" s="16"/>
      <c r="J2595" s="16"/>
      <c r="K2595" s="16"/>
      <c r="L2595" s="38"/>
      <c r="M2595" s="16"/>
      <c r="N2595" s="16"/>
      <c r="O2595" s="16"/>
      <c r="P2595" s="15"/>
      <c r="Q2595" s="15"/>
      <c r="R2595" s="16"/>
      <c r="S2595" s="16"/>
      <c r="T2595" s="16"/>
      <c r="U2595" s="16"/>
      <c r="V2595" s="37" t="str">
        <f>IFERROR(__xludf.DUMMYFUNCTION("if(not(iserror(index(split(C2595, "" ""),2))), index(split(C2595, "" ""),1),"""")"),"")</f>
        <v/>
      </c>
      <c r="W2595" s="315" t="str">
        <f>IFERROR(__xludf.DUMMYFUNCTION("if(V2595="""",C2595,if(not(iserror(index(split(C2595, "" ""),3))), index(split(C2595, "" ""),3),index(split(C2595, "" ""),2)))"),"")</f>
        <v/>
      </c>
      <c r="X2595" s="38" t="b">
        <f t="shared" si="2"/>
        <v>0</v>
      </c>
      <c r="Y2595" s="38"/>
      <c r="Z2595" s="40"/>
      <c r="AA2595" s="40"/>
      <c r="AB2595" s="38"/>
      <c r="AC2595" s="38"/>
      <c r="AD2595" s="38"/>
      <c r="AE2595" s="38"/>
      <c r="AF2595" s="38"/>
      <c r="AG2595" s="38"/>
      <c r="AH2595" s="38"/>
      <c r="AI2595" s="38"/>
      <c r="AJ2595" s="38"/>
      <c r="AK2595" s="38"/>
      <c r="AL2595" s="38"/>
      <c r="AM2595" s="38"/>
      <c r="AN2595" s="38"/>
      <c r="AO2595" s="38"/>
      <c r="AP2595" s="38"/>
      <c r="AQ2595" s="38"/>
      <c r="AR2595" s="38"/>
      <c r="AS2595" s="38"/>
      <c r="AT2595" s="38"/>
      <c r="AU2595" s="38"/>
      <c r="AV2595" s="38"/>
      <c r="AW2595" s="38"/>
      <c r="AX2595" s="38"/>
      <c r="AY2595" s="38"/>
      <c r="AZ2595" s="38"/>
      <c r="BA2595" s="38"/>
      <c r="BB2595" s="38"/>
      <c r="BC2595" s="38"/>
      <c r="BD2595" s="38"/>
      <c r="BE2595" s="38"/>
      <c r="BF2595" s="38"/>
      <c r="BG2595" s="38"/>
    </row>
    <row r="2596">
      <c r="A2596" s="16"/>
      <c r="B2596" s="16"/>
      <c r="C2596" s="146"/>
      <c r="D2596" s="146"/>
      <c r="E2596" s="16"/>
      <c r="F2596" s="91"/>
      <c r="G2596" s="16"/>
      <c r="H2596" s="320"/>
      <c r="I2596" s="16"/>
      <c r="J2596" s="16"/>
      <c r="K2596" s="16"/>
      <c r="L2596" s="38"/>
      <c r="M2596" s="16"/>
      <c r="N2596" s="16"/>
      <c r="O2596" s="16"/>
      <c r="P2596" s="15"/>
      <c r="Q2596" s="15"/>
      <c r="R2596" s="16"/>
      <c r="S2596" s="16"/>
      <c r="T2596" s="16"/>
      <c r="U2596" s="16"/>
      <c r="V2596" s="37" t="str">
        <f>IFERROR(__xludf.DUMMYFUNCTION("if(not(iserror(index(split(C2596, "" ""),2))), index(split(C2596, "" ""),1),"""")"),"")</f>
        <v/>
      </c>
      <c r="W2596" s="315" t="str">
        <f>IFERROR(__xludf.DUMMYFUNCTION("if(V2596="""",C2596,if(not(iserror(index(split(C2596, "" ""),3))), index(split(C2596, "" ""),3),index(split(C2596, "" ""),2)))"),"")</f>
        <v/>
      </c>
      <c r="X2596" s="38" t="b">
        <f t="shared" si="2"/>
        <v>0</v>
      </c>
      <c r="Y2596" s="38"/>
      <c r="Z2596" s="40"/>
      <c r="AA2596" s="40"/>
      <c r="AB2596" s="38"/>
      <c r="AC2596" s="38"/>
      <c r="AD2596" s="38"/>
      <c r="AE2596" s="38"/>
      <c r="AF2596" s="38"/>
      <c r="AG2596" s="38"/>
      <c r="AH2596" s="38"/>
      <c r="AI2596" s="38"/>
      <c r="AJ2596" s="38"/>
      <c r="AK2596" s="38"/>
      <c r="AL2596" s="38"/>
      <c r="AM2596" s="38"/>
      <c r="AN2596" s="38"/>
      <c r="AO2596" s="38"/>
      <c r="AP2596" s="38"/>
      <c r="AQ2596" s="38"/>
      <c r="AR2596" s="38"/>
      <c r="AS2596" s="38"/>
      <c r="AT2596" s="38"/>
      <c r="AU2596" s="38"/>
      <c r="AV2596" s="38"/>
      <c r="AW2596" s="38"/>
      <c r="AX2596" s="38"/>
      <c r="AY2596" s="38"/>
      <c r="AZ2596" s="38"/>
      <c r="BA2596" s="38"/>
      <c r="BB2596" s="38"/>
      <c r="BC2596" s="38"/>
      <c r="BD2596" s="38"/>
      <c r="BE2596" s="38"/>
      <c r="BF2596" s="38"/>
      <c r="BG2596" s="38"/>
    </row>
  </sheetData>
  <customSheetViews>
    <customSheetView guid="{6F77D639-6DBE-4A73-82B8-76ACDC53E60F}" filter="1" showAutoFilter="1">
      <autoFilter ref="$A$3:$X$1619">
        <filterColumn colId="0">
          <filters blank="1">
            <filter val="Tom Shortridge"/>
            <filter val="Raymond Liddy"/>
            <filter val="Andrew Douglas Reed"/>
            <filter val="Neil Goldschmidt"/>
            <filter val="Carl Carey"/>
            <filter val="Christopher Wright"/>
            <filter val="Peter N. Dibble"/>
            <filter val="Jared Fogle"/>
            <filter val="Richard A. Dasen Sr."/>
            <filter val="Richard Gardner"/>
            <filter val="Edison Misla Aldarondo"/>
            <filter val="Jeff Rosato"/>
            <filter val="Tony Cárdenas"/>
            <filter val="Charles Wade"/>
            <filter val="Anthony Weiner"/>
            <filter val="Robert Bauman"/>
            <filter val="David Swartz"/>
            <filter val="Fred Richmond"/>
            <filter val="James Cameron"/>
            <filter val="James Cafferty"/>
            <filter val="Kenneth Lewis Barrett"/>
            <filter val="Dale Kenyon"/>
            <filter val="Mark A. Grethen"/>
            <filter val="Mel Reynolds"/>
            <filter val="Terry Bean"/>
            <filter val="Mark Benavides"/>
            <filter val="Philip Ahr"/>
            <filter val="Strom Thurmond"/>
            <filter val="Andrew Myers"/>
            <filter val="Jacob Schwartz"/>
            <filter val="Asia Argento,"/>
            <filter val="Harvey Weinstein"/>
            <filter val="Rodney Mullin"/>
            <filter val="Nicholas Morency"/>
            <filter val="Stephen Jabbour"/>
            <filter val="Daniel Crane"/>
            <filter val="Keola Childs"/>
            <filter val="Keith Westmoreland"/>
            <filter val="Gerry Studds"/>
            <filter val="Larry Jack Schwarz"/>
            <filter val="John Butler"/>
            <filter val="Rick W. Nelson"/>
            <filter val="Bernie Ward"/>
            <filter val="Robin Vanderwall"/>
            <filter val="John Burt"/>
            <filter val="Beverly Russell"/>
            <filter val="Craig Stephen White"/>
            <filter val="Neil Cohen"/>
            <filter val="Jon Grunseth"/>
            <filter val="John Hathaway"/>
            <filter val="Parker J. Bena"/>
            <filter val="Howard L. Brooks"/>
            <filter val="Kevin Coan"/>
            <filter val="Russell Simmons"/>
            <filter val="Richard Anthony Delgaudio"/>
            <filter val="Richard Keenan"/>
            <filter val="Gus Savage"/>
            <filter val="Roman Polanski"/>
            <filter val="Keith Farnham"/>
            <filter val="Jeffrey Epstein"/>
            <filter val="Randal David Ankeney"/>
            <filter val="Mark Pazuhanich"/>
            <filter val="Timothy Nolan"/>
            <filter val="David J. Roberts"/>
            <filter val="Ralph Shortey"/>
            <filter val="Donald Briggs"/>
            <filter val="Harry 'HL' Moody"/>
            <filter val="Dean Westlake"/>
            <filter val="Jeffrey Patti"/>
            <filter val="Marty Glickman"/>
            <filter val="Howard Scott Heldreth"/>
            <filter val="Michael Hintz"/>
            <filter val="Jack W. Gardner"/>
            <filter val="Mark Harris"/>
            <filter val="Anthony Silva"/>
            <filter val="George Jacko"/>
            <filter val="Earl Kimmerling"/>
            <filter val="Merrill Robert Barter"/>
            <filter val="Fred C. Smeltzer, Jr."/>
            <filter val="Jon Matthews"/>
            <filter val="Joe Morrisey"/>
            <filter val="Gary Becker"/>
            <filter val="Dwayne L. Schutt"/>
            <filter val="Nicholas Elizondo"/>
            <filter val="Ed Murray"/>
            <filter val="Daniel Rosen"/>
            <filter val="Donald 'Buz' Lukens"/>
            <filter val="Paul Ingram"/>
          </filters>
        </filterColumn>
        <filterColumn colId="23">
          <filters blank="1"/>
        </filterColumn>
      </autoFilter>
    </customSheetView>
    <customSheetView guid="{4483C7C5-39AD-481B-8B5C-9828FE8855DD}" filter="1" showAutoFilter="1">
      <autoFilter ref="$A$3:$X$1619"/>
    </customSheetView>
  </customSheetViews>
  <mergeCells count="2">
    <mergeCell ref="B1:J1"/>
    <mergeCell ref="E2:F2"/>
  </mergeCells>
  <conditionalFormatting sqref="A3:AC3">
    <cfRule type="notContainsBlanks" dxfId="4" priority="1">
      <formula>LEN(TRIM(A3))&gt;0</formula>
    </cfRule>
  </conditionalFormatting>
  <conditionalFormatting sqref="A4:AC2596">
    <cfRule type="expression" dxfId="2" priority="2">
      <formula>and(if($T4,1,0),not(if($U4,1,0)))</formula>
    </cfRule>
  </conditionalFormatting>
  <conditionalFormatting sqref="A4:AC2596">
    <cfRule type="expression" dxfId="1" priority="3">
      <formula>and(if($U4,1,0),not(if($T4,1,0)))</formula>
    </cfRule>
  </conditionalFormatting>
  <conditionalFormatting sqref="A4:AC2596">
    <cfRule type="expression" dxfId="0" priority="4">
      <formula>and(if($U4,1,0),if($T4,1,0))</formula>
    </cfRule>
  </conditionalFormatting>
  <hyperlinks>
    <hyperlink r:id="rId2" ref="P4"/>
    <hyperlink r:id="rId3" ref="Z4"/>
    <hyperlink r:id="rId4" ref="AA4"/>
    <hyperlink r:id="rId5" ref="P5"/>
    <hyperlink r:id="rId6" ref="Z5"/>
    <hyperlink r:id="rId7" ref="P6"/>
    <hyperlink r:id="rId8" ref="Z6"/>
    <hyperlink r:id="rId9" ref="P7"/>
    <hyperlink r:id="rId10" ref="Q7"/>
    <hyperlink r:id="rId11" ref="Z7"/>
    <hyperlink r:id="rId12" ref="AA7"/>
    <hyperlink r:id="rId13" ref="P8"/>
    <hyperlink r:id="rId14" ref="Q8"/>
    <hyperlink r:id="rId15" ref="Z8"/>
    <hyperlink r:id="rId16" ref="AA8"/>
    <hyperlink r:id="rId17" ref="P9"/>
    <hyperlink r:id="rId18" ref="Z9"/>
    <hyperlink r:id="rId19" ref="AA9"/>
    <hyperlink r:id="rId20" ref="P10"/>
    <hyperlink r:id="rId21" ref="Q10"/>
    <hyperlink r:id="rId22" ref="Z10"/>
    <hyperlink r:id="rId23" ref="AA10"/>
    <hyperlink r:id="rId24" ref="P11"/>
    <hyperlink r:id="rId25" ref="Q11"/>
    <hyperlink r:id="rId26" ref="Z11"/>
    <hyperlink r:id="rId27" ref="AA11"/>
    <hyperlink r:id="rId28" ref="P12"/>
    <hyperlink r:id="rId29" ref="Q12"/>
    <hyperlink r:id="rId30" ref="Z12"/>
    <hyperlink r:id="rId31" ref="AA12"/>
    <hyperlink r:id="rId32" ref="P13"/>
    <hyperlink r:id="rId33" ref="Q13"/>
    <hyperlink r:id="rId34" ref="Z13"/>
    <hyperlink r:id="rId35" ref="AA13"/>
    <hyperlink r:id="rId36" ref="P14"/>
    <hyperlink r:id="rId37" ref="Z14"/>
    <hyperlink r:id="rId38" ref="AA14"/>
    <hyperlink r:id="rId39" ref="P15"/>
    <hyperlink r:id="rId40" ref="Q15"/>
    <hyperlink r:id="rId41" ref="Z15"/>
    <hyperlink r:id="rId42" ref="AA15"/>
    <hyperlink r:id="rId43" ref="P16"/>
    <hyperlink r:id="rId44" ref="Q16"/>
    <hyperlink r:id="rId45" ref="Z16"/>
    <hyperlink r:id="rId46" ref="AA16"/>
    <hyperlink r:id="rId47" ref="P17"/>
    <hyperlink r:id="rId48" ref="Q17"/>
    <hyperlink r:id="rId49" ref="Z17"/>
    <hyperlink r:id="rId50" ref="AA17"/>
    <hyperlink r:id="rId51" ref="P18"/>
    <hyperlink r:id="rId52" ref="Z18"/>
    <hyperlink r:id="rId53" ref="AA18"/>
    <hyperlink r:id="rId54" ref="P19"/>
    <hyperlink r:id="rId55" ref="Z19"/>
    <hyperlink r:id="rId56" ref="AA19"/>
    <hyperlink r:id="rId57" ref="P20"/>
    <hyperlink r:id="rId58" ref="Z20"/>
    <hyperlink r:id="rId59" ref="AA20"/>
    <hyperlink r:id="rId60" ref="P21"/>
    <hyperlink r:id="rId61" ref="Q21"/>
    <hyperlink r:id="rId62" ref="Z21"/>
    <hyperlink r:id="rId63" ref="AA21"/>
    <hyperlink r:id="rId64" ref="P22"/>
    <hyperlink r:id="rId65" ref="Q22"/>
    <hyperlink r:id="rId66" ref="Z22"/>
    <hyperlink r:id="rId67" ref="AA22"/>
    <hyperlink r:id="rId68" ref="Q23"/>
    <hyperlink r:id="rId69" ref="Z23"/>
    <hyperlink r:id="rId70" ref="AA23"/>
    <hyperlink r:id="rId71" ref="P24"/>
    <hyperlink r:id="rId72" ref="Q24"/>
    <hyperlink r:id="rId73" ref="Z24"/>
    <hyperlink r:id="rId74" ref="AA24"/>
    <hyperlink r:id="rId75" ref="P25"/>
    <hyperlink r:id="rId76" ref="Z25"/>
    <hyperlink r:id="rId77" ref="AA25"/>
    <hyperlink r:id="rId78" ref="P26"/>
    <hyperlink r:id="rId79" ref="Z26"/>
    <hyperlink r:id="rId80" ref="AA26"/>
    <hyperlink r:id="rId81" ref="P27"/>
    <hyperlink r:id="rId82" ref="Z27"/>
    <hyperlink r:id="rId83" ref="P28"/>
    <hyperlink r:id="rId84" ref="Q28"/>
    <hyperlink r:id="rId85" ref="Z28"/>
    <hyperlink r:id="rId86" ref="AA28"/>
    <hyperlink r:id="rId87" ref="P29"/>
    <hyperlink r:id="rId88" ref="Q29"/>
    <hyperlink r:id="rId89" ref="Z29"/>
    <hyperlink r:id="rId90" ref="AA29"/>
    <hyperlink r:id="rId91" ref="P30"/>
    <hyperlink r:id="rId92" ref="Z30"/>
    <hyperlink r:id="rId93" ref="P31"/>
    <hyperlink r:id="rId94" ref="Q31"/>
    <hyperlink r:id="rId95" ref="Z31"/>
    <hyperlink r:id="rId96" ref="AA31"/>
    <hyperlink r:id="rId97" ref="P32"/>
    <hyperlink r:id="rId98" ref="Z32"/>
    <hyperlink r:id="rId99" ref="AA32"/>
    <hyperlink r:id="rId100" ref="P33"/>
    <hyperlink r:id="rId101" ref="Q33"/>
    <hyperlink r:id="rId102" ref="Z33"/>
    <hyperlink r:id="rId103" ref="AA33"/>
    <hyperlink r:id="rId104" ref="P34"/>
    <hyperlink r:id="rId105" ref="Q34"/>
    <hyperlink r:id="rId106" ref="Z34"/>
    <hyperlink r:id="rId107" ref="AA34"/>
    <hyperlink r:id="rId108" ref="P35"/>
    <hyperlink r:id="rId109" ref="Q35"/>
    <hyperlink r:id="rId110" ref="Z35"/>
    <hyperlink r:id="rId111" ref="AA35"/>
    <hyperlink r:id="rId112" ref="P36"/>
    <hyperlink r:id="rId113" ref="Z36"/>
    <hyperlink r:id="rId114" ref="AA36"/>
    <hyperlink r:id="rId115" ref="Z37"/>
    <hyperlink r:id="rId116" ref="AA37"/>
    <hyperlink r:id="rId117" ref="P38"/>
    <hyperlink r:id="rId118" ref="Z38"/>
    <hyperlink r:id="rId119" ref="P39"/>
    <hyperlink r:id="rId120" ref="Q39"/>
    <hyperlink r:id="rId121" ref="Z39"/>
    <hyperlink r:id="rId122" ref="P40"/>
    <hyperlink r:id="rId123" ref="Q40"/>
    <hyperlink r:id="rId124" ref="Z40"/>
    <hyperlink r:id="rId125" ref="AA40"/>
    <hyperlink r:id="rId126" ref="P41"/>
    <hyperlink r:id="rId127" ref="Z41"/>
    <hyperlink r:id="rId128" ref="AA41"/>
    <hyperlink r:id="rId129" ref="P42"/>
    <hyperlink r:id="rId130" ref="Q42"/>
    <hyperlink r:id="rId131" ref="Z42"/>
    <hyperlink r:id="rId132" ref="AA42"/>
    <hyperlink r:id="rId133" ref="P43"/>
    <hyperlink r:id="rId134" ref="Z43"/>
    <hyperlink r:id="rId135" ref="AA43"/>
    <hyperlink r:id="rId136" ref="P44"/>
    <hyperlink r:id="rId137" ref="Z44"/>
    <hyperlink r:id="rId138" ref="AA44"/>
    <hyperlink r:id="rId139" ref="P45"/>
    <hyperlink r:id="rId140" ref="Q45"/>
    <hyperlink r:id="rId141" ref="Z45"/>
    <hyperlink r:id="rId142" ref="AA45"/>
    <hyperlink r:id="rId143" ref="P46"/>
    <hyperlink r:id="rId144" ref="Z46"/>
    <hyperlink r:id="rId145" ref="AA46"/>
    <hyperlink r:id="rId146" ref="P51"/>
    <hyperlink r:id="rId147" ref="Q51"/>
    <hyperlink r:id="rId148" ref="Z51"/>
    <hyperlink r:id="rId149" ref="AA51"/>
    <hyperlink r:id="rId150" ref="P52"/>
    <hyperlink r:id="rId151" ref="Q52"/>
    <hyperlink r:id="rId152" ref="Z52"/>
    <hyperlink r:id="rId153" ref="P53"/>
    <hyperlink r:id="rId154" ref="Q53"/>
    <hyperlink r:id="rId155" ref="Z53"/>
    <hyperlink r:id="rId156" ref="AA53"/>
    <hyperlink r:id="rId157" ref="P54"/>
    <hyperlink r:id="rId158" ref="Q54"/>
    <hyperlink r:id="rId159" ref="Z54"/>
    <hyperlink r:id="rId160" ref="AA54"/>
    <hyperlink r:id="rId161" ref="P55"/>
    <hyperlink r:id="rId162" ref="Q55"/>
    <hyperlink r:id="rId163" ref="Z55"/>
    <hyperlink r:id="rId164" ref="AA55"/>
    <hyperlink r:id="rId165" ref="Z56"/>
    <hyperlink r:id="rId166" ref="P57"/>
    <hyperlink r:id="rId167" ref="Q57"/>
    <hyperlink r:id="rId168" ref="Z57"/>
    <hyperlink r:id="rId169" ref="P58"/>
    <hyperlink r:id="rId170" ref="Q58"/>
    <hyperlink r:id="rId171" ref="AA58"/>
    <hyperlink r:id="rId172" ref="P59"/>
    <hyperlink r:id="rId173" ref="Q59"/>
    <hyperlink r:id="rId174" ref="Z59"/>
    <hyperlink r:id="rId175" ref="P61"/>
    <hyperlink r:id="rId176" ref="Q61"/>
    <hyperlink r:id="rId177" ref="Z61"/>
    <hyperlink r:id="rId178" ref="Z62"/>
    <hyperlink r:id="rId179" ref="P63"/>
    <hyperlink r:id="rId180" ref="Z63"/>
    <hyperlink r:id="rId181" ref="Z64"/>
    <hyperlink r:id="rId182" ref="AA64"/>
    <hyperlink r:id="rId183" ref="P65"/>
    <hyperlink r:id="rId184" ref="Q65"/>
    <hyperlink r:id="rId185" ref="Z65"/>
    <hyperlink r:id="rId186" ref="AA65"/>
    <hyperlink r:id="rId187" ref="P66"/>
    <hyperlink r:id="rId188" ref="Q66"/>
    <hyperlink r:id="rId189" ref="Z66"/>
    <hyperlink r:id="rId190" ref="AA66"/>
    <hyperlink r:id="rId191" ref="P67"/>
    <hyperlink r:id="rId192" ref="Z67"/>
    <hyperlink r:id="rId193" ref="AA67"/>
    <hyperlink r:id="rId194" ref="P68"/>
    <hyperlink r:id="rId195" ref="Q68"/>
    <hyperlink r:id="rId196" ref="Z68"/>
    <hyperlink r:id="rId197" ref="AA68"/>
    <hyperlink r:id="rId198" ref="P69"/>
    <hyperlink r:id="rId199" ref="AA69"/>
    <hyperlink r:id="rId200" ref="P70"/>
    <hyperlink r:id="rId201" ref="Q70"/>
    <hyperlink r:id="rId202" ref="Z70"/>
    <hyperlink r:id="rId203" ref="AA70"/>
    <hyperlink r:id="rId204" ref="P71"/>
    <hyperlink r:id="rId205" ref="Z71"/>
    <hyperlink r:id="rId206" ref="AA71"/>
    <hyperlink r:id="rId207" location=":~:text=George%20Jacko%20of%20Pedro%20Bay,Little%20in%20February%20of%201993" ref="P72"/>
    <hyperlink r:id="rId208" ref="Q72"/>
    <hyperlink r:id="rId209" ref="Z72"/>
    <hyperlink r:id="rId210" ref="AA72"/>
    <hyperlink r:id="rId211" ref="Z73"/>
    <hyperlink r:id="rId212" ref="AA73"/>
    <hyperlink r:id="rId213" location=":~:text=Dasen%20is%2C%20however%2C%20charged%20with,sex%2Dfor%2Dmoney%20relationships" ref="P74"/>
    <hyperlink r:id="rId214" ref="Z74"/>
    <hyperlink r:id="rId215" ref="AA74"/>
    <hyperlink r:id="rId216" ref="P75"/>
    <hyperlink r:id="rId217" ref="Q75"/>
    <hyperlink r:id="rId218" ref="Z75"/>
    <hyperlink r:id="rId219" ref="P76"/>
    <hyperlink r:id="rId220" ref="AA76"/>
    <hyperlink r:id="rId221" location=":~:text=A%20former%20Racine%20alderman%2C%20Becker,to%20problems%20in%20southeastern%20Wisconsin" ref="P77"/>
    <hyperlink r:id="rId222" ref="Z77"/>
    <hyperlink r:id="rId223" ref="AA77"/>
    <hyperlink r:id="rId224" ref="P78"/>
    <hyperlink r:id="rId225" ref="Q78"/>
    <hyperlink r:id="rId226" ref="Z78"/>
    <hyperlink r:id="rId227" ref="AA78"/>
    <hyperlink r:id="rId228" ref="P79"/>
    <hyperlink r:id="rId229" ref="Z79"/>
    <hyperlink r:id="rId230" ref="AA79"/>
    <hyperlink r:id="rId231" ref="P80"/>
    <hyperlink r:id="rId232" ref="Q80"/>
    <hyperlink r:id="rId233" ref="Z80"/>
    <hyperlink r:id="rId234" ref="AA80"/>
    <hyperlink r:id="rId235" ref="P81"/>
    <hyperlink r:id="rId236" ref="Q81"/>
    <hyperlink r:id="rId237" ref="Z81"/>
    <hyperlink r:id="rId238" ref="AA81"/>
    <hyperlink r:id="rId239" ref="P82"/>
    <hyperlink r:id="rId240" ref="Z82"/>
    <hyperlink r:id="rId241" ref="AA82"/>
    <hyperlink r:id="rId242" ref="Z83"/>
    <hyperlink r:id="rId243" ref="AA83"/>
    <hyperlink r:id="rId244" ref="P84"/>
    <hyperlink r:id="rId245" ref="Q84"/>
    <hyperlink r:id="rId246" ref="Z84"/>
    <hyperlink r:id="rId247" ref="AA84"/>
    <hyperlink r:id="rId248" ref="P85"/>
    <hyperlink r:id="rId249" ref="Z85"/>
    <hyperlink r:id="rId250" ref="AA85"/>
    <hyperlink r:id="rId251" ref="P86"/>
    <hyperlink r:id="rId252" ref="Q86"/>
    <hyperlink r:id="rId253" ref="Z86"/>
    <hyperlink r:id="rId254" ref="AA86"/>
    <hyperlink r:id="rId255" ref="P87"/>
    <hyperlink r:id="rId256" ref="Q87"/>
    <hyperlink r:id="rId257" ref="Z87"/>
    <hyperlink r:id="rId258" ref="AA87"/>
    <hyperlink r:id="rId259" ref="P88"/>
    <hyperlink r:id="rId260" ref="Z88"/>
    <hyperlink r:id="rId261" ref="AA88"/>
    <hyperlink r:id="rId262" ref="Z89"/>
    <hyperlink r:id="rId263" ref="AA89"/>
    <hyperlink r:id="rId264" ref="Z90"/>
    <hyperlink r:id="rId265" ref="AA90"/>
  </hyperlinks>
  <printOptions gridLines="1" horizontalCentered="1"/>
  <pageMargins bottom="0.75" footer="0.0" header="0.0" left="0.7" right="0.7" top="0.75"/>
  <pageSetup fitToHeight="0" cellComments="atEnd" orientation="landscape" pageOrder="overThenDown"/>
  <drawing r:id="rId266"/>
  <legacyDrawing r:id="rId26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3.0" topLeftCell="A4" activePane="bottomLeft" state="frozen"/>
      <selection activeCell="B5" sqref="B5" pane="bottomLeft"/>
    </sheetView>
  </sheetViews>
  <sheetFormatPr customHeight="1" defaultColWidth="12.63" defaultRowHeight="15.75"/>
  <cols>
    <col customWidth="1" min="1" max="1" width="29.13"/>
    <col customWidth="1" min="2" max="2" width="15.5"/>
    <col customWidth="1" min="3" max="3" width="19.38"/>
    <col customWidth="1" min="4" max="4" width="16.13"/>
    <col customWidth="1" min="5" max="5" width="13.63"/>
    <col customWidth="1" min="6" max="8" width="9.13"/>
    <col customWidth="1" min="9" max="9" width="7.75"/>
    <col customWidth="1" min="10" max="10" width="16.63"/>
    <col customWidth="1" min="11" max="11" width="55.0"/>
    <col customWidth="1" min="12" max="12" width="76.88"/>
    <col customWidth="1" min="13" max="13" width="21.13"/>
  </cols>
  <sheetData>
    <row r="1" ht="22.5" customHeight="1">
      <c r="A1" s="415"/>
      <c r="B1" s="416" t="s">
        <v>11127</v>
      </c>
      <c r="L1" s="417"/>
      <c r="M1" s="8"/>
      <c r="N1" s="8"/>
      <c r="O1" s="8"/>
      <c r="P1" s="8"/>
      <c r="Q1" s="8"/>
      <c r="R1" s="8"/>
      <c r="S1" s="8"/>
      <c r="T1" s="8"/>
      <c r="U1" s="8"/>
      <c r="V1" s="8"/>
      <c r="W1" s="8"/>
      <c r="X1" s="8"/>
      <c r="Y1" s="8"/>
      <c r="Z1" s="8"/>
      <c r="AA1" s="8"/>
      <c r="AB1" s="8"/>
      <c r="AC1" s="8"/>
      <c r="AD1" s="8"/>
      <c r="AE1" s="8"/>
      <c r="AF1" s="8"/>
      <c r="AG1" s="8"/>
      <c r="AH1" s="8"/>
    </row>
    <row r="2" ht="26.25" customHeight="1">
      <c r="A2" s="418"/>
      <c r="B2" s="3" t="s">
        <v>9346</v>
      </c>
      <c r="J2" s="419"/>
      <c r="K2" s="417"/>
      <c r="L2" s="417"/>
      <c r="M2" s="8"/>
      <c r="N2" s="8"/>
      <c r="O2" s="8"/>
      <c r="P2" s="8"/>
      <c r="Q2" s="8"/>
      <c r="R2" s="8"/>
      <c r="S2" s="8"/>
      <c r="T2" s="8"/>
      <c r="U2" s="8"/>
      <c r="V2" s="8"/>
      <c r="W2" s="8"/>
      <c r="X2" s="8"/>
      <c r="Y2" s="8"/>
      <c r="Z2" s="8"/>
      <c r="AA2" s="8"/>
      <c r="AB2" s="8"/>
      <c r="AC2" s="8"/>
      <c r="AD2" s="8"/>
      <c r="AE2" s="8"/>
      <c r="AF2" s="8"/>
      <c r="AG2" s="8"/>
      <c r="AH2" s="8"/>
    </row>
    <row r="3" ht="26.25" customHeight="1">
      <c r="A3" s="420" t="s">
        <v>7</v>
      </c>
      <c r="B3" s="21" t="s">
        <v>8</v>
      </c>
      <c r="C3" s="19" t="s">
        <v>9</v>
      </c>
      <c r="D3" s="19" t="s">
        <v>10</v>
      </c>
      <c r="E3" s="17" t="s">
        <v>11</v>
      </c>
      <c r="F3" s="17" t="s">
        <v>11128</v>
      </c>
      <c r="G3" s="17" t="s">
        <v>11129</v>
      </c>
      <c r="H3" s="17" t="s">
        <v>13</v>
      </c>
      <c r="I3" s="17" t="s">
        <v>14</v>
      </c>
      <c r="J3" s="21" t="s">
        <v>15</v>
      </c>
      <c r="K3" s="17" t="s">
        <v>16</v>
      </c>
      <c r="L3" s="17" t="s">
        <v>17</v>
      </c>
      <c r="M3" s="17" t="s">
        <v>18</v>
      </c>
      <c r="N3" s="8"/>
      <c r="O3" s="8"/>
      <c r="P3" s="8"/>
      <c r="Q3" s="8"/>
      <c r="R3" s="8"/>
      <c r="S3" s="8"/>
      <c r="T3" s="8"/>
      <c r="U3" s="8"/>
      <c r="V3" s="8"/>
      <c r="W3" s="8"/>
      <c r="X3" s="8"/>
      <c r="Y3" s="8"/>
      <c r="Z3" s="8"/>
      <c r="AA3" s="8"/>
      <c r="AB3" s="8"/>
      <c r="AC3" s="8"/>
      <c r="AD3" s="8"/>
      <c r="AE3" s="8"/>
      <c r="AF3" s="8"/>
      <c r="AG3" s="8"/>
      <c r="AH3" s="8"/>
    </row>
    <row r="4">
      <c r="A4" s="421" t="s">
        <v>11130</v>
      </c>
      <c r="B4" s="323">
        <v>42375.0</v>
      </c>
      <c r="C4" s="32" t="s">
        <v>11131</v>
      </c>
      <c r="D4" s="32" t="s">
        <v>11131</v>
      </c>
      <c r="E4" s="13" t="s">
        <v>1369</v>
      </c>
      <c r="F4" s="13">
        <v>1.0</v>
      </c>
      <c r="G4" s="13" t="s">
        <v>32</v>
      </c>
      <c r="H4" s="13" t="s">
        <v>33</v>
      </c>
      <c r="I4" s="13" t="s">
        <v>93</v>
      </c>
      <c r="J4" s="13">
        <v>2.0</v>
      </c>
      <c r="K4" s="13" t="s">
        <v>807</v>
      </c>
      <c r="L4" s="86" t="s">
        <v>11132</v>
      </c>
      <c r="M4" s="16"/>
      <c r="N4" s="16"/>
      <c r="O4" s="16"/>
      <c r="P4" s="16"/>
      <c r="Q4" s="16"/>
      <c r="R4" s="16"/>
      <c r="S4" s="16"/>
      <c r="T4" s="16"/>
      <c r="U4" s="16"/>
      <c r="V4" s="16"/>
      <c r="W4" s="16"/>
      <c r="X4" s="16"/>
      <c r="Y4" s="16"/>
      <c r="Z4" s="16"/>
      <c r="AA4" s="16"/>
      <c r="AB4" s="16"/>
      <c r="AC4" s="16"/>
      <c r="AD4" s="16"/>
      <c r="AE4" s="16"/>
      <c r="AF4" s="16"/>
      <c r="AG4" s="16"/>
      <c r="AH4" s="16"/>
    </row>
    <row r="5">
      <c r="A5" s="421" t="s">
        <v>239</v>
      </c>
      <c r="B5" s="323">
        <v>42375.0</v>
      </c>
      <c r="C5" s="32" t="s">
        <v>11131</v>
      </c>
      <c r="D5" s="32" t="s">
        <v>11131</v>
      </c>
      <c r="E5" s="13" t="s">
        <v>1369</v>
      </c>
      <c r="F5" s="13">
        <v>1.0</v>
      </c>
      <c r="G5" s="13" t="s">
        <v>32</v>
      </c>
      <c r="H5" s="13" t="s">
        <v>33</v>
      </c>
      <c r="I5" s="13" t="s">
        <v>42</v>
      </c>
      <c r="J5" s="13">
        <v>1.0</v>
      </c>
      <c r="K5" s="13" t="s">
        <v>52</v>
      </c>
      <c r="L5" s="86" t="s">
        <v>11133</v>
      </c>
      <c r="M5" s="16"/>
      <c r="N5" s="16"/>
      <c r="O5" s="16"/>
      <c r="P5" s="16"/>
      <c r="Q5" s="16"/>
      <c r="R5" s="16"/>
      <c r="S5" s="16"/>
      <c r="T5" s="16"/>
      <c r="U5" s="16"/>
      <c r="V5" s="16"/>
      <c r="W5" s="16"/>
      <c r="X5" s="16"/>
      <c r="Y5" s="16"/>
      <c r="Z5" s="16"/>
      <c r="AA5" s="16"/>
      <c r="AB5" s="16"/>
      <c r="AC5" s="16"/>
      <c r="AD5" s="16"/>
      <c r="AE5" s="16"/>
      <c r="AF5" s="16"/>
      <c r="AG5" s="16"/>
      <c r="AH5" s="16"/>
    </row>
    <row r="6">
      <c r="A6" s="421" t="s">
        <v>11134</v>
      </c>
      <c r="B6" s="323">
        <v>42375.0</v>
      </c>
      <c r="C6" s="32" t="s">
        <v>11131</v>
      </c>
      <c r="D6" s="32" t="s">
        <v>11131</v>
      </c>
      <c r="E6" s="13" t="s">
        <v>11135</v>
      </c>
      <c r="F6" s="13">
        <v>1.0</v>
      </c>
      <c r="G6" s="13">
        <v>1.0</v>
      </c>
      <c r="H6" s="13" t="s">
        <v>33</v>
      </c>
      <c r="I6" s="13" t="s">
        <v>179</v>
      </c>
      <c r="J6" s="13" t="s">
        <v>32</v>
      </c>
      <c r="K6" s="13" t="s">
        <v>35</v>
      </c>
      <c r="L6" s="86" t="s">
        <v>11136</v>
      </c>
      <c r="M6" s="16"/>
      <c r="N6" s="16"/>
      <c r="O6" s="16"/>
      <c r="P6" s="16"/>
      <c r="Q6" s="16"/>
      <c r="R6" s="16"/>
      <c r="S6" s="16"/>
      <c r="T6" s="16"/>
      <c r="U6" s="16"/>
      <c r="V6" s="16"/>
      <c r="W6" s="16"/>
      <c r="X6" s="16"/>
      <c r="Y6" s="16"/>
      <c r="Z6" s="16"/>
      <c r="AA6" s="16"/>
      <c r="AB6" s="16"/>
      <c r="AC6" s="16"/>
      <c r="AD6" s="16"/>
      <c r="AE6" s="16"/>
      <c r="AF6" s="16"/>
      <c r="AG6" s="16"/>
      <c r="AH6" s="16"/>
    </row>
    <row r="7">
      <c r="A7" s="421" t="s">
        <v>239</v>
      </c>
      <c r="B7" s="323">
        <v>42376.0</v>
      </c>
      <c r="C7" s="32" t="s">
        <v>11137</v>
      </c>
      <c r="D7" s="32" t="s">
        <v>11131</v>
      </c>
      <c r="E7" s="13" t="s">
        <v>1369</v>
      </c>
      <c r="F7" s="13">
        <v>14.0</v>
      </c>
      <c r="G7" s="13">
        <v>12.0</v>
      </c>
      <c r="H7" s="13" t="s">
        <v>33</v>
      </c>
      <c r="I7" s="13" t="s">
        <v>318</v>
      </c>
      <c r="J7" s="13">
        <v>3.0</v>
      </c>
      <c r="K7" s="13" t="s">
        <v>52</v>
      </c>
      <c r="L7" s="86" t="s">
        <v>11138</v>
      </c>
      <c r="M7" s="16"/>
      <c r="N7" s="16"/>
      <c r="O7" s="16"/>
      <c r="P7" s="16"/>
      <c r="Q7" s="16"/>
      <c r="R7" s="16"/>
      <c r="S7" s="16"/>
      <c r="T7" s="16"/>
      <c r="U7" s="16"/>
      <c r="V7" s="16"/>
      <c r="W7" s="16"/>
      <c r="X7" s="16"/>
      <c r="Y7" s="16"/>
      <c r="Z7" s="16"/>
      <c r="AA7" s="16"/>
      <c r="AB7" s="16"/>
      <c r="AC7" s="16"/>
      <c r="AD7" s="16"/>
      <c r="AE7" s="16"/>
      <c r="AF7" s="16"/>
      <c r="AG7" s="16"/>
      <c r="AH7" s="16"/>
    </row>
    <row r="8">
      <c r="A8" s="422" t="s">
        <v>11139</v>
      </c>
      <c r="B8" s="323">
        <v>42376.0</v>
      </c>
      <c r="C8" s="32" t="s">
        <v>11131</v>
      </c>
      <c r="D8" s="32" t="s">
        <v>11131</v>
      </c>
      <c r="E8" s="13" t="s">
        <v>11140</v>
      </c>
      <c r="F8" s="13">
        <v>2.0</v>
      </c>
      <c r="G8" s="13">
        <v>1.0</v>
      </c>
      <c r="H8" s="13" t="s">
        <v>33</v>
      </c>
      <c r="I8" s="13" t="s">
        <v>440</v>
      </c>
      <c r="J8" s="13">
        <v>1.0</v>
      </c>
      <c r="K8" s="13" t="s">
        <v>52</v>
      </c>
      <c r="L8" s="86" t="s">
        <v>11141</v>
      </c>
      <c r="M8" s="16"/>
      <c r="N8" s="16"/>
      <c r="O8" s="16"/>
      <c r="P8" s="16"/>
      <c r="Q8" s="16"/>
      <c r="R8" s="16"/>
      <c r="S8" s="16"/>
      <c r="T8" s="16"/>
      <c r="U8" s="16"/>
      <c r="V8" s="16"/>
      <c r="W8" s="16"/>
      <c r="X8" s="16"/>
      <c r="Y8" s="16"/>
      <c r="Z8" s="16"/>
      <c r="AA8" s="16"/>
      <c r="AB8" s="16"/>
      <c r="AC8" s="16"/>
      <c r="AD8" s="16"/>
      <c r="AE8" s="16"/>
      <c r="AF8" s="16"/>
      <c r="AG8" s="16"/>
      <c r="AH8" s="16"/>
    </row>
    <row r="9">
      <c r="A9" s="421" t="s">
        <v>11142</v>
      </c>
      <c r="B9" s="323">
        <v>42376.0</v>
      </c>
      <c r="C9" s="32" t="s">
        <v>11143</v>
      </c>
      <c r="D9" s="32" t="s">
        <v>11137</v>
      </c>
      <c r="E9" s="13" t="s">
        <v>1369</v>
      </c>
      <c r="F9" s="13">
        <v>1.0</v>
      </c>
      <c r="G9" s="13" t="s">
        <v>32</v>
      </c>
      <c r="H9" s="13" t="s">
        <v>33</v>
      </c>
      <c r="I9" s="13" t="s">
        <v>279</v>
      </c>
      <c r="J9" s="13">
        <v>2.0</v>
      </c>
      <c r="K9" s="13" t="s">
        <v>1208</v>
      </c>
      <c r="L9" s="86" t="s">
        <v>11144</v>
      </c>
      <c r="M9" s="16"/>
      <c r="N9" s="16"/>
      <c r="O9" s="16"/>
      <c r="P9" s="16"/>
      <c r="Q9" s="16"/>
      <c r="R9" s="16"/>
      <c r="S9" s="16"/>
      <c r="T9" s="16"/>
      <c r="U9" s="16"/>
      <c r="V9" s="16"/>
      <c r="W9" s="16"/>
      <c r="X9" s="16"/>
      <c r="Y9" s="16"/>
      <c r="Z9" s="16"/>
      <c r="AA9" s="16"/>
      <c r="AB9" s="16"/>
      <c r="AC9" s="16"/>
      <c r="AD9" s="16"/>
      <c r="AE9" s="16"/>
      <c r="AF9" s="16"/>
      <c r="AG9" s="16"/>
      <c r="AH9" s="16"/>
    </row>
    <row r="10">
      <c r="A10" s="423" t="s">
        <v>11145</v>
      </c>
      <c r="B10" s="323">
        <v>42380.0</v>
      </c>
      <c r="C10" s="32" t="s">
        <v>11146</v>
      </c>
      <c r="D10" s="32" t="s">
        <v>11146</v>
      </c>
      <c r="E10" s="13" t="s">
        <v>11135</v>
      </c>
      <c r="F10" s="13">
        <v>2.0</v>
      </c>
      <c r="G10" s="13" t="s">
        <v>32</v>
      </c>
      <c r="H10" s="13" t="s">
        <v>33</v>
      </c>
      <c r="I10" s="13" t="s">
        <v>47</v>
      </c>
      <c r="J10" s="13">
        <v>1.0</v>
      </c>
      <c r="K10" s="13" t="s">
        <v>11147</v>
      </c>
      <c r="L10" s="86" t="s">
        <v>11148</v>
      </c>
      <c r="M10" s="16"/>
      <c r="N10" s="16"/>
      <c r="O10" s="16"/>
      <c r="P10" s="16"/>
      <c r="Q10" s="16"/>
      <c r="R10" s="16"/>
      <c r="S10" s="16"/>
      <c r="T10" s="16"/>
      <c r="U10" s="16"/>
      <c r="V10" s="16"/>
      <c r="W10" s="16"/>
      <c r="X10" s="16"/>
      <c r="Y10" s="16"/>
      <c r="Z10" s="16"/>
      <c r="AA10" s="16"/>
      <c r="AB10" s="16"/>
      <c r="AC10" s="16"/>
      <c r="AD10" s="16"/>
      <c r="AE10" s="16"/>
      <c r="AF10" s="16"/>
      <c r="AG10" s="16"/>
      <c r="AH10" s="16"/>
    </row>
    <row r="11">
      <c r="A11" s="424" t="s">
        <v>11149</v>
      </c>
      <c r="B11" s="323">
        <v>42381.0</v>
      </c>
      <c r="C11" s="32" t="s">
        <v>11150</v>
      </c>
      <c r="D11" s="32" t="s">
        <v>11150</v>
      </c>
      <c r="E11" s="13" t="s">
        <v>11135</v>
      </c>
      <c r="F11" s="13">
        <v>1.0</v>
      </c>
      <c r="G11" s="13">
        <v>1.0</v>
      </c>
      <c r="H11" s="13" t="s">
        <v>33</v>
      </c>
      <c r="I11" s="13" t="s">
        <v>850</v>
      </c>
      <c r="J11" s="13">
        <v>1.0</v>
      </c>
      <c r="K11" s="13" t="s">
        <v>11151</v>
      </c>
      <c r="L11" s="86" t="s">
        <v>11152</v>
      </c>
      <c r="M11" s="16"/>
      <c r="N11" s="16"/>
      <c r="O11" s="16"/>
      <c r="P11" s="16"/>
      <c r="Q11" s="16"/>
      <c r="R11" s="16"/>
      <c r="S11" s="16"/>
      <c r="T11" s="16"/>
      <c r="U11" s="16"/>
      <c r="V11" s="16"/>
      <c r="W11" s="16"/>
      <c r="X11" s="16"/>
      <c r="Y11" s="16"/>
      <c r="Z11" s="16"/>
      <c r="AA11" s="16"/>
      <c r="AB11" s="16"/>
      <c r="AC11" s="16"/>
      <c r="AD11" s="16"/>
      <c r="AE11" s="16"/>
      <c r="AF11" s="16"/>
      <c r="AG11" s="16"/>
      <c r="AH11" s="16"/>
    </row>
    <row r="12">
      <c r="A12" s="421" t="s">
        <v>239</v>
      </c>
      <c r="B12" s="323">
        <v>42381.0</v>
      </c>
      <c r="C12" s="32" t="s">
        <v>11150</v>
      </c>
      <c r="D12" s="32" t="s">
        <v>11150</v>
      </c>
      <c r="E12" s="13" t="s">
        <v>1369</v>
      </c>
      <c r="F12" s="13">
        <v>2.0</v>
      </c>
      <c r="G12" s="13">
        <v>2.0</v>
      </c>
      <c r="H12" s="13" t="s">
        <v>33</v>
      </c>
      <c r="I12" s="13" t="s">
        <v>2315</v>
      </c>
      <c r="J12" s="13">
        <v>1.0</v>
      </c>
      <c r="K12" s="13" t="s">
        <v>52</v>
      </c>
      <c r="L12" s="86" t="s">
        <v>11153</v>
      </c>
      <c r="M12" s="16"/>
      <c r="N12" s="16"/>
      <c r="O12" s="16"/>
      <c r="P12" s="16"/>
      <c r="Q12" s="16"/>
      <c r="R12" s="16"/>
      <c r="S12" s="16"/>
      <c r="T12" s="16"/>
      <c r="U12" s="16"/>
      <c r="V12" s="16"/>
      <c r="W12" s="16"/>
      <c r="X12" s="16"/>
      <c r="Y12" s="16"/>
      <c r="Z12" s="16"/>
      <c r="AA12" s="16"/>
      <c r="AB12" s="16"/>
      <c r="AC12" s="16"/>
      <c r="AD12" s="16"/>
      <c r="AE12" s="16"/>
      <c r="AF12" s="16"/>
      <c r="AG12" s="16"/>
      <c r="AH12" s="16"/>
    </row>
    <row r="13">
      <c r="A13" s="421" t="s">
        <v>11154</v>
      </c>
      <c r="B13" s="323">
        <v>42381.0</v>
      </c>
      <c r="C13" s="32" t="s">
        <v>11155</v>
      </c>
      <c r="D13" s="32" t="s">
        <v>11155</v>
      </c>
      <c r="E13" s="13" t="s">
        <v>1369</v>
      </c>
      <c r="F13" s="13">
        <v>1.0</v>
      </c>
      <c r="G13" s="13" t="s">
        <v>32</v>
      </c>
      <c r="H13" s="13" t="s">
        <v>33</v>
      </c>
      <c r="I13" s="13" t="s">
        <v>279</v>
      </c>
      <c r="J13" s="13">
        <v>4.0</v>
      </c>
      <c r="K13" s="13" t="s">
        <v>99</v>
      </c>
      <c r="L13" s="86" t="s">
        <v>11156</v>
      </c>
      <c r="M13" s="16"/>
      <c r="N13" s="16"/>
      <c r="O13" s="16"/>
      <c r="P13" s="16"/>
      <c r="Q13" s="16"/>
      <c r="R13" s="16"/>
      <c r="S13" s="16"/>
      <c r="T13" s="16"/>
      <c r="U13" s="16"/>
      <c r="V13" s="16"/>
      <c r="W13" s="16"/>
      <c r="X13" s="16"/>
      <c r="Y13" s="16"/>
      <c r="Z13" s="16"/>
      <c r="AA13" s="16"/>
      <c r="AB13" s="16"/>
      <c r="AC13" s="16"/>
      <c r="AD13" s="16"/>
      <c r="AE13" s="16"/>
      <c r="AF13" s="16"/>
      <c r="AG13" s="16"/>
      <c r="AH13" s="16"/>
    </row>
    <row r="14">
      <c r="A14" s="425" t="s">
        <v>11157</v>
      </c>
      <c r="B14" s="323">
        <v>42382.0</v>
      </c>
      <c r="C14" s="32" t="s">
        <v>11150</v>
      </c>
      <c r="D14" s="32" t="s">
        <v>11150</v>
      </c>
      <c r="E14" s="13" t="s">
        <v>11135</v>
      </c>
      <c r="F14" s="13">
        <v>1.0</v>
      </c>
      <c r="G14" s="13">
        <v>1.0</v>
      </c>
      <c r="H14" s="13" t="s">
        <v>33</v>
      </c>
      <c r="I14" s="13" t="s">
        <v>147</v>
      </c>
      <c r="J14" s="13">
        <v>1.0</v>
      </c>
      <c r="K14" s="13" t="s">
        <v>35</v>
      </c>
      <c r="L14" s="86" t="s">
        <v>11158</v>
      </c>
      <c r="M14" s="16"/>
      <c r="N14" s="16"/>
      <c r="O14" s="16"/>
      <c r="P14" s="16"/>
      <c r="Q14" s="16"/>
      <c r="R14" s="16"/>
      <c r="S14" s="16"/>
      <c r="T14" s="16"/>
      <c r="U14" s="16"/>
      <c r="V14" s="16"/>
      <c r="W14" s="16"/>
      <c r="X14" s="16"/>
      <c r="Y14" s="16"/>
      <c r="Z14" s="16"/>
      <c r="AA14" s="16"/>
      <c r="AB14" s="16"/>
      <c r="AC14" s="16"/>
      <c r="AD14" s="16"/>
      <c r="AE14" s="16"/>
      <c r="AF14" s="16"/>
      <c r="AG14" s="16"/>
      <c r="AH14" s="16"/>
    </row>
    <row r="15">
      <c r="A15" s="421" t="s">
        <v>11159</v>
      </c>
      <c r="B15" s="323">
        <v>42383.0</v>
      </c>
      <c r="C15" s="32" t="s">
        <v>11160</v>
      </c>
      <c r="D15" s="32" t="s">
        <v>11160</v>
      </c>
      <c r="E15" s="13" t="s">
        <v>1369</v>
      </c>
      <c r="F15" s="13">
        <v>1.0</v>
      </c>
      <c r="G15" s="13" t="s">
        <v>32</v>
      </c>
      <c r="H15" s="13" t="s">
        <v>33</v>
      </c>
      <c r="I15" s="13" t="s">
        <v>61</v>
      </c>
      <c r="J15" s="13">
        <v>1.0</v>
      </c>
      <c r="K15" s="13" t="s">
        <v>1208</v>
      </c>
      <c r="L15" s="86" t="s">
        <v>11161</v>
      </c>
      <c r="M15" s="16"/>
      <c r="N15" s="16"/>
      <c r="O15" s="16"/>
      <c r="P15" s="16"/>
      <c r="Q15" s="16"/>
      <c r="R15" s="16"/>
      <c r="S15" s="16"/>
      <c r="T15" s="16"/>
      <c r="U15" s="16"/>
      <c r="V15" s="16"/>
      <c r="W15" s="16"/>
      <c r="X15" s="16"/>
      <c r="Y15" s="16"/>
      <c r="Z15" s="16"/>
      <c r="AA15" s="16"/>
      <c r="AB15" s="16"/>
      <c r="AC15" s="16"/>
      <c r="AD15" s="16"/>
      <c r="AE15" s="16"/>
      <c r="AF15" s="16"/>
      <c r="AG15" s="16"/>
      <c r="AH15" s="16"/>
    </row>
    <row r="16">
      <c r="A16" s="426" t="s">
        <v>11162</v>
      </c>
      <c r="B16" s="323">
        <v>42384.0</v>
      </c>
      <c r="C16" s="32" t="s">
        <v>11160</v>
      </c>
      <c r="D16" s="32" t="s">
        <v>11160</v>
      </c>
      <c r="E16" s="13" t="s">
        <v>1369</v>
      </c>
      <c r="F16" s="13">
        <v>2.0</v>
      </c>
      <c r="G16" s="13">
        <v>1.0</v>
      </c>
      <c r="H16" s="13" t="s">
        <v>33</v>
      </c>
      <c r="I16" s="13" t="s">
        <v>111</v>
      </c>
      <c r="J16" s="13">
        <v>1.0</v>
      </c>
      <c r="K16" s="13" t="s">
        <v>52</v>
      </c>
      <c r="L16" s="427" t="s">
        <v>11163</v>
      </c>
      <c r="M16" s="16"/>
      <c r="N16" s="16"/>
      <c r="O16" s="16"/>
      <c r="P16" s="16"/>
      <c r="Q16" s="16"/>
      <c r="R16" s="16"/>
      <c r="S16" s="16"/>
      <c r="T16" s="16"/>
      <c r="U16" s="16"/>
      <c r="V16" s="16"/>
      <c r="W16" s="16"/>
      <c r="X16" s="16"/>
      <c r="Y16" s="16"/>
      <c r="Z16" s="16"/>
      <c r="AA16" s="16"/>
      <c r="AB16" s="16"/>
      <c r="AC16" s="16"/>
      <c r="AD16" s="16"/>
      <c r="AE16" s="16"/>
      <c r="AF16" s="16"/>
      <c r="AG16" s="16"/>
      <c r="AH16" s="16"/>
    </row>
    <row r="17">
      <c r="A17" s="421" t="s">
        <v>11164</v>
      </c>
      <c r="B17" s="323">
        <v>42384.0</v>
      </c>
      <c r="C17" s="32" t="s">
        <v>11165</v>
      </c>
      <c r="D17" s="32" t="s">
        <v>11165</v>
      </c>
      <c r="E17" s="13" t="s">
        <v>1369</v>
      </c>
      <c r="F17" s="13">
        <v>1.0</v>
      </c>
      <c r="G17" s="13" t="s">
        <v>32</v>
      </c>
      <c r="H17" s="13" t="s">
        <v>33</v>
      </c>
      <c r="I17" s="13" t="s">
        <v>93</v>
      </c>
      <c r="J17" s="13">
        <v>4.0</v>
      </c>
      <c r="K17" s="13" t="s">
        <v>99</v>
      </c>
      <c r="L17" s="86" t="s">
        <v>11166</v>
      </c>
      <c r="M17" s="16"/>
      <c r="N17" s="16"/>
      <c r="O17" s="16"/>
      <c r="P17" s="16"/>
      <c r="Q17" s="16"/>
      <c r="R17" s="16"/>
      <c r="S17" s="16"/>
      <c r="T17" s="16"/>
      <c r="U17" s="16"/>
      <c r="V17" s="16"/>
      <c r="W17" s="16"/>
      <c r="X17" s="16"/>
      <c r="Y17" s="16"/>
      <c r="Z17" s="16"/>
      <c r="AA17" s="16"/>
      <c r="AB17" s="16"/>
      <c r="AC17" s="16"/>
      <c r="AD17" s="16"/>
      <c r="AE17" s="16"/>
      <c r="AF17" s="16"/>
      <c r="AG17" s="16"/>
      <c r="AH17" s="16"/>
    </row>
    <row r="18">
      <c r="A18" s="421" t="s">
        <v>11167</v>
      </c>
      <c r="B18" s="323">
        <v>42385.0</v>
      </c>
      <c r="C18" s="32" t="s">
        <v>11168</v>
      </c>
      <c r="D18" s="32" t="s">
        <v>11168</v>
      </c>
      <c r="E18" s="13" t="s">
        <v>11135</v>
      </c>
      <c r="F18" s="13">
        <v>1.0</v>
      </c>
      <c r="G18" s="13" t="s">
        <v>32</v>
      </c>
      <c r="H18" s="13" t="s">
        <v>33</v>
      </c>
      <c r="I18" s="13" t="s">
        <v>75</v>
      </c>
      <c r="J18" s="13">
        <v>1.0</v>
      </c>
      <c r="K18" s="13" t="s">
        <v>35</v>
      </c>
      <c r="L18" s="86" t="s">
        <v>11169</v>
      </c>
      <c r="M18" s="16"/>
      <c r="N18" s="16"/>
      <c r="O18" s="16"/>
      <c r="P18" s="16"/>
      <c r="Q18" s="16"/>
      <c r="R18" s="16"/>
      <c r="S18" s="16"/>
      <c r="T18" s="16"/>
      <c r="U18" s="16"/>
      <c r="V18" s="16"/>
      <c r="W18" s="16"/>
      <c r="X18" s="16"/>
      <c r="Y18" s="16"/>
      <c r="Z18" s="16"/>
      <c r="AA18" s="16"/>
      <c r="AB18" s="16"/>
      <c r="AC18" s="16"/>
      <c r="AD18" s="16"/>
      <c r="AE18" s="16"/>
      <c r="AF18" s="16"/>
      <c r="AG18" s="16"/>
      <c r="AH18" s="16"/>
    </row>
    <row r="19">
      <c r="A19" s="421" t="s">
        <v>660</v>
      </c>
      <c r="B19" s="323">
        <v>42387.0</v>
      </c>
      <c r="C19" s="32" t="s">
        <v>11165</v>
      </c>
      <c r="D19" s="32" t="s">
        <v>11165</v>
      </c>
      <c r="E19" s="13" t="s">
        <v>1369</v>
      </c>
      <c r="F19" s="13">
        <v>4.0</v>
      </c>
      <c r="G19" s="13">
        <v>3.0</v>
      </c>
      <c r="H19" s="13" t="s">
        <v>33</v>
      </c>
      <c r="I19" s="13" t="s">
        <v>111</v>
      </c>
      <c r="J19" s="13">
        <v>1.0</v>
      </c>
      <c r="K19" s="13" t="s">
        <v>35</v>
      </c>
      <c r="L19" s="86" t="s">
        <v>11170</v>
      </c>
      <c r="M19" s="16"/>
      <c r="N19" s="16"/>
      <c r="O19" s="16"/>
      <c r="P19" s="16"/>
      <c r="Q19" s="16"/>
      <c r="R19" s="16"/>
      <c r="S19" s="16"/>
      <c r="T19" s="16"/>
      <c r="U19" s="16"/>
      <c r="V19" s="16"/>
      <c r="W19" s="16"/>
      <c r="X19" s="16"/>
      <c r="Y19" s="16"/>
      <c r="Z19" s="16"/>
      <c r="AA19" s="16"/>
      <c r="AB19" s="16"/>
      <c r="AC19" s="16"/>
      <c r="AD19" s="16"/>
      <c r="AE19" s="16"/>
      <c r="AF19" s="16"/>
      <c r="AG19" s="16"/>
      <c r="AH19" s="16"/>
    </row>
    <row r="20">
      <c r="A20" s="421" t="s">
        <v>11171</v>
      </c>
      <c r="B20" s="323">
        <v>42388.0</v>
      </c>
      <c r="C20" s="32" t="s">
        <v>11168</v>
      </c>
      <c r="D20" s="32" t="s">
        <v>11168</v>
      </c>
      <c r="E20" s="13" t="s">
        <v>1369</v>
      </c>
      <c r="F20" s="13">
        <v>1.0</v>
      </c>
      <c r="G20" s="13" t="s">
        <v>32</v>
      </c>
      <c r="H20" s="13" t="s">
        <v>33</v>
      </c>
      <c r="I20" s="13" t="s">
        <v>193</v>
      </c>
      <c r="J20" s="13">
        <v>2.0</v>
      </c>
      <c r="K20" s="13" t="s">
        <v>3268</v>
      </c>
      <c r="L20" s="86" t="s">
        <v>11172</v>
      </c>
      <c r="M20" s="16"/>
      <c r="N20" s="16"/>
      <c r="O20" s="16"/>
      <c r="P20" s="16"/>
      <c r="Q20" s="16"/>
      <c r="R20" s="16"/>
      <c r="S20" s="16"/>
      <c r="T20" s="16"/>
      <c r="U20" s="16"/>
      <c r="V20" s="16"/>
      <c r="W20" s="16"/>
      <c r="X20" s="16"/>
      <c r="Y20" s="16"/>
      <c r="Z20" s="16"/>
      <c r="AA20" s="16"/>
      <c r="AB20" s="16"/>
      <c r="AC20" s="16"/>
      <c r="AD20" s="16"/>
      <c r="AE20" s="16"/>
      <c r="AF20" s="16"/>
      <c r="AG20" s="16"/>
      <c r="AH20" s="16"/>
    </row>
    <row r="21">
      <c r="A21" s="421" t="s">
        <v>11173</v>
      </c>
      <c r="B21" s="323">
        <v>42754.0</v>
      </c>
      <c r="C21" s="32" t="s">
        <v>11174</v>
      </c>
      <c r="D21" s="32" t="s">
        <v>11174</v>
      </c>
      <c r="E21" s="13" t="s">
        <v>1369</v>
      </c>
      <c r="F21" s="13">
        <v>2.0</v>
      </c>
      <c r="G21" s="13" t="s">
        <v>32</v>
      </c>
      <c r="H21" s="13" t="s">
        <v>33</v>
      </c>
      <c r="I21" s="13" t="s">
        <v>279</v>
      </c>
      <c r="J21" s="13">
        <v>2.0</v>
      </c>
      <c r="K21" s="13" t="s">
        <v>11175</v>
      </c>
      <c r="L21" s="86" t="s">
        <v>11176</v>
      </c>
      <c r="M21" s="16"/>
      <c r="N21" s="16"/>
      <c r="O21" s="16"/>
      <c r="P21" s="16"/>
      <c r="Q21" s="16"/>
      <c r="R21" s="16"/>
      <c r="S21" s="16"/>
      <c r="T21" s="16"/>
      <c r="U21" s="16"/>
      <c r="V21" s="16"/>
      <c r="W21" s="16"/>
      <c r="X21" s="16"/>
      <c r="Y21" s="16"/>
      <c r="Z21" s="16"/>
      <c r="AA21" s="16"/>
      <c r="AB21" s="16"/>
      <c r="AC21" s="16"/>
      <c r="AD21" s="16"/>
      <c r="AE21" s="16"/>
      <c r="AF21" s="16"/>
      <c r="AG21" s="16"/>
      <c r="AH21" s="16"/>
    </row>
    <row r="22">
      <c r="A22" s="421" t="s">
        <v>11177</v>
      </c>
      <c r="B22" s="323">
        <v>42389.0</v>
      </c>
      <c r="C22" s="32" t="s">
        <v>11174</v>
      </c>
      <c r="D22" s="32" t="s">
        <v>11174</v>
      </c>
      <c r="E22" s="13" t="s">
        <v>11135</v>
      </c>
      <c r="F22" s="13">
        <v>2.0</v>
      </c>
      <c r="G22" s="13" t="s">
        <v>32</v>
      </c>
      <c r="H22" s="13" t="s">
        <v>33</v>
      </c>
      <c r="I22" s="13" t="s">
        <v>268</v>
      </c>
      <c r="J22" s="13">
        <v>1.0</v>
      </c>
      <c r="K22" s="13" t="s">
        <v>52</v>
      </c>
      <c r="L22" s="86" t="s">
        <v>11178</v>
      </c>
      <c r="M22" s="16"/>
      <c r="N22" s="16"/>
      <c r="O22" s="16"/>
      <c r="P22" s="16"/>
      <c r="Q22" s="16"/>
      <c r="R22" s="16"/>
      <c r="S22" s="16"/>
      <c r="T22" s="16"/>
      <c r="U22" s="16"/>
      <c r="V22" s="16"/>
      <c r="W22" s="16"/>
      <c r="X22" s="16"/>
      <c r="Y22" s="16"/>
      <c r="Z22" s="16"/>
      <c r="AA22" s="16"/>
      <c r="AB22" s="16"/>
      <c r="AC22" s="16"/>
      <c r="AD22" s="16"/>
      <c r="AE22" s="16"/>
      <c r="AF22" s="16"/>
      <c r="AG22" s="16"/>
      <c r="AH22" s="16"/>
    </row>
    <row r="23">
      <c r="A23" s="421" t="s">
        <v>11179</v>
      </c>
      <c r="B23" s="323">
        <v>42389.0</v>
      </c>
      <c r="C23" s="32" t="s">
        <v>11180</v>
      </c>
      <c r="D23" s="32" t="s">
        <v>11180</v>
      </c>
      <c r="E23" s="13" t="s">
        <v>1369</v>
      </c>
      <c r="F23" s="13">
        <v>1.0</v>
      </c>
      <c r="G23" s="13" t="s">
        <v>32</v>
      </c>
      <c r="H23" s="13" t="s">
        <v>33</v>
      </c>
      <c r="I23" s="13" t="s">
        <v>115</v>
      </c>
      <c r="J23" s="13">
        <v>1.0</v>
      </c>
      <c r="K23" s="13" t="s">
        <v>52</v>
      </c>
      <c r="L23" s="86" t="s">
        <v>11181</v>
      </c>
      <c r="M23" s="16"/>
      <c r="N23" s="16"/>
      <c r="O23" s="16"/>
      <c r="P23" s="16"/>
      <c r="Q23" s="16"/>
      <c r="R23" s="16"/>
      <c r="S23" s="16"/>
      <c r="T23" s="16"/>
      <c r="U23" s="16"/>
      <c r="V23" s="16"/>
      <c r="W23" s="16"/>
      <c r="X23" s="16"/>
      <c r="Y23" s="16"/>
      <c r="Z23" s="16"/>
      <c r="AA23" s="16"/>
      <c r="AB23" s="16"/>
      <c r="AC23" s="16"/>
      <c r="AD23" s="16"/>
      <c r="AE23" s="16"/>
      <c r="AF23" s="16"/>
      <c r="AG23" s="16"/>
      <c r="AH23" s="16"/>
    </row>
    <row r="24">
      <c r="A24" s="421" t="s">
        <v>660</v>
      </c>
      <c r="B24" s="323">
        <v>42389.0</v>
      </c>
      <c r="C24" s="32" t="s">
        <v>11180</v>
      </c>
      <c r="D24" s="32" t="s">
        <v>11180</v>
      </c>
      <c r="E24" s="13" t="s">
        <v>11140</v>
      </c>
      <c r="F24" s="13">
        <v>6.0</v>
      </c>
      <c r="G24" s="13" t="s">
        <v>32</v>
      </c>
      <c r="H24" s="13" t="s">
        <v>33</v>
      </c>
      <c r="I24" s="13" t="s">
        <v>850</v>
      </c>
      <c r="J24" s="13">
        <v>1.0</v>
      </c>
      <c r="K24" s="13" t="s">
        <v>35</v>
      </c>
      <c r="L24" s="86" t="s">
        <v>11182</v>
      </c>
      <c r="M24" s="16"/>
      <c r="N24" s="16"/>
      <c r="O24" s="16"/>
      <c r="P24" s="16"/>
      <c r="Q24" s="16"/>
      <c r="R24" s="16"/>
      <c r="S24" s="16"/>
      <c r="T24" s="16"/>
      <c r="U24" s="16"/>
      <c r="V24" s="16"/>
      <c r="W24" s="16"/>
      <c r="X24" s="16"/>
      <c r="Y24" s="16"/>
      <c r="Z24" s="16"/>
      <c r="AA24" s="16"/>
      <c r="AB24" s="16"/>
      <c r="AC24" s="16"/>
      <c r="AD24" s="16"/>
      <c r="AE24" s="16"/>
      <c r="AF24" s="16"/>
      <c r="AG24" s="16"/>
      <c r="AH24" s="16"/>
    </row>
    <row r="25">
      <c r="A25" s="421" t="s">
        <v>11183</v>
      </c>
      <c r="B25" s="323">
        <v>42389.0</v>
      </c>
      <c r="C25" s="32" t="s">
        <v>11174</v>
      </c>
      <c r="D25" s="32" t="s">
        <v>11174</v>
      </c>
      <c r="E25" s="13" t="s">
        <v>11135</v>
      </c>
      <c r="F25" s="13">
        <v>1.0</v>
      </c>
      <c r="G25" s="13" t="s">
        <v>32</v>
      </c>
      <c r="H25" s="13" t="s">
        <v>33</v>
      </c>
      <c r="I25" s="13" t="s">
        <v>162</v>
      </c>
      <c r="J25" s="13">
        <v>1.0</v>
      </c>
      <c r="K25" s="13" t="s">
        <v>35</v>
      </c>
      <c r="L25" s="86" t="s">
        <v>11184</v>
      </c>
      <c r="M25" s="16"/>
      <c r="N25" s="16"/>
      <c r="O25" s="16"/>
      <c r="P25" s="16"/>
      <c r="Q25" s="16"/>
      <c r="R25" s="16"/>
      <c r="S25" s="16"/>
      <c r="T25" s="16"/>
      <c r="U25" s="16"/>
      <c r="V25" s="16"/>
      <c r="W25" s="16"/>
      <c r="X25" s="16"/>
      <c r="Y25" s="16"/>
      <c r="Z25" s="16"/>
      <c r="AA25" s="16"/>
      <c r="AB25" s="16"/>
      <c r="AC25" s="16"/>
      <c r="AD25" s="16"/>
      <c r="AE25" s="16"/>
      <c r="AF25" s="16"/>
      <c r="AG25" s="16"/>
      <c r="AH25" s="16"/>
    </row>
    <row r="26">
      <c r="A26" s="428" t="s">
        <v>11185</v>
      </c>
      <c r="B26" s="323">
        <v>42392.0</v>
      </c>
      <c r="C26" s="32" t="s">
        <v>11186</v>
      </c>
      <c r="D26" s="32" t="s">
        <v>11186</v>
      </c>
      <c r="E26" s="13" t="s">
        <v>11135</v>
      </c>
      <c r="F26" s="13">
        <v>1.0</v>
      </c>
      <c r="G26" s="13" t="s">
        <v>32</v>
      </c>
      <c r="H26" s="13" t="s">
        <v>33</v>
      </c>
      <c r="I26" s="13" t="s">
        <v>111</v>
      </c>
      <c r="J26" s="13">
        <v>1.0</v>
      </c>
      <c r="K26" s="13" t="s">
        <v>52</v>
      </c>
      <c r="L26" s="86" t="s">
        <v>11187</v>
      </c>
      <c r="M26" s="16"/>
      <c r="N26" s="16"/>
      <c r="O26" s="16"/>
      <c r="P26" s="16"/>
      <c r="Q26" s="16"/>
      <c r="R26" s="16"/>
      <c r="S26" s="16"/>
      <c r="T26" s="16"/>
      <c r="U26" s="16"/>
      <c r="V26" s="16"/>
      <c r="W26" s="16"/>
      <c r="X26" s="16"/>
      <c r="Y26" s="16"/>
      <c r="Z26" s="16"/>
      <c r="AA26" s="16"/>
      <c r="AB26" s="16"/>
      <c r="AC26" s="16"/>
      <c r="AD26" s="16"/>
      <c r="AE26" s="16"/>
      <c r="AF26" s="16"/>
      <c r="AG26" s="16"/>
      <c r="AH26" s="16"/>
    </row>
    <row r="27">
      <c r="A27" s="421" t="s">
        <v>11188</v>
      </c>
      <c r="B27" s="323">
        <v>42390.0</v>
      </c>
      <c r="C27" s="32" t="s">
        <v>11186</v>
      </c>
      <c r="D27" s="32" t="s">
        <v>11186</v>
      </c>
      <c r="E27" s="13" t="s">
        <v>1369</v>
      </c>
      <c r="F27" s="13">
        <v>1.0</v>
      </c>
      <c r="G27" s="13" t="s">
        <v>32</v>
      </c>
      <c r="H27" s="13" t="s">
        <v>33</v>
      </c>
      <c r="I27" s="13" t="s">
        <v>279</v>
      </c>
      <c r="J27" s="13">
        <v>4.0</v>
      </c>
      <c r="K27" s="13" t="s">
        <v>807</v>
      </c>
      <c r="L27" s="86" t="s">
        <v>11189</v>
      </c>
      <c r="M27" s="16"/>
      <c r="N27" s="16"/>
      <c r="O27" s="16"/>
      <c r="P27" s="16"/>
      <c r="Q27" s="16"/>
      <c r="R27" s="16"/>
      <c r="S27" s="16"/>
      <c r="T27" s="16"/>
      <c r="U27" s="16"/>
      <c r="V27" s="16"/>
      <c r="W27" s="16"/>
      <c r="X27" s="16"/>
      <c r="Y27" s="16"/>
      <c r="Z27" s="16"/>
      <c r="AA27" s="16"/>
      <c r="AB27" s="16"/>
      <c r="AC27" s="16"/>
      <c r="AD27" s="16"/>
      <c r="AE27" s="16"/>
      <c r="AF27" s="16"/>
      <c r="AG27" s="16"/>
      <c r="AH27" s="16"/>
    </row>
    <row r="28">
      <c r="A28" s="429" t="s">
        <v>11190</v>
      </c>
      <c r="B28" s="323">
        <v>42396.0</v>
      </c>
      <c r="C28" s="32" t="s">
        <v>11191</v>
      </c>
      <c r="D28" s="32" t="s">
        <v>11191</v>
      </c>
      <c r="E28" s="13" t="s">
        <v>1369</v>
      </c>
      <c r="F28" s="13">
        <v>1.0</v>
      </c>
      <c r="G28" s="13" t="s">
        <v>32</v>
      </c>
      <c r="H28" s="13" t="s">
        <v>33</v>
      </c>
      <c r="I28" s="13" t="s">
        <v>279</v>
      </c>
      <c r="J28" s="13">
        <v>2.0</v>
      </c>
      <c r="K28" s="13" t="s">
        <v>995</v>
      </c>
      <c r="L28" s="86" t="s">
        <v>11192</v>
      </c>
      <c r="M28" s="16"/>
      <c r="N28" s="16"/>
      <c r="O28" s="16"/>
      <c r="P28" s="16"/>
      <c r="Q28" s="16"/>
      <c r="R28" s="16"/>
      <c r="S28" s="16"/>
      <c r="T28" s="16"/>
      <c r="U28" s="16"/>
      <c r="V28" s="16"/>
      <c r="W28" s="16"/>
      <c r="X28" s="16"/>
      <c r="Y28" s="16"/>
      <c r="Z28" s="16"/>
      <c r="AA28" s="16"/>
      <c r="AB28" s="16"/>
      <c r="AC28" s="16"/>
      <c r="AD28" s="16"/>
      <c r="AE28" s="16"/>
      <c r="AF28" s="16"/>
      <c r="AG28" s="16"/>
      <c r="AH28" s="16"/>
    </row>
    <row r="29">
      <c r="A29" s="429" t="s">
        <v>11193</v>
      </c>
      <c r="B29" s="323">
        <v>42396.0</v>
      </c>
      <c r="C29" s="32" t="s">
        <v>11194</v>
      </c>
      <c r="D29" s="32" t="s">
        <v>11194</v>
      </c>
      <c r="E29" s="13" t="s">
        <v>1369</v>
      </c>
      <c r="F29" s="13">
        <v>1.0</v>
      </c>
      <c r="G29" s="13" t="s">
        <v>32</v>
      </c>
      <c r="H29" s="13" t="s">
        <v>33</v>
      </c>
      <c r="I29" s="13" t="s">
        <v>184</v>
      </c>
      <c r="J29" s="13">
        <v>3.0</v>
      </c>
      <c r="K29" s="13" t="s">
        <v>11195</v>
      </c>
      <c r="L29" s="86" t="s">
        <v>11196</v>
      </c>
      <c r="M29" s="16"/>
      <c r="N29" s="16"/>
      <c r="O29" s="16"/>
      <c r="P29" s="16"/>
      <c r="Q29" s="16"/>
      <c r="R29" s="16"/>
      <c r="S29" s="16"/>
      <c r="T29" s="16"/>
      <c r="U29" s="16"/>
      <c r="V29" s="16"/>
      <c r="W29" s="16"/>
      <c r="X29" s="16"/>
      <c r="Y29" s="16"/>
      <c r="Z29" s="16"/>
      <c r="AA29" s="16"/>
      <c r="AB29" s="16"/>
      <c r="AC29" s="16"/>
      <c r="AD29" s="16"/>
      <c r="AE29" s="16"/>
      <c r="AF29" s="16"/>
      <c r="AG29" s="16"/>
      <c r="AH29" s="16"/>
    </row>
    <row r="30">
      <c r="A30" s="429" t="s">
        <v>11197</v>
      </c>
      <c r="B30" s="323">
        <v>42397.0</v>
      </c>
      <c r="C30" s="32" t="s">
        <v>11198</v>
      </c>
      <c r="D30" s="32" t="s">
        <v>11198</v>
      </c>
      <c r="E30" s="13" t="s">
        <v>1369</v>
      </c>
      <c r="F30" s="13">
        <v>1.0</v>
      </c>
      <c r="G30" s="13" t="s">
        <v>32</v>
      </c>
      <c r="H30" s="13" t="s">
        <v>33</v>
      </c>
      <c r="I30" s="13" t="s">
        <v>410</v>
      </c>
      <c r="J30" s="13">
        <v>1.0</v>
      </c>
      <c r="K30" s="13" t="s">
        <v>52</v>
      </c>
      <c r="L30" s="430" t="s">
        <v>11199</v>
      </c>
      <c r="M30" s="16"/>
      <c r="N30" s="16"/>
      <c r="O30" s="16"/>
      <c r="P30" s="16"/>
      <c r="Q30" s="16"/>
      <c r="R30" s="16"/>
      <c r="S30" s="16"/>
      <c r="T30" s="16"/>
      <c r="U30" s="16"/>
      <c r="V30" s="16"/>
      <c r="W30" s="16"/>
      <c r="X30" s="16"/>
      <c r="Y30" s="16"/>
      <c r="Z30" s="16"/>
      <c r="AA30" s="16"/>
      <c r="AB30" s="16"/>
      <c r="AC30" s="16"/>
      <c r="AD30" s="16"/>
      <c r="AE30" s="16"/>
      <c r="AF30" s="16"/>
      <c r="AG30" s="16"/>
      <c r="AH30" s="16"/>
    </row>
    <row r="31">
      <c r="A31" s="429" t="s">
        <v>11200</v>
      </c>
      <c r="B31" s="323">
        <v>42397.0</v>
      </c>
      <c r="C31" s="32" t="s">
        <v>11191</v>
      </c>
      <c r="D31" s="32" t="s">
        <v>11191</v>
      </c>
      <c r="E31" s="13" t="s">
        <v>1369</v>
      </c>
      <c r="F31" s="13">
        <v>1.0</v>
      </c>
      <c r="G31" s="13" t="s">
        <v>32</v>
      </c>
      <c r="H31" s="13" t="s">
        <v>33</v>
      </c>
      <c r="I31" s="13" t="s">
        <v>279</v>
      </c>
      <c r="J31" s="13">
        <v>2.0</v>
      </c>
      <c r="K31" s="13" t="s">
        <v>1208</v>
      </c>
      <c r="L31" s="430" t="s">
        <v>11201</v>
      </c>
      <c r="M31" s="16"/>
      <c r="N31" s="16"/>
      <c r="O31" s="16"/>
      <c r="P31" s="16"/>
      <c r="Q31" s="16"/>
      <c r="R31" s="16"/>
      <c r="S31" s="16"/>
      <c r="T31" s="16"/>
      <c r="U31" s="16"/>
      <c r="V31" s="16"/>
      <c r="W31" s="16"/>
      <c r="X31" s="16"/>
      <c r="Y31" s="16"/>
      <c r="Z31" s="16"/>
      <c r="AA31" s="16"/>
      <c r="AB31" s="16"/>
      <c r="AC31" s="16"/>
      <c r="AD31" s="16"/>
      <c r="AE31" s="16"/>
      <c r="AF31" s="16"/>
      <c r="AG31" s="16"/>
      <c r="AH31" s="16"/>
    </row>
    <row r="32">
      <c r="A32" s="421" t="s">
        <v>239</v>
      </c>
      <c r="B32" s="323">
        <v>42397.0</v>
      </c>
      <c r="C32" s="32" t="s">
        <v>11202</v>
      </c>
      <c r="D32" s="32" t="s">
        <v>11191</v>
      </c>
      <c r="E32" s="13" t="s">
        <v>1369</v>
      </c>
      <c r="F32" s="13">
        <v>3.0</v>
      </c>
      <c r="G32" s="13">
        <v>1.0</v>
      </c>
      <c r="H32" s="13" t="s">
        <v>33</v>
      </c>
      <c r="I32" s="13" t="s">
        <v>111</v>
      </c>
      <c r="J32" s="13">
        <v>1.0</v>
      </c>
      <c r="K32" s="13" t="s">
        <v>52</v>
      </c>
      <c r="L32" s="86" t="s">
        <v>11203</v>
      </c>
      <c r="M32" s="16"/>
      <c r="N32" s="16"/>
      <c r="O32" s="16"/>
      <c r="P32" s="16"/>
      <c r="Q32" s="16"/>
      <c r="R32" s="16"/>
      <c r="S32" s="16"/>
      <c r="T32" s="16"/>
      <c r="U32" s="16"/>
      <c r="V32" s="16"/>
      <c r="W32" s="16"/>
      <c r="X32" s="16"/>
      <c r="Y32" s="16"/>
      <c r="Z32" s="16"/>
      <c r="AA32" s="16"/>
      <c r="AB32" s="16"/>
      <c r="AC32" s="16"/>
      <c r="AD32" s="16"/>
      <c r="AE32" s="16"/>
      <c r="AF32" s="16"/>
      <c r="AG32" s="16"/>
      <c r="AH32" s="16"/>
    </row>
    <row r="33">
      <c r="A33" s="393" t="s">
        <v>239</v>
      </c>
      <c r="B33" s="159">
        <v>42397.0</v>
      </c>
      <c r="C33" s="159">
        <v>42387.0</v>
      </c>
      <c r="D33" s="159">
        <v>42392.0</v>
      </c>
      <c r="E33" s="37" t="s">
        <v>1369</v>
      </c>
      <c r="F33" s="37">
        <v>198.0</v>
      </c>
      <c r="G33" s="37">
        <v>12.0</v>
      </c>
      <c r="H33" s="37" t="s">
        <v>33</v>
      </c>
      <c r="I33" s="37" t="s">
        <v>111</v>
      </c>
      <c r="J33" s="37">
        <v>1.0</v>
      </c>
      <c r="K33" s="37" t="s">
        <v>11204</v>
      </c>
      <c r="L33" s="86" t="s">
        <v>11205</v>
      </c>
      <c r="M33" s="16"/>
      <c r="N33" s="16"/>
      <c r="O33" s="16"/>
      <c r="P33" s="16"/>
      <c r="Q33" s="16"/>
      <c r="R33" s="16"/>
      <c r="S33" s="16"/>
      <c r="T33" s="16"/>
      <c r="U33" s="16"/>
      <c r="V33" s="16"/>
      <c r="W33" s="16"/>
      <c r="X33" s="16"/>
      <c r="Y33" s="16"/>
      <c r="Z33" s="16"/>
      <c r="AA33" s="16"/>
      <c r="AB33" s="16"/>
      <c r="AC33" s="16"/>
      <c r="AD33" s="16"/>
      <c r="AE33" s="16"/>
      <c r="AF33" s="16"/>
      <c r="AG33" s="16"/>
      <c r="AH33" s="16"/>
    </row>
    <row r="34">
      <c r="A34" s="421" t="s">
        <v>239</v>
      </c>
      <c r="B34" s="323">
        <v>42397.0</v>
      </c>
      <c r="C34" s="32" t="s">
        <v>11198</v>
      </c>
      <c r="D34" s="32" t="s">
        <v>11198</v>
      </c>
      <c r="E34" s="13" t="s">
        <v>1369</v>
      </c>
      <c r="F34" s="13">
        <v>1.0</v>
      </c>
      <c r="G34" s="13" t="s">
        <v>32</v>
      </c>
      <c r="H34" s="13" t="s">
        <v>33</v>
      </c>
      <c r="I34" s="13" t="s">
        <v>111</v>
      </c>
      <c r="J34" s="13">
        <v>1.0</v>
      </c>
      <c r="K34" s="13" t="s">
        <v>52</v>
      </c>
      <c r="L34" s="86" t="s">
        <v>11206</v>
      </c>
      <c r="M34" s="16"/>
      <c r="N34" s="16"/>
      <c r="O34" s="16"/>
      <c r="P34" s="16"/>
      <c r="Q34" s="16"/>
      <c r="R34" s="16"/>
      <c r="S34" s="16"/>
      <c r="T34" s="16"/>
      <c r="U34" s="16"/>
      <c r="V34" s="16"/>
      <c r="W34" s="16"/>
      <c r="X34" s="16"/>
      <c r="Y34" s="16"/>
      <c r="Z34" s="16"/>
      <c r="AA34" s="16"/>
      <c r="AB34" s="16"/>
      <c r="AC34" s="16"/>
      <c r="AD34" s="16"/>
      <c r="AE34" s="16"/>
      <c r="AF34" s="16"/>
      <c r="AG34" s="16"/>
      <c r="AH34" s="16"/>
    </row>
    <row r="35">
      <c r="A35" s="421" t="s">
        <v>11207</v>
      </c>
      <c r="B35" s="323">
        <v>42398.0</v>
      </c>
      <c r="C35" s="32" t="s">
        <v>11202</v>
      </c>
      <c r="D35" s="32" t="s">
        <v>11202</v>
      </c>
      <c r="E35" s="13" t="s">
        <v>1369</v>
      </c>
      <c r="F35" s="13">
        <v>1.0</v>
      </c>
      <c r="G35" s="13" t="s">
        <v>32</v>
      </c>
      <c r="H35" s="13" t="s">
        <v>33</v>
      </c>
      <c r="I35" s="13" t="s">
        <v>93</v>
      </c>
      <c r="J35" s="13">
        <v>1.0</v>
      </c>
      <c r="K35" s="13" t="s">
        <v>99</v>
      </c>
      <c r="L35" s="86" t="s">
        <v>11208</v>
      </c>
      <c r="M35" s="16"/>
      <c r="N35" s="16"/>
      <c r="O35" s="16"/>
      <c r="P35" s="16"/>
      <c r="Q35" s="16"/>
      <c r="R35" s="16"/>
      <c r="S35" s="16"/>
      <c r="T35" s="16"/>
      <c r="U35" s="16"/>
      <c r="V35" s="16"/>
      <c r="W35" s="16"/>
      <c r="X35" s="16"/>
      <c r="Y35" s="16"/>
      <c r="Z35" s="16"/>
      <c r="AA35" s="16"/>
      <c r="AB35" s="16"/>
      <c r="AC35" s="16"/>
      <c r="AD35" s="16"/>
      <c r="AE35" s="16"/>
      <c r="AF35" s="16"/>
      <c r="AG35" s="16"/>
      <c r="AH35" s="16"/>
    </row>
    <row r="36">
      <c r="A36" s="421" t="s">
        <v>11209</v>
      </c>
      <c r="B36" s="323">
        <v>42398.0</v>
      </c>
      <c r="C36" s="32" t="s">
        <v>11194</v>
      </c>
      <c r="D36" s="32" t="s">
        <v>11194</v>
      </c>
      <c r="E36" s="13" t="s">
        <v>11135</v>
      </c>
      <c r="F36" s="13">
        <v>1.0</v>
      </c>
      <c r="G36" s="13" t="s">
        <v>32</v>
      </c>
      <c r="H36" s="13" t="s">
        <v>33</v>
      </c>
      <c r="I36" s="13" t="s">
        <v>460</v>
      </c>
      <c r="J36" s="13">
        <v>1.0</v>
      </c>
      <c r="K36" s="13" t="s">
        <v>11210</v>
      </c>
      <c r="L36" s="86" t="s">
        <v>11211</v>
      </c>
      <c r="M36" s="16"/>
      <c r="N36" s="16"/>
      <c r="O36" s="16"/>
      <c r="P36" s="16"/>
      <c r="Q36" s="16"/>
      <c r="R36" s="16"/>
      <c r="S36" s="16"/>
      <c r="T36" s="16"/>
      <c r="U36" s="16"/>
      <c r="V36" s="16"/>
      <c r="W36" s="16"/>
      <c r="X36" s="16"/>
      <c r="Y36" s="16"/>
      <c r="Z36" s="16"/>
      <c r="AA36" s="16"/>
      <c r="AB36" s="16"/>
      <c r="AC36" s="16"/>
      <c r="AD36" s="16"/>
      <c r="AE36" s="16"/>
      <c r="AF36" s="16"/>
      <c r="AG36" s="16"/>
      <c r="AH36" s="16"/>
    </row>
    <row r="37">
      <c r="A37" s="421" t="s">
        <v>11212</v>
      </c>
      <c r="B37" s="323">
        <v>42401.0</v>
      </c>
      <c r="C37" s="32" t="s">
        <v>11194</v>
      </c>
      <c r="D37" s="32" t="s">
        <v>11191</v>
      </c>
      <c r="E37" s="13" t="s">
        <v>1369</v>
      </c>
      <c r="F37" s="13">
        <v>2.0</v>
      </c>
      <c r="G37" s="13" t="s">
        <v>32</v>
      </c>
      <c r="H37" s="13" t="s">
        <v>33</v>
      </c>
      <c r="I37" s="13" t="s">
        <v>850</v>
      </c>
      <c r="J37" s="13">
        <v>1.0</v>
      </c>
      <c r="K37" s="13" t="s">
        <v>35</v>
      </c>
      <c r="L37" s="86" t="s">
        <v>11213</v>
      </c>
      <c r="M37" s="16"/>
      <c r="N37" s="16"/>
      <c r="O37" s="16"/>
      <c r="P37" s="16"/>
      <c r="Q37" s="16"/>
      <c r="R37" s="16"/>
      <c r="S37" s="16"/>
      <c r="T37" s="16"/>
      <c r="U37" s="16"/>
      <c r="V37" s="16"/>
      <c r="W37" s="16"/>
      <c r="X37" s="16"/>
      <c r="Y37" s="16"/>
      <c r="Z37" s="16"/>
      <c r="AA37" s="16"/>
      <c r="AB37" s="16"/>
      <c r="AC37" s="16"/>
      <c r="AD37" s="16"/>
      <c r="AE37" s="16"/>
      <c r="AF37" s="16"/>
      <c r="AG37" s="16"/>
      <c r="AH37" s="16"/>
    </row>
    <row r="38">
      <c r="A38" s="421" t="s">
        <v>11214</v>
      </c>
      <c r="B38" s="323">
        <v>42404.0</v>
      </c>
      <c r="C38" s="32" t="s">
        <v>11215</v>
      </c>
      <c r="D38" s="32" t="s">
        <v>11215</v>
      </c>
      <c r="E38" s="13" t="s">
        <v>1369</v>
      </c>
      <c r="F38" s="13">
        <v>1.0</v>
      </c>
      <c r="G38" s="13" t="s">
        <v>32</v>
      </c>
      <c r="H38" s="13" t="s">
        <v>33</v>
      </c>
      <c r="I38" s="13" t="s">
        <v>124</v>
      </c>
      <c r="J38" s="13">
        <v>1.0</v>
      </c>
      <c r="K38" s="13" t="s">
        <v>807</v>
      </c>
      <c r="L38" s="86" t="s">
        <v>11216</v>
      </c>
      <c r="M38" s="16"/>
      <c r="N38" s="16"/>
      <c r="O38" s="16"/>
      <c r="P38" s="16"/>
      <c r="Q38" s="16"/>
      <c r="R38" s="16"/>
      <c r="S38" s="16"/>
      <c r="T38" s="16"/>
      <c r="U38" s="16"/>
      <c r="V38" s="16"/>
      <c r="W38" s="16"/>
      <c r="X38" s="16"/>
      <c r="Y38" s="16"/>
      <c r="Z38" s="16"/>
      <c r="AA38" s="16"/>
      <c r="AB38" s="16"/>
      <c r="AC38" s="16"/>
      <c r="AD38" s="16"/>
      <c r="AE38" s="16"/>
      <c r="AF38" s="16"/>
      <c r="AG38" s="16"/>
      <c r="AH38" s="16"/>
    </row>
    <row r="39">
      <c r="A39" s="422" t="s">
        <v>11217</v>
      </c>
      <c r="B39" s="323">
        <v>42404.0</v>
      </c>
      <c r="C39" s="32" t="s">
        <v>11218</v>
      </c>
      <c r="D39" s="32" t="s">
        <v>11218</v>
      </c>
      <c r="E39" s="13" t="s">
        <v>11135</v>
      </c>
      <c r="F39" s="13">
        <v>1.0</v>
      </c>
      <c r="G39" s="13" t="s">
        <v>32</v>
      </c>
      <c r="H39" s="13" t="s">
        <v>33</v>
      </c>
      <c r="I39" s="13" t="s">
        <v>147</v>
      </c>
      <c r="J39" s="13">
        <v>1.0</v>
      </c>
      <c r="K39" s="13" t="s">
        <v>52</v>
      </c>
      <c r="L39" s="86" t="s">
        <v>11219</v>
      </c>
      <c r="M39" s="16"/>
      <c r="N39" s="16"/>
      <c r="O39" s="16"/>
      <c r="P39" s="16"/>
      <c r="Q39" s="16"/>
      <c r="R39" s="16"/>
      <c r="S39" s="16"/>
      <c r="T39" s="16"/>
      <c r="U39" s="16"/>
      <c r="V39" s="16"/>
      <c r="W39" s="16"/>
      <c r="X39" s="16"/>
      <c r="Y39" s="16"/>
      <c r="Z39" s="16"/>
      <c r="AA39" s="16"/>
      <c r="AB39" s="16"/>
      <c r="AC39" s="16"/>
      <c r="AD39" s="16"/>
      <c r="AE39" s="16"/>
      <c r="AF39" s="16"/>
      <c r="AG39" s="16"/>
      <c r="AH39" s="16"/>
    </row>
    <row r="40">
      <c r="A40" s="422" t="s">
        <v>660</v>
      </c>
      <c r="B40" s="323">
        <v>42404.0</v>
      </c>
      <c r="C40" s="32" t="s">
        <v>11220</v>
      </c>
      <c r="D40" s="32" t="s">
        <v>11220</v>
      </c>
      <c r="E40" s="13" t="s">
        <v>11135</v>
      </c>
      <c r="F40" s="13">
        <v>13.0</v>
      </c>
      <c r="G40" s="13" t="s">
        <v>32</v>
      </c>
      <c r="H40" s="13" t="s">
        <v>33</v>
      </c>
      <c r="I40" s="13" t="s">
        <v>11221</v>
      </c>
      <c r="J40" s="13">
        <v>6.0</v>
      </c>
      <c r="K40" s="13" t="s">
        <v>11222</v>
      </c>
      <c r="L40" s="430" t="s">
        <v>11223</v>
      </c>
      <c r="M40" s="16"/>
      <c r="N40" s="16"/>
      <c r="O40" s="16"/>
      <c r="P40" s="16"/>
      <c r="Q40" s="16"/>
      <c r="R40" s="16"/>
      <c r="S40" s="16"/>
      <c r="T40" s="16"/>
      <c r="U40" s="16"/>
      <c r="V40" s="16"/>
      <c r="W40" s="16"/>
      <c r="X40" s="16"/>
      <c r="Y40" s="16"/>
      <c r="Z40" s="16"/>
      <c r="AA40" s="16"/>
      <c r="AB40" s="16"/>
      <c r="AC40" s="16"/>
      <c r="AD40" s="16"/>
      <c r="AE40" s="16"/>
      <c r="AF40" s="16"/>
      <c r="AG40" s="16"/>
      <c r="AH40" s="16"/>
    </row>
    <row r="41">
      <c r="A41" s="422" t="s">
        <v>11224</v>
      </c>
      <c r="B41" s="323">
        <v>42404.0</v>
      </c>
      <c r="C41" s="32" t="s">
        <v>11218</v>
      </c>
      <c r="D41" s="32" t="s">
        <v>11218</v>
      </c>
      <c r="E41" s="13" t="s">
        <v>11135</v>
      </c>
      <c r="F41" s="13">
        <v>1.0</v>
      </c>
      <c r="G41" s="13" t="s">
        <v>32</v>
      </c>
      <c r="H41" s="13" t="s">
        <v>33</v>
      </c>
      <c r="I41" s="13" t="s">
        <v>111</v>
      </c>
      <c r="J41" s="13">
        <v>1.0</v>
      </c>
      <c r="K41" s="13" t="s">
        <v>35</v>
      </c>
      <c r="L41" s="430" t="s">
        <v>11225</v>
      </c>
      <c r="M41" s="16"/>
      <c r="N41" s="16"/>
      <c r="O41" s="16"/>
      <c r="P41" s="16"/>
      <c r="Q41" s="16"/>
      <c r="R41" s="16"/>
      <c r="S41" s="16"/>
      <c r="T41" s="16"/>
      <c r="U41" s="16"/>
      <c r="V41" s="16"/>
      <c r="W41" s="16"/>
      <c r="X41" s="16"/>
      <c r="Y41" s="16"/>
      <c r="Z41" s="16"/>
      <c r="AA41" s="16"/>
      <c r="AB41" s="16"/>
      <c r="AC41" s="16"/>
      <c r="AD41" s="16"/>
      <c r="AE41" s="16"/>
      <c r="AF41" s="16"/>
      <c r="AG41" s="16"/>
      <c r="AH41" s="16"/>
    </row>
    <row r="42">
      <c r="A42" s="421" t="s">
        <v>11226</v>
      </c>
      <c r="B42" s="323">
        <v>42405.0</v>
      </c>
      <c r="C42" s="32" t="s">
        <v>11215</v>
      </c>
      <c r="D42" s="32" t="s">
        <v>11215</v>
      </c>
      <c r="E42" s="13" t="s">
        <v>11135</v>
      </c>
      <c r="F42" s="13">
        <v>1.0</v>
      </c>
      <c r="G42" s="13">
        <v>1.0</v>
      </c>
      <c r="H42" s="13" t="s">
        <v>33</v>
      </c>
      <c r="I42" s="13" t="s">
        <v>410</v>
      </c>
      <c r="J42" s="13">
        <v>2.0</v>
      </c>
      <c r="K42" s="13" t="s">
        <v>52</v>
      </c>
      <c r="L42" s="86" t="s">
        <v>11227</v>
      </c>
      <c r="M42" s="16"/>
      <c r="N42" s="16"/>
      <c r="O42" s="16"/>
      <c r="P42" s="16"/>
      <c r="Q42" s="16"/>
      <c r="R42" s="16"/>
      <c r="S42" s="16"/>
      <c r="T42" s="16"/>
      <c r="U42" s="16"/>
      <c r="V42" s="16"/>
      <c r="W42" s="16"/>
      <c r="X42" s="16"/>
      <c r="Y42" s="16"/>
      <c r="Z42" s="16"/>
      <c r="AA42" s="16"/>
      <c r="AB42" s="16"/>
      <c r="AC42" s="16"/>
      <c r="AD42" s="16"/>
      <c r="AE42" s="16"/>
      <c r="AF42" s="16"/>
      <c r="AG42" s="16"/>
      <c r="AH42" s="16"/>
    </row>
    <row r="43">
      <c r="A43" s="421" t="s">
        <v>11228</v>
      </c>
      <c r="B43" s="323">
        <v>42405.0</v>
      </c>
      <c r="C43" s="32" t="s">
        <v>11155</v>
      </c>
      <c r="D43" s="32" t="s">
        <v>11155</v>
      </c>
      <c r="E43" s="13" t="s">
        <v>1369</v>
      </c>
      <c r="F43" s="13">
        <v>1.0</v>
      </c>
      <c r="G43" s="13">
        <v>1.0</v>
      </c>
      <c r="H43" s="13" t="s">
        <v>33</v>
      </c>
      <c r="I43" s="13" t="s">
        <v>172</v>
      </c>
      <c r="J43" s="13" t="s">
        <v>32</v>
      </c>
      <c r="K43" s="13" t="s">
        <v>52</v>
      </c>
      <c r="L43" s="86" t="s">
        <v>11229</v>
      </c>
      <c r="M43" s="16"/>
      <c r="N43" s="16"/>
      <c r="O43" s="16"/>
      <c r="P43" s="16"/>
      <c r="Q43" s="16"/>
      <c r="R43" s="16"/>
      <c r="S43" s="16"/>
      <c r="T43" s="16"/>
      <c r="U43" s="16"/>
      <c r="V43" s="16"/>
      <c r="W43" s="16"/>
      <c r="X43" s="16"/>
      <c r="Y43" s="16"/>
      <c r="Z43" s="16"/>
      <c r="AA43" s="16"/>
      <c r="AB43" s="16"/>
      <c r="AC43" s="16"/>
      <c r="AD43" s="16"/>
      <c r="AE43" s="16"/>
      <c r="AF43" s="16"/>
      <c r="AG43" s="16"/>
      <c r="AH43" s="16"/>
    </row>
    <row r="44">
      <c r="A44" s="421" t="s">
        <v>11230</v>
      </c>
      <c r="B44" s="323">
        <v>42406.0</v>
      </c>
      <c r="C44" s="32" t="s">
        <v>11231</v>
      </c>
      <c r="D44" s="32" t="s">
        <v>11231</v>
      </c>
      <c r="E44" s="13" t="s">
        <v>11135</v>
      </c>
      <c r="F44" s="13">
        <v>1.0</v>
      </c>
      <c r="G44" s="13" t="s">
        <v>32</v>
      </c>
      <c r="H44" s="13" t="s">
        <v>33</v>
      </c>
      <c r="I44" s="13" t="s">
        <v>124</v>
      </c>
      <c r="J44" s="13">
        <v>2.0</v>
      </c>
      <c r="K44" s="13" t="s">
        <v>99</v>
      </c>
      <c r="L44" s="86" t="s">
        <v>11232</v>
      </c>
      <c r="M44" s="16"/>
      <c r="N44" s="16"/>
      <c r="O44" s="16"/>
      <c r="P44" s="16"/>
      <c r="Q44" s="16"/>
      <c r="R44" s="16"/>
      <c r="S44" s="16"/>
      <c r="T44" s="16"/>
      <c r="U44" s="16"/>
      <c r="V44" s="16"/>
      <c r="W44" s="16"/>
      <c r="X44" s="16"/>
      <c r="Y44" s="16"/>
      <c r="Z44" s="16"/>
      <c r="AA44" s="16"/>
      <c r="AB44" s="16"/>
      <c r="AC44" s="16"/>
      <c r="AD44" s="16"/>
      <c r="AE44" s="16"/>
      <c r="AF44" s="16"/>
      <c r="AG44" s="16"/>
      <c r="AH44" s="16"/>
    </row>
    <row r="45">
      <c r="A45" s="421" t="s">
        <v>11233</v>
      </c>
      <c r="B45" s="323">
        <v>42406.0</v>
      </c>
      <c r="C45" s="32" t="s">
        <v>11234</v>
      </c>
      <c r="D45" s="32" t="s">
        <v>11234</v>
      </c>
      <c r="E45" s="13" t="s">
        <v>11135</v>
      </c>
      <c r="F45" s="13">
        <v>1.0</v>
      </c>
      <c r="G45" s="13" t="s">
        <v>32</v>
      </c>
      <c r="H45" s="13" t="s">
        <v>33</v>
      </c>
      <c r="I45" s="13" t="s">
        <v>172</v>
      </c>
      <c r="J45" s="13">
        <v>1.0</v>
      </c>
      <c r="K45" s="13" t="s">
        <v>52</v>
      </c>
      <c r="L45" s="86" t="s">
        <v>11235</v>
      </c>
      <c r="M45" s="16"/>
      <c r="N45" s="16"/>
      <c r="O45" s="16"/>
      <c r="P45" s="16"/>
      <c r="Q45" s="16"/>
      <c r="R45" s="16"/>
      <c r="S45" s="16"/>
      <c r="T45" s="16"/>
      <c r="U45" s="16"/>
      <c r="V45" s="16"/>
      <c r="W45" s="16"/>
      <c r="X45" s="16"/>
      <c r="Y45" s="16"/>
      <c r="Z45" s="16"/>
      <c r="AA45" s="16"/>
      <c r="AB45" s="16"/>
      <c r="AC45" s="16"/>
      <c r="AD45" s="16"/>
      <c r="AE45" s="16"/>
      <c r="AF45" s="16"/>
      <c r="AG45" s="16"/>
      <c r="AH45" s="16"/>
    </row>
    <row r="46">
      <c r="A46" s="421" t="s">
        <v>11236</v>
      </c>
      <c r="B46" s="323">
        <v>42407.0</v>
      </c>
      <c r="C46" s="32" t="s">
        <v>11220</v>
      </c>
      <c r="D46" s="32" t="s">
        <v>11234</v>
      </c>
      <c r="E46" s="13" t="s">
        <v>1369</v>
      </c>
      <c r="F46" s="13">
        <v>1.0</v>
      </c>
      <c r="G46" s="13">
        <v>1.0</v>
      </c>
      <c r="H46" s="13" t="s">
        <v>33</v>
      </c>
      <c r="I46" s="13" t="s">
        <v>147</v>
      </c>
      <c r="J46" s="13">
        <v>1.0</v>
      </c>
      <c r="K46" s="13" t="s">
        <v>1328</v>
      </c>
      <c r="L46" s="86" t="s">
        <v>11237</v>
      </c>
      <c r="M46" s="16"/>
      <c r="N46" s="16"/>
      <c r="O46" s="16"/>
      <c r="P46" s="16"/>
      <c r="Q46" s="16"/>
      <c r="R46" s="16"/>
      <c r="S46" s="16"/>
      <c r="T46" s="16"/>
      <c r="U46" s="16"/>
      <c r="V46" s="16"/>
      <c r="W46" s="16"/>
      <c r="X46" s="16"/>
      <c r="Y46" s="16"/>
      <c r="Z46" s="16"/>
      <c r="AA46" s="16"/>
      <c r="AB46" s="16"/>
      <c r="AC46" s="16"/>
      <c r="AD46" s="16"/>
      <c r="AE46" s="16"/>
      <c r="AF46" s="16"/>
      <c r="AG46" s="16"/>
      <c r="AH46" s="16"/>
    </row>
    <row r="47">
      <c r="A47" s="421" t="s">
        <v>239</v>
      </c>
      <c r="B47" s="323">
        <v>42407.0</v>
      </c>
      <c r="C47" s="32" t="s">
        <v>11220</v>
      </c>
      <c r="D47" s="32" t="s">
        <v>11234</v>
      </c>
      <c r="E47" s="13" t="s">
        <v>1369</v>
      </c>
      <c r="F47" s="13">
        <v>19.0</v>
      </c>
      <c r="G47" s="13" t="s">
        <v>32</v>
      </c>
      <c r="H47" s="13" t="s">
        <v>33</v>
      </c>
      <c r="I47" s="13" t="s">
        <v>11238</v>
      </c>
      <c r="J47" s="13">
        <v>2.0</v>
      </c>
      <c r="K47" s="13" t="s">
        <v>11239</v>
      </c>
      <c r="L47" s="86" t="s">
        <v>11240</v>
      </c>
      <c r="M47" s="16"/>
      <c r="N47" s="16"/>
      <c r="O47" s="16"/>
      <c r="P47" s="16"/>
      <c r="Q47" s="16"/>
      <c r="R47" s="16"/>
      <c r="S47" s="16"/>
      <c r="T47" s="16"/>
      <c r="U47" s="16"/>
      <c r="V47" s="16"/>
      <c r="W47" s="16"/>
      <c r="X47" s="16"/>
      <c r="Y47" s="16"/>
      <c r="Z47" s="16"/>
      <c r="AA47" s="16"/>
      <c r="AB47" s="16"/>
      <c r="AC47" s="16"/>
      <c r="AD47" s="16"/>
      <c r="AE47" s="16"/>
      <c r="AF47" s="16"/>
      <c r="AG47" s="16"/>
      <c r="AH47" s="16"/>
    </row>
    <row r="48">
      <c r="A48" s="421" t="s">
        <v>11241</v>
      </c>
      <c r="B48" s="323">
        <v>42409.0</v>
      </c>
      <c r="C48" s="32" t="s">
        <v>11242</v>
      </c>
      <c r="D48" s="32" t="s">
        <v>11234</v>
      </c>
      <c r="E48" s="13" t="s">
        <v>1369</v>
      </c>
      <c r="F48" s="13">
        <v>1.0</v>
      </c>
      <c r="G48" s="13" t="s">
        <v>32</v>
      </c>
      <c r="H48" s="13" t="s">
        <v>33</v>
      </c>
      <c r="I48" s="13" t="s">
        <v>115</v>
      </c>
      <c r="J48" s="13">
        <v>3.0</v>
      </c>
      <c r="K48" s="13" t="s">
        <v>1579</v>
      </c>
      <c r="L48" s="86" t="s">
        <v>11243</v>
      </c>
      <c r="M48" s="16"/>
      <c r="N48" s="16"/>
      <c r="O48" s="16"/>
      <c r="P48" s="16"/>
      <c r="Q48" s="16"/>
      <c r="R48" s="16"/>
      <c r="S48" s="16"/>
      <c r="T48" s="16"/>
      <c r="U48" s="16"/>
      <c r="V48" s="16"/>
      <c r="W48" s="16"/>
      <c r="X48" s="16"/>
      <c r="Y48" s="16"/>
      <c r="Z48" s="16"/>
      <c r="AA48" s="16"/>
      <c r="AB48" s="16"/>
      <c r="AC48" s="16"/>
      <c r="AD48" s="16"/>
      <c r="AE48" s="16"/>
      <c r="AF48" s="16"/>
      <c r="AG48" s="16"/>
      <c r="AH48" s="16"/>
    </row>
    <row r="49">
      <c r="A49" s="425" t="s">
        <v>11244</v>
      </c>
      <c r="B49" s="323">
        <v>42412.0</v>
      </c>
      <c r="C49" s="32" t="s">
        <v>11245</v>
      </c>
      <c r="D49" s="32" t="s">
        <v>11245</v>
      </c>
      <c r="E49" s="13" t="s">
        <v>1369</v>
      </c>
      <c r="F49" s="13">
        <v>1.0</v>
      </c>
      <c r="G49" s="13" t="s">
        <v>32</v>
      </c>
      <c r="H49" s="13" t="s">
        <v>33</v>
      </c>
      <c r="I49" s="13" t="s">
        <v>42</v>
      </c>
      <c r="J49" s="13">
        <v>1.0</v>
      </c>
      <c r="K49" s="13" t="s">
        <v>99</v>
      </c>
      <c r="L49" s="86" t="s">
        <v>11246</v>
      </c>
      <c r="M49" s="16"/>
      <c r="N49" s="16"/>
      <c r="O49" s="16"/>
      <c r="P49" s="16"/>
      <c r="Q49" s="16"/>
      <c r="R49" s="16"/>
      <c r="S49" s="16"/>
      <c r="T49" s="16"/>
      <c r="U49" s="16"/>
      <c r="V49" s="16"/>
      <c r="W49" s="16"/>
      <c r="X49" s="16"/>
      <c r="Y49" s="16"/>
      <c r="Z49" s="16"/>
      <c r="AA49" s="16"/>
      <c r="AB49" s="16"/>
      <c r="AC49" s="16"/>
      <c r="AD49" s="16"/>
      <c r="AE49" s="16"/>
      <c r="AF49" s="16"/>
      <c r="AG49" s="16"/>
      <c r="AH49" s="16"/>
    </row>
    <row r="50">
      <c r="A50" s="421" t="s">
        <v>11247</v>
      </c>
      <c r="B50" s="323">
        <v>42412.0</v>
      </c>
      <c r="C50" s="32" t="s">
        <v>11248</v>
      </c>
      <c r="D50" s="32" t="s">
        <v>11248</v>
      </c>
      <c r="E50" s="13" t="s">
        <v>1369</v>
      </c>
      <c r="F50" s="13">
        <v>1.0</v>
      </c>
      <c r="G50" s="13" t="s">
        <v>32</v>
      </c>
      <c r="H50" s="13" t="s">
        <v>33</v>
      </c>
      <c r="I50" s="13" t="s">
        <v>402</v>
      </c>
      <c r="J50" s="13">
        <v>2.0</v>
      </c>
      <c r="K50" s="13" t="s">
        <v>2885</v>
      </c>
      <c r="L50" s="86" t="s">
        <v>11249</v>
      </c>
      <c r="M50" s="16"/>
      <c r="N50" s="16"/>
      <c r="O50" s="16"/>
      <c r="P50" s="16"/>
      <c r="Q50" s="16"/>
      <c r="R50" s="16"/>
      <c r="S50" s="16"/>
      <c r="T50" s="16"/>
      <c r="U50" s="16"/>
      <c r="V50" s="16"/>
      <c r="W50" s="16"/>
      <c r="X50" s="16"/>
      <c r="Y50" s="16"/>
      <c r="Z50" s="16"/>
      <c r="AA50" s="16"/>
      <c r="AB50" s="16"/>
      <c r="AC50" s="16"/>
      <c r="AD50" s="16"/>
      <c r="AE50" s="16"/>
      <c r="AF50" s="16"/>
      <c r="AG50" s="16"/>
      <c r="AH50" s="16"/>
    </row>
    <row r="51">
      <c r="A51" s="429" t="s">
        <v>11250</v>
      </c>
      <c r="B51" s="323">
        <v>42417.0</v>
      </c>
      <c r="C51" s="32" t="s">
        <v>11245</v>
      </c>
      <c r="D51" s="32" t="s">
        <v>11245</v>
      </c>
      <c r="E51" s="13" t="s">
        <v>1369</v>
      </c>
      <c r="F51" s="13">
        <v>1.0</v>
      </c>
      <c r="G51" s="13" t="s">
        <v>32</v>
      </c>
      <c r="H51" s="13" t="s">
        <v>33</v>
      </c>
      <c r="I51" s="13" t="s">
        <v>184</v>
      </c>
      <c r="J51" s="13">
        <v>1.0</v>
      </c>
      <c r="K51" s="13" t="s">
        <v>69</v>
      </c>
      <c r="L51" s="86" t="s">
        <v>11251</v>
      </c>
      <c r="M51" s="16"/>
      <c r="N51" s="16"/>
      <c r="O51" s="16"/>
      <c r="P51" s="16"/>
      <c r="Q51" s="16"/>
      <c r="R51" s="16"/>
      <c r="S51" s="16"/>
      <c r="T51" s="16"/>
      <c r="U51" s="16"/>
      <c r="V51" s="16"/>
      <c r="W51" s="16"/>
      <c r="X51" s="16"/>
      <c r="Y51" s="16"/>
      <c r="Z51" s="16"/>
      <c r="AA51" s="16"/>
      <c r="AB51" s="16"/>
      <c r="AC51" s="16"/>
      <c r="AD51" s="16"/>
      <c r="AE51" s="16"/>
      <c r="AF51" s="16"/>
      <c r="AG51" s="16"/>
      <c r="AH51" s="16"/>
    </row>
    <row r="52">
      <c r="A52" s="421" t="s">
        <v>11252</v>
      </c>
      <c r="B52" s="323">
        <v>42419.0</v>
      </c>
      <c r="C52" s="32" t="s">
        <v>11253</v>
      </c>
      <c r="D52" s="32" t="s">
        <v>11253</v>
      </c>
      <c r="E52" s="13" t="s">
        <v>11135</v>
      </c>
      <c r="F52" s="13">
        <v>1.0</v>
      </c>
      <c r="G52" s="13" t="s">
        <v>32</v>
      </c>
      <c r="H52" s="13" t="s">
        <v>33</v>
      </c>
      <c r="I52" s="13" t="s">
        <v>318</v>
      </c>
      <c r="J52" s="13" t="s">
        <v>32</v>
      </c>
      <c r="K52" s="13" t="s">
        <v>194</v>
      </c>
      <c r="L52" s="86" t="s">
        <v>11254</v>
      </c>
      <c r="M52" s="16"/>
      <c r="N52" s="16"/>
      <c r="O52" s="16"/>
      <c r="P52" s="16"/>
      <c r="Q52" s="16"/>
      <c r="R52" s="16"/>
      <c r="S52" s="16"/>
      <c r="T52" s="16"/>
      <c r="U52" s="16"/>
      <c r="V52" s="16"/>
      <c r="W52" s="16"/>
      <c r="X52" s="16"/>
      <c r="Y52" s="16"/>
      <c r="Z52" s="16"/>
      <c r="AA52" s="16"/>
      <c r="AB52" s="16"/>
      <c r="AC52" s="16"/>
      <c r="AD52" s="16"/>
      <c r="AE52" s="16"/>
      <c r="AF52" s="16"/>
      <c r="AG52" s="16"/>
      <c r="AH52" s="16"/>
    </row>
    <row r="53">
      <c r="A53" s="421" t="s">
        <v>11255</v>
      </c>
      <c r="B53" s="323">
        <v>42419.0</v>
      </c>
      <c r="C53" s="32" t="s">
        <v>11253</v>
      </c>
      <c r="D53" s="32" t="s">
        <v>11253</v>
      </c>
      <c r="E53" s="13" t="s">
        <v>1369</v>
      </c>
      <c r="F53" s="13">
        <v>1.0</v>
      </c>
      <c r="G53" s="13" t="s">
        <v>32</v>
      </c>
      <c r="H53" s="13" t="s">
        <v>33</v>
      </c>
      <c r="I53" s="13" t="s">
        <v>279</v>
      </c>
      <c r="J53" s="13">
        <v>2.0</v>
      </c>
      <c r="K53" s="13" t="s">
        <v>119</v>
      </c>
      <c r="L53" s="86" t="s">
        <v>11256</v>
      </c>
      <c r="M53" s="16"/>
      <c r="N53" s="16"/>
      <c r="O53" s="16"/>
      <c r="P53" s="16"/>
      <c r="Q53" s="16"/>
      <c r="R53" s="16"/>
      <c r="S53" s="16"/>
      <c r="T53" s="16"/>
      <c r="U53" s="16"/>
      <c r="V53" s="16"/>
      <c r="W53" s="16"/>
      <c r="X53" s="16"/>
      <c r="Y53" s="16"/>
      <c r="Z53" s="16"/>
      <c r="AA53" s="16"/>
      <c r="AB53" s="16"/>
      <c r="AC53" s="16"/>
      <c r="AD53" s="16"/>
      <c r="AE53" s="16"/>
      <c r="AF53" s="16"/>
      <c r="AG53" s="16"/>
      <c r="AH53" s="16"/>
    </row>
    <row r="54">
      <c r="A54" s="421" t="s">
        <v>11257</v>
      </c>
      <c r="B54" s="323">
        <v>42423.0</v>
      </c>
      <c r="C54" s="32" t="s">
        <v>11258</v>
      </c>
      <c r="D54" s="32" t="s">
        <v>11258</v>
      </c>
      <c r="E54" s="13" t="s">
        <v>11140</v>
      </c>
      <c r="F54" s="13">
        <v>2.0</v>
      </c>
      <c r="G54" s="13">
        <v>2.0</v>
      </c>
      <c r="H54" s="13" t="s">
        <v>33</v>
      </c>
      <c r="I54" s="13" t="s">
        <v>2315</v>
      </c>
      <c r="J54" s="13">
        <v>1.0</v>
      </c>
      <c r="K54" s="13" t="s">
        <v>52</v>
      </c>
      <c r="L54" s="86" t="s">
        <v>11259</v>
      </c>
      <c r="M54" s="16"/>
      <c r="N54" s="16"/>
      <c r="O54" s="16"/>
      <c r="P54" s="16"/>
      <c r="Q54" s="16"/>
      <c r="R54" s="16"/>
      <c r="S54" s="16"/>
      <c r="T54" s="16"/>
      <c r="U54" s="16"/>
      <c r="V54" s="16"/>
      <c r="W54" s="16"/>
      <c r="X54" s="16"/>
      <c r="Y54" s="16"/>
      <c r="Z54" s="16"/>
      <c r="AA54" s="16"/>
      <c r="AB54" s="16"/>
      <c r="AC54" s="16"/>
      <c r="AD54" s="16"/>
      <c r="AE54" s="16"/>
      <c r="AF54" s="16"/>
      <c r="AG54" s="16"/>
      <c r="AH54" s="16"/>
    </row>
    <row r="55">
      <c r="A55" s="421" t="s">
        <v>11260</v>
      </c>
      <c r="B55" s="323">
        <v>42423.0</v>
      </c>
      <c r="C55" s="32" t="s">
        <v>11218</v>
      </c>
      <c r="D55" s="32" t="s">
        <v>11218</v>
      </c>
      <c r="E55" s="13" t="s">
        <v>1369</v>
      </c>
      <c r="F55" s="13">
        <v>1.0</v>
      </c>
      <c r="G55" s="13" t="s">
        <v>32</v>
      </c>
      <c r="H55" s="13" t="s">
        <v>33</v>
      </c>
      <c r="I55" s="13" t="s">
        <v>106</v>
      </c>
      <c r="J55" s="13">
        <v>1.0</v>
      </c>
      <c r="K55" s="13" t="s">
        <v>2885</v>
      </c>
      <c r="L55" s="86" t="s">
        <v>11261</v>
      </c>
      <c r="M55" s="16"/>
      <c r="N55" s="16"/>
      <c r="O55" s="16"/>
      <c r="P55" s="16"/>
      <c r="Q55" s="16"/>
      <c r="R55" s="16"/>
      <c r="S55" s="16"/>
      <c r="T55" s="16"/>
      <c r="U55" s="16"/>
      <c r="V55" s="16"/>
      <c r="W55" s="16"/>
      <c r="X55" s="16"/>
      <c r="Y55" s="16"/>
      <c r="Z55" s="16"/>
      <c r="AA55" s="16"/>
      <c r="AB55" s="16"/>
      <c r="AC55" s="16"/>
      <c r="AD55" s="16"/>
      <c r="AE55" s="16"/>
      <c r="AF55" s="16"/>
      <c r="AG55" s="16"/>
      <c r="AH55" s="16"/>
    </row>
    <row r="56">
      <c r="A56" s="421" t="s">
        <v>11262</v>
      </c>
      <c r="B56" s="323">
        <v>42424.0</v>
      </c>
      <c r="C56" s="32" t="s">
        <v>11263</v>
      </c>
      <c r="D56" s="32" t="s">
        <v>11263</v>
      </c>
      <c r="E56" s="13" t="s">
        <v>1369</v>
      </c>
      <c r="F56" s="13">
        <v>1.0</v>
      </c>
      <c r="G56" s="13" t="s">
        <v>32</v>
      </c>
      <c r="H56" s="13" t="s">
        <v>33</v>
      </c>
      <c r="I56" s="13" t="s">
        <v>524</v>
      </c>
      <c r="J56" s="13">
        <v>1.0</v>
      </c>
      <c r="K56" s="13" t="s">
        <v>119</v>
      </c>
      <c r="L56" s="86" t="s">
        <v>11264</v>
      </c>
      <c r="M56" s="16"/>
      <c r="N56" s="16"/>
      <c r="O56" s="16"/>
      <c r="P56" s="16"/>
      <c r="Q56" s="16"/>
      <c r="R56" s="16"/>
      <c r="S56" s="16"/>
      <c r="T56" s="16"/>
      <c r="U56" s="16"/>
      <c r="V56" s="16"/>
      <c r="W56" s="16"/>
      <c r="X56" s="16"/>
      <c r="Y56" s="16"/>
      <c r="Z56" s="16"/>
      <c r="AA56" s="16"/>
      <c r="AB56" s="16"/>
      <c r="AC56" s="16"/>
      <c r="AD56" s="16"/>
      <c r="AE56" s="16"/>
      <c r="AF56" s="16"/>
      <c r="AG56" s="16"/>
      <c r="AH56" s="16"/>
    </row>
    <row r="57">
      <c r="A57" s="421" t="s">
        <v>11265</v>
      </c>
      <c r="B57" s="323">
        <v>42424.0</v>
      </c>
      <c r="C57" s="32" t="s">
        <v>11263</v>
      </c>
      <c r="D57" s="32" t="s">
        <v>11263</v>
      </c>
      <c r="E57" s="13" t="s">
        <v>1369</v>
      </c>
      <c r="F57" s="13">
        <v>1.0</v>
      </c>
      <c r="G57" s="13" t="s">
        <v>32</v>
      </c>
      <c r="H57" s="13" t="s">
        <v>33</v>
      </c>
      <c r="I57" s="13" t="s">
        <v>93</v>
      </c>
      <c r="J57" s="13">
        <v>1.0</v>
      </c>
      <c r="K57" s="13" t="s">
        <v>119</v>
      </c>
      <c r="L57" s="86" t="s">
        <v>11266</v>
      </c>
      <c r="M57" s="16"/>
      <c r="N57" s="16"/>
      <c r="O57" s="16"/>
      <c r="P57" s="16"/>
      <c r="Q57" s="16"/>
      <c r="R57" s="16"/>
      <c r="S57" s="16"/>
      <c r="T57" s="16"/>
      <c r="U57" s="16"/>
      <c r="V57" s="16"/>
      <c r="W57" s="16"/>
      <c r="X57" s="16"/>
      <c r="Y57" s="16"/>
      <c r="Z57" s="16"/>
      <c r="AA57" s="16"/>
      <c r="AB57" s="16"/>
      <c r="AC57" s="16"/>
      <c r="AD57" s="16"/>
      <c r="AE57" s="16"/>
      <c r="AF57" s="16"/>
      <c r="AG57" s="16"/>
      <c r="AH57" s="16"/>
    </row>
    <row r="58">
      <c r="A58" s="421" t="s">
        <v>11267</v>
      </c>
      <c r="B58" s="323">
        <v>42424.0</v>
      </c>
      <c r="C58" s="32" t="s">
        <v>11263</v>
      </c>
      <c r="D58" s="32" t="s">
        <v>11263</v>
      </c>
      <c r="E58" s="13" t="s">
        <v>1369</v>
      </c>
      <c r="F58" s="13">
        <v>1.0</v>
      </c>
      <c r="G58" s="13" t="s">
        <v>32</v>
      </c>
      <c r="H58" s="13" t="s">
        <v>33</v>
      </c>
      <c r="I58" s="13" t="s">
        <v>89</v>
      </c>
      <c r="J58" s="13">
        <v>1.0</v>
      </c>
      <c r="K58" s="13" t="s">
        <v>119</v>
      </c>
      <c r="L58" s="86" t="s">
        <v>11268</v>
      </c>
      <c r="M58" s="16"/>
      <c r="N58" s="16"/>
      <c r="O58" s="16"/>
      <c r="P58" s="16"/>
      <c r="Q58" s="16"/>
      <c r="R58" s="16"/>
      <c r="S58" s="16"/>
      <c r="T58" s="16"/>
      <c r="U58" s="16"/>
      <c r="V58" s="16"/>
      <c r="W58" s="16"/>
      <c r="X58" s="16"/>
      <c r="Y58" s="16"/>
      <c r="Z58" s="16"/>
      <c r="AA58" s="16"/>
      <c r="AB58" s="16"/>
      <c r="AC58" s="16"/>
      <c r="AD58" s="16"/>
      <c r="AE58" s="16"/>
      <c r="AF58" s="16"/>
      <c r="AG58" s="16"/>
      <c r="AH58" s="16"/>
    </row>
    <row r="59">
      <c r="A59" s="421" t="s">
        <v>11269</v>
      </c>
      <c r="B59" s="323">
        <v>42426.0</v>
      </c>
      <c r="C59" s="32" t="s">
        <v>11270</v>
      </c>
      <c r="D59" s="32" t="s">
        <v>11271</v>
      </c>
      <c r="E59" s="13" t="s">
        <v>1369</v>
      </c>
      <c r="F59" s="13">
        <v>1.0</v>
      </c>
      <c r="G59" s="13" t="s">
        <v>32</v>
      </c>
      <c r="H59" s="13" t="s">
        <v>33</v>
      </c>
      <c r="I59" s="13" t="s">
        <v>124</v>
      </c>
      <c r="J59" s="13">
        <v>1.0</v>
      </c>
      <c r="K59" s="13" t="s">
        <v>35</v>
      </c>
      <c r="L59" s="86" t="s">
        <v>11272</v>
      </c>
      <c r="M59" s="16"/>
      <c r="N59" s="16"/>
      <c r="O59" s="16"/>
      <c r="P59" s="16"/>
      <c r="Q59" s="16"/>
      <c r="R59" s="16"/>
      <c r="S59" s="16"/>
      <c r="T59" s="16"/>
      <c r="U59" s="16"/>
      <c r="V59" s="16"/>
      <c r="W59" s="16"/>
      <c r="X59" s="16"/>
      <c r="Y59" s="16"/>
      <c r="Z59" s="16"/>
      <c r="AA59" s="16"/>
      <c r="AB59" s="16"/>
      <c r="AC59" s="16"/>
      <c r="AD59" s="16"/>
      <c r="AE59" s="16"/>
      <c r="AF59" s="16"/>
      <c r="AG59" s="16"/>
      <c r="AH59" s="16"/>
    </row>
    <row r="60">
      <c r="A60" s="431" t="s">
        <v>11273</v>
      </c>
      <c r="B60" s="323">
        <v>42430.0</v>
      </c>
      <c r="C60" s="32" t="s">
        <v>11274</v>
      </c>
      <c r="D60" s="32" t="s">
        <v>11274</v>
      </c>
      <c r="E60" s="13" t="s">
        <v>1369</v>
      </c>
      <c r="F60" s="13">
        <v>1.0</v>
      </c>
      <c r="G60" s="13" t="s">
        <v>32</v>
      </c>
      <c r="H60" s="13" t="s">
        <v>33</v>
      </c>
      <c r="I60" s="13" t="s">
        <v>85</v>
      </c>
      <c r="J60" s="13">
        <v>1.0</v>
      </c>
      <c r="K60" s="13" t="s">
        <v>52</v>
      </c>
      <c r="L60" s="86" t="s">
        <v>11275</v>
      </c>
      <c r="M60" s="16"/>
      <c r="N60" s="16"/>
      <c r="O60" s="16"/>
      <c r="P60" s="16"/>
      <c r="Q60" s="16"/>
      <c r="R60" s="16"/>
      <c r="S60" s="16"/>
      <c r="T60" s="16"/>
      <c r="U60" s="16"/>
      <c r="V60" s="16"/>
      <c r="W60" s="16"/>
      <c r="X60" s="16"/>
      <c r="Y60" s="16"/>
      <c r="Z60" s="16"/>
      <c r="AA60" s="16"/>
      <c r="AB60" s="16"/>
      <c r="AC60" s="16"/>
      <c r="AD60" s="16"/>
      <c r="AE60" s="16"/>
      <c r="AF60" s="16"/>
      <c r="AG60" s="16"/>
      <c r="AH60" s="16"/>
    </row>
    <row r="61">
      <c r="A61" s="424" t="s">
        <v>11276</v>
      </c>
      <c r="B61" s="323">
        <v>42430.0</v>
      </c>
      <c r="C61" s="32" t="s">
        <v>11274</v>
      </c>
      <c r="D61" s="32" t="s">
        <v>11274</v>
      </c>
      <c r="E61" s="13" t="s">
        <v>11140</v>
      </c>
      <c r="F61" s="13">
        <v>2.0</v>
      </c>
      <c r="G61" s="13">
        <v>1.0</v>
      </c>
      <c r="H61" s="13" t="s">
        <v>33</v>
      </c>
      <c r="I61" s="13" t="s">
        <v>147</v>
      </c>
      <c r="J61" s="13">
        <v>1.0</v>
      </c>
      <c r="K61" s="13" t="s">
        <v>11277</v>
      </c>
      <c r="L61" s="86" t="s">
        <v>11278</v>
      </c>
      <c r="M61" s="16"/>
      <c r="N61" s="16"/>
      <c r="O61" s="16"/>
      <c r="P61" s="16"/>
      <c r="Q61" s="16"/>
      <c r="R61" s="16"/>
      <c r="S61" s="16"/>
      <c r="T61" s="16"/>
      <c r="U61" s="16"/>
      <c r="V61" s="16"/>
      <c r="W61" s="16"/>
      <c r="X61" s="16"/>
      <c r="Y61" s="16"/>
      <c r="Z61" s="16"/>
      <c r="AA61" s="16"/>
      <c r="AB61" s="16"/>
      <c r="AC61" s="16"/>
      <c r="AD61" s="16"/>
      <c r="AE61" s="16"/>
      <c r="AF61" s="16"/>
      <c r="AG61" s="16"/>
      <c r="AH61" s="16"/>
    </row>
    <row r="62">
      <c r="A62" s="432" t="s">
        <v>11279</v>
      </c>
      <c r="B62" s="323">
        <v>42430.0</v>
      </c>
      <c r="C62" s="32" t="s">
        <v>11274</v>
      </c>
      <c r="D62" s="32" t="s">
        <v>11274</v>
      </c>
      <c r="E62" s="13" t="s">
        <v>1369</v>
      </c>
      <c r="F62" s="13">
        <v>3.0</v>
      </c>
      <c r="G62" s="13">
        <v>4.0</v>
      </c>
      <c r="H62" s="13" t="s">
        <v>33</v>
      </c>
      <c r="I62" s="13" t="s">
        <v>111</v>
      </c>
      <c r="J62" s="13">
        <v>1.0</v>
      </c>
      <c r="K62" s="13" t="s">
        <v>35</v>
      </c>
      <c r="L62" s="86" t="s">
        <v>11280</v>
      </c>
      <c r="M62" s="16"/>
      <c r="N62" s="16"/>
      <c r="O62" s="16"/>
      <c r="P62" s="16"/>
      <c r="Q62" s="16"/>
      <c r="R62" s="16"/>
      <c r="S62" s="16"/>
      <c r="T62" s="16"/>
      <c r="U62" s="16"/>
      <c r="V62" s="16"/>
      <c r="W62" s="16"/>
      <c r="X62" s="16"/>
      <c r="Y62" s="16"/>
      <c r="Z62" s="16"/>
      <c r="AA62" s="16"/>
      <c r="AB62" s="16"/>
      <c r="AC62" s="16"/>
      <c r="AD62" s="16"/>
      <c r="AE62" s="16"/>
      <c r="AF62" s="16"/>
      <c r="AG62" s="16"/>
      <c r="AH62" s="16"/>
    </row>
    <row r="63">
      <c r="A63" s="429" t="s">
        <v>11281</v>
      </c>
      <c r="B63" s="323">
        <v>42431.0</v>
      </c>
      <c r="C63" s="32" t="s">
        <v>11282</v>
      </c>
      <c r="D63" s="32" t="s">
        <v>11282</v>
      </c>
      <c r="E63" s="13" t="s">
        <v>11135</v>
      </c>
      <c r="F63" s="13">
        <v>1.0</v>
      </c>
      <c r="G63" s="13" t="s">
        <v>32</v>
      </c>
      <c r="H63" s="13" t="s">
        <v>33</v>
      </c>
      <c r="I63" s="13" t="s">
        <v>115</v>
      </c>
      <c r="J63" s="13" t="s">
        <v>32</v>
      </c>
      <c r="K63" s="13" t="s">
        <v>2885</v>
      </c>
      <c r="L63" s="86" t="s">
        <v>11283</v>
      </c>
      <c r="M63" s="16"/>
      <c r="N63" s="16"/>
      <c r="O63" s="16"/>
      <c r="P63" s="16"/>
      <c r="Q63" s="16"/>
      <c r="R63" s="16"/>
      <c r="S63" s="16"/>
      <c r="T63" s="16"/>
      <c r="U63" s="16"/>
      <c r="V63" s="16"/>
      <c r="W63" s="16"/>
      <c r="X63" s="16"/>
      <c r="Y63" s="16"/>
      <c r="Z63" s="16"/>
      <c r="AA63" s="16"/>
      <c r="AB63" s="16"/>
      <c r="AC63" s="16"/>
      <c r="AD63" s="16"/>
      <c r="AE63" s="16"/>
      <c r="AF63" s="16"/>
      <c r="AG63" s="16"/>
      <c r="AH63" s="16"/>
    </row>
    <row r="64">
      <c r="A64" s="429" t="s">
        <v>11284</v>
      </c>
      <c r="B64" s="323">
        <v>42432.0</v>
      </c>
      <c r="C64" s="32" t="s">
        <v>11282</v>
      </c>
      <c r="D64" s="32" t="s">
        <v>11282</v>
      </c>
      <c r="E64" s="13" t="s">
        <v>1369</v>
      </c>
      <c r="F64" s="13">
        <v>3.0</v>
      </c>
      <c r="G64" s="13" t="s">
        <v>32</v>
      </c>
      <c r="H64" s="13" t="s">
        <v>33</v>
      </c>
      <c r="I64" s="13" t="s">
        <v>93</v>
      </c>
      <c r="J64" s="13">
        <v>3.0</v>
      </c>
      <c r="K64" s="13" t="s">
        <v>76</v>
      </c>
      <c r="L64" s="430" t="s">
        <v>11285</v>
      </c>
      <c r="M64" s="16"/>
      <c r="N64" s="16"/>
      <c r="O64" s="16"/>
      <c r="P64" s="16"/>
      <c r="Q64" s="16"/>
      <c r="R64" s="16"/>
      <c r="S64" s="16"/>
      <c r="T64" s="16"/>
      <c r="U64" s="16"/>
      <c r="V64" s="16"/>
      <c r="W64" s="16"/>
      <c r="X64" s="16"/>
      <c r="Y64" s="16"/>
      <c r="Z64" s="16"/>
      <c r="AA64" s="16"/>
      <c r="AB64" s="16"/>
      <c r="AC64" s="16"/>
      <c r="AD64" s="16"/>
      <c r="AE64" s="16"/>
      <c r="AF64" s="16"/>
      <c r="AG64" s="16"/>
      <c r="AH64" s="16"/>
    </row>
    <row r="65">
      <c r="A65" s="429" t="s">
        <v>11286</v>
      </c>
      <c r="B65" s="323">
        <v>42433.0</v>
      </c>
      <c r="C65" s="32" t="s">
        <v>11287</v>
      </c>
      <c r="D65" s="32" t="s">
        <v>11287</v>
      </c>
      <c r="E65" s="13" t="s">
        <v>1369</v>
      </c>
      <c r="F65" s="13">
        <v>1.0</v>
      </c>
      <c r="G65" s="13" t="s">
        <v>32</v>
      </c>
      <c r="H65" s="13" t="s">
        <v>33</v>
      </c>
      <c r="I65" s="13" t="s">
        <v>504</v>
      </c>
      <c r="J65" s="13">
        <v>1.0</v>
      </c>
      <c r="K65" s="13" t="s">
        <v>69</v>
      </c>
      <c r="L65" s="86" t="s">
        <v>11288</v>
      </c>
      <c r="M65" s="16"/>
      <c r="N65" s="16"/>
      <c r="O65" s="16"/>
      <c r="P65" s="16"/>
      <c r="Q65" s="16"/>
      <c r="R65" s="16"/>
      <c r="S65" s="16"/>
      <c r="T65" s="16"/>
      <c r="U65" s="16"/>
      <c r="V65" s="16"/>
      <c r="W65" s="16"/>
      <c r="X65" s="16"/>
      <c r="Y65" s="16"/>
      <c r="Z65" s="16"/>
      <c r="AA65" s="16"/>
      <c r="AB65" s="16"/>
      <c r="AC65" s="16"/>
      <c r="AD65" s="16"/>
      <c r="AE65" s="16"/>
      <c r="AF65" s="16"/>
      <c r="AG65" s="16"/>
      <c r="AH65" s="16"/>
    </row>
    <row r="66">
      <c r="A66" s="421" t="s">
        <v>11289</v>
      </c>
      <c r="B66" s="323">
        <v>42433.0</v>
      </c>
      <c r="C66" s="32" t="s">
        <v>11287</v>
      </c>
      <c r="D66" s="32" t="s">
        <v>11287</v>
      </c>
      <c r="E66" s="13" t="s">
        <v>1369</v>
      </c>
      <c r="F66" s="13">
        <v>1.0</v>
      </c>
      <c r="G66" s="13" t="s">
        <v>32</v>
      </c>
      <c r="H66" s="13" t="s">
        <v>33</v>
      </c>
      <c r="I66" s="13" t="s">
        <v>111</v>
      </c>
      <c r="J66" s="13">
        <v>1.0</v>
      </c>
      <c r="K66" s="13" t="s">
        <v>69</v>
      </c>
      <c r="L66" s="86" t="s">
        <v>11290</v>
      </c>
      <c r="M66" s="16"/>
      <c r="N66" s="16"/>
      <c r="O66" s="16"/>
      <c r="P66" s="16"/>
      <c r="Q66" s="16"/>
      <c r="R66" s="16"/>
      <c r="S66" s="16"/>
      <c r="T66" s="16"/>
      <c r="U66" s="16"/>
      <c r="V66" s="16"/>
      <c r="W66" s="16"/>
      <c r="X66" s="16"/>
      <c r="Y66" s="16"/>
      <c r="Z66" s="16"/>
      <c r="AA66" s="16"/>
      <c r="AB66" s="16"/>
      <c r="AC66" s="16"/>
      <c r="AD66" s="16"/>
      <c r="AE66" s="16"/>
      <c r="AF66" s="16"/>
      <c r="AG66" s="16"/>
      <c r="AH66" s="16"/>
    </row>
    <row r="67">
      <c r="A67" s="433" t="s">
        <v>660</v>
      </c>
      <c r="B67" s="323">
        <v>42434.0</v>
      </c>
      <c r="C67" s="32" t="s">
        <v>11287</v>
      </c>
      <c r="D67" s="32" t="s">
        <v>11287</v>
      </c>
      <c r="E67" s="13" t="s">
        <v>11140</v>
      </c>
      <c r="F67" s="13">
        <v>7.0</v>
      </c>
      <c r="G67" s="13" t="s">
        <v>32</v>
      </c>
      <c r="H67" s="13" t="s">
        <v>33</v>
      </c>
      <c r="I67" s="13" t="s">
        <v>85</v>
      </c>
      <c r="J67" s="13">
        <v>1.0</v>
      </c>
      <c r="K67" s="13" t="s">
        <v>52</v>
      </c>
      <c r="L67" s="86" t="s">
        <v>11291</v>
      </c>
      <c r="M67" s="16"/>
      <c r="N67" s="16"/>
      <c r="O67" s="16"/>
      <c r="P67" s="16"/>
      <c r="Q67" s="16"/>
      <c r="R67" s="16"/>
      <c r="S67" s="16"/>
      <c r="T67" s="16"/>
      <c r="U67" s="16"/>
      <c r="V67" s="16"/>
      <c r="W67" s="16"/>
      <c r="X67" s="16"/>
      <c r="Y67" s="16"/>
      <c r="Z67" s="16"/>
      <c r="AA67" s="16"/>
      <c r="AB67" s="16"/>
      <c r="AC67" s="16"/>
      <c r="AD67" s="16"/>
      <c r="AE67" s="16"/>
      <c r="AF67" s="16"/>
      <c r="AG67" s="16"/>
      <c r="AH67" s="16"/>
    </row>
    <row r="68">
      <c r="A68" s="433" t="s">
        <v>11292</v>
      </c>
      <c r="B68" s="323">
        <v>42434.0</v>
      </c>
      <c r="C68" s="32" t="s">
        <v>11293</v>
      </c>
      <c r="D68" s="32" t="s">
        <v>11293</v>
      </c>
      <c r="E68" s="13" t="s">
        <v>1369</v>
      </c>
      <c r="F68" s="13">
        <v>1.0</v>
      </c>
      <c r="G68" s="13" t="s">
        <v>32</v>
      </c>
      <c r="H68" s="13" t="s">
        <v>33</v>
      </c>
      <c r="I68" s="13" t="s">
        <v>106</v>
      </c>
      <c r="J68" s="13">
        <v>1.0</v>
      </c>
      <c r="K68" s="13" t="s">
        <v>35</v>
      </c>
      <c r="L68" s="86" t="s">
        <v>11294</v>
      </c>
      <c r="M68" s="16"/>
      <c r="N68" s="16"/>
      <c r="O68" s="16"/>
      <c r="P68" s="16"/>
      <c r="Q68" s="16"/>
      <c r="R68" s="16"/>
      <c r="S68" s="16"/>
      <c r="T68" s="16"/>
      <c r="U68" s="16"/>
      <c r="V68" s="16"/>
      <c r="W68" s="16"/>
      <c r="X68" s="16"/>
      <c r="Y68" s="16"/>
      <c r="Z68" s="16"/>
      <c r="AA68" s="16"/>
      <c r="AB68" s="16"/>
      <c r="AC68" s="16"/>
      <c r="AD68" s="16"/>
      <c r="AE68" s="16"/>
      <c r="AF68" s="16"/>
      <c r="AG68" s="16"/>
      <c r="AH68" s="16"/>
    </row>
    <row r="69">
      <c r="A69" s="433" t="s">
        <v>11295</v>
      </c>
      <c r="B69" s="323">
        <v>42436.0</v>
      </c>
      <c r="C69" s="32" t="s">
        <v>11296</v>
      </c>
      <c r="D69" s="32" t="s">
        <v>11296</v>
      </c>
      <c r="E69" s="13" t="s">
        <v>11135</v>
      </c>
      <c r="F69" s="13">
        <v>1.0</v>
      </c>
      <c r="G69" s="13" t="s">
        <v>32</v>
      </c>
      <c r="H69" s="13" t="s">
        <v>33</v>
      </c>
      <c r="I69" s="13" t="s">
        <v>106</v>
      </c>
      <c r="J69" s="13">
        <v>1.0</v>
      </c>
      <c r="K69" s="13" t="s">
        <v>52</v>
      </c>
      <c r="L69" s="86" t="s">
        <v>11297</v>
      </c>
      <c r="M69" s="16"/>
      <c r="N69" s="16"/>
      <c r="O69" s="16"/>
      <c r="P69" s="16"/>
      <c r="Q69" s="16"/>
      <c r="R69" s="16"/>
      <c r="S69" s="16"/>
      <c r="T69" s="16"/>
      <c r="U69" s="16"/>
      <c r="V69" s="16"/>
      <c r="W69" s="16"/>
      <c r="X69" s="16"/>
      <c r="Y69" s="16"/>
      <c r="Z69" s="16"/>
      <c r="AA69" s="16"/>
      <c r="AB69" s="16"/>
      <c r="AC69" s="16"/>
      <c r="AD69" s="16"/>
      <c r="AE69" s="16"/>
      <c r="AF69" s="16"/>
      <c r="AG69" s="16"/>
      <c r="AH69" s="16"/>
    </row>
    <row r="70">
      <c r="A70" s="433" t="s">
        <v>11298</v>
      </c>
      <c r="B70" s="323">
        <v>42436.0</v>
      </c>
      <c r="C70" s="32" t="s">
        <v>11293</v>
      </c>
      <c r="D70" s="32" t="s">
        <v>11293</v>
      </c>
      <c r="E70" s="13" t="s">
        <v>1369</v>
      </c>
      <c r="F70" s="13">
        <v>1.0</v>
      </c>
      <c r="G70" s="13" t="s">
        <v>32</v>
      </c>
      <c r="H70" s="13" t="s">
        <v>33</v>
      </c>
      <c r="I70" s="13" t="s">
        <v>111</v>
      </c>
      <c r="J70" s="13">
        <v>1.0</v>
      </c>
      <c r="K70" s="13" t="s">
        <v>52</v>
      </c>
      <c r="L70" s="86" t="s">
        <v>11299</v>
      </c>
      <c r="M70" s="16"/>
      <c r="N70" s="16"/>
      <c r="O70" s="16"/>
      <c r="P70" s="16"/>
      <c r="Q70" s="16"/>
      <c r="R70" s="16"/>
      <c r="S70" s="16"/>
      <c r="T70" s="16"/>
      <c r="U70" s="16"/>
      <c r="V70" s="16"/>
      <c r="W70" s="16"/>
      <c r="X70" s="16"/>
      <c r="Y70" s="16"/>
      <c r="Z70" s="16"/>
      <c r="AA70" s="16"/>
      <c r="AB70" s="16"/>
      <c r="AC70" s="16"/>
      <c r="AD70" s="16"/>
      <c r="AE70" s="16"/>
      <c r="AF70" s="16"/>
      <c r="AG70" s="16"/>
      <c r="AH70" s="16"/>
    </row>
    <row r="71">
      <c r="A71" s="421" t="s">
        <v>239</v>
      </c>
      <c r="B71" s="323">
        <v>42438.0</v>
      </c>
      <c r="C71" s="32" t="s">
        <v>11282</v>
      </c>
      <c r="D71" s="32" t="s">
        <v>11282</v>
      </c>
      <c r="E71" s="13" t="s">
        <v>1369</v>
      </c>
      <c r="F71" s="13">
        <v>5.0</v>
      </c>
      <c r="G71" s="13">
        <v>1.0</v>
      </c>
      <c r="H71" s="13" t="s">
        <v>33</v>
      </c>
      <c r="I71" s="13" t="s">
        <v>111</v>
      </c>
      <c r="J71" s="13">
        <v>1.0</v>
      </c>
      <c r="K71" s="13" t="s">
        <v>52</v>
      </c>
      <c r="L71" s="86" t="s">
        <v>11300</v>
      </c>
      <c r="M71" s="16"/>
      <c r="N71" s="16"/>
      <c r="O71" s="16"/>
      <c r="P71" s="16"/>
      <c r="Q71" s="16"/>
      <c r="R71" s="16"/>
      <c r="S71" s="16"/>
      <c r="T71" s="16"/>
      <c r="U71" s="16"/>
      <c r="V71" s="16"/>
      <c r="W71" s="16"/>
      <c r="X71" s="16"/>
      <c r="Y71" s="16"/>
      <c r="Z71" s="16"/>
      <c r="AA71" s="16"/>
      <c r="AB71" s="16"/>
      <c r="AC71" s="16"/>
      <c r="AD71" s="16"/>
      <c r="AE71" s="16"/>
      <c r="AF71" s="16"/>
      <c r="AG71" s="16"/>
      <c r="AH71" s="16"/>
    </row>
    <row r="72">
      <c r="A72" s="421" t="s">
        <v>660</v>
      </c>
      <c r="B72" s="323">
        <v>42439.0</v>
      </c>
      <c r="C72" s="32" t="s">
        <v>11301</v>
      </c>
      <c r="D72" s="32" t="s">
        <v>11301</v>
      </c>
      <c r="E72" s="13" t="s">
        <v>11140</v>
      </c>
      <c r="F72" s="13">
        <v>5.0</v>
      </c>
      <c r="G72" s="13" t="s">
        <v>32</v>
      </c>
      <c r="H72" s="13" t="s">
        <v>33</v>
      </c>
      <c r="I72" s="13" t="s">
        <v>440</v>
      </c>
      <c r="J72" s="13">
        <v>2.0</v>
      </c>
      <c r="K72" s="13" t="s">
        <v>52</v>
      </c>
      <c r="L72" s="86" t="s">
        <v>11302</v>
      </c>
      <c r="M72" s="16"/>
      <c r="N72" s="16"/>
      <c r="O72" s="16"/>
      <c r="P72" s="16"/>
      <c r="Q72" s="16"/>
      <c r="R72" s="16"/>
      <c r="S72" s="16"/>
      <c r="T72" s="16"/>
      <c r="U72" s="16"/>
      <c r="V72" s="16"/>
      <c r="W72" s="16"/>
      <c r="X72" s="16"/>
      <c r="Y72" s="16"/>
      <c r="Z72" s="16"/>
      <c r="AA72" s="16"/>
      <c r="AB72" s="16"/>
      <c r="AC72" s="16"/>
      <c r="AD72" s="16"/>
      <c r="AE72" s="16"/>
      <c r="AF72" s="16"/>
      <c r="AG72" s="16"/>
      <c r="AH72" s="16"/>
    </row>
    <row r="73">
      <c r="A73" s="421" t="s">
        <v>11303</v>
      </c>
      <c r="B73" s="323">
        <v>42439.0</v>
      </c>
      <c r="C73" s="32" t="s">
        <v>11304</v>
      </c>
      <c r="D73" s="32" t="s">
        <v>11304</v>
      </c>
      <c r="E73" s="13" t="s">
        <v>1369</v>
      </c>
      <c r="F73" s="13">
        <v>1.0</v>
      </c>
      <c r="G73" s="13" t="s">
        <v>32</v>
      </c>
      <c r="H73" s="13" t="s">
        <v>33</v>
      </c>
      <c r="I73" s="13" t="s">
        <v>184</v>
      </c>
      <c r="J73" s="13">
        <v>2.0</v>
      </c>
      <c r="K73" s="13" t="s">
        <v>99</v>
      </c>
      <c r="L73" s="86" t="s">
        <v>11305</v>
      </c>
      <c r="M73" s="16"/>
      <c r="N73" s="16"/>
      <c r="O73" s="16"/>
      <c r="P73" s="16"/>
      <c r="Q73" s="16"/>
      <c r="R73" s="16"/>
      <c r="S73" s="16"/>
      <c r="T73" s="16"/>
      <c r="U73" s="16"/>
      <c r="V73" s="16"/>
      <c r="W73" s="16"/>
      <c r="X73" s="16"/>
      <c r="Y73" s="16"/>
      <c r="Z73" s="16"/>
      <c r="AA73" s="16"/>
      <c r="AB73" s="16"/>
      <c r="AC73" s="16"/>
      <c r="AD73" s="16"/>
      <c r="AE73" s="16"/>
      <c r="AF73" s="16"/>
      <c r="AG73" s="16"/>
      <c r="AH73" s="16"/>
    </row>
    <row r="74">
      <c r="A74" s="421" t="s">
        <v>660</v>
      </c>
      <c r="B74" s="323">
        <v>42440.0</v>
      </c>
      <c r="C74" s="32" t="s">
        <v>11306</v>
      </c>
      <c r="D74" s="32" t="s">
        <v>11306</v>
      </c>
      <c r="E74" s="13" t="s">
        <v>11140</v>
      </c>
      <c r="F74" s="13">
        <v>17.0</v>
      </c>
      <c r="G74" s="13" t="s">
        <v>32</v>
      </c>
      <c r="H74" s="13" t="s">
        <v>33</v>
      </c>
      <c r="I74" s="13" t="s">
        <v>909</v>
      </c>
      <c r="J74" s="13">
        <v>1.0</v>
      </c>
      <c r="K74" s="13" t="s">
        <v>52</v>
      </c>
      <c r="L74" s="86" t="s">
        <v>11307</v>
      </c>
      <c r="M74" s="16"/>
      <c r="N74" s="16"/>
      <c r="O74" s="16"/>
      <c r="P74" s="16"/>
      <c r="Q74" s="16"/>
      <c r="R74" s="16"/>
      <c r="S74" s="16"/>
      <c r="T74" s="16"/>
      <c r="U74" s="16"/>
      <c r="V74" s="16"/>
      <c r="W74" s="16"/>
      <c r="X74" s="16"/>
      <c r="Y74" s="16"/>
      <c r="Z74" s="16"/>
      <c r="AA74" s="16"/>
      <c r="AB74" s="16"/>
      <c r="AC74" s="16"/>
      <c r="AD74" s="16"/>
      <c r="AE74" s="16"/>
      <c r="AF74" s="16"/>
      <c r="AG74" s="16"/>
      <c r="AH74" s="16"/>
    </row>
    <row r="75">
      <c r="A75" s="421" t="s">
        <v>11308</v>
      </c>
      <c r="B75" s="323">
        <v>42440.0</v>
      </c>
      <c r="C75" s="32" t="s">
        <v>11309</v>
      </c>
      <c r="D75" s="32" t="s">
        <v>11309</v>
      </c>
      <c r="E75" s="13" t="s">
        <v>1369</v>
      </c>
      <c r="F75" s="13">
        <v>1.0</v>
      </c>
      <c r="G75" s="13" t="s">
        <v>32</v>
      </c>
      <c r="H75" s="13" t="s">
        <v>33</v>
      </c>
      <c r="I75" s="13" t="s">
        <v>55</v>
      </c>
      <c r="J75" s="13">
        <v>1.0</v>
      </c>
      <c r="K75" s="13" t="s">
        <v>69</v>
      </c>
      <c r="L75" s="86" t="s">
        <v>11310</v>
      </c>
      <c r="M75" s="16"/>
      <c r="N75" s="16"/>
      <c r="O75" s="16"/>
      <c r="P75" s="16"/>
      <c r="Q75" s="16"/>
      <c r="R75" s="16"/>
      <c r="S75" s="16"/>
      <c r="T75" s="16"/>
      <c r="U75" s="16"/>
      <c r="V75" s="16"/>
      <c r="W75" s="16"/>
      <c r="X75" s="16"/>
      <c r="Y75" s="16"/>
      <c r="Z75" s="16"/>
      <c r="AA75" s="16"/>
      <c r="AB75" s="16"/>
      <c r="AC75" s="16"/>
      <c r="AD75" s="16"/>
      <c r="AE75" s="16"/>
      <c r="AF75" s="16"/>
      <c r="AG75" s="16"/>
      <c r="AH75" s="16"/>
    </row>
    <row r="76">
      <c r="A76" s="425" t="s">
        <v>11311</v>
      </c>
      <c r="B76" s="323">
        <v>42440.0</v>
      </c>
      <c r="C76" s="32" t="s">
        <v>11306</v>
      </c>
      <c r="D76" s="32" t="s">
        <v>11306</v>
      </c>
      <c r="E76" s="13" t="s">
        <v>11135</v>
      </c>
      <c r="F76" s="13">
        <v>1.0</v>
      </c>
      <c r="G76" s="13" t="s">
        <v>32</v>
      </c>
      <c r="H76" s="13" t="s">
        <v>33</v>
      </c>
      <c r="I76" s="13" t="s">
        <v>111</v>
      </c>
      <c r="J76" s="13">
        <v>1.0</v>
      </c>
      <c r="K76" s="13" t="s">
        <v>194</v>
      </c>
      <c r="L76" s="86" t="s">
        <v>11312</v>
      </c>
      <c r="M76" s="16"/>
      <c r="N76" s="16"/>
      <c r="O76" s="16"/>
      <c r="P76" s="16"/>
      <c r="Q76" s="16"/>
      <c r="R76" s="16"/>
      <c r="S76" s="16"/>
      <c r="T76" s="16"/>
      <c r="U76" s="16"/>
      <c r="V76" s="16"/>
      <c r="W76" s="16"/>
      <c r="X76" s="16"/>
      <c r="Y76" s="16"/>
      <c r="Z76" s="16"/>
      <c r="AA76" s="16"/>
      <c r="AB76" s="16"/>
      <c r="AC76" s="16"/>
      <c r="AD76" s="16"/>
      <c r="AE76" s="16"/>
      <c r="AF76" s="16"/>
      <c r="AG76" s="16"/>
      <c r="AH76" s="16"/>
    </row>
    <row r="77">
      <c r="A77" s="425" t="s">
        <v>11313</v>
      </c>
      <c r="B77" s="323">
        <v>42444.0</v>
      </c>
      <c r="C77" s="32" t="s">
        <v>11314</v>
      </c>
      <c r="D77" s="32" t="s">
        <v>11314</v>
      </c>
      <c r="E77" s="13" t="s">
        <v>11140</v>
      </c>
      <c r="F77" s="13">
        <v>3.0</v>
      </c>
      <c r="G77" s="13" t="s">
        <v>32</v>
      </c>
      <c r="H77" s="13" t="s">
        <v>33</v>
      </c>
      <c r="I77" s="13" t="s">
        <v>89</v>
      </c>
      <c r="J77" s="13">
        <v>1.0</v>
      </c>
      <c r="K77" s="13" t="s">
        <v>35</v>
      </c>
      <c r="L77" s="86" t="s">
        <v>11315</v>
      </c>
      <c r="M77" s="16"/>
      <c r="N77" s="16"/>
      <c r="O77" s="16"/>
      <c r="P77" s="16"/>
      <c r="Q77" s="16"/>
      <c r="R77" s="16"/>
      <c r="S77" s="16"/>
      <c r="T77" s="16"/>
      <c r="U77" s="16"/>
      <c r="V77" s="16"/>
      <c r="W77" s="16"/>
      <c r="X77" s="16"/>
      <c r="Y77" s="16"/>
      <c r="Z77" s="16"/>
      <c r="AA77" s="16"/>
      <c r="AB77" s="16"/>
      <c r="AC77" s="16"/>
      <c r="AD77" s="16"/>
      <c r="AE77" s="16"/>
      <c r="AF77" s="16"/>
      <c r="AG77" s="16"/>
      <c r="AH77" s="16"/>
    </row>
    <row r="78">
      <c r="A78" s="425" t="s">
        <v>11316</v>
      </c>
      <c r="B78" s="323">
        <v>42446.0</v>
      </c>
      <c r="C78" s="32" t="s">
        <v>417</v>
      </c>
      <c r="D78" s="32" t="s">
        <v>11317</v>
      </c>
      <c r="E78" s="13" t="s">
        <v>1369</v>
      </c>
      <c r="F78" s="13">
        <v>2.0</v>
      </c>
      <c r="G78" s="13" t="s">
        <v>32</v>
      </c>
      <c r="H78" s="13" t="s">
        <v>33</v>
      </c>
      <c r="I78" s="13" t="s">
        <v>47</v>
      </c>
      <c r="J78" s="13">
        <v>3.0</v>
      </c>
      <c r="K78" s="13" t="s">
        <v>52</v>
      </c>
      <c r="L78" s="86" t="s">
        <v>11318</v>
      </c>
      <c r="M78" s="16"/>
      <c r="N78" s="16"/>
      <c r="O78" s="16"/>
      <c r="P78" s="16"/>
      <c r="Q78" s="16"/>
      <c r="R78" s="16"/>
      <c r="S78" s="16"/>
      <c r="T78" s="16"/>
      <c r="U78" s="16"/>
      <c r="V78" s="16"/>
      <c r="W78" s="16"/>
      <c r="X78" s="16"/>
      <c r="Y78" s="16"/>
      <c r="Z78" s="16"/>
      <c r="AA78" s="16"/>
      <c r="AB78" s="16"/>
      <c r="AC78" s="16"/>
      <c r="AD78" s="16"/>
      <c r="AE78" s="16"/>
      <c r="AF78" s="16"/>
      <c r="AG78" s="16"/>
      <c r="AH78" s="16"/>
    </row>
    <row r="79">
      <c r="A79" s="421" t="s">
        <v>660</v>
      </c>
      <c r="B79" s="323">
        <v>42446.0</v>
      </c>
      <c r="C79" s="32" t="s">
        <v>11319</v>
      </c>
      <c r="D79" s="32" t="s">
        <v>11319</v>
      </c>
      <c r="E79" s="13" t="s">
        <v>1369</v>
      </c>
      <c r="F79" s="13">
        <v>3.0</v>
      </c>
      <c r="G79" s="13" t="s">
        <v>32</v>
      </c>
      <c r="H79" s="13" t="s">
        <v>33</v>
      </c>
      <c r="I79" s="13" t="s">
        <v>85</v>
      </c>
      <c r="J79" s="13">
        <v>1.0</v>
      </c>
      <c r="K79" s="13" t="s">
        <v>11320</v>
      </c>
      <c r="L79" s="86" t="s">
        <v>11321</v>
      </c>
      <c r="M79" s="16"/>
      <c r="N79" s="16"/>
      <c r="O79" s="16"/>
      <c r="P79" s="16"/>
      <c r="Q79" s="16"/>
      <c r="R79" s="16"/>
      <c r="S79" s="16"/>
      <c r="T79" s="16"/>
      <c r="U79" s="16"/>
      <c r="V79" s="16"/>
      <c r="W79" s="16"/>
      <c r="X79" s="16"/>
      <c r="Y79" s="16"/>
      <c r="Z79" s="16"/>
      <c r="AA79" s="16"/>
      <c r="AB79" s="16"/>
      <c r="AC79" s="16"/>
      <c r="AD79" s="16"/>
      <c r="AE79" s="16"/>
      <c r="AF79" s="16"/>
      <c r="AG79" s="16"/>
      <c r="AH79" s="16"/>
    </row>
    <row r="80">
      <c r="A80" s="421" t="s">
        <v>11322</v>
      </c>
      <c r="B80" s="323">
        <v>42447.0</v>
      </c>
      <c r="C80" s="32" t="s">
        <v>11314</v>
      </c>
      <c r="D80" s="32" t="s">
        <v>11314</v>
      </c>
      <c r="E80" s="13" t="s">
        <v>1369</v>
      </c>
      <c r="F80" s="13">
        <v>1.0</v>
      </c>
      <c r="G80" s="13" t="s">
        <v>32</v>
      </c>
      <c r="H80" s="13" t="s">
        <v>33</v>
      </c>
      <c r="I80" s="13" t="s">
        <v>106</v>
      </c>
      <c r="J80" s="13">
        <v>2.0</v>
      </c>
      <c r="K80" s="13" t="s">
        <v>69</v>
      </c>
      <c r="L80" s="86" t="s">
        <v>11323</v>
      </c>
      <c r="M80" s="16"/>
      <c r="N80" s="16"/>
      <c r="O80" s="16"/>
      <c r="P80" s="16"/>
      <c r="Q80" s="16"/>
      <c r="R80" s="16"/>
      <c r="S80" s="16"/>
      <c r="T80" s="16"/>
      <c r="U80" s="16"/>
      <c r="V80" s="16"/>
      <c r="W80" s="16"/>
      <c r="X80" s="16"/>
      <c r="Y80" s="16"/>
      <c r="Z80" s="16"/>
      <c r="AA80" s="16"/>
      <c r="AB80" s="16"/>
      <c r="AC80" s="16"/>
      <c r="AD80" s="16"/>
      <c r="AE80" s="16"/>
      <c r="AF80" s="16"/>
      <c r="AG80" s="16"/>
      <c r="AH80" s="16"/>
    </row>
    <row r="81">
      <c r="A81" s="429" t="s">
        <v>11324</v>
      </c>
      <c r="B81" s="323">
        <v>42448.0</v>
      </c>
      <c r="C81" s="32" t="s">
        <v>11325</v>
      </c>
      <c r="D81" s="32" t="s">
        <v>11325</v>
      </c>
      <c r="E81" s="13" t="s">
        <v>1369</v>
      </c>
      <c r="F81" s="13">
        <v>2.0</v>
      </c>
      <c r="G81" s="13" t="s">
        <v>32</v>
      </c>
      <c r="H81" s="13" t="s">
        <v>33</v>
      </c>
      <c r="I81" s="13" t="s">
        <v>93</v>
      </c>
      <c r="J81" s="13">
        <v>2.0</v>
      </c>
      <c r="K81" s="13" t="s">
        <v>2885</v>
      </c>
      <c r="L81" s="86" t="s">
        <v>11326</v>
      </c>
      <c r="M81" s="16"/>
      <c r="N81" s="16"/>
      <c r="O81" s="16"/>
      <c r="P81" s="16"/>
      <c r="Q81" s="16"/>
      <c r="R81" s="16"/>
      <c r="S81" s="16"/>
      <c r="T81" s="16"/>
      <c r="U81" s="16"/>
      <c r="V81" s="16"/>
      <c r="W81" s="16"/>
      <c r="X81" s="16"/>
      <c r="Y81" s="16"/>
      <c r="Z81" s="16"/>
      <c r="AA81" s="16"/>
      <c r="AB81" s="16"/>
      <c r="AC81" s="16"/>
      <c r="AD81" s="16"/>
      <c r="AE81" s="16"/>
      <c r="AF81" s="16"/>
      <c r="AG81" s="16"/>
      <c r="AH81" s="16"/>
    </row>
    <row r="82">
      <c r="A82" s="421" t="s">
        <v>11327</v>
      </c>
      <c r="B82" s="323">
        <v>42450.0</v>
      </c>
      <c r="C82" s="32" t="s">
        <v>11328</v>
      </c>
      <c r="D82" s="32" t="s">
        <v>11328</v>
      </c>
      <c r="E82" s="13" t="s">
        <v>1369</v>
      </c>
      <c r="F82" s="13">
        <v>1.0</v>
      </c>
      <c r="G82" s="13" t="s">
        <v>32</v>
      </c>
      <c r="H82" s="13" t="s">
        <v>33</v>
      </c>
      <c r="I82" s="13" t="s">
        <v>132</v>
      </c>
      <c r="J82" s="13">
        <v>1.0</v>
      </c>
      <c r="K82" s="13" t="s">
        <v>807</v>
      </c>
      <c r="L82" s="86" t="s">
        <v>11329</v>
      </c>
      <c r="M82" s="16"/>
      <c r="N82" s="16"/>
      <c r="O82" s="16"/>
      <c r="P82" s="16"/>
      <c r="Q82" s="16"/>
      <c r="R82" s="16"/>
      <c r="S82" s="16"/>
      <c r="T82" s="16"/>
      <c r="U82" s="16"/>
      <c r="V82" s="16"/>
      <c r="W82" s="16"/>
      <c r="X82" s="16"/>
      <c r="Y82" s="16"/>
      <c r="Z82" s="16"/>
      <c r="AA82" s="16"/>
      <c r="AB82" s="16"/>
      <c r="AC82" s="16"/>
      <c r="AD82" s="16"/>
      <c r="AE82" s="16"/>
      <c r="AF82" s="16"/>
      <c r="AG82" s="16"/>
      <c r="AH82" s="16"/>
    </row>
    <row r="83">
      <c r="A83" s="425" t="s">
        <v>11330</v>
      </c>
      <c r="B83" s="323">
        <v>42451.0</v>
      </c>
      <c r="C83" s="32" t="s">
        <v>11331</v>
      </c>
      <c r="D83" s="32" t="s">
        <v>11331</v>
      </c>
      <c r="E83" s="13" t="s">
        <v>11135</v>
      </c>
      <c r="F83" s="13">
        <v>1.0</v>
      </c>
      <c r="G83" s="13" t="s">
        <v>32</v>
      </c>
      <c r="H83" s="13" t="s">
        <v>33</v>
      </c>
      <c r="I83" s="13" t="s">
        <v>147</v>
      </c>
      <c r="J83" s="13">
        <v>1.0</v>
      </c>
      <c r="K83" s="13" t="s">
        <v>52</v>
      </c>
      <c r="L83" s="86" t="s">
        <v>11332</v>
      </c>
      <c r="M83" s="16"/>
      <c r="N83" s="16"/>
      <c r="O83" s="16"/>
      <c r="P83" s="16"/>
      <c r="Q83" s="16"/>
      <c r="R83" s="16"/>
      <c r="S83" s="16"/>
      <c r="T83" s="16"/>
      <c r="U83" s="16"/>
      <c r="V83" s="16"/>
      <c r="W83" s="16"/>
      <c r="X83" s="16"/>
      <c r="Y83" s="16"/>
      <c r="Z83" s="16"/>
      <c r="AA83" s="16"/>
      <c r="AB83" s="16"/>
      <c r="AC83" s="16"/>
      <c r="AD83" s="16"/>
      <c r="AE83" s="16"/>
      <c r="AF83" s="16"/>
      <c r="AG83" s="16"/>
      <c r="AH83" s="16"/>
    </row>
    <row r="84">
      <c r="A84" s="421" t="s">
        <v>11333</v>
      </c>
      <c r="B84" s="323">
        <v>42452.0</v>
      </c>
      <c r="C84" s="32" t="s">
        <v>11334</v>
      </c>
      <c r="D84" s="32" t="s">
        <v>11334</v>
      </c>
      <c r="E84" s="13" t="s">
        <v>11135</v>
      </c>
      <c r="F84" s="13">
        <v>1.0</v>
      </c>
      <c r="G84" s="13" t="s">
        <v>32</v>
      </c>
      <c r="H84" s="13" t="s">
        <v>33</v>
      </c>
      <c r="I84" s="13" t="s">
        <v>68</v>
      </c>
      <c r="J84" s="13">
        <v>1.0</v>
      </c>
      <c r="K84" s="13" t="s">
        <v>52</v>
      </c>
      <c r="L84" s="86" t="s">
        <v>11335</v>
      </c>
      <c r="M84" s="16"/>
      <c r="N84" s="16"/>
      <c r="O84" s="16"/>
      <c r="P84" s="16"/>
      <c r="Q84" s="16"/>
      <c r="R84" s="16"/>
      <c r="S84" s="16"/>
      <c r="T84" s="16"/>
      <c r="U84" s="16"/>
      <c r="V84" s="16"/>
      <c r="W84" s="16"/>
      <c r="X84" s="16"/>
      <c r="Y84" s="16"/>
      <c r="Z84" s="16"/>
      <c r="AA84" s="16"/>
      <c r="AB84" s="16"/>
      <c r="AC84" s="16"/>
      <c r="AD84" s="16"/>
      <c r="AE84" s="16"/>
      <c r="AF84" s="16"/>
      <c r="AG84" s="16"/>
      <c r="AH84" s="16"/>
    </row>
    <row r="85">
      <c r="A85" s="421" t="s">
        <v>660</v>
      </c>
      <c r="B85" s="323">
        <v>42452.0</v>
      </c>
      <c r="C85" s="32" t="s">
        <v>11334</v>
      </c>
      <c r="D85" s="32" t="s">
        <v>11334</v>
      </c>
      <c r="E85" s="13" t="s">
        <v>1369</v>
      </c>
      <c r="F85" s="13">
        <v>11.0</v>
      </c>
      <c r="G85" s="13" t="s">
        <v>32</v>
      </c>
      <c r="H85" s="13" t="s">
        <v>4652</v>
      </c>
      <c r="I85" s="13" t="s">
        <v>410</v>
      </c>
      <c r="J85" s="13">
        <v>1.0</v>
      </c>
      <c r="K85" s="13" t="s">
        <v>52</v>
      </c>
      <c r="L85" s="86" t="s">
        <v>11336</v>
      </c>
      <c r="M85" s="16"/>
      <c r="N85" s="16"/>
      <c r="O85" s="16"/>
      <c r="P85" s="16"/>
      <c r="Q85" s="16"/>
      <c r="R85" s="16"/>
      <c r="S85" s="16"/>
      <c r="T85" s="16"/>
      <c r="U85" s="16"/>
      <c r="V85" s="16"/>
      <c r="W85" s="16"/>
      <c r="X85" s="16"/>
      <c r="Y85" s="16"/>
      <c r="Z85" s="16"/>
      <c r="AA85" s="16"/>
      <c r="AB85" s="16"/>
      <c r="AC85" s="16"/>
      <c r="AD85" s="16"/>
      <c r="AE85" s="16"/>
      <c r="AF85" s="16"/>
      <c r="AG85" s="16"/>
      <c r="AH85" s="16"/>
    </row>
    <row r="86">
      <c r="A86" s="421" t="s">
        <v>11337</v>
      </c>
      <c r="B86" s="323">
        <v>42452.0</v>
      </c>
      <c r="C86" s="32" t="s">
        <v>11334</v>
      </c>
      <c r="D86" s="32" t="s">
        <v>11334</v>
      </c>
      <c r="E86" s="13" t="s">
        <v>1369</v>
      </c>
      <c r="F86" s="13">
        <v>1.0</v>
      </c>
      <c r="G86" s="13" t="s">
        <v>32</v>
      </c>
      <c r="H86" s="13" t="s">
        <v>33</v>
      </c>
      <c r="I86" s="13" t="s">
        <v>279</v>
      </c>
      <c r="J86" s="13" t="s">
        <v>32</v>
      </c>
      <c r="K86" s="13" t="s">
        <v>807</v>
      </c>
      <c r="L86" s="86" t="s">
        <v>11338</v>
      </c>
      <c r="M86" s="16"/>
      <c r="N86" s="16"/>
      <c r="O86" s="16"/>
      <c r="P86" s="16"/>
      <c r="Q86" s="16"/>
      <c r="R86" s="16"/>
      <c r="S86" s="16"/>
      <c r="T86" s="16"/>
      <c r="U86" s="16"/>
      <c r="V86" s="16"/>
      <c r="W86" s="16"/>
      <c r="X86" s="16"/>
      <c r="Y86" s="16"/>
      <c r="Z86" s="16"/>
      <c r="AA86" s="16"/>
      <c r="AB86" s="16"/>
      <c r="AC86" s="16"/>
      <c r="AD86" s="16"/>
      <c r="AE86" s="16"/>
      <c r="AF86" s="16"/>
      <c r="AG86" s="16"/>
      <c r="AH86" s="16"/>
    </row>
    <row r="87">
      <c r="A87" s="429" t="s">
        <v>11339</v>
      </c>
      <c r="B87" s="323">
        <v>42453.0</v>
      </c>
      <c r="C87" s="32" t="s">
        <v>11340</v>
      </c>
      <c r="D87" s="32" t="s">
        <v>11340</v>
      </c>
      <c r="E87" s="13" t="s">
        <v>1369</v>
      </c>
      <c r="F87" s="13">
        <v>2.0</v>
      </c>
      <c r="G87" s="13" t="s">
        <v>32</v>
      </c>
      <c r="H87" s="13" t="s">
        <v>33</v>
      </c>
      <c r="I87" s="13" t="s">
        <v>504</v>
      </c>
      <c r="J87" s="13">
        <v>2.0</v>
      </c>
      <c r="K87" s="13" t="s">
        <v>76</v>
      </c>
      <c r="L87" s="430" t="s">
        <v>11341</v>
      </c>
      <c r="M87" s="16"/>
      <c r="N87" s="16"/>
      <c r="O87" s="16"/>
      <c r="P87" s="16"/>
      <c r="Q87" s="16"/>
      <c r="R87" s="16"/>
      <c r="S87" s="16"/>
      <c r="T87" s="16"/>
      <c r="U87" s="16"/>
      <c r="V87" s="16"/>
      <c r="W87" s="16"/>
      <c r="X87" s="16"/>
      <c r="Y87" s="16"/>
      <c r="Z87" s="16"/>
      <c r="AA87" s="16"/>
      <c r="AB87" s="16"/>
      <c r="AC87" s="16"/>
      <c r="AD87" s="16"/>
      <c r="AE87" s="16"/>
      <c r="AF87" s="16"/>
      <c r="AG87" s="16"/>
      <c r="AH87" s="16"/>
    </row>
    <row r="88">
      <c r="A88" s="421" t="s">
        <v>239</v>
      </c>
      <c r="B88" s="323">
        <v>42454.0</v>
      </c>
      <c r="C88" s="32" t="s">
        <v>11342</v>
      </c>
      <c r="D88" s="32" t="s">
        <v>11342</v>
      </c>
      <c r="E88" s="13" t="s">
        <v>1369</v>
      </c>
      <c r="F88" s="13">
        <v>1.0</v>
      </c>
      <c r="G88" s="13" t="s">
        <v>32</v>
      </c>
      <c r="H88" s="13" t="s">
        <v>33</v>
      </c>
      <c r="I88" s="13" t="s">
        <v>111</v>
      </c>
      <c r="J88" s="13">
        <v>1.0</v>
      </c>
      <c r="K88" s="13" t="s">
        <v>52</v>
      </c>
      <c r="L88" s="86" t="s">
        <v>11343</v>
      </c>
      <c r="M88" s="16"/>
      <c r="N88" s="16"/>
      <c r="O88" s="16"/>
      <c r="P88" s="16"/>
      <c r="Q88" s="16"/>
      <c r="R88" s="16"/>
      <c r="S88" s="16"/>
      <c r="T88" s="16"/>
      <c r="U88" s="16"/>
      <c r="V88" s="16"/>
      <c r="W88" s="16"/>
      <c r="X88" s="16"/>
      <c r="Y88" s="16"/>
      <c r="Z88" s="16"/>
      <c r="AA88" s="16"/>
      <c r="AB88" s="16"/>
      <c r="AC88" s="16"/>
      <c r="AD88" s="16"/>
      <c r="AE88" s="16"/>
      <c r="AF88" s="16"/>
      <c r="AG88" s="16"/>
      <c r="AH88" s="16"/>
    </row>
    <row r="89">
      <c r="A89" s="421" t="s">
        <v>11344</v>
      </c>
      <c r="B89" s="323">
        <v>42457.0</v>
      </c>
      <c r="C89" s="32" t="s">
        <v>11314</v>
      </c>
      <c r="D89" s="32" t="s">
        <v>11314</v>
      </c>
      <c r="E89" s="13" t="s">
        <v>1369</v>
      </c>
      <c r="F89" s="13">
        <v>1.0</v>
      </c>
      <c r="G89" s="13" t="s">
        <v>32</v>
      </c>
      <c r="H89" s="13" t="s">
        <v>33</v>
      </c>
      <c r="I89" s="13" t="s">
        <v>147</v>
      </c>
      <c r="J89" s="13">
        <v>3.0</v>
      </c>
      <c r="K89" s="13" t="s">
        <v>11345</v>
      </c>
      <c r="L89" s="86" t="s">
        <v>11346</v>
      </c>
      <c r="M89" s="16"/>
      <c r="N89" s="16"/>
      <c r="O89" s="16"/>
      <c r="P89" s="16"/>
      <c r="Q89" s="16"/>
      <c r="R89" s="16"/>
      <c r="S89" s="16"/>
      <c r="T89" s="16"/>
      <c r="U89" s="16"/>
      <c r="V89" s="16"/>
      <c r="W89" s="16"/>
      <c r="X89" s="16"/>
      <c r="Y89" s="16"/>
      <c r="Z89" s="16"/>
      <c r="AA89" s="16"/>
      <c r="AB89" s="16"/>
      <c r="AC89" s="16"/>
      <c r="AD89" s="16"/>
      <c r="AE89" s="16"/>
      <c r="AF89" s="16"/>
      <c r="AG89" s="16"/>
      <c r="AH89" s="16"/>
    </row>
    <row r="90">
      <c r="A90" s="421" t="s">
        <v>11347</v>
      </c>
      <c r="B90" s="323">
        <v>42457.0</v>
      </c>
      <c r="C90" s="32" t="s">
        <v>11348</v>
      </c>
      <c r="D90" s="32" t="s">
        <v>11348</v>
      </c>
      <c r="E90" s="13" t="s">
        <v>11135</v>
      </c>
      <c r="F90" s="13">
        <v>1.0</v>
      </c>
      <c r="G90" s="13" t="s">
        <v>32</v>
      </c>
      <c r="H90" s="13" t="s">
        <v>33</v>
      </c>
      <c r="I90" s="13" t="s">
        <v>47</v>
      </c>
      <c r="J90" s="13" t="s">
        <v>32</v>
      </c>
      <c r="K90" s="13" t="s">
        <v>35</v>
      </c>
      <c r="L90" s="86" t="s">
        <v>11349</v>
      </c>
      <c r="M90" s="16"/>
      <c r="N90" s="16"/>
      <c r="O90" s="16"/>
      <c r="P90" s="16"/>
      <c r="Q90" s="16"/>
      <c r="R90" s="16"/>
      <c r="S90" s="16"/>
      <c r="T90" s="16"/>
      <c r="U90" s="16"/>
      <c r="V90" s="16"/>
      <c r="W90" s="16"/>
      <c r="X90" s="16"/>
      <c r="Y90" s="16"/>
      <c r="Z90" s="16"/>
      <c r="AA90" s="16"/>
      <c r="AB90" s="16"/>
      <c r="AC90" s="16"/>
      <c r="AD90" s="16"/>
      <c r="AE90" s="16"/>
      <c r="AF90" s="16"/>
      <c r="AG90" s="16"/>
      <c r="AH90" s="16"/>
    </row>
    <row r="91">
      <c r="A91" s="421" t="s">
        <v>11350</v>
      </c>
      <c r="B91" s="323">
        <v>42458.0</v>
      </c>
      <c r="C91" s="32" t="s">
        <v>11351</v>
      </c>
      <c r="D91" s="32" t="s">
        <v>11351</v>
      </c>
      <c r="E91" s="13" t="s">
        <v>11135</v>
      </c>
      <c r="F91" s="13">
        <v>3.0</v>
      </c>
      <c r="G91" s="13" t="s">
        <v>32</v>
      </c>
      <c r="H91" s="13" t="s">
        <v>33</v>
      </c>
      <c r="I91" s="13" t="s">
        <v>147</v>
      </c>
      <c r="J91" s="13">
        <v>4.0</v>
      </c>
      <c r="K91" s="13" t="s">
        <v>52</v>
      </c>
      <c r="L91" s="86" t="s">
        <v>11352</v>
      </c>
      <c r="M91" s="16"/>
      <c r="N91" s="16"/>
      <c r="O91" s="16"/>
      <c r="P91" s="16"/>
      <c r="Q91" s="16"/>
      <c r="R91" s="16"/>
      <c r="S91" s="16"/>
      <c r="T91" s="16"/>
      <c r="U91" s="16"/>
      <c r="V91" s="16"/>
      <c r="W91" s="16"/>
      <c r="X91" s="16"/>
      <c r="Y91" s="16"/>
      <c r="Z91" s="16"/>
      <c r="AA91" s="16"/>
      <c r="AB91" s="16"/>
      <c r="AC91" s="16"/>
      <c r="AD91" s="16"/>
      <c r="AE91" s="16"/>
      <c r="AF91" s="16"/>
      <c r="AG91" s="16"/>
      <c r="AH91" s="16"/>
    </row>
    <row r="92">
      <c r="A92" s="421" t="s">
        <v>11353</v>
      </c>
      <c r="B92" s="323">
        <v>42458.0</v>
      </c>
      <c r="C92" s="32" t="s">
        <v>11354</v>
      </c>
      <c r="D92" s="32" t="s">
        <v>11354</v>
      </c>
      <c r="E92" s="13" t="s">
        <v>1369</v>
      </c>
      <c r="F92" s="13">
        <v>1.0</v>
      </c>
      <c r="G92" s="13" t="s">
        <v>32</v>
      </c>
      <c r="H92" s="13" t="s">
        <v>33</v>
      </c>
      <c r="I92" s="13" t="s">
        <v>93</v>
      </c>
      <c r="J92" s="13">
        <v>2.0</v>
      </c>
      <c r="K92" s="13" t="s">
        <v>99</v>
      </c>
      <c r="L92" s="86" t="s">
        <v>11355</v>
      </c>
      <c r="M92" s="16"/>
      <c r="N92" s="16"/>
      <c r="O92" s="16"/>
      <c r="P92" s="16"/>
      <c r="Q92" s="16"/>
      <c r="R92" s="16"/>
      <c r="S92" s="16"/>
      <c r="T92" s="16"/>
      <c r="U92" s="16"/>
      <c r="V92" s="16"/>
      <c r="W92" s="16"/>
      <c r="X92" s="16"/>
      <c r="Y92" s="16"/>
      <c r="Z92" s="16"/>
      <c r="AA92" s="16"/>
      <c r="AB92" s="16"/>
      <c r="AC92" s="16"/>
      <c r="AD92" s="16"/>
      <c r="AE92" s="16"/>
      <c r="AF92" s="16"/>
      <c r="AG92" s="16"/>
      <c r="AH92" s="16"/>
    </row>
    <row r="93">
      <c r="A93" s="421" t="s">
        <v>11356</v>
      </c>
      <c r="B93" s="323">
        <v>42458.0</v>
      </c>
      <c r="C93" s="32" t="s">
        <v>11357</v>
      </c>
      <c r="D93" s="32" t="s">
        <v>11357</v>
      </c>
      <c r="E93" s="13" t="s">
        <v>1369</v>
      </c>
      <c r="F93" s="13">
        <v>1.0</v>
      </c>
      <c r="G93" s="13" t="s">
        <v>32</v>
      </c>
      <c r="H93" s="13" t="s">
        <v>33</v>
      </c>
      <c r="I93" s="13" t="s">
        <v>75</v>
      </c>
      <c r="J93" s="13">
        <v>2.0</v>
      </c>
      <c r="K93" s="13" t="s">
        <v>119</v>
      </c>
      <c r="L93" s="86" t="s">
        <v>11358</v>
      </c>
      <c r="M93" s="16"/>
      <c r="N93" s="16"/>
      <c r="O93" s="16"/>
      <c r="P93" s="16"/>
      <c r="Q93" s="16"/>
      <c r="R93" s="16"/>
      <c r="S93" s="16"/>
      <c r="T93" s="16"/>
      <c r="U93" s="16"/>
      <c r="V93" s="16"/>
      <c r="W93" s="16"/>
      <c r="X93" s="16"/>
      <c r="Y93" s="16"/>
      <c r="Z93" s="16"/>
      <c r="AA93" s="16"/>
      <c r="AB93" s="16"/>
      <c r="AC93" s="16"/>
      <c r="AD93" s="16"/>
      <c r="AE93" s="16"/>
      <c r="AF93" s="16"/>
      <c r="AG93" s="16"/>
      <c r="AH93" s="16"/>
    </row>
    <row r="94">
      <c r="A94" s="421" t="s">
        <v>11359</v>
      </c>
      <c r="B94" s="323">
        <v>42459.0</v>
      </c>
      <c r="C94" s="32" t="s">
        <v>11360</v>
      </c>
      <c r="D94" s="32" t="s">
        <v>11360</v>
      </c>
      <c r="E94" s="13" t="s">
        <v>11135</v>
      </c>
      <c r="F94" s="13">
        <v>1.0</v>
      </c>
      <c r="G94" s="13" t="s">
        <v>32</v>
      </c>
      <c r="H94" s="13" t="s">
        <v>33</v>
      </c>
      <c r="I94" s="13" t="s">
        <v>85</v>
      </c>
      <c r="J94" s="13">
        <v>1.0</v>
      </c>
      <c r="K94" s="13" t="s">
        <v>11175</v>
      </c>
      <c r="L94" s="86" t="s">
        <v>11361</v>
      </c>
      <c r="M94" s="16"/>
      <c r="N94" s="16"/>
      <c r="O94" s="16"/>
      <c r="P94" s="16"/>
      <c r="Q94" s="16"/>
      <c r="R94" s="16"/>
      <c r="S94" s="16"/>
      <c r="T94" s="16"/>
      <c r="U94" s="16"/>
      <c r="V94" s="16"/>
      <c r="W94" s="16"/>
      <c r="X94" s="16"/>
      <c r="Y94" s="16"/>
      <c r="Z94" s="16"/>
      <c r="AA94" s="16"/>
      <c r="AB94" s="16"/>
      <c r="AC94" s="16"/>
      <c r="AD94" s="16"/>
      <c r="AE94" s="16"/>
      <c r="AF94" s="16"/>
      <c r="AG94" s="16"/>
      <c r="AH94" s="16"/>
    </row>
    <row r="95">
      <c r="A95" s="429" t="s">
        <v>11362</v>
      </c>
      <c r="B95" s="323">
        <v>42460.0</v>
      </c>
      <c r="C95" s="32" t="s">
        <v>11363</v>
      </c>
      <c r="D95" s="32" t="s">
        <v>11363</v>
      </c>
      <c r="E95" s="13" t="s">
        <v>1369</v>
      </c>
      <c r="F95" s="13">
        <v>1.0</v>
      </c>
      <c r="G95" s="13" t="s">
        <v>32</v>
      </c>
      <c r="H95" s="13" t="s">
        <v>33</v>
      </c>
      <c r="I95" s="13" t="s">
        <v>147</v>
      </c>
      <c r="J95" s="13">
        <v>4.0</v>
      </c>
      <c r="K95" s="13" t="s">
        <v>807</v>
      </c>
      <c r="L95" s="86" t="s">
        <v>11364</v>
      </c>
      <c r="M95" s="16"/>
      <c r="N95" s="16"/>
      <c r="O95" s="16"/>
      <c r="P95" s="16"/>
      <c r="Q95" s="16"/>
      <c r="R95" s="16"/>
      <c r="S95" s="16"/>
      <c r="T95" s="16"/>
      <c r="U95" s="16"/>
      <c r="V95" s="16"/>
      <c r="W95" s="16"/>
      <c r="X95" s="16"/>
      <c r="Y95" s="16"/>
      <c r="Z95" s="16"/>
      <c r="AA95" s="16"/>
      <c r="AB95" s="16"/>
      <c r="AC95" s="16"/>
      <c r="AD95" s="16"/>
      <c r="AE95" s="16"/>
      <c r="AF95" s="16"/>
      <c r="AG95" s="16"/>
      <c r="AH95" s="16"/>
    </row>
    <row r="96">
      <c r="A96" s="421" t="s">
        <v>11365</v>
      </c>
      <c r="B96" s="323">
        <v>42461.0</v>
      </c>
      <c r="C96" s="32" t="s">
        <v>11366</v>
      </c>
      <c r="D96" s="32" t="s">
        <v>11366</v>
      </c>
      <c r="E96" s="13" t="s">
        <v>1369</v>
      </c>
      <c r="F96" s="13">
        <v>1.0</v>
      </c>
      <c r="G96" s="13" t="s">
        <v>32</v>
      </c>
      <c r="H96" s="13" t="s">
        <v>33</v>
      </c>
      <c r="I96" s="13" t="s">
        <v>279</v>
      </c>
      <c r="J96" s="13">
        <v>3.0</v>
      </c>
      <c r="K96" s="13" t="s">
        <v>2885</v>
      </c>
      <c r="L96" s="86" t="s">
        <v>11367</v>
      </c>
      <c r="M96" s="16"/>
      <c r="N96" s="16"/>
      <c r="O96" s="16"/>
      <c r="P96" s="16"/>
      <c r="Q96" s="16"/>
      <c r="R96" s="16"/>
      <c r="S96" s="16"/>
      <c r="T96" s="16"/>
      <c r="U96" s="16"/>
      <c r="V96" s="16"/>
      <c r="W96" s="16"/>
      <c r="X96" s="16"/>
      <c r="Y96" s="16"/>
      <c r="Z96" s="16"/>
      <c r="AA96" s="16"/>
      <c r="AB96" s="16"/>
      <c r="AC96" s="16"/>
      <c r="AD96" s="16"/>
      <c r="AE96" s="16"/>
      <c r="AF96" s="16"/>
      <c r="AG96" s="16"/>
      <c r="AH96" s="16"/>
    </row>
    <row r="97">
      <c r="A97" s="421" t="s">
        <v>11368</v>
      </c>
      <c r="B97" s="323">
        <v>42465.0</v>
      </c>
      <c r="C97" s="32" t="s">
        <v>11369</v>
      </c>
      <c r="D97" s="32" t="s">
        <v>11369</v>
      </c>
      <c r="E97" s="13" t="s">
        <v>1369</v>
      </c>
      <c r="F97" s="13">
        <v>1.0</v>
      </c>
      <c r="G97" s="13" t="s">
        <v>32</v>
      </c>
      <c r="H97" s="13" t="s">
        <v>33</v>
      </c>
      <c r="I97" s="13" t="s">
        <v>111</v>
      </c>
      <c r="J97" s="13">
        <v>1.0</v>
      </c>
      <c r="K97" s="13" t="s">
        <v>11370</v>
      </c>
      <c r="L97" s="86" t="s">
        <v>11371</v>
      </c>
      <c r="M97" s="16"/>
      <c r="N97" s="16"/>
      <c r="O97" s="16"/>
      <c r="P97" s="16"/>
      <c r="Q97" s="16"/>
      <c r="R97" s="16"/>
      <c r="S97" s="16"/>
      <c r="T97" s="16"/>
      <c r="U97" s="16"/>
      <c r="V97" s="16"/>
      <c r="W97" s="16"/>
      <c r="X97" s="16"/>
      <c r="Y97" s="16"/>
      <c r="Z97" s="16"/>
      <c r="AA97" s="16"/>
      <c r="AB97" s="16"/>
      <c r="AC97" s="16"/>
      <c r="AD97" s="16"/>
      <c r="AE97" s="16"/>
      <c r="AF97" s="16"/>
      <c r="AG97" s="16"/>
      <c r="AH97" s="16"/>
    </row>
    <row r="98">
      <c r="A98" s="421" t="s">
        <v>11372</v>
      </c>
      <c r="B98" s="323">
        <v>42467.0</v>
      </c>
      <c r="C98" s="32" t="s">
        <v>11373</v>
      </c>
      <c r="D98" s="32" t="s">
        <v>11373</v>
      </c>
      <c r="E98" s="13" t="s">
        <v>1369</v>
      </c>
      <c r="F98" s="13">
        <v>2.0</v>
      </c>
      <c r="G98" s="13" t="s">
        <v>32</v>
      </c>
      <c r="H98" s="13" t="s">
        <v>33</v>
      </c>
      <c r="I98" s="13" t="s">
        <v>93</v>
      </c>
      <c r="J98" s="13">
        <v>4.0</v>
      </c>
      <c r="K98" s="13" t="s">
        <v>11374</v>
      </c>
      <c r="L98" s="86" t="s">
        <v>11371</v>
      </c>
      <c r="M98" s="16"/>
      <c r="N98" s="16"/>
      <c r="O98" s="16"/>
      <c r="P98" s="16"/>
      <c r="Q98" s="16"/>
      <c r="R98" s="16"/>
      <c r="S98" s="16"/>
      <c r="T98" s="16"/>
      <c r="U98" s="16"/>
      <c r="V98" s="16"/>
      <c r="W98" s="16"/>
      <c r="X98" s="16"/>
      <c r="Y98" s="16"/>
      <c r="Z98" s="16"/>
      <c r="AA98" s="16"/>
      <c r="AB98" s="16"/>
      <c r="AC98" s="16"/>
      <c r="AD98" s="16"/>
      <c r="AE98" s="16"/>
      <c r="AF98" s="16"/>
      <c r="AG98" s="16"/>
      <c r="AH98" s="16"/>
    </row>
    <row r="99">
      <c r="A99" s="421" t="s">
        <v>11375</v>
      </c>
      <c r="B99" s="323">
        <v>42468.0</v>
      </c>
      <c r="C99" s="32" t="s">
        <v>11373</v>
      </c>
      <c r="D99" s="32" t="s">
        <v>11373</v>
      </c>
      <c r="E99" s="13" t="s">
        <v>1369</v>
      </c>
      <c r="F99" s="13">
        <v>1.0</v>
      </c>
      <c r="G99" s="13" t="s">
        <v>32</v>
      </c>
      <c r="H99" s="13" t="s">
        <v>33</v>
      </c>
      <c r="I99" s="13" t="s">
        <v>410</v>
      </c>
      <c r="J99" s="13">
        <v>5.0</v>
      </c>
      <c r="K99" s="13" t="s">
        <v>807</v>
      </c>
      <c r="L99" s="86" t="s">
        <v>11376</v>
      </c>
      <c r="M99" s="16"/>
      <c r="N99" s="16"/>
      <c r="O99" s="16"/>
      <c r="P99" s="16"/>
      <c r="Q99" s="16"/>
      <c r="R99" s="16"/>
      <c r="S99" s="16"/>
      <c r="T99" s="16"/>
      <c r="U99" s="16"/>
      <c r="V99" s="16"/>
      <c r="W99" s="16"/>
      <c r="X99" s="16"/>
      <c r="Y99" s="16"/>
      <c r="Z99" s="16"/>
      <c r="AA99" s="16"/>
      <c r="AB99" s="16"/>
      <c r="AC99" s="16"/>
      <c r="AD99" s="16"/>
      <c r="AE99" s="16"/>
      <c r="AF99" s="16"/>
      <c r="AG99" s="16"/>
      <c r="AH99" s="16"/>
    </row>
    <row r="100">
      <c r="A100" s="421" t="s">
        <v>11377</v>
      </c>
      <c r="B100" s="323">
        <v>42468.0</v>
      </c>
      <c r="C100" s="32" t="s">
        <v>11360</v>
      </c>
      <c r="D100" s="32" t="s">
        <v>11378</v>
      </c>
      <c r="E100" s="13" t="s">
        <v>1369</v>
      </c>
      <c r="F100" s="13">
        <v>1.0</v>
      </c>
      <c r="G100" s="13" t="s">
        <v>32</v>
      </c>
      <c r="H100" s="13" t="s">
        <v>33</v>
      </c>
      <c r="I100" s="13" t="s">
        <v>268</v>
      </c>
      <c r="J100" s="13" t="s">
        <v>32</v>
      </c>
      <c r="K100" s="13" t="s">
        <v>99</v>
      </c>
      <c r="L100" s="86" t="s">
        <v>11379</v>
      </c>
      <c r="M100" s="86" t="s">
        <v>11380</v>
      </c>
      <c r="N100" s="16"/>
      <c r="O100" s="16"/>
      <c r="P100" s="16"/>
      <c r="Q100" s="16"/>
      <c r="R100" s="16"/>
      <c r="S100" s="16"/>
      <c r="T100" s="16"/>
      <c r="U100" s="16"/>
      <c r="V100" s="16"/>
      <c r="W100" s="16"/>
      <c r="X100" s="16"/>
      <c r="Y100" s="16"/>
      <c r="Z100" s="16"/>
      <c r="AA100" s="16"/>
      <c r="AB100" s="16"/>
      <c r="AC100" s="16"/>
      <c r="AD100" s="16"/>
      <c r="AE100" s="16"/>
      <c r="AF100" s="16"/>
      <c r="AG100" s="16"/>
      <c r="AH100" s="16"/>
    </row>
    <row r="101">
      <c r="A101" s="421" t="s">
        <v>11381</v>
      </c>
      <c r="B101" s="323">
        <v>42649.0</v>
      </c>
      <c r="C101" s="32" t="s">
        <v>11382</v>
      </c>
      <c r="D101" s="32" t="s">
        <v>11382</v>
      </c>
      <c r="E101" s="13" t="s">
        <v>1369</v>
      </c>
      <c r="F101" s="13">
        <v>1.0</v>
      </c>
      <c r="G101" s="13" t="s">
        <v>32</v>
      </c>
      <c r="H101" s="13" t="s">
        <v>33</v>
      </c>
      <c r="I101" s="13" t="s">
        <v>115</v>
      </c>
      <c r="J101" s="13">
        <v>1.0</v>
      </c>
      <c r="K101" s="13" t="s">
        <v>99</v>
      </c>
      <c r="L101" s="86" t="s">
        <v>11383</v>
      </c>
      <c r="M101" s="16"/>
      <c r="N101" s="16"/>
      <c r="O101" s="16"/>
      <c r="P101" s="16"/>
      <c r="Q101" s="16"/>
      <c r="R101" s="16"/>
      <c r="S101" s="16"/>
      <c r="T101" s="16"/>
      <c r="U101" s="16"/>
      <c r="V101" s="16"/>
      <c r="W101" s="16"/>
      <c r="X101" s="16"/>
      <c r="Y101" s="16"/>
      <c r="Z101" s="16"/>
      <c r="AA101" s="16"/>
      <c r="AB101" s="16"/>
      <c r="AC101" s="16"/>
      <c r="AD101" s="16"/>
      <c r="AE101" s="16"/>
      <c r="AF101" s="16"/>
      <c r="AG101" s="16"/>
      <c r="AH101" s="16"/>
    </row>
    <row r="102">
      <c r="A102" s="421" t="s">
        <v>11384</v>
      </c>
      <c r="B102" s="323">
        <v>42662.0</v>
      </c>
      <c r="C102" s="32" t="s">
        <v>11385</v>
      </c>
      <c r="D102" s="32" t="s">
        <v>11385</v>
      </c>
      <c r="E102" s="13" t="s">
        <v>11135</v>
      </c>
      <c r="F102" s="13">
        <v>1.0</v>
      </c>
      <c r="G102" s="13" t="s">
        <v>32</v>
      </c>
      <c r="H102" s="13" t="s">
        <v>33</v>
      </c>
      <c r="I102" s="13" t="s">
        <v>279</v>
      </c>
      <c r="J102" s="13">
        <v>1.0</v>
      </c>
      <c r="K102" s="13" t="s">
        <v>99</v>
      </c>
      <c r="L102" s="86" t="s">
        <v>11386</v>
      </c>
      <c r="M102" s="16"/>
      <c r="N102" s="16"/>
      <c r="O102" s="16"/>
      <c r="P102" s="16"/>
      <c r="Q102" s="16"/>
      <c r="R102" s="16"/>
      <c r="S102" s="16"/>
      <c r="T102" s="16"/>
      <c r="U102" s="16"/>
      <c r="V102" s="16"/>
      <c r="W102" s="16"/>
      <c r="X102" s="16"/>
      <c r="Y102" s="16"/>
      <c r="Z102" s="16"/>
      <c r="AA102" s="16"/>
      <c r="AB102" s="16"/>
      <c r="AC102" s="16"/>
      <c r="AD102" s="16"/>
      <c r="AE102" s="16"/>
      <c r="AF102" s="16"/>
      <c r="AG102" s="16"/>
      <c r="AH102" s="16"/>
    </row>
    <row r="103">
      <c r="A103" s="429" t="s">
        <v>11387</v>
      </c>
      <c r="B103" s="323">
        <v>42717.0</v>
      </c>
      <c r="C103" s="32" t="s">
        <v>11388</v>
      </c>
      <c r="D103" s="32" t="s">
        <v>11388</v>
      </c>
      <c r="E103" s="13" t="s">
        <v>11135</v>
      </c>
      <c r="F103" s="13">
        <v>1.0</v>
      </c>
      <c r="G103" s="13" t="s">
        <v>32</v>
      </c>
      <c r="H103" s="13" t="s">
        <v>33</v>
      </c>
      <c r="I103" s="13" t="s">
        <v>124</v>
      </c>
      <c r="J103" s="13">
        <v>3.0</v>
      </c>
      <c r="K103" s="13" t="s">
        <v>99</v>
      </c>
      <c r="L103" s="430" t="s">
        <v>11389</v>
      </c>
      <c r="M103" s="16"/>
      <c r="N103" s="16"/>
      <c r="O103" s="16"/>
      <c r="P103" s="16"/>
      <c r="Q103" s="16"/>
      <c r="R103" s="16"/>
      <c r="S103" s="16"/>
      <c r="T103" s="16"/>
      <c r="U103" s="16"/>
      <c r="V103" s="16"/>
      <c r="W103" s="16"/>
      <c r="X103" s="16"/>
      <c r="Y103" s="16"/>
      <c r="Z103" s="16"/>
      <c r="AA103" s="16"/>
      <c r="AB103" s="16"/>
      <c r="AC103" s="16"/>
      <c r="AD103" s="16"/>
      <c r="AE103" s="16"/>
      <c r="AF103" s="16"/>
      <c r="AG103" s="16"/>
      <c r="AH103" s="16"/>
    </row>
    <row r="104">
      <c r="A104" s="429" t="s">
        <v>11390</v>
      </c>
      <c r="B104" s="323">
        <v>42725.0</v>
      </c>
      <c r="C104" s="32" t="s">
        <v>11391</v>
      </c>
      <c r="D104" s="32" t="s">
        <v>11391</v>
      </c>
      <c r="E104" s="13" t="s">
        <v>1369</v>
      </c>
      <c r="F104" s="13">
        <v>1.0</v>
      </c>
      <c r="G104" s="13" t="s">
        <v>32</v>
      </c>
      <c r="H104" s="13" t="s">
        <v>33</v>
      </c>
      <c r="I104" s="13" t="s">
        <v>124</v>
      </c>
      <c r="J104" s="13">
        <v>1.0</v>
      </c>
      <c r="K104" s="13" t="s">
        <v>99</v>
      </c>
      <c r="L104" s="430" t="s">
        <v>11392</v>
      </c>
      <c r="M104" s="16"/>
      <c r="N104" s="16"/>
      <c r="O104" s="16"/>
      <c r="P104" s="16"/>
      <c r="Q104" s="16"/>
      <c r="R104" s="16"/>
      <c r="S104" s="16"/>
      <c r="T104" s="16"/>
      <c r="U104" s="16"/>
      <c r="V104" s="16"/>
      <c r="W104" s="16"/>
      <c r="X104" s="16"/>
      <c r="Y104" s="16"/>
      <c r="Z104" s="16"/>
      <c r="AA104" s="16"/>
      <c r="AB104" s="16"/>
      <c r="AC104" s="16"/>
      <c r="AD104" s="16"/>
      <c r="AE104" s="16"/>
      <c r="AF104" s="16"/>
      <c r="AG104" s="16"/>
      <c r="AH104" s="16"/>
    </row>
    <row r="105">
      <c r="A105" s="429" t="s">
        <v>11393</v>
      </c>
      <c r="B105" s="323">
        <v>42738.0</v>
      </c>
      <c r="C105" s="32" t="s">
        <v>11394</v>
      </c>
      <c r="D105" s="32" t="s">
        <v>11394</v>
      </c>
      <c r="E105" s="13" t="s">
        <v>11135</v>
      </c>
      <c r="F105" s="13">
        <v>1.0</v>
      </c>
      <c r="G105" s="13" t="s">
        <v>32</v>
      </c>
      <c r="H105" s="13" t="s">
        <v>33</v>
      </c>
      <c r="I105" s="13" t="s">
        <v>47</v>
      </c>
      <c r="J105" s="13">
        <v>1.0</v>
      </c>
      <c r="K105" s="13" t="s">
        <v>52</v>
      </c>
      <c r="L105" s="430" t="s">
        <v>11395</v>
      </c>
      <c r="M105" s="16"/>
      <c r="N105" s="16"/>
      <c r="O105" s="16"/>
      <c r="P105" s="16"/>
      <c r="Q105" s="16"/>
      <c r="R105" s="16"/>
      <c r="S105" s="16"/>
      <c r="T105" s="16"/>
      <c r="U105" s="16"/>
      <c r="V105" s="16"/>
      <c r="W105" s="16"/>
      <c r="X105" s="16"/>
      <c r="Y105" s="16"/>
      <c r="Z105" s="16"/>
      <c r="AA105" s="16"/>
      <c r="AB105" s="16"/>
      <c r="AC105" s="16"/>
      <c r="AD105" s="16"/>
      <c r="AE105" s="16"/>
      <c r="AF105" s="16"/>
      <c r="AG105" s="16"/>
      <c r="AH105" s="16"/>
    </row>
    <row r="106">
      <c r="A106" s="429" t="s">
        <v>11396</v>
      </c>
      <c r="B106" s="323">
        <v>42738.0</v>
      </c>
      <c r="C106" s="32" t="s">
        <v>11397</v>
      </c>
      <c r="D106" s="32" t="s">
        <v>11397</v>
      </c>
      <c r="E106" s="13" t="s">
        <v>1369</v>
      </c>
      <c r="F106" s="13">
        <v>2.0</v>
      </c>
      <c r="G106" s="13" t="s">
        <v>32</v>
      </c>
      <c r="H106" s="13" t="s">
        <v>33</v>
      </c>
      <c r="I106" s="13" t="s">
        <v>47</v>
      </c>
      <c r="J106" s="13">
        <v>1.0</v>
      </c>
      <c r="K106" s="13" t="s">
        <v>52</v>
      </c>
      <c r="L106" s="430" t="s">
        <v>11398</v>
      </c>
      <c r="M106" s="16"/>
      <c r="N106" s="16"/>
      <c r="O106" s="16"/>
      <c r="P106" s="16"/>
      <c r="Q106" s="16"/>
      <c r="R106" s="16"/>
      <c r="S106" s="16"/>
      <c r="T106" s="16"/>
      <c r="U106" s="16"/>
      <c r="V106" s="16"/>
      <c r="W106" s="16"/>
      <c r="X106" s="16"/>
      <c r="Y106" s="16"/>
      <c r="Z106" s="16"/>
      <c r="AA106" s="16"/>
      <c r="AB106" s="16"/>
      <c r="AC106" s="16"/>
      <c r="AD106" s="16"/>
      <c r="AE106" s="16"/>
      <c r="AF106" s="16"/>
      <c r="AG106" s="16"/>
      <c r="AH106" s="16"/>
    </row>
    <row r="107">
      <c r="A107" s="429" t="s">
        <v>11399</v>
      </c>
      <c r="B107" s="323">
        <v>42738.0</v>
      </c>
      <c r="C107" s="32" t="s">
        <v>11397</v>
      </c>
      <c r="D107" s="32" t="s">
        <v>11397</v>
      </c>
      <c r="E107" s="13" t="s">
        <v>1369</v>
      </c>
      <c r="F107" s="13">
        <v>2.0</v>
      </c>
      <c r="G107" s="13" t="s">
        <v>32</v>
      </c>
      <c r="H107" s="13" t="s">
        <v>33</v>
      </c>
      <c r="I107" s="13" t="s">
        <v>115</v>
      </c>
      <c r="J107" s="13">
        <v>2.0</v>
      </c>
      <c r="K107" s="13" t="s">
        <v>6007</v>
      </c>
      <c r="L107" s="430" t="s">
        <v>11400</v>
      </c>
      <c r="M107" s="16"/>
      <c r="N107" s="16"/>
      <c r="O107" s="16"/>
      <c r="P107" s="16"/>
      <c r="Q107" s="16"/>
      <c r="R107" s="16"/>
      <c r="S107" s="16"/>
      <c r="T107" s="16"/>
      <c r="U107" s="16"/>
      <c r="V107" s="16"/>
      <c r="W107" s="16"/>
      <c r="X107" s="16"/>
      <c r="Y107" s="16"/>
      <c r="Z107" s="16"/>
      <c r="AA107" s="16"/>
      <c r="AB107" s="16"/>
      <c r="AC107" s="16"/>
      <c r="AD107" s="16"/>
      <c r="AE107" s="16"/>
      <c r="AF107" s="16"/>
      <c r="AG107" s="16"/>
      <c r="AH107" s="16"/>
    </row>
    <row r="108">
      <c r="A108" s="421" t="s">
        <v>11401</v>
      </c>
      <c r="B108" s="323">
        <v>42739.0</v>
      </c>
      <c r="C108" s="32" t="s">
        <v>11402</v>
      </c>
      <c r="D108" s="32" t="s">
        <v>11402</v>
      </c>
      <c r="E108" s="13" t="s">
        <v>1369</v>
      </c>
      <c r="F108" s="13">
        <v>1.0</v>
      </c>
      <c r="G108" s="13" t="s">
        <v>32</v>
      </c>
      <c r="H108" s="13" t="s">
        <v>33</v>
      </c>
      <c r="I108" s="13" t="s">
        <v>460</v>
      </c>
      <c r="J108" s="13">
        <v>3.0</v>
      </c>
      <c r="K108" s="13" t="s">
        <v>1208</v>
      </c>
      <c r="L108" s="86" t="s">
        <v>11403</v>
      </c>
      <c r="M108" s="16"/>
      <c r="N108" s="16"/>
      <c r="O108" s="16"/>
      <c r="P108" s="16"/>
      <c r="Q108" s="16"/>
      <c r="R108" s="16"/>
      <c r="S108" s="16"/>
      <c r="T108" s="16"/>
      <c r="U108" s="16"/>
      <c r="V108" s="16"/>
      <c r="W108" s="16"/>
      <c r="X108" s="16"/>
      <c r="Y108" s="16"/>
      <c r="Z108" s="16"/>
      <c r="AA108" s="16"/>
      <c r="AB108" s="16"/>
      <c r="AC108" s="16"/>
      <c r="AD108" s="16"/>
      <c r="AE108" s="16"/>
      <c r="AF108" s="16"/>
      <c r="AG108" s="16"/>
      <c r="AH108" s="16"/>
    </row>
    <row r="109">
      <c r="A109" s="421" t="s">
        <v>11404</v>
      </c>
      <c r="B109" s="323">
        <v>42740.0</v>
      </c>
      <c r="C109" s="32" t="s">
        <v>11405</v>
      </c>
      <c r="D109" s="32" t="s">
        <v>11405</v>
      </c>
      <c r="E109" s="13" t="s">
        <v>1369</v>
      </c>
      <c r="F109" s="13">
        <v>1.0</v>
      </c>
      <c r="G109" s="13" t="s">
        <v>32</v>
      </c>
      <c r="H109" s="13" t="s">
        <v>33</v>
      </c>
      <c r="I109" s="13" t="s">
        <v>193</v>
      </c>
      <c r="J109" s="13">
        <v>2.0</v>
      </c>
      <c r="K109" s="13" t="s">
        <v>1208</v>
      </c>
      <c r="L109" s="86" t="s">
        <v>11406</v>
      </c>
      <c r="M109" s="16"/>
      <c r="N109" s="16"/>
      <c r="O109" s="16"/>
      <c r="P109" s="16"/>
      <c r="Q109" s="16"/>
      <c r="R109" s="16"/>
      <c r="S109" s="16"/>
      <c r="T109" s="16"/>
      <c r="U109" s="16"/>
      <c r="V109" s="16"/>
      <c r="W109" s="16"/>
      <c r="X109" s="16"/>
      <c r="Y109" s="16"/>
      <c r="Z109" s="16"/>
      <c r="AA109" s="16"/>
      <c r="AB109" s="16"/>
      <c r="AC109" s="16"/>
      <c r="AD109" s="16"/>
      <c r="AE109" s="16"/>
      <c r="AF109" s="16"/>
      <c r="AG109" s="16"/>
      <c r="AH109" s="16"/>
    </row>
    <row r="110">
      <c r="A110" s="429" t="s">
        <v>239</v>
      </c>
      <c r="B110" s="323">
        <v>42741.0</v>
      </c>
      <c r="C110" s="32" t="s">
        <v>11258</v>
      </c>
      <c r="D110" s="32" t="s">
        <v>11407</v>
      </c>
      <c r="E110" s="13" t="s">
        <v>1369</v>
      </c>
      <c r="F110" s="13">
        <v>9.0</v>
      </c>
      <c r="G110" s="13" t="s">
        <v>32</v>
      </c>
      <c r="H110" s="13" t="s">
        <v>33</v>
      </c>
      <c r="I110" s="13" t="s">
        <v>433</v>
      </c>
      <c r="J110" s="13">
        <v>1.0</v>
      </c>
      <c r="K110" s="13" t="s">
        <v>35</v>
      </c>
      <c r="L110" s="86" t="s">
        <v>11408</v>
      </c>
      <c r="M110" s="16"/>
      <c r="N110" s="16"/>
      <c r="O110" s="16"/>
      <c r="P110" s="16"/>
      <c r="Q110" s="16"/>
      <c r="R110" s="16"/>
      <c r="S110" s="16"/>
      <c r="T110" s="16"/>
      <c r="U110" s="16"/>
      <c r="V110" s="16"/>
      <c r="W110" s="16"/>
      <c r="X110" s="16"/>
      <c r="Y110" s="16"/>
      <c r="Z110" s="16"/>
      <c r="AA110" s="16"/>
      <c r="AB110" s="16"/>
      <c r="AC110" s="16"/>
      <c r="AD110" s="16"/>
      <c r="AE110" s="16"/>
      <c r="AF110" s="16"/>
      <c r="AG110" s="16"/>
      <c r="AH110" s="16"/>
    </row>
    <row r="111">
      <c r="A111" s="426" t="s">
        <v>11409</v>
      </c>
      <c r="B111" s="323">
        <v>42741.0</v>
      </c>
      <c r="C111" s="32" t="s">
        <v>11410</v>
      </c>
      <c r="D111" s="32" t="s">
        <v>11410</v>
      </c>
      <c r="E111" s="13" t="s">
        <v>1369</v>
      </c>
      <c r="F111" s="13">
        <v>2.0</v>
      </c>
      <c r="G111" s="13" t="s">
        <v>32</v>
      </c>
      <c r="H111" s="13" t="s">
        <v>33</v>
      </c>
      <c r="I111" s="13" t="s">
        <v>111</v>
      </c>
      <c r="J111" s="13">
        <v>2.0</v>
      </c>
      <c r="K111" s="13" t="s">
        <v>35</v>
      </c>
      <c r="L111" s="86" t="s">
        <v>11411</v>
      </c>
      <c r="M111" s="16"/>
      <c r="N111" s="16"/>
      <c r="O111" s="16"/>
      <c r="P111" s="16"/>
      <c r="Q111" s="16"/>
      <c r="R111" s="16"/>
      <c r="S111" s="16"/>
      <c r="T111" s="16"/>
      <c r="U111" s="16"/>
      <c r="V111" s="16"/>
      <c r="W111" s="16"/>
      <c r="X111" s="16"/>
      <c r="Y111" s="16"/>
      <c r="Z111" s="16"/>
      <c r="AA111" s="16"/>
      <c r="AB111" s="16"/>
      <c r="AC111" s="16"/>
      <c r="AD111" s="16"/>
      <c r="AE111" s="16"/>
      <c r="AF111" s="16"/>
      <c r="AG111" s="16"/>
      <c r="AH111" s="16"/>
    </row>
    <row r="112">
      <c r="A112" s="429" t="s">
        <v>11412</v>
      </c>
      <c r="B112" s="323">
        <v>42741.0</v>
      </c>
      <c r="C112" s="32" t="s">
        <v>11413</v>
      </c>
      <c r="D112" s="32" t="s">
        <v>11413</v>
      </c>
      <c r="E112" s="13" t="s">
        <v>1369</v>
      </c>
      <c r="F112" s="13">
        <v>1.0</v>
      </c>
      <c r="G112" s="13" t="s">
        <v>32</v>
      </c>
      <c r="H112" s="13" t="s">
        <v>33</v>
      </c>
      <c r="I112" s="13" t="s">
        <v>147</v>
      </c>
      <c r="J112" s="13">
        <v>2.0</v>
      </c>
      <c r="K112" s="13" t="s">
        <v>3268</v>
      </c>
      <c r="L112" s="86" t="s">
        <v>11414</v>
      </c>
      <c r="M112" s="16"/>
      <c r="N112" s="16"/>
      <c r="O112" s="16"/>
      <c r="P112" s="16"/>
      <c r="Q112" s="16"/>
      <c r="R112" s="16"/>
      <c r="S112" s="16"/>
      <c r="T112" s="16"/>
      <c r="U112" s="16"/>
      <c r="V112" s="16"/>
      <c r="W112" s="16"/>
      <c r="X112" s="16"/>
      <c r="Y112" s="16"/>
      <c r="Z112" s="16"/>
      <c r="AA112" s="16"/>
      <c r="AB112" s="16"/>
      <c r="AC112" s="16"/>
      <c r="AD112" s="16"/>
      <c r="AE112" s="16"/>
      <c r="AF112" s="16"/>
      <c r="AG112" s="16"/>
      <c r="AH112" s="16"/>
    </row>
    <row r="113">
      <c r="A113" s="421" t="s">
        <v>11415</v>
      </c>
      <c r="B113" s="323">
        <v>42741.0</v>
      </c>
      <c r="C113" s="32" t="s">
        <v>11407</v>
      </c>
      <c r="D113" s="32" t="s">
        <v>11407</v>
      </c>
      <c r="E113" s="13" t="s">
        <v>1369</v>
      </c>
      <c r="F113" s="13">
        <v>1.0</v>
      </c>
      <c r="G113" s="13" t="s">
        <v>32</v>
      </c>
      <c r="H113" s="13" t="s">
        <v>33</v>
      </c>
      <c r="I113" s="13" t="s">
        <v>124</v>
      </c>
      <c r="J113" s="13">
        <v>1.0</v>
      </c>
      <c r="K113" s="13" t="s">
        <v>807</v>
      </c>
      <c r="L113" s="86" t="s">
        <v>11416</v>
      </c>
      <c r="M113" s="16"/>
      <c r="N113" s="16"/>
      <c r="O113" s="16"/>
      <c r="P113" s="16"/>
      <c r="Q113" s="16"/>
      <c r="R113" s="16"/>
      <c r="S113" s="16"/>
      <c r="T113" s="16"/>
      <c r="U113" s="16"/>
      <c r="V113" s="16"/>
      <c r="W113" s="16"/>
      <c r="X113" s="16"/>
      <c r="Y113" s="16"/>
      <c r="Z113" s="16"/>
      <c r="AA113" s="16"/>
      <c r="AB113" s="16"/>
      <c r="AC113" s="16"/>
      <c r="AD113" s="16"/>
      <c r="AE113" s="16"/>
      <c r="AF113" s="16"/>
      <c r="AG113" s="16"/>
      <c r="AH113" s="16"/>
    </row>
    <row r="114">
      <c r="A114" s="421" t="s">
        <v>11417</v>
      </c>
      <c r="B114" s="323">
        <v>42741.0</v>
      </c>
      <c r="C114" s="32" t="s">
        <v>11418</v>
      </c>
      <c r="D114" s="32" t="s">
        <v>11419</v>
      </c>
      <c r="E114" s="13" t="s">
        <v>1369</v>
      </c>
      <c r="F114" s="13">
        <v>1.0</v>
      </c>
      <c r="G114" s="13" t="s">
        <v>32</v>
      </c>
      <c r="H114" s="13" t="s">
        <v>33</v>
      </c>
      <c r="I114" s="13" t="s">
        <v>93</v>
      </c>
      <c r="J114" s="13">
        <v>1.0</v>
      </c>
      <c r="K114" s="13" t="s">
        <v>1208</v>
      </c>
      <c r="L114" s="86" t="s">
        <v>11420</v>
      </c>
      <c r="M114" s="16"/>
      <c r="N114" s="16"/>
      <c r="O114" s="16"/>
      <c r="P114" s="16"/>
      <c r="Q114" s="16"/>
      <c r="R114" s="16"/>
      <c r="S114" s="16"/>
      <c r="T114" s="16"/>
      <c r="U114" s="16"/>
      <c r="V114" s="16"/>
      <c r="W114" s="16"/>
      <c r="X114" s="16"/>
      <c r="Y114" s="16"/>
      <c r="Z114" s="16"/>
      <c r="AA114" s="16"/>
      <c r="AB114" s="16"/>
      <c r="AC114" s="16"/>
      <c r="AD114" s="16"/>
      <c r="AE114" s="16"/>
      <c r="AF114" s="16"/>
      <c r="AG114" s="16"/>
      <c r="AH114" s="16"/>
    </row>
    <row r="115">
      <c r="A115" s="434" t="s">
        <v>11421</v>
      </c>
      <c r="B115" s="341">
        <v>42740.0</v>
      </c>
      <c r="C115" s="60" t="s">
        <v>11410</v>
      </c>
      <c r="D115" s="60" t="s">
        <v>11410</v>
      </c>
      <c r="E115" s="58" t="s">
        <v>11140</v>
      </c>
      <c r="F115" s="58">
        <v>2.0</v>
      </c>
      <c r="G115" s="58" t="s">
        <v>32</v>
      </c>
      <c r="H115" s="58" t="s">
        <v>33</v>
      </c>
      <c r="I115" s="58" t="s">
        <v>162</v>
      </c>
      <c r="J115" s="58">
        <v>1.0</v>
      </c>
      <c r="K115" s="58" t="s">
        <v>35</v>
      </c>
      <c r="L115" s="88" t="s">
        <v>11422</v>
      </c>
      <c r="M115" s="62"/>
      <c r="N115" s="62"/>
      <c r="O115" s="62"/>
      <c r="P115" s="62"/>
      <c r="Q115" s="62"/>
      <c r="R115" s="62"/>
      <c r="S115" s="62"/>
      <c r="T115" s="62"/>
      <c r="U115" s="62"/>
      <c r="V115" s="62"/>
      <c r="W115" s="62"/>
      <c r="X115" s="62"/>
      <c r="Y115" s="62"/>
      <c r="Z115" s="62"/>
      <c r="AA115" s="62"/>
      <c r="AB115" s="62"/>
      <c r="AC115" s="62"/>
      <c r="AD115" s="62"/>
      <c r="AE115" s="62"/>
      <c r="AF115" s="62"/>
      <c r="AG115" s="62"/>
      <c r="AH115" s="62"/>
    </row>
    <row r="116">
      <c r="A116" s="435" t="s">
        <v>11423</v>
      </c>
      <c r="B116" s="341">
        <v>42744.0</v>
      </c>
      <c r="C116" s="60" t="s">
        <v>11424</v>
      </c>
      <c r="D116" s="60" t="s">
        <v>11424</v>
      </c>
      <c r="E116" s="58" t="s">
        <v>11140</v>
      </c>
      <c r="F116" s="58">
        <v>3.0</v>
      </c>
      <c r="G116" s="58" t="s">
        <v>32</v>
      </c>
      <c r="H116" s="58" t="s">
        <v>33</v>
      </c>
      <c r="I116" s="58" t="s">
        <v>172</v>
      </c>
      <c r="J116" s="58">
        <v>1.0</v>
      </c>
      <c r="K116" s="58" t="s">
        <v>35</v>
      </c>
      <c r="L116" s="88" t="s">
        <v>11425</v>
      </c>
      <c r="M116" s="62"/>
      <c r="N116" s="62"/>
      <c r="O116" s="62"/>
      <c r="P116" s="62"/>
      <c r="Q116" s="62"/>
      <c r="R116" s="62"/>
      <c r="S116" s="62"/>
      <c r="T116" s="62"/>
      <c r="U116" s="62"/>
      <c r="V116" s="62"/>
      <c r="W116" s="62"/>
      <c r="X116" s="62"/>
      <c r="Y116" s="62"/>
      <c r="Z116" s="62"/>
      <c r="AA116" s="62"/>
      <c r="AB116" s="62"/>
      <c r="AC116" s="62"/>
      <c r="AD116" s="62"/>
      <c r="AE116" s="62"/>
      <c r="AF116" s="62"/>
      <c r="AG116" s="62"/>
      <c r="AH116" s="62"/>
    </row>
    <row r="117">
      <c r="A117" s="393" t="s">
        <v>11426</v>
      </c>
      <c r="B117" s="341">
        <v>42745.0</v>
      </c>
      <c r="C117" s="60" t="s">
        <v>11410</v>
      </c>
      <c r="D117" s="60" t="s">
        <v>11410</v>
      </c>
      <c r="E117" s="58" t="s">
        <v>1369</v>
      </c>
      <c r="F117" s="58">
        <v>1.0</v>
      </c>
      <c r="G117" s="58" t="s">
        <v>32</v>
      </c>
      <c r="H117" s="58" t="s">
        <v>33</v>
      </c>
      <c r="I117" s="58" t="s">
        <v>106</v>
      </c>
      <c r="J117" s="58">
        <v>2.0</v>
      </c>
      <c r="K117" s="58" t="s">
        <v>11175</v>
      </c>
      <c r="L117" s="88" t="s">
        <v>11427</v>
      </c>
      <c r="M117" s="62"/>
      <c r="N117" s="62"/>
      <c r="O117" s="62"/>
      <c r="P117" s="62"/>
      <c r="Q117" s="62"/>
      <c r="R117" s="62"/>
      <c r="S117" s="62"/>
      <c r="T117" s="62"/>
      <c r="U117" s="62"/>
      <c r="V117" s="62"/>
      <c r="W117" s="62"/>
      <c r="X117" s="62"/>
      <c r="Y117" s="62"/>
      <c r="Z117" s="62"/>
      <c r="AA117" s="62"/>
      <c r="AB117" s="62"/>
      <c r="AC117" s="62"/>
      <c r="AD117" s="62"/>
      <c r="AE117" s="62"/>
      <c r="AF117" s="62"/>
      <c r="AG117" s="62"/>
      <c r="AH117" s="62"/>
    </row>
    <row r="118">
      <c r="A118" s="393" t="s">
        <v>11428</v>
      </c>
      <c r="B118" s="341">
        <v>42745.0</v>
      </c>
      <c r="C118" s="60" t="s">
        <v>11410</v>
      </c>
      <c r="D118" s="60" t="s">
        <v>11410</v>
      </c>
      <c r="E118" s="58" t="s">
        <v>11135</v>
      </c>
      <c r="F118" s="58">
        <v>1.0</v>
      </c>
      <c r="G118" s="58" t="s">
        <v>32</v>
      </c>
      <c r="H118" s="58" t="s">
        <v>33</v>
      </c>
      <c r="I118" s="58" t="s">
        <v>111</v>
      </c>
      <c r="J118" s="58">
        <v>1.0</v>
      </c>
      <c r="K118" s="58" t="s">
        <v>11429</v>
      </c>
      <c r="L118" s="88" t="s">
        <v>11430</v>
      </c>
      <c r="M118" s="62"/>
      <c r="N118" s="62"/>
      <c r="O118" s="62"/>
      <c r="P118" s="62"/>
      <c r="Q118" s="62"/>
      <c r="R118" s="62"/>
      <c r="S118" s="62"/>
      <c r="T118" s="62"/>
      <c r="U118" s="62"/>
      <c r="V118" s="62"/>
      <c r="W118" s="62"/>
      <c r="X118" s="62"/>
      <c r="Y118" s="62"/>
      <c r="Z118" s="62"/>
      <c r="AA118" s="62"/>
      <c r="AB118" s="62"/>
      <c r="AC118" s="62"/>
      <c r="AD118" s="62"/>
      <c r="AE118" s="62"/>
      <c r="AF118" s="62"/>
      <c r="AG118" s="62"/>
      <c r="AH118" s="62"/>
    </row>
    <row r="119">
      <c r="A119" s="393" t="s">
        <v>660</v>
      </c>
      <c r="B119" s="341">
        <v>42746.0</v>
      </c>
      <c r="C119" s="60" t="s">
        <v>11431</v>
      </c>
      <c r="D119" s="60" t="s">
        <v>11432</v>
      </c>
      <c r="E119" s="58" t="s">
        <v>11140</v>
      </c>
      <c r="F119" s="58">
        <v>10.0</v>
      </c>
      <c r="G119" s="58" t="s">
        <v>32</v>
      </c>
      <c r="H119" s="58" t="s">
        <v>33</v>
      </c>
      <c r="I119" s="58" t="s">
        <v>172</v>
      </c>
      <c r="J119" s="58">
        <v>1.0</v>
      </c>
      <c r="K119" s="58" t="s">
        <v>52</v>
      </c>
      <c r="L119" s="88" t="s">
        <v>11433</v>
      </c>
      <c r="M119" s="62"/>
      <c r="N119" s="62"/>
      <c r="O119" s="62"/>
      <c r="P119" s="62"/>
      <c r="Q119" s="62"/>
      <c r="R119" s="62"/>
      <c r="S119" s="62"/>
      <c r="T119" s="62"/>
      <c r="U119" s="62"/>
      <c r="V119" s="62"/>
      <c r="W119" s="62"/>
      <c r="X119" s="62"/>
      <c r="Y119" s="62"/>
      <c r="Z119" s="62"/>
      <c r="AA119" s="62"/>
      <c r="AB119" s="62"/>
      <c r="AC119" s="62"/>
      <c r="AD119" s="62"/>
      <c r="AE119" s="62"/>
      <c r="AF119" s="62"/>
      <c r="AG119" s="62"/>
      <c r="AH119" s="62"/>
    </row>
    <row r="120">
      <c r="A120" s="393" t="s">
        <v>11434</v>
      </c>
      <c r="B120" s="341">
        <v>42746.0</v>
      </c>
      <c r="C120" s="60" t="s">
        <v>11435</v>
      </c>
      <c r="D120" s="60" t="s">
        <v>11435</v>
      </c>
      <c r="E120" s="58" t="s">
        <v>11135</v>
      </c>
      <c r="F120" s="58">
        <v>1.0</v>
      </c>
      <c r="G120" s="58" t="s">
        <v>32</v>
      </c>
      <c r="H120" s="58" t="s">
        <v>33</v>
      </c>
      <c r="I120" s="58" t="s">
        <v>115</v>
      </c>
      <c r="J120" s="58">
        <v>1.0</v>
      </c>
      <c r="K120" s="58" t="s">
        <v>52</v>
      </c>
      <c r="L120" s="88" t="s">
        <v>11436</v>
      </c>
      <c r="M120" s="62"/>
      <c r="N120" s="62"/>
      <c r="O120" s="62"/>
      <c r="P120" s="62"/>
      <c r="Q120" s="62"/>
      <c r="R120" s="62"/>
      <c r="S120" s="62"/>
      <c r="T120" s="62"/>
      <c r="U120" s="62"/>
      <c r="V120" s="62"/>
      <c r="W120" s="62"/>
      <c r="X120" s="62"/>
      <c r="Y120" s="62"/>
      <c r="Z120" s="62"/>
      <c r="AA120" s="62"/>
      <c r="AB120" s="62"/>
      <c r="AC120" s="62"/>
      <c r="AD120" s="62"/>
      <c r="AE120" s="62"/>
      <c r="AF120" s="62"/>
      <c r="AG120" s="62"/>
      <c r="AH120" s="62"/>
    </row>
    <row r="121">
      <c r="A121" s="393" t="s">
        <v>660</v>
      </c>
      <c r="B121" s="341">
        <v>42746.0</v>
      </c>
      <c r="C121" s="60" t="s">
        <v>11407</v>
      </c>
      <c r="D121" s="60" t="s">
        <v>11407</v>
      </c>
      <c r="E121" s="58" t="s">
        <v>1369</v>
      </c>
      <c r="F121" s="58">
        <v>13.0</v>
      </c>
      <c r="G121" s="58" t="s">
        <v>32</v>
      </c>
      <c r="H121" s="58" t="s">
        <v>33</v>
      </c>
      <c r="I121" s="58" t="s">
        <v>89</v>
      </c>
      <c r="J121" s="58">
        <v>1.0</v>
      </c>
      <c r="K121" s="58" t="s">
        <v>11437</v>
      </c>
      <c r="L121" s="88" t="s">
        <v>11438</v>
      </c>
      <c r="M121" s="62"/>
      <c r="N121" s="62"/>
      <c r="O121" s="62"/>
      <c r="P121" s="62"/>
      <c r="Q121" s="62"/>
      <c r="R121" s="62"/>
      <c r="S121" s="62"/>
      <c r="T121" s="62"/>
      <c r="U121" s="62"/>
      <c r="V121" s="62"/>
      <c r="W121" s="62"/>
      <c r="X121" s="62"/>
      <c r="Y121" s="62"/>
      <c r="Z121" s="62"/>
      <c r="AA121" s="62"/>
      <c r="AB121" s="62"/>
      <c r="AC121" s="62"/>
      <c r="AD121" s="62"/>
      <c r="AE121" s="62"/>
      <c r="AF121" s="62"/>
      <c r="AG121" s="62"/>
      <c r="AH121" s="62"/>
    </row>
    <row r="122">
      <c r="A122" s="393" t="s">
        <v>11439</v>
      </c>
      <c r="B122" s="341">
        <v>42747.0</v>
      </c>
      <c r="C122" s="60" t="s">
        <v>11440</v>
      </c>
      <c r="D122" s="60" t="s">
        <v>11440</v>
      </c>
      <c r="E122" s="58" t="s">
        <v>1369</v>
      </c>
      <c r="F122" s="58">
        <v>2.0</v>
      </c>
      <c r="G122" s="58" t="s">
        <v>32</v>
      </c>
      <c r="H122" s="58" t="s">
        <v>33</v>
      </c>
      <c r="I122" s="58" t="s">
        <v>410</v>
      </c>
      <c r="J122" s="58">
        <v>1.0</v>
      </c>
      <c r="K122" s="58" t="s">
        <v>52</v>
      </c>
      <c r="L122" s="88" t="s">
        <v>11441</v>
      </c>
      <c r="M122" s="62"/>
      <c r="N122" s="62"/>
      <c r="O122" s="62"/>
      <c r="P122" s="62"/>
      <c r="Q122" s="62"/>
      <c r="R122" s="62"/>
      <c r="S122" s="62"/>
      <c r="T122" s="62"/>
      <c r="U122" s="62"/>
      <c r="V122" s="62"/>
      <c r="W122" s="62"/>
      <c r="X122" s="62"/>
      <c r="Y122" s="62"/>
      <c r="Z122" s="62"/>
      <c r="AA122" s="62"/>
      <c r="AB122" s="62"/>
      <c r="AC122" s="62"/>
      <c r="AD122" s="62"/>
      <c r="AE122" s="62"/>
      <c r="AF122" s="62"/>
      <c r="AG122" s="62"/>
      <c r="AH122" s="62"/>
    </row>
    <row r="123">
      <c r="A123" s="393" t="s">
        <v>11442</v>
      </c>
      <c r="B123" s="341">
        <v>42747.0</v>
      </c>
      <c r="C123" s="60" t="s">
        <v>11407</v>
      </c>
      <c r="D123" s="60" t="s">
        <v>11407</v>
      </c>
      <c r="E123" s="58" t="s">
        <v>1369</v>
      </c>
      <c r="F123" s="58">
        <v>1.0</v>
      </c>
      <c r="G123" s="58" t="s">
        <v>32</v>
      </c>
      <c r="H123" s="58" t="s">
        <v>33</v>
      </c>
      <c r="I123" s="58" t="s">
        <v>279</v>
      </c>
      <c r="J123" s="58">
        <v>1.0</v>
      </c>
      <c r="K123" s="58" t="s">
        <v>35</v>
      </c>
      <c r="L123" s="88" t="s">
        <v>11443</v>
      </c>
      <c r="M123" s="62"/>
      <c r="N123" s="62"/>
      <c r="O123" s="62"/>
      <c r="P123" s="62"/>
      <c r="Q123" s="62"/>
      <c r="R123" s="62"/>
      <c r="S123" s="62"/>
      <c r="T123" s="62"/>
      <c r="U123" s="62"/>
      <c r="V123" s="62"/>
      <c r="W123" s="62"/>
      <c r="X123" s="62"/>
      <c r="Y123" s="62"/>
      <c r="Z123" s="62"/>
      <c r="AA123" s="62"/>
      <c r="AB123" s="62"/>
      <c r="AC123" s="62"/>
      <c r="AD123" s="62"/>
      <c r="AE123" s="62"/>
      <c r="AF123" s="62"/>
      <c r="AG123" s="62"/>
      <c r="AH123" s="62"/>
    </row>
    <row r="124">
      <c r="A124" s="436" t="s">
        <v>11444</v>
      </c>
      <c r="B124" s="341">
        <v>42748.0</v>
      </c>
      <c r="C124" s="60" t="s">
        <v>11445</v>
      </c>
      <c r="D124" s="60" t="s">
        <v>11445</v>
      </c>
      <c r="E124" s="58" t="s">
        <v>11140</v>
      </c>
      <c r="F124" s="58">
        <v>2.0</v>
      </c>
      <c r="G124" s="58" t="s">
        <v>32</v>
      </c>
      <c r="H124" s="58" t="s">
        <v>33</v>
      </c>
      <c r="I124" s="58" t="s">
        <v>111</v>
      </c>
      <c r="J124" s="58">
        <v>1.0</v>
      </c>
      <c r="K124" s="58" t="s">
        <v>35</v>
      </c>
      <c r="L124" s="88" t="s">
        <v>11446</v>
      </c>
      <c r="M124" s="62"/>
      <c r="N124" s="62"/>
      <c r="O124" s="62"/>
      <c r="P124" s="62"/>
      <c r="Q124" s="62"/>
      <c r="R124" s="62"/>
      <c r="S124" s="62"/>
      <c r="T124" s="62"/>
      <c r="U124" s="62"/>
      <c r="V124" s="62"/>
      <c r="W124" s="62"/>
      <c r="X124" s="62"/>
      <c r="Y124" s="62"/>
      <c r="Z124" s="62"/>
      <c r="AA124" s="62"/>
      <c r="AB124" s="62"/>
      <c r="AC124" s="62"/>
      <c r="AD124" s="62"/>
      <c r="AE124" s="62"/>
      <c r="AF124" s="62"/>
      <c r="AG124" s="62"/>
      <c r="AH124" s="62"/>
    </row>
    <row r="125">
      <c r="A125" s="436" t="s">
        <v>11447</v>
      </c>
      <c r="B125" s="341">
        <v>42748.0</v>
      </c>
      <c r="C125" s="60" t="s">
        <v>11448</v>
      </c>
      <c r="D125" s="60" t="s">
        <v>11448</v>
      </c>
      <c r="E125" s="58" t="s">
        <v>11135</v>
      </c>
      <c r="F125" s="58">
        <v>1.0</v>
      </c>
      <c r="G125" s="58" t="s">
        <v>32</v>
      </c>
      <c r="H125" s="58" t="s">
        <v>33</v>
      </c>
      <c r="I125" s="58" t="s">
        <v>504</v>
      </c>
      <c r="J125" s="58">
        <v>1.0</v>
      </c>
      <c r="K125" s="58" t="s">
        <v>11429</v>
      </c>
      <c r="L125" s="88" t="s">
        <v>11449</v>
      </c>
      <c r="M125" s="62"/>
      <c r="N125" s="62"/>
      <c r="O125" s="62"/>
      <c r="P125" s="62"/>
      <c r="Q125" s="62"/>
      <c r="R125" s="62"/>
      <c r="S125" s="62"/>
      <c r="T125" s="62"/>
      <c r="U125" s="62"/>
      <c r="V125" s="62"/>
      <c r="W125" s="62"/>
      <c r="X125" s="62"/>
      <c r="Y125" s="62"/>
      <c r="Z125" s="62"/>
      <c r="AA125" s="62"/>
      <c r="AB125" s="62"/>
      <c r="AC125" s="62"/>
      <c r="AD125" s="62"/>
      <c r="AE125" s="62"/>
      <c r="AF125" s="62"/>
      <c r="AG125" s="62"/>
      <c r="AH125" s="62"/>
    </row>
    <row r="126">
      <c r="A126" s="436" t="s">
        <v>11450</v>
      </c>
      <c r="B126" s="341">
        <v>42748.0</v>
      </c>
      <c r="C126" s="60" t="s">
        <v>11168</v>
      </c>
      <c r="D126" s="60" t="s">
        <v>11168</v>
      </c>
      <c r="E126" s="58" t="s">
        <v>1369</v>
      </c>
      <c r="F126" s="58">
        <v>1.0</v>
      </c>
      <c r="G126" s="58" t="s">
        <v>32</v>
      </c>
      <c r="H126" s="58" t="s">
        <v>33</v>
      </c>
      <c r="I126" s="58" t="s">
        <v>318</v>
      </c>
      <c r="J126" s="58">
        <v>2.0</v>
      </c>
      <c r="K126" s="58" t="s">
        <v>99</v>
      </c>
      <c r="L126" s="88" t="s">
        <v>11451</v>
      </c>
      <c r="M126" s="62"/>
      <c r="N126" s="62"/>
      <c r="O126" s="62"/>
      <c r="P126" s="62"/>
      <c r="Q126" s="62"/>
      <c r="R126" s="62"/>
      <c r="S126" s="62"/>
      <c r="T126" s="62"/>
      <c r="U126" s="62"/>
      <c r="V126" s="62"/>
      <c r="W126" s="62"/>
      <c r="X126" s="62"/>
      <c r="Y126" s="62"/>
      <c r="Z126" s="62"/>
      <c r="AA126" s="62"/>
      <c r="AB126" s="62"/>
      <c r="AC126" s="62"/>
      <c r="AD126" s="62"/>
      <c r="AE126" s="62"/>
      <c r="AF126" s="62"/>
      <c r="AG126" s="62"/>
      <c r="AH126" s="62"/>
    </row>
    <row r="127">
      <c r="A127" s="436" t="s">
        <v>11452</v>
      </c>
      <c r="B127" s="341">
        <v>42751.0</v>
      </c>
      <c r="C127" s="60" t="s">
        <v>11448</v>
      </c>
      <c r="D127" s="60" t="s">
        <v>11448</v>
      </c>
      <c r="E127" s="58" t="s">
        <v>11135</v>
      </c>
      <c r="F127" s="58">
        <v>1.0</v>
      </c>
      <c r="G127" s="58" t="s">
        <v>32</v>
      </c>
      <c r="H127" s="58" t="s">
        <v>33</v>
      </c>
      <c r="I127" s="58" t="s">
        <v>42</v>
      </c>
      <c r="J127" s="58">
        <v>1.0</v>
      </c>
      <c r="K127" s="58" t="s">
        <v>52</v>
      </c>
      <c r="L127" s="88" t="s">
        <v>11453</v>
      </c>
      <c r="M127" s="62"/>
      <c r="N127" s="62"/>
      <c r="O127" s="62"/>
      <c r="P127" s="62"/>
      <c r="Q127" s="62"/>
      <c r="R127" s="62"/>
      <c r="S127" s="62"/>
      <c r="T127" s="62"/>
      <c r="U127" s="62"/>
      <c r="V127" s="62"/>
      <c r="W127" s="62"/>
      <c r="X127" s="62"/>
      <c r="Y127" s="62"/>
      <c r="Z127" s="62"/>
      <c r="AA127" s="62"/>
      <c r="AB127" s="62"/>
      <c r="AC127" s="62"/>
      <c r="AD127" s="62"/>
      <c r="AE127" s="62"/>
      <c r="AF127" s="62"/>
      <c r="AG127" s="62"/>
      <c r="AH127" s="62"/>
    </row>
    <row r="128">
      <c r="A128" s="436" t="s">
        <v>11454</v>
      </c>
      <c r="B128" s="341">
        <v>42751.0</v>
      </c>
      <c r="C128" s="60" t="s">
        <v>11455</v>
      </c>
      <c r="D128" s="60" t="s">
        <v>11456</v>
      </c>
      <c r="E128" s="58" t="s">
        <v>1369</v>
      </c>
      <c r="F128" s="58">
        <v>3.0</v>
      </c>
      <c r="G128" s="58" t="s">
        <v>32</v>
      </c>
      <c r="H128" s="58" t="s">
        <v>33</v>
      </c>
      <c r="I128" s="58" t="s">
        <v>111</v>
      </c>
      <c r="J128" s="58">
        <v>1.0</v>
      </c>
      <c r="K128" s="58" t="s">
        <v>52</v>
      </c>
      <c r="L128" s="88" t="s">
        <v>11433</v>
      </c>
      <c r="M128" s="62"/>
      <c r="N128" s="62"/>
      <c r="O128" s="62"/>
      <c r="P128" s="62"/>
      <c r="Q128" s="62"/>
      <c r="R128" s="62"/>
      <c r="S128" s="62"/>
      <c r="T128" s="62"/>
      <c r="U128" s="62"/>
      <c r="V128" s="62"/>
      <c r="W128" s="62"/>
      <c r="X128" s="62"/>
      <c r="Y128" s="62"/>
      <c r="Z128" s="62"/>
      <c r="AA128" s="62"/>
      <c r="AB128" s="62"/>
      <c r="AC128" s="62"/>
      <c r="AD128" s="62"/>
      <c r="AE128" s="62"/>
      <c r="AF128" s="62"/>
      <c r="AG128" s="62"/>
      <c r="AH128" s="62"/>
    </row>
    <row r="129">
      <c r="A129" s="436" t="s">
        <v>239</v>
      </c>
      <c r="B129" s="341">
        <v>42752.0</v>
      </c>
      <c r="C129" s="60" t="s">
        <v>11455</v>
      </c>
      <c r="D129" s="60" t="s">
        <v>11455</v>
      </c>
      <c r="E129" s="58" t="s">
        <v>11457</v>
      </c>
      <c r="F129" s="58">
        <v>17.0</v>
      </c>
      <c r="G129" s="58" t="s">
        <v>32</v>
      </c>
      <c r="H129" s="58" t="s">
        <v>33</v>
      </c>
      <c r="I129" s="58" t="s">
        <v>115</v>
      </c>
      <c r="J129" s="58">
        <v>1.0</v>
      </c>
      <c r="K129" s="58" t="s">
        <v>52</v>
      </c>
      <c r="L129" s="88" t="s">
        <v>11458</v>
      </c>
      <c r="M129" s="62"/>
      <c r="N129" s="62"/>
      <c r="O129" s="62"/>
      <c r="P129" s="62"/>
      <c r="Q129" s="62"/>
      <c r="R129" s="62"/>
      <c r="S129" s="62"/>
      <c r="T129" s="62"/>
      <c r="U129" s="62"/>
      <c r="V129" s="62"/>
      <c r="W129" s="62"/>
      <c r="X129" s="62"/>
      <c r="Y129" s="62"/>
      <c r="Z129" s="62"/>
      <c r="AA129" s="62"/>
      <c r="AB129" s="62"/>
      <c r="AC129" s="62"/>
      <c r="AD129" s="62"/>
      <c r="AE129" s="62"/>
      <c r="AF129" s="62"/>
      <c r="AG129" s="62"/>
      <c r="AH129" s="62"/>
    </row>
    <row r="130">
      <c r="A130" s="436" t="s">
        <v>11459</v>
      </c>
      <c r="B130" s="341">
        <v>42752.0</v>
      </c>
      <c r="C130" s="60" t="s">
        <v>11448</v>
      </c>
      <c r="D130" s="60" t="s">
        <v>11448</v>
      </c>
      <c r="E130" s="58" t="s">
        <v>1369</v>
      </c>
      <c r="F130" s="58">
        <v>1.0</v>
      </c>
      <c r="G130" s="58" t="s">
        <v>32</v>
      </c>
      <c r="H130" s="58" t="s">
        <v>33</v>
      </c>
      <c r="I130" s="58" t="s">
        <v>115</v>
      </c>
      <c r="J130" s="58">
        <v>1.0</v>
      </c>
      <c r="K130" s="58" t="s">
        <v>995</v>
      </c>
      <c r="L130" s="88" t="s">
        <v>11460</v>
      </c>
      <c r="M130" s="62"/>
      <c r="N130" s="62"/>
      <c r="O130" s="62"/>
      <c r="P130" s="62"/>
      <c r="Q130" s="62"/>
      <c r="R130" s="62"/>
      <c r="S130" s="62"/>
      <c r="T130" s="62"/>
      <c r="U130" s="62"/>
      <c r="V130" s="62"/>
      <c r="W130" s="62"/>
      <c r="X130" s="62"/>
      <c r="Y130" s="62"/>
      <c r="Z130" s="62"/>
      <c r="AA130" s="62"/>
      <c r="AB130" s="62"/>
      <c r="AC130" s="62"/>
      <c r="AD130" s="62"/>
      <c r="AE130" s="62"/>
      <c r="AF130" s="62"/>
      <c r="AG130" s="62"/>
      <c r="AH130" s="62"/>
    </row>
    <row r="131">
      <c r="A131" s="393" t="s">
        <v>11461</v>
      </c>
      <c r="B131" s="341">
        <v>42752.0</v>
      </c>
      <c r="C131" s="60" t="s">
        <v>11448</v>
      </c>
      <c r="D131" s="60" t="s">
        <v>11448</v>
      </c>
      <c r="E131" s="58" t="s">
        <v>1369</v>
      </c>
      <c r="F131" s="58">
        <v>1.0</v>
      </c>
      <c r="G131" s="58" t="s">
        <v>32</v>
      </c>
      <c r="H131" s="58" t="s">
        <v>33</v>
      </c>
      <c r="I131" s="58" t="s">
        <v>93</v>
      </c>
      <c r="J131" s="58">
        <v>1.0</v>
      </c>
      <c r="K131" s="58" t="s">
        <v>807</v>
      </c>
      <c r="L131" s="88" t="s">
        <v>11462</v>
      </c>
      <c r="M131" s="62"/>
      <c r="N131" s="62"/>
      <c r="O131" s="62"/>
      <c r="P131" s="62"/>
      <c r="Q131" s="62"/>
      <c r="R131" s="62"/>
      <c r="S131" s="62"/>
      <c r="T131" s="62"/>
      <c r="U131" s="62"/>
      <c r="V131" s="62"/>
      <c r="W131" s="62"/>
      <c r="X131" s="62"/>
      <c r="Y131" s="62"/>
      <c r="Z131" s="62"/>
      <c r="AA131" s="62"/>
      <c r="AB131" s="62"/>
      <c r="AC131" s="62"/>
      <c r="AD131" s="62"/>
      <c r="AE131" s="62"/>
      <c r="AF131" s="62"/>
      <c r="AG131" s="62"/>
      <c r="AH131" s="62"/>
    </row>
    <row r="132">
      <c r="A132" s="437" t="s">
        <v>11463</v>
      </c>
      <c r="B132" s="341">
        <v>42753.0</v>
      </c>
      <c r="C132" s="60" t="s">
        <v>11464</v>
      </c>
      <c r="D132" s="60" t="s">
        <v>11465</v>
      </c>
      <c r="E132" s="58" t="s">
        <v>11135</v>
      </c>
      <c r="F132" s="58">
        <v>1.0</v>
      </c>
      <c r="G132" s="58" t="s">
        <v>32</v>
      </c>
      <c r="H132" s="58" t="s">
        <v>33</v>
      </c>
      <c r="I132" s="58" t="s">
        <v>147</v>
      </c>
      <c r="J132" s="58" t="s">
        <v>32</v>
      </c>
      <c r="K132" s="58" t="s">
        <v>35</v>
      </c>
      <c r="L132" s="430" t="s">
        <v>11466</v>
      </c>
      <c r="M132" s="62"/>
      <c r="N132" s="62"/>
      <c r="O132" s="62"/>
      <c r="P132" s="62"/>
      <c r="Q132" s="62"/>
      <c r="R132" s="62"/>
      <c r="S132" s="62"/>
      <c r="T132" s="62"/>
      <c r="U132" s="62"/>
      <c r="V132" s="62"/>
      <c r="W132" s="62"/>
      <c r="X132" s="62"/>
      <c r="Y132" s="62"/>
      <c r="Z132" s="62"/>
      <c r="AA132" s="62"/>
      <c r="AB132" s="62"/>
      <c r="AC132" s="62"/>
      <c r="AD132" s="62"/>
      <c r="AE132" s="62"/>
      <c r="AF132" s="62"/>
      <c r="AG132" s="62"/>
      <c r="AH132" s="62"/>
    </row>
    <row r="133">
      <c r="A133" s="437" t="s">
        <v>11467</v>
      </c>
      <c r="B133" s="341">
        <v>42753.0</v>
      </c>
      <c r="C133" s="60" t="s">
        <v>11468</v>
      </c>
      <c r="D133" s="60" t="s">
        <v>11468</v>
      </c>
      <c r="E133" s="58" t="s">
        <v>1369</v>
      </c>
      <c r="F133" s="58">
        <v>1.0</v>
      </c>
      <c r="G133" s="58" t="s">
        <v>32</v>
      </c>
      <c r="H133" s="58" t="s">
        <v>33</v>
      </c>
      <c r="I133" s="58" t="s">
        <v>61</v>
      </c>
      <c r="J133" s="58">
        <v>1.0</v>
      </c>
      <c r="K133" s="58" t="s">
        <v>35</v>
      </c>
      <c r="L133" s="430" t="s">
        <v>11469</v>
      </c>
      <c r="M133" s="62"/>
      <c r="N133" s="62"/>
      <c r="O133" s="62"/>
      <c r="P133" s="62"/>
      <c r="Q133" s="62"/>
      <c r="R133" s="62"/>
      <c r="S133" s="62"/>
      <c r="T133" s="62"/>
      <c r="U133" s="62"/>
      <c r="V133" s="62"/>
      <c r="W133" s="62"/>
      <c r="X133" s="62"/>
      <c r="Y133" s="62"/>
      <c r="Z133" s="62"/>
      <c r="AA133" s="62"/>
      <c r="AB133" s="62"/>
      <c r="AC133" s="62"/>
      <c r="AD133" s="62"/>
      <c r="AE133" s="62"/>
      <c r="AF133" s="62"/>
      <c r="AG133" s="62"/>
      <c r="AH133" s="62"/>
    </row>
    <row r="134">
      <c r="A134" s="437" t="s">
        <v>11470</v>
      </c>
      <c r="B134" s="341">
        <v>42753.0</v>
      </c>
      <c r="C134" s="60" t="s">
        <v>11471</v>
      </c>
      <c r="D134" s="60" t="s">
        <v>11468</v>
      </c>
      <c r="E134" s="58" t="s">
        <v>11140</v>
      </c>
      <c r="F134" s="58">
        <v>2.0</v>
      </c>
      <c r="G134" s="58" t="s">
        <v>32</v>
      </c>
      <c r="H134" s="58" t="s">
        <v>33</v>
      </c>
      <c r="I134" s="58" t="s">
        <v>85</v>
      </c>
      <c r="J134" s="58">
        <v>1.0</v>
      </c>
      <c r="K134" s="58" t="s">
        <v>35</v>
      </c>
      <c r="L134" s="430" t="s">
        <v>11472</v>
      </c>
      <c r="M134" s="62"/>
      <c r="N134" s="62"/>
      <c r="O134" s="62"/>
      <c r="P134" s="62"/>
      <c r="Q134" s="62"/>
      <c r="R134" s="62"/>
      <c r="S134" s="62"/>
      <c r="T134" s="62"/>
      <c r="U134" s="62"/>
      <c r="V134" s="62"/>
      <c r="W134" s="62"/>
      <c r="X134" s="62"/>
      <c r="Y134" s="62"/>
      <c r="Z134" s="62"/>
      <c r="AA134" s="62"/>
      <c r="AB134" s="62"/>
      <c r="AC134" s="62"/>
      <c r="AD134" s="62"/>
      <c r="AE134" s="62"/>
      <c r="AF134" s="62"/>
      <c r="AG134" s="62"/>
      <c r="AH134" s="62"/>
    </row>
    <row r="135">
      <c r="A135" s="437" t="s">
        <v>11473</v>
      </c>
      <c r="B135" s="341">
        <v>42753.0</v>
      </c>
      <c r="C135" s="60" t="s">
        <v>11474</v>
      </c>
      <c r="D135" s="60" t="s">
        <v>11474</v>
      </c>
      <c r="E135" s="58" t="s">
        <v>11135</v>
      </c>
      <c r="F135" s="58">
        <v>2.0</v>
      </c>
      <c r="G135" s="58" t="s">
        <v>32</v>
      </c>
      <c r="H135" s="58" t="s">
        <v>33</v>
      </c>
      <c r="I135" s="58" t="s">
        <v>241</v>
      </c>
      <c r="J135" s="58">
        <v>2.0</v>
      </c>
      <c r="K135" s="58" t="s">
        <v>11429</v>
      </c>
      <c r="L135" s="430" t="s">
        <v>11475</v>
      </c>
      <c r="M135" s="62"/>
      <c r="N135" s="62"/>
      <c r="O135" s="62"/>
      <c r="P135" s="62"/>
      <c r="Q135" s="62"/>
      <c r="R135" s="62"/>
      <c r="S135" s="62"/>
      <c r="T135" s="62"/>
      <c r="U135" s="62"/>
      <c r="V135" s="62"/>
      <c r="W135" s="62"/>
      <c r="X135" s="62"/>
      <c r="Y135" s="62"/>
      <c r="Z135" s="62"/>
      <c r="AA135" s="62"/>
      <c r="AB135" s="62"/>
      <c r="AC135" s="62"/>
      <c r="AD135" s="62"/>
      <c r="AE135" s="62"/>
      <c r="AF135" s="62"/>
      <c r="AG135" s="62"/>
      <c r="AH135" s="62"/>
    </row>
    <row r="136">
      <c r="A136" s="393" t="s">
        <v>11476</v>
      </c>
      <c r="B136" s="341">
        <v>42753.0</v>
      </c>
      <c r="C136" s="60" t="s">
        <v>11413</v>
      </c>
      <c r="D136" s="60" t="s">
        <v>11413</v>
      </c>
      <c r="E136" s="58" t="s">
        <v>1369</v>
      </c>
      <c r="F136" s="58">
        <v>1.0</v>
      </c>
      <c r="G136" s="58" t="s">
        <v>32</v>
      </c>
      <c r="H136" s="58" t="s">
        <v>33</v>
      </c>
      <c r="I136" s="58" t="s">
        <v>147</v>
      </c>
      <c r="J136" s="58">
        <v>2.0</v>
      </c>
      <c r="K136" s="58" t="s">
        <v>2885</v>
      </c>
      <c r="L136" s="88" t="s">
        <v>11477</v>
      </c>
      <c r="M136" s="62"/>
      <c r="N136" s="62"/>
      <c r="O136" s="62"/>
      <c r="P136" s="62"/>
      <c r="Q136" s="62"/>
      <c r="R136" s="62"/>
      <c r="S136" s="62"/>
      <c r="T136" s="62"/>
      <c r="U136" s="62"/>
      <c r="V136" s="62"/>
      <c r="W136" s="62"/>
      <c r="X136" s="62"/>
      <c r="Y136" s="62"/>
      <c r="Z136" s="62"/>
      <c r="AA136" s="62"/>
      <c r="AB136" s="62"/>
      <c r="AC136" s="62"/>
      <c r="AD136" s="62"/>
      <c r="AE136" s="62"/>
      <c r="AF136" s="62"/>
      <c r="AG136" s="62"/>
      <c r="AH136" s="62"/>
    </row>
    <row r="137">
      <c r="A137" s="393" t="s">
        <v>11478</v>
      </c>
      <c r="B137" s="341">
        <v>42753.0</v>
      </c>
      <c r="C137" s="60" t="s">
        <v>11479</v>
      </c>
      <c r="D137" s="60" t="s">
        <v>11479</v>
      </c>
      <c r="E137" s="58" t="s">
        <v>1369</v>
      </c>
      <c r="F137" s="58">
        <v>1.0</v>
      </c>
      <c r="G137" s="58" t="s">
        <v>32</v>
      </c>
      <c r="H137" s="58" t="s">
        <v>33</v>
      </c>
      <c r="I137" s="58" t="s">
        <v>147</v>
      </c>
      <c r="J137" s="58">
        <v>2.0</v>
      </c>
      <c r="K137" s="58" t="s">
        <v>1208</v>
      </c>
      <c r="L137" s="88" t="s">
        <v>11480</v>
      </c>
      <c r="M137" s="62"/>
      <c r="N137" s="62"/>
      <c r="O137" s="62"/>
      <c r="P137" s="62"/>
      <c r="Q137" s="62"/>
      <c r="R137" s="62"/>
      <c r="S137" s="62"/>
      <c r="T137" s="62"/>
      <c r="U137" s="62"/>
      <c r="V137" s="62"/>
      <c r="W137" s="62"/>
      <c r="X137" s="62"/>
      <c r="Y137" s="62"/>
      <c r="Z137" s="62"/>
      <c r="AA137" s="62"/>
      <c r="AB137" s="62"/>
      <c r="AC137" s="62"/>
      <c r="AD137" s="62"/>
      <c r="AE137" s="62"/>
      <c r="AF137" s="62"/>
      <c r="AG137" s="62"/>
      <c r="AH137" s="62"/>
    </row>
    <row r="138">
      <c r="A138" s="393" t="s">
        <v>11481</v>
      </c>
      <c r="B138" s="341" t="s">
        <v>11482</v>
      </c>
      <c r="C138" s="60" t="s">
        <v>11468</v>
      </c>
      <c r="D138" s="60" t="s">
        <v>11471</v>
      </c>
      <c r="E138" s="58" t="s">
        <v>1369</v>
      </c>
      <c r="F138" s="58">
        <v>1.0</v>
      </c>
      <c r="G138" s="58" t="s">
        <v>32</v>
      </c>
      <c r="H138" s="58" t="s">
        <v>33</v>
      </c>
      <c r="I138" s="58" t="s">
        <v>524</v>
      </c>
      <c r="J138" s="58">
        <v>2.0</v>
      </c>
      <c r="K138" s="58" t="s">
        <v>1208</v>
      </c>
      <c r="L138" s="88" t="s">
        <v>11483</v>
      </c>
      <c r="M138" s="62"/>
      <c r="N138" s="62"/>
      <c r="O138" s="62"/>
      <c r="P138" s="62"/>
      <c r="Q138" s="62"/>
      <c r="R138" s="62"/>
      <c r="S138" s="62"/>
      <c r="T138" s="62"/>
      <c r="U138" s="62"/>
      <c r="V138" s="62"/>
      <c r="W138" s="62"/>
      <c r="X138" s="62"/>
      <c r="Y138" s="62"/>
      <c r="Z138" s="62"/>
      <c r="AA138" s="62"/>
      <c r="AB138" s="62"/>
      <c r="AC138" s="62"/>
      <c r="AD138" s="62"/>
      <c r="AE138" s="62"/>
      <c r="AF138" s="62"/>
      <c r="AG138" s="62"/>
      <c r="AH138" s="62"/>
    </row>
    <row r="139">
      <c r="A139" s="438" t="s">
        <v>11484</v>
      </c>
      <c r="B139" s="341">
        <v>42754.0</v>
      </c>
      <c r="C139" s="60" t="s">
        <v>11485</v>
      </c>
      <c r="D139" s="60" t="s">
        <v>11485</v>
      </c>
      <c r="E139" s="58" t="s">
        <v>11135</v>
      </c>
      <c r="F139" s="58">
        <v>5.0</v>
      </c>
      <c r="G139" s="58" t="s">
        <v>32</v>
      </c>
      <c r="H139" s="58" t="s">
        <v>33</v>
      </c>
      <c r="I139" s="58" t="s">
        <v>111</v>
      </c>
      <c r="J139" s="58">
        <v>1.0</v>
      </c>
      <c r="K139" s="58" t="s">
        <v>11486</v>
      </c>
      <c r="L139" s="439" t="s">
        <v>11487</v>
      </c>
      <c r="M139" s="62"/>
      <c r="N139" s="62"/>
      <c r="O139" s="62"/>
      <c r="P139" s="62"/>
      <c r="Q139" s="62"/>
      <c r="R139" s="62"/>
      <c r="S139" s="62"/>
      <c r="T139" s="62"/>
      <c r="U139" s="62"/>
      <c r="V139" s="62"/>
      <c r="W139" s="62"/>
      <c r="X139" s="62"/>
      <c r="Y139" s="62"/>
      <c r="Z139" s="62"/>
      <c r="AA139" s="62"/>
      <c r="AB139" s="62"/>
      <c r="AC139" s="62"/>
      <c r="AD139" s="62"/>
      <c r="AE139" s="62"/>
      <c r="AF139" s="62"/>
      <c r="AG139" s="62"/>
      <c r="AH139" s="62"/>
    </row>
    <row r="140">
      <c r="A140" s="393" t="s">
        <v>11488</v>
      </c>
      <c r="B140" s="341">
        <v>42754.0</v>
      </c>
      <c r="C140" s="60" t="s">
        <v>11489</v>
      </c>
      <c r="D140" s="60" t="s">
        <v>11489</v>
      </c>
      <c r="E140" s="58" t="s">
        <v>1369</v>
      </c>
      <c r="F140" s="58">
        <v>1.0</v>
      </c>
      <c r="G140" s="58" t="s">
        <v>32</v>
      </c>
      <c r="H140" s="58" t="s">
        <v>33</v>
      </c>
      <c r="I140" s="58" t="s">
        <v>909</v>
      </c>
      <c r="J140" s="58">
        <v>2.0</v>
      </c>
      <c r="K140" s="58" t="s">
        <v>1579</v>
      </c>
      <c r="L140" s="88" t="s">
        <v>11490</v>
      </c>
      <c r="M140" s="62"/>
      <c r="N140" s="62"/>
      <c r="O140" s="62"/>
      <c r="P140" s="62"/>
      <c r="Q140" s="62"/>
      <c r="R140" s="62"/>
      <c r="S140" s="62"/>
      <c r="T140" s="62"/>
      <c r="U140" s="62"/>
      <c r="V140" s="62"/>
      <c r="W140" s="62"/>
      <c r="X140" s="62"/>
      <c r="Y140" s="62"/>
      <c r="Z140" s="62"/>
      <c r="AA140" s="62"/>
      <c r="AB140" s="62"/>
      <c r="AC140" s="62"/>
      <c r="AD140" s="62"/>
      <c r="AE140" s="62"/>
      <c r="AF140" s="62"/>
      <c r="AG140" s="62"/>
      <c r="AH140" s="62"/>
    </row>
    <row r="141">
      <c r="A141" s="440" t="s">
        <v>11491</v>
      </c>
      <c r="B141" s="341">
        <v>42754.0</v>
      </c>
      <c r="C141" s="60" t="s">
        <v>11492</v>
      </c>
      <c r="D141" s="60" t="s">
        <v>11492</v>
      </c>
      <c r="E141" s="58" t="s">
        <v>1369</v>
      </c>
      <c r="F141" s="58">
        <v>1.0</v>
      </c>
      <c r="G141" s="58" t="s">
        <v>32</v>
      </c>
      <c r="H141" s="58" t="s">
        <v>33</v>
      </c>
      <c r="I141" s="58" t="s">
        <v>111</v>
      </c>
      <c r="J141" s="58">
        <v>1.0</v>
      </c>
      <c r="K141" s="58" t="s">
        <v>52</v>
      </c>
      <c r="L141" s="88" t="s">
        <v>11493</v>
      </c>
      <c r="M141" s="62"/>
      <c r="N141" s="62"/>
      <c r="O141" s="62"/>
      <c r="P141" s="62"/>
      <c r="Q141" s="62"/>
      <c r="R141" s="62"/>
      <c r="S141" s="62"/>
      <c r="T141" s="62"/>
      <c r="U141" s="62"/>
      <c r="V141" s="62"/>
      <c r="W141" s="62"/>
      <c r="X141" s="62"/>
      <c r="Y141" s="62"/>
      <c r="Z141" s="62"/>
      <c r="AA141" s="62"/>
      <c r="AB141" s="62"/>
      <c r="AC141" s="62"/>
      <c r="AD141" s="62"/>
      <c r="AE141" s="62"/>
      <c r="AF141" s="62"/>
      <c r="AG141" s="62"/>
      <c r="AH141" s="62"/>
    </row>
    <row r="142">
      <c r="A142" s="441" t="s">
        <v>11494</v>
      </c>
      <c r="B142" s="341">
        <v>42755.0</v>
      </c>
      <c r="C142" s="60" t="s">
        <v>11495</v>
      </c>
      <c r="D142" s="60" t="s">
        <v>11495</v>
      </c>
      <c r="E142" s="58" t="s">
        <v>11135</v>
      </c>
      <c r="F142" s="58">
        <v>1.0</v>
      </c>
      <c r="G142" s="58" t="s">
        <v>32</v>
      </c>
      <c r="H142" s="58" t="s">
        <v>33</v>
      </c>
      <c r="I142" s="58" t="s">
        <v>115</v>
      </c>
      <c r="J142" s="58">
        <v>1.0</v>
      </c>
      <c r="K142" s="58" t="s">
        <v>52</v>
      </c>
      <c r="L142" s="430" t="s">
        <v>11496</v>
      </c>
      <c r="M142" s="62"/>
      <c r="N142" s="62"/>
      <c r="O142" s="62"/>
      <c r="P142" s="62"/>
      <c r="Q142" s="62"/>
      <c r="R142" s="62"/>
      <c r="S142" s="62"/>
      <c r="T142" s="62"/>
      <c r="U142" s="62"/>
      <c r="V142" s="62"/>
      <c r="W142" s="62"/>
      <c r="X142" s="62"/>
      <c r="Y142" s="62"/>
      <c r="Z142" s="62"/>
      <c r="AA142" s="62"/>
      <c r="AB142" s="62"/>
      <c r="AC142" s="62"/>
      <c r="AD142" s="62"/>
      <c r="AE142" s="62"/>
      <c r="AF142" s="62"/>
      <c r="AG142" s="62"/>
      <c r="AH142" s="62"/>
    </row>
    <row r="143">
      <c r="A143" s="440" t="s">
        <v>660</v>
      </c>
      <c r="B143" s="341">
        <v>42755.0</v>
      </c>
      <c r="C143" s="60" t="s">
        <v>11492</v>
      </c>
      <c r="D143" s="60" t="s">
        <v>11492</v>
      </c>
      <c r="E143" s="58" t="s">
        <v>1369</v>
      </c>
      <c r="F143" s="58">
        <v>10.0</v>
      </c>
      <c r="G143" s="58" t="s">
        <v>32</v>
      </c>
      <c r="H143" s="58" t="s">
        <v>33</v>
      </c>
      <c r="I143" s="58" t="s">
        <v>410</v>
      </c>
      <c r="J143" s="58">
        <v>1.0</v>
      </c>
      <c r="K143" s="58" t="s">
        <v>52</v>
      </c>
      <c r="L143" s="88" t="s">
        <v>11497</v>
      </c>
      <c r="M143" s="62"/>
      <c r="N143" s="62"/>
      <c r="O143" s="62"/>
      <c r="P143" s="62"/>
      <c r="Q143" s="62"/>
      <c r="R143" s="62"/>
      <c r="S143" s="62"/>
      <c r="T143" s="62"/>
      <c r="U143" s="62"/>
      <c r="V143" s="62"/>
      <c r="W143" s="62"/>
      <c r="X143" s="62"/>
      <c r="Y143" s="62"/>
      <c r="Z143" s="62"/>
      <c r="AA143" s="62"/>
      <c r="AB143" s="62"/>
      <c r="AC143" s="62"/>
      <c r="AD143" s="62"/>
      <c r="AE143" s="62"/>
      <c r="AF143" s="62"/>
      <c r="AG143" s="62"/>
      <c r="AH143" s="62"/>
    </row>
    <row r="144">
      <c r="A144" s="440" t="s">
        <v>11498</v>
      </c>
      <c r="B144" s="341">
        <v>42755.0</v>
      </c>
      <c r="C144" s="60" t="s">
        <v>11445</v>
      </c>
      <c r="D144" s="60" t="s">
        <v>11445</v>
      </c>
      <c r="E144" s="58" t="s">
        <v>1369</v>
      </c>
      <c r="F144" s="58">
        <v>2.0</v>
      </c>
      <c r="G144" s="58">
        <v>1.0</v>
      </c>
      <c r="H144" s="58" t="s">
        <v>33</v>
      </c>
      <c r="I144" s="58" t="s">
        <v>241</v>
      </c>
      <c r="J144" s="58">
        <v>1.0</v>
      </c>
      <c r="K144" s="58" t="s">
        <v>35</v>
      </c>
      <c r="L144" s="88" t="s">
        <v>11499</v>
      </c>
      <c r="M144" s="62"/>
      <c r="N144" s="62"/>
      <c r="O144" s="62"/>
      <c r="P144" s="62"/>
      <c r="Q144" s="62"/>
      <c r="R144" s="62"/>
      <c r="S144" s="62"/>
      <c r="T144" s="62"/>
      <c r="U144" s="62"/>
      <c r="V144" s="62"/>
      <c r="W144" s="62"/>
      <c r="X144" s="62"/>
      <c r="Y144" s="62"/>
      <c r="Z144" s="62"/>
      <c r="AA144" s="62"/>
      <c r="AB144" s="62"/>
      <c r="AC144" s="62"/>
      <c r="AD144" s="62"/>
      <c r="AE144" s="62"/>
      <c r="AF144" s="62"/>
      <c r="AG144" s="62"/>
      <c r="AH144" s="62"/>
    </row>
    <row r="145">
      <c r="A145" s="128"/>
      <c r="B145" s="58"/>
      <c r="C145" s="209"/>
      <c r="D145" s="209"/>
      <c r="E145" s="62"/>
      <c r="F145" s="58"/>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row>
    <row r="146">
      <c r="A146" s="128"/>
      <c r="B146" s="58"/>
      <c r="C146" s="209"/>
      <c r="D146" s="209"/>
      <c r="E146" s="62"/>
      <c r="F146" s="58"/>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row>
    <row r="147">
      <c r="A147" s="128"/>
      <c r="B147" s="318" t="s">
        <v>9345</v>
      </c>
      <c r="C147" s="146"/>
      <c r="D147" s="146"/>
      <c r="E147" s="16"/>
      <c r="F147" s="318">
        <f t="shared" ref="F147:G147" si="1">SUM(F4:F146)</f>
        <v>525</v>
      </c>
      <c r="G147" s="319">
        <f t="shared" si="1"/>
        <v>47</v>
      </c>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row>
    <row r="148">
      <c r="A148" s="442"/>
      <c r="B148" s="380"/>
      <c r="C148" s="146"/>
      <c r="D148" s="146"/>
      <c r="E148" s="16"/>
      <c r="F148" s="91"/>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row>
    <row r="149">
      <c r="A149" s="442"/>
      <c r="B149" s="380"/>
      <c r="C149" s="146"/>
      <c r="D149" s="146"/>
      <c r="E149" s="16"/>
      <c r="F149" s="91"/>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row>
    <row r="150">
      <c r="A150" s="442"/>
      <c r="B150" s="380"/>
      <c r="C150" s="146"/>
      <c r="D150" s="146"/>
      <c r="E150" s="16"/>
      <c r="F150" s="91"/>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row>
    <row r="151">
      <c r="A151" s="442"/>
      <c r="B151" s="380"/>
      <c r="C151" s="146"/>
      <c r="D151" s="146"/>
      <c r="E151" s="16"/>
      <c r="F151" s="91"/>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row>
    <row r="152">
      <c r="A152" s="128"/>
      <c r="B152" s="318"/>
      <c r="C152" s="146"/>
      <c r="D152" s="146"/>
      <c r="E152" s="16"/>
      <c r="F152" s="318"/>
      <c r="G152" s="319"/>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row>
    <row r="153">
      <c r="A153" s="442"/>
      <c r="B153" s="380"/>
      <c r="C153" s="146"/>
      <c r="D153" s="146"/>
      <c r="E153" s="16"/>
      <c r="F153" s="91"/>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row>
    <row r="154">
      <c r="A154" s="442"/>
      <c r="B154" s="380"/>
      <c r="C154" s="146"/>
      <c r="D154" s="146"/>
      <c r="E154" s="16"/>
      <c r="F154" s="91"/>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row>
    <row r="155">
      <c r="A155" s="442"/>
      <c r="B155" s="380"/>
      <c r="C155" s="146"/>
      <c r="D155" s="146"/>
      <c r="E155" s="16"/>
      <c r="F155" s="91"/>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row>
    <row r="156">
      <c r="A156" s="442"/>
      <c r="B156" s="380"/>
      <c r="C156" s="146"/>
      <c r="D156" s="146"/>
      <c r="E156" s="16"/>
      <c r="F156" s="91"/>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row>
    <row r="157">
      <c r="A157" s="442"/>
      <c r="B157" s="380"/>
      <c r="C157" s="146"/>
      <c r="D157" s="146"/>
      <c r="E157" s="16"/>
      <c r="F157" s="91"/>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row>
    <row r="158">
      <c r="A158" s="442"/>
      <c r="B158" s="380"/>
      <c r="C158" s="146"/>
      <c r="D158" s="146"/>
      <c r="E158" s="16"/>
      <c r="F158" s="91"/>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row>
    <row r="159">
      <c r="A159" s="442"/>
      <c r="B159" s="380"/>
      <c r="C159" s="146"/>
      <c r="D159" s="146"/>
      <c r="E159" s="16"/>
      <c r="F159" s="91"/>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row>
    <row r="160">
      <c r="A160" s="442"/>
      <c r="B160" s="380"/>
      <c r="C160" s="146"/>
      <c r="D160" s="146"/>
      <c r="E160" s="16"/>
      <c r="F160" s="91"/>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row>
    <row r="161">
      <c r="A161" s="442"/>
      <c r="B161" s="380"/>
      <c r="C161" s="146"/>
      <c r="D161" s="146"/>
      <c r="E161" s="16"/>
      <c r="F161" s="91"/>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row>
    <row r="162">
      <c r="A162" s="442"/>
      <c r="B162" s="380"/>
      <c r="C162" s="146"/>
      <c r="D162" s="146"/>
      <c r="E162" s="16"/>
      <c r="F162" s="91"/>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row>
    <row r="163">
      <c r="A163" s="442"/>
      <c r="B163" s="380"/>
      <c r="C163" s="146"/>
      <c r="D163" s="146"/>
      <c r="E163" s="16"/>
      <c r="F163" s="91"/>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row>
    <row r="164">
      <c r="A164" s="442"/>
      <c r="B164" s="380"/>
      <c r="C164" s="146"/>
      <c r="D164" s="146"/>
      <c r="E164" s="16"/>
      <c r="F164" s="91"/>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row>
    <row r="165">
      <c r="A165" s="442"/>
      <c r="B165" s="380"/>
      <c r="C165" s="146"/>
      <c r="D165" s="146"/>
      <c r="E165" s="16"/>
      <c r="F165" s="91"/>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row>
    <row r="166">
      <c r="A166" s="442"/>
      <c r="B166" s="380"/>
      <c r="C166" s="146"/>
      <c r="D166" s="146"/>
      <c r="E166" s="16"/>
      <c r="F166" s="91"/>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row>
    <row r="167">
      <c r="A167" s="442"/>
      <c r="B167" s="380"/>
      <c r="C167" s="146"/>
      <c r="D167" s="146"/>
      <c r="E167" s="16"/>
      <c r="F167" s="91"/>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row>
    <row r="168">
      <c r="A168" s="442"/>
      <c r="B168" s="380"/>
      <c r="C168" s="146"/>
      <c r="D168" s="146"/>
      <c r="E168" s="16"/>
      <c r="F168" s="91"/>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row>
    <row r="169">
      <c r="A169" s="442"/>
      <c r="B169" s="380"/>
      <c r="C169" s="146"/>
      <c r="D169" s="146"/>
      <c r="E169" s="16"/>
      <c r="F169" s="91"/>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row>
    <row r="170">
      <c r="A170" s="442"/>
      <c r="B170" s="380"/>
      <c r="C170" s="146"/>
      <c r="D170" s="146"/>
      <c r="E170" s="16"/>
      <c r="F170" s="91"/>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row>
    <row r="171">
      <c r="A171" s="442"/>
      <c r="B171" s="380"/>
      <c r="C171" s="146"/>
      <c r="D171" s="146"/>
      <c r="E171" s="16"/>
      <c r="F171" s="91"/>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row>
    <row r="172">
      <c r="A172" s="442"/>
      <c r="B172" s="380"/>
      <c r="C172" s="146"/>
      <c r="D172" s="146"/>
      <c r="E172" s="16"/>
      <c r="F172" s="91"/>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row>
    <row r="173">
      <c r="A173" s="442"/>
      <c r="B173" s="380"/>
      <c r="C173" s="146"/>
      <c r="D173" s="146"/>
      <c r="E173" s="16"/>
      <c r="F173" s="91"/>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row>
    <row r="174">
      <c r="A174" s="442"/>
      <c r="B174" s="380"/>
      <c r="C174" s="146"/>
      <c r="D174" s="146"/>
      <c r="E174" s="16"/>
      <c r="F174" s="91"/>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row>
    <row r="175">
      <c r="A175" s="442"/>
      <c r="B175" s="380"/>
      <c r="C175" s="146"/>
      <c r="D175" s="146"/>
      <c r="E175" s="16"/>
      <c r="F175" s="91"/>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row>
    <row r="176">
      <c r="A176" s="442"/>
      <c r="B176" s="380"/>
      <c r="C176" s="146"/>
      <c r="D176" s="146"/>
      <c r="E176" s="16"/>
      <c r="F176" s="91"/>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row>
    <row r="177">
      <c r="A177" s="442"/>
      <c r="B177" s="380"/>
      <c r="C177" s="146"/>
      <c r="D177" s="146"/>
      <c r="E177" s="16"/>
      <c r="F177" s="91"/>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row>
    <row r="178">
      <c r="A178" s="442"/>
      <c r="B178" s="380"/>
      <c r="C178" s="146"/>
      <c r="D178" s="146"/>
      <c r="E178" s="16"/>
      <c r="F178" s="91"/>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row>
    <row r="179">
      <c r="A179" s="442"/>
      <c r="B179" s="380"/>
      <c r="C179" s="146"/>
      <c r="D179" s="146"/>
      <c r="E179" s="16"/>
      <c r="F179" s="91"/>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row>
    <row r="180">
      <c r="A180" s="442"/>
      <c r="B180" s="380"/>
      <c r="C180" s="146"/>
      <c r="D180" s="146"/>
      <c r="E180" s="16"/>
      <c r="F180" s="91"/>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row>
    <row r="181">
      <c r="A181" s="442"/>
      <c r="B181" s="380"/>
      <c r="C181" s="146"/>
      <c r="D181" s="146"/>
      <c r="E181" s="16"/>
      <c r="F181" s="91"/>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row>
    <row r="182">
      <c r="A182" s="442"/>
      <c r="B182" s="380"/>
      <c r="C182" s="146"/>
      <c r="D182" s="146"/>
      <c r="E182" s="16"/>
      <c r="F182" s="91"/>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row>
    <row r="183">
      <c r="A183" s="442"/>
      <c r="B183" s="380"/>
      <c r="C183" s="146"/>
      <c r="D183" s="146"/>
      <c r="E183" s="16"/>
      <c r="F183" s="91"/>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row>
    <row r="184">
      <c r="A184" s="442"/>
      <c r="B184" s="380"/>
      <c r="C184" s="146"/>
      <c r="D184" s="146"/>
      <c r="E184" s="16"/>
      <c r="F184" s="91"/>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row>
    <row r="185">
      <c r="A185" s="442"/>
      <c r="B185" s="380"/>
      <c r="C185" s="146"/>
      <c r="D185" s="146"/>
      <c r="E185" s="16"/>
      <c r="F185" s="91"/>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row>
    <row r="186">
      <c r="A186" s="442"/>
      <c r="B186" s="380"/>
      <c r="C186" s="146"/>
      <c r="D186" s="146"/>
      <c r="E186" s="16"/>
      <c r="F186" s="91"/>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row>
    <row r="187">
      <c r="A187" s="442"/>
      <c r="B187" s="380"/>
      <c r="C187" s="146"/>
      <c r="D187" s="146"/>
      <c r="E187" s="16"/>
      <c r="F187" s="91"/>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row>
    <row r="188">
      <c r="A188" s="442"/>
      <c r="B188" s="380"/>
      <c r="C188" s="146"/>
      <c r="D188" s="146"/>
      <c r="E188" s="16"/>
      <c r="F188" s="91"/>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row>
    <row r="189">
      <c r="A189" s="442"/>
      <c r="B189" s="380"/>
      <c r="C189" s="146"/>
      <c r="D189" s="146"/>
      <c r="E189" s="16"/>
      <c r="F189" s="91"/>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row>
    <row r="190">
      <c r="A190" s="442"/>
      <c r="B190" s="380"/>
      <c r="C190" s="146"/>
      <c r="D190" s="146"/>
      <c r="E190" s="16"/>
      <c r="F190" s="91"/>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row>
    <row r="191">
      <c r="A191" s="442"/>
      <c r="B191" s="380"/>
      <c r="C191" s="146"/>
      <c r="D191" s="146"/>
      <c r="E191" s="16"/>
      <c r="F191" s="91"/>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row>
    <row r="192">
      <c r="A192" s="442"/>
      <c r="B192" s="380"/>
      <c r="C192" s="146"/>
      <c r="D192" s="146"/>
      <c r="E192" s="16"/>
      <c r="F192" s="91"/>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row>
    <row r="193">
      <c r="A193" s="442"/>
      <c r="B193" s="380"/>
      <c r="C193" s="146"/>
      <c r="D193" s="146"/>
      <c r="E193" s="16"/>
      <c r="F193" s="91"/>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row>
    <row r="194">
      <c r="A194" s="442"/>
      <c r="B194" s="380"/>
      <c r="C194" s="146"/>
      <c r="D194" s="146"/>
      <c r="E194" s="16"/>
      <c r="F194" s="91"/>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row>
    <row r="195">
      <c r="A195" s="442"/>
      <c r="B195" s="380"/>
      <c r="C195" s="146"/>
      <c r="D195" s="146"/>
      <c r="E195" s="16"/>
      <c r="F195" s="91"/>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row>
    <row r="196">
      <c r="A196" s="442"/>
      <c r="B196" s="380"/>
      <c r="C196" s="146"/>
      <c r="D196" s="146"/>
      <c r="E196" s="16"/>
      <c r="F196" s="91"/>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row>
    <row r="197">
      <c r="A197" s="442"/>
      <c r="B197" s="380"/>
      <c r="C197" s="146"/>
      <c r="D197" s="146"/>
      <c r="E197" s="16"/>
      <c r="F197" s="91"/>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row>
    <row r="198">
      <c r="A198" s="442"/>
      <c r="B198" s="380"/>
      <c r="C198" s="146"/>
      <c r="D198" s="146"/>
      <c r="E198" s="16"/>
      <c r="F198" s="91"/>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row>
    <row r="199">
      <c r="A199" s="442"/>
      <c r="B199" s="380"/>
      <c r="C199" s="146"/>
      <c r="D199" s="146"/>
      <c r="E199" s="16"/>
      <c r="F199" s="91"/>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row>
    <row r="200">
      <c r="A200" s="442"/>
      <c r="B200" s="380"/>
      <c r="C200" s="146"/>
      <c r="D200" s="146"/>
      <c r="E200" s="16"/>
      <c r="F200" s="91"/>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row>
    <row r="201">
      <c r="A201" s="442"/>
      <c r="B201" s="380"/>
      <c r="C201" s="146"/>
      <c r="D201" s="146"/>
      <c r="E201" s="16"/>
      <c r="F201" s="91"/>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row>
    <row r="202">
      <c r="A202" s="442"/>
      <c r="B202" s="380"/>
      <c r="C202" s="146"/>
      <c r="D202" s="146"/>
      <c r="E202" s="16"/>
      <c r="F202" s="91"/>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row>
    <row r="203">
      <c r="A203" s="442"/>
      <c r="B203" s="380"/>
      <c r="C203" s="146"/>
      <c r="D203" s="146"/>
      <c r="E203" s="16"/>
      <c r="F203" s="91"/>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row>
    <row r="204">
      <c r="A204" s="442"/>
      <c r="B204" s="380"/>
      <c r="C204" s="146"/>
      <c r="D204" s="146"/>
      <c r="E204" s="16"/>
      <c r="F204" s="91"/>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row>
    <row r="205">
      <c r="A205" s="442"/>
      <c r="B205" s="380"/>
      <c r="C205" s="146"/>
      <c r="D205" s="146"/>
      <c r="E205" s="16"/>
      <c r="F205" s="91"/>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row>
    <row r="206">
      <c r="A206" s="442"/>
      <c r="B206" s="380"/>
      <c r="C206" s="146"/>
      <c r="D206" s="146"/>
      <c r="E206" s="16"/>
      <c r="F206" s="91"/>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row>
    <row r="207">
      <c r="A207" s="442"/>
      <c r="B207" s="380"/>
      <c r="C207" s="146"/>
      <c r="D207" s="146"/>
      <c r="E207" s="16"/>
      <c r="F207" s="91"/>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row>
    <row r="208">
      <c r="A208" s="442"/>
      <c r="B208" s="380"/>
      <c r="C208" s="146"/>
      <c r="D208" s="146"/>
      <c r="E208" s="16"/>
      <c r="F208" s="91"/>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row>
    <row r="209">
      <c r="A209" s="442"/>
      <c r="B209" s="380"/>
      <c r="C209" s="146"/>
      <c r="D209" s="146"/>
      <c r="E209" s="16"/>
      <c r="F209" s="91"/>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row>
    <row r="210">
      <c r="A210" s="442"/>
      <c r="B210" s="380"/>
      <c r="C210" s="146"/>
      <c r="D210" s="146"/>
      <c r="E210" s="16"/>
      <c r="F210" s="91"/>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row>
    <row r="211">
      <c r="A211" s="442"/>
      <c r="B211" s="380"/>
      <c r="C211" s="146"/>
      <c r="D211" s="146"/>
      <c r="E211" s="16"/>
      <c r="F211" s="91"/>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row>
    <row r="212">
      <c r="A212" s="442"/>
      <c r="B212" s="380"/>
      <c r="C212" s="146"/>
      <c r="D212" s="146"/>
      <c r="E212" s="16"/>
      <c r="F212" s="91"/>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row>
    <row r="213">
      <c r="A213" s="442"/>
      <c r="B213" s="380"/>
      <c r="C213" s="146"/>
      <c r="D213" s="146"/>
      <c r="E213" s="16"/>
      <c r="F213" s="91"/>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row>
    <row r="214">
      <c r="A214" s="442"/>
      <c r="B214" s="380"/>
      <c r="C214" s="146"/>
      <c r="D214" s="146"/>
      <c r="E214" s="16"/>
      <c r="F214" s="91"/>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row>
    <row r="215">
      <c r="A215" s="133"/>
      <c r="B215" s="16"/>
      <c r="C215" s="146"/>
      <c r="D215" s="146"/>
      <c r="E215" s="16"/>
      <c r="F215" s="91"/>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row>
    <row r="216">
      <c r="A216" s="133"/>
      <c r="B216" s="16"/>
      <c r="C216" s="146"/>
      <c r="D216" s="146"/>
      <c r="E216" s="16"/>
      <c r="F216" s="91"/>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row>
    <row r="217">
      <c r="A217" s="133"/>
      <c r="B217" s="16"/>
      <c r="C217" s="146"/>
      <c r="D217" s="146"/>
      <c r="E217" s="16"/>
      <c r="F217" s="91"/>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row>
    <row r="218">
      <c r="A218" s="133"/>
      <c r="B218" s="16"/>
      <c r="C218" s="146"/>
      <c r="D218" s="146"/>
      <c r="E218" s="16"/>
      <c r="F218" s="91"/>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row>
    <row r="219">
      <c r="A219" s="133"/>
      <c r="B219" s="16"/>
      <c r="C219" s="146"/>
      <c r="D219" s="146"/>
      <c r="E219" s="16"/>
      <c r="F219" s="91"/>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row>
    <row r="220">
      <c r="A220" s="133"/>
      <c r="B220" s="16"/>
      <c r="C220" s="146"/>
      <c r="D220" s="146"/>
      <c r="E220" s="16"/>
      <c r="F220" s="91"/>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row>
    <row r="221">
      <c r="A221" s="133"/>
      <c r="B221" s="16"/>
      <c r="C221" s="146"/>
      <c r="D221" s="146"/>
      <c r="E221" s="16"/>
      <c r="F221" s="91"/>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row>
    <row r="222">
      <c r="A222" s="133"/>
      <c r="B222" s="16"/>
      <c r="C222" s="146"/>
      <c r="D222" s="146"/>
      <c r="E222" s="16"/>
      <c r="F222" s="91"/>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row>
    <row r="223">
      <c r="A223" s="133"/>
      <c r="B223" s="16"/>
      <c r="C223" s="146"/>
      <c r="D223" s="146"/>
      <c r="E223" s="16"/>
      <c r="F223" s="91"/>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row>
    <row r="224">
      <c r="A224" s="133"/>
      <c r="B224" s="16"/>
      <c r="C224" s="146"/>
      <c r="D224" s="146"/>
      <c r="E224" s="16"/>
      <c r="F224" s="91"/>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row>
    <row r="225">
      <c r="A225" s="133"/>
      <c r="B225" s="16"/>
      <c r="C225" s="146"/>
      <c r="D225" s="146"/>
      <c r="E225" s="16"/>
      <c r="F225" s="91"/>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row>
    <row r="226">
      <c r="A226" s="133"/>
      <c r="B226" s="16"/>
      <c r="C226" s="146"/>
      <c r="D226" s="146"/>
      <c r="E226" s="16"/>
      <c r="F226" s="91"/>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row>
    <row r="227">
      <c r="A227" s="133"/>
      <c r="B227" s="16"/>
      <c r="C227" s="146"/>
      <c r="D227" s="146"/>
      <c r="E227" s="16"/>
      <c r="F227" s="91"/>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row>
    <row r="228">
      <c r="A228" s="133"/>
      <c r="B228" s="16"/>
      <c r="C228" s="146"/>
      <c r="D228" s="146"/>
      <c r="E228" s="16"/>
      <c r="F228" s="91"/>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row>
    <row r="229">
      <c r="A229" s="133"/>
      <c r="B229" s="16"/>
      <c r="C229" s="146"/>
      <c r="D229" s="146"/>
      <c r="E229" s="16"/>
      <c r="F229" s="91"/>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row>
    <row r="230">
      <c r="A230" s="133"/>
      <c r="B230" s="16"/>
      <c r="C230" s="146"/>
      <c r="D230" s="146"/>
      <c r="E230" s="16"/>
      <c r="F230" s="91"/>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row>
    <row r="231">
      <c r="A231" s="133"/>
      <c r="B231" s="16"/>
      <c r="C231" s="146"/>
      <c r="D231" s="146"/>
      <c r="E231" s="16"/>
      <c r="F231" s="91"/>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row>
    <row r="232">
      <c r="A232" s="133"/>
      <c r="B232" s="16"/>
      <c r="C232" s="146"/>
      <c r="D232" s="146"/>
      <c r="E232" s="16"/>
      <c r="F232" s="91"/>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row>
    <row r="233">
      <c r="A233" s="133"/>
      <c r="B233" s="16"/>
      <c r="C233" s="146"/>
      <c r="D233" s="146"/>
      <c r="E233" s="16"/>
      <c r="F233" s="91"/>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row>
    <row r="234">
      <c r="A234" s="133"/>
      <c r="B234" s="16"/>
      <c r="C234" s="146"/>
      <c r="D234" s="146"/>
      <c r="E234" s="16"/>
      <c r="F234" s="91"/>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row>
    <row r="235">
      <c r="A235" s="133"/>
      <c r="B235" s="16"/>
      <c r="C235" s="146"/>
      <c r="D235" s="146"/>
      <c r="E235" s="16"/>
      <c r="F235" s="91"/>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row>
    <row r="236">
      <c r="A236" s="133"/>
      <c r="B236" s="16"/>
      <c r="C236" s="146"/>
      <c r="D236" s="146"/>
      <c r="E236" s="16"/>
      <c r="F236" s="91"/>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row>
    <row r="237">
      <c r="A237" s="133"/>
      <c r="B237" s="16"/>
      <c r="C237" s="146"/>
      <c r="D237" s="146"/>
      <c r="E237" s="16"/>
      <c r="F237" s="91"/>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row>
    <row r="238">
      <c r="A238" s="133"/>
      <c r="B238" s="16"/>
      <c r="C238" s="146"/>
      <c r="D238" s="146"/>
      <c r="E238" s="16"/>
      <c r="F238" s="91"/>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row>
    <row r="239">
      <c r="A239" s="133"/>
      <c r="B239" s="16"/>
      <c r="C239" s="146"/>
      <c r="D239" s="146"/>
      <c r="E239" s="16"/>
      <c r="F239" s="91"/>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row>
    <row r="240">
      <c r="A240" s="133"/>
      <c r="B240" s="16"/>
      <c r="C240" s="146"/>
      <c r="D240" s="146"/>
      <c r="E240" s="16"/>
      <c r="F240" s="91"/>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row>
    <row r="241">
      <c r="A241" s="133"/>
      <c r="B241" s="16"/>
      <c r="C241" s="146"/>
      <c r="D241" s="146"/>
      <c r="E241" s="16"/>
      <c r="F241" s="91"/>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row>
    <row r="242">
      <c r="A242" s="133"/>
      <c r="B242" s="16"/>
      <c r="C242" s="146"/>
      <c r="D242" s="146"/>
      <c r="E242" s="16"/>
      <c r="F242" s="91"/>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row>
    <row r="243">
      <c r="A243" s="133"/>
      <c r="B243" s="16"/>
      <c r="C243" s="146"/>
      <c r="D243" s="146"/>
      <c r="E243" s="16"/>
      <c r="F243" s="91"/>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row>
    <row r="244">
      <c r="A244" s="133"/>
      <c r="B244" s="16"/>
      <c r="C244" s="146"/>
      <c r="D244" s="146"/>
      <c r="E244" s="16"/>
      <c r="F244" s="91"/>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row>
    <row r="245">
      <c r="A245" s="133"/>
      <c r="B245" s="16"/>
      <c r="C245" s="146"/>
      <c r="D245" s="146"/>
      <c r="E245" s="16"/>
      <c r="F245" s="91"/>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row>
    <row r="246">
      <c r="A246" s="133"/>
      <c r="B246" s="16"/>
      <c r="C246" s="146"/>
      <c r="D246" s="146"/>
      <c r="E246" s="16"/>
      <c r="F246" s="91"/>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row>
    <row r="247">
      <c r="A247" s="133"/>
      <c r="B247" s="16"/>
      <c r="C247" s="146"/>
      <c r="D247" s="146"/>
      <c r="E247" s="16"/>
      <c r="F247" s="91"/>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row>
    <row r="248">
      <c r="A248" s="133"/>
      <c r="B248" s="16"/>
      <c r="C248" s="146"/>
      <c r="D248" s="146"/>
      <c r="E248" s="16"/>
      <c r="F248" s="91"/>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row>
    <row r="249">
      <c r="A249" s="133"/>
      <c r="B249" s="16"/>
      <c r="C249" s="146"/>
      <c r="D249" s="146"/>
      <c r="E249" s="16"/>
      <c r="F249" s="91"/>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row>
    <row r="250">
      <c r="A250" s="133"/>
      <c r="B250" s="16"/>
      <c r="C250" s="146"/>
      <c r="D250" s="146"/>
      <c r="E250" s="16"/>
      <c r="F250" s="91"/>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row>
    <row r="251">
      <c r="A251" s="133"/>
      <c r="B251" s="16"/>
      <c r="C251" s="146"/>
      <c r="D251" s="146"/>
      <c r="E251" s="16"/>
      <c r="F251" s="91"/>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row>
    <row r="252">
      <c r="A252" s="133"/>
      <c r="B252" s="16"/>
      <c r="C252" s="146"/>
      <c r="D252" s="146"/>
      <c r="E252" s="16"/>
      <c r="F252" s="91"/>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row>
    <row r="253">
      <c r="A253" s="133"/>
      <c r="B253" s="16"/>
      <c r="C253" s="146"/>
      <c r="D253" s="146"/>
      <c r="E253" s="16"/>
      <c r="F253" s="91"/>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row>
    <row r="254">
      <c r="A254" s="133"/>
      <c r="B254" s="16"/>
      <c r="C254" s="146"/>
      <c r="D254" s="146"/>
      <c r="E254" s="16"/>
      <c r="F254" s="91"/>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row>
    <row r="255">
      <c r="A255" s="133"/>
      <c r="B255" s="16"/>
      <c r="C255" s="146"/>
      <c r="D255" s="146"/>
      <c r="E255" s="16"/>
      <c r="F255" s="91"/>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row>
    <row r="256">
      <c r="A256" s="133"/>
      <c r="B256" s="16"/>
      <c r="C256" s="146"/>
      <c r="D256" s="146"/>
      <c r="E256" s="16"/>
      <c r="F256" s="91"/>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row>
    <row r="257">
      <c r="A257" s="133"/>
      <c r="B257" s="16"/>
      <c r="C257" s="146"/>
      <c r="D257" s="146"/>
      <c r="E257" s="16"/>
      <c r="F257" s="91"/>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row>
    <row r="258">
      <c r="A258" s="133"/>
      <c r="B258" s="16"/>
      <c r="C258" s="146"/>
      <c r="D258" s="146"/>
      <c r="E258" s="16"/>
      <c r="F258" s="91"/>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row>
    <row r="259">
      <c r="A259" s="133"/>
      <c r="B259" s="16"/>
      <c r="C259" s="146"/>
      <c r="D259" s="146"/>
      <c r="E259" s="16"/>
      <c r="F259" s="91"/>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row>
    <row r="260">
      <c r="A260" s="133"/>
      <c r="B260" s="16"/>
      <c r="C260" s="146"/>
      <c r="D260" s="146"/>
      <c r="E260" s="16"/>
      <c r="F260" s="91"/>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row>
    <row r="261">
      <c r="A261" s="133"/>
      <c r="B261" s="16"/>
      <c r="C261" s="146"/>
      <c r="D261" s="146"/>
      <c r="E261" s="16"/>
      <c r="F261" s="91"/>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row>
    <row r="262">
      <c r="A262" s="133"/>
      <c r="B262" s="16"/>
      <c r="C262" s="146"/>
      <c r="D262" s="146"/>
      <c r="E262" s="16"/>
      <c r="F262" s="91"/>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row>
    <row r="263">
      <c r="A263" s="133"/>
      <c r="B263" s="16"/>
      <c r="C263" s="146"/>
      <c r="D263" s="146"/>
      <c r="E263" s="16"/>
      <c r="F263" s="91"/>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row>
    <row r="264">
      <c r="A264" s="133"/>
      <c r="B264" s="16"/>
      <c r="C264" s="146"/>
      <c r="D264" s="146"/>
      <c r="E264" s="16"/>
      <c r="F264" s="91"/>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row>
    <row r="265">
      <c r="A265" s="133"/>
      <c r="B265" s="16"/>
      <c r="C265" s="146"/>
      <c r="D265" s="146"/>
      <c r="E265" s="16"/>
      <c r="F265" s="91"/>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row>
    <row r="266">
      <c r="A266" s="133"/>
      <c r="B266" s="16"/>
      <c r="C266" s="146"/>
      <c r="D266" s="146"/>
      <c r="E266" s="16"/>
      <c r="F266" s="91"/>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row>
    <row r="267">
      <c r="A267" s="133"/>
      <c r="B267" s="16"/>
      <c r="C267" s="146"/>
      <c r="D267" s="146"/>
      <c r="E267" s="16"/>
      <c r="F267" s="91"/>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row>
    <row r="268">
      <c r="A268" s="133"/>
      <c r="B268" s="16"/>
      <c r="C268" s="146"/>
      <c r="D268" s="146"/>
      <c r="E268" s="16"/>
      <c r="F268" s="91"/>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row>
    <row r="269">
      <c r="A269" s="133"/>
      <c r="B269" s="16"/>
      <c r="C269" s="146"/>
      <c r="D269" s="146"/>
      <c r="E269" s="16"/>
      <c r="F269" s="91"/>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row>
    <row r="270">
      <c r="A270" s="133"/>
      <c r="B270" s="16"/>
      <c r="C270" s="146"/>
      <c r="D270" s="146"/>
      <c r="E270" s="16"/>
      <c r="F270" s="91"/>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row>
    <row r="271">
      <c r="A271" s="133"/>
      <c r="B271" s="16"/>
      <c r="C271" s="146"/>
      <c r="D271" s="146"/>
      <c r="E271" s="16"/>
      <c r="F271" s="91"/>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row>
    <row r="272">
      <c r="A272" s="133"/>
      <c r="B272" s="16"/>
      <c r="C272" s="146"/>
      <c r="D272" s="146"/>
      <c r="E272" s="16"/>
      <c r="F272" s="91"/>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row>
    <row r="273">
      <c r="A273" s="133"/>
      <c r="B273" s="16"/>
      <c r="C273" s="146"/>
      <c r="D273" s="146"/>
      <c r="E273" s="16"/>
      <c r="F273" s="91"/>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row>
    <row r="274">
      <c r="A274" s="133"/>
      <c r="B274" s="16"/>
      <c r="C274" s="146"/>
      <c r="D274" s="146"/>
      <c r="E274" s="16"/>
      <c r="F274" s="91"/>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row>
    <row r="275">
      <c r="A275" s="133"/>
      <c r="B275" s="16"/>
      <c r="C275" s="146"/>
      <c r="D275" s="146"/>
      <c r="E275" s="16"/>
      <c r="F275" s="91"/>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row>
    <row r="276">
      <c r="A276" s="133"/>
      <c r="B276" s="16"/>
      <c r="C276" s="146"/>
      <c r="D276" s="146"/>
      <c r="E276" s="16"/>
      <c r="F276" s="91"/>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row>
    <row r="277">
      <c r="A277" s="133"/>
      <c r="B277" s="16"/>
      <c r="C277" s="146"/>
      <c r="D277" s="146"/>
      <c r="E277" s="16"/>
      <c r="F277" s="91"/>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row>
    <row r="278">
      <c r="A278" s="133"/>
      <c r="B278" s="16"/>
      <c r="C278" s="146"/>
      <c r="D278" s="146"/>
      <c r="E278" s="16"/>
      <c r="F278" s="91"/>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row>
    <row r="279">
      <c r="A279" s="133"/>
      <c r="B279" s="16"/>
      <c r="C279" s="146"/>
      <c r="D279" s="146"/>
      <c r="E279" s="16"/>
      <c r="F279" s="91"/>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row>
    <row r="280">
      <c r="A280" s="133"/>
      <c r="B280" s="16"/>
      <c r="C280" s="146"/>
      <c r="D280" s="146"/>
      <c r="E280" s="16"/>
      <c r="F280" s="91"/>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row>
    <row r="281">
      <c r="A281" s="133"/>
      <c r="B281" s="16"/>
      <c r="C281" s="146"/>
      <c r="D281" s="146"/>
      <c r="E281" s="16"/>
      <c r="F281" s="91"/>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row>
    <row r="282">
      <c r="A282" s="133"/>
      <c r="B282" s="16"/>
      <c r="C282" s="146"/>
      <c r="D282" s="146"/>
      <c r="E282" s="16"/>
      <c r="F282" s="91"/>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row>
    <row r="283">
      <c r="A283" s="133"/>
      <c r="B283" s="16"/>
      <c r="C283" s="146"/>
      <c r="D283" s="146"/>
      <c r="E283" s="16"/>
      <c r="F283" s="91"/>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row>
    <row r="284">
      <c r="A284" s="133"/>
      <c r="B284" s="16"/>
      <c r="C284" s="146"/>
      <c r="D284" s="146"/>
      <c r="E284" s="16"/>
      <c r="F284" s="91"/>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row>
    <row r="285">
      <c r="A285" s="133"/>
      <c r="B285" s="16"/>
      <c r="C285" s="146"/>
      <c r="D285" s="146"/>
      <c r="E285" s="16"/>
      <c r="F285" s="91"/>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row>
    <row r="286">
      <c r="A286" s="133"/>
      <c r="B286" s="16"/>
      <c r="C286" s="146"/>
      <c r="D286" s="146"/>
      <c r="E286" s="16"/>
      <c r="F286" s="91"/>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row>
    <row r="287">
      <c r="A287" s="133"/>
      <c r="B287" s="16"/>
      <c r="C287" s="146"/>
      <c r="D287" s="146"/>
      <c r="E287" s="16"/>
      <c r="F287" s="91"/>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row>
    <row r="288">
      <c r="A288" s="133"/>
      <c r="B288" s="16"/>
      <c r="C288" s="146"/>
      <c r="D288" s="146"/>
      <c r="E288" s="16"/>
      <c r="F288" s="91"/>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row>
    <row r="289">
      <c r="A289" s="133"/>
      <c r="B289" s="16"/>
      <c r="C289" s="146"/>
      <c r="D289" s="146"/>
      <c r="E289" s="16"/>
      <c r="F289" s="91"/>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row>
    <row r="290">
      <c r="A290" s="133"/>
      <c r="B290" s="16"/>
      <c r="C290" s="146"/>
      <c r="D290" s="146"/>
      <c r="E290" s="16"/>
      <c r="F290" s="91"/>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row>
    <row r="291">
      <c r="A291" s="133"/>
      <c r="B291" s="16"/>
      <c r="C291" s="146"/>
      <c r="D291" s="146"/>
      <c r="E291" s="16"/>
      <c r="F291" s="91"/>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row>
    <row r="292">
      <c r="A292" s="133"/>
      <c r="B292" s="16"/>
      <c r="C292" s="146"/>
      <c r="D292" s="146"/>
      <c r="E292" s="16"/>
      <c r="F292" s="91"/>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row>
    <row r="293">
      <c r="A293" s="133"/>
      <c r="B293" s="16"/>
      <c r="C293" s="146"/>
      <c r="D293" s="146"/>
      <c r="E293" s="16"/>
      <c r="F293" s="91"/>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row>
    <row r="294">
      <c r="A294" s="133"/>
      <c r="B294" s="16"/>
      <c r="C294" s="146"/>
      <c r="D294" s="146"/>
      <c r="E294" s="16"/>
      <c r="F294" s="91"/>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row>
    <row r="295">
      <c r="A295" s="133"/>
      <c r="B295" s="16"/>
      <c r="C295" s="146"/>
      <c r="D295" s="146"/>
      <c r="E295" s="16"/>
      <c r="F295" s="91"/>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row>
    <row r="296">
      <c r="A296" s="133"/>
      <c r="B296" s="16"/>
      <c r="C296" s="146"/>
      <c r="D296" s="146"/>
      <c r="E296" s="16"/>
      <c r="F296" s="91"/>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row>
    <row r="297">
      <c r="A297" s="133"/>
      <c r="B297" s="16"/>
      <c r="C297" s="146"/>
      <c r="D297" s="146"/>
      <c r="E297" s="16"/>
      <c r="F297" s="91"/>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row>
    <row r="298">
      <c r="A298" s="133"/>
      <c r="B298" s="16"/>
      <c r="C298" s="146"/>
      <c r="D298" s="146"/>
      <c r="E298" s="16"/>
      <c r="F298" s="91"/>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row>
    <row r="299">
      <c r="A299" s="133"/>
      <c r="B299" s="16"/>
      <c r="C299" s="146"/>
      <c r="D299" s="146"/>
      <c r="E299" s="16"/>
      <c r="F299" s="91"/>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row>
    <row r="300">
      <c r="A300" s="133"/>
      <c r="B300" s="16"/>
      <c r="C300" s="146"/>
      <c r="D300" s="146"/>
      <c r="E300" s="16"/>
      <c r="F300" s="91"/>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row>
    <row r="301">
      <c r="A301" s="133"/>
      <c r="B301" s="16"/>
      <c r="C301" s="146"/>
      <c r="D301" s="146"/>
      <c r="E301" s="16"/>
      <c r="F301" s="91"/>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row>
    <row r="302">
      <c r="A302" s="133"/>
      <c r="B302" s="16"/>
      <c r="C302" s="146"/>
      <c r="D302" s="146"/>
      <c r="E302" s="16"/>
      <c r="F302" s="91"/>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row>
    <row r="303">
      <c r="A303" s="133"/>
      <c r="B303" s="16"/>
      <c r="C303" s="146"/>
      <c r="D303" s="146"/>
      <c r="E303" s="16"/>
      <c r="F303" s="91"/>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row>
    <row r="304">
      <c r="A304" s="133"/>
      <c r="B304" s="16"/>
      <c r="C304" s="146"/>
      <c r="D304" s="146"/>
      <c r="E304" s="16"/>
      <c r="F304" s="91"/>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row>
    <row r="305">
      <c r="A305" s="133"/>
      <c r="B305" s="16"/>
      <c r="C305" s="146"/>
      <c r="D305" s="146"/>
      <c r="E305" s="16"/>
      <c r="F305" s="91"/>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row>
    <row r="306">
      <c r="A306" s="133"/>
      <c r="B306" s="16"/>
      <c r="C306" s="146"/>
      <c r="D306" s="146"/>
      <c r="E306" s="16"/>
      <c r="F306" s="91"/>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row>
    <row r="307">
      <c r="A307" s="133"/>
      <c r="B307" s="16"/>
      <c r="C307" s="146"/>
      <c r="D307" s="146"/>
      <c r="E307" s="16"/>
      <c r="F307" s="91"/>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row>
    <row r="308">
      <c r="A308" s="133"/>
      <c r="B308" s="16"/>
      <c r="C308" s="146"/>
      <c r="D308" s="146"/>
      <c r="E308" s="16"/>
      <c r="F308" s="91"/>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row>
    <row r="309">
      <c r="A309" s="133"/>
      <c r="B309" s="16"/>
      <c r="C309" s="146"/>
      <c r="D309" s="146"/>
      <c r="E309" s="16"/>
      <c r="F309" s="91"/>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row>
    <row r="310">
      <c r="A310" s="133"/>
      <c r="B310" s="16"/>
      <c r="C310" s="146"/>
      <c r="D310" s="146"/>
      <c r="E310" s="16"/>
      <c r="F310" s="91"/>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row>
    <row r="311">
      <c r="A311" s="133"/>
      <c r="B311" s="16"/>
      <c r="C311" s="146"/>
      <c r="D311" s="146"/>
      <c r="E311" s="16"/>
      <c r="F311" s="91"/>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row>
    <row r="312">
      <c r="A312" s="133"/>
      <c r="B312" s="16"/>
      <c r="C312" s="146"/>
      <c r="D312" s="146"/>
      <c r="E312" s="16"/>
      <c r="F312" s="91"/>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row>
    <row r="313">
      <c r="A313" s="133"/>
      <c r="B313" s="16"/>
      <c r="C313" s="146"/>
      <c r="D313" s="146"/>
      <c r="E313" s="16"/>
      <c r="F313" s="91"/>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row>
    <row r="314">
      <c r="A314" s="133"/>
      <c r="B314" s="16"/>
      <c r="C314" s="146"/>
      <c r="D314" s="146"/>
      <c r="E314" s="16"/>
      <c r="F314" s="91"/>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row>
    <row r="315">
      <c r="A315" s="133"/>
      <c r="B315" s="16"/>
      <c r="C315" s="146"/>
      <c r="D315" s="146"/>
      <c r="E315" s="16"/>
      <c r="F315" s="91"/>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row>
    <row r="316">
      <c r="A316" s="133"/>
      <c r="B316" s="16"/>
      <c r="C316" s="146"/>
      <c r="D316" s="146"/>
      <c r="E316" s="16"/>
      <c r="F316" s="91"/>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row>
    <row r="317">
      <c r="A317" s="133"/>
      <c r="B317" s="16"/>
      <c r="C317" s="146"/>
      <c r="D317" s="146"/>
      <c r="E317" s="16"/>
      <c r="F317" s="91"/>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row>
    <row r="318">
      <c r="A318" s="133"/>
      <c r="B318" s="16"/>
      <c r="C318" s="146"/>
      <c r="D318" s="146"/>
      <c r="E318" s="16"/>
      <c r="F318" s="91"/>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row>
    <row r="319">
      <c r="A319" s="133"/>
      <c r="B319" s="16"/>
      <c r="C319" s="146"/>
      <c r="D319" s="146"/>
      <c r="E319" s="16"/>
      <c r="F319" s="91"/>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row>
    <row r="320">
      <c r="A320" s="133"/>
      <c r="B320" s="16"/>
      <c r="C320" s="146"/>
      <c r="D320" s="146"/>
      <c r="E320" s="16"/>
      <c r="F320" s="91"/>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row>
    <row r="321">
      <c r="A321" s="133"/>
      <c r="B321" s="16"/>
      <c r="C321" s="146"/>
      <c r="D321" s="146"/>
      <c r="E321" s="16"/>
      <c r="F321" s="91"/>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row>
    <row r="322">
      <c r="A322" s="133"/>
      <c r="B322" s="16"/>
      <c r="C322" s="146"/>
      <c r="D322" s="146"/>
      <c r="E322" s="16"/>
      <c r="F322" s="91"/>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row>
    <row r="323">
      <c r="A323" s="133"/>
      <c r="B323" s="16"/>
      <c r="C323" s="146"/>
      <c r="D323" s="146"/>
      <c r="E323" s="16"/>
      <c r="F323" s="91"/>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row>
    <row r="324">
      <c r="A324" s="133"/>
      <c r="B324" s="16"/>
      <c r="C324" s="146"/>
      <c r="D324" s="146"/>
      <c r="E324" s="16"/>
      <c r="F324" s="91"/>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row>
    <row r="325">
      <c r="A325" s="133"/>
      <c r="B325" s="16"/>
      <c r="C325" s="146"/>
      <c r="D325" s="146"/>
      <c r="E325" s="16"/>
      <c r="F325" s="91"/>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row>
    <row r="326">
      <c r="A326" s="133"/>
      <c r="B326" s="16"/>
      <c r="C326" s="146"/>
      <c r="D326" s="146"/>
      <c r="E326" s="16"/>
      <c r="F326" s="91"/>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row>
    <row r="327">
      <c r="A327" s="133"/>
      <c r="B327" s="16"/>
      <c r="C327" s="146"/>
      <c r="D327" s="146"/>
      <c r="E327" s="16"/>
      <c r="F327" s="91"/>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row>
    <row r="328">
      <c r="A328" s="133"/>
      <c r="B328" s="16"/>
      <c r="C328" s="146"/>
      <c r="D328" s="146"/>
      <c r="E328" s="16"/>
      <c r="F328" s="91"/>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row>
    <row r="329">
      <c r="A329" s="133"/>
      <c r="B329" s="16"/>
      <c r="C329" s="146"/>
      <c r="D329" s="146"/>
      <c r="E329" s="16"/>
      <c r="F329" s="91"/>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row>
    <row r="330">
      <c r="A330" s="133"/>
      <c r="B330" s="16"/>
      <c r="C330" s="146"/>
      <c r="D330" s="146"/>
      <c r="E330" s="16"/>
      <c r="F330" s="91"/>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row>
    <row r="331">
      <c r="A331" s="133"/>
      <c r="B331" s="16"/>
      <c r="C331" s="146"/>
      <c r="D331" s="146"/>
      <c r="E331" s="16"/>
      <c r="F331" s="91"/>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row>
    <row r="332">
      <c r="A332" s="133"/>
      <c r="B332" s="16"/>
      <c r="C332" s="146"/>
      <c r="D332" s="146"/>
      <c r="E332" s="16"/>
      <c r="F332" s="91"/>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row>
    <row r="333">
      <c r="A333" s="133"/>
      <c r="B333" s="16"/>
      <c r="C333" s="146"/>
      <c r="D333" s="146"/>
      <c r="E333" s="16"/>
      <c r="F333" s="91"/>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row>
    <row r="334">
      <c r="A334" s="133"/>
      <c r="B334" s="16"/>
      <c r="C334" s="146"/>
      <c r="D334" s="146"/>
      <c r="E334" s="16"/>
      <c r="F334" s="91"/>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row>
    <row r="335">
      <c r="A335" s="133"/>
      <c r="B335" s="16"/>
      <c r="C335" s="146"/>
      <c r="D335" s="146"/>
      <c r="E335" s="16"/>
      <c r="F335" s="91"/>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row>
    <row r="336">
      <c r="A336" s="133"/>
      <c r="B336" s="16"/>
      <c r="C336" s="146"/>
      <c r="D336" s="146"/>
      <c r="E336" s="16"/>
      <c r="F336" s="91"/>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row>
    <row r="337">
      <c r="A337" s="133"/>
      <c r="B337" s="16"/>
      <c r="C337" s="146"/>
      <c r="D337" s="146"/>
      <c r="E337" s="16"/>
      <c r="F337" s="91"/>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row>
    <row r="338">
      <c r="A338" s="133"/>
      <c r="B338" s="16"/>
      <c r="C338" s="146"/>
      <c r="D338" s="146"/>
      <c r="E338" s="16"/>
      <c r="F338" s="91"/>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row>
    <row r="339">
      <c r="A339" s="133"/>
      <c r="B339" s="16"/>
      <c r="C339" s="146"/>
      <c r="D339" s="146"/>
      <c r="E339" s="16"/>
      <c r="F339" s="91"/>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row>
    <row r="340">
      <c r="A340" s="133"/>
      <c r="B340" s="16"/>
      <c r="C340" s="146"/>
      <c r="D340" s="146"/>
      <c r="E340" s="16"/>
      <c r="F340" s="91"/>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row>
    <row r="341">
      <c r="A341" s="133"/>
      <c r="B341" s="16"/>
      <c r="C341" s="146"/>
      <c r="D341" s="146"/>
      <c r="E341" s="16"/>
      <c r="F341" s="91"/>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row>
    <row r="342">
      <c r="A342" s="133"/>
      <c r="B342" s="16"/>
      <c r="C342" s="146"/>
      <c r="D342" s="146"/>
      <c r="E342" s="16"/>
      <c r="F342" s="91"/>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row>
    <row r="343">
      <c r="A343" s="133"/>
      <c r="B343" s="16"/>
      <c r="C343" s="146"/>
      <c r="D343" s="146"/>
      <c r="E343" s="16"/>
      <c r="F343" s="91"/>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row>
    <row r="344">
      <c r="A344" s="133"/>
      <c r="B344" s="16"/>
      <c r="C344" s="146"/>
      <c r="D344" s="146"/>
      <c r="E344" s="16"/>
      <c r="F344" s="91"/>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row>
    <row r="345">
      <c r="A345" s="133"/>
      <c r="B345" s="16"/>
      <c r="C345" s="146"/>
      <c r="D345" s="146"/>
      <c r="E345" s="16"/>
      <c r="F345" s="91"/>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row>
    <row r="346">
      <c r="A346" s="133"/>
      <c r="B346" s="16"/>
      <c r="C346" s="146"/>
      <c r="D346" s="146"/>
      <c r="E346" s="16"/>
      <c r="F346" s="91"/>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row>
    <row r="347">
      <c r="A347" s="133"/>
      <c r="B347" s="16"/>
      <c r="C347" s="146"/>
      <c r="D347" s="146"/>
      <c r="E347" s="16"/>
      <c r="F347" s="91"/>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row>
    <row r="348">
      <c r="A348" s="133"/>
      <c r="B348" s="16"/>
      <c r="C348" s="146"/>
      <c r="D348" s="146"/>
      <c r="E348" s="16"/>
      <c r="F348" s="91"/>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row>
    <row r="349">
      <c r="A349" s="133"/>
      <c r="B349" s="16"/>
      <c r="C349" s="146"/>
      <c r="D349" s="146"/>
      <c r="E349" s="16"/>
      <c r="F349" s="91"/>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row>
    <row r="350">
      <c r="A350" s="133"/>
      <c r="B350" s="16"/>
      <c r="C350" s="146"/>
      <c r="D350" s="146"/>
      <c r="E350" s="16"/>
      <c r="F350" s="91"/>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row>
    <row r="351">
      <c r="A351" s="133"/>
      <c r="B351" s="16"/>
      <c r="C351" s="146"/>
      <c r="D351" s="146"/>
      <c r="E351" s="16"/>
      <c r="F351" s="91"/>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row>
    <row r="352">
      <c r="A352" s="133"/>
      <c r="B352" s="16"/>
      <c r="C352" s="146"/>
      <c r="D352" s="146"/>
      <c r="E352" s="16"/>
      <c r="F352" s="91"/>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row>
    <row r="353">
      <c r="A353" s="133"/>
      <c r="B353" s="16"/>
      <c r="C353" s="146"/>
      <c r="D353" s="146"/>
      <c r="E353" s="16"/>
      <c r="F353" s="91"/>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row>
    <row r="354">
      <c r="A354" s="133"/>
      <c r="B354" s="16"/>
      <c r="C354" s="146"/>
      <c r="D354" s="146"/>
      <c r="E354" s="16"/>
      <c r="F354" s="91"/>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row>
    <row r="355">
      <c r="A355" s="133"/>
      <c r="B355" s="16"/>
      <c r="C355" s="146"/>
      <c r="D355" s="146"/>
      <c r="E355" s="16"/>
      <c r="F355" s="91"/>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row>
    <row r="356">
      <c r="A356" s="133"/>
      <c r="B356" s="16"/>
      <c r="C356" s="146"/>
      <c r="D356" s="146"/>
      <c r="E356" s="16"/>
      <c r="F356" s="91"/>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row>
    <row r="357">
      <c r="A357" s="133"/>
      <c r="B357" s="16"/>
      <c r="C357" s="146"/>
      <c r="D357" s="146"/>
      <c r="E357" s="16"/>
      <c r="F357" s="91"/>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row>
    <row r="358">
      <c r="A358" s="133"/>
      <c r="B358" s="16"/>
      <c r="C358" s="146"/>
      <c r="D358" s="146"/>
      <c r="E358" s="16"/>
      <c r="F358" s="91"/>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row>
    <row r="359">
      <c r="A359" s="133"/>
      <c r="B359" s="16"/>
      <c r="C359" s="146"/>
      <c r="D359" s="146"/>
      <c r="E359" s="16"/>
      <c r="F359" s="91"/>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row>
    <row r="360">
      <c r="A360" s="133"/>
      <c r="B360" s="16"/>
      <c r="C360" s="146"/>
      <c r="D360" s="146"/>
      <c r="E360" s="16"/>
      <c r="F360" s="91"/>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row>
    <row r="361">
      <c r="A361" s="133"/>
      <c r="B361" s="16"/>
      <c r="C361" s="146"/>
      <c r="D361" s="146"/>
      <c r="E361" s="16"/>
      <c r="F361" s="91"/>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row>
    <row r="362">
      <c r="A362" s="133"/>
      <c r="B362" s="16"/>
      <c r="C362" s="146"/>
      <c r="D362" s="146"/>
      <c r="E362" s="16"/>
      <c r="F362" s="91"/>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row>
    <row r="363">
      <c r="A363" s="133"/>
      <c r="B363" s="16"/>
      <c r="C363" s="146"/>
      <c r="D363" s="146"/>
      <c r="E363" s="16"/>
      <c r="F363" s="91"/>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row>
    <row r="364">
      <c r="A364" s="133"/>
      <c r="B364" s="16"/>
      <c r="C364" s="146"/>
      <c r="D364" s="146"/>
      <c r="E364" s="16"/>
      <c r="F364" s="91"/>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row>
    <row r="365">
      <c r="A365" s="133"/>
      <c r="B365" s="16"/>
      <c r="C365" s="146"/>
      <c r="D365" s="146"/>
      <c r="E365" s="16"/>
      <c r="F365" s="91"/>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row>
    <row r="366">
      <c r="A366" s="133"/>
      <c r="B366" s="16"/>
      <c r="C366" s="146"/>
      <c r="D366" s="146"/>
      <c r="E366" s="16"/>
      <c r="F366" s="91"/>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row>
    <row r="367">
      <c r="A367" s="133"/>
      <c r="B367" s="16"/>
      <c r="C367" s="146"/>
      <c r="D367" s="146"/>
      <c r="E367" s="16"/>
      <c r="F367" s="91"/>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row>
    <row r="368">
      <c r="A368" s="133"/>
      <c r="B368" s="16"/>
      <c r="C368" s="146"/>
      <c r="D368" s="146"/>
      <c r="E368" s="16"/>
      <c r="F368" s="91"/>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row>
    <row r="369">
      <c r="A369" s="133"/>
      <c r="B369" s="16"/>
      <c r="C369" s="146"/>
      <c r="D369" s="146"/>
      <c r="E369" s="16"/>
      <c r="F369" s="91"/>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row>
    <row r="370">
      <c r="A370" s="133"/>
      <c r="B370" s="16"/>
      <c r="C370" s="146"/>
      <c r="D370" s="146"/>
      <c r="E370" s="16"/>
      <c r="F370" s="91"/>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row>
    <row r="371">
      <c r="A371" s="133"/>
      <c r="B371" s="16"/>
      <c r="C371" s="146"/>
      <c r="D371" s="146"/>
      <c r="E371" s="16"/>
      <c r="F371" s="91"/>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row>
    <row r="372">
      <c r="A372" s="133"/>
      <c r="B372" s="16"/>
      <c r="C372" s="146"/>
      <c r="D372" s="146"/>
      <c r="E372" s="16"/>
      <c r="F372" s="91"/>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row>
    <row r="373">
      <c r="A373" s="133"/>
      <c r="B373" s="16"/>
      <c r="C373" s="146"/>
      <c r="D373" s="146"/>
      <c r="E373" s="16"/>
      <c r="F373" s="91"/>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row>
    <row r="374">
      <c r="A374" s="133"/>
      <c r="B374" s="16"/>
      <c r="C374" s="146"/>
      <c r="D374" s="146"/>
      <c r="E374" s="16"/>
      <c r="F374" s="91"/>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row>
    <row r="375">
      <c r="A375" s="133"/>
      <c r="B375" s="16"/>
      <c r="C375" s="146"/>
      <c r="D375" s="146"/>
      <c r="E375" s="16"/>
      <c r="F375" s="91"/>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row>
    <row r="376">
      <c r="A376" s="133"/>
      <c r="B376" s="16"/>
      <c r="C376" s="146"/>
      <c r="D376" s="146"/>
      <c r="E376" s="16"/>
      <c r="F376" s="91"/>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row>
    <row r="377">
      <c r="A377" s="133"/>
      <c r="B377" s="16"/>
      <c r="C377" s="146"/>
      <c r="D377" s="146"/>
      <c r="E377" s="16"/>
      <c r="F377" s="91"/>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row>
    <row r="378">
      <c r="A378" s="133"/>
      <c r="B378" s="16"/>
      <c r="C378" s="146"/>
      <c r="D378" s="146"/>
      <c r="E378" s="16"/>
      <c r="F378" s="91"/>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row>
    <row r="379">
      <c r="A379" s="133"/>
      <c r="B379" s="16"/>
      <c r="C379" s="146"/>
      <c r="D379" s="146"/>
      <c r="E379" s="16"/>
      <c r="F379" s="91"/>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row>
    <row r="380">
      <c r="A380" s="133"/>
      <c r="B380" s="16"/>
      <c r="C380" s="146"/>
      <c r="D380" s="146"/>
      <c r="E380" s="16"/>
      <c r="F380" s="91"/>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row>
    <row r="381">
      <c r="A381" s="133"/>
      <c r="B381" s="16"/>
      <c r="C381" s="146"/>
      <c r="D381" s="146"/>
      <c r="E381" s="16"/>
      <c r="F381" s="91"/>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row>
    <row r="382">
      <c r="A382" s="133"/>
      <c r="B382" s="16"/>
      <c r="C382" s="146"/>
      <c r="D382" s="146"/>
      <c r="E382" s="16"/>
      <c r="F382" s="91"/>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row>
    <row r="383">
      <c r="A383" s="133"/>
      <c r="B383" s="16"/>
      <c r="C383" s="146"/>
      <c r="D383" s="146"/>
      <c r="E383" s="16"/>
      <c r="F383" s="91"/>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row>
    <row r="384">
      <c r="A384" s="133"/>
      <c r="B384" s="16"/>
      <c r="C384" s="146"/>
      <c r="D384" s="146"/>
      <c r="E384" s="16"/>
      <c r="F384" s="91"/>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row>
    <row r="385">
      <c r="A385" s="133"/>
      <c r="B385" s="16"/>
      <c r="C385" s="146"/>
      <c r="D385" s="146"/>
      <c r="E385" s="16"/>
      <c r="F385" s="91"/>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row>
    <row r="386">
      <c r="A386" s="133"/>
      <c r="B386" s="16"/>
      <c r="C386" s="146"/>
      <c r="D386" s="146"/>
      <c r="E386" s="16"/>
      <c r="F386" s="91"/>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row>
    <row r="387">
      <c r="A387" s="133"/>
      <c r="B387" s="16"/>
      <c r="C387" s="146"/>
      <c r="D387" s="146"/>
      <c r="E387" s="16"/>
      <c r="F387" s="91"/>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row>
    <row r="388">
      <c r="A388" s="133"/>
      <c r="B388" s="16"/>
      <c r="C388" s="146"/>
      <c r="D388" s="146"/>
      <c r="E388" s="16"/>
      <c r="F388" s="91"/>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row>
    <row r="389">
      <c r="A389" s="133"/>
      <c r="B389" s="16"/>
      <c r="C389" s="146"/>
      <c r="D389" s="146"/>
      <c r="E389" s="16"/>
      <c r="F389" s="91"/>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row>
    <row r="390">
      <c r="A390" s="133"/>
      <c r="B390" s="16"/>
      <c r="C390" s="146"/>
      <c r="D390" s="146"/>
      <c r="E390" s="16"/>
      <c r="F390" s="91"/>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row>
    <row r="391">
      <c r="A391" s="133"/>
      <c r="B391" s="16"/>
      <c r="C391" s="146"/>
      <c r="D391" s="146"/>
      <c r="E391" s="16"/>
      <c r="F391" s="91"/>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row>
    <row r="392">
      <c r="A392" s="133"/>
      <c r="B392" s="16"/>
      <c r="C392" s="146"/>
      <c r="D392" s="146"/>
      <c r="E392" s="16"/>
      <c r="F392" s="91"/>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row>
    <row r="393">
      <c r="A393" s="133"/>
      <c r="B393" s="16"/>
      <c r="C393" s="146"/>
      <c r="D393" s="146"/>
      <c r="E393" s="16"/>
      <c r="F393" s="91"/>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row>
    <row r="394">
      <c r="A394" s="133"/>
      <c r="B394" s="16"/>
      <c r="C394" s="146"/>
      <c r="D394" s="146"/>
      <c r="E394" s="16"/>
      <c r="F394" s="91"/>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row>
    <row r="395">
      <c r="A395" s="133"/>
      <c r="B395" s="16"/>
      <c r="C395" s="146"/>
      <c r="D395" s="146"/>
      <c r="E395" s="16"/>
      <c r="F395" s="91"/>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row>
    <row r="396">
      <c r="A396" s="133"/>
      <c r="B396" s="16"/>
      <c r="C396" s="146"/>
      <c r="D396" s="146"/>
      <c r="E396" s="16"/>
      <c r="F396" s="91"/>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row>
    <row r="397">
      <c r="A397" s="133"/>
      <c r="B397" s="16"/>
      <c r="C397" s="146"/>
      <c r="D397" s="146"/>
      <c r="E397" s="16"/>
      <c r="F397" s="91"/>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row>
    <row r="398">
      <c r="A398" s="133"/>
      <c r="B398" s="16"/>
      <c r="C398" s="146"/>
      <c r="D398" s="146"/>
      <c r="E398" s="16"/>
      <c r="F398" s="91"/>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row>
    <row r="399">
      <c r="A399" s="133"/>
      <c r="B399" s="16"/>
      <c r="C399" s="146"/>
      <c r="D399" s="146"/>
      <c r="E399" s="16"/>
      <c r="F399" s="91"/>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row>
    <row r="400">
      <c r="A400" s="133"/>
      <c r="B400" s="16"/>
      <c r="C400" s="146"/>
      <c r="D400" s="146"/>
      <c r="E400" s="16"/>
      <c r="F400" s="91"/>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row>
    <row r="401">
      <c r="A401" s="133"/>
      <c r="B401" s="16"/>
      <c r="C401" s="146"/>
      <c r="D401" s="146"/>
      <c r="E401" s="16"/>
      <c r="F401" s="91"/>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row>
    <row r="402">
      <c r="A402" s="133"/>
      <c r="B402" s="16"/>
      <c r="C402" s="146"/>
      <c r="D402" s="146"/>
      <c r="E402" s="16"/>
      <c r="F402" s="91"/>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row>
    <row r="403">
      <c r="A403" s="133"/>
      <c r="B403" s="16"/>
      <c r="C403" s="146"/>
      <c r="D403" s="146"/>
      <c r="E403" s="16"/>
      <c r="F403" s="91"/>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row>
    <row r="404">
      <c r="A404" s="133"/>
      <c r="B404" s="16"/>
      <c r="C404" s="146"/>
      <c r="D404" s="146"/>
      <c r="E404" s="16"/>
      <c r="F404" s="91"/>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row>
    <row r="405">
      <c r="A405" s="133"/>
      <c r="B405" s="16"/>
      <c r="C405" s="146"/>
      <c r="D405" s="146"/>
      <c r="E405" s="16"/>
      <c r="F405" s="91"/>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row>
    <row r="406">
      <c r="A406" s="133"/>
      <c r="B406" s="16"/>
      <c r="C406" s="146"/>
      <c r="D406" s="146"/>
      <c r="E406" s="16"/>
      <c r="F406" s="91"/>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row>
    <row r="407">
      <c r="A407" s="133"/>
      <c r="B407" s="16"/>
      <c r="C407" s="146"/>
      <c r="D407" s="146"/>
      <c r="E407" s="16"/>
      <c r="F407" s="91"/>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row>
    <row r="408">
      <c r="A408" s="133"/>
      <c r="B408" s="16"/>
      <c r="C408" s="146"/>
      <c r="D408" s="146"/>
      <c r="E408" s="16"/>
      <c r="F408" s="91"/>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row>
    <row r="409">
      <c r="A409" s="133"/>
      <c r="B409" s="16"/>
      <c r="C409" s="146"/>
      <c r="D409" s="146"/>
      <c r="E409" s="16"/>
      <c r="F409" s="91"/>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row>
    <row r="410">
      <c r="A410" s="133"/>
      <c r="B410" s="16"/>
      <c r="C410" s="146"/>
      <c r="D410" s="146"/>
      <c r="E410" s="16"/>
      <c r="F410" s="91"/>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row>
    <row r="411">
      <c r="A411" s="133"/>
      <c r="B411" s="16"/>
      <c r="C411" s="146"/>
      <c r="D411" s="146"/>
      <c r="E411" s="16"/>
      <c r="F411" s="91"/>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row>
    <row r="412">
      <c r="A412" s="133"/>
      <c r="B412" s="16"/>
      <c r="C412" s="146"/>
      <c r="D412" s="146"/>
      <c r="E412" s="16"/>
      <c r="F412" s="91"/>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row>
    <row r="413">
      <c r="A413" s="133"/>
      <c r="B413" s="16"/>
      <c r="C413" s="146"/>
      <c r="D413" s="146"/>
      <c r="E413" s="16"/>
      <c r="F413" s="91"/>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row>
    <row r="414">
      <c r="A414" s="133"/>
      <c r="B414" s="16"/>
      <c r="C414" s="146"/>
      <c r="D414" s="146"/>
      <c r="E414" s="16"/>
      <c r="F414" s="91"/>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row>
    <row r="415">
      <c r="A415" s="133"/>
      <c r="B415" s="16"/>
      <c r="C415" s="146"/>
      <c r="D415" s="146"/>
      <c r="E415" s="16"/>
      <c r="F415" s="91"/>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row>
    <row r="416">
      <c r="A416" s="133"/>
      <c r="B416" s="16"/>
      <c r="C416" s="146"/>
      <c r="D416" s="146"/>
      <c r="E416" s="16"/>
      <c r="F416" s="91"/>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row>
    <row r="417">
      <c r="A417" s="133"/>
      <c r="B417" s="16"/>
      <c r="C417" s="146"/>
      <c r="D417" s="146"/>
      <c r="E417" s="16"/>
      <c r="F417" s="91"/>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row>
    <row r="418">
      <c r="A418" s="133"/>
      <c r="B418" s="16"/>
      <c r="C418" s="146"/>
      <c r="D418" s="146"/>
      <c r="E418" s="16"/>
      <c r="F418" s="91"/>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row>
    <row r="419">
      <c r="A419" s="133"/>
      <c r="B419" s="16"/>
      <c r="C419" s="146"/>
      <c r="D419" s="146"/>
      <c r="E419" s="16"/>
      <c r="F419" s="91"/>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row>
    <row r="420">
      <c r="A420" s="133"/>
      <c r="B420" s="16"/>
      <c r="C420" s="146"/>
      <c r="D420" s="146"/>
      <c r="E420" s="16"/>
      <c r="F420" s="91"/>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row>
    <row r="421">
      <c r="A421" s="133"/>
      <c r="B421" s="16"/>
      <c r="C421" s="146"/>
      <c r="D421" s="146"/>
      <c r="E421" s="16"/>
      <c r="F421" s="91"/>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row>
    <row r="422">
      <c r="A422" s="133"/>
      <c r="B422" s="16"/>
      <c r="C422" s="146"/>
      <c r="D422" s="146"/>
      <c r="E422" s="16"/>
      <c r="F422" s="91"/>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row>
    <row r="423">
      <c r="A423" s="133"/>
      <c r="B423" s="16"/>
      <c r="C423" s="146"/>
      <c r="D423" s="146"/>
      <c r="E423" s="16"/>
      <c r="F423" s="91"/>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row>
    <row r="424">
      <c r="A424" s="133"/>
      <c r="B424" s="16"/>
      <c r="C424" s="146"/>
      <c r="D424" s="146"/>
      <c r="E424" s="16"/>
      <c r="F424" s="91"/>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row>
    <row r="425">
      <c r="A425" s="133"/>
      <c r="B425" s="16"/>
      <c r="C425" s="146"/>
      <c r="D425" s="146"/>
      <c r="E425" s="16"/>
      <c r="F425" s="91"/>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row>
    <row r="426">
      <c r="A426" s="133"/>
      <c r="B426" s="16"/>
      <c r="C426" s="146"/>
      <c r="D426" s="146"/>
      <c r="E426" s="16"/>
      <c r="F426" s="91"/>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row>
    <row r="427">
      <c r="A427" s="133"/>
      <c r="B427" s="16"/>
      <c r="C427" s="146"/>
      <c r="D427" s="146"/>
      <c r="E427" s="16"/>
      <c r="F427" s="91"/>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row>
    <row r="428">
      <c r="A428" s="133"/>
      <c r="B428" s="16"/>
      <c r="C428" s="146"/>
      <c r="D428" s="146"/>
      <c r="E428" s="16"/>
      <c r="F428" s="91"/>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row>
    <row r="429">
      <c r="A429" s="133"/>
      <c r="B429" s="16"/>
      <c r="C429" s="146"/>
      <c r="D429" s="146"/>
      <c r="E429" s="16"/>
      <c r="F429" s="91"/>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row>
    <row r="430">
      <c r="A430" s="133"/>
      <c r="B430" s="16"/>
      <c r="C430" s="146"/>
      <c r="D430" s="146"/>
      <c r="E430" s="16"/>
      <c r="F430" s="91"/>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row>
    <row r="431">
      <c r="A431" s="133"/>
      <c r="B431" s="16"/>
      <c r="C431" s="146"/>
      <c r="D431" s="146"/>
      <c r="E431" s="16"/>
      <c r="F431" s="91"/>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row>
    <row r="432">
      <c r="A432" s="133"/>
      <c r="B432" s="16"/>
      <c r="C432" s="146"/>
      <c r="D432" s="146"/>
      <c r="E432" s="16"/>
      <c r="F432" s="91"/>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row>
    <row r="433">
      <c r="A433" s="133"/>
      <c r="B433" s="16"/>
      <c r="C433" s="146"/>
      <c r="D433" s="146"/>
      <c r="E433" s="16"/>
      <c r="F433" s="91"/>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row>
    <row r="434">
      <c r="A434" s="133"/>
      <c r="B434" s="16"/>
      <c r="C434" s="146"/>
      <c r="D434" s="146"/>
      <c r="E434" s="16"/>
      <c r="F434" s="91"/>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row>
    <row r="435">
      <c r="A435" s="133"/>
      <c r="B435" s="16"/>
      <c r="C435" s="146"/>
      <c r="D435" s="146"/>
      <c r="E435" s="16"/>
      <c r="F435" s="91"/>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row>
    <row r="436">
      <c r="A436" s="133"/>
      <c r="B436" s="16"/>
      <c r="C436" s="146"/>
      <c r="D436" s="146"/>
      <c r="E436" s="16"/>
      <c r="F436" s="91"/>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row>
    <row r="437">
      <c r="A437" s="133"/>
      <c r="B437" s="16"/>
      <c r="C437" s="146"/>
      <c r="D437" s="146"/>
      <c r="E437" s="16"/>
      <c r="F437" s="91"/>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row>
    <row r="438">
      <c r="A438" s="133"/>
      <c r="B438" s="16"/>
      <c r="C438" s="146"/>
      <c r="D438" s="146"/>
      <c r="E438" s="16"/>
      <c r="F438" s="91"/>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row>
    <row r="439">
      <c r="A439" s="133"/>
      <c r="B439" s="16"/>
      <c r="C439" s="146"/>
      <c r="D439" s="146"/>
      <c r="E439" s="16"/>
      <c r="F439" s="91"/>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row>
    <row r="440">
      <c r="A440" s="133"/>
      <c r="B440" s="16"/>
      <c r="C440" s="146"/>
      <c r="D440" s="146"/>
      <c r="E440" s="16"/>
      <c r="F440" s="91"/>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row>
    <row r="441">
      <c r="A441" s="133"/>
      <c r="B441" s="16"/>
      <c r="C441" s="146"/>
      <c r="D441" s="146"/>
      <c r="E441" s="16"/>
      <c r="F441" s="91"/>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row>
    <row r="442">
      <c r="A442" s="133"/>
      <c r="B442" s="16"/>
      <c r="C442" s="146"/>
      <c r="D442" s="146"/>
      <c r="E442" s="16"/>
      <c r="F442" s="91"/>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row>
    <row r="443">
      <c r="A443" s="133"/>
      <c r="B443" s="16"/>
      <c r="C443" s="146"/>
      <c r="D443" s="146"/>
      <c r="E443" s="16"/>
      <c r="F443" s="91"/>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row>
    <row r="444">
      <c r="A444" s="133"/>
      <c r="B444" s="16"/>
      <c r="C444" s="146"/>
      <c r="D444" s="146"/>
      <c r="E444" s="16"/>
      <c r="F444" s="91"/>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row>
    <row r="445">
      <c r="A445" s="133"/>
      <c r="B445" s="16"/>
      <c r="C445" s="146"/>
      <c r="D445" s="146"/>
      <c r="E445" s="16"/>
      <c r="F445" s="91"/>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row>
    <row r="446">
      <c r="A446" s="133"/>
      <c r="B446" s="16"/>
      <c r="C446" s="146"/>
      <c r="D446" s="146"/>
      <c r="E446" s="16"/>
      <c r="F446" s="91"/>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row>
    <row r="447">
      <c r="A447" s="133"/>
      <c r="B447" s="16"/>
      <c r="C447" s="146"/>
      <c r="D447" s="146"/>
      <c r="E447" s="16"/>
      <c r="F447" s="91"/>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row>
    <row r="448">
      <c r="A448" s="133"/>
      <c r="B448" s="16"/>
      <c r="C448" s="146"/>
      <c r="D448" s="146"/>
      <c r="E448" s="16"/>
      <c r="F448" s="91"/>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row>
    <row r="449">
      <c r="A449" s="133"/>
      <c r="B449" s="16"/>
      <c r="C449" s="146"/>
      <c r="D449" s="146"/>
      <c r="E449" s="16"/>
      <c r="F449" s="91"/>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row>
    <row r="450">
      <c r="A450" s="133"/>
      <c r="B450" s="16"/>
      <c r="C450" s="146"/>
      <c r="D450" s="146"/>
      <c r="E450" s="16"/>
      <c r="F450" s="91"/>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row>
    <row r="451">
      <c r="A451" s="133"/>
      <c r="B451" s="16"/>
      <c r="C451" s="146"/>
      <c r="D451" s="146"/>
      <c r="E451" s="16"/>
      <c r="F451" s="91"/>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row>
    <row r="452">
      <c r="A452" s="133"/>
      <c r="B452" s="16"/>
      <c r="C452" s="146"/>
      <c r="D452" s="146"/>
      <c r="E452" s="16"/>
      <c r="F452" s="91"/>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row>
    <row r="453">
      <c r="A453" s="133"/>
      <c r="B453" s="16"/>
      <c r="C453" s="146"/>
      <c r="D453" s="146"/>
      <c r="E453" s="16"/>
      <c r="F453" s="91"/>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row>
    <row r="454">
      <c r="A454" s="133"/>
      <c r="B454" s="16"/>
      <c r="C454" s="146"/>
      <c r="D454" s="146"/>
      <c r="E454" s="16"/>
      <c r="F454" s="91"/>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row>
    <row r="455">
      <c r="A455" s="133"/>
      <c r="B455" s="16"/>
      <c r="C455" s="146"/>
      <c r="D455" s="146"/>
      <c r="E455" s="16"/>
      <c r="F455" s="91"/>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row>
    <row r="456">
      <c r="A456" s="133"/>
      <c r="B456" s="16"/>
      <c r="C456" s="146"/>
      <c r="D456" s="146"/>
      <c r="E456" s="16"/>
      <c r="F456" s="91"/>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row>
    <row r="457">
      <c r="A457" s="133"/>
      <c r="B457" s="16"/>
      <c r="C457" s="146"/>
      <c r="D457" s="146"/>
      <c r="E457" s="16"/>
      <c r="F457" s="91"/>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row>
    <row r="458">
      <c r="A458" s="133"/>
      <c r="B458" s="16"/>
      <c r="C458" s="146"/>
      <c r="D458" s="146"/>
      <c r="E458" s="16"/>
      <c r="F458" s="91"/>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row>
    <row r="459">
      <c r="A459" s="133"/>
      <c r="B459" s="16"/>
      <c r="C459" s="146"/>
      <c r="D459" s="146"/>
      <c r="E459" s="16"/>
      <c r="F459" s="91"/>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row>
    <row r="460">
      <c r="A460" s="133"/>
      <c r="B460" s="16"/>
      <c r="C460" s="146"/>
      <c r="D460" s="146"/>
      <c r="E460" s="16"/>
      <c r="F460" s="91"/>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row>
    <row r="461">
      <c r="A461" s="133"/>
      <c r="B461" s="16"/>
      <c r="C461" s="146"/>
      <c r="D461" s="146"/>
      <c r="E461" s="16"/>
      <c r="F461" s="91"/>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row>
    <row r="462">
      <c r="A462" s="133"/>
      <c r="B462" s="16"/>
      <c r="C462" s="146"/>
      <c r="D462" s="146"/>
      <c r="E462" s="16"/>
      <c r="F462" s="91"/>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row>
    <row r="463">
      <c r="A463" s="133"/>
      <c r="B463" s="16"/>
      <c r="C463" s="146"/>
      <c r="D463" s="146"/>
      <c r="E463" s="16"/>
      <c r="F463" s="91"/>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row>
    <row r="464">
      <c r="A464" s="133"/>
      <c r="B464" s="16"/>
      <c r="C464" s="146"/>
      <c r="D464" s="146"/>
      <c r="E464" s="16"/>
      <c r="F464" s="91"/>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row>
    <row r="465">
      <c r="A465" s="133"/>
      <c r="B465" s="16"/>
      <c r="C465" s="146"/>
      <c r="D465" s="146"/>
      <c r="E465" s="16"/>
      <c r="F465" s="91"/>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row>
    <row r="466">
      <c r="A466" s="133"/>
      <c r="B466" s="16"/>
      <c r="C466" s="146"/>
      <c r="D466" s="146"/>
      <c r="E466" s="16"/>
      <c r="F466" s="91"/>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row>
    <row r="467">
      <c r="A467" s="133"/>
      <c r="B467" s="16"/>
      <c r="C467" s="146"/>
      <c r="D467" s="146"/>
      <c r="E467" s="16"/>
      <c r="F467" s="91"/>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row>
    <row r="468">
      <c r="A468" s="133"/>
      <c r="B468" s="16"/>
      <c r="C468" s="146"/>
      <c r="D468" s="146"/>
      <c r="E468" s="16"/>
      <c r="F468" s="91"/>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row>
    <row r="469">
      <c r="A469" s="133"/>
      <c r="B469" s="16"/>
      <c r="C469" s="146"/>
      <c r="D469" s="146"/>
      <c r="E469" s="16"/>
      <c r="F469" s="91"/>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row>
    <row r="470">
      <c r="A470" s="133"/>
      <c r="B470" s="16"/>
      <c r="C470" s="146"/>
      <c r="D470" s="146"/>
      <c r="E470" s="16"/>
      <c r="F470" s="91"/>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row>
    <row r="471">
      <c r="A471" s="133"/>
      <c r="B471" s="16"/>
      <c r="C471" s="146"/>
      <c r="D471" s="146"/>
      <c r="E471" s="16"/>
      <c r="F471" s="91"/>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row>
    <row r="472">
      <c r="A472" s="133"/>
      <c r="B472" s="16"/>
      <c r="C472" s="146"/>
      <c r="D472" s="146"/>
      <c r="E472" s="16"/>
      <c r="F472" s="91"/>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row>
    <row r="473">
      <c r="A473" s="133"/>
      <c r="B473" s="16"/>
      <c r="C473" s="146"/>
      <c r="D473" s="146"/>
      <c r="E473" s="16"/>
      <c r="F473" s="91"/>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row>
    <row r="474">
      <c r="A474" s="133"/>
      <c r="B474" s="16"/>
      <c r="C474" s="146"/>
      <c r="D474" s="146"/>
      <c r="E474" s="16"/>
      <c r="F474" s="91"/>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row>
    <row r="475">
      <c r="A475" s="133"/>
      <c r="B475" s="16"/>
      <c r="C475" s="146"/>
      <c r="D475" s="146"/>
      <c r="E475" s="16"/>
      <c r="F475" s="91"/>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row>
    <row r="476">
      <c r="A476" s="133"/>
      <c r="B476" s="16"/>
      <c r="C476" s="146"/>
      <c r="D476" s="146"/>
      <c r="E476" s="16"/>
      <c r="F476" s="91"/>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row>
    <row r="477">
      <c r="A477" s="133"/>
      <c r="B477" s="16"/>
      <c r="C477" s="146"/>
      <c r="D477" s="146"/>
      <c r="E477" s="16"/>
      <c r="F477" s="91"/>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row>
    <row r="478">
      <c r="A478" s="133"/>
      <c r="B478" s="16"/>
      <c r="C478" s="146"/>
      <c r="D478" s="146"/>
      <c r="E478" s="16"/>
      <c r="F478" s="91"/>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row>
    <row r="479">
      <c r="A479" s="133"/>
      <c r="B479" s="16"/>
      <c r="C479" s="146"/>
      <c r="D479" s="146"/>
      <c r="E479" s="16"/>
      <c r="F479" s="91"/>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row>
    <row r="480">
      <c r="A480" s="133"/>
      <c r="B480" s="16"/>
      <c r="C480" s="146"/>
      <c r="D480" s="146"/>
      <c r="E480" s="16"/>
      <c r="F480" s="91"/>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row>
    <row r="481">
      <c r="A481" s="133"/>
      <c r="B481" s="16"/>
      <c r="C481" s="146"/>
      <c r="D481" s="146"/>
      <c r="E481" s="16"/>
      <c r="F481" s="91"/>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row>
    <row r="482">
      <c r="A482" s="133"/>
      <c r="B482" s="16"/>
      <c r="C482" s="146"/>
      <c r="D482" s="146"/>
      <c r="E482" s="16"/>
      <c r="F482" s="91"/>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row>
    <row r="483">
      <c r="A483" s="133"/>
      <c r="B483" s="16"/>
      <c r="C483" s="146"/>
      <c r="D483" s="146"/>
      <c r="E483" s="16"/>
      <c r="F483" s="91"/>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row>
    <row r="484">
      <c r="A484" s="133"/>
      <c r="B484" s="16"/>
      <c r="C484" s="146"/>
      <c r="D484" s="146"/>
      <c r="E484" s="16"/>
      <c r="F484" s="91"/>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row>
    <row r="485">
      <c r="A485" s="133"/>
      <c r="B485" s="16"/>
      <c r="C485" s="146"/>
      <c r="D485" s="146"/>
      <c r="E485" s="16"/>
      <c r="F485" s="91"/>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row>
    <row r="486">
      <c r="A486" s="133"/>
      <c r="B486" s="16"/>
      <c r="C486" s="146"/>
      <c r="D486" s="146"/>
      <c r="E486" s="16"/>
      <c r="F486" s="91"/>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row>
    <row r="487">
      <c r="A487" s="133"/>
      <c r="B487" s="16"/>
      <c r="C487" s="146"/>
      <c r="D487" s="146"/>
      <c r="E487" s="16"/>
      <c r="F487" s="91"/>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row>
    <row r="488">
      <c r="A488" s="133"/>
      <c r="B488" s="16"/>
      <c r="C488" s="146"/>
      <c r="D488" s="146"/>
      <c r="E488" s="16"/>
      <c r="F488" s="91"/>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row>
    <row r="489">
      <c r="A489" s="133"/>
      <c r="B489" s="16"/>
      <c r="C489" s="146"/>
      <c r="D489" s="146"/>
      <c r="E489" s="16"/>
      <c r="F489" s="91"/>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row>
    <row r="490">
      <c r="A490" s="133"/>
      <c r="B490" s="16"/>
      <c r="C490" s="146"/>
      <c r="D490" s="146"/>
      <c r="E490" s="16"/>
      <c r="F490" s="91"/>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row>
    <row r="491">
      <c r="A491" s="133"/>
      <c r="B491" s="16"/>
      <c r="C491" s="146"/>
      <c r="D491" s="146"/>
      <c r="E491" s="16"/>
      <c r="F491" s="91"/>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row>
    <row r="492">
      <c r="A492" s="133"/>
      <c r="B492" s="16"/>
      <c r="C492" s="146"/>
      <c r="D492" s="146"/>
      <c r="E492" s="16"/>
      <c r="F492" s="91"/>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row>
    <row r="493">
      <c r="A493" s="133"/>
      <c r="B493" s="16"/>
      <c r="C493" s="146"/>
      <c r="D493" s="146"/>
      <c r="E493" s="16"/>
      <c r="F493" s="91"/>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row>
    <row r="494">
      <c r="A494" s="133"/>
      <c r="B494" s="16"/>
      <c r="C494" s="146"/>
      <c r="D494" s="146"/>
      <c r="E494" s="16"/>
      <c r="F494" s="91"/>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row>
    <row r="495">
      <c r="A495" s="133"/>
      <c r="B495" s="16"/>
      <c r="C495" s="146"/>
      <c r="D495" s="146"/>
      <c r="E495" s="16"/>
      <c r="F495" s="91"/>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row>
    <row r="496">
      <c r="A496" s="133"/>
      <c r="B496" s="16"/>
      <c r="C496" s="146"/>
      <c r="D496" s="146"/>
      <c r="E496" s="16"/>
      <c r="F496" s="91"/>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row>
    <row r="497">
      <c r="A497" s="133"/>
      <c r="B497" s="16"/>
      <c r="C497" s="146"/>
      <c r="D497" s="146"/>
      <c r="E497" s="16"/>
      <c r="F497" s="91"/>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row>
    <row r="498">
      <c r="A498" s="133"/>
      <c r="B498" s="16"/>
      <c r="C498" s="146"/>
      <c r="D498" s="146"/>
      <c r="E498" s="16"/>
      <c r="F498" s="91"/>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row>
    <row r="499">
      <c r="A499" s="133"/>
      <c r="B499" s="16"/>
      <c r="C499" s="146"/>
      <c r="D499" s="146"/>
      <c r="E499" s="16"/>
      <c r="F499" s="91"/>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row>
    <row r="500">
      <c r="A500" s="133"/>
      <c r="B500" s="16"/>
      <c r="C500" s="146"/>
      <c r="D500" s="146"/>
      <c r="E500" s="16"/>
      <c r="F500" s="91"/>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row>
    <row r="501">
      <c r="A501" s="133"/>
      <c r="B501" s="16"/>
      <c r="C501" s="146"/>
      <c r="D501" s="146"/>
      <c r="E501" s="16"/>
      <c r="F501" s="91"/>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row>
    <row r="502">
      <c r="A502" s="133"/>
      <c r="B502" s="16"/>
      <c r="C502" s="146"/>
      <c r="D502" s="146"/>
      <c r="E502" s="16"/>
      <c r="F502" s="91"/>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row>
    <row r="503">
      <c r="A503" s="133"/>
      <c r="B503" s="16"/>
      <c r="C503" s="146"/>
      <c r="D503" s="146"/>
      <c r="E503" s="16"/>
      <c r="F503" s="91"/>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row>
    <row r="504">
      <c r="A504" s="133"/>
      <c r="B504" s="16"/>
      <c r="C504" s="146"/>
      <c r="D504" s="146"/>
      <c r="E504" s="16"/>
      <c r="F504" s="91"/>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row>
    <row r="505">
      <c r="A505" s="133"/>
      <c r="B505" s="16"/>
      <c r="C505" s="146"/>
      <c r="D505" s="146"/>
      <c r="E505" s="16"/>
      <c r="F505" s="91"/>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row>
    <row r="506">
      <c r="A506" s="133"/>
      <c r="B506" s="16"/>
      <c r="C506" s="146"/>
      <c r="D506" s="146"/>
      <c r="E506" s="16"/>
      <c r="F506" s="91"/>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row>
    <row r="507">
      <c r="A507" s="133"/>
      <c r="B507" s="16"/>
      <c r="C507" s="146"/>
      <c r="D507" s="146"/>
      <c r="E507" s="16"/>
      <c r="F507" s="91"/>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row>
    <row r="508">
      <c r="A508" s="133"/>
      <c r="B508" s="16"/>
      <c r="C508" s="146"/>
      <c r="D508" s="146"/>
      <c r="E508" s="16"/>
      <c r="F508" s="91"/>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row>
    <row r="509">
      <c r="A509" s="133"/>
      <c r="B509" s="16"/>
      <c r="C509" s="146"/>
      <c r="D509" s="146"/>
      <c r="E509" s="16"/>
      <c r="F509" s="91"/>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row>
    <row r="510">
      <c r="A510" s="133"/>
      <c r="B510" s="16"/>
      <c r="C510" s="146"/>
      <c r="D510" s="146"/>
      <c r="E510" s="16"/>
      <c r="F510" s="91"/>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row>
    <row r="511">
      <c r="A511" s="133"/>
      <c r="B511" s="16"/>
      <c r="C511" s="146"/>
      <c r="D511" s="146"/>
      <c r="E511" s="16"/>
      <c r="F511" s="91"/>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row>
    <row r="512">
      <c r="A512" s="133"/>
      <c r="B512" s="16"/>
      <c r="C512" s="146"/>
      <c r="D512" s="146"/>
      <c r="E512" s="16"/>
      <c r="F512" s="91"/>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row>
    <row r="513">
      <c r="A513" s="133"/>
      <c r="B513" s="16"/>
      <c r="C513" s="146"/>
      <c r="D513" s="146"/>
      <c r="E513" s="16"/>
      <c r="F513" s="91"/>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row>
    <row r="514">
      <c r="A514" s="133"/>
      <c r="B514" s="16"/>
      <c r="C514" s="146"/>
      <c r="D514" s="146"/>
      <c r="E514" s="16"/>
      <c r="F514" s="91"/>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row>
    <row r="515">
      <c r="A515" s="133"/>
      <c r="B515" s="16"/>
      <c r="C515" s="146"/>
      <c r="D515" s="146"/>
      <c r="E515" s="16"/>
      <c r="F515" s="91"/>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row>
    <row r="516">
      <c r="A516" s="133"/>
      <c r="B516" s="16"/>
      <c r="C516" s="146"/>
      <c r="D516" s="146"/>
      <c r="E516" s="16"/>
      <c r="F516" s="91"/>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row>
    <row r="517">
      <c r="A517" s="133"/>
      <c r="B517" s="16"/>
      <c r="C517" s="146"/>
      <c r="D517" s="146"/>
      <c r="E517" s="16"/>
      <c r="F517" s="91"/>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row>
    <row r="518">
      <c r="A518" s="133"/>
      <c r="B518" s="16"/>
      <c r="C518" s="146"/>
      <c r="D518" s="146"/>
      <c r="E518" s="16"/>
      <c r="F518" s="91"/>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row>
    <row r="519">
      <c r="A519" s="133"/>
      <c r="B519" s="16"/>
      <c r="C519" s="146"/>
      <c r="D519" s="146"/>
      <c r="E519" s="16"/>
      <c r="F519" s="91"/>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row>
    <row r="520">
      <c r="A520" s="133"/>
      <c r="B520" s="16"/>
      <c r="C520" s="146"/>
      <c r="D520" s="146"/>
      <c r="E520" s="16"/>
      <c r="F520" s="91"/>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row>
    <row r="521">
      <c r="A521" s="133"/>
      <c r="B521" s="16"/>
      <c r="C521" s="146"/>
      <c r="D521" s="146"/>
      <c r="E521" s="16"/>
      <c r="F521" s="91"/>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row>
    <row r="522">
      <c r="A522" s="133"/>
      <c r="B522" s="16"/>
      <c r="C522" s="146"/>
      <c r="D522" s="146"/>
      <c r="E522" s="16"/>
      <c r="F522" s="91"/>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row>
    <row r="523">
      <c r="A523" s="133"/>
      <c r="B523" s="16"/>
      <c r="C523" s="146"/>
      <c r="D523" s="146"/>
      <c r="E523" s="16"/>
      <c r="F523" s="91"/>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row>
    <row r="524">
      <c r="A524" s="133"/>
      <c r="B524" s="16"/>
      <c r="C524" s="146"/>
      <c r="D524" s="146"/>
      <c r="E524" s="16"/>
      <c r="F524" s="91"/>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row>
    <row r="525">
      <c r="A525" s="133"/>
      <c r="B525" s="16"/>
      <c r="C525" s="146"/>
      <c r="D525" s="146"/>
      <c r="E525" s="16"/>
      <c r="F525" s="91"/>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row>
    <row r="526">
      <c r="A526" s="133"/>
      <c r="B526" s="16"/>
      <c r="C526" s="146"/>
      <c r="D526" s="146"/>
      <c r="E526" s="16"/>
      <c r="F526" s="91"/>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row>
    <row r="527">
      <c r="A527" s="133"/>
      <c r="B527" s="16"/>
      <c r="C527" s="146"/>
      <c r="D527" s="146"/>
      <c r="E527" s="16"/>
      <c r="F527" s="91"/>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row>
    <row r="528">
      <c r="A528" s="133"/>
      <c r="B528" s="16"/>
      <c r="C528" s="146"/>
      <c r="D528" s="146"/>
      <c r="E528" s="16"/>
      <c r="F528" s="91"/>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row>
    <row r="529">
      <c r="A529" s="133"/>
      <c r="B529" s="16"/>
      <c r="C529" s="146"/>
      <c r="D529" s="146"/>
      <c r="E529" s="16"/>
      <c r="F529" s="91"/>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row>
    <row r="530">
      <c r="A530" s="133"/>
      <c r="B530" s="16"/>
      <c r="C530" s="146"/>
      <c r="D530" s="146"/>
      <c r="E530" s="16"/>
      <c r="F530" s="91"/>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row>
    <row r="531">
      <c r="A531" s="133"/>
      <c r="B531" s="16"/>
      <c r="C531" s="146"/>
      <c r="D531" s="146"/>
      <c r="E531" s="16"/>
      <c r="F531" s="91"/>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row>
    <row r="532">
      <c r="A532" s="133"/>
      <c r="B532" s="16"/>
      <c r="C532" s="146"/>
      <c r="D532" s="146"/>
      <c r="E532" s="16"/>
      <c r="F532" s="91"/>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row>
    <row r="533">
      <c r="A533" s="133"/>
      <c r="B533" s="16"/>
      <c r="C533" s="146"/>
      <c r="D533" s="146"/>
      <c r="E533" s="16"/>
      <c r="F533" s="91"/>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row>
    <row r="534">
      <c r="A534" s="133"/>
      <c r="B534" s="16"/>
      <c r="C534" s="146"/>
      <c r="D534" s="146"/>
      <c r="E534" s="16"/>
      <c r="F534" s="91"/>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row>
    <row r="535">
      <c r="A535" s="133"/>
      <c r="B535" s="16"/>
      <c r="C535" s="146"/>
      <c r="D535" s="146"/>
      <c r="E535" s="16"/>
      <c r="F535" s="91"/>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row>
    <row r="536">
      <c r="A536" s="133"/>
      <c r="B536" s="16"/>
      <c r="C536" s="146"/>
      <c r="D536" s="146"/>
      <c r="E536" s="16"/>
      <c r="F536" s="91"/>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row>
    <row r="537">
      <c r="A537" s="133"/>
      <c r="B537" s="16"/>
      <c r="C537" s="146"/>
      <c r="D537" s="146"/>
      <c r="E537" s="16"/>
      <c r="F537" s="91"/>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row>
    <row r="538">
      <c r="A538" s="133"/>
      <c r="B538" s="16"/>
      <c r="C538" s="146"/>
      <c r="D538" s="146"/>
      <c r="E538" s="16"/>
      <c r="F538" s="91"/>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row>
    <row r="539">
      <c r="A539" s="133"/>
      <c r="B539" s="16"/>
      <c r="C539" s="146"/>
      <c r="D539" s="146"/>
      <c r="E539" s="16"/>
      <c r="F539" s="91"/>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row>
    <row r="540">
      <c r="A540" s="133"/>
      <c r="B540" s="16"/>
      <c r="C540" s="146"/>
      <c r="D540" s="146"/>
      <c r="E540" s="16"/>
      <c r="F540" s="91"/>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row>
    <row r="541">
      <c r="A541" s="133"/>
      <c r="B541" s="16"/>
      <c r="C541" s="146"/>
      <c r="D541" s="146"/>
      <c r="E541" s="16"/>
      <c r="F541" s="91"/>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row>
    <row r="542">
      <c r="A542" s="133"/>
      <c r="B542" s="16"/>
      <c r="C542" s="146"/>
      <c r="D542" s="146"/>
      <c r="E542" s="16"/>
      <c r="F542" s="91"/>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row>
    <row r="543">
      <c r="A543" s="133"/>
      <c r="B543" s="16"/>
      <c r="C543" s="146"/>
      <c r="D543" s="146"/>
      <c r="E543" s="16"/>
      <c r="F543" s="91"/>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row>
    <row r="544">
      <c r="A544" s="133"/>
      <c r="B544" s="16"/>
      <c r="C544" s="146"/>
      <c r="D544" s="146"/>
      <c r="E544" s="16"/>
      <c r="F544" s="91"/>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row>
    <row r="545">
      <c r="A545" s="133"/>
      <c r="B545" s="16"/>
      <c r="C545" s="146"/>
      <c r="D545" s="146"/>
      <c r="E545" s="16"/>
      <c r="F545" s="91"/>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row>
    <row r="546">
      <c r="A546" s="133"/>
      <c r="B546" s="16"/>
      <c r="C546" s="146"/>
      <c r="D546" s="146"/>
      <c r="E546" s="16"/>
      <c r="F546" s="91"/>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row>
    <row r="547">
      <c r="A547" s="133"/>
      <c r="B547" s="16"/>
      <c r="C547" s="146"/>
      <c r="D547" s="146"/>
      <c r="E547" s="16"/>
      <c r="F547" s="91"/>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row>
    <row r="548">
      <c r="A548" s="133"/>
      <c r="B548" s="16"/>
      <c r="C548" s="146"/>
      <c r="D548" s="146"/>
      <c r="E548" s="16"/>
      <c r="F548" s="91"/>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row>
    <row r="549">
      <c r="A549" s="133"/>
      <c r="B549" s="16"/>
      <c r="C549" s="146"/>
      <c r="D549" s="146"/>
      <c r="E549" s="16"/>
      <c r="F549" s="91"/>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row>
    <row r="550">
      <c r="A550" s="133"/>
      <c r="B550" s="16"/>
      <c r="C550" s="146"/>
      <c r="D550" s="146"/>
      <c r="E550" s="16"/>
      <c r="F550" s="91"/>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row>
    <row r="551">
      <c r="A551" s="133"/>
      <c r="B551" s="16"/>
      <c r="C551" s="146"/>
      <c r="D551" s="146"/>
      <c r="E551" s="16"/>
      <c r="F551" s="91"/>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row>
    <row r="552">
      <c r="A552" s="133"/>
      <c r="B552" s="16"/>
      <c r="C552" s="146"/>
      <c r="D552" s="146"/>
      <c r="E552" s="16"/>
      <c r="F552" s="91"/>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row>
    <row r="553">
      <c r="A553" s="133"/>
      <c r="B553" s="16"/>
      <c r="C553" s="146"/>
      <c r="D553" s="146"/>
      <c r="E553" s="16"/>
      <c r="F553" s="91"/>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row>
    <row r="554">
      <c r="A554" s="133"/>
      <c r="B554" s="16"/>
      <c r="C554" s="146"/>
      <c r="D554" s="146"/>
      <c r="E554" s="16"/>
      <c r="F554" s="91"/>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row>
    <row r="555">
      <c r="A555" s="133"/>
      <c r="B555" s="16"/>
      <c r="C555" s="146"/>
      <c r="D555" s="146"/>
      <c r="E555" s="16"/>
      <c r="F555" s="91"/>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row>
    <row r="556">
      <c r="A556" s="133"/>
      <c r="B556" s="16"/>
      <c r="C556" s="146"/>
      <c r="D556" s="146"/>
      <c r="E556" s="16"/>
      <c r="F556" s="91"/>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row>
    <row r="557">
      <c r="A557" s="133"/>
      <c r="B557" s="16"/>
      <c r="C557" s="146"/>
      <c r="D557" s="146"/>
      <c r="E557" s="16"/>
      <c r="F557" s="91"/>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row>
    <row r="558">
      <c r="A558" s="133"/>
      <c r="B558" s="16"/>
      <c r="C558" s="146"/>
      <c r="D558" s="146"/>
      <c r="E558" s="16"/>
      <c r="F558" s="91"/>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row>
    <row r="559">
      <c r="A559" s="133"/>
      <c r="B559" s="16"/>
      <c r="C559" s="146"/>
      <c r="D559" s="146"/>
      <c r="E559" s="16"/>
      <c r="F559" s="91"/>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row>
    <row r="560">
      <c r="A560" s="133"/>
      <c r="B560" s="16"/>
      <c r="C560" s="146"/>
      <c r="D560" s="146"/>
      <c r="E560" s="16"/>
      <c r="F560" s="91"/>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row>
    <row r="561">
      <c r="A561" s="133"/>
      <c r="B561" s="16"/>
      <c r="C561" s="146"/>
      <c r="D561" s="146"/>
      <c r="E561" s="16"/>
      <c r="F561" s="91"/>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row>
    <row r="562">
      <c r="A562" s="133"/>
      <c r="B562" s="16"/>
      <c r="C562" s="146"/>
      <c r="D562" s="146"/>
      <c r="E562" s="16"/>
      <c r="F562" s="91"/>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row>
    <row r="563">
      <c r="A563" s="133"/>
      <c r="B563" s="16"/>
      <c r="C563" s="146"/>
      <c r="D563" s="146"/>
      <c r="E563" s="16"/>
      <c r="F563" s="91"/>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row>
    <row r="564">
      <c r="A564" s="133"/>
      <c r="B564" s="16"/>
      <c r="C564" s="146"/>
      <c r="D564" s="146"/>
      <c r="E564" s="16"/>
      <c r="F564" s="91"/>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row>
    <row r="565">
      <c r="A565" s="133"/>
      <c r="B565" s="16"/>
      <c r="C565" s="146"/>
      <c r="D565" s="146"/>
      <c r="E565" s="16"/>
      <c r="F565" s="91"/>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row>
    <row r="566">
      <c r="A566" s="133"/>
      <c r="B566" s="16"/>
      <c r="C566" s="146"/>
      <c r="D566" s="146"/>
      <c r="E566" s="16"/>
      <c r="F566" s="91"/>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row>
    <row r="567">
      <c r="A567" s="133"/>
      <c r="B567" s="16"/>
      <c r="C567" s="146"/>
      <c r="D567" s="146"/>
      <c r="E567" s="16"/>
      <c r="F567" s="91"/>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row>
    <row r="568">
      <c r="A568" s="133"/>
      <c r="B568" s="16"/>
      <c r="C568" s="146"/>
      <c r="D568" s="146"/>
      <c r="E568" s="16"/>
      <c r="F568" s="91"/>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row>
    <row r="569">
      <c r="A569" s="133"/>
      <c r="B569" s="16"/>
      <c r="C569" s="146"/>
      <c r="D569" s="146"/>
      <c r="E569" s="16"/>
      <c r="F569" s="91"/>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row>
    <row r="570">
      <c r="A570" s="133"/>
      <c r="B570" s="16"/>
      <c r="C570" s="146"/>
      <c r="D570" s="146"/>
      <c r="E570" s="16"/>
      <c r="F570" s="91"/>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row>
    <row r="571">
      <c r="A571" s="133"/>
      <c r="B571" s="16"/>
      <c r="C571" s="146"/>
      <c r="D571" s="146"/>
      <c r="E571" s="16"/>
      <c r="F571" s="91"/>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row>
    <row r="572">
      <c r="A572" s="133"/>
      <c r="B572" s="16"/>
      <c r="C572" s="146"/>
      <c r="D572" s="146"/>
      <c r="E572" s="16"/>
      <c r="F572" s="91"/>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row>
    <row r="573">
      <c r="A573" s="133"/>
      <c r="B573" s="16"/>
      <c r="C573" s="146"/>
      <c r="D573" s="146"/>
      <c r="E573" s="16"/>
      <c r="F573" s="91"/>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row>
    <row r="574">
      <c r="A574" s="133"/>
      <c r="B574" s="16"/>
      <c r="C574" s="146"/>
      <c r="D574" s="146"/>
      <c r="E574" s="16"/>
      <c r="F574" s="91"/>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row>
    <row r="575">
      <c r="A575" s="133"/>
      <c r="B575" s="16"/>
      <c r="C575" s="146"/>
      <c r="D575" s="146"/>
      <c r="E575" s="16"/>
      <c r="F575" s="91"/>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row>
    <row r="576">
      <c r="A576" s="133"/>
      <c r="B576" s="16"/>
      <c r="C576" s="146"/>
      <c r="D576" s="146"/>
      <c r="E576" s="16"/>
      <c r="F576" s="91"/>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row>
    <row r="577">
      <c r="A577" s="133"/>
      <c r="B577" s="16"/>
      <c r="C577" s="146"/>
      <c r="D577" s="146"/>
      <c r="E577" s="16"/>
      <c r="F577" s="91"/>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row>
    <row r="578">
      <c r="A578" s="133"/>
      <c r="B578" s="16"/>
      <c r="C578" s="146"/>
      <c r="D578" s="146"/>
      <c r="E578" s="16"/>
      <c r="F578" s="91"/>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row>
    <row r="579">
      <c r="A579" s="133"/>
      <c r="B579" s="16"/>
      <c r="C579" s="146"/>
      <c r="D579" s="146"/>
      <c r="E579" s="16"/>
      <c r="F579" s="91"/>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row>
    <row r="580">
      <c r="A580" s="133"/>
      <c r="B580" s="16"/>
      <c r="C580" s="146"/>
      <c r="D580" s="146"/>
      <c r="E580" s="16"/>
      <c r="F580" s="91"/>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row>
    <row r="581">
      <c r="A581" s="133"/>
      <c r="B581" s="16"/>
      <c r="C581" s="146"/>
      <c r="D581" s="146"/>
      <c r="E581" s="16"/>
      <c r="F581" s="91"/>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row>
    <row r="582">
      <c r="A582" s="133"/>
      <c r="B582" s="16"/>
      <c r="C582" s="146"/>
      <c r="D582" s="146"/>
      <c r="E582" s="16"/>
      <c r="F582" s="91"/>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row>
    <row r="583">
      <c r="A583" s="133"/>
      <c r="B583" s="16"/>
      <c r="C583" s="146"/>
      <c r="D583" s="146"/>
      <c r="E583" s="16"/>
      <c r="F583" s="91"/>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row>
    <row r="584">
      <c r="A584" s="133"/>
      <c r="B584" s="16"/>
      <c r="C584" s="146"/>
      <c r="D584" s="146"/>
      <c r="E584" s="16"/>
      <c r="F584" s="91"/>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row>
    <row r="585">
      <c r="A585" s="133"/>
      <c r="B585" s="16"/>
      <c r="C585" s="146"/>
      <c r="D585" s="146"/>
      <c r="E585" s="16"/>
      <c r="F585" s="91"/>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row>
    <row r="586">
      <c r="A586" s="133"/>
      <c r="B586" s="16"/>
      <c r="C586" s="146"/>
      <c r="D586" s="146"/>
      <c r="E586" s="16"/>
      <c r="F586" s="91"/>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row>
    <row r="587">
      <c r="A587" s="133"/>
      <c r="B587" s="16"/>
      <c r="C587" s="146"/>
      <c r="D587" s="146"/>
      <c r="E587" s="16"/>
      <c r="F587" s="91"/>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row>
    <row r="588">
      <c r="A588" s="133"/>
      <c r="B588" s="16"/>
      <c r="C588" s="146"/>
      <c r="D588" s="146"/>
      <c r="E588" s="16"/>
      <c r="F588" s="91"/>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row>
    <row r="589">
      <c r="A589" s="133"/>
      <c r="B589" s="16"/>
      <c r="C589" s="146"/>
      <c r="D589" s="146"/>
      <c r="E589" s="16"/>
      <c r="F589" s="91"/>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row>
    <row r="590">
      <c r="A590" s="133"/>
      <c r="B590" s="16"/>
      <c r="C590" s="146"/>
      <c r="D590" s="146"/>
      <c r="E590" s="16"/>
      <c r="F590" s="91"/>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row>
    <row r="591">
      <c r="A591" s="133"/>
      <c r="B591" s="16"/>
      <c r="C591" s="146"/>
      <c r="D591" s="146"/>
      <c r="E591" s="16"/>
      <c r="F591" s="91"/>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row>
    <row r="592">
      <c r="A592" s="133"/>
      <c r="B592" s="16"/>
      <c r="C592" s="146"/>
      <c r="D592" s="146"/>
      <c r="E592" s="16"/>
      <c r="F592" s="91"/>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row>
    <row r="593">
      <c r="A593" s="133"/>
      <c r="B593" s="16"/>
      <c r="C593" s="146"/>
      <c r="D593" s="146"/>
      <c r="E593" s="16"/>
      <c r="F593" s="91"/>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row>
    <row r="594">
      <c r="A594" s="133"/>
      <c r="B594" s="16"/>
      <c r="C594" s="146"/>
      <c r="D594" s="146"/>
      <c r="E594" s="16"/>
      <c r="F594" s="91"/>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row>
    <row r="595">
      <c r="A595" s="133"/>
      <c r="B595" s="16"/>
      <c r="C595" s="146"/>
      <c r="D595" s="146"/>
      <c r="E595" s="16"/>
      <c r="F595" s="91"/>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row>
    <row r="596">
      <c r="A596" s="133"/>
      <c r="B596" s="16"/>
      <c r="C596" s="146"/>
      <c r="D596" s="146"/>
      <c r="E596" s="16"/>
      <c r="F596" s="91"/>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row>
    <row r="597">
      <c r="A597" s="133"/>
      <c r="B597" s="16"/>
      <c r="C597" s="146"/>
      <c r="D597" s="146"/>
      <c r="E597" s="16"/>
      <c r="F597" s="91"/>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row>
    <row r="598">
      <c r="A598" s="133"/>
      <c r="B598" s="16"/>
      <c r="C598" s="146"/>
      <c r="D598" s="146"/>
      <c r="E598" s="16"/>
      <c r="F598" s="91"/>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row>
    <row r="599">
      <c r="A599" s="133"/>
      <c r="B599" s="16"/>
      <c r="C599" s="146"/>
      <c r="D599" s="146"/>
      <c r="E599" s="16"/>
      <c r="F599" s="91"/>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row>
    <row r="600">
      <c r="A600" s="133"/>
      <c r="B600" s="16"/>
      <c r="C600" s="146"/>
      <c r="D600" s="146"/>
      <c r="E600" s="16"/>
      <c r="F600" s="91"/>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row>
    <row r="601">
      <c r="A601" s="133"/>
      <c r="B601" s="16"/>
      <c r="C601" s="146"/>
      <c r="D601" s="146"/>
      <c r="E601" s="16"/>
      <c r="F601" s="91"/>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row>
    <row r="602">
      <c r="A602" s="133"/>
      <c r="B602" s="16"/>
      <c r="C602" s="146"/>
      <c r="D602" s="146"/>
      <c r="E602" s="16"/>
      <c r="F602" s="91"/>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row>
    <row r="603">
      <c r="A603" s="133"/>
      <c r="B603" s="16"/>
      <c r="C603" s="146"/>
      <c r="D603" s="146"/>
      <c r="E603" s="16"/>
      <c r="F603" s="91"/>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row>
    <row r="604">
      <c r="A604" s="133"/>
      <c r="B604" s="16"/>
      <c r="C604" s="146"/>
      <c r="D604" s="146"/>
      <c r="E604" s="16"/>
      <c r="F604" s="91"/>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row>
    <row r="605">
      <c r="A605" s="133"/>
      <c r="B605" s="16"/>
      <c r="C605" s="146"/>
      <c r="D605" s="146"/>
      <c r="E605" s="16"/>
      <c r="F605" s="91"/>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row>
    <row r="606">
      <c r="A606" s="133"/>
      <c r="B606" s="16"/>
      <c r="C606" s="146"/>
      <c r="D606" s="146"/>
      <c r="E606" s="16"/>
      <c r="F606" s="91"/>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row>
    <row r="607">
      <c r="A607" s="133"/>
      <c r="B607" s="16"/>
      <c r="C607" s="146"/>
      <c r="D607" s="146"/>
      <c r="E607" s="16"/>
      <c r="F607" s="91"/>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row>
    <row r="608">
      <c r="A608" s="133"/>
      <c r="B608" s="16"/>
      <c r="C608" s="146"/>
      <c r="D608" s="146"/>
      <c r="E608" s="16"/>
      <c r="F608" s="91"/>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row>
    <row r="609">
      <c r="A609" s="133"/>
      <c r="B609" s="16"/>
      <c r="C609" s="146"/>
      <c r="D609" s="146"/>
      <c r="E609" s="16"/>
      <c r="F609" s="91"/>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row>
    <row r="610">
      <c r="A610" s="133"/>
      <c r="B610" s="16"/>
      <c r="C610" s="146"/>
      <c r="D610" s="146"/>
      <c r="E610" s="16"/>
      <c r="F610" s="91"/>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row>
    <row r="611">
      <c r="A611" s="133"/>
      <c r="B611" s="16"/>
      <c r="C611" s="146"/>
      <c r="D611" s="146"/>
      <c r="E611" s="16"/>
      <c r="F611" s="91"/>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row>
    <row r="612">
      <c r="A612" s="133"/>
      <c r="B612" s="16"/>
      <c r="C612" s="146"/>
      <c r="D612" s="146"/>
      <c r="E612" s="16"/>
      <c r="F612" s="91"/>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row>
    <row r="613">
      <c r="A613" s="133"/>
      <c r="B613" s="16"/>
      <c r="C613" s="146"/>
      <c r="D613" s="146"/>
      <c r="E613" s="16"/>
      <c r="F613" s="91"/>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row>
    <row r="614">
      <c r="A614" s="133"/>
      <c r="B614" s="16"/>
      <c r="C614" s="146"/>
      <c r="D614" s="146"/>
      <c r="E614" s="16"/>
      <c r="F614" s="91"/>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row>
    <row r="615">
      <c r="A615" s="133"/>
      <c r="B615" s="16"/>
      <c r="C615" s="146"/>
      <c r="D615" s="146"/>
      <c r="E615" s="16"/>
      <c r="F615" s="91"/>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row>
    <row r="616">
      <c r="A616" s="133"/>
      <c r="B616" s="16"/>
      <c r="C616" s="146"/>
      <c r="D616" s="146"/>
      <c r="E616" s="16"/>
      <c r="F616" s="91"/>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row>
    <row r="617">
      <c r="A617" s="133"/>
      <c r="B617" s="16"/>
      <c r="C617" s="146"/>
      <c r="D617" s="146"/>
      <c r="E617" s="16"/>
      <c r="F617" s="91"/>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row>
    <row r="618">
      <c r="A618" s="133"/>
      <c r="B618" s="16"/>
      <c r="C618" s="146"/>
      <c r="D618" s="146"/>
      <c r="E618" s="16"/>
      <c r="F618" s="91"/>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row>
    <row r="619">
      <c r="A619" s="133"/>
      <c r="B619" s="16"/>
      <c r="C619" s="146"/>
      <c r="D619" s="146"/>
      <c r="E619" s="16"/>
      <c r="F619" s="91"/>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row>
    <row r="620">
      <c r="A620" s="133"/>
      <c r="B620" s="16"/>
      <c r="C620" s="146"/>
      <c r="D620" s="146"/>
      <c r="E620" s="16"/>
      <c r="F620" s="91"/>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row>
    <row r="621">
      <c r="A621" s="133"/>
      <c r="B621" s="16"/>
      <c r="C621" s="146"/>
      <c r="D621" s="146"/>
      <c r="E621" s="16"/>
      <c r="F621" s="91"/>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row>
    <row r="622">
      <c r="A622" s="133"/>
      <c r="B622" s="16"/>
      <c r="C622" s="146"/>
      <c r="D622" s="146"/>
      <c r="E622" s="16"/>
      <c r="F622" s="91"/>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row>
    <row r="623">
      <c r="A623" s="133"/>
      <c r="B623" s="16"/>
      <c r="C623" s="146"/>
      <c r="D623" s="146"/>
      <c r="E623" s="16"/>
      <c r="F623" s="91"/>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row>
    <row r="624">
      <c r="A624" s="133"/>
      <c r="B624" s="16"/>
      <c r="C624" s="146"/>
      <c r="D624" s="146"/>
      <c r="E624" s="16"/>
      <c r="F624" s="91"/>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row>
    <row r="625">
      <c r="A625" s="133"/>
      <c r="B625" s="16"/>
      <c r="C625" s="146"/>
      <c r="D625" s="146"/>
      <c r="E625" s="16"/>
      <c r="F625" s="91"/>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row>
    <row r="626">
      <c r="A626" s="133"/>
      <c r="B626" s="16"/>
      <c r="C626" s="146"/>
      <c r="D626" s="146"/>
      <c r="E626" s="16"/>
      <c r="F626" s="91"/>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row>
    <row r="627">
      <c r="A627" s="133"/>
      <c r="B627" s="16"/>
      <c r="C627" s="146"/>
      <c r="D627" s="146"/>
      <c r="E627" s="16"/>
      <c r="F627" s="91"/>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row>
    <row r="628">
      <c r="A628" s="133"/>
      <c r="B628" s="16"/>
      <c r="C628" s="146"/>
      <c r="D628" s="146"/>
      <c r="E628" s="16"/>
      <c r="F628" s="91"/>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row>
    <row r="629">
      <c r="A629" s="133"/>
      <c r="B629" s="16"/>
      <c r="C629" s="146"/>
      <c r="D629" s="146"/>
      <c r="E629" s="16"/>
      <c r="F629" s="91"/>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row>
    <row r="630">
      <c r="A630" s="133"/>
      <c r="B630" s="16"/>
      <c r="C630" s="146"/>
      <c r="D630" s="146"/>
      <c r="E630" s="16"/>
      <c r="F630" s="91"/>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row>
    <row r="631">
      <c r="A631" s="133"/>
      <c r="B631" s="16"/>
      <c r="C631" s="146"/>
      <c r="D631" s="146"/>
      <c r="E631" s="16"/>
      <c r="F631" s="91"/>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row>
    <row r="632">
      <c r="A632" s="133"/>
      <c r="B632" s="16"/>
      <c r="C632" s="146"/>
      <c r="D632" s="146"/>
      <c r="E632" s="16"/>
      <c r="F632" s="91"/>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row>
    <row r="633">
      <c r="A633" s="133"/>
      <c r="B633" s="16"/>
      <c r="C633" s="146"/>
      <c r="D633" s="146"/>
      <c r="E633" s="16"/>
      <c r="F633" s="91"/>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row>
    <row r="634">
      <c r="A634" s="133"/>
      <c r="B634" s="16"/>
      <c r="C634" s="146"/>
      <c r="D634" s="146"/>
      <c r="E634" s="16"/>
      <c r="F634" s="91"/>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row>
    <row r="635">
      <c r="A635" s="133"/>
      <c r="B635" s="16"/>
      <c r="C635" s="146"/>
      <c r="D635" s="146"/>
      <c r="E635" s="16"/>
      <c r="F635" s="91"/>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row>
    <row r="636">
      <c r="A636" s="133"/>
      <c r="B636" s="16"/>
      <c r="C636" s="146"/>
      <c r="D636" s="146"/>
      <c r="E636" s="16"/>
      <c r="F636" s="91"/>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row>
    <row r="637">
      <c r="A637" s="133"/>
      <c r="B637" s="16"/>
      <c r="C637" s="146"/>
      <c r="D637" s="146"/>
      <c r="E637" s="16"/>
      <c r="F637" s="91"/>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row>
    <row r="638">
      <c r="A638" s="133"/>
      <c r="B638" s="16"/>
      <c r="C638" s="146"/>
      <c r="D638" s="146"/>
      <c r="E638" s="16"/>
      <c r="F638" s="91"/>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row>
    <row r="639">
      <c r="A639" s="133"/>
      <c r="B639" s="16"/>
      <c r="C639" s="146"/>
      <c r="D639" s="146"/>
      <c r="E639" s="16"/>
      <c r="F639" s="91"/>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row>
    <row r="640">
      <c r="A640" s="133"/>
      <c r="B640" s="16"/>
      <c r="C640" s="146"/>
      <c r="D640" s="146"/>
      <c r="E640" s="16"/>
      <c r="F640" s="91"/>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row>
    <row r="641">
      <c r="A641" s="133"/>
      <c r="B641" s="16"/>
      <c r="C641" s="146"/>
      <c r="D641" s="146"/>
      <c r="E641" s="16"/>
      <c r="F641" s="91"/>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row>
    <row r="642">
      <c r="A642" s="133"/>
      <c r="B642" s="16"/>
      <c r="C642" s="146"/>
      <c r="D642" s="146"/>
      <c r="E642" s="16"/>
      <c r="F642" s="91"/>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row>
    <row r="643">
      <c r="A643" s="133"/>
      <c r="B643" s="16"/>
      <c r="C643" s="146"/>
      <c r="D643" s="146"/>
      <c r="E643" s="16"/>
      <c r="F643" s="91"/>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row>
    <row r="644">
      <c r="A644" s="133"/>
      <c r="B644" s="16"/>
      <c r="C644" s="146"/>
      <c r="D644" s="146"/>
      <c r="E644" s="16"/>
      <c r="F644" s="91"/>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row>
    <row r="645">
      <c r="A645" s="133"/>
      <c r="B645" s="16"/>
      <c r="C645" s="146"/>
      <c r="D645" s="146"/>
      <c r="E645" s="16"/>
      <c r="F645" s="91"/>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row>
    <row r="646">
      <c r="A646" s="133"/>
      <c r="B646" s="16"/>
      <c r="C646" s="146"/>
      <c r="D646" s="146"/>
      <c r="E646" s="16"/>
      <c r="F646" s="91"/>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row>
    <row r="647">
      <c r="A647" s="133"/>
      <c r="B647" s="16"/>
      <c r="C647" s="146"/>
      <c r="D647" s="146"/>
      <c r="E647" s="16"/>
      <c r="F647" s="91"/>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row>
    <row r="648">
      <c r="A648" s="133"/>
      <c r="B648" s="16"/>
      <c r="C648" s="146"/>
      <c r="D648" s="146"/>
      <c r="E648" s="16"/>
      <c r="F648" s="91"/>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row>
    <row r="649">
      <c r="A649" s="133"/>
      <c r="B649" s="16"/>
      <c r="C649" s="146"/>
      <c r="D649" s="146"/>
      <c r="E649" s="16"/>
      <c r="F649" s="91"/>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row>
    <row r="650">
      <c r="A650" s="133"/>
      <c r="B650" s="16"/>
      <c r="C650" s="146"/>
      <c r="D650" s="146"/>
      <c r="E650" s="16"/>
      <c r="F650" s="91"/>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row>
    <row r="651">
      <c r="A651" s="133"/>
      <c r="B651" s="16"/>
      <c r="C651" s="146"/>
      <c r="D651" s="146"/>
      <c r="E651" s="16"/>
      <c r="F651" s="91"/>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row>
    <row r="652">
      <c r="A652" s="133"/>
      <c r="B652" s="16"/>
      <c r="C652" s="146"/>
      <c r="D652" s="146"/>
      <c r="E652" s="16"/>
      <c r="F652" s="91"/>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row>
    <row r="653">
      <c r="A653" s="133"/>
      <c r="B653" s="16"/>
      <c r="C653" s="146"/>
      <c r="D653" s="146"/>
      <c r="E653" s="16"/>
      <c r="F653" s="91"/>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row>
    <row r="654">
      <c r="A654" s="133"/>
      <c r="B654" s="16"/>
      <c r="C654" s="146"/>
      <c r="D654" s="146"/>
      <c r="E654" s="16"/>
      <c r="F654" s="91"/>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row>
    <row r="655">
      <c r="A655" s="133"/>
      <c r="B655" s="16"/>
      <c r="C655" s="146"/>
      <c r="D655" s="146"/>
      <c r="E655" s="16"/>
      <c r="F655" s="91"/>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row>
    <row r="656">
      <c r="A656" s="133"/>
      <c r="B656" s="16"/>
      <c r="C656" s="146"/>
      <c r="D656" s="146"/>
      <c r="E656" s="16"/>
      <c r="F656" s="91"/>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row>
    <row r="657">
      <c r="A657" s="133"/>
      <c r="B657" s="16"/>
      <c r="C657" s="146"/>
      <c r="D657" s="146"/>
      <c r="E657" s="16"/>
      <c r="F657" s="91"/>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row>
    <row r="658">
      <c r="A658" s="133"/>
      <c r="B658" s="16"/>
      <c r="C658" s="146"/>
      <c r="D658" s="146"/>
      <c r="E658" s="16"/>
      <c r="F658" s="91"/>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row>
    <row r="659">
      <c r="A659" s="133"/>
      <c r="B659" s="16"/>
      <c r="C659" s="146"/>
      <c r="D659" s="146"/>
      <c r="E659" s="16"/>
      <c r="F659" s="91"/>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row>
    <row r="660">
      <c r="A660" s="133"/>
      <c r="B660" s="16"/>
      <c r="C660" s="146"/>
      <c r="D660" s="146"/>
      <c r="E660" s="16"/>
      <c r="F660" s="91"/>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row>
    <row r="661">
      <c r="A661" s="133"/>
      <c r="B661" s="16"/>
      <c r="C661" s="146"/>
      <c r="D661" s="146"/>
      <c r="E661" s="16"/>
      <c r="F661" s="91"/>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row>
    <row r="662">
      <c r="A662" s="133"/>
      <c r="B662" s="16"/>
      <c r="C662" s="146"/>
      <c r="D662" s="146"/>
      <c r="E662" s="16"/>
      <c r="F662" s="91"/>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row>
    <row r="663">
      <c r="A663" s="133"/>
      <c r="B663" s="16"/>
      <c r="C663" s="146"/>
      <c r="D663" s="146"/>
      <c r="E663" s="16"/>
      <c r="F663" s="91"/>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row>
    <row r="664">
      <c r="A664" s="133"/>
      <c r="B664" s="16"/>
      <c r="C664" s="146"/>
      <c r="D664" s="146"/>
      <c r="E664" s="16"/>
      <c r="F664" s="91"/>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row>
    <row r="665">
      <c r="A665" s="133"/>
      <c r="B665" s="16"/>
      <c r="C665" s="146"/>
      <c r="D665" s="146"/>
      <c r="E665" s="16"/>
      <c r="F665" s="91"/>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row>
    <row r="666">
      <c r="A666" s="133"/>
      <c r="B666" s="16"/>
      <c r="C666" s="146"/>
      <c r="D666" s="146"/>
      <c r="E666" s="16"/>
      <c r="F666" s="91"/>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row>
    <row r="667">
      <c r="A667" s="133"/>
      <c r="B667" s="16"/>
      <c r="C667" s="146"/>
      <c r="D667" s="146"/>
      <c r="E667" s="16"/>
      <c r="F667" s="91"/>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row>
    <row r="668">
      <c r="A668" s="133"/>
      <c r="B668" s="16"/>
      <c r="C668" s="146"/>
      <c r="D668" s="146"/>
      <c r="E668" s="16"/>
      <c r="F668" s="91"/>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row>
    <row r="669">
      <c r="A669" s="133"/>
      <c r="B669" s="16"/>
      <c r="C669" s="146"/>
      <c r="D669" s="146"/>
      <c r="E669" s="16"/>
      <c r="F669" s="91"/>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row>
    <row r="670">
      <c r="A670" s="133"/>
      <c r="B670" s="16"/>
      <c r="C670" s="146"/>
      <c r="D670" s="146"/>
      <c r="E670" s="16"/>
      <c r="F670" s="91"/>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row>
    <row r="671">
      <c r="A671" s="133"/>
      <c r="B671" s="16"/>
      <c r="C671" s="146"/>
      <c r="D671" s="146"/>
      <c r="E671" s="16"/>
      <c r="F671" s="91"/>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row>
    <row r="672">
      <c r="A672" s="133"/>
      <c r="B672" s="16"/>
      <c r="C672" s="146"/>
      <c r="D672" s="146"/>
      <c r="E672" s="16"/>
      <c r="F672" s="91"/>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row>
    <row r="673">
      <c r="A673" s="133"/>
      <c r="B673" s="16"/>
      <c r="C673" s="146"/>
      <c r="D673" s="146"/>
      <c r="E673" s="16"/>
      <c r="F673" s="91"/>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row>
    <row r="674">
      <c r="A674" s="133"/>
      <c r="B674" s="16"/>
      <c r="C674" s="146"/>
      <c r="D674" s="146"/>
      <c r="E674" s="16"/>
      <c r="F674" s="91"/>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row>
    <row r="675">
      <c r="A675" s="133"/>
      <c r="B675" s="16"/>
      <c r="C675" s="146"/>
      <c r="D675" s="146"/>
      <c r="E675" s="16"/>
      <c r="F675" s="91"/>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row>
    <row r="676">
      <c r="A676" s="133"/>
      <c r="B676" s="16"/>
      <c r="C676" s="146"/>
      <c r="D676" s="146"/>
      <c r="E676" s="16"/>
      <c r="F676" s="91"/>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row>
    <row r="677">
      <c r="A677" s="133"/>
      <c r="B677" s="16"/>
      <c r="C677" s="146"/>
      <c r="D677" s="146"/>
      <c r="E677" s="16"/>
      <c r="F677" s="91"/>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row>
    <row r="678">
      <c r="A678" s="133"/>
      <c r="B678" s="16"/>
      <c r="C678" s="146"/>
      <c r="D678" s="146"/>
      <c r="E678" s="16"/>
      <c r="F678" s="91"/>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row>
    <row r="679">
      <c r="A679" s="133"/>
      <c r="B679" s="16"/>
      <c r="C679" s="146"/>
      <c r="D679" s="146"/>
      <c r="E679" s="16"/>
      <c r="F679" s="91"/>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row>
    <row r="680">
      <c r="A680" s="133"/>
      <c r="B680" s="16"/>
      <c r="C680" s="146"/>
      <c r="D680" s="146"/>
      <c r="E680" s="16"/>
      <c r="F680" s="91"/>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row>
    <row r="681">
      <c r="A681" s="133"/>
      <c r="B681" s="16"/>
      <c r="C681" s="146"/>
      <c r="D681" s="146"/>
      <c r="E681" s="16"/>
      <c r="F681" s="91"/>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row>
    <row r="682">
      <c r="A682" s="133"/>
      <c r="B682" s="16"/>
      <c r="C682" s="146"/>
      <c r="D682" s="146"/>
      <c r="E682" s="16"/>
      <c r="F682" s="91"/>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row>
    <row r="683">
      <c r="A683" s="133"/>
      <c r="B683" s="16"/>
      <c r="C683" s="146"/>
      <c r="D683" s="146"/>
      <c r="E683" s="16"/>
      <c r="F683" s="91"/>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row>
    <row r="684">
      <c r="A684" s="133"/>
      <c r="B684" s="16"/>
      <c r="C684" s="146"/>
      <c r="D684" s="146"/>
      <c r="E684" s="16"/>
      <c r="F684" s="91"/>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row>
    <row r="685">
      <c r="A685" s="133"/>
      <c r="B685" s="16"/>
      <c r="C685" s="146"/>
      <c r="D685" s="146"/>
      <c r="E685" s="16"/>
      <c r="F685" s="91"/>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row>
    <row r="686">
      <c r="A686" s="133"/>
      <c r="B686" s="16"/>
      <c r="C686" s="146"/>
      <c r="D686" s="146"/>
      <c r="E686" s="16"/>
      <c r="F686" s="91"/>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row>
    <row r="687">
      <c r="A687" s="133"/>
      <c r="B687" s="16"/>
      <c r="C687" s="146"/>
      <c r="D687" s="146"/>
      <c r="E687" s="16"/>
      <c r="F687" s="91"/>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row>
    <row r="688">
      <c r="A688" s="133"/>
      <c r="B688" s="16"/>
      <c r="C688" s="146"/>
      <c r="D688" s="146"/>
      <c r="E688" s="16"/>
      <c r="F688" s="91"/>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row>
    <row r="689">
      <c r="A689" s="133"/>
      <c r="B689" s="16"/>
      <c r="C689" s="146"/>
      <c r="D689" s="146"/>
      <c r="E689" s="16"/>
      <c r="F689" s="91"/>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row>
    <row r="690">
      <c r="A690" s="133"/>
      <c r="B690" s="16"/>
      <c r="C690" s="146"/>
      <c r="D690" s="146"/>
      <c r="E690" s="16"/>
      <c r="F690" s="91"/>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row>
    <row r="691">
      <c r="A691" s="133"/>
      <c r="B691" s="16"/>
      <c r="C691" s="146"/>
      <c r="D691" s="146"/>
      <c r="E691" s="16"/>
      <c r="F691" s="91"/>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row>
    <row r="692">
      <c r="A692" s="133"/>
      <c r="B692" s="16"/>
      <c r="C692" s="146"/>
      <c r="D692" s="146"/>
      <c r="E692" s="16"/>
      <c r="F692" s="91"/>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row>
    <row r="693">
      <c r="A693" s="133"/>
      <c r="B693" s="16"/>
      <c r="C693" s="146"/>
      <c r="D693" s="146"/>
      <c r="E693" s="16"/>
      <c r="F693" s="91"/>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row>
    <row r="694">
      <c r="A694" s="133"/>
      <c r="B694" s="16"/>
      <c r="C694" s="146"/>
      <c r="D694" s="146"/>
      <c r="E694" s="16"/>
      <c r="F694" s="91"/>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row>
    <row r="695">
      <c r="A695" s="133"/>
      <c r="B695" s="16"/>
      <c r="C695" s="146"/>
      <c r="D695" s="146"/>
      <c r="E695" s="16"/>
      <c r="F695" s="91"/>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row>
    <row r="696">
      <c r="A696" s="133"/>
      <c r="B696" s="16"/>
      <c r="C696" s="146"/>
      <c r="D696" s="146"/>
      <c r="E696" s="16"/>
      <c r="F696" s="91"/>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row>
    <row r="697">
      <c r="A697" s="133"/>
      <c r="B697" s="16"/>
      <c r="C697" s="146"/>
      <c r="D697" s="146"/>
      <c r="E697" s="16"/>
      <c r="F697" s="91"/>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row>
    <row r="698">
      <c r="A698" s="133"/>
      <c r="B698" s="16"/>
      <c r="C698" s="146"/>
      <c r="D698" s="146"/>
      <c r="E698" s="16"/>
      <c r="F698" s="91"/>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row>
    <row r="699">
      <c r="A699" s="133"/>
      <c r="B699" s="16"/>
      <c r="C699" s="146"/>
      <c r="D699" s="146"/>
      <c r="E699" s="16"/>
      <c r="F699" s="91"/>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row>
    <row r="700">
      <c r="A700" s="133"/>
      <c r="B700" s="16"/>
      <c r="C700" s="146"/>
      <c r="D700" s="146"/>
      <c r="E700" s="16"/>
      <c r="F700" s="91"/>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row>
    <row r="701">
      <c r="A701" s="133"/>
      <c r="B701" s="16"/>
      <c r="C701" s="146"/>
      <c r="D701" s="146"/>
      <c r="E701" s="16"/>
      <c r="F701" s="91"/>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row>
    <row r="702">
      <c r="A702" s="133"/>
      <c r="B702" s="16"/>
      <c r="C702" s="146"/>
      <c r="D702" s="146"/>
      <c r="E702" s="16"/>
      <c r="F702" s="91"/>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row>
    <row r="703">
      <c r="A703" s="133"/>
      <c r="B703" s="16"/>
      <c r="C703" s="146"/>
      <c r="D703" s="146"/>
      <c r="E703" s="16"/>
      <c r="F703" s="91"/>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row>
    <row r="704">
      <c r="A704" s="133"/>
      <c r="B704" s="16"/>
      <c r="C704" s="146"/>
      <c r="D704" s="146"/>
      <c r="E704" s="16"/>
      <c r="F704" s="91"/>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row>
    <row r="705">
      <c r="A705" s="133"/>
      <c r="B705" s="16"/>
      <c r="C705" s="146"/>
      <c r="D705" s="146"/>
      <c r="E705" s="16"/>
      <c r="F705" s="91"/>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row>
    <row r="706">
      <c r="A706" s="133"/>
      <c r="B706" s="16"/>
      <c r="C706" s="146"/>
      <c r="D706" s="146"/>
      <c r="E706" s="16"/>
      <c r="F706" s="91"/>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row>
    <row r="707">
      <c r="A707" s="133"/>
      <c r="B707" s="16"/>
      <c r="C707" s="146"/>
      <c r="D707" s="146"/>
      <c r="E707" s="16"/>
      <c r="F707" s="91"/>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row>
    <row r="708">
      <c r="A708" s="133"/>
      <c r="B708" s="16"/>
      <c r="C708" s="146"/>
      <c r="D708" s="146"/>
      <c r="E708" s="16"/>
      <c r="F708" s="91"/>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row>
    <row r="709">
      <c r="A709" s="133"/>
      <c r="B709" s="16"/>
      <c r="C709" s="146"/>
      <c r="D709" s="146"/>
      <c r="E709" s="16"/>
      <c r="F709" s="91"/>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row>
    <row r="710">
      <c r="A710" s="133"/>
      <c r="B710" s="16"/>
      <c r="C710" s="146"/>
      <c r="D710" s="146"/>
      <c r="E710" s="16"/>
      <c r="F710" s="91"/>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row>
    <row r="711">
      <c r="A711" s="133"/>
      <c r="B711" s="16"/>
      <c r="C711" s="146"/>
      <c r="D711" s="146"/>
      <c r="E711" s="16"/>
      <c r="F711" s="91"/>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row>
    <row r="712">
      <c r="A712" s="133"/>
      <c r="B712" s="16"/>
      <c r="C712" s="146"/>
      <c r="D712" s="146"/>
      <c r="E712" s="16"/>
      <c r="F712" s="91"/>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row>
    <row r="713">
      <c r="A713" s="133"/>
      <c r="B713" s="16"/>
      <c r="C713" s="146"/>
      <c r="D713" s="146"/>
      <c r="E713" s="16"/>
      <c r="F713" s="91"/>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row>
    <row r="714">
      <c r="A714" s="133"/>
      <c r="B714" s="16"/>
      <c r="C714" s="146"/>
      <c r="D714" s="146"/>
      <c r="E714" s="16"/>
      <c r="F714" s="91"/>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row>
    <row r="715">
      <c r="A715" s="133"/>
      <c r="B715" s="16"/>
      <c r="C715" s="146"/>
      <c r="D715" s="146"/>
      <c r="E715" s="16"/>
      <c r="F715" s="91"/>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row>
    <row r="716">
      <c r="A716" s="133"/>
      <c r="B716" s="16"/>
      <c r="C716" s="146"/>
      <c r="D716" s="146"/>
      <c r="E716" s="16"/>
      <c r="F716" s="91"/>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row>
    <row r="717">
      <c r="A717" s="133"/>
      <c r="B717" s="16"/>
      <c r="C717" s="146"/>
      <c r="D717" s="146"/>
      <c r="E717" s="16"/>
      <c r="F717" s="91"/>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row>
    <row r="718">
      <c r="A718" s="133"/>
      <c r="B718" s="16"/>
      <c r="C718" s="146"/>
      <c r="D718" s="146"/>
      <c r="E718" s="16"/>
      <c r="F718" s="91"/>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row>
    <row r="719">
      <c r="A719" s="133"/>
      <c r="B719" s="16"/>
      <c r="C719" s="146"/>
      <c r="D719" s="146"/>
      <c r="E719" s="16"/>
      <c r="F719" s="91"/>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row>
    <row r="720">
      <c r="A720" s="133"/>
      <c r="B720" s="16"/>
      <c r="C720" s="146"/>
      <c r="D720" s="146"/>
      <c r="E720" s="16"/>
      <c r="F720" s="91"/>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row>
    <row r="721">
      <c r="A721" s="133"/>
      <c r="B721" s="16"/>
      <c r="C721" s="146"/>
      <c r="D721" s="146"/>
      <c r="E721" s="16"/>
      <c r="F721" s="91"/>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row>
    <row r="722">
      <c r="A722" s="133"/>
      <c r="B722" s="16"/>
      <c r="C722" s="146"/>
      <c r="D722" s="146"/>
      <c r="E722" s="16"/>
      <c r="F722" s="91"/>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row>
    <row r="723">
      <c r="A723" s="133"/>
      <c r="B723" s="16"/>
      <c r="C723" s="146"/>
      <c r="D723" s="146"/>
      <c r="E723" s="16"/>
      <c r="F723" s="91"/>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row>
    <row r="724">
      <c r="A724" s="133"/>
      <c r="B724" s="16"/>
      <c r="C724" s="146"/>
      <c r="D724" s="146"/>
      <c r="E724" s="16"/>
      <c r="F724" s="91"/>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row>
    <row r="725">
      <c r="A725" s="133"/>
      <c r="B725" s="16"/>
      <c r="C725" s="146"/>
      <c r="D725" s="146"/>
      <c r="E725" s="16"/>
      <c r="F725" s="91"/>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row>
    <row r="726">
      <c r="A726" s="133"/>
      <c r="B726" s="16"/>
      <c r="C726" s="146"/>
      <c r="D726" s="146"/>
      <c r="E726" s="16"/>
      <c r="F726" s="91"/>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row>
    <row r="727">
      <c r="A727" s="133"/>
      <c r="B727" s="16"/>
      <c r="C727" s="146"/>
      <c r="D727" s="146"/>
      <c r="E727" s="16"/>
      <c r="F727" s="91"/>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row>
    <row r="728">
      <c r="A728" s="133"/>
      <c r="B728" s="16"/>
      <c r="C728" s="146"/>
      <c r="D728" s="146"/>
      <c r="E728" s="16"/>
      <c r="F728" s="91"/>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row>
    <row r="729">
      <c r="A729" s="133"/>
      <c r="B729" s="16"/>
      <c r="C729" s="146"/>
      <c r="D729" s="146"/>
      <c r="E729" s="16"/>
      <c r="F729" s="91"/>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row>
    <row r="730">
      <c r="A730" s="133"/>
      <c r="B730" s="16"/>
      <c r="C730" s="146"/>
      <c r="D730" s="146"/>
      <c r="E730" s="16"/>
      <c r="F730" s="91"/>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row>
    <row r="731">
      <c r="A731" s="133"/>
      <c r="B731" s="16"/>
      <c r="C731" s="146"/>
      <c r="D731" s="146"/>
      <c r="E731" s="16"/>
      <c r="F731" s="91"/>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row>
    <row r="732">
      <c r="A732" s="133"/>
      <c r="B732" s="16"/>
      <c r="C732" s="146"/>
      <c r="D732" s="146"/>
      <c r="E732" s="16"/>
      <c r="F732" s="91"/>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row>
    <row r="733">
      <c r="A733" s="133"/>
      <c r="B733" s="16"/>
      <c r="C733" s="146"/>
      <c r="D733" s="146"/>
      <c r="E733" s="16"/>
      <c r="F733" s="91"/>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row>
    <row r="734">
      <c r="A734" s="133"/>
      <c r="B734" s="16"/>
      <c r="C734" s="146"/>
      <c r="D734" s="146"/>
      <c r="E734" s="16"/>
      <c r="F734" s="91"/>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row>
    <row r="735">
      <c r="A735" s="133"/>
      <c r="B735" s="16"/>
      <c r="C735" s="146"/>
      <c r="D735" s="146"/>
      <c r="E735" s="16"/>
      <c r="F735" s="91"/>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row>
    <row r="736">
      <c r="A736" s="133"/>
      <c r="B736" s="16"/>
      <c r="C736" s="146"/>
      <c r="D736" s="146"/>
      <c r="E736" s="16"/>
      <c r="F736" s="91"/>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row>
    <row r="737">
      <c r="A737" s="133"/>
      <c r="B737" s="16"/>
      <c r="C737" s="146"/>
      <c r="D737" s="146"/>
      <c r="E737" s="16"/>
      <c r="F737" s="91"/>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row>
    <row r="738">
      <c r="A738" s="133"/>
      <c r="B738" s="16"/>
      <c r="C738" s="146"/>
      <c r="D738" s="146"/>
      <c r="E738" s="16"/>
      <c r="F738" s="91"/>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row>
    <row r="739">
      <c r="A739" s="133"/>
      <c r="B739" s="16"/>
      <c r="C739" s="146"/>
      <c r="D739" s="146"/>
      <c r="E739" s="16"/>
      <c r="F739" s="91"/>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row>
    <row r="740">
      <c r="A740" s="133"/>
      <c r="B740" s="16"/>
      <c r="C740" s="146"/>
      <c r="D740" s="146"/>
      <c r="E740" s="16"/>
      <c r="F740" s="91"/>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row>
    <row r="741">
      <c r="A741" s="133"/>
      <c r="B741" s="16"/>
      <c r="C741" s="146"/>
      <c r="D741" s="146"/>
      <c r="E741" s="16"/>
      <c r="F741" s="91"/>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row>
    <row r="742">
      <c r="A742" s="133"/>
      <c r="B742" s="16"/>
      <c r="C742" s="146"/>
      <c r="D742" s="146"/>
      <c r="E742" s="16"/>
      <c r="F742" s="91"/>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row>
    <row r="743">
      <c r="A743" s="133"/>
      <c r="B743" s="16"/>
      <c r="C743" s="146"/>
      <c r="D743" s="146"/>
      <c r="E743" s="16"/>
      <c r="F743" s="91"/>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row>
    <row r="744">
      <c r="A744" s="133"/>
      <c r="B744" s="16"/>
      <c r="C744" s="146"/>
      <c r="D744" s="146"/>
      <c r="E744" s="16"/>
      <c r="F744" s="91"/>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row>
    <row r="745">
      <c r="A745" s="133"/>
      <c r="B745" s="16"/>
      <c r="C745" s="146"/>
      <c r="D745" s="146"/>
      <c r="E745" s="16"/>
      <c r="F745" s="91"/>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row>
    <row r="746">
      <c r="A746" s="133"/>
      <c r="B746" s="16"/>
      <c r="C746" s="146"/>
      <c r="D746" s="146"/>
      <c r="E746" s="16"/>
      <c r="F746" s="91"/>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row>
    <row r="747">
      <c r="A747" s="133"/>
      <c r="B747" s="16"/>
      <c r="C747" s="146"/>
      <c r="D747" s="146"/>
      <c r="E747" s="16"/>
      <c r="F747" s="91"/>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row>
    <row r="748">
      <c r="A748" s="133"/>
      <c r="B748" s="16"/>
      <c r="C748" s="146"/>
      <c r="D748" s="146"/>
      <c r="E748" s="16"/>
      <c r="F748" s="91"/>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row>
    <row r="749">
      <c r="A749" s="133"/>
      <c r="B749" s="16"/>
      <c r="C749" s="146"/>
      <c r="D749" s="146"/>
      <c r="E749" s="16"/>
      <c r="F749" s="91"/>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row>
    <row r="750">
      <c r="A750" s="133"/>
      <c r="B750" s="16"/>
      <c r="C750" s="146"/>
      <c r="D750" s="146"/>
      <c r="E750" s="16"/>
      <c r="F750" s="91"/>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row>
    <row r="751">
      <c r="A751" s="133"/>
      <c r="B751" s="16"/>
      <c r="C751" s="146"/>
      <c r="D751" s="146"/>
      <c r="E751" s="16"/>
      <c r="F751" s="91"/>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row>
    <row r="752">
      <c r="A752" s="133"/>
      <c r="B752" s="16"/>
      <c r="C752" s="146"/>
      <c r="D752" s="146"/>
      <c r="E752" s="16"/>
      <c r="F752" s="91"/>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row>
    <row r="753">
      <c r="A753" s="133"/>
      <c r="B753" s="16"/>
      <c r="C753" s="146"/>
      <c r="D753" s="146"/>
      <c r="E753" s="16"/>
      <c r="F753" s="91"/>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row>
    <row r="754">
      <c r="A754" s="133"/>
      <c r="B754" s="16"/>
      <c r="C754" s="146"/>
      <c r="D754" s="146"/>
      <c r="E754" s="16"/>
      <c r="F754" s="91"/>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row>
    <row r="755">
      <c r="A755" s="133"/>
      <c r="B755" s="16"/>
      <c r="C755" s="146"/>
      <c r="D755" s="146"/>
      <c r="E755" s="16"/>
      <c r="F755" s="91"/>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row>
    <row r="756">
      <c r="A756" s="133"/>
      <c r="B756" s="16"/>
      <c r="C756" s="146"/>
      <c r="D756" s="146"/>
      <c r="E756" s="16"/>
      <c r="F756" s="91"/>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row>
    <row r="757">
      <c r="A757" s="133"/>
      <c r="B757" s="16"/>
      <c r="C757" s="146"/>
      <c r="D757" s="146"/>
      <c r="E757" s="16"/>
      <c r="F757" s="91"/>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row>
    <row r="758">
      <c r="A758" s="133"/>
      <c r="B758" s="16"/>
      <c r="C758" s="146"/>
      <c r="D758" s="146"/>
      <c r="E758" s="16"/>
      <c r="F758" s="91"/>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row>
    <row r="759">
      <c r="A759" s="133"/>
      <c r="B759" s="16"/>
      <c r="C759" s="146"/>
      <c r="D759" s="146"/>
      <c r="E759" s="16"/>
      <c r="F759" s="91"/>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row>
    <row r="760">
      <c r="A760" s="133"/>
      <c r="B760" s="16"/>
      <c r="C760" s="146"/>
      <c r="D760" s="146"/>
      <c r="E760" s="16"/>
      <c r="F760" s="91"/>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row>
    <row r="761">
      <c r="A761" s="133"/>
      <c r="B761" s="16"/>
      <c r="C761" s="146"/>
      <c r="D761" s="146"/>
      <c r="E761" s="16"/>
      <c r="F761" s="91"/>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row>
    <row r="762">
      <c r="A762" s="133"/>
      <c r="B762" s="16"/>
      <c r="C762" s="146"/>
      <c r="D762" s="146"/>
      <c r="E762" s="16"/>
      <c r="F762" s="91"/>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row>
    <row r="763">
      <c r="A763" s="133"/>
      <c r="B763" s="16"/>
      <c r="C763" s="146"/>
      <c r="D763" s="146"/>
      <c r="E763" s="16"/>
      <c r="F763" s="91"/>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row>
    <row r="764">
      <c r="A764" s="133"/>
      <c r="B764" s="16"/>
      <c r="C764" s="146"/>
      <c r="D764" s="146"/>
      <c r="E764" s="16"/>
      <c r="F764" s="91"/>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row>
    <row r="765">
      <c r="A765" s="133"/>
      <c r="B765" s="16"/>
      <c r="C765" s="146"/>
      <c r="D765" s="146"/>
      <c r="E765" s="16"/>
      <c r="F765" s="91"/>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row>
    <row r="766">
      <c r="A766" s="133"/>
      <c r="B766" s="16"/>
      <c r="C766" s="146"/>
      <c r="D766" s="146"/>
      <c r="E766" s="16"/>
      <c r="F766" s="91"/>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row>
    <row r="767">
      <c r="A767" s="133"/>
      <c r="B767" s="16"/>
      <c r="C767" s="146"/>
      <c r="D767" s="146"/>
      <c r="E767" s="16"/>
      <c r="F767" s="91"/>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row>
    <row r="768">
      <c r="A768" s="133"/>
      <c r="B768" s="16"/>
      <c r="C768" s="146"/>
      <c r="D768" s="146"/>
      <c r="E768" s="16"/>
      <c r="F768" s="91"/>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row>
    <row r="769">
      <c r="A769" s="133"/>
      <c r="B769" s="16"/>
      <c r="C769" s="146"/>
      <c r="D769" s="146"/>
      <c r="E769" s="16"/>
      <c r="F769" s="91"/>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row>
    <row r="770">
      <c r="A770" s="133"/>
      <c r="B770" s="16"/>
      <c r="C770" s="146"/>
      <c r="D770" s="146"/>
      <c r="E770" s="16"/>
      <c r="F770" s="91"/>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row>
    <row r="771">
      <c r="A771" s="133"/>
      <c r="B771" s="16"/>
      <c r="C771" s="146"/>
      <c r="D771" s="146"/>
      <c r="E771" s="16"/>
      <c r="F771" s="91"/>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row>
    <row r="772">
      <c r="A772" s="133"/>
      <c r="B772" s="16"/>
      <c r="C772" s="146"/>
      <c r="D772" s="146"/>
      <c r="E772" s="16"/>
      <c r="F772" s="91"/>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row>
    <row r="773">
      <c r="A773" s="133"/>
      <c r="B773" s="16"/>
      <c r="C773" s="146"/>
      <c r="D773" s="146"/>
      <c r="E773" s="16"/>
      <c r="F773" s="91"/>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row>
    <row r="774">
      <c r="A774" s="133"/>
      <c r="B774" s="16"/>
      <c r="C774" s="146"/>
      <c r="D774" s="146"/>
      <c r="E774" s="16"/>
      <c r="F774" s="91"/>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row>
    <row r="775">
      <c r="A775" s="133"/>
      <c r="B775" s="16"/>
      <c r="C775" s="146"/>
      <c r="D775" s="146"/>
      <c r="E775" s="16"/>
      <c r="F775" s="91"/>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row>
    <row r="776">
      <c r="A776" s="133"/>
      <c r="B776" s="16"/>
      <c r="C776" s="146"/>
      <c r="D776" s="146"/>
      <c r="E776" s="16"/>
      <c r="F776" s="91"/>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row>
    <row r="777">
      <c r="A777" s="133"/>
      <c r="B777" s="16"/>
      <c r="C777" s="146"/>
      <c r="D777" s="146"/>
      <c r="E777" s="16"/>
      <c r="F777" s="91"/>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row>
    <row r="778">
      <c r="A778" s="133"/>
      <c r="B778" s="16"/>
      <c r="C778" s="146"/>
      <c r="D778" s="146"/>
      <c r="E778" s="16"/>
      <c r="F778" s="91"/>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row>
    <row r="779">
      <c r="A779" s="133"/>
      <c r="B779" s="16"/>
      <c r="C779" s="146"/>
      <c r="D779" s="146"/>
      <c r="E779" s="16"/>
      <c r="F779" s="91"/>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row>
    <row r="780">
      <c r="A780" s="133"/>
      <c r="B780" s="16"/>
      <c r="C780" s="146"/>
      <c r="D780" s="146"/>
      <c r="E780" s="16"/>
      <c r="F780" s="91"/>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row>
    <row r="781">
      <c r="A781" s="133"/>
      <c r="B781" s="16"/>
      <c r="C781" s="146"/>
      <c r="D781" s="146"/>
      <c r="E781" s="16"/>
      <c r="F781" s="91"/>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row>
    <row r="782">
      <c r="A782" s="133"/>
      <c r="B782" s="16"/>
      <c r="C782" s="146"/>
      <c r="D782" s="146"/>
      <c r="E782" s="16"/>
      <c r="F782" s="91"/>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row>
    <row r="783">
      <c r="A783" s="133"/>
      <c r="B783" s="16"/>
      <c r="C783" s="146"/>
      <c r="D783" s="146"/>
      <c r="E783" s="16"/>
      <c r="F783" s="91"/>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row>
    <row r="784">
      <c r="A784" s="133"/>
      <c r="B784" s="16"/>
      <c r="C784" s="146"/>
      <c r="D784" s="146"/>
      <c r="E784" s="16"/>
      <c r="F784" s="91"/>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row>
    <row r="785">
      <c r="A785" s="133"/>
      <c r="B785" s="16"/>
      <c r="C785" s="146"/>
      <c r="D785" s="146"/>
      <c r="E785" s="16"/>
      <c r="F785" s="91"/>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row>
    <row r="786">
      <c r="A786" s="133"/>
      <c r="B786" s="16"/>
      <c r="C786" s="146"/>
      <c r="D786" s="146"/>
      <c r="E786" s="16"/>
      <c r="F786" s="91"/>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row>
    <row r="787">
      <c r="A787" s="133"/>
      <c r="B787" s="16"/>
      <c r="C787" s="146"/>
      <c r="D787" s="146"/>
      <c r="E787" s="16"/>
      <c r="F787" s="91"/>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row>
    <row r="788">
      <c r="A788" s="133"/>
      <c r="B788" s="16"/>
      <c r="C788" s="146"/>
      <c r="D788" s="146"/>
      <c r="E788" s="16"/>
      <c r="F788" s="91"/>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row>
    <row r="789">
      <c r="A789" s="133"/>
      <c r="B789" s="16"/>
      <c r="C789" s="146"/>
      <c r="D789" s="146"/>
      <c r="E789" s="16"/>
      <c r="F789" s="91"/>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row>
    <row r="790">
      <c r="A790" s="133"/>
      <c r="B790" s="16"/>
      <c r="C790" s="146"/>
      <c r="D790" s="146"/>
      <c r="E790" s="16"/>
      <c r="F790" s="91"/>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row>
    <row r="791">
      <c r="A791" s="133"/>
      <c r="B791" s="16"/>
      <c r="C791" s="146"/>
      <c r="D791" s="146"/>
      <c r="E791" s="16"/>
      <c r="F791" s="91"/>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row>
    <row r="792">
      <c r="A792" s="133"/>
      <c r="B792" s="16"/>
      <c r="C792" s="146"/>
      <c r="D792" s="146"/>
      <c r="E792" s="16"/>
      <c r="F792" s="91"/>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row>
    <row r="793">
      <c r="A793" s="133"/>
      <c r="B793" s="16"/>
      <c r="C793" s="146"/>
      <c r="D793" s="146"/>
      <c r="E793" s="16"/>
      <c r="F793" s="91"/>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row>
    <row r="794">
      <c r="A794" s="133"/>
      <c r="B794" s="16"/>
      <c r="C794" s="146"/>
      <c r="D794" s="146"/>
      <c r="E794" s="16"/>
      <c r="F794" s="91"/>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row>
    <row r="795">
      <c r="A795" s="133"/>
      <c r="B795" s="16"/>
      <c r="C795" s="146"/>
      <c r="D795" s="146"/>
      <c r="E795" s="16"/>
      <c r="F795" s="91"/>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row>
    <row r="796">
      <c r="A796" s="133"/>
      <c r="B796" s="16"/>
      <c r="C796" s="146"/>
      <c r="D796" s="146"/>
      <c r="E796" s="16"/>
      <c r="F796" s="91"/>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row>
    <row r="797">
      <c r="A797" s="133"/>
      <c r="B797" s="16"/>
      <c r="C797" s="146"/>
      <c r="D797" s="146"/>
      <c r="E797" s="16"/>
      <c r="F797" s="91"/>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row>
    <row r="798">
      <c r="A798" s="133"/>
      <c r="B798" s="16"/>
      <c r="C798" s="146"/>
      <c r="D798" s="146"/>
      <c r="E798" s="16"/>
      <c r="F798" s="91"/>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row>
    <row r="799">
      <c r="A799" s="133"/>
      <c r="B799" s="16"/>
      <c r="C799" s="146"/>
      <c r="D799" s="146"/>
      <c r="E799" s="16"/>
      <c r="F799" s="91"/>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row>
    <row r="800">
      <c r="A800" s="133"/>
      <c r="B800" s="16"/>
      <c r="C800" s="146"/>
      <c r="D800" s="146"/>
      <c r="E800" s="16"/>
      <c r="F800" s="91"/>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row>
    <row r="801">
      <c r="A801" s="133"/>
      <c r="B801" s="16"/>
      <c r="C801" s="146"/>
      <c r="D801" s="146"/>
      <c r="E801" s="16"/>
      <c r="F801" s="91"/>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row>
    <row r="802">
      <c r="A802" s="133"/>
      <c r="B802" s="16"/>
      <c r="C802" s="146"/>
      <c r="D802" s="146"/>
      <c r="E802" s="16"/>
      <c r="F802" s="91"/>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row>
    <row r="803">
      <c r="A803" s="133"/>
      <c r="B803" s="16"/>
      <c r="C803" s="146"/>
      <c r="D803" s="146"/>
      <c r="E803" s="16"/>
      <c r="F803" s="91"/>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row>
    <row r="804">
      <c r="A804" s="133"/>
      <c r="B804" s="16"/>
      <c r="C804" s="146"/>
      <c r="D804" s="146"/>
      <c r="E804" s="16"/>
      <c r="F804" s="91"/>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row>
    <row r="805">
      <c r="A805" s="133"/>
      <c r="B805" s="16"/>
      <c r="C805" s="146"/>
      <c r="D805" s="146"/>
      <c r="E805" s="16"/>
      <c r="F805" s="91"/>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row>
    <row r="806">
      <c r="A806" s="133"/>
      <c r="B806" s="16"/>
      <c r="C806" s="146"/>
      <c r="D806" s="146"/>
      <c r="E806" s="16"/>
      <c r="F806" s="91"/>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row>
    <row r="807">
      <c r="A807" s="133"/>
      <c r="B807" s="16"/>
      <c r="C807" s="146"/>
      <c r="D807" s="146"/>
      <c r="E807" s="16"/>
      <c r="F807" s="91"/>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row>
    <row r="808">
      <c r="A808" s="133"/>
      <c r="B808" s="16"/>
      <c r="C808" s="146"/>
      <c r="D808" s="146"/>
      <c r="E808" s="16"/>
      <c r="F808" s="91"/>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row>
    <row r="809">
      <c r="A809" s="133"/>
      <c r="B809" s="16"/>
      <c r="C809" s="146"/>
      <c r="D809" s="146"/>
      <c r="E809" s="16"/>
      <c r="F809" s="91"/>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row>
    <row r="810">
      <c r="A810" s="133"/>
      <c r="B810" s="16"/>
      <c r="C810" s="146"/>
      <c r="D810" s="146"/>
      <c r="E810" s="16"/>
      <c r="F810" s="91"/>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row>
    <row r="811">
      <c r="A811" s="133"/>
      <c r="B811" s="16"/>
      <c r="C811" s="146"/>
      <c r="D811" s="146"/>
      <c r="E811" s="16"/>
      <c r="F811" s="91"/>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row>
    <row r="812">
      <c r="A812" s="133"/>
      <c r="B812" s="16"/>
      <c r="C812" s="146"/>
      <c r="D812" s="146"/>
      <c r="E812" s="16"/>
      <c r="F812" s="91"/>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row>
    <row r="813">
      <c r="A813" s="133"/>
      <c r="B813" s="16"/>
      <c r="C813" s="146"/>
      <c r="D813" s="146"/>
      <c r="E813" s="16"/>
      <c r="F813" s="91"/>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row>
    <row r="814">
      <c r="A814" s="133"/>
      <c r="B814" s="16"/>
      <c r="C814" s="146"/>
      <c r="D814" s="146"/>
      <c r="E814" s="16"/>
      <c r="F814" s="91"/>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row>
    <row r="815">
      <c r="A815" s="133"/>
      <c r="B815" s="16"/>
      <c r="C815" s="146"/>
      <c r="D815" s="146"/>
      <c r="E815" s="16"/>
      <c r="F815" s="91"/>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row>
    <row r="816">
      <c r="A816" s="133"/>
      <c r="B816" s="16"/>
      <c r="C816" s="146"/>
      <c r="D816" s="146"/>
      <c r="E816" s="16"/>
      <c r="F816" s="91"/>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row>
    <row r="817">
      <c r="A817" s="133"/>
      <c r="B817" s="16"/>
      <c r="C817" s="146"/>
      <c r="D817" s="146"/>
      <c r="E817" s="16"/>
      <c r="F817" s="91"/>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row>
    <row r="818">
      <c r="A818" s="133"/>
      <c r="B818" s="16"/>
      <c r="C818" s="146"/>
      <c r="D818" s="146"/>
      <c r="E818" s="16"/>
      <c r="F818" s="91"/>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row>
    <row r="819">
      <c r="A819" s="133"/>
      <c r="B819" s="16"/>
      <c r="C819" s="146"/>
      <c r="D819" s="146"/>
      <c r="E819" s="16"/>
      <c r="F819" s="91"/>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row>
    <row r="820">
      <c r="A820" s="133"/>
      <c r="B820" s="16"/>
      <c r="C820" s="146"/>
      <c r="D820" s="146"/>
      <c r="E820" s="16"/>
      <c r="F820" s="91"/>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row>
    <row r="821">
      <c r="A821" s="133"/>
      <c r="B821" s="16"/>
      <c r="C821" s="146"/>
      <c r="D821" s="146"/>
      <c r="E821" s="16"/>
      <c r="F821" s="91"/>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row>
    <row r="822">
      <c r="A822" s="133"/>
      <c r="B822" s="16"/>
      <c r="C822" s="146"/>
      <c r="D822" s="146"/>
      <c r="E822" s="16"/>
      <c r="F822" s="91"/>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row>
    <row r="823">
      <c r="A823" s="133"/>
      <c r="B823" s="16"/>
      <c r="C823" s="146"/>
      <c r="D823" s="146"/>
      <c r="E823" s="16"/>
      <c r="F823" s="91"/>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row>
    <row r="824">
      <c r="A824" s="133"/>
      <c r="B824" s="16"/>
      <c r="C824" s="146"/>
      <c r="D824" s="146"/>
      <c r="E824" s="16"/>
      <c r="F824" s="91"/>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row>
    <row r="825">
      <c r="A825" s="133"/>
      <c r="B825" s="16"/>
      <c r="C825" s="146"/>
      <c r="D825" s="146"/>
      <c r="E825" s="16"/>
      <c r="F825" s="91"/>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row>
    <row r="826">
      <c r="A826" s="133"/>
      <c r="B826" s="16"/>
      <c r="C826" s="146"/>
      <c r="D826" s="146"/>
      <c r="E826" s="16"/>
      <c r="F826" s="91"/>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row>
    <row r="827">
      <c r="A827" s="133"/>
      <c r="B827" s="16"/>
      <c r="C827" s="146"/>
      <c r="D827" s="146"/>
      <c r="E827" s="16"/>
      <c r="F827" s="91"/>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row>
    <row r="828">
      <c r="A828" s="133"/>
      <c r="B828" s="16"/>
      <c r="C828" s="146"/>
      <c r="D828" s="146"/>
      <c r="E828" s="16"/>
      <c r="F828" s="91"/>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row>
    <row r="829">
      <c r="A829" s="133"/>
      <c r="B829" s="16"/>
      <c r="C829" s="146"/>
      <c r="D829" s="146"/>
      <c r="E829" s="16"/>
      <c r="F829" s="91"/>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row>
    <row r="830">
      <c r="A830" s="133"/>
      <c r="B830" s="16"/>
      <c r="C830" s="146"/>
      <c r="D830" s="146"/>
      <c r="E830" s="16"/>
      <c r="F830" s="91"/>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row>
    <row r="831">
      <c r="A831" s="133"/>
      <c r="B831" s="16"/>
      <c r="C831" s="146"/>
      <c r="D831" s="146"/>
      <c r="E831" s="16"/>
      <c r="F831" s="91"/>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row>
    <row r="832">
      <c r="A832" s="133"/>
      <c r="B832" s="16"/>
      <c r="C832" s="146"/>
      <c r="D832" s="146"/>
      <c r="E832" s="16"/>
      <c r="F832" s="91"/>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row>
    <row r="833">
      <c r="A833" s="133"/>
      <c r="B833" s="16"/>
      <c r="C833" s="146"/>
      <c r="D833" s="146"/>
      <c r="E833" s="16"/>
      <c r="F833" s="91"/>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row>
    <row r="834">
      <c r="A834" s="133"/>
      <c r="B834" s="16"/>
      <c r="C834" s="146"/>
      <c r="D834" s="146"/>
      <c r="E834" s="16"/>
      <c r="F834" s="91"/>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row>
    <row r="835">
      <c r="A835" s="133"/>
      <c r="B835" s="16"/>
      <c r="C835" s="146"/>
      <c r="D835" s="146"/>
      <c r="E835" s="16"/>
      <c r="F835" s="91"/>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row>
    <row r="836">
      <c r="A836" s="133"/>
      <c r="B836" s="16"/>
      <c r="C836" s="146"/>
      <c r="D836" s="146"/>
      <c r="E836" s="16"/>
      <c r="F836" s="91"/>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row>
    <row r="837">
      <c r="A837" s="133"/>
      <c r="B837" s="16"/>
      <c r="C837" s="146"/>
      <c r="D837" s="146"/>
      <c r="E837" s="16"/>
      <c r="F837" s="91"/>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row>
    <row r="838">
      <c r="A838" s="133"/>
      <c r="B838" s="16"/>
      <c r="C838" s="146"/>
      <c r="D838" s="146"/>
      <c r="E838" s="16"/>
      <c r="F838" s="91"/>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row>
    <row r="839">
      <c r="A839" s="133"/>
      <c r="B839" s="16"/>
      <c r="C839" s="146"/>
      <c r="D839" s="146"/>
      <c r="E839" s="16"/>
      <c r="F839" s="91"/>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row>
    <row r="840">
      <c r="A840" s="133"/>
      <c r="B840" s="16"/>
      <c r="C840" s="146"/>
      <c r="D840" s="146"/>
      <c r="E840" s="16"/>
      <c r="F840" s="91"/>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row>
    <row r="841">
      <c r="A841" s="133"/>
      <c r="B841" s="16"/>
      <c r="C841" s="146"/>
      <c r="D841" s="146"/>
      <c r="E841" s="16"/>
      <c r="F841" s="91"/>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row>
    <row r="842">
      <c r="A842" s="133"/>
      <c r="B842" s="16"/>
      <c r="C842" s="146"/>
      <c r="D842" s="146"/>
      <c r="E842" s="16"/>
      <c r="F842" s="91"/>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row>
    <row r="843">
      <c r="A843" s="133"/>
      <c r="B843" s="16"/>
      <c r="C843" s="146"/>
      <c r="D843" s="146"/>
      <c r="E843" s="16"/>
      <c r="F843" s="91"/>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row>
    <row r="844">
      <c r="A844" s="133"/>
      <c r="B844" s="16"/>
      <c r="C844" s="146"/>
      <c r="D844" s="146"/>
      <c r="E844" s="16"/>
      <c r="F844" s="91"/>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row>
    <row r="845">
      <c r="A845" s="133"/>
      <c r="B845" s="16"/>
      <c r="C845" s="146"/>
      <c r="D845" s="146"/>
      <c r="E845" s="16"/>
      <c r="F845" s="91"/>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row>
    <row r="846">
      <c r="A846" s="133"/>
      <c r="B846" s="16"/>
      <c r="C846" s="146"/>
      <c r="D846" s="146"/>
      <c r="E846" s="16"/>
      <c r="F846" s="91"/>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row>
    <row r="847">
      <c r="A847" s="133"/>
      <c r="B847" s="16"/>
      <c r="C847" s="146"/>
      <c r="D847" s="146"/>
      <c r="E847" s="16"/>
      <c r="F847" s="91"/>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row>
    <row r="848">
      <c r="A848" s="133"/>
      <c r="B848" s="16"/>
      <c r="C848" s="146"/>
      <c r="D848" s="146"/>
      <c r="E848" s="16"/>
      <c r="F848" s="91"/>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row>
    <row r="849">
      <c r="A849" s="133"/>
      <c r="B849" s="16"/>
      <c r="C849" s="146"/>
      <c r="D849" s="146"/>
      <c r="E849" s="16"/>
      <c r="F849" s="91"/>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row>
    <row r="850">
      <c r="A850" s="133"/>
      <c r="B850" s="16"/>
      <c r="C850" s="146"/>
      <c r="D850" s="146"/>
      <c r="E850" s="16"/>
      <c r="F850" s="91"/>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row>
    <row r="851">
      <c r="A851" s="133"/>
      <c r="B851" s="16"/>
      <c r="C851" s="146"/>
      <c r="D851" s="146"/>
      <c r="E851" s="16"/>
      <c r="F851" s="91"/>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row>
    <row r="852">
      <c r="A852" s="133"/>
      <c r="B852" s="16"/>
      <c r="C852" s="146"/>
      <c r="D852" s="146"/>
      <c r="E852" s="16"/>
      <c r="F852" s="91"/>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row>
    <row r="853">
      <c r="A853" s="133"/>
      <c r="B853" s="16"/>
      <c r="C853" s="146"/>
      <c r="D853" s="146"/>
      <c r="E853" s="16"/>
      <c r="F853" s="91"/>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row>
    <row r="854">
      <c r="A854" s="133"/>
      <c r="B854" s="16"/>
      <c r="C854" s="146"/>
      <c r="D854" s="146"/>
      <c r="E854" s="16"/>
      <c r="F854" s="91"/>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row>
    <row r="855">
      <c r="A855" s="133"/>
      <c r="B855" s="16"/>
      <c r="C855" s="146"/>
      <c r="D855" s="146"/>
      <c r="E855" s="16"/>
      <c r="F855" s="91"/>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row>
    <row r="856">
      <c r="A856" s="133"/>
      <c r="B856" s="16"/>
      <c r="C856" s="146"/>
      <c r="D856" s="146"/>
      <c r="E856" s="16"/>
      <c r="F856" s="91"/>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row>
    <row r="857">
      <c r="A857" s="133"/>
      <c r="B857" s="16"/>
      <c r="C857" s="146"/>
      <c r="D857" s="146"/>
      <c r="E857" s="16"/>
      <c r="F857" s="91"/>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row>
    <row r="858">
      <c r="A858" s="133"/>
      <c r="B858" s="16"/>
      <c r="C858" s="146"/>
      <c r="D858" s="146"/>
      <c r="E858" s="16"/>
      <c r="F858" s="91"/>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row>
    <row r="859">
      <c r="A859" s="133"/>
      <c r="B859" s="16"/>
      <c r="C859" s="146"/>
      <c r="D859" s="146"/>
      <c r="E859" s="16"/>
      <c r="F859" s="91"/>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row>
    <row r="860">
      <c r="A860" s="133"/>
      <c r="B860" s="16"/>
      <c r="C860" s="146"/>
      <c r="D860" s="146"/>
      <c r="E860" s="16"/>
      <c r="F860" s="91"/>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row>
    <row r="861">
      <c r="A861" s="133"/>
      <c r="B861" s="16"/>
      <c r="C861" s="146"/>
      <c r="D861" s="146"/>
      <c r="E861" s="16"/>
      <c r="F861" s="91"/>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row>
    <row r="862">
      <c r="A862" s="133"/>
      <c r="B862" s="16"/>
      <c r="C862" s="146"/>
      <c r="D862" s="146"/>
      <c r="E862" s="16"/>
      <c r="F862" s="91"/>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row>
    <row r="863">
      <c r="A863" s="133"/>
      <c r="B863" s="16"/>
      <c r="C863" s="146"/>
      <c r="D863" s="146"/>
      <c r="E863" s="16"/>
      <c r="F863" s="91"/>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row>
    <row r="864">
      <c r="A864" s="133"/>
      <c r="B864" s="16"/>
      <c r="C864" s="146"/>
      <c r="D864" s="146"/>
      <c r="E864" s="16"/>
      <c r="F864" s="91"/>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row>
    <row r="865">
      <c r="A865" s="133"/>
      <c r="B865" s="16"/>
      <c r="C865" s="146"/>
      <c r="D865" s="146"/>
      <c r="E865" s="16"/>
      <c r="F865" s="91"/>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row>
    <row r="866">
      <c r="A866" s="133"/>
      <c r="B866" s="16"/>
      <c r="C866" s="146"/>
      <c r="D866" s="146"/>
      <c r="E866" s="16"/>
      <c r="F866" s="91"/>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row>
    <row r="867">
      <c r="A867" s="133"/>
      <c r="B867" s="16"/>
      <c r="C867" s="146"/>
      <c r="D867" s="146"/>
      <c r="E867" s="16"/>
      <c r="F867" s="91"/>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row>
    <row r="868">
      <c r="A868" s="133"/>
      <c r="B868" s="16"/>
      <c r="C868" s="146"/>
      <c r="D868" s="146"/>
      <c r="E868" s="16"/>
      <c r="F868" s="91"/>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row>
    <row r="869">
      <c r="A869" s="133"/>
      <c r="B869" s="16"/>
      <c r="C869" s="146"/>
      <c r="D869" s="146"/>
      <c r="E869" s="16"/>
      <c r="F869" s="91"/>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row>
    <row r="870">
      <c r="A870" s="133"/>
      <c r="B870" s="16"/>
      <c r="C870" s="146"/>
      <c r="D870" s="146"/>
      <c r="E870" s="16"/>
      <c r="F870" s="91"/>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row>
    <row r="871">
      <c r="A871" s="133"/>
      <c r="B871" s="16"/>
      <c r="C871" s="146"/>
      <c r="D871" s="146"/>
      <c r="E871" s="16"/>
      <c r="F871" s="91"/>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row>
    <row r="872">
      <c r="A872" s="133"/>
      <c r="B872" s="16"/>
      <c r="C872" s="146"/>
      <c r="D872" s="146"/>
      <c r="E872" s="16"/>
      <c r="F872" s="91"/>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row>
    <row r="873">
      <c r="A873" s="133"/>
      <c r="B873" s="16"/>
      <c r="C873" s="146"/>
      <c r="D873" s="146"/>
      <c r="E873" s="16"/>
      <c r="F873" s="91"/>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row>
    <row r="874">
      <c r="A874" s="133"/>
      <c r="B874" s="16"/>
      <c r="C874" s="146"/>
      <c r="D874" s="146"/>
      <c r="E874" s="16"/>
      <c r="F874" s="91"/>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row>
    <row r="875">
      <c r="A875" s="133"/>
      <c r="B875" s="16"/>
      <c r="C875" s="146"/>
      <c r="D875" s="146"/>
      <c r="E875" s="16"/>
      <c r="F875" s="91"/>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row>
    <row r="876">
      <c r="A876" s="133"/>
      <c r="B876" s="16"/>
      <c r="C876" s="146"/>
      <c r="D876" s="146"/>
      <c r="E876" s="16"/>
      <c r="F876" s="91"/>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row>
    <row r="877">
      <c r="A877" s="133"/>
      <c r="B877" s="16"/>
      <c r="C877" s="146"/>
      <c r="D877" s="146"/>
      <c r="E877" s="16"/>
      <c r="F877" s="91"/>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row>
    <row r="878">
      <c r="A878" s="133"/>
      <c r="B878" s="16"/>
      <c r="C878" s="146"/>
      <c r="D878" s="146"/>
      <c r="E878" s="16"/>
      <c r="F878" s="91"/>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row>
    <row r="879">
      <c r="A879" s="133"/>
      <c r="B879" s="16"/>
      <c r="C879" s="146"/>
      <c r="D879" s="146"/>
      <c r="E879" s="16"/>
      <c r="F879" s="91"/>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row>
    <row r="880">
      <c r="A880" s="133"/>
      <c r="B880" s="16"/>
      <c r="C880" s="146"/>
      <c r="D880" s="146"/>
      <c r="E880" s="16"/>
      <c r="F880" s="91"/>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row>
    <row r="881">
      <c r="A881" s="133"/>
      <c r="B881" s="16"/>
      <c r="C881" s="146"/>
      <c r="D881" s="146"/>
      <c r="E881" s="16"/>
      <c r="F881" s="91"/>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row>
    <row r="882">
      <c r="A882" s="133"/>
      <c r="B882" s="16"/>
      <c r="C882" s="146"/>
      <c r="D882" s="146"/>
      <c r="E882" s="16"/>
      <c r="F882" s="91"/>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row>
    <row r="883">
      <c r="A883" s="133"/>
      <c r="B883" s="16"/>
      <c r="C883" s="146"/>
      <c r="D883" s="146"/>
      <c r="E883" s="16"/>
      <c r="F883" s="91"/>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row>
    <row r="884">
      <c r="A884" s="133"/>
      <c r="B884" s="16"/>
      <c r="C884" s="146"/>
      <c r="D884" s="146"/>
      <c r="E884" s="16"/>
      <c r="F884" s="91"/>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row>
    <row r="885">
      <c r="A885" s="133"/>
      <c r="B885" s="16"/>
      <c r="C885" s="146"/>
      <c r="D885" s="146"/>
      <c r="E885" s="16"/>
      <c r="F885" s="91"/>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row>
    <row r="886">
      <c r="A886" s="133"/>
      <c r="B886" s="16"/>
      <c r="C886" s="146"/>
      <c r="D886" s="146"/>
      <c r="E886" s="16"/>
      <c r="F886" s="91"/>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row>
    <row r="887">
      <c r="A887" s="133"/>
      <c r="B887" s="16"/>
      <c r="C887" s="146"/>
      <c r="D887" s="146"/>
      <c r="E887" s="16"/>
      <c r="F887" s="91"/>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row>
    <row r="888">
      <c r="A888" s="133"/>
      <c r="B888" s="16"/>
      <c r="C888" s="146"/>
      <c r="D888" s="146"/>
      <c r="E888" s="16"/>
      <c r="F888" s="91"/>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row>
    <row r="889">
      <c r="A889" s="133"/>
      <c r="B889" s="16"/>
      <c r="C889" s="146"/>
      <c r="D889" s="146"/>
      <c r="E889" s="16"/>
      <c r="F889" s="91"/>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row>
    <row r="890">
      <c r="A890" s="133"/>
      <c r="B890" s="16"/>
      <c r="C890" s="146"/>
      <c r="D890" s="146"/>
      <c r="E890" s="16"/>
      <c r="F890" s="91"/>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row>
    <row r="891">
      <c r="A891" s="133"/>
      <c r="B891" s="16"/>
      <c r="C891" s="146"/>
      <c r="D891" s="146"/>
      <c r="E891" s="16"/>
      <c r="F891" s="91"/>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row>
    <row r="892">
      <c r="A892" s="133"/>
      <c r="B892" s="16"/>
      <c r="C892" s="146"/>
      <c r="D892" s="146"/>
      <c r="E892" s="16"/>
      <c r="F892" s="91"/>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row>
    <row r="893">
      <c r="A893" s="133"/>
      <c r="B893" s="16"/>
      <c r="C893" s="146"/>
      <c r="D893" s="146"/>
      <c r="E893" s="16"/>
      <c r="F893" s="91"/>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row>
    <row r="894">
      <c r="A894" s="133"/>
      <c r="B894" s="16"/>
      <c r="C894" s="146"/>
      <c r="D894" s="146"/>
      <c r="E894" s="16"/>
      <c r="F894" s="91"/>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row>
    <row r="895">
      <c r="A895" s="133"/>
      <c r="B895" s="16"/>
      <c r="C895" s="146"/>
      <c r="D895" s="146"/>
      <c r="E895" s="16"/>
      <c r="F895" s="91"/>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row>
    <row r="896">
      <c r="A896" s="133"/>
      <c r="B896" s="16"/>
      <c r="C896" s="146"/>
      <c r="D896" s="146"/>
      <c r="E896" s="16"/>
      <c r="F896" s="91"/>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row>
    <row r="897">
      <c r="A897" s="133"/>
      <c r="B897" s="16"/>
      <c r="C897" s="146"/>
      <c r="D897" s="146"/>
      <c r="E897" s="16"/>
      <c r="F897" s="91"/>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row>
    <row r="898">
      <c r="A898" s="133"/>
      <c r="B898" s="16"/>
      <c r="C898" s="146"/>
      <c r="D898" s="146"/>
      <c r="E898" s="16"/>
      <c r="F898" s="91"/>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row>
    <row r="899">
      <c r="A899" s="133"/>
      <c r="B899" s="16"/>
      <c r="C899" s="146"/>
      <c r="D899" s="146"/>
      <c r="E899" s="16"/>
      <c r="F899" s="91"/>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row>
    <row r="900">
      <c r="A900" s="133"/>
      <c r="B900" s="16"/>
      <c r="C900" s="146"/>
      <c r="D900" s="146"/>
      <c r="E900" s="16"/>
      <c r="F900" s="91"/>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row>
    <row r="901">
      <c r="A901" s="133"/>
      <c r="B901" s="16"/>
      <c r="C901" s="146"/>
      <c r="D901" s="146"/>
      <c r="E901" s="16"/>
      <c r="F901" s="91"/>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row>
    <row r="902">
      <c r="A902" s="133"/>
      <c r="B902" s="16"/>
      <c r="C902" s="146"/>
      <c r="D902" s="146"/>
      <c r="E902" s="16"/>
      <c r="F902" s="91"/>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row>
    <row r="903">
      <c r="A903" s="133"/>
      <c r="B903" s="16"/>
      <c r="C903" s="146"/>
      <c r="D903" s="146"/>
      <c r="E903" s="16"/>
      <c r="F903" s="91"/>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row>
    <row r="904">
      <c r="A904" s="133"/>
      <c r="B904" s="16"/>
      <c r="C904" s="146"/>
      <c r="D904" s="146"/>
      <c r="E904" s="16"/>
      <c r="F904" s="91"/>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row>
    <row r="905">
      <c r="A905" s="133"/>
      <c r="B905" s="16"/>
      <c r="C905" s="146"/>
      <c r="D905" s="146"/>
      <c r="E905" s="16"/>
      <c r="F905" s="91"/>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row>
    <row r="906">
      <c r="A906" s="133"/>
      <c r="B906" s="16"/>
      <c r="C906" s="146"/>
      <c r="D906" s="146"/>
      <c r="E906" s="16"/>
      <c r="F906" s="91"/>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row>
    <row r="907">
      <c r="A907" s="133"/>
      <c r="B907" s="16"/>
      <c r="C907" s="146"/>
      <c r="D907" s="146"/>
      <c r="E907" s="16"/>
      <c r="F907" s="91"/>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row>
    <row r="908">
      <c r="A908" s="133"/>
      <c r="B908" s="16"/>
      <c r="C908" s="146"/>
      <c r="D908" s="146"/>
      <c r="E908" s="16"/>
      <c r="F908" s="91"/>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row>
    <row r="909">
      <c r="A909" s="133"/>
      <c r="B909" s="16"/>
      <c r="C909" s="146"/>
      <c r="D909" s="146"/>
      <c r="E909" s="16"/>
      <c r="F909" s="91"/>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row>
    <row r="910">
      <c r="A910" s="133"/>
      <c r="B910" s="16"/>
      <c r="C910" s="146"/>
      <c r="D910" s="146"/>
      <c r="E910" s="16"/>
      <c r="F910" s="91"/>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row>
    <row r="911">
      <c r="A911" s="133"/>
      <c r="B911" s="16"/>
      <c r="C911" s="146"/>
      <c r="D911" s="146"/>
      <c r="E911" s="16"/>
      <c r="F911" s="91"/>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row>
    <row r="912">
      <c r="A912" s="133"/>
      <c r="B912" s="16"/>
      <c r="C912" s="146"/>
      <c r="D912" s="146"/>
      <c r="E912" s="16"/>
      <c r="F912" s="91"/>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row>
    <row r="913">
      <c r="A913" s="133"/>
      <c r="B913" s="16"/>
      <c r="C913" s="146"/>
      <c r="D913" s="146"/>
      <c r="E913" s="16"/>
      <c r="F913" s="91"/>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row>
    <row r="914">
      <c r="A914" s="133"/>
      <c r="B914" s="16"/>
      <c r="C914" s="146"/>
      <c r="D914" s="146"/>
      <c r="E914" s="16"/>
      <c r="F914" s="91"/>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row>
    <row r="915">
      <c r="A915" s="133"/>
      <c r="B915" s="16"/>
      <c r="C915" s="146"/>
      <c r="D915" s="146"/>
      <c r="E915" s="16"/>
      <c r="F915" s="91"/>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row>
    <row r="916">
      <c r="A916" s="133"/>
      <c r="B916" s="16"/>
      <c r="C916" s="146"/>
      <c r="D916" s="146"/>
      <c r="E916" s="16"/>
      <c r="F916" s="91"/>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row>
    <row r="917">
      <c r="A917" s="133"/>
      <c r="B917" s="16"/>
      <c r="C917" s="146"/>
      <c r="D917" s="146"/>
      <c r="E917" s="16"/>
      <c r="F917" s="91"/>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row>
    <row r="918">
      <c r="A918" s="133"/>
      <c r="B918" s="16"/>
      <c r="C918" s="146"/>
      <c r="D918" s="146"/>
      <c r="E918" s="16"/>
      <c r="F918" s="91"/>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row>
    <row r="919">
      <c r="A919" s="133"/>
      <c r="B919" s="16"/>
      <c r="C919" s="146"/>
      <c r="D919" s="146"/>
      <c r="E919" s="16"/>
      <c r="F919" s="91"/>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row>
    <row r="920">
      <c r="A920" s="133"/>
      <c r="B920" s="16"/>
      <c r="C920" s="146"/>
      <c r="D920" s="146"/>
      <c r="E920" s="16"/>
      <c r="F920" s="91"/>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row>
    <row r="921">
      <c r="A921" s="133"/>
      <c r="B921" s="16"/>
      <c r="C921" s="146"/>
      <c r="D921" s="146"/>
      <c r="E921" s="16"/>
      <c r="F921" s="91"/>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row>
    <row r="922">
      <c r="A922" s="133"/>
      <c r="B922" s="16"/>
      <c r="C922" s="146"/>
      <c r="D922" s="146"/>
      <c r="E922" s="16"/>
      <c r="F922" s="91"/>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row>
    <row r="923">
      <c r="A923" s="133"/>
      <c r="B923" s="16"/>
      <c r="C923" s="146"/>
      <c r="D923" s="146"/>
      <c r="E923" s="16"/>
      <c r="F923" s="91"/>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row>
    <row r="924">
      <c r="A924" s="133"/>
      <c r="B924" s="16"/>
      <c r="C924" s="146"/>
      <c r="D924" s="146"/>
      <c r="E924" s="16"/>
      <c r="F924" s="91"/>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row>
    <row r="925">
      <c r="A925" s="133"/>
      <c r="B925" s="16"/>
      <c r="C925" s="146"/>
      <c r="D925" s="146"/>
      <c r="E925" s="16"/>
      <c r="F925" s="91"/>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row>
    <row r="926">
      <c r="A926" s="133"/>
      <c r="B926" s="16"/>
      <c r="C926" s="146"/>
      <c r="D926" s="146"/>
      <c r="E926" s="16"/>
      <c r="F926" s="91"/>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row>
    <row r="927">
      <c r="A927" s="133"/>
      <c r="B927" s="16"/>
      <c r="C927" s="146"/>
      <c r="D927" s="146"/>
      <c r="E927" s="16"/>
      <c r="F927" s="91"/>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row>
    <row r="928">
      <c r="A928" s="133"/>
      <c r="B928" s="16"/>
      <c r="C928" s="146"/>
      <c r="D928" s="146"/>
      <c r="E928" s="16"/>
      <c r="F928" s="91"/>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row>
    <row r="929">
      <c r="A929" s="133"/>
      <c r="B929" s="16"/>
      <c r="C929" s="146"/>
      <c r="D929" s="146"/>
      <c r="E929" s="16"/>
      <c r="F929" s="91"/>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row>
    <row r="930">
      <c r="A930" s="133"/>
      <c r="B930" s="16"/>
      <c r="C930" s="146"/>
      <c r="D930" s="146"/>
      <c r="E930" s="16"/>
      <c r="F930" s="91"/>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row>
    <row r="931">
      <c r="A931" s="133"/>
      <c r="B931" s="16"/>
      <c r="C931" s="146"/>
      <c r="D931" s="146"/>
      <c r="E931" s="16"/>
      <c r="F931" s="91"/>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row>
    <row r="932">
      <c r="A932" s="133"/>
      <c r="B932" s="16"/>
      <c r="C932" s="146"/>
      <c r="D932" s="146"/>
      <c r="E932" s="16"/>
      <c r="F932" s="91"/>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row>
    <row r="933">
      <c r="A933" s="133"/>
      <c r="B933" s="16"/>
      <c r="C933" s="146"/>
      <c r="D933" s="146"/>
      <c r="E933" s="16"/>
      <c r="F933" s="91"/>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row>
    <row r="934">
      <c r="A934" s="133"/>
      <c r="B934" s="16"/>
      <c r="C934" s="146"/>
      <c r="D934" s="146"/>
      <c r="E934" s="16"/>
      <c r="F934" s="91"/>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row>
    <row r="935">
      <c r="A935" s="133"/>
      <c r="B935" s="16"/>
      <c r="C935" s="146"/>
      <c r="D935" s="146"/>
      <c r="E935" s="16"/>
      <c r="F935" s="91"/>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row>
    <row r="936">
      <c r="A936" s="133"/>
      <c r="B936" s="16"/>
      <c r="C936" s="146"/>
      <c r="D936" s="146"/>
      <c r="E936" s="16"/>
      <c r="F936" s="91"/>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row>
    <row r="937">
      <c r="A937" s="133"/>
      <c r="B937" s="16"/>
      <c r="C937" s="146"/>
      <c r="D937" s="146"/>
      <c r="E937" s="16"/>
      <c r="F937" s="91"/>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row>
    <row r="938">
      <c r="A938" s="133"/>
      <c r="B938" s="16"/>
      <c r="C938" s="146"/>
      <c r="D938" s="146"/>
      <c r="E938" s="16"/>
      <c r="F938" s="91"/>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row>
    <row r="939">
      <c r="A939" s="133"/>
      <c r="B939" s="16"/>
      <c r="C939" s="146"/>
      <c r="D939" s="146"/>
      <c r="E939" s="16"/>
      <c r="F939" s="91"/>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row>
    <row r="940">
      <c r="A940" s="133"/>
      <c r="B940" s="16"/>
      <c r="C940" s="146"/>
      <c r="D940" s="146"/>
      <c r="E940" s="16"/>
      <c r="F940" s="91"/>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row>
    <row r="941">
      <c r="A941" s="133"/>
      <c r="B941" s="16"/>
      <c r="C941" s="146"/>
      <c r="D941" s="146"/>
      <c r="E941" s="16"/>
      <c r="F941" s="91"/>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row>
    <row r="942">
      <c r="A942" s="133"/>
      <c r="B942" s="16"/>
      <c r="C942" s="146"/>
      <c r="D942" s="146"/>
      <c r="E942" s="16"/>
      <c r="F942" s="91"/>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row>
    <row r="943">
      <c r="A943" s="133"/>
      <c r="B943" s="16"/>
      <c r="C943" s="146"/>
      <c r="D943" s="146"/>
      <c r="E943" s="16"/>
      <c r="F943" s="91"/>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row>
    <row r="944">
      <c r="A944" s="133"/>
      <c r="B944" s="16"/>
      <c r="C944" s="146"/>
      <c r="D944" s="146"/>
      <c r="E944" s="16"/>
      <c r="F944" s="91"/>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row>
    <row r="945">
      <c r="A945" s="133"/>
      <c r="B945" s="16"/>
      <c r="C945" s="146"/>
      <c r="D945" s="146"/>
      <c r="E945" s="16"/>
      <c r="F945" s="91"/>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row>
    <row r="946">
      <c r="A946" s="133"/>
      <c r="B946" s="16"/>
      <c r="C946" s="146"/>
      <c r="D946" s="146"/>
      <c r="E946" s="16"/>
      <c r="F946" s="91"/>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row>
    <row r="947">
      <c r="A947" s="133"/>
      <c r="B947" s="16"/>
      <c r="C947" s="146"/>
      <c r="D947" s="146"/>
      <c r="E947" s="16"/>
      <c r="F947" s="91"/>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row>
    <row r="948">
      <c r="A948" s="133"/>
      <c r="B948" s="16"/>
      <c r="C948" s="146"/>
      <c r="D948" s="146"/>
      <c r="E948" s="16"/>
      <c r="F948" s="91"/>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row>
    <row r="949">
      <c r="A949" s="133"/>
      <c r="B949" s="16"/>
      <c r="C949" s="146"/>
      <c r="D949" s="146"/>
      <c r="E949" s="16"/>
      <c r="F949" s="91"/>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row>
    <row r="950">
      <c r="A950" s="133"/>
      <c r="B950" s="16"/>
      <c r="C950" s="146"/>
      <c r="D950" s="146"/>
      <c r="E950" s="16"/>
      <c r="F950" s="91"/>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row>
    <row r="951">
      <c r="A951" s="133"/>
      <c r="B951" s="16"/>
      <c r="C951" s="146"/>
      <c r="D951" s="146"/>
      <c r="E951" s="16"/>
      <c r="F951" s="91"/>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row>
    <row r="952">
      <c r="A952" s="133"/>
      <c r="B952" s="16"/>
      <c r="C952" s="146"/>
      <c r="D952" s="146"/>
      <c r="E952" s="16"/>
      <c r="F952" s="91"/>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row>
    <row r="953">
      <c r="A953" s="133"/>
      <c r="B953" s="16"/>
      <c r="C953" s="146"/>
      <c r="D953" s="146"/>
      <c r="E953" s="16"/>
      <c r="F953" s="91"/>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row>
    <row r="954">
      <c r="A954" s="133"/>
      <c r="B954" s="16"/>
      <c r="C954" s="146"/>
      <c r="D954" s="146"/>
      <c r="E954" s="16"/>
      <c r="F954" s="91"/>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row>
    <row r="955">
      <c r="A955" s="133"/>
      <c r="B955" s="16"/>
      <c r="C955" s="146"/>
      <c r="D955" s="146"/>
      <c r="E955" s="16"/>
      <c r="F955" s="91"/>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row>
    <row r="956">
      <c r="A956" s="133"/>
      <c r="B956" s="16"/>
      <c r="C956" s="146"/>
      <c r="D956" s="146"/>
      <c r="E956" s="16"/>
      <c r="F956" s="91"/>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row>
    <row r="957">
      <c r="A957" s="133"/>
      <c r="B957" s="16"/>
      <c r="C957" s="146"/>
      <c r="D957" s="146"/>
      <c r="E957" s="16"/>
      <c r="F957" s="91"/>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row>
    <row r="958">
      <c r="A958" s="133"/>
      <c r="B958" s="16"/>
      <c r="C958" s="146"/>
      <c r="D958" s="146"/>
      <c r="E958" s="16"/>
      <c r="F958" s="91"/>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row>
    <row r="959">
      <c r="A959" s="133"/>
      <c r="B959" s="16"/>
      <c r="C959" s="146"/>
      <c r="D959" s="146"/>
      <c r="E959" s="16"/>
      <c r="F959" s="91"/>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row>
    <row r="960">
      <c r="A960" s="133"/>
      <c r="B960" s="16"/>
      <c r="C960" s="146"/>
      <c r="D960" s="146"/>
      <c r="E960" s="16"/>
      <c r="F960" s="91"/>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row>
    <row r="961">
      <c r="A961" s="133"/>
      <c r="B961" s="16"/>
      <c r="C961" s="146"/>
      <c r="D961" s="146"/>
      <c r="E961" s="16"/>
      <c r="F961" s="91"/>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row>
    <row r="962">
      <c r="A962" s="133"/>
      <c r="B962" s="16"/>
      <c r="C962" s="146"/>
      <c r="D962" s="146"/>
      <c r="E962" s="16"/>
      <c r="F962" s="91"/>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row>
    <row r="963">
      <c r="A963" s="133"/>
      <c r="B963" s="16"/>
      <c r="C963" s="146"/>
      <c r="D963" s="146"/>
      <c r="E963" s="16"/>
      <c r="F963" s="91"/>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row>
    <row r="964">
      <c r="A964" s="133"/>
      <c r="B964" s="16"/>
      <c r="C964" s="146"/>
      <c r="D964" s="146"/>
      <c r="E964" s="16"/>
      <c r="F964" s="91"/>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row>
    <row r="965">
      <c r="A965" s="133"/>
      <c r="B965" s="16"/>
      <c r="C965" s="146"/>
      <c r="D965" s="146"/>
      <c r="E965" s="16"/>
      <c r="F965" s="91"/>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row>
    <row r="966">
      <c r="A966" s="133"/>
      <c r="B966" s="16"/>
      <c r="C966" s="146"/>
      <c r="D966" s="146"/>
      <c r="E966" s="16"/>
      <c r="F966" s="91"/>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row>
    <row r="967">
      <c r="A967" s="133"/>
      <c r="B967" s="16"/>
      <c r="C967" s="146"/>
      <c r="D967" s="146"/>
      <c r="E967" s="16"/>
      <c r="F967" s="91"/>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row>
    <row r="968">
      <c r="A968" s="133"/>
      <c r="B968" s="16"/>
      <c r="C968" s="146"/>
      <c r="D968" s="146"/>
      <c r="E968" s="16"/>
      <c r="F968" s="91"/>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row>
    <row r="969">
      <c r="A969" s="133"/>
      <c r="B969" s="16"/>
      <c r="C969" s="146"/>
      <c r="D969" s="146"/>
      <c r="E969" s="16"/>
      <c r="F969" s="91"/>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row>
    <row r="970">
      <c r="A970" s="133"/>
      <c r="B970" s="16"/>
      <c r="C970" s="146"/>
      <c r="D970" s="146"/>
      <c r="E970" s="16"/>
      <c r="F970" s="91"/>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row>
    <row r="971">
      <c r="A971" s="133"/>
      <c r="B971" s="16"/>
      <c r="C971" s="146"/>
      <c r="D971" s="146"/>
      <c r="E971" s="16"/>
      <c r="F971" s="91"/>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row>
    <row r="972">
      <c r="A972" s="133"/>
      <c r="B972" s="16"/>
      <c r="C972" s="146"/>
      <c r="D972" s="146"/>
      <c r="E972" s="16"/>
      <c r="F972" s="91"/>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row>
    <row r="973">
      <c r="A973" s="133"/>
      <c r="B973" s="16"/>
      <c r="C973" s="146"/>
      <c r="D973" s="146"/>
      <c r="E973" s="16"/>
      <c r="F973" s="91"/>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row>
    <row r="974">
      <c r="A974" s="133"/>
      <c r="B974" s="16"/>
      <c r="C974" s="146"/>
      <c r="D974" s="146"/>
      <c r="E974" s="16"/>
      <c r="F974" s="91"/>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row>
    <row r="975">
      <c r="A975" s="133"/>
      <c r="B975" s="16"/>
      <c r="C975" s="146"/>
      <c r="D975" s="146"/>
      <c r="E975" s="16"/>
      <c r="F975" s="91"/>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row>
    <row r="976">
      <c r="A976" s="133"/>
      <c r="B976" s="16"/>
      <c r="C976" s="146"/>
      <c r="D976" s="146"/>
      <c r="E976" s="16"/>
      <c r="F976" s="91"/>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row>
    <row r="977">
      <c r="A977" s="133"/>
      <c r="B977" s="16"/>
      <c r="C977" s="146"/>
      <c r="D977" s="146"/>
      <c r="E977" s="16"/>
      <c r="F977" s="91"/>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row>
    <row r="978">
      <c r="A978" s="133"/>
      <c r="B978" s="16"/>
      <c r="C978" s="146"/>
      <c r="D978" s="146"/>
      <c r="E978" s="16"/>
      <c r="F978" s="91"/>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row>
    <row r="979">
      <c r="A979" s="133"/>
      <c r="B979" s="16"/>
      <c r="C979" s="146"/>
      <c r="D979" s="146"/>
      <c r="E979" s="16"/>
      <c r="F979" s="91"/>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row>
    <row r="980">
      <c r="A980" s="133"/>
      <c r="B980" s="16"/>
      <c r="C980" s="146"/>
      <c r="D980" s="146"/>
      <c r="E980" s="16"/>
      <c r="F980" s="91"/>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row>
    <row r="981">
      <c r="A981" s="133"/>
      <c r="B981" s="16"/>
      <c r="C981" s="146"/>
      <c r="D981" s="146"/>
      <c r="E981" s="16"/>
      <c r="F981" s="91"/>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row>
    <row r="982">
      <c r="A982" s="133"/>
      <c r="B982" s="16"/>
      <c r="C982" s="146"/>
      <c r="D982" s="146"/>
      <c r="E982" s="16"/>
      <c r="F982" s="91"/>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row>
    <row r="983">
      <c r="A983" s="133"/>
      <c r="B983" s="16"/>
      <c r="C983" s="146"/>
      <c r="D983" s="146"/>
      <c r="E983" s="16"/>
      <c r="F983" s="91"/>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row>
    <row r="984">
      <c r="A984" s="133"/>
      <c r="B984" s="16"/>
      <c r="C984" s="146"/>
      <c r="D984" s="146"/>
      <c r="E984" s="16"/>
      <c r="F984" s="91"/>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row>
    <row r="985">
      <c r="A985" s="133"/>
      <c r="B985" s="16"/>
      <c r="C985" s="146"/>
      <c r="D985" s="146"/>
      <c r="E985" s="16"/>
      <c r="F985" s="91"/>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row>
    <row r="986">
      <c r="A986" s="133"/>
      <c r="B986" s="16"/>
      <c r="C986" s="146"/>
      <c r="D986" s="146"/>
      <c r="E986" s="16"/>
      <c r="F986" s="91"/>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row>
    <row r="987">
      <c r="A987" s="133"/>
      <c r="B987" s="16"/>
      <c r="C987" s="146"/>
      <c r="D987" s="146"/>
      <c r="E987" s="16"/>
      <c r="F987" s="91"/>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row>
    <row r="988">
      <c r="A988" s="133"/>
      <c r="B988" s="16"/>
      <c r="C988" s="146"/>
      <c r="D988" s="146"/>
      <c r="E988" s="16"/>
      <c r="F988" s="91"/>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row>
    <row r="989">
      <c r="A989" s="133"/>
      <c r="B989" s="16"/>
      <c r="C989" s="146"/>
      <c r="D989" s="146"/>
      <c r="E989" s="16"/>
      <c r="F989" s="91"/>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row>
    <row r="990">
      <c r="A990" s="133"/>
      <c r="B990" s="16"/>
      <c r="C990" s="146"/>
      <c r="D990" s="146"/>
      <c r="E990" s="16"/>
      <c r="F990" s="91"/>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row>
    <row r="991">
      <c r="A991" s="133"/>
      <c r="B991" s="16"/>
      <c r="C991" s="146"/>
      <c r="D991" s="146"/>
      <c r="E991" s="16"/>
      <c r="F991" s="91"/>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row>
    <row r="992">
      <c r="A992" s="133"/>
      <c r="B992" s="16"/>
      <c r="C992" s="146"/>
      <c r="D992" s="146"/>
      <c r="E992" s="16"/>
      <c r="F992" s="91"/>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row>
    <row r="993">
      <c r="A993" s="133"/>
      <c r="B993" s="16"/>
      <c r="C993" s="146"/>
      <c r="D993" s="146"/>
      <c r="E993" s="16"/>
      <c r="F993" s="91"/>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row>
    <row r="994">
      <c r="A994" s="133"/>
      <c r="B994" s="16"/>
      <c r="C994" s="146"/>
      <c r="D994" s="146"/>
      <c r="E994" s="16"/>
      <c r="F994" s="91"/>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row>
    <row r="995">
      <c r="A995" s="133"/>
      <c r="B995" s="16"/>
      <c r="C995" s="146"/>
      <c r="D995" s="146"/>
      <c r="E995" s="16"/>
      <c r="F995" s="91"/>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row>
    <row r="996">
      <c r="A996" s="133"/>
      <c r="B996" s="16"/>
      <c r="C996" s="146"/>
      <c r="D996" s="146"/>
      <c r="E996" s="16"/>
      <c r="F996" s="91"/>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row>
    <row r="997">
      <c r="A997" s="133"/>
      <c r="B997" s="16"/>
      <c r="C997" s="146"/>
      <c r="D997" s="146"/>
      <c r="E997" s="16"/>
      <c r="F997" s="91"/>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row>
    <row r="998">
      <c r="A998" s="133"/>
      <c r="B998" s="16"/>
      <c r="C998" s="146"/>
      <c r="D998" s="146"/>
      <c r="E998" s="16"/>
      <c r="F998" s="91"/>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row>
    <row r="999">
      <c r="A999" s="133"/>
      <c r="B999" s="16"/>
      <c r="C999" s="146"/>
      <c r="D999" s="146"/>
      <c r="E999" s="16"/>
      <c r="F999" s="91"/>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row>
    <row r="1000">
      <c r="A1000" s="133"/>
      <c r="B1000" s="16"/>
      <c r="C1000" s="146"/>
      <c r="D1000" s="146"/>
      <c r="E1000" s="16"/>
      <c r="F1000" s="91"/>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row>
    <row r="1001">
      <c r="A1001" s="133"/>
      <c r="B1001" s="16"/>
      <c r="C1001" s="146"/>
      <c r="D1001" s="146"/>
      <c r="E1001" s="16"/>
      <c r="F1001" s="91"/>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row>
    <row r="1002">
      <c r="A1002" s="133"/>
      <c r="B1002" s="16"/>
      <c r="C1002" s="146"/>
      <c r="D1002" s="146"/>
      <c r="E1002" s="16"/>
      <c r="F1002" s="91"/>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row>
    <row r="1003">
      <c r="A1003" s="133"/>
      <c r="B1003" s="16"/>
      <c r="C1003" s="146"/>
      <c r="D1003" s="146"/>
      <c r="E1003" s="16"/>
      <c r="F1003" s="91"/>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row>
    <row r="1004">
      <c r="A1004" s="133"/>
      <c r="B1004" s="16"/>
      <c r="C1004" s="146"/>
      <c r="D1004" s="146"/>
      <c r="E1004" s="16"/>
      <c r="F1004" s="91"/>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row>
    <row r="1005">
      <c r="A1005" s="133"/>
      <c r="B1005" s="16"/>
      <c r="C1005" s="146"/>
      <c r="D1005" s="146"/>
      <c r="E1005" s="16"/>
      <c r="F1005" s="91"/>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row>
    <row r="1006">
      <c r="A1006" s="133"/>
      <c r="B1006" s="16"/>
      <c r="C1006" s="146"/>
      <c r="D1006" s="146"/>
      <c r="E1006" s="16"/>
      <c r="F1006" s="91"/>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row>
    <row r="1007">
      <c r="A1007" s="133"/>
      <c r="B1007" s="16"/>
      <c r="C1007" s="146"/>
      <c r="D1007" s="146"/>
      <c r="E1007" s="16"/>
      <c r="F1007" s="91"/>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row>
    <row r="1008">
      <c r="A1008" s="133"/>
      <c r="B1008" s="16"/>
      <c r="C1008" s="146"/>
      <c r="D1008" s="146"/>
      <c r="E1008" s="16"/>
      <c r="F1008" s="91"/>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row>
    <row r="1009">
      <c r="A1009" s="133"/>
      <c r="B1009" s="16"/>
      <c r="C1009" s="146"/>
      <c r="D1009" s="146"/>
      <c r="E1009" s="16"/>
      <c r="F1009" s="91"/>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row>
    <row r="1010">
      <c r="A1010" s="133"/>
      <c r="B1010" s="16"/>
      <c r="C1010" s="146"/>
      <c r="D1010" s="146"/>
      <c r="E1010" s="16"/>
      <c r="F1010" s="91"/>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row>
    <row r="1011">
      <c r="A1011" s="133"/>
      <c r="B1011" s="16"/>
      <c r="C1011" s="146"/>
      <c r="D1011" s="146"/>
      <c r="E1011" s="16"/>
      <c r="F1011" s="91"/>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row>
    <row r="1012">
      <c r="A1012" s="133"/>
      <c r="B1012" s="16"/>
      <c r="C1012" s="146"/>
      <c r="D1012" s="146"/>
      <c r="E1012" s="16"/>
      <c r="F1012" s="91"/>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row>
    <row r="1013">
      <c r="A1013" s="133"/>
      <c r="B1013" s="16"/>
      <c r="C1013" s="146"/>
      <c r="D1013" s="146"/>
      <c r="E1013" s="16"/>
      <c r="F1013" s="91"/>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row>
    <row r="1014">
      <c r="A1014" s="133"/>
      <c r="B1014" s="16"/>
      <c r="C1014" s="146"/>
      <c r="D1014" s="146"/>
      <c r="E1014" s="16"/>
      <c r="F1014" s="91"/>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row>
    <row r="1015">
      <c r="A1015" s="133"/>
      <c r="B1015" s="16"/>
      <c r="C1015" s="146"/>
      <c r="D1015" s="146"/>
      <c r="E1015" s="16"/>
      <c r="F1015" s="91"/>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row>
    <row r="1016">
      <c r="A1016" s="133"/>
      <c r="B1016" s="16"/>
      <c r="C1016" s="146"/>
      <c r="D1016" s="146"/>
      <c r="E1016" s="16"/>
      <c r="F1016" s="91"/>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row>
    <row r="1017">
      <c r="A1017" s="133"/>
      <c r="B1017" s="16"/>
      <c r="C1017" s="146"/>
      <c r="D1017" s="146"/>
      <c r="E1017" s="16"/>
      <c r="F1017" s="91"/>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row>
    <row r="1018">
      <c r="A1018" s="133"/>
      <c r="B1018" s="16"/>
      <c r="C1018" s="146"/>
      <c r="D1018" s="146"/>
      <c r="E1018" s="16"/>
      <c r="F1018" s="91"/>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row>
    <row r="1019">
      <c r="A1019" s="133"/>
      <c r="B1019" s="16"/>
      <c r="C1019" s="146"/>
      <c r="D1019" s="146"/>
      <c r="E1019" s="16"/>
      <c r="F1019" s="91"/>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row>
    <row r="1020">
      <c r="A1020" s="133"/>
      <c r="B1020" s="16"/>
      <c r="C1020" s="146"/>
      <c r="D1020" s="146"/>
      <c r="E1020" s="16"/>
      <c r="F1020" s="91"/>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row>
    <row r="1021">
      <c r="A1021" s="133"/>
      <c r="B1021" s="16"/>
      <c r="C1021" s="146"/>
      <c r="D1021" s="146"/>
      <c r="E1021" s="16"/>
      <c r="F1021" s="91"/>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row>
    <row r="1022">
      <c r="A1022" s="133"/>
      <c r="B1022" s="16"/>
      <c r="C1022" s="146"/>
      <c r="D1022" s="146"/>
      <c r="E1022" s="16"/>
      <c r="F1022" s="91"/>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row>
    <row r="1023">
      <c r="A1023" s="133"/>
      <c r="B1023" s="16"/>
      <c r="C1023" s="146"/>
      <c r="D1023" s="146"/>
      <c r="E1023" s="16"/>
      <c r="F1023" s="91"/>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row>
    <row r="1024">
      <c r="A1024" s="133"/>
      <c r="B1024" s="16"/>
      <c r="C1024" s="146"/>
      <c r="D1024" s="146"/>
      <c r="E1024" s="16"/>
      <c r="F1024" s="91"/>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row>
    <row r="1025">
      <c r="A1025" s="133"/>
      <c r="B1025" s="16"/>
      <c r="C1025" s="146"/>
      <c r="D1025" s="146"/>
      <c r="E1025" s="16"/>
      <c r="F1025" s="91"/>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row>
    <row r="1026">
      <c r="A1026" s="133"/>
      <c r="B1026" s="16"/>
      <c r="C1026" s="146"/>
      <c r="D1026" s="146"/>
      <c r="E1026" s="16"/>
      <c r="F1026" s="91"/>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row>
    <row r="1027">
      <c r="A1027" s="133"/>
      <c r="B1027" s="16"/>
      <c r="C1027" s="146"/>
      <c r="D1027" s="146"/>
      <c r="E1027" s="16"/>
      <c r="F1027" s="91"/>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row>
    <row r="1028">
      <c r="A1028" s="133"/>
      <c r="B1028" s="16"/>
      <c r="C1028" s="146"/>
      <c r="D1028" s="146"/>
      <c r="E1028" s="16"/>
      <c r="F1028" s="91"/>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row>
    <row r="1029">
      <c r="A1029" s="133"/>
      <c r="B1029" s="16"/>
      <c r="C1029" s="146"/>
      <c r="D1029" s="146"/>
      <c r="E1029" s="16"/>
      <c r="F1029" s="91"/>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row>
    <row r="1030">
      <c r="A1030" s="133"/>
      <c r="B1030" s="16"/>
      <c r="C1030" s="146"/>
      <c r="D1030" s="146"/>
      <c r="E1030" s="16"/>
      <c r="F1030" s="91"/>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row>
    <row r="1031">
      <c r="A1031" s="133"/>
      <c r="B1031" s="16"/>
      <c r="C1031" s="146"/>
      <c r="D1031" s="146"/>
      <c r="E1031" s="16"/>
      <c r="F1031" s="91"/>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row>
    <row r="1032">
      <c r="A1032" s="133"/>
      <c r="B1032" s="16"/>
      <c r="C1032" s="146"/>
      <c r="D1032" s="146"/>
      <c r="E1032" s="16"/>
      <c r="F1032" s="91"/>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row>
    <row r="1033">
      <c r="A1033" s="133"/>
      <c r="B1033" s="16"/>
      <c r="C1033" s="146"/>
      <c r="D1033" s="146"/>
      <c r="E1033" s="16"/>
      <c r="F1033" s="91"/>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row>
    <row r="1034">
      <c r="A1034" s="133"/>
      <c r="B1034" s="16"/>
      <c r="C1034" s="146"/>
      <c r="D1034" s="146"/>
      <c r="E1034" s="16"/>
      <c r="F1034" s="91"/>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row>
    <row r="1035">
      <c r="A1035" s="133"/>
      <c r="B1035" s="16"/>
      <c r="C1035" s="146"/>
      <c r="D1035" s="146"/>
      <c r="E1035" s="16"/>
      <c r="F1035" s="91"/>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row>
    <row r="1036">
      <c r="A1036" s="133"/>
      <c r="B1036" s="16"/>
      <c r="C1036" s="146"/>
      <c r="D1036" s="146"/>
      <c r="E1036" s="16"/>
      <c r="F1036" s="91"/>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row>
    <row r="1037">
      <c r="A1037" s="133"/>
      <c r="B1037" s="16"/>
      <c r="C1037" s="146"/>
      <c r="D1037" s="146"/>
      <c r="E1037" s="16"/>
      <c r="F1037" s="91"/>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row>
    <row r="1038">
      <c r="A1038" s="133"/>
      <c r="B1038" s="16"/>
      <c r="C1038" s="146"/>
      <c r="D1038" s="146"/>
      <c r="E1038" s="16"/>
      <c r="F1038" s="91"/>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row>
    <row r="1039">
      <c r="A1039" s="133"/>
      <c r="B1039" s="16"/>
      <c r="C1039" s="146"/>
      <c r="D1039" s="146"/>
      <c r="E1039" s="16"/>
      <c r="F1039" s="91"/>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row>
    <row r="1040">
      <c r="A1040" s="133"/>
      <c r="B1040" s="16"/>
      <c r="C1040" s="146"/>
      <c r="D1040" s="146"/>
      <c r="E1040" s="16"/>
      <c r="F1040" s="91"/>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row>
    <row r="1041">
      <c r="A1041" s="133"/>
      <c r="B1041" s="16"/>
      <c r="C1041" s="146"/>
      <c r="D1041" s="146"/>
      <c r="E1041" s="16"/>
      <c r="F1041" s="91"/>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row>
    <row r="1042">
      <c r="A1042" s="133"/>
      <c r="B1042" s="16"/>
      <c r="C1042" s="146"/>
      <c r="D1042" s="146"/>
      <c r="E1042" s="16"/>
      <c r="F1042" s="91"/>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row>
    <row r="1043">
      <c r="A1043" s="133"/>
      <c r="B1043" s="16"/>
      <c r="C1043" s="146"/>
      <c r="D1043" s="146"/>
      <c r="E1043" s="16"/>
      <c r="F1043" s="91"/>
      <c r="G1043" s="16"/>
      <c r="H1043" s="16"/>
      <c r="I1043" s="16"/>
      <c r="J1043" s="16"/>
      <c r="K1043" s="16"/>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row>
    <row r="1044">
      <c r="A1044" s="133"/>
      <c r="B1044" s="16"/>
      <c r="C1044" s="146"/>
      <c r="D1044" s="146"/>
      <c r="E1044" s="16"/>
      <c r="F1044" s="91"/>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row>
    <row r="1045">
      <c r="A1045" s="133"/>
      <c r="B1045" s="16"/>
      <c r="C1045" s="146"/>
      <c r="D1045" s="146"/>
      <c r="E1045" s="16"/>
      <c r="F1045" s="91"/>
      <c r="G1045" s="16"/>
      <c r="H1045" s="16"/>
      <c r="I1045" s="16"/>
      <c r="J1045" s="16"/>
      <c r="K1045" s="16"/>
      <c r="L1045" s="16"/>
      <c r="M1045" s="16"/>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row>
    <row r="1046">
      <c r="A1046" s="133"/>
      <c r="B1046" s="16"/>
      <c r="C1046" s="146"/>
      <c r="D1046" s="146"/>
      <c r="E1046" s="16"/>
      <c r="F1046" s="91"/>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row>
    <row r="1047">
      <c r="A1047" s="133"/>
      <c r="B1047" s="16"/>
      <c r="C1047" s="146"/>
      <c r="D1047" s="146"/>
      <c r="E1047" s="16"/>
      <c r="F1047" s="91"/>
      <c r="G1047" s="16"/>
      <c r="H1047" s="16"/>
      <c r="I1047" s="16"/>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row>
    <row r="1048">
      <c r="A1048" s="133"/>
      <c r="B1048" s="16"/>
      <c r="C1048" s="146"/>
      <c r="D1048" s="146"/>
      <c r="E1048" s="16"/>
      <c r="F1048" s="91"/>
      <c r="G1048" s="16"/>
      <c r="H1048" s="16"/>
      <c r="I1048" s="16"/>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row>
    <row r="1049">
      <c r="A1049" s="133"/>
      <c r="B1049" s="16"/>
      <c r="C1049" s="146"/>
      <c r="D1049" s="146"/>
      <c r="E1049" s="16"/>
      <c r="F1049" s="91"/>
      <c r="G1049" s="16"/>
      <c r="H1049" s="16"/>
      <c r="I1049" s="16"/>
      <c r="J1049" s="16"/>
      <c r="K1049" s="16"/>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row>
    <row r="1050">
      <c r="A1050" s="133"/>
      <c r="B1050" s="16"/>
      <c r="C1050" s="146"/>
      <c r="D1050" s="146"/>
      <c r="E1050" s="16"/>
      <c r="F1050" s="91"/>
      <c r="G1050" s="16"/>
      <c r="H1050" s="16"/>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row>
    <row r="1051">
      <c r="A1051" s="133"/>
      <c r="B1051" s="16"/>
      <c r="C1051" s="146"/>
      <c r="D1051" s="146"/>
      <c r="E1051" s="16"/>
      <c r="F1051" s="91"/>
      <c r="G1051" s="16"/>
      <c r="H1051" s="16"/>
      <c r="I1051" s="16"/>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row>
    <row r="1052">
      <c r="A1052" s="133"/>
      <c r="B1052" s="16"/>
      <c r="C1052" s="146"/>
      <c r="D1052" s="146"/>
      <c r="E1052" s="16"/>
      <c r="F1052" s="91"/>
      <c r="G1052" s="16"/>
      <c r="H1052" s="16"/>
      <c r="I1052" s="16"/>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row>
    <row r="1053">
      <c r="A1053" s="133"/>
      <c r="B1053" s="16"/>
      <c r="C1053" s="146"/>
      <c r="D1053" s="146"/>
      <c r="E1053" s="16"/>
      <c r="F1053" s="91"/>
      <c r="G1053" s="16"/>
      <c r="H1053" s="16"/>
      <c r="I1053" s="16"/>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row>
    <row r="1054">
      <c r="A1054" s="133"/>
      <c r="B1054" s="16"/>
      <c r="C1054" s="146"/>
      <c r="D1054" s="146"/>
      <c r="E1054" s="16"/>
      <c r="F1054" s="91"/>
      <c r="G1054" s="16"/>
      <c r="H1054" s="16"/>
      <c r="I1054" s="16"/>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row>
    <row r="1055">
      <c r="A1055" s="133"/>
      <c r="B1055" s="16"/>
      <c r="C1055" s="146"/>
      <c r="D1055" s="146"/>
      <c r="E1055" s="16"/>
      <c r="F1055" s="91"/>
      <c r="G1055" s="16"/>
      <c r="H1055" s="16"/>
      <c r="I1055" s="16"/>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row>
    <row r="1056">
      <c r="A1056" s="133"/>
      <c r="B1056" s="16"/>
      <c r="C1056" s="146"/>
      <c r="D1056" s="146"/>
      <c r="E1056" s="16"/>
      <c r="F1056" s="91"/>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row>
    <row r="1057">
      <c r="A1057" s="133"/>
      <c r="B1057" s="16"/>
      <c r="C1057" s="146"/>
      <c r="D1057" s="146"/>
      <c r="E1057" s="16"/>
      <c r="F1057" s="91"/>
      <c r="G1057" s="16"/>
      <c r="H1057" s="16"/>
      <c r="I1057" s="16"/>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row>
    <row r="1058">
      <c r="A1058" s="133"/>
      <c r="B1058" s="16"/>
      <c r="C1058" s="146"/>
      <c r="D1058" s="146"/>
      <c r="E1058" s="16"/>
      <c r="F1058" s="91"/>
      <c r="G1058" s="16"/>
      <c r="H1058" s="16"/>
      <c r="I1058" s="16"/>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row>
    <row r="1059">
      <c r="A1059" s="133"/>
      <c r="B1059" s="16"/>
      <c r="C1059" s="146"/>
      <c r="D1059" s="146"/>
      <c r="E1059" s="16"/>
      <c r="F1059" s="91"/>
      <c r="G1059" s="16"/>
      <c r="H1059" s="16"/>
      <c r="I1059" s="16"/>
      <c r="J1059" s="16"/>
      <c r="K1059" s="16"/>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row>
    <row r="1060">
      <c r="A1060" s="133"/>
      <c r="B1060" s="16"/>
      <c r="C1060" s="146"/>
      <c r="D1060" s="146"/>
      <c r="E1060" s="16"/>
      <c r="F1060" s="91"/>
      <c r="G1060" s="16"/>
      <c r="H1060" s="16"/>
      <c r="I1060" s="16"/>
      <c r="J1060" s="16"/>
      <c r="K1060" s="16"/>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row>
    <row r="1061">
      <c r="A1061" s="133"/>
      <c r="B1061" s="16"/>
      <c r="C1061" s="146"/>
      <c r="D1061" s="146"/>
      <c r="E1061" s="16"/>
      <c r="F1061" s="91"/>
      <c r="G1061" s="16"/>
      <c r="H1061" s="16"/>
      <c r="I1061" s="16"/>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row>
    <row r="1062">
      <c r="A1062" s="133"/>
      <c r="B1062" s="16"/>
      <c r="C1062" s="146"/>
      <c r="D1062" s="146"/>
      <c r="E1062" s="16"/>
      <c r="F1062" s="91"/>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row>
    <row r="1063">
      <c r="A1063" s="133"/>
      <c r="B1063" s="16"/>
      <c r="C1063" s="146"/>
      <c r="D1063" s="146"/>
      <c r="E1063" s="16"/>
      <c r="F1063" s="91"/>
      <c r="G1063" s="16"/>
      <c r="H1063" s="16"/>
      <c r="I1063" s="16"/>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row>
    <row r="1064">
      <c r="A1064" s="133"/>
      <c r="B1064" s="16"/>
      <c r="C1064" s="146"/>
      <c r="D1064" s="146"/>
      <c r="E1064" s="16"/>
      <c r="F1064" s="91"/>
      <c r="G1064" s="16"/>
      <c r="H1064" s="16"/>
      <c r="I1064" s="16"/>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row>
    <row r="1065">
      <c r="A1065" s="133"/>
      <c r="B1065" s="16"/>
      <c r="C1065" s="146"/>
      <c r="D1065" s="146"/>
      <c r="E1065" s="16"/>
      <c r="F1065" s="91"/>
      <c r="G1065" s="16"/>
      <c r="H1065" s="16"/>
      <c r="I1065" s="16"/>
      <c r="J1065" s="16"/>
      <c r="K1065" s="16"/>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c r="AG1065" s="16"/>
      <c r="AH1065" s="16"/>
    </row>
    <row r="1066">
      <c r="A1066" s="133"/>
      <c r="B1066" s="16"/>
      <c r="C1066" s="146"/>
      <c r="D1066" s="146"/>
      <c r="E1066" s="16"/>
      <c r="F1066" s="91"/>
      <c r="G1066" s="16"/>
      <c r="H1066" s="16"/>
      <c r="I1066" s="16"/>
      <c r="J1066" s="16"/>
      <c r="K1066" s="16"/>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row>
    <row r="1067">
      <c r="A1067" s="133"/>
      <c r="B1067" s="16"/>
      <c r="C1067" s="146"/>
      <c r="D1067" s="146"/>
      <c r="E1067" s="16"/>
      <c r="F1067" s="91"/>
      <c r="G1067" s="16"/>
      <c r="H1067" s="16"/>
      <c r="I1067" s="16"/>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row>
    <row r="1068">
      <c r="A1068" s="133"/>
      <c r="B1068" s="16"/>
      <c r="C1068" s="146"/>
      <c r="D1068" s="146"/>
      <c r="E1068" s="16"/>
      <c r="F1068" s="91"/>
      <c r="G1068" s="16"/>
      <c r="H1068" s="16"/>
      <c r="I1068" s="16"/>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row>
    <row r="1069">
      <c r="A1069" s="133"/>
      <c r="B1069" s="16"/>
      <c r="C1069" s="146"/>
      <c r="D1069" s="146"/>
      <c r="E1069" s="16"/>
      <c r="F1069" s="91"/>
      <c r="G1069" s="16"/>
      <c r="H1069" s="16"/>
      <c r="I1069" s="16"/>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row>
    <row r="1070">
      <c r="A1070" s="133"/>
      <c r="B1070" s="16"/>
      <c r="C1070" s="146"/>
      <c r="D1070" s="146"/>
      <c r="E1070" s="16"/>
      <c r="F1070" s="91"/>
      <c r="G1070" s="16"/>
      <c r="H1070" s="16"/>
      <c r="I1070" s="16"/>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row>
    <row r="1071">
      <c r="A1071" s="133"/>
      <c r="B1071" s="16"/>
      <c r="C1071" s="146"/>
      <c r="D1071" s="146"/>
      <c r="E1071" s="16"/>
      <c r="F1071" s="91"/>
      <c r="G1071" s="16"/>
      <c r="H1071" s="16"/>
      <c r="I1071" s="16"/>
      <c r="J1071" s="16"/>
      <c r="K1071" s="16"/>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row>
    <row r="1072">
      <c r="A1072" s="133"/>
      <c r="B1072" s="16"/>
      <c r="C1072" s="146"/>
      <c r="D1072" s="146"/>
      <c r="E1072" s="16"/>
      <c r="F1072" s="91"/>
      <c r="G1072" s="16"/>
      <c r="H1072" s="16"/>
      <c r="I1072" s="16"/>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row>
    <row r="1073">
      <c r="A1073" s="133"/>
      <c r="B1073" s="16"/>
      <c r="C1073" s="146"/>
      <c r="D1073" s="146"/>
      <c r="E1073" s="16"/>
      <c r="F1073" s="91"/>
      <c r="G1073" s="16"/>
      <c r="H1073" s="16"/>
      <c r="I1073" s="16"/>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row>
    <row r="1074">
      <c r="A1074" s="133"/>
      <c r="B1074" s="16"/>
      <c r="C1074" s="146"/>
      <c r="D1074" s="146"/>
      <c r="E1074" s="16"/>
      <c r="F1074" s="91"/>
      <c r="G1074" s="16"/>
      <c r="H1074" s="16"/>
      <c r="I1074" s="16"/>
      <c r="J1074" s="16"/>
      <c r="K1074" s="16"/>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row>
    <row r="1075">
      <c r="A1075" s="133"/>
      <c r="B1075" s="16"/>
      <c r="C1075" s="146"/>
      <c r="D1075" s="146"/>
      <c r="E1075" s="16"/>
      <c r="F1075" s="91"/>
      <c r="G1075" s="16"/>
      <c r="H1075" s="16"/>
      <c r="I1075" s="16"/>
      <c r="J1075" s="16"/>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row>
    <row r="1076">
      <c r="A1076" s="133"/>
      <c r="B1076" s="16"/>
      <c r="C1076" s="146"/>
      <c r="D1076" s="146"/>
      <c r="E1076" s="16"/>
      <c r="F1076" s="91"/>
      <c r="G1076" s="16"/>
      <c r="H1076" s="16"/>
      <c r="I1076" s="16"/>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row>
    <row r="1077">
      <c r="A1077" s="133"/>
      <c r="B1077" s="16"/>
      <c r="C1077" s="146"/>
      <c r="D1077" s="146"/>
      <c r="E1077" s="16"/>
      <c r="F1077" s="91"/>
      <c r="G1077" s="16"/>
      <c r="H1077" s="16"/>
      <c r="I1077" s="16"/>
      <c r="J1077" s="16"/>
      <c r="K1077" s="16"/>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row>
    <row r="1078">
      <c r="A1078" s="133"/>
      <c r="B1078" s="16"/>
      <c r="C1078" s="146"/>
      <c r="D1078" s="146"/>
      <c r="E1078" s="16"/>
      <c r="F1078" s="91"/>
      <c r="G1078" s="16"/>
      <c r="H1078" s="16"/>
      <c r="I1078" s="16"/>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row>
    <row r="1079">
      <c r="A1079" s="133"/>
      <c r="B1079" s="16"/>
      <c r="C1079" s="146"/>
      <c r="D1079" s="146"/>
      <c r="E1079" s="16"/>
      <c r="F1079" s="91"/>
      <c r="G1079" s="16"/>
      <c r="H1079" s="16"/>
      <c r="I1079" s="16"/>
      <c r="J1079" s="16"/>
      <c r="K1079" s="16"/>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row>
    <row r="1080">
      <c r="A1080" s="133"/>
      <c r="B1080" s="16"/>
      <c r="C1080" s="146"/>
      <c r="D1080" s="146"/>
      <c r="E1080" s="16"/>
      <c r="F1080" s="91"/>
      <c r="G1080" s="16"/>
      <c r="H1080" s="16"/>
      <c r="I1080" s="16"/>
      <c r="J1080" s="16"/>
      <c r="K1080" s="16"/>
      <c r="L1080" s="16"/>
      <c r="M1080" s="16"/>
      <c r="N1080" s="16"/>
      <c r="O1080" s="16"/>
      <c r="P1080" s="16"/>
      <c r="Q1080" s="16"/>
      <c r="R1080" s="16"/>
      <c r="S1080" s="16"/>
      <c r="T1080" s="16"/>
      <c r="U1080" s="16"/>
      <c r="V1080" s="16"/>
      <c r="W1080" s="16"/>
      <c r="X1080" s="16"/>
      <c r="Y1080" s="16"/>
      <c r="Z1080" s="16"/>
      <c r="AA1080" s="16"/>
      <c r="AB1080" s="16"/>
      <c r="AC1080" s="16"/>
      <c r="AD1080" s="16"/>
      <c r="AE1080" s="16"/>
      <c r="AF1080" s="16"/>
      <c r="AG1080" s="16"/>
      <c r="AH1080" s="16"/>
    </row>
    <row r="1081">
      <c r="A1081" s="133"/>
      <c r="B1081" s="16"/>
      <c r="C1081" s="146"/>
      <c r="D1081" s="146"/>
      <c r="E1081" s="16"/>
      <c r="F1081" s="91"/>
      <c r="G1081" s="16"/>
      <c r="H1081" s="16"/>
      <c r="I1081" s="16"/>
      <c r="J1081" s="16"/>
      <c r="K1081" s="16"/>
      <c r="L1081" s="16"/>
      <c r="M1081" s="16"/>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row>
    <row r="1082">
      <c r="A1082" s="133"/>
      <c r="B1082" s="16"/>
      <c r="C1082" s="146"/>
      <c r="D1082" s="146"/>
      <c r="E1082" s="16"/>
      <c r="F1082" s="91"/>
      <c r="G1082" s="16"/>
      <c r="H1082" s="16"/>
      <c r="I1082" s="16"/>
      <c r="J1082" s="16"/>
      <c r="K1082" s="16"/>
      <c r="L1082" s="16"/>
      <c r="M1082" s="16"/>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row>
    <row r="1083">
      <c r="A1083" s="133"/>
      <c r="B1083" s="16"/>
      <c r="C1083" s="146"/>
      <c r="D1083" s="146"/>
      <c r="E1083" s="16"/>
      <c r="F1083" s="91"/>
      <c r="G1083" s="16"/>
      <c r="H1083" s="16"/>
      <c r="I1083" s="16"/>
      <c r="J1083" s="16"/>
      <c r="K1083" s="16"/>
      <c r="L1083" s="16"/>
      <c r="M1083" s="16"/>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row>
    <row r="1084">
      <c r="A1084" s="133"/>
      <c r="B1084" s="16"/>
      <c r="C1084" s="146"/>
      <c r="D1084" s="146"/>
      <c r="E1084" s="16"/>
      <c r="F1084" s="91"/>
      <c r="G1084" s="16"/>
      <c r="H1084" s="16"/>
      <c r="I1084" s="16"/>
      <c r="J1084" s="16"/>
      <c r="K1084" s="16"/>
      <c r="L1084" s="16"/>
      <c r="M1084" s="16"/>
      <c r="N1084" s="16"/>
      <c r="O1084" s="16"/>
      <c r="P1084" s="16"/>
      <c r="Q1084" s="16"/>
      <c r="R1084" s="16"/>
      <c r="S1084" s="16"/>
      <c r="T1084" s="16"/>
      <c r="U1084" s="16"/>
      <c r="V1084" s="16"/>
      <c r="W1084" s="16"/>
      <c r="X1084" s="16"/>
      <c r="Y1084" s="16"/>
      <c r="Z1084" s="16"/>
      <c r="AA1084" s="16"/>
      <c r="AB1084" s="16"/>
      <c r="AC1084" s="16"/>
      <c r="AD1084" s="16"/>
      <c r="AE1084" s="16"/>
      <c r="AF1084" s="16"/>
      <c r="AG1084" s="16"/>
      <c r="AH1084" s="16"/>
    </row>
    <row r="1085">
      <c r="A1085" s="133"/>
      <c r="B1085" s="16"/>
      <c r="C1085" s="146"/>
      <c r="D1085" s="146"/>
      <c r="E1085" s="16"/>
      <c r="F1085" s="91"/>
      <c r="G1085" s="16"/>
      <c r="H1085" s="16"/>
      <c r="I1085" s="16"/>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row>
    <row r="1086">
      <c r="A1086" s="133"/>
      <c r="B1086" s="16"/>
      <c r="C1086" s="146"/>
      <c r="D1086" s="146"/>
      <c r="E1086" s="16"/>
      <c r="F1086" s="91"/>
      <c r="G1086" s="16"/>
      <c r="H1086" s="16"/>
      <c r="I1086" s="16"/>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row>
    <row r="1087">
      <c r="A1087" s="133"/>
      <c r="B1087" s="16"/>
      <c r="C1087" s="146"/>
      <c r="D1087" s="146"/>
      <c r="E1087" s="16"/>
      <c r="F1087" s="91"/>
      <c r="G1087" s="16"/>
      <c r="H1087" s="16"/>
      <c r="I1087" s="16"/>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row>
    <row r="1088">
      <c r="A1088" s="133"/>
      <c r="B1088" s="16"/>
      <c r="C1088" s="146"/>
      <c r="D1088" s="146"/>
      <c r="E1088" s="16"/>
      <c r="F1088" s="91"/>
      <c r="G1088" s="16"/>
      <c r="H1088" s="16"/>
      <c r="I1088" s="16"/>
      <c r="J1088" s="16"/>
      <c r="K1088" s="16"/>
      <c r="L1088" s="16"/>
      <c r="M1088" s="16"/>
      <c r="N1088" s="16"/>
      <c r="O1088" s="16"/>
      <c r="P1088" s="16"/>
      <c r="Q1088" s="16"/>
      <c r="R1088" s="16"/>
      <c r="S1088" s="16"/>
      <c r="T1088" s="16"/>
      <c r="U1088" s="16"/>
      <c r="V1088" s="16"/>
      <c r="W1088" s="16"/>
      <c r="X1088" s="16"/>
      <c r="Y1088" s="16"/>
      <c r="Z1088" s="16"/>
      <c r="AA1088" s="16"/>
      <c r="AB1088" s="16"/>
      <c r="AC1088" s="16"/>
      <c r="AD1088" s="16"/>
      <c r="AE1088" s="16"/>
      <c r="AF1088" s="16"/>
      <c r="AG1088" s="16"/>
      <c r="AH1088" s="16"/>
    </row>
    <row r="1089">
      <c r="A1089" s="133"/>
      <c r="B1089" s="16"/>
      <c r="C1089" s="146"/>
      <c r="D1089" s="146"/>
      <c r="E1089" s="16"/>
      <c r="F1089" s="91"/>
      <c r="G1089" s="16"/>
      <c r="H1089" s="16"/>
      <c r="I1089" s="16"/>
      <c r="J1089" s="16"/>
      <c r="K1089" s="16"/>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row>
    <row r="1090">
      <c r="A1090" s="133"/>
      <c r="B1090" s="16"/>
      <c r="C1090" s="146"/>
      <c r="D1090" s="146"/>
      <c r="E1090" s="16"/>
      <c r="F1090" s="91"/>
      <c r="G1090" s="16"/>
      <c r="H1090" s="16"/>
      <c r="I1090" s="16"/>
      <c r="J1090" s="16"/>
      <c r="K1090" s="16"/>
      <c r="L1090" s="16"/>
      <c r="M1090" s="16"/>
      <c r="N1090" s="16"/>
      <c r="O1090" s="16"/>
      <c r="P1090" s="16"/>
      <c r="Q1090" s="16"/>
      <c r="R1090" s="16"/>
      <c r="S1090" s="16"/>
      <c r="T1090" s="16"/>
      <c r="U1090" s="16"/>
      <c r="V1090" s="16"/>
      <c r="W1090" s="16"/>
      <c r="X1090" s="16"/>
      <c r="Y1090" s="16"/>
      <c r="Z1090" s="16"/>
      <c r="AA1090" s="16"/>
      <c r="AB1090" s="16"/>
      <c r="AC1090" s="16"/>
      <c r="AD1090" s="16"/>
      <c r="AE1090" s="16"/>
      <c r="AF1090" s="16"/>
      <c r="AG1090" s="16"/>
      <c r="AH1090" s="16"/>
    </row>
    <row r="1091">
      <c r="A1091" s="133"/>
      <c r="B1091" s="16"/>
      <c r="C1091" s="146"/>
      <c r="D1091" s="146"/>
      <c r="E1091" s="16"/>
      <c r="F1091" s="91"/>
      <c r="G1091" s="16"/>
      <c r="H1091" s="16"/>
      <c r="I1091" s="16"/>
      <c r="J1091" s="16"/>
      <c r="K1091" s="16"/>
      <c r="L1091" s="16"/>
      <c r="M1091" s="16"/>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row>
    <row r="1092">
      <c r="A1092" s="133"/>
      <c r="B1092" s="16"/>
      <c r="C1092" s="146"/>
      <c r="D1092" s="146"/>
      <c r="E1092" s="16"/>
      <c r="F1092" s="91"/>
      <c r="G1092" s="16"/>
      <c r="H1092" s="16"/>
      <c r="I1092" s="16"/>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row>
    <row r="1093">
      <c r="A1093" s="133"/>
      <c r="B1093" s="16"/>
      <c r="C1093" s="146"/>
      <c r="D1093" s="146"/>
      <c r="E1093" s="16"/>
      <c r="F1093" s="91"/>
      <c r="G1093" s="16"/>
      <c r="H1093" s="16"/>
      <c r="I1093" s="16"/>
      <c r="J1093" s="16"/>
      <c r="K1093" s="16"/>
      <c r="L1093" s="16"/>
      <c r="M1093" s="16"/>
      <c r="N1093" s="16"/>
      <c r="O1093" s="16"/>
      <c r="P1093" s="16"/>
      <c r="Q1093" s="16"/>
      <c r="R1093" s="16"/>
      <c r="S1093" s="16"/>
      <c r="T1093" s="16"/>
      <c r="U1093" s="16"/>
      <c r="V1093" s="16"/>
      <c r="W1093" s="16"/>
      <c r="X1093" s="16"/>
      <c r="Y1093" s="16"/>
      <c r="Z1093" s="16"/>
      <c r="AA1093" s="16"/>
      <c r="AB1093" s="16"/>
      <c r="AC1093" s="16"/>
      <c r="AD1093" s="16"/>
      <c r="AE1093" s="16"/>
      <c r="AF1093" s="16"/>
      <c r="AG1093" s="16"/>
      <c r="AH1093" s="16"/>
    </row>
    <row r="1094">
      <c r="A1094" s="133"/>
      <c r="B1094" s="16"/>
      <c r="C1094" s="146"/>
      <c r="D1094" s="146"/>
      <c r="E1094" s="16"/>
      <c r="F1094" s="91"/>
      <c r="G1094" s="16"/>
      <c r="H1094" s="16"/>
      <c r="I1094" s="16"/>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row>
    <row r="1095">
      <c r="A1095" s="133"/>
      <c r="B1095" s="16"/>
      <c r="C1095" s="146"/>
      <c r="D1095" s="146"/>
      <c r="E1095" s="16"/>
      <c r="F1095" s="91"/>
      <c r="G1095" s="16"/>
      <c r="H1095" s="16"/>
      <c r="I1095" s="16"/>
      <c r="J1095" s="16"/>
      <c r="K1095" s="16"/>
      <c r="L1095" s="16"/>
      <c r="M1095" s="16"/>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row>
    <row r="1096">
      <c r="A1096" s="133"/>
      <c r="B1096" s="16"/>
      <c r="C1096" s="146"/>
      <c r="D1096" s="146"/>
      <c r="E1096" s="16"/>
      <c r="F1096" s="91"/>
      <c r="G1096" s="16"/>
      <c r="H1096" s="16"/>
      <c r="I1096" s="16"/>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row>
    <row r="1097">
      <c r="A1097" s="133"/>
      <c r="B1097" s="16"/>
      <c r="C1097" s="146"/>
      <c r="D1097" s="146"/>
      <c r="E1097" s="16"/>
      <c r="F1097" s="91"/>
      <c r="G1097" s="16"/>
      <c r="H1097" s="16"/>
      <c r="I1097" s="16"/>
      <c r="J1097" s="16"/>
      <c r="K1097" s="16"/>
      <c r="L1097" s="16"/>
      <c r="M1097" s="16"/>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row>
    <row r="1098">
      <c r="A1098" s="133"/>
      <c r="B1098" s="16"/>
      <c r="C1098" s="146"/>
      <c r="D1098" s="146"/>
      <c r="E1098" s="16"/>
      <c r="F1098" s="91"/>
      <c r="G1098" s="16"/>
      <c r="H1098" s="16"/>
      <c r="I1098" s="16"/>
      <c r="J1098" s="16"/>
      <c r="K1098" s="16"/>
      <c r="L1098" s="16"/>
      <c r="M1098" s="16"/>
      <c r="N1098" s="16"/>
      <c r="O1098" s="16"/>
      <c r="P1098" s="16"/>
      <c r="Q1098" s="16"/>
      <c r="R1098" s="16"/>
      <c r="S1098" s="16"/>
      <c r="T1098" s="16"/>
      <c r="U1098" s="16"/>
      <c r="V1098" s="16"/>
      <c r="W1098" s="16"/>
      <c r="X1098" s="16"/>
      <c r="Y1098" s="16"/>
      <c r="Z1098" s="16"/>
      <c r="AA1098" s="16"/>
      <c r="AB1098" s="16"/>
      <c r="AC1098" s="16"/>
      <c r="AD1098" s="16"/>
      <c r="AE1098" s="16"/>
      <c r="AF1098" s="16"/>
      <c r="AG1098" s="16"/>
      <c r="AH1098" s="16"/>
    </row>
    <row r="1099">
      <c r="A1099" s="133"/>
      <c r="B1099" s="16"/>
      <c r="C1099" s="146"/>
      <c r="D1099" s="146"/>
      <c r="E1099" s="16"/>
      <c r="F1099" s="91"/>
      <c r="G1099" s="16"/>
      <c r="H1099" s="16"/>
      <c r="I1099" s="16"/>
      <c r="J1099" s="16"/>
      <c r="K1099" s="16"/>
      <c r="L1099" s="16"/>
      <c r="M1099" s="16"/>
      <c r="N1099" s="16"/>
      <c r="O1099" s="16"/>
      <c r="P1099" s="16"/>
      <c r="Q1099" s="16"/>
      <c r="R1099" s="16"/>
      <c r="S1099" s="16"/>
      <c r="T1099" s="16"/>
      <c r="U1099" s="16"/>
      <c r="V1099" s="16"/>
      <c r="W1099" s="16"/>
      <c r="X1099" s="16"/>
      <c r="Y1099" s="16"/>
      <c r="Z1099" s="16"/>
      <c r="AA1099" s="16"/>
      <c r="AB1099" s="16"/>
      <c r="AC1099" s="16"/>
      <c r="AD1099" s="16"/>
      <c r="AE1099" s="16"/>
      <c r="AF1099" s="16"/>
      <c r="AG1099" s="16"/>
      <c r="AH1099" s="16"/>
    </row>
    <row r="1100">
      <c r="A1100" s="133"/>
      <c r="B1100" s="16"/>
      <c r="C1100" s="146"/>
      <c r="D1100" s="146"/>
      <c r="E1100" s="16"/>
      <c r="F1100" s="91"/>
      <c r="G1100" s="16"/>
      <c r="H1100" s="16"/>
      <c r="I1100" s="16"/>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row>
    <row r="1101">
      <c r="A1101" s="133"/>
      <c r="B1101" s="16"/>
      <c r="C1101" s="146"/>
      <c r="D1101" s="146"/>
      <c r="E1101" s="16"/>
      <c r="F1101" s="91"/>
      <c r="G1101" s="16"/>
      <c r="H1101" s="16"/>
      <c r="I1101" s="16"/>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row>
    <row r="1102">
      <c r="A1102" s="133"/>
      <c r="B1102" s="16"/>
      <c r="C1102" s="146"/>
      <c r="D1102" s="146"/>
      <c r="E1102" s="16"/>
      <c r="F1102" s="91"/>
      <c r="G1102" s="16"/>
      <c r="H1102" s="16"/>
      <c r="I1102" s="16"/>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row>
    <row r="1103">
      <c r="A1103" s="133"/>
      <c r="B1103" s="16"/>
      <c r="C1103" s="146"/>
      <c r="D1103" s="146"/>
      <c r="E1103" s="16"/>
      <c r="F1103" s="91"/>
      <c r="G1103" s="16"/>
      <c r="H1103" s="16"/>
      <c r="I1103" s="16"/>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row>
    <row r="1104">
      <c r="A1104" s="133"/>
      <c r="B1104" s="16"/>
      <c r="C1104" s="146"/>
      <c r="D1104" s="146"/>
      <c r="E1104" s="16"/>
      <c r="F1104" s="91"/>
      <c r="G1104" s="16"/>
      <c r="H1104" s="16"/>
      <c r="I1104" s="16"/>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row>
    <row r="1105">
      <c r="A1105" s="133"/>
      <c r="B1105" s="16"/>
      <c r="C1105" s="146"/>
      <c r="D1105" s="146"/>
      <c r="E1105" s="16"/>
      <c r="F1105" s="91"/>
      <c r="G1105" s="16"/>
      <c r="H1105" s="16"/>
      <c r="I1105" s="16"/>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row>
    <row r="1106">
      <c r="A1106" s="133"/>
      <c r="B1106" s="16"/>
      <c r="C1106" s="146"/>
      <c r="D1106" s="146"/>
      <c r="E1106" s="16"/>
      <c r="F1106" s="91"/>
      <c r="G1106" s="16"/>
      <c r="H1106" s="16"/>
      <c r="I1106" s="16"/>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c r="AF1106" s="16"/>
      <c r="AG1106" s="16"/>
      <c r="AH1106" s="16"/>
    </row>
    <row r="1107">
      <c r="A1107" s="133"/>
      <c r="B1107" s="16"/>
      <c r="C1107" s="146"/>
      <c r="D1107" s="146"/>
      <c r="E1107" s="16"/>
      <c r="F1107" s="91"/>
      <c r="G1107" s="16"/>
      <c r="H1107" s="16"/>
      <c r="I1107" s="16"/>
      <c r="J1107" s="16"/>
      <c r="K1107" s="16"/>
      <c r="L1107" s="16"/>
      <c r="M1107" s="16"/>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row>
    <row r="1108">
      <c r="A1108" s="133"/>
      <c r="B1108" s="16"/>
      <c r="C1108" s="146"/>
      <c r="D1108" s="146"/>
      <c r="E1108" s="16"/>
      <c r="F1108" s="91"/>
      <c r="G1108" s="16"/>
      <c r="H1108" s="16"/>
      <c r="I1108" s="16"/>
      <c r="J1108" s="16"/>
      <c r="K1108" s="16"/>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row>
    <row r="1109">
      <c r="A1109" s="133"/>
      <c r="B1109" s="16"/>
      <c r="C1109" s="146"/>
      <c r="D1109" s="146"/>
      <c r="E1109" s="16"/>
      <c r="F1109" s="91"/>
      <c r="G1109" s="16"/>
      <c r="H1109" s="16"/>
      <c r="I1109" s="16"/>
      <c r="J1109" s="16"/>
      <c r="K1109" s="16"/>
      <c r="L1109" s="16"/>
      <c r="M1109" s="16"/>
      <c r="N1109" s="16"/>
      <c r="O1109" s="16"/>
      <c r="P1109" s="16"/>
      <c r="Q1109" s="16"/>
      <c r="R1109" s="16"/>
      <c r="S1109" s="16"/>
      <c r="T1109" s="16"/>
      <c r="U1109" s="16"/>
      <c r="V1109" s="16"/>
      <c r="W1109" s="16"/>
      <c r="X1109" s="16"/>
      <c r="Y1109" s="16"/>
      <c r="Z1109" s="16"/>
      <c r="AA1109" s="16"/>
      <c r="AB1109" s="16"/>
      <c r="AC1109" s="16"/>
      <c r="AD1109" s="16"/>
      <c r="AE1109" s="16"/>
      <c r="AF1109" s="16"/>
      <c r="AG1109" s="16"/>
      <c r="AH1109" s="16"/>
    </row>
    <row r="1110">
      <c r="A1110" s="133"/>
      <c r="B1110" s="16"/>
      <c r="C1110" s="146"/>
      <c r="D1110" s="146"/>
      <c r="E1110" s="16"/>
      <c r="F1110" s="91"/>
      <c r="G1110" s="16"/>
      <c r="H1110" s="16"/>
      <c r="I1110" s="16"/>
      <c r="J1110" s="16"/>
      <c r="K1110" s="16"/>
      <c r="L1110" s="16"/>
      <c r="M1110" s="16"/>
      <c r="N1110" s="16"/>
      <c r="O1110" s="16"/>
      <c r="P1110" s="16"/>
      <c r="Q1110" s="16"/>
      <c r="R1110" s="16"/>
      <c r="S1110" s="16"/>
      <c r="T1110" s="16"/>
      <c r="U1110" s="16"/>
      <c r="V1110" s="16"/>
      <c r="W1110" s="16"/>
      <c r="X1110" s="16"/>
      <c r="Y1110" s="16"/>
      <c r="Z1110" s="16"/>
      <c r="AA1110" s="16"/>
      <c r="AB1110" s="16"/>
      <c r="AC1110" s="16"/>
      <c r="AD1110" s="16"/>
      <c r="AE1110" s="16"/>
      <c r="AF1110" s="16"/>
      <c r="AG1110" s="16"/>
      <c r="AH1110" s="16"/>
    </row>
    <row r="1111">
      <c r="A1111" s="133"/>
      <c r="B1111" s="16"/>
      <c r="C1111" s="146"/>
      <c r="D1111" s="146"/>
      <c r="E1111" s="16"/>
      <c r="F1111" s="91"/>
      <c r="G1111" s="16"/>
      <c r="H1111" s="16"/>
      <c r="I1111" s="16"/>
      <c r="J1111" s="16"/>
      <c r="K1111" s="16"/>
      <c r="L1111" s="16"/>
      <c r="M1111" s="16"/>
      <c r="N1111" s="16"/>
      <c r="O1111" s="16"/>
      <c r="P1111" s="16"/>
      <c r="Q1111" s="16"/>
      <c r="R1111" s="16"/>
      <c r="S1111" s="16"/>
      <c r="T1111" s="16"/>
      <c r="U1111" s="16"/>
      <c r="V1111" s="16"/>
      <c r="W1111" s="16"/>
      <c r="X1111" s="16"/>
      <c r="Y1111" s="16"/>
      <c r="Z1111" s="16"/>
      <c r="AA1111" s="16"/>
      <c r="AB1111" s="16"/>
      <c r="AC1111" s="16"/>
      <c r="AD1111" s="16"/>
      <c r="AE1111" s="16"/>
      <c r="AF1111" s="16"/>
      <c r="AG1111" s="16"/>
      <c r="AH1111" s="16"/>
    </row>
    <row r="1112">
      <c r="A1112" s="133"/>
      <c r="B1112" s="16"/>
      <c r="C1112" s="146"/>
      <c r="D1112" s="146"/>
      <c r="E1112" s="16"/>
      <c r="F1112" s="91"/>
      <c r="G1112" s="16"/>
      <c r="H1112" s="16"/>
      <c r="I1112" s="16"/>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row>
    <row r="1113">
      <c r="A1113" s="133"/>
      <c r="B1113" s="16"/>
      <c r="C1113" s="146"/>
      <c r="D1113" s="146"/>
      <c r="E1113" s="16"/>
      <c r="F1113" s="91"/>
      <c r="G1113" s="16"/>
      <c r="H1113" s="16"/>
      <c r="I1113" s="16"/>
      <c r="J1113" s="16"/>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row>
    <row r="1114">
      <c r="A1114" s="133"/>
      <c r="B1114" s="16"/>
      <c r="C1114" s="146"/>
      <c r="D1114" s="146"/>
      <c r="E1114" s="16"/>
      <c r="F1114" s="91"/>
      <c r="G1114" s="16"/>
      <c r="H1114" s="16"/>
      <c r="I1114" s="16"/>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row>
    <row r="1115">
      <c r="A1115" s="133"/>
      <c r="B1115" s="16"/>
      <c r="C1115" s="146"/>
      <c r="D1115" s="146"/>
      <c r="E1115" s="16"/>
      <c r="F1115" s="91"/>
      <c r="G1115" s="16"/>
      <c r="H1115" s="16"/>
      <c r="I1115" s="16"/>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row>
    <row r="1116">
      <c r="A1116" s="133"/>
      <c r="B1116" s="16"/>
      <c r="C1116" s="146"/>
      <c r="D1116" s="146"/>
      <c r="E1116" s="16"/>
      <c r="F1116" s="91"/>
      <c r="G1116" s="16"/>
      <c r="H1116" s="16"/>
      <c r="I1116" s="16"/>
      <c r="J1116" s="16"/>
      <c r="K1116" s="16"/>
      <c r="L1116" s="16"/>
      <c r="M1116" s="16"/>
      <c r="N1116" s="16"/>
      <c r="O1116" s="16"/>
      <c r="P1116" s="16"/>
      <c r="Q1116" s="16"/>
      <c r="R1116" s="16"/>
      <c r="S1116" s="16"/>
      <c r="T1116" s="16"/>
      <c r="U1116" s="16"/>
      <c r="V1116" s="16"/>
      <c r="W1116" s="16"/>
      <c r="X1116" s="16"/>
      <c r="Y1116" s="16"/>
      <c r="Z1116" s="16"/>
      <c r="AA1116" s="16"/>
      <c r="AB1116" s="16"/>
      <c r="AC1116" s="16"/>
      <c r="AD1116" s="16"/>
      <c r="AE1116" s="16"/>
      <c r="AF1116" s="16"/>
      <c r="AG1116" s="16"/>
      <c r="AH1116" s="16"/>
    </row>
    <row r="1117">
      <c r="A1117" s="133"/>
      <c r="B1117" s="16"/>
      <c r="C1117" s="146"/>
      <c r="D1117" s="146"/>
      <c r="E1117" s="16"/>
      <c r="F1117" s="91"/>
      <c r="G1117" s="16"/>
      <c r="H1117" s="16"/>
      <c r="I1117" s="16"/>
      <c r="J1117" s="16"/>
      <c r="K1117" s="16"/>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row>
    <row r="1118">
      <c r="A1118" s="133"/>
      <c r="B1118" s="16"/>
      <c r="C1118" s="146"/>
      <c r="D1118" s="146"/>
      <c r="E1118" s="16"/>
      <c r="F1118" s="91"/>
      <c r="G1118" s="16"/>
      <c r="H1118" s="16"/>
      <c r="I1118" s="16"/>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row>
  </sheetData>
  <mergeCells count="2">
    <mergeCell ref="B1:K1"/>
    <mergeCell ref="B2:I2"/>
  </mergeCells>
  <conditionalFormatting sqref="A3:AH3">
    <cfRule type="notContainsBlanks" dxfId="4" priority="1">
      <formula>LEN(TRIM(A3))&gt;0</formula>
    </cfRule>
  </conditionalFormatting>
  <hyperlinks>
    <hyperlink r:id="rId1" ref="L4"/>
    <hyperlink r:id="rId2" ref="L5"/>
    <hyperlink r:id="rId3" ref="L6"/>
    <hyperlink r:id="rId4" ref="L7"/>
    <hyperlink r:id="rId5" ref="L8"/>
    <hyperlink r:id="rId6" ref="L9"/>
    <hyperlink r:id="rId7" ref="L10"/>
    <hyperlink r:id="rId8" ref="L11"/>
    <hyperlink r:id="rId9" ref="L12"/>
    <hyperlink r:id="rId10" ref="L13"/>
    <hyperlink r:id="rId11" ref="L14"/>
    <hyperlink r:id="rId12" ref="L15"/>
    <hyperlink r:id="rId13" ref="L16"/>
    <hyperlink r:id="rId14" ref="L17"/>
    <hyperlink r:id="rId15" ref="L18"/>
    <hyperlink r:id="rId16" ref="L19"/>
    <hyperlink r:id="rId17" ref="L20"/>
    <hyperlink r:id="rId18" ref="L21"/>
    <hyperlink r:id="rId19" ref="L22"/>
    <hyperlink r:id="rId20" ref="L23"/>
    <hyperlink r:id="rId21" ref="L24"/>
    <hyperlink r:id="rId22" ref="L25"/>
    <hyperlink r:id="rId23" ref="L26"/>
    <hyperlink r:id="rId24" ref="L27"/>
    <hyperlink r:id="rId25" ref="L28"/>
    <hyperlink r:id="rId26" ref="L29"/>
    <hyperlink r:id="rId27" ref="L30"/>
    <hyperlink r:id="rId28" ref="L31"/>
    <hyperlink r:id="rId29" ref="L32"/>
    <hyperlink r:id="rId30" ref="L33"/>
    <hyperlink r:id="rId31" ref="L34"/>
    <hyperlink r:id="rId32" ref="L35"/>
    <hyperlink r:id="rId33" ref="L36"/>
    <hyperlink r:id="rId34" ref="L37"/>
    <hyperlink r:id="rId35" ref="L38"/>
    <hyperlink r:id="rId36" ref="L39"/>
    <hyperlink r:id="rId37" ref="L40"/>
    <hyperlink r:id="rId38" ref="L41"/>
    <hyperlink r:id="rId39" ref="L42"/>
    <hyperlink r:id="rId40" ref="L43"/>
    <hyperlink r:id="rId41" ref="L44"/>
    <hyperlink r:id="rId42" ref="L45"/>
    <hyperlink r:id="rId43" ref="L46"/>
    <hyperlink r:id="rId44" ref="L47"/>
    <hyperlink r:id="rId45" ref="L48"/>
    <hyperlink r:id="rId46" ref="L49"/>
    <hyperlink r:id="rId47" ref="L50"/>
    <hyperlink r:id="rId48" ref="L51"/>
    <hyperlink r:id="rId49" ref="L52"/>
    <hyperlink r:id="rId50" ref="L53"/>
    <hyperlink r:id="rId51" ref="L54"/>
    <hyperlink r:id="rId52" ref="L55"/>
    <hyperlink r:id="rId53" ref="L56"/>
    <hyperlink r:id="rId54" ref="L57"/>
    <hyperlink r:id="rId55" ref="L58"/>
    <hyperlink r:id="rId56" ref="L59"/>
    <hyperlink r:id="rId57" ref="L60"/>
    <hyperlink r:id="rId58" ref="L61"/>
    <hyperlink r:id="rId59" ref="L62"/>
    <hyperlink r:id="rId60" ref="L63"/>
    <hyperlink r:id="rId61" ref="L64"/>
    <hyperlink r:id="rId62" ref="L65"/>
    <hyperlink r:id="rId63" ref="L66"/>
    <hyperlink r:id="rId64" ref="L67"/>
    <hyperlink r:id="rId65" ref="L68"/>
    <hyperlink r:id="rId66" ref="L69"/>
    <hyperlink r:id="rId67" ref="L70"/>
    <hyperlink r:id="rId68" ref="L71"/>
    <hyperlink r:id="rId69" ref="L72"/>
    <hyperlink r:id="rId70" ref="L73"/>
    <hyperlink r:id="rId71" ref="L74"/>
    <hyperlink r:id="rId72" ref="L75"/>
    <hyperlink r:id="rId73" ref="L76"/>
    <hyperlink r:id="rId74" ref="L77"/>
    <hyperlink r:id="rId75" ref="L78"/>
    <hyperlink r:id="rId76" ref="L79"/>
    <hyperlink r:id="rId77" ref="L80"/>
    <hyperlink r:id="rId78" ref="L81"/>
    <hyperlink r:id="rId79" ref="L82"/>
    <hyperlink r:id="rId80" ref="L83"/>
    <hyperlink r:id="rId81" ref="L84"/>
    <hyperlink r:id="rId82" ref="L85"/>
    <hyperlink r:id="rId83" ref="L86"/>
    <hyperlink r:id="rId84" ref="L87"/>
    <hyperlink r:id="rId85" ref="L88"/>
    <hyperlink r:id="rId86" ref="L89"/>
    <hyperlink r:id="rId87" ref="L90"/>
    <hyperlink r:id="rId88" ref="L91"/>
    <hyperlink r:id="rId89" ref="L92"/>
    <hyperlink r:id="rId90" ref="L93"/>
    <hyperlink r:id="rId91" ref="L94"/>
    <hyperlink r:id="rId92" ref="L95"/>
    <hyperlink r:id="rId93" ref="L96"/>
    <hyperlink r:id="rId94" ref="L97"/>
    <hyperlink r:id="rId95" ref="L98"/>
    <hyperlink r:id="rId96" ref="L99"/>
    <hyperlink r:id="rId97" ref="L100"/>
    <hyperlink r:id="rId98" ref="M100"/>
    <hyperlink r:id="rId99" ref="L101"/>
    <hyperlink r:id="rId100" ref="L102"/>
    <hyperlink r:id="rId101" ref="L103"/>
    <hyperlink r:id="rId102" ref="L104"/>
    <hyperlink r:id="rId103" ref="L105"/>
    <hyperlink r:id="rId104" ref="L106"/>
    <hyperlink r:id="rId105" ref="L107"/>
    <hyperlink r:id="rId106" ref="L108"/>
    <hyperlink r:id="rId107" ref="L109"/>
    <hyperlink r:id="rId108" ref="L110"/>
    <hyperlink r:id="rId109" ref="L111"/>
    <hyperlink r:id="rId110" ref="L112"/>
    <hyperlink r:id="rId111" ref="L113"/>
    <hyperlink r:id="rId112" ref="L114"/>
    <hyperlink r:id="rId113" ref="L115"/>
    <hyperlink r:id="rId114" ref="L116"/>
    <hyperlink r:id="rId115" ref="L117"/>
    <hyperlink r:id="rId116" ref="L118"/>
    <hyperlink r:id="rId117" ref="L119"/>
    <hyperlink r:id="rId118" ref="L120"/>
    <hyperlink r:id="rId119" ref="L121"/>
    <hyperlink r:id="rId120" ref="L122"/>
    <hyperlink r:id="rId121" ref="L123"/>
    <hyperlink r:id="rId122" ref="L124"/>
    <hyperlink r:id="rId123" ref="L125"/>
    <hyperlink r:id="rId124" ref="L126"/>
    <hyperlink r:id="rId125" ref="L127"/>
    <hyperlink r:id="rId126" ref="L128"/>
    <hyperlink r:id="rId127" ref="L129"/>
    <hyperlink r:id="rId128" ref="L130"/>
    <hyperlink r:id="rId129" ref="L131"/>
    <hyperlink r:id="rId130" ref="L132"/>
    <hyperlink r:id="rId131" ref="L133"/>
    <hyperlink r:id="rId132" ref="L134"/>
    <hyperlink r:id="rId133" ref="L135"/>
    <hyperlink r:id="rId134" ref="L136"/>
    <hyperlink r:id="rId135" ref="L137"/>
    <hyperlink r:id="rId136" ref="L138"/>
    <hyperlink r:id="rId137" ref="L139"/>
    <hyperlink r:id="rId138" ref="L140"/>
    <hyperlink r:id="rId139" ref="L141"/>
    <hyperlink r:id="rId140" ref="L142"/>
    <hyperlink r:id="rId141" ref="L143"/>
    <hyperlink r:id="rId142" ref="L144"/>
  </hyperlinks>
  <printOptions gridLines="1" horizontalCentered="1"/>
  <pageMargins bottom="0.75" footer="0.0" header="0.0" left="0.7" right="0.7" top="0.75"/>
  <pageSetup fitToHeight="0" cellComments="atEnd" orientation="landscape" pageOrder="overThenDown"/>
  <drawing r:id="rId14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40.13"/>
    <col customWidth="1" min="2" max="2" width="58.88"/>
  </cols>
  <sheetData>
    <row r="1">
      <c r="A1" s="16"/>
    </row>
    <row r="2">
      <c r="A2" s="443"/>
    </row>
    <row r="3">
      <c r="A3" s="443" t="s">
        <v>11500</v>
      </c>
      <c r="B3" s="444" t="s">
        <v>11501</v>
      </c>
    </row>
    <row r="4">
      <c r="A4" s="16"/>
      <c r="B4" s="294" t="s">
        <v>11502</v>
      </c>
    </row>
    <row r="6">
      <c r="A6" s="417" t="s">
        <v>11503</v>
      </c>
      <c r="B6" s="103" t="s">
        <v>11504</v>
      </c>
    </row>
    <row r="7">
      <c r="A7" s="445" t="s">
        <v>11505</v>
      </c>
      <c r="B7" s="103" t="s">
        <v>11506</v>
      </c>
    </row>
    <row r="8">
      <c r="A8" s="445" t="s">
        <v>11507</v>
      </c>
      <c r="B8" s="103" t="s">
        <v>11508</v>
      </c>
    </row>
    <row r="9">
      <c r="A9" s="445"/>
      <c r="B9" s="78"/>
    </row>
    <row r="10">
      <c r="A10" s="446" t="s">
        <v>11509</v>
      </c>
      <c r="B10" s="78"/>
    </row>
    <row r="11">
      <c r="A11" s="445" t="s">
        <v>11510</v>
      </c>
      <c r="B11" s="103" t="s">
        <v>11511</v>
      </c>
    </row>
    <row r="12">
      <c r="A12" s="417"/>
      <c r="B12" s="103" t="s">
        <v>11512</v>
      </c>
      <c r="C12" s="447"/>
    </row>
    <row r="13">
      <c r="A13" s="417" t="s">
        <v>11513</v>
      </c>
      <c r="B13" s="103" t="s">
        <v>11514</v>
      </c>
      <c r="C13" s="447"/>
    </row>
    <row r="14">
      <c r="A14" s="417" t="s">
        <v>11515</v>
      </c>
      <c r="B14" s="103" t="s">
        <v>11516</v>
      </c>
    </row>
    <row r="15">
      <c r="A15" s="16"/>
    </row>
    <row r="16">
      <c r="A16" s="448" t="s">
        <v>11517</v>
      </c>
    </row>
    <row r="17">
      <c r="A17" s="445" t="s">
        <v>11518</v>
      </c>
      <c r="B17" s="103" t="s">
        <v>11519</v>
      </c>
    </row>
    <row r="18">
      <c r="A18" s="445" t="s">
        <v>11520</v>
      </c>
      <c r="B18" s="103" t="s">
        <v>11521</v>
      </c>
    </row>
    <row r="19">
      <c r="A19" s="445" t="s">
        <v>11522</v>
      </c>
      <c r="B19" s="103" t="s">
        <v>11523</v>
      </c>
    </row>
    <row r="20">
      <c r="A20" s="445" t="s">
        <v>11524</v>
      </c>
      <c r="B20" s="103" t="s">
        <v>11525</v>
      </c>
    </row>
    <row r="21">
      <c r="A21" s="449" t="s">
        <v>11526</v>
      </c>
      <c r="B21" s="450" t="s">
        <v>11527</v>
      </c>
    </row>
    <row r="22">
      <c r="A22" s="449" t="s">
        <v>11528</v>
      </c>
      <c r="B22" s="450" t="str">
        <f>HYPERLINK("https://www.healthnutnews.com/recap-on-my-unintended-series-the-holistic-doctor-deaths/","https://www.healthnutnews.com/recap-on-my-unintended-series-the-holistic-doctor-deaths/")</f>
        <v>https://www.healthnutnews.com/recap-on-my-unintended-series-the-holistic-doctor-deaths/</v>
      </c>
    </row>
    <row r="23">
      <c r="A23" s="449" t="s">
        <v>11529</v>
      </c>
      <c r="B23" s="450" t="str">
        <f>HYPERLINK("http://www.apfn.org/apfn/scientists.htm","http://www.apfn.org/apfn/scientists.htm")</f>
        <v>http://www.apfn.org/apfn/scientists.htm</v>
      </c>
    </row>
    <row r="24">
      <c r="A24" s="449" t="s">
        <v>11530</v>
      </c>
      <c r="B24" s="450" t="str">
        <f>HYPERLINK("https://docs.google.com/spreadsheets/d/1cialWWJ907vV3b9HPS2lhEspZh0WoPHqixUuKed_hFI/edit#gid=125747095","https://docs.google.com/spreadsheets/d/1cialWWJ907vV3b9HPS2lhEspZh0WoPHqixUuKed_hFI/edit#gid=125747095")</f>
        <v>https://docs.google.com/spreadsheets/d/1cialWWJ907vV3b9HPS2lhEspZh0WoPHqixUuKed_hFI/edit#gid=125747095</v>
      </c>
    </row>
    <row r="25">
      <c r="A25" s="449" t="s">
        <v>11531</v>
      </c>
      <c r="B25" s="450" t="s">
        <v>11532</v>
      </c>
    </row>
    <row r="26">
      <c r="A26" s="451"/>
    </row>
    <row r="27">
      <c r="A27" s="417"/>
    </row>
    <row r="28">
      <c r="A28" s="448" t="s">
        <v>11533</v>
      </c>
    </row>
    <row r="29">
      <c r="A29" s="381">
        <v>42755.0</v>
      </c>
      <c r="B29" s="78" t="s">
        <v>11534</v>
      </c>
      <c r="C29" s="103" t="s">
        <v>11535</v>
      </c>
    </row>
    <row r="30">
      <c r="A30" s="381">
        <v>42780.0</v>
      </c>
      <c r="B30" s="78" t="s">
        <v>11536</v>
      </c>
      <c r="C30" s="103" t="s">
        <v>11537</v>
      </c>
    </row>
    <row r="31">
      <c r="A31" s="159">
        <v>42954.0</v>
      </c>
      <c r="B31" s="452" t="s">
        <v>11538</v>
      </c>
      <c r="C31" s="103" t="s">
        <v>11539</v>
      </c>
    </row>
    <row r="32">
      <c r="A32" s="159">
        <v>43090.0</v>
      </c>
      <c r="B32" s="78" t="s">
        <v>11540</v>
      </c>
      <c r="C32" s="103" t="s">
        <v>11541</v>
      </c>
    </row>
    <row r="33">
      <c r="A33" s="159">
        <v>43196.0</v>
      </c>
      <c r="B33" s="78" t="s">
        <v>11542</v>
      </c>
      <c r="C33" s="103" t="s">
        <v>11543</v>
      </c>
    </row>
    <row r="34">
      <c r="A34" s="16"/>
      <c r="C34" s="103" t="s">
        <v>11544</v>
      </c>
    </row>
    <row r="35">
      <c r="A35" s="159">
        <v>43201.0</v>
      </c>
      <c r="B35" s="78" t="s">
        <v>11545</v>
      </c>
      <c r="C35" s="453" t="s">
        <v>11546</v>
      </c>
    </row>
    <row r="36">
      <c r="A36" s="159">
        <v>43221.0</v>
      </c>
      <c r="B36" s="78" t="s">
        <v>11547</v>
      </c>
      <c r="C36" s="103" t="s">
        <v>11548</v>
      </c>
    </row>
    <row r="37">
      <c r="A37" s="159">
        <v>43236.0</v>
      </c>
      <c r="B37" s="78" t="s">
        <v>11549</v>
      </c>
      <c r="C37" s="103" t="s">
        <v>11550</v>
      </c>
    </row>
    <row r="38">
      <c r="A38" s="159">
        <v>43455.0</v>
      </c>
      <c r="B38" s="78" t="s">
        <v>11551</v>
      </c>
      <c r="C38" s="103" t="s">
        <v>11552</v>
      </c>
    </row>
    <row r="39">
      <c r="A39" s="159">
        <v>43465.0</v>
      </c>
      <c r="B39" s="78" t="s">
        <v>11553</v>
      </c>
      <c r="C39" s="103" t="s">
        <v>11554</v>
      </c>
    </row>
    <row r="40">
      <c r="A40" s="16"/>
    </row>
    <row r="41">
      <c r="A41" s="16"/>
    </row>
    <row r="42">
      <c r="A42" s="16"/>
    </row>
    <row r="43">
      <c r="A43" s="16"/>
    </row>
    <row r="44">
      <c r="A44" s="16"/>
    </row>
    <row r="45">
      <c r="A45" s="16"/>
    </row>
    <row r="46">
      <c r="A46" s="16"/>
    </row>
    <row r="47">
      <c r="A47" s="16"/>
    </row>
    <row r="48">
      <c r="A48" s="16"/>
    </row>
    <row r="49">
      <c r="A49" s="16"/>
    </row>
    <row r="50">
      <c r="A50" s="16"/>
    </row>
    <row r="51">
      <c r="A51" s="16"/>
    </row>
    <row r="52">
      <c r="A52" s="16"/>
    </row>
    <row r="53">
      <c r="A53" s="16"/>
    </row>
    <row r="54">
      <c r="A54" s="16"/>
    </row>
    <row r="55">
      <c r="A55" s="16"/>
    </row>
    <row r="56">
      <c r="A56" s="16"/>
    </row>
    <row r="57">
      <c r="A57" s="16"/>
    </row>
    <row r="58">
      <c r="A58" s="16"/>
    </row>
    <row r="59">
      <c r="A59" s="16"/>
    </row>
    <row r="60">
      <c r="A60" s="16"/>
    </row>
    <row r="61">
      <c r="A61" s="16"/>
    </row>
    <row r="62">
      <c r="A62" s="16"/>
    </row>
    <row r="63">
      <c r="A63" s="16"/>
    </row>
    <row r="64">
      <c r="A64" s="16"/>
    </row>
    <row r="65">
      <c r="A65" s="16"/>
    </row>
    <row r="66">
      <c r="A66" s="16"/>
    </row>
    <row r="67">
      <c r="A67" s="16"/>
    </row>
    <row r="68">
      <c r="A68" s="16"/>
    </row>
    <row r="69">
      <c r="A69" s="16"/>
    </row>
    <row r="70">
      <c r="A70" s="16"/>
    </row>
    <row r="71">
      <c r="A71" s="16"/>
    </row>
    <row r="72">
      <c r="A72" s="16"/>
    </row>
    <row r="73">
      <c r="A73" s="16"/>
    </row>
    <row r="74">
      <c r="A74" s="16"/>
    </row>
    <row r="75">
      <c r="A75" s="16"/>
    </row>
    <row r="76">
      <c r="A76" s="16"/>
    </row>
    <row r="77">
      <c r="A77" s="16"/>
    </row>
    <row r="78">
      <c r="A78" s="16"/>
    </row>
    <row r="79">
      <c r="A79" s="16"/>
    </row>
    <row r="80">
      <c r="A80" s="16"/>
    </row>
    <row r="81">
      <c r="A81" s="16"/>
    </row>
    <row r="82">
      <c r="A82" s="16"/>
    </row>
    <row r="83">
      <c r="A83" s="16"/>
    </row>
    <row r="84">
      <c r="A84" s="16"/>
    </row>
    <row r="85">
      <c r="A85" s="16"/>
    </row>
    <row r="86">
      <c r="A86" s="16"/>
    </row>
    <row r="87">
      <c r="A87" s="16"/>
    </row>
    <row r="88">
      <c r="A88" s="16"/>
    </row>
    <row r="89">
      <c r="A89" s="16"/>
    </row>
    <row r="90">
      <c r="A90" s="16"/>
    </row>
    <row r="91">
      <c r="A91" s="16"/>
    </row>
    <row r="92">
      <c r="A92" s="16"/>
    </row>
    <row r="93">
      <c r="A93" s="16"/>
    </row>
    <row r="94">
      <c r="A94" s="16"/>
    </row>
    <row r="95">
      <c r="A95" s="16"/>
    </row>
    <row r="96">
      <c r="A96" s="16"/>
    </row>
    <row r="97">
      <c r="A97" s="16"/>
    </row>
    <row r="98">
      <c r="A98" s="16"/>
    </row>
    <row r="99">
      <c r="A99" s="16"/>
    </row>
    <row r="100">
      <c r="A100" s="16"/>
    </row>
    <row r="101">
      <c r="A101" s="16"/>
    </row>
    <row r="102">
      <c r="A102" s="16"/>
    </row>
    <row r="103">
      <c r="A103" s="16"/>
    </row>
    <row r="104">
      <c r="A104" s="16"/>
    </row>
    <row r="105">
      <c r="A105" s="16"/>
    </row>
    <row r="106">
      <c r="A106" s="16"/>
    </row>
    <row r="107">
      <c r="A107" s="16"/>
    </row>
    <row r="108">
      <c r="A108" s="16"/>
    </row>
    <row r="109">
      <c r="A109" s="16"/>
    </row>
    <row r="110">
      <c r="A110" s="16"/>
    </row>
    <row r="111">
      <c r="A111" s="16"/>
    </row>
    <row r="112">
      <c r="A112" s="16"/>
    </row>
    <row r="113">
      <c r="A113" s="16"/>
    </row>
    <row r="114">
      <c r="A114" s="16"/>
    </row>
    <row r="115">
      <c r="A115" s="16"/>
    </row>
    <row r="116">
      <c r="A116" s="16"/>
    </row>
    <row r="117">
      <c r="A117" s="16"/>
    </row>
    <row r="118">
      <c r="A118" s="16"/>
    </row>
    <row r="119">
      <c r="A119" s="16"/>
    </row>
    <row r="120">
      <c r="A120" s="16"/>
    </row>
    <row r="121">
      <c r="A121" s="16"/>
    </row>
    <row r="122">
      <c r="A122" s="16"/>
    </row>
    <row r="123">
      <c r="A123" s="16"/>
    </row>
    <row r="124">
      <c r="A124" s="16"/>
    </row>
    <row r="125">
      <c r="A125" s="16"/>
    </row>
    <row r="126">
      <c r="A126" s="16"/>
    </row>
    <row r="127">
      <c r="A127" s="16"/>
    </row>
    <row r="128">
      <c r="A128" s="16"/>
    </row>
    <row r="129">
      <c r="A129" s="16"/>
    </row>
    <row r="130">
      <c r="A130" s="16"/>
    </row>
    <row r="131">
      <c r="A131" s="16"/>
    </row>
    <row r="132">
      <c r="A132" s="16"/>
    </row>
    <row r="133">
      <c r="A133" s="16"/>
    </row>
    <row r="134">
      <c r="A134" s="16"/>
    </row>
    <row r="135">
      <c r="A135" s="16"/>
    </row>
    <row r="136">
      <c r="A136" s="16"/>
    </row>
    <row r="137">
      <c r="A137" s="16"/>
    </row>
    <row r="138">
      <c r="A138" s="16"/>
    </row>
    <row r="139">
      <c r="A139" s="16"/>
    </row>
    <row r="140">
      <c r="A140" s="16"/>
    </row>
    <row r="141">
      <c r="A141" s="16"/>
    </row>
    <row r="142">
      <c r="A142" s="16"/>
    </row>
    <row r="143">
      <c r="A143" s="16"/>
    </row>
    <row r="144">
      <c r="A144" s="16"/>
    </row>
    <row r="145">
      <c r="A145" s="16"/>
    </row>
    <row r="146">
      <c r="A146" s="16"/>
    </row>
    <row r="147">
      <c r="A147" s="16"/>
    </row>
    <row r="148">
      <c r="A148" s="16"/>
    </row>
    <row r="149">
      <c r="A149" s="16"/>
    </row>
    <row r="150">
      <c r="A150" s="16"/>
    </row>
    <row r="151">
      <c r="A151" s="16"/>
    </row>
    <row r="152">
      <c r="A152" s="16"/>
    </row>
    <row r="153">
      <c r="A153" s="16"/>
    </row>
    <row r="154">
      <c r="A154" s="16"/>
    </row>
    <row r="155">
      <c r="A155" s="16"/>
    </row>
    <row r="156">
      <c r="A156" s="16"/>
    </row>
    <row r="157">
      <c r="A157" s="16"/>
    </row>
    <row r="158">
      <c r="A158" s="16"/>
    </row>
    <row r="159">
      <c r="A159" s="16"/>
    </row>
    <row r="160">
      <c r="A160" s="16"/>
    </row>
    <row r="161">
      <c r="A161" s="16"/>
    </row>
    <row r="162">
      <c r="A162" s="16"/>
    </row>
    <row r="163">
      <c r="A163" s="16"/>
    </row>
    <row r="164">
      <c r="A164" s="16"/>
    </row>
    <row r="165">
      <c r="A165" s="16"/>
    </row>
    <row r="166">
      <c r="A166" s="16"/>
    </row>
    <row r="167">
      <c r="A167" s="16"/>
    </row>
    <row r="168">
      <c r="A168" s="16"/>
    </row>
    <row r="169">
      <c r="A169" s="16"/>
    </row>
    <row r="170">
      <c r="A170" s="16"/>
    </row>
    <row r="171">
      <c r="A171" s="16"/>
    </row>
    <row r="172">
      <c r="A172" s="16"/>
    </row>
    <row r="173">
      <c r="A173" s="16"/>
    </row>
    <row r="174">
      <c r="A174" s="16"/>
    </row>
    <row r="175">
      <c r="A175" s="16"/>
    </row>
    <row r="176">
      <c r="A176" s="16"/>
    </row>
    <row r="177">
      <c r="A177" s="16"/>
    </row>
    <row r="178">
      <c r="A178" s="16"/>
    </row>
    <row r="179">
      <c r="A179" s="16"/>
    </row>
    <row r="180">
      <c r="A180" s="16"/>
    </row>
    <row r="181">
      <c r="A181" s="16"/>
    </row>
    <row r="182">
      <c r="A182" s="16"/>
    </row>
    <row r="183">
      <c r="A183" s="16"/>
    </row>
    <row r="184">
      <c r="A184" s="16"/>
    </row>
    <row r="185">
      <c r="A185" s="16"/>
    </row>
    <row r="186">
      <c r="A186" s="16"/>
    </row>
    <row r="187">
      <c r="A187" s="16"/>
    </row>
    <row r="188">
      <c r="A188" s="16"/>
    </row>
    <row r="189">
      <c r="A189" s="16"/>
    </row>
    <row r="190">
      <c r="A190" s="16"/>
    </row>
    <row r="191">
      <c r="A191" s="16"/>
    </row>
    <row r="192">
      <c r="A192" s="16"/>
    </row>
    <row r="193">
      <c r="A193" s="16"/>
    </row>
    <row r="194">
      <c r="A194" s="16"/>
    </row>
    <row r="195">
      <c r="A195" s="16"/>
    </row>
    <row r="196">
      <c r="A196" s="16"/>
    </row>
    <row r="197">
      <c r="A197" s="16"/>
    </row>
    <row r="198">
      <c r="A198" s="16"/>
    </row>
    <row r="199">
      <c r="A199" s="16"/>
    </row>
    <row r="200">
      <c r="A200" s="16"/>
    </row>
    <row r="201">
      <c r="A201" s="16"/>
    </row>
    <row r="202">
      <c r="A202" s="16"/>
    </row>
    <row r="203">
      <c r="A203" s="16"/>
    </row>
    <row r="204">
      <c r="A204" s="16"/>
    </row>
    <row r="205">
      <c r="A205" s="16"/>
    </row>
    <row r="206">
      <c r="A206" s="16"/>
    </row>
    <row r="207">
      <c r="A207" s="16"/>
    </row>
    <row r="208">
      <c r="A208" s="16"/>
    </row>
    <row r="209">
      <c r="A209" s="16"/>
    </row>
    <row r="210">
      <c r="A210" s="16"/>
    </row>
    <row r="211">
      <c r="A211" s="16"/>
    </row>
    <row r="212">
      <c r="A212" s="16"/>
    </row>
    <row r="213">
      <c r="A213" s="16"/>
    </row>
    <row r="214">
      <c r="A214" s="16"/>
    </row>
    <row r="215">
      <c r="A215" s="16"/>
    </row>
    <row r="216">
      <c r="A216" s="16"/>
    </row>
    <row r="217">
      <c r="A217" s="16"/>
    </row>
    <row r="218">
      <c r="A218" s="16"/>
    </row>
    <row r="219">
      <c r="A219" s="16"/>
    </row>
    <row r="220">
      <c r="A220" s="16"/>
    </row>
    <row r="221">
      <c r="A221" s="16"/>
    </row>
    <row r="222">
      <c r="A222" s="16"/>
    </row>
    <row r="223">
      <c r="A223" s="16"/>
    </row>
    <row r="224">
      <c r="A224" s="16"/>
    </row>
    <row r="225">
      <c r="A225" s="16"/>
    </row>
    <row r="226">
      <c r="A226" s="16"/>
    </row>
    <row r="227">
      <c r="A227" s="16"/>
    </row>
    <row r="228">
      <c r="A228" s="16"/>
    </row>
    <row r="229">
      <c r="A229" s="16"/>
    </row>
    <row r="230">
      <c r="A230" s="16"/>
    </row>
    <row r="231">
      <c r="A231" s="16"/>
    </row>
    <row r="232">
      <c r="A232" s="16"/>
    </row>
    <row r="233">
      <c r="A233" s="16"/>
    </row>
    <row r="234">
      <c r="A234" s="16"/>
    </row>
    <row r="235">
      <c r="A235" s="16"/>
    </row>
    <row r="236">
      <c r="A236" s="16"/>
    </row>
    <row r="237">
      <c r="A237" s="16"/>
    </row>
    <row r="238">
      <c r="A238" s="16"/>
    </row>
    <row r="239">
      <c r="A239" s="16"/>
    </row>
    <row r="240">
      <c r="A240" s="16"/>
    </row>
    <row r="241">
      <c r="A241" s="16"/>
    </row>
    <row r="242">
      <c r="A242" s="16"/>
    </row>
    <row r="243">
      <c r="A243" s="16"/>
    </row>
    <row r="244">
      <c r="A244" s="16"/>
    </row>
    <row r="245">
      <c r="A245" s="16"/>
    </row>
    <row r="246">
      <c r="A246" s="16"/>
    </row>
    <row r="247">
      <c r="A247" s="16"/>
    </row>
    <row r="248">
      <c r="A248" s="16"/>
    </row>
    <row r="249">
      <c r="A249" s="16"/>
    </row>
    <row r="250">
      <c r="A250" s="16"/>
    </row>
    <row r="251">
      <c r="A251" s="16"/>
    </row>
    <row r="252">
      <c r="A252" s="16"/>
    </row>
    <row r="253">
      <c r="A253" s="16"/>
    </row>
    <row r="254">
      <c r="A254" s="16"/>
    </row>
    <row r="255">
      <c r="A255" s="16"/>
    </row>
    <row r="256">
      <c r="A256" s="16"/>
    </row>
    <row r="257">
      <c r="A257" s="16"/>
    </row>
    <row r="258">
      <c r="A258" s="16"/>
    </row>
    <row r="259">
      <c r="A259" s="16"/>
    </row>
    <row r="260">
      <c r="A260" s="16"/>
    </row>
    <row r="261">
      <c r="A261" s="16"/>
    </row>
    <row r="262">
      <c r="A262" s="16"/>
    </row>
    <row r="263">
      <c r="A263" s="16"/>
    </row>
    <row r="264">
      <c r="A264" s="16"/>
    </row>
    <row r="265">
      <c r="A265" s="16"/>
    </row>
    <row r="266">
      <c r="A266" s="16"/>
    </row>
    <row r="267">
      <c r="A267" s="16"/>
    </row>
    <row r="268">
      <c r="A268" s="16"/>
    </row>
    <row r="269">
      <c r="A269" s="16"/>
    </row>
    <row r="270">
      <c r="A270" s="16"/>
    </row>
    <row r="271">
      <c r="A271" s="16"/>
    </row>
    <row r="272">
      <c r="A272" s="16"/>
    </row>
    <row r="273">
      <c r="A273" s="16"/>
    </row>
    <row r="274">
      <c r="A274" s="16"/>
    </row>
    <row r="275">
      <c r="A275" s="16"/>
    </row>
    <row r="276">
      <c r="A276" s="16"/>
    </row>
    <row r="277">
      <c r="A277" s="16"/>
    </row>
    <row r="278">
      <c r="A278" s="16"/>
    </row>
    <row r="279">
      <c r="A279" s="16"/>
    </row>
    <row r="280">
      <c r="A280" s="16"/>
    </row>
    <row r="281">
      <c r="A281" s="16"/>
    </row>
    <row r="282">
      <c r="A282" s="16"/>
    </row>
    <row r="283">
      <c r="A283" s="16"/>
    </row>
    <row r="284">
      <c r="A284" s="16"/>
    </row>
    <row r="285">
      <c r="A285" s="16"/>
    </row>
    <row r="286">
      <c r="A286" s="16"/>
    </row>
    <row r="287">
      <c r="A287" s="16"/>
    </row>
    <row r="288">
      <c r="A288" s="16"/>
    </row>
    <row r="289">
      <c r="A289" s="16"/>
    </row>
    <row r="290">
      <c r="A290" s="16"/>
    </row>
    <row r="291">
      <c r="A291" s="16"/>
    </row>
    <row r="292">
      <c r="A292" s="16"/>
    </row>
    <row r="293">
      <c r="A293" s="16"/>
    </row>
    <row r="294">
      <c r="A294" s="16"/>
    </row>
    <row r="295">
      <c r="A295" s="16"/>
    </row>
    <row r="296">
      <c r="A296" s="16"/>
    </row>
    <row r="297">
      <c r="A297" s="16"/>
    </row>
    <row r="298">
      <c r="A298" s="16"/>
    </row>
    <row r="299">
      <c r="A299" s="16"/>
    </row>
    <row r="300">
      <c r="A300" s="16"/>
    </row>
    <row r="301">
      <c r="A301" s="16"/>
    </row>
    <row r="302">
      <c r="A302" s="16"/>
    </row>
    <row r="303">
      <c r="A303" s="16"/>
    </row>
    <row r="304">
      <c r="A304" s="16"/>
    </row>
    <row r="305">
      <c r="A305" s="16"/>
    </row>
    <row r="306">
      <c r="A306" s="16"/>
    </row>
    <row r="307">
      <c r="A307" s="16"/>
    </row>
    <row r="308">
      <c r="A308" s="16"/>
    </row>
    <row r="309">
      <c r="A309" s="16"/>
    </row>
    <row r="310">
      <c r="A310" s="16"/>
    </row>
    <row r="311">
      <c r="A311" s="16"/>
    </row>
    <row r="312">
      <c r="A312" s="16"/>
    </row>
    <row r="313">
      <c r="A313" s="16"/>
    </row>
    <row r="314">
      <c r="A314" s="16"/>
    </row>
    <row r="315">
      <c r="A315" s="16"/>
    </row>
    <row r="316">
      <c r="A316" s="16"/>
    </row>
    <row r="317">
      <c r="A317" s="16"/>
    </row>
    <row r="318">
      <c r="A318" s="16"/>
    </row>
    <row r="319">
      <c r="A319" s="16"/>
    </row>
    <row r="320">
      <c r="A320" s="16"/>
    </row>
    <row r="321">
      <c r="A321" s="16"/>
    </row>
    <row r="322">
      <c r="A322" s="16"/>
    </row>
    <row r="323">
      <c r="A323" s="16"/>
    </row>
    <row r="324">
      <c r="A324" s="16"/>
    </row>
    <row r="325">
      <c r="A325" s="16"/>
    </row>
    <row r="326">
      <c r="A326" s="16"/>
    </row>
    <row r="327">
      <c r="A327" s="16"/>
    </row>
    <row r="328">
      <c r="A328" s="16"/>
    </row>
    <row r="329">
      <c r="A329" s="16"/>
    </row>
    <row r="330">
      <c r="A330" s="16"/>
    </row>
    <row r="331">
      <c r="A331" s="16"/>
    </row>
    <row r="332">
      <c r="A332" s="16"/>
    </row>
    <row r="333">
      <c r="A333" s="16"/>
    </row>
    <row r="334">
      <c r="A334" s="16"/>
    </row>
    <row r="335">
      <c r="A335" s="16"/>
    </row>
    <row r="336">
      <c r="A336" s="16"/>
    </row>
    <row r="337">
      <c r="A337" s="16"/>
    </row>
    <row r="338">
      <c r="A338" s="16"/>
    </row>
    <row r="339">
      <c r="A339" s="16"/>
    </row>
    <row r="340">
      <c r="A340" s="16"/>
    </row>
    <row r="341">
      <c r="A341" s="16"/>
    </row>
    <row r="342">
      <c r="A342" s="16"/>
    </row>
    <row r="343">
      <c r="A343" s="16"/>
    </row>
    <row r="344">
      <c r="A344" s="16"/>
    </row>
    <row r="345">
      <c r="A345" s="16"/>
    </row>
    <row r="346">
      <c r="A346" s="16"/>
    </row>
    <row r="347">
      <c r="A347" s="16"/>
    </row>
    <row r="348">
      <c r="A348" s="16"/>
    </row>
    <row r="349">
      <c r="A349" s="16"/>
    </row>
    <row r="350">
      <c r="A350" s="16"/>
    </row>
    <row r="351">
      <c r="A351" s="16"/>
    </row>
    <row r="352">
      <c r="A352" s="16"/>
    </row>
    <row r="353">
      <c r="A353" s="16"/>
    </row>
    <row r="354">
      <c r="A354" s="16"/>
    </row>
    <row r="355">
      <c r="A355" s="16"/>
    </row>
    <row r="356">
      <c r="A356" s="16"/>
    </row>
    <row r="357">
      <c r="A357" s="16"/>
    </row>
    <row r="358">
      <c r="A358" s="16"/>
    </row>
    <row r="359">
      <c r="A359" s="16"/>
    </row>
    <row r="360">
      <c r="A360" s="16"/>
    </row>
    <row r="361">
      <c r="A361" s="16"/>
    </row>
    <row r="362">
      <c r="A362" s="16"/>
    </row>
    <row r="363">
      <c r="A363" s="16"/>
    </row>
    <row r="364">
      <c r="A364" s="16"/>
    </row>
    <row r="365">
      <c r="A365" s="16"/>
    </row>
    <row r="366">
      <c r="A366" s="16"/>
    </row>
    <row r="367">
      <c r="A367" s="16"/>
    </row>
    <row r="368">
      <c r="A368" s="16"/>
    </row>
    <row r="369">
      <c r="A369" s="16"/>
    </row>
    <row r="370">
      <c r="A370" s="16"/>
    </row>
    <row r="371">
      <c r="A371" s="16"/>
    </row>
    <row r="372">
      <c r="A372" s="16"/>
    </row>
    <row r="373">
      <c r="A373" s="16"/>
    </row>
    <row r="374">
      <c r="A374" s="16"/>
    </row>
    <row r="375">
      <c r="A375" s="16"/>
    </row>
    <row r="376">
      <c r="A376" s="16"/>
    </row>
    <row r="377">
      <c r="A377" s="16"/>
    </row>
    <row r="378">
      <c r="A378" s="16"/>
    </row>
    <row r="379">
      <c r="A379" s="16"/>
    </row>
    <row r="380">
      <c r="A380" s="16"/>
    </row>
    <row r="381">
      <c r="A381" s="16"/>
    </row>
    <row r="382">
      <c r="A382" s="16"/>
    </row>
    <row r="383">
      <c r="A383" s="16"/>
    </row>
    <row r="384">
      <c r="A384" s="16"/>
    </row>
    <row r="385">
      <c r="A385" s="16"/>
    </row>
    <row r="386">
      <c r="A386" s="16"/>
    </row>
    <row r="387">
      <c r="A387" s="16"/>
    </row>
    <row r="388">
      <c r="A388" s="16"/>
    </row>
    <row r="389">
      <c r="A389" s="16"/>
    </row>
    <row r="390">
      <c r="A390" s="16"/>
    </row>
    <row r="391">
      <c r="A391" s="16"/>
    </row>
    <row r="392">
      <c r="A392" s="16"/>
    </row>
    <row r="393">
      <c r="A393" s="16"/>
    </row>
    <row r="394">
      <c r="A394" s="16"/>
    </row>
    <row r="395">
      <c r="A395" s="16"/>
    </row>
    <row r="396">
      <c r="A396" s="16"/>
    </row>
    <row r="397">
      <c r="A397" s="16"/>
    </row>
    <row r="398">
      <c r="A398" s="16"/>
    </row>
    <row r="399">
      <c r="A399" s="16"/>
    </row>
    <row r="400">
      <c r="A400" s="16"/>
    </row>
    <row r="401">
      <c r="A401" s="16"/>
    </row>
    <row r="402">
      <c r="A402" s="16"/>
    </row>
    <row r="403">
      <c r="A403" s="16"/>
    </row>
    <row r="404">
      <c r="A404" s="16"/>
    </row>
    <row r="405">
      <c r="A405" s="16"/>
    </row>
    <row r="406">
      <c r="A406" s="16"/>
    </row>
    <row r="407">
      <c r="A407" s="16"/>
    </row>
    <row r="408">
      <c r="A408" s="16"/>
    </row>
    <row r="409">
      <c r="A409" s="16"/>
    </row>
    <row r="410">
      <c r="A410" s="16"/>
    </row>
    <row r="411">
      <c r="A411" s="16"/>
    </row>
    <row r="412">
      <c r="A412" s="16"/>
    </row>
    <row r="413">
      <c r="A413" s="16"/>
    </row>
    <row r="414">
      <c r="A414" s="16"/>
    </row>
    <row r="415">
      <c r="A415" s="16"/>
    </row>
    <row r="416">
      <c r="A416" s="16"/>
    </row>
    <row r="417">
      <c r="A417" s="16"/>
    </row>
    <row r="418">
      <c r="A418" s="16"/>
    </row>
    <row r="419">
      <c r="A419" s="16"/>
    </row>
    <row r="420">
      <c r="A420" s="16"/>
    </row>
    <row r="421">
      <c r="A421" s="16"/>
    </row>
    <row r="422">
      <c r="A422" s="16"/>
    </row>
    <row r="423">
      <c r="A423" s="16"/>
    </row>
    <row r="424">
      <c r="A424" s="16"/>
    </row>
    <row r="425">
      <c r="A425" s="16"/>
    </row>
    <row r="426">
      <c r="A426" s="16"/>
    </row>
    <row r="427">
      <c r="A427" s="16"/>
    </row>
    <row r="428">
      <c r="A428" s="16"/>
    </row>
    <row r="429">
      <c r="A429" s="16"/>
    </row>
    <row r="430">
      <c r="A430" s="16"/>
    </row>
    <row r="431">
      <c r="A431" s="16"/>
    </row>
    <row r="432">
      <c r="A432" s="16"/>
    </row>
    <row r="433">
      <c r="A433" s="16"/>
    </row>
    <row r="434">
      <c r="A434" s="16"/>
    </row>
    <row r="435">
      <c r="A435" s="16"/>
    </row>
    <row r="436">
      <c r="A436" s="16"/>
    </row>
    <row r="437">
      <c r="A437" s="16"/>
    </row>
    <row r="438">
      <c r="A438" s="16"/>
    </row>
    <row r="439">
      <c r="A439" s="16"/>
    </row>
    <row r="440">
      <c r="A440" s="16"/>
    </row>
    <row r="441">
      <c r="A441" s="16"/>
    </row>
    <row r="442">
      <c r="A442" s="16"/>
    </row>
    <row r="443">
      <c r="A443" s="16"/>
    </row>
    <row r="444">
      <c r="A444" s="16"/>
    </row>
    <row r="445">
      <c r="A445" s="16"/>
    </row>
    <row r="446">
      <c r="A446" s="16"/>
    </row>
    <row r="447">
      <c r="A447" s="16"/>
    </row>
    <row r="448">
      <c r="A448" s="16"/>
    </row>
    <row r="449">
      <c r="A449" s="16"/>
    </row>
    <row r="450">
      <c r="A450" s="16"/>
    </row>
    <row r="451">
      <c r="A451" s="16"/>
    </row>
    <row r="452">
      <c r="A452" s="16"/>
    </row>
    <row r="453">
      <c r="A453" s="16"/>
    </row>
    <row r="454">
      <c r="A454" s="16"/>
    </row>
    <row r="455">
      <c r="A455" s="16"/>
    </row>
    <row r="456">
      <c r="A456" s="16"/>
    </row>
    <row r="457">
      <c r="A457" s="16"/>
    </row>
    <row r="458">
      <c r="A458" s="16"/>
    </row>
    <row r="459">
      <c r="A459" s="16"/>
    </row>
    <row r="460">
      <c r="A460" s="16"/>
    </row>
    <row r="461">
      <c r="A461" s="16"/>
    </row>
    <row r="462">
      <c r="A462" s="16"/>
    </row>
    <row r="463">
      <c r="A463" s="16"/>
    </row>
    <row r="464">
      <c r="A464" s="16"/>
    </row>
    <row r="465">
      <c r="A465" s="16"/>
    </row>
    <row r="466">
      <c r="A466" s="16"/>
    </row>
    <row r="467">
      <c r="A467" s="16"/>
    </row>
    <row r="468">
      <c r="A468" s="16"/>
    </row>
    <row r="469">
      <c r="A469" s="16"/>
    </row>
    <row r="470">
      <c r="A470" s="16"/>
    </row>
    <row r="471">
      <c r="A471" s="16"/>
    </row>
    <row r="472">
      <c r="A472" s="16"/>
    </row>
    <row r="473">
      <c r="A473" s="16"/>
    </row>
    <row r="474">
      <c r="A474" s="16"/>
    </row>
    <row r="475">
      <c r="A475" s="16"/>
    </row>
    <row r="476">
      <c r="A476" s="16"/>
    </row>
    <row r="477">
      <c r="A477" s="16"/>
    </row>
    <row r="478">
      <c r="A478" s="16"/>
    </row>
    <row r="479">
      <c r="A479" s="16"/>
    </row>
    <row r="480">
      <c r="A480" s="16"/>
    </row>
    <row r="481">
      <c r="A481" s="16"/>
    </row>
    <row r="482">
      <c r="A482" s="16"/>
    </row>
    <row r="483">
      <c r="A483" s="16"/>
    </row>
    <row r="484">
      <c r="A484" s="16"/>
    </row>
    <row r="485">
      <c r="A485" s="16"/>
    </row>
    <row r="486">
      <c r="A486" s="16"/>
    </row>
    <row r="487">
      <c r="A487" s="16"/>
    </row>
    <row r="488">
      <c r="A488" s="16"/>
    </row>
    <row r="489">
      <c r="A489" s="16"/>
    </row>
    <row r="490">
      <c r="A490" s="16"/>
    </row>
    <row r="491">
      <c r="A491" s="16"/>
    </row>
    <row r="492">
      <c r="A492" s="16"/>
    </row>
    <row r="493">
      <c r="A493" s="16"/>
    </row>
    <row r="494">
      <c r="A494" s="16"/>
    </row>
    <row r="495">
      <c r="A495" s="16"/>
    </row>
    <row r="496">
      <c r="A496" s="16"/>
    </row>
    <row r="497">
      <c r="A497" s="16"/>
    </row>
    <row r="498">
      <c r="A498" s="16"/>
    </row>
    <row r="499">
      <c r="A499" s="16"/>
    </row>
    <row r="500">
      <c r="A500" s="16"/>
    </row>
    <row r="501">
      <c r="A501" s="16"/>
    </row>
    <row r="502">
      <c r="A502" s="16"/>
    </row>
    <row r="503">
      <c r="A503" s="16"/>
    </row>
    <row r="504">
      <c r="A504" s="16"/>
    </row>
    <row r="505">
      <c r="A505" s="16"/>
    </row>
    <row r="506">
      <c r="A506" s="16"/>
    </row>
    <row r="507">
      <c r="A507" s="16"/>
    </row>
    <row r="508">
      <c r="A508" s="16"/>
    </row>
    <row r="509">
      <c r="A509" s="16"/>
    </row>
    <row r="510">
      <c r="A510" s="16"/>
    </row>
    <row r="511">
      <c r="A511" s="16"/>
    </row>
    <row r="512">
      <c r="A512" s="16"/>
    </row>
    <row r="513">
      <c r="A513" s="16"/>
    </row>
    <row r="514">
      <c r="A514" s="16"/>
    </row>
    <row r="515">
      <c r="A515" s="16"/>
    </row>
    <row r="516">
      <c r="A516" s="16"/>
    </row>
    <row r="517">
      <c r="A517" s="16"/>
    </row>
    <row r="518">
      <c r="A518" s="16"/>
    </row>
    <row r="519">
      <c r="A519" s="16"/>
    </row>
    <row r="520">
      <c r="A520" s="16"/>
    </row>
    <row r="521">
      <c r="A521" s="16"/>
    </row>
    <row r="522">
      <c r="A522" s="16"/>
    </row>
    <row r="523">
      <c r="A523" s="16"/>
    </row>
    <row r="524">
      <c r="A524" s="16"/>
    </row>
    <row r="525">
      <c r="A525" s="16"/>
    </row>
    <row r="526">
      <c r="A526" s="16"/>
    </row>
    <row r="527">
      <c r="A527" s="16"/>
    </row>
    <row r="528">
      <c r="A528" s="16"/>
    </row>
    <row r="529">
      <c r="A529" s="16"/>
    </row>
    <row r="530">
      <c r="A530" s="16"/>
    </row>
    <row r="531">
      <c r="A531" s="16"/>
    </row>
    <row r="532">
      <c r="A532" s="16"/>
    </row>
    <row r="533">
      <c r="A533" s="16"/>
    </row>
    <row r="534">
      <c r="A534" s="16"/>
    </row>
    <row r="535">
      <c r="A535" s="16"/>
    </row>
    <row r="536">
      <c r="A536" s="16"/>
    </row>
    <row r="537">
      <c r="A537" s="16"/>
    </row>
    <row r="538">
      <c r="A538" s="16"/>
    </row>
    <row r="539">
      <c r="A539" s="16"/>
    </row>
    <row r="540">
      <c r="A540" s="16"/>
    </row>
    <row r="541">
      <c r="A541" s="16"/>
    </row>
    <row r="542">
      <c r="A542" s="16"/>
    </row>
    <row r="543">
      <c r="A543" s="16"/>
    </row>
    <row r="544">
      <c r="A544" s="16"/>
    </row>
    <row r="545">
      <c r="A545" s="16"/>
    </row>
    <row r="546">
      <c r="A546" s="16"/>
    </row>
    <row r="547">
      <c r="A547" s="16"/>
    </row>
    <row r="548">
      <c r="A548" s="16"/>
    </row>
    <row r="549">
      <c r="A549" s="16"/>
    </row>
    <row r="550">
      <c r="A550" s="16"/>
    </row>
    <row r="551">
      <c r="A551" s="16"/>
    </row>
    <row r="552">
      <c r="A552" s="16"/>
    </row>
    <row r="553">
      <c r="A553" s="16"/>
    </row>
    <row r="554">
      <c r="A554" s="16"/>
    </row>
    <row r="555">
      <c r="A555" s="16"/>
    </row>
    <row r="556">
      <c r="A556" s="16"/>
    </row>
    <row r="557">
      <c r="A557" s="16"/>
    </row>
    <row r="558">
      <c r="A558" s="16"/>
    </row>
    <row r="559">
      <c r="A559" s="16"/>
    </row>
    <row r="560">
      <c r="A560" s="16"/>
    </row>
    <row r="561">
      <c r="A561" s="16"/>
    </row>
    <row r="562">
      <c r="A562" s="16"/>
    </row>
    <row r="563">
      <c r="A563" s="16"/>
    </row>
    <row r="564">
      <c r="A564" s="16"/>
    </row>
    <row r="565">
      <c r="A565" s="16"/>
    </row>
    <row r="566">
      <c r="A566" s="16"/>
    </row>
    <row r="567">
      <c r="A567" s="16"/>
    </row>
    <row r="568">
      <c r="A568" s="16"/>
    </row>
    <row r="569">
      <c r="A569" s="16"/>
    </row>
    <row r="570">
      <c r="A570" s="16"/>
    </row>
    <row r="571">
      <c r="A571" s="16"/>
    </row>
    <row r="572">
      <c r="A572" s="16"/>
    </row>
    <row r="573">
      <c r="A573" s="16"/>
    </row>
    <row r="574">
      <c r="A574" s="16"/>
    </row>
    <row r="575">
      <c r="A575" s="16"/>
    </row>
    <row r="576">
      <c r="A576" s="16"/>
    </row>
    <row r="577">
      <c r="A577" s="16"/>
    </row>
    <row r="578">
      <c r="A578" s="16"/>
    </row>
    <row r="579">
      <c r="A579" s="16"/>
    </row>
    <row r="580">
      <c r="A580" s="16"/>
    </row>
    <row r="581">
      <c r="A581" s="16"/>
    </row>
    <row r="582">
      <c r="A582" s="16"/>
    </row>
    <row r="583">
      <c r="A583" s="16"/>
    </row>
    <row r="584">
      <c r="A584" s="16"/>
    </row>
    <row r="585">
      <c r="A585" s="16"/>
    </row>
    <row r="586">
      <c r="A586" s="16"/>
    </row>
    <row r="587">
      <c r="A587" s="16"/>
    </row>
    <row r="588">
      <c r="A588" s="16"/>
    </row>
    <row r="589">
      <c r="A589" s="16"/>
    </row>
    <row r="590">
      <c r="A590" s="16"/>
    </row>
    <row r="591">
      <c r="A591" s="16"/>
    </row>
    <row r="592">
      <c r="A592" s="16"/>
    </row>
    <row r="593">
      <c r="A593" s="16"/>
    </row>
    <row r="594">
      <c r="A594" s="16"/>
    </row>
    <row r="595">
      <c r="A595" s="16"/>
    </row>
    <row r="596">
      <c r="A596" s="16"/>
    </row>
    <row r="597">
      <c r="A597" s="16"/>
    </row>
    <row r="598">
      <c r="A598" s="16"/>
    </row>
    <row r="599">
      <c r="A599" s="16"/>
    </row>
    <row r="600">
      <c r="A600" s="16"/>
    </row>
    <row r="601">
      <c r="A601" s="16"/>
    </row>
    <row r="602">
      <c r="A602" s="16"/>
    </row>
    <row r="603">
      <c r="A603" s="16"/>
    </row>
    <row r="604">
      <c r="A604" s="16"/>
    </row>
    <row r="605">
      <c r="A605" s="16"/>
    </row>
    <row r="606">
      <c r="A606" s="16"/>
    </row>
    <row r="607">
      <c r="A607" s="16"/>
    </row>
    <row r="608">
      <c r="A608" s="16"/>
    </row>
    <row r="609">
      <c r="A609" s="16"/>
    </row>
    <row r="610">
      <c r="A610" s="16"/>
    </row>
    <row r="611">
      <c r="A611" s="16"/>
    </row>
    <row r="612">
      <c r="A612" s="16"/>
    </row>
    <row r="613">
      <c r="A613" s="16"/>
    </row>
    <row r="614">
      <c r="A614" s="16"/>
    </row>
    <row r="615">
      <c r="A615" s="16"/>
    </row>
    <row r="616">
      <c r="A616" s="16"/>
    </row>
    <row r="617">
      <c r="A617" s="16"/>
    </row>
    <row r="618">
      <c r="A618" s="16"/>
    </row>
    <row r="619">
      <c r="A619" s="16"/>
    </row>
    <row r="620">
      <c r="A620" s="16"/>
    </row>
    <row r="621">
      <c r="A621" s="16"/>
    </row>
    <row r="622">
      <c r="A622" s="16"/>
    </row>
    <row r="623">
      <c r="A623" s="16"/>
    </row>
    <row r="624">
      <c r="A624" s="16"/>
    </row>
    <row r="625">
      <c r="A625" s="16"/>
    </row>
    <row r="626">
      <c r="A626" s="16"/>
    </row>
    <row r="627">
      <c r="A627" s="16"/>
    </row>
    <row r="628">
      <c r="A628" s="16"/>
    </row>
    <row r="629">
      <c r="A629" s="16"/>
    </row>
    <row r="630">
      <c r="A630" s="16"/>
    </row>
    <row r="631">
      <c r="A631" s="16"/>
    </row>
    <row r="632">
      <c r="A632" s="16"/>
    </row>
    <row r="633">
      <c r="A633" s="16"/>
    </row>
    <row r="634">
      <c r="A634" s="16"/>
    </row>
    <row r="635">
      <c r="A635" s="16"/>
    </row>
    <row r="636">
      <c r="A636" s="16"/>
    </row>
    <row r="637">
      <c r="A637" s="16"/>
    </row>
    <row r="638">
      <c r="A638" s="16"/>
    </row>
    <row r="639">
      <c r="A639" s="16"/>
    </row>
    <row r="640">
      <c r="A640" s="16"/>
    </row>
    <row r="641">
      <c r="A641" s="16"/>
    </row>
    <row r="642">
      <c r="A642" s="16"/>
    </row>
    <row r="643">
      <c r="A643" s="16"/>
    </row>
    <row r="644">
      <c r="A644" s="16"/>
    </row>
    <row r="645">
      <c r="A645" s="16"/>
    </row>
    <row r="646">
      <c r="A646" s="16"/>
    </row>
    <row r="647">
      <c r="A647" s="16"/>
    </row>
    <row r="648">
      <c r="A648" s="16"/>
    </row>
    <row r="649">
      <c r="A649" s="16"/>
    </row>
    <row r="650">
      <c r="A650" s="16"/>
    </row>
    <row r="651">
      <c r="A651" s="16"/>
    </row>
    <row r="652">
      <c r="A652" s="16"/>
    </row>
    <row r="653">
      <c r="A653" s="16"/>
    </row>
    <row r="654">
      <c r="A654" s="16"/>
    </row>
    <row r="655">
      <c r="A655" s="16"/>
    </row>
    <row r="656">
      <c r="A656" s="16"/>
    </row>
    <row r="657">
      <c r="A657" s="16"/>
    </row>
    <row r="658">
      <c r="A658" s="16"/>
    </row>
    <row r="659">
      <c r="A659" s="16"/>
    </row>
    <row r="660">
      <c r="A660" s="16"/>
    </row>
    <row r="661">
      <c r="A661" s="16"/>
    </row>
    <row r="662">
      <c r="A662" s="16"/>
    </row>
    <row r="663">
      <c r="A663" s="16"/>
    </row>
    <row r="664">
      <c r="A664" s="16"/>
    </row>
    <row r="665">
      <c r="A665" s="16"/>
    </row>
    <row r="666">
      <c r="A666" s="16"/>
    </row>
    <row r="667">
      <c r="A667" s="16"/>
    </row>
    <row r="668">
      <c r="A668" s="16"/>
    </row>
    <row r="669">
      <c r="A669" s="16"/>
    </row>
    <row r="670">
      <c r="A670" s="16"/>
    </row>
    <row r="671">
      <c r="A671" s="16"/>
    </row>
    <row r="672">
      <c r="A672" s="16"/>
    </row>
    <row r="673">
      <c r="A673" s="16"/>
    </row>
    <row r="674">
      <c r="A674" s="16"/>
    </row>
    <row r="675">
      <c r="A675" s="16"/>
    </row>
    <row r="676">
      <c r="A676" s="16"/>
    </row>
    <row r="677">
      <c r="A677" s="16"/>
    </row>
    <row r="678">
      <c r="A678" s="16"/>
    </row>
    <row r="679">
      <c r="A679" s="16"/>
    </row>
    <row r="680">
      <c r="A680" s="16"/>
    </row>
    <row r="681">
      <c r="A681" s="16"/>
    </row>
    <row r="682">
      <c r="A682" s="16"/>
    </row>
    <row r="683">
      <c r="A683" s="16"/>
    </row>
    <row r="684">
      <c r="A684" s="16"/>
    </row>
    <row r="685">
      <c r="A685" s="16"/>
    </row>
    <row r="686">
      <c r="A686" s="16"/>
    </row>
    <row r="687">
      <c r="A687" s="16"/>
    </row>
    <row r="688">
      <c r="A688" s="16"/>
    </row>
    <row r="689">
      <c r="A689" s="16"/>
    </row>
    <row r="690">
      <c r="A690" s="16"/>
    </row>
    <row r="691">
      <c r="A691" s="16"/>
    </row>
    <row r="692">
      <c r="A692" s="16"/>
    </row>
    <row r="693">
      <c r="A693" s="16"/>
    </row>
    <row r="694">
      <c r="A694" s="16"/>
    </row>
    <row r="695">
      <c r="A695" s="16"/>
    </row>
    <row r="696">
      <c r="A696" s="16"/>
    </row>
    <row r="697">
      <c r="A697" s="16"/>
    </row>
    <row r="698">
      <c r="A698" s="16"/>
    </row>
    <row r="699">
      <c r="A699" s="16"/>
    </row>
    <row r="700">
      <c r="A700" s="16"/>
    </row>
    <row r="701">
      <c r="A701" s="16"/>
    </row>
    <row r="702">
      <c r="A702" s="16"/>
    </row>
    <row r="703">
      <c r="A703" s="16"/>
    </row>
    <row r="704">
      <c r="A704" s="16"/>
    </row>
    <row r="705">
      <c r="A705" s="16"/>
    </row>
    <row r="706">
      <c r="A706" s="16"/>
    </row>
    <row r="707">
      <c r="A707" s="16"/>
    </row>
    <row r="708">
      <c r="A708" s="16"/>
    </row>
    <row r="709">
      <c r="A709" s="16"/>
    </row>
    <row r="710">
      <c r="A710" s="16"/>
    </row>
    <row r="711">
      <c r="A711" s="16"/>
    </row>
    <row r="712">
      <c r="A712" s="16"/>
    </row>
    <row r="713">
      <c r="A713" s="16"/>
    </row>
    <row r="714">
      <c r="A714" s="16"/>
    </row>
    <row r="715">
      <c r="A715" s="16"/>
    </row>
    <row r="716">
      <c r="A716" s="16"/>
    </row>
    <row r="717">
      <c r="A717" s="16"/>
    </row>
    <row r="718">
      <c r="A718" s="16"/>
    </row>
    <row r="719">
      <c r="A719" s="16"/>
    </row>
    <row r="720">
      <c r="A720" s="16"/>
    </row>
    <row r="721">
      <c r="A721" s="16"/>
    </row>
    <row r="722">
      <c r="A722" s="16"/>
    </row>
    <row r="723">
      <c r="A723" s="16"/>
    </row>
    <row r="724">
      <c r="A724" s="16"/>
    </row>
    <row r="725">
      <c r="A725" s="16"/>
    </row>
    <row r="726">
      <c r="A726" s="16"/>
    </row>
    <row r="727">
      <c r="A727" s="16"/>
    </row>
    <row r="728">
      <c r="A728" s="16"/>
    </row>
    <row r="729">
      <c r="A729" s="16"/>
    </row>
    <row r="730">
      <c r="A730" s="16"/>
    </row>
    <row r="731">
      <c r="A731" s="16"/>
    </row>
    <row r="732">
      <c r="A732" s="16"/>
    </row>
    <row r="733">
      <c r="A733" s="16"/>
    </row>
    <row r="734">
      <c r="A734" s="16"/>
    </row>
    <row r="735">
      <c r="A735" s="16"/>
    </row>
    <row r="736">
      <c r="A736" s="16"/>
    </row>
    <row r="737">
      <c r="A737" s="16"/>
    </row>
    <row r="738">
      <c r="A738" s="16"/>
    </row>
    <row r="739">
      <c r="A739" s="16"/>
    </row>
    <row r="740">
      <c r="A740" s="16"/>
    </row>
    <row r="741">
      <c r="A741" s="16"/>
    </row>
    <row r="742">
      <c r="A742" s="16"/>
    </row>
    <row r="743">
      <c r="A743" s="16"/>
    </row>
    <row r="744">
      <c r="A744" s="16"/>
    </row>
    <row r="745">
      <c r="A745" s="16"/>
    </row>
    <row r="746">
      <c r="A746" s="16"/>
    </row>
    <row r="747">
      <c r="A747" s="16"/>
    </row>
    <row r="748">
      <c r="A748" s="16"/>
    </row>
    <row r="749">
      <c r="A749" s="16"/>
    </row>
    <row r="750">
      <c r="A750" s="16"/>
    </row>
    <row r="751">
      <c r="A751" s="16"/>
    </row>
    <row r="752">
      <c r="A752" s="16"/>
    </row>
    <row r="753">
      <c r="A753" s="16"/>
    </row>
    <row r="754">
      <c r="A754" s="16"/>
    </row>
    <row r="755">
      <c r="A755" s="16"/>
    </row>
    <row r="756">
      <c r="A756" s="16"/>
    </row>
    <row r="757">
      <c r="A757" s="16"/>
    </row>
    <row r="758">
      <c r="A758" s="16"/>
    </row>
    <row r="759">
      <c r="A759" s="16"/>
    </row>
    <row r="760">
      <c r="A760" s="16"/>
    </row>
    <row r="761">
      <c r="A761" s="16"/>
    </row>
    <row r="762">
      <c r="A762" s="16"/>
    </row>
    <row r="763">
      <c r="A763" s="16"/>
    </row>
    <row r="764">
      <c r="A764" s="16"/>
    </row>
    <row r="765">
      <c r="A765" s="16"/>
    </row>
    <row r="766">
      <c r="A766" s="16"/>
    </row>
    <row r="767">
      <c r="A767" s="16"/>
    </row>
    <row r="768">
      <c r="A768" s="16"/>
    </row>
    <row r="769">
      <c r="A769" s="16"/>
    </row>
    <row r="770">
      <c r="A770" s="16"/>
    </row>
    <row r="771">
      <c r="A771" s="16"/>
    </row>
    <row r="772">
      <c r="A772" s="16"/>
    </row>
    <row r="773">
      <c r="A773" s="16"/>
    </row>
    <row r="774">
      <c r="A774" s="16"/>
    </row>
    <row r="775">
      <c r="A775" s="16"/>
    </row>
    <row r="776">
      <c r="A776" s="16"/>
    </row>
    <row r="777">
      <c r="A777" s="16"/>
    </row>
    <row r="778">
      <c r="A778" s="16"/>
    </row>
    <row r="779">
      <c r="A779" s="16"/>
    </row>
    <row r="780">
      <c r="A780" s="16"/>
    </row>
    <row r="781">
      <c r="A781" s="16"/>
    </row>
    <row r="782">
      <c r="A782" s="16"/>
    </row>
    <row r="783">
      <c r="A783" s="16"/>
    </row>
    <row r="784">
      <c r="A784" s="16"/>
    </row>
    <row r="785">
      <c r="A785" s="16"/>
    </row>
    <row r="786">
      <c r="A786" s="16"/>
    </row>
    <row r="787">
      <c r="A787" s="16"/>
    </row>
    <row r="788">
      <c r="A788" s="16"/>
    </row>
    <row r="789">
      <c r="A789" s="16"/>
    </row>
    <row r="790">
      <c r="A790" s="16"/>
    </row>
    <row r="791">
      <c r="A791" s="16"/>
    </row>
    <row r="792">
      <c r="A792" s="16"/>
    </row>
    <row r="793">
      <c r="A793" s="16"/>
    </row>
    <row r="794">
      <c r="A794" s="16"/>
    </row>
    <row r="795">
      <c r="A795" s="16"/>
    </row>
    <row r="796">
      <c r="A796" s="16"/>
    </row>
    <row r="797">
      <c r="A797" s="16"/>
    </row>
    <row r="798">
      <c r="A798" s="16"/>
    </row>
    <row r="799">
      <c r="A799" s="16"/>
    </row>
    <row r="800">
      <c r="A800" s="16"/>
    </row>
    <row r="801">
      <c r="A801" s="16"/>
    </row>
    <row r="802">
      <c r="A802" s="16"/>
    </row>
    <row r="803">
      <c r="A803" s="16"/>
    </row>
    <row r="804">
      <c r="A804" s="16"/>
    </row>
    <row r="805">
      <c r="A805" s="16"/>
    </row>
    <row r="806">
      <c r="A806" s="16"/>
    </row>
    <row r="807">
      <c r="A807" s="16"/>
    </row>
    <row r="808">
      <c r="A808" s="16"/>
    </row>
    <row r="809">
      <c r="A809" s="16"/>
    </row>
    <row r="810">
      <c r="A810" s="16"/>
    </row>
    <row r="811">
      <c r="A811" s="16"/>
    </row>
    <row r="812">
      <c r="A812" s="16"/>
    </row>
    <row r="813">
      <c r="A813" s="16"/>
    </row>
    <row r="814">
      <c r="A814" s="16"/>
    </row>
    <row r="815">
      <c r="A815" s="16"/>
    </row>
    <row r="816">
      <c r="A816" s="16"/>
    </row>
    <row r="817">
      <c r="A817" s="16"/>
    </row>
    <row r="818">
      <c r="A818" s="16"/>
    </row>
    <row r="819">
      <c r="A819" s="16"/>
    </row>
    <row r="820">
      <c r="A820" s="16"/>
    </row>
    <row r="821">
      <c r="A821" s="16"/>
    </row>
    <row r="822">
      <c r="A822" s="16"/>
    </row>
    <row r="823">
      <c r="A823" s="16"/>
    </row>
    <row r="824">
      <c r="A824" s="16"/>
    </row>
    <row r="825">
      <c r="A825" s="16"/>
    </row>
    <row r="826">
      <c r="A826" s="16"/>
    </row>
    <row r="827">
      <c r="A827" s="16"/>
    </row>
    <row r="828">
      <c r="A828" s="16"/>
    </row>
    <row r="829">
      <c r="A829" s="16"/>
    </row>
    <row r="830">
      <c r="A830" s="16"/>
    </row>
    <row r="831">
      <c r="A831" s="16"/>
    </row>
    <row r="832">
      <c r="A832" s="16"/>
    </row>
    <row r="833">
      <c r="A833" s="16"/>
    </row>
    <row r="834">
      <c r="A834" s="16"/>
    </row>
    <row r="835">
      <c r="A835" s="16"/>
    </row>
    <row r="836">
      <c r="A836" s="16"/>
    </row>
    <row r="837">
      <c r="A837" s="16"/>
    </row>
    <row r="838">
      <c r="A838" s="16"/>
    </row>
    <row r="839">
      <c r="A839" s="16"/>
    </row>
    <row r="840">
      <c r="A840" s="16"/>
    </row>
    <row r="841">
      <c r="A841" s="16"/>
    </row>
    <row r="842">
      <c r="A842" s="16"/>
    </row>
    <row r="843">
      <c r="A843" s="16"/>
    </row>
    <row r="844">
      <c r="A844" s="16"/>
    </row>
    <row r="845">
      <c r="A845" s="16"/>
    </row>
    <row r="846">
      <c r="A846" s="16"/>
    </row>
    <row r="847">
      <c r="A847" s="16"/>
    </row>
    <row r="848">
      <c r="A848" s="16"/>
    </row>
    <row r="849">
      <c r="A849" s="16"/>
    </row>
    <row r="850">
      <c r="A850" s="16"/>
    </row>
    <row r="851">
      <c r="A851" s="16"/>
    </row>
    <row r="852">
      <c r="A852" s="16"/>
    </row>
    <row r="853">
      <c r="A853" s="16"/>
    </row>
    <row r="854">
      <c r="A854" s="16"/>
    </row>
    <row r="855">
      <c r="A855" s="16"/>
    </row>
    <row r="856">
      <c r="A856" s="16"/>
    </row>
    <row r="857">
      <c r="A857" s="16"/>
    </row>
    <row r="858">
      <c r="A858" s="16"/>
    </row>
    <row r="859">
      <c r="A859" s="16"/>
    </row>
    <row r="860">
      <c r="A860" s="16"/>
    </row>
    <row r="861">
      <c r="A861" s="16"/>
    </row>
    <row r="862">
      <c r="A862" s="16"/>
    </row>
    <row r="863">
      <c r="A863" s="16"/>
    </row>
    <row r="864">
      <c r="A864" s="16"/>
    </row>
    <row r="865">
      <c r="A865" s="16"/>
    </row>
    <row r="866">
      <c r="A866" s="16"/>
    </row>
    <row r="867">
      <c r="A867" s="16"/>
    </row>
    <row r="868">
      <c r="A868" s="16"/>
    </row>
    <row r="869">
      <c r="A869" s="16"/>
    </row>
    <row r="870">
      <c r="A870" s="16"/>
    </row>
    <row r="871">
      <c r="A871" s="16"/>
    </row>
    <row r="872">
      <c r="A872" s="16"/>
    </row>
    <row r="873">
      <c r="A873" s="16"/>
    </row>
    <row r="874">
      <c r="A874" s="16"/>
    </row>
    <row r="875">
      <c r="A875" s="16"/>
    </row>
    <row r="876">
      <c r="A876" s="16"/>
    </row>
    <row r="877">
      <c r="A877" s="16"/>
    </row>
    <row r="878">
      <c r="A878" s="16"/>
    </row>
    <row r="879">
      <c r="A879" s="16"/>
    </row>
    <row r="880">
      <c r="A880" s="16"/>
    </row>
    <row r="881">
      <c r="A881" s="16"/>
    </row>
    <row r="882">
      <c r="A882" s="16"/>
    </row>
    <row r="883">
      <c r="A883" s="16"/>
    </row>
    <row r="884">
      <c r="A884" s="16"/>
    </row>
    <row r="885">
      <c r="A885" s="16"/>
    </row>
    <row r="886">
      <c r="A886" s="16"/>
    </row>
    <row r="887">
      <c r="A887" s="16"/>
    </row>
    <row r="888">
      <c r="A888" s="16"/>
    </row>
    <row r="889">
      <c r="A889" s="16"/>
    </row>
    <row r="890">
      <c r="A890" s="16"/>
    </row>
    <row r="891">
      <c r="A891" s="16"/>
    </row>
    <row r="892">
      <c r="A892" s="16"/>
    </row>
    <row r="893">
      <c r="A893" s="16"/>
    </row>
    <row r="894">
      <c r="A894" s="16"/>
    </row>
    <row r="895">
      <c r="A895" s="16"/>
    </row>
    <row r="896">
      <c r="A896" s="16"/>
    </row>
    <row r="897">
      <c r="A897" s="16"/>
    </row>
    <row r="898">
      <c r="A898" s="16"/>
    </row>
    <row r="899">
      <c r="A899" s="16"/>
    </row>
    <row r="900">
      <c r="A900" s="16"/>
    </row>
    <row r="901">
      <c r="A901" s="16"/>
    </row>
    <row r="902">
      <c r="A902" s="16"/>
    </row>
    <row r="903">
      <c r="A903" s="16"/>
    </row>
    <row r="904">
      <c r="A904" s="16"/>
    </row>
    <row r="905">
      <c r="A905" s="16"/>
    </row>
    <row r="906">
      <c r="A906" s="16"/>
    </row>
    <row r="907">
      <c r="A907" s="16"/>
    </row>
    <row r="908">
      <c r="A908" s="16"/>
    </row>
    <row r="909">
      <c r="A909" s="16"/>
    </row>
    <row r="910">
      <c r="A910" s="16"/>
    </row>
    <row r="911">
      <c r="A911" s="16"/>
    </row>
    <row r="912">
      <c r="A912" s="16"/>
    </row>
    <row r="913">
      <c r="A913" s="16"/>
    </row>
    <row r="914">
      <c r="A914" s="16"/>
    </row>
    <row r="915">
      <c r="A915" s="16"/>
    </row>
    <row r="916">
      <c r="A916" s="16"/>
    </row>
    <row r="917">
      <c r="A917" s="16"/>
    </row>
    <row r="918">
      <c r="A918" s="16"/>
    </row>
    <row r="919">
      <c r="A919" s="16"/>
    </row>
    <row r="920">
      <c r="A920" s="16"/>
    </row>
    <row r="921">
      <c r="A921" s="16"/>
    </row>
    <row r="922">
      <c r="A922" s="16"/>
    </row>
    <row r="923">
      <c r="A923" s="16"/>
    </row>
    <row r="924">
      <c r="A924" s="16"/>
    </row>
    <row r="925">
      <c r="A925" s="16"/>
    </row>
    <row r="926">
      <c r="A926" s="16"/>
    </row>
    <row r="927">
      <c r="A927" s="16"/>
    </row>
    <row r="928">
      <c r="A928" s="16"/>
    </row>
    <row r="929">
      <c r="A929" s="16"/>
    </row>
    <row r="930">
      <c r="A930" s="16"/>
    </row>
    <row r="931">
      <c r="A931" s="16"/>
    </row>
    <row r="932">
      <c r="A932" s="16"/>
    </row>
    <row r="933">
      <c r="A933" s="16"/>
    </row>
    <row r="934">
      <c r="A934" s="16"/>
    </row>
    <row r="935">
      <c r="A935" s="16"/>
    </row>
    <row r="936">
      <c r="A936" s="16"/>
    </row>
    <row r="937">
      <c r="A937" s="16"/>
    </row>
    <row r="938">
      <c r="A938" s="16"/>
    </row>
    <row r="939">
      <c r="A939" s="16"/>
    </row>
    <row r="940">
      <c r="A940" s="16"/>
    </row>
    <row r="941">
      <c r="A941" s="16"/>
    </row>
    <row r="942">
      <c r="A942" s="16"/>
    </row>
    <row r="943">
      <c r="A943" s="16"/>
    </row>
    <row r="944">
      <c r="A944" s="16"/>
    </row>
    <row r="945">
      <c r="A945" s="16"/>
    </row>
    <row r="946">
      <c r="A946" s="16"/>
    </row>
    <row r="947">
      <c r="A947" s="16"/>
    </row>
    <row r="948">
      <c r="A948" s="16"/>
    </row>
    <row r="949">
      <c r="A949" s="16"/>
    </row>
    <row r="950">
      <c r="A950" s="16"/>
    </row>
    <row r="951">
      <c r="A951" s="16"/>
    </row>
    <row r="952">
      <c r="A952" s="16"/>
    </row>
    <row r="953">
      <c r="A953" s="16"/>
    </row>
    <row r="954">
      <c r="A954" s="16"/>
    </row>
    <row r="955">
      <c r="A955" s="16"/>
    </row>
    <row r="956">
      <c r="A956" s="16"/>
    </row>
    <row r="957">
      <c r="A957" s="16"/>
    </row>
    <row r="958">
      <c r="A958" s="16"/>
    </row>
    <row r="959">
      <c r="A959" s="16"/>
    </row>
    <row r="960">
      <c r="A960" s="16"/>
    </row>
    <row r="961">
      <c r="A961" s="16"/>
    </row>
    <row r="962">
      <c r="A962" s="16"/>
    </row>
    <row r="963">
      <c r="A963" s="16"/>
    </row>
    <row r="964">
      <c r="A964" s="16"/>
    </row>
    <row r="965">
      <c r="A965" s="16"/>
    </row>
    <row r="966">
      <c r="A966" s="16"/>
    </row>
    <row r="967">
      <c r="A967" s="16"/>
    </row>
    <row r="968">
      <c r="A968" s="16"/>
    </row>
    <row r="969">
      <c r="A969" s="16"/>
    </row>
    <row r="970">
      <c r="A970" s="16"/>
    </row>
    <row r="971">
      <c r="A971" s="16"/>
    </row>
    <row r="972">
      <c r="A972" s="16"/>
    </row>
    <row r="973">
      <c r="A973" s="16"/>
    </row>
    <row r="974">
      <c r="A974" s="16"/>
    </row>
    <row r="975">
      <c r="A975" s="16"/>
    </row>
    <row r="976">
      <c r="A976" s="16"/>
    </row>
    <row r="977">
      <c r="A977" s="16"/>
    </row>
    <row r="978">
      <c r="A978" s="16"/>
    </row>
    <row r="979">
      <c r="A979" s="16"/>
    </row>
    <row r="980">
      <c r="A980" s="16"/>
    </row>
    <row r="981">
      <c r="A981" s="16"/>
    </row>
    <row r="982">
      <c r="A982" s="16"/>
    </row>
    <row r="983">
      <c r="A983" s="16"/>
    </row>
    <row r="984">
      <c r="A984" s="16"/>
    </row>
    <row r="985">
      <c r="A985" s="16"/>
    </row>
    <row r="986">
      <c r="A986" s="16"/>
    </row>
    <row r="987">
      <c r="A987" s="16"/>
    </row>
    <row r="988">
      <c r="A988" s="16"/>
    </row>
    <row r="989">
      <c r="A989" s="16"/>
    </row>
    <row r="990">
      <c r="A990" s="16"/>
    </row>
    <row r="991">
      <c r="A991" s="16"/>
    </row>
    <row r="992">
      <c r="A992" s="16"/>
    </row>
    <row r="993">
      <c r="A993" s="16"/>
    </row>
    <row r="994">
      <c r="A994" s="16"/>
    </row>
    <row r="995">
      <c r="A995" s="16"/>
    </row>
    <row r="996">
      <c r="A996" s="16"/>
    </row>
    <row r="997">
      <c r="A997" s="16"/>
    </row>
    <row r="998">
      <c r="A998" s="16"/>
    </row>
    <row r="999">
      <c r="A999" s="16"/>
    </row>
    <row r="1000">
      <c r="A1000" s="16"/>
    </row>
    <row r="1001">
      <c r="A1001" s="16"/>
    </row>
    <row r="1002">
      <c r="A1002" s="16"/>
    </row>
    <row r="1003">
      <c r="A1003" s="16"/>
    </row>
    <row r="1004">
      <c r="A1004" s="16"/>
    </row>
    <row r="1005">
      <c r="A1005" s="16"/>
    </row>
    <row r="1006">
      <c r="A1006" s="16"/>
    </row>
    <row r="1007">
      <c r="A1007" s="16"/>
    </row>
    <row r="1008">
      <c r="A1008" s="16"/>
    </row>
  </sheetData>
  <hyperlinks>
    <hyperlink r:id="rId1" ref="B3"/>
    <hyperlink r:id="rId2" ref="B6"/>
    <hyperlink r:id="rId3" ref="B7"/>
    <hyperlink r:id="rId4" ref="B8"/>
    <hyperlink r:id="rId5" ref="B11"/>
    <hyperlink r:id="rId6" location="gid=0" ref="B12"/>
    <hyperlink r:id="rId7" ref="B13"/>
    <hyperlink r:id="rId8" ref="B14"/>
    <hyperlink r:id="rId9" ref="B17"/>
    <hyperlink r:id="rId10" ref="B18"/>
    <hyperlink r:id="rId11" ref="B19"/>
    <hyperlink r:id="rId12" ref="B20"/>
    <hyperlink r:id="rId13" ref="B21"/>
    <hyperlink r:id="rId14" location="gid=0" ref="B25"/>
    <hyperlink r:id="rId15" ref="C29"/>
    <hyperlink r:id="rId16" ref="C30"/>
    <hyperlink r:id="rId17" ref="C31"/>
    <hyperlink r:id="rId18" ref="C32"/>
    <hyperlink r:id="rId19" ref="C33"/>
    <hyperlink r:id="rId20" ref="C34"/>
    <hyperlink r:id="rId21" ref="C35"/>
    <hyperlink r:id="rId22" ref="C36"/>
    <hyperlink r:id="rId23" ref="C37"/>
    <hyperlink r:id="rId24" ref="C38"/>
    <hyperlink r:id="rId25" ref="C39"/>
  </hyperlinks>
  <drawing r:id="rId26"/>
</worksheet>
</file>